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drawings/drawing3.xml" ContentType="application/vnd.openxmlformats-officedocument.drawing+xml"/>
  <Override PartName="/xl/pivotTables/pivotTable2.xml" ContentType="application/vnd.openxmlformats-officedocument.spreadsheetml.pivotTable+xml"/>
  <Override PartName="/xl/comments1.xml" ContentType="application/vnd.openxmlformats-officedocument.spreadsheetml.comments+xml"/>
  <Override PartName="/xl/pivotTables/pivotTable3.xml" ContentType="application/vnd.openxmlformats-officedocument.spreadsheetml.pivotTable+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harts/chart1.xml" ContentType="application/vnd.openxmlformats-officedocument.drawingml.chart+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9029"/>
  <workbookPr hidePivotFieldList="1"/>
  <mc:AlternateContent xmlns:mc="http://schemas.openxmlformats.org/markup-compatibility/2006">
    <mc:Choice Requires="x15">
      <x15ac:absPath xmlns:x15ac="http://schemas.microsoft.com/office/spreadsheetml/2010/11/ac" url="C:\Users\ACER\Downloads\"/>
    </mc:Choice>
  </mc:AlternateContent>
  <bookViews>
    <workbookView xWindow="28680" yWindow="-1335" windowWidth="29040" windowHeight="15720" firstSheet="6" activeTab="6"/>
  </bookViews>
  <sheets>
    <sheet name="2024 add" sheetId="1" state="hidden" r:id="rId1"/>
    <sheet name="PR_PPMP2025" sheetId="2" state="hidden" r:id="rId2"/>
    <sheet name="Recepients_Pivot 2024 Conso" sheetId="3" state="hidden" r:id="rId3"/>
    <sheet name="Req_20240624" sheetId="4" state="hidden" r:id="rId4"/>
    <sheet name="Req_20240604" sheetId="5" state="hidden" r:id="rId5"/>
    <sheet name="IHOMP-PPMP2025" sheetId="9" state="hidden" r:id="rId6"/>
    <sheet name="default" sheetId="6" r:id="rId7"/>
    <sheet name="Sheet1" sheetId="46" state="hidden" r:id="rId8"/>
    <sheet name="Pivot Conso ICT 2025" sheetId="8" state="hidden" r:id="rId9"/>
    <sheet name="Conso ICT 2025" sheetId="10" state="hidden" r:id="rId10"/>
    <sheet name="Copy of Pivot 2024 Conso" sheetId="11" state="hidden" r:id="rId11"/>
    <sheet name="DB" sheetId="12" state="hidden" r:id="rId12"/>
    <sheet name="Kyocera" sheetId="13" state="hidden" r:id="rId13"/>
    <sheet name="Copy of Kyocera" sheetId="14" state="hidden" r:id="rId14"/>
    <sheet name="Filter_PR" sheetId="15" state="hidden" r:id="rId15"/>
    <sheet name="Sheet40" sheetId="16" state="hidden" r:id="rId16"/>
    <sheet name="Copy of 2024 conso 1" sheetId="17" state="hidden" r:id="rId17"/>
    <sheet name="Copy of 2024 conso" sheetId="18" state="hidden" r:id="rId18"/>
    <sheet name="Copy of PSY" sheetId="19" state="hidden" r:id="rId19"/>
    <sheet name="dbm" sheetId="20" state="hidden" r:id="rId20"/>
    <sheet name="PREP PSY 2024" sheetId="21" state="hidden" r:id="rId21"/>
    <sheet name="ICT_PPMP2023" sheetId="22" state="hidden" r:id="rId22"/>
    <sheet name="Copy of Copy of PR" sheetId="23" state="hidden" r:id="rId23"/>
    <sheet name="Copy of APR" sheetId="24" state="hidden" r:id="rId24"/>
    <sheet name="Tally" sheetId="25" state="hidden" r:id="rId25"/>
    <sheet name="HCI" sheetId="26" state="hidden" r:id="rId26"/>
    <sheet name="Command" sheetId="27" state="hidden" r:id="rId27"/>
    <sheet name="PR" sheetId="28" state="hidden" r:id="rId28"/>
    <sheet name="APR" sheetId="29" state="hidden" r:id="rId29"/>
    <sheet name="DB_IMAGE UPLOAD" sheetId="30" state="hidden" r:id="rId30"/>
    <sheet name="Consolidated (Pivot DB)" sheetId="31" state="hidden" r:id="rId31"/>
    <sheet name="Pivot Table 1" sheetId="32" state="hidden" r:id="rId32"/>
    <sheet name="IMAGE UPLOAD" sheetId="33" state="hidden" r:id="rId33"/>
    <sheet name="Search" sheetId="34" state="hidden" r:id="rId34"/>
    <sheet name="core" sheetId="35" state="hidden" r:id="rId35"/>
    <sheet name="OFFICE SUPPLIES" sheetId="36" state="hidden" r:id="rId36"/>
    <sheet name="HOUSEKEEPING" sheetId="37" state="hidden" r:id="rId37"/>
    <sheet name="Common Supplies 2023" sheetId="38" state="hidden" r:id="rId38"/>
    <sheet name="RIS" sheetId="39" state="hidden" r:id="rId39"/>
    <sheet name="Conso Others" sheetId="40" state="hidden" r:id="rId40"/>
    <sheet name="Format" sheetId="41" state="hidden" r:id="rId41"/>
    <sheet name="ref only" sheetId="42" state="hidden" r:id="rId42"/>
    <sheet name="pp" sheetId="43" state="hidden" r:id="rId43"/>
    <sheet name="SUPPLY as of July2022" sheetId="44" state="hidden" r:id="rId44"/>
    <sheet name="UNIT" sheetId="45" state="hidden" r:id="rId45"/>
  </sheets>
  <externalReferences>
    <externalReference r:id="rId46"/>
    <externalReference r:id="rId47"/>
  </externalReferences>
  <definedNames>
    <definedName name="_xlnm._FilterDatabase" localSheetId="16" hidden="1">'Copy of 2024 conso 1'!$A$4:$AD$787</definedName>
    <definedName name="_xlnm._FilterDatabase" localSheetId="14" hidden="1">Filter_PR!$A$1:$AA$78</definedName>
    <definedName name="_xlnm._FilterDatabase" localSheetId="2" hidden="1">'Recepients_Pivot 2024 Conso'!$A$1:$K$717</definedName>
    <definedName name="_xlnm._FilterDatabase" localSheetId="43" hidden="1">'SUPPLY as of July2022'!$A$3:$Z$69</definedName>
    <definedName name="_xlnm._FilterDatabase" localSheetId="24" hidden="1">Tally!$C$4:$I$145</definedName>
    <definedName name="_xlnm.Print_Area" localSheetId="6">default!$A$1:$X$242</definedName>
    <definedName name="Z_2286F829_20C0_4F61_A021_C374F53CE8BD_.wvu.FilterData" localSheetId="30" hidden="1">'Consolidated (Pivot DB)'!$B$1:$E$1000</definedName>
    <definedName name="Z_2286F829_20C0_4F61_A021_C374F53CE8BD_.wvu.FilterData" localSheetId="41" hidden="1">'ref only'!$A$2:$AB$69</definedName>
  </definedNames>
  <calcPr calcId="162913"/>
  <customWorkbookViews>
    <customWorkbookView name="Filter 1" guid="{2286F829-20C0-4F61-A021-C374F53CE8BD}" maximized="1" windowWidth="0" windowHeight="0" activeSheetId="0"/>
  </customWorkbookViews>
  <pivotCaches>
    <pivotCache cacheId="6" r:id="rId48"/>
    <pivotCache cacheId="10" r:id="rId49"/>
  </pivotCaches>
</workbook>
</file>

<file path=xl/calcChain.xml><?xml version="1.0" encoding="utf-8"?>
<calcChain xmlns="http://schemas.openxmlformats.org/spreadsheetml/2006/main">
  <c r="F132" i="9" l="1"/>
  <c r="T36" i="37"/>
  <c r="P36" i="37"/>
  <c r="L36" i="37"/>
  <c r="H36" i="37"/>
  <c r="F36" i="37"/>
  <c r="T35" i="37"/>
  <c r="P35" i="37"/>
  <c r="L35" i="37"/>
  <c r="H35" i="37"/>
  <c r="F35" i="37"/>
  <c r="T34" i="37"/>
  <c r="P34" i="37"/>
  <c r="L34" i="37"/>
  <c r="H34" i="37"/>
  <c r="F34" i="37"/>
  <c r="T33" i="37"/>
  <c r="P33" i="37"/>
  <c r="L33" i="37"/>
  <c r="H33" i="37"/>
  <c r="F33" i="37"/>
  <c r="T32" i="37"/>
  <c r="P32" i="37"/>
  <c r="L32" i="37"/>
  <c r="H32" i="37"/>
  <c r="F32" i="37"/>
  <c r="T31" i="37"/>
  <c r="P31" i="37"/>
  <c r="L31" i="37"/>
  <c r="H31" i="37"/>
  <c r="F31" i="37"/>
  <c r="T30" i="37"/>
  <c r="P30" i="37"/>
  <c r="L30" i="37"/>
  <c r="H30" i="37"/>
  <c r="F30" i="37"/>
  <c r="T29" i="37"/>
  <c r="P29" i="37"/>
  <c r="L29" i="37"/>
  <c r="H29" i="37"/>
  <c r="F29" i="37"/>
  <c r="T28" i="37"/>
  <c r="P28" i="37"/>
  <c r="L28" i="37"/>
  <c r="H28" i="37"/>
  <c r="F28" i="37"/>
  <c r="T27" i="37"/>
  <c r="P27" i="37"/>
  <c r="L27" i="37"/>
  <c r="H27" i="37"/>
  <c r="F27" i="37"/>
  <c r="T26" i="37"/>
  <c r="P26" i="37"/>
  <c r="L26" i="37"/>
  <c r="H26" i="37"/>
  <c r="F26" i="37"/>
  <c r="T25" i="37"/>
  <c r="P25" i="37"/>
  <c r="L25" i="37"/>
  <c r="H25" i="37"/>
  <c r="F25" i="37"/>
  <c r="T24" i="37"/>
  <c r="P24" i="37"/>
  <c r="L24" i="37"/>
  <c r="H24" i="37"/>
  <c r="F24" i="37"/>
  <c r="T23" i="37"/>
  <c r="P23" i="37"/>
  <c r="L23" i="37"/>
  <c r="H23" i="37"/>
  <c r="F23" i="37"/>
  <c r="T22" i="37"/>
  <c r="P22" i="37"/>
  <c r="L22" i="37"/>
  <c r="H22" i="37"/>
  <c r="F22" i="37"/>
  <c r="T21" i="37"/>
  <c r="P21" i="37"/>
  <c r="L21" i="37"/>
  <c r="H21" i="37"/>
  <c r="F21" i="37"/>
  <c r="T20" i="37"/>
  <c r="P20" i="37"/>
  <c r="L20" i="37"/>
  <c r="H20" i="37"/>
  <c r="F20" i="37"/>
  <c r="T19" i="37"/>
  <c r="P19" i="37"/>
  <c r="L19" i="37"/>
  <c r="H19" i="37"/>
  <c r="F19" i="37"/>
  <c r="T18" i="37"/>
  <c r="P18" i="37"/>
  <c r="L18" i="37"/>
  <c r="H18" i="37"/>
  <c r="F18" i="37"/>
  <c r="T58" i="36"/>
  <c r="P58" i="36"/>
  <c r="N58" i="36"/>
  <c r="L58" i="36" s="1"/>
  <c r="J58" i="36"/>
  <c r="H58" i="36"/>
  <c r="F58" i="36"/>
  <c r="T57" i="36"/>
  <c r="P57" i="36"/>
  <c r="J57" i="36"/>
  <c r="N57" i="36" s="1"/>
  <c r="L57" i="36" s="1"/>
  <c r="E57" i="36"/>
  <c r="F57" i="36" s="1"/>
  <c r="T56" i="36"/>
  <c r="P56" i="36"/>
  <c r="J56" i="36"/>
  <c r="N56" i="36" s="1"/>
  <c r="L56" i="36" s="1"/>
  <c r="E56" i="36"/>
  <c r="F56" i="36" s="1"/>
  <c r="T55" i="36"/>
  <c r="P55" i="36"/>
  <c r="J55" i="36"/>
  <c r="N55" i="36" s="1"/>
  <c r="L55" i="36" s="1"/>
  <c r="E55" i="36"/>
  <c r="F55" i="36" s="1"/>
  <c r="T54" i="36"/>
  <c r="P54" i="36"/>
  <c r="N54" i="36"/>
  <c r="L54" i="36" s="1"/>
  <c r="J54" i="36"/>
  <c r="H54" i="36"/>
  <c r="E54" i="36"/>
  <c r="F54" i="36" s="1"/>
  <c r="T53" i="36"/>
  <c r="P53" i="36"/>
  <c r="N53" i="36"/>
  <c r="L53" i="36" s="1"/>
  <c r="J53" i="36"/>
  <c r="H53" i="36"/>
  <c r="F53" i="36"/>
  <c r="T52" i="36"/>
  <c r="P52" i="36"/>
  <c r="J52" i="36"/>
  <c r="N52" i="36" s="1"/>
  <c r="L52" i="36" s="1"/>
  <c r="E52" i="36"/>
  <c r="F52" i="36" s="1"/>
  <c r="T51" i="36"/>
  <c r="P51" i="36"/>
  <c r="J51" i="36"/>
  <c r="N51" i="36" s="1"/>
  <c r="L51" i="36" s="1"/>
  <c r="E51" i="36"/>
  <c r="F51" i="36" s="1"/>
  <c r="T50" i="36"/>
  <c r="P50" i="36"/>
  <c r="J50" i="36"/>
  <c r="H50" i="36" s="1"/>
  <c r="E50" i="36"/>
  <c r="F50" i="36" s="1"/>
  <c r="T49" i="36"/>
  <c r="P49" i="36"/>
  <c r="J49" i="36"/>
  <c r="H49" i="36" s="1"/>
  <c r="E49" i="36"/>
  <c r="F49" i="36" s="1"/>
  <c r="T48" i="36"/>
  <c r="P48" i="36"/>
  <c r="J48" i="36"/>
  <c r="H48" i="36" s="1"/>
  <c r="E48" i="36"/>
  <c r="F48" i="36" s="1"/>
  <c r="T47" i="36"/>
  <c r="P47" i="36"/>
  <c r="N47" i="36"/>
  <c r="L47" i="36" s="1"/>
  <c r="J47" i="36"/>
  <c r="H47" i="36" s="1"/>
  <c r="E47" i="36"/>
  <c r="F47" i="36" s="1"/>
  <c r="T46" i="36"/>
  <c r="P46" i="36"/>
  <c r="N46" i="36"/>
  <c r="L46" i="36" s="1"/>
  <c r="J46" i="36"/>
  <c r="H46" i="36" s="1"/>
  <c r="E46" i="36"/>
  <c r="F46" i="36" s="1"/>
  <c r="T45" i="36"/>
  <c r="P45" i="36"/>
  <c r="N45" i="36"/>
  <c r="L45" i="36" s="1"/>
  <c r="J45" i="36"/>
  <c r="H45" i="36" s="1"/>
  <c r="E45" i="36"/>
  <c r="F45" i="36" s="1"/>
  <c r="T44" i="36"/>
  <c r="P44" i="36"/>
  <c r="N44" i="36"/>
  <c r="L44" i="36" s="1"/>
  <c r="J44" i="36"/>
  <c r="H44" i="36" s="1"/>
  <c r="E44" i="36"/>
  <c r="F44" i="36" s="1"/>
  <c r="T43" i="36"/>
  <c r="P43" i="36"/>
  <c r="J43" i="36"/>
  <c r="H43" i="36" s="1"/>
  <c r="E43" i="36"/>
  <c r="F43" i="36" s="1"/>
  <c r="T42" i="36"/>
  <c r="P42" i="36"/>
  <c r="N42" i="36"/>
  <c r="L42" i="36" s="1"/>
  <c r="J42" i="36"/>
  <c r="H42" i="36" s="1"/>
  <c r="E42" i="36"/>
  <c r="F42" i="36" s="1"/>
  <c r="T41" i="36"/>
  <c r="P41" i="36"/>
  <c r="J41" i="36"/>
  <c r="H41" i="36" s="1"/>
  <c r="E41" i="36"/>
  <c r="F41" i="36" s="1"/>
  <c r="T40" i="36"/>
  <c r="P40" i="36"/>
  <c r="N40" i="36"/>
  <c r="L40" i="36" s="1"/>
  <c r="J40" i="36"/>
  <c r="H40" i="36" s="1"/>
  <c r="E40" i="36"/>
  <c r="F40" i="36" s="1"/>
  <c r="T39" i="36"/>
  <c r="P39" i="36"/>
  <c r="J39" i="36"/>
  <c r="H39" i="36" s="1"/>
  <c r="E39" i="36"/>
  <c r="F39" i="36" s="1"/>
  <c r="T38" i="36"/>
  <c r="P38" i="36"/>
  <c r="J38" i="36"/>
  <c r="H38" i="36" s="1"/>
  <c r="E38" i="36"/>
  <c r="F38" i="36" s="1"/>
  <c r="T37" i="36"/>
  <c r="P37" i="36"/>
  <c r="N37" i="36"/>
  <c r="L37" i="36" s="1"/>
  <c r="J37" i="36"/>
  <c r="H37" i="36" s="1"/>
  <c r="E37" i="36"/>
  <c r="F37" i="36" s="1"/>
  <c r="T36" i="36"/>
  <c r="P36" i="36"/>
  <c r="N36" i="36"/>
  <c r="L36" i="36" s="1"/>
  <c r="J36" i="36"/>
  <c r="H36" i="36" s="1"/>
  <c r="E36" i="36"/>
  <c r="F36" i="36" s="1"/>
  <c r="T35" i="36"/>
  <c r="P35" i="36"/>
  <c r="N35" i="36"/>
  <c r="L35" i="36" s="1"/>
  <c r="J35" i="36"/>
  <c r="H35" i="36" s="1"/>
  <c r="E35" i="36"/>
  <c r="F35" i="36" s="1"/>
  <c r="T34" i="36"/>
  <c r="P34" i="36"/>
  <c r="J34" i="36"/>
  <c r="H34" i="36" s="1"/>
  <c r="E34" i="36"/>
  <c r="F34" i="36" s="1"/>
  <c r="T33" i="36"/>
  <c r="P33" i="36"/>
  <c r="J33" i="36"/>
  <c r="H33" i="36" s="1"/>
  <c r="E33" i="36"/>
  <c r="F33" i="36" s="1"/>
  <c r="T32" i="36"/>
  <c r="P32" i="36"/>
  <c r="J32" i="36"/>
  <c r="H32" i="36" s="1"/>
  <c r="E32" i="36"/>
  <c r="F32" i="36" s="1"/>
  <c r="T31" i="36"/>
  <c r="P31" i="36"/>
  <c r="N31" i="36"/>
  <c r="L31" i="36" s="1"/>
  <c r="J31" i="36"/>
  <c r="H31" i="36" s="1"/>
  <c r="E31" i="36"/>
  <c r="F31" i="36" s="1"/>
  <c r="T30" i="36"/>
  <c r="P30" i="36"/>
  <c r="J30" i="36"/>
  <c r="H30" i="36" s="1"/>
  <c r="E30" i="36"/>
  <c r="F30" i="36" s="1"/>
  <c r="T29" i="36"/>
  <c r="P29" i="36"/>
  <c r="N29" i="36"/>
  <c r="L29" i="36" s="1"/>
  <c r="J29" i="36"/>
  <c r="H29" i="36" s="1"/>
  <c r="E29" i="36"/>
  <c r="F29" i="36" s="1"/>
  <c r="T28" i="36"/>
  <c r="P28" i="36"/>
  <c r="N28" i="36"/>
  <c r="L28" i="36" s="1"/>
  <c r="J28" i="36"/>
  <c r="H28" i="36" s="1"/>
  <c r="E28" i="36"/>
  <c r="F28" i="36" s="1"/>
  <c r="T27" i="36"/>
  <c r="P27" i="36"/>
  <c r="J27" i="36"/>
  <c r="H27" i="36" s="1"/>
  <c r="E27" i="36"/>
  <c r="F27" i="36" s="1"/>
  <c r="T26" i="36"/>
  <c r="P26" i="36"/>
  <c r="N26" i="36"/>
  <c r="L26" i="36" s="1"/>
  <c r="J26" i="36"/>
  <c r="H26" i="36" s="1"/>
  <c r="E26" i="36"/>
  <c r="F26" i="36" s="1"/>
  <c r="T25" i="36"/>
  <c r="P25" i="36"/>
  <c r="J25" i="36"/>
  <c r="H25" i="36" s="1"/>
  <c r="E25" i="36"/>
  <c r="F25" i="36" s="1"/>
  <c r="T24" i="36"/>
  <c r="P24" i="36"/>
  <c r="N24" i="36"/>
  <c r="L24" i="36" s="1"/>
  <c r="J24" i="36"/>
  <c r="H24" i="36" s="1"/>
  <c r="E24" i="36"/>
  <c r="F24" i="36" s="1"/>
  <c r="T23" i="36"/>
  <c r="P23" i="36"/>
  <c r="J23" i="36"/>
  <c r="H23" i="36" s="1"/>
  <c r="E23" i="36"/>
  <c r="F23" i="36" s="1"/>
  <c r="T22" i="36"/>
  <c r="P22" i="36"/>
  <c r="J22" i="36"/>
  <c r="H22" i="36" s="1"/>
  <c r="E22" i="36"/>
  <c r="F22" i="36" s="1"/>
  <c r="T21" i="36"/>
  <c r="P21" i="36"/>
  <c r="N21" i="36"/>
  <c r="L21" i="36" s="1"/>
  <c r="J21" i="36"/>
  <c r="H21" i="36" s="1"/>
  <c r="E21" i="36"/>
  <c r="F21" i="36" s="1"/>
  <c r="T20" i="36"/>
  <c r="P20" i="36"/>
  <c r="N20" i="36"/>
  <c r="L20" i="36" s="1"/>
  <c r="J20" i="36"/>
  <c r="H20" i="36" s="1"/>
  <c r="E20" i="36"/>
  <c r="F20" i="36" s="1"/>
  <c r="T19" i="36"/>
  <c r="P19" i="36"/>
  <c r="N19" i="36"/>
  <c r="L19" i="36" s="1"/>
  <c r="J19" i="36"/>
  <c r="H19" i="36" s="1"/>
  <c r="E19" i="36"/>
  <c r="F19" i="36" s="1"/>
  <c r="T18" i="36"/>
  <c r="P18" i="36"/>
  <c r="J18" i="36"/>
  <c r="H18" i="36" s="1"/>
  <c r="E18" i="36"/>
  <c r="F18" i="36" s="1"/>
  <c r="F3" i="34"/>
  <c r="J21" i="28"/>
  <c r="J9" i="28"/>
  <c r="K7" i="27"/>
  <c r="K6" i="27"/>
  <c r="K5" i="27"/>
  <c r="K4" i="27"/>
  <c r="D51" i="26"/>
  <c r="D50" i="26"/>
  <c r="D49" i="26"/>
  <c r="D48" i="26"/>
  <c r="D47" i="26"/>
  <c r="D46" i="26"/>
  <c r="D45" i="26"/>
  <c r="D44" i="26"/>
  <c r="D43" i="26"/>
  <c r="D42" i="26"/>
  <c r="D41" i="26"/>
  <c r="D40" i="26"/>
  <c r="D39" i="26"/>
  <c r="D38" i="26"/>
  <c r="D37" i="26"/>
  <c r="D36" i="26"/>
  <c r="D35" i="26"/>
  <c r="D34" i="26"/>
  <c r="D33" i="26"/>
  <c r="D32" i="26"/>
  <c r="D31" i="26"/>
  <c r="D30" i="26"/>
  <c r="D29" i="26"/>
  <c r="D28" i="26"/>
  <c r="D27" i="26"/>
  <c r="D26" i="26"/>
  <c r="D25" i="26"/>
  <c r="D24" i="26"/>
  <c r="D23" i="26"/>
  <c r="D22" i="26"/>
  <c r="D20" i="26"/>
  <c r="D19" i="26"/>
  <c r="D18" i="26"/>
  <c r="D17" i="26"/>
  <c r="D16" i="26"/>
  <c r="D15" i="26"/>
  <c r="D14" i="26"/>
  <c r="D13" i="26"/>
  <c r="D11" i="26"/>
  <c r="D10" i="26"/>
  <c r="D9" i="26"/>
  <c r="D8" i="26"/>
  <c r="D7" i="26"/>
  <c r="D6" i="26"/>
  <c r="D5" i="26"/>
  <c r="D4" i="26"/>
  <c r="D3" i="26"/>
  <c r="D1" i="26"/>
  <c r="H1" i="25"/>
  <c r="K9" i="23"/>
  <c r="T158" i="22"/>
  <c r="P158" i="22"/>
  <c r="L158" i="22"/>
  <c r="F158" i="22"/>
  <c r="T157" i="22"/>
  <c r="P157" i="22"/>
  <c r="L157" i="22"/>
  <c r="F157" i="22"/>
  <c r="T156" i="22"/>
  <c r="P156" i="22"/>
  <c r="L156" i="22"/>
  <c r="F156" i="22"/>
  <c r="T155" i="22"/>
  <c r="P155" i="22"/>
  <c r="L155" i="22"/>
  <c r="F155" i="22"/>
  <c r="T154" i="22"/>
  <c r="P154" i="22"/>
  <c r="L154" i="22"/>
  <c r="F154" i="22"/>
  <c r="T153" i="22"/>
  <c r="P153" i="22"/>
  <c r="L153" i="22"/>
  <c r="F153" i="22"/>
  <c r="T152" i="22"/>
  <c r="P152" i="22"/>
  <c r="L152" i="22"/>
  <c r="F152" i="22"/>
  <c r="T151" i="22"/>
  <c r="P151" i="22"/>
  <c r="L151" i="22"/>
  <c r="F151" i="22"/>
  <c r="T150" i="22"/>
  <c r="P150" i="22"/>
  <c r="L150" i="22"/>
  <c r="F150" i="22"/>
  <c r="T149" i="22"/>
  <c r="P149" i="22"/>
  <c r="L149" i="22"/>
  <c r="F149" i="22"/>
  <c r="T148" i="22"/>
  <c r="P148" i="22"/>
  <c r="L148" i="22"/>
  <c r="F148" i="22"/>
  <c r="T147" i="22"/>
  <c r="P147" i="22"/>
  <c r="L147" i="22"/>
  <c r="F147" i="22"/>
  <c r="T146" i="22"/>
  <c r="P146" i="22"/>
  <c r="L146" i="22"/>
  <c r="F146" i="22"/>
  <c r="T145" i="22"/>
  <c r="P145" i="22"/>
  <c r="L145" i="22"/>
  <c r="F145" i="22"/>
  <c r="T144" i="22"/>
  <c r="P144" i="22"/>
  <c r="L144" i="22"/>
  <c r="F144" i="22"/>
  <c r="T143" i="22"/>
  <c r="P143" i="22"/>
  <c r="L143" i="22"/>
  <c r="F143" i="22"/>
  <c r="T142" i="22"/>
  <c r="P142" i="22"/>
  <c r="L142" i="22"/>
  <c r="F142" i="22"/>
  <c r="T141" i="22"/>
  <c r="P141" i="22"/>
  <c r="L141" i="22"/>
  <c r="F141" i="22"/>
  <c r="T140" i="22"/>
  <c r="P140" i="22"/>
  <c r="L140" i="22"/>
  <c r="F140" i="22"/>
  <c r="T139" i="22"/>
  <c r="P139" i="22"/>
  <c r="L139" i="22"/>
  <c r="F139" i="22"/>
  <c r="T138" i="22"/>
  <c r="P138" i="22"/>
  <c r="L138" i="22"/>
  <c r="F138" i="22"/>
  <c r="T137" i="22"/>
  <c r="P137" i="22"/>
  <c r="L137" i="22"/>
  <c r="F137" i="22"/>
  <c r="T136" i="22"/>
  <c r="P136" i="22"/>
  <c r="L136" i="22"/>
  <c r="F136" i="22"/>
  <c r="T135" i="22"/>
  <c r="P135" i="22"/>
  <c r="L135" i="22"/>
  <c r="F135" i="22"/>
  <c r="T134" i="22"/>
  <c r="P134" i="22"/>
  <c r="L134" i="22"/>
  <c r="F134" i="22"/>
  <c r="T133" i="22"/>
  <c r="P133" i="22"/>
  <c r="L133" i="22"/>
  <c r="F133" i="22"/>
  <c r="T132" i="22"/>
  <c r="P132" i="22"/>
  <c r="L132" i="22"/>
  <c r="F132" i="22"/>
  <c r="T131" i="22"/>
  <c r="P131" i="22"/>
  <c r="L131" i="22"/>
  <c r="F131" i="22"/>
  <c r="T130" i="22"/>
  <c r="P130" i="22"/>
  <c r="L130" i="22"/>
  <c r="F130" i="22"/>
  <c r="T129" i="22"/>
  <c r="P129" i="22"/>
  <c r="L129" i="22"/>
  <c r="F129" i="22"/>
  <c r="T128" i="22"/>
  <c r="P128" i="22"/>
  <c r="L128" i="22"/>
  <c r="F128" i="22"/>
  <c r="T127" i="22"/>
  <c r="P127" i="22"/>
  <c r="L127" i="22"/>
  <c r="F127" i="22"/>
  <c r="T126" i="22"/>
  <c r="P126" i="22"/>
  <c r="L126" i="22"/>
  <c r="F126" i="22"/>
  <c r="T125" i="22"/>
  <c r="P125" i="22"/>
  <c r="L125" i="22"/>
  <c r="F125" i="22"/>
  <c r="T124" i="22"/>
  <c r="P124" i="22"/>
  <c r="L124" i="22"/>
  <c r="F124" i="22"/>
  <c r="T123" i="22"/>
  <c r="P123" i="22"/>
  <c r="L123" i="22"/>
  <c r="F123" i="22"/>
  <c r="T122" i="22"/>
  <c r="P122" i="22"/>
  <c r="L122" i="22"/>
  <c r="F122" i="22"/>
  <c r="T121" i="22"/>
  <c r="P121" i="22"/>
  <c r="L121" i="22"/>
  <c r="F121" i="22"/>
  <c r="T120" i="22"/>
  <c r="P120" i="22"/>
  <c r="L120" i="22"/>
  <c r="F120" i="22"/>
  <c r="T119" i="22"/>
  <c r="P119" i="22"/>
  <c r="L119" i="22"/>
  <c r="F119" i="22"/>
  <c r="T118" i="22"/>
  <c r="P118" i="22"/>
  <c r="L118" i="22"/>
  <c r="F118" i="22"/>
  <c r="T117" i="22"/>
  <c r="P117" i="22"/>
  <c r="L117" i="22"/>
  <c r="F117" i="22"/>
  <c r="T116" i="22"/>
  <c r="P116" i="22"/>
  <c r="L116" i="22"/>
  <c r="F116" i="22"/>
  <c r="T115" i="22"/>
  <c r="P115" i="22"/>
  <c r="L115" i="22"/>
  <c r="F115" i="22"/>
  <c r="T114" i="22"/>
  <c r="P114" i="22"/>
  <c r="L114" i="22"/>
  <c r="F114" i="22"/>
  <c r="T113" i="22"/>
  <c r="P113" i="22"/>
  <c r="L113" i="22"/>
  <c r="F113" i="22"/>
  <c r="T112" i="22"/>
  <c r="P112" i="22"/>
  <c r="L112" i="22"/>
  <c r="F112" i="22"/>
  <c r="T111" i="22"/>
  <c r="P111" i="22"/>
  <c r="L111" i="22"/>
  <c r="F111" i="22"/>
  <c r="T110" i="22"/>
  <c r="P110" i="22"/>
  <c r="L110" i="22"/>
  <c r="F110" i="22"/>
  <c r="T109" i="22"/>
  <c r="P109" i="22"/>
  <c r="L109" i="22"/>
  <c r="F109" i="22"/>
  <c r="T108" i="22"/>
  <c r="P108" i="22"/>
  <c r="L108" i="22"/>
  <c r="F108" i="22"/>
  <c r="T107" i="22"/>
  <c r="P107" i="22"/>
  <c r="L107" i="22"/>
  <c r="F107" i="22"/>
  <c r="T106" i="22"/>
  <c r="P106" i="22"/>
  <c r="L106" i="22"/>
  <c r="F106" i="22"/>
  <c r="T105" i="22"/>
  <c r="P105" i="22"/>
  <c r="L105" i="22"/>
  <c r="F105" i="22"/>
  <c r="T104" i="22"/>
  <c r="P104" i="22"/>
  <c r="L104" i="22"/>
  <c r="F104" i="22"/>
  <c r="T103" i="22"/>
  <c r="P103" i="22"/>
  <c r="L103" i="22"/>
  <c r="F103" i="22"/>
  <c r="T102" i="22"/>
  <c r="P102" i="22"/>
  <c r="L102" i="22"/>
  <c r="F102" i="22"/>
  <c r="T101" i="22"/>
  <c r="P101" i="22"/>
  <c r="L101" i="22"/>
  <c r="F101" i="22"/>
  <c r="T100" i="22"/>
  <c r="P100" i="22"/>
  <c r="L100" i="22"/>
  <c r="F100" i="22"/>
  <c r="T99" i="22"/>
  <c r="P99" i="22"/>
  <c r="L99" i="22"/>
  <c r="F99" i="22"/>
  <c r="T98" i="22"/>
  <c r="P98" i="22"/>
  <c r="L98" i="22"/>
  <c r="F98" i="22"/>
  <c r="T97" i="22"/>
  <c r="P97" i="22"/>
  <c r="L97" i="22"/>
  <c r="F97" i="22"/>
  <c r="T96" i="22"/>
  <c r="P96" i="22"/>
  <c r="L96" i="22"/>
  <c r="F96" i="22"/>
  <c r="T95" i="22"/>
  <c r="P95" i="22"/>
  <c r="L95" i="22"/>
  <c r="F95" i="22"/>
  <c r="T94" i="22"/>
  <c r="P94" i="22"/>
  <c r="L94" i="22"/>
  <c r="F94" i="22"/>
  <c r="T93" i="22"/>
  <c r="P93" i="22"/>
  <c r="L93" i="22"/>
  <c r="F93" i="22"/>
  <c r="T92" i="22"/>
  <c r="P92" i="22"/>
  <c r="L92" i="22"/>
  <c r="F92" i="22"/>
  <c r="T91" i="22"/>
  <c r="P91" i="22"/>
  <c r="L91" i="22"/>
  <c r="F91" i="22"/>
  <c r="T90" i="22"/>
  <c r="P90" i="22"/>
  <c r="L90" i="22"/>
  <c r="F90" i="22"/>
  <c r="T89" i="22"/>
  <c r="P89" i="22"/>
  <c r="L89" i="22"/>
  <c r="F89" i="22"/>
  <c r="T88" i="22"/>
  <c r="P88" i="22"/>
  <c r="L88" i="22"/>
  <c r="F88" i="22"/>
  <c r="T87" i="22"/>
  <c r="P87" i="22"/>
  <c r="L87" i="22"/>
  <c r="F87" i="22"/>
  <c r="T86" i="22"/>
  <c r="P86" i="22"/>
  <c r="L86" i="22"/>
  <c r="F86" i="22"/>
  <c r="T85" i="22"/>
  <c r="P85" i="22"/>
  <c r="L85" i="22"/>
  <c r="F85" i="22"/>
  <c r="T84" i="22"/>
  <c r="P84" i="22"/>
  <c r="L84" i="22"/>
  <c r="F84" i="22"/>
  <c r="T83" i="22"/>
  <c r="P83" i="22"/>
  <c r="L83" i="22"/>
  <c r="F83" i="22"/>
  <c r="T82" i="22"/>
  <c r="P82" i="22"/>
  <c r="L82" i="22"/>
  <c r="F82" i="22"/>
  <c r="T81" i="22"/>
  <c r="P81" i="22"/>
  <c r="L81" i="22"/>
  <c r="F81" i="22"/>
  <c r="T80" i="22"/>
  <c r="P80" i="22"/>
  <c r="L80" i="22"/>
  <c r="F80" i="22"/>
  <c r="T79" i="22"/>
  <c r="P79" i="22"/>
  <c r="L79" i="22"/>
  <c r="F79" i="22"/>
  <c r="T78" i="22"/>
  <c r="P78" i="22"/>
  <c r="L78" i="22"/>
  <c r="F78" i="22"/>
  <c r="T77" i="22"/>
  <c r="P77" i="22"/>
  <c r="L77" i="22"/>
  <c r="F77" i="22"/>
  <c r="T76" i="22"/>
  <c r="P76" i="22"/>
  <c r="L76" i="22"/>
  <c r="F76" i="22"/>
  <c r="T75" i="22"/>
  <c r="P75" i="22"/>
  <c r="L75" i="22"/>
  <c r="F75" i="22"/>
  <c r="T74" i="22"/>
  <c r="P74" i="22"/>
  <c r="L74" i="22"/>
  <c r="F74" i="22"/>
  <c r="T73" i="22"/>
  <c r="P73" i="22"/>
  <c r="L73" i="22"/>
  <c r="F73" i="22"/>
  <c r="T72" i="22"/>
  <c r="P72" i="22"/>
  <c r="L72" i="22"/>
  <c r="F72" i="22"/>
  <c r="T71" i="22"/>
  <c r="P71" i="22"/>
  <c r="L71" i="22"/>
  <c r="F71" i="22"/>
  <c r="T70" i="22"/>
  <c r="P70" i="22"/>
  <c r="L70" i="22"/>
  <c r="F70" i="22"/>
  <c r="T69" i="22"/>
  <c r="P69" i="22"/>
  <c r="L69" i="22"/>
  <c r="F69" i="22"/>
  <c r="T68" i="22"/>
  <c r="P68" i="22"/>
  <c r="L68" i="22"/>
  <c r="F68" i="22"/>
  <c r="T67" i="22"/>
  <c r="P67" i="22"/>
  <c r="L67" i="22"/>
  <c r="F67" i="22"/>
  <c r="T66" i="22"/>
  <c r="P66" i="22"/>
  <c r="L66" i="22"/>
  <c r="F66" i="22"/>
  <c r="T65" i="22"/>
  <c r="P65" i="22"/>
  <c r="L65" i="22"/>
  <c r="F65" i="22"/>
  <c r="T64" i="22"/>
  <c r="P64" i="22"/>
  <c r="L64" i="22"/>
  <c r="F64" i="22"/>
  <c r="T63" i="22"/>
  <c r="P63" i="22"/>
  <c r="L63" i="22"/>
  <c r="F63" i="22"/>
  <c r="T62" i="22"/>
  <c r="P62" i="22"/>
  <c r="L62" i="22"/>
  <c r="F62" i="22"/>
  <c r="T61" i="22"/>
  <c r="P61" i="22"/>
  <c r="L61" i="22"/>
  <c r="F61" i="22"/>
  <c r="T60" i="22"/>
  <c r="P60" i="22"/>
  <c r="L60" i="22"/>
  <c r="F60" i="22"/>
  <c r="T59" i="22"/>
  <c r="P59" i="22"/>
  <c r="L59" i="22"/>
  <c r="F59" i="22"/>
  <c r="T58" i="22"/>
  <c r="P58" i="22"/>
  <c r="L58" i="22"/>
  <c r="F58" i="22"/>
  <c r="T57" i="22"/>
  <c r="P57" i="22"/>
  <c r="L57" i="22"/>
  <c r="F57" i="22"/>
  <c r="T56" i="22"/>
  <c r="P56" i="22"/>
  <c r="L56" i="22"/>
  <c r="F56" i="22"/>
  <c r="T55" i="22"/>
  <c r="P55" i="22"/>
  <c r="L55" i="22"/>
  <c r="F55" i="22"/>
  <c r="T54" i="22"/>
  <c r="P54" i="22"/>
  <c r="L54" i="22"/>
  <c r="F54" i="22"/>
  <c r="T53" i="22"/>
  <c r="P53" i="22"/>
  <c r="L53" i="22"/>
  <c r="F53" i="22"/>
  <c r="T52" i="22"/>
  <c r="P52" i="22"/>
  <c r="L52" i="22"/>
  <c r="F52" i="22"/>
  <c r="T51" i="22"/>
  <c r="P51" i="22"/>
  <c r="L51" i="22"/>
  <c r="F51" i="22"/>
  <c r="T50" i="22"/>
  <c r="P50" i="22"/>
  <c r="L50" i="22"/>
  <c r="F50" i="22"/>
  <c r="T49" i="22"/>
  <c r="P49" i="22"/>
  <c r="L49" i="22"/>
  <c r="F49" i="22"/>
  <c r="T48" i="22"/>
  <c r="P48" i="22"/>
  <c r="L48" i="22"/>
  <c r="F48" i="22"/>
  <c r="T47" i="22"/>
  <c r="P47" i="22"/>
  <c r="L47" i="22"/>
  <c r="F47" i="22"/>
  <c r="T46" i="22"/>
  <c r="P46" i="22"/>
  <c r="L46" i="22"/>
  <c r="F46" i="22"/>
  <c r="T42" i="22"/>
  <c r="P42" i="22"/>
  <c r="L42" i="22"/>
  <c r="F42" i="22"/>
  <c r="T41" i="22"/>
  <c r="P41" i="22"/>
  <c r="L41" i="22"/>
  <c r="F41" i="22"/>
  <c r="T40" i="22"/>
  <c r="P40" i="22"/>
  <c r="L40" i="22"/>
  <c r="F40" i="22"/>
  <c r="T39" i="22"/>
  <c r="P39" i="22"/>
  <c r="L39" i="22"/>
  <c r="F39" i="22"/>
  <c r="T38" i="22"/>
  <c r="P38" i="22"/>
  <c r="L38" i="22"/>
  <c r="F38" i="22"/>
  <c r="T37" i="22"/>
  <c r="P37" i="22"/>
  <c r="L37" i="22"/>
  <c r="F37" i="22"/>
  <c r="T36" i="22"/>
  <c r="P36" i="22"/>
  <c r="L36" i="22"/>
  <c r="F36" i="22"/>
  <c r="T35" i="22"/>
  <c r="P35" i="22"/>
  <c r="L35" i="22"/>
  <c r="F35" i="22"/>
  <c r="T34" i="22"/>
  <c r="P34" i="22"/>
  <c r="L34" i="22"/>
  <c r="F34" i="22"/>
  <c r="T33" i="22"/>
  <c r="P33" i="22"/>
  <c r="L33" i="22"/>
  <c r="F33" i="22"/>
  <c r="T32" i="22"/>
  <c r="P32" i="22"/>
  <c r="L32" i="22"/>
  <c r="F32" i="22"/>
  <c r="T31" i="22"/>
  <c r="P31" i="22"/>
  <c r="L31" i="22"/>
  <c r="F31" i="22"/>
  <c r="T30" i="22"/>
  <c r="P30" i="22"/>
  <c r="L30" i="22"/>
  <c r="F30" i="22"/>
  <c r="T29" i="22"/>
  <c r="P29" i="22"/>
  <c r="L29" i="22"/>
  <c r="F29" i="22"/>
  <c r="T28" i="22"/>
  <c r="P28" i="22"/>
  <c r="L28" i="22"/>
  <c r="F28" i="22"/>
  <c r="T27" i="22"/>
  <c r="P27" i="22"/>
  <c r="L27" i="22"/>
  <c r="F27" i="22"/>
  <c r="T26" i="22"/>
  <c r="P26" i="22"/>
  <c r="L26" i="22"/>
  <c r="F26" i="22"/>
  <c r="T25" i="22"/>
  <c r="P25" i="22"/>
  <c r="L25" i="22"/>
  <c r="F25" i="22"/>
  <c r="T24" i="22"/>
  <c r="P24" i="22"/>
  <c r="L24" i="22"/>
  <c r="F24" i="22"/>
  <c r="T23" i="22"/>
  <c r="P23" i="22"/>
  <c r="L23" i="22"/>
  <c r="F23" i="22"/>
  <c r="T22" i="22"/>
  <c r="P22" i="22"/>
  <c r="L22" i="22"/>
  <c r="F22" i="22"/>
  <c r="T21" i="22"/>
  <c r="P21" i="22"/>
  <c r="L21" i="22"/>
  <c r="F21" i="22"/>
  <c r="T20" i="22"/>
  <c r="P20" i="22"/>
  <c r="L20" i="22"/>
  <c r="F20" i="22"/>
  <c r="T19" i="22"/>
  <c r="P19" i="22"/>
  <c r="L19" i="22"/>
  <c r="F19" i="22"/>
  <c r="T18" i="22"/>
  <c r="P18" i="22"/>
  <c r="L18" i="22"/>
  <c r="F18" i="22"/>
  <c r="T17" i="22"/>
  <c r="P17" i="22"/>
  <c r="L17" i="22"/>
  <c r="F17" i="22"/>
  <c r="T16" i="22"/>
  <c r="P16" i="22"/>
  <c r="L16" i="22"/>
  <c r="H16" i="22"/>
  <c r="F16" i="22"/>
  <c r="T15" i="22"/>
  <c r="P15" i="22"/>
  <c r="L15" i="22"/>
  <c r="H15" i="22"/>
  <c r="F15" i="22"/>
  <c r="X2" i="18"/>
  <c r="B2" i="18"/>
  <c r="Y786" i="17"/>
  <c r="Y781" i="17"/>
  <c r="Y780" i="17"/>
  <c r="Y779" i="17"/>
  <c r="Y778" i="17"/>
  <c r="Y776" i="17"/>
  <c r="Y775" i="17"/>
  <c r="Y772" i="17"/>
  <c r="Y766" i="17"/>
  <c r="Y765" i="17"/>
  <c r="Y764" i="17"/>
  <c r="Y763" i="17"/>
  <c r="Y761" i="17"/>
  <c r="Y760" i="17"/>
  <c r="Y759" i="17"/>
  <c r="Y758" i="17"/>
  <c r="Y757" i="17"/>
  <c r="Y755" i="17"/>
  <c r="Y754" i="17"/>
  <c r="Y753" i="17"/>
  <c r="Y752" i="17"/>
  <c r="Y751" i="17"/>
  <c r="Y750" i="17"/>
  <c r="Y749" i="17"/>
  <c r="Y748" i="17"/>
  <c r="Y743" i="17"/>
  <c r="Y742" i="17"/>
  <c r="Y741" i="17"/>
  <c r="Y740" i="17"/>
  <c r="Y738" i="17"/>
  <c r="Y737" i="17"/>
  <c r="Y736" i="17"/>
  <c r="Y735" i="17"/>
  <c r="Y734" i="17"/>
  <c r="Y729" i="17"/>
  <c r="Y726" i="17"/>
  <c r="Y725" i="17"/>
  <c r="Y724" i="17"/>
  <c r="Y723" i="17"/>
  <c r="Y715" i="17"/>
  <c r="Y714" i="17"/>
  <c r="Y712" i="17"/>
  <c r="Y709" i="17"/>
  <c r="Y700" i="17"/>
  <c r="Y695" i="17"/>
  <c r="Y694" i="17"/>
  <c r="Y693" i="17"/>
  <c r="Y691" i="17"/>
  <c r="Y687" i="17"/>
  <c r="Y685" i="17"/>
  <c r="Y680" i="17"/>
  <c r="Y679" i="17"/>
  <c r="Y678" i="17"/>
  <c r="Y677" i="17"/>
  <c r="Y676" i="17"/>
  <c r="Y675" i="17"/>
  <c r="Y674" i="17"/>
  <c r="Y673" i="17"/>
  <c r="Y672" i="17"/>
  <c r="Y670" i="17"/>
  <c r="Y664" i="17"/>
  <c r="Y662" i="17"/>
  <c r="Y661" i="17"/>
  <c r="Y660" i="17"/>
  <c r="Y659" i="17"/>
  <c r="Y656" i="17"/>
  <c r="Y655" i="17"/>
  <c r="Y654" i="17"/>
  <c r="Y653" i="17"/>
  <c r="Y651" i="17"/>
  <c r="Y649" i="17"/>
  <c r="Y645" i="17"/>
  <c r="Y640" i="17"/>
  <c r="Y639" i="17"/>
  <c r="Y638" i="17"/>
  <c r="Y637" i="17"/>
  <c r="Y636" i="17"/>
  <c r="Y633" i="17"/>
  <c r="Y632" i="17"/>
  <c r="Y630" i="17"/>
  <c r="Y629" i="17"/>
  <c r="Y623" i="17"/>
  <c r="Y622" i="17"/>
  <c r="Y617" i="17"/>
  <c r="Y616" i="17"/>
  <c r="Y615" i="17"/>
  <c r="Y614" i="17"/>
  <c r="Y613" i="17"/>
  <c r="Y612" i="17"/>
  <c r="Y611" i="17"/>
  <c r="Y608" i="17"/>
  <c r="Y604" i="17"/>
  <c r="Y602" i="17"/>
  <c r="Y597" i="17"/>
  <c r="Y596" i="17"/>
  <c r="Y595" i="17"/>
  <c r="Y594" i="17"/>
  <c r="Y593" i="17"/>
  <c r="Y592" i="17"/>
  <c r="Y591" i="17"/>
  <c r="Y590" i="17"/>
  <c r="Y589" i="17"/>
  <c r="Y587" i="17"/>
  <c r="Y586" i="17"/>
  <c r="Y585" i="17"/>
  <c r="Y579" i="17"/>
  <c r="Y576" i="17"/>
  <c r="Y575" i="17"/>
  <c r="Y567" i="17"/>
  <c r="Y566" i="17"/>
  <c r="Y565" i="17"/>
  <c r="Y560" i="17"/>
  <c r="Y558" i="17"/>
  <c r="Y557" i="17"/>
  <c r="Y556" i="17"/>
  <c r="Y555" i="17"/>
  <c r="Y553" i="17"/>
  <c r="Y552" i="17"/>
  <c r="Y547" i="17"/>
  <c r="Y543" i="17"/>
  <c r="Y542" i="17"/>
  <c r="Y541" i="17"/>
  <c r="Y540" i="17"/>
  <c r="Y539" i="17"/>
  <c r="Y537" i="17"/>
  <c r="Y536" i="17"/>
  <c r="Y535" i="17"/>
  <c r="Y534" i="17"/>
  <c r="Y533" i="17"/>
  <c r="Y532" i="17"/>
  <c r="Y531" i="17"/>
  <c r="Y530" i="17"/>
  <c r="Y525" i="17"/>
  <c r="Y524" i="17"/>
  <c r="Y522" i="17"/>
  <c r="Y520" i="17"/>
  <c r="Y519" i="17"/>
  <c r="Y516" i="17"/>
  <c r="Y515" i="17"/>
  <c r="Y514" i="17"/>
  <c r="Y513" i="17"/>
  <c r="Y512" i="17"/>
  <c r="Y511" i="17"/>
  <c r="Y508" i="17"/>
  <c r="Y507" i="17"/>
  <c r="Y506" i="17"/>
  <c r="Y505" i="17"/>
  <c r="Y504" i="17"/>
  <c r="Y503" i="17"/>
  <c r="Y502" i="17"/>
  <c r="Y500" i="17"/>
  <c r="Y499" i="17"/>
  <c r="Y498" i="17"/>
  <c r="Y497" i="17"/>
  <c r="Y496" i="17"/>
  <c r="Y495" i="17"/>
  <c r="Y494" i="17"/>
  <c r="Y492" i="17"/>
  <c r="Y491" i="17"/>
  <c r="Y490" i="17"/>
  <c r="Y485" i="17"/>
  <c r="Y483" i="17"/>
  <c r="Y482" i="17"/>
  <c r="Y481" i="17"/>
  <c r="Y474" i="17"/>
  <c r="Y473" i="17"/>
  <c r="Y472" i="17"/>
  <c r="Y471" i="17"/>
  <c r="Y469" i="17"/>
  <c r="Y467" i="17"/>
  <c r="Y466" i="17"/>
  <c r="Y464" i="17"/>
  <c r="Y462" i="17"/>
  <c r="Y461" i="17"/>
  <c r="Y456" i="17"/>
  <c r="Y454" i="17"/>
  <c r="Y453" i="17"/>
  <c r="Y451" i="17"/>
  <c r="Y449" i="17"/>
  <c r="Y448" i="17"/>
  <c r="Y447" i="17"/>
  <c r="Y446" i="17"/>
  <c r="Y445" i="17"/>
  <c r="Y443" i="17"/>
  <c r="Y441" i="17"/>
  <c r="Y440" i="17"/>
  <c r="Y439" i="17"/>
  <c r="Y438" i="17"/>
  <c r="Y437" i="17"/>
  <c r="Y436" i="17"/>
  <c r="Y434" i="17"/>
  <c r="Y431" i="17"/>
  <c r="Y429" i="17"/>
  <c r="Y428" i="17"/>
  <c r="Y426" i="17"/>
  <c r="Y425" i="17"/>
  <c r="Y423" i="17"/>
  <c r="Y421" i="17"/>
  <c r="Y420" i="17"/>
  <c r="Y418" i="17"/>
  <c r="Y417" i="17"/>
  <c r="Y416" i="17"/>
  <c r="Y415" i="17"/>
  <c r="Y414" i="17"/>
  <c r="Y412" i="17"/>
  <c r="Y411" i="17"/>
  <c r="Y405" i="17"/>
  <c r="Y404" i="17"/>
  <c r="Y403" i="17"/>
  <c r="Y402" i="17"/>
  <c r="Y401" i="17"/>
  <c r="Y400" i="17"/>
  <c r="Y399" i="17"/>
  <c r="Y398" i="17"/>
  <c r="Y397" i="17"/>
  <c r="Y396" i="17"/>
  <c r="Y395" i="17"/>
  <c r="Y394" i="17"/>
  <c r="Y393" i="17"/>
  <c r="Y392" i="17"/>
  <c r="Y391" i="17"/>
  <c r="Y390" i="17"/>
  <c r="Y389" i="17"/>
  <c r="Y387" i="17"/>
  <c r="Y386" i="17"/>
  <c r="Y385" i="17"/>
  <c r="Y384" i="17"/>
  <c r="Y383" i="17"/>
  <c r="Y382" i="17"/>
  <c r="Y381" i="17"/>
  <c r="Y376" i="17"/>
  <c r="Y375" i="17"/>
  <c r="Y374" i="17"/>
  <c r="Y373" i="17"/>
  <c r="Y371" i="17"/>
  <c r="Y369" i="17"/>
  <c r="Y364" i="17"/>
  <c r="Y363" i="17"/>
  <c r="Y361" i="17"/>
  <c r="Y359" i="17"/>
  <c r="Y358" i="17"/>
  <c r="Y356" i="17"/>
  <c r="Y355" i="17"/>
  <c r="Y354" i="17"/>
  <c r="Y353" i="17"/>
  <c r="Y352" i="17"/>
  <c r="Y351" i="17"/>
  <c r="Y350" i="17"/>
  <c r="Y348" i="17"/>
  <c r="Y347" i="17"/>
  <c r="Y346" i="17"/>
  <c r="Y345" i="17"/>
  <c r="Y344" i="17"/>
  <c r="Y343" i="17"/>
  <c r="Y342" i="17"/>
  <c r="Y341" i="17"/>
  <c r="Y340" i="17"/>
  <c r="Y339" i="17"/>
  <c r="Y334" i="17"/>
  <c r="Y333" i="17"/>
  <c r="Y332" i="17"/>
  <c r="Y331" i="17"/>
  <c r="Y326" i="17"/>
  <c r="Y325" i="17"/>
  <c r="Y324" i="17"/>
  <c r="Y323" i="17"/>
  <c r="Y318" i="17"/>
  <c r="Y316" i="17"/>
  <c r="Y315" i="17"/>
  <c r="Y314" i="17"/>
  <c r="Y309" i="17"/>
  <c r="Y308" i="17"/>
  <c r="Y307" i="17"/>
  <c r="Y306" i="17"/>
  <c r="Y305" i="17"/>
  <c r="Y300" i="17"/>
  <c r="Y299" i="17"/>
  <c r="Y297" i="17"/>
  <c r="Y295" i="17"/>
  <c r="Y294" i="17"/>
  <c r="Y293" i="17"/>
  <c r="Y289" i="17"/>
  <c r="Y288" i="17"/>
  <c r="Y287" i="17"/>
  <c r="Y286" i="17"/>
  <c r="Y284" i="17"/>
  <c r="Y283" i="17"/>
  <c r="Y282" i="17"/>
  <c r="Y281" i="17"/>
  <c r="Y279" i="17"/>
  <c r="Y278" i="17"/>
  <c r="Y277" i="17"/>
  <c r="Y276" i="17"/>
  <c r="B270" i="17"/>
  <c r="B269" i="17"/>
  <c r="B268" i="17"/>
  <c r="B267" i="17"/>
  <c r="Y260" i="17"/>
  <c r="Y255" i="17"/>
  <c r="Y254" i="17"/>
  <c r="Y252" i="17"/>
  <c r="Y251" i="17"/>
  <c r="Y250" i="17"/>
  <c r="Y249" i="17"/>
  <c r="Y248" i="17"/>
  <c r="Y247" i="17"/>
  <c r="Y246" i="17"/>
  <c r="Y245" i="17"/>
  <c r="Y244" i="17"/>
  <c r="Y243" i="17"/>
  <c r="Y238" i="17"/>
  <c r="Y237" i="17"/>
  <c r="Y236" i="17"/>
  <c r="Y235" i="17"/>
  <c r="Y232" i="17"/>
  <c r="Y229" i="17"/>
  <c r="Y227" i="17"/>
  <c r="Y226" i="17"/>
  <c r="Y224" i="17"/>
  <c r="Y223" i="17"/>
  <c r="Y222" i="17"/>
  <c r="Y219" i="17"/>
  <c r="Y218" i="17"/>
  <c r="Y217" i="17"/>
  <c r="Y216" i="17"/>
  <c r="Y215" i="17"/>
  <c r="Y210" i="17"/>
  <c r="Y207" i="17"/>
  <c r="Y205" i="17"/>
  <c r="Y204" i="17"/>
  <c r="Y201" i="17"/>
  <c r="Y200" i="17"/>
  <c r="Y194" i="17"/>
  <c r="Y193" i="17"/>
  <c r="Y192" i="17"/>
  <c r="Y191" i="17"/>
  <c r="Y190" i="17"/>
  <c r="Y189" i="17"/>
  <c r="Y184" i="17"/>
  <c r="Y183" i="17"/>
  <c r="Y182" i="17"/>
  <c r="Y181" i="17"/>
  <c r="Y179" i="17"/>
  <c r="Y178" i="17"/>
  <c r="Y177" i="17"/>
  <c r="Y176" i="17"/>
  <c r="Y175" i="17"/>
  <c r="Y172" i="17"/>
  <c r="Y171" i="17"/>
  <c r="Y170" i="17"/>
  <c r="Y169" i="17"/>
  <c r="Y162" i="17"/>
  <c r="Y161" i="17"/>
  <c r="Y160" i="17"/>
  <c r="Y159" i="17"/>
  <c r="Y157" i="17"/>
  <c r="Y149" i="17"/>
  <c r="Y146" i="17"/>
  <c r="Y145" i="17"/>
  <c r="Y144" i="17"/>
  <c r="Y143" i="17"/>
  <c r="Y141" i="17"/>
  <c r="Y138" i="17"/>
  <c r="Y137" i="17"/>
  <c r="Y136" i="17"/>
  <c r="Y135" i="17"/>
  <c r="Y134" i="17"/>
  <c r="Y133" i="17"/>
  <c r="Y128" i="17"/>
  <c r="Y127" i="17"/>
  <c r="Y126" i="17"/>
  <c r="Y125" i="17"/>
  <c r="Y124" i="17"/>
  <c r="Y123" i="17"/>
  <c r="Y122" i="17"/>
  <c r="Y119" i="17"/>
  <c r="Y118" i="17"/>
  <c r="Y115" i="17"/>
  <c r="Y114" i="17"/>
  <c r="Y111" i="17"/>
  <c r="Y99" i="17"/>
  <c r="Y98" i="17"/>
  <c r="Y97" i="17"/>
  <c r="Y96" i="17"/>
  <c r="Y89" i="17"/>
  <c r="Y88" i="17"/>
  <c r="Y86" i="17"/>
  <c r="Y82" i="17"/>
  <c r="Y81" i="17"/>
  <c r="Y80" i="17"/>
  <c r="Y79" i="17"/>
  <c r="Y74" i="17"/>
  <c r="Y68" i="17"/>
  <c r="Y67" i="17"/>
  <c r="Y66" i="17"/>
  <c r="Y65" i="17"/>
  <c r="Y64" i="17"/>
  <c r="Y63" i="17"/>
  <c r="Y62" i="17"/>
  <c r="Y61" i="17"/>
  <c r="Y59" i="17"/>
  <c r="Y58" i="17"/>
  <c r="Y57" i="17"/>
  <c r="Y56" i="17"/>
  <c r="Y49" i="17"/>
  <c r="Y48" i="17"/>
  <c r="Y47" i="17"/>
  <c r="Y46" i="17"/>
  <c r="Y45" i="17"/>
  <c r="Y42" i="17"/>
  <c r="Y33" i="17"/>
  <c r="Y32" i="17"/>
  <c r="Y31" i="17"/>
  <c r="Y30" i="17"/>
  <c r="Y26" i="17"/>
  <c r="Y21" i="17"/>
  <c r="Y20" i="17"/>
  <c r="Y19" i="17"/>
  <c r="Y18" i="17"/>
  <c r="Y17" i="17"/>
  <c r="Y16" i="17"/>
  <c r="Y15" i="17"/>
  <c r="Y14" i="17"/>
  <c r="Y13" i="17"/>
  <c r="Y12" i="17"/>
  <c r="Y10" i="17"/>
  <c r="Y9" i="17"/>
  <c r="Y8" i="17"/>
  <c r="Y7" i="17"/>
  <c r="Y6" i="17"/>
  <c r="Y5" i="17"/>
  <c r="Z2" i="17"/>
  <c r="X2" i="17"/>
  <c r="B2" i="17"/>
  <c r="R25" i="14"/>
  <c r="Q25" i="14"/>
  <c r="R24" i="14"/>
  <c r="Q24" i="14"/>
  <c r="R20" i="14"/>
  <c r="R19" i="14"/>
  <c r="Q19" i="14"/>
  <c r="R10" i="14"/>
  <c r="Q10" i="14"/>
  <c r="R9" i="14"/>
  <c r="Q9" i="14"/>
  <c r="R8" i="14"/>
  <c r="Q8" i="14"/>
  <c r="R7" i="14"/>
  <c r="Q7" i="14"/>
  <c r="R6" i="14"/>
  <c r="Q6" i="14"/>
  <c r="R5" i="14"/>
  <c r="Q5" i="14"/>
  <c r="R4" i="14"/>
  <c r="Q4" i="14"/>
  <c r="B2" i="14"/>
  <c r="P1997" i="12"/>
  <c r="L1997" i="12"/>
  <c r="P1996" i="12"/>
  <c r="L1996" i="12"/>
  <c r="P1995" i="12"/>
  <c r="L1995" i="12"/>
  <c r="P1994" i="12"/>
  <c r="L1994" i="12"/>
  <c r="P1993" i="12"/>
  <c r="L1993" i="12"/>
  <c r="P1992" i="12"/>
  <c r="L1992" i="12"/>
  <c r="P1991" i="12"/>
  <c r="L1991" i="12"/>
  <c r="P1990" i="12"/>
  <c r="L1990" i="12"/>
  <c r="P1989" i="12"/>
  <c r="L1989" i="12"/>
  <c r="P1988" i="12"/>
  <c r="L1988" i="12"/>
  <c r="P1987" i="12"/>
  <c r="L1987" i="12"/>
  <c r="P1986" i="12"/>
  <c r="L1986" i="12"/>
  <c r="P1985" i="12"/>
  <c r="L1985" i="12"/>
  <c r="P1984" i="12"/>
  <c r="L1984" i="12"/>
  <c r="P1983" i="12"/>
  <c r="L1983" i="12"/>
  <c r="P1982" i="12"/>
  <c r="L1982" i="12"/>
  <c r="P1981" i="12"/>
  <c r="L1981" i="12"/>
  <c r="P1980" i="12"/>
  <c r="L1980" i="12"/>
  <c r="P1979" i="12"/>
  <c r="L1979" i="12"/>
  <c r="P1978" i="12"/>
  <c r="L1978" i="12"/>
  <c r="P1977" i="12"/>
  <c r="L1977" i="12"/>
  <c r="P1976" i="12"/>
  <c r="L1976" i="12"/>
  <c r="P1975" i="12"/>
  <c r="L1975" i="12"/>
  <c r="P1974" i="12"/>
  <c r="L1974" i="12"/>
  <c r="P1973" i="12"/>
  <c r="L1973" i="12"/>
  <c r="P1972" i="12"/>
  <c r="L1972" i="12"/>
  <c r="P1971" i="12"/>
  <c r="L1971" i="12"/>
  <c r="P1970" i="12"/>
  <c r="L1970" i="12"/>
  <c r="P1969" i="12"/>
  <c r="L1969" i="12"/>
  <c r="P1968" i="12"/>
  <c r="L1968" i="12"/>
  <c r="P1967" i="12"/>
  <c r="L1967" i="12"/>
  <c r="P1966" i="12"/>
  <c r="L1966" i="12"/>
  <c r="P1965" i="12"/>
  <c r="L1965" i="12"/>
  <c r="P1964" i="12"/>
  <c r="L1964" i="12"/>
  <c r="P1963" i="12"/>
  <c r="L1963" i="12"/>
  <c r="P1962" i="12"/>
  <c r="L1962" i="12"/>
  <c r="P1961" i="12"/>
  <c r="L1961" i="12"/>
  <c r="P1960" i="12"/>
  <c r="L1960" i="12"/>
  <c r="P1959" i="12"/>
  <c r="L1959" i="12"/>
  <c r="P1958" i="12"/>
  <c r="L1958" i="12"/>
  <c r="P1957" i="12"/>
  <c r="L1957" i="12"/>
  <c r="P1956" i="12"/>
  <c r="L1956" i="12"/>
  <c r="P1955" i="12"/>
  <c r="L1955" i="12"/>
  <c r="P1954" i="12"/>
  <c r="L1954" i="12"/>
  <c r="P1953" i="12"/>
  <c r="L1953" i="12"/>
  <c r="P1952" i="12"/>
  <c r="L1952" i="12"/>
  <c r="P1951" i="12"/>
  <c r="L1951" i="12"/>
  <c r="P1950" i="12"/>
  <c r="L1950" i="12"/>
  <c r="P1949" i="12"/>
  <c r="L1949" i="12"/>
  <c r="P1948" i="12"/>
  <c r="L1948" i="12"/>
  <c r="P1947" i="12"/>
  <c r="L1947" i="12"/>
  <c r="P1946" i="12"/>
  <c r="L1946" i="12"/>
  <c r="P1945" i="12"/>
  <c r="L1945" i="12"/>
  <c r="P1944" i="12"/>
  <c r="L1944" i="12"/>
  <c r="P1943" i="12"/>
  <c r="L1943" i="12"/>
  <c r="P1942" i="12"/>
  <c r="L1942" i="12"/>
  <c r="P1941" i="12"/>
  <c r="L1941" i="12"/>
  <c r="P1940" i="12"/>
  <c r="L1940" i="12"/>
  <c r="P1939" i="12"/>
  <c r="L1939" i="12"/>
  <c r="P1938" i="12"/>
  <c r="L1938" i="12"/>
  <c r="P1937" i="12"/>
  <c r="L1937" i="12"/>
  <c r="P1936" i="12"/>
  <c r="L1936" i="12"/>
  <c r="P1935" i="12"/>
  <c r="L1935" i="12"/>
  <c r="P1934" i="12"/>
  <c r="L1934" i="12"/>
  <c r="P1933" i="12"/>
  <c r="L1933" i="12"/>
  <c r="P1932" i="12"/>
  <c r="L1932" i="12"/>
  <c r="P1931" i="12"/>
  <c r="L1931" i="12"/>
  <c r="P1930" i="12"/>
  <c r="L1930" i="12"/>
  <c r="P1929" i="12"/>
  <c r="L1929" i="12"/>
  <c r="P1928" i="12"/>
  <c r="L1928" i="12"/>
  <c r="P1927" i="12"/>
  <c r="L1927" i="12"/>
  <c r="P1926" i="12"/>
  <c r="L1926" i="12"/>
  <c r="P1925" i="12"/>
  <c r="L1925" i="12"/>
  <c r="P1924" i="12"/>
  <c r="L1924" i="12"/>
  <c r="P1923" i="12"/>
  <c r="L1923" i="12"/>
  <c r="P1922" i="12"/>
  <c r="L1922" i="12"/>
  <c r="P1921" i="12"/>
  <c r="L1921" i="12"/>
  <c r="P1920" i="12"/>
  <c r="L1920" i="12"/>
  <c r="P1919" i="12"/>
  <c r="L1919" i="12"/>
  <c r="P1918" i="12"/>
  <c r="L1918" i="12"/>
  <c r="P1917" i="12"/>
  <c r="L1917" i="12"/>
  <c r="P1916" i="12"/>
  <c r="L1916" i="12"/>
  <c r="P1915" i="12"/>
  <c r="L1915" i="12"/>
  <c r="P1914" i="12"/>
  <c r="L1914" i="12"/>
  <c r="P1913" i="12"/>
  <c r="L1913" i="12"/>
  <c r="P1912" i="12"/>
  <c r="L1912" i="12"/>
  <c r="P1911" i="12"/>
  <c r="L1911" i="12"/>
  <c r="P1910" i="12"/>
  <c r="L1910" i="12"/>
  <c r="P1909" i="12"/>
  <c r="L1909" i="12"/>
  <c r="P1908" i="12"/>
  <c r="L1908" i="12"/>
  <c r="P1907" i="12"/>
  <c r="L1907" i="12"/>
  <c r="P1906" i="12"/>
  <c r="L1906" i="12"/>
  <c r="P1905" i="12"/>
  <c r="L1905" i="12"/>
  <c r="P1904" i="12"/>
  <c r="L1904" i="12"/>
  <c r="P1903" i="12"/>
  <c r="L1903" i="12"/>
  <c r="P1902" i="12"/>
  <c r="L1902" i="12"/>
  <c r="P1901" i="12"/>
  <c r="L1901" i="12"/>
  <c r="P1900" i="12"/>
  <c r="L1900" i="12"/>
  <c r="P1899" i="12"/>
  <c r="L1899" i="12"/>
  <c r="P1898" i="12"/>
  <c r="L1898" i="12"/>
  <c r="P1897" i="12"/>
  <c r="L1897" i="12"/>
  <c r="P1896" i="12"/>
  <c r="L1896" i="12"/>
  <c r="P1895" i="12"/>
  <c r="L1895" i="12"/>
  <c r="P1894" i="12"/>
  <c r="L1894" i="12"/>
  <c r="P1893" i="12"/>
  <c r="L1893" i="12"/>
  <c r="P1892" i="12"/>
  <c r="L1892" i="12"/>
  <c r="P1891" i="12"/>
  <c r="L1891" i="12"/>
  <c r="P1890" i="12"/>
  <c r="L1890" i="12"/>
  <c r="P1889" i="12"/>
  <c r="L1889" i="12"/>
  <c r="P1888" i="12"/>
  <c r="L1888" i="12"/>
  <c r="P1887" i="12"/>
  <c r="L1887" i="12"/>
  <c r="P1886" i="12"/>
  <c r="L1886" i="12"/>
  <c r="P1885" i="12"/>
  <c r="L1885" i="12"/>
  <c r="P1884" i="12"/>
  <c r="L1884" i="12"/>
  <c r="P1883" i="12"/>
  <c r="L1883" i="12"/>
  <c r="P1882" i="12"/>
  <c r="L1882" i="12"/>
  <c r="P1881" i="12"/>
  <c r="L1881" i="12"/>
  <c r="P1880" i="12"/>
  <c r="L1880" i="12"/>
  <c r="P1879" i="12"/>
  <c r="L1879" i="12"/>
  <c r="P1878" i="12"/>
  <c r="L1878" i="12"/>
  <c r="P1877" i="12"/>
  <c r="L1877" i="12"/>
  <c r="P1876" i="12"/>
  <c r="L1876" i="12"/>
  <c r="P1875" i="12"/>
  <c r="L1875" i="12"/>
  <c r="P1874" i="12"/>
  <c r="L1874" i="12"/>
  <c r="P1873" i="12"/>
  <c r="L1873" i="12"/>
  <c r="P1872" i="12"/>
  <c r="L1872" i="12"/>
  <c r="P1871" i="12"/>
  <c r="L1871" i="12"/>
  <c r="P1870" i="12"/>
  <c r="L1870" i="12"/>
  <c r="P1869" i="12"/>
  <c r="L1869" i="12"/>
  <c r="P1868" i="12"/>
  <c r="L1868" i="12"/>
  <c r="P1867" i="12"/>
  <c r="L1867" i="12"/>
  <c r="P1866" i="12"/>
  <c r="L1866" i="12"/>
  <c r="P1865" i="12"/>
  <c r="L1865" i="12"/>
  <c r="P1864" i="12"/>
  <c r="L1864" i="12"/>
  <c r="P1863" i="12"/>
  <c r="L1863" i="12"/>
  <c r="P1862" i="12"/>
  <c r="L1862" i="12"/>
  <c r="P1861" i="12"/>
  <c r="L1861" i="12"/>
  <c r="P1860" i="12"/>
  <c r="L1860" i="12"/>
  <c r="P1859" i="12"/>
  <c r="L1859" i="12"/>
  <c r="P1858" i="12"/>
  <c r="L1858" i="12"/>
  <c r="P1857" i="12"/>
  <c r="L1857" i="12"/>
  <c r="P1856" i="12"/>
  <c r="L1856" i="12"/>
  <c r="P1855" i="12"/>
  <c r="L1855" i="12"/>
  <c r="P1854" i="12"/>
  <c r="L1854" i="12"/>
  <c r="P1853" i="12"/>
  <c r="L1853" i="12"/>
  <c r="P1852" i="12"/>
  <c r="L1852" i="12"/>
  <c r="P1851" i="12"/>
  <c r="L1851" i="12"/>
  <c r="P1850" i="12"/>
  <c r="L1850" i="12"/>
  <c r="P1849" i="12"/>
  <c r="L1849" i="12"/>
  <c r="P1848" i="12"/>
  <c r="L1848" i="12"/>
  <c r="P1847" i="12"/>
  <c r="L1847" i="12"/>
  <c r="P1846" i="12"/>
  <c r="L1846" i="12"/>
  <c r="P1845" i="12"/>
  <c r="L1845" i="12"/>
  <c r="P1844" i="12"/>
  <c r="L1844" i="12"/>
  <c r="P1843" i="12"/>
  <c r="L1843" i="12"/>
  <c r="P1842" i="12"/>
  <c r="L1842" i="12"/>
  <c r="P1841" i="12"/>
  <c r="L1841" i="12"/>
  <c r="P1840" i="12"/>
  <c r="L1840" i="12"/>
  <c r="P1839" i="12"/>
  <c r="L1839" i="12"/>
  <c r="P1838" i="12"/>
  <c r="L1838" i="12"/>
  <c r="P1837" i="12"/>
  <c r="L1837" i="12"/>
  <c r="P1836" i="12"/>
  <c r="L1836" i="12"/>
  <c r="P1835" i="12"/>
  <c r="L1835" i="12"/>
  <c r="P1834" i="12"/>
  <c r="L1834" i="12"/>
  <c r="P1833" i="12"/>
  <c r="L1833" i="12"/>
  <c r="P1832" i="12"/>
  <c r="L1832" i="12"/>
  <c r="P1831" i="12"/>
  <c r="L1831" i="12"/>
  <c r="P1830" i="12"/>
  <c r="L1830" i="12"/>
  <c r="P1829" i="12"/>
  <c r="L1829" i="12"/>
  <c r="P1828" i="12"/>
  <c r="L1828" i="12"/>
  <c r="P1827" i="12"/>
  <c r="L1827" i="12"/>
  <c r="P1826" i="12"/>
  <c r="L1826" i="12"/>
  <c r="P1825" i="12"/>
  <c r="L1825" i="12"/>
  <c r="P1824" i="12"/>
  <c r="L1824" i="12"/>
  <c r="P1823" i="12"/>
  <c r="L1823" i="12"/>
  <c r="P1822" i="12"/>
  <c r="L1822" i="12"/>
  <c r="P1821" i="12"/>
  <c r="L1821" i="12"/>
  <c r="P1820" i="12"/>
  <c r="L1820" i="12"/>
  <c r="P1819" i="12"/>
  <c r="L1819" i="12"/>
  <c r="P1818" i="12"/>
  <c r="L1818" i="12"/>
  <c r="P1817" i="12"/>
  <c r="L1817" i="12"/>
  <c r="P1816" i="12"/>
  <c r="L1816" i="12"/>
  <c r="P1815" i="12"/>
  <c r="L1815" i="12"/>
  <c r="P1814" i="12"/>
  <c r="L1814" i="12"/>
  <c r="P1813" i="12"/>
  <c r="L1813" i="12"/>
  <c r="P1812" i="12"/>
  <c r="L1812" i="12"/>
  <c r="P1811" i="12"/>
  <c r="L1811" i="12"/>
  <c r="P1810" i="12"/>
  <c r="L1810" i="12"/>
  <c r="P1809" i="12"/>
  <c r="L1809" i="12"/>
  <c r="P1808" i="12"/>
  <c r="L1808" i="12"/>
  <c r="P1807" i="12"/>
  <c r="L1807" i="12"/>
  <c r="P1806" i="12"/>
  <c r="L1806" i="12"/>
  <c r="P1805" i="12"/>
  <c r="L1805" i="12"/>
  <c r="P1804" i="12"/>
  <c r="L1804" i="12"/>
  <c r="P1803" i="12"/>
  <c r="L1803" i="12"/>
  <c r="P1802" i="12"/>
  <c r="L1802" i="12"/>
  <c r="P1801" i="12"/>
  <c r="L1801" i="12"/>
  <c r="P1800" i="12"/>
  <c r="L1800" i="12"/>
  <c r="P1799" i="12"/>
  <c r="L1799" i="12"/>
  <c r="P1798" i="12"/>
  <c r="L1798" i="12"/>
  <c r="P1797" i="12"/>
  <c r="L1797" i="12"/>
  <c r="P1796" i="12"/>
  <c r="L1796" i="12"/>
  <c r="P1795" i="12"/>
  <c r="L1795" i="12"/>
  <c r="P1794" i="12"/>
  <c r="L1794" i="12"/>
  <c r="P1793" i="12"/>
  <c r="L1793" i="12"/>
  <c r="P1792" i="12"/>
  <c r="L1792" i="12"/>
  <c r="P1791" i="12"/>
  <c r="L1791" i="12"/>
  <c r="P1790" i="12"/>
  <c r="L1790" i="12"/>
  <c r="P1789" i="12"/>
  <c r="L1789" i="12"/>
  <c r="P1788" i="12"/>
  <c r="L1788" i="12"/>
  <c r="P1787" i="12"/>
  <c r="L1787" i="12"/>
  <c r="P1786" i="12"/>
  <c r="L1786" i="12"/>
  <c r="P1785" i="12"/>
  <c r="L1785" i="12"/>
  <c r="P1784" i="12"/>
  <c r="L1784" i="12"/>
  <c r="P1783" i="12"/>
  <c r="L1783" i="12"/>
  <c r="P1782" i="12"/>
  <c r="L1782" i="12"/>
  <c r="P1781" i="12"/>
  <c r="L1781" i="12"/>
  <c r="P1780" i="12"/>
  <c r="L1780" i="12"/>
  <c r="P1779" i="12"/>
  <c r="L1779" i="12"/>
  <c r="P1778" i="12"/>
  <c r="L1778" i="12"/>
  <c r="P1777" i="12"/>
  <c r="L1777" i="12"/>
  <c r="P1776" i="12"/>
  <c r="L1776" i="12"/>
  <c r="P1775" i="12"/>
  <c r="L1775" i="12"/>
  <c r="P1774" i="12"/>
  <c r="L1774" i="12"/>
  <c r="P1773" i="12"/>
  <c r="L1773" i="12"/>
  <c r="P1772" i="12"/>
  <c r="L1772" i="12"/>
  <c r="P1771" i="12"/>
  <c r="L1771" i="12"/>
  <c r="P1770" i="12"/>
  <c r="L1770" i="12"/>
  <c r="P1769" i="12"/>
  <c r="L1769" i="12"/>
  <c r="P1768" i="12"/>
  <c r="L1768" i="12"/>
  <c r="P1767" i="12"/>
  <c r="L1767" i="12"/>
  <c r="P1766" i="12"/>
  <c r="L1766" i="12"/>
  <c r="P1765" i="12"/>
  <c r="L1765" i="12"/>
  <c r="P1764" i="12"/>
  <c r="L1764" i="12"/>
  <c r="P1763" i="12"/>
  <c r="L1763" i="12"/>
  <c r="P1762" i="12"/>
  <c r="L1762" i="12"/>
  <c r="P1761" i="12"/>
  <c r="L1761" i="12"/>
  <c r="P1760" i="12"/>
  <c r="L1760" i="12"/>
  <c r="P1759" i="12"/>
  <c r="L1759" i="12"/>
  <c r="P1758" i="12"/>
  <c r="L1758" i="12"/>
  <c r="P1757" i="12"/>
  <c r="L1757" i="12"/>
  <c r="P1756" i="12"/>
  <c r="L1756" i="12"/>
  <c r="P1755" i="12"/>
  <c r="L1755" i="12"/>
  <c r="P1754" i="12"/>
  <c r="L1754" i="12"/>
  <c r="P1753" i="12"/>
  <c r="L1753" i="12"/>
  <c r="P1752" i="12"/>
  <c r="L1752" i="12"/>
  <c r="P1751" i="12"/>
  <c r="L1751" i="12"/>
  <c r="P1750" i="12"/>
  <c r="L1750" i="12"/>
  <c r="P1749" i="12"/>
  <c r="L1749" i="12"/>
  <c r="P1748" i="12"/>
  <c r="L1748" i="12"/>
  <c r="P1747" i="12"/>
  <c r="L1747" i="12"/>
  <c r="P1746" i="12"/>
  <c r="L1746" i="12"/>
  <c r="P1745" i="12"/>
  <c r="L1745" i="12"/>
  <c r="P1744" i="12"/>
  <c r="L1744" i="12"/>
  <c r="P1743" i="12"/>
  <c r="L1743" i="12"/>
  <c r="P1742" i="12"/>
  <c r="L1742" i="12"/>
  <c r="P1741" i="12"/>
  <c r="L1741" i="12"/>
  <c r="P1740" i="12"/>
  <c r="L1740" i="12"/>
  <c r="P1739" i="12"/>
  <c r="L1739" i="12"/>
  <c r="P1738" i="12"/>
  <c r="L1738" i="12"/>
  <c r="P1737" i="12"/>
  <c r="L1737" i="12"/>
  <c r="P1736" i="12"/>
  <c r="L1736" i="12"/>
  <c r="P1735" i="12"/>
  <c r="L1735" i="12"/>
  <c r="P1734" i="12"/>
  <c r="L1734" i="12"/>
  <c r="P1733" i="12"/>
  <c r="L1733" i="12"/>
  <c r="P1732" i="12"/>
  <c r="L1732" i="12"/>
  <c r="P1731" i="12"/>
  <c r="L1731" i="12"/>
  <c r="P1730" i="12"/>
  <c r="L1730" i="12"/>
  <c r="P1729" i="12"/>
  <c r="L1729" i="12"/>
  <c r="P1728" i="12"/>
  <c r="L1728" i="12"/>
  <c r="P1727" i="12"/>
  <c r="L1727" i="12"/>
  <c r="P1726" i="12"/>
  <c r="L1726" i="12"/>
  <c r="P1725" i="12"/>
  <c r="L1725" i="12"/>
  <c r="P1724" i="12"/>
  <c r="L1724" i="12"/>
  <c r="P1723" i="12"/>
  <c r="L1723" i="12"/>
  <c r="P1722" i="12"/>
  <c r="L1722" i="12"/>
  <c r="P1721" i="12"/>
  <c r="L1721" i="12"/>
  <c r="P1720" i="12"/>
  <c r="L1720" i="12"/>
  <c r="P1719" i="12"/>
  <c r="L1719" i="12"/>
  <c r="P1718" i="12"/>
  <c r="L1718" i="12"/>
  <c r="P1717" i="12"/>
  <c r="L1717" i="12"/>
  <c r="P1716" i="12"/>
  <c r="L1716" i="12"/>
  <c r="P1715" i="12"/>
  <c r="L1715" i="12"/>
  <c r="P1714" i="12"/>
  <c r="L1714" i="12"/>
  <c r="P1713" i="12"/>
  <c r="L1713" i="12"/>
  <c r="P1712" i="12"/>
  <c r="L1712" i="12"/>
  <c r="P1711" i="12"/>
  <c r="L1711" i="12"/>
  <c r="P1710" i="12"/>
  <c r="L1710" i="12"/>
  <c r="P1709" i="12"/>
  <c r="L1709" i="12"/>
  <c r="P1708" i="12"/>
  <c r="L1708" i="12"/>
  <c r="P1707" i="12"/>
  <c r="L1707" i="12"/>
  <c r="P1706" i="12"/>
  <c r="L1706" i="12"/>
  <c r="P1705" i="12"/>
  <c r="L1705" i="12"/>
  <c r="P1704" i="12"/>
  <c r="L1704" i="12"/>
  <c r="P1703" i="12"/>
  <c r="L1703" i="12"/>
  <c r="P1702" i="12"/>
  <c r="L1702" i="12"/>
  <c r="P1701" i="12"/>
  <c r="L1701" i="12"/>
  <c r="P1700" i="12"/>
  <c r="L1700" i="12"/>
  <c r="P1699" i="12"/>
  <c r="L1699" i="12"/>
  <c r="P1698" i="12"/>
  <c r="L1698" i="12"/>
  <c r="P1697" i="12"/>
  <c r="L1697" i="12"/>
  <c r="P1696" i="12"/>
  <c r="L1696" i="12"/>
  <c r="P1695" i="12"/>
  <c r="L1695" i="12"/>
  <c r="P1694" i="12"/>
  <c r="L1694" i="12"/>
  <c r="P1693" i="12"/>
  <c r="L1693" i="12"/>
  <c r="P1692" i="12"/>
  <c r="L1692" i="12"/>
  <c r="P1691" i="12"/>
  <c r="L1691" i="12"/>
  <c r="P1690" i="12"/>
  <c r="L1690" i="12"/>
  <c r="P1689" i="12"/>
  <c r="L1689" i="12"/>
  <c r="P1688" i="12"/>
  <c r="L1688" i="12"/>
  <c r="P1687" i="12"/>
  <c r="L1687" i="12"/>
  <c r="P1686" i="12"/>
  <c r="L1686" i="12"/>
  <c r="P1685" i="12"/>
  <c r="L1685" i="12"/>
  <c r="P1684" i="12"/>
  <c r="L1684" i="12"/>
  <c r="P1683" i="12"/>
  <c r="L1683" i="12"/>
  <c r="P1682" i="12"/>
  <c r="L1682" i="12"/>
  <c r="P1681" i="12"/>
  <c r="L1681" i="12"/>
  <c r="P1680" i="12"/>
  <c r="L1680" i="12"/>
  <c r="P1679" i="12"/>
  <c r="L1679" i="12"/>
  <c r="P1678" i="12"/>
  <c r="L1678" i="12"/>
  <c r="P1677" i="12"/>
  <c r="L1677" i="12"/>
  <c r="P1676" i="12"/>
  <c r="L1676" i="12"/>
  <c r="P1675" i="12"/>
  <c r="L1675" i="12"/>
  <c r="P1674" i="12"/>
  <c r="L1674" i="12"/>
  <c r="P1673" i="12"/>
  <c r="L1673" i="12"/>
  <c r="P1672" i="12"/>
  <c r="L1672" i="12"/>
  <c r="P1671" i="12"/>
  <c r="L1671" i="12"/>
  <c r="P1670" i="12"/>
  <c r="L1670" i="12"/>
  <c r="P1669" i="12"/>
  <c r="L1669" i="12"/>
  <c r="P1668" i="12"/>
  <c r="L1668" i="12"/>
  <c r="P1667" i="12"/>
  <c r="L1667" i="12"/>
  <c r="P1666" i="12"/>
  <c r="L1666" i="12"/>
  <c r="P1665" i="12"/>
  <c r="L1665" i="12"/>
  <c r="P1664" i="12"/>
  <c r="L1664" i="12"/>
  <c r="P1663" i="12"/>
  <c r="L1663" i="12"/>
  <c r="P1662" i="12"/>
  <c r="L1662" i="12"/>
  <c r="P1661" i="12"/>
  <c r="L1661" i="12"/>
  <c r="P1660" i="12"/>
  <c r="L1660" i="12"/>
  <c r="P1659" i="12"/>
  <c r="L1659" i="12"/>
  <c r="P1658" i="12"/>
  <c r="L1658" i="12"/>
  <c r="P1657" i="12"/>
  <c r="L1657" i="12"/>
  <c r="P1656" i="12"/>
  <c r="L1656" i="12"/>
  <c r="P1655" i="12"/>
  <c r="L1655" i="12"/>
  <c r="P1654" i="12"/>
  <c r="L1654" i="12"/>
  <c r="P1653" i="12"/>
  <c r="L1653" i="12"/>
  <c r="P1652" i="12"/>
  <c r="L1652" i="12"/>
  <c r="P1651" i="12"/>
  <c r="L1651" i="12"/>
  <c r="P1650" i="12"/>
  <c r="L1650" i="12"/>
  <c r="P1649" i="12"/>
  <c r="L1649" i="12"/>
  <c r="P1648" i="12"/>
  <c r="L1648" i="12"/>
  <c r="P1647" i="12"/>
  <c r="L1647" i="12"/>
  <c r="P1646" i="12"/>
  <c r="L1646" i="12"/>
  <c r="P1645" i="12"/>
  <c r="L1645" i="12"/>
  <c r="P1644" i="12"/>
  <c r="L1644" i="12"/>
  <c r="P1643" i="12"/>
  <c r="L1643" i="12"/>
  <c r="P1642" i="12"/>
  <c r="L1642" i="12"/>
  <c r="P1641" i="12"/>
  <c r="L1641" i="12"/>
  <c r="P1640" i="12"/>
  <c r="L1640" i="12"/>
  <c r="P1639" i="12"/>
  <c r="L1639" i="12"/>
  <c r="P1638" i="12"/>
  <c r="L1638" i="12"/>
  <c r="P1637" i="12"/>
  <c r="L1637" i="12"/>
  <c r="P1636" i="12"/>
  <c r="L1636" i="12"/>
  <c r="P1635" i="12"/>
  <c r="L1635" i="12"/>
  <c r="P1634" i="12"/>
  <c r="L1634" i="12"/>
  <c r="P1633" i="12"/>
  <c r="L1633" i="12"/>
  <c r="P1632" i="12"/>
  <c r="L1632" i="12"/>
  <c r="P1631" i="12"/>
  <c r="L1631" i="12"/>
  <c r="P1630" i="12"/>
  <c r="L1630" i="12"/>
  <c r="P1629" i="12"/>
  <c r="L1629" i="12"/>
  <c r="P1628" i="12"/>
  <c r="L1628" i="12"/>
  <c r="P1627" i="12"/>
  <c r="L1627" i="12"/>
  <c r="P1626" i="12"/>
  <c r="L1626" i="12"/>
  <c r="P1625" i="12"/>
  <c r="L1625" i="12"/>
  <c r="P1624" i="12"/>
  <c r="L1624" i="12"/>
  <c r="P1623" i="12"/>
  <c r="L1623" i="12"/>
  <c r="P1622" i="12"/>
  <c r="L1622" i="12"/>
  <c r="P1621" i="12"/>
  <c r="L1621" i="12"/>
  <c r="P1620" i="12"/>
  <c r="L1620" i="12"/>
  <c r="P1619" i="12"/>
  <c r="L1619" i="12"/>
  <c r="P1618" i="12"/>
  <c r="L1618" i="12"/>
  <c r="P1617" i="12"/>
  <c r="L1617" i="12"/>
  <c r="P1616" i="12"/>
  <c r="L1616" i="12"/>
  <c r="P1615" i="12"/>
  <c r="L1615" i="12"/>
  <c r="P1614" i="12"/>
  <c r="L1614" i="12"/>
  <c r="P1613" i="12"/>
  <c r="L1613" i="12"/>
  <c r="P1612" i="12"/>
  <c r="L1612" i="12"/>
  <c r="P1611" i="12"/>
  <c r="L1611" i="12"/>
  <c r="P1610" i="12"/>
  <c r="L1610" i="12"/>
  <c r="P1609" i="12"/>
  <c r="L1609" i="12"/>
  <c r="P1608" i="12"/>
  <c r="L1608" i="12"/>
  <c r="P1607" i="12"/>
  <c r="L1607" i="12"/>
  <c r="P1606" i="12"/>
  <c r="L1606" i="12"/>
  <c r="P1605" i="12"/>
  <c r="L1605" i="12"/>
  <c r="P1604" i="12"/>
  <c r="L1604" i="12"/>
  <c r="P1603" i="12"/>
  <c r="L1603" i="12"/>
  <c r="P1602" i="12"/>
  <c r="L1602" i="12"/>
  <c r="P1601" i="12"/>
  <c r="L1601" i="12"/>
  <c r="P1600" i="12"/>
  <c r="L1600" i="12"/>
  <c r="P1599" i="12"/>
  <c r="L1599" i="12"/>
  <c r="P1598" i="12"/>
  <c r="L1598" i="12"/>
  <c r="P1597" i="12"/>
  <c r="L1597" i="12"/>
  <c r="P1596" i="12"/>
  <c r="L1596" i="12"/>
  <c r="P1595" i="12"/>
  <c r="L1595" i="12"/>
  <c r="P1594" i="12"/>
  <c r="L1594" i="12"/>
  <c r="P1593" i="12"/>
  <c r="L1593" i="12"/>
  <c r="P1592" i="12"/>
  <c r="L1592" i="12"/>
  <c r="P1591" i="12"/>
  <c r="L1591" i="12"/>
  <c r="P1590" i="12"/>
  <c r="L1590" i="12"/>
  <c r="P1589" i="12"/>
  <c r="L1589" i="12"/>
  <c r="P1588" i="12"/>
  <c r="L1588" i="12"/>
  <c r="P1587" i="12"/>
  <c r="L1587" i="12"/>
  <c r="P1586" i="12"/>
  <c r="L1586" i="12"/>
  <c r="P1585" i="12"/>
  <c r="L1585" i="12"/>
  <c r="P1584" i="12"/>
  <c r="L1584" i="12"/>
  <c r="P1583" i="12"/>
  <c r="L1583" i="12"/>
  <c r="P1582" i="12"/>
  <c r="L1582" i="12"/>
  <c r="P1581" i="12"/>
  <c r="L1581" i="12"/>
  <c r="P1580" i="12"/>
  <c r="L1580" i="12"/>
  <c r="P1579" i="12"/>
  <c r="L1579" i="12"/>
  <c r="P1578" i="12"/>
  <c r="L1578" i="12"/>
  <c r="P1577" i="12"/>
  <c r="L1577" i="12"/>
  <c r="P1576" i="12"/>
  <c r="L1576" i="12"/>
  <c r="P1575" i="12"/>
  <c r="L1575" i="12"/>
  <c r="P1574" i="12"/>
  <c r="L1574" i="12"/>
  <c r="P1573" i="12"/>
  <c r="L1573" i="12"/>
  <c r="P1572" i="12"/>
  <c r="L1572" i="12"/>
  <c r="P1571" i="12"/>
  <c r="L1571" i="12"/>
  <c r="P1570" i="12"/>
  <c r="L1570" i="12"/>
  <c r="P1569" i="12"/>
  <c r="L1569" i="12"/>
  <c r="P1568" i="12"/>
  <c r="L1568" i="12"/>
  <c r="P1567" i="12"/>
  <c r="L1567" i="12"/>
  <c r="P1566" i="12"/>
  <c r="L1566" i="12"/>
  <c r="P1565" i="12"/>
  <c r="L1565" i="12"/>
  <c r="P1564" i="12"/>
  <c r="L1564" i="12"/>
  <c r="P1563" i="12"/>
  <c r="L1563" i="12"/>
  <c r="P1562" i="12"/>
  <c r="L1562" i="12"/>
  <c r="P1561" i="12"/>
  <c r="L1561" i="12"/>
  <c r="P1560" i="12"/>
  <c r="L1560" i="12"/>
  <c r="P1559" i="12"/>
  <c r="L1559" i="12"/>
  <c r="P1558" i="12"/>
  <c r="L1558" i="12"/>
  <c r="P1557" i="12"/>
  <c r="L1557" i="12"/>
  <c r="P1556" i="12"/>
  <c r="L1556" i="12"/>
  <c r="P1555" i="12"/>
  <c r="L1555" i="12"/>
  <c r="P1554" i="12"/>
  <c r="L1554" i="12"/>
  <c r="P1553" i="12"/>
  <c r="L1553" i="12"/>
  <c r="P1552" i="12"/>
  <c r="L1552" i="12"/>
  <c r="P1551" i="12"/>
  <c r="L1551" i="12"/>
  <c r="P1550" i="12"/>
  <c r="L1550" i="12"/>
  <c r="P1549" i="12"/>
  <c r="L1549" i="12"/>
  <c r="P1548" i="12"/>
  <c r="L1548" i="12"/>
  <c r="P1547" i="12"/>
  <c r="L1547" i="12"/>
  <c r="P1546" i="12"/>
  <c r="L1546" i="12"/>
  <c r="P1545" i="12"/>
  <c r="L1545" i="12"/>
  <c r="P1544" i="12"/>
  <c r="L1544" i="12"/>
  <c r="P1543" i="12"/>
  <c r="L1543" i="12"/>
  <c r="P1542" i="12"/>
  <c r="L1542" i="12"/>
  <c r="P1541" i="12"/>
  <c r="L1541" i="12"/>
  <c r="P1540" i="12"/>
  <c r="L1540" i="12"/>
  <c r="P1539" i="12"/>
  <c r="L1539" i="12"/>
  <c r="P1538" i="12"/>
  <c r="L1538" i="12"/>
  <c r="P1537" i="12"/>
  <c r="L1537" i="12"/>
  <c r="P1536" i="12"/>
  <c r="L1536" i="12"/>
  <c r="P1535" i="12"/>
  <c r="L1535" i="12"/>
  <c r="P1534" i="12"/>
  <c r="L1534" i="12"/>
  <c r="P1533" i="12"/>
  <c r="L1533" i="12"/>
  <c r="P1532" i="12"/>
  <c r="L1532" i="12"/>
  <c r="P1531" i="12"/>
  <c r="L1531" i="12"/>
  <c r="P1530" i="12"/>
  <c r="L1530" i="12"/>
  <c r="P1529" i="12"/>
  <c r="L1529" i="12"/>
  <c r="P1528" i="12"/>
  <c r="L1528" i="12"/>
  <c r="P1527" i="12"/>
  <c r="L1527" i="12"/>
  <c r="P1526" i="12"/>
  <c r="L1526" i="12"/>
  <c r="P1525" i="12"/>
  <c r="L1525" i="12"/>
  <c r="P1524" i="12"/>
  <c r="L1524" i="12"/>
  <c r="P1523" i="12"/>
  <c r="L1523" i="12"/>
  <c r="P1522" i="12"/>
  <c r="L1522" i="12"/>
  <c r="P1521" i="12"/>
  <c r="L1521" i="12"/>
  <c r="P1520" i="12"/>
  <c r="L1520" i="12"/>
  <c r="P1519" i="12"/>
  <c r="L1519" i="12"/>
  <c r="P1518" i="12"/>
  <c r="L1518" i="12"/>
  <c r="P1517" i="12"/>
  <c r="L1517" i="12"/>
  <c r="P1516" i="12"/>
  <c r="L1516" i="12"/>
  <c r="P1515" i="12"/>
  <c r="L1515" i="12"/>
  <c r="P1514" i="12"/>
  <c r="L1514" i="12"/>
  <c r="P1513" i="12"/>
  <c r="L1513" i="12"/>
  <c r="P1512" i="12"/>
  <c r="L1512" i="12"/>
  <c r="P1511" i="12"/>
  <c r="L1511" i="12"/>
  <c r="P1510" i="12"/>
  <c r="L1510" i="12"/>
  <c r="P1509" i="12"/>
  <c r="L1509" i="12"/>
  <c r="P1508" i="12"/>
  <c r="L1508" i="12"/>
  <c r="P1507" i="12"/>
  <c r="L1507" i="12"/>
  <c r="P1506" i="12"/>
  <c r="L1506" i="12"/>
  <c r="P1505" i="12"/>
  <c r="L1505" i="12"/>
  <c r="P1504" i="12"/>
  <c r="L1504" i="12"/>
  <c r="P1503" i="12"/>
  <c r="L1503" i="12"/>
  <c r="P1502" i="12"/>
  <c r="L1502" i="12"/>
  <c r="P1501" i="12"/>
  <c r="L1501" i="12"/>
  <c r="P1500" i="12"/>
  <c r="L1500" i="12"/>
  <c r="P1499" i="12"/>
  <c r="L1499" i="12"/>
  <c r="P1498" i="12"/>
  <c r="L1498" i="12"/>
  <c r="P1497" i="12"/>
  <c r="L1497" i="12"/>
  <c r="P1496" i="12"/>
  <c r="L1496" i="12"/>
  <c r="P1495" i="12"/>
  <c r="L1495" i="12"/>
  <c r="P1494" i="12"/>
  <c r="L1494" i="12"/>
  <c r="P1493" i="12"/>
  <c r="L1493" i="12"/>
  <c r="P1492" i="12"/>
  <c r="L1492" i="12"/>
  <c r="P1491" i="12"/>
  <c r="L1491" i="12"/>
  <c r="P1490" i="12"/>
  <c r="L1490" i="12"/>
  <c r="P1489" i="12"/>
  <c r="L1489" i="12"/>
  <c r="P1488" i="12"/>
  <c r="L1488" i="12"/>
  <c r="P1487" i="12"/>
  <c r="L1487" i="12"/>
  <c r="P1486" i="12"/>
  <c r="L1486" i="12"/>
  <c r="P1485" i="12"/>
  <c r="L1485" i="12"/>
  <c r="P1484" i="12"/>
  <c r="L1484" i="12"/>
  <c r="P1483" i="12"/>
  <c r="L1483" i="12"/>
  <c r="P1482" i="12"/>
  <c r="L1482" i="12"/>
  <c r="P1481" i="12"/>
  <c r="L1481" i="12"/>
  <c r="P1480" i="12"/>
  <c r="L1480" i="12"/>
  <c r="P1479" i="12"/>
  <c r="L1479" i="12"/>
  <c r="P1478" i="12"/>
  <c r="L1478" i="12"/>
  <c r="P1477" i="12"/>
  <c r="L1477" i="12"/>
  <c r="P1476" i="12"/>
  <c r="L1476" i="12"/>
  <c r="P1475" i="12"/>
  <c r="L1475" i="12"/>
  <c r="P1474" i="12"/>
  <c r="L1474" i="12"/>
  <c r="P1473" i="12"/>
  <c r="L1473" i="12"/>
  <c r="P1472" i="12"/>
  <c r="L1472" i="12"/>
  <c r="P1471" i="12"/>
  <c r="L1471" i="12"/>
  <c r="P1470" i="12"/>
  <c r="L1470" i="12"/>
  <c r="P1469" i="12"/>
  <c r="L1469" i="12"/>
  <c r="P1468" i="12"/>
  <c r="L1468" i="12"/>
  <c r="P1467" i="12"/>
  <c r="L1467" i="12"/>
  <c r="P1466" i="12"/>
  <c r="L1466" i="12"/>
  <c r="P1465" i="12"/>
  <c r="L1465" i="12"/>
  <c r="P1464" i="12"/>
  <c r="L1464" i="12"/>
  <c r="P1463" i="12"/>
  <c r="L1463" i="12"/>
  <c r="P1462" i="12"/>
  <c r="L1462" i="12"/>
  <c r="P1461" i="12"/>
  <c r="L1461" i="12"/>
  <c r="P1460" i="12"/>
  <c r="L1460" i="12"/>
  <c r="P1459" i="12"/>
  <c r="L1459" i="12"/>
  <c r="P1458" i="12"/>
  <c r="L1458" i="12"/>
  <c r="P1457" i="12"/>
  <c r="L1457" i="12"/>
  <c r="P1456" i="12"/>
  <c r="L1456" i="12"/>
  <c r="P1455" i="12"/>
  <c r="L1455" i="12"/>
  <c r="P1454" i="12"/>
  <c r="L1454" i="12"/>
  <c r="P1453" i="12"/>
  <c r="L1453" i="12"/>
  <c r="P1452" i="12"/>
  <c r="L1452" i="12"/>
  <c r="P1451" i="12"/>
  <c r="L1451" i="12"/>
  <c r="P1450" i="12"/>
  <c r="L1450" i="12"/>
  <c r="P1449" i="12"/>
  <c r="L1449" i="12"/>
  <c r="P1448" i="12"/>
  <c r="L1448" i="12"/>
  <c r="P1447" i="12"/>
  <c r="L1447" i="12"/>
  <c r="P1446" i="12"/>
  <c r="L1446" i="12"/>
  <c r="P1445" i="12"/>
  <c r="L1445" i="12"/>
  <c r="P1444" i="12"/>
  <c r="L1444" i="12"/>
  <c r="P1443" i="12"/>
  <c r="L1443" i="12"/>
  <c r="P1442" i="12"/>
  <c r="L1442" i="12"/>
  <c r="P1441" i="12"/>
  <c r="L1441" i="12"/>
  <c r="P1440" i="12"/>
  <c r="L1440" i="12"/>
  <c r="P1439" i="12"/>
  <c r="L1439" i="12"/>
  <c r="P1438" i="12"/>
  <c r="L1438" i="12"/>
  <c r="P1437" i="12"/>
  <c r="L1437" i="12"/>
  <c r="P1436" i="12"/>
  <c r="L1436" i="12"/>
  <c r="P1435" i="12"/>
  <c r="L1435" i="12"/>
  <c r="P1434" i="12"/>
  <c r="L1434" i="12"/>
  <c r="P1433" i="12"/>
  <c r="L1433" i="12"/>
  <c r="P1432" i="12"/>
  <c r="L1432" i="12"/>
  <c r="P1431" i="12"/>
  <c r="L1431" i="12"/>
  <c r="P1430" i="12"/>
  <c r="L1430" i="12"/>
  <c r="P1429" i="12"/>
  <c r="L1429" i="12"/>
  <c r="P1428" i="12"/>
  <c r="L1428" i="12"/>
  <c r="P1427" i="12"/>
  <c r="L1427" i="12"/>
  <c r="P1426" i="12"/>
  <c r="L1426" i="12"/>
  <c r="P1425" i="12"/>
  <c r="L1425" i="12"/>
  <c r="P1424" i="12"/>
  <c r="L1424" i="12"/>
  <c r="P1423" i="12"/>
  <c r="L1423" i="12"/>
  <c r="P1422" i="12"/>
  <c r="L1422" i="12"/>
  <c r="P1421" i="12"/>
  <c r="L1421" i="12"/>
  <c r="P1420" i="12"/>
  <c r="L1420" i="12"/>
  <c r="P1419" i="12"/>
  <c r="L1419" i="12"/>
  <c r="P1418" i="12"/>
  <c r="L1418" i="12"/>
  <c r="P1417" i="12"/>
  <c r="L1417" i="12"/>
  <c r="P1416" i="12"/>
  <c r="L1416" i="12"/>
  <c r="P1415" i="12"/>
  <c r="L1415" i="12"/>
  <c r="P1414" i="12"/>
  <c r="L1414" i="12"/>
  <c r="P1413" i="12"/>
  <c r="L1413" i="12"/>
  <c r="P1412" i="12"/>
  <c r="L1412" i="12"/>
  <c r="P1411" i="12"/>
  <c r="L1411" i="12"/>
  <c r="P1410" i="12"/>
  <c r="L1410" i="12"/>
  <c r="P1409" i="12"/>
  <c r="L1409" i="12"/>
  <c r="P1408" i="12"/>
  <c r="L1408" i="12"/>
  <c r="P1407" i="12"/>
  <c r="L1407" i="12"/>
  <c r="P1406" i="12"/>
  <c r="L1406" i="12"/>
  <c r="P1405" i="12"/>
  <c r="L1405" i="12"/>
  <c r="P1404" i="12"/>
  <c r="L1404" i="12"/>
  <c r="P1403" i="12"/>
  <c r="L1403" i="12"/>
  <c r="P1402" i="12"/>
  <c r="L1402" i="12"/>
  <c r="P1401" i="12"/>
  <c r="L1401" i="12"/>
  <c r="P1400" i="12"/>
  <c r="L1400" i="12"/>
  <c r="P1399" i="12"/>
  <c r="L1399" i="12"/>
  <c r="P1398" i="12"/>
  <c r="L1398" i="12"/>
  <c r="P1397" i="12"/>
  <c r="L1397" i="12"/>
  <c r="P1396" i="12"/>
  <c r="L1396" i="12"/>
  <c r="P1395" i="12"/>
  <c r="L1395" i="12"/>
  <c r="P1394" i="12"/>
  <c r="L1394" i="12"/>
  <c r="P1393" i="12"/>
  <c r="L1393" i="12"/>
  <c r="P1392" i="12"/>
  <c r="L1392" i="12"/>
  <c r="P1391" i="12"/>
  <c r="L1391" i="12"/>
  <c r="P1390" i="12"/>
  <c r="L1390" i="12"/>
  <c r="P1389" i="12"/>
  <c r="L1389" i="12"/>
  <c r="P1388" i="12"/>
  <c r="L1388" i="12"/>
  <c r="P1387" i="12"/>
  <c r="L1387" i="12"/>
  <c r="P1386" i="12"/>
  <c r="L1386" i="12"/>
  <c r="P1385" i="12"/>
  <c r="L1385" i="12"/>
  <c r="P1384" i="12"/>
  <c r="L1384" i="12"/>
  <c r="P1383" i="12"/>
  <c r="L1383" i="12"/>
  <c r="P1382" i="12"/>
  <c r="L1382" i="12"/>
  <c r="P1381" i="12"/>
  <c r="L1381" i="12"/>
  <c r="P1380" i="12"/>
  <c r="L1380" i="12"/>
  <c r="P1379" i="12"/>
  <c r="L1379" i="12"/>
  <c r="P1378" i="12"/>
  <c r="L1378" i="12"/>
  <c r="P1377" i="12"/>
  <c r="L1377" i="12"/>
  <c r="P1376" i="12"/>
  <c r="L1376" i="12"/>
  <c r="P1375" i="12"/>
  <c r="L1375" i="12"/>
  <c r="P1374" i="12"/>
  <c r="L1374" i="12"/>
  <c r="P1373" i="12"/>
  <c r="L1373" i="12"/>
  <c r="P1372" i="12"/>
  <c r="L1372" i="12"/>
  <c r="P1371" i="12"/>
  <c r="L1371" i="12"/>
  <c r="P1370" i="12"/>
  <c r="L1370" i="12"/>
  <c r="P1369" i="12"/>
  <c r="L1369" i="12"/>
  <c r="P1368" i="12"/>
  <c r="L1368" i="12"/>
  <c r="P1367" i="12"/>
  <c r="L1367" i="12"/>
  <c r="P1366" i="12"/>
  <c r="L1366" i="12"/>
  <c r="P1365" i="12"/>
  <c r="L1365" i="12"/>
  <c r="P1364" i="12"/>
  <c r="L1364" i="12"/>
  <c r="P1363" i="12"/>
  <c r="L1363" i="12"/>
  <c r="P1362" i="12"/>
  <c r="L1362" i="12"/>
  <c r="P1361" i="12"/>
  <c r="L1361" i="12"/>
  <c r="P1360" i="12"/>
  <c r="L1360" i="12"/>
  <c r="P1359" i="12"/>
  <c r="L1359" i="12"/>
  <c r="P1358" i="12"/>
  <c r="L1358" i="12"/>
  <c r="P1357" i="12"/>
  <c r="L1357" i="12"/>
  <c r="P1356" i="12"/>
  <c r="L1356" i="12"/>
  <c r="P1355" i="12"/>
  <c r="L1355" i="12"/>
  <c r="P1354" i="12"/>
  <c r="L1354" i="12"/>
  <c r="P1353" i="12"/>
  <c r="L1353" i="12"/>
  <c r="P1352" i="12"/>
  <c r="L1352" i="12"/>
  <c r="P1351" i="12"/>
  <c r="L1351" i="12"/>
  <c r="P1350" i="12"/>
  <c r="L1350" i="12"/>
  <c r="P1349" i="12"/>
  <c r="L1349" i="12"/>
  <c r="P1348" i="12"/>
  <c r="L1348" i="12"/>
  <c r="P1347" i="12"/>
  <c r="L1347" i="12"/>
  <c r="P1346" i="12"/>
  <c r="L1346" i="12"/>
  <c r="P1345" i="12"/>
  <c r="L1345" i="12"/>
  <c r="P1344" i="12"/>
  <c r="L1344" i="12"/>
  <c r="P1343" i="12"/>
  <c r="L1343" i="12"/>
  <c r="P1342" i="12"/>
  <c r="L1342" i="12"/>
  <c r="P1341" i="12"/>
  <c r="L1341" i="12"/>
  <c r="P1340" i="12"/>
  <c r="L1340" i="12"/>
  <c r="P1339" i="12"/>
  <c r="L1339" i="12"/>
  <c r="P1338" i="12"/>
  <c r="L1338" i="12"/>
  <c r="P1337" i="12"/>
  <c r="L1337" i="12"/>
  <c r="P1336" i="12"/>
  <c r="L1336" i="12"/>
  <c r="P1335" i="12"/>
  <c r="L1335" i="12"/>
  <c r="P1334" i="12"/>
  <c r="L1334" i="12"/>
  <c r="P1333" i="12"/>
  <c r="L1333" i="12"/>
  <c r="P1332" i="12"/>
  <c r="L1332" i="12"/>
  <c r="P1331" i="12"/>
  <c r="L1331" i="12"/>
  <c r="P1330" i="12"/>
  <c r="L1330" i="12"/>
  <c r="P1329" i="12"/>
  <c r="L1329" i="12"/>
  <c r="P1328" i="12"/>
  <c r="L1328" i="12"/>
  <c r="P1327" i="12"/>
  <c r="L1327" i="12"/>
  <c r="P1326" i="12"/>
  <c r="L1326" i="12"/>
  <c r="P1325" i="12"/>
  <c r="L1325" i="12"/>
  <c r="P1324" i="12"/>
  <c r="L1324" i="12"/>
  <c r="P1323" i="12"/>
  <c r="L1323" i="12"/>
  <c r="P1322" i="12"/>
  <c r="L1322" i="12"/>
  <c r="P1321" i="12"/>
  <c r="L1321" i="12"/>
  <c r="P1320" i="12"/>
  <c r="L1320" i="12"/>
  <c r="P1319" i="12"/>
  <c r="L1319" i="12"/>
  <c r="P1318" i="12"/>
  <c r="L1318" i="12"/>
  <c r="P1317" i="12"/>
  <c r="L1317" i="12"/>
  <c r="P1316" i="12"/>
  <c r="L1316" i="12"/>
  <c r="P1315" i="12"/>
  <c r="L1315" i="12"/>
  <c r="P1314" i="12"/>
  <c r="L1314" i="12"/>
  <c r="P1313" i="12"/>
  <c r="L1313" i="12"/>
  <c r="P1312" i="12"/>
  <c r="L1312" i="12"/>
  <c r="P1311" i="12"/>
  <c r="L1311" i="12"/>
  <c r="P1310" i="12"/>
  <c r="L1310" i="12"/>
  <c r="P1309" i="12"/>
  <c r="L1309" i="12"/>
  <c r="P1308" i="12"/>
  <c r="L1308" i="12"/>
  <c r="P1307" i="12"/>
  <c r="L1307" i="12"/>
  <c r="P1306" i="12"/>
  <c r="L1306" i="12"/>
  <c r="P1305" i="12"/>
  <c r="L1305" i="12"/>
  <c r="P1304" i="12"/>
  <c r="L1304" i="12"/>
  <c r="P1303" i="12"/>
  <c r="L1303" i="12"/>
  <c r="P1302" i="12"/>
  <c r="L1302" i="12"/>
  <c r="P1301" i="12"/>
  <c r="L1301" i="12"/>
  <c r="P1300" i="12"/>
  <c r="L1300" i="12"/>
  <c r="P1299" i="12"/>
  <c r="L1299" i="12"/>
  <c r="P1298" i="12"/>
  <c r="L1298" i="12"/>
  <c r="P1297" i="12"/>
  <c r="L1297" i="12"/>
  <c r="P1296" i="12"/>
  <c r="L1296" i="12"/>
  <c r="P1295" i="12"/>
  <c r="L1295" i="12"/>
  <c r="P1294" i="12"/>
  <c r="L1294" i="12"/>
  <c r="P1293" i="12"/>
  <c r="L1293" i="12"/>
  <c r="P1292" i="12"/>
  <c r="L1292" i="12"/>
  <c r="P1291" i="12"/>
  <c r="L1291" i="12"/>
  <c r="P1290" i="12"/>
  <c r="L1290" i="12"/>
  <c r="P1289" i="12"/>
  <c r="L1289" i="12"/>
  <c r="P1288" i="12"/>
  <c r="L1288" i="12"/>
  <c r="P1287" i="12"/>
  <c r="L1287" i="12"/>
  <c r="P1286" i="12"/>
  <c r="L1286" i="12"/>
  <c r="P1285" i="12"/>
  <c r="L1285" i="12"/>
  <c r="P1284" i="12"/>
  <c r="L1284" i="12"/>
  <c r="P1283" i="12"/>
  <c r="L1283" i="12"/>
  <c r="P1282" i="12"/>
  <c r="L1282" i="12"/>
  <c r="P1281" i="12"/>
  <c r="L1281" i="12"/>
  <c r="P1280" i="12"/>
  <c r="L1280" i="12"/>
  <c r="P1279" i="12"/>
  <c r="L1279" i="12"/>
  <c r="P1278" i="12"/>
  <c r="L1278" i="12"/>
  <c r="P1277" i="12"/>
  <c r="L1277" i="12"/>
  <c r="P1276" i="12"/>
  <c r="L1276" i="12"/>
  <c r="P1275" i="12"/>
  <c r="L1275" i="12"/>
  <c r="P1274" i="12"/>
  <c r="L1274" i="12"/>
  <c r="P1273" i="12"/>
  <c r="L1273" i="12"/>
  <c r="P1272" i="12"/>
  <c r="L1272" i="12"/>
  <c r="P1271" i="12"/>
  <c r="L1271" i="12"/>
  <c r="P1270" i="12"/>
  <c r="L1270" i="12"/>
  <c r="P1269" i="12"/>
  <c r="L1269" i="12"/>
  <c r="P1268" i="12"/>
  <c r="L1268" i="12"/>
  <c r="P1267" i="12"/>
  <c r="L1267" i="12"/>
  <c r="P1266" i="12"/>
  <c r="L1266" i="12"/>
  <c r="P1265" i="12"/>
  <c r="L1265" i="12"/>
  <c r="P1264" i="12"/>
  <c r="L1264" i="12"/>
  <c r="P1263" i="12"/>
  <c r="L1263" i="12"/>
  <c r="P1262" i="12"/>
  <c r="L1262" i="12"/>
  <c r="P1261" i="12"/>
  <c r="L1261" i="12"/>
  <c r="P1260" i="12"/>
  <c r="L1260" i="12"/>
  <c r="P1259" i="12"/>
  <c r="L1259" i="12"/>
  <c r="P1258" i="12"/>
  <c r="L1258" i="12"/>
  <c r="P1257" i="12"/>
  <c r="L1257" i="12"/>
  <c r="P1256" i="12"/>
  <c r="L1256" i="12"/>
  <c r="P1255" i="12"/>
  <c r="L1255" i="12"/>
  <c r="P1254" i="12"/>
  <c r="L1254" i="12"/>
  <c r="P1253" i="12"/>
  <c r="L1253" i="12"/>
  <c r="P1252" i="12"/>
  <c r="L1252" i="12"/>
  <c r="P1251" i="12"/>
  <c r="L1251" i="12"/>
  <c r="P1250" i="12"/>
  <c r="L1250" i="12"/>
  <c r="P1249" i="12"/>
  <c r="L1249" i="12"/>
  <c r="P1248" i="12"/>
  <c r="L1248" i="12"/>
  <c r="P1247" i="12"/>
  <c r="L1247" i="12"/>
  <c r="P1246" i="12"/>
  <c r="L1246" i="12"/>
  <c r="P1245" i="12"/>
  <c r="L1245" i="12"/>
  <c r="P1244" i="12"/>
  <c r="L1244" i="12"/>
  <c r="P1243" i="12"/>
  <c r="L1243" i="12"/>
  <c r="P1242" i="12"/>
  <c r="L1242" i="12"/>
  <c r="P1241" i="12"/>
  <c r="L1241" i="12"/>
  <c r="P1240" i="12"/>
  <c r="L1240" i="12"/>
  <c r="P1239" i="12"/>
  <c r="L1239" i="12"/>
  <c r="P1238" i="12"/>
  <c r="L1238" i="12"/>
  <c r="P1237" i="12"/>
  <c r="L1237" i="12"/>
  <c r="P1236" i="12"/>
  <c r="L1236" i="12"/>
  <c r="P1235" i="12"/>
  <c r="L1235" i="12"/>
  <c r="P1234" i="12"/>
  <c r="L1234" i="12"/>
  <c r="P1233" i="12"/>
  <c r="L1233" i="12"/>
  <c r="P1232" i="12"/>
  <c r="L1232" i="12"/>
  <c r="P1231" i="12"/>
  <c r="L1231" i="12"/>
  <c r="P1230" i="12"/>
  <c r="L1230" i="12"/>
  <c r="P1229" i="12"/>
  <c r="L1229" i="12"/>
  <c r="P1228" i="12"/>
  <c r="L1228" i="12"/>
  <c r="P1227" i="12"/>
  <c r="L1227" i="12"/>
  <c r="P1226" i="12"/>
  <c r="L1226" i="12"/>
  <c r="P1225" i="12"/>
  <c r="L1225" i="12"/>
  <c r="P1224" i="12"/>
  <c r="L1224" i="12"/>
  <c r="P1223" i="12"/>
  <c r="L1223" i="12"/>
  <c r="P1222" i="12"/>
  <c r="L1222" i="12"/>
  <c r="P1221" i="12"/>
  <c r="L1221" i="12"/>
  <c r="P1220" i="12"/>
  <c r="L1220" i="12"/>
  <c r="P1219" i="12"/>
  <c r="L1219" i="12"/>
  <c r="P1218" i="12"/>
  <c r="L1218" i="12"/>
  <c r="P1217" i="12"/>
  <c r="L1217" i="12"/>
  <c r="P1216" i="12"/>
  <c r="L1216" i="12"/>
  <c r="P1215" i="12"/>
  <c r="L1215" i="12"/>
  <c r="P1214" i="12"/>
  <c r="L1214" i="12"/>
  <c r="P1213" i="12"/>
  <c r="L1213" i="12"/>
  <c r="P1212" i="12"/>
  <c r="L1212" i="12"/>
  <c r="P1211" i="12"/>
  <c r="L1211" i="12"/>
  <c r="P1210" i="12"/>
  <c r="L1210" i="12"/>
  <c r="P1209" i="12"/>
  <c r="L1209" i="12"/>
  <c r="P1208" i="12"/>
  <c r="L1208" i="12"/>
  <c r="P1207" i="12"/>
  <c r="L1207" i="12"/>
  <c r="P1206" i="12"/>
  <c r="L1206" i="12"/>
  <c r="P1205" i="12"/>
  <c r="L1205" i="12"/>
  <c r="P1204" i="12"/>
  <c r="L1204" i="12"/>
  <c r="P1203" i="12"/>
  <c r="L1203" i="12"/>
  <c r="P1202" i="12"/>
  <c r="L1202" i="12"/>
  <c r="P1201" i="12"/>
  <c r="L1201" i="12"/>
  <c r="P1200" i="12"/>
  <c r="L1200" i="12"/>
  <c r="P1199" i="12"/>
  <c r="L1199" i="12"/>
  <c r="P1198" i="12"/>
  <c r="L1198" i="12"/>
  <c r="P1197" i="12"/>
  <c r="L1197" i="12"/>
  <c r="P1196" i="12"/>
  <c r="L1196" i="12"/>
  <c r="P1195" i="12"/>
  <c r="L1195" i="12"/>
  <c r="P1194" i="12"/>
  <c r="L1194" i="12"/>
  <c r="P1193" i="12"/>
  <c r="L1193" i="12"/>
  <c r="P1192" i="12"/>
  <c r="L1192" i="12"/>
  <c r="P1191" i="12"/>
  <c r="L1191" i="12"/>
  <c r="P1190" i="12"/>
  <c r="L1190" i="12"/>
  <c r="P1189" i="12"/>
  <c r="L1189" i="12"/>
  <c r="P1188" i="12"/>
  <c r="L1188" i="12"/>
  <c r="P1187" i="12"/>
  <c r="L1187" i="12"/>
  <c r="P1186" i="12"/>
  <c r="L1186" i="12"/>
  <c r="P1185" i="12"/>
  <c r="L1185" i="12"/>
  <c r="P1184" i="12"/>
  <c r="L1184" i="12"/>
  <c r="P1183" i="12"/>
  <c r="L1183" i="12"/>
  <c r="P1182" i="12"/>
  <c r="L1182" i="12"/>
  <c r="P1181" i="12"/>
  <c r="L1181" i="12"/>
  <c r="P1180" i="12"/>
  <c r="L1180" i="12"/>
  <c r="P1179" i="12"/>
  <c r="L1179" i="12"/>
  <c r="P1178" i="12"/>
  <c r="L1178" i="12"/>
  <c r="P1177" i="12"/>
  <c r="L1177" i="12"/>
  <c r="P1176" i="12"/>
  <c r="L1176" i="12"/>
  <c r="P1175" i="12"/>
  <c r="L1175" i="12"/>
  <c r="P1174" i="12"/>
  <c r="L1174" i="12"/>
  <c r="P1173" i="12"/>
  <c r="L1173" i="12"/>
  <c r="P1172" i="12"/>
  <c r="L1172" i="12"/>
  <c r="P1171" i="12"/>
  <c r="L1171" i="12"/>
  <c r="P1170" i="12"/>
  <c r="L1170" i="12"/>
  <c r="P1169" i="12"/>
  <c r="L1169" i="12"/>
  <c r="P1168" i="12"/>
  <c r="L1168" i="12"/>
  <c r="P1167" i="12"/>
  <c r="L1167" i="12"/>
  <c r="P1166" i="12"/>
  <c r="L1166" i="12"/>
  <c r="P1165" i="12"/>
  <c r="L1165" i="12"/>
  <c r="P1164" i="12"/>
  <c r="L1164" i="12"/>
  <c r="P1163" i="12"/>
  <c r="L1163" i="12"/>
  <c r="P1162" i="12"/>
  <c r="L1162" i="12"/>
  <c r="P1161" i="12"/>
  <c r="L1161" i="12"/>
  <c r="P1160" i="12"/>
  <c r="L1160" i="12"/>
  <c r="P1159" i="12"/>
  <c r="L1159" i="12"/>
  <c r="P1158" i="12"/>
  <c r="L1158" i="12"/>
  <c r="P1157" i="12"/>
  <c r="L1157" i="12"/>
  <c r="P1156" i="12"/>
  <c r="L1156" i="12"/>
  <c r="P1155" i="12"/>
  <c r="L1155" i="12"/>
  <c r="P1154" i="12"/>
  <c r="L1154" i="12"/>
  <c r="P1153" i="12"/>
  <c r="L1153" i="12"/>
  <c r="P1152" i="12"/>
  <c r="L1152" i="12"/>
  <c r="P1151" i="12"/>
  <c r="L1151" i="12"/>
  <c r="P1150" i="12"/>
  <c r="L1150" i="12"/>
  <c r="P1149" i="12"/>
  <c r="L1149" i="12"/>
  <c r="P1148" i="12"/>
  <c r="L1148" i="12"/>
  <c r="P1147" i="12"/>
  <c r="L1147" i="12"/>
  <c r="P1146" i="12"/>
  <c r="L1146" i="12"/>
  <c r="P1145" i="12"/>
  <c r="L1145" i="12"/>
  <c r="P1144" i="12"/>
  <c r="L1144" i="12"/>
  <c r="P1143" i="12"/>
  <c r="L1143" i="12"/>
  <c r="P1142" i="12"/>
  <c r="L1142" i="12"/>
  <c r="P1141" i="12"/>
  <c r="L1141" i="12"/>
  <c r="P1140" i="12"/>
  <c r="L1140" i="12"/>
  <c r="P1139" i="12"/>
  <c r="L1139" i="12"/>
  <c r="P1138" i="12"/>
  <c r="L1138" i="12"/>
  <c r="P1137" i="12"/>
  <c r="L1137" i="12"/>
  <c r="P1136" i="12"/>
  <c r="L1136" i="12"/>
  <c r="P1135" i="12"/>
  <c r="L1135" i="12"/>
  <c r="P1134" i="12"/>
  <c r="L1134" i="12"/>
  <c r="P1133" i="12"/>
  <c r="L1133" i="12"/>
  <c r="P1132" i="12"/>
  <c r="L1132" i="12"/>
  <c r="P1131" i="12"/>
  <c r="L1131" i="12"/>
  <c r="P1130" i="12"/>
  <c r="L1130" i="12"/>
  <c r="P1129" i="12"/>
  <c r="L1129" i="12"/>
  <c r="P1128" i="12"/>
  <c r="L1128" i="12"/>
  <c r="P1127" i="12"/>
  <c r="L1127" i="12"/>
  <c r="P1126" i="12"/>
  <c r="L1126" i="12"/>
  <c r="P1125" i="12"/>
  <c r="L1125" i="12"/>
  <c r="P1124" i="12"/>
  <c r="L1124" i="12"/>
  <c r="P1123" i="12"/>
  <c r="L1123" i="12"/>
  <c r="P1122" i="12"/>
  <c r="L1122" i="12"/>
  <c r="P1121" i="12"/>
  <c r="L1121" i="12"/>
  <c r="P1120" i="12"/>
  <c r="L1120" i="12"/>
  <c r="P1119" i="12"/>
  <c r="L1119" i="12"/>
  <c r="P1118" i="12"/>
  <c r="L1118" i="12"/>
  <c r="P1117" i="12"/>
  <c r="L1117" i="12"/>
  <c r="P1116" i="12"/>
  <c r="L1116" i="12"/>
  <c r="P1115" i="12"/>
  <c r="L1115" i="12"/>
  <c r="P1114" i="12"/>
  <c r="L1114" i="12"/>
  <c r="P1113" i="12"/>
  <c r="L1113" i="12"/>
  <c r="P1112" i="12"/>
  <c r="L1112" i="12"/>
  <c r="P1111" i="12"/>
  <c r="L1111" i="12"/>
  <c r="P1110" i="12"/>
  <c r="L1110" i="12"/>
  <c r="P1109" i="12"/>
  <c r="L1109" i="12"/>
  <c r="P1108" i="12"/>
  <c r="L1108" i="12"/>
  <c r="P1107" i="12"/>
  <c r="L1107" i="12"/>
  <c r="P1106" i="12"/>
  <c r="L1106" i="12"/>
  <c r="P1105" i="12"/>
  <c r="L1105" i="12"/>
  <c r="P1104" i="12"/>
  <c r="L1104" i="12"/>
  <c r="P1103" i="12"/>
  <c r="L1103" i="12"/>
  <c r="P1102" i="12"/>
  <c r="L1102" i="12"/>
  <c r="P1101" i="12"/>
  <c r="L1101" i="12"/>
  <c r="P1100" i="12"/>
  <c r="L1100" i="12"/>
  <c r="P1099" i="12"/>
  <c r="L1099" i="12"/>
  <c r="P1098" i="12"/>
  <c r="L1098" i="12"/>
  <c r="P1097" i="12"/>
  <c r="L1097" i="12"/>
  <c r="P1096" i="12"/>
  <c r="L1096" i="12"/>
  <c r="P1095" i="12"/>
  <c r="L1095" i="12"/>
  <c r="P1094" i="12"/>
  <c r="L1094" i="12"/>
  <c r="P1093" i="12"/>
  <c r="L1093" i="12"/>
  <c r="P1092" i="12"/>
  <c r="L1092" i="12"/>
  <c r="P1091" i="12"/>
  <c r="L1091" i="12"/>
  <c r="P1090" i="12"/>
  <c r="L1090" i="12"/>
  <c r="P1089" i="12"/>
  <c r="L1089" i="12"/>
  <c r="P1088" i="12"/>
  <c r="L1088" i="12"/>
  <c r="P1087" i="12"/>
  <c r="L1087" i="12"/>
  <c r="P1086" i="12"/>
  <c r="L1086" i="12"/>
  <c r="P1085" i="12"/>
  <c r="L1085" i="12"/>
  <c r="P1084" i="12"/>
  <c r="L1084" i="12"/>
  <c r="P1083" i="12"/>
  <c r="L1083" i="12"/>
  <c r="P1082" i="12"/>
  <c r="L1082" i="12"/>
  <c r="P1081" i="12"/>
  <c r="L1081" i="12"/>
  <c r="P1080" i="12"/>
  <c r="L1080" i="12"/>
  <c r="P1079" i="12"/>
  <c r="L1079" i="12"/>
  <c r="P1078" i="12"/>
  <c r="L1078" i="12"/>
  <c r="P1077" i="12"/>
  <c r="L1077" i="12"/>
  <c r="P1076" i="12"/>
  <c r="L1076" i="12"/>
  <c r="P1075" i="12"/>
  <c r="L1075" i="12"/>
  <c r="P1074" i="12"/>
  <c r="L1074" i="12"/>
  <c r="P1073" i="12"/>
  <c r="L1073" i="12"/>
  <c r="P1072" i="12"/>
  <c r="L1072" i="12"/>
  <c r="P1071" i="12"/>
  <c r="L1071" i="12"/>
  <c r="P1070" i="12"/>
  <c r="L1070" i="12"/>
  <c r="P1069" i="12"/>
  <c r="L1069" i="12"/>
  <c r="P1068" i="12"/>
  <c r="L1068" i="12"/>
  <c r="P1067" i="12"/>
  <c r="L1067" i="12"/>
  <c r="P1066" i="12"/>
  <c r="L1066" i="12"/>
  <c r="P1065" i="12"/>
  <c r="L1065" i="12"/>
  <c r="P1064" i="12"/>
  <c r="L1064" i="12"/>
  <c r="P1063" i="12"/>
  <c r="L1063" i="12"/>
  <c r="P1062" i="12"/>
  <c r="L1062" i="12"/>
  <c r="P1061" i="12"/>
  <c r="L1061" i="12"/>
  <c r="P1060" i="12"/>
  <c r="L1060" i="12"/>
  <c r="P1059" i="12"/>
  <c r="L1059" i="12"/>
  <c r="P1058" i="12"/>
  <c r="L1058" i="12"/>
  <c r="P1057" i="12"/>
  <c r="L1057" i="12"/>
  <c r="P1056" i="12"/>
  <c r="L1056" i="12"/>
  <c r="P1055" i="12"/>
  <c r="L1055" i="12"/>
  <c r="P1054" i="12"/>
  <c r="L1054" i="12"/>
  <c r="P1053" i="12"/>
  <c r="L1053" i="12"/>
  <c r="P1052" i="12"/>
  <c r="L1052" i="12"/>
  <c r="P1051" i="12"/>
  <c r="L1051" i="12"/>
  <c r="P1050" i="12"/>
  <c r="L1050" i="12"/>
  <c r="P1049" i="12"/>
  <c r="L1049" i="12"/>
  <c r="P1048" i="12"/>
  <c r="L1048" i="12"/>
  <c r="P1047" i="12"/>
  <c r="L1047" i="12"/>
  <c r="P1046" i="12"/>
  <c r="L1046" i="12"/>
  <c r="P1045" i="12"/>
  <c r="L1045" i="12"/>
  <c r="P1044" i="12"/>
  <c r="L1044" i="12"/>
  <c r="P1043" i="12"/>
  <c r="L1043" i="12"/>
  <c r="P1042" i="12"/>
  <c r="L1042" i="12"/>
  <c r="P1041" i="12"/>
  <c r="L1041" i="12"/>
  <c r="P1040" i="12"/>
  <c r="L1040" i="12"/>
  <c r="P1039" i="12"/>
  <c r="L1039" i="12"/>
  <c r="P1038" i="12"/>
  <c r="L1038" i="12"/>
  <c r="P1037" i="12"/>
  <c r="L1037" i="12"/>
  <c r="P1036" i="12"/>
  <c r="L1036" i="12"/>
  <c r="P1035" i="12"/>
  <c r="L1035" i="12"/>
  <c r="P1034" i="12"/>
  <c r="L1034" i="12"/>
  <c r="P1033" i="12"/>
  <c r="L1033" i="12"/>
  <c r="P1032" i="12"/>
  <c r="L1032" i="12"/>
  <c r="P1031" i="12"/>
  <c r="L1031" i="12"/>
  <c r="P1030" i="12"/>
  <c r="L1030" i="12"/>
  <c r="P1029" i="12"/>
  <c r="L1029" i="12"/>
  <c r="P1028" i="12"/>
  <c r="L1028" i="12"/>
  <c r="P1027" i="12"/>
  <c r="L1027" i="12"/>
  <c r="P1026" i="12"/>
  <c r="L1026" i="12"/>
  <c r="P1025" i="12"/>
  <c r="L1025" i="12"/>
  <c r="P1024" i="12"/>
  <c r="L1024" i="12"/>
  <c r="P1023" i="12"/>
  <c r="L1023" i="12"/>
  <c r="P1022" i="12"/>
  <c r="L1022" i="12"/>
  <c r="P1021" i="12"/>
  <c r="L1021" i="12"/>
  <c r="P1020" i="12"/>
  <c r="L1020" i="12"/>
  <c r="P1019" i="12"/>
  <c r="L1019" i="12"/>
  <c r="P1018" i="12"/>
  <c r="L1018" i="12"/>
  <c r="P1017" i="12"/>
  <c r="L1017" i="12"/>
  <c r="P1016" i="12"/>
  <c r="L1016" i="12"/>
  <c r="P1015" i="12"/>
  <c r="L1015" i="12"/>
  <c r="P1014" i="12"/>
  <c r="L1014" i="12"/>
  <c r="P1013" i="12"/>
  <c r="L1013" i="12"/>
  <c r="P1012" i="12"/>
  <c r="L1012" i="12"/>
  <c r="P1011" i="12"/>
  <c r="L1011" i="12"/>
  <c r="P1010" i="12"/>
  <c r="L1010" i="12"/>
  <c r="P1009" i="12"/>
  <c r="L1009" i="12"/>
  <c r="P1008" i="12"/>
  <c r="L1008" i="12"/>
  <c r="P1007" i="12"/>
  <c r="L1007" i="12"/>
  <c r="P1006" i="12"/>
  <c r="L1006" i="12"/>
  <c r="P1005" i="12"/>
  <c r="L1005" i="12"/>
  <c r="P1004" i="12"/>
  <c r="L1004" i="12"/>
  <c r="P1003" i="12"/>
  <c r="L1003" i="12"/>
  <c r="P1002" i="12"/>
  <c r="L1002" i="12"/>
  <c r="P1001" i="12"/>
  <c r="L1001" i="12"/>
  <c r="P1000" i="12"/>
  <c r="L1000" i="12"/>
  <c r="P999" i="12"/>
  <c r="L999" i="12"/>
  <c r="P998" i="12"/>
  <c r="L998" i="12"/>
  <c r="L997" i="12"/>
  <c r="I997" i="12"/>
  <c r="P997" i="12" s="1"/>
  <c r="C997" i="12"/>
  <c r="A997" i="12"/>
  <c r="L996" i="12"/>
  <c r="I996" i="12"/>
  <c r="P996" i="12" s="1"/>
  <c r="C996" i="12"/>
  <c r="A996" i="12"/>
  <c r="P995" i="12"/>
  <c r="L995" i="12"/>
  <c r="I995" i="12"/>
  <c r="C995" i="12"/>
  <c r="A995" i="12"/>
  <c r="P994" i="12"/>
  <c r="L994" i="12"/>
  <c r="I994" i="12"/>
  <c r="C994" i="12"/>
  <c r="A994" i="12"/>
  <c r="L993" i="12"/>
  <c r="I993" i="12"/>
  <c r="P993" i="12" s="1"/>
  <c r="C993" i="12"/>
  <c r="A993" i="12"/>
  <c r="L992" i="12"/>
  <c r="I992" i="12"/>
  <c r="P992" i="12" s="1"/>
  <c r="C992" i="12"/>
  <c r="A992" i="12"/>
  <c r="L991" i="12"/>
  <c r="I991" i="12"/>
  <c r="P991" i="12" s="1"/>
  <c r="C991" i="12"/>
  <c r="A991" i="12"/>
  <c r="L990" i="12"/>
  <c r="I990" i="12"/>
  <c r="P990" i="12" s="1"/>
  <c r="C990" i="12"/>
  <c r="A990" i="12"/>
  <c r="L989" i="12"/>
  <c r="I989" i="12"/>
  <c r="P989" i="12" s="1"/>
  <c r="C989" i="12"/>
  <c r="A989" i="12"/>
  <c r="L988" i="12"/>
  <c r="I988" i="12"/>
  <c r="P988" i="12" s="1"/>
  <c r="C988" i="12"/>
  <c r="A988" i="12"/>
  <c r="L987" i="12"/>
  <c r="I987" i="12"/>
  <c r="P987" i="12" s="1"/>
  <c r="C987" i="12"/>
  <c r="A987" i="12"/>
  <c r="P986" i="12"/>
  <c r="L986" i="12"/>
  <c r="I986" i="12"/>
  <c r="C986" i="12"/>
  <c r="A986" i="12"/>
  <c r="L985" i="12"/>
  <c r="I985" i="12"/>
  <c r="P985" i="12" s="1"/>
  <c r="C985" i="12"/>
  <c r="A985" i="12"/>
  <c r="L984" i="12"/>
  <c r="I984" i="12"/>
  <c r="P984" i="12" s="1"/>
  <c r="C984" i="12"/>
  <c r="A984" i="12"/>
  <c r="L983" i="12"/>
  <c r="I983" i="12"/>
  <c r="P983" i="12" s="1"/>
  <c r="C983" i="12"/>
  <c r="A983" i="12"/>
  <c r="L982" i="12"/>
  <c r="I982" i="12"/>
  <c r="P982" i="12" s="1"/>
  <c r="C982" i="12"/>
  <c r="A982" i="12"/>
  <c r="P981" i="12"/>
  <c r="L981" i="12"/>
  <c r="I981" i="12"/>
  <c r="C981" i="12"/>
  <c r="A981" i="12"/>
  <c r="P980" i="12"/>
  <c r="L980" i="12"/>
  <c r="I980" i="12"/>
  <c r="C980" i="12"/>
  <c r="A980" i="12"/>
  <c r="L979" i="12"/>
  <c r="I979" i="12"/>
  <c r="P979" i="12" s="1"/>
  <c r="C979" i="12"/>
  <c r="A979" i="12"/>
  <c r="L978" i="12"/>
  <c r="I978" i="12"/>
  <c r="P978" i="12" s="1"/>
  <c r="C978" i="12"/>
  <c r="A978" i="12"/>
  <c r="L977" i="12"/>
  <c r="I977" i="12"/>
  <c r="P977" i="12" s="1"/>
  <c r="C977" i="12"/>
  <c r="A977" i="12"/>
  <c r="P976" i="12"/>
  <c r="L976" i="12"/>
  <c r="I976" i="12"/>
  <c r="C976" i="12"/>
  <c r="A976" i="12"/>
  <c r="L975" i="12"/>
  <c r="I975" i="12"/>
  <c r="P975" i="12" s="1"/>
  <c r="C975" i="12"/>
  <c r="A975" i="12"/>
  <c r="P974" i="12"/>
  <c r="L974" i="12"/>
  <c r="I974" i="12"/>
  <c r="C974" i="12"/>
  <c r="A974" i="12"/>
  <c r="L973" i="12"/>
  <c r="I973" i="12"/>
  <c r="P973" i="12" s="1"/>
  <c r="C973" i="12"/>
  <c r="A973" i="12"/>
  <c r="L972" i="12"/>
  <c r="I972" i="12"/>
  <c r="P972" i="12" s="1"/>
  <c r="C972" i="12"/>
  <c r="A972" i="12"/>
  <c r="P971" i="12"/>
  <c r="L971" i="12"/>
  <c r="I971" i="12"/>
  <c r="C971" i="12"/>
  <c r="A971" i="12"/>
  <c r="L970" i="12"/>
  <c r="I970" i="12"/>
  <c r="P970" i="12" s="1"/>
  <c r="C970" i="12"/>
  <c r="A970" i="12"/>
  <c r="L969" i="12"/>
  <c r="I969" i="12"/>
  <c r="P969" i="12" s="1"/>
  <c r="C969" i="12"/>
  <c r="A969" i="12"/>
  <c r="L968" i="12"/>
  <c r="I968" i="12"/>
  <c r="P968" i="12" s="1"/>
  <c r="C968" i="12"/>
  <c r="A968" i="12"/>
  <c r="L967" i="12"/>
  <c r="I967" i="12"/>
  <c r="P967" i="12" s="1"/>
  <c r="C967" i="12"/>
  <c r="A967" i="12"/>
  <c r="L966" i="12"/>
  <c r="I966" i="12"/>
  <c r="P966" i="12" s="1"/>
  <c r="C966" i="12"/>
  <c r="A966" i="12"/>
  <c r="P965" i="12"/>
  <c r="L965" i="12"/>
  <c r="I965" i="12"/>
  <c r="C965" i="12"/>
  <c r="A965" i="12"/>
  <c r="L964" i="12"/>
  <c r="I964" i="12"/>
  <c r="P964" i="12" s="1"/>
  <c r="C964" i="12"/>
  <c r="A964" i="12"/>
  <c r="L963" i="12"/>
  <c r="I963" i="12"/>
  <c r="P963" i="12" s="1"/>
  <c r="C963" i="12"/>
  <c r="A963" i="12"/>
  <c r="L962" i="12"/>
  <c r="I962" i="12"/>
  <c r="P962" i="12" s="1"/>
  <c r="C962" i="12"/>
  <c r="A962" i="12"/>
  <c r="L961" i="12"/>
  <c r="I961" i="12"/>
  <c r="P961" i="12" s="1"/>
  <c r="C961" i="12"/>
  <c r="A961" i="12"/>
  <c r="P960" i="12"/>
  <c r="L960" i="12"/>
  <c r="I960" i="12"/>
  <c r="C960" i="12"/>
  <c r="A960" i="12"/>
  <c r="L959" i="12"/>
  <c r="I959" i="12"/>
  <c r="P959" i="12" s="1"/>
  <c r="C959" i="12"/>
  <c r="A959" i="12"/>
  <c r="P958" i="12"/>
  <c r="L958" i="12"/>
  <c r="I958" i="12"/>
  <c r="C958" i="12"/>
  <c r="A958" i="12"/>
  <c r="L957" i="12"/>
  <c r="I957" i="12"/>
  <c r="P957" i="12" s="1"/>
  <c r="C957" i="12"/>
  <c r="A957" i="12"/>
  <c r="L956" i="12"/>
  <c r="I956" i="12"/>
  <c r="P956" i="12" s="1"/>
  <c r="C956" i="12"/>
  <c r="A956" i="12"/>
  <c r="L955" i="12"/>
  <c r="I955" i="12"/>
  <c r="P955" i="12" s="1"/>
  <c r="C955" i="12"/>
  <c r="A955" i="12"/>
  <c r="L954" i="12"/>
  <c r="I954" i="12"/>
  <c r="P954" i="12" s="1"/>
  <c r="C954" i="12"/>
  <c r="A954" i="12"/>
  <c r="P953" i="12"/>
  <c r="L953" i="12"/>
  <c r="I953" i="12"/>
  <c r="C953" i="12"/>
  <c r="A953" i="12"/>
  <c r="P952" i="12"/>
  <c r="L952" i="12"/>
  <c r="I952" i="12"/>
  <c r="C952" i="12"/>
  <c r="A952" i="12"/>
  <c r="L951" i="12"/>
  <c r="I951" i="12"/>
  <c r="P951" i="12" s="1"/>
  <c r="C951" i="12"/>
  <c r="A951" i="12"/>
  <c r="L950" i="12"/>
  <c r="I950" i="12"/>
  <c r="P950" i="12" s="1"/>
  <c r="C950" i="12"/>
  <c r="A950" i="12"/>
  <c r="L949" i="12"/>
  <c r="I949" i="12"/>
  <c r="P949" i="12" s="1"/>
  <c r="C949" i="12"/>
  <c r="A949" i="12"/>
  <c r="P948" i="12"/>
  <c r="L948" i="12"/>
  <c r="I948" i="12"/>
  <c r="C948" i="12"/>
  <c r="A948" i="12"/>
  <c r="P947" i="12"/>
  <c r="L947" i="12"/>
  <c r="I947" i="12"/>
  <c r="C947" i="12"/>
  <c r="A947" i="12"/>
  <c r="L946" i="12"/>
  <c r="I946" i="12"/>
  <c r="P946" i="12" s="1"/>
  <c r="C946" i="12"/>
  <c r="A946" i="12"/>
  <c r="L945" i="12"/>
  <c r="I945" i="12"/>
  <c r="P945" i="12" s="1"/>
  <c r="C945" i="12"/>
  <c r="A945" i="12"/>
  <c r="L944" i="12"/>
  <c r="I944" i="12"/>
  <c r="P944" i="12" s="1"/>
  <c r="C944" i="12"/>
  <c r="A944" i="12"/>
  <c r="L943" i="12"/>
  <c r="I943" i="12"/>
  <c r="P943" i="12" s="1"/>
  <c r="C943" i="12"/>
  <c r="A943" i="12"/>
  <c r="L942" i="12"/>
  <c r="I942" i="12"/>
  <c r="P942" i="12" s="1"/>
  <c r="C942" i="12"/>
  <c r="A942" i="12"/>
  <c r="L941" i="12"/>
  <c r="I941" i="12"/>
  <c r="P941" i="12" s="1"/>
  <c r="C941" i="12"/>
  <c r="A941" i="12"/>
  <c r="L940" i="12"/>
  <c r="I940" i="12"/>
  <c r="P940" i="12" s="1"/>
  <c r="C940" i="12"/>
  <c r="A940" i="12"/>
  <c r="L939" i="12"/>
  <c r="I939" i="12"/>
  <c r="P939" i="12" s="1"/>
  <c r="C939" i="12"/>
  <c r="A939" i="12"/>
  <c r="L938" i="12"/>
  <c r="I938" i="12"/>
  <c r="P938" i="12" s="1"/>
  <c r="C938" i="12"/>
  <c r="A938" i="12"/>
  <c r="P937" i="12"/>
  <c r="L937" i="12"/>
  <c r="I937" i="12"/>
  <c r="C937" i="12"/>
  <c r="A937" i="12"/>
  <c r="L936" i="12"/>
  <c r="I936" i="12"/>
  <c r="P936" i="12" s="1"/>
  <c r="C936" i="12"/>
  <c r="A936" i="12"/>
  <c r="L935" i="12"/>
  <c r="I935" i="12"/>
  <c r="P935" i="12" s="1"/>
  <c r="C935" i="12"/>
  <c r="A935" i="12"/>
  <c r="L934" i="12"/>
  <c r="I934" i="12"/>
  <c r="P934" i="12" s="1"/>
  <c r="C934" i="12"/>
  <c r="A934" i="12"/>
  <c r="P933" i="12"/>
  <c r="L933" i="12"/>
  <c r="I933" i="12"/>
  <c r="C933" i="12"/>
  <c r="A933" i="12"/>
  <c r="L932" i="12"/>
  <c r="I932" i="12"/>
  <c r="P932" i="12" s="1"/>
  <c r="C932" i="12"/>
  <c r="A932" i="12"/>
  <c r="L931" i="12"/>
  <c r="I931" i="12"/>
  <c r="P931" i="12" s="1"/>
  <c r="C931" i="12"/>
  <c r="A931" i="12"/>
  <c r="P930" i="12"/>
  <c r="L930" i="12"/>
  <c r="I930" i="12"/>
  <c r="C930" i="12"/>
  <c r="A930" i="12"/>
  <c r="L929" i="12"/>
  <c r="I929" i="12"/>
  <c r="P929" i="12" s="1"/>
  <c r="C929" i="12"/>
  <c r="A929" i="12"/>
  <c r="L928" i="12"/>
  <c r="I928" i="12"/>
  <c r="P928" i="12" s="1"/>
  <c r="C928" i="12"/>
  <c r="A928" i="12"/>
  <c r="L927" i="12"/>
  <c r="I927" i="12"/>
  <c r="P927" i="12" s="1"/>
  <c r="C927" i="12"/>
  <c r="A927" i="12"/>
  <c r="L926" i="12"/>
  <c r="I926" i="12"/>
  <c r="P926" i="12" s="1"/>
  <c r="C926" i="12"/>
  <c r="A926" i="12"/>
  <c r="L925" i="12"/>
  <c r="I925" i="12"/>
  <c r="P925" i="12" s="1"/>
  <c r="C925" i="12"/>
  <c r="A925" i="12"/>
  <c r="L924" i="12"/>
  <c r="I924" i="12"/>
  <c r="P924" i="12" s="1"/>
  <c r="C924" i="12"/>
  <c r="A924" i="12"/>
  <c r="P923" i="12"/>
  <c r="L923" i="12"/>
  <c r="I923" i="12"/>
  <c r="C923" i="12"/>
  <c r="A923" i="12"/>
  <c r="L922" i="12"/>
  <c r="I922" i="12"/>
  <c r="P922" i="12" s="1"/>
  <c r="C922" i="12"/>
  <c r="A922" i="12"/>
  <c r="L921" i="12"/>
  <c r="I921" i="12"/>
  <c r="P921" i="12" s="1"/>
  <c r="C921" i="12"/>
  <c r="A921" i="12"/>
  <c r="L920" i="12"/>
  <c r="I920" i="12"/>
  <c r="P920" i="12" s="1"/>
  <c r="C920" i="12"/>
  <c r="A920" i="12"/>
  <c r="P919" i="12"/>
  <c r="L919" i="12"/>
  <c r="I919" i="12"/>
  <c r="C919" i="12"/>
  <c r="A919" i="12"/>
  <c r="L918" i="12"/>
  <c r="I918" i="12"/>
  <c r="P918" i="12" s="1"/>
  <c r="C918" i="12"/>
  <c r="A918" i="12"/>
  <c r="P917" i="12"/>
  <c r="L917" i="12"/>
  <c r="I917" i="12"/>
  <c r="C917" i="12"/>
  <c r="A917" i="12"/>
  <c r="P916" i="12"/>
  <c r="L916" i="12"/>
  <c r="I916" i="12"/>
  <c r="C916" i="12"/>
  <c r="A916" i="12"/>
  <c r="L915" i="12"/>
  <c r="I915" i="12"/>
  <c r="P915" i="12" s="1"/>
  <c r="C915" i="12"/>
  <c r="A915" i="12"/>
  <c r="L914" i="12"/>
  <c r="I914" i="12"/>
  <c r="P914" i="12" s="1"/>
  <c r="C914" i="12"/>
  <c r="A914" i="12"/>
  <c r="L913" i="12"/>
  <c r="I913" i="12"/>
  <c r="P913" i="12" s="1"/>
  <c r="C913" i="12"/>
  <c r="A913" i="12"/>
  <c r="L912" i="12"/>
  <c r="I912" i="12"/>
  <c r="P912" i="12" s="1"/>
  <c r="C912" i="12"/>
  <c r="A912" i="12"/>
  <c r="L911" i="12"/>
  <c r="I911" i="12"/>
  <c r="P911" i="12" s="1"/>
  <c r="C911" i="12"/>
  <c r="A911" i="12"/>
  <c r="L910" i="12"/>
  <c r="I910" i="12"/>
  <c r="P910" i="12" s="1"/>
  <c r="C910" i="12"/>
  <c r="A910" i="12"/>
  <c r="L909" i="12"/>
  <c r="I909" i="12"/>
  <c r="P909" i="12" s="1"/>
  <c r="C909" i="12"/>
  <c r="A909" i="12"/>
  <c r="L908" i="12"/>
  <c r="I908" i="12"/>
  <c r="P908" i="12" s="1"/>
  <c r="C908" i="12"/>
  <c r="A908" i="12"/>
  <c r="P907" i="12"/>
  <c r="L907" i="12"/>
  <c r="I907" i="12"/>
  <c r="C907" i="12"/>
  <c r="A907" i="12"/>
  <c r="P906" i="12"/>
  <c r="L906" i="12"/>
  <c r="I906" i="12"/>
  <c r="C906" i="12"/>
  <c r="A906" i="12"/>
  <c r="L905" i="12"/>
  <c r="I905" i="12"/>
  <c r="P905" i="12" s="1"/>
  <c r="C905" i="12"/>
  <c r="A905" i="12"/>
  <c r="L904" i="12"/>
  <c r="I904" i="12"/>
  <c r="P904" i="12" s="1"/>
  <c r="C904" i="12"/>
  <c r="A904" i="12"/>
  <c r="L903" i="12"/>
  <c r="I903" i="12"/>
  <c r="P903" i="12" s="1"/>
  <c r="C903" i="12"/>
  <c r="A903" i="12"/>
  <c r="L902" i="12"/>
  <c r="I902" i="12"/>
  <c r="P902" i="12" s="1"/>
  <c r="C902" i="12"/>
  <c r="A902" i="12"/>
  <c r="P901" i="12"/>
  <c r="L901" i="12"/>
  <c r="I901" i="12"/>
  <c r="C901" i="12"/>
  <c r="A901" i="12"/>
  <c r="L900" i="12"/>
  <c r="I900" i="12"/>
  <c r="P900" i="12" s="1"/>
  <c r="C900" i="12"/>
  <c r="A900" i="12"/>
  <c r="L899" i="12"/>
  <c r="I899" i="12"/>
  <c r="P899" i="12" s="1"/>
  <c r="C899" i="12"/>
  <c r="A899" i="12"/>
  <c r="P898" i="12"/>
  <c r="L898" i="12"/>
  <c r="I898" i="12"/>
  <c r="C898" i="12"/>
  <c r="A898" i="12"/>
  <c r="L897" i="12"/>
  <c r="I897" i="12"/>
  <c r="P897" i="12" s="1"/>
  <c r="C897" i="12"/>
  <c r="A897" i="12"/>
  <c r="L896" i="12"/>
  <c r="I896" i="12"/>
  <c r="P896" i="12" s="1"/>
  <c r="C896" i="12"/>
  <c r="A896" i="12"/>
  <c r="L895" i="12"/>
  <c r="I895" i="12"/>
  <c r="P895" i="12" s="1"/>
  <c r="C895" i="12"/>
  <c r="A895" i="12"/>
  <c r="P894" i="12"/>
  <c r="L894" i="12"/>
  <c r="I894" i="12"/>
  <c r="C894" i="12"/>
  <c r="A894" i="12"/>
  <c r="L893" i="12"/>
  <c r="I893" i="12"/>
  <c r="P893" i="12" s="1"/>
  <c r="C893" i="12"/>
  <c r="A893" i="12"/>
  <c r="L892" i="12"/>
  <c r="I892" i="12"/>
  <c r="P892" i="12" s="1"/>
  <c r="C892" i="12"/>
  <c r="A892" i="12"/>
  <c r="L891" i="12"/>
  <c r="I891" i="12"/>
  <c r="P891" i="12" s="1"/>
  <c r="C891" i="12"/>
  <c r="A891" i="12"/>
  <c r="L890" i="12"/>
  <c r="I890" i="12"/>
  <c r="P890" i="12" s="1"/>
  <c r="C890" i="12"/>
  <c r="A890" i="12"/>
  <c r="L889" i="12"/>
  <c r="I889" i="12"/>
  <c r="P889" i="12" s="1"/>
  <c r="C889" i="12"/>
  <c r="A889" i="12"/>
  <c r="P888" i="12"/>
  <c r="L888" i="12"/>
  <c r="I888" i="12"/>
  <c r="C888" i="12"/>
  <c r="A888" i="12"/>
  <c r="L887" i="12"/>
  <c r="I887" i="12"/>
  <c r="P887" i="12" s="1"/>
  <c r="C887" i="12"/>
  <c r="A887" i="12"/>
  <c r="L886" i="12"/>
  <c r="I886" i="12"/>
  <c r="P886" i="12" s="1"/>
  <c r="C886" i="12"/>
  <c r="A886" i="12"/>
  <c r="L885" i="12"/>
  <c r="I885" i="12"/>
  <c r="P885" i="12" s="1"/>
  <c r="C885" i="12"/>
  <c r="A885" i="12"/>
  <c r="P884" i="12"/>
  <c r="L884" i="12"/>
  <c r="I884" i="12"/>
  <c r="C884" i="12"/>
  <c r="A884" i="12"/>
  <c r="L883" i="12"/>
  <c r="I883" i="12"/>
  <c r="P883" i="12" s="1"/>
  <c r="C883" i="12"/>
  <c r="A883" i="12"/>
  <c r="L882" i="12"/>
  <c r="I882" i="12"/>
  <c r="P882" i="12" s="1"/>
  <c r="C882" i="12"/>
  <c r="A882" i="12"/>
  <c r="L881" i="12"/>
  <c r="I881" i="12"/>
  <c r="P881" i="12" s="1"/>
  <c r="C881" i="12"/>
  <c r="A881" i="12"/>
  <c r="P880" i="12"/>
  <c r="L880" i="12"/>
  <c r="I880" i="12"/>
  <c r="C880" i="12"/>
  <c r="A880" i="12"/>
  <c r="L879" i="12"/>
  <c r="I879" i="12"/>
  <c r="P879" i="12" s="1"/>
  <c r="C879" i="12"/>
  <c r="A879" i="12"/>
  <c r="L878" i="12"/>
  <c r="I878" i="12"/>
  <c r="P878" i="12" s="1"/>
  <c r="C878" i="12"/>
  <c r="A878" i="12"/>
  <c r="L877" i="12"/>
  <c r="I877" i="12"/>
  <c r="P877" i="12" s="1"/>
  <c r="C877" i="12"/>
  <c r="A877" i="12"/>
  <c r="L876" i="12"/>
  <c r="I876" i="12"/>
  <c r="P876" i="12" s="1"/>
  <c r="C876" i="12"/>
  <c r="A876" i="12"/>
  <c r="L875" i="12"/>
  <c r="I875" i="12"/>
  <c r="P875" i="12" s="1"/>
  <c r="C875" i="12"/>
  <c r="A875" i="12"/>
  <c r="P874" i="12"/>
  <c r="L874" i="12"/>
  <c r="I874" i="12"/>
  <c r="C874" i="12"/>
  <c r="A874" i="12"/>
  <c r="L873" i="12"/>
  <c r="I873" i="12"/>
  <c r="P873" i="12" s="1"/>
  <c r="C873" i="12"/>
  <c r="A873" i="12"/>
  <c r="L872" i="12"/>
  <c r="I872" i="12"/>
  <c r="P872" i="12" s="1"/>
  <c r="C872" i="12"/>
  <c r="A872" i="12"/>
  <c r="L871" i="12"/>
  <c r="I871" i="12"/>
  <c r="P871" i="12" s="1"/>
  <c r="C871" i="12"/>
  <c r="A871" i="12"/>
  <c r="L870" i="12"/>
  <c r="I870" i="12"/>
  <c r="P870" i="12" s="1"/>
  <c r="C870" i="12"/>
  <c r="A870" i="12"/>
  <c r="P869" i="12"/>
  <c r="L869" i="12"/>
  <c r="I869" i="12"/>
  <c r="C869" i="12"/>
  <c r="A869" i="12"/>
  <c r="L868" i="12"/>
  <c r="I868" i="12"/>
  <c r="P868" i="12" s="1"/>
  <c r="C868" i="12"/>
  <c r="A868" i="12"/>
  <c r="P867" i="12"/>
  <c r="L867" i="12"/>
  <c r="I867" i="12"/>
  <c r="C867" i="12"/>
  <c r="A867" i="12"/>
  <c r="L866" i="12"/>
  <c r="I866" i="12"/>
  <c r="P866" i="12" s="1"/>
  <c r="C866" i="12"/>
  <c r="A866" i="12"/>
  <c r="L865" i="12"/>
  <c r="I865" i="12"/>
  <c r="P865" i="12" s="1"/>
  <c r="C865" i="12"/>
  <c r="A865" i="12"/>
  <c r="L864" i="12"/>
  <c r="I864" i="12"/>
  <c r="P864" i="12" s="1"/>
  <c r="C864" i="12"/>
  <c r="A864" i="12"/>
  <c r="L863" i="12"/>
  <c r="I863" i="12"/>
  <c r="P863" i="12" s="1"/>
  <c r="C863" i="12"/>
  <c r="A863" i="12"/>
  <c r="L862" i="12"/>
  <c r="I862" i="12"/>
  <c r="P862" i="12" s="1"/>
  <c r="C862" i="12"/>
  <c r="A862" i="12"/>
  <c r="L861" i="12"/>
  <c r="I861" i="12"/>
  <c r="P861" i="12" s="1"/>
  <c r="C861" i="12"/>
  <c r="A861" i="12"/>
  <c r="L860" i="12"/>
  <c r="I860" i="12"/>
  <c r="P860" i="12" s="1"/>
  <c r="C860" i="12"/>
  <c r="A860" i="12"/>
  <c r="P859" i="12"/>
  <c r="L859" i="12"/>
  <c r="I859" i="12"/>
  <c r="C859" i="12"/>
  <c r="A859" i="12"/>
  <c r="L858" i="12"/>
  <c r="I858" i="12"/>
  <c r="P858" i="12" s="1"/>
  <c r="C858" i="12"/>
  <c r="A858" i="12"/>
  <c r="L857" i="12"/>
  <c r="I857" i="12"/>
  <c r="P857" i="12" s="1"/>
  <c r="C857" i="12"/>
  <c r="A857" i="12"/>
  <c r="L856" i="12"/>
  <c r="I856" i="12"/>
  <c r="P856" i="12" s="1"/>
  <c r="C856" i="12"/>
  <c r="A856" i="12"/>
  <c r="P855" i="12"/>
  <c r="L855" i="12"/>
  <c r="I855" i="12"/>
  <c r="C855" i="12"/>
  <c r="A855" i="12"/>
  <c r="L854" i="12"/>
  <c r="I854" i="12"/>
  <c r="P854" i="12" s="1"/>
  <c r="C854" i="12"/>
  <c r="A854" i="12"/>
  <c r="P853" i="12"/>
  <c r="L853" i="12"/>
  <c r="I853" i="12"/>
  <c r="C853" i="12"/>
  <c r="A853" i="12"/>
  <c r="P852" i="12"/>
  <c r="L852" i="12"/>
  <c r="I852" i="12"/>
  <c r="C852" i="12"/>
  <c r="A852" i="12"/>
  <c r="L851" i="12"/>
  <c r="I851" i="12"/>
  <c r="P851" i="12" s="1"/>
  <c r="C851" i="12"/>
  <c r="A851" i="12"/>
  <c r="L850" i="12"/>
  <c r="I850" i="12"/>
  <c r="P850" i="12" s="1"/>
  <c r="C850" i="12"/>
  <c r="A850" i="12"/>
  <c r="L849" i="12"/>
  <c r="I849" i="12"/>
  <c r="P849" i="12" s="1"/>
  <c r="C849" i="12"/>
  <c r="A849" i="12"/>
  <c r="L848" i="12"/>
  <c r="I848" i="12"/>
  <c r="P848" i="12" s="1"/>
  <c r="C848" i="12"/>
  <c r="A848" i="12"/>
  <c r="P847" i="12"/>
  <c r="L847" i="12"/>
  <c r="I847" i="12"/>
  <c r="C847" i="12"/>
  <c r="A847" i="12"/>
  <c r="P846" i="12"/>
  <c r="L846" i="12"/>
  <c r="I846" i="12"/>
  <c r="C846" i="12"/>
  <c r="A846" i="12"/>
  <c r="L845" i="12"/>
  <c r="I845" i="12"/>
  <c r="P845" i="12" s="1"/>
  <c r="C845" i="12"/>
  <c r="A845" i="12"/>
  <c r="L844" i="12"/>
  <c r="I844" i="12"/>
  <c r="P844" i="12" s="1"/>
  <c r="C844" i="12"/>
  <c r="A844" i="12"/>
  <c r="L843" i="12"/>
  <c r="I843" i="12"/>
  <c r="P843" i="12" s="1"/>
  <c r="C843" i="12"/>
  <c r="A843" i="12"/>
  <c r="L842" i="12"/>
  <c r="I842" i="12"/>
  <c r="P842" i="12" s="1"/>
  <c r="C842" i="12"/>
  <c r="A842" i="12"/>
  <c r="L841" i="12"/>
  <c r="I841" i="12"/>
  <c r="P841" i="12" s="1"/>
  <c r="C841" i="12"/>
  <c r="A841" i="12"/>
  <c r="L840" i="12"/>
  <c r="I840" i="12"/>
  <c r="P840" i="12" s="1"/>
  <c r="C840" i="12"/>
  <c r="A840" i="12"/>
  <c r="L839" i="12"/>
  <c r="I839" i="12"/>
  <c r="P839" i="12" s="1"/>
  <c r="C839" i="12"/>
  <c r="A839" i="12"/>
  <c r="P838" i="12"/>
  <c r="L838" i="12"/>
  <c r="I838" i="12"/>
  <c r="C838" i="12"/>
  <c r="A838" i="12"/>
  <c r="L837" i="12"/>
  <c r="I837" i="12"/>
  <c r="P837" i="12" s="1"/>
  <c r="C837" i="12"/>
  <c r="A837" i="12"/>
  <c r="L836" i="12"/>
  <c r="I836" i="12"/>
  <c r="P836" i="12" s="1"/>
  <c r="C836" i="12"/>
  <c r="A836" i="12"/>
  <c r="L835" i="12"/>
  <c r="I835" i="12"/>
  <c r="P835" i="12" s="1"/>
  <c r="C835" i="12"/>
  <c r="A835" i="12"/>
  <c r="P834" i="12"/>
  <c r="L834" i="12"/>
  <c r="I834" i="12"/>
  <c r="C834" i="12"/>
  <c r="A834" i="12"/>
  <c r="L833" i="12"/>
  <c r="I833" i="12"/>
  <c r="P833" i="12" s="1"/>
  <c r="C833" i="12"/>
  <c r="A833" i="12"/>
  <c r="P832" i="12"/>
  <c r="L832" i="12"/>
  <c r="I832" i="12"/>
  <c r="C832" i="12"/>
  <c r="A832" i="12"/>
  <c r="L831" i="12"/>
  <c r="I831" i="12"/>
  <c r="P831" i="12" s="1"/>
  <c r="C831" i="12"/>
  <c r="A831" i="12"/>
  <c r="L830" i="12"/>
  <c r="I830" i="12"/>
  <c r="P830" i="12" s="1"/>
  <c r="C830" i="12"/>
  <c r="A830" i="12"/>
  <c r="L829" i="12"/>
  <c r="I829" i="12"/>
  <c r="P829" i="12" s="1"/>
  <c r="C829" i="12"/>
  <c r="A829" i="12"/>
  <c r="L828" i="12"/>
  <c r="I828" i="12"/>
  <c r="P828" i="12" s="1"/>
  <c r="C828" i="12"/>
  <c r="A828" i="12"/>
  <c r="L827" i="12"/>
  <c r="I827" i="12"/>
  <c r="P827" i="12" s="1"/>
  <c r="C827" i="12"/>
  <c r="A827" i="12"/>
  <c r="L826" i="12"/>
  <c r="I826" i="12"/>
  <c r="P826" i="12" s="1"/>
  <c r="C826" i="12"/>
  <c r="A826" i="12"/>
  <c r="L825" i="12"/>
  <c r="I825" i="12"/>
  <c r="P825" i="12" s="1"/>
  <c r="C825" i="12"/>
  <c r="A825" i="12"/>
  <c r="P824" i="12"/>
  <c r="L824" i="12"/>
  <c r="I824" i="12"/>
  <c r="C824" i="12"/>
  <c r="A824" i="12"/>
  <c r="L823" i="12"/>
  <c r="I823" i="12"/>
  <c r="P823" i="12" s="1"/>
  <c r="C823" i="12"/>
  <c r="A823" i="12"/>
  <c r="L822" i="12"/>
  <c r="I822" i="12"/>
  <c r="P822" i="12" s="1"/>
  <c r="C822" i="12"/>
  <c r="A822" i="12"/>
  <c r="L821" i="12"/>
  <c r="I821" i="12"/>
  <c r="P821" i="12" s="1"/>
  <c r="C821" i="12"/>
  <c r="A821" i="12"/>
  <c r="P820" i="12"/>
  <c r="L820" i="12"/>
  <c r="I820" i="12"/>
  <c r="C820" i="12"/>
  <c r="A820" i="12"/>
  <c r="P819" i="12"/>
  <c r="L819" i="12"/>
  <c r="I819" i="12"/>
  <c r="C819" i="12"/>
  <c r="A819" i="12"/>
  <c r="L818" i="12"/>
  <c r="I818" i="12"/>
  <c r="P818" i="12" s="1"/>
  <c r="C818" i="12"/>
  <c r="A818" i="12"/>
  <c r="L817" i="12"/>
  <c r="I817" i="12"/>
  <c r="P817" i="12" s="1"/>
  <c r="C817" i="12"/>
  <c r="A817" i="12"/>
  <c r="L816" i="12"/>
  <c r="I816" i="12"/>
  <c r="P816" i="12" s="1"/>
  <c r="C816" i="12"/>
  <c r="A816" i="12"/>
  <c r="L815" i="12"/>
  <c r="I815" i="12"/>
  <c r="P815" i="12" s="1"/>
  <c r="C815" i="12"/>
  <c r="A815" i="12"/>
  <c r="L814" i="12"/>
  <c r="I814" i="12"/>
  <c r="P814" i="12" s="1"/>
  <c r="C814" i="12"/>
  <c r="A814" i="12"/>
  <c r="L813" i="12"/>
  <c r="I813" i="12"/>
  <c r="P813" i="12" s="1"/>
  <c r="C813" i="12"/>
  <c r="A813" i="12"/>
  <c r="L812" i="12"/>
  <c r="I812" i="12"/>
  <c r="P812" i="12" s="1"/>
  <c r="C812" i="12"/>
  <c r="A812" i="12"/>
  <c r="L811" i="12"/>
  <c r="I811" i="12"/>
  <c r="P811" i="12" s="1"/>
  <c r="C811" i="12"/>
  <c r="A811" i="12"/>
  <c r="L810" i="12"/>
  <c r="I810" i="12"/>
  <c r="P810" i="12" s="1"/>
  <c r="C810" i="12"/>
  <c r="A810" i="12"/>
  <c r="P809" i="12"/>
  <c r="L809" i="12"/>
  <c r="I809" i="12"/>
  <c r="C809" i="12"/>
  <c r="A809" i="12"/>
  <c r="L808" i="12"/>
  <c r="I808" i="12"/>
  <c r="P808" i="12" s="1"/>
  <c r="C808" i="12"/>
  <c r="A808" i="12"/>
  <c r="P807" i="12"/>
  <c r="L807" i="12"/>
  <c r="I807" i="12"/>
  <c r="C807" i="12"/>
  <c r="A807" i="12"/>
  <c r="P806" i="12"/>
  <c r="L806" i="12"/>
  <c r="I806" i="12"/>
  <c r="C806" i="12"/>
  <c r="A806" i="12"/>
  <c r="L805" i="12"/>
  <c r="I805" i="12"/>
  <c r="P805" i="12" s="1"/>
  <c r="C805" i="12"/>
  <c r="A805" i="12"/>
  <c r="L804" i="12"/>
  <c r="I804" i="12"/>
  <c r="P804" i="12" s="1"/>
  <c r="C804" i="12"/>
  <c r="A804" i="12"/>
  <c r="L803" i="12"/>
  <c r="I803" i="12"/>
  <c r="P803" i="12" s="1"/>
  <c r="C803" i="12"/>
  <c r="A803" i="12"/>
  <c r="L802" i="12"/>
  <c r="I802" i="12"/>
  <c r="P802" i="12" s="1"/>
  <c r="C802" i="12"/>
  <c r="A802" i="12"/>
  <c r="L801" i="12"/>
  <c r="I801" i="12"/>
  <c r="P801" i="12" s="1"/>
  <c r="C801" i="12"/>
  <c r="A801" i="12"/>
  <c r="L800" i="12"/>
  <c r="I800" i="12"/>
  <c r="P800" i="12" s="1"/>
  <c r="C800" i="12"/>
  <c r="A800" i="12"/>
  <c r="L799" i="12"/>
  <c r="I799" i="12"/>
  <c r="P799" i="12" s="1"/>
  <c r="C799" i="12"/>
  <c r="A799" i="12"/>
  <c r="P798" i="12"/>
  <c r="L798" i="12"/>
  <c r="I798" i="12"/>
  <c r="C798" i="12"/>
  <c r="A798" i="12"/>
  <c r="L797" i="12"/>
  <c r="I797" i="12"/>
  <c r="P797" i="12" s="1"/>
  <c r="C797" i="12"/>
  <c r="A797" i="12"/>
  <c r="L796" i="12"/>
  <c r="I796" i="12"/>
  <c r="P796" i="12" s="1"/>
  <c r="C796" i="12"/>
  <c r="A796" i="12"/>
  <c r="L795" i="12"/>
  <c r="I795" i="12"/>
  <c r="P795" i="12" s="1"/>
  <c r="C795" i="12"/>
  <c r="A795" i="12"/>
  <c r="L794" i="12"/>
  <c r="I794" i="12"/>
  <c r="P794" i="12" s="1"/>
  <c r="C794" i="12"/>
  <c r="A794" i="12"/>
  <c r="L793" i="12"/>
  <c r="I793" i="12"/>
  <c r="P793" i="12" s="1"/>
  <c r="C793" i="12"/>
  <c r="A793" i="12"/>
  <c r="L792" i="12"/>
  <c r="I792" i="12"/>
  <c r="P792" i="12" s="1"/>
  <c r="C792" i="12"/>
  <c r="A792" i="12"/>
  <c r="P791" i="12"/>
  <c r="L791" i="12"/>
  <c r="I791" i="12"/>
  <c r="C791" i="12"/>
  <c r="A791" i="12"/>
  <c r="L790" i="12"/>
  <c r="I790" i="12"/>
  <c r="P790" i="12" s="1"/>
  <c r="C790" i="12"/>
  <c r="A790" i="12"/>
  <c r="L789" i="12"/>
  <c r="I789" i="12"/>
  <c r="P789" i="12" s="1"/>
  <c r="C789" i="12"/>
  <c r="A789" i="12"/>
  <c r="L788" i="12"/>
  <c r="I788" i="12"/>
  <c r="P788" i="12" s="1"/>
  <c r="C788" i="12"/>
  <c r="A788" i="12"/>
  <c r="L787" i="12"/>
  <c r="I787" i="12"/>
  <c r="P787" i="12" s="1"/>
  <c r="C787" i="12"/>
  <c r="A787" i="12"/>
  <c r="L786" i="12"/>
  <c r="I786" i="12"/>
  <c r="P786" i="12" s="1"/>
  <c r="C786" i="12"/>
  <c r="A786" i="12"/>
  <c r="L785" i="12"/>
  <c r="I785" i="12"/>
  <c r="P785" i="12" s="1"/>
  <c r="C785" i="12"/>
  <c r="A785" i="12"/>
  <c r="P784" i="12"/>
  <c r="L784" i="12"/>
  <c r="I784" i="12"/>
  <c r="C784" i="12"/>
  <c r="A784" i="12"/>
  <c r="L783" i="12"/>
  <c r="I783" i="12"/>
  <c r="P783" i="12" s="1"/>
  <c r="C783" i="12"/>
  <c r="A783" i="12"/>
  <c r="L782" i="12"/>
  <c r="I782" i="12"/>
  <c r="P782" i="12" s="1"/>
  <c r="C782" i="12"/>
  <c r="A782" i="12"/>
  <c r="L781" i="12"/>
  <c r="I781" i="12"/>
  <c r="P781" i="12" s="1"/>
  <c r="C781" i="12"/>
  <c r="A781" i="12"/>
  <c r="L780" i="12"/>
  <c r="I780" i="12"/>
  <c r="P780" i="12" s="1"/>
  <c r="C780" i="12"/>
  <c r="A780" i="12"/>
  <c r="L779" i="12"/>
  <c r="I779" i="12"/>
  <c r="P779" i="12" s="1"/>
  <c r="C779" i="12"/>
  <c r="A779" i="12"/>
  <c r="L778" i="12"/>
  <c r="I778" i="12"/>
  <c r="P778" i="12" s="1"/>
  <c r="C778" i="12"/>
  <c r="A778" i="12"/>
  <c r="P777" i="12"/>
  <c r="L777" i="12"/>
  <c r="I777" i="12"/>
  <c r="C777" i="12"/>
  <c r="A777" i="12"/>
  <c r="L776" i="12"/>
  <c r="I776" i="12"/>
  <c r="P776" i="12" s="1"/>
  <c r="C776" i="12"/>
  <c r="A776" i="12"/>
  <c r="P775" i="12"/>
  <c r="L775" i="12"/>
  <c r="I775" i="12"/>
  <c r="C775" i="12"/>
  <c r="A775" i="12"/>
  <c r="L774" i="12"/>
  <c r="I774" i="12"/>
  <c r="P774" i="12" s="1"/>
  <c r="C774" i="12"/>
  <c r="A774" i="12"/>
  <c r="L773" i="12"/>
  <c r="I773" i="12"/>
  <c r="P773" i="12" s="1"/>
  <c r="C773" i="12"/>
  <c r="A773" i="12"/>
  <c r="L772" i="12"/>
  <c r="I772" i="12"/>
  <c r="P772" i="12" s="1"/>
  <c r="C772" i="12"/>
  <c r="A772" i="12"/>
  <c r="P771" i="12"/>
  <c r="L771" i="12"/>
  <c r="I771" i="12"/>
  <c r="C771" i="12"/>
  <c r="A771" i="12"/>
  <c r="L770" i="12"/>
  <c r="I770" i="12"/>
  <c r="P770" i="12" s="1"/>
  <c r="C770" i="12"/>
  <c r="A770" i="12"/>
  <c r="L769" i="12"/>
  <c r="I769" i="12"/>
  <c r="P769" i="12" s="1"/>
  <c r="C769" i="12"/>
  <c r="A769" i="12"/>
  <c r="L768" i="12"/>
  <c r="I768" i="12"/>
  <c r="P768" i="12" s="1"/>
  <c r="C768" i="12"/>
  <c r="A768" i="12"/>
  <c r="L767" i="12"/>
  <c r="I767" i="12"/>
  <c r="P767" i="12" s="1"/>
  <c r="C767" i="12"/>
  <c r="A767" i="12"/>
  <c r="L766" i="12"/>
  <c r="I766" i="12"/>
  <c r="P766" i="12" s="1"/>
  <c r="C766" i="12"/>
  <c r="A766" i="12"/>
  <c r="L765" i="12"/>
  <c r="I765" i="12"/>
  <c r="P765" i="12" s="1"/>
  <c r="C765" i="12"/>
  <c r="A765" i="12"/>
  <c r="P764" i="12"/>
  <c r="L764" i="12"/>
  <c r="I764" i="12"/>
  <c r="C764" i="12"/>
  <c r="A764" i="12"/>
  <c r="P763" i="12"/>
  <c r="L763" i="12"/>
  <c r="I763" i="12"/>
  <c r="C763" i="12"/>
  <c r="A763" i="12"/>
  <c r="L762" i="12"/>
  <c r="I762" i="12"/>
  <c r="P762" i="12" s="1"/>
  <c r="C762" i="12"/>
  <c r="A762" i="12"/>
  <c r="P761" i="12"/>
  <c r="L761" i="12"/>
  <c r="I761" i="12"/>
  <c r="C761" i="12"/>
  <c r="A761" i="12"/>
  <c r="L760" i="12"/>
  <c r="I760" i="12"/>
  <c r="P760" i="12" s="1"/>
  <c r="C760" i="12"/>
  <c r="A760" i="12"/>
  <c r="P759" i="12"/>
  <c r="L759" i="12"/>
  <c r="I759" i="12"/>
  <c r="C759" i="12"/>
  <c r="A759" i="12"/>
  <c r="L758" i="12"/>
  <c r="I758" i="12"/>
  <c r="P758" i="12" s="1"/>
  <c r="C758" i="12"/>
  <c r="A758" i="12"/>
  <c r="P757" i="12"/>
  <c r="L757" i="12"/>
  <c r="I757" i="12"/>
  <c r="C757" i="12"/>
  <c r="A757" i="12"/>
  <c r="L756" i="12"/>
  <c r="I756" i="12"/>
  <c r="P756" i="12" s="1"/>
  <c r="C756" i="12"/>
  <c r="A756" i="12"/>
  <c r="L755" i="12"/>
  <c r="I755" i="12"/>
  <c r="P755" i="12" s="1"/>
  <c r="C755" i="12"/>
  <c r="A755" i="12"/>
  <c r="L754" i="12"/>
  <c r="I754" i="12"/>
  <c r="P754" i="12" s="1"/>
  <c r="C754" i="12"/>
  <c r="A754" i="12"/>
  <c r="L753" i="12"/>
  <c r="I753" i="12"/>
  <c r="P753" i="12" s="1"/>
  <c r="C753" i="12"/>
  <c r="A753" i="12"/>
  <c r="L752" i="12"/>
  <c r="I752" i="12"/>
  <c r="P752" i="12" s="1"/>
  <c r="C752" i="12"/>
  <c r="A752" i="12"/>
  <c r="L751" i="12"/>
  <c r="I751" i="12"/>
  <c r="P751" i="12" s="1"/>
  <c r="C751" i="12"/>
  <c r="A751" i="12"/>
  <c r="P750" i="12"/>
  <c r="L750" i="12"/>
  <c r="I750" i="12"/>
  <c r="C750" i="12"/>
  <c r="A750" i="12"/>
  <c r="L749" i="12"/>
  <c r="I749" i="12"/>
  <c r="P749" i="12" s="1"/>
  <c r="C749" i="12"/>
  <c r="A749" i="12"/>
  <c r="L748" i="12"/>
  <c r="I748" i="12"/>
  <c r="P748" i="12" s="1"/>
  <c r="C748" i="12"/>
  <c r="A748" i="12"/>
  <c r="P747" i="12"/>
  <c r="L747" i="12"/>
  <c r="I747" i="12"/>
  <c r="C747" i="12"/>
  <c r="A747" i="12"/>
  <c r="L746" i="12"/>
  <c r="I746" i="12"/>
  <c r="P746" i="12" s="1"/>
  <c r="C746" i="12"/>
  <c r="A746" i="12"/>
  <c r="L745" i="12"/>
  <c r="I745" i="12"/>
  <c r="P745" i="12" s="1"/>
  <c r="C745" i="12"/>
  <c r="A745" i="12"/>
  <c r="L744" i="12"/>
  <c r="I744" i="12"/>
  <c r="P744" i="12" s="1"/>
  <c r="C744" i="12"/>
  <c r="A744" i="12"/>
  <c r="P743" i="12"/>
  <c r="L743" i="12"/>
  <c r="I743" i="12"/>
  <c r="C743" i="12"/>
  <c r="A743" i="12"/>
  <c r="L742" i="12"/>
  <c r="I742" i="12"/>
  <c r="P742" i="12" s="1"/>
  <c r="C742" i="12"/>
  <c r="A742" i="12"/>
  <c r="P741" i="12"/>
  <c r="L741" i="12"/>
  <c r="I741" i="12"/>
  <c r="C741" i="12"/>
  <c r="A741" i="12"/>
  <c r="L740" i="12"/>
  <c r="I740" i="12"/>
  <c r="P740" i="12" s="1"/>
  <c r="C740" i="12"/>
  <c r="A740" i="12"/>
  <c r="P739" i="12"/>
  <c r="L739" i="12"/>
  <c r="I739" i="12"/>
  <c r="C739" i="12"/>
  <c r="A739" i="12"/>
  <c r="L738" i="12"/>
  <c r="I738" i="12"/>
  <c r="P738" i="12" s="1"/>
  <c r="C738" i="12"/>
  <c r="A738" i="12"/>
  <c r="L737" i="12"/>
  <c r="I737" i="12"/>
  <c r="P737" i="12" s="1"/>
  <c r="C737" i="12"/>
  <c r="A737" i="12"/>
  <c r="L736" i="12"/>
  <c r="I736" i="12"/>
  <c r="P736" i="12" s="1"/>
  <c r="C736" i="12"/>
  <c r="A736" i="12"/>
  <c r="L735" i="12"/>
  <c r="I735" i="12"/>
  <c r="P735" i="12" s="1"/>
  <c r="C735" i="12"/>
  <c r="A735" i="12"/>
  <c r="L734" i="12"/>
  <c r="I734" i="12"/>
  <c r="P734" i="12" s="1"/>
  <c r="C734" i="12"/>
  <c r="A734" i="12"/>
  <c r="L733" i="12"/>
  <c r="I733" i="12"/>
  <c r="P733" i="12" s="1"/>
  <c r="C733" i="12"/>
  <c r="A733" i="12"/>
  <c r="P732" i="12"/>
  <c r="L732" i="12"/>
  <c r="I732" i="12"/>
  <c r="C732" i="12"/>
  <c r="A732" i="12"/>
  <c r="P731" i="12"/>
  <c r="L731" i="12"/>
  <c r="I731" i="12"/>
  <c r="C731" i="12"/>
  <c r="A731" i="12"/>
  <c r="L730" i="12"/>
  <c r="I730" i="12"/>
  <c r="P730" i="12" s="1"/>
  <c r="C730" i="12"/>
  <c r="A730" i="12"/>
  <c r="P729" i="12"/>
  <c r="L729" i="12"/>
  <c r="I729" i="12"/>
  <c r="C729" i="12"/>
  <c r="A729" i="12"/>
  <c r="L728" i="12"/>
  <c r="I728" i="12"/>
  <c r="P728" i="12" s="1"/>
  <c r="C728" i="12"/>
  <c r="A728" i="12"/>
  <c r="P727" i="12"/>
  <c r="L727" i="12"/>
  <c r="I727" i="12"/>
  <c r="C727" i="12"/>
  <c r="A727" i="12"/>
  <c r="L726" i="12"/>
  <c r="I726" i="12"/>
  <c r="P726" i="12" s="1"/>
  <c r="C726" i="12"/>
  <c r="A726" i="12"/>
  <c r="P725" i="12"/>
  <c r="L725" i="12"/>
  <c r="I725" i="12"/>
  <c r="C725" i="12"/>
  <c r="A725" i="12"/>
  <c r="L724" i="12"/>
  <c r="I724" i="12"/>
  <c r="P724" i="12" s="1"/>
  <c r="C724" i="12"/>
  <c r="A724" i="12"/>
  <c r="L723" i="12"/>
  <c r="I723" i="12"/>
  <c r="P723" i="12" s="1"/>
  <c r="C723" i="12"/>
  <c r="A723" i="12"/>
  <c r="L722" i="12"/>
  <c r="I722" i="12"/>
  <c r="P722" i="12" s="1"/>
  <c r="C722" i="12"/>
  <c r="A722" i="12"/>
  <c r="L721" i="12"/>
  <c r="I721" i="12"/>
  <c r="P721" i="12" s="1"/>
  <c r="C721" i="12"/>
  <c r="A721" i="12"/>
  <c r="L720" i="12"/>
  <c r="I720" i="12"/>
  <c r="P720" i="12" s="1"/>
  <c r="C720" i="12"/>
  <c r="A720" i="12"/>
  <c r="L719" i="12"/>
  <c r="I719" i="12"/>
  <c r="P719" i="12" s="1"/>
  <c r="C719" i="12"/>
  <c r="A719" i="12"/>
  <c r="P718" i="12"/>
  <c r="L718" i="12"/>
  <c r="I718" i="12"/>
  <c r="C718" i="12"/>
  <c r="A718" i="12"/>
  <c r="L717" i="12"/>
  <c r="I717" i="12"/>
  <c r="P717" i="12" s="1"/>
  <c r="C717" i="12"/>
  <c r="A717" i="12"/>
  <c r="L716" i="12"/>
  <c r="I716" i="12"/>
  <c r="P716" i="12" s="1"/>
  <c r="C716" i="12"/>
  <c r="A716" i="12"/>
  <c r="L715" i="12"/>
  <c r="I715" i="12"/>
  <c r="P715" i="12" s="1"/>
  <c r="C715" i="12"/>
  <c r="A715" i="12"/>
  <c r="P714" i="12"/>
  <c r="L714" i="12"/>
  <c r="I714" i="12"/>
  <c r="C714" i="12"/>
  <c r="A714" i="12"/>
  <c r="L713" i="12"/>
  <c r="I713" i="12"/>
  <c r="P713" i="12" s="1"/>
  <c r="C713" i="12"/>
  <c r="A713" i="12"/>
  <c r="L712" i="12"/>
  <c r="I712" i="12"/>
  <c r="P712" i="12" s="1"/>
  <c r="C712" i="12"/>
  <c r="A712" i="12"/>
  <c r="P711" i="12"/>
  <c r="L711" i="12"/>
  <c r="I711" i="12"/>
  <c r="C711" i="12"/>
  <c r="A711" i="12"/>
  <c r="L710" i="12"/>
  <c r="I710" i="12"/>
  <c r="P710" i="12" s="1"/>
  <c r="C710" i="12"/>
  <c r="A710" i="12"/>
  <c r="L709" i="12"/>
  <c r="I709" i="12"/>
  <c r="P709" i="12" s="1"/>
  <c r="C709" i="12"/>
  <c r="A709" i="12"/>
  <c r="L708" i="12"/>
  <c r="I708" i="12"/>
  <c r="P708" i="12" s="1"/>
  <c r="C708" i="12"/>
  <c r="A708" i="12"/>
  <c r="L707" i="12"/>
  <c r="I707" i="12"/>
  <c r="P707" i="12" s="1"/>
  <c r="C707" i="12"/>
  <c r="A707" i="12"/>
  <c r="P706" i="12"/>
  <c r="L706" i="12"/>
  <c r="I706" i="12"/>
  <c r="C706" i="12"/>
  <c r="A706" i="12"/>
  <c r="L705" i="12"/>
  <c r="I705" i="12"/>
  <c r="P705" i="12" s="1"/>
  <c r="C705" i="12"/>
  <c r="A705" i="12"/>
  <c r="P704" i="12"/>
  <c r="L704" i="12"/>
  <c r="I704" i="12"/>
  <c r="C704" i="12"/>
  <c r="A704" i="12"/>
  <c r="L703" i="12"/>
  <c r="I703" i="12"/>
  <c r="P703" i="12" s="1"/>
  <c r="C703" i="12"/>
  <c r="A703" i="12"/>
  <c r="L702" i="12"/>
  <c r="I702" i="12"/>
  <c r="P702" i="12" s="1"/>
  <c r="C702" i="12"/>
  <c r="A702" i="12"/>
  <c r="L701" i="12"/>
  <c r="I701" i="12"/>
  <c r="P701" i="12" s="1"/>
  <c r="C701" i="12"/>
  <c r="A701" i="12"/>
  <c r="L700" i="12"/>
  <c r="I700" i="12"/>
  <c r="P700" i="12" s="1"/>
  <c r="C700" i="12"/>
  <c r="A700" i="12"/>
  <c r="L699" i="12"/>
  <c r="I699" i="12"/>
  <c r="P699" i="12" s="1"/>
  <c r="C699" i="12"/>
  <c r="A699" i="12"/>
  <c r="L698" i="12"/>
  <c r="I698" i="12"/>
  <c r="P698" i="12" s="1"/>
  <c r="C698" i="12"/>
  <c r="A698" i="12"/>
  <c r="P697" i="12"/>
  <c r="L697" i="12"/>
  <c r="I697" i="12"/>
  <c r="C697" i="12"/>
  <c r="A697" i="12"/>
  <c r="P696" i="12"/>
  <c r="L696" i="12"/>
  <c r="I696" i="12"/>
  <c r="C696" i="12"/>
  <c r="A696" i="12"/>
  <c r="L695" i="12"/>
  <c r="I695" i="12"/>
  <c r="P695" i="12" s="1"/>
  <c r="C695" i="12"/>
  <c r="A695" i="12"/>
  <c r="L694" i="12"/>
  <c r="I694" i="12"/>
  <c r="P694" i="12" s="1"/>
  <c r="C694" i="12"/>
  <c r="A694" i="12"/>
  <c r="L693" i="12"/>
  <c r="I693" i="12"/>
  <c r="P693" i="12" s="1"/>
  <c r="C693" i="12"/>
  <c r="A693" i="12"/>
  <c r="P692" i="12"/>
  <c r="L692" i="12"/>
  <c r="I692" i="12"/>
  <c r="C692" i="12"/>
  <c r="A692" i="12"/>
  <c r="P691" i="12"/>
  <c r="L691" i="12"/>
  <c r="I691" i="12"/>
  <c r="C691" i="12"/>
  <c r="A691" i="12"/>
  <c r="L690" i="12"/>
  <c r="I690" i="12"/>
  <c r="P690" i="12" s="1"/>
  <c r="C690" i="12"/>
  <c r="A690" i="12"/>
  <c r="L689" i="12"/>
  <c r="I689" i="12"/>
  <c r="P689" i="12" s="1"/>
  <c r="C689" i="12"/>
  <c r="A689" i="12"/>
  <c r="L688" i="12"/>
  <c r="I688" i="12"/>
  <c r="P688" i="12" s="1"/>
  <c r="C688" i="12"/>
  <c r="A688" i="12"/>
  <c r="L687" i="12"/>
  <c r="I687" i="12"/>
  <c r="P687" i="12" s="1"/>
  <c r="C687" i="12"/>
  <c r="A687" i="12"/>
  <c r="L686" i="12"/>
  <c r="I686" i="12"/>
  <c r="P686" i="12" s="1"/>
  <c r="C686" i="12"/>
  <c r="A686" i="12"/>
  <c r="L685" i="12"/>
  <c r="I685" i="12"/>
  <c r="P685" i="12" s="1"/>
  <c r="C685" i="12"/>
  <c r="A685" i="12"/>
  <c r="L684" i="12"/>
  <c r="I684" i="12"/>
  <c r="P684" i="12" s="1"/>
  <c r="C684" i="12"/>
  <c r="A684" i="12"/>
  <c r="L683" i="12"/>
  <c r="I683" i="12"/>
  <c r="P683" i="12" s="1"/>
  <c r="C683" i="12"/>
  <c r="A683" i="12"/>
  <c r="P682" i="12"/>
  <c r="L682" i="12"/>
  <c r="I682" i="12"/>
  <c r="C682" i="12"/>
  <c r="A682" i="12"/>
  <c r="L681" i="12"/>
  <c r="I681" i="12"/>
  <c r="P681" i="12" s="1"/>
  <c r="C681" i="12"/>
  <c r="A681" i="12"/>
  <c r="L680" i="12"/>
  <c r="I680" i="12"/>
  <c r="P680" i="12" s="1"/>
  <c r="C680" i="12"/>
  <c r="A680" i="12"/>
  <c r="P679" i="12"/>
  <c r="L679" i="12"/>
  <c r="I679" i="12"/>
  <c r="C679" i="12"/>
  <c r="A679" i="12"/>
  <c r="L678" i="12"/>
  <c r="I678" i="12"/>
  <c r="P678" i="12" s="1"/>
  <c r="C678" i="12"/>
  <c r="A678" i="12"/>
  <c r="L677" i="12"/>
  <c r="I677" i="12"/>
  <c r="P677" i="12" s="1"/>
  <c r="C677" i="12"/>
  <c r="A677" i="12"/>
  <c r="L676" i="12"/>
  <c r="I676" i="12"/>
  <c r="P676" i="12" s="1"/>
  <c r="C676" i="12"/>
  <c r="A676" i="12"/>
  <c r="L675" i="12"/>
  <c r="I675" i="12"/>
  <c r="P675" i="12" s="1"/>
  <c r="C675" i="12"/>
  <c r="A675" i="12"/>
  <c r="L674" i="12"/>
  <c r="I674" i="12"/>
  <c r="P674" i="12" s="1"/>
  <c r="C674" i="12"/>
  <c r="A674" i="12"/>
  <c r="L673" i="12"/>
  <c r="I673" i="12"/>
  <c r="P673" i="12" s="1"/>
  <c r="C673" i="12"/>
  <c r="A673" i="12"/>
  <c r="L672" i="12"/>
  <c r="I672" i="12"/>
  <c r="P672" i="12" s="1"/>
  <c r="C672" i="12"/>
  <c r="A672" i="12"/>
  <c r="L671" i="12"/>
  <c r="I671" i="12"/>
  <c r="P671" i="12" s="1"/>
  <c r="C671" i="12"/>
  <c r="A671" i="12"/>
  <c r="P670" i="12"/>
  <c r="L670" i="12"/>
  <c r="I670" i="12"/>
  <c r="C670" i="12"/>
  <c r="A670" i="12"/>
  <c r="L669" i="12"/>
  <c r="I669" i="12"/>
  <c r="P669" i="12" s="1"/>
  <c r="C669" i="12"/>
  <c r="A669" i="12"/>
  <c r="P668" i="12"/>
  <c r="L668" i="12"/>
  <c r="I668" i="12"/>
  <c r="C668" i="12"/>
  <c r="A668" i="12"/>
  <c r="L667" i="12"/>
  <c r="I667" i="12"/>
  <c r="P667" i="12" s="1"/>
  <c r="C667" i="12"/>
  <c r="A667" i="12"/>
  <c r="L666" i="12"/>
  <c r="I666" i="12"/>
  <c r="P666" i="12" s="1"/>
  <c r="C666" i="12"/>
  <c r="A666" i="12"/>
  <c r="L665" i="12"/>
  <c r="I665" i="12"/>
  <c r="P665" i="12" s="1"/>
  <c r="C665" i="12"/>
  <c r="A665" i="12"/>
  <c r="L664" i="12"/>
  <c r="I664" i="12"/>
  <c r="P664" i="12" s="1"/>
  <c r="C664" i="12"/>
  <c r="A664" i="12"/>
  <c r="L663" i="12"/>
  <c r="I663" i="12"/>
  <c r="P663" i="12" s="1"/>
  <c r="C663" i="12"/>
  <c r="A663" i="12"/>
  <c r="L662" i="12"/>
  <c r="I662" i="12"/>
  <c r="P662" i="12" s="1"/>
  <c r="C662" i="12"/>
  <c r="A662" i="12"/>
  <c r="P661" i="12"/>
  <c r="L661" i="12"/>
  <c r="I661" i="12"/>
  <c r="C661" i="12"/>
  <c r="A661" i="12"/>
  <c r="P660" i="12"/>
  <c r="L660" i="12"/>
  <c r="I660" i="12"/>
  <c r="C660" i="12"/>
  <c r="A660" i="12"/>
  <c r="L659" i="12"/>
  <c r="I659" i="12"/>
  <c r="P659" i="12" s="1"/>
  <c r="C659" i="12"/>
  <c r="A659" i="12"/>
  <c r="L658" i="12"/>
  <c r="I658" i="12"/>
  <c r="P658" i="12" s="1"/>
  <c r="C658" i="12"/>
  <c r="A658" i="12"/>
  <c r="L657" i="12"/>
  <c r="I657" i="12"/>
  <c r="P657" i="12" s="1"/>
  <c r="C657" i="12"/>
  <c r="A657" i="12"/>
  <c r="L656" i="12"/>
  <c r="I656" i="12"/>
  <c r="P656" i="12" s="1"/>
  <c r="C656" i="12"/>
  <c r="A656" i="12"/>
  <c r="L655" i="12"/>
  <c r="I655" i="12"/>
  <c r="P655" i="12" s="1"/>
  <c r="C655" i="12"/>
  <c r="A655" i="12"/>
  <c r="L654" i="12"/>
  <c r="I654" i="12"/>
  <c r="P654" i="12" s="1"/>
  <c r="C654" i="12"/>
  <c r="A654" i="12"/>
  <c r="L653" i="12"/>
  <c r="I653" i="12"/>
  <c r="P653" i="12" s="1"/>
  <c r="C653" i="12"/>
  <c r="A653" i="12"/>
  <c r="L652" i="12"/>
  <c r="I652" i="12"/>
  <c r="P652" i="12" s="1"/>
  <c r="C652" i="12"/>
  <c r="A652" i="12"/>
  <c r="P651" i="12"/>
  <c r="L651" i="12"/>
  <c r="I651" i="12"/>
  <c r="C651" i="12"/>
  <c r="A651" i="12"/>
  <c r="L650" i="12"/>
  <c r="I650" i="12"/>
  <c r="P650" i="12" s="1"/>
  <c r="C650" i="12"/>
  <c r="A650" i="12"/>
  <c r="L649" i="12"/>
  <c r="I649" i="12"/>
  <c r="P649" i="12" s="1"/>
  <c r="C649" i="12"/>
  <c r="A649" i="12"/>
  <c r="L648" i="12"/>
  <c r="I648" i="12"/>
  <c r="P648" i="12" s="1"/>
  <c r="C648" i="12"/>
  <c r="A648" i="12"/>
  <c r="P647" i="12"/>
  <c r="L647" i="12"/>
  <c r="I647" i="12"/>
  <c r="C647" i="12"/>
  <c r="A647" i="12"/>
  <c r="P646" i="12"/>
  <c r="L646" i="12"/>
  <c r="I646" i="12"/>
  <c r="C646" i="12"/>
  <c r="A646" i="12"/>
  <c r="L645" i="12"/>
  <c r="I645" i="12"/>
  <c r="P645" i="12" s="1"/>
  <c r="C645" i="12"/>
  <c r="A645" i="12"/>
  <c r="L644" i="12"/>
  <c r="I644" i="12"/>
  <c r="P644" i="12" s="1"/>
  <c r="C644" i="12"/>
  <c r="A644" i="12"/>
  <c r="L643" i="12"/>
  <c r="I643" i="12"/>
  <c r="P643" i="12" s="1"/>
  <c r="C643" i="12"/>
  <c r="A643" i="12"/>
  <c r="P642" i="12"/>
  <c r="L642" i="12"/>
  <c r="I642" i="12"/>
  <c r="C642" i="12"/>
  <c r="A642" i="12"/>
  <c r="L641" i="12"/>
  <c r="I641" i="12"/>
  <c r="P641" i="12" s="1"/>
  <c r="C641" i="12"/>
  <c r="A641" i="12"/>
  <c r="L640" i="12"/>
  <c r="I640" i="12"/>
  <c r="P640" i="12" s="1"/>
  <c r="C640" i="12"/>
  <c r="A640" i="12"/>
  <c r="L639" i="12"/>
  <c r="I639" i="12"/>
  <c r="P639" i="12" s="1"/>
  <c r="C639" i="12"/>
  <c r="A639" i="12"/>
  <c r="L638" i="12"/>
  <c r="I638" i="12"/>
  <c r="P638" i="12" s="1"/>
  <c r="C638" i="12"/>
  <c r="A638" i="12"/>
  <c r="L637" i="12"/>
  <c r="I637" i="12"/>
  <c r="P637" i="12" s="1"/>
  <c r="C637" i="12"/>
  <c r="A637" i="12"/>
  <c r="L636" i="12"/>
  <c r="I636" i="12"/>
  <c r="P636" i="12" s="1"/>
  <c r="C636" i="12"/>
  <c r="A636" i="12"/>
  <c r="L635" i="12"/>
  <c r="I635" i="12"/>
  <c r="P635" i="12" s="1"/>
  <c r="C635" i="12"/>
  <c r="A635" i="12"/>
  <c r="L634" i="12"/>
  <c r="I634" i="12"/>
  <c r="P634" i="12" s="1"/>
  <c r="C634" i="12"/>
  <c r="A634" i="12"/>
  <c r="P633" i="12"/>
  <c r="L633" i="12"/>
  <c r="I633" i="12"/>
  <c r="C633" i="12"/>
  <c r="A633" i="12"/>
  <c r="P632" i="12"/>
  <c r="L632" i="12"/>
  <c r="I632" i="12"/>
  <c r="C632" i="12"/>
  <c r="A632" i="12"/>
  <c r="L631" i="12"/>
  <c r="I631" i="12"/>
  <c r="P631" i="12" s="1"/>
  <c r="C631" i="12"/>
  <c r="A631" i="12"/>
  <c r="L630" i="12"/>
  <c r="I630" i="12"/>
  <c r="P630" i="12" s="1"/>
  <c r="C630" i="12"/>
  <c r="A630" i="12"/>
  <c r="L629" i="12"/>
  <c r="I629" i="12"/>
  <c r="P629" i="12" s="1"/>
  <c r="C629" i="12"/>
  <c r="A629" i="12"/>
  <c r="L628" i="12"/>
  <c r="I628" i="12"/>
  <c r="P628" i="12" s="1"/>
  <c r="C628" i="12"/>
  <c r="A628" i="12"/>
  <c r="L627" i="12"/>
  <c r="I627" i="12"/>
  <c r="P627" i="12" s="1"/>
  <c r="C627" i="12"/>
  <c r="A627" i="12"/>
  <c r="L626" i="12"/>
  <c r="I626" i="12"/>
  <c r="P626" i="12" s="1"/>
  <c r="C626" i="12"/>
  <c r="A626" i="12"/>
  <c r="L625" i="12"/>
  <c r="I625" i="12"/>
  <c r="P625" i="12" s="1"/>
  <c r="C625" i="12"/>
  <c r="A625" i="12"/>
  <c r="P624" i="12"/>
  <c r="L624" i="12"/>
  <c r="I624" i="12"/>
  <c r="C624" i="12"/>
  <c r="A624" i="12"/>
  <c r="P623" i="12"/>
  <c r="L623" i="12"/>
  <c r="I623" i="12"/>
  <c r="C623" i="12"/>
  <c r="A623" i="12"/>
  <c r="L622" i="12"/>
  <c r="I622" i="12"/>
  <c r="P622" i="12" s="1"/>
  <c r="C622" i="12"/>
  <c r="A622" i="12"/>
  <c r="L621" i="12"/>
  <c r="I621" i="12"/>
  <c r="P621" i="12" s="1"/>
  <c r="C621" i="12"/>
  <c r="A621" i="12"/>
  <c r="L620" i="12"/>
  <c r="I620" i="12"/>
  <c r="P620" i="12" s="1"/>
  <c r="C620" i="12"/>
  <c r="A620" i="12"/>
  <c r="P619" i="12"/>
  <c r="L619" i="12"/>
  <c r="I619" i="12"/>
  <c r="C619" i="12"/>
  <c r="A619" i="12"/>
  <c r="L618" i="12"/>
  <c r="I618" i="12"/>
  <c r="P618" i="12" s="1"/>
  <c r="C618" i="12"/>
  <c r="A618" i="12"/>
  <c r="L617" i="12"/>
  <c r="I617" i="12"/>
  <c r="P617" i="12" s="1"/>
  <c r="C617" i="12"/>
  <c r="A617" i="12"/>
  <c r="L616" i="12"/>
  <c r="I616" i="12"/>
  <c r="P616" i="12" s="1"/>
  <c r="C616" i="12"/>
  <c r="A616" i="12"/>
  <c r="L615" i="12"/>
  <c r="I615" i="12"/>
  <c r="P615" i="12" s="1"/>
  <c r="C615" i="12"/>
  <c r="A615" i="12"/>
  <c r="P614" i="12"/>
  <c r="L614" i="12"/>
  <c r="I614" i="12"/>
  <c r="C614" i="12"/>
  <c r="A614" i="12"/>
  <c r="L613" i="12"/>
  <c r="I613" i="12"/>
  <c r="P613" i="12" s="1"/>
  <c r="C613" i="12"/>
  <c r="A613" i="12"/>
  <c r="L612" i="12"/>
  <c r="I612" i="12"/>
  <c r="P612" i="12" s="1"/>
  <c r="C612" i="12"/>
  <c r="A612" i="12"/>
  <c r="L611" i="12"/>
  <c r="I611" i="12"/>
  <c r="P611" i="12" s="1"/>
  <c r="C611" i="12"/>
  <c r="A611" i="12"/>
  <c r="L610" i="12"/>
  <c r="I610" i="12"/>
  <c r="P610" i="12" s="1"/>
  <c r="C610" i="12"/>
  <c r="A610" i="12"/>
  <c r="L609" i="12"/>
  <c r="I609" i="12"/>
  <c r="P609" i="12" s="1"/>
  <c r="C609" i="12"/>
  <c r="A609" i="12"/>
  <c r="L608" i="12"/>
  <c r="I608" i="12"/>
  <c r="P608" i="12" s="1"/>
  <c r="C608" i="12"/>
  <c r="A608" i="12"/>
  <c r="L607" i="12"/>
  <c r="I607" i="12"/>
  <c r="P607" i="12" s="1"/>
  <c r="C607" i="12"/>
  <c r="A607" i="12"/>
  <c r="P606" i="12"/>
  <c r="L606" i="12"/>
  <c r="I606" i="12"/>
  <c r="C606" i="12"/>
  <c r="A606" i="12"/>
  <c r="L605" i="12"/>
  <c r="I605" i="12"/>
  <c r="P605" i="12" s="1"/>
  <c r="C605" i="12"/>
  <c r="A605" i="12"/>
  <c r="P604" i="12"/>
  <c r="L604" i="12"/>
  <c r="I604" i="12"/>
  <c r="C604" i="12"/>
  <c r="A604" i="12"/>
  <c r="L603" i="12"/>
  <c r="I603" i="12"/>
  <c r="P603" i="12" s="1"/>
  <c r="C603" i="12"/>
  <c r="A603" i="12"/>
  <c r="L602" i="12"/>
  <c r="I602" i="12"/>
  <c r="P602" i="12" s="1"/>
  <c r="C602" i="12"/>
  <c r="A602" i="12"/>
  <c r="L601" i="12"/>
  <c r="I601" i="12"/>
  <c r="P601" i="12" s="1"/>
  <c r="C601" i="12"/>
  <c r="A601" i="12"/>
  <c r="P600" i="12"/>
  <c r="L600" i="12"/>
  <c r="I600" i="12"/>
  <c r="C600" i="12"/>
  <c r="A600" i="12"/>
  <c r="L599" i="12"/>
  <c r="I599" i="12"/>
  <c r="P599" i="12" s="1"/>
  <c r="C599" i="12"/>
  <c r="A599" i="12"/>
  <c r="L598" i="12"/>
  <c r="I598" i="12"/>
  <c r="P598" i="12" s="1"/>
  <c r="C598" i="12"/>
  <c r="A598" i="12"/>
  <c r="L597" i="12"/>
  <c r="I597" i="12"/>
  <c r="P597" i="12" s="1"/>
  <c r="C597" i="12"/>
  <c r="A597" i="12"/>
  <c r="L596" i="12"/>
  <c r="I596" i="12"/>
  <c r="P596" i="12" s="1"/>
  <c r="C596" i="12"/>
  <c r="A596" i="12"/>
  <c r="L595" i="12"/>
  <c r="I595" i="12"/>
  <c r="P595" i="12" s="1"/>
  <c r="C595" i="12"/>
  <c r="A595" i="12"/>
  <c r="L594" i="12"/>
  <c r="I594" i="12"/>
  <c r="P594" i="12" s="1"/>
  <c r="C594" i="12"/>
  <c r="A594" i="12"/>
  <c r="L593" i="12"/>
  <c r="I593" i="12"/>
  <c r="P593" i="12" s="1"/>
  <c r="C593" i="12"/>
  <c r="A593" i="12"/>
  <c r="P592" i="12"/>
  <c r="L592" i="12"/>
  <c r="I592" i="12"/>
  <c r="C592" i="12"/>
  <c r="A592" i="12"/>
  <c r="P591" i="12"/>
  <c r="L591" i="12"/>
  <c r="I591" i="12"/>
  <c r="C591" i="12"/>
  <c r="A591" i="12"/>
  <c r="L590" i="12"/>
  <c r="I590" i="12"/>
  <c r="P590" i="12" s="1"/>
  <c r="C590" i="12"/>
  <c r="A590" i="12"/>
  <c r="L589" i="12"/>
  <c r="I589" i="12"/>
  <c r="P589" i="12" s="1"/>
  <c r="C589" i="12"/>
  <c r="A589" i="12"/>
  <c r="L588" i="12"/>
  <c r="I588" i="12"/>
  <c r="P588" i="12" s="1"/>
  <c r="C588" i="12"/>
  <c r="A588" i="12"/>
  <c r="P587" i="12"/>
  <c r="L587" i="12"/>
  <c r="I587" i="12"/>
  <c r="C587" i="12"/>
  <c r="A587" i="12"/>
  <c r="P586" i="12"/>
  <c r="L586" i="12"/>
  <c r="I586" i="12"/>
  <c r="C586" i="12"/>
  <c r="A586" i="12"/>
  <c r="L585" i="12"/>
  <c r="I585" i="12"/>
  <c r="P585" i="12" s="1"/>
  <c r="C585" i="12"/>
  <c r="A585" i="12"/>
  <c r="L584" i="12"/>
  <c r="I584" i="12"/>
  <c r="P584" i="12" s="1"/>
  <c r="C584" i="12"/>
  <c r="A584" i="12"/>
  <c r="L583" i="12"/>
  <c r="I583" i="12"/>
  <c r="P583" i="12" s="1"/>
  <c r="C583" i="12"/>
  <c r="A583" i="12"/>
  <c r="L582" i="12"/>
  <c r="I582" i="12"/>
  <c r="P582" i="12" s="1"/>
  <c r="C582" i="12"/>
  <c r="A582" i="12"/>
  <c r="L581" i="12"/>
  <c r="I581" i="12"/>
  <c r="P581" i="12" s="1"/>
  <c r="C581" i="12"/>
  <c r="A581" i="12"/>
  <c r="L580" i="12"/>
  <c r="I580" i="12"/>
  <c r="P580" i="12" s="1"/>
  <c r="C580" i="12"/>
  <c r="A580" i="12"/>
  <c r="P579" i="12"/>
  <c r="L579" i="12"/>
  <c r="I579" i="12"/>
  <c r="C579" i="12"/>
  <c r="A579" i="12"/>
  <c r="L578" i="12"/>
  <c r="I578" i="12"/>
  <c r="P578" i="12" s="1"/>
  <c r="C578" i="12"/>
  <c r="A578" i="12"/>
  <c r="L577" i="12"/>
  <c r="I577" i="12"/>
  <c r="P577" i="12" s="1"/>
  <c r="C577" i="12"/>
  <c r="A577" i="12"/>
  <c r="L576" i="12"/>
  <c r="I576" i="12"/>
  <c r="P576" i="12" s="1"/>
  <c r="C576" i="12"/>
  <c r="A576" i="12"/>
  <c r="L575" i="12"/>
  <c r="I575" i="12"/>
  <c r="P575" i="12" s="1"/>
  <c r="C575" i="12"/>
  <c r="A575" i="12"/>
  <c r="L574" i="12"/>
  <c r="I574" i="12"/>
  <c r="P574" i="12" s="1"/>
  <c r="C574" i="12"/>
  <c r="A574" i="12"/>
  <c r="L573" i="12"/>
  <c r="I573" i="12"/>
  <c r="P573" i="12" s="1"/>
  <c r="C573" i="12"/>
  <c r="A573" i="12"/>
  <c r="L572" i="12"/>
  <c r="I572" i="12"/>
  <c r="P572" i="12" s="1"/>
  <c r="C572" i="12"/>
  <c r="A572" i="12"/>
  <c r="P571" i="12"/>
  <c r="L571" i="12"/>
  <c r="I571" i="12"/>
  <c r="C571" i="12"/>
  <c r="A571" i="12"/>
  <c r="L570" i="12"/>
  <c r="I570" i="12"/>
  <c r="P570" i="12" s="1"/>
  <c r="C570" i="12"/>
  <c r="A570" i="12"/>
  <c r="P569" i="12"/>
  <c r="L569" i="12"/>
  <c r="I569" i="12"/>
  <c r="C569" i="12"/>
  <c r="A569" i="12"/>
  <c r="L568" i="12"/>
  <c r="I568" i="12"/>
  <c r="P568" i="12" s="1"/>
  <c r="C568" i="12"/>
  <c r="A568" i="12"/>
  <c r="L567" i="12"/>
  <c r="I567" i="12"/>
  <c r="P567" i="12" s="1"/>
  <c r="C567" i="12"/>
  <c r="A567" i="12"/>
  <c r="L566" i="12"/>
  <c r="I566" i="12"/>
  <c r="P566" i="12" s="1"/>
  <c r="C566" i="12"/>
  <c r="A566" i="12"/>
  <c r="P565" i="12"/>
  <c r="L565" i="12"/>
  <c r="I565" i="12"/>
  <c r="C565" i="12"/>
  <c r="A565" i="12"/>
  <c r="L564" i="12"/>
  <c r="I564" i="12"/>
  <c r="P564" i="12" s="1"/>
  <c r="C564" i="12"/>
  <c r="A564" i="12"/>
  <c r="P563" i="12"/>
  <c r="L563" i="12"/>
  <c r="I563" i="12"/>
  <c r="C563" i="12"/>
  <c r="A563" i="12"/>
  <c r="L562" i="12"/>
  <c r="I562" i="12"/>
  <c r="P562" i="12" s="1"/>
  <c r="C562" i="12"/>
  <c r="A562" i="12"/>
  <c r="L561" i="12"/>
  <c r="I561" i="12"/>
  <c r="P561" i="12" s="1"/>
  <c r="C561" i="12"/>
  <c r="A561" i="12"/>
  <c r="L560" i="12"/>
  <c r="I560" i="12"/>
  <c r="P560" i="12" s="1"/>
  <c r="C560" i="12"/>
  <c r="A560" i="12"/>
  <c r="L559" i="12"/>
  <c r="I559" i="12"/>
  <c r="P559" i="12" s="1"/>
  <c r="C559" i="12"/>
  <c r="A559" i="12"/>
  <c r="L558" i="12"/>
  <c r="I558" i="12"/>
  <c r="P558" i="12" s="1"/>
  <c r="C558" i="12"/>
  <c r="A558" i="12"/>
  <c r="L557" i="12"/>
  <c r="I557" i="12"/>
  <c r="P557" i="12" s="1"/>
  <c r="C557" i="12"/>
  <c r="A557" i="12"/>
  <c r="L556" i="12"/>
  <c r="I556" i="12"/>
  <c r="P556" i="12" s="1"/>
  <c r="C556" i="12"/>
  <c r="A556" i="12"/>
  <c r="P555" i="12"/>
  <c r="L555" i="12"/>
  <c r="I555" i="12"/>
  <c r="C555" i="12"/>
  <c r="A555" i="12"/>
  <c r="P554" i="12"/>
  <c r="L554" i="12"/>
  <c r="I554" i="12"/>
  <c r="C554" i="12"/>
  <c r="A554" i="12"/>
  <c r="L553" i="12"/>
  <c r="I553" i="12"/>
  <c r="P553" i="12" s="1"/>
  <c r="C553" i="12"/>
  <c r="A553" i="12"/>
  <c r="L552" i="12"/>
  <c r="I552" i="12"/>
  <c r="P552" i="12" s="1"/>
  <c r="C552" i="12"/>
  <c r="A552" i="12"/>
  <c r="L551" i="12"/>
  <c r="I551" i="12"/>
  <c r="P551" i="12" s="1"/>
  <c r="C551" i="12"/>
  <c r="A551" i="12"/>
  <c r="L550" i="12"/>
  <c r="I550" i="12"/>
  <c r="P550" i="12" s="1"/>
  <c r="C550" i="12"/>
  <c r="A550" i="12"/>
  <c r="L549" i="12"/>
  <c r="I549" i="12"/>
  <c r="P549" i="12" s="1"/>
  <c r="C549" i="12"/>
  <c r="A549" i="12"/>
  <c r="L548" i="12"/>
  <c r="I548" i="12"/>
  <c r="P548" i="12" s="1"/>
  <c r="C548" i="12"/>
  <c r="A548" i="12"/>
  <c r="L547" i="12"/>
  <c r="I547" i="12"/>
  <c r="P547" i="12" s="1"/>
  <c r="C547" i="12"/>
  <c r="A547" i="12"/>
  <c r="L546" i="12"/>
  <c r="I546" i="12"/>
  <c r="P546" i="12" s="1"/>
  <c r="C546" i="12"/>
  <c r="A546" i="12"/>
  <c r="L545" i="12"/>
  <c r="I545" i="12"/>
  <c r="P545" i="12" s="1"/>
  <c r="C545" i="12"/>
  <c r="A545" i="12"/>
  <c r="P544" i="12"/>
  <c r="L544" i="12"/>
  <c r="I544" i="12"/>
  <c r="C544" i="12"/>
  <c r="A544" i="12"/>
  <c r="L543" i="12"/>
  <c r="I543" i="12"/>
  <c r="P543" i="12" s="1"/>
  <c r="C543" i="12"/>
  <c r="A543" i="12"/>
  <c r="L542" i="12"/>
  <c r="I542" i="12"/>
  <c r="P542" i="12" s="1"/>
  <c r="C542" i="12"/>
  <c r="A542" i="12"/>
  <c r="L541" i="12"/>
  <c r="I541" i="12"/>
  <c r="P541" i="12" s="1"/>
  <c r="C541" i="12"/>
  <c r="A541" i="12"/>
  <c r="L540" i="12"/>
  <c r="I540" i="12"/>
  <c r="P540" i="12" s="1"/>
  <c r="C540" i="12"/>
  <c r="A540" i="12"/>
  <c r="P539" i="12"/>
  <c r="L539" i="12"/>
  <c r="I539" i="12"/>
  <c r="C539" i="12"/>
  <c r="A539" i="12"/>
  <c r="L538" i="12"/>
  <c r="I538" i="12"/>
  <c r="P538" i="12" s="1"/>
  <c r="C538" i="12"/>
  <c r="A538" i="12"/>
  <c r="P537" i="12"/>
  <c r="L537" i="12"/>
  <c r="I537" i="12"/>
  <c r="C537" i="12"/>
  <c r="A537" i="12"/>
  <c r="L536" i="12"/>
  <c r="I536" i="12"/>
  <c r="P536" i="12" s="1"/>
  <c r="C536" i="12"/>
  <c r="A536" i="12"/>
  <c r="L535" i="12"/>
  <c r="I535" i="12"/>
  <c r="P535" i="12" s="1"/>
  <c r="C535" i="12"/>
  <c r="A535" i="12"/>
  <c r="L534" i="12"/>
  <c r="I534" i="12"/>
  <c r="P534" i="12" s="1"/>
  <c r="C534" i="12"/>
  <c r="A534" i="12"/>
  <c r="L533" i="12"/>
  <c r="I533" i="12"/>
  <c r="P533" i="12" s="1"/>
  <c r="C533" i="12"/>
  <c r="A533" i="12"/>
  <c r="P532" i="12"/>
  <c r="L532" i="12"/>
  <c r="I532" i="12"/>
  <c r="C532" i="12"/>
  <c r="A532" i="12"/>
  <c r="P531" i="12"/>
  <c r="L531" i="12"/>
  <c r="I531" i="12"/>
  <c r="C531" i="12"/>
  <c r="A531" i="12"/>
  <c r="L530" i="12"/>
  <c r="I530" i="12"/>
  <c r="P530" i="12" s="1"/>
  <c r="C530" i="12"/>
  <c r="A530" i="12"/>
  <c r="L529" i="12"/>
  <c r="I529" i="12"/>
  <c r="P529" i="12" s="1"/>
  <c r="C529" i="12"/>
  <c r="A529" i="12"/>
  <c r="L528" i="12"/>
  <c r="I528" i="12"/>
  <c r="P528" i="12" s="1"/>
  <c r="C528" i="12"/>
  <c r="A528" i="12"/>
  <c r="L527" i="12"/>
  <c r="I527" i="12"/>
  <c r="P527" i="12" s="1"/>
  <c r="C527" i="12"/>
  <c r="A527" i="12"/>
  <c r="L526" i="12"/>
  <c r="I526" i="12"/>
  <c r="P526" i="12" s="1"/>
  <c r="C526" i="12"/>
  <c r="A526" i="12"/>
  <c r="L525" i="12"/>
  <c r="I525" i="12"/>
  <c r="P525" i="12" s="1"/>
  <c r="C525" i="12"/>
  <c r="A525" i="12"/>
  <c r="L524" i="12"/>
  <c r="I524" i="12"/>
  <c r="P524" i="12" s="1"/>
  <c r="C524" i="12"/>
  <c r="A524" i="12"/>
  <c r="P523" i="12"/>
  <c r="L523" i="12"/>
  <c r="I523" i="12"/>
  <c r="C523" i="12"/>
  <c r="A523" i="12"/>
  <c r="P522" i="12"/>
  <c r="L522" i="12"/>
  <c r="I522" i="12"/>
  <c r="C522" i="12"/>
  <c r="A522" i="12"/>
  <c r="L521" i="12"/>
  <c r="I521" i="12"/>
  <c r="P521" i="12" s="1"/>
  <c r="C521" i="12"/>
  <c r="A521" i="12"/>
  <c r="L520" i="12"/>
  <c r="I520" i="12"/>
  <c r="P520" i="12" s="1"/>
  <c r="C520" i="12"/>
  <c r="A520" i="12"/>
  <c r="L519" i="12"/>
  <c r="I519" i="12"/>
  <c r="P519" i="12" s="1"/>
  <c r="C519" i="12"/>
  <c r="A519" i="12"/>
  <c r="P518" i="12"/>
  <c r="L518" i="12"/>
  <c r="I518" i="12"/>
  <c r="C518" i="12"/>
  <c r="A518" i="12"/>
  <c r="P517" i="12"/>
  <c r="L517" i="12"/>
  <c r="I517" i="12"/>
  <c r="C517" i="12"/>
  <c r="A517" i="12"/>
  <c r="L516" i="12"/>
  <c r="I516" i="12"/>
  <c r="P516" i="12" s="1"/>
  <c r="C516" i="12"/>
  <c r="A516" i="12"/>
  <c r="L515" i="12"/>
  <c r="I515" i="12"/>
  <c r="P515" i="12" s="1"/>
  <c r="C515" i="12"/>
  <c r="A515" i="12"/>
  <c r="L514" i="12"/>
  <c r="I514" i="12"/>
  <c r="P514" i="12" s="1"/>
  <c r="C514" i="12"/>
  <c r="A514" i="12"/>
  <c r="L513" i="12"/>
  <c r="I513" i="12"/>
  <c r="P513" i="12" s="1"/>
  <c r="C513" i="12"/>
  <c r="A513" i="12"/>
  <c r="L512" i="12"/>
  <c r="I512" i="12"/>
  <c r="P512" i="12" s="1"/>
  <c r="C512" i="12"/>
  <c r="A512" i="12"/>
  <c r="L511" i="12"/>
  <c r="I511" i="12"/>
  <c r="P511" i="12" s="1"/>
  <c r="C511" i="12"/>
  <c r="A511" i="12"/>
  <c r="L510" i="12"/>
  <c r="I510" i="12"/>
  <c r="P510" i="12" s="1"/>
  <c r="C510" i="12"/>
  <c r="A510" i="12"/>
  <c r="L509" i="12"/>
  <c r="I509" i="12"/>
  <c r="P509" i="12" s="1"/>
  <c r="C509" i="12"/>
  <c r="A509" i="12"/>
  <c r="P508" i="12"/>
  <c r="L508" i="12"/>
  <c r="I508" i="12"/>
  <c r="C508" i="12"/>
  <c r="A508" i="12"/>
  <c r="L507" i="12"/>
  <c r="I507" i="12"/>
  <c r="P507" i="12" s="1"/>
  <c r="C507" i="12"/>
  <c r="A507" i="12"/>
  <c r="L506" i="12"/>
  <c r="I506" i="12"/>
  <c r="P506" i="12" s="1"/>
  <c r="C506" i="12"/>
  <c r="A506" i="12"/>
  <c r="L505" i="12"/>
  <c r="I505" i="12"/>
  <c r="P505" i="12" s="1"/>
  <c r="C505" i="12"/>
  <c r="A505" i="12"/>
  <c r="L504" i="12"/>
  <c r="I504" i="12"/>
  <c r="P504" i="12" s="1"/>
  <c r="C504" i="12"/>
  <c r="A504" i="12"/>
  <c r="L503" i="12"/>
  <c r="I503" i="12"/>
  <c r="P503" i="12" s="1"/>
  <c r="C503" i="12"/>
  <c r="A503" i="12"/>
  <c r="L502" i="12"/>
  <c r="I502" i="12"/>
  <c r="P502" i="12" s="1"/>
  <c r="C502" i="12"/>
  <c r="A502" i="12"/>
  <c r="P501" i="12"/>
  <c r="L501" i="12"/>
  <c r="I501" i="12"/>
  <c r="C501" i="12"/>
  <c r="A501" i="12"/>
  <c r="L500" i="12"/>
  <c r="I500" i="12"/>
  <c r="P500" i="12" s="1"/>
  <c r="C500" i="12"/>
  <c r="A500" i="12"/>
  <c r="L499" i="12"/>
  <c r="I499" i="12"/>
  <c r="P499" i="12" s="1"/>
  <c r="C499" i="12"/>
  <c r="A499" i="12"/>
  <c r="L498" i="12"/>
  <c r="I498" i="12"/>
  <c r="P498" i="12" s="1"/>
  <c r="C498" i="12"/>
  <c r="A498" i="12"/>
  <c r="L497" i="12"/>
  <c r="I497" i="12"/>
  <c r="P497" i="12" s="1"/>
  <c r="C497" i="12"/>
  <c r="A497" i="12"/>
  <c r="L496" i="12"/>
  <c r="I496" i="12"/>
  <c r="P496" i="12" s="1"/>
  <c r="C496" i="12"/>
  <c r="A496" i="12"/>
  <c r="P495" i="12"/>
  <c r="L495" i="12"/>
  <c r="I495" i="12"/>
  <c r="C495" i="12"/>
  <c r="A495" i="12"/>
  <c r="P494" i="12"/>
  <c r="L494" i="12"/>
  <c r="I494" i="12"/>
  <c r="C494" i="12"/>
  <c r="A494" i="12"/>
  <c r="L493" i="12"/>
  <c r="I493" i="12"/>
  <c r="P493" i="12" s="1"/>
  <c r="C493" i="12"/>
  <c r="A493" i="12"/>
  <c r="P492" i="12"/>
  <c r="L492" i="12"/>
  <c r="I492" i="12"/>
  <c r="C492" i="12"/>
  <c r="A492" i="12"/>
  <c r="L491" i="12"/>
  <c r="I491" i="12"/>
  <c r="P491" i="12" s="1"/>
  <c r="C491" i="12"/>
  <c r="A491" i="12"/>
  <c r="L490" i="12"/>
  <c r="I490" i="12"/>
  <c r="P490" i="12" s="1"/>
  <c r="C490" i="12"/>
  <c r="A490" i="12"/>
  <c r="L489" i="12"/>
  <c r="I489" i="12"/>
  <c r="P489" i="12" s="1"/>
  <c r="C489" i="12"/>
  <c r="A489" i="12"/>
  <c r="L488" i="12"/>
  <c r="I488" i="12"/>
  <c r="P488" i="12" s="1"/>
  <c r="C488" i="12"/>
  <c r="A488" i="12"/>
  <c r="P487" i="12"/>
  <c r="L487" i="12"/>
  <c r="I487" i="12"/>
  <c r="C487" i="12"/>
  <c r="A487" i="12"/>
  <c r="L486" i="12"/>
  <c r="I486" i="12"/>
  <c r="P486" i="12" s="1"/>
  <c r="C486" i="12"/>
  <c r="A486" i="12"/>
  <c r="L485" i="12"/>
  <c r="I485" i="12"/>
  <c r="P485" i="12" s="1"/>
  <c r="C485" i="12"/>
  <c r="A485" i="12"/>
  <c r="L484" i="12"/>
  <c r="I484" i="12"/>
  <c r="P484" i="12" s="1"/>
  <c r="C484" i="12"/>
  <c r="A484" i="12"/>
  <c r="P483" i="12"/>
  <c r="L483" i="12"/>
  <c r="I483" i="12"/>
  <c r="C483" i="12"/>
  <c r="A483" i="12"/>
  <c r="P482" i="12"/>
  <c r="L482" i="12"/>
  <c r="I482" i="12"/>
  <c r="C482" i="12"/>
  <c r="A482" i="12"/>
  <c r="L481" i="12"/>
  <c r="I481" i="12"/>
  <c r="P481" i="12" s="1"/>
  <c r="C481" i="12"/>
  <c r="A481" i="12"/>
  <c r="L480" i="12"/>
  <c r="I480" i="12"/>
  <c r="P480" i="12" s="1"/>
  <c r="C480" i="12"/>
  <c r="A480" i="12"/>
  <c r="L479" i="12"/>
  <c r="I479" i="12"/>
  <c r="P479" i="12" s="1"/>
  <c r="C479" i="12"/>
  <c r="A479" i="12"/>
  <c r="L478" i="12"/>
  <c r="I478" i="12"/>
  <c r="P478" i="12" s="1"/>
  <c r="C478" i="12"/>
  <c r="A478" i="12"/>
  <c r="L477" i="12"/>
  <c r="I477" i="12"/>
  <c r="P477" i="12" s="1"/>
  <c r="C477" i="12"/>
  <c r="A477" i="12"/>
  <c r="L476" i="12"/>
  <c r="I476" i="12"/>
  <c r="P476" i="12" s="1"/>
  <c r="C476" i="12"/>
  <c r="A476" i="12"/>
  <c r="L475" i="12"/>
  <c r="I475" i="12"/>
  <c r="P475" i="12" s="1"/>
  <c r="C475" i="12"/>
  <c r="A475" i="12"/>
  <c r="L474" i="12"/>
  <c r="I474" i="12"/>
  <c r="P474" i="12" s="1"/>
  <c r="C474" i="12"/>
  <c r="A474" i="12"/>
  <c r="L473" i="12"/>
  <c r="I473" i="12"/>
  <c r="P473" i="12" s="1"/>
  <c r="C473" i="12"/>
  <c r="A473" i="12"/>
  <c r="L472" i="12"/>
  <c r="I472" i="12"/>
  <c r="P472" i="12" s="1"/>
  <c r="C472" i="12"/>
  <c r="A472" i="12"/>
  <c r="P471" i="12"/>
  <c r="L471" i="12"/>
  <c r="I471" i="12"/>
  <c r="C471" i="12"/>
  <c r="A471" i="12"/>
  <c r="L470" i="12"/>
  <c r="I470" i="12"/>
  <c r="P470" i="12" s="1"/>
  <c r="C470" i="12"/>
  <c r="A470" i="12"/>
  <c r="P469" i="12"/>
  <c r="L469" i="12"/>
  <c r="I469" i="12"/>
  <c r="C469" i="12"/>
  <c r="A469" i="12"/>
  <c r="P468" i="12"/>
  <c r="L468" i="12"/>
  <c r="I468" i="12"/>
  <c r="C468" i="12"/>
  <c r="A468" i="12"/>
  <c r="L467" i="12"/>
  <c r="I467" i="12"/>
  <c r="P467" i="12" s="1"/>
  <c r="C467" i="12"/>
  <c r="A467" i="12"/>
  <c r="L466" i="12"/>
  <c r="I466" i="12"/>
  <c r="P466" i="12" s="1"/>
  <c r="C466" i="12"/>
  <c r="A466" i="12"/>
  <c r="L465" i="12"/>
  <c r="I465" i="12"/>
  <c r="P465" i="12" s="1"/>
  <c r="C465" i="12"/>
  <c r="A465" i="12"/>
  <c r="L464" i="12"/>
  <c r="I464" i="12"/>
  <c r="P464" i="12" s="1"/>
  <c r="C464" i="12"/>
  <c r="A464" i="12"/>
  <c r="L463" i="12"/>
  <c r="I463" i="12"/>
  <c r="P463" i="12" s="1"/>
  <c r="C463" i="12"/>
  <c r="A463" i="12"/>
  <c r="L462" i="12"/>
  <c r="I462" i="12"/>
  <c r="P462" i="12" s="1"/>
  <c r="C462" i="12"/>
  <c r="A462" i="12"/>
  <c r="L461" i="12"/>
  <c r="I461" i="12"/>
  <c r="P461" i="12" s="1"/>
  <c r="C461" i="12"/>
  <c r="A461" i="12"/>
  <c r="P460" i="12"/>
  <c r="L460" i="12"/>
  <c r="I460" i="12"/>
  <c r="C460" i="12"/>
  <c r="A460" i="12"/>
  <c r="P459" i="12"/>
  <c r="L459" i="12"/>
  <c r="I459" i="12"/>
  <c r="C459" i="12"/>
  <c r="A459" i="12"/>
  <c r="L458" i="12"/>
  <c r="I458" i="12"/>
  <c r="P458" i="12" s="1"/>
  <c r="C458" i="12"/>
  <c r="A458" i="12"/>
  <c r="L457" i="12"/>
  <c r="I457" i="12"/>
  <c r="P457" i="12" s="1"/>
  <c r="C457" i="12"/>
  <c r="A457" i="12"/>
  <c r="L456" i="12"/>
  <c r="I456" i="12"/>
  <c r="P456" i="12" s="1"/>
  <c r="C456" i="12"/>
  <c r="A456" i="12"/>
  <c r="L455" i="12"/>
  <c r="I455" i="12"/>
  <c r="P455" i="12" s="1"/>
  <c r="C455" i="12"/>
  <c r="A455" i="12"/>
  <c r="L454" i="12"/>
  <c r="I454" i="12"/>
  <c r="P454" i="12" s="1"/>
  <c r="C454" i="12"/>
  <c r="A454" i="12"/>
  <c r="P453" i="12"/>
  <c r="L453" i="12"/>
  <c r="I453" i="12"/>
  <c r="C453" i="12"/>
  <c r="A453" i="12"/>
  <c r="L452" i="12"/>
  <c r="I452" i="12"/>
  <c r="P452" i="12" s="1"/>
  <c r="C452" i="12"/>
  <c r="A452" i="12"/>
  <c r="L451" i="12"/>
  <c r="I451" i="12"/>
  <c r="P451" i="12" s="1"/>
  <c r="C451" i="12"/>
  <c r="A451" i="12"/>
  <c r="L450" i="12"/>
  <c r="I450" i="12"/>
  <c r="P450" i="12" s="1"/>
  <c r="C450" i="12"/>
  <c r="A450" i="12"/>
  <c r="L449" i="12"/>
  <c r="I449" i="12"/>
  <c r="P449" i="12" s="1"/>
  <c r="C449" i="12"/>
  <c r="A449" i="12"/>
  <c r="P448" i="12"/>
  <c r="L448" i="12"/>
  <c r="I448" i="12"/>
  <c r="C448" i="12"/>
  <c r="A448" i="12"/>
  <c r="L447" i="12"/>
  <c r="I447" i="12"/>
  <c r="P447" i="12" s="1"/>
  <c r="C447" i="12"/>
  <c r="A447" i="12"/>
  <c r="L446" i="12"/>
  <c r="I446" i="12"/>
  <c r="P446" i="12" s="1"/>
  <c r="C446" i="12"/>
  <c r="A446" i="12"/>
  <c r="P445" i="12"/>
  <c r="L445" i="12"/>
  <c r="I445" i="12"/>
  <c r="C445" i="12"/>
  <c r="A445" i="12"/>
  <c r="L444" i="12"/>
  <c r="I444" i="12"/>
  <c r="P444" i="12" s="1"/>
  <c r="C444" i="12"/>
  <c r="A444" i="12"/>
  <c r="P443" i="12"/>
  <c r="L443" i="12"/>
  <c r="I443" i="12"/>
  <c r="C443" i="12"/>
  <c r="A443" i="12"/>
  <c r="L442" i="12"/>
  <c r="I442" i="12"/>
  <c r="P442" i="12" s="1"/>
  <c r="C442" i="12"/>
  <c r="A442" i="12"/>
  <c r="L441" i="12"/>
  <c r="I441" i="12"/>
  <c r="P441" i="12" s="1"/>
  <c r="C441" i="12"/>
  <c r="A441" i="12"/>
  <c r="L440" i="12"/>
  <c r="I440" i="12"/>
  <c r="P440" i="12" s="1"/>
  <c r="C440" i="12"/>
  <c r="A440" i="12"/>
  <c r="P439" i="12"/>
  <c r="L439" i="12"/>
  <c r="I439" i="12"/>
  <c r="C439" i="12"/>
  <c r="A439" i="12"/>
  <c r="L438" i="12"/>
  <c r="I438" i="12"/>
  <c r="P438" i="12" s="1"/>
  <c r="C438" i="12"/>
  <c r="A438" i="12"/>
  <c r="L437" i="12"/>
  <c r="I437" i="12"/>
  <c r="P437" i="12" s="1"/>
  <c r="C437" i="12"/>
  <c r="A437" i="12"/>
  <c r="P436" i="12"/>
  <c r="L436" i="12"/>
  <c r="I436" i="12"/>
  <c r="C436" i="12"/>
  <c r="A436" i="12"/>
  <c r="L435" i="12"/>
  <c r="I435" i="12"/>
  <c r="P435" i="12" s="1"/>
  <c r="C435" i="12"/>
  <c r="A435" i="12"/>
  <c r="L434" i="12"/>
  <c r="I434" i="12"/>
  <c r="P434" i="12" s="1"/>
  <c r="C434" i="12"/>
  <c r="A434" i="12"/>
  <c r="L433" i="12"/>
  <c r="I433" i="12"/>
  <c r="P433" i="12" s="1"/>
  <c r="C433" i="12"/>
  <c r="A433" i="12"/>
  <c r="L432" i="12"/>
  <c r="I432" i="12"/>
  <c r="P432" i="12" s="1"/>
  <c r="C432" i="12"/>
  <c r="A432" i="12"/>
  <c r="L431" i="12"/>
  <c r="I431" i="12"/>
  <c r="P431" i="12" s="1"/>
  <c r="C431" i="12"/>
  <c r="A431" i="12"/>
  <c r="L430" i="12"/>
  <c r="I430" i="12"/>
  <c r="P430" i="12" s="1"/>
  <c r="C430" i="12"/>
  <c r="A430" i="12"/>
  <c r="L429" i="12"/>
  <c r="I429" i="12"/>
  <c r="P429" i="12" s="1"/>
  <c r="C429" i="12"/>
  <c r="A429" i="12"/>
  <c r="P428" i="12"/>
  <c r="L428" i="12"/>
  <c r="I428" i="12"/>
  <c r="C428" i="12"/>
  <c r="A428" i="12"/>
  <c r="L427" i="12"/>
  <c r="I427" i="12"/>
  <c r="P427" i="12" s="1"/>
  <c r="C427" i="12"/>
  <c r="A427" i="12"/>
  <c r="L426" i="12"/>
  <c r="I426" i="12"/>
  <c r="P426" i="12" s="1"/>
  <c r="C426" i="12"/>
  <c r="A426" i="12"/>
  <c r="L425" i="12"/>
  <c r="I425" i="12"/>
  <c r="P425" i="12" s="1"/>
  <c r="C425" i="12"/>
  <c r="A425" i="12"/>
  <c r="L424" i="12"/>
  <c r="I424" i="12"/>
  <c r="P424" i="12" s="1"/>
  <c r="C424" i="12"/>
  <c r="A424" i="12"/>
  <c r="L423" i="12"/>
  <c r="I423" i="12"/>
  <c r="P423" i="12" s="1"/>
  <c r="C423" i="12"/>
  <c r="A423" i="12"/>
  <c r="L422" i="12"/>
  <c r="I422" i="12"/>
  <c r="P422" i="12" s="1"/>
  <c r="C422" i="12"/>
  <c r="A422" i="12"/>
  <c r="P421" i="12"/>
  <c r="L421" i="12"/>
  <c r="I421" i="12"/>
  <c r="C421" i="12"/>
  <c r="A421" i="12"/>
  <c r="L420" i="12"/>
  <c r="I420" i="12"/>
  <c r="P420" i="12" s="1"/>
  <c r="C420" i="12"/>
  <c r="A420" i="12"/>
  <c r="P419" i="12"/>
  <c r="L419" i="12"/>
  <c r="I419" i="12"/>
  <c r="C419" i="12"/>
  <c r="A419" i="12"/>
  <c r="L418" i="12"/>
  <c r="I418" i="12"/>
  <c r="P418" i="12" s="1"/>
  <c r="C418" i="12"/>
  <c r="A418" i="12"/>
  <c r="L417" i="12"/>
  <c r="I417" i="12"/>
  <c r="P417" i="12" s="1"/>
  <c r="C417" i="12"/>
  <c r="A417" i="12"/>
  <c r="L416" i="12"/>
  <c r="I416" i="12"/>
  <c r="P416" i="12" s="1"/>
  <c r="C416" i="12"/>
  <c r="A416" i="12"/>
  <c r="P415" i="12"/>
  <c r="L415" i="12"/>
  <c r="I415" i="12"/>
  <c r="C415" i="12"/>
  <c r="A415" i="12"/>
  <c r="P414" i="12"/>
  <c r="L414" i="12"/>
  <c r="I414" i="12"/>
  <c r="C414" i="12"/>
  <c r="A414" i="12"/>
  <c r="L413" i="12"/>
  <c r="I413" i="12"/>
  <c r="P413" i="12" s="1"/>
  <c r="C413" i="12"/>
  <c r="A413" i="12"/>
  <c r="P412" i="12"/>
  <c r="L412" i="12"/>
  <c r="I412" i="12"/>
  <c r="C412" i="12"/>
  <c r="A412" i="12"/>
  <c r="L411" i="12"/>
  <c r="I411" i="12"/>
  <c r="P411" i="12" s="1"/>
  <c r="C411" i="12"/>
  <c r="A411" i="12"/>
  <c r="P410" i="12"/>
  <c r="L410" i="12"/>
  <c r="I410" i="12"/>
  <c r="C410" i="12"/>
  <c r="A410" i="12"/>
  <c r="L409" i="12"/>
  <c r="I409" i="12"/>
  <c r="P409" i="12" s="1"/>
  <c r="C409" i="12"/>
  <c r="A409" i="12"/>
  <c r="P408" i="12"/>
  <c r="L408" i="12"/>
  <c r="I408" i="12"/>
  <c r="C408" i="12"/>
  <c r="A408" i="12"/>
  <c r="L407" i="12"/>
  <c r="I407" i="12"/>
  <c r="P407" i="12" s="1"/>
  <c r="C407" i="12"/>
  <c r="A407" i="12"/>
  <c r="L406" i="12"/>
  <c r="I406" i="12"/>
  <c r="P406" i="12" s="1"/>
  <c r="C406" i="12"/>
  <c r="A406" i="12"/>
  <c r="L405" i="12"/>
  <c r="I405" i="12"/>
  <c r="P405" i="12" s="1"/>
  <c r="C405" i="12"/>
  <c r="A405" i="12"/>
  <c r="L404" i="12"/>
  <c r="I404" i="12"/>
  <c r="P404" i="12" s="1"/>
  <c r="C404" i="12"/>
  <c r="A404" i="12"/>
  <c r="P403" i="12"/>
  <c r="L403" i="12"/>
  <c r="I403" i="12"/>
  <c r="C403" i="12"/>
  <c r="A403" i="12"/>
  <c r="L402" i="12"/>
  <c r="I402" i="12"/>
  <c r="P402" i="12" s="1"/>
  <c r="C402" i="12"/>
  <c r="A402" i="12"/>
  <c r="L401" i="12"/>
  <c r="I401" i="12"/>
  <c r="P401" i="12" s="1"/>
  <c r="C401" i="12"/>
  <c r="A401" i="12"/>
  <c r="P400" i="12"/>
  <c r="L400" i="12"/>
  <c r="I400" i="12"/>
  <c r="C400" i="12"/>
  <c r="A400" i="12"/>
  <c r="L399" i="12"/>
  <c r="I399" i="12"/>
  <c r="P399" i="12" s="1"/>
  <c r="C399" i="12"/>
  <c r="A399" i="12"/>
  <c r="L398" i="12"/>
  <c r="I398" i="12"/>
  <c r="P398" i="12" s="1"/>
  <c r="C398" i="12"/>
  <c r="A398" i="12"/>
  <c r="L397" i="12"/>
  <c r="I397" i="12"/>
  <c r="P397" i="12" s="1"/>
  <c r="C397" i="12"/>
  <c r="A397" i="12"/>
  <c r="L396" i="12"/>
  <c r="I396" i="12"/>
  <c r="P396" i="12" s="1"/>
  <c r="C396" i="12"/>
  <c r="A396" i="12"/>
  <c r="L395" i="12"/>
  <c r="I395" i="12"/>
  <c r="P395" i="12" s="1"/>
  <c r="C395" i="12"/>
  <c r="A395" i="12"/>
  <c r="P394" i="12"/>
  <c r="L394" i="12"/>
  <c r="I394" i="12"/>
  <c r="C394" i="12"/>
  <c r="A394" i="12"/>
  <c r="L393" i="12"/>
  <c r="I393" i="12"/>
  <c r="P393" i="12" s="1"/>
  <c r="C393" i="12"/>
  <c r="A393" i="12"/>
  <c r="L392" i="12"/>
  <c r="I392" i="12"/>
  <c r="P392" i="12" s="1"/>
  <c r="C392" i="12"/>
  <c r="A392" i="12"/>
  <c r="L391" i="12"/>
  <c r="I391" i="12"/>
  <c r="P391" i="12" s="1"/>
  <c r="C391" i="12"/>
  <c r="A391" i="12"/>
  <c r="L390" i="12"/>
  <c r="I390" i="12"/>
  <c r="P390" i="12" s="1"/>
  <c r="C390" i="12"/>
  <c r="A390" i="12"/>
  <c r="L389" i="12"/>
  <c r="I389" i="12"/>
  <c r="P389" i="12" s="1"/>
  <c r="C389" i="12"/>
  <c r="A389" i="12"/>
  <c r="L388" i="12"/>
  <c r="I388" i="12"/>
  <c r="P388" i="12" s="1"/>
  <c r="C388" i="12"/>
  <c r="A388" i="12"/>
  <c r="P387" i="12"/>
  <c r="L387" i="12"/>
  <c r="I387" i="12"/>
  <c r="C387" i="12"/>
  <c r="A387" i="12"/>
  <c r="P386" i="12"/>
  <c r="L386" i="12"/>
  <c r="I386" i="12"/>
  <c r="C386" i="12"/>
  <c r="A386" i="12"/>
  <c r="L385" i="12"/>
  <c r="I385" i="12"/>
  <c r="P385" i="12" s="1"/>
  <c r="C385" i="12"/>
  <c r="A385" i="12"/>
  <c r="L384" i="12"/>
  <c r="I384" i="12"/>
  <c r="P384" i="12" s="1"/>
  <c r="C384" i="12"/>
  <c r="A384" i="12"/>
  <c r="L383" i="12"/>
  <c r="I383" i="12"/>
  <c r="P383" i="12" s="1"/>
  <c r="C383" i="12"/>
  <c r="A383" i="12"/>
  <c r="L382" i="12"/>
  <c r="I382" i="12"/>
  <c r="P382" i="12" s="1"/>
  <c r="C382" i="12"/>
  <c r="A382" i="12"/>
  <c r="L381" i="12"/>
  <c r="I381" i="12"/>
  <c r="P381" i="12" s="1"/>
  <c r="C381" i="12"/>
  <c r="A381" i="12"/>
  <c r="P380" i="12"/>
  <c r="L380" i="12"/>
  <c r="I380" i="12"/>
  <c r="C380" i="12"/>
  <c r="A380" i="12"/>
  <c r="L379" i="12"/>
  <c r="I379" i="12"/>
  <c r="P379" i="12" s="1"/>
  <c r="C379" i="12"/>
  <c r="A379" i="12"/>
  <c r="L378" i="12"/>
  <c r="I378" i="12"/>
  <c r="P378" i="12" s="1"/>
  <c r="C378" i="12"/>
  <c r="A378" i="12"/>
  <c r="L377" i="12"/>
  <c r="I377" i="12"/>
  <c r="P377" i="12" s="1"/>
  <c r="C377" i="12"/>
  <c r="A377" i="12"/>
  <c r="L376" i="12"/>
  <c r="I376" i="12"/>
  <c r="P376" i="12" s="1"/>
  <c r="C376" i="12"/>
  <c r="A376" i="12"/>
  <c r="P375" i="12"/>
  <c r="L375" i="12"/>
  <c r="I375" i="12"/>
  <c r="C375" i="12"/>
  <c r="A375" i="12"/>
  <c r="L374" i="12"/>
  <c r="I374" i="12"/>
  <c r="P374" i="12" s="1"/>
  <c r="C374" i="12"/>
  <c r="A374" i="12"/>
  <c r="P373" i="12"/>
  <c r="L373" i="12"/>
  <c r="I373" i="12"/>
  <c r="C373" i="12"/>
  <c r="A373" i="12"/>
  <c r="L372" i="12"/>
  <c r="I372" i="12"/>
  <c r="P372" i="12" s="1"/>
  <c r="C372" i="12"/>
  <c r="A372" i="12"/>
  <c r="P371" i="12"/>
  <c r="L371" i="12"/>
  <c r="I371" i="12"/>
  <c r="C371" i="12"/>
  <c r="A371" i="12"/>
  <c r="P370" i="12"/>
  <c r="L370" i="12"/>
  <c r="I370" i="12"/>
  <c r="C370" i="12"/>
  <c r="A370" i="12"/>
  <c r="L369" i="12"/>
  <c r="I369" i="12"/>
  <c r="P369" i="12" s="1"/>
  <c r="C369" i="12"/>
  <c r="A369" i="12"/>
  <c r="L368" i="12"/>
  <c r="I368" i="12"/>
  <c r="P368" i="12" s="1"/>
  <c r="C368" i="12"/>
  <c r="A368" i="12"/>
  <c r="L367" i="12"/>
  <c r="I367" i="12"/>
  <c r="P367" i="12" s="1"/>
  <c r="C367" i="12"/>
  <c r="A367" i="12"/>
  <c r="L366" i="12"/>
  <c r="I366" i="12"/>
  <c r="P366" i="12" s="1"/>
  <c r="C366" i="12"/>
  <c r="A366" i="12"/>
  <c r="P365" i="12"/>
  <c r="L365" i="12"/>
  <c r="I365" i="12"/>
  <c r="C365" i="12"/>
  <c r="A365" i="12"/>
  <c r="L364" i="12"/>
  <c r="I364" i="12"/>
  <c r="P364" i="12" s="1"/>
  <c r="C364" i="12"/>
  <c r="A364" i="12"/>
  <c r="P363" i="12"/>
  <c r="L363" i="12"/>
  <c r="I363" i="12"/>
  <c r="C363" i="12"/>
  <c r="A363" i="12"/>
  <c r="L362" i="12"/>
  <c r="I362" i="12"/>
  <c r="P362" i="12" s="1"/>
  <c r="C362" i="12"/>
  <c r="A362" i="12"/>
  <c r="L361" i="12"/>
  <c r="I361" i="12"/>
  <c r="P361" i="12" s="1"/>
  <c r="C361" i="12"/>
  <c r="A361" i="12"/>
  <c r="L360" i="12"/>
  <c r="I360" i="12"/>
  <c r="P360" i="12" s="1"/>
  <c r="C360" i="12"/>
  <c r="A360" i="12"/>
  <c r="P359" i="12"/>
  <c r="L359" i="12"/>
  <c r="I359" i="12"/>
  <c r="C359" i="12"/>
  <c r="A359" i="12"/>
  <c r="P358" i="12"/>
  <c r="L358" i="12"/>
  <c r="I358" i="12"/>
  <c r="C358" i="12"/>
  <c r="A358" i="12"/>
  <c r="L357" i="12"/>
  <c r="I357" i="12"/>
  <c r="P357" i="12" s="1"/>
  <c r="C357" i="12"/>
  <c r="A357" i="12"/>
  <c r="L356" i="12"/>
  <c r="I356" i="12"/>
  <c r="P356" i="12" s="1"/>
  <c r="C356" i="12"/>
  <c r="A356" i="12"/>
  <c r="L355" i="12"/>
  <c r="I355" i="12"/>
  <c r="P355" i="12" s="1"/>
  <c r="C355" i="12"/>
  <c r="A355" i="12"/>
  <c r="L354" i="12"/>
  <c r="I354" i="12"/>
  <c r="P354" i="12" s="1"/>
  <c r="C354" i="12"/>
  <c r="A354" i="12"/>
  <c r="L353" i="12"/>
  <c r="I353" i="12"/>
  <c r="P353" i="12" s="1"/>
  <c r="C353" i="12"/>
  <c r="A353" i="12"/>
  <c r="L352" i="12"/>
  <c r="I352" i="12"/>
  <c r="P352" i="12" s="1"/>
  <c r="C352" i="12"/>
  <c r="A352" i="12"/>
  <c r="P351" i="12"/>
  <c r="L351" i="12"/>
  <c r="I351" i="12"/>
  <c r="C351" i="12"/>
  <c r="A351" i="12"/>
  <c r="L350" i="12"/>
  <c r="I350" i="12"/>
  <c r="P350" i="12" s="1"/>
  <c r="C350" i="12"/>
  <c r="A350" i="12"/>
  <c r="L349" i="12"/>
  <c r="I349" i="12"/>
  <c r="P349" i="12" s="1"/>
  <c r="C349" i="12"/>
  <c r="A349" i="12"/>
  <c r="L348" i="12"/>
  <c r="I348" i="12"/>
  <c r="P348" i="12" s="1"/>
  <c r="C348" i="12"/>
  <c r="A348" i="12"/>
  <c r="P347" i="12"/>
  <c r="L347" i="12"/>
  <c r="I347" i="12"/>
  <c r="C347" i="12"/>
  <c r="A347" i="12"/>
  <c r="L346" i="12"/>
  <c r="I346" i="12"/>
  <c r="P346" i="12" s="1"/>
  <c r="C346" i="12"/>
  <c r="A346" i="12"/>
  <c r="L345" i="12"/>
  <c r="I345" i="12"/>
  <c r="P345" i="12" s="1"/>
  <c r="C345" i="12"/>
  <c r="A345" i="12"/>
  <c r="L344" i="12"/>
  <c r="I344" i="12"/>
  <c r="P344" i="12" s="1"/>
  <c r="C344" i="12"/>
  <c r="A344" i="12"/>
  <c r="P343" i="12"/>
  <c r="L343" i="12"/>
  <c r="I343" i="12"/>
  <c r="C343" i="12"/>
  <c r="A343" i="12"/>
  <c r="P342" i="12"/>
  <c r="L342" i="12"/>
  <c r="I342" i="12"/>
  <c r="C342" i="12"/>
  <c r="A342" i="12"/>
  <c r="L341" i="12"/>
  <c r="I341" i="12"/>
  <c r="P341" i="12" s="1"/>
  <c r="C341" i="12"/>
  <c r="A341" i="12"/>
  <c r="L340" i="12"/>
  <c r="I340" i="12"/>
  <c r="P340" i="12" s="1"/>
  <c r="C340" i="12"/>
  <c r="A340" i="12"/>
  <c r="L339" i="12"/>
  <c r="I339" i="12"/>
  <c r="P339" i="12" s="1"/>
  <c r="C339" i="12"/>
  <c r="A339" i="12"/>
  <c r="L338" i="12"/>
  <c r="I338" i="12"/>
  <c r="P338" i="12" s="1"/>
  <c r="C338" i="12"/>
  <c r="A338" i="12"/>
  <c r="L337" i="12"/>
  <c r="I337" i="12"/>
  <c r="P337" i="12" s="1"/>
  <c r="C337" i="12"/>
  <c r="A337" i="12"/>
  <c r="L336" i="12"/>
  <c r="I336" i="12"/>
  <c r="P336" i="12" s="1"/>
  <c r="C336" i="12"/>
  <c r="A336" i="12"/>
  <c r="L335" i="12"/>
  <c r="I335" i="12"/>
  <c r="P335" i="12" s="1"/>
  <c r="C335" i="12"/>
  <c r="A335" i="12"/>
  <c r="P334" i="12"/>
  <c r="L334" i="12"/>
  <c r="I334" i="12"/>
  <c r="C334" i="12"/>
  <c r="A334" i="12"/>
  <c r="L333" i="12"/>
  <c r="I333" i="12"/>
  <c r="P333" i="12" s="1"/>
  <c r="C333" i="12"/>
  <c r="A333" i="12"/>
  <c r="L332" i="12"/>
  <c r="I332" i="12"/>
  <c r="P332" i="12" s="1"/>
  <c r="C332" i="12"/>
  <c r="A332" i="12"/>
  <c r="L331" i="12"/>
  <c r="I331" i="12"/>
  <c r="P331" i="12" s="1"/>
  <c r="C331" i="12"/>
  <c r="A331" i="12"/>
  <c r="P330" i="12"/>
  <c r="L330" i="12"/>
  <c r="I330" i="12"/>
  <c r="C330" i="12"/>
  <c r="A330" i="12"/>
  <c r="L329" i="12"/>
  <c r="I329" i="12"/>
  <c r="P329" i="12" s="1"/>
  <c r="C329" i="12"/>
  <c r="A329" i="12"/>
  <c r="L328" i="12"/>
  <c r="I328" i="12"/>
  <c r="P328" i="12" s="1"/>
  <c r="C328" i="12"/>
  <c r="A328" i="12"/>
  <c r="L327" i="12"/>
  <c r="I327" i="12"/>
  <c r="P327" i="12" s="1"/>
  <c r="C327" i="12"/>
  <c r="A327" i="12"/>
  <c r="L326" i="12"/>
  <c r="I326" i="12"/>
  <c r="P326" i="12" s="1"/>
  <c r="C326" i="12"/>
  <c r="A326" i="12"/>
  <c r="L325" i="12"/>
  <c r="I325" i="12"/>
  <c r="P325" i="12" s="1"/>
  <c r="C325" i="12"/>
  <c r="A325" i="12"/>
  <c r="L324" i="12"/>
  <c r="I324" i="12"/>
  <c r="P324" i="12" s="1"/>
  <c r="C324" i="12"/>
  <c r="A324" i="12"/>
  <c r="L323" i="12"/>
  <c r="I323" i="12"/>
  <c r="P323" i="12" s="1"/>
  <c r="C323" i="12"/>
  <c r="A323" i="12"/>
  <c r="P322" i="12"/>
  <c r="L322" i="12"/>
  <c r="I322" i="12"/>
  <c r="C322" i="12"/>
  <c r="A322" i="12"/>
  <c r="L321" i="12"/>
  <c r="I321" i="12"/>
  <c r="P321" i="12" s="1"/>
  <c r="C321" i="12"/>
  <c r="A321" i="12"/>
  <c r="P320" i="12"/>
  <c r="L320" i="12"/>
  <c r="I320" i="12"/>
  <c r="C320" i="12"/>
  <c r="A320" i="12"/>
  <c r="L319" i="12"/>
  <c r="I319" i="12"/>
  <c r="P319" i="12" s="1"/>
  <c r="C319" i="12"/>
  <c r="A319" i="12"/>
  <c r="L318" i="12"/>
  <c r="I318" i="12"/>
  <c r="P318" i="12" s="1"/>
  <c r="C318" i="12"/>
  <c r="A318" i="12"/>
  <c r="P317" i="12"/>
  <c r="L317" i="12"/>
  <c r="I317" i="12"/>
  <c r="C317" i="12"/>
  <c r="A317" i="12"/>
  <c r="P316" i="12"/>
  <c r="L316" i="12"/>
  <c r="I316" i="12"/>
  <c r="C316" i="12"/>
  <c r="A316" i="12"/>
  <c r="L315" i="12"/>
  <c r="I315" i="12"/>
  <c r="P315" i="12" s="1"/>
  <c r="C315" i="12"/>
  <c r="A315" i="12"/>
  <c r="L314" i="12"/>
  <c r="I314" i="12"/>
  <c r="P314" i="12" s="1"/>
  <c r="C314" i="12"/>
  <c r="A314" i="12"/>
  <c r="L313" i="12"/>
  <c r="I313" i="12"/>
  <c r="P313" i="12" s="1"/>
  <c r="C313" i="12"/>
  <c r="A313" i="12"/>
  <c r="P312" i="12"/>
  <c r="L312" i="12"/>
  <c r="I312" i="12"/>
  <c r="C312" i="12"/>
  <c r="A312" i="12"/>
  <c r="L311" i="12"/>
  <c r="I311" i="12"/>
  <c r="P311" i="12" s="1"/>
  <c r="C311" i="12"/>
  <c r="A311" i="12"/>
  <c r="L310" i="12"/>
  <c r="I310" i="12"/>
  <c r="P310" i="12" s="1"/>
  <c r="C310" i="12"/>
  <c r="A310" i="12"/>
  <c r="P309" i="12"/>
  <c r="L309" i="12"/>
  <c r="I309" i="12"/>
  <c r="C309" i="12"/>
  <c r="A309" i="12"/>
  <c r="L308" i="12"/>
  <c r="I308" i="12"/>
  <c r="P308" i="12" s="1"/>
  <c r="C308" i="12"/>
  <c r="A308" i="12"/>
  <c r="P307" i="12"/>
  <c r="L307" i="12"/>
  <c r="I307" i="12"/>
  <c r="C307" i="12"/>
  <c r="A307" i="12"/>
  <c r="L306" i="12"/>
  <c r="I306" i="12"/>
  <c r="P306" i="12" s="1"/>
  <c r="C306" i="12"/>
  <c r="A306" i="12"/>
  <c r="L305" i="12"/>
  <c r="I305" i="12"/>
  <c r="P305" i="12" s="1"/>
  <c r="C305" i="12"/>
  <c r="A305" i="12"/>
  <c r="L304" i="12"/>
  <c r="I304" i="12"/>
  <c r="P304" i="12" s="1"/>
  <c r="C304" i="12"/>
  <c r="A304" i="12"/>
  <c r="P303" i="12"/>
  <c r="L303" i="12"/>
  <c r="I303" i="12"/>
  <c r="C303" i="12"/>
  <c r="A303" i="12"/>
  <c r="L302" i="12"/>
  <c r="I302" i="12"/>
  <c r="P302" i="12" s="1"/>
  <c r="C302" i="12"/>
  <c r="A302" i="12"/>
  <c r="L301" i="12"/>
  <c r="I301" i="12"/>
  <c r="P301" i="12" s="1"/>
  <c r="C301" i="12"/>
  <c r="A301" i="12"/>
  <c r="P300" i="12"/>
  <c r="L300" i="12"/>
  <c r="I300" i="12"/>
  <c r="C300" i="12"/>
  <c r="A300" i="12"/>
  <c r="L299" i="12"/>
  <c r="I299" i="12"/>
  <c r="P299" i="12" s="1"/>
  <c r="C299" i="12"/>
  <c r="A299" i="12"/>
  <c r="P298" i="12"/>
  <c r="L298" i="12"/>
  <c r="I298" i="12"/>
  <c r="C298" i="12"/>
  <c r="A298" i="12"/>
  <c r="P297" i="12"/>
  <c r="L297" i="12"/>
  <c r="I297" i="12"/>
  <c r="C297" i="12"/>
  <c r="A297" i="12"/>
  <c r="L296" i="12"/>
  <c r="I296" i="12"/>
  <c r="P296" i="12" s="1"/>
  <c r="C296" i="12"/>
  <c r="A296" i="12"/>
  <c r="L295" i="12"/>
  <c r="I295" i="12"/>
  <c r="P295" i="12" s="1"/>
  <c r="C295" i="12"/>
  <c r="A295" i="12"/>
  <c r="L294" i="12"/>
  <c r="I294" i="12"/>
  <c r="P294" i="12" s="1"/>
  <c r="C294" i="12"/>
  <c r="A294" i="12"/>
  <c r="L293" i="12"/>
  <c r="I293" i="12"/>
  <c r="P293" i="12" s="1"/>
  <c r="C293" i="12"/>
  <c r="A293" i="12"/>
  <c r="P292" i="12"/>
  <c r="L292" i="12"/>
  <c r="I292" i="12"/>
  <c r="C292" i="12"/>
  <c r="A292" i="12"/>
  <c r="L291" i="12"/>
  <c r="I291" i="12"/>
  <c r="P291" i="12" s="1"/>
  <c r="C291" i="12"/>
  <c r="A291" i="12"/>
  <c r="L290" i="12"/>
  <c r="I290" i="12"/>
  <c r="P290" i="12" s="1"/>
  <c r="C290" i="12"/>
  <c r="A290" i="12"/>
  <c r="L289" i="12"/>
  <c r="I289" i="12"/>
  <c r="P289" i="12" s="1"/>
  <c r="C289" i="12"/>
  <c r="A289" i="12"/>
  <c r="P288" i="12"/>
  <c r="L288" i="12"/>
  <c r="I288" i="12"/>
  <c r="C288" i="12"/>
  <c r="A288" i="12"/>
  <c r="L287" i="12"/>
  <c r="I287" i="12"/>
  <c r="P287" i="12" s="1"/>
  <c r="C287" i="12"/>
  <c r="A287" i="12"/>
  <c r="L286" i="12"/>
  <c r="I286" i="12"/>
  <c r="P286" i="12" s="1"/>
  <c r="C286" i="12"/>
  <c r="A286" i="12"/>
  <c r="L285" i="12"/>
  <c r="I285" i="12"/>
  <c r="P285" i="12" s="1"/>
  <c r="C285" i="12"/>
  <c r="A285" i="12"/>
  <c r="P284" i="12"/>
  <c r="L284" i="12"/>
  <c r="I284" i="12"/>
  <c r="C284" i="12"/>
  <c r="A284" i="12"/>
  <c r="P283" i="12"/>
  <c r="L283" i="12"/>
  <c r="I283" i="12"/>
  <c r="C283" i="12"/>
  <c r="A283" i="12"/>
  <c r="L282" i="12"/>
  <c r="I282" i="12"/>
  <c r="P282" i="12" s="1"/>
  <c r="C282" i="12"/>
  <c r="A282" i="12"/>
  <c r="L281" i="12"/>
  <c r="I281" i="12"/>
  <c r="P281" i="12" s="1"/>
  <c r="C281" i="12"/>
  <c r="A281" i="12"/>
  <c r="L280" i="12"/>
  <c r="I280" i="12"/>
  <c r="P280" i="12" s="1"/>
  <c r="C280" i="12"/>
  <c r="A280" i="12"/>
  <c r="L279" i="12"/>
  <c r="I279" i="12"/>
  <c r="P279" i="12" s="1"/>
  <c r="C279" i="12"/>
  <c r="A279" i="12"/>
  <c r="L278" i="12"/>
  <c r="I278" i="12"/>
  <c r="P278" i="12" s="1"/>
  <c r="C278" i="12"/>
  <c r="A278" i="12"/>
  <c r="L277" i="12"/>
  <c r="I277" i="12"/>
  <c r="P277" i="12" s="1"/>
  <c r="C277" i="12"/>
  <c r="L276" i="12"/>
  <c r="I276" i="12"/>
  <c r="P276" i="12" s="1"/>
  <c r="C276" i="12"/>
  <c r="L275" i="12"/>
  <c r="I275" i="12"/>
  <c r="P275" i="12" s="1"/>
  <c r="C275" i="12"/>
  <c r="L274" i="12"/>
  <c r="I274" i="12"/>
  <c r="P274" i="12" s="1"/>
  <c r="C274" i="12"/>
  <c r="L273" i="12"/>
  <c r="I273" i="12"/>
  <c r="P273" i="12" s="1"/>
  <c r="C273" i="12"/>
  <c r="L272" i="12"/>
  <c r="I272" i="12"/>
  <c r="P272" i="12" s="1"/>
  <c r="C272" i="12"/>
  <c r="L271" i="12"/>
  <c r="I271" i="12"/>
  <c r="P271" i="12" s="1"/>
  <c r="C271" i="12"/>
  <c r="P270" i="12"/>
  <c r="L270" i="12"/>
  <c r="I270" i="12"/>
  <c r="C270" i="12"/>
  <c r="L269" i="12"/>
  <c r="I269" i="12"/>
  <c r="P269" i="12" s="1"/>
  <c r="C269" i="12"/>
  <c r="L268" i="12"/>
  <c r="I268" i="12"/>
  <c r="P268" i="12" s="1"/>
  <c r="C268" i="12"/>
  <c r="L267" i="12"/>
  <c r="I267" i="12"/>
  <c r="P267" i="12" s="1"/>
  <c r="C267" i="12"/>
  <c r="L266" i="12"/>
  <c r="I266" i="12"/>
  <c r="P266" i="12" s="1"/>
  <c r="C266" i="12"/>
  <c r="L265" i="12"/>
  <c r="I265" i="12"/>
  <c r="P265" i="12" s="1"/>
  <c r="C265" i="12"/>
  <c r="P264" i="12"/>
  <c r="L264" i="12"/>
  <c r="I264" i="12"/>
  <c r="C264" i="12"/>
  <c r="P263" i="12"/>
  <c r="L263" i="12"/>
  <c r="I263" i="12"/>
  <c r="C263" i="12"/>
  <c r="P262" i="12"/>
  <c r="L262" i="12"/>
  <c r="C262" i="12"/>
  <c r="P261" i="12"/>
  <c r="L261" i="12"/>
  <c r="C261" i="12"/>
  <c r="P260" i="12"/>
  <c r="L260" i="12"/>
  <c r="C260" i="12"/>
  <c r="P259" i="12"/>
  <c r="L259" i="12"/>
  <c r="C259" i="12"/>
  <c r="P258" i="12"/>
  <c r="L258" i="12"/>
  <c r="C258" i="12"/>
  <c r="P257" i="12"/>
  <c r="L257" i="12"/>
  <c r="C257" i="12"/>
  <c r="P256" i="12"/>
  <c r="L256" i="12"/>
  <c r="C256" i="12"/>
  <c r="P255" i="12"/>
  <c r="L255" i="12"/>
  <c r="C255" i="12"/>
  <c r="P254" i="12"/>
  <c r="L254" i="12"/>
  <c r="C254" i="12"/>
  <c r="P253" i="12"/>
  <c r="L253" i="12"/>
  <c r="C253" i="12"/>
  <c r="P252" i="12"/>
  <c r="L252" i="12"/>
  <c r="C252" i="12"/>
  <c r="P251" i="12"/>
  <c r="L251" i="12"/>
  <c r="C251" i="12"/>
  <c r="P250" i="12"/>
  <c r="L250" i="12"/>
  <c r="C250" i="12"/>
  <c r="P249" i="12"/>
  <c r="L249" i="12"/>
  <c r="C249" i="12"/>
  <c r="P248" i="12"/>
  <c r="L248" i="12"/>
  <c r="C248" i="12"/>
  <c r="P247" i="12"/>
  <c r="L247" i="12"/>
  <c r="C247" i="12"/>
  <c r="P246" i="12"/>
  <c r="L246" i="12"/>
  <c r="C246" i="12"/>
  <c r="P245" i="12"/>
  <c r="L245" i="12"/>
  <c r="C245" i="12"/>
  <c r="P244" i="12"/>
  <c r="L244" i="12"/>
  <c r="C244" i="12"/>
  <c r="P243" i="12"/>
  <c r="L243" i="12"/>
  <c r="C243" i="12"/>
  <c r="P242" i="12"/>
  <c r="L242" i="12"/>
  <c r="C242" i="12"/>
  <c r="P241" i="12"/>
  <c r="L241" i="12"/>
  <c r="C241" i="12"/>
  <c r="P240" i="12"/>
  <c r="L240" i="12"/>
  <c r="C240" i="12"/>
  <c r="P239" i="12"/>
  <c r="L239" i="12"/>
  <c r="C239" i="12"/>
  <c r="P238" i="12"/>
  <c r="L238" i="12"/>
  <c r="C238" i="12"/>
  <c r="P237" i="12"/>
  <c r="L237" i="12"/>
  <c r="C237" i="12"/>
  <c r="P236" i="12"/>
  <c r="L236" i="12"/>
  <c r="C236" i="12"/>
  <c r="P235" i="12"/>
  <c r="L235" i="12"/>
  <c r="C235" i="12"/>
  <c r="P234" i="12"/>
  <c r="L234" i="12"/>
  <c r="I234" i="12"/>
  <c r="C234" i="12"/>
  <c r="P233" i="12"/>
  <c r="L233" i="12"/>
  <c r="I233" i="12"/>
  <c r="C233" i="12"/>
  <c r="P232" i="12"/>
  <c r="L232" i="12"/>
  <c r="I232" i="12"/>
  <c r="C232" i="12"/>
  <c r="L231" i="12"/>
  <c r="I231" i="12"/>
  <c r="P231" i="12" s="1"/>
  <c r="C231" i="12"/>
  <c r="L230" i="12"/>
  <c r="I230" i="12"/>
  <c r="P230" i="12" s="1"/>
  <c r="C230" i="12"/>
  <c r="L229" i="12"/>
  <c r="I229" i="12"/>
  <c r="P229" i="12" s="1"/>
  <c r="C229" i="12"/>
  <c r="L228" i="12"/>
  <c r="I228" i="12"/>
  <c r="P228" i="12" s="1"/>
  <c r="C228" i="12"/>
  <c r="P227" i="12"/>
  <c r="L227" i="12"/>
  <c r="I227" i="12"/>
  <c r="C227" i="12"/>
  <c r="L226" i="12"/>
  <c r="I226" i="12"/>
  <c r="P226" i="12" s="1"/>
  <c r="C226" i="12"/>
  <c r="P225" i="12"/>
  <c r="L225" i="12"/>
  <c r="I225" i="12"/>
  <c r="C225" i="12"/>
  <c r="L224" i="12"/>
  <c r="I224" i="12"/>
  <c r="P224" i="12" s="1"/>
  <c r="C224" i="12"/>
  <c r="L223" i="12"/>
  <c r="I223" i="12"/>
  <c r="P223" i="12" s="1"/>
  <c r="C223" i="12"/>
  <c r="L222" i="12"/>
  <c r="I222" i="12"/>
  <c r="P222" i="12" s="1"/>
  <c r="C222" i="12"/>
  <c r="L221" i="12"/>
  <c r="I221" i="12"/>
  <c r="P221" i="12" s="1"/>
  <c r="C221" i="12"/>
  <c r="L220" i="12"/>
  <c r="I220" i="12"/>
  <c r="P220" i="12" s="1"/>
  <c r="C220" i="12"/>
  <c r="P219" i="12"/>
  <c r="L219" i="12"/>
  <c r="I219" i="12"/>
  <c r="C219" i="12"/>
  <c r="P218" i="12"/>
  <c r="L218" i="12"/>
  <c r="I218" i="12"/>
  <c r="C218" i="12"/>
  <c r="L217" i="12"/>
  <c r="I217" i="12"/>
  <c r="P217" i="12" s="1"/>
  <c r="C217" i="12"/>
  <c r="L216" i="12"/>
  <c r="I216" i="12"/>
  <c r="P216" i="12" s="1"/>
  <c r="C216" i="12"/>
  <c r="L215" i="12"/>
  <c r="I215" i="12"/>
  <c r="P215" i="12" s="1"/>
  <c r="C215" i="12"/>
  <c r="L214" i="12"/>
  <c r="I214" i="12"/>
  <c r="P214" i="12" s="1"/>
  <c r="C214" i="12"/>
  <c r="L213" i="12"/>
  <c r="I213" i="12"/>
  <c r="P213" i="12" s="1"/>
  <c r="C213" i="12"/>
  <c r="L212" i="12"/>
  <c r="I212" i="12"/>
  <c r="P212" i="12" s="1"/>
  <c r="C212" i="12"/>
  <c r="P211" i="12"/>
  <c r="L211" i="12"/>
  <c r="I211" i="12"/>
  <c r="C211" i="12"/>
  <c r="L210" i="12"/>
  <c r="I210" i="12"/>
  <c r="P210" i="12" s="1"/>
  <c r="C210" i="12"/>
  <c r="L209" i="12"/>
  <c r="I209" i="12"/>
  <c r="P209" i="12" s="1"/>
  <c r="C209" i="12"/>
  <c r="L208" i="12"/>
  <c r="I208" i="12"/>
  <c r="P208" i="12" s="1"/>
  <c r="C208" i="12"/>
  <c r="P207" i="12"/>
  <c r="L207" i="12"/>
  <c r="I207" i="12"/>
  <c r="C207" i="12"/>
  <c r="L206" i="12"/>
  <c r="I206" i="12"/>
  <c r="P206" i="12" s="1"/>
  <c r="C206" i="12"/>
  <c r="P205" i="12"/>
  <c r="L205" i="12"/>
  <c r="I205" i="12"/>
  <c r="C205" i="12"/>
  <c r="P204" i="12"/>
  <c r="L204" i="12"/>
  <c r="C204" i="12"/>
  <c r="S203" i="12"/>
  <c r="L203" i="12"/>
  <c r="I203" i="12"/>
  <c r="P203" i="12" s="1"/>
  <c r="C203" i="12"/>
  <c r="S202" i="12"/>
  <c r="P202" i="12"/>
  <c r="L202" i="12"/>
  <c r="I202" i="12"/>
  <c r="C202" i="12"/>
  <c r="P201" i="12"/>
  <c r="L201" i="12"/>
  <c r="I201" i="12"/>
  <c r="C201" i="12"/>
  <c r="L200" i="12"/>
  <c r="I200" i="12"/>
  <c r="P200" i="12" s="1"/>
  <c r="C200" i="12"/>
  <c r="L199" i="12"/>
  <c r="I199" i="12"/>
  <c r="P199" i="12" s="1"/>
  <c r="C199" i="12"/>
  <c r="P198" i="12"/>
  <c r="L198" i="12"/>
  <c r="I198" i="12"/>
  <c r="C198" i="12"/>
  <c r="S197" i="12"/>
  <c r="R197" i="12"/>
  <c r="L197" i="12"/>
  <c r="I197" i="12"/>
  <c r="P197" i="12" s="1"/>
  <c r="C197" i="12"/>
  <c r="L196" i="12"/>
  <c r="I196" i="12"/>
  <c r="P196" i="12" s="1"/>
  <c r="C196" i="12"/>
  <c r="S195" i="12"/>
  <c r="R195" i="12"/>
  <c r="L195" i="12"/>
  <c r="I195" i="12"/>
  <c r="P195" i="12" s="1"/>
  <c r="C195" i="12"/>
  <c r="S194" i="12"/>
  <c r="R194" i="12"/>
  <c r="P194" i="12"/>
  <c r="L194" i="12"/>
  <c r="I194" i="12"/>
  <c r="C194" i="12"/>
  <c r="S193" i="12"/>
  <c r="R193" i="12"/>
  <c r="P193" i="12"/>
  <c r="L193" i="12"/>
  <c r="C193" i="12"/>
  <c r="P192" i="12"/>
  <c r="L192" i="12"/>
  <c r="I192" i="12"/>
  <c r="C192" i="12"/>
  <c r="L191" i="12"/>
  <c r="I191" i="12"/>
  <c r="P191" i="12" s="1"/>
  <c r="C191" i="12"/>
  <c r="L190" i="12"/>
  <c r="I190" i="12"/>
  <c r="P190" i="12" s="1"/>
  <c r="C190" i="12"/>
  <c r="L189" i="12"/>
  <c r="I189" i="12"/>
  <c r="P189" i="12" s="1"/>
  <c r="C189" i="12"/>
  <c r="L188" i="12"/>
  <c r="I188" i="12"/>
  <c r="P188" i="12" s="1"/>
  <c r="C188" i="12"/>
  <c r="L187" i="12"/>
  <c r="I187" i="12"/>
  <c r="P187" i="12" s="1"/>
  <c r="C187" i="12"/>
  <c r="L186" i="12"/>
  <c r="I186" i="12"/>
  <c r="P186" i="12" s="1"/>
  <c r="C186" i="12"/>
  <c r="S185" i="12"/>
  <c r="R185" i="12"/>
  <c r="L185" i="12"/>
  <c r="I185" i="12"/>
  <c r="P185" i="12" s="1"/>
  <c r="C185" i="12"/>
  <c r="S184" i="12"/>
  <c r="R184" i="12"/>
  <c r="L184" i="12"/>
  <c r="I184" i="12"/>
  <c r="P184" i="12" s="1"/>
  <c r="C184" i="12"/>
  <c r="S183" i="12"/>
  <c r="R183" i="12"/>
  <c r="P183" i="12"/>
  <c r="L183" i="12"/>
  <c r="I183" i="12"/>
  <c r="C183" i="12"/>
  <c r="S182" i="12"/>
  <c r="R182" i="12"/>
  <c r="L182" i="12"/>
  <c r="I182" i="12"/>
  <c r="P182" i="12" s="1"/>
  <c r="C182" i="12"/>
  <c r="L181" i="12"/>
  <c r="I181" i="12"/>
  <c r="P181" i="12" s="1"/>
  <c r="C181" i="12"/>
  <c r="P180" i="12"/>
  <c r="L180" i="12"/>
  <c r="I180" i="12"/>
  <c r="C180" i="12"/>
  <c r="L179" i="12"/>
  <c r="I179" i="12"/>
  <c r="P179" i="12" s="1"/>
  <c r="C179" i="12"/>
  <c r="L178" i="12"/>
  <c r="I178" i="12"/>
  <c r="P178" i="12" s="1"/>
  <c r="C178" i="12"/>
  <c r="L177" i="12"/>
  <c r="I177" i="12"/>
  <c r="P177" i="12" s="1"/>
  <c r="C177" i="12"/>
  <c r="L176" i="12"/>
  <c r="I176" i="12"/>
  <c r="P176" i="12" s="1"/>
  <c r="C176" i="12"/>
  <c r="S175" i="12"/>
  <c r="R175" i="12"/>
  <c r="L175" i="12"/>
  <c r="I175" i="12"/>
  <c r="P175" i="12" s="1"/>
  <c r="C175" i="12"/>
  <c r="S174" i="12"/>
  <c r="R174" i="12"/>
  <c r="L174" i="12"/>
  <c r="I174" i="12"/>
  <c r="P174" i="12" s="1"/>
  <c r="C174" i="12"/>
  <c r="S173" i="12"/>
  <c r="R173" i="12"/>
  <c r="L173" i="12"/>
  <c r="I173" i="12"/>
  <c r="P173" i="12" s="1"/>
  <c r="C173" i="12"/>
  <c r="S172" i="12"/>
  <c r="R172" i="12"/>
  <c r="L172" i="12"/>
  <c r="I172" i="12"/>
  <c r="P172" i="12" s="1"/>
  <c r="C172" i="12"/>
  <c r="L171" i="12"/>
  <c r="I171" i="12"/>
  <c r="P171" i="12" s="1"/>
  <c r="C171" i="12"/>
  <c r="S170" i="12"/>
  <c r="R170" i="12"/>
  <c r="P170" i="12"/>
  <c r="L170" i="12"/>
  <c r="I170" i="12"/>
  <c r="C170" i="12"/>
  <c r="L169" i="12"/>
  <c r="I169" i="12"/>
  <c r="P169" i="12" s="1"/>
  <c r="C169" i="12"/>
  <c r="P168" i="12"/>
  <c r="L168" i="12"/>
  <c r="I168" i="12"/>
  <c r="C168" i="12"/>
  <c r="L167" i="12"/>
  <c r="I167" i="12"/>
  <c r="P167" i="12" s="1"/>
  <c r="C167" i="12"/>
  <c r="S166" i="12"/>
  <c r="R166" i="12"/>
  <c r="P166" i="12"/>
  <c r="L166" i="12"/>
  <c r="I166" i="12"/>
  <c r="C166" i="12"/>
  <c r="P165" i="12"/>
  <c r="L165" i="12"/>
  <c r="I165" i="12"/>
  <c r="C165" i="12"/>
  <c r="P164" i="12"/>
  <c r="L164" i="12"/>
  <c r="I164" i="12"/>
  <c r="C164" i="12"/>
  <c r="S163" i="12"/>
  <c r="R163" i="12"/>
  <c r="L163" i="12"/>
  <c r="I163" i="12"/>
  <c r="P163" i="12" s="1"/>
  <c r="C163" i="12"/>
  <c r="S162" i="12"/>
  <c r="R162" i="12"/>
  <c r="L162" i="12"/>
  <c r="I162" i="12"/>
  <c r="P162" i="12" s="1"/>
  <c r="C162" i="12"/>
  <c r="S161" i="12"/>
  <c r="R161" i="12"/>
  <c r="L161" i="12"/>
  <c r="I161" i="12"/>
  <c r="P161" i="12" s="1"/>
  <c r="C161" i="12"/>
  <c r="S160" i="12"/>
  <c r="R160" i="12"/>
  <c r="L160" i="12"/>
  <c r="I160" i="12"/>
  <c r="P160" i="12" s="1"/>
  <c r="C160" i="12"/>
  <c r="S159" i="12"/>
  <c r="R159" i="12"/>
  <c r="P159" i="12"/>
  <c r="L159" i="12"/>
  <c r="I159" i="12"/>
  <c r="C159" i="12"/>
  <c r="S158" i="12"/>
  <c r="R158" i="12"/>
  <c r="L158" i="12"/>
  <c r="I158" i="12"/>
  <c r="P158" i="12" s="1"/>
  <c r="C158" i="12"/>
  <c r="S157" i="12"/>
  <c r="R157" i="12"/>
  <c r="L157" i="12"/>
  <c r="I157" i="12"/>
  <c r="P157" i="12" s="1"/>
  <c r="C157" i="12"/>
  <c r="S156" i="12"/>
  <c r="R156" i="12"/>
  <c r="L156" i="12"/>
  <c r="I156" i="12"/>
  <c r="P156" i="12" s="1"/>
  <c r="C156" i="12"/>
  <c r="S155" i="12"/>
  <c r="R155" i="12"/>
  <c r="L155" i="12"/>
  <c r="I155" i="12"/>
  <c r="P155" i="12" s="1"/>
  <c r="C155" i="12"/>
  <c r="S154" i="12"/>
  <c r="R154" i="12"/>
  <c r="L154" i="12"/>
  <c r="I154" i="12"/>
  <c r="P154" i="12" s="1"/>
  <c r="C154" i="12"/>
  <c r="S153" i="12"/>
  <c r="R153" i="12"/>
  <c r="L153" i="12"/>
  <c r="I153" i="12"/>
  <c r="P153" i="12" s="1"/>
  <c r="C153" i="12"/>
  <c r="S152" i="12"/>
  <c r="R152" i="12"/>
  <c r="L152" i="12"/>
  <c r="I152" i="12"/>
  <c r="P152" i="12" s="1"/>
  <c r="C152" i="12"/>
  <c r="S151" i="12"/>
  <c r="R151" i="12"/>
  <c r="L151" i="12"/>
  <c r="I151" i="12"/>
  <c r="D85" i="11" s="1"/>
  <c r="C151" i="12"/>
  <c r="S150" i="12"/>
  <c r="R150" i="12"/>
  <c r="L150" i="12"/>
  <c r="I150" i="12"/>
  <c r="P150" i="12" s="1"/>
  <c r="C150" i="12"/>
  <c r="S149" i="12"/>
  <c r="R149" i="12"/>
  <c r="L149" i="12"/>
  <c r="I149" i="12"/>
  <c r="P149" i="12" s="1"/>
  <c r="C149" i="12"/>
  <c r="S148" i="12"/>
  <c r="R148" i="12"/>
  <c r="P148" i="12"/>
  <c r="L148" i="12"/>
  <c r="I148" i="12"/>
  <c r="C148" i="12"/>
  <c r="L147" i="12"/>
  <c r="I147" i="12"/>
  <c r="P147" i="12" s="1"/>
  <c r="C147" i="12"/>
  <c r="S146" i="12"/>
  <c r="R146" i="12"/>
  <c r="L146" i="12"/>
  <c r="I146" i="12"/>
  <c r="P146" i="12" s="1"/>
  <c r="C146" i="12"/>
  <c r="S145" i="12"/>
  <c r="R145" i="12"/>
  <c r="L145" i="12"/>
  <c r="I145" i="12"/>
  <c r="P145" i="12" s="1"/>
  <c r="C145" i="12"/>
  <c r="S144" i="12"/>
  <c r="R144" i="12"/>
  <c r="L144" i="12"/>
  <c r="I144" i="12"/>
  <c r="P144" i="12" s="1"/>
  <c r="C144" i="12"/>
  <c r="S143" i="12"/>
  <c r="R143" i="12"/>
  <c r="L143" i="12"/>
  <c r="I143" i="12"/>
  <c r="P143" i="12" s="1"/>
  <c r="C143" i="12"/>
  <c r="S142" i="12"/>
  <c r="R142" i="12"/>
  <c r="L142" i="12"/>
  <c r="I142" i="12"/>
  <c r="P142" i="12" s="1"/>
  <c r="C142" i="12"/>
  <c r="S141" i="12"/>
  <c r="R141" i="12"/>
  <c r="L141" i="12"/>
  <c r="I141" i="12"/>
  <c r="P141" i="12" s="1"/>
  <c r="C141" i="12"/>
  <c r="Q140" i="12"/>
  <c r="S140" i="12" s="1"/>
  <c r="L140" i="12"/>
  <c r="I140" i="12"/>
  <c r="P140" i="12" s="1"/>
  <c r="C140" i="12"/>
  <c r="L139" i="12"/>
  <c r="I139" i="12"/>
  <c r="P139" i="12" s="1"/>
  <c r="C139" i="12"/>
  <c r="L138" i="12"/>
  <c r="H138" i="12"/>
  <c r="I138" i="12" s="1"/>
  <c r="P138" i="12" s="1"/>
  <c r="C138" i="12"/>
  <c r="L137" i="12"/>
  <c r="H137" i="12"/>
  <c r="I137" i="12" s="1"/>
  <c r="P137" i="12" s="1"/>
  <c r="C137" i="12"/>
  <c r="S136" i="12"/>
  <c r="R136" i="12"/>
  <c r="L136" i="12"/>
  <c r="I136" i="12"/>
  <c r="P136" i="12" s="1"/>
  <c r="C136" i="12"/>
  <c r="S135" i="12"/>
  <c r="R135" i="12"/>
  <c r="P135" i="12"/>
  <c r="L135" i="12"/>
  <c r="C135" i="12"/>
  <c r="S134" i="12"/>
  <c r="R134" i="12"/>
  <c r="L134" i="12"/>
  <c r="I134" i="12"/>
  <c r="P134" i="12" s="1"/>
  <c r="C134" i="12"/>
  <c r="L133" i="12"/>
  <c r="I133" i="12"/>
  <c r="P133" i="12" s="1"/>
  <c r="C133" i="12"/>
  <c r="P132" i="12"/>
  <c r="L132" i="12"/>
  <c r="I132" i="12"/>
  <c r="C132" i="12"/>
  <c r="Q131" i="12"/>
  <c r="S131" i="12" s="1"/>
  <c r="L131" i="12"/>
  <c r="I131" i="12"/>
  <c r="P131" i="12" s="1"/>
  <c r="C131" i="12"/>
  <c r="L130" i="12"/>
  <c r="I130" i="12"/>
  <c r="P130" i="12" s="1"/>
  <c r="C130" i="12"/>
  <c r="L129" i="12"/>
  <c r="I129" i="12"/>
  <c r="P129" i="12" s="1"/>
  <c r="C129" i="12"/>
  <c r="L128" i="12"/>
  <c r="I128" i="12"/>
  <c r="P128" i="12" s="1"/>
  <c r="C128" i="12"/>
  <c r="L127" i="12"/>
  <c r="I127" i="12"/>
  <c r="P127" i="12" s="1"/>
  <c r="C127" i="12"/>
  <c r="P126" i="12"/>
  <c r="L126" i="12"/>
  <c r="I126" i="12"/>
  <c r="C126" i="12"/>
  <c r="P125" i="12"/>
  <c r="L125" i="12"/>
  <c r="I125" i="12"/>
  <c r="C125" i="12"/>
  <c r="L124" i="12"/>
  <c r="I124" i="12"/>
  <c r="P124" i="12" s="1"/>
  <c r="C124" i="12"/>
  <c r="L123" i="12"/>
  <c r="I123" i="12"/>
  <c r="P123" i="12" s="1"/>
  <c r="C123" i="12"/>
  <c r="L122" i="12"/>
  <c r="I122" i="12"/>
  <c r="P122" i="12" s="1"/>
  <c r="C122" i="12"/>
  <c r="L121" i="12"/>
  <c r="I121" i="12"/>
  <c r="P121" i="12" s="1"/>
  <c r="C121" i="12"/>
  <c r="P120" i="12"/>
  <c r="L120" i="12"/>
  <c r="I120" i="12"/>
  <c r="C120" i="12"/>
  <c r="L119" i="12"/>
  <c r="I119" i="12"/>
  <c r="P119" i="12" s="1"/>
  <c r="C119" i="12"/>
  <c r="L118" i="12"/>
  <c r="I118" i="12"/>
  <c r="P118" i="12" s="1"/>
  <c r="C118" i="12"/>
  <c r="P117" i="12"/>
  <c r="L117" i="12"/>
  <c r="I117" i="12"/>
  <c r="C117" i="12"/>
  <c r="L116" i="12"/>
  <c r="I116" i="12"/>
  <c r="P116" i="12" s="1"/>
  <c r="C116" i="12"/>
  <c r="L115" i="12"/>
  <c r="I115" i="12"/>
  <c r="P115" i="12" s="1"/>
  <c r="C115" i="12"/>
  <c r="L114" i="12"/>
  <c r="I114" i="12"/>
  <c r="P114" i="12" s="1"/>
  <c r="C114" i="12"/>
  <c r="P113" i="12"/>
  <c r="L113" i="12"/>
  <c r="I113" i="12"/>
  <c r="C113" i="12"/>
  <c r="L112" i="12"/>
  <c r="I112" i="12"/>
  <c r="P112" i="12" s="1"/>
  <c r="C112" i="12"/>
  <c r="P111" i="12"/>
  <c r="L111" i="12"/>
  <c r="I111" i="12"/>
  <c r="C111" i="12"/>
  <c r="L110" i="12"/>
  <c r="I110" i="12"/>
  <c r="P110" i="12" s="1"/>
  <c r="C110" i="12"/>
  <c r="P109" i="12"/>
  <c r="L109" i="12"/>
  <c r="I109" i="12"/>
  <c r="C109" i="12"/>
  <c r="P108" i="12"/>
  <c r="L108" i="12"/>
  <c r="I108" i="12"/>
  <c r="C108" i="12"/>
  <c r="L107" i="12"/>
  <c r="I107" i="12"/>
  <c r="P107" i="12" s="1"/>
  <c r="C107" i="12"/>
  <c r="L106" i="12"/>
  <c r="I106" i="12"/>
  <c r="P106" i="12" s="1"/>
  <c r="C106" i="12"/>
  <c r="L105" i="12"/>
  <c r="I105" i="12"/>
  <c r="P105" i="12" s="1"/>
  <c r="C105" i="12"/>
  <c r="L104" i="12"/>
  <c r="I104" i="12"/>
  <c r="P104" i="12" s="1"/>
  <c r="C104" i="12"/>
  <c r="P103" i="12"/>
  <c r="L103" i="12"/>
  <c r="I103" i="12"/>
  <c r="C103" i="12"/>
  <c r="L102" i="12"/>
  <c r="I102" i="12"/>
  <c r="P102" i="12" s="1"/>
  <c r="C102" i="12"/>
  <c r="P101" i="12"/>
  <c r="L101" i="12"/>
  <c r="I101" i="12"/>
  <c r="C101" i="12"/>
  <c r="L100" i="12"/>
  <c r="I100" i="12"/>
  <c r="P100" i="12" s="1"/>
  <c r="C100" i="12"/>
  <c r="L99" i="12"/>
  <c r="I99" i="12"/>
  <c r="P99" i="12" s="1"/>
  <c r="C99" i="12"/>
  <c r="L98" i="12"/>
  <c r="I98" i="12"/>
  <c r="P98" i="12" s="1"/>
  <c r="C98" i="12"/>
  <c r="Q97" i="12"/>
  <c r="L97" i="12"/>
  <c r="I97" i="12"/>
  <c r="P97" i="12" s="1"/>
  <c r="C97" i="12"/>
  <c r="L96" i="12"/>
  <c r="I96" i="12"/>
  <c r="P96" i="12" s="1"/>
  <c r="C96" i="12"/>
  <c r="P95" i="12"/>
  <c r="L95" i="12"/>
  <c r="I95" i="12"/>
  <c r="C95" i="12"/>
  <c r="P94" i="12"/>
  <c r="L94" i="12"/>
  <c r="I94" i="12"/>
  <c r="C94" i="12"/>
  <c r="P93" i="12"/>
  <c r="L93" i="12"/>
  <c r="I93" i="12"/>
  <c r="C93" i="12"/>
  <c r="L92" i="12"/>
  <c r="I92" i="12"/>
  <c r="P92" i="12" s="1"/>
  <c r="C92" i="12"/>
  <c r="L91" i="12"/>
  <c r="I91" i="12"/>
  <c r="P91" i="12" s="1"/>
  <c r="C91" i="12"/>
  <c r="L90" i="12"/>
  <c r="I90" i="12"/>
  <c r="P90" i="12" s="1"/>
  <c r="C90" i="12"/>
  <c r="L89" i="12"/>
  <c r="I89" i="12"/>
  <c r="P89" i="12" s="1"/>
  <c r="C89" i="12"/>
  <c r="L88" i="12"/>
  <c r="I88" i="12"/>
  <c r="P88" i="12" s="1"/>
  <c r="C88" i="12"/>
  <c r="L87" i="12"/>
  <c r="I87" i="12"/>
  <c r="P87" i="12" s="1"/>
  <c r="C87" i="12"/>
  <c r="L86" i="12"/>
  <c r="I86" i="12"/>
  <c r="P86" i="12" s="1"/>
  <c r="C86" i="12"/>
  <c r="P85" i="12"/>
  <c r="L85" i="12"/>
  <c r="I85" i="12"/>
  <c r="C85" i="12"/>
  <c r="P84" i="12"/>
  <c r="L84" i="12"/>
  <c r="I84" i="12"/>
  <c r="C84" i="12"/>
  <c r="L83" i="12"/>
  <c r="I83" i="12"/>
  <c r="P83" i="12" s="1"/>
  <c r="C83" i="12"/>
  <c r="L82" i="12"/>
  <c r="I82" i="12"/>
  <c r="P82" i="12" s="1"/>
  <c r="C82" i="12"/>
  <c r="L81" i="12"/>
  <c r="I81" i="12"/>
  <c r="P81" i="12" s="1"/>
  <c r="C81" i="12"/>
  <c r="L80" i="12"/>
  <c r="I80" i="12"/>
  <c r="P80" i="12" s="1"/>
  <c r="C80" i="12"/>
  <c r="L79" i="12"/>
  <c r="I79" i="12"/>
  <c r="P79" i="12" s="1"/>
  <c r="C79" i="12"/>
  <c r="L78" i="12"/>
  <c r="I78" i="12"/>
  <c r="P78" i="12" s="1"/>
  <c r="C78" i="12"/>
  <c r="L77" i="12"/>
  <c r="I77" i="12"/>
  <c r="P77" i="12" s="1"/>
  <c r="C77" i="12"/>
  <c r="L76" i="12"/>
  <c r="I76" i="12"/>
  <c r="P76" i="12" s="1"/>
  <c r="C76" i="12"/>
  <c r="L75" i="12"/>
  <c r="I75" i="12"/>
  <c r="P75" i="12" s="1"/>
  <c r="C75" i="12"/>
  <c r="L74" i="12"/>
  <c r="I74" i="12"/>
  <c r="P74" i="12" s="1"/>
  <c r="C74" i="12"/>
  <c r="S73" i="12"/>
  <c r="R73" i="12"/>
  <c r="L73" i="12"/>
  <c r="I73" i="12"/>
  <c r="P73" i="12" s="1"/>
  <c r="C73" i="12"/>
  <c r="S72" i="12"/>
  <c r="R72" i="12"/>
  <c r="L72" i="12"/>
  <c r="I72" i="12"/>
  <c r="P72" i="12" s="1"/>
  <c r="C72" i="12"/>
  <c r="S71" i="12"/>
  <c r="R71" i="12"/>
  <c r="L71" i="12"/>
  <c r="I71" i="12"/>
  <c r="P71" i="12" s="1"/>
  <c r="C71" i="12"/>
  <c r="S70" i="12"/>
  <c r="R70" i="12"/>
  <c r="L70" i="12"/>
  <c r="I70" i="12"/>
  <c r="P70" i="12" s="1"/>
  <c r="C70" i="12"/>
  <c r="L69" i="12"/>
  <c r="I69" i="12"/>
  <c r="P69" i="12" s="1"/>
  <c r="C69" i="12"/>
  <c r="P68" i="12"/>
  <c r="L68" i="12"/>
  <c r="I68" i="12"/>
  <c r="C68" i="12"/>
  <c r="L67" i="12"/>
  <c r="I67" i="12"/>
  <c r="P67" i="12" s="1"/>
  <c r="C67" i="12"/>
  <c r="P66" i="12"/>
  <c r="L66" i="12"/>
  <c r="I66" i="12"/>
  <c r="C66" i="12"/>
  <c r="L65" i="12"/>
  <c r="I65" i="12"/>
  <c r="P65" i="12" s="1"/>
  <c r="C65" i="12"/>
  <c r="P64" i="12"/>
  <c r="L64" i="12"/>
  <c r="I64" i="12"/>
  <c r="C64" i="12"/>
  <c r="P63" i="12"/>
  <c r="L63" i="12"/>
  <c r="I63" i="12"/>
  <c r="C63" i="12"/>
  <c r="L62" i="12"/>
  <c r="I62" i="12"/>
  <c r="P62" i="12" s="1"/>
  <c r="C62" i="12"/>
  <c r="L61" i="12"/>
  <c r="I61" i="12"/>
  <c r="P61" i="12" s="1"/>
  <c r="C61" i="12"/>
  <c r="L60" i="12"/>
  <c r="I60" i="12"/>
  <c r="P60" i="12" s="1"/>
  <c r="C60" i="12"/>
  <c r="L59" i="12"/>
  <c r="I59" i="12"/>
  <c r="P59" i="12" s="1"/>
  <c r="C59" i="12"/>
  <c r="S58" i="12"/>
  <c r="R58" i="12"/>
  <c r="L58" i="12"/>
  <c r="I58" i="12"/>
  <c r="P58" i="12" s="1"/>
  <c r="C58" i="12"/>
  <c r="S57" i="12"/>
  <c r="R57" i="12"/>
  <c r="P57" i="12"/>
  <c r="L57" i="12"/>
  <c r="I57" i="12"/>
  <c r="C57" i="12"/>
  <c r="S56" i="12"/>
  <c r="R56" i="12"/>
  <c r="P56" i="12"/>
  <c r="L56" i="12"/>
  <c r="I56" i="12"/>
  <c r="C56" i="12"/>
  <c r="S55" i="12"/>
  <c r="R55" i="12"/>
  <c r="L55" i="12"/>
  <c r="I55" i="12"/>
  <c r="P55" i="12" s="1"/>
  <c r="C55" i="12"/>
  <c r="S54" i="12"/>
  <c r="R54" i="12"/>
  <c r="P54" i="12"/>
  <c r="L54" i="12"/>
  <c r="I54" i="12"/>
  <c r="C54" i="12"/>
  <c r="S53" i="12"/>
  <c r="R53" i="12"/>
  <c r="L53" i="12"/>
  <c r="I53" i="12"/>
  <c r="P53" i="12" s="1"/>
  <c r="C53" i="12"/>
  <c r="L52" i="12"/>
  <c r="I52" i="12"/>
  <c r="P52" i="12" s="1"/>
  <c r="C52" i="12"/>
  <c r="L51" i="12"/>
  <c r="I51" i="12"/>
  <c r="P51" i="12" s="1"/>
  <c r="C51" i="12"/>
  <c r="S50" i="12"/>
  <c r="R50" i="12"/>
  <c r="L50" i="12"/>
  <c r="I50" i="12"/>
  <c r="P50" i="12" s="1"/>
  <c r="C50" i="12"/>
  <c r="S49" i="12"/>
  <c r="R49" i="12"/>
  <c r="L49" i="12"/>
  <c r="I49" i="12"/>
  <c r="P49" i="12" s="1"/>
  <c r="C49" i="12"/>
  <c r="S48" i="12"/>
  <c r="R48" i="12"/>
  <c r="L48" i="12"/>
  <c r="I48" i="12"/>
  <c r="P48" i="12" s="1"/>
  <c r="C48" i="12"/>
  <c r="S47" i="12"/>
  <c r="R47" i="12"/>
  <c r="L47" i="12"/>
  <c r="I47" i="12"/>
  <c r="P47" i="12" s="1"/>
  <c r="C47" i="12"/>
  <c r="S46" i="12"/>
  <c r="R46" i="12"/>
  <c r="P46" i="12"/>
  <c r="L46" i="12"/>
  <c r="C46" i="12"/>
  <c r="L45" i="12"/>
  <c r="I45" i="12"/>
  <c r="P45" i="12" s="1"/>
  <c r="C45" i="12"/>
  <c r="L44" i="12"/>
  <c r="I44" i="12"/>
  <c r="P44" i="12" s="1"/>
  <c r="C44" i="12"/>
  <c r="L43" i="12"/>
  <c r="I43" i="12"/>
  <c r="P43" i="12" s="1"/>
  <c r="C43" i="12"/>
  <c r="Q42" i="12"/>
  <c r="S42" i="12" s="1"/>
  <c r="L42" i="12"/>
  <c r="I42" i="12"/>
  <c r="P42" i="12" s="1"/>
  <c r="C42" i="12"/>
  <c r="L41" i="12"/>
  <c r="I41" i="12"/>
  <c r="P41" i="12" s="1"/>
  <c r="C41" i="12"/>
  <c r="Q40" i="12"/>
  <c r="R40" i="12" s="1"/>
  <c r="P40" i="12"/>
  <c r="L40" i="12"/>
  <c r="I40" i="12"/>
  <c r="C40" i="12"/>
  <c r="P39" i="12"/>
  <c r="L39" i="12"/>
  <c r="I39" i="12"/>
  <c r="C39" i="12"/>
  <c r="S38" i="12"/>
  <c r="R38" i="12"/>
  <c r="L38" i="12"/>
  <c r="I38" i="12"/>
  <c r="P38" i="12" s="1"/>
  <c r="C38" i="12"/>
  <c r="S37" i="12"/>
  <c r="R37" i="12"/>
  <c r="L37" i="12"/>
  <c r="I37" i="12"/>
  <c r="P37" i="12" s="1"/>
  <c r="C37" i="12"/>
  <c r="S36" i="12"/>
  <c r="R36" i="12"/>
  <c r="P36" i="12"/>
  <c r="L36" i="12"/>
  <c r="I36" i="12"/>
  <c r="C36" i="12"/>
  <c r="S35" i="12"/>
  <c r="R35" i="12"/>
  <c r="L35" i="12"/>
  <c r="I35" i="12"/>
  <c r="D89" i="11" s="1"/>
  <c r="G89" i="11" s="1"/>
  <c r="C35" i="12"/>
  <c r="S34" i="12"/>
  <c r="R34" i="12"/>
  <c r="L34" i="12"/>
  <c r="I34" i="12"/>
  <c r="P34" i="12" s="1"/>
  <c r="C34" i="12"/>
  <c r="S33" i="12"/>
  <c r="R33" i="12"/>
  <c r="P33" i="12"/>
  <c r="L33" i="12"/>
  <c r="I33" i="12"/>
  <c r="C33" i="12"/>
  <c r="S32" i="12"/>
  <c r="R32" i="12"/>
  <c r="L32" i="12"/>
  <c r="I32" i="12"/>
  <c r="P32" i="12" s="1"/>
  <c r="C32" i="12"/>
  <c r="S31" i="12"/>
  <c r="R31" i="12"/>
  <c r="P31" i="12"/>
  <c r="L31" i="12"/>
  <c r="I31" i="12"/>
  <c r="C31" i="12"/>
  <c r="S30" i="12"/>
  <c r="R30" i="12"/>
  <c r="L30" i="12"/>
  <c r="I30" i="12"/>
  <c r="P30" i="12" s="1"/>
  <c r="C30" i="12"/>
  <c r="S29" i="12"/>
  <c r="R29" i="12"/>
  <c r="P29" i="12"/>
  <c r="L29" i="12"/>
  <c r="I29" i="12"/>
  <c r="C29" i="12"/>
  <c r="S28" i="12"/>
  <c r="R28" i="12"/>
  <c r="L28" i="12"/>
  <c r="I28" i="12"/>
  <c r="P28" i="12" s="1"/>
  <c r="C28" i="12"/>
  <c r="S27" i="12"/>
  <c r="R27" i="12"/>
  <c r="L27" i="12"/>
  <c r="I27" i="12"/>
  <c r="P27" i="12" s="1"/>
  <c r="C27" i="12"/>
  <c r="S26" i="12"/>
  <c r="R26" i="12"/>
  <c r="L26" i="12"/>
  <c r="I26" i="12"/>
  <c r="P26" i="12" s="1"/>
  <c r="C26" i="12"/>
  <c r="S25" i="12"/>
  <c r="R25" i="12"/>
  <c r="L25" i="12"/>
  <c r="I25" i="12"/>
  <c r="P25" i="12" s="1"/>
  <c r="C25" i="12"/>
  <c r="S24" i="12"/>
  <c r="R24" i="12"/>
  <c r="L24" i="12"/>
  <c r="I24" i="12"/>
  <c r="P24" i="12" s="1"/>
  <c r="C24" i="12"/>
  <c r="A24" i="12"/>
  <c r="A25" i="12" s="1"/>
  <c r="A26" i="12" s="1"/>
  <c r="A27" i="12" s="1"/>
  <c r="A28" i="12" s="1"/>
  <c r="A29" i="12" s="1"/>
  <c r="A30" i="12" s="1"/>
  <c r="A31" i="12" s="1"/>
  <c r="A32" i="12" s="1"/>
  <c r="A33" i="12" s="1"/>
  <c r="A34" i="12" s="1"/>
  <c r="A35" i="12" s="1"/>
  <c r="A36" i="12" s="1"/>
  <c r="A37" i="12" s="1"/>
  <c r="A38" i="12" s="1"/>
  <c r="A39" i="12" s="1"/>
  <c r="A40" i="12" s="1"/>
  <c r="A41" i="12" s="1"/>
  <c r="A42" i="12" s="1"/>
  <c r="A43" i="12" s="1"/>
  <c r="A44" i="12" s="1"/>
  <c r="A45" i="12" s="1"/>
  <c r="A46" i="12" s="1"/>
  <c r="A47" i="12" s="1"/>
  <c r="A48" i="12" s="1"/>
  <c r="A49" i="12" s="1"/>
  <c r="A50" i="12" s="1"/>
  <c r="A51" i="12" s="1"/>
  <c r="A52" i="12" s="1"/>
  <c r="A53" i="12" s="1"/>
  <c r="A54" i="12" s="1"/>
  <c r="A55" i="12" s="1"/>
  <c r="A56" i="12" s="1"/>
  <c r="A57" i="12" s="1"/>
  <c r="A58" i="12" s="1"/>
  <c r="A59" i="12" s="1"/>
  <c r="A60" i="12" s="1"/>
  <c r="A61" i="12" s="1"/>
  <c r="A62" i="12" s="1"/>
  <c r="A63" i="12" s="1"/>
  <c r="A64" i="12" s="1"/>
  <c r="A65" i="12" s="1"/>
  <c r="A66" i="12" s="1"/>
  <c r="A67" i="12" s="1"/>
  <c r="A68" i="12" s="1"/>
  <c r="A69" i="12" s="1"/>
  <c r="A70" i="12" s="1"/>
  <c r="A71" i="12" s="1"/>
  <c r="A72" i="12" s="1"/>
  <c r="A73" i="12" s="1"/>
  <c r="A74" i="12" s="1"/>
  <c r="A75" i="12" s="1"/>
  <c r="A76" i="12" s="1"/>
  <c r="A77" i="12" s="1"/>
  <c r="A78" i="12" s="1"/>
  <c r="A79" i="12" s="1"/>
  <c r="A80" i="12" s="1"/>
  <c r="A81" i="12" s="1"/>
  <c r="A82" i="12" s="1"/>
  <c r="A83" i="12" s="1"/>
  <c r="A84" i="12" s="1"/>
  <c r="A85" i="12" s="1"/>
  <c r="A86" i="12" s="1"/>
  <c r="A87" i="12" s="1"/>
  <c r="A88" i="12" s="1"/>
  <c r="A89" i="12" s="1"/>
  <c r="A90" i="12" s="1"/>
  <c r="A91" i="12" s="1"/>
  <c r="A92" i="12" s="1"/>
  <c r="A93" i="12" s="1"/>
  <c r="A94" i="12" s="1"/>
  <c r="A95" i="12" s="1"/>
  <c r="A96" i="12" s="1"/>
  <c r="A97" i="12" s="1"/>
  <c r="A98" i="12" s="1"/>
  <c r="A99" i="12" s="1"/>
  <c r="A100" i="12" s="1"/>
  <c r="A101" i="12" s="1"/>
  <c r="A102" i="12" s="1"/>
  <c r="A103" i="12" s="1"/>
  <c r="A104" i="12" s="1"/>
  <c r="A105" i="12" s="1"/>
  <c r="A106" i="12" s="1"/>
  <c r="A107" i="12" s="1"/>
  <c r="A108" i="12" s="1"/>
  <c r="A109" i="12" s="1"/>
  <c r="A110" i="12" s="1"/>
  <c r="A111" i="12" s="1"/>
  <c r="A112" i="12" s="1"/>
  <c r="A113" i="12" s="1"/>
  <c r="A114" i="12" s="1"/>
  <c r="A115" i="12" s="1"/>
  <c r="A116" i="12" s="1"/>
  <c r="A117" i="12" s="1"/>
  <c r="A118" i="12" s="1"/>
  <c r="A119" i="12" s="1"/>
  <c r="A120" i="12" s="1"/>
  <c r="A121" i="12" s="1"/>
  <c r="A122" i="12" s="1"/>
  <c r="A123" i="12" s="1"/>
  <c r="A124" i="12" s="1"/>
  <c r="A125" i="12" s="1"/>
  <c r="A126" i="12" s="1"/>
  <c r="A127" i="12" s="1"/>
  <c r="A128" i="12" s="1"/>
  <c r="A129" i="12" s="1"/>
  <c r="A130" i="12" s="1"/>
  <c r="A131" i="12" s="1"/>
  <c r="A132" i="12" s="1"/>
  <c r="A133" i="12" s="1"/>
  <c r="A134" i="12" s="1"/>
  <c r="A135" i="12" s="1"/>
  <c r="A136" i="12" s="1"/>
  <c r="A137" i="12" s="1"/>
  <c r="A138" i="12" s="1"/>
  <c r="A139" i="12" s="1"/>
  <c r="A140" i="12" s="1"/>
  <c r="A141" i="12" s="1"/>
  <c r="A142" i="12" s="1"/>
  <c r="A143" i="12" s="1"/>
  <c r="A144" i="12" s="1"/>
  <c r="A145" i="12" s="1"/>
  <c r="A146" i="12" s="1"/>
  <c r="A147" i="12" s="1"/>
  <c r="A148" i="12" s="1"/>
  <c r="A149" i="12" s="1"/>
  <c r="A150" i="12" s="1"/>
  <c r="A151" i="12" s="1"/>
  <c r="A152" i="12" s="1"/>
  <c r="A153" i="12" s="1"/>
  <c r="A154" i="12" s="1"/>
  <c r="A155" i="12" s="1"/>
  <c r="A156" i="12" s="1"/>
  <c r="A157" i="12" s="1"/>
  <c r="A158" i="12" s="1"/>
  <c r="A159" i="12" s="1"/>
  <c r="A160" i="12" s="1"/>
  <c r="A161" i="12" s="1"/>
  <c r="A162" i="12" s="1"/>
  <c r="A163" i="12" s="1"/>
  <c r="A164" i="12" s="1"/>
  <c r="A165" i="12" s="1"/>
  <c r="A166" i="12" s="1"/>
  <c r="A167" i="12" s="1"/>
  <c r="A168" i="12" s="1"/>
  <c r="A169" i="12" s="1"/>
  <c r="A170" i="12" s="1"/>
  <c r="A171" i="12" s="1"/>
  <c r="A172" i="12" s="1"/>
  <c r="A173" i="12" s="1"/>
  <c r="A174" i="12" s="1"/>
  <c r="A175" i="12" s="1"/>
  <c r="A176" i="12" s="1"/>
  <c r="A177" i="12" s="1"/>
  <c r="A178" i="12" s="1"/>
  <c r="A179" i="12" s="1"/>
  <c r="A180" i="12" s="1"/>
  <c r="A181" i="12" s="1"/>
  <c r="A182" i="12" s="1"/>
  <c r="A183" i="12" s="1"/>
  <c r="A184" i="12" s="1"/>
  <c r="A185" i="12" s="1"/>
  <c r="A186" i="12" s="1"/>
  <c r="A187" i="12" s="1"/>
  <c r="A188" i="12" s="1"/>
  <c r="A189" i="12" s="1"/>
  <c r="A190" i="12" s="1"/>
  <c r="A191" i="12" s="1"/>
  <c r="A192" i="12" s="1"/>
  <c r="A193" i="12" s="1"/>
  <c r="A194" i="12" s="1"/>
  <c r="A195" i="12" s="1"/>
  <c r="A196" i="12" s="1"/>
  <c r="A197" i="12" s="1"/>
  <c r="A198" i="12" s="1"/>
  <c r="A199" i="12" s="1"/>
  <c r="A200" i="12" s="1"/>
  <c r="A201" i="12" s="1"/>
  <c r="A202" i="12" s="1"/>
  <c r="A203" i="12" s="1"/>
  <c r="A204" i="12" s="1"/>
  <c r="A205" i="12" s="1"/>
  <c r="A206" i="12" s="1"/>
  <c r="A207" i="12" s="1"/>
  <c r="A208" i="12" s="1"/>
  <c r="A209" i="12" s="1"/>
  <c r="A210" i="12" s="1"/>
  <c r="A211" i="12" s="1"/>
  <c r="A212" i="12" s="1"/>
  <c r="A213" i="12" s="1"/>
  <c r="A214" i="12" s="1"/>
  <c r="A215" i="12" s="1"/>
  <c r="A216" i="12" s="1"/>
  <c r="A217" i="12" s="1"/>
  <c r="A218" i="12" s="1"/>
  <c r="A219" i="12" s="1"/>
  <c r="A220" i="12" s="1"/>
  <c r="A221" i="12" s="1"/>
  <c r="A222" i="12" s="1"/>
  <c r="A223" i="12" s="1"/>
  <c r="A224" i="12" s="1"/>
  <c r="A225" i="12" s="1"/>
  <c r="A226" i="12" s="1"/>
  <c r="A227" i="12" s="1"/>
  <c r="A228" i="12" s="1"/>
  <c r="A229" i="12" s="1"/>
  <c r="A230" i="12" s="1"/>
  <c r="A231" i="12" s="1"/>
  <c r="A232" i="12" s="1"/>
  <c r="A233" i="12" s="1"/>
  <c r="A234" i="12" s="1"/>
  <c r="A235" i="12" s="1"/>
  <c r="A236" i="12" s="1"/>
  <c r="A237" i="12" s="1"/>
  <c r="A238" i="12" s="1"/>
  <c r="A239" i="12" s="1"/>
  <c r="A240" i="12" s="1"/>
  <c r="A241" i="12" s="1"/>
  <c r="A242" i="12" s="1"/>
  <c r="A243" i="12" s="1"/>
  <c r="A244" i="12" s="1"/>
  <c r="A245" i="12" s="1"/>
  <c r="A246" i="12" s="1"/>
  <c r="A247" i="12" s="1"/>
  <c r="A248" i="12" s="1"/>
  <c r="A249" i="12" s="1"/>
  <c r="A250" i="12" s="1"/>
  <c r="A251" i="12" s="1"/>
  <c r="A252" i="12" s="1"/>
  <c r="A253" i="12" s="1"/>
  <c r="A254" i="12" s="1"/>
  <c r="A255" i="12" s="1"/>
  <c r="A256" i="12" s="1"/>
  <c r="A257" i="12" s="1"/>
  <c r="A258" i="12" s="1"/>
  <c r="A259" i="12" s="1"/>
  <c r="A260" i="12" s="1"/>
  <c r="A261" i="12" s="1"/>
  <c r="A262" i="12" s="1"/>
  <c r="A263" i="12" s="1"/>
  <c r="A264" i="12" s="1"/>
  <c r="A265" i="12" s="1"/>
  <c r="A266" i="12" s="1"/>
  <c r="A267" i="12" s="1"/>
  <c r="A268" i="12" s="1"/>
  <c r="A269" i="12" s="1"/>
  <c r="A270" i="12" s="1"/>
  <c r="A271" i="12" s="1"/>
  <c r="A272" i="12" s="1"/>
  <c r="A273" i="12" s="1"/>
  <c r="A274" i="12" s="1"/>
  <c r="A275" i="12" s="1"/>
  <c r="A276" i="12" s="1"/>
  <c r="A277" i="12" s="1"/>
  <c r="S23" i="12"/>
  <c r="R23" i="12"/>
  <c r="L23" i="12"/>
  <c r="I23" i="12"/>
  <c r="P23" i="12" s="1"/>
  <c r="C23" i="12"/>
  <c r="S22" i="12"/>
  <c r="R22" i="12"/>
  <c r="L22" i="12"/>
  <c r="I22" i="12"/>
  <c r="P22" i="12" s="1"/>
  <c r="C22" i="12"/>
  <c r="S21" i="12"/>
  <c r="R21" i="12"/>
  <c r="L21" i="12"/>
  <c r="I21" i="12"/>
  <c r="P21" i="12" s="1"/>
  <c r="C21" i="12"/>
  <c r="S20" i="12"/>
  <c r="R20" i="12"/>
  <c r="P20" i="12"/>
  <c r="L20" i="12"/>
  <c r="I20" i="12"/>
  <c r="C20" i="12"/>
  <c r="S19" i="12"/>
  <c r="R19" i="12"/>
  <c r="L19" i="12"/>
  <c r="I19" i="12"/>
  <c r="P19" i="12" s="1"/>
  <c r="C19" i="12"/>
  <c r="S18" i="12"/>
  <c r="R18" i="12"/>
  <c r="L18" i="12"/>
  <c r="I18" i="12"/>
  <c r="P18" i="12" s="1"/>
  <c r="C18" i="12"/>
  <c r="S17" i="12"/>
  <c r="R17" i="12"/>
  <c r="P17" i="12"/>
  <c r="L17" i="12"/>
  <c r="I17" i="12"/>
  <c r="C17" i="12"/>
  <c r="S16" i="12"/>
  <c r="R16" i="12"/>
  <c r="P16" i="12"/>
  <c r="L16" i="12"/>
  <c r="I16" i="12"/>
  <c r="C16" i="12"/>
  <c r="S15" i="12"/>
  <c r="R15" i="12"/>
  <c r="L15" i="12"/>
  <c r="I15" i="12"/>
  <c r="P15" i="12" s="1"/>
  <c r="C15" i="12"/>
  <c r="L14" i="12"/>
  <c r="I14" i="12"/>
  <c r="P14" i="12" s="1"/>
  <c r="C14" i="12"/>
  <c r="Q13" i="12"/>
  <c r="S13" i="12" s="1"/>
  <c r="L13" i="12"/>
  <c r="I13" i="12"/>
  <c r="P13" i="12" s="1"/>
  <c r="C13" i="12"/>
  <c r="L12" i="12"/>
  <c r="I12" i="12"/>
  <c r="P12" i="12" s="1"/>
  <c r="C12" i="12"/>
  <c r="Q11" i="12"/>
  <c r="R11" i="12" s="1"/>
  <c r="P11" i="12"/>
  <c r="L11" i="12"/>
  <c r="I11" i="12"/>
  <c r="C11" i="12"/>
  <c r="P10" i="12"/>
  <c r="L10" i="12"/>
  <c r="I10" i="12"/>
  <c r="C10" i="12"/>
  <c r="P9" i="12"/>
  <c r="L9" i="12"/>
  <c r="I9" i="12"/>
  <c r="C9" i="12"/>
  <c r="L8" i="12"/>
  <c r="I8" i="12"/>
  <c r="P8" i="12" s="1"/>
  <c r="C8" i="12"/>
  <c r="S7" i="12"/>
  <c r="R7" i="12"/>
  <c r="L7" i="12"/>
  <c r="I7" i="12"/>
  <c r="P7" i="12" s="1"/>
  <c r="C7" i="12"/>
  <c r="S6" i="12"/>
  <c r="R6" i="12"/>
  <c r="L6" i="12"/>
  <c r="I6" i="12"/>
  <c r="P6" i="12" s="1"/>
  <c r="C6" i="12"/>
  <c r="L5" i="12"/>
  <c r="I5" i="12"/>
  <c r="P5" i="12" s="1"/>
  <c r="C5" i="12"/>
  <c r="S4" i="12"/>
  <c r="R4" i="12"/>
  <c r="P4" i="12"/>
  <c r="L4" i="12"/>
  <c r="I4" i="12"/>
  <c r="C4" i="12"/>
  <c r="S3" i="12"/>
  <c r="R3" i="12"/>
  <c r="L3" i="12"/>
  <c r="I3" i="12"/>
  <c r="P3" i="12" s="1"/>
  <c r="C3" i="12"/>
  <c r="A3" i="12"/>
  <c r="A4" i="12" s="1"/>
  <c r="A5" i="12" s="1"/>
  <c r="A6" i="12" s="1"/>
  <c r="A7" i="12" s="1"/>
  <c r="A8" i="12" s="1"/>
  <c r="A9" i="12" s="1"/>
  <c r="A10" i="12" s="1"/>
  <c r="A11" i="12" s="1"/>
  <c r="A12" i="12" s="1"/>
  <c r="A13" i="12" s="1"/>
  <c r="A14" i="12" s="1"/>
  <c r="A15" i="12" s="1"/>
  <c r="A16" i="12" s="1"/>
  <c r="A17" i="12" s="1"/>
  <c r="A18" i="12" s="1"/>
  <c r="A19" i="12" s="1"/>
  <c r="A20" i="12" s="1"/>
  <c r="A21" i="12" s="1"/>
  <c r="A22" i="12" s="1"/>
  <c r="A23" i="12" s="1"/>
  <c r="P2" i="12"/>
  <c r="L2" i="12"/>
  <c r="I2" i="12"/>
  <c r="D146" i="11"/>
  <c r="G146" i="11" s="1"/>
  <c r="C146" i="11"/>
  <c r="D145" i="11"/>
  <c r="G145" i="11" s="1"/>
  <c r="C145" i="11"/>
  <c r="D144" i="11"/>
  <c r="G144" i="11" s="1"/>
  <c r="C144" i="11"/>
  <c r="D143" i="11"/>
  <c r="E143" i="11" s="1"/>
  <c r="C143" i="11"/>
  <c r="D142" i="11"/>
  <c r="G142" i="11" s="1"/>
  <c r="C142" i="11"/>
  <c r="D141" i="11"/>
  <c r="G141" i="11" s="1"/>
  <c r="C141" i="11"/>
  <c r="D140" i="11"/>
  <c r="G140" i="11" s="1"/>
  <c r="C140" i="11"/>
  <c r="D139" i="11"/>
  <c r="E139" i="11" s="1"/>
  <c r="C139" i="11"/>
  <c r="D138" i="11"/>
  <c r="G138" i="11" s="1"/>
  <c r="C138" i="11"/>
  <c r="D137" i="11"/>
  <c r="G137" i="11" s="1"/>
  <c r="C137" i="11"/>
  <c r="D136" i="11"/>
  <c r="G136" i="11" s="1"/>
  <c r="C136" i="11"/>
  <c r="D135" i="11"/>
  <c r="E135" i="11" s="1"/>
  <c r="C135" i="11"/>
  <c r="D134" i="11"/>
  <c r="G134" i="11" s="1"/>
  <c r="C134" i="11"/>
  <c r="D133" i="11"/>
  <c r="G133" i="11" s="1"/>
  <c r="C133" i="11"/>
  <c r="D132" i="11"/>
  <c r="G132" i="11" s="1"/>
  <c r="C132" i="11"/>
  <c r="D131" i="11"/>
  <c r="E131" i="11" s="1"/>
  <c r="C131" i="11"/>
  <c r="D130" i="11"/>
  <c r="G130" i="11" s="1"/>
  <c r="C130" i="11"/>
  <c r="D129" i="11"/>
  <c r="G129" i="11" s="1"/>
  <c r="C129" i="11"/>
  <c r="D128" i="11"/>
  <c r="G128" i="11" s="1"/>
  <c r="C128" i="11"/>
  <c r="D127" i="11"/>
  <c r="E127" i="11" s="1"/>
  <c r="C127" i="11"/>
  <c r="D126" i="11"/>
  <c r="G126" i="11" s="1"/>
  <c r="C126" i="11"/>
  <c r="D125" i="11"/>
  <c r="G125" i="11" s="1"/>
  <c r="C125" i="11"/>
  <c r="D124" i="11"/>
  <c r="G124" i="11" s="1"/>
  <c r="C124" i="11"/>
  <c r="G123" i="11"/>
  <c r="D123" i="11"/>
  <c r="E123" i="11" s="1"/>
  <c r="C123" i="11"/>
  <c r="D122" i="11"/>
  <c r="E122" i="11" s="1"/>
  <c r="C122" i="11"/>
  <c r="D121" i="11"/>
  <c r="G121" i="11" s="1"/>
  <c r="C121" i="11"/>
  <c r="D120" i="11"/>
  <c r="G120" i="11" s="1"/>
  <c r="C120" i="11"/>
  <c r="D119" i="11"/>
  <c r="E119" i="11" s="1"/>
  <c r="C119" i="11"/>
  <c r="D118" i="11"/>
  <c r="E118" i="11" s="1"/>
  <c r="C118" i="11"/>
  <c r="D117" i="11"/>
  <c r="G117" i="11" s="1"/>
  <c r="C117" i="11"/>
  <c r="D116" i="11"/>
  <c r="G116" i="11" s="1"/>
  <c r="C116" i="11"/>
  <c r="D115" i="11"/>
  <c r="C115" i="11"/>
  <c r="C114" i="11"/>
  <c r="D113" i="11"/>
  <c r="G113" i="11" s="1"/>
  <c r="C113" i="11"/>
  <c r="D112" i="11"/>
  <c r="C112" i="11"/>
  <c r="D111" i="11"/>
  <c r="E111" i="11" s="1"/>
  <c r="C111" i="11"/>
  <c r="C110" i="11"/>
  <c r="D109" i="11"/>
  <c r="G109" i="11" s="1"/>
  <c r="C109" i="11"/>
  <c r="D108" i="11"/>
  <c r="C108" i="11"/>
  <c r="C107" i="11"/>
  <c r="D106" i="11"/>
  <c r="E106" i="11" s="1"/>
  <c r="C106" i="11"/>
  <c r="D105" i="11"/>
  <c r="C105" i="11"/>
  <c r="C104" i="11"/>
  <c r="D103" i="11"/>
  <c r="E103" i="11" s="1"/>
  <c r="C103" i="11"/>
  <c r="D102" i="11"/>
  <c r="E102" i="11" s="1"/>
  <c r="C102" i="11"/>
  <c r="D101" i="11"/>
  <c r="C101" i="11"/>
  <c r="D100" i="11"/>
  <c r="C100" i="11"/>
  <c r="D99" i="11"/>
  <c r="C99" i="11"/>
  <c r="D98" i="11"/>
  <c r="E98" i="11" s="1"/>
  <c r="C98" i="11"/>
  <c r="C97" i="11"/>
  <c r="D96" i="11"/>
  <c r="C96" i="11"/>
  <c r="D95" i="11"/>
  <c r="C95" i="11"/>
  <c r="D94" i="11"/>
  <c r="C94" i="11"/>
  <c r="D93" i="11"/>
  <c r="G93" i="11" s="1"/>
  <c r="C93" i="11"/>
  <c r="D92" i="11"/>
  <c r="C92" i="11"/>
  <c r="D91" i="11"/>
  <c r="G91" i="11" s="1"/>
  <c r="C91" i="11"/>
  <c r="D90" i="11"/>
  <c r="G90" i="11" s="1"/>
  <c r="C90" i="11"/>
  <c r="C89" i="11"/>
  <c r="D88" i="11"/>
  <c r="C88" i="11"/>
  <c r="D87" i="11"/>
  <c r="G87" i="11" s="1"/>
  <c r="C87" i="11"/>
  <c r="D86" i="11"/>
  <c r="C86" i="11"/>
  <c r="C85" i="11"/>
  <c r="D84" i="11"/>
  <c r="C84" i="11"/>
  <c r="D83" i="11"/>
  <c r="C83" i="11"/>
  <c r="D82" i="11"/>
  <c r="C82" i="11"/>
  <c r="C81" i="11"/>
  <c r="D80" i="11"/>
  <c r="C80" i="11"/>
  <c r="D79" i="11"/>
  <c r="C79" i="11"/>
  <c r="D78" i="11"/>
  <c r="C78" i="11"/>
  <c r="D77" i="11"/>
  <c r="G77" i="11" s="1"/>
  <c r="C77" i="11"/>
  <c r="D76" i="11"/>
  <c r="C76" i="11"/>
  <c r="D75" i="11"/>
  <c r="C75" i="11"/>
  <c r="D74" i="11"/>
  <c r="C74" i="11"/>
  <c r="D73" i="11"/>
  <c r="C73" i="11"/>
  <c r="D72" i="11"/>
  <c r="C72" i="11"/>
  <c r="D71" i="11"/>
  <c r="C71" i="11"/>
  <c r="D70" i="11"/>
  <c r="C70" i="11"/>
  <c r="D69" i="11"/>
  <c r="G69" i="11" s="1"/>
  <c r="C69" i="11"/>
  <c r="D68" i="11"/>
  <c r="C68" i="11"/>
  <c r="D67" i="11"/>
  <c r="C67" i="11"/>
  <c r="D66" i="11"/>
  <c r="C66" i="11"/>
  <c r="C65" i="11"/>
  <c r="D64" i="11"/>
  <c r="C64" i="11"/>
  <c r="D63" i="11"/>
  <c r="C63" i="11"/>
  <c r="D62" i="11"/>
  <c r="C62" i="11"/>
  <c r="D61" i="11"/>
  <c r="G61" i="11" s="1"/>
  <c r="C61" i="11"/>
  <c r="D60" i="11"/>
  <c r="C60" i="11"/>
  <c r="D59" i="11"/>
  <c r="C59" i="11"/>
  <c r="D58" i="11"/>
  <c r="C58" i="11"/>
  <c r="D57" i="11"/>
  <c r="G57" i="11" s="1"/>
  <c r="C57" i="11"/>
  <c r="D56" i="11"/>
  <c r="C56" i="11"/>
  <c r="D55" i="11"/>
  <c r="C55" i="11"/>
  <c r="D54" i="11"/>
  <c r="C54" i="11"/>
  <c r="D53" i="11"/>
  <c r="C53" i="11"/>
  <c r="D52" i="11"/>
  <c r="C52" i="11"/>
  <c r="D51" i="11"/>
  <c r="C51" i="11"/>
  <c r="D50" i="11"/>
  <c r="C50" i="11"/>
  <c r="D49" i="11"/>
  <c r="G49" i="11" s="1"/>
  <c r="C49" i="11"/>
  <c r="D48" i="11"/>
  <c r="C48" i="11"/>
  <c r="D47" i="11"/>
  <c r="C47" i="11"/>
  <c r="D46" i="11"/>
  <c r="C46" i="11"/>
  <c r="D45" i="11"/>
  <c r="G45" i="11" s="1"/>
  <c r="C45" i="11"/>
  <c r="D44" i="11"/>
  <c r="C44" i="11"/>
  <c r="D43" i="11"/>
  <c r="C43" i="11"/>
  <c r="D42" i="11"/>
  <c r="C42" i="11"/>
  <c r="C41" i="11"/>
  <c r="D40" i="11"/>
  <c r="C40" i="11"/>
  <c r="D39" i="11"/>
  <c r="C39" i="11"/>
  <c r="D38" i="11"/>
  <c r="C38" i="11"/>
  <c r="C37" i="11"/>
  <c r="D36" i="11"/>
  <c r="C36" i="11"/>
  <c r="D35" i="11"/>
  <c r="C35" i="11"/>
  <c r="D34" i="11"/>
  <c r="C34" i="11"/>
  <c r="D33" i="11"/>
  <c r="G33" i="11" s="1"/>
  <c r="C33" i="11"/>
  <c r="D32" i="11"/>
  <c r="C32" i="11"/>
  <c r="D31" i="11"/>
  <c r="C31" i="11"/>
  <c r="D30" i="11"/>
  <c r="C30" i="11"/>
  <c r="D29" i="11"/>
  <c r="G29" i="11" s="1"/>
  <c r="C29" i="11"/>
  <c r="D28" i="11"/>
  <c r="C28" i="11"/>
  <c r="C27" i="11"/>
  <c r="D26" i="11"/>
  <c r="C26" i="11"/>
  <c r="D25" i="11"/>
  <c r="C25" i="11"/>
  <c r="D24" i="11"/>
  <c r="C24" i="11"/>
  <c r="D23" i="11"/>
  <c r="C23" i="11"/>
  <c r="D22" i="11"/>
  <c r="C22" i="11"/>
  <c r="D21" i="11"/>
  <c r="G21" i="11" s="1"/>
  <c r="C21" i="11"/>
  <c r="D20" i="11"/>
  <c r="C20" i="11"/>
  <c r="D19" i="11"/>
  <c r="C19" i="11"/>
  <c r="D18" i="11"/>
  <c r="C18" i="11"/>
  <c r="C17" i="11"/>
  <c r="D16" i="11"/>
  <c r="C16" i="11"/>
  <c r="D15" i="11"/>
  <c r="C15" i="11"/>
  <c r="D14" i="11"/>
  <c r="C14" i="11"/>
  <c r="D13" i="11"/>
  <c r="C13" i="11"/>
  <c r="D12" i="11"/>
  <c r="C12" i="11"/>
  <c r="D11" i="11"/>
  <c r="C11" i="11"/>
  <c r="D10" i="11"/>
  <c r="C10" i="11"/>
  <c r="D9" i="11"/>
  <c r="C9" i="11"/>
  <c r="D8" i="11"/>
  <c r="C8" i="11"/>
  <c r="D7" i="11"/>
  <c r="C7" i="11"/>
  <c r="D6" i="11"/>
  <c r="C6" i="11"/>
  <c r="D5" i="11"/>
  <c r="G5" i="11" s="1"/>
  <c r="C5" i="11"/>
  <c r="D4" i="11"/>
  <c r="C4" i="11"/>
  <c r="D3" i="11"/>
  <c r="C3" i="11"/>
  <c r="D2" i="11"/>
  <c r="C2" i="11"/>
  <c r="Y747" i="10"/>
  <c r="Y746" i="10"/>
  <c r="Y745" i="10"/>
  <c r="Y744" i="10"/>
  <c r="Y743" i="10"/>
  <c r="Y741" i="10"/>
  <c r="Y740" i="10"/>
  <c r="Y739" i="10"/>
  <c r="Y738" i="10"/>
  <c r="Y737" i="10"/>
  <c r="Y736" i="10"/>
  <c r="Y732" i="10"/>
  <c r="Y731" i="10"/>
  <c r="Y729" i="10"/>
  <c r="Y727" i="10"/>
  <c r="Y726" i="10"/>
  <c r="Y725" i="10"/>
  <c r="Y724" i="10"/>
  <c r="Y723" i="10"/>
  <c r="Y721" i="10"/>
  <c r="Y720" i="10"/>
  <c r="Y718" i="10"/>
  <c r="Y717" i="10"/>
  <c r="Y716" i="10"/>
  <c r="Y715" i="10"/>
  <c r="Y714" i="10"/>
  <c r="Y712" i="10"/>
  <c r="Y711" i="10"/>
  <c r="Y709" i="10"/>
  <c r="Y708" i="10"/>
  <c r="Y707" i="10"/>
  <c r="Y706" i="10"/>
  <c r="Y705" i="10"/>
  <c r="Y703" i="10"/>
  <c r="Y702" i="10"/>
  <c r="Y700" i="10"/>
  <c r="Y699" i="10"/>
  <c r="Y698" i="10"/>
  <c r="Y697" i="10"/>
  <c r="Y696" i="10"/>
  <c r="Y694" i="10"/>
  <c r="Y693" i="10"/>
  <c r="Y691" i="10"/>
  <c r="Y690" i="10"/>
  <c r="Y689" i="10"/>
  <c r="Y688" i="10"/>
  <c r="Y687" i="10"/>
  <c r="Y685" i="10"/>
  <c r="Y684" i="10"/>
  <c r="Y682" i="10"/>
  <c r="Y681" i="10"/>
  <c r="Y680" i="10"/>
  <c r="Y679" i="10"/>
  <c r="Y678" i="10"/>
  <c r="Y676" i="10"/>
  <c r="Y675" i="10"/>
  <c r="Y673" i="10"/>
  <c r="Y672" i="10"/>
  <c r="Y671" i="10"/>
  <c r="Y670" i="10"/>
  <c r="Y669" i="10"/>
  <c r="Y667" i="10"/>
  <c r="Y666" i="10"/>
  <c r="Y664" i="10"/>
  <c r="Y663" i="10"/>
  <c r="Y662" i="10"/>
  <c r="Y661" i="10"/>
  <c r="Y660" i="10"/>
  <c r="Y658" i="10"/>
  <c r="Y657" i="10"/>
  <c r="Y655" i="10"/>
  <c r="Y654" i="10"/>
  <c r="Y653" i="10"/>
  <c r="Y652" i="10"/>
  <c r="Y651" i="10"/>
  <c r="Y650" i="10"/>
  <c r="Y649" i="10"/>
  <c r="Y648" i="10"/>
  <c r="Y647" i="10"/>
  <c r="Y646" i="10"/>
  <c r="Y645" i="10"/>
  <c r="Y644" i="10"/>
  <c r="Y643" i="10"/>
  <c r="Y642" i="10"/>
  <c r="Y641" i="10"/>
  <c r="Y640" i="10"/>
  <c r="Y638" i="10"/>
  <c r="Y637" i="10"/>
  <c r="Y635" i="10"/>
  <c r="Y634" i="10"/>
  <c r="Y633" i="10"/>
  <c r="Y632" i="10"/>
  <c r="Y631" i="10"/>
  <c r="Y630" i="10"/>
  <c r="Y629" i="10"/>
  <c r="Y628" i="10"/>
  <c r="Y626" i="10"/>
  <c r="Y625" i="10"/>
  <c r="Y623" i="10"/>
  <c r="Y622" i="10"/>
  <c r="Y621" i="10"/>
  <c r="Y620" i="10"/>
  <c r="Y619" i="10"/>
  <c r="Y618" i="10"/>
  <c r="Y617" i="10"/>
  <c r="Y616" i="10"/>
  <c r="Y615" i="10"/>
  <c r="Y613" i="10"/>
  <c r="Y612" i="10"/>
  <c r="Y611" i="10"/>
  <c r="Y610" i="10"/>
  <c r="Y609" i="10"/>
  <c r="Y608" i="10"/>
  <c r="Y607" i="10"/>
  <c r="Y606" i="10"/>
  <c r="Y605" i="10"/>
  <c r="Y604" i="10"/>
  <c r="Y603" i="10"/>
  <c r="Y602" i="10"/>
  <c r="Y593" i="10"/>
  <c r="Y592" i="10"/>
  <c r="Y591" i="10"/>
  <c r="Y590" i="10"/>
  <c r="Y589" i="10"/>
  <c r="Y588" i="10"/>
  <c r="Y587" i="10"/>
  <c r="Y586" i="10"/>
  <c r="Y585" i="10"/>
  <c r="Y584" i="10"/>
  <c r="Y583" i="10"/>
  <c r="Y582" i="10"/>
  <c r="Y581" i="10"/>
  <c r="Y580" i="10"/>
  <c r="Y579" i="10"/>
  <c r="Y578" i="10"/>
  <c r="Y577" i="10"/>
  <c r="Y576" i="10"/>
  <c r="Y575" i="10"/>
  <c r="Y574" i="10"/>
  <c r="Y573" i="10"/>
  <c r="Y572" i="10"/>
  <c r="Y571" i="10"/>
  <c r="Y566" i="10"/>
  <c r="Y565" i="10"/>
  <c r="Y564" i="10"/>
  <c r="Y563" i="10"/>
  <c r="Y562" i="10"/>
  <c r="Y561" i="10"/>
  <c r="Y560" i="10"/>
  <c r="Y559" i="10"/>
  <c r="Y558" i="10"/>
  <c r="Y557" i="10"/>
  <c r="Y556" i="10"/>
  <c r="Y555" i="10"/>
  <c r="Y554" i="10"/>
  <c r="Y553" i="10"/>
  <c r="Y552" i="10"/>
  <c r="Y551" i="10"/>
  <c r="Y550" i="10"/>
  <c r="Y549" i="10"/>
  <c r="Y548" i="10"/>
  <c r="Y547" i="10"/>
  <c r="Y546" i="10"/>
  <c r="Y545" i="10"/>
  <c r="Y544" i="10"/>
  <c r="Y543" i="10"/>
  <c r="Y542" i="10"/>
  <c r="Y541" i="10"/>
  <c r="Y540" i="10"/>
  <c r="Y539" i="10"/>
  <c r="Y538" i="10"/>
  <c r="Y537" i="10"/>
  <c r="Y536" i="10"/>
  <c r="Y535" i="10"/>
  <c r="Y534" i="10"/>
  <c r="Y533" i="10"/>
  <c r="Y532" i="10"/>
  <c r="Y531" i="10"/>
  <c r="Y529" i="10"/>
  <c r="Y528" i="10"/>
  <c r="Y527" i="10"/>
  <c r="Y526" i="10"/>
  <c r="Y525" i="10"/>
  <c r="Y524" i="10"/>
  <c r="Y523" i="10"/>
  <c r="Y522" i="10"/>
  <c r="Y521" i="10"/>
  <c r="Y520" i="10"/>
  <c r="Y519" i="10"/>
  <c r="Y518" i="10"/>
  <c r="Y517" i="10"/>
  <c r="Y516" i="10"/>
  <c r="Y515" i="10"/>
  <c r="Y513" i="10"/>
  <c r="Y512" i="10"/>
  <c r="Y510" i="10"/>
  <c r="Y507" i="10"/>
  <c r="Y506" i="10"/>
  <c r="Y505" i="10"/>
  <c r="Y504" i="10"/>
  <c r="Y503" i="10"/>
  <c r="Y502" i="10"/>
  <c r="Y501" i="10"/>
  <c r="Y500" i="10"/>
  <c r="Y499" i="10"/>
  <c r="Y498" i="10"/>
  <c r="Y497" i="10"/>
  <c r="Y496" i="10"/>
  <c r="Y495" i="10"/>
  <c r="Y494" i="10"/>
  <c r="Y492" i="10"/>
  <c r="Y491" i="10"/>
  <c r="Y489" i="10"/>
  <c r="Y488" i="10"/>
  <c r="Y487" i="10"/>
  <c r="Y486" i="10"/>
  <c r="Y485" i="10"/>
  <c r="Y484" i="10"/>
  <c r="Y483" i="10"/>
  <c r="Y482" i="10"/>
  <c r="Y481" i="10"/>
  <c r="Y480" i="10"/>
  <c r="Y479" i="10"/>
  <c r="Y478" i="10"/>
  <c r="Y477" i="10"/>
  <c r="Y476" i="10"/>
  <c r="Y475" i="10"/>
  <c r="Y474" i="10"/>
  <c r="Y473" i="10"/>
  <c r="Y471" i="10"/>
  <c r="Y470" i="10"/>
  <c r="Y469" i="10"/>
  <c r="Y468" i="10"/>
  <c r="Y466" i="10"/>
  <c r="Y464" i="10"/>
  <c r="Y463" i="10"/>
  <c r="Y462" i="10"/>
  <c r="Y461" i="10"/>
  <c r="Y460" i="10"/>
  <c r="Y459" i="10"/>
  <c r="Y458" i="10"/>
  <c r="Y457" i="10"/>
  <c r="Y456" i="10"/>
  <c r="Y455" i="10"/>
  <c r="Y454" i="10"/>
  <c r="Y453" i="10"/>
  <c r="Y452" i="10"/>
  <c r="Y451" i="10"/>
  <c r="Y449" i="10"/>
  <c r="Y448" i="10"/>
  <c r="Y447" i="10"/>
  <c r="Y446" i="10"/>
  <c r="Y445" i="10"/>
  <c r="Y444" i="10"/>
  <c r="Y443" i="10"/>
  <c r="Y441" i="10"/>
  <c r="Y440" i="10"/>
  <c r="Y439" i="10"/>
  <c r="Y438" i="10"/>
  <c r="Y437" i="10"/>
  <c r="Y436" i="10"/>
  <c r="Y435" i="10"/>
  <c r="Y434" i="10"/>
  <c r="Y433" i="10"/>
  <c r="Y432" i="10"/>
  <c r="Y431" i="10"/>
  <c r="Y429" i="10"/>
  <c r="Y428" i="10"/>
  <c r="Y427" i="10"/>
  <c r="Y426" i="10"/>
  <c r="Y425" i="10"/>
  <c r="Y424" i="10"/>
  <c r="Y423" i="10"/>
  <c r="Y422" i="10"/>
  <c r="Y421" i="10"/>
  <c r="Y420" i="10"/>
  <c r="Y419" i="10"/>
  <c r="Y418" i="10"/>
  <c r="Y417" i="10"/>
  <c r="Y416" i="10"/>
  <c r="Y415" i="10"/>
  <c r="Y414" i="10"/>
  <c r="Y413" i="10"/>
  <c r="Y412" i="10"/>
  <c r="Y411" i="10"/>
  <c r="Y410" i="10"/>
  <c r="Y409" i="10"/>
  <c r="Y408" i="10"/>
  <c r="Y407" i="10"/>
  <c r="Y406" i="10"/>
  <c r="Y405" i="10"/>
  <c r="Y404" i="10"/>
  <c r="Y403" i="10"/>
  <c r="Y402" i="10"/>
  <c r="Y401" i="10"/>
  <c r="Y400" i="10"/>
  <c r="Y399" i="10"/>
  <c r="Y398" i="10"/>
  <c r="Y397" i="10"/>
  <c r="Y396" i="10"/>
  <c r="Y395" i="10"/>
  <c r="Y394" i="10"/>
  <c r="Y393" i="10"/>
  <c r="Y392" i="10"/>
  <c r="Y391" i="10"/>
  <c r="Y390" i="10"/>
  <c r="Y389" i="10"/>
  <c r="Y388" i="10"/>
  <c r="Y387" i="10"/>
  <c r="Y386" i="10"/>
  <c r="Y385" i="10"/>
  <c r="Y384" i="10"/>
  <c r="Y383" i="10"/>
  <c r="Y380" i="10"/>
  <c r="Y379" i="10"/>
  <c r="Y378" i="10"/>
  <c r="Y377" i="10"/>
  <c r="Y376" i="10"/>
  <c r="Y375" i="10"/>
  <c r="Y374" i="10"/>
  <c r="Y373" i="10"/>
  <c r="Y372" i="10"/>
  <c r="Y371" i="10"/>
  <c r="Y370" i="10"/>
  <c r="Y369" i="10"/>
  <c r="Y368" i="10"/>
  <c r="Y367" i="10"/>
  <c r="Y366" i="10"/>
  <c r="Y365" i="10"/>
  <c r="Y364" i="10"/>
  <c r="Y363" i="10"/>
  <c r="Y362" i="10"/>
  <c r="Y361" i="10"/>
  <c r="Y359" i="10"/>
  <c r="Y358" i="10"/>
  <c r="Y357" i="10"/>
  <c r="Y356" i="10"/>
  <c r="Y353" i="10"/>
  <c r="Y349" i="10"/>
  <c r="Y348" i="10"/>
  <c r="Y347" i="10"/>
  <c r="Y346" i="10"/>
  <c r="Y345" i="10"/>
  <c r="Y344" i="10"/>
  <c r="Y343" i="10"/>
  <c r="Y337" i="10"/>
  <c r="Y336" i="10"/>
  <c r="Y335" i="10"/>
  <c r="Y334" i="10"/>
  <c r="Y333" i="10"/>
  <c r="Y332" i="10"/>
  <c r="Y331" i="10"/>
  <c r="Y330" i="10"/>
  <c r="Y329" i="10"/>
  <c r="Y328" i="10"/>
  <c r="Y327" i="10"/>
  <c r="Y326" i="10"/>
  <c r="Y325" i="10"/>
  <c r="Y324" i="10"/>
  <c r="Y323" i="10"/>
  <c r="Y320" i="10"/>
  <c r="Y319" i="10"/>
  <c r="Y318" i="10"/>
  <c r="Y317" i="10"/>
  <c r="Y316" i="10"/>
  <c r="Y315" i="10"/>
  <c r="Y314" i="10"/>
  <c r="Y313" i="10"/>
  <c r="Y312" i="10"/>
  <c r="Y311" i="10"/>
  <c r="Y310" i="10"/>
  <c r="Y309" i="10"/>
  <c r="Y308" i="10"/>
  <c r="Y307" i="10"/>
  <c r="Y304" i="10"/>
  <c r="Y303" i="10"/>
  <c r="Y302" i="10"/>
  <c r="Y301" i="10"/>
  <c r="Y300" i="10"/>
  <c r="Y299" i="10"/>
  <c r="Y296" i="10"/>
  <c r="Y295" i="10"/>
  <c r="Y294" i="10"/>
  <c r="Y293" i="10"/>
  <c r="Y292" i="10"/>
  <c r="Y291" i="10"/>
  <c r="Y290" i="10"/>
  <c r="Y289" i="10"/>
  <c r="Y288" i="10"/>
  <c r="Y287" i="10"/>
  <c r="Y285" i="10"/>
  <c r="Y284" i="10"/>
  <c r="Y283" i="10"/>
  <c r="Y282" i="10"/>
  <c r="Y281" i="10"/>
  <c r="Y280" i="10"/>
  <c r="Y279" i="10"/>
  <c r="Y278" i="10"/>
  <c r="Y275" i="10"/>
  <c r="Y274" i="10"/>
  <c r="Y273" i="10"/>
  <c r="Y272" i="10"/>
  <c r="Y271" i="10"/>
  <c r="Y270" i="10"/>
  <c r="Y269" i="10"/>
  <c r="Y268" i="10"/>
  <c r="Y267" i="10"/>
  <c r="Y266" i="10"/>
  <c r="Y265" i="10"/>
  <c r="Y264" i="10"/>
  <c r="Y263" i="10"/>
  <c r="Y262" i="10"/>
  <c r="Y261" i="10"/>
  <c r="Y260" i="10"/>
  <c r="Y259" i="10"/>
  <c r="Y258" i="10"/>
  <c r="Y257" i="10"/>
  <c r="Y256" i="10"/>
  <c r="Y255" i="10"/>
  <c r="Y254" i="10"/>
  <c r="Y253" i="10"/>
  <c r="Y252" i="10"/>
  <c r="Y251" i="10"/>
  <c r="Y250" i="10"/>
  <c r="Y249" i="10"/>
  <c r="Y248" i="10"/>
  <c r="Y247" i="10"/>
  <c r="Y245" i="10"/>
  <c r="Y244" i="10"/>
  <c r="Y243" i="10"/>
  <c r="Y242" i="10"/>
  <c r="Y241" i="10"/>
  <c r="Y240" i="10"/>
  <c r="Y239" i="10"/>
  <c r="Y238" i="10"/>
  <c r="Y237" i="10"/>
  <c r="Y236" i="10"/>
  <c r="Y235" i="10"/>
  <c r="Y234" i="10"/>
  <c r="Y233" i="10"/>
  <c r="Y232" i="10"/>
  <c r="Y231" i="10"/>
  <c r="Y230" i="10"/>
  <c r="Y229" i="10"/>
  <c r="Y228" i="10"/>
  <c r="Y227" i="10"/>
  <c r="Y224" i="10"/>
  <c r="Y223" i="10"/>
  <c r="Y222" i="10"/>
  <c r="Y221" i="10"/>
  <c r="Y220" i="10"/>
  <c r="Y219" i="10"/>
  <c r="Y218" i="10"/>
  <c r="Y217" i="10"/>
  <c r="Y216" i="10"/>
  <c r="Y215" i="10"/>
  <c r="Y214" i="10"/>
  <c r="Y213" i="10"/>
  <c r="Y212" i="10"/>
  <c r="Y211" i="10"/>
  <c r="Y210" i="10"/>
  <c r="Y209" i="10"/>
  <c r="Y207" i="10"/>
  <c r="Y206" i="10"/>
  <c r="Y205" i="10"/>
  <c r="Y204" i="10"/>
  <c r="Y203" i="10"/>
  <c r="Y202" i="10"/>
  <c r="Y201" i="10"/>
  <c r="Y200" i="10"/>
  <c r="Y199" i="10"/>
  <c r="Y198" i="10"/>
  <c r="Y197" i="10"/>
  <c r="Y196" i="10"/>
  <c r="Y192" i="10"/>
  <c r="Y191" i="10"/>
  <c r="Y190" i="10"/>
  <c r="Y188" i="10"/>
  <c r="Y187" i="10"/>
  <c r="Y186" i="10"/>
  <c r="Y185" i="10"/>
  <c r="Y182" i="10"/>
  <c r="Y181" i="10"/>
  <c r="Y180" i="10"/>
  <c r="Y179" i="10"/>
  <c r="Y178" i="10"/>
  <c r="Y177" i="10"/>
  <c r="Y176" i="10"/>
  <c r="Y175" i="10"/>
  <c r="Y174" i="10"/>
  <c r="Y173" i="10"/>
  <c r="Y172" i="10"/>
  <c r="Y171" i="10"/>
  <c r="Y170" i="10"/>
  <c r="Y169" i="10"/>
  <c r="Y168" i="10"/>
  <c r="Y166" i="10"/>
  <c r="Y164" i="10"/>
  <c r="Y162" i="10"/>
  <c r="Y161" i="10"/>
  <c r="Y160" i="10"/>
  <c r="Y159" i="10"/>
  <c r="Y157" i="10"/>
  <c r="Y156" i="10"/>
  <c r="Y155" i="10"/>
  <c r="Y154" i="10"/>
  <c r="Y152" i="10"/>
  <c r="Y151" i="10"/>
  <c r="Y150" i="10"/>
  <c r="Y149" i="10"/>
  <c r="Y148" i="10"/>
  <c r="Y147" i="10"/>
  <c r="Y146" i="10"/>
  <c r="Y145" i="10"/>
  <c r="Y144" i="10"/>
  <c r="Y143" i="10"/>
  <c r="Y142" i="10"/>
  <c r="Y141" i="10"/>
  <c r="Y140" i="10"/>
  <c r="Y139" i="10"/>
  <c r="Y138" i="10"/>
  <c r="Y137" i="10"/>
  <c r="Y136" i="10"/>
  <c r="Y135" i="10"/>
  <c r="Y134" i="10"/>
  <c r="Y133" i="10"/>
  <c r="Y132" i="10"/>
  <c r="Y130" i="10"/>
  <c r="Y129" i="10"/>
  <c r="Y128" i="10"/>
  <c r="Y127" i="10"/>
  <c r="Y125" i="10"/>
  <c r="Y124" i="10"/>
  <c r="Y123" i="10"/>
  <c r="Y122" i="10"/>
  <c r="Y121" i="10"/>
  <c r="Y120" i="10"/>
  <c r="Y119" i="10"/>
  <c r="Y118" i="10"/>
  <c r="Y117" i="10"/>
  <c r="Y116" i="10"/>
  <c r="Y115" i="10"/>
  <c r="Y114" i="10"/>
  <c r="Y113" i="10"/>
  <c r="Y112" i="10"/>
  <c r="Y111" i="10"/>
  <c r="Y110" i="10"/>
  <c r="Y109" i="10"/>
  <c r="Y108" i="10"/>
  <c r="Y107" i="10"/>
  <c r="Y106" i="10"/>
  <c r="Y105" i="10"/>
  <c r="Y104" i="10"/>
  <c r="Y103" i="10"/>
  <c r="Y102" i="10"/>
  <c r="Y101" i="10"/>
  <c r="Y98" i="10"/>
  <c r="Y97" i="10"/>
  <c r="Y96" i="10"/>
  <c r="Y95" i="10"/>
  <c r="Y94" i="10"/>
  <c r="Y93" i="10"/>
  <c r="Y92" i="10"/>
  <c r="Y91" i="10"/>
  <c r="Y90" i="10"/>
  <c r="Y89" i="10"/>
  <c r="Y88" i="10"/>
  <c r="Y87" i="10"/>
  <c r="Y86" i="10"/>
  <c r="Y85" i="10"/>
  <c r="Y84" i="10"/>
  <c r="Y83" i="10"/>
  <c r="Y82" i="10"/>
  <c r="Y81" i="10"/>
  <c r="Y80" i="10"/>
  <c r="Y78" i="10"/>
  <c r="Y77" i="10"/>
  <c r="Y76" i="10"/>
  <c r="Y75" i="10"/>
  <c r="Y74" i="10"/>
  <c r="Y73" i="10"/>
  <c r="Y72" i="10"/>
  <c r="Y71" i="10"/>
  <c r="Y70" i="10"/>
  <c r="Y69" i="10"/>
  <c r="Y68" i="10"/>
  <c r="Y66" i="10"/>
  <c r="Y65" i="10"/>
  <c r="Y64" i="10"/>
  <c r="Y63" i="10"/>
  <c r="Y62" i="10"/>
  <c r="Y61" i="10"/>
  <c r="Y56" i="10"/>
  <c r="Y55" i="10"/>
  <c r="Y54" i="10"/>
  <c r="Y53" i="10"/>
  <c r="Y52" i="10"/>
  <c r="Y51" i="10"/>
  <c r="Y50" i="10"/>
  <c r="Y49" i="10"/>
  <c r="Y48" i="10"/>
  <c r="Y47" i="10"/>
  <c r="Y46" i="10"/>
  <c r="Y45" i="10"/>
  <c r="Y44" i="10"/>
  <c r="Y43" i="10"/>
  <c r="Y42" i="10"/>
  <c r="Y41" i="10"/>
  <c r="Y40" i="10"/>
  <c r="Y39" i="10"/>
  <c r="Y38" i="10"/>
  <c r="Y37" i="10"/>
  <c r="Y36" i="10"/>
  <c r="Y35" i="10"/>
  <c r="Y34" i="10"/>
  <c r="Y31" i="10"/>
  <c r="Y30" i="10"/>
  <c r="Y29" i="10"/>
  <c r="Y28" i="10"/>
  <c r="Y27" i="10"/>
  <c r="Y26" i="10"/>
  <c r="Y25" i="10"/>
  <c r="Y24" i="10"/>
  <c r="Y23" i="10"/>
  <c r="Y22" i="10"/>
  <c r="Y21" i="10"/>
  <c r="Y18" i="10"/>
  <c r="Y17" i="10"/>
  <c r="Y16" i="10"/>
  <c r="Y15" i="10"/>
  <c r="Y14" i="10"/>
  <c r="Y12" i="10"/>
  <c r="Y11" i="10"/>
  <c r="Y9" i="10"/>
  <c r="Y8" i="10"/>
  <c r="Y7" i="10"/>
  <c r="Y6" i="10"/>
  <c r="Y5" i="10"/>
  <c r="AA2" i="10"/>
  <c r="Z2" i="10"/>
  <c r="X2" i="10"/>
  <c r="T28" i="9"/>
  <c r="P28" i="9"/>
  <c r="L28" i="9"/>
  <c r="F28" i="9"/>
  <c r="E28" i="9"/>
  <c r="D28" i="9"/>
  <c r="C28" i="9"/>
  <c r="I28" i="9" s="1"/>
  <c r="H28" i="9" s="1"/>
  <c r="T27" i="9"/>
  <c r="P27" i="9"/>
  <c r="L27" i="9"/>
  <c r="F27" i="9"/>
  <c r="E27" i="9"/>
  <c r="D27" i="9"/>
  <c r="C27" i="9"/>
  <c r="I27" i="9" s="1"/>
  <c r="H27" i="9" s="1"/>
  <c r="T26" i="9"/>
  <c r="P26" i="9"/>
  <c r="L26" i="9"/>
  <c r="F26" i="9"/>
  <c r="E26" i="9"/>
  <c r="D26" i="9"/>
  <c r="C26" i="9"/>
  <c r="I26" i="9" s="1"/>
  <c r="H26" i="9" s="1"/>
  <c r="T25" i="9"/>
  <c r="P25" i="9"/>
  <c r="L25" i="9"/>
  <c r="F25" i="9"/>
  <c r="E25" i="9"/>
  <c r="D25" i="9"/>
  <c r="C25" i="9"/>
  <c r="I25" i="9" s="1"/>
  <c r="H25" i="9" s="1"/>
  <c r="D187" i="8"/>
  <c r="E187" i="8" s="1"/>
  <c r="C187" i="8"/>
  <c r="D186" i="8"/>
  <c r="E186" i="8" s="1"/>
  <c r="C186" i="8"/>
  <c r="D185" i="8"/>
  <c r="E185" i="8" s="1"/>
  <c r="C185" i="8"/>
  <c r="D184" i="8"/>
  <c r="E184" i="8" s="1"/>
  <c r="C184" i="8"/>
  <c r="D183" i="8"/>
  <c r="E183" i="8" s="1"/>
  <c r="C183" i="8"/>
  <c r="D182" i="8"/>
  <c r="E182" i="8" s="1"/>
  <c r="C182" i="8"/>
  <c r="D181" i="8"/>
  <c r="E181" i="8" s="1"/>
  <c r="C181" i="8"/>
  <c r="C180" i="8"/>
  <c r="D179" i="8"/>
  <c r="E179" i="8" s="1"/>
  <c r="C179" i="8"/>
  <c r="D178" i="8"/>
  <c r="E178" i="8" s="1"/>
  <c r="C178" i="8"/>
  <c r="D177" i="8"/>
  <c r="E177" i="8" s="1"/>
  <c r="C177" i="8"/>
  <c r="D176" i="8"/>
  <c r="E176" i="8" s="1"/>
  <c r="C176" i="8"/>
  <c r="D175" i="8"/>
  <c r="E175" i="8" s="1"/>
  <c r="C175" i="8"/>
  <c r="D174" i="8"/>
  <c r="E174" i="8" s="1"/>
  <c r="C174" i="8"/>
  <c r="D173" i="8"/>
  <c r="E173" i="8" s="1"/>
  <c r="C173" i="8"/>
  <c r="D172" i="8"/>
  <c r="E172" i="8" s="1"/>
  <c r="C172" i="8"/>
  <c r="D171" i="8"/>
  <c r="E171" i="8" s="1"/>
  <c r="C171" i="8"/>
  <c r="D170" i="8"/>
  <c r="E170" i="8" s="1"/>
  <c r="C170" i="8"/>
  <c r="D169" i="8"/>
  <c r="E169" i="8" s="1"/>
  <c r="C169" i="8"/>
  <c r="D168" i="8"/>
  <c r="E168" i="8" s="1"/>
  <c r="C168" i="8"/>
  <c r="D167" i="8"/>
  <c r="E167" i="8" s="1"/>
  <c r="C167" i="8"/>
  <c r="D166" i="8"/>
  <c r="E166" i="8" s="1"/>
  <c r="C166" i="8"/>
  <c r="D165" i="8"/>
  <c r="E165" i="8" s="1"/>
  <c r="C165" i="8"/>
  <c r="D164" i="8"/>
  <c r="E164" i="8" s="1"/>
  <c r="C164" i="8"/>
  <c r="D163" i="8"/>
  <c r="E163" i="8" s="1"/>
  <c r="C163" i="8"/>
  <c r="D162" i="8"/>
  <c r="E162" i="8" s="1"/>
  <c r="C162" i="8"/>
  <c r="D161" i="8"/>
  <c r="E161" i="8" s="1"/>
  <c r="C161" i="8"/>
  <c r="D160" i="8"/>
  <c r="E160" i="8" s="1"/>
  <c r="C160" i="8"/>
  <c r="D159" i="8"/>
  <c r="E159" i="8" s="1"/>
  <c r="C159" i="8"/>
  <c r="D158" i="8"/>
  <c r="E158" i="8" s="1"/>
  <c r="C158" i="8"/>
  <c r="D157" i="8"/>
  <c r="E157" i="8" s="1"/>
  <c r="C157" i="8"/>
  <c r="D156" i="8"/>
  <c r="E156" i="8" s="1"/>
  <c r="C156" i="8"/>
  <c r="D155" i="8"/>
  <c r="E155" i="8" s="1"/>
  <c r="C155" i="8"/>
  <c r="D154" i="8"/>
  <c r="E154" i="8" s="1"/>
  <c r="C154" i="8"/>
  <c r="D153" i="8"/>
  <c r="E153" i="8" s="1"/>
  <c r="C153" i="8"/>
  <c r="D152" i="8"/>
  <c r="E152" i="8" s="1"/>
  <c r="C152" i="8"/>
  <c r="D151" i="8"/>
  <c r="E151" i="8" s="1"/>
  <c r="C151" i="8"/>
  <c r="D150" i="8"/>
  <c r="E150" i="8" s="1"/>
  <c r="C150" i="8"/>
  <c r="D149" i="8"/>
  <c r="E149" i="8" s="1"/>
  <c r="C149" i="8"/>
  <c r="D148" i="8"/>
  <c r="E148" i="8" s="1"/>
  <c r="C148" i="8"/>
  <c r="D147" i="8"/>
  <c r="E147" i="8" s="1"/>
  <c r="C147" i="8"/>
  <c r="D146" i="8"/>
  <c r="E146" i="8" s="1"/>
  <c r="C146" i="8"/>
  <c r="D145" i="8"/>
  <c r="E145" i="8" s="1"/>
  <c r="C145" i="8"/>
  <c r="D144" i="8"/>
  <c r="E144" i="8" s="1"/>
  <c r="C144" i="8"/>
  <c r="D143" i="8"/>
  <c r="E143" i="8" s="1"/>
  <c r="C143" i="8"/>
  <c r="D142" i="8"/>
  <c r="E142" i="8" s="1"/>
  <c r="C142" i="8"/>
  <c r="D141" i="8"/>
  <c r="E141" i="8" s="1"/>
  <c r="C141" i="8"/>
  <c r="D140" i="8"/>
  <c r="E140" i="8" s="1"/>
  <c r="C140" i="8"/>
  <c r="D139" i="8"/>
  <c r="E139" i="8" s="1"/>
  <c r="C139" i="8"/>
  <c r="D138" i="8"/>
  <c r="E138" i="8" s="1"/>
  <c r="C138" i="8"/>
  <c r="D137" i="8"/>
  <c r="E137" i="8" s="1"/>
  <c r="C137" i="8"/>
  <c r="D136" i="8"/>
  <c r="E136" i="8" s="1"/>
  <c r="C136" i="8"/>
  <c r="D135" i="8"/>
  <c r="E135" i="8" s="1"/>
  <c r="C135" i="8"/>
  <c r="D134" i="8"/>
  <c r="E134" i="8" s="1"/>
  <c r="C134" i="8"/>
  <c r="D133" i="8"/>
  <c r="E133" i="8" s="1"/>
  <c r="C133" i="8"/>
  <c r="D132" i="8"/>
  <c r="E132" i="8" s="1"/>
  <c r="C132" i="8"/>
  <c r="D131" i="8"/>
  <c r="E131" i="8" s="1"/>
  <c r="C131" i="8"/>
  <c r="D130" i="8"/>
  <c r="E130" i="8" s="1"/>
  <c r="C130" i="8"/>
  <c r="D129" i="8"/>
  <c r="E129" i="8" s="1"/>
  <c r="C129" i="8"/>
  <c r="D128" i="8"/>
  <c r="E128" i="8" s="1"/>
  <c r="C128" i="8"/>
  <c r="D127" i="8"/>
  <c r="E127" i="8" s="1"/>
  <c r="C127" i="8"/>
  <c r="D126" i="8"/>
  <c r="E126" i="8" s="1"/>
  <c r="C126" i="8"/>
  <c r="D125" i="8"/>
  <c r="E125" i="8" s="1"/>
  <c r="C125" i="8"/>
  <c r="D124" i="8"/>
  <c r="E124" i="8" s="1"/>
  <c r="C124" i="8"/>
  <c r="D123" i="8"/>
  <c r="E123" i="8" s="1"/>
  <c r="C123" i="8"/>
  <c r="D122" i="8"/>
  <c r="E122" i="8" s="1"/>
  <c r="C122" i="8"/>
  <c r="D121" i="8"/>
  <c r="E121" i="8" s="1"/>
  <c r="C121" i="8"/>
  <c r="D120" i="8"/>
  <c r="E120" i="8" s="1"/>
  <c r="C120" i="8"/>
  <c r="D119" i="8"/>
  <c r="E119" i="8" s="1"/>
  <c r="C119" i="8"/>
  <c r="D118" i="8"/>
  <c r="E118" i="8" s="1"/>
  <c r="C118" i="8"/>
  <c r="D117" i="8"/>
  <c r="E117" i="8" s="1"/>
  <c r="C117" i="8"/>
  <c r="D116" i="8"/>
  <c r="E116" i="8" s="1"/>
  <c r="C116" i="8"/>
  <c r="D115" i="8"/>
  <c r="E115" i="8" s="1"/>
  <c r="C115" i="8"/>
  <c r="D114" i="8"/>
  <c r="E114" i="8" s="1"/>
  <c r="C114" i="8"/>
  <c r="D113" i="8"/>
  <c r="E113" i="8" s="1"/>
  <c r="C113" i="8"/>
  <c r="D112" i="8"/>
  <c r="E112" i="8" s="1"/>
  <c r="C112" i="8"/>
  <c r="D111" i="8"/>
  <c r="E111" i="8" s="1"/>
  <c r="C111" i="8"/>
  <c r="D110" i="8"/>
  <c r="E110" i="8" s="1"/>
  <c r="C110" i="8"/>
  <c r="D109" i="8"/>
  <c r="E109" i="8" s="1"/>
  <c r="C109" i="8"/>
  <c r="D108" i="8"/>
  <c r="E108" i="8" s="1"/>
  <c r="C108" i="8"/>
  <c r="D107" i="8"/>
  <c r="E107" i="8" s="1"/>
  <c r="C107" i="8"/>
  <c r="D106" i="8"/>
  <c r="E106" i="8" s="1"/>
  <c r="C106" i="8"/>
  <c r="D105" i="8"/>
  <c r="E105" i="8" s="1"/>
  <c r="C105" i="8"/>
  <c r="D104" i="8"/>
  <c r="E104" i="8" s="1"/>
  <c r="C104" i="8"/>
  <c r="D103" i="8"/>
  <c r="E103" i="8" s="1"/>
  <c r="C103" i="8"/>
  <c r="D102" i="8"/>
  <c r="E102" i="8" s="1"/>
  <c r="C102" i="8"/>
  <c r="D101" i="8"/>
  <c r="E101" i="8" s="1"/>
  <c r="C101" i="8"/>
  <c r="D100" i="8"/>
  <c r="E100" i="8" s="1"/>
  <c r="C100" i="8"/>
  <c r="D99" i="8"/>
  <c r="E99" i="8" s="1"/>
  <c r="C99" i="8"/>
  <c r="D98" i="8"/>
  <c r="E98" i="8" s="1"/>
  <c r="C98" i="8"/>
  <c r="D97" i="8"/>
  <c r="E97" i="8" s="1"/>
  <c r="C97" i="8"/>
  <c r="D96" i="8"/>
  <c r="E96" i="8" s="1"/>
  <c r="C96" i="8"/>
  <c r="D95" i="8"/>
  <c r="E95" i="8" s="1"/>
  <c r="C95" i="8"/>
  <c r="D94" i="8"/>
  <c r="E94" i="8" s="1"/>
  <c r="C94" i="8"/>
  <c r="D93" i="8"/>
  <c r="E93" i="8" s="1"/>
  <c r="C93" i="8"/>
  <c r="D92" i="8"/>
  <c r="E92" i="8" s="1"/>
  <c r="C92" i="8"/>
  <c r="D91" i="8"/>
  <c r="E91" i="8" s="1"/>
  <c r="C91" i="8"/>
  <c r="D90" i="8"/>
  <c r="E90" i="8" s="1"/>
  <c r="C90" i="8"/>
  <c r="D89" i="8"/>
  <c r="E89" i="8" s="1"/>
  <c r="C89" i="8"/>
  <c r="D88" i="8"/>
  <c r="E88" i="8" s="1"/>
  <c r="C88" i="8"/>
  <c r="D87" i="8"/>
  <c r="E87" i="8" s="1"/>
  <c r="C87" i="8"/>
  <c r="D86" i="8"/>
  <c r="E86" i="8" s="1"/>
  <c r="C86" i="8"/>
  <c r="D85" i="8"/>
  <c r="E85" i="8" s="1"/>
  <c r="C85" i="8"/>
  <c r="D84" i="8"/>
  <c r="E84" i="8" s="1"/>
  <c r="C84" i="8"/>
  <c r="D83" i="8"/>
  <c r="E83" i="8" s="1"/>
  <c r="C83" i="8"/>
  <c r="D82" i="8"/>
  <c r="E82" i="8" s="1"/>
  <c r="C82" i="8"/>
  <c r="D81" i="8"/>
  <c r="E81" i="8" s="1"/>
  <c r="C81" i="8"/>
  <c r="D80" i="8"/>
  <c r="E80" i="8" s="1"/>
  <c r="C80" i="8"/>
  <c r="D79" i="8"/>
  <c r="E79" i="8" s="1"/>
  <c r="C79" i="8"/>
  <c r="D78" i="8"/>
  <c r="E78" i="8" s="1"/>
  <c r="C78" i="8"/>
  <c r="D77" i="8"/>
  <c r="E77" i="8" s="1"/>
  <c r="C77" i="8"/>
  <c r="D76" i="8"/>
  <c r="E76" i="8" s="1"/>
  <c r="C76" i="8"/>
  <c r="D75" i="8"/>
  <c r="E75" i="8" s="1"/>
  <c r="C75" i="8"/>
  <c r="D74" i="8"/>
  <c r="E74" i="8" s="1"/>
  <c r="C74" i="8"/>
  <c r="D73" i="8"/>
  <c r="E73" i="8" s="1"/>
  <c r="C73" i="8"/>
  <c r="D72" i="8"/>
  <c r="E72" i="8" s="1"/>
  <c r="C72" i="8"/>
  <c r="D71" i="8"/>
  <c r="E71" i="8" s="1"/>
  <c r="C71" i="8"/>
  <c r="D70" i="8"/>
  <c r="E70" i="8" s="1"/>
  <c r="C70" i="8"/>
  <c r="D69" i="8"/>
  <c r="E69" i="8" s="1"/>
  <c r="C69" i="8"/>
  <c r="D68" i="8"/>
  <c r="E68" i="8" s="1"/>
  <c r="C68" i="8"/>
  <c r="D67" i="8"/>
  <c r="E67" i="8" s="1"/>
  <c r="C67" i="8"/>
  <c r="D66" i="8"/>
  <c r="E66" i="8" s="1"/>
  <c r="C66" i="8"/>
  <c r="D65" i="8"/>
  <c r="E65" i="8" s="1"/>
  <c r="C65" i="8"/>
  <c r="D64" i="8"/>
  <c r="C64" i="8"/>
  <c r="D63" i="8"/>
  <c r="E63" i="8" s="1"/>
  <c r="C63" i="8"/>
  <c r="D62" i="8"/>
  <c r="E62" i="8" s="1"/>
  <c r="C62" i="8"/>
  <c r="D61" i="8"/>
  <c r="E61" i="8" s="1"/>
  <c r="C61" i="8"/>
  <c r="D60" i="8"/>
  <c r="E60" i="8" s="1"/>
  <c r="C60" i="8"/>
  <c r="D59" i="8"/>
  <c r="E59" i="8" s="1"/>
  <c r="C59" i="8"/>
  <c r="D58" i="8"/>
  <c r="E58" i="8" s="1"/>
  <c r="C58" i="8"/>
  <c r="D57" i="8"/>
  <c r="E57" i="8" s="1"/>
  <c r="C57" i="8"/>
  <c r="D56" i="8"/>
  <c r="E56" i="8" s="1"/>
  <c r="C56" i="8"/>
  <c r="D55" i="8"/>
  <c r="E55" i="8" s="1"/>
  <c r="C55" i="8"/>
  <c r="D54" i="8"/>
  <c r="E54" i="8" s="1"/>
  <c r="C54" i="8"/>
  <c r="D53" i="8"/>
  <c r="E53" i="8" s="1"/>
  <c r="C53" i="8"/>
  <c r="D52" i="8"/>
  <c r="E52" i="8" s="1"/>
  <c r="C52" i="8"/>
  <c r="D51" i="8"/>
  <c r="E51" i="8" s="1"/>
  <c r="C51" i="8"/>
  <c r="D50" i="8"/>
  <c r="E50" i="8" s="1"/>
  <c r="C50" i="8"/>
  <c r="D49" i="8"/>
  <c r="E49" i="8" s="1"/>
  <c r="C49" i="8"/>
  <c r="D48" i="8"/>
  <c r="E48" i="8" s="1"/>
  <c r="C48" i="8"/>
  <c r="D47" i="8"/>
  <c r="E47" i="8" s="1"/>
  <c r="C47" i="8"/>
  <c r="D46" i="8"/>
  <c r="E46" i="8" s="1"/>
  <c r="C46" i="8"/>
  <c r="D45" i="8"/>
  <c r="E45" i="8" s="1"/>
  <c r="C45" i="8"/>
  <c r="D44" i="8"/>
  <c r="E44" i="8" s="1"/>
  <c r="C44" i="8"/>
  <c r="D43" i="8"/>
  <c r="E43" i="8" s="1"/>
  <c r="C43" i="8"/>
  <c r="D42" i="8"/>
  <c r="E42" i="8" s="1"/>
  <c r="C42" i="8"/>
  <c r="D41" i="8"/>
  <c r="E41" i="8" s="1"/>
  <c r="C41" i="8"/>
  <c r="D40" i="8"/>
  <c r="E40" i="8" s="1"/>
  <c r="C40" i="8"/>
  <c r="D39" i="8"/>
  <c r="E39" i="8" s="1"/>
  <c r="C39" i="8"/>
  <c r="D38" i="8"/>
  <c r="E38" i="8" s="1"/>
  <c r="C38" i="8"/>
  <c r="D37" i="8"/>
  <c r="E37" i="8" s="1"/>
  <c r="C37" i="8"/>
  <c r="D36" i="8"/>
  <c r="E36" i="8" s="1"/>
  <c r="C36" i="8"/>
  <c r="D35" i="8"/>
  <c r="E35" i="8" s="1"/>
  <c r="C35" i="8"/>
  <c r="D34" i="8"/>
  <c r="E34" i="8" s="1"/>
  <c r="C34" i="8"/>
  <c r="D33" i="8"/>
  <c r="E33" i="8" s="1"/>
  <c r="C33" i="8"/>
  <c r="D32" i="8"/>
  <c r="E32" i="8" s="1"/>
  <c r="C32" i="8"/>
  <c r="D31" i="8"/>
  <c r="E31" i="8" s="1"/>
  <c r="C31" i="8"/>
  <c r="D30" i="8"/>
  <c r="E30" i="8" s="1"/>
  <c r="C30" i="8"/>
  <c r="D29" i="8"/>
  <c r="E29" i="8" s="1"/>
  <c r="C29" i="8"/>
  <c r="D28" i="8"/>
  <c r="E28" i="8" s="1"/>
  <c r="C28" i="8"/>
  <c r="D27" i="8"/>
  <c r="E27" i="8" s="1"/>
  <c r="C27" i="8"/>
  <c r="D26" i="8"/>
  <c r="E26" i="8" s="1"/>
  <c r="C26" i="8"/>
  <c r="D25" i="8"/>
  <c r="E25" i="8" s="1"/>
  <c r="C25" i="8"/>
  <c r="D24" i="8"/>
  <c r="E24" i="8" s="1"/>
  <c r="C24" i="8"/>
  <c r="D23" i="8"/>
  <c r="E23" i="8" s="1"/>
  <c r="C23" i="8"/>
  <c r="C22" i="8"/>
  <c r="D21" i="8"/>
  <c r="E21" i="8" s="1"/>
  <c r="C21" i="8"/>
  <c r="D20" i="8"/>
  <c r="E20" i="8" s="1"/>
  <c r="C20" i="8"/>
  <c r="D19" i="8"/>
  <c r="E19" i="8" s="1"/>
  <c r="C19" i="8"/>
  <c r="D18" i="8"/>
  <c r="E18" i="8" s="1"/>
  <c r="C18" i="8"/>
  <c r="D17" i="8"/>
  <c r="E17" i="8" s="1"/>
  <c r="C17" i="8"/>
  <c r="D16" i="8"/>
  <c r="E16" i="8" s="1"/>
  <c r="C16" i="8"/>
  <c r="D15" i="8"/>
  <c r="E15" i="8" s="1"/>
  <c r="C15" i="8"/>
  <c r="D14" i="8"/>
  <c r="E14" i="8" s="1"/>
  <c r="C14" i="8"/>
  <c r="D13" i="8"/>
  <c r="E13" i="8" s="1"/>
  <c r="C13" i="8"/>
  <c r="D12" i="8"/>
  <c r="E12" i="8" s="1"/>
  <c r="C12" i="8"/>
  <c r="D11" i="8"/>
  <c r="E11" i="8" s="1"/>
  <c r="C11" i="8"/>
  <c r="D10" i="8"/>
  <c r="E10" i="8" s="1"/>
  <c r="C10" i="8"/>
  <c r="D9" i="8"/>
  <c r="E9" i="8" s="1"/>
  <c r="C9" i="8"/>
  <c r="D8" i="8"/>
  <c r="E8" i="8" s="1"/>
  <c r="C8" i="8"/>
  <c r="D7" i="8"/>
  <c r="E7" i="8" s="1"/>
  <c r="C7" i="8"/>
  <c r="D6" i="8"/>
  <c r="E6" i="8" s="1"/>
  <c r="C6" i="8"/>
  <c r="D5" i="8"/>
  <c r="E5" i="8" s="1"/>
  <c r="C5" i="8"/>
  <c r="D4" i="8"/>
  <c r="E4" i="8" s="1"/>
  <c r="C4" i="8"/>
  <c r="D3" i="8"/>
  <c r="E3" i="8" s="1"/>
  <c r="C3" i="8"/>
  <c r="D2" i="8"/>
  <c r="E2" i="8" s="1"/>
  <c r="C2" i="8"/>
  <c r="E50" i="5"/>
  <c r="E49" i="5"/>
  <c r="E48" i="5"/>
  <c r="E47" i="5"/>
  <c r="E46" i="5"/>
  <c r="E45" i="5"/>
  <c r="E44" i="5"/>
  <c r="E43" i="5"/>
  <c r="E42" i="5"/>
  <c r="E41" i="5"/>
  <c r="E40" i="5"/>
  <c r="E39" i="5"/>
  <c r="E38" i="5"/>
  <c r="E37" i="5"/>
  <c r="E36" i="5"/>
  <c r="E35" i="5"/>
  <c r="E34" i="5"/>
  <c r="E33" i="5"/>
  <c r="E32" i="5"/>
  <c r="E31" i="5"/>
  <c r="E30" i="5"/>
  <c r="E29" i="5"/>
  <c r="E28" i="5"/>
  <c r="E27" i="5"/>
  <c r="E26" i="5"/>
  <c r="E25" i="5"/>
  <c r="E24" i="5"/>
  <c r="E23" i="5"/>
  <c r="E22" i="5"/>
  <c r="E21" i="5"/>
  <c r="E20" i="5"/>
  <c r="E19" i="5"/>
  <c r="E18" i="5"/>
  <c r="E17" i="5"/>
  <c r="E16" i="5"/>
  <c r="E15" i="5"/>
  <c r="E14" i="5"/>
  <c r="E13" i="5"/>
  <c r="E12" i="5"/>
  <c r="E11" i="5"/>
  <c r="E10" i="5"/>
  <c r="E9" i="5"/>
  <c r="E8" i="5"/>
  <c r="E7" i="5"/>
  <c r="E6" i="5"/>
  <c r="E5" i="5"/>
  <c r="E4" i="5"/>
  <c r="E3" i="5"/>
  <c r="E50" i="4"/>
  <c r="E49" i="4"/>
  <c r="E48" i="4"/>
  <c r="E47" i="4"/>
  <c r="E46" i="4"/>
  <c r="E45" i="4"/>
  <c r="E44" i="4"/>
  <c r="E43" i="4"/>
  <c r="E42" i="4"/>
  <c r="E41" i="4"/>
  <c r="E40" i="4"/>
  <c r="E39" i="4"/>
  <c r="E38" i="4"/>
  <c r="E37" i="4"/>
  <c r="E36" i="4"/>
  <c r="E35" i="4"/>
  <c r="E34" i="4"/>
  <c r="E33" i="4"/>
  <c r="E32" i="4"/>
  <c r="E31" i="4"/>
  <c r="E30" i="4"/>
  <c r="E29" i="4"/>
  <c r="E28" i="4"/>
  <c r="E27" i="4"/>
  <c r="E26" i="4"/>
  <c r="E25" i="4"/>
  <c r="E24" i="4"/>
  <c r="E23" i="4"/>
  <c r="E22" i="4"/>
  <c r="E21" i="4"/>
  <c r="E20" i="4"/>
  <c r="E19" i="4"/>
  <c r="E18" i="4"/>
  <c r="E17" i="4"/>
  <c r="E16" i="4"/>
  <c r="E15" i="4"/>
  <c r="E14" i="4"/>
  <c r="E13" i="4"/>
  <c r="E12" i="4"/>
  <c r="E11" i="4"/>
  <c r="E10" i="4"/>
  <c r="E9" i="4"/>
  <c r="E8" i="4"/>
  <c r="E7" i="4"/>
  <c r="E6" i="4"/>
  <c r="E5" i="4"/>
  <c r="E4" i="4"/>
  <c r="E3" i="4"/>
  <c r="K716" i="3"/>
  <c r="K715" i="3"/>
  <c r="K714" i="3"/>
  <c r="K713" i="3"/>
  <c r="K712" i="3"/>
  <c r="K711" i="3"/>
  <c r="K710" i="3"/>
  <c r="K709" i="3"/>
  <c r="K708" i="3"/>
  <c r="K707" i="3"/>
  <c r="K706" i="3"/>
  <c r="K705" i="3"/>
  <c r="K704" i="3"/>
  <c r="K703" i="3"/>
  <c r="K702" i="3"/>
  <c r="K701" i="3"/>
  <c r="K700" i="3"/>
  <c r="K699" i="3"/>
  <c r="K698" i="3"/>
  <c r="K697" i="3"/>
  <c r="K696" i="3"/>
  <c r="K695" i="3"/>
  <c r="K694" i="3"/>
  <c r="K693" i="3"/>
  <c r="K692" i="3"/>
  <c r="K691" i="3"/>
  <c r="K690" i="3"/>
  <c r="K689" i="3"/>
  <c r="K688" i="3"/>
  <c r="K687" i="3"/>
  <c r="K686" i="3"/>
  <c r="K685" i="3"/>
  <c r="K684" i="3"/>
  <c r="K683" i="3"/>
  <c r="K682" i="3"/>
  <c r="K681" i="3"/>
  <c r="K680" i="3"/>
  <c r="K679" i="3"/>
  <c r="K678" i="3"/>
  <c r="K677" i="3"/>
  <c r="K676" i="3"/>
  <c r="K675" i="3"/>
  <c r="K674" i="3"/>
  <c r="K673" i="3"/>
  <c r="K672" i="3"/>
  <c r="K671" i="3"/>
  <c r="K670" i="3"/>
  <c r="K669" i="3"/>
  <c r="K668" i="3"/>
  <c r="K667" i="3"/>
  <c r="K666" i="3"/>
  <c r="K665" i="3"/>
  <c r="K664" i="3"/>
  <c r="K663" i="3"/>
  <c r="K662" i="3"/>
  <c r="K661" i="3"/>
  <c r="K660" i="3"/>
  <c r="K659" i="3"/>
  <c r="K658" i="3"/>
  <c r="K657" i="3"/>
  <c r="K656" i="3"/>
  <c r="K655" i="3"/>
  <c r="K654" i="3"/>
  <c r="K653" i="3"/>
  <c r="K652" i="3"/>
  <c r="K651" i="3"/>
  <c r="K650" i="3"/>
  <c r="K649" i="3"/>
  <c r="K648" i="3"/>
  <c r="K647" i="3"/>
  <c r="K646" i="3"/>
  <c r="K645" i="3"/>
  <c r="K644" i="3"/>
  <c r="K643" i="3"/>
  <c r="K642" i="3"/>
  <c r="K641" i="3"/>
  <c r="K640" i="3"/>
  <c r="K639" i="3"/>
  <c r="K638" i="3"/>
  <c r="K637" i="3"/>
  <c r="K636" i="3"/>
  <c r="K635" i="3"/>
  <c r="K634" i="3"/>
  <c r="K633" i="3"/>
  <c r="K632" i="3"/>
  <c r="K631" i="3"/>
  <c r="K630" i="3"/>
  <c r="K629" i="3"/>
  <c r="K628" i="3"/>
  <c r="K627" i="3"/>
  <c r="K626" i="3"/>
  <c r="K625" i="3"/>
  <c r="K624" i="3"/>
  <c r="K623" i="3"/>
  <c r="K622" i="3"/>
  <c r="K621" i="3"/>
  <c r="K620" i="3"/>
  <c r="K619" i="3"/>
  <c r="K618" i="3"/>
  <c r="K617" i="3"/>
  <c r="K616" i="3"/>
  <c r="K615" i="3"/>
  <c r="K614" i="3"/>
  <c r="K613" i="3"/>
  <c r="K612" i="3"/>
  <c r="K611" i="3"/>
  <c r="K610" i="3"/>
  <c r="K609" i="3"/>
  <c r="K608" i="3"/>
  <c r="K607" i="3"/>
  <c r="K606" i="3"/>
  <c r="K605" i="3"/>
  <c r="K604" i="3"/>
  <c r="K603" i="3"/>
  <c r="K602" i="3"/>
  <c r="K601" i="3"/>
  <c r="K600" i="3"/>
  <c r="K599" i="3"/>
  <c r="K598" i="3"/>
  <c r="K597" i="3"/>
  <c r="K596" i="3"/>
  <c r="K595" i="3"/>
  <c r="K594" i="3"/>
  <c r="K593" i="3"/>
  <c r="K592" i="3"/>
  <c r="K591" i="3"/>
  <c r="K590" i="3"/>
  <c r="K589" i="3"/>
  <c r="K588" i="3"/>
  <c r="K587" i="3"/>
  <c r="K586" i="3"/>
  <c r="K585" i="3"/>
  <c r="K584" i="3"/>
  <c r="K583" i="3"/>
  <c r="K582" i="3"/>
  <c r="K581" i="3"/>
  <c r="K580" i="3"/>
  <c r="K579" i="3"/>
  <c r="K578" i="3"/>
  <c r="K577" i="3"/>
  <c r="K576" i="3"/>
  <c r="K575" i="3"/>
  <c r="K574" i="3"/>
  <c r="K573" i="3"/>
  <c r="K572" i="3"/>
  <c r="K571" i="3"/>
  <c r="K570" i="3"/>
  <c r="K569" i="3"/>
  <c r="K568" i="3"/>
  <c r="K567" i="3"/>
  <c r="K566" i="3"/>
  <c r="K565" i="3"/>
  <c r="K564" i="3"/>
  <c r="K563" i="3"/>
  <c r="K562" i="3"/>
  <c r="K561" i="3"/>
  <c r="K560" i="3"/>
  <c r="K559" i="3"/>
  <c r="K558" i="3"/>
  <c r="K557" i="3"/>
  <c r="K556" i="3"/>
  <c r="K555" i="3"/>
  <c r="K554" i="3"/>
  <c r="K553" i="3"/>
  <c r="K552" i="3"/>
  <c r="K551" i="3"/>
  <c r="K550" i="3"/>
  <c r="K549" i="3"/>
  <c r="K548" i="3"/>
  <c r="K547" i="3"/>
  <c r="K546" i="3"/>
  <c r="K545" i="3"/>
  <c r="K544" i="3"/>
  <c r="K543" i="3"/>
  <c r="K542" i="3"/>
  <c r="K541" i="3"/>
  <c r="K540" i="3"/>
  <c r="K539" i="3"/>
  <c r="K538" i="3"/>
  <c r="K537" i="3"/>
  <c r="K536" i="3"/>
  <c r="K535" i="3"/>
  <c r="K534" i="3"/>
  <c r="K533" i="3"/>
  <c r="K532" i="3"/>
  <c r="K531" i="3"/>
  <c r="K530" i="3"/>
  <c r="K529" i="3"/>
  <c r="K528" i="3"/>
  <c r="K527" i="3"/>
  <c r="K526" i="3"/>
  <c r="K525" i="3"/>
  <c r="K524" i="3"/>
  <c r="K523" i="3"/>
  <c r="K522" i="3"/>
  <c r="K521" i="3"/>
  <c r="K520" i="3"/>
  <c r="K519" i="3"/>
  <c r="K518" i="3"/>
  <c r="K517" i="3"/>
  <c r="K516" i="3"/>
  <c r="K515" i="3"/>
  <c r="K514" i="3"/>
  <c r="K513" i="3"/>
  <c r="K512" i="3"/>
  <c r="K511" i="3"/>
  <c r="K510" i="3"/>
  <c r="K509" i="3"/>
  <c r="K508" i="3"/>
  <c r="K507" i="3"/>
  <c r="K506" i="3"/>
  <c r="K505" i="3"/>
  <c r="K504" i="3"/>
  <c r="K503" i="3"/>
  <c r="K502" i="3"/>
  <c r="K501" i="3"/>
  <c r="K500" i="3"/>
  <c r="K499" i="3"/>
  <c r="K498" i="3"/>
  <c r="K497" i="3"/>
  <c r="K496" i="3"/>
  <c r="K495" i="3"/>
  <c r="K494" i="3"/>
  <c r="K493" i="3"/>
  <c r="K492" i="3"/>
  <c r="K491" i="3"/>
  <c r="K490" i="3"/>
  <c r="K489" i="3"/>
  <c r="K488" i="3"/>
  <c r="K487" i="3"/>
  <c r="K486" i="3"/>
  <c r="K485" i="3"/>
  <c r="K484" i="3"/>
  <c r="K483" i="3"/>
  <c r="K482" i="3"/>
  <c r="K481" i="3"/>
  <c r="K480" i="3"/>
  <c r="K479" i="3"/>
  <c r="K478" i="3"/>
  <c r="K477" i="3"/>
  <c r="K476" i="3"/>
  <c r="K475" i="3"/>
  <c r="K474" i="3"/>
  <c r="K473" i="3"/>
  <c r="K472" i="3"/>
  <c r="K471" i="3"/>
  <c r="K470" i="3"/>
  <c r="K469" i="3"/>
  <c r="K468" i="3"/>
  <c r="K467" i="3"/>
  <c r="K466" i="3"/>
  <c r="K465" i="3"/>
  <c r="K464" i="3"/>
  <c r="K463" i="3"/>
  <c r="K462" i="3"/>
  <c r="K461" i="3"/>
  <c r="K460" i="3"/>
  <c r="K459" i="3"/>
  <c r="K458" i="3"/>
  <c r="K457" i="3"/>
  <c r="K456" i="3"/>
  <c r="K455" i="3"/>
  <c r="K454" i="3"/>
  <c r="K453" i="3"/>
  <c r="K452" i="3"/>
  <c r="K451" i="3"/>
  <c r="K450" i="3"/>
  <c r="K449" i="3"/>
  <c r="K448" i="3"/>
  <c r="K447" i="3"/>
  <c r="K446" i="3"/>
  <c r="K445" i="3"/>
  <c r="K444" i="3"/>
  <c r="K443" i="3"/>
  <c r="K442" i="3"/>
  <c r="K441" i="3"/>
  <c r="K440" i="3"/>
  <c r="K439" i="3"/>
  <c r="K438" i="3"/>
  <c r="K437" i="3"/>
  <c r="K436" i="3"/>
  <c r="K435" i="3"/>
  <c r="K434" i="3"/>
  <c r="K433" i="3"/>
  <c r="K432" i="3"/>
  <c r="K431" i="3"/>
  <c r="K430" i="3"/>
  <c r="K429" i="3"/>
  <c r="K428" i="3"/>
  <c r="K427" i="3"/>
  <c r="K426" i="3"/>
  <c r="K425" i="3"/>
  <c r="K424" i="3"/>
  <c r="K423" i="3"/>
  <c r="K422" i="3"/>
  <c r="K421" i="3"/>
  <c r="K420" i="3"/>
  <c r="K419" i="3"/>
  <c r="K418" i="3"/>
  <c r="K417" i="3"/>
  <c r="K416" i="3"/>
  <c r="K415" i="3"/>
  <c r="K414" i="3"/>
  <c r="K413" i="3"/>
  <c r="K412" i="3"/>
  <c r="K411" i="3"/>
  <c r="K410" i="3"/>
  <c r="K409" i="3"/>
  <c r="K408" i="3"/>
  <c r="K407" i="3"/>
  <c r="K406" i="3"/>
  <c r="K405" i="3"/>
  <c r="K404" i="3"/>
  <c r="K403" i="3"/>
  <c r="K402" i="3"/>
  <c r="K401" i="3"/>
  <c r="K400" i="3"/>
  <c r="K399" i="3"/>
  <c r="K398" i="3"/>
  <c r="K397" i="3"/>
  <c r="K396" i="3"/>
  <c r="K395" i="3"/>
  <c r="K394" i="3"/>
  <c r="K393" i="3"/>
  <c r="K392" i="3"/>
  <c r="K391" i="3"/>
  <c r="K390" i="3"/>
  <c r="K389" i="3"/>
  <c r="K388" i="3"/>
  <c r="K387" i="3"/>
  <c r="K386" i="3"/>
  <c r="K385" i="3"/>
  <c r="K384" i="3"/>
  <c r="K383" i="3"/>
  <c r="K382" i="3"/>
  <c r="K381" i="3"/>
  <c r="K380" i="3"/>
  <c r="K379" i="3"/>
  <c r="K378" i="3"/>
  <c r="K377" i="3"/>
  <c r="K376" i="3"/>
  <c r="K375" i="3"/>
  <c r="K374" i="3"/>
  <c r="K373" i="3"/>
  <c r="K372" i="3"/>
  <c r="K371" i="3"/>
  <c r="K370" i="3"/>
  <c r="K369" i="3"/>
  <c r="K368" i="3"/>
  <c r="K367" i="3"/>
  <c r="K366" i="3"/>
  <c r="K365" i="3"/>
  <c r="K364" i="3"/>
  <c r="K363" i="3"/>
  <c r="K362" i="3"/>
  <c r="K361" i="3"/>
  <c r="K360" i="3"/>
  <c r="K359" i="3"/>
  <c r="K358" i="3"/>
  <c r="K357" i="3"/>
  <c r="K356" i="3"/>
  <c r="K355" i="3"/>
  <c r="K354" i="3"/>
  <c r="K353" i="3"/>
  <c r="K352" i="3"/>
  <c r="K351" i="3"/>
  <c r="K350" i="3"/>
  <c r="K349" i="3"/>
  <c r="K348" i="3"/>
  <c r="K347" i="3"/>
  <c r="K346" i="3"/>
  <c r="K345" i="3"/>
  <c r="K344" i="3"/>
  <c r="K343" i="3"/>
  <c r="K342" i="3"/>
  <c r="K341" i="3"/>
  <c r="K340" i="3"/>
  <c r="K339" i="3"/>
  <c r="K338" i="3"/>
  <c r="K337" i="3"/>
  <c r="K336" i="3"/>
  <c r="K335" i="3"/>
  <c r="K334" i="3"/>
  <c r="K333" i="3"/>
  <c r="K332" i="3"/>
  <c r="K331" i="3"/>
  <c r="K330" i="3"/>
  <c r="K329" i="3"/>
  <c r="K328" i="3"/>
  <c r="K327" i="3"/>
  <c r="K326" i="3"/>
  <c r="K325" i="3"/>
  <c r="K324" i="3"/>
  <c r="K323" i="3"/>
  <c r="K322" i="3"/>
  <c r="K321" i="3"/>
  <c r="K320" i="3"/>
  <c r="K319" i="3"/>
  <c r="K318" i="3"/>
  <c r="K317" i="3"/>
  <c r="K316" i="3"/>
  <c r="K315" i="3"/>
  <c r="K314" i="3"/>
  <c r="K313" i="3"/>
  <c r="K312" i="3"/>
  <c r="K311" i="3"/>
  <c r="K310" i="3"/>
  <c r="K309" i="3"/>
  <c r="K308" i="3"/>
  <c r="K307" i="3"/>
  <c r="K306" i="3"/>
  <c r="K305" i="3"/>
  <c r="K304" i="3"/>
  <c r="K303" i="3"/>
  <c r="K302" i="3"/>
  <c r="K301" i="3"/>
  <c r="K300" i="3"/>
  <c r="K299" i="3"/>
  <c r="K298" i="3"/>
  <c r="K297" i="3"/>
  <c r="K296" i="3"/>
  <c r="K295" i="3"/>
  <c r="K294" i="3"/>
  <c r="K293" i="3"/>
  <c r="K292" i="3"/>
  <c r="K291" i="3"/>
  <c r="K290" i="3"/>
  <c r="K289" i="3"/>
  <c r="K288" i="3"/>
  <c r="K287" i="3"/>
  <c r="K286" i="3"/>
  <c r="K285" i="3"/>
  <c r="K284" i="3"/>
  <c r="K283" i="3"/>
  <c r="K282" i="3"/>
  <c r="K281" i="3"/>
  <c r="K280" i="3"/>
  <c r="K279" i="3"/>
  <c r="K278" i="3"/>
  <c r="K277" i="3"/>
  <c r="K276" i="3"/>
  <c r="K275" i="3"/>
  <c r="K274" i="3"/>
  <c r="K273" i="3"/>
  <c r="K272" i="3"/>
  <c r="K271" i="3"/>
  <c r="K270" i="3"/>
  <c r="K269" i="3"/>
  <c r="K268" i="3"/>
  <c r="K267" i="3"/>
  <c r="K266" i="3"/>
  <c r="K265" i="3"/>
  <c r="K264" i="3"/>
  <c r="K263" i="3"/>
  <c r="K262" i="3"/>
  <c r="K261" i="3"/>
  <c r="K260" i="3"/>
  <c r="K259" i="3"/>
  <c r="K258" i="3"/>
  <c r="K257" i="3"/>
  <c r="K256" i="3"/>
  <c r="K255" i="3"/>
  <c r="K254" i="3"/>
  <c r="K253" i="3"/>
  <c r="K252" i="3"/>
  <c r="K251" i="3"/>
  <c r="K250" i="3"/>
  <c r="K249" i="3"/>
  <c r="K248" i="3"/>
  <c r="K247" i="3"/>
  <c r="K246" i="3"/>
  <c r="K245" i="3"/>
  <c r="K244" i="3"/>
  <c r="K243" i="3"/>
  <c r="K242" i="3"/>
  <c r="K241" i="3"/>
  <c r="K240" i="3"/>
  <c r="K239" i="3"/>
  <c r="K238" i="3"/>
  <c r="K237" i="3"/>
  <c r="K236" i="3"/>
  <c r="K235" i="3"/>
  <c r="K234" i="3"/>
  <c r="K233" i="3"/>
  <c r="K232" i="3"/>
  <c r="K231" i="3"/>
  <c r="K230" i="3"/>
  <c r="K229" i="3"/>
  <c r="K228" i="3"/>
  <c r="K227" i="3"/>
  <c r="K226" i="3"/>
  <c r="K225" i="3"/>
  <c r="K224" i="3"/>
  <c r="K223" i="3"/>
  <c r="K222" i="3"/>
  <c r="K221" i="3"/>
  <c r="K220" i="3"/>
  <c r="K219" i="3"/>
  <c r="K218" i="3"/>
  <c r="K217" i="3"/>
  <c r="K216" i="3"/>
  <c r="K215" i="3"/>
  <c r="K214" i="3"/>
  <c r="K213" i="3"/>
  <c r="K212" i="3"/>
  <c r="K211" i="3"/>
  <c r="K210" i="3"/>
  <c r="K209" i="3"/>
  <c r="K208" i="3"/>
  <c r="K207" i="3"/>
  <c r="K206" i="3"/>
  <c r="K205" i="3"/>
  <c r="K204" i="3"/>
  <c r="K203" i="3"/>
  <c r="K202" i="3"/>
  <c r="K201" i="3"/>
  <c r="K200" i="3"/>
  <c r="K199" i="3"/>
  <c r="K198" i="3"/>
  <c r="K197" i="3"/>
  <c r="K196" i="3"/>
  <c r="K195" i="3"/>
  <c r="K194" i="3"/>
  <c r="K193" i="3"/>
  <c r="K192" i="3"/>
  <c r="K191" i="3"/>
  <c r="K190" i="3"/>
  <c r="K189" i="3"/>
  <c r="K188" i="3"/>
  <c r="K187" i="3"/>
  <c r="K186" i="3"/>
  <c r="K185" i="3"/>
  <c r="K184" i="3"/>
  <c r="K183" i="3"/>
  <c r="K182" i="3"/>
  <c r="K181" i="3"/>
  <c r="K180" i="3"/>
  <c r="K179" i="3"/>
  <c r="K178" i="3"/>
  <c r="K177" i="3"/>
  <c r="K176" i="3"/>
  <c r="K175" i="3"/>
  <c r="K174" i="3"/>
  <c r="K173" i="3"/>
  <c r="K172" i="3"/>
  <c r="K171" i="3"/>
  <c r="K170" i="3"/>
  <c r="K169" i="3"/>
  <c r="K168" i="3"/>
  <c r="K167" i="3"/>
  <c r="K166" i="3"/>
  <c r="K165" i="3"/>
  <c r="K164" i="3"/>
  <c r="K163" i="3"/>
  <c r="K162" i="3"/>
  <c r="K161" i="3"/>
  <c r="K160" i="3"/>
  <c r="K159" i="3"/>
  <c r="K158" i="3"/>
  <c r="K157" i="3"/>
  <c r="K156" i="3"/>
  <c r="K155" i="3"/>
  <c r="K154" i="3"/>
  <c r="K153" i="3"/>
  <c r="K152" i="3"/>
  <c r="K151" i="3"/>
  <c r="K150" i="3"/>
  <c r="K149" i="3"/>
  <c r="K148" i="3"/>
  <c r="K147" i="3"/>
  <c r="K146" i="3"/>
  <c r="H146" i="3"/>
  <c r="F146" i="3"/>
  <c r="K145" i="3"/>
  <c r="H145" i="3"/>
  <c r="F145" i="3"/>
  <c r="K144" i="3"/>
  <c r="H144" i="3"/>
  <c r="F144" i="3"/>
  <c r="K143" i="3"/>
  <c r="H143" i="3"/>
  <c r="F143" i="3"/>
  <c r="K142" i="3"/>
  <c r="H142" i="3"/>
  <c r="F142" i="3"/>
  <c r="K141" i="3"/>
  <c r="H141" i="3"/>
  <c r="F141" i="3"/>
  <c r="K140" i="3"/>
  <c r="H140" i="3"/>
  <c r="F140" i="3"/>
  <c r="K139" i="3"/>
  <c r="H139" i="3"/>
  <c r="F139" i="3"/>
  <c r="K138" i="3"/>
  <c r="H138" i="3"/>
  <c r="F138" i="3"/>
  <c r="K137" i="3"/>
  <c r="H137" i="3"/>
  <c r="F137" i="3"/>
  <c r="K136" i="3"/>
  <c r="H136" i="3"/>
  <c r="F136" i="3"/>
  <c r="K135" i="3"/>
  <c r="H135" i="3"/>
  <c r="F135" i="3"/>
  <c r="K134" i="3"/>
  <c r="H134" i="3"/>
  <c r="F134" i="3"/>
  <c r="K133" i="3"/>
  <c r="H133" i="3"/>
  <c r="F133" i="3"/>
  <c r="K132" i="3"/>
  <c r="H132" i="3"/>
  <c r="F132" i="3"/>
  <c r="K131" i="3"/>
  <c r="H131" i="3"/>
  <c r="F131" i="3"/>
  <c r="K130" i="3"/>
  <c r="H130" i="3"/>
  <c r="F130" i="3"/>
  <c r="K129" i="3"/>
  <c r="H129" i="3"/>
  <c r="F129" i="3"/>
  <c r="K128" i="3"/>
  <c r="H128" i="3"/>
  <c r="F128" i="3"/>
  <c r="K127" i="3"/>
  <c r="H127" i="3"/>
  <c r="F127" i="3"/>
  <c r="K126" i="3"/>
  <c r="H126" i="3"/>
  <c r="F126" i="3"/>
  <c r="K125" i="3"/>
  <c r="H125" i="3"/>
  <c r="F125" i="3"/>
  <c r="K124" i="3"/>
  <c r="H124" i="3"/>
  <c r="F124" i="3"/>
  <c r="K123" i="3"/>
  <c r="H123" i="3"/>
  <c r="F123" i="3"/>
  <c r="K122" i="3"/>
  <c r="H122" i="3"/>
  <c r="F122" i="3"/>
  <c r="K121" i="3"/>
  <c r="H121" i="3"/>
  <c r="F121" i="3"/>
  <c r="K120" i="3"/>
  <c r="H120" i="3"/>
  <c r="F120" i="3"/>
  <c r="K119" i="3"/>
  <c r="H119" i="3"/>
  <c r="F119" i="3"/>
  <c r="K118" i="3"/>
  <c r="H118" i="3"/>
  <c r="F118" i="3"/>
  <c r="K117" i="3"/>
  <c r="H117" i="3"/>
  <c r="F117" i="3"/>
  <c r="K116" i="3"/>
  <c r="H116" i="3"/>
  <c r="F116" i="3"/>
  <c r="K115" i="3"/>
  <c r="H115" i="3"/>
  <c r="F115" i="3"/>
  <c r="K114" i="3"/>
  <c r="H114" i="3"/>
  <c r="F114" i="3"/>
  <c r="K113" i="3"/>
  <c r="H113" i="3"/>
  <c r="F113" i="3"/>
  <c r="K112" i="3"/>
  <c r="H112" i="3"/>
  <c r="F112" i="3"/>
  <c r="K111" i="3"/>
  <c r="H111" i="3"/>
  <c r="F111" i="3"/>
  <c r="K110" i="3"/>
  <c r="H110" i="3"/>
  <c r="F110" i="3"/>
  <c r="K109" i="3"/>
  <c r="H109" i="3"/>
  <c r="F109" i="3"/>
  <c r="K108" i="3"/>
  <c r="H108" i="3"/>
  <c r="F108" i="3"/>
  <c r="K107" i="3"/>
  <c r="H107" i="3"/>
  <c r="F107" i="3"/>
  <c r="K106" i="3"/>
  <c r="H106" i="3"/>
  <c r="F106" i="3"/>
  <c r="K105" i="3"/>
  <c r="H105" i="3"/>
  <c r="F105" i="3"/>
  <c r="K104" i="3"/>
  <c r="H104" i="3"/>
  <c r="F104" i="3"/>
  <c r="K103" i="3"/>
  <c r="H103" i="3"/>
  <c r="F103" i="3"/>
  <c r="K102" i="3"/>
  <c r="H102" i="3"/>
  <c r="F102" i="3"/>
  <c r="K101" i="3"/>
  <c r="H101" i="3"/>
  <c r="F101" i="3"/>
  <c r="K100" i="3"/>
  <c r="H100" i="3"/>
  <c r="F100" i="3"/>
  <c r="K99" i="3"/>
  <c r="H99" i="3"/>
  <c r="F99" i="3"/>
  <c r="K98" i="3"/>
  <c r="H98" i="3"/>
  <c r="F98" i="3"/>
  <c r="K97" i="3"/>
  <c r="H97" i="3"/>
  <c r="F97" i="3"/>
  <c r="K96" i="3"/>
  <c r="H96" i="3"/>
  <c r="F96" i="3"/>
  <c r="K95" i="3"/>
  <c r="H95" i="3"/>
  <c r="F95" i="3"/>
  <c r="K94" i="3"/>
  <c r="H94" i="3"/>
  <c r="F94" i="3"/>
  <c r="K93" i="3"/>
  <c r="H93" i="3"/>
  <c r="F93" i="3"/>
  <c r="K92" i="3"/>
  <c r="H92" i="3"/>
  <c r="F92" i="3"/>
  <c r="K91" i="3"/>
  <c r="H91" i="3"/>
  <c r="F91" i="3"/>
  <c r="K90" i="3"/>
  <c r="H90" i="3"/>
  <c r="F90" i="3"/>
  <c r="K89" i="3"/>
  <c r="H89" i="3"/>
  <c r="F89" i="3"/>
  <c r="K88" i="3"/>
  <c r="H88" i="3"/>
  <c r="F88" i="3"/>
  <c r="K87" i="3"/>
  <c r="H87" i="3"/>
  <c r="F87" i="3"/>
  <c r="K86" i="3"/>
  <c r="H86" i="3"/>
  <c r="F86" i="3"/>
  <c r="K85" i="3"/>
  <c r="H85" i="3"/>
  <c r="F85" i="3"/>
  <c r="K84" i="3"/>
  <c r="H84" i="3"/>
  <c r="F84" i="3"/>
  <c r="K83" i="3"/>
  <c r="H83" i="3"/>
  <c r="F83" i="3"/>
  <c r="K82" i="3"/>
  <c r="H82" i="3"/>
  <c r="F82" i="3"/>
  <c r="K81" i="3"/>
  <c r="H81" i="3"/>
  <c r="F81" i="3"/>
  <c r="K80" i="3"/>
  <c r="H80" i="3"/>
  <c r="F80" i="3"/>
  <c r="K79" i="3"/>
  <c r="H79" i="3"/>
  <c r="F79" i="3"/>
  <c r="K78" i="3"/>
  <c r="H78" i="3"/>
  <c r="F78" i="3"/>
  <c r="K77" i="3"/>
  <c r="H77" i="3"/>
  <c r="F77" i="3"/>
  <c r="K76" i="3"/>
  <c r="H76" i="3"/>
  <c r="F76" i="3"/>
  <c r="K75" i="3"/>
  <c r="H75" i="3"/>
  <c r="F75" i="3"/>
  <c r="K74" i="3"/>
  <c r="H74" i="3"/>
  <c r="F74" i="3"/>
  <c r="K73" i="3"/>
  <c r="H73" i="3"/>
  <c r="F73" i="3"/>
  <c r="K72" i="3"/>
  <c r="H72" i="3"/>
  <c r="F72" i="3"/>
  <c r="K71" i="3"/>
  <c r="H71" i="3"/>
  <c r="F71" i="3"/>
  <c r="K70" i="3"/>
  <c r="H70" i="3"/>
  <c r="F70" i="3"/>
  <c r="K69" i="3"/>
  <c r="H69" i="3"/>
  <c r="F69" i="3"/>
  <c r="K68" i="3"/>
  <c r="H68" i="3"/>
  <c r="F68" i="3"/>
  <c r="K67" i="3"/>
  <c r="H67" i="3"/>
  <c r="F67" i="3"/>
  <c r="K66" i="3"/>
  <c r="H66" i="3"/>
  <c r="F66" i="3"/>
  <c r="K65" i="3"/>
  <c r="H65" i="3"/>
  <c r="F65" i="3"/>
  <c r="K64" i="3"/>
  <c r="H64" i="3"/>
  <c r="F64" i="3"/>
  <c r="K63" i="3"/>
  <c r="H63" i="3"/>
  <c r="F63" i="3"/>
  <c r="K62" i="3"/>
  <c r="H62" i="3"/>
  <c r="F62" i="3"/>
  <c r="K61" i="3"/>
  <c r="H61" i="3"/>
  <c r="F61" i="3"/>
  <c r="K60" i="3"/>
  <c r="H60" i="3"/>
  <c r="F60" i="3"/>
  <c r="K59" i="3"/>
  <c r="H59" i="3"/>
  <c r="F59" i="3"/>
  <c r="K58" i="3"/>
  <c r="H58" i="3"/>
  <c r="F58" i="3"/>
  <c r="K57" i="3"/>
  <c r="H57" i="3"/>
  <c r="F57" i="3"/>
  <c r="K56" i="3"/>
  <c r="H56" i="3"/>
  <c r="F56" i="3"/>
  <c r="K55" i="3"/>
  <c r="H55" i="3"/>
  <c r="F55" i="3"/>
  <c r="K54" i="3"/>
  <c r="H54" i="3"/>
  <c r="F54" i="3"/>
  <c r="K53" i="3"/>
  <c r="H53" i="3"/>
  <c r="F53" i="3"/>
  <c r="K52" i="3"/>
  <c r="H52" i="3"/>
  <c r="F52" i="3"/>
  <c r="K51" i="3"/>
  <c r="H51" i="3"/>
  <c r="F51" i="3"/>
  <c r="K50" i="3"/>
  <c r="H50" i="3"/>
  <c r="F50" i="3"/>
  <c r="K49" i="3"/>
  <c r="H49" i="3"/>
  <c r="F49" i="3"/>
  <c r="K48" i="3"/>
  <c r="H48" i="3"/>
  <c r="F48" i="3"/>
  <c r="K47" i="3"/>
  <c r="H47" i="3"/>
  <c r="F47" i="3"/>
  <c r="K46" i="3"/>
  <c r="H46" i="3"/>
  <c r="F46" i="3"/>
  <c r="K45" i="3"/>
  <c r="H45" i="3"/>
  <c r="F45" i="3"/>
  <c r="K44" i="3"/>
  <c r="H44" i="3"/>
  <c r="F44" i="3"/>
  <c r="K43" i="3"/>
  <c r="H43" i="3"/>
  <c r="F43" i="3"/>
  <c r="K42" i="3"/>
  <c r="H42" i="3"/>
  <c r="F42" i="3"/>
  <c r="K41" i="3"/>
  <c r="H41" i="3"/>
  <c r="F41" i="3"/>
  <c r="K40" i="3"/>
  <c r="H40" i="3"/>
  <c r="F40" i="3"/>
  <c r="K39" i="3"/>
  <c r="H39" i="3"/>
  <c r="F39" i="3"/>
  <c r="K38" i="3"/>
  <c r="H38" i="3"/>
  <c r="F38" i="3"/>
  <c r="K37" i="3"/>
  <c r="H37" i="3"/>
  <c r="F37" i="3"/>
  <c r="K36" i="3"/>
  <c r="H36" i="3"/>
  <c r="F36" i="3"/>
  <c r="K35" i="3"/>
  <c r="H35" i="3"/>
  <c r="F35" i="3"/>
  <c r="K34" i="3"/>
  <c r="H34" i="3"/>
  <c r="F34" i="3"/>
  <c r="K33" i="3"/>
  <c r="H33" i="3"/>
  <c r="F33" i="3"/>
  <c r="K32" i="3"/>
  <c r="H32" i="3"/>
  <c r="F32" i="3"/>
  <c r="K31" i="3"/>
  <c r="H31" i="3"/>
  <c r="F31" i="3"/>
  <c r="K30" i="3"/>
  <c r="H30" i="3"/>
  <c r="F30" i="3"/>
  <c r="K29" i="3"/>
  <c r="H29" i="3"/>
  <c r="F29" i="3"/>
  <c r="K28" i="3"/>
  <c r="H28" i="3"/>
  <c r="F28" i="3"/>
  <c r="K27" i="3"/>
  <c r="H27" i="3"/>
  <c r="F27" i="3"/>
  <c r="K26" i="3"/>
  <c r="H26" i="3"/>
  <c r="F26" i="3"/>
  <c r="K25" i="3"/>
  <c r="H25" i="3"/>
  <c r="F25" i="3"/>
  <c r="K24" i="3"/>
  <c r="H24" i="3"/>
  <c r="F24" i="3"/>
  <c r="K23" i="3"/>
  <c r="H23" i="3"/>
  <c r="F23" i="3"/>
  <c r="K22" i="3"/>
  <c r="H22" i="3"/>
  <c r="F22" i="3"/>
  <c r="K21" i="3"/>
  <c r="H21" i="3"/>
  <c r="F21" i="3"/>
  <c r="K20" i="3"/>
  <c r="H20" i="3"/>
  <c r="F20" i="3"/>
  <c r="K19" i="3"/>
  <c r="H19" i="3"/>
  <c r="F19" i="3"/>
  <c r="K18" i="3"/>
  <c r="H18" i="3"/>
  <c r="F18" i="3"/>
  <c r="K17" i="3"/>
  <c r="H17" i="3"/>
  <c r="F17" i="3"/>
  <c r="K16" i="3"/>
  <c r="H16" i="3"/>
  <c r="F16" i="3"/>
  <c r="K15" i="3"/>
  <c r="H15" i="3"/>
  <c r="F15" i="3"/>
  <c r="K14" i="3"/>
  <c r="H14" i="3"/>
  <c r="F14" i="3"/>
  <c r="K13" i="3"/>
  <c r="H13" i="3"/>
  <c r="F13" i="3"/>
  <c r="K12" i="3"/>
  <c r="H12" i="3"/>
  <c r="F12" i="3"/>
  <c r="K11" i="3"/>
  <c r="H11" i="3"/>
  <c r="F11" i="3"/>
  <c r="K10" i="3"/>
  <c r="H10" i="3"/>
  <c r="F10" i="3"/>
  <c r="K9" i="3"/>
  <c r="H9" i="3"/>
  <c r="F9" i="3"/>
  <c r="K8" i="3"/>
  <c r="H8" i="3"/>
  <c r="F8" i="3"/>
  <c r="K7" i="3"/>
  <c r="H7" i="3"/>
  <c r="F7" i="3"/>
  <c r="K6" i="3"/>
  <c r="H6" i="3"/>
  <c r="F6" i="3"/>
  <c r="K5" i="3"/>
  <c r="H5" i="3"/>
  <c r="F5" i="3"/>
  <c r="K4" i="3"/>
  <c r="H4" i="3"/>
  <c r="F4" i="3"/>
  <c r="K3" i="3"/>
  <c r="H3" i="3"/>
  <c r="F3" i="3"/>
  <c r="F147" i="3" s="1"/>
  <c r="K2" i="3"/>
  <c r="H2" i="3"/>
  <c r="F2" i="3"/>
  <c r="K9" i="2"/>
  <c r="E142" i="11" l="1"/>
  <c r="E121" i="11"/>
  <c r="F29" i="9"/>
  <c r="F133" i="9" s="1"/>
  <c r="S11" i="12"/>
  <c r="R140" i="12"/>
  <c r="G131" i="11"/>
  <c r="G139" i="11"/>
  <c r="S40" i="12"/>
  <c r="G118" i="11"/>
  <c r="E134" i="11"/>
  <c r="G85" i="11"/>
  <c r="E85" i="11"/>
  <c r="E1" i="5"/>
  <c r="E117" i="11"/>
  <c r="E1" i="4"/>
  <c r="D110" i="11"/>
  <c r="E110" i="11" s="1"/>
  <c r="N25" i="36"/>
  <c r="L25" i="36" s="1"/>
  <c r="N41" i="36"/>
  <c r="L41" i="36" s="1"/>
  <c r="E129" i="11"/>
  <c r="E145" i="11"/>
  <c r="N22" i="36"/>
  <c r="L22" i="36" s="1"/>
  <c r="N38" i="36"/>
  <c r="L38" i="36" s="1"/>
  <c r="H57" i="36"/>
  <c r="H147" i="3"/>
  <c r="R131" i="12"/>
  <c r="N32" i="36"/>
  <c r="L32" i="36" s="1"/>
  <c r="N48" i="36"/>
  <c r="L48" i="36" s="1"/>
  <c r="K717" i="3"/>
  <c r="D104" i="11"/>
  <c r="G104" i="11" s="1"/>
  <c r="E130" i="11"/>
  <c r="G135" i="11"/>
  <c r="E146" i="11"/>
  <c r="P151" i="12"/>
  <c r="D17" i="11"/>
  <c r="G17" i="11" s="1"/>
  <c r="D41" i="11"/>
  <c r="G41" i="11" s="1"/>
  <c r="D65" i="11"/>
  <c r="G65" i="11" s="1"/>
  <c r="D81" i="11"/>
  <c r="G81" i="11" s="1"/>
  <c r="G119" i="11"/>
  <c r="E125" i="11"/>
  <c r="E141" i="11"/>
  <c r="P35" i="12"/>
  <c r="D97" i="11"/>
  <c r="G97" i="11" s="1"/>
  <c r="N23" i="36"/>
  <c r="L23" i="36" s="1"/>
  <c r="N39" i="36"/>
  <c r="L39" i="36" s="1"/>
  <c r="H55" i="36"/>
  <c r="D114" i="11"/>
  <c r="E114" i="11" s="1"/>
  <c r="E126" i="11"/>
  <c r="N33" i="36"/>
  <c r="L33" i="36" s="1"/>
  <c r="N49" i="36"/>
  <c r="L49" i="36" s="1"/>
  <c r="D22" i="8"/>
  <c r="E22" i="8" s="1"/>
  <c r="D180" i="8"/>
  <c r="E180" i="8" s="1"/>
  <c r="D27" i="11"/>
  <c r="E27" i="11" s="1"/>
  <c r="E137" i="11"/>
  <c r="N30" i="36"/>
  <c r="L30" i="36" s="1"/>
  <c r="D107" i="11"/>
  <c r="E107" i="11" s="1"/>
  <c r="N27" i="36"/>
  <c r="L27" i="36" s="1"/>
  <c r="N43" i="36"/>
  <c r="L43" i="36" s="1"/>
  <c r="G127" i="11"/>
  <c r="E138" i="11"/>
  <c r="G143" i="11"/>
  <c r="F39" i="37"/>
  <c r="D37" i="11"/>
  <c r="G37" i="11" s="1"/>
  <c r="G122" i="11"/>
  <c r="E133" i="11"/>
  <c r="N18" i="36"/>
  <c r="L18" i="36" s="1"/>
  <c r="N34" i="36"/>
  <c r="L34" i="36" s="1"/>
  <c r="N50" i="36"/>
  <c r="L50" i="36" s="1"/>
  <c r="G103" i="11"/>
  <c r="E109" i="11"/>
  <c r="E29" i="11"/>
  <c r="G111" i="11"/>
  <c r="G98" i="11"/>
  <c r="E77" i="11"/>
  <c r="G106" i="11"/>
  <c r="E93" i="11"/>
  <c r="E5" i="11"/>
  <c r="G13" i="11"/>
  <c r="E13" i="11"/>
  <c r="G105" i="11"/>
  <c r="E105" i="11"/>
  <c r="E64" i="8"/>
  <c r="E99" i="11"/>
  <c r="G99" i="11"/>
  <c r="E94" i="11"/>
  <c r="G94" i="11"/>
  <c r="G101" i="11"/>
  <c r="E101" i="11"/>
  <c r="E115" i="11"/>
  <c r="G115" i="11"/>
  <c r="G25" i="11"/>
  <c r="E25" i="11"/>
  <c r="G73" i="11"/>
  <c r="E73" i="11"/>
  <c r="E95" i="11"/>
  <c r="G95" i="11"/>
  <c r="E89" i="11"/>
  <c r="E113" i="11"/>
  <c r="G102" i="11"/>
  <c r="E69" i="11"/>
  <c r="G9" i="11"/>
  <c r="E9" i="11"/>
  <c r="G66" i="11"/>
  <c r="E66" i="11"/>
  <c r="G100" i="11"/>
  <c r="E100" i="11"/>
  <c r="G6" i="11"/>
  <c r="E6" i="11"/>
  <c r="G59" i="11"/>
  <c r="E59" i="11"/>
  <c r="G67" i="11"/>
  <c r="E67" i="11"/>
  <c r="G74" i="11"/>
  <c r="E74" i="11"/>
  <c r="G52" i="11"/>
  <c r="E52" i="11"/>
  <c r="G60" i="11"/>
  <c r="E60" i="11"/>
  <c r="G8" i="11"/>
  <c r="E8" i="11"/>
  <c r="G15" i="11"/>
  <c r="E15" i="11"/>
  <c r="G23" i="11"/>
  <c r="E23" i="11"/>
  <c r="G30" i="11"/>
  <c r="E30" i="11"/>
  <c r="E45" i="11"/>
  <c r="G53" i="11"/>
  <c r="E53" i="11"/>
  <c r="G16" i="11"/>
  <c r="E16" i="11"/>
  <c r="G38" i="11"/>
  <c r="E38" i="11"/>
  <c r="G2" i="11"/>
  <c r="E2" i="11"/>
  <c r="G24" i="11"/>
  <c r="E24" i="11"/>
  <c r="G31" i="11"/>
  <c r="E31" i="11"/>
  <c r="G3" i="11"/>
  <c r="E3" i="11"/>
  <c r="G10" i="11"/>
  <c r="E10" i="11"/>
  <c r="G4" i="11"/>
  <c r="E4" i="11"/>
  <c r="G11" i="11"/>
  <c r="E11" i="11"/>
  <c r="G18" i="11"/>
  <c r="E18" i="11"/>
  <c r="G12" i="11"/>
  <c r="E12" i="11"/>
  <c r="G19" i="11"/>
  <c r="E19" i="11"/>
  <c r="G88" i="11"/>
  <c r="E88" i="11"/>
  <c r="G112" i="11"/>
  <c r="E112" i="11"/>
  <c r="G32" i="11"/>
  <c r="E32" i="11"/>
  <c r="G39" i="11"/>
  <c r="E39" i="11"/>
  <c r="G46" i="11"/>
  <c r="E46" i="11"/>
  <c r="G68" i="11"/>
  <c r="E68" i="11"/>
  <c r="G75" i="11"/>
  <c r="E75" i="11"/>
  <c r="G82" i="11"/>
  <c r="E82" i="11"/>
  <c r="G40" i="11"/>
  <c r="E40" i="11"/>
  <c r="G47" i="11"/>
  <c r="E47" i="11"/>
  <c r="G54" i="11"/>
  <c r="E54" i="11"/>
  <c r="E61" i="11"/>
  <c r="G96" i="11"/>
  <c r="E96" i="11"/>
  <c r="G26" i="11"/>
  <c r="E26" i="11"/>
  <c r="E33" i="11"/>
  <c r="G76" i="11"/>
  <c r="E76" i="11"/>
  <c r="G83" i="11"/>
  <c r="E83" i="11"/>
  <c r="G108" i="11"/>
  <c r="E108" i="11"/>
  <c r="G48" i="11"/>
  <c r="E48" i="11"/>
  <c r="G55" i="11"/>
  <c r="E55" i="11"/>
  <c r="G62" i="11"/>
  <c r="E62" i="11"/>
  <c r="G20" i="11"/>
  <c r="E20" i="11"/>
  <c r="G34" i="11"/>
  <c r="E34" i="11"/>
  <c r="G84" i="11"/>
  <c r="E84" i="11"/>
  <c r="G56" i="11"/>
  <c r="E56" i="11"/>
  <c r="G63" i="11"/>
  <c r="E63" i="11"/>
  <c r="G70" i="11"/>
  <c r="E70" i="11"/>
  <c r="G28" i="11"/>
  <c r="E28" i="11"/>
  <c r="G35" i="11"/>
  <c r="E35" i="11"/>
  <c r="G42" i="11"/>
  <c r="E42" i="11"/>
  <c r="E49" i="11"/>
  <c r="G92" i="11"/>
  <c r="E92" i="11"/>
  <c r="G7" i="11"/>
  <c r="E7" i="11"/>
  <c r="G14" i="11"/>
  <c r="E14" i="11"/>
  <c r="E21" i="11"/>
  <c r="G64" i="11"/>
  <c r="E64" i="11"/>
  <c r="G71" i="11"/>
  <c r="E71" i="11"/>
  <c r="G78" i="11"/>
  <c r="E78" i="11"/>
  <c r="G36" i="11"/>
  <c r="E36" i="11"/>
  <c r="G43" i="11"/>
  <c r="E43" i="11"/>
  <c r="G50" i="11"/>
  <c r="E50" i="11"/>
  <c r="E57" i="11"/>
  <c r="G22" i="11"/>
  <c r="E22" i="11"/>
  <c r="G72" i="11"/>
  <c r="E72" i="11"/>
  <c r="G79" i="11"/>
  <c r="E79" i="11"/>
  <c r="G86" i="11"/>
  <c r="E86" i="11"/>
  <c r="G44" i="11"/>
  <c r="E44" i="11"/>
  <c r="G51" i="11"/>
  <c r="E51" i="11"/>
  <c r="G58" i="11"/>
  <c r="E58" i="11"/>
  <c r="G80" i="11"/>
  <c r="E80" i="11"/>
  <c r="E87" i="11"/>
  <c r="E91" i="11"/>
  <c r="E116" i="11"/>
  <c r="E120" i="11"/>
  <c r="E124" i="11"/>
  <c r="E128" i="11"/>
  <c r="E132" i="11"/>
  <c r="E136" i="11"/>
  <c r="E140" i="11"/>
  <c r="E144" i="11"/>
  <c r="R13" i="12"/>
  <c r="R42" i="12"/>
  <c r="Y2" i="17"/>
  <c r="F159" i="22"/>
  <c r="E90" i="11"/>
  <c r="F43" i="22"/>
  <c r="F61" i="36"/>
  <c r="F59" i="36"/>
  <c r="H51" i="36"/>
  <c r="H56" i="36"/>
  <c r="H52" i="36"/>
  <c r="F37" i="37"/>
  <c r="E37" i="11" l="1"/>
  <c r="E104" i="11"/>
  <c r="E17" i="11"/>
  <c r="E41" i="11"/>
  <c r="G114" i="11"/>
  <c r="E188" i="8"/>
  <c r="F1" i="8" s="1"/>
  <c r="G110" i="11"/>
  <c r="E81" i="11"/>
  <c r="G107" i="11"/>
  <c r="G27" i="11"/>
  <c r="E65" i="11"/>
  <c r="F160" i="22"/>
  <c r="E97" i="11"/>
  <c r="G147" i="11" l="1"/>
  <c r="E147" i="11"/>
  <c r="D774" i="33"/>
  <c r="D42" i="33"/>
  <c r="F16" i="33"/>
  <c r="D800" i="30"/>
  <c r="D715" i="30"/>
  <c r="D416" i="30"/>
  <c r="C104" i="15"/>
  <c r="F344" i="30"/>
  <c r="D967" i="30"/>
  <c r="F484" i="33"/>
  <c r="F1012" i="33"/>
  <c r="F176" i="33"/>
  <c r="F617" i="33"/>
  <c r="D1057" i="30"/>
  <c r="F859" i="33"/>
  <c r="D269" i="33"/>
  <c r="D554" i="33"/>
  <c r="F752" i="33"/>
  <c r="F812" i="33"/>
  <c r="D855" i="33"/>
  <c r="D248" i="33"/>
  <c r="D649" i="33"/>
  <c r="F441" i="33"/>
  <c r="F604" i="33"/>
  <c r="F958" i="30"/>
  <c r="D1084" i="33"/>
  <c r="F737" i="33"/>
  <c r="D658" i="33"/>
  <c r="F935" i="33"/>
  <c r="D694" i="30"/>
  <c r="F791" i="33"/>
  <c r="D577" i="33"/>
  <c r="D862" i="33"/>
  <c r="F591" i="33"/>
  <c r="F214" i="33"/>
  <c r="D442" i="33"/>
  <c r="F337" i="33"/>
  <c r="D813" i="33"/>
  <c r="D833" i="33"/>
  <c r="F145" i="33"/>
  <c r="F598" i="33"/>
  <c r="D725" i="33"/>
  <c r="D85" i="33"/>
  <c r="F259" i="33"/>
  <c r="D1072" i="33"/>
  <c r="D745" i="30"/>
  <c r="F67" i="33"/>
  <c r="D880" i="33"/>
  <c r="D557" i="33"/>
  <c r="F932" i="30"/>
  <c r="F711" i="33"/>
  <c r="D522" i="30"/>
  <c r="F202" i="33"/>
  <c r="Z52" i="18"/>
  <c r="D295" i="30"/>
  <c r="F497" i="33"/>
  <c r="D706" i="30"/>
  <c r="F809" i="30"/>
  <c r="D811" i="30"/>
  <c r="D476" i="30"/>
  <c r="F860" i="33"/>
  <c r="F896" i="33"/>
  <c r="D2" i="33"/>
  <c r="D988" i="33"/>
  <c r="F1035" i="33"/>
  <c r="F249" i="33"/>
  <c r="D758" i="33"/>
  <c r="D389" i="33"/>
  <c r="D437" i="30"/>
  <c r="D266" i="33"/>
  <c r="D197" i="33"/>
  <c r="D482" i="33"/>
  <c r="D511" i="33"/>
  <c r="F136" i="33"/>
  <c r="D787" i="33"/>
  <c r="F1034" i="30"/>
  <c r="D623" i="33"/>
  <c r="F1070" i="30"/>
  <c r="F842" i="30"/>
  <c r="F431" i="33"/>
  <c r="F966" i="33"/>
  <c r="D802" i="33"/>
  <c r="D458" i="33"/>
  <c r="F792" i="33"/>
  <c r="F784" i="33"/>
  <c r="D58" i="33"/>
  <c r="D487" i="33"/>
  <c r="F890" i="30"/>
  <c r="F1075" i="30"/>
  <c r="F731" i="33"/>
  <c r="F82" i="33"/>
  <c r="D929" i="33"/>
  <c r="F253" i="33"/>
  <c r="D411" i="33"/>
  <c r="F1030" i="33"/>
  <c r="D695" i="33"/>
  <c r="D478" i="33"/>
  <c r="D678" i="30"/>
  <c r="F528" i="30"/>
  <c r="D741" i="30"/>
  <c r="F47" i="30"/>
  <c r="D999" i="33"/>
  <c r="F134" i="33"/>
  <c r="F516" i="33"/>
  <c r="D467" i="33"/>
  <c r="F123" i="33"/>
  <c r="F582" i="33"/>
  <c r="D934" i="33"/>
  <c r="D1099" i="33"/>
  <c r="F814" i="33"/>
  <c r="D812" i="33"/>
  <c r="D1014" i="33"/>
  <c r="D410" i="33"/>
  <c r="F305" i="33"/>
  <c r="F883" i="33"/>
  <c r="D604" i="30"/>
  <c r="D1019" i="30"/>
  <c r="D951" i="30"/>
  <c r="D590" i="30"/>
  <c r="F65" i="33"/>
  <c r="F144" i="33"/>
  <c r="F708" i="33"/>
  <c r="D742" i="30"/>
  <c r="D738" i="30"/>
  <c r="A91" i="23"/>
  <c r="F868" i="33"/>
  <c r="F485" i="33"/>
  <c r="D283" i="33"/>
  <c r="F740" i="33"/>
  <c r="D531" i="33"/>
  <c r="F257" i="33"/>
  <c r="F806" i="33"/>
  <c r="D397" i="33"/>
  <c r="F353" i="33"/>
  <c r="D549" i="33"/>
  <c r="D205" i="33"/>
  <c r="D490" i="33"/>
  <c r="D474" i="33"/>
  <c r="F400" i="33"/>
  <c r="F43" i="33"/>
  <c r="D120" i="33"/>
  <c r="D237" i="30"/>
  <c r="D381" i="33"/>
  <c r="F687" i="33"/>
  <c r="D443" i="33"/>
  <c r="D540" i="33"/>
  <c r="D1062" i="33"/>
  <c r="F966" i="30"/>
  <c r="F1058" i="30"/>
  <c r="D1019" i="33"/>
  <c r="F885" i="33"/>
  <c r="D406" i="33"/>
  <c r="D948" i="33"/>
  <c r="D562" i="33"/>
  <c r="F958" i="33"/>
  <c r="F717" i="33"/>
  <c r="F384" i="30"/>
  <c r="D419" i="33"/>
  <c r="F75" i="33"/>
  <c r="F772" i="33"/>
  <c r="F995" i="33"/>
  <c r="F78" i="33"/>
  <c r="F922" i="33"/>
  <c r="F201" i="33"/>
  <c r="F483" i="30"/>
  <c r="F1024" i="33"/>
  <c r="F669" i="33"/>
  <c r="F929" i="33"/>
  <c r="D30" i="33"/>
  <c r="F346" i="30"/>
  <c r="D719" i="30"/>
  <c r="D1094" i="33"/>
  <c r="A13" i="23"/>
  <c r="F387" i="30"/>
  <c r="D753" i="33"/>
  <c r="F308" i="33"/>
  <c r="F168" i="33"/>
  <c r="D953" i="30"/>
  <c r="D1096" i="30"/>
  <c r="D1037" i="30"/>
  <c r="F1011" i="33"/>
  <c r="D403" i="33"/>
  <c r="D735" i="33"/>
  <c r="D612" i="33"/>
  <c r="F179" i="33"/>
  <c r="D800" i="33"/>
  <c r="F382" i="33"/>
  <c r="F248" i="33"/>
  <c r="D785" i="33"/>
  <c r="F190" i="33"/>
  <c r="F667" i="33"/>
  <c r="F1016" i="33"/>
  <c r="F237" i="33"/>
  <c r="D480" i="33"/>
  <c r="D377" i="33"/>
  <c r="D164" i="30"/>
  <c r="F63" i="33"/>
  <c r="D185" i="33"/>
  <c r="D470" i="33"/>
  <c r="F815" i="33"/>
  <c r="D844" i="33"/>
  <c r="F635" i="33"/>
  <c r="D971" i="33"/>
  <c r="F252" i="33"/>
  <c r="F764" i="33"/>
  <c r="D779" i="33"/>
  <c r="F159" i="33"/>
  <c r="F98" i="33"/>
  <c r="D679" i="33"/>
  <c r="D505" i="33"/>
  <c r="F707" i="33"/>
  <c r="F713" i="30"/>
  <c r="D636" i="30"/>
  <c r="F879" i="33"/>
  <c r="D270" i="33"/>
  <c r="D624" i="33"/>
  <c r="D556" i="30"/>
  <c r="F731" i="30"/>
  <c r="F883" i="30"/>
  <c r="D76" i="30"/>
  <c r="D153" i="23"/>
  <c r="D602" i="30"/>
  <c r="D432" i="33"/>
  <c r="D400" i="33"/>
  <c r="F578" i="33"/>
  <c r="D356" i="33"/>
  <c r="F375" i="33"/>
  <c r="D81" i="23"/>
  <c r="F1105" i="33"/>
  <c r="F246" i="33"/>
  <c r="D1056" i="33"/>
  <c r="D579" i="33"/>
  <c r="F235" i="33"/>
  <c r="F732" i="33"/>
  <c r="F963" i="33"/>
  <c r="D858" i="30"/>
  <c r="F993" i="33"/>
  <c r="D924" i="33"/>
  <c r="D343" i="33"/>
  <c r="F1089" i="33"/>
  <c r="D1057" i="33"/>
  <c r="D525" i="33"/>
  <c r="F1040" i="30"/>
  <c r="D497" i="30"/>
  <c r="F488" i="33"/>
  <c r="D262" i="33"/>
  <c r="D364" i="30"/>
  <c r="D116" i="30"/>
  <c r="F35" i="33"/>
  <c r="D491" i="33"/>
  <c r="F170" i="30"/>
  <c r="D84" i="23"/>
  <c r="F422" i="33"/>
  <c r="F369" i="30"/>
  <c r="D917" i="33"/>
  <c r="F198" i="33"/>
  <c r="F678" i="33"/>
  <c r="D657" i="33"/>
  <c r="F369" i="33"/>
  <c r="F985" i="33"/>
  <c r="F588" i="33"/>
  <c r="D535" i="30"/>
  <c r="D681" i="33"/>
  <c r="D317" i="33"/>
  <c r="F602" i="33"/>
  <c r="D769" i="33"/>
  <c r="D360" i="33"/>
  <c r="F366" i="33"/>
  <c r="F902" i="30"/>
  <c r="F468" i="30"/>
  <c r="D117" i="33"/>
  <c r="F1091" i="33"/>
  <c r="D453" i="33"/>
  <c r="D712" i="33"/>
  <c r="D495" i="33"/>
  <c r="D839" i="33"/>
  <c r="D550" i="33"/>
  <c r="D883" i="33"/>
  <c r="F672" i="33"/>
  <c r="D1076" i="33"/>
  <c r="F419" i="33"/>
  <c r="D870" i="30"/>
  <c r="F1036" i="30"/>
  <c r="F939" i="30"/>
  <c r="F295" i="30"/>
  <c r="D873" i="33"/>
  <c r="F647" i="33"/>
  <c r="F583" i="33"/>
  <c r="D808" i="30"/>
  <c r="F315" i="30"/>
  <c r="D346" i="33"/>
  <c r="D359" i="30"/>
  <c r="D149" i="23"/>
  <c r="D837" i="30"/>
  <c r="D1049" i="30"/>
  <c r="F524" i="30"/>
  <c r="F943" i="33"/>
  <c r="D732" i="30"/>
  <c r="F481" i="33"/>
  <c r="F473" i="33"/>
  <c r="B839" i="10"/>
  <c r="D334" i="33"/>
  <c r="D69" i="33"/>
  <c r="F593" i="33"/>
  <c r="F794" i="33"/>
  <c r="F121" i="33"/>
  <c r="F606" i="33"/>
  <c r="D1025" i="33"/>
  <c r="D374" i="33"/>
  <c r="D413" i="33"/>
  <c r="D698" i="33"/>
  <c r="F1107" i="33"/>
  <c r="F167" i="33"/>
  <c r="D368" i="33"/>
  <c r="F370" i="33"/>
  <c r="D791" i="30"/>
  <c r="D900" i="33"/>
  <c r="F178" i="33"/>
  <c r="F651" i="33"/>
  <c r="D1009" i="33"/>
  <c r="F557" i="33"/>
  <c r="D674" i="33"/>
  <c r="D113" i="33"/>
  <c r="D840" i="30"/>
  <c r="D921" i="30"/>
  <c r="F576" i="33"/>
  <c r="F762" i="33"/>
  <c r="F680" i="33"/>
  <c r="F1054" i="33"/>
  <c r="F846" i="33"/>
  <c r="D726" i="33"/>
  <c r="D224" i="33"/>
  <c r="D284" i="33"/>
  <c r="F977" i="33"/>
  <c r="D233" i="33"/>
  <c r="D415" i="33"/>
  <c r="F1001" i="33"/>
  <c r="F621" i="33"/>
  <c r="D479" i="33"/>
  <c r="F881" i="33"/>
  <c r="D265" i="33"/>
  <c r="D1004" i="30"/>
  <c r="F645" i="33"/>
  <c r="F586" i="33"/>
  <c r="F863" i="30"/>
  <c r="F998" i="30"/>
  <c r="D933" i="30"/>
  <c r="A110" i="23"/>
  <c r="AC7" i="17"/>
  <c r="D1086" i="33"/>
  <c r="F881" i="30"/>
  <c r="F212" i="33"/>
  <c r="D1073" i="33"/>
  <c r="D747" i="33"/>
  <c r="F1019" i="33"/>
  <c r="F670" i="33"/>
  <c r="D631" i="33"/>
  <c r="F1086" i="33"/>
  <c r="F392" i="33"/>
  <c r="F924" i="33"/>
  <c r="F972" i="33"/>
  <c r="F878" i="33"/>
  <c r="F989" i="30"/>
  <c r="D912" i="30"/>
  <c r="D594" i="33"/>
  <c r="D660" i="33"/>
  <c r="D930" i="33"/>
  <c r="F566" i="33"/>
  <c r="F310" i="33"/>
  <c r="F854" i="33"/>
  <c r="F1026" i="33"/>
  <c r="F105" i="33"/>
  <c r="D589" i="33"/>
  <c r="D245" i="33"/>
  <c r="D570" i="30"/>
  <c r="F940" i="33"/>
  <c r="D53" i="33"/>
  <c r="F973" i="33"/>
  <c r="F166" i="33"/>
  <c r="D648" i="33"/>
  <c r="F240" i="33"/>
  <c r="D775" i="33"/>
  <c r="F611" i="30"/>
  <c r="F1104" i="33"/>
  <c r="F358" i="33"/>
  <c r="F716" i="33"/>
  <c r="D978" i="33"/>
  <c r="D645" i="33"/>
  <c r="F1087" i="33"/>
  <c r="D632" i="30"/>
  <c r="D206" i="33"/>
  <c r="D775" i="30"/>
  <c r="F1069" i="30"/>
  <c r="F464" i="33"/>
  <c r="D693" i="33"/>
  <c r="D898" i="30"/>
  <c r="F111" i="33"/>
  <c r="F377" i="30"/>
  <c r="D983" i="30"/>
  <c r="D256" i="30"/>
  <c r="D936" i="30"/>
  <c r="D541" i="30"/>
  <c r="D516" i="33"/>
  <c r="D409" i="33"/>
  <c r="F863" i="33"/>
  <c r="C180" i="15"/>
  <c r="F461" i="33"/>
  <c r="F62" i="33"/>
  <c r="F1045" i="30"/>
  <c r="F1052" i="33"/>
  <c r="F51" i="33"/>
  <c r="F1006" i="33"/>
  <c r="D25" i="33"/>
  <c r="F387" i="33"/>
  <c r="F699" i="33"/>
  <c r="D740" i="33"/>
  <c r="F718" i="30"/>
  <c r="F775" i="33"/>
  <c r="F109" i="33"/>
  <c r="D593" i="33"/>
  <c r="F34" i="33"/>
  <c r="D498" i="30"/>
  <c r="F991" i="33"/>
  <c r="D686" i="33"/>
  <c r="D847" i="33"/>
  <c r="F544" i="33"/>
  <c r="D716" i="33"/>
  <c r="F106" i="33"/>
  <c r="F789" i="30"/>
  <c r="D712" i="30"/>
  <c r="D428" i="33"/>
  <c r="F1020" i="33"/>
  <c r="D582" i="33"/>
  <c r="F1096" i="33"/>
  <c r="F531" i="33"/>
  <c r="D768" i="33"/>
  <c r="F897" i="33"/>
  <c r="F922" i="30"/>
  <c r="D1087" i="33"/>
  <c r="F226" i="33"/>
  <c r="F406" i="33"/>
  <c r="D910" i="33"/>
  <c r="D566" i="33"/>
  <c r="D965" i="33"/>
  <c r="F655" i="30"/>
  <c r="F1095" i="33"/>
  <c r="F1085" i="33"/>
  <c r="D184" i="33"/>
  <c r="D277" i="33"/>
  <c r="D124" i="33"/>
  <c r="D378" i="33"/>
  <c r="D179" i="33"/>
  <c r="D731" i="30"/>
  <c r="A182" i="23"/>
  <c r="F768" i="30"/>
  <c r="F1049" i="30"/>
  <c r="F510" i="30"/>
  <c r="F843" i="33"/>
  <c r="F951" i="33"/>
  <c r="F652" i="33"/>
  <c r="D240" i="33"/>
  <c r="D1068" i="33"/>
  <c r="F982" i="33"/>
  <c r="D32" i="33"/>
  <c r="D950" i="33"/>
  <c r="D515" i="33"/>
  <c r="D859" i="33"/>
  <c r="F640" i="33"/>
  <c r="F588" i="30"/>
  <c r="F841" i="33"/>
  <c r="F650" i="30"/>
  <c r="D972" i="33"/>
  <c r="D729" i="33"/>
  <c r="F1077" i="30"/>
  <c r="F155" i="33"/>
  <c r="D964" i="30"/>
  <c r="F220" i="33"/>
  <c r="F869" i="33"/>
  <c r="F609" i="33"/>
  <c r="D881" i="33"/>
  <c r="F420" i="33"/>
  <c r="D892" i="33"/>
  <c r="D33" i="33"/>
  <c r="F845" i="33"/>
  <c r="F634" i="30"/>
  <c r="F378" i="33"/>
  <c r="D573" i="33"/>
  <c r="F1004" i="30"/>
  <c r="F888" i="30"/>
  <c r="D278" i="33"/>
  <c r="F1052" i="30"/>
  <c r="F644" i="30"/>
  <c r="C169" i="15"/>
  <c r="D512" i="30"/>
  <c r="D677" i="33"/>
  <c r="F908" i="33"/>
  <c r="D507" i="33"/>
  <c r="F837" i="33"/>
  <c r="F702" i="30"/>
  <c r="F289" i="33"/>
  <c r="F1079" i="30"/>
  <c r="D39" i="33"/>
  <c r="F97" i="33"/>
  <c r="D1096" i="33"/>
  <c r="F294" i="33"/>
  <c r="F525" i="33"/>
  <c r="D914" i="33"/>
  <c r="F754" i="30"/>
  <c r="F971" i="33"/>
  <c r="D148" i="33"/>
  <c r="D955" i="33"/>
  <c r="F149" i="33"/>
  <c r="F338" i="33"/>
  <c r="D842" i="33"/>
  <c r="D498" i="33"/>
  <c r="F856" i="33"/>
  <c r="D798" i="10"/>
  <c r="D927" i="30"/>
  <c r="D765" i="33"/>
  <c r="D426" i="33"/>
  <c r="D255" i="33"/>
  <c r="D1041" i="33"/>
  <c r="F1068" i="33"/>
  <c r="D225" i="33"/>
  <c r="D637" i="33"/>
  <c r="D963" i="33"/>
  <c r="D564" i="33"/>
  <c r="F472" i="33"/>
  <c r="F830" i="33"/>
  <c r="F998" i="33"/>
  <c r="F641" i="33"/>
  <c r="D759" i="33"/>
  <c r="D176" i="33"/>
  <c r="F969" i="33"/>
  <c r="F734" i="30"/>
  <c r="D61" i="33"/>
  <c r="D1033" i="33"/>
  <c r="F39" i="33"/>
  <c r="F987" i="33"/>
  <c r="F651" i="30"/>
  <c r="D675" i="30"/>
  <c r="F682" i="33"/>
  <c r="D728" i="33"/>
  <c r="D207" i="33"/>
  <c r="F761" i="33"/>
  <c r="D369" i="33"/>
  <c r="F780" i="33"/>
  <c r="F64" i="33"/>
  <c r="F451" i="33"/>
  <c r="F351" i="33"/>
  <c r="F798" i="33"/>
  <c r="F822" i="33"/>
  <c r="F1073" i="30"/>
  <c r="D982" i="33"/>
  <c r="D336" i="33"/>
  <c r="F339" i="30"/>
  <c r="F890" i="33"/>
  <c r="D1089" i="30"/>
  <c r="D449" i="33"/>
  <c r="F638" i="33"/>
  <c r="D952" i="33"/>
  <c r="D797" i="33"/>
  <c r="D1079" i="33"/>
  <c r="D787" i="30"/>
  <c r="D962" i="30"/>
  <c r="D887" i="33"/>
  <c r="F748" i="33"/>
  <c r="F270" i="33"/>
  <c r="F738" i="30"/>
  <c r="D428" i="30"/>
  <c r="D78" i="33"/>
  <c r="F28" i="33"/>
  <c r="F311" i="30"/>
  <c r="F953" i="30"/>
  <c r="D752" i="33"/>
  <c r="D402" i="33"/>
  <c r="D676" i="30"/>
  <c r="D422" i="33"/>
  <c r="F30" i="33"/>
  <c r="D778" i="30"/>
  <c r="Z7" i="18"/>
  <c r="D898" i="33"/>
  <c r="D555" i="30"/>
  <c r="D992" i="33"/>
  <c r="F1022" i="33"/>
  <c r="D1029" i="33"/>
  <c r="F823" i="33"/>
  <c r="F189" i="33"/>
  <c r="F721" i="33"/>
  <c r="F559" i="33"/>
  <c r="D1078" i="33"/>
  <c r="D215" i="33"/>
  <c r="F821" i="33"/>
  <c r="D1066" i="33"/>
  <c r="F776" i="33"/>
  <c r="D137" i="33"/>
  <c r="F857" i="33"/>
  <c r="D1058" i="33"/>
  <c r="D767" i="33"/>
  <c r="F411" i="33"/>
  <c r="F946" i="30"/>
  <c r="D671" i="33"/>
  <c r="D862" i="30"/>
  <c r="D509" i="33"/>
  <c r="F341" i="33"/>
  <c r="F892" i="33"/>
  <c r="F587" i="33"/>
  <c r="D217" i="33"/>
  <c r="D756" i="33"/>
  <c r="F328" i="33"/>
  <c r="C157" i="15"/>
  <c r="F691" i="30"/>
  <c r="F41" i="33"/>
  <c r="D40" i="33"/>
  <c r="D708" i="33"/>
  <c r="D110" i="33"/>
  <c r="F705" i="30"/>
  <c r="F837" i="30"/>
  <c r="D1086" i="30"/>
  <c r="A25" i="23"/>
  <c r="F469" i="33"/>
  <c r="F978" i="33"/>
  <c r="D88" i="33"/>
  <c r="D517" i="33"/>
  <c r="F512" i="33"/>
  <c r="D956" i="33"/>
  <c r="D97" i="33"/>
  <c r="D1083" i="33"/>
  <c r="F770" i="30"/>
  <c r="F509" i="33"/>
  <c r="D891" i="33"/>
  <c r="F85" i="33"/>
  <c r="D281" i="33"/>
  <c r="D778" i="33"/>
  <c r="D407" i="33"/>
  <c r="F753" i="33"/>
  <c r="D1069" i="30"/>
  <c r="D819" i="33"/>
  <c r="F510" i="33"/>
  <c r="D734" i="30"/>
  <c r="F564" i="33"/>
  <c r="F767" i="30"/>
  <c r="F972" i="30"/>
  <c r="D464" i="33"/>
  <c r="F926" i="30"/>
  <c r="F584" i="33"/>
  <c r="D538" i="33"/>
  <c r="F521" i="33"/>
  <c r="F1021" i="33"/>
  <c r="F1056" i="33"/>
  <c r="F698" i="30"/>
  <c r="F1020" i="30"/>
  <c r="D890" i="33"/>
  <c r="D77" i="33"/>
  <c r="F1010" i="33"/>
  <c r="F811" i="33"/>
  <c r="F979" i="33"/>
  <c r="F625" i="33"/>
  <c r="D536" i="30"/>
  <c r="D218" i="33"/>
  <c r="F950" i="33"/>
  <c r="F846" i="30"/>
  <c r="F256" i="33"/>
  <c r="F624" i="33"/>
  <c r="F362" i="33"/>
  <c r="D590" i="33"/>
  <c r="F796" i="33"/>
  <c r="D20" i="33"/>
  <c r="D1081" i="33"/>
  <c r="D975" i="33"/>
  <c r="D798" i="33"/>
  <c r="F518" i="33"/>
  <c r="D1024" i="33"/>
  <c r="F93" i="33"/>
  <c r="D766" i="30"/>
  <c r="D919" i="30"/>
  <c r="F433" i="33"/>
  <c r="D757" i="33"/>
  <c r="D1045" i="33"/>
  <c r="F942" i="30"/>
  <c r="D782" i="33"/>
  <c r="F417" i="33"/>
  <c r="D628" i="30"/>
  <c r="D606" i="30"/>
  <c r="D38" i="33"/>
  <c r="D675" i="33"/>
  <c r="D493" i="33"/>
  <c r="F787" i="33"/>
  <c r="D1041" i="30"/>
  <c r="F568" i="33"/>
  <c r="F362" i="30"/>
  <c r="F1008" i="30"/>
  <c r="D257" i="33"/>
  <c r="D405" i="33"/>
  <c r="D554" i="30"/>
  <c r="D364" i="33"/>
  <c r="F667" i="30"/>
  <c r="D424" i="33"/>
  <c r="D1036" i="30"/>
  <c r="D382" i="30"/>
  <c r="F40" i="33"/>
  <c r="D599" i="33"/>
  <c r="D924" i="30"/>
  <c r="D1003" i="33"/>
  <c r="D811" i="33"/>
  <c r="D1090" i="33"/>
  <c r="D750" i="33"/>
  <c r="D927" i="33"/>
  <c r="D1010" i="33"/>
  <c r="F1064" i="33"/>
  <c r="F264" i="33"/>
  <c r="F1015" i="33"/>
  <c r="D1108" i="33"/>
  <c r="F1046" i="33"/>
  <c r="F873" i="33"/>
  <c r="D916" i="33"/>
  <c r="F739" i="33"/>
  <c r="F507" i="33"/>
  <c r="D866" i="33"/>
  <c r="F514" i="33"/>
  <c r="D435" i="33"/>
  <c r="F91" i="33"/>
  <c r="F849" i="30"/>
  <c r="F271" i="33"/>
  <c r="B2" i="34"/>
  <c r="D1038" i="33"/>
  <c r="F210" i="33"/>
  <c r="F746" i="30"/>
  <c r="F333" i="33"/>
  <c r="D311" i="30"/>
  <c r="C826" i="10"/>
  <c r="F141" i="33"/>
  <c r="F594" i="33"/>
  <c r="D380" i="33"/>
  <c r="D855" i="30"/>
  <c r="F870" i="30"/>
  <c r="D1064" i="33"/>
  <c r="D136" i="23"/>
  <c r="AC51" i="17"/>
  <c r="D770" i="30"/>
  <c r="D416" i="33"/>
  <c r="F896" i="30"/>
  <c r="F388" i="33"/>
  <c r="F729" i="30"/>
  <c r="C109" i="15"/>
  <c r="D575" i="30"/>
  <c r="F282" i="30"/>
  <c r="F537" i="30"/>
  <c r="F405" i="33"/>
  <c r="D167" i="33"/>
  <c r="D825" i="33"/>
  <c r="F274" i="33"/>
  <c r="D820" i="33"/>
  <c r="D484" i="33"/>
  <c r="D947" i="33"/>
  <c r="F108" i="33"/>
  <c r="F72" i="33"/>
  <c r="D755" i="33"/>
  <c r="F409" i="33"/>
  <c r="F1096" i="30"/>
  <c r="D372" i="33"/>
  <c r="F403" i="33"/>
  <c r="F436" i="33"/>
  <c r="F305" i="30"/>
  <c r="D70" i="33"/>
  <c r="D462" i="30"/>
  <c r="F1041" i="30"/>
  <c r="F919" i="30"/>
  <c r="D414" i="33"/>
  <c r="F696" i="30"/>
  <c r="D660" i="30"/>
  <c r="D1039" i="30"/>
  <c r="F1042" i="33"/>
  <c r="F871" i="33"/>
  <c r="F1088" i="30"/>
  <c r="D615" i="33"/>
  <c r="D848" i="33"/>
  <c r="D750" i="30"/>
  <c r="F47" i="33"/>
  <c r="D878" i="33"/>
  <c r="D189" i="33"/>
  <c r="F297" i="33"/>
  <c r="F804" i="33"/>
  <c r="D585" i="33"/>
  <c r="F835" i="33"/>
  <c r="D391" i="33"/>
  <c r="D578" i="33"/>
  <c r="D567" i="33"/>
  <c r="F494" i="33"/>
  <c r="D840" i="33"/>
  <c r="F407" i="33"/>
  <c r="F360" i="33"/>
  <c r="F927" i="33"/>
  <c r="F908" i="30"/>
  <c r="D591" i="30"/>
  <c r="F423" i="33"/>
  <c r="F1027" i="33"/>
  <c r="F673" i="33"/>
  <c r="D285" i="33"/>
  <c r="D824" i="33"/>
  <c r="F496" i="33"/>
  <c r="D268" i="33"/>
  <c r="D500" i="30"/>
  <c r="F80" i="33"/>
  <c r="F832" i="33"/>
  <c r="F827" i="33"/>
  <c r="D1007" i="33"/>
  <c r="D263" i="33"/>
  <c r="D794" i="33"/>
  <c r="F422" i="30"/>
  <c r="F189" i="30"/>
  <c r="F1073" i="33"/>
  <c r="F398" i="33"/>
  <c r="D1054" i="30"/>
  <c r="F1014" i="30"/>
  <c r="D548" i="30"/>
  <c r="D350" i="33"/>
  <c r="D261" i="30"/>
  <c r="D386" i="33"/>
  <c r="D1079" i="30"/>
  <c r="D637" i="30"/>
  <c r="F873" i="30"/>
  <c r="D442" i="30"/>
  <c r="F1053" i="33"/>
  <c r="F1076" i="33"/>
  <c r="D937" i="33"/>
  <c r="F714" i="30"/>
  <c r="D940" i="33"/>
  <c r="D663" i="30"/>
  <c r="F313" i="33"/>
  <c r="D604" i="33"/>
  <c r="D608" i="33"/>
  <c r="D731" i="33"/>
  <c r="F945" i="30"/>
  <c r="F906" i="30"/>
  <c r="D746" i="33"/>
  <c r="D659" i="33"/>
  <c r="D908" i="33"/>
  <c r="D522" i="33"/>
  <c r="F894" i="33"/>
  <c r="D1069" i="33"/>
  <c r="F408" i="33"/>
  <c r="F1002" i="33"/>
  <c r="F755" i="33"/>
  <c r="D994" i="33"/>
  <c r="F778" i="33"/>
  <c r="F346" i="33"/>
  <c r="D574" i="33"/>
  <c r="F504" i="33"/>
  <c r="D902" i="30"/>
  <c r="F71" i="33"/>
  <c r="F765" i="33"/>
  <c r="F1043" i="30"/>
  <c r="D330" i="33"/>
  <c r="F743" i="33"/>
  <c r="D324" i="30"/>
  <c r="A145" i="23"/>
  <c r="Z60" i="18"/>
  <c r="D923" i="30"/>
  <c r="D812" i="30"/>
  <c r="D804" i="30"/>
  <c r="F749" i="30"/>
  <c r="D857" i="30"/>
  <c r="F1028" i="30"/>
  <c r="C170" i="15"/>
  <c r="B806" i="10"/>
  <c r="D202" i="33"/>
  <c r="F179" i="30"/>
  <c r="D140" i="23"/>
  <c r="F688" i="30"/>
  <c r="F205" i="33"/>
  <c r="D390" i="33"/>
  <c r="F402" i="33"/>
  <c r="D645" i="30"/>
  <c r="F1026" i="30"/>
  <c r="D299" i="30"/>
  <c r="D358" i="33"/>
  <c r="D35" i="23"/>
  <c r="F1058" i="33"/>
  <c r="F1083" i="30"/>
  <c r="D387" i="30"/>
  <c r="F813" i="30"/>
  <c r="D817" i="30"/>
  <c r="D480" i="30"/>
  <c r="F548" i="30"/>
  <c r="D1018" i="30"/>
  <c r="F824" i="30"/>
  <c r="F1005" i="30"/>
  <c r="F315" i="33"/>
  <c r="D127" i="33"/>
  <c r="F642" i="33"/>
  <c r="D1060" i="33"/>
  <c r="D918" i="33"/>
  <c r="F774" i="30"/>
  <c r="F355" i="33"/>
  <c r="F230" i="33"/>
  <c r="D670" i="33"/>
  <c r="F954" i="33"/>
  <c r="F996" i="33"/>
  <c r="F1084" i="30"/>
  <c r="D164" i="33"/>
  <c r="D614" i="33"/>
  <c r="F601" i="33"/>
  <c r="F894" i="30"/>
  <c r="D454" i="33"/>
  <c r="F349" i="33"/>
  <c r="F953" i="33"/>
  <c r="D704" i="30"/>
  <c r="D705" i="30"/>
  <c r="F654" i="33"/>
  <c r="D926" i="33"/>
  <c r="D1106" i="33"/>
  <c r="F278" i="33"/>
  <c r="F814" i="30"/>
  <c r="F401" i="33"/>
  <c r="F914" i="30"/>
  <c r="D27" i="33"/>
  <c r="F209" i="33"/>
  <c r="D683" i="33"/>
  <c r="F519" i="33"/>
  <c r="D149" i="33"/>
  <c r="D444" i="33"/>
  <c r="F1080" i="33"/>
  <c r="D441" i="30"/>
  <c r="F224" i="30"/>
  <c r="D944" i="33"/>
  <c r="F627" i="33"/>
  <c r="D588" i="33"/>
  <c r="D430" i="33"/>
  <c r="D108" i="33"/>
  <c r="F487" i="33"/>
  <c r="D31" i="23"/>
  <c r="D115" i="2"/>
  <c r="F197" i="33"/>
  <c r="D910" i="30"/>
  <c r="F1037" i="30"/>
  <c r="D913" i="30"/>
  <c r="D875" i="33"/>
  <c r="F685" i="30"/>
  <c r="D651" i="33"/>
  <c r="D817" i="33"/>
  <c r="D374" i="30"/>
  <c r="F1054" i="30"/>
  <c r="F243" i="33"/>
  <c r="D822" i="33"/>
  <c r="F478" i="33"/>
  <c r="F824" i="33"/>
  <c r="D569" i="30"/>
  <c r="D261" i="33"/>
  <c r="D1052" i="33"/>
  <c r="D460" i="33"/>
  <c r="F301" i="33"/>
  <c r="D851" i="33"/>
  <c r="D11" i="33"/>
  <c r="D938" i="33"/>
  <c r="D175" i="33"/>
  <c r="D843" i="33"/>
  <c r="D619" i="33"/>
  <c r="D1036" i="33"/>
  <c r="D703" i="33"/>
  <c r="D569" i="33"/>
  <c r="F809" i="33"/>
  <c r="F399" i="33"/>
  <c r="D700" i="30"/>
  <c r="D551" i="33"/>
  <c r="F207" i="33"/>
  <c r="F983" i="33"/>
  <c r="F523" i="33"/>
  <c r="F146" i="33"/>
  <c r="F1031" i="33"/>
  <c r="F269" i="33"/>
  <c r="F1047" i="30"/>
  <c r="F500" i="30"/>
  <c r="F761" i="30"/>
  <c r="F753" i="30"/>
  <c r="D392" i="33"/>
  <c r="D672" i="30"/>
  <c r="D231" i="33"/>
  <c r="AC15" i="17"/>
  <c r="D830" i="10"/>
  <c r="D182" i="33"/>
  <c r="F519" i="30"/>
  <c r="F1048" i="33"/>
  <c r="F187" i="33"/>
  <c r="F661" i="33"/>
  <c r="F390" i="33"/>
  <c r="D652" i="33"/>
  <c r="F15" i="33"/>
  <c r="A50" i="23"/>
  <c r="D801" i="10"/>
  <c r="D126" i="30"/>
  <c r="D1042" i="30"/>
  <c r="D398" i="33"/>
  <c r="F260" i="33"/>
  <c r="F217" i="33"/>
  <c r="F836" i="30"/>
  <c r="F184" i="33"/>
  <c r="F959" i="30"/>
  <c r="F1100" i="30"/>
  <c r="F1046" i="30"/>
  <c r="D848" i="10"/>
  <c r="D412" i="33"/>
  <c r="D804" i="33"/>
  <c r="D642" i="33"/>
  <c r="F321" i="33"/>
  <c r="F19" i="33"/>
  <c r="F491" i="33"/>
  <c r="F1007" i="33"/>
  <c r="F326" i="33"/>
  <c r="F862" i="30"/>
  <c r="F463" i="33"/>
  <c r="F437" i="33"/>
  <c r="D351" i="33"/>
  <c r="F113" i="33"/>
  <c r="D1048" i="33"/>
  <c r="F735" i="33"/>
  <c r="F1062" i="33"/>
  <c r="D365" i="33"/>
  <c r="F799" i="33"/>
  <c r="F527" i="33"/>
  <c r="F665" i="33"/>
  <c r="D547" i="33"/>
  <c r="D793" i="30"/>
  <c r="D977" i="30"/>
  <c r="F1071" i="33"/>
  <c r="D968" i="33"/>
  <c r="F1092" i="33"/>
  <c r="D501" i="33"/>
  <c r="D157" i="33"/>
  <c r="F331" i="33"/>
  <c r="F813" i="33"/>
  <c r="F630" i="30"/>
  <c r="F139" i="33"/>
  <c r="F874" i="33"/>
  <c r="D970" i="33"/>
  <c r="F142" i="33"/>
  <c r="D879" i="33"/>
  <c r="F265" i="33"/>
  <c r="F396" i="33"/>
  <c r="F235" i="30"/>
  <c r="F73" i="33"/>
  <c r="F1032" i="33"/>
  <c r="D872" i="30"/>
  <c r="F476" i="30"/>
  <c r="F726" i="30"/>
  <c r="D1027" i="33"/>
  <c r="D68" i="23"/>
  <c r="C112" i="15"/>
  <c r="F779" i="33"/>
  <c r="F495" i="30"/>
  <c r="D583" i="33"/>
  <c r="D1090" i="30"/>
  <c r="F303" i="30"/>
  <c r="D250" i="33"/>
  <c r="F757" i="33"/>
  <c r="F681" i="33"/>
  <c r="D818" i="30"/>
  <c r="F1001" i="30"/>
  <c r="D897" i="33"/>
  <c r="D864" i="33"/>
  <c r="D468" i="33"/>
  <c r="D991" i="33"/>
  <c r="F363" i="30"/>
  <c r="F254" i="33"/>
  <c r="D799" i="33"/>
  <c r="F371" i="33"/>
  <c r="F231" i="33"/>
  <c r="D1093" i="30"/>
  <c r="F459" i="33"/>
  <c r="D342" i="33"/>
  <c r="D485" i="33"/>
  <c r="D770" i="33"/>
  <c r="D796" i="33"/>
  <c r="F363" i="33"/>
  <c r="F272" i="33"/>
  <c r="D1089" i="33"/>
  <c r="D674" i="30"/>
  <c r="D168" i="30"/>
  <c r="F374" i="33"/>
  <c r="D957" i="33"/>
  <c r="F907" i="33"/>
  <c r="F169" i="33"/>
  <c r="D1104" i="33"/>
  <c r="D309" i="33"/>
  <c r="F541" i="30"/>
  <c r="F174" i="33"/>
  <c r="F710" i="30"/>
  <c r="F291" i="33"/>
  <c r="D173" i="33"/>
  <c r="D606" i="33"/>
  <c r="D191" i="33"/>
  <c r="F893" i="33"/>
  <c r="F903" i="33"/>
  <c r="F964" i="33"/>
  <c r="F50" i="33"/>
  <c r="F319" i="30"/>
  <c r="D744" i="30"/>
  <c r="F639" i="30"/>
  <c r="D360" i="30"/>
  <c r="D433" i="30"/>
  <c r="A114" i="23"/>
  <c r="F921" i="33"/>
  <c r="D1098" i="33"/>
  <c r="F224" i="33"/>
  <c r="D830" i="30"/>
  <c r="D253" i="30"/>
  <c r="F562" i="30"/>
  <c r="E80" i="26"/>
  <c r="AC19" i="17"/>
  <c r="D320" i="30"/>
  <c r="D1000" i="30"/>
  <c r="F244" i="33"/>
  <c r="F745" i="30"/>
  <c r="D851" i="30"/>
  <c r="F1024" i="30"/>
  <c r="C67" i="15"/>
  <c r="D909" i="33"/>
  <c r="D275" i="33"/>
  <c r="F727" i="33"/>
  <c r="D933" i="33"/>
  <c r="F115" i="33"/>
  <c r="F574" i="33"/>
  <c r="F318" i="33"/>
  <c r="D717" i="33"/>
  <c r="F801" i="33"/>
  <c r="F126" i="33"/>
  <c r="D587" i="33"/>
  <c r="D447" i="33"/>
  <c r="F173" i="33"/>
  <c r="F675" i="33"/>
  <c r="D313" i="33"/>
  <c r="D609" i="30"/>
  <c r="D465" i="33"/>
  <c r="D121" i="33"/>
  <c r="F1101" i="33"/>
  <c r="F864" i="33"/>
  <c r="D780" i="33"/>
  <c r="F170" i="33"/>
  <c r="D907" i="33"/>
  <c r="D776" i="30"/>
  <c r="F534" i="33"/>
  <c r="D715" i="33"/>
  <c r="F95" i="33"/>
  <c r="D41" i="33"/>
  <c r="F595" i="33"/>
  <c r="D832" i="33"/>
  <c r="F619" i="33"/>
  <c r="F1066" i="30"/>
  <c r="D640" i="33"/>
  <c r="D423" i="33"/>
  <c r="F826" i="30"/>
  <c r="D1016" i="33"/>
  <c r="F639" i="33"/>
  <c r="D1077" i="33"/>
  <c r="F826" i="33"/>
  <c r="F842" i="33"/>
  <c r="F1017" i="30"/>
  <c r="D529" i="30"/>
  <c r="D144" i="33"/>
  <c r="D548" i="33"/>
  <c r="F705" i="33"/>
  <c r="D611" i="33"/>
  <c r="F119" i="33"/>
  <c r="A46" i="23"/>
  <c r="D871" i="30"/>
  <c r="F610" i="33"/>
  <c r="D868" i="30"/>
  <c r="F945" i="33"/>
  <c r="D705" i="33"/>
  <c r="F746" i="33"/>
  <c r="D597" i="33"/>
  <c r="F831" i="33"/>
  <c r="D618" i="33"/>
  <c r="F1033" i="33"/>
  <c r="D109" i="33"/>
  <c r="D1095" i="33"/>
  <c r="F112" i="33"/>
  <c r="F914" i="33"/>
  <c r="F498" i="30"/>
  <c r="D216" i="33"/>
  <c r="D581" i="33"/>
  <c r="F838" i="33"/>
  <c r="D1020" i="33"/>
  <c r="F905" i="33"/>
  <c r="D636" i="33"/>
  <c r="D276" i="33"/>
  <c r="F430" i="33"/>
  <c r="D1097" i="33"/>
  <c r="D320" i="33"/>
  <c r="F938" i="30"/>
  <c r="F790" i="33"/>
  <c r="D1075" i="33"/>
  <c r="F975" i="33"/>
  <c r="D835" i="30"/>
  <c r="F378" i="30"/>
  <c r="D1059" i="30"/>
  <c r="F385" i="33"/>
  <c r="D931" i="33"/>
  <c r="D152" i="33"/>
  <c r="D1018" i="33"/>
  <c r="D161" i="33"/>
  <c r="F990" i="30"/>
  <c r="F186" i="33"/>
  <c r="F559" i="30"/>
  <c r="D383" i="33"/>
  <c r="F949" i="33"/>
  <c r="F1090" i="33"/>
  <c r="F904" i="33"/>
  <c r="D718" i="33"/>
  <c r="D954" i="33"/>
  <c r="D613" i="33"/>
  <c r="D676" i="33"/>
  <c r="D1047" i="33"/>
  <c r="D1101" i="33"/>
  <c r="F714" i="33"/>
  <c r="D529" i="33"/>
  <c r="D574" i="30"/>
  <c r="D1053" i="33"/>
  <c r="F882" i="33"/>
  <c r="D622" i="33"/>
  <c r="F906" i="33"/>
  <c r="D436" i="33"/>
  <c r="F671" i="33"/>
  <c r="D857" i="33"/>
  <c r="D272" i="33"/>
  <c r="D462" i="33"/>
  <c r="F357" i="33"/>
  <c r="F917" i="33"/>
  <c r="D508" i="33"/>
  <c r="D1088" i="33"/>
  <c r="F157" i="33"/>
  <c r="D704" i="33"/>
  <c r="D242" i="33"/>
  <c r="F541" i="33"/>
  <c r="D1023" i="33"/>
  <c r="F162" i="33"/>
  <c r="D349" i="33"/>
  <c r="D846" i="33"/>
  <c r="F622" i="30"/>
  <c r="F862" i="33"/>
  <c r="D689" i="30"/>
  <c r="D159" i="33"/>
  <c r="F970" i="33"/>
  <c r="D953" i="33"/>
  <c r="F968" i="33"/>
  <c r="F688" i="33"/>
  <c r="D1080" i="30"/>
  <c r="D850" i="33"/>
  <c r="F690" i="30"/>
  <c r="F918" i="30"/>
  <c r="F31" i="33"/>
  <c r="D295" i="33"/>
  <c r="F79" i="33"/>
  <c r="D561" i="33"/>
  <c r="D884" i="33"/>
  <c r="D689" i="33"/>
  <c r="D1011" i="33"/>
  <c r="D809" i="10"/>
  <c r="F33" i="33"/>
  <c r="F861" i="33"/>
  <c r="D1071" i="30"/>
  <c r="F608" i="33"/>
  <c r="D680" i="30"/>
  <c r="D247" i="33"/>
  <c r="F44" i="33"/>
  <c r="D333" i="33"/>
  <c r="D868" i="33"/>
  <c r="F600" i="33"/>
  <c r="F558" i="33"/>
  <c r="D919" i="33"/>
  <c r="D376" i="33"/>
  <c r="D1006" i="33"/>
  <c r="D456" i="33"/>
  <c r="D996" i="33"/>
  <c r="F867" i="33"/>
  <c r="F670" i="30"/>
  <c r="F654" i="30"/>
  <c r="F930" i="33"/>
  <c r="F1078" i="33"/>
  <c r="D885" i="33"/>
  <c r="D472" i="30"/>
  <c r="D942" i="33"/>
  <c r="D598" i="33"/>
  <c r="D664" i="33"/>
  <c r="D783" i="33"/>
  <c r="D665" i="33"/>
  <c r="F937" i="33"/>
  <c r="F522" i="33"/>
  <c r="F955" i="33"/>
  <c r="D641" i="33"/>
  <c r="F287" i="33"/>
  <c r="F696" i="33"/>
  <c r="D518" i="33"/>
  <c r="F540" i="33"/>
  <c r="F87" i="33"/>
  <c r="D208" i="33"/>
  <c r="F671" i="30"/>
  <c r="F528" i="33"/>
  <c r="F1018" i="30"/>
  <c r="F786" i="33"/>
  <c r="F342" i="33"/>
  <c r="D888" i="33"/>
  <c r="F1061" i="30"/>
  <c r="D1015" i="33"/>
  <c r="D564" i="30"/>
  <c r="F208" i="33"/>
  <c r="D823" i="33"/>
  <c r="F517" i="33"/>
  <c r="D213" i="33"/>
  <c r="F644" i="33"/>
  <c r="F1094" i="33"/>
  <c r="D1088" i="30"/>
  <c r="F265" i="30"/>
  <c r="F829" i="33"/>
  <c r="F889" i="30"/>
  <c r="D688" i="33"/>
  <c r="F718" i="33"/>
  <c r="D612" i="30"/>
  <c r="F10" i="33"/>
  <c r="D975" i="30"/>
  <c r="D688" i="30"/>
  <c r="D62" i="33"/>
  <c r="F880" i="33"/>
  <c r="F192" i="33"/>
  <c r="F1027" i="30"/>
  <c r="D741" i="33"/>
  <c r="D618" i="30"/>
  <c r="D727" i="33"/>
  <c r="D112" i="33"/>
  <c r="F1060" i="33"/>
  <c r="D580" i="33"/>
  <c r="F295" i="33"/>
  <c r="D915" i="33"/>
  <c r="F719" i="33"/>
  <c r="D1002" i="33"/>
  <c r="D647" i="33"/>
  <c r="F458" i="33"/>
  <c r="D810" i="33"/>
  <c r="F1089" i="30"/>
  <c r="F101" i="33"/>
  <c r="D586" i="33"/>
  <c r="F526" i="33"/>
  <c r="F756" i="33"/>
  <c r="F913" i="30"/>
  <c r="F1044" i="33"/>
  <c r="F277" i="33"/>
  <c r="F789" i="33"/>
  <c r="F833" i="33"/>
  <c r="D153" i="33"/>
  <c r="F327" i="33"/>
  <c r="F200" i="33"/>
  <c r="D223" i="30"/>
  <c r="F135" i="33"/>
  <c r="D304" i="33"/>
  <c r="D633" i="33"/>
  <c r="D774" i="30"/>
  <c r="D450" i="33"/>
  <c r="F392" i="30"/>
  <c r="F520" i="33"/>
  <c r="D72" i="23"/>
  <c r="F344" i="33"/>
  <c r="F1043" i="33"/>
  <c r="F936" i="33"/>
  <c r="F874" i="30"/>
  <c r="D714" i="33"/>
  <c r="D279" i="33"/>
  <c r="C92" i="15"/>
  <c r="F648" i="30"/>
  <c r="D639" i="33"/>
  <c r="D500" i="33"/>
  <c r="F876" i="30"/>
  <c r="D136" i="33"/>
  <c r="D616" i="30"/>
  <c r="D15" i="33"/>
  <c r="A132" i="2"/>
  <c r="F222" i="33"/>
  <c r="F46" i="33"/>
  <c r="D625" i="33"/>
  <c r="D864" i="30"/>
  <c r="F373" i="30"/>
  <c r="D583" i="30"/>
  <c r="D964" i="33"/>
  <c r="F465" i="33"/>
  <c r="D856" i="33"/>
  <c r="F118" i="33"/>
  <c r="F233" i="33"/>
  <c r="F1070" i="33"/>
  <c r="F1030" i="30"/>
  <c r="D742" i="33"/>
  <c r="F580" i="30"/>
  <c r="D984" i="33"/>
  <c r="F848" i="33"/>
  <c r="F782" i="30"/>
  <c r="D79" i="33"/>
  <c r="D1093" i="33"/>
  <c r="D870" i="33"/>
  <c r="D526" i="33"/>
  <c r="D135" i="33"/>
  <c r="D678" i="33"/>
  <c r="F967" i="33"/>
  <c r="D911" i="33"/>
  <c r="F720" i="33"/>
  <c r="F415" i="33"/>
  <c r="F1057" i="33"/>
  <c r="F901" i="33"/>
  <c r="D806" i="30"/>
  <c r="D749" i="33"/>
  <c r="D361" i="33"/>
  <c r="D661" i="33"/>
  <c r="D565" i="33"/>
  <c r="F878" i="30"/>
  <c r="F498" i="33"/>
  <c r="D287" i="33"/>
  <c r="D140" i="33"/>
  <c r="F273" i="33"/>
  <c r="F741" i="33"/>
  <c r="F506" i="33"/>
  <c r="F206" i="33"/>
  <c r="D473" i="33"/>
  <c r="F320" i="33"/>
  <c r="F245" i="33"/>
  <c r="D313" i="30"/>
  <c r="D1008" i="33"/>
  <c r="F1097" i="30"/>
  <c r="D341" i="33"/>
  <c r="D746" i="30"/>
  <c r="D236" i="33"/>
  <c r="F127" i="33"/>
  <c r="D291" i="33"/>
  <c r="Z43" i="18"/>
  <c r="F479" i="33"/>
  <c r="D834" i="33"/>
  <c r="D969" i="33"/>
  <c r="F414" i="33"/>
  <c r="D939" i="33"/>
  <c r="D885" i="30"/>
  <c r="F1039" i="33"/>
  <c r="F919" i="33"/>
  <c r="D447" i="30"/>
  <c r="F1063" i="33"/>
  <c r="F999" i="33"/>
  <c r="D886" i="33"/>
  <c r="F920" i="33"/>
  <c r="F926" i="33"/>
  <c r="F1009" i="30"/>
  <c r="D201" i="33"/>
  <c r="D852" i="33"/>
  <c r="F550" i="33"/>
  <c r="F1029" i="33"/>
  <c r="D829" i="33"/>
  <c r="F412" i="33"/>
  <c r="F1013" i="33"/>
  <c r="D81" i="33"/>
  <c r="F785" i="30"/>
  <c r="F706" i="33"/>
  <c r="D1100" i="33"/>
  <c r="F762" i="30"/>
  <c r="F643" i="33"/>
  <c r="D289" i="33"/>
  <c r="F495" i="33"/>
  <c r="D1014" i="30"/>
  <c r="F724" i="33"/>
  <c r="F77" i="33"/>
  <c r="F1038" i="33"/>
  <c r="D620" i="30"/>
  <c r="F660" i="30"/>
  <c r="F843" i="30"/>
  <c r="D1063" i="33"/>
  <c r="A81" i="23"/>
  <c r="F573" i="30"/>
  <c r="F444" i="33"/>
  <c r="F723" i="33"/>
  <c r="D684" i="30"/>
  <c r="F750" i="33"/>
  <c r="D244" i="33"/>
  <c r="F147" i="33"/>
  <c r="D99" i="23"/>
  <c r="A23" i="23"/>
  <c r="F511" i="33"/>
  <c r="D939" i="30"/>
  <c r="D591" i="33"/>
  <c r="D1101" i="30"/>
  <c r="F307" i="30"/>
  <c r="D282" i="33"/>
  <c r="D91" i="2"/>
  <c r="F18" i="33"/>
  <c r="D762" i="33"/>
  <c r="D595" i="33"/>
  <c r="F304" i="33"/>
  <c r="D867" i="33"/>
  <c r="D34" i="33"/>
  <c r="D959" i="33"/>
  <c r="D181" i="33"/>
  <c r="D1103" i="33"/>
  <c r="F361" i="33"/>
  <c r="F830" i="30"/>
  <c r="D559" i="33"/>
  <c r="D903" i="33"/>
  <c r="F700" i="33"/>
  <c r="F930" i="30"/>
  <c r="D720" i="33"/>
  <c r="D503" i="33"/>
  <c r="D335" i="33"/>
  <c r="D734" i="33"/>
  <c r="F343" i="33"/>
  <c r="D905" i="33"/>
  <c r="F818" i="33"/>
  <c r="D640" i="30"/>
  <c r="F613" i="33"/>
  <c r="F354" i="33"/>
  <c r="D925" i="33"/>
  <c r="F942" i="33"/>
  <c r="D221" i="33"/>
  <c r="F395" i="33"/>
  <c r="F336" i="33"/>
  <c r="F758" i="30"/>
  <c r="F203" i="33"/>
  <c r="F457" i="33"/>
  <c r="F729" i="33"/>
  <c r="D429" i="33"/>
  <c r="D943" i="33"/>
  <c r="F329" i="33"/>
  <c r="F849" i="33"/>
  <c r="D326" i="30"/>
  <c r="F137" i="33"/>
  <c r="F662" i="33"/>
  <c r="F334" i="33"/>
  <c r="F456" i="30"/>
  <c r="F866" i="30"/>
  <c r="D1028" i="33"/>
  <c r="D190" i="33"/>
  <c r="AC46" i="17"/>
  <c r="D766" i="33"/>
  <c r="D876" i="33"/>
  <c r="F513" i="30"/>
  <c r="D860" i="30"/>
  <c r="D369" i="30"/>
  <c r="F578" i="30"/>
  <c r="D745" i="33"/>
  <c r="F781" i="33"/>
  <c r="F920" i="30"/>
  <c r="D946" i="33"/>
  <c r="D523" i="33"/>
  <c r="D928" i="33"/>
  <c r="D1051" i="33"/>
  <c r="D1055" i="33"/>
  <c r="F592" i="30"/>
  <c r="E3" i="33"/>
  <c r="D863" i="33"/>
  <c r="F450" i="33"/>
  <c r="F980" i="33"/>
  <c r="D87" i="33"/>
  <c r="D913" i="33"/>
  <c r="D1044" i="33"/>
  <c r="F443" i="33"/>
  <c r="D527" i="33"/>
  <c r="F900" i="33"/>
  <c r="F229" i="33"/>
  <c r="D105" i="33"/>
  <c r="F1051" i="33"/>
  <c r="F282" i="33"/>
  <c r="D510" i="33"/>
  <c r="D764" i="30"/>
  <c r="F799" i="30"/>
  <c r="F941" i="33"/>
  <c r="D895" i="33"/>
  <c r="D1080" i="33"/>
  <c r="D433" i="33"/>
  <c r="D89" i="33"/>
  <c r="F263" i="33"/>
  <c r="D743" i="30"/>
  <c r="F684" i="30"/>
  <c r="D718" i="30"/>
  <c r="D748" i="30"/>
  <c r="D966" i="30"/>
  <c r="D532" i="33"/>
  <c r="D417" i="33"/>
  <c r="F1077" i="33"/>
  <c r="C75" i="15"/>
  <c r="F474" i="33"/>
  <c r="D141" i="33"/>
  <c r="F976" i="33"/>
  <c r="F909" i="33"/>
  <c r="F193" i="33"/>
  <c r="F704" i="33"/>
  <c r="F1108" i="33"/>
  <c r="D440" i="33"/>
  <c r="D408" i="30"/>
  <c r="F798" i="30"/>
  <c r="F777" i="33"/>
  <c r="F933" i="33"/>
  <c r="D345" i="33"/>
  <c r="D1012" i="33"/>
  <c r="F821" i="30"/>
  <c r="D685" i="30"/>
  <c r="D459" i="33"/>
  <c r="F877" i="33"/>
  <c r="F56" i="33"/>
  <c r="F486" i="33"/>
  <c r="F788" i="33"/>
  <c r="D451" i="30"/>
  <c r="D1067" i="33"/>
  <c r="F424" i="33"/>
  <c r="D626" i="33"/>
  <c r="D1026" i="33"/>
  <c r="D979" i="33"/>
  <c r="F161" i="33"/>
  <c r="F216" i="33"/>
  <c r="F1099" i="33"/>
  <c r="F626" i="30"/>
  <c r="D733" i="33"/>
  <c r="D499" i="30"/>
  <c r="F801" i="30"/>
  <c r="D1022" i="30"/>
  <c r="F92" i="30"/>
  <c r="A17" i="23"/>
  <c r="F499" i="33"/>
  <c r="D26" i="23"/>
  <c r="D501" i="30"/>
  <c r="D643" i="33"/>
  <c r="C122" i="15"/>
  <c r="B790" i="10"/>
  <c r="F961" i="33"/>
  <c r="D917" i="30"/>
  <c r="F57" i="33"/>
  <c r="D877" i="33"/>
  <c r="A2" i="31"/>
  <c r="F804" i="30"/>
  <c r="D478" i="30"/>
  <c r="AC13" i="17"/>
  <c r="D699" i="33"/>
  <c r="F976" i="30"/>
  <c r="F649" i="30"/>
  <c r="D228" i="33"/>
  <c r="F937" i="30"/>
  <c r="F981" i="30"/>
  <c r="D931" i="30"/>
  <c r="C17" i="15"/>
  <c r="F757" i="30"/>
  <c r="D1022" i="33"/>
  <c r="F1060" i="30"/>
  <c r="F678" i="30"/>
  <c r="D400" i="30"/>
  <c r="F758" i="33"/>
  <c r="A143" i="2"/>
  <c r="C792" i="10"/>
  <c r="D1084" i="30"/>
  <c r="D585" i="30"/>
  <c r="D160" i="33"/>
  <c r="F247" i="30"/>
  <c r="A153" i="23"/>
  <c r="D222" i="33"/>
  <c r="A164" i="23"/>
  <c r="D453" i="30"/>
  <c r="D17" i="23"/>
  <c r="F546" i="30"/>
  <c r="C76" i="15"/>
  <c r="D494" i="30"/>
  <c r="D787" i="10"/>
  <c r="F577" i="33"/>
  <c r="A90" i="23"/>
  <c r="C828" i="10"/>
  <c r="F790" i="30"/>
  <c r="C3" i="15"/>
  <c r="D402" i="30"/>
  <c r="D845" i="10"/>
  <c r="D336" i="30"/>
  <c r="F864" i="30"/>
  <c r="A7" i="15"/>
  <c r="D407" i="30"/>
  <c r="C52" i="15"/>
  <c r="F872" i="33"/>
  <c r="D319" i="33"/>
  <c r="D737" i="33"/>
  <c r="F750" i="30"/>
  <c r="D1056" i="30"/>
  <c r="F459" i="30"/>
  <c r="C118" i="15"/>
  <c r="D662" i="30"/>
  <c r="F748" i="30"/>
  <c r="F679" i="33"/>
  <c r="F933" i="30"/>
  <c r="F380" i="33"/>
  <c r="D631" i="30"/>
  <c r="D54" i="2"/>
  <c r="D59" i="33"/>
  <c r="F797" i="30"/>
  <c r="D934" i="30"/>
  <c r="D971" i="30"/>
  <c r="F432" i="33"/>
  <c r="F345" i="33"/>
  <c r="D1062" i="30"/>
  <c r="F200" i="30"/>
  <c r="C127" i="15"/>
  <c r="D1030" i="30"/>
  <c r="D306" i="33"/>
  <c r="D254" i="33"/>
  <c r="D813" i="30"/>
  <c r="F991" i="30"/>
  <c r="D655" i="30"/>
  <c r="F433" i="30"/>
  <c r="F770" i="33"/>
  <c r="F879" i="30"/>
  <c r="D619" i="30"/>
  <c r="D434" i="30"/>
  <c r="F78" i="30"/>
  <c r="F36" i="33"/>
  <c r="F348" i="33"/>
  <c r="F711" i="30"/>
  <c r="F570" i="33"/>
  <c r="F428" i="30"/>
  <c r="F117" i="33"/>
  <c r="F876" i="33"/>
  <c r="D235" i="33"/>
  <c r="D824" i="30"/>
  <c r="D882" i="33"/>
  <c r="D571" i="33"/>
  <c r="D301" i="33"/>
  <c r="F877" i="30"/>
  <c r="D515" i="30"/>
  <c r="D1059" i="33"/>
  <c r="F913" i="33"/>
  <c r="D713" i="33"/>
  <c r="F754" i="33"/>
  <c r="D921" i="33"/>
  <c r="F489" i="33"/>
  <c r="D128" i="33"/>
  <c r="F534" i="30"/>
  <c r="D668" i="33"/>
  <c r="D755" i="30"/>
  <c r="F702" i="33"/>
  <c r="F1082" i="33"/>
  <c r="F931" i="33"/>
  <c r="F1065" i="30"/>
  <c r="D837" i="33"/>
  <c r="D45" i="33"/>
  <c r="D151" i="33"/>
  <c r="F303" i="33"/>
  <c r="D323" i="33"/>
  <c r="F663" i="33"/>
  <c r="D411" i="30"/>
  <c r="E3" i="30"/>
  <c r="D294" i="33"/>
  <c r="F129" i="33"/>
  <c r="D253" i="33"/>
  <c r="F810" i="33"/>
  <c r="D947" i="30"/>
  <c r="D937" i="30"/>
  <c r="D30" i="30"/>
  <c r="D904" i="33"/>
  <c r="F493" i="33"/>
  <c r="F730" i="30"/>
  <c r="F673" i="30"/>
  <c r="D248" i="30"/>
  <c r="D357" i="33"/>
  <c r="D24" i="30"/>
  <c r="F124" i="30"/>
  <c r="D906" i="33"/>
  <c r="D343" i="30"/>
  <c r="F133" i="33"/>
  <c r="F611" i="33"/>
  <c r="F1012" i="30"/>
  <c r="F602" i="30"/>
  <c r="C166" i="15"/>
  <c r="C814" i="10"/>
  <c r="F727" i="30"/>
  <c r="D584" i="30"/>
  <c r="F915" i="33"/>
  <c r="F1068" i="30"/>
  <c r="D989" i="30"/>
  <c r="F92" i="33"/>
  <c r="D49" i="30"/>
  <c r="D158" i="2"/>
  <c r="A178" i="23"/>
  <c r="D724" i="30"/>
  <c r="C141" i="15"/>
  <c r="F607" i="30"/>
  <c r="A27" i="23"/>
  <c r="D791" i="33"/>
  <c r="F692" i="30"/>
  <c r="C148" i="15"/>
  <c r="F902" i="33"/>
  <c r="F228" i="33"/>
  <c r="D417" i="30"/>
  <c r="D684" i="33"/>
  <c r="D754" i="33"/>
  <c r="F163" i="33"/>
  <c r="D893" i="33"/>
  <c r="F637" i="33"/>
  <c r="F382" i="30"/>
  <c r="D796" i="30"/>
  <c r="F185" i="33"/>
  <c r="D556" i="33"/>
  <c r="F1006" i="30"/>
  <c r="D249" i="33"/>
  <c r="F726" i="33"/>
  <c r="F1097" i="33"/>
  <c r="D653" i="33"/>
  <c r="F981" i="33"/>
  <c r="F936" i="30"/>
  <c r="D874" i="33"/>
  <c r="D603" i="33"/>
  <c r="D901" i="33"/>
  <c r="D706" i="33"/>
  <c r="F1010" i="30"/>
  <c r="D528" i="33"/>
  <c r="F674" i="33"/>
  <c r="E79" i="26"/>
  <c r="D83" i="33"/>
  <c r="C155" i="15"/>
  <c r="AC48" i="17"/>
  <c r="D21" i="23"/>
  <c r="D876" i="30"/>
  <c r="D180" i="30"/>
  <c r="D155" i="33"/>
  <c r="F599" i="33"/>
  <c r="F201" i="30"/>
  <c r="A93" i="23"/>
  <c r="D1042" i="33"/>
  <c r="F442" i="30"/>
  <c r="D1065" i="33"/>
  <c r="F929" i="30"/>
  <c r="D143" i="33"/>
  <c r="D26" i="33"/>
  <c r="D170" i="23"/>
  <c r="D753" i="10"/>
  <c r="D607" i="33"/>
  <c r="D180" i="33"/>
  <c r="F555" i="30"/>
  <c r="D367" i="33"/>
  <c r="D258" i="33"/>
  <c r="D820" i="30"/>
  <c r="F669" i="30"/>
  <c r="C175" i="15"/>
  <c r="D424" i="30"/>
  <c r="D537" i="33"/>
  <c r="F992" i="30"/>
  <c r="D869" i="30"/>
  <c r="D293" i="33"/>
  <c r="B796" i="10"/>
  <c r="F148" i="30"/>
  <c r="D72" i="30"/>
  <c r="D836" i="30"/>
  <c r="D883" i="30"/>
  <c r="D35" i="33"/>
  <c r="F210" i="30"/>
  <c r="A169" i="2"/>
  <c r="D239" i="33"/>
  <c r="D247" i="30"/>
  <c r="D509" i="30"/>
  <c r="F606" i="30"/>
  <c r="D198" i="33"/>
  <c r="D865" i="33"/>
  <c r="D1031" i="33"/>
  <c r="F685" i="33"/>
  <c r="F1047" i="33"/>
  <c r="D791" i="10"/>
  <c r="F245" i="30"/>
  <c r="F1032" i="30"/>
  <c r="D635" i="30"/>
  <c r="F715" i="30"/>
  <c r="F918" i="33"/>
  <c r="F805" i="30"/>
  <c r="F977" i="30"/>
  <c r="A89" i="2"/>
  <c r="D77" i="2"/>
  <c r="F853" i="33"/>
  <c r="F476" i="33"/>
  <c r="D729" i="30"/>
  <c r="F590" i="30"/>
  <c r="D288" i="33"/>
  <c r="F964" i="30"/>
  <c r="A78" i="2"/>
  <c r="D132" i="2"/>
  <c r="F721" i="30"/>
  <c r="F812" i="30"/>
  <c r="D771" i="33"/>
  <c r="F14" i="33"/>
  <c r="F625" i="30"/>
  <c r="D1063" i="30"/>
  <c r="D1061" i="33"/>
  <c r="F38" i="33"/>
  <c r="F586" i="30"/>
  <c r="F428" i="33"/>
  <c r="D903" i="30"/>
  <c r="F855" i="33"/>
  <c r="F897" i="30"/>
  <c r="D136" i="30"/>
  <c r="F707" i="30"/>
  <c r="D166" i="23"/>
  <c r="D783" i="10"/>
  <c r="F229" i="30"/>
  <c r="D271" i="33"/>
  <c r="A186" i="23"/>
  <c r="C99" i="15"/>
  <c r="F324" i="30"/>
  <c r="D829" i="10"/>
  <c r="D1001" i="33"/>
  <c r="D935" i="33"/>
  <c r="F42" i="33"/>
  <c r="F657" i="30"/>
  <c r="F663" i="30"/>
  <c r="D1043" i="33"/>
  <c r="F763" i="33"/>
  <c r="D64" i="33"/>
  <c r="F446" i="30"/>
  <c r="D384" i="33"/>
  <c r="F692" i="33"/>
  <c r="F103" i="33"/>
  <c r="F446" i="33"/>
  <c r="D1046" i="33"/>
  <c r="D1071" i="33"/>
  <c r="F1081" i="30"/>
  <c r="D949" i="33"/>
  <c r="F760" i="33"/>
  <c r="D597" i="30"/>
  <c r="F1072" i="30"/>
  <c r="D96" i="33"/>
  <c r="D809" i="33"/>
  <c r="F807" i="33"/>
  <c r="D687" i="33"/>
  <c r="D818" i="33"/>
  <c r="F810" i="30"/>
  <c r="F556" i="30"/>
  <c r="D855" i="10"/>
  <c r="D758" i="30"/>
  <c r="D481" i="33"/>
  <c r="D362" i="33"/>
  <c r="D386" i="30"/>
  <c r="D970" i="30"/>
  <c r="F439" i="33"/>
  <c r="D145" i="33"/>
  <c r="F311" i="33"/>
  <c r="F478" i="30"/>
  <c r="D726" i="30"/>
  <c r="B848" i="10"/>
  <c r="D437" i="33"/>
  <c r="F802" i="30"/>
  <c r="D456" i="30"/>
  <c r="D596" i="33"/>
  <c r="F529" i="33"/>
  <c r="F769" i="30"/>
  <c r="D117" i="2"/>
  <c r="D169" i="30"/>
  <c r="D475" i="33"/>
  <c r="F561" i="30"/>
  <c r="D71" i="33"/>
  <c r="D1023" i="30"/>
  <c r="F535" i="33"/>
  <c r="B807" i="10"/>
  <c r="F532" i="33"/>
  <c r="D163" i="23"/>
  <c r="F462" i="30"/>
  <c r="F1099" i="30"/>
  <c r="F808" i="33"/>
  <c r="D383" i="30"/>
  <c r="F55" i="30"/>
  <c r="A109" i="2"/>
  <c r="D281" i="30"/>
  <c r="F859" i="30"/>
  <c r="D841" i="10"/>
  <c r="F725" i="33"/>
  <c r="F452" i="33"/>
  <c r="F1081" i="33"/>
  <c r="F232" i="33"/>
  <c r="F694" i="30"/>
  <c r="D701" i="30"/>
  <c r="D257" i="30"/>
  <c r="F923" i="30"/>
  <c r="D55" i="33"/>
  <c r="F706" i="30"/>
  <c r="F999" i="30"/>
  <c r="F160" i="33"/>
  <c r="D337" i="33"/>
  <c r="D349" i="30"/>
  <c r="F275" i="30"/>
  <c r="D310" i="33"/>
  <c r="F29" i="33"/>
  <c r="D592" i="30"/>
  <c r="D847" i="30"/>
  <c r="F1000" i="33"/>
  <c r="F156" i="33"/>
  <c r="D170" i="2"/>
  <c r="C55" i="15"/>
  <c r="D264" i="33"/>
  <c r="D644" i="30"/>
  <c r="D1025" i="30"/>
  <c r="F317" i="33"/>
  <c r="D1024" i="30"/>
  <c r="F888" i="33"/>
  <c r="D552" i="30"/>
  <c r="D352" i="33"/>
  <c r="F699" i="30"/>
  <c r="F767" i="33"/>
  <c r="D203" i="33"/>
  <c r="D587" i="30"/>
  <c r="D17" i="33"/>
  <c r="E92" i="26"/>
  <c r="A170" i="23"/>
  <c r="D337" i="30"/>
  <c r="D669" i="30"/>
  <c r="D241" i="30"/>
  <c r="F65" i="30"/>
  <c r="F323" i="30"/>
  <c r="D29" i="23"/>
  <c r="F379" i="30"/>
  <c r="F165" i="30"/>
  <c r="A157" i="2"/>
  <c r="C186" i="15"/>
  <c r="F383" i="30"/>
  <c r="D878" i="30"/>
  <c r="F313" i="30"/>
  <c r="F347" i="33"/>
  <c r="C806" i="10"/>
  <c r="F947" i="30"/>
  <c r="D974" i="30"/>
  <c r="D894" i="30"/>
  <c r="F1034" i="33"/>
  <c r="D808" i="33"/>
  <c r="D134" i="33"/>
  <c r="F773" i="30"/>
  <c r="D193" i="2"/>
  <c r="A39" i="23"/>
  <c r="A42" i="23"/>
  <c r="F270" i="30"/>
  <c r="D224" i="30"/>
  <c r="E96" i="26"/>
  <c r="AC6" i="17"/>
  <c r="F251" i="33"/>
  <c r="F447" i="33"/>
  <c r="F467" i="33"/>
  <c r="D476" i="33"/>
  <c r="D21" i="33"/>
  <c r="F710" i="33"/>
  <c r="D709" i="30"/>
  <c r="F691" i="33"/>
  <c r="F448" i="33"/>
  <c r="D738" i="33"/>
  <c r="D951" i="33"/>
  <c r="D492" i="30"/>
  <c r="D163" i="33"/>
  <c r="F962" i="33"/>
  <c r="D962" i="33"/>
  <c r="F884" i="33"/>
  <c r="F194" i="33"/>
  <c r="F986" i="33"/>
  <c r="F925" i="30"/>
  <c r="F1009" i="33"/>
  <c r="D736" i="30"/>
  <c r="D540" i="30"/>
  <c r="F694" i="33"/>
  <c r="F983" i="30"/>
  <c r="D477" i="30"/>
  <c r="F240" i="30"/>
  <c r="E4" i="30"/>
  <c r="F965" i="33"/>
  <c r="D1073" i="30"/>
  <c r="D997" i="30"/>
  <c r="D520" i="33"/>
  <c r="D524" i="33"/>
  <c r="F407" i="30"/>
  <c r="F354" i="30"/>
  <c r="F614" i="33"/>
  <c r="F795" i="30"/>
  <c r="F239" i="33"/>
  <c r="D339" i="33"/>
  <c r="F672" i="30"/>
  <c r="C84" i="15"/>
  <c r="D161" i="23"/>
  <c r="D356" i="30"/>
  <c r="F131" i="33"/>
  <c r="D372" i="30"/>
  <c r="F401" i="30"/>
  <c r="F898" i="30"/>
  <c r="D84" i="30"/>
  <c r="E100" i="26"/>
  <c r="D686" i="30"/>
  <c r="D850" i="10"/>
  <c r="F99" i="33"/>
  <c r="F766" i="30"/>
  <c r="F1008" i="33"/>
  <c r="F994" i="30"/>
  <c r="D668" i="30"/>
  <c r="F733" i="33"/>
  <c r="F562" i="33"/>
  <c r="D889" i="33"/>
  <c r="D496" i="33"/>
  <c r="F899" i="33"/>
  <c r="D600" i="33"/>
  <c r="D761" i="30"/>
  <c r="D1004" i="33"/>
  <c r="D451" i="33"/>
  <c r="D1074" i="33"/>
  <c r="F870" i="33"/>
  <c r="F712" i="33"/>
  <c r="D973" i="33"/>
  <c r="D900" i="30"/>
  <c r="F865" i="33"/>
  <c r="F638" i="30"/>
  <c r="D976" i="30"/>
  <c r="F1090" i="30"/>
  <c r="D736" i="33"/>
  <c r="D334" i="30"/>
  <c r="A66" i="23"/>
  <c r="F539" i="30"/>
  <c r="D914" i="30"/>
  <c r="F386" i="30"/>
  <c r="D246" i="33"/>
  <c r="D807" i="30"/>
  <c r="C149" i="15"/>
  <c r="D998" i="30"/>
  <c r="Z31" i="18"/>
  <c r="F267" i="33"/>
  <c r="F984" i="30"/>
  <c r="F856" i="30"/>
  <c r="D801" i="33"/>
  <c r="D769" i="30"/>
  <c r="F22" i="30"/>
  <c r="F891" i="30"/>
  <c r="A155" i="23"/>
  <c r="D459" i="30"/>
  <c r="F94" i="30"/>
  <c r="F689" i="30"/>
  <c r="B821" i="10"/>
  <c r="D306" i="30"/>
  <c r="F836" i="33"/>
  <c r="F97" i="30"/>
  <c r="D351" i="30"/>
  <c r="F569" i="33"/>
  <c r="D362" i="30"/>
  <c r="F616" i="30"/>
  <c r="F219" i="30"/>
  <c r="F49" i="30"/>
  <c r="D673" i="30"/>
  <c r="F460" i="30"/>
  <c r="B797" i="10"/>
  <c r="D899" i="33"/>
  <c r="F37" i="33"/>
  <c r="F822" i="30"/>
  <c r="D464" i="30"/>
  <c r="F523" i="30"/>
  <c r="F777" i="30"/>
  <c r="C819" i="10"/>
  <c r="D42" i="2"/>
  <c r="D819" i="30"/>
  <c r="F934" i="30"/>
  <c r="D516" i="30"/>
  <c r="F621" i="30"/>
  <c r="D329" i="33"/>
  <c r="F589" i="33"/>
  <c r="D987" i="33"/>
  <c r="F143" i="33"/>
  <c r="D156" i="33"/>
  <c r="F580" i="33"/>
  <c r="F703" i="33"/>
  <c r="F1086" i="30"/>
  <c r="D452" i="33"/>
  <c r="F117" i="30"/>
  <c r="E5" i="30"/>
  <c r="A105" i="2"/>
  <c r="D9" i="33"/>
  <c r="D979" i="30"/>
  <c r="D107" i="30"/>
  <c r="D171" i="23"/>
  <c r="F553" i="30"/>
  <c r="D1010" i="30"/>
  <c r="D207" i="30"/>
  <c r="F70" i="30"/>
  <c r="D89" i="23"/>
  <c r="B836" i="10"/>
  <c r="E90" i="26"/>
  <c r="D471" i="30"/>
  <c r="D976" i="33"/>
  <c r="AC58" i="17"/>
  <c r="C835" i="10"/>
  <c r="F689" i="33"/>
  <c r="B799" i="10"/>
  <c r="F116" i="30"/>
  <c r="D779" i="30"/>
  <c r="F230" i="30"/>
  <c r="D147" i="33"/>
  <c r="C787" i="10"/>
  <c r="A111" i="23"/>
  <c r="F946" i="33"/>
  <c r="F368" i="33"/>
  <c r="F994" i="33"/>
  <c r="D93" i="33"/>
  <c r="F1065" i="33"/>
  <c r="D941" i="30"/>
  <c r="D90" i="23"/>
  <c r="D643" i="30"/>
  <c r="F1064" i="30"/>
  <c r="F988" i="30"/>
  <c r="D863" i="30"/>
  <c r="F261" i="33"/>
  <c r="D1012" i="30"/>
  <c r="A177" i="2"/>
  <c r="D810" i="30"/>
  <c r="D610" i="30"/>
  <c r="F916" i="30"/>
  <c r="D1005" i="30"/>
  <c r="D654" i="30"/>
  <c r="F142" i="30"/>
  <c r="D630" i="33"/>
  <c r="F850" i="30"/>
  <c r="F997" i="33"/>
  <c r="D223" i="33"/>
  <c r="D373" i="33"/>
  <c r="F1093" i="33"/>
  <c r="F195" i="33"/>
  <c r="F432" i="30"/>
  <c r="D412" i="30"/>
  <c r="D325" i="33"/>
  <c r="F970" i="30"/>
  <c r="D18" i="33"/>
  <c r="D788" i="33"/>
  <c r="D1035" i="33"/>
  <c r="F839" i="33"/>
  <c r="D543" i="33"/>
  <c r="F722" i="33"/>
  <c r="D991" i="30"/>
  <c r="F891" i="33"/>
  <c r="F805" i="33"/>
  <c r="F759" i="30"/>
  <c r="D941" i="33"/>
  <c r="F834" i="33"/>
  <c r="D483" i="30"/>
  <c r="D142" i="33"/>
  <c r="F1013" i="30"/>
  <c r="F55" i="33"/>
  <c r="A187" i="2"/>
  <c r="D772" i="10"/>
  <c r="F947" i="33"/>
  <c r="D1007" i="30"/>
  <c r="D268" i="30"/>
  <c r="D761" i="33"/>
  <c r="D31" i="30"/>
  <c r="F943" i="30"/>
  <c r="D330" i="30"/>
  <c r="D669" i="33"/>
  <c r="D103" i="30"/>
  <c r="D167" i="23"/>
  <c r="D891" i="30"/>
  <c r="F320" i="30"/>
  <c r="D60" i="23"/>
  <c r="F130" i="30"/>
  <c r="D999" i="30"/>
  <c r="D836" i="33"/>
  <c r="D808" i="10"/>
  <c r="F640" i="30"/>
  <c r="D443" i="30"/>
  <c r="F82" i="30"/>
  <c r="D562" i="30"/>
  <c r="F617" i="30"/>
  <c r="F724" i="30"/>
  <c r="D85" i="23"/>
  <c r="F107" i="33"/>
  <c r="D723" i="33"/>
  <c r="D457" i="33"/>
  <c r="D990" i="33"/>
  <c r="F622" i="33"/>
  <c r="D786" i="30"/>
  <c r="D525" i="30"/>
  <c r="D648" i="30"/>
  <c r="F916" i="33"/>
  <c r="D47" i="33"/>
  <c r="F58" i="33"/>
  <c r="F571" i="33"/>
  <c r="D830" i="33"/>
  <c r="B762" i="10"/>
  <c r="D95" i="33"/>
  <c r="F786" i="30"/>
  <c r="D444" i="30"/>
  <c r="D858" i="33"/>
  <c r="F1029" i="30"/>
  <c r="F542" i="30"/>
  <c r="D513" i="30"/>
  <c r="D159" i="23"/>
  <c r="F167" i="30"/>
  <c r="D673" i="33"/>
  <c r="D881" i="30"/>
  <c r="F257" i="30"/>
  <c r="L3" i="25"/>
  <c r="D752" i="30"/>
  <c r="D566" i="30"/>
  <c r="F417" i="30"/>
  <c r="D79" i="30"/>
  <c r="A118" i="23"/>
  <c r="B847" i="10"/>
  <c r="F348" i="30"/>
  <c r="F276" i="33"/>
  <c r="F629" i="33"/>
  <c r="Z29" i="18"/>
  <c r="A6" i="15"/>
  <c r="D656" i="33"/>
  <c r="C60" i="15"/>
  <c r="D470" i="30"/>
  <c r="B780" i="10"/>
  <c r="F314" i="30"/>
  <c r="F816" i="30"/>
  <c r="B812" i="10"/>
  <c r="F212" i="30"/>
  <c r="F1022" i="30"/>
  <c r="D610" i="33"/>
  <c r="F151" i="33"/>
  <c r="D827" i="33"/>
  <c r="F482" i="33"/>
  <c r="D251" i="33"/>
  <c r="D190" i="30"/>
  <c r="C813" i="10"/>
  <c r="F1002" i="30"/>
  <c r="F503" i="30"/>
  <c r="F410" i="33"/>
  <c r="D1050" i="30"/>
  <c r="F180" i="33"/>
  <c r="D683" i="30"/>
  <c r="D59" i="2"/>
  <c r="C46" i="15"/>
  <c r="D8" i="30"/>
  <c r="F318" i="30"/>
  <c r="B784" i="10"/>
  <c r="D16" i="30"/>
  <c r="AC36" i="17"/>
  <c r="A112" i="2"/>
  <c r="AC66" i="17"/>
  <c r="D300" i="30"/>
  <c r="F749" i="33"/>
  <c r="D43" i="33"/>
  <c r="D502" i="33"/>
  <c r="F471" i="33"/>
  <c r="D1068" i="30"/>
  <c r="D955" i="30"/>
  <c r="D232" i="33"/>
  <c r="F990" i="33"/>
  <c r="D700" i="33"/>
  <c r="D510" i="30"/>
  <c r="D199" i="33"/>
  <c r="D541" i="33"/>
  <c r="F306" i="33"/>
  <c r="D49" i="33"/>
  <c r="D662" i="33"/>
  <c r="D177" i="33"/>
  <c r="F797" i="33"/>
  <c r="D790" i="33"/>
  <c r="F928" i="33"/>
  <c r="D307" i="33"/>
  <c r="F340" i="33"/>
  <c r="F1055" i="30"/>
  <c r="D530" i="33"/>
  <c r="D353" i="33"/>
  <c r="F575" i="33"/>
  <c r="D982" i="30"/>
  <c r="D981" i="33"/>
  <c r="D845" i="33"/>
  <c r="D448" i="30"/>
  <c r="F886" i="33"/>
  <c r="D463" i="30"/>
  <c r="F895" i="33"/>
  <c r="F838" i="30"/>
  <c r="D1049" i="33"/>
  <c r="D27" i="24"/>
  <c r="D122" i="33"/>
  <c r="F719" i="30"/>
  <c r="A69" i="23"/>
  <c r="D139" i="30"/>
  <c r="D26" i="24"/>
  <c r="D642" i="30"/>
  <c r="C833" i="10"/>
  <c r="A196" i="23"/>
  <c r="D874" i="30"/>
  <c r="D91" i="30"/>
  <c r="F581" i="33"/>
  <c r="D832" i="10"/>
  <c r="D805" i="30"/>
  <c r="D829" i="30"/>
  <c r="F592" i="33"/>
  <c r="D534" i="33"/>
  <c r="D104" i="33"/>
  <c r="D961" i="33"/>
  <c r="F231" i="30"/>
  <c r="A100" i="23"/>
  <c r="D146" i="33"/>
  <c r="F825" i="30"/>
  <c r="D842" i="30"/>
  <c r="F941" i="30"/>
  <c r="D1070" i="30"/>
  <c r="D607" i="30"/>
  <c r="F487" i="30"/>
  <c r="A31" i="23"/>
  <c r="F304" i="30"/>
  <c r="F889" i="33"/>
  <c r="F1059" i="30"/>
  <c r="D973" i="30"/>
  <c r="F850" i="33"/>
  <c r="D952" i="30"/>
  <c r="D23" i="24"/>
  <c r="D144" i="30"/>
  <c r="C774" i="10"/>
  <c r="D757" i="30"/>
  <c r="F483" i="33"/>
  <c r="D367" i="30"/>
  <c r="E87" i="26"/>
  <c r="D43" i="23"/>
  <c r="F605" i="30"/>
  <c r="D797" i="30"/>
  <c r="F220" i="30"/>
  <c r="F867" i="30"/>
  <c r="AC37" i="17"/>
  <c r="F783" i="30"/>
  <c r="C71" i="15"/>
  <c r="F959" i="33"/>
  <c r="D125" i="23"/>
  <c r="C35" i="15"/>
  <c r="D920" i="33"/>
  <c r="C125" i="15"/>
  <c r="D573" i="30"/>
  <c r="Z51" i="18"/>
  <c r="F511" i="30"/>
  <c r="D608" i="30"/>
  <c r="B823" i="10"/>
  <c r="F585" i="30"/>
  <c r="F434" i="33"/>
  <c r="D439" i="33"/>
  <c r="F468" i="33"/>
  <c r="F650" i="33"/>
  <c r="D312" i="33"/>
  <c r="D150" i="33"/>
  <c r="D557" i="30"/>
  <c r="A80" i="23"/>
  <c r="D192" i="33"/>
  <c r="F583" i="30"/>
  <c r="D702" i="33"/>
  <c r="F997" i="30"/>
  <c r="D506" i="30"/>
  <c r="F819" i="30"/>
  <c r="A26" i="2"/>
  <c r="D126" i="2"/>
  <c r="F634" i="33"/>
  <c r="F1056" i="30"/>
  <c r="D560" i="33"/>
  <c r="D129" i="33"/>
  <c r="F94" i="33"/>
  <c r="F597" i="33"/>
  <c r="D298" i="33"/>
  <c r="F274" i="30"/>
  <c r="D654" i="33"/>
  <c r="D338" i="33"/>
  <c r="F292" i="33"/>
  <c r="D425" i="30"/>
  <c r="F181" i="30"/>
  <c r="D896" i="33"/>
  <c r="D560" i="30"/>
  <c r="C77" i="15"/>
  <c r="D936" i="33"/>
  <c r="D166" i="33"/>
  <c r="D749" i="30"/>
  <c r="D859" i="30"/>
  <c r="F1025" i="33"/>
  <c r="D256" i="33"/>
  <c r="F480" i="33"/>
  <c r="F49" i="33"/>
  <c r="D784" i="33"/>
  <c r="F435" i="33"/>
  <c r="D658" i="30"/>
  <c r="A77" i="23"/>
  <c r="C34" i="15"/>
  <c r="D24" i="33"/>
  <c r="D100" i="30"/>
  <c r="D632" i="33"/>
  <c r="D777" i="33"/>
  <c r="D214" i="33"/>
  <c r="F623" i="33"/>
  <c r="F1098" i="33"/>
  <c r="D469" i="33"/>
  <c r="F925" i="33"/>
  <c r="F536" i="33"/>
  <c r="D849" i="33"/>
  <c r="D721" i="33"/>
  <c r="D690" i="33"/>
  <c r="F219" i="33"/>
  <c r="C29" i="15"/>
  <c r="F191" i="33"/>
  <c r="D290" i="33"/>
  <c r="D728" i="30"/>
  <c r="B853" i="10"/>
  <c r="F1003" i="33"/>
  <c r="D50" i="33"/>
  <c r="F329" i="30"/>
  <c r="D785" i="30"/>
  <c r="F236" i="30"/>
  <c r="D434" i="33"/>
  <c r="A2" i="15"/>
  <c r="F72" i="30"/>
  <c r="D1045" i="30"/>
  <c r="F648" i="33"/>
  <c r="F177" i="33"/>
  <c r="D682" i="33"/>
  <c r="F298" i="33"/>
  <c r="D1003" i="30"/>
  <c r="D201" i="30"/>
  <c r="D926" i="30"/>
  <c r="F323" i="33"/>
  <c r="F533" i="33"/>
  <c r="D420" i="30"/>
  <c r="D312" i="30"/>
  <c r="D74" i="33"/>
  <c r="D904" i="30"/>
  <c r="D325" i="30"/>
  <c r="A158" i="2"/>
  <c r="D414" i="30"/>
  <c r="F389" i="33"/>
  <c r="D1005" i="33"/>
  <c r="F1082" i="30"/>
  <c r="D1013" i="30"/>
  <c r="F653" i="33"/>
  <c r="D138" i="30"/>
  <c r="D757" i="10"/>
  <c r="F460" i="33"/>
  <c r="F656" i="33"/>
  <c r="D603" i="30"/>
  <c r="F119" i="30"/>
  <c r="D80" i="23"/>
  <c r="D114" i="30"/>
  <c r="D721" i="30"/>
  <c r="D302" i="30"/>
  <c r="D1077" i="30"/>
  <c r="Z23" i="18"/>
  <c r="D1001" i="30"/>
  <c r="D198" i="23"/>
  <c r="D1098" i="30"/>
  <c r="A154" i="23"/>
  <c r="Z38" i="18"/>
  <c r="D932" i="33"/>
  <c r="D287" i="30"/>
  <c r="F608" i="30"/>
  <c r="F249" i="30"/>
  <c r="D116" i="2"/>
  <c r="F747" i="33"/>
  <c r="C132" i="15"/>
  <c r="F763" i="30"/>
  <c r="F182" i="33"/>
  <c r="F442" i="33"/>
  <c r="F695" i="33"/>
  <c r="F285" i="33"/>
  <c r="D722" i="33"/>
  <c r="F130" i="33"/>
  <c r="F712" i="30"/>
  <c r="F286" i="30"/>
  <c r="D237" i="33"/>
  <c r="F181" i="33"/>
  <c r="D347" i="30"/>
  <c r="F427" i="33"/>
  <c r="D920" i="30"/>
  <c r="D99" i="33"/>
  <c r="D118" i="2"/>
  <c r="D202" i="30"/>
  <c r="F840" i="33"/>
  <c r="D784" i="30"/>
  <c r="D693" i="30"/>
  <c r="D861" i="33"/>
  <c r="D958" i="33"/>
  <c r="F693" i="33"/>
  <c r="D827" i="10"/>
  <c r="C854" i="10"/>
  <c r="F628" i="33"/>
  <c r="F772" i="30"/>
  <c r="F633" i="33"/>
  <c r="D219" i="33"/>
  <c r="F596" i="30"/>
  <c r="D97" i="23"/>
  <c r="F321" i="30"/>
  <c r="D561" i="30"/>
  <c r="D489" i="33"/>
  <c r="D186" i="23"/>
  <c r="F458" i="30"/>
  <c r="D151" i="30"/>
  <c r="D366" i="33"/>
  <c r="F1049" i="33"/>
  <c r="F635" i="30"/>
  <c r="D873" i="30"/>
  <c r="F1003" i="30"/>
  <c r="D638" i="33"/>
  <c r="F985" i="30"/>
  <c r="D286" i="33"/>
  <c r="D826" i="30"/>
  <c r="F895" i="30"/>
  <c r="F302" i="33"/>
  <c r="D63" i="33"/>
  <c r="D483" i="33"/>
  <c r="F516" i="30"/>
  <c r="D13" i="23"/>
  <c r="F1057" i="30"/>
  <c r="F872" i="30"/>
  <c r="F725" i="30"/>
  <c r="D542" i="33"/>
  <c r="F250" i="33"/>
  <c r="D940" i="30"/>
  <c r="F968" i="30"/>
  <c r="D789" i="33"/>
  <c r="D795" i="33"/>
  <c r="F1101" i="30"/>
  <c r="F551" i="33"/>
  <c r="D932" i="30"/>
  <c r="F1028" i="33"/>
  <c r="F944" i="33"/>
  <c r="D805" i="33"/>
  <c r="F90" i="33"/>
  <c r="C42" i="15"/>
  <c r="D361" i="30"/>
  <c r="F314" i="33"/>
  <c r="F962" i="30"/>
  <c r="F301" i="30"/>
  <c r="F384" i="33"/>
  <c r="F252" i="30"/>
  <c r="F612" i="33"/>
  <c r="F774" i="33"/>
  <c r="F646" i="30"/>
  <c r="F618" i="30"/>
  <c r="D571" i="30"/>
  <c r="D818" i="10"/>
  <c r="F682" i="30"/>
  <c r="F449" i="33"/>
  <c r="D827" i="30"/>
  <c r="D100" i="33"/>
  <c r="D220" i="33"/>
  <c r="F853" i="30"/>
  <c r="E112" i="26"/>
  <c r="C781" i="10"/>
  <c r="F535" i="30"/>
  <c r="D666" i="33"/>
  <c r="F993" i="30"/>
  <c r="D399" i="33"/>
  <c r="D354" i="33"/>
  <c r="F738" i="33"/>
  <c r="B810" i="10"/>
  <c r="A57" i="2"/>
  <c r="D308" i="33"/>
  <c r="D630" i="30"/>
  <c r="F662" i="30"/>
  <c r="D388" i="30"/>
  <c r="F419" i="30"/>
  <c r="D747" i="30"/>
  <c r="D110" i="23"/>
  <c r="F226" i="30"/>
  <c r="F125" i="30"/>
  <c r="F395" i="30"/>
  <c r="F1071" i="30"/>
  <c r="F356" i="30"/>
  <c r="D923" i="33"/>
  <c r="F25" i="33"/>
  <c r="A26" i="23"/>
  <c r="F451" i="30"/>
  <c r="F641" i="30"/>
  <c r="D815" i="10"/>
  <c r="F293" i="30"/>
  <c r="D771" i="10"/>
  <c r="D209" i="33"/>
  <c r="AC16" i="17"/>
  <c r="F815" i="30"/>
  <c r="F70" i="33"/>
  <c r="D326" i="33"/>
  <c r="F769" i="33"/>
  <c r="D1032" i="33"/>
  <c r="D441" i="33"/>
  <c r="D986" i="33"/>
  <c r="F764" i="30"/>
  <c r="D338" i="30"/>
  <c r="F227" i="33"/>
  <c r="D722" i="30"/>
  <c r="D657" i="30"/>
  <c r="F684" i="33"/>
  <c r="F869" i="30"/>
  <c r="D19" i="33"/>
  <c r="B850" i="10"/>
  <c r="C119" i="15"/>
  <c r="F630" i="33"/>
  <c r="F733" i="30"/>
  <c r="F831" i="30"/>
  <c r="D765" i="30"/>
  <c r="F96" i="33"/>
  <c r="F503" i="33"/>
  <c r="D206" i="30"/>
  <c r="C135" i="15"/>
  <c r="F150" i="33"/>
  <c r="D915" i="30"/>
  <c r="D744" i="33"/>
  <c r="D118" i="33"/>
  <c r="D711" i="30"/>
  <c r="A126" i="23"/>
  <c r="F676" i="30"/>
  <c r="D296" i="30"/>
  <c r="F820" i="33"/>
  <c r="D56" i="33"/>
  <c r="D1015" i="30"/>
  <c r="F939" i="33"/>
  <c r="F961" i="30"/>
  <c r="F57" i="30"/>
  <c r="F204" i="33"/>
  <c r="Z49" i="18"/>
  <c r="F556" i="33"/>
  <c r="F912" i="33"/>
  <c r="F81" i="33"/>
  <c r="D650" i="33"/>
  <c r="D946" i="30"/>
  <c r="D232" i="30"/>
  <c r="D605" i="30"/>
  <c r="F191" i="30"/>
  <c r="F414" i="30"/>
  <c r="D103" i="33"/>
  <c r="D1031" i="30"/>
  <c r="D280" i="30"/>
  <c r="F53" i="33"/>
  <c r="F421" i="33"/>
  <c r="F328" i="30"/>
  <c r="D833" i="30"/>
  <c r="D843" i="30"/>
  <c r="F475" i="30"/>
  <c r="C178" i="15"/>
  <c r="F793" i="33"/>
  <c r="D477" i="33"/>
  <c r="F242" i="33"/>
  <c r="D980" i="33"/>
  <c r="F440" i="33"/>
  <c r="F911" i="33"/>
  <c r="D831" i="33"/>
  <c r="F199" i="33"/>
  <c r="F668" i="33"/>
  <c r="D260" i="30"/>
  <c r="D748" i="33"/>
  <c r="F620" i="33"/>
  <c r="F960" i="33"/>
  <c r="F666" i="33"/>
  <c r="F397" i="33"/>
  <c r="F979" i="30"/>
  <c r="AC31" i="17"/>
  <c r="F661" i="30"/>
  <c r="D896" i="30"/>
  <c r="C27" i="15"/>
  <c r="D776" i="33"/>
  <c r="C844" i="10"/>
  <c r="F572" i="33"/>
  <c r="D593" i="30"/>
  <c r="F884" i="30"/>
  <c r="D420" i="33"/>
  <c r="F137" i="30"/>
  <c r="A184" i="23"/>
  <c r="D1029" i="30"/>
  <c r="D279" i="30"/>
  <c r="D401" i="33"/>
  <c r="F596" i="33"/>
  <c r="D584" i="33"/>
  <c r="D410" i="30"/>
  <c r="Z40" i="18"/>
  <c r="D143" i="2"/>
  <c r="F950" i="30"/>
  <c r="D520" i="30"/>
  <c r="D553" i="33"/>
  <c r="F1000" i="30"/>
  <c r="D882" i="30"/>
  <c r="D889" i="30"/>
  <c r="F530" i="30"/>
  <c r="D94" i="2"/>
  <c r="D647" i="30"/>
  <c r="D795" i="30"/>
  <c r="D568" i="30"/>
  <c r="C117" i="15"/>
  <c r="C796" i="10"/>
  <c r="D1085" i="33"/>
  <c r="F782" i="33"/>
  <c r="F418" i="33"/>
  <c r="D80" i="33"/>
  <c r="F690" i="33"/>
  <c r="F165" i="33"/>
  <c r="D446" i="33"/>
  <c r="D1102" i="33"/>
  <c r="D651" i="30"/>
  <c r="F585" i="33"/>
  <c r="F1102" i="30"/>
  <c r="D860" i="33"/>
  <c r="F858" i="33"/>
  <c r="F335" i="33"/>
  <c r="F736" i="33"/>
  <c r="F537" i="33"/>
  <c r="D814" i="33"/>
  <c r="F811" i="30"/>
  <c r="D39" i="23"/>
  <c r="D667" i="33"/>
  <c r="D37" i="23"/>
  <c r="F1059" i="33"/>
  <c r="F558" i="30"/>
  <c r="F657" i="33"/>
  <c r="F865" i="30"/>
  <c r="D592" i="33"/>
  <c r="F868" i="30"/>
  <c r="D277" i="30"/>
  <c r="A146" i="2"/>
  <c r="F948" i="33"/>
  <c r="D54" i="33"/>
  <c r="D90" i="33"/>
  <c r="D111" i="33"/>
  <c r="F1039" i="30"/>
  <c r="D692" i="30"/>
  <c r="D159" i="2"/>
  <c r="D812" i="10"/>
  <c r="D1009" i="30"/>
  <c r="F554" i="33"/>
  <c r="F500" i="33"/>
  <c r="D767" i="30"/>
  <c r="D37" i="33"/>
  <c r="F400" i="30"/>
  <c r="F9" i="33"/>
  <c r="C9" i="15"/>
  <c r="D436" i="30"/>
  <c r="D481" i="30"/>
  <c r="D1048" i="30"/>
  <c r="D156" i="30"/>
  <c r="A89" i="23"/>
  <c r="D751" i="30"/>
  <c r="Z27" i="18"/>
  <c r="F645" i="30"/>
  <c r="F171" i="33"/>
  <c r="D724" i="33"/>
  <c r="D521" i="33"/>
  <c r="D967" i="33"/>
  <c r="F1018" i="33"/>
  <c r="F967" i="30"/>
  <c r="F847" i="30"/>
  <c r="F379" i="33"/>
  <c r="F1063" i="30"/>
  <c r="F486" i="30"/>
  <c r="F629" i="30"/>
  <c r="D555" i="33"/>
  <c r="F1055" i="33"/>
  <c r="A195" i="2"/>
  <c r="D162" i="23"/>
  <c r="D983" i="33"/>
  <c r="D1013" i="33"/>
  <c r="D324" i="33"/>
  <c r="D641" i="30"/>
  <c r="F485" i="30"/>
  <c r="D956" i="30"/>
  <c r="B770" i="10"/>
  <c r="A14" i="2"/>
  <c r="F974" i="33"/>
  <c r="F438" i="33"/>
  <c r="D710" i="30"/>
  <c r="D902" i="33"/>
  <c r="D1038" i="30"/>
  <c r="D22" i="33"/>
  <c r="F539" i="33"/>
  <c r="F1050" i="33"/>
  <c r="F802" i="33"/>
  <c r="D993" i="30"/>
  <c r="D238" i="33"/>
  <c r="F800" i="30"/>
  <c r="F515" i="33"/>
  <c r="D99" i="30"/>
  <c r="D155" i="23"/>
  <c r="F457" i="30"/>
  <c r="D661" i="30"/>
  <c r="D771" i="30"/>
  <c r="F162" i="30"/>
  <c r="F626" i="33"/>
  <c r="A122" i="23"/>
  <c r="D128" i="23"/>
  <c r="F277" i="30"/>
  <c r="D763" i="10"/>
  <c r="F88" i="33"/>
  <c r="B854" i="10"/>
  <c r="F927" i="30"/>
  <c r="F852" i="33"/>
  <c r="F455" i="33"/>
  <c r="F766" i="33"/>
  <c r="F730" i="33"/>
  <c r="F676" i="33"/>
  <c r="D231" i="30"/>
  <c r="F960" i="30"/>
  <c r="D133" i="33"/>
  <c r="F778" i="30"/>
  <c r="D1105" i="33"/>
  <c r="F1088" i="33"/>
  <c r="D781" i="30"/>
  <c r="F817" i="30"/>
  <c r="D57" i="33"/>
  <c r="F377" i="33"/>
  <c r="F768" i="33"/>
  <c r="D1107" i="33"/>
  <c r="F649" i="33"/>
  <c r="D421" i="33"/>
  <c r="D497" i="33"/>
  <c r="F225" i="33"/>
  <c r="D125" i="33"/>
  <c r="D394" i="30"/>
  <c r="C49" i="15"/>
  <c r="D307" i="30"/>
  <c r="D75" i="30"/>
  <c r="D685" i="33"/>
  <c r="F666" i="30"/>
  <c r="D392" i="30"/>
  <c r="F255" i="33"/>
  <c r="D355" i="33"/>
  <c r="D396" i="33"/>
  <c r="F172" i="30"/>
  <c r="B761" i="10"/>
  <c r="F619" i="30"/>
  <c r="F461" i="30"/>
  <c r="F454" i="33"/>
  <c r="D909" i="30"/>
  <c r="F713" i="33"/>
  <c r="Z39" i="18"/>
  <c r="F903" i="30"/>
  <c r="F631" i="33"/>
  <c r="F1050" i="30"/>
  <c r="D959" i="30"/>
  <c r="D486" i="33"/>
  <c r="D228" i="30"/>
  <c r="E104" i="26"/>
  <c r="F76" i="33"/>
  <c r="D94" i="30"/>
  <c r="B774" i="10"/>
  <c r="F158" i="30"/>
  <c r="D396" i="30"/>
  <c r="C13" i="15"/>
  <c r="F416" i="30"/>
  <c r="D739" i="33"/>
  <c r="D315" i="33"/>
  <c r="D467" i="30"/>
  <c r="F885" i="30"/>
  <c r="F196" i="33"/>
  <c r="F1074" i="30"/>
  <c r="F48" i="33"/>
  <c r="F788" i="30"/>
  <c r="F636" i="30"/>
  <c r="AC45" i="17"/>
  <c r="D18" i="23"/>
  <c r="D995" i="33"/>
  <c r="D158" i="33"/>
  <c r="F978" i="30"/>
  <c r="D528" i="30"/>
  <c r="F653" i="30"/>
  <c r="F905" i="30"/>
  <c r="D142" i="23"/>
  <c r="D106" i="2"/>
  <c r="F828" i="33"/>
  <c r="F1098" i="30"/>
  <c r="D580" i="30"/>
  <c r="F808" i="30"/>
  <c r="F61" i="33"/>
  <c r="D605" i="33"/>
  <c r="F938" i="33"/>
  <c r="D679" i="30"/>
  <c r="D806" i="33"/>
  <c r="D615" i="30"/>
  <c r="F286" i="33"/>
  <c r="D75" i="33"/>
  <c r="D514" i="30"/>
  <c r="F246" i="30"/>
  <c r="D140" i="30"/>
  <c r="A106" i="23"/>
  <c r="F425" i="33"/>
  <c r="D502" i="30"/>
  <c r="D171" i="30"/>
  <c r="A4" i="30"/>
  <c r="F880" i="30"/>
  <c r="A137" i="23"/>
  <c r="D289" i="30"/>
  <c r="F101" i="30"/>
  <c r="D854" i="33"/>
  <c r="C58" i="15"/>
  <c r="D157" i="30"/>
  <c r="D626" i="30"/>
  <c r="D225" i="30"/>
  <c r="F429" i="33"/>
  <c r="C64" i="15"/>
  <c r="F492" i="30"/>
  <c r="F610" i="30"/>
  <c r="F312" i="30"/>
  <c r="F84" i="33"/>
  <c r="D321" i="30"/>
  <c r="F14" i="30"/>
  <c r="F443" i="30"/>
  <c r="D61" i="30"/>
  <c r="F531" i="30"/>
  <c r="D875" i="30"/>
  <c r="F247" i="33"/>
  <c r="D347" i="33"/>
  <c r="F677" i="30"/>
  <c r="F932" i="33"/>
  <c r="D901" i="30"/>
  <c r="F723" i="30"/>
  <c r="D73" i="33"/>
  <c r="D135" i="2"/>
  <c r="D291" i="30"/>
  <c r="F627" i="30"/>
  <c r="F254" i="30"/>
  <c r="F954" i="30"/>
  <c r="F116" i="33"/>
  <c r="D344" i="33"/>
  <c r="D171" i="33"/>
  <c r="D735" i="30"/>
  <c r="D174" i="33"/>
  <c r="F1036" i="33"/>
  <c r="F114" i="33"/>
  <c r="F376" i="33"/>
  <c r="F875" i="33"/>
  <c r="F52" i="33"/>
  <c r="F795" i="33"/>
  <c r="D1000" i="33"/>
  <c r="F307" i="33"/>
  <c r="F466" i="33"/>
  <c r="F365" i="33"/>
  <c r="D762" i="30"/>
  <c r="F543" i="33"/>
  <c r="D617" i="33"/>
  <c r="D533" i="33"/>
  <c r="F956" i="33"/>
  <c r="D572" i="33"/>
  <c r="F128" i="33"/>
  <c r="F393" i="33"/>
  <c r="F524" i="33"/>
  <c r="F171" i="30"/>
  <c r="D814" i="10"/>
  <c r="F851" i="33"/>
  <c r="F612" i="30"/>
  <c r="F605" i="33"/>
  <c r="D211" i="33"/>
  <c r="F591" i="30"/>
  <c r="D465" i="30"/>
  <c r="D33" i="23"/>
  <c r="C21" i="15"/>
  <c r="D303" i="33"/>
  <c r="D130" i="33"/>
  <c r="D332" i="30"/>
  <c r="F742" i="30"/>
  <c r="D20" i="30"/>
  <c r="D793" i="10"/>
  <c r="F447" i="30"/>
  <c r="Z9" i="18"/>
  <c r="D167" i="30"/>
  <c r="E116" i="26"/>
  <c r="F356" i="33"/>
  <c r="F431" i="30"/>
  <c r="F185" i="30"/>
  <c r="F161" i="30"/>
  <c r="D588" i="30"/>
  <c r="F1075" i="33"/>
  <c r="C851" i="10"/>
  <c r="D1021" i="30"/>
  <c r="F675" i="30"/>
  <c r="F146" i="30"/>
  <c r="F570" i="30"/>
  <c r="D935" i="30"/>
  <c r="F1031" i="30"/>
  <c r="F1035" i="30"/>
  <c r="F138" i="33"/>
  <c r="F1005" i="33"/>
  <c r="D68" i="33"/>
  <c r="D154" i="33"/>
  <c r="D65" i="33"/>
  <c r="B844" i="10"/>
  <c r="D828" i="10"/>
  <c r="F847" i="33"/>
  <c r="D558" i="33"/>
  <c r="D172" i="33"/>
  <c r="D551" i="30"/>
  <c r="D945" i="33"/>
  <c r="D616" i="33"/>
  <c r="F132" i="30"/>
  <c r="D960" i="33"/>
  <c r="D1070" i="33"/>
  <c r="D508" i="30"/>
  <c r="D743" i="33"/>
  <c r="D1102" i="30"/>
  <c r="F615" i="30"/>
  <c r="F353" i="30"/>
  <c r="F53" i="30"/>
  <c r="AC41" i="17"/>
  <c r="D985" i="33"/>
  <c r="F463" i="30"/>
  <c r="D353" i="30"/>
  <c r="F34" i="30"/>
  <c r="F12" i="33"/>
  <c r="F39" i="30"/>
  <c r="D613" i="30"/>
  <c r="F134" i="30"/>
  <c r="F547" i="33"/>
  <c r="C91" i="15"/>
  <c r="D1027" i="30"/>
  <c r="F656" i="30"/>
  <c r="F452" i="30"/>
  <c r="D241" i="33"/>
  <c r="C130" i="15"/>
  <c r="D265" i="30"/>
  <c r="D504" i="30"/>
  <c r="F732" i="30"/>
  <c r="C30" i="15"/>
  <c r="D489" i="30"/>
  <c r="D23" i="30"/>
  <c r="F871" i="30"/>
  <c r="D507" i="30"/>
  <c r="F532" i="30"/>
  <c r="F1066" i="33"/>
  <c r="F215" i="33"/>
  <c r="D764" i="33"/>
  <c r="F825" i="33"/>
  <c r="D1092" i="33"/>
  <c r="F614" i="30"/>
  <c r="C177" i="15"/>
  <c r="F263" i="30"/>
  <c r="D311" i="33"/>
  <c r="D162" i="33"/>
  <c r="D838" i="33"/>
  <c r="F1025" i="30"/>
  <c r="D538" i="30"/>
  <c r="C803" i="10"/>
  <c r="A175" i="23"/>
  <c r="D877" i="30"/>
  <c r="F136" i="30"/>
  <c r="D589" i="30"/>
  <c r="D215" i="30"/>
  <c r="D552" i="33"/>
  <c r="F655" i="33"/>
  <c r="D243" i="30"/>
  <c r="F262" i="33"/>
  <c r="F974" i="30"/>
  <c r="F470" i="33"/>
  <c r="D763" i="33"/>
  <c r="D663" i="33"/>
  <c r="F597" i="30"/>
  <c r="D472" i="33"/>
  <c r="D418" i="33"/>
  <c r="F359" i="33"/>
  <c r="F319" i="33"/>
  <c r="F1004" i="33"/>
  <c r="D471" i="33"/>
  <c r="D974" i="33"/>
  <c r="D627" i="33"/>
  <c r="D252" i="33"/>
  <c r="D393" i="33"/>
  <c r="D620" i="33"/>
  <c r="D781" i="33"/>
  <c r="F530" i="33"/>
  <c r="F102" i="33"/>
  <c r="F238" i="33"/>
  <c r="F701" i="33"/>
  <c r="D304" i="30"/>
  <c r="F538" i="33"/>
  <c r="D28" i="24"/>
  <c r="D399" i="30"/>
  <c r="D292" i="33"/>
  <c r="F475" i="33"/>
  <c r="D754" i="30"/>
  <c r="F800" i="33"/>
  <c r="F474" i="30"/>
  <c r="C44" i="15"/>
  <c r="D545" i="30"/>
  <c r="F238" i="30"/>
  <c r="D346" i="30"/>
  <c r="F30" i="30"/>
  <c r="F940" i="30"/>
  <c r="F268" i="33"/>
  <c r="D219" i="30"/>
  <c r="F194" i="30"/>
  <c r="F33" i="30"/>
  <c r="D869" i="33"/>
  <c r="C50" i="15"/>
  <c r="D146" i="30"/>
  <c r="F465" i="30"/>
  <c r="D155" i="30"/>
  <c r="F1045" i="33"/>
  <c r="D781" i="10"/>
  <c r="D646" i="30"/>
  <c r="F819" i="33"/>
  <c r="D621" i="33"/>
  <c r="D635" i="33"/>
  <c r="F1085" i="30"/>
  <c r="F1069" i="33"/>
  <c r="F434" i="30"/>
  <c r="F601" i="30"/>
  <c r="D526" i="30"/>
  <c r="D72" i="33"/>
  <c r="F716" i="30"/>
  <c r="F794" i="30"/>
  <c r="D452" i="30"/>
  <c r="F505" i="30"/>
  <c r="F951" i="30"/>
  <c r="D826" i="10"/>
  <c r="F817" i="33"/>
  <c r="D1082" i="33"/>
  <c r="D36" i="33"/>
  <c r="F27" i="33"/>
  <c r="F281" i="33"/>
  <c r="D1016" i="30"/>
  <c r="F554" i="30"/>
  <c r="D341" i="30"/>
  <c r="A174" i="23"/>
  <c r="D84" i="33"/>
  <c r="F280" i="33"/>
  <c r="F549" i="30"/>
  <c r="D43" i="30"/>
  <c r="D107" i="23"/>
  <c r="D68" i="30"/>
  <c r="D449" i="30"/>
  <c r="D143" i="30"/>
  <c r="AC68" i="17"/>
  <c r="D25" i="23"/>
  <c r="C793" i="10"/>
  <c r="A36" i="23"/>
  <c r="F899" i="30"/>
  <c r="D998" i="33"/>
  <c r="C163" i="15"/>
  <c r="D792" i="10"/>
  <c r="D666" i="30"/>
  <c r="D943" i="30"/>
  <c r="A176" i="23"/>
  <c r="D949" i="30"/>
  <c r="F163" i="30"/>
  <c r="D988" i="30"/>
  <c r="D963" i="30"/>
  <c r="AC18" i="17"/>
  <c r="F1040" i="33"/>
  <c r="D1094" i="30"/>
  <c r="F744" i="33"/>
  <c r="D29" i="33"/>
  <c r="F759" i="33"/>
  <c r="F736" i="30"/>
  <c r="F20" i="30"/>
  <c r="D406" i="30"/>
  <c r="F755" i="30"/>
  <c r="D1030" i="33"/>
  <c r="D1065" i="30"/>
  <c r="D579" i="30"/>
  <c r="F529" i="30"/>
  <c r="F1007" i="30"/>
  <c r="B757" i="10"/>
  <c r="D318" i="30"/>
  <c r="D450" i="30"/>
  <c r="F193" i="30"/>
  <c r="F756" i="30"/>
  <c r="D157" i="23"/>
  <c r="C66" i="15"/>
  <c r="A144" i="23"/>
  <c r="D168" i="2"/>
  <c r="D229" i="33"/>
  <c r="F1014" i="33"/>
  <c r="F658" i="33"/>
  <c r="F1106" i="33"/>
  <c r="D1076" i="30"/>
  <c r="F360" i="30"/>
  <c r="F110" i="33"/>
  <c r="D732" i="33"/>
  <c r="F66" i="30"/>
  <c r="D505" i="30"/>
  <c r="D1032" i="30"/>
  <c r="D629" i="30"/>
  <c r="D546" i="33"/>
  <c r="D405" i="30"/>
  <c r="F923" i="33"/>
  <c r="F973" i="30"/>
  <c r="D572" i="30"/>
  <c r="F683" i="33"/>
  <c r="F704" i="30"/>
  <c r="A58" i="23"/>
  <c r="AC25" i="17"/>
  <c r="F293" i="33"/>
  <c r="F332" i="33"/>
  <c r="F23" i="33"/>
  <c r="F1084" i="33"/>
  <c r="F915" i="30"/>
  <c r="A184" i="2"/>
  <c r="F416" i="33"/>
  <c r="D1082" i="30"/>
  <c r="F681" i="30"/>
  <c r="C794" i="10"/>
  <c r="F728" i="33"/>
  <c r="D966" i="33"/>
  <c r="F1051" i="30"/>
  <c r="D536" i="33"/>
  <c r="F928" i="30"/>
  <c r="F124" i="33"/>
  <c r="D190" i="2"/>
  <c r="D1054" i="33"/>
  <c r="D461" i="33"/>
  <c r="D711" i="33"/>
  <c r="D1034" i="33"/>
  <c r="F715" i="33"/>
  <c r="F306" i="30"/>
  <c r="D506" i="33"/>
  <c r="F982" i="30"/>
  <c r="F722" i="30"/>
  <c r="F325" i="33"/>
  <c r="D296" i="33"/>
  <c r="D547" i="30"/>
  <c r="D708" i="30"/>
  <c r="D893" i="30"/>
  <c r="F211" i="33"/>
  <c r="F90" i="30"/>
  <c r="D333" i="30"/>
  <c r="D948" i="30"/>
  <c r="D1072" i="30"/>
  <c r="F477" i="30"/>
  <c r="D699" i="30"/>
  <c r="F573" i="33"/>
  <c r="A21" i="23"/>
  <c r="D1044" i="30"/>
  <c r="F268" i="30"/>
  <c r="F1072" i="33"/>
  <c r="D359" i="33"/>
  <c r="D226" i="33"/>
  <c r="D344" i="30"/>
  <c r="F309" i="33"/>
  <c r="C136" i="15"/>
  <c r="D220" i="30"/>
  <c r="D760" i="30"/>
  <c r="F502" i="33"/>
  <c r="D759" i="10"/>
  <c r="D788" i="10"/>
  <c r="E101" i="26"/>
  <c r="F234" i="33"/>
  <c r="D493" i="30"/>
  <c r="F437" i="30"/>
  <c r="D155" i="2"/>
  <c r="F251" i="30"/>
  <c r="F74" i="33"/>
  <c r="F340" i="30"/>
  <c r="A28" i="24"/>
  <c r="F18" i="30"/>
  <c r="AC64" i="17"/>
  <c r="D1011" i="30"/>
  <c r="A151" i="2"/>
  <c r="C115" i="15"/>
  <c r="D911" i="30"/>
  <c r="D260" i="33"/>
  <c r="A98" i="23"/>
  <c r="D833" i="10"/>
  <c r="F283" i="30"/>
  <c r="D837" i="10"/>
  <c r="E93" i="26"/>
  <c r="D487" i="30"/>
  <c r="E97" i="26"/>
  <c r="F577" i="30"/>
  <c r="F126" i="30"/>
  <c r="A85" i="2"/>
  <c r="C184" i="15"/>
  <c r="D15" i="2"/>
  <c r="C59" i="15"/>
  <c r="C842" i="10"/>
  <c r="F357" i="30"/>
  <c r="D63" i="30"/>
  <c r="D127" i="23"/>
  <c r="D187" i="33"/>
  <c r="D222" i="30"/>
  <c r="A31" i="2"/>
  <c r="A156" i="2"/>
  <c r="D262" i="30"/>
  <c r="F81" i="30"/>
  <c r="D156" i="23"/>
  <c r="A27" i="24"/>
  <c r="D235" i="30"/>
  <c r="D141" i="30"/>
  <c r="D37" i="30"/>
  <c r="F317" i="30"/>
  <c r="D138" i="23"/>
  <c r="F783" i="33"/>
  <c r="D664" i="30"/>
  <c r="F816" i="33"/>
  <c r="F971" i="30"/>
  <c r="D93" i="30"/>
  <c r="D578" i="30"/>
  <c r="B792" i="10"/>
  <c r="C107" i="15"/>
  <c r="AC17" i="17"/>
  <c r="E84" i="26"/>
  <c r="D316" i="33"/>
  <c r="A102" i="23"/>
  <c r="D183" i="2"/>
  <c r="D810" i="10"/>
  <c r="F568" i="30"/>
  <c r="F169" i="30"/>
  <c r="D116" i="23"/>
  <c r="B849" i="10"/>
  <c r="D259" i="30"/>
  <c r="F545" i="30"/>
  <c r="F412" i="30"/>
  <c r="D70" i="23"/>
  <c r="D14" i="23"/>
  <c r="F514" i="30"/>
  <c r="A163" i="23"/>
  <c r="A22" i="2"/>
  <c r="D122" i="30"/>
  <c r="B751" i="10"/>
  <c r="C4" i="15"/>
  <c r="D749" i="10"/>
  <c r="F992" i="33"/>
  <c r="D832" i="30"/>
  <c r="D168" i="33"/>
  <c r="D404" i="30"/>
  <c r="D130" i="23"/>
  <c r="D413" i="30"/>
  <c r="A72" i="23"/>
  <c r="D128" i="30"/>
  <c r="D703" i="30"/>
  <c r="C156" i="15"/>
  <c r="F643" i="30"/>
  <c r="Z58" i="18"/>
  <c r="C103" i="15"/>
  <c r="D779" i="10"/>
  <c r="C85" i="15"/>
  <c r="D1021" i="33"/>
  <c r="F549" i="33"/>
  <c r="C83" i="15"/>
  <c r="F980" i="30"/>
  <c r="D363" i="30"/>
  <c r="F952" i="33"/>
  <c r="F394" i="33"/>
  <c r="D653" i="30"/>
  <c r="A54" i="23"/>
  <c r="D466" i="33"/>
  <c r="D1002" i="30"/>
  <c r="F734" i="33"/>
  <c r="D997" i="33"/>
  <c r="F17" i="33"/>
  <c r="F418" i="30"/>
  <c r="F527" i="30"/>
  <c r="F791" i="30"/>
  <c r="D308" i="30"/>
  <c r="F803" i="30"/>
  <c r="F350" i="33"/>
  <c r="F176" i="30"/>
  <c r="D376" i="30"/>
  <c r="F489" i="30"/>
  <c r="D142" i="30"/>
  <c r="D214" i="30"/>
  <c r="F567" i="33"/>
  <c r="D16" i="33"/>
  <c r="F266" i="33"/>
  <c r="D67" i="33"/>
  <c r="F509" i="30"/>
  <c r="D352" i="30"/>
  <c r="D825" i="30"/>
  <c r="D1043" i="30"/>
  <c r="A3" i="15"/>
  <c r="F607" i="33"/>
  <c r="D670" i="30"/>
  <c r="A172" i="2"/>
  <c r="D340" i="30"/>
  <c r="D373" i="30"/>
  <c r="D1052" i="30"/>
  <c r="A183" i="23"/>
  <c r="F106" i="30"/>
  <c r="D176" i="2"/>
  <c r="A97" i="2"/>
  <c r="D727" i="30"/>
  <c r="C164" i="15"/>
  <c r="F594" i="30"/>
  <c r="D236" i="30"/>
  <c r="A124" i="2"/>
  <c r="D294" i="30"/>
  <c r="F396" i="30"/>
  <c r="F439" i="30"/>
  <c r="D135" i="30"/>
  <c r="D22" i="24"/>
  <c r="AC53" i="17"/>
  <c r="F133" i="30"/>
  <c r="A190" i="23"/>
  <c r="F1067" i="30"/>
  <c r="F372" i="30"/>
  <c r="F203" i="30"/>
  <c r="D164" i="23"/>
  <c r="D6" i="30"/>
  <c r="D784" i="10"/>
  <c r="D439" i="30"/>
  <c r="A144" i="2"/>
  <c r="F536" i="30"/>
  <c r="F114" i="30"/>
  <c r="A165" i="23"/>
  <c r="Z26" i="18"/>
  <c r="F60" i="33"/>
  <c r="D775" i="10"/>
  <c r="F168" i="30"/>
  <c r="C26" i="15"/>
  <c r="E103" i="26"/>
  <c r="D51" i="23"/>
  <c r="D985" i="30"/>
  <c r="A171" i="23"/>
  <c r="A40" i="2"/>
  <c r="A96" i="23"/>
  <c r="E107" i="26"/>
  <c r="F659" i="30"/>
  <c r="F1102" i="33"/>
  <c r="D145" i="23"/>
  <c r="A133" i="23"/>
  <c r="A100" i="2"/>
  <c r="F739" i="30"/>
  <c r="D768" i="10"/>
  <c r="D17" i="30"/>
  <c r="D879" i="30"/>
  <c r="F202" i="30"/>
  <c r="A125" i="23"/>
  <c r="AC22" i="17"/>
  <c r="F533" i="30"/>
  <c r="B805" i="10"/>
  <c r="D111" i="30"/>
  <c r="A121" i="2"/>
  <c r="D158" i="30"/>
  <c r="D75" i="23"/>
  <c r="A123" i="23"/>
  <c r="D783" i="30"/>
  <c r="F143" i="30"/>
  <c r="D104" i="23"/>
  <c r="A62" i="2"/>
  <c r="D782" i="30"/>
  <c r="A82" i="2"/>
  <c r="C158" i="15"/>
  <c r="A83" i="23"/>
  <c r="A25" i="2"/>
  <c r="D41" i="2"/>
  <c r="F423" i="30"/>
  <c r="A63" i="23"/>
  <c r="C777" i="10"/>
  <c r="B769" i="10"/>
  <c r="F1080" i="30"/>
  <c r="D24" i="24"/>
  <c r="C154" i="15"/>
  <c r="F376" i="30"/>
  <c r="D64" i="2"/>
  <c r="D255" i="30"/>
  <c r="D534" i="30"/>
  <c r="D395" i="30"/>
  <c r="F58" i="30"/>
  <c r="A17" i="2"/>
  <c r="B830" i="10"/>
  <c r="D102" i="2"/>
  <c r="D786" i="10"/>
  <c r="D899" i="30"/>
  <c r="F949" i="30"/>
  <c r="F299" i="33"/>
  <c r="F955" i="30"/>
  <c r="D714" i="30"/>
  <c r="D25" i="24"/>
  <c r="D482" i="30"/>
  <c r="F745" i="33"/>
  <c r="F697" i="33"/>
  <c r="F542" i="33"/>
  <c r="F125" i="33"/>
  <c r="D193" i="33"/>
  <c r="D1028" i="30"/>
  <c r="D720" i="30"/>
  <c r="D514" i="33"/>
  <c r="D677" i="30"/>
  <c r="D495" i="30"/>
  <c r="D488" i="33"/>
  <c r="D91" i="23"/>
  <c r="F316" i="33"/>
  <c r="F300" i="30"/>
  <c r="D49" i="2"/>
  <c r="D368" i="30"/>
  <c r="F984" i="33"/>
  <c r="F160" i="30"/>
  <c r="D1066" i="30"/>
  <c r="F934" i="33"/>
  <c r="A48" i="23"/>
  <c r="D152" i="30"/>
  <c r="A85" i="23"/>
  <c r="C128" i="15"/>
  <c r="D419" i="30"/>
  <c r="D834" i="30"/>
  <c r="F151" i="30"/>
  <c r="F471" i="30"/>
  <c r="C840" i="10"/>
  <c r="E76" i="26"/>
  <c r="D972" i="30"/>
  <c r="AC60" i="17"/>
  <c r="F444" i="30"/>
  <c r="F285" i="30"/>
  <c r="F494" i="30"/>
  <c r="F453" i="30"/>
  <c r="D204" i="33"/>
  <c r="F1011" i="30"/>
  <c r="F294" i="30"/>
  <c r="A2" i="30"/>
  <c r="Z21" i="18"/>
  <c r="A36" i="2"/>
  <c r="A135" i="23"/>
  <c r="F683" i="30"/>
  <c r="F924" i="30"/>
  <c r="F279" i="30"/>
  <c r="A173" i="23"/>
  <c r="Z42" i="18"/>
  <c r="C809" i="10"/>
  <c r="D350" i="30"/>
  <c r="A122" i="2"/>
  <c r="D274" i="33"/>
  <c r="D123" i="30"/>
  <c r="F67" i="30"/>
  <c r="D28" i="23"/>
  <c r="A119" i="2"/>
  <c r="F480" i="30"/>
  <c r="A127" i="23"/>
  <c r="D990" i="30"/>
  <c r="F127" i="30"/>
  <c r="D88" i="23"/>
  <c r="C87" i="15"/>
  <c r="D126" i="23"/>
  <c r="A119" i="23"/>
  <c r="A104" i="23"/>
  <c r="F102" i="30"/>
  <c r="A128" i="23"/>
  <c r="A139" i="23"/>
  <c r="B763" i="10"/>
  <c r="C761" i="10"/>
  <c r="D249" i="30"/>
  <c r="A138" i="2"/>
  <c r="F221" i="30"/>
  <c r="F904" i="30"/>
  <c r="F679" i="30"/>
  <c r="D211" i="30"/>
  <c r="F27" i="30"/>
  <c r="Z20" i="18"/>
  <c r="D803" i="30"/>
  <c r="D801" i="30"/>
  <c r="F499" i="30"/>
  <c r="C62" i="15"/>
  <c r="D183" i="33"/>
  <c r="D112" i="23"/>
  <c r="F310" i="30"/>
  <c r="D160" i="2"/>
  <c r="D192" i="30"/>
  <c r="A113" i="23"/>
  <c r="D154" i="2"/>
  <c r="A108" i="23"/>
  <c r="B813" i="10"/>
  <c r="AC28" i="17"/>
  <c r="B753" i="10"/>
  <c r="D897" i="30"/>
  <c r="D177" i="23"/>
  <c r="C106" i="15"/>
  <c r="D778" i="10"/>
  <c r="A40" i="23"/>
  <c r="A180" i="2"/>
  <c r="D646" i="33"/>
  <c r="F1042" i="30"/>
  <c r="D14" i="33"/>
  <c r="F409" i="30"/>
  <c r="D42" i="23"/>
  <c r="B789" i="10"/>
  <c r="D172" i="2"/>
  <c r="A80" i="2"/>
  <c r="F473" i="30"/>
  <c r="C28" i="15"/>
  <c r="F429" i="30"/>
  <c r="D46" i="33"/>
  <c r="F187" i="30"/>
  <c r="F538" i="30"/>
  <c r="D191" i="30"/>
  <c r="F135" i="30"/>
  <c r="D96" i="23"/>
  <c r="C765" i="10"/>
  <c r="F445" i="30"/>
  <c r="D1047" i="30"/>
  <c r="A75" i="2"/>
  <c r="F374" i="30"/>
  <c r="F68" i="33"/>
  <c r="F508" i="33"/>
  <c r="F148" i="33"/>
  <c r="D445" i="33"/>
  <c r="D916" i="30"/>
  <c r="F113" i="30"/>
  <c r="F1061" i="33"/>
  <c r="D828" i="30"/>
  <c r="D300" i="33"/>
  <c r="D803" i="33"/>
  <c r="D680" i="33"/>
  <c r="F216" i="30"/>
  <c r="F488" i="30"/>
  <c r="F394" i="30"/>
  <c r="C811" i="10"/>
  <c r="AC5" i="17"/>
  <c r="A15" i="23"/>
  <c r="D431" i="33"/>
  <c r="C120" i="15"/>
  <c r="D816" i="33"/>
  <c r="D339" i="30"/>
  <c r="D965" i="30"/>
  <c r="D611" i="30"/>
  <c r="D968" i="30"/>
  <c r="F312" i="33"/>
  <c r="F339" i="33"/>
  <c r="D391" i="30"/>
  <c r="D1034" i="30"/>
  <c r="F349" i="30"/>
  <c r="D184" i="2"/>
  <c r="D570" i="33"/>
  <c r="A22" i="23"/>
  <c r="B783" i="10"/>
  <c r="F54" i="33"/>
  <c r="A29" i="2"/>
  <c r="C72" i="15"/>
  <c r="D418" i="30"/>
  <c r="E7" i="30"/>
  <c r="D121" i="23"/>
  <c r="B829" i="10"/>
  <c r="F963" i="30"/>
  <c r="D82" i="30"/>
  <c r="F544" i="30"/>
  <c r="D429" i="30"/>
  <c r="F75" i="30"/>
  <c r="D36" i="23"/>
  <c r="C820" i="10"/>
  <c r="A151" i="23"/>
  <c r="B816" i="10"/>
  <c r="D945" i="30"/>
  <c r="F278" i="30"/>
  <c r="D96" i="30"/>
  <c r="A37" i="23"/>
  <c r="C32" i="15"/>
  <c r="F281" i="30"/>
  <c r="F490" i="33"/>
  <c r="D53" i="23"/>
  <c r="D172" i="30"/>
  <c r="A97" i="23"/>
  <c r="D371" i="30"/>
  <c r="D130" i="30"/>
  <c r="A66" i="2"/>
  <c r="D109" i="30"/>
  <c r="D57" i="30"/>
  <c r="A58" i="2"/>
  <c r="A115" i="23"/>
  <c r="A61" i="2"/>
  <c r="A59" i="2"/>
  <c r="C100" i="15"/>
  <c r="C767" i="10"/>
  <c r="D713" i="30"/>
  <c r="C776" i="10"/>
  <c r="D819" i="10"/>
  <c r="D567" i="30"/>
  <c r="F45" i="33"/>
  <c r="D544" i="30"/>
  <c r="F32" i="33"/>
  <c r="D717" i="30"/>
  <c r="D178" i="23"/>
  <c r="D652" i="30"/>
  <c r="F1091" i="30"/>
  <c r="A121" i="23"/>
  <c r="F365" i="30"/>
  <c r="B819" i="10"/>
  <c r="D288" i="30"/>
  <c r="F15" i="30"/>
  <c r="C153" i="15"/>
  <c r="A67" i="23"/>
  <c r="Z15" i="18"/>
  <c r="F52" i="30"/>
  <c r="F85" i="30"/>
  <c r="A84" i="2"/>
  <c r="A29" i="24"/>
  <c r="C139" i="15"/>
  <c r="F184" i="30"/>
  <c r="D45" i="30"/>
  <c r="F288" i="30"/>
  <c r="D148" i="2"/>
  <c r="A69" i="2"/>
  <c r="D582" i="30"/>
  <c r="C108" i="15"/>
  <c r="D543" i="30"/>
  <c r="D71" i="23"/>
  <c r="A194" i="2"/>
  <c r="F525" i="30"/>
  <c r="F109" i="30"/>
  <c r="A148" i="2"/>
  <c r="E113" i="26"/>
  <c r="C187" i="15"/>
  <c r="D61" i="2"/>
  <c r="D1075" i="30"/>
  <c r="D1092" i="30"/>
  <c r="F995" i="30"/>
  <c r="F289" i="30"/>
  <c r="E118" i="26"/>
  <c r="A44" i="2"/>
  <c r="B808" i="10"/>
  <c r="D558" i="30"/>
  <c r="D595" i="30"/>
  <c r="D55" i="30"/>
  <c r="D105" i="23"/>
  <c r="D846" i="10"/>
  <c r="F248" i="30"/>
  <c r="A90" i="2"/>
  <c r="F140" i="30"/>
  <c r="F728" i="30"/>
  <c r="D634" i="33"/>
  <c r="D912" i="33"/>
  <c r="F326" i="30"/>
  <c r="F61" i="30"/>
  <c r="E108" i="26"/>
  <c r="F965" i="30"/>
  <c r="F618" i="33"/>
  <c r="C834" i="10"/>
  <c r="F854" i="30"/>
  <c r="C73" i="15"/>
  <c r="D656" i="30"/>
  <c r="A142" i="2"/>
  <c r="F595" i="30"/>
  <c r="D469" i="30"/>
  <c r="D331" i="33"/>
  <c r="D64" i="30"/>
  <c r="F129" i="30"/>
  <c r="D404" i="33"/>
  <c r="D513" i="33"/>
  <c r="D216" i="30"/>
  <c r="F381" i="30"/>
  <c r="C54" i="15"/>
  <c r="B851" i="10"/>
  <c r="D125" i="30"/>
  <c r="F572" i="30"/>
  <c r="D518" i="30"/>
  <c r="F852" i="30"/>
  <c r="D301" i="30"/>
  <c r="D280" i="33"/>
  <c r="F910" i="30"/>
  <c r="D212" i="33"/>
  <c r="B837" i="10"/>
  <c r="D345" i="30"/>
  <c r="D581" i="30"/>
  <c r="D546" i="30"/>
  <c r="D156" i="2"/>
  <c r="D108" i="30"/>
  <c r="A45" i="23"/>
  <c r="C124" i="15"/>
  <c r="D181" i="2"/>
  <c r="F28" i="30"/>
  <c r="B824" i="10"/>
  <c r="F397" i="30"/>
  <c r="D846" i="30"/>
  <c r="D173" i="23"/>
  <c r="C98" i="15"/>
  <c r="F332" i="30"/>
  <c r="C110" i="15"/>
  <c r="A92" i="2"/>
  <c r="D252" i="30"/>
  <c r="E2" i="30"/>
  <c r="D42" i="30"/>
  <c r="C762" i="10"/>
  <c r="D820" i="10"/>
  <c r="A191" i="2"/>
  <c r="B760" i="10"/>
  <c r="D756" i="10"/>
  <c r="F120" i="30"/>
  <c r="A130" i="2"/>
  <c r="D78" i="30"/>
  <c r="D191" i="2"/>
  <c r="A131" i="23"/>
  <c r="B756" i="10"/>
  <c r="B767" i="10"/>
  <c r="D659" i="30"/>
  <c r="C37" i="15"/>
  <c r="B832" i="10"/>
  <c r="D760" i="33"/>
  <c r="F844" i="30"/>
  <c r="D101" i="33"/>
  <c r="A126" i="2"/>
  <c r="F779" i="30"/>
  <c r="A84" i="23"/>
  <c r="D1006" i="30"/>
  <c r="A120" i="2"/>
  <c r="D86" i="33"/>
  <c r="D87" i="23"/>
  <c r="D980" i="30"/>
  <c r="D75" i="2"/>
  <c r="F234" i="30"/>
  <c r="D577" i="30"/>
  <c r="F413" i="30"/>
  <c r="F118" i="30"/>
  <c r="A77" i="2"/>
  <c r="F351" i="30"/>
  <c r="D49" i="23"/>
  <c r="C105" i="15"/>
  <c r="A87" i="2"/>
  <c r="D969" i="30"/>
  <c r="B803" i="10"/>
  <c r="D183" i="23"/>
  <c r="D816" i="30"/>
  <c r="C173" i="15"/>
  <c r="D691" i="30"/>
  <c r="D866" i="30"/>
  <c r="D23" i="2"/>
  <c r="D672" i="33"/>
  <c r="C855" i="10"/>
  <c r="D153" i="2"/>
  <c r="Z48" i="18"/>
  <c r="F448" i="30"/>
  <c r="D843" i="10"/>
  <c r="D205" i="30"/>
  <c r="D317" i="30"/>
  <c r="B835" i="10"/>
  <c r="D79" i="23"/>
  <c r="D596" i="30"/>
  <c r="C93" i="15"/>
  <c r="D521" i="30"/>
  <c r="Z16" i="18"/>
  <c r="D954" i="30"/>
  <c r="F430" i="30"/>
  <c r="F424" i="30"/>
  <c r="F71" i="30"/>
  <c r="D32" i="23"/>
  <c r="A147" i="2"/>
  <c r="F337" i="30"/>
  <c r="D78" i="23"/>
  <c r="A94" i="2"/>
  <c r="A196" i="2"/>
  <c r="A150" i="2"/>
  <c r="D140" i="2"/>
  <c r="F482" i="30"/>
  <c r="A53" i="2"/>
  <c r="A168" i="23"/>
  <c r="A59" i="23"/>
  <c r="A16" i="2"/>
  <c r="D575" i="33"/>
  <c r="D375" i="33"/>
  <c r="D539" i="33"/>
  <c r="D327" i="33"/>
  <c r="D761" i="10"/>
  <c r="F898" i="33"/>
  <c r="D568" i="33"/>
  <c r="D1074" i="30"/>
  <c r="C804" i="10"/>
  <c r="D61" i="23"/>
  <c r="F342" i="30"/>
  <c r="F709" i="33"/>
  <c r="F290" i="33"/>
  <c r="D393" i="30"/>
  <c r="F153" i="33"/>
  <c r="D479" i="30"/>
  <c r="F636" i="33"/>
  <c r="B828" i="10"/>
  <c r="F343" i="30"/>
  <c r="D1085" i="30"/>
  <c r="D905" i="30"/>
  <c r="D139" i="33"/>
  <c r="F404" i="33"/>
  <c r="C771" i="10"/>
  <c r="D200" i="30"/>
  <c r="D773" i="33"/>
  <c r="F86" i="33"/>
  <c r="D628" i="33"/>
  <c r="F455" i="30"/>
  <c r="D425" i="33"/>
  <c r="D601" i="33"/>
  <c r="F366" i="30"/>
  <c r="F42" i="30"/>
  <c r="D102" i="23"/>
  <c r="D707" i="30"/>
  <c r="A68" i="2"/>
  <c r="A25" i="24"/>
  <c r="C131" i="15"/>
  <c r="F345" i="30"/>
  <c r="D690" i="30"/>
  <c r="D146" i="23"/>
  <c r="D144" i="2"/>
  <c r="D28" i="30"/>
  <c r="D85" i="2"/>
  <c r="F331" i="30"/>
  <c r="A20" i="23"/>
  <c r="F575" i="30"/>
  <c r="C797" i="10"/>
  <c r="A88" i="23"/>
  <c r="D751" i="10"/>
  <c r="C815" i="10"/>
  <c r="A136" i="2"/>
  <c r="D193" i="30"/>
  <c r="C801" i="10"/>
  <c r="A19" i="2"/>
  <c r="E95" i="26"/>
  <c r="D354" i="30"/>
  <c r="D758" i="10"/>
  <c r="F60" i="30"/>
  <c r="F1103" i="33"/>
  <c r="D710" i="33"/>
  <c r="D123" i="33"/>
  <c r="C759" i="10"/>
  <c r="F287" i="30"/>
  <c r="F420" i="30"/>
  <c r="F841" i="30"/>
  <c r="F43" i="30"/>
  <c r="A24" i="24"/>
  <c r="AC11" i="17"/>
  <c r="C129" i="15"/>
  <c r="F108" i="30"/>
  <c r="E75" i="26"/>
  <c r="D73" i="2"/>
  <c r="F425" i="30"/>
  <c r="D56" i="30"/>
  <c r="Z45" i="18"/>
  <c r="D840" i="10"/>
  <c r="D895" i="30"/>
  <c r="A157" i="23"/>
  <c r="D145" i="30"/>
  <c r="F115" i="30"/>
  <c r="F145" i="30"/>
  <c r="E94" i="26"/>
  <c r="D725" i="30"/>
  <c r="D319" i="30"/>
  <c r="D739" i="30"/>
  <c r="D370" i="33"/>
  <c r="D788" i="30"/>
  <c r="A187" i="23"/>
  <c r="C95" i="15"/>
  <c r="F552" i="30"/>
  <c r="C144" i="15"/>
  <c r="D50" i="2"/>
  <c r="D27" i="2"/>
  <c r="Z19" i="18"/>
  <c r="A83" i="2"/>
  <c r="F1023" i="33"/>
  <c r="A18" i="2"/>
  <c r="D67" i="2"/>
  <c r="C121" i="15"/>
  <c r="C749" i="10"/>
  <c r="F232" i="30"/>
  <c r="F390" i="30"/>
  <c r="F882" i="30"/>
  <c r="D723" i="30"/>
  <c r="D834" i="10"/>
  <c r="F411" i="30"/>
  <c r="A5" i="30"/>
  <c r="D67" i="23"/>
  <c r="B748" i="10"/>
  <c r="D240" i="30"/>
  <c r="F389" i="30"/>
  <c r="F335" i="30"/>
  <c r="D41" i="23"/>
  <c r="B804" i="10"/>
  <c r="C151" i="15"/>
  <c r="B782" i="10"/>
  <c r="A192" i="23"/>
  <c r="A55" i="23"/>
  <c r="D322" i="30"/>
  <c r="F404" i="30"/>
  <c r="D34" i="2"/>
  <c r="F560" i="30"/>
  <c r="A117" i="23"/>
  <c r="D789" i="10"/>
  <c r="C134" i="15"/>
  <c r="D792" i="33"/>
  <c r="F1079" i="33"/>
  <c r="F587" i="30"/>
  <c r="C56" i="15"/>
  <c r="D484" i="30"/>
  <c r="AC26" i="17"/>
  <c r="D488" i="30"/>
  <c r="D394" i="33"/>
  <c r="C69" i="15"/>
  <c r="D563" i="33"/>
  <c r="D485" i="30"/>
  <c r="D283" i="30"/>
  <c r="C768" i="10"/>
  <c r="F609" i="30"/>
  <c r="A39" i="2"/>
  <c r="F322" i="33"/>
  <c r="D629" i="33"/>
  <c r="F760" i="30"/>
  <c r="F237" i="30"/>
  <c r="F158" i="33"/>
  <c r="D107" i="33"/>
  <c r="F751" i="33"/>
  <c r="F513" i="33"/>
  <c r="A5" i="15"/>
  <c r="D455" i="30"/>
  <c r="C12" i="15"/>
  <c r="F83" i="33"/>
  <c r="D267" i="33"/>
  <c r="F624" i="30"/>
  <c r="D598" i="30"/>
  <c r="D328" i="33"/>
  <c r="F717" i="30"/>
  <c r="F515" i="30"/>
  <c r="C82" i="15"/>
  <c r="D797" i="10"/>
  <c r="D486" i="30"/>
  <c r="F341" i="30"/>
  <c r="D851" i="10"/>
  <c r="F309" i="30"/>
  <c r="B841" i="10"/>
  <c r="D190" i="23"/>
  <c r="F276" i="30"/>
  <c r="D906" i="30"/>
  <c r="Z59" i="18"/>
  <c r="D97" i="2"/>
  <c r="F776" i="30"/>
  <c r="D54" i="23"/>
  <c r="D14" i="30"/>
  <c r="A8" i="15"/>
  <c r="D845" i="30"/>
  <c r="A35" i="2"/>
  <c r="F21" i="33"/>
  <c r="C848" i="10"/>
  <c r="D492" i="33"/>
  <c r="F703" i="30"/>
  <c r="A99" i="23"/>
  <c r="A98" i="2"/>
  <c r="F358" i="30"/>
  <c r="D793" i="33"/>
  <c r="A49" i="2"/>
  <c r="D56" i="2"/>
  <c r="D1008" i="30"/>
  <c r="AC33" i="17"/>
  <c r="D430" i="30"/>
  <c r="D217" i="30"/>
  <c r="F440" i="30"/>
  <c r="D823" i="30"/>
  <c r="F593" i="30"/>
  <c r="D133" i="23"/>
  <c r="D169" i="33"/>
  <c r="D697" i="33"/>
  <c r="D250" i="30"/>
  <c r="D303" i="30"/>
  <c r="D299" i="33"/>
  <c r="D51" i="33"/>
  <c r="D196" i="33"/>
  <c r="AC65" i="17"/>
  <c r="D625" i="30"/>
  <c r="F104" i="33"/>
  <c r="D102" i="33"/>
  <c r="D27" i="23"/>
  <c r="F98" i="30"/>
  <c r="F198" i="30"/>
  <c r="F1087" i="30"/>
  <c r="F680" i="30"/>
  <c r="F848" i="30"/>
  <c r="F233" i="30"/>
  <c r="F355" i="30"/>
  <c r="F785" i="33"/>
  <c r="F44" i="30"/>
  <c r="D707" i="33"/>
  <c r="D463" i="33"/>
  <c r="F1015" i="30"/>
  <c r="D358" i="30"/>
  <c r="D517" i="30"/>
  <c r="F373" i="33"/>
  <c r="F275" i="33"/>
  <c r="D363" i="33"/>
  <c r="D807" i="33"/>
  <c r="D753" i="30"/>
  <c r="D45" i="2"/>
  <c r="D77" i="30"/>
  <c r="A92" i="23"/>
  <c r="F291" i="30"/>
  <c r="D10" i="30"/>
  <c r="B833" i="10"/>
  <c r="D94" i="23"/>
  <c r="A116" i="2"/>
  <c r="AC61" i="17"/>
  <c r="D880" i="30"/>
  <c r="F68" i="30"/>
  <c r="D175" i="2"/>
  <c r="D986" i="30"/>
  <c r="D1039" i="33"/>
  <c r="D31" i="33"/>
  <c r="D377" i="30"/>
  <c r="C97" i="15"/>
  <c r="A167" i="23"/>
  <c r="F957" i="33"/>
  <c r="D148" i="30"/>
  <c r="D95" i="30"/>
  <c r="Z69" i="18"/>
  <c r="D124" i="23"/>
  <c r="D754" i="10"/>
  <c r="A64" i="23"/>
  <c r="F290" i="30"/>
  <c r="F740" i="30"/>
  <c r="F1021" i="30"/>
  <c r="A162" i="23"/>
  <c r="C51" i="15"/>
  <c r="D681" i="30"/>
  <c r="F59" i="30"/>
  <c r="D4" i="30"/>
  <c r="F492" i="33"/>
  <c r="D52" i="30"/>
  <c r="D950" i="30"/>
  <c r="F190" i="30"/>
  <c r="A149" i="2"/>
  <c r="F547" i="30"/>
  <c r="A123" i="2"/>
  <c r="D149" i="2"/>
  <c r="D594" i="30"/>
  <c r="F496" i="30"/>
  <c r="D127" i="30"/>
  <c r="D191" i="23"/>
  <c r="D60" i="33"/>
  <c r="A78" i="23"/>
  <c r="F632" i="30"/>
  <c r="F507" i="30"/>
  <c r="F372" i="33"/>
  <c r="B834" i="10"/>
  <c r="C830" i="10"/>
  <c r="D617" i="30"/>
  <c r="C748" i="10"/>
  <c r="C113" i="15"/>
  <c r="C33" i="15"/>
  <c r="D398" i="30"/>
  <c r="D696" i="33"/>
  <c r="C79" i="15"/>
  <c r="D792" i="30"/>
  <c r="F989" i="33"/>
  <c r="F565" i="33"/>
  <c r="F695" i="30"/>
  <c r="C823" i="10"/>
  <c r="D884" i="30"/>
  <c r="D790" i="30"/>
  <c r="D226" i="30"/>
  <c r="F45" i="30"/>
  <c r="F1092" i="30"/>
  <c r="A166" i="23"/>
  <c r="D814" i="30"/>
  <c r="D133" i="2"/>
  <c r="D504" i="33"/>
  <c r="F664" i="30"/>
  <c r="D1087" i="30"/>
  <c r="A70" i="23"/>
  <c r="B815" i="10"/>
  <c r="F180" i="30"/>
  <c r="C48" i="15"/>
  <c r="D872" i="33"/>
  <c r="F280" i="30"/>
  <c r="F12" i="30"/>
  <c r="C780" i="10"/>
  <c r="D177" i="2"/>
  <c r="F175" i="33"/>
  <c r="A95" i="23"/>
  <c r="A38" i="2"/>
  <c r="F241" i="30"/>
  <c r="D112" i="2"/>
  <c r="D132" i="30"/>
  <c r="A65" i="23"/>
  <c r="C88" i="15"/>
  <c r="C150" i="15"/>
  <c r="D458" i="30"/>
  <c r="AC55" i="17"/>
  <c r="D204" i="30"/>
  <c r="F1038" i="30"/>
  <c r="F73" i="30"/>
  <c r="D1037" i="33"/>
  <c r="D194" i="33"/>
  <c r="F628" i="30"/>
  <c r="F579" i="33"/>
  <c r="D499" i="33"/>
  <c r="F352" i="30"/>
  <c r="F548" i="33"/>
  <c r="A52" i="2"/>
  <c r="D1081" i="30"/>
  <c r="A50" i="2"/>
  <c r="F66" i="33"/>
  <c r="F1017" i="33"/>
  <c r="D667" i="30"/>
  <c r="D105" i="30"/>
  <c r="F467" i="30"/>
  <c r="C86" i="15"/>
  <c r="F652" i="30"/>
  <c r="D799" i="30"/>
  <c r="D227" i="30"/>
  <c r="C7" i="15"/>
  <c r="AC10" i="17"/>
  <c r="F579" i="30"/>
  <c r="D51" i="30"/>
  <c r="D545" i="33"/>
  <c r="F996" i="30"/>
  <c r="F875" i="30"/>
  <c r="D894" i="33"/>
  <c r="F1033" i="30"/>
  <c r="D348" i="30"/>
  <c r="D321" i="33"/>
  <c r="F469" i="30"/>
  <c r="A128" i="2"/>
  <c r="D182" i="30"/>
  <c r="D100" i="2"/>
  <c r="D390" i="30"/>
  <c r="F590" i="33"/>
  <c r="D178" i="30"/>
  <c r="D38" i="30"/>
  <c r="D790" i="10"/>
  <c r="F426" i="33"/>
  <c r="D23" i="33"/>
  <c r="D124" i="2"/>
  <c r="F616" i="33"/>
  <c r="F631" i="30"/>
  <c r="D169" i="2"/>
  <c r="D473" i="30"/>
  <c r="A155" i="2"/>
  <c r="B777" i="10"/>
  <c r="A161" i="2"/>
  <c r="D114" i="33"/>
  <c r="Z54" i="18"/>
  <c r="F11" i="33"/>
  <c r="A15" i="2"/>
  <c r="F300" i="33"/>
  <c r="D709" i="33"/>
  <c r="F584" i="30"/>
  <c r="D550" i="30"/>
  <c r="D199" i="30"/>
  <c r="F29" i="30"/>
  <c r="F893" i="30"/>
  <c r="D1051" i="30"/>
  <c r="D151" i="2"/>
  <c r="D1064" i="30"/>
  <c r="F521" i="30"/>
  <c r="F284" i="30"/>
  <c r="E110" i="26"/>
  <c r="A32" i="2"/>
  <c r="D639" i="30"/>
  <c r="D78" i="2"/>
  <c r="B809" i="10"/>
  <c r="D230" i="33"/>
  <c r="F178" i="30"/>
  <c r="E111" i="26"/>
  <c r="D55" i="23"/>
  <c r="F832" i="30"/>
  <c r="D831" i="10"/>
  <c r="D542" i="30"/>
  <c r="F449" i="30"/>
  <c r="A3" i="30"/>
  <c r="B794" i="10"/>
  <c r="D992" i="30"/>
  <c r="D302" i="33"/>
  <c r="D922" i="30"/>
  <c r="F26" i="30"/>
  <c r="D107" i="2"/>
  <c r="B749" i="10"/>
  <c r="Z30" i="18"/>
  <c r="AC44" i="17"/>
  <c r="A197" i="23"/>
  <c r="A37" i="2"/>
  <c r="D178" i="33"/>
  <c r="F907" i="30"/>
  <c r="F566" i="30"/>
  <c r="B781" i="10"/>
  <c r="F292" i="30"/>
  <c r="C766" i="10"/>
  <c r="D15" i="23"/>
  <c r="D1058" i="30"/>
  <c r="D847" i="10"/>
  <c r="D189" i="23"/>
  <c r="C15" i="15"/>
  <c r="D116" i="33"/>
  <c r="D122" i="2"/>
  <c r="AC54" i="17"/>
  <c r="D178" i="2"/>
  <c r="D777" i="30"/>
  <c r="F835" i="30"/>
  <c r="A23" i="24"/>
  <c r="D768" i="30"/>
  <c r="D165" i="2"/>
  <c r="D126" i="33"/>
  <c r="F518" i="30"/>
  <c r="F567" i="30"/>
  <c r="Z44" i="18"/>
  <c r="A188" i="2"/>
  <c r="D40" i="23"/>
  <c r="D316" i="30"/>
  <c r="D371" i="33"/>
  <c r="A30" i="23"/>
  <c r="C788" i="10"/>
  <c r="D73" i="30"/>
  <c r="E109" i="26"/>
  <c r="B842" i="10"/>
  <c r="F658" i="30"/>
  <c r="D867" i="30"/>
  <c r="F1100" i="33"/>
  <c r="F861" i="30"/>
  <c r="F59" i="33"/>
  <c r="D138" i="33"/>
  <c r="F742" i="33"/>
  <c r="D331" i="30"/>
  <c r="F183" i="30"/>
  <c r="F308" i="30"/>
  <c r="D137" i="30"/>
  <c r="C817" i="10"/>
  <c r="D180" i="2"/>
  <c r="D41" i="30"/>
  <c r="D786" i="33"/>
  <c r="C755" i="10"/>
  <c r="D984" i="30"/>
  <c r="D123" i="2"/>
  <c r="F140" i="33"/>
  <c r="F144" i="30"/>
  <c r="D828" i="33"/>
  <c r="D284" i="30"/>
  <c r="D928" i="30"/>
  <c r="F615" i="33"/>
  <c r="D60" i="2"/>
  <c r="B811" i="10"/>
  <c r="D853" i="30"/>
  <c r="D440" i="30"/>
  <c r="D644" i="33"/>
  <c r="D94" i="33"/>
  <c r="D695" i="30"/>
  <c r="F743" i="30"/>
  <c r="F574" i="30"/>
  <c r="F839" i="30"/>
  <c r="D633" i="30"/>
  <c r="F834" i="30"/>
  <c r="D16" i="23"/>
  <c r="F175" i="30"/>
  <c r="A141" i="23"/>
  <c r="D192" i="23"/>
  <c r="D142" i="2"/>
  <c r="Z56" i="18"/>
  <c r="D105" i="2"/>
  <c r="Z32" i="18"/>
  <c r="F41" i="30"/>
  <c r="D387" i="33"/>
  <c r="A34" i="23"/>
  <c r="B791" i="10"/>
  <c r="Z24" i="18"/>
  <c r="D258" i="30"/>
  <c r="F1093" i="30"/>
  <c r="F957" i="30"/>
  <c r="F564" i="30"/>
  <c r="D403" i="30"/>
  <c r="F62" i="30"/>
  <c r="A21" i="2"/>
  <c r="C778" i="10"/>
  <c r="C821" i="10"/>
  <c r="F122" i="33"/>
  <c r="D799" i="10"/>
  <c r="F403" i="30"/>
  <c r="D2" i="30"/>
  <c r="D63" i="23"/>
  <c r="D852" i="30"/>
  <c r="C791" i="10"/>
  <c r="B827" i="10"/>
  <c r="D981" i="30"/>
  <c r="D187" i="30"/>
  <c r="F131" i="30"/>
  <c r="D92" i="23"/>
  <c r="C757" i="10"/>
  <c r="D942" i="30"/>
  <c r="F298" i="30"/>
  <c r="C11" i="15"/>
  <c r="D794" i="30"/>
  <c r="D152" i="23"/>
  <c r="D197" i="30"/>
  <c r="D54" i="30"/>
  <c r="A65" i="2"/>
  <c r="D69" i="2"/>
  <c r="C800" i="10"/>
  <c r="C39" i="15"/>
  <c r="D426" i="30"/>
  <c r="C852" i="10"/>
  <c r="A152" i="2"/>
  <c r="D151" i="23"/>
  <c r="F462" i="33"/>
  <c r="D310" i="30"/>
  <c r="A95" i="2"/>
  <c r="C167" i="15"/>
  <c r="D994" i="30"/>
  <c r="F105" i="30"/>
  <c r="D52" i="23"/>
  <c r="D35" i="2"/>
  <c r="F20" i="33"/>
  <c r="E89" i="26"/>
  <c r="D66" i="30"/>
  <c r="D130" i="2"/>
  <c r="D176" i="23"/>
  <c r="D850" i="30"/>
  <c r="B766" i="10"/>
  <c r="D285" i="30"/>
  <c r="A177" i="23"/>
  <c r="Z22" i="18"/>
  <c r="D524" i="30"/>
  <c r="D314" i="33"/>
  <c r="D282" i="30"/>
  <c r="F271" i="30"/>
  <c r="A111" i="2"/>
  <c r="D1095" i="30"/>
  <c r="F283" i="33"/>
  <c r="D134" i="30"/>
  <c r="D145" i="2"/>
  <c r="F107" i="30"/>
  <c r="D48" i="2"/>
  <c r="D60" i="30"/>
  <c r="Z53" i="18"/>
  <c r="D559" i="30"/>
  <c r="F398" i="30"/>
  <c r="D835" i="33"/>
  <c r="B845" i="10"/>
  <c r="D435" i="30"/>
  <c r="D131" i="30"/>
  <c r="D195" i="23"/>
  <c r="D243" i="33"/>
  <c r="B776" i="10"/>
  <c r="D185" i="23"/>
  <c r="D384" i="30"/>
  <c r="F267" i="30"/>
  <c r="F413" i="33"/>
  <c r="D39" i="30"/>
  <c r="F241" i="33"/>
  <c r="D649" i="30"/>
  <c r="D48" i="33"/>
  <c r="F121" i="30"/>
  <c r="F177" i="30"/>
  <c r="F484" i="30"/>
  <c r="F221" i="33"/>
  <c r="F205" i="30"/>
  <c r="D165" i="33"/>
  <c r="F32" i="30"/>
  <c r="D519" i="33"/>
  <c r="D47" i="2"/>
  <c r="D91" i="33"/>
  <c r="D335" i="30"/>
  <c r="D815" i="33"/>
  <c r="D297" i="30"/>
  <c r="F505" i="33"/>
  <c r="AC43" i="17"/>
  <c r="D348" i="33"/>
  <c r="D80" i="30"/>
  <c r="D332" i="33"/>
  <c r="E115" i="26"/>
  <c r="A139" i="2"/>
  <c r="F370" i="30"/>
  <c r="D365" i="30"/>
  <c r="F51" i="30"/>
  <c r="Z68" i="18"/>
  <c r="F823" i="30"/>
  <c r="D698" i="30"/>
  <c r="F296" i="30"/>
  <c r="F87" i="30"/>
  <c r="F244" i="30"/>
  <c r="F74" i="30"/>
  <c r="A33" i="2"/>
  <c r="F479" i="30"/>
  <c r="C36" i="15"/>
  <c r="C754" i="10"/>
  <c r="A110" i="2"/>
  <c r="D13" i="33"/>
  <c r="A93" i="2"/>
  <c r="AC9" i="17"/>
  <c r="F720" i="30"/>
  <c r="D71" i="30"/>
  <c r="D135" i="23"/>
  <c r="D806" i="10"/>
  <c r="D245" i="30"/>
  <c r="D395" i="33"/>
  <c r="D737" i="30"/>
  <c r="F744" i="30"/>
  <c r="F139" i="30"/>
  <c r="D100" i="23"/>
  <c r="C773" i="10"/>
  <c r="A181" i="2"/>
  <c r="F912" i="30"/>
  <c r="F664" i="33"/>
  <c r="D381" i="30"/>
  <c r="D176" i="30"/>
  <c r="A101" i="23"/>
  <c r="C160" i="15"/>
  <c r="F569" i="30"/>
  <c r="F19" i="30"/>
  <c r="A49" i="23"/>
  <c r="D751" i="33"/>
  <c r="A161" i="23"/>
  <c r="D780" i="10"/>
  <c r="F336" i="30"/>
  <c r="A175" i="2"/>
  <c r="F218" i="30"/>
  <c r="F708" i="30"/>
  <c r="A54" i="2"/>
  <c r="F948" i="30"/>
  <c r="C824" i="10"/>
  <c r="AC70" i="17"/>
  <c r="C165" i="15"/>
  <c r="C837" i="10"/>
  <c r="A178" i="2"/>
  <c r="D759" i="30"/>
  <c r="D733" i="30"/>
  <c r="D11" i="30"/>
  <c r="F138" i="30"/>
  <c r="A61" i="23"/>
  <c r="C80" i="15"/>
  <c r="F735" i="30"/>
  <c r="F391" i="30"/>
  <c r="A195" i="23"/>
  <c r="D38" i="23"/>
  <c r="A185" i="23"/>
  <c r="Z66" i="18"/>
  <c r="AC50" i="17"/>
  <c r="D438" i="30"/>
  <c r="F79" i="30"/>
  <c r="A18" i="23"/>
  <c r="D132" i="33"/>
  <c r="F737" i="30"/>
  <c r="F223" i="30"/>
  <c r="D650" i="30"/>
  <c r="D24" i="2"/>
  <c r="D36" i="30"/>
  <c r="Z5" i="18"/>
  <c r="F844" i="33"/>
  <c r="D117" i="30"/>
  <c r="F674" i="30"/>
  <c r="D930" i="30"/>
  <c r="F24" i="33"/>
  <c r="F551" i="30"/>
  <c r="F833" i="30"/>
  <c r="D448" i="33"/>
  <c r="A168" i="2"/>
  <c r="A152" i="23"/>
  <c r="D1040" i="30"/>
  <c r="D944" i="30"/>
  <c r="AC38" i="17"/>
  <c r="F840" i="30"/>
  <c r="D44" i="23"/>
  <c r="D111" i="2"/>
  <c r="D28" i="33"/>
  <c r="D549" i="30"/>
  <c r="D274" i="30"/>
  <c r="A169" i="23"/>
  <c r="Z34" i="18"/>
  <c r="D496" i="30"/>
  <c r="F152" i="30"/>
  <c r="B754" i="10"/>
  <c r="D415" i="30"/>
  <c r="D119" i="30"/>
  <c r="F886" i="30"/>
  <c r="D103" i="23"/>
  <c r="F1074" i="33"/>
  <c r="F887" i="33"/>
  <c r="F642" i="30"/>
  <c r="B826" i="10"/>
  <c r="D565" i="30"/>
  <c r="F406" i="30"/>
  <c r="F1041" i="33"/>
  <c r="F383" i="33"/>
  <c r="F700" i="30"/>
  <c r="F99" i="30"/>
  <c r="F1016" i="30"/>
  <c r="F37" i="30"/>
  <c r="D697" i="30"/>
  <c r="F988" i="33"/>
  <c r="D655" i="33"/>
  <c r="F792" i="30"/>
  <c r="F26" i="33"/>
  <c r="F910" i="33"/>
  <c r="F367" i="33"/>
  <c r="F550" i="30"/>
  <c r="F213" i="33"/>
  <c r="F771" i="33"/>
  <c r="F969" i="30"/>
  <c r="D716" i="30"/>
  <c r="C133" i="15"/>
  <c r="F589" i="30"/>
  <c r="A16" i="23"/>
  <c r="F218" i="33"/>
  <c r="A86" i="23"/>
  <c r="C140" i="15"/>
  <c r="D826" i="33"/>
  <c r="L1" i="25"/>
  <c r="Z12" i="18"/>
  <c r="F687" i="30"/>
  <c r="F211" i="30"/>
  <c r="D172" i="23"/>
  <c r="C114" i="15"/>
  <c r="A42" i="2"/>
  <c r="F773" i="33"/>
  <c r="D831" i="30"/>
  <c r="C763" i="10"/>
  <c r="D188" i="30"/>
  <c r="A109" i="23"/>
  <c r="C176" i="15"/>
  <c r="D99" i="2"/>
  <c r="D76" i="2"/>
  <c r="F709" i="30"/>
  <c r="F613" i="30"/>
  <c r="D264" i="30"/>
  <c r="D5" i="30"/>
  <c r="AC35" i="17"/>
  <c r="D503" i="30"/>
  <c r="C63" i="15"/>
  <c r="D978" i="30"/>
  <c r="F545" i="33"/>
  <c r="F63" i="30"/>
  <c r="D213" i="30"/>
  <c r="D131" i="2"/>
  <c r="AC8" i="17"/>
  <c r="D421" i="30"/>
  <c r="D72" i="2"/>
  <c r="D146" i="2"/>
  <c r="D10" i="33"/>
  <c r="A163" i="2"/>
  <c r="D63" i="2"/>
  <c r="D129" i="2"/>
  <c r="D70" i="30"/>
  <c r="A74" i="2"/>
  <c r="Z41" i="18"/>
  <c r="A102" i="2"/>
  <c r="D221" i="30"/>
  <c r="AC56" i="17"/>
  <c r="F686" i="30"/>
  <c r="F1076" i="30"/>
  <c r="F89" i="33"/>
  <c r="B814" i="10"/>
  <c r="D210" i="30"/>
  <c r="D197" i="2"/>
  <c r="D124" i="30"/>
  <c r="D48" i="23"/>
  <c r="F222" i="30"/>
  <c r="D96" i="2"/>
  <c r="D112" i="30"/>
  <c r="F450" i="30"/>
  <c r="D266" i="30"/>
  <c r="C827" i="10"/>
  <c r="F603" i="30"/>
  <c r="C829" i="10"/>
  <c r="A141" i="2"/>
  <c r="D511" i="30"/>
  <c r="D113" i="23"/>
  <c r="C53" i="15"/>
  <c r="D12" i="33"/>
  <c r="F600" i="30"/>
  <c r="C137" i="15"/>
  <c r="F410" i="30"/>
  <c r="D115" i="33"/>
  <c r="Z55" i="18"/>
  <c r="D106" i="33"/>
  <c r="Z10" i="18"/>
  <c r="F172" i="33"/>
  <c r="D179" i="30"/>
  <c r="A113" i="2"/>
  <c r="A165" i="2"/>
  <c r="D621" i="30"/>
  <c r="D137" i="23"/>
  <c r="D807" i="10"/>
  <c r="F262" i="30"/>
  <c r="F501" i="30"/>
  <c r="C802" i="10"/>
  <c r="F697" i="30"/>
  <c r="D67" i="30"/>
  <c r="D131" i="23"/>
  <c r="D854" i="10"/>
  <c r="A47" i="23"/>
  <c r="D119" i="33"/>
  <c r="F273" i="30"/>
  <c r="A198" i="23"/>
  <c r="C123" i="15"/>
  <c r="C779" i="10"/>
  <c r="F1062" i="30"/>
  <c r="A154" i="2"/>
  <c r="D170" i="33"/>
  <c r="F1067" i="33"/>
  <c r="D12" i="30"/>
  <c r="F647" i="30"/>
  <c r="F223" i="33"/>
  <c r="F623" i="30"/>
  <c r="D996" i="30"/>
  <c r="D839" i="10"/>
  <c r="D297" i="33"/>
  <c r="F546" i="33"/>
  <c r="D1017" i="33"/>
  <c r="D719" i="33"/>
  <c r="D841" i="33"/>
  <c r="F279" i="33"/>
  <c r="F1095" i="30"/>
  <c r="F1037" i="33"/>
  <c r="D273" i="33"/>
  <c r="F693" i="30"/>
  <c r="D87" i="30"/>
  <c r="D104" i="2"/>
  <c r="D385" i="33"/>
  <c r="D696" i="30"/>
  <c r="F686" i="33"/>
  <c r="D773" i="30"/>
  <c r="D3" i="33"/>
  <c r="F952" i="30"/>
  <c r="D1050" i="33"/>
  <c r="D838" i="30"/>
  <c r="D1083" i="30"/>
  <c r="F206" i="30"/>
  <c r="D694" i="33"/>
  <c r="D44" i="33"/>
  <c r="C61" i="15"/>
  <c r="F497" i="30"/>
  <c r="F164" i="33"/>
  <c r="A132" i="23"/>
  <c r="C182" i="15"/>
  <c r="D276" i="30"/>
  <c r="F11" i="30"/>
  <c r="AC47" i="17"/>
  <c r="D129" i="30"/>
  <c r="D62" i="23"/>
  <c r="D692" i="33"/>
  <c r="D634" i="30"/>
  <c r="D20" i="2"/>
  <c r="D32" i="30"/>
  <c r="AC67" i="17"/>
  <c r="D824" i="10"/>
  <c r="E99" i="26"/>
  <c r="A38" i="23"/>
  <c r="F775" i="30"/>
  <c r="D92" i="30"/>
  <c r="C183" i="15"/>
  <c r="D1078" i="30"/>
  <c r="A191" i="23"/>
  <c r="C753" i="10"/>
  <c r="C161" i="15"/>
  <c r="C111" i="15"/>
  <c r="D772" i="33"/>
  <c r="C185" i="15"/>
  <c r="D136" i="2"/>
  <c r="D454" i="30"/>
  <c r="C812" i="10"/>
  <c r="D166" i="2"/>
  <c r="F604" i="30"/>
  <c r="D194" i="2"/>
  <c r="D730" i="30"/>
  <c r="D234" i="30"/>
  <c r="F646" i="33"/>
  <c r="D1035" i="30"/>
  <c r="D379" i="33"/>
  <c r="D186" i="33"/>
  <c r="A179" i="2"/>
  <c r="D20" i="23"/>
  <c r="F100" i="33"/>
  <c r="F183" i="33"/>
  <c r="D27" i="30"/>
  <c r="Z61" i="18"/>
  <c r="F208" i="30"/>
  <c r="D800" i="10"/>
  <c r="C816" i="10"/>
  <c r="D198" i="30"/>
  <c r="D789" i="30"/>
  <c r="A112" i="23"/>
  <c r="F21" i="30"/>
  <c r="F829" i="30"/>
  <c r="A142" i="23"/>
  <c r="D239" i="30"/>
  <c r="C772" i="10"/>
  <c r="F297" i="30"/>
  <c r="F209" i="30"/>
  <c r="D84" i="2"/>
  <c r="A192" i="2"/>
  <c r="F427" i="30"/>
  <c r="F364" i="33"/>
  <c r="A26" i="24"/>
  <c r="A188" i="23"/>
  <c r="D539" i="30"/>
  <c r="D47" i="23"/>
  <c r="D58" i="2"/>
  <c r="AC24" i="17"/>
  <c r="D114" i="2"/>
  <c r="C831" i="10"/>
  <c r="D842" i="10"/>
  <c r="D397" i="30"/>
  <c r="F9" i="30"/>
  <c r="D108" i="2"/>
  <c r="D133" i="30"/>
  <c r="D355" i="30"/>
  <c r="F892" i="30"/>
  <c r="A53" i="23"/>
  <c r="D18" i="30"/>
  <c r="D537" i="30"/>
  <c r="D389" i="30"/>
  <c r="D184" i="30"/>
  <c r="A105" i="23"/>
  <c r="C168" i="15"/>
  <c r="F911" i="30"/>
  <c r="D805" i="10"/>
  <c r="F1048" i="30"/>
  <c r="A156" i="23"/>
  <c r="C853" i="10"/>
  <c r="B795" i="10"/>
  <c r="D110" i="30"/>
  <c r="D17" i="2"/>
  <c r="A72" i="2"/>
  <c r="D74" i="2"/>
  <c r="D1091" i="30"/>
  <c r="D57" i="2"/>
  <c r="D740" i="30"/>
  <c r="D230" i="30"/>
  <c r="F364" i="30"/>
  <c r="F260" i="30"/>
  <c r="D865" i="30"/>
  <c r="D95" i="23"/>
  <c r="D144" i="23"/>
  <c r="D322" i="33"/>
  <c r="D798" i="30"/>
  <c r="D576" i="30"/>
  <c r="D212" i="30"/>
  <c r="F552" i="33"/>
  <c r="F391" i="33"/>
  <c r="F453" i="33"/>
  <c r="F1019" i="30"/>
  <c r="D848" i="30"/>
  <c r="D93" i="23"/>
  <c r="D251" i="30"/>
  <c r="C818" i="10"/>
  <c r="D908" i="30"/>
  <c r="D1055" i="30"/>
  <c r="D1097" i="30"/>
  <c r="D329" i="30"/>
  <c r="D475" i="30"/>
  <c r="F668" i="30"/>
  <c r="F818" i="30"/>
  <c r="F677" i="33"/>
  <c r="F1053" i="30"/>
  <c r="F13" i="33"/>
  <c r="D271" i="30"/>
  <c r="F512" i="30"/>
  <c r="D115" i="30"/>
  <c r="D409" i="30"/>
  <c r="D760" i="10"/>
  <c r="A137" i="2"/>
  <c r="F504" i="30"/>
  <c r="D109" i="23"/>
  <c r="C849" i="10"/>
  <c r="D97" i="30"/>
  <c r="F296" i="33"/>
  <c r="D66" i="33"/>
  <c r="F820" i="30"/>
  <c r="A64" i="2"/>
  <c r="A103" i="23"/>
  <c r="D861" i="30"/>
  <c r="B759" i="10"/>
  <c r="F956" i="30"/>
  <c r="L2" i="25"/>
  <c r="F152" i="33"/>
  <c r="A180" i="23"/>
  <c r="F64" i="30"/>
  <c r="B773" i="10"/>
  <c r="F526" i="30"/>
  <c r="AC39" i="17"/>
  <c r="D777" i="10"/>
  <c r="A35" i="23"/>
  <c r="D958" i="30"/>
  <c r="F236" i="33"/>
  <c r="F196" i="30"/>
  <c r="F660" i="33"/>
  <c r="D907" i="30"/>
  <c r="A62" i="23"/>
  <c r="A60" i="2"/>
  <c r="D844" i="10"/>
  <c r="D455" i="33"/>
  <c r="D1099" i="30"/>
  <c r="D120" i="2"/>
  <c r="F561" i="33"/>
  <c r="D23" i="23"/>
  <c r="C825" i="10"/>
  <c r="D30" i="23"/>
  <c r="F338" i="30"/>
  <c r="F402" i="30"/>
  <c r="D147" i="30"/>
  <c r="D197" i="23"/>
  <c r="C146" i="15"/>
  <c r="D293" i="30"/>
  <c r="D188" i="33"/>
  <c r="D148" i="23"/>
  <c r="D794" i="10"/>
  <c r="F250" i="30"/>
  <c r="C750" i="10"/>
  <c r="D119" i="23"/>
  <c r="D468" i="30"/>
  <c r="C45" i="15"/>
  <c r="A136" i="23"/>
  <c r="D21" i="2"/>
  <c r="D26" i="30"/>
  <c r="D179" i="23"/>
  <c r="D773" i="10"/>
  <c r="D29" i="2"/>
  <c r="C839" i="10"/>
  <c r="F192" i="30"/>
  <c r="D81" i="30"/>
  <c r="A174" i="2"/>
  <c r="D106" i="30"/>
  <c r="D174" i="2"/>
  <c r="D81" i="2"/>
  <c r="F88" i="30"/>
  <c r="C789" i="10"/>
  <c r="D101" i="30"/>
  <c r="F659" i="33"/>
  <c r="D379" i="30"/>
  <c r="D139" i="23"/>
  <c r="D763" i="30"/>
  <c r="D682" i="30"/>
  <c r="F207" i="30"/>
  <c r="D168" i="23"/>
  <c r="C19" i="15"/>
  <c r="F747" i="30"/>
  <c r="D614" i="30"/>
  <c r="F195" i="30"/>
  <c r="A134" i="23"/>
  <c r="C2" i="15"/>
  <c r="D422" i="30"/>
  <c r="D182" i="2"/>
  <c r="D519" i="30"/>
  <c r="F330" i="33"/>
  <c r="D154" i="30"/>
  <c r="F435" i="30"/>
  <c r="B818" i="10"/>
  <c r="D149" i="30"/>
  <c r="D244" i="30"/>
  <c r="D195" i="2"/>
  <c r="A79" i="23"/>
  <c r="F563" i="33"/>
  <c r="E88" i="26"/>
  <c r="F214" i="30"/>
  <c r="D51" i="2"/>
  <c r="D769" i="10"/>
  <c r="D852" i="10"/>
  <c r="D370" i="30"/>
  <c r="F269" i="30"/>
  <c r="D158" i="23"/>
  <c r="A13" i="2"/>
  <c r="D115" i="23"/>
  <c r="B800" i="10"/>
  <c r="D1100" i="30"/>
  <c r="D187" i="2"/>
  <c r="A14" i="23"/>
  <c r="D886" i="30"/>
  <c r="A86" i="2"/>
  <c r="F560" i="33"/>
  <c r="D74" i="23"/>
  <c r="D185" i="30"/>
  <c r="B775" i="10"/>
  <c r="D79" i="2"/>
  <c r="D137" i="2"/>
  <c r="B755" i="10"/>
  <c r="F123" i="30"/>
  <c r="Z33" i="18"/>
  <c r="F103" i="30"/>
  <c r="D309" i="30"/>
  <c r="A193" i="23"/>
  <c r="D19" i="23"/>
  <c r="F565" i="30"/>
  <c r="D88" i="30"/>
  <c r="F69" i="30"/>
  <c r="C786" i="10"/>
  <c r="D15" i="30"/>
  <c r="D129" i="23"/>
  <c r="C10" i="15"/>
  <c r="D457" i="30"/>
  <c r="F83" i="30"/>
  <c r="D918" i="30"/>
  <c r="A76" i="2"/>
  <c r="D238" i="30"/>
  <c r="C159" i="15"/>
  <c r="D929" i="30"/>
  <c r="A186" i="2"/>
  <c r="D83" i="30"/>
  <c r="A47" i="2"/>
  <c r="D161" i="30"/>
  <c r="D57" i="23"/>
  <c r="E77" i="26"/>
  <c r="A179" i="23"/>
  <c r="D65" i="2"/>
  <c r="A71" i="23"/>
  <c r="D601" i="30"/>
  <c r="D147" i="23"/>
  <c r="D203" i="30"/>
  <c r="B825" i="10"/>
  <c r="D408" i="33"/>
  <c r="D989" i="33"/>
  <c r="F845" i="30"/>
  <c r="F48" i="30"/>
  <c r="D849" i="30"/>
  <c r="D1067" i="30"/>
  <c r="D32" i="2"/>
  <c r="A117" i="2"/>
  <c r="C70" i="15"/>
  <c r="A71" i="2"/>
  <c r="D340" i="33"/>
  <c r="A182" i="2"/>
  <c r="C40" i="15"/>
  <c r="F239" i="30"/>
  <c r="A45" i="2"/>
  <c r="D89" i="30"/>
  <c r="D50" i="23"/>
  <c r="AC27" i="17"/>
  <c r="F367" i="30"/>
  <c r="D31" i="2"/>
  <c r="C147" i="15"/>
  <c r="F322" i="30"/>
  <c r="D150" i="2"/>
  <c r="F155" i="30"/>
  <c r="A158" i="23"/>
  <c r="C43" i="15"/>
  <c r="D623" i="30"/>
  <c r="D120" i="30"/>
  <c r="D64" i="23"/>
  <c r="A166" i="2"/>
  <c r="E91" i="26"/>
  <c r="D622" i="30"/>
  <c r="F261" i="30"/>
  <c r="D755" i="10"/>
  <c r="F522" i="30"/>
  <c r="D117" i="23"/>
  <c r="D770" i="10"/>
  <c r="D82" i="23"/>
  <c r="D218" i="30"/>
  <c r="F17" i="30"/>
  <c r="F388" i="30"/>
  <c r="D185" i="2"/>
  <c r="C126" i="15"/>
  <c r="D871" i="33"/>
  <c r="D50" i="30"/>
  <c r="D438" i="33"/>
  <c r="D576" i="33"/>
  <c r="D993" i="33"/>
  <c r="D766" i="10"/>
  <c r="F258" i="30"/>
  <c r="D40" i="2"/>
  <c r="Z35" i="18"/>
  <c r="D961" i="30"/>
  <c r="D46" i="2"/>
  <c r="D98" i="23"/>
  <c r="D189" i="30"/>
  <c r="D77" i="23"/>
  <c r="D609" i="33"/>
  <c r="D234" i="33"/>
  <c r="C752" i="10"/>
  <c r="F69" i="33"/>
  <c r="B852" i="10"/>
  <c r="F781" i="30"/>
  <c r="D821" i="33"/>
  <c r="A9" i="15"/>
  <c r="L4" i="25"/>
  <c r="F334" i="30"/>
  <c r="D33" i="2"/>
  <c r="D512" i="33"/>
  <c r="D815" i="30"/>
  <c r="D273" i="30"/>
  <c r="F89" i="30"/>
  <c r="F857" i="30"/>
  <c r="A146" i="23"/>
  <c r="A6" i="30"/>
  <c r="F472" i="30"/>
  <c r="D242" i="30"/>
  <c r="F213" i="30"/>
  <c r="F50" i="30"/>
  <c r="B771" i="10"/>
  <c r="F944" i="30"/>
  <c r="Z6" i="18"/>
  <c r="A135" i="2"/>
  <c r="A24" i="2"/>
  <c r="D92" i="2"/>
  <c r="F793" i="30"/>
  <c r="F784" i="30"/>
  <c r="A51" i="2"/>
  <c r="C846" i="10"/>
  <c r="D113" i="2"/>
  <c r="A183" i="2"/>
  <c r="C74" i="15"/>
  <c r="D825" i="10"/>
  <c r="Z17" i="18"/>
  <c r="AC40" i="17"/>
  <c r="D165" i="23"/>
  <c r="D98" i="30"/>
  <c r="A19" i="23"/>
  <c r="F316" i="30"/>
  <c r="F935" i="30"/>
  <c r="D66" i="23"/>
  <c r="D150" i="23"/>
  <c r="F258" i="33"/>
  <c r="C785" i="10"/>
  <c r="D196" i="30"/>
  <c r="D33" i="30"/>
  <c r="D22" i="2"/>
  <c r="D254" i="30"/>
  <c r="A181" i="23"/>
  <c r="C775" i="10"/>
  <c r="F855" i="30"/>
  <c r="D836" i="10"/>
  <c r="F901" i="30"/>
  <c r="F900" i="30"/>
  <c r="D80" i="2"/>
  <c r="D802" i="30"/>
  <c r="D125" i="2"/>
  <c r="D1020" i="30"/>
  <c r="D314" i="30"/>
  <c r="E85" i="26"/>
  <c r="D957" i="30"/>
  <c r="D821" i="10"/>
  <c r="D141" i="2"/>
  <c r="D853" i="33"/>
  <c r="F386" i="33"/>
  <c r="D122" i="23"/>
  <c r="Z67" i="18"/>
  <c r="A164" i="2"/>
  <c r="D960" i="30"/>
  <c r="F827" i="30"/>
  <c r="F493" i="30"/>
  <c r="F95" i="30"/>
  <c r="D56" i="23"/>
  <c r="D55" i="2"/>
  <c r="F701" i="30"/>
  <c r="C770" i="10"/>
  <c r="F632" i="33"/>
  <c r="F256" i="30"/>
  <c r="D59" i="30"/>
  <c r="D123" i="23"/>
  <c r="D131" i="33"/>
  <c r="Z63" i="18"/>
  <c r="D342" i="30"/>
  <c r="D46" i="30"/>
  <c r="A149" i="23"/>
  <c r="F77" i="30"/>
  <c r="D24" i="23"/>
  <c r="A68" i="23"/>
  <c r="A131" i="2"/>
  <c r="A29" i="23"/>
  <c r="A193" i="2"/>
  <c r="F466" i="30"/>
  <c r="D40" i="30"/>
  <c r="A138" i="23"/>
  <c r="F481" i="30"/>
  <c r="D177" i="30"/>
  <c r="A28" i="2"/>
  <c r="A56" i="2"/>
  <c r="F197" i="30"/>
  <c r="F111" i="30"/>
  <c r="F173" i="30"/>
  <c r="F921" i="30"/>
  <c r="D813" i="10"/>
  <c r="A43" i="23"/>
  <c r="D173" i="2"/>
  <c r="D461" i="30"/>
  <c r="D995" i="30"/>
  <c r="F502" i="30"/>
  <c r="F166" i="30"/>
  <c r="AC12" i="17"/>
  <c r="D120" i="23"/>
  <c r="D180" i="23"/>
  <c r="D111" i="23"/>
  <c r="D128" i="2"/>
  <c r="A116" i="23"/>
  <c r="A41" i="23"/>
  <c r="D795" i="10"/>
  <c r="D802" i="10"/>
  <c r="D380" i="30"/>
  <c r="D431" i="30"/>
  <c r="A130" i="23"/>
  <c r="D427" i="30"/>
  <c r="F909" i="30"/>
  <c r="F464" i="30"/>
  <c r="D193" i="23"/>
  <c r="F371" i="30"/>
  <c r="D44" i="30"/>
  <c r="F227" i="30"/>
  <c r="A103" i="2"/>
  <c r="C838" i="10"/>
  <c r="F806" i="30"/>
  <c r="B758" i="10"/>
  <c r="D36" i="2"/>
  <c r="C790" i="10"/>
  <c r="D328" i="30"/>
  <c r="D782" i="10"/>
  <c r="D52" i="33"/>
  <c r="Z46" i="18"/>
  <c r="D1061" i="30"/>
  <c r="F975" i="30"/>
  <c r="D1091" i="33"/>
  <c r="D29" i="24"/>
  <c r="D195" i="33"/>
  <c r="F110" i="30"/>
  <c r="A33" i="23"/>
  <c r="C24" i="15"/>
  <c r="F217" i="30"/>
  <c r="D37" i="2"/>
  <c r="D531" i="30"/>
  <c r="F796" i="30"/>
  <c r="AC57" i="17"/>
  <c r="A75" i="23"/>
  <c r="A87" i="23"/>
  <c r="F375" i="30"/>
  <c r="D460" i="30"/>
  <c r="A159" i="23"/>
  <c r="D375" i="30"/>
  <c r="F156" i="30"/>
  <c r="Z13" i="18"/>
  <c r="C6" i="15"/>
  <c r="A197" i="2"/>
  <c r="D466" i="30"/>
  <c r="A60" i="23"/>
  <c r="A114" i="2"/>
  <c r="A44" i="23"/>
  <c r="F150" i="30"/>
  <c r="F10" i="30"/>
  <c r="B778" i="10"/>
  <c r="D7" i="30"/>
  <c r="B838" i="10"/>
  <c r="C23" i="15"/>
  <c r="D1053" i="30"/>
  <c r="A82" i="23"/>
  <c r="A153" i="2"/>
  <c r="D811" i="10"/>
  <c r="F553" i="33"/>
  <c r="A134" i="2"/>
  <c r="D445" i="30"/>
  <c r="F408" i="30"/>
  <c r="F112" i="30"/>
  <c r="D181" i="30"/>
  <c r="B817" i="10"/>
  <c r="D159" i="30"/>
  <c r="E105" i="26"/>
  <c r="F555" i="33"/>
  <c r="D532" i="30"/>
  <c r="D315" i="30"/>
  <c r="F517" i="30"/>
  <c r="A22" i="24"/>
  <c r="A101" i="2"/>
  <c r="F987" i="30"/>
  <c r="A63" i="2"/>
  <c r="E74" i="26"/>
  <c r="D474" i="30"/>
  <c r="D888" i="30"/>
  <c r="D563" i="30"/>
  <c r="F122" i="30"/>
  <c r="A81" i="2"/>
  <c r="D987" i="30"/>
  <c r="D121" i="30"/>
  <c r="Z14" i="18"/>
  <c r="F582" i="30"/>
  <c r="D119" i="2"/>
  <c r="C41" i="15"/>
  <c r="C65" i="15"/>
  <c r="B764" i="10"/>
  <c r="F665" i="30"/>
  <c r="D14" i="2"/>
  <c r="D47" i="30"/>
  <c r="D925" i="30"/>
  <c r="F76" i="30"/>
  <c r="D764" i="10"/>
  <c r="D43" i="2"/>
  <c r="F598" i="30"/>
  <c r="F917" i="30"/>
  <c r="C751" i="10"/>
  <c r="A125" i="2"/>
  <c r="D490" i="30"/>
  <c r="D166" i="30"/>
  <c r="Z18" i="18"/>
  <c r="D85" i="30"/>
  <c r="D83" i="2"/>
  <c r="D74" i="30"/>
  <c r="F563" i="30"/>
  <c r="D98" i="33"/>
  <c r="A88" i="2"/>
  <c r="D44" i="2"/>
  <c r="D181" i="23"/>
  <c r="A170" i="2"/>
  <c r="C142" i="15"/>
  <c r="F986" i="30"/>
  <c r="Z37" i="18"/>
  <c r="A51" i="23"/>
  <c r="F368" i="30"/>
  <c r="AC62" i="17"/>
  <c r="F84" i="30"/>
  <c r="C171" i="15"/>
  <c r="D357" i="30"/>
  <c r="E8" i="30"/>
  <c r="D65" i="30"/>
  <c r="D702" i="30"/>
  <c r="A91" i="2"/>
  <c r="D163" i="30"/>
  <c r="F490" i="30"/>
  <c r="D52" i="2"/>
  <c r="C845" i="10"/>
  <c r="C14" i="15"/>
  <c r="C94" i="15"/>
  <c r="D188" i="2"/>
  <c r="D401" i="30"/>
  <c r="D278" i="30"/>
  <c r="F1023" i="30"/>
  <c r="F284" i="33"/>
  <c r="D210" i="33"/>
  <c r="Z25" i="18"/>
  <c r="E106" i="26"/>
  <c r="D227" i="33"/>
  <c r="F633" i="30"/>
  <c r="B779" i="10"/>
  <c r="F204" i="30"/>
  <c r="F288" i="33"/>
  <c r="D922" i="33"/>
  <c r="F199" i="30"/>
  <c r="D160" i="23"/>
  <c r="E83" i="26"/>
  <c r="F441" i="30"/>
  <c r="D270" i="30"/>
  <c r="A118" i="2"/>
  <c r="F456" i="33"/>
  <c r="D3" i="30"/>
  <c r="A120" i="23"/>
  <c r="D82" i="33"/>
  <c r="B801" i="10"/>
  <c r="D839" i="30"/>
  <c r="A190" i="2"/>
  <c r="D46" i="23"/>
  <c r="F771" i="30"/>
  <c r="F741" i="30"/>
  <c r="D1046" i="30"/>
  <c r="D1033" i="30"/>
  <c r="D1060" i="30"/>
  <c r="D938" i="30"/>
  <c r="A48" i="2"/>
  <c r="C22" i="15"/>
  <c r="D138" i="2"/>
  <c r="A140" i="23"/>
  <c r="Z65" i="18"/>
  <c r="D16" i="2"/>
  <c r="C143" i="15"/>
  <c r="D323" i="30"/>
  <c r="A160" i="23"/>
  <c r="F780" i="30"/>
  <c r="F333" i="30"/>
  <c r="D275" i="30"/>
  <c r="AC20" i="17"/>
  <c r="D599" i="30"/>
  <c r="D90" i="30"/>
  <c r="D1040" i="33"/>
  <c r="A73" i="23"/>
  <c r="C179" i="15"/>
  <c r="D841" i="30"/>
  <c r="D9" i="30"/>
  <c r="C31" i="15"/>
  <c r="C102" i="15"/>
  <c r="D179" i="2"/>
  <c r="F188" i="33"/>
  <c r="D269" i="30"/>
  <c r="D535" i="33"/>
  <c r="D109" i="2"/>
  <c r="F31" i="30"/>
  <c r="D93" i="2"/>
  <c r="D169" i="23"/>
  <c r="C90" i="15"/>
  <c r="C760" i="10"/>
  <c r="F242" i="30"/>
  <c r="B788" i="10"/>
  <c r="D750" i="10"/>
  <c r="D267" i="30"/>
  <c r="D730" i="33"/>
  <c r="F1083" i="33"/>
  <c r="AC71" i="17"/>
  <c r="D35" i="30"/>
  <c r="B846" i="10"/>
  <c r="D87" i="2"/>
  <c r="D103" i="2"/>
  <c r="F215" i="30"/>
  <c r="D141" i="23"/>
  <c r="D19" i="30"/>
  <c r="D83" i="23"/>
  <c r="F1078" i="30"/>
  <c r="Z8" i="18"/>
  <c r="D34" i="23"/>
  <c r="F454" i="30"/>
  <c r="A185" i="2"/>
  <c r="D796" i="10"/>
  <c r="B772" i="10"/>
  <c r="A106" i="2"/>
  <c r="A23" i="2"/>
  <c r="D152" i="2"/>
  <c r="C116" i="15"/>
  <c r="D86" i="23"/>
  <c r="F1044" i="30"/>
  <c r="D68" i="2"/>
  <c r="F128" i="30"/>
  <c r="E114" i="26"/>
  <c r="AC52" i="17"/>
  <c r="D849" i="10"/>
  <c r="D290" i="30"/>
  <c r="A79" i="2"/>
  <c r="D147" i="2"/>
  <c r="A55" i="2"/>
  <c r="F40" i="30"/>
  <c r="A27" i="2"/>
  <c r="F141" i="30"/>
  <c r="A34" i="2"/>
  <c r="D977" i="33"/>
  <c r="F445" i="33"/>
  <c r="A147" i="23"/>
  <c r="D544" i="33"/>
  <c r="D388" i="33"/>
  <c r="D69" i="23"/>
  <c r="F93" i="30"/>
  <c r="F23" i="30"/>
  <c r="C96" i="15"/>
  <c r="AC69" i="17"/>
  <c r="D110" i="2"/>
  <c r="A46" i="2"/>
  <c r="F405" i="30"/>
  <c r="D88" i="2"/>
  <c r="D186" i="2"/>
  <c r="C850" i="10"/>
  <c r="F327" i="30"/>
  <c r="A173" i="2"/>
  <c r="C756" i="10"/>
  <c r="AC49" i="17"/>
  <c r="Z47" i="18"/>
  <c r="A140" i="2"/>
  <c r="D687" i="30"/>
  <c r="C810" i="10"/>
  <c r="D233" i="30"/>
  <c r="F159" i="30"/>
  <c r="D762" i="10"/>
  <c r="C795" i="10"/>
  <c r="D113" i="30"/>
  <c r="D382" i="33"/>
  <c r="D62" i="2"/>
  <c r="F147" i="30"/>
  <c r="F858" i="30"/>
  <c r="D318" i="33"/>
  <c r="A194" i="23"/>
  <c r="D22" i="30"/>
  <c r="D92" i="33"/>
  <c r="D188" i="23"/>
  <c r="C18" i="15"/>
  <c r="A57" i="23"/>
  <c r="A172" i="23"/>
  <c r="D765" i="10"/>
  <c r="F426" i="30"/>
  <c r="E81" i="26"/>
  <c r="D427" i="33"/>
  <c r="D272" i="30"/>
  <c r="C798" i="10"/>
  <c r="D174" i="30"/>
  <c r="D816" i="10"/>
  <c r="D192" i="2"/>
  <c r="F860" i="30"/>
  <c r="D98" i="2"/>
  <c r="D53" i="30"/>
  <c r="F299" i="30"/>
  <c r="A24" i="23"/>
  <c r="D527" i="30"/>
  <c r="F576" i="30"/>
  <c r="A189" i="23"/>
  <c r="D65" i="23"/>
  <c r="B820" i="10"/>
  <c r="D292" i="30"/>
  <c r="D259" i="33"/>
  <c r="D160" i="30"/>
  <c r="F24" i="30"/>
  <c r="D785" i="10"/>
  <c r="D62" i="30"/>
  <c r="F153" i="30"/>
  <c r="D28" i="2"/>
  <c r="E73" i="26"/>
  <c r="D327" i="30"/>
  <c r="D157" i="2"/>
  <c r="D127" i="2"/>
  <c r="D70" i="2"/>
  <c r="F436" i="30"/>
  <c r="C807" i="10"/>
  <c r="F477" i="33"/>
  <c r="D118" i="30"/>
  <c r="F415" i="30"/>
  <c r="A43" i="2"/>
  <c r="D638" i="30"/>
  <c r="A143" i="23"/>
  <c r="D171" i="2"/>
  <c r="D853" i="10"/>
  <c r="C784" i="10"/>
  <c r="D767" i="10"/>
  <c r="F324" i="33"/>
  <c r="D108" i="23"/>
  <c r="B765" i="10"/>
  <c r="D66" i="2"/>
  <c r="Z36" i="18"/>
  <c r="A107" i="2"/>
  <c r="D71" i="2"/>
  <c r="D39" i="2"/>
  <c r="C181" i="15"/>
  <c r="D25" i="30"/>
  <c r="D856" i="30"/>
  <c r="F851" i="30"/>
  <c r="D286" i="30"/>
  <c r="F603" i="33"/>
  <c r="F132" i="33"/>
  <c r="D822" i="10"/>
  <c r="B798" i="10"/>
  <c r="D305" i="30"/>
  <c r="D118" i="23"/>
  <c r="C78" i="15"/>
  <c r="F698" i="33"/>
  <c r="F38" i="30"/>
  <c r="D691" i="33"/>
  <c r="F931" i="30"/>
  <c r="A30" i="2"/>
  <c r="D173" i="30"/>
  <c r="Z28" i="18"/>
  <c r="F803" i="33"/>
  <c r="F620" i="30"/>
  <c r="D432" i="30"/>
  <c r="D838" i="10"/>
  <c r="C162" i="15"/>
  <c r="F330" i="30"/>
  <c r="D385" i="30"/>
  <c r="C20" i="15"/>
  <c r="F421" i="30"/>
  <c r="F186" i="30"/>
  <c r="A145" i="2"/>
  <c r="F359" i="30"/>
  <c r="D890" i="30"/>
  <c r="D854" i="30"/>
  <c r="D150" i="30"/>
  <c r="F350" i="30"/>
  <c r="C808" i="10"/>
  <c r="D187" i="23"/>
  <c r="F22" i="33"/>
  <c r="A74" i="23"/>
  <c r="F520" i="30"/>
  <c r="D378" i="30"/>
  <c r="D198" i="2"/>
  <c r="B768" i="10"/>
  <c r="F100" i="30"/>
  <c r="F491" i="30"/>
  <c r="F302" i="30"/>
  <c r="F259" i="30"/>
  <c r="F255" i="30"/>
  <c r="Z11" i="18"/>
  <c r="D752" i="10"/>
  <c r="C8" i="15"/>
  <c r="F347" i="30"/>
  <c r="D182" i="23"/>
  <c r="B793" i="10"/>
  <c r="A171" i="2"/>
  <c r="C89" i="15"/>
  <c r="D748" i="10"/>
  <c r="C138" i="15"/>
  <c r="Z62" i="18"/>
  <c r="D13" i="30"/>
  <c r="C782" i="10"/>
  <c r="A148" i="23"/>
  <c r="D59" i="23"/>
  <c r="D774" i="10"/>
  <c r="D817" i="10"/>
  <c r="C841" i="10"/>
  <c r="AC14" i="17"/>
  <c r="C57" i="15"/>
  <c r="D1026" i="30"/>
  <c r="F120" i="33"/>
  <c r="E2" i="33"/>
  <c r="A4" i="15"/>
  <c r="D776" i="10"/>
  <c r="D756" i="30"/>
  <c r="C836" i="10"/>
  <c r="A104" i="2"/>
  <c r="F380" i="30"/>
  <c r="Z50" i="18"/>
  <c r="C832" i="10"/>
  <c r="F787" i="30"/>
  <c r="F56" i="30"/>
  <c r="D73" i="23"/>
  <c r="D104" i="30"/>
  <c r="D153" i="30"/>
  <c r="E78" i="26"/>
  <c r="D809" i="30"/>
  <c r="E72" i="26"/>
  <c r="D208" i="30"/>
  <c r="A129" i="23"/>
  <c r="AC29" i="17"/>
  <c r="F438" i="30"/>
  <c r="C847" i="10"/>
  <c r="A162" i="2"/>
  <c r="D366" i="30"/>
  <c r="F149" i="30"/>
  <c r="E102" i="26"/>
  <c r="A20" i="2"/>
  <c r="F599" i="30"/>
  <c r="D491" i="30"/>
  <c r="D154" i="23"/>
  <c r="E6" i="30"/>
  <c r="F174" i="30"/>
  <c r="A133" i="2"/>
  <c r="C152" i="15"/>
  <c r="D139" i="2"/>
  <c r="D161" i="2"/>
  <c r="D95" i="2"/>
  <c r="C145" i="15"/>
  <c r="E98" i="26"/>
  <c r="A76" i="23"/>
  <c r="F1094" i="30"/>
  <c r="D82" i="2"/>
  <c r="D45" i="23"/>
  <c r="D671" i="30"/>
  <c r="C101" i="15"/>
  <c r="F393" i="30"/>
  <c r="D48" i="30"/>
  <c r="D143" i="23"/>
  <c r="D446" i="30"/>
  <c r="A189" i="2"/>
  <c r="D163" i="2"/>
  <c r="D305" i="33"/>
  <c r="F164" i="30"/>
  <c r="A124" i="23"/>
  <c r="A7" i="30"/>
  <c r="D804" i="10"/>
  <c r="A99" i="2"/>
  <c r="E86" i="26"/>
  <c r="F182" i="30"/>
  <c r="D803" i="10"/>
  <c r="D887" i="30"/>
  <c r="F807" i="30"/>
  <c r="D19" i="2"/>
  <c r="F264" i="30"/>
  <c r="D602" i="33"/>
  <c r="F866" i="33"/>
  <c r="A127" i="2"/>
  <c r="D200" i="33"/>
  <c r="C172" i="15"/>
  <c r="F272" i="30"/>
  <c r="F104" i="30"/>
  <c r="F266" i="30"/>
  <c r="D18" i="2"/>
  <c r="D21" i="30"/>
  <c r="A159" i="2"/>
  <c r="B752" i="10"/>
  <c r="D132" i="23"/>
  <c r="A8" i="30"/>
  <c r="C5" i="15"/>
  <c r="B787" i="10"/>
  <c r="F752" i="30"/>
  <c r="F91" i="30"/>
  <c r="A94" i="23"/>
  <c r="B831" i="10"/>
  <c r="F253" i="30"/>
  <c r="D58" i="30"/>
  <c r="F543" i="30"/>
  <c r="B750" i="10"/>
  <c r="D183" i="30"/>
  <c r="F13" i="30"/>
  <c r="AC30" i="17"/>
  <c r="D196" i="2"/>
  <c r="D586" i="30"/>
  <c r="D164" i="2"/>
  <c r="F188" i="30"/>
  <c r="D229" i="30"/>
  <c r="C174" i="15"/>
  <c r="C769" i="10"/>
  <c r="D186" i="30"/>
  <c r="D835" i="10"/>
  <c r="A167" i="2"/>
  <c r="F385" i="30"/>
  <c r="A52" i="23"/>
  <c r="C843" i="10"/>
  <c r="AC21" i="17"/>
  <c r="B785" i="10"/>
  <c r="A28" i="23"/>
  <c r="D822" i="30"/>
  <c r="D175" i="30"/>
  <c r="D701" i="33"/>
  <c r="D298" i="30"/>
  <c r="F557" i="30"/>
  <c r="B802" i="10"/>
  <c r="A67" i="2"/>
  <c r="D162" i="30"/>
  <c r="F157" i="30"/>
  <c r="E82" i="26"/>
  <c r="D844" i="30"/>
  <c r="D121" i="2"/>
  <c r="F243" i="30"/>
  <c r="D134" i="23"/>
  <c r="A160" i="2"/>
  <c r="D196" i="23"/>
  <c r="D772" i="30"/>
  <c r="F352" i="33"/>
  <c r="D90" i="2"/>
  <c r="Z57" i="18"/>
  <c r="D665" i="30"/>
  <c r="D34" i="30"/>
  <c r="F228" i="30"/>
  <c r="F54" i="30"/>
  <c r="D76" i="23"/>
  <c r="B855" i="10"/>
  <c r="F381" i="33"/>
  <c r="D600" i="30"/>
  <c r="D13" i="2"/>
  <c r="AC59" i="17"/>
  <c r="D102" i="30"/>
  <c r="D494" i="33"/>
  <c r="D533" i="30"/>
  <c r="F508" i="30"/>
  <c r="D195" i="30"/>
  <c r="F25" i="30"/>
  <c r="D76" i="33"/>
  <c r="F571" i="30"/>
  <c r="D167" i="2"/>
  <c r="D553" i="30"/>
  <c r="D58" i="23"/>
  <c r="A115" i="2"/>
  <c r="F399" i="30"/>
  <c r="Z64" i="18"/>
  <c r="D423" i="30"/>
  <c r="D38" i="2"/>
  <c r="F361" i="30"/>
  <c r="F506" i="30"/>
  <c r="D170" i="30"/>
  <c r="C822" i="10"/>
  <c r="A70" i="2"/>
  <c r="F16" i="30"/>
  <c r="E117" i="26"/>
  <c r="D174" i="23"/>
  <c r="D134" i="2"/>
  <c r="D29" i="30"/>
  <c r="A32" i="23"/>
  <c r="F828" i="30"/>
  <c r="F154" i="30"/>
  <c r="A198" i="2"/>
  <c r="AC34" i="17"/>
  <c r="D69" i="30"/>
  <c r="C81" i="15"/>
  <c r="A73" i="2"/>
  <c r="D821" i="30"/>
  <c r="D114" i="23"/>
  <c r="D189" i="2"/>
  <c r="D624" i="30"/>
  <c r="D53" i="2"/>
  <c r="D194" i="30"/>
  <c r="A129" i="2"/>
  <c r="D523" i="30"/>
  <c r="AC32" i="17"/>
  <c r="E119" i="26"/>
  <c r="D162" i="2"/>
  <c r="F86" i="30"/>
  <c r="B786" i="10"/>
  <c r="F581" i="30"/>
  <c r="A107" i="23"/>
  <c r="F501" i="33"/>
  <c r="D25" i="2"/>
  <c r="C38" i="15"/>
  <c r="D175" i="23"/>
  <c r="C47" i="15"/>
  <c r="D101" i="2"/>
  <c r="D86" i="30"/>
  <c r="C758" i="10"/>
  <c r="C16" i="15"/>
  <c r="F887" i="30"/>
  <c r="C799" i="10"/>
  <c r="D823" i="10"/>
  <c r="F80" i="30"/>
  <c r="AC42" i="17"/>
  <c r="D22" i="23"/>
  <c r="D30" i="2"/>
  <c r="D26" i="2"/>
  <c r="F46" i="30"/>
  <c r="AC63" i="17"/>
  <c r="B822" i="10"/>
  <c r="B843" i="10"/>
  <c r="F751" i="30"/>
  <c r="D246" i="30"/>
  <c r="F36" i="30"/>
  <c r="F154" i="33"/>
  <c r="D892" i="30"/>
  <c r="D780" i="30"/>
  <c r="D627" i="30"/>
  <c r="D530" i="30"/>
  <c r="D89" i="2"/>
  <c r="B840" i="10"/>
  <c r="F637" i="30"/>
  <c r="A41" i="2"/>
  <c r="F225" i="30"/>
  <c r="D184" i="23"/>
  <c r="D165" i="30"/>
  <c r="D263" i="30"/>
  <c r="D1017" i="30"/>
  <c r="A56" i="23"/>
  <c r="F540" i="30"/>
  <c r="C68" i="15"/>
  <c r="D194" i="23"/>
  <c r="C764" i="10"/>
  <c r="F325" i="30"/>
  <c r="A176" i="2"/>
  <c r="A96" i="2"/>
  <c r="F35" i="30"/>
  <c r="C25" i="15"/>
  <c r="A150" i="23"/>
  <c r="A108" i="2"/>
  <c r="F765" i="30"/>
  <c r="D101" i="23"/>
  <c r="AC23" i="17"/>
  <c r="D86" i="2"/>
  <c r="D209" i="30"/>
  <c r="C805" i="10"/>
  <c r="F470" i="30"/>
  <c r="F96" i="30"/>
  <c r="C783" i="10"/>
  <c r="D106" i="23"/>
  <c r="I56" i="23" l="1"/>
  <c r="J56" i="23"/>
  <c r="H56" i="23"/>
  <c r="E56" i="23"/>
  <c r="G56" i="23"/>
  <c r="F56" i="23"/>
  <c r="C56" i="23"/>
  <c r="E41" i="2"/>
  <c r="I41" i="2" s="1"/>
  <c r="C41" i="2"/>
  <c r="J41" i="2"/>
  <c r="Y840" i="10"/>
  <c r="Y843" i="10"/>
  <c r="Y822" i="10"/>
  <c r="AC2" i="17"/>
  <c r="C107" i="23"/>
  <c r="G107" i="23"/>
  <c r="F107" i="23"/>
  <c r="J107" i="23"/>
  <c r="I107" i="23"/>
  <c r="H107" i="23"/>
  <c r="E107" i="23"/>
  <c r="Y786" i="10"/>
  <c r="C73" i="2"/>
  <c r="J73" i="2"/>
  <c r="E73" i="2"/>
  <c r="I73" i="2" s="1"/>
  <c r="F32" i="23"/>
  <c r="I32" i="23"/>
  <c r="E32" i="23"/>
  <c r="C32" i="23"/>
  <c r="H32" i="23"/>
  <c r="J32" i="23"/>
  <c r="G32" i="23"/>
  <c r="J70" i="2"/>
  <c r="E70" i="2"/>
  <c r="I70" i="2" s="1"/>
  <c r="C70" i="2"/>
  <c r="Y855" i="10"/>
  <c r="J67" i="2"/>
  <c r="C67" i="2"/>
  <c r="E67" i="2"/>
  <c r="I67" i="2" s="1"/>
  <c r="Y802" i="10"/>
  <c r="C28" i="23"/>
  <c r="J28" i="23"/>
  <c r="H28" i="23"/>
  <c r="E28" i="23"/>
  <c r="G28" i="23"/>
  <c r="I28" i="23"/>
  <c r="F28" i="23"/>
  <c r="Y785" i="10"/>
  <c r="F52" i="23"/>
  <c r="G52" i="23"/>
  <c r="E52" i="23"/>
  <c r="C52" i="23"/>
  <c r="J52" i="23"/>
  <c r="H52" i="23"/>
  <c r="I52" i="23"/>
  <c r="Y750" i="10"/>
  <c r="Y831" i="10"/>
  <c r="G94" i="23"/>
  <c r="J94" i="23"/>
  <c r="E94" i="23"/>
  <c r="F94" i="23"/>
  <c r="H94" i="23"/>
  <c r="I94" i="23"/>
  <c r="C94" i="23"/>
  <c r="Y787" i="10"/>
  <c r="Y752" i="10"/>
  <c r="F124" i="23"/>
  <c r="C124" i="23"/>
  <c r="G124" i="23"/>
  <c r="I124" i="23"/>
  <c r="H124" i="23"/>
  <c r="E124" i="23"/>
  <c r="J124" i="23"/>
  <c r="F76" i="23"/>
  <c r="H76" i="23"/>
  <c r="I76" i="23"/>
  <c r="J76" i="23"/>
  <c r="G76" i="23"/>
  <c r="C76" i="23"/>
  <c r="E76" i="23"/>
  <c r="E20" i="2"/>
  <c r="I20" i="2" s="1"/>
  <c r="C20" i="2"/>
  <c r="J20" i="2"/>
  <c r="J129" i="23"/>
  <c r="F129" i="23"/>
  <c r="G129" i="23"/>
  <c r="C129" i="23"/>
  <c r="H129" i="23"/>
  <c r="E129" i="23"/>
  <c r="I129" i="23"/>
  <c r="B4" i="15"/>
  <c r="Y793" i="10"/>
  <c r="Y768" i="10"/>
  <c r="G74" i="23"/>
  <c r="J74" i="23"/>
  <c r="H74" i="23"/>
  <c r="C74" i="23"/>
  <c r="E74" i="23"/>
  <c r="F74" i="23"/>
  <c r="I74" i="23"/>
  <c r="E30" i="2"/>
  <c r="I30" i="2" s="1"/>
  <c r="C30" i="2"/>
  <c r="J30" i="2"/>
  <c r="Y798" i="10"/>
  <c r="Y765" i="10"/>
  <c r="E43" i="2"/>
  <c r="I43" i="2" s="1"/>
  <c r="K43" i="2" s="1"/>
  <c r="C43" i="2"/>
  <c r="J43" i="2"/>
  <c r="Y820" i="10"/>
  <c r="I24" i="23"/>
  <c r="K24" i="23" s="1"/>
  <c r="J24" i="23"/>
  <c r="E24" i="23"/>
  <c r="F24" i="23"/>
  <c r="H24" i="23"/>
  <c r="G24" i="23"/>
  <c r="C24" i="23"/>
  <c r="F57" i="23"/>
  <c r="I57" i="23"/>
  <c r="G57" i="23"/>
  <c r="E57" i="23"/>
  <c r="J57" i="23"/>
  <c r="H57" i="23"/>
  <c r="C57" i="23"/>
  <c r="E46" i="2"/>
  <c r="I46" i="2" s="1"/>
  <c r="C46" i="2"/>
  <c r="J46" i="2"/>
  <c r="C34" i="2"/>
  <c r="J34" i="2"/>
  <c r="E34" i="2"/>
  <c r="I34" i="2" s="1"/>
  <c r="J27" i="2"/>
  <c r="E27" i="2"/>
  <c r="I27" i="2" s="1"/>
  <c r="C27" i="2"/>
  <c r="J55" i="2"/>
  <c r="C55" i="2"/>
  <c r="E55" i="2"/>
  <c r="I55" i="2" s="1"/>
  <c r="J23" i="2"/>
  <c r="E23" i="2"/>
  <c r="I23" i="2" s="1"/>
  <c r="C23" i="2"/>
  <c r="Y772" i="10"/>
  <c r="Y846" i="10"/>
  <c r="Y788" i="10"/>
  <c r="C73" i="23"/>
  <c r="F73" i="23"/>
  <c r="I73" i="23"/>
  <c r="H73" i="23"/>
  <c r="G73" i="23"/>
  <c r="J73" i="23"/>
  <c r="E73" i="23"/>
  <c r="C140" i="23"/>
  <c r="J140" i="23"/>
  <c r="I140" i="23"/>
  <c r="F140" i="23"/>
  <c r="H140" i="23"/>
  <c r="E140" i="23"/>
  <c r="G140" i="23"/>
  <c r="C48" i="2"/>
  <c r="E48" i="2"/>
  <c r="I48" i="2" s="1"/>
  <c r="J48" i="2"/>
  <c r="Y801" i="10"/>
  <c r="C120" i="23"/>
  <c r="J120" i="23"/>
  <c r="H120" i="23"/>
  <c r="G120" i="23"/>
  <c r="F120" i="23"/>
  <c r="I120" i="23"/>
  <c r="E120" i="23"/>
  <c r="Y779" i="10"/>
  <c r="H51" i="23"/>
  <c r="F51" i="23"/>
  <c r="E51" i="23"/>
  <c r="G51" i="23"/>
  <c r="C51" i="23"/>
  <c r="J51" i="23"/>
  <c r="I51" i="23"/>
  <c r="Y764" i="10"/>
  <c r="E63" i="2"/>
  <c r="I63" i="2" s="1"/>
  <c r="J63" i="2"/>
  <c r="C63" i="2"/>
  <c r="L22" i="24"/>
  <c r="K22" i="24"/>
  <c r="I22" i="24"/>
  <c r="Y817" i="10"/>
  <c r="F82" i="23"/>
  <c r="C82" i="23"/>
  <c r="H82" i="23"/>
  <c r="G82" i="23"/>
  <c r="E82" i="23"/>
  <c r="J82" i="23"/>
  <c r="I82" i="23"/>
  <c r="Y838" i="10"/>
  <c r="Y778" i="10"/>
  <c r="C44" i="23"/>
  <c r="G44" i="23"/>
  <c r="I44" i="23"/>
  <c r="J44" i="23"/>
  <c r="E44" i="23"/>
  <c r="F44" i="23"/>
  <c r="H44" i="23"/>
  <c r="G60" i="23"/>
  <c r="E60" i="23"/>
  <c r="C60" i="23"/>
  <c r="I60" i="23"/>
  <c r="J60" i="23"/>
  <c r="H60" i="23"/>
  <c r="F60" i="23"/>
  <c r="I87" i="23"/>
  <c r="H87" i="23"/>
  <c r="J87" i="23"/>
  <c r="F87" i="23"/>
  <c r="C87" i="23"/>
  <c r="G87" i="23"/>
  <c r="E87" i="23"/>
  <c r="E75" i="23"/>
  <c r="C75" i="23"/>
  <c r="J75" i="23"/>
  <c r="I75" i="23"/>
  <c r="H75" i="23"/>
  <c r="F75" i="23"/>
  <c r="G75" i="23"/>
  <c r="C33" i="23"/>
  <c r="G33" i="23"/>
  <c r="I33" i="23"/>
  <c r="E33" i="23"/>
  <c r="F33" i="23"/>
  <c r="H33" i="23"/>
  <c r="J33" i="23"/>
  <c r="Y758" i="10"/>
  <c r="I130" i="23"/>
  <c r="H130" i="23"/>
  <c r="J130" i="23"/>
  <c r="C130" i="23"/>
  <c r="F130" i="23"/>
  <c r="E130" i="23"/>
  <c r="G130" i="23"/>
  <c r="H41" i="23"/>
  <c r="I41" i="23"/>
  <c r="G41" i="23"/>
  <c r="E41" i="23"/>
  <c r="J41" i="23"/>
  <c r="C41" i="23"/>
  <c r="F41" i="23"/>
  <c r="C116" i="23"/>
  <c r="E116" i="23"/>
  <c r="I116" i="23"/>
  <c r="J116" i="23"/>
  <c r="F116" i="23"/>
  <c r="G116" i="23"/>
  <c r="H116" i="23"/>
  <c r="G43" i="23"/>
  <c r="H43" i="23"/>
  <c r="F43" i="23"/>
  <c r="I43" i="23"/>
  <c r="J43" i="23"/>
  <c r="C43" i="23"/>
  <c r="E43" i="23"/>
  <c r="E56" i="2"/>
  <c r="I56" i="2" s="1"/>
  <c r="C56" i="2"/>
  <c r="J56" i="2"/>
  <c r="E28" i="2"/>
  <c r="I28" i="2" s="1"/>
  <c r="J28" i="2"/>
  <c r="C28" i="2"/>
  <c r="C138" i="23"/>
  <c r="G138" i="23"/>
  <c r="E138" i="23"/>
  <c r="F138" i="23"/>
  <c r="J138" i="23"/>
  <c r="H138" i="23"/>
  <c r="I138" i="23"/>
  <c r="I29" i="23"/>
  <c r="C29" i="23"/>
  <c r="G29" i="23"/>
  <c r="J29" i="23"/>
  <c r="H29" i="23"/>
  <c r="F29" i="23"/>
  <c r="E29" i="23"/>
  <c r="F68" i="23"/>
  <c r="C68" i="23"/>
  <c r="H68" i="23"/>
  <c r="E68" i="23"/>
  <c r="I68" i="23"/>
  <c r="G68" i="23"/>
  <c r="J68" i="23"/>
  <c r="G19" i="23"/>
  <c r="E19" i="23"/>
  <c r="C19" i="23"/>
  <c r="F19" i="23"/>
  <c r="J19" i="23"/>
  <c r="I19" i="23"/>
  <c r="K19" i="23" s="1"/>
  <c r="H19" i="23"/>
  <c r="E51" i="2"/>
  <c r="I51" i="2" s="1"/>
  <c r="K51" i="2" s="1"/>
  <c r="J51" i="2"/>
  <c r="C51" i="2"/>
  <c r="J24" i="2"/>
  <c r="C24" i="2"/>
  <c r="E24" i="2"/>
  <c r="I24" i="2" s="1"/>
  <c r="Y771" i="10"/>
  <c r="B9" i="15"/>
  <c r="Y852" i="10"/>
  <c r="J45" i="2"/>
  <c r="C45" i="2"/>
  <c r="E45" i="2"/>
  <c r="I45" i="2" s="1"/>
  <c r="E71" i="2"/>
  <c r="I71" i="2" s="1"/>
  <c r="J71" i="2"/>
  <c r="C71" i="2"/>
  <c r="Y825" i="10"/>
  <c r="H71" i="23"/>
  <c r="F71" i="23"/>
  <c r="E71" i="23"/>
  <c r="I71" i="23"/>
  <c r="C71" i="23"/>
  <c r="J71" i="23"/>
  <c r="G71" i="23"/>
  <c r="J47" i="2"/>
  <c r="E47" i="2"/>
  <c r="I47" i="2" s="1"/>
  <c r="C47" i="2"/>
  <c r="Y755" i="10"/>
  <c r="Y775" i="10"/>
  <c r="I14" i="23"/>
  <c r="F14" i="23"/>
  <c r="G14" i="23"/>
  <c r="C14" i="23"/>
  <c r="H14" i="23"/>
  <c r="J14" i="23"/>
  <c r="E14" i="23"/>
  <c r="Y800" i="10"/>
  <c r="C13" i="2"/>
  <c r="J13" i="2"/>
  <c r="E13" i="2"/>
  <c r="I13" i="2" s="1"/>
  <c r="J79" i="23"/>
  <c r="G79" i="23"/>
  <c r="F79" i="23"/>
  <c r="C79" i="23"/>
  <c r="H79" i="23"/>
  <c r="I79" i="23"/>
  <c r="E79" i="23"/>
  <c r="Y818" i="10"/>
  <c r="I134" i="23"/>
  <c r="J134" i="23"/>
  <c r="C134" i="23"/>
  <c r="E134" i="23"/>
  <c r="G134" i="23"/>
  <c r="F134" i="23"/>
  <c r="H134" i="23"/>
  <c r="C136" i="23"/>
  <c r="J136" i="23"/>
  <c r="H136" i="23"/>
  <c r="G136" i="23"/>
  <c r="F136" i="23"/>
  <c r="E136" i="23"/>
  <c r="I136" i="23"/>
  <c r="C60" i="2"/>
  <c r="E60" i="2"/>
  <c r="I60" i="2" s="1"/>
  <c r="J60" i="2"/>
  <c r="G62" i="23"/>
  <c r="J62" i="23"/>
  <c r="H62" i="23"/>
  <c r="E62" i="23"/>
  <c r="C62" i="23"/>
  <c r="I62" i="23"/>
  <c r="K62" i="23" s="1"/>
  <c r="F62" i="23"/>
  <c r="J35" i="23"/>
  <c r="I35" i="23"/>
  <c r="C35" i="23"/>
  <c r="G35" i="23"/>
  <c r="F35" i="23"/>
  <c r="H35" i="23"/>
  <c r="E35" i="23"/>
  <c r="Y773" i="10"/>
  <c r="Y759" i="10"/>
  <c r="E103" i="23"/>
  <c r="I103" i="23"/>
  <c r="J103" i="23"/>
  <c r="C103" i="23"/>
  <c r="G103" i="23"/>
  <c r="F103" i="23"/>
  <c r="H103" i="23"/>
  <c r="J64" i="2"/>
  <c r="C64" i="2"/>
  <c r="E64" i="2"/>
  <c r="I64" i="2" s="1"/>
  <c r="E72" i="2"/>
  <c r="I72" i="2" s="1"/>
  <c r="J72" i="2"/>
  <c r="C72" i="2"/>
  <c r="Y795" i="10"/>
  <c r="C105" i="23"/>
  <c r="F105" i="23"/>
  <c r="H105" i="23"/>
  <c r="I105" i="23"/>
  <c r="J105" i="23"/>
  <c r="G105" i="23"/>
  <c r="E105" i="23"/>
  <c r="J53" i="23"/>
  <c r="H53" i="23"/>
  <c r="E53" i="23"/>
  <c r="C53" i="23"/>
  <c r="G53" i="23"/>
  <c r="F53" i="23"/>
  <c r="I53" i="23"/>
  <c r="A25" i="34"/>
  <c r="A965" i="34"/>
  <c r="A112" i="34"/>
  <c r="A766" i="34"/>
  <c r="A873" i="34"/>
  <c r="A402" i="34"/>
  <c r="A513" i="34"/>
  <c r="A177" i="34"/>
  <c r="A36" i="34"/>
  <c r="A221" i="34"/>
  <c r="A961" i="34"/>
  <c r="A886" i="34"/>
  <c r="A409" i="34"/>
  <c r="A740" i="34"/>
  <c r="A674" i="34"/>
  <c r="A452" i="34"/>
  <c r="A855" i="34"/>
  <c r="A69" i="34"/>
  <c r="A206" i="34"/>
  <c r="A535" i="34"/>
  <c r="A785" i="34"/>
  <c r="A460" i="34"/>
  <c r="A804" i="34"/>
  <c r="A738" i="34"/>
  <c r="A106" i="34"/>
  <c r="A948" i="34"/>
  <c r="A851" i="34"/>
  <c r="A223" i="34"/>
  <c r="A825" i="34"/>
  <c r="A751" i="34"/>
  <c r="A474" i="34"/>
  <c r="A936" i="34"/>
  <c r="A628" i="34"/>
  <c r="A372" i="34"/>
  <c r="A587" i="34"/>
  <c r="A6" i="34"/>
  <c r="A298" i="34"/>
  <c r="A442" i="34"/>
  <c r="A985" i="34"/>
  <c r="A10" i="34"/>
  <c r="A846" i="34"/>
  <c r="A983" i="34"/>
  <c r="A130" i="34"/>
  <c r="A839" i="34"/>
  <c r="A663" i="34"/>
  <c r="A737" i="34"/>
  <c r="A99" i="34"/>
  <c r="A326" i="34"/>
  <c r="A610" i="34"/>
  <c r="A175" i="34"/>
  <c r="A556" i="34"/>
  <c r="A248" i="34"/>
  <c r="A404" i="34"/>
  <c r="A108" i="34"/>
  <c r="A721" i="34"/>
  <c r="A940" i="34"/>
  <c r="A853" i="34"/>
  <c r="A52" i="34"/>
  <c r="A309" i="34"/>
  <c r="A742" i="34"/>
  <c r="A451" i="34"/>
  <c r="A307" i="34"/>
  <c r="A732" i="34"/>
  <c r="A72" i="34"/>
  <c r="A718" i="34"/>
  <c r="A380" i="34"/>
  <c r="A340" i="34"/>
  <c r="A856" i="34"/>
  <c r="A890" i="34"/>
  <c r="A529" i="34"/>
  <c r="A752" i="34"/>
  <c r="A243" i="34"/>
  <c r="A114" i="34"/>
  <c r="A240" i="34"/>
  <c r="A334" i="34"/>
  <c r="A648" i="34"/>
  <c r="A253" i="34"/>
  <c r="A997" i="34"/>
  <c r="A511" i="34"/>
  <c r="A157" i="34"/>
  <c r="A42" i="34"/>
  <c r="A35" i="34"/>
  <c r="A577" i="34"/>
  <c r="A980" i="34"/>
  <c r="A657" i="34"/>
  <c r="A301" i="34"/>
  <c r="A524" i="34"/>
  <c r="A711" i="34"/>
  <c r="A625" i="34"/>
  <c r="A526" i="34"/>
  <c r="A356" i="34"/>
  <c r="A576" i="34"/>
  <c r="A656" i="34"/>
  <c r="A419" i="34"/>
  <c r="A188" i="34"/>
  <c r="A388" i="34"/>
  <c r="A49" i="34"/>
  <c r="A303" i="34"/>
  <c r="A456" i="34"/>
  <c r="A60" i="34"/>
  <c r="A438" i="34"/>
  <c r="A285" i="34"/>
  <c r="A545" i="34"/>
  <c r="A300" i="34"/>
  <c r="A367" i="34"/>
  <c r="A160" i="34"/>
  <c r="A457" i="34"/>
  <c r="A967" i="34"/>
  <c r="A904" i="34"/>
  <c r="A612" i="34"/>
  <c r="A829" i="34"/>
  <c r="A772" i="34"/>
  <c r="A990" i="34"/>
  <c r="A208" i="34"/>
  <c r="A731" i="34"/>
  <c r="A579" i="34"/>
  <c r="A18" i="34"/>
  <c r="A65" i="34"/>
  <c r="A140" i="34"/>
  <c r="A352" i="34"/>
  <c r="A153" i="34"/>
  <c r="A310" i="34"/>
  <c r="A418" i="34"/>
  <c r="A196" i="34"/>
  <c r="A797" i="34"/>
  <c r="A328" i="34"/>
  <c r="A139" i="34"/>
  <c r="A128" i="34"/>
  <c r="A463" i="34"/>
  <c r="A45" i="34"/>
  <c r="A508" i="34"/>
  <c r="A791" i="34"/>
  <c r="A118" i="34"/>
  <c r="A481" i="34"/>
  <c r="A921" i="34"/>
  <c r="A120" i="34"/>
  <c r="A957" i="34"/>
  <c r="A999" i="34"/>
  <c r="A234" i="34"/>
  <c r="A838" i="34"/>
  <c r="A762" i="34"/>
  <c r="A834" i="34"/>
  <c r="A281" i="34"/>
  <c r="A995" i="34"/>
  <c r="A586" i="34"/>
  <c r="A422" i="34"/>
  <c r="A19" i="34"/>
  <c r="A150" i="34"/>
  <c r="A306" i="34"/>
  <c r="A259" i="34"/>
  <c r="A730" i="34"/>
  <c r="A275" i="34"/>
  <c r="A746" i="34"/>
  <c r="A382" i="34"/>
  <c r="A95" i="34"/>
  <c r="A213" i="34"/>
  <c r="A871" i="34"/>
  <c r="A735" i="34"/>
  <c r="A1000" i="34"/>
  <c r="A722" i="34"/>
  <c r="A799" i="34"/>
  <c r="A432" i="34"/>
  <c r="A91" i="34"/>
  <c r="A517" i="34"/>
  <c r="A27" i="34"/>
  <c r="A588" i="34"/>
  <c r="A412" i="34"/>
  <c r="A400" i="34"/>
  <c r="A12" i="34"/>
  <c r="A510" i="34"/>
  <c r="A549" i="34"/>
  <c r="A907" i="34"/>
  <c r="A123" i="34"/>
  <c r="A152" i="34"/>
  <c r="A585" i="34"/>
  <c r="A378" i="34"/>
  <c r="A305" i="34"/>
  <c r="A803" i="34"/>
  <c r="A166" i="34"/>
  <c r="A33" i="34"/>
  <c r="A736" i="34"/>
  <c r="A75" i="34"/>
  <c r="A599" i="34"/>
  <c r="A371" i="34"/>
  <c r="A47" i="34"/>
  <c r="A287" i="34"/>
  <c r="A417" i="34"/>
  <c r="A852" i="34"/>
  <c r="A324" i="34"/>
  <c r="A581" i="34"/>
  <c r="A178" i="34"/>
  <c r="A753" i="34"/>
  <c r="A339" i="34"/>
  <c r="A713" i="34"/>
  <c r="A917" i="34"/>
  <c r="A538" i="34"/>
  <c r="A590" i="34"/>
  <c r="A424" i="34"/>
  <c r="A867" i="34"/>
  <c r="A715" i="34"/>
  <c r="A759" i="34"/>
  <c r="A685" i="34"/>
  <c r="A882" i="34"/>
  <c r="A952" i="34"/>
  <c r="A669" i="34"/>
  <c r="A489" i="34"/>
  <c r="A941" i="34"/>
  <c r="A571" i="34"/>
  <c r="A505" i="34"/>
  <c r="A934" i="34"/>
  <c r="A151" i="34"/>
  <c r="A354" i="34"/>
  <c r="A527" i="34"/>
  <c r="A548" i="34"/>
  <c r="A58" i="34"/>
  <c r="A539" i="34"/>
  <c r="A8" i="34"/>
  <c r="A680" i="34"/>
  <c r="A197" i="34"/>
  <c r="A554" i="34"/>
  <c r="A239" i="34"/>
  <c r="A929" i="34"/>
  <c r="A55" i="34"/>
  <c r="A377" i="34"/>
  <c r="A826" i="34"/>
  <c r="A979" i="34"/>
  <c r="A991" i="34"/>
  <c r="A647" i="34"/>
  <c r="A102" i="34"/>
  <c r="A308" i="34"/>
  <c r="A565" i="34"/>
  <c r="A434" i="34"/>
  <c r="A466" i="34"/>
  <c r="A329" i="34"/>
  <c r="A750" i="34"/>
  <c r="A264" i="34"/>
  <c r="A547" i="34"/>
  <c r="A13" i="34"/>
  <c r="A271" i="34"/>
  <c r="A480" i="34"/>
  <c r="A642" i="34"/>
  <c r="A543" i="34"/>
  <c r="A129" i="34"/>
  <c r="A311" i="34"/>
  <c r="A973" i="34"/>
  <c r="A580" i="34"/>
  <c r="A62" i="34"/>
  <c r="A236" i="34"/>
  <c r="A509" i="34"/>
  <c r="A958" i="34"/>
  <c r="A401" i="34"/>
  <c r="A101" i="34"/>
  <c r="A332" i="34"/>
  <c r="A173" i="34"/>
  <c r="A26" i="34"/>
  <c r="A959" i="34"/>
  <c r="A837" i="34"/>
  <c r="A528" i="34"/>
  <c r="A913" i="34"/>
  <c r="A651" i="34"/>
  <c r="A229" i="34"/>
  <c r="A142" i="34"/>
  <c r="A84" i="34"/>
  <c r="A415" i="34"/>
  <c r="A660" i="34"/>
  <c r="A485" i="34"/>
  <c r="A522" i="34"/>
  <c r="A994" i="34"/>
  <c r="A477" i="34"/>
  <c r="A562" i="34"/>
  <c r="A770" i="34"/>
  <c r="A777" i="34"/>
  <c r="A437" i="34"/>
  <c r="A289" i="34"/>
  <c r="A589" i="34"/>
  <c r="A20" i="34"/>
  <c r="A168" i="34"/>
  <c r="A119" i="34"/>
  <c r="A215" i="34"/>
  <c r="A224" i="34"/>
  <c r="A644" i="34"/>
  <c r="A996" i="34"/>
  <c r="A910" i="34"/>
  <c r="A416" i="34"/>
  <c r="A533" i="34"/>
  <c r="A617" i="34"/>
  <c r="A256" i="34"/>
  <c r="A255" i="34"/>
  <c r="A592" i="34"/>
  <c r="A819" i="34"/>
  <c r="A155" i="34"/>
  <c r="A265" i="34"/>
  <c r="A671" i="34"/>
  <c r="A85" i="34"/>
  <c r="A478" i="34"/>
  <c r="A534" i="34"/>
  <c r="A207" i="34"/>
  <c r="A699" i="34"/>
  <c r="A820" i="34"/>
  <c r="A923" i="34"/>
  <c r="A840" i="34"/>
  <c r="A395" i="34"/>
  <c r="A920" i="34"/>
  <c r="A392" i="34"/>
  <c r="A649" i="34"/>
  <c r="A773" i="34"/>
  <c r="A40" i="34"/>
  <c r="A290" i="34"/>
  <c r="A582" i="34"/>
  <c r="A968" i="34"/>
  <c r="A824" i="34"/>
  <c r="A908" i="34"/>
  <c r="A293" i="34"/>
  <c r="A187" i="34"/>
  <c r="A366" i="34"/>
  <c r="A868" i="34"/>
  <c r="A87" i="34"/>
  <c r="A21" i="34"/>
  <c r="A570" i="34"/>
  <c r="A195" i="34"/>
  <c r="A176" i="34"/>
  <c r="A992" i="34"/>
  <c r="A268" i="34"/>
  <c r="A717" i="34"/>
  <c r="A124" i="34"/>
  <c r="A170" i="34"/>
  <c r="A865" i="34"/>
  <c r="A15" i="34"/>
  <c r="A337" i="34"/>
  <c r="A391" i="34"/>
  <c r="A269" i="34"/>
  <c r="A262" i="34"/>
  <c r="A879" i="34"/>
  <c r="A652" i="34"/>
  <c r="A347" i="34"/>
  <c r="A331" i="34"/>
  <c r="A906" i="34"/>
  <c r="A789" i="34"/>
  <c r="A227" i="34"/>
  <c r="A630" i="34"/>
  <c r="A847" i="34"/>
  <c r="A276" i="34"/>
  <c r="A850" i="34"/>
  <c r="A414" i="34"/>
  <c r="A687" i="34"/>
  <c r="A61" i="34"/>
  <c r="A696" i="34"/>
  <c r="A757" i="34"/>
  <c r="A59" i="34"/>
  <c r="A966" i="34"/>
  <c r="A217" i="34"/>
  <c r="A960" i="34"/>
  <c r="A327" i="34"/>
  <c r="A862" i="34"/>
  <c r="A943" i="34"/>
  <c r="A905" i="34"/>
  <c r="A373" i="34"/>
  <c r="A515" i="34"/>
  <c r="A251" i="34"/>
  <c r="A379" i="34"/>
  <c r="A420" i="34"/>
  <c r="A893" i="34"/>
  <c r="A190" i="34"/>
  <c r="A225" i="34"/>
  <c r="A619" i="34"/>
  <c r="A475" i="34"/>
  <c r="A564" i="34"/>
  <c r="A945" i="34"/>
  <c r="A220" i="34"/>
  <c r="A270" i="34"/>
  <c r="A653" i="34"/>
  <c r="A29" i="34"/>
  <c r="A86" i="34"/>
  <c r="A292" i="34"/>
  <c r="A942" i="34"/>
  <c r="A48" i="34"/>
  <c r="A235" i="34"/>
  <c r="A790" i="34"/>
  <c r="A863" i="34"/>
  <c r="A497" i="34"/>
  <c r="A664" i="34"/>
  <c r="A136" i="34"/>
  <c r="A393" i="34"/>
  <c r="A468" i="34"/>
  <c r="A179" i="34"/>
  <c r="A163" i="34"/>
  <c r="A600" i="34"/>
  <c r="A53" i="34"/>
  <c r="A702" i="34"/>
  <c r="A194" i="34"/>
  <c r="A889" i="34"/>
  <c r="A675" i="34"/>
  <c r="A811" i="34"/>
  <c r="A181" i="34"/>
  <c r="A320" i="34"/>
  <c r="A38" i="34"/>
  <c r="A795" i="34"/>
  <c r="A813" i="34"/>
  <c r="A885" i="34"/>
  <c r="A439" i="34"/>
  <c r="A621" i="34"/>
  <c r="A343" i="34"/>
  <c r="A878" i="34"/>
  <c r="A148" i="34"/>
  <c r="A925" i="34"/>
  <c r="A933" i="34"/>
  <c r="A117" i="34"/>
  <c r="A575" i="34"/>
  <c r="A358" i="34"/>
  <c r="A954" i="34"/>
  <c r="A487" i="34"/>
  <c r="A483" i="34"/>
  <c r="A364" i="34"/>
  <c r="A77" i="34"/>
  <c r="A747" i="34"/>
  <c r="A186" i="34"/>
  <c r="A376" i="34"/>
  <c r="A633" i="34"/>
  <c r="A774" i="34"/>
  <c r="A775" i="34"/>
  <c r="A563" i="34"/>
  <c r="A911" i="34"/>
  <c r="A817" i="34"/>
  <c r="A974" i="34"/>
  <c r="A594" i="34"/>
  <c r="A286" i="34"/>
  <c r="A237" i="34"/>
  <c r="A726" i="34"/>
  <c r="A880" i="34"/>
  <c r="A67" i="34"/>
  <c r="A597" i="34"/>
  <c r="A260" i="34"/>
  <c r="A962" i="34"/>
  <c r="A806" i="34"/>
  <c r="A720" i="34"/>
  <c r="A978" i="34"/>
  <c r="A162" i="34"/>
  <c r="A831" i="34"/>
  <c r="A655" i="34"/>
  <c r="A355" i="34"/>
  <c r="A812" i="34"/>
  <c r="A111" i="34"/>
  <c r="A107" i="34"/>
  <c r="A122" i="34"/>
  <c r="A754" i="34"/>
  <c r="A845" i="34"/>
  <c r="A712" i="34"/>
  <c r="A927" i="34"/>
  <c r="A426" i="34"/>
  <c r="A200" i="34"/>
  <c r="A815" i="34"/>
  <c r="A572" i="34"/>
  <c r="A512" i="34"/>
  <c r="A209" i="34"/>
  <c r="A830" i="34"/>
  <c r="A691" i="34"/>
  <c r="A944" i="34"/>
  <c r="A167" i="34"/>
  <c r="A800" i="34"/>
  <c r="A733" i="34"/>
  <c r="A169" i="34"/>
  <c r="A703" i="34"/>
  <c r="A76" i="34"/>
  <c r="A693" i="34"/>
  <c r="A981" i="34"/>
  <c r="A794" i="34"/>
  <c r="A568" i="34"/>
  <c r="A172" i="34"/>
  <c r="A89" i="34"/>
  <c r="A749" i="34"/>
  <c r="A700" i="34"/>
  <c r="A946" i="34"/>
  <c r="A228" i="34"/>
  <c r="A887" i="34"/>
  <c r="A835" i="34"/>
  <c r="A461" i="34"/>
  <c r="A161" i="34"/>
  <c r="A783" i="34"/>
  <c r="A970" i="34"/>
  <c r="A618" i="34"/>
  <c r="A808" i="34"/>
  <c r="A758" i="34"/>
  <c r="A888" i="34"/>
  <c r="A70" i="34"/>
  <c r="A37" i="34"/>
  <c r="A559" i="34"/>
  <c r="A353" i="34"/>
  <c r="A898" i="34"/>
  <c r="A781" i="34"/>
  <c r="A841" i="34"/>
  <c r="A156" i="34"/>
  <c r="A374" i="34"/>
  <c r="A16" i="34"/>
  <c r="A739" i="34"/>
  <c r="A144" i="34"/>
  <c r="A249" i="34"/>
  <c r="A593" i="34"/>
  <c r="A263" i="34"/>
  <c r="A964" i="34"/>
  <c r="A643" i="34"/>
  <c r="A768" i="34"/>
  <c r="A210" i="34"/>
  <c r="A805" i="34"/>
  <c r="A397" i="34"/>
  <c r="A257" i="34"/>
  <c r="A408" i="34"/>
  <c r="A972" i="34"/>
  <c r="A491" i="34"/>
  <c r="A624" i="34"/>
  <c r="A802" i="34"/>
  <c r="A450" i="34"/>
  <c r="A321" i="34"/>
  <c r="A495" i="34"/>
  <c r="A479" i="34"/>
  <c r="A787" i="34"/>
  <c r="A678" i="34"/>
  <c r="A295" i="34"/>
  <c r="A714" i="34"/>
  <c r="A673" i="34"/>
  <c r="A344" i="34"/>
  <c r="A499" i="34"/>
  <c r="A690" i="34"/>
  <c r="A369" i="34"/>
  <c r="A821" i="34"/>
  <c r="A359" i="34"/>
  <c r="A299" i="34"/>
  <c r="A676" i="34"/>
  <c r="A557" i="34"/>
  <c r="A71" i="34"/>
  <c r="A573" i="34"/>
  <c r="A425" i="34"/>
  <c r="A24" i="34"/>
  <c r="A861" i="34"/>
  <c r="A728" i="34"/>
  <c r="A288" i="34"/>
  <c r="A32" i="34"/>
  <c r="A198" i="34"/>
  <c r="A537" i="34"/>
  <c r="A421" i="34"/>
  <c r="A261" i="34"/>
  <c r="A444" i="34"/>
  <c r="A514" i="34"/>
  <c r="A614" i="34"/>
  <c r="A670" i="34"/>
  <c r="A272" i="34"/>
  <c r="A796" i="34"/>
  <c r="A184" i="34"/>
  <c r="A684" i="34"/>
  <c r="A278" i="34"/>
  <c r="A682" i="34"/>
  <c r="A250" i="34"/>
  <c r="A729" i="34"/>
  <c r="A912" i="34"/>
  <c r="A632" i="34"/>
  <c r="A833" i="34"/>
  <c r="A704" i="34"/>
  <c r="A550" i="34"/>
  <c r="A658" i="34"/>
  <c r="A544" i="34"/>
  <c r="A302" i="34"/>
  <c r="A476" i="34"/>
  <c r="A394" i="34"/>
  <c r="A304" i="34"/>
  <c r="A383" i="34"/>
  <c r="A277" i="34"/>
  <c r="A788" i="34"/>
  <c r="A323" i="34"/>
  <c r="A780" i="34"/>
  <c r="A252" i="34"/>
  <c r="A525" i="34"/>
  <c r="A462" i="34"/>
  <c r="A891" i="34"/>
  <c r="A231" i="34"/>
  <c r="A716" i="34"/>
  <c r="A121" i="34"/>
  <c r="A370" i="34"/>
  <c r="A363" i="34"/>
  <c r="A283" i="34"/>
  <c r="A193" i="34"/>
  <c r="A44" i="34"/>
  <c r="A316" i="34"/>
  <c r="A189" i="34"/>
  <c r="A916" i="34"/>
  <c r="A607" i="34"/>
  <c r="A201" i="34"/>
  <c r="A159" i="34"/>
  <c r="A427" i="34"/>
  <c r="A502" i="34"/>
  <c r="A273" i="34"/>
  <c r="A892" i="34"/>
  <c r="A553" i="34"/>
  <c r="A654" i="34"/>
  <c r="A760" i="34"/>
  <c r="A488" i="34"/>
  <c r="A931" i="34"/>
  <c r="A688" i="34"/>
  <c r="A662" i="34"/>
  <c r="A80" i="34"/>
  <c r="A17" i="34"/>
  <c r="A857" i="34"/>
  <c r="A336" i="34"/>
  <c r="A555" i="34"/>
  <c r="A932" i="34"/>
  <c r="A620" i="34"/>
  <c r="A241" i="34"/>
  <c r="A244" i="34"/>
  <c r="A362" i="34"/>
  <c r="A254" i="34"/>
  <c r="A93" i="34"/>
  <c r="A318" i="34"/>
  <c r="A492" i="34"/>
  <c r="A765" i="34"/>
  <c r="A858" i="34"/>
  <c r="A875" i="34"/>
  <c r="A631" i="34"/>
  <c r="A695" i="34"/>
  <c r="A807" i="34"/>
  <c r="A23" i="34"/>
  <c r="A963" i="34"/>
  <c r="A567" i="34"/>
  <c r="A132" i="34"/>
  <c r="A226" i="34"/>
  <c r="A977" i="34"/>
  <c r="A135" i="34"/>
  <c r="A665" i="34"/>
  <c r="A31" i="34"/>
  <c r="A39" i="34"/>
  <c r="A97" i="34"/>
  <c r="A769" i="34"/>
  <c r="A325" i="34"/>
  <c r="A246" i="34"/>
  <c r="A723" i="34"/>
  <c r="A34" i="34"/>
  <c r="A748" i="34"/>
  <c r="A459" i="34"/>
  <c r="A447" i="34"/>
  <c r="A744" i="34"/>
  <c r="A81" i="34"/>
  <c r="A145" i="34"/>
  <c r="A953" i="34"/>
  <c r="A41" i="34"/>
  <c r="A949" i="34"/>
  <c r="A445" i="34"/>
  <c r="A909" i="34"/>
  <c r="A615" i="34"/>
  <c r="A622" i="34"/>
  <c r="A441" i="34"/>
  <c r="A613" i="34"/>
  <c r="A897" i="34"/>
  <c r="A22" i="34"/>
  <c r="A296" i="34"/>
  <c r="A987" i="34"/>
  <c r="A903" i="34"/>
  <c r="A900" i="34"/>
  <c r="A634" i="34"/>
  <c r="A743" i="34"/>
  <c r="A609" i="34"/>
  <c r="A4" i="34"/>
  <c r="A924" i="34"/>
  <c r="A842" i="34"/>
  <c r="A636" i="34"/>
  <c r="A154" i="34"/>
  <c r="A105" i="34"/>
  <c r="A411" i="34"/>
  <c r="A384" i="34"/>
  <c r="A982" i="34"/>
  <c r="A531" i="34"/>
  <c r="A988" i="34"/>
  <c r="A608" i="34"/>
  <c r="A458" i="34"/>
  <c r="A591" i="34"/>
  <c r="A584" i="34"/>
  <c r="A113" i="34"/>
  <c r="A5" i="34"/>
  <c r="A823" i="34"/>
  <c r="A984" i="34"/>
  <c r="A319" i="34"/>
  <c r="A828" i="34"/>
  <c r="A82" i="34"/>
  <c r="A603" i="34"/>
  <c r="A56" i="34"/>
  <c r="A930" i="34"/>
  <c r="A131" i="34"/>
  <c r="A443" i="34"/>
  <c r="A349" i="34"/>
  <c r="A216" i="34"/>
  <c r="A583" i="34"/>
  <c r="A399" i="34"/>
  <c r="A54" i="34"/>
  <c r="A267" i="34"/>
  <c r="A894" i="34"/>
  <c r="A869" i="34"/>
  <c r="A503" i="34"/>
  <c r="A661" i="34"/>
  <c r="A496" i="34"/>
  <c r="A761" i="34"/>
  <c r="A88" i="34"/>
  <c r="A284" i="34"/>
  <c r="A679" i="34"/>
  <c r="A312" i="34"/>
  <c r="A348" i="34"/>
  <c r="A899" i="34"/>
  <c r="A365" i="34"/>
  <c r="A51" i="34"/>
  <c r="A14" i="34"/>
  <c r="A541" i="34"/>
  <c r="A536" i="34"/>
  <c r="A848" i="34"/>
  <c r="A864" i="34"/>
  <c r="A279" i="34"/>
  <c r="A937" i="34"/>
  <c r="A698" i="34"/>
  <c r="A595" i="34"/>
  <c r="A542" i="34"/>
  <c r="A345" i="34"/>
  <c r="A884" i="34"/>
  <c r="A950" i="34"/>
  <c r="A185" i="34"/>
  <c r="A473" i="34"/>
  <c r="A998" i="34"/>
  <c r="A165" i="34"/>
  <c r="A435" i="34"/>
  <c r="A232" i="34"/>
  <c r="A357" i="34"/>
  <c r="A205" i="34"/>
  <c r="A519" i="34"/>
  <c r="A672" i="34"/>
  <c r="A596" i="34"/>
  <c r="A926" i="34"/>
  <c r="A83" i="34"/>
  <c r="A218" i="34"/>
  <c r="A939" i="34"/>
  <c r="A469" i="34"/>
  <c r="A506" i="34"/>
  <c r="A282" i="34"/>
  <c r="A566" i="34"/>
  <c r="A317" i="34"/>
  <c r="A605" i="34"/>
  <c r="A551" i="34"/>
  <c r="A816" i="34"/>
  <c r="A407" i="34"/>
  <c r="A896" i="34"/>
  <c r="A202" i="34"/>
  <c r="A756" i="34"/>
  <c r="A134" i="34"/>
  <c r="A486" i="34"/>
  <c r="A734" i="34"/>
  <c r="A247" i="34"/>
  <c r="A133" i="34"/>
  <c r="A844" i="34"/>
  <c r="A667" i="34"/>
  <c r="A3" i="34"/>
  <c r="A915" i="34"/>
  <c r="A405" i="34"/>
  <c r="A410" i="34"/>
  <c r="A611" i="34"/>
  <c r="A440" i="34"/>
  <c r="A406" i="34"/>
  <c r="A335" i="34"/>
  <c r="A63" i="34"/>
  <c r="A182" i="34"/>
  <c r="A951" i="34"/>
  <c r="A727" i="34"/>
  <c r="A677" i="34"/>
  <c r="A866" i="34"/>
  <c r="A375" i="34"/>
  <c r="A158" i="34"/>
  <c r="A68" i="34"/>
  <c r="A350" i="34"/>
  <c r="A623" i="34"/>
  <c r="A705" i="34"/>
  <c r="A627" i="34"/>
  <c r="A471" i="34"/>
  <c r="A779" i="34"/>
  <c r="A482" i="34"/>
  <c r="A516" i="34"/>
  <c r="A827" i="34"/>
  <c r="A147" i="34"/>
  <c r="A602" i="34"/>
  <c r="A569" i="34"/>
  <c r="A470" i="34"/>
  <c r="A755" i="34"/>
  <c r="A98" i="34"/>
  <c r="A431" i="34"/>
  <c r="A521" i="34"/>
  <c r="A192" i="34"/>
  <c r="A874" i="34"/>
  <c r="A872" i="34"/>
  <c r="A64" i="34"/>
  <c r="A90" i="34"/>
  <c r="A849" i="34"/>
  <c r="A601" i="34"/>
  <c r="A464" i="34"/>
  <c r="A616" i="34"/>
  <c r="A66" i="34"/>
  <c r="A314" i="34"/>
  <c r="A398" i="34"/>
  <c r="A895" i="34"/>
  <c r="A578" i="34"/>
  <c r="A993" i="34"/>
  <c r="A818" i="34"/>
  <c r="A342" i="34"/>
  <c r="A883" i="34"/>
  <c r="A386" i="34"/>
  <c r="A546" i="34"/>
  <c r="A465" i="34"/>
  <c r="A810" i="34"/>
  <c r="A467" i="34"/>
  <c r="A498" i="34"/>
  <c r="A297" i="34"/>
  <c r="A78" i="34"/>
  <c r="A7" i="34"/>
  <c r="A214" i="34"/>
  <c r="A110" i="34"/>
  <c r="A449" i="34"/>
  <c r="A881" i="34"/>
  <c r="A430" i="34"/>
  <c r="A901" i="34"/>
  <c r="A146" i="34"/>
  <c r="A666" i="34"/>
  <c r="A96" i="34"/>
  <c r="A778" i="34"/>
  <c r="A28" i="34"/>
  <c r="A390" i="34"/>
  <c r="A843" i="34"/>
  <c r="A520" i="34"/>
  <c r="A822" i="34"/>
  <c r="A540" i="34"/>
  <c r="A493" i="34"/>
  <c r="A604" i="34"/>
  <c r="A763" i="34"/>
  <c r="A719" i="34"/>
  <c r="A116" i="34"/>
  <c r="A74" i="34"/>
  <c r="A689" i="34"/>
  <c r="A626" i="34"/>
  <c r="A387" i="34"/>
  <c r="A351" i="34"/>
  <c r="A245" i="34"/>
  <c r="A709" i="34"/>
  <c r="A266" i="34"/>
  <c r="A724" i="34"/>
  <c r="A429" i="34"/>
  <c r="A368" i="34"/>
  <c r="A341" i="34"/>
  <c r="A322" i="34"/>
  <c r="A30" i="34"/>
  <c r="A650" i="34"/>
  <c r="A46" i="34"/>
  <c r="A212" i="34"/>
  <c r="A125" i="34"/>
  <c r="A986" i="34"/>
  <c r="A446" i="34"/>
  <c r="A79" i="34"/>
  <c r="A230" i="34"/>
  <c r="A552" i="34"/>
  <c r="A558" i="34"/>
  <c r="A433" i="34"/>
  <c r="A574" i="34"/>
  <c r="A902" i="34"/>
  <c r="A258" i="34"/>
  <c r="A183" i="34"/>
  <c r="A860" i="34"/>
  <c r="A640" i="34"/>
  <c r="A955" i="34"/>
  <c r="A238" i="34"/>
  <c r="A333" i="34"/>
  <c r="A484" i="34"/>
  <c r="A92" i="34"/>
  <c r="A646" i="34"/>
  <c r="A338" i="34"/>
  <c r="A346" i="34"/>
  <c r="A219" i="34"/>
  <c r="A504" i="34"/>
  <c r="A876" i="34"/>
  <c r="A127" i="34"/>
  <c r="A143" i="34"/>
  <c r="A423" i="34"/>
  <c r="A561" i="34"/>
  <c r="A242" i="34"/>
  <c r="A560" i="34"/>
  <c r="A428" i="34"/>
  <c r="A639" i="34"/>
  <c r="A104" i="34"/>
  <c r="A518" i="34"/>
  <c r="A174" i="34"/>
  <c r="A935" i="34"/>
  <c r="A629" i="34"/>
  <c r="A668" i="34"/>
  <c r="A50" i="34"/>
  <c r="A204" i="34"/>
  <c r="A870" i="34"/>
  <c r="A989" i="34"/>
  <c r="A180" i="34"/>
  <c r="A938" i="34"/>
  <c r="A877" i="34"/>
  <c r="A745" i="34"/>
  <c r="A164" i="34"/>
  <c r="A381" i="34"/>
  <c r="A330" i="34"/>
  <c r="A523" i="34"/>
  <c r="A725" i="34"/>
  <c r="A701" i="34"/>
  <c r="A138" i="34"/>
  <c r="A137" i="34"/>
  <c r="A976" i="34"/>
  <c r="A291" i="34"/>
  <c r="A681" i="34"/>
  <c r="A57" i="34"/>
  <c r="A637" i="34"/>
  <c r="A741" i="34"/>
  <c r="A385" i="34"/>
  <c r="A786" i="34"/>
  <c r="A100" i="34"/>
  <c r="A500" i="34"/>
  <c r="A606" i="34"/>
  <c r="A360" i="34"/>
  <c r="A956" i="34"/>
  <c r="A274" i="34"/>
  <c r="A11" i="34"/>
  <c r="A141" i="34"/>
  <c r="A455" i="34"/>
  <c r="A659" i="34"/>
  <c r="A707" i="34"/>
  <c r="A706" i="34"/>
  <c r="A801" i="34"/>
  <c r="A222" i="34"/>
  <c r="A683" i="34"/>
  <c r="A914" i="34"/>
  <c r="A361" i="34"/>
  <c r="A771" i="34"/>
  <c r="A530" i="34"/>
  <c r="A814" i="34"/>
  <c r="A490" i="34"/>
  <c r="A436" i="34"/>
  <c r="A233" i="34"/>
  <c r="A453" i="34"/>
  <c r="A918" i="34"/>
  <c r="A448" i="34"/>
  <c r="A638" i="34"/>
  <c r="A507" i="34"/>
  <c r="A171" i="34"/>
  <c r="A413" i="34"/>
  <c r="A975" i="34"/>
  <c r="A832" i="34"/>
  <c r="A532" i="34"/>
  <c r="A199" i="34"/>
  <c r="A115" i="34"/>
  <c r="A686" i="34"/>
  <c r="A971" i="34"/>
  <c r="A928" i="34"/>
  <c r="A396" i="34"/>
  <c r="A776" i="34"/>
  <c r="A969" i="34"/>
  <c r="A641" i="34"/>
  <c r="A697" i="34"/>
  <c r="A73" i="34"/>
  <c r="A782" i="34"/>
  <c r="A109" i="34"/>
  <c r="A211" i="34"/>
  <c r="A313" i="34"/>
  <c r="A947" i="34"/>
  <c r="A635" i="34"/>
  <c r="A922" i="34"/>
  <c r="A280" i="34"/>
  <c r="A494" i="34"/>
  <c r="A294" i="34"/>
  <c r="A836" i="34"/>
  <c r="A764" i="34"/>
  <c r="A501" i="34"/>
  <c r="A454" i="34"/>
  <c r="A645" i="34"/>
  <c r="A767" i="34"/>
  <c r="A793" i="34"/>
  <c r="A403" i="34"/>
  <c r="A191" i="34"/>
  <c r="A315" i="34"/>
  <c r="A389" i="34"/>
  <c r="A149" i="34"/>
  <c r="A859" i="34"/>
  <c r="A103" i="34"/>
  <c r="A694" i="34"/>
  <c r="A854" i="34"/>
  <c r="A708" i="34"/>
  <c r="A798" i="34"/>
  <c r="A598" i="34"/>
  <c r="A809" i="34"/>
  <c r="A784" i="34"/>
  <c r="A792" i="34"/>
  <c r="A203" i="34"/>
  <c r="A43" i="34"/>
  <c r="A710" i="34"/>
  <c r="A94" i="34"/>
  <c r="A126" i="34"/>
  <c r="A692" i="34"/>
  <c r="A472" i="34"/>
  <c r="A9" i="34"/>
  <c r="A919" i="34"/>
  <c r="K26" i="24"/>
  <c r="L26" i="24"/>
  <c r="I26" i="24"/>
  <c r="C112" i="23"/>
  <c r="E112" i="23"/>
  <c r="J112" i="23"/>
  <c r="H112" i="23"/>
  <c r="G112" i="23"/>
  <c r="F112" i="23"/>
  <c r="I112" i="23"/>
  <c r="I38" i="23"/>
  <c r="F38" i="23"/>
  <c r="H38" i="23"/>
  <c r="C38" i="23"/>
  <c r="J38" i="23"/>
  <c r="G38" i="23"/>
  <c r="E38" i="23"/>
  <c r="F132" i="23"/>
  <c r="C132" i="23"/>
  <c r="E132" i="23"/>
  <c r="G132" i="23"/>
  <c r="J132" i="23"/>
  <c r="I132" i="23"/>
  <c r="H132" i="23"/>
  <c r="F47" i="23"/>
  <c r="E47" i="23"/>
  <c r="C47" i="23"/>
  <c r="H47" i="23"/>
  <c r="G47" i="23"/>
  <c r="J47" i="23"/>
  <c r="I47" i="23"/>
  <c r="Y814" i="10"/>
  <c r="C74" i="2"/>
  <c r="J74" i="2"/>
  <c r="E74" i="2"/>
  <c r="I74" i="2" s="1"/>
  <c r="C109" i="23"/>
  <c r="I109" i="23"/>
  <c r="J109" i="23"/>
  <c r="F109" i="23"/>
  <c r="E109" i="23"/>
  <c r="G109" i="23"/>
  <c r="H109" i="23"/>
  <c r="C42" i="2"/>
  <c r="E42" i="2"/>
  <c r="I42" i="2" s="1"/>
  <c r="J42" i="2"/>
  <c r="I86" i="23"/>
  <c r="G86" i="23"/>
  <c r="J86" i="23"/>
  <c r="C86" i="23"/>
  <c r="H86" i="23"/>
  <c r="E86" i="23"/>
  <c r="F86" i="23"/>
  <c r="J16" i="23"/>
  <c r="G16" i="23"/>
  <c r="E16" i="23"/>
  <c r="H16" i="23"/>
  <c r="F16" i="23"/>
  <c r="C16" i="23"/>
  <c r="I16" i="23"/>
  <c r="Y826" i="10"/>
  <c r="Y754" i="10"/>
  <c r="Z2" i="18"/>
  <c r="J18" i="23"/>
  <c r="H18" i="23"/>
  <c r="C18" i="23"/>
  <c r="I18" i="23"/>
  <c r="F18" i="23"/>
  <c r="G18" i="23"/>
  <c r="E18" i="23"/>
  <c r="J61" i="23"/>
  <c r="G61" i="23"/>
  <c r="E61" i="23"/>
  <c r="F61" i="23"/>
  <c r="H61" i="23"/>
  <c r="C61" i="23"/>
  <c r="I61" i="23"/>
  <c r="E54" i="2"/>
  <c r="I54" i="2" s="1"/>
  <c r="J54" i="2"/>
  <c r="C54" i="2"/>
  <c r="E49" i="23"/>
  <c r="F49" i="23"/>
  <c r="J49" i="23"/>
  <c r="G49" i="23"/>
  <c r="C49" i="23"/>
  <c r="H49" i="23"/>
  <c r="I49" i="23"/>
  <c r="J101" i="23"/>
  <c r="H101" i="23"/>
  <c r="E101" i="23"/>
  <c r="I101" i="23"/>
  <c r="G101" i="23"/>
  <c r="C101" i="23"/>
  <c r="F101" i="23"/>
  <c r="E33" i="2"/>
  <c r="I33" i="2" s="1"/>
  <c r="K33" i="2" s="1"/>
  <c r="C33" i="2"/>
  <c r="J33" i="2"/>
  <c r="Y776" i="10"/>
  <c r="Y845" i="10"/>
  <c r="Y766" i="10"/>
  <c r="E65" i="2"/>
  <c r="I65" i="2" s="1"/>
  <c r="J65" i="2"/>
  <c r="C65" i="2"/>
  <c r="Y827" i="10"/>
  <c r="C21" i="2"/>
  <c r="J21" i="2"/>
  <c r="E21" i="2"/>
  <c r="I21" i="2" s="1"/>
  <c r="Y791" i="10"/>
  <c r="H34" i="23"/>
  <c r="F34" i="23"/>
  <c r="E34" i="23"/>
  <c r="J34" i="23"/>
  <c r="G34" i="23"/>
  <c r="C34" i="23"/>
  <c r="I34" i="23"/>
  <c r="C141" i="23"/>
  <c r="J141" i="23"/>
  <c r="G141" i="23"/>
  <c r="E141" i="23"/>
  <c r="H141" i="23"/>
  <c r="I141" i="23"/>
  <c r="F141" i="23"/>
  <c r="Y811" i="10"/>
  <c r="Y842" i="10"/>
  <c r="I30" i="23"/>
  <c r="F30" i="23"/>
  <c r="G30" i="23"/>
  <c r="C30" i="23"/>
  <c r="H30" i="23"/>
  <c r="E30" i="23"/>
  <c r="J30" i="23"/>
  <c r="L23" i="24"/>
  <c r="K23" i="24"/>
  <c r="I23" i="24"/>
  <c r="Y781" i="10"/>
  <c r="E37" i="2"/>
  <c r="I37" i="2" s="1"/>
  <c r="C37" i="2"/>
  <c r="J37" i="2"/>
  <c r="Y749" i="10"/>
  <c r="Y794" i="10"/>
  <c r="Y809" i="10"/>
  <c r="J32" i="2"/>
  <c r="C32" i="2"/>
  <c r="E32" i="2"/>
  <c r="I32" i="2" s="1"/>
  <c r="J15" i="2"/>
  <c r="C15" i="2"/>
  <c r="E15" i="2"/>
  <c r="I15" i="2" s="1"/>
  <c r="Y777" i="10"/>
  <c r="E50" i="2"/>
  <c r="I50" i="2" s="1"/>
  <c r="J50" i="2"/>
  <c r="C50" i="2"/>
  <c r="E52" i="2"/>
  <c r="I52" i="2" s="1"/>
  <c r="C52" i="2"/>
  <c r="J52" i="2"/>
  <c r="C65" i="23"/>
  <c r="J65" i="23"/>
  <c r="G65" i="23"/>
  <c r="I65" i="23"/>
  <c r="E65" i="23"/>
  <c r="F65" i="23"/>
  <c r="H65" i="23"/>
  <c r="J38" i="2"/>
  <c r="E38" i="2"/>
  <c r="I38" i="2" s="1"/>
  <c r="C38" i="2"/>
  <c r="G95" i="23"/>
  <c r="F95" i="23"/>
  <c r="H95" i="23"/>
  <c r="I95" i="23"/>
  <c r="E95" i="23"/>
  <c r="J95" i="23"/>
  <c r="C95" i="23"/>
  <c r="Y815" i="10"/>
  <c r="C70" i="23"/>
  <c r="E70" i="23"/>
  <c r="J70" i="23"/>
  <c r="F70" i="23"/>
  <c r="G70" i="23"/>
  <c r="I70" i="23"/>
  <c r="H70" i="23"/>
  <c r="Y834" i="10"/>
  <c r="F78" i="23"/>
  <c r="J78" i="23"/>
  <c r="H78" i="23"/>
  <c r="I78" i="23"/>
  <c r="C78" i="23"/>
  <c r="G78" i="23"/>
  <c r="E78" i="23"/>
  <c r="J64" i="23"/>
  <c r="H64" i="23"/>
  <c r="G64" i="23"/>
  <c r="F64" i="23"/>
  <c r="I64" i="23"/>
  <c r="E64" i="23"/>
  <c r="C64" i="23"/>
  <c r="Y833" i="10"/>
  <c r="F92" i="23"/>
  <c r="I92" i="23"/>
  <c r="G92" i="23"/>
  <c r="J92" i="23"/>
  <c r="C92" i="23"/>
  <c r="E92" i="23"/>
  <c r="H92" i="23"/>
  <c r="J49" i="2"/>
  <c r="C49" i="2"/>
  <c r="E49" i="2"/>
  <c r="I49" i="2" s="1"/>
  <c r="I99" i="23"/>
  <c r="H99" i="23"/>
  <c r="G99" i="23"/>
  <c r="F99" i="23"/>
  <c r="C99" i="23"/>
  <c r="J99" i="23"/>
  <c r="E99" i="23"/>
  <c r="E35" i="2"/>
  <c r="I35" i="2" s="1"/>
  <c r="C35" i="2"/>
  <c r="J35" i="2"/>
  <c r="B8" i="15"/>
  <c r="Y841" i="10"/>
  <c r="B5" i="15"/>
  <c r="C39" i="2"/>
  <c r="E39" i="2"/>
  <c r="I39" i="2" s="1"/>
  <c r="J39" i="2"/>
  <c r="J117" i="23"/>
  <c r="G117" i="23"/>
  <c r="C117" i="23"/>
  <c r="H117" i="23"/>
  <c r="F117" i="23"/>
  <c r="E117" i="23"/>
  <c r="I117" i="23"/>
  <c r="G55" i="23"/>
  <c r="I55" i="23"/>
  <c r="C55" i="23"/>
  <c r="H55" i="23"/>
  <c r="E55" i="23"/>
  <c r="F55" i="23"/>
  <c r="J55" i="23"/>
  <c r="Y782" i="10"/>
  <c r="Y804" i="10"/>
  <c r="Y748" i="10"/>
  <c r="B2" i="10"/>
  <c r="J18" i="2"/>
  <c r="E18" i="2"/>
  <c r="I18" i="2" s="1"/>
  <c r="C18" i="2"/>
  <c r="I24" i="24"/>
  <c r="K24" i="24"/>
  <c r="L24" i="24"/>
  <c r="E19" i="2"/>
  <c r="I19" i="2" s="1"/>
  <c r="J19" i="2"/>
  <c r="C19" i="2"/>
  <c r="E88" i="23"/>
  <c r="G88" i="23"/>
  <c r="J88" i="23"/>
  <c r="H88" i="23"/>
  <c r="F88" i="23"/>
  <c r="C88" i="23"/>
  <c r="I88" i="23"/>
  <c r="H20" i="23"/>
  <c r="J20" i="23"/>
  <c r="E20" i="23"/>
  <c r="F20" i="23"/>
  <c r="C20" i="23"/>
  <c r="G20" i="23"/>
  <c r="I20" i="23"/>
  <c r="I25" i="24"/>
  <c r="L25" i="24"/>
  <c r="K25" i="24"/>
  <c r="E68" i="2"/>
  <c r="I68" i="2" s="1"/>
  <c r="C68" i="2"/>
  <c r="J68" i="2"/>
  <c r="Y828" i="10"/>
  <c r="E16" i="2"/>
  <c r="I16" i="2" s="1"/>
  <c r="C16" i="2"/>
  <c r="J16" i="2"/>
  <c r="F59" i="23"/>
  <c r="G59" i="23"/>
  <c r="E59" i="23"/>
  <c r="I59" i="23"/>
  <c r="H59" i="23"/>
  <c r="C59" i="23"/>
  <c r="J59" i="23"/>
  <c r="E53" i="2"/>
  <c r="I53" i="2" s="1"/>
  <c r="J53" i="2"/>
  <c r="C53" i="2"/>
  <c r="Y835" i="10"/>
  <c r="Y803" i="10"/>
  <c r="H84" i="23"/>
  <c r="I84" i="23"/>
  <c r="J84" i="23"/>
  <c r="G84" i="23"/>
  <c r="E84" i="23"/>
  <c r="C84" i="23"/>
  <c r="F84" i="23"/>
  <c r="Y832" i="10"/>
  <c r="Y767" i="10"/>
  <c r="Y756" i="10"/>
  <c r="C131" i="23"/>
  <c r="F131" i="23"/>
  <c r="G131" i="23"/>
  <c r="J131" i="23"/>
  <c r="I131" i="23"/>
  <c r="H131" i="23"/>
  <c r="E131" i="23"/>
  <c r="Y760" i="10"/>
  <c r="Y824" i="10"/>
  <c r="G45" i="23"/>
  <c r="F45" i="23"/>
  <c r="E45" i="23"/>
  <c r="C45" i="23"/>
  <c r="J45" i="23"/>
  <c r="I45" i="23"/>
  <c r="K45" i="23" s="1"/>
  <c r="H45" i="23"/>
  <c r="Y837" i="10"/>
  <c r="Y851" i="10"/>
  <c r="Y808" i="10"/>
  <c r="C44" i="2"/>
  <c r="E44" i="2"/>
  <c r="I44" i="2" s="1"/>
  <c r="J44" i="2"/>
  <c r="J69" i="2"/>
  <c r="C69" i="2"/>
  <c r="E69" i="2"/>
  <c r="I69" i="2" s="1"/>
  <c r="L29" i="24"/>
  <c r="K29" i="24"/>
  <c r="I29" i="24"/>
  <c r="C67" i="23"/>
  <c r="F67" i="23"/>
  <c r="I67" i="23"/>
  <c r="J67" i="23"/>
  <c r="H67" i="23"/>
  <c r="E67" i="23"/>
  <c r="G67" i="23"/>
  <c r="Y819" i="10"/>
  <c r="J121" i="23"/>
  <c r="E121" i="23"/>
  <c r="G121" i="23"/>
  <c r="H121" i="23"/>
  <c r="I121" i="23"/>
  <c r="C121" i="23"/>
  <c r="F121" i="23"/>
  <c r="C59" i="2"/>
  <c r="E59" i="2"/>
  <c r="I59" i="2" s="1"/>
  <c r="J59" i="2"/>
  <c r="C61" i="2"/>
  <c r="J61" i="2"/>
  <c r="E61" i="2"/>
  <c r="I61" i="2" s="1"/>
  <c r="I115" i="23"/>
  <c r="E115" i="23"/>
  <c r="H115" i="23"/>
  <c r="C115" i="23"/>
  <c r="F115" i="23"/>
  <c r="G115" i="23"/>
  <c r="J115" i="23"/>
  <c r="E58" i="2"/>
  <c r="I58" i="2" s="1"/>
  <c r="J58" i="2"/>
  <c r="C58" i="2"/>
  <c r="E66" i="2"/>
  <c r="I66" i="2" s="1"/>
  <c r="K66" i="2" s="1"/>
  <c r="J66" i="2"/>
  <c r="C66" i="2"/>
  <c r="C97" i="23"/>
  <c r="E97" i="23"/>
  <c r="F97" i="23"/>
  <c r="H97" i="23"/>
  <c r="G97" i="23"/>
  <c r="I97" i="23"/>
  <c r="J97" i="23"/>
  <c r="F37" i="23"/>
  <c r="G37" i="23"/>
  <c r="E37" i="23"/>
  <c r="C37" i="23"/>
  <c r="J37" i="23"/>
  <c r="H37" i="23"/>
  <c r="I37" i="23"/>
  <c r="Y816" i="10"/>
  <c r="Y829" i="10"/>
  <c r="C29" i="2"/>
  <c r="E29" i="2"/>
  <c r="I29" i="2" s="1"/>
  <c r="J29" i="2"/>
  <c r="Y783" i="10"/>
  <c r="F22" i="23"/>
  <c r="E22" i="23"/>
  <c r="J22" i="23"/>
  <c r="I22" i="23"/>
  <c r="C22" i="23"/>
  <c r="H22" i="23"/>
  <c r="G22" i="23"/>
  <c r="J15" i="23"/>
  <c r="C15" i="23"/>
  <c r="G15" i="23"/>
  <c r="F15" i="23"/>
  <c r="I15" i="23"/>
  <c r="E15" i="23"/>
  <c r="H15" i="23"/>
  <c r="E75" i="2"/>
  <c r="I75" i="2" s="1"/>
  <c r="J75" i="2"/>
  <c r="C75" i="2"/>
  <c r="Y789" i="10"/>
  <c r="J40" i="23"/>
  <c r="G40" i="23"/>
  <c r="F40" i="23"/>
  <c r="E40" i="23"/>
  <c r="C40" i="23"/>
  <c r="H40" i="23"/>
  <c r="I40" i="23"/>
  <c r="Y753" i="10"/>
  <c r="Y813" i="10"/>
  <c r="J108" i="23"/>
  <c r="E108" i="23"/>
  <c r="F108" i="23"/>
  <c r="C108" i="23"/>
  <c r="H108" i="23"/>
  <c r="I108" i="23"/>
  <c r="G108" i="23"/>
  <c r="F113" i="23"/>
  <c r="H113" i="23"/>
  <c r="G113" i="23"/>
  <c r="I113" i="23"/>
  <c r="E113" i="23"/>
  <c r="C113" i="23"/>
  <c r="J113" i="23"/>
  <c r="Y763" i="10"/>
  <c r="J139" i="23"/>
  <c r="H139" i="23"/>
  <c r="I139" i="23"/>
  <c r="K139" i="23" s="1"/>
  <c r="F139" i="23"/>
  <c r="G139" i="23"/>
  <c r="C139" i="23"/>
  <c r="E139" i="23"/>
  <c r="E128" i="23"/>
  <c r="H128" i="23"/>
  <c r="J128" i="23"/>
  <c r="I128" i="23"/>
  <c r="G128" i="23"/>
  <c r="F128" i="23"/>
  <c r="C128" i="23"/>
  <c r="F104" i="23"/>
  <c r="C104" i="23"/>
  <c r="J104" i="23"/>
  <c r="H104" i="23"/>
  <c r="G104" i="23"/>
  <c r="E104" i="23"/>
  <c r="I104" i="23"/>
  <c r="E119" i="23"/>
  <c r="C119" i="23"/>
  <c r="F119" i="23"/>
  <c r="H119" i="23"/>
  <c r="I119" i="23"/>
  <c r="G119" i="23"/>
  <c r="J119" i="23"/>
  <c r="J127" i="23"/>
  <c r="C127" i="23"/>
  <c r="E127" i="23"/>
  <c r="I127" i="23"/>
  <c r="G127" i="23"/>
  <c r="F127" i="23"/>
  <c r="H127" i="23"/>
  <c r="E135" i="23"/>
  <c r="J135" i="23"/>
  <c r="F135" i="23"/>
  <c r="I135" i="23"/>
  <c r="G135" i="23"/>
  <c r="H135" i="23"/>
  <c r="C135" i="23"/>
  <c r="E36" i="2"/>
  <c r="I36" i="2" s="1"/>
  <c r="C36" i="2"/>
  <c r="J36" i="2"/>
  <c r="J85" i="23"/>
  <c r="C85" i="23"/>
  <c r="H85" i="23"/>
  <c r="E85" i="23"/>
  <c r="F85" i="23"/>
  <c r="G85" i="23"/>
  <c r="I85" i="23"/>
  <c r="I48" i="23"/>
  <c r="F48" i="23"/>
  <c r="H48" i="23"/>
  <c r="C48" i="23"/>
  <c r="J48" i="23"/>
  <c r="G48" i="23"/>
  <c r="E48" i="23"/>
  <c r="Y830" i="10"/>
  <c r="C17" i="2"/>
  <c r="J17" i="2"/>
  <c r="E17" i="2"/>
  <c r="I17" i="2" s="1"/>
  <c r="Y769" i="10"/>
  <c r="G63" i="23"/>
  <c r="H63" i="23"/>
  <c r="E63" i="23"/>
  <c r="F63" i="23"/>
  <c r="I63" i="23"/>
  <c r="J63" i="23"/>
  <c r="C63" i="23"/>
  <c r="J25" i="2"/>
  <c r="E25" i="2"/>
  <c r="I25" i="2" s="1"/>
  <c r="C25" i="2"/>
  <c r="C83" i="23"/>
  <c r="G83" i="23"/>
  <c r="E83" i="23"/>
  <c r="F83" i="23"/>
  <c r="J83" i="23"/>
  <c r="I83" i="23"/>
  <c r="H83" i="23"/>
  <c r="E62" i="2"/>
  <c r="I62" i="2" s="1"/>
  <c r="J62" i="2"/>
  <c r="C62" i="2"/>
  <c r="E123" i="23"/>
  <c r="C123" i="23"/>
  <c r="H123" i="23"/>
  <c r="G123" i="23"/>
  <c r="J123" i="23"/>
  <c r="I123" i="23"/>
  <c r="F123" i="23"/>
  <c r="Y805" i="10"/>
  <c r="C125" i="23"/>
  <c r="J125" i="23"/>
  <c r="H125" i="23"/>
  <c r="F125" i="23"/>
  <c r="E125" i="23"/>
  <c r="I125" i="23"/>
  <c r="G125" i="23"/>
  <c r="C133" i="23"/>
  <c r="I133" i="23"/>
  <c r="G133" i="23"/>
  <c r="J133" i="23"/>
  <c r="H133" i="23"/>
  <c r="F133" i="23"/>
  <c r="E133" i="23"/>
  <c r="C96" i="23"/>
  <c r="E96" i="23"/>
  <c r="J96" i="23"/>
  <c r="H96" i="23"/>
  <c r="G96" i="23"/>
  <c r="F96" i="23"/>
  <c r="I96" i="23"/>
  <c r="C40" i="2"/>
  <c r="J40" i="2"/>
  <c r="E40" i="2"/>
  <c r="I40" i="2" s="1"/>
  <c r="B3" i="15"/>
  <c r="E54" i="23"/>
  <c r="G54" i="23"/>
  <c r="I54" i="23"/>
  <c r="F54" i="23"/>
  <c r="J54" i="23"/>
  <c r="C54" i="23"/>
  <c r="H54" i="23"/>
  <c r="C72" i="23"/>
  <c r="F72" i="23"/>
  <c r="E72" i="23"/>
  <c r="J72" i="23"/>
  <c r="I72" i="23"/>
  <c r="H72" i="23"/>
  <c r="G72" i="23"/>
  <c r="Y751" i="10"/>
  <c r="C22" i="2"/>
  <c r="E22" i="2"/>
  <c r="I22" i="2" s="1"/>
  <c r="J22" i="2"/>
  <c r="Y849" i="10"/>
  <c r="J102" i="23"/>
  <c r="I102" i="23"/>
  <c r="H102" i="23"/>
  <c r="F102" i="23"/>
  <c r="C102" i="23"/>
  <c r="G102" i="23"/>
  <c r="E102" i="23"/>
  <c r="Y792" i="10"/>
  <c r="I27" i="24"/>
  <c r="K27" i="24"/>
  <c r="L27" i="24"/>
  <c r="E31" i="2"/>
  <c r="I31" i="2" s="1"/>
  <c r="C31" i="2"/>
  <c r="J31" i="2"/>
  <c r="G98" i="23"/>
  <c r="H98" i="23"/>
  <c r="E98" i="23"/>
  <c r="J98" i="23"/>
  <c r="C98" i="23"/>
  <c r="F98" i="23"/>
  <c r="I98" i="23"/>
  <c r="K28" i="24"/>
  <c r="L28" i="24"/>
  <c r="I28" i="24"/>
  <c r="G21" i="23"/>
  <c r="J21" i="23"/>
  <c r="C21" i="23"/>
  <c r="F21" i="23"/>
  <c r="E21" i="23"/>
  <c r="I21" i="23"/>
  <c r="H21" i="23"/>
  <c r="J58" i="23"/>
  <c r="F58" i="23"/>
  <c r="E58" i="23"/>
  <c r="H58" i="23"/>
  <c r="C58" i="23"/>
  <c r="G58" i="23"/>
  <c r="I58" i="23"/>
  <c r="K58" i="23" s="1"/>
  <c r="Y757" i="10"/>
  <c r="I36" i="23"/>
  <c r="G36" i="23"/>
  <c r="F36" i="23"/>
  <c r="H36" i="23"/>
  <c r="C36" i="23"/>
  <c r="E36" i="23"/>
  <c r="J36" i="23"/>
  <c r="Y844" i="10"/>
  <c r="I137" i="23"/>
  <c r="H137" i="23"/>
  <c r="F137" i="23"/>
  <c r="E137" i="23"/>
  <c r="J137" i="23"/>
  <c r="C137" i="23"/>
  <c r="G137" i="23"/>
  <c r="G106" i="23"/>
  <c r="F106" i="23"/>
  <c r="J106" i="23"/>
  <c r="E106" i="23"/>
  <c r="H106" i="23"/>
  <c r="I106" i="23"/>
  <c r="C106" i="23"/>
  <c r="Y774" i="10"/>
  <c r="Y761" i="10"/>
  <c r="Y854" i="10"/>
  <c r="I122" i="23"/>
  <c r="H122" i="23"/>
  <c r="J122" i="23"/>
  <c r="E122" i="23"/>
  <c r="F122" i="23"/>
  <c r="C122" i="23"/>
  <c r="G122" i="23"/>
  <c r="C14" i="2"/>
  <c r="J14" i="2"/>
  <c r="E14" i="2"/>
  <c r="I14" i="2" s="1"/>
  <c r="Y770" i="10"/>
  <c r="G89" i="23"/>
  <c r="E89" i="23"/>
  <c r="J89" i="23"/>
  <c r="H89" i="23"/>
  <c r="F89" i="23"/>
  <c r="I89" i="23"/>
  <c r="C89" i="23"/>
  <c r="H126" i="23"/>
  <c r="I126" i="23"/>
  <c r="F126" i="23"/>
  <c r="J126" i="23"/>
  <c r="E126" i="23"/>
  <c r="G126" i="23"/>
  <c r="C126" i="23"/>
  <c r="Y850" i="10"/>
  <c r="G26" i="23"/>
  <c r="C26" i="23"/>
  <c r="F26" i="23"/>
  <c r="E26" i="23"/>
  <c r="H26" i="23"/>
  <c r="I26" i="23"/>
  <c r="J26" i="23"/>
  <c r="J57" i="2"/>
  <c r="E57" i="2"/>
  <c r="I57" i="2" s="1"/>
  <c r="C57" i="2"/>
  <c r="Y810" i="10"/>
  <c r="B2" i="15"/>
  <c r="Y853" i="10"/>
  <c r="F77" i="23"/>
  <c r="C77" i="23"/>
  <c r="G77" i="23"/>
  <c r="J77" i="23"/>
  <c r="I77" i="23"/>
  <c r="E77" i="23"/>
  <c r="H77" i="23"/>
  <c r="J26" i="2"/>
  <c r="E26" i="2"/>
  <c r="I26" i="2" s="1"/>
  <c r="C26" i="2"/>
  <c r="I80" i="23"/>
  <c r="E80" i="23"/>
  <c r="J80" i="23"/>
  <c r="H80" i="23"/>
  <c r="G80" i="23"/>
  <c r="F80" i="23"/>
  <c r="C80" i="23"/>
  <c r="Y823" i="10"/>
  <c r="J31" i="23"/>
  <c r="E31" i="23"/>
  <c r="G31" i="23"/>
  <c r="H31" i="23"/>
  <c r="I31" i="23"/>
  <c r="F31" i="23"/>
  <c r="C31" i="23"/>
  <c r="J100" i="23"/>
  <c r="F100" i="23"/>
  <c r="H100" i="23"/>
  <c r="I100" i="23"/>
  <c r="G100" i="23"/>
  <c r="C100" i="23"/>
  <c r="E100" i="23"/>
  <c r="E69" i="23"/>
  <c r="I69" i="23"/>
  <c r="F69" i="23"/>
  <c r="C69" i="23"/>
  <c r="G69" i="23"/>
  <c r="J69" i="23"/>
  <c r="H69" i="23"/>
  <c r="Y784" i="10"/>
  <c r="Y812" i="10"/>
  <c r="Y780" i="10"/>
  <c r="B6" i="15"/>
  <c r="Y847" i="10"/>
  <c r="G118" i="23"/>
  <c r="J118" i="23"/>
  <c r="I118" i="23"/>
  <c r="F118" i="23"/>
  <c r="C118" i="23"/>
  <c r="E118" i="23"/>
  <c r="H118" i="23"/>
  <c r="Y762" i="10"/>
  <c r="H111" i="23"/>
  <c r="J111" i="23"/>
  <c r="C111" i="23"/>
  <c r="I111" i="23"/>
  <c r="G111" i="23"/>
  <c r="E111" i="23"/>
  <c r="F111" i="23"/>
  <c r="Y799" i="10"/>
  <c r="Y836" i="10"/>
  <c r="Y797" i="10"/>
  <c r="Y821" i="10"/>
  <c r="I66" i="23"/>
  <c r="J66" i="23"/>
  <c r="C66" i="23"/>
  <c r="H66" i="23"/>
  <c r="G66" i="23"/>
  <c r="F66" i="23"/>
  <c r="E66" i="23"/>
  <c r="I42" i="23"/>
  <c r="G42" i="23"/>
  <c r="E42" i="23"/>
  <c r="F42" i="23"/>
  <c r="C42" i="23"/>
  <c r="H42" i="23"/>
  <c r="J42" i="23"/>
  <c r="I39" i="23"/>
  <c r="H39" i="23"/>
  <c r="C39" i="23"/>
  <c r="G39" i="23"/>
  <c r="E39" i="23"/>
  <c r="F39" i="23"/>
  <c r="J39" i="23"/>
  <c r="Y807" i="10"/>
  <c r="Y848" i="10"/>
  <c r="Y796" i="10"/>
  <c r="G93" i="23"/>
  <c r="I93" i="23"/>
  <c r="F93" i="23"/>
  <c r="J93" i="23"/>
  <c r="H93" i="23"/>
  <c r="C93" i="23"/>
  <c r="E93" i="23"/>
  <c r="I27" i="23"/>
  <c r="G27" i="23"/>
  <c r="J27" i="23"/>
  <c r="H27" i="23"/>
  <c r="E27" i="23"/>
  <c r="C27" i="23"/>
  <c r="F27" i="23"/>
  <c r="B7" i="15"/>
  <c r="F90" i="23"/>
  <c r="C90" i="23"/>
  <c r="G90" i="23"/>
  <c r="I90" i="23"/>
  <c r="E90" i="23"/>
  <c r="J90" i="23"/>
  <c r="H90" i="23"/>
  <c r="Y790" i="10"/>
  <c r="F17" i="23"/>
  <c r="G17" i="23"/>
  <c r="H17" i="23"/>
  <c r="I17" i="23"/>
  <c r="E17" i="23"/>
  <c r="J17" i="23"/>
  <c r="C17" i="23"/>
  <c r="I23" i="23"/>
  <c r="J23" i="23"/>
  <c r="G23" i="23"/>
  <c r="C23" i="23"/>
  <c r="F23" i="23"/>
  <c r="H23" i="23"/>
  <c r="E23" i="23"/>
  <c r="I81" i="23"/>
  <c r="J81" i="23"/>
  <c r="F81" i="23"/>
  <c r="C81" i="23"/>
  <c r="G81" i="23"/>
  <c r="E81" i="23"/>
  <c r="H81" i="23"/>
  <c r="E46" i="23"/>
  <c r="H46" i="23"/>
  <c r="J46" i="23"/>
  <c r="I46" i="23"/>
  <c r="G46" i="23"/>
  <c r="F46" i="23"/>
  <c r="C46" i="23"/>
  <c r="F114" i="23"/>
  <c r="H114" i="23"/>
  <c r="E114" i="23"/>
  <c r="G114" i="23"/>
  <c r="J114" i="23"/>
  <c r="C114" i="23"/>
  <c r="I114" i="23"/>
  <c r="J50" i="23"/>
  <c r="I50" i="23"/>
  <c r="E50" i="23"/>
  <c r="C50" i="23"/>
  <c r="G50" i="23"/>
  <c r="F50" i="23"/>
  <c r="H50" i="23"/>
  <c r="Y806" i="10"/>
  <c r="I25" i="23"/>
  <c r="F25" i="23"/>
  <c r="G25" i="23"/>
  <c r="E25" i="23"/>
  <c r="J25" i="23"/>
  <c r="C25" i="23"/>
  <c r="H25" i="23"/>
  <c r="H110" i="23"/>
  <c r="J110" i="23"/>
  <c r="F110" i="23"/>
  <c r="I110" i="23"/>
  <c r="K110" i="23" s="1"/>
  <c r="C110" i="23"/>
  <c r="E110" i="23"/>
  <c r="G110" i="23"/>
  <c r="Y839" i="10"/>
  <c r="I13" i="23"/>
  <c r="H13" i="23"/>
  <c r="G13" i="23"/>
  <c r="C13" i="23"/>
  <c r="J13" i="23"/>
  <c r="E13" i="23"/>
  <c r="F13" i="23"/>
  <c r="F91" i="23"/>
  <c r="H91" i="23"/>
  <c r="G91" i="23"/>
  <c r="E91" i="23"/>
  <c r="C91" i="23"/>
  <c r="J91" i="23"/>
  <c r="I91" i="23"/>
  <c r="F6" i="30"/>
  <c r="F4" i="30"/>
  <c r="F3" i="30"/>
  <c r="F3" i="33"/>
  <c r="A5" i="10" a="1"/>
  <c r="F2" i="30"/>
  <c r="F5" i="30"/>
  <c r="F8" i="30"/>
  <c r="F7" i="30"/>
  <c r="F2" i="33"/>
  <c r="K39" i="2" l="1"/>
  <c r="K97" i="23"/>
  <c r="K15" i="2"/>
  <c r="K40" i="23"/>
  <c r="K83" i="23"/>
  <c r="K74" i="23"/>
  <c r="K73" i="2"/>
  <c r="N28" i="24"/>
  <c r="K44" i="23"/>
  <c r="K28" i="23"/>
  <c r="K122" i="23"/>
  <c r="K82" i="23"/>
  <c r="K106" i="23"/>
  <c r="K55" i="2"/>
  <c r="K50" i="23"/>
  <c r="K14" i="2"/>
  <c r="K37" i="23"/>
  <c r="N29" i="24"/>
  <c r="K114" i="23"/>
  <c r="K81" i="23"/>
  <c r="K84" i="23"/>
  <c r="K16" i="2"/>
  <c r="K63" i="2"/>
  <c r="K94" i="23"/>
  <c r="K68" i="2"/>
  <c r="K22" i="2"/>
  <c r="K53" i="2"/>
  <c r="K104" i="23"/>
  <c r="K61" i="2"/>
  <c r="K41" i="2"/>
  <c r="K67" i="23"/>
  <c r="K50" i="2"/>
  <c r="K65" i="2"/>
  <c r="K118" i="23"/>
  <c r="K33" i="23"/>
  <c r="K70" i="2"/>
  <c r="K42" i="2"/>
  <c r="K80" i="23"/>
  <c r="K102" i="23"/>
  <c r="K123" i="23"/>
  <c r="K119" i="23"/>
  <c r="K22" i="23"/>
  <c r="K16" i="23"/>
  <c r="K38" i="23"/>
  <c r="K25" i="2"/>
  <c r="K55" i="23"/>
  <c r="K21" i="2"/>
  <c r="K101" i="23"/>
  <c r="K112" i="23"/>
  <c r="K53" i="23"/>
  <c r="K45" i="2"/>
  <c r="K29" i="23"/>
  <c r="K137" i="23"/>
  <c r="K138" i="23"/>
  <c r="K76" i="23"/>
  <c r="K135" i="23"/>
  <c r="K108" i="23"/>
  <c r="K46" i="23"/>
  <c r="K31" i="23"/>
  <c r="K77" i="23"/>
  <c r="K40" i="2"/>
  <c r="K29" i="2"/>
  <c r="K20" i="23"/>
  <c r="K19" i="2"/>
  <c r="K68" i="23"/>
  <c r="K35" i="2"/>
  <c r="K92" i="23"/>
  <c r="K140" i="23"/>
  <c r="K62" i="2"/>
  <c r="K59" i="23"/>
  <c r="K117" i="23"/>
  <c r="K57" i="23"/>
  <c r="K59" i="2"/>
  <c r="N24" i="24"/>
  <c r="K38" i="2"/>
  <c r="K34" i="23"/>
  <c r="K18" i="23"/>
  <c r="K71" i="23"/>
  <c r="N22" i="24"/>
  <c r="K127" i="23"/>
  <c r="K17" i="2"/>
  <c r="K18" i="2"/>
  <c r="K27" i="2"/>
  <c r="K27" i="23"/>
  <c r="K32" i="2"/>
  <c r="K39" i="23"/>
  <c r="K86" i="23"/>
  <c r="K20" i="2"/>
  <c r="A700" i="10"/>
  <c r="A193" i="10"/>
  <c r="A338" i="10"/>
  <c r="A441" i="10"/>
  <c r="A376" i="10"/>
  <c r="A259" i="10"/>
  <c r="A493" i="10"/>
  <c r="A257" i="10"/>
  <c r="A531" i="10"/>
  <c r="A483" i="10"/>
  <c r="A780" i="10"/>
  <c r="A431" i="10"/>
  <c r="A59" i="10"/>
  <c r="A422" i="10"/>
  <c r="A143" i="10"/>
  <c r="A61" i="10"/>
  <c r="A540" i="10"/>
  <c r="A76" i="10"/>
  <c r="A418" i="10"/>
  <c r="A639" i="10"/>
  <c r="A103" i="10"/>
  <c r="A567" i="10"/>
  <c r="A763" i="10"/>
  <c r="A530" i="10"/>
  <c r="A34" i="10"/>
  <c r="A64" i="10"/>
  <c r="A598" i="10"/>
  <c r="A146" i="10"/>
  <c r="A330" i="10"/>
  <c r="A275" i="10"/>
  <c r="A100" i="10"/>
  <c r="A198" i="10"/>
  <c r="A323" i="10"/>
  <c r="A137" i="10"/>
  <c r="A844" i="10"/>
  <c r="A121" i="10"/>
  <c r="A635" i="10"/>
  <c r="A357" i="10"/>
  <c r="A496" i="10"/>
  <c r="A553" i="10"/>
  <c r="A821" i="10"/>
  <c r="A224" i="10"/>
  <c r="A854" i="10"/>
  <c r="A830" i="10"/>
  <c r="A648" i="10"/>
  <c r="A633" i="10"/>
  <c r="A605" i="10"/>
  <c r="A161" i="10"/>
  <c r="A588" i="10"/>
  <c r="A456" i="10"/>
  <c r="A541" i="10"/>
  <c r="A733" i="10"/>
  <c r="A816" i="10"/>
  <c r="A39" i="10"/>
  <c r="A518" i="10"/>
  <c r="A188" i="10"/>
  <c r="A803" i="10"/>
  <c r="A745" i="10"/>
  <c r="A529" i="10"/>
  <c r="A782" i="10"/>
  <c r="A840" i="10"/>
  <c r="A227" i="10"/>
  <c r="A383" i="10"/>
  <c r="A640" i="10"/>
  <c r="A218" i="10"/>
  <c r="A71" i="10"/>
  <c r="A252" i="10"/>
  <c r="A774" i="10"/>
  <c r="A245" i="10"/>
  <c r="A184" i="10"/>
  <c r="A673" i="10"/>
  <c r="A299" i="10"/>
  <c r="A511" i="10"/>
  <c r="A623" i="10"/>
  <c r="A593" i="10"/>
  <c r="A776" i="10"/>
  <c r="A850" i="10"/>
  <c r="A807" i="10"/>
  <c r="A394" i="10"/>
  <c r="A692" i="10"/>
  <c r="A652" i="10"/>
  <c r="A461" i="10"/>
  <c r="A452" i="10"/>
  <c r="A747" i="10"/>
  <c r="A155" i="10"/>
  <c r="A765" i="10"/>
  <c r="A37" i="10"/>
  <c r="A279" i="10"/>
  <c r="A242" i="10"/>
  <c r="A159" i="10"/>
  <c r="A833" i="10"/>
  <c r="A521" i="10"/>
  <c r="A486" i="10"/>
  <c r="A547" i="10"/>
  <c r="A86" i="10"/>
  <c r="A832" i="10"/>
  <c r="A636" i="10"/>
  <c r="A368" i="10"/>
  <c r="A167" i="10"/>
  <c r="A609" i="10"/>
  <c r="A630" i="10"/>
  <c r="A92" i="10"/>
  <c r="A221" i="10"/>
  <c r="A438" i="10"/>
  <c r="A377" i="10"/>
  <c r="A718" i="10"/>
  <c r="A342" i="10"/>
  <c r="A607" i="10"/>
  <c r="A711" i="10"/>
  <c r="A778" i="10"/>
  <c r="A680" i="10"/>
  <c r="A327" i="10"/>
  <c r="A766" i="10"/>
  <c r="A117" i="10"/>
  <c r="A699" i="10"/>
  <c r="A348" i="10"/>
  <c r="A742" i="10"/>
  <c r="A487" i="10"/>
  <c r="A606" i="10"/>
  <c r="A459" i="10"/>
  <c r="A53" i="10"/>
  <c r="A203" i="10"/>
  <c r="A379" i="10"/>
  <c r="A726" i="10"/>
  <c r="A728" i="10"/>
  <c r="A663" i="10"/>
  <c r="A386" i="10"/>
  <c r="A237" i="10"/>
  <c r="A796" i="10"/>
  <c r="A614" i="10"/>
  <c r="A128" i="10"/>
  <c r="A177" i="10"/>
  <c r="A746" i="10"/>
  <c r="A115" i="10"/>
  <c r="A289" i="10"/>
  <c r="A655" i="10"/>
  <c r="A236" i="10"/>
  <c r="A591" i="10"/>
  <c r="A484" i="10"/>
  <c r="A784" i="10"/>
  <c r="A190" i="10"/>
  <c r="A124" i="10"/>
  <c r="A185" i="10"/>
  <c r="A378" i="10"/>
  <c r="A460" i="10"/>
  <c r="A819" i="10"/>
  <c r="A696" i="10"/>
  <c r="A280" i="10"/>
  <c r="A468" i="10"/>
  <c r="A17" i="10"/>
  <c r="A286" i="10"/>
  <c r="A756" i="10"/>
  <c r="A512" i="10"/>
  <c r="A634" i="10"/>
  <c r="A751" i="10"/>
  <c r="A446" i="10"/>
  <c r="A574" i="10"/>
  <c r="A561" i="10"/>
  <c r="A557" i="10"/>
  <c r="A753" i="10"/>
  <c r="A241" i="10"/>
  <c r="A47" i="10"/>
  <c r="A123" i="10"/>
  <c r="A527" i="10"/>
  <c r="A27" i="10"/>
  <c r="A317" i="10"/>
  <c r="A353" i="10"/>
  <c r="A375" i="10"/>
  <c r="A694" i="10"/>
  <c r="A714" i="10"/>
  <c r="A566" i="10"/>
  <c r="A430" i="10"/>
  <c r="A179" i="10"/>
  <c r="A157" i="10"/>
  <c r="A402" i="10"/>
  <c r="A671" i="10"/>
  <c r="A395" i="10"/>
  <c r="A38" i="10"/>
  <c r="A602" i="10"/>
  <c r="A713" i="10"/>
  <c r="A341" i="10"/>
  <c r="A343" i="10"/>
  <c r="A555" i="10"/>
  <c r="A419" i="10"/>
  <c r="A381" i="10"/>
  <c r="A798" i="10"/>
  <c r="A480" i="10"/>
  <c r="A282" i="10"/>
  <c r="A295" i="10"/>
  <c r="A462" i="10"/>
  <c r="A657" i="10"/>
  <c r="A465" i="10"/>
  <c r="A293" i="10"/>
  <c r="A36" i="10"/>
  <c r="A35" i="10"/>
  <c r="A194" i="10"/>
  <c r="A329" i="10"/>
  <c r="A449" i="10"/>
  <c r="A506" i="10"/>
  <c r="A471" i="10"/>
  <c r="A604" i="10"/>
  <c r="A792" i="10"/>
  <c r="A426" i="10"/>
  <c r="A669" i="10"/>
  <c r="A106" i="10"/>
  <c r="A303" i="10"/>
  <c r="A74" i="10"/>
  <c r="A845" i="10"/>
  <c r="A9" i="10"/>
  <c r="A542" i="10"/>
  <c r="A812" i="10"/>
  <c r="A171" i="10"/>
  <c r="A656" i="10"/>
  <c r="A334" i="10"/>
  <c r="A101" i="10"/>
  <c r="A166" i="10"/>
  <c r="A649" i="10"/>
  <c r="A533" i="10"/>
  <c r="A335" i="10"/>
  <c r="A701" i="10"/>
  <c r="A580" i="10"/>
  <c r="A543" i="10"/>
  <c r="A401" i="10"/>
  <c r="A51" i="10"/>
  <c r="A615" i="10"/>
  <c r="A195" i="10"/>
  <c r="A472" i="10"/>
  <c r="A579" i="10"/>
  <c r="A767" i="10"/>
  <c r="A304" i="10"/>
  <c r="A12" i="10"/>
  <c r="A263" i="10"/>
  <c r="A361" i="10"/>
  <c r="A114" i="10"/>
  <c r="A169" i="10"/>
  <c r="A522" i="10"/>
  <c r="A695" i="10"/>
  <c r="A571" i="10"/>
  <c r="A144" i="10"/>
  <c r="A797" i="10"/>
  <c r="A715" i="10"/>
  <c r="A235" i="10"/>
  <c r="A283" i="10"/>
  <c r="A428" i="10"/>
  <c r="A70" i="10"/>
  <c r="A481" i="10"/>
  <c r="A142" i="10"/>
  <c r="A537" i="10"/>
  <c r="A697" i="10"/>
  <c r="A24" i="10"/>
  <c r="A549" i="10"/>
  <c r="A769" i="10"/>
  <c r="A638" i="10"/>
  <c r="A810" i="10"/>
  <c r="A276" i="10"/>
  <c r="A659" i="10"/>
  <c r="A424" i="10"/>
  <c r="A421" i="10"/>
  <c r="A528" i="10"/>
  <c r="A818" i="10"/>
  <c r="A552" i="10"/>
  <c r="A754" i="10"/>
  <c r="A440" i="10"/>
  <c r="A256" i="10"/>
  <c r="A686" i="10"/>
  <c r="A73" i="10"/>
  <c r="A145" i="10"/>
  <c r="A586" i="10"/>
  <c r="A54" i="10"/>
  <c r="A735" i="10"/>
  <c r="A846" i="10"/>
  <c r="A442" i="10"/>
  <c r="A848" i="10"/>
  <c r="A340" i="10"/>
  <c r="A414" i="10"/>
  <c r="A435" i="10"/>
  <c r="A211" i="10"/>
  <c r="A624" i="10"/>
  <c r="A513" i="10"/>
  <c r="A674" i="10"/>
  <c r="A759" i="10"/>
  <c r="A667" i="10"/>
  <c r="A786" i="10"/>
  <c r="A709" i="10"/>
  <c r="A315" i="10"/>
  <c r="A482" i="10"/>
  <c r="A302" i="10"/>
  <c r="A565" i="10"/>
  <c r="A690" i="10"/>
  <c r="A514" i="10"/>
  <c r="A350" i="10"/>
  <c r="A585" i="10"/>
  <c r="A842" i="10"/>
  <c r="A30" i="10"/>
  <c r="A691" i="10"/>
  <c r="A501" i="10"/>
  <c r="A160" i="10"/>
  <c r="A156" i="10"/>
  <c r="A66" i="10"/>
  <c r="A578" i="10"/>
  <c r="A466" i="10"/>
  <c r="A355" i="10"/>
  <c r="A600" i="10"/>
  <c r="A405" i="10"/>
  <c r="A110" i="10"/>
  <c r="A646" i="10"/>
  <c r="A119" i="10"/>
  <c r="A490" i="10"/>
  <c r="A214" i="10"/>
  <c r="A205" i="10"/>
  <c r="A603" i="10"/>
  <c r="A319" i="10"/>
  <c r="A642" i="10"/>
  <c r="A351" i="10"/>
  <c r="A677" i="10"/>
  <c r="A154" i="10"/>
  <c r="A408" i="10"/>
  <c r="A172" i="10"/>
  <c r="A458" i="10"/>
  <c r="A795" i="10"/>
  <c r="A815" i="10"/>
  <c r="A58" i="10"/>
  <c r="A668" i="10"/>
  <c r="A689" i="10"/>
  <c r="A590" i="10"/>
  <c r="A232" i="10"/>
  <c r="A839" i="10"/>
  <c r="A502" i="10"/>
  <c r="A392" i="10"/>
  <c r="A274" i="10"/>
  <c r="A44" i="10"/>
  <c r="A824" i="10"/>
  <c r="A140" i="10"/>
  <c r="A534" i="10"/>
  <c r="A255" i="10"/>
  <c r="A208" i="10"/>
  <c r="A761" i="10"/>
  <c r="A793" i="10"/>
  <c r="A316" i="10"/>
  <c r="A147" i="10"/>
  <c r="A314" i="10"/>
  <c r="A212" i="10"/>
  <c r="A371" i="10"/>
  <c r="A743" i="10"/>
  <c r="A738" i="10"/>
  <c r="A632" i="10"/>
  <c r="A307" i="10"/>
  <c r="A660" i="10"/>
  <c r="A676" i="10"/>
  <c r="A740" i="10"/>
  <c r="A57" i="10"/>
  <c r="A118" i="10"/>
  <c r="A31" i="10"/>
  <c r="A197" i="10"/>
  <c r="A771" i="10"/>
  <c r="A712" i="10"/>
  <c r="A87" i="10"/>
  <c r="A182" i="10"/>
  <c r="A750" i="10"/>
  <c r="A654" i="10"/>
  <c r="A568" i="10"/>
  <c r="A297" i="10"/>
  <c r="A102" i="10"/>
  <c r="A509" i="10"/>
  <c r="A125" i="10"/>
  <c r="A225" i="10"/>
  <c r="A510" i="10"/>
  <c r="A247" i="10"/>
  <c r="A826" i="10"/>
  <c r="A445" i="10"/>
  <c r="A444" i="10"/>
  <c r="A706" i="10"/>
  <c r="A131" i="10"/>
  <c r="A581" i="10"/>
  <c r="A720" i="10"/>
  <c r="A331" i="10"/>
  <c r="A311" i="10"/>
  <c r="A219" i="10"/>
  <c r="A11" i="10"/>
  <c r="A777" i="10"/>
  <c r="A122" i="10"/>
  <c r="A736" i="10"/>
  <c r="A96" i="10"/>
  <c r="A682" i="10"/>
  <c r="A352" i="10"/>
  <c r="A837" i="10"/>
  <c r="A151" i="10"/>
  <c r="A290" i="10"/>
  <c r="A664" i="10"/>
  <c r="A704" i="10"/>
  <c r="A132" i="10"/>
  <c r="A554" i="10"/>
  <c r="A722" i="10"/>
  <c r="A390" i="10"/>
  <c r="A14" i="10"/>
  <c r="A79" i="10"/>
  <c r="A191" i="10"/>
  <c r="A827" i="10"/>
  <c r="A488" i="10"/>
  <c r="A434" i="10"/>
  <c r="A22" i="10"/>
  <c r="A417" i="10"/>
  <c r="A165" i="10"/>
  <c r="A309" i="10"/>
  <c r="A545" i="10"/>
  <c r="A665" i="10"/>
  <c r="A187" i="10"/>
  <c r="A773" i="10"/>
  <c r="A749" i="10"/>
  <c r="A455" i="10"/>
  <c r="A180" i="10"/>
  <c r="A806" i="10"/>
  <c r="A43" i="10"/>
  <c r="A170" i="10"/>
  <c r="A516" i="10"/>
  <c r="A790" i="10"/>
  <c r="A138" i="10"/>
  <c r="A544" i="10"/>
  <c r="A770" i="10"/>
  <c r="A204" i="10"/>
  <c r="A116" i="10"/>
  <c r="A474" i="10"/>
  <c r="A546" i="10"/>
  <c r="A270" i="10"/>
  <c r="A725" i="10"/>
  <c r="A809" i="10"/>
  <c r="A594" i="10"/>
  <c r="A853" i="10"/>
  <c r="A63" i="10"/>
  <c r="A505" i="10"/>
  <c r="A670" i="10"/>
  <c r="A849" i="10"/>
  <c r="A831" i="10"/>
  <c r="A621" i="10"/>
  <c r="A153" i="10"/>
  <c r="A10" i="10"/>
  <c r="A802" i="10"/>
  <c r="A326" i="10"/>
  <c r="A174" i="10"/>
  <c r="A820" i="10"/>
  <c r="A336" i="10"/>
  <c r="A261" i="10"/>
  <c r="A75" i="10"/>
  <c r="A592" i="10"/>
  <c r="A301" i="10"/>
  <c r="A50" i="10"/>
  <c r="A685" i="10"/>
  <c r="A584" i="10"/>
  <c r="A768" i="10"/>
  <c r="A491" i="10"/>
  <c r="A582" i="10"/>
  <c r="A332" i="10"/>
  <c r="A404" i="10"/>
  <c r="A226" i="10"/>
  <c r="A397" i="10"/>
  <c r="A409" i="10"/>
  <c r="A246" i="10"/>
  <c r="A618" i="10"/>
  <c r="A619" i="10"/>
  <c r="A305" i="10"/>
  <c r="A234" i="10"/>
  <c r="A556" i="10"/>
  <c r="A339" i="10"/>
  <c r="A705" i="10"/>
  <c r="A139" i="10"/>
  <c r="A467" i="10"/>
  <c r="A727" i="10"/>
  <c r="A292" i="10"/>
  <c r="A107" i="10"/>
  <c r="A569" i="10"/>
  <c r="A321" i="10"/>
  <c r="A647" i="10"/>
  <c r="A628" i="10"/>
  <c r="A45" i="10"/>
  <c r="A360" i="10"/>
  <c r="A775" i="10"/>
  <c r="A526" i="10"/>
  <c r="A558" i="10"/>
  <c r="A199" i="10"/>
  <c r="A354" i="10"/>
  <c r="A320" i="10"/>
  <c r="A587" i="10"/>
  <c r="A741" i="10"/>
  <c r="A168" i="10"/>
  <c r="A811" i="10"/>
  <c r="A186" i="10"/>
  <c r="A240" i="10"/>
  <c r="A387" i="10"/>
  <c r="A739" i="10"/>
  <c r="A772" i="10"/>
  <c r="A539" i="10"/>
  <c r="A294" i="10"/>
  <c r="A439" i="10"/>
  <c r="A498" i="10"/>
  <c r="A454" i="10"/>
  <c r="A33" i="10"/>
  <c r="A443" i="10"/>
  <c r="A613" i="10"/>
  <c r="A130" i="10"/>
  <c r="A412" i="10"/>
  <c r="A248" i="10"/>
  <c r="A643" i="10"/>
  <c r="A60" i="10"/>
  <c r="A358" i="10"/>
  <c r="A787" i="10"/>
  <c r="A437" i="10"/>
  <c r="A23" i="10"/>
  <c r="A213" i="10"/>
  <c r="A432" i="10"/>
  <c r="A855" i="10"/>
  <c r="A678" i="10"/>
  <c r="A95" i="10"/>
  <c r="A679" i="10"/>
  <c r="A503" i="10"/>
  <c r="A112" i="10"/>
  <c r="A325" i="10"/>
  <c r="A268" i="10"/>
  <c r="A345" i="10"/>
  <c r="A189" i="10"/>
  <c r="A693" i="10"/>
  <c r="A475" i="10"/>
  <c r="A141" i="10"/>
  <c r="A272" i="10"/>
  <c r="A40" i="10"/>
  <c r="A18" i="10"/>
  <c r="A183" i="10"/>
  <c r="A300" i="10"/>
  <c r="A453" i="10"/>
  <c r="A29" i="10"/>
  <c r="A250" i="10"/>
  <c r="A410" i="10"/>
  <c r="A785" i="10"/>
  <c r="A85" i="10"/>
  <c r="A429" i="10"/>
  <c r="A464" i="10"/>
  <c r="A838" i="10"/>
  <c r="A89" i="10"/>
  <c r="A538" i="10"/>
  <c r="A281" i="10"/>
  <c r="A825" i="10"/>
  <c r="A192" i="10"/>
  <c r="A380" i="10"/>
  <c r="A393" i="10"/>
  <c r="A176" i="10"/>
  <c r="A469" i="10"/>
  <c r="A637" i="10"/>
  <c r="A328" i="10"/>
  <c r="A55" i="10"/>
  <c r="A758" i="10"/>
  <c r="A535" i="10"/>
  <c r="A373" i="10"/>
  <c r="A577" i="10"/>
  <c r="A308" i="10"/>
  <c r="A451" i="10"/>
  <c r="A287" i="10"/>
  <c r="A253" i="10"/>
  <c r="A389" i="10"/>
  <c r="A80" i="10"/>
  <c r="A104" i="10"/>
  <c r="A626" i="10"/>
  <c r="A562" i="10"/>
  <c r="A645" i="10"/>
  <c r="A210" i="10"/>
  <c r="A41" i="10"/>
  <c r="A573" i="10"/>
  <c r="A813" i="10"/>
  <c r="A32" i="10"/>
  <c r="A13" i="10"/>
  <c r="A804" i="10"/>
  <c r="A108" i="10"/>
  <c r="A164" i="10"/>
  <c r="A98" i="10"/>
  <c r="A800" i="10"/>
  <c r="A126" i="10"/>
  <c r="A312" i="10"/>
  <c r="A523" i="10"/>
  <c r="A369" i="10"/>
  <c r="A672" i="10"/>
  <c r="A575" i="10"/>
  <c r="A504" i="10"/>
  <c r="A843" i="10"/>
  <c r="A822" i="10"/>
  <c r="A370" i="10"/>
  <c r="A65" i="10"/>
  <c r="A536" i="10"/>
  <c r="A216" i="10"/>
  <c r="A150" i="10"/>
  <c r="A7" i="10"/>
  <c r="A476" i="10"/>
  <c r="A313" i="10"/>
  <c r="A391" i="10"/>
  <c r="A719" i="10"/>
  <c r="A158" i="10"/>
  <c r="A416" i="10"/>
  <c r="A835" i="10"/>
  <c r="A403" i="10"/>
  <c r="A583" i="10"/>
  <c r="A473" i="10"/>
  <c r="A254" i="10"/>
  <c r="A622" i="10"/>
  <c r="A344" i="10"/>
  <c r="A717" i="10"/>
  <c r="A175" i="10"/>
  <c r="A572" i="10"/>
  <c r="A731" i="10"/>
  <c r="A356" i="10"/>
  <c r="A162" i="10"/>
  <c r="A399" i="10"/>
  <c r="A525" i="10"/>
  <c r="A559" i="10"/>
  <c r="A8" i="10"/>
  <c r="A324" i="10"/>
  <c r="A20" i="10"/>
  <c r="A520" i="10"/>
  <c r="A415" i="10"/>
  <c r="A597" i="10"/>
  <c r="A550" i="10"/>
  <c r="A318" i="10"/>
  <c r="A129" i="10"/>
  <c r="A135" i="10"/>
  <c r="A450" i="10"/>
  <c r="A457" i="10"/>
  <c r="A46" i="10"/>
  <c r="A291" i="10"/>
  <c r="A99" i="10"/>
  <c r="A111" i="10"/>
  <c r="A551" i="10"/>
  <c r="A396" i="10"/>
  <c r="A249" i="10"/>
  <c r="A737" i="10"/>
  <c r="A62" i="10"/>
  <c r="A367" i="10"/>
  <c r="A589" i="10"/>
  <c r="A794" i="10"/>
  <c r="A413" i="10"/>
  <c r="A223" i="10"/>
  <c r="A687" i="10"/>
  <c r="A260" i="10"/>
  <c r="A28" i="10"/>
  <c r="A68" i="10"/>
  <c r="A760" i="10"/>
  <c r="A829" i="10"/>
  <c r="A852" i="10"/>
  <c r="A662" i="10"/>
  <c r="A817" i="10"/>
  <c r="A88" i="10"/>
  <c r="A658" i="10"/>
  <c r="A78" i="10"/>
  <c r="A627" i="10"/>
  <c r="A67" i="10"/>
  <c r="A779" i="10"/>
  <c r="A847" i="10"/>
  <c r="A222" i="10"/>
  <c r="A133" i="10"/>
  <c r="A262" i="10"/>
  <c r="A494" i="10"/>
  <c r="A617" i="10"/>
  <c r="A500" i="10"/>
  <c r="A710" i="10"/>
  <c r="A625" i="10"/>
  <c r="A285" i="10"/>
  <c r="A134" i="10"/>
  <c r="A684" i="10"/>
  <c r="A448" i="10"/>
  <c r="A363" i="10"/>
  <c r="A49" i="10"/>
  <c r="A364" i="10"/>
  <c r="A716" i="10"/>
  <c r="A269" i="10"/>
  <c r="A411" i="10"/>
  <c r="A398" i="10"/>
  <c r="A26" i="10"/>
  <c r="A420" i="10"/>
  <c r="A346" i="10"/>
  <c r="A388" i="10"/>
  <c r="A296" i="10"/>
  <c r="A814" i="10"/>
  <c r="A238" i="10"/>
  <c r="A425" i="10"/>
  <c r="A382" i="10"/>
  <c r="A721" i="10"/>
  <c r="A683" i="10"/>
  <c r="A113" i="10"/>
  <c r="A851" i="10"/>
  <c r="A120" i="10"/>
  <c r="A517" i="10"/>
  <c r="A823" i="10"/>
  <c r="A243" i="10"/>
  <c r="A499" i="10"/>
  <c r="A258" i="10"/>
  <c r="A284" i="10"/>
  <c r="A21" i="10"/>
  <c r="A220" i="10"/>
  <c r="A202" i="10"/>
  <c r="A288" i="10"/>
  <c r="A744" i="10"/>
  <c r="A730" i="10"/>
  <c r="A799" i="10"/>
  <c r="A239" i="10"/>
  <c r="A447" i="10"/>
  <c r="A524" i="10"/>
  <c r="A653" i="10"/>
  <c r="A841" i="10"/>
  <c r="A707" i="10"/>
  <c r="A217" i="10"/>
  <c r="A372" i="10"/>
  <c r="A548" i="10"/>
  <c r="A729" i="10"/>
  <c r="A485" i="10"/>
  <c r="A5" i="10"/>
  <c r="A515" i="10"/>
  <c r="A666" i="10"/>
  <c r="A644" i="10"/>
  <c r="A347" i="10"/>
  <c r="A333" i="10"/>
  <c r="A244" i="10"/>
  <c r="A560" i="10"/>
  <c r="A608" i="10"/>
  <c r="A576" i="10"/>
  <c r="A72" i="10"/>
  <c r="A69" i="10"/>
  <c r="A661" i="10"/>
  <c r="A56" i="10"/>
  <c r="A423" i="10"/>
  <c r="A384" i="10"/>
  <c r="A81" i="10"/>
  <c r="A698" i="10"/>
  <c r="A266" i="10"/>
  <c r="A82" i="10"/>
  <c r="A651" i="10"/>
  <c r="A631" i="10"/>
  <c r="A196" i="10"/>
  <c r="A783" i="10"/>
  <c r="A427" i="10"/>
  <c r="A708" i="10"/>
  <c r="A306" i="10"/>
  <c r="A436" i="10"/>
  <c r="A251" i="10"/>
  <c r="A6" i="10"/>
  <c r="A479" i="10"/>
  <c r="A734" i="10"/>
  <c r="A834" i="10"/>
  <c r="A322" i="10"/>
  <c r="A25" i="10"/>
  <c r="A801" i="10"/>
  <c r="A492" i="10"/>
  <c r="A477" i="10"/>
  <c r="A359" i="10"/>
  <c r="A148" i="10"/>
  <c r="A748" i="10"/>
  <c r="A757" i="10"/>
  <c r="A231" i="10"/>
  <c r="A508" i="10"/>
  <c r="A407" i="10"/>
  <c r="A641" i="10"/>
  <c r="A805" i="10"/>
  <c r="A228" i="10"/>
  <c r="A298" i="10"/>
  <c r="A762" i="10"/>
  <c r="A497" i="10"/>
  <c r="A675" i="10"/>
  <c r="A732" i="10"/>
  <c r="A173" i="10"/>
  <c r="A752" i="10"/>
  <c r="A267" i="10"/>
  <c r="A16" i="10"/>
  <c r="A519" i="10"/>
  <c r="A703" i="10"/>
  <c r="A84" i="10"/>
  <c r="A273" i="10"/>
  <c r="A42" i="10"/>
  <c r="A93" i="10"/>
  <c r="A366" i="10"/>
  <c r="A94" i="10"/>
  <c r="A15" i="10"/>
  <c r="A215" i="10"/>
  <c r="A207" i="10"/>
  <c r="A181" i="10"/>
  <c r="A127" i="10"/>
  <c r="A229" i="10"/>
  <c r="A781" i="10"/>
  <c r="A201" i="10"/>
  <c r="A463" i="10"/>
  <c r="A563" i="10"/>
  <c r="A77" i="10"/>
  <c r="A611" i="10"/>
  <c r="A178" i="10"/>
  <c r="A599" i="10"/>
  <c r="A90" i="10"/>
  <c r="A362" i="10"/>
  <c r="A570" i="10"/>
  <c r="A478" i="10"/>
  <c r="A163" i="10"/>
  <c r="A277" i="10"/>
  <c r="A19" i="10"/>
  <c r="A349" i="10"/>
  <c r="A400" i="10"/>
  <c r="A507" i="10"/>
  <c r="A595" i="10"/>
  <c r="A629" i="10"/>
  <c r="A52" i="10"/>
  <c r="A209" i="10"/>
  <c r="A385" i="10"/>
  <c r="A271" i="10"/>
  <c r="A596" i="10"/>
  <c r="A789" i="10"/>
  <c r="A724" i="10"/>
  <c r="A91" i="10"/>
  <c r="A616" i="10"/>
  <c r="A532" i="10"/>
  <c r="A233" i="10"/>
  <c r="A755" i="10"/>
  <c r="A109" i="10"/>
  <c r="A206" i="10"/>
  <c r="A136" i="10"/>
  <c r="A495" i="10"/>
  <c r="A564" i="10"/>
  <c r="A612" i="10"/>
  <c r="A200" i="10"/>
  <c r="A791" i="10"/>
  <c r="A601" i="10"/>
  <c r="A489" i="10"/>
  <c r="A48" i="10"/>
  <c r="A788" i="10"/>
  <c r="A365" i="10"/>
  <c r="A828" i="10"/>
  <c r="A105" i="10"/>
  <c r="A681" i="10"/>
  <c r="A149" i="10"/>
  <c r="A620" i="10"/>
  <c r="A337" i="10"/>
  <c r="A97" i="10"/>
  <c r="A374" i="10"/>
  <c r="A264" i="10"/>
  <c r="A265" i="10"/>
  <c r="A310" i="10"/>
  <c r="A230" i="10"/>
  <c r="A610" i="10"/>
  <c r="A470" i="10"/>
  <c r="A278" i="10"/>
  <c r="A723" i="10"/>
  <c r="A83" i="10"/>
  <c r="A688" i="10"/>
  <c r="A702" i="10"/>
  <c r="A764" i="10"/>
  <c r="A836" i="10"/>
  <c r="A433" i="10"/>
  <c r="A152" i="10"/>
  <c r="A808" i="10"/>
  <c r="A406" i="10"/>
  <c r="A650" i="10"/>
  <c r="K111" i="23"/>
  <c r="K133" i="23"/>
  <c r="K63" i="23"/>
  <c r="K48" i="23"/>
  <c r="K75" i="2"/>
  <c r="K115" i="23"/>
  <c r="K72" i="2"/>
  <c r="K43" i="23"/>
  <c r="K41" i="23"/>
  <c r="K48" i="2"/>
  <c r="K17" i="23"/>
  <c r="K31" i="2"/>
  <c r="K85" i="23"/>
  <c r="K141" i="23"/>
  <c r="K64" i="2"/>
  <c r="K46" i="2"/>
  <c r="N25" i="24"/>
  <c r="K95" i="23"/>
  <c r="K52" i="2"/>
  <c r="K37" i="2"/>
  <c r="K132" i="23"/>
  <c r="K35" i="23"/>
  <c r="K47" i="2"/>
  <c r="K60" i="23"/>
  <c r="K21" i="23"/>
  <c r="K125" i="23"/>
  <c r="K15" i="23"/>
  <c r="K49" i="23"/>
  <c r="K25" i="23"/>
  <c r="K66" i="23"/>
  <c r="K69" i="23"/>
  <c r="N27" i="24"/>
  <c r="K72" i="23"/>
  <c r="K96" i="23"/>
  <c r="K78" i="23"/>
  <c r="N23" i="24"/>
  <c r="K109" i="23"/>
  <c r="K13" i="2"/>
  <c r="K76" i="2" s="1"/>
  <c r="K75" i="23"/>
  <c r="K23" i="2"/>
  <c r="K129" i="23"/>
  <c r="K32" i="23"/>
  <c r="K24" i="2"/>
  <c r="K74" i="2"/>
  <c r="N26" i="24"/>
  <c r="K36" i="23"/>
  <c r="K70" i="23"/>
  <c r="K116" i="23"/>
  <c r="K130" i="23"/>
  <c r="K120" i="23"/>
  <c r="K30" i="2"/>
  <c r="K52" i="23"/>
  <c r="K67" i="2"/>
  <c r="K98" i="23"/>
  <c r="K13" i="23"/>
  <c r="K90" i="23"/>
  <c r="K93" i="23"/>
  <c r="K100" i="23"/>
  <c r="K126" i="23"/>
  <c r="K113" i="23"/>
  <c r="K58" i="2"/>
  <c r="K121" i="23"/>
  <c r="K69" i="2"/>
  <c r="K105" i="23"/>
  <c r="K103" i="23"/>
  <c r="K28" i="2"/>
  <c r="K124" i="23"/>
  <c r="K57" i="2"/>
  <c r="K36" i="2"/>
  <c r="K128" i="23"/>
  <c r="K88" i="23"/>
  <c r="K64" i="23"/>
  <c r="K47" i="23"/>
  <c r="K134" i="23"/>
  <c r="K23" i="23"/>
  <c r="K89" i="23"/>
  <c r="Y2" i="10"/>
  <c r="Y1" i="10" s="1"/>
  <c r="K99" i="23"/>
  <c r="K65" i="23"/>
  <c r="K54" i="2"/>
  <c r="K60" i="2"/>
  <c r="K56" i="2"/>
  <c r="K34" i="2"/>
  <c r="K107" i="23"/>
  <c r="K91" i="23"/>
  <c r="K42" i="23"/>
  <c r="K26" i="2"/>
  <c r="K26" i="23"/>
  <c r="K54" i="23"/>
  <c r="K44" i="2"/>
  <c r="K49" i="2"/>
  <c r="K30" i="23"/>
  <c r="K61" i="23"/>
  <c r="K73" i="23"/>
  <c r="K131" i="23"/>
  <c r="K136" i="23"/>
  <c r="K79" i="23"/>
  <c r="K14" i="23"/>
  <c r="K71" i="2"/>
  <c r="K87" i="23"/>
  <c r="K51" i="23"/>
  <c r="K56" i="23"/>
  <c r="K142" i="23" l="1"/>
  <c r="N30" i="24"/>
</calcChain>
</file>

<file path=xl/comments1.xml><?xml version="1.0" encoding="utf-8"?>
<comments xmlns="http://schemas.openxmlformats.org/spreadsheetml/2006/main">
  <authors>
    <author/>
  </authors>
  <commentList>
    <comment ref="B272" authorId="0" shapeId="0">
      <text>
        <r>
          <rPr>
            <sz val="10"/>
            <color rgb="FF000000"/>
            <rFont val="Arial"/>
            <family val="2"/>
            <scheme val="minor"/>
          </rPr>
          <t xml:space="preserve">"Camera
18-55mm IS STM Black
Type: Digital AF/AE single-lens reflex camera with built-in flash
Recording Media: SD/SDHC/SDXC memory cards
SD speed class-compatible; UHS-I compatible; Compatible with Eye-Fi cards.
Image Format: Approx. 22.3 x 14.9mm (APS-C) 
Compatible Lenses: EF lenses (including EF-S lenses, excluding EF-M lenses)
Lens Mount: EF mount
Accessories: AC Adapter AC-E6N and Charger; Camera Bag"
</t>
        </r>
      </text>
    </comment>
  </commentList>
</comments>
</file>

<file path=xl/sharedStrings.xml><?xml version="1.0" encoding="utf-8"?>
<sst xmlns="http://schemas.openxmlformats.org/spreadsheetml/2006/main" count="29566" uniqueCount="4763">
  <si>
    <t>Name</t>
  </si>
  <si>
    <t>Link</t>
  </si>
  <si>
    <t>Description</t>
  </si>
  <si>
    <t>Encoded</t>
  </si>
  <si>
    <t>Backup ISP</t>
  </si>
  <si>
    <t>100-200MB Speed Leased Line</t>
  </si>
  <si>
    <t>10G SFP for FW</t>
  </si>
  <si>
    <t>FN-TRAN-SFP+SR
10 GE SFP+ transceiver module, short range for all systems with SFP+ and SFP/SFP+ slots.</t>
  </si>
  <si>
    <t>ok</t>
  </si>
  <si>
    <t>Redundant power supply</t>
  </si>
  <si>
    <t>SP-FG300E-PS
AC power supply for FG-300/301E, FG-400/401E, FG-500/501E, FG-600/601E, FAZ-200F/300F/800F and
FMG-200F/300F</t>
  </si>
  <si>
    <t>x</t>
  </si>
  <si>
    <t>Network Cabinet</t>
  </si>
  <si>
    <t>https://www.lazada.com.ph/products/4u-4-layer-data-cabinet-wallmounted-data-cabinet-600x450x230-w-2pcs-fan-1pc-pdu-6slot-assembled-i2235929681.html?spm=a2o4l.searchlist.list.9.4fe15f3c4jQNfz</t>
  </si>
  <si>
    <t>4U 4-Layer Data Cabinet Wallmounted Data Cabinet 600x450x230 W/ 2pcs Fan &amp; 1pc PDU 6Slot (ASSEMBLED)</t>
  </si>
  <si>
    <t>MM Patch Fiber</t>
  </si>
  <si>
    <t>Velcro Strap</t>
  </si>
  <si>
    <t>CCTV Enclosure</t>
  </si>
  <si>
    <t>Aluminum Ladder</t>
  </si>
  <si>
    <t>Foldable trolley</t>
  </si>
  <si>
    <t>Pvc Cable Wiring Duct</t>
  </si>
  <si>
    <t xml:space="preserve">2 port Wall Faceplate With Mounting Junction Box </t>
  </si>
  <si>
    <t>https://www.lazada.com.ph/products/ampcom-86-type-wall-faceplate-with-mounting-junction-box-networking-telephone-socket-outlet-mount-panel-for-rj45-rj11-module-i2398200671-s10925445225.html?spm=a2o4l.tm80167379.7779702790.1.1503baNpbaNpbT.1503baNpbaNpbT</t>
  </si>
  <si>
    <t>AMPCOM 86-type Wall Faceplate With Mounting Junction Box , Networking Telephone Socket Outlet Mount Panel For RJ45 RJ11 Module</t>
  </si>
  <si>
    <t>RJ11 RJ45 Faceplate Wall Socket Wallplate Face plate</t>
  </si>
  <si>
    <t>https://www.lazada.com.ph/products/ampcom-rj11-rj45-faceplate-wall-socket-wallplate-face-plate-1-port-2-port-4-port-networking-telephone-socket-outlet-mount-panel-i731792873.html?spm=a2o4l.store_product.list.73.6d951741ZnszOD</t>
  </si>
  <si>
    <t>RJ11 RJ45 Faceplate Wall Socket Wallplate Face plate 1-Port 2-Port 4-Port Networking Telephone Socket Outlet Mount Panel</t>
  </si>
  <si>
    <t>PVC Moulding</t>
  </si>
  <si>
    <t>100PCS RJ45 Connector Crimp Connection Terminals</t>
  </si>
  <si>
    <t>https://www.lazada.com.ph/products/ampcom-50100pcs-k1-rj45-connector-crimp-connection-terminals-uy1-connector-waterproof-wiring-ethernet-cable-telephone-cord-term-i874848616-s2776906574.html?</t>
  </si>
  <si>
    <t>Rj45 Connector Crimp Connection Terminals Connector Waterproof Connectors</t>
  </si>
  <si>
    <t>RJ45 Coupler, 8P8C Female Extender LAN Connector</t>
  </si>
  <si>
    <t>https://www.lazada.com.ph/products/ampcom-rj45-coupler-8p8c-female-extender-lan-connector-inline-cat6acat6cat5e-ethernet-cable-lightning-protection-i768890222.html?spm=a2o4l.store_product.list.87.6d951741ZnszOD</t>
  </si>
  <si>
    <t>RJ45 Coupler, 8P8C Female Extender LAN Connector Inline CAT6A/CAT6/CAT5E Ethernet Cable-Lightning Protection</t>
  </si>
  <si>
    <t>Screw driver set</t>
  </si>
  <si>
    <t>Presicion screw set</t>
  </si>
  <si>
    <t>19 inches Universal PDU 6 outlets with surge protection SPD module</t>
  </si>
  <si>
    <t>https://www.lazada.com.ph/products/ampcom-19-inches-universal-pdu-6-outlets-with-surge-protection-spd-module-1016a-power-strip-for-serve-room-cabinet-networking-i2953726890.html?spm=a2o4l.store_product.list.77.6d951741ZnszOD</t>
  </si>
  <si>
    <t>Patch Panel, 24 Port Patch Panel Pass-Through</t>
  </si>
  <si>
    <t>https://www.lazada.com.ph/products/ampcom-patch-panel-24-port-patch-panel-pass-through-rj45-stp-thru-coupler-patch-panel-with-backplane-rack-mount-1u-19-cat6cat7-stp-rj45-inline-coupler-keystone-jack-i2933882276.html?spm=a2o4l.store_product.list.92.6d951741ZnszOD</t>
  </si>
  <si>
    <t>Patch Panel, 24 Port Patch Panel Pass-Through, RJ45 STP Thru Coupler Patch Panel with Backplane, Rack Mount 1U 19", CAT6/CAT7 STP RJ45 Inline Coupler Keystone Jack</t>
  </si>
  <si>
    <t>Krone Punch Down Tool</t>
  </si>
  <si>
    <t>https://www.lazada.com.ph/products/ampcom-krone-punch-down-tool-multifunction-krone-kd-1-type-idcnetwork-wire-cat5e6-and-telephone-impact-terminal-insertion-tools-i2118481877.html?spm=a2o4l.store_product.list.102.6d951741ZnszOD</t>
  </si>
  <si>
    <t>Krone Punch Down Tool, Multifunction Krone KD-1 Type IDC/Network Wire CAT5E/6 And Telephone Impact Terminal Insertion Tools</t>
  </si>
  <si>
    <t>Punch Down Tool, 110 Type Multi-function Network Cable Tool Telephone Impact Terminal Insertion Tools for RJ45 RJ11</t>
  </si>
  <si>
    <t>https://www.lazada.com.ph/products/ampcom-punch-down-tool-110-type-multi-function-network-cable-tool-telephone-impact-terminal-insertion-tools-for-rj45-rj11-i761058684.html?spm=a2o4l.store_product.list.284.4e6417417qqYU8</t>
  </si>
  <si>
    <t>Telephone Patch Panel</t>
  </si>
  <si>
    <t>https://www.lazada.com.ph/products/ampcom-telephone-patch-panel-19-inch-rack-50u-gold-plated-voice-patch-panels-rj11-rj45-8p4c-6p4c-rj11-1u-cat3-2550-ports-i2331881783.html?spm=a2o4l.store_product.list.218.6d951741ZnszOD</t>
  </si>
  <si>
    <t>Telephone Patch Panel, 19 Inch Rack 50U Gold-Plated Voice Patch Panels RJ11 RJ45 8P4C 6P4C, RJ11 1U CAT3 25/50 Ports</t>
  </si>
  <si>
    <t>CAT6 RJ45 Pass Through Connectors</t>
  </si>
  <si>
    <t>https://www.lazada.com.ph/products/ampcom-cat6-rj45-pass-through-connectors-ez-to-crimp-modular-network-connector-for-computer-hardware-stranded-utp-cable-i3636247969.html?spm=a2o4l.store_product.list.262.6d951741ZnszOD</t>
  </si>
  <si>
    <t>CAT6 RJ45 Pass Through Connectors EZ to Crimp Modular Network Connector For Computer Hardware Stranded UTP Cable</t>
  </si>
  <si>
    <t>Network Cable Tester RJ45</t>
  </si>
  <si>
    <t>https://www.lazada.com.ph/products/ampcom-network-cable-tester-rj45-ethernet-cable-tester-lan-test-tool-for-cat5-cat6-cat7-8p-6p-lan-cable-and-rj11-telephone-cable-i3778676306.html?spm=a2o4l.store_product.list.349.6d951741ZnszOD</t>
  </si>
  <si>
    <t>Network Cable Tester RJ45 Ethernet Cable Tester Lan Test Tool For CAT5 CAT6 CAT7 8P 6P LAN Cable And RJ11 Telephone Cable</t>
  </si>
  <si>
    <t>M6 Cabinet Screws</t>
  </si>
  <si>
    <t>https://www.lazada.com.ph/products/ampcom-m6-cabinet-screws-rack-mount-cage-nuts-screws-and-washers-for-rack-mount-server-cabinet-rack-mount-server-shelves-routers-i3436741799.html?spm=a2o4l.store_product.list.354.6d951741ZnszOD</t>
  </si>
  <si>
    <t>M6 Cabinet Screws, Rack Mount Cage Nuts, Screws and Washers for Rack Mount Server Cabinet, Rack Mount Server Shelves, Routers</t>
  </si>
  <si>
    <t>Nylon Zip Ties Cable Label Mark Tags</t>
  </si>
  <si>
    <t>https://www.lazada.com.ph/products/ampcom-nylon-zip-ties-cable-label-mark-tags-write-on-ethernet-wire-self-locking-free-printable-labels-472-inches-5-color-i772404752.html?spm=a2o4l.store_product.list.250.4e6417417qqYU8</t>
  </si>
  <si>
    <t>Nylon Zip Ties Cable Label Mark Tags - Write On Ethernet Wire | Self-Locking | Free Printable Labels -4.72 Inches 5 Color</t>
  </si>
  <si>
    <t>RJ11 Telephone Converter</t>
  </si>
  <si>
    <t>https://www.lazada.com.ph/products/ampcom-510-pack-rj11-telephone-converter-rj-11-classic-6-pins-female-1-to-3-1-to-4-telephone-phone-cable-line-splitter-adapter-i946158676.html?spm=a2o4l.store_product.list.565.9fcd174140YnSV</t>
  </si>
  <si>
    <t>Pack RJ11 Telephone Converter RJ-11 Classic 6 Pins Female 1 to 3 &amp;1 to 4 Telephone Phone Cable Line Splitter Adapter</t>
  </si>
  <si>
    <t>Network Cable Patch Cord CAT6</t>
  </si>
  <si>
    <t>https://www.lazada.com.ph/products/ampcom-cat6-network-cable-rj45-lan-cable-24awg-utp-cat6-rj45-network-cable-patch-cord-for-desktop-computers-modem-router-i3073885557-s15151131668.html?</t>
  </si>
  <si>
    <t>CAT6 Network Cable RJ45, Lan Cable (24AWG) UTP CAT6 RJ45 Network Cable Patch Cord</t>
  </si>
  <si>
    <t>3M Double Sided Super Strength Molding Tape</t>
  </si>
  <si>
    <t>https://www.lazada.com.ph/products/3m-double-sided-super-strength-molding-tape-original-i3427762658-s17568015895.html?</t>
  </si>
  <si>
    <t>Epson L Series Pickup Roller / feeder</t>
  </si>
  <si>
    <t>https://www.lazada.com.ph/products/epson-l-series-pickup-roller-feeder-l110-l360-l300-l310-l120-l210-l220-l565-l550-m101-m100-ect-i484538299-s1266980386.html?spm=a2o4l.pdp_revamp.recommend_2.2.65306344w1akyq&amp;mp=1&amp;cid=101100019826011&amp;mp=1&amp;impsrc=&amp;ad_src=4700_3002:9158,1400_420:0.927620828151703,1400_522:0.2,1400_910:0.999997634018768&amp;pid_pvid=9d78563f12603a8cdfb36105612708d1&amp;sub_product_id=f&amp;pvtime=1688086827&amp;member_id=152340647&amp;mp=1&amp;cpc=104&amp;originalcpc=626&amp;highest_price=626&amp;adflag=3&amp;pdp_item=1792389213&amp;pa=sponsored_bottom&amp;did=7c9ca512-9a91-40ad-bbb4-a9928df96886&amp;adid=0&amp;bucketid=0&amp;sellerid=1000288176&amp;itemid=484538299&amp;ncid=101100019826011&amp;adgroup_id=860110320&amp;creative_id=2358346156&amp;brand_id=600&amp;category_id=11163&amp;pvid=7c9ca512-9a91-40ad-bbb4-a9928df96886&amp;abid=21120642,0,12656134,13242118,12449264,18752080,20139554,241175,11989614,12189920,21374428,21379290,21379160,13630928,21383974,12345564,12950436,21384354,12192860,17598570,18243582,21382958,10909580,21382700,12559250,20973806,12900842,12575244,12575180,14620714,12729396,8460342,21375870,16853112,331836,13296944,12793016,13198514,123,12091908,16608704,13057466,21383992&amp;nick=&amp;pos=-1&amp;regional_key=020803020000&amp;impsrc=&amp;crowd_id=&amp;one_id=&amp;</t>
  </si>
  <si>
    <t>Epson L Series Pickup Roller / feeder L110, L360, L300, L310 L120, L210, L220, L565, L550 M101, M100 ect.</t>
  </si>
  <si>
    <t>PURCHASE REQUEST</t>
  </si>
  <si>
    <r>
      <rPr>
        <b/>
        <sz val="11"/>
        <color rgb="FF000000"/>
        <rFont val="Arial"/>
        <family val="2"/>
      </rPr>
      <t xml:space="preserve">Entity Name:  </t>
    </r>
    <r>
      <rPr>
        <b/>
        <u/>
        <sz val="11"/>
        <color theme="1"/>
        <rFont val="Arial"/>
        <family val="2"/>
      </rPr>
      <t>BATAAN GENERAL HOSPITAL AND MEDICAL CENTER</t>
    </r>
  </si>
  <si>
    <r>
      <rPr>
        <sz val="10"/>
        <color rgb="FF000000"/>
        <rFont val="&quot;Times New Roman&quot;"/>
      </rPr>
      <t xml:space="preserve">Office/Section </t>
    </r>
    <r>
      <rPr>
        <b/>
        <sz val="10"/>
        <color theme="1"/>
        <rFont val="Times New Roman"/>
        <family val="1"/>
      </rPr>
      <t>IHOMP</t>
    </r>
    <r>
      <rPr>
        <sz val="10"/>
        <color theme="1"/>
        <rFont val="Times New Roman"/>
        <family val="1"/>
      </rPr>
      <t xml:space="preserve"> </t>
    </r>
  </si>
  <si>
    <t xml:space="preserve">   PR No.: ______________</t>
  </si>
  <si>
    <t>Date:</t>
  </si>
  <si>
    <t xml:space="preserve">   Responsibility Center Code : ___________</t>
  </si>
  <si>
    <t>Stock/ Property No.</t>
  </si>
  <si>
    <t xml:space="preserve">Unit </t>
  </si>
  <si>
    <t>Item Description</t>
  </si>
  <si>
    <t>1st Quarter</t>
  </si>
  <si>
    <t>2nd Quarter</t>
  </si>
  <si>
    <t>3rd Quarter</t>
  </si>
  <si>
    <t>4th Quarter</t>
  </si>
  <si>
    <t>Total Quantity</t>
  </si>
  <si>
    <t>Unit Cost</t>
  </si>
  <si>
    <t>Total Cost</t>
  </si>
  <si>
    <t xml:space="preserve">       SUB-TOTAL &gt;&gt;&gt;</t>
  </si>
  <si>
    <t>PPMP2025</t>
  </si>
  <si>
    <t>End User</t>
  </si>
  <si>
    <t>Original Quantity</t>
  </si>
  <si>
    <t>Unit</t>
  </si>
  <si>
    <t>Unit Price</t>
  </si>
  <si>
    <t>Original Budget</t>
  </si>
  <si>
    <t>Adjusted Quantity (editable)</t>
  </si>
  <si>
    <t>Adjusted Budget</t>
  </si>
  <si>
    <t>REMARKS</t>
  </si>
  <si>
    <t>Adjusted Quantity
(14Mil Budget)</t>
  </si>
  <si>
    <t>Budget</t>
  </si>
  <si>
    <t>1.5M Gigabit Cat6 Ethernet Patch Cable with RJ45 CAT6 High Quality</t>
  </si>
  <si>
    <t>IMISS</t>
  </si>
  <si>
    <t>10M Gigabit Cat6 Ethernet Patch Cable with RJ45 CAT6 High Quality</t>
  </si>
  <si>
    <t>pc</t>
  </si>
  <si>
    <t>10TB Surveillance Hard Drive SATA</t>
  </si>
  <si>
    <t>15M Gigabit Cat6 Ethernet Patch Cable with RJ45 CAT6 High Quality</t>
  </si>
  <si>
    <t>16GB Flash Drive</t>
  </si>
  <si>
    <t>Department of Pathology and Laboratory</t>
  </si>
  <si>
    <t>HEMODIALYSIS UNIT</t>
  </si>
  <si>
    <t>IICU</t>
  </si>
  <si>
    <t>PHARMACY</t>
  </si>
  <si>
    <t>1TB Slim Portable Hard Drive External HDD</t>
  </si>
  <si>
    <t>BILLING AND CLAIMS SECTION</t>
  </si>
  <si>
    <t>BUDGET</t>
  </si>
  <si>
    <t>CHPO</t>
  </si>
  <si>
    <t>CNO</t>
  </si>
  <si>
    <t>HRMO</t>
  </si>
  <si>
    <t>OSM</t>
  </si>
  <si>
    <t>set</t>
  </si>
  <si>
    <t>20M Gigabit Cat6 Ethernet Patch Cable with RJ45 CAT6 High Quality</t>
  </si>
  <si>
    <t>21.5" FHD LED Monitor</t>
  </si>
  <si>
    <t>MB 2ND</t>
  </si>
  <si>
    <t>MB 3RD</t>
  </si>
  <si>
    <t>OPD DFCM</t>
  </si>
  <si>
    <t>OPD ENT</t>
  </si>
  <si>
    <t>OPD MEDICAL</t>
  </si>
  <si>
    <t>OPD OB</t>
  </si>
  <si>
    <t>OPD OPTHA</t>
  </si>
  <si>
    <t>OPD PEDIA</t>
  </si>
  <si>
    <t>OPD SURGERY</t>
  </si>
  <si>
    <t>TB DOTS</t>
  </si>
  <si>
    <t>2TB Slim Portable Hard Drive External HDD</t>
  </si>
  <si>
    <t>DENTAL</t>
  </si>
  <si>
    <t>DEPARTMENT OF SURGERY</t>
  </si>
  <si>
    <t>HEART STATION</t>
  </si>
  <si>
    <t>30M Gigabit Cat6 Ethernet Patch Cable with RJ45 CAT6 High Quality</t>
  </si>
  <si>
    <t>32GB Flash Drive</t>
  </si>
  <si>
    <t>ACCOUNTING</t>
  </si>
  <si>
    <t>CHIEF OF MEDICAL PROFFESIONAL STAFF</t>
  </si>
  <si>
    <t>DEPARTMENT OF OTOLARYNGOLOGY-HEAD AND NECK SURGERY</t>
  </si>
  <si>
    <t>OR PACU</t>
  </si>
  <si>
    <t>3M Gigabit Cat6 Ethernet Patch Cable with RJ45 CAT6 High Quality</t>
  </si>
  <si>
    <t>480GB 2.5" Internal SSD</t>
  </si>
  <si>
    <t>4U 4-Layer Data Cabinet Wallmounted Data Cabinet</t>
  </si>
  <si>
    <t>5M Gigabit Cat6 Ethernet Patch Cable with RJ45 CAT6 High Quality</t>
  </si>
  <si>
    <t>7.0 Ah Replacement Battery (For UPS)</t>
  </si>
  <si>
    <t>A3 Full-Colour Digital Copier, Full-Colour Network Printer,&amp; Full-Colour Network Scanner</t>
  </si>
  <si>
    <t>EFMS</t>
  </si>
  <si>
    <t>Aluminum Step Ladder, FT-4 (4 Steps)</t>
  </si>
  <si>
    <t>Aluminum Step Ladder, FT-7 (7 Steps)</t>
  </si>
  <si>
    <t>Android Tablet 10.5"</t>
  </si>
  <si>
    <t>PICU</t>
  </si>
  <si>
    <t>Base Radio dual band with antenna</t>
  </si>
  <si>
    <t>DEPARTMENT OF EMERGENCY MEDICINE</t>
  </si>
  <si>
    <t>BATTERY AA 2S (2pcs/pack)</t>
  </si>
  <si>
    <t>pack</t>
  </si>
  <si>
    <t>BATTERY AAA 4S (2pcs/pack)</t>
  </si>
  <si>
    <t>Black &amp; White LASER NETWORK PRINTER with DUPLEX PRINTING</t>
  </si>
  <si>
    <t>Black &amp; White Monochrome MULTI-FUNCTIONAL MACHINE</t>
  </si>
  <si>
    <t xml:space="preserve">Black Nylon Cable Tie 2.5 x 100mm 100pcs/pack </t>
  </si>
  <si>
    <t xml:space="preserve">Black Nylon Cable Tie 2.5 x 140mm 100pcs/pack </t>
  </si>
  <si>
    <t xml:space="preserve">Black Nylon Cable Tie 3.6 x 140mm 100pcs/pack </t>
  </si>
  <si>
    <t xml:space="preserve">Black Nylon Cable Tie 3.6 x 200mm 100pcs/pack </t>
  </si>
  <si>
    <t xml:space="preserve">Black Nylon Cable Tie 3.6 x 300mm 100pcs/pack </t>
  </si>
  <si>
    <t xml:space="preserve">Black Nylon Cable Tie 4.8 x 200mm 100pcs/pack </t>
  </si>
  <si>
    <t xml:space="preserve">Black Nylon Cable Tie 4.8 x 250mm 100pcs/pack </t>
  </si>
  <si>
    <t xml:space="preserve">Black Nylon Cable Tie 4.8 x 300mm 100pcs/pack </t>
  </si>
  <si>
    <t xml:space="preserve">Black Nylon Cable Tie 4.8 x 400mm 100pcs/pack </t>
  </si>
  <si>
    <t>Branded Desktop Computer Set</t>
  </si>
  <si>
    <t>BLOODBANK</t>
  </si>
  <si>
    <t>CSSR</t>
  </si>
  <si>
    <t>DEPARTMEMT OF FAMILY AND COMMUNITY MEDICINE / EMPLOYEES' CLINIC / SDN</t>
  </si>
  <si>
    <t xml:space="preserve">DEPARTMENT OF ANESTHESIOLOGY </t>
  </si>
  <si>
    <t>HD FINANCE</t>
  </si>
  <si>
    <t>HIRM</t>
  </si>
  <si>
    <t>NICU 1</t>
  </si>
  <si>
    <t>Nutrition and Dietetics Department</t>
  </si>
  <si>
    <t>PEDIA 1ST</t>
  </si>
  <si>
    <t>PEDIA 3RD</t>
  </si>
  <si>
    <t>PETRO</t>
  </si>
  <si>
    <t>RTU</t>
  </si>
  <si>
    <t>SURGERY COMPLEX</t>
  </si>
  <si>
    <t>Branded Laptop</t>
  </si>
  <si>
    <t>Brother Genuine Ink BT5000C</t>
  </si>
  <si>
    <t>PROPERTY AND SUPPLY SECTION</t>
  </si>
  <si>
    <t>Brother Genuine Ink BT5000M</t>
  </si>
  <si>
    <t>Brother Genuine Ink BT5000Y</t>
  </si>
  <si>
    <t>Brother Genuine Ink BT6000BK</t>
  </si>
  <si>
    <t>CAT 6 Cable, U/UTP, Indoor 305 meters</t>
  </si>
  <si>
    <t>box</t>
  </si>
  <si>
    <t>CAT6/CAT5e Tool-Less Keystone Jack; High Quality</t>
  </si>
  <si>
    <t>CCTV Outdoor Junction Box 100x100x70mm</t>
  </si>
  <si>
    <t>Cordless Screwdriver Kit Set</t>
  </si>
  <si>
    <t>Desktop Type Document Scanner</t>
  </si>
  <si>
    <t>PLANNING AND MANAGEMENT UNIT</t>
  </si>
  <si>
    <t>Dot Matrix Printer 24-Pin</t>
  </si>
  <si>
    <t>DR</t>
  </si>
  <si>
    <t>EMERGENCY DEPARTMENT</t>
  </si>
  <si>
    <t>MB 5TH</t>
  </si>
  <si>
    <t>Epson Genuine Ink (003) Black</t>
  </si>
  <si>
    <t>DCC</t>
  </si>
  <si>
    <t>DEPARTMENT OF MEDICAL IMAGING</t>
  </si>
  <si>
    <t>New Total</t>
  </si>
  <si>
    <t>HEPO</t>
  </si>
  <si>
    <t>Infectious</t>
  </si>
  <si>
    <t xml:space="preserve">INTERNAL MEDICINE </t>
  </si>
  <si>
    <t>ISOL 2ND</t>
  </si>
  <si>
    <t>MB 4TH</t>
  </si>
  <si>
    <t>PHYSICAL MEDICINE AND REHABILITATION</t>
  </si>
  <si>
    <t>Epson Genuine Ink (003) Cyan</t>
  </si>
  <si>
    <t>Epson Genuine Ink (003) Magenta</t>
  </si>
  <si>
    <t>Epson Genuine Ink (003) Yellow</t>
  </si>
  <si>
    <t>Epson Genuine Ink T6641 Black</t>
  </si>
  <si>
    <t>Animal Bite</t>
  </si>
  <si>
    <t>MSS</t>
  </si>
  <si>
    <t>PROCUREMENT SECTION</t>
  </si>
  <si>
    <t>Epson Genuine Ink T6642 Cyan</t>
  </si>
  <si>
    <t>Epson Genuine Ink T6643 Magenta</t>
  </si>
  <si>
    <t>Epson Genuine Ink T6644 Yellow</t>
  </si>
  <si>
    <t>EPSON LQ310 Ribbon Cartridge (SO15634)</t>
  </si>
  <si>
    <t>Ergonomic Chair Design Metal Base</t>
  </si>
  <si>
    <t>Extreme Instant Glue Gel 3g</t>
  </si>
  <si>
    <t>Fiberglass Extension Ladder, (8-13 ft)</t>
  </si>
  <si>
    <t>Foldable Platform Truck, 300kgs (Steel)</t>
  </si>
  <si>
    <t>Hand-Held Radio dual band</t>
  </si>
  <si>
    <t>HDMI 2.0 Cable 4K 10m</t>
  </si>
  <si>
    <t>HDMI 2.0 Cable 4K 1m</t>
  </si>
  <si>
    <t>HP Genuine Ink Refill - (GT52) Cyan</t>
  </si>
  <si>
    <t>HP Genuine Ink Refill - (GT52) Magenta</t>
  </si>
  <si>
    <t>HP Genuine Ink Refill - (GT52) Yellow</t>
  </si>
  <si>
    <t>HP Genuine Ink Refill - (GT53) Black</t>
  </si>
  <si>
    <t>HP Printhead Black compatible with the existing HP Smart Tank 515</t>
  </si>
  <si>
    <t>HP Printhead Tri-color compatible with the existing HP Smart Tank 515</t>
  </si>
  <si>
    <t>ID Card Printer Genuine Color Ribbon (650643)</t>
  </si>
  <si>
    <t>Keyboard, Full Size, USB 2.0</t>
  </si>
  <si>
    <t>MB 1ST</t>
  </si>
  <si>
    <t>NSU</t>
  </si>
  <si>
    <t>OB COMPLEX</t>
  </si>
  <si>
    <t>M6 Cabinet Screws 100pcs/pack</t>
  </si>
  <si>
    <t>Mouse, Optical, USB 2.0</t>
  </si>
  <si>
    <t>Network Cable Tester RJ45 RJ11 Network LAN Ethernet</t>
  </si>
  <si>
    <t>Nylon Zip Ties Cable Label Mark Tags 100pcs/pack</t>
  </si>
  <si>
    <t>Printable PVC Pre-Cut Cards</t>
  </si>
  <si>
    <t>Professional Presenter Wireless Presentation Clicker Remote</t>
  </si>
  <si>
    <t>Projector</t>
  </si>
  <si>
    <t>Rj11 Connector</t>
  </si>
  <si>
    <t>RJ11 Telephone Converter 10pcs/pack</t>
  </si>
  <si>
    <t>RJ45 Connector Crimp Connection Terminals 100pcs/pack</t>
  </si>
  <si>
    <t>Rj45 Connectors for CAT6 (100pcs Clear)</t>
  </si>
  <si>
    <t>Rj45 Metal Shield Connectors for CAT6 (100pcs)</t>
  </si>
  <si>
    <t>Single Line Telephone (Black)</t>
  </si>
  <si>
    <t>Stereo Digital Voice Recorder with Built-in USB</t>
  </si>
  <si>
    <t>Stereo Speakers</t>
  </si>
  <si>
    <t>Super Strength Molding Tape Double Sided Tape 1/2" x 15ft</t>
  </si>
  <si>
    <t>Super Strength Molding Tape Double Sided Tape 7/8" x 15ft</t>
  </si>
  <si>
    <t>Thermal Paste Syringe</t>
  </si>
  <si>
    <t>Thermal POS Receipt Printer</t>
  </si>
  <si>
    <t>Touch-style Fingerprint Reader</t>
  </si>
  <si>
    <t>UPS 1200VA, AVR, 230V</t>
  </si>
  <si>
    <t>UPS 650VA, AVR, 230V</t>
  </si>
  <si>
    <t>USB Computer Headset</t>
  </si>
  <si>
    <t>VDE Insulated Flat Phillips Handle Screwdrivers Set Insulated</t>
  </si>
  <si>
    <t>Velcro Straps Cable Organizer 3m/roll</t>
  </si>
  <si>
    <t>roll</t>
  </si>
  <si>
    <t>Walkie Talkie Dual Band Handheld Two Way Radio</t>
  </si>
  <si>
    <t>Webcam Professional Full HD</t>
  </si>
  <si>
    <t>White Nylon Cable Tie 2.5 x 100mm 100pcs/pack</t>
  </si>
  <si>
    <t>White Nylon Cable Tie 2.5 x 140mm 100pcs/pack</t>
  </si>
  <si>
    <t>White Nylon Cable Tie 3.6 x 140mm 100pcs/pack</t>
  </si>
  <si>
    <t>White Nylon Cable Tie 3.6 x 200mm 100pcs/pack</t>
  </si>
  <si>
    <t>White Nylon Cable Tie 3.6 x 300mm 100pcs/pack</t>
  </si>
  <si>
    <t>White Nylon Cable Tie 4.8 x 200mm 100pcs/pack</t>
  </si>
  <si>
    <t>White Nylon Cable Tie 4.8 x 250mm 100pcs/pack</t>
  </si>
  <si>
    <t>White Nylon Cable Tie 4.8 x 300mm 100pcs/pack</t>
  </si>
  <si>
    <t>White Nylon Cable Tie 4.8 x 400mm 100pcs/pack</t>
  </si>
  <si>
    <t xml:space="preserve">WiFi 6 Access Point Dual-band </t>
  </si>
  <si>
    <t>Wired USB Numeric Keypad (Black)</t>
  </si>
  <si>
    <t>For Addendum</t>
  </si>
  <si>
    <t>Quantity</t>
  </si>
  <si>
    <t xml:space="preserve">Total Cost </t>
  </si>
  <si>
    <t>Remarks</t>
  </si>
  <si>
    <t>CAT 6 Cable, U/UTP, Indoor 305 meters
AWG: 24
Stranding: Solid
Material: BC - Bare Copper
No. of Pairs: 4
Material: PO - Polyolefin
Outer Jacket: PVC - Polyvinyl Chloride
ISO/IEC Compliance: ISO/IEC 11801</t>
  </si>
  <si>
    <t>ppmp2025</t>
  </si>
  <si>
    <t>CAT6 Cable, UTP, OUTDOOR 305 meters
Conductor size:  23AWG
No. of Conductor:  4P
Pure Copper</t>
  </si>
  <si>
    <t>COLLAPSIBLE HAND TRUCK
Heavy duty metal coated
70kg max capacity or more
Folds for compact storage
Light weight</t>
  </si>
  <si>
    <t>RJ11 To RJ11 Cable Telephone Wire Ready-To-Use (3mtrs)</t>
  </si>
  <si>
    <t>CAT6/CAT5e Tool-Less Keystone Jack; High Quality
Backwards compatible to 10/100/1000 Mbps Ethernet CAT5 CAT5E CAT6
Labeled for T568A and T568B wiring scheme next to wire clips;
It accepts 22 to 26 AWG solid Ethernet Patch Cords</t>
  </si>
  <si>
    <t>8 10/100/1000Mbps RJ45 Ports
(Auto Negotiation/Auto MDI/MDIX)
2 1000Mbps SFP Slots
Bandwidth: 20Gbps or more
Supports up to 4K VLANs simultaneously
Fan Quantity: Fanless
Inclusion: Power Cord; Rackmount Kit
Warranty: 1 year or more</t>
  </si>
  <si>
    <t>8 Port Gigabit Network Switch with 4-Port PoE+
Interface: 8 10/100/1000 Mbps ports, Auto Negotiation
PoE Standard: 802.3af/at
Switching Capacity: at least 16Gbps
Fan Quantity: Fanless
Warranty: 1 year or more</t>
  </si>
  <si>
    <t>UPS 1200VA, AVR, 230V
Rated power in W: 650W
Power socket outlets: 4 universal 1 IEC 60320 C13
Cable length: at least 1m
Number of cables: 1
Battery type: Lead-acid battery
Warranty: 2 years or more</t>
  </si>
  <si>
    <t>4U 4-Layer Data Cabinet Wallmounted Data Cabinet
Wallmounted Data Cabinet 600x450x230 W/ 2pcs Fan &amp; 1pc PDU 6Slot (ASSEMBLED)</t>
  </si>
  <si>
    <t>M6 x 16mm Rack Mount Cage Nuts, Screws And Washers For Rack Mount Server Cabinet (100pcs)</t>
  </si>
  <si>
    <t>2mtr 80mmx80mm PVC Cable Tray/Duct Slotted PVC (White or Light Gray)</t>
  </si>
  <si>
    <t>Flex cable set compatible with the existing Epson L3110</t>
  </si>
  <si>
    <t xml:space="preserve">Paper feeder rubber set compatible with the existing Epson L3110, L3210 </t>
  </si>
  <si>
    <t>Paper feeder rubber set compatible with the existing Epson L120</t>
  </si>
  <si>
    <t>Laminated 12mm Black on White label tape compatible with the existing brother Label Maker PT-D400</t>
  </si>
  <si>
    <t>Bolt Expansion Sleeve Anchor Concrete 5/16"</t>
  </si>
  <si>
    <t>Bolt Expansion Sleeve Anchor Concrete 1/4"</t>
  </si>
  <si>
    <t>Tox with Screw 6mm (50pcs)</t>
  </si>
  <si>
    <t>6 Gang Extension Cord w/ Switch and 1.75 Meter Wire
Max. Capacity: 2500W
Voltage Surge Protector
1 Neon Switch w/ Circuit Breaker
6 Parallel Outlets w/ Grounding, 90° outlet orientation
With line/noise filter
Royal Cord #16/3 (1.75 meters)
Metal casing: Powder-coated</t>
  </si>
  <si>
    <t>1U PDU 8 Outlet Metal Power Strip Surge Protector 10A 2500W with 1.5m or longer Extension Cord for 19 inch Server Rack</t>
  </si>
  <si>
    <t>Fiberglass Extension Ladder, (8-13 ft)
Kruger Fiberglass Extension Ladder, (8-13 Rungs)
Load Capacity: 300 lbs
Reaches from 8 ft to an extendable length of 13 ft
Height: 8 ft to 13 ft
Self-leveling 2-way swivel safety shoes
Main Material: Fiberglass</t>
  </si>
  <si>
    <t>Rj45 Metal Shield Connectors for CAT6 (100pcs)
Rj45 Metal Shield Connectors high quality</t>
  </si>
  <si>
    <t>Super Strength Molding Tape Double Sided Tape 1/2" x 15ft
Self sticking adhesive on both sides</t>
  </si>
  <si>
    <t>Super Strength Molding Tape Double Sided Tape 7/8" x 15ft
Self sticking adhesive on both sides</t>
  </si>
  <si>
    <t>Thermal Paste Syringe
Thermal Conductive Grease Paste For CPU GPU High Quality
30g or more</t>
  </si>
  <si>
    <t>Velcro Straps Cable Organizer 3m/roll
Network cable organizer Nylon</t>
  </si>
  <si>
    <t>10M Gigabit Cat6 Ethernet Patch Cable with RJ45 CAT6 High Quality
Gigabit Speed and Ready to Use Cable
Cable Category: Cat6/Cat6e
Machine Crimped</t>
  </si>
  <si>
    <t>15M Gigabit Cat6 Ethernet Patch Cable with RJ45 CAT6 High Quality
Gigabit Speed and Ready to Use Cable
Cable Category: Cat6/Cat6e
Machine Crimped</t>
  </si>
  <si>
    <t>2 port Wall Faceplate With Mounting Junction Box (set)
Wall Faceplate With Mounting Junction Box , Networking Telephone Socket Outlet Mount Panel For RJ45 RJ11 Module</t>
  </si>
  <si>
    <t>20M Gigabit Cat6 Ethernet Patch Cable with RJ45 CAT6 High Quality
Gigabit Speed and Ready to Use Cable
Cable Category: Cat6/Cat6e
Machine Crimped</t>
  </si>
  <si>
    <t>3M Gigabit Cat6 Ethernet Patch Cable with RJ45 CAT6 High Quality
Gigabit Speed and Ready to Use Cable
Cable Category: Cat6/Cat6e
Machine Crimped</t>
  </si>
  <si>
    <t>5M Gigabit Cat6 Ethernet Patch Cable with RJ45 CAT6 High Quality
Gigabit Speed and Ready to Use Cable
Cable Category: Cat6/Cat6e
Machine Crimped</t>
  </si>
  <si>
    <t>Aluminum Step Ladder, FT-4 (4 Steps)
Foldable and lightweight
Load Capacity: 300 lbs
Tall Extended Handrail and Extra Large Platform Area
High Strength Aluminum</t>
  </si>
  <si>
    <t>Aluminum Step Ladder, FT-7 (7 Steps)
Foldable and lightweight
Load Capacity: 300 lbs
Tall Extended Handrail and Extra Large Platform Area
High Strength Aluminum</t>
  </si>
  <si>
    <t>1.5M Gigabit Cat6 Ethernet Patch Cable with RJ45 CAT6 High Quality
Gigabit Speed and Ready to Use Cable
Cable Category: Cat6/Cat6e
Machine Crimped</t>
  </si>
  <si>
    <t>PROJECT PROCUREMENT MANAGEMENT PLAN 2025</t>
  </si>
  <si>
    <t>Charged to GAA</t>
  </si>
  <si>
    <t>Projects, Programs and Activities (PAPs)</t>
  </si>
  <si>
    <t>Item No.</t>
  </si>
  <si>
    <t>Item Description / General Specification</t>
  </si>
  <si>
    <t>Estimated Budget</t>
  </si>
  <si>
    <t>Mode of Procurement</t>
  </si>
  <si>
    <t>SCHEDULE/MILESTONE OF ACTIVITIES</t>
  </si>
  <si>
    <t>Q1</t>
  </si>
  <si>
    <t>Jan</t>
  </si>
  <si>
    <t>Feb</t>
  </si>
  <si>
    <t>Mar</t>
  </si>
  <si>
    <t>Q2</t>
  </si>
  <si>
    <t>Apr</t>
  </si>
  <si>
    <t>May</t>
  </si>
  <si>
    <t>June</t>
  </si>
  <si>
    <t>Q3</t>
  </si>
  <si>
    <t>July</t>
  </si>
  <si>
    <t>Aug</t>
  </si>
  <si>
    <t>Sept</t>
  </si>
  <si>
    <t>Q4</t>
  </si>
  <si>
    <t>Oct</t>
  </si>
  <si>
    <t>Nov</t>
  </si>
  <si>
    <t>Dec</t>
  </si>
  <si>
    <t>ICT</t>
  </si>
  <si>
    <t>Public Bidding</t>
  </si>
  <si>
    <t>SUB TOTAL</t>
  </si>
  <si>
    <t>SEMI EXPENDABLE</t>
  </si>
  <si>
    <t>TOTAL AMOUNT</t>
  </si>
  <si>
    <t>Prepared by:</t>
  </si>
  <si>
    <t>Recommending Approval:</t>
  </si>
  <si>
    <t>Approved by:</t>
  </si>
  <si>
    <t>IAN GUY C. MENDOZA</t>
  </si>
  <si>
    <t>GLORY V. BALTAZAR, MD, MPH, MHA, CESe</t>
  </si>
  <si>
    <t>CMT III</t>
  </si>
  <si>
    <t>OIC -  Chief Administrative Officer</t>
  </si>
  <si>
    <t>Head of Procuring Entity (HOPE)</t>
  </si>
  <si>
    <t>End USer</t>
  </si>
  <si>
    <t>10 GE SFP+ transceiver module compatible with the existing FortiGATE-601E Firewall</t>
  </si>
  <si>
    <t>1Gbps Internet Subscription (Leased Line)</t>
  </si>
  <si>
    <t>1TB Portable SSD</t>
  </si>
  <si>
    <t>2.5 &amp; 3.5 Inch SATA2.0 USB3.0 1 to 3 Clone External Hard Drive Dock</t>
  </si>
  <si>
    <t>27inch Curved Monitor</t>
  </si>
  <si>
    <t>42U Server Data Rack</t>
  </si>
  <si>
    <t xml:space="preserve">550 Watt 80 Plus Bronze Certified PSU ATX </t>
  </si>
  <si>
    <t>64GB Flash Drive</t>
  </si>
  <si>
    <t>8 Port Gigabit Network Switch with 4-Port PoE+</t>
  </si>
  <si>
    <t>8-Port Gigabit L2 Managed Switch with 2 SFP Slots</t>
  </si>
  <si>
    <t>A3 Black &amp; White MULTI-FUNCTIONAL
HEAVY-DUTY DIGITAL COPIER</t>
  </si>
  <si>
    <t>Aluminum Step Ladder, FT-6 (6 Steps)</t>
  </si>
  <si>
    <t>BATTERY 9V</t>
  </si>
  <si>
    <t>Black Original LaserJet Toner Cartridge</t>
  </si>
  <si>
    <t>Camera DSLR</t>
  </si>
  <si>
    <t>CAT6 Cable, UTP, OUTDOOR 305 meters (Pure Copper)</t>
  </si>
  <si>
    <t>Cellphone (Android)</t>
  </si>
  <si>
    <t>Collapsible Hand Truck</t>
  </si>
  <si>
    <t>Colored Toner Cartridge Set for the existing ECOSYS M5521CDW</t>
  </si>
  <si>
    <t>PRAISE COMMITTEE</t>
  </si>
  <si>
    <t>Colored Toner Cartridge Set for the existing ECOSYS M8124CIDN</t>
  </si>
  <si>
    <t>Colored Toner Cartridge Set for the existing ECOSYS P6230CDN</t>
  </si>
  <si>
    <t>Cordless Blower 18V</t>
  </si>
  <si>
    <t>Core Stackable Managed Switch with 20x10G SFP+ Module for Multimode fiber compatible with the existing CBS350-24XS</t>
  </si>
  <si>
    <t>Desktop Gooseneck Condenser Microphone</t>
  </si>
  <si>
    <t>Distribution Stackable Managed Switch with 4x10G SFP+ Module for Multimode fiber compatible with the existing CBS350-24FP-4X</t>
  </si>
  <si>
    <t>Flex cable set compatible for printer</t>
  </si>
  <si>
    <t>Fortinet Firewall Annual Subscription, Website Hosting &amp; SMS, Google, ZOOM Subscription, Software as a service (SaaS)</t>
  </si>
  <si>
    <t>Fortinet Firewall with Annual Subscription and 4x10G SFP+ transceiver module compatible with the existing FortiGATE-601E for HA configuration and deployment.</t>
  </si>
  <si>
    <t>Gigabit PCI Express Network Adapter</t>
  </si>
  <si>
    <t>HP 107A Black Original Laser Toner Cartridge</t>
  </si>
  <si>
    <t>HP 17A Black Original LaserJet Toner Cartridge</t>
  </si>
  <si>
    <t>HP 680 Black Original Ink Advantage Cartridge</t>
  </si>
  <si>
    <t>HP 680 Tri-Color Ink Cartridge</t>
  </si>
  <si>
    <t>HP 85A Black Original LaserJet Toner Cartridge</t>
  </si>
  <si>
    <t>Ink Tank Printer</t>
  </si>
  <si>
    <t>HUMAN MILK BANK</t>
  </si>
  <si>
    <t>Laminated 12mm Black on White label tape</t>
  </si>
  <si>
    <t>Maintenance and Upgrade of Desktop, Laptop, Server, DOH/DICT Cybersecurity Equipment compliance, Copier, Printer, Network, PABX, CCTV and Paging System</t>
  </si>
  <si>
    <t>Maintenance Kit for the existing ECOSYS M2535DN/L</t>
  </si>
  <si>
    <t>Maintenance Kit for the existing ECOSYS M3645DN</t>
  </si>
  <si>
    <t>Maintenance Kit for the existing ECOSYS M4125IDN</t>
  </si>
  <si>
    <t>Maintenance Kit for the existing ECOSYS M4132IDN</t>
  </si>
  <si>
    <t>Maintenance Kit for the existing FS-6525MFP</t>
  </si>
  <si>
    <t>Maintenance Kit for the existing TASKALFA 3212I</t>
  </si>
  <si>
    <t>Mini PC</t>
  </si>
  <si>
    <t>Multimedia Controller</t>
  </si>
  <si>
    <t>ONER CARTRIDGE, (TN263M) Magenta</t>
  </si>
  <si>
    <t>Paper feeder rubber set for printer</t>
  </si>
  <si>
    <t>PC-Connectable Label Maker with 10pcs 12mm Laminated Tape</t>
  </si>
  <si>
    <t>PVC Cable Tray (2mtr)</t>
  </si>
  <si>
    <t>Replacement Battery APCRBC175 for the existing BVX1200LI-MS</t>
  </si>
  <si>
    <t>RJ45 Crimp Tool Pass Through Cat5 Cat5e Cat6</t>
  </si>
  <si>
    <t>Smart Phone Bill for Telemedicine</t>
  </si>
  <si>
    <t>Telephone Wire (3mtrs)</t>
  </si>
  <si>
    <t>Toner Cartridge for the existing Brother DCP L2540DW</t>
  </si>
  <si>
    <t>Toner Cartridge for the existing Canon Imageclass MF543x</t>
  </si>
  <si>
    <t>Toner Cartridge for the existing ECOSYS M2535DN/L</t>
  </si>
  <si>
    <t>Toner Cartridge for the existing ECOSYS M2540DN/L</t>
  </si>
  <si>
    <t>Toner Cartridge for the existing ECOSYS M2640IDW/L</t>
  </si>
  <si>
    <t>Toner Cartridge for the existing ECOSYS M3145DN</t>
  </si>
  <si>
    <t>Toner Cartridge for the existing ECOSYS M3645DN</t>
  </si>
  <si>
    <t>Toner Cartridge for the existing ECOSYS M4125IDN</t>
  </si>
  <si>
    <t>Toner Cartridge for the existing ECOSYS M4132IDN</t>
  </si>
  <si>
    <t>Toner Cartridge for the existing ECOSYS M5521CDW</t>
  </si>
  <si>
    <t>Toner Cartridge for the existing ECOSYS M8124CIDN</t>
  </si>
  <si>
    <t>Toner Cartridge for the existing ECOSYS P2040DN</t>
  </si>
  <si>
    <t>Toner Cartridge for the existing ECOSYS P6230CDN</t>
  </si>
  <si>
    <t>Toner Cartridge for the existing FS-6525MFP</t>
  </si>
  <si>
    <t>Toner Cartridge for the existing TASKALFA 3212I</t>
  </si>
  <si>
    <t>TONER CARTRIDGE, (TN263BK) Black</t>
  </si>
  <si>
    <t>TONER CARTRIDGE, (TN263C) Cyan</t>
  </si>
  <si>
    <t>TONER CARTRIDGE, (TN263Y) Yellow</t>
  </si>
  <si>
    <t>SUM of Total Quantity</t>
  </si>
  <si>
    <t>Price</t>
  </si>
  <si>
    <t>Total</t>
  </si>
  <si>
    <t>Total Amount</t>
  </si>
  <si>
    <r>
      <rPr>
        <sz val="11"/>
        <color rgb="FF000000"/>
        <rFont val="Calibri, sans-serif"/>
      </rPr>
      <t xml:space="preserve">END-USER/UNIT: </t>
    </r>
    <r>
      <rPr>
        <b/>
        <sz val="11"/>
        <color rgb="FF000000"/>
        <rFont val="Calibri, sans-serif"/>
      </rPr>
      <t>IHOMP</t>
    </r>
  </si>
  <si>
    <t>Jocelyn S. Bongco, MD</t>
  </si>
  <si>
    <t>Chief Administrative Officer</t>
  </si>
  <si>
    <t>Total price</t>
  </si>
  <si>
    <t>QTY1</t>
  </si>
  <si>
    <t>QTY2</t>
  </si>
  <si>
    <t>Jun</t>
  </si>
  <si>
    <t>QTY3</t>
  </si>
  <si>
    <t>QTY4</t>
  </si>
  <si>
    <t>IHOMP REMARKS</t>
  </si>
  <si>
    <t>New Total Quantity</t>
  </si>
  <si>
    <t>Kyocera New QTY</t>
  </si>
  <si>
    <t>SUPPLY ON-HAND</t>
  </si>
  <si>
    <t>Desktop Mid Range Users</t>
  </si>
  <si>
    <t>UNIT</t>
  </si>
  <si>
    <t>PUBLIC BIDDLING</t>
  </si>
  <si>
    <t>DOT Matrix Printer 9 pins</t>
  </si>
  <si>
    <t>High-definition web cameras</t>
  </si>
  <si>
    <t>Uninterruptible Power Supply (UPS)</t>
  </si>
  <si>
    <t>Noise cancelling microphone</t>
  </si>
  <si>
    <t>8 Port Gigabit Network Switch 10/100/1000Mbps</t>
  </si>
  <si>
    <t>N/A</t>
  </si>
  <si>
    <t>Epson LQ-310 (S015634) Ribbon Cartridge</t>
  </si>
  <si>
    <t>Kyocera ECO SYS TONER KIT-1147</t>
  </si>
  <si>
    <t>Kyocera ECO SYS Fuser Kit-1147</t>
  </si>
  <si>
    <t>Maintenance Fund</t>
  </si>
  <si>
    <t>Kyocera M2535 DN / L MK-1147</t>
  </si>
  <si>
    <t>Kyocera ECO SYS TONER KIT-6113</t>
  </si>
  <si>
    <t>Kyocera ECO SYS MAINTENANCE KIT</t>
  </si>
  <si>
    <t>INK, KYOCERA ECOSYS (M5521cdw Toner Cartridge), Black</t>
  </si>
  <si>
    <t>INK, KYOCERA ECOSYS (M5521cdw Toner Cartridge), Cyan</t>
  </si>
  <si>
    <t>INK, KYOCERA ECOSYS (M5521cdw Toner Cartridge), Magenta</t>
  </si>
  <si>
    <t>INK, KYOCERA ECOSYS (M5521cdw Toner Cartridge), Yellow</t>
  </si>
  <si>
    <t>Mouse, Optical</t>
  </si>
  <si>
    <t>unit</t>
  </si>
  <si>
    <t>Branded Desktop Set</t>
  </si>
  <si>
    <t>3 in 1 Printer, compatible to Branded Desktop Set</t>
  </si>
  <si>
    <t>Printer</t>
  </si>
  <si>
    <t>INK, EPSON (T664), Black</t>
  </si>
  <si>
    <t>INK, EPSON (T664), Cyan</t>
  </si>
  <si>
    <t>INK, EPSON (T664), Cyan), Magenta</t>
  </si>
  <si>
    <t>INK, EPSON (T664), Cyan, Yellow</t>
  </si>
  <si>
    <t>USB Thumb Drive, 32 GB</t>
  </si>
  <si>
    <t>External Drive, 2TB</t>
  </si>
  <si>
    <t>Laptop (Training)</t>
  </si>
  <si>
    <t>BROTHER TN- 263 TONER CARTRIDGE, (TN263BK) Black</t>
  </si>
  <si>
    <t>BROTHER TN- 263 TONER CARTRIDGE, (TN263M) Magenta</t>
  </si>
  <si>
    <t>BROTHER TN- 263 TONER CARTRIDGE, (TN263C) Cyan</t>
  </si>
  <si>
    <t>BROTHER TN- 263 TONER CARTRIDGE, (TN263Y) Yellow</t>
  </si>
  <si>
    <t>Computer Desktop</t>
  </si>
  <si>
    <t>Printer, Multi Function (Print/Scan/Copy)</t>
  </si>
  <si>
    <t>AVR 500 Watts, 220 Volts</t>
  </si>
  <si>
    <t>Kyocera ECOSYS P2040dn Toner kit</t>
  </si>
  <si>
    <t>Epson L-3210 (S015634) Ink Toner, Black</t>
  </si>
  <si>
    <t>Bottle</t>
  </si>
  <si>
    <t>Epson L-3210 (S015634) Ink Toner, Cyan</t>
  </si>
  <si>
    <t>-</t>
  </si>
  <si>
    <t>Epson L-3210 (S015634) Ink Toner, Magenta</t>
  </si>
  <si>
    <t>Epson L-3210 (S015634) Ink Toner, Yellow</t>
  </si>
  <si>
    <t>Webcam Full HD w/ built in Microphone</t>
  </si>
  <si>
    <t>Branded Headset with built-in boom type microphone, Noise cancelling capability and active noise cancellation, 3.5mm Input Jack, over ear, Adjustable headband, compatibility with Windows PC and IOS</t>
  </si>
  <si>
    <t>Multi-function inkjet printer Tank (print, copy, scan)</t>
  </si>
  <si>
    <t>Web Cam</t>
  </si>
  <si>
    <t>Public Bidding/ Small Value Procurement</t>
  </si>
  <si>
    <t>Ink Compatible to existing HP Smart Tank 515, HP GT53 black</t>
  </si>
  <si>
    <t>Ink Compatible to existing HP Smart Tank 515, HP GT52 magenta</t>
  </si>
  <si>
    <t>Ink Compatible to existing HP Smart Tank 515, HP GT52 cyan</t>
  </si>
  <si>
    <t>Ink Compatible to existing HP Smart Tank 515, HP GT52 yellow</t>
  </si>
  <si>
    <t>Kyocera FS-6525 MFP TK-479</t>
  </si>
  <si>
    <t>Kyocera FS-6525MFP MK-479</t>
  </si>
  <si>
    <t>Ink black compatible with multi function printer of winning brand</t>
  </si>
  <si>
    <t>Ink cyan compatible with multi function printer of winning brand</t>
  </si>
  <si>
    <t>Ink magenta compatible with multi function printer of winning brand</t>
  </si>
  <si>
    <t>Ink yellow compatible with multi function printer of winning brand</t>
  </si>
  <si>
    <t>Multi-Function Printer/Copier</t>
  </si>
  <si>
    <t>64GB USB Flash Drive</t>
  </si>
  <si>
    <t>1TB, External HDD</t>
  </si>
  <si>
    <t>USB 2.0 OPTICAL MOUSE</t>
  </si>
  <si>
    <t>KEYBOARD, FULL SIZE, USB 2.0 (A4TECH)</t>
  </si>
  <si>
    <t>325Watts/650 VA UPS</t>
  </si>
  <si>
    <t>Replacement Battery (For UPS)</t>
  </si>
  <si>
    <t>Public Bidding/ Alternative Mode of Procurement</t>
  </si>
  <si>
    <t>Ink for EPSON L360, Black</t>
  </si>
  <si>
    <t>Ink for EPSON L3210, Black</t>
  </si>
  <si>
    <t>Ink for EPSON L3210, cyan</t>
  </si>
  <si>
    <t>Ink for EPSON L3210, magenta</t>
  </si>
  <si>
    <t>Ink for EPSON L3210, yellow</t>
  </si>
  <si>
    <t>flash drive, 32 gb</t>
  </si>
  <si>
    <t>KYOCERA TONER TK-6113</t>
  </si>
  <si>
    <t>325 Watts/650 VA UPS</t>
  </si>
  <si>
    <t>EXTERNAL HARD DRIVE, 1 TB (SSD)</t>
  </si>
  <si>
    <t>CPU</t>
  </si>
  <si>
    <t>PORTABLE SCANNER</t>
  </si>
  <si>
    <t>Multi-function Inkjet Printer (Print, Copy, Scan) (Refillable Ink Tank) with Ink</t>
  </si>
  <si>
    <t>COMPUTER SET</t>
  </si>
  <si>
    <t>Android Tablet (USB-C) 10" screen with pen</t>
  </si>
  <si>
    <t>INK CART, EPSON C13T664100 (T6641), Black</t>
  </si>
  <si>
    <t>INK CART, EPSON C13T664200 (T6642), Cyan</t>
  </si>
  <si>
    <t>INK CART, EPSON C13T664300 (T6643), Magenta</t>
  </si>
  <si>
    <t>INK CART, EPSON C13T664400 (T6644), Yellow</t>
  </si>
  <si>
    <t>USB Thumb drive,32GB</t>
  </si>
  <si>
    <t>2nd Week</t>
  </si>
  <si>
    <t>Laser Point with clicker</t>
  </si>
  <si>
    <t>UPS, 1000VA, 230V, 4pc Universal Outlet</t>
  </si>
  <si>
    <t>TK - 5234C</t>
  </si>
  <si>
    <t>TK - 5234K</t>
  </si>
  <si>
    <t>TK - 5234Y</t>
  </si>
  <si>
    <t>TK - 5234M</t>
  </si>
  <si>
    <t>2tb External Hard Drive</t>
  </si>
  <si>
    <t xml:space="preserve">Branded Laptop                </t>
  </si>
  <si>
    <t>Desktop</t>
  </si>
  <si>
    <t xml:space="preserve"> Ink Tank Printer                </t>
  </si>
  <si>
    <t>2nd week</t>
  </si>
  <si>
    <t>USB WebCam</t>
  </si>
  <si>
    <t>3rd week</t>
  </si>
  <si>
    <t>Ink black compatible with HP Smart Tank 515 printer</t>
  </si>
  <si>
    <t>Ink cyan compatible with HP Smart Tank 515 printer</t>
  </si>
  <si>
    <t>Ink yellow compatible with HP Smart Tank 515 printer</t>
  </si>
  <si>
    <t>Ink magenta compatible with HP Smart Tank 515 printer</t>
  </si>
  <si>
    <t>Toner Kit for KYOCERA (TK-3165)</t>
  </si>
  <si>
    <t>kyocera Toner, TK 1175</t>
  </si>
  <si>
    <t>AI powered webcam</t>
  </si>
  <si>
    <t>Branded laptop</t>
  </si>
  <si>
    <t>Kyocera Toner, Colored M5521</t>
  </si>
  <si>
    <t>Gooseneck Microphone</t>
  </si>
  <si>
    <t>Ink Black compatible to Epson L100, L110, L120, L200, L210, L220</t>
  </si>
  <si>
    <t>Ink Cyan compatible to Epson L100, L110, L120, L200, L210, L220</t>
  </si>
  <si>
    <t>Ink Magenta compatible to Epson L100, L110, L120, L200, L210, L220</t>
  </si>
  <si>
    <t>Ink Cartridge Yellow compatible to Epson L100, L110, L120, L200, L210, L220</t>
  </si>
  <si>
    <t>UPS, 2KVA, 2000Watt, Universal Outlet</t>
  </si>
  <si>
    <t>c/o EFMS</t>
  </si>
  <si>
    <t>Hard Drive, External, 2TB, USB 3.0</t>
  </si>
  <si>
    <t>Desktop Set, Intel Core i7 with 24" Monitor</t>
  </si>
  <si>
    <t>PRINTER, Dot Matrix, 24 Wire Pin, 80 Columns, USB High Speed with USB Cable</t>
  </si>
  <si>
    <t>Laserjet Pro HP 80A Toner</t>
  </si>
  <si>
    <t>Laserjet Pro HP 85A Toner</t>
  </si>
  <si>
    <t>UPS, 625va, 325 Watts</t>
  </si>
  <si>
    <t>Kyocera Ecosys Toner M2640idw/L</t>
  </si>
  <si>
    <t>Ink Black compatible to Epson L3210</t>
  </si>
  <si>
    <t>bot</t>
  </si>
  <si>
    <t>Ink Cyan compatible to Epson L3210</t>
  </si>
  <si>
    <t>Ink Magenta compatible to Epson L3210</t>
  </si>
  <si>
    <t>Ink Cartridge Yellow compatible to Epson L3210</t>
  </si>
  <si>
    <t>HP smart tank 515 M0H50A</t>
  </si>
  <si>
    <t>HP smart tank 515 X4E75AA</t>
  </si>
  <si>
    <t>TELEPHONE (WALL MOUNTED)</t>
  </si>
  <si>
    <t>Computer printer, with scanner, copier (colored)</t>
  </si>
  <si>
    <t>Printer ink for HP smart tank 515 (black)</t>
  </si>
  <si>
    <t>Printer ink for HP smart tank 515 (cyan)</t>
  </si>
  <si>
    <t>Printer ink for HP smart tank 515 (yellow)</t>
  </si>
  <si>
    <t>Printer ink for HP smart tank 515 (magenta)</t>
  </si>
  <si>
    <t>Print head/cartridge for HP smart tank 515</t>
  </si>
  <si>
    <t>Printer ink for Epson L3210 (black)</t>
  </si>
  <si>
    <t>Printer ink for Epson L3210 (cyan)</t>
  </si>
  <si>
    <t>Printer ink for Epson L3210 (yellow)</t>
  </si>
  <si>
    <t>Printer ink for Epson L3210 (magenta)</t>
  </si>
  <si>
    <t>Print head/cartridge for Epson L3210</t>
  </si>
  <si>
    <t>Printer ink for Epson L3250 (black)</t>
  </si>
  <si>
    <t>Printer ink for Epson L3250 (cyan)</t>
  </si>
  <si>
    <t>Printer ink for Epson L3250 (yellow)</t>
  </si>
  <si>
    <t>Printer ink for Epson L3250 (magenta)</t>
  </si>
  <si>
    <t>Print head/cartridge for Epson L3250</t>
  </si>
  <si>
    <t>Kyocera ECOSYS P2040dn Printer Toner Cartridges</t>
  </si>
  <si>
    <t>8-Port Gigabit Switch HUB LAN 10/100/1000Mbps</t>
  </si>
  <si>
    <t>UPS</t>
  </si>
  <si>
    <t>Photocopier, Multi Function (Scan/Copy)</t>
  </si>
  <si>
    <t>USB Thumb Drive, 16GB</t>
  </si>
  <si>
    <t>USB Thumb Drive, 32GB</t>
  </si>
  <si>
    <t>Ink Laserjet HP 680 Colored</t>
  </si>
  <si>
    <t>Piece</t>
  </si>
  <si>
    <t>Ink Laserjet HP P1102 Colored</t>
  </si>
  <si>
    <t>Ink Laserjet HP DESKJET ADVANTAGE 2335</t>
  </si>
  <si>
    <t>Kyocera Ecosys M2640idw/L</t>
  </si>
  <si>
    <t>TK-7120</t>
  </si>
  <si>
    <t>Ink Laserjet HP 680 Black</t>
  </si>
  <si>
    <t>Kyocera Ecosys, TK-1168</t>
  </si>
  <si>
    <t>Ink Laserjet HP 85A</t>
  </si>
  <si>
    <t>Ink Laserjet HP 107A</t>
  </si>
  <si>
    <t>Ink Laserjet HP 17A</t>
  </si>
  <si>
    <t>Brother HL L 2375DW</t>
  </si>
  <si>
    <t>Brother HL LBTD 60 Colored</t>
  </si>
  <si>
    <t>Brother HL LBTD 60 Black</t>
  </si>
  <si>
    <t>Printer, Single Function</t>
  </si>
  <si>
    <t>Thermal Printer</t>
  </si>
  <si>
    <t>Canon Image Formula DR-M160II</t>
  </si>
  <si>
    <t>Branded Computer Set with Printer</t>
  </si>
  <si>
    <t>sets</t>
  </si>
  <si>
    <t>2nd wk</t>
  </si>
  <si>
    <t>Lightweight Laptop</t>
  </si>
  <si>
    <t>Branded desktop set</t>
  </si>
  <si>
    <t>CCTV</t>
  </si>
  <si>
    <t>Webcam Full HD 1080p with Built in Microphone, , USB plug and play, with attachable mounting clip</t>
  </si>
  <si>
    <t>Laptop Lightweight</t>
  </si>
  <si>
    <t>Telephone</t>
  </si>
  <si>
    <t>Professional walkie-talkie</t>
  </si>
  <si>
    <t>Ink,Black, compatible to Brother DCP-T700W</t>
  </si>
  <si>
    <t>Ink, magenta,compatible to Brother DCP-T700W</t>
  </si>
  <si>
    <t>Ink, cyan, compatible to Brother DCP-T700W</t>
  </si>
  <si>
    <t>Ink ,yellow,compatible to Brother DCP-T700W</t>
  </si>
  <si>
    <t>Ink Yellow compatible to Epson L3210</t>
  </si>
  <si>
    <t>Kyocera TK-8113Y</t>
  </si>
  <si>
    <t>cart</t>
  </si>
  <si>
    <t>Kyocera TK-8113M</t>
  </si>
  <si>
    <t>Kyocera TK-8113C</t>
  </si>
  <si>
    <t>Kyocera TK-8113K</t>
  </si>
  <si>
    <t>EPSON 003 - CYAN</t>
  </si>
  <si>
    <t>bottle</t>
  </si>
  <si>
    <t>EPSON 003 - MAGENTA</t>
  </si>
  <si>
    <t>EPSON 003 - YELLOW</t>
  </si>
  <si>
    <t>EPSON 003 - BLACK</t>
  </si>
  <si>
    <t>Kyocera TK-1168</t>
  </si>
  <si>
    <t>Ink for Epson L120 (T6641), Black</t>
  </si>
  <si>
    <t>Ink for Epson L120 (T6642), Yellow</t>
  </si>
  <si>
    <t>Ink for Epson L120 (T6643), Magenta</t>
  </si>
  <si>
    <t>Ink for Epson L120 (T6642), Cyan</t>
  </si>
  <si>
    <t>Ink for Epson L3210 and L3250 (003), Black</t>
  </si>
  <si>
    <t>Ink for Epson L3210 and L3250 (003), Yellow</t>
  </si>
  <si>
    <t>Ink for Epson L3210 and L3250 (003), Magenta</t>
  </si>
  <si>
    <t>Ink for Epson L3210 and L3250 (003), Cyan</t>
  </si>
  <si>
    <t>TONER compatible to Kyocera TASKalfa 3212i</t>
  </si>
  <si>
    <t>CELLPHONE</t>
  </si>
  <si>
    <t>COPIER MONOCHROME MULTIFUNCTIONAL PRINT, COPY, COLOUR SCAN AND FAX</t>
  </si>
  <si>
    <t>DESKTOP FOR MID-RANGE USERS</t>
  </si>
  <si>
    <t>DIGITAL VOICE RECORDER</t>
  </si>
  <si>
    <t>DRUM KIT TK-6113</t>
  </si>
  <si>
    <t>Cart</t>
  </si>
  <si>
    <t>FLASH DRIVE, 16 GB CAPACITY</t>
  </si>
  <si>
    <t>INK CART, EPSON C13T664100 (T6641), BLACK</t>
  </si>
  <si>
    <t>INK CART, EPSON C13T664200 (T6642), CYAN</t>
  </si>
  <si>
    <t>INK CART, EPSON C13T664300 (T6643), MAGENTA</t>
  </si>
  <si>
    <t>INK CART, EPSON C13T664400 (T6644), YELLOW</t>
  </si>
  <si>
    <t>INK EPSON 003 BLACK</t>
  </si>
  <si>
    <t>INK EPSON 003 CYAN</t>
  </si>
  <si>
    <t>INK EPSON 003 MAGENTA</t>
  </si>
  <si>
    <t>INK EPSON 003 YELLOW</t>
  </si>
  <si>
    <t>KEYBOARD, FULL SIZE, USB 2.0</t>
  </si>
  <si>
    <t>LAPTOP, LIGHTWEIGHT</t>
  </si>
  <si>
    <t>LAPTOP, MID-RANGE</t>
  </si>
  <si>
    <t>MAINTENANCE KIT TK-6119</t>
  </si>
  <si>
    <t>MOUSE, OPTICAL</t>
  </si>
  <si>
    <t>MULTI-FUNCTION INKJET PRINTER TANK (PRINT, COPY, SCAN)</t>
  </si>
  <si>
    <t>THERMAL POS RECEIPT PRINTER</t>
  </si>
  <si>
    <t>TONER KIT TK-6113</t>
  </si>
  <si>
    <t>TONER KIT TK-1168</t>
  </si>
  <si>
    <t>WEBCAM FULL HD 1080P WITH BUILT IN MICROPHONE, , USB PLUG AND PLAY, WITH ATTACHABLE MOUNTING CLIP</t>
  </si>
  <si>
    <t>UPS 650VA</t>
  </si>
  <si>
    <t>PORTABLE RADIO</t>
  </si>
  <si>
    <t>Desktop Speaker</t>
  </si>
  <si>
    <t>Desktop Webcam HD</t>
  </si>
  <si>
    <t>Desktop Headset</t>
  </si>
  <si>
    <t>APC Power Supply BV800I-MS 800VA/450Watts Line Interactive</t>
  </si>
  <si>
    <t>Multi-function Printer: Print/Scan/Copy, Color, Ink Tank System, High Speed USB 2.0, Supported Paper: Legal/Letter/A4; High quality; Leading Brand; 1 year warranty or higher; with Authorized Service Center</t>
  </si>
  <si>
    <t>Kyocera ECOSYS P6230cdn Black Toner Cartridge (Do not Cut Down)</t>
  </si>
  <si>
    <t>Kyocera ECOSYS P6230cdn Yellow Toner Cartridge (Do not Cut Down)</t>
  </si>
  <si>
    <t>Kyocera ECOSYS P6230cdn Magenta Toner Cartridge (Do not Cut Down)</t>
  </si>
  <si>
    <t>Kyocera ECOSYS P6230cdn Cyan Toner Cartridge (Do not Cut Down)</t>
  </si>
  <si>
    <t>Laptop</t>
  </si>
  <si>
    <t>Laser pointer with clicker, Wave Length: 640～660nm (red light), Wireless operating distance: Approx 10m,
 Wireless technology: 2.4 GHz wireless technology</t>
  </si>
  <si>
    <t>L3110 Epson Ink (003) Black</t>
  </si>
  <si>
    <t>L3110 Epson Ink (003) Cyan</t>
  </si>
  <si>
    <t>L3110 Epson Ink (003) Yellow</t>
  </si>
  <si>
    <t>L3110 Epson Ink (003) Magenta</t>
  </si>
  <si>
    <t>Desktop type Document Scanner (same as DCC)</t>
  </si>
  <si>
    <t>Kyosera Multifunction CLEANING part</t>
  </si>
  <si>
    <t>Ink - Epson T6641 Black (Model L220)</t>
  </si>
  <si>
    <t>Ink - Epson T6642 Cyan (Model L220)</t>
  </si>
  <si>
    <t>Ink- Epson T6643 Magenta (Model L220)</t>
  </si>
  <si>
    <t>Ink - Epson T6644 Yellow (Model L220)</t>
  </si>
  <si>
    <t>Ink - Epson 003 Black (Model L3110)</t>
  </si>
  <si>
    <t>Ink - Epson 003 Cyan (Model L3110)</t>
  </si>
  <si>
    <t>Ink - Epson 003 Magenta (Model L3110)</t>
  </si>
  <si>
    <t>Ink - Epson 003 Yellow (Model L3110)</t>
  </si>
  <si>
    <t>Ink - Kyocera Black (ECOSYS M5521 CDW)</t>
  </si>
  <si>
    <t>Cartridge</t>
  </si>
  <si>
    <t>Ink - Kyocera Cyan (ECOSYS M5521 CDW)</t>
  </si>
  <si>
    <t>Ink - Kyocera Magenta (ECOSYS M5521 CDW)</t>
  </si>
  <si>
    <t>Ink - KyoceraYellow (ECOSYS M5521 CDW)</t>
  </si>
  <si>
    <t>Ink Yellow compatible to Epson L100, L110, L120, L200, L210, L220</t>
  </si>
  <si>
    <t>Kyocera Ecosys M4132idn TK-6113</t>
  </si>
  <si>
    <t>Kyocera TK-5234Y</t>
  </si>
  <si>
    <t>Kyocera TK-5234C</t>
  </si>
  <si>
    <t>Kyocera TK-5234M</t>
  </si>
  <si>
    <t>Kyocera TK-5234K</t>
  </si>
  <si>
    <t>External Hard Drive,1T</t>
  </si>
  <si>
    <t>Portable Hard Drive, 1TB, USB 3.0</t>
  </si>
  <si>
    <t>Printer, multi-function ink tank</t>
  </si>
  <si>
    <t>Desktop, basic use</t>
  </si>
  <si>
    <t>Laptop, lightweight</t>
  </si>
  <si>
    <t>Epson Ink Cartridge T6641 Black</t>
  </si>
  <si>
    <t>Epson Ink Cartridge T6642 Cyan</t>
  </si>
  <si>
    <t>Epson Ink Cartridge T6643 Magenta</t>
  </si>
  <si>
    <t>Epson Ink Cartridge T6644 Yellow</t>
  </si>
  <si>
    <t>Toner, Kyocera ECOSYS M5521cdw, black</t>
  </si>
  <si>
    <t>Toner, Kyocera ECOSYS M5521cdw, cyan</t>
  </si>
  <si>
    <t>Toner, Kyocera ECOSYS M5521cdw, magenta</t>
  </si>
  <si>
    <t>Toner, Kyocera ECOSYS M5521cdw, yellow</t>
  </si>
  <si>
    <t>UPS, 625va, 325 Watts, High Quality</t>
  </si>
  <si>
    <t>PVC Card</t>
  </si>
  <si>
    <t>YMCKO Color Ribbon</t>
  </si>
  <si>
    <t>EXTERNAL HARD DRIVE, 1 TB</t>
  </si>
  <si>
    <t>Epson Ink Refill - 003 (Black)</t>
  </si>
  <si>
    <t>Epson Ink Refill - 003 (Magenta)</t>
  </si>
  <si>
    <t>Epson Ink Refill - 003 (Yellow)</t>
  </si>
  <si>
    <t>Epson Ink Refill - 003 (Cyan)</t>
  </si>
  <si>
    <t>HP Ink Refill - (GT53) Black</t>
  </si>
  <si>
    <t>HP Ink Refill - (GT52) Magenta</t>
  </si>
  <si>
    <t>HP Ink Refill - (GT52) Cyan</t>
  </si>
  <si>
    <t>HP Ink Refill - (GT52) Yellow</t>
  </si>
  <si>
    <t>HP Toner CF280XC</t>
  </si>
  <si>
    <t>Kyocera Ecosys FS-6525MFP TK 479</t>
  </si>
  <si>
    <t>Kyocera Ecosys FS-6525MFP MK 479</t>
  </si>
  <si>
    <t>Kyocera Ecosys M4125idn TK 6113</t>
  </si>
  <si>
    <t>Kyocera Ecosys M4125idn MK 6113</t>
  </si>
  <si>
    <t>Kyocera Ecosys P2040dn TK 1168</t>
  </si>
  <si>
    <t>Multi Function (Print/Scan/Copy), Color, Ink Tank System, High Speed USB 2.0, Supported Paper: Legal / Letter / A4, Max Resolution: 5760 x 1440 dpi</t>
  </si>
  <si>
    <t>Desktop Set</t>
  </si>
  <si>
    <t>LCD signature capture pad</t>
  </si>
  <si>
    <t>Roller Kit for Canon Image Formula DR-M160II</t>
  </si>
  <si>
    <t>Roller Kit for Epson L120, L220, L360</t>
  </si>
  <si>
    <t>Genuine Kyocera Toner TK-5234C compatible to Kyocera Ecosys M5521cdw (Toner Cyan)</t>
  </si>
  <si>
    <t>PUBLIC BIDDING</t>
  </si>
  <si>
    <t>Genuine Kyocera Toner TK-5234M compatible to Kyocera Ecosys M5521cdw (Toner Magenta)</t>
  </si>
  <si>
    <t>Genuine Kyocera Toner TK-5234Y compatible to Kyocera Ecosys M5521cdw (Toner Yellow)</t>
  </si>
  <si>
    <t>Genuine Kyocera Toner TK-5234K compatible to Kyocera Ecosys M5521cdw (Toner Black)</t>
  </si>
  <si>
    <t>Wireless Mouse, bluetooth</t>
  </si>
  <si>
    <t>Maintenance Kit for Kyocera Ecosys M5521cdw</t>
  </si>
  <si>
    <t>lot</t>
  </si>
  <si>
    <t>Epson Ink Cartridge T6642</t>
  </si>
  <si>
    <t>Epson Ink Cartridge T6643</t>
  </si>
  <si>
    <t>Epson Ink Cartridge T6644</t>
  </si>
  <si>
    <t>HP Printhead Black compatible to HP Smart tank 515</t>
  </si>
  <si>
    <t>HP Printhead Tri-color compatible to HP Smart tank 515</t>
  </si>
  <si>
    <t>MK-6113</t>
  </si>
  <si>
    <t>Toner TK-6113 compatible to existing Kyocera Ecosys M4132idn</t>
  </si>
  <si>
    <t>Toner TK-1175 compatible to existing Kyocera ECOSYS M2540dn/L</t>
  </si>
  <si>
    <t>Kyocera Toner TK 3165 compatible to existing Kyocera ECOSYS M4125idn</t>
  </si>
  <si>
    <t>Genuine Toner TK-5234K Black</t>
  </si>
  <si>
    <t>Genuine Toner TK-5234C Cyan</t>
  </si>
  <si>
    <t>Genuine Toner TK-5234M Magenta</t>
  </si>
  <si>
    <t>Genuine Toner TK-5234Y Yellow</t>
  </si>
  <si>
    <t>Kyocera Toner TK-6113</t>
  </si>
  <si>
    <t>PC</t>
  </si>
  <si>
    <t>Kyocera Maintenance Kit MK-6119</t>
  </si>
  <si>
    <t>Computer Set</t>
  </si>
  <si>
    <t>SET</t>
  </si>
  <si>
    <t>External Hard Drive</t>
  </si>
  <si>
    <t>Flash Drive 32GB</t>
  </si>
  <si>
    <t>Kyocera Toner TK-3165</t>
  </si>
  <si>
    <t>Kyocera Maintenance Kit MK-3165</t>
  </si>
  <si>
    <t>EPSON 664 INK CYAN</t>
  </si>
  <si>
    <t>BOTTLE</t>
  </si>
  <si>
    <t>EPSON 664 INK YELLOW</t>
  </si>
  <si>
    <t>EPSON 664 INK MAGENTA</t>
  </si>
  <si>
    <t>Epson LQ-310 Printer</t>
  </si>
  <si>
    <t>Toner TK-7120 for Taskalfa 3212i</t>
  </si>
  <si>
    <t>Kyocera Digital Copier Taskalfa 3212i</t>
  </si>
  <si>
    <t>Kyocera Digital Copier Taskalfa 3212i Maintenance Kit</t>
  </si>
  <si>
    <t>Kyocera Ecosys M4125IDN</t>
  </si>
  <si>
    <t>EPSON L3210 TONER</t>
  </si>
  <si>
    <t>INK-HP GT53 BLACK 90 ml</t>
  </si>
  <si>
    <t>INK-HP GT53 CYAN 90 ml</t>
  </si>
  <si>
    <t>INK-HP GT53 MAGENTA 90 ml</t>
  </si>
  <si>
    <t>INK-HP GT53 YELLOW 90 ml</t>
  </si>
  <si>
    <t>Brother DCP T700W (Toner) BT 6000BK</t>
  </si>
  <si>
    <t>Brother DCP T700W (Toner) BT 5000C</t>
  </si>
  <si>
    <t>Brother DCP T700W (Toner) BT 5000M</t>
  </si>
  <si>
    <t>Brother DCP T700W (Toner) BT 5000Y</t>
  </si>
  <si>
    <t>Ink black compatible to Epson L3110, L3150 (003 Ink Black)</t>
  </si>
  <si>
    <t>Ink Cyan compatible to Epson L3110, L3150 (003 Ink Cyan)</t>
  </si>
  <si>
    <t>Ink Magenta compatible to Epson L3110, L3150 (003 Ink Magenta)</t>
  </si>
  <si>
    <t>Ink Yellow compatible to Epson L3110, L3150 (003 Ink Yellow)</t>
  </si>
  <si>
    <t>INK CARTRIDGE, EPSON (T6641), BLACK</t>
  </si>
  <si>
    <t>INK CARTRIDGE, EPSON (T6642), CYAN</t>
  </si>
  <si>
    <t>INK CARTRIDGE, EPSON (T6643), MAGENTA</t>
  </si>
  <si>
    <t>INK CARTRIDGE, EPSON (T6644), YELLOW</t>
  </si>
  <si>
    <t>HP Ink GT 53 Black - Ink compatible to existing HP Smart Tank 515</t>
  </si>
  <si>
    <t>HP Ink GT 52 Magenta - Ink compatible to existing HP Smart Tank 515</t>
  </si>
  <si>
    <t>HP Ink GT 52 Cyan - Ink compatible to existing HP Smart Tank 515</t>
  </si>
  <si>
    <t>HP Ink GT 52 Yellow - Ink compatible to existing HP Smart Tank 515</t>
  </si>
  <si>
    <t>Toner kit for Kyocera Ecosys M4125idn (TK 6113)</t>
  </si>
  <si>
    <t>KYOCERA ECOSYS M4125idn MAINTENANCE KIT (MK 6119)</t>
  </si>
  <si>
    <t>Toner Cartridge Compatible to Canon Imageclass MF543x</t>
  </si>
  <si>
    <t>Toner Cartridge compatible to Brother DCP L2540DW (TN-2360)</t>
  </si>
  <si>
    <t>Wifi Router</t>
  </si>
  <si>
    <t>UPS, 625VA, 325 Watts</t>
  </si>
  <si>
    <t>Analog Telephone Handset compatible to existing PABX</t>
  </si>
  <si>
    <t>LCD Projector</t>
  </si>
  <si>
    <t>External HDD, 1TB</t>
  </si>
  <si>
    <t>Digital Audio Recorder with USB, 4GB RAM</t>
  </si>
  <si>
    <t>Laser Pointer with clicker</t>
  </si>
  <si>
    <t>120GB SSD</t>
  </si>
  <si>
    <t>Multi- functional copier, Supported Paper: Letter/A4/Legal /A3</t>
  </si>
  <si>
    <t>Kyocera FS-6525MFP TK-479</t>
  </si>
  <si>
    <t>PRINTER, impact, dot matrix, 24 pins, 136 columns</t>
  </si>
  <si>
    <t>INK EPSON C13T664100 (T6641), Black</t>
  </si>
  <si>
    <t>INK EPSON C13T664200 (T6642), Cyan</t>
  </si>
  <si>
    <t>INK, EPSON C13T664300 (T6643), Magenta</t>
  </si>
  <si>
    <t>INK, EPSON C13T664400 (T6644), Yellow</t>
  </si>
  <si>
    <t>HP GT52 Yellow</t>
  </si>
  <si>
    <t>HP GT52 Magenta</t>
  </si>
  <si>
    <t>HP GT52 Cyan</t>
  </si>
  <si>
    <t>HP GT53 Black</t>
  </si>
  <si>
    <t>epson L3210 printer</t>
  </si>
  <si>
    <t>EPSON L3210</t>
  </si>
  <si>
    <t>Epson LQ-310 printer</t>
  </si>
  <si>
    <t>Ink black compatible EPSON L3210</t>
  </si>
  <si>
    <t>Ink cyan compatible EPSON L3210</t>
  </si>
  <si>
    <t>Ink yellow compatible EPSON L3210</t>
  </si>
  <si>
    <t>Ink magenta compatible EPSON L3210</t>
  </si>
  <si>
    <t>Printer with Scanner</t>
  </si>
  <si>
    <t>Printer Ink for EPSON L3210 (Black)</t>
  </si>
  <si>
    <t>Printer Ink for EPSON L3210 (Magenta)</t>
  </si>
  <si>
    <t>Printer Ink for EPSON L3210 (Cyan)</t>
  </si>
  <si>
    <t>Printer Ink for EPSON L3210 (Yellow)</t>
  </si>
  <si>
    <t>Toner Kit for Kyocera (TK-3165)</t>
  </si>
  <si>
    <t>UPS 625va 325 watts</t>
  </si>
  <si>
    <t>PRINTER DOT MATRIX</t>
  </si>
  <si>
    <t>Desktop Computer</t>
  </si>
  <si>
    <t>AVR Automatic Voltage regulator</t>
  </si>
  <si>
    <t>Printer Ink for HP Smart Tank 515 (Black)</t>
  </si>
  <si>
    <t>Printer Ink for HP Smart Tank 515 (Magenta)</t>
  </si>
  <si>
    <t>Printer Ink for HP Smart Tank 515 (Cyan)</t>
  </si>
  <si>
    <t>Printer Ink for HP Smart Tank 515 (Yellow)</t>
  </si>
  <si>
    <t>Toner Kit for Kyocera (TK 1168)</t>
  </si>
  <si>
    <t>Toner Kit for Kyocera (TK 6113)</t>
  </si>
  <si>
    <t>Toner Kit for Kyocera ECOSYS M2640idw/L</t>
  </si>
  <si>
    <t>USB Drive 32gb</t>
  </si>
  <si>
    <t>USB Drive 16gb</t>
  </si>
  <si>
    <t>Printer all-in-one (Print, Copy and Scan)</t>
  </si>
  <si>
    <t>Thermal Transfer Label 2" x 2" for Zebra Printer ZD421
 color: white
 -with perforation between each label
 -permanent adhesive</t>
  </si>
  <si>
    <t>Thermal Transfer Ribbon for Zebra Printer ZD421
 -WAX RESIN Thermal Transfer Ribbon (Black)
 -80mm wide x 300m length</t>
  </si>
  <si>
    <t>Kyocera TK-1128 Toner Black</t>
  </si>
  <si>
    <t>DESKTOP COMPUTER SET</t>
  </si>
  <si>
    <t>PRINTER 4 in 1- colored</t>
  </si>
  <si>
    <t>TELEPHONE</t>
  </si>
  <si>
    <t>FLASH DRIVE 32GB</t>
  </si>
  <si>
    <t>INK-TONER EPSON L3210 inf Cartriged 003(Black)</t>
  </si>
  <si>
    <t>INK-TONER EPSON L3210 inf Cartriged 003(Cyan)</t>
  </si>
  <si>
    <t>INK-TONER EPSON L 3210 inf Cartriged 003(Magenta)</t>
  </si>
  <si>
    <t>INK-TONER EPSON L3210 inf Cartriged 003(Yellow)</t>
  </si>
  <si>
    <t>EPSON RIBBON CARTRIDGE INK (LQ310)</t>
  </si>
  <si>
    <t>Keyboard, full size, USB 2.0</t>
  </si>
  <si>
    <t>Mouse optical USB2.0</t>
  </si>
  <si>
    <t>ALL-IN-ONE- PRINTER</t>
  </si>
  <si>
    <t>Computer set</t>
  </si>
  <si>
    <t>Computer Speaker</t>
  </si>
  <si>
    <t>Kyocera toner TK1168</t>
  </si>
  <si>
    <t>WEB CAMERA</t>
  </si>
  <si>
    <t>Desktop Computer Set</t>
  </si>
  <si>
    <t>EPSON L3250 Printer ALL-in-ONE (Print, COPY, Scan)</t>
  </si>
  <si>
    <t>Webcam Full HD 1080p with Built in Microphone, USB plug and play, with attachable mounting clip</t>
  </si>
  <si>
    <t>KYOCERA CARTRIDGE TONER KIT BLACK TK-1168</t>
  </si>
  <si>
    <t>INK BLACK COMPATIBLE WITH 3 IN 1 PRINTER OOF WINNING BRAND</t>
  </si>
  <si>
    <t>BOT</t>
  </si>
  <si>
    <t>INK CYAN COMPATIBLE WITH 3 IN 1 PRINTER OOF WINNING BRAND</t>
  </si>
  <si>
    <t>INK MAGENTA COMPATIBLE WITH 3 IN 1 PRINTER OOF WINNING BRAND</t>
  </si>
  <si>
    <t>INK YELLOW COMPATIBLE WITH 3 IN 1 PRINTER OOF WINNING BRAND</t>
  </si>
  <si>
    <t>EPSON LQ-310 (SO 15634) Ribbon Cartridge</t>
  </si>
  <si>
    <t>Multi-function inkjet printer Tank (print, copy, scan), (Wireless All-in-One Printer WINNING BRAND)</t>
  </si>
  <si>
    <t>Android Tablet 10-15 inches</t>
  </si>
  <si>
    <t>HP Printhead Black compatible to HP Smart Tank 515</t>
  </si>
  <si>
    <t>HP Printhead Tr-color compatible to HP Smart Tank 515</t>
  </si>
  <si>
    <t>Multi-function inkjet printer Tank (print, copy, scan), (HP Smart Tank 515 Wireless All-in-One Printer)</t>
  </si>
  <si>
    <t>Pack</t>
  </si>
  <si>
    <t>Web Camera</t>
  </si>
  <si>
    <t>Ink BLACK compatible with EPSON L3210 (003)</t>
  </si>
  <si>
    <t>Ink YELLOW compatible with EPSON L3210 (003)</t>
  </si>
  <si>
    <t>Ink MAGENTA compatible with EPSON L3210 (003)</t>
  </si>
  <si>
    <t>Ink CYAN compatible with EPSON L3210 (003)</t>
  </si>
  <si>
    <t>Eye Sheet, Yellow</t>
  </si>
  <si>
    <t>piece</t>
  </si>
  <si>
    <t>MICU</t>
  </si>
  <si>
    <t>Towel, Yellow, 25.2x14.5</t>
  </si>
  <si>
    <t>Medication Vest, Orange</t>
  </si>
  <si>
    <t>CCP</t>
  </si>
  <si>
    <t>ISOL 1ST</t>
  </si>
  <si>
    <t>NCC</t>
  </si>
  <si>
    <t>Epson L360 printer</t>
  </si>
  <si>
    <t>EPSON INK BOTTLE REFIL 003 BLACK</t>
  </si>
  <si>
    <t>EPSON INK BOTTLE REFIL 003 CYAN</t>
  </si>
  <si>
    <t>EPSON INK BOTTLE REFIL 003 YELLOW</t>
  </si>
  <si>
    <t>EPSON INK BOTTLE REFIL 003 MAGENTA</t>
  </si>
  <si>
    <t>Computer monitor</t>
  </si>
  <si>
    <t>keyboard , full size</t>
  </si>
  <si>
    <t>mouse, optical</t>
  </si>
  <si>
    <t>UPS battery pack for desktop</t>
  </si>
  <si>
    <t>analog telephone handset</t>
  </si>
  <si>
    <t>printer</t>
  </si>
  <si>
    <t>AVR 500 Watts, 220 Volts, 3-4 Output, With Power On Delay, Heavy Duty</t>
  </si>
  <si>
    <t>Epson LQ-310 Dot Matrix printer</t>
  </si>
  <si>
    <t>Computer Monitor</t>
  </si>
  <si>
    <t>EPSON L1250 ECO TANK PRINTER</t>
  </si>
  <si>
    <t>Mouse, optical, Usb 2.0</t>
  </si>
  <si>
    <t>UPS, 625va, 325 watts, high quality</t>
  </si>
  <si>
    <t>Computer set, desk top</t>
  </si>
  <si>
    <t>EPSON L3210 ECO TANK PRINTER</t>
  </si>
  <si>
    <t>TOXICOLOGY UNIT</t>
  </si>
  <si>
    <t>Speakers with mic</t>
  </si>
  <si>
    <t>Hard drive 2TB</t>
  </si>
  <si>
    <t>Epson Ink Compatible with L3210, Black</t>
  </si>
  <si>
    <t>Epson Ink Compatible with L3210, Yellow</t>
  </si>
  <si>
    <t>Epson Ink Compatible with L3210, Magenta</t>
  </si>
  <si>
    <t>Epson Ink Compatible with L3210, Cyan</t>
  </si>
  <si>
    <t>No.</t>
  </si>
  <si>
    <t>ICT CODE</t>
  </si>
  <si>
    <t>Price Link</t>
  </si>
  <si>
    <t>Datasheet</t>
  </si>
  <si>
    <t>Market Price</t>
  </si>
  <si>
    <t>Category</t>
  </si>
  <si>
    <t>Specs</t>
  </si>
  <si>
    <t>Reference Brand/Model</t>
  </si>
  <si>
    <t>IHOMP PPMP</t>
  </si>
  <si>
    <t>QTY</t>
  </si>
  <si>
    <t xml:space="preserve">Estimated Budget
</t>
  </si>
  <si>
    <t>Adjusted Qty</t>
  </si>
  <si>
    <t>Budget Status</t>
  </si>
  <si>
    <t>New QTY</t>
  </si>
  <si>
    <t>New QTY (14Mil)</t>
  </si>
  <si>
    <t>00001</t>
  </si>
  <si>
    <t>ICT-MIS-00001</t>
  </si>
  <si>
    <t>https://www.lazada.com.ph/products/sandisk-extreme-1tb-portable-ssd-v2-sdssde61-1t00-g25-with-up-to-1050mbs-read-and-1000mbs-write-speed-i1455440837-s5733722726.html?clickTrackInfo=query%253Aexternal%252Bssd%253Bnid%253A1455440837%253Bsrc%253ALazadaMainSrp%253Brn%253A441ec52e1480f7b1f47c33a816851096%253Bregion%253Aph%253Bsku%253A1455440837_PH%253Bprice%253A8728%253Bclient%253Adesktop%253Bsupplier_id%253A100099342%253Basc_category_id%253A24947%253Bitem_id%253A1455440837%253Bsku_id%253A5733722726%253Bshop_id%253A117532&amp;search=1&amp;spm=a2o4l.searchlist.list.i40.2c523b9cYi9wZy</t>
  </si>
  <si>
    <t>https://www.westerndigital.com/en-ap/products/portable-drives/sandisk-extreme-usb-3-2-ssd#SDSSDE61-1T00-G25</t>
  </si>
  <si>
    <t>Device/Equipment</t>
  </si>
  <si>
    <t>Capacity: 1TB
Interface: USB 3.2 Gen 2
Connector: USB-C
Durability: IP55-rated for water and dust resistance
Warranty: 2 years or more
Inclusion: USB-C to USB-C Cable, USB-C to USB-A Adaptor
Warranty: 1 year or more</t>
  </si>
  <si>
    <t>SanDisk Extreme 1TB Portable SSD V2 (SDSSDE61-1T00-G25) with Up to 1050MB/s Read and 1000MB/s Write Speed</t>
  </si>
  <si>
    <t>YES</t>
  </si>
  <si>
    <t>00002</t>
  </si>
  <si>
    <t>https://www.lazada.com.ph/products/kingston-a400-120gb240gb480gb960gb192tb-25-sata-3-ssd-solid-state-drive-i160522428-s19722596645.html?c=&amp;channelLpJumpArgs=&amp;clickTrackInfo=query%253AKingston%252BA400%252B480GB%253Bnid%253A160522428%253Bsrc%253ALazadaMainSrp%253Brn%253A5310d3621ca48517412b9306e6b7517b%253Bregion%253Aph%253Bsku%253A160522428_PH%253Bprice%253A2533%253Bclient%253Adesktop%253Bsupplier_id%253A100076741%253Bpromotion_biz%253A%253Basc_category_id%253A24946%253Bitem_id%253A160522428%253Bsku_id%253A19722596645%253Bshop_id%253A4394&amp;fastshipping=0&amp;freeshipping=0&amp;fs_ab=2&amp;fuse_fs=1&amp;lang=en&amp;location=Metro%20Manila&amp;price=2533&amp;priceCompare=&amp;ratingscore=4.910800970873787&amp;request_id=5310d3621ca48517412b9306e6b7517b&amp;review=1707&amp;sale=11846&amp;search=1&amp;source=search&amp;spm=a2o4l.searchlist.list.2&amp;stock=1</t>
  </si>
  <si>
    <t>https://www.kingston.com/datasheets/SA400S37_us.pdf</t>
  </si>
  <si>
    <t>Form factor: 2.5”
Interface: SATA Rev. 3.0 (6Gb/s) – with backwards compatibility to SATA Rev. 2.0 (3Gb/s)
Capacities: 480GB or more
Baseline performance: up to 450MB/s read/write or more
Warranty: 2 years or more</t>
  </si>
  <si>
    <t>Kingston A400 480GB SATA3 2.5" Internal SSD Solid State Drive (SA400S37/480G)</t>
  </si>
  <si>
    <t>00003</t>
  </si>
  <si>
    <t>8 Port Gigabit Network Switch</t>
  </si>
  <si>
    <t>https://www.lazada.com.ph/products/tp-link-tl-sg108-8-port-101001000mbps-desktop-switch-8-port-gigabit-network-switch-tp-link-tplink-i775570358-s2344730558.html?spm=a2o4l.seller.list.12.62812e19faIfiS&amp;mp=1</t>
  </si>
  <si>
    <t>https://static.tp-link.com/res/down/doc/TL-SG105-108.pdf</t>
  </si>
  <si>
    <t>Interface: 8 10/100/1000 Mbps ports, Auto Negotiation
Switching Capacity: at least 16Gbps
Warranty: 1 year or more</t>
  </si>
  <si>
    <t>TP-Link TL-SG108 8-Port 10/100/1000Mbps Desktop Switch 8 Port Gigabit Network Switch TP LINK TPLINK</t>
  </si>
  <si>
    <t>00004</t>
  </si>
  <si>
    <t>https://www.lazada.com.ph/products/tp-link-tl-sg108pe-8-port-gigabit-easy-smart-switch-with-4-port-poe-network-switch-hub-8-port-gigabit-switch-poe-switch-tp-link-tplink-i315276774.html?spm=a2o4l.searchlist.list.6.752b69f8Ek5yHB</t>
  </si>
  <si>
    <t>https://www.use-ip.co.uk/datasheets/4952/tplink_tlsg108pe_8port_gigabit_easy_smart_switch_with_4port_poe.pdf</t>
  </si>
  <si>
    <t>Interface: 8 10/100/1000 Mbps ports, Auto Negotiation
PoE Standard: 802.3af/at
Switching Capacity: at least 16Gbps
Fan Quantity: Fanless
Warranty: 1 year or more</t>
  </si>
  <si>
    <t xml:space="preserve">TP-Link TL-SG108PE 8-Port Gigabit Easy Smart Switch with 4-Port PoE | Network Switch Hub | 8 Port Gigabit Switch | PoE Switch | TP LINK | TPLINK
</t>
  </si>
  <si>
    <t>00005</t>
  </si>
  <si>
    <t>https://www.lazada.com.ph/products/apc-easy-ups-bvx-650va-avr-230v-power-supply-ph-version-bvx650i-ph-i272113603.html?spm=a2o4l.searchlist.list.2.43697128WA84f2</t>
  </si>
  <si>
    <t>https://www.apc.com/ph/en/product/BVX650I-PH/apc-easy-ups-bvx-650va-avr-230v/</t>
  </si>
  <si>
    <t>Rated power in W: 360W
Power socket outlets: 4 NEMA 5-15R
Cable length: at least 1m
Number of cables: 1
Battery type: Lead-acid battery
Warranty: 2 years or more</t>
  </si>
  <si>
    <t>APC Easy UPS BVX 650VA, AVR, 230V Power Supply PH Version - BVX650I-PH</t>
  </si>
  <si>
    <t>00006</t>
  </si>
  <si>
    <t>https://www.lazada.com.ph/products/apc-easy-ups-bvx1200li-ms-230v-avr-universal-sockets-apc-universal-sockets-apc-avr-i1399420381.html?spm=a2o4l.searchlist.list.4.43697128WA84f2</t>
  </si>
  <si>
    <t>https://www.apc.com/ph/en/product/BVX1200LI-MS/apc-easy-ups-bvx-1200va-230v-avr-universal-sockets/</t>
  </si>
  <si>
    <t>Rated power in W: 650W
Power socket outlets: 4 universal 1 IEC 60320 C13
Cable length: at least 1m
Number of cables: 1
Battery type: Lead-acid battery
Warranty: 2 years or more</t>
  </si>
  <si>
    <t>APC Easy UPS BVX1200LI-MS 230V AVR Universal Sockets | APc Universal Sockets | APC AVR</t>
  </si>
  <si>
    <t>00007</t>
  </si>
  <si>
    <t>24 Port Gigabit Network Switch</t>
  </si>
  <si>
    <t>https://www.lazada.com.ph/products/tp-link-tl-sg1024d-24-port-gigabit-desktoprackmount-switch-network-switch-hub-24-port-gigabit-switch-tp-link-tplink-i315234716.html?spm=a2o4l.searchlist.list.10.3a1f8782ByDCtk</t>
  </si>
  <si>
    <t>https://www.tp-link.com/us/business-networking/unmanaged-switch/tl-sg1024d/#specifications</t>
  </si>
  <si>
    <t>Interface: 24 10/100/1000 Mbps ports, Auto Negotiation
Fan Quantity: Fanless
Mounting: Rack Mountable
Switching Capacity: at least 48Gbps
Power Supply: 100-240VAC
Warranty: 1 year or more</t>
  </si>
  <si>
    <t>TP-Link TL-SG1024D 24-Port Gigabit Desktop/Rackmount Switch Network Switch Hub 24 Port Gigabit Switch TP LINK TPLINK</t>
  </si>
  <si>
    <t>00008</t>
  </si>
  <si>
    <t>16 Port Gigabit Network Switch</t>
  </si>
  <si>
    <t>https://www.lazada.com.ph/products/tp-link-tl-sg1016d-16-port-101001000mbps-desktoprackmount-switch-and-gigabit-wired-network-expansion-solution-i263137983-s366095889.html?clickTrackInfo=query%253A16-Port%252BGigabit%253Bnid%253A263137983%253Bsrc%253ALazadaMainSrp%253Brn%253A970ed53f4f4f41fa0f21fcd4da35491c%253Bregion%253Aph%253Bsku%253A263137983_PH%253Bprice%253A3399.00%253Bclient%253Adesktop%253Bsupplier_id%253A1791%253Basc_category_id%253A5196%253Bitem_id%253A263137983%253Bsku_id%253A366095889%253Bshop_id%253A3990&amp;search=1&amp;spm=a2o4l.searchlist.list.2</t>
  </si>
  <si>
    <t>https://www.tp-link.com/us/business-networking/unmanaged-switch/tl-sg1016d/#specifications</t>
  </si>
  <si>
    <t>TP-Link TL-SG1016D 16-Port 10/100/1000Mbps Desktop/Rackmount Switch and Gigabit Wired Network Expansion Solution</t>
  </si>
  <si>
    <t>00009</t>
  </si>
  <si>
    <t>https://www.lazada.com.ph/products/easypc-corsair-cv550-550watts-80-plus-bronze-certified-psucorsair-cv-550-true-rated-power-supply-85-plus-bronze-psu-for-micro-atx-and-atx-casing-for-gaming-and-for-video-card-that-needs-8pin-and-6pin-connector-quiet-and-durable-cooling-fan-i586988437.html?spm=a2o4l.searchlist.list.26.15ea44abt3onEg</t>
  </si>
  <si>
    <t>https://www.corsair.com/us/en/Categories/Products/Power-Supply-Units/Power-Supply-Units-General-Purpose/CV-Series%E2%84%A2/p/CP-9020210-NA#tab-tech-specs</t>
  </si>
  <si>
    <t>PSU Form Factor: ATX
Continuous power W: 550 Watts True Rated
ATX Connector: 1
80 PLUS Efficiency: Bronze
Warranty: 2 Years or more</t>
  </si>
  <si>
    <t xml:space="preserve">EasyPC | CORSAIR CV550 550WATTS 80 PLUS BRONZE CERTIFIED PSU,Corsair CV 550 True Rated Power Supply 85 plus Bronze PSU for Micro ATX and ATX casing, For Gaming and for Video Card that needs 8pin and 6pin connector, Quiet and Durable Cooling Fan
</t>
  </si>
  <si>
    <t>00010</t>
  </si>
  <si>
    <t>http://www.isagecomm.com/wp-content/uploads/2015/09/uareu5100reader.pdf</t>
  </si>
  <si>
    <t>Pixel resolution: 500dpi (native), 1000dpi (interpolated) or more
Scan capture area: 12.8-13.8 mm x 16.5-17.5 mm
8-bit grayscale (256 gray levels)
Reader size (approximate): 72-73 mm x 39-40 mm x 21.7-22.7 mm
IP64 rated
PIV-certified
USB 2.0 (High Speed)
Warranty: 1 year or more</t>
  </si>
  <si>
    <t>HID Digital Persona U.are.U 5100 Fingerprint Reader</t>
  </si>
  <si>
    <t>00011</t>
  </si>
  <si>
    <t>CR2032 Lithium Coin Button Battery 3V</t>
  </si>
  <si>
    <t>https://www.lazada.com.ph/products/energizer-cr2032-lithium-coin-button-battery-3v-2pcs-1-pack-cmos-pc-desktop-laptop-motherboard-car-key-weighing-scale-battery-2032-by-mavens-collection-i513314322.html?spm=a2o4l.searchlist.list.2.6eaa10e6u8DUDy</t>
  </si>
  <si>
    <t>https://data.energizer.com/pdfs/cr2032.pdf</t>
  </si>
  <si>
    <t>Supplies/Consumables</t>
  </si>
  <si>
    <t>Chemical System: Lithium / Manganese Dioxide (Li/MnO2)
Nominal Voltage: 3.0 Volts</t>
  </si>
  <si>
    <t>Energizer CR2032 Lithium Coin Button Battery 3V 2pcs 1 pack CMOS PC Desktop Laptop Motherboard Car Key Weighing Scale Battery 2032 by Mavens Collection</t>
  </si>
  <si>
    <t>00012</t>
  </si>
  <si>
    <t>https://www.lazada.com.ph/products/csb-battery-ups-12360-7-f2-12v-360w-i1333458365-s4881842838.html?exlaz=d_1:mm_150050845_51350205_2010350205::12:17987503176!!!!!c!!4881842838!240212130&amp;gclid=Cj0KCQjwuuKXBhCRARIsAC-gM0i3DsAo907ZANiWrOgPL3JV-J1znFj725onRkxBCBG9okJndQ7G7n8aAlMqEALw_wcB</t>
  </si>
  <si>
    <t>https://www.apc.com/ph/en/product/APCRBC110/apc-replacement-battery-cartridge-110-with-2-year-warranty/</t>
  </si>
  <si>
    <t>Battery type: Lead-acid battery
Battery capacity: 7.0 Ah
Battery voltage: 12 V
Note: Compatible with the existing BX625CI-MS
Warranty: 2 years or more</t>
  </si>
  <si>
    <t>APC Replacement Battery Cartridge #110 with 2 Year Warranty APCRBC110</t>
  </si>
  <si>
    <t>00013</t>
  </si>
  <si>
    <t>7.2 Ah Replacement Battery (For UPS)</t>
  </si>
  <si>
    <t>https://asianic.com.ph/product/csb-gp1272</t>
  </si>
  <si>
    <t>https://www.csb-battery.com.tw/english/01_product/02_detail.p?fid=5&amp;pid=11</t>
  </si>
  <si>
    <t>Battery type: Lead-acid battery
Battery capacity: 7.2 Ah
Battery voltage: 12 V
Note: Compatible with the existing ACCU-POWER SMD650
Warranty: 1 years or more</t>
  </si>
  <si>
    <t>CSB GP-1272 Battery</t>
  </si>
  <si>
    <t>00014</t>
  </si>
  <si>
    <t>https://www.lazada.com.ph/products/tolsen-100pcs-black-nylon-cable-tie-dupont-pa66-25-to-76mm-100mm-to-450mm-zip-tie-i276960904-s11289235208.html?</t>
  </si>
  <si>
    <t>Black Nylon Cable Tie 2.5 x 100mm</t>
  </si>
  <si>
    <t>Tolsen 100pcs Black Nylon Cable Tie Dupont PA66 (2.5 to 7.6mm | 100mm to 450mm) Zip Tie</t>
  </si>
  <si>
    <t>00015</t>
  </si>
  <si>
    <t>Black Nylon Cable Tie 2.5 x 140mm</t>
  </si>
  <si>
    <t>00016</t>
  </si>
  <si>
    <t>Black Nylon Cable Tie 3.6 x 140mm</t>
  </si>
  <si>
    <t>00017</t>
  </si>
  <si>
    <t>Black Nylon Cable Tie 3.6 x 200mm</t>
  </si>
  <si>
    <t>00018</t>
  </si>
  <si>
    <t>Black Nylon Cable Tie 3.6 x 300mm</t>
  </si>
  <si>
    <t>00019</t>
  </si>
  <si>
    <t>Black Nylon Cable Tie 4.8 x 200mm</t>
  </si>
  <si>
    <t>00020</t>
  </si>
  <si>
    <t>Black Nylon Cable Tie 4.8 x 250mm</t>
  </si>
  <si>
    <t>00021</t>
  </si>
  <si>
    <t>Black Nylon Cable Tie 4.8 x 300mm</t>
  </si>
  <si>
    <t>00022</t>
  </si>
  <si>
    <t>Black Nylon Cable Tie 4.8 x 400mm</t>
  </si>
  <si>
    <t>00023</t>
  </si>
  <si>
    <t>White Nylon Cable Tie 2.5 x 100mm</t>
  </si>
  <si>
    <t>00024</t>
  </si>
  <si>
    <t>White Nylon Cable Tie 2.5 x 140mm</t>
  </si>
  <si>
    <t>00025</t>
  </si>
  <si>
    <t>White Nylon Cable Tie 3.6 x 140mm</t>
  </si>
  <si>
    <t>00026</t>
  </si>
  <si>
    <t>White Nylon Cable Tie 3.6 x 200mm</t>
  </si>
  <si>
    <t>00027</t>
  </si>
  <si>
    <t>White Nylon Cable Tie 3.6 x 300mm</t>
  </si>
  <si>
    <t>00028</t>
  </si>
  <si>
    <t>White Nylon Cable Tie 4.8 x 200mm</t>
  </si>
  <si>
    <t>00029</t>
  </si>
  <si>
    <t>White Nylon Cable Tie 4.8 x 250mm</t>
  </si>
  <si>
    <t>00030</t>
  </si>
  <si>
    <t>White Nylon Cable Tie 4.8 x 300mm</t>
  </si>
  <si>
    <t>00031</t>
  </si>
  <si>
    <t>White Nylon Cable Tie 4.8 x 400mm</t>
  </si>
  <si>
    <t>00032</t>
  </si>
  <si>
    <t>https://www.lazada.com.ph/products/belden-7814a-cat-6-cable-utp-unshielded-awg24-blue-data-lan-cable-cat6-305-meters-1000-feet-305m-1000ft-i256357846-s352596124.html?&amp;search=pdp_same_topselling?spm=a2o4l.pdp_revamp.recommendation_1.5.ccd07a98wg5dEn&amp;mp=1&amp;scm=1007.16389.286994.0&amp;clickTrackInfo=ebdba38e-d7d3-4574-b454-cedc99f91706__256357846__10100366__trigger2i__224806__0.247__0.247__0.0__0.0__0.0__0.247__4__null__null__null__null__null__null____13140.0__0.2009132420091324__5.0__6__10500.0__38009,101718,151636,173872__null__null__null__3650.16538_3650.16544_955.3632__null__13426__null__0.0__0.0________null__null</t>
  </si>
  <si>
    <t>https://catalog.belden.com/techdata/EN/7814A_techdata.pdf?_gl=1*1apxy0l*_ga*NDIzNzE2NzMwLjE2NjA1NDc0NTY.*_ga_X6Q7YE8B3L*MTY2MDU0NzQ1NS4xLjAuMTY2MDU0NzQ1NS4w</t>
  </si>
  <si>
    <t>AWG: 24
Stranding: Solid
Material: BC - Bare Copper
No. of Pairs: 4
Material: PO - Polyolefin
Outer Jacket: PVC - Polyvinyl Chloride
ISO/IEC Compliance: ISO/IEC 11801</t>
  </si>
  <si>
    <t>Belden 7814A Cat 6 Cable UTP Unshielded AWG24 Blue Data LAN Cable Cat6 305 meters 1000 feet 305m 1000ft</t>
  </si>
  <si>
    <t>00033</t>
  </si>
  <si>
    <t>CAT6 Cable, UTP, OUTDOOR 305 meters</t>
  </si>
  <si>
    <t>https://www.lazada.com.ph/products/ad-link-cat6-outdoor-utp-cable-305m-high-quality-i292272797.html?spm=a2o4l.seller.list.4.110e6997orML3z</t>
  </si>
  <si>
    <t>https://adlink.ph/product/utp-outdoor-cat6-305-meters/</t>
  </si>
  <si>
    <t>Conductor size:  23AWG
No. of Conductor:  4P
Pure Copper</t>
  </si>
  <si>
    <t>Ad-link CAT6 Outdoor UTP Cable 305M High Quality</t>
  </si>
  <si>
    <t>00034</t>
  </si>
  <si>
    <t>https://www.lazada.com.ph/products/rj45-metal-shield-connectors-for-cat6-ad-link-100pcs-i163262976.html?spm=a2o4l.seller.list.4.60536997Q9q5DC</t>
  </si>
  <si>
    <t>Rj45 Metal Shield Connectors high quality</t>
  </si>
  <si>
    <t>Rj45 Metal Shield Connectors for CAT6 Ad-link (100pcs)</t>
  </si>
  <si>
    <t>00035</t>
  </si>
  <si>
    <t>https://www.lazada.com.ph/products/rj45-connectors-for-cat6-ad-link-100pcs-clear-i163264768.html?spm=a2o4l.seller.list.22.60536997Q9q5DC</t>
  </si>
  <si>
    <t>Rj45 Connectors high quality</t>
  </si>
  <si>
    <t>00036</t>
  </si>
  <si>
    <t>https://pinoydeal.ph/mobile-phones/other-phone-related/analog-phone-nec-at40_i61216</t>
  </si>
  <si>
    <t>3 Programmable Ringer Tones; 
Adjustable Ringer/Handset Volume; 
Time Flash; 
Switchable Tone or Pulse Dialing;
Compatible with the existing NEC SV9100 Communication Server ; With at least 1 year warranty.
Warranty: 1 year or more</t>
  </si>
  <si>
    <t xml:space="preserve">Analog Phone NEC-AT40 </t>
  </si>
  <si>
    <t>00037</t>
  </si>
  <si>
    <t>https://www.lazada.com.ph/products/cat6cat5e-tool-less-keystone-jackampcom-rj45-utp-keystone-module-adapter-no-punch-down-tool-required-couplers-i751124158-s2242930566.html</t>
  </si>
  <si>
    <t>Backwards compatible to 10/100/1000 Mbps Ethernet CAT5 CAT5E CAT6
Labeled for T568A and T568B wiring scheme next to wire clips;
It accepts 22 to 26 AWG solid Ethernet Patch Cords</t>
  </si>
  <si>
    <t xml:space="preserve">AMPCOM Cat6 Keystone Jack,RJ45 UTP Keystone Module Adapter No Punch-Down Tool Required Couplers
</t>
  </si>
  <si>
    <t>00038</t>
  </si>
  <si>
    <t>https://www.lazada.com.ph/products/brother-pt-d600-pc-connectable-label-maker-with-twin-pack-tze-231-i5749717-s7279307.html?&amp;search=pdp_same_topselling?spm=a2o4l.pdp_revamp.recommendation_1.5.7d2419a2JGNYgd&amp;mp=1&amp;scm=1007.16389.286994.0&amp;clickTrackInfo=806d2b5d-f88b-4e2d-8d71-ee3cf6ca206e__5749717__22756__trigger2i__224806__0.26__0.26__0.0__0.0__0.0__0.26__4__null__null__null__null__null__null____7964.0__0.09090909090909094__4.964285714285714__28__7240.0__12003,12018,12027,24085,38009,120000,127634,128317,129114,141200,142021,142877,149113,149328,149836,157410,160749,164724,166568__null__null__null__3650.16539_3650.16544_955.3632__null__13426__null__0.0__0.0________null__null</t>
  </si>
  <si>
    <t>Full-color graphical display: View label appearance before printing
PC-Connectable: Use stand-alone, or connected to a PC or Mac for added design capabilities
Multi-line labels: Prints labels with up to 7 lines of text
Includes: 10pcs 12mm TZe231 laminated tape, USB cable and AC power adapter
Warranty: 1 year or more</t>
  </si>
  <si>
    <t>Brother PT-D600 PC-Connectable Label Maker With Twin Pack Tze 231</t>
  </si>
  <si>
    <t>00039</t>
  </si>
  <si>
    <t>https://www.lazada.com.ph/products/acer-ka220hq-bi-215-fhd-led-monitor-i191381509.html?spm=a2o4l.searchlist.list.18.642e5575IKqSck</t>
  </si>
  <si>
    <t>https://www.acer.com/ac/en/US/content/model/UM.WX0AA.001</t>
  </si>
  <si>
    <t>Screen Size: 21.5"
Maximum Resolution: (Full HD)1920 x 1080
Aspect Ratio: 16:9
Backlight: LED
Panel Type: TN (Twisted Nematic Film)
Ports &amp; Connectors: VGA, HDMI
Warranty: 1 year or more</t>
  </si>
  <si>
    <t xml:space="preserve">Acer KA220HQ bi 21.5 FHD LED Monitor
</t>
  </si>
  <si>
    <t>00040</t>
  </si>
  <si>
    <t>Digital Multimeter (Branded)</t>
  </si>
  <si>
    <t>https://www.lazada.com.ph/products/fluke-101-digital-multimeter-i1839843724-s7826163055.html?clickTrackInfo=query%253AFluke%252B101%252BDigital%252BMultimeter%253Bnid%253A1839843724%253Bsrc%253ALazadaMainSrp%253Brn%253A0363762d6abe66adb8f1591ce60f04e5%253Bregion%253Aph%253Bsku%253A1839843724_PH%253Bprice%253A3750.00%253Bclient%253Adesktop%253Bsupplier_id%253A500171004094%253Basc_category_id%253A22652%253Bitem_id%253A1839843724%253Bsku_id%253A7826163055%253Bshop_id%253A1950776&amp;search=1&amp;spm=a2o4l.searchlist.list.2</t>
  </si>
  <si>
    <t>https://www.fluke.com/en-in/product/electrical-testing/digital-multimeters/fluke-101</t>
  </si>
  <si>
    <t>CAT Rating: CAT III 600 V
V AC Range: 600.0 V
V DC Range: 600.0 V
Ohms Range: 40.00 MΩ
Auto Shutoff: YES
Continuity: YES
Battery: Two AAA
Warranty: 1 year warranty or more</t>
  </si>
  <si>
    <t>Fluke 101 Digital Multimeter</t>
  </si>
  <si>
    <t>00041</t>
  </si>
  <si>
    <t>https://www.lazada.com.ph/products/ampcom-network-cable-tester-rj45-rj11-network-lan-ethernet-rj45-cable-tester-tool-lan-networking-tool-network-repair-blackred-i880070328.html?spm=a2o4l.searchlist.list.10.3522f4bddRTXcn</t>
  </si>
  <si>
    <t>Support testing RJ1 / RJ12 / RJ45 interface
Powered by a 9V battery;Powered by the type-c port charging;With a type-c cable in package
Emergency Lighting Function: The flashlight switch is located on the left side of the host
The tester can test unshielded cables and shielded cables
UTP: The lights of the main tester will turn on sequentiy from 1 to 8.
STP: The lights of the main tester will turn on sequentiy from 1 to G.
Warranty: 1 year or more</t>
  </si>
  <si>
    <t>AMPCOM Network Cable Tester rj45 RJ11 Network LAN Ethernet RJ45 Cable Tester tool LAN Networking Tool network Repair Black/Red</t>
  </si>
  <si>
    <t>00042</t>
  </si>
  <si>
    <t>Network Tool Kit, 14 in 1</t>
  </si>
  <si>
    <t>https://www.lazada.com.ph/products/ampcom-network-tool-kit-14-in-1-professional-ethernet-cable-tester-rj45-rj11-cat6cat5econnectors-cable-crimper-stripper-pliers-i1529906023.html?spm=a2o4l.seller.list.34.6d951741nGMPRM</t>
  </si>
  <si>
    <t>Including:
Crimper (8P8C &amp; 8P6C/6P4C Interface, Non-Slip Handle), 
Cable Tester(9V battery/Type-C Cable Charger, LED Status Display, 3 Test Speeds Mode), 
Punch Down Tool, 
Cable Stripper &amp; 2pcs Cable stripper, 
USb Cable, 
10pcs Cat6 connectors &amp; 
10pcs Cat5e connectors &amp; 
20pcs RJ11 connectors, 
20pcs Strain Relief Boots Cover, 
Marker pen, 
20pcs nylon cable ties, 
Patch cable, 
5 pcs replacement blades
w/ Handy Case
Warranty: 1 year or more on devices</t>
  </si>
  <si>
    <t>AMPCOM Network Tool Kit, 14 in 1 Professional Ethernet cable Tester Rj45 Rj11 CAT6/CAT5EConnectors Cable Crimper, Stripper Pliers</t>
  </si>
  <si>
    <t>00043</t>
  </si>
  <si>
    <t>https://www.lazada.com.ph/products/ampcom-rj45-crimp-tool-pass-through-cat5-cat5e-cat6-crimper-cutter-stripper-for-rj45-rj12-rj11-8p-6p-end-pass-through-connector-i2366754866.html?spm=a2o4l.seller.list.119.55231741Bkp89Z</t>
  </si>
  <si>
    <t>Crimper Cutter Stripper for RJ45 RJ12 RJ11 8P 6P End Pass Through connector
High Carbon Steel and PVC Non-slip Handle</t>
  </si>
  <si>
    <t>AMPCOM RJ45 Crimp Tool Pass Through Cat5 Cat5e Cat6 Crimper Cutter Stripper for RJ45 RJ12 RJ11 8P 6P End Pass Through connector</t>
  </si>
  <si>
    <t>00044</t>
  </si>
  <si>
    <t>Punch Down Tool</t>
  </si>
  <si>
    <t>https://www.lazada.com.ph/products/ampcom-krone-punch-down-tool-multifunction-krone-kd-1-type-idcnetwork-wire-cat5e-and-telephone-impact-terminal-insertion-tools-i2118481877.html?spm=a2o4l.seller.list.192.55231741LI79zK</t>
  </si>
  <si>
    <t>Terminates cable into patch panels and keystone jacks with existing Krone IDC terminations</t>
  </si>
  <si>
    <t>AMPCOM Krone Punch Down Tool, Multifunction Krone KD-1 Type IDC/Network Wire Cat5e and Telephone Impact Terminal Insertion Tools</t>
  </si>
  <si>
    <t>00045</t>
  </si>
  <si>
    <t>https://www.lazada.com.ph/products/15m-3m-5m-10m-15m-20m-30m-40m-50m-ad-link-gigabit-cat6-ethernet-patch-cable-with-rj45-cat6e-high-quality-blue-i1767824467-s7555638470.html?</t>
  </si>
  <si>
    <t>Gigabit Speed and Ready to Use Cable
Cable Category: Cat6/Cat6e
Machine Crimped</t>
  </si>
  <si>
    <t>1.5M 3M 5M 10M 15M 20M 30M 40M 50M Ad-Link Gigabit Cat6 Ethernet Patch Cable with RJ45 CAT6E High Quality - Blue</t>
  </si>
  <si>
    <t>00046</t>
  </si>
  <si>
    <t>00047</t>
  </si>
  <si>
    <t>00048</t>
  </si>
  <si>
    <t>Gigabit Speed and Ready to Use Cable
Cable Category: Cat6/Cat6e
Machine Crimped</t>
  </si>
  <si>
    <t>00049</t>
  </si>
  <si>
    <t>https://www.lazada.com.ph/products/rj11-6p6c-telephone-connector-per-piece-i2888887294-s14033502988.html?clickTrackInfo=query%253Arj11%252Bconnector%253Bnid%253A2888887294%253Bsrc%253ALazadaMainSrp%253Brn%253Ab2ec5001b5796829716e677f52c6ece0%253Bregion%253Aph%253Bsku%253A2888887294_PH%253Bprice%253A12.00%253Bclient%253Adesktop%253Bsupplier_id%253A500157846587%253Basc_category_id%253A10100366%253Bitem_id%253A2888887294%253Bsku_id%253A14033502988%253Bshop_id%253A745049&amp;search=1&amp;spm=a2o4l.searchlist.list.3</t>
  </si>
  <si>
    <t>6P6C Telephone Connector, High Quality</t>
  </si>
  <si>
    <t>RJ11 6P6C Telephone Connector (per piece)</t>
  </si>
  <si>
    <t>00050</t>
  </si>
  <si>
    <t>Rework Station Hot Air Soldering Station Pull Gun Remake Station Combo</t>
  </si>
  <si>
    <t>https://www.lazada.com.ph/products/gordak-968d-rework-station-hot-air-soldering-station-pull-gun-remake-station-combo-i546918385-s1477040500.html?clickTrackInfo=query%253AGordak%252BRework%252BStation%253Bnid%253A546918385%253Bsrc%253ALazadaMainSrp%253Brn%253A18fff759a1fe632248f5c492ba5c625a%253Bregion%253Aph%253Bsku%253A546918385_PH%253Bprice%253A2050.00%253Bclient%253Adesktop%253Bsupplier_id%253A1000136235%253Basc_category_id%253A22670%253Bitem_id%253A546918385%253Bsku_id%253A1477040500%253Bshop_id%253A313708&amp;search=1&amp;spm=a2o4l.searchlist.list.4</t>
  </si>
  <si>
    <t>Hot air station
Rated Voltage: 220V 50/60Hz AC
Power Consumption: 450 (W)
Pump model: None Brushless Fan Soft Wind
Soldering Station
Power Consumption: 50（W)
Warranty: 1 year or more</t>
  </si>
  <si>
    <t>Gordak 968D Rework Station Hot Air Soldering Station Pull Gun Remake Station Combo</t>
  </si>
  <si>
    <t>00051</t>
  </si>
  <si>
    <t>https://www.lazada.com.ph/products/baofeng-uv-5r-walkie-talkie-dual-band-vhfuhf136-174mhz-400-520mhz-handheld-two-way-radio-i610048420.html?spm=a2o4l.seller.list.24.4d0f362dfVGrRg</t>
  </si>
  <si>
    <t>Frequency range: VHF/UHF136-174Mhz &amp; 400-520Mhz
[TX] 136 – 174MHz, 400 – 520MHz
[RX] 136 – 174MHz, 400 – 520MHz
Channel Capacity: 128 Channels
Battery: 1500mAh
Output power: 5W / 1W
Warranty: 1 year or more</t>
  </si>
  <si>
    <t>BaoFeng UV-5R Walkie Talkie Dual Band VHF/UHF136-174Mhz &amp; 400-520Mhz Handheld Two Way Radio</t>
  </si>
  <si>
    <t>00052</t>
  </si>
  <si>
    <t>https://www.lazada.com.ph/products/ubiquiti-unifi6-pro-u6-pro-indoor-dual-band-poe-wifi-access-point-i3273519200.html?spm=a2o4l.searchlist.list.1.43de6d232IN3cL</t>
  </si>
  <si>
    <t>https://dl.ui.com/ds/u6-pro_ds.pdf</t>
  </si>
  <si>
    <t>Networking interface: (1) GbE RJ45 port
Power method: PoE+
Power supply: 48V, 0.5A PoE adapter
Dual-band WiFi 6 (802.11ax)
5 GHz (4x4 MU-MIMO and OFDMA)
2.4 GHz (2x2 MU-MIMO and OFDMA)
Included universal mounting plate, backing plate, and screw kit
Compatible with the existing UniFi Network Application
Warranty: 1 year or more</t>
  </si>
  <si>
    <t>Ubiquiti Unifi6 Pro U6-PRO Indoor Dual-band PoE+ Wifi Access Point</t>
  </si>
  <si>
    <t>00053</t>
  </si>
  <si>
    <t>https://www.lazada.com.ph/products/allan-30g-thermal-conductive-grease-paste-for-cpu-gpu-chipset-cooling-grey-compound-thermal-paste-syringe-silicon-syringe-density-is-compatible-with-sharp-mirrored-cpu-cooler-s-surface-and-video-cards-or-gpu-i1713768308-s7403382032.html?clickTrackInfo=query%253Athermal%252Bpaste%253Bnid%253A1713768308%253Bsrc%253ALazadaMainSrp%253Brn%253A611861c1dba355c1d7ff25641032fd75%253Bregion%253Aph%253Bsku%253A1713768308_PH%253Bprice%253A25.22%253Bclient%253Adesktop%253Bsupplier_id%253A500171112345%253Basc_category_id%253A5161%253Bitem_id%253A1713768308%253Bsku_id%253A7403382032%253Bshop_id%253A1958642&amp;search=1&amp;spm=a2o4l.searchlist.list.2</t>
  </si>
  <si>
    <t>Thermal Conductive Grease Paste For CPU GPU High Quality
30g or more</t>
  </si>
  <si>
    <t>Allan 30g Thermal Conductive Grease Paste For CPU GPU Chipset Cooling Grey Compound Thermal Paste Syringe Silicon Syringe, density is compatible with sharp-mirrored CPU cooler ’s surface And Video Cards or GPU</t>
  </si>
  <si>
    <t>00054</t>
  </si>
  <si>
    <t xml:space="preserve">WiFi Dongle High Gain Wireless Dual Band USB Adapter </t>
  </si>
  <si>
    <t>https://www.lazada.com.ph/products/tp-link-archer-t3u-plus-ac1300-high-gain-wireless-dual-band-usb-adapter-ac-wifi-adapter-wifi-receiver-wifi-dongle-wifi-hotspot-tp-link-tplink-i1059460254.html?spm=a2o4l.searchlist.list.6.53b17edbf1dx0A</t>
  </si>
  <si>
    <t>https://static.tp-link.com/2020/202010/20201019/Archer%20T3U%20Plus(EU%EF%BC%8FUS)%201.0_Datasheet.pdf</t>
  </si>
  <si>
    <t>Dual Band
867 Mbps or more on the 5 GHz band
400 Mbps or more on the 2.4 GHz band
MU-MIMO technology
Antennas: 1 External High gain Antenna
Interface: USB 3.0
Warranty: 1 year or more</t>
  </si>
  <si>
    <t>TP-Link Archer T3U Plus AC1300 High Gain Wireless Dual Band USB Adapter AC WiFi Adapter WiFi Receiver WiFi Dongle WiFi Hotspot TP LINK TPLINK</t>
  </si>
  <si>
    <t>00055</t>
  </si>
  <si>
    <t>https://www.lazada.com.ph/products/office-chair-computer-chair-executive-chair-boss-chair-office-chairs-office-chair-with-arm-rest-cheap-office-chair-with-arm-rest-boss-chair-rotating-computer-chair-ergonomic-chair-design-metal-base-i1603670994-s15382966492.html?clickTrackInfo=query%253Aergonomic%252Bchair%252Boffice%253Bnid%253A1603670994%253Bsrc%253ALazadaMainSrp%253Brn%253A96070e39ed1685732ba9c930c9afb149%253Bregion%253Aph%253Bsku%253A1603670994_PH%253Bprice%253A1234%253Bclient%253Adesktop%253Bsupplier_id%253A1000271104%253Basc_category_id%253A22819%253Bitem_id%253A1603670994%253Bsku_id%253A15382966492%253Bshop_id%253A443213&amp;freeshipping=1&amp;search=1&amp;spm=a2o4l.searchlist.list.6</t>
  </si>
  <si>
    <t>Ergonomic Design with Thick Cushion and Breathable Mesh
High Back Design with Headrest
Chromed Steel Base &amp; Nylon Casters
Pneumatic Height Adjustment
360 Degrees Swivel Function</t>
  </si>
  <si>
    <t>office chair computer chair executive chair boss chair office chairs office chair with arm rest cheap office chair with arm rest boss chair rotating computer chair Ergonomic chair design METAL BASE</t>
  </si>
  <si>
    <t>00056</t>
  </si>
  <si>
    <t>https://www.lazada.com.ph/products/pioneer-mighty-bond-extreme-instant-glue-gel-3g-i790680447-s2405080031.html?clickTrackInfo=query%253Amighty%252Bbond%253Bnid%253A790680447%253Bsrc%253ALazadaMainSrp%253Brn%253A43e45ba1d66a568097c2a916044231b3%253Bregion%253Aph%253Bsku%253A790680447_PH%253Bprice%253A89.00%253Bclient%253Adesktop%253Bsupplier_id%253A100018869%253Basc_category_id%253A22751%253Bitem_id%253A790680447%253Bsku_id%253A2405080031%253Bshop_id%253A3012&amp;search=1&amp;spm=a2o4l.searchlist.list.6</t>
  </si>
  <si>
    <t>Impact, heat, and water resistant
Bonds metal, rubber, porcelain, wood, and most plastics</t>
  </si>
  <si>
    <t xml:space="preserve">Pioneer Mighty Bond extreme Instant Glue Gel 3g
</t>
  </si>
  <si>
    <t>00057</t>
  </si>
  <si>
    <t>https://www.lazada.com.ph/products/tolsen-6pcs-vde-insulated-flat-phillips-handle-screwdrivers-set-insulated-375-4100-55100-ph1x80-ph2x100-3x140mm-38013-i246522691.html?spm=a2o4l.searchlist.list.48.4ce0759aArTVNj</t>
  </si>
  <si>
    <t>3 pcs insulated slotted screwdrivers: 3x75mm, 4x100mm, 5.5x125mm
2 pcs insulated phillips screwdrivers: PH1x80mm, PH2x100mm
1pc 3.0x140mm voltage tester 125-250V</t>
  </si>
  <si>
    <t>Tolsen 6pcs VDE Insulated Flat Phillips Handle Screwdrivers Set Insulated (3×75, 4×100, 5.5×100; PH1x80, PH2X100; 3X140mm) 38013</t>
  </si>
  <si>
    <t>00058</t>
  </si>
  <si>
    <t>https://www.lazada.com.ph/products/kruger-aluminum-step-ladder-ft-6-6-steps-i104250682.html?spm=a2o4l.searchlist.list.116.3e0f4270GdnPqP</t>
  </si>
  <si>
    <t>Height when opened: 1.30m or more (From Top Platform to Ground)
Foldable and lightweight
Load Capacity: 300 lbs or more
22" or more Tall Extended Handrail and Extra Large Platform Area
Main Material: High Strength Aluminum</t>
  </si>
  <si>
    <t xml:space="preserve">Kruger Aluminum Step Ladder, FT-6 (6 Steps)
</t>
  </si>
  <si>
    <t>00059</t>
  </si>
  <si>
    <t>https://shopee.ph/ASUS-TUF-VG27VH1B-27INCH-Curved-Gaming-Monitor-i.167356732.11547355508</t>
  </si>
  <si>
    <t>https://www.asus.com/Displays-Desktops/Monitors/TUF-Gaming/TUF-Gaming-VG27VH1B/techspec/</t>
  </si>
  <si>
    <t>Panel Size (inch) : 27
Aspect Ratio : 16:9
Display Surface : Non-Glare
Backlight Type : LED
Panel Type : VA
Resolution : 1920x1080
Curvature : 1500R
Refresh Rate (Max) : 165Hz
HDMI x 1, VGA x 1
VESA Wall Mounting 100x100mm
Warranty: 1 year or more</t>
  </si>
  <si>
    <t xml:space="preserve">ASUS TUF VG27VH1B 27INCH Curved Gaming Monitor
</t>
  </si>
  <si>
    <t>00060</t>
  </si>
  <si>
    <t>Mechanical Keyboard</t>
  </si>
  <si>
    <t>https://www.lazada.com.ph/products/logitech-g512-carbon-lightsync-rgb-mechanical-gaming-keyboard-with-gx-switches-usb-passthrough-i235322628-s5140140898.html?clickTrackInfo=query%253Alogitech%252Bmechanical%253Bnid%253A235322628%253Bsrc%253ALazadaMainSrp%253Brn%253Ab74b06f2ca812335a7615c1c08121357%253Bregion%253Aph%253Bsku%253A235322628_PH%253Bprice%253A3994%253Bclient%253Adesktop%253Bsupplier_id%253A100097156%253Basc_category_id%253A13853%253Bitem_id%253A235322628%253Bsku_id%253A5140140898%253Bshop_id%253A114288&amp;search=1&amp;spm=a2o4l.searchlist.list.4</t>
  </si>
  <si>
    <t>https://www.logitechg.com/en-us/products/gaming-keyboards/g512-mechanical-gaming-keyboard.html</t>
  </si>
  <si>
    <t>GX BLUE MECHANICAL SWITCHES
Connection Type: USB 2.0
USB Ports (Built-in): Yes, 2.0
Backlighting: Yes, RGB per key lighting
Warranty: 2 years or more</t>
  </si>
  <si>
    <t>Logitech G512 CARBON LIGHTSYNC RGB Mechanical Gaming Keyboard with GX switches, USB Passthrough</t>
  </si>
  <si>
    <t>00061</t>
  </si>
  <si>
    <t>Wireless Mouse</t>
  </si>
  <si>
    <t>https://www.lazada.com.ph/products/online-exclusive-logitech-g-pro-wireless-gaming-mouse-hero-25k-sensor-25600-dpi-rgb-ultra-lightweight-4-to-8-programmable-buttons-long-battery-life-on-board-memory-built-for-esport-pc-mac-i277502507.html?spm=a2o4l.searchlist.list.2.31f2244dElmdzD</t>
  </si>
  <si>
    <t>https://www.logitechg.com/en-ph/products/gaming-mice/league-of-legends-pro-wireless-gaming-mouse.910-006453.html</t>
  </si>
  <si>
    <t>Sensor: HERO
Resolution: 100 – 25,600 dpi
Wireless technology: LIGHTSPEED Wireless
Microprocessor: 32-bit ARM
USB charging/data cable
Built-in Battery
Warranty: 2 years or more</t>
  </si>
  <si>
    <t>Logitech G PRO Wireless Gaming Mouse, HERO 25K Sensor, 25,600 DPI, RGB, Ultra Lightweight, 4 to 8 Programmable Buttons, Long Battery Life, On-Board Memory, Built for esport, PC / Mac</t>
  </si>
  <si>
    <t>00062</t>
  </si>
  <si>
    <t>Triple Monitor Stand Mount, 3 Monitor Desk Mount</t>
  </si>
  <si>
    <t>https://www.amazon.com/mountup-triple-monitor-stand-mount/dp/b07z7zwc6s</t>
  </si>
  <si>
    <t>Triple Monitor Stand Mount/Arm Holder Heavy-Duty
3 Monitor Desk Mount for Three Max 27 Inch Computer Screen
VESA Bracket With Clamp/Grommet Base
Fit VESA patterns 75×75mm and 100×100mm
Full Motion Articulating Arms
Material: Alloy Steel</t>
  </si>
  <si>
    <t>MOUNTUP Triple Monitor Stand Mount, 3 Monitor Desk Mount for Three Max 27 Inch Computer Screen, 2.2-17.6lbs Heavy Duty Gas Spring Triple Monitor Arm Holder, VESA Bracket With Clamp/Grommet Base, Black</t>
  </si>
  <si>
    <t>00063</t>
  </si>
  <si>
    <t>2-input 4-output USB audio interface</t>
  </si>
  <si>
    <t>https://www.lazada.com.ph/products/beringer-2-input-4-output-usb-audio-interface-umc204hd-u-phoria-i2326206370-s10553865294.html?clicktrackinfo=query%253aberinger%252bmixer%253bnid%253a2326206370%253bsrc%253alazadamainsrp%253brn%253a36fb071c0d3bd7847e992cd0cd9cef96%253bregion%253aph%253bsku%253a2326206370_ph%253bprice%253a7092.00%253bclient%253adesktop%253bsupplier_id%253a500173515110%253basc_category_id%253a13432%253bitem_id%253a2326206370%253bsku_id%253a10553865294%253bshop_id%253a2123425&amp;search=1&amp;spm=a2o4l.searchlist.list.i16.6eac1b6e8nv0dv</t>
  </si>
  <si>
    <t>https://www.behringer.com/product.html?modelCode=P0BK0</t>
  </si>
  <si>
    <t>Audiophile 2x4, 24-Bit/192 kHz USB Audio/MIDI Interface 
with Midas Mic Preamplifiers
Input/Playback Mix control and Stereo/Mono switch for direct monitoring
USB port for connection and power
Impact-resistant metal chassis
Warranty: 2 years or more</t>
  </si>
  <si>
    <t>Beringer 2-input 4-output USB audio interface UMC204HD U-PHORIA</t>
  </si>
  <si>
    <t>00064</t>
  </si>
  <si>
    <t>Action Camera</t>
  </si>
  <si>
    <t>https://www.lazada.com.ph/products/insta360-one-x2-360-camera-action-camera-waterproof-57k-stabilization-touch-screen-ai-editing-live-streaming-webcam-i2186825021-s9819605412.html?clickTrackInfo=query%253Ainsta360%252Bone%252Bx2%253Bnid%253A2186825021%253Bsrc%253ALazadaMainSrp%253Brn%253Adaf594f521dd05669b41c05a7b5d0839%253Bregion%253Aph%253Bsku%253A2186825021_PH%253Bprice%253A22499%253Bclient%253Adesktop%253Bsupplier_id%253A500174652107%253Basc_category_id%253A11134%253Bitem_id%253A2186825021%253Bsku_id%253A9819605412%253Bshop_id%253A2164940&amp;freeshipping=1&amp;search=1&amp;spm=a2o4l.searchlist.list.2</t>
  </si>
  <si>
    <t>https://www.insta360.com/product/insta360-onex2/</t>
  </si>
  <si>
    <t>Aperture F2.0
35mm Equivalent Focal Length 7.2mm
ISO Auto, 100-3200
Photo Resolution
360: 6080x3040 (2:1) or more
Pano: 4320×1440 (3:1) or more
Video Resolution
360:
5.7K@30fps, 25fps, 24fps or more
4K@50fps, 30fps or more
3K@100fps or more
Wide Angle (Steady Cam Mode):
2560x1440@50fps, 30fps or more
1920x1080@50fps, 30fps or more
Video Coding: H.264, H.265
Bluetooth BLE 4.2
Charging Method Type-C
Micro SD Card: UHS-I V30 speed class, exFAT format SD cards with a max storage of 1TB are recommended.
Warranty: 1 year or more</t>
  </si>
  <si>
    <t>Insta360 ONE X2 - 360 Camera &amp; Action Camera, Waterproof, 5.7K, Stabilization, Touch Screen, AI Editing, Live Streaming, Webcam</t>
  </si>
  <si>
    <t>00065</t>
  </si>
  <si>
    <t xml:space="preserve">Webcam HD Stream </t>
  </si>
  <si>
    <t>https://www.lazada.com.ph/products/logitech-c922-hd-pro-stream-webcam-webcam-for-pc-webcam-for-laptop-web-camera-i219256749-s286947095.html?&amp;search=pdp_same_topselling?spm=a2o4l.pdp_revamp.recommendation_1.1.7bb33b0dcXosDd&amp;mp=1&amp;scm=1007.16389.286994.0&amp;clickTrackInfo=925bc12c-5b44-4425-9c1b-ae0cfb6cc603__219256749__5169__trigger2i__224806__1.0__1.0__0.0__0.0__0.0__1.0__0__null__null__null__null__null__null____7000.0__0.34299999999999997__4.9818181818181815__55__4599.0__12027,12040,12044,14001,16001,23083,24085,38009,71029,73206,76100,80976,85911,112175,115569,117512,120000,121783,121800,121950,127634,128317,128318,129114,130786,130788,137398,138588,138754,138762,140349,141200,141203,142021,142252,142484,142877,147207,149328,149836,152127,152356,153221,153314,155068,157119,157262,157410,157464,160749,161153,161167,163050,164072,164391,164724,165451,166568,166654,167210,172033,173951,175755,176604,177091,180466,181201,184466,188631,189113,192623,192809__null__null__null__3650.16538_3650.16544_955.3632__null__13426__null__0.0__0.0________null__null</t>
  </si>
  <si>
    <t>https://www.logitech.com/en-ph/products/webcams/c922-pro-stream-webcam.960-001090.html</t>
  </si>
  <si>
    <t>Max Resolution: 1080p/30 fps - 720p/ 60 fps or more
Camera mega pixel: 3 or more
Focus type: Autofocus
Lens type: Glass
Built-in mic: Stereo
Tripod-ready universal mounting clip fits laptops, LCD or monitors
Warranty: 1 year or more</t>
  </si>
  <si>
    <t>Logitech C922 HD Pro Stream Webcam, Webcam for Pc, Webcam for laptop Web Camera</t>
  </si>
  <si>
    <t>00066</t>
  </si>
  <si>
    <t>Brushless DC Motor Cordless Hammer Drill 18V Kit Set</t>
  </si>
  <si>
    <t>https://www.lazada.com.ph/products/makita-dhp484rfe-brushless-dc-motor-cordless-hammer-drill-13mm-18v-lxt-kit-set-with-free-magnetic-screw-bit-crdlsdrl-mak18v-gigatools-i111243257.html?spm=a2o4l.searchlist.list.3.37ef3ba9v9thuN</t>
  </si>
  <si>
    <t>https://www.gigatools.ph/products/akita-dhp484rfe-18v-3-0ah-li-ion-cordless-hammer-driver-drill-brushless-heavy-duty</t>
  </si>
  <si>
    <t>Voltage: 18V
Max Capacity Steel: 13mm or more
Max Capacity Wood: 38mm or more
Max Capacity Masonry: 13mm or more
Max fastening torque: Hard / Soft: 54 / 30 N·m or more
Includes: 2 x Battery 3.0Ah 18V (Compatible with 18V LXT Tools), 1 x Fast Charger, 1 x Battery Cover, 1 x Hook, 1 x Carrying Case
Warranty: 1 year or more</t>
  </si>
  <si>
    <t>Makita DHP484RFE Brushless DC Motor Cordless Hammer Drill 13mm 18V LXT Kit Set with FREE Magnetic Screw bit ( CRDLSDRL ) ( MAK18V ) [GIGATOOLS]</t>
  </si>
  <si>
    <t>00067</t>
  </si>
  <si>
    <t>https://www.lazada.com.ph/products/makita-dub185z-cordless-blower-18v-lxt-body-only-battery-and-charger-sold-separately-replaces-old-dub182z-crdlsblwr-mak18v-gigatools-i115245104.html?spm=a2o4l.seller.list.34.62419c9aSK1o2j</t>
  </si>
  <si>
    <r>
      <rPr>
        <u/>
        <sz val="10"/>
        <color rgb="FF1155CC"/>
        <rFont val="Arial"/>
        <family val="2"/>
      </rPr>
      <t>https://makitauk.com/data/sr/productinfo/generated/dub185z_2.pdf</t>
    </r>
    <r>
      <rPr>
        <sz val="10"/>
        <color rgb="FF000000"/>
        <rFont val="Arial"/>
        <family val="2"/>
        <scheme val="minor"/>
      </rPr>
      <t>f</t>
    </r>
  </si>
  <si>
    <t>Voltage 18v
Max air velocity 98 m/sec or more
Air volume setting dial 3 settings
No Load Speed 0 - 18,000 rpm or more
Includes: 1 x Li-ion Battery 3.0Ah 18V, 1 x Fast Charger, 1 x Battery Cover, Compatible with 18V LXT Tools
Warranty: 1 year or more</t>
  </si>
  <si>
    <t>Makita DUB185Z Cordless Blower 18V LXT ( Body Only - Battery and Charger sold separately ) ( replaces old DUB182Z ) ( CRDLSBLWR ) ( MAK18V ) [GIGATOOLS]; Makita BL1860B Li-ion Battery 6.0Ah 18V LXT ( CRDLSBATT ) ( MAK18V ) [GIGATOOLS]</t>
  </si>
  <si>
    <t>00068</t>
  </si>
  <si>
    <t xml:space="preserve">Cordless Brushless Vacuum Cleaner 18V </t>
  </si>
  <si>
    <t>https://www.lazada.com.ph/products/makita-dcl281fzw-750ml-cordless-brushless-vacuum-cleaner-18v-lxt-battery-and-charger-sold-separately-crdlsvacm-mak18v-gigatools-i859848989-s2711042846.html?clickTrackInfo=query%253AMAK18V%253Bnid%253A859848989%253Bsrc%253AlazadaInShopSrp%253Brn%253Acb30b49294cf2c70ae30a6695db86758%253Bregion%253Aph%253Bsku%253A859848989_PH%253Bprice%253A5799.00%253Bclient%253Adesktop%253Bsupplier_id%253A100004107%253Basc_category_id%253A22694%253Bitem_id%253A859848989%253Bsku_id%253A2711042846%253Bshop_id%253A140&amp;mp=1&amp;spm=a2o4l.seller.list.2</t>
  </si>
  <si>
    <t>https://www.khmtools.com.ph/products/makita-dcl281fzw-cordless-vacuum-cleaner-lxt-series-bare</t>
  </si>
  <si>
    <t>Capacity : 750 mL or more
Max Air Flow :1.5 m³/min or more
Suction Power w/ Normal Filter: Max / High / Normal: 60 / 45 / 15 or more
Inclusions: Floor Nozzle, Sash Nozzle, Sash Nozzle Holder, Pipe, Filter H, Easy Shake Off Filter, Hand Strap
Includes: 1 x Li-ion Battery 3.0Ah 18V, 1 x Fast Charger, 1 x Battery Cover, Compatible with 18V LXT Tools
Warranty: 1 year or more</t>
  </si>
  <si>
    <t>Makita DCL281FZW 750mL Cordless Brushless Vacuum Cleaner 18V LXT ( Battery and Charger sold separately ) ( CRDLSVACM ) ( MAK18V ) [GIGATOOLS]; Makita BL1860B Li-ion Battery 6.0Ah 18V LXT ( CRDLSBATT ) ( MAK18V ) [GIGATOOLS]</t>
  </si>
  <si>
    <t>00069</t>
  </si>
  <si>
    <t>https://www.lazada.com.ph/products/new-bosch-go-2-smart-cordless-screwdriver-kit-set-with-added-mechanical-clutch-and-electronic-brake-crdlsdrl-with-variants-gigatools-i328488360.html?spm=a2o4l.seller.list.6.27c59c9afnuzOr</t>
  </si>
  <si>
    <t>https://5.imimg.com/data5/SELLER/Doc/2021/3/TU/FH/GL/70642752/bosch-go-2-0-screwdriver.pdf</t>
  </si>
  <si>
    <t>Torque (soft/hard): 2.5/5 Nm or more
Battery type: Lithium-ion
Battery voltage: 3.6 V
Max. screw diameter: 5 mm or more
Packaging dimensions (width x length x height): 
162-167mm x 280-285mm x 90-95 mm
Warranty: 1 year or more</t>
  </si>
  <si>
    <t>New Bosch GO 2 Smart Cordless Screwdriver Kit Set with added Mechanical Clutch and Electronic Brake ( CRDLSDRL ) with VARIANTS [GIGATOOLS]</t>
  </si>
  <si>
    <t>00070</t>
  </si>
  <si>
    <t>https://www.lazada.com.ph/products/energizer-battery-aa-e91bp2-max-2s-i661066061-s1887058745.html?clickTrackInfo=query%253Aaa%252Bbattery%253Bnid%253A661066061%253Bsrc%253ALazadaMainSrp%253Brn%253A4547742364977846e70c460edd3ba918%253Bregion%253Aph%253Bsku%253A661066061_PH%253Bprice%253A106%253Bclient%253Adesktop%253Bsupplier_id%253A100002401%253Basc_category_id%253A5215%253Bitem_id%253A661066061%253Bsku_id%253A1887058745%253Bshop_id%253A31674&amp;search=1&amp;spm=a2o4l.searchlist.list.6</t>
  </si>
  <si>
    <t>https://data.energizer.com/pdfs/e91.pdf</t>
  </si>
  <si>
    <t>Classification: Alkaline
Chemical System: Zinc-Manganese Dioxide (Zn/MnO2)
Nominal Voltage: 1.5 volts
Terminal: Flat Contact</t>
  </si>
  <si>
    <t>ENERGIZER BATTERY AA E91BP2 MAX 2S</t>
  </si>
  <si>
    <t>00071</t>
  </si>
  <si>
    <t>https://www.lazada.com.ph/products/energizer-battery-aaa-e92bp2-max-2s-i660374270-s1883456639.html?&amp;search=pdp_same_topselling?spm=a2o4l.pdp_revamp.recommendation_1.1.774f51e6sotI3b&amp;mp=1&amp;scm=1007.16389.286994.0&amp;clickTrackInfo=3f4fd9a6-a35f-4980-ab4c-a10201dd3baa__660374270__22653__trigger2i__224806__0.12__0.12__0.0__0.0__0.0__0.12__0__null__null__null__null__null__null____124.0__0.056451612903225756__5.0__1__117.0__101718,127634,151636,188631,190584,190664,196164,198814,202290,204828,204914,205596__null__null__null__3650.16544_955.3632__null__13426__null__0.0__0.0________null__null</t>
  </si>
  <si>
    <t>https://data.energizer.com/pdfs/e92.pdf</t>
  </si>
  <si>
    <t xml:space="preserve">Energizer Battery AAA E92BP2 Max 2S
</t>
  </si>
  <si>
    <t>00072</t>
  </si>
  <si>
    <t>https://www.lazada.com.ph/products/original-logitech-streamcam-webcam-professional-usb-full-hd-1080p-60fps-autofocus-built-in-microphone-web-camera-i2664215131-s12678747266.html?spm=a2o4l.tm80167379.5934338580.1.5045bdWpbdWp4H.5045bdWpbdWp4H</t>
  </si>
  <si>
    <t>https://www.logitech.com/en-us/products/webcams/streamcam.960-001289.html</t>
  </si>
  <si>
    <t>Full HD Camera with USB-C 
Length: 5 ft (1.5 m) USB - C3.1 cable or more
Max Video Resolution: 1080p/60 fps in MJPEG
Premium Full HD Glass lens
f/2.0 - focal length 3.7 mm
Dual omnidirectional mic with noise reduction filter
Warranty: 1 year or more</t>
  </si>
  <si>
    <t>Original Logitech StreamCam Webcam Professional USB Full HD 1080P / 60fps Autofocus Built-in Microphone Web Camera</t>
  </si>
  <si>
    <t>00073</t>
  </si>
  <si>
    <t>https://www.lazada.com.ph/products/transcend-1tb-portable-hard-drive-slim-transcend-portable-hard-drive-hdd-hard-drives-ts1tsj25m3g-military-portable-hdd-with-3-years-warranty-portable-hard-drives-i210881748-s268827857.html?clickTrackInfo=query%253A1tb%252Bexternal%253Bnid%253A210881748%253Bsrc%253ALazadaMainSrp%253Brn%253Aaacf36dedcddd3bcf9399c6000de0742%253Bregion%253Aph%253Bsku%253A210881748_PH%253Bprice%253A2749.00%253Bclient%253Adesktop%253Bsupplier_id%253A93%253Basc_category_id%253A5180%253Bitem_id%253A210881748%253Bsku_id%253A268827857%253Bshop_id%253A1402&amp;search=1&amp;spm=a2o4l.searchlist.list.15</t>
  </si>
  <si>
    <t>https://cdn.transcend-info.com/products/images/modelpic/284/Transcend-StoreJet25M3.pdf</t>
  </si>
  <si>
    <t>USB Type micro USB to USB Type A
Connection Interface USB 3.1 Gen 1
Capacity 1 TB
Storage Media 2.5" HDD
Warranty: 2 years or more</t>
  </si>
  <si>
    <t>Transcend 1TB Portable Hard Drive Slim | Transcend Portable Hard Drive HDD | Hard Drives TS1TSJ25M3G (Military) Portable HDD with 3 Years Warranty | Portable Hard Drives</t>
  </si>
  <si>
    <t>00074</t>
  </si>
  <si>
    <t>https://www.lazada.com.ph/products/transcend-storejet-25m3-2tb-usb-31-shockproof-portable-hard-drive-i156999243-s414378121.html?clickTrackInfo=query%253AStoreJet%252B25M3%252B2tb%253Bnid%253A78083375%253Bsrc%253ALazadaMainSrp%253Brn%253Af513fb8011050a62910c0719a112e873%253Bregion%253Aph%253Bsku%253A156999243_PH%253Bprice%253A3782%253Bclient%253Adesktop%253Bsupplier_id%253A1383%253Basc_category_id%253A5180%253Bitem_id%253A156999243%253Bsku_id%253A414378121%253Bshop_id%253A1625&amp;freeshipping=1&amp;search=1&amp;spm=a2o4l.searchlist.list.4</t>
  </si>
  <si>
    <t>USB Type micro USB to USB Type A
Connection Interface USB 3.1 Gen 1
Capacity 2 TB
Storage Media 2.5" HDD
Warranty: 2 years or more</t>
  </si>
  <si>
    <t>Transcend 2TB Portable Hard Drive StoreJet USB 3.0 25H3 HDD | Transcend Portable Hard Drive | Transcend HDD | Hard Drives with 3 Years Warranty (Purple)</t>
  </si>
  <si>
    <t>00075</t>
  </si>
  <si>
    <t>https://shopee.ph/item-i.457767953.5291273193?utm_campaign=s457767953_ss_ph_othr_1538p105115u1s785900&amp;utm_content=wtb&amp;utm_medium=seller&amp;utm_source=ccwtb</t>
  </si>
  <si>
    <t>https://www.epson.com.ph/Dot-Matrix-Printers/Epson-LQ-310-Dot-Matrix-Printer/p/C11CC25301</t>
  </si>
  <si>
    <t>Print Method Impact dot matrix
Number of Pins in Head: 24 pins
Print Direction: Bi-direction with logic seeking
Paper Handling
Paper Path
   Tractor: Rear in, Top out; Manual Insertion: Rear in, Top out
Paper Feeding
   Standard Friction, Push Tractor
Interface
   Standard: Bi-directional parallel interface; USB 2.0 Full-Speed; Serial
Compatible with the existing Fabric Ribbon Cartridge (Black) S015634
Warranty: 1 year or more</t>
  </si>
  <si>
    <t>Epson LQ-310 Dot Matrix Printer</t>
  </si>
  <si>
    <t>00076</t>
  </si>
  <si>
    <t>8GB Flash Drive</t>
  </si>
  <si>
    <t>https://www.lazada.com.ph/products/sandisk-usb-cruzer-blade-2gb-4gb-8gb-16gb-32gb-64gb-128gb-flash-drive-i1909491153-s8118181539.html?clickTrackInfo=query%253A16gb%252Busb%253Bnid%253A1909491153%253Bsrc%253ALazadaMainSrp%253Brn%253Ae564ffea2db79299f42f71a13c4f17bc%253Bregion%253Aph%253Bsku%253A1909491153_PH%253Bprice%253A129.00%253Bclient%253Adesktop%253Bsupplier_id%253A500168697079%253Basc_category_id%253A5177%253Bitem_id%253A1909491153%253Bsku_id%253A8118181539%253Bshop_id%253A1836513&amp;search=1&amp;spm=a2o4l.searchlist.list.2</t>
  </si>
  <si>
    <t>https://documents.westerndigital.com/content/dam/doc-library/en_us/assets/public/sandisk/product/usb-flash/cruzer-blade-usb-2-0/data-sheet-cruzer-blade-usb-2-0.pdf</t>
  </si>
  <si>
    <t>Capacities: 8GB; Branded
Compatability: USB 2.0 port required for high-speed transfer
Warranty: 1 year or more</t>
  </si>
  <si>
    <t>SanDisk USB Cruzer Blade 2GB 4GB 8GB 16GB 32GB 64GB 128GB Flash Drive</t>
  </si>
  <si>
    <t>00077</t>
  </si>
  <si>
    <t>Capacities: 16GB; Branded
Compatability: USB 2.0 port required for high-speed transfer
Warranty: 1 year or more</t>
  </si>
  <si>
    <t>00078</t>
  </si>
  <si>
    <t>Capacities: 32GB; Branded
Compatability: USB 2.0 port required for high-speed transfer
Warranty: 1 year or more</t>
  </si>
  <si>
    <t>00079</t>
  </si>
  <si>
    <t>Capacities: 64GB; Branded
Compatability: USB 2.0 port required for high-speed transfer
Warranty: 1 year or more</t>
  </si>
  <si>
    <t>00080</t>
  </si>
  <si>
    <t>128GB Flash Drive</t>
  </si>
  <si>
    <t>Capacities: 128GB; Branded
Compatability: USB 2.0 port required for high-speed transfer
Warranty: 1 year or more</t>
  </si>
  <si>
    <t>00081</t>
  </si>
  <si>
    <t>Portable Color Document Scanner</t>
  </si>
  <si>
    <t>https://unlistore.ph/en/panasonic-kv-s1037x-portable-color-document-scanner-kv-s1037x</t>
  </si>
  <si>
    <t>https://panasonic.net/cns/office/products/scanner/kv-s1037x/pdf/KV-S1037X_Catalog.pdf</t>
  </si>
  <si>
    <t>Scanning Face: Duplex
Scanning Resolution
   100 dpi - 600 dpi (1 dpi step) and 1,200 dpi (interpolated) or more
   Optical: 300 dpi/600 dpi (Automatic) or more
Scanning Speed
   Simplex: 30 ppm, Duplex: 60 ipm or more
Double-Feed Detection: Ultrasonic
Interface: USB 3.1 Gen1 (backward compatible); LAN, Wireless LAN
Voltage: AC 100-240 V, 50/60 Hz
Warranty: 1 year or more</t>
  </si>
  <si>
    <t>Panasonic KV-S1037X Portable Color Document Scanner</t>
  </si>
  <si>
    <t>00082</t>
  </si>
  <si>
    <t>https://www.lazada.com.ph/products/logitech-h390-wired-headset-stereo-headphones-with-noise-cancelling-microphone-usb-in-line-controls-pcmaclaptop-black-i411306465-s1001522385.html?exlaz=d_1:mm_150050845_51350205_2010350205::12:17877749403!!!!!c!!1001522385!122832993&amp;gclid=Cj0KCQjwxveXBhDDARIsAI0Q0x1S7J3NV7GjU4eWhe3NWAicV1QfX2y3pLevYzCkP3MIq9DuJ4G-_WwaAh2iEALw_wcB</t>
  </si>
  <si>
    <t>https://www.logitech.com/en-ph/products/headsets/h390-usb-headset.981-000485.html</t>
  </si>
  <si>
    <t>Plug-and-play USB-A connection and a noise-canceling mic w/ In-line controls
Microphone Type: Bi-directional
Input Impedance: 32 Ohm
Frequency response (Headset): 20 Hz - 20 KHz
Frequency response (Microphone): 100 Hz - 10 KHz
Warranty: 2 years or more</t>
  </si>
  <si>
    <t>Logitech H390 Wired Headset, Stereo Headphones with Noise-Cancelling Microphone, USB, In-Line Controls, PC/Mac/Laptop - Black</t>
  </si>
  <si>
    <t>00083</t>
  </si>
  <si>
    <t>https://www.lazada.com.ph/products/hp-black-printhead-x4e75aa-i742472377-s2202218265.html?&amp;search=pdp_v2v?spm=a2o4l.pdp_revamp.recommendation_2.4.22587bcciwpdqA&amp;mp=1&amp;scm=1007.16389.286994.0&amp;clickTrackInfo=91a2929b-93af-48e9-bff4-a56d2f78121f__742472377__13893__trigger2i__287002__0.247__0.247__0.0__0.0__0.0__0.247__3__null__null__null__null__null__null____1000.0__0.0__4.928571428571429__28__1000.0____null__null__null__3650.16544_955.3632__null__32104__null__0.0__0.0________null__null__0</t>
  </si>
  <si>
    <t>HP Black Printhead (X4E75AA)</t>
  </si>
  <si>
    <t>00084</t>
  </si>
  <si>
    <t>https://www.lazada.com.ph/products/hp-printhead-kit-m0h50aa-tri-colored-for-hp-ink-tank-115315415-smart-tank-500515615-printer-i3127351581-s15490404974.html?&amp;search=pdp_v2v?spm=a2o4l.pdp_revamp.recommendation_2.2.22587bccS9Lgw2&amp;mp=1&amp;scm=1007.16389.286994.0&amp;clickTrackInfo=58d88972-3a1c-4dae-83a6-0ef8923cfda1__3127351581__13893__trigger2i__287002__0.802__0.802__0.0__0.0__0.0__0.802__1__null__null__null__null__null__null____999.0__0.0__5.0__2__999.0__101718,173872,188631,196164,196524,198814__null__null__null__3650.16544_955.3632__null__32104__null__0.0__0.0________null__null__0</t>
  </si>
  <si>
    <t>HP PRINTHEAD BLACK AND NO BOX TRICOLOR FOR SMART TANK 500, 515, 519, 615 PRINTER</t>
  </si>
  <si>
    <t>00085</t>
  </si>
  <si>
    <t>https://www.amazon.com/Canon-DR-M160II-Document-Scanner/dp/B00KGHWUBY</t>
  </si>
  <si>
    <t>https://www.canon-europe.com/business/products/scanners/document-scanners/imageformula_dr-m160ii/specification.html</t>
  </si>
  <si>
    <t>Type: Desktop Type Sheet Fed Scanner
Scanning sensor unit: CMOS CIS 1 Line Sensor
Optical resolution: 600dpi or more
Light source: RGB LED
Scanning side: Front / Back / Duplex
Interface: USB 2.0 (USB 3.0 compatible)
SCANNING SPEED
   Black and White: 60ppm / 120ipm or more
   Colour: 60ppm / 120ipm or more
Compatible with the existing software CaptureOnTouch Pro
Warranty: 1 year or more</t>
  </si>
  <si>
    <t>Canon ImageFORMULA DR-M160II Office Document Scanner</t>
  </si>
  <si>
    <t>00086</t>
  </si>
  <si>
    <t>https://www.lazada.com.ph/products/sony-icd-px470-recorder-pen-stereo-digital-voice-recorder-with-built-in-usb-voice-recorder-icd-px470-i1148006964-s3995272100.html?exlaz=d_1:mm_150050845_51350205_2010350205::12:17877749403!!!!!c!!3995272100!235704600&amp;gclid=Cj0KCQjwxveXBhDDARIsAI0Q0x3pi862fLTxHF-Z1dcwalrPYSQK99rg_xEWYFz6xvTTjMDk1wz6e_saAjDQEALw_wcB</t>
  </si>
  <si>
    <t>https://www.sony.com.ph/electronics/voice-recorders/icd-px470/specifications</t>
  </si>
  <si>
    <t>Battery Type: Dry Battery
Battery Type (Provided): AAA X2
Built-In Memory: 4 GB Internal Memory, Expandable To 32 GB With Micro Sd
Built-In Microphone: Stereo
Pc Connectivity: Yes
Input And Output Terminals
Hi-Speed Usb [Input] Stereo Mic-In Jack [Output] Stereo Earphone Jack
Warranty: 1 year or more</t>
  </si>
  <si>
    <t>Sony ICD-PX470 Recorder pen Stereo Digital Voice Recorder with Built-in USB Voice Recorder ICD PX470</t>
  </si>
  <si>
    <t>00087</t>
  </si>
  <si>
    <t>https://shopee.ph/item-i.457767953.11731761635?utm_campaign=s457767953_ss_ph_othr_1538p105115u1s785900&amp;utm_content=wtb&amp;utm_medium=seller&amp;utm_source=ccwtb</t>
  </si>
  <si>
    <t>https://www.epson.com.ph/Projectors/Corporate-and-Education/Epson-EB-E10-XGA-3LCD-Projector/p/V11H975052</t>
  </si>
  <si>
    <t>Projection System: 3LCD, 3-chip technology
Native Resolution: 1024 x 768 (XGA)
Color Brightness: 3600 lumens or more
White Brightness: 3600 lumens or more
Aspect Ratio: 4:3
USB Type B: 1
Analog Input: D-Sub 15pin: 1
Digital Input: HDMI: 1
Warranty: 1 year or more</t>
  </si>
  <si>
    <t>Epson EB-E10 BUSINESS PROJECTOR</t>
  </si>
  <si>
    <t>00088</t>
  </si>
  <si>
    <t>https://www.lazada.com.ph/products/epson-tm-t88iv-thermal-receipt-printer-i2037854.html</t>
  </si>
  <si>
    <t>https://download.epson.com.sg/product_brochures/pos/EPC/Epson_TM-T88VI_T88VI-iHub_August2018.pdf?t=4</t>
  </si>
  <si>
    <t>Print Method: Thermal line printing
Print Font
   Font: 9 × 17 / 12 × 24
   Column Capacity: 56 / 42 columns
Interface: Built-in USB (Type A &amp; Type B) + Built-in Ethernet
+ UIB (Serial or Parallel)
Print Speed: Max. 350 mm/sec. or more
CPU: ARM Cortex-A5 384 MHz or higher
Warranty: 1 year or more</t>
  </si>
  <si>
    <t>Epson TM-T88IV Thermal Receipt Printer</t>
  </si>
  <si>
    <t>00089</t>
  </si>
  <si>
    <t>https://www.lazada.com.ph/products/logitech-r800-professional-presenter-wireless-presentation-clicker-remote-with-green-laser-pointer-and-lcd-display-jg-superstore-i1085916394-s3721948590.html?clickTrackInfo=query%253Ar800%253Bnid%253A1085916394%253Bsrc%253AlazadaInShopSrp%253Brn%253Ae80a51f0440f94224604828b028e061a%253Bregion%253Aph%253Bsku%253A1085916394_PH%253Bprice%253A2899.00%253Bclient%253Adesktop%253Bsupplier_id%253A22728%253Basc_category_id%253A13408%253Bitem_id%253A1085916394%253Bsku_id%253A3721948590%253Bshop_id%253A2317&amp;mp=1&amp;spm=a2o4l.seller.list.2</t>
  </si>
  <si>
    <t>https://www.logitech.com/en-ph/products/presenters/r800-professional-presenter.910-001358.html</t>
  </si>
  <si>
    <t>Laser Class: Class 2 laser
Max output: Less than 1m W
Wave Length: 522～542 nm (green light)
Battery type: 2 AAA batteries
Wireless technology: 2.4 GHz wireless technology
Warranty: 2 years or more</t>
  </si>
  <si>
    <t>Logitech R800 Professional Presenter Wireless Presentation Clicker Remote with Green Laser Pointer and LCD Display | JG Superstore</t>
  </si>
  <si>
    <t>00090</t>
  </si>
  <si>
    <t>OLD PPMP</t>
  </si>
  <si>
    <t>For direct ID Printing
High glossy output
size: 85-87mmx53-55mm</t>
  </si>
  <si>
    <t>For direct ID Printing
High glossy output
size: 86mmx54mm</t>
  </si>
  <si>
    <t>00091</t>
  </si>
  <si>
    <t>Black High Yield Toner Cartridge compatible with HP LaserJet Pro MFP M426fdn</t>
  </si>
  <si>
    <t>https://www.hp.com/ca-en/shop/offer.aspx?p=hp-laserjet-pro-mfp-m426fdn-printer-toner-cartridges</t>
  </si>
  <si>
    <t>00092</t>
  </si>
  <si>
    <t>https://www.lazada.com.ph/products/hp-80xc-high-yield-black-laserjet-toner-cartridge-cf280xc-i598532280.html</t>
  </si>
  <si>
    <t>HP Toner CF280XC for existing HP Printer</t>
  </si>
  <si>
    <t>00093</t>
  </si>
  <si>
    <t>https://www.usa.canon.com/shop/p/eos-rebel-sl3-ef-s-18-55mm-is-stm-lens-kit?color=Black&amp;type=New</t>
  </si>
  <si>
    <t>18-55mm IS STM Black
Type: Digital AF/AE single-lens reflex camera with built-in flash
Recording Media: SD/SDHC/SDXC memory cards
SD speed class-compatible; UHS-I compatible; Compatible with Eye-Fi cards.
Image Format: Approx. 22.3 x 14.9mm (APS-C) 
Compatible Lenses: EF lenses (including EF-S lenses, excluding EF-M lenses)
Lens Mount: EF mount
Accessories: AC Adapter AC-E6N and Charger; Camera Bag</t>
  </si>
  <si>
    <t>EOS Rebel SL3 EF-S 18-55mm f/4-5.6 IS STM Lens Kit Black</t>
  </si>
  <si>
    <t>00094</t>
  </si>
  <si>
    <t>https://www.lazada.com.ph/products/logitech-z121-compact-pc-stereo-speakers-35mm-audio-input-usb-powered-integrated-controls-cable-management-solution-computersmartphonetabletmusic-player-whiteblack-i261801944-s361690101.html?clickTrackInfo=query%253Alogitech%252Bspeaker%253Bnid%253A261801944%253Bsrc%253ALazadaMainSrp%253Brn%253A1b2b1402cd6d67fd70e19d53adf78920%253Bregion%253Aph%253Bsku%253A261801944_PH%253Bprice%253A595.00%253Bclient%253Adesktop%253Bsupplier_id%253A100097156%253Basc_category_id%253A24962%253Bitem_id%253A261801944%253Bsku_id%253A361690101%253Bshop_id%253A114288&amp;search=1&amp;spm=a2o4l.searchlist.list.2</t>
  </si>
  <si>
    <t>https://www.logitech.com/en-ph/products/speakers/z121-usb-compact-speakers.980-001311.html</t>
  </si>
  <si>
    <t>Total Watt (RMS): approximately 1.2W (varies by power source)
3.5 mm input: 1
USB cable for power: 1
Controls: Power and volume controls on right speaker
Warranty: 2 years or more</t>
  </si>
  <si>
    <t>Logitech Z121 Compact PC Stereo Speakers, 3.5mm Audio Input, USB Powered, Integrated Controls, Cable Management Solution, Computer/Smartphone/Tablet/Music Player - White/Black</t>
  </si>
  <si>
    <t>00095</t>
  </si>
  <si>
    <t>Kyocera ECOSYS P6230cdn Black Toner Cartridge</t>
  </si>
  <si>
    <t>00096</t>
  </si>
  <si>
    <t>Kyocera ECOSYS P6230cdn Yellow Toner Cartridge</t>
  </si>
  <si>
    <t>00097</t>
  </si>
  <si>
    <t>Kyocera ECOSYS P6230cdn Magenta Toner Cartridge</t>
  </si>
  <si>
    <t>00098</t>
  </si>
  <si>
    <t>Kyocera ECOSYS P6230cdn Cyan Toner Cartridge</t>
  </si>
  <si>
    <t>00099</t>
  </si>
  <si>
    <t>Kyocera TK-1147</t>
  </si>
  <si>
    <t>Kyocera FS-1135MFP/L TK-1147</t>
  </si>
  <si>
    <t>00100</t>
  </si>
  <si>
    <t>https://www.lazada.com.ph/products/idp-650634-or-650643-id-card-printer-genuine-color-ribbon-original-siadc-ymcko-ribbon-kit-250-prints-and-cleaning-roller-for-idp-smart-30-and-idp-smart-50-card-printers-smart-printer-ribbon-idp-smart-ribbon-smart-card-printer-ribbon-i493510262-s1301576046.html?exlaz=d_1:mm_150050845_51350205_2010350205::12:17743041800!!!!!c!!1301576046!142606512&amp;gclid=Cj0KCQjwxveXBhDDARIsAI0Q0x0l7hLfQxzR-if5qG4xF6k6D8Gt4jinsEjQS8C-zDEvKnergBXxj_saAqdcEALw_wcB</t>
  </si>
  <si>
    <t>https://www.idcardgroup.com/650634-ymcko-ribbon</t>
  </si>
  <si>
    <t>IDP 650634 Full-Color YMCKO ribbon produces 250 images
Compatible with existing IDP SMART 30S, SMART 30D, SMART 50S, SMART 50D and SMART 50L card printers
Includes built-in cleaning roller</t>
  </si>
  <si>
    <t>IDP 650634 or 650643 ID Card Printer Genuine Color Ribbon, Original SIADC YMCKO RIBBON KIT, 250 Prints and cleaning roller for IDP Smart 30 and IDP Smart 50 card printers, smart printer ribbon, IDP Smart ribbon. smart card printer ribbon.</t>
  </si>
  <si>
    <t>00101</t>
  </si>
  <si>
    <t>https://www.lazada.com.ph/products/epson-664-ink-black-cyan-magenta-yellow-one-set-brand-new-original-epson-ink-bottles-for-epson-l120-l121-l220-l360-other-l-series-one-set-t6641-t6642-t6643-t6644-wink-printer-solutions-i111495931-s113652954.html?clickTrackInfo=query%253AEPSON%252B664%253Bnid%253A21821667%253Bsrc%253ALazadaMainSrp%253Brn%253A4833d7c4702ea79a4c16e43668557d17%253Bregion%253Aph%253Bsku%253AEP602ELAACZPPFANPH%253Bprice%253A1125.00%253Bclient%253Adesktop%253Bsupplier_id%253A871%253Basc_category_id%253A13893%253Bitem_id%253A111495931%253Bsku_id%253A113652954%253Bshop_id%253A1673&amp;search=1&amp;spm=a2o4l.searchlist.list.6</t>
  </si>
  <si>
    <t>Epson Genuine Ink T6641 Black for existing EPSON Printer</t>
  </si>
  <si>
    <t>00102</t>
  </si>
  <si>
    <t>Epson Genuine Ink T6642 Cyan for existing EPSON Printer</t>
  </si>
  <si>
    <t>00103</t>
  </si>
  <si>
    <t>Epson Genuine Ink T6643 Magenta for existing EPSON Printer</t>
  </si>
  <si>
    <t>00104</t>
  </si>
  <si>
    <t>Epson Genuine Ink T6644 Yellow for existing EPSON Printer</t>
  </si>
  <si>
    <t>00105</t>
  </si>
  <si>
    <t>https://www.lazada.com.ph/products/epson-003-genuine-ink-blackcyanmagentayellow-65ml-for-epson-l3100-l3101-l3110-l3150-i1877583433-s7979022936.html?exlaz=d_1:mm_150050845_51350205_2010350205::12:17877749403!!!!!c!!7979022936!285211010&amp;gclid=Cj0KCQjwxveXBhDDARIsAI0Q0x1YgNb0HCIFWEvO8GLLKIT_ellzh2nN4zLGAywgoaIhfs6LaERoKroaAnffEALw_wcB</t>
  </si>
  <si>
    <t>Epson Genuine Ink (003) Black for existing Epson L3100, L3101, L3110, L3150</t>
  </si>
  <si>
    <t>00106</t>
  </si>
  <si>
    <t>Epson Genuine Ink (003) Cyan for existing Epson L3100, L3101, L3110, L3150</t>
  </si>
  <si>
    <t>00107</t>
  </si>
  <si>
    <t>Epson Genuine Ink (003) Yellow for existing Epson L3100, L3101, L3110, L3150</t>
  </si>
  <si>
    <t>00108</t>
  </si>
  <si>
    <t>Epson Genuine Ink (003) Magenta for existing Epson L3100, L3101, L3110, L3150</t>
  </si>
  <si>
    <t>00109</t>
  </si>
  <si>
    <t>https://www.lazada.com.ph/products/hp-gt52-gt53-original-ink-bottle-i2547394076-s11802642352.html?exlaz=d_1:mm_150050845_51350205_2010350205::12:17877749403!!!!!c!!11802642352!124650670&amp;gclid=Cj0KCQjwxveXBhDDARIsAI0Q0x0x3RfyLM5zG-MI7JuABNfCi2QL7gbctZpV_OAwEi3G6L7WGDZYnpQaAvFYEALw_wcB</t>
  </si>
  <si>
    <t>HP Genuine Ink Refill - (GT53) Black for existing HP Smart Tank 500 Series Printer</t>
  </si>
  <si>
    <t>00110</t>
  </si>
  <si>
    <t>HP Genuine Ink Refill - (GT52) Magenta for existing HP Smart Tank 500 Series Printer</t>
  </si>
  <si>
    <t>00111</t>
  </si>
  <si>
    <t>HP Genuine Ink Refill - (GT52) Cyan for existing HP Smart Tank 500 Series Printer</t>
  </si>
  <si>
    <t>00112</t>
  </si>
  <si>
    <t>HP Genuine Ink Refill - (GT52) Yellow for existing HP Smart Tank 500 Series Printer</t>
  </si>
  <si>
    <t>00113</t>
  </si>
  <si>
    <t>Kyocera TK-479</t>
  </si>
  <si>
    <t>00114</t>
  </si>
  <si>
    <t>Kyocera MK-479</t>
  </si>
  <si>
    <t>00115</t>
  </si>
  <si>
    <t>Kyocera TK-6113</t>
  </si>
  <si>
    <t>00116</t>
  </si>
  <si>
    <t>Kyocera MK-6113</t>
  </si>
  <si>
    <t>00117</t>
  </si>
  <si>
    <t>MAINTENANCE KIT FOR KYOCERA ECOSYS M4125idn</t>
  </si>
  <si>
    <t>00118</t>
  </si>
  <si>
    <t>Kyocera MK-3165</t>
  </si>
  <si>
    <t>00119</t>
  </si>
  <si>
    <t>Kyocera TK-3165</t>
  </si>
  <si>
    <t>KYOCERA TONER  TK-3165</t>
  </si>
  <si>
    <t>00120</t>
  </si>
  <si>
    <t>Enterprise 16-Bay NAS (Network Attached Storage) with 2.5" SATA SSD</t>
  </si>
  <si>
    <t>https://www.synology.com/en-global/products/RS4021xs+#specs</t>
  </si>
  <si>
    <t>n/a</t>
  </si>
  <si>
    <t>00121</t>
  </si>
  <si>
    <t>CCTV Command Center Display Easy Manage Software Tool</t>
  </si>
  <si>
    <t>"(QTY 1) All-in-One Security Management Platform for Enterprise
Easy to Use
 · All-in-One, Plug &amp; Play.
 · Performs unified management of video, access control,
 video intercoms, alarm controller, ANPR camera and face
 recognition camera through one DSS7016DR-S2.
 Powerful
 · Up to 1,000 video channels per server.
 · Up to 5,000 video channels via distributed deployment.
 · Up to 2,000 video intercoms per server.
 High Storage Performance
 · 15 built-in storage disk interface.
 · Up to 200TB per server, maximum 1PB through distributed
 deployment.
 · Up to 600Mbps storage bandwidth.
 Stable and Reliable
 · Hot standby system design.
 · Dahua’s unique N+M redundancy mode.
 · Redundant power design of DSS7016DR-S2 makes the system
 more stable"
"(QTY 1) 3.5 SATA HDD
10TB
3.5 SATA HDD
Enterprise X16 HDD 512E SATA"
"(QTY 1) Layer 3 Managed Switch
Rich layer 3 features
High availability
Excellent manageability
Power saving design
Comprehensive security control policies
Support Intelligent Resilient Framework
Reliable hardware design with modular dual power supply
48 High-density 10/100/1000Base-T autosensing Ethernet ports and GE/10GE SFP + fiber ports onboard"
"(QTY 1) Ultra-HD Network Video Decoder
Standard 2.5U case, elegant appearance
Plug-in board design, easy to use and maintain
H.265+/ H.265/ H.264/ MPEG4/ MPEG2/ MJPEG video decoding
Ultra-high decoding ability, up to 32 Megapixels
2ch HDMI and 2ch DVI-I input, supports 4K collection
Supports 1/4/6/8/9/16/25/36 and free split
Supports alarm, RS232, RS485
Splicing screens control for zoom/merge/roam/overlay
Support redundant power, stable and reliable"</t>
  </si>
  <si>
    <t>00122</t>
  </si>
  <si>
    <t xml:space="preserve">Rack-Mounted Modular Online Ups 10Kva </t>
  </si>
  <si>
    <t>1 x 10KVA/10KW UPS 230/400V LCD long backup model
(included IS-UNITY-DP SNMP/Web Card, connection cable &amp; mounting
rail kits) 
1 x Startup and commissioning within Bataan only, 7x24. (Installation,
Electrical works and supplies are not included ) 
16 x Valve Regulated Lead–Acid(VRLA) Battery (1 string x 16blocks x 12Vdc x
100Ah) for 60 minutes back up time 
16 x  Battery Inter-cell cable 
Battery Interconnection Services which includes Battery Installation/
Interconnect inside cabinet, Battery Feeder Line from UPS to BCB and
from BCB to Battery Bank. (Assumption: UPS AND BATTERY
POSITIONED BESIDES EACH OTHER) - 1 LOT services
Battery Cabinet for (1string x 16blocks x 12vdc x 100Ah)
Circuit Breaker (90A Fixed)</t>
  </si>
  <si>
    <t>00123</t>
  </si>
  <si>
    <t>Arduino Uno R3 Smd</t>
  </si>
  <si>
    <t>https://www.lazada.com.ph/products/arduino-uno-r3-with-usb-cable-dip-arduino-compatible-motherboard-atmega328p-5v-microcontroller-board-micro-controller-rev3-i471206797-s1227306051.html?exlaz=d_1:mm_150050845_51350205_2010350205::12:17877749403!!!!!c!!1227306051!465223488&amp;gclid=CjwKCAjw6fyXBhBgEiwAhhiZsqSrJiO9tCvCNGB75IdXJbyzkiQYv3uQgPV5bAeZoZuuAWCDtYTLsBoCvEsQAvD_BwE</t>
  </si>
  <si>
    <t>https://docs.arduino.cc/hardware/uno-rev3-smd</t>
  </si>
  <si>
    <t>Microcontroller: ATmega328P
USB connector: USB-B
Built-in LED Pin: 13
Digital I/O Pins: 14
Analog input pins: 6
PWM pins: 6
Power Supply Connector: Barrel Plug</t>
  </si>
  <si>
    <t>00124</t>
  </si>
  <si>
    <t>Hyper Converge Infrastructure (HCI)</t>
  </si>
  <si>
    <t>***Hyper-Converged Infrastructure - Head Office ( 3 Server Hardware)
"Server (QTY 3): CPU 2*Intel Xeon Gold 5220R 2.2G, 24C/48T, 128G (32G*4) Memory,
12*3.5in disk slots, 
2*240G OS disks (configured with RAID1), 
6*GE+2*10GE, no cache disk or data disk"
Memory(RAM) (QTY 12): 32GB DDR4 RDIMM
Fiber Cable (QTY 12): LC-LC, Multi-mode, 3 meters.
"Tranciever(For Server) (QTY 12): SFP+ 10GE Multimode Optical Transceiver, 
 for short distance transmission (850nm, 300M)."
Disk - HDD (QTY 15): 8TB 7200RPM 3.5
Disk - SSD (QTY 9): 1.9TB SSD Intel S4600 3D NAND TLC SSD 2.5", SATA 3.0 6Gbps
Network Interface Card (QTY 3): 2*10GE
Switch (QTY 2): 12 Gigabit electrical ports, 12 10G SFP+ optical ports, switching capacity 1.28Tbps/12.8Tbps
Transceiver(For Switch) (QTY 10): 10 gigabit SFP+
***Hyper-Converged Infrastructure - Offsite ( 2 Server Hardware)
"Server (QTY 3): CPU 2*Intel Xeon Gold 5220R 2.2G, 24C/48T, 128G (32G*4) Memory,
  12*3.5in disk slots, 
 2*240G OS disks (configured with RAID1), 
 6*GE+2*10GE, no cache disk or data disk"
Memory(RAM) (QTY 12): 32GB DDR4 RDIMM
Fiber Cable (QTY 4): LC-LC, Multi-mode, 3 meters.
"Tranciever (QTY 8): SFP+ 10GE Multimode Optical Transceiver, 
 for short distance transmission (850nm, 300M)."
Disk - HDD (QTY 12): 8TB 7200RPM 3.5
Disk - SSD (QTY 6): 1.9TB SSD Intel S4600 3D NAND TLC SSD 2.5", SATA 3.0 6Gbps
Network Interface Card (QTY 2): 2*10GE</t>
  </si>
  <si>
    <t>00125</t>
  </si>
  <si>
    <t>Alarm System Device</t>
  </si>
  <si>
    <t>https://www.lazada.com.ph/products/daytech-tuyasmart-wifi-gsm-alarm-system-home-burglar-alarm-temperature-humidity-wireless-wired-touchpad-fingerprint-alexa-google-home-gsm05-i2460360612-s11247043935.html?&amp;search=pdp_same_topselling?spm=a2o4l.pdp_revamp.recommendation_1.5.634d3c04jymfeu&amp;mp=1&amp;scm=1007.16389.286994.0&amp;clicktrackinfo=f536bb2b-e314-4d63-9994-b72d51e95473__2460360612__22643__trigger2i__224806__0.118__0.118__0.0__0.0__0.0__0.118__4__null__null__null__null__null__null____11958.0__0.5490048503094163__5.0__2__5393.0__101718,144565,149328,152127,154346,156177,157119,157410,157464,160301,160749,164072,166568,166654,176033,177023,177091,177365,181201,185876,187301,187409,188683,189113,190584__null__null__null__3650.16544_955.3632_3650.16543_955.7331__null__13426__null__0.0__0.0________null__null</t>
  </si>
  <si>
    <t>WiFi+GSM Dual Network Alarm
4.3 inch IPS color display
5 groups of telephone alarm settings
Temperature and humidity display
Fingerprint arming and disarming
Two-way voice intercom function
Touch screen dustproof keyboard
Warranty: 1 year or more</t>
  </si>
  <si>
    <t>00126</t>
  </si>
  <si>
    <t>USB 2.0 Active Repeater Male to Female Extension Cable Adapter Cord</t>
  </si>
  <si>
    <t>https://www.lazada.com.ph/products/5101520m-usb-20-active-repeater-male-to-female-extension-cable-adapter-cord-i1459022707-s5797904675.html?spm=a2o4l.home.just4u.66.4b56359difofjw&amp;&amp;scm=1007.17519.162103.0&amp;pvid=642cf2f5-c018-4985-b30c-5d8351b047c6&amp;search=0&amp;clicktrackinfo=tcsceneid%3ahpjfy%3bbuyernid%3awnxsjkhhvawyr1xlbhskb2it1c3ftggz%3btcboost%3a0%3bpvid%3a642cf2f5-c018-4985-b30c-5d8351b047c6%3bchannel_id%3a0000%3bmt%3ai2i%3bitem_id%3a1459022707%3bself_ab_id%3a162103%3bself_app_id%3a7519%3blayer_buckets%3a955.7333_5437.25236_6059.28889%3bpos%3a18%3b</t>
  </si>
  <si>
    <t>5 meters
USB 2.0 Active Repeater Male to Female Extension Cable Adapter Cord</t>
  </si>
  <si>
    <t>00127</t>
  </si>
  <si>
    <t>Omnidirectional Dual Channel Wireless Microphone System</t>
  </si>
  <si>
    <t>https://www.lazada.com.ph/products/rode-wireless-go-ii-omnidirectional-dual-channel-wireless-microphone-system-jg-superstore-i2078346316-s9259549052.html?clicktrackinfo=query%253adual%252bwireless%252bmicrophone%253bnid%253a2078346316%253bsrc%253alazadamainsrp%253brn%253af3f5b8acc2a53b00690356e961df2c82%253bregion%253aph%253bsku%253a2078346316_ph%253bprice%253a15188%253bclient%253adesktop%253bsupplier_id%253a22728%253basc_category_id%253a13429%253bitem_id%253a2078346316%253bsku_id%253a9259549052%253bshop_id%253a2317&amp;search=1&amp;spm=a2o4l.searchlist.list.i40.21395bd9h3e3wy</t>
  </si>
  <si>
    <t>https://rode.com/en/microphones/wireless/wirelessgoii</t>
  </si>
  <si>
    <t>Set: 1 x Receiver, 2 x Transmitter
Acoustic Principle: Pre-polarised pressure transducer
Polar Pattern: Omnidirectional
Power Requirements: In-built rechargeable lithiumion battery charged via USB 5V
Analog Inputs: 3.5mm TRS (lavalier microphone input)
Analog Outputs: 3.5mm TRS
Computer Connectivity: USB Type-C
Included Accessories: 3 x SC20, 1 x SC5, 3 x Furry, 1 x Pouch Bag
Warranty: 1 year or more</t>
  </si>
  <si>
    <t>00128</t>
  </si>
  <si>
    <t>Rack Server</t>
  </si>
  <si>
    <t>Dell Poweredge R440 Server</t>
  </si>
  <si>
    <t>00129</t>
  </si>
  <si>
    <t>NAS (Network Attached Storage) with 2.5" SATA SSD</t>
  </si>
  <si>
    <t>Diskstation Ds3622Xs+ with 2.5" SATA SSD</t>
  </si>
  <si>
    <t>00130</t>
  </si>
  <si>
    <t>Switching Capacity in Gigabits per Second: 128 Gbps
Up to 4 units in a stack
24 10/100/1000 PoE+ ports with 370W power budget
4 10 Gigabit SFP+
Rack-mountable
Warranty: 1 year or more</t>
  </si>
  <si>
    <t>CBS350-24FP-4X</t>
  </si>
  <si>
    <t>00131</t>
  </si>
  <si>
    <t>Switching Capacity in Gigabits per Second: 480 Gbps
Up to 4 units in a stack
24 x 10 Gigabit SFP+
4 x 10 Gigabit copper ports (combo with 4 x SFP+)
1 x GE management port
Rack-mountable
Inclusion: 2x Direct-Attach Twinax Copper Cable Assembly with SFP+ Connectors SFP-H10GB-CU1M
Warranty: 1 year or more</t>
  </si>
  <si>
    <t>CBS350-24XS</t>
  </si>
  <si>
    <t>00132</t>
  </si>
  <si>
    <t>Wireless Hdmi Transmitter And Receiver Kits</t>
  </si>
  <si>
    <t>https://www.lazada.com.ph/products/wireless-hdmi-transmitter-and-receiver-kits-full-hd-4k-30hz-5ghz-164ft-wireless-display-dongle-plug-and-play-streaming-laptop-i2703739586-s12917373406.html?spm=a2o4l.home.just4u.124.6ac4359dsosp5h&amp;&amp;scm=1007.17519.162103.0&amp;pvid=5fbc80a9-c8ee-411d-a663-7a8febe432d8&amp;search=0&amp;clicktrackinfo=tcsceneid%3ahpjfy%3bbuyernid%3awnxsjkhhvawyr1xlbhskb2it1c3ftggz%3btcboost%3a0%3bpvid%3a5fbc80a9-c8ee-411d-a663-7a8febe432d8%3bchannel_id%3a0000%3bmt%3ai2i%3bitem_id%3a2703739586%3bself_ab_id%3a162103%3bself_app_id%3a7519%3blayer_buckets%3a955.7333_5437.25236_955.3634_6059.28891%3bpos%3a4%3b</t>
  </si>
  <si>
    <t>Wireless Hdmi Transmitter And Receiver Kits Full Hd 4K-30Hz 5Ghz 164Ft Wireless Display Dongle Plug And Play Streaming Laptop</t>
  </si>
  <si>
    <t>00133</t>
  </si>
  <si>
    <t>Fortinet Firewall Annual Subscription, Website Hosting &amp; SMS, ZOOM Subscription</t>
  </si>
  <si>
    <t>00134</t>
  </si>
  <si>
    <t>Subscription</t>
  </si>
  <si>
    <t>PLDT 1Gbps Internet Subscription (Leased Line)</t>
  </si>
  <si>
    <t>00135</t>
  </si>
  <si>
    <t>Maintenance and Upgrade of Desktop, Laptop, Server, Copier, Printer, Network, PABX, CCTV and Paging System</t>
  </si>
  <si>
    <t>00136</t>
  </si>
  <si>
    <t>*Copier Various</t>
  </si>
  <si>
    <t>Various</t>
  </si>
  <si>
    <t>00137</t>
  </si>
  <si>
    <t>*Printer Various</t>
  </si>
  <si>
    <t>00138</t>
  </si>
  <si>
    <t>Toner Kit Various</t>
  </si>
  <si>
    <t>Toner Kit for existing Kyocera Machines</t>
  </si>
  <si>
    <t>00139</t>
  </si>
  <si>
    <t>https://easypc.com.ph/collections/mini-pc/products/easypc-pocket-rocket-beelink-sei12-intel-core-i5-1235u-processor-16gb-3200mhz-ddr4-500gb-nvme-m-2-ssd?variant=42890619224235</t>
  </si>
  <si>
    <t>Intel Core i5 12th Gen Processor or higher
10 Cores 12 Threads or higher
Base frequency: 3.3 GHz or higher
Max Turbo Frequency : 4.4 GHz or higher
16GB 3200MHZ DDR4
500GB NVMe M.2 SSD or higher
Support 4K video output to three displays simultaneously
Multi-channel audio output via HDMI or DisplayPort
Support Windows 11
WiFi 6+Bluetooth 5.2 or higher</t>
  </si>
  <si>
    <t>00140</t>
  </si>
  <si>
    <t>https://www.amazon.com/Compatible-FN-TRAN-SFP-SR-10GBASE-SR-Transceiver/dp/B08DRW4V64</t>
  </si>
  <si>
    <t>https://www.fortinet.com/content/dam/fortinet/assets/data-sheets/FortiGate_600E.pdf</t>
  </si>
  <si>
    <t>10 GE SFP+ transceiver module, short range for all systems with SFP+ and SFP/SFP+ slots
Compatible with the existing Firewall FortiGate-601E</t>
  </si>
  <si>
    <t>FN-TRAN-SFP+SR
10 GE SFP+ transceiver module, short range for all systems with SFP+ and SFP/SFP+ slots</t>
  </si>
  <si>
    <t>00141</t>
  </si>
  <si>
    <t>Wallmounted Data Cabinet 600x450x230 W/ 2pcs Fan &amp; 1pc PDU 6Slot (ASSEMBLED)</t>
  </si>
  <si>
    <t>00142</t>
  </si>
  <si>
    <t>00143</t>
  </si>
  <si>
    <t>https://www.lazada.com.ph/products/ampcom-rj45-coupler-8p8c-female-extender-lan-connector-inline-cat6acat6cat5e-ethernet-cable-lightning-protection-i768890222-s2319214521.html?spm=a2o4l.tm80167379.7779702790.1.1df3O6LBO6LBsu.1df3O6LBO6LBsu</t>
  </si>
  <si>
    <t>AMPCOM RJ45 Coupler, 8P8C Female Extender LAN Connector Inline CAT6A/CAT6/CAT5E Ethernet Cable-Lightning Protection</t>
  </si>
  <si>
    <t>00144</t>
  </si>
  <si>
    <t>00145</t>
  </si>
  <si>
    <t>AMPCOM 19 inches Universal PDU 6 outlets with surge protection SPD module 10/16A power strip for serve room cabinet networking</t>
  </si>
  <si>
    <t>00146</t>
  </si>
  <si>
    <t>RJ45 STP Thru Coupler Patch Panel with Backplane, Rack Mount 1U 19", CAT6 STP RJ45 Inline Coupler Keystone Jack</t>
  </si>
  <si>
    <t>00147</t>
  </si>
  <si>
    <t>https://www.lazada.com.ph/products/ampcom-krone-punch-down-tool-multifunction-krone-kd-1-type-idcnetwork-wire-cat5e6-and-telephone-impact-terminal-insertion-tools-i2118481877-s9452621047.html?spm=a2o4l.tm80167379.7779702790.1.331ewopdwopdMa.331ewopdwopdMa</t>
  </si>
  <si>
    <t>Multifunction Krone KD-1 Type IDC/Network Wire CAT5E/6 And Telephone Impact Terminal Insertion Tools</t>
  </si>
  <si>
    <t>00148</t>
  </si>
  <si>
    <t>M6 x 16mm Rack Mount Cage Nuts, Screws And Washers For Rack Mount Server Cabinet</t>
  </si>
  <si>
    <t>00149</t>
  </si>
  <si>
    <t>https://www.lazada.com.ph/products/ampcom-nylon-zip-ties-cable-label-mark-tags-write-on-ethernet-wire-self-locking-free-printable-labels-472-inches-5-color-i772404752-s2333630474.html?spm=a2o4l.tm80167379.7779702790.1.4447AvoPAvoPAW.4447AvoPAvoPAW</t>
  </si>
  <si>
    <t>Self-Locking White</t>
  </si>
  <si>
    <t>00150</t>
  </si>
  <si>
    <t>https://www.lazada.com.ph/products/ampcom-510-pack-rj11-telephone-converter-rj-11-classic-6-pins-female-1-to-3-1-to-4-telephone-phone-cable-line-splitter-adapter-i946158676-s3097512298.html?</t>
  </si>
  <si>
    <t>RJ11 Telephone Converter RJ-11 Classic 6 Pins Female 1 to 3 Telephone Phone Cable Line Splitter Adapter</t>
  </si>
  <si>
    <t>00151</t>
  </si>
  <si>
    <t>https://www.lazada.com.ph/products/15m-3m-5m-10m-15m-20m-30m-40m-50m-ad-link-gigabit-cat6-ethernet-patch-cable-with-rj45-cat6e-high-quality-blue-i1767824467-s7555638474.html?</t>
  </si>
  <si>
    <t>00152</t>
  </si>
  <si>
    <t>00153</t>
  </si>
  <si>
    <t>00154</t>
  </si>
  <si>
    <t>https://www.lazada.com.ph/products/3m-double-sided-tape-available-sizes-78-x-5ft-78-x-15ft-and-12-x-15ft-i1994461098-s8703069091.html?</t>
  </si>
  <si>
    <t>Self sticking adhesive on both sides</t>
  </si>
  <si>
    <t>00155</t>
  </si>
  <si>
    <t>Epson L Series Pickup Roller / feeder L110, L360, L300, L310 L120, L210, L220</t>
  </si>
  <si>
    <t>00156</t>
  </si>
  <si>
    <t>https://www.lazada.com.ph/products/baseus-velcro-straps-cable-organizer-for-charging-data-cable-network-cable-winder-cable-clip-office-desktop-management-i787512710-s8528288052.html?</t>
  </si>
  <si>
    <t>Network cable organizer Nylon</t>
  </si>
  <si>
    <t>00157</t>
  </si>
  <si>
    <t>https://www.lazada.com.ph/products/cctv-outdoor-junction-box-ip65-weather-water-proof-enclosure-with-rubber-gasket-screws-ra-series-i3458917246-s17775648347.html?</t>
  </si>
  <si>
    <t>CCTV Outdoor Junction Box IP65 Weather Water Proof Enclosure with Rubber Gasket &amp; Screws</t>
  </si>
  <si>
    <t>00158</t>
  </si>
  <si>
    <t>https://www.lazada.com.ph/products/kruger-aluminum-step-ladder-ft-7-7-steps-i104251189-s104753420.html?search=pdp_same_topselling?spm=a2o4l.pdp_revamp.recommendation_1.5.d39d5a9d5KMFaQ&amp;&amp;mp=1&amp;scm=1007.16389.286994.0&amp;clickTrackInfo=e778af11-bb1d-49b8-9af6-72b2fb1cfc07__104251189__22409__trigger2i__224806__0.485__0.485__0.0__0.0__0.0__0.485__4__null__null__null__null__null__null____4200.0__0.4302261904761905__4.791044776119403__22__2393.05__12027,12040,14001,20001,23008,23071,23083,24085,38009,73210,80976,82420,89487,89491,92575,101718,103128,103150,115440,115569,120000,129114,134506,141200,142021,142484,142877,149113,151636,157410,160749,166568,166654,173872,177091,185876,188631,188683,189113,196164,203107,211076,213315,215654,216429,219059,232522,234498,235822,237332,239497,242264,250934,253514,255127,255984,262419,267209,268998,271427,286991__null__null__null__3650.16537_3650.16544_955.3632_955.3630__null__13426__null__0.0__0.0________null__null</t>
  </si>
  <si>
    <t>Foldable and lightweight
Load Capacity: 300 lbs
Tall Extended Handrail and Extra Large Platform Area
High Strength Aluminum</t>
  </si>
  <si>
    <t>00159</t>
  </si>
  <si>
    <t>https://www.lazada.com.ph/products/kruger-aluminum-step-ladder-ft-4-4-steps-i104249079-s104751191.html?&amp;search=pdp_same_topselling?spm=a2o4l.pdp_revamp.recommendation_1.1.2371be08PL0cEi&amp;mp=1&amp;scm=1007.16389.286994.0&amp;clickTrackInfo=b3f1825a-8168-4f8c-9a7d-96b86a4bba45__104249079__22409__trigger2i__224806__1.0__1.0__0.0__0.0__0.0__1.0__0__null__null__null__null__null__null____2800.0__0.5253392857142858__4.714285714285714__127__1329.05__12003,12018,12027,12040,14001,20001,23008,23071,23083,24085,38009,73210,80976,82420,89487,89491,92575,101718,103128,103150,115440,115569,120000,122068,129114,134506,141200,142021,142484,142877,149113,151636,157410,160749,166568,166654,173872,177091,185876,188631,188683,189113,196164,203107,211076,213315,215654,216429,219059,232522,234498,235822,237332,239497,242264,250934,253514,255084,255127,255313,255984,262419,267209,268998,271427,273469,274556,286892,286991__null__null__null__3650.16504_3650.16544_955.3631_955.3632__null__13426__null__0.0__0.0________null__null</t>
  </si>
  <si>
    <t>00160</t>
  </si>
  <si>
    <t>https://www.lazada.com.ph/products/kruger-fiberglass-extension-ladder-f32808-8-13-ft-i104388838.html?spm=a2o4l.store_product.list.62.4b8c8049amNbH2</t>
  </si>
  <si>
    <t>Kruger Fiberglass Extension Ladder, (8-13 Rungs)
Load Capacity: 300 lbs
Reaches from 8 ft to an extendable length of 13 ft
Height: 8 ft to 13 ft
Self-leveling 2-way swivel safety shoes
Main Material: Fiberglass</t>
  </si>
  <si>
    <t>00161</t>
  </si>
  <si>
    <t>https://www.lazada.com.ph/products/kohl-foldable-platform-truck-300kgs-steel-i354858526-s802190993.html?spm=a2o4l.10450891.0.0.32746d68gx2TXc&amp;search=store</t>
  </si>
  <si>
    <t>Loading Capacity: 300 kg
Wheel Size: 5”</t>
  </si>
  <si>
    <t>00162</t>
  </si>
  <si>
    <t>00163</t>
  </si>
  <si>
    <t>https://mail.google.com/mail/u/0/?ogbl#search/philcopy/FMfcgzGsnLGSRsQtcwhWmhXKPjgSRjNs</t>
  </si>
  <si>
    <t>DIGITAL COPIER, NETWORK PRINTER, NETWORK COLORED SCANNER, &amp;
NETWORK FAX in one
Copy/print/scan speed: 40 pages per minute (A4)
Memory: 512 MB
CPU: PowerPC 440 / 800 MHz speed
With Dual-scan Document Feeder and Duplex Unit
Functions: Black&amp;White copying, network printing, network colored scanning, and network fax
Scan/Print via USB flash drive memory
Print resolution: 1200 x 1200 d.p.i.
Maintenance Kit life: 100,000 copies/prints
Maximum copy/print/fax/scan size: 8.5” x 14” Legal size on the top glass &amp; Dual-scan Document Feeder
Power Consumption: Copy/Print mode: 661 W, Ready mode: 21 W, Sleep-mode: 1 W
With supplier’s dealer/distributor certificate from the manufacturer for after-sales service
One (1) paper cassette (250 sheets) and multi-purpose bypass tray (50 sheets)
Continuous copying: up to 999, 
with dealer/distributor certificate for after-sales service
1 year spare parts warranty and 2 years service warranty</t>
  </si>
  <si>
    <t>Ecosys M2540dn/l = P 75,000.00</t>
  </si>
  <si>
    <t>00164</t>
  </si>
  <si>
    <t>https://mail.google.com/mail/u/0/?ogbl#search/philcopy/FMfcgzGsnLGRzGCpKcSBBNdQRlGGlgbh</t>
  </si>
  <si>
    <t>Print speed: 40 pages per minute (A4)
Memory: 256 MB
Processor: Cortex A9, 800 MHz
Maintenance Kit Life: 100,000 pages
With Network Printing and Duplex Printing(automatic double-sided printing)
Maximum print size: Legal size 8.5.” x 14”
One paper cassette (250 sheets) and multi-purpose tray (100 sheets)
Print resolution: up to 1,200 d.p.i.
Standard interface: USB 2.0 (Hi-Speed), USB Host Interface, Gigabit Ethernet
with dealer/distributor certificate for after-sales service
2 years spare parts warranty and 2 years service warranty</t>
  </si>
  <si>
    <t>Ecosys P2040DN = P 25,000.00</t>
  </si>
  <si>
    <t>00165</t>
  </si>
  <si>
    <t>Digital Full-Colour Laser Copier, Full-Colour Laser Network Printer, Full-Colour Laser Network Scanner</t>
  </si>
  <si>
    <t>https://mail.google.com/mail/u/0/?ogbl#search/philcopy/FMfcgzGsnLHcTRdzcwwkcJNXzHrwcvbd</t>
  </si>
  <si>
    <t>Print speed: 21 pages per minute (A4)
Scanning speed: 30 pages per minute (300 dpi B&amp;W), 23 pages per minute (300 dpi Colored)
Memory: 512 MB
CPU: Cortex-A9 / 800 MHz
Functions: Colored copying, Network Colored Printing, Network Colored Scanning, Network Faxing
Maximum copy, print, scan, fax size: 
1. Top glass or platen: A4 only
2. Single-sided Automatic Document Feeder: Legal size 8.5.” x 14”
Standard interface: USB 2.0 (Hi-Speed), USB Host Interface, Gigabit Ethernet 10BaseT/100BaseTX/1000BaseT), Wireless LAN
With Single-sided Automatic Document Feeder and duplex printing
Print/Scan to/from-USB flash drive memory
Input thickness capacity: 60 – 220 gsm through multi-purpose bypass tray
One paper cassette (250 sheets) and multi-purpose bypass tray (50 sheets)
Continuous copying: up to 999
with dealer/distributor certificate for after-sales service
1 year spare parts warranty and 2 years service warranty</t>
  </si>
  <si>
    <t>ECOSYS M5521cdw - P 57,600.00</t>
  </si>
  <si>
    <t>00166</t>
  </si>
  <si>
    <t>https://mail.google.com/mail/u/0/?ogbl#inbox/FMfcgzGtwCtSXFtPcthdvtNTwVBhFmXv?projector=1&amp;messagePartId=0.2</t>
  </si>
  <si>
    <t>https://philcopy.net/product_details.php?slug=ecosys-m4125idn</t>
  </si>
  <si>
    <t>Multi-Functional Copier/Scanner/Printer, with automatic document feeder, duplex unit, &amp; job separator; supported
paper sizes: letter, A4, legal, A3; 1 GB memory, CPU speed 1.2GHz dual-core Cortex-A9; with RJ-45 port,
Maintenance Kit capacity before replacement 300,000 copies/print; can print, save and scan via USB,
with dealer/distributor certificate for after-sales service
Warranty: 1 year on parts and 2 years on service</t>
  </si>
  <si>
    <t>ECOSYS M4125idn = P 135,000.00</t>
  </si>
  <si>
    <t>00167</t>
  </si>
  <si>
    <t>https://www.lazada.com.ph/products/a4tech-krs-85-natural-comfort-roundedge-keycaps-laser-inscribed-keys-drain-holes-design-usb-wired-keyboard-i585666599.html?spm=a2o4l.searchlist.list.10.94803585VPRuXX</t>
  </si>
  <si>
    <t>Natural Comfort Roundedge Keycaps, Laser Inscribed Keys, Drain Holes Design USB Wired Keyboard (BLACK)</t>
  </si>
  <si>
    <t>00168</t>
  </si>
  <si>
    <t>https://www.lazada.com.ph/products/a4tech-op-620d-2x-button-4-way-wheel-1000-dpi-durable-button-life-dust-resistant-wheel-plug-and-play-screen-capture-wired-usb-mouse-black-i587644066.html?spm=a2o4l.store_product.list.12.5e9e36e6ceqxku</t>
  </si>
  <si>
    <t>2x-Button, 4-Way Wheel, 1000 DPI, Durable Button Life, Dust-Resistant Wheel, Plug and Play, Screen Capture, Wired USB Mouse (Black)</t>
  </si>
  <si>
    <t>00169</t>
  </si>
  <si>
    <t>https://www.lazada.com.ph/products/seagate-st10000ve001-10tb-skyhawk-ai-7200rpm-256mb-hard-disk-drive-i1324420589-s4839694732.html?c=&amp;channelLpJumpArgs=&amp;clickTrackInfo=query%253A10tb%252Bhdd%252Bfor%252Bcctv%253Bnid%253A1324420589%253Bsrc%253ALazadaMainSrp%253Brn%253Aa137ff6c45835a4176d2482c7be25f86%253Bregion%253Aph%253Bsku%253A1324420589_PH%253Bprice%253A12799%253Bclient%253Adesktop%253Bsupplier_id%253A100089229%253Bpromotion_biz%253A%253Basc_category_id%253A5155%253Bitem_id%253A1324420589%253Bsku_id%253A4839694732%253Bshop_id%253A106089&amp;fastshipping=0&amp;freeshipping=0&amp;fs_ab=2&amp;fuse_fs=1&amp;lang=en&amp;location=Metro%20Manila&amp;price=12799&amp;priceCompare=&amp;ratingscore=5.0&amp;request_id=a137ff6c45835a4176d2482c7be25f86&amp;review=8&amp;sale=62&amp;search=1&amp;source=search&amp;spm=a2o4l.searchlist.list.8&amp;stock=1</t>
  </si>
  <si>
    <t>Surveillance Hard Drive - SATA 6Gb/s 3.5-Inch for existing CCTV NVR</t>
  </si>
  <si>
    <t>00170</t>
  </si>
  <si>
    <t>4TB Surveillance Hard Drive SATA</t>
  </si>
  <si>
    <t>https://www.lazada.com.ph/products/seagate-st4000vx016-4tb-skyhawk-5900rpm-35-i207853349-s263825716.html?c=&amp;channelLpJumpArgs=&amp;clickTrackInfo=query%253A4tb%252Bhdd%252Bfor%252Bcctv%253Bnid%253A207853349%253Bsrc%253ALazadaMainSrp%253Brn%253Ac2983abe21c7bbe17669e6a737c3b7e1%253Bregion%253Aph%253Bsku%253A207853349_PH%253Bprice%253A5659%253Bclient%253Adesktop%253Bsupplier_id%253A100089229%253Bpromotion_biz%253A%253Basc_category_id%253A5155%253Bitem_id%253A207853349%253Bsku_id%253A263825716%253Bshop_id%253A106089&amp;fastshipping=0&amp;freeshipping=0&amp;fs_ab=2&amp;fuse_fs=1&amp;lang=en&amp;location=Metro%20Manila&amp;price=5659&amp;priceCompare=&amp;ratingscore=4.711538461538462&amp;request_id=c2983abe21c7bbe17669e6a737c3b7e1&amp;review=104&amp;sale=638&amp;search=1&amp;source=search&amp;spm=a2o4l.searchlist.list.8&amp;stock=1</t>
  </si>
  <si>
    <t>00171</t>
  </si>
  <si>
    <t>https://support.brother.com/g/b/colist.aspx?c=ph&amp;lang=en&amp;prod=dcpt700w_all&amp;cao=btl</t>
  </si>
  <si>
    <t>Brother Genuine Ink BT5000C for existing BROTHER Printer</t>
  </si>
  <si>
    <t>00172</t>
  </si>
  <si>
    <t>Brother Genuine Ink BT5000Y for existing BROTHER Printer</t>
  </si>
  <si>
    <t>00173</t>
  </si>
  <si>
    <t>Brother Genuine Ink BT5000M for existing BROTHER Printer</t>
  </si>
  <si>
    <t>00174</t>
  </si>
  <si>
    <t>Brother Genuine Ink BT5000BK for existing BROTHER Printer</t>
  </si>
  <si>
    <t>00175</t>
  </si>
  <si>
    <t>Brother Toner Cartridge TN-3448</t>
  </si>
  <si>
    <t>https://www.brother.com.ph/en/products/all-printers/printers/mfc-l5900dw</t>
  </si>
  <si>
    <t>Brother Toner Cartridge TN-3448 for existing Brother MFC-L5900DW Laser Printer</t>
  </si>
  <si>
    <t>00176</t>
  </si>
  <si>
    <t>https://asdi.ph/products/epson-lq310-ribbon-cartridge-so15634</t>
  </si>
  <si>
    <t>EPSON LQ310 Ribbon Cartridge (SO15634) for existing EPSON LQ310</t>
  </si>
  <si>
    <t>00177</t>
  </si>
  <si>
    <t>Canon Ink Bottle Refill GI -790 Black</t>
  </si>
  <si>
    <t>https://www.officewarehouse.com.ph/product/27612/</t>
  </si>
  <si>
    <t>00178</t>
  </si>
  <si>
    <t>Canon Ink Bottle Refill GI -790 Cyan</t>
  </si>
  <si>
    <t>00179</t>
  </si>
  <si>
    <t>Canon Ink Bottle Refill GI -790 Yellow</t>
  </si>
  <si>
    <t>00180</t>
  </si>
  <si>
    <t>Canon Ink Bottle Refill GI -790 Magenta</t>
  </si>
  <si>
    <t>00181</t>
  </si>
  <si>
    <t>https://www.lazada.com.ph/products/4k-hdmiugreen-hdmi-20-cable-4k-hdmi-male-to-male-high-speed-hdmi-adapter-3d-for-smart-tv-xbox-360-apple-tv-ps5-pro-nintendo-switch-projector-hdmi-i5943200-s7693809229.html?c=&amp;channelLpJumpArgs=&amp;clickTrackInfo=query%253Ahdmi%252Bcable%253Bnid%253A5943200%253Bsrc%253ALazadaMainSrp%253Brn%253Ac18667ede1b40aeeb4afef098052fc97%253Bregion%253Aph%253Bsku%253A5943200_PH%253Bprice%253A179%253Bclient%253Adesktop%253Bsupplier_id%253A15884%253Bpromotion_biz%253A%253Basc_category_id%253A21466%253Bitem_id%253A5943200%253Bsku_id%253A7693809229%253Bshop_id%253A1038&amp;fastshipping=0&amp;freeshipping=0&amp;fs_ab=2&amp;fuse_fs=&amp;lang=en&amp;location=Laguna&amp;price=179&amp;priceCompare=&amp;ratingscore=4.942523948354852&amp;request_id=c18667ede1b40aeeb4afef098052fc97&amp;review=1199&amp;sale=14420&amp;search=1&amp;source=search&amp;spm=a2o4l.searchlist.list.12&amp;stock=1</t>
  </si>
  <si>
    <t>HDMI 2.0 Cable 4K HDMI Male to Male High Speed HDMI Adapter
1 Meter</t>
  </si>
  <si>
    <t>00182</t>
  </si>
  <si>
    <t>HDMI 2.0 Cable 4K 3m</t>
  </si>
  <si>
    <t>HDMI 2.0 Cable 4K HDMI Male to Male High Speed HDMI Adapter
3 Meter</t>
  </si>
  <si>
    <t>00183</t>
  </si>
  <si>
    <t>HDMI 2.0 Cable 4K 5m</t>
  </si>
  <si>
    <t>HDMI 2.0 Cable 4K HDMI Male to Male High Speed HDMI Adapter
5 Meter</t>
  </si>
  <si>
    <t>00184</t>
  </si>
  <si>
    <t>HDMI 2.0 Cable 4K HDMI Male to Male High Speed HDMI Adapter
10 Meter</t>
  </si>
  <si>
    <t>00185</t>
  </si>
  <si>
    <t>RISO Ink Compatible to existing RISO SF 5130</t>
  </si>
  <si>
    <t>c/o supply</t>
  </si>
  <si>
    <t>00186</t>
  </si>
  <si>
    <t>RISO Ink Compatible to existing RISO EZ 371A</t>
  </si>
  <si>
    <t>00187</t>
  </si>
  <si>
    <t>https://shopee.ph/product/67422291/1143823740?is_seller=true&amp;utm_campaign=s67422291_ss_ph_gmax_ph-sis-official-pmax&amp;utm_source=google&amp;utm_medium=seller&amp;utm_content=ph-gglsearch-official-pmax&amp;gclid=Cj0KCQjwnrmlBhDHARIsADJ5b_m5KiSX88X2xOQhTCR5C3pIdemQAJ1YYJF90V1QK6YuuPA-KvY7H-caAmLTEALw_wcB</t>
  </si>
  <si>
    <t>00188</t>
  </si>
  <si>
    <t>HP Laserjet P1102 Cartridge</t>
  </si>
  <si>
    <t>https://www.lazada.com.ph/products/hp-laserjet-p1102p1102w-print-cartridge-i214924032-s278655069.html?c=&amp;channelLpJumpArgs=&amp;clickTrackInfo=query%253AP1102%253Bnid%253A214924032%253Bsrc%253AlazadaInShopSrp%253Brn%253A35f958aeecc7b44aaed7a325b0e62684%253Bregion%253Aph%253Bsku%253A214924032_PH%253Bprice%253A4025%253Bclient%253Adesktop%253Bsupplier_id%253A100064191%253Bpromotion_biz%253A%253Basc_category_id%253A13894%253Bitem_id%253A214924032%253Bsku_id%253A278655069%253Bshop_id%253A4495&amp;fastshipping=0&amp;freeshipping=1&amp;fs_ab=2&amp;fuse_fs=1&amp;lang=en&amp;location=Metro%20Manila&amp;price=4025&amp;priceCompare=&amp;ratingscore=5.0&amp;request_id=35f958aeecc7b44aaed7a325b0e62684&amp;review=1&amp;sale=30&amp;search=1&amp;source=search&amp;spm=a2o4l.store_product.list.i1.33ae64a8qrLFCc&amp;stock=0%27</t>
  </si>
  <si>
    <t>HP Laserjet P1102/P1102W Print Cartridge</t>
  </si>
  <si>
    <t>00189</t>
  </si>
  <si>
    <t>https://www.lazada.com.ph/products/samsung-galaxy-tab-a8-wi-fi-4gb-ram-64gb-rom-i2709578104.html?spm=a2o4l.store_product.list.4.16c48430fts0lM</t>
  </si>
  <si>
    <t>Octa core processor
10", Wi-Fi [4GB RAM + 64GB ROM] or more
8.0 MP Rear Camera - Resolution
Quad Speakers with sound by Dolby Atmos</t>
  </si>
  <si>
    <t xml:space="preserve">Samsung Galaxy Tab A8 Wi-Fi [4GB RAM + 64GB ROM]
</t>
  </si>
  <si>
    <t>00190</t>
  </si>
  <si>
    <t>https://www.lazada.com.ph/products/samsung-galaxy-tab-lite-i1343608081.html?spm=a2o4l.store_product.list.8.16c48430fts0lM</t>
  </si>
  <si>
    <t>Octa core processor
10", Wi-Fi [4GB RAM + 128GB ROM] or more
8.0 MP Rear Camera - Resolution
Quad Speakers with sound by Dolby Atmos
with Pen</t>
  </si>
  <si>
    <t>Samsung Galaxy Tab S6 Lite</t>
  </si>
  <si>
    <t>00191</t>
  </si>
  <si>
    <t>LCD Signature Pad</t>
  </si>
  <si>
    <t>https://ccs.com.ph/products/topaz-t-lbk460-siglite-lcd-1x5-series-signature-pad</t>
  </si>
  <si>
    <t>Sensor Type: 3rd-generation touch-screen, Rated to 1 million signatures
Pen Type: Rugged, passive pen &amp; tether, Patented, battery-less
Signing Area: 4.4” x 1.3” (112mm x 33mm) or more</t>
  </si>
  <si>
    <t>Topaz T-L(BK)460 SigLite LCD 1x5 Series Signature Pad</t>
  </si>
  <si>
    <t>00192</t>
  </si>
  <si>
    <t>SMART</t>
  </si>
  <si>
    <t>00193</t>
  </si>
  <si>
    <t>Processor: Intel Core i7-12700F, 25MB Cache, 4.9GHz
System Memory: 16GB DDR4 3200MHz
Display Card: 4GB DDR4 Graphic Cards
Hard Drive Storage: 512GB SSD Boot Drive +
1TB HDD Sata Drive
Monitor: 24" Full HD IPS Panel, 1920 x 1080 resolution
LAN Support: 10/100/1000 Mb/s LAN Subsystem
Gigabit Ethernet Controller
With Intel Dual Band WiFi 6 AX 201 2x2 AX + 
Bluetooth 5.2
Power Supply: 350 watts High Efficiency Power Supply
Front Ports:
Two Super Speed USB 3.0 front and Two USB 2.0 ports, 2x Audio Jack Ports, 1x Type C Port
Rear Ports:
2 X USB 3.2 Gen 2x1 Type A port(s), 2 X USB2.0 port(s), 2x PS2 Ports, 3 Audio Jack Ports (Line Out/Line In/Mic In), 1 x HDMI 2.0 Port, 1 x VGA Port, 1 x Display Port, 1 x RJ45 Port
OS: Windows 11 Pro 
Additional Features: Energy Star Version 6.1
Accessories: USB Mouse, USB Keyboard, Bluetooth,
Speaker, UPS 650VA, 360 watts
Warranty: at least 3-year limited parts warranty
and services</t>
  </si>
  <si>
    <t>Acer Aspire -TC -1750 -Desktop -Intel Core i7 -12700</t>
  </si>
  <si>
    <t>00194</t>
  </si>
  <si>
    <t>Core i7-1195G7 processor 2.9 GHz, at least 16GB DDR4 (8GB of onboard DDR4 system memory + 8GB of dual-channel DDR4), 1TB NVMe SSD, 15.6 inches display Full HD 1920 x 1080, Intel Iris Xe Graphics, Genuine Windows 11 Pro or higher
Gigabit Ethernet, Wi-Fi  6
with Charger
Warranty: at least 1-year limited parts warranty
and services</t>
  </si>
  <si>
    <t>Acer Aspire Vero AV15-51-78G8 Intel Core i7 11th Gen</t>
  </si>
  <si>
    <t>00195</t>
  </si>
  <si>
    <t>Branded CPU</t>
  </si>
  <si>
    <t>https://www.acer.com/ph-en/desktops-and-all-in-ones/aspire-classic-desktops/aspire-tc/pdp/DT.BHVSP.00A</t>
  </si>
  <si>
    <t>Core i7-12700 12 cores 2.1GHz, 16GB RAM, 512GB M.2 SSD + 1TB HDD (HYBRID) , 2GB DDR5 Video Card
with Genuine Win10 OS or higher
Gigabit Ethernet and Wireless LAN</t>
  </si>
  <si>
    <t>00196</t>
  </si>
  <si>
    <t>https://www.lazada.com.ph/products/a4tech-fk-13p-wired-usb-numeric-keypad-i1261134348-s4546230935.html?c=&amp;channelLpJumpArgs=&amp;clickTrackInfo=query%253ANumeric%252BKeypad%253Bnid%253A1261134348%253Bsrc%253ALazadaMainSrp%253Brn%253Aa15f8f4041f74dacd06cfc0b21cef9a3%253Bregion%253Aph%253Bsku%253A1261134348_PH%253Bprice%253A271%253Bclient%253Adesktop%253Bsupplier_id%253A500157819122%253Bpromotion_biz%253A%253Basc_category_id%253A24965%253Bitem_id%253A1261134348%253Bsku_id%253A4546230935%253Bshop_id%253A723645&amp;fastshipping=0&amp;freeshipping=0&amp;fs_ab=2&amp;fuse_fs=1&amp;lang=en&amp;location=Metro%20Manila&amp;price=271&amp;priceCompare=&amp;ratingscore=4.898395721925134&amp;request_id=a15f8f4041f74dacd06cfc0b21cef9a3&amp;review=187&amp;sale=646&amp;search=1&amp;source=search&amp;spm=a2o4l.searchlist.list.4&amp;stock=1</t>
  </si>
  <si>
    <t>http://fstyler.a4tech.com/product.aspx?id=274</t>
  </si>
  <si>
    <t>Sleek Round-Square Keycaps
Cable Length: 120 cm or higher
Compatible Windows XP / Vista / 7 / 8 / 8.1 / 10  or higher</t>
  </si>
  <si>
    <t>00197</t>
  </si>
  <si>
    <t>https://mail.google.com/mail/u/0/?ogbl#inbox/FMfcgzGtwCtSXFtPcthdvtNTwVBhFmXv?projector=1&amp;messagePartId=0.5</t>
  </si>
  <si>
    <t>Maintenance kit life: 200,000 copies or prints
Copy or print speed: 24 pages per minute(A4)
CPU: ARM Cortex-A9 Dual-core 1.2 GHz
Memory: 1,536 MB RAM
Print resolution: 1,200 dpi x 1,200 dpi
With a 50-sheet Reversing Automatic Document Feeder
With Duplex Unit for automatic back-to-back copy or print
With Job Separator for separation of copy from print job
Functions: color copying, network color printing, network color scanning
With supplier’s dealer or distributor’s certificate from the manufacturer for after-sales service
Warranty: 1 year on parts and 2 years on service</t>
  </si>
  <si>
    <t>Ecosys M8124cidn = P190,000.00</t>
  </si>
  <si>
    <t>00198</t>
  </si>
  <si>
    <t>HEMS/DRRM</t>
  </si>
  <si>
    <t>00199</t>
  </si>
  <si>
    <t>00200</t>
  </si>
  <si>
    <t>Maintenance Kit Various</t>
  </si>
  <si>
    <t>Maintenance Kit for existing Kyocera Machines</t>
  </si>
  <si>
    <t>00201</t>
  </si>
  <si>
    <t>Camera Tripod</t>
  </si>
  <si>
    <t>https://www.lazada.com.ph/products/benro-ttor24cgx30-tortoise-series-professional-carbon-fiber-tripod-with-gx30-ball-head-for-camera-jg-superstore-i1251008315.html?spm=a2o4l.store_product.list.80.6ecb6121bjOUd2</t>
  </si>
  <si>
    <t>With G36 Ball head for Camera
Hex key to adjust tension on leg hinges
Push-and-pull center column with ballast hook for rapid camera, lens, or sport optic positioning</t>
  </si>
  <si>
    <t>00202</t>
  </si>
  <si>
    <t>Camera Gimbal</t>
  </si>
  <si>
    <t>https://www.lazada.com.ph/products/dji-rs-3-mini-move-light-3rd-gen-rs-stabilization-algorithm-native-vertical-shooting-14-full-color-touchscreen-i3522372712-s18185413167.html?c=&amp;channelLpJumpArgs=&amp;clickTrackInfo=query%253Agimbal%253Bnid%253A3522372712%253Bsrc%253AlazadaInShopSrp%253Brn%253Af2cb71cfe3b3623d9d92c7ef9b9bc45f%253Bregion%253Aph%253Bsku%253A3522372712_PH%253Bprice%253A16590%253Bclient%253Adesktop%253Bsupplier_id%253A500159631382%253Bpromotion_biz%253A%253Basc_category_id%253A24954%253Bitem_id%253A3522372712%253Bsku_id%253A18185413167%253Bshop_id%253A991894&amp;fastshipping=0&amp;freeshipping=0&amp;fs_ab=2&amp;fuse_fs=&amp;lang=en&amp;location=&amp;price=1.659E%204&amp;priceCompare=&amp;ratingscore=5.0&amp;request_id=f2cb71cfe3b3623d9d92c7ef9b9bc45f&amp;review=10&amp;sale=30&amp;search=1&amp;source=search&amp;spm=a2o4l.store_product.list.4&amp;stock=1</t>
  </si>
  <si>
    <t>1/4"-20 Mounting Hole
RSS Camera Control Port (USB-C)
NATO Expansion Port
Capacity: 2450 mAh or more
Bluetooth 5.1
USB-C Charging Port
0.4-2 kg (0.8-4.4 lbs) Tested Payload
Pan: 360°/s
Tilt: 360°/s
Roll: 360°/s</t>
  </si>
  <si>
    <t>00203</t>
  </si>
  <si>
    <t>Various IEC Materials</t>
  </si>
  <si>
    <t>00204</t>
  </si>
  <si>
    <t>120GB 2.5" Internal SSD</t>
  </si>
  <si>
    <t>https://www.lazada.com.ph/products/kingston-a400-120gb240gb480gb960gb192tb-25-sata-3-ssd-solid-state-drive-i160522428-s19722596643.html?</t>
  </si>
  <si>
    <t>Form factor: 2.5”
Interface: SATA Rev. 3.0 (6Gb/s) – with backwards compatibility to SATA Rev. 2.0 (3Gb/s)
Capacities: 120GB or more
Baseline performance: up to 450MB/s read/write or more
Warranty: 2 years or more</t>
  </si>
  <si>
    <t>00205</t>
  </si>
  <si>
    <t>Kyocera MK-1147</t>
  </si>
  <si>
    <t>00206</t>
  </si>
  <si>
    <t>Kyocera MK-1175</t>
  </si>
  <si>
    <t>00207</t>
  </si>
  <si>
    <t>5TB External Hard Drive</t>
  </si>
  <si>
    <t>https://www.lazada.com.ph/products/seagate-5tb-one-touch-external-hard-drive-for-mac-and-windows-external-hdd-5tb-external-hard-drive-free-seagate-pouch-external-hard-disk-drive-i3246356955-s16338088738.html?c=&amp;channelLpJumpArgs=&amp;clickTrackInfo=query%253Aexternal%252Bdrive%252B5tb%253Bnid%253A3246356955%253Bsrc%253ALazadaMainSrp%253Brn%253A20b17390d1e46221308886b56c700c78%253Bregion%253Aph%253Bsku%253A3246356955_PH%253Bprice%253A8250%253Bclient%253Adesktop%253Bsupplier_id%253A93%253Bpromotion_biz%253A%253Basc_category_id%253A5180%253Bitem_id%253A3246356955%253Bsku_id%253A16338088738%253Bshop_id%253A1402&amp;fastshipping=0&amp;freeshipping=0&amp;fs_ab=2&amp;fuse_fs=1&amp;lang=en&amp;location=Metro%20Manila&amp;price=8.25E%203&amp;priceCompare=&amp;ratingscore=5.0&amp;request_id=20b17390d1e46221308886b56c700c78&amp;review=3&amp;sale=14&amp;search=1&amp;source=search&amp;spm=a2o4l.searchlist.list.i40.6c5c18a47Z2DaT&amp;stock=1</t>
  </si>
  <si>
    <t>00208</t>
  </si>
  <si>
    <t>Kyocera MK-7129</t>
  </si>
  <si>
    <t>00209</t>
  </si>
  <si>
    <t>Kyocera TK-7120</t>
  </si>
  <si>
    <t>00210</t>
  </si>
  <si>
    <t>00211</t>
  </si>
  <si>
    <t>Kyocera TK-1175</t>
  </si>
  <si>
    <t>00212</t>
  </si>
  <si>
    <t>Kyocera MK-6119</t>
  </si>
  <si>
    <t>00213</t>
  </si>
  <si>
    <t>https://www.lazada.com.ph/products/tp-link-jetstream-8-port-gigabit-l2-managed-switch-with-2-sfp-slots-tl-sg3210-network-switch-hub-8-port-gigabit-switch-old-model-t2500g-10ts-i-tplink-tp-link-i-infobahn-i1612058028-s6909074513.html?from_gmc=1&amp;fl_tag=1&amp;exlaz=d_1:mm_150050845_51350205_2010350205::12:20986161724!!!!!c!!6909074513!239908907&amp;gad_source=4&amp;gclid=Cj0KCQjw0_WyBhDMARIsAL1Vz8sz2upmcQwXOTheCmqKjuhydT_LaUkl03GuSAH3tzEpeTGiziaKwIEaAkRKEALw_wcB</t>
  </si>
  <si>
    <t>https://www.tp-link.com/ph/business-networking/managed-switch/tl-sg3210/v1/#overview</t>
  </si>
  <si>
    <t>8 10/100/1000Mbps RJ45 Ports
(Auto Negotiation/Auto MDI/MDIX)
2 1000Mbps SFP Slots
Bandwidth: 20Gbps or more
Supports up to 4K VLANs simultaneously
Fan Quantity: Fanless
Inclusion: Power Cord; Rackmount Kit
Warranty: 1 year or more</t>
  </si>
  <si>
    <t>00214</t>
  </si>
  <si>
    <t>https://www.lazada.com.ph/products/energizer-max-battery-9v-522-bp1-i723512255-s2113376060.html?c=&amp;channelLpJumpArgs=&amp;clickTrackInfo=query%253A9V%252BBATTERY%253Bnid%253A723512255%253Bsrc%253ALazadaMainSrp%253Brn%253A7416f10120531634e83ffebd869aa75d%253Bregion%253Aph%253Bsku%253A723512255_PH%253Bprice%253A208.25%253Bclient%253Adesktop%253Bsupplier_id%253A100018869%253Bbiz_source%253Ah5_hp%253Bslot%253A25%253Butlog_bucket_id%253A470687%253Basc_category_id%253A22653%253Bitem_id%253A723512255%253Bsku_id%253A2113376060%253Bshop_id%253A3012&amp;fastshipping=0&amp;freeshipping=1&amp;fs_ab=2&amp;fuse_fs=&amp;lang=en&amp;location=Metro%20Manila~Marikina&amp;price=208.25&amp;priceCompare=skuId%3A2113376060%3Bsource%3Alazada-search-voucher%3Bsn%3A7416f10120531634e83ffebd869aa75d%3BunionTrace%3Aa3b5469b17206605952231992e%3BoriginPrice%3A20825%3BvoucherPrice%3A20825%3BdisplayPrice%3A20825%3BsinglePromotionId%3A-1%3BsingleToolCode%3A-1%3BvoucherPricePlugin%3A1%3BbuyerId%3A0%3Btimestamp%3A1720660595608&amp;ratingscore=4.9523809523809526&amp;request_id=7416f10120531634e83ffebd869aa75d&amp;review=147&amp;sale=1264&amp;search=1&amp;source=search&amp;spm=a2o4l.searchlist.list.25&amp;stock=1</t>
  </si>
  <si>
    <t>https://data.energizer.com/pdfs/522.pdf</t>
  </si>
  <si>
    <t>Classification: Alkaline
Chemical System: Zinc-Manganese Dioxide (Zn/MnO2)
Nominal Voltage: 9 volts
Terminal: Miniature Snap</t>
  </si>
  <si>
    <t>Energizer Max Battery 9V (522 BP1)</t>
  </si>
  <si>
    <t>00215</t>
  </si>
  <si>
    <t>Fortinet Firewall with Annual Subscription and 4x10G SFP+ transceiver module compatible with the existing FortiGATE-601E for HA configuration and deployment.
Includes installation, commissioning, configuration, testing, training with certification and documentation.</t>
  </si>
  <si>
    <t>00216</t>
  </si>
  <si>
    <t>https://www.apc.com/ph/en/product/APCRBC175/apc-replacement-battery-cartridge-175/</t>
  </si>
  <si>
    <t>Battery type: Lead-acid battery
Battery capacity: 9.0 Ah
Battery voltage: 12 V
Warranty: 2 years or more</t>
  </si>
  <si>
    <t>00217</t>
  </si>
  <si>
    <t>Conductor size:  23AWG
No. of Conductor:  4P</t>
  </si>
  <si>
    <t>00218</t>
  </si>
  <si>
    <t>https://www.tp-link.com/ph/home-networking/adapter/tg-3468/</t>
  </si>
  <si>
    <t>32-bit PCI Express
1 10/100/1000Mbps RJ45 port
Wake-on-LAN</t>
  </si>
  <si>
    <t>00219</t>
  </si>
  <si>
    <t>Heavy duty metal coated
70kg max capacity or more
Folds for compact storage
Light weight</t>
  </si>
  <si>
    <t>00220</t>
  </si>
  <si>
    <t>RJ11 To RJ11 Cable Telephone Wire Ready-To-Use</t>
  </si>
  <si>
    <t>00221</t>
  </si>
  <si>
    <t>42U Server Data Rack / Data Cabinet/Server Rack Cabinet/Network Cabine /Organizer of Critical IT Systems/With 8 Slot PDU, Lock, (Shelf/Width:600mm,  Depth 1000mm, Height:2000mm) / Heavy-duty SPCC Cold Rolled Steel Material. Full 75% Honeycomb double-section perforation Rear Door for maximised ventilation. Includes trays, power strip, ventilation fan tray &amp; cagenuts assembly. Thickness: Mounting Profile at least 2.0mm, 19-inch Panel Mounting 1.5mm, Others 1.2mm</t>
  </si>
  <si>
    <t>00222</t>
  </si>
  <si>
    <t>80mmx80mm PVC Cable Tray/Duct Slotted PVC (White or Light Gray)</t>
  </si>
  <si>
    <t>00223</t>
  </si>
  <si>
    <t>00224</t>
  </si>
  <si>
    <t>00225</t>
  </si>
  <si>
    <t>00226</t>
  </si>
  <si>
    <t>00227</t>
  </si>
  <si>
    <t>00228</t>
  </si>
  <si>
    <t>00229</t>
  </si>
  <si>
    <t>00230</t>
  </si>
  <si>
    <t>6 Gang Extension Cord w/ Switch and 1.75 Meter Wire</t>
  </si>
  <si>
    <t>Max. Capacity: 2500W
Voltage Surge Protector
1 Neon Switch w/ Circuit Breaker
6 Parallel Outlets w/ Grounding, 90° outlet orientation
With line/noise filter
Royal Cord #16/3 (1.75 meters)
Metal casing: Powder-coated</t>
  </si>
  <si>
    <t>00231</t>
  </si>
  <si>
    <t>1U PDU 8 Outlet Metal Power Strip Surge Protector</t>
  </si>
  <si>
    <t>00232</t>
  </si>
  <si>
    <t>https://asianic.com.ph/product/orico-25--35-inch-sata20-usb30-1-to-3-clone-external-hard-drive-dock-black6648us3c</t>
  </si>
  <si>
    <t>Size: 2.5 &amp; 3.5 inch HDD/SSD
Output Interface: USB3.0
Clone: 1 to 3 Standalone Clone
HDD Interface: SATA I, SATA II
Power Supply: 12V6A
Data Cable: 3Ft. or more USB3.0</t>
  </si>
  <si>
    <t>00233</t>
  </si>
  <si>
    <t>c/o Sir Ian</t>
  </si>
  <si>
    <t>00234</t>
  </si>
  <si>
    <t>TK-5234C, TK-5234M, TK-5234Y</t>
  </si>
  <si>
    <t>00235</t>
  </si>
  <si>
    <t>TK-5275C, TK-5275M, TK-5275Y</t>
  </si>
  <si>
    <t>00236</t>
  </si>
  <si>
    <t>TK-8113C, TK-8113M, TK-8113Y</t>
  </si>
  <si>
    <t>00237</t>
  </si>
  <si>
    <t>TK-1147</t>
  </si>
  <si>
    <t>00238</t>
  </si>
  <si>
    <t>TK-1168</t>
  </si>
  <si>
    <t>00239</t>
  </si>
  <si>
    <t>TK-1175</t>
  </si>
  <si>
    <t>00240</t>
  </si>
  <si>
    <t>00241</t>
  </si>
  <si>
    <t>TK-3165</t>
  </si>
  <si>
    <t>00242</t>
  </si>
  <si>
    <t>00243</t>
  </si>
  <si>
    <t>TK-479</t>
  </si>
  <si>
    <t>00244</t>
  </si>
  <si>
    <t>TK-6113</t>
  </si>
  <si>
    <t>00245</t>
  </si>
  <si>
    <t>00246</t>
  </si>
  <si>
    <t>00247</t>
  </si>
  <si>
    <t>MK-1147</t>
  </si>
  <si>
    <t>00248</t>
  </si>
  <si>
    <t>Maintenance Kit for the existing ECOSYS P2040DN</t>
  </si>
  <si>
    <t>MK-1156</t>
  </si>
  <si>
    <t>00249</t>
  </si>
  <si>
    <t>Maintenance Kit for the existing ECOSYS M2540DN/L</t>
  </si>
  <si>
    <t>MK-1175</t>
  </si>
  <si>
    <t>00250</t>
  </si>
  <si>
    <t>Maintenance Kit for the existing ECOSYS M2640IDW/L</t>
  </si>
  <si>
    <t>00251</t>
  </si>
  <si>
    <t>Maintenance Kit for the existing ECOSYS M3145DN</t>
  </si>
  <si>
    <t>MK-3165</t>
  </si>
  <si>
    <t>00252</t>
  </si>
  <si>
    <t>00253</t>
  </si>
  <si>
    <t>MK-479</t>
  </si>
  <si>
    <t>00254</t>
  </si>
  <si>
    <t>Maintenance Kit for the existing ECOSYS P6230CDN</t>
  </si>
  <si>
    <t>MK-5144</t>
  </si>
  <si>
    <t>00255</t>
  </si>
  <si>
    <t>MK-6119</t>
  </si>
  <si>
    <t>00256</t>
  </si>
  <si>
    <t>00257</t>
  </si>
  <si>
    <t>MK-7129</t>
  </si>
  <si>
    <t>00258</t>
  </si>
  <si>
    <t>Maintenance Kit for the existing ECOSYS M8124CIDN</t>
  </si>
  <si>
    <t>MK-8115A, MK-8115B</t>
  </si>
  <si>
    <t>00259</t>
  </si>
  <si>
    <t>TK-5234K</t>
  </si>
  <si>
    <t>00260</t>
  </si>
  <si>
    <t>TK-5275K</t>
  </si>
  <si>
    <t>00261</t>
  </si>
  <si>
    <t>TK-8113K</t>
  </si>
  <si>
    <t>00262</t>
  </si>
  <si>
    <t>HP 80A Black Original LaserJet Toner Cartridge, CF280A</t>
  </si>
  <si>
    <t>00263</t>
  </si>
  <si>
    <t>00264</t>
  </si>
  <si>
    <t>Gooseneck Condenser Microphone 18" Podium Microphones with Base LED Indicator XLR Mic
with AAA Battery*2
48V Phantom Power</t>
  </si>
  <si>
    <t>00265</t>
  </si>
  <si>
    <t>00266</t>
  </si>
  <si>
    <t>HP 17A Black Original LaserJet Toner Cartridge, CF217A</t>
  </si>
  <si>
    <t>00267</t>
  </si>
  <si>
    <t>HP 85A Black Original LaserJet Toner Cartridge, CE285A</t>
  </si>
  <si>
    <t>00268</t>
  </si>
  <si>
    <t>00269</t>
  </si>
  <si>
    <t>Canon Cartridge 056</t>
  </si>
  <si>
    <t>00270</t>
  </si>
  <si>
    <t>BROTHER TN-2360 TONER CARTRIDGE</t>
  </si>
  <si>
    <t>00271</t>
  </si>
  <si>
    <t>00272</t>
  </si>
  <si>
    <t>00273</t>
  </si>
  <si>
    <t>00274</t>
  </si>
  <si>
    <t>00275</t>
  </si>
  <si>
    <t>Print speed of up to 9.0 ipm (black) and 4.8 ipm (colour)
Ultra-high page yield of 4,500 pages (black) and 7,500 pages (colour)
2-year warranty or 20,000 pages, whichever comes first</t>
  </si>
  <si>
    <t>00276</t>
  </si>
  <si>
    <t>00277</t>
  </si>
  <si>
    <t>00278</t>
  </si>
  <si>
    <t>00279</t>
  </si>
  <si>
    <t>00280</t>
  </si>
  <si>
    <t>00281</t>
  </si>
  <si>
    <t>00282</t>
  </si>
  <si>
    <t>00283</t>
  </si>
  <si>
    <t>00284</t>
  </si>
  <si>
    <t>00285</t>
  </si>
  <si>
    <t>00286</t>
  </si>
  <si>
    <t>00287</t>
  </si>
  <si>
    <t>00288</t>
  </si>
  <si>
    <t>00289</t>
  </si>
  <si>
    <t>00290</t>
  </si>
  <si>
    <t>00291</t>
  </si>
  <si>
    <t>00292</t>
  </si>
  <si>
    <t>00293</t>
  </si>
  <si>
    <t>00294</t>
  </si>
  <si>
    <t>00295</t>
  </si>
  <si>
    <t>00296</t>
  </si>
  <si>
    <t>00297</t>
  </si>
  <si>
    <t>00298</t>
  </si>
  <si>
    <t>00299</t>
  </si>
  <si>
    <t>00300</t>
  </si>
  <si>
    <t>00301</t>
  </si>
  <si>
    <t>00302</t>
  </si>
  <si>
    <t>00303</t>
  </si>
  <si>
    <t>00304</t>
  </si>
  <si>
    <t>00305</t>
  </si>
  <si>
    <t>00306</t>
  </si>
  <si>
    <t>00307</t>
  </si>
  <si>
    <t>00308</t>
  </si>
  <si>
    <t>00309</t>
  </si>
  <si>
    <t>00310</t>
  </si>
  <si>
    <t>00311</t>
  </si>
  <si>
    <t>00312</t>
  </si>
  <si>
    <t>00313</t>
  </si>
  <si>
    <t>00314</t>
  </si>
  <si>
    <t>00315</t>
  </si>
  <si>
    <t>00316</t>
  </si>
  <si>
    <t>00317</t>
  </si>
  <si>
    <t>00318</t>
  </si>
  <si>
    <t>00319</t>
  </si>
  <si>
    <t>00320</t>
  </si>
  <si>
    <t>00321</t>
  </si>
  <si>
    <t>00322</t>
  </si>
  <si>
    <t>00323</t>
  </si>
  <si>
    <t>00324</t>
  </si>
  <si>
    <t>00325</t>
  </si>
  <si>
    <t>00326</t>
  </si>
  <si>
    <t>00327</t>
  </si>
  <si>
    <t>00328</t>
  </si>
  <si>
    <t>00329</t>
  </si>
  <si>
    <t>00330</t>
  </si>
  <si>
    <t>00331</t>
  </si>
  <si>
    <t>00332</t>
  </si>
  <si>
    <t>00333</t>
  </si>
  <si>
    <t>00334</t>
  </si>
  <si>
    <t>00335</t>
  </si>
  <si>
    <t>00336</t>
  </si>
  <si>
    <t>00337</t>
  </si>
  <si>
    <t>00338</t>
  </si>
  <si>
    <t>00339</t>
  </si>
  <si>
    <t>00340</t>
  </si>
  <si>
    <t>00341</t>
  </si>
  <si>
    <t>00342</t>
  </si>
  <si>
    <t>00343</t>
  </si>
  <si>
    <t>00344</t>
  </si>
  <si>
    <t>00345</t>
  </si>
  <si>
    <t>00346</t>
  </si>
  <si>
    <t>00347</t>
  </si>
  <si>
    <t>00348</t>
  </si>
  <si>
    <t>00349</t>
  </si>
  <si>
    <t>00350</t>
  </si>
  <si>
    <t>00351</t>
  </si>
  <si>
    <t>00352</t>
  </si>
  <si>
    <t>00353</t>
  </si>
  <si>
    <t>00354</t>
  </si>
  <si>
    <t>00355</t>
  </si>
  <si>
    <t>00356</t>
  </si>
  <si>
    <t>00357</t>
  </si>
  <si>
    <t>00358</t>
  </si>
  <si>
    <t>00359</t>
  </si>
  <si>
    <t>00360</t>
  </si>
  <si>
    <t>00361</t>
  </si>
  <si>
    <t>00362</t>
  </si>
  <si>
    <t>00363</t>
  </si>
  <si>
    <t>00364</t>
  </si>
  <si>
    <t>00365</t>
  </si>
  <si>
    <t>00366</t>
  </si>
  <si>
    <t>00367</t>
  </si>
  <si>
    <t>00368</t>
  </si>
  <si>
    <t>00369</t>
  </si>
  <si>
    <t>00370</t>
  </si>
  <si>
    <t>00371</t>
  </si>
  <si>
    <t>00372</t>
  </si>
  <si>
    <t>00373</t>
  </si>
  <si>
    <t>00374</t>
  </si>
  <si>
    <t>00375</t>
  </si>
  <si>
    <t>00376</t>
  </si>
  <si>
    <t>00377</t>
  </si>
  <si>
    <t>00378</t>
  </si>
  <si>
    <t>00379</t>
  </si>
  <si>
    <t>00380</t>
  </si>
  <si>
    <t>00381</t>
  </si>
  <si>
    <t>00382</t>
  </si>
  <si>
    <t>00383</t>
  </si>
  <si>
    <t>00384</t>
  </si>
  <si>
    <t>00385</t>
  </si>
  <si>
    <t>00386</t>
  </si>
  <si>
    <t>00387</t>
  </si>
  <si>
    <t>00388</t>
  </si>
  <si>
    <t>00389</t>
  </si>
  <si>
    <t>00390</t>
  </si>
  <si>
    <t>00391</t>
  </si>
  <si>
    <t>00392</t>
  </si>
  <si>
    <t>00393</t>
  </si>
  <si>
    <t>00394</t>
  </si>
  <si>
    <t>00395</t>
  </si>
  <si>
    <t>00396</t>
  </si>
  <si>
    <t>00397</t>
  </si>
  <si>
    <t>00398</t>
  </si>
  <si>
    <t>00399</t>
  </si>
  <si>
    <t>00400</t>
  </si>
  <si>
    <t>00401</t>
  </si>
  <si>
    <t>00402</t>
  </si>
  <si>
    <t>00403</t>
  </si>
  <si>
    <t>00404</t>
  </si>
  <si>
    <t>00405</t>
  </si>
  <si>
    <t>00406</t>
  </si>
  <si>
    <t>00407</t>
  </si>
  <si>
    <t>00408</t>
  </si>
  <si>
    <t>00409</t>
  </si>
  <si>
    <t>00410</t>
  </si>
  <si>
    <t>00411</t>
  </si>
  <si>
    <t>00412</t>
  </si>
  <si>
    <t>00413</t>
  </si>
  <si>
    <t>00414</t>
  </si>
  <si>
    <t>00415</t>
  </si>
  <si>
    <t>00416</t>
  </si>
  <si>
    <t>00417</t>
  </si>
  <si>
    <t>00418</t>
  </si>
  <si>
    <t>00419</t>
  </si>
  <si>
    <t>00420</t>
  </si>
  <si>
    <t>00421</t>
  </si>
  <si>
    <t>00422</t>
  </si>
  <si>
    <t>00423</t>
  </si>
  <si>
    <t>00424</t>
  </si>
  <si>
    <t>00425</t>
  </si>
  <si>
    <t>00426</t>
  </si>
  <si>
    <t>00427</t>
  </si>
  <si>
    <t>00428</t>
  </si>
  <si>
    <t>00429</t>
  </si>
  <si>
    <t>00430</t>
  </si>
  <si>
    <t>00431</t>
  </si>
  <si>
    <t>00432</t>
  </si>
  <si>
    <t>00433</t>
  </si>
  <si>
    <t>00434</t>
  </si>
  <si>
    <t>00435</t>
  </si>
  <si>
    <t>00436</t>
  </si>
  <si>
    <t>00437</t>
  </si>
  <si>
    <t>00438</t>
  </si>
  <si>
    <t>00439</t>
  </si>
  <si>
    <t>00440</t>
  </si>
  <si>
    <t>00441</t>
  </si>
  <si>
    <t>00442</t>
  </si>
  <si>
    <t>00443</t>
  </si>
  <si>
    <t>00444</t>
  </si>
  <si>
    <t>00445</t>
  </si>
  <si>
    <t>00446</t>
  </si>
  <si>
    <t>00447</t>
  </si>
  <si>
    <t>00448</t>
  </si>
  <si>
    <t>00449</t>
  </si>
  <si>
    <t>00450</t>
  </si>
  <si>
    <t>00451</t>
  </si>
  <si>
    <t>00452</t>
  </si>
  <si>
    <t>00453</t>
  </si>
  <si>
    <t>00454</t>
  </si>
  <si>
    <t>00455</t>
  </si>
  <si>
    <t>00456</t>
  </si>
  <si>
    <t>00457</t>
  </si>
  <si>
    <t>00458</t>
  </si>
  <si>
    <t>00459</t>
  </si>
  <si>
    <t>00460</t>
  </si>
  <si>
    <t>00461</t>
  </si>
  <si>
    <t>00462</t>
  </si>
  <si>
    <t>00463</t>
  </si>
  <si>
    <t>00464</t>
  </si>
  <si>
    <t>00465</t>
  </si>
  <si>
    <t>00466</t>
  </si>
  <si>
    <t>00467</t>
  </si>
  <si>
    <t>00468</t>
  </si>
  <si>
    <t>00469</t>
  </si>
  <si>
    <t>00470</t>
  </si>
  <si>
    <t>00471</t>
  </si>
  <si>
    <t>00472</t>
  </si>
  <si>
    <t>00473</t>
  </si>
  <si>
    <t>00474</t>
  </si>
  <si>
    <t>00475</t>
  </si>
  <si>
    <t>00476</t>
  </si>
  <si>
    <t>00477</t>
  </si>
  <si>
    <t>00478</t>
  </si>
  <si>
    <t>00479</t>
  </si>
  <si>
    <t>00480</t>
  </si>
  <si>
    <t>00481</t>
  </si>
  <si>
    <t>00482</t>
  </si>
  <si>
    <t>00483</t>
  </si>
  <si>
    <t>00484</t>
  </si>
  <si>
    <t>00485</t>
  </si>
  <si>
    <t>00486</t>
  </si>
  <si>
    <t>00487</t>
  </si>
  <si>
    <t>00488</t>
  </si>
  <si>
    <t>00489</t>
  </si>
  <si>
    <t>00490</t>
  </si>
  <si>
    <t>00491</t>
  </si>
  <si>
    <t>00492</t>
  </si>
  <si>
    <t>00493</t>
  </si>
  <si>
    <t>00494</t>
  </si>
  <si>
    <t>00495</t>
  </si>
  <si>
    <t>00496</t>
  </si>
  <si>
    <t>00497</t>
  </si>
  <si>
    <t>00498</t>
  </si>
  <si>
    <t>00499</t>
  </si>
  <si>
    <t>00500</t>
  </si>
  <si>
    <t>00501</t>
  </si>
  <si>
    <t>00502</t>
  </si>
  <si>
    <t>00503</t>
  </si>
  <si>
    <t>00504</t>
  </si>
  <si>
    <t>00505</t>
  </si>
  <si>
    <t>00506</t>
  </si>
  <si>
    <t>00507</t>
  </si>
  <si>
    <t>00508</t>
  </si>
  <si>
    <t>00509</t>
  </si>
  <si>
    <t>00510</t>
  </si>
  <si>
    <t>00511</t>
  </si>
  <si>
    <t>00512</t>
  </si>
  <si>
    <t>00513</t>
  </si>
  <si>
    <t>00514</t>
  </si>
  <si>
    <t>00515</t>
  </si>
  <si>
    <t>00516</t>
  </si>
  <si>
    <t>00517</t>
  </si>
  <si>
    <t>00518</t>
  </si>
  <si>
    <t>00519</t>
  </si>
  <si>
    <t>00520</t>
  </si>
  <si>
    <t>00521</t>
  </si>
  <si>
    <t>00522</t>
  </si>
  <si>
    <t>00523</t>
  </si>
  <si>
    <t>00524</t>
  </si>
  <si>
    <t>00525</t>
  </si>
  <si>
    <t>00526</t>
  </si>
  <si>
    <t>00527</t>
  </si>
  <si>
    <t>00528</t>
  </si>
  <si>
    <t>00529</t>
  </si>
  <si>
    <t>00530</t>
  </si>
  <si>
    <t>00531</t>
  </si>
  <si>
    <t>00532</t>
  </si>
  <si>
    <t>00533</t>
  </si>
  <si>
    <t>00534</t>
  </si>
  <si>
    <t>00535</t>
  </si>
  <si>
    <t>00536</t>
  </si>
  <si>
    <t>00537</t>
  </si>
  <si>
    <t>00538</t>
  </si>
  <si>
    <t>00539</t>
  </si>
  <si>
    <t>00540</t>
  </si>
  <si>
    <t>00541</t>
  </si>
  <si>
    <t>00542</t>
  </si>
  <si>
    <t>00543</t>
  </si>
  <si>
    <t>00544</t>
  </si>
  <si>
    <t>00545</t>
  </si>
  <si>
    <t>00546</t>
  </si>
  <si>
    <t>00547</t>
  </si>
  <si>
    <t>00548</t>
  </si>
  <si>
    <t>00549</t>
  </si>
  <si>
    <t>00550</t>
  </si>
  <si>
    <t>00551</t>
  </si>
  <si>
    <t>00552</t>
  </si>
  <si>
    <t>00553</t>
  </si>
  <si>
    <t>00554</t>
  </si>
  <si>
    <t>00555</t>
  </si>
  <si>
    <t>00556</t>
  </si>
  <si>
    <t>00557</t>
  </si>
  <si>
    <t>00558</t>
  </si>
  <si>
    <t>00559</t>
  </si>
  <si>
    <t>00560</t>
  </si>
  <si>
    <t>00561</t>
  </si>
  <si>
    <t>00562</t>
  </si>
  <si>
    <t>00563</t>
  </si>
  <si>
    <t>00564</t>
  </si>
  <si>
    <t>00565</t>
  </si>
  <si>
    <t>00566</t>
  </si>
  <si>
    <t>00567</t>
  </si>
  <si>
    <t>00568</t>
  </si>
  <si>
    <t>00569</t>
  </si>
  <si>
    <t>00570</t>
  </si>
  <si>
    <t>00571</t>
  </si>
  <si>
    <t>00572</t>
  </si>
  <si>
    <t>00573</t>
  </si>
  <si>
    <t>00574</t>
  </si>
  <si>
    <t>00575</t>
  </si>
  <si>
    <t>00576</t>
  </si>
  <si>
    <t>00577</t>
  </si>
  <si>
    <t>00578</t>
  </si>
  <si>
    <t>00579</t>
  </si>
  <si>
    <t>00580</t>
  </si>
  <si>
    <t>00581</t>
  </si>
  <si>
    <t>00582</t>
  </si>
  <si>
    <t>00583</t>
  </si>
  <si>
    <t>00584</t>
  </si>
  <si>
    <t>00585</t>
  </si>
  <si>
    <t>00586</t>
  </si>
  <si>
    <t>00587</t>
  </si>
  <si>
    <t>00588</t>
  </si>
  <si>
    <t>00589</t>
  </si>
  <si>
    <t>00590</t>
  </si>
  <si>
    <t>00591</t>
  </si>
  <si>
    <t>00592</t>
  </si>
  <si>
    <t>00593</t>
  </si>
  <si>
    <t>00594</t>
  </si>
  <si>
    <t>00595</t>
  </si>
  <si>
    <t>00596</t>
  </si>
  <si>
    <t>00597</t>
  </si>
  <si>
    <t>00598</t>
  </si>
  <si>
    <t>00599</t>
  </si>
  <si>
    <t>00600</t>
  </si>
  <si>
    <t>00601</t>
  </si>
  <si>
    <t>00602</t>
  </si>
  <si>
    <t>00603</t>
  </si>
  <si>
    <t>00604</t>
  </si>
  <si>
    <t>00605</t>
  </si>
  <si>
    <t>00606</t>
  </si>
  <si>
    <t>00607</t>
  </si>
  <si>
    <t>00608</t>
  </si>
  <si>
    <t>00609</t>
  </si>
  <si>
    <t>00610</t>
  </si>
  <si>
    <t>00611</t>
  </si>
  <si>
    <t>00612</t>
  </si>
  <si>
    <t>00613</t>
  </si>
  <si>
    <t>00614</t>
  </si>
  <si>
    <t>00615</t>
  </si>
  <si>
    <t>00616</t>
  </si>
  <si>
    <t>00617</t>
  </si>
  <si>
    <t>00618</t>
  </si>
  <si>
    <t>00619</t>
  </si>
  <si>
    <t>00620</t>
  </si>
  <si>
    <t>00621</t>
  </si>
  <si>
    <t>00622</t>
  </si>
  <si>
    <t>00623</t>
  </si>
  <si>
    <t>00624</t>
  </si>
  <si>
    <t>00625</t>
  </si>
  <si>
    <t>00626</t>
  </si>
  <si>
    <t>00627</t>
  </si>
  <si>
    <t>00628</t>
  </si>
  <si>
    <t>00629</t>
  </si>
  <si>
    <t>00630</t>
  </si>
  <si>
    <t>00631</t>
  </si>
  <si>
    <t>00632</t>
  </si>
  <si>
    <t>00633</t>
  </si>
  <si>
    <t>00634</t>
  </si>
  <si>
    <t>00635</t>
  </si>
  <si>
    <t>00636</t>
  </si>
  <si>
    <t>00637</t>
  </si>
  <si>
    <t>00638</t>
  </si>
  <si>
    <t>00639</t>
  </si>
  <si>
    <t>00640</t>
  </si>
  <si>
    <t>00641</t>
  </si>
  <si>
    <t>00642</t>
  </si>
  <si>
    <t>00643</t>
  </si>
  <si>
    <t>00644</t>
  </si>
  <si>
    <t>00645</t>
  </si>
  <si>
    <t>00646</t>
  </si>
  <si>
    <t>00647</t>
  </si>
  <si>
    <t>00648</t>
  </si>
  <si>
    <t>00649</t>
  </si>
  <si>
    <t>00650</t>
  </si>
  <si>
    <t>00651</t>
  </si>
  <si>
    <t>00652</t>
  </si>
  <si>
    <t>00653</t>
  </si>
  <si>
    <t>00654</t>
  </si>
  <si>
    <t>00655</t>
  </si>
  <si>
    <t>00656</t>
  </si>
  <si>
    <t>00657</t>
  </si>
  <si>
    <t>00658</t>
  </si>
  <si>
    <t>00659</t>
  </si>
  <si>
    <t>00660</t>
  </si>
  <si>
    <t>00661</t>
  </si>
  <si>
    <t>00662</t>
  </si>
  <si>
    <t>00663</t>
  </si>
  <si>
    <t>00664</t>
  </si>
  <si>
    <t>00665</t>
  </si>
  <si>
    <t>00666</t>
  </si>
  <si>
    <t>00667</t>
  </si>
  <si>
    <t>00668</t>
  </si>
  <si>
    <t>00669</t>
  </si>
  <si>
    <t>00670</t>
  </si>
  <si>
    <t>00671</t>
  </si>
  <si>
    <t>00672</t>
  </si>
  <si>
    <t>00673</t>
  </si>
  <si>
    <t>00674</t>
  </si>
  <si>
    <t>00675</t>
  </si>
  <si>
    <t>00676</t>
  </si>
  <si>
    <t>00677</t>
  </si>
  <si>
    <t>00678</t>
  </si>
  <si>
    <t>00679</t>
  </si>
  <si>
    <t>00680</t>
  </si>
  <si>
    <t>00681</t>
  </si>
  <si>
    <t>00682</t>
  </si>
  <si>
    <t>00683</t>
  </si>
  <si>
    <t>00684</t>
  </si>
  <si>
    <t>00685</t>
  </si>
  <si>
    <t>00686</t>
  </si>
  <si>
    <t>00687</t>
  </si>
  <si>
    <t>00688</t>
  </si>
  <si>
    <t>00689</t>
  </si>
  <si>
    <t>00690</t>
  </si>
  <si>
    <t>00691</t>
  </si>
  <si>
    <t>00692</t>
  </si>
  <si>
    <t>00693</t>
  </si>
  <si>
    <t>00694</t>
  </si>
  <si>
    <t>00695</t>
  </si>
  <si>
    <t>00696</t>
  </si>
  <si>
    <t>00697</t>
  </si>
  <si>
    <t>00698</t>
  </si>
  <si>
    <t>00699</t>
  </si>
  <si>
    <t>00700</t>
  </si>
  <si>
    <t>00701</t>
  </si>
  <si>
    <t>00702</t>
  </si>
  <si>
    <t>00703</t>
  </si>
  <si>
    <t>00704</t>
  </si>
  <si>
    <t>00705</t>
  </si>
  <si>
    <t>00706</t>
  </si>
  <si>
    <t>00707</t>
  </si>
  <si>
    <t>00708</t>
  </si>
  <si>
    <t>00709</t>
  </si>
  <si>
    <t>00710</t>
  </si>
  <si>
    <t>00711</t>
  </si>
  <si>
    <t>00712</t>
  </si>
  <si>
    <t>00713</t>
  </si>
  <si>
    <t>00714</t>
  </si>
  <si>
    <t>00715</t>
  </si>
  <si>
    <t>00716</t>
  </si>
  <si>
    <t>00717</t>
  </si>
  <si>
    <t>00718</t>
  </si>
  <si>
    <t>00719</t>
  </si>
  <si>
    <t>00720</t>
  </si>
  <si>
    <t>00721</t>
  </si>
  <si>
    <t>00722</t>
  </si>
  <si>
    <t>00723</t>
  </si>
  <si>
    <t>00724</t>
  </si>
  <si>
    <t>00725</t>
  </si>
  <si>
    <t>00726</t>
  </si>
  <si>
    <t>00727</t>
  </si>
  <si>
    <t>00728</t>
  </si>
  <si>
    <t>00729</t>
  </si>
  <si>
    <t>00730</t>
  </si>
  <si>
    <t>00731</t>
  </si>
  <si>
    <t>00732</t>
  </si>
  <si>
    <t>00733</t>
  </si>
  <si>
    <t>00734</t>
  </si>
  <si>
    <t>00735</t>
  </si>
  <si>
    <t>00736</t>
  </si>
  <si>
    <t>00737</t>
  </si>
  <si>
    <t>00738</t>
  </si>
  <si>
    <t>00739</t>
  </si>
  <si>
    <t>00740</t>
  </si>
  <si>
    <t>00741</t>
  </si>
  <si>
    <t>00742</t>
  </si>
  <si>
    <t>00743</t>
  </si>
  <si>
    <t>00744</t>
  </si>
  <si>
    <t>00745</t>
  </si>
  <si>
    <t>00746</t>
  </si>
  <si>
    <t>00747</t>
  </si>
  <si>
    <t>00748</t>
  </si>
  <si>
    <t>00749</t>
  </si>
  <si>
    <t>00750</t>
  </si>
  <si>
    <t>00751</t>
  </si>
  <si>
    <t>00752</t>
  </si>
  <si>
    <t>00753</t>
  </si>
  <si>
    <t>00754</t>
  </si>
  <si>
    <t>00755</t>
  </si>
  <si>
    <t>00756</t>
  </si>
  <si>
    <t>00757</t>
  </si>
  <si>
    <t>00758</t>
  </si>
  <si>
    <t>00759</t>
  </si>
  <si>
    <t>00760</t>
  </si>
  <si>
    <t>00761</t>
  </si>
  <si>
    <t>00762</t>
  </si>
  <si>
    <t>00763</t>
  </si>
  <si>
    <t>00764</t>
  </si>
  <si>
    <t>00765</t>
  </si>
  <si>
    <t>00766</t>
  </si>
  <si>
    <t>00767</t>
  </si>
  <si>
    <t>00768</t>
  </si>
  <si>
    <t>00769</t>
  </si>
  <si>
    <t>00770</t>
  </si>
  <si>
    <t>00771</t>
  </si>
  <si>
    <t>00772</t>
  </si>
  <si>
    <t>00773</t>
  </si>
  <si>
    <t>00774</t>
  </si>
  <si>
    <t>00775</t>
  </si>
  <si>
    <t>00776</t>
  </si>
  <si>
    <t>00777</t>
  </si>
  <si>
    <t>00778</t>
  </si>
  <si>
    <t>00779</t>
  </si>
  <si>
    <t>00780</t>
  </si>
  <si>
    <t>00781</t>
  </si>
  <si>
    <t>00782</t>
  </si>
  <si>
    <t>00783</t>
  </si>
  <si>
    <t>00784</t>
  </si>
  <si>
    <t>00785</t>
  </si>
  <si>
    <t>00786</t>
  </si>
  <si>
    <t>00787</t>
  </si>
  <si>
    <t>00788</t>
  </si>
  <si>
    <t>00789</t>
  </si>
  <si>
    <t>00790</t>
  </si>
  <si>
    <t>00791</t>
  </si>
  <si>
    <t>00792</t>
  </si>
  <si>
    <t>00793</t>
  </si>
  <si>
    <t>00794</t>
  </si>
  <si>
    <t>00795</t>
  </si>
  <si>
    <t>00796</t>
  </si>
  <si>
    <t>00797</t>
  </si>
  <si>
    <t>00798</t>
  </si>
  <si>
    <t>00799</t>
  </si>
  <si>
    <t>00800</t>
  </si>
  <si>
    <t>00801</t>
  </si>
  <si>
    <t>00802</t>
  </si>
  <si>
    <t>00803</t>
  </si>
  <si>
    <t>00804</t>
  </si>
  <si>
    <t>00805</t>
  </si>
  <si>
    <t>00806</t>
  </si>
  <si>
    <t>00807</t>
  </si>
  <si>
    <t>00808</t>
  </si>
  <si>
    <t>00809</t>
  </si>
  <si>
    <t>00810</t>
  </si>
  <si>
    <t>00811</t>
  </si>
  <si>
    <t>00812</t>
  </si>
  <si>
    <t>00813</t>
  </si>
  <si>
    <t>00814</t>
  </si>
  <si>
    <t>00815</t>
  </si>
  <si>
    <t>00816</t>
  </si>
  <si>
    <t>00817</t>
  </si>
  <si>
    <t>00818</t>
  </si>
  <si>
    <t>00819</t>
  </si>
  <si>
    <t>00820</t>
  </si>
  <si>
    <t>00821</t>
  </si>
  <si>
    <t>00822</t>
  </si>
  <si>
    <t>00823</t>
  </si>
  <si>
    <t>00824</t>
  </si>
  <si>
    <t>00825</t>
  </si>
  <si>
    <t>00826</t>
  </si>
  <si>
    <t>00827</t>
  </si>
  <si>
    <t>00828</t>
  </si>
  <si>
    <t>00829</t>
  </si>
  <si>
    <t>00830</t>
  </si>
  <si>
    <t>00831</t>
  </si>
  <si>
    <t>00832</t>
  </si>
  <si>
    <t>00833</t>
  </si>
  <si>
    <t>00834</t>
  </si>
  <si>
    <t>00835</t>
  </si>
  <si>
    <t>00836</t>
  </si>
  <si>
    <t>00837</t>
  </si>
  <si>
    <t>00838</t>
  </si>
  <si>
    <t>00839</t>
  </si>
  <si>
    <t>00840</t>
  </si>
  <si>
    <t>00841</t>
  </si>
  <si>
    <t>00842</t>
  </si>
  <si>
    <t>00843</t>
  </si>
  <si>
    <t>00844</t>
  </si>
  <si>
    <t>00845</t>
  </si>
  <si>
    <t>00846</t>
  </si>
  <si>
    <t>00847</t>
  </si>
  <si>
    <t>00848</t>
  </si>
  <si>
    <t>00849</t>
  </si>
  <si>
    <t>00850</t>
  </si>
  <si>
    <t>00851</t>
  </si>
  <si>
    <t>00852</t>
  </si>
  <si>
    <t>00853</t>
  </si>
  <si>
    <t>00854</t>
  </si>
  <si>
    <t>00855</t>
  </si>
  <si>
    <t>00856</t>
  </si>
  <si>
    <t>00857</t>
  </si>
  <si>
    <t>00858</t>
  </si>
  <si>
    <t>00859</t>
  </si>
  <si>
    <t>00860</t>
  </si>
  <si>
    <t>00861</t>
  </si>
  <si>
    <t>00862</t>
  </si>
  <si>
    <t>00863</t>
  </si>
  <si>
    <t>00864</t>
  </si>
  <si>
    <t>00865</t>
  </si>
  <si>
    <t>00866</t>
  </si>
  <si>
    <t>00867</t>
  </si>
  <si>
    <t>00868</t>
  </si>
  <si>
    <t>00869</t>
  </si>
  <si>
    <t>00870</t>
  </si>
  <si>
    <t>00871</t>
  </si>
  <si>
    <t>00872</t>
  </si>
  <si>
    <t>00873</t>
  </si>
  <si>
    <t>00874</t>
  </si>
  <si>
    <t>00875</t>
  </si>
  <si>
    <t>00876</t>
  </si>
  <si>
    <t>00877</t>
  </si>
  <si>
    <t>00878</t>
  </si>
  <si>
    <t>00879</t>
  </si>
  <si>
    <t>00880</t>
  </si>
  <si>
    <t>00881</t>
  </si>
  <si>
    <t>00882</t>
  </si>
  <si>
    <t>00883</t>
  </si>
  <si>
    <t>00884</t>
  </si>
  <si>
    <t>00885</t>
  </si>
  <si>
    <t>00886</t>
  </si>
  <si>
    <t>00887</t>
  </si>
  <si>
    <t>00888</t>
  </si>
  <si>
    <t>00889</t>
  </si>
  <si>
    <t>00890</t>
  </si>
  <si>
    <t>00891</t>
  </si>
  <si>
    <t>00892</t>
  </si>
  <si>
    <t>00893</t>
  </si>
  <si>
    <t>00894</t>
  </si>
  <si>
    <t>00895</t>
  </si>
  <si>
    <t>00896</t>
  </si>
  <si>
    <t>00897</t>
  </si>
  <si>
    <t>00898</t>
  </si>
  <si>
    <t>00899</t>
  </si>
  <si>
    <t>00900</t>
  </si>
  <si>
    <t>00901</t>
  </si>
  <si>
    <t>00902</t>
  </si>
  <si>
    <t>00903</t>
  </si>
  <si>
    <t>00904</t>
  </si>
  <si>
    <t>00905</t>
  </si>
  <si>
    <t>00906</t>
  </si>
  <si>
    <t>00907</t>
  </si>
  <si>
    <t>00908</t>
  </si>
  <si>
    <t>00909</t>
  </si>
  <si>
    <t>00910</t>
  </si>
  <si>
    <t>00911</t>
  </si>
  <si>
    <t>00912</t>
  </si>
  <si>
    <t>00913</t>
  </si>
  <si>
    <t>00914</t>
  </si>
  <si>
    <t>00915</t>
  </si>
  <si>
    <t>00916</t>
  </si>
  <si>
    <t>00917</t>
  </si>
  <si>
    <t>00918</t>
  </si>
  <si>
    <t>00919</t>
  </si>
  <si>
    <t>00920</t>
  </si>
  <si>
    <t>00921</t>
  </si>
  <si>
    <t>00922</t>
  </si>
  <si>
    <t>00923</t>
  </si>
  <si>
    <t>00924</t>
  </si>
  <si>
    <t>00925</t>
  </si>
  <si>
    <t>00926</t>
  </si>
  <si>
    <t>00927</t>
  </si>
  <si>
    <t>00928</t>
  </si>
  <si>
    <t>00929</t>
  </si>
  <si>
    <t>00930</t>
  </si>
  <si>
    <t>00931</t>
  </si>
  <si>
    <t>00932</t>
  </si>
  <si>
    <t>00933</t>
  </si>
  <si>
    <t>00934</t>
  </si>
  <si>
    <t>00935</t>
  </si>
  <si>
    <t>00936</t>
  </si>
  <si>
    <t>00937</t>
  </si>
  <si>
    <t>00938</t>
  </si>
  <si>
    <t>00939</t>
  </si>
  <si>
    <t>00940</t>
  </si>
  <si>
    <t>00941</t>
  </si>
  <si>
    <t>00942</t>
  </si>
  <si>
    <t>00943</t>
  </si>
  <si>
    <t>00944</t>
  </si>
  <si>
    <t>00945</t>
  </si>
  <si>
    <t>00946</t>
  </si>
  <si>
    <t>00947</t>
  </si>
  <si>
    <t>00948</t>
  </si>
  <si>
    <t>00949</t>
  </si>
  <si>
    <t>00950</t>
  </si>
  <si>
    <t>00951</t>
  </si>
  <si>
    <t>00952</t>
  </si>
  <si>
    <t>00953</t>
  </si>
  <si>
    <t>00954</t>
  </si>
  <si>
    <t>00955</t>
  </si>
  <si>
    <t>00956</t>
  </si>
  <si>
    <t>00957</t>
  </si>
  <si>
    <t>00958</t>
  </si>
  <si>
    <t>00959</t>
  </si>
  <si>
    <t>00960</t>
  </si>
  <si>
    <t>00961</t>
  </si>
  <si>
    <t>00962</t>
  </si>
  <si>
    <t>00963</t>
  </si>
  <si>
    <t>00964</t>
  </si>
  <si>
    <t>00965</t>
  </si>
  <si>
    <t>00966</t>
  </si>
  <si>
    <t>00967</t>
  </si>
  <si>
    <t>00968</t>
  </si>
  <si>
    <t>00969</t>
  </si>
  <si>
    <t>00970</t>
  </si>
  <si>
    <t>00971</t>
  </si>
  <si>
    <t>00972</t>
  </si>
  <si>
    <t>00973</t>
  </si>
  <si>
    <t>00974</t>
  </si>
  <si>
    <t>00975</t>
  </si>
  <si>
    <t>00976</t>
  </si>
  <si>
    <t>00977</t>
  </si>
  <si>
    <t>00978</t>
  </si>
  <si>
    <t>00979</t>
  </si>
  <si>
    <t>00980</t>
  </si>
  <si>
    <t>00981</t>
  </si>
  <si>
    <t>00982</t>
  </si>
  <si>
    <t>00983</t>
  </si>
  <si>
    <t>00984</t>
  </si>
  <si>
    <t>00985</t>
  </si>
  <si>
    <t>00986</t>
  </si>
  <si>
    <t>00987</t>
  </si>
  <si>
    <t>00988</t>
  </si>
  <si>
    <t>00989</t>
  </si>
  <si>
    <t>00990</t>
  </si>
  <si>
    <t>00991</t>
  </si>
  <si>
    <t>00992</t>
  </si>
  <si>
    <t>00993</t>
  </si>
  <si>
    <t>00994</t>
  </si>
  <si>
    <t>00995</t>
  </si>
  <si>
    <t>00996</t>
  </si>
  <si>
    <t>List of all your Kyocera Multi-Function Product (Operational)</t>
  </si>
  <si>
    <t>Machine ID#</t>
  </si>
  <si>
    <t>Model</t>
  </si>
  <si>
    <t>Serial Number</t>
  </si>
  <si>
    <t>Department</t>
  </si>
  <si>
    <t>MACHINE MODEL</t>
  </si>
  <si>
    <t>SN#</t>
  </si>
  <si>
    <t>ID#</t>
  </si>
  <si>
    <t>DEPT</t>
  </si>
  <si>
    <t>TONER</t>
  </si>
  <si>
    <t>TONER PRICE</t>
  </si>
  <si>
    <t>MAINTENANCE KIT</t>
  </si>
  <si>
    <t>MK PRICE</t>
  </si>
  <si>
    <t>FS-6525MFP</t>
  </si>
  <si>
    <t>L4C4300442</t>
  </si>
  <si>
    <t>SUPPLY</t>
  </si>
  <si>
    <t>ECOSYS M4125IDN</t>
  </si>
  <si>
    <t>RCX9Z00418</t>
  </si>
  <si>
    <t>Accounting</t>
  </si>
  <si>
    <t>ECOSYS M2535DN/L</t>
  </si>
  <si>
    <t>LZQ4301103</t>
  </si>
  <si>
    <t>RECORDS</t>
  </si>
  <si>
    <t>ECOSYS P2040DN</t>
  </si>
  <si>
    <t>VXB3Y00790</t>
  </si>
  <si>
    <t>Admiting ER</t>
  </si>
  <si>
    <t>FS-6530MFP</t>
  </si>
  <si>
    <t>L4B4100065</t>
  </si>
  <si>
    <t>NO RECORD</t>
  </si>
  <si>
    <t>VXB3Y00800</t>
  </si>
  <si>
    <t>L4C5501050</t>
  </si>
  <si>
    <t>MIS</t>
  </si>
  <si>
    <t>TASKALFA 3212I</t>
  </si>
  <si>
    <t>REJ0400468</t>
  </si>
  <si>
    <t>Billing</t>
  </si>
  <si>
    <t>L4C5501051</t>
  </si>
  <si>
    <t>CASHIER</t>
  </si>
  <si>
    <t>ECOSYS M2540DN/L</t>
  </si>
  <si>
    <t>VX81706878</t>
  </si>
  <si>
    <t>Billing and Claims</t>
  </si>
  <si>
    <t>SMART 30S</t>
  </si>
  <si>
    <t>3SIA000000G20605</t>
  </si>
  <si>
    <t>HR</t>
  </si>
  <si>
    <t>ECOSYS M3645DN</t>
  </si>
  <si>
    <t>RKL0Y00106</t>
  </si>
  <si>
    <t>Billing Claims</t>
  </si>
  <si>
    <t>L4C5501055</t>
  </si>
  <si>
    <t>RCX1400805</t>
  </si>
  <si>
    <t>RCX1400804</t>
  </si>
  <si>
    <t>L4C5501052</t>
  </si>
  <si>
    <t>ENGINEERING</t>
  </si>
  <si>
    <t>VX88701002</t>
  </si>
  <si>
    <t>Bloodbank</t>
  </si>
  <si>
    <t>L4C6101140</t>
  </si>
  <si>
    <t>ACCTG</t>
  </si>
  <si>
    <t>L4C8101547</t>
  </si>
  <si>
    <t>Budget Office</t>
  </si>
  <si>
    <t>LZQ5Z05647</t>
  </si>
  <si>
    <t>DIETARY</t>
  </si>
  <si>
    <t>Cashier</t>
  </si>
  <si>
    <t>LZQ6105832</t>
  </si>
  <si>
    <t>PETRU</t>
  </si>
  <si>
    <t>L4C6X01308</t>
  </si>
  <si>
    <t>Chief Nurse Office</t>
  </si>
  <si>
    <t>L4C6201172</t>
  </si>
  <si>
    <t>ECOSYS M5521CDW</t>
  </si>
  <si>
    <t>VVZ3801498</t>
  </si>
  <si>
    <t>CMPS</t>
  </si>
  <si>
    <t>LZQ6706476</t>
  </si>
  <si>
    <t>PHILHEALTH WIN 1</t>
  </si>
  <si>
    <t>TK-5234C</t>
  </si>
  <si>
    <t>CHIEF NURSE OFC</t>
  </si>
  <si>
    <t>TK-5234M</t>
  </si>
  <si>
    <t>LZQ6907322</t>
  </si>
  <si>
    <t>OPD</t>
  </si>
  <si>
    <t>TK-5234Y</t>
  </si>
  <si>
    <t>LZQ6906973</t>
  </si>
  <si>
    <t>MEDICAL CENTER CHIEF</t>
  </si>
  <si>
    <t>VXB3Y00810</t>
  </si>
  <si>
    <t>COVID ICU</t>
  </si>
  <si>
    <t>LZQ6Y07902</t>
  </si>
  <si>
    <t>VXB3Y00815</t>
  </si>
  <si>
    <t>LZQ6Z07989</t>
  </si>
  <si>
    <t>BAC</t>
  </si>
  <si>
    <t>ECOSYS M8124CIDN</t>
  </si>
  <si>
    <t>RCZ3Z00800</t>
  </si>
  <si>
    <t>MK-8115A</t>
  </si>
  <si>
    <t>LZQ6Z08057</t>
  </si>
  <si>
    <t>HEMODIALYSIS</t>
  </si>
  <si>
    <t>YK-8113C</t>
  </si>
  <si>
    <t>MK-8115B</t>
  </si>
  <si>
    <t>LZQ6Z08030</t>
  </si>
  <si>
    <t>PCR</t>
  </si>
  <si>
    <t>TK-8113M</t>
  </si>
  <si>
    <t>LZQ6Z08031</t>
  </si>
  <si>
    <t>TK-8113Y</t>
  </si>
  <si>
    <t>LZQ7108187</t>
  </si>
  <si>
    <t>VXB1Z00745</t>
  </si>
  <si>
    <t>ECOSYS M2640IDW/L</t>
  </si>
  <si>
    <t>VX97600168</t>
  </si>
  <si>
    <t>Dietary</t>
  </si>
  <si>
    <t>VXB3Y00818</t>
  </si>
  <si>
    <t>VXB3Y00821</t>
  </si>
  <si>
    <t>DPL (Hematology)</t>
  </si>
  <si>
    <t>ECOSYS M4132IDN</t>
  </si>
  <si>
    <t>RCY8800013</t>
  </si>
  <si>
    <t>Engineering</t>
  </si>
  <si>
    <t>VX99401133</t>
  </si>
  <si>
    <t>RCX9Z00417</t>
  </si>
  <si>
    <t>ER Admitting</t>
  </si>
  <si>
    <t>VX99401140</t>
  </si>
  <si>
    <t>LABORATORY</t>
  </si>
  <si>
    <t>VXB3Y00816</t>
  </si>
  <si>
    <t>HDU</t>
  </si>
  <si>
    <t>ECOSYS P6230CDN</t>
  </si>
  <si>
    <t>RJ68900036</t>
  </si>
  <si>
    <t>VXB1Z00735</t>
  </si>
  <si>
    <t>Hemo Dialysis NS</t>
  </si>
  <si>
    <t>RCX9600225</t>
  </si>
  <si>
    <t>SOCIAL WELFARE</t>
  </si>
  <si>
    <t>Hemo Finance</t>
  </si>
  <si>
    <t>RCX9800281</t>
  </si>
  <si>
    <t>Hemo Nurse Station</t>
  </si>
  <si>
    <t>RCX9900309</t>
  </si>
  <si>
    <t>VX99901519</t>
  </si>
  <si>
    <t>VX89402768</t>
  </si>
  <si>
    <t>PCR LABORATORY</t>
  </si>
  <si>
    <t>VVZ3801571</t>
  </si>
  <si>
    <t>FS-1060DN</t>
  </si>
  <si>
    <t>R6Z8200031</t>
  </si>
  <si>
    <t>PHIHEALTH ANNEX</t>
  </si>
  <si>
    <t>RKL0Y00067</t>
  </si>
  <si>
    <t>BILLING</t>
  </si>
  <si>
    <t>RKL0Y00110</t>
  </si>
  <si>
    <t>VXB3Y00812</t>
  </si>
  <si>
    <t>HIRM (OPD 4th Floor)</t>
  </si>
  <si>
    <t>RKL0Y00108</t>
  </si>
  <si>
    <t>HRD</t>
  </si>
  <si>
    <t>REJ0400469</t>
  </si>
  <si>
    <t>VXB3Y00817</t>
  </si>
  <si>
    <t>Human Milk Bank</t>
  </si>
  <si>
    <t>VVZ3801495</t>
  </si>
  <si>
    <t>IHOMP</t>
  </si>
  <si>
    <t>RCX1500862</t>
  </si>
  <si>
    <t>RCX1500841</t>
  </si>
  <si>
    <t>VXB1Z00739</t>
  </si>
  <si>
    <t>RCX1500839</t>
  </si>
  <si>
    <t>VXB3Y00813</t>
  </si>
  <si>
    <t>IHOMP Temp</t>
  </si>
  <si>
    <t>RCX1500840</t>
  </si>
  <si>
    <t>VXB3Y00804</t>
  </si>
  <si>
    <t>TASKALFA 181</t>
  </si>
  <si>
    <t>QVK1300251</t>
  </si>
  <si>
    <t>PHILHEALTH</t>
  </si>
  <si>
    <t>VXB3Y00792</t>
  </si>
  <si>
    <t>KM-1635</t>
  </si>
  <si>
    <t>PGE9603323</t>
  </si>
  <si>
    <t>NO RECORDS</t>
  </si>
  <si>
    <t>VXB3Y00823</t>
  </si>
  <si>
    <t>FS-1035MFP</t>
  </si>
  <si>
    <t>NW52601029</t>
  </si>
  <si>
    <t>VXB3Y00791</t>
  </si>
  <si>
    <t>KM-1820</t>
  </si>
  <si>
    <t>XJP9207026</t>
  </si>
  <si>
    <t>VXB3Y00789</t>
  </si>
  <si>
    <t>FS-1135MFP</t>
  </si>
  <si>
    <t>NW63602877</t>
  </si>
  <si>
    <t>ISO</t>
  </si>
  <si>
    <t>VXB3Y00801</t>
  </si>
  <si>
    <t>IICU 5th Floor</t>
  </si>
  <si>
    <t>NW63803372</t>
  </si>
  <si>
    <t>Laboratory</t>
  </si>
  <si>
    <t>TASKALFA 180</t>
  </si>
  <si>
    <t>QVH0Y01333</t>
  </si>
  <si>
    <t>NW63803363</t>
  </si>
  <si>
    <t>VXB3Y00806</t>
  </si>
  <si>
    <t>Laboratory Reception</t>
  </si>
  <si>
    <t>FS-1040</t>
  </si>
  <si>
    <t>L9T3Y00834</t>
  </si>
  <si>
    <t>MALASAKIT</t>
  </si>
  <si>
    <t>Medical Social Welfare</t>
  </si>
  <si>
    <t>VXB1Z00752</t>
  </si>
  <si>
    <t>NICU</t>
  </si>
  <si>
    <t>VXB3Y00787</t>
  </si>
  <si>
    <t>NICU 11 - 2nd</t>
  </si>
  <si>
    <t>VXB3Y00820</t>
  </si>
  <si>
    <t>NMB 1st</t>
  </si>
  <si>
    <t>VXB3Y00798</t>
  </si>
  <si>
    <t>NMB 2nd</t>
  </si>
  <si>
    <t>VXB3Y00797</t>
  </si>
  <si>
    <t>NMB 3rd</t>
  </si>
  <si>
    <t>VXB3Y00822</t>
  </si>
  <si>
    <t>NMB 4th</t>
  </si>
  <si>
    <t>VXB1Z00743</t>
  </si>
  <si>
    <t>NMB-CCU</t>
  </si>
  <si>
    <t>VXB1Z00746</t>
  </si>
  <si>
    <t>VXB3Y00824</t>
  </si>
  <si>
    <t>VXB2300779</t>
  </si>
  <si>
    <t>OB 1st</t>
  </si>
  <si>
    <t>VXB3Y00794</t>
  </si>
  <si>
    <t>OB Office</t>
  </si>
  <si>
    <t>VXB3Y00807</t>
  </si>
  <si>
    <t>OPD Records</t>
  </si>
  <si>
    <t>VXB3Y00808</t>
  </si>
  <si>
    <t>VXB3Y00796</t>
  </si>
  <si>
    <t>Pedia 3rd</t>
  </si>
  <si>
    <t>VVZ3801535</t>
  </si>
  <si>
    <t>Pedia Office</t>
  </si>
  <si>
    <t>Pharmacy</t>
  </si>
  <si>
    <t>VXB3Y00795</t>
  </si>
  <si>
    <t>Philhealth</t>
  </si>
  <si>
    <t>Philhealth Window 1</t>
  </si>
  <si>
    <t>VX80505788</t>
  </si>
  <si>
    <t>Procurement</t>
  </si>
  <si>
    <t>RCX9Z00429</t>
  </si>
  <si>
    <t>RCX2801204</t>
  </si>
  <si>
    <t>VVZ3801518</t>
  </si>
  <si>
    <t>REJ0400474</t>
  </si>
  <si>
    <t>Radiology</t>
  </si>
  <si>
    <t>Records Section</t>
  </si>
  <si>
    <t>VXB3Y00819</t>
  </si>
  <si>
    <t>VXB1Z00744</t>
  </si>
  <si>
    <t>Surgery 2nd</t>
  </si>
  <si>
    <t>VXB1Z00750</t>
  </si>
  <si>
    <t>Surgery Ward</t>
  </si>
  <si>
    <t>VXB3Y00793</t>
  </si>
  <si>
    <t>Toxilogy 3rd Floor</t>
  </si>
  <si>
    <t>WCPU</t>
  </si>
  <si>
    <t>VX80405581</t>
  </si>
  <si>
    <t>not found</t>
  </si>
  <si>
    <t>VX92402748</t>
  </si>
  <si>
    <t>VX92702837</t>
  </si>
  <si>
    <t>ECOSYS M3145DN</t>
  </si>
  <si>
    <t>RKP2800706</t>
  </si>
  <si>
    <t>RKP2800719</t>
  </si>
  <si>
    <t>RKP2800722</t>
  </si>
  <si>
    <t>RKP2800709</t>
  </si>
  <si>
    <t>RKP2800708</t>
  </si>
  <si>
    <t>RCX2X01225</t>
  </si>
  <si>
    <t>RCX9Z00414</t>
  </si>
  <si>
    <t>VVZ3801534</t>
  </si>
  <si>
    <t>VVZ3801543</t>
  </si>
  <si>
    <t>VVZ3801553</t>
  </si>
  <si>
    <t>VVZ3801557</t>
  </si>
  <si>
    <t>VVZ3801484</t>
  </si>
  <si>
    <t>VVZ3801540</t>
  </si>
  <si>
    <t>VXB1Z00754</t>
  </si>
  <si>
    <t>VXB1Z00738</t>
  </si>
  <si>
    <t>VXB1Z00740</t>
  </si>
  <si>
    <t>VXB2300772</t>
  </si>
  <si>
    <t>VXB2300778</t>
  </si>
  <si>
    <t>VXB2300768</t>
  </si>
  <si>
    <t>VXB2300773</t>
  </si>
  <si>
    <t>Ecosys P6230CDN</t>
  </si>
  <si>
    <t>TK-5275C</t>
  </si>
  <si>
    <t>TK-5275M</t>
  </si>
  <si>
    <t>TK-5275Y</t>
  </si>
  <si>
    <t>Toner Cartridge for the existing</t>
  </si>
  <si>
    <t>Maintenance Kit for the existing</t>
  </si>
  <si>
    <t>Qty</t>
  </si>
  <si>
    <t>Toner</t>
  </si>
  <si>
    <t>Toner Price</t>
  </si>
  <si>
    <t>Maintenance Kit</t>
  </si>
  <si>
    <t>MK Price</t>
  </si>
  <si>
    <t>Colored Toner Cartridge Set (TK-5234K, TK-5234C, TK-5234M, TK-5234Y) for the existing ECOSYS M5521CDW</t>
  </si>
  <si>
    <t>Colored Toner Cartridge Set (TK-8113K, TK-8113C, TK-8113M, TK-8113Y) for the existing ECOSYS M8124CIDN</t>
  </si>
  <si>
    <t>MK-8115A, MK-8115B Maintenance Kit for the existing ECOSYS M8124CIDN</t>
  </si>
  <si>
    <t>TK-8113C</t>
  </si>
  <si>
    <t>Colored Toner Cartridge Set (TK-5275K, TK-5275C, TK-5275M, TK-5275Y) for the existing ECOSYS P6230CDN</t>
  </si>
  <si>
    <t>APR</t>
  </si>
  <si>
    <t>PR</t>
  </si>
  <si>
    <t>A3 Black &amp; White MULTI-FUNCTIONAL
HEAVY-DUTY DIGITAL COPIER
Multi-Functional Copier/Scanner/Printer, with automatic document feeder, duplex unit, &amp; job separator; supported
paper sizes: letter, A4, legal, A3; 1 GB memory, CPU speed 1.2GHz dual-core Cortex-A9; with RJ-45 port,
Maintenance Kit capacity before replacement 300,000 copies/print; can print, save and scan via USB,
with dealer/distributor certificate for after-sales service
Warranty: 1 year on parts and 2 years on service</t>
  </si>
  <si>
    <t>A3 Full-Colour Digital Copier, Full-Colour Network Printer,&amp; Full-Colour Network Scanner
Maintenance kit life: 200,000 copies or prints
Copy or print speed: 24 pages per minute(A4)
CPU: ARM Cortex-A9 Dual-core 1.2 GHz
Memory: 1,536 MB RAM
Print resolution: 1,200 dpi x 1,200 dpi
With a 50-sheet Reversing Automatic Document Feeder
With Duplex Unit for automatic back-to-back copy or print
With Job Separator for separation of copy from print job
Functions: color copying, network color printing, network color scanning
With supplier’s dealer or distributor’s certificate from the manufacturer for after-sales service
Warranty: 1 year on parts and 2 years on service</t>
  </si>
  <si>
    <t>Base Radio dual band with antenna
Base Radio dual band with antenna</t>
  </si>
  <si>
    <t>Black &amp; White Monochrome MULTI-FUNCTIONAL MACHINE
DIGITAL COPIER, NETWORK PRINTER, NETWORK COLORED SCANNER, &amp;
NETWORK FAX in one
Copy/print/scan speed: 40 pages per minute (A4)
Memory: 512 MB
CPU: PowerPC 440 / 800 MHz speed
With Dual-scan Document Feeder and Duplex Unit
Functions: Black&amp;White copying, network printing, network colored scanning, and network fax
Scan/Print via USB flash drive memory
Print resolution: 1200 x 1200 d.p.i.
Maintenance Kit life: 100,000 copies/prints
Maximum copy/print/fax/scan size: 8.5” x 14” Legal size on the top glass &amp; Dual-scan Document Feeder
Power Consumption: Copy/Print mode: 661 W, Ready mode: 21 W, Sleep-mode: 1 W
With supplier’s dealer/distributor certificate from the manufacturer for after-sales service
One (1) paper cassette (250 sheets) and multi-purpose bypass tray (50 sheets)
Continuous copying: up to 999, 
with dealer/distributor certificate for after-sales service
1 year spare parts warranty and 2 years service warranty</t>
  </si>
  <si>
    <t>Branded Desktop Computer Set
Processor: Intel Core i7-12700F, 25MB Cache, 4.9GHz
System Memory: 16GB DDR4 3200MHz
Display Card: 4GB DDR4 Graphic Cards
Hard Drive Storage: 512GB SSD Boot Drive +
1TB HDD Sata Drive
Monitor: 24" Full HD IPS Panel, 1920 x 1080 resolution
LAN Support: 10/100/1000 Mb/s LAN Subsystem
Gigabit Ethernet Controller
With Intel Dual Band WiFi 6 AX 201 2x2 AX + 
Bluetooth 5.2
Power Supply: 350 watts High Efficiency Power Supply
Front Ports:
Two Super Speed USB 3.0 front and Two USB 2.0 ports, 2x Audio Jack Ports, 1x Type C Port
Rear Ports:
2 X USB 3.2 Gen 2x1 Type A port(s), 2 X USB2.0 port(s), 2x PS2 Ports, 3 Audio Jack Ports (Line Out/Line In/Mic In), 1 x HDMI 2.0 Port, 1 x VGA Port, 1 x Display Port, 1 x RJ45 Port
OS: Windows 11 Pro 
Additional Features: Energy Star Version 6.1
Accessories: USB Mouse, USB Keyboard, Bluetooth,
Speaker, UPS 650VA, 360 watts
Warranty: at least 3-year limited parts warranty
and services</t>
  </si>
  <si>
    <t>Branded Laptop
Core i7-1195G7 processor 2.9 GHz, at least 16GB DDR4 (8GB of onboard DDR4 system memory + 8GB of dual-channel DDR4), 1TB NVMe SSD, 15.6 inches display Full HD 1920 x 1080, Intel Iris Xe Graphics, Genuine Windows 11 Pro or higher
Gigabit Ethernet, Wi-Fi  6
with Charger
Warranty: at least 1-year limited parts warranty
and services</t>
  </si>
  <si>
    <t>Camera DSLR
18-55mm IS STM Black
Type: Digital AF/AE single-lens reflex camera with built-in flash
Recording Media: SD/SDHC/SDXC memory cards
SD speed class-compatible; UHS-I compatible; Compatible with Eye-Fi cards.
Image Format: Approx. 22.3 x 14.9mm (APS-C) 
Compatible Lenses: EF lenses (including EF-S lenses, excluding EF-M lenses)
Lens Mount: EF mount
Accessories: AC Adapter AC-E6N and Charger; Camera Bag</t>
  </si>
  <si>
    <t>Core Stackable Managed Switch with 20x10G SFP+ Module for Multimode fiber compatible with the existing CBS350-24XS
Switching Capacity in Gigabits per Second: 480 Gbps
Up to 4 units in a stack
24 x 10 Gigabit SFP+
4 x 10 Gigabit copper ports (combo with 4 x SFP+)
1 x GE management port
Rack-mountable
Inclusion: 2x Direct-Attach Twinax Copper Cable Assembly with SFP+ Connectors SFP-H10GB-CU1M
Warranty: 1 year or more</t>
  </si>
  <si>
    <t>Desktop Type Document Scanner
Type: Desktop Type Sheet Fed Scanner
Scanning sensor unit: CMOS CIS 1 Line Sensor
Optical resolution: 600dpi or more
Light source: RGB LED
Scanning side: Front / Back / Duplex
Interface: USB 2.0 (USB 3.0 compatible)
SCANNING SPEED
   Black and White: 60ppm / 120ipm or more
   Colour: 60ppm / 120ipm or more
Compatible with the existing software CaptureOnTouch Pro
Warranty: 1 year or more</t>
  </si>
  <si>
    <t>Distribution Stackable Managed Switch with 4x10G SFP+ Module for Multimode fiber compatible with the existing CBS350-24FP-4X
Switching Capacity in Gigabits per Second: 128 Gbps
Up to 4 units in a stack
24 10/100/1000 PoE+ ports with 370W power budget
4 10 Gigabit SFP+
Rack-mountable
Warranty: 1 year or more</t>
  </si>
  <si>
    <t>Fortinet Firewall Annual Subscription, Website Hosting &amp; SMS, Google, ZOOM Subscription, Software as a service (SaaS)
Fortinet Firewall Annual Subscription, Website Hosting &amp; SMS, ZOOM Subscription</t>
  </si>
  <si>
    <t>Fortinet Firewall with Annual Subscription and 4x10G SFP+ transceiver module compatible with the existing FortiGATE-601E for HA configuration and deployment.
Fortinet Firewall with Annual Subscription and 4x10G SFP+ transceiver module compatible with the existing FortiGATE-601E for HA configuration and deployment.
Includes installation, commissioning, configuration, testing, training with certification and documentation.</t>
  </si>
  <si>
    <t>Maintenance and Upgrade of Desktop, Laptop, Server, DOH/DICT Cybersecurity Equipment compliance, Copier, Printer, Network, PABX, CCTV and Paging System
Maintenance and Upgrade of Desktop, Laptop, Server, Copier, Printer, Network, PABX, CCTV and Paging System</t>
  </si>
  <si>
    <t>Maintenance Kit for the existing TASKALFA 3212I
MK-7129</t>
  </si>
  <si>
    <t>Multimedia Controller
c/o Sir Ian</t>
  </si>
  <si>
    <t>Smart Phone Bill for Telemedicine
Smart Phone Bill for Telemedicine</t>
  </si>
  <si>
    <t>10 GE SFP+ transceiver module compatible with the existing FortiGATE-601E Firewall
10 GE SFP+ transceiver module, short range for all systems with SFP+ and SFP/SFP+ slots
Compatible with the existing Firewall FortiGate-601E</t>
  </si>
  <si>
    <t>10TB Surveillance Hard Drive SATA
Surveillance Hard Drive - SATA 6Gb/s 3.5-Inch for existing CCTV NVR</t>
  </si>
  <si>
    <t>16GB Flash Drive
Capacities: 16GB; Branded
Compatability: USB 2.0 port required for high-speed transfer
Warranty: 1 year or more</t>
  </si>
  <si>
    <t>19 inches Universal PDU 6 outlets with surge protection SPD module
19 inches Universal PDU 6 outlets with surge protection SPD module</t>
  </si>
  <si>
    <t>1TB Portable SSD
Capacity: 1TB
Interface: USB 3.2 Gen 2
Connector: USB-C
Durability: IP55-rated for water and dust resistance
Warranty: 2 years or more
Inclusion: USB-C to USB-C Cable, USB-C to USB-A Adaptor
Warranty: 1 year or more</t>
  </si>
  <si>
    <t>1TB Slim Portable Hard Drive External HDD
USB Type micro USB to USB Type A
Connection Interface USB 3.1 Gen 1
Capacity 1 TB
Storage Media 2.5" HDD
Warranty: 2 years or more</t>
  </si>
  <si>
    <t>2 port Wall Faceplate With Mounting Junction Box 
AMPCOM 86-type Wall Faceplate With Mounting Junction Box , Networking Telephone Socket Outlet Mount Panel For RJ45 RJ11 Module</t>
  </si>
  <si>
    <t>2.5 &amp; 3.5 Inch SATA2.0 USB3.0 1 to 3 Clone External Hard Drive Dock
Size: 2.5 &amp; 3.5 inch HDD/SSD
Output Interface: USB3.0
Clone: 1 to 3 Standalone Clone
HDD Interface: SATA I, SATA II
Power Supply: 12V6A
Data Cable: 3Ft. or more USB3.0</t>
  </si>
  <si>
    <t>21.5" FHD LED Monitor
Screen Size: 21.5"
Maximum Resolution: (Full HD)1920 x 1080
Aspect Ratio: 16:9
Backlight: LED
Panel Type: TN (Twisted Nematic Film)
Ports &amp; Connectors: VGA, HDMI
Warranty: 1 year or more</t>
  </si>
  <si>
    <t>27inch Curved Monitor
Panel Size (inch) : 27
Aspect Ratio : 16:9
Display Surface : Non-Glare
Backlight Type : LED
Panel Type : VA
Resolution : 1920x1080
Curvature : 1500R
Refresh Rate (Max) : 165Hz
HDMI x 1, VGA x 1
VESA Wall Mounting 100x100mm
Warranty: 1 year or more</t>
  </si>
  <si>
    <t>2TB Slim Portable Hard Drive External HDD
USB Type micro USB to USB Type A
Connection Interface USB 3.1 Gen 1
Capacity 2 TB
Storage Media 2.5" HDD
Warranty: 2 years or more</t>
  </si>
  <si>
    <t>30M Gigabit Cat6 Ethernet Patch Cable with RJ45 CAT6 High Quality
Gigabit Speed and Ready to Use Cable
Cable Category: Cat6/Cat6e
Machine Crimped</t>
  </si>
  <si>
    <t>32GB Flash Drive
Capacities: 32GB; Branded
Compatability: USB 2.0 port required for high-speed transfer
Warranty: 1 year or more</t>
  </si>
  <si>
    <t>3M Gigabit Cat6 Ethernet Patch Cable with RJ45 CAT6 High Quality
Gigabit Speed and Ready to Use Cable
Cable Category: Cat6/Cat6e
Machine Crimped</t>
  </si>
  <si>
    <t>42U Server Data Rack
42U Server Data Rack / Data Cabinet/Server Rack Cabinet/Network Cabine /Organizer of Critical IT Systems/With 8 Slot PDU, Lock, (Shelf/Width:600mm,  Depth 1000mm, Height:2000mm) / Heavy-duty SPCC Cold Rolled Steel Material. Full 75% Honeycomb double-section perforation Rear Door for maximised ventilation. Includes trays, power strip, ventilation fan tray &amp; cagenuts assembly. Thickness: Mounting Profile at least 2.0mm, 19-inch Panel Mounting 1.5mm, Others 1.2mm</t>
  </si>
  <si>
    <t>480GB 2.5" Internal SSD
Form factor: 2.5”
Interface: SATA Rev. 3.0 (6Gb/s) – with backwards compatibility to SATA Rev. 2.0 (3Gb/s)
Capacities: 480GB or more
Baseline performance: up to 450MB/s read/write or more
Warranty: 2 years or more</t>
  </si>
  <si>
    <t>550 Watt 80 Plus Bronze Certified PSU ATX 
PSU Form Factor: ATX
Continuous power W: 550 Watts True Rated
ATX Connector: 1
80 PLUS Efficiency: Bronze
Warranty: 2 Years or more</t>
  </si>
  <si>
    <t>5M Gigabit Cat6 Ethernet Patch Cable with RJ45 CAT6 High Quality
Gigabit Speed and Ready to Use Cable
Cable Category: Cat6/Cat6e
Machine Crimped</t>
  </si>
  <si>
    <t>64GB Flash Drive
Capacities: 64GB; Branded
Compatability: USB 2.0 port required for high-speed transfer
Warranty: 1 year or more</t>
  </si>
  <si>
    <t>7.0 Ah Replacement Battery (For UPS)
Battery type: Lead-acid battery
Battery capacity: 7.0 Ah
Battery voltage: 12 V
Note: Compatible with the existing BX625CI-MS
Warranty: 2 years or more</t>
  </si>
  <si>
    <t>8-Port Gigabit L2 Managed Switch with 2 SFP Slots
8 10/100/1000Mbps RJ45 Ports
(Auto Negotiation/Auto MDI/MDIX)
2 1000Mbps SFP Slots
Bandwidth: 20Gbps or more
Supports up to 4K VLANs simultaneously
Fan Quantity: Fanless
Inclusion: Power Cord; Rackmount Kit
Warranty: 1 year or more</t>
  </si>
  <si>
    <t>Aluminum Step Ladder, FT-6 (6 Steps)
Height when opened: 1.30m or more (From Top Platform to Ground)
Foldable and lightweight
Load Capacity: 300 lbs or more
22" or more Tall Extended Handrail and Extra Large Platform Area
Main Material: High Strength Aluminum</t>
  </si>
  <si>
    <t>Android Tablet 10.5"
Octa core processor
10", Wi-Fi [4GB RAM + 64GB ROM] or more
8.0 MP Rear Camera - Resolution
Quad Speakers with sound by Dolby Atmos</t>
  </si>
  <si>
    <t>BATTERY 9V
Classification: Alkaline
Chemical System: Zinc-Manganese Dioxide (Zn/MnO2)
Nominal Voltage: 9 volts
Terminal: Miniature Snap</t>
  </si>
  <si>
    <t>BATTERY AA 2S (2pcs/pack)
Classification: Alkaline
Chemical System: Zinc-Manganese Dioxide (Zn/MnO2)
Nominal Voltage: 1.5 volts
Terminal: Flat Contact</t>
  </si>
  <si>
    <t>BATTERY AAA 4S (2pcs/pack)
Classification: Alkaline
Chemical System: Zinc-Manganese Dioxide (Zn/MnO2)
Nominal Voltage: 1.5 volts
Terminal: Flat Contact</t>
  </si>
  <si>
    <t>Black &amp; White LASER NETWORK PRINTER with DUPLEX PRINTING
Print speed: 40 pages per minute (A4)
Memory: 256 MB
Processor: Cortex A9, 800 MHz
Maintenance Kit Life: 100,000 pages
With Network Printing and Duplex Printing(automatic double-sided printing)
Maximum print size: Legal size 8.5.” x 14”
One paper cassette (250 sheets) and multi-purpose tray (100 sheets)
Print resolution: up to 1,200 d.p.i.
Standard interface: USB 2.0 (Hi-Speed), USB Host Interface, Gigabit Ethernet
with dealer/distributor certificate for after-sales service
2 years spare parts warranty and 2 years service warranty</t>
  </si>
  <si>
    <t>Black Nylon Cable Tie 2.5 x 100mm 100pcs/pack 
Black Nylon Cable Tie 2.5 x 100mm</t>
  </si>
  <si>
    <t>Black Nylon Cable Tie 2.5 x 140mm 100pcs/pack 
Black Nylon Cable Tie 2.5 x 140mm</t>
  </si>
  <si>
    <t>Black Nylon Cable Tie 3.6 x 140mm 100pcs/pack 
Black Nylon Cable Tie 3.6 x 140mm</t>
  </si>
  <si>
    <t>Black Nylon Cable Tie 3.6 x 200mm 100pcs/pack 
Black Nylon Cable Tie 3.6 x 200mm</t>
  </si>
  <si>
    <t>Black Nylon Cable Tie 3.6 x 300mm 100pcs/pack 
Black Nylon Cable Tie 3.6 x 300mm</t>
  </si>
  <si>
    <t>Black Nylon Cable Tie 4.8 x 200mm 100pcs/pack 
Black Nylon Cable Tie 4.8 x 200mm</t>
  </si>
  <si>
    <t>Black Nylon Cable Tie 4.8 x 250mm 100pcs/pack 
Black Nylon Cable Tie 4.8 x 250mm</t>
  </si>
  <si>
    <t>Black Nylon Cable Tie 4.8 x 300mm 100pcs/pack 
Black Nylon Cable Tie 4.8 x 300mm</t>
  </si>
  <si>
    <t>Black Nylon Cable Tie 4.8 x 400mm 100pcs/pack 
Black Nylon Cable Tie 4.8 x 400mm</t>
  </si>
  <si>
    <t>Black Original LaserJet Toner Cartridge
HP 80A Black Original LaserJet Toner Cartridge, CF280A</t>
  </si>
  <si>
    <t>Bolt Expansion Sleeve Anchor Concrete 1/4"
Bolt Expansion Sleeve Anchor Concrete 1/4"</t>
  </si>
  <si>
    <t>Bolt Expansion Sleeve Anchor Concrete 5/16"
Bolt Expansion Sleeve Anchor Concrete 5/16"</t>
  </si>
  <si>
    <t>Brother Genuine Ink BT5000C
Brother Genuine Ink BT5000C for existing BROTHER Printer</t>
  </si>
  <si>
    <t>Brother Genuine Ink BT5000M
Brother Genuine Ink BT5000M for existing BROTHER Printer</t>
  </si>
  <si>
    <t>Brother Genuine Ink BT5000Y
Brother Genuine Ink BT5000Y for existing BROTHER Printer</t>
  </si>
  <si>
    <t>Brother Genuine Ink BT6000BK
Brother Genuine Ink BT5000BK for existing BROTHER Printer</t>
  </si>
  <si>
    <t>CAT6 Cable, UTP, OUTDOOR 305 meters (Pure Copper)
Conductor size:  23AWG
No. of Conductor:  4P</t>
  </si>
  <si>
    <t>CCTV Outdoor Junction Box 100x100x70mm
CCTV Outdoor Junction Box IP65 Weather Water Proof Enclosure with Rubber Gasket &amp; Screws</t>
  </si>
  <si>
    <t xml:space="preserve">Cellphone (Android)
</t>
  </si>
  <si>
    <t>Collapsible Hand Truck
Heavy duty metal coated
70kg max capacity or more
Folds for compact storage
Light weight</t>
  </si>
  <si>
    <t>Colored Toner Cartridge Set for the existing ECOSYS M5521CDW
TK-5234C, TK-5234M, TK-5234Y</t>
  </si>
  <si>
    <t>Colored Toner Cartridge Set for the existing ECOSYS M8124CIDN
TK-8113C, TK-8113M, TK-8113Y</t>
  </si>
  <si>
    <t>Colored Toner Cartridge Set for the existing ECOSYS P6230CDN
TK-5275C, TK-5275M, TK-5275Y</t>
  </si>
  <si>
    <t>Cordless Blower 18V
Voltage 18v
Max air velocity 98 m/sec or more
Air volume setting dial 3 settings
No Load Speed 0 - 18,000 rpm or more
Includes: 1 x Li-ion Battery 3.0Ah 18V, 1 x Fast Charger, 1 x Battery Cover, Compatible with 18V LXT Tools
Warranty: 1 year or more</t>
  </si>
  <si>
    <t>Cordless Screwdriver Kit Set
Torque (soft/hard): 2.5/5 Nm or more
Battery type: Lithium-ion
Battery voltage: 3.6 V
Max. screw diameter: 5 mm or more
Packaging dimensions (width x length x height): 
162-167mm x 280-285mm x 90-95 mm
Warranty: 1 year or more</t>
  </si>
  <si>
    <t>Desktop Gooseneck Condenser Microphone
Gooseneck Condenser Microphone 18" Podium Microphones with Base LED Indicator XLR Mic
with AAA Battery*2
48V Phantom Power</t>
  </si>
  <si>
    <t>Dot Matrix Printer 24-Pin
Print Method Impact dot matrix
Number of Pins in Head: 24 pins
Print Direction: Bi-direction with logic seeking
Paper Handling
Paper Path
   Tractor: Rear in, Top out; Manual Insertion: Rear in, Top out
Paper Feeding
   Standard Friction, Push Tractor
Interface
   Standard: Bi-directional parallel interface; USB 2.0 Full-Speed; Serial
Compatible with the existing Fabric Ribbon Cartridge (Black) S015634
Warranty: 1 year or more</t>
  </si>
  <si>
    <t>Epson Genuine Ink (003) Black
Epson Genuine Ink (003) Black for existing Epson L3100, L3101, L3110, L3150</t>
  </si>
  <si>
    <t>Epson Genuine Ink (003) Cyan
Epson Genuine Ink (003) Cyan for existing Epson L3100, L3101, L3110, L3150</t>
  </si>
  <si>
    <t>Epson Genuine Ink (003) Magenta
Epson Genuine Ink (003) Magenta for existing Epson L3100, L3101, L3110, L3150</t>
  </si>
  <si>
    <t>Epson Genuine Ink (003) Yellow
Epson Genuine Ink (003) Yellow for existing Epson L3100, L3101, L3110, L3150</t>
  </si>
  <si>
    <t>Epson Genuine Ink T6641 Black
Epson Genuine Ink T6641 Black for existing EPSON Printer</t>
  </si>
  <si>
    <t>Epson Genuine Ink T6642 Cyan
Epson Genuine Ink T6642 Cyan for existing EPSON Printer</t>
  </si>
  <si>
    <t>Epson Genuine Ink T6643 Magenta
Epson Genuine Ink T6643 Magenta for existing EPSON Printer</t>
  </si>
  <si>
    <t>Epson Genuine Ink T6644 Yellow
Epson Genuine Ink T6644 Yellow for existing EPSON Printer</t>
  </si>
  <si>
    <t>Epson L Series Pickup Roller / feeder
Epson L Series Pickup Roller / feeder L110, L360, L300, L310 L120, L210, L220</t>
  </si>
  <si>
    <t>EPSON LQ310 Ribbon Cartridge (SO15634)
EPSON LQ310 Ribbon Cartridge (SO15634) for existing EPSON LQ310</t>
  </si>
  <si>
    <t>Ergonomic Chair Design Metal Base
Ergonomic Design with Thick Cushion and Breathable Mesh
High Back Design with Headrest
Chromed Steel Base &amp; Nylon Casters
Pneumatic Height Adjustment
360 Degrees Swivel Function</t>
  </si>
  <si>
    <t>Extreme Instant Glue Gel 3g
Impact, heat, and water resistant
Bonds metal, rubber, porcelain, wood, and most plastics</t>
  </si>
  <si>
    <t>Flex cable set compatible for printer
Flex cable set compatible with the existing Epson L3110</t>
  </si>
  <si>
    <t>Foldable Platform Truck, 300kgs (Steel)
Loading Capacity: 300 kg
Wheel Size: 5”</t>
  </si>
  <si>
    <t>Gigabit PCI Express Network Adapter
32-bit PCI Express
1 10/100/1000Mbps RJ45 port
Wake-on-LAN</t>
  </si>
  <si>
    <t>Hand-Held Radio dual band
Hand-Held Radio dual band</t>
  </si>
  <si>
    <t>HDMI 2.0 Cable 4K 10m
HDMI 2.0 Cable 4K HDMI Male to Male High Speed HDMI Adapter
10 Meter</t>
  </si>
  <si>
    <t>HDMI 2.0 Cable 4K 1m
HDMI 2.0 Cable 4K HDMI Male to Male High Speed HDMI Adapter
1 Meter</t>
  </si>
  <si>
    <t>HP 107A Black Original Laser Toner Cartridge
HP 107A Black Original Laser Toner Cartridge</t>
  </si>
  <si>
    <t>HP 17A Black Original LaserJet Toner Cartridge
HP 17A Black Original LaserJet Toner Cartridge, CF217A</t>
  </si>
  <si>
    <t>HP 680 Black Original Ink Advantage Cartridge
HP 680 Black Original Ink Advantage Cartridge</t>
  </si>
  <si>
    <t>HP 680 Tri-Color Ink Cartridge
HP 680 Tri-Color Ink Cartridge</t>
  </si>
  <si>
    <t>HP 85A Black Original LaserJet Toner Cartridge
HP 85A Black Original LaserJet Toner Cartridge, CE285A</t>
  </si>
  <si>
    <t>HP Genuine Ink Refill - (GT52) Cyan
HP Genuine Ink Refill - (GT52) Cyan for existing HP Smart Tank 500 Series Printer</t>
  </si>
  <si>
    <t>HP Genuine Ink Refill - (GT52) Magenta
HP Genuine Ink Refill - (GT52) Magenta for existing HP Smart Tank 500 Series Printer</t>
  </si>
  <si>
    <t>HP Genuine Ink Refill - (GT52) Yellow
HP Genuine Ink Refill - (GT52) Yellow for existing HP Smart Tank 500 Series Printer</t>
  </si>
  <si>
    <t>HP Genuine Ink Refill - (GT53) Black
HP Genuine Ink Refill - (GT53) Black for existing HP Smart Tank 500 Series Printer</t>
  </si>
  <si>
    <t>HP Printhead Black compatible with the existing HP Smart Tank 515
HP Printhead Black compatible with the existing HP Smart Tank 515</t>
  </si>
  <si>
    <t>HP Printhead Tri-color compatible with the existing HP Smart Tank 515
HP Printhead Tri-color compatible with the existing HP Smart Tank 515</t>
  </si>
  <si>
    <t>ID Card Printer Genuine Color Ribbon (650643)
IDP 650634 Full-Color YMCKO ribbon produces 250 images
Compatible with existing IDP SMART 30S, SMART 30D, SMART 50S, SMART 50D and SMART 50L card printers
Includes built-in cleaning roller</t>
  </si>
  <si>
    <t>Ink Tank Printer
Print speed of up to 9.0 ipm (black) and 4.8 ipm (colour)
Ultra-high page yield of 4,500 pages (black) and 7,500 pages (colour)
2-year warranty or 20,000 pages, whichever comes first</t>
  </si>
  <si>
    <t>Keyboard, Full Size, USB 2.0
Natural Comfort Roundedge Keycaps, Laser Inscribed Keys, Drain Holes Design USB Wired Keyboard (BLACK)</t>
  </si>
  <si>
    <t>Laminated 12mm Black on White label tape
Laminated 12mm Black on White label tape compatible with the existing brother Label Maker PT-D400</t>
  </si>
  <si>
    <t>M6 Cabinet Screws 100pcs/pack
M6 x 16mm Rack Mount Cage Nuts, Screws And Washers For Rack Mount Server Cabinet</t>
  </si>
  <si>
    <t>Maintenance Kit for the existing ECOSYS M2535DN/L
MK-1147</t>
  </si>
  <si>
    <t>Maintenance Kit for the existing ECOSYS M3645DN
MK-3165</t>
  </si>
  <si>
    <t>Maintenance Kit for the existing ECOSYS M4125IDN
MK-6119</t>
  </si>
  <si>
    <t>Maintenance Kit for the existing ECOSYS M4132IDN
MK-6119</t>
  </si>
  <si>
    <t>Maintenance Kit for the existing FS-6525MFP
MK-479</t>
  </si>
  <si>
    <t>Mini PC
Intel Core i5 12th Gen Processor or higher
10 Cores 12 Threads or higher
Base frequency: 3.3 GHz or higher
Max Turbo Frequency : 4.4 GHz or higher
16GB 3200MHZ DDR4
500GB NVMe M.2 SSD or higher
Support 4K video output to three displays simultaneously
Multi-channel audio output via HDMI or DisplayPort
Support Windows 11
WiFi 6+Bluetooth 5.2 or higher</t>
  </si>
  <si>
    <t>Mouse, Optical, USB 2.0
2x-Button, 4-Way Wheel, 1000 DPI, Durable Button Life, Dust-Resistant Wheel, Plug and Play, Screen Capture, Wired USB Mouse (Black)</t>
  </si>
  <si>
    <t>Network Cable Tester RJ45 RJ11 Network LAN Ethernet
Support testing RJ1 / RJ12 / RJ45 interface
Powered by a 9V battery;Powered by the type-c port charging;With a type-c cable in package
Emergency Lighting Function: The flashlight switch is located on the left side of the host
The tester can test unshielded cables and shielded cables
UTP: The lights of the main tester will turn on sequentiy from 1 to 8.
STP: The lights of the main tester will turn on sequentiy from 1 to G.
Warranty: 1 year or more</t>
  </si>
  <si>
    <t>Nylon Zip Ties Cable Label Mark Tags 100pcs/pack
Self-Locking White</t>
  </si>
  <si>
    <t>ONER CARTRIDGE, (TN263M) Magenta
BROTHER TN- 263 TONER CARTRIDGE, (TN263M) Magenta</t>
  </si>
  <si>
    <t xml:space="preserve">Paper feeder rubber set for printer
Paper feeder rubber set compatible with the existing Epson L3110, L3210 </t>
  </si>
  <si>
    <t>PC-Connectable Label Maker with 10pcs 12mm Laminated Tape
Full-color graphical display: View label appearance before printing
PC-Connectable: Use stand-alone, or connected to a PC or Mac for added design capabilities
Multi-line labels: Prints labels with up to 7 lines of text
Includes: 10pcs 12mm TZe231 laminated tape, USB cable and AC power adapter
Warranty: 1 year or more</t>
  </si>
  <si>
    <t>Printable PVC Pre-Cut Cards
For direct ID Printing
High glossy output
size: 85-87mmx53-55mm</t>
  </si>
  <si>
    <t>Professional Presenter Wireless Presentation Clicker Remote
Laser Class: Class 2 laser
Max output: Less than 1m W
Wave Length: 522～542 nm (green light)
Battery type: 2 AAA batteries
Wireless technology: 2.4 GHz wireless technology
Warranty: 2 years or more</t>
  </si>
  <si>
    <t>Projector
Projection System: 3LCD, 3-chip technology
Native Resolution: 1024 x 768 (XGA)
Color Brightness: 3600 lumens or more
White Brightness: 3600 lumens or more
Aspect Ratio: 4:3
USB Type B: 1
Analog Input: D-Sub 15pin: 1
Digital Input: HDMI: 1
Warranty: 1 year or more</t>
  </si>
  <si>
    <t>PVC Cable Tray (2mtr)
80mmx80mm PVC Cable Tray/Duct Slotted PVC (White or Light Gray)</t>
  </si>
  <si>
    <t>Replacement Battery APCRBC175 for the existing BVX1200LI-MS
Battery type: Lead-acid battery
Battery capacity: 9.0 Ah
Battery voltage: 12 V
Warranty: 2 years or more</t>
  </si>
  <si>
    <t>Rj11 Connector
6P6C Telephone Connector, High Quality</t>
  </si>
  <si>
    <t>RJ11 Telephone Converter 10pcs/pack
RJ11 Telephone Converter RJ-11 Classic 6 Pins Female 1 to 3 Telephone Phone Cable Line Splitter Adapter</t>
  </si>
  <si>
    <t>RJ45 Connector Crimp Connection Terminals 100pcs/pack
Rj45 Connector Crimp Connection Terminals Connector Waterproof Connectors</t>
  </si>
  <si>
    <t>Rj45 Connectors for CAT6 (100pcs Clear)
Rj45 Connectors high quality</t>
  </si>
  <si>
    <t>RJ45 Coupler, 8P8C Female Extender LAN Connector
RJ45 Coupler, 8P8C Female Extender LAN Connector Inline CAT6A/CAT6/CAT5E Ethernet Cable-Lightning Protection</t>
  </si>
  <si>
    <t>RJ45 Crimp Tool Pass Through Cat5 Cat5e Cat6
Crimper Cutter Stripper for RJ45 RJ12 RJ11 8P 6P End Pass Through connector
High Carbon Steel and PVC Non-slip Handle</t>
  </si>
  <si>
    <t>Single Line Telephone (Black)
3 Programmable Ringer Tones; 
Adjustable Ringer/Handset Volume; 
Time Flash; 
Switchable Tone or Pulse Dialing;
Compatible with the existing NEC SV9100 Communication Server ; With at least 1 year warranty.
Warranty: 1 year or more</t>
  </si>
  <si>
    <t>Stereo Digital Voice Recorder with Built-in USB
Battery Type: Dry Battery
Battery Type (Provided): AAA X2
Built-In Memory: 4 GB Internal Memory, Expandable To 32 GB With Micro Sd
Built-In Microphone: Stereo
Pc Connectivity: Yes
Input And Output Terminals
Hi-Speed Usb [Input] Stereo Mic-In Jack [Output] Stereo Earphone Jack
Warranty: 1 year or more</t>
  </si>
  <si>
    <t>Stereo Speakers
Total Watt (RMS): approximately 1.2W (varies by power source)
3.5 mm input: 1
USB cable for power: 1
Controls: Power and volume controls on right speaker
Warranty: 2 years or more</t>
  </si>
  <si>
    <t>Telephone Wire (3mtrs)
RJ11 To RJ11 Cable Telephone Wire Ready-To-Use</t>
  </si>
  <si>
    <t>Thermal POS Receipt Printer
Print Method: Thermal line printing
Print Font
   Font: 9 × 17 / 12 × 24
   Column Capacity: 56 / 42 columns
Interface: Built-in USB (Type A &amp; Type B) + Built-in Ethernet
+ UIB (Serial or Parallel)
Print Speed: Max. 350 mm/sec. or more
CPU: ARM Cortex-A5 384 MHz or higher
Warranty: 1 year or more</t>
  </si>
  <si>
    <t>Toner Cartridge for the existing Brother DCP L2540DW
BROTHER TN-2360 TONER CARTRIDGE</t>
  </si>
  <si>
    <t>Toner Cartridge for the existing Canon Imageclass MF543x
Canon Cartridge 056</t>
  </si>
  <si>
    <t>Toner Cartridge for the existing ECOSYS M2535DN/L
TK-1147</t>
  </si>
  <si>
    <t>Toner Cartridge for the existing ECOSYS M2540DN/L
TK-1175</t>
  </si>
  <si>
    <t>Toner Cartridge for the existing ECOSYS M2640IDW/L
TK-1175</t>
  </si>
  <si>
    <t>Toner Cartridge for the existing ECOSYS M3145DN
TK-3165</t>
  </si>
  <si>
    <t>Toner Cartridge for the existing ECOSYS M3645DN
TK-3165</t>
  </si>
  <si>
    <t>Toner Cartridge for the existing ECOSYS M4125IDN
TK-6113</t>
  </si>
  <si>
    <t>Toner Cartridge for the existing ECOSYS M4132IDN
TK-6113</t>
  </si>
  <si>
    <t>Toner Cartridge for the existing ECOSYS M5521CDW
TK-5234K</t>
  </si>
  <si>
    <t>Toner Cartridge for the existing ECOSYS M8124CIDN
TK-8113K</t>
  </si>
  <si>
    <t>Toner Cartridge for the existing ECOSYS P2040DN
TK-1168</t>
  </si>
  <si>
    <t>Toner Cartridge for the existing ECOSYS P6230CDN
TK-5275K</t>
  </si>
  <si>
    <t>Toner Cartridge for the existing FS-6525MFP
TK-479</t>
  </si>
  <si>
    <t>Toner Cartridge for the existing TASKALFA 3212I
TK-7120</t>
  </si>
  <si>
    <t>TONER CARTRIDGE, (TN263BK) Black
BROTHER TN- 263 TONER CARTRIDGE, (TN263BK) Black</t>
  </si>
  <si>
    <t>TONER CARTRIDGE, (TN263C) Cyan
BROTHER TN- 263 TONER CARTRIDGE, (TN263C) Cyan</t>
  </si>
  <si>
    <t>TONER CARTRIDGE, (TN263Y) Yellow
BROTHER TN- 263 TONER CARTRIDGE, (TN263Y) Yellow</t>
  </si>
  <si>
    <t>Touch-style Fingerprint Reader
Pixel resolution: 500dpi (native), 1000dpi (interpolated) or more
Scan capture area: 12.8-13.8 mm x 16.5-17.5 mm
8-bit grayscale (256 gray levels)
Reader size (approximate): 72-73 mm x 39-40 mm x 21.7-22.7 mm
IP64 rated
PIV-certified
USB 2.0 (High Speed)
Warranty: 1 year or more</t>
  </si>
  <si>
    <t>Tox with Screw 6mm (50pcs)
Tox with Screw 6mm (50pcs)</t>
  </si>
  <si>
    <t>UPS 650VA, AVR, 230V
Rated power in W: 360W
Power socket outlets: 4 NEMA 5-15R
Cable length: at least 1m
Number of cables: 1
Battery type: Lead-acid battery
Warranty: 2 years or more</t>
  </si>
  <si>
    <t>USB Computer Headset
Plug-and-play USB-A connection and a noise-canceling mic w/ In-line controls
Microphone Type: Bi-directional
Input Impedance: 32 Ohm
Frequency response (Headset): 20 Hz - 20 KHz
Frequency response (Microphone): 100 Hz - 10 KHz
Warranty: 2 years or more</t>
  </si>
  <si>
    <t>VDE Insulated Flat Phillips Handle Screwdrivers Set Insulated
3 pcs insulated slotted screwdrivers: 3x75mm, 4x100mm, 5.5x125mm
2 pcs insulated phillips screwdrivers: PH1x80mm, PH2x100mm
1pc 3.0x140mm voltage tester 125-250V</t>
  </si>
  <si>
    <t>Walkie Talkie Dual Band Handheld Two Way Radio
Frequency range: VHF/UHF136-174Mhz &amp; 400-520Mhz
[TX] 136 – 174MHz, 400 – 520MHz
[RX] 136 – 174MHz, 400 – 520MHz
Channel Capacity: 128 Channels
Battery: 1500mAh
Output power: 5W / 1W
Warranty: 1 year or more</t>
  </si>
  <si>
    <t>Webcam Professional Full HD
Full HD Camera with USB-C 
Length: 5 ft (1.5 m) USB - C3.1 cable or more
Max Video Resolution: 1080p/60 fps in MJPEG
Premium Full HD Glass lens
f/2.0 - focal length 3.7 mm
Dual omnidirectional mic with noise reduction filter
Warranty: 1 year or more</t>
  </si>
  <si>
    <t>White Nylon Cable Tie 2.5 x 100mm 100pcs/pack
White Nylon Cable Tie 2.5 x 100mm</t>
  </si>
  <si>
    <t>White Nylon Cable Tie 2.5 x 140mm 100pcs/pack
White Nylon Cable Tie 2.5 x 140mm</t>
  </si>
  <si>
    <t>White Nylon Cable Tie 3.6 x 140mm 100pcs/pack
White Nylon Cable Tie 3.6 x 140mm</t>
  </si>
  <si>
    <t>White Nylon Cable Tie 3.6 x 200mm 100pcs/pack
White Nylon Cable Tie 3.6 x 200mm</t>
  </si>
  <si>
    <t>White Nylon Cable Tie 3.6 x 300mm 100pcs/pack
White Nylon Cable Tie 3.6 x 300mm</t>
  </si>
  <si>
    <t>White Nylon Cable Tie 4.8 x 200mm 100pcs/pack
White Nylon Cable Tie 4.8 x 200mm</t>
  </si>
  <si>
    <t>White Nylon Cable Tie 4.8 x 250mm 100pcs/pack
White Nylon Cable Tie 4.8 x 250mm</t>
  </si>
  <si>
    <t>White Nylon Cable Tie 4.8 x 300mm 100pcs/pack
White Nylon Cable Tie 4.8 x 300mm</t>
  </si>
  <si>
    <t>White Nylon Cable Tie 4.8 x 400mm 100pcs/pack
White Nylon Cable Tie 4.8 x 400mm</t>
  </si>
  <si>
    <t>WiFi 6 Access Point Dual-band 
Networking interface: (1) GbE RJ45 port
Power method: PoE+
Power supply: 48V, 0.5A PoE adapter
Dual-band WiFi 6 (802.11ax)
5 GHz (4x4 MU-MIMO and OFDMA)
2.4 GHz (2x2 MU-MIMO and OFDMA)
Included universal mounting plate, backing plate, and screw kit
Compatible with the existing UniFi Network Application
Warranty: 1 year or more</t>
  </si>
  <si>
    <t>Wired USB Numeric Keypad (Black)
Sleek Round-Square Keycaps
Cable Length: 120 cm or higher
Compatible Windows XP / Vista / 7 / 8 / 8.1 / 10  or higher</t>
  </si>
  <si>
    <t>Distribution Stackable Managed Switch</t>
  </si>
  <si>
    <t>DSLR Camera</t>
  </si>
  <si>
    <t>Fortinet Firewall Annual Subscription, Website Hosting &amp; SMS, Google, ZOOM Subscription</t>
  </si>
  <si>
    <t>HP 680 Colored</t>
  </si>
  <si>
    <t>Mini PC for Biometrics</t>
  </si>
  <si>
    <t>PPMP2024</t>
  </si>
  <si>
    <t>PROCUREMENT</t>
  </si>
  <si>
    <t>AVAILABLE</t>
  </si>
  <si>
    <t>Printer Tank (Bottomless) 
 Specification: 
 Paper Sizes:
 A4, Letter, Legal (8.5 x 14")</t>
  </si>
  <si>
    <t>Changed to Kyocera</t>
  </si>
  <si>
    <t>Agency to Agency</t>
  </si>
  <si>
    <t>LAPTOP</t>
  </si>
  <si>
    <t>Kyocera Ecosys M4125idn MK-6113</t>
  </si>
  <si>
    <t>KYOCERA</t>
  </si>
  <si>
    <t>Kyocera Ecosys M4132idn TK-6113 Toner</t>
  </si>
  <si>
    <t>Toner (TK-1175) compatible to Kyocera ECOSYS M2540dn/L</t>
  </si>
  <si>
    <t>Kyocera Toner TK 3165</t>
  </si>
  <si>
    <t>Laptop, 15.6" Display Size, Intel Core i5 or equivalent, Generation 7 or higher, 8GB DDR-4 or Higher, 1TB 7200rpm SATA, DVD Recordable, 4 GB DDR3 Dedicated Graphic Card, Gigabit Ethernet, with Wireless Mouse, Laptop Bag or Back Pack, Windows 10 Home or Professional</t>
  </si>
  <si>
    <t>Camera
 18-55mm IS STM Black
 Type: Digital AF/AE single-lens reflex camera with built-in flash
 Recording Media: SD/SDHC/SDXC memory cards
 SD speed class-compatible; UHS-I compatible; Compatible with Eye-Fi cards.
 Image Format: Approx. 22.3 x 14.9mm (APS-C) 
 Compatible Lenses: EF lenses (including EF-S lenses, excluding EF-M lenses)
 Lens Mount: EF mount
 Accessories: AC Adapter AC-E6N and Charger; Camera Bag</t>
  </si>
  <si>
    <t>DSLR</t>
  </si>
  <si>
    <t>Numeric Keypad, Tactile, High Speed USB 2.0</t>
  </si>
  <si>
    <t>Laptop, 15.6" Display Size, Intel Core i7 or equivalent, Generation 8 or higher, 8GB RAM; HDD 1TB; FHD 1920 x 1080 pixels; HD 1366 x 768 pixels, HDMI ready; with bluetooth, camera, speaker, microphone, and card reader port; USB 3.0 hub with Wireless Mouse, Laptop Bag or Back Pack, Windows 10 Home or Professional; Lead brand, with 1 year warranty or higher</t>
  </si>
  <si>
    <t>Laptop, 14" Display Size, Intel Core i7 or equivalent, Generation 8 or higher, 12GB RAM; HDD 1TB; DDR4 memory type; 2133MHz memory speed; 5400 rpm; 128GB SSD/eMMC; RJ-45 ethernet; HDMI ready; USB 2.0 hub with card reader port; camera, speaker, microphone; FHD (1920 x 1080 pixel); HD (1366 x 768 pixel); 2-cell 30Wh battery; with Wireless Mouse, Laptop Bag or Back Pack, Windows 10 Home or Professional; Leading brand, with 1 year warranty or higher</t>
  </si>
  <si>
    <t>PRINTER</t>
  </si>
  <si>
    <t>Desktop Set
 Processor: Intel Core i7-2600 Processor, 3.4GHz, 8M Cache Operating system: Windows 7 Professional 64 - English, with latest service pack
  System Recovery DVD: Genuine Windows 7 Professional 64 - Recovery DVD – English
  Windows XP Mode: Windows XP Mode Available and Supported - English ; Form factor: Small Form Factor with Install-Ready Security Cable Lock Hole Feature
  I/O ports: Front-side Mic/Headset ports, Two Front-side and Two Back-, Left-, or Right-side
 USB Ports Memory speed: 1333MHz; RAM Memory Total: 8GB; Video adapter: Integrated Video Intel
  Audio adapter: Integrated Audio Intel ; Hard drive: 1TB, 7200RPM; DVD: DVD Recordable (with DVD Playback &amp; Burner Software) for Win 11; Networking: Integrated Gigabit Ethernet Intel; Keyboard: Full Size - US English
  Pointing device: Optical Mouse with Scroll Button
  Speakers: Internal speaker
  Power cord: Line Cord – US; Monitor: 32 inches wide LCD monitor with Install-Ready Security Cable Lock Hole Feature; Security: Security Cable Lock compatible to Install-Ready Lock Hole Feature of CPU and
 Monitor; Energy Certification: Must be Energy Star and EPEAT (Electronic Product Environmental
 Assessment Tool) Registered
  UPS: 750VA Warranty: 1 year warranty or higher</t>
  </si>
  <si>
    <t>DESKTOP</t>
  </si>
  <si>
    <t>OK</t>
  </si>
  <si>
    <t>ink</t>
  </si>
  <si>
    <t>HP A3 Inkjet Printer (colored)</t>
  </si>
  <si>
    <t>Ink, for A3, black (Officejet 933XL)</t>
  </si>
  <si>
    <t>Ink, for A3, magenta (Officejet 933XL)</t>
  </si>
  <si>
    <t>Ink, for A3, cyan (Officejet 933XL)</t>
  </si>
  <si>
    <t>Ink, for A3, yellow (Officejet 933XL)</t>
  </si>
  <si>
    <t>Multi-Functional Copier/Scanner/Printer, with dual scan document, have an automatic document feeder with duplex unit capability, supported paper sizes: letter, A4, legal, 512MB memory, CPU speed 800MHz, can print, save and scan via USB, with RJ-45 port, maintenance kit capacity before replacement 100,000 pages
 Warranty: 1 year on parts and 2 years on service</t>
  </si>
  <si>
    <t>PUBLIC BIDDING/ SHOPPING</t>
  </si>
  <si>
    <t>NICU1</t>
  </si>
  <si>
    <t>Epson Refill Ink Black (FOR PRINTER EPSON 120)</t>
  </si>
  <si>
    <t>Public Bidding/Shopping</t>
  </si>
  <si>
    <t>Epson Refill Ink Cyan (FOR PRINTER EPSON 120)</t>
  </si>
  <si>
    <t>Epson Refill Ink Magenta (FOR PRINTER EPSON 120)</t>
  </si>
  <si>
    <t>Epson Refill Ink Yellow (FOR PRINTER EPSON 120)</t>
  </si>
  <si>
    <t>EPSON INK 003 (L3210), Black</t>
  </si>
  <si>
    <t>OPD OFFICE</t>
  </si>
  <si>
    <t>EPSON INK 003 (L3210), Cyan</t>
  </si>
  <si>
    <t>EPSON INK 003 (L3210), Magenta</t>
  </si>
  <si>
    <t>EPSON INK 003 (L3210), Yellow</t>
  </si>
  <si>
    <t xml:space="preserve">ACCOUNTING </t>
  </si>
  <si>
    <t>Ink compatible to Epson L3210 , Black</t>
  </si>
  <si>
    <t>CART</t>
  </si>
  <si>
    <t>Ink compatible to Epson L3210 , Cyan</t>
  </si>
  <si>
    <t>Ink compatible to Epson L3210 , Magenta</t>
  </si>
  <si>
    <t>Ink compatible to Epson L3210 , Yellow</t>
  </si>
  <si>
    <t>KYOCERA TONER TK-3165</t>
  </si>
  <si>
    <t>PORTABLE SCANNER (PANASONIC: KV-S1037X)</t>
  </si>
  <si>
    <t>PIECE</t>
  </si>
  <si>
    <t>BRANDED DESKTOP BRAND: ACER</t>
  </si>
  <si>
    <t>HP SMART TANK 515 INK (MAGENTA-GT52)</t>
  </si>
  <si>
    <t>SECURITY</t>
  </si>
  <si>
    <t>HP SMART TANK 515 INK (CYAN-GT52)</t>
  </si>
  <si>
    <t>HP SMART TANK 515 INK (BLACK-GT53)</t>
  </si>
  <si>
    <t>HP SMART TANK 515 INK (YELLOW-GT52)</t>
  </si>
  <si>
    <t>16GB USB Flash Drive</t>
  </si>
  <si>
    <t>UPS Battery</t>
  </si>
  <si>
    <t>Multi-Function Printer</t>
  </si>
  <si>
    <t>Ink black compatible with 3 in 1 printer of winning brand</t>
  </si>
  <si>
    <t>Ink cyan compatible with 3 in 1 printer of winning brand</t>
  </si>
  <si>
    <t>Ink magenta compatible with 3 in 1 printer of winning brand</t>
  </si>
  <si>
    <t>Ink yellow compatible with 3 in 1 printer of winning brand</t>
  </si>
  <si>
    <t>USB Thumb drive,32gb</t>
  </si>
  <si>
    <t>Multi-functional copier, at least 1.2Ghz Dual Core processor with atleast 1GB RAM, Maintenance Kit Life of at least 300,000 copies, Automatic Document Feeder Capabilities with Job Seperator, Supported Paper: at least A3 max size</t>
  </si>
  <si>
    <t>LINEN</t>
  </si>
  <si>
    <t>HP Smart Tank 515 Ink (GT52 Magenta)</t>
  </si>
  <si>
    <t>HP Smart Tank 515 Ink (GT52 Cyan)</t>
  </si>
  <si>
    <t>HP Smart Tank 515 Ink (GT52 Yellow)</t>
  </si>
  <si>
    <t>HP Smart Tank 515 Ink (GT53 Black)</t>
  </si>
  <si>
    <t>FLASH DRIVE, 16 GB Capacity</t>
  </si>
  <si>
    <t>HEMODIALYSIS FINANCE</t>
  </si>
  <si>
    <t>RADIO</t>
  </si>
  <si>
    <t>50,00</t>
  </si>
  <si>
    <t>Maintenance Kit for KYOCERA (MK-3165)</t>
  </si>
  <si>
    <t>HP LaserJet Pro MFP M426fdn Compatible Black High Yield Toner Cartridge</t>
  </si>
  <si>
    <t>15, 300.00</t>
  </si>
  <si>
    <t>Laptop (Conference)</t>
  </si>
  <si>
    <t>Webcam 1080p</t>
  </si>
  <si>
    <t>Condenser Mic</t>
  </si>
  <si>
    <t>Sound Mixer 8 channel</t>
  </si>
  <si>
    <t>USB sound adapter (Mic and Headphone)</t>
  </si>
  <si>
    <t>External Speakers (wired)</t>
  </si>
  <si>
    <t>pair</t>
  </si>
  <si>
    <t>O</t>
  </si>
  <si>
    <t>Multi Function (Print/Scan/Copy), Color Ink Tank System, High Speed USB 2.0, Supported Paper: Legal / Letter / A4</t>
  </si>
  <si>
    <t>X</t>
  </si>
  <si>
    <t>pb</t>
  </si>
  <si>
    <t>PRINTER 3 IN 1 (EPSON) LASER</t>
  </si>
  <si>
    <t>Kyocera toner kit</t>
  </si>
  <si>
    <t>ER</t>
  </si>
  <si>
    <t>Kyocera maintenance Kit</t>
  </si>
  <si>
    <t>INK CARTRIDGE FOR EPSON PRINTER</t>
  </si>
  <si>
    <t>KYOCERA TONER (ECOSYS M3145dn)</t>
  </si>
  <si>
    <t>Public Bidding/ Shopping</t>
  </si>
  <si>
    <t>Flash Drive 16 G Capacity</t>
  </si>
  <si>
    <t>Branded Desktop set</t>
  </si>
  <si>
    <t>Epson Ink Bottle Refill 003 Black</t>
  </si>
  <si>
    <t>Epson Ink Bottle Refill 003 Cyan</t>
  </si>
  <si>
    <t>Epson Ink Bottle Refill 003 Magenta</t>
  </si>
  <si>
    <t>Epson Ink Bottle Refill 003 Yellow</t>
  </si>
  <si>
    <t>INFECTIOUS</t>
  </si>
  <si>
    <t>####</t>
  </si>
  <si>
    <t>Box</t>
  </si>
  <si>
    <t>Printer - Epson L3210 (003)</t>
  </si>
  <si>
    <t>PSYCH 1ST</t>
  </si>
  <si>
    <t>PSYCH 2ND</t>
  </si>
  <si>
    <t>NICU2</t>
  </si>
  <si>
    <t>#######</t>
  </si>
  <si>
    <t>Epson Printer L3210</t>
  </si>
  <si>
    <t>Small Value Procurement</t>
  </si>
  <si>
    <t>#####</t>
  </si>
  <si>
    <t>Flash Drive,16 G Capacity</t>
  </si>
  <si>
    <t>Epson Ink Cartridge T6641 (black)</t>
  </si>
  <si>
    <t>Epson Ink Cartridge T6642 (blue)</t>
  </si>
  <si>
    <t>Epson Ink Cartridge T6643 (magenta)</t>
  </si>
  <si>
    <t>Epson Ink Cartridge T66449 (yellow)</t>
  </si>
  <si>
    <t>Continuous form paper, 5 1/2" x 9 1/2', 2 Ply, with Carbon,
 1000 Sheets</t>
  </si>
  <si>
    <t>NMB 3RD</t>
  </si>
  <si>
    <t>NMB 1ST ONCO</t>
  </si>
  <si>
    <t>Ink black 664 EPSON</t>
  </si>
  <si>
    <t>Ink CYAN 664 EPSON</t>
  </si>
  <si>
    <t>Ink YELLOW 664 EPSON</t>
  </si>
  <si>
    <t>Ink MAGENTA 664 EPSON</t>
  </si>
  <si>
    <t>NMB 5TH ICU CCU</t>
  </si>
  <si>
    <t>NMB 2ND</t>
  </si>
  <si>
    <t>NMB 4TH</t>
  </si>
  <si>
    <t>Desktop Set, Branded, Intel Core i5 or equivalent, Generation 7 or higher, socket LGA 1151 or Higher, 8GB DDR-4 or Higher, 1TB 7200rpm SATA, DVD Recordable, Integrated HD Graphic, Gigabit Ethernet, USB Mouse Optical, USB Keyboard Full Size, 18.5 or Higher LED Monitor, UPS 625VA or Higher 3 Outlet, Windows 7 Professional 64bit or Windows 10 Professional 64bit</t>
  </si>
  <si>
    <t>ANIMAL BITE</t>
  </si>
  <si>
    <t>Bottomless Ink, Cyan (generic)</t>
  </si>
  <si>
    <t>Bottomless Ink, Magenta (generic)</t>
  </si>
  <si>
    <t>Bottomless, Black (generic)</t>
  </si>
  <si>
    <t>Bottomless, Yellow (generic)</t>
  </si>
  <si>
    <t>OPHTHA</t>
  </si>
  <si>
    <t>Desktop/ Laptop</t>
  </si>
  <si>
    <t>########</t>
  </si>
  <si>
    <t>Epson Ink Bottle Refill 664 Black</t>
  </si>
  <si>
    <t>Epson Ink Bottle Refill 664 Cyan</t>
  </si>
  <si>
    <t>Epson Ink Bottle Refill 664 Magenta</t>
  </si>
  <si>
    <t>Epson Ink Bottle Refill 664 Yellow</t>
  </si>
  <si>
    <t>MULTI FUNCTIONAL INKJET PRINTER (PRINT, COPY, SCAN)</t>
  </si>
  <si>
    <t>Epson L3210- Black</t>
  </si>
  <si>
    <t>Bot.</t>
  </si>
  <si>
    <t>Epson L3210-Red</t>
  </si>
  <si>
    <t>Bot</t>
  </si>
  <si>
    <t>Epson L3210-Yellow</t>
  </si>
  <si>
    <t>Epson L3210-Blue</t>
  </si>
  <si>
    <t>TOXICOLOGY</t>
  </si>
  <si>
    <t>EPSON Compatible ink (black)</t>
  </si>
  <si>
    <t>EPSON Compatible (red)</t>
  </si>
  <si>
    <t>EPSON Compatible (blue)</t>
  </si>
  <si>
    <t>EPSON Compatible ink (yellow)</t>
  </si>
  <si>
    <t>MAINTENANCE KIT 3165</t>
  </si>
  <si>
    <t>Usb flash drive 16gb/OTG</t>
  </si>
  <si>
    <t>Multi-functional copier, Supported Paper: Letter/A4/Legal</t>
  </si>
  <si>
    <t>Digital Camera</t>
  </si>
  <si>
    <t>Branded Desktop;
 Processor: Intel i7 8700 or Higher</t>
  </si>
  <si>
    <t>DMI</t>
  </si>
  <si>
    <t>Multi-function Inkjet Colored Printer Tank (Print, Scan, and Copy) with ink refill provision</t>
  </si>
  <si>
    <t>UPS, at least 625 VA, 325 W</t>
  </si>
  <si>
    <t>Ink for Epson L121 (664), Black</t>
  </si>
  <si>
    <t>Ink for Epson L121 (664), Yellow</t>
  </si>
  <si>
    <t>Ink for Epson L121 (664), Magenta</t>
  </si>
  <si>
    <t>Ink for Epson L121 (664), Cyan</t>
  </si>
  <si>
    <t>TONER compatible to Brother MFC-L5900DW</t>
  </si>
  <si>
    <t>DPL</t>
  </si>
  <si>
    <t>AVR 5000 Watts, 220 Volts</t>
  </si>
  <si>
    <t>Ink Black compatible to Epson L100, L110, L120, L200, L210, L220,L3210</t>
  </si>
  <si>
    <t>Ink Cyan compatible to Epson L100, L110, L120, L200, L210, L220,L3210</t>
  </si>
  <si>
    <t>Ink Magenta compatible to Epson L100, L110, L120, L200, L210, L220,L3210</t>
  </si>
  <si>
    <t>Ink Cartridge Yellow compatible to Epson L100, L110, L120, L200, L210, L220,L3210</t>
  </si>
  <si>
    <t>Kyocera Ecosys M2640idw/L, TK-7120</t>
  </si>
  <si>
    <t>EPSON T664 Black</t>
  </si>
  <si>
    <t>External Drive, 1TB</t>
  </si>
  <si>
    <t>Multi function printer (print, copy, scan)</t>
  </si>
  <si>
    <t>MAINTENANCE KIT TK-6113</t>
  </si>
  <si>
    <t>audio-visual conference speaker</t>
  </si>
  <si>
    <t>speaker sound system portable with mic</t>
  </si>
  <si>
    <t>INTERNAL MEDICINE</t>
  </si>
  <si>
    <t>Smart LED TV 43inch</t>
  </si>
  <si>
    <t>DEPARTMENT OF OBSTETRICS AND GYNECOLOGY</t>
  </si>
  <si>
    <t>DEPARTMENT OF PEDIATRICS</t>
  </si>
  <si>
    <t>EXTERNAL HARD DRIVE 1 TB</t>
  </si>
  <si>
    <t>PRINTER, MULTI FUNCTION
 (PRINT/SCAN/COPY)</t>
  </si>
  <si>
    <t>FLASH DRIVE 16 GB CAPACITY</t>
  </si>
  <si>
    <t>A3 Printer</t>
  </si>
  <si>
    <t>PUBLIC HEALTH UNIT</t>
  </si>
  <si>
    <t>Branded Laptop with Graphics Card</t>
  </si>
  <si>
    <t>Tripod for DSLR Camera</t>
  </si>
  <si>
    <t>For Clarification</t>
  </si>
  <si>
    <t>LCD Projector Sheet</t>
  </si>
  <si>
    <t>HDMI to HDMI Connector</t>
  </si>
  <si>
    <t>Portable Speaker with Wireless Microphone (Trolley Type)</t>
  </si>
  <si>
    <t>Lavalier Microphone for Video Recording</t>
  </si>
  <si>
    <t>A3 Laminating Machine</t>
  </si>
  <si>
    <t>Toner cartridge compatible to Kyocera Ecosys M4125idn</t>
  </si>
  <si>
    <t>Ink black compatible to Epson L3110, L3150 (Epson 003 Ink Black)</t>
  </si>
  <si>
    <t>Ink Cyan compatible to Epson L3110, L3150 (Epson 003 Ink Cyan)</t>
  </si>
  <si>
    <t>Ink Magenta compatible to Epson L3110, L3150 (Epson 003 Ink Magenta)</t>
  </si>
  <si>
    <t>Ink Yellow compatible to Epson L3110, L3150 (Epson 003 Ink Yellow)</t>
  </si>
  <si>
    <t>Ink-Brother BTD60 BK (Black)</t>
  </si>
  <si>
    <t>Ink-Brother BT5000Y (Yellow)</t>
  </si>
  <si>
    <t>Ink-Brother BT5000C (Cyan)</t>
  </si>
  <si>
    <t>Ink-Brother BT5000M (Magenta)</t>
  </si>
  <si>
    <t>PUBLIC BIDDING/OTHER MODE OF PROCUREMENT</t>
  </si>
  <si>
    <t>Uninteruptible Power Supply</t>
  </si>
  <si>
    <t>Ducument Scanner</t>
  </si>
  <si>
    <t>Multi-function monochrome copier</t>
  </si>
  <si>
    <t>Ink, printer, 664 Magenta</t>
  </si>
  <si>
    <t>DEPARTMENT OF OTOLARYNGOLOGY - HEAD AND NECK SURGERY</t>
  </si>
  <si>
    <t>Ink, printer,664 Cyan</t>
  </si>
  <si>
    <t>Ink, printer, 664 Yellow</t>
  </si>
  <si>
    <t>Ink, printer,664 Black</t>
  </si>
  <si>
    <t>Ink, printer,001 Magenta</t>
  </si>
  <si>
    <t>Ink, printer,001 Cyan</t>
  </si>
  <si>
    <t>Ink, printer,001 Yellow</t>
  </si>
  <si>
    <t>Ink, printer,001 Black</t>
  </si>
  <si>
    <t>Printer Scanner Copier with Wifi</t>
  </si>
  <si>
    <t>Flash Drive, 16 GB Capacity</t>
  </si>
  <si>
    <t>External Hard Drive 1 TB</t>
  </si>
  <si>
    <t>Document Camera, 8 MP or better with viewing screen</t>
  </si>
  <si>
    <t>Desktop Set, Branded, Intel Core i5 or equivalent,Generation 7 or higher, socket LGA 1151 or Higher, 8GB DDR-4 or Higher, 1 TB 7200 rpm SATA, DVD Recordable, Integrated HD Graphic, Gigabit Ethernet, USB Mouse Optical, USB Keyboard Full Size, 18.5 or Higher LED, WITH SPEAKER AND WEBCAM Monitor, UPS 625VA or Higher 3 Outlet, Windows 10 Professional 64bit</t>
  </si>
  <si>
    <t>RESPIRATORY THERAPY UNIT</t>
  </si>
  <si>
    <t>deSKTOP</t>
  </si>
  <si>
    <t>Kyocera Ecosys M4125 idn MK-6113</t>
  </si>
  <si>
    <t xml:space="preserve">Accounting </t>
  </si>
  <si>
    <t>INK FOR EPSON PRINTER (BLACK, YELLOW, MAGENTA, CYAN)</t>
  </si>
  <si>
    <t>STOCK NO.</t>
  </si>
  <si>
    <t>DESCRIPTION</t>
  </si>
  <si>
    <t>Fund</t>
  </si>
  <si>
    <t>BEGINNING BALANCE</t>
  </si>
  <si>
    <t>PURCHASES</t>
  </si>
  <si>
    <t>ISSUANCES</t>
  </si>
  <si>
    <t>ENDING BALANCE</t>
  </si>
  <si>
    <t>Amt</t>
  </si>
  <si>
    <t>SF-SEMI0114</t>
  </si>
  <si>
    <t>120 GB SSD</t>
  </si>
  <si>
    <t>SF</t>
  </si>
  <si>
    <t>SF-SEMI0115</t>
  </si>
  <si>
    <t>2TB External HDD, USB 3.0</t>
  </si>
  <si>
    <t>SF-SEMI0116</t>
  </si>
  <si>
    <t>512GB SSD 2.5-INCH, INTERNAL</t>
  </si>
  <si>
    <t>SF-SEMI0122</t>
  </si>
  <si>
    <t>PORTABLE HARD DRIVE, 1TB, USB 3.0</t>
  </si>
  <si>
    <t>SF-SEMI0136</t>
  </si>
  <si>
    <t>External Drive 5TB</t>
  </si>
  <si>
    <t>SF-SEMI0074</t>
  </si>
  <si>
    <t>SF-SEMI0119</t>
  </si>
  <si>
    <t>UPS, 650va</t>
  </si>
  <si>
    <t>SF16EQ0199</t>
  </si>
  <si>
    <t>UPS ,625VA,325 WATTS, HIGH QUALITY, 220V BRAND :APC</t>
  </si>
  <si>
    <t>GF</t>
  </si>
  <si>
    <t>GF-SEMI0128</t>
  </si>
  <si>
    <t>550 WATTS 80 PLUS BRONZE</t>
  </si>
  <si>
    <t>GF-SEMI0142</t>
  </si>
  <si>
    <t>1TB PORTABLE SSD</t>
  </si>
  <si>
    <t>GF-SEMI0143</t>
  </si>
  <si>
    <t>480GB 2.5" Internal SSD Form Factor: 2.5" Standalone Interface: SATA rev. 3.0 (6gb/s) with backwards compatibility to SATA rev 2.0 (3Gb/s) capacities: 480gb</t>
  </si>
  <si>
    <t>GF-SEMI0144</t>
  </si>
  <si>
    <t>UPS 650VA, AVR, 230v rated power in W: 360w power socket outlets: 4NEMA 5-15R Cable Length: 1.22m, number of cable: 1, battery type: Lead-acid battery</t>
  </si>
  <si>
    <t>GF-SEMI0151</t>
  </si>
  <si>
    <t>FHD LED MONITOR 21.5"</t>
  </si>
  <si>
    <t>GF-OS0090</t>
  </si>
  <si>
    <t>Brother DCP t700W (Toner) BT 6000BK</t>
  </si>
  <si>
    <t>GF-OS0021</t>
  </si>
  <si>
    <t>Canon Genuine PIXMA Gl-790 Ink Cartridge, Black</t>
  </si>
  <si>
    <t>GF-OS0334</t>
  </si>
  <si>
    <t>Canon Genuine PIXMA Gl-790 Ink Cartridge, Cyan</t>
  </si>
  <si>
    <t>GF-OS0335</t>
  </si>
  <si>
    <t>Canon Genuine PIXMA Gl-790 Ink Cartridge, Magenta</t>
  </si>
  <si>
    <t>GF-OS0336</t>
  </si>
  <si>
    <t>Canon Genuine PIXMA Gl-790 Ink Cartridge, Yellow</t>
  </si>
  <si>
    <t>GF-OS0212</t>
  </si>
  <si>
    <t>GF-OS0063</t>
  </si>
  <si>
    <t>GF-OS0064</t>
  </si>
  <si>
    <t>GF-OS0065</t>
  </si>
  <si>
    <t>GF-OS0326</t>
  </si>
  <si>
    <t>Flash Drive 16 GB</t>
  </si>
  <si>
    <t>GF-OS0361</t>
  </si>
  <si>
    <t>GF-OS0347</t>
  </si>
  <si>
    <t>GF-OS0345</t>
  </si>
  <si>
    <t>GF-OS0348</t>
  </si>
  <si>
    <t>GF-OS0169</t>
  </si>
  <si>
    <t>Kyocera Ecosys M2640I DW / L MK-1175</t>
  </si>
  <si>
    <t>GF-OS0330</t>
  </si>
  <si>
    <t>Printable PVC Pre-Cut Cards For direct ID Printing; High glossy output; size: 86mmx54mm</t>
  </si>
  <si>
    <t>GF-OS0146</t>
  </si>
  <si>
    <t>Smarter M-ATX Black Casing</t>
  </si>
  <si>
    <t>GF-OS0332</t>
  </si>
  <si>
    <t>Telephone Handset Phone Extension Cord</t>
  </si>
  <si>
    <t>GF-OS0287</t>
  </si>
  <si>
    <t>Toner, Kyocera, Ecosys TK-1147</t>
  </si>
  <si>
    <t>GF-OS0163</t>
  </si>
  <si>
    <t>USB 2.0 Optical Mouse</t>
  </si>
  <si>
    <t>GF-OS0266</t>
  </si>
  <si>
    <t>USB 2.0 Smart Keyboard</t>
  </si>
  <si>
    <t>SF-OF0339</t>
  </si>
  <si>
    <t>Brother Toner TN-3448 Original Toner Cartridge</t>
  </si>
  <si>
    <t>SF-OF0105</t>
  </si>
  <si>
    <t>Epson S015086 Cartridge Ribbon</t>
  </si>
  <si>
    <t>SF-OF0340</t>
  </si>
  <si>
    <t>EPSON 003 BLACK</t>
  </si>
  <si>
    <t>SF-OF0364</t>
  </si>
  <si>
    <t>Epson 003 Cyan</t>
  </si>
  <si>
    <t>SF-OF0365</t>
  </si>
  <si>
    <t>Epson 003 Magenta</t>
  </si>
  <si>
    <t>SF-OF0366</t>
  </si>
  <si>
    <t>Epson 003 Yellow</t>
  </si>
  <si>
    <t>SF-OF0309</t>
  </si>
  <si>
    <t>SF-OF0341</t>
  </si>
  <si>
    <t>Ink magenta compatible with HP Smart Tank 515 printer, GT 52</t>
  </si>
  <si>
    <t>SF-OF0342</t>
  </si>
  <si>
    <t>Ink cyan compatible with HP Smart Tank 515 printer, GT 52</t>
  </si>
  <si>
    <t>SF-OF0343</t>
  </si>
  <si>
    <t>Ink yellow compatible with HP Smart Tank 515 printer, GT 52</t>
  </si>
  <si>
    <t>SF-OF0361</t>
  </si>
  <si>
    <t>SF-OF0408</t>
  </si>
  <si>
    <t>SF-OF0410</t>
  </si>
  <si>
    <t>KYOCERA MAINTENANCE KIT MK-1147</t>
  </si>
  <si>
    <t>SF-OF0139</t>
  </si>
  <si>
    <t>SF-OF0140</t>
  </si>
  <si>
    <t>Kyocera FS-6525MFP TK-479 Toner</t>
  </si>
  <si>
    <t>SF-OF0315</t>
  </si>
  <si>
    <t>Kyocera M2640I DW / L TK-1175</t>
  </si>
  <si>
    <t>SF-OF0299</t>
  </si>
  <si>
    <t>SF-OF0296</t>
  </si>
  <si>
    <t>SF-OF0230</t>
  </si>
  <si>
    <t>SF-OF0387</t>
  </si>
  <si>
    <t>Kyocera TASkalfa3212i MK7129</t>
  </si>
  <si>
    <t>SF-OF0295</t>
  </si>
  <si>
    <t>Kyocera Toner TK-7120</t>
  </si>
  <si>
    <t>SF-OF0161</t>
  </si>
  <si>
    <t>SF-OF0392</t>
  </si>
  <si>
    <t>RISO (Ink FII type Black UA) (Compatible to RISO-SF5130A)</t>
  </si>
  <si>
    <t>SF-OF0397</t>
  </si>
  <si>
    <t>Smart Ribbon Kit</t>
  </si>
  <si>
    <t>SF-OF0369</t>
  </si>
  <si>
    <t>SPIRAL CORD FOR TELEPHONE HANDSET</t>
  </si>
  <si>
    <t>SF-OF0311</t>
  </si>
  <si>
    <t>Toner TK-6113</t>
  </si>
  <si>
    <t>SF-OF0358</t>
  </si>
  <si>
    <t>USB Flash Drive, 16GB</t>
  </si>
  <si>
    <t>SF-OF0359</t>
  </si>
  <si>
    <t>USB Flash Drive, 32GB</t>
  </si>
  <si>
    <t>SF-OF0310</t>
  </si>
  <si>
    <t>Ribbon Cartridge compatible to EPSON LQ 310 Printer</t>
  </si>
  <si>
    <t>Product Code</t>
  </si>
  <si>
    <t>Product Description</t>
  </si>
  <si>
    <t>UOM</t>
  </si>
  <si>
    <t>13111203-AC-F01</t>
  </si>
  <si>
    <t>ACETATE</t>
  </si>
  <si>
    <t>ROLL</t>
  </si>
  <si>
    <t>47131812-AF-A01</t>
  </si>
  <si>
    <t>AIR FRESHENER</t>
  </si>
  <si>
    <t>Can</t>
  </si>
  <si>
    <t>12191601-AL-E04</t>
  </si>
  <si>
    <t>ALCOHOL, Ethyl, 500ml</t>
  </si>
  <si>
    <t>12191601-AL-E03</t>
  </si>
  <si>
    <t>ALCOHOL, ethyl, 68%-72%, 1 Gallon</t>
  </si>
  <si>
    <t>Gallon</t>
  </si>
  <si>
    <t>26111702-BT-A01</t>
  </si>
  <si>
    <t>BATTERY, dry cell, AAA</t>
  </si>
  <si>
    <t>To be sold in blister packs of 2pcs</t>
  </si>
  <si>
    <t>26111702-BT-A02</t>
  </si>
  <si>
    <t>BATTERY, dry Cell, size AA</t>
  </si>
  <si>
    <t>26111702-BT-A03</t>
  </si>
  <si>
    <t>BATTERY, dry Cell, size D</t>
  </si>
  <si>
    <t>44101602-PB-M01</t>
  </si>
  <si>
    <t>BINDING AND PUNCHING MACHINE, 50mm binding capacit</t>
  </si>
  <si>
    <t>44122037-RB-P10</t>
  </si>
  <si>
    <t>BINDING RING/COMB, plastic, 32mm</t>
  </si>
  <si>
    <t>Bundle</t>
  </si>
  <si>
    <t>To be sold in bundles of 10pcs</t>
  </si>
  <si>
    <t>44121612-BL-H01</t>
  </si>
  <si>
    <t>BLADE, for general purpose cutter / utility knife</t>
  </si>
  <si>
    <t>Tube</t>
  </si>
  <si>
    <t>To be sold in tubes of 10pcs</t>
  </si>
  <si>
    <t>47131604-BR-S01</t>
  </si>
  <si>
    <t>BROOM (walis tambo)</t>
  </si>
  <si>
    <t>47131604-BR-T01</t>
  </si>
  <si>
    <t>BROOM (walis ting-ting)</t>
  </si>
  <si>
    <t>44101807-CA-C01</t>
  </si>
  <si>
    <t>CALCULATOR, compact</t>
  </si>
  <si>
    <t>13111201-CF-P01</t>
  </si>
  <si>
    <t>CARBON FILM, A4</t>
  </si>
  <si>
    <t>To be sold in boxes of 100 sheets</t>
  </si>
  <si>
    <t>13111201-CF-P02</t>
  </si>
  <si>
    <t>CARBON FILM, legal</t>
  </si>
  <si>
    <t>14111525-CA-A01</t>
  </si>
  <si>
    <t>CARTOLINA, assorted colors</t>
  </si>
  <si>
    <t>To be sold in packs of 20pcs assorted colors</t>
  </si>
  <si>
    <t>44121710-CH-W01</t>
  </si>
  <si>
    <t>CHALK, white enamel</t>
  </si>
  <si>
    <t>To be sold in boxes of 100pcs</t>
  </si>
  <si>
    <t>This is a computer-generated document and it does not require signature.
 Date Generated: July 11, 2023</t>
  </si>
  <si>
    <t>47131829-TB-C01</t>
  </si>
  <si>
    <t>CLEANER, toilet and urinal</t>
  </si>
  <si>
    <t>47131805-CL-P01</t>
  </si>
  <si>
    <t>CLEANSER, scouring powder</t>
  </si>
  <si>
    <t>60121413-CB-P01</t>
  </si>
  <si>
    <t>CLEARBOOK, A4 size</t>
  </si>
  <si>
    <t>60121413-CB-P02</t>
  </si>
  <si>
    <t>CLEARBOOK, legal size</t>
  </si>
  <si>
    <t>44122105-BF-C01</t>
  </si>
  <si>
    <t>CLIP, backfold, 19mm</t>
  </si>
  <si>
    <t>To be sold in boxes of 12pcs</t>
  </si>
  <si>
    <t>44122105-BF-C02</t>
  </si>
  <si>
    <t>CLIP, backfold, 25mm</t>
  </si>
  <si>
    <t>44122105-BF-C03</t>
  </si>
  <si>
    <t>CLIP, backfold, 32mm</t>
  </si>
  <si>
    <t>44122105-BF-C04</t>
  </si>
  <si>
    <t>CLIP, backfold, 50mm</t>
  </si>
  <si>
    <t>14111506-CF-L11</t>
  </si>
  <si>
    <t>COMPUTER CONTINUOUS FORM, 1 ply, 280mm x 241mm</t>
  </si>
  <si>
    <t>14111506-CF-L12</t>
  </si>
  <si>
    <t>COMPUTER CONTINUOUS FORM, 1 ply, 280mm x 378mm</t>
  </si>
  <si>
    <t>14111506-CF-L22</t>
  </si>
  <si>
    <t>COMPUTER CONTINUOUS FORM, 2 ply, 280 X 378mm</t>
  </si>
  <si>
    <t>14111506-CF-L21</t>
  </si>
  <si>
    <t>COMPUTER CONTINUOUS FORM, 2 ply, 280mm x 241mm</t>
  </si>
  <si>
    <t>14111506-CF-L31</t>
  </si>
  <si>
    <t>COMPUTER CONTINUOUS FORM, 3 ply, 280 X 241mm</t>
  </si>
  <si>
    <t>14111506-CF-L32</t>
  </si>
  <si>
    <t>COMPUTER CONTINUOUS FORM, 3 ply, 280 X 378mm</t>
  </si>
  <si>
    <t>44121801-CT-R02</t>
  </si>
  <si>
    <t>CORRECTION TAPE</t>
  </si>
  <si>
    <t>44121612-CU-H01</t>
  </si>
  <si>
    <t>CUTTER/UTILITY KNIFE, for general purpose</t>
  </si>
  <si>
    <t>44111515-DF-B01</t>
  </si>
  <si>
    <t>DATA FILE BOX</t>
  </si>
  <si>
    <t>44122011-DF-F01</t>
  </si>
  <si>
    <t>DATA FOLDER</t>
  </si>
  <si>
    <t>44103202-DS-M01</t>
  </si>
  <si>
    <t>DATER STAMP</t>
  </si>
  <si>
    <t>43211507-DSK001</t>
  </si>
  <si>
    <t>DESKTOP FOR BASIC USERS</t>
  </si>
  <si>
    <t>Per order basis</t>
  </si>
  <si>
    <t>43211507-DSK002</t>
  </si>
  <si>
    <t>47131811-DE-B02</t>
  </si>
  <si>
    <t>DETERGENT BAR</t>
  </si>
  <si>
    <t>47131811-DE-P03</t>
  </si>
  <si>
    <t>DETERGENT POWDER, all-purpose</t>
  </si>
  <si>
    <t>POUCH</t>
  </si>
  <si>
    <t>52161535-DV-R01</t>
  </si>
  <si>
    <t>47131803-DS-A01</t>
  </si>
  <si>
    <t>DISINFECTANT SPRAY, aerosol, 400g (min)</t>
  </si>
  <si>
    <t>45121517-DO-C02</t>
  </si>
  <si>
    <t>DOCUMENT CAMERA, 8 MP</t>
  </si>
  <si>
    <t>44103109-BR-D05</t>
  </si>
  <si>
    <t>DRUM CART, BROTHER DR-3455, Black</t>
  </si>
  <si>
    <t>47131601-DU-P01</t>
  </si>
  <si>
    <t>DUST PAN</t>
  </si>
  <si>
    <t>40101604-EF-C01</t>
  </si>
  <si>
    <t>ELECTRIC FAN, ceiling mount, orbit type</t>
  </si>
  <si>
    <t>40101604-EF-G01</t>
  </si>
  <si>
    <t>ELECTRIC FAN, industrial, ground type</t>
  </si>
  <si>
    <t>40101604-EF-S01</t>
  </si>
  <si>
    <t>ELECTRIC FAN, stand type</t>
  </si>
  <si>
    <t>40101604-EF-W01</t>
  </si>
  <si>
    <t>ELECTRIC FAN, wall type</t>
  </si>
  <si>
    <t>44121506-EN-D01</t>
  </si>
  <si>
    <t>ENVELOPE, Documentary, A4</t>
  </si>
  <si>
    <t>To be sold in boxes of 500pcs</t>
  </si>
  <si>
    <t>44121506-EN-D02</t>
  </si>
  <si>
    <t>ENVELOPE, Documentary, Legal</t>
  </si>
  <si>
    <t>BOX</t>
  </si>
  <si>
    <t>44121506-EN-X01</t>
  </si>
  <si>
    <t>ENVELOPE, expanding, kraft</t>
  </si>
  <si>
    <t>44121506-EN-X02</t>
  </si>
  <si>
    <t>ENVELOPE, expanding, plastic</t>
  </si>
  <si>
    <t>44121506-EN-M02</t>
  </si>
  <si>
    <t>ENVELOPE, Mailing</t>
  </si>
  <si>
    <t>44121504-EN-W02</t>
  </si>
  <si>
    <t>ENVELOPE, mailing, with window</t>
  </si>
  <si>
    <t>44111912-ER-B01</t>
  </si>
  <si>
    <t>ERASER, FELT, for blackboard/whiteboard</t>
  </si>
  <si>
    <t>60121534-ER-P01</t>
  </si>
  <si>
    <t>ERASER, plastic/rubber</t>
  </si>
  <si>
    <t>43201827-HD-X02</t>
  </si>
  <si>
    <t>44122118-FA-P01</t>
  </si>
  <si>
    <t>FASTENER, metal</t>
  </si>
  <si>
    <t>To be sold in boxes of 50 sets</t>
  </si>
  <si>
    <t>44111515-FO-X01</t>
  </si>
  <si>
    <t>FILE ORGANIZER</t>
  </si>
  <si>
    <t>44122018-FT-D01</t>
  </si>
  <si>
    <t>FILE TAB DIVIDER, A4</t>
  </si>
  <si>
    <t>To be sold in sets of 5 colors</t>
  </si>
  <si>
    <t>44122018-FT-D02</t>
  </si>
  <si>
    <t>FILE TAB DIVIDER, legal</t>
  </si>
  <si>
    <t>Set</t>
  </si>
  <si>
    <t>46191601-FE-M01</t>
  </si>
  <si>
    <t>FIRE EXTINGUISHER, dry chemical</t>
  </si>
  <si>
    <t>46191601-FE-H01</t>
  </si>
  <si>
    <t>FIRE EXTINGUISHER, pure HCFC</t>
  </si>
  <si>
    <t>43202010-FD-U01</t>
  </si>
  <si>
    <t>47131802-FW-P02</t>
  </si>
  <si>
    <t>FLOOR WAX, paste type, red</t>
  </si>
  <si>
    <t>44122011-FO-F01</t>
  </si>
  <si>
    <t>FOLDER fancy, with slide, A4</t>
  </si>
  <si>
    <t>To be sold in bundles of 50pcs</t>
  </si>
  <si>
    <t>44122011-FO-F02</t>
  </si>
  <si>
    <t>FOLDER fancy, with slide, legal</t>
  </si>
  <si>
    <t>44122011-FO-T03</t>
  </si>
  <si>
    <t>FOLDER with Tab, A4</t>
  </si>
  <si>
    <t>To be sold in packs of 100pcs</t>
  </si>
  <si>
    <t>44122011-FO-T04</t>
  </si>
  <si>
    <t>FOLDER with Tab, Legal</t>
  </si>
  <si>
    <t>44122011-FO-L01</t>
  </si>
  <si>
    <t>FOLDER, L-type, A4</t>
  </si>
  <si>
    <t>To be sold in packs of 50pcs</t>
  </si>
  <si>
    <t>44122011-FO-L02</t>
  </si>
  <si>
    <t>FOLDER, L-type, legal</t>
  </si>
  <si>
    <t>44122027-FO-P01</t>
  </si>
  <si>
    <t>FOLDER, pressboard</t>
  </si>
  <si>
    <t>47131830-FC-A01</t>
  </si>
  <si>
    <t>FURNITURE CLEANER</t>
  </si>
  <si>
    <t>31201610-GL-J01</t>
  </si>
  <si>
    <t>GLUE, all purpose</t>
  </si>
  <si>
    <t>Jar</t>
  </si>
  <si>
    <t>53131626-HS-S01</t>
  </si>
  <si>
    <t>HAND SANITIZER, 500mL</t>
  </si>
  <si>
    <t>73101612-HS-L01</t>
  </si>
  <si>
    <t>HAND SOAP, LIQUID, 500ml</t>
  </si>
  <si>
    <t>55101524-RA-H01</t>
  </si>
  <si>
    <t>HANDBOOK (RA 9184), 8th edition</t>
  </si>
  <si>
    <t>Book</t>
  </si>
  <si>
    <t>44103103-HP-B51</t>
  </si>
  <si>
    <t>44122008-IT-T01</t>
  </si>
  <si>
    <t>INDEX TAB</t>
  </si>
  <si>
    <t>44103105-HP-B42</t>
  </si>
  <si>
    <t>INK CART, HP CZ121A (HP685A), Black</t>
  </si>
  <si>
    <t>44103105-HP-C33</t>
  </si>
  <si>
    <t>INK CART, HP CZ122A (HP685A), Cyan</t>
  </si>
  <si>
    <t>44103105-HP-M33</t>
  </si>
  <si>
    <t>INK CART, HP CZ123A (HP685A), Magenta</t>
  </si>
  <si>
    <t>44103105-HP-Y33</t>
  </si>
  <si>
    <t>INK CART, HP CZ124A (HP685A), Yellow</t>
  </si>
  <si>
    <t>44103105-CA-C04</t>
  </si>
  <si>
    <t>Ink Cartridge, Canon CL-741, Colored</t>
  </si>
  <si>
    <t>44103105-CA-C02</t>
  </si>
  <si>
    <t>Ink Cartridge, Canon CL-811, Colored</t>
  </si>
  <si>
    <t>44103105-CA-B04</t>
  </si>
  <si>
    <t>Ink Cartridge, Canon PG-740, Black</t>
  </si>
  <si>
    <t>44103105-CA-B02</t>
  </si>
  <si>
    <t>Ink Cartridge, Canon PG-810, Black</t>
  </si>
  <si>
    <t>44103105-EP-B17</t>
  </si>
  <si>
    <t>INK CARTRIDGE, EPSON C13T664100 (T6641), BLACK</t>
  </si>
  <si>
    <t>44103105-EP-C17</t>
  </si>
  <si>
    <t>INK CARTRIDGE, EPSON C13T664200 (T6642), CYAN</t>
  </si>
  <si>
    <t>44103105-EP-M17</t>
  </si>
  <si>
    <t>INK CARTRIDGE, EPSON C13T664300 (T6643), MAGENTA</t>
  </si>
  <si>
    <t>44103105-EP-Y17</t>
  </si>
  <si>
    <t>INK CARTRIDGE, EPSON C13T664400 (T6644), YELLOW</t>
  </si>
  <si>
    <t>44103105-HP-B40</t>
  </si>
  <si>
    <t>INK CARTRIDGE, HP C2P04AA (HP62), BLACK</t>
  </si>
  <si>
    <t>44103105-HP-T40</t>
  </si>
  <si>
    <t>INK CARTRIDGE, HP C2P06AA (HP62), TRI-COLOR</t>
  </si>
  <si>
    <t>44103105-HP-B09</t>
  </si>
  <si>
    <t>INK CARTRIDGE, HP C9351AA, (HP21), BLACK</t>
  </si>
  <si>
    <t>44103105-HP-T10</t>
  </si>
  <si>
    <t>INK CARTRIDGE, HP C9352AA, (HP22), TRI-COLOR</t>
  </si>
  <si>
    <t>44103105-HP-B17</t>
  </si>
  <si>
    <t>INK CARTRIDGE, HP CC640WA (HP60), BLACK</t>
  </si>
  <si>
    <t>44103105-HP-T17</t>
  </si>
  <si>
    <t>INK CARTRIDGE, HP CC643WA (HP60), TRI-COLOR</t>
  </si>
  <si>
    <t>44103105-HP-B35</t>
  </si>
  <si>
    <t>INK CARTRIDGE, HP CD887AA (HP703), BLACK</t>
  </si>
  <si>
    <t>44103105-HP-T35</t>
  </si>
  <si>
    <t>INK CARTRIDGE, HP CD888AA (HP703), TRI-COLOR</t>
  </si>
  <si>
    <t>44103105-HX-C40</t>
  </si>
  <si>
    <t>INK CARTRIDGE, HP CD972AA (HP920XL), CYAN</t>
  </si>
  <si>
    <t>44103105-HX-M40</t>
  </si>
  <si>
    <t>INK CARTRIDGE, HP CD973AA (HP920XL), MAGENTA</t>
  </si>
  <si>
    <t>44103105-HX-Y40</t>
  </si>
  <si>
    <t>INK CARTRIDGE, HP CD974AA (HP920XL), YELLOW</t>
  </si>
  <si>
    <t>44103105-HX-B40</t>
  </si>
  <si>
    <t>INK CARTRIDGE, HP CD975AA (HP920XL), BLACK</t>
  </si>
  <si>
    <t>44103105-HP-B20</t>
  </si>
  <si>
    <t>INK CARTRIDGE, HP CH561WA (HP61), BLACK</t>
  </si>
  <si>
    <t>44103105-HP-T20</t>
  </si>
  <si>
    <t>INK CARTRIDGE, HP CH562WA (HP61), TRI-COLOR</t>
  </si>
  <si>
    <t>44103105-HP-B49</t>
  </si>
  <si>
    <t>Ink Cartridge, HP CH565A (HP82) Black</t>
  </si>
  <si>
    <t>44103105-HP-C49</t>
  </si>
  <si>
    <t>Ink Cartridge, HP CH566A (HP82) Cyan</t>
  </si>
  <si>
    <t>44103105-HX-B43</t>
  </si>
  <si>
    <t>INK CARTRIDGE, HP CN045AA (HP950XL), BLACK</t>
  </si>
  <si>
    <t>44103105-HX-C43</t>
  </si>
  <si>
    <t>INK CARTRIDGE, HP CN046AA (HP951XL) CYAN</t>
  </si>
  <si>
    <t>44103105-HX-M43</t>
  </si>
  <si>
    <t>INK CARTRIDGE, HP CN047AA (HP951XL) MAGENTA</t>
  </si>
  <si>
    <t>44103105-HX-Y43</t>
  </si>
  <si>
    <t>INK CARTRIDGE, HP CN048AA (HP951XL) YELLOW</t>
  </si>
  <si>
    <t>44103105-HP-B36</t>
  </si>
  <si>
    <t>INK CARTRIDGE, HP CN692AA (HP704) BLACK</t>
  </si>
  <si>
    <t>44103105-HP-T36</t>
  </si>
  <si>
    <t>INK CARTRIDGE, HP CN693AA (HP704) TRI-COLOR</t>
  </si>
  <si>
    <t>44103105-HP-B33</t>
  </si>
  <si>
    <t>INK CARTRIDGE, HP CZ107AA (HP678) BLACK</t>
  </si>
  <si>
    <t>44103105-HP-T33</t>
  </si>
  <si>
    <t>INK CARTRIDGE, HP CZ108AA (HP678) TRI-COLOR</t>
  </si>
  <si>
    <t>44103105-HP-T43</t>
  </si>
  <si>
    <t>INK CARTRIDGE, HP F6V26AA (HP680) TRI-COLOR</t>
  </si>
  <si>
    <t>44103105-HP-B43</t>
  </si>
  <si>
    <t>INK CARTRIDGE, HP F6V27AA (HP680) BLACK</t>
  </si>
  <si>
    <t>44103105-HP-C50</t>
  </si>
  <si>
    <t>INK CARTRIDGE, HP L0S51AA (HP955) CYAN ORIGINAL</t>
  </si>
  <si>
    <t>44103105-HP-M50</t>
  </si>
  <si>
    <t>INK CARTRIDGE, HP L0S54AA (HP955) MAGENTA ORIGINAL</t>
  </si>
  <si>
    <t>44103105-HP-Y50</t>
  </si>
  <si>
    <t>INK CARTRIDGE, HP L0S57AA (HP955) YELLOW ORIGINAL</t>
  </si>
  <si>
    <t>44103105-HP-B50</t>
  </si>
  <si>
    <t>INK CARTRIDGE, HP L0S60AA (HP955) BLACK ORIGINAL</t>
  </si>
  <si>
    <t>44103105-HX-C48</t>
  </si>
  <si>
    <t>INK CARTRIDGE, HP L0S63AA (HP955XL) CYAN ORIGINAL</t>
  </si>
  <si>
    <t>44103105-HX-M48</t>
  </si>
  <si>
    <t>INK CARTRIDGE, HP L0S66AA (HP955XL) MAGENTA</t>
  </si>
  <si>
    <t>44103105-HX-Y48</t>
  </si>
  <si>
    <t>INK CARTRIDGE, HP L0S69AA (HP955XL) YELLOW</t>
  </si>
  <si>
    <t>44103105-HX-B48</t>
  </si>
  <si>
    <t>INK CARTRIDGE, HP L0S72AA (HP955XL) BLACK ORIGINAL</t>
  </si>
  <si>
    <t>44103105-HP-C51</t>
  </si>
  <si>
    <t>INK CARTRIDGE, HP T6L89AA (HP905) CYAN ORIGINAL</t>
  </si>
  <si>
    <t>44103105-HP-M51</t>
  </si>
  <si>
    <t>INK CARTRIDGE, HP T6L93AA (HP905) MAGENTA ORIGINAL</t>
  </si>
  <si>
    <t>44103105-HP-Y51</t>
  </si>
  <si>
    <t>INK CARTRIDGE, HP T6L97AA (HP905) YELLOW ORIGINAL</t>
  </si>
  <si>
    <t>44103105-HP-B51</t>
  </si>
  <si>
    <t>INK CARTRIDGE, HP T6M01AA (HP905) BLACK ORIGINAL</t>
  </si>
  <si>
    <t>10191509-IN-A01</t>
  </si>
  <si>
    <t>INSECTICIDE, aerosol type</t>
  </si>
  <si>
    <t>43211503-LAP002</t>
  </si>
  <si>
    <t>43211503-LAP001</t>
  </si>
  <si>
    <t>39101628-LB-L01</t>
  </si>
  <si>
    <t>LIGHT EMITTING DIODE (LED), Light Bulb</t>
  </si>
  <si>
    <t>39101628-LT-L01</t>
  </si>
  <si>
    <t>LINEAR TUBE, Light Emitting Diode (LED), 18 watts</t>
  </si>
  <si>
    <t>14111609-LL-C01</t>
  </si>
  <si>
    <t>LOOSELEAF COVER, legal</t>
  </si>
  <si>
    <t>To be sold in bundles of 50 sets</t>
  </si>
  <si>
    <t>44111515-MF-B02</t>
  </si>
  <si>
    <t>MAGAZINE FILE BOX, large</t>
  </si>
  <si>
    <t>44121716-MA-F01</t>
  </si>
  <si>
    <t>MARKER, fluorescent</t>
  </si>
  <si>
    <t>To be sold in sets of 3 colors</t>
  </si>
  <si>
    <t>44121708-MP-B01</t>
  </si>
  <si>
    <t>MARKER, permanent, black</t>
  </si>
  <si>
    <t>44121708-MP-B02</t>
  </si>
  <si>
    <t>MARKER, permanent, blue</t>
  </si>
  <si>
    <t>44121708-MP-B03</t>
  </si>
  <si>
    <t>MARKER, permanent, red</t>
  </si>
  <si>
    <t>44121708-MW-B01</t>
  </si>
  <si>
    <t>MARKER, whiteboard, black</t>
  </si>
  <si>
    <t>44121708-MW-B02</t>
  </si>
  <si>
    <t>MARKER, whiteboard, blue</t>
  </si>
  <si>
    <t>44121708-MW-B03</t>
  </si>
  <si>
    <t>MARKER, whiteboard, red</t>
  </si>
  <si>
    <t>56101504-CM-B01</t>
  </si>
  <si>
    <t>MONOBLOC CHAIR, beige</t>
  </si>
  <si>
    <t>56101504-CM-W01</t>
  </si>
  <si>
    <t>MONOBLOC CHAIR, white</t>
  </si>
  <si>
    <t>56101519-TM-S02</t>
  </si>
  <si>
    <t>MONOBLOC TABLE, beige</t>
  </si>
  <si>
    <t>56101519-TM-S01</t>
  </si>
  <si>
    <t>MONOBLOC TABLE, white</t>
  </si>
  <si>
    <t>47121804-MP-B01</t>
  </si>
  <si>
    <t>MOP BUCKET, heavy duty, hard plastic</t>
  </si>
  <si>
    <t>47131613-MP-H02</t>
  </si>
  <si>
    <t>MOPHANDLE, heavy duty, screw type</t>
  </si>
  <si>
    <t>47131619-MP-R01</t>
  </si>
  <si>
    <t>MOPHEAD, made of rayon</t>
  </si>
  <si>
    <t>43211708-MO-O01</t>
  </si>
  <si>
    <t>45111609-MM-P01</t>
  </si>
  <si>
    <t>MULTIMEDIA PROJECTOR, 4000 min</t>
  </si>
  <si>
    <t>14111514-NP-S03</t>
  </si>
  <si>
    <t>NOTE PAD, stick on, 3" x 3"</t>
  </si>
  <si>
    <t>PAD</t>
  </si>
  <si>
    <t>14111514-NP-S02</t>
  </si>
  <si>
    <t>NOTE PAD, stick on, 50mm x 76mm (2" x 3") min</t>
  </si>
  <si>
    <t>14111514-NP-S04</t>
  </si>
  <si>
    <t>NOTE PAD, stick on, 76mm x 100mm (3" x 4") min</t>
  </si>
  <si>
    <t>14111514-NB-S01</t>
  </si>
  <si>
    <t>NOTEBOOK, stenographer</t>
  </si>
  <si>
    <t>14111531-PP-R01</t>
  </si>
  <si>
    <t>PAD PAPER, ruled</t>
  </si>
  <si>
    <t>44122104-PC-G01</t>
  </si>
  <si>
    <t>PAPER CLIP, vinyl/plastic coated, 33mm</t>
  </si>
  <si>
    <t>44122104-PC-J02</t>
  </si>
  <si>
    <t>PAPER CLIP, vinyl/plastic coated, jumbo 50mm</t>
  </si>
  <si>
    <t>44101603-PS-M01</t>
  </si>
  <si>
    <t>PAPER SHREDDER</t>
  </si>
  <si>
    <t>44101601-PT-M01</t>
  </si>
  <si>
    <t>PAPER TRIMMER / CUTTING MACHINE, table top</t>
  </si>
  <si>
    <t>14111507-PP-C02</t>
  </si>
  <si>
    <t>PAPER, Multi-Purpose, 70gsm (min.), Legal</t>
  </si>
  <si>
    <t>Ream</t>
  </si>
  <si>
    <t>14111507-PP-C01</t>
  </si>
  <si>
    <t>PAPER, Multi-Purpose, A4</t>
  </si>
  <si>
    <t>REAM</t>
  </si>
  <si>
    <t>14111507-PP-M01</t>
  </si>
  <si>
    <t>PAPER, MULTICOPY, A4</t>
  </si>
  <si>
    <t>14111507-PP-M02</t>
  </si>
  <si>
    <t>PAPER, MULTICOPY, legal</t>
  </si>
  <si>
    <t>14111503-PA-P01</t>
  </si>
  <si>
    <t>PAPER, parchment</t>
  </si>
  <si>
    <t>44121619-PS-M01</t>
  </si>
  <si>
    <t>PENCIL SHARPENER, manual</t>
  </si>
  <si>
    <t>44121706-PE-L01</t>
  </si>
  <si>
    <t>PENCIL, lead, with eraser</t>
  </si>
  <si>
    <t>55121905-PH-F01</t>
  </si>
  <si>
    <t>PHILIPPINE NATIONAL FLAG</t>
  </si>
  <si>
    <t>43212102-PR-D02</t>
  </si>
  <si>
    <t>43212102-PR-D01</t>
  </si>
  <si>
    <t>PRINTER, impact, dot matrix, 9 pins</t>
  </si>
  <si>
    <t>43212105-PR-L01</t>
  </si>
  <si>
    <t>PRINTER, Laser, Monochrome</t>
  </si>
  <si>
    <t>46181804-GG-G01</t>
  </si>
  <si>
    <t>PROTECTIVE SAFETY GOGGLES</t>
  </si>
  <si>
    <t>44101602-PU-P01</t>
  </si>
  <si>
    <t>PUNCHER, paper, heavy duty</t>
  </si>
  <si>
    <t>47131501-RG-C01</t>
  </si>
  <si>
    <t>RAGS, absorbent fabric</t>
  </si>
  <si>
    <t>To be sold in bundles of 32 pieces per kilo</t>
  </si>
  <si>
    <t>14111531-RE-B01</t>
  </si>
  <si>
    <t>RECORD BOOK, 300 pages</t>
  </si>
  <si>
    <t>BOOK</t>
  </si>
  <si>
    <t>14111531-RE-B02</t>
  </si>
  <si>
    <t>RECORD BOOK, 500 pages</t>
  </si>
  <si>
    <t>44103112-EP-R05</t>
  </si>
  <si>
    <t>RIBBON CART, EPSON C13S015516 (#8750), Black</t>
  </si>
  <si>
    <t>44103112-EP-R13</t>
  </si>
  <si>
    <t>RIBBON CART, EPSON C13S015632, Black</t>
  </si>
  <si>
    <t>44103112-EP-R07</t>
  </si>
  <si>
    <t>RIBBON CARTRIDGE, EPSON C13S015531 (S015086)</t>
  </si>
  <si>
    <t>44122101-RU-B01</t>
  </si>
  <si>
    <t>RUBBER BAND, No. 18</t>
  </si>
  <si>
    <t>41111604-RU-P02</t>
  </si>
  <si>
    <t>RULER, plastic, 450mm</t>
  </si>
  <si>
    <t>44121618-SS-S01</t>
  </si>
  <si>
    <t>SCISSORS, symmetrical / assymetrical</t>
  </si>
  <si>
    <t>Pair</t>
  </si>
  <si>
    <t>47131602-SC-N01</t>
  </si>
  <si>
    <t>SCOURING PAD</t>
  </si>
  <si>
    <t>To be sold in packs of 5 pads</t>
  </si>
  <si>
    <t>60121524-SP-G01</t>
  </si>
  <si>
    <t>SIGN PEN, Extra fine tip, black</t>
  </si>
  <si>
    <t>60121524-SP-G02</t>
  </si>
  <si>
    <t>SIGN PEN, Extra fine tip, blue</t>
  </si>
  <si>
    <t>60121524-SP-G03</t>
  </si>
  <si>
    <t>SIGN PEN, Extra fine tip, red</t>
  </si>
  <si>
    <t>12171703-SI-P01</t>
  </si>
  <si>
    <t>STAMP PAD INK, purple or violet</t>
  </si>
  <si>
    <t>44121905-SP-F01</t>
  </si>
  <si>
    <t>STAMP PAD, felt</t>
  </si>
  <si>
    <t>44121613-SR-P01</t>
  </si>
  <si>
    <t>STAPLE REMOVER, plier-type</t>
  </si>
  <si>
    <t>31151804-SW-H01</t>
  </si>
  <si>
    <t>STAPLE WIRE, heavy duty (binder type), 23/13</t>
  </si>
  <si>
    <t>31151804-SW-S01</t>
  </si>
  <si>
    <t>STAPLE WIRE, standard</t>
  </si>
  <si>
    <t>44121615-ST-B01</t>
  </si>
  <si>
    <t>STAPLER, Binder Type, Heavy Duty</t>
  </si>
  <si>
    <t>44121615-ST-S01</t>
  </si>
  <si>
    <t>STAPLER, standard type</t>
  </si>
  <si>
    <t>42131713-SM-M06</t>
  </si>
  <si>
    <t>SURGICAL MASK, 3 ply</t>
  </si>
  <si>
    <t>To be sold in packs of 50 pieces</t>
  </si>
  <si>
    <t>44121605-TD-T01</t>
  </si>
  <si>
    <t>TAPE DISPENSER, Table Top</t>
  </si>
  <si>
    <t>31201502-TA-E01</t>
  </si>
  <si>
    <t>TAPE, electrical</t>
  </si>
  <si>
    <t>Roll</t>
  </si>
  <si>
    <t>31201503-TA-M01</t>
  </si>
  <si>
    <t>TAPE, masking, 24mm</t>
  </si>
  <si>
    <t>31201503-TA-M02</t>
  </si>
  <si>
    <t>TAPE, MASKING, 48mm</t>
  </si>
  <si>
    <t>31201517-TA-P01</t>
  </si>
  <si>
    <t>TAPE, packaging, 48mm</t>
  </si>
  <si>
    <t>31201512-TA-T01</t>
  </si>
  <si>
    <t>TAPE, transparent, 24mm</t>
  </si>
  <si>
    <t>31201512-TA-T02</t>
  </si>
  <si>
    <t>TAPE, transparent, 48mm</t>
  </si>
  <si>
    <t>14111818-TH-P02</t>
  </si>
  <si>
    <t>THERMAL PAPER, 216mm</t>
  </si>
  <si>
    <t>14111704-TT-P04</t>
  </si>
  <si>
    <t>TISSUE, Interfolded Paper Towel</t>
  </si>
  <si>
    <t>14111704-TT-P02</t>
  </si>
  <si>
    <t>TOILET TISSUE PAPER, 2 ply</t>
  </si>
  <si>
    <t>To be sold in packs of 12 rolls</t>
  </si>
  <si>
    <t>44103103-BR-B04</t>
  </si>
  <si>
    <t>TONER CART, BROTHER TN-2130, Black</t>
  </si>
  <si>
    <t>44103103-BR-B09</t>
  </si>
  <si>
    <t>TONER CART, BROTHER TN-3320, Black</t>
  </si>
  <si>
    <t>44103103-BR-B11</t>
  </si>
  <si>
    <t>TONER CART, BROTHER TN-3350, Black</t>
  </si>
  <si>
    <t>44103103-BR-B15</t>
  </si>
  <si>
    <t>TONER CART, BROTHER TN-3478, Black</t>
  </si>
  <si>
    <t>44103103-HP-B12</t>
  </si>
  <si>
    <t>TONER CART, HP CB435A, Black</t>
  </si>
  <si>
    <t>44103103-HP-B14</t>
  </si>
  <si>
    <t>TONER CART, HP CB540A, Black</t>
  </si>
  <si>
    <t>44103103-HP-B18</t>
  </si>
  <si>
    <t>TONER CART, HP CE255A, Black</t>
  </si>
  <si>
    <t>44103103-HP-B21</t>
  </si>
  <si>
    <t>TONER CART, HP CE278A, Black</t>
  </si>
  <si>
    <t>44103103-HP-B22</t>
  </si>
  <si>
    <t>TONER CART, HP CE285A (HP85A), Black</t>
  </si>
  <si>
    <t>44103103-HP-B23</t>
  </si>
  <si>
    <t>TONER CART, HP CE310A, Black</t>
  </si>
  <si>
    <t>44103103-HP-C23</t>
  </si>
  <si>
    <t>TONER CART, HP CE311A, Cyan</t>
  </si>
  <si>
    <t>44103103-HP-Y23</t>
  </si>
  <si>
    <t>TONER CART, HP CE312A, Yellow</t>
  </si>
  <si>
    <t>44103103-HP-M23</t>
  </si>
  <si>
    <t>TONER CART, HP CE313A, Magenta</t>
  </si>
  <si>
    <t>44103103-HP-B24</t>
  </si>
  <si>
    <t>TONER CART, HP CE320A, Black</t>
  </si>
  <si>
    <t>44103103-HP-C24</t>
  </si>
  <si>
    <t>TONER CART, HP CE321A, Cyan</t>
  </si>
  <si>
    <t>44103103-HP-Y24</t>
  </si>
  <si>
    <t>TONER CART, HP CE322A, Yellow</t>
  </si>
  <si>
    <t>44103103-HP-M24</t>
  </si>
  <si>
    <t>TONER CART, HP CE323A, Magenta</t>
  </si>
  <si>
    <t>44103103-HP-B25</t>
  </si>
  <si>
    <t>TONER CART, HP CE390A, Black</t>
  </si>
  <si>
    <t>44103103-HP-B26</t>
  </si>
  <si>
    <t>TONER CART, HP CE400A, Black</t>
  </si>
  <si>
    <t>44103103-HP-C26</t>
  </si>
  <si>
    <t>TONER CART, HP CE401A, Cyan</t>
  </si>
  <si>
    <t>44103103-HP-Y26</t>
  </si>
  <si>
    <t>TONER CART, HP CE402A, Yellow</t>
  </si>
  <si>
    <t>44103103-HP-M26</t>
  </si>
  <si>
    <t>TONER CART, HP CE403A, Magenta</t>
  </si>
  <si>
    <t>44103103-HP-B27</t>
  </si>
  <si>
    <t>TONER CART, HP CE410A, (HP305), Black</t>
  </si>
  <si>
    <t>44103103-HP-C27</t>
  </si>
  <si>
    <t>TONER CART, HP CE411A, (HP305), Cyan</t>
  </si>
  <si>
    <t>44103103-HP-Y27</t>
  </si>
  <si>
    <t>TONER CART, HP CE412A, (HP305), Yellow</t>
  </si>
  <si>
    <t>44103103-HP-M27</t>
  </si>
  <si>
    <t>TONER CART, HP CE413A, (HP305), Magenta</t>
  </si>
  <si>
    <t>44103103-HP-B28</t>
  </si>
  <si>
    <t>TONER CART, HP CE505A, Black</t>
  </si>
  <si>
    <t>44103103-HX-B28</t>
  </si>
  <si>
    <t>TONER CART, HP CE505X, Black, high cap</t>
  </si>
  <si>
    <t>44103103-HP-B34</t>
  </si>
  <si>
    <t>TONER CART, HP Q2612A, Black</t>
  </si>
  <si>
    <t>44103103-HP-B48</t>
  </si>
  <si>
    <t>TONER CART, HP Q7553A, Black</t>
  </si>
  <si>
    <t>44103103-SA-B03</t>
  </si>
  <si>
    <t>TONER CART, SAMSUNG ML-D2850B, Black</t>
  </si>
  <si>
    <t>44103103-SA-B06</t>
  </si>
  <si>
    <t>TONER CART, SAMSUNG MLT-D101S, Black</t>
  </si>
  <si>
    <t>44103103-SA-B07</t>
  </si>
  <si>
    <t>TONER CART, SAMSUNG MLT-D103S, Black</t>
  </si>
  <si>
    <t>44103103-SA-B08</t>
  </si>
  <si>
    <t>TONER CART, SAMSUNG MLT-D104S, Black</t>
  </si>
  <si>
    <t>44103103-SA-B09</t>
  </si>
  <si>
    <t>TONER CART, SAMSUNG MLT-D105L, Black</t>
  </si>
  <si>
    <t>44103103-SA-B14</t>
  </si>
  <si>
    <t>TONER CART, SAMSUNG MLT-D108S, Black</t>
  </si>
  <si>
    <t>44103103-SA-B20</t>
  </si>
  <si>
    <t>TONER CART, SAMSUNG MLT-D203U, Black</t>
  </si>
  <si>
    <t>44103103-SA-B05</t>
  </si>
  <si>
    <t>TONER CART, SAMSUNG MLT-D205L, Black</t>
  </si>
  <si>
    <t>44103103-SA-B10</t>
  </si>
  <si>
    <t>TONER CART, SAMSUNG SCX-D6555A, Black</t>
  </si>
  <si>
    <t>44103109-BR-D06</t>
  </si>
  <si>
    <t>Toner Cartridge, Brother DR-451CL, High Yield 3000</t>
  </si>
  <si>
    <t>44103103-BR-B16</t>
  </si>
  <si>
    <t>Toner Cartridge, Brother TN-456 Black, High Yield</t>
  </si>
  <si>
    <t>44103103-BR-C03</t>
  </si>
  <si>
    <t>Toner Cartridge, Brother TN-456 Cyan, High Yield</t>
  </si>
  <si>
    <t>44103103-BR-M03</t>
  </si>
  <si>
    <t>Toner Cartridge, Brother TN-456 Magenta, High</t>
  </si>
  <si>
    <t>44103103-BR-Y03</t>
  </si>
  <si>
    <t>Toner Cartridge, Brother TN-456 Yellow, High Yield</t>
  </si>
  <si>
    <t>44103103-CA-B00</t>
  </si>
  <si>
    <t>Toner Cartridge, Canon CRG-324 II</t>
  </si>
  <si>
    <t>44103103-HP-B52</t>
  </si>
  <si>
    <t>Toner Cartridge, HP CF217A (HP17A) Black LaserJet</t>
  </si>
  <si>
    <t>44103103-HP-B53</t>
  </si>
  <si>
    <t>Toner Cartridge, HP CF226A (HP26A) Black LaserJet</t>
  </si>
  <si>
    <t>44103103-HP-B55</t>
  </si>
  <si>
    <t>Toner Cartridge, HP CF280A, LaserJet Pro M401/M425</t>
  </si>
  <si>
    <t>44103103-HP-B56</t>
  </si>
  <si>
    <t>Toner Cartridge, HP CF281A (HP81A) Black LaserJet</t>
  </si>
  <si>
    <t>44103103-HP-B57</t>
  </si>
  <si>
    <t>Toner Cartridge, HP CF283A (HP83A) LaserJet Black</t>
  </si>
  <si>
    <t>44103103-HX-B51</t>
  </si>
  <si>
    <t>Toner Cartridge, HP CF283XC (HP83X) Blk Contract L</t>
  </si>
  <si>
    <t>44103103-HP-B58</t>
  </si>
  <si>
    <t>Toner Cartridge, HP CF287A (HP87) Black</t>
  </si>
  <si>
    <t>44103103-HX-B52</t>
  </si>
  <si>
    <t>Toner Cartridge, HP CF325XC (HP25X) Black LaserJet</t>
  </si>
  <si>
    <t>44103103-HP-B60</t>
  </si>
  <si>
    <t>Toner Cartridge, HP CF350A Black LJ</t>
  </si>
  <si>
    <t>44103103-HP-C60</t>
  </si>
  <si>
    <t>Toner Cartridge, HP CF351A Cyan LJ</t>
  </si>
  <si>
    <t>44103103-HP-Y60</t>
  </si>
  <si>
    <t>Toner Cartridge, HP CF352A Yellow LJ</t>
  </si>
  <si>
    <t>44103103-HP-M60</t>
  </si>
  <si>
    <t>Toner Cartridge, HP CF353A Magenta LJ</t>
  </si>
  <si>
    <t>44103103-HP-B61</t>
  </si>
  <si>
    <t>Toner Cartridge, HP CF360A (HP508A) Black LaserJet</t>
  </si>
  <si>
    <t>44103103-HP-C61</t>
  </si>
  <si>
    <t>Toner Cartridge, HP CF361A (HP508A) Cyan LaserJet</t>
  </si>
  <si>
    <t>44103103-HP-Y61</t>
  </si>
  <si>
    <t>Toner Cartridge, HP CF362A (HP508A) Yellow</t>
  </si>
  <si>
    <t>44103103-HP-M61</t>
  </si>
  <si>
    <t>Toner Cartridge, HP CF363A (HP508A) Magenta</t>
  </si>
  <si>
    <t>44103103-HP-B62</t>
  </si>
  <si>
    <t>Toner Cartridge, HP CF400A (HP201A) Black LaserJet</t>
  </si>
  <si>
    <t>44103103-HP-C62</t>
  </si>
  <si>
    <t>Toner Cartridge, HP CF401A (HP201A) Cyan LaserJet</t>
  </si>
  <si>
    <t>44103103-HP-Y62</t>
  </si>
  <si>
    <t>Toner Cartridge, HP CF402A (HP201A) Yellow</t>
  </si>
  <si>
    <t>44103103-HP-M62</t>
  </si>
  <si>
    <t>Toner Cartridge, HP CF403A (HP201A) Magenta</t>
  </si>
  <si>
    <t>44103103-HP-B63</t>
  </si>
  <si>
    <t>Toner Cartridge, HP CF410A (HP410A) black</t>
  </si>
  <si>
    <t>44103103-HX-B54</t>
  </si>
  <si>
    <t>Toner Cartridge, HP CF410XC (HP410XC) black</t>
  </si>
  <si>
    <t>44103103-HP-C63</t>
  </si>
  <si>
    <t>Toner Cartridge, HP CF411A (HP410A) cyan</t>
  </si>
  <si>
    <t>44103103-HX-C54</t>
  </si>
  <si>
    <t>Toner Cartridge, HP CF411XC (HP410XC) cyan</t>
  </si>
  <si>
    <t>44103103-HP-Y63</t>
  </si>
  <si>
    <t>Toner Cartridge, HP CF412A (HP410A) yellow</t>
  </si>
  <si>
    <t>44103103-HX-Y54</t>
  </si>
  <si>
    <t>Toner Cartridge, HP CF412XC (HP410XC) yellow</t>
  </si>
  <si>
    <t>44103103-HP-M63</t>
  </si>
  <si>
    <t>Toner Cartridge, HP CF413A (HP410A) magenta</t>
  </si>
  <si>
    <t>44103103-HX-M54</t>
  </si>
  <si>
    <t>Toner Cartridge, HP CF413XC (HP410XC) magenta</t>
  </si>
  <si>
    <t>47121701-TB-P04</t>
  </si>
  <si>
    <t>TRASHBAG, XXL size</t>
  </si>
  <si>
    <t>To be sold in packs of 10pcs</t>
  </si>
  <si>
    <t>31151507-TW-P01</t>
  </si>
  <si>
    <t>TWINE, plastic</t>
  </si>
  <si>
    <t>47121702-WB-P01</t>
  </si>
  <si>
    <t>WASTEBASKET</t>
  </si>
  <si>
    <t>60121124-WR-P01</t>
  </si>
  <si>
    <t>WRAPPING PAPER, kraft</t>
  </si>
  <si>
    <t>To be sold in packs of 50 sheets</t>
  </si>
  <si>
    <t>Unit price</t>
  </si>
  <si>
    <t>REGULAR OFFICE SUPPLIES</t>
  </si>
  <si>
    <t>Ballpen, black</t>
  </si>
  <si>
    <t>Ballpen, green</t>
  </si>
  <si>
    <t>Ballpen, red</t>
  </si>
  <si>
    <t>BATTERY, AA, 2pcs/pack, Alkaline</t>
  </si>
  <si>
    <t>BATTERY, AAA, 2pcs/pack, Alkaline</t>
  </si>
  <si>
    <t>BATTERY, size D, 2pcs/pack, Alkaline</t>
  </si>
  <si>
    <t>CALCULATOR 12 digits, Two-way power (Solar + Battery)</t>
  </si>
  <si>
    <t>CARBON FILM, legal, 100's/box, black</t>
  </si>
  <si>
    <t>CARBON FILM, legal, 100's/box, blue</t>
  </si>
  <si>
    <t>CARTOLINA, (kindly indicate colors)</t>
  </si>
  <si>
    <t>Certificate Frames A4 size, wood frame with glass</t>
  </si>
  <si>
    <t>Certificate Frames Legal Size wood frame with glass</t>
  </si>
  <si>
    <t>Certificate Plastic Sleeve with Board A4 size</t>
  </si>
  <si>
    <t>Certificate Plastic Sleeve with Board Legal size</t>
  </si>
  <si>
    <t>CLEARBOOK, A4 size, black, at least 20 sheets</t>
  </si>
  <si>
    <t>CLEARBOOK, legal size, black, at least 20 sheets</t>
  </si>
  <si>
    <t>Clip Board Legal size, with cover, (color)</t>
  </si>
  <si>
    <t>CLIP, backfold, at least 30mm, 12pcs/box</t>
  </si>
  <si>
    <t>CLIP, backfold, at least 50mm, 12pcs/box</t>
  </si>
  <si>
    <t>Colored Bond Paper, assorted color. 20pcs/pack</t>
  </si>
  <si>
    <t>Colored Bond Paper, blue, 8.5'' x 11'', 500sheets/ream</t>
  </si>
  <si>
    <t>ream</t>
  </si>
  <si>
    <t>Colored Bond Paper, green, 8.5'' x 11'', 500sheets/ream</t>
  </si>
  <si>
    <t>Colored Bond Paper, pink, 8.5'' x 11'', 500sheets/ream</t>
  </si>
  <si>
    <t>Colored Bond Paper, yellow, 8.5'' x 11'', 500sheets/ream</t>
  </si>
  <si>
    <t>COMPUTER CONTINUOUS FORM, 2 ply, 280mm x 241mm, carbonless</t>
  </si>
  <si>
    <t>COMPUTER CONTINUOUS FORM, 3 ply, 280 X 241mm, carbonless</t>
  </si>
  <si>
    <t>Continuous Form Paper 5 1/2" x 9 1/2" - 2 ply w/ carbon, 1000 sets/box</t>
  </si>
  <si>
    <t>Copier Paper (A3L), 500 sheets/ream, at least 70 gsm</t>
  </si>
  <si>
    <t>Cork Board, wall mount, at least 60 x 90 cm, with frame</t>
  </si>
  <si>
    <t>Cork Board, wall mount, at least 90 x 120 cm, with frame</t>
  </si>
  <si>
    <t>CORRECTION TAPE, at least 5 meters</t>
  </si>
  <si>
    <t>CUTTER, at least 19 cm</t>
  </si>
  <si>
    <t>DATA FILE BOX - black, dark green, navy blue, and red</t>
  </si>
  <si>
    <t>Date Folder with ring (Legal size), 2.5mm thick (min), navy blue and black</t>
  </si>
  <si>
    <t>Double Sided Tape 1" (length: atleast 10 meters)</t>
  </si>
  <si>
    <t>ENVELOPE, Documentary, A4, 500's/box, brown</t>
  </si>
  <si>
    <t>ENVELOPE, Documentary, Legal, 500's/box, brown</t>
  </si>
  <si>
    <t>ENVELOPE, Mailing, legal, white</t>
  </si>
  <si>
    <t>Expandable Folder, blue</t>
  </si>
  <si>
    <t>Fastener 50' Plastic Assorted Color</t>
  </si>
  <si>
    <t>Filing Tray, metal, 3 layers, black</t>
  </si>
  <si>
    <t>Film Index, Removable Self Adhesive Notes, assorted colors</t>
  </si>
  <si>
    <t>FOLDER with Tab, A4, 100's/pack</t>
  </si>
  <si>
    <t>FOLDER with Tab, Legal, 100's/pack</t>
  </si>
  <si>
    <t>Glue gun</t>
  </si>
  <si>
    <t>Glue gun stick, 50's/pack</t>
  </si>
  <si>
    <t>GLUE, at least 130grams</t>
  </si>
  <si>
    <t>Laminating Film, A3, 125 micron</t>
  </si>
  <si>
    <t>Laminating Film, A3, 250 micron</t>
  </si>
  <si>
    <t>Laminating Film, A4, 125 micron</t>
  </si>
  <si>
    <t>Laminating Film, A4, 250 micron</t>
  </si>
  <si>
    <t>Laminating Film, Legal, 125 micron</t>
  </si>
  <si>
    <t>Laminating Film, Legal, 250 micron</t>
  </si>
  <si>
    <t>MARKER, fluorescen, green</t>
  </si>
  <si>
    <t>MARKER, fluorescent, blue</t>
  </si>
  <si>
    <t>MARKER, fluorescent, orange</t>
  </si>
  <si>
    <t>MARKER, fluorescent, yellow</t>
  </si>
  <si>
    <t>MARKER, permanent, black, bullet type, at least 1.0mm</t>
  </si>
  <si>
    <t>MARKER, permanent, red, bullet type, at least 1.0mm</t>
  </si>
  <si>
    <t>MARKER, whiteboard, black, bullet type, at least 1.0mm</t>
  </si>
  <si>
    <t>MARKER, whiteboard, red, bullet type, at least 1.0mm</t>
  </si>
  <si>
    <t>Padding glue, red, atleast 500gms</t>
  </si>
  <si>
    <t>PAPER CLIP, vinyl/plastic coated, at least 33mm</t>
  </si>
  <si>
    <t>PAPER CLIP, vinyl/plastic coated, at least 50mm</t>
  </si>
  <si>
    <t>PAPER, Multi-Purpose, 70gsm (min.), A4</t>
  </si>
  <si>
    <t>Paste big 70 ounce / 200 grams</t>
  </si>
  <si>
    <t>Pencil eraser, plastic/rubber, at least size 20</t>
  </si>
  <si>
    <t>PENCIL SHARPENER, manual, with handle</t>
  </si>
  <si>
    <t>PENCIL, lead, with eraser, 12's/box</t>
  </si>
  <si>
    <t>Plastic (Resealable clear Bag) 4" 1/2 x 7" x 50's No. 6</t>
  </si>
  <si>
    <t>Plastic (Resealable clear Bag) Medium No. 9, 50's (approx: 7 3/4" x 11")</t>
  </si>
  <si>
    <t>Plastic (Resealable clear Bag) Small No. 7, 50's (approx: 5 1/2 X 7 3/4" )</t>
  </si>
  <si>
    <t>Plastic cover thick 50 yard/ roll (thickness = number 4)</t>
  </si>
  <si>
    <t>Polypropylene/PP Plastic Bags 6 x 8 inch(100pcs)</t>
  </si>
  <si>
    <t>Push Pin, Flat Head Type, Assorted Colors, 100s/case</t>
  </si>
  <si>
    <t>RUBBER BAND, 350 grams</t>
  </si>
  <si>
    <t>RULER 12 inches</t>
  </si>
  <si>
    <t>RULER 18 inches</t>
  </si>
  <si>
    <t>SCISSORS, symmetrical / assymetrical, at least 8"</t>
  </si>
  <si>
    <t>SIGN PEN, 0.5mm, black</t>
  </si>
  <si>
    <t>SIGN PEN, 0.5mm, green</t>
  </si>
  <si>
    <t>SIGN PEN,0.5mm, red</t>
  </si>
  <si>
    <t>Stamp Pad 60mm x 100mm, purple or violet</t>
  </si>
  <si>
    <t>STAMP PAD INK, purple or violet, 30 ml</t>
  </si>
  <si>
    <t>Staple Wire, (26/6) standard, 500 pcs/box (No. 35), 5000 staples strip/ box</t>
  </si>
  <si>
    <t>STAPLE WIRE, 23/13</t>
  </si>
  <si>
    <t>STAPLER, with staple remover</t>
  </si>
  <si>
    <t>Sticker Paper, matte, A4</t>
  </si>
  <si>
    <t>Straw rope</t>
  </si>
  <si>
    <t>Tape dispenser, Table Top for 24mm width tape</t>
  </si>
  <si>
    <t>Tape Measure, plastic</t>
  </si>
  <si>
    <t>TAPE, masking, 24mm, at leat 45yards</t>
  </si>
  <si>
    <t>TAPE, MASKING, 48mm, at least 45yards</t>
  </si>
  <si>
    <t>TAPE, packaging, 48mm, at least 45yards</t>
  </si>
  <si>
    <t>TAPE, transparent, 24mm, at least 45yards</t>
  </si>
  <si>
    <t>TAPE, transparent, 48mm, at least 45yards</t>
  </si>
  <si>
    <t>Thermal Paper 57mm x 30m 1/2 core</t>
  </si>
  <si>
    <t>Thermal Paper 80mm x 30m 1/2 core</t>
  </si>
  <si>
    <t>Thermal Paper 80mm x 60m 1/2 core</t>
  </si>
  <si>
    <t>Utility Box 67 liters,63cm x 44cm x 36cm with wheels</t>
  </si>
  <si>
    <t>White Board, wall mount, at least 60 x 90 cm, with frame</t>
  </si>
  <si>
    <t>White Board, wall mount, at least 90 x 120 cm, with frame</t>
  </si>
  <si>
    <t>SEMI EXPENDABLE EQUIPMENT</t>
  </si>
  <si>
    <t>Clerical Lowback swivel chair with armrest and adjustment</t>
  </si>
  <si>
    <t>Digital Wall Clock, at least 10" with date and day of week</t>
  </si>
  <si>
    <t>Office Table, atleast 120 cm x 60 cm</t>
  </si>
  <si>
    <t>Steel Cabinet, vertical, 4 drawers</t>
  </si>
  <si>
    <t>CUSTOMIZED</t>
  </si>
  <si>
    <t>Dry Seal</t>
  </si>
  <si>
    <t>DIRECT PURCHASE</t>
  </si>
  <si>
    <t>LOT/FEES</t>
  </si>
  <si>
    <t>Courier Fee</t>
  </si>
  <si>
    <t>PETTY CASH</t>
  </si>
  <si>
    <t>Document Stamp</t>
  </si>
  <si>
    <t>Floral Wreath</t>
  </si>
  <si>
    <t>Legal and Application Fee</t>
  </si>
  <si>
    <t>Other Offices Supplies and Semi Expendables</t>
  </si>
  <si>
    <t>Registered Mail</t>
  </si>
  <si>
    <t>Information, Communication Materials</t>
  </si>
  <si>
    <t>Transportation Fee</t>
  </si>
  <si>
    <t>Consulting Services</t>
  </si>
  <si>
    <t>Publication Fees</t>
  </si>
  <si>
    <t>GRAND TOTAL</t>
  </si>
  <si>
    <t>PROJECT PROCUREMENT MANAGEMENT PLAN 2024</t>
  </si>
  <si>
    <t>END-USER/UNIT: CONSOLIDATED ICT</t>
  </si>
  <si>
    <t>MOA</t>
  </si>
  <si>
    <t>Core Stackable Managed Switch</t>
  </si>
  <si>
    <t>A3 Master for RISO EZ 371A</t>
  </si>
  <si>
    <t>Brother DCP t700W (Toner) BT SOOOC</t>
  </si>
  <si>
    <t>Brother DCP t700W (Toner) BT SODOM</t>
  </si>
  <si>
    <t>Brother DCP t700W (Toner) BT SOOOY</t>
  </si>
  <si>
    <t>Brother TN-3448 Original Toner Cartridge</t>
  </si>
  <si>
    <t>Toner kit CF279A compatible to HP Laserlet Pro M12A</t>
  </si>
  <si>
    <t>EPSON 003 CYAN</t>
  </si>
  <si>
    <t>EPSON 003 MAGENTA</t>
  </si>
  <si>
    <t>EPSON 003 YELLOW</t>
  </si>
  <si>
    <t>EPSON LQ-310 (SO 15634 Ribbon Cartridge</t>
  </si>
  <si>
    <t>Epson LX-300+11 (5015516) Ribbon Cartridge</t>
  </si>
  <si>
    <t>Ink BLACK compatible to HP Officejet 6100, 6600, 6700, 7110, 7510,
 7610, 7612</t>
  </si>
  <si>
    <t>Ink MAGENTA compatible to HP Officejet 6100, 6600, 6700, 7110, 7510, 7610, 7613</t>
  </si>
  <si>
    <t>Ink YELLOW compatible to HP Officejet 6100, 6600, 6700, 7110, 7510, 7610, 7613</t>
  </si>
  <si>
    <t>Ink CYAN compatible to HP Officejet 6100, 6600, 6700, 7110, 7510, 7610, 7613</t>
  </si>
  <si>
    <t>lnkiet Printer Ink BT6000 Black</t>
  </si>
  <si>
    <t>lnkiet Printer Ink BT6000 Cvan</t>
  </si>
  <si>
    <t>lnkiet Printer Ink BT6000 Magenta</t>
  </si>
  <si>
    <t>lnkiet Printer Ink BT6000 Yellow</t>
  </si>
  <si>
    <t>Kyocera Ecosys FS-1060DN TK-1124</t>
  </si>
  <si>
    <t>Kyocera Ecosys M2640idw/L, TK-1175</t>
  </si>
  <si>
    <t>Kyocera TASKalfa 3212i, TK-7120</t>
  </si>
  <si>
    <t>Master Fii Type 77A4</t>
  </si>
  <si>
    <t>RISO F Type Ink (Compatible to RISO SF5130A)</t>
  </si>
  <si>
    <t>Toner compatible to Canon Image Class LBP6230dn</t>
  </si>
  <si>
    <t>TONER Kyocera ECO SYS TK-1147</t>
  </si>
  <si>
    <t>Noted with Budget:</t>
  </si>
  <si>
    <t>ROMEO C. TUAZON JR., DrPH, RN, FPCHA, FPSQua</t>
  </si>
  <si>
    <t>MARIA TERESA T. CORNEL</t>
  </si>
  <si>
    <t>Supervising Administrative Office</t>
  </si>
  <si>
    <r>
      <rPr>
        <b/>
        <sz val="11"/>
        <color rgb="FF000000"/>
        <rFont val="Arial"/>
        <family val="2"/>
      </rPr>
      <t xml:space="preserve">Entity Name:  </t>
    </r>
    <r>
      <rPr>
        <b/>
        <u/>
        <sz val="11"/>
        <color theme="1"/>
        <rFont val="Arial"/>
        <family val="2"/>
      </rPr>
      <t>BATAAN GENERAL HOSPITAL AND MEDICAL CENTER</t>
    </r>
  </si>
  <si>
    <r>
      <rPr>
        <sz val="10"/>
        <color rgb="FF000000"/>
        <rFont val="&quot;Times New Roman&quot;"/>
      </rPr>
      <t xml:space="preserve">Office/Section </t>
    </r>
    <r>
      <rPr>
        <b/>
        <sz val="10"/>
        <color theme="1"/>
        <rFont val="Times New Roman"/>
        <family val="1"/>
      </rPr>
      <t>IHOMP</t>
    </r>
    <r>
      <rPr>
        <sz val="10"/>
        <color theme="1"/>
        <rFont val="Times New Roman"/>
        <family val="1"/>
      </rPr>
      <t xml:space="preserve"> </t>
    </r>
  </si>
  <si>
    <t>NAME AND ADDRESS OF
  REQUESTING AGENCY</t>
  </si>
  <si>
    <t>BATAAN GENERAL HOSPITAL AND MEDICAL CENTER</t>
  </si>
  <si>
    <t>AGENCY ACCT. CODE</t>
  </si>
  <si>
    <t>Manahan St., Tenejero, Balanga City, Bataan</t>
  </si>
  <si>
    <t>AGENCY CONTROL No.</t>
  </si>
  <si>
    <t>TEL. NOS.</t>
  </si>
  <si>
    <t>(047) 237-1272</t>
  </si>
  <si>
    <t>AGENCY PROCUREMENT REQUEST</t>
  </si>
  <si>
    <t>PS APR No.</t>
  </si>
  <si>
    <t>To:</t>
  </si>
  <si>
    <t>PROCUREMENT SERVICE</t>
  </si>
  <si>
    <t>DBM Compound, RR Road</t>
  </si>
  <si>
    <t>(Date Prepared)</t>
  </si>
  <si>
    <t>Cristobal St., Paco, Manila</t>
  </si>
  <si>
    <t>PLEASE CHECK (√ ) APPROPRIATE BOX ON ACTION REQUESTED ON THE ITEM/S LISTED BELOW</t>
  </si>
  <si>
    <t>[ ] Please issue common-use supplies/materials per Price List No. __________________________ dated __________________________</t>
  </si>
  <si>
    <t>Mode of delivery: [ ] Pick-up (Fast Lane) [ ] Pick-up (Schedule) [ ] Delivery (door-to-door)</t>
  </si>
  <si>
    <t>In case fund is not sufficient:[ ] Reduce Quantity [ ] Bill Us [ ] Charge to Unutilized Deposit, APR No.:___________Date:________</t>
  </si>
  <si>
    <t>[ ] Please purchase for our agency non-common items. Attached herewith :</t>
  </si>
  <si>
    <t>[ ] Complete Specifications [ ] Obligation Request (ObR) [ ] Others, pls. specify_______________</t>
  </si>
  <si>
    <t>[ ] Certificate of Budget Allocation (CBA) [ ] Payment _______________________________</t>
  </si>
  <si>
    <t>ITEM No.</t>
  </si>
  <si>
    <t>ITEM AND DESCRIPTION/SPECIFICATIONS/STOCK No.</t>
  </si>
  <si>
    <t>QUANTITY</t>
  </si>
  <si>
    <t>UNIT PRICE</t>
  </si>
  <si>
    <t>AMOUNT</t>
  </si>
  <si>
    <t>TOTAL AMOUNT ₱</t>
  </si>
  <si>
    <t>NOTE: ALL SIGNATURES MUST BE OVER PRINTED NAME</t>
  </si>
  <si>
    <t>STOCKS REQUESTED ARE CERTIFIED TO BE</t>
  </si>
  <si>
    <t>FUNDS CERTIFIED AVAILABLE:</t>
  </si>
  <si>
    <t>APPROVED:</t>
  </si>
  <si>
    <t>WITHIN APPROVED PROGRAM:</t>
  </si>
  <si>
    <t>YOLANDA S. LANSANGAN, CPA</t>
  </si>
  <si>
    <t>MARJORIE BALBOA, CPA</t>
  </si>
  <si>
    <t>GLORY V. BALTAZAR,MD,MPH,MHA,CESe</t>
  </si>
  <si>
    <t>AGENCY PROPERTY/SUPPLY OFFICER</t>
  </si>
  <si>
    <t>AGENCY CHIEF ACCOUNTANT</t>
  </si>
  <si>
    <t>AGENCY HEAD/AUTHORIZED SIGNATURE</t>
  </si>
  <si>
    <t>[ ] FUNDS DEPOSITED WITH PS [ ] ___________________ CHECK No. ____________________</t>
  </si>
  <si>
    <t>IN THE AMOUNT OF: ____________________________________________________________ (P _____________________) ENCLOSED</t>
  </si>
  <si>
    <t>As needed arise</t>
  </si>
  <si>
    <t>***Hyper-Converged Infrastructure - Head Office ( 3 Server Hardware)</t>
  </si>
  <si>
    <t>Component</t>
  </si>
  <si>
    <t>Specifications</t>
  </si>
  <si>
    <t>Server</t>
  </si>
  <si>
    <t>CPU 2*Intel Xeon Gold 5220R 2.2G, 24C/48T, 128G (32G*4) Memory,
12*3.5in disk slots, 
2*240G OS disks (configured with RAID1), 
6*GE+2*10GE, no cache disk or data disk</t>
  </si>
  <si>
    <t>Memory(RAM)</t>
  </si>
  <si>
    <t>32GB DDR4 RDIMM</t>
  </si>
  <si>
    <t>Fiber Cable</t>
  </si>
  <si>
    <t>LC-LC, Multi-mode, 3 meters.</t>
  </si>
  <si>
    <t>Tranciever(For Server)</t>
  </si>
  <si>
    <t>SFP+ 10GE Multimode Optical Transceiver, 
 for short distance transmission (850nm, 300M).</t>
  </si>
  <si>
    <t>Disk - HDD</t>
  </si>
  <si>
    <t>8TB 7200RPM 3.5</t>
  </si>
  <si>
    <t>Disk - SSD</t>
  </si>
  <si>
    <t>1.9TB SSD Intel S4600 3D NAND TLC SSD 2.5", SATA 3.0 6Gbps</t>
  </si>
  <si>
    <t>Network Interface Card</t>
  </si>
  <si>
    <t>2*10GE</t>
  </si>
  <si>
    <t>Switch</t>
  </si>
  <si>
    <t>12 Gigabit electrical ports, 12 10G SFP+ optical ports, switching capacity 1.28Tbps/12.8Tbps</t>
  </si>
  <si>
    <t>Transceiver(For Switch)</t>
  </si>
  <si>
    <t>10 gigabit SFP+</t>
  </si>
  <si>
    <t>***Hyper-Converged Infrastructure - Offsite ( 2 Server Hardware)</t>
  </si>
  <si>
    <t>CPU 2*Intel Xeon Gold 5220R 2.2G, 24C/48T, 128G (32G*4) Memory,
  12*3.5in disk slots, 
 2*240G OS disks (configured with RAID1), 
 6*GE+2*10GE, no cache disk or data disk</t>
  </si>
  <si>
    <t>Tranciever</t>
  </si>
  <si>
    <t>***Software Features - Hyper Converged Infrastructure</t>
  </si>
  <si>
    <t>Must include at least virtualized computing (hypervisor), virtualized SAN (software-defined storage), and virtualized networking (software-defined networking).</t>
  </si>
  <si>
    <t>Must be capable and ready for network virtual security (Virtual Firewall, Bandwidth Manager, SSL VPN, WAN Optimization).</t>
  </si>
  <si>
    <t>Must have a minimum two nodes, and must be expandable from 2 nodes to more nodes directly without redo of implementation or reinitialization of HCI.</t>
  </si>
  <si>
    <t>The management platform must be integrated and distributed, not relying on a certain virtual machine or physical machine.</t>
  </si>
  <si>
    <t>Does not require installing additional management software after deployment of the hypervisor to achieve basic web-based access to GUI, granular management and easy operation</t>
  </si>
  <si>
    <t>Must support correlated security service with intelligent threat detection and response platform to automatically take actions (such as quarantine VM by distributed firewall, take snapshot for VM) against malicious activities that are detected by the security platform.</t>
  </si>
  <si>
    <t>Must have built-in Backup by default and support agent-less incremental VM-level backup. For Windows VMs, file-level recovery must be supported.</t>
  </si>
  <si>
    <t>Must have snapshot consistent group and scheduled snapshots, administrators can restore virtual machine image data to any snapshot point in time.</t>
  </si>
  <si>
    <t>Must have a backup mechanism (backup and recovery) to address issues such as software crash, mis-operations, damage data).</t>
  </si>
  <si>
    <t>Must be able to evaluate performance of virtual machines and hot-add resources (vCPU and vRAM) when they are running out of CPU or memory, minimizing business downtime.</t>
  </si>
  <si>
    <t>Must support module Activated CDP (Continues Data Protection)</t>
  </si>
  <si>
    <t>Must have AI-Enhanced database performance optimization with built-in self-adaptive performance optimization engine</t>
  </si>
  <si>
    <t>Support host health monitoring, when a host is deemed unhealthy, it will be put in an unhealthy host list, VM placement and HA failover will avoid using the unhealthy host as a destination. When the host is back to normal, it can be taken out of the unhealthy host list automatically.</t>
  </si>
  <si>
    <t>Storage is in distributed architecture where more than one storage nodes are composed of a Storage Area Network (SAN) that can be scaled out (by increasing nodes) to expand storage capacity and performance</t>
  </si>
  <si>
    <t>Support access via iSCSI, to enable other hosts in the cluster to use iSCSI to access the virtual storage, and make Server SAN and IP SAN work together and maximize storage utilization.</t>
  </si>
  <si>
    <t>A full copy of VM's data should exist on the node where the VM is running on to facilitate faster read and write</t>
  </si>
  <si>
    <t>The virtual storage of must make use of SSD as cache tier and spinning disk as data tier to ensure performance and cost balance. Data is written to SSD first and read from SSD in priority to improve performance.</t>
  </si>
  <si>
    <t>Data that is frequently accessed (also called hot data) can use SSD as a persistent storage media, when VM is migrated or host is rebooted, the hot data must still reside in the SSD for fast retrieval</t>
  </si>
  <si>
    <t>Support 3 data copies with 3 hosts to tolerate failure of any 2 disks or 1 host</t>
  </si>
  <si>
    <t>Support disk bad sector prediction, scanning and repair to maximize data security</t>
  </si>
  <si>
    <t>Support storage capacity prediction based on historical usage statistics and consumption behavior</t>
  </si>
  <si>
    <t>Support disk remaining life cycle prediction</t>
  </si>
  <si>
    <t>Natively support deploying virtual routers, virtual switches and firewalls.</t>
  </si>
  <si>
    <t>Built-in distributed firewall to apply granular access control policy between VMs, securing east-west traffic (also known as Micro-segmentation)</t>
  </si>
  <si>
    <t>The virtual router supports high availability. A failed virtual router can be automatically recovered upon host failure, to ensure high availability of routing service</t>
  </si>
  <si>
    <t>Visualized Network topology can be completed simply by dragging objects and drawing connections via a visualized web-based management panel</t>
  </si>
  <si>
    <t>Support data compression and encryption in the replication</t>
  </si>
  <si>
    <t>Support ingesting data with portable disks in production cluster and importing data to DR cluster to save bandwidth consumption</t>
  </si>
  <si>
    <t>***General Requirements</t>
  </si>
  <si>
    <t>The supplier should be certified reseller and partner</t>
  </si>
  <si>
    <t>The supplier must provide a solution that is branded and brand
 new. The solution must be from a reputable international brand
 with local presence and local depot of parts and supplies.</t>
  </si>
  <si>
    <t>The supplier shall perform the supply, delivery, installation,
 configuration, fine-tuning and testing of System.</t>
  </si>
  <si>
    <t>The supplier shall perform the necessary fine-tuning, upgrade,
 redesign or replacement of appliance to ensure the optimum
 performance of the System.</t>
  </si>
  <si>
    <t>At least three (3) years Software license subscription; upgrade,
 and technical support 7*24 ;</t>
  </si>
  <si>
    <t>The Manufacturer must have direct local support in the Philippines.</t>
  </si>
  <si>
    <t>In order to ensure the maturity of Hyper-Converged Solution technology, the Manufacturer must be CMMI L5 certified</t>
  </si>
  <si>
    <t>Supplier must have a least 2 local implementation experience in the same industry ( Government Hospital) with the same brand being offered.</t>
  </si>
  <si>
    <t>IP CAMERA</t>
  </si>
  <si>
    <t>Item Code</t>
  </si>
  <si>
    <t>PICTURE</t>
  </si>
  <si>
    <t>DHI-DSS7016DR-S2</t>
  </si>
  <si>
    <t>All-in-One Security Management Platform for Enterprise</t>
  </si>
  <si>
    <t>Easy to Use
 · All-in-One, Plug &amp; Play.
 · Performs unified management of video, access control,
 video intercoms, alarm controller, ANPR camera and face
 recognition camera through one DSS7016DR-S2.
 Powerful
 · Up to 1,000 video channels per server.
 · Up to 5,000 video channels via distributed deployment.
 · Up to 2,000 video intercoms per server.
 High Storage Performance
 · 15 built-in storage disk interface.
 · Up to 200TB per server, maximum 1PB through distributed
 deployment.
 · Up to 600Mbps storage bandwidth.
 Stable and Reliable
 · Hot standby system design.
 · Dahua’s unique N+M redundancy mode.
 · Redundant power design of DSS7016DR-S2 makes the system
 more stable</t>
  </si>
  <si>
    <t>ST10000NM001G</t>
  </si>
  <si>
    <t>3.5 SATA HDD</t>
  </si>
  <si>
    <t>10TB
3.5 SATA HDD
Enterprise X16 HDD 512E SATA</t>
  </si>
  <si>
    <t>S5600-48GT4XF</t>
  </si>
  <si>
    <t>Layer 3 Managed Switch</t>
  </si>
  <si>
    <t>Rich layer 3 features
High availability
Excellent manageability
Power saving design
Comprehensive security control policies
Support Intelligent Resilient Framework
Reliable hardware design with modular dual power supply
48 High-density 10/100/1000Base-T autosensing Ethernet ports and GE/10GE SFP + fiber ports onboard</t>
  </si>
  <si>
    <t>NVD1505DH-4I-4K</t>
  </si>
  <si>
    <t>Ultra-HD Network Video Decoder</t>
  </si>
  <si>
    <t>Standard 2.5U case, elegant appearance
Plug-in board design, easy to use and maintain
H.265+/ H.265/ H.264/ MPEG4/ MPEG2/ MJPEG video decoding
Ultra-high decoding ability, up to 32 Megapixels
2ch HDMI and 2ch DVI-I input, supports 4K collection
Supports 1/4/6/8/9/16/25/36 and free split
Supports alarm, RS232, RS485
Splicing screens control for zoom/merge/roam/overlay
Support redundant power, stable and reliable</t>
  </si>
  <si>
    <r>
      <rPr>
        <b/>
        <sz val="11"/>
        <color rgb="FF000000"/>
        <rFont val="Arial"/>
        <family val="2"/>
      </rPr>
      <t xml:space="preserve">Entity Name:  </t>
    </r>
    <r>
      <rPr>
        <b/>
        <u/>
        <sz val="11"/>
        <color theme="1"/>
        <rFont val="Arial"/>
        <family val="2"/>
      </rPr>
      <t>BATAAN GENERAL HOSPITAL AND MEDICAL CENTER</t>
    </r>
  </si>
  <si>
    <r>
      <rPr>
        <sz val="10"/>
        <color rgb="FF000000"/>
        <rFont val="&quot;Times New Roman&quot;"/>
      </rPr>
      <t xml:space="preserve">Office/Section </t>
    </r>
    <r>
      <rPr>
        <b/>
        <sz val="10"/>
        <color theme="1"/>
        <rFont val="Times New Roman"/>
        <family val="1"/>
      </rPr>
      <t>IHOMP</t>
    </r>
    <r>
      <rPr>
        <sz val="10"/>
        <color theme="1"/>
        <rFont val="Times New Roman"/>
        <family val="1"/>
      </rPr>
      <t xml:space="preserve"> </t>
    </r>
  </si>
  <si>
    <t>Timestamp</t>
  </si>
  <si>
    <t>Image Reference</t>
  </si>
  <si>
    <t>Googdle ID</t>
  </si>
  <si>
    <t>https://drive.google.com/uc?id=</t>
  </si>
  <si>
    <t>ICT23-1</t>
  </si>
  <si>
    <t>https://drive.google.com/open?id=1Ih4PSWao7irLqhWgsnYW3XEFxnHb7PkA</t>
  </si>
  <si>
    <t>ICT23-2</t>
  </si>
  <si>
    <t>https://drive.google.com/open?id=1ak-tu-KWiMfHMO8D1ahWNbliWr-ljvDh</t>
  </si>
  <si>
    <t>ICT23-3</t>
  </si>
  <si>
    <t>https://drive.google.com/open?id=12aJE8qc4jTO_PhTspWRUPED8KtLso9Fa</t>
  </si>
  <si>
    <t>ICT23-4</t>
  </si>
  <si>
    <t>https://drive.google.com/open?id=1En9XgypXxYUDUKfuzdOuJ4sYs_eRJEiF</t>
  </si>
  <si>
    <t>ICT23-5</t>
  </si>
  <si>
    <t>https://drive.google.com/open?id=1ro1lRMxhs3SkJleCNBU3FRRL4igRCFmf</t>
  </si>
  <si>
    <t>ICT23-6</t>
  </si>
  <si>
    <t>https://drive.google.com/open?id=1_GiBifW86bKGszMCXKIrk4ws_VG_kLZF</t>
  </si>
  <si>
    <t>ICT23-12</t>
  </si>
  <si>
    <t>https://drive.google.com/open?id=1e6XMUyeMlHk75z1qHgQc89BJgSR9YGfK</t>
  </si>
  <si>
    <t>DIGITAL FULL-COLOUR LASER COPIER, FULL-COLOUR LASER NETWORK PRINTER, FULL-COLOUR LASER NETWORK SCANNER, &amp; NETWORK FAX</t>
  </si>
  <si>
    <t>Existing</t>
  </si>
  <si>
    <t>Gbps</t>
  </si>
  <si>
    <t>Total system ports</t>
  </si>
  <si>
    <t>Network ports</t>
  </si>
  <si>
    <t>Uplink ports</t>
  </si>
  <si>
    <t>Proposed Upgrade</t>
  </si>
  <si>
    <t>POE+</t>
  </si>
  <si>
    <t>Core</t>
  </si>
  <si>
    <t>SG550X-24</t>
  </si>
  <si>
    <t>24x GE + 4x 10 GE</t>
  </si>
  <si>
    <t>24x GE</t>
  </si>
  <si>
    <t>2x 10 GE copper/SFP+ combo + 2x SFP+</t>
  </si>
  <si>
    <t>&gt;&gt;&gt;</t>
  </si>
  <si>
    <t>20 x 10G SFP+ + 4 x 10G copper/SFP+ combo + 1 x GE OOB management</t>
  </si>
  <si>
    <t>20 x 10G SFP+</t>
  </si>
  <si>
    <t>4 x 10G copper/SFP+ combo</t>
  </si>
  <si>
    <t>Distribution</t>
  </si>
  <si>
    <t>SG350X-48</t>
  </si>
  <si>
    <t>48x 1G + 4x 10G</t>
  </si>
  <si>
    <t xml:space="preserve">48x 1G
</t>
  </si>
  <si>
    <t>2x 10G copper/SFP+ combo
+ 2x SFP+</t>
  </si>
  <si>
    <t xml:space="preserve">CBS350-24FP-4X
</t>
  </si>
  <si>
    <t>24 Gigabit Ethernet +
4 x 10G</t>
  </si>
  <si>
    <t>24 x Gigabit Ethernet</t>
  </si>
  <si>
    <t>4 x 10G SFP+</t>
  </si>
  <si>
    <t>24 Ports</t>
  </si>
  <si>
    <t>On-Hand</t>
  </si>
  <si>
    <t>CBS350-8P-2G</t>
  </si>
  <si>
    <t xml:space="preserve">10 x Gigabit Ethernet
</t>
  </si>
  <si>
    <t>8 x Gigabit Ethernet</t>
  </si>
  <si>
    <t>2 x Gigabit Ethernet combo</t>
  </si>
  <si>
    <r>
      <rPr>
        <sz val="11"/>
        <color rgb="FF000000"/>
        <rFont val="Calibri, sans-serif"/>
      </rPr>
      <t xml:space="preserve">END-USER/UNIT: </t>
    </r>
    <r>
      <rPr>
        <b/>
        <sz val="11"/>
        <color rgb="FF000000"/>
        <rFont val="Calibri, sans-serif"/>
      </rPr>
      <t>IHOMP</t>
    </r>
  </si>
  <si>
    <t>OFFICE SUPPLIES</t>
  </si>
  <si>
    <t>Ballpen (Black)</t>
  </si>
  <si>
    <t>Ballpen (Red)</t>
  </si>
  <si>
    <t>DATA FILE BOX (RED)</t>
  </si>
  <si>
    <t>jar</t>
  </si>
  <si>
    <t>MARKER, permanent, felt tip, bullet type, BLACK</t>
  </si>
  <si>
    <t>MARKER, whiteboard, felt tip, bullet type, Black</t>
  </si>
  <si>
    <t>pad</t>
  </si>
  <si>
    <t>PAPER CLIP, vinyl/plastic coated, 50mm</t>
  </si>
  <si>
    <t>book</t>
  </si>
  <si>
    <t>STAPLE WIRE, for heavy duty staplers (23/13)</t>
  </si>
  <si>
    <t>Sticky note/memo pad,100s/pad assorted color</t>
  </si>
  <si>
    <t>TAPE DISPENSER, Table Top, for 24mm width tape</t>
  </si>
  <si>
    <t>PACK</t>
  </si>
  <si>
    <t>TAPE, masking, 48mm</t>
  </si>
  <si>
    <t>RING BINDER, blue</t>
  </si>
  <si>
    <t>bundle</t>
  </si>
  <si>
    <t>Double Sided Tape 1" (length: 50 meters)</t>
  </si>
  <si>
    <t>Double Sided Foam Tape 18mm x 5m</t>
  </si>
  <si>
    <t>Ian Guy Mendoza</t>
  </si>
  <si>
    <t>ROMEO C. TUAZON, JR., DrPH, RN, RM,   FPCHA, FPSQua</t>
  </si>
  <si>
    <t>IHOMP Head</t>
  </si>
  <si>
    <t>OIC-Chief Administrative Officer</t>
  </si>
  <si>
    <t>END-USER/UNIT:____________________</t>
  </si>
  <si>
    <t>HOUSEKEEPING</t>
  </si>
  <si>
    <t>can</t>
  </si>
  <si>
    <t>BROOM, soft (tambo)</t>
  </si>
  <si>
    <t>DETERGENT POWDER, all-purpose, 1kg</t>
  </si>
  <si>
    <t>pouch</t>
  </si>
  <si>
    <t>Door Mat, cloth, L20"xW15" up to 18"x23"</t>
  </si>
  <si>
    <t>DUST PAN, non-rigid plastic</t>
  </si>
  <si>
    <t>LIQUID HAND SANITIZER, 500mL</t>
  </si>
  <si>
    <t>LIQUID HAND SOAP, 500mL</t>
  </si>
  <si>
    <t>TRASHBAG</t>
  </si>
  <si>
    <t>Bath Soap,135g</t>
  </si>
  <si>
    <t>Chlorox/Chlorine 1 liter</t>
  </si>
  <si>
    <t>btl</t>
  </si>
  <si>
    <t>Dishwashing foam with scrubbing pad, size 3"x4"</t>
  </si>
  <si>
    <t>Dishwashing liquid 500ml</t>
  </si>
  <si>
    <t>Dipper With Handle, Plastic, 1 Liter</t>
  </si>
  <si>
    <t>Garbage Can, drum, plastic with cover, black, 20 to 32 gallons</t>
  </si>
  <si>
    <t>Heavy Duty Mop Squeezer Commercial Use 8kgs</t>
  </si>
  <si>
    <t>Pail with metal handle, 5 gallon</t>
  </si>
  <si>
    <t>List of Common-Use Supplies and Equipment</t>
  </si>
  <si>
    <t>Republic of the Philippines
 Department of Budget and Management PROCUREMENT SERVICE
 PHILIPPINE GOVERNMENT ELECTRONIC PROCUREMENT SYSTEM</t>
  </si>
  <si>
    <t>As of Wednesday, August 10, 2022</t>
  </si>
  <si>
    <t>Total No. of Items: 299</t>
  </si>
  <si>
    <t>BROOM, stick (ting-ting)</t>
  </si>
  <si>
    <t>CHALK, molded, white, dustless</t>
  </si>
  <si>
    <t>CLEARBOOK, 20 transparent pockets, A4</t>
  </si>
  <si>
    <t>CLEARBOOK, 20 transparent pockets, legal</t>
  </si>
  <si>
    <t>COMPUTER CONTINUOUS FORM, 1 ply, 280 X 241mm</t>
  </si>
  <si>
    <t>DATING AND STAMPING MACHINE</t>
  </si>
  <si>
    <t>ENVELOPE, expanding, kraft, legal</t>
  </si>
  <si>
    <t>ENVELOPE, Mailing, White</t>
  </si>
  <si>
    <t>44101714-FX-M01</t>
  </si>
  <si>
    <t>FACSIMILE MACHINE</t>
  </si>
  <si>
    <t>FILE ORGANIZER, expanding, plastic, 12 pockets</t>
  </si>
  <si>
    <t>FILE TAB DIVIDER, bristol board, for A4</t>
  </si>
  <si>
    <t>FOLDER, fancy, with slide, A4</t>
  </si>
  <si>
    <t>FOLDER, fancy, with slide, legal</t>
  </si>
  <si>
    <t>FOLDER, L-type, plastic, legal</t>
  </si>
  <si>
    <t>FURNITURE CLEANER, aerosol type</t>
  </si>
  <si>
    <t>44103105-BR-B04</t>
  </si>
  <si>
    <t>INK CART, BROTHER LC67B, Black</t>
  </si>
  <si>
    <t>44103105-BR-B05</t>
  </si>
  <si>
    <t>INK CART, BROTHER LC67HYBK, Black</t>
  </si>
  <si>
    <t>44103105-HP-P48</t>
  </si>
  <si>
    <t>Ink Cartridge, HP C9397A (HP72) 69ml Photo Black</t>
  </si>
  <si>
    <t>44103105-HP-C48</t>
  </si>
  <si>
    <t>Ink Cartridge, HP C9398A (HP72) 69ml Cyan</t>
  </si>
  <si>
    <t>44103105-HP-M48</t>
  </si>
  <si>
    <t>Ink Cartridge, HP C9399A (HP72) 69ml Magenta</t>
  </si>
  <si>
    <t>44103105-HP-Y48</t>
  </si>
  <si>
    <t>Ink Cartridge, HP C9400A (HP72) 69ml Yellow</t>
  </si>
  <si>
    <t>44103105-HP-G48</t>
  </si>
  <si>
    <t>Ink Cartridge, HP C9401A (HP72) 69ml Gray</t>
  </si>
  <si>
    <t>44103105-HP-B48</t>
  </si>
  <si>
    <t>Ink Cartridge, HP C9403A (HP72) 130ml Matte Black</t>
  </si>
  <si>
    <t>44103105-HP-M49</t>
  </si>
  <si>
    <t>Ink Cartridge, HP CH567A (HP82) Magenta</t>
  </si>
  <si>
    <t>44103105-HP-Y49</t>
  </si>
  <si>
    <t>Ink Cartridge, HP CH568A (HP82) Yellow</t>
  </si>
  <si>
    <t>MARKER, permanent, felt tip, bullet type, BLUE</t>
  </si>
  <si>
    <t>MARKER, permanent, felt tip, bullet type, RED</t>
  </si>
  <si>
    <t>MARKER, whiteboard, felt tip, bullet type, Blue</t>
  </si>
  <si>
    <t>MARKER, whiteboard, felt tip, bullet type, Red</t>
  </si>
  <si>
    <t>PAPER, MULTICOPY, 80gsm (-3%), A4, 210mm x 297mm</t>
  </si>
  <si>
    <t>PAPER, MULTICOPY, 80gsm (-3%), Legal 216mm x 330mm</t>
  </si>
  <si>
    <t>RAGS, all cotton</t>
  </si>
  <si>
    <t>RING BINDER, 32mm</t>
  </si>
  <si>
    <t>SIGN PEN, black</t>
  </si>
  <si>
    <t>SIGN PEN, blue</t>
  </si>
  <si>
    <t>SIGN PEN, red</t>
  </si>
  <si>
    <t>TOILET TISSUE PAPER, 2-ply, 100% recycled</t>
  </si>
  <si>
    <t>TOILET TISSUE PAPER, Interfolded Paper Towel</t>
  </si>
  <si>
    <t>44103103-BR-B03</t>
  </si>
  <si>
    <t>TONER CART, BROTHER TN-2025, Black</t>
  </si>
  <si>
    <t>44103103-BR-B05</t>
  </si>
  <si>
    <t>TONER CART, BROTHER TN-2150, Black</t>
  </si>
  <si>
    <t>44103103-SA-B21</t>
  </si>
  <si>
    <t>TONER CART, SAMSUNG MLT-D203E, Black</t>
  </si>
  <si>
    <t>44103103-SA-B18</t>
  </si>
  <si>
    <t>TONER CART, SAMSUNG MLT-D203L, Black</t>
  </si>
  <si>
    <t>44103103-SA-B12</t>
  </si>
  <si>
    <t>TONER CART, SAMSUNG MLT-D205E, Black</t>
  </si>
  <si>
    <t>WASTEBASKET, non-rigid plastic</t>
  </si>
  <si>
    <t>REQUISITION AND ISSUE SLIP</t>
  </si>
  <si>
    <r>
      <rPr>
        <sz val="11"/>
        <color rgb="FF000000"/>
        <rFont val="Arial"/>
        <family val="2"/>
      </rPr>
      <t xml:space="preserve">Entity Name : </t>
    </r>
    <r>
      <rPr>
        <b/>
        <sz val="11"/>
        <color rgb="FF000000"/>
        <rFont val="Arial"/>
        <family val="2"/>
      </rPr>
      <t>BGHMC</t>
    </r>
  </si>
  <si>
    <t>Fund Cluster: __________________</t>
  </si>
  <si>
    <t>Division:</t>
  </si>
  <si>
    <t>HOPS</t>
  </si>
  <si>
    <t>Responsibility Center Code: _________</t>
  </si>
  <si>
    <t>Office:</t>
  </si>
  <si>
    <t>RIS No.: _____________________</t>
  </si>
  <si>
    <t>Requisition</t>
  </si>
  <si>
    <t>Stock Available ?</t>
  </si>
  <si>
    <t>Issue</t>
  </si>
  <si>
    <t>Stock No</t>
  </si>
  <si>
    <t>Yes</t>
  </si>
  <si>
    <t>No</t>
  </si>
  <si>
    <t>CAT5E, ETHERNET CABLE, 300M, 24 AWG 4 PAIR SOLID BARE COPPER, 350 MHZ UNSHIELDED TWISTED PAIR (UTP) (DLINK)</t>
  </si>
  <si>
    <t>Combination Pliers Cutter Dynagrip Diagonal
 Cutting - Long Nose</t>
  </si>
  <si>
    <t>Head Lamp
 USB DC Chaging Head Light, waterproof, 6000 high lumen, with head strap</t>
  </si>
  <si>
    <t>Lower Feeder Roller compatible to existing
 EPSON Printer</t>
  </si>
  <si>
    <t>Laser Pointer Pen Wireless Receiver/Remote
 Control Power Point Presentation</t>
  </si>
  <si>
    <t>***Nothing Follows***</t>
  </si>
  <si>
    <t>Purpose:</t>
  </si>
  <si>
    <t>FOR IHOMP USE</t>
  </si>
  <si>
    <t>Signature:</t>
  </si>
  <si>
    <t>Requested by:</t>
  </si>
  <si>
    <t>Issued by:</t>
  </si>
  <si>
    <t>Received by:</t>
  </si>
  <si>
    <t>Printed Name:</t>
  </si>
  <si>
    <t>JOVER BARTOLOME</t>
  </si>
  <si>
    <t>ROMEO C TUAZON Jr.</t>
  </si>
  <si>
    <t>Designation:</t>
  </si>
  <si>
    <t>CMT II</t>
  </si>
  <si>
    <t>OIC-CAO</t>
  </si>
  <si>
    <t>PSY-F-02-02</t>
  </si>
  <si>
    <t>CONSO</t>
  </si>
  <si>
    <t>OFFICE</t>
  </si>
  <si>
    <t>Binder Clip 50mm, backfold</t>
  </si>
  <si>
    <t>Bulldog Clip</t>
  </si>
  <si>
    <t>EXPANDABLE FOLDER, LONG (Blue)</t>
  </si>
  <si>
    <t>Laminating Film (A4), 100pcs/box</t>
  </si>
  <si>
    <t>Laminating Film (Long), 100pcs/box min. 250 micron</t>
  </si>
  <si>
    <t>PAPER FASTENER, plastic, 50 sets/box</t>
  </si>
  <si>
    <t>A3 BOND PAPER PRINTING PAPER 70 GSM</t>
  </si>
  <si>
    <t>Photo Paper 210 mmx297mm ( A4 size) X 20's</t>
  </si>
  <si>
    <t>Puncher,paper heavy duty WITH TWO HOLE GUIDE</t>
  </si>
  <si>
    <t>Steel Cabinet</t>
  </si>
  <si>
    <t>HK</t>
  </si>
  <si>
    <t>gallon</t>
  </si>
  <si>
    <t>Ballpen (Green)</t>
  </si>
  <si>
    <t>CLIP, backfold, 50mm (12 PCS/BOX)</t>
  </si>
  <si>
    <t>Fastener 50' Plastic Assrtd Color</t>
  </si>
  <si>
    <t>JAR</t>
  </si>
  <si>
    <t>MARKER, fluorescent (in sets of 3 colors)</t>
  </si>
  <si>
    <t>Rubber Band,1.0mm min thickness, min 350grams/box 220pcs (SMALL)</t>
  </si>
  <si>
    <t>SCISSORS, 8.5"</t>
  </si>
  <si>
    <t>Typewriter Ribbon for manual typewriter</t>
  </si>
  <si>
    <t>Utility box , 67liters 63cmx44cmx36cm with wheels</t>
  </si>
  <si>
    <t>CAN</t>
  </si>
  <si>
    <t>GALLON</t>
  </si>
  <si>
    <t>SE</t>
  </si>
  <si>
    <t>Air freshener, lemon, 320ml</t>
  </si>
  <si>
    <t>Broom  Soft, tambo</t>
  </si>
  <si>
    <t>Disinfectant Spray, 400 ml</t>
  </si>
  <si>
    <t>Trash Bag, black,medium,size 22x24, 100 pcs/per pack</t>
  </si>
  <si>
    <t>Emergency Light</t>
  </si>
  <si>
    <t>Flourescent Light (Long)</t>
  </si>
  <si>
    <t>Batter AAA/Triple A</t>
  </si>
  <si>
    <t>Batter AA/Double A</t>
  </si>
  <si>
    <t>CLEARBOOK, "easzi-zip" 20 transparent pockets, A4 , black</t>
  </si>
  <si>
    <t>DATA FILE BOX (Red)</t>
  </si>
  <si>
    <t>DATA FILE BOX (Blue)</t>
  </si>
  <si>
    <t>Double sided Tape</t>
  </si>
  <si>
    <t>STAMP "CONTROLLED COPY" w/ BGHMC Logo 1" x 2.5"</t>
  </si>
  <si>
    <t>STAMP "UNCONTROLLED COPY" w/ BGHMC Logo 1" x 2.5"</t>
  </si>
  <si>
    <t>STAMP "REFERENCE COPY" w/ BGHMC Logo 1" x 2.5"</t>
  </si>
  <si>
    <t>STAMP "OBSOLETE COPY" w/ BGHMC Logo</t>
  </si>
  <si>
    <t>1" x 2.5"</t>
  </si>
  <si>
    <t>STAMP "REGISTERED COPY" w/ BGHMC Logo  1" x 2.5"</t>
  </si>
  <si>
    <t>STAMP "EXTERNAL COPY" w/ BGHMC Logo  1" x 2.5"</t>
  </si>
  <si>
    <t>STAMP PAD INK, black</t>
  </si>
  <si>
    <t>STAMP PAD INK, blue</t>
  </si>
  <si>
    <t>STAMP PAD INK, red</t>
  </si>
  <si>
    <t>Laminating Film (long), 100pcs/box</t>
  </si>
  <si>
    <t>Laminating Film (A3), 100pcs/box</t>
  </si>
  <si>
    <t>PAPER, A3</t>
  </si>
  <si>
    <t>Dater</t>
  </si>
  <si>
    <t>Eraser, rubber small</t>
  </si>
  <si>
    <t>CLEARBOOK, refill sheets</t>
  </si>
  <si>
    <t>Ink, for A3, black</t>
  </si>
  <si>
    <t>Ink, for A3, magenta</t>
  </si>
  <si>
    <t>Ink, for A3, cyan</t>
  </si>
  <si>
    <t>Ink, for A3, yellow</t>
  </si>
  <si>
    <t>CLEARBOOK, 20 transparent pockets, A4 (preferably Black in Color for ISO &amp; PGS)</t>
  </si>
  <si>
    <t>CLEARBOOK, 20 transparent pockets, legal  (preferably Black in Color for ISO &amp; PGS)</t>
  </si>
  <si>
    <t>DATA FILE BOX (preferably Green in color)</t>
  </si>
  <si>
    <t>Door Mat, cloth, L20"xW15"up to 18"x23"</t>
  </si>
  <si>
    <t>Battery , Dry Cell, AAA</t>
  </si>
  <si>
    <t>Clip, backfold, 50 mm</t>
  </si>
  <si>
    <t>Carbon Film, polyethylene 216mmx330mm, 100s/box (Blue Copy)</t>
  </si>
  <si>
    <t>Fastener 50's plastic asstd. Color</t>
  </si>
  <si>
    <t>Expandable Folder, Long (Blue)</t>
  </si>
  <si>
    <t>Expandable Folder, Long (Yellow)</t>
  </si>
  <si>
    <t>Marker, fluorescent</t>
  </si>
  <si>
    <t>Plastic (sando bag) large x 50's</t>
  </si>
  <si>
    <t>Ring Binder Spine Black Plastic Comb Binding Spines for 350 sheets (Width: 38mm)</t>
  </si>
  <si>
    <t>Ring Binder Spine Black Plastic Comb Binding Spines for 500 sheets (Width: 51mm)</t>
  </si>
  <si>
    <t>Scissors 7"</t>
  </si>
  <si>
    <t>ICT SUPPLIES</t>
  </si>
  <si>
    <t>Broom Stick, tingting</t>
  </si>
  <si>
    <t>Chlorox, Color Safe 900 ml</t>
  </si>
  <si>
    <t>Detergent Powder with fabric conditioner, 120g</t>
  </si>
  <si>
    <t>Door Mat, cloth, L20" x W15" up to 18" x 23"</t>
  </si>
  <si>
    <t>Dust pan, non-rigid plastic, with detachable handle</t>
  </si>
  <si>
    <t>Interfolded paper towel, 175 pulls</t>
  </si>
  <si>
    <t>Toilet Plunger, wooden, big, heavy duty</t>
  </si>
  <si>
    <t>Trash Bag, black, extra large, size 30x37, 10 pcs/per roll</t>
  </si>
  <si>
    <t>PROJECT PROCUREMENT MANAGEMENT PLAN 2023</t>
  </si>
  <si>
    <t>______________________</t>
  </si>
  <si>
    <t>Purpose</t>
  </si>
  <si>
    <t xml:space="preserve"> 2TB Back Up 2.5 USB 3.0</t>
  </si>
  <si>
    <t>For Files Backup troubleshooting</t>
  </si>
  <si>
    <t>it</t>
  </si>
  <si>
    <t xml:space="preserve"> Fast Drying Contact Cleaner</t>
  </si>
  <si>
    <t>Contact cleaner</t>
  </si>
  <si>
    <t>16 Port Gigabit Network Switch 10/100/1000Mbps</t>
  </si>
  <si>
    <t>For IT use</t>
  </si>
  <si>
    <t>For special purpose file transfer</t>
  </si>
  <si>
    <t>24 Port Gigabit Network Switch 10/100/1000Mbps</t>
  </si>
  <si>
    <t>240GB SSD SATA3 2.5</t>
  </si>
  <si>
    <t>Replacement</t>
  </si>
  <si>
    <t>For offline IT Installation apps</t>
  </si>
  <si>
    <t>650 VA UPS</t>
  </si>
  <si>
    <t>For protect desktop computers from surge current or brownout</t>
  </si>
  <si>
    <t>8 Port Gigabit Switch | PoE Switch</t>
  </si>
  <si>
    <t>8 Port Network Switch 10/100Mbps</t>
  </si>
  <si>
    <t>Aluminum cable ramps</t>
  </si>
  <si>
    <t>Cable floor protection</t>
  </si>
  <si>
    <t>Anti static matting</t>
  </si>
  <si>
    <t>For troubleshooting electronics</t>
  </si>
  <si>
    <t>ATX Power Supply - 600W</t>
  </si>
  <si>
    <t>CPU Power Supply Replacement</t>
  </si>
  <si>
    <t>Battery and Charger Kit 3.0Ah</t>
  </si>
  <si>
    <t>Backup battery for longer continuous use</t>
  </si>
  <si>
    <t>Biometrics Fingerprint Scanner</t>
  </si>
  <si>
    <t>For Biometrics</t>
  </si>
  <si>
    <t>Cable tie (Black) 10" x 100/pack</t>
  </si>
  <si>
    <t>Cable grooming</t>
  </si>
  <si>
    <t>Cable tie (Black) 12" x 100/pack</t>
  </si>
  <si>
    <t>Cable tie (Black) 4" x 100/pack</t>
  </si>
  <si>
    <t>Cable tie (Black) 6" x 100/pack</t>
  </si>
  <si>
    <t>Cable tie (Black) 8" x 100/pack</t>
  </si>
  <si>
    <t>Cable tie (White) 10" x 100/pack</t>
  </si>
  <si>
    <t>Cable tie (White) 12" x 100/pack</t>
  </si>
  <si>
    <t>Cable tie (White) 4" x 100/pack</t>
  </si>
  <si>
    <t>Cable tie (White) 6" x 100/pack</t>
  </si>
  <si>
    <t>Cable tie (White) 8" x 100/pack</t>
  </si>
  <si>
    <t>CAT6 Outdoor UTP Cable</t>
  </si>
  <si>
    <t>LAN Cable</t>
  </si>
  <si>
    <t>CAT6 UTP Cable</t>
  </si>
  <si>
    <t>CAT6/CAT5e Tool-Less Keystone Jack</t>
  </si>
  <si>
    <t>UTP coupler extensions</t>
  </si>
  <si>
    <t>CMOS Battery</t>
  </si>
  <si>
    <t>For Desktop CPU spare parts</t>
  </si>
  <si>
    <t>Cordless Blower with Battery</t>
  </si>
  <si>
    <t>For cleaning IT equipment and computers</t>
  </si>
  <si>
    <t>efms</t>
  </si>
  <si>
    <t>Cordless Brushless Vacuum Cleaner with Battery</t>
  </si>
  <si>
    <t>Cordless Hammer Drill Kit Set with Battery</t>
  </si>
  <si>
    <t>For installations that require wall drillings at heights</t>
  </si>
  <si>
    <t>Electrical Tape</t>
  </si>
  <si>
    <t>For troubleshooting</t>
  </si>
  <si>
    <t>Hand Trolley Foldable Push Cart 300kg</t>
  </si>
  <si>
    <t>Transferring of IT equipment</t>
  </si>
  <si>
    <t>High Performance Thermal Paste</t>
  </si>
  <si>
    <t>For computer maintenance</t>
  </si>
  <si>
    <t>High Quality Crimping Tool RJ11, RJ12, RJ45</t>
  </si>
  <si>
    <t>Network Installation tool</t>
  </si>
  <si>
    <t>Identification Tags Cable Labels Stickers (White)</t>
  </si>
  <si>
    <t>Network labeling purposes</t>
  </si>
  <si>
    <t>Labelling Machine</t>
  </si>
  <si>
    <t>Laminated ribbons TZE 231</t>
  </si>
  <si>
    <t>Spare laminated ribbons</t>
  </si>
  <si>
    <t xml:space="preserve">Laptop </t>
  </si>
  <si>
    <t>Dedicated for AVP at Auditorium (5th flr OPD Bldg)</t>
  </si>
  <si>
    <t>LED Headlamp</t>
  </si>
  <si>
    <t>Working at dark</t>
  </si>
  <si>
    <t>LED Monitor 21.5"</t>
  </si>
  <si>
    <t>Desktop Monitor replacement</t>
  </si>
  <si>
    <t>Multimeter Tester</t>
  </si>
  <si>
    <t>Network LAN Kit Cable Tester w/ Crimping Tool Set</t>
  </si>
  <si>
    <t>Network cabling tools</t>
  </si>
  <si>
    <t>Outdoor CPE | P2P AP</t>
  </si>
  <si>
    <t>For IT use - Wireless connection</t>
  </si>
  <si>
    <t>Connector</t>
  </si>
  <si>
    <t>Rj45 Connector</t>
  </si>
  <si>
    <t>Rj45 Rubber Boots (Black)</t>
  </si>
  <si>
    <t>Cable parts</t>
  </si>
  <si>
    <t>SATA Adapter 2.5 Inch SATA to USB</t>
  </si>
  <si>
    <t>For troubleshooting HDD</t>
  </si>
  <si>
    <t>Sata Cable</t>
  </si>
  <si>
    <t>Set of Tools</t>
  </si>
  <si>
    <t>Electronics Master Kit</t>
  </si>
  <si>
    <t>Telephone replacement</t>
  </si>
  <si>
    <t>Soldering Iron Rework Station Hot Air Welding Tool</t>
  </si>
  <si>
    <t>Tone Tracer</t>
  </si>
  <si>
    <t>Tracing telephone cable and LAN cable</t>
  </si>
  <si>
    <t>UPS Battery Replacement</t>
  </si>
  <si>
    <t>USB Keyboard and Mouse</t>
  </si>
  <si>
    <t>Walkie Talkie Two-Way Radio SET</t>
  </si>
  <si>
    <t>For events coordination and distance troubleshooting</t>
  </si>
  <si>
    <t xml:space="preserve">Waterseal Mastic Tape </t>
  </si>
  <si>
    <t>Outdoor weatherproof tape</t>
  </si>
  <si>
    <t>WD-40</t>
  </si>
  <si>
    <t>Multi - Purpose Penetrating Oil</t>
  </si>
  <si>
    <t>Wifi dongle</t>
  </si>
  <si>
    <t>Wireless Access Point</t>
  </si>
  <si>
    <t xml:space="preserve">Wireless Outdoor Access Point </t>
  </si>
  <si>
    <t>Ladder</t>
  </si>
  <si>
    <t>big push cart</t>
  </si>
  <si>
    <t>Telephone Tester</t>
  </si>
  <si>
    <t>Additional for network upgrades</t>
  </si>
  <si>
    <t>ISR Router</t>
  </si>
  <si>
    <t>Network router</t>
  </si>
  <si>
    <t>Firewall with bundled 1yr subscription</t>
  </si>
  <si>
    <t>Network Firewall</t>
  </si>
  <si>
    <t>Nework Attached Storage (NAS)</t>
  </si>
  <si>
    <t>Network Storage</t>
  </si>
  <si>
    <t>Hard Disk Drive for NAS</t>
  </si>
  <si>
    <t>96 TB (8 TB drive x 12) - Total Storage</t>
  </si>
  <si>
    <t>Memory for NAS</t>
  </si>
  <si>
    <t>RAM</t>
  </si>
  <si>
    <t>Gooseneck mic</t>
  </si>
  <si>
    <t>Entity Name: BATAAN GENERAL HOSPITAL AND MEDICAL CENTER</t>
  </si>
  <si>
    <t>Office/Section IHOMP</t>
  </si>
  <si>
    <t>PR No.: ______________</t>
  </si>
  <si>
    <t>Date: February 15, 2021</t>
  </si>
  <si>
    <t>Responsibility Center Code : ___________</t>
  </si>
  <si>
    <t>16-Port Gigabit or higher Rackmount Switch; Auto Negotiation 10/100/1000Mbps RJ45 Ports; at least 32Gbps Switching Capacity; With at least 1 year warranty.</t>
  </si>
  <si>
    <t>1TB 5400rpm HDD 3.5" Internal Desktop Hard Drive; With at least 3 years warranty.</t>
  </si>
  <si>
    <t>1TB 7200rpm HDD; 64MB Cache 3.5" Internal Desktop Hard Drive; With at least 3 years warranty.</t>
  </si>
  <si>
    <t>1TB External Slim HDD 2.5" ; Compatible with USB 3.0 and USB 2.0;Works with Windows and Mac; At least 1 x USB 3.1 Gen 1 (USB Micro-B) Connection Interface ; With at least 3 years warranty.</t>
  </si>
  <si>
    <t>24-Port or higher Gigabit Rackmount Switch; Auto Negotiation 10/100/1000Mbps RJ45 Ports; at least 48Gbps Switching Capacity; With at least 1 year warranty.</t>
  </si>
  <si>
    <t>240GB SSD or higher SATA3 2.5"; Data Transfer up to 500MB/s Read and 320MB/s Write; With at least 3 years warranty.</t>
  </si>
  <si>
    <t>2TB or higher Slim Portable Drive with High-Speed USB 3.0 &amp; 2.0 Connectivity, Plug-and-play with Mac &amp; PC; at least 20MB per minute Transfer rate; With at least 3 years warranty.</t>
  </si>
  <si>
    <t>DDR4 3000MHz or higher - 32GB (2x16GB); Intel and AMD supported, Compatible with Desktop Motherboard; With at least 1 year warranty.</t>
  </si>
  <si>
    <t>480GB SSD or higher SATA3 2.5"; Data Transfer up to 500MB/s Read and 450MB/s Write; With at least 3 years warranty.</t>
  </si>
  <si>
    <t>325 Watts/650 VA UPS; at least (2) Universal Receptacle; With at least 1 year warranty.</t>
  </si>
  <si>
    <t>650w or higher Desktop Computer ATX Power Supply; Compatible with ATX / Micro ATX Motherboards; 80 PLUS GOLD Certified; Semi modular cables; 130mm-150mm (L) x 140mm-160mm (W) x 76mm-96mm (H); with atleast minimum of 3 years warranty</t>
  </si>
  <si>
    <t>8 Port Gigabit Network Switch 10/100/1000Mbps; Auto-Negotiation RJ45 ports supporting Auto-MDI/MDIX; Steel housing, desktop or wall-mounting desig; Plug and play, no configuration needed; With at least 1 year warranty.</t>
  </si>
  <si>
    <t>8-Port Gigabit Desktop Switch with 4-Port PoE; Auto Negotiation 10/100/1000Mbps RJ45 Ports; atleast 16Gbps Switching capacity or higher; With at least 1 year warranty.</t>
  </si>
  <si>
    <t>8 Port Network Switch;10/100Mbps Unmanaged switch; Plastic case;IEEE 802.3x flow control provides reliable data transfer; Plug and play, no configuration required; With at least 1 year warranty.</t>
  </si>
  <si>
    <t>Single Line Telephone (BLACK); 3 Programmable Ringer Tones; Mute Control; Wall Mounted; Last Number Redial; Adjustable Ringer/Handset Volume; Time Flash; Switchable Tone or Pulse Dialing; Compatible with NEC SL1000 Communication Server ; With at least 1 year warranty.</t>
  </si>
  <si>
    <t>Branded Android Phone with 4gb ram or higher; Atleast 6" LCD size or higher; 4000mah battery or higher; With at least 1 year warranty.</t>
  </si>
  <si>
    <t>ATX Power Supply High quaility - at least 600W; With atleast 6mos warranty</t>
  </si>
  <si>
    <t>Digital Audio Recorder with USB, 4GB RAM; With at least 1 year warranty.</t>
  </si>
  <si>
    <t>Automatic Voltage Regulator (AVR) at least 500watts; Cord Length 0.8m to 1.2meters
 Input voltage range for main operations: 160 - 285V; At least 3 Universal Outlets; With at least 1 year warranty.</t>
  </si>
  <si>
    <t>Biometrics Fingerprint Scanner Glass type; Interface USB 2.0; Compatible with Windows 7/8/10/Server; 'Fingerprint Reader with GLASS imaging window; Pixel Resolution: 500 dpi(native) or higher, 1000dpi (interpolated) or higher; Scan Capture area: 12.8mmx16.5mm; IP64 rated; With at least 2 years warranty.</t>
  </si>
  <si>
    <t>Branded Laptop: Intel i7 10510U - 10th Gen or Higher;1.8GHz or Higher Base Frequency; 4.9Ghz Turbo Frequency; 8MB Cache; 4 Cores; 16GB DDR4, upgradable to 32GB Two(2)Memory Slots; 256GB SSD + 1TB SATA 5400 RPM;15.6 Full HD 1920x1080, 16:9 Aspect Ratio; Ultra-Slim design; 2GB NVIDIA GeForce MX230 GDDR5 Dedicated Graphics; 1920x1080 pixel resolution; Gigabit Ethernet 10/100/1000 Wireles Lan 802.11 Ac IEEE 802.11, Bluetooth 5.0; Standard I/O Ports; One (1) Usb Type-c, One (1) Usb 3.1 Gen 1 ports, Two (2) Usb 3.1 ports, One(1) HDMI Port, One (1)Headphone/Speaker/Jack/Combo Jack, One (1)SD Card Reader,Three (3) years warranty on both parts and labor; One (1) year on Batteries; With Authorized Service Center</t>
  </si>
  <si>
    <t>Desktop speaker,2 Watts,2 x 2.75" Driver,90Hz - 20KHz, USB port; With at least 1 year warranty.</t>
  </si>
  <si>
    <t>Digital Telephone 24 key; The keypad is backlit Display (at least 165 x 58 pixel size); 4 soft keys; Programmable keysl Wall mountable; RJ9: Digital Connection to Switch; Handsfree (full duplex); With at least 1 year warranty.</t>
  </si>
  <si>
    <t>DOT Matrix Printer: Impact Dot, Narrow carriage 24-pin High 416 CPS print speed or higher at 12CPI; With at least 2 years warranty.</t>
  </si>
  <si>
    <t>DR-M160II, Scans up to 60 pages per minute, Single-pass duplex scanning
 Both sides of a sheet in one pass, Up to 60 sheet ADF; With at least 2 years warranty.</t>
  </si>
  <si>
    <t>Uni-directional gooseneck condenser microphone; High Quality; DC 3V (UM-1.5x2) 2pcs AA battery;
 High grade low noise microphone cable; High sensitivity mic; push button on the base; 
 Mic length: 40cm to 50 cm; Cable length: approx. 3.5m to 4.5m; Flexible and bendable mic; With at least 1 year warranty.</t>
  </si>
  <si>
    <t>High Speed Gold Plated HDMI Cable 15 meter or more For LCD DVD HDTV 3D (Black/Red)</t>
  </si>
  <si>
    <t>High Quality Professional crimping, stripping and cutting hand Tool RJ11, RJ12, RJ45; Frame made from high-quality carbon steel;Ergonomically designed anti-slip handles</t>
  </si>
  <si>
    <t>Intel Core i7 10th Gen 8-Core 3.8 GHz base minimum or AMD Ryzen 7 3800 Series 8-Core 3.9 GHz base minimum Processor; Compatible with the motherboard; with processor fan; With at least 1 year warranty</t>
  </si>
  <si>
    <t>Labelling Machine; Graphical display:View text and layout before printing; Prints labels with up to 5 lines of text; Modern design with large, easy-type keyboard; Easily add frames and other formatting features; Save up to 50 commonly used labels; With at least 1 year warranty</t>
  </si>
  <si>
    <t>Laminating Machine; 80-180C Operating temperature; 1mm Maximum laminating thickness; Ready Light, Power Light, Power Switch; at least 0.5m per minute laminating speed; at least 620W power; With at least 1 year warranty</t>
  </si>
  <si>
    <t>Laser Pointer with clicker, Wave Length: 640~660mm (Red Light), Wireless Operating Distance: Approximately 10 meters, Wireless Technology: 2.4GHz Wireless Technology; With at least 1 year warranty</t>
  </si>
  <si>
    <t>LaserJet Printer, Print speed: Colour: up to 12 ppm
 Black: up to 16 ppm, Max print resolution:
 600 x 600 dpi, Connectivity: 10/100BaseTX Ethernet, USB 2.0, Supported Paper: Legal / Letter / A4;With at least 1 year warranty</t>
  </si>
  <si>
    <t>LED Headlamp; Brightness: 5000 lumen or more; Light Source: 3 *XM-L2 LED Bulbs or higher; Waterproof:Yes; Battery Type:Lithium Ion; 2*18650 battery; With at least 1 year warranty</t>
  </si>
  <si>
    <t>LED Monitor 21.5" or higher; Resolution: 1920 x 1080 PX; Refresh Rate: 60Hz or higher; Active Screen Area: 476,64x268,11 mm; Bezel Type: Borderless; HDMI, VGA; at least 2 years warranty; With Authorized Service Center</t>
  </si>
  <si>
    <t>ATX Mid-Tower with Tempered Glass; Motherboard support: Mini-ITX, MicroATX, and ATX; minimum 6pcs 120mm fans; Front I/O USB Type-C Port and Tempered glass side panel with single screw installation;With at least 1 year warranty</t>
  </si>
  <si>
    <t>22" IPS VGA/HDMI Monitor Resolution: 1920 x 1080; Refresh Rate: 60 Hz or higher; Power Cable; Bezel Type: Borderless; With at least 1 year warranty. With Authorized Service Center</t>
  </si>
  <si>
    <t>Monitor minimum 27" or higher IPS 4K UHD 3840x2160 HDMI DP; TN panel, 16:9 aspect ratio; 300 cd/M2 Brightness or higher, 60-75 Hz refresh rate, 0.5-1ms response time; With at least 1 year warranty. With Authorized Service Center</t>
  </si>
  <si>
    <t>Motherboard compatible with processor Intel Core i7 10th Gen 8-Core 3.8 GHz base minimum or AMD Ryzen 7 3800 Series 8-Core 3.9 GHz base minimum Processor; With at least 1 year warranty.</t>
  </si>
  <si>
    <t>Multi-Function Printer: Print/Scan/Copy), Color, Ink Tank System, High Speed USB 2.0, Supported Paper: Legal / Letter / A4; High quality; Leading Brand; With at least 1 year warranty.</t>
  </si>
  <si>
    <t>Digital Multimeter 600 V Cat III safety rating; Voltage, resistance, continuity, capacitance, and diode test; Input terminal for ac and dc current measurements to at least 10 A current; 2 AA Battery type; 170mm-190mm (H) x 80mm-100m (W) x 40mm-60mm (L); With at least 2 years warranty.</t>
  </si>
  <si>
    <t>Power Supply (compatible with ACER Veriton M2665G; With at least 1 year warranty.</t>
  </si>
  <si>
    <t>Single Function Printer: ink tank system; dye ink; 720x720 dpi; With at least 1 year warranty.</t>
  </si>
  <si>
    <t>Telefax Machine; Caller ID*1 Ready; Out of paper reception; directory dialing; timed flash memory; tone switching; monitor speaker for on-hook dialing; pause control; document feeder; copier function; With atleast 1 year warranty or higher.</t>
  </si>
  <si>
    <t>Tone Tracer with Tone selector switch; 3 position switch controls the mode of operation; Power supply is in any 9V battery; Red &amp; black test leads are provided &amp; has a standard 4 conductor modular cord &amp; plug.</t>
  </si>
  <si>
    <t>Thermal Printer, Thermal Roll Paper: 79.5 +/-0.5 (W) x diameter 83.0mm, Paper Thickness: 0.06mm to 0.07mm, Print Speed: 200mm/sec; With at least 1 year warranty.</t>
  </si>
  <si>
    <t>TWO WAY RADIO,Dual Band portable two way radio set of 3; Frequency range: UHF 400-480 MHz, VHF 136-175 MHz (DUAL BAND); 128 Channel; 2.5/6.25/10/12.5/20/25KHZ Spacing; 7.4v Operated Voltage; 1800MAH Battery Capacity or higher; 10 hours battery life or higher; RF Power output: 5w; Modulation: F3E; Spurious Emission: 65db; With at least 1 year warranty.</t>
  </si>
  <si>
    <t>300Mbps or higher Mini Wireless USB Adapter WiFi Adapter/Dongle;With at least 1 year warranty.</t>
  </si>
  <si>
    <t>WIFI Router/Access Point: Outdoor 300Mbps or higher Wireless Outdoor Access Point Long Range Outdoor; with 2x2 MIMO technology; With at least 1 year warranty.</t>
  </si>
  <si>
    <t>Wireless Access Point 300Mbps or higher Wireless N Router; WISP/Router/Repeater/Access Point 4 In One; Durable, weatherproof enclosure to withstand fair and foul weather; Passive PoE(Power over Ethernet); Supports management VLAN; With at least 1 year warranty.</t>
  </si>
  <si>
    <t>UPS 1KVa; Output power capacity: 1000VA/600Watts or more; 1.5m or higher cord length; IEC-320 C14 Input connections; Nominal Output Voltage: 230V; AVR; At least 4 universal outlet; With at least 1 year warranty.</t>
  </si>
  <si>
    <t>UPS 625Va; 230V, AVR, Floor, Universal Sockets; 25 Watts /625 VA,Input230V /Output230V, Extended runtime model; Includes: Qty 1 – Detachable 2.0 m NEMA 5-15P to IEC C13 power cord, User Manual; With 1 year warranty or higher.</t>
  </si>
  <si>
    <t>UPS Battery High quality compatible with APC BX625CI-MS; With 1 year warranty or higher.</t>
  </si>
  <si>
    <t>Branded Video Card NVIDIA or RADEON , 4GB or higher, Gddr5 or higher, 128Bit or higher, PCI Express 3.0; Memory bandwidth 192; Display support 7680x432@120hz; Standard Display Connectors Hdmi 2.0b, DL-DVI-D, DP1.4a, Multi-monitor; With at least 1 year warranty.</t>
  </si>
  <si>
    <t>Wireless Outdoor Access Point; for outdoor Wi-Fi applications; Up to 300Mbps; High transmission power and high gain antennas provide a long-range coverage area; Durable, weatherproof enclosure to withstand fair and foul weather; With 1 year warranty or higher.</t>
  </si>
  <si>
    <t>Network LAN Kit Cable Tester w/ Crimping Tool Set; High quality</t>
  </si>
  <si>
    <t>Projector: 3LCD Projector; 3600 Lumens; Input connectivity: VGA,USB,HDMI;Resolution 1080p; With 1 year warranty or higher.</t>
  </si>
  <si>
    <t>SATA Adapter 2.5 Inch SATA to USB; High quality</t>
  </si>
  <si>
    <t>128GB USB Flash Drive (Branded); High quality</t>
  </si>
  <si>
    <t>64GB USB Flash Drive (Branded); High quality</t>
  </si>
  <si>
    <t>32GB USB Flash Drive (Branded); High quality</t>
  </si>
  <si>
    <t>8GB USB Flash Drive (Branded); High quality</t>
  </si>
  <si>
    <t>Keyboard: Full sized;USB wired; Comfortable A-Shape Spill resistant USB Black; Comfort RoundEdge Keycaps; High quality; With 1 year warranty or higher.</t>
  </si>
  <si>
    <t>Anti static matting 300x400mm or higher; GROUNDING MAT with Coil Cable Anti Static ESD Mat Ground Point Cord; High quality</t>
  </si>
  <si>
    <t>SATA 3.0 Cable SATA III 6GB/s Right Angle 90 Degree for HDD Hard Drive 50cm or more; High quality</t>
  </si>
  <si>
    <t>Fast Drying Contact Cleaner; Specialist Fast Drying Contact Cleaner 350-400mL or higher</t>
  </si>
  <si>
    <t>5 Way Reusable Spring Lever Terminal Block; High quality</t>
  </si>
  <si>
    <t>3 Way Reusable Spring Lever Terminal Block; Hugh quality</t>
  </si>
  <si>
    <t>2 Way Reusable Spring Lever Terminal Block; High Quality</t>
  </si>
  <si>
    <t>Electrical Tape; Insulating, Electrical Tape, Flame Resistant,0.18mmx18mmx20-25m or higher; High quality</t>
  </si>
  <si>
    <t>Cable tie (Black) 10"; high quality</t>
  </si>
  <si>
    <t>Cable tie (Black) 12"; high quality</t>
  </si>
  <si>
    <t>Cable tie (Black) 4"; high quality</t>
  </si>
  <si>
    <t>Cable tie (Black) 6"; high quality</t>
  </si>
  <si>
    <t>Cable tie (Black) 8"; high quality</t>
  </si>
  <si>
    <t>Cable tie (White) 10"; high quality</t>
  </si>
  <si>
    <t>Cable tie (White) 12"; high quality</t>
  </si>
  <si>
    <t>Cable tie (White) 4"; high quality</t>
  </si>
  <si>
    <t>Cable tie (White) 6"; high quality</t>
  </si>
  <si>
    <t>Cable tie (White) 8"; high quality</t>
  </si>
  <si>
    <t>Aluminum cable ramps;Capacity/Desc. 10,000 LBS or higher; Size LxWxH 36" x 7-1/8" x 1-1/16" or higher; High quailty</t>
  </si>
  <si>
    <t>CAT6 Outdoor UTP Cable; High performance network cable; 23 AWG with 4 pairs; Rugged and durable for extreme environments; High quality</t>
  </si>
  <si>
    <t>CAT6 UTP Cable; High Performance Network Cable; Durable, high density polyethylene insulation; 4 pairs / 23 AWG; High quality</t>
  </si>
  <si>
    <t>CMOS Battery compatible with desktop motherboard; High quality</t>
  </si>
  <si>
    <t>High Performance Thermal Paste; High quality</t>
  </si>
  <si>
    <t>Identification Tags Cable Labels Stickers (White); High quality</t>
  </si>
  <si>
    <t>Laminated ribbons TZE 231; High quality</t>
  </si>
  <si>
    <t>Mouse pad 24cm × 20cm or higher size</t>
  </si>
  <si>
    <t>Printable PVC Pre-Cut Cards For Direct ID Printing; High quality</t>
  </si>
  <si>
    <t>Rj11 Connector; High Quality</t>
  </si>
  <si>
    <t>Rj45 Connector; High Quaity</t>
  </si>
  <si>
    <t>Rj45 Rubber Boots (Black); High Quality</t>
  </si>
  <si>
    <t>Telephone Handset Phone Extension Cord; Black telephone cable wire; Wire length:(without stretch) Approx 30CM; High Quality</t>
  </si>
  <si>
    <t>Waterseal Mastic Tape Model 2in x 0.65in x 10ft or higher; High quality</t>
  </si>
  <si>
    <t>Multi - Purpose Penetrating Oil 6.5 oz / 191ml or higher; High quality</t>
  </si>
  <si>
    <t>Note: Delivery Period - 15 Calendar Days</t>
  </si>
  <si>
    <t>SUB-TOTAL &gt;&gt;&gt;</t>
  </si>
  <si>
    <t>PURPOSE: FOR BGHMC USE 2021</t>
  </si>
  <si>
    <t>July 1-31</t>
  </si>
  <si>
    <t>Unit
 Price</t>
  </si>
  <si>
    <t>Total
 Amt</t>
  </si>
  <si>
    <t>Total Amt</t>
  </si>
  <si>
    <t>ACTION</t>
  </si>
  <si>
    <t>SF-OF0322</t>
  </si>
  <si>
    <t>BRANDED 700 WATTS POWER SUPPLY, 700
 WATTS ATX PSU, BRAND NEW POWER SUPPLY. TRULY HIGH PERFORMANCE  PSU</t>
  </si>
  <si>
    <t>SF-OF0302</t>
  </si>
  <si>
    <t>RIS</t>
  </si>
  <si>
    <t>SF-OF0059</t>
  </si>
  <si>
    <t>Classic Textile Ink - Emerald Green, 250grams</t>
  </si>
  <si>
    <t>SF-OF0304</t>
  </si>
  <si>
    <t>SF-OF0107</t>
  </si>
  <si>
    <t>EPSON T6642 CYAN</t>
  </si>
  <si>
    <t>SF-OF0108</t>
  </si>
  <si>
    <t>EPSON T6643 MAGENTA</t>
  </si>
  <si>
    <t>SF-OF0109</t>
  </si>
  <si>
    <t>EPSON T6644 YELLOW</t>
  </si>
  <si>
    <t>SF-OF0112</t>
  </si>
  <si>
    <t>Exchange Roller Kit for DR-M160/M160II</t>
  </si>
  <si>
    <t>SF-OF0305</t>
  </si>
  <si>
    <t>SF-OF0306</t>
  </si>
  <si>
    <t>Heavy Duty Cutter, Big, Dynagrip Knife, with blades</t>
  </si>
  <si>
    <t>SF-OF0133</t>
  </si>
  <si>
    <t>Ink Cyan compatible with 3 in 1 Printer</t>
  </si>
  <si>
    <t>SF-OF0134</t>
  </si>
  <si>
    <t>Ink Magenta compatible with 3 in 1 Printer</t>
  </si>
  <si>
    <t>SF-OF0135</t>
  </si>
  <si>
    <t>Ink Yellow compatible with 3 in 1 Printer</t>
  </si>
  <si>
    <t>SF-OF0147</t>
  </si>
  <si>
    <t>Kyocera-Mita Base MPF</t>
  </si>
  <si>
    <t>SF-OF0313</t>
  </si>
  <si>
    <t>SF-OF0160</t>
  </si>
  <si>
    <t>Motherboard LGA1155/Intel®  H61 Express
 Chipset</t>
  </si>
  <si>
    <t>SF-OF0314</t>
  </si>
  <si>
    <t>Printer head cleaning solution 100mL</t>
  </si>
  <si>
    <t>Ribbon Cartridge compatible to EPSON LQ 310
 Printer</t>
  </si>
  <si>
    <t>GF-OS0062</t>
  </si>
  <si>
    <t>Epson Ink T6642 (C)</t>
  </si>
  <si>
    <t>Epson Ink T6644 (M) Ink Magenta compatible to
 Epson L100, L110, L120, L200, L210, L220</t>
  </si>
  <si>
    <t>Epson Ink T6644 (Y)</t>
  </si>
  <si>
    <t>GF-OS0322</t>
  </si>
  <si>
    <t>HDMI to VGA Converter without Audio</t>
  </si>
  <si>
    <t>Ink Black compatible to  Epson L100, L110, L120, L200, L210, L220
 Brand: EPSON T664</t>
  </si>
  <si>
    <t>GF-OS0084</t>
  </si>
  <si>
    <t>Ink Cyan compatible to Epson L3110, L3150 (Epson
 003 Ink Cyan)</t>
  </si>
  <si>
    <t>GF-OS0085</t>
  </si>
  <si>
    <t>GF-OS0086</t>
  </si>
  <si>
    <t>GF-OFDON0006</t>
  </si>
  <si>
    <t>GF-OFDON0007</t>
  </si>
  <si>
    <t>GF-OFDON0008</t>
  </si>
  <si>
    <t>GF-OFDON0005</t>
  </si>
  <si>
    <t>GF-OS0087</t>
  </si>
  <si>
    <t>Inkjet Printer Ink BT5000 Cyan</t>
  </si>
  <si>
    <t>GF-OS0088</t>
  </si>
  <si>
    <t>Inkjet Printer Ink BT5000 Magenta</t>
  </si>
  <si>
    <t>GF-OS0089</t>
  </si>
  <si>
    <t>Inkjet Printer Ink BT5000 Yellow</t>
  </si>
  <si>
    <t>GF-OS0091</t>
  </si>
  <si>
    <t>GF-OS0288</t>
  </si>
  <si>
    <t>GF-OS0092</t>
  </si>
  <si>
    <t>LAN Card, Gigabit 10/100/1000Mbps for PC (PCI-E
 interface) IEEE 802.3x Flow Control</t>
  </si>
  <si>
    <t>GF-OS0093</t>
  </si>
  <si>
    <t>GF-OS0099</t>
  </si>
  <si>
    <t>MB H81M-K</t>
  </si>
  <si>
    <t>pcs.</t>
  </si>
  <si>
    <t>GF-OS0329</t>
  </si>
  <si>
    <t>Mousepad 24cmx20cm size</t>
  </si>
  <si>
    <t>GF-OS0301</t>
  </si>
  <si>
    <t>Single Line Telephone w/o Message Waiting
 Lamp(Black)</t>
  </si>
  <si>
    <t>GF-OS0162</t>
  </si>
  <si>
    <t>USB 2.0 A to B, Printer Cable, 3 feet</t>
  </si>
  <si>
    <t>GF-OFDON0016</t>
  </si>
  <si>
    <t>UV-C Irradiation Device Handy Holder</t>
  </si>
  <si>
    <t>GF-OS0167</t>
  </si>
  <si>
    <t>VGA TO VGA, 1.00-1.80 meters, High Quality</t>
  </si>
  <si>
    <t>SKU</t>
  </si>
  <si>
    <t>ICT-MIS</t>
  </si>
  <si>
    <t>#REF!</t>
  </si>
  <si>
    <t>1Gbps Internet Subscription (Leased Line)
PLDT 1Gbps Internet Subscription (Leased Line)</t>
  </si>
  <si>
    <t/>
  </si>
  <si>
    <t>(blank)</t>
  </si>
  <si>
    <t>2 port Wall Faceplate With Mounting Junction Box</t>
  </si>
  <si>
    <t>550 Watt 80 Plus Bronze Certified PSU ATX</t>
  </si>
  <si>
    <t>Black Nylon Cable Tie 2.5 x 100mm 100pcs/pack</t>
  </si>
  <si>
    <t>Black Nylon Cable Tie 2.5 x 140mm 100pcs/pack</t>
  </si>
  <si>
    <t>Black Nylon Cable Tie 3.6 x 140mm 100pcs/pack</t>
  </si>
  <si>
    <t>Black Nylon Cable Tie 3.6 x 200mm 100pcs/pack</t>
  </si>
  <si>
    <t>Black Nylon Cable Tie 3.6 x 300mm 100pcs/pack</t>
  </si>
  <si>
    <t>Black Nylon Cable Tie 4.8 x 200mm 100pcs/pack</t>
  </si>
  <si>
    <t>Black Nylon Cable Tie 4.8 x 250mm 100pcs/pack</t>
  </si>
  <si>
    <t>Black Nylon Cable Tie 4.8 x 300mm 100pcs/pack</t>
  </si>
  <si>
    <t>Black Nylon Cable Tie 4.8 x 400mm 100pcs/pack</t>
  </si>
  <si>
    <t>WiFi 6 Access Point Dual-band</t>
  </si>
  <si>
    <t>Noted with Budget</t>
  </si>
  <si>
    <t>Supervising Administrative Officer</t>
  </si>
  <si>
    <t>JOCELYN S. BONGCO, MD</t>
  </si>
  <si>
    <t>ARNEL C. MANGAMPO</t>
  </si>
  <si>
    <t>END-USER/UNIT: IMISS</t>
  </si>
  <si>
    <t>Computer Maintenance Technologist II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</si>
</sst>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7">
    <numFmt numFmtId="164" formatCode="_(* #,##0.00_);_(* \(#,##0.00\);_(* &quot;-&quot;??_);_(@_)"/>
    <numFmt numFmtId="165" formatCode="mmmm&quot; &quot;d&quot;, &quot;yyyy"/>
    <numFmt numFmtId="166" formatCode="mmm&quot; &quot;d&quot;, &quot;yyyy"/>
    <numFmt numFmtId="167" formatCode="[$₱]#,##0"/>
    <numFmt numFmtId="168" formatCode="_-* #,##0.00_-;\-* #,##0.00_-;_-* &quot;-&quot;??_-;_-@"/>
    <numFmt numFmtId="169" formatCode="m/d/yyyy\ h:mm:ss"/>
    <numFmt numFmtId="170" formatCode="mmm\ d"/>
  </numFmts>
  <fonts count="146">
    <font>
      <sz val="10"/>
      <color rgb="FF000000"/>
      <name val="Arial"/>
      <scheme val="minor"/>
    </font>
    <font>
      <sz val="10"/>
      <color theme="1"/>
      <name val="Arial"/>
      <family val="2"/>
      <scheme val="minor"/>
    </font>
    <font>
      <u/>
      <sz val="10"/>
      <color rgb="FF0000FF"/>
      <name val="Arial"/>
      <family val="2"/>
    </font>
    <font>
      <u/>
      <sz val="10"/>
      <color rgb="FF0000FF"/>
      <name val="Arial"/>
      <family val="2"/>
    </font>
    <font>
      <sz val="11"/>
      <color theme="1"/>
      <name val="Calibri"/>
      <family val="2"/>
    </font>
    <font>
      <b/>
      <sz val="11"/>
      <color theme="1"/>
      <name val="&quot;Times New Roman&quot;"/>
    </font>
    <font>
      <sz val="10"/>
      <name val="Arial"/>
      <family val="2"/>
    </font>
    <font>
      <b/>
      <sz val="11"/>
      <color rgb="FF000000"/>
      <name val="Arial"/>
      <family val="2"/>
    </font>
    <font>
      <sz val="10"/>
      <color rgb="FF000000"/>
      <name val="&quot;Times New Roman&quot;"/>
    </font>
    <font>
      <b/>
      <sz val="9"/>
      <color theme="1"/>
      <name val="&quot;Times New Roman&quot;"/>
    </font>
    <font>
      <sz val="8"/>
      <color theme="1"/>
      <name val="Arial"/>
      <family val="2"/>
    </font>
    <font>
      <b/>
      <sz val="11"/>
      <color theme="1"/>
      <name val="Arial"/>
      <family val="2"/>
    </font>
    <font>
      <sz val="9"/>
      <color theme="1"/>
      <name val="&quot;Times New Roman&quot;"/>
    </font>
    <font>
      <sz val="10"/>
      <color theme="1"/>
      <name val="Arial"/>
      <family val="2"/>
    </font>
    <font>
      <sz val="9"/>
      <color theme="1"/>
      <name val="Arial"/>
      <family val="2"/>
    </font>
    <font>
      <b/>
      <sz val="10"/>
      <color theme="1"/>
      <name val="Arial"/>
      <family val="2"/>
    </font>
    <font>
      <b/>
      <sz val="12"/>
      <color theme="1"/>
      <name val="Arial"/>
      <family val="2"/>
      <scheme val="minor"/>
    </font>
    <font>
      <sz val="12"/>
      <color theme="1"/>
      <name val="Arial"/>
      <family val="2"/>
      <scheme val="minor"/>
    </font>
    <font>
      <b/>
      <sz val="10"/>
      <color theme="1"/>
      <name val="Arial"/>
      <family val="2"/>
      <scheme val="minor"/>
    </font>
    <font>
      <b/>
      <sz val="14"/>
      <color theme="1"/>
      <name val="Arial"/>
      <family val="2"/>
      <scheme val="minor"/>
    </font>
    <font>
      <sz val="10"/>
      <color rgb="FF1C1E21"/>
      <name val="Inherit"/>
    </font>
    <font>
      <sz val="11"/>
      <color rgb="FF000000"/>
      <name val="Calibri"/>
      <family val="2"/>
    </font>
    <font>
      <sz val="10"/>
      <color rgb="FF000000"/>
      <name val="Arial"/>
      <family val="2"/>
      <scheme val="minor"/>
    </font>
    <font>
      <b/>
      <sz val="11"/>
      <color rgb="FF000000"/>
      <name val="Calibri"/>
      <family val="2"/>
    </font>
    <font>
      <b/>
      <sz val="12"/>
      <color rgb="FF000000"/>
      <name val="Calibri"/>
      <family val="2"/>
    </font>
    <font>
      <b/>
      <sz val="12"/>
      <color rgb="FFFFFFFF"/>
      <name val="Arial"/>
      <family val="2"/>
      <scheme val="minor"/>
    </font>
    <font>
      <b/>
      <sz val="18"/>
      <color rgb="FFFFFFFF"/>
      <name val="Arial"/>
      <family val="2"/>
      <scheme val="minor"/>
    </font>
    <font>
      <b/>
      <sz val="18"/>
      <color theme="1"/>
      <name val="Arial"/>
      <family val="2"/>
      <scheme val="minor"/>
    </font>
    <font>
      <sz val="10"/>
      <color theme="1"/>
      <name val="Arial"/>
      <family val="2"/>
    </font>
    <font>
      <sz val="10"/>
      <color rgb="FF000000"/>
      <name val="Arial"/>
      <family val="2"/>
    </font>
    <font>
      <b/>
      <sz val="10"/>
      <color rgb="FF000000"/>
      <name val="Arial"/>
      <family val="2"/>
    </font>
    <font>
      <b/>
      <sz val="10"/>
      <color theme="1"/>
      <name val="Arial"/>
      <family val="2"/>
    </font>
    <font>
      <sz val="10"/>
      <color rgb="FFFF0000"/>
      <name val="Arial"/>
      <family val="2"/>
    </font>
    <font>
      <sz val="10"/>
      <color rgb="FFFFFFFF"/>
      <name val="Arial"/>
      <family val="2"/>
    </font>
    <font>
      <sz val="10"/>
      <color rgb="FF222222"/>
      <name val="Arial"/>
      <family val="2"/>
    </font>
    <font>
      <b/>
      <sz val="10"/>
      <color rgb="FFFF0000"/>
      <name val="Arial"/>
      <family val="2"/>
    </font>
    <font>
      <sz val="14"/>
      <color theme="1"/>
      <name val="Calibri"/>
      <family val="2"/>
    </font>
    <font>
      <sz val="16"/>
      <color theme="1"/>
      <name val="Arial"/>
      <family val="2"/>
    </font>
    <font>
      <b/>
      <sz val="9"/>
      <color rgb="FF000000"/>
      <name val="Arial"/>
      <family val="2"/>
    </font>
    <font>
      <b/>
      <sz val="8"/>
      <color rgb="FF000000"/>
      <name val="Arial"/>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sz val="10"/>
      <color rgb="FF000000"/>
      <name val="Arial"/>
      <family val="2"/>
    </font>
    <font>
      <b/>
      <sz val="10"/>
      <color rgb="FFFF0000"/>
      <name val="Arial"/>
      <family val="2"/>
      <scheme val="minor"/>
    </font>
    <font>
      <b/>
      <sz val="12"/>
      <color theme="1"/>
      <name val="Arial"/>
      <family val="2"/>
    </font>
    <font>
      <sz val="11"/>
      <color theme="1"/>
      <name val="Arial"/>
      <family val="2"/>
    </font>
    <font>
      <sz val="12"/>
      <color theme="1"/>
      <name val="Calibri"/>
      <family val="2"/>
    </font>
    <font>
      <sz val="10"/>
      <color theme="1"/>
      <name val="Arial"/>
      <family val="2"/>
      <scheme val="minor"/>
    </font>
    <font>
      <sz val="12"/>
      <color rgb="FF000000"/>
      <name val="Calibri"/>
      <family val="2"/>
    </font>
    <font>
      <sz val="12"/>
      <color rgb="FFFFFFFF"/>
      <name val="Calibri"/>
      <family val="2"/>
    </font>
    <font>
      <sz val="12"/>
      <color rgb="FFFF0000"/>
      <name val="Calibri"/>
      <family val="2"/>
    </font>
    <font>
      <b/>
      <sz val="12"/>
      <color theme="1"/>
      <name val="Calibri"/>
      <family val="2"/>
    </font>
    <font>
      <sz val="10"/>
      <color rgb="FF000000"/>
      <name val="Calibri"/>
      <family val="2"/>
    </font>
    <font>
      <sz val="10"/>
      <color theme="1"/>
      <name val="Calibri"/>
      <family val="2"/>
    </font>
    <font>
      <sz val="10"/>
      <color rgb="FFFFFFFF"/>
      <name val="Calibri"/>
      <family val="2"/>
    </font>
    <font>
      <sz val="10"/>
      <color theme="1"/>
      <name val="&quot;Times New Roman&quot;"/>
    </font>
    <font>
      <sz val="10"/>
      <color rgb="FF000000"/>
      <name val="&quot;Times New Roman&quot;"/>
    </font>
    <font>
      <sz val="10"/>
      <color theme="1"/>
      <name val="&quot;Arial Narrow&quot;"/>
    </font>
    <font>
      <sz val="10"/>
      <color rgb="FF000000"/>
      <name val="Cambria"/>
      <family val="1"/>
    </font>
    <font>
      <sz val="10"/>
      <color rgb="FF000000"/>
      <name val="&quot;Arial Narrow&quot;"/>
    </font>
    <font>
      <sz val="10"/>
      <color rgb="FFFFFFFF"/>
      <name val="&quot;Times New Roman&quot;"/>
    </font>
    <font>
      <sz val="10"/>
      <color rgb="FFFF0000"/>
      <name val="&quot;Arial Narrow&quot;"/>
    </font>
    <font>
      <sz val="9"/>
      <color rgb="FF000000"/>
      <name val="Arial"/>
      <family val="2"/>
    </font>
    <font>
      <sz val="8"/>
      <color rgb="FF000000"/>
      <name val="Arial"/>
      <family val="2"/>
    </font>
    <font>
      <sz val="8"/>
      <color rgb="FF000000"/>
      <name val="&quot;Times New Roman&quot;"/>
    </font>
    <font>
      <sz val="10"/>
      <color rgb="FF000000"/>
      <name val="Calibri"/>
      <family val="2"/>
    </font>
    <font>
      <sz val="12"/>
      <color rgb="FF000000"/>
      <name val="&quot;Times New Roman&quot;"/>
    </font>
    <font>
      <b/>
      <sz val="12"/>
      <color rgb="FF000000"/>
      <name val="&quot;Times New Roman&quot;"/>
    </font>
    <font>
      <sz val="10"/>
      <color theme="1"/>
      <name val="Calibri"/>
      <family val="2"/>
    </font>
    <font>
      <sz val="11"/>
      <color theme="1"/>
      <name val="&quot;Times New Roman&quot;"/>
    </font>
    <font>
      <sz val="11"/>
      <color rgb="FF000000"/>
      <name val="&quot;Times New Roman&quot;"/>
    </font>
    <font>
      <sz val="9"/>
      <color rgb="FF000000"/>
      <name val="&quot;Times New Roman&quot;"/>
    </font>
    <font>
      <b/>
      <sz val="8"/>
      <color rgb="FF000000"/>
      <name val="&quot;Times New Roman&quot;"/>
    </font>
    <font>
      <sz val="12"/>
      <color theme="1"/>
      <name val="Arial"/>
      <family val="2"/>
    </font>
    <font>
      <sz val="12"/>
      <color rgb="FF000000"/>
      <name val="Arial"/>
      <family val="2"/>
    </font>
    <font>
      <sz val="12"/>
      <color theme="1"/>
      <name val="&quot;Times New Roman&quot;"/>
    </font>
    <font>
      <sz val="12"/>
      <color rgb="FFFFFFFF"/>
      <name val="&quot;Times New Roman&quot;"/>
    </font>
    <font>
      <sz val="11"/>
      <color rgb="FF000000"/>
      <name val="Arial"/>
      <family val="2"/>
    </font>
    <font>
      <sz val="11"/>
      <color rgb="FFFFFFFF"/>
      <name val="Arial"/>
      <family val="2"/>
    </font>
    <font>
      <b/>
      <sz val="11"/>
      <color theme="1"/>
      <name val="Calibri"/>
      <family val="2"/>
    </font>
    <font>
      <b/>
      <sz val="10"/>
      <color rgb="FF000000"/>
      <name val="&quot;Times New Roman&quot;"/>
    </font>
    <font>
      <sz val="10"/>
      <color theme="1"/>
      <name val="&quot;Times New Roman&quot;"/>
    </font>
    <font>
      <sz val="16"/>
      <color rgb="FF000000"/>
      <name val="Calibri"/>
      <family val="2"/>
    </font>
    <font>
      <b/>
      <sz val="12"/>
      <color rgb="FF000000"/>
      <name val="Arial"/>
      <family val="2"/>
    </font>
    <font>
      <i/>
      <sz val="7"/>
      <color rgb="FF000000"/>
      <name val="Arial"/>
      <family val="2"/>
    </font>
    <font>
      <b/>
      <i/>
      <sz val="11"/>
      <color theme="1"/>
      <name val="Calibri"/>
      <family val="2"/>
    </font>
    <font>
      <b/>
      <sz val="16"/>
      <color theme="1"/>
      <name val="Arial"/>
      <family val="2"/>
    </font>
    <font>
      <b/>
      <sz val="16"/>
      <color rgb="FFFFFFFF"/>
      <name val="Arial"/>
      <family val="2"/>
    </font>
    <font>
      <b/>
      <sz val="18"/>
      <color rgb="FF000000"/>
      <name val="Calibri"/>
      <family val="2"/>
    </font>
    <font>
      <sz val="9"/>
      <color rgb="FF000000"/>
      <name val="Calibri"/>
      <family val="2"/>
    </font>
    <font>
      <sz val="8"/>
      <color rgb="FF000000"/>
      <name val="Calibri"/>
      <family val="2"/>
    </font>
    <font>
      <sz val="11"/>
      <color rgb="FF1C1C1C"/>
      <name val="Calibri"/>
      <family val="2"/>
    </font>
    <font>
      <sz val="11"/>
      <color rgb="FF2B2B2B"/>
      <name val="Calibri"/>
      <family val="2"/>
    </font>
    <font>
      <sz val="11"/>
      <color rgb="FF202020"/>
      <name val="Calibri"/>
      <family val="2"/>
    </font>
    <font>
      <b/>
      <sz val="14"/>
      <color rgb="FF000000"/>
      <name val="Calibri"/>
      <family val="2"/>
    </font>
    <font>
      <b/>
      <sz val="10"/>
      <color rgb="FF000000"/>
      <name val="Calibri"/>
      <family val="2"/>
    </font>
    <font>
      <b/>
      <sz val="11"/>
      <color rgb="FF006100"/>
      <name val="Calibri"/>
      <family val="2"/>
    </font>
    <font>
      <b/>
      <sz val="11"/>
      <color rgb="FF9C6500"/>
      <name val="Calibri"/>
      <family val="2"/>
    </font>
    <font>
      <b/>
      <sz val="12"/>
      <color rgb="FFFFFFFF"/>
      <name val="Tahoma"/>
      <family val="2"/>
    </font>
    <font>
      <b/>
      <sz val="12"/>
      <color theme="1"/>
      <name val="Tahoma"/>
      <family val="2"/>
    </font>
    <font>
      <b/>
      <sz val="12"/>
      <color rgb="FF000000"/>
      <name val="Tahoma"/>
      <family val="2"/>
    </font>
    <font>
      <sz val="12"/>
      <color theme="1"/>
      <name val="Tahoma"/>
      <family val="2"/>
    </font>
    <font>
      <sz val="12"/>
      <color rgb="FF333333"/>
      <name val="&quot;Segoe UI&quot;"/>
    </font>
    <font>
      <b/>
      <sz val="10"/>
      <color theme="1"/>
      <name val="&quot;Times New Roman&quot;"/>
    </font>
    <font>
      <b/>
      <sz val="10"/>
      <color theme="1"/>
      <name val="Calibri"/>
      <family val="2"/>
    </font>
    <font>
      <u/>
      <sz val="10"/>
      <color rgb="FF0000FF"/>
      <name val="Arial"/>
      <family val="2"/>
    </font>
    <font>
      <u/>
      <sz val="10"/>
      <color rgb="FF0000FF"/>
      <name val="Arial"/>
      <family val="2"/>
    </font>
    <font>
      <u/>
      <sz val="10"/>
      <color rgb="FF0000FF"/>
      <name val="Arial"/>
      <family val="2"/>
    </font>
    <font>
      <sz val="11"/>
      <color theme="1"/>
      <name val="Arial"/>
      <family val="2"/>
      <scheme val="minor"/>
    </font>
    <font>
      <sz val="14"/>
      <color theme="1"/>
      <name val="Arial"/>
      <family val="2"/>
    </font>
    <font>
      <b/>
      <sz val="9"/>
      <color rgb="FFFFFFFF"/>
      <name val="Arial"/>
      <family val="2"/>
    </font>
    <font>
      <sz val="11"/>
      <color rgb="FF000000"/>
      <name val="Arial"/>
      <family val="2"/>
      <scheme val="minor"/>
    </font>
    <font>
      <b/>
      <sz val="14"/>
      <color rgb="FF000000"/>
      <name val="Arial"/>
      <family val="2"/>
      <scheme val="minor"/>
    </font>
    <font>
      <b/>
      <sz val="11"/>
      <color rgb="FF000000"/>
      <name val="Arial"/>
      <family val="2"/>
      <scheme val="minor"/>
    </font>
    <font>
      <b/>
      <sz val="8"/>
      <color rgb="FF000000"/>
      <name val="Arial"/>
      <family val="2"/>
      <scheme val="minor"/>
    </font>
    <font>
      <b/>
      <sz val="9"/>
      <color rgb="FF000000"/>
      <name val="Arial"/>
      <family val="2"/>
      <scheme val="minor"/>
    </font>
    <font>
      <sz val="9"/>
      <color rgb="FF000000"/>
      <name val="Arial"/>
      <family val="2"/>
      <scheme val="minor"/>
    </font>
    <font>
      <sz val="8"/>
      <color theme="1"/>
      <name val="Calibri"/>
      <family val="2"/>
    </font>
    <font>
      <u/>
      <sz val="10"/>
      <color rgb="FF1155CC"/>
      <name val="Arial"/>
      <family val="2"/>
    </font>
    <font>
      <u/>
      <sz val="10"/>
      <color rgb="FF1155CC"/>
      <name val="Arial"/>
      <family val="2"/>
    </font>
    <font>
      <b/>
      <sz val="8"/>
      <color theme="1"/>
      <name val="Arial"/>
      <family val="2"/>
    </font>
    <font>
      <b/>
      <sz val="9"/>
      <color rgb="FF000000"/>
      <name val="&quot;Times New Roman&quot;"/>
    </font>
    <font>
      <b/>
      <sz val="11"/>
      <color rgb="FF000000"/>
      <name val="&quot;Times New Roman&quot;"/>
    </font>
    <font>
      <b/>
      <sz val="10"/>
      <color rgb="FF000000"/>
      <name val="Arial"/>
      <family val="2"/>
    </font>
    <font>
      <b/>
      <u/>
      <sz val="11"/>
      <color theme="1"/>
      <name val="Arial"/>
      <family val="2"/>
    </font>
    <font>
      <b/>
      <sz val="10"/>
      <color theme="1"/>
      <name val="Times New Roman"/>
      <family val="1"/>
    </font>
    <font>
      <sz val="10"/>
      <color theme="1"/>
      <name val="Times New Roman"/>
      <family val="1"/>
    </font>
    <font>
      <sz val="11"/>
      <color rgb="FF000000"/>
      <name val="Calibri, sans-serif"/>
    </font>
    <font>
      <b/>
      <sz val="11"/>
      <color rgb="FF000000"/>
      <name val="Calibri, sans-serif"/>
    </font>
    <font>
      <sz val="11"/>
      <color rgb="FF000000"/>
      <name val="Calibri"/>
      <family val="2"/>
    </font>
    <font>
      <sz val="10"/>
      <color rgb="FF000000"/>
      <name val="Arial"/>
      <family val="2"/>
      <scheme val="minor"/>
    </font>
    <font>
      <b/>
      <sz val="10"/>
      <color indexed="18"/>
      <name val="Arial"/>
      <family val="2"/>
      <scheme val="minor"/>
    </font>
    <font>
      <b/>
      <sz val="10"/>
      <color rgb="FF000000"/>
      <name val="Arial"/>
      <family val="2"/>
      <scheme val="minor"/>
    </font>
    <font>
      <b/>
      <sz val="12"/>
      <color rgb="FF000000"/>
      <name val="Calibri"/>
      <family val="2"/>
    </font>
    <font>
      <b/>
      <sz val="16"/>
      <color rgb="FF000000"/>
      <name val="Calibri"/>
      <family val="2"/>
    </font>
    <font>
      <sz val="16"/>
      <color rgb="FF000000"/>
      <name val="Arial"/>
      <family val="2"/>
      <scheme val="minor"/>
    </font>
    <font>
      <sz val="12"/>
      <color rgb="FF000000"/>
      <name val="Calibri"/>
      <family val="2"/>
    </font>
    <font>
      <sz val="10"/>
      <color rgb="FF000000"/>
      <name val="Calibri"/>
      <family val="2"/>
    </font>
    <font>
      <sz val="11"/>
      <name val="Calibri"/>
      <family val="2"/>
    </font>
    <font>
      <sz val="12"/>
      <color theme="1"/>
      <name val="Calibri"/>
      <family val="2"/>
    </font>
    <font>
      <sz val="11"/>
      <color theme="1"/>
      <name val="Calibri"/>
      <family val="2"/>
    </font>
    <font>
      <b/>
      <sz val="11"/>
      <color rgb="FF000000"/>
      <name val="Calibri"/>
      <family val="2"/>
    </font>
    <font>
      <sz val="12"/>
      <name val="Calibri"/>
      <family val="2"/>
    </font>
    <font>
      <b/>
      <sz val="10"/>
      <name val="Arial"/>
      <family val="2"/>
    </font>
  </fonts>
  <fills count="32">
    <fill>
      <patternFill patternType="none"/>
    </fill>
    <fill>
      <patternFill patternType="gray125"/>
    </fill>
    <fill>
      <patternFill patternType="solid">
        <fgColor rgb="FFFFFFFF"/>
        <bgColor rgb="FFFFFFFF"/>
      </patternFill>
    </fill>
    <fill>
      <patternFill patternType="solid">
        <fgColor rgb="FFFFF2CC"/>
        <bgColor rgb="FFFFF2CC"/>
      </patternFill>
    </fill>
    <fill>
      <patternFill patternType="solid">
        <fgColor rgb="FFD9EAD3"/>
        <bgColor rgb="FFD9EAD3"/>
      </patternFill>
    </fill>
    <fill>
      <patternFill patternType="solid">
        <fgColor rgb="FFFCE5CD"/>
        <bgColor rgb="FFFCE5CD"/>
      </patternFill>
    </fill>
    <fill>
      <patternFill patternType="solid">
        <fgColor rgb="FFFFFF00"/>
        <bgColor rgb="FFFFFF00"/>
      </patternFill>
    </fill>
    <fill>
      <patternFill patternType="solid">
        <fgColor rgb="FFFF9900"/>
        <bgColor rgb="FFFF9900"/>
      </patternFill>
    </fill>
    <fill>
      <patternFill patternType="solid">
        <fgColor theme="7"/>
        <bgColor theme="7"/>
      </patternFill>
    </fill>
    <fill>
      <patternFill patternType="solid">
        <fgColor theme="8"/>
        <bgColor theme="8"/>
      </patternFill>
    </fill>
    <fill>
      <patternFill patternType="solid">
        <fgColor rgb="FFEFEFEF"/>
        <bgColor rgb="FFEFEFEF"/>
      </patternFill>
    </fill>
    <fill>
      <patternFill patternType="solid">
        <fgColor rgb="FFFF0000"/>
        <bgColor rgb="FFFF0000"/>
      </patternFill>
    </fill>
    <fill>
      <patternFill patternType="solid">
        <fgColor rgb="FFD9D9D9"/>
        <bgColor rgb="FFD9D9D9"/>
      </patternFill>
    </fill>
    <fill>
      <patternFill patternType="solid">
        <fgColor rgb="FF92CDDC"/>
        <bgColor rgb="FF92CDDC"/>
      </patternFill>
    </fill>
    <fill>
      <patternFill patternType="solid">
        <fgColor rgb="FFDBDBDB"/>
        <bgColor rgb="FFDBDBDB"/>
      </patternFill>
    </fill>
    <fill>
      <patternFill patternType="solid">
        <fgColor rgb="FFD8E4BC"/>
        <bgColor rgb="FFD8E4BC"/>
      </patternFill>
    </fill>
    <fill>
      <patternFill patternType="solid">
        <fgColor rgb="FFD5D0B5"/>
        <bgColor rgb="FFD5D0B5"/>
      </patternFill>
    </fill>
    <fill>
      <patternFill patternType="solid">
        <fgColor rgb="FF92D050"/>
        <bgColor rgb="FF92D050"/>
      </patternFill>
    </fill>
    <fill>
      <patternFill patternType="solid">
        <fgColor rgb="FFD8D8D8"/>
        <bgColor rgb="FFD8D8D8"/>
      </patternFill>
    </fill>
    <fill>
      <patternFill patternType="solid">
        <fgColor rgb="FFC5D9F1"/>
        <bgColor rgb="FFC5D9F1"/>
      </patternFill>
    </fill>
    <fill>
      <patternFill patternType="solid">
        <fgColor rgb="FFB8CCE3"/>
        <bgColor rgb="FFB8CCE3"/>
      </patternFill>
    </fill>
    <fill>
      <patternFill patternType="solid">
        <fgColor rgb="FF4BACC6"/>
        <bgColor rgb="FF4BACC6"/>
      </patternFill>
    </fill>
    <fill>
      <patternFill patternType="solid">
        <fgColor rgb="FF00B050"/>
        <bgColor rgb="FF00B050"/>
      </patternFill>
    </fill>
    <fill>
      <patternFill patternType="solid">
        <fgColor rgb="FF4A86E8"/>
        <bgColor rgb="FF4A86E8"/>
      </patternFill>
    </fill>
    <fill>
      <patternFill patternType="solid">
        <fgColor theme="6"/>
        <bgColor theme="6"/>
      </patternFill>
    </fill>
    <fill>
      <patternFill patternType="solid">
        <fgColor theme="4"/>
        <bgColor theme="4"/>
      </patternFill>
    </fill>
    <fill>
      <patternFill patternType="solid">
        <fgColor rgb="FFC6EFCE"/>
        <bgColor rgb="FFC6EFCE"/>
      </patternFill>
    </fill>
    <fill>
      <patternFill patternType="solid">
        <fgColor rgb="FFFFEB9C"/>
        <bgColor rgb="FFFFEB9C"/>
      </patternFill>
    </fill>
    <fill>
      <patternFill patternType="solid">
        <fgColor rgb="FF000000"/>
        <bgColor rgb="FF000000"/>
      </patternFill>
    </fill>
    <fill>
      <patternFill patternType="solid">
        <fgColor rgb="FFF4CCCC"/>
        <bgColor rgb="FFF4CCCC"/>
      </patternFill>
    </fill>
    <fill>
      <patternFill patternType="solid">
        <fgColor rgb="FF4F81BC"/>
        <bgColor rgb="FF4F81BC"/>
      </patternFill>
    </fill>
    <fill>
      <patternFill patternType="solid">
        <fgColor theme="0"/>
        <bgColor indexed="64"/>
      </patternFill>
    </fill>
  </fills>
  <borders count="51">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FFFFFF"/>
      </left>
      <right style="thin">
        <color rgb="FFFFFFFF"/>
      </right>
      <top style="thin">
        <color rgb="FFFFFFFF"/>
      </top>
      <bottom/>
      <diagonal/>
    </border>
    <border>
      <left style="thin">
        <color rgb="FFFFFFFF"/>
      </left>
      <right style="thin">
        <color rgb="FFFFFFFF"/>
      </right>
      <top style="thin">
        <color rgb="FFFFFFFF"/>
      </top>
      <bottom style="thin">
        <color rgb="FFFFFFFF"/>
      </bottom>
      <diagonal/>
    </border>
    <border>
      <left/>
      <right/>
      <top style="thin">
        <color rgb="FF000000"/>
      </top>
      <bottom/>
      <diagonal/>
    </border>
    <border>
      <left style="thin">
        <color rgb="FFF3F3F3"/>
      </left>
      <right style="thin">
        <color rgb="FFF3F3F3"/>
      </right>
      <top style="thin">
        <color rgb="FFF3F3F3"/>
      </top>
      <bottom style="thin">
        <color rgb="FFF3F3F3"/>
      </bottom>
      <diagonal/>
    </border>
    <border>
      <left/>
      <right/>
      <top/>
      <bottom style="thin">
        <color rgb="FF000000"/>
      </bottom>
      <diagonal/>
    </border>
    <border>
      <left style="thin">
        <color rgb="FF000000"/>
      </left>
      <right/>
      <top/>
      <bottom/>
      <diagonal/>
    </border>
    <border>
      <left/>
      <right style="thin">
        <color rgb="FF000000"/>
      </right>
      <top/>
      <bottom/>
      <diagonal/>
    </border>
    <border>
      <left style="thin">
        <color rgb="FF000000"/>
      </left>
      <right style="thin">
        <color rgb="FF000000"/>
      </right>
      <top/>
      <bottom/>
      <diagonal/>
    </border>
    <border>
      <left style="thin">
        <color rgb="FF3C3C3C"/>
      </left>
      <right style="thin">
        <color rgb="FF3C3C3C"/>
      </right>
      <top style="thin">
        <color rgb="FF3C3C3C"/>
      </top>
      <bottom style="thin">
        <color rgb="FF3C3C3C"/>
      </bottom>
      <diagonal/>
    </border>
    <border>
      <left/>
      <right style="thin">
        <color rgb="FF3C3C3C"/>
      </right>
      <top style="thin">
        <color rgb="FF3C3C3C"/>
      </top>
      <bottom style="thin">
        <color rgb="FF3C3C3C"/>
      </bottom>
      <diagonal/>
    </border>
    <border>
      <left style="thin">
        <color rgb="FF3C3C3C"/>
      </left>
      <right style="thin">
        <color rgb="FF3C3C3C"/>
      </right>
      <top/>
      <bottom style="thin">
        <color rgb="FF3C3C3C"/>
      </bottom>
      <diagonal/>
    </border>
    <border>
      <left/>
      <right style="thin">
        <color rgb="FF3C3C3C"/>
      </right>
      <top/>
      <bottom style="thin">
        <color rgb="FF3C3C3C"/>
      </bottom>
      <diagonal/>
    </border>
    <border>
      <left style="thin">
        <color rgb="FF999999"/>
      </left>
      <right/>
      <top style="thin">
        <color rgb="FF999999"/>
      </top>
      <bottom/>
      <diagonal/>
    </border>
    <border>
      <left style="thin">
        <color rgb="FF999999"/>
      </left>
      <right style="thin">
        <color rgb="FF999999"/>
      </right>
      <top style="thin">
        <color rgb="FF999999"/>
      </top>
      <bottom/>
      <diagonal/>
    </border>
    <border>
      <left style="thin">
        <color rgb="FF999999"/>
      </left>
      <right/>
      <top style="thin">
        <color indexed="65"/>
      </top>
      <bottom/>
      <diagonal/>
    </border>
    <border>
      <left style="thin">
        <color rgb="FF999999"/>
      </left>
      <right style="thin">
        <color rgb="FF999999"/>
      </right>
      <top/>
      <bottom/>
      <diagonal/>
    </border>
    <border>
      <left style="thin">
        <color rgb="FF999999"/>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style="thin">
        <color rgb="FF999999"/>
      </left>
      <right/>
      <top/>
      <bottom/>
      <diagonal/>
    </border>
    <border>
      <left style="thin">
        <color rgb="FF999999"/>
      </left>
      <right/>
      <top/>
      <bottom style="thin">
        <color rgb="FF999999"/>
      </bottom>
      <diagonal/>
    </border>
    <border>
      <left style="thin">
        <color rgb="FF999999"/>
      </left>
      <right style="thin">
        <color rgb="FF999999"/>
      </right>
      <top/>
      <bottom style="thin">
        <color rgb="FF999999"/>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right/>
      <top style="medium">
        <color indexed="23"/>
      </top>
      <bottom style="medium">
        <color indexed="23"/>
      </bottom>
      <diagonal/>
    </border>
    <border>
      <left/>
      <right/>
      <top style="thin">
        <color indexed="23"/>
      </top>
      <bottom/>
      <diagonal/>
    </border>
    <border>
      <left/>
      <right/>
      <top style="thin">
        <color indexed="23"/>
      </top>
      <bottom style="medium">
        <color indexed="23"/>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3">
    <xf numFmtId="0" fontId="0" fillId="0" borderId="0"/>
    <xf numFmtId="164" fontId="22" fillId="0" borderId="0" applyFont="0" applyFill="0" applyBorder="0" applyAlignment="0" applyProtection="0"/>
    <xf numFmtId="0" fontId="132" fillId="0" borderId="6"/>
  </cellStyleXfs>
  <cellXfs count="1614">
    <xf numFmtId="0" fontId="0" fillId="0" borderId="0" xfId="0"/>
    <xf numFmtId="0" fontId="1" fillId="0" borderId="0" xfId="0" applyFont="1"/>
    <xf numFmtId="0" fontId="2" fillId="0" borderId="0" xfId="0" applyFont="1"/>
    <xf numFmtId="0" fontId="3" fillId="0" borderId="0" xfId="0" applyFont="1"/>
    <xf numFmtId="0" fontId="4" fillId="0" borderId="0" xfId="0" applyFont="1" applyAlignment="1">
      <alignment horizontal="center" vertical="center"/>
    </xf>
    <xf numFmtId="0" fontId="4" fillId="0" borderId="0" xfId="0" applyFont="1" applyAlignment="1">
      <alignment horizontal="center" vertical="top"/>
    </xf>
    <xf numFmtId="0" fontId="4" fillId="0" borderId="0" xfId="0" applyFont="1" applyAlignment="1">
      <alignment horizontal="right" vertical="center"/>
    </xf>
    <xf numFmtId="0" fontId="4" fillId="0" borderId="1" xfId="0" applyFont="1" applyBorder="1" applyAlignment="1">
      <alignment horizontal="right" vertical="center"/>
    </xf>
    <xf numFmtId="0" fontId="1" fillId="0" borderId="0" xfId="0" applyFont="1" applyAlignment="1">
      <alignment vertical="center"/>
    </xf>
    <xf numFmtId="0" fontId="4" fillId="0" borderId="0" xfId="0" applyFont="1" applyAlignment="1">
      <alignment vertical="center"/>
    </xf>
    <xf numFmtId="0" fontId="4" fillId="0" borderId="2" xfId="0" applyFont="1" applyBorder="1" applyAlignment="1">
      <alignment horizontal="center" vertical="center"/>
    </xf>
    <xf numFmtId="0" fontId="4" fillId="0" borderId="2" xfId="0" applyFont="1" applyBorder="1" applyAlignment="1">
      <alignment horizontal="center" vertical="top"/>
    </xf>
    <xf numFmtId="0" fontId="4" fillId="0" borderId="2" xfId="0" applyFont="1" applyBorder="1" applyAlignment="1">
      <alignment horizontal="right" vertical="center"/>
    </xf>
    <xf numFmtId="0" fontId="4" fillId="0" borderId="3" xfId="0" applyFont="1" applyBorder="1" applyAlignment="1">
      <alignment horizontal="right" vertical="center"/>
    </xf>
    <xf numFmtId="0" fontId="5" fillId="2" borderId="0" xfId="0" applyFont="1" applyFill="1" applyAlignment="1">
      <alignment horizontal="center" vertical="center"/>
    </xf>
    <xf numFmtId="0" fontId="4" fillId="2" borderId="0" xfId="0" applyFont="1" applyFill="1" applyAlignment="1">
      <alignment vertical="center"/>
    </xf>
    <xf numFmtId="0" fontId="4" fillId="2" borderId="5" xfId="0" applyFont="1" applyFill="1" applyBorder="1" applyAlignment="1">
      <alignment horizontal="center" vertical="center"/>
    </xf>
    <xf numFmtId="0" fontId="4" fillId="2" borderId="3" xfId="0" applyFont="1" applyFill="1" applyBorder="1" applyAlignment="1">
      <alignment vertical="center"/>
    </xf>
    <xf numFmtId="0" fontId="4" fillId="2" borderId="3" xfId="0" applyFont="1" applyFill="1" applyBorder="1" applyAlignment="1">
      <alignment vertical="top"/>
    </xf>
    <xf numFmtId="0" fontId="4" fillId="2" borderId="3" xfId="0" applyFont="1" applyFill="1" applyBorder="1" applyAlignment="1">
      <alignment horizontal="right" vertical="center"/>
    </xf>
    <xf numFmtId="164" fontId="4" fillId="2" borderId="3" xfId="0" applyNumberFormat="1" applyFont="1" applyFill="1" applyBorder="1" applyAlignment="1">
      <alignment horizontal="right" vertical="center"/>
    </xf>
    <xf numFmtId="0" fontId="7" fillId="2" borderId="0" xfId="0" applyFont="1" applyFill="1" applyAlignment="1">
      <alignment vertical="center"/>
    </xf>
    <xf numFmtId="0" fontId="7" fillId="2" borderId="6" xfId="0" applyFont="1" applyFill="1" applyBorder="1" applyAlignment="1">
      <alignment horizontal="left" vertical="center"/>
    </xf>
    <xf numFmtId="0" fontId="4" fillId="2" borderId="1" xfId="0" applyFont="1" applyFill="1" applyBorder="1" applyAlignment="1">
      <alignment vertical="center"/>
    </xf>
    <xf numFmtId="0" fontId="4" fillId="2" borderId="1" xfId="0" applyFont="1" applyFill="1" applyBorder="1" applyAlignment="1">
      <alignment vertical="top"/>
    </xf>
    <xf numFmtId="0" fontId="8" fillId="2" borderId="0" xfId="0" applyFont="1" applyFill="1" applyAlignment="1">
      <alignment horizontal="center" vertical="center" wrapText="1"/>
    </xf>
    <xf numFmtId="0" fontId="10" fillId="0" borderId="0" xfId="0" applyFont="1" applyAlignment="1">
      <alignment horizontal="center" vertical="center" wrapText="1"/>
    </xf>
    <xf numFmtId="0" fontId="13" fillId="0" borderId="0" xfId="0" applyFont="1" applyAlignment="1">
      <alignment horizontal="center" vertical="center" wrapText="1"/>
    </xf>
    <xf numFmtId="0" fontId="13" fillId="0" borderId="16" xfId="0" applyFont="1" applyBorder="1" applyAlignment="1">
      <alignment horizontal="center" vertical="center" wrapText="1"/>
    </xf>
    <xf numFmtId="0" fontId="14" fillId="0" borderId="16" xfId="0" applyFont="1" applyBorder="1" applyAlignment="1">
      <alignment horizontal="center" vertical="center" wrapText="1"/>
    </xf>
    <xf numFmtId="0" fontId="13" fillId="0" borderId="16" xfId="0" applyFont="1" applyBorder="1" applyAlignment="1">
      <alignment vertical="top" wrapText="1"/>
    </xf>
    <xf numFmtId="4" fontId="13" fillId="0" borderId="16" xfId="0" applyNumberFormat="1" applyFont="1" applyBorder="1" applyAlignment="1">
      <alignment horizontal="right" vertical="center" wrapText="1"/>
    </xf>
    <xf numFmtId="4" fontId="13" fillId="2" borderId="16" xfId="0" applyNumberFormat="1" applyFont="1" applyFill="1" applyBorder="1" applyAlignment="1">
      <alignment horizontal="right" vertical="center" wrapText="1"/>
    </xf>
    <xf numFmtId="0" fontId="4" fillId="2" borderId="16" xfId="0" applyFont="1" applyFill="1" applyBorder="1" applyAlignment="1">
      <alignment vertical="top" wrapText="1"/>
    </xf>
    <xf numFmtId="0" fontId="4" fillId="0" borderId="16" xfId="0" applyFont="1" applyBorder="1" applyAlignment="1">
      <alignment vertical="top" wrapText="1"/>
    </xf>
    <xf numFmtId="0" fontId="1" fillId="0" borderId="16" xfId="0" applyFont="1" applyBorder="1" applyAlignment="1">
      <alignment vertical="top" wrapText="1"/>
    </xf>
    <xf numFmtId="0" fontId="4" fillId="2" borderId="0" xfId="0" applyFont="1" applyFill="1" applyAlignment="1">
      <alignment horizontal="center" vertical="center"/>
    </xf>
    <xf numFmtId="0" fontId="4" fillId="2" borderId="0" xfId="0" applyFont="1" applyFill="1" applyAlignment="1">
      <alignment vertical="top"/>
    </xf>
    <xf numFmtId="4" fontId="15" fillId="2" borderId="16" xfId="0" applyNumberFormat="1" applyFont="1" applyFill="1" applyBorder="1" applyAlignment="1">
      <alignment horizontal="right" vertical="center" wrapText="1"/>
    </xf>
    <xf numFmtId="0" fontId="4" fillId="2" borderId="0" xfId="0" applyFont="1" applyFill="1" applyAlignment="1">
      <alignment horizontal="right" vertical="center"/>
    </xf>
    <xf numFmtId="164" fontId="4" fillId="2" borderId="0" xfId="0" applyNumberFormat="1" applyFont="1" applyFill="1" applyAlignment="1">
      <alignment horizontal="right" vertical="center"/>
    </xf>
    <xf numFmtId="0" fontId="16" fillId="3" borderId="18" xfId="0" applyFont="1" applyFill="1" applyBorder="1" applyAlignment="1">
      <alignment horizontal="center" vertical="center" wrapText="1"/>
    </xf>
    <xf numFmtId="4" fontId="16" fillId="3" borderId="18" xfId="0" applyNumberFormat="1" applyFont="1" applyFill="1" applyBorder="1" applyAlignment="1">
      <alignment horizontal="center" vertical="center" wrapText="1"/>
    </xf>
    <xf numFmtId="4" fontId="16" fillId="0" borderId="18" xfId="0" applyNumberFormat="1" applyFont="1" applyBorder="1" applyAlignment="1">
      <alignment vertical="center" wrapText="1"/>
    </xf>
    <xf numFmtId="4" fontId="16" fillId="4" borderId="18" xfId="0" applyNumberFormat="1" applyFont="1" applyFill="1" applyBorder="1" applyAlignment="1">
      <alignment horizontal="center" vertical="center" wrapText="1"/>
    </xf>
    <xf numFmtId="4" fontId="16" fillId="4" borderId="18" xfId="0" applyNumberFormat="1" applyFont="1" applyFill="1" applyBorder="1" applyAlignment="1">
      <alignment horizontal="right" vertical="center" wrapText="1"/>
    </xf>
    <xf numFmtId="0" fontId="17" fillId="0" borderId="18" xfId="0" applyFont="1" applyBorder="1" applyAlignment="1">
      <alignment horizontal="center" vertical="center" wrapText="1"/>
    </xf>
    <xf numFmtId="0" fontId="16" fillId="5" borderId="18" xfId="0" applyFont="1" applyFill="1" applyBorder="1" applyAlignment="1">
      <alignment horizontal="center" vertical="center" wrapText="1"/>
    </xf>
    <xf numFmtId="0" fontId="16" fillId="5" borderId="18" xfId="0" applyFont="1" applyFill="1" applyBorder="1" applyAlignment="1">
      <alignment horizontal="right" vertical="center" wrapText="1"/>
    </xf>
    <xf numFmtId="0" fontId="17" fillId="0" borderId="0" xfId="0" applyFont="1" applyAlignment="1">
      <alignment vertical="center" wrapText="1"/>
    </xf>
    <xf numFmtId="0" fontId="17" fillId="0" borderId="16" xfId="0" applyFont="1" applyBorder="1" applyAlignment="1">
      <alignment vertical="center" wrapText="1"/>
    </xf>
    <xf numFmtId="0" fontId="17" fillId="0" borderId="16" xfId="0" applyFont="1" applyBorder="1" applyAlignment="1">
      <alignment horizontal="left" vertical="center" wrapText="1"/>
    </xf>
    <xf numFmtId="0" fontId="17" fillId="0" borderId="0" xfId="0" applyFont="1" applyAlignment="1">
      <alignment horizontal="center" vertical="center"/>
    </xf>
    <xf numFmtId="4" fontId="17" fillId="0" borderId="0" xfId="0" applyNumberFormat="1" applyFont="1" applyAlignment="1">
      <alignment vertical="center"/>
    </xf>
    <xf numFmtId="3" fontId="16" fillId="3" borderId="0" xfId="0" applyNumberFormat="1" applyFont="1" applyFill="1" applyAlignment="1">
      <alignment horizontal="center" vertical="center"/>
    </xf>
    <xf numFmtId="0" fontId="17" fillId="0" borderId="0" xfId="0" applyFont="1" applyAlignment="1">
      <alignment vertical="center"/>
    </xf>
    <xf numFmtId="4" fontId="17" fillId="0" borderId="0" xfId="0" applyNumberFormat="1" applyFont="1" applyAlignment="1">
      <alignment horizontal="right" vertical="center"/>
    </xf>
    <xf numFmtId="0" fontId="1" fillId="0" borderId="16" xfId="0" applyFont="1" applyBorder="1" applyAlignment="1">
      <alignment vertical="center" wrapText="1"/>
    </xf>
    <xf numFmtId="0" fontId="1" fillId="0" borderId="16" xfId="0" applyFont="1" applyBorder="1" applyAlignment="1">
      <alignment horizontal="left" vertical="center" wrapText="1"/>
    </xf>
    <xf numFmtId="0" fontId="1" fillId="0" borderId="0" xfId="0" applyFont="1" applyAlignment="1">
      <alignment horizontal="center" vertical="center"/>
    </xf>
    <xf numFmtId="4" fontId="1" fillId="0" borderId="0" xfId="0" applyNumberFormat="1" applyFont="1" applyAlignment="1">
      <alignment vertical="center"/>
    </xf>
    <xf numFmtId="3" fontId="18" fillId="3" borderId="0" xfId="0" applyNumberFormat="1" applyFont="1" applyFill="1" applyAlignment="1">
      <alignment horizontal="center" vertical="center"/>
    </xf>
    <xf numFmtId="4" fontId="1" fillId="0" borderId="0" xfId="0" applyNumberFormat="1" applyFont="1"/>
    <xf numFmtId="0" fontId="1" fillId="5" borderId="0" xfId="0" applyFont="1" applyFill="1" applyAlignment="1">
      <alignment horizontal="center"/>
    </xf>
    <xf numFmtId="4" fontId="1" fillId="0" borderId="0" xfId="0" applyNumberFormat="1" applyFont="1" applyAlignment="1">
      <alignment horizontal="center"/>
    </xf>
    <xf numFmtId="4" fontId="17" fillId="0" borderId="0" xfId="0" applyNumberFormat="1" applyFont="1" applyAlignment="1">
      <alignment horizontal="center" vertical="center"/>
    </xf>
    <xf numFmtId="0" fontId="1" fillId="5" borderId="0" xfId="0" applyFont="1" applyFill="1" applyAlignment="1">
      <alignment horizontal="center" vertical="center"/>
    </xf>
    <xf numFmtId="4" fontId="1" fillId="3" borderId="0" xfId="0" applyNumberFormat="1" applyFont="1" applyFill="1" applyAlignment="1">
      <alignment horizontal="center" vertical="center"/>
    </xf>
    <xf numFmtId="4" fontId="16" fillId="0" borderId="19" xfId="0" applyNumberFormat="1" applyFont="1" applyBorder="1" applyAlignment="1">
      <alignment vertical="center"/>
    </xf>
    <xf numFmtId="3" fontId="16" fillId="6" borderId="19" xfId="0" applyNumberFormat="1" applyFont="1" applyFill="1" applyBorder="1" applyAlignment="1">
      <alignment horizontal="right" vertical="center"/>
    </xf>
    <xf numFmtId="4" fontId="16" fillId="6" borderId="19" xfId="0" applyNumberFormat="1" applyFont="1" applyFill="1" applyBorder="1" applyAlignment="1">
      <alignment vertical="center"/>
    </xf>
    <xf numFmtId="4" fontId="1" fillId="0" borderId="0" xfId="0" applyNumberFormat="1" applyFont="1" applyAlignment="1">
      <alignment horizontal="center" vertical="center"/>
    </xf>
    <xf numFmtId="0" fontId="1" fillId="0" borderId="16" xfId="0" applyFont="1" applyBorder="1" applyAlignment="1">
      <alignment wrapText="1"/>
    </xf>
    <xf numFmtId="0" fontId="1" fillId="0" borderId="16" xfId="0" applyFont="1" applyBorder="1" applyAlignment="1">
      <alignment horizontal="left" wrapText="1"/>
    </xf>
    <xf numFmtId="0" fontId="1" fillId="0" borderId="0" xfId="0" applyFont="1" applyAlignment="1">
      <alignment horizontal="center"/>
    </xf>
    <xf numFmtId="4" fontId="19" fillId="7" borderId="19" xfId="0" applyNumberFormat="1" applyFont="1" applyFill="1" applyBorder="1" applyAlignment="1">
      <alignment horizontal="right" vertical="center"/>
    </xf>
    <xf numFmtId="0" fontId="16" fillId="0" borderId="0" xfId="0" applyFont="1" applyAlignment="1">
      <alignment vertical="center"/>
    </xf>
    <xf numFmtId="0" fontId="17" fillId="0" borderId="0" xfId="0" applyFont="1" applyAlignment="1">
      <alignment horizontal="left" vertical="center" wrapText="1"/>
    </xf>
    <xf numFmtId="0" fontId="18" fillId="0" borderId="0" xfId="0" applyFont="1" applyAlignment="1">
      <alignment horizontal="left" vertical="center"/>
    </xf>
    <xf numFmtId="166" fontId="1" fillId="0" borderId="0" xfId="0" applyNumberFormat="1" applyFont="1" applyAlignment="1">
      <alignment horizontal="left" vertical="center"/>
    </xf>
    <xf numFmtId="167" fontId="1" fillId="0" borderId="0" xfId="0" applyNumberFormat="1" applyFont="1" applyAlignment="1">
      <alignment horizontal="center" vertical="center"/>
    </xf>
    <xf numFmtId="0" fontId="18" fillId="0" borderId="0" xfId="0" applyFont="1" applyAlignment="1">
      <alignment horizontal="center" vertical="center"/>
    </xf>
    <xf numFmtId="0" fontId="1" fillId="0" borderId="0" xfId="0" applyFont="1" applyAlignment="1">
      <alignment horizontal="left" vertical="center"/>
    </xf>
    <xf numFmtId="0" fontId="1" fillId="0" borderId="0" xfId="0" applyFont="1" applyAlignment="1">
      <alignment horizontal="left" vertical="center" wrapText="1"/>
    </xf>
    <xf numFmtId="0" fontId="20" fillId="2" borderId="0" xfId="0" applyFont="1" applyFill="1" applyAlignment="1">
      <alignment horizontal="left" wrapText="1"/>
    </xf>
    <xf numFmtId="0" fontId="1" fillId="0" borderId="0" xfId="0" applyFont="1" applyAlignment="1">
      <alignment vertical="center" wrapText="1"/>
    </xf>
    <xf numFmtId="3" fontId="1" fillId="0" borderId="0" xfId="0" applyNumberFormat="1" applyFont="1" applyAlignment="1">
      <alignment horizontal="center" vertical="center"/>
    </xf>
    <xf numFmtId="0" fontId="21" fillId="0" borderId="0" xfId="0" applyFont="1" applyAlignment="1">
      <alignment horizontal="left" vertical="center"/>
    </xf>
    <xf numFmtId="0" fontId="21" fillId="0" borderId="0" xfId="0" applyFont="1" applyAlignment="1">
      <alignment horizontal="left" vertical="center" wrapText="1"/>
    </xf>
    <xf numFmtId="0" fontId="21" fillId="0" borderId="0" xfId="0" applyFont="1" applyAlignment="1">
      <alignment horizontal="center" vertical="center"/>
    </xf>
    <xf numFmtId="0" fontId="22" fillId="0" borderId="0" xfId="0" applyFont="1" applyAlignment="1">
      <alignment vertical="center"/>
    </xf>
    <xf numFmtId="0" fontId="21" fillId="0" borderId="0" xfId="0" applyFont="1" applyAlignment="1">
      <alignment vertical="center"/>
    </xf>
    <xf numFmtId="3" fontId="21" fillId="0" borderId="0" xfId="0" applyNumberFormat="1" applyFont="1" applyAlignment="1">
      <alignment vertical="center"/>
    </xf>
    <xf numFmtId="0" fontId="21" fillId="0" borderId="16" xfId="0" applyFont="1" applyBorder="1" applyAlignment="1">
      <alignment horizontal="left" vertical="center" wrapText="1"/>
    </xf>
    <xf numFmtId="0" fontId="23" fillId="0" borderId="0" xfId="0" applyFont="1" applyAlignment="1">
      <alignment horizontal="center" vertical="center" wrapText="1"/>
    </xf>
    <xf numFmtId="0" fontId="21" fillId="0" borderId="15" xfId="0" applyFont="1" applyBorder="1" applyAlignment="1">
      <alignment horizontal="left" vertical="center" wrapText="1"/>
    </xf>
    <xf numFmtId="0" fontId="23" fillId="0" borderId="13" xfId="0" applyFont="1" applyBorder="1" applyAlignment="1">
      <alignment horizontal="center" vertical="center" wrapText="1"/>
    </xf>
    <xf numFmtId="0" fontId="21" fillId="0" borderId="13" xfId="0" applyFont="1" applyBorder="1" applyAlignment="1">
      <alignment horizontal="center" vertical="center"/>
    </xf>
    <xf numFmtId="0" fontId="21" fillId="0" borderId="13" xfId="0" applyFont="1" applyBorder="1" applyAlignment="1">
      <alignment vertical="center"/>
    </xf>
    <xf numFmtId="3" fontId="21" fillId="0" borderId="13" xfId="0" applyNumberFormat="1" applyFont="1" applyBorder="1" applyAlignment="1">
      <alignment vertical="center"/>
    </xf>
    <xf numFmtId="0" fontId="21" fillId="0" borderId="15" xfId="0" applyFont="1" applyBorder="1" applyAlignment="1">
      <alignment horizontal="center" vertical="center"/>
    </xf>
    <xf numFmtId="0" fontId="21" fillId="0" borderId="13" xfId="0" applyFont="1" applyBorder="1" applyAlignment="1">
      <alignment horizontal="left" vertical="center" wrapText="1"/>
    </xf>
    <xf numFmtId="0" fontId="21" fillId="0" borderId="15" xfId="0" applyFont="1" applyBorder="1" applyAlignment="1">
      <alignment horizontal="left" vertical="center"/>
    </xf>
    <xf numFmtId="0" fontId="23" fillId="0" borderId="13" xfId="0" applyFont="1" applyBorder="1" applyAlignment="1">
      <alignment horizontal="center" vertical="center"/>
    </xf>
    <xf numFmtId="0" fontId="23" fillId="0" borderId="13" xfId="0" applyFont="1" applyBorder="1" applyAlignment="1">
      <alignment vertical="center"/>
    </xf>
    <xf numFmtId="0" fontId="21" fillId="0" borderId="11" xfId="0" applyFont="1" applyBorder="1" applyAlignment="1">
      <alignment horizontal="center" vertical="center"/>
    </xf>
    <xf numFmtId="0" fontId="21" fillId="0" borderId="11" xfId="0" applyFont="1" applyBorder="1" applyAlignment="1">
      <alignment vertical="center"/>
    </xf>
    <xf numFmtId="0" fontId="21" fillId="0" borderId="13" xfId="0" applyFont="1" applyBorder="1" applyAlignment="1">
      <alignment horizontal="right" vertical="center"/>
    </xf>
    <xf numFmtId="0" fontId="23" fillId="0" borderId="0" xfId="0" applyFont="1" applyAlignment="1">
      <alignment horizontal="left" vertical="center" wrapText="1"/>
    </xf>
    <xf numFmtId="0" fontId="23" fillId="0" borderId="0" xfId="0" applyFont="1" applyAlignment="1">
      <alignment horizontal="center" vertical="center"/>
    </xf>
    <xf numFmtId="0" fontId="23" fillId="0" borderId="0" xfId="0" applyFont="1" applyAlignment="1">
      <alignment vertical="center"/>
    </xf>
    <xf numFmtId="3" fontId="23" fillId="0" borderId="0" xfId="0" applyNumberFormat="1" applyFont="1" applyAlignment="1">
      <alignment horizontal="right" vertical="center"/>
    </xf>
    <xf numFmtId="0" fontId="22" fillId="0" borderId="0" xfId="0" applyFont="1" applyAlignment="1">
      <alignment horizontal="left" vertical="center"/>
    </xf>
    <xf numFmtId="0" fontId="22" fillId="0" borderId="0" xfId="0" applyFont="1" applyAlignment="1">
      <alignment horizontal="left" vertical="center" wrapText="1"/>
    </xf>
    <xf numFmtId="0" fontId="22" fillId="0" borderId="0" xfId="0" applyFont="1" applyAlignment="1">
      <alignment horizontal="center" vertical="center"/>
    </xf>
    <xf numFmtId="3" fontId="22" fillId="0" borderId="0" xfId="0" applyNumberFormat="1" applyFont="1" applyAlignment="1">
      <alignment vertical="center"/>
    </xf>
    <xf numFmtId="0" fontId="17" fillId="0" borderId="0" xfId="0" applyFont="1"/>
    <xf numFmtId="0" fontId="25" fillId="9" borderId="17" xfId="0" applyFont="1" applyFill="1" applyBorder="1" applyAlignment="1">
      <alignment horizontal="center" vertical="center"/>
    </xf>
    <xf numFmtId="3" fontId="25" fillId="9" borderId="17" xfId="0" applyNumberFormat="1" applyFont="1" applyFill="1" applyBorder="1" applyAlignment="1">
      <alignment horizontal="center" vertical="center"/>
    </xf>
    <xf numFmtId="3" fontId="25" fillId="8" borderId="18" xfId="0" applyNumberFormat="1" applyFont="1" applyFill="1" applyBorder="1" applyAlignment="1">
      <alignment horizontal="center"/>
    </xf>
    <xf numFmtId="0" fontId="1" fillId="0" borderId="20" xfId="0" applyFont="1" applyBorder="1" applyAlignment="1">
      <alignment horizontal="center" vertical="center"/>
    </xf>
    <xf numFmtId="3" fontId="1" fillId="0" borderId="20" xfId="0" applyNumberFormat="1" applyFont="1" applyBorder="1" applyAlignment="1">
      <alignment horizontal="center" vertical="center"/>
    </xf>
    <xf numFmtId="3" fontId="26" fillId="8" borderId="0" xfId="0" applyNumberFormat="1" applyFont="1" applyFill="1" applyAlignment="1">
      <alignment horizontal="center"/>
    </xf>
    <xf numFmtId="3" fontId="27" fillId="0" borderId="0" xfId="0" applyNumberFormat="1" applyFont="1" applyAlignment="1">
      <alignment horizontal="center"/>
    </xf>
    <xf numFmtId="3" fontId="1" fillId="0" borderId="0" xfId="0" applyNumberFormat="1" applyFont="1" applyAlignment="1">
      <alignment horizontal="center"/>
    </xf>
    <xf numFmtId="0" fontId="23" fillId="0" borderId="16" xfId="0" applyFont="1" applyBorder="1" applyAlignment="1">
      <alignment horizontal="left" vertical="center" wrapText="1"/>
    </xf>
    <xf numFmtId="0" fontId="21" fillId="0" borderId="0" xfId="0" applyFont="1" applyAlignment="1">
      <alignment horizontal="center" vertical="center" wrapText="1"/>
    </xf>
    <xf numFmtId="0" fontId="23" fillId="0" borderId="15" xfId="0" applyFont="1" applyBorder="1" applyAlignment="1">
      <alignment horizontal="left" vertical="center" wrapText="1"/>
    </xf>
    <xf numFmtId="0" fontId="21" fillId="0" borderId="13" xfId="0" applyFont="1" applyBorder="1" applyAlignment="1">
      <alignment vertical="center" wrapText="1"/>
    </xf>
    <xf numFmtId="4" fontId="21" fillId="0" borderId="13" xfId="0" applyNumberFormat="1" applyFont="1" applyBorder="1" applyAlignment="1">
      <alignment vertical="center"/>
    </xf>
    <xf numFmtId="4" fontId="21" fillId="0" borderId="13" xfId="0" applyNumberFormat="1" applyFont="1" applyBorder="1" applyAlignment="1">
      <alignment horizontal="right" vertical="center"/>
    </xf>
    <xf numFmtId="4" fontId="23" fillId="0" borderId="13" xfId="0" applyNumberFormat="1" applyFont="1" applyBorder="1" applyAlignment="1">
      <alignment horizontal="right" vertical="center"/>
    </xf>
    <xf numFmtId="0" fontId="23" fillId="0" borderId="13" xfId="0" applyFont="1" applyBorder="1" applyAlignment="1">
      <alignment vertical="center" wrapText="1"/>
    </xf>
    <xf numFmtId="4" fontId="23" fillId="0" borderId="0" xfId="0" applyNumberFormat="1" applyFont="1" applyAlignment="1">
      <alignment horizontal="right" vertical="center"/>
    </xf>
    <xf numFmtId="0" fontId="28" fillId="0" borderId="0" xfId="0" applyFont="1" applyAlignment="1">
      <alignment vertical="center"/>
    </xf>
    <xf numFmtId="0" fontId="28" fillId="0" borderId="0" xfId="0" applyFont="1" applyAlignment="1">
      <alignment horizontal="left" vertical="center" wrapText="1"/>
    </xf>
    <xf numFmtId="0" fontId="28" fillId="0" borderId="0" xfId="0" applyFont="1" applyAlignment="1">
      <alignment horizontal="center" vertical="center"/>
    </xf>
    <xf numFmtId="0" fontId="28" fillId="0" borderId="0" xfId="0" applyFont="1" applyAlignment="1">
      <alignment horizontal="left" vertical="center"/>
    </xf>
    <xf numFmtId="0" fontId="28" fillId="0" borderId="0" xfId="0" applyFont="1" applyAlignment="1">
      <alignment horizontal="center" vertical="center" wrapText="1"/>
    </xf>
    <xf numFmtId="0" fontId="28" fillId="0" borderId="0" xfId="0" applyFont="1"/>
    <xf numFmtId="0" fontId="28" fillId="0" borderId="0" xfId="0" applyFont="1" applyAlignment="1">
      <alignment horizontal="center"/>
    </xf>
    <xf numFmtId="0" fontId="29" fillId="0" borderId="16" xfId="0" applyFont="1" applyBorder="1" applyAlignment="1">
      <alignment horizontal="center" vertical="center" wrapText="1"/>
    </xf>
    <xf numFmtId="0" fontId="29" fillId="0" borderId="16" xfId="0" applyFont="1" applyBorder="1" applyAlignment="1">
      <alignment horizontal="left" vertical="center" wrapText="1"/>
    </xf>
    <xf numFmtId="0" fontId="30" fillId="0" borderId="16" xfId="0" applyFont="1" applyBorder="1" applyAlignment="1">
      <alignment horizontal="center" vertical="center" wrapText="1"/>
    </xf>
    <xf numFmtId="0" fontId="30" fillId="0" borderId="16" xfId="0" applyFont="1" applyBorder="1" applyAlignment="1">
      <alignment horizontal="left" vertical="center" wrapText="1"/>
    </xf>
    <xf numFmtId="0" fontId="30" fillId="0" borderId="16" xfId="0" applyFont="1" applyBorder="1" applyAlignment="1">
      <alignment horizontal="left" vertical="center"/>
    </xf>
    <xf numFmtId="0" fontId="30" fillId="0" borderId="14" xfId="0" applyFont="1" applyBorder="1" applyAlignment="1">
      <alignment horizontal="center" vertical="center" wrapText="1"/>
    </xf>
    <xf numFmtId="0" fontId="31" fillId="0" borderId="0" xfId="0" applyFont="1" applyAlignment="1">
      <alignment horizontal="center" vertical="center"/>
    </xf>
    <xf numFmtId="0" fontId="31" fillId="0" borderId="0" xfId="0" applyFont="1" applyAlignment="1">
      <alignment vertical="center"/>
    </xf>
    <xf numFmtId="0" fontId="29" fillId="0" borderId="16" xfId="0" applyFont="1" applyBorder="1" applyAlignment="1">
      <alignment horizontal="center" vertical="center"/>
    </xf>
    <xf numFmtId="0" fontId="28" fillId="0" borderId="16" xfId="0" applyFont="1" applyBorder="1" applyAlignment="1">
      <alignment horizontal="left" wrapText="1"/>
    </xf>
    <xf numFmtId="0" fontId="29" fillId="0" borderId="16" xfId="0" applyFont="1" applyBorder="1" applyAlignment="1">
      <alignment horizontal="center"/>
    </xf>
    <xf numFmtId="0" fontId="28" fillId="0" borderId="16" xfId="0" applyFont="1" applyBorder="1" applyAlignment="1">
      <alignment horizontal="center"/>
    </xf>
    <xf numFmtId="4" fontId="29" fillId="0" borderId="16" xfId="0" applyNumberFormat="1" applyFont="1" applyBorder="1" applyAlignment="1">
      <alignment horizontal="center" vertical="center"/>
    </xf>
    <xf numFmtId="0" fontId="28" fillId="0" borderId="16" xfId="0" applyFont="1" applyBorder="1" applyAlignment="1">
      <alignment horizontal="center" vertical="center"/>
    </xf>
    <xf numFmtId="0" fontId="28" fillId="0" borderId="16" xfId="0" applyFont="1" applyBorder="1" applyAlignment="1">
      <alignment horizontal="center" vertical="center" wrapText="1"/>
    </xf>
    <xf numFmtId="0" fontId="29" fillId="0" borderId="16" xfId="0" applyFont="1" applyBorder="1" applyAlignment="1">
      <alignment horizontal="left" wrapText="1"/>
    </xf>
    <xf numFmtId="4" fontId="28" fillId="0" borderId="16" xfId="0" applyNumberFormat="1" applyFont="1" applyBorder="1" applyAlignment="1">
      <alignment horizontal="center" vertical="center"/>
    </xf>
    <xf numFmtId="0" fontId="30" fillId="0" borderId="16" xfId="0" applyFont="1" applyBorder="1" applyAlignment="1">
      <alignment horizontal="center"/>
    </xf>
    <xf numFmtId="4" fontId="29" fillId="0" borderId="16" xfId="0" applyNumberFormat="1" applyFont="1" applyBorder="1" applyAlignment="1">
      <alignment horizontal="center"/>
    </xf>
    <xf numFmtId="4" fontId="28" fillId="0" borderId="16" xfId="0" applyNumberFormat="1" applyFont="1" applyBorder="1" applyAlignment="1">
      <alignment horizontal="center"/>
    </xf>
    <xf numFmtId="0" fontId="32" fillId="0" borderId="16" xfId="0" applyFont="1" applyBorder="1" applyAlignment="1">
      <alignment horizontal="left" wrapText="1"/>
    </xf>
    <xf numFmtId="0" fontId="31" fillId="0" borderId="16" xfId="0" applyFont="1" applyBorder="1" applyAlignment="1">
      <alignment horizontal="center"/>
    </xf>
    <xf numFmtId="0" fontId="28" fillId="0" borderId="16" xfId="0" applyFont="1" applyBorder="1" applyAlignment="1">
      <alignment horizontal="center" wrapText="1"/>
    </xf>
    <xf numFmtId="0" fontId="28" fillId="0" borderId="16" xfId="0" applyFont="1" applyBorder="1" applyAlignment="1">
      <alignment horizontal="center" vertical="top" wrapText="1"/>
    </xf>
    <xf numFmtId="0" fontId="33" fillId="0" borderId="16" xfId="0" applyFont="1" applyBorder="1" applyAlignment="1">
      <alignment horizontal="center"/>
    </xf>
    <xf numFmtId="0" fontId="28" fillId="0" borderId="16" xfId="0" applyFont="1" applyBorder="1" applyAlignment="1">
      <alignment horizontal="left" vertical="center" wrapText="1"/>
    </xf>
    <xf numFmtId="0" fontId="28" fillId="0" borderId="16" xfId="0" applyFont="1" applyBorder="1" applyAlignment="1">
      <alignment horizontal="left" vertical="top" wrapText="1"/>
    </xf>
    <xf numFmtId="3" fontId="28" fillId="0" borderId="16" xfId="0" applyNumberFormat="1" applyFont="1" applyBorder="1" applyAlignment="1">
      <alignment horizontal="center" vertical="center"/>
    </xf>
    <xf numFmtId="0" fontId="34" fillId="0" borderId="16" xfId="0" applyFont="1" applyBorder="1" applyAlignment="1">
      <alignment horizontal="left" wrapText="1"/>
    </xf>
    <xf numFmtId="0" fontId="32" fillId="0" borderId="16" xfId="0" applyFont="1" applyBorder="1" applyAlignment="1">
      <alignment horizontal="center"/>
    </xf>
    <xf numFmtId="0" fontId="28" fillId="0" borderId="15" xfId="0" applyFont="1" applyBorder="1" applyAlignment="1">
      <alignment horizontal="center" wrapText="1"/>
    </xf>
    <xf numFmtId="0" fontId="28" fillId="0" borderId="15" xfId="0" applyFont="1" applyBorder="1" applyAlignment="1">
      <alignment horizontal="center"/>
    </xf>
    <xf numFmtId="0" fontId="30" fillId="0" borderId="16" xfId="0" applyFont="1" applyBorder="1" applyAlignment="1">
      <alignment horizontal="left" wrapText="1"/>
    </xf>
    <xf numFmtId="0" fontId="35" fillId="0" borderId="16" xfId="0" applyFont="1" applyBorder="1" applyAlignment="1">
      <alignment horizontal="center"/>
    </xf>
    <xf numFmtId="0" fontId="28" fillId="0" borderId="15" xfId="0" applyFont="1" applyBorder="1"/>
    <xf numFmtId="3" fontId="29" fillId="0" borderId="16" xfId="0" applyNumberFormat="1" applyFont="1" applyBorder="1" applyAlignment="1">
      <alignment horizontal="center" vertical="center"/>
    </xf>
    <xf numFmtId="0" fontId="28" fillId="0" borderId="11" xfId="0" applyFont="1" applyBorder="1" applyAlignment="1">
      <alignment horizontal="center"/>
    </xf>
    <xf numFmtId="0" fontId="29" fillId="0" borderId="13" xfId="0" applyFont="1" applyBorder="1" applyAlignment="1">
      <alignment horizontal="center" vertical="center"/>
    </xf>
    <xf numFmtId="4" fontId="29" fillId="0" borderId="13" xfId="0" applyNumberFormat="1" applyFont="1" applyBorder="1" applyAlignment="1">
      <alignment horizontal="center" vertical="center"/>
    </xf>
    <xf numFmtId="0" fontId="28" fillId="0" borderId="15" xfId="0" applyFont="1" applyBorder="1" applyAlignment="1">
      <alignment horizontal="left" wrapText="1"/>
    </xf>
    <xf numFmtId="0" fontId="28" fillId="0" borderId="13" xfId="0" applyFont="1" applyBorder="1" applyAlignment="1">
      <alignment horizontal="center"/>
    </xf>
    <xf numFmtId="4" fontId="29" fillId="0" borderId="11" xfId="0" applyNumberFormat="1" applyFont="1" applyBorder="1" applyAlignment="1">
      <alignment horizontal="center" vertical="center"/>
    </xf>
    <xf numFmtId="0" fontId="29" fillId="0" borderId="11" xfId="0" applyFont="1" applyBorder="1" applyAlignment="1">
      <alignment horizontal="center" vertical="center"/>
    </xf>
    <xf numFmtId="4" fontId="28" fillId="0" borderId="13" xfId="0" applyNumberFormat="1" applyFont="1" applyBorder="1" applyAlignment="1">
      <alignment horizontal="center" vertical="center"/>
    </xf>
    <xf numFmtId="0" fontId="29" fillId="0" borderId="15" xfId="0" applyFont="1" applyBorder="1" applyAlignment="1">
      <alignment horizontal="center" vertical="center"/>
    </xf>
    <xf numFmtId="0" fontId="28" fillId="0" borderId="15" xfId="0" applyFont="1" applyBorder="1" applyAlignment="1">
      <alignment horizontal="center" vertical="center"/>
    </xf>
    <xf numFmtId="4" fontId="29" fillId="0" borderId="15" xfId="0" applyNumberFormat="1" applyFont="1" applyBorder="1" applyAlignment="1">
      <alignment horizontal="center" vertical="center"/>
    </xf>
    <xf numFmtId="0" fontId="29" fillId="0" borderId="16" xfId="0" applyFont="1" applyBorder="1" applyAlignment="1">
      <alignment horizontal="left"/>
    </xf>
    <xf numFmtId="0" fontId="29" fillId="0" borderId="15" xfId="0" applyFont="1" applyBorder="1" applyAlignment="1">
      <alignment horizontal="center"/>
    </xf>
    <xf numFmtId="0" fontId="29" fillId="0" borderId="21" xfId="0" applyFont="1" applyBorder="1" applyAlignment="1">
      <alignment horizontal="center" vertical="center"/>
    </xf>
    <xf numFmtId="0" fontId="29" fillId="0" borderId="12" xfId="0" applyFont="1" applyBorder="1" applyAlignment="1">
      <alignment horizontal="center" vertical="center"/>
    </xf>
    <xf numFmtId="0" fontId="29" fillId="0" borderId="15" xfId="0" applyFont="1" applyBorder="1" applyAlignment="1">
      <alignment horizontal="left"/>
    </xf>
    <xf numFmtId="0" fontId="29" fillId="0" borderId="0" xfId="0" applyFont="1" applyAlignment="1">
      <alignment horizontal="center" vertical="center"/>
    </xf>
    <xf numFmtId="0" fontId="29" fillId="0" borderId="22" xfId="0" applyFont="1" applyBorder="1" applyAlignment="1">
      <alignment horizontal="center" vertical="center"/>
    </xf>
    <xf numFmtId="0" fontId="28" fillId="0" borderId="16" xfId="0" applyFont="1" applyBorder="1" applyAlignment="1">
      <alignment horizontal="left"/>
    </xf>
    <xf numFmtId="0" fontId="29" fillId="0" borderId="13" xfId="0" applyFont="1" applyBorder="1" applyAlignment="1">
      <alignment horizontal="left"/>
    </xf>
    <xf numFmtId="0" fontId="29" fillId="0" borderId="12" xfId="0" applyFont="1" applyBorder="1" applyAlignment="1">
      <alignment horizontal="center"/>
    </xf>
    <xf numFmtId="0" fontId="29" fillId="0" borderId="11" xfId="0" applyFont="1" applyBorder="1" applyAlignment="1">
      <alignment horizontal="center"/>
    </xf>
    <xf numFmtId="0" fontId="30" fillId="0" borderId="15" xfId="0" applyFont="1" applyBorder="1" applyAlignment="1">
      <alignment horizontal="center"/>
    </xf>
    <xf numFmtId="0" fontId="29" fillId="0" borderId="13" xfId="0" applyFont="1" applyBorder="1" applyAlignment="1">
      <alignment horizontal="center"/>
    </xf>
    <xf numFmtId="0" fontId="30" fillId="0" borderId="13" xfId="0" applyFont="1" applyBorder="1" applyAlignment="1">
      <alignment horizontal="center"/>
    </xf>
    <xf numFmtId="0" fontId="29" fillId="0" borderId="11" xfId="0" applyFont="1" applyBorder="1" applyAlignment="1">
      <alignment horizontal="left"/>
    </xf>
    <xf numFmtId="0" fontId="29" fillId="0" borderId="21" xfId="0" applyFont="1" applyBorder="1" applyAlignment="1">
      <alignment horizontal="center"/>
    </xf>
    <xf numFmtId="0" fontId="29" fillId="0" borderId="0" xfId="0" applyFont="1" applyAlignment="1">
      <alignment horizontal="left"/>
    </xf>
    <xf numFmtId="0" fontId="29" fillId="0" borderId="23" xfId="0" applyFont="1" applyBorder="1" applyAlignment="1">
      <alignment horizontal="center"/>
    </xf>
    <xf numFmtId="0" fontId="29" fillId="0" borderId="8" xfId="0" applyFont="1" applyBorder="1" applyAlignment="1">
      <alignment horizontal="center"/>
    </xf>
    <xf numFmtId="0" fontId="29" fillId="0" borderId="22" xfId="0" applyFont="1" applyBorder="1" applyAlignment="1">
      <alignment horizontal="center"/>
    </xf>
    <xf numFmtId="0" fontId="29" fillId="0" borderId="24" xfId="0" applyFont="1" applyBorder="1" applyAlignment="1">
      <alignment horizontal="center"/>
    </xf>
    <xf numFmtId="0" fontId="30" fillId="0" borderId="12" xfId="0" applyFont="1" applyBorder="1" applyAlignment="1">
      <alignment horizontal="center"/>
    </xf>
    <xf numFmtId="0" fontId="30" fillId="0" borderId="15" xfId="0" applyFont="1" applyBorder="1" applyAlignment="1">
      <alignment horizontal="left"/>
    </xf>
    <xf numFmtId="0" fontId="30" fillId="0" borderId="21" xfId="0" applyFont="1" applyBorder="1" applyAlignment="1">
      <alignment horizontal="center"/>
    </xf>
    <xf numFmtId="0" fontId="29" fillId="0" borderId="0" xfId="0" applyFont="1" applyAlignment="1">
      <alignment horizontal="center"/>
    </xf>
    <xf numFmtId="0" fontId="29" fillId="0" borderId="14" xfId="0" applyFont="1" applyBorder="1" applyAlignment="1">
      <alignment horizontal="center"/>
    </xf>
    <xf numFmtId="0" fontId="28" fillId="0" borderId="13" xfId="0" applyFont="1" applyBorder="1" applyAlignment="1">
      <alignment horizontal="center" vertical="center"/>
    </xf>
    <xf numFmtId="0" fontId="32" fillId="0" borderId="13" xfId="0" applyFont="1" applyBorder="1" applyAlignment="1">
      <alignment horizontal="center" vertical="center"/>
    </xf>
    <xf numFmtId="0" fontId="28" fillId="0" borderId="11" xfId="0" applyFont="1" applyBorder="1" applyAlignment="1">
      <alignment horizontal="center" vertical="center"/>
    </xf>
    <xf numFmtId="4" fontId="30" fillId="0" borderId="15" xfId="0" applyNumberFormat="1" applyFont="1" applyBorder="1" applyAlignment="1">
      <alignment horizontal="center"/>
    </xf>
    <xf numFmtId="4" fontId="29" fillId="0" borderId="15" xfId="0" applyNumberFormat="1" applyFont="1" applyBorder="1" applyAlignment="1">
      <alignment horizontal="center"/>
    </xf>
    <xf numFmtId="4" fontId="29" fillId="0" borderId="11" xfId="0" applyNumberFormat="1" applyFont="1" applyBorder="1" applyAlignment="1">
      <alignment horizontal="center"/>
    </xf>
    <xf numFmtId="4" fontId="29" fillId="0" borderId="13" xfId="0" applyNumberFormat="1" applyFont="1" applyBorder="1" applyAlignment="1">
      <alignment horizontal="center"/>
    </xf>
    <xf numFmtId="0" fontId="28" fillId="0" borderId="15" xfId="0" applyFont="1" applyBorder="1" applyAlignment="1">
      <alignment horizontal="left"/>
    </xf>
    <xf numFmtId="0" fontId="32" fillId="0" borderId="23" xfId="0" applyFont="1" applyBorder="1" applyAlignment="1">
      <alignment horizontal="center" vertical="center"/>
    </xf>
    <xf numFmtId="0" fontId="28" fillId="0" borderId="23" xfId="0" applyFont="1" applyBorder="1" applyAlignment="1">
      <alignment horizontal="center" vertical="center"/>
    </xf>
    <xf numFmtId="4" fontId="28" fillId="0" borderId="23" xfId="0" applyNumberFormat="1" applyFont="1" applyBorder="1" applyAlignment="1">
      <alignment horizontal="center" vertical="center"/>
    </xf>
    <xf numFmtId="0" fontId="32" fillId="0" borderId="11" xfId="0" applyFont="1" applyBorder="1" applyAlignment="1">
      <alignment horizontal="center" vertical="center"/>
    </xf>
    <xf numFmtId="4" fontId="29" fillId="0" borderId="24" xfId="0" applyNumberFormat="1" applyFont="1" applyBorder="1" applyAlignment="1">
      <alignment horizontal="center" vertical="center"/>
    </xf>
    <xf numFmtId="0" fontId="28" fillId="0" borderId="24" xfId="0" applyFont="1" applyBorder="1" applyAlignment="1">
      <alignment horizontal="center" vertical="center"/>
    </xf>
    <xf numFmtId="4" fontId="29" fillId="0" borderId="14" xfId="0" applyNumberFormat="1" applyFont="1" applyBorder="1" applyAlignment="1">
      <alignment horizontal="center" vertical="center"/>
    </xf>
    <xf numFmtId="0" fontId="28" fillId="0" borderId="14" xfId="0" applyFont="1" applyBorder="1" applyAlignment="1">
      <alignment horizontal="center" vertical="center"/>
    </xf>
    <xf numFmtId="0" fontId="29" fillId="0" borderId="24" xfId="0" applyFont="1" applyBorder="1" applyAlignment="1">
      <alignment horizontal="left"/>
    </xf>
    <xf numFmtId="0" fontId="28" fillId="0" borderId="8" xfId="0" applyFont="1" applyBorder="1" applyAlignment="1">
      <alignment horizontal="center" vertical="center"/>
    </xf>
    <xf numFmtId="0" fontId="30" fillId="0" borderId="11" xfId="0" applyFont="1" applyBorder="1" applyAlignment="1">
      <alignment horizontal="center"/>
    </xf>
    <xf numFmtId="0" fontId="30" fillId="0" borderId="24" xfId="0" applyFont="1" applyBorder="1" applyAlignment="1">
      <alignment horizontal="center"/>
    </xf>
    <xf numFmtId="4" fontId="28" fillId="0" borderId="14" xfId="0" applyNumberFormat="1" applyFont="1" applyBorder="1" applyAlignment="1">
      <alignment horizontal="center" vertical="center"/>
    </xf>
    <xf numFmtId="3" fontId="29" fillId="0" borderId="8" xfId="0" applyNumberFormat="1" applyFont="1" applyBorder="1" applyAlignment="1">
      <alignment horizontal="center" vertical="center"/>
    </xf>
    <xf numFmtId="4" fontId="29" fillId="0" borderId="8" xfId="0" applyNumberFormat="1" applyFont="1" applyBorder="1" applyAlignment="1">
      <alignment horizontal="center" vertical="center"/>
    </xf>
    <xf numFmtId="0" fontId="29" fillId="0" borderId="23" xfId="0" applyFont="1" applyBorder="1" applyAlignment="1">
      <alignment horizontal="center" vertical="center"/>
    </xf>
    <xf numFmtId="4" fontId="28" fillId="0" borderId="8" xfId="0" applyNumberFormat="1" applyFont="1" applyBorder="1" applyAlignment="1">
      <alignment horizontal="center" vertical="center"/>
    </xf>
    <xf numFmtId="3" fontId="29" fillId="0" borderId="13" xfId="0" applyNumberFormat="1" applyFont="1" applyBorder="1" applyAlignment="1">
      <alignment horizontal="center" vertical="center"/>
    </xf>
    <xf numFmtId="4" fontId="30" fillId="0" borderId="11" xfId="0" applyNumberFormat="1" applyFont="1" applyBorder="1" applyAlignment="1">
      <alignment horizontal="center" vertical="center"/>
    </xf>
    <xf numFmtId="0" fontId="30" fillId="0" borderId="16" xfId="0" applyFont="1" applyBorder="1" applyAlignment="1">
      <alignment horizontal="center" vertical="center"/>
    </xf>
    <xf numFmtId="4" fontId="30" fillId="0" borderId="13" xfId="0" applyNumberFormat="1" applyFont="1" applyBorder="1" applyAlignment="1">
      <alignment horizontal="center" vertical="center"/>
    </xf>
    <xf numFmtId="4" fontId="28" fillId="0" borderId="15" xfId="0" applyNumberFormat="1" applyFont="1" applyBorder="1" applyAlignment="1">
      <alignment horizontal="center" vertical="center"/>
    </xf>
    <xf numFmtId="0" fontId="33" fillId="0" borderId="16" xfId="0" applyFont="1" applyBorder="1" applyAlignment="1">
      <alignment horizontal="center" vertical="center"/>
    </xf>
    <xf numFmtId="0" fontId="30" fillId="0" borderId="23" xfId="0" applyFont="1" applyBorder="1" applyAlignment="1">
      <alignment horizontal="center" vertical="center"/>
    </xf>
    <xf numFmtId="0" fontId="30" fillId="0" borderId="13" xfId="0" applyFont="1" applyBorder="1" applyAlignment="1">
      <alignment horizontal="center" vertical="center"/>
    </xf>
    <xf numFmtId="4" fontId="30" fillId="0" borderId="8" xfId="0" applyNumberFormat="1" applyFont="1" applyBorder="1" applyAlignment="1">
      <alignment horizontal="center" vertical="center"/>
    </xf>
    <xf numFmtId="0" fontId="29" fillId="0" borderId="8" xfId="0" applyFont="1" applyBorder="1" applyAlignment="1">
      <alignment horizontal="center" vertical="center"/>
    </xf>
    <xf numFmtId="0" fontId="30" fillId="0" borderId="8" xfId="0" applyFont="1" applyBorder="1" applyAlignment="1">
      <alignment horizontal="center" vertical="center"/>
    </xf>
    <xf numFmtId="0" fontId="30" fillId="0" borderId="15" xfId="0" applyFont="1" applyBorder="1" applyAlignment="1">
      <alignment horizontal="center" vertical="center"/>
    </xf>
    <xf numFmtId="0" fontId="36" fillId="0" borderId="16" xfId="0" applyFont="1" applyBorder="1"/>
    <xf numFmtId="0" fontId="36" fillId="0" borderId="11" xfId="0" applyFont="1" applyBorder="1" applyAlignment="1">
      <alignment horizontal="center"/>
    </xf>
    <xf numFmtId="0" fontId="37" fillId="0" borderId="16" xfId="0" applyFont="1" applyBorder="1" applyAlignment="1">
      <alignment horizontal="center"/>
    </xf>
    <xf numFmtId="0" fontId="37" fillId="0" borderId="11" xfId="0" applyFont="1" applyBorder="1" applyAlignment="1">
      <alignment horizontal="center"/>
    </xf>
    <xf numFmtId="0" fontId="36" fillId="0" borderId="15" xfId="0" applyFont="1" applyBorder="1"/>
    <xf numFmtId="0" fontId="36" fillId="0" borderId="13" xfId="0" applyFont="1" applyBorder="1" applyAlignment="1">
      <alignment horizontal="center"/>
    </xf>
    <xf numFmtId="0" fontId="37" fillId="0" borderId="15" xfId="0" applyFont="1" applyBorder="1" applyAlignment="1">
      <alignment horizontal="center"/>
    </xf>
    <xf numFmtId="0" fontId="37" fillId="0" borderId="13" xfId="0" applyFont="1" applyBorder="1" applyAlignment="1">
      <alignment horizontal="center"/>
    </xf>
    <xf numFmtId="0" fontId="36" fillId="0" borderId="15" xfId="0" applyFont="1" applyBorder="1" applyAlignment="1">
      <alignment horizontal="left"/>
    </xf>
    <xf numFmtId="0" fontId="36" fillId="0" borderId="13" xfId="0" applyFont="1" applyBorder="1"/>
    <xf numFmtId="0" fontId="29" fillId="0" borderId="15" xfId="0" applyFont="1" applyBorder="1" applyAlignment="1">
      <alignment horizontal="left" vertical="center" wrapText="1"/>
    </xf>
    <xf numFmtId="0" fontId="38" fillId="0" borderId="16" xfId="0" applyFont="1" applyBorder="1"/>
    <xf numFmtId="0" fontId="39" fillId="0" borderId="11" xfId="0" applyFont="1" applyBorder="1" applyAlignment="1">
      <alignment horizontal="center"/>
    </xf>
    <xf numFmtId="0" fontId="38" fillId="0" borderId="15" xfId="0" applyFont="1" applyBorder="1"/>
    <xf numFmtId="0" fontId="39" fillId="0" borderId="13" xfId="0" applyFont="1" applyBorder="1" applyAlignment="1">
      <alignment horizontal="center"/>
    </xf>
    <xf numFmtId="0" fontId="38" fillId="0" borderId="24" xfId="0" applyFont="1" applyBorder="1"/>
    <xf numFmtId="0" fontId="39" fillId="0" borderId="23" xfId="0" applyFont="1" applyBorder="1" applyAlignment="1">
      <alignment horizontal="center"/>
    </xf>
    <xf numFmtId="0" fontId="38" fillId="0" borderId="14" xfId="0" applyFont="1" applyBorder="1"/>
    <xf numFmtId="0" fontId="39" fillId="0" borderId="8" xfId="0" applyFont="1" applyBorder="1" applyAlignment="1">
      <alignment horizontal="center"/>
    </xf>
    <xf numFmtId="0" fontId="29" fillId="0" borderId="24" xfId="0" applyFont="1" applyBorder="1" applyAlignment="1">
      <alignment horizontal="left" vertical="center" wrapText="1"/>
    </xf>
    <xf numFmtId="0" fontId="29" fillId="0" borderId="14" xfId="0" applyFont="1" applyBorder="1" applyAlignment="1">
      <alignment horizontal="left" vertical="center" wrapText="1"/>
    </xf>
    <xf numFmtId="4" fontId="29" fillId="0" borderId="23" xfId="0" applyNumberFormat="1" applyFont="1" applyBorder="1" applyAlignment="1">
      <alignment horizontal="center" vertical="center"/>
    </xf>
    <xf numFmtId="0" fontId="29" fillId="0" borderId="15" xfId="0" applyFont="1" applyBorder="1" applyAlignment="1">
      <alignment horizontal="left" wrapText="1"/>
    </xf>
    <xf numFmtId="0" fontId="28" fillId="0" borderId="0" xfId="0" applyFont="1" applyAlignment="1">
      <alignment vertical="center" wrapText="1"/>
    </xf>
    <xf numFmtId="4" fontId="18" fillId="0" borderId="0" xfId="0" applyNumberFormat="1" applyFont="1" applyAlignment="1">
      <alignment vertical="center"/>
    </xf>
    <xf numFmtId="4" fontId="18" fillId="4" borderId="0" xfId="0" applyNumberFormat="1" applyFont="1" applyFill="1" applyAlignment="1">
      <alignment horizontal="center" vertical="center"/>
    </xf>
    <xf numFmtId="4" fontId="18" fillId="4" borderId="0" xfId="0" applyNumberFormat="1" applyFont="1" applyFill="1" applyAlignment="1">
      <alignment horizontal="right"/>
    </xf>
    <xf numFmtId="3" fontId="1" fillId="0" borderId="0" xfId="0" applyNumberFormat="1" applyFont="1" applyAlignment="1">
      <alignment vertical="center"/>
    </xf>
    <xf numFmtId="0" fontId="1" fillId="0" borderId="0" xfId="0" applyFont="1" applyAlignment="1">
      <alignment wrapText="1"/>
    </xf>
    <xf numFmtId="0" fontId="18" fillId="0" borderId="19" xfId="0" applyFont="1" applyBorder="1" applyAlignment="1">
      <alignment horizontal="right" vertical="center"/>
    </xf>
    <xf numFmtId="4" fontId="18" fillId="0" borderId="19" xfId="0" applyNumberFormat="1" applyFont="1" applyBorder="1" applyAlignment="1">
      <alignment vertical="center"/>
    </xf>
    <xf numFmtId="3" fontId="18" fillId="6" borderId="19" xfId="0" applyNumberFormat="1" applyFont="1" applyFill="1" applyBorder="1" applyAlignment="1">
      <alignment horizontal="right" vertical="center"/>
    </xf>
    <xf numFmtId="4" fontId="18" fillId="6" borderId="19" xfId="0" applyNumberFormat="1" applyFont="1" applyFill="1" applyBorder="1" applyAlignment="1">
      <alignment vertical="center"/>
    </xf>
    <xf numFmtId="0" fontId="15" fillId="10" borderId="0" xfId="0" applyFont="1" applyFill="1" applyAlignment="1">
      <alignment horizontal="center" vertical="center"/>
    </xf>
    <xf numFmtId="0" fontId="15" fillId="2" borderId="0" xfId="0" applyFont="1" applyFill="1" applyAlignment="1">
      <alignment horizontal="left" vertical="center" wrapText="1"/>
    </xf>
    <xf numFmtId="0" fontId="15" fillId="2" borderId="0" xfId="0" applyFont="1" applyFill="1" applyAlignment="1">
      <alignment horizontal="center" vertical="center"/>
    </xf>
    <xf numFmtId="0" fontId="15" fillId="2" borderId="0" xfId="0" applyFont="1" applyFill="1" applyAlignment="1">
      <alignment horizontal="left" vertical="center"/>
    </xf>
    <xf numFmtId="0" fontId="18" fillId="0" borderId="0" xfId="0" applyFont="1" applyAlignment="1">
      <alignment horizontal="left" vertical="center" wrapText="1"/>
    </xf>
    <xf numFmtId="3" fontId="18" fillId="0" borderId="0" xfId="0" applyNumberFormat="1" applyFont="1" applyAlignment="1">
      <alignment horizontal="center" vertical="center"/>
    </xf>
    <xf numFmtId="0" fontId="1" fillId="0" borderId="0" xfId="0" applyFont="1" applyAlignment="1">
      <alignment horizontal="center" vertical="top"/>
    </xf>
    <xf numFmtId="0" fontId="1" fillId="10" borderId="0" xfId="0" applyFont="1" applyFill="1" applyAlignment="1">
      <alignment horizontal="center" vertical="center"/>
    </xf>
    <xf numFmtId="0" fontId="1" fillId="10" borderId="0" xfId="0" quotePrefix="1" applyFont="1" applyFill="1" applyAlignment="1">
      <alignment horizontal="center" vertical="center"/>
    </xf>
    <xf numFmtId="0" fontId="40" fillId="0" borderId="0" xfId="0" applyFont="1" applyAlignment="1">
      <alignment horizontal="left" vertical="center"/>
    </xf>
    <xf numFmtId="3" fontId="1" fillId="10" borderId="0" xfId="0" applyNumberFormat="1" applyFont="1" applyFill="1" applyAlignment="1">
      <alignment horizontal="center" vertical="center"/>
    </xf>
    <xf numFmtId="0" fontId="41" fillId="0" borderId="0" xfId="0" applyFont="1" applyAlignment="1">
      <alignment horizontal="left" vertical="center"/>
    </xf>
    <xf numFmtId="0" fontId="42" fillId="0" borderId="0" xfId="0" applyFont="1" applyAlignment="1">
      <alignment vertical="center"/>
    </xf>
    <xf numFmtId="0" fontId="43" fillId="0" borderId="0" xfId="0" applyFont="1" applyAlignment="1">
      <alignment vertical="center"/>
    </xf>
    <xf numFmtId="0" fontId="44" fillId="0" borderId="0" xfId="0" applyFont="1" applyAlignment="1">
      <alignment vertical="center" wrapText="1"/>
    </xf>
    <xf numFmtId="0" fontId="13" fillId="0" borderId="0" xfId="0" applyFont="1" applyAlignment="1">
      <alignment vertical="center"/>
    </xf>
    <xf numFmtId="0" fontId="13" fillId="0" borderId="0" xfId="0" applyFont="1" applyAlignment="1">
      <alignment vertical="center" wrapText="1"/>
    </xf>
    <xf numFmtId="0" fontId="44" fillId="2" borderId="0" xfId="0" applyFont="1" applyFill="1" applyAlignment="1">
      <alignment horizontal="left" vertical="center"/>
    </xf>
    <xf numFmtId="0" fontId="45" fillId="0" borderId="0" xfId="0" applyFont="1" applyAlignment="1">
      <alignment horizontal="left" vertical="center"/>
    </xf>
    <xf numFmtId="3" fontId="1" fillId="6" borderId="0" xfId="0" applyNumberFormat="1" applyFont="1" applyFill="1" applyAlignment="1">
      <alignment horizontal="center" vertical="center"/>
    </xf>
    <xf numFmtId="0" fontId="45" fillId="0" borderId="0" xfId="0" applyFont="1" applyAlignment="1">
      <alignment horizontal="left" vertical="center" wrapText="1"/>
    </xf>
    <xf numFmtId="0" fontId="20" fillId="2" borderId="0" xfId="0" applyFont="1" applyFill="1" applyAlignment="1">
      <alignment horizontal="left" vertical="center" wrapText="1"/>
    </xf>
    <xf numFmtId="0" fontId="13" fillId="0" borderId="0" xfId="0" applyFont="1"/>
    <xf numFmtId="0" fontId="13" fillId="0" borderId="21" xfId="0" applyFont="1" applyBorder="1"/>
    <xf numFmtId="0" fontId="13" fillId="0" borderId="15" xfId="0" applyFont="1" applyBorder="1"/>
    <xf numFmtId="0" fontId="15" fillId="0" borderId="13" xfId="0" applyFont="1" applyBorder="1" applyAlignment="1">
      <alignment horizontal="center"/>
    </xf>
    <xf numFmtId="0" fontId="9" fillId="0" borderId="25" xfId="0" applyFont="1" applyBorder="1" applyAlignment="1">
      <alignment horizontal="center"/>
    </xf>
    <xf numFmtId="0" fontId="9" fillId="0" borderId="26" xfId="0" applyFont="1" applyBorder="1" applyAlignment="1">
      <alignment horizontal="center"/>
    </xf>
    <xf numFmtId="0" fontId="12" fillId="11" borderId="26" xfId="0" applyFont="1" applyFill="1" applyBorder="1" applyAlignment="1">
      <alignment horizontal="center"/>
    </xf>
    <xf numFmtId="0" fontId="9" fillId="11" borderId="26" xfId="0" applyFont="1" applyFill="1" applyBorder="1" applyAlignment="1">
      <alignment horizontal="center"/>
    </xf>
    <xf numFmtId="0" fontId="13" fillId="0" borderId="15" xfId="0" applyFont="1" applyBorder="1" applyAlignment="1">
      <alignment horizontal="center"/>
    </xf>
    <xf numFmtId="0" fontId="47" fillId="0" borderId="13" xfId="0" applyFont="1" applyBorder="1" applyAlignment="1">
      <alignment horizontal="center"/>
    </xf>
    <xf numFmtId="0" fontId="13" fillId="0" borderId="13" xfId="0" applyFont="1" applyBorder="1"/>
    <xf numFmtId="0" fontId="12" fillId="0" borderId="27" xfId="0" applyFont="1" applyBorder="1" applyAlignment="1">
      <alignment horizontal="center"/>
    </xf>
    <xf numFmtId="0" fontId="12" fillId="0" borderId="28" xfId="0" applyFont="1" applyBorder="1" applyAlignment="1">
      <alignment horizontal="center"/>
    </xf>
    <xf numFmtId="4" fontId="12" fillId="0" borderId="28" xfId="0" applyNumberFormat="1" applyFont="1" applyBorder="1" applyAlignment="1">
      <alignment horizontal="right"/>
    </xf>
    <xf numFmtId="0" fontId="13" fillId="0" borderId="13" xfId="0" applyFont="1" applyBorder="1" applyAlignment="1">
      <alignment horizontal="center"/>
    </xf>
    <xf numFmtId="0" fontId="12" fillId="0" borderId="28" xfId="0" applyFont="1" applyBorder="1"/>
    <xf numFmtId="0" fontId="18" fillId="0" borderId="0" xfId="0" applyFont="1" applyAlignment="1">
      <alignment horizontal="center"/>
    </xf>
    <xf numFmtId="3" fontId="18" fillId="0" borderId="0" xfId="0" applyNumberFormat="1" applyFont="1" applyAlignment="1">
      <alignment horizontal="center"/>
    </xf>
    <xf numFmtId="3" fontId="1" fillId="0" borderId="0" xfId="0" applyNumberFormat="1" applyFont="1"/>
    <xf numFmtId="0" fontId="18" fillId="0" borderId="0" xfId="0" applyFont="1" applyAlignment="1">
      <alignment horizontal="center" vertical="top"/>
    </xf>
    <xf numFmtId="0" fontId="1" fillId="0" borderId="0" xfId="0" applyFont="1" applyAlignment="1">
      <alignment vertical="top"/>
    </xf>
    <xf numFmtId="0" fontId="18" fillId="0" borderId="0" xfId="0" applyFont="1" applyAlignment="1">
      <alignment vertical="top"/>
    </xf>
    <xf numFmtId="0" fontId="1" fillId="0" borderId="0" xfId="0" applyFont="1" applyAlignment="1">
      <alignment horizontal="left" vertical="top" wrapText="1"/>
    </xf>
    <xf numFmtId="0" fontId="48" fillId="0" borderId="0" xfId="0" applyFont="1" applyAlignment="1">
      <alignment horizontal="center" vertical="center"/>
    </xf>
    <xf numFmtId="0" fontId="48" fillId="0" borderId="0" xfId="0" applyFont="1" applyAlignment="1">
      <alignment horizontal="center" vertical="center" wrapText="1"/>
    </xf>
    <xf numFmtId="0" fontId="49" fillId="0" borderId="0" xfId="0" applyFont="1" applyAlignment="1">
      <alignment horizontal="center"/>
    </xf>
    <xf numFmtId="0" fontId="49" fillId="0" borderId="0" xfId="0" applyFont="1" applyAlignment="1">
      <alignment horizontal="center" vertical="center"/>
    </xf>
    <xf numFmtId="0" fontId="50" fillId="0" borderId="14" xfId="0" applyFont="1" applyBorder="1" applyAlignment="1">
      <alignment horizontal="center" vertical="center" wrapText="1"/>
    </xf>
    <xf numFmtId="0" fontId="50" fillId="0" borderId="15" xfId="0" applyFont="1" applyBorder="1" applyAlignment="1">
      <alignment horizontal="center" vertical="center" wrapText="1"/>
    </xf>
    <xf numFmtId="0" fontId="50" fillId="0" borderId="15" xfId="0" applyFont="1" applyBorder="1" applyAlignment="1">
      <alignment horizontal="center" vertical="center"/>
    </xf>
    <xf numFmtId="0" fontId="50" fillId="0" borderId="11" xfId="0" applyFont="1" applyBorder="1" applyAlignment="1">
      <alignment horizontal="center" vertical="center" wrapText="1"/>
    </xf>
    <xf numFmtId="0" fontId="50" fillId="0" borderId="16" xfId="0" applyFont="1" applyBorder="1" applyAlignment="1">
      <alignment horizontal="center" vertical="center"/>
    </xf>
    <xf numFmtId="0" fontId="50" fillId="0" borderId="16" xfId="0" applyFont="1" applyBorder="1" applyAlignment="1">
      <alignment horizontal="center" vertical="center" wrapText="1"/>
    </xf>
    <xf numFmtId="0" fontId="49" fillId="0" borderId="0" xfId="0" applyFont="1" applyAlignment="1">
      <alignment vertical="center"/>
    </xf>
    <xf numFmtId="0" fontId="50" fillId="0" borderId="21" xfId="0" applyFont="1" applyBorder="1" applyAlignment="1">
      <alignment horizontal="center" vertical="center"/>
    </xf>
    <xf numFmtId="0" fontId="50" fillId="0" borderId="13" xfId="0" applyFont="1" applyBorder="1" applyAlignment="1">
      <alignment horizontal="center" vertical="center"/>
    </xf>
    <xf numFmtId="4" fontId="50" fillId="0" borderId="11" xfId="0" applyNumberFormat="1" applyFont="1" applyBorder="1" applyAlignment="1">
      <alignment horizontal="center" vertical="center"/>
    </xf>
    <xf numFmtId="0" fontId="50" fillId="0" borderId="11" xfId="0" applyFont="1" applyBorder="1" applyAlignment="1">
      <alignment horizontal="center" vertical="center"/>
    </xf>
    <xf numFmtId="0" fontId="50" fillId="0" borderId="12" xfId="0" applyFont="1" applyBorder="1" applyAlignment="1">
      <alignment horizontal="center" vertical="center"/>
    </xf>
    <xf numFmtId="0" fontId="49" fillId="0" borderId="0" xfId="0" applyFont="1"/>
    <xf numFmtId="0" fontId="50" fillId="0" borderId="13" xfId="0" applyFont="1" applyBorder="1" applyAlignment="1">
      <alignment horizontal="center" vertical="center" wrapText="1"/>
    </xf>
    <xf numFmtId="4" fontId="50" fillId="0" borderId="13" xfId="0" applyNumberFormat="1" applyFont="1" applyBorder="1" applyAlignment="1">
      <alignment horizontal="center" vertical="center"/>
    </xf>
    <xf numFmtId="4" fontId="48" fillId="0" borderId="13" xfId="0" applyNumberFormat="1" applyFont="1" applyBorder="1" applyAlignment="1">
      <alignment horizontal="center" vertical="center"/>
    </xf>
    <xf numFmtId="0" fontId="51" fillId="0" borderId="16" xfId="0" applyFont="1" applyBorder="1" applyAlignment="1">
      <alignment horizontal="center" vertical="center"/>
    </xf>
    <xf numFmtId="0" fontId="50" fillId="0" borderId="9" xfId="0" applyFont="1" applyBorder="1" applyAlignment="1">
      <alignment horizontal="center" vertical="center" wrapText="1"/>
    </xf>
    <xf numFmtId="0" fontId="48" fillId="0" borderId="0" xfId="0" applyFont="1" applyAlignment="1">
      <alignment horizontal="center"/>
    </xf>
    <xf numFmtId="0" fontId="50" fillId="0" borderId="12" xfId="0" applyFont="1" applyBorder="1" applyAlignment="1">
      <alignment horizontal="center" vertical="center" wrapText="1"/>
    </xf>
    <xf numFmtId="0" fontId="50" fillId="0" borderId="24" xfId="0" applyFont="1" applyBorder="1" applyAlignment="1">
      <alignment horizontal="center" vertical="center" wrapText="1"/>
    </xf>
    <xf numFmtId="0" fontId="50" fillId="0" borderId="23" xfId="0" applyFont="1" applyBorder="1" applyAlignment="1">
      <alignment horizontal="center" vertical="center"/>
    </xf>
    <xf numFmtId="4" fontId="50" fillId="0" borderId="23" xfId="0" applyNumberFormat="1" applyFont="1" applyBorder="1" applyAlignment="1">
      <alignment horizontal="center" vertical="center"/>
    </xf>
    <xf numFmtId="0" fontId="51" fillId="0" borderId="0" xfId="0" applyFont="1" applyAlignment="1">
      <alignment horizontal="center" vertical="center"/>
    </xf>
    <xf numFmtId="0" fontId="50" fillId="0" borderId="0" xfId="0" applyFont="1" applyAlignment="1">
      <alignment horizontal="center" vertical="center"/>
    </xf>
    <xf numFmtId="0" fontId="51" fillId="0" borderId="23" xfId="0" applyFont="1" applyBorder="1" applyAlignment="1">
      <alignment horizontal="center" vertical="center"/>
    </xf>
    <xf numFmtId="0" fontId="48" fillId="0" borderId="16" xfId="0" applyFont="1" applyBorder="1" applyAlignment="1">
      <alignment horizontal="center" vertical="center"/>
    </xf>
    <xf numFmtId="4" fontId="48" fillId="0" borderId="15" xfId="0" applyNumberFormat="1" applyFont="1" applyBorder="1" applyAlignment="1">
      <alignment horizontal="center" vertical="center"/>
    </xf>
    <xf numFmtId="0" fontId="48" fillId="0" borderId="0" xfId="0" applyFont="1" applyAlignment="1">
      <alignment horizontal="center" vertical="top" wrapText="1"/>
    </xf>
    <xf numFmtId="0" fontId="48" fillId="0" borderId="15" xfId="0" applyFont="1" applyBorder="1" applyAlignment="1">
      <alignment horizontal="center" vertical="center"/>
    </xf>
    <xf numFmtId="0" fontId="50" fillId="2" borderId="16" xfId="0" applyFont="1" applyFill="1" applyBorder="1" applyAlignment="1">
      <alignment horizontal="center"/>
    </xf>
    <xf numFmtId="0" fontId="50" fillId="2" borderId="11" xfId="0" applyFont="1" applyFill="1" applyBorder="1" applyAlignment="1">
      <alignment horizontal="center"/>
    </xf>
    <xf numFmtId="4" fontId="50" fillId="2" borderId="11" xfId="0" applyNumberFormat="1" applyFont="1" applyFill="1" applyBorder="1" applyAlignment="1">
      <alignment horizontal="center"/>
    </xf>
    <xf numFmtId="4" fontId="48" fillId="2" borderId="13" xfId="0" applyNumberFormat="1" applyFont="1" applyFill="1" applyBorder="1" applyAlignment="1">
      <alignment horizontal="center"/>
    </xf>
    <xf numFmtId="0" fontId="50" fillId="0" borderId="11" xfId="0" applyFont="1" applyBorder="1" applyAlignment="1">
      <alignment horizontal="center"/>
    </xf>
    <xf numFmtId="0" fontId="51" fillId="0" borderId="16" xfId="0" applyFont="1" applyBorder="1" applyAlignment="1">
      <alignment horizontal="center"/>
    </xf>
    <xf numFmtId="0" fontId="48" fillId="0" borderId="0" xfId="0" applyFont="1" applyAlignment="1">
      <alignment horizontal="center" wrapText="1"/>
    </xf>
    <xf numFmtId="0" fontId="48" fillId="0" borderId="16" xfId="0" applyFont="1" applyBorder="1" applyAlignment="1">
      <alignment horizontal="center" vertical="center" wrapText="1"/>
    </xf>
    <xf numFmtId="0" fontId="48" fillId="0" borderId="11" xfId="0" applyFont="1" applyBorder="1" applyAlignment="1">
      <alignment horizontal="center" vertical="center"/>
    </xf>
    <xf numFmtId="0" fontId="48" fillId="0" borderId="15" xfId="0" applyFont="1" applyBorder="1" applyAlignment="1">
      <alignment horizontal="center" vertical="center" wrapText="1"/>
    </xf>
    <xf numFmtId="0" fontId="48" fillId="0" borderId="13" xfId="0" applyFont="1" applyBorder="1" applyAlignment="1">
      <alignment horizontal="center" vertical="center"/>
    </xf>
    <xf numFmtId="4" fontId="48" fillId="0" borderId="11" xfId="0" applyNumberFormat="1" applyFont="1" applyBorder="1" applyAlignment="1">
      <alignment horizontal="center" vertical="center"/>
    </xf>
    <xf numFmtId="0" fontId="50" fillId="2" borderId="11" xfId="0" applyFont="1" applyFill="1" applyBorder="1" applyAlignment="1">
      <alignment horizontal="center" vertical="center"/>
    </xf>
    <xf numFmtId="4" fontId="50" fillId="2" borderId="13" xfId="0" applyNumberFormat="1" applyFont="1" applyFill="1" applyBorder="1" applyAlignment="1">
      <alignment horizontal="center" vertical="center"/>
    </xf>
    <xf numFmtId="0" fontId="50" fillId="2" borderId="13" xfId="0" applyFont="1" applyFill="1" applyBorder="1" applyAlignment="1">
      <alignment horizontal="center" vertical="center"/>
    </xf>
    <xf numFmtId="0" fontId="52" fillId="0" borderId="11" xfId="0" applyFont="1" applyBorder="1" applyAlignment="1">
      <alignment horizontal="center" vertical="center"/>
    </xf>
    <xf numFmtId="0" fontId="52" fillId="0" borderId="13" xfId="0" applyFont="1" applyBorder="1" applyAlignment="1">
      <alignment horizontal="center" vertical="center"/>
    </xf>
    <xf numFmtId="0" fontId="50" fillId="2" borderId="16" xfId="0" applyFont="1" applyFill="1" applyBorder="1" applyAlignment="1">
      <alignment horizontal="center" vertical="center" wrapText="1"/>
    </xf>
    <xf numFmtId="0" fontId="50" fillId="2" borderId="15" xfId="0" applyFont="1" applyFill="1" applyBorder="1" applyAlignment="1">
      <alignment horizontal="center" vertical="center" wrapText="1"/>
    </xf>
    <xf numFmtId="0" fontId="50" fillId="0" borderId="0" xfId="0" applyFont="1" applyAlignment="1">
      <alignment horizontal="center" vertical="center" wrapText="1"/>
    </xf>
    <xf numFmtId="4" fontId="50" fillId="0" borderId="16" xfId="0" applyNumberFormat="1" applyFont="1" applyBorder="1" applyAlignment="1">
      <alignment horizontal="center" vertical="center"/>
    </xf>
    <xf numFmtId="0" fontId="50" fillId="0" borderId="10" xfId="0" applyFont="1" applyBorder="1" applyAlignment="1">
      <alignment horizontal="center" vertical="center"/>
    </xf>
    <xf numFmtId="4" fontId="50" fillId="0" borderId="15" xfId="0" applyNumberFormat="1" applyFont="1" applyBorder="1" applyAlignment="1">
      <alignment horizontal="center" vertical="center"/>
    </xf>
    <xf numFmtId="0" fontId="48" fillId="12" borderId="15" xfId="0" applyFont="1" applyFill="1" applyBorder="1" applyAlignment="1">
      <alignment horizontal="center" vertical="center" wrapText="1"/>
    </xf>
    <xf numFmtId="0" fontId="50" fillId="12" borderId="15" xfId="0" applyFont="1" applyFill="1" applyBorder="1" applyAlignment="1">
      <alignment horizontal="center" vertical="center"/>
    </xf>
    <xf numFmtId="0" fontId="50" fillId="12" borderId="13" xfId="0" applyFont="1" applyFill="1" applyBorder="1" applyAlignment="1">
      <alignment horizontal="center" vertical="center"/>
    </xf>
    <xf numFmtId="0" fontId="50" fillId="12" borderId="15" xfId="0" applyFont="1" applyFill="1" applyBorder="1" applyAlignment="1">
      <alignment horizontal="center" vertical="center" wrapText="1"/>
    </xf>
    <xf numFmtId="0" fontId="50" fillId="12" borderId="11" xfId="0" applyFont="1" applyFill="1" applyBorder="1" applyAlignment="1">
      <alignment horizontal="center" vertical="center"/>
    </xf>
    <xf numFmtId="0" fontId="50" fillId="2" borderId="15" xfId="0" applyFont="1" applyFill="1" applyBorder="1" applyAlignment="1">
      <alignment horizontal="center" vertical="center"/>
    </xf>
    <xf numFmtId="3" fontId="48" fillId="0" borderId="11" xfId="0" applyNumberFormat="1" applyFont="1" applyBorder="1" applyAlignment="1">
      <alignment horizontal="center" vertical="center"/>
    </xf>
    <xf numFmtId="3" fontId="48" fillId="0" borderId="13" xfId="0" applyNumberFormat="1" applyFont="1" applyBorder="1" applyAlignment="1">
      <alignment horizontal="center" vertical="center"/>
    </xf>
    <xf numFmtId="0" fontId="48" fillId="2" borderId="13" xfId="0" applyFont="1" applyFill="1" applyBorder="1" applyAlignment="1">
      <alignment horizontal="center" vertical="center"/>
    </xf>
    <xf numFmtId="0" fontId="48" fillId="2" borderId="16" xfId="0" applyFont="1" applyFill="1" applyBorder="1" applyAlignment="1">
      <alignment horizontal="center" vertical="center" wrapText="1"/>
    </xf>
    <xf numFmtId="0" fontId="48" fillId="2" borderId="15" xfId="0" applyFont="1" applyFill="1" applyBorder="1" applyAlignment="1">
      <alignment horizontal="center" vertical="center" wrapText="1"/>
    </xf>
    <xf numFmtId="0" fontId="50" fillId="0" borderId="8" xfId="0" applyFont="1" applyBorder="1" applyAlignment="1">
      <alignment horizontal="center" vertical="center"/>
    </xf>
    <xf numFmtId="0" fontId="48" fillId="0" borderId="23" xfId="0" applyFont="1" applyBorder="1" applyAlignment="1">
      <alignment horizontal="center" vertical="center"/>
    </xf>
    <xf numFmtId="4" fontId="50" fillId="2" borderId="11" xfId="0" applyNumberFormat="1" applyFont="1" applyFill="1" applyBorder="1" applyAlignment="1">
      <alignment horizontal="center" vertical="center"/>
    </xf>
    <xf numFmtId="0" fontId="50" fillId="2" borderId="0" xfId="0" applyFont="1" applyFill="1" applyAlignment="1">
      <alignment horizontal="center" vertical="center" wrapText="1"/>
    </xf>
    <xf numFmtId="4" fontId="50" fillId="2" borderId="0" xfId="0" applyNumberFormat="1" applyFont="1" applyFill="1" applyAlignment="1">
      <alignment horizontal="center" vertical="center"/>
    </xf>
    <xf numFmtId="4" fontId="50" fillId="2" borderId="15" xfId="0" applyNumberFormat="1" applyFont="1" applyFill="1" applyBorder="1" applyAlignment="1">
      <alignment horizontal="center" vertical="center"/>
    </xf>
    <xf numFmtId="4" fontId="50" fillId="2" borderId="16" xfId="0" applyNumberFormat="1" applyFont="1" applyFill="1" applyBorder="1" applyAlignment="1">
      <alignment horizontal="center" vertical="center"/>
    </xf>
    <xf numFmtId="4" fontId="48" fillId="2" borderId="11" xfId="0" applyNumberFormat="1" applyFont="1" applyFill="1" applyBorder="1" applyAlignment="1">
      <alignment horizontal="center" vertical="center"/>
    </xf>
    <xf numFmtId="0" fontId="48" fillId="2" borderId="11" xfId="0" applyFont="1" applyFill="1" applyBorder="1" applyAlignment="1">
      <alignment horizontal="center" vertical="center"/>
    </xf>
    <xf numFmtId="4" fontId="48" fillId="2" borderId="13" xfId="0" applyNumberFormat="1" applyFont="1" applyFill="1" applyBorder="1" applyAlignment="1">
      <alignment horizontal="center" vertical="center"/>
    </xf>
    <xf numFmtId="0" fontId="48" fillId="2" borderId="15" xfId="0" applyFont="1" applyFill="1" applyBorder="1" applyAlignment="1">
      <alignment horizontal="center" vertical="center"/>
    </xf>
    <xf numFmtId="0" fontId="48" fillId="0" borderId="16" xfId="0" applyFont="1" applyBorder="1" applyAlignment="1">
      <alignment horizontal="center" vertical="top" wrapText="1"/>
    </xf>
    <xf numFmtId="0" fontId="48" fillId="2" borderId="16" xfId="0" applyFont="1" applyFill="1" applyBorder="1" applyAlignment="1">
      <alignment horizontal="center" vertical="center"/>
    </xf>
    <xf numFmtId="0" fontId="50" fillId="0" borderId="22" xfId="0" applyFont="1" applyBorder="1" applyAlignment="1">
      <alignment horizontal="center" vertical="center"/>
    </xf>
    <xf numFmtId="0" fontId="50" fillId="0" borderId="24" xfId="0" applyFont="1" applyBorder="1" applyAlignment="1">
      <alignment horizontal="center" vertical="center"/>
    </xf>
    <xf numFmtId="0" fontId="50" fillId="0" borderId="14" xfId="0" applyFont="1" applyBorder="1" applyAlignment="1">
      <alignment horizontal="center" vertical="center"/>
    </xf>
    <xf numFmtId="0" fontId="50" fillId="2" borderId="24" xfId="0" applyFont="1" applyFill="1" applyBorder="1" applyAlignment="1">
      <alignment horizontal="center" vertical="center"/>
    </xf>
    <xf numFmtId="0" fontId="51" fillId="0" borderId="15" xfId="0" applyFont="1" applyBorder="1" applyAlignment="1">
      <alignment horizontal="center" vertical="center"/>
    </xf>
    <xf numFmtId="0" fontId="48" fillId="2" borderId="9" xfId="0" applyFont="1" applyFill="1" applyBorder="1" applyAlignment="1">
      <alignment horizontal="center" vertical="center"/>
    </xf>
    <xf numFmtId="0" fontId="48" fillId="2" borderId="12" xfId="0" applyFont="1" applyFill="1" applyBorder="1" applyAlignment="1">
      <alignment horizontal="center" vertical="center"/>
    </xf>
    <xf numFmtId="0" fontId="50" fillId="2" borderId="16" xfId="0" applyFont="1" applyFill="1" applyBorder="1" applyAlignment="1">
      <alignment horizontal="center" vertical="center"/>
    </xf>
    <xf numFmtId="0" fontId="50" fillId="13" borderId="11" xfId="0" applyFont="1" applyFill="1" applyBorder="1" applyAlignment="1">
      <alignment horizontal="center" vertical="center" wrapText="1"/>
    </xf>
    <xf numFmtId="0" fontId="50" fillId="13" borderId="21" xfId="0" applyFont="1" applyFill="1" applyBorder="1" applyAlignment="1">
      <alignment horizontal="center" vertical="center"/>
    </xf>
    <xf numFmtId="0" fontId="50" fillId="13" borderId="10" xfId="0" applyFont="1" applyFill="1" applyBorder="1" applyAlignment="1">
      <alignment horizontal="center" vertical="center"/>
    </xf>
    <xf numFmtId="4" fontId="50" fillId="13" borderId="10" xfId="0" applyNumberFormat="1" applyFont="1" applyFill="1" applyBorder="1" applyAlignment="1">
      <alignment horizontal="center" vertical="center"/>
    </xf>
    <xf numFmtId="3" fontId="50" fillId="0" borderId="13" xfId="0" applyNumberFormat="1" applyFont="1" applyBorder="1" applyAlignment="1">
      <alignment horizontal="center" vertical="center"/>
    </xf>
    <xf numFmtId="0" fontId="48" fillId="0" borderId="24" xfId="0" applyFont="1" applyBorder="1" applyAlignment="1">
      <alignment horizontal="center" vertical="center" wrapText="1"/>
    </xf>
    <xf numFmtId="0" fontId="52" fillId="0" borderId="23" xfId="0" applyFont="1" applyBorder="1" applyAlignment="1">
      <alignment horizontal="center" vertical="center"/>
    </xf>
    <xf numFmtId="4" fontId="48" fillId="0" borderId="23" xfId="0" applyNumberFormat="1" applyFont="1" applyBorder="1" applyAlignment="1">
      <alignment horizontal="center" vertical="center"/>
    </xf>
    <xf numFmtId="0" fontId="48" fillId="6" borderId="11" xfId="0" applyFont="1" applyFill="1" applyBorder="1" applyAlignment="1">
      <alignment horizontal="center" vertical="center"/>
    </xf>
    <xf numFmtId="0" fontId="48" fillId="6" borderId="13" xfId="0" applyFont="1" applyFill="1" applyBorder="1" applyAlignment="1">
      <alignment horizontal="center" vertical="center"/>
    </xf>
    <xf numFmtId="0" fontId="51" fillId="0" borderId="12" xfId="0" applyFont="1" applyBorder="1" applyAlignment="1">
      <alignment horizontal="center" vertical="center"/>
    </xf>
    <xf numFmtId="4" fontId="50" fillId="0" borderId="24" xfId="0" applyNumberFormat="1" applyFont="1" applyBorder="1" applyAlignment="1">
      <alignment horizontal="center" vertical="center"/>
    </xf>
    <xf numFmtId="0" fontId="48" fillId="2" borderId="24" xfId="0" applyFont="1" applyFill="1" applyBorder="1" applyAlignment="1">
      <alignment horizontal="center" vertical="center"/>
    </xf>
    <xf numFmtId="0" fontId="51" fillId="0" borderId="22" xfId="0" applyFont="1" applyBorder="1" applyAlignment="1">
      <alignment horizontal="center" vertical="center"/>
    </xf>
    <xf numFmtId="0" fontId="51" fillId="0" borderId="14" xfId="0" applyFont="1" applyBorder="1" applyAlignment="1">
      <alignment horizontal="center" vertical="center"/>
    </xf>
    <xf numFmtId="4" fontId="50" fillId="0" borderId="14" xfId="0" applyNumberFormat="1" applyFont="1" applyBorder="1" applyAlignment="1">
      <alignment horizontal="center" vertical="center"/>
    </xf>
    <xf numFmtId="0" fontId="48" fillId="2" borderId="14" xfId="0" applyFont="1" applyFill="1" applyBorder="1" applyAlignment="1">
      <alignment horizontal="center" vertical="center"/>
    </xf>
    <xf numFmtId="0" fontId="50" fillId="0" borderId="19" xfId="0" applyFont="1" applyBorder="1" applyAlignment="1">
      <alignment horizontal="center" vertical="center"/>
    </xf>
    <xf numFmtId="0" fontId="50" fillId="0" borderId="9" xfId="0" applyFont="1" applyBorder="1" applyAlignment="1">
      <alignment horizontal="center" vertical="center"/>
    </xf>
    <xf numFmtId="0" fontId="48" fillId="0" borderId="8" xfId="0" applyFont="1" applyBorder="1" applyAlignment="1">
      <alignment horizontal="center" vertical="center"/>
    </xf>
    <xf numFmtId="0" fontId="50" fillId="0" borderId="16" xfId="0" applyFont="1" applyBorder="1" applyAlignment="1">
      <alignment horizontal="center"/>
    </xf>
    <xf numFmtId="4" fontId="50" fillId="0" borderId="11" xfId="0" applyNumberFormat="1" applyFont="1" applyBorder="1" applyAlignment="1">
      <alignment horizontal="center"/>
    </xf>
    <xf numFmtId="0" fontId="50" fillId="0" borderId="15" xfId="0" applyFont="1" applyBorder="1" applyAlignment="1">
      <alignment horizontal="center"/>
    </xf>
    <xf numFmtId="0" fontId="50" fillId="0" borderId="13" xfId="0" applyFont="1" applyBorder="1" applyAlignment="1">
      <alignment horizontal="center"/>
    </xf>
    <xf numFmtId="4" fontId="50" fillId="0" borderId="13" xfId="0" applyNumberFormat="1" applyFont="1" applyBorder="1" applyAlignment="1">
      <alignment horizontal="center"/>
    </xf>
    <xf numFmtId="0" fontId="52" fillId="0" borderId="11" xfId="0" applyFont="1" applyBorder="1" applyAlignment="1">
      <alignment horizontal="center"/>
    </xf>
    <xf numFmtId="0" fontId="50" fillId="2" borderId="15" xfId="0" applyFont="1" applyFill="1" applyBorder="1" applyAlignment="1">
      <alignment horizontal="center"/>
    </xf>
    <xf numFmtId="0" fontId="52" fillId="0" borderId="13" xfId="0" applyFont="1" applyBorder="1" applyAlignment="1">
      <alignment horizontal="center"/>
    </xf>
    <xf numFmtId="0" fontId="48" fillId="0" borderId="14" xfId="0" applyFont="1" applyBorder="1" applyAlignment="1">
      <alignment horizontal="center" vertical="center"/>
    </xf>
    <xf numFmtId="4" fontId="48" fillId="0" borderId="14" xfId="0" applyNumberFormat="1" applyFont="1" applyBorder="1" applyAlignment="1">
      <alignment horizontal="center" vertical="center"/>
    </xf>
    <xf numFmtId="3" fontId="50" fillId="0" borderId="8" xfId="0" applyNumberFormat="1" applyFont="1" applyBorder="1" applyAlignment="1">
      <alignment horizontal="center" vertical="center"/>
    </xf>
    <xf numFmtId="4" fontId="50" fillId="0" borderId="8" xfId="0" applyNumberFormat="1" applyFont="1" applyBorder="1" applyAlignment="1">
      <alignment horizontal="center" vertical="center"/>
    </xf>
    <xf numFmtId="0" fontId="50" fillId="0" borderId="7" xfId="0" applyFont="1" applyBorder="1" applyAlignment="1">
      <alignment horizontal="center" vertical="center"/>
    </xf>
    <xf numFmtId="0" fontId="48" fillId="0" borderId="7" xfId="0" applyFont="1" applyBorder="1" applyAlignment="1">
      <alignment horizontal="center" vertical="center"/>
    </xf>
    <xf numFmtId="4" fontId="48" fillId="0" borderId="8" xfId="0" applyNumberFormat="1" applyFont="1" applyBorder="1" applyAlignment="1">
      <alignment horizontal="center" vertical="center"/>
    </xf>
    <xf numFmtId="0" fontId="48" fillId="0" borderId="19" xfId="0" applyFont="1" applyBorder="1" applyAlignment="1">
      <alignment horizontal="center" vertical="center"/>
    </xf>
    <xf numFmtId="0" fontId="24" fillId="0" borderId="11" xfId="0" applyFont="1" applyBorder="1" applyAlignment="1">
      <alignment horizontal="center" vertical="center"/>
    </xf>
    <xf numFmtId="0" fontId="24" fillId="0" borderId="16" xfId="0" applyFont="1" applyBorder="1" applyAlignment="1">
      <alignment horizontal="center" vertical="center"/>
    </xf>
    <xf numFmtId="0" fontId="24" fillId="0" borderId="13" xfId="0" applyFont="1" applyBorder="1" applyAlignment="1">
      <alignment horizontal="center" vertical="center"/>
    </xf>
    <xf numFmtId="0" fontId="24" fillId="0" borderId="15" xfId="0" applyFont="1" applyBorder="1" applyAlignment="1">
      <alignment horizontal="center" vertical="center"/>
    </xf>
    <xf numFmtId="0" fontId="24" fillId="0" borderId="16" xfId="0" applyFont="1" applyBorder="1" applyAlignment="1">
      <alignment horizontal="center" vertical="center" wrapText="1"/>
    </xf>
    <xf numFmtId="4" fontId="24" fillId="0" borderId="11" xfId="0" applyNumberFormat="1" applyFont="1" applyBorder="1" applyAlignment="1">
      <alignment horizontal="center" vertical="center"/>
    </xf>
    <xf numFmtId="0" fontId="24" fillId="0" borderId="15" xfId="0" applyFont="1" applyBorder="1" applyAlignment="1">
      <alignment horizontal="center" vertical="center" wrapText="1"/>
    </xf>
    <xf numFmtId="4" fontId="24" fillId="0" borderId="13" xfId="0" applyNumberFormat="1" applyFont="1" applyBorder="1" applyAlignment="1">
      <alignment horizontal="center" vertical="center"/>
    </xf>
    <xf numFmtId="4" fontId="48" fillId="2" borderId="15" xfId="0" applyNumberFormat="1" applyFont="1" applyFill="1" applyBorder="1" applyAlignment="1">
      <alignment horizontal="center" vertical="center"/>
    </xf>
    <xf numFmtId="0" fontId="53" fillId="0" borderId="13" xfId="0" applyFont="1" applyBorder="1" applyAlignment="1">
      <alignment horizontal="center" vertical="center"/>
    </xf>
    <xf numFmtId="0" fontId="24" fillId="0" borderId="24" xfId="0" applyFont="1" applyBorder="1" applyAlignment="1">
      <alignment horizontal="center" vertical="center" wrapText="1"/>
    </xf>
    <xf numFmtId="0" fontId="24" fillId="0" borderId="23" xfId="0" applyFont="1" applyBorder="1" applyAlignment="1">
      <alignment horizontal="center" vertical="center"/>
    </xf>
    <xf numFmtId="0" fontId="24" fillId="0" borderId="14" xfId="0" applyFont="1" applyBorder="1" applyAlignment="1">
      <alignment horizontal="center" vertical="center" wrapText="1"/>
    </xf>
    <xf numFmtId="0" fontId="24" fillId="0" borderId="8" xfId="0" applyFont="1" applyBorder="1" applyAlignment="1">
      <alignment horizontal="center" vertical="center"/>
    </xf>
    <xf numFmtId="4" fontId="24" fillId="0" borderId="8" xfId="0" applyNumberFormat="1" applyFont="1" applyBorder="1" applyAlignment="1">
      <alignment horizontal="center" vertical="center"/>
    </xf>
    <xf numFmtId="0" fontId="48" fillId="0" borderId="11" xfId="0" applyFont="1" applyBorder="1" applyAlignment="1">
      <alignment horizontal="center"/>
    </xf>
    <xf numFmtId="0" fontId="48" fillId="0" borderId="13" xfId="0" applyFont="1" applyBorder="1" applyAlignment="1">
      <alignment horizontal="center"/>
    </xf>
    <xf numFmtId="0" fontId="48" fillId="0" borderId="15" xfId="0" applyFont="1" applyBorder="1" applyAlignment="1">
      <alignment horizontal="center"/>
    </xf>
    <xf numFmtId="0" fontId="54" fillId="0" borderId="14" xfId="0" applyFont="1" applyBorder="1" applyAlignment="1">
      <alignment horizontal="center" wrapText="1"/>
    </xf>
    <xf numFmtId="0" fontId="54" fillId="0" borderId="14" xfId="0" applyFont="1" applyBorder="1" applyAlignment="1">
      <alignment horizontal="left" wrapText="1"/>
    </xf>
    <xf numFmtId="0" fontId="55" fillId="0" borderId="0" xfId="0" applyFont="1"/>
    <xf numFmtId="0" fontId="54" fillId="0" borderId="15" xfId="0" applyFont="1" applyBorder="1" applyAlignment="1">
      <alignment horizontal="center" wrapText="1"/>
    </xf>
    <xf numFmtId="0" fontId="54" fillId="0" borderId="15" xfId="0" applyFont="1" applyBorder="1" applyAlignment="1">
      <alignment horizontal="left" wrapText="1"/>
    </xf>
    <xf numFmtId="0" fontId="54" fillId="0" borderId="11" xfId="0" applyFont="1" applyBorder="1" applyAlignment="1">
      <alignment horizontal="center" wrapText="1"/>
    </xf>
    <xf numFmtId="0" fontId="54" fillId="0" borderId="16" xfId="0" applyFont="1" applyBorder="1" applyAlignment="1">
      <alignment horizontal="left" wrapText="1"/>
    </xf>
    <xf numFmtId="0" fontId="54" fillId="0" borderId="16" xfId="0" applyFont="1" applyBorder="1" applyAlignment="1">
      <alignment horizontal="center"/>
    </xf>
    <xf numFmtId="0" fontId="54" fillId="0" borderId="11" xfId="0" applyFont="1" applyBorder="1" applyAlignment="1">
      <alignment horizontal="left"/>
    </xf>
    <xf numFmtId="0" fontId="54" fillId="0" borderId="21" xfId="0" applyFont="1" applyBorder="1" applyAlignment="1">
      <alignment horizontal="center"/>
    </xf>
    <xf numFmtId="0" fontId="54" fillId="0" borderId="15" xfId="0" applyFont="1" applyBorder="1" applyAlignment="1">
      <alignment horizontal="center"/>
    </xf>
    <xf numFmtId="0" fontId="54" fillId="0" borderId="13" xfId="0" applyFont="1" applyBorder="1" applyAlignment="1">
      <alignment horizontal="center"/>
    </xf>
    <xf numFmtId="4" fontId="54" fillId="0" borderId="11" xfId="0" applyNumberFormat="1" applyFont="1" applyBorder="1" applyAlignment="1">
      <alignment horizontal="center"/>
    </xf>
    <xf numFmtId="0" fontId="54" fillId="0" borderId="11" xfId="0" applyFont="1" applyBorder="1" applyAlignment="1">
      <alignment horizontal="center"/>
    </xf>
    <xf numFmtId="0" fontId="54" fillId="0" borderId="12" xfId="0" applyFont="1" applyBorder="1" applyAlignment="1">
      <alignment horizontal="center"/>
    </xf>
    <xf numFmtId="0" fontId="54" fillId="0" borderId="13" xfId="0" applyFont="1" applyBorder="1" applyAlignment="1">
      <alignment horizontal="left"/>
    </xf>
    <xf numFmtId="4" fontId="54" fillId="0" borderId="13" xfId="0" applyNumberFormat="1" applyFont="1" applyBorder="1" applyAlignment="1">
      <alignment horizontal="center"/>
    </xf>
    <xf numFmtId="4" fontId="55" fillId="0" borderId="13" xfId="0" applyNumberFormat="1" applyFont="1" applyBorder="1" applyAlignment="1">
      <alignment horizontal="center"/>
    </xf>
    <xf numFmtId="0" fontId="56" fillId="0" borderId="16" xfId="0" applyFont="1" applyBorder="1" applyAlignment="1">
      <alignment horizontal="center"/>
    </xf>
    <xf numFmtId="0" fontId="54" fillId="0" borderId="9" xfId="0" applyFont="1" applyBorder="1" applyAlignment="1">
      <alignment horizontal="left"/>
    </xf>
    <xf numFmtId="0" fontId="54" fillId="0" borderId="12" xfId="0" applyFont="1" applyBorder="1" applyAlignment="1">
      <alignment horizontal="left"/>
    </xf>
    <xf numFmtId="0" fontId="54" fillId="0" borderId="12" xfId="0" applyFont="1" applyBorder="1" applyAlignment="1">
      <alignment horizontal="left" vertical="top"/>
    </xf>
    <xf numFmtId="0" fontId="54" fillId="0" borderId="16" xfId="0" applyFont="1" applyBorder="1" applyAlignment="1">
      <alignment horizontal="left"/>
    </xf>
    <xf numFmtId="0" fontId="54" fillId="0" borderId="11" xfId="0" applyFont="1" applyBorder="1"/>
    <xf numFmtId="0" fontId="54" fillId="0" borderId="11" xfId="0" applyFont="1" applyBorder="1" applyAlignment="1">
      <alignment horizontal="right"/>
    </xf>
    <xf numFmtId="0" fontId="54" fillId="0" borderId="15" xfId="0" applyFont="1" applyBorder="1"/>
    <xf numFmtId="0" fontId="54" fillId="0" borderId="13" xfId="0" applyFont="1" applyBorder="1"/>
    <xf numFmtId="0" fontId="54" fillId="0" borderId="13" xfId="0" applyFont="1" applyBorder="1" applyAlignment="1">
      <alignment horizontal="right"/>
    </xf>
    <xf numFmtId="0" fontId="54" fillId="0" borderId="16" xfId="0" applyFont="1" applyBorder="1"/>
    <xf numFmtId="0" fontId="56" fillId="0" borderId="16" xfId="0" applyFont="1" applyBorder="1"/>
    <xf numFmtId="0" fontId="54" fillId="0" borderId="24" xfId="0" applyFont="1" applyBorder="1" applyAlignment="1">
      <alignment horizontal="left"/>
    </xf>
    <xf numFmtId="0" fontId="54" fillId="0" borderId="23" xfId="0" applyFont="1" applyBorder="1" applyAlignment="1">
      <alignment horizontal="center"/>
    </xf>
    <xf numFmtId="4" fontId="54" fillId="0" borderId="23" xfId="0" applyNumberFormat="1" applyFont="1" applyBorder="1" applyAlignment="1">
      <alignment horizontal="center"/>
    </xf>
    <xf numFmtId="0" fontId="56" fillId="0" borderId="0" xfId="0" applyFont="1" applyAlignment="1">
      <alignment horizontal="center"/>
    </xf>
    <xf numFmtId="0" fontId="54" fillId="0" borderId="0" xfId="0" applyFont="1" applyAlignment="1">
      <alignment horizontal="center"/>
    </xf>
    <xf numFmtId="0" fontId="56" fillId="0" borderId="0" xfId="0" applyFont="1"/>
    <xf numFmtId="0" fontId="56" fillId="0" borderId="23" xfId="0" applyFont="1" applyBorder="1" applyAlignment="1">
      <alignment horizontal="center"/>
    </xf>
    <xf numFmtId="0" fontId="55" fillId="0" borderId="16" xfId="0" applyFont="1" applyBorder="1" applyAlignment="1">
      <alignment horizontal="center"/>
    </xf>
    <xf numFmtId="4" fontId="55" fillId="0" borderId="15" xfId="0" applyNumberFormat="1" applyFont="1" applyBorder="1" applyAlignment="1">
      <alignment horizontal="center"/>
    </xf>
    <xf numFmtId="0" fontId="54" fillId="0" borderId="15" xfId="0" applyFont="1" applyBorder="1" applyAlignment="1">
      <alignment horizontal="left"/>
    </xf>
    <xf numFmtId="0" fontId="55" fillId="0" borderId="15" xfId="0" applyFont="1" applyBorder="1" applyAlignment="1">
      <alignment horizontal="center"/>
    </xf>
    <xf numFmtId="0" fontId="55" fillId="0" borderId="16" xfId="0" applyFont="1" applyBorder="1" applyAlignment="1">
      <alignment horizontal="left"/>
    </xf>
    <xf numFmtId="0" fontId="55" fillId="0" borderId="11" xfId="0" applyFont="1" applyBorder="1" applyAlignment="1">
      <alignment horizontal="center"/>
    </xf>
    <xf numFmtId="0" fontId="55" fillId="0" borderId="11" xfId="0" applyFont="1" applyBorder="1" applyAlignment="1">
      <alignment horizontal="right"/>
    </xf>
    <xf numFmtId="0" fontId="55" fillId="0" borderId="15" xfId="0" applyFont="1" applyBorder="1" applyAlignment="1">
      <alignment horizontal="left"/>
    </xf>
    <xf numFmtId="0" fontId="55" fillId="0" borderId="13" xfId="0" applyFont="1" applyBorder="1" applyAlignment="1">
      <alignment horizontal="center"/>
    </xf>
    <xf numFmtId="0" fontId="55" fillId="0" borderId="13" xfId="0" applyFont="1" applyBorder="1" applyAlignment="1">
      <alignment horizontal="right"/>
    </xf>
    <xf numFmtId="4" fontId="55" fillId="0" borderId="11" xfId="0" applyNumberFormat="1" applyFont="1" applyBorder="1" applyAlignment="1">
      <alignment horizontal="center"/>
    </xf>
    <xf numFmtId="0" fontId="57" fillId="0" borderId="16" xfId="0" applyFont="1" applyBorder="1" applyAlignment="1">
      <alignment horizontal="left"/>
    </xf>
    <xf numFmtId="0" fontId="58" fillId="2" borderId="11" xfId="0" applyFont="1" applyFill="1" applyBorder="1" applyAlignment="1">
      <alignment horizontal="center"/>
    </xf>
    <xf numFmtId="0" fontId="59" fillId="0" borderId="11" xfId="0" applyFont="1" applyBorder="1" applyAlignment="1">
      <alignment horizontal="center"/>
    </xf>
    <xf numFmtId="0" fontId="58" fillId="0" borderId="11" xfId="0" applyFont="1" applyBorder="1" applyAlignment="1">
      <alignment horizontal="right"/>
    </xf>
    <xf numFmtId="4" fontId="58" fillId="2" borderId="13" xfId="0" applyNumberFormat="1" applyFont="1" applyFill="1" applyBorder="1" applyAlignment="1">
      <alignment horizontal="center"/>
    </xf>
    <xf numFmtId="0" fontId="57" fillId="0" borderId="15" xfId="0" applyFont="1" applyBorder="1" applyAlignment="1">
      <alignment horizontal="left"/>
    </xf>
    <xf numFmtId="0" fontId="58" fillId="2" borderId="13" xfId="0" applyFont="1" applyFill="1" applyBorder="1" applyAlignment="1">
      <alignment horizontal="center"/>
    </xf>
    <xf numFmtId="0" fontId="59" fillId="0" borderId="13" xfId="0" applyFont="1" applyBorder="1" applyAlignment="1">
      <alignment horizontal="center"/>
    </xf>
    <xf numFmtId="0" fontId="58" fillId="0" borderId="13" xfId="0" applyFont="1" applyBorder="1" applyAlignment="1">
      <alignment horizontal="right"/>
    </xf>
    <xf numFmtId="0" fontId="58" fillId="2" borderId="13" xfId="0" applyFont="1" applyFill="1" applyBorder="1" applyAlignment="1">
      <alignment horizontal="right"/>
    </xf>
    <xf numFmtId="0" fontId="55" fillId="0" borderId="15" xfId="0" applyFont="1" applyBorder="1"/>
    <xf numFmtId="0" fontId="29" fillId="0" borderId="16" xfId="0" applyFont="1" applyBorder="1"/>
    <xf numFmtId="0" fontId="32" fillId="0" borderId="11" xfId="0" applyFont="1" applyBorder="1" applyAlignment="1">
      <alignment horizontal="center"/>
    </xf>
    <xf numFmtId="0" fontId="29" fillId="0" borderId="15" xfId="0" applyFont="1" applyBorder="1"/>
    <xf numFmtId="0" fontId="32" fillId="0" borderId="13" xfId="0" applyFont="1" applyBorder="1" applyAlignment="1">
      <alignment horizontal="center"/>
    </xf>
    <xf numFmtId="0" fontId="29" fillId="0" borderId="13" xfId="0" applyFont="1" applyBorder="1" applyAlignment="1">
      <alignment horizontal="right"/>
    </xf>
    <xf numFmtId="0" fontId="29" fillId="0" borderId="13" xfId="0" applyFont="1" applyBorder="1"/>
    <xf numFmtId="0" fontId="58" fillId="2" borderId="16" xfId="0" applyFont="1" applyFill="1" applyBorder="1"/>
    <xf numFmtId="0" fontId="58" fillId="2" borderId="15" xfId="0" applyFont="1" applyFill="1" applyBorder="1"/>
    <xf numFmtId="0" fontId="58" fillId="0" borderId="0" xfId="0" applyFont="1" applyAlignment="1">
      <alignment horizontal="left"/>
    </xf>
    <xf numFmtId="0" fontId="58" fillId="0" borderId="0" xfId="0" applyFont="1" applyAlignment="1">
      <alignment horizontal="center"/>
    </xf>
    <xf numFmtId="4" fontId="58" fillId="0" borderId="16" xfId="0" applyNumberFormat="1" applyFont="1" applyBorder="1" applyAlignment="1">
      <alignment horizontal="center"/>
    </xf>
    <xf numFmtId="4" fontId="58" fillId="0" borderId="11" xfId="0" applyNumberFormat="1" applyFont="1" applyBorder="1" applyAlignment="1">
      <alignment horizontal="center"/>
    </xf>
    <xf numFmtId="0" fontId="58" fillId="0" borderId="13" xfId="0" applyFont="1" applyBorder="1" applyAlignment="1">
      <alignment horizontal="center"/>
    </xf>
    <xf numFmtId="0" fontId="54" fillId="14" borderId="0" xfId="0" applyFont="1" applyFill="1" applyAlignment="1">
      <alignment horizontal="center"/>
    </xf>
    <xf numFmtId="0" fontId="54" fillId="14" borderId="11" xfId="0" applyFont="1" applyFill="1" applyBorder="1" applyAlignment="1">
      <alignment horizontal="center"/>
    </xf>
    <xf numFmtId="0" fontId="58" fillId="0" borderId="16" xfId="0" applyFont="1" applyBorder="1"/>
    <xf numFmtId="0" fontId="58" fillId="0" borderId="11" xfId="0" applyFont="1" applyBorder="1" applyAlignment="1">
      <alignment horizontal="center"/>
    </xf>
    <xf numFmtId="4" fontId="58" fillId="0" borderId="13" xfId="0" applyNumberFormat="1" applyFont="1" applyBorder="1" applyAlignment="1">
      <alignment horizontal="center"/>
    </xf>
    <xf numFmtId="0" fontId="58" fillId="0" borderId="10" xfId="0" applyFont="1" applyBorder="1" applyAlignment="1">
      <alignment horizontal="center"/>
    </xf>
    <xf numFmtId="0" fontId="58" fillId="0" borderId="15" xfId="0" applyFont="1" applyBorder="1" applyAlignment="1">
      <alignment horizontal="center"/>
    </xf>
    <xf numFmtId="0" fontId="58" fillId="0" borderId="0" xfId="0" applyFont="1"/>
    <xf numFmtId="4" fontId="58" fillId="0" borderId="15" xfId="0" applyNumberFormat="1" applyFont="1" applyBorder="1" applyAlignment="1">
      <alignment horizontal="center"/>
    </xf>
    <xf numFmtId="0" fontId="55" fillId="0" borderId="16" xfId="0" applyFont="1" applyBorder="1"/>
    <xf numFmtId="0" fontId="57" fillId="0" borderId="11" xfId="0" applyFont="1" applyBorder="1" applyAlignment="1">
      <alignment horizontal="center"/>
    </xf>
    <xf numFmtId="0" fontId="28" fillId="0" borderId="11" xfId="0" applyFont="1" applyBorder="1"/>
    <xf numFmtId="0" fontId="28" fillId="0" borderId="11" xfId="0" applyFont="1" applyBorder="1" applyAlignment="1">
      <alignment horizontal="right"/>
    </xf>
    <xf numFmtId="0" fontId="57" fillId="0" borderId="13" xfId="0" applyFont="1" applyBorder="1" applyAlignment="1">
      <alignment horizontal="center"/>
    </xf>
    <xf numFmtId="0" fontId="28" fillId="0" borderId="13" xfId="0" applyFont="1" applyBorder="1"/>
    <xf numFmtId="0" fontId="28" fillId="0" borderId="13" xfId="0" applyFont="1" applyBorder="1" applyAlignment="1">
      <alignment horizontal="right"/>
    </xf>
    <xf numFmtId="0" fontId="55" fillId="12" borderId="15" xfId="0" applyFont="1" applyFill="1" applyBorder="1"/>
    <xf numFmtId="0" fontId="54" fillId="12" borderId="15" xfId="0" applyFont="1" applyFill="1" applyBorder="1" applyAlignment="1">
      <alignment horizontal="center"/>
    </xf>
    <xf numFmtId="0" fontId="54" fillId="12" borderId="13" xfId="0" applyFont="1" applyFill="1" applyBorder="1" applyAlignment="1">
      <alignment horizontal="center"/>
    </xf>
    <xf numFmtId="0" fontId="58" fillId="12" borderId="15" xfId="0" applyFont="1" applyFill="1" applyBorder="1" applyAlignment="1">
      <alignment horizontal="left"/>
    </xf>
    <xf numFmtId="0" fontId="54" fillId="12" borderId="11" xfId="0" applyFont="1" applyFill="1" applyBorder="1" applyAlignment="1">
      <alignment horizontal="center"/>
    </xf>
    <xf numFmtId="0" fontId="58" fillId="12" borderId="13" xfId="0" applyFont="1" applyFill="1" applyBorder="1" applyAlignment="1">
      <alignment horizontal="center"/>
    </xf>
    <xf numFmtId="0" fontId="54" fillId="12" borderId="15" xfId="0" applyFont="1" applyFill="1" applyBorder="1"/>
    <xf numFmtId="0" fontId="58" fillId="12" borderId="15" xfId="0" applyFont="1" applyFill="1" applyBorder="1" applyAlignment="1">
      <alignment horizontal="center"/>
    </xf>
    <xf numFmtId="0" fontId="58" fillId="12" borderId="11" xfId="0" applyFont="1" applyFill="1" applyBorder="1" applyAlignment="1">
      <alignment horizontal="center"/>
    </xf>
    <xf numFmtId="0" fontId="29" fillId="2" borderId="13" xfId="0" applyFont="1" applyFill="1" applyBorder="1" applyAlignment="1">
      <alignment horizontal="center"/>
    </xf>
    <xf numFmtId="0" fontId="29" fillId="2" borderId="15" xfId="0" applyFont="1" applyFill="1" applyBorder="1" applyAlignment="1">
      <alignment horizontal="center"/>
    </xf>
    <xf numFmtId="0" fontId="54" fillId="2" borderId="15" xfId="0" applyFont="1" applyFill="1" applyBorder="1" applyAlignment="1">
      <alignment horizontal="left"/>
    </xf>
    <xf numFmtId="3" fontId="55" fillId="0" borderId="11" xfId="0" applyNumberFormat="1" applyFont="1" applyBorder="1" applyAlignment="1">
      <alignment horizontal="center"/>
    </xf>
    <xf numFmtId="3" fontId="55" fillId="0" borderId="11" xfId="0" applyNumberFormat="1" applyFont="1" applyBorder="1" applyAlignment="1">
      <alignment horizontal="right"/>
    </xf>
    <xf numFmtId="0" fontId="55" fillId="0" borderId="11" xfId="0" applyFont="1" applyBorder="1"/>
    <xf numFmtId="3" fontId="55" fillId="0" borderId="13" xfId="0" applyNumberFormat="1" applyFont="1" applyBorder="1" applyAlignment="1">
      <alignment horizontal="right"/>
    </xf>
    <xf numFmtId="0" fontId="55" fillId="0" borderId="13" xfId="0" applyFont="1" applyBorder="1"/>
    <xf numFmtId="3" fontId="55" fillId="0" borderId="13" xfId="0" applyNumberFormat="1" applyFont="1" applyBorder="1" applyAlignment="1">
      <alignment horizontal="center"/>
    </xf>
    <xf numFmtId="4" fontId="55" fillId="0" borderId="13" xfId="0" applyNumberFormat="1" applyFont="1" applyBorder="1" applyAlignment="1">
      <alignment horizontal="right"/>
    </xf>
    <xf numFmtId="4" fontId="54" fillId="0" borderId="13" xfId="0" applyNumberFormat="1" applyFont="1" applyBorder="1" applyAlignment="1">
      <alignment horizontal="right"/>
    </xf>
    <xf numFmtId="0" fontId="55" fillId="2" borderId="13" xfId="0" applyFont="1" applyFill="1" applyBorder="1" applyAlignment="1">
      <alignment horizontal="right"/>
    </xf>
    <xf numFmtId="0" fontId="54" fillId="0" borderId="0" xfId="0" applyFont="1" applyAlignment="1">
      <alignment horizontal="left"/>
    </xf>
    <xf numFmtId="0" fontId="55" fillId="2" borderId="16" xfId="0" applyFont="1" applyFill="1" applyBorder="1" applyAlignment="1">
      <alignment horizontal="left"/>
    </xf>
    <xf numFmtId="0" fontId="55" fillId="2" borderId="15" xfId="0" applyFont="1" applyFill="1" applyBorder="1" applyAlignment="1">
      <alignment horizontal="left"/>
    </xf>
    <xf numFmtId="0" fontId="54" fillId="2" borderId="16" xfId="0" applyFont="1" applyFill="1" applyBorder="1" applyAlignment="1">
      <alignment horizontal="left"/>
    </xf>
    <xf numFmtId="0" fontId="54" fillId="0" borderId="8" xfId="0" applyFont="1" applyBorder="1" applyAlignment="1">
      <alignment horizontal="center"/>
    </xf>
    <xf numFmtId="0" fontId="55" fillId="0" borderId="23" xfId="0" applyFont="1" applyBorder="1" applyAlignment="1">
      <alignment horizontal="right"/>
    </xf>
    <xf numFmtId="4" fontId="54" fillId="0" borderId="23" xfId="0" applyNumberFormat="1" applyFont="1" applyBorder="1" applyAlignment="1">
      <alignment horizontal="right"/>
    </xf>
    <xf numFmtId="0" fontId="58" fillId="0" borderId="16" xfId="0" applyFont="1" applyBorder="1" applyAlignment="1">
      <alignment horizontal="left"/>
    </xf>
    <xf numFmtId="0" fontId="58" fillId="0" borderId="21" xfId="0" applyFont="1" applyBorder="1" applyAlignment="1">
      <alignment horizontal="center"/>
    </xf>
    <xf numFmtId="0" fontId="58" fillId="0" borderId="11" xfId="0" applyFont="1" applyBorder="1" applyAlignment="1">
      <alignment horizontal="left"/>
    </xf>
    <xf numFmtId="0" fontId="58" fillId="14" borderId="11" xfId="0" applyFont="1" applyFill="1" applyBorder="1" applyAlignment="1">
      <alignment horizontal="center"/>
    </xf>
    <xf numFmtId="0" fontId="58" fillId="0" borderId="12" xfId="0" applyFont="1" applyBorder="1" applyAlignment="1">
      <alignment horizontal="center"/>
    </xf>
    <xf numFmtId="0" fontId="58" fillId="14" borderId="16" xfId="0" applyFont="1" applyFill="1" applyBorder="1" applyAlignment="1">
      <alignment horizontal="center"/>
    </xf>
    <xf numFmtId="0" fontId="58" fillId="0" borderId="15" xfId="0" applyFont="1" applyBorder="1" applyAlignment="1">
      <alignment horizontal="left"/>
    </xf>
    <xf numFmtId="0" fontId="58" fillId="0" borderId="13" xfId="0" applyFont="1" applyBorder="1" applyAlignment="1">
      <alignment horizontal="left"/>
    </xf>
    <xf numFmtId="0" fontId="58" fillId="14" borderId="13" xfId="0" applyFont="1" applyFill="1" applyBorder="1" applyAlignment="1">
      <alignment horizontal="center"/>
    </xf>
    <xf numFmtId="0" fontId="58" fillId="14" borderId="15" xfId="0" applyFont="1" applyFill="1" applyBorder="1" applyAlignment="1">
      <alignment horizontal="center"/>
    </xf>
    <xf numFmtId="4" fontId="58" fillId="0" borderId="13" xfId="0" applyNumberFormat="1" applyFont="1" applyBorder="1" applyAlignment="1">
      <alignment horizontal="left"/>
    </xf>
    <xf numFmtId="0" fontId="58" fillId="2" borderId="21" xfId="0" applyFont="1" applyFill="1" applyBorder="1" applyAlignment="1">
      <alignment horizontal="center"/>
    </xf>
    <xf numFmtId="4" fontId="58" fillId="2" borderId="11" xfId="0" applyNumberFormat="1" applyFont="1" applyFill="1" applyBorder="1" applyAlignment="1">
      <alignment horizontal="center"/>
    </xf>
    <xf numFmtId="0" fontId="58" fillId="2" borderId="0" xfId="0" applyFont="1" applyFill="1"/>
    <xf numFmtId="4" fontId="58" fillId="2" borderId="0" xfId="0" applyNumberFormat="1" applyFont="1" applyFill="1" applyAlignment="1">
      <alignment horizontal="center"/>
    </xf>
    <xf numFmtId="4" fontId="58" fillId="2" borderId="15" xfId="0" applyNumberFormat="1" applyFont="1" applyFill="1" applyBorder="1" applyAlignment="1">
      <alignment horizontal="center"/>
    </xf>
    <xf numFmtId="4" fontId="58" fillId="0" borderId="11" xfId="0" applyNumberFormat="1" applyFont="1" applyBorder="1" applyAlignment="1">
      <alignment horizontal="right"/>
    </xf>
    <xf numFmtId="4" fontId="58" fillId="0" borderId="11" xfId="0" applyNumberFormat="1" applyFont="1" applyBorder="1" applyAlignment="1">
      <alignment horizontal="left"/>
    </xf>
    <xf numFmtId="4" fontId="58" fillId="0" borderId="13" xfId="0" applyNumberFormat="1" applyFont="1" applyBorder="1" applyAlignment="1">
      <alignment horizontal="right"/>
    </xf>
    <xf numFmtId="4" fontId="57" fillId="0" borderId="13" xfId="0" applyNumberFormat="1" applyFont="1" applyBorder="1" applyAlignment="1">
      <alignment horizontal="center"/>
    </xf>
    <xf numFmtId="0" fontId="58" fillId="2" borderId="15" xfId="0" applyFont="1" applyFill="1" applyBorder="1" applyAlignment="1">
      <alignment horizontal="center"/>
    </xf>
    <xf numFmtId="4" fontId="57" fillId="0" borderId="15" xfId="0" applyNumberFormat="1" applyFont="1" applyBorder="1" applyAlignment="1">
      <alignment horizontal="center"/>
    </xf>
    <xf numFmtId="0" fontId="54" fillId="2" borderId="13" xfId="0" applyFont="1" applyFill="1" applyBorder="1" applyAlignment="1">
      <alignment horizontal="center"/>
    </xf>
    <xf numFmtId="0" fontId="54" fillId="2" borderId="13" xfId="0" applyFont="1" applyFill="1" applyBorder="1" applyAlignment="1">
      <alignment horizontal="right"/>
    </xf>
    <xf numFmtId="0" fontId="60" fillId="0" borderId="15" xfId="0" applyFont="1" applyBorder="1"/>
    <xf numFmtId="0" fontId="54" fillId="2" borderId="15" xfId="0" applyFont="1" applyFill="1" applyBorder="1" applyAlignment="1">
      <alignment horizontal="center"/>
    </xf>
    <xf numFmtId="4" fontId="54" fillId="2" borderId="13" xfId="0" applyNumberFormat="1" applyFont="1" applyFill="1" applyBorder="1" applyAlignment="1">
      <alignment horizontal="center"/>
    </xf>
    <xf numFmtId="0" fontId="54" fillId="2" borderId="16" xfId="0" applyFont="1" applyFill="1" applyBorder="1" applyAlignment="1">
      <alignment horizontal="center"/>
    </xf>
    <xf numFmtId="0" fontId="54" fillId="2" borderId="11" xfId="0" applyFont="1" applyFill="1" applyBorder="1" applyAlignment="1">
      <alignment horizontal="center"/>
    </xf>
    <xf numFmtId="4" fontId="54" fillId="2" borderId="16" xfId="0" applyNumberFormat="1" applyFont="1" applyFill="1" applyBorder="1" applyAlignment="1">
      <alignment horizontal="center"/>
    </xf>
    <xf numFmtId="4" fontId="54" fillId="2" borderId="15" xfId="0" applyNumberFormat="1" applyFont="1" applyFill="1" applyBorder="1" applyAlignment="1">
      <alignment horizontal="center"/>
    </xf>
    <xf numFmtId="4" fontId="54" fillId="2" borderId="11" xfId="0" applyNumberFormat="1" applyFont="1" applyFill="1" applyBorder="1" applyAlignment="1">
      <alignment horizontal="center"/>
    </xf>
    <xf numFmtId="0" fontId="59" fillId="0" borderId="16" xfId="0" applyFont="1" applyBorder="1"/>
    <xf numFmtId="0" fontId="29" fillId="2" borderId="11" xfId="0" applyFont="1" applyFill="1" applyBorder="1" applyAlignment="1">
      <alignment horizontal="center"/>
    </xf>
    <xf numFmtId="4" fontId="59" fillId="0" borderId="11" xfId="0" applyNumberFormat="1" applyFont="1" applyBorder="1" applyAlignment="1">
      <alignment horizontal="right"/>
    </xf>
    <xf numFmtId="4" fontId="57" fillId="2" borderId="11" xfId="0" applyNumberFormat="1" applyFont="1" applyFill="1" applyBorder="1" applyAlignment="1">
      <alignment horizontal="center"/>
    </xf>
    <xf numFmtId="0" fontId="57" fillId="2" borderId="11" xfId="0" applyFont="1" applyFill="1" applyBorder="1" applyAlignment="1">
      <alignment horizontal="center"/>
    </xf>
    <xf numFmtId="0" fontId="59" fillId="0" borderId="15" xfId="0" applyFont="1" applyBorder="1" applyAlignment="1">
      <alignment horizontal="left"/>
    </xf>
    <xf numFmtId="4" fontId="59" fillId="0" borderId="13" xfId="0" applyNumberFormat="1" applyFont="1" applyBorder="1"/>
    <xf numFmtId="4" fontId="57" fillId="2" borderId="13" xfId="0" applyNumberFormat="1" applyFont="1" applyFill="1" applyBorder="1" applyAlignment="1">
      <alignment horizontal="center"/>
    </xf>
    <xf numFmtId="0" fontId="57" fillId="2" borderId="13" xfId="0" applyFont="1" applyFill="1" applyBorder="1" applyAlignment="1">
      <alignment horizontal="center"/>
    </xf>
    <xf numFmtId="0" fontId="57" fillId="0" borderId="15" xfId="0" applyFont="1" applyBorder="1"/>
    <xf numFmtId="0" fontId="57" fillId="2" borderId="15" xfId="0" applyFont="1" applyFill="1" applyBorder="1" applyAlignment="1">
      <alignment horizontal="center"/>
    </xf>
    <xf numFmtId="0" fontId="57" fillId="0" borderId="15" xfId="0" applyFont="1" applyBorder="1" applyAlignment="1">
      <alignment horizontal="center"/>
    </xf>
    <xf numFmtId="0" fontId="59" fillId="0" borderId="15" xfId="0" applyFont="1" applyBorder="1"/>
    <xf numFmtId="0" fontId="61" fillId="0" borderId="13" xfId="0" applyFont="1" applyBorder="1" applyAlignment="1">
      <alignment horizontal="center"/>
    </xf>
    <xf numFmtId="0" fontId="61" fillId="0" borderId="13" xfId="0" applyFont="1" applyBorder="1" applyAlignment="1">
      <alignment horizontal="right"/>
    </xf>
    <xf numFmtId="0" fontId="29" fillId="2" borderId="13" xfId="0" applyFont="1" applyFill="1" applyBorder="1" applyAlignment="1">
      <alignment horizontal="right"/>
    </xf>
    <xf numFmtId="4" fontId="54" fillId="0" borderId="11" xfId="0" applyNumberFormat="1" applyFont="1" applyBorder="1" applyAlignment="1">
      <alignment horizontal="left"/>
    </xf>
    <xf numFmtId="0" fontId="54" fillId="15" borderId="11" xfId="0" applyFont="1" applyFill="1" applyBorder="1" applyAlignment="1">
      <alignment horizontal="center"/>
    </xf>
    <xf numFmtId="0" fontId="54" fillId="15" borderId="16" xfId="0" applyFont="1" applyFill="1" applyBorder="1" applyAlignment="1">
      <alignment horizontal="center"/>
    </xf>
    <xf numFmtId="4" fontId="54" fillId="0" borderId="13" xfId="0" applyNumberFormat="1" applyFont="1" applyBorder="1" applyAlignment="1">
      <alignment horizontal="left"/>
    </xf>
    <xf numFmtId="0" fontId="54" fillId="15" borderId="13" xfId="0" applyFont="1" applyFill="1" applyBorder="1" applyAlignment="1">
      <alignment horizontal="center"/>
    </xf>
    <xf numFmtId="0" fontId="54" fillId="15" borderId="15" xfId="0" applyFont="1" applyFill="1" applyBorder="1" applyAlignment="1">
      <alignment horizontal="center"/>
    </xf>
    <xf numFmtId="0" fontId="54" fillId="12" borderId="11" xfId="0" applyFont="1" applyFill="1" applyBorder="1" applyAlignment="1">
      <alignment horizontal="right"/>
    </xf>
    <xf numFmtId="0" fontId="54" fillId="12" borderId="13" xfId="0" applyFont="1" applyFill="1" applyBorder="1" applyAlignment="1">
      <alignment horizontal="right"/>
    </xf>
    <xf numFmtId="0" fontId="55" fillId="12" borderId="13" xfId="0" applyFont="1" applyFill="1" applyBorder="1" applyAlignment="1">
      <alignment horizontal="center"/>
    </xf>
    <xf numFmtId="0" fontId="55" fillId="12" borderId="13" xfId="0" applyFont="1" applyFill="1" applyBorder="1" applyAlignment="1">
      <alignment horizontal="right"/>
    </xf>
    <xf numFmtId="0" fontId="55" fillId="2" borderId="16" xfId="0" applyFont="1" applyFill="1" applyBorder="1" applyAlignment="1">
      <alignment horizontal="center"/>
    </xf>
    <xf numFmtId="0" fontId="54" fillId="12" borderId="16" xfId="0" applyFont="1" applyFill="1" applyBorder="1" applyAlignment="1">
      <alignment horizontal="center"/>
    </xf>
    <xf numFmtId="0" fontId="55" fillId="2" borderId="15" xfId="0" applyFont="1" applyFill="1" applyBorder="1" applyAlignment="1">
      <alignment horizontal="center"/>
    </xf>
    <xf numFmtId="0" fontId="54" fillId="0" borderId="22" xfId="0" applyFont="1" applyBorder="1" applyAlignment="1">
      <alignment horizontal="center"/>
    </xf>
    <xf numFmtId="0" fontId="54" fillId="0" borderId="24" xfId="0" applyFont="1" applyBorder="1" applyAlignment="1">
      <alignment horizontal="center"/>
    </xf>
    <xf numFmtId="0" fontId="54" fillId="0" borderId="14" xfId="0" applyFont="1" applyBorder="1" applyAlignment="1">
      <alignment horizontal="center"/>
    </xf>
    <xf numFmtId="0" fontId="58" fillId="15" borderId="11" xfId="0" applyFont="1" applyFill="1" applyBorder="1" applyAlignment="1">
      <alignment horizontal="center"/>
    </xf>
    <xf numFmtId="0" fontId="58" fillId="15" borderId="16" xfId="0" applyFont="1" applyFill="1" applyBorder="1" applyAlignment="1">
      <alignment horizontal="center"/>
    </xf>
    <xf numFmtId="0" fontId="58" fillId="15" borderId="13" xfId="0" applyFont="1" applyFill="1" applyBorder="1" applyAlignment="1">
      <alignment horizontal="center"/>
    </xf>
    <xf numFmtId="0" fontId="58" fillId="15" borderId="15" xfId="0" applyFont="1" applyFill="1" applyBorder="1" applyAlignment="1">
      <alignment horizontal="center"/>
    </xf>
    <xf numFmtId="0" fontId="61" fillId="0" borderId="16" xfId="0" applyFont="1" applyBorder="1" applyAlignment="1">
      <alignment horizontal="left"/>
    </xf>
    <xf numFmtId="4" fontId="61" fillId="0" borderId="16" xfId="0" applyNumberFormat="1" applyFont="1" applyBorder="1" applyAlignment="1">
      <alignment horizontal="center"/>
    </xf>
    <xf numFmtId="4" fontId="58" fillId="0" borderId="15" xfId="0" applyNumberFormat="1" applyFont="1" applyBorder="1" applyAlignment="1">
      <alignment horizontal="left"/>
    </xf>
    <xf numFmtId="0" fontId="57" fillId="2" borderId="16" xfId="0" applyFont="1" applyFill="1" applyBorder="1" applyAlignment="1">
      <alignment horizontal="center"/>
    </xf>
    <xf numFmtId="0" fontId="61" fillId="0" borderId="15" xfId="0" applyFont="1" applyBorder="1" applyAlignment="1">
      <alignment horizontal="left"/>
    </xf>
    <xf numFmtId="4" fontId="61" fillId="0" borderId="15" xfId="0" applyNumberFormat="1" applyFont="1" applyBorder="1" applyAlignment="1">
      <alignment horizontal="center"/>
    </xf>
    <xf numFmtId="0" fontId="58" fillId="0" borderId="16" xfId="0" applyFont="1" applyBorder="1" applyAlignment="1">
      <alignment horizontal="center"/>
    </xf>
    <xf numFmtId="0" fontId="54" fillId="0" borderId="12" xfId="0" applyFont="1" applyBorder="1" applyAlignment="1">
      <alignment horizontal="right"/>
    </xf>
    <xf numFmtId="0" fontId="54" fillId="0" borderId="15" xfId="0" applyFont="1" applyBorder="1" applyAlignment="1">
      <alignment horizontal="right"/>
    </xf>
    <xf numFmtId="4" fontId="54" fillId="0" borderId="11" xfId="0" applyNumberFormat="1" applyFont="1" applyBorder="1" applyAlignment="1">
      <alignment horizontal="right"/>
    </xf>
    <xf numFmtId="0" fontId="58" fillId="0" borderId="12" xfId="0" applyFont="1" applyBorder="1" applyAlignment="1">
      <alignment horizontal="right"/>
    </xf>
    <xf numFmtId="0" fontId="54" fillId="2" borderId="16" xfId="0" applyFont="1" applyFill="1" applyBorder="1"/>
    <xf numFmtId="0" fontId="54" fillId="2" borderId="15" xfId="0" applyFont="1" applyFill="1" applyBorder="1"/>
    <xf numFmtId="0" fontId="29" fillId="12" borderId="11" xfId="0" applyFont="1" applyFill="1" applyBorder="1" applyAlignment="1">
      <alignment horizontal="center"/>
    </xf>
    <xf numFmtId="0" fontId="29" fillId="12" borderId="16" xfId="0" applyFont="1" applyFill="1" applyBorder="1" applyAlignment="1">
      <alignment horizontal="center"/>
    </xf>
    <xf numFmtId="0" fontId="29" fillId="12" borderId="13" xfId="0" applyFont="1" applyFill="1" applyBorder="1" applyAlignment="1">
      <alignment horizontal="center"/>
    </xf>
    <xf numFmtId="0" fontId="29" fillId="12" borderId="15" xfId="0" applyFont="1" applyFill="1" applyBorder="1" applyAlignment="1">
      <alignment horizontal="center"/>
    </xf>
    <xf numFmtId="0" fontId="29" fillId="2" borderId="16" xfId="0" applyFont="1" applyFill="1" applyBorder="1"/>
    <xf numFmtId="0" fontId="29" fillId="2" borderId="15" xfId="0" applyFont="1" applyFill="1" applyBorder="1"/>
    <xf numFmtId="0" fontId="60" fillId="0" borderId="16" xfId="0" applyFont="1" applyBorder="1"/>
    <xf numFmtId="0" fontId="54" fillId="2" borderId="11" xfId="0" applyFont="1" applyFill="1" applyBorder="1"/>
    <xf numFmtId="0" fontId="56" fillId="2" borderId="16" xfId="0" applyFont="1" applyFill="1" applyBorder="1" applyAlignment="1">
      <alignment horizontal="center"/>
    </xf>
    <xf numFmtId="0" fontId="56" fillId="2" borderId="16" xfId="0" applyFont="1" applyFill="1" applyBorder="1"/>
    <xf numFmtId="0" fontId="62" fillId="0" borderId="16" xfId="0" applyFont="1" applyBorder="1" applyAlignment="1">
      <alignment horizontal="center"/>
    </xf>
    <xf numFmtId="0" fontId="54" fillId="2" borderId="13" xfId="0" applyFont="1" applyFill="1" applyBorder="1"/>
    <xf numFmtId="4" fontId="54" fillId="2" borderId="13" xfId="0" applyNumberFormat="1" applyFont="1" applyFill="1" applyBorder="1"/>
    <xf numFmtId="0" fontId="60" fillId="0" borderId="15" xfId="0" applyFont="1" applyBorder="1" applyAlignment="1">
      <alignment horizontal="left"/>
    </xf>
    <xf numFmtId="0" fontId="60" fillId="2" borderId="13" xfId="0" applyFont="1" applyFill="1" applyBorder="1" applyAlignment="1">
      <alignment horizontal="center"/>
    </xf>
    <xf numFmtId="0" fontId="60" fillId="0" borderId="13" xfId="0" applyFont="1" applyBorder="1" applyAlignment="1">
      <alignment horizontal="center"/>
    </xf>
    <xf numFmtId="4" fontId="60" fillId="0" borderId="13" xfId="0" applyNumberFormat="1" applyFont="1" applyBorder="1" applyAlignment="1">
      <alignment horizontal="right"/>
    </xf>
    <xf numFmtId="0" fontId="60" fillId="16" borderId="13" xfId="0" applyFont="1" applyFill="1" applyBorder="1" applyAlignment="1">
      <alignment horizontal="center"/>
    </xf>
    <xf numFmtId="0" fontId="60" fillId="2" borderId="15" xfId="0" applyFont="1" applyFill="1" applyBorder="1" applyAlignment="1">
      <alignment horizontal="center"/>
    </xf>
    <xf numFmtId="0" fontId="60" fillId="0" borderId="16" xfId="0" applyFont="1" applyBorder="1" applyAlignment="1">
      <alignment horizontal="center"/>
    </xf>
    <xf numFmtId="0" fontId="60" fillId="16" borderId="15" xfId="0" applyFont="1" applyFill="1" applyBorder="1" applyAlignment="1">
      <alignment horizontal="center"/>
    </xf>
    <xf numFmtId="0" fontId="60" fillId="2" borderId="24" xfId="0" applyFont="1" applyFill="1" applyBorder="1" applyAlignment="1">
      <alignment horizontal="center"/>
    </xf>
    <xf numFmtId="0" fontId="60" fillId="0" borderId="15" xfId="0" applyFont="1" applyBorder="1" applyAlignment="1">
      <alignment horizontal="center"/>
    </xf>
    <xf numFmtId="0" fontId="60" fillId="2" borderId="11" xfId="0" applyFont="1" applyFill="1" applyBorder="1" applyAlignment="1">
      <alignment horizontal="center"/>
    </xf>
    <xf numFmtId="0" fontId="60" fillId="0" borderId="23" xfId="0" applyFont="1" applyBorder="1" applyAlignment="1">
      <alignment horizontal="center"/>
    </xf>
    <xf numFmtId="4" fontId="60" fillId="0" borderId="23" xfId="0" applyNumberFormat="1" applyFont="1" applyBorder="1" applyAlignment="1">
      <alignment horizontal="right"/>
    </xf>
    <xf numFmtId="0" fontId="60" fillId="0" borderId="24" xfId="0" applyFont="1" applyBorder="1" applyAlignment="1">
      <alignment horizontal="center"/>
    </xf>
    <xf numFmtId="0" fontId="60" fillId="16" borderId="24" xfId="0" applyFont="1" applyFill="1" applyBorder="1" applyAlignment="1">
      <alignment horizontal="center"/>
    </xf>
    <xf numFmtId="0" fontId="60" fillId="2" borderId="23" xfId="0" applyFont="1" applyFill="1" applyBorder="1" applyAlignment="1">
      <alignment horizontal="center"/>
    </xf>
    <xf numFmtId="0" fontId="60" fillId="16" borderId="23" xfId="0" applyFont="1" applyFill="1" applyBorder="1" applyAlignment="1">
      <alignment horizontal="center"/>
    </xf>
    <xf numFmtId="0" fontId="33" fillId="2" borderId="15" xfId="0" applyFont="1" applyFill="1" applyBorder="1" applyAlignment="1">
      <alignment horizontal="center"/>
    </xf>
    <xf numFmtId="0" fontId="33" fillId="2" borderId="15" xfId="0" applyFont="1" applyFill="1" applyBorder="1"/>
    <xf numFmtId="0" fontId="33" fillId="0" borderId="15" xfId="0" applyFont="1" applyBorder="1"/>
    <xf numFmtId="0" fontId="33" fillId="0" borderId="15" xfId="0" applyFont="1" applyBorder="1" applyAlignment="1">
      <alignment horizontal="center"/>
    </xf>
    <xf numFmtId="0" fontId="29" fillId="2" borderId="11" xfId="0" applyFont="1" applyFill="1" applyBorder="1" applyAlignment="1">
      <alignment horizontal="right"/>
    </xf>
    <xf numFmtId="0" fontId="33" fillId="2" borderId="16" xfId="0" applyFont="1" applyFill="1" applyBorder="1" applyAlignment="1">
      <alignment horizontal="center"/>
    </xf>
    <xf numFmtId="0" fontId="33" fillId="2" borderId="16" xfId="0" applyFont="1" applyFill="1" applyBorder="1"/>
    <xf numFmtId="0" fontId="33" fillId="0" borderId="16" xfId="0" applyFont="1" applyBorder="1"/>
    <xf numFmtId="4" fontId="29" fillId="2" borderId="13" xfId="0" applyNumberFormat="1" applyFont="1" applyFill="1" applyBorder="1" applyAlignment="1">
      <alignment horizontal="right"/>
    </xf>
    <xf numFmtId="0" fontId="29" fillId="2" borderId="13" xfId="0" applyFont="1" applyFill="1" applyBorder="1"/>
    <xf numFmtId="0" fontId="57" fillId="2" borderId="9" xfId="0" applyFont="1" applyFill="1" applyBorder="1" applyAlignment="1">
      <alignment horizontal="center"/>
    </xf>
    <xf numFmtId="0" fontId="61" fillId="0" borderId="16" xfId="0" applyFont="1" applyBorder="1" applyAlignment="1">
      <alignment horizontal="center"/>
    </xf>
    <xf numFmtId="0" fontId="57" fillId="2" borderId="12" xfId="0" applyFont="1" applyFill="1" applyBorder="1" applyAlignment="1">
      <alignment horizontal="center"/>
    </xf>
    <xf numFmtId="0" fontId="61" fillId="0" borderId="15" xfId="0" applyFont="1" applyBorder="1" applyAlignment="1">
      <alignment horizontal="center"/>
    </xf>
    <xf numFmtId="0" fontId="58" fillId="2" borderId="16" xfId="0" applyFont="1" applyFill="1" applyBorder="1" applyAlignment="1">
      <alignment horizontal="center"/>
    </xf>
    <xf numFmtId="0" fontId="54" fillId="15" borderId="21" xfId="0" applyFont="1" applyFill="1" applyBorder="1" applyAlignment="1">
      <alignment horizontal="center"/>
    </xf>
    <xf numFmtId="0" fontId="58" fillId="17" borderId="13" xfId="0" applyFont="1" applyFill="1" applyBorder="1" applyAlignment="1">
      <alignment horizontal="center"/>
    </xf>
    <xf numFmtId="0" fontId="58" fillId="0" borderId="15" xfId="0" applyFont="1" applyBorder="1"/>
    <xf numFmtId="0" fontId="57" fillId="0" borderId="16" xfId="0" applyFont="1" applyBorder="1"/>
    <xf numFmtId="0" fontId="57" fillId="0" borderId="16" xfId="0" applyFont="1" applyBorder="1" applyAlignment="1">
      <alignment horizontal="center"/>
    </xf>
    <xf numFmtId="4" fontId="57" fillId="0" borderId="11" xfId="0" applyNumberFormat="1" applyFont="1" applyBorder="1" applyAlignment="1">
      <alignment horizontal="center"/>
    </xf>
    <xf numFmtId="0" fontId="62" fillId="2" borderId="16" xfId="0" applyFont="1" applyFill="1" applyBorder="1" applyAlignment="1">
      <alignment horizontal="center"/>
    </xf>
    <xf numFmtId="0" fontId="58" fillId="13" borderId="11" xfId="0" applyFont="1" applyFill="1" applyBorder="1"/>
    <xf numFmtId="0" fontId="58" fillId="13" borderId="21" xfId="0" applyFont="1" applyFill="1" applyBorder="1" applyAlignment="1">
      <alignment horizontal="center"/>
    </xf>
    <xf numFmtId="0" fontId="58" fillId="13" borderId="10" xfId="0" applyFont="1" applyFill="1" applyBorder="1" applyAlignment="1">
      <alignment horizontal="center"/>
    </xf>
    <xf numFmtId="4" fontId="58" fillId="13" borderId="10" xfId="0" applyNumberFormat="1" applyFont="1" applyFill="1" applyBorder="1" applyAlignment="1">
      <alignment horizontal="center"/>
    </xf>
    <xf numFmtId="0" fontId="58" fillId="13" borderId="13" xfId="0" applyFont="1" applyFill="1" applyBorder="1" applyAlignment="1">
      <alignment horizontal="center"/>
    </xf>
    <xf numFmtId="0" fontId="58" fillId="12" borderId="16" xfId="0" applyFont="1" applyFill="1" applyBorder="1" applyAlignment="1">
      <alignment horizontal="center"/>
    </xf>
    <xf numFmtId="3" fontId="58" fillId="0" borderId="13" xfId="0" applyNumberFormat="1" applyFont="1" applyBorder="1" applyAlignment="1">
      <alignment horizontal="left"/>
    </xf>
    <xf numFmtId="0" fontId="58" fillId="18" borderId="13" xfId="0" applyFont="1" applyFill="1" applyBorder="1" applyAlignment="1">
      <alignment horizontal="center"/>
    </xf>
    <xf numFmtId="0" fontId="58" fillId="15" borderId="24" xfId="0" applyFont="1" applyFill="1" applyBorder="1" applyAlignment="1">
      <alignment horizontal="center"/>
    </xf>
    <xf numFmtId="0" fontId="58" fillId="0" borderId="22" xfId="0" applyFont="1" applyBorder="1" applyAlignment="1">
      <alignment horizontal="center"/>
    </xf>
    <xf numFmtId="0" fontId="61" fillId="0" borderId="11" xfId="0" applyFont="1" applyBorder="1" applyAlignment="1">
      <alignment horizontal="center"/>
    </xf>
    <xf numFmtId="4" fontId="61" fillId="0" borderId="11" xfId="0" applyNumberFormat="1" applyFont="1" applyBorder="1" applyAlignment="1">
      <alignment horizontal="center"/>
    </xf>
    <xf numFmtId="4" fontId="61" fillId="0" borderId="11" xfId="0" applyNumberFormat="1" applyFont="1" applyBorder="1" applyAlignment="1">
      <alignment horizontal="right"/>
    </xf>
    <xf numFmtId="0" fontId="61" fillId="0" borderId="11" xfId="0" applyFont="1" applyBorder="1" applyAlignment="1">
      <alignment horizontal="left"/>
    </xf>
    <xf numFmtId="0" fontId="58" fillId="0" borderId="15" xfId="0" applyFont="1" applyBorder="1" applyAlignment="1">
      <alignment horizontal="right"/>
    </xf>
    <xf numFmtId="0" fontId="54" fillId="0" borderId="21" xfId="0" applyFont="1" applyBorder="1" applyAlignment="1">
      <alignment horizontal="right"/>
    </xf>
    <xf numFmtId="0" fontId="54" fillId="0" borderId="16" xfId="0" applyFont="1" applyBorder="1" applyAlignment="1">
      <alignment horizontal="right"/>
    </xf>
    <xf numFmtId="4" fontId="54" fillId="0" borderId="15" xfId="0" applyNumberFormat="1" applyFont="1" applyBorder="1" applyAlignment="1">
      <alignment horizontal="right"/>
    </xf>
    <xf numFmtId="0" fontId="29" fillId="0" borderId="11" xfId="0" applyFont="1" applyBorder="1" applyAlignment="1">
      <alignment horizontal="right"/>
    </xf>
    <xf numFmtId="4" fontId="54" fillId="0" borderId="15" xfId="0" applyNumberFormat="1" applyFont="1" applyBorder="1" applyAlignment="1">
      <alignment horizontal="center"/>
    </xf>
    <xf numFmtId="4" fontId="54" fillId="0" borderId="15" xfId="0" applyNumberFormat="1" applyFont="1" applyBorder="1" applyAlignment="1">
      <alignment horizontal="left"/>
    </xf>
    <xf numFmtId="0" fontId="54" fillId="0" borderId="15" xfId="0" applyFont="1" applyBorder="1" applyAlignment="1">
      <alignment horizontal="left" vertical="top"/>
    </xf>
    <xf numFmtId="0" fontId="55" fillId="2" borderId="13" xfId="0" applyFont="1" applyFill="1" applyBorder="1" applyAlignment="1">
      <alignment horizontal="center"/>
    </xf>
    <xf numFmtId="0" fontId="59" fillId="0" borderId="16" xfId="0" applyFont="1" applyBorder="1" applyAlignment="1">
      <alignment horizontal="center"/>
    </xf>
    <xf numFmtId="0" fontId="63" fillId="0" borderId="13" xfId="0" applyFont="1" applyBorder="1" applyAlignment="1">
      <alignment horizontal="center"/>
    </xf>
    <xf numFmtId="4" fontId="59" fillId="0" borderId="11" xfId="0" applyNumberFormat="1" applyFont="1" applyBorder="1" applyAlignment="1">
      <alignment horizontal="center"/>
    </xf>
    <xf numFmtId="0" fontId="59" fillId="0" borderId="15" xfId="0" applyFont="1" applyBorder="1" applyAlignment="1">
      <alignment horizontal="center"/>
    </xf>
    <xf numFmtId="4" fontId="59" fillId="0" borderId="13" xfId="0" applyNumberFormat="1" applyFont="1" applyBorder="1" applyAlignment="1">
      <alignment horizontal="center"/>
    </xf>
    <xf numFmtId="0" fontId="59" fillId="0" borderId="24" xfId="0" applyFont="1" applyBorder="1" applyAlignment="1">
      <alignment horizontal="center"/>
    </xf>
    <xf numFmtId="0" fontId="59" fillId="0" borderId="23" xfId="0" applyFont="1" applyBorder="1" applyAlignment="1">
      <alignment horizontal="center"/>
    </xf>
    <xf numFmtId="0" fontId="63" fillId="0" borderId="23" xfId="0" applyFont="1" applyBorder="1" applyAlignment="1">
      <alignment horizontal="center"/>
    </xf>
    <xf numFmtId="4" fontId="59" fillId="0" borderId="23" xfId="0" applyNumberFormat="1" applyFont="1" applyBorder="1" applyAlignment="1">
      <alignment horizontal="center"/>
    </xf>
    <xf numFmtId="0" fontId="55" fillId="6" borderId="11" xfId="0" applyFont="1" applyFill="1" applyBorder="1" applyAlignment="1">
      <alignment horizontal="center"/>
    </xf>
    <xf numFmtId="0" fontId="63" fillId="0" borderId="11" xfId="0" applyFont="1" applyBorder="1" applyAlignment="1">
      <alignment horizontal="center"/>
    </xf>
    <xf numFmtId="0" fontId="59" fillId="0" borderId="11" xfId="0" applyFont="1" applyBorder="1"/>
    <xf numFmtId="0" fontId="55" fillId="6" borderId="13" xfId="0" applyFont="1" applyFill="1" applyBorder="1" applyAlignment="1">
      <alignment horizontal="center"/>
    </xf>
    <xf numFmtId="0" fontId="59" fillId="0" borderId="13" xfId="0" applyFont="1" applyBorder="1"/>
    <xf numFmtId="0" fontId="62" fillId="0" borderId="12" xfId="0" applyFont="1" applyBorder="1" applyAlignment="1">
      <alignment horizontal="center"/>
    </xf>
    <xf numFmtId="4" fontId="61" fillId="0" borderId="24" xfId="0" applyNumberFormat="1" applyFont="1" applyBorder="1" applyAlignment="1">
      <alignment horizontal="center"/>
    </xf>
    <xf numFmtId="4" fontId="58" fillId="0" borderId="24" xfId="0" applyNumberFormat="1" applyFont="1" applyBorder="1" applyAlignment="1">
      <alignment horizontal="left"/>
    </xf>
    <xf numFmtId="0" fontId="57" fillId="2" borderId="24" xfId="0" applyFont="1" applyFill="1" applyBorder="1" applyAlignment="1">
      <alignment horizontal="center"/>
    </xf>
    <xf numFmtId="0" fontId="62" fillId="0" borderId="22" xfId="0" applyFont="1" applyBorder="1" applyAlignment="1">
      <alignment horizontal="center"/>
    </xf>
    <xf numFmtId="0" fontId="62" fillId="0" borderId="14" xfId="0" applyFont="1" applyBorder="1" applyAlignment="1">
      <alignment horizontal="center"/>
    </xf>
    <xf numFmtId="4" fontId="58" fillId="0" borderId="14" xfId="0" applyNumberFormat="1" applyFont="1" applyBorder="1" applyAlignment="1">
      <alignment horizontal="left"/>
    </xf>
    <xf numFmtId="0" fontId="57" fillId="2" borderId="14" xfId="0" applyFont="1" applyFill="1" applyBorder="1" applyAlignment="1">
      <alignment horizontal="center"/>
    </xf>
    <xf numFmtId="0" fontId="58" fillId="15" borderId="14" xfId="0" applyFont="1" applyFill="1" applyBorder="1" applyAlignment="1">
      <alignment horizontal="center"/>
    </xf>
    <xf numFmtId="0" fontId="58" fillId="2" borderId="10" xfId="0" applyFont="1" applyFill="1" applyBorder="1" applyAlignment="1">
      <alignment horizontal="center"/>
    </xf>
    <xf numFmtId="0" fontId="58" fillId="15" borderId="19" xfId="0" applyFont="1" applyFill="1" applyBorder="1" applyAlignment="1">
      <alignment horizontal="center"/>
    </xf>
    <xf numFmtId="0" fontId="58" fillId="15" borderId="10" xfId="0" applyFont="1" applyFill="1" applyBorder="1" applyAlignment="1">
      <alignment horizontal="center"/>
    </xf>
    <xf numFmtId="0" fontId="58" fillId="15" borderId="0" xfId="0" applyFont="1" applyFill="1" applyAlignment="1">
      <alignment horizontal="center"/>
    </xf>
    <xf numFmtId="0" fontId="58" fillId="2" borderId="9" xfId="0" applyFont="1" applyFill="1" applyBorder="1" applyAlignment="1">
      <alignment horizontal="center"/>
    </xf>
    <xf numFmtId="0" fontId="28" fillId="0" borderId="8" xfId="0" applyFont="1" applyBorder="1" applyAlignment="1">
      <alignment horizontal="center"/>
    </xf>
    <xf numFmtId="0" fontId="28" fillId="0" borderId="23" xfId="0" applyFont="1" applyBorder="1" applyAlignment="1">
      <alignment horizontal="center"/>
    </xf>
    <xf numFmtId="0" fontId="29" fillId="0" borderId="0" xfId="0" applyFont="1"/>
    <xf numFmtId="0" fontId="58" fillId="0" borderId="23" xfId="0" applyFont="1" applyBorder="1" applyAlignment="1">
      <alignment horizontal="center"/>
    </xf>
    <xf numFmtId="0" fontId="58" fillId="2" borderId="23" xfId="0" applyFont="1" applyFill="1" applyBorder="1" applyAlignment="1">
      <alignment horizontal="center"/>
    </xf>
    <xf numFmtId="0" fontId="58" fillId="0" borderId="8" xfId="0" applyFont="1" applyBorder="1" applyAlignment="1">
      <alignment horizontal="center"/>
    </xf>
    <xf numFmtId="0" fontId="58" fillId="2" borderId="8" xfId="0" applyFont="1" applyFill="1" applyBorder="1" applyAlignment="1">
      <alignment horizontal="center"/>
    </xf>
    <xf numFmtId="0" fontId="29" fillId="0" borderId="11" xfId="0" applyFont="1" applyBorder="1"/>
    <xf numFmtId="0" fontId="58" fillId="2" borderId="15" xfId="0" applyFont="1" applyFill="1" applyBorder="1" applyAlignment="1">
      <alignment horizontal="left"/>
    </xf>
    <xf numFmtId="0" fontId="58" fillId="19" borderId="11" xfId="0" applyFont="1" applyFill="1" applyBorder="1" applyAlignment="1">
      <alignment horizontal="center"/>
    </xf>
    <xf numFmtId="0" fontId="58" fillId="19" borderId="13" xfId="0" applyFont="1" applyFill="1" applyBorder="1" applyAlignment="1">
      <alignment horizontal="center"/>
    </xf>
    <xf numFmtId="0" fontId="58" fillId="2" borderId="11" xfId="0" applyFont="1" applyFill="1" applyBorder="1" applyAlignment="1">
      <alignment horizontal="right"/>
    </xf>
    <xf numFmtId="4" fontId="58" fillId="2" borderId="13" xfId="0" applyNumberFormat="1" applyFont="1" applyFill="1" applyBorder="1" applyAlignment="1">
      <alignment horizontal="right" vertical="top"/>
    </xf>
    <xf numFmtId="0" fontId="58" fillId="2" borderId="13" xfId="0" applyFont="1" applyFill="1" applyBorder="1" applyAlignment="1">
      <alignment horizontal="right" vertical="top"/>
    </xf>
    <xf numFmtId="4" fontId="58" fillId="2" borderId="13" xfId="0" applyNumberFormat="1" applyFont="1" applyFill="1" applyBorder="1" applyAlignment="1">
      <alignment horizontal="left"/>
    </xf>
    <xf numFmtId="4" fontId="58" fillId="2" borderId="13" xfId="0" applyNumberFormat="1" applyFont="1" applyFill="1" applyBorder="1" applyAlignment="1">
      <alignment horizontal="right"/>
    </xf>
    <xf numFmtId="0" fontId="57" fillId="0" borderId="14" xfId="0" applyFont="1" applyBorder="1" applyAlignment="1">
      <alignment horizontal="center"/>
    </xf>
    <xf numFmtId="0" fontId="57" fillId="0" borderId="8" xfId="0" applyFont="1" applyBorder="1" applyAlignment="1">
      <alignment horizontal="center"/>
    </xf>
    <xf numFmtId="4" fontId="57" fillId="0" borderId="14" xfId="0" applyNumberFormat="1" applyFont="1" applyBorder="1" applyAlignment="1">
      <alignment horizontal="center"/>
    </xf>
    <xf numFmtId="0" fontId="58" fillId="0" borderId="14" xfId="0" applyFont="1" applyBorder="1" applyAlignment="1">
      <alignment horizontal="center"/>
    </xf>
    <xf numFmtId="3" fontId="58" fillId="0" borderId="8" xfId="0" applyNumberFormat="1" applyFont="1" applyBorder="1" applyAlignment="1">
      <alignment horizontal="center"/>
    </xf>
    <xf numFmtId="4" fontId="58" fillId="0" borderId="8" xfId="0" applyNumberFormat="1" applyFont="1" applyBorder="1" applyAlignment="1">
      <alignment horizontal="center"/>
    </xf>
    <xf numFmtId="0" fontId="58" fillId="0" borderId="7" xfId="0" applyFont="1" applyBorder="1" applyAlignment="1">
      <alignment horizontal="center"/>
    </xf>
    <xf numFmtId="0" fontId="57" fillId="0" borderId="7" xfId="0" applyFont="1" applyBorder="1" applyAlignment="1">
      <alignment horizontal="center"/>
    </xf>
    <xf numFmtId="0" fontId="58" fillId="0" borderId="8" xfId="0" applyFont="1" applyBorder="1" applyAlignment="1">
      <alignment vertical="top"/>
    </xf>
    <xf numFmtId="0" fontId="57" fillId="0" borderId="0" xfId="0" applyFont="1" applyAlignment="1">
      <alignment horizontal="center"/>
    </xf>
    <xf numFmtId="0" fontId="58" fillId="0" borderId="14" xfId="0" applyFont="1" applyBorder="1" applyAlignment="1">
      <alignment vertical="top"/>
    </xf>
    <xf numFmtId="4" fontId="57" fillId="0" borderId="8" xfId="0" applyNumberFormat="1" applyFont="1" applyBorder="1" applyAlignment="1">
      <alignment horizontal="center"/>
    </xf>
    <xf numFmtId="0" fontId="58" fillId="0" borderId="7" xfId="0" applyFont="1" applyBorder="1" applyAlignment="1">
      <alignment vertical="top"/>
    </xf>
    <xf numFmtId="0" fontId="57" fillId="0" borderId="19" xfId="0" applyFont="1" applyBorder="1" applyAlignment="1">
      <alignment horizontal="center"/>
    </xf>
    <xf numFmtId="0" fontId="64" fillId="0" borderId="16" xfId="0" applyFont="1" applyBorder="1"/>
    <xf numFmtId="0" fontId="65" fillId="0" borderId="11" xfId="0" applyFont="1" applyBorder="1" applyAlignment="1">
      <alignment horizontal="center"/>
    </xf>
    <xf numFmtId="4" fontId="65" fillId="0" borderId="11" xfId="0" applyNumberFormat="1" applyFont="1" applyBorder="1" applyAlignment="1">
      <alignment horizontal="center"/>
    </xf>
    <xf numFmtId="0" fontId="8" fillId="2" borderId="13" xfId="0" applyFont="1" applyFill="1" applyBorder="1" applyAlignment="1">
      <alignment horizontal="center"/>
    </xf>
    <xf numFmtId="0" fontId="65" fillId="0" borderId="11" xfId="0" applyFont="1" applyBorder="1" applyAlignment="1">
      <alignment horizontal="right"/>
    </xf>
    <xf numFmtId="0" fontId="66" fillId="2" borderId="11" xfId="0" applyFont="1" applyFill="1" applyBorder="1" applyAlignment="1">
      <alignment horizontal="center"/>
    </xf>
    <xf numFmtId="0" fontId="65" fillId="0" borderId="11" xfId="0" applyFont="1" applyBorder="1"/>
    <xf numFmtId="0" fontId="8" fillId="2" borderId="11" xfId="0" applyFont="1" applyFill="1" applyBorder="1" applyAlignment="1">
      <alignment horizontal="center"/>
    </xf>
    <xf numFmtId="0" fontId="64" fillId="0" borderId="15" xfId="0" applyFont="1" applyBorder="1"/>
    <xf numFmtId="0" fontId="65" fillId="0" borderId="13" xfId="0" applyFont="1" applyBorder="1" applyAlignment="1">
      <alignment horizontal="center"/>
    </xf>
    <xf numFmtId="4" fontId="65" fillId="0" borderId="13" xfId="0" applyNumberFormat="1" applyFont="1" applyBorder="1" applyAlignment="1">
      <alignment horizontal="center"/>
    </xf>
    <xf numFmtId="0" fontId="65" fillId="0" borderId="13" xfId="0" applyFont="1" applyBorder="1" applyAlignment="1">
      <alignment horizontal="right"/>
    </xf>
    <xf numFmtId="0" fontId="66" fillId="2" borderId="13" xfId="0" applyFont="1" applyFill="1" applyBorder="1" applyAlignment="1">
      <alignment horizontal="center"/>
    </xf>
    <xf numFmtId="0" fontId="65" fillId="0" borderId="13" xfId="0" applyFont="1" applyBorder="1"/>
    <xf numFmtId="0" fontId="8" fillId="0" borderId="15" xfId="0" applyFont="1" applyBorder="1"/>
    <xf numFmtId="0" fontId="67" fillId="2" borderId="13" xfId="0" applyFont="1" applyFill="1" applyBorder="1" applyAlignment="1">
      <alignment horizontal="center"/>
    </xf>
    <xf numFmtId="0" fontId="44" fillId="0" borderId="13" xfId="0" applyFont="1" applyBorder="1" applyAlignment="1">
      <alignment horizontal="center"/>
    </xf>
    <xf numFmtId="0" fontId="67" fillId="2" borderId="13" xfId="0" applyFont="1" applyFill="1" applyBorder="1" applyAlignment="1">
      <alignment horizontal="right"/>
    </xf>
    <xf numFmtId="0" fontId="8" fillId="2" borderId="13" xfId="0" applyFont="1" applyFill="1" applyBorder="1" applyAlignment="1">
      <alignment horizontal="right"/>
    </xf>
    <xf numFmtId="0" fontId="44" fillId="0" borderId="13" xfId="0" applyFont="1" applyBorder="1" applyAlignment="1">
      <alignment horizontal="right"/>
    </xf>
    <xf numFmtId="0" fontId="68" fillId="0" borderId="16" xfId="0" applyFont="1" applyBorder="1" applyAlignment="1">
      <alignment horizontal="left"/>
    </xf>
    <xf numFmtId="0" fontId="68" fillId="0" borderId="21" xfId="0" applyFont="1" applyBorder="1" applyAlignment="1">
      <alignment horizontal="center"/>
    </xf>
    <xf numFmtId="0" fontId="68" fillId="0" borderId="15" xfId="0" applyFont="1" applyBorder="1" applyAlignment="1">
      <alignment horizontal="center"/>
    </xf>
    <xf numFmtId="0" fontId="68" fillId="0" borderId="13" xfId="0" applyFont="1" applyBorder="1" applyAlignment="1">
      <alignment horizontal="right"/>
    </xf>
    <xf numFmtId="4" fontId="68" fillId="0" borderId="13" xfId="0" applyNumberFormat="1" applyFont="1" applyBorder="1" applyAlignment="1">
      <alignment horizontal="center"/>
    </xf>
    <xf numFmtId="0" fontId="68" fillId="0" borderId="11" xfId="0" applyFont="1" applyBorder="1" applyAlignment="1">
      <alignment horizontal="center"/>
    </xf>
    <xf numFmtId="0" fontId="69" fillId="14" borderId="11" xfId="0" applyFont="1" applyFill="1" applyBorder="1" applyAlignment="1">
      <alignment horizontal="center"/>
    </xf>
    <xf numFmtId="0" fontId="68" fillId="0" borderId="12" xfId="0" applyFont="1" applyBorder="1" applyAlignment="1">
      <alignment horizontal="center"/>
    </xf>
    <xf numFmtId="0" fontId="69" fillId="14" borderId="16" xfId="0" applyFont="1" applyFill="1" applyBorder="1" applyAlignment="1">
      <alignment horizontal="center"/>
    </xf>
    <xf numFmtId="0" fontId="68" fillId="0" borderId="15" xfId="0" applyFont="1" applyBorder="1" applyAlignment="1">
      <alignment horizontal="left"/>
    </xf>
    <xf numFmtId="4" fontId="68" fillId="0" borderId="13" xfId="0" applyNumberFormat="1" applyFont="1" applyBorder="1" applyAlignment="1">
      <alignment horizontal="left"/>
    </xf>
    <xf numFmtId="0" fontId="68" fillId="0" borderId="13" xfId="0" applyFont="1" applyBorder="1" applyAlignment="1">
      <alignment horizontal="center"/>
    </xf>
    <xf numFmtId="0" fontId="69" fillId="14" borderId="13" xfId="0" applyFont="1" applyFill="1" applyBorder="1" applyAlignment="1">
      <alignment horizontal="center"/>
    </xf>
    <xf numFmtId="0" fontId="69" fillId="14" borderId="15" xfId="0" applyFont="1" applyFill="1" applyBorder="1" applyAlignment="1">
      <alignment horizontal="center"/>
    </xf>
    <xf numFmtId="4" fontId="68" fillId="0" borderId="13" xfId="0" applyNumberFormat="1" applyFont="1" applyBorder="1" applyAlignment="1">
      <alignment horizontal="right"/>
    </xf>
    <xf numFmtId="0" fontId="67" fillId="0" borderId="16" xfId="0" applyFont="1" applyBorder="1" applyAlignment="1">
      <alignment horizontal="left"/>
    </xf>
    <xf numFmtId="0" fontId="67" fillId="0" borderId="11" xfId="0" applyFont="1" applyBorder="1" applyAlignment="1">
      <alignment horizontal="center"/>
    </xf>
    <xf numFmtId="4" fontId="67" fillId="0" borderId="13" xfId="0" applyNumberFormat="1" applyFont="1" applyBorder="1" applyAlignment="1">
      <alignment horizontal="center"/>
    </xf>
    <xf numFmtId="0" fontId="70" fillId="0" borderId="11" xfId="0" applyFont="1" applyBorder="1" applyAlignment="1">
      <alignment horizontal="center"/>
    </xf>
    <xf numFmtId="0" fontId="67" fillId="0" borderId="15" xfId="0" applyFont="1" applyBorder="1" applyAlignment="1">
      <alignment horizontal="left"/>
    </xf>
    <xf numFmtId="0" fontId="67" fillId="0" borderId="13" xfId="0" applyFont="1" applyBorder="1" applyAlignment="1">
      <alignment horizontal="center"/>
    </xf>
    <xf numFmtId="0" fontId="67" fillId="0" borderId="13" xfId="0" applyFont="1" applyBorder="1" applyAlignment="1">
      <alignment horizontal="right"/>
    </xf>
    <xf numFmtId="3" fontId="21" fillId="0" borderId="13" xfId="0" applyNumberFormat="1" applyFont="1" applyBorder="1" applyAlignment="1">
      <alignment horizontal="right"/>
    </xf>
    <xf numFmtId="0" fontId="21" fillId="0" borderId="13" xfId="0" applyFont="1" applyBorder="1" applyAlignment="1">
      <alignment horizontal="center"/>
    </xf>
    <xf numFmtId="0" fontId="70" fillId="0" borderId="13" xfId="0" applyFont="1" applyBorder="1" applyAlignment="1">
      <alignment horizontal="center"/>
    </xf>
    <xf numFmtId="0" fontId="21" fillId="0" borderId="13" xfId="0" applyFont="1" applyBorder="1" applyAlignment="1">
      <alignment horizontal="right"/>
    </xf>
    <xf numFmtId="4" fontId="21" fillId="2" borderId="13" xfId="0" applyNumberFormat="1" applyFont="1" applyFill="1" applyBorder="1" applyAlignment="1">
      <alignment horizontal="right"/>
    </xf>
    <xf numFmtId="0" fontId="71" fillId="0" borderId="15" xfId="0" applyFont="1" applyBorder="1"/>
    <xf numFmtId="0" fontId="72" fillId="2" borderId="13" xfId="0" applyFont="1" applyFill="1" applyBorder="1" applyAlignment="1">
      <alignment horizontal="center"/>
    </xf>
    <xf numFmtId="0" fontId="71" fillId="0" borderId="13" xfId="0" applyFont="1" applyBorder="1" applyAlignment="1">
      <alignment horizontal="center"/>
    </xf>
    <xf numFmtId="4" fontId="71" fillId="0" borderId="13" xfId="0" applyNumberFormat="1" applyFont="1" applyBorder="1" applyAlignment="1">
      <alignment horizontal="center"/>
    </xf>
    <xf numFmtId="0" fontId="71" fillId="0" borderId="24" xfId="0" applyFont="1" applyBorder="1"/>
    <xf numFmtId="0" fontId="72" fillId="0" borderId="23" xfId="0" applyFont="1" applyBorder="1" applyAlignment="1">
      <alignment horizontal="center"/>
    </xf>
    <xf numFmtId="0" fontId="71" fillId="0" borderId="23" xfId="0" applyFont="1" applyBorder="1" applyAlignment="1">
      <alignment horizontal="center"/>
    </xf>
    <xf numFmtId="4" fontId="71" fillId="0" borderId="23" xfId="0" applyNumberFormat="1" applyFont="1" applyBorder="1" applyAlignment="1">
      <alignment horizontal="center"/>
    </xf>
    <xf numFmtId="4" fontId="39" fillId="0" borderId="11" xfId="0" applyNumberFormat="1" applyFont="1" applyBorder="1" applyAlignment="1">
      <alignment horizontal="center"/>
    </xf>
    <xf numFmtId="0" fontId="73" fillId="2" borderId="13" xfId="0" applyFont="1" applyFill="1" applyBorder="1" applyAlignment="1">
      <alignment horizontal="center"/>
    </xf>
    <xf numFmtId="0" fontId="39" fillId="0" borderId="11" xfId="0" applyFont="1" applyBorder="1"/>
    <xf numFmtId="0" fontId="74" fillId="2" borderId="11" xfId="0" applyFont="1" applyFill="1" applyBorder="1" applyAlignment="1">
      <alignment horizontal="center"/>
    </xf>
    <xf numFmtId="0" fontId="21" fillId="2" borderId="11" xfId="0" applyFont="1" applyFill="1" applyBorder="1" applyAlignment="1">
      <alignment horizontal="center"/>
    </xf>
    <xf numFmtId="0" fontId="21" fillId="0" borderId="11" xfId="0" applyFont="1" applyBorder="1" applyAlignment="1">
      <alignment horizontal="center"/>
    </xf>
    <xf numFmtId="4" fontId="39" fillId="0" borderId="13" xfId="0" applyNumberFormat="1" applyFont="1" applyBorder="1" applyAlignment="1">
      <alignment horizontal="center"/>
    </xf>
    <xf numFmtId="0" fontId="39" fillId="0" borderId="13" xfId="0" applyFont="1" applyBorder="1"/>
    <xf numFmtId="0" fontId="74" fillId="2" borderId="13" xfId="0" applyFont="1" applyFill="1" applyBorder="1" applyAlignment="1">
      <alignment horizontal="center"/>
    </xf>
    <xf numFmtId="0" fontId="21" fillId="2" borderId="13" xfId="0" applyFont="1" applyFill="1" applyBorder="1" applyAlignment="1">
      <alignment horizontal="center"/>
    </xf>
    <xf numFmtId="0" fontId="68" fillId="2" borderId="16" xfId="0" applyFont="1" applyFill="1" applyBorder="1" applyAlignment="1">
      <alignment horizontal="left"/>
    </xf>
    <xf numFmtId="0" fontId="68" fillId="2" borderId="11" xfId="0" applyFont="1" applyFill="1" applyBorder="1" applyAlignment="1">
      <alignment horizontal="center"/>
    </xf>
    <xf numFmtId="0" fontId="75" fillId="0" borderId="16" xfId="0" applyFont="1" applyBorder="1" applyAlignment="1">
      <alignment horizontal="center"/>
    </xf>
    <xf numFmtId="0" fontId="76" fillId="0" borderId="11" xfId="0" applyFont="1" applyBorder="1" applyAlignment="1">
      <alignment horizontal="center"/>
    </xf>
    <xf numFmtId="4" fontId="77" fillId="2" borderId="15" xfId="0" applyNumberFormat="1" applyFont="1" applyFill="1" applyBorder="1" applyAlignment="1">
      <alignment horizontal="center"/>
    </xf>
    <xf numFmtId="0" fontId="68" fillId="2" borderId="13" xfId="0" applyFont="1" applyFill="1" applyBorder="1" applyAlignment="1">
      <alignment horizontal="center"/>
    </xf>
    <xf numFmtId="0" fontId="78" fillId="2" borderId="16" xfId="0" applyFont="1" applyFill="1" applyBorder="1" applyAlignment="1">
      <alignment horizontal="center"/>
    </xf>
    <xf numFmtId="0" fontId="68" fillId="2" borderId="15" xfId="0" applyFont="1" applyFill="1" applyBorder="1" applyAlignment="1">
      <alignment horizontal="left"/>
    </xf>
    <xf numFmtId="0" fontId="75" fillId="0" borderId="15" xfId="0" applyFont="1" applyBorder="1" applyAlignment="1">
      <alignment horizontal="center"/>
    </xf>
    <xf numFmtId="0" fontId="76" fillId="0" borderId="13" xfId="0" applyFont="1" applyBorder="1" applyAlignment="1">
      <alignment horizontal="center"/>
    </xf>
    <xf numFmtId="0" fontId="79" fillId="0" borderId="16" xfId="0" applyFont="1" applyBorder="1"/>
    <xf numFmtId="0" fontId="79" fillId="0" borderId="11" xfId="0" applyFont="1" applyBorder="1" applyAlignment="1">
      <alignment horizontal="center"/>
    </xf>
    <xf numFmtId="4" fontId="79" fillId="0" borderId="11" xfId="0" applyNumberFormat="1" applyFont="1" applyBorder="1" applyAlignment="1">
      <alignment horizontal="center"/>
    </xf>
    <xf numFmtId="0" fontId="79" fillId="2" borderId="13" xfId="0" applyFont="1" applyFill="1" applyBorder="1" applyAlignment="1">
      <alignment horizontal="center"/>
    </xf>
    <xf numFmtId="0" fontId="79" fillId="2" borderId="11" xfId="0" applyFont="1" applyFill="1" applyBorder="1" applyAlignment="1">
      <alignment horizontal="center"/>
    </xf>
    <xf numFmtId="0" fontId="79" fillId="0" borderId="11" xfId="0" applyFont="1" applyBorder="1"/>
    <xf numFmtId="0" fontId="79" fillId="0" borderId="15" xfId="0" applyFont="1" applyBorder="1"/>
    <xf numFmtId="0" fontId="79" fillId="0" borderId="13" xfId="0" applyFont="1" applyBorder="1" applyAlignment="1">
      <alignment horizontal="center"/>
    </xf>
    <xf numFmtId="4" fontId="79" fillId="0" borderId="13" xfId="0" applyNumberFormat="1" applyFont="1" applyBorder="1" applyAlignment="1">
      <alignment horizontal="center"/>
    </xf>
    <xf numFmtId="0" fontId="79" fillId="0" borderId="13" xfId="0" applyFont="1" applyBorder="1"/>
    <xf numFmtId="0" fontId="79" fillId="2" borderId="15" xfId="0" applyFont="1" applyFill="1" applyBorder="1" applyAlignment="1">
      <alignment horizontal="left"/>
    </xf>
    <xf numFmtId="0" fontId="47" fillId="0" borderId="16" xfId="0" applyFont="1" applyBorder="1" applyAlignment="1">
      <alignment horizontal="center"/>
    </xf>
    <xf numFmtId="0" fontId="79" fillId="0" borderId="11" xfId="0" applyFont="1" applyBorder="1" applyAlignment="1">
      <alignment horizontal="right"/>
    </xf>
    <xf numFmtId="4" fontId="47" fillId="2" borderId="15" xfId="0" applyNumberFormat="1" applyFont="1" applyFill="1" applyBorder="1" applyAlignment="1">
      <alignment horizontal="center"/>
    </xf>
    <xf numFmtId="0" fontId="80" fillId="2" borderId="16" xfId="0" applyFont="1" applyFill="1" applyBorder="1" applyAlignment="1">
      <alignment horizontal="center"/>
    </xf>
    <xf numFmtId="0" fontId="47" fillId="0" borderId="15" xfId="0" applyFont="1" applyBorder="1" applyAlignment="1">
      <alignment horizontal="center"/>
    </xf>
    <xf numFmtId="0" fontId="79" fillId="0" borderId="13" xfId="0" applyFont="1" applyBorder="1" applyAlignment="1">
      <alignment horizontal="right"/>
    </xf>
    <xf numFmtId="0" fontId="39" fillId="0" borderId="11" xfId="0" applyFont="1" applyBorder="1" applyAlignment="1">
      <alignment horizontal="right"/>
    </xf>
    <xf numFmtId="0" fontId="39" fillId="0" borderId="13" xfId="0" applyFont="1" applyBorder="1" applyAlignment="1">
      <alignment horizontal="right"/>
    </xf>
    <xf numFmtId="0" fontId="81" fillId="0" borderId="13" xfId="0" applyFont="1" applyBorder="1" applyAlignment="1">
      <alignment horizontal="center"/>
    </xf>
    <xf numFmtId="0" fontId="39" fillId="0" borderId="23" xfId="0" applyFont="1" applyBorder="1" applyAlignment="1">
      <alignment horizontal="right"/>
    </xf>
    <xf numFmtId="0" fontId="74" fillId="2" borderId="23" xfId="0" applyFont="1" applyFill="1" applyBorder="1" applyAlignment="1">
      <alignment horizontal="center"/>
    </xf>
    <xf numFmtId="0" fontId="21" fillId="0" borderId="23" xfId="0" applyFont="1" applyBorder="1" applyAlignment="1">
      <alignment horizontal="center"/>
    </xf>
    <xf numFmtId="4" fontId="39" fillId="0" borderId="8" xfId="0" applyNumberFormat="1" applyFont="1" applyBorder="1" applyAlignment="1">
      <alignment horizontal="center"/>
    </xf>
    <xf numFmtId="0" fontId="39" fillId="0" borderId="8" xfId="0" applyFont="1" applyBorder="1" applyAlignment="1">
      <alignment horizontal="right"/>
    </xf>
    <xf numFmtId="0" fontId="74" fillId="2" borderId="8" xfId="0" applyFont="1" applyFill="1" applyBorder="1" applyAlignment="1">
      <alignment horizontal="center"/>
    </xf>
    <xf numFmtId="0" fontId="21" fillId="0" borderId="8" xfId="0" applyFont="1" applyBorder="1" applyAlignment="1">
      <alignment horizontal="center"/>
    </xf>
    <xf numFmtId="0" fontId="23" fillId="0" borderId="8" xfId="0" applyFont="1" applyBorder="1" applyAlignment="1">
      <alignment horizontal="center"/>
    </xf>
    <xf numFmtId="0" fontId="72" fillId="0" borderId="16" xfId="0" applyFont="1" applyBorder="1" applyAlignment="1">
      <alignment horizontal="left"/>
    </xf>
    <xf numFmtId="0" fontId="72" fillId="0" borderId="21" xfId="0" applyFont="1" applyBorder="1" applyAlignment="1">
      <alignment horizontal="center"/>
    </xf>
    <xf numFmtId="0" fontId="72" fillId="0" borderId="15" xfId="0" applyFont="1" applyBorder="1" applyAlignment="1">
      <alignment horizontal="center"/>
    </xf>
    <xf numFmtId="0" fontId="72" fillId="0" borderId="13" xfId="0" applyFont="1" applyBorder="1" applyAlignment="1">
      <alignment horizontal="right"/>
    </xf>
    <xf numFmtId="0" fontId="72" fillId="0" borderId="11" xfId="0" applyFont="1" applyBorder="1" applyAlignment="1">
      <alignment horizontal="left"/>
    </xf>
    <xf numFmtId="0" fontId="8" fillId="0" borderId="11" xfId="0" applyFont="1" applyBorder="1" applyAlignment="1">
      <alignment horizontal="center"/>
    </xf>
    <xf numFmtId="0" fontId="82" fillId="14" borderId="11" xfId="0" applyFont="1" applyFill="1" applyBorder="1" applyAlignment="1">
      <alignment horizontal="center"/>
    </xf>
    <xf numFmtId="0" fontId="8" fillId="0" borderId="12" xfId="0" applyFont="1" applyBorder="1" applyAlignment="1">
      <alignment horizontal="center"/>
    </xf>
    <xf numFmtId="0" fontId="72" fillId="0" borderId="12" xfId="0" applyFont="1" applyBorder="1" applyAlignment="1">
      <alignment horizontal="center"/>
    </xf>
    <xf numFmtId="0" fontId="82" fillId="14" borderId="16" xfId="0" applyFont="1" applyFill="1" applyBorder="1" applyAlignment="1">
      <alignment horizontal="center"/>
    </xf>
    <xf numFmtId="0" fontId="72" fillId="0" borderId="11" xfId="0" applyFont="1" applyBorder="1" applyAlignment="1">
      <alignment horizontal="center"/>
    </xf>
    <xf numFmtId="0" fontId="72" fillId="0" borderId="15" xfId="0" applyFont="1" applyBorder="1" applyAlignment="1">
      <alignment horizontal="left"/>
    </xf>
    <xf numFmtId="0" fontId="72" fillId="0" borderId="13" xfId="0" applyFont="1" applyBorder="1" applyAlignment="1">
      <alignment horizontal="left"/>
    </xf>
    <xf numFmtId="0" fontId="8" fillId="0" borderId="13" xfId="0" applyFont="1" applyBorder="1" applyAlignment="1">
      <alignment horizontal="center"/>
    </xf>
    <xf numFmtId="0" fontId="82" fillId="14" borderId="13" xfId="0" applyFont="1" applyFill="1" applyBorder="1" applyAlignment="1">
      <alignment horizontal="center"/>
    </xf>
    <xf numFmtId="0" fontId="82" fillId="14" borderId="15" xfId="0" applyFont="1" applyFill="1" applyBorder="1" applyAlignment="1">
      <alignment horizontal="center"/>
    </xf>
    <xf numFmtId="0" fontId="72" fillId="0" borderId="13" xfId="0" applyFont="1" applyBorder="1" applyAlignment="1">
      <alignment horizontal="center"/>
    </xf>
    <xf numFmtId="4" fontId="72" fillId="0" borderId="13" xfId="0" applyNumberFormat="1" applyFont="1" applyBorder="1" applyAlignment="1">
      <alignment horizontal="left"/>
    </xf>
    <xf numFmtId="0" fontId="72" fillId="2" borderId="21" xfId="0" applyFont="1" applyFill="1" applyBorder="1" applyAlignment="1">
      <alignment horizontal="center"/>
    </xf>
    <xf numFmtId="4" fontId="72" fillId="0" borderId="13" xfId="0" applyNumberFormat="1" applyFont="1" applyBorder="1" applyAlignment="1">
      <alignment horizontal="right"/>
    </xf>
    <xf numFmtId="0" fontId="8" fillId="0" borderId="16" xfId="0" applyFont="1" applyBorder="1" applyAlignment="1">
      <alignment horizontal="left"/>
    </xf>
    <xf numFmtId="4" fontId="83" fillId="0" borderId="13" xfId="0" applyNumberFormat="1" applyFont="1" applyBorder="1" applyAlignment="1">
      <alignment horizontal="center"/>
    </xf>
    <xf numFmtId="0" fontId="73" fillId="0" borderId="13" xfId="0" applyFont="1" applyBorder="1" applyAlignment="1">
      <alignment horizontal="center"/>
    </xf>
    <xf numFmtId="0" fontId="8" fillId="12" borderId="11" xfId="0" applyFont="1" applyFill="1" applyBorder="1" applyAlignment="1">
      <alignment horizontal="center"/>
    </xf>
    <xf numFmtId="0" fontId="73" fillId="0" borderId="11" xfId="0" applyFont="1" applyBorder="1" applyAlignment="1">
      <alignment horizontal="center"/>
    </xf>
    <xf numFmtId="0" fontId="8" fillId="0" borderId="15" xfId="0" applyFont="1" applyBorder="1" applyAlignment="1">
      <alignment horizontal="left"/>
    </xf>
    <xf numFmtId="0" fontId="8" fillId="12" borderId="13" xfId="0" applyFont="1" applyFill="1" applyBorder="1" applyAlignment="1">
      <alignment horizontal="center"/>
    </xf>
    <xf numFmtId="0" fontId="84" fillId="0" borderId="16" xfId="0" applyFont="1" applyBorder="1"/>
    <xf numFmtId="0" fontId="84" fillId="0" borderId="11" xfId="0" applyFont="1" applyBorder="1" applyAlignment="1">
      <alignment horizontal="center"/>
    </xf>
    <xf numFmtId="4" fontId="84" fillId="0" borderId="11" xfId="0" applyNumberFormat="1" applyFont="1" applyBorder="1" applyAlignment="1">
      <alignment horizontal="right"/>
    </xf>
    <xf numFmtId="0" fontId="84" fillId="0" borderId="15" xfId="0" applyFont="1" applyBorder="1"/>
    <xf numFmtId="0" fontId="84" fillId="0" borderId="13" xfId="0" applyFont="1" applyBorder="1" applyAlignment="1">
      <alignment horizontal="center"/>
    </xf>
    <xf numFmtId="0" fontId="84" fillId="0" borderId="13" xfId="0" applyFont="1" applyBorder="1" applyAlignment="1">
      <alignment horizontal="right"/>
    </xf>
    <xf numFmtId="4" fontId="84" fillId="0" borderId="13" xfId="0" applyNumberFormat="1" applyFont="1" applyBorder="1" applyAlignment="1">
      <alignment horizontal="right"/>
    </xf>
    <xf numFmtId="0" fontId="84" fillId="0" borderId="24" xfId="0" applyFont="1" applyBorder="1"/>
    <xf numFmtId="0" fontId="84" fillId="0" borderId="23" xfId="0" applyFont="1" applyBorder="1" applyAlignment="1">
      <alignment horizontal="center"/>
    </xf>
    <xf numFmtId="0" fontId="84" fillId="0" borderId="14" xfId="0" applyFont="1" applyBorder="1"/>
    <xf numFmtId="0" fontId="84" fillId="0" borderId="8" xfId="0" applyFont="1" applyBorder="1" applyAlignment="1">
      <alignment horizontal="center"/>
    </xf>
    <xf numFmtId="4" fontId="84" fillId="0" borderId="23" xfId="0" applyNumberFormat="1" applyFont="1" applyBorder="1" applyAlignment="1">
      <alignment horizontal="right"/>
    </xf>
    <xf numFmtId="0" fontId="84" fillId="0" borderId="8" xfId="0" applyFont="1" applyBorder="1" applyAlignment="1">
      <alignment horizontal="right"/>
    </xf>
    <xf numFmtId="0" fontId="84" fillId="0" borderId="16" xfId="0" applyFont="1" applyBorder="1" applyAlignment="1">
      <alignment horizontal="center"/>
    </xf>
    <xf numFmtId="4" fontId="84" fillId="0" borderId="11" xfId="0" applyNumberFormat="1" applyFont="1" applyBorder="1"/>
    <xf numFmtId="4" fontId="84" fillId="0" borderId="13" xfId="0" applyNumberFormat="1" applyFont="1" applyBorder="1"/>
    <xf numFmtId="0" fontId="84" fillId="0" borderId="15" xfId="0" applyFont="1" applyBorder="1" applyAlignment="1">
      <alignment horizontal="center"/>
    </xf>
    <xf numFmtId="0" fontId="84" fillId="0" borderId="16" xfId="0" applyFont="1" applyBorder="1" applyAlignment="1">
      <alignment vertical="top"/>
    </xf>
    <xf numFmtId="0" fontId="50" fillId="0" borderId="14" xfId="0" applyFont="1" applyBorder="1"/>
    <xf numFmtId="0" fontId="21" fillId="0" borderId="11" xfId="0" applyFont="1" applyBorder="1" applyAlignment="1">
      <alignment horizontal="right"/>
    </xf>
    <xf numFmtId="0" fontId="21" fillId="0" borderId="11" xfId="0" applyFont="1" applyBorder="1"/>
    <xf numFmtId="0" fontId="21" fillId="0" borderId="13" xfId="0" applyFont="1" applyBorder="1"/>
    <xf numFmtId="4" fontId="21" fillId="0" borderId="13" xfId="0" applyNumberFormat="1" applyFont="1" applyBorder="1" applyAlignment="1">
      <alignment horizontal="right"/>
    </xf>
    <xf numFmtId="0" fontId="21" fillId="0" borderId="16" xfId="0" applyFont="1" applyBorder="1" applyAlignment="1">
      <alignment horizontal="left"/>
    </xf>
    <xf numFmtId="0" fontId="21" fillId="0" borderId="15" xfId="0" applyFont="1" applyBorder="1" applyAlignment="1">
      <alignment horizontal="left"/>
    </xf>
    <xf numFmtId="0" fontId="85" fillId="0" borderId="24" xfId="0" applyFont="1" applyBorder="1" applyAlignment="1">
      <alignment horizontal="center"/>
    </xf>
    <xf numFmtId="0" fontId="85" fillId="0" borderId="0" xfId="0" applyFont="1" applyAlignment="1">
      <alignment horizontal="center"/>
    </xf>
    <xf numFmtId="0" fontId="85" fillId="0" borderId="23" xfId="0" applyFont="1" applyBorder="1" applyAlignment="1">
      <alignment horizontal="center"/>
    </xf>
    <xf numFmtId="0" fontId="68" fillId="0" borderId="13" xfId="0" applyFont="1" applyBorder="1" applyAlignment="1">
      <alignment wrapText="1"/>
    </xf>
    <xf numFmtId="0" fontId="24" fillId="0" borderId="11" xfId="0" applyFont="1" applyBorder="1" applyAlignment="1">
      <alignment horizontal="center"/>
    </xf>
    <xf numFmtId="4" fontId="50" fillId="0" borderId="11" xfId="0" applyNumberFormat="1" applyFont="1" applyBorder="1" applyAlignment="1">
      <alignment horizontal="right"/>
    </xf>
    <xf numFmtId="0" fontId="50" fillId="0" borderId="11" xfId="0" applyFont="1" applyBorder="1"/>
    <xf numFmtId="4" fontId="50" fillId="0" borderId="11" xfId="0" applyNumberFormat="1" applyFont="1" applyBorder="1"/>
    <xf numFmtId="0" fontId="24" fillId="0" borderId="13" xfId="0" applyFont="1" applyBorder="1" applyAlignment="1">
      <alignment horizontal="center"/>
    </xf>
    <xf numFmtId="4" fontId="50" fillId="0" borderId="13" xfId="0" applyNumberFormat="1" applyFont="1" applyBorder="1" applyAlignment="1">
      <alignment horizontal="right"/>
    </xf>
    <xf numFmtId="0" fontId="50" fillId="0" borderId="13" xfId="0" applyFont="1" applyBorder="1"/>
    <xf numFmtId="4" fontId="50" fillId="0" borderId="13" xfId="0" applyNumberFormat="1" applyFont="1" applyBorder="1"/>
    <xf numFmtId="0" fontId="68" fillId="0" borderId="11" xfId="0" applyFont="1" applyBorder="1" applyAlignment="1">
      <alignment wrapText="1"/>
    </xf>
    <xf numFmtId="0" fontId="50" fillId="0" borderId="11" xfId="0" applyFont="1" applyBorder="1" applyAlignment="1">
      <alignment wrapText="1"/>
    </xf>
    <xf numFmtId="0" fontId="53" fillId="0" borderId="11" xfId="0" applyFont="1" applyBorder="1" applyAlignment="1">
      <alignment horizontal="center"/>
    </xf>
    <xf numFmtId="4" fontId="48" fillId="0" borderId="11" xfId="0" applyNumberFormat="1" applyFont="1" applyBorder="1"/>
    <xf numFmtId="4" fontId="48" fillId="0" borderId="11" xfId="0" applyNumberFormat="1" applyFont="1" applyBorder="1" applyAlignment="1">
      <alignment horizontal="center"/>
    </xf>
    <xf numFmtId="0" fontId="48" fillId="0" borderId="11" xfId="0" applyFont="1" applyBorder="1"/>
    <xf numFmtId="0" fontId="48" fillId="0" borderId="16" xfId="0" applyFont="1" applyBorder="1" applyAlignment="1">
      <alignment horizontal="center"/>
    </xf>
    <xf numFmtId="4" fontId="48" fillId="0" borderId="13" xfId="0" applyNumberFormat="1" applyFont="1" applyBorder="1"/>
    <xf numFmtId="4" fontId="48" fillId="0" borderId="13" xfId="0" applyNumberFormat="1" applyFont="1" applyBorder="1" applyAlignment="1">
      <alignment horizontal="center"/>
    </xf>
    <xf numFmtId="0" fontId="48" fillId="0" borderId="13" xfId="0" applyFont="1" applyBorder="1"/>
    <xf numFmtId="0" fontId="50" fillId="0" borderId="23" xfId="0" applyFont="1" applyBorder="1" applyAlignment="1">
      <alignment wrapText="1"/>
    </xf>
    <xf numFmtId="0" fontId="48" fillId="0" borderId="11" xfId="0" applyFont="1" applyBorder="1" applyAlignment="1">
      <alignment horizontal="left" wrapText="1"/>
    </xf>
    <xf numFmtId="0" fontId="48" fillId="0" borderId="11" xfId="0" applyFont="1" applyBorder="1" applyAlignment="1">
      <alignment horizontal="right"/>
    </xf>
    <xf numFmtId="0" fontId="48" fillId="0" borderId="13" xfId="0" applyFont="1" applyBorder="1" applyAlignment="1">
      <alignment horizontal="left" wrapText="1"/>
    </xf>
    <xf numFmtId="0" fontId="48" fillId="0" borderId="13" xfId="0" applyFont="1" applyBorder="1" applyAlignment="1">
      <alignment horizontal="right"/>
    </xf>
    <xf numFmtId="4" fontId="48" fillId="0" borderId="13" xfId="0" applyNumberFormat="1" applyFont="1" applyBorder="1" applyAlignment="1">
      <alignment horizontal="right"/>
    </xf>
    <xf numFmtId="0" fontId="48" fillId="0" borderId="11" xfId="0" applyFont="1" applyBorder="1" applyAlignment="1">
      <alignment wrapText="1"/>
    </xf>
    <xf numFmtId="4" fontId="48" fillId="0" borderId="11" xfId="0" applyNumberFormat="1" applyFont="1" applyBorder="1" applyAlignment="1">
      <alignment horizontal="right"/>
    </xf>
    <xf numFmtId="0" fontId="48" fillId="0" borderId="13" xfId="0" applyFont="1" applyBorder="1" applyAlignment="1">
      <alignment wrapText="1"/>
    </xf>
    <xf numFmtId="0" fontId="17" fillId="0" borderId="0" xfId="0" applyFont="1" applyAlignment="1">
      <alignment wrapText="1"/>
    </xf>
    <xf numFmtId="0" fontId="38" fillId="0" borderId="16" xfId="0" applyFont="1" applyBorder="1" applyAlignment="1">
      <alignment horizontal="left" vertical="top"/>
    </xf>
    <xf numFmtId="0" fontId="38" fillId="0" borderId="11" xfId="0" applyFont="1" applyBorder="1" applyAlignment="1">
      <alignment horizontal="center" vertical="top"/>
    </xf>
    <xf numFmtId="0" fontId="21" fillId="0" borderId="0" xfId="0" applyFont="1"/>
    <xf numFmtId="0" fontId="65" fillId="0" borderId="15" xfId="0" applyFont="1" applyBorder="1" applyAlignment="1">
      <alignment horizontal="left" vertical="top"/>
    </xf>
    <xf numFmtId="0" fontId="65" fillId="0" borderId="13" xfId="0" applyFont="1" applyBorder="1" applyAlignment="1">
      <alignment horizontal="left" vertical="top"/>
    </xf>
    <xf numFmtId="0" fontId="65" fillId="0" borderId="13" xfId="0" applyFont="1" applyBorder="1" applyAlignment="1">
      <alignment horizontal="center" vertical="top"/>
    </xf>
    <xf numFmtId="0" fontId="21" fillId="0" borderId="13" xfId="0" applyFont="1" applyBorder="1" applyAlignment="1">
      <alignment horizontal="left" vertical="top"/>
    </xf>
    <xf numFmtId="0" fontId="65" fillId="20" borderId="15" xfId="0" applyFont="1" applyFill="1" applyBorder="1" applyAlignment="1">
      <alignment horizontal="left" vertical="top"/>
    </xf>
    <xf numFmtId="0" fontId="65" fillId="20" borderId="13" xfId="0" applyFont="1" applyFill="1" applyBorder="1" applyAlignment="1">
      <alignment horizontal="left" vertical="top"/>
    </xf>
    <xf numFmtId="0" fontId="65" fillId="20" borderId="13" xfId="0" applyFont="1" applyFill="1" applyBorder="1" applyAlignment="1">
      <alignment horizontal="center" vertical="top"/>
    </xf>
    <xf numFmtId="0" fontId="21" fillId="20" borderId="13" xfId="0" applyFont="1" applyFill="1" applyBorder="1" applyAlignment="1">
      <alignment horizontal="left" vertical="top"/>
    </xf>
    <xf numFmtId="3" fontId="65" fillId="0" borderId="13" xfId="0" applyNumberFormat="1" applyFont="1" applyBorder="1" applyAlignment="1">
      <alignment horizontal="center" vertical="top"/>
    </xf>
    <xf numFmtId="0" fontId="21" fillId="0" borderId="13" xfId="0" applyFont="1" applyBorder="1" applyAlignment="1">
      <alignment horizontal="center" vertical="top"/>
    </xf>
    <xf numFmtId="4" fontId="65" fillId="20" borderId="13" xfId="0" applyNumberFormat="1" applyFont="1" applyFill="1" applyBorder="1" applyAlignment="1">
      <alignment horizontal="left" vertical="top"/>
    </xf>
    <xf numFmtId="0" fontId="65" fillId="20" borderId="16" xfId="0" applyFont="1" applyFill="1" applyBorder="1" applyAlignment="1">
      <alignment horizontal="left" vertical="top"/>
    </xf>
    <xf numFmtId="0" fontId="65" fillId="20" borderId="11" xfId="0" applyFont="1" applyFill="1" applyBorder="1" applyAlignment="1">
      <alignment horizontal="left" vertical="top"/>
    </xf>
    <xf numFmtId="0" fontId="65" fillId="20" borderId="11" xfId="0" applyFont="1" applyFill="1" applyBorder="1" applyAlignment="1">
      <alignment horizontal="center" vertical="top"/>
    </xf>
    <xf numFmtId="0" fontId="21" fillId="20" borderId="11" xfId="0" applyFont="1" applyFill="1" applyBorder="1" applyAlignment="1">
      <alignment horizontal="left" vertical="top"/>
    </xf>
    <xf numFmtId="4" fontId="65" fillId="0" borderId="13" xfId="0" applyNumberFormat="1" applyFont="1" applyBorder="1" applyAlignment="1">
      <alignment horizontal="left" vertical="top"/>
    </xf>
    <xf numFmtId="4" fontId="65" fillId="0" borderId="13" xfId="0" applyNumberFormat="1" applyFont="1" applyBorder="1" applyAlignment="1">
      <alignment horizontal="center" vertical="top"/>
    </xf>
    <xf numFmtId="0" fontId="65" fillId="0" borderId="16" xfId="0" applyFont="1" applyBorder="1" applyAlignment="1">
      <alignment horizontal="left" vertical="top"/>
    </xf>
    <xf numFmtId="0" fontId="65" fillId="0" borderId="11" xfId="0" applyFont="1" applyBorder="1" applyAlignment="1">
      <alignment horizontal="left" vertical="top"/>
    </xf>
    <xf numFmtId="0" fontId="65" fillId="0" borderId="11" xfId="0" applyFont="1" applyBorder="1" applyAlignment="1">
      <alignment horizontal="center" vertical="top"/>
    </xf>
    <xf numFmtId="4" fontId="65" fillId="0" borderId="11" xfId="0" applyNumberFormat="1" applyFont="1" applyBorder="1" applyAlignment="1">
      <alignment horizontal="left" vertical="top"/>
    </xf>
    <xf numFmtId="0" fontId="21" fillId="0" borderId="11" xfId="0" applyFont="1" applyBorder="1" applyAlignment="1">
      <alignment horizontal="left" vertical="top"/>
    </xf>
    <xf numFmtId="0" fontId="21" fillId="0" borderId="11" xfId="0" applyFont="1" applyBorder="1" applyAlignment="1">
      <alignment horizontal="center" vertical="top"/>
    </xf>
    <xf numFmtId="4" fontId="65" fillId="20" borderId="11" xfId="0" applyNumberFormat="1" applyFont="1" applyFill="1" applyBorder="1" applyAlignment="1">
      <alignment horizontal="left" vertical="top"/>
    </xf>
    <xf numFmtId="0" fontId="88" fillId="0" borderId="13" xfId="0" applyFont="1" applyBorder="1" applyAlignment="1">
      <alignment horizontal="left"/>
    </xf>
    <xf numFmtId="0" fontId="88" fillId="0" borderId="13" xfId="0" applyFont="1" applyBorder="1" applyAlignment="1">
      <alignment horizontal="center"/>
    </xf>
    <xf numFmtId="0" fontId="37" fillId="0" borderId="13" xfId="0" applyFont="1" applyBorder="1"/>
    <xf numFmtId="0" fontId="89" fillId="21" borderId="0" xfId="0" applyFont="1" applyFill="1"/>
    <xf numFmtId="0" fontId="89" fillId="21" borderId="0" xfId="0" applyFont="1" applyFill="1" applyAlignment="1">
      <alignment horizontal="center"/>
    </xf>
    <xf numFmtId="0" fontId="37" fillId="0" borderId="11" xfId="0" applyFont="1" applyBorder="1" applyAlignment="1">
      <alignment horizontal="left"/>
    </xf>
    <xf numFmtId="0" fontId="37" fillId="0" borderId="11" xfId="0" applyFont="1" applyBorder="1"/>
    <xf numFmtId="0" fontId="37" fillId="0" borderId="13" xfId="0" applyFont="1" applyBorder="1" applyAlignment="1">
      <alignment horizontal="left"/>
    </xf>
    <xf numFmtId="0" fontId="88" fillId="22" borderId="13" xfId="0" applyFont="1" applyFill="1" applyBorder="1"/>
    <xf numFmtId="0" fontId="88" fillId="22" borderId="13" xfId="0" applyFont="1" applyFill="1" applyBorder="1" applyAlignment="1">
      <alignment horizontal="left"/>
    </xf>
    <xf numFmtId="0" fontId="88" fillId="22" borderId="13" xfId="0" applyFont="1" applyFill="1" applyBorder="1" applyAlignment="1">
      <alignment horizontal="center"/>
    </xf>
    <xf numFmtId="0" fontId="37" fillId="0" borderId="0" xfId="0" applyFont="1" applyAlignment="1">
      <alignment horizontal="left"/>
    </xf>
    <xf numFmtId="0" fontId="37" fillId="0" borderId="0" xfId="0" applyFont="1" applyAlignment="1">
      <alignment horizontal="center"/>
    </xf>
    <xf numFmtId="0" fontId="37" fillId="0" borderId="0" xfId="0" applyFont="1"/>
    <xf numFmtId="0" fontId="37" fillId="0" borderId="10" xfId="0" applyFont="1" applyBorder="1" applyAlignment="1">
      <alignment horizontal="left"/>
    </xf>
    <xf numFmtId="0" fontId="37" fillId="0" borderId="21" xfId="0" applyFont="1" applyBorder="1" applyAlignment="1">
      <alignment horizontal="left"/>
    </xf>
    <xf numFmtId="0" fontId="37" fillId="0" borderId="14" xfId="0" applyFont="1" applyBorder="1" applyAlignment="1">
      <alignment horizontal="center"/>
    </xf>
    <xf numFmtId="0" fontId="37" fillId="0" borderId="8" xfId="0" applyFont="1" applyBorder="1" applyAlignment="1">
      <alignment horizontal="center"/>
    </xf>
    <xf numFmtId="0" fontId="37" fillId="0" borderId="8" xfId="0" applyFont="1" applyBorder="1"/>
    <xf numFmtId="0" fontId="37" fillId="0" borderId="23" xfId="0" applyFont="1" applyBorder="1"/>
    <xf numFmtId="0" fontId="37" fillId="0" borderId="23" xfId="0" applyFont="1" applyBorder="1" applyAlignment="1">
      <alignment horizontal="center"/>
    </xf>
    <xf numFmtId="0" fontId="88" fillId="22" borderId="11" xfId="0" applyFont="1" applyFill="1" applyBorder="1"/>
    <xf numFmtId="0" fontId="88" fillId="22" borderId="11" xfId="0" applyFont="1" applyFill="1" applyBorder="1" applyAlignment="1">
      <alignment horizontal="left"/>
    </xf>
    <xf numFmtId="0" fontId="88" fillId="22" borderId="11" xfId="0" applyFont="1" applyFill="1" applyBorder="1" applyAlignment="1">
      <alignment horizontal="center"/>
    </xf>
    <xf numFmtId="0" fontId="88" fillId="22" borderId="16" xfId="0" applyFont="1" applyFill="1" applyBorder="1"/>
    <xf numFmtId="0" fontId="21" fillId="0" borderId="0" xfId="0" applyFont="1" applyAlignment="1">
      <alignment horizontal="left"/>
    </xf>
    <xf numFmtId="0" fontId="21" fillId="0" borderId="0" xfId="0" applyFont="1" applyAlignment="1">
      <alignment horizontal="center"/>
    </xf>
    <xf numFmtId="0" fontId="1" fillId="0" borderId="0" xfId="0" applyFont="1" applyAlignment="1">
      <alignment horizontal="right"/>
    </xf>
    <xf numFmtId="0" fontId="90" fillId="0" borderId="0" xfId="0" applyFont="1" applyAlignment="1">
      <alignment horizontal="center"/>
    </xf>
    <xf numFmtId="0" fontId="21" fillId="0" borderId="0" xfId="0" applyFont="1" applyAlignment="1">
      <alignment horizontal="right"/>
    </xf>
    <xf numFmtId="0" fontId="21" fillId="0" borderId="0" xfId="0" applyFont="1" applyAlignment="1">
      <alignment horizontal="center" wrapText="1"/>
    </xf>
    <xf numFmtId="0" fontId="21" fillId="23" borderId="15" xfId="0" applyFont="1" applyFill="1" applyBorder="1" applyAlignment="1">
      <alignment horizontal="center" vertical="center"/>
    </xf>
    <xf numFmtId="0" fontId="21" fillId="23" borderId="13" xfId="0" applyFont="1" applyFill="1" applyBorder="1" applyAlignment="1">
      <alignment horizontal="left" vertical="center" wrapText="1"/>
    </xf>
    <xf numFmtId="0" fontId="21" fillId="23" borderId="13" xfId="0" applyFont="1" applyFill="1" applyBorder="1" applyAlignment="1">
      <alignment horizontal="center" vertical="center"/>
    </xf>
    <xf numFmtId="4" fontId="21" fillId="23" borderId="13" xfId="0" applyNumberFormat="1" applyFont="1" applyFill="1" applyBorder="1" applyAlignment="1">
      <alignment horizontal="right" vertical="center"/>
    </xf>
    <xf numFmtId="0" fontId="54" fillId="0" borderId="13" xfId="0" applyFont="1" applyBorder="1" applyAlignment="1">
      <alignment horizontal="center" vertical="center"/>
    </xf>
    <xf numFmtId="0" fontId="21" fillId="24" borderId="15" xfId="0" applyFont="1" applyFill="1" applyBorder="1" applyAlignment="1">
      <alignment horizontal="center" vertical="center"/>
    </xf>
    <xf numFmtId="0" fontId="21" fillId="24" borderId="13" xfId="0" applyFont="1" applyFill="1" applyBorder="1" applyAlignment="1">
      <alignment horizontal="left" vertical="center" wrapText="1"/>
    </xf>
    <xf numFmtId="0" fontId="21" fillId="24" borderId="13" xfId="0" applyFont="1" applyFill="1" applyBorder="1" applyAlignment="1">
      <alignment horizontal="center" vertical="center"/>
    </xf>
    <xf numFmtId="4" fontId="21" fillId="24" borderId="13" xfId="0" applyNumberFormat="1" applyFont="1" applyFill="1" applyBorder="1" applyAlignment="1">
      <alignment horizontal="right" vertical="center"/>
    </xf>
    <xf numFmtId="0" fontId="91" fillId="24" borderId="13" xfId="0" applyFont="1" applyFill="1" applyBorder="1" applyAlignment="1">
      <alignment horizontal="center" vertical="center"/>
    </xf>
    <xf numFmtId="0" fontId="21" fillId="25" borderId="15" xfId="0" applyFont="1" applyFill="1" applyBorder="1" applyAlignment="1">
      <alignment horizontal="center" vertical="center"/>
    </xf>
    <xf numFmtId="0" fontId="21" fillId="25" borderId="13" xfId="0" applyFont="1" applyFill="1" applyBorder="1" applyAlignment="1">
      <alignment horizontal="left" vertical="center" wrapText="1"/>
    </xf>
    <xf numFmtId="0" fontId="21" fillId="25" borderId="13" xfId="0" applyFont="1" applyFill="1" applyBorder="1" applyAlignment="1">
      <alignment horizontal="center" vertical="center"/>
    </xf>
    <xf numFmtId="4" fontId="21" fillId="25" borderId="13" xfId="0" applyNumberFormat="1" applyFont="1" applyFill="1" applyBorder="1" applyAlignment="1">
      <alignment horizontal="right" vertical="center"/>
    </xf>
    <xf numFmtId="0" fontId="54" fillId="25" borderId="13" xfId="0" applyFont="1" applyFill="1" applyBorder="1" applyAlignment="1">
      <alignment horizontal="center" vertical="center"/>
    </xf>
    <xf numFmtId="0" fontId="23" fillId="0" borderId="13" xfId="0" applyFont="1" applyBorder="1" applyAlignment="1">
      <alignment horizontal="right" vertical="center"/>
    </xf>
    <xf numFmtId="4" fontId="21" fillId="0" borderId="0" xfId="0" applyNumberFormat="1" applyFont="1" applyAlignment="1">
      <alignment horizontal="right" vertical="center"/>
    </xf>
    <xf numFmtId="4" fontId="21" fillId="0" borderId="11" xfId="0" applyNumberFormat="1" applyFont="1" applyBorder="1" applyAlignment="1">
      <alignment horizontal="right" vertical="center"/>
    </xf>
    <xf numFmtId="0" fontId="92" fillId="24" borderId="13" xfId="0" applyFont="1" applyFill="1" applyBorder="1" applyAlignment="1">
      <alignment horizontal="center" vertical="center"/>
    </xf>
    <xf numFmtId="0" fontId="93" fillId="0" borderId="16" xfId="0" applyFont="1" applyBorder="1" applyAlignment="1">
      <alignment horizontal="left" vertical="center"/>
    </xf>
    <xf numFmtId="0" fontId="93" fillId="0" borderId="16" xfId="0" applyFont="1" applyBorder="1" applyAlignment="1">
      <alignment horizontal="center" vertical="center"/>
    </xf>
    <xf numFmtId="4" fontId="93" fillId="0" borderId="16" xfId="0" applyNumberFormat="1" applyFont="1" applyBorder="1" applyAlignment="1">
      <alignment horizontal="right" vertical="center"/>
    </xf>
    <xf numFmtId="0" fontId="93" fillId="0" borderId="15" xfId="0" applyFont="1" applyBorder="1" applyAlignment="1">
      <alignment horizontal="left" vertical="center"/>
    </xf>
    <xf numFmtId="0" fontId="93" fillId="0" borderId="15" xfId="0" applyFont="1" applyBorder="1" applyAlignment="1">
      <alignment horizontal="center" vertical="center"/>
    </xf>
    <xf numFmtId="4" fontId="93" fillId="0" borderId="15" xfId="0" applyNumberFormat="1" applyFont="1" applyBorder="1" applyAlignment="1">
      <alignment horizontal="right" vertical="center"/>
    </xf>
    <xf numFmtId="0" fontId="94" fillId="0" borderId="15" xfId="0" applyFont="1" applyBorder="1" applyAlignment="1">
      <alignment horizontal="center" vertical="center"/>
    </xf>
    <xf numFmtId="4" fontId="94" fillId="0" borderId="15" xfId="0" applyNumberFormat="1" applyFont="1" applyBorder="1" applyAlignment="1">
      <alignment horizontal="right" vertical="center"/>
    </xf>
    <xf numFmtId="0" fontId="94" fillId="0" borderId="15" xfId="0" applyFont="1" applyBorder="1" applyAlignment="1">
      <alignment horizontal="left" vertical="center"/>
    </xf>
    <xf numFmtId="0" fontId="93" fillId="24" borderId="15" xfId="0" applyFont="1" applyFill="1" applyBorder="1" applyAlignment="1">
      <alignment horizontal="left" vertical="center"/>
    </xf>
    <xf numFmtId="0" fontId="93" fillId="24" borderId="15" xfId="0" applyFont="1" applyFill="1" applyBorder="1" applyAlignment="1">
      <alignment horizontal="center" vertical="center"/>
    </xf>
    <xf numFmtId="4" fontId="94" fillId="24" borderId="15" xfId="0" applyNumberFormat="1" applyFont="1" applyFill="1" applyBorder="1" applyAlignment="1">
      <alignment horizontal="right" vertical="center"/>
    </xf>
    <xf numFmtId="0" fontId="94" fillId="24" borderId="15" xfId="0" applyFont="1" applyFill="1" applyBorder="1" applyAlignment="1">
      <alignment horizontal="center" vertical="center"/>
    </xf>
    <xf numFmtId="4" fontId="93" fillId="24" borderId="15" xfId="0" applyNumberFormat="1" applyFont="1" applyFill="1" applyBorder="1" applyAlignment="1">
      <alignment horizontal="right" vertical="center"/>
    </xf>
    <xf numFmtId="0" fontId="93" fillId="0" borderId="15" xfId="0" applyFont="1" applyBorder="1" applyAlignment="1">
      <alignment horizontal="left" vertical="center" wrapText="1"/>
    </xf>
    <xf numFmtId="0" fontId="95" fillId="0" borderId="16" xfId="0" applyFont="1" applyBorder="1" applyAlignment="1">
      <alignment horizontal="left" vertical="center"/>
    </xf>
    <xf numFmtId="0" fontId="95" fillId="0" borderId="16" xfId="0" applyFont="1" applyBorder="1" applyAlignment="1">
      <alignment horizontal="center" vertical="center"/>
    </xf>
    <xf numFmtId="4" fontId="95" fillId="0" borderId="16" xfId="0" applyNumberFormat="1" applyFont="1" applyBorder="1" applyAlignment="1">
      <alignment horizontal="right" vertical="center"/>
    </xf>
    <xf numFmtId="0" fontId="95" fillId="0" borderId="15" xfId="0" applyFont="1" applyBorder="1" applyAlignment="1">
      <alignment horizontal="left" vertical="center"/>
    </xf>
    <xf numFmtId="0" fontId="95" fillId="0" borderId="15" xfId="0" applyFont="1" applyBorder="1" applyAlignment="1">
      <alignment horizontal="center" vertical="center"/>
    </xf>
    <xf numFmtId="4" fontId="95" fillId="0" borderId="15" xfId="0" applyNumberFormat="1" applyFont="1" applyBorder="1" applyAlignment="1">
      <alignment horizontal="right" vertical="center"/>
    </xf>
    <xf numFmtId="0" fontId="23" fillId="0" borderId="13" xfId="0" applyFont="1" applyBorder="1" applyAlignment="1">
      <alignment horizontal="right" vertical="center" wrapText="1"/>
    </xf>
    <xf numFmtId="0" fontId="23" fillId="0" borderId="0" xfId="0" applyFont="1" applyAlignment="1">
      <alignment horizontal="right" vertical="center"/>
    </xf>
    <xf numFmtId="0" fontId="24" fillId="0" borderId="0" xfId="0" applyFont="1" applyAlignment="1">
      <alignment horizontal="left"/>
    </xf>
    <xf numFmtId="0" fontId="1" fillId="0" borderId="0" xfId="0" applyFont="1" applyAlignment="1">
      <alignment horizontal="left"/>
    </xf>
    <xf numFmtId="0" fontId="67" fillId="0" borderId="0" xfId="0" applyFont="1" applyAlignment="1">
      <alignment horizontal="center" vertical="center"/>
    </xf>
    <xf numFmtId="0" fontId="21" fillId="0" borderId="21" xfId="0" applyFont="1" applyBorder="1" applyAlignment="1">
      <alignment horizontal="left"/>
    </xf>
    <xf numFmtId="0" fontId="96" fillId="0" borderId="0" xfId="0" applyFont="1" applyAlignment="1">
      <alignment horizontal="center" vertical="center"/>
    </xf>
    <xf numFmtId="0" fontId="67" fillId="0" borderId="22" xfId="0" applyFont="1" applyBorder="1"/>
    <xf numFmtId="0" fontId="67" fillId="0" borderId="0" xfId="0" applyFont="1"/>
    <xf numFmtId="0" fontId="67" fillId="0" borderId="23" xfId="0" applyFont="1" applyBorder="1"/>
    <xf numFmtId="0" fontId="67" fillId="0" borderId="22" xfId="0" applyFont="1" applyBorder="1" applyAlignment="1">
      <alignment horizontal="right"/>
    </xf>
    <xf numFmtId="0" fontId="67" fillId="0" borderId="16" xfId="0" applyFont="1" applyBorder="1" applyAlignment="1">
      <alignment horizontal="center"/>
    </xf>
    <xf numFmtId="0" fontId="81" fillId="0" borderId="16" xfId="0" applyFont="1" applyBorder="1" applyAlignment="1">
      <alignment horizontal="center" vertical="center"/>
    </xf>
    <xf numFmtId="0" fontId="24" fillId="0" borderId="0" xfId="0" applyFont="1" applyAlignment="1">
      <alignment horizontal="center" vertical="center"/>
    </xf>
    <xf numFmtId="0" fontId="67" fillId="0" borderId="0" xfId="0" applyFont="1" applyAlignment="1">
      <alignment horizontal="center"/>
    </xf>
    <xf numFmtId="0" fontId="67" fillId="0" borderId="12" xfId="0" applyFont="1" applyBorder="1"/>
    <xf numFmtId="0" fontId="67" fillId="0" borderId="21" xfId="0" applyFont="1" applyBorder="1" applyAlignment="1">
      <alignment horizontal="center"/>
    </xf>
    <xf numFmtId="0" fontId="67" fillId="0" borderId="12" xfId="0" applyFont="1" applyBorder="1" applyAlignment="1">
      <alignment horizontal="center"/>
    </xf>
    <xf numFmtId="0" fontId="67" fillId="0" borderId="21" xfId="0" applyFont="1" applyBorder="1"/>
    <xf numFmtId="0" fontId="67" fillId="0" borderId="13" xfId="0" applyFont="1" applyBorder="1"/>
    <xf numFmtId="0" fontId="18" fillId="0" borderId="0" xfId="0" applyFont="1"/>
    <xf numFmtId="0" fontId="23" fillId="0" borderId="16" xfId="0" applyFont="1" applyBorder="1" applyAlignment="1">
      <alignment horizontal="center" vertical="center" wrapText="1"/>
    </xf>
    <xf numFmtId="0" fontId="18" fillId="0" borderId="0" xfId="0" applyFont="1" applyAlignment="1">
      <alignment wrapText="1"/>
    </xf>
    <xf numFmtId="0" fontId="99" fillId="27" borderId="15" xfId="0" applyFont="1" applyFill="1" applyBorder="1" applyAlignment="1">
      <alignment wrapText="1"/>
    </xf>
    <xf numFmtId="0" fontId="99" fillId="27" borderId="13" xfId="0" applyFont="1" applyFill="1" applyBorder="1" applyAlignment="1">
      <alignment wrapText="1"/>
    </xf>
    <xf numFmtId="0" fontId="99" fillId="27" borderId="13" xfId="0" applyFont="1" applyFill="1" applyBorder="1"/>
    <xf numFmtId="0" fontId="67" fillId="0" borderId="15" xfId="0" applyFont="1" applyBorder="1" applyAlignment="1">
      <alignment wrapText="1"/>
    </xf>
    <xf numFmtId="0" fontId="67" fillId="0" borderId="13" xfId="0" applyFont="1" applyBorder="1" applyAlignment="1">
      <alignment wrapText="1"/>
    </xf>
    <xf numFmtId="0" fontId="97" fillId="0" borderId="13" xfId="0" applyFont="1" applyBorder="1" applyAlignment="1">
      <alignment horizontal="right"/>
    </xf>
    <xf numFmtId="0" fontId="67" fillId="0" borderId="24" xfId="0" applyFont="1" applyBorder="1" applyAlignment="1">
      <alignment wrapText="1"/>
    </xf>
    <xf numFmtId="0" fontId="67" fillId="0" borderId="0" xfId="0" applyFont="1" applyAlignment="1">
      <alignment wrapText="1"/>
    </xf>
    <xf numFmtId="0" fontId="97" fillId="0" borderId="24" xfId="0" applyFont="1" applyBorder="1" applyAlignment="1">
      <alignment horizontal="right"/>
    </xf>
    <xf numFmtId="0" fontId="67" fillId="0" borderId="16" xfId="0" applyFont="1" applyBorder="1" applyAlignment="1">
      <alignment wrapText="1"/>
    </xf>
    <xf numFmtId="0" fontId="67" fillId="0" borderId="11" xfId="0" applyFont="1" applyBorder="1" applyAlignment="1">
      <alignment wrapText="1"/>
    </xf>
    <xf numFmtId="0" fontId="97" fillId="0" borderId="11" xfId="0" applyFont="1" applyBorder="1" applyAlignment="1">
      <alignment horizontal="right"/>
    </xf>
    <xf numFmtId="0" fontId="67" fillId="0" borderId="13" xfId="0" applyFont="1" applyBorder="1" applyAlignment="1">
      <alignment horizontal="left"/>
    </xf>
    <xf numFmtId="0" fontId="67" fillId="0" borderId="15" xfId="0" applyFont="1" applyBorder="1"/>
    <xf numFmtId="0" fontId="21" fillId="0" borderId="15" xfId="0" applyFont="1" applyBorder="1" applyAlignment="1">
      <alignment wrapText="1"/>
    </xf>
    <xf numFmtId="0" fontId="21" fillId="0" borderId="13" xfId="0" applyFont="1" applyBorder="1" applyAlignment="1">
      <alignment wrapText="1"/>
    </xf>
    <xf numFmtId="0" fontId="50" fillId="0" borderId="0" xfId="0" applyFont="1" applyAlignment="1">
      <alignment horizontal="left" vertical="center"/>
    </xf>
    <xf numFmtId="0" fontId="50" fillId="0" borderId="0" xfId="0" applyFont="1" applyAlignment="1">
      <alignment vertical="center"/>
    </xf>
    <xf numFmtId="0" fontId="101" fillId="0" borderId="7" xfId="0" applyFont="1" applyBorder="1" applyAlignment="1">
      <alignment horizontal="center" vertical="center"/>
    </xf>
    <xf numFmtId="0" fontId="101" fillId="0" borderId="19" xfId="0" applyFont="1" applyBorder="1" applyAlignment="1">
      <alignment horizontal="center" vertical="center"/>
    </xf>
    <xf numFmtId="0" fontId="101" fillId="0" borderId="22" xfId="0" applyFont="1" applyBorder="1" applyAlignment="1">
      <alignment horizontal="center" vertical="center"/>
    </xf>
    <xf numFmtId="0" fontId="102" fillId="0" borderId="0" xfId="0" applyFont="1" applyAlignment="1">
      <alignment horizontal="center" vertical="center"/>
    </xf>
    <xf numFmtId="0" fontId="101" fillId="0" borderId="0" xfId="0" applyFont="1" applyAlignment="1">
      <alignment horizontal="center" vertical="center"/>
    </xf>
    <xf numFmtId="0" fontId="103" fillId="0" borderId="0" xfId="0" applyFont="1" applyAlignment="1">
      <alignment horizontal="center" vertical="center"/>
    </xf>
    <xf numFmtId="0" fontId="104" fillId="0" borderId="0" xfId="0" applyFont="1" applyAlignment="1">
      <alignment vertical="center"/>
    </xf>
    <xf numFmtId="0" fontId="4" fillId="0" borderId="1" xfId="0" applyFont="1" applyBorder="1" applyAlignment="1">
      <alignment horizontal="center" vertical="center"/>
    </xf>
    <xf numFmtId="0" fontId="4" fillId="0" borderId="0" xfId="0" applyFont="1"/>
    <xf numFmtId="0" fontId="4" fillId="0" borderId="3" xfId="0" applyFont="1" applyBorder="1" applyAlignment="1">
      <alignment horizontal="center" vertical="center"/>
    </xf>
    <xf numFmtId="0" fontId="4" fillId="2" borderId="5" xfId="0" applyFont="1" applyFill="1" applyBorder="1"/>
    <xf numFmtId="0" fontId="4" fillId="2" borderId="3" xfId="0" applyFont="1" applyFill="1" applyBorder="1"/>
    <xf numFmtId="164" fontId="4" fillId="2" borderId="3" xfId="0" applyNumberFormat="1" applyFont="1" applyFill="1" applyBorder="1"/>
    <xf numFmtId="0" fontId="7" fillId="2" borderId="6" xfId="0" applyFont="1" applyFill="1" applyBorder="1"/>
    <xf numFmtId="0" fontId="4" fillId="2" borderId="1" xfId="0" applyFont="1" applyFill="1" applyBorder="1"/>
    <xf numFmtId="0" fontId="13" fillId="0" borderId="16" xfId="0" applyFont="1" applyBorder="1" applyAlignment="1">
      <alignment horizontal="center" wrapText="1"/>
    </xf>
    <xf numFmtId="0" fontId="13" fillId="0" borderId="16" xfId="0" applyFont="1" applyBorder="1" applyAlignment="1">
      <alignment wrapText="1"/>
    </xf>
    <xf numFmtId="4" fontId="13" fillId="0" borderId="16" xfId="0" applyNumberFormat="1" applyFont="1" applyBorder="1" applyAlignment="1">
      <alignment horizontal="center" wrapText="1"/>
    </xf>
    <xf numFmtId="4" fontId="13" fillId="2" borderId="16" xfId="0" applyNumberFormat="1" applyFont="1" applyFill="1" applyBorder="1" applyAlignment="1">
      <alignment horizontal="right" wrapText="1"/>
    </xf>
    <xf numFmtId="0" fontId="13" fillId="0" borderId="0" xfId="0" applyFont="1" applyAlignment="1">
      <alignment horizontal="center" wrapText="1"/>
    </xf>
    <xf numFmtId="0" fontId="13" fillId="0" borderId="0" xfId="0" applyFont="1" applyAlignment="1">
      <alignment wrapText="1"/>
    </xf>
    <xf numFmtId="0" fontId="15" fillId="0" borderId="0" xfId="0" applyFont="1" applyAlignment="1">
      <alignment horizontal="center" wrapText="1"/>
    </xf>
    <xf numFmtId="0" fontId="4" fillId="2" borderId="0" xfId="0" applyFont="1" applyFill="1"/>
    <xf numFmtId="164" fontId="106" fillId="2" borderId="0" xfId="0" applyNumberFormat="1" applyFont="1" applyFill="1" applyAlignment="1">
      <alignment horizontal="right"/>
    </xf>
    <xf numFmtId="0" fontId="4" fillId="0" borderId="1" xfId="0" applyFont="1" applyBorder="1"/>
    <xf numFmtId="168" fontId="4" fillId="0" borderId="0" xfId="0" applyNumberFormat="1" applyFont="1"/>
    <xf numFmtId="0" fontId="4" fillId="0" borderId="2" xfId="0" applyFont="1" applyBorder="1"/>
    <xf numFmtId="0" fontId="4" fillId="0" borderId="3" xfId="0" applyFont="1" applyBorder="1"/>
    <xf numFmtId="168" fontId="4" fillId="0" borderId="2" xfId="0" applyNumberFormat="1" applyFont="1" applyBorder="1"/>
    <xf numFmtId="164" fontId="4" fillId="2" borderId="2" xfId="0" applyNumberFormat="1" applyFont="1" applyFill="1" applyBorder="1"/>
    <xf numFmtId="164" fontId="4" fillId="2" borderId="0" xfId="0" applyNumberFormat="1" applyFont="1" applyFill="1"/>
    <xf numFmtId="0" fontId="81" fillId="0" borderId="24" xfId="0" applyFont="1" applyBorder="1" applyAlignment="1">
      <alignment horizontal="center"/>
    </xf>
    <xf numFmtId="0" fontId="4" fillId="0" borderId="24" xfId="0" applyFont="1" applyBorder="1" applyAlignment="1">
      <alignment horizontal="center"/>
    </xf>
    <xf numFmtId="0" fontId="4" fillId="0" borderId="23" xfId="0" applyFont="1" applyBorder="1" applyAlignment="1">
      <alignment horizontal="center"/>
    </xf>
    <xf numFmtId="0" fontId="4" fillId="0" borderId="13" xfId="0" applyFont="1" applyBorder="1" applyAlignment="1">
      <alignment horizontal="center"/>
    </xf>
    <xf numFmtId="0" fontId="107" fillId="0" borderId="0" xfId="0" applyFont="1"/>
    <xf numFmtId="169" fontId="1" fillId="0" borderId="0" xfId="0" applyNumberFormat="1" applyFont="1"/>
    <xf numFmtId="0" fontId="108" fillId="0" borderId="0" xfId="0" applyFont="1"/>
    <xf numFmtId="0" fontId="109" fillId="0" borderId="0" xfId="0" applyFont="1"/>
    <xf numFmtId="0" fontId="18" fillId="0" borderId="0" xfId="0" applyFont="1" applyAlignment="1">
      <alignment horizontal="left"/>
    </xf>
    <xf numFmtId="0" fontId="15" fillId="2" borderId="0" xfId="0" applyFont="1" applyFill="1" applyAlignment="1">
      <alignment horizontal="center"/>
    </xf>
    <xf numFmtId="4" fontId="23" fillId="0" borderId="0" xfId="0" applyNumberFormat="1" applyFont="1" applyAlignment="1">
      <alignment horizontal="center" wrapText="1"/>
    </xf>
    <xf numFmtId="0" fontId="1" fillId="10" borderId="0" xfId="0" applyFont="1" applyFill="1" applyAlignment="1">
      <alignment horizontal="center"/>
    </xf>
    <xf numFmtId="0" fontId="18" fillId="12" borderId="0" xfId="0" applyFont="1" applyFill="1" applyAlignment="1">
      <alignment horizontal="center" vertical="center"/>
    </xf>
    <xf numFmtId="0" fontId="18" fillId="3" borderId="0" xfId="0" applyFont="1" applyFill="1" applyAlignment="1">
      <alignment horizontal="center" vertical="center"/>
    </xf>
    <xf numFmtId="0" fontId="1" fillId="0" borderId="0" xfId="0" applyFont="1" applyAlignment="1">
      <alignment horizontal="center" vertical="center" wrapText="1"/>
    </xf>
    <xf numFmtId="0" fontId="1" fillId="29" borderId="0" xfId="0" applyFont="1" applyFill="1" applyAlignment="1">
      <alignment horizontal="center" vertical="center"/>
    </xf>
    <xf numFmtId="0" fontId="18" fillId="7" borderId="0" xfId="0" applyFont="1" applyFill="1" applyAlignment="1">
      <alignment horizontal="center" vertical="center"/>
    </xf>
    <xf numFmtId="0" fontId="18" fillId="29" borderId="0" xfId="0" applyFont="1" applyFill="1" applyAlignment="1">
      <alignment horizontal="center" vertical="center"/>
    </xf>
    <xf numFmtId="0" fontId="18" fillId="6" borderId="0" xfId="0" applyFont="1" applyFill="1" applyAlignment="1">
      <alignment horizontal="center" vertical="center"/>
    </xf>
    <xf numFmtId="0" fontId="21" fillId="0" borderId="0" xfId="0" applyFont="1" applyAlignment="1">
      <alignment wrapText="1"/>
    </xf>
    <xf numFmtId="0" fontId="110" fillId="0" borderId="0" xfId="0" applyFont="1" applyAlignment="1">
      <alignment wrapText="1"/>
    </xf>
    <xf numFmtId="0" fontId="21" fillId="0" borderId="16" xfId="0" applyFont="1" applyBorder="1" applyAlignment="1">
      <alignment horizontal="center" wrapText="1"/>
    </xf>
    <xf numFmtId="0" fontId="21" fillId="0" borderId="15" xfId="0" applyFont="1" applyBorder="1" applyAlignment="1">
      <alignment horizontal="center" wrapText="1"/>
    </xf>
    <xf numFmtId="0" fontId="21" fillId="0" borderId="16" xfId="0" applyFont="1" applyBorder="1" applyAlignment="1">
      <alignment horizontal="left" wrapText="1"/>
    </xf>
    <xf numFmtId="0" fontId="21" fillId="0" borderId="16" xfId="0" applyFont="1" applyBorder="1" applyAlignment="1">
      <alignment horizontal="right" wrapText="1"/>
    </xf>
    <xf numFmtId="0" fontId="21" fillId="0" borderId="13" xfId="0" applyFont="1" applyBorder="1" applyAlignment="1">
      <alignment horizontal="right" wrapText="1"/>
    </xf>
    <xf numFmtId="1" fontId="21" fillId="0" borderId="13" xfId="0" applyNumberFormat="1" applyFont="1" applyBorder="1"/>
    <xf numFmtId="0" fontId="21" fillId="0" borderId="16" xfId="0" applyFont="1" applyBorder="1" applyAlignment="1">
      <alignment wrapText="1"/>
    </xf>
    <xf numFmtId="0" fontId="21" fillId="0" borderId="0" xfId="0" applyFont="1" applyAlignment="1">
      <alignment horizontal="right" wrapText="1"/>
    </xf>
    <xf numFmtId="0" fontId="23" fillId="0" borderId="0" xfId="0" applyFont="1"/>
    <xf numFmtId="0" fontId="1" fillId="0" borderId="0" xfId="0" applyFont="1" applyAlignment="1">
      <alignment horizontal="center" wrapText="1"/>
    </xf>
    <xf numFmtId="0" fontId="21" fillId="0" borderId="16" xfId="0" applyFont="1" applyBorder="1" applyAlignment="1">
      <alignment horizontal="right"/>
    </xf>
    <xf numFmtId="0" fontId="21" fillId="0" borderId="16" xfId="0" applyFont="1" applyBorder="1" applyAlignment="1">
      <alignment horizontal="center"/>
    </xf>
    <xf numFmtId="4" fontId="21" fillId="0" borderId="16" xfId="0" applyNumberFormat="1" applyFont="1" applyBorder="1" applyAlignment="1">
      <alignment horizontal="right"/>
    </xf>
    <xf numFmtId="0" fontId="8" fillId="0" borderId="0" xfId="0" applyFont="1" applyAlignment="1">
      <alignment horizontal="left" vertical="top"/>
    </xf>
    <xf numFmtId="0" fontId="112" fillId="30" borderId="16" xfId="0" applyFont="1" applyFill="1" applyBorder="1" applyAlignment="1">
      <alignment horizontal="center" vertical="top"/>
    </xf>
    <xf numFmtId="0" fontId="112" fillId="30" borderId="11" xfId="0" applyFont="1" applyFill="1" applyBorder="1" applyAlignment="1">
      <alignment horizontal="center" vertical="top"/>
    </xf>
    <xf numFmtId="0" fontId="10" fillId="0" borderId="15" xfId="0" applyFont="1" applyBorder="1" applyAlignment="1">
      <alignment horizontal="center" vertical="top"/>
    </xf>
    <xf numFmtId="0" fontId="10" fillId="0" borderId="13" xfId="0" applyFont="1" applyBorder="1" applyAlignment="1">
      <alignment horizontal="left" vertical="top"/>
    </xf>
    <xf numFmtId="0" fontId="10" fillId="0" borderId="13" xfId="0" applyFont="1" applyBorder="1" applyAlignment="1">
      <alignment horizontal="center" vertical="top"/>
    </xf>
    <xf numFmtId="0" fontId="8" fillId="0" borderId="13" xfId="0" applyFont="1" applyBorder="1" applyAlignment="1">
      <alignment horizontal="left"/>
    </xf>
    <xf numFmtId="0" fontId="10" fillId="20" borderId="15" xfId="0" applyFont="1" applyFill="1" applyBorder="1" applyAlignment="1">
      <alignment horizontal="center" vertical="top"/>
    </xf>
    <xf numFmtId="0" fontId="10" fillId="20" borderId="13" xfId="0" applyFont="1" applyFill="1" applyBorder="1" applyAlignment="1">
      <alignment horizontal="left" vertical="top"/>
    </xf>
    <xf numFmtId="0" fontId="10" fillId="20" borderId="13" xfId="0" applyFont="1" applyFill="1" applyBorder="1" applyAlignment="1">
      <alignment horizontal="center" vertical="top"/>
    </xf>
    <xf numFmtId="0" fontId="8" fillId="20" borderId="13" xfId="0" applyFont="1" applyFill="1" applyBorder="1" applyAlignment="1">
      <alignment horizontal="left"/>
    </xf>
    <xf numFmtId="4" fontId="65" fillId="20" borderId="13" xfId="0" applyNumberFormat="1" applyFont="1" applyFill="1" applyBorder="1" applyAlignment="1">
      <alignment horizontal="center" vertical="top"/>
    </xf>
    <xf numFmtId="3" fontId="65" fillId="20" borderId="13" xfId="0" applyNumberFormat="1" applyFont="1" applyFill="1" applyBorder="1" applyAlignment="1">
      <alignment horizontal="center" vertical="top"/>
    </xf>
    <xf numFmtId="0" fontId="10" fillId="20" borderId="15" xfId="0" applyFont="1" applyFill="1" applyBorder="1" applyAlignment="1">
      <alignment horizontal="left" vertical="top"/>
    </xf>
    <xf numFmtId="3" fontId="65" fillId="20" borderId="13" xfId="0" applyNumberFormat="1" applyFont="1" applyFill="1" applyBorder="1" applyAlignment="1">
      <alignment horizontal="right" vertical="top"/>
    </xf>
    <xf numFmtId="0" fontId="10" fillId="0" borderId="15" xfId="0" applyFont="1" applyBorder="1" applyAlignment="1">
      <alignment horizontal="left" vertical="top"/>
    </xf>
    <xf numFmtId="0" fontId="65" fillId="0" borderId="13" xfId="0" applyFont="1" applyBorder="1" applyAlignment="1">
      <alignment horizontal="right" vertical="top"/>
    </xf>
    <xf numFmtId="3" fontId="65" fillId="0" borderId="13" xfId="0" applyNumberFormat="1" applyFont="1" applyBorder="1" applyAlignment="1">
      <alignment horizontal="right" vertical="top"/>
    </xf>
    <xf numFmtId="0" fontId="65" fillId="20" borderId="13" xfId="0" applyFont="1" applyFill="1" applyBorder="1" applyAlignment="1">
      <alignment horizontal="right" vertical="top"/>
    </xf>
    <xf numFmtId="0" fontId="10" fillId="0" borderId="13" xfId="0" applyFont="1" applyBorder="1" applyAlignment="1">
      <alignment horizontal="right" vertical="top"/>
    </xf>
    <xf numFmtId="0" fontId="10" fillId="20" borderId="13" xfId="0" applyFont="1" applyFill="1" applyBorder="1" applyAlignment="1">
      <alignment horizontal="right" vertical="top"/>
    </xf>
    <xf numFmtId="0" fontId="10" fillId="20" borderId="15" xfId="0" applyFont="1" applyFill="1" applyBorder="1" applyAlignment="1">
      <alignment horizontal="right" vertical="top"/>
    </xf>
    <xf numFmtId="0" fontId="10" fillId="0" borderId="15" xfId="0" applyFont="1" applyBorder="1" applyAlignment="1">
      <alignment horizontal="right" vertical="top"/>
    </xf>
    <xf numFmtId="0" fontId="113" fillId="0" borderId="0" xfId="0" applyFont="1"/>
    <xf numFmtId="0" fontId="113" fillId="0" borderId="0" xfId="0" applyFont="1" applyAlignment="1">
      <alignment horizontal="left"/>
    </xf>
    <xf numFmtId="0" fontId="113" fillId="0" borderId="22" xfId="0" applyFont="1" applyBorder="1"/>
    <xf numFmtId="0" fontId="113" fillId="0" borderId="19" xfId="0" applyFont="1" applyBorder="1" applyAlignment="1">
      <alignment horizontal="center"/>
    </xf>
    <xf numFmtId="0" fontId="113" fillId="0" borderId="12" xfId="0" applyFont="1" applyBorder="1"/>
    <xf numFmtId="0" fontId="113" fillId="0" borderId="21" xfId="0" applyFont="1" applyBorder="1" applyAlignment="1">
      <alignment horizontal="center"/>
    </xf>
    <xf numFmtId="0" fontId="115" fillId="0" borderId="15" xfId="0" applyFont="1" applyBorder="1" applyAlignment="1">
      <alignment horizontal="center"/>
    </xf>
    <xf numFmtId="0" fontId="115" fillId="0" borderId="13" xfId="0" applyFont="1" applyBorder="1" applyAlignment="1">
      <alignment horizontal="center"/>
    </xf>
    <xf numFmtId="0" fontId="115" fillId="0" borderId="16" xfId="0" applyFont="1" applyBorder="1" applyAlignment="1">
      <alignment horizontal="center"/>
    </xf>
    <xf numFmtId="0" fontId="115" fillId="0" borderId="11" xfId="0" applyFont="1" applyBorder="1" applyAlignment="1">
      <alignment horizontal="center"/>
    </xf>
    <xf numFmtId="0" fontId="113" fillId="0" borderId="15" xfId="0" applyFont="1" applyBorder="1" applyAlignment="1">
      <alignment horizontal="center" vertical="center"/>
    </xf>
    <xf numFmtId="0" fontId="113" fillId="0" borderId="13" xfId="0" applyFont="1" applyBorder="1" applyAlignment="1">
      <alignment horizontal="center" vertical="center"/>
    </xf>
    <xf numFmtId="0" fontId="113" fillId="0" borderId="16" xfId="0" applyFont="1" applyBorder="1" applyAlignment="1">
      <alignment horizontal="center" vertical="center"/>
    </xf>
    <xf numFmtId="0" fontId="113" fillId="0" borderId="16" xfId="0" applyFont="1" applyBorder="1" applyAlignment="1">
      <alignment vertical="center"/>
    </xf>
    <xf numFmtId="0" fontId="113" fillId="0" borderId="21" xfId="0" applyFont="1" applyBorder="1" applyAlignment="1">
      <alignment horizontal="center" vertical="center"/>
    </xf>
    <xf numFmtId="0" fontId="113" fillId="0" borderId="13" xfId="0" applyFont="1" applyBorder="1" applyAlignment="1">
      <alignment vertical="center"/>
    </xf>
    <xf numFmtId="0" fontId="113" fillId="0" borderId="0" xfId="0" applyFont="1" applyAlignment="1">
      <alignment vertical="center"/>
    </xf>
    <xf numFmtId="0" fontId="1" fillId="0" borderId="13" xfId="0" applyFont="1" applyBorder="1" applyAlignment="1">
      <alignment horizontal="center" vertical="center"/>
    </xf>
    <xf numFmtId="0" fontId="1" fillId="0" borderId="13" xfId="0" applyFont="1" applyBorder="1" applyAlignment="1">
      <alignment vertical="center"/>
    </xf>
    <xf numFmtId="0" fontId="113" fillId="0" borderId="23" xfId="0" applyFont="1" applyBorder="1"/>
    <xf numFmtId="0" fontId="113" fillId="0" borderId="21" xfId="0" applyFont="1" applyBorder="1"/>
    <xf numFmtId="0" fontId="113" fillId="0" borderId="13" xfId="0" applyFont="1" applyBorder="1"/>
    <xf numFmtId="0" fontId="1" fillId="0" borderId="13" xfId="0" applyFont="1" applyBorder="1"/>
    <xf numFmtId="0" fontId="116" fillId="0" borderId="15" xfId="0" applyFont="1" applyBorder="1" applyAlignment="1">
      <alignment horizontal="center"/>
    </xf>
    <xf numFmtId="0" fontId="118" fillId="0" borderId="15" xfId="0" applyFont="1" applyBorder="1" applyAlignment="1">
      <alignment horizontal="center"/>
    </xf>
    <xf numFmtId="14" fontId="113" fillId="0" borderId="15" xfId="0" applyNumberFormat="1" applyFont="1" applyBorder="1" applyAlignment="1">
      <alignment horizontal="center"/>
    </xf>
    <xf numFmtId="0" fontId="21" fillId="0" borderId="13" xfId="0" applyFont="1" applyBorder="1" applyAlignment="1">
      <alignment horizontal="center" wrapText="1"/>
    </xf>
    <xf numFmtId="0" fontId="21" fillId="0" borderId="15" xfId="0" applyFont="1" applyBorder="1"/>
    <xf numFmtId="0" fontId="92" fillId="0" borderId="13" xfId="0" applyFont="1" applyBorder="1" applyAlignment="1">
      <alignment horizontal="left" wrapText="1"/>
    </xf>
    <xf numFmtId="0" fontId="92" fillId="0" borderId="13" xfId="0" applyFont="1" applyBorder="1" applyAlignment="1">
      <alignment horizontal="right"/>
    </xf>
    <xf numFmtId="0" fontId="92" fillId="0" borderId="13" xfId="0" applyFont="1" applyBorder="1" applyAlignment="1">
      <alignment horizontal="center"/>
    </xf>
    <xf numFmtId="4" fontId="91" fillId="0" borderId="13" xfId="0" applyNumberFormat="1" applyFont="1" applyBorder="1"/>
    <xf numFmtId="0" fontId="92" fillId="0" borderId="13" xfId="0" applyFont="1" applyBorder="1" applyAlignment="1">
      <alignment wrapText="1"/>
    </xf>
    <xf numFmtId="0" fontId="92" fillId="0" borderId="0" xfId="0" applyFont="1" applyAlignment="1">
      <alignment wrapText="1"/>
    </xf>
    <xf numFmtId="0" fontId="92" fillId="0" borderId="0" xfId="0" applyFont="1" applyAlignment="1">
      <alignment horizontal="right"/>
    </xf>
    <xf numFmtId="0" fontId="92" fillId="0" borderId="0" xfId="0" applyFont="1" applyAlignment="1">
      <alignment horizontal="center"/>
    </xf>
    <xf numFmtId="4" fontId="91" fillId="0" borderId="0" xfId="0" applyNumberFormat="1" applyFont="1"/>
    <xf numFmtId="4" fontId="92" fillId="0" borderId="0" xfId="0" applyNumberFormat="1" applyFont="1" applyAlignment="1">
      <alignment horizontal="right"/>
    </xf>
    <xf numFmtId="0" fontId="119" fillId="0" borderId="0" xfId="0" applyFont="1"/>
    <xf numFmtId="0" fontId="21" fillId="0" borderId="16" xfId="0" applyFont="1" applyBorder="1"/>
    <xf numFmtId="0" fontId="15" fillId="2" borderId="0" xfId="0" applyFont="1" applyFill="1" applyAlignment="1">
      <alignment horizontal="left"/>
    </xf>
    <xf numFmtId="0" fontId="1" fillId="6" borderId="0" xfId="0" applyFont="1" applyFill="1" applyAlignment="1">
      <alignment horizontal="left"/>
    </xf>
    <xf numFmtId="0" fontId="120" fillId="0" borderId="0" xfId="0" applyFont="1" applyAlignment="1">
      <alignment horizontal="center"/>
    </xf>
    <xf numFmtId="0" fontId="13" fillId="6" borderId="0" xfId="0" applyFont="1" applyFill="1" applyAlignment="1">
      <alignment horizontal="left"/>
    </xf>
    <xf numFmtId="0" fontId="13" fillId="0" borderId="0" xfId="0" applyFont="1" applyAlignment="1">
      <alignment horizontal="left"/>
    </xf>
    <xf numFmtId="0" fontId="1" fillId="6" borderId="0" xfId="0" applyFont="1" applyFill="1"/>
    <xf numFmtId="0" fontId="121" fillId="0" borderId="0" xfId="0" applyFont="1"/>
    <xf numFmtId="0" fontId="79" fillId="2" borderId="0" xfId="0" applyFont="1" applyFill="1"/>
    <xf numFmtId="0" fontId="79" fillId="2" borderId="0" xfId="0" applyFont="1" applyFill="1" applyAlignment="1">
      <alignment wrapText="1"/>
    </xf>
    <xf numFmtId="0" fontId="73" fillId="2" borderId="0" xfId="0" applyFont="1" applyFill="1" applyAlignment="1">
      <alignment horizontal="center"/>
    </xf>
    <xf numFmtId="0" fontId="73" fillId="2" borderId="0" xfId="0" applyFont="1" applyFill="1"/>
    <xf numFmtId="0" fontId="67" fillId="2" borderId="0" xfId="0" applyFont="1" applyFill="1"/>
    <xf numFmtId="0" fontId="65" fillId="2" borderId="0" xfId="0" applyFont="1" applyFill="1" applyAlignment="1">
      <alignment horizontal="center"/>
    </xf>
    <xf numFmtId="0" fontId="79" fillId="2" borderId="0" xfId="0" applyFont="1" applyFill="1" applyAlignment="1">
      <alignment horizontal="center"/>
    </xf>
    <xf numFmtId="0" fontId="79" fillId="2" borderId="0" xfId="0" applyFont="1" applyFill="1" applyAlignment="1">
      <alignment horizontal="center" wrapText="1"/>
    </xf>
    <xf numFmtId="0" fontId="67" fillId="2" borderId="0" xfId="0" applyFont="1" applyFill="1" applyAlignment="1">
      <alignment horizontal="center"/>
    </xf>
    <xf numFmtId="0" fontId="5" fillId="2" borderId="0" xfId="0" applyFont="1" applyFill="1" applyAlignment="1">
      <alignment horizontal="center"/>
    </xf>
    <xf numFmtId="0" fontId="11" fillId="2" borderId="0" xfId="0" applyFont="1" applyFill="1" applyAlignment="1">
      <alignment horizontal="center"/>
    </xf>
    <xf numFmtId="0" fontId="11" fillId="2" borderId="0" xfId="0" applyFont="1" applyFill="1" applyAlignment="1">
      <alignment horizontal="center" wrapText="1"/>
    </xf>
    <xf numFmtId="0" fontId="122" fillId="2" borderId="0" xfId="0" applyFont="1" applyFill="1" applyAlignment="1">
      <alignment horizontal="center"/>
    </xf>
    <xf numFmtId="0" fontId="9" fillId="2" borderId="0" xfId="0" applyFont="1" applyFill="1" applyAlignment="1">
      <alignment horizontal="center"/>
    </xf>
    <xf numFmtId="0" fontId="106" fillId="2" borderId="0" xfId="0" applyFont="1" applyFill="1" applyAlignment="1">
      <alignment horizontal="center"/>
    </xf>
    <xf numFmtId="0" fontId="7" fillId="2" borderId="0" xfId="0" applyFont="1" applyFill="1"/>
    <xf numFmtId="0" fontId="123" fillId="2" borderId="0" xfId="0" applyFont="1" applyFill="1" applyAlignment="1">
      <alignment horizontal="center"/>
    </xf>
    <xf numFmtId="0" fontId="123" fillId="2" borderId="0" xfId="0" applyFont="1" applyFill="1"/>
    <xf numFmtId="0" fontId="123" fillId="2" borderId="19" xfId="0" applyFont="1" applyFill="1" applyBorder="1"/>
    <xf numFmtId="0" fontId="123" fillId="2" borderId="21" xfId="0" applyFont="1" applyFill="1" applyBorder="1"/>
    <xf numFmtId="0" fontId="44" fillId="0" borderId="16" xfId="0" applyFont="1" applyBorder="1" applyAlignment="1">
      <alignment horizontal="center"/>
    </xf>
    <xf numFmtId="0" fontId="44" fillId="0" borderId="11" xfId="0" applyFont="1" applyBorder="1" applyAlignment="1">
      <alignment horizontal="center"/>
    </xf>
    <xf numFmtId="0" fontId="44" fillId="6" borderId="11" xfId="0" applyFont="1" applyFill="1" applyBorder="1" applyAlignment="1">
      <alignment wrapText="1"/>
    </xf>
    <xf numFmtId="4" fontId="44" fillId="0" borderId="11" xfId="0" applyNumberFormat="1" applyFont="1" applyBorder="1" applyAlignment="1">
      <alignment horizontal="center"/>
    </xf>
    <xf numFmtId="4" fontId="44" fillId="2" borderId="11" xfId="0" applyNumberFormat="1" applyFont="1" applyFill="1" applyBorder="1" applyAlignment="1">
      <alignment horizontal="right"/>
    </xf>
    <xf numFmtId="0" fontId="44" fillId="0" borderId="15" xfId="0" applyFont="1" applyBorder="1" applyAlignment="1">
      <alignment horizontal="center"/>
    </xf>
    <xf numFmtId="0" fontId="44" fillId="0" borderId="13" xfId="0" applyFont="1" applyBorder="1" applyAlignment="1">
      <alignment wrapText="1"/>
    </xf>
    <xf numFmtId="4" fontId="44" fillId="0" borderId="13" xfId="0" applyNumberFormat="1" applyFont="1" applyBorder="1" applyAlignment="1">
      <alignment horizontal="center"/>
    </xf>
    <xf numFmtId="4" fontId="44" fillId="2" borderId="13" xfId="0" applyNumberFormat="1" applyFont="1" applyFill="1" applyBorder="1" applyAlignment="1">
      <alignment horizontal="right"/>
    </xf>
    <xf numFmtId="0" fontId="44" fillId="6" borderId="13" xfId="0" applyFont="1" applyFill="1" applyBorder="1" applyAlignment="1">
      <alignment wrapText="1"/>
    </xf>
    <xf numFmtId="0" fontId="44" fillId="0" borderId="23" xfId="0" applyFont="1" applyBorder="1" applyAlignment="1">
      <alignment horizontal="center"/>
    </xf>
    <xf numFmtId="0" fontId="44" fillId="0" borderId="23" xfId="0" applyFont="1" applyBorder="1" applyAlignment="1">
      <alignment wrapText="1"/>
    </xf>
    <xf numFmtId="4" fontId="44" fillId="2" borderId="23" xfId="0" applyNumberFormat="1" applyFont="1" applyFill="1" applyBorder="1" applyAlignment="1">
      <alignment horizontal="right"/>
    </xf>
    <xf numFmtId="0" fontId="44" fillId="0" borderId="11" xfId="0" applyFont="1" applyBorder="1" applyAlignment="1">
      <alignment wrapText="1"/>
    </xf>
    <xf numFmtId="0" fontId="44" fillId="0" borderId="13" xfId="0" applyFont="1" applyBorder="1"/>
    <xf numFmtId="0" fontId="125" fillId="0" borderId="13" xfId="0" applyFont="1" applyBorder="1" applyAlignment="1">
      <alignment horizontal="center" wrapText="1"/>
    </xf>
    <xf numFmtId="0" fontId="44" fillId="2" borderId="13" xfId="0" applyFont="1" applyFill="1" applyBorder="1"/>
    <xf numFmtId="0" fontId="44" fillId="2" borderId="13" xfId="0" applyFont="1" applyFill="1" applyBorder="1" applyAlignment="1">
      <alignment horizontal="right"/>
    </xf>
    <xf numFmtId="0" fontId="79" fillId="2" borderId="12" xfId="0" applyFont="1" applyFill="1" applyBorder="1" applyAlignment="1">
      <alignment horizontal="center"/>
    </xf>
    <xf numFmtId="0" fontId="65" fillId="2" borderId="21" xfId="0" applyFont="1" applyFill="1" applyBorder="1" applyAlignment="1">
      <alignment horizontal="center"/>
    </xf>
    <xf numFmtId="0" fontId="125" fillId="0" borderId="15" xfId="0" applyFont="1" applyBorder="1" applyAlignment="1">
      <alignment wrapText="1"/>
    </xf>
    <xf numFmtId="0" fontId="73" fillId="2" borderId="21" xfId="0" applyFont="1" applyFill="1" applyBorder="1" applyAlignment="1">
      <alignment horizontal="center"/>
    </xf>
    <xf numFmtId="4" fontId="97" fillId="2" borderId="13" xfId="0" applyNumberFormat="1" applyFont="1" applyFill="1" applyBorder="1"/>
    <xf numFmtId="0" fontId="64" fillId="0" borderId="9" xfId="0" applyFont="1" applyBorder="1"/>
    <xf numFmtId="0" fontId="65" fillId="0" borderId="10" xfId="0" applyFont="1" applyBorder="1"/>
    <xf numFmtId="0" fontId="7" fillId="0" borderId="21" xfId="0" applyFont="1" applyBorder="1" applyAlignment="1">
      <alignment horizontal="left" wrapText="1"/>
    </xf>
    <xf numFmtId="0" fontId="73" fillId="0" borderId="10" xfId="0" applyFont="1" applyBorder="1"/>
    <xf numFmtId="0" fontId="73" fillId="2" borderId="10" xfId="0" applyFont="1" applyFill="1" applyBorder="1"/>
    <xf numFmtId="0" fontId="97" fillId="0" borderId="11" xfId="0" applyFont="1" applyBorder="1"/>
    <xf numFmtId="0" fontId="64" fillId="0" borderId="7" xfId="0" applyFont="1" applyBorder="1"/>
    <xf numFmtId="0" fontId="65" fillId="0" borderId="19" xfId="0" applyFont="1" applyBorder="1"/>
    <xf numFmtId="0" fontId="79" fillId="0" borderId="19" xfId="0" applyFont="1" applyBorder="1" applyAlignment="1">
      <alignment wrapText="1"/>
    </xf>
    <xf numFmtId="0" fontId="73" fillId="0" borderId="19" xfId="0" applyFont="1" applyBorder="1"/>
    <xf numFmtId="0" fontId="73" fillId="2" borderId="19" xfId="0" applyFont="1" applyFill="1" applyBorder="1"/>
    <xf numFmtId="0" fontId="124" fillId="2" borderId="19" xfId="0" applyFont="1" applyFill="1" applyBorder="1" applyAlignment="1">
      <alignment horizontal="center"/>
    </xf>
    <xf numFmtId="0" fontId="97" fillId="0" borderId="8" xfId="0" applyFont="1" applyBorder="1"/>
    <xf numFmtId="0" fontId="44" fillId="2" borderId="22" xfId="0" applyFont="1" applyFill="1" applyBorder="1"/>
    <xf numFmtId="0" fontId="8" fillId="2" borderId="0" xfId="0" applyFont="1" applyFill="1" applyAlignment="1">
      <alignment horizontal="center"/>
    </xf>
    <xf numFmtId="0" fontId="8" fillId="2" borderId="0" xfId="0" applyFont="1" applyFill="1"/>
    <xf numFmtId="0" fontId="67" fillId="2" borderId="23" xfId="0" applyFont="1" applyFill="1" applyBorder="1"/>
    <xf numFmtId="0" fontId="67" fillId="2" borderId="23" xfId="0" applyFont="1" applyFill="1" applyBorder="1" applyAlignment="1">
      <alignment horizontal="center"/>
    </xf>
    <xf numFmtId="0" fontId="125" fillId="2" borderId="22" xfId="0" applyFont="1" applyFill="1" applyBorder="1"/>
    <xf numFmtId="0" fontId="39" fillId="2" borderId="0" xfId="0" applyFont="1" applyFill="1" applyAlignment="1">
      <alignment horizontal="center"/>
    </xf>
    <xf numFmtId="0" fontId="7" fillId="2" borderId="0" xfId="0" applyFont="1" applyFill="1" applyAlignment="1">
      <alignment wrapText="1"/>
    </xf>
    <xf numFmtId="0" fontId="82" fillId="2" borderId="0" xfId="0" applyFont="1" applyFill="1" applyAlignment="1">
      <alignment horizontal="center"/>
    </xf>
    <xf numFmtId="0" fontId="97" fillId="2" borderId="23" xfId="0" applyFont="1" applyFill="1" applyBorder="1" applyAlignment="1">
      <alignment horizontal="center"/>
    </xf>
    <xf numFmtId="0" fontId="7" fillId="2" borderId="12" xfId="0" applyFont="1" applyFill="1" applyBorder="1"/>
    <xf numFmtId="0" fontId="39" fillId="2" borderId="21" xfId="0" applyFont="1" applyFill="1" applyBorder="1" applyAlignment="1">
      <alignment horizontal="center"/>
    </xf>
    <xf numFmtId="0" fontId="7" fillId="2" borderId="21" xfId="0" applyFont="1" applyFill="1" applyBorder="1" applyAlignment="1">
      <alignment wrapText="1"/>
    </xf>
    <xf numFmtId="0" fontId="123" fillId="2" borderId="21" xfId="0" applyFont="1" applyFill="1" applyBorder="1" applyAlignment="1">
      <alignment horizontal="center"/>
    </xf>
    <xf numFmtId="0" fontId="97" fillId="2" borderId="13" xfId="0" applyFont="1" applyFill="1" applyBorder="1" applyAlignment="1">
      <alignment horizontal="center"/>
    </xf>
    <xf numFmtId="0" fontId="97" fillId="2" borderId="0" xfId="0" applyFont="1" applyFill="1"/>
    <xf numFmtId="0" fontId="75" fillId="0" borderId="0" xfId="0" applyFont="1" applyAlignment="1">
      <alignment horizontal="center" vertical="center"/>
    </xf>
    <xf numFmtId="0" fontId="13" fillId="0" borderId="0" xfId="0" applyFont="1" applyAlignment="1">
      <alignment horizontal="center" vertical="center"/>
    </xf>
    <xf numFmtId="0" fontId="13" fillId="0" borderId="15" xfId="0" applyFont="1" applyBorder="1" applyAlignment="1">
      <alignment vertical="center"/>
    </xf>
    <xf numFmtId="0" fontId="13" fillId="0" borderId="12" xfId="0" applyFont="1" applyBorder="1" applyAlignment="1">
      <alignment vertical="center" wrapText="1"/>
    </xf>
    <xf numFmtId="170" fontId="13" fillId="0" borderId="0" xfId="0" applyNumberFormat="1" applyFont="1" applyAlignment="1">
      <alignment horizontal="center" vertical="center"/>
    </xf>
    <xf numFmtId="0" fontId="53" fillId="0" borderId="16" xfId="0" applyFont="1" applyBorder="1" applyAlignment="1">
      <alignment vertical="center"/>
    </xf>
    <xf numFmtId="0" fontId="53" fillId="0" borderId="16" xfId="0" applyFont="1" applyBorder="1" applyAlignment="1">
      <alignment horizontal="center" vertical="center" wrapText="1"/>
    </xf>
    <xf numFmtId="0" fontId="53" fillId="0" borderId="16" xfId="0" applyFont="1" applyBorder="1" applyAlignment="1">
      <alignment horizontal="center" vertical="center"/>
    </xf>
    <xf numFmtId="0" fontId="53" fillId="6" borderId="16" xfId="0" applyFont="1" applyFill="1" applyBorder="1" applyAlignment="1">
      <alignment horizontal="center" vertical="center"/>
    </xf>
    <xf numFmtId="0" fontId="75" fillId="0" borderId="16" xfId="0" applyFont="1" applyBorder="1" applyAlignment="1">
      <alignment horizontal="center" vertical="center"/>
    </xf>
    <xf numFmtId="0" fontId="48" fillId="0" borderId="16" xfId="0" applyFont="1" applyBorder="1" applyAlignment="1">
      <alignment vertical="center"/>
    </xf>
    <xf numFmtId="4" fontId="48" fillId="0" borderId="16" xfId="0" applyNumberFormat="1" applyFont="1" applyBorder="1" applyAlignment="1">
      <alignment horizontal="center" vertical="center"/>
    </xf>
    <xf numFmtId="0" fontId="48" fillId="6" borderId="16" xfId="0" applyFont="1" applyFill="1" applyBorder="1" applyAlignment="1">
      <alignment horizontal="center" vertical="center"/>
    </xf>
    <xf numFmtId="0" fontId="13" fillId="6" borderId="0" xfId="0" applyFont="1" applyFill="1" applyAlignment="1">
      <alignment vertical="center"/>
    </xf>
    <xf numFmtId="0" fontId="0" fillId="0" borderId="29" xfId="0" pivotButton="1" applyBorder="1"/>
    <xf numFmtId="0" fontId="0" fillId="0" borderId="29" xfId="0" applyBorder="1"/>
    <xf numFmtId="0" fontId="0" fillId="0" borderId="30" xfId="0" applyBorder="1"/>
    <xf numFmtId="0" fontId="0" fillId="0" borderId="31" xfId="0" applyBorder="1"/>
    <xf numFmtId="0" fontId="0" fillId="0" borderId="33" xfId="0" applyBorder="1"/>
    <xf numFmtId="0" fontId="0" fillId="0" borderId="35" xfId="0" applyBorder="1"/>
    <xf numFmtId="0" fontId="0" fillId="0" borderId="36" xfId="0" applyBorder="1"/>
    <xf numFmtId="0" fontId="131" fillId="0" borderId="38" xfId="0" applyFont="1" applyBorder="1" applyAlignment="1">
      <alignment vertical="center" wrapText="1"/>
    </xf>
    <xf numFmtId="0" fontId="131" fillId="0" borderId="39" xfId="0" applyFont="1" applyBorder="1" applyAlignment="1">
      <alignment vertical="center" wrapText="1"/>
    </xf>
    <xf numFmtId="0" fontId="131" fillId="0" borderId="39" xfId="0" applyFont="1" applyBorder="1" applyAlignment="1">
      <alignment horizontal="center" vertical="center" wrapText="1"/>
    </xf>
    <xf numFmtId="4" fontId="131" fillId="0" borderId="39" xfId="0" applyNumberFormat="1" applyFont="1" applyBorder="1" applyAlignment="1">
      <alignment horizontal="right" vertical="center" wrapText="1"/>
    </xf>
    <xf numFmtId="0" fontId="132" fillId="0" borderId="39" xfId="0" applyFont="1" applyBorder="1" applyAlignment="1">
      <alignment vertical="center" wrapText="1"/>
    </xf>
    <xf numFmtId="0" fontId="131" fillId="0" borderId="39" xfId="0" applyFont="1" applyBorder="1" applyAlignment="1">
      <alignment horizontal="right" vertical="center" wrapText="1"/>
    </xf>
    <xf numFmtId="0" fontId="132" fillId="0" borderId="0" xfId="0" applyFont="1" applyAlignment="1">
      <alignment vertical="center" wrapText="1"/>
    </xf>
    <xf numFmtId="0" fontId="131" fillId="0" borderId="40" xfId="0" applyFont="1" applyBorder="1" applyAlignment="1">
      <alignment vertical="center" wrapText="1"/>
    </xf>
    <xf numFmtId="0" fontId="131" fillId="0" borderId="41" xfId="0" applyFont="1" applyBorder="1" applyAlignment="1">
      <alignment vertical="center" wrapText="1"/>
    </xf>
    <xf numFmtId="0" fontId="131" fillId="0" borderId="41" xfId="0" applyFont="1" applyBorder="1" applyAlignment="1">
      <alignment horizontal="center" vertical="center" wrapText="1"/>
    </xf>
    <xf numFmtId="4" fontId="131" fillId="0" borderId="41" xfId="0" applyNumberFormat="1" applyFont="1" applyBorder="1" applyAlignment="1">
      <alignment horizontal="right" vertical="center" wrapText="1"/>
    </xf>
    <xf numFmtId="0" fontId="132" fillId="0" borderId="41" xfId="0" applyFont="1" applyBorder="1" applyAlignment="1">
      <alignment vertical="center" wrapText="1"/>
    </xf>
    <xf numFmtId="0" fontId="131" fillId="0" borderId="41" xfId="0" applyFont="1" applyBorder="1" applyAlignment="1">
      <alignment horizontal="right" vertical="center" wrapText="1"/>
    </xf>
    <xf numFmtId="0" fontId="0" fillId="0" borderId="43" xfId="0" applyBorder="1"/>
    <xf numFmtId="0" fontId="0" fillId="0" borderId="44" xfId="0" applyBorder="1"/>
    <xf numFmtId="0" fontId="133" fillId="0" borderId="42" xfId="0" applyFont="1" applyBorder="1" applyAlignment="1">
      <alignment horizontal="center"/>
    </xf>
    <xf numFmtId="0" fontId="131" fillId="0" borderId="45" xfId="0" applyFont="1" applyBorder="1" applyAlignment="1">
      <alignment horizontal="center" vertical="center" wrapText="1"/>
    </xf>
    <xf numFmtId="0" fontId="131" fillId="0" borderId="45" xfId="0" applyFont="1" applyBorder="1" applyAlignment="1">
      <alignment vertical="center" wrapText="1"/>
    </xf>
    <xf numFmtId="3" fontId="131" fillId="0" borderId="45" xfId="0" applyNumberFormat="1" applyFont="1" applyBorder="1" applyAlignment="1">
      <alignment horizontal="center" vertical="center" wrapText="1"/>
    </xf>
    <xf numFmtId="0" fontId="132" fillId="0" borderId="45" xfId="0" applyFont="1" applyBorder="1" applyAlignment="1">
      <alignment vertical="center" wrapText="1"/>
    </xf>
    <xf numFmtId="0" fontId="21" fillId="0" borderId="45" xfId="0" applyFont="1" applyBorder="1" applyAlignment="1">
      <alignment horizontal="left" vertical="center"/>
    </xf>
    <xf numFmtId="0" fontId="23" fillId="0" borderId="45" xfId="0" applyFont="1" applyBorder="1" applyAlignment="1">
      <alignment horizontal="left" vertical="center" wrapText="1"/>
    </xf>
    <xf numFmtId="0" fontId="23" fillId="0" borderId="45" xfId="0" applyFont="1" applyBorder="1" applyAlignment="1">
      <alignment horizontal="center" vertical="center"/>
    </xf>
    <xf numFmtId="0" fontId="23" fillId="0" borderId="45" xfId="0" applyFont="1" applyBorder="1" applyAlignment="1">
      <alignment vertical="center"/>
    </xf>
    <xf numFmtId="3" fontId="23" fillId="0" borderId="45" xfId="0" applyNumberFormat="1" applyFont="1" applyBorder="1" applyAlignment="1">
      <alignment horizontal="right" vertical="center"/>
    </xf>
    <xf numFmtId="0" fontId="21" fillId="0" borderId="45" xfId="0" applyFont="1" applyBorder="1" applyAlignment="1">
      <alignment vertical="center"/>
    </xf>
    <xf numFmtId="0" fontId="21" fillId="0" borderId="45" xfId="0" applyFont="1" applyBorder="1" applyAlignment="1">
      <alignment horizontal="left" vertical="center" wrapText="1"/>
    </xf>
    <xf numFmtId="0" fontId="21" fillId="0" borderId="45" xfId="0" applyFont="1" applyBorder="1" applyAlignment="1">
      <alignment horizontal="center" vertical="center"/>
    </xf>
    <xf numFmtId="3" fontId="21" fillId="0" borderId="45" xfId="0" applyNumberFormat="1" applyFont="1" applyBorder="1" applyAlignment="1">
      <alignment vertical="center"/>
    </xf>
    <xf numFmtId="3" fontId="131" fillId="0" borderId="45" xfId="0" applyNumberFormat="1" applyFont="1" applyBorder="1" applyAlignment="1">
      <alignment horizontal="right" vertical="center" wrapText="1"/>
    </xf>
    <xf numFmtId="0" fontId="131" fillId="0" borderId="45" xfId="0" applyFont="1" applyBorder="1" applyAlignment="1">
      <alignment horizontal="right" vertical="center" wrapText="1"/>
    </xf>
    <xf numFmtId="0" fontId="24" fillId="0" borderId="0" xfId="0" applyFont="1" applyAlignment="1">
      <alignment vertical="center"/>
    </xf>
    <xf numFmtId="0" fontId="134" fillId="0" borderId="0" xfId="0" applyFont="1"/>
    <xf numFmtId="3" fontId="135" fillId="0" borderId="0" xfId="0" applyNumberFormat="1" applyFont="1" applyAlignment="1">
      <alignment vertical="center"/>
    </xf>
    <xf numFmtId="0" fontId="131" fillId="0" borderId="45" xfId="0" applyFont="1" applyBorder="1" applyAlignment="1">
      <alignment horizontal="left" vertical="center"/>
    </xf>
    <xf numFmtId="0" fontId="131" fillId="0" borderId="45" xfId="0" applyFont="1" applyBorder="1" applyAlignment="1">
      <alignment horizontal="center" vertical="center"/>
    </xf>
    <xf numFmtId="0" fontId="139" fillId="0" borderId="45" xfId="0" applyFont="1" applyBorder="1" applyAlignment="1">
      <alignment vertical="center" wrapText="1"/>
    </xf>
    <xf numFmtId="0" fontId="131" fillId="0" borderId="45" xfId="0" applyFont="1" applyBorder="1" applyAlignment="1">
      <alignment vertical="center"/>
    </xf>
    <xf numFmtId="0" fontId="140" fillId="0" borderId="45" xfId="0" applyFont="1" applyBorder="1"/>
    <xf numFmtId="4" fontId="131" fillId="0" borderId="45" xfId="0" applyNumberFormat="1" applyFont="1" applyBorder="1" applyAlignment="1">
      <alignment vertical="center"/>
    </xf>
    <xf numFmtId="0" fontId="140" fillId="0" borderId="45" xfId="0" applyFont="1" applyBorder="1" applyAlignment="1">
      <alignment wrapText="1"/>
    </xf>
    <xf numFmtId="0" fontId="138" fillId="2" borderId="45" xfId="0" applyFont="1" applyFill="1" applyBorder="1" applyAlignment="1">
      <alignment vertical="center" wrapText="1"/>
    </xf>
    <xf numFmtId="0" fontId="141" fillId="0" borderId="45" xfId="0" applyFont="1" applyBorder="1" applyAlignment="1">
      <alignment horizontal="center" vertical="center" wrapText="1"/>
    </xf>
    <xf numFmtId="0" fontId="140" fillId="0" borderId="45" xfId="0" applyFont="1" applyBorder="1" applyAlignment="1">
      <alignment horizontal="center" vertical="center"/>
    </xf>
    <xf numFmtId="0" fontId="139" fillId="0" borderId="45" xfId="2" applyFont="1" applyBorder="1" applyAlignment="1">
      <alignment horizontal="center" vertical="center" wrapText="1"/>
    </xf>
    <xf numFmtId="0" fontId="139" fillId="31" borderId="45" xfId="0" applyFont="1" applyFill="1" applyBorder="1" applyAlignment="1">
      <alignment horizontal="center" vertical="center" wrapText="1"/>
    </xf>
    <xf numFmtId="4" fontId="140" fillId="0" borderId="45" xfId="0" applyNumberFormat="1" applyFont="1" applyBorder="1" applyAlignment="1">
      <alignment horizontal="right" vertical="center"/>
    </xf>
    <xf numFmtId="4" fontId="131" fillId="0" borderId="45" xfId="0" applyNumberFormat="1" applyFont="1" applyBorder="1" applyAlignment="1">
      <alignment horizontal="right" vertical="center" wrapText="1"/>
    </xf>
    <xf numFmtId="164" fontId="131" fillId="0" borderId="45" xfId="1" applyFont="1" applyFill="1" applyBorder="1" applyAlignment="1">
      <alignment horizontal="right" vertical="center" wrapText="1"/>
    </xf>
    <xf numFmtId="4" fontId="142" fillId="0" borderId="45" xfId="0" applyNumberFormat="1" applyFont="1" applyBorder="1" applyAlignment="1">
      <alignment horizontal="right" vertical="center" wrapText="1"/>
    </xf>
    <xf numFmtId="0" fontId="143" fillId="0" borderId="45" xfId="0" applyFont="1" applyBorder="1" applyAlignment="1">
      <alignment vertical="center" wrapText="1"/>
    </xf>
    <xf numFmtId="3" fontId="143" fillId="0" borderId="45" xfId="0" applyNumberFormat="1" applyFont="1" applyBorder="1" applyAlignment="1">
      <alignment horizontal="right" vertical="center" wrapText="1"/>
    </xf>
    <xf numFmtId="0" fontId="143" fillId="0" borderId="0" xfId="0" applyFont="1" applyAlignment="1">
      <alignment horizontal="left" vertical="center" wrapText="1"/>
    </xf>
    <xf numFmtId="0" fontId="145" fillId="0" borderId="45" xfId="0" applyFont="1" applyBorder="1" applyAlignment="1">
      <alignment vertical="center" wrapText="1"/>
    </xf>
    <xf numFmtId="0" fontId="144" fillId="0" borderId="45" xfId="0" applyFont="1" applyBorder="1" applyAlignment="1">
      <alignment horizontal="center" vertical="center"/>
    </xf>
    <xf numFmtId="4" fontId="142" fillId="2" borderId="45" xfId="0" applyNumberFormat="1" applyFont="1" applyFill="1" applyBorder="1" applyAlignment="1">
      <alignment horizontal="right" vertical="center" wrapText="1"/>
    </xf>
    <xf numFmtId="0" fontId="140" fillId="0" borderId="45" xfId="0" applyFont="1" applyBorder="1" applyAlignment="1">
      <alignment vertical="center" wrapText="1"/>
    </xf>
    <xf numFmtId="0" fontId="23" fillId="0" borderId="21" xfId="0" applyFont="1" applyBorder="1" applyAlignment="1">
      <alignment horizontal="center" vertical="center" wrapText="1"/>
    </xf>
    <xf numFmtId="0" fontId="21" fillId="0" borderId="21" xfId="0" applyFont="1" applyBorder="1" applyAlignment="1">
      <alignment vertical="center"/>
    </xf>
    <xf numFmtId="0" fontId="0" fillId="0" borderId="6" xfId="0" applyBorder="1"/>
    <xf numFmtId="0" fontId="132" fillId="0" borderId="47" xfId="0" applyFont="1" applyBorder="1" applyAlignment="1">
      <alignment vertical="center" wrapText="1"/>
    </xf>
    <xf numFmtId="0" fontId="21" fillId="0" borderId="47" xfId="0" applyFont="1" applyBorder="1" applyAlignment="1">
      <alignment vertical="center"/>
    </xf>
    <xf numFmtId="0" fontId="23" fillId="0" borderId="46" xfId="0" applyFont="1" applyBorder="1" applyAlignment="1">
      <alignment horizontal="center" vertical="center" wrapText="1"/>
    </xf>
    <xf numFmtId="0" fontId="21" fillId="0" borderId="46" xfId="0" applyFont="1" applyBorder="1" applyAlignment="1">
      <alignment vertical="center"/>
    </xf>
    <xf numFmtId="0" fontId="0" fillId="0" borderId="46" xfId="0" applyBorder="1"/>
    <xf numFmtId="0" fontId="132" fillId="0" borderId="46" xfId="0" applyFont="1" applyBorder="1" applyAlignment="1">
      <alignment vertical="center" wrapText="1"/>
    </xf>
    <xf numFmtId="0" fontId="0" fillId="0" borderId="30" xfId="0" applyNumberFormat="1" applyBorder="1"/>
    <xf numFmtId="0" fontId="0" fillId="0" borderId="32" xfId="0" applyNumberFormat="1" applyBorder="1"/>
    <xf numFmtId="0" fontId="0" fillId="0" borderId="37" xfId="0" applyNumberFormat="1" applyBorder="1"/>
    <xf numFmtId="0" fontId="0" fillId="0" borderId="34" xfId="0" applyNumberFormat="1" applyBorder="1"/>
    <xf numFmtId="0" fontId="21" fillId="0" borderId="45" xfId="0" applyFont="1" applyBorder="1" applyAlignment="1">
      <alignment vertical="center" wrapText="1"/>
    </xf>
    <xf numFmtId="0" fontId="21" fillId="0" borderId="45" xfId="0" applyFont="1" applyBorder="1" applyAlignment="1">
      <alignment horizontal="center" vertical="center" wrapText="1"/>
    </xf>
    <xf numFmtId="0" fontId="131" fillId="0" borderId="47" xfId="0" applyFont="1" applyBorder="1" applyAlignment="1">
      <alignment vertical="center" wrapText="1"/>
    </xf>
    <xf numFmtId="0" fontId="131" fillId="0" borderId="48" xfId="0" applyFont="1" applyBorder="1" applyAlignment="1">
      <alignment horizontal="center" vertical="center" wrapText="1"/>
    </xf>
    <xf numFmtId="0" fontId="131" fillId="0" borderId="49" xfId="0" applyFont="1" applyBorder="1" applyAlignment="1">
      <alignment horizontal="center" vertical="center" wrapText="1"/>
    </xf>
    <xf numFmtId="0" fontId="131" fillId="0" borderId="50" xfId="0" applyFont="1" applyBorder="1" applyAlignment="1">
      <alignment horizontal="center" vertical="center" wrapText="1"/>
    </xf>
    <xf numFmtId="0" fontId="5" fillId="2" borderId="4" xfId="0" applyFont="1" applyFill="1" applyBorder="1" applyAlignment="1">
      <alignment horizontal="center" vertical="center"/>
    </xf>
    <xf numFmtId="0" fontId="6" fillId="0" borderId="2" xfId="0" applyFont="1" applyBorder="1"/>
    <xf numFmtId="0" fontId="6" fillId="0" borderId="3" xfId="0" applyFont="1" applyBorder="1"/>
    <xf numFmtId="0" fontId="1" fillId="0" borderId="0" xfId="0" applyFont="1" applyAlignment="1">
      <alignment horizontal="right" vertical="center"/>
    </xf>
    <xf numFmtId="0" fontId="6" fillId="0" borderId="1" xfId="0" applyFont="1" applyBorder="1"/>
    <xf numFmtId="0" fontId="8" fillId="2" borderId="7" xfId="0" applyFont="1" applyFill="1" applyBorder="1" applyAlignment="1">
      <alignment horizontal="center" vertical="center" wrapText="1"/>
    </xf>
    <xf numFmtId="0" fontId="6" fillId="0" borderId="8" xfId="0" applyFont="1" applyBorder="1"/>
    <xf numFmtId="0" fontId="6" fillId="0" borderId="12" xfId="0" applyFont="1" applyBorder="1"/>
    <xf numFmtId="0" fontId="6" fillId="0" borderId="13" xfId="0" applyFont="1" applyBorder="1"/>
    <xf numFmtId="0" fontId="5" fillId="2" borderId="9" xfId="0" applyFont="1" applyFill="1" applyBorder="1" applyAlignment="1">
      <alignment vertical="top"/>
    </xf>
    <xf numFmtId="0" fontId="6" fillId="0" borderId="10" xfId="0" applyFont="1" applyBorder="1"/>
    <xf numFmtId="0" fontId="6" fillId="0" borderId="11" xfId="0" applyFont="1" applyBorder="1"/>
    <xf numFmtId="0" fontId="9" fillId="2" borderId="7" xfId="0" applyFont="1" applyFill="1" applyBorder="1" applyAlignment="1">
      <alignment horizontal="right" vertical="center"/>
    </xf>
    <xf numFmtId="165" fontId="9" fillId="2" borderId="8" xfId="0" applyNumberFormat="1" applyFont="1" applyFill="1" applyBorder="1" applyAlignment="1">
      <alignment horizontal="right" vertical="center"/>
    </xf>
    <xf numFmtId="0" fontId="5" fillId="2" borderId="9" xfId="0" applyFont="1" applyFill="1" applyBorder="1" applyAlignment="1">
      <alignment vertical="top" wrapText="1"/>
    </xf>
    <xf numFmtId="0" fontId="9" fillId="2" borderId="14" xfId="0" applyFont="1" applyFill="1" applyBorder="1" applyAlignment="1">
      <alignment horizontal="center" vertical="center" wrapText="1"/>
    </xf>
    <xf numFmtId="0" fontId="6" fillId="0" borderId="15" xfId="0" applyFont="1" applyBorder="1"/>
    <xf numFmtId="164" fontId="9" fillId="2" borderId="14" xfId="0" applyNumberFormat="1" applyFont="1" applyFill="1" applyBorder="1" applyAlignment="1">
      <alignment horizontal="center" vertical="center" wrapText="1"/>
    </xf>
    <xf numFmtId="4" fontId="13" fillId="2" borderId="0" xfId="0" applyNumberFormat="1" applyFont="1" applyFill="1" applyAlignment="1">
      <alignment horizontal="right" vertical="center" wrapText="1"/>
    </xf>
    <xf numFmtId="0" fontId="0" fillId="0" borderId="0" xfId="0"/>
    <xf numFmtId="0" fontId="10" fillId="0" borderId="14" xfId="0" applyFont="1" applyBorder="1" applyAlignment="1">
      <alignment horizontal="center" vertical="center" wrapText="1"/>
    </xf>
    <xf numFmtId="0" fontId="11" fillId="0" borderId="14" xfId="0" applyFont="1" applyBorder="1" applyAlignment="1">
      <alignment horizontal="center" vertical="center" wrapText="1"/>
    </xf>
    <xf numFmtId="0" fontId="12" fillId="2" borderId="14" xfId="0" applyFont="1" applyFill="1" applyBorder="1" applyAlignment="1">
      <alignment horizontal="center" vertical="center" wrapText="1"/>
    </xf>
    <xf numFmtId="0" fontId="24" fillId="0" borderId="0" xfId="0" applyFont="1" applyAlignment="1">
      <alignment horizontal="left" vertical="center"/>
    </xf>
    <xf numFmtId="0" fontId="21" fillId="0" borderId="0" xfId="0" applyFont="1" applyAlignment="1">
      <alignment horizontal="left" vertical="center"/>
    </xf>
    <xf numFmtId="0" fontId="23" fillId="0" borderId="14" xfId="0" applyFont="1" applyBorder="1" applyAlignment="1">
      <alignment horizontal="center" vertical="center" wrapText="1"/>
    </xf>
    <xf numFmtId="0" fontId="21" fillId="0" borderId="0" xfId="0" applyFont="1" applyAlignment="1">
      <alignment vertical="center"/>
    </xf>
    <xf numFmtId="0" fontId="23" fillId="0" borderId="14" xfId="0" applyFont="1" applyBorder="1" applyAlignment="1">
      <alignment vertical="center" wrapText="1"/>
    </xf>
    <xf numFmtId="0" fontId="23" fillId="0" borderId="9" xfId="0" applyFont="1" applyBorder="1" applyAlignment="1">
      <alignment horizontal="left" vertical="center"/>
    </xf>
    <xf numFmtId="0" fontId="24" fillId="0" borderId="0" xfId="0" applyFont="1" applyAlignment="1">
      <alignment vertical="center"/>
    </xf>
    <xf numFmtId="0" fontId="23" fillId="0" borderId="10" xfId="0" applyFont="1" applyBorder="1" applyAlignment="1">
      <alignment horizontal="center" vertical="center" wrapText="1"/>
    </xf>
    <xf numFmtId="0" fontId="1" fillId="0" borderId="0" xfId="0" applyFont="1" applyAlignment="1">
      <alignment vertical="center"/>
    </xf>
    <xf numFmtId="0" fontId="23" fillId="0" borderId="0" xfId="0" applyFont="1" applyAlignment="1">
      <alignment horizontal="left" vertical="center"/>
    </xf>
    <xf numFmtId="0" fontId="135" fillId="0" borderId="0" xfId="0" applyFont="1" applyAlignment="1">
      <alignment horizontal="left" vertical="center"/>
    </xf>
    <xf numFmtId="0" fontId="131" fillId="0" borderId="0" xfId="0" applyFont="1" applyAlignment="1">
      <alignment horizontal="left" vertical="center"/>
    </xf>
    <xf numFmtId="3" fontId="23" fillId="0" borderId="14" xfId="0" applyNumberFormat="1" applyFont="1" applyBorder="1" applyAlignment="1">
      <alignment horizontal="center" vertical="center" wrapText="1"/>
    </xf>
    <xf numFmtId="0" fontId="23" fillId="0" borderId="14" xfId="0" applyFont="1" applyBorder="1" applyAlignment="1">
      <alignment horizontal="left" vertical="center" wrapText="1"/>
    </xf>
    <xf numFmtId="0" fontId="23" fillId="0" borderId="45" xfId="0" applyFont="1" applyBorder="1" applyAlignment="1">
      <alignment horizontal="left" vertical="center"/>
    </xf>
    <xf numFmtId="0" fontId="6" fillId="0" borderId="45" xfId="0" applyFont="1" applyBorder="1"/>
    <xf numFmtId="0" fontId="22" fillId="0" borderId="0" xfId="0" applyFont="1" applyAlignment="1">
      <alignment vertical="center"/>
    </xf>
    <xf numFmtId="0" fontId="136" fillId="0" borderId="0" xfId="0" applyFont="1" applyAlignment="1">
      <alignment horizontal="center" vertical="center"/>
    </xf>
    <xf numFmtId="0" fontId="137" fillId="0" borderId="0" xfId="0" applyFont="1" applyAlignment="1">
      <alignment horizontal="center"/>
    </xf>
    <xf numFmtId="0" fontId="129" fillId="0" borderId="0" xfId="0" applyFont="1" applyAlignment="1">
      <alignment horizontal="left" vertical="center"/>
    </xf>
    <xf numFmtId="0" fontId="21" fillId="0" borderId="0" xfId="0" applyFont="1" applyAlignment="1">
      <alignment horizontal="center" vertical="center"/>
    </xf>
    <xf numFmtId="0" fontId="29" fillId="0" borderId="9" xfId="0" applyFont="1" applyBorder="1" applyAlignment="1">
      <alignment horizontal="center" vertical="center" wrapText="1"/>
    </xf>
    <xf numFmtId="0" fontId="46" fillId="0" borderId="0" xfId="0" applyFont="1" applyAlignment="1">
      <alignment horizontal="center"/>
    </xf>
    <xf numFmtId="0" fontId="50" fillId="0" borderId="19" xfId="0" applyFont="1" applyBorder="1" applyAlignment="1">
      <alignment horizontal="center" vertical="center" wrapText="1"/>
    </xf>
    <xf numFmtId="0" fontId="6" fillId="0" borderId="19" xfId="0" applyFont="1" applyBorder="1"/>
    <xf numFmtId="0" fontId="54" fillId="0" borderId="19" xfId="0" applyFont="1" applyBorder="1" applyAlignment="1">
      <alignment horizontal="center" wrapText="1"/>
    </xf>
    <xf numFmtId="0" fontId="24" fillId="0" borderId="14" xfId="0" applyFont="1" applyBorder="1" applyAlignment="1">
      <alignment horizontal="center"/>
    </xf>
    <xf numFmtId="0" fontId="6" fillId="0" borderId="24" xfId="0" applyFont="1" applyBorder="1"/>
    <xf numFmtId="0" fontId="85" fillId="0" borderId="14" xfId="0" applyFont="1" applyBorder="1" applyAlignment="1">
      <alignment horizontal="center" wrapText="1"/>
    </xf>
    <xf numFmtId="0" fontId="85" fillId="0" borderId="14" xfId="0" applyFont="1" applyBorder="1" applyAlignment="1">
      <alignment horizontal="center"/>
    </xf>
    <xf numFmtId="0" fontId="85" fillId="0" borderId="10" xfId="0" applyFont="1" applyBorder="1" applyAlignment="1">
      <alignment horizontal="center"/>
    </xf>
    <xf numFmtId="0" fontId="85" fillId="0" borderId="24" xfId="0" applyFont="1" applyBorder="1" applyAlignment="1">
      <alignment horizontal="center"/>
    </xf>
    <xf numFmtId="0" fontId="86" fillId="0" borderId="0" xfId="0" applyFont="1" applyAlignment="1">
      <alignment horizontal="left" vertical="top"/>
    </xf>
    <xf numFmtId="0" fontId="88" fillId="0" borderId="14" xfId="0" applyFont="1" applyBorder="1" applyAlignment="1">
      <alignment horizontal="center"/>
    </xf>
    <xf numFmtId="0" fontId="88" fillId="0" borderId="10" xfId="0" applyFont="1" applyBorder="1" applyAlignment="1">
      <alignment horizontal="center"/>
    </xf>
    <xf numFmtId="0" fontId="89" fillId="21" borderId="0" xfId="0" applyFont="1" applyFill="1" applyAlignment="1">
      <alignment horizontal="left"/>
    </xf>
    <xf numFmtId="0" fontId="87" fillId="0" borderId="14" xfId="0" applyFont="1" applyBorder="1" applyAlignment="1">
      <alignment horizontal="center"/>
    </xf>
    <xf numFmtId="0" fontId="23" fillId="0" borderId="9" xfId="0" applyFont="1" applyBorder="1" applyAlignment="1">
      <alignment horizontal="left"/>
    </xf>
    <xf numFmtId="0" fontId="23" fillId="0" borderId="9" xfId="0" applyFont="1" applyBorder="1" applyAlignment="1">
      <alignment horizontal="center" vertical="center"/>
    </xf>
    <xf numFmtId="0" fontId="21" fillId="0" borderId="0" xfId="0" applyFont="1" applyAlignment="1">
      <alignment horizontal="left"/>
    </xf>
    <xf numFmtId="0" fontId="21" fillId="0" borderId="0" xfId="0" applyFont="1"/>
    <xf numFmtId="0" fontId="1" fillId="0" borderId="0" xfId="0" applyFont="1" applyAlignment="1">
      <alignment horizontal="right"/>
    </xf>
    <xf numFmtId="0" fontId="90" fillId="0" borderId="0" xfId="0" applyFont="1" applyAlignment="1">
      <alignment horizontal="center"/>
    </xf>
    <xf numFmtId="0" fontId="24" fillId="0" borderId="0" xfId="0" applyFont="1" applyAlignment="1">
      <alignment horizontal="left"/>
    </xf>
    <xf numFmtId="0" fontId="24" fillId="0" borderId="0" xfId="0" applyFont="1"/>
    <xf numFmtId="4" fontId="53" fillId="0" borderId="9" xfId="0" applyNumberFormat="1" applyFont="1" applyBorder="1" applyAlignment="1">
      <alignment horizontal="center" vertical="center"/>
    </xf>
    <xf numFmtId="0" fontId="1" fillId="0" borderId="9" xfId="0" applyFont="1" applyBorder="1" applyAlignment="1">
      <alignment wrapText="1"/>
    </xf>
    <xf numFmtId="0" fontId="53" fillId="0" borderId="9" xfId="0" applyFont="1" applyBorder="1" applyAlignment="1">
      <alignment horizontal="center" vertical="center"/>
    </xf>
    <xf numFmtId="0" fontId="4" fillId="0" borderId="9" xfId="0" applyFont="1" applyBorder="1" applyAlignment="1">
      <alignment horizontal="center" vertical="center"/>
    </xf>
    <xf numFmtId="0" fontId="4" fillId="0" borderId="9" xfId="0" applyFont="1" applyBorder="1" applyAlignment="1">
      <alignment horizontal="left" wrapText="1"/>
    </xf>
    <xf numFmtId="0" fontId="1" fillId="0" borderId="9" xfId="0" applyFont="1" applyBorder="1" applyAlignment="1">
      <alignment horizontal="center" vertical="center"/>
    </xf>
    <xf numFmtId="0" fontId="1" fillId="0" borderId="21" xfId="0" applyFont="1" applyBorder="1"/>
    <xf numFmtId="0" fontId="6" fillId="0" borderId="21" xfId="0" applyFont="1" applyBorder="1"/>
    <xf numFmtId="0" fontId="67" fillId="0" borderId="0" xfId="0" applyFont="1"/>
    <xf numFmtId="0" fontId="1" fillId="0" borderId="12" xfId="0" applyFont="1" applyBorder="1" applyAlignment="1">
      <alignment horizontal="center" vertical="center"/>
    </xf>
    <xf numFmtId="0" fontId="1" fillId="0" borderId="12" xfId="0" applyFont="1" applyBorder="1"/>
    <xf numFmtId="0" fontId="48" fillId="0" borderId="12" xfId="0" applyFont="1" applyBorder="1" applyAlignment="1">
      <alignment horizontal="center"/>
    </xf>
    <xf numFmtId="0" fontId="24" fillId="0" borderId="21" xfId="0" applyFont="1" applyBorder="1" applyAlignment="1">
      <alignment horizontal="center"/>
    </xf>
    <xf numFmtId="0" fontId="70" fillId="0" borderId="21" xfId="0" applyFont="1" applyBorder="1" applyAlignment="1">
      <alignment horizontal="center"/>
    </xf>
    <xf numFmtId="0" fontId="67" fillId="0" borderId="0" xfId="0" applyFont="1" applyAlignment="1">
      <alignment horizontal="left"/>
    </xf>
    <xf numFmtId="0" fontId="24" fillId="0" borderId="21" xfId="0" applyFont="1" applyBorder="1" applyAlignment="1">
      <alignment horizontal="left"/>
    </xf>
    <xf numFmtId="4" fontId="24" fillId="0" borderId="21" xfId="0" applyNumberFormat="1" applyFont="1" applyBorder="1" applyAlignment="1">
      <alignment horizontal="right"/>
    </xf>
    <xf numFmtId="0" fontId="24" fillId="0" borderId="22" xfId="0" applyFont="1" applyBorder="1" applyAlignment="1">
      <alignment horizontal="center"/>
    </xf>
    <xf numFmtId="0" fontId="6" fillId="0" borderId="23" xfId="0" applyFont="1" applyBorder="1"/>
    <xf numFmtId="0" fontId="67" fillId="0" borderId="10" xfId="0" applyFont="1" applyBorder="1" applyAlignment="1">
      <alignment horizontal="center"/>
    </xf>
    <xf numFmtId="0" fontId="67" fillId="0" borderId="7" xfId="0" applyFont="1" applyBorder="1"/>
    <xf numFmtId="0" fontId="6" fillId="0" borderId="22" xfId="0" applyFont="1" applyBorder="1"/>
    <xf numFmtId="0" fontId="21" fillId="0" borderId="19" xfId="0" applyFont="1" applyBorder="1" applyAlignment="1">
      <alignment horizontal="left"/>
    </xf>
    <xf numFmtId="0" fontId="67" fillId="0" borderId="10" xfId="0" applyFont="1" applyBorder="1" applyAlignment="1">
      <alignment horizontal="left"/>
    </xf>
    <xf numFmtId="0" fontId="1" fillId="0" borderId="10" xfId="0" applyFont="1" applyBorder="1"/>
    <xf numFmtId="0" fontId="67" fillId="0" borderId="21" xfId="0" applyFont="1" applyBorder="1" applyAlignment="1">
      <alignment horizontal="left"/>
    </xf>
    <xf numFmtId="0" fontId="67" fillId="0" borderId="12" xfId="0" applyFont="1" applyBorder="1" applyAlignment="1">
      <alignment vertical="top"/>
    </xf>
    <xf numFmtId="0" fontId="21" fillId="0" borderId="21" xfId="0" applyFont="1" applyBorder="1" applyAlignment="1">
      <alignment horizontal="left"/>
    </xf>
    <xf numFmtId="0" fontId="96" fillId="0" borderId="9" xfId="0" applyFont="1" applyBorder="1" applyAlignment="1">
      <alignment horizontal="center"/>
    </xf>
    <xf numFmtId="0" fontId="67" fillId="0" borderId="19" xfId="0" applyFont="1" applyBorder="1" applyAlignment="1">
      <alignment horizontal="center"/>
    </xf>
    <xf numFmtId="0" fontId="97" fillId="0" borderId="0" xfId="0" applyFont="1"/>
    <xf numFmtId="0" fontId="67" fillId="0" borderId="7" xfId="0" applyFont="1" applyBorder="1" applyAlignment="1">
      <alignment horizontal="center" vertical="center"/>
    </xf>
    <xf numFmtId="0" fontId="67" fillId="0" borderId="9" xfId="0" applyFont="1" applyBorder="1" applyAlignment="1">
      <alignment horizontal="center"/>
    </xf>
    <xf numFmtId="4" fontId="96" fillId="10" borderId="0" xfId="0" applyNumberFormat="1" applyFont="1" applyFill="1" applyAlignment="1">
      <alignment horizontal="center" vertical="center" wrapText="1"/>
    </xf>
    <xf numFmtId="0" fontId="98" fillId="26" borderId="9" xfId="0" applyFont="1" applyFill="1" applyBorder="1" applyAlignment="1">
      <alignment horizontal="center" wrapText="1"/>
    </xf>
    <xf numFmtId="0" fontId="67" fillId="0" borderId="9" xfId="0" applyFont="1" applyBorder="1" applyAlignment="1">
      <alignment horizontal="left" wrapText="1"/>
    </xf>
    <xf numFmtId="0" fontId="67" fillId="0" borderId="9" xfId="0" applyFont="1" applyBorder="1" applyAlignment="1">
      <alignment wrapText="1"/>
    </xf>
    <xf numFmtId="0" fontId="67" fillId="2" borderId="7" xfId="0" applyFont="1" applyFill="1" applyBorder="1" applyAlignment="1">
      <alignment horizontal="left" wrapText="1"/>
    </xf>
    <xf numFmtId="0" fontId="67" fillId="2" borderId="9" xfId="0" applyFont="1" applyFill="1" applyBorder="1" applyAlignment="1">
      <alignment horizontal="left" wrapText="1"/>
    </xf>
    <xf numFmtId="0" fontId="67" fillId="2" borderId="9" xfId="0" applyFont="1" applyFill="1" applyBorder="1" applyAlignment="1">
      <alignment wrapText="1"/>
    </xf>
    <xf numFmtId="0" fontId="103" fillId="0" borderId="0" xfId="0" applyFont="1" applyAlignment="1">
      <alignment horizontal="left" vertical="center"/>
    </xf>
    <xf numFmtId="0" fontId="17" fillId="0" borderId="0" xfId="0" applyFont="1" applyAlignment="1">
      <alignment vertical="center"/>
    </xf>
    <xf numFmtId="0" fontId="100" fillId="28" borderId="7" xfId="0" applyFont="1" applyFill="1" applyBorder="1" applyAlignment="1">
      <alignment horizontal="center" vertical="center"/>
    </xf>
    <xf numFmtId="0" fontId="101" fillId="0" borderId="19" xfId="0" applyFont="1" applyBorder="1" applyAlignment="1">
      <alignment horizontal="center" vertical="center"/>
    </xf>
    <xf numFmtId="0" fontId="5" fillId="2" borderId="4" xfId="0" applyFont="1" applyFill="1" applyBorder="1" applyAlignment="1">
      <alignment horizontal="center"/>
    </xf>
    <xf numFmtId="0" fontId="1" fillId="0" borderId="0" xfId="0" applyFont="1"/>
    <xf numFmtId="0" fontId="8" fillId="2" borderId="7" xfId="0" applyFont="1" applyFill="1" applyBorder="1" applyAlignment="1">
      <alignment horizontal="center" wrapText="1"/>
    </xf>
    <xf numFmtId="0" fontId="5" fillId="2" borderId="9" xfId="0" applyFont="1" applyFill="1" applyBorder="1"/>
    <xf numFmtId="165" fontId="9" fillId="2" borderId="8" xfId="0" applyNumberFormat="1" applyFont="1" applyFill="1" applyBorder="1" applyAlignment="1">
      <alignment horizontal="center" vertical="center"/>
    </xf>
    <xf numFmtId="0" fontId="5" fillId="2" borderId="9" xfId="0" applyFont="1" applyFill="1" applyBorder="1" applyAlignment="1">
      <alignment wrapText="1"/>
    </xf>
    <xf numFmtId="0" fontId="9" fillId="2" borderId="14" xfId="0" applyFont="1" applyFill="1" applyBorder="1" applyAlignment="1">
      <alignment horizontal="center" wrapText="1"/>
    </xf>
    <xf numFmtId="164" fontId="9" fillId="2" borderId="14" xfId="0" applyNumberFormat="1" applyFont="1" applyFill="1" applyBorder="1" applyAlignment="1">
      <alignment horizontal="center" wrapText="1"/>
    </xf>
    <xf numFmtId="0" fontId="105" fillId="2" borderId="0" xfId="0" applyFont="1" applyFill="1" applyAlignment="1">
      <alignment horizontal="center"/>
    </xf>
    <xf numFmtId="0" fontId="1" fillId="0" borderId="2" xfId="0" applyFont="1" applyBorder="1"/>
    <xf numFmtId="0" fontId="12" fillId="2" borderId="14" xfId="0" applyFont="1" applyFill="1" applyBorder="1" applyAlignment="1">
      <alignment horizontal="center" wrapText="1"/>
    </xf>
    <xf numFmtId="0" fontId="10" fillId="0" borderId="14" xfId="0" applyFont="1" applyBorder="1" applyAlignment="1">
      <alignment horizontal="center" wrapText="1"/>
    </xf>
    <xf numFmtId="0" fontId="11" fillId="0" borderId="14" xfId="0" applyFont="1" applyBorder="1" applyAlignment="1">
      <alignment horizontal="center" wrapText="1"/>
    </xf>
    <xf numFmtId="4" fontId="53" fillId="0" borderId="19" xfId="0" applyNumberFormat="1" applyFont="1" applyBorder="1" applyAlignment="1">
      <alignment horizontal="left"/>
    </xf>
    <xf numFmtId="0" fontId="1" fillId="0" borderId="22" xfId="0" applyFont="1" applyBorder="1"/>
    <xf numFmtId="0" fontId="4" fillId="0" borderId="7" xfId="0" applyFont="1" applyBorder="1" applyAlignment="1">
      <alignment horizontal="center"/>
    </xf>
    <xf numFmtId="0" fontId="81" fillId="0" borderId="7" xfId="0" applyFont="1" applyBorder="1" applyAlignment="1">
      <alignment horizontal="left"/>
    </xf>
    <xf numFmtId="0" fontId="53" fillId="0" borderId="19" xfId="0" applyFont="1" applyBorder="1" applyAlignment="1">
      <alignment horizontal="center"/>
    </xf>
    <xf numFmtId="0" fontId="48" fillId="0" borderId="9" xfId="0" applyFont="1" applyBorder="1" applyAlignment="1">
      <alignment horizontal="center"/>
    </xf>
    <xf numFmtId="0" fontId="24" fillId="0" borderId="12" xfId="0" applyFont="1" applyBorder="1" applyAlignment="1">
      <alignment horizontal="left"/>
    </xf>
    <xf numFmtId="0" fontId="21" fillId="0" borderId="0" xfId="0" applyFont="1" applyAlignment="1">
      <alignment horizontal="center" wrapText="1"/>
    </xf>
    <xf numFmtId="0" fontId="21" fillId="0" borderId="14" xfId="0" applyFont="1" applyBorder="1" applyAlignment="1">
      <alignment horizontal="center" wrapText="1"/>
    </xf>
    <xf numFmtId="0" fontId="21" fillId="0" borderId="0" xfId="0" applyFont="1" applyAlignment="1">
      <alignment wrapText="1"/>
    </xf>
    <xf numFmtId="0" fontId="21" fillId="0" borderId="14" xfId="0" applyFont="1" applyBorder="1" applyAlignment="1">
      <alignment wrapText="1"/>
    </xf>
    <xf numFmtId="0" fontId="21" fillId="0" borderId="10" xfId="0" applyFont="1" applyBorder="1" applyAlignment="1">
      <alignment horizontal="center"/>
    </xf>
    <xf numFmtId="0" fontId="21" fillId="0" borderId="9" xfId="0" applyFont="1" applyBorder="1" applyAlignment="1">
      <alignment horizontal="center" wrapText="1"/>
    </xf>
    <xf numFmtId="0" fontId="24" fillId="0" borderId="0" xfId="0" applyFont="1" applyAlignment="1">
      <alignment horizontal="center" wrapText="1"/>
    </xf>
    <xf numFmtId="0" fontId="110" fillId="0" borderId="0" xfId="0" applyFont="1" applyAlignment="1">
      <alignment wrapText="1"/>
    </xf>
    <xf numFmtId="0" fontId="21" fillId="0" borderId="9" xfId="0" applyFont="1" applyBorder="1" applyAlignment="1">
      <alignment horizontal="left" wrapText="1"/>
    </xf>
    <xf numFmtId="0" fontId="8" fillId="0" borderId="0" xfId="0" applyFont="1" applyAlignment="1">
      <alignment horizontal="left" vertical="top"/>
    </xf>
    <xf numFmtId="0" fontId="111" fillId="0" borderId="0" xfId="0" applyFont="1" applyAlignment="1">
      <alignment horizontal="center" vertical="top"/>
    </xf>
    <xf numFmtId="0" fontId="10" fillId="0" borderId="0" xfId="0" applyFont="1" applyAlignment="1">
      <alignment horizontal="center" vertical="top"/>
    </xf>
    <xf numFmtId="0" fontId="10" fillId="0" borderId="0" xfId="0" applyFont="1" applyAlignment="1">
      <alignment horizontal="right" vertical="top"/>
    </xf>
    <xf numFmtId="0" fontId="118" fillId="0" borderId="19" xfId="0" applyFont="1" applyBorder="1" applyAlignment="1">
      <alignment horizontal="center"/>
    </xf>
    <xf numFmtId="0" fontId="117" fillId="0" borderId="10" xfId="0" applyFont="1" applyBorder="1" applyAlignment="1">
      <alignment horizontal="center"/>
    </xf>
    <xf numFmtId="0" fontId="118" fillId="0" borderId="10" xfId="0" applyFont="1" applyBorder="1" applyAlignment="1">
      <alignment horizontal="center"/>
    </xf>
    <xf numFmtId="14" fontId="113" fillId="0" borderId="12" xfId="0" applyNumberFormat="1" applyFont="1" applyBorder="1" applyAlignment="1">
      <alignment horizontal="center"/>
    </xf>
    <xf numFmtId="0" fontId="114" fillId="0" borderId="0" xfId="0" applyFont="1" applyAlignment="1">
      <alignment horizontal="center"/>
    </xf>
    <xf numFmtId="0" fontId="113" fillId="0" borderId="21" xfId="0" applyFont="1" applyBorder="1" applyAlignment="1">
      <alignment horizontal="left"/>
    </xf>
    <xf numFmtId="0" fontId="115" fillId="0" borderId="10" xfId="0" applyFont="1" applyBorder="1" applyAlignment="1">
      <alignment horizontal="left"/>
    </xf>
    <xf numFmtId="0" fontId="113" fillId="0" borderId="19" xfId="0" applyFont="1" applyBorder="1" applyAlignment="1">
      <alignment horizontal="left"/>
    </xf>
    <xf numFmtId="0" fontId="113" fillId="0" borderId="9" xfId="0" applyFont="1" applyBorder="1" applyAlignment="1">
      <alignment horizontal="center"/>
    </xf>
    <xf numFmtId="0" fontId="113" fillId="0" borderId="10" xfId="0" applyFont="1" applyBorder="1" applyAlignment="1">
      <alignment horizontal="center"/>
    </xf>
    <xf numFmtId="0" fontId="115" fillId="0" borderId="10" xfId="0" applyFont="1" applyBorder="1" applyAlignment="1">
      <alignment horizontal="center"/>
    </xf>
    <xf numFmtId="0" fontId="17" fillId="0" borderId="9" xfId="0" applyFont="1" applyBorder="1" applyAlignment="1">
      <alignment horizontal="left" vertical="center" wrapText="1"/>
    </xf>
    <xf numFmtId="0" fontId="1" fillId="0" borderId="21" xfId="0" applyFont="1" applyBorder="1" applyAlignment="1">
      <alignment horizontal="center" vertical="center"/>
    </xf>
    <xf numFmtId="0" fontId="1" fillId="0" borderId="21" xfId="0" applyFont="1" applyBorder="1" applyAlignment="1">
      <alignment vertical="center"/>
    </xf>
    <xf numFmtId="0" fontId="113" fillId="0" borderId="7" xfId="0" applyFont="1" applyBorder="1" applyAlignment="1">
      <alignment horizontal="left"/>
    </xf>
    <xf numFmtId="0" fontId="113" fillId="0" borderId="22" xfId="0" applyFont="1" applyBorder="1" applyAlignment="1">
      <alignment horizontal="left"/>
    </xf>
    <xf numFmtId="0" fontId="113" fillId="0" borderId="12" xfId="0" applyFont="1" applyBorder="1" applyAlignment="1">
      <alignment horizontal="left"/>
    </xf>
    <xf numFmtId="0" fontId="115" fillId="0" borderId="19" xfId="0" applyFont="1" applyBorder="1"/>
    <xf numFmtId="0" fontId="113" fillId="0" borderId="7" xfId="0" applyFont="1" applyBorder="1"/>
    <xf numFmtId="0" fontId="113" fillId="0" borderId="22" xfId="0" applyFont="1" applyBorder="1"/>
    <xf numFmtId="0" fontId="21" fillId="0" borderId="10" xfId="0" applyFont="1" applyBorder="1" applyAlignment="1">
      <alignment horizontal="center" wrapText="1"/>
    </xf>
    <xf numFmtId="0" fontId="21" fillId="0" borderId="9" xfId="0" applyFont="1" applyBorder="1"/>
    <xf numFmtId="0" fontId="21" fillId="0" borderId="14" xfId="0" applyFont="1" applyBorder="1" applyAlignment="1">
      <alignment horizontal="center"/>
    </xf>
    <xf numFmtId="0" fontId="21" fillId="0" borderId="14" xfId="0" applyFont="1" applyBorder="1"/>
    <xf numFmtId="0" fontId="21" fillId="0" borderId="0" xfId="0" applyFont="1" applyAlignment="1">
      <alignment horizontal="center"/>
    </xf>
    <xf numFmtId="0" fontId="5" fillId="2" borderId="0" xfId="0" applyFont="1" applyFill="1" applyAlignment="1">
      <alignment horizontal="center"/>
    </xf>
    <xf numFmtId="0" fontId="7" fillId="2" borderId="0" xfId="0" applyFont="1" applyFill="1"/>
    <xf numFmtId="0" fontId="124" fillId="2" borderId="7" xfId="0" applyFont="1" applyFill="1" applyBorder="1" applyAlignment="1">
      <alignment horizontal="left" wrapText="1"/>
    </xf>
    <xf numFmtId="0" fontId="123" fillId="2" borderId="7" xfId="0" applyFont="1" applyFill="1" applyBorder="1" applyAlignment="1">
      <alignment horizontal="center"/>
    </xf>
    <xf numFmtId="0" fontId="124" fillId="2" borderId="12" xfId="0" applyFont="1" applyFill="1" applyBorder="1" applyAlignment="1">
      <alignment horizontal="left" wrapText="1"/>
    </xf>
    <xf numFmtId="0" fontId="8" fillId="2" borderId="7" xfId="0" applyFont="1" applyFill="1" applyBorder="1" applyAlignment="1">
      <alignment horizontal="center"/>
    </xf>
    <xf numFmtId="0" fontId="65" fillId="0" borderId="14" xfId="0" applyFont="1" applyBorder="1" applyAlignment="1">
      <alignment horizontal="center"/>
    </xf>
    <xf numFmtId="0" fontId="7" fillId="0" borderId="14" xfId="0" applyFont="1" applyBorder="1" applyAlignment="1">
      <alignment horizontal="center" wrapText="1"/>
    </xf>
    <xf numFmtId="0" fontId="73" fillId="2" borderId="14" xfId="0" applyFont="1" applyFill="1" applyBorder="1" applyAlignment="1">
      <alignment horizontal="center"/>
    </xf>
    <xf numFmtId="0" fontId="123" fillId="2" borderId="14" xfId="0" applyFont="1" applyFill="1" applyBorder="1" applyAlignment="1">
      <alignment horizontal="center"/>
    </xf>
    <xf numFmtId="0" fontId="82" fillId="2" borderId="21" xfId="0" applyFont="1" applyFill="1" applyBorder="1" applyAlignment="1">
      <alignment horizontal="center"/>
    </xf>
    <xf numFmtId="0" fontId="53" fillId="6" borderId="9" xfId="0" applyFont="1" applyFill="1" applyBorder="1" applyAlignment="1">
      <alignment horizontal="center" vertical="center"/>
    </xf>
  </cellXfs>
  <cellStyles count="3">
    <cellStyle name="Comma" xfId="1" builtinId="3"/>
    <cellStyle name="Normal" xfId="0" builtinId="0"/>
    <cellStyle name="Normal 12"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externalLink" Target="externalLinks/externalLink2.xml"/><Relationship Id="rId50"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pivotCacheDefinition" Target="pivotCache/pivotCacheDefinition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pivotCacheDefinition" Target="pivotCache/pivotCacheDefinition1.xml"/><Relationship Id="rId8" Type="http://schemas.openxmlformats.org/officeDocument/2006/relationships/worksheet" Target="worksheets/sheet8.xml"/><Relationship Id="rId51"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600" b="1">
                <a:solidFill>
                  <a:srgbClr val="000000"/>
                </a:solidFill>
                <a:latin typeface="+mn-lt"/>
              </a:defRPr>
            </a:pPr>
            <a:r>
              <a:rPr sz="1600" b="1">
                <a:solidFill>
                  <a:srgbClr val="000000"/>
                </a:solidFill>
                <a:latin typeface="+mn-lt"/>
              </a:rPr>
              <a:t>Consolidated ICT PPMP 2023</a:t>
            </a:r>
          </a:p>
        </c:rich>
      </c:tx>
      <c:overlay val="0"/>
    </c:title>
    <c:autoTitleDeleted val="0"/>
    <c:plotArea>
      <c:layout/>
      <c:doughnutChart>
        <c:varyColors val="1"/>
        <c:ser>
          <c:idx val="0"/>
          <c:order val="0"/>
          <c:tx>
            <c:strRef>
              <c:f>'Consolidated (Pivot DB)'!$D$1</c:f>
              <c:strCache>
                <c:ptCount val="1"/>
                <c:pt idx="0">
                  <c:v>Estimated Budget</c:v>
                </c:pt>
              </c:strCache>
            </c:strRef>
          </c:tx>
          <c:dPt>
            <c:idx val="0"/>
            <c:bubble3D val="0"/>
            <c:spPr>
              <a:solidFill>
                <a:srgbClr val="4285F4"/>
              </a:solidFill>
            </c:spPr>
            <c:extLst>
              <c:ext xmlns:c16="http://schemas.microsoft.com/office/drawing/2014/chart" uri="{C3380CC4-5D6E-409C-BE32-E72D297353CC}">
                <c16:uniqueId val="{00000001-085C-458F-9BEB-3F36C6ADFC53}"/>
              </c:ext>
            </c:extLst>
          </c:dPt>
          <c:dPt>
            <c:idx val="1"/>
            <c:bubble3D val="0"/>
            <c:spPr>
              <a:solidFill>
                <a:srgbClr val="EA4335"/>
              </a:solidFill>
            </c:spPr>
            <c:extLst>
              <c:ext xmlns:c16="http://schemas.microsoft.com/office/drawing/2014/chart" uri="{C3380CC4-5D6E-409C-BE32-E72D297353CC}">
                <c16:uniqueId val="{00000003-085C-458F-9BEB-3F36C6ADFC53}"/>
              </c:ext>
            </c:extLst>
          </c:dPt>
          <c:dPt>
            <c:idx val="2"/>
            <c:bubble3D val="0"/>
            <c:spPr>
              <a:solidFill>
                <a:srgbClr val="FBBC04"/>
              </a:solidFill>
            </c:spPr>
            <c:extLst>
              <c:ext xmlns:c16="http://schemas.microsoft.com/office/drawing/2014/chart" uri="{C3380CC4-5D6E-409C-BE32-E72D297353CC}">
                <c16:uniqueId val="{00000005-085C-458F-9BEB-3F36C6ADFC53}"/>
              </c:ext>
            </c:extLst>
          </c:dPt>
          <c:dPt>
            <c:idx val="3"/>
            <c:bubble3D val="0"/>
            <c:spPr>
              <a:solidFill>
                <a:srgbClr val="34A853"/>
              </a:solidFill>
            </c:spPr>
            <c:extLst>
              <c:ext xmlns:c16="http://schemas.microsoft.com/office/drawing/2014/chart" uri="{C3380CC4-5D6E-409C-BE32-E72D297353CC}">
                <c16:uniqueId val="{00000007-085C-458F-9BEB-3F36C6ADFC53}"/>
              </c:ext>
            </c:extLst>
          </c:dPt>
          <c:dPt>
            <c:idx val="4"/>
            <c:bubble3D val="0"/>
            <c:spPr>
              <a:solidFill>
                <a:srgbClr val="FF6D01"/>
              </a:solidFill>
            </c:spPr>
            <c:extLst>
              <c:ext xmlns:c16="http://schemas.microsoft.com/office/drawing/2014/chart" uri="{C3380CC4-5D6E-409C-BE32-E72D297353CC}">
                <c16:uniqueId val="{00000009-085C-458F-9BEB-3F36C6ADFC53}"/>
              </c:ext>
            </c:extLst>
          </c:dPt>
          <c:dPt>
            <c:idx val="5"/>
            <c:bubble3D val="0"/>
            <c:spPr>
              <a:solidFill>
                <a:srgbClr val="46BDC6"/>
              </a:solidFill>
            </c:spPr>
            <c:extLst>
              <c:ext xmlns:c16="http://schemas.microsoft.com/office/drawing/2014/chart" uri="{C3380CC4-5D6E-409C-BE32-E72D297353CC}">
                <c16:uniqueId val="{0000000B-085C-458F-9BEB-3F36C6ADFC53}"/>
              </c:ext>
            </c:extLst>
          </c:dPt>
          <c:dPt>
            <c:idx val="6"/>
            <c:bubble3D val="0"/>
            <c:spPr>
              <a:solidFill>
                <a:srgbClr val="7BAAF7"/>
              </a:solidFill>
            </c:spPr>
            <c:extLst>
              <c:ext xmlns:c16="http://schemas.microsoft.com/office/drawing/2014/chart" uri="{C3380CC4-5D6E-409C-BE32-E72D297353CC}">
                <c16:uniqueId val="{0000000D-085C-458F-9BEB-3F36C6ADFC53}"/>
              </c:ext>
            </c:extLst>
          </c:dPt>
          <c:dPt>
            <c:idx val="7"/>
            <c:bubble3D val="0"/>
            <c:spPr>
              <a:solidFill>
                <a:srgbClr val="F07B72"/>
              </a:solidFill>
            </c:spPr>
            <c:extLst>
              <c:ext xmlns:c16="http://schemas.microsoft.com/office/drawing/2014/chart" uri="{C3380CC4-5D6E-409C-BE32-E72D297353CC}">
                <c16:uniqueId val="{0000000F-085C-458F-9BEB-3F36C6ADFC53}"/>
              </c:ext>
            </c:extLst>
          </c:dPt>
          <c:dPt>
            <c:idx val="8"/>
            <c:bubble3D val="0"/>
            <c:spPr>
              <a:solidFill>
                <a:srgbClr val="FCD04F"/>
              </a:solidFill>
            </c:spPr>
            <c:extLst>
              <c:ext xmlns:c16="http://schemas.microsoft.com/office/drawing/2014/chart" uri="{C3380CC4-5D6E-409C-BE32-E72D297353CC}">
                <c16:uniqueId val="{00000011-085C-458F-9BEB-3F36C6ADFC53}"/>
              </c:ext>
            </c:extLst>
          </c:dPt>
          <c:dPt>
            <c:idx val="9"/>
            <c:bubble3D val="0"/>
            <c:spPr>
              <a:solidFill>
                <a:srgbClr val="71C287"/>
              </a:solidFill>
            </c:spPr>
            <c:extLst>
              <c:ext xmlns:c16="http://schemas.microsoft.com/office/drawing/2014/chart" uri="{C3380CC4-5D6E-409C-BE32-E72D297353CC}">
                <c16:uniqueId val="{00000013-085C-458F-9BEB-3F36C6ADFC53}"/>
              </c:ext>
            </c:extLst>
          </c:dPt>
          <c:dPt>
            <c:idx val="10"/>
            <c:bubble3D val="0"/>
            <c:spPr>
              <a:solidFill>
                <a:srgbClr val="FF994D"/>
              </a:solidFill>
            </c:spPr>
            <c:extLst>
              <c:ext xmlns:c16="http://schemas.microsoft.com/office/drawing/2014/chart" uri="{C3380CC4-5D6E-409C-BE32-E72D297353CC}">
                <c16:uniqueId val="{00000015-085C-458F-9BEB-3F36C6ADFC53}"/>
              </c:ext>
            </c:extLst>
          </c:dPt>
          <c:dPt>
            <c:idx val="11"/>
            <c:bubble3D val="0"/>
            <c:spPr>
              <a:solidFill>
                <a:srgbClr val="7ED1D7"/>
              </a:solidFill>
            </c:spPr>
            <c:extLst>
              <c:ext xmlns:c16="http://schemas.microsoft.com/office/drawing/2014/chart" uri="{C3380CC4-5D6E-409C-BE32-E72D297353CC}">
                <c16:uniqueId val="{00000017-085C-458F-9BEB-3F36C6ADFC53}"/>
              </c:ext>
            </c:extLst>
          </c:dPt>
          <c:dPt>
            <c:idx val="12"/>
            <c:bubble3D val="0"/>
            <c:spPr>
              <a:solidFill>
                <a:srgbClr val="B3CEFB"/>
              </a:solidFill>
            </c:spPr>
            <c:extLst>
              <c:ext xmlns:c16="http://schemas.microsoft.com/office/drawing/2014/chart" uri="{C3380CC4-5D6E-409C-BE32-E72D297353CC}">
                <c16:uniqueId val="{00000019-085C-458F-9BEB-3F36C6ADFC53}"/>
              </c:ext>
            </c:extLst>
          </c:dPt>
          <c:dPt>
            <c:idx val="13"/>
            <c:bubble3D val="0"/>
            <c:spPr>
              <a:solidFill>
                <a:srgbClr val="F7B4AE"/>
              </a:solidFill>
            </c:spPr>
            <c:extLst>
              <c:ext xmlns:c16="http://schemas.microsoft.com/office/drawing/2014/chart" uri="{C3380CC4-5D6E-409C-BE32-E72D297353CC}">
                <c16:uniqueId val="{0000001B-085C-458F-9BEB-3F36C6ADFC53}"/>
              </c:ext>
            </c:extLst>
          </c:dPt>
          <c:dPt>
            <c:idx val="14"/>
            <c:bubble3D val="0"/>
            <c:spPr>
              <a:solidFill>
                <a:srgbClr val="FDE49B"/>
              </a:solidFill>
            </c:spPr>
            <c:extLst>
              <c:ext xmlns:c16="http://schemas.microsoft.com/office/drawing/2014/chart" uri="{C3380CC4-5D6E-409C-BE32-E72D297353CC}">
                <c16:uniqueId val="{0000001D-085C-458F-9BEB-3F36C6ADFC53}"/>
              </c:ext>
            </c:extLst>
          </c:dPt>
          <c:dPt>
            <c:idx val="15"/>
            <c:bubble3D val="0"/>
            <c:spPr>
              <a:solidFill>
                <a:srgbClr val="AEDCBA"/>
              </a:solidFill>
            </c:spPr>
            <c:extLst>
              <c:ext xmlns:c16="http://schemas.microsoft.com/office/drawing/2014/chart" uri="{C3380CC4-5D6E-409C-BE32-E72D297353CC}">
                <c16:uniqueId val="{0000001F-085C-458F-9BEB-3F36C6ADFC53}"/>
              </c:ext>
            </c:extLst>
          </c:dPt>
          <c:dPt>
            <c:idx val="16"/>
            <c:bubble3D val="0"/>
            <c:spPr>
              <a:solidFill>
                <a:srgbClr val="FFC599"/>
              </a:solidFill>
            </c:spPr>
            <c:extLst>
              <c:ext xmlns:c16="http://schemas.microsoft.com/office/drawing/2014/chart" uri="{C3380CC4-5D6E-409C-BE32-E72D297353CC}">
                <c16:uniqueId val="{00000021-085C-458F-9BEB-3F36C6ADFC53}"/>
              </c:ext>
            </c:extLst>
          </c:dPt>
          <c:dPt>
            <c:idx val="17"/>
            <c:bubble3D val="0"/>
            <c:spPr>
              <a:solidFill>
                <a:srgbClr val="B5E5E8"/>
              </a:solidFill>
            </c:spPr>
            <c:extLst>
              <c:ext xmlns:c16="http://schemas.microsoft.com/office/drawing/2014/chart" uri="{C3380CC4-5D6E-409C-BE32-E72D297353CC}">
                <c16:uniqueId val="{00000023-085C-458F-9BEB-3F36C6ADFC53}"/>
              </c:ext>
            </c:extLst>
          </c:dPt>
          <c:dPt>
            <c:idx val="18"/>
            <c:bubble3D val="0"/>
            <c:spPr>
              <a:solidFill>
                <a:srgbClr val="ECF3FE"/>
              </a:solidFill>
            </c:spPr>
            <c:extLst>
              <c:ext xmlns:c16="http://schemas.microsoft.com/office/drawing/2014/chart" uri="{C3380CC4-5D6E-409C-BE32-E72D297353CC}">
                <c16:uniqueId val="{00000025-085C-458F-9BEB-3F36C6ADFC53}"/>
              </c:ext>
            </c:extLst>
          </c:dPt>
          <c:dPt>
            <c:idx val="19"/>
            <c:bubble3D val="0"/>
            <c:spPr>
              <a:solidFill>
                <a:srgbClr val="FDECEB"/>
              </a:solidFill>
            </c:spPr>
            <c:extLst>
              <c:ext xmlns:c16="http://schemas.microsoft.com/office/drawing/2014/chart" uri="{C3380CC4-5D6E-409C-BE32-E72D297353CC}">
                <c16:uniqueId val="{00000027-085C-458F-9BEB-3F36C6ADFC53}"/>
              </c:ext>
            </c:extLst>
          </c:dPt>
          <c:dPt>
            <c:idx val="20"/>
            <c:bubble3D val="0"/>
            <c:spPr>
              <a:solidFill>
                <a:srgbClr val="FFF8E6"/>
              </a:solidFill>
            </c:spPr>
            <c:extLst>
              <c:ext xmlns:c16="http://schemas.microsoft.com/office/drawing/2014/chart" uri="{C3380CC4-5D6E-409C-BE32-E72D297353CC}">
                <c16:uniqueId val="{00000029-085C-458F-9BEB-3F36C6ADFC53}"/>
              </c:ext>
            </c:extLst>
          </c:dPt>
          <c:dPt>
            <c:idx val="21"/>
            <c:bubble3D val="0"/>
            <c:spPr>
              <a:solidFill>
                <a:srgbClr val="EBF6EE"/>
              </a:solidFill>
            </c:spPr>
            <c:extLst>
              <c:ext xmlns:c16="http://schemas.microsoft.com/office/drawing/2014/chart" uri="{C3380CC4-5D6E-409C-BE32-E72D297353CC}">
                <c16:uniqueId val="{0000002B-085C-458F-9BEB-3F36C6ADFC53}"/>
              </c:ext>
            </c:extLst>
          </c:dPt>
          <c:dPt>
            <c:idx val="22"/>
            <c:bubble3D val="0"/>
            <c:spPr>
              <a:solidFill>
                <a:srgbClr val="FFF0E6"/>
              </a:solidFill>
            </c:spPr>
            <c:extLst>
              <c:ext xmlns:c16="http://schemas.microsoft.com/office/drawing/2014/chart" uri="{C3380CC4-5D6E-409C-BE32-E72D297353CC}">
                <c16:uniqueId val="{0000002D-085C-458F-9BEB-3F36C6ADFC53}"/>
              </c:ext>
            </c:extLst>
          </c:dPt>
          <c:dPt>
            <c:idx val="23"/>
            <c:bubble3D val="0"/>
            <c:spPr>
              <a:solidFill>
                <a:srgbClr val="EDF8F9"/>
              </a:solidFill>
            </c:spPr>
            <c:extLst>
              <c:ext xmlns:c16="http://schemas.microsoft.com/office/drawing/2014/chart" uri="{C3380CC4-5D6E-409C-BE32-E72D297353CC}">
                <c16:uniqueId val="{0000002F-085C-458F-9BEB-3F36C6ADFC53}"/>
              </c:ext>
            </c:extLst>
          </c:dPt>
          <c:dPt>
            <c:idx val="24"/>
            <c:bubble3D val="0"/>
            <c:spPr>
              <a:solidFill>
                <a:srgbClr val="251701"/>
              </a:solidFill>
            </c:spPr>
            <c:extLst>
              <c:ext xmlns:c16="http://schemas.microsoft.com/office/drawing/2014/chart" uri="{C3380CC4-5D6E-409C-BE32-E72D297353CC}">
                <c16:uniqueId val="{00000031-085C-458F-9BEB-3F36C6ADFC53}"/>
              </c:ext>
            </c:extLst>
          </c:dPt>
          <c:dPt>
            <c:idx val="25"/>
            <c:bubble3D val="0"/>
            <c:spPr>
              <a:solidFill>
                <a:srgbClr val="032527"/>
              </a:solidFill>
            </c:spPr>
            <c:extLst>
              <c:ext xmlns:c16="http://schemas.microsoft.com/office/drawing/2014/chart" uri="{C3380CC4-5D6E-409C-BE32-E72D297353CC}">
                <c16:uniqueId val="{00000033-085C-458F-9BEB-3F36C6ADFC53}"/>
              </c:ext>
            </c:extLst>
          </c:dPt>
          <c:dPt>
            <c:idx val="26"/>
            <c:bubble3D val="0"/>
            <c:spPr>
              <a:solidFill>
                <a:srgbClr val="000C31"/>
              </a:solidFill>
            </c:spPr>
            <c:extLst>
              <c:ext xmlns:c16="http://schemas.microsoft.com/office/drawing/2014/chart" uri="{C3380CC4-5D6E-409C-BE32-E72D297353CC}">
                <c16:uniqueId val="{00000035-085C-458F-9BEB-3F36C6ADFC53}"/>
              </c:ext>
            </c:extLst>
          </c:dPt>
          <c:dPt>
            <c:idx val="27"/>
            <c:bubble3D val="0"/>
            <c:spPr>
              <a:solidFill>
                <a:srgbClr val="281021"/>
              </a:solidFill>
            </c:spPr>
            <c:extLst>
              <c:ext xmlns:c16="http://schemas.microsoft.com/office/drawing/2014/chart" uri="{C3380CC4-5D6E-409C-BE32-E72D297353CC}">
                <c16:uniqueId val="{00000037-085C-458F-9BEB-3F36C6ADFC53}"/>
              </c:ext>
            </c:extLst>
          </c:dPt>
          <c:dPt>
            <c:idx val="28"/>
            <c:bubble3D val="0"/>
            <c:spPr>
              <a:solidFill>
                <a:srgbClr val="FF1C32"/>
              </a:solidFill>
            </c:spPr>
            <c:extLst>
              <c:ext xmlns:c16="http://schemas.microsoft.com/office/drawing/2014/chart" uri="{C3380CC4-5D6E-409C-BE32-E72D297353CC}">
                <c16:uniqueId val="{00000039-085C-458F-9BEB-3F36C6ADFC53}"/>
              </c:ext>
            </c:extLst>
          </c:dPt>
          <c:dPt>
            <c:idx val="29"/>
            <c:bubble3D val="0"/>
            <c:spPr>
              <a:solidFill>
                <a:srgbClr val="240C0A"/>
              </a:solidFill>
            </c:spPr>
            <c:extLst>
              <c:ext xmlns:c16="http://schemas.microsoft.com/office/drawing/2014/chart" uri="{C3380CC4-5D6E-409C-BE32-E72D297353CC}">
                <c16:uniqueId val="{0000003B-085C-458F-9BEB-3F36C6ADFC53}"/>
              </c:ext>
            </c:extLst>
          </c:dPt>
          <c:dPt>
            <c:idx val="30"/>
            <c:bubble3D val="0"/>
            <c:spPr>
              <a:solidFill>
                <a:srgbClr val="5E3C05"/>
              </a:solidFill>
            </c:spPr>
            <c:extLst>
              <c:ext xmlns:c16="http://schemas.microsoft.com/office/drawing/2014/chart" uri="{C3380CC4-5D6E-409C-BE32-E72D297353CC}">
                <c16:uniqueId val="{0000003D-085C-458F-9BEB-3F36C6ADFC53}"/>
              </c:ext>
            </c:extLst>
          </c:dPt>
          <c:dPt>
            <c:idx val="31"/>
            <c:bubble3D val="0"/>
            <c:spPr>
              <a:solidFill>
                <a:srgbClr val="0A5D64"/>
              </a:solidFill>
            </c:spPr>
            <c:extLst>
              <c:ext xmlns:c16="http://schemas.microsoft.com/office/drawing/2014/chart" uri="{C3380CC4-5D6E-409C-BE32-E72D297353CC}">
                <c16:uniqueId val="{0000003F-085C-458F-9BEB-3F36C6ADFC53}"/>
              </c:ext>
            </c:extLst>
          </c:dPt>
          <c:dPt>
            <c:idx val="32"/>
            <c:bubble3D val="0"/>
            <c:spPr>
              <a:solidFill>
                <a:srgbClr val="01217D"/>
              </a:solidFill>
            </c:spPr>
            <c:extLst>
              <c:ext xmlns:c16="http://schemas.microsoft.com/office/drawing/2014/chart" uri="{C3380CC4-5D6E-409C-BE32-E72D297353CC}">
                <c16:uniqueId val="{00000041-085C-458F-9BEB-3F36C6ADFC53}"/>
              </c:ext>
            </c:extLst>
          </c:dPt>
          <c:dPt>
            <c:idx val="33"/>
            <c:bubble3D val="0"/>
            <c:spPr>
              <a:solidFill>
                <a:srgbClr val="652B55"/>
              </a:solidFill>
            </c:spPr>
            <c:extLst>
              <c:ext xmlns:c16="http://schemas.microsoft.com/office/drawing/2014/chart" uri="{C3380CC4-5D6E-409C-BE32-E72D297353CC}">
                <c16:uniqueId val="{00000043-085C-458F-9BEB-3F36C6ADFC53}"/>
              </c:ext>
            </c:extLst>
          </c:dPt>
          <c:dPt>
            <c:idx val="34"/>
            <c:bubble3D val="0"/>
            <c:spPr>
              <a:solidFill>
                <a:srgbClr val="FF487E"/>
              </a:solidFill>
            </c:spPr>
            <c:extLst>
              <c:ext xmlns:c16="http://schemas.microsoft.com/office/drawing/2014/chart" uri="{C3380CC4-5D6E-409C-BE32-E72D297353CC}">
                <c16:uniqueId val="{00000045-085C-458F-9BEB-3F36C6ADFC53}"/>
              </c:ext>
            </c:extLst>
          </c:dPt>
          <c:dPt>
            <c:idx val="35"/>
            <c:bubble3D val="0"/>
            <c:spPr>
              <a:solidFill>
                <a:srgbClr val="5C201C"/>
              </a:solidFill>
            </c:spPr>
            <c:extLst>
              <c:ext xmlns:c16="http://schemas.microsoft.com/office/drawing/2014/chart" uri="{C3380CC4-5D6E-409C-BE32-E72D297353CC}">
                <c16:uniqueId val="{00000047-085C-458F-9BEB-3F36C6ADFC53}"/>
              </c:ext>
            </c:extLst>
          </c:dPt>
          <c:dPt>
            <c:idx val="36"/>
            <c:bubble3D val="0"/>
            <c:spPr>
              <a:solidFill>
                <a:srgbClr val="966108"/>
              </a:solidFill>
            </c:spPr>
            <c:extLst>
              <c:ext xmlns:c16="http://schemas.microsoft.com/office/drawing/2014/chart" uri="{C3380CC4-5D6E-409C-BE32-E72D297353CC}">
                <c16:uniqueId val="{00000049-085C-458F-9BEB-3F36C6ADFC53}"/>
              </c:ext>
            </c:extLst>
          </c:dPt>
          <c:dPt>
            <c:idx val="37"/>
            <c:bubble3D val="0"/>
            <c:spPr>
              <a:solidFill>
                <a:srgbClr val="1095A1"/>
              </a:solidFill>
            </c:spPr>
            <c:extLst>
              <c:ext xmlns:c16="http://schemas.microsoft.com/office/drawing/2014/chart" uri="{C3380CC4-5D6E-409C-BE32-E72D297353CC}">
                <c16:uniqueId val="{0000004B-085C-458F-9BEB-3F36C6ADFC53}"/>
              </c:ext>
            </c:extLst>
          </c:dPt>
          <c:dPt>
            <c:idx val="38"/>
            <c:bubble3D val="0"/>
            <c:spPr>
              <a:solidFill>
                <a:srgbClr val="0235C8"/>
              </a:solidFill>
            </c:spPr>
            <c:extLst>
              <c:ext xmlns:c16="http://schemas.microsoft.com/office/drawing/2014/chart" uri="{C3380CC4-5D6E-409C-BE32-E72D297353CC}">
                <c16:uniqueId val="{0000004D-085C-458F-9BEB-3F36C6ADFC53}"/>
              </c:ext>
            </c:extLst>
          </c:dPt>
          <c:dPt>
            <c:idx val="39"/>
            <c:bubble3D val="0"/>
            <c:spPr>
              <a:solidFill>
                <a:srgbClr val="A14589"/>
              </a:solidFill>
            </c:spPr>
            <c:extLst>
              <c:ext xmlns:c16="http://schemas.microsoft.com/office/drawing/2014/chart" uri="{C3380CC4-5D6E-409C-BE32-E72D297353CC}">
                <c16:uniqueId val="{0000004F-085C-458F-9BEB-3F36C6ADFC53}"/>
              </c:ext>
            </c:extLst>
          </c:dPt>
          <c:dPt>
            <c:idx val="40"/>
            <c:bubble3D val="0"/>
            <c:spPr>
              <a:solidFill>
                <a:srgbClr val="FF74CA"/>
              </a:solidFill>
            </c:spPr>
            <c:extLst>
              <c:ext xmlns:c16="http://schemas.microsoft.com/office/drawing/2014/chart" uri="{C3380CC4-5D6E-409C-BE32-E72D297353CC}">
                <c16:uniqueId val="{00000051-085C-458F-9BEB-3F36C6ADFC53}"/>
              </c:ext>
            </c:extLst>
          </c:dPt>
          <c:dPt>
            <c:idx val="41"/>
            <c:bubble3D val="0"/>
            <c:spPr>
              <a:solidFill>
                <a:srgbClr val="93342D"/>
              </a:solidFill>
            </c:spPr>
            <c:extLst>
              <c:ext xmlns:c16="http://schemas.microsoft.com/office/drawing/2014/chart" uri="{C3380CC4-5D6E-409C-BE32-E72D297353CC}">
                <c16:uniqueId val="{00000053-085C-458F-9BEB-3F36C6ADFC53}"/>
              </c:ext>
            </c:extLst>
          </c:dPt>
          <c:dPt>
            <c:idx val="42"/>
            <c:bubble3D val="0"/>
            <c:spPr>
              <a:solidFill>
                <a:srgbClr val="CF850B"/>
              </a:solidFill>
            </c:spPr>
            <c:extLst>
              <c:ext xmlns:c16="http://schemas.microsoft.com/office/drawing/2014/chart" uri="{C3380CC4-5D6E-409C-BE32-E72D297353CC}">
                <c16:uniqueId val="{00000055-085C-458F-9BEB-3F36C6ADFC53}"/>
              </c:ext>
            </c:extLst>
          </c:dPt>
          <c:dPt>
            <c:idx val="43"/>
            <c:bubble3D val="0"/>
            <c:spPr>
              <a:solidFill>
                <a:srgbClr val="16CEDD"/>
              </a:solidFill>
            </c:spPr>
            <c:extLst>
              <c:ext xmlns:c16="http://schemas.microsoft.com/office/drawing/2014/chart" uri="{C3380CC4-5D6E-409C-BE32-E72D297353CC}">
                <c16:uniqueId val="{00000057-085C-458F-9BEB-3F36C6ADFC53}"/>
              </c:ext>
            </c:extLst>
          </c:dPt>
          <c:dPt>
            <c:idx val="44"/>
            <c:bubble3D val="0"/>
            <c:spPr>
              <a:solidFill>
                <a:srgbClr val="034913"/>
              </a:solidFill>
            </c:spPr>
            <c:extLst>
              <c:ext xmlns:c16="http://schemas.microsoft.com/office/drawing/2014/chart" uri="{C3380CC4-5D6E-409C-BE32-E72D297353CC}">
                <c16:uniqueId val="{00000059-085C-458F-9BEB-3F36C6ADFC53}"/>
              </c:ext>
            </c:extLst>
          </c:dPt>
          <c:dPt>
            <c:idx val="45"/>
            <c:bubble3D val="0"/>
            <c:spPr>
              <a:solidFill>
                <a:srgbClr val="DE5FBC"/>
              </a:solidFill>
            </c:spPr>
            <c:extLst>
              <c:ext xmlns:c16="http://schemas.microsoft.com/office/drawing/2014/chart" uri="{C3380CC4-5D6E-409C-BE32-E72D297353CC}">
                <c16:uniqueId val="{0000005B-085C-458F-9BEB-3F36C6ADFC53}"/>
              </c:ext>
            </c:extLst>
          </c:dPt>
          <c:dPt>
            <c:idx val="46"/>
            <c:bubble3D val="0"/>
            <c:spPr>
              <a:solidFill>
                <a:srgbClr val="FFA016"/>
              </a:solidFill>
            </c:spPr>
            <c:extLst>
              <c:ext xmlns:c16="http://schemas.microsoft.com/office/drawing/2014/chart" uri="{C3380CC4-5D6E-409C-BE32-E72D297353CC}">
                <c16:uniqueId val="{0000005D-085C-458F-9BEB-3F36C6ADFC53}"/>
              </c:ext>
            </c:extLst>
          </c:dPt>
          <c:dPt>
            <c:idx val="47"/>
            <c:bubble3D val="0"/>
            <c:spPr>
              <a:solidFill>
                <a:srgbClr val="CA483E"/>
              </a:solidFill>
            </c:spPr>
            <c:extLst>
              <c:ext xmlns:c16="http://schemas.microsoft.com/office/drawing/2014/chart" uri="{C3380CC4-5D6E-409C-BE32-E72D297353CC}">
                <c16:uniqueId val="{0000005F-085C-458F-9BEB-3F36C6ADFC53}"/>
              </c:ext>
            </c:extLst>
          </c:dPt>
          <c:dPt>
            <c:idx val="48"/>
            <c:bubble3D val="0"/>
            <c:spPr>
              <a:solidFill>
                <a:srgbClr val="08AA0E"/>
              </a:solidFill>
            </c:spPr>
            <c:extLst>
              <c:ext xmlns:c16="http://schemas.microsoft.com/office/drawing/2014/chart" uri="{C3380CC4-5D6E-409C-BE32-E72D297353CC}">
                <c16:uniqueId val="{00000061-085C-458F-9BEB-3F36C6ADFC53}"/>
              </c:ext>
            </c:extLst>
          </c:dPt>
          <c:dPt>
            <c:idx val="49"/>
            <c:bubble3D val="0"/>
            <c:spPr>
              <a:solidFill>
                <a:srgbClr val="1C061A"/>
              </a:solidFill>
            </c:spPr>
            <c:extLst>
              <c:ext xmlns:c16="http://schemas.microsoft.com/office/drawing/2014/chart" uri="{C3380CC4-5D6E-409C-BE32-E72D297353CC}">
                <c16:uniqueId val="{00000063-085C-458F-9BEB-3F36C6ADFC53}"/>
              </c:ext>
            </c:extLst>
          </c:dPt>
          <c:dPt>
            <c:idx val="50"/>
            <c:bubble3D val="0"/>
            <c:spPr>
              <a:solidFill>
                <a:srgbClr val="055D5E"/>
              </a:solidFill>
            </c:spPr>
            <c:extLst>
              <c:ext xmlns:c16="http://schemas.microsoft.com/office/drawing/2014/chart" uri="{C3380CC4-5D6E-409C-BE32-E72D297353CC}">
                <c16:uniqueId val="{00000065-085C-458F-9BEB-3F36C6ADFC53}"/>
              </c:ext>
            </c:extLst>
          </c:dPt>
          <c:dPt>
            <c:idx val="51"/>
            <c:bubble3D val="0"/>
            <c:spPr>
              <a:solidFill>
                <a:srgbClr val="1B79F0"/>
              </a:solidFill>
            </c:spPr>
            <c:extLst>
              <c:ext xmlns:c16="http://schemas.microsoft.com/office/drawing/2014/chart" uri="{C3380CC4-5D6E-409C-BE32-E72D297353CC}">
                <c16:uniqueId val="{00000067-085C-458F-9BEB-3F36C6ADFC53}"/>
              </c:ext>
            </c:extLst>
          </c:dPt>
          <c:dPt>
            <c:idx val="52"/>
            <c:bubble3D val="0"/>
            <c:spPr>
              <a:solidFill>
                <a:srgbClr val="FFCB63"/>
              </a:solidFill>
            </c:spPr>
            <c:extLst>
              <c:ext xmlns:c16="http://schemas.microsoft.com/office/drawing/2014/chart" uri="{C3380CC4-5D6E-409C-BE32-E72D297353CC}">
                <c16:uniqueId val="{00000069-085C-458F-9BEB-3F36C6ADFC53}"/>
              </c:ext>
            </c:extLst>
          </c:dPt>
          <c:dPt>
            <c:idx val="53"/>
            <c:bubble3D val="0"/>
            <c:spPr>
              <a:solidFill>
                <a:srgbClr val="025B4F"/>
              </a:solidFill>
            </c:spPr>
            <c:extLst>
              <c:ext xmlns:c16="http://schemas.microsoft.com/office/drawing/2014/chart" uri="{C3380CC4-5D6E-409C-BE32-E72D297353CC}">
                <c16:uniqueId val="{0000006B-085C-458F-9BEB-3F36C6ADFC53}"/>
              </c:ext>
            </c:extLst>
          </c:dPt>
          <c:dPt>
            <c:idx val="54"/>
            <c:bubble3D val="0"/>
            <c:spPr>
              <a:solidFill>
                <a:srgbClr val="40CE12"/>
              </a:solidFill>
            </c:spPr>
            <c:extLst>
              <c:ext xmlns:c16="http://schemas.microsoft.com/office/drawing/2014/chart" uri="{C3380CC4-5D6E-409C-BE32-E72D297353CC}">
                <c16:uniqueId val="{0000006D-085C-458F-9BEB-3F36C6ADFC53}"/>
              </c:ext>
            </c:extLst>
          </c:dPt>
          <c:dPt>
            <c:idx val="55"/>
            <c:bubble3D val="0"/>
            <c:spPr>
              <a:solidFill>
                <a:srgbClr val="233F56"/>
              </a:solidFill>
            </c:spPr>
            <c:extLst>
              <c:ext xmlns:c16="http://schemas.microsoft.com/office/drawing/2014/chart" uri="{C3380CC4-5D6E-409C-BE32-E72D297353CC}">
                <c16:uniqueId val="{0000006F-085C-458F-9BEB-3F36C6ADFC53}"/>
              </c:ext>
            </c:extLst>
          </c:dPt>
          <c:dPt>
            <c:idx val="56"/>
            <c:bubble3D val="0"/>
            <c:spPr>
              <a:solidFill>
                <a:srgbClr val="0671AA"/>
              </a:solidFill>
            </c:spPr>
            <c:extLst>
              <c:ext xmlns:c16="http://schemas.microsoft.com/office/drawing/2014/chart" uri="{C3380CC4-5D6E-409C-BE32-E72D297353CC}">
                <c16:uniqueId val="{00000071-085C-458F-9BEB-3F36C6ADFC53}"/>
              </c:ext>
            </c:extLst>
          </c:dPt>
          <c:dPt>
            <c:idx val="57"/>
            <c:bubble3D val="0"/>
            <c:spPr>
              <a:solidFill>
                <a:srgbClr val="589323"/>
              </a:solidFill>
            </c:spPr>
            <c:extLst>
              <c:ext xmlns:c16="http://schemas.microsoft.com/office/drawing/2014/chart" uri="{C3380CC4-5D6E-409C-BE32-E72D297353CC}">
                <c16:uniqueId val="{00000073-085C-458F-9BEB-3F36C6ADFC53}"/>
              </c:ext>
            </c:extLst>
          </c:dPt>
          <c:dPt>
            <c:idx val="58"/>
            <c:bubble3D val="0"/>
            <c:spPr>
              <a:solidFill>
                <a:srgbClr val="FFF7AF"/>
              </a:solidFill>
            </c:spPr>
            <c:extLst>
              <c:ext xmlns:c16="http://schemas.microsoft.com/office/drawing/2014/chart" uri="{C3380CC4-5D6E-409C-BE32-E72D297353CC}">
                <c16:uniqueId val="{00000075-085C-458F-9BEB-3F36C6ADFC53}"/>
              </c:ext>
            </c:extLst>
          </c:dPt>
          <c:dPt>
            <c:idx val="59"/>
            <c:bubble3D val="0"/>
            <c:spPr>
              <a:solidFill>
                <a:srgbClr val="3A6F60"/>
              </a:solidFill>
            </c:spPr>
            <c:extLst>
              <c:ext xmlns:c16="http://schemas.microsoft.com/office/drawing/2014/chart" uri="{C3380CC4-5D6E-409C-BE32-E72D297353CC}">
                <c16:uniqueId val="{00000077-085C-458F-9BEB-3F36C6ADFC53}"/>
              </c:ext>
            </c:extLst>
          </c:dPt>
          <c:dPt>
            <c:idx val="60"/>
            <c:bubble3D val="0"/>
            <c:spPr>
              <a:solidFill>
                <a:srgbClr val="79F315"/>
              </a:solidFill>
            </c:spPr>
            <c:extLst>
              <c:ext xmlns:c16="http://schemas.microsoft.com/office/drawing/2014/chart" uri="{C3380CC4-5D6E-409C-BE32-E72D297353CC}">
                <c16:uniqueId val="{00000079-085C-458F-9BEB-3F36C6ADFC53}"/>
              </c:ext>
            </c:extLst>
          </c:dPt>
          <c:dPt>
            <c:idx val="61"/>
            <c:bubble3D val="0"/>
            <c:spPr>
              <a:solidFill>
                <a:srgbClr val="297793"/>
              </a:solidFill>
            </c:spPr>
            <c:extLst>
              <c:ext xmlns:c16="http://schemas.microsoft.com/office/drawing/2014/chart" uri="{C3380CC4-5D6E-409C-BE32-E72D297353CC}">
                <c16:uniqueId val="{0000007B-085C-458F-9BEB-3F36C6ADFC53}"/>
              </c:ext>
            </c:extLst>
          </c:dPt>
          <c:dPt>
            <c:idx val="62"/>
            <c:bubble3D val="0"/>
            <c:spPr>
              <a:solidFill>
                <a:srgbClr val="0785F5"/>
              </a:solidFill>
            </c:spPr>
            <c:extLst>
              <c:ext xmlns:c16="http://schemas.microsoft.com/office/drawing/2014/chart" uri="{C3380CC4-5D6E-409C-BE32-E72D297353CC}">
                <c16:uniqueId val="{0000007D-085C-458F-9BEB-3F36C6ADFC53}"/>
              </c:ext>
            </c:extLst>
          </c:dPt>
          <c:dPt>
            <c:idx val="63"/>
            <c:bubble3D val="0"/>
            <c:spPr>
              <a:solidFill>
                <a:srgbClr val="95AD57"/>
              </a:solidFill>
            </c:spPr>
            <c:extLst>
              <c:ext xmlns:c16="http://schemas.microsoft.com/office/drawing/2014/chart" uri="{C3380CC4-5D6E-409C-BE32-E72D297353CC}">
                <c16:uniqueId val="{0000007F-085C-458F-9BEB-3F36C6ADFC53}"/>
              </c:ext>
            </c:extLst>
          </c:dPt>
          <c:dPt>
            <c:idx val="64"/>
            <c:bubble3D val="0"/>
            <c:spPr>
              <a:solidFill>
                <a:srgbClr val="FF23FB"/>
              </a:solidFill>
            </c:spPr>
            <c:extLst>
              <c:ext xmlns:c16="http://schemas.microsoft.com/office/drawing/2014/chart" uri="{C3380CC4-5D6E-409C-BE32-E72D297353CC}">
                <c16:uniqueId val="{00000081-085C-458F-9BEB-3F36C6ADFC53}"/>
              </c:ext>
            </c:extLst>
          </c:dPt>
          <c:dPt>
            <c:idx val="65"/>
            <c:bubble3D val="0"/>
            <c:spPr>
              <a:solidFill>
                <a:srgbClr val="718371"/>
              </a:solidFill>
            </c:spPr>
            <c:extLst>
              <c:ext xmlns:c16="http://schemas.microsoft.com/office/drawing/2014/chart" uri="{C3380CC4-5D6E-409C-BE32-E72D297353CC}">
                <c16:uniqueId val="{00000083-085C-458F-9BEB-3F36C6ADFC53}"/>
              </c:ext>
            </c:extLst>
          </c:dPt>
          <c:dPt>
            <c:idx val="66"/>
            <c:bubble3D val="0"/>
            <c:spPr>
              <a:solidFill>
                <a:srgbClr val="B21818"/>
              </a:solidFill>
            </c:spPr>
            <c:extLst>
              <c:ext xmlns:c16="http://schemas.microsoft.com/office/drawing/2014/chart" uri="{C3380CC4-5D6E-409C-BE32-E72D297353CC}">
                <c16:uniqueId val="{00000085-085C-458F-9BEB-3F36C6ADFC53}"/>
              </c:ext>
            </c:extLst>
          </c:dPt>
          <c:dPt>
            <c:idx val="67"/>
            <c:bubble3D val="0"/>
            <c:spPr>
              <a:solidFill>
                <a:srgbClr val="2FAFD0"/>
              </a:solidFill>
            </c:spPr>
            <c:extLst>
              <c:ext xmlns:c16="http://schemas.microsoft.com/office/drawing/2014/chart" uri="{C3380CC4-5D6E-409C-BE32-E72D297353CC}">
                <c16:uniqueId val="{00000087-085C-458F-9BEB-3F36C6ADFC53}"/>
              </c:ext>
            </c:extLst>
          </c:dPt>
          <c:dPt>
            <c:idx val="68"/>
            <c:bubble3D val="0"/>
            <c:spPr>
              <a:solidFill>
                <a:srgbClr val="089940"/>
              </a:solidFill>
            </c:spPr>
            <c:extLst>
              <c:ext xmlns:c16="http://schemas.microsoft.com/office/drawing/2014/chart" uri="{C3380CC4-5D6E-409C-BE32-E72D297353CC}">
                <c16:uniqueId val="{00000089-085C-458F-9BEB-3F36C6ADFC53}"/>
              </c:ext>
            </c:extLst>
          </c:dPt>
          <c:dPt>
            <c:idx val="69"/>
            <c:bubble3D val="0"/>
            <c:spPr>
              <a:solidFill>
                <a:srgbClr val="D2C78B"/>
              </a:solidFill>
            </c:spPr>
            <c:extLst>
              <c:ext xmlns:c16="http://schemas.microsoft.com/office/drawing/2014/chart" uri="{C3380CC4-5D6E-409C-BE32-E72D297353CC}">
                <c16:uniqueId val="{0000008B-085C-458F-9BEB-3F36C6ADFC53}"/>
              </c:ext>
            </c:extLst>
          </c:dPt>
          <c:dPt>
            <c:idx val="70"/>
            <c:bubble3D val="0"/>
            <c:spPr>
              <a:solidFill>
                <a:srgbClr val="FF4F47"/>
              </a:solidFill>
            </c:spPr>
            <c:extLst>
              <c:ext xmlns:c16="http://schemas.microsoft.com/office/drawing/2014/chart" uri="{C3380CC4-5D6E-409C-BE32-E72D297353CC}">
                <c16:uniqueId val="{0000008D-085C-458F-9BEB-3F36C6ADFC53}"/>
              </c:ext>
            </c:extLst>
          </c:dPt>
          <c:dPt>
            <c:idx val="71"/>
            <c:bubble3D val="0"/>
            <c:spPr>
              <a:solidFill>
                <a:srgbClr val="A99782"/>
              </a:solidFill>
            </c:spPr>
            <c:extLst>
              <c:ext xmlns:c16="http://schemas.microsoft.com/office/drawing/2014/chart" uri="{C3380CC4-5D6E-409C-BE32-E72D297353CC}">
                <c16:uniqueId val="{0000008F-085C-458F-9BEB-3F36C6ADFC53}"/>
              </c:ext>
            </c:extLst>
          </c:dPt>
          <c:dPt>
            <c:idx val="72"/>
            <c:bubble3D val="0"/>
            <c:spPr>
              <a:solidFill>
                <a:srgbClr val="EA3C1C"/>
              </a:solidFill>
            </c:spPr>
            <c:extLst>
              <c:ext xmlns:c16="http://schemas.microsoft.com/office/drawing/2014/chart" uri="{C3380CC4-5D6E-409C-BE32-E72D297353CC}">
                <c16:uniqueId val="{00000091-085C-458F-9BEB-3F36C6ADFC53}"/>
              </c:ext>
            </c:extLst>
          </c:dPt>
          <c:dPt>
            <c:idx val="73"/>
            <c:bubble3D val="0"/>
            <c:spPr>
              <a:solidFill>
                <a:srgbClr val="36E80C"/>
              </a:solidFill>
            </c:spPr>
            <c:extLst>
              <c:ext xmlns:c16="http://schemas.microsoft.com/office/drawing/2014/chart" uri="{C3380CC4-5D6E-409C-BE32-E72D297353CC}">
                <c16:uniqueId val="{00000093-085C-458F-9BEB-3F36C6ADFC53}"/>
              </c:ext>
            </c:extLst>
          </c:dPt>
          <c:dPt>
            <c:idx val="74"/>
            <c:bubble3D val="0"/>
            <c:spPr>
              <a:solidFill>
                <a:srgbClr val="09AD8C"/>
              </a:solidFill>
            </c:spPr>
            <c:extLst>
              <c:ext xmlns:c16="http://schemas.microsoft.com/office/drawing/2014/chart" uri="{C3380CC4-5D6E-409C-BE32-E72D297353CC}">
                <c16:uniqueId val="{00000095-085C-458F-9BEB-3F36C6ADFC53}"/>
              </c:ext>
            </c:extLst>
          </c:dPt>
          <c:dPt>
            <c:idx val="75"/>
            <c:bubble3D val="0"/>
            <c:spPr>
              <a:solidFill>
                <a:srgbClr val="0FE1BE"/>
              </a:solidFill>
            </c:spPr>
            <c:extLst>
              <c:ext xmlns:c16="http://schemas.microsoft.com/office/drawing/2014/chart" uri="{C3380CC4-5D6E-409C-BE32-E72D297353CC}">
                <c16:uniqueId val="{00000097-085C-458F-9BEB-3F36C6ADFC53}"/>
              </c:ext>
            </c:extLst>
          </c:dPt>
          <c:dPt>
            <c:idx val="76"/>
            <c:bubble3D val="0"/>
            <c:spPr>
              <a:solidFill>
                <a:srgbClr val="FF7B93"/>
              </a:solidFill>
            </c:spPr>
            <c:extLst>
              <c:ext xmlns:c16="http://schemas.microsoft.com/office/drawing/2014/chart" uri="{C3380CC4-5D6E-409C-BE32-E72D297353CC}">
                <c16:uniqueId val="{00000099-085C-458F-9BEB-3F36C6ADFC53}"/>
              </c:ext>
            </c:extLst>
          </c:dPt>
          <c:dPt>
            <c:idx val="77"/>
            <c:bubble3D val="0"/>
            <c:spPr>
              <a:solidFill>
                <a:srgbClr val="E0AB93"/>
              </a:solidFill>
            </c:spPr>
            <c:extLst>
              <c:ext xmlns:c16="http://schemas.microsoft.com/office/drawing/2014/chart" uri="{C3380CC4-5D6E-409C-BE32-E72D297353CC}">
                <c16:uniqueId val="{0000009B-085C-458F-9BEB-3F36C6ADFC53}"/>
              </c:ext>
            </c:extLst>
          </c:dPt>
          <c:dPt>
            <c:idx val="78"/>
            <c:bubble3D val="0"/>
            <c:spPr>
              <a:solidFill>
                <a:srgbClr val="23611F"/>
              </a:solidFill>
            </c:spPr>
            <c:extLst>
              <c:ext xmlns:c16="http://schemas.microsoft.com/office/drawing/2014/chart" uri="{C3380CC4-5D6E-409C-BE32-E72D297353CC}">
                <c16:uniqueId val="{0000009D-085C-458F-9BEB-3F36C6ADFC53}"/>
              </c:ext>
            </c:extLst>
          </c:dPt>
          <c:dPt>
            <c:idx val="79"/>
            <c:bubble3D val="0"/>
            <c:spPr>
              <a:solidFill>
                <a:srgbClr val="3C2049"/>
              </a:solidFill>
            </c:spPr>
            <c:extLst>
              <c:ext xmlns:c16="http://schemas.microsoft.com/office/drawing/2014/chart" uri="{C3380CC4-5D6E-409C-BE32-E72D297353CC}">
                <c16:uniqueId val="{0000009F-085C-458F-9BEB-3F36C6ADFC53}"/>
              </c:ext>
            </c:extLst>
          </c:dPt>
          <c:dPt>
            <c:idx val="80"/>
            <c:bubble3D val="0"/>
            <c:spPr>
              <a:solidFill>
                <a:srgbClr val="0BC1D7"/>
              </a:solidFill>
            </c:spPr>
            <c:extLst>
              <c:ext xmlns:c16="http://schemas.microsoft.com/office/drawing/2014/chart" uri="{C3380CC4-5D6E-409C-BE32-E72D297353CC}">
                <c16:uniqueId val="{000000A1-085C-458F-9BEB-3F36C6ADFC53}"/>
              </c:ext>
            </c:extLst>
          </c:dPt>
          <c:dPt>
            <c:idx val="81"/>
            <c:bubble3D val="0"/>
            <c:spPr>
              <a:solidFill>
                <a:srgbClr val="4CFBF2"/>
              </a:solidFill>
            </c:spPr>
            <c:extLst>
              <c:ext xmlns:c16="http://schemas.microsoft.com/office/drawing/2014/chart" uri="{C3380CC4-5D6E-409C-BE32-E72D297353CC}">
                <c16:uniqueId val="{000000A3-085C-458F-9BEB-3F36C6ADFC53}"/>
              </c:ext>
            </c:extLst>
          </c:dPt>
          <c:dPt>
            <c:idx val="82"/>
            <c:bubble3D val="0"/>
            <c:spPr>
              <a:solidFill>
                <a:srgbClr val="FFA6E0"/>
              </a:solidFill>
            </c:spPr>
            <c:extLst>
              <c:ext xmlns:c16="http://schemas.microsoft.com/office/drawing/2014/chart" uri="{C3380CC4-5D6E-409C-BE32-E72D297353CC}">
                <c16:uniqueId val="{000000A5-085C-458F-9BEB-3F36C6ADFC53}"/>
              </c:ext>
            </c:extLst>
          </c:dPt>
          <c:dPt>
            <c:idx val="83"/>
            <c:bubble3D val="0"/>
            <c:spPr>
              <a:solidFill>
                <a:srgbClr val="18BEA4"/>
              </a:solidFill>
            </c:spPr>
            <c:extLst>
              <c:ext xmlns:c16="http://schemas.microsoft.com/office/drawing/2014/chart" uri="{C3380CC4-5D6E-409C-BE32-E72D297353CC}">
                <c16:uniqueId val="{000000A7-085C-458F-9BEB-3F36C6ADFC53}"/>
              </c:ext>
            </c:extLst>
          </c:dPt>
          <c:dPt>
            <c:idx val="84"/>
            <c:bubble3D val="0"/>
            <c:spPr>
              <a:solidFill>
                <a:srgbClr val="5C8522"/>
              </a:solidFill>
            </c:spPr>
            <c:extLst>
              <c:ext xmlns:c16="http://schemas.microsoft.com/office/drawing/2014/chart" uri="{C3380CC4-5D6E-409C-BE32-E72D297353CC}">
                <c16:uniqueId val="{000000A9-085C-458F-9BEB-3F36C6ADFC53}"/>
              </c:ext>
            </c:extLst>
          </c:dPt>
          <c:dPt>
            <c:idx val="85"/>
            <c:bubble3D val="0"/>
            <c:spPr>
              <a:solidFill>
                <a:srgbClr val="425985"/>
              </a:solidFill>
            </c:spPr>
            <c:extLst>
              <c:ext xmlns:c16="http://schemas.microsoft.com/office/drawing/2014/chart" uri="{C3380CC4-5D6E-409C-BE32-E72D297353CC}">
                <c16:uniqueId val="{000000AB-085C-458F-9BEB-3F36C6ADFC53}"/>
              </c:ext>
            </c:extLst>
          </c:dPt>
          <c:dPt>
            <c:idx val="86"/>
            <c:bubble3D val="0"/>
            <c:spPr>
              <a:solidFill>
                <a:srgbClr val="0CD522"/>
              </a:solidFill>
            </c:spPr>
            <c:extLst>
              <c:ext xmlns:c16="http://schemas.microsoft.com/office/drawing/2014/chart" uri="{C3380CC4-5D6E-409C-BE32-E72D297353CC}">
                <c16:uniqueId val="{000000AD-085C-458F-9BEB-3F36C6ADFC53}"/>
              </c:ext>
            </c:extLst>
          </c:dPt>
          <c:dPt>
            <c:idx val="87"/>
            <c:bubble3D val="0"/>
            <c:spPr>
              <a:solidFill>
                <a:srgbClr val="891525"/>
              </a:solidFill>
            </c:spPr>
            <c:extLst>
              <c:ext xmlns:c16="http://schemas.microsoft.com/office/drawing/2014/chart" uri="{C3380CC4-5D6E-409C-BE32-E72D297353CC}">
                <c16:uniqueId val="{000000AF-085C-458F-9BEB-3F36C6ADFC53}"/>
              </c:ext>
            </c:extLst>
          </c:dPt>
          <c:dPt>
            <c:idx val="88"/>
            <c:bubble3D val="0"/>
            <c:spPr>
              <a:solidFill>
                <a:srgbClr val="FFD22C"/>
              </a:solidFill>
            </c:spPr>
            <c:extLst>
              <c:ext xmlns:c16="http://schemas.microsoft.com/office/drawing/2014/chart" uri="{C3380CC4-5D6E-409C-BE32-E72D297353CC}">
                <c16:uniqueId val="{000000B1-085C-458F-9BEB-3F36C6ADFC53}"/>
              </c:ext>
            </c:extLst>
          </c:dPt>
          <c:dPt>
            <c:idx val="89"/>
            <c:bubble3D val="0"/>
            <c:spPr>
              <a:solidFill>
                <a:srgbClr val="4FD2B5"/>
              </a:solidFill>
            </c:spPr>
            <c:extLst>
              <c:ext xmlns:c16="http://schemas.microsoft.com/office/drawing/2014/chart" uri="{C3380CC4-5D6E-409C-BE32-E72D297353CC}">
                <c16:uniqueId val="{000000B3-085C-458F-9BEB-3F36C6ADFC53}"/>
              </c:ext>
            </c:extLst>
          </c:dPt>
          <c:dPt>
            <c:idx val="90"/>
            <c:bubble3D val="0"/>
            <c:spPr>
              <a:solidFill>
                <a:srgbClr val="95AA26"/>
              </a:solidFill>
            </c:spPr>
            <c:extLst>
              <c:ext xmlns:c16="http://schemas.microsoft.com/office/drawing/2014/chart" uri="{C3380CC4-5D6E-409C-BE32-E72D297353CC}">
                <c16:uniqueId val="{000000B5-085C-458F-9BEB-3F36C6ADFC53}"/>
              </c:ext>
            </c:extLst>
          </c:dPt>
          <c:dPt>
            <c:idx val="91"/>
            <c:bubble3D val="0"/>
            <c:spPr>
              <a:solidFill>
                <a:srgbClr val="4991C2"/>
              </a:solidFill>
            </c:spPr>
            <c:extLst>
              <c:ext xmlns:c16="http://schemas.microsoft.com/office/drawing/2014/chart" uri="{C3380CC4-5D6E-409C-BE32-E72D297353CC}">
                <c16:uniqueId val="{000000B7-085C-458F-9BEB-3F36C6ADFC53}"/>
              </c:ext>
            </c:extLst>
          </c:dPt>
          <c:dPt>
            <c:idx val="92"/>
            <c:bubble3D val="0"/>
            <c:spPr>
              <a:solidFill>
                <a:srgbClr val="0DEA6E"/>
              </a:solidFill>
            </c:spPr>
            <c:extLst>
              <c:ext xmlns:c16="http://schemas.microsoft.com/office/drawing/2014/chart" uri="{C3380CC4-5D6E-409C-BE32-E72D297353CC}">
                <c16:uniqueId val="{000000B9-085C-458F-9BEB-3F36C6ADFC53}"/>
              </c:ext>
            </c:extLst>
          </c:dPt>
          <c:dPt>
            <c:idx val="93"/>
            <c:bubble3D val="0"/>
            <c:spPr>
              <a:solidFill>
                <a:srgbClr val="C63059"/>
              </a:solidFill>
            </c:spPr>
            <c:extLst>
              <c:ext xmlns:c16="http://schemas.microsoft.com/office/drawing/2014/chart" uri="{C3380CC4-5D6E-409C-BE32-E72D297353CC}">
                <c16:uniqueId val="{000000BB-085C-458F-9BEB-3F36C6ADFC53}"/>
              </c:ext>
            </c:extLst>
          </c:dPt>
          <c:dPt>
            <c:idx val="94"/>
            <c:bubble3D val="0"/>
            <c:spPr>
              <a:solidFill>
                <a:srgbClr val="FFFE78"/>
              </a:solidFill>
            </c:spPr>
            <c:extLst>
              <c:ext xmlns:c16="http://schemas.microsoft.com/office/drawing/2014/chart" uri="{C3380CC4-5D6E-409C-BE32-E72D297353CC}">
                <c16:uniqueId val="{000000BD-085C-458F-9BEB-3F36C6ADFC53}"/>
              </c:ext>
            </c:extLst>
          </c:dPt>
          <c:dPt>
            <c:idx val="95"/>
            <c:bubble3D val="0"/>
            <c:spPr>
              <a:solidFill>
                <a:srgbClr val="87E6C7"/>
              </a:solidFill>
            </c:spPr>
            <c:extLst>
              <c:ext xmlns:c16="http://schemas.microsoft.com/office/drawing/2014/chart" uri="{C3380CC4-5D6E-409C-BE32-E72D297353CC}">
                <c16:uniqueId val="{000000BF-085C-458F-9BEB-3F36C6ADFC53}"/>
              </c:ext>
            </c:extLst>
          </c:dPt>
          <c:dPt>
            <c:idx val="96"/>
            <c:bubble3D val="0"/>
            <c:spPr>
              <a:solidFill>
                <a:srgbClr val="CDCF29"/>
              </a:solidFill>
            </c:spPr>
            <c:extLst>
              <c:ext xmlns:c16="http://schemas.microsoft.com/office/drawing/2014/chart" uri="{C3380CC4-5D6E-409C-BE32-E72D297353CC}">
                <c16:uniqueId val="{000000C1-085C-458F-9BEB-3F36C6ADFC53}"/>
              </c:ext>
            </c:extLst>
          </c:dPt>
          <c:dPt>
            <c:idx val="97"/>
            <c:bubble3D val="0"/>
            <c:spPr>
              <a:solidFill>
                <a:srgbClr val="4FC9FF"/>
              </a:solidFill>
            </c:spPr>
            <c:extLst>
              <c:ext xmlns:c16="http://schemas.microsoft.com/office/drawing/2014/chart" uri="{C3380CC4-5D6E-409C-BE32-E72D297353CC}">
                <c16:uniqueId val="{000000C3-085C-458F-9BEB-3F36C6ADFC53}"/>
              </c:ext>
            </c:extLst>
          </c:dPt>
          <c:dPt>
            <c:idx val="98"/>
            <c:bubble3D val="0"/>
            <c:spPr>
              <a:solidFill>
                <a:srgbClr val="0EFEB9"/>
              </a:solidFill>
            </c:spPr>
            <c:extLst>
              <c:ext xmlns:c16="http://schemas.microsoft.com/office/drawing/2014/chart" uri="{C3380CC4-5D6E-409C-BE32-E72D297353CC}">
                <c16:uniqueId val="{000000C5-085C-458F-9BEB-3F36C6ADFC53}"/>
              </c:ext>
            </c:extLst>
          </c:dPt>
          <c:dPt>
            <c:idx val="99"/>
            <c:bubble3D val="0"/>
            <c:spPr>
              <a:solidFill>
                <a:srgbClr val="024A8D"/>
              </a:solidFill>
            </c:spPr>
            <c:extLst>
              <c:ext xmlns:c16="http://schemas.microsoft.com/office/drawing/2014/chart" uri="{C3380CC4-5D6E-409C-BE32-E72D297353CC}">
                <c16:uniqueId val="{000000C7-085C-458F-9BEB-3F36C6ADFC53}"/>
              </c:ext>
            </c:extLst>
          </c:dPt>
          <c:dPt>
            <c:idx val="100"/>
            <c:bubble3D val="0"/>
            <c:spPr>
              <a:solidFill>
                <a:srgbClr val="FF2AC4"/>
              </a:solidFill>
            </c:spPr>
            <c:extLst>
              <c:ext xmlns:c16="http://schemas.microsoft.com/office/drawing/2014/chart" uri="{C3380CC4-5D6E-409C-BE32-E72D297353CC}">
                <c16:uniqueId val="{000000C9-085C-458F-9BEB-3F36C6ADFC53}"/>
              </c:ext>
            </c:extLst>
          </c:dPt>
          <c:dPt>
            <c:idx val="101"/>
            <c:bubble3D val="0"/>
            <c:spPr>
              <a:solidFill>
                <a:srgbClr val="BEFAD8"/>
              </a:solidFill>
            </c:spPr>
            <c:extLst>
              <c:ext xmlns:c16="http://schemas.microsoft.com/office/drawing/2014/chart" uri="{C3380CC4-5D6E-409C-BE32-E72D297353CC}">
                <c16:uniqueId val="{000000CB-085C-458F-9BEB-3F36C6ADFC53}"/>
              </c:ext>
            </c:extLst>
          </c:dPt>
          <c:dPt>
            <c:idx val="102"/>
            <c:bubble3D val="0"/>
            <c:spPr>
              <a:solidFill>
                <a:srgbClr val="06F32C"/>
              </a:solidFill>
            </c:spPr>
            <c:extLst>
              <c:ext xmlns:c16="http://schemas.microsoft.com/office/drawing/2014/chart" uri="{C3380CC4-5D6E-409C-BE32-E72D297353CC}">
                <c16:uniqueId val="{000000CD-085C-458F-9BEB-3F36C6ADFC53}"/>
              </c:ext>
            </c:extLst>
          </c:dPt>
          <c:dPt>
            <c:idx val="103"/>
            <c:bubble3D val="0"/>
            <c:spPr>
              <a:solidFill>
                <a:srgbClr val="55023B"/>
              </a:solidFill>
            </c:spPr>
            <c:extLst>
              <c:ext xmlns:c16="http://schemas.microsoft.com/office/drawing/2014/chart" uri="{C3380CC4-5D6E-409C-BE32-E72D297353CC}">
                <c16:uniqueId val="{000000CF-085C-458F-9BEB-3F36C6ADFC53}"/>
              </c:ext>
            </c:extLst>
          </c:dPt>
          <c:dPt>
            <c:idx val="104"/>
            <c:bubble3D val="0"/>
            <c:spPr>
              <a:solidFill>
                <a:srgbClr val="0F1204"/>
              </a:solidFill>
            </c:spPr>
            <c:extLst>
              <c:ext xmlns:c16="http://schemas.microsoft.com/office/drawing/2014/chart" uri="{C3380CC4-5D6E-409C-BE32-E72D297353CC}">
                <c16:uniqueId val="{000000D1-085C-458F-9BEB-3F36C6ADFC53}"/>
              </c:ext>
            </c:extLst>
          </c:dPt>
          <c:dPt>
            <c:idx val="105"/>
            <c:bubble3D val="0"/>
            <c:spPr>
              <a:solidFill>
                <a:srgbClr val="3F64C0"/>
              </a:solidFill>
            </c:spPr>
            <c:extLst>
              <c:ext xmlns:c16="http://schemas.microsoft.com/office/drawing/2014/chart" uri="{C3380CC4-5D6E-409C-BE32-E72D297353CC}">
                <c16:uniqueId val="{000000D3-085C-458F-9BEB-3F36C6ADFC53}"/>
              </c:ext>
            </c:extLst>
          </c:dPt>
          <c:dPt>
            <c:idx val="106"/>
            <c:bubble3D val="0"/>
            <c:spPr>
              <a:solidFill>
                <a:srgbClr val="FF5610"/>
              </a:solidFill>
            </c:spPr>
            <c:extLst>
              <c:ext xmlns:c16="http://schemas.microsoft.com/office/drawing/2014/chart" uri="{C3380CC4-5D6E-409C-BE32-E72D297353CC}">
                <c16:uniqueId val="{000000D5-085C-458F-9BEB-3F36C6ADFC53}"/>
              </c:ext>
            </c:extLst>
          </c:dPt>
          <c:dPt>
            <c:idx val="107"/>
            <c:bubble3D val="0"/>
            <c:spPr>
              <a:solidFill>
                <a:srgbClr val="F60EE9"/>
              </a:solidFill>
            </c:spPr>
            <c:extLst>
              <c:ext xmlns:c16="http://schemas.microsoft.com/office/drawing/2014/chart" uri="{C3380CC4-5D6E-409C-BE32-E72D297353CC}">
                <c16:uniqueId val="{000000D7-085C-458F-9BEB-3F36C6ADFC53}"/>
              </c:ext>
            </c:extLst>
          </c:dPt>
          <c:dPt>
            <c:idx val="108"/>
            <c:bubble3D val="0"/>
            <c:spPr>
              <a:solidFill>
                <a:srgbClr val="3F182F"/>
              </a:solidFill>
            </c:spPr>
            <c:extLst>
              <c:ext xmlns:c16="http://schemas.microsoft.com/office/drawing/2014/chart" uri="{C3380CC4-5D6E-409C-BE32-E72D297353CC}">
                <c16:uniqueId val="{000000D9-085C-458F-9BEB-3F36C6ADFC53}"/>
              </c:ext>
            </c:extLst>
          </c:dPt>
          <c:dPt>
            <c:idx val="109"/>
            <c:bubble3D val="0"/>
            <c:spPr>
              <a:solidFill>
                <a:srgbClr val="5B3A78"/>
              </a:solidFill>
            </c:spPr>
            <c:extLst>
              <c:ext xmlns:c16="http://schemas.microsoft.com/office/drawing/2014/chart" uri="{C3380CC4-5D6E-409C-BE32-E72D297353CC}">
                <c16:uniqueId val="{000000DB-085C-458F-9BEB-3F36C6ADFC53}"/>
              </c:ext>
            </c:extLst>
          </c:dPt>
          <c:dPt>
            <c:idx val="110"/>
            <c:bubble3D val="0"/>
            <c:spPr>
              <a:solidFill>
                <a:srgbClr val="11264F"/>
              </a:solidFill>
            </c:spPr>
            <c:extLst>
              <c:ext xmlns:c16="http://schemas.microsoft.com/office/drawing/2014/chart" uri="{C3380CC4-5D6E-409C-BE32-E72D297353CC}">
                <c16:uniqueId val="{000000DD-085C-458F-9BEB-3F36C6ADFC53}"/>
              </c:ext>
            </c:extLst>
          </c:dPt>
          <c:dPt>
            <c:idx val="111"/>
            <c:bubble3D val="0"/>
            <c:spPr>
              <a:solidFill>
                <a:srgbClr val="7C7EF4"/>
              </a:solidFill>
            </c:spPr>
            <c:extLst>
              <c:ext xmlns:c16="http://schemas.microsoft.com/office/drawing/2014/chart" uri="{C3380CC4-5D6E-409C-BE32-E72D297353CC}">
                <c16:uniqueId val="{000000DF-085C-458F-9BEB-3F36C6ADFC53}"/>
              </c:ext>
            </c:extLst>
          </c:dPt>
          <c:dPt>
            <c:idx val="112"/>
            <c:bubble3D val="0"/>
            <c:spPr>
              <a:solidFill>
                <a:srgbClr val="FF815D"/>
              </a:solidFill>
            </c:spPr>
            <c:extLst>
              <c:ext xmlns:c16="http://schemas.microsoft.com/office/drawing/2014/chart" uri="{C3380CC4-5D6E-409C-BE32-E72D297353CC}">
                <c16:uniqueId val="{000000E1-085C-458F-9BEB-3F36C6ADFC53}"/>
              </c:ext>
            </c:extLst>
          </c:dPt>
          <c:dPt>
            <c:idx val="113"/>
            <c:bubble3D val="0"/>
            <c:spPr>
              <a:solidFill>
                <a:srgbClr val="2D21FA"/>
              </a:solidFill>
            </c:spPr>
            <c:extLst>
              <c:ext xmlns:c16="http://schemas.microsoft.com/office/drawing/2014/chart" uri="{C3380CC4-5D6E-409C-BE32-E72D297353CC}">
                <c16:uniqueId val="{000000E3-085C-458F-9BEB-3F36C6ADFC53}"/>
              </c:ext>
            </c:extLst>
          </c:dPt>
          <c:dPt>
            <c:idx val="114"/>
            <c:bubble3D val="0"/>
            <c:spPr>
              <a:solidFill>
                <a:srgbClr val="773C33"/>
              </a:solidFill>
            </c:spPr>
            <c:extLst>
              <c:ext xmlns:c16="http://schemas.microsoft.com/office/drawing/2014/chart" uri="{C3380CC4-5D6E-409C-BE32-E72D297353CC}">
                <c16:uniqueId val="{000000E5-085C-458F-9BEB-3F36C6ADFC53}"/>
              </c:ext>
            </c:extLst>
          </c:dPt>
          <c:dPt>
            <c:idx val="115"/>
            <c:bubble3D val="0"/>
            <c:spPr>
              <a:solidFill>
                <a:srgbClr val="6273B4"/>
              </a:solidFill>
            </c:spPr>
            <c:extLst>
              <c:ext xmlns:c16="http://schemas.microsoft.com/office/drawing/2014/chart" uri="{C3380CC4-5D6E-409C-BE32-E72D297353CC}">
                <c16:uniqueId val="{000000E7-085C-458F-9BEB-3F36C6ADFC53}"/>
              </c:ext>
            </c:extLst>
          </c:dPt>
          <c:dPt>
            <c:idx val="116"/>
            <c:bubble3D val="0"/>
            <c:spPr>
              <a:solidFill>
                <a:srgbClr val="123A9B"/>
              </a:solidFill>
            </c:spPr>
            <c:extLst>
              <c:ext xmlns:c16="http://schemas.microsoft.com/office/drawing/2014/chart" uri="{C3380CC4-5D6E-409C-BE32-E72D297353CC}">
                <c16:uniqueId val="{000000E9-085C-458F-9BEB-3F36C6ADFC53}"/>
              </c:ext>
            </c:extLst>
          </c:dPt>
          <c:dPt>
            <c:idx val="117"/>
            <c:bubble3D val="0"/>
            <c:spPr>
              <a:solidFill>
                <a:srgbClr val="B99827"/>
              </a:solidFill>
            </c:spPr>
            <c:extLst>
              <c:ext xmlns:c16="http://schemas.microsoft.com/office/drawing/2014/chart" uri="{C3380CC4-5D6E-409C-BE32-E72D297353CC}">
                <c16:uniqueId val="{000000EB-085C-458F-9BEB-3F36C6ADFC53}"/>
              </c:ext>
            </c:extLst>
          </c:dPt>
          <c:dPt>
            <c:idx val="118"/>
            <c:bubble3D val="0"/>
            <c:spPr>
              <a:solidFill>
                <a:srgbClr val="FFADA9"/>
              </a:solidFill>
            </c:spPr>
            <c:extLst>
              <c:ext xmlns:c16="http://schemas.microsoft.com/office/drawing/2014/chart" uri="{C3380CC4-5D6E-409C-BE32-E72D297353CC}">
                <c16:uniqueId val="{000000ED-085C-458F-9BEB-3F36C6ADFC53}"/>
              </c:ext>
            </c:extLst>
          </c:dPt>
          <c:dPt>
            <c:idx val="119"/>
            <c:bubble3D val="0"/>
            <c:spPr>
              <a:solidFill>
                <a:srgbClr val="65350B"/>
              </a:solidFill>
            </c:spPr>
            <c:extLst>
              <c:ext xmlns:c16="http://schemas.microsoft.com/office/drawing/2014/chart" uri="{C3380CC4-5D6E-409C-BE32-E72D297353CC}">
                <c16:uniqueId val="{000000EF-085C-458F-9BEB-3F36C6ADFC53}"/>
              </c:ext>
            </c:extLst>
          </c:dPt>
          <c:dPt>
            <c:idx val="120"/>
            <c:bubble3D val="0"/>
            <c:spPr>
              <a:solidFill>
                <a:srgbClr val="B06136"/>
              </a:solidFill>
            </c:spPr>
            <c:extLst>
              <c:ext xmlns:c16="http://schemas.microsoft.com/office/drawing/2014/chart" uri="{C3380CC4-5D6E-409C-BE32-E72D297353CC}">
                <c16:uniqueId val="{000000F1-085C-458F-9BEB-3F36C6ADFC53}"/>
              </c:ext>
            </c:extLst>
          </c:dPt>
          <c:dPt>
            <c:idx val="121"/>
            <c:bubble3D val="0"/>
            <c:spPr>
              <a:solidFill>
                <a:srgbClr val="68ABF1"/>
              </a:solidFill>
            </c:spPr>
            <c:extLst>
              <c:ext xmlns:c16="http://schemas.microsoft.com/office/drawing/2014/chart" uri="{C3380CC4-5D6E-409C-BE32-E72D297353CC}">
                <c16:uniqueId val="{000000F3-085C-458F-9BEB-3F36C6ADFC53}"/>
              </c:ext>
            </c:extLst>
          </c:dPt>
          <c:dPt>
            <c:idx val="122"/>
            <c:bubble3D val="0"/>
            <c:spPr>
              <a:solidFill>
                <a:srgbClr val="134EE6"/>
              </a:solidFill>
            </c:spPr>
            <c:extLst>
              <c:ext xmlns:c16="http://schemas.microsoft.com/office/drawing/2014/chart" uri="{C3380CC4-5D6E-409C-BE32-E72D297353CC}">
                <c16:uniqueId val="{000000F5-085C-458F-9BEB-3F36C6ADFC53}"/>
              </c:ext>
            </c:extLst>
          </c:dPt>
          <c:dPt>
            <c:idx val="123"/>
            <c:bubble3D val="0"/>
            <c:spPr>
              <a:solidFill>
                <a:srgbClr val="F6B25B"/>
              </a:solidFill>
            </c:spPr>
            <c:extLst>
              <c:ext xmlns:c16="http://schemas.microsoft.com/office/drawing/2014/chart" uri="{C3380CC4-5D6E-409C-BE32-E72D297353CC}">
                <c16:uniqueId val="{000000F7-085C-458F-9BEB-3F36C6ADFC53}"/>
              </c:ext>
            </c:extLst>
          </c:dPt>
          <c:dPt>
            <c:idx val="124"/>
            <c:bubble3D val="0"/>
            <c:spPr>
              <a:solidFill>
                <a:srgbClr val="FFD9F5"/>
              </a:solidFill>
            </c:spPr>
            <c:extLst>
              <c:ext xmlns:c16="http://schemas.microsoft.com/office/drawing/2014/chart" uri="{C3380CC4-5D6E-409C-BE32-E72D297353CC}">
                <c16:uniqueId val="{000000F9-085C-458F-9BEB-3F36C6ADFC53}"/>
              </c:ext>
            </c:extLst>
          </c:dPt>
          <c:dPt>
            <c:idx val="125"/>
            <c:bubble3D val="0"/>
            <c:spPr>
              <a:solidFill>
                <a:srgbClr val="9C491C"/>
              </a:solidFill>
            </c:spPr>
            <c:extLst>
              <c:ext xmlns:c16="http://schemas.microsoft.com/office/drawing/2014/chart" uri="{C3380CC4-5D6E-409C-BE32-E72D297353CC}">
                <c16:uniqueId val="{000000FB-085C-458F-9BEB-3F36C6ADFC53}"/>
              </c:ext>
            </c:extLst>
          </c:dPt>
          <c:dPt>
            <c:idx val="126"/>
            <c:bubble3D val="0"/>
            <c:spPr>
              <a:solidFill>
                <a:srgbClr val="E98639"/>
              </a:solidFill>
            </c:spPr>
            <c:extLst>
              <c:ext xmlns:c16="http://schemas.microsoft.com/office/drawing/2014/chart" uri="{C3380CC4-5D6E-409C-BE32-E72D297353CC}">
                <c16:uniqueId val="{000000FD-085C-458F-9BEB-3F36C6ADFC53}"/>
              </c:ext>
            </c:extLst>
          </c:dPt>
          <c:dPt>
            <c:idx val="127"/>
            <c:bubble3D val="0"/>
            <c:spPr>
              <a:solidFill>
                <a:srgbClr val="6EE32E"/>
              </a:solidFill>
            </c:spPr>
            <c:extLst>
              <c:ext xmlns:c16="http://schemas.microsoft.com/office/drawing/2014/chart" uri="{C3380CC4-5D6E-409C-BE32-E72D297353CC}">
                <c16:uniqueId val="{000000FF-085C-458F-9BEB-3F36C6ADFC53}"/>
              </c:ext>
            </c:extLst>
          </c:dPt>
          <c:dPt>
            <c:idx val="128"/>
            <c:bubble3D val="0"/>
            <c:spPr>
              <a:solidFill>
                <a:srgbClr val="146231"/>
              </a:solidFill>
            </c:spPr>
            <c:extLst>
              <c:ext xmlns:c16="http://schemas.microsoft.com/office/drawing/2014/chart" uri="{C3380CC4-5D6E-409C-BE32-E72D297353CC}">
                <c16:uniqueId val="{00000101-085C-458F-9BEB-3F36C6ADFC53}"/>
              </c:ext>
            </c:extLst>
          </c:dPt>
          <c:dPt>
            <c:idx val="129"/>
            <c:bubble3D val="0"/>
            <c:spPr>
              <a:solidFill>
                <a:srgbClr val="33CC8F"/>
              </a:solidFill>
            </c:spPr>
            <c:extLst>
              <c:ext xmlns:c16="http://schemas.microsoft.com/office/drawing/2014/chart" uri="{C3380CC4-5D6E-409C-BE32-E72D297353CC}">
                <c16:uniqueId val="{00000103-085C-458F-9BEB-3F36C6ADFC53}"/>
              </c:ext>
            </c:extLst>
          </c:dPt>
          <c:dPt>
            <c:idx val="130"/>
            <c:bubble3D val="0"/>
            <c:spPr>
              <a:solidFill>
                <a:srgbClr val="FF0541"/>
              </a:solidFill>
            </c:spPr>
            <c:extLst>
              <c:ext xmlns:c16="http://schemas.microsoft.com/office/drawing/2014/chart" uri="{C3380CC4-5D6E-409C-BE32-E72D297353CC}">
                <c16:uniqueId val="{00000105-085C-458F-9BEB-3F36C6ADFC53}"/>
              </c:ext>
            </c:extLst>
          </c:dPt>
          <c:dPt>
            <c:idx val="131"/>
            <c:bubble3D val="0"/>
            <c:spPr>
              <a:solidFill>
                <a:srgbClr val="D45D2D"/>
              </a:solidFill>
            </c:spPr>
            <c:extLst>
              <c:ext xmlns:c16="http://schemas.microsoft.com/office/drawing/2014/chart" uri="{C3380CC4-5D6E-409C-BE32-E72D297353CC}">
                <c16:uniqueId val="{00000107-085C-458F-9BEB-3F36C6ADFC53}"/>
              </c:ext>
            </c:extLst>
          </c:dPt>
          <c:dPt>
            <c:idx val="132"/>
            <c:bubble3D val="0"/>
            <c:spPr>
              <a:solidFill>
                <a:srgbClr val="21AA3D"/>
              </a:solidFill>
            </c:spPr>
            <c:extLst>
              <c:ext xmlns:c16="http://schemas.microsoft.com/office/drawing/2014/chart" uri="{C3380CC4-5D6E-409C-BE32-E72D297353CC}">
                <c16:uniqueId val="{00000109-085C-458F-9BEB-3F36C6ADFC53}"/>
              </c:ext>
            </c:extLst>
          </c:dPt>
          <c:dPt>
            <c:idx val="133"/>
            <c:bubble3D val="0"/>
            <c:spPr>
              <a:solidFill>
                <a:srgbClr val="751C6A"/>
              </a:solidFill>
            </c:spPr>
            <c:extLst>
              <c:ext xmlns:c16="http://schemas.microsoft.com/office/drawing/2014/chart" uri="{C3380CC4-5D6E-409C-BE32-E72D297353CC}">
                <c16:uniqueId val="{0000010B-085C-458F-9BEB-3F36C6ADFC53}"/>
              </c:ext>
            </c:extLst>
          </c:dPt>
          <c:dPt>
            <c:idx val="134"/>
            <c:bubble3D val="0"/>
            <c:spPr>
              <a:solidFill>
                <a:srgbClr val="15767D"/>
              </a:solidFill>
            </c:spPr>
            <c:extLst>
              <c:ext xmlns:c16="http://schemas.microsoft.com/office/drawing/2014/chart" uri="{C3380CC4-5D6E-409C-BE32-E72D297353CC}">
                <c16:uniqueId val="{0000010D-085C-458F-9BEB-3F36C6ADFC53}"/>
              </c:ext>
            </c:extLst>
          </c:dPt>
          <c:dPt>
            <c:idx val="135"/>
            <c:bubble3D val="0"/>
            <c:spPr>
              <a:solidFill>
                <a:srgbClr val="70E6C2"/>
              </a:solidFill>
            </c:spPr>
            <c:extLst>
              <c:ext xmlns:c16="http://schemas.microsoft.com/office/drawing/2014/chart" uri="{C3380CC4-5D6E-409C-BE32-E72D297353CC}">
                <c16:uniqueId val="{0000010F-085C-458F-9BEB-3F36C6ADFC53}"/>
              </c:ext>
            </c:extLst>
          </c:dPt>
          <c:dPt>
            <c:idx val="136"/>
            <c:bubble3D val="0"/>
            <c:spPr>
              <a:solidFill>
                <a:srgbClr val="FF318D"/>
              </a:solidFill>
            </c:spPr>
            <c:extLst>
              <c:ext xmlns:c16="http://schemas.microsoft.com/office/drawing/2014/chart" uri="{C3380CC4-5D6E-409C-BE32-E72D297353CC}">
                <c16:uniqueId val="{00000111-085C-458F-9BEB-3F36C6ADFC53}"/>
              </c:ext>
            </c:extLst>
          </c:dPt>
          <c:dPt>
            <c:idx val="137"/>
            <c:bubble3D val="0"/>
            <c:spPr>
              <a:solidFill>
                <a:srgbClr val="0B713E"/>
              </a:solidFill>
            </c:spPr>
            <c:extLst>
              <c:ext xmlns:c16="http://schemas.microsoft.com/office/drawing/2014/chart" uri="{C3380CC4-5D6E-409C-BE32-E72D297353CC}">
                <c16:uniqueId val="{00000113-085C-458F-9BEB-3F36C6ADFC53}"/>
              </c:ext>
            </c:extLst>
          </c:dPt>
          <c:dPt>
            <c:idx val="138"/>
            <c:bubble3D val="0"/>
            <c:spPr>
              <a:solidFill>
                <a:srgbClr val="5ACF40"/>
              </a:solidFill>
            </c:spPr>
            <c:extLst>
              <c:ext xmlns:c16="http://schemas.microsoft.com/office/drawing/2014/chart" uri="{C3380CC4-5D6E-409C-BE32-E72D297353CC}">
                <c16:uniqueId val="{00000115-085C-458F-9BEB-3F36C6ADFC53}"/>
              </c:ext>
            </c:extLst>
          </c:dPt>
          <c:dPt>
            <c:idx val="139"/>
            <c:bubble3D val="0"/>
            <c:spPr>
              <a:solidFill>
                <a:srgbClr val="7B54A7"/>
              </a:solidFill>
            </c:spPr>
            <c:extLst>
              <c:ext xmlns:c16="http://schemas.microsoft.com/office/drawing/2014/chart" uri="{C3380CC4-5D6E-409C-BE32-E72D297353CC}">
                <c16:uniqueId val="{00000117-085C-458F-9BEB-3F36C6ADFC53}"/>
              </c:ext>
            </c:extLst>
          </c:dPt>
          <c:dPt>
            <c:idx val="140"/>
            <c:bubble3D val="0"/>
            <c:spPr>
              <a:solidFill>
                <a:srgbClr val="178AC8"/>
              </a:solidFill>
            </c:spPr>
            <c:extLst>
              <c:ext xmlns:c16="http://schemas.microsoft.com/office/drawing/2014/chart" uri="{C3380CC4-5D6E-409C-BE32-E72D297353CC}">
                <c16:uniqueId val="{00000119-085C-458F-9BEB-3F36C6ADFC53}"/>
              </c:ext>
            </c:extLst>
          </c:dPt>
          <c:dPt>
            <c:idx val="141"/>
            <c:bubble3D val="0"/>
            <c:spPr>
              <a:solidFill>
                <a:srgbClr val="AD00F6"/>
              </a:solidFill>
            </c:spPr>
            <c:extLst>
              <c:ext xmlns:c16="http://schemas.microsoft.com/office/drawing/2014/chart" uri="{C3380CC4-5D6E-409C-BE32-E72D297353CC}">
                <c16:uniqueId val="{0000011B-085C-458F-9BEB-3F36C6ADFC53}"/>
              </c:ext>
            </c:extLst>
          </c:dPt>
          <c:dPt>
            <c:idx val="142"/>
            <c:bubble3D val="0"/>
            <c:spPr>
              <a:solidFill>
                <a:srgbClr val="FF5CDA"/>
              </a:solidFill>
            </c:spPr>
            <c:extLst>
              <c:ext xmlns:c16="http://schemas.microsoft.com/office/drawing/2014/chart" uri="{C3380CC4-5D6E-409C-BE32-E72D297353CC}">
                <c16:uniqueId val="{0000011D-085C-458F-9BEB-3F36C6ADFC53}"/>
              </c:ext>
            </c:extLst>
          </c:dPt>
          <c:dPt>
            <c:idx val="143"/>
            <c:bubble3D val="0"/>
            <c:spPr>
              <a:solidFill>
                <a:srgbClr val="43844F"/>
              </a:solidFill>
            </c:spPr>
            <c:extLst>
              <c:ext xmlns:c16="http://schemas.microsoft.com/office/drawing/2014/chart" uri="{C3380CC4-5D6E-409C-BE32-E72D297353CC}">
                <c16:uniqueId val="{0000011F-085C-458F-9BEB-3F36C6ADFC53}"/>
              </c:ext>
            </c:extLst>
          </c:dPt>
          <c:dPt>
            <c:idx val="144"/>
            <c:bubble3D val="0"/>
            <c:spPr>
              <a:solidFill>
                <a:srgbClr val="93F343"/>
              </a:solidFill>
            </c:spPr>
            <c:extLst>
              <c:ext xmlns:c16="http://schemas.microsoft.com/office/drawing/2014/chart" uri="{C3380CC4-5D6E-409C-BE32-E72D297353CC}">
                <c16:uniqueId val="{00000121-085C-458F-9BEB-3F36C6ADFC53}"/>
              </c:ext>
            </c:extLst>
          </c:dPt>
          <c:dPt>
            <c:idx val="145"/>
            <c:bubble3D val="0"/>
            <c:spPr>
              <a:solidFill>
                <a:srgbClr val="818DE3"/>
              </a:solidFill>
            </c:spPr>
            <c:extLst>
              <c:ext xmlns:c16="http://schemas.microsoft.com/office/drawing/2014/chart" uri="{C3380CC4-5D6E-409C-BE32-E72D297353CC}">
                <c16:uniqueId val="{00000123-085C-458F-9BEB-3F36C6ADFC53}"/>
              </c:ext>
            </c:extLst>
          </c:dPt>
          <c:dPt>
            <c:idx val="146"/>
            <c:bubble3D val="0"/>
            <c:spPr>
              <a:solidFill>
                <a:srgbClr val="189E13"/>
              </a:solidFill>
            </c:spPr>
            <c:extLst>
              <c:ext xmlns:c16="http://schemas.microsoft.com/office/drawing/2014/chart" uri="{C3380CC4-5D6E-409C-BE32-E72D297353CC}">
                <c16:uniqueId val="{00000125-085C-458F-9BEB-3F36C6ADFC53}"/>
              </c:ext>
            </c:extLst>
          </c:dPt>
          <c:dPt>
            <c:idx val="147"/>
            <c:bubble3D val="0"/>
            <c:spPr>
              <a:solidFill>
                <a:srgbClr val="EA1A29"/>
              </a:solidFill>
            </c:spPr>
            <c:extLst>
              <c:ext xmlns:c16="http://schemas.microsoft.com/office/drawing/2014/chart" uri="{C3380CC4-5D6E-409C-BE32-E72D297353CC}">
                <c16:uniqueId val="{00000127-085C-458F-9BEB-3F36C6ADFC53}"/>
              </c:ext>
            </c:extLst>
          </c:dPt>
          <c:dPt>
            <c:idx val="148"/>
            <c:bubble3D val="0"/>
            <c:spPr>
              <a:solidFill>
                <a:srgbClr val="FF8826"/>
              </a:solidFill>
            </c:spPr>
            <c:extLst>
              <c:ext xmlns:c16="http://schemas.microsoft.com/office/drawing/2014/chart" uri="{C3380CC4-5D6E-409C-BE32-E72D297353CC}">
                <c16:uniqueId val="{00000129-085C-458F-9BEB-3F36C6ADFC53}"/>
              </c:ext>
            </c:extLst>
          </c:dPt>
          <c:dPt>
            <c:idx val="149"/>
            <c:bubble3D val="0"/>
            <c:spPr>
              <a:solidFill>
                <a:srgbClr val="7A9860"/>
              </a:solidFill>
            </c:spPr>
            <c:extLst>
              <c:ext xmlns:c16="http://schemas.microsoft.com/office/drawing/2014/chart" uri="{C3380CC4-5D6E-409C-BE32-E72D297353CC}">
                <c16:uniqueId val="{0000012B-085C-458F-9BEB-3F36C6ADFC53}"/>
              </c:ext>
            </c:extLst>
          </c:dPt>
          <c:dPt>
            <c:idx val="150"/>
            <c:bubble3D val="0"/>
            <c:spPr>
              <a:solidFill>
                <a:srgbClr val="CC1847"/>
              </a:solidFill>
            </c:spPr>
            <c:extLst>
              <c:ext xmlns:c16="http://schemas.microsoft.com/office/drawing/2014/chart" uri="{C3380CC4-5D6E-409C-BE32-E72D297353CC}">
                <c16:uniqueId val="{0000012D-085C-458F-9BEB-3F36C6ADFC53}"/>
              </c:ext>
            </c:extLst>
          </c:dPt>
          <c:dPt>
            <c:idx val="151"/>
            <c:bubble3D val="0"/>
            <c:spPr>
              <a:solidFill>
                <a:srgbClr val="88C520"/>
              </a:solidFill>
            </c:spPr>
            <c:extLst>
              <c:ext xmlns:c16="http://schemas.microsoft.com/office/drawing/2014/chart" uri="{C3380CC4-5D6E-409C-BE32-E72D297353CC}">
                <c16:uniqueId val="{0000012F-085C-458F-9BEB-3F36C6ADFC53}"/>
              </c:ext>
            </c:extLst>
          </c:dPt>
          <c:dPt>
            <c:idx val="152"/>
            <c:bubble3D val="0"/>
            <c:spPr>
              <a:solidFill>
                <a:srgbClr val="19B35F"/>
              </a:solidFill>
            </c:spPr>
            <c:extLst>
              <c:ext xmlns:c16="http://schemas.microsoft.com/office/drawing/2014/chart" uri="{C3380CC4-5D6E-409C-BE32-E72D297353CC}">
                <c16:uniqueId val="{00000131-085C-458F-9BEB-3F36C6ADFC53}"/>
              </c:ext>
            </c:extLst>
          </c:dPt>
          <c:dPt>
            <c:idx val="153"/>
            <c:bubble3D val="0"/>
            <c:spPr>
              <a:solidFill>
                <a:srgbClr val="27355D"/>
              </a:solidFill>
            </c:spPr>
            <c:extLst>
              <c:ext xmlns:c16="http://schemas.microsoft.com/office/drawing/2014/chart" uri="{C3380CC4-5D6E-409C-BE32-E72D297353CC}">
                <c16:uniqueId val="{00000133-085C-458F-9BEB-3F36C6ADFC53}"/>
              </c:ext>
            </c:extLst>
          </c:dPt>
          <c:dPt>
            <c:idx val="154"/>
            <c:bubble3D val="0"/>
            <c:spPr>
              <a:solidFill>
                <a:srgbClr val="FFB472"/>
              </a:solidFill>
            </c:spPr>
            <c:extLst>
              <c:ext xmlns:c16="http://schemas.microsoft.com/office/drawing/2014/chart" uri="{C3380CC4-5D6E-409C-BE32-E72D297353CC}">
                <c16:uniqueId val="{00000135-085C-458F-9BEB-3F36C6ADFC53}"/>
              </c:ext>
            </c:extLst>
          </c:dPt>
          <c:dPt>
            <c:idx val="155"/>
            <c:bubble3D val="0"/>
            <c:spPr>
              <a:solidFill>
                <a:srgbClr val="B2AC72"/>
              </a:solidFill>
            </c:spPr>
            <c:extLst>
              <c:ext xmlns:c16="http://schemas.microsoft.com/office/drawing/2014/chart" uri="{C3380CC4-5D6E-409C-BE32-E72D297353CC}">
                <c16:uniqueId val="{00000137-085C-458F-9BEB-3F36C6ADFC53}"/>
              </c:ext>
            </c:extLst>
          </c:dPt>
          <c:dPt>
            <c:idx val="156"/>
            <c:bubble3D val="0"/>
            <c:spPr>
              <a:solidFill>
                <a:srgbClr val="043D4A"/>
              </a:solidFill>
            </c:spPr>
            <c:extLst>
              <c:ext xmlns:c16="http://schemas.microsoft.com/office/drawing/2014/chart" uri="{C3380CC4-5D6E-409C-BE32-E72D297353CC}">
                <c16:uniqueId val="{00000139-085C-458F-9BEB-3F36C6ADFC53}"/>
              </c:ext>
            </c:extLst>
          </c:dPt>
          <c:dPt>
            <c:idx val="157"/>
            <c:bubble3D val="0"/>
            <c:spPr>
              <a:solidFill>
                <a:srgbClr val="8EFD5D"/>
              </a:solidFill>
            </c:spPr>
            <c:extLst>
              <c:ext xmlns:c16="http://schemas.microsoft.com/office/drawing/2014/chart" uri="{C3380CC4-5D6E-409C-BE32-E72D297353CC}">
                <c16:uniqueId val="{0000013B-085C-458F-9BEB-3F36C6ADFC53}"/>
              </c:ext>
            </c:extLst>
          </c:dPt>
          <c:dPt>
            <c:idx val="158"/>
            <c:bubble3D val="0"/>
            <c:spPr>
              <a:solidFill>
                <a:srgbClr val="1AC7AA"/>
              </a:solidFill>
            </c:spPr>
            <c:extLst>
              <c:ext xmlns:c16="http://schemas.microsoft.com/office/drawing/2014/chart" uri="{C3380CC4-5D6E-409C-BE32-E72D297353CC}">
                <c16:uniqueId val="{0000013D-085C-458F-9BEB-3F36C6ADFC53}"/>
              </c:ext>
            </c:extLst>
          </c:dPt>
          <c:dPt>
            <c:idx val="159"/>
            <c:bubble3D val="0"/>
            <c:spPr>
              <a:solidFill>
                <a:srgbClr val="634F91"/>
              </a:solidFill>
            </c:spPr>
            <c:extLst>
              <c:ext xmlns:c16="http://schemas.microsoft.com/office/drawing/2014/chart" uri="{C3380CC4-5D6E-409C-BE32-E72D297353CC}">
                <c16:uniqueId val="{0000013F-085C-458F-9BEB-3F36C6ADFC53}"/>
              </c:ext>
            </c:extLst>
          </c:dPt>
          <c:dPt>
            <c:idx val="160"/>
            <c:bubble3D val="0"/>
            <c:spPr>
              <a:solidFill>
                <a:srgbClr val="FFE0BE"/>
              </a:solidFill>
            </c:spPr>
            <c:extLst>
              <c:ext xmlns:c16="http://schemas.microsoft.com/office/drawing/2014/chart" uri="{C3380CC4-5D6E-409C-BE32-E72D297353CC}">
                <c16:uniqueId val="{00000141-085C-458F-9BEB-3F36C6ADFC53}"/>
              </c:ext>
            </c:extLst>
          </c:dPt>
          <c:dPt>
            <c:idx val="161"/>
            <c:bubble3D val="0"/>
            <c:spPr>
              <a:solidFill>
                <a:srgbClr val="E9C083"/>
              </a:solidFill>
            </c:spPr>
            <c:extLst>
              <c:ext xmlns:c16="http://schemas.microsoft.com/office/drawing/2014/chart" uri="{C3380CC4-5D6E-409C-BE32-E72D297353CC}">
                <c16:uniqueId val="{00000143-085C-458F-9BEB-3F36C6ADFC53}"/>
              </c:ext>
            </c:extLst>
          </c:dPt>
          <c:dPt>
            <c:idx val="162"/>
            <c:bubble3D val="0"/>
            <c:spPr>
              <a:solidFill>
                <a:srgbClr val="3D614D"/>
              </a:solidFill>
            </c:spPr>
            <c:extLst>
              <c:ext xmlns:c16="http://schemas.microsoft.com/office/drawing/2014/chart" uri="{C3380CC4-5D6E-409C-BE32-E72D297353CC}">
                <c16:uniqueId val="{00000145-085C-458F-9BEB-3F36C6ADFC53}"/>
              </c:ext>
            </c:extLst>
          </c:dPt>
          <c:dPt>
            <c:idx val="163"/>
            <c:bubble3D val="0"/>
            <c:spPr>
              <a:solidFill>
                <a:srgbClr val="943699"/>
              </a:solidFill>
            </c:spPr>
            <c:extLst>
              <c:ext xmlns:c16="http://schemas.microsoft.com/office/drawing/2014/chart" uri="{C3380CC4-5D6E-409C-BE32-E72D297353CC}">
                <c16:uniqueId val="{00000147-085C-458F-9BEB-3F36C6ADFC53}"/>
              </c:ext>
            </c:extLst>
          </c:dPt>
          <c:dPt>
            <c:idx val="164"/>
            <c:bubble3D val="0"/>
            <c:spPr>
              <a:solidFill>
                <a:srgbClr val="1BDBF5"/>
              </a:solidFill>
            </c:spPr>
            <c:extLst>
              <c:ext xmlns:c16="http://schemas.microsoft.com/office/drawing/2014/chart" uri="{C3380CC4-5D6E-409C-BE32-E72D297353CC}">
                <c16:uniqueId val="{00000149-085C-458F-9BEB-3F36C6ADFC53}"/>
              </c:ext>
            </c:extLst>
          </c:dPt>
          <c:dPt>
            <c:idx val="165"/>
            <c:bubble3D val="0"/>
            <c:spPr>
              <a:solidFill>
                <a:srgbClr val="A069C4"/>
              </a:solidFill>
            </c:spPr>
            <c:extLst>
              <c:ext xmlns:c16="http://schemas.microsoft.com/office/drawing/2014/chart" uri="{C3380CC4-5D6E-409C-BE32-E72D297353CC}">
                <c16:uniqueId val="{0000014B-085C-458F-9BEB-3F36C6ADFC53}"/>
              </c:ext>
            </c:extLst>
          </c:dPt>
          <c:dPt>
            <c:idx val="166"/>
            <c:bubble3D val="0"/>
            <c:spPr>
              <a:solidFill>
                <a:srgbClr val="FF0C0A"/>
              </a:solidFill>
            </c:spPr>
            <c:extLst>
              <c:ext xmlns:c16="http://schemas.microsoft.com/office/drawing/2014/chart" uri="{C3380CC4-5D6E-409C-BE32-E72D297353CC}">
                <c16:uniqueId val="{0000014D-085C-458F-9BEB-3F36C6ADFC53}"/>
              </c:ext>
            </c:extLst>
          </c:dPt>
          <c:dPt>
            <c:idx val="167"/>
            <c:bubble3D val="0"/>
            <c:spPr>
              <a:solidFill>
                <a:srgbClr val="21D494"/>
              </a:solidFill>
            </c:spPr>
            <c:extLst>
              <c:ext xmlns:c16="http://schemas.microsoft.com/office/drawing/2014/chart" uri="{C3380CC4-5D6E-409C-BE32-E72D297353CC}">
                <c16:uniqueId val="{0000014F-085C-458F-9BEB-3F36C6ADFC53}"/>
              </c:ext>
            </c:extLst>
          </c:dPt>
          <c:dPt>
            <c:idx val="168"/>
            <c:bubble3D val="0"/>
            <c:spPr>
              <a:solidFill>
                <a:srgbClr val="768650"/>
              </a:solidFill>
            </c:spPr>
            <c:extLst>
              <c:ext xmlns:c16="http://schemas.microsoft.com/office/drawing/2014/chart" uri="{C3380CC4-5D6E-409C-BE32-E72D297353CC}">
                <c16:uniqueId val="{00000151-085C-458F-9BEB-3F36C6ADFC53}"/>
              </c:ext>
            </c:extLst>
          </c:dPt>
          <c:dPt>
            <c:idx val="169"/>
            <c:bubble3D val="0"/>
            <c:spPr>
              <a:solidFill>
                <a:srgbClr val="9A6ED6"/>
              </a:solidFill>
            </c:spPr>
            <c:extLst>
              <c:ext xmlns:c16="http://schemas.microsoft.com/office/drawing/2014/chart" uri="{C3380CC4-5D6E-409C-BE32-E72D297353CC}">
                <c16:uniqueId val="{00000153-085C-458F-9BEB-3F36C6ADFC53}"/>
              </c:ext>
            </c:extLst>
          </c:dPt>
          <c:dPt>
            <c:idx val="170"/>
            <c:bubble3D val="0"/>
            <c:spPr>
              <a:solidFill>
                <a:srgbClr val="1DEF40"/>
              </a:solidFill>
            </c:spPr>
            <c:extLst>
              <c:ext xmlns:c16="http://schemas.microsoft.com/office/drawing/2014/chart" uri="{C3380CC4-5D6E-409C-BE32-E72D297353CC}">
                <c16:uniqueId val="{00000155-085C-458F-9BEB-3F36C6ADFC53}"/>
              </c:ext>
            </c:extLst>
          </c:dPt>
          <c:dPt>
            <c:idx val="171"/>
            <c:bubble3D val="0"/>
            <c:spPr>
              <a:solidFill>
                <a:srgbClr val="DD83F8"/>
              </a:solidFill>
            </c:spPr>
            <c:extLst>
              <c:ext xmlns:c16="http://schemas.microsoft.com/office/drawing/2014/chart" uri="{C3380CC4-5D6E-409C-BE32-E72D297353CC}">
                <c16:uniqueId val="{00000157-085C-458F-9BEB-3F36C6ADFC53}"/>
              </c:ext>
            </c:extLst>
          </c:dPt>
          <c:dPt>
            <c:idx val="172"/>
            <c:bubble3D val="0"/>
            <c:spPr>
              <a:solidFill>
                <a:srgbClr val="FF3757"/>
              </a:solidFill>
            </c:spPr>
            <c:extLst>
              <c:ext xmlns:c16="http://schemas.microsoft.com/office/drawing/2014/chart" uri="{C3380CC4-5D6E-409C-BE32-E72D297353CC}">
                <c16:uniqueId val="{00000159-085C-458F-9BEB-3F36C6ADFC53}"/>
              </c:ext>
            </c:extLst>
          </c:dPt>
          <c:dPt>
            <c:idx val="173"/>
            <c:bubble3D val="0"/>
            <c:spPr>
              <a:solidFill>
                <a:srgbClr val="58E7A5"/>
              </a:solidFill>
            </c:spPr>
            <c:extLst>
              <c:ext xmlns:c16="http://schemas.microsoft.com/office/drawing/2014/chart" uri="{C3380CC4-5D6E-409C-BE32-E72D297353CC}">
                <c16:uniqueId val="{0000015B-085C-458F-9BEB-3F36C6ADFC53}"/>
              </c:ext>
            </c:extLst>
          </c:dPt>
          <c:dPt>
            <c:idx val="174"/>
            <c:bubble3D val="0"/>
            <c:spPr>
              <a:solidFill>
                <a:srgbClr val="AEAA54"/>
              </a:solidFill>
            </c:spPr>
            <c:extLst>
              <c:ext xmlns:c16="http://schemas.microsoft.com/office/drawing/2014/chart" uri="{C3380CC4-5D6E-409C-BE32-E72D297353CC}">
                <c16:uniqueId val="{0000015D-085C-458F-9BEB-3F36C6ADFC53}"/>
              </c:ext>
            </c:extLst>
          </c:dPt>
          <c:dPt>
            <c:idx val="175"/>
            <c:bubble3D val="0"/>
            <c:spPr>
              <a:solidFill>
                <a:srgbClr val="A1A712"/>
              </a:solidFill>
            </c:spPr>
            <c:extLst>
              <c:ext xmlns:c16="http://schemas.microsoft.com/office/drawing/2014/chart" uri="{C3380CC4-5D6E-409C-BE32-E72D297353CC}">
                <c16:uniqueId val="{0000015F-085C-458F-9BEB-3F36C6ADFC53}"/>
              </c:ext>
            </c:extLst>
          </c:dPt>
          <c:dPt>
            <c:idx val="176"/>
            <c:bubble3D val="0"/>
            <c:spPr>
              <a:solidFill>
                <a:srgbClr val="1E038C"/>
              </a:solidFill>
            </c:spPr>
            <c:extLst>
              <c:ext xmlns:c16="http://schemas.microsoft.com/office/drawing/2014/chart" uri="{C3380CC4-5D6E-409C-BE32-E72D297353CC}">
                <c16:uniqueId val="{00000161-085C-458F-9BEB-3F36C6ADFC53}"/>
              </c:ext>
            </c:extLst>
          </c:dPt>
          <c:dPt>
            <c:idx val="177"/>
            <c:bubble3D val="0"/>
            <c:spPr>
              <a:solidFill>
                <a:srgbClr val="1A9D2B"/>
              </a:solidFill>
            </c:spPr>
            <c:extLst>
              <c:ext xmlns:c16="http://schemas.microsoft.com/office/drawing/2014/chart" uri="{C3380CC4-5D6E-409C-BE32-E72D297353CC}">
                <c16:uniqueId val="{00000163-085C-458F-9BEB-3F36C6ADFC53}"/>
              </c:ext>
            </c:extLst>
          </c:dPt>
          <c:dPt>
            <c:idx val="178"/>
            <c:bubble3D val="0"/>
            <c:spPr>
              <a:solidFill>
                <a:srgbClr val="FF63A3"/>
              </a:solidFill>
            </c:spPr>
            <c:extLst>
              <c:ext xmlns:c16="http://schemas.microsoft.com/office/drawing/2014/chart" uri="{C3380CC4-5D6E-409C-BE32-E72D297353CC}">
                <c16:uniqueId val="{00000165-085C-458F-9BEB-3F36C6ADFC53}"/>
              </c:ext>
            </c:extLst>
          </c:dPt>
          <c:dPt>
            <c:idx val="179"/>
            <c:bubble3D val="0"/>
            <c:spPr>
              <a:solidFill>
                <a:srgbClr val="90FBB6"/>
              </a:solidFill>
            </c:spPr>
            <c:extLst>
              <c:ext xmlns:c16="http://schemas.microsoft.com/office/drawing/2014/chart" uri="{C3380CC4-5D6E-409C-BE32-E72D297353CC}">
                <c16:uniqueId val="{00000167-085C-458F-9BEB-3F36C6ADFC53}"/>
              </c:ext>
            </c:extLst>
          </c:dPt>
          <c:dPt>
            <c:idx val="180"/>
            <c:bubble3D val="0"/>
            <c:spPr>
              <a:solidFill>
                <a:srgbClr val="E7CF57"/>
              </a:solidFill>
            </c:spPr>
            <c:extLst>
              <c:ext xmlns:c16="http://schemas.microsoft.com/office/drawing/2014/chart" uri="{C3380CC4-5D6E-409C-BE32-E72D297353CC}">
                <c16:uniqueId val="{00000169-085C-458F-9BEB-3F36C6ADFC53}"/>
              </c:ext>
            </c:extLst>
          </c:dPt>
          <c:dPt>
            <c:idx val="181"/>
            <c:bubble3D val="0"/>
            <c:spPr>
              <a:solidFill>
                <a:srgbClr val="A7DF4F"/>
              </a:solidFill>
            </c:spPr>
            <c:extLst>
              <c:ext xmlns:c16="http://schemas.microsoft.com/office/drawing/2014/chart" uri="{C3380CC4-5D6E-409C-BE32-E72D297353CC}">
                <c16:uniqueId val="{0000016B-085C-458F-9BEB-3F36C6ADFC53}"/>
              </c:ext>
            </c:extLst>
          </c:dPt>
          <c:dPt>
            <c:idx val="182"/>
            <c:bubble3D val="0"/>
            <c:spPr>
              <a:solidFill>
                <a:srgbClr val="1F17D7"/>
              </a:solidFill>
            </c:spPr>
            <c:extLst>
              <c:ext xmlns:c16="http://schemas.microsoft.com/office/drawing/2014/chart" uri="{C3380CC4-5D6E-409C-BE32-E72D297353CC}">
                <c16:uniqueId val="{0000016D-085C-458F-9BEB-3F36C6ADFC53}"/>
              </c:ext>
            </c:extLst>
          </c:dPt>
          <c:dPt>
            <c:idx val="183"/>
            <c:bubble3D val="0"/>
            <c:spPr>
              <a:solidFill>
                <a:srgbClr val="57B75F"/>
              </a:solidFill>
            </c:spPr>
            <c:extLst>
              <c:ext xmlns:c16="http://schemas.microsoft.com/office/drawing/2014/chart" uri="{C3380CC4-5D6E-409C-BE32-E72D297353CC}">
                <c16:uniqueId val="{0000016F-085C-458F-9BEB-3F36C6ADFC53}"/>
              </c:ext>
            </c:extLst>
          </c:dPt>
          <c:dPt>
            <c:idx val="184"/>
            <c:bubble3D val="0"/>
            <c:spPr>
              <a:solidFill>
                <a:srgbClr val="FF8FEF"/>
              </a:solidFill>
            </c:spPr>
            <c:extLst>
              <c:ext xmlns:c16="http://schemas.microsoft.com/office/drawing/2014/chart" uri="{C3380CC4-5D6E-409C-BE32-E72D297353CC}">
                <c16:uniqueId val="{00000171-085C-458F-9BEB-3F36C6ADFC53}"/>
              </c:ext>
            </c:extLst>
          </c:dPt>
          <c:dPt>
            <c:idx val="185"/>
            <c:bubble3D val="0"/>
            <c:spPr>
              <a:solidFill>
                <a:srgbClr val="C70FC7"/>
              </a:solidFill>
            </c:spPr>
            <c:extLst>
              <c:ext xmlns:c16="http://schemas.microsoft.com/office/drawing/2014/chart" uri="{C3380CC4-5D6E-409C-BE32-E72D297353CC}">
                <c16:uniqueId val="{00000173-085C-458F-9BEB-3F36C6ADFC53}"/>
              </c:ext>
            </c:extLst>
          </c:dPt>
          <c:dPt>
            <c:idx val="186"/>
            <c:bubble3D val="0"/>
            <c:spPr>
              <a:solidFill>
                <a:srgbClr val="20F45A"/>
              </a:solidFill>
            </c:spPr>
            <c:extLst>
              <c:ext xmlns:c16="http://schemas.microsoft.com/office/drawing/2014/chart" uri="{C3380CC4-5D6E-409C-BE32-E72D297353CC}">
                <c16:uniqueId val="{00000175-085C-458F-9BEB-3F36C6ADFC53}"/>
              </c:ext>
            </c:extLst>
          </c:dPt>
          <c:dPt>
            <c:idx val="187"/>
            <c:bubble3D val="0"/>
            <c:spPr>
              <a:solidFill>
                <a:srgbClr val="AD178C"/>
              </a:solidFill>
            </c:spPr>
            <c:extLst>
              <c:ext xmlns:c16="http://schemas.microsoft.com/office/drawing/2014/chart" uri="{C3380CC4-5D6E-409C-BE32-E72D297353CC}">
                <c16:uniqueId val="{00000177-085C-458F-9BEB-3F36C6ADFC53}"/>
              </c:ext>
            </c:extLst>
          </c:dPt>
          <c:dPt>
            <c:idx val="188"/>
            <c:bubble3D val="0"/>
            <c:spPr>
              <a:solidFill>
                <a:srgbClr val="202B22"/>
              </a:solidFill>
            </c:spPr>
            <c:extLst>
              <c:ext xmlns:c16="http://schemas.microsoft.com/office/drawing/2014/chart" uri="{C3380CC4-5D6E-409C-BE32-E72D297353CC}">
                <c16:uniqueId val="{00000179-085C-458F-9BEB-3F36C6ADFC53}"/>
              </c:ext>
            </c:extLst>
          </c:dPt>
          <c:dPt>
            <c:idx val="189"/>
            <c:bubble3D val="0"/>
            <c:spPr>
              <a:solidFill>
                <a:srgbClr val="94D193"/>
              </a:solidFill>
            </c:spPr>
            <c:extLst>
              <c:ext xmlns:c16="http://schemas.microsoft.com/office/drawing/2014/chart" uri="{C3380CC4-5D6E-409C-BE32-E72D297353CC}">
                <c16:uniqueId val="{0000017B-085C-458F-9BEB-3F36C6ADFC53}"/>
              </c:ext>
            </c:extLst>
          </c:dPt>
          <c:dPt>
            <c:idx val="190"/>
            <c:bubble3D val="0"/>
            <c:spPr>
              <a:solidFill>
                <a:srgbClr val="FFBB3B"/>
              </a:solidFill>
            </c:spPr>
            <c:extLst>
              <c:ext xmlns:c16="http://schemas.microsoft.com/office/drawing/2014/chart" uri="{C3380CC4-5D6E-409C-BE32-E72D297353CC}">
                <c16:uniqueId val="{0000017D-085C-458F-9BEB-3F36C6ADFC53}"/>
              </c:ext>
            </c:extLst>
          </c:dPt>
          <c:dPt>
            <c:idx val="191"/>
            <c:bubble3D val="0"/>
            <c:spPr>
              <a:solidFill>
                <a:srgbClr val="FF23D8"/>
              </a:solidFill>
            </c:spPr>
            <c:extLst>
              <c:ext xmlns:c16="http://schemas.microsoft.com/office/drawing/2014/chart" uri="{C3380CC4-5D6E-409C-BE32-E72D297353CC}">
                <c16:uniqueId val="{0000017F-085C-458F-9BEB-3F36C6ADFC53}"/>
              </c:ext>
            </c:extLst>
          </c:dPt>
          <c:dPt>
            <c:idx val="192"/>
            <c:bubble3D val="0"/>
            <c:spPr>
              <a:solidFill>
                <a:srgbClr val="58185E"/>
              </a:solidFill>
            </c:spPr>
            <c:extLst>
              <c:ext xmlns:c16="http://schemas.microsoft.com/office/drawing/2014/chart" uri="{C3380CC4-5D6E-409C-BE32-E72D297353CC}">
                <c16:uniqueId val="{00000181-085C-458F-9BEB-3F36C6ADFC53}"/>
              </c:ext>
            </c:extLst>
          </c:dPt>
          <c:dPt>
            <c:idx val="193"/>
            <c:bubble3D val="0"/>
            <c:spPr>
              <a:solidFill>
                <a:srgbClr val="B450C8"/>
              </a:solidFill>
            </c:spPr>
            <c:extLst>
              <c:ext xmlns:c16="http://schemas.microsoft.com/office/drawing/2014/chart" uri="{C3380CC4-5D6E-409C-BE32-E72D297353CC}">
                <c16:uniqueId val="{00000183-085C-458F-9BEB-3F36C6ADFC53}"/>
              </c:ext>
            </c:extLst>
          </c:dPt>
          <c:dPt>
            <c:idx val="194"/>
            <c:bubble3D val="0"/>
            <c:spPr>
              <a:solidFill>
                <a:srgbClr val="213F6E"/>
              </a:solidFill>
            </c:spPr>
            <c:extLst>
              <c:ext xmlns:c16="http://schemas.microsoft.com/office/drawing/2014/chart" uri="{C3380CC4-5D6E-409C-BE32-E72D297353CC}">
                <c16:uniqueId val="{00000185-085C-458F-9BEB-3F36C6ADFC53}"/>
              </c:ext>
            </c:extLst>
          </c:dPt>
          <c:dPt>
            <c:idx val="195"/>
            <c:bubble3D val="0"/>
            <c:spPr>
              <a:solidFill>
                <a:srgbClr val="D1EBC6"/>
              </a:solidFill>
            </c:spPr>
            <c:extLst>
              <c:ext xmlns:c16="http://schemas.microsoft.com/office/drawing/2014/chart" uri="{C3380CC4-5D6E-409C-BE32-E72D297353CC}">
                <c16:uniqueId val="{00000187-085C-458F-9BEB-3F36C6ADFC53}"/>
              </c:ext>
            </c:extLst>
          </c:dPt>
          <c:dPt>
            <c:idx val="196"/>
            <c:bubble3D val="0"/>
            <c:spPr>
              <a:solidFill>
                <a:srgbClr val="FFE787"/>
              </a:solidFill>
            </c:spPr>
            <c:extLst>
              <c:ext xmlns:c16="http://schemas.microsoft.com/office/drawing/2014/chart" uri="{C3380CC4-5D6E-409C-BE32-E72D297353CC}">
                <c16:uniqueId val="{00000189-085C-458F-9BEB-3F36C6ADFC53}"/>
              </c:ext>
            </c:extLst>
          </c:dPt>
          <c:dPt>
            <c:idx val="197"/>
            <c:bubble3D val="0"/>
            <c:spPr>
              <a:solidFill>
                <a:srgbClr val="3637E9"/>
              </a:solidFill>
            </c:spPr>
            <c:extLst>
              <c:ext xmlns:c16="http://schemas.microsoft.com/office/drawing/2014/chart" uri="{C3380CC4-5D6E-409C-BE32-E72D297353CC}">
                <c16:uniqueId val="{0000018B-085C-458F-9BEB-3F36C6ADFC53}"/>
              </c:ext>
            </c:extLst>
          </c:dPt>
          <c:dPt>
            <c:idx val="198"/>
            <c:bubble3D val="0"/>
            <c:spPr>
              <a:solidFill>
                <a:srgbClr val="913D61"/>
              </a:solidFill>
            </c:spPr>
            <c:extLst>
              <c:ext xmlns:c16="http://schemas.microsoft.com/office/drawing/2014/chart" uri="{C3380CC4-5D6E-409C-BE32-E72D297353CC}">
                <c16:uniqueId val="{0000018D-085C-458F-9BEB-3F36C6ADFC53}"/>
              </c:ext>
            </c:extLst>
          </c:dPt>
          <c:dPt>
            <c:idx val="199"/>
            <c:bubble3D val="0"/>
            <c:spPr>
              <a:solidFill>
                <a:srgbClr val="BA8805"/>
              </a:solidFill>
            </c:spPr>
            <c:extLst>
              <c:ext xmlns:c16="http://schemas.microsoft.com/office/drawing/2014/chart" uri="{C3380CC4-5D6E-409C-BE32-E72D297353CC}">
                <c16:uniqueId val="{0000018F-085C-458F-9BEB-3F36C6ADFC53}"/>
              </c:ext>
            </c:extLst>
          </c:dPt>
          <c:dPt>
            <c:idx val="200"/>
            <c:bubble3D val="0"/>
            <c:spPr>
              <a:solidFill>
                <a:srgbClr val="2353B9"/>
              </a:solidFill>
            </c:spPr>
            <c:extLst>
              <c:ext xmlns:c16="http://schemas.microsoft.com/office/drawing/2014/chart" uri="{C3380CC4-5D6E-409C-BE32-E72D297353CC}">
                <c16:uniqueId val="{00000191-085C-458F-9BEB-3F36C6ADFC53}"/>
              </c:ext>
            </c:extLst>
          </c:dPt>
          <c:dPt>
            <c:idx val="201"/>
            <c:bubble3D val="0"/>
            <c:spPr>
              <a:solidFill>
                <a:srgbClr val="0E05FA"/>
              </a:solidFill>
            </c:spPr>
            <c:extLst>
              <c:ext xmlns:c16="http://schemas.microsoft.com/office/drawing/2014/chart" uri="{C3380CC4-5D6E-409C-BE32-E72D297353CC}">
                <c16:uniqueId val="{00000193-085C-458F-9BEB-3F36C6ADFC53}"/>
              </c:ext>
            </c:extLst>
          </c:dPt>
          <c:dPt>
            <c:idx val="202"/>
            <c:bubble3D val="0"/>
            <c:spPr>
              <a:solidFill>
                <a:srgbClr val="FF12D4"/>
              </a:solidFill>
            </c:spPr>
            <c:extLst>
              <c:ext xmlns:c16="http://schemas.microsoft.com/office/drawing/2014/chart" uri="{C3380CC4-5D6E-409C-BE32-E72D297353CC}">
                <c16:uniqueId val="{00000195-085C-458F-9BEB-3F36C6ADFC53}"/>
              </c:ext>
            </c:extLst>
          </c:dPt>
          <c:dPt>
            <c:idx val="203"/>
            <c:bubble3D val="0"/>
            <c:spPr>
              <a:solidFill>
                <a:srgbClr val="6D4AFA"/>
              </a:solidFill>
            </c:spPr>
            <c:extLst>
              <c:ext xmlns:c16="http://schemas.microsoft.com/office/drawing/2014/chart" uri="{C3380CC4-5D6E-409C-BE32-E72D297353CC}">
                <c16:uniqueId val="{00000197-085C-458F-9BEB-3F36C6ADFC53}"/>
              </c:ext>
            </c:extLst>
          </c:dPt>
          <c:dPt>
            <c:idx val="204"/>
            <c:bubble3D val="0"/>
            <c:spPr>
              <a:solidFill>
                <a:srgbClr val="CA6164"/>
              </a:solidFill>
            </c:spPr>
            <c:extLst>
              <c:ext xmlns:c16="http://schemas.microsoft.com/office/drawing/2014/chart" uri="{C3380CC4-5D6E-409C-BE32-E72D297353CC}">
                <c16:uniqueId val="{00000199-085C-458F-9BEB-3F36C6ADFC53}"/>
              </c:ext>
            </c:extLst>
          </c:dPt>
          <c:dPt>
            <c:idx val="205"/>
            <c:bubble3D val="0"/>
            <c:spPr>
              <a:solidFill>
                <a:srgbClr val="C0C141"/>
              </a:solidFill>
            </c:spPr>
            <c:extLst>
              <c:ext xmlns:c16="http://schemas.microsoft.com/office/drawing/2014/chart" uri="{C3380CC4-5D6E-409C-BE32-E72D297353CC}">
                <c16:uniqueId val="{0000019B-085C-458F-9BEB-3F36C6ADFC53}"/>
              </c:ext>
            </c:extLst>
          </c:dPt>
          <c:dPt>
            <c:idx val="206"/>
            <c:bubble3D val="0"/>
            <c:spPr>
              <a:solidFill>
                <a:srgbClr val="246704"/>
              </a:solidFill>
            </c:spPr>
            <c:extLst>
              <c:ext xmlns:c16="http://schemas.microsoft.com/office/drawing/2014/chart" uri="{C3380CC4-5D6E-409C-BE32-E72D297353CC}">
                <c16:uniqueId val="{0000019D-085C-458F-9BEB-3F36C6ADFC53}"/>
              </c:ext>
            </c:extLst>
          </c:dPt>
          <c:dPt>
            <c:idx val="207"/>
            <c:bubble3D val="0"/>
            <c:spPr>
              <a:solidFill>
                <a:srgbClr val="4B1F2D"/>
              </a:solidFill>
            </c:spPr>
            <c:extLst>
              <c:ext xmlns:c16="http://schemas.microsoft.com/office/drawing/2014/chart" uri="{C3380CC4-5D6E-409C-BE32-E72D297353CC}">
                <c16:uniqueId val="{0000019F-085C-458F-9BEB-3F36C6ADFC53}"/>
              </c:ext>
            </c:extLst>
          </c:dPt>
          <c:dPt>
            <c:idx val="208"/>
            <c:bubble3D val="0"/>
            <c:spPr>
              <a:solidFill>
                <a:srgbClr val="FF3E20"/>
              </a:solidFill>
            </c:spPr>
            <c:extLst>
              <c:ext xmlns:c16="http://schemas.microsoft.com/office/drawing/2014/chart" uri="{C3380CC4-5D6E-409C-BE32-E72D297353CC}">
                <c16:uniqueId val="{000001A1-085C-458F-9BEB-3F36C6ADFC53}"/>
              </c:ext>
            </c:extLst>
          </c:dPt>
          <c:dPt>
            <c:idx val="209"/>
            <c:bubble3D val="0"/>
            <c:spPr>
              <a:solidFill>
                <a:srgbClr val="A55E0B"/>
              </a:solidFill>
            </c:spPr>
            <c:extLst>
              <c:ext xmlns:c16="http://schemas.microsoft.com/office/drawing/2014/chart" uri="{C3380CC4-5D6E-409C-BE32-E72D297353CC}">
                <c16:uniqueId val="{000001A3-085C-458F-9BEB-3F36C6ADFC53}"/>
              </c:ext>
            </c:extLst>
          </c:dPt>
          <c:dPt>
            <c:idx val="210"/>
            <c:bubble3D val="0"/>
            <c:spPr>
              <a:solidFill>
                <a:srgbClr val="038668"/>
              </a:solidFill>
            </c:spPr>
            <c:extLst>
              <c:ext xmlns:c16="http://schemas.microsoft.com/office/drawing/2014/chart" uri="{C3380CC4-5D6E-409C-BE32-E72D297353CC}">
                <c16:uniqueId val="{000001A5-085C-458F-9BEB-3F36C6ADFC53}"/>
              </c:ext>
            </c:extLst>
          </c:dPt>
          <c:dPt>
            <c:idx val="211"/>
            <c:bubble3D val="0"/>
            <c:spPr>
              <a:solidFill>
                <a:srgbClr val="C7F97E"/>
              </a:solidFill>
            </c:spPr>
            <c:extLst>
              <c:ext xmlns:c16="http://schemas.microsoft.com/office/drawing/2014/chart" uri="{C3380CC4-5D6E-409C-BE32-E72D297353CC}">
                <c16:uniqueId val="{000001A7-085C-458F-9BEB-3F36C6ADFC53}"/>
              </c:ext>
            </c:extLst>
          </c:dPt>
          <c:dPt>
            <c:idx val="212"/>
            <c:bubble3D val="0"/>
            <c:spPr>
              <a:solidFill>
                <a:srgbClr val="257C50"/>
              </a:solidFill>
            </c:spPr>
            <c:extLst>
              <c:ext xmlns:c16="http://schemas.microsoft.com/office/drawing/2014/chart" uri="{C3380CC4-5D6E-409C-BE32-E72D297353CC}">
                <c16:uniqueId val="{000001A9-085C-458F-9BEB-3F36C6ADFC53}"/>
              </c:ext>
            </c:extLst>
          </c:dPt>
          <c:dPt>
            <c:idx val="213"/>
            <c:bubble3D val="0"/>
            <c:spPr>
              <a:solidFill>
                <a:srgbClr val="883A61"/>
              </a:solidFill>
            </c:spPr>
            <c:extLst>
              <c:ext xmlns:c16="http://schemas.microsoft.com/office/drawing/2014/chart" uri="{C3380CC4-5D6E-409C-BE32-E72D297353CC}">
                <c16:uniqueId val="{000001AB-085C-458F-9BEB-3F36C6ADFC53}"/>
              </c:ext>
            </c:extLst>
          </c:dPt>
          <c:dPt>
            <c:idx val="214"/>
            <c:bubble3D val="0"/>
            <c:spPr>
              <a:solidFill>
                <a:srgbClr val="FF6A6C"/>
              </a:solidFill>
            </c:spPr>
            <c:extLst>
              <c:ext xmlns:c16="http://schemas.microsoft.com/office/drawing/2014/chart" uri="{C3380CC4-5D6E-409C-BE32-E72D297353CC}">
                <c16:uniqueId val="{000001AD-085C-458F-9BEB-3F36C6ADFC53}"/>
              </c:ext>
            </c:extLst>
          </c:dPt>
          <c:dPt>
            <c:idx val="215"/>
            <c:bubble3D val="0"/>
            <c:spPr>
              <a:solidFill>
                <a:srgbClr val="DD721D"/>
              </a:solidFill>
            </c:spPr>
            <c:extLst>
              <c:ext xmlns:c16="http://schemas.microsoft.com/office/drawing/2014/chart" uri="{C3380CC4-5D6E-409C-BE32-E72D297353CC}">
                <c16:uniqueId val="{000001AF-085C-458F-9BEB-3F36C6ADFC53}"/>
              </c:ext>
            </c:extLst>
          </c:dPt>
          <c:dPt>
            <c:idx val="216"/>
            <c:bubble3D val="0"/>
            <c:spPr>
              <a:solidFill>
                <a:srgbClr val="3BAB6B"/>
              </a:solidFill>
            </c:spPr>
            <c:extLst>
              <c:ext xmlns:c16="http://schemas.microsoft.com/office/drawing/2014/chart" uri="{C3380CC4-5D6E-409C-BE32-E72D297353CC}">
                <c16:uniqueId val="{000001B1-085C-458F-9BEB-3F36C6ADFC53}"/>
              </c:ext>
            </c:extLst>
          </c:dPt>
          <c:dPt>
            <c:idx val="217"/>
            <c:bubble3D val="0"/>
            <c:spPr>
              <a:solidFill>
                <a:srgbClr val="CD31BB"/>
              </a:solidFill>
            </c:spPr>
            <c:extLst>
              <c:ext xmlns:c16="http://schemas.microsoft.com/office/drawing/2014/chart" uri="{C3380CC4-5D6E-409C-BE32-E72D297353CC}">
                <c16:uniqueId val="{000001B3-085C-458F-9BEB-3F36C6ADFC53}"/>
              </c:ext>
            </c:extLst>
          </c:dPt>
          <c:dPt>
            <c:idx val="218"/>
            <c:bubble3D val="0"/>
            <c:spPr>
              <a:solidFill>
                <a:srgbClr val="26909B"/>
              </a:solidFill>
            </c:spPr>
            <c:extLst>
              <c:ext xmlns:c16="http://schemas.microsoft.com/office/drawing/2014/chart" uri="{C3380CC4-5D6E-409C-BE32-E72D297353CC}">
                <c16:uniqueId val="{000001B5-085C-458F-9BEB-3F36C6ADFC53}"/>
              </c:ext>
            </c:extLst>
          </c:dPt>
          <c:dPt>
            <c:idx val="219"/>
            <c:bubble3D val="0"/>
            <c:spPr>
              <a:solidFill>
                <a:srgbClr val="C45495"/>
              </a:solidFill>
            </c:spPr>
            <c:extLst>
              <c:ext xmlns:c16="http://schemas.microsoft.com/office/drawing/2014/chart" uri="{C3380CC4-5D6E-409C-BE32-E72D297353CC}">
                <c16:uniqueId val="{000001B7-085C-458F-9BEB-3F36C6ADFC53}"/>
              </c:ext>
            </c:extLst>
          </c:dPt>
          <c:dPt>
            <c:idx val="220"/>
            <c:bubble3D val="0"/>
            <c:spPr>
              <a:solidFill>
                <a:srgbClr val="FF96B8"/>
              </a:solidFill>
            </c:spPr>
            <c:extLst>
              <c:ext xmlns:c16="http://schemas.microsoft.com/office/drawing/2014/chart" uri="{C3380CC4-5D6E-409C-BE32-E72D297353CC}">
                <c16:uniqueId val="{000001B9-085C-458F-9BEB-3F36C6ADFC53}"/>
              </c:ext>
            </c:extLst>
          </c:dPt>
          <c:dPt>
            <c:idx val="221"/>
            <c:bubble3D val="0"/>
            <c:spPr>
              <a:solidFill>
                <a:srgbClr val="14862E"/>
              </a:solidFill>
            </c:spPr>
            <c:extLst>
              <c:ext xmlns:c16="http://schemas.microsoft.com/office/drawing/2014/chart" uri="{C3380CC4-5D6E-409C-BE32-E72D297353CC}">
                <c16:uniqueId val="{000001BB-085C-458F-9BEB-3F36C6ADFC53}"/>
              </c:ext>
            </c:extLst>
          </c:dPt>
          <c:dPt>
            <c:idx val="222"/>
            <c:bubble3D val="0"/>
            <c:spPr>
              <a:solidFill>
                <a:srgbClr val="74CF6E"/>
              </a:solidFill>
            </c:spPr>
            <c:extLst>
              <c:ext xmlns:c16="http://schemas.microsoft.com/office/drawing/2014/chart" uri="{C3380CC4-5D6E-409C-BE32-E72D297353CC}">
                <c16:uniqueId val="{000001BD-085C-458F-9BEB-3F36C6ADFC53}"/>
              </c:ext>
            </c:extLst>
          </c:dPt>
          <c:dPt>
            <c:idx val="223"/>
            <c:bubble3D val="0"/>
            <c:spPr>
              <a:solidFill>
                <a:srgbClr val="D36AF7"/>
              </a:solidFill>
            </c:spPr>
            <c:extLst>
              <c:ext xmlns:c16="http://schemas.microsoft.com/office/drawing/2014/chart" uri="{C3380CC4-5D6E-409C-BE32-E72D297353CC}">
                <c16:uniqueId val="{000001BF-085C-458F-9BEB-3F36C6ADFC53}"/>
              </c:ext>
            </c:extLst>
          </c:dPt>
          <c:dPt>
            <c:idx val="224"/>
            <c:bubble3D val="0"/>
            <c:spPr>
              <a:solidFill>
                <a:srgbClr val="27A4E6"/>
              </a:solidFill>
            </c:spPr>
            <c:extLst>
              <c:ext xmlns:c16="http://schemas.microsoft.com/office/drawing/2014/chart" uri="{C3380CC4-5D6E-409C-BE32-E72D297353CC}">
                <c16:uniqueId val="{000001C1-085C-458F-9BEB-3F36C6ADFC53}"/>
              </c:ext>
            </c:extLst>
          </c:dPt>
          <c:dPt>
            <c:idx val="225"/>
            <c:bubble3D val="0"/>
            <c:spPr>
              <a:solidFill>
                <a:srgbClr val="016EC8"/>
              </a:solidFill>
            </c:spPr>
            <c:extLst>
              <c:ext xmlns:c16="http://schemas.microsoft.com/office/drawing/2014/chart" uri="{C3380CC4-5D6E-409C-BE32-E72D297353CC}">
                <c16:uniqueId val="{000001C3-085C-458F-9BEB-3F36C6ADFC53}"/>
              </c:ext>
            </c:extLst>
          </c:dPt>
          <c:dPt>
            <c:idx val="226"/>
            <c:bubble3D val="0"/>
            <c:spPr>
              <a:solidFill>
                <a:srgbClr val="FFC204"/>
              </a:solidFill>
            </c:spPr>
            <c:extLst>
              <c:ext xmlns:c16="http://schemas.microsoft.com/office/drawing/2014/chart" uri="{C3380CC4-5D6E-409C-BE32-E72D297353CC}">
                <c16:uniqueId val="{000001C5-085C-458F-9BEB-3F36C6ADFC53}"/>
              </c:ext>
            </c:extLst>
          </c:dPt>
          <c:dPt>
            <c:idx val="227"/>
            <c:bubble3D val="0"/>
            <c:spPr>
              <a:solidFill>
                <a:srgbClr val="4C9A3F"/>
              </a:solidFill>
            </c:spPr>
            <c:extLst>
              <c:ext xmlns:c16="http://schemas.microsoft.com/office/drawing/2014/chart" uri="{C3380CC4-5D6E-409C-BE32-E72D297353CC}">
                <c16:uniqueId val="{000001C7-085C-458F-9BEB-3F36C6ADFC53}"/>
              </c:ext>
            </c:extLst>
          </c:dPt>
          <c:dPt>
            <c:idx val="228"/>
            <c:bubble3D val="0"/>
            <c:spPr>
              <a:solidFill>
                <a:srgbClr val="ADF471"/>
              </a:solidFill>
            </c:spPr>
            <c:extLst>
              <c:ext xmlns:c16="http://schemas.microsoft.com/office/drawing/2014/chart" uri="{C3380CC4-5D6E-409C-BE32-E72D297353CC}">
                <c16:uniqueId val="{000001C9-085C-458F-9BEB-3F36C6ADFC53}"/>
              </c:ext>
            </c:extLst>
          </c:dPt>
          <c:dPt>
            <c:idx val="229"/>
            <c:bubble3D val="0"/>
            <c:spPr>
              <a:solidFill>
                <a:srgbClr val="D9A234"/>
              </a:solidFill>
            </c:spPr>
            <c:extLst>
              <c:ext xmlns:c16="http://schemas.microsoft.com/office/drawing/2014/chart" uri="{C3380CC4-5D6E-409C-BE32-E72D297353CC}">
                <c16:uniqueId val="{000001CB-085C-458F-9BEB-3F36C6ADFC53}"/>
              </c:ext>
            </c:extLst>
          </c:dPt>
          <c:dPt>
            <c:idx val="230"/>
            <c:bubble3D val="0"/>
            <c:spPr>
              <a:solidFill>
                <a:srgbClr val="29B831"/>
              </a:solidFill>
            </c:spPr>
            <c:extLst>
              <c:ext xmlns:c16="http://schemas.microsoft.com/office/drawing/2014/chart" uri="{C3380CC4-5D6E-409C-BE32-E72D297353CC}">
                <c16:uniqueId val="{000001CD-085C-458F-9BEB-3F36C6ADFC53}"/>
              </c:ext>
            </c:extLst>
          </c:dPt>
          <c:dPt>
            <c:idx val="231"/>
            <c:bubble3D val="0"/>
            <c:spPr>
              <a:solidFill>
                <a:srgbClr val="3E88FC"/>
              </a:solidFill>
            </c:spPr>
            <c:extLst>
              <c:ext xmlns:c16="http://schemas.microsoft.com/office/drawing/2014/chart" uri="{C3380CC4-5D6E-409C-BE32-E72D297353CC}">
                <c16:uniqueId val="{000001CF-085C-458F-9BEB-3F36C6ADFC53}"/>
              </c:ext>
            </c:extLst>
          </c:dPt>
          <c:dPt>
            <c:idx val="232"/>
            <c:bubble3D val="0"/>
            <c:spPr>
              <a:solidFill>
                <a:srgbClr val="FFED51"/>
              </a:solidFill>
            </c:spPr>
            <c:extLst>
              <c:ext xmlns:c16="http://schemas.microsoft.com/office/drawing/2014/chart" uri="{C3380CC4-5D6E-409C-BE32-E72D297353CC}">
                <c16:uniqueId val="{000001D1-085C-458F-9BEB-3F36C6ADFC53}"/>
              </c:ext>
            </c:extLst>
          </c:dPt>
          <c:dPt>
            <c:idx val="233"/>
            <c:bubble3D val="0"/>
            <c:spPr>
              <a:solidFill>
                <a:srgbClr val="83AD50"/>
              </a:solidFill>
            </c:spPr>
            <c:extLst>
              <c:ext xmlns:c16="http://schemas.microsoft.com/office/drawing/2014/chart" uri="{C3380CC4-5D6E-409C-BE32-E72D297353CC}">
                <c16:uniqueId val="{000001D3-085C-458F-9BEB-3F36C6ADFC53}"/>
              </c:ext>
            </c:extLst>
          </c:dPt>
          <c:dPt>
            <c:idx val="234"/>
            <c:bubble3D val="0"/>
            <c:spPr>
              <a:solidFill>
                <a:srgbClr val="E51875"/>
              </a:solidFill>
            </c:spPr>
            <c:extLst>
              <c:ext xmlns:c16="http://schemas.microsoft.com/office/drawing/2014/chart" uri="{C3380CC4-5D6E-409C-BE32-E72D297353CC}">
                <c16:uniqueId val="{000001D5-085C-458F-9BEB-3F36C6ADFC53}"/>
              </c:ext>
            </c:extLst>
          </c:dPt>
          <c:dPt>
            <c:idx val="235"/>
            <c:bubble3D val="0"/>
            <c:spPr>
              <a:solidFill>
                <a:srgbClr val="E0DB70"/>
              </a:solidFill>
            </c:spPr>
            <c:extLst>
              <c:ext xmlns:c16="http://schemas.microsoft.com/office/drawing/2014/chart" uri="{C3380CC4-5D6E-409C-BE32-E72D297353CC}">
                <c16:uniqueId val="{000001D7-085C-458F-9BEB-3F36C6ADFC53}"/>
              </c:ext>
            </c:extLst>
          </c:dPt>
          <c:dPt>
            <c:idx val="236"/>
            <c:bubble3D val="0"/>
            <c:spPr>
              <a:solidFill>
                <a:srgbClr val="2ACC7D"/>
              </a:solidFill>
            </c:spPr>
            <c:extLst>
              <c:ext xmlns:c16="http://schemas.microsoft.com/office/drawing/2014/chart" uri="{C3380CC4-5D6E-409C-BE32-E72D297353CC}">
                <c16:uniqueId val="{000001D9-085C-458F-9BEB-3F36C6ADFC53}"/>
              </c:ext>
            </c:extLst>
          </c:dPt>
          <c:dPt>
            <c:idx val="237"/>
            <c:bubble3D val="0"/>
            <c:spPr>
              <a:solidFill>
                <a:srgbClr val="7BA22F"/>
              </a:solidFill>
            </c:spPr>
            <c:extLst>
              <c:ext xmlns:c16="http://schemas.microsoft.com/office/drawing/2014/chart" uri="{C3380CC4-5D6E-409C-BE32-E72D297353CC}">
                <c16:uniqueId val="{000001DB-085C-458F-9BEB-3F36C6ADFC53}"/>
              </c:ext>
            </c:extLst>
          </c:dPt>
          <c:dPt>
            <c:idx val="238"/>
            <c:bubble3D val="0"/>
            <c:spPr>
              <a:solidFill>
                <a:srgbClr val="FF199D"/>
              </a:solidFill>
            </c:spPr>
            <c:extLst>
              <c:ext xmlns:c16="http://schemas.microsoft.com/office/drawing/2014/chart" uri="{C3380CC4-5D6E-409C-BE32-E72D297353CC}">
                <c16:uniqueId val="{000001DD-085C-458F-9BEB-3F36C6ADFC53}"/>
              </c:ext>
            </c:extLst>
          </c:dPt>
          <c:dPt>
            <c:idx val="239"/>
            <c:bubble3D val="0"/>
            <c:spPr>
              <a:solidFill>
                <a:srgbClr val="BBC161"/>
              </a:solidFill>
            </c:spPr>
            <c:extLst>
              <c:ext xmlns:c16="http://schemas.microsoft.com/office/drawing/2014/chart" uri="{C3380CC4-5D6E-409C-BE32-E72D297353CC}">
                <c16:uniqueId val="{000001DF-085C-458F-9BEB-3F36C6ADFC53}"/>
              </c:ext>
            </c:extLst>
          </c:dPt>
          <c:dPt>
            <c:idx val="240"/>
            <c:bubble3D val="0"/>
            <c:spPr>
              <a:solidFill>
                <a:srgbClr val="1E3D78"/>
              </a:solidFill>
            </c:spPr>
            <c:extLst>
              <c:ext xmlns:c16="http://schemas.microsoft.com/office/drawing/2014/chart" uri="{C3380CC4-5D6E-409C-BE32-E72D297353CC}">
                <c16:uniqueId val="{000001E1-085C-458F-9BEB-3F36C6ADFC53}"/>
              </c:ext>
            </c:extLst>
          </c:dPt>
          <c:dPt>
            <c:idx val="241"/>
            <c:bubble3D val="0"/>
            <c:spPr>
              <a:solidFill>
                <a:srgbClr val="E613AD"/>
              </a:solidFill>
            </c:spPr>
            <c:extLst>
              <c:ext xmlns:c16="http://schemas.microsoft.com/office/drawing/2014/chart" uri="{C3380CC4-5D6E-409C-BE32-E72D297353CC}">
                <c16:uniqueId val="{000001E3-085C-458F-9BEB-3F36C6ADFC53}"/>
              </c:ext>
            </c:extLst>
          </c:dPt>
          <c:dPt>
            <c:idx val="242"/>
            <c:bubble3D val="0"/>
            <c:spPr>
              <a:solidFill>
                <a:srgbClr val="2BE0C8"/>
              </a:solidFill>
            </c:spPr>
            <c:extLst>
              <c:ext xmlns:c16="http://schemas.microsoft.com/office/drawing/2014/chart" uri="{C3380CC4-5D6E-409C-BE32-E72D297353CC}">
                <c16:uniqueId val="{000001E5-085C-458F-9BEB-3F36C6ADFC53}"/>
              </c:ext>
            </c:extLst>
          </c:dPt>
          <c:dPt>
            <c:idx val="243"/>
            <c:bubble3D val="0"/>
            <c:spPr>
              <a:solidFill>
                <a:srgbClr val="B8BC63"/>
              </a:solidFill>
            </c:spPr>
            <c:extLst>
              <c:ext xmlns:c16="http://schemas.microsoft.com/office/drawing/2014/chart" uri="{C3380CC4-5D6E-409C-BE32-E72D297353CC}">
                <c16:uniqueId val="{000001E7-085C-458F-9BEB-3F36C6ADFC53}"/>
              </c:ext>
            </c:extLst>
          </c:dPt>
          <c:dPt>
            <c:idx val="244"/>
            <c:bubble3D val="0"/>
            <c:spPr>
              <a:solidFill>
                <a:srgbClr val="FF45E9"/>
              </a:solidFill>
            </c:spPr>
            <c:extLst>
              <c:ext xmlns:c16="http://schemas.microsoft.com/office/drawing/2014/chart" uri="{C3380CC4-5D6E-409C-BE32-E72D297353CC}">
                <c16:uniqueId val="{000001E9-085C-458F-9BEB-3F36C6ADFC53}"/>
              </c:ext>
            </c:extLst>
          </c:dPt>
          <c:dPt>
            <c:idx val="245"/>
            <c:bubble3D val="0"/>
            <c:spPr>
              <a:solidFill>
                <a:srgbClr val="F2D572"/>
              </a:solidFill>
            </c:spPr>
            <c:extLst>
              <c:ext xmlns:c16="http://schemas.microsoft.com/office/drawing/2014/chart" uri="{C3380CC4-5D6E-409C-BE32-E72D297353CC}">
                <c16:uniqueId val="{000001EB-085C-458F-9BEB-3F36C6ADFC53}"/>
              </c:ext>
            </c:extLst>
          </c:dPt>
          <c:dPt>
            <c:idx val="246"/>
            <c:bubble3D val="0"/>
            <c:spPr>
              <a:solidFill>
                <a:srgbClr val="57627B"/>
              </a:solidFill>
            </c:spPr>
            <c:extLst>
              <c:ext xmlns:c16="http://schemas.microsoft.com/office/drawing/2014/chart" uri="{C3380CC4-5D6E-409C-BE32-E72D297353CC}">
                <c16:uniqueId val="{000001ED-085C-458F-9BEB-3F36C6ADFC53}"/>
              </c:ext>
            </c:extLst>
          </c:dPt>
          <c:dPt>
            <c:idx val="247"/>
            <c:bubble3D val="0"/>
            <c:spPr>
              <a:solidFill>
                <a:srgbClr val="EC4BEA"/>
              </a:solidFill>
            </c:spPr>
            <c:extLst>
              <c:ext xmlns:c16="http://schemas.microsoft.com/office/drawing/2014/chart" uri="{C3380CC4-5D6E-409C-BE32-E72D297353CC}">
                <c16:uniqueId val="{000001EF-085C-458F-9BEB-3F36C6ADFC53}"/>
              </c:ext>
            </c:extLst>
          </c:dPt>
          <c:dPt>
            <c:idx val="248"/>
            <c:bubble3D val="0"/>
            <c:spPr>
              <a:solidFill>
                <a:srgbClr val="2CF413"/>
              </a:solidFill>
            </c:spPr>
            <c:extLst>
              <c:ext xmlns:c16="http://schemas.microsoft.com/office/drawing/2014/chart" uri="{C3380CC4-5D6E-409C-BE32-E72D297353CC}">
                <c16:uniqueId val="{000001F1-085C-458F-9BEB-3F36C6ADFC53}"/>
              </c:ext>
            </c:extLst>
          </c:dPt>
          <c:dPt>
            <c:idx val="249"/>
            <c:bubble3D val="0"/>
            <c:spPr>
              <a:solidFill>
                <a:srgbClr val="F5D697"/>
              </a:solidFill>
            </c:spPr>
            <c:extLst>
              <c:ext xmlns:c16="http://schemas.microsoft.com/office/drawing/2014/chart" uri="{C3380CC4-5D6E-409C-BE32-E72D297353CC}">
                <c16:uniqueId val="{000001F3-085C-458F-9BEB-3F36C6ADFC53}"/>
              </c:ext>
            </c:extLst>
          </c:dPt>
          <c:dPt>
            <c:idx val="250"/>
            <c:bubble3D val="0"/>
            <c:spPr>
              <a:solidFill>
                <a:srgbClr val="FF7135"/>
              </a:solidFill>
            </c:spPr>
            <c:extLst>
              <c:ext xmlns:c16="http://schemas.microsoft.com/office/drawing/2014/chart" uri="{C3380CC4-5D6E-409C-BE32-E72D297353CC}">
                <c16:uniqueId val="{000001F5-085C-458F-9BEB-3F36C6ADFC53}"/>
              </c:ext>
            </c:extLst>
          </c:dPt>
          <c:dPt>
            <c:idx val="251"/>
            <c:bubble3D val="0"/>
            <c:spPr>
              <a:solidFill>
                <a:srgbClr val="2AE983"/>
              </a:solidFill>
            </c:spPr>
            <c:extLst>
              <c:ext xmlns:c16="http://schemas.microsoft.com/office/drawing/2014/chart" uri="{C3380CC4-5D6E-409C-BE32-E72D297353CC}">
                <c16:uniqueId val="{000001F7-085C-458F-9BEB-3F36C6ADFC53}"/>
              </c:ext>
            </c:extLst>
          </c:dPt>
          <c:dPt>
            <c:idx val="252"/>
            <c:bubble3D val="0"/>
            <c:spPr>
              <a:solidFill>
                <a:srgbClr val="8F867F"/>
              </a:solidFill>
            </c:spPr>
            <c:extLst>
              <c:ext xmlns:c16="http://schemas.microsoft.com/office/drawing/2014/chart" uri="{C3380CC4-5D6E-409C-BE32-E72D297353CC}">
                <c16:uniqueId val="{000001F9-085C-458F-9BEB-3F36C6ADFC53}"/>
              </c:ext>
            </c:extLst>
          </c:dPt>
          <c:dPt>
            <c:idx val="253"/>
            <c:bubble3D val="0"/>
            <c:spPr>
              <a:solidFill>
                <a:srgbClr val="F38426"/>
              </a:solidFill>
            </c:spPr>
            <c:extLst>
              <c:ext xmlns:c16="http://schemas.microsoft.com/office/drawing/2014/chart" uri="{C3380CC4-5D6E-409C-BE32-E72D297353CC}">
                <c16:uniqueId val="{000001FB-085C-458F-9BEB-3F36C6ADFC53}"/>
              </c:ext>
            </c:extLst>
          </c:dPt>
          <c:dPt>
            <c:idx val="254"/>
            <c:bubble3D val="0"/>
            <c:spPr>
              <a:solidFill>
                <a:srgbClr val="2D085F"/>
              </a:solidFill>
            </c:spPr>
            <c:extLst>
              <c:ext xmlns:c16="http://schemas.microsoft.com/office/drawing/2014/chart" uri="{C3380CC4-5D6E-409C-BE32-E72D297353CC}">
                <c16:uniqueId val="{000001FD-085C-458F-9BEB-3F36C6ADFC53}"/>
              </c:ext>
            </c:extLst>
          </c:dPt>
          <c:dPt>
            <c:idx val="255"/>
            <c:bubble3D val="0"/>
            <c:spPr>
              <a:solidFill>
                <a:srgbClr val="32F0CA"/>
              </a:solidFill>
            </c:spPr>
            <c:extLst>
              <c:ext xmlns:c16="http://schemas.microsoft.com/office/drawing/2014/chart" uri="{C3380CC4-5D6E-409C-BE32-E72D297353CC}">
                <c16:uniqueId val="{000001FF-085C-458F-9BEB-3F36C6ADFC53}"/>
              </c:ext>
            </c:extLst>
          </c:dPt>
          <c:dPt>
            <c:idx val="256"/>
            <c:bubble3D val="0"/>
            <c:spPr>
              <a:solidFill>
                <a:srgbClr val="FF9D81"/>
              </a:solidFill>
            </c:spPr>
            <c:extLst>
              <c:ext xmlns:c16="http://schemas.microsoft.com/office/drawing/2014/chart" uri="{C3380CC4-5D6E-409C-BE32-E72D297353CC}">
                <c16:uniqueId val="{00000201-085C-458F-9BEB-3F36C6ADFC53}"/>
              </c:ext>
            </c:extLst>
          </c:dPt>
          <c:dPt>
            <c:idx val="257"/>
            <c:bubble3D val="0"/>
            <c:spPr>
              <a:solidFill>
                <a:srgbClr val="61FD94"/>
              </a:solidFill>
            </c:spPr>
            <c:extLst>
              <c:ext xmlns:c16="http://schemas.microsoft.com/office/drawing/2014/chart" uri="{C3380CC4-5D6E-409C-BE32-E72D297353CC}">
                <c16:uniqueId val="{00000203-085C-458F-9BEB-3F36C6ADFC53}"/>
              </c:ext>
            </c:extLst>
          </c:dPt>
          <c:dPt>
            <c:idx val="258"/>
            <c:bubble3D val="0"/>
            <c:spPr>
              <a:solidFill>
                <a:srgbClr val="C8AB82"/>
              </a:solidFill>
            </c:spPr>
            <c:extLst>
              <c:ext xmlns:c16="http://schemas.microsoft.com/office/drawing/2014/chart" uri="{C3380CC4-5D6E-409C-BE32-E72D297353CC}">
                <c16:uniqueId val="{00000205-085C-458F-9BEB-3F36C6ADFC53}"/>
              </c:ext>
            </c:extLst>
          </c:dPt>
          <c:dPt>
            <c:idx val="259"/>
            <c:bubble3D val="0"/>
            <c:spPr>
              <a:solidFill>
                <a:srgbClr val="F9BC63"/>
              </a:solidFill>
            </c:spPr>
            <c:extLst>
              <c:ext xmlns:c16="http://schemas.microsoft.com/office/drawing/2014/chart" uri="{C3380CC4-5D6E-409C-BE32-E72D297353CC}">
                <c16:uniqueId val="{00000207-085C-458F-9BEB-3F36C6ADFC53}"/>
              </c:ext>
            </c:extLst>
          </c:dPt>
          <c:dPt>
            <c:idx val="260"/>
            <c:bubble3D val="0"/>
            <c:spPr>
              <a:solidFill>
                <a:srgbClr val="2F1CAA"/>
              </a:solidFill>
            </c:spPr>
            <c:extLst>
              <c:ext xmlns:c16="http://schemas.microsoft.com/office/drawing/2014/chart" uri="{C3380CC4-5D6E-409C-BE32-E72D297353CC}">
                <c16:uniqueId val="{00000209-085C-458F-9BEB-3F36C6ADFC53}"/>
              </c:ext>
            </c:extLst>
          </c:dPt>
          <c:dPt>
            <c:idx val="261"/>
            <c:bubble3D val="0"/>
            <c:spPr>
              <a:solidFill>
                <a:srgbClr val="6F0AFE"/>
              </a:solidFill>
            </c:spPr>
            <c:extLst>
              <c:ext xmlns:c16="http://schemas.microsoft.com/office/drawing/2014/chart" uri="{C3380CC4-5D6E-409C-BE32-E72D297353CC}">
                <c16:uniqueId val="{0000020B-085C-458F-9BEB-3F36C6ADFC53}"/>
              </c:ext>
            </c:extLst>
          </c:dPt>
          <c:dPt>
            <c:idx val="262"/>
            <c:bubble3D val="0"/>
            <c:spPr>
              <a:solidFill>
                <a:srgbClr val="FFC8CE"/>
              </a:solidFill>
            </c:spPr>
            <c:extLst>
              <c:ext xmlns:c16="http://schemas.microsoft.com/office/drawing/2014/chart" uri="{C3380CC4-5D6E-409C-BE32-E72D297353CC}">
                <c16:uniqueId val="{0000020D-085C-458F-9BEB-3F36C6ADFC53}"/>
              </c:ext>
            </c:extLst>
          </c:dPt>
          <c:dPt>
            <c:idx val="263"/>
            <c:bubble3D val="0"/>
            <c:spPr>
              <a:solidFill>
                <a:srgbClr val="9910A5"/>
              </a:solidFill>
            </c:spPr>
            <c:extLst>
              <c:ext xmlns:c16="http://schemas.microsoft.com/office/drawing/2014/chart" uri="{C3380CC4-5D6E-409C-BE32-E72D297353CC}">
                <c16:uniqueId val="{0000020F-085C-458F-9BEB-3F36C6ADFC53}"/>
              </c:ext>
            </c:extLst>
          </c:dPt>
          <c:dPt>
            <c:idx val="264"/>
            <c:bubble3D val="0"/>
            <c:spPr>
              <a:solidFill>
                <a:srgbClr val="01CF85"/>
              </a:solidFill>
            </c:spPr>
            <c:extLst>
              <c:ext xmlns:c16="http://schemas.microsoft.com/office/drawing/2014/chart" uri="{C3380CC4-5D6E-409C-BE32-E72D297353CC}">
                <c16:uniqueId val="{00000211-085C-458F-9BEB-3F36C6ADFC53}"/>
              </c:ext>
            </c:extLst>
          </c:dPt>
          <c:dPt>
            <c:idx val="265"/>
            <c:bubble3D val="0"/>
            <c:spPr>
              <a:solidFill>
                <a:srgbClr val="FFF59F"/>
              </a:solidFill>
            </c:spPr>
            <c:extLst>
              <c:ext xmlns:c16="http://schemas.microsoft.com/office/drawing/2014/chart" uri="{C3380CC4-5D6E-409C-BE32-E72D297353CC}">
                <c16:uniqueId val="{00000213-085C-458F-9BEB-3F36C6ADFC53}"/>
              </c:ext>
            </c:extLst>
          </c:dPt>
          <c:dPt>
            <c:idx val="266"/>
            <c:bubble3D val="0"/>
            <c:spPr>
              <a:solidFill>
                <a:srgbClr val="3030F5"/>
              </a:solidFill>
            </c:spPr>
            <c:extLst>
              <c:ext xmlns:c16="http://schemas.microsoft.com/office/drawing/2014/chart" uri="{C3380CC4-5D6E-409C-BE32-E72D297353CC}">
                <c16:uniqueId val="{00000215-085C-458F-9BEB-3F36C6ADFC53}"/>
              </c:ext>
            </c:extLst>
          </c:dPt>
          <c:dPt>
            <c:idx val="267"/>
            <c:bubble3D val="0"/>
            <c:spPr>
              <a:solidFill>
                <a:srgbClr val="AC2431"/>
              </a:solidFill>
            </c:spPr>
            <c:extLst>
              <c:ext xmlns:c16="http://schemas.microsoft.com/office/drawing/2014/chart" uri="{C3380CC4-5D6E-409C-BE32-E72D297353CC}">
                <c16:uniqueId val="{00000217-085C-458F-9BEB-3F36C6ADFC53}"/>
              </c:ext>
            </c:extLst>
          </c:dPt>
          <c:dPt>
            <c:idx val="268"/>
            <c:bubble3D val="0"/>
            <c:spPr>
              <a:solidFill>
                <a:srgbClr val="FFF41A"/>
              </a:solidFill>
            </c:spPr>
            <c:extLst>
              <c:ext xmlns:c16="http://schemas.microsoft.com/office/drawing/2014/chart" uri="{C3380CC4-5D6E-409C-BE32-E72D297353CC}">
                <c16:uniqueId val="{00000219-085C-458F-9BEB-3F36C6ADFC53}"/>
              </c:ext>
            </c:extLst>
          </c:dPt>
          <c:dPt>
            <c:idx val="269"/>
            <c:bubble3D val="0"/>
            <c:spPr>
              <a:solidFill>
                <a:srgbClr val="D024B6"/>
              </a:solidFill>
            </c:spPr>
            <c:extLst>
              <c:ext xmlns:c16="http://schemas.microsoft.com/office/drawing/2014/chart" uri="{C3380CC4-5D6E-409C-BE32-E72D297353CC}">
                <c16:uniqueId val="{0000021B-085C-458F-9BEB-3F36C6ADFC53}"/>
              </c:ext>
            </c:extLst>
          </c:dPt>
          <c:dPt>
            <c:idx val="270"/>
            <c:bubble3D val="0"/>
            <c:spPr>
              <a:solidFill>
                <a:srgbClr val="3AF489"/>
              </a:solidFill>
            </c:spPr>
            <c:extLst>
              <c:ext xmlns:c16="http://schemas.microsoft.com/office/drawing/2014/chart" uri="{C3380CC4-5D6E-409C-BE32-E72D297353CC}">
                <c16:uniqueId val="{0000021D-085C-458F-9BEB-3F36C6ADFC53}"/>
              </c:ext>
            </c:extLst>
          </c:dPt>
          <c:dPt>
            <c:idx val="271"/>
            <c:bubble3D val="0"/>
            <c:spPr>
              <a:solidFill>
                <a:srgbClr val="062DDC"/>
              </a:solidFill>
            </c:spPr>
            <c:extLst>
              <c:ext xmlns:c16="http://schemas.microsoft.com/office/drawing/2014/chart" uri="{C3380CC4-5D6E-409C-BE32-E72D297353CC}">
                <c16:uniqueId val="{0000021F-085C-458F-9BEB-3F36C6ADFC53}"/>
              </c:ext>
            </c:extLst>
          </c:dPt>
          <c:dPt>
            <c:idx val="272"/>
            <c:bubble3D val="0"/>
            <c:spPr>
              <a:solidFill>
                <a:srgbClr val="314541"/>
              </a:solidFill>
            </c:spPr>
            <c:extLst>
              <c:ext xmlns:c16="http://schemas.microsoft.com/office/drawing/2014/chart" uri="{C3380CC4-5D6E-409C-BE32-E72D297353CC}">
                <c16:uniqueId val="{00000221-085C-458F-9BEB-3F36C6ADFC53}"/>
              </c:ext>
            </c:extLst>
          </c:dPt>
          <c:dPt>
            <c:idx val="273"/>
            <c:bubble3D val="0"/>
            <c:spPr>
              <a:solidFill>
                <a:srgbClr val="E93F65"/>
              </a:solidFill>
            </c:spPr>
            <c:extLst>
              <c:ext xmlns:c16="http://schemas.microsoft.com/office/drawing/2014/chart" uri="{C3380CC4-5D6E-409C-BE32-E72D297353CC}">
                <c16:uniqueId val="{00000223-085C-458F-9BEB-3F36C6ADFC53}"/>
              </c:ext>
            </c:extLst>
          </c:dPt>
          <c:dPt>
            <c:idx val="274"/>
            <c:bubble3D val="0"/>
            <c:spPr>
              <a:solidFill>
                <a:srgbClr val="FF2066"/>
              </a:solidFill>
            </c:spPr>
            <c:extLst>
              <c:ext xmlns:c16="http://schemas.microsoft.com/office/drawing/2014/chart" uri="{C3380CC4-5D6E-409C-BE32-E72D297353CC}">
                <c16:uniqueId val="{00000225-085C-458F-9BEB-3F36C6ADFC53}"/>
              </c:ext>
            </c:extLst>
          </c:dPt>
          <c:dPt>
            <c:idx val="275"/>
            <c:bubble3D val="0"/>
            <c:spPr>
              <a:solidFill>
                <a:srgbClr val="0838C8"/>
              </a:solidFill>
            </c:spPr>
            <c:extLst>
              <c:ext xmlns:c16="http://schemas.microsoft.com/office/drawing/2014/chart" uri="{C3380CC4-5D6E-409C-BE32-E72D297353CC}">
                <c16:uniqueId val="{00000227-085C-458F-9BEB-3F36C6ADFC53}"/>
              </c:ext>
            </c:extLst>
          </c:dPt>
          <c:dPt>
            <c:idx val="276"/>
            <c:bubble3D val="0"/>
            <c:spPr>
              <a:solidFill>
                <a:srgbClr val="72198C"/>
              </a:solidFill>
            </c:spPr>
            <c:extLst>
              <c:ext xmlns:c16="http://schemas.microsoft.com/office/drawing/2014/chart" uri="{C3380CC4-5D6E-409C-BE32-E72D297353CC}">
                <c16:uniqueId val="{00000229-085C-458F-9BEB-3F36C6ADFC53}"/>
              </c:ext>
            </c:extLst>
          </c:dPt>
          <c:dPt>
            <c:idx val="277"/>
            <c:bubble3D val="0"/>
            <c:spPr>
              <a:solidFill>
                <a:srgbClr val="0C6519"/>
              </a:solidFill>
            </c:spPr>
            <c:extLst>
              <c:ext xmlns:c16="http://schemas.microsoft.com/office/drawing/2014/chart" uri="{C3380CC4-5D6E-409C-BE32-E72D297353CC}">
                <c16:uniqueId val="{0000022B-085C-458F-9BEB-3F36C6ADFC53}"/>
              </c:ext>
            </c:extLst>
          </c:dPt>
          <c:dPt>
            <c:idx val="278"/>
            <c:bubble3D val="0"/>
            <c:spPr>
              <a:solidFill>
                <a:srgbClr val="32598C"/>
              </a:solidFill>
            </c:spPr>
            <c:extLst>
              <c:ext xmlns:c16="http://schemas.microsoft.com/office/drawing/2014/chart" uri="{C3380CC4-5D6E-409C-BE32-E72D297353CC}">
                <c16:uniqueId val="{0000022D-085C-458F-9BEB-3F36C6ADFC53}"/>
              </c:ext>
            </c:extLst>
          </c:dPt>
          <c:dPt>
            <c:idx val="279"/>
            <c:bubble3D val="0"/>
            <c:spPr>
              <a:solidFill>
                <a:srgbClr val="255999"/>
              </a:solidFill>
            </c:spPr>
            <c:extLst>
              <c:ext xmlns:c16="http://schemas.microsoft.com/office/drawing/2014/chart" uri="{C3380CC4-5D6E-409C-BE32-E72D297353CC}">
                <c16:uniqueId val="{0000022F-085C-458F-9BEB-3F36C6ADFC53}"/>
              </c:ext>
            </c:extLst>
          </c:dPt>
          <c:dPt>
            <c:idx val="280"/>
            <c:bubble3D val="0"/>
            <c:spPr>
              <a:solidFill>
                <a:srgbClr val="FF4CB2"/>
              </a:solidFill>
            </c:spPr>
            <c:extLst>
              <c:ext xmlns:c16="http://schemas.microsoft.com/office/drawing/2014/chart" uri="{C3380CC4-5D6E-409C-BE32-E72D297353CC}">
                <c16:uniqueId val="{00000231-085C-458F-9BEB-3F36C6ADFC53}"/>
              </c:ext>
            </c:extLst>
          </c:dPt>
          <c:dPt>
            <c:idx val="281"/>
            <c:bubble3D val="0"/>
            <c:spPr>
              <a:solidFill>
                <a:srgbClr val="3F4CD9"/>
              </a:solidFill>
            </c:spPr>
            <c:extLst>
              <c:ext xmlns:c16="http://schemas.microsoft.com/office/drawing/2014/chart" uri="{C3380CC4-5D6E-409C-BE32-E72D297353CC}">
                <c16:uniqueId val="{00000233-085C-458F-9BEB-3F36C6ADFC53}"/>
              </c:ext>
            </c:extLst>
          </c:dPt>
          <c:dPt>
            <c:idx val="282"/>
            <c:bubble3D val="0"/>
            <c:spPr>
              <a:solidFill>
                <a:srgbClr val="AB3D8F"/>
              </a:solidFill>
            </c:spPr>
            <c:extLst>
              <c:ext xmlns:c16="http://schemas.microsoft.com/office/drawing/2014/chart" uri="{C3380CC4-5D6E-409C-BE32-E72D297353CC}">
                <c16:uniqueId val="{00000235-085C-458F-9BEB-3F36C6ADFC53}"/>
              </c:ext>
            </c:extLst>
          </c:dPt>
          <c:dPt>
            <c:idx val="283"/>
            <c:bubble3D val="0"/>
            <c:spPr>
              <a:solidFill>
                <a:srgbClr val="129E55"/>
              </a:solidFill>
            </c:spPr>
            <c:extLst>
              <c:ext xmlns:c16="http://schemas.microsoft.com/office/drawing/2014/chart" uri="{C3380CC4-5D6E-409C-BE32-E72D297353CC}">
                <c16:uniqueId val="{00000237-085C-458F-9BEB-3F36C6ADFC53}"/>
              </c:ext>
            </c:extLst>
          </c:dPt>
          <c:dPt>
            <c:idx val="284"/>
            <c:bubble3D val="0"/>
            <c:spPr>
              <a:solidFill>
                <a:srgbClr val="336DD7"/>
              </a:solidFill>
            </c:spPr>
            <c:extLst>
              <c:ext xmlns:c16="http://schemas.microsoft.com/office/drawing/2014/chart" uri="{C3380CC4-5D6E-409C-BE32-E72D297353CC}">
                <c16:uniqueId val="{00000239-085C-458F-9BEB-3F36C6ADFC53}"/>
              </c:ext>
            </c:extLst>
          </c:dPt>
          <c:dPt>
            <c:idx val="285"/>
            <c:bubble3D val="0"/>
            <c:spPr>
              <a:solidFill>
                <a:srgbClr val="6273CC"/>
              </a:solidFill>
            </c:spPr>
            <c:extLst>
              <c:ext xmlns:c16="http://schemas.microsoft.com/office/drawing/2014/chart" uri="{C3380CC4-5D6E-409C-BE32-E72D297353CC}">
                <c16:uniqueId val="{0000023B-085C-458F-9BEB-3F36C6ADFC53}"/>
              </c:ext>
            </c:extLst>
          </c:dPt>
          <c:dPt>
            <c:idx val="286"/>
            <c:bubble3D val="0"/>
            <c:spPr>
              <a:solidFill>
                <a:srgbClr val="FF78FE"/>
              </a:solidFill>
            </c:spPr>
            <c:extLst>
              <c:ext xmlns:c16="http://schemas.microsoft.com/office/drawing/2014/chart" uri="{C3380CC4-5D6E-409C-BE32-E72D297353CC}">
                <c16:uniqueId val="{0000023D-085C-458F-9BEB-3F36C6ADFC53}"/>
              </c:ext>
            </c:extLst>
          </c:dPt>
          <c:dPt>
            <c:idx val="287"/>
            <c:bubble3D val="0"/>
            <c:spPr>
              <a:solidFill>
                <a:srgbClr val="7760EA"/>
              </a:solidFill>
            </c:spPr>
            <c:extLst>
              <c:ext xmlns:c16="http://schemas.microsoft.com/office/drawing/2014/chart" uri="{C3380CC4-5D6E-409C-BE32-E72D297353CC}">
                <c16:uniqueId val="{0000023F-085C-458F-9BEB-3F36C6ADFC53}"/>
              </c:ext>
            </c:extLst>
          </c:dPt>
          <c:dPt>
            <c:idx val="288"/>
            <c:bubble3D val="0"/>
            <c:spPr>
              <a:solidFill>
                <a:srgbClr val="E46292"/>
              </a:solidFill>
            </c:spPr>
            <c:extLst>
              <c:ext xmlns:c16="http://schemas.microsoft.com/office/drawing/2014/chart" uri="{C3380CC4-5D6E-409C-BE32-E72D297353CC}">
                <c16:uniqueId val="{00000241-085C-458F-9BEB-3F36C6ADFC53}"/>
              </c:ext>
            </c:extLst>
          </c:dPt>
          <c:dPt>
            <c:idx val="289"/>
            <c:bubble3D val="0"/>
            <c:spPr>
              <a:solidFill>
                <a:srgbClr val="18D692"/>
              </a:solidFill>
            </c:spPr>
            <c:extLst>
              <c:ext xmlns:c16="http://schemas.microsoft.com/office/drawing/2014/chart" uri="{C3380CC4-5D6E-409C-BE32-E72D297353CC}">
                <c16:uniqueId val="{00000243-085C-458F-9BEB-3F36C6ADFC53}"/>
              </c:ext>
            </c:extLst>
          </c:dPt>
          <c:dPt>
            <c:idx val="290"/>
            <c:bubble3D val="0"/>
            <c:spPr>
              <a:solidFill>
                <a:srgbClr val="358122"/>
              </a:solidFill>
            </c:spPr>
            <c:extLst>
              <c:ext xmlns:c16="http://schemas.microsoft.com/office/drawing/2014/chart" uri="{C3380CC4-5D6E-409C-BE32-E72D297353CC}">
                <c16:uniqueId val="{00000245-085C-458F-9BEB-3F36C6ADFC53}"/>
              </c:ext>
            </c:extLst>
          </c:dPt>
          <c:dPt>
            <c:idx val="291"/>
            <c:bubble3D val="0"/>
            <c:spPr>
              <a:solidFill>
                <a:srgbClr val="9F8D00"/>
              </a:solidFill>
            </c:spPr>
            <c:extLst>
              <c:ext xmlns:c16="http://schemas.microsoft.com/office/drawing/2014/chart" uri="{C3380CC4-5D6E-409C-BE32-E72D297353CC}">
                <c16:uniqueId val="{00000247-085C-458F-9BEB-3F36C6ADFC53}"/>
              </c:ext>
            </c:extLst>
          </c:dPt>
          <c:dPt>
            <c:idx val="292"/>
            <c:bubble3D val="0"/>
            <c:spPr>
              <a:solidFill>
                <a:srgbClr val="FFA34B"/>
              </a:solidFill>
            </c:spPr>
            <c:extLst>
              <c:ext xmlns:c16="http://schemas.microsoft.com/office/drawing/2014/chart" uri="{C3380CC4-5D6E-409C-BE32-E72D297353CC}">
                <c16:uniqueId val="{00000249-085C-458F-9BEB-3F36C6ADFC53}"/>
              </c:ext>
            </c:extLst>
          </c:dPt>
          <c:dPt>
            <c:idx val="293"/>
            <c:bubble3D val="0"/>
            <c:spPr>
              <a:solidFill>
                <a:srgbClr val="AE73FB"/>
              </a:solidFill>
            </c:spPr>
            <c:extLst>
              <c:ext xmlns:c16="http://schemas.microsoft.com/office/drawing/2014/chart" uri="{C3380CC4-5D6E-409C-BE32-E72D297353CC}">
                <c16:uniqueId val="{0000024B-085C-458F-9BEB-3F36C6ADFC53}"/>
              </c:ext>
            </c:extLst>
          </c:dPt>
          <c:dPt>
            <c:idx val="294"/>
            <c:bubble3D val="0"/>
            <c:spPr>
              <a:solidFill>
                <a:srgbClr val="1C8696"/>
              </a:solidFill>
            </c:spPr>
            <c:extLst>
              <c:ext xmlns:c16="http://schemas.microsoft.com/office/drawing/2014/chart" uri="{C3380CC4-5D6E-409C-BE32-E72D297353CC}">
                <c16:uniqueId val="{0000024D-085C-458F-9BEB-3F36C6ADFC53}"/>
              </c:ext>
            </c:extLst>
          </c:dPt>
          <c:dPt>
            <c:idx val="295"/>
            <c:bubble3D val="0"/>
            <c:spPr>
              <a:solidFill>
                <a:srgbClr val="1F0FCE"/>
              </a:solidFill>
            </c:spPr>
            <c:extLst>
              <c:ext xmlns:c16="http://schemas.microsoft.com/office/drawing/2014/chart" uri="{C3380CC4-5D6E-409C-BE32-E72D297353CC}">
                <c16:uniqueId val="{0000024F-085C-458F-9BEB-3F36C6ADFC53}"/>
              </c:ext>
            </c:extLst>
          </c:dPt>
          <c:dPt>
            <c:idx val="296"/>
            <c:bubble3D val="0"/>
            <c:spPr>
              <a:solidFill>
                <a:srgbClr val="36956E"/>
              </a:solidFill>
            </c:spPr>
            <c:extLst>
              <c:ext xmlns:c16="http://schemas.microsoft.com/office/drawing/2014/chart" uri="{C3380CC4-5D6E-409C-BE32-E72D297353CC}">
                <c16:uniqueId val="{00000251-085C-458F-9BEB-3F36C6ADFC53}"/>
              </c:ext>
            </c:extLst>
          </c:dPt>
          <c:dPt>
            <c:idx val="297"/>
            <c:bubble3D val="0"/>
            <c:spPr>
              <a:solidFill>
                <a:srgbClr val="DCA733"/>
              </a:solidFill>
            </c:spPr>
            <c:extLst>
              <c:ext xmlns:c16="http://schemas.microsoft.com/office/drawing/2014/chart" uri="{C3380CC4-5D6E-409C-BE32-E72D297353CC}">
                <c16:uniqueId val="{00000253-085C-458F-9BEB-3F36C6ADFC53}"/>
              </c:ext>
            </c:extLst>
          </c:dPt>
          <c:dPt>
            <c:idx val="298"/>
            <c:bubble3D val="0"/>
            <c:spPr>
              <a:solidFill>
                <a:srgbClr val="FFCF97"/>
              </a:solidFill>
            </c:spPr>
            <c:extLst>
              <c:ext xmlns:c16="http://schemas.microsoft.com/office/drawing/2014/chart" uri="{C3380CC4-5D6E-409C-BE32-E72D297353CC}">
                <c16:uniqueId val="{00000255-085C-458F-9BEB-3F36C6ADFC53}"/>
              </c:ext>
            </c:extLst>
          </c:dPt>
          <c:dPt>
            <c:idx val="299"/>
            <c:bubble3D val="0"/>
            <c:spPr>
              <a:solidFill>
                <a:srgbClr val="E6870C"/>
              </a:solidFill>
            </c:spPr>
            <c:extLst>
              <c:ext xmlns:c16="http://schemas.microsoft.com/office/drawing/2014/chart" uri="{C3380CC4-5D6E-409C-BE32-E72D297353CC}">
                <c16:uniqueId val="{00000257-085C-458F-9BEB-3F36C6ADFC53}"/>
              </c:ext>
            </c:extLst>
          </c:dPt>
          <c:dPt>
            <c:idx val="300"/>
            <c:bubble3D val="0"/>
            <c:spPr>
              <a:solidFill>
                <a:srgbClr val="55AB99"/>
              </a:solidFill>
            </c:spPr>
            <c:extLst>
              <c:ext xmlns:c16="http://schemas.microsoft.com/office/drawing/2014/chart" uri="{C3380CC4-5D6E-409C-BE32-E72D297353CC}">
                <c16:uniqueId val="{00000259-085C-458F-9BEB-3F36C6ADFC53}"/>
              </c:ext>
            </c:extLst>
          </c:dPt>
          <c:dPt>
            <c:idx val="301"/>
            <c:bubble3D val="0"/>
            <c:spPr>
              <a:solidFill>
                <a:srgbClr val="25470B"/>
              </a:solidFill>
            </c:spPr>
            <c:extLst>
              <c:ext xmlns:c16="http://schemas.microsoft.com/office/drawing/2014/chart" uri="{C3380CC4-5D6E-409C-BE32-E72D297353CC}">
                <c16:uniqueId val="{0000025B-085C-458F-9BEB-3F36C6ADFC53}"/>
              </c:ext>
            </c:extLst>
          </c:dPt>
          <c:dPt>
            <c:idx val="302"/>
            <c:bubble3D val="0"/>
            <c:spPr>
              <a:solidFill>
                <a:srgbClr val="37A9B9"/>
              </a:solidFill>
            </c:spPr>
            <c:extLst>
              <c:ext xmlns:c16="http://schemas.microsoft.com/office/drawing/2014/chart" uri="{C3380CC4-5D6E-409C-BE32-E72D297353CC}">
                <c16:uniqueId val="{0000025D-085C-458F-9BEB-3F36C6ADFC53}"/>
              </c:ext>
            </c:extLst>
          </c:dPt>
          <c:dPt>
            <c:idx val="303"/>
            <c:bubble3D val="0"/>
            <c:spPr>
              <a:solidFill>
                <a:srgbClr val="19C167"/>
              </a:solidFill>
            </c:spPr>
            <c:extLst>
              <c:ext xmlns:c16="http://schemas.microsoft.com/office/drawing/2014/chart" uri="{C3380CC4-5D6E-409C-BE32-E72D297353CC}">
                <c16:uniqueId val="{0000025F-085C-458F-9BEB-3F36C6ADFC53}"/>
              </c:ext>
            </c:extLst>
          </c:dPt>
          <c:dPt>
            <c:idx val="304"/>
            <c:bubble3D val="0"/>
            <c:spPr>
              <a:solidFill>
                <a:srgbClr val="FFFBE3"/>
              </a:solidFill>
            </c:spPr>
            <c:extLst>
              <c:ext xmlns:c16="http://schemas.microsoft.com/office/drawing/2014/chart" uri="{C3380CC4-5D6E-409C-BE32-E72D297353CC}">
                <c16:uniqueId val="{00000261-085C-458F-9BEB-3F36C6ADFC53}"/>
              </c:ext>
            </c:extLst>
          </c:dPt>
          <c:dPt>
            <c:idx val="305"/>
            <c:bubble3D val="0"/>
            <c:spPr>
              <a:solidFill>
                <a:srgbClr val="1D9B1D"/>
              </a:solidFill>
            </c:spPr>
            <c:extLst>
              <c:ext xmlns:c16="http://schemas.microsoft.com/office/drawing/2014/chart" uri="{C3380CC4-5D6E-409C-BE32-E72D297353CC}">
                <c16:uniqueId val="{00000263-085C-458F-9BEB-3F36C6ADFC53}"/>
              </c:ext>
            </c:extLst>
          </c:dPt>
          <c:dPt>
            <c:idx val="306"/>
            <c:bubble3D val="0"/>
            <c:spPr>
              <a:solidFill>
                <a:srgbClr val="8ED09C"/>
              </a:solidFill>
            </c:spPr>
            <c:extLst>
              <c:ext xmlns:c16="http://schemas.microsoft.com/office/drawing/2014/chart" uri="{C3380CC4-5D6E-409C-BE32-E72D297353CC}">
                <c16:uniqueId val="{00000265-085C-458F-9BEB-3F36C6ADFC53}"/>
              </c:ext>
            </c:extLst>
          </c:dPt>
          <c:dPt>
            <c:idx val="307"/>
            <c:bubble3D val="0"/>
            <c:spPr>
              <a:solidFill>
                <a:srgbClr val="2B7F48"/>
              </a:solidFill>
            </c:spPr>
            <c:extLst>
              <c:ext xmlns:c16="http://schemas.microsoft.com/office/drawing/2014/chart" uri="{C3380CC4-5D6E-409C-BE32-E72D297353CC}">
                <c16:uniqueId val="{00000267-085C-458F-9BEB-3F36C6ADFC53}"/>
              </c:ext>
            </c:extLst>
          </c:dPt>
          <c:dPt>
            <c:idx val="308"/>
            <c:bubble3D val="0"/>
            <c:spPr>
              <a:solidFill>
                <a:srgbClr val="38BD04"/>
              </a:solidFill>
            </c:spPr>
            <c:extLst>
              <c:ext xmlns:c16="http://schemas.microsoft.com/office/drawing/2014/chart" uri="{C3380CC4-5D6E-409C-BE32-E72D297353CC}">
                <c16:uniqueId val="{00000269-085C-458F-9BEB-3F36C6ADFC53}"/>
              </c:ext>
            </c:extLst>
          </c:dPt>
          <c:dPt>
            <c:idx val="309"/>
            <c:bubble3D val="0"/>
            <c:spPr>
              <a:solidFill>
                <a:srgbClr val="56DB9B"/>
              </a:solidFill>
            </c:spPr>
            <c:extLst>
              <c:ext xmlns:c16="http://schemas.microsoft.com/office/drawing/2014/chart" uri="{C3380CC4-5D6E-409C-BE32-E72D297353CC}">
                <c16:uniqueId val="{0000026B-085C-458F-9BEB-3F36C6ADFC53}"/>
              </c:ext>
            </c:extLst>
          </c:dPt>
          <c:dPt>
            <c:idx val="310"/>
            <c:bubble3D val="0"/>
            <c:spPr>
              <a:solidFill>
                <a:srgbClr val="FF272F"/>
              </a:solidFill>
            </c:spPr>
            <c:extLst>
              <c:ext xmlns:c16="http://schemas.microsoft.com/office/drawing/2014/chart" uri="{C3380CC4-5D6E-409C-BE32-E72D297353CC}">
                <c16:uniqueId val="{0000026D-085C-458F-9BEB-3F36C6ADFC53}"/>
              </c:ext>
            </c:extLst>
          </c:dPt>
          <c:dPt>
            <c:idx val="311"/>
            <c:bubble3D val="0"/>
            <c:spPr>
              <a:solidFill>
                <a:srgbClr val="55AF2E"/>
              </a:solidFill>
            </c:spPr>
            <c:extLst>
              <c:ext xmlns:c16="http://schemas.microsoft.com/office/drawing/2014/chart" uri="{C3380CC4-5D6E-409C-BE32-E72D297353CC}">
                <c16:uniqueId val="{0000026F-085C-458F-9BEB-3F36C6ADFC53}"/>
              </c:ext>
            </c:extLst>
          </c:dPt>
          <c:dPt>
            <c:idx val="312"/>
            <c:bubble3D val="0"/>
            <c:spPr>
              <a:solidFill>
                <a:srgbClr val="C6F4A0"/>
              </a:solidFill>
            </c:spPr>
            <c:extLst>
              <c:ext xmlns:c16="http://schemas.microsoft.com/office/drawing/2014/chart" uri="{C3380CC4-5D6E-409C-BE32-E72D297353CC}">
                <c16:uniqueId val="{00000271-085C-458F-9BEB-3F36C6ADFC53}"/>
              </c:ext>
            </c:extLst>
          </c:dPt>
          <c:dPt>
            <c:idx val="313"/>
            <c:bubble3D val="0"/>
            <c:spPr>
              <a:solidFill>
                <a:srgbClr val="32B884"/>
              </a:solidFill>
            </c:spPr>
            <c:extLst>
              <c:ext xmlns:c16="http://schemas.microsoft.com/office/drawing/2014/chart" uri="{C3380CC4-5D6E-409C-BE32-E72D297353CC}">
                <c16:uniqueId val="{00000273-085C-458F-9BEB-3F36C6ADFC53}"/>
              </c:ext>
            </c:extLst>
          </c:dPt>
          <c:dPt>
            <c:idx val="314"/>
            <c:bubble3D val="0"/>
            <c:spPr>
              <a:solidFill>
                <a:srgbClr val="39D150"/>
              </a:solidFill>
            </c:spPr>
            <c:extLst>
              <c:ext xmlns:c16="http://schemas.microsoft.com/office/drawing/2014/chart" uri="{C3380CC4-5D6E-409C-BE32-E72D297353CC}">
                <c16:uniqueId val="{00000275-085C-458F-9BEB-3F36C6ADFC53}"/>
              </c:ext>
            </c:extLst>
          </c:dPt>
          <c:dPt>
            <c:idx val="315"/>
            <c:bubble3D val="0"/>
            <c:spPr>
              <a:solidFill>
                <a:srgbClr val="93F5CE"/>
              </a:solidFill>
            </c:spPr>
            <c:extLst>
              <c:ext xmlns:c16="http://schemas.microsoft.com/office/drawing/2014/chart" uri="{C3380CC4-5D6E-409C-BE32-E72D297353CC}">
                <c16:uniqueId val="{00000277-085C-458F-9BEB-3F36C6ADFC53}"/>
              </c:ext>
            </c:extLst>
          </c:dPt>
          <c:dPt>
            <c:idx val="316"/>
            <c:bubble3D val="0"/>
            <c:spPr>
              <a:solidFill>
                <a:srgbClr val="FF537B"/>
              </a:solidFill>
            </c:spPr>
            <c:extLst>
              <c:ext xmlns:c16="http://schemas.microsoft.com/office/drawing/2014/chart" uri="{C3380CC4-5D6E-409C-BE32-E72D297353CC}">
                <c16:uniqueId val="{00000279-085C-458F-9BEB-3F36C6ADFC53}"/>
              </c:ext>
            </c:extLst>
          </c:dPt>
          <c:dPt>
            <c:idx val="317"/>
            <c:bubble3D val="0"/>
            <c:spPr>
              <a:solidFill>
                <a:srgbClr val="8CC33F"/>
              </a:solidFill>
            </c:spPr>
            <c:extLst>
              <c:ext xmlns:c16="http://schemas.microsoft.com/office/drawing/2014/chart" uri="{C3380CC4-5D6E-409C-BE32-E72D297353CC}">
                <c16:uniqueId val="{0000027B-085C-458F-9BEB-3F36C6ADFC53}"/>
              </c:ext>
            </c:extLst>
          </c:dPt>
          <c:dPt>
            <c:idx val="318"/>
            <c:bubble3D val="0"/>
            <c:spPr>
              <a:solidFill>
                <a:srgbClr val="FF19A3"/>
              </a:solidFill>
            </c:spPr>
            <c:extLst>
              <c:ext xmlns:c16="http://schemas.microsoft.com/office/drawing/2014/chart" uri="{C3380CC4-5D6E-409C-BE32-E72D297353CC}">
                <c16:uniqueId val="{0000027D-085C-458F-9BEB-3F36C6ADFC53}"/>
              </c:ext>
            </c:extLst>
          </c:dPt>
          <c:dPt>
            <c:idx val="319"/>
            <c:bubble3D val="0"/>
            <c:spPr>
              <a:solidFill>
                <a:srgbClr val="38F0C1"/>
              </a:solidFill>
            </c:spPr>
            <c:extLst>
              <c:ext xmlns:c16="http://schemas.microsoft.com/office/drawing/2014/chart" uri="{C3380CC4-5D6E-409C-BE32-E72D297353CC}">
                <c16:uniqueId val="{0000027F-085C-458F-9BEB-3F36C6ADFC53}"/>
              </c:ext>
            </c:extLst>
          </c:dPt>
          <c:dPt>
            <c:idx val="320"/>
            <c:bubble3D val="0"/>
            <c:spPr>
              <a:solidFill>
                <a:srgbClr val="3BE59B"/>
              </a:solidFill>
            </c:spPr>
            <c:extLst>
              <c:ext xmlns:c16="http://schemas.microsoft.com/office/drawing/2014/chart" uri="{C3380CC4-5D6E-409C-BE32-E72D297353CC}">
                <c16:uniqueId val="{00000281-085C-458F-9BEB-3F36C6ADFC53}"/>
              </c:ext>
            </c:extLst>
          </c:dPt>
          <c:dPt>
            <c:idx val="321"/>
            <c:bubble3D val="0"/>
            <c:spPr>
              <a:solidFill>
                <a:srgbClr val="D00F02"/>
              </a:solidFill>
            </c:spPr>
            <c:extLst>
              <c:ext xmlns:c16="http://schemas.microsoft.com/office/drawing/2014/chart" uri="{C3380CC4-5D6E-409C-BE32-E72D297353CC}">
                <c16:uniqueId val="{00000283-085C-458F-9BEB-3F36C6ADFC53}"/>
              </c:ext>
            </c:extLst>
          </c:dPt>
          <c:dPt>
            <c:idx val="322"/>
            <c:bubble3D val="0"/>
            <c:spPr>
              <a:solidFill>
                <a:srgbClr val="FF7EC8"/>
              </a:solidFill>
            </c:spPr>
            <c:extLst>
              <c:ext xmlns:c16="http://schemas.microsoft.com/office/drawing/2014/chart" uri="{C3380CC4-5D6E-409C-BE32-E72D297353CC}">
                <c16:uniqueId val="{00000285-085C-458F-9BEB-3F36C6ADFC53}"/>
              </c:ext>
            </c:extLst>
          </c:dPt>
          <c:dPt>
            <c:idx val="323"/>
            <c:bubble3D val="0"/>
            <c:spPr>
              <a:solidFill>
                <a:srgbClr val="C4D650"/>
              </a:solidFill>
            </c:spPr>
            <c:extLst>
              <c:ext xmlns:c16="http://schemas.microsoft.com/office/drawing/2014/chart" uri="{C3380CC4-5D6E-409C-BE32-E72D297353CC}">
                <c16:uniqueId val="{00000287-085C-458F-9BEB-3F36C6ADFC53}"/>
              </c:ext>
            </c:extLst>
          </c:dPt>
          <c:dPt>
            <c:idx val="324"/>
            <c:bubble3D val="0"/>
            <c:spPr>
              <a:solidFill>
                <a:srgbClr val="383DA6"/>
              </a:solidFill>
            </c:spPr>
            <c:extLst>
              <c:ext xmlns:c16="http://schemas.microsoft.com/office/drawing/2014/chart" uri="{C3380CC4-5D6E-409C-BE32-E72D297353CC}">
                <c16:uniqueId val="{00000289-085C-458F-9BEB-3F36C6ADFC53}"/>
              </c:ext>
            </c:extLst>
          </c:dPt>
          <c:dPt>
            <c:idx val="325"/>
            <c:bubble3D val="0"/>
            <c:spPr>
              <a:solidFill>
                <a:srgbClr val="3E29FD"/>
              </a:solidFill>
            </c:spPr>
            <c:extLst>
              <c:ext xmlns:c16="http://schemas.microsoft.com/office/drawing/2014/chart" uri="{C3380CC4-5D6E-409C-BE32-E72D297353CC}">
                <c16:uniqueId val="{0000028B-085C-458F-9BEB-3F36C6ADFC53}"/>
              </c:ext>
            </c:extLst>
          </c:dPt>
          <c:dPt>
            <c:idx val="326"/>
            <c:bubble3D val="0"/>
            <c:spPr>
              <a:solidFill>
                <a:srgbClr val="3CF9E6"/>
              </a:solidFill>
            </c:spPr>
            <c:extLst>
              <c:ext xmlns:c16="http://schemas.microsoft.com/office/drawing/2014/chart" uri="{C3380CC4-5D6E-409C-BE32-E72D297353CC}">
                <c16:uniqueId val="{0000028D-085C-458F-9BEB-3F36C6ADFC53}"/>
              </c:ext>
            </c:extLst>
          </c:dPt>
          <c:dPt>
            <c:idx val="327"/>
            <c:bubble3D val="0"/>
            <c:spPr>
              <a:solidFill>
                <a:srgbClr val="0D2935"/>
              </a:solidFill>
            </c:spPr>
            <c:extLst>
              <c:ext xmlns:c16="http://schemas.microsoft.com/office/drawing/2014/chart" uri="{C3380CC4-5D6E-409C-BE32-E72D297353CC}">
                <c16:uniqueId val="{0000028F-085C-458F-9BEB-3F36C6ADFC53}"/>
              </c:ext>
            </c:extLst>
          </c:dPt>
          <c:dPt>
            <c:idx val="328"/>
            <c:bubble3D val="0"/>
            <c:spPr>
              <a:solidFill>
                <a:srgbClr val="FFAA14"/>
              </a:solidFill>
            </c:spPr>
            <c:extLst>
              <c:ext xmlns:c16="http://schemas.microsoft.com/office/drawing/2014/chart" uri="{C3380CC4-5D6E-409C-BE32-E72D297353CC}">
                <c16:uniqueId val="{00000291-085C-458F-9BEB-3F36C6ADFC53}"/>
              </c:ext>
            </c:extLst>
          </c:dPt>
          <c:dPt>
            <c:idx val="329"/>
            <c:bubble3D val="0"/>
            <c:spPr>
              <a:solidFill>
                <a:srgbClr val="FBEA61"/>
              </a:solidFill>
            </c:spPr>
            <c:extLst>
              <c:ext xmlns:c16="http://schemas.microsoft.com/office/drawing/2014/chart" uri="{C3380CC4-5D6E-409C-BE32-E72D297353CC}">
                <c16:uniqueId val="{00000293-085C-458F-9BEB-3F36C6ADFC53}"/>
              </c:ext>
            </c:extLst>
          </c:dPt>
          <c:dPt>
            <c:idx val="330"/>
            <c:bubble3D val="0"/>
            <c:spPr>
              <a:solidFill>
                <a:srgbClr val="7162AA"/>
              </a:solidFill>
            </c:spPr>
            <c:extLst>
              <c:ext xmlns:c16="http://schemas.microsoft.com/office/drawing/2014/chart" uri="{C3380CC4-5D6E-409C-BE32-E72D297353CC}">
                <c16:uniqueId val="{00000295-085C-458F-9BEB-3F36C6ADFC53}"/>
              </c:ext>
            </c:extLst>
          </c:dPt>
          <c:dPt>
            <c:idx val="331"/>
            <c:bubble3D val="0"/>
            <c:spPr>
              <a:solidFill>
                <a:srgbClr val="45613A"/>
              </a:solidFill>
            </c:spPr>
            <c:extLst>
              <c:ext xmlns:c16="http://schemas.microsoft.com/office/drawing/2014/chart" uri="{C3380CC4-5D6E-409C-BE32-E72D297353CC}">
                <c16:uniqueId val="{00000297-085C-458F-9BEB-3F36C6ADFC53}"/>
              </c:ext>
            </c:extLst>
          </c:dPt>
          <c:dPt>
            <c:idx val="332"/>
            <c:bubble3D val="0"/>
            <c:spPr>
              <a:solidFill>
                <a:srgbClr val="3D0E32"/>
              </a:solidFill>
            </c:spPr>
            <c:extLst>
              <c:ext xmlns:c16="http://schemas.microsoft.com/office/drawing/2014/chart" uri="{C3380CC4-5D6E-409C-BE32-E72D297353CC}">
                <c16:uniqueId val="{00000299-085C-458F-9BEB-3F36C6ADFC53}"/>
              </c:ext>
            </c:extLst>
          </c:dPt>
          <c:dPt>
            <c:idx val="333"/>
            <c:bubble3D val="0"/>
            <c:spPr>
              <a:solidFill>
                <a:srgbClr val="4A4469"/>
              </a:solidFill>
            </c:spPr>
            <c:extLst>
              <c:ext xmlns:c16="http://schemas.microsoft.com/office/drawing/2014/chart" uri="{C3380CC4-5D6E-409C-BE32-E72D297353CC}">
                <c16:uniqueId val="{0000029B-085C-458F-9BEB-3F36C6ADFC53}"/>
              </c:ext>
            </c:extLst>
          </c:dPt>
          <c:dPt>
            <c:idx val="334"/>
            <c:bubble3D val="0"/>
            <c:spPr>
              <a:solidFill>
                <a:srgbClr val="FFD660"/>
              </a:solidFill>
            </c:spPr>
            <c:extLst>
              <c:ext xmlns:c16="http://schemas.microsoft.com/office/drawing/2014/chart" uri="{C3380CC4-5D6E-409C-BE32-E72D297353CC}">
                <c16:uniqueId val="{0000029D-085C-458F-9BEB-3F36C6ADFC53}"/>
              </c:ext>
            </c:extLst>
          </c:dPt>
          <c:dPt>
            <c:idx val="335"/>
            <c:bubble3D val="0"/>
            <c:spPr>
              <a:solidFill>
                <a:srgbClr val="33FE73"/>
              </a:solidFill>
            </c:spPr>
            <c:extLst>
              <c:ext xmlns:c16="http://schemas.microsoft.com/office/drawing/2014/chart" uri="{C3380CC4-5D6E-409C-BE32-E72D297353CC}">
                <c16:uniqueId val="{0000029F-085C-458F-9BEB-3F36C6ADFC53}"/>
              </c:ext>
            </c:extLst>
          </c:dPt>
          <c:dPt>
            <c:idx val="336"/>
            <c:bubble3D val="0"/>
            <c:spPr>
              <a:solidFill>
                <a:srgbClr val="A987AD"/>
              </a:solidFill>
            </c:spPr>
            <c:extLst>
              <c:ext xmlns:c16="http://schemas.microsoft.com/office/drawing/2014/chart" uri="{C3380CC4-5D6E-409C-BE32-E72D297353CC}">
                <c16:uniqueId val="{000002A1-085C-458F-9BEB-3F36C6ADFC53}"/>
              </c:ext>
            </c:extLst>
          </c:dPt>
          <c:dPt>
            <c:idx val="337"/>
            <c:bubble3D val="0"/>
            <c:spPr>
              <a:solidFill>
                <a:srgbClr val="4B9977"/>
              </a:solidFill>
            </c:spPr>
            <c:extLst>
              <c:ext xmlns:c16="http://schemas.microsoft.com/office/drawing/2014/chart" uri="{C3380CC4-5D6E-409C-BE32-E72D297353CC}">
                <c16:uniqueId val="{000002A3-085C-458F-9BEB-3F36C6ADFC53}"/>
              </c:ext>
            </c:extLst>
          </c:dPt>
          <c:dPt>
            <c:idx val="338"/>
            <c:bubble3D val="0"/>
            <c:spPr>
              <a:solidFill>
                <a:srgbClr val="3E227D"/>
              </a:solidFill>
            </c:spPr>
            <c:extLst>
              <c:ext xmlns:c16="http://schemas.microsoft.com/office/drawing/2014/chart" uri="{C3380CC4-5D6E-409C-BE32-E72D297353CC}">
                <c16:uniqueId val="{000002A5-085C-458F-9BEB-3F36C6ADFC53}"/>
              </c:ext>
            </c:extLst>
          </c:dPt>
          <c:dPt>
            <c:idx val="339"/>
            <c:bubble3D val="0"/>
            <c:spPr>
              <a:solidFill>
                <a:srgbClr val="865E9D"/>
              </a:solidFill>
            </c:spPr>
            <c:extLst>
              <c:ext xmlns:c16="http://schemas.microsoft.com/office/drawing/2014/chart" uri="{C3380CC4-5D6E-409C-BE32-E72D297353CC}">
                <c16:uniqueId val="{000002A7-085C-458F-9BEB-3F36C6ADFC53}"/>
              </c:ext>
            </c:extLst>
          </c:dPt>
          <c:dPt>
            <c:idx val="340"/>
            <c:bubble3D val="0"/>
            <c:spPr>
              <a:solidFill>
                <a:srgbClr val="FF02AC"/>
              </a:solidFill>
            </c:spPr>
            <c:extLst>
              <c:ext xmlns:c16="http://schemas.microsoft.com/office/drawing/2014/chart" uri="{C3380CC4-5D6E-409C-BE32-E72D297353CC}">
                <c16:uniqueId val="{000002A9-085C-458F-9BEB-3F36C6ADFC53}"/>
              </c:ext>
            </c:extLst>
          </c:dPt>
          <c:dPt>
            <c:idx val="341"/>
            <c:bubble3D val="0"/>
            <c:spPr>
              <a:solidFill>
                <a:srgbClr val="6A1284"/>
              </a:solidFill>
            </c:spPr>
            <c:extLst>
              <c:ext xmlns:c16="http://schemas.microsoft.com/office/drawing/2014/chart" uri="{C3380CC4-5D6E-409C-BE32-E72D297353CC}">
                <c16:uniqueId val="{000002AB-085C-458F-9BEB-3F36C6ADFC53}"/>
              </c:ext>
            </c:extLst>
          </c:dPt>
          <c:dPt>
            <c:idx val="342"/>
            <c:bubble3D val="0"/>
            <c:spPr>
              <a:solidFill>
                <a:srgbClr val="E2ABB0"/>
              </a:solidFill>
            </c:spPr>
            <c:extLst>
              <c:ext xmlns:c16="http://schemas.microsoft.com/office/drawing/2014/chart" uri="{C3380CC4-5D6E-409C-BE32-E72D297353CC}">
                <c16:uniqueId val="{000002AD-085C-458F-9BEB-3F36C6ADFC53}"/>
              </c:ext>
            </c:extLst>
          </c:dPt>
          <c:dPt>
            <c:idx val="343"/>
            <c:bubble3D val="0"/>
            <c:spPr>
              <a:solidFill>
                <a:srgbClr val="51D2B3"/>
              </a:solidFill>
            </c:spPr>
            <c:extLst>
              <c:ext xmlns:c16="http://schemas.microsoft.com/office/drawing/2014/chart" uri="{C3380CC4-5D6E-409C-BE32-E72D297353CC}">
                <c16:uniqueId val="{000002AF-085C-458F-9BEB-3F36C6ADFC53}"/>
              </c:ext>
            </c:extLst>
          </c:dPt>
          <c:dPt>
            <c:idx val="344"/>
            <c:bubble3D val="0"/>
            <c:spPr>
              <a:solidFill>
                <a:srgbClr val="3F36C8"/>
              </a:solidFill>
            </c:spPr>
            <c:extLst>
              <c:ext xmlns:c16="http://schemas.microsoft.com/office/drawing/2014/chart" uri="{C3380CC4-5D6E-409C-BE32-E72D297353CC}">
                <c16:uniqueId val="{000002B1-085C-458F-9BEB-3F36C6ADFC53}"/>
              </c:ext>
            </c:extLst>
          </c:dPt>
          <c:dPt>
            <c:idx val="345"/>
            <c:bubble3D val="0"/>
            <c:spPr>
              <a:solidFill>
                <a:srgbClr val="C378D0"/>
              </a:solidFill>
            </c:spPr>
            <c:extLst>
              <c:ext xmlns:c16="http://schemas.microsoft.com/office/drawing/2014/chart" uri="{C3380CC4-5D6E-409C-BE32-E72D297353CC}">
                <c16:uniqueId val="{000002B3-085C-458F-9BEB-3F36C6ADFC53}"/>
              </c:ext>
            </c:extLst>
          </c:dPt>
          <c:dPt>
            <c:idx val="346"/>
            <c:bubble3D val="0"/>
            <c:spPr>
              <a:solidFill>
                <a:srgbClr val="FF2EF8"/>
              </a:solidFill>
            </c:spPr>
            <c:extLst>
              <c:ext xmlns:c16="http://schemas.microsoft.com/office/drawing/2014/chart" uri="{C3380CC4-5D6E-409C-BE32-E72D297353CC}">
                <c16:uniqueId val="{000002B5-085C-458F-9BEB-3F36C6ADFC53}"/>
              </c:ext>
            </c:extLst>
          </c:dPt>
          <c:dPt>
            <c:idx val="347"/>
            <c:bubble3D val="0"/>
            <c:spPr>
              <a:solidFill>
                <a:srgbClr val="A22695"/>
              </a:solidFill>
            </c:spPr>
            <c:extLst>
              <c:ext xmlns:c16="http://schemas.microsoft.com/office/drawing/2014/chart" uri="{C3380CC4-5D6E-409C-BE32-E72D297353CC}">
                <c16:uniqueId val="{000002B7-085C-458F-9BEB-3F36C6ADFC53}"/>
              </c:ext>
            </c:extLst>
          </c:dPt>
          <c:dPt>
            <c:idx val="348"/>
            <c:bubble3D val="0"/>
            <c:spPr>
              <a:solidFill>
                <a:srgbClr val="1BD0B3"/>
              </a:solidFill>
            </c:spPr>
            <c:extLst>
              <c:ext xmlns:c16="http://schemas.microsoft.com/office/drawing/2014/chart" uri="{C3380CC4-5D6E-409C-BE32-E72D297353CC}">
                <c16:uniqueId val="{000002B9-085C-458F-9BEB-3F36C6ADFC53}"/>
              </c:ext>
            </c:extLst>
          </c:dPt>
          <c:dPt>
            <c:idx val="349"/>
            <c:bubble3D val="0"/>
            <c:spPr>
              <a:solidFill>
                <a:srgbClr val="570AF0"/>
              </a:solidFill>
            </c:spPr>
            <c:extLst>
              <c:ext xmlns:c16="http://schemas.microsoft.com/office/drawing/2014/chart" uri="{C3380CC4-5D6E-409C-BE32-E72D297353CC}">
                <c16:uniqueId val="{000002BB-085C-458F-9BEB-3F36C6ADFC53}"/>
              </c:ext>
            </c:extLst>
          </c:dPt>
          <c:dPt>
            <c:idx val="350"/>
            <c:bubble3D val="0"/>
            <c:spPr>
              <a:solidFill>
                <a:srgbClr val="414A13"/>
              </a:solidFill>
            </c:spPr>
            <c:extLst>
              <c:ext xmlns:c16="http://schemas.microsoft.com/office/drawing/2014/chart" uri="{C3380CC4-5D6E-409C-BE32-E72D297353CC}">
                <c16:uniqueId val="{000002BD-085C-458F-9BEB-3F36C6ADFC53}"/>
              </c:ext>
            </c:extLst>
          </c:dPt>
          <c:dPt>
            <c:idx val="351"/>
            <c:bubble3D val="0"/>
            <c:spPr>
              <a:solidFill>
                <a:srgbClr val="009204"/>
              </a:solidFill>
            </c:spPr>
            <c:extLst>
              <c:ext xmlns:c16="http://schemas.microsoft.com/office/drawing/2014/chart" uri="{C3380CC4-5D6E-409C-BE32-E72D297353CC}">
                <c16:uniqueId val="{000002BF-085C-458F-9BEB-3F36C6ADFC53}"/>
              </c:ext>
            </c:extLst>
          </c:dPt>
          <c:dPt>
            <c:idx val="352"/>
            <c:bubble3D val="0"/>
            <c:spPr>
              <a:solidFill>
                <a:srgbClr val="FF5945"/>
              </a:solidFill>
            </c:spPr>
            <c:extLst>
              <c:ext xmlns:c16="http://schemas.microsoft.com/office/drawing/2014/chart" uri="{C3380CC4-5D6E-409C-BE32-E72D297353CC}">
                <c16:uniqueId val="{000002C1-085C-458F-9BEB-3F36C6ADFC53}"/>
              </c:ext>
            </c:extLst>
          </c:dPt>
          <c:dPt>
            <c:idx val="353"/>
            <c:bubble3D val="0"/>
            <c:spPr>
              <a:solidFill>
                <a:srgbClr val="D939A6"/>
              </a:solidFill>
            </c:spPr>
            <c:extLst>
              <c:ext xmlns:c16="http://schemas.microsoft.com/office/drawing/2014/chart" uri="{C3380CC4-5D6E-409C-BE32-E72D297353CC}">
                <c16:uniqueId val="{000002C3-085C-458F-9BEB-3F36C6ADFC53}"/>
              </c:ext>
            </c:extLst>
          </c:dPt>
          <c:dPt>
            <c:idx val="354"/>
            <c:bubble3D val="0"/>
            <c:spPr>
              <a:solidFill>
                <a:srgbClr val="53F4B7"/>
              </a:solidFill>
            </c:spPr>
            <c:extLst>
              <c:ext xmlns:c16="http://schemas.microsoft.com/office/drawing/2014/chart" uri="{C3380CC4-5D6E-409C-BE32-E72D297353CC}">
                <c16:uniqueId val="{000002C5-085C-458F-9BEB-3F36C6ADFC53}"/>
              </c:ext>
            </c:extLst>
          </c:dPt>
          <c:dPt>
            <c:idx val="355"/>
            <c:bubble3D val="0"/>
            <c:spPr>
              <a:solidFill>
                <a:srgbClr val="5E432C"/>
              </a:solidFill>
            </c:spPr>
            <c:extLst>
              <c:ext xmlns:c16="http://schemas.microsoft.com/office/drawing/2014/chart" uri="{C3380CC4-5D6E-409C-BE32-E72D297353CC}">
                <c16:uniqueId val="{000002C7-085C-458F-9BEB-3F36C6ADFC53}"/>
              </c:ext>
            </c:extLst>
          </c:dPt>
          <c:dPt>
            <c:idx val="356"/>
            <c:bubble3D val="0"/>
            <c:spPr>
              <a:solidFill>
                <a:srgbClr val="425E5F"/>
              </a:solidFill>
            </c:spPr>
            <c:extLst>
              <c:ext xmlns:c16="http://schemas.microsoft.com/office/drawing/2014/chart" uri="{C3380CC4-5D6E-409C-BE32-E72D297353CC}">
                <c16:uniqueId val="{000002C9-085C-458F-9BEB-3F36C6ADFC53}"/>
              </c:ext>
            </c:extLst>
          </c:dPt>
          <c:dPt>
            <c:idx val="357"/>
            <c:bubble3D val="0"/>
            <c:spPr>
              <a:solidFill>
                <a:srgbClr val="3DAC37"/>
              </a:solidFill>
            </c:spPr>
            <c:extLst>
              <c:ext xmlns:c16="http://schemas.microsoft.com/office/drawing/2014/chart" uri="{C3380CC4-5D6E-409C-BE32-E72D297353CC}">
                <c16:uniqueId val="{000002CB-085C-458F-9BEB-3F36C6ADFC53}"/>
              </c:ext>
            </c:extLst>
          </c:dPt>
          <c:dPt>
            <c:idx val="358"/>
            <c:bubble3D val="0"/>
            <c:spPr>
              <a:solidFill>
                <a:srgbClr val="FF8591"/>
              </a:solidFill>
            </c:spPr>
            <c:extLst>
              <c:ext xmlns:c16="http://schemas.microsoft.com/office/drawing/2014/chart" uri="{C3380CC4-5D6E-409C-BE32-E72D297353CC}">
                <c16:uniqueId val="{000002CD-085C-458F-9BEB-3F36C6ADFC53}"/>
              </c:ext>
            </c:extLst>
          </c:dPt>
          <c:dPt>
            <c:idx val="359"/>
            <c:bubble3D val="0"/>
            <c:spPr>
              <a:solidFill>
                <a:srgbClr val="114DB7"/>
              </a:solidFill>
            </c:spPr>
            <c:extLst>
              <c:ext xmlns:c16="http://schemas.microsoft.com/office/drawing/2014/chart" uri="{C3380CC4-5D6E-409C-BE32-E72D297353CC}">
                <c16:uniqueId val="{000002CF-085C-458F-9BEB-3F36C6ADFC53}"/>
              </c:ext>
            </c:extLst>
          </c:dPt>
          <c:dPt>
            <c:idx val="360"/>
            <c:bubble3D val="0"/>
            <c:spPr>
              <a:solidFill>
                <a:srgbClr val="8C19BA"/>
              </a:solidFill>
            </c:spPr>
            <c:extLst>
              <c:ext xmlns:c16="http://schemas.microsoft.com/office/drawing/2014/chart" uri="{C3380CC4-5D6E-409C-BE32-E72D297353CC}">
                <c16:uniqueId val="{000002D1-085C-458F-9BEB-3F36C6ADFC53}"/>
              </c:ext>
            </c:extLst>
          </c:dPt>
          <c:dPt>
            <c:idx val="361"/>
            <c:bubble3D val="0"/>
            <c:spPr>
              <a:solidFill>
                <a:srgbClr val="647B69"/>
              </a:solidFill>
            </c:spPr>
            <c:extLst>
              <c:ext xmlns:c16="http://schemas.microsoft.com/office/drawing/2014/chart" uri="{C3380CC4-5D6E-409C-BE32-E72D297353CC}">
                <c16:uniqueId val="{000002D3-085C-458F-9BEB-3F36C6ADFC53}"/>
              </c:ext>
            </c:extLst>
          </c:dPt>
          <c:dPt>
            <c:idx val="362"/>
            <c:bubble3D val="0"/>
            <c:spPr>
              <a:solidFill>
                <a:srgbClr val="4372AA"/>
              </a:solidFill>
            </c:spPr>
            <c:extLst>
              <c:ext xmlns:c16="http://schemas.microsoft.com/office/drawing/2014/chart" uri="{C3380CC4-5D6E-409C-BE32-E72D297353CC}">
                <c16:uniqueId val="{000002D5-085C-458F-9BEB-3F36C6ADFC53}"/>
              </c:ext>
            </c:extLst>
          </c:dPt>
          <c:dPt>
            <c:idx val="363"/>
            <c:bubble3D val="0"/>
            <c:spPr>
              <a:solidFill>
                <a:srgbClr val="7AC66B"/>
              </a:solidFill>
            </c:spPr>
            <c:extLst>
              <c:ext xmlns:c16="http://schemas.microsoft.com/office/drawing/2014/chart" uri="{C3380CC4-5D6E-409C-BE32-E72D297353CC}">
                <c16:uniqueId val="{000002D7-085C-458F-9BEB-3F36C6ADFC53}"/>
              </c:ext>
            </c:extLst>
          </c:dPt>
          <c:dPt>
            <c:idx val="364"/>
            <c:bubble3D val="0"/>
            <c:spPr>
              <a:solidFill>
                <a:srgbClr val="FFB1DD"/>
              </a:solidFill>
            </c:spPr>
            <c:extLst>
              <c:ext xmlns:c16="http://schemas.microsoft.com/office/drawing/2014/chart" uri="{C3380CC4-5D6E-409C-BE32-E72D297353CC}">
                <c16:uniqueId val="{000002D9-085C-458F-9BEB-3F36C6ADFC53}"/>
              </c:ext>
            </c:extLst>
          </c:dPt>
          <c:dPt>
            <c:idx val="365"/>
            <c:bubble3D val="0"/>
            <c:spPr>
              <a:solidFill>
                <a:srgbClr val="4861C8"/>
              </a:solidFill>
            </c:spPr>
            <c:extLst>
              <c:ext xmlns:c16="http://schemas.microsoft.com/office/drawing/2014/chart" uri="{C3380CC4-5D6E-409C-BE32-E72D297353CC}">
                <c16:uniqueId val="{000002DB-085C-458F-9BEB-3F36C6ADFC53}"/>
              </c:ext>
            </c:extLst>
          </c:dPt>
          <c:dPt>
            <c:idx val="366"/>
            <c:bubble3D val="0"/>
            <c:spPr>
              <a:solidFill>
                <a:srgbClr val="C53EBD"/>
              </a:solidFill>
            </c:spPr>
            <c:extLst>
              <c:ext xmlns:c16="http://schemas.microsoft.com/office/drawing/2014/chart" uri="{C3380CC4-5D6E-409C-BE32-E72D297353CC}">
                <c16:uniqueId val="{000002DD-085C-458F-9BEB-3F36C6ADFC53}"/>
              </c:ext>
            </c:extLst>
          </c:dPt>
          <c:dPt>
            <c:idx val="367"/>
            <c:bubble3D val="0"/>
            <c:spPr>
              <a:solidFill>
                <a:srgbClr val="6AB3A6"/>
              </a:solidFill>
            </c:spPr>
            <c:extLst>
              <c:ext xmlns:c16="http://schemas.microsoft.com/office/drawing/2014/chart" uri="{C3380CC4-5D6E-409C-BE32-E72D297353CC}">
                <c16:uniqueId val="{000002DF-085C-458F-9BEB-3F36C6ADFC53}"/>
              </c:ext>
            </c:extLst>
          </c:dPt>
          <c:dPt>
            <c:idx val="368"/>
            <c:bubble3D val="0"/>
            <c:spPr>
              <a:solidFill>
                <a:srgbClr val="4486F5"/>
              </a:solidFill>
            </c:spPr>
            <c:extLst>
              <c:ext xmlns:c16="http://schemas.microsoft.com/office/drawing/2014/chart" uri="{C3380CC4-5D6E-409C-BE32-E72D297353CC}">
                <c16:uniqueId val="{000002E1-085C-458F-9BEB-3F36C6ADFC53}"/>
              </c:ext>
            </c:extLst>
          </c:dPt>
          <c:dPt>
            <c:idx val="369"/>
            <c:bubble3D val="0"/>
            <c:spPr>
              <a:solidFill>
                <a:srgbClr val="B7E09F"/>
              </a:solidFill>
            </c:spPr>
            <c:extLst>
              <c:ext xmlns:c16="http://schemas.microsoft.com/office/drawing/2014/chart" uri="{C3380CC4-5D6E-409C-BE32-E72D297353CC}">
                <c16:uniqueId val="{000002E3-085C-458F-9BEB-3F36C6ADFC53}"/>
              </c:ext>
            </c:extLst>
          </c:dPt>
          <c:dPt>
            <c:idx val="370"/>
            <c:bubble3D val="0"/>
            <c:spPr>
              <a:solidFill>
                <a:srgbClr val="FFDD29"/>
              </a:solidFill>
            </c:spPr>
            <c:extLst>
              <c:ext xmlns:c16="http://schemas.microsoft.com/office/drawing/2014/chart" uri="{C3380CC4-5D6E-409C-BE32-E72D297353CC}">
                <c16:uniqueId val="{000002E5-085C-458F-9BEB-3F36C6ADFC53}"/>
              </c:ext>
            </c:extLst>
          </c:dPt>
          <c:dPt>
            <c:idx val="371"/>
            <c:bubble3D val="0"/>
            <c:spPr>
              <a:solidFill>
                <a:srgbClr val="7F75D9"/>
              </a:solidFill>
            </c:spPr>
            <c:extLst>
              <c:ext xmlns:c16="http://schemas.microsoft.com/office/drawing/2014/chart" uri="{C3380CC4-5D6E-409C-BE32-E72D297353CC}">
                <c16:uniqueId val="{000002E7-085C-458F-9BEB-3F36C6ADFC53}"/>
              </c:ext>
            </c:extLst>
          </c:dPt>
          <c:dPt>
            <c:idx val="372"/>
            <c:bubble3D val="0"/>
            <c:spPr>
              <a:solidFill>
                <a:srgbClr val="FD62C1"/>
              </a:solidFill>
            </c:spPr>
            <c:extLst>
              <c:ext xmlns:c16="http://schemas.microsoft.com/office/drawing/2014/chart" uri="{C3380CC4-5D6E-409C-BE32-E72D297353CC}">
                <c16:uniqueId val="{000002E9-085C-458F-9BEB-3F36C6ADFC53}"/>
              </c:ext>
            </c:extLst>
          </c:dPt>
          <c:dPt>
            <c:idx val="373"/>
            <c:bubble3D val="0"/>
            <c:spPr>
              <a:solidFill>
                <a:srgbClr val="71ECE2"/>
              </a:solidFill>
            </c:spPr>
            <c:extLst>
              <c:ext xmlns:c16="http://schemas.microsoft.com/office/drawing/2014/chart" uri="{C3380CC4-5D6E-409C-BE32-E72D297353CC}">
                <c16:uniqueId val="{000002EB-085C-458F-9BEB-3F36C6ADFC53}"/>
              </c:ext>
            </c:extLst>
          </c:dPt>
          <c:dPt>
            <c:idx val="374"/>
            <c:bubble3D val="0"/>
            <c:spPr>
              <a:solidFill>
                <a:srgbClr val="459A41"/>
              </a:solidFill>
            </c:spPr>
            <c:extLst>
              <c:ext xmlns:c16="http://schemas.microsoft.com/office/drawing/2014/chart" uri="{C3380CC4-5D6E-409C-BE32-E72D297353CC}">
                <c16:uniqueId val="{000002ED-085C-458F-9BEB-3F36C6ADFC53}"/>
              </c:ext>
            </c:extLst>
          </c:dPt>
          <c:dPt>
            <c:idx val="375"/>
            <c:bubble3D val="0"/>
            <c:spPr>
              <a:solidFill>
                <a:srgbClr val="F4FAD2"/>
              </a:solidFill>
            </c:spPr>
            <c:extLst>
              <c:ext xmlns:c16="http://schemas.microsoft.com/office/drawing/2014/chart" uri="{C3380CC4-5D6E-409C-BE32-E72D297353CC}">
                <c16:uniqueId val="{000002EF-085C-458F-9BEB-3F36C6ADFC53}"/>
              </c:ext>
            </c:extLst>
          </c:dPt>
          <c:dPt>
            <c:idx val="376"/>
            <c:bubble3D val="0"/>
            <c:spPr>
              <a:solidFill>
                <a:srgbClr val="FF0975"/>
              </a:solidFill>
            </c:spPr>
            <c:extLst>
              <c:ext xmlns:c16="http://schemas.microsoft.com/office/drawing/2014/chart" uri="{C3380CC4-5D6E-409C-BE32-E72D297353CC}">
                <c16:uniqueId val="{000002F1-085C-458F-9BEB-3F36C6ADFC53}"/>
              </c:ext>
            </c:extLst>
          </c:dPt>
          <c:dPt>
            <c:idx val="377"/>
            <c:bubble3D val="0"/>
            <c:spPr>
              <a:solidFill>
                <a:srgbClr val="B789EA"/>
              </a:solidFill>
            </c:spPr>
            <c:extLst>
              <c:ext xmlns:c16="http://schemas.microsoft.com/office/drawing/2014/chart" uri="{C3380CC4-5D6E-409C-BE32-E72D297353CC}">
                <c16:uniqueId val="{000002F3-085C-458F-9BEB-3F36C6ADFC53}"/>
              </c:ext>
            </c:extLst>
          </c:dPt>
          <c:dPt>
            <c:idx val="378"/>
            <c:bubble3D val="0"/>
            <c:spPr>
              <a:solidFill>
                <a:srgbClr val="3687C4"/>
              </a:solidFill>
            </c:spPr>
            <c:extLst>
              <c:ext xmlns:c16="http://schemas.microsoft.com/office/drawing/2014/chart" uri="{C3380CC4-5D6E-409C-BE32-E72D297353CC}">
                <c16:uniqueId val="{000002F5-085C-458F-9BEB-3F36C6ADFC53}"/>
              </c:ext>
            </c:extLst>
          </c:dPt>
          <c:dPt>
            <c:idx val="379"/>
            <c:bubble3D val="0"/>
            <c:spPr>
              <a:solidFill>
                <a:srgbClr val="77241F"/>
              </a:solidFill>
            </c:spPr>
            <c:extLst>
              <c:ext xmlns:c16="http://schemas.microsoft.com/office/drawing/2014/chart" uri="{C3380CC4-5D6E-409C-BE32-E72D297353CC}">
                <c16:uniqueId val="{000002F7-085C-458F-9BEB-3F36C6ADFC53}"/>
              </c:ext>
            </c:extLst>
          </c:dPt>
          <c:dPt>
            <c:idx val="380"/>
            <c:bubble3D val="0"/>
            <c:spPr>
              <a:solidFill>
                <a:srgbClr val="47AE8C"/>
              </a:solidFill>
            </c:spPr>
            <c:extLst>
              <c:ext xmlns:c16="http://schemas.microsoft.com/office/drawing/2014/chart" uri="{C3380CC4-5D6E-409C-BE32-E72D297353CC}">
                <c16:uniqueId val="{000002F9-085C-458F-9BEB-3F36C6ADFC53}"/>
              </c:ext>
            </c:extLst>
          </c:dPt>
          <c:dPt>
            <c:idx val="381"/>
            <c:bubble3D val="0"/>
            <c:spPr>
              <a:solidFill>
                <a:srgbClr val="311406"/>
              </a:solidFill>
            </c:spPr>
            <c:extLst>
              <c:ext xmlns:c16="http://schemas.microsoft.com/office/drawing/2014/chart" uri="{C3380CC4-5D6E-409C-BE32-E72D297353CC}">
                <c16:uniqueId val="{000002FB-085C-458F-9BEB-3F36C6ADFC53}"/>
              </c:ext>
            </c:extLst>
          </c:dPt>
          <c:dPt>
            <c:idx val="382"/>
            <c:bubble3D val="0"/>
            <c:spPr>
              <a:solidFill>
                <a:srgbClr val="FF34C2"/>
              </a:solidFill>
            </c:spPr>
            <c:extLst>
              <c:ext xmlns:c16="http://schemas.microsoft.com/office/drawing/2014/chart" uri="{C3380CC4-5D6E-409C-BE32-E72D297353CC}">
                <c16:uniqueId val="{000002FD-085C-458F-9BEB-3F36C6ADFC53}"/>
              </c:ext>
            </c:extLst>
          </c:dPt>
          <c:dPt>
            <c:idx val="383"/>
            <c:bubble3D val="0"/>
            <c:spPr>
              <a:solidFill>
                <a:srgbClr val="EF9CFB"/>
              </a:solidFill>
            </c:spPr>
            <c:extLst>
              <c:ext xmlns:c16="http://schemas.microsoft.com/office/drawing/2014/chart" uri="{C3380CC4-5D6E-409C-BE32-E72D297353CC}">
                <c16:uniqueId val="{000002FF-085C-458F-9BEB-3F36C6ADFC53}"/>
              </c:ext>
            </c:extLst>
          </c:dPt>
          <c:dPt>
            <c:idx val="384"/>
            <c:bubble3D val="0"/>
            <c:spPr>
              <a:solidFill>
                <a:srgbClr val="6FABC7"/>
              </a:solidFill>
            </c:spPr>
            <c:extLst>
              <c:ext xmlns:c16="http://schemas.microsoft.com/office/drawing/2014/chart" uri="{C3380CC4-5D6E-409C-BE32-E72D297353CC}">
                <c16:uniqueId val="{00000301-085C-458F-9BEB-3F36C6ADFC53}"/>
              </c:ext>
            </c:extLst>
          </c:dPt>
          <c:dPt>
            <c:idx val="385"/>
            <c:bubble3D val="0"/>
            <c:spPr>
              <a:solidFill>
                <a:srgbClr val="7D5D5B"/>
              </a:solidFill>
            </c:spPr>
            <c:extLst>
              <c:ext xmlns:c16="http://schemas.microsoft.com/office/drawing/2014/chart" uri="{C3380CC4-5D6E-409C-BE32-E72D297353CC}">
                <c16:uniqueId val="{00000303-085C-458F-9BEB-3F36C6ADFC53}"/>
              </c:ext>
            </c:extLst>
          </c:dPt>
          <c:dPt>
            <c:idx val="386"/>
            <c:bubble3D val="0"/>
            <c:spPr>
              <a:solidFill>
                <a:srgbClr val="48C2D7"/>
              </a:solidFill>
            </c:spPr>
            <c:extLst>
              <c:ext xmlns:c16="http://schemas.microsoft.com/office/drawing/2014/chart" uri="{C3380CC4-5D6E-409C-BE32-E72D297353CC}">
                <c16:uniqueId val="{00000305-085C-458F-9BEB-3F36C6ADFC53}"/>
              </c:ext>
            </c:extLst>
          </c:dPt>
          <c:dPt>
            <c:idx val="387"/>
            <c:bubble3D val="0"/>
            <c:spPr>
              <a:solidFill>
                <a:srgbClr val="6E2E39"/>
              </a:solidFill>
            </c:spPr>
            <c:extLst>
              <c:ext xmlns:c16="http://schemas.microsoft.com/office/drawing/2014/chart" uri="{C3380CC4-5D6E-409C-BE32-E72D297353CC}">
                <c16:uniqueId val="{00000307-085C-458F-9BEB-3F36C6ADFC53}"/>
              </c:ext>
            </c:extLst>
          </c:dPt>
          <c:dPt>
            <c:idx val="388"/>
            <c:bubble3D val="0"/>
            <c:spPr>
              <a:solidFill>
                <a:srgbClr val="FF600E"/>
              </a:solidFill>
            </c:spPr>
            <c:extLst>
              <c:ext xmlns:c16="http://schemas.microsoft.com/office/drawing/2014/chart" uri="{C3380CC4-5D6E-409C-BE32-E72D297353CC}">
                <c16:uniqueId val="{00000309-085C-458F-9BEB-3F36C6ADFC53}"/>
              </c:ext>
            </c:extLst>
          </c:dPt>
          <c:dPt>
            <c:idx val="389"/>
            <c:bubble3D val="0"/>
            <c:spPr>
              <a:solidFill>
                <a:srgbClr val="26B00C"/>
              </a:solidFill>
            </c:spPr>
            <c:extLst>
              <c:ext xmlns:c16="http://schemas.microsoft.com/office/drawing/2014/chart" uri="{C3380CC4-5D6E-409C-BE32-E72D297353CC}">
                <c16:uniqueId val="{0000030B-085C-458F-9BEB-3F36C6ADFC53}"/>
              </c:ext>
            </c:extLst>
          </c:dPt>
          <c:dPt>
            <c:idx val="390"/>
            <c:bubble3D val="0"/>
            <c:spPr>
              <a:solidFill>
                <a:srgbClr val="A8D0CB"/>
              </a:solidFill>
            </c:spPr>
            <c:extLst>
              <c:ext xmlns:c16="http://schemas.microsoft.com/office/drawing/2014/chart" uri="{C3380CC4-5D6E-409C-BE32-E72D297353CC}">
                <c16:uniqueId val="{0000030D-085C-458F-9BEB-3F36C6ADFC53}"/>
              </c:ext>
            </c:extLst>
          </c:dPt>
          <c:dPt>
            <c:idx val="391"/>
            <c:bubble3D val="0"/>
            <c:spPr>
              <a:solidFill>
                <a:srgbClr val="849598"/>
              </a:solidFill>
            </c:spPr>
            <c:extLst>
              <c:ext xmlns:c16="http://schemas.microsoft.com/office/drawing/2014/chart" uri="{C3380CC4-5D6E-409C-BE32-E72D297353CC}">
                <c16:uniqueId val="{0000030F-085C-458F-9BEB-3F36C6ADFC53}"/>
              </c:ext>
            </c:extLst>
          </c:dPt>
          <c:dPt>
            <c:idx val="392"/>
            <c:bubble3D val="0"/>
            <c:spPr>
              <a:solidFill>
                <a:srgbClr val="49D723"/>
              </a:solidFill>
            </c:spPr>
            <c:extLst>
              <c:ext xmlns:c16="http://schemas.microsoft.com/office/drawing/2014/chart" uri="{C3380CC4-5D6E-409C-BE32-E72D297353CC}">
                <c16:uniqueId val="{00000311-085C-458F-9BEB-3F36C6ADFC53}"/>
              </c:ext>
            </c:extLst>
          </c:dPt>
          <c:dPt>
            <c:idx val="393"/>
            <c:bubble3D val="0"/>
            <c:spPr>
              <a:solidFill>
                <a:srgbClr val="AB496D"/>
              </a:solidFill>
            </c:spPr>
            <c:extLst>
              <c:ext xmlns:c16="http://schemas.microsoft.com/office/drawing/2014/chart" uri="{C3380CC4-5D6E-409C-BE32-E72D297353CC}">
                <c16:uniqueId val="{00000313-085C-458F-9BEB-3F36C6ADFC53}"/>
              </c:ext>
            </c:extLst>
          </c:dPt>
          <c:dPt>
            <c:idx val="394"/>
            <c:bubble3D val="0"/>
            <c:spPr>
              <a:solidFill>
                <a:srgbClr val="FF8C5A"/>
              </a:solidFill>
            </c:spPr>
            <c:extLst>
              <c:ext xmlns:c16="http://schemas.microsoft.com/office/drawing/2014/chart" uri="{C3380CC4-5D6E-409C-BE32-E72D297353CC}">
                <c16:uniqueId val="{00000315-085C-458F-9BEB-3F36C6ADFC53}"/>
              </c:ext>
            </c:extLst>
          </c:dPt>
          <c:dPt>
            <c:idx val="395"/>
            <c:bubble3D val="0"/>
            <c:spPr>
              <a:solidFill>
                <a:srgbClr val="5EC41E"/>
              </a:solidFill>
            </c:spPr>
            <c:extLst>
              <c:ext xmlns:c16="http://schemas.microsoft.com/office/drawing/2014/chart" uri="{C3380CC4-5D6E-409C-BE32-E72D297353CC}">
                <c16:uniqueId val="{00000317-085C-458F-9BEB-3F36C6ADFC53}"/>
              </c:ext>
            </c:extLst>
          </c:dPt>
          <c:dPt>
            <c:idx val="396"/>
            <c:bubble3D val="0"/>
            <c:spPr>
              <a:solidFill>
                <a:srgbClr val="E0F5CE"/>
              </a:solidFill>
            </c:spPr>
            <c:extLst>
              <c:ext xmlns:c16="http://schemas.microsoft.com/office/drawing/2014/chart" uri="{C3380CC4-5D6E-409C-BE32-E72D297353CC}">
                <c16:uniqueId val="{00000319-085C-458F-9BEB-3F36C6ADFC53}"/>
              </c:ext>
            </c:extLst>
          </c:dPt>
          <c:dPt>
            <c:idx val="397"/>
            <c:bubble3D val="0"/>
            <c:spPr>
              <a:solidFill>
                <a:srgbClr val="8ACDD5"/>
              </a:solidFill>
            </c:spPr>
            <c:extLst>
              <c:ext xmlns:c16="http://schemas.microsoft.com/office/drawing/2014/chart" uri="{C3380CC4-5D6E-409C-BE32-E72D297353CC}">
                <c16:uniqueId val="{0000031B-085C-458F-9BEB-3F36C6ADFC53}"/>
              </c:ext>
            </c:extLst>
          </c:dPt>
          <c:dPt>
            <c:idx val="398"/>
            <c:bubble3D val="0"/>
            <c:spPr>
              <a:solidFill>
                <a:srgbClr val="4AEB6E"/>
              </a:solidFill>
            </c:spPr>
            <c:extLst>
              <c:ext xmlns:c16="http://schemas.microsoft.com/office/drawing/2014/chart" uri="{C3380CC4-5D6E-409C-BE32-E72D297353CC}">
                <c16:uniqueId val="{0000031D-085C-458F-9BEB-3F36C6ADFC53}"/>
              </c:ext>
            </c:extLst>
          </c:dPt>
          <c:dPt>
            <c:idx val="399"/>
            <c:bubble3D val="0"/>
            <c:spPr>
              <a:solidFill>
                <a:srgbClr val="E763A1"/>
              </a:solidFill>
            </c:spPr>
            <c:extLst>
              <c:ext xmlns:c16="http://schemas.microsoft.com/office/drawing/2014/chart" uri="{C3380CC4-5D6E-409C-BE32-E72D297353CC}">
                <c16:uniqueId val="{0000031F-085C-458F-9BEB-3F36C6ADFC53}"/>
              </c:ext>
            </c:extLst>
          </c:dPt>
          <c:dPt>
            <c:idx val="400"/>
            <c:bubble3D val="0"/>
            <c:spPr>
              <a:solidFill>
                <a:srgbClr val="FFB8A6"/>
              </a:solidFill>
            </c:spPr>
            <c:extLst>
              <c:ext xmlns:c16="http://schemas.microsoft.com/office/drawing/2014/chart" uri="{C3380CC4-5D6E-409C-BE32-E72D297353CC}">
                <c16:uniqueId val="{00000321-085C-458F-9BEB-3F36C6ADFC53}"/>
              </c:ext>
            </c:extLst>
          </c:dPt>
          <c:dPt>
            <c:idx val="401"/>
            <c:bubble3D val="0"/>
            <c:spPr>
              <a:solidFill>
                <a:srgbClr val="95D82F"/>
              </a:solidFill>
            </c:spPr>
            <c:extLst>
              <c:ext xmlns:c16="http://schemas.microsoft.com/office/drawing/2014/chart" uri="{C3380CC4-5D6E-409C-BE32-E72D297353CC}">
                <c16:uniqueId val="{00000323-085C-458F-9BEB-3F36C6ADFC53}"/>
              </c:ext>
            </c:extLst>
          </c:dPt>
          <c:dPt>
            <c:idx val="402"/>
            <c:bubble3D val="0"/>
            <c:spPr>
              <a:solidFill>
                <a:srgbClr val="1919D1"/>
              </a:solidFill>
            </c:spPr>
            <c:extLst>
              <c:ext xmlns:c16="http://schemas.microsoft.com/office/drawing/2014/chart" uri="{C3380CC4-5D6E-409C-BE32-E72D297353CC}">
                <c16:uniqueId val="{00000325-085C-458F-9BEB-3F36C6ADFC53}"/>
              </c:ext>
            </c:extLst>
          </c:dPt>
          <c:dPt>
            <c:idx val="403"/>
            <c:bubble3D val="0"/>
            <c:spPr>
              <a:solidFill>
                <a:srgbClr val="900611"/>
              </a:solidFill>
            </c:spPr>
            <c:extLst>
              <c:ext xmlns:c16="http://schemas.microsoft.com/office/drawing/2014/chart" uri="{C3380CC4-5D6E-409C-BE32-E72D297353CC}">
                <c16:uniqueId val="{00000327-085C-458F-9BEB-3F36C6ADFC53}"/>
              </c:ext>
            </c:extLst>
          </c:dPt>
          <c:dPt>
            <c:idx val="404"/>
            <c:bubble3D val="0"/>
            <c:spPr>
              <a:solidFill>
                <a:srgbClr val="4BFFB9"/>
              </a:solidFill>
            </c:spPr>
            <c:extLst>
              <c:ext xmlns:c16="http://schemas.microsoft.com/office/drawing/2014/chart" uri="{C3380CC4-5D6E-409C-BE32-E72D297353CC}">
                <c16:uniqueId val="{00000329-085C-458F-9BEB-3F36C6ADFC53}"/>
              </c:ext>
            </c:extLst>
          </c:dPt>
          <c:dPt>
            <c:idx val="405"/>
            <c:bubble3D val="0"/>
            <c:spPr>
              <a:solidFill>
                <a:srgbClr val="247DD4"/>
              </a:solidFill>
            </c:spPr>
            <c:extLst>
              <c:ext xmlns:c16="http://schemas.microsoft.com/office/drawing/2014/chart" uri="{C3380CC4-5D6E-409C-BE32-E72D297353CC}">
                <c16:uniqueId val="{0000032B-085C-458F-9BEB-3F36C6ADFC53}"/>
              </c:ext>
            </c:extLst>
          </c:dPt>
          <c:dPt>
            <c:idx val="406"/>
            <c:bubble3D val="0"/>
            <c:spPr>
              <a:solidFill>
                <a:srgbClr val="FFE4F2"/>
              </a:solidFill>
            </c:spPr>
            <c:extLst>
              <c:ext xmlns:c16="http://schemas.microsoft.com/office/drawing/2014/chart" uri="{C3380CC4-5D6E-409C-BE32-E72D297353CC}">
                <c16:uniqueId val="{0000032D-085C-458F-9BEB-3F36C6ADFC53}"/>
              </c:ext>
            </c:extLst>
          </c:dPt>
          <c:dPt>
            <c:idx val="407"/>
            <c:bubble3D val="0"/>
            <c:spPr>
              <a:solidFill>
                <a:srgbClr val="CDEC40"/>
              </a:solidFill>
            </c:spPr>
            <c:extLst>
              <c:ext xmlns:c16="http://schemas.microsoft.com/office/drawing/2014/chart" uri="{C3380CC4-5D6E-409C-BE32-E72D297353CC}">
                <c16:uniqueId val="{0000032F-085C-458F-9BEB-3F36C6ADFC53}"/>
              </c:ext>
            </c:extLst>
          </c:dPt>
          <c:dPt>
            <c:idx val="408"/>
            <c:bubble3D val="0"/>
            <c:spPr>
              <a:solidFill>
                <a:srgbClr val="523ED4"/>
              </a:solidFill>
            </c:spPr>
            <c:extLst>
              <c:ext xmlns:c16="http://schemas.microsoft.com/office/drawing/2014/chart" uri="{C3380CC4-5D6E-409C-BE32-E72D297353CC}">
                <c16:uniqueId val="{00000331-085C-458F-9BEB-3F36C6ADFC53}"/>
              </c:ext>
            </c:extLst>
          </c:dPt>
          <c:dPt>
            <c:idx val="409"/>
            <c:bubble3D val="0"/>
            <c:spPr>
              <a:solidFill>
                <a:srgbClr val="963E4E"/>
              </a:solidFill>
            </c:spPr>
            <c:extLst>
              <c:ext xmlns:c16="http://schemas.microsoft.com/office/drawing/2014/chart" uri="{C3380CC4-5D6E-409C-BE32-E72D297353CC}">
                <c16:uniqueId val="{00000333-085C-458F-9BEB-3F36C6ADFC53}"/>
              </c:ext>
            </c:extLst>
          </c:dPt>
          <c:dPt>
            <c:idx val="410"/>
            <c:bubble3D val="0"/>
            <c:spPr>
              <a:solidFill>
                <a:srgbClr val="4D1304"/>
              </a:solidFill>
            </c:spPr>
            <c:extLst>
              <c:ext xmlns:c16="http://schemas.microsoft.com/office/drawing/2014/chart" uri="{C3380CC4-5D6E-409C-BE32-E72D297353CC}">
                <c16:uniqueId val="{00000335-085C-458F-9BEB-3F36C6ADFC53}"/>
              </c:ext>
            </c:extLst>
          </c:dPt>
          <c:dPt>
            <c:idx val="411"/>
            <c:bubble3D val="0"/>
            <c:spPr>
              <a:solidFill>
                <a:srgbClr val="619708"/>
              </a:solidFill>
            </c:spPr>
            <c:extLst>
              <c:ext xmlns:c16="http://schemas.microsoft.com/office/drawing/2014/chart" uri="{C3380CC4-5D6E-409C-BE32-E72D297353CC}">
                <c16:uniqueId val="{00000337-085C-458F-9BEB-3F36C6ADFC53}"/>
              </c:ext>
            </c:extLst>
          </c:dPt>
          <c:dPt>
            <c:idx val="412"/>
            <c:bubble3D val="0"/>
            <c:spPr>
              <a:solidFill>
                <a:srgbClr val="FF0F3F"/>
              </a:solidFill>
            </c:spPr>
            <c:extLst>
              <c:ext xmlns:c16="http://schemas.microsoft.com/office/drawing/2014/chart" uri="{C3380CC4-5D6E-409C-BE32-E72D297353CC}">
                <c16:uniqueId val="{00000339-085C-458F-9BEB-3F36C6ADFC53}"/>
              </c:ext>
            </c:extLst>
          </c:dPt>
          <c:dPt>
            <c:idx val="413"/>
            <c:bubble3D val="0"/>
            <c:spPr>
              <a:solidFill>
                <a:srgbClr val="04FF51"/>
              </a:solidFill>
            </c:spPr>
            <c:extLst>
              <c:ext xmlns:c16="http://schemas.microsoft.com/office/drawing/2014/chart" uri="{C3380CC4-5D6E-409C-BE32-E72D297353CC}">
                <c16:uniqueId val="{0000033B-085C-458F-9BEB-3F36C6ADFC53}"/>
              </c:ext>
            </c:extLst>
          </c:dPt>
          <c:dPt>
            <c:idx val="414"/>
            <c:bubble3D val="0"/>
            <c:spPr>
              <a:solidFill>
                <a:srgbClr val="8A62D8"/>
              </a:solidFill>
            </c:spPr>
            <c:extLst>
              <c:ext xmlns:c16="http://schemas.microsoft.com/office/drawing/2014/chart" uri="{C3380CC4-5D6E-409C-BE32-E72D297353CC}">
                <c16:uniqueId val="{0000033D-085C-458F-9BEB-3F36C6ADFC53}"/>
              </c:ext>
            </c:extLst>
          </c:dPt>
          <c:dPt>
            <c:idx val="415"/>
            <c:bubble3D val="0"/>
            <c:spPr>
              <a:solidFill>
                <a:srgbClr val="9D778A"/>
              </a:solidFill>
            </c:spPr>
            <c:extLst>
              <c:ext xmlns:c16="http://schemas.microsoft.com/office/drawing/2014/chart" uri="{C3380CC4-5D6E-409C-BE32-E72D297353CC}">
                <c16:uniqueId val="{0000033F-085C-458F-9BEB-3F36C6ADFC53}"/>
              </c:ext>
            </c:extLst>
          </c:dPt>
          <c:dPt>
            <c:idx val="416"/>
            <c:bubble3D val="0"/>
            <c:spPr>
              <a:solidFill>
                <a:srgbClr val="4E2750"/>
              </a:solidFill>
            </c:spPr>
            <c:extLst>
              <c:ext xmlns:c16="http://schemas.microsoft.com/office/drawing/2014/chart" uri="{C3380CC4-5D6E-409C-BE32-E72D297353CC}">
                <c16:uniqueId val="{00000341-085C-458F-9BEB-3F36C6ADFC53}"/>
              </c:ext>
            </c:extLst>
          </c:dPt>
          <c:dPt>
            <c:idx val="417"/>
            <c:bubble3D val="0"/>
            <c:spPr>
              <a:solidFill>
                <a:srgbClr val="9EB13B"/>
              </a:solidFill>
            </c:spPr>
            <c:extLst>
              <c:ext xmlns:c16="http://schemas.microsoft.com/office/drawing/2014/chart" uri="{C3380CC4-5D6E-409C-BE32-E72D297353CC}">
                <c16:uniqueId val="{00000343-085C-458F-9BEB-3F36C6ADFC53}"/>
              </c:ext>
            </c:extLst>
          </c:dPt>
          <c:dPt>
            <c:idx val="418"/>
            <c:bubble3D val="0"/>
            <c:spPr>
              <a:solidFill>
                <a:srgbClr val="FF3B8B"/>
              </a:solidFill>
            </c:spPr>
            <c:extLst>
              <c:ext xmlns:c16="http://schemas.microsoft.com/office/drawing/2014/chart" uri="{C3380CC4-5D6E-409C-BE32-E72D297353CC}">
                <c16:uniqueId val="{00000345-085C-458F-9BEB-3F36C6ADFC53}"/>
              </c:ext>
            </c:extLst>
          </c:dPt>
          <c:dPt>
            <c:idx val="419"/>
            <c:bubble3D val="0"/>
            <c:spPr>
              <a:solidFill>
                <a:srgbClr val="3C1362"/>
              </a:solidFill>
            </c:spPr>
            <c:extLst>
              <c:ext xmlns:c16="http://schemas.microsoft.com/office/drawing/2014/chart" uri="{C3380CC4-5D6E-409C-BE32-E72D297353CC}">
                <c16:uniqueId val="{00000347-085C-458F-9BEB-3F36C6ADFC53}"/>
              </c:ext>
            </c:extLst>
          </c:dPt>
          <c:dPt>
            <c:idx val="420"/>
            <c:bubble3D val="0"/>
            <c:spPr>
              <a:solidFill>
                <a:srgbClr val="C387DB"/>
              </a:solidFill>
            </c:spPr>
            <c:extLst>
              <c:ext xmlns:c16="http://schemas.microsoft.com/office/drawing/2014/chart" uri="{C3380CC4-5D6E-409C-BE32-E72D297353CC}">
                <c16:uniqueId val="{00000349-085C-458F-9BEB-3F36C6ADFC53}"/>
              </c:ext>
            </c:extLst>
          </c:dPt>
          <c:dPt>
            <c:idx val="421"/>
            <c:bubble3D val="0"/>
            <c:spPr>
              <a:solidFill>
                <a:srgbClr val="A3AFC7"/>
              </a:solidFill>
            </c:spPr>
            <c:extLst>
              <c:ext xmlns:c16="http://schemas.microsoft.com/office/drawing/2014/chart" uri="{C3380CC4-5D6E-409C-BE32-E72D297353CC}">
                <c16:uniqueId val="{0000034B-085C-458F-9BEB-3F36C6ADFC53}"/>
              </c:ext>
            </c:extLst>
          </c:dPt>
          <c:dPt>
            <c:idx val="422"/>
            <c:bubble3D val="0"/>
            <c:spPr>
              <a:solidFill>
                <a:srgbClr val="4F3B9B"/>
              </a:solidFill>
            </c:spPr>
            <c:extLst>
              <c:ext xmlns:c16="http://schemas.microsoft.com/office/drawing/2014/chart" uri="{C3380CC4-5D6E-409C-BE32-E72D297353CC}">
                <c16:uniqueId val="{0000034D-085C-458F-9BEB-3F36C6ADFC53}"/>
              </c:ext>
            </c:extLst>
          </c:dPt>
          <c:dPt>
            <c:idx val="423"/>
            <c:bubble3D val="0"/>
            <c:spPr>
              <a:solidFill>
                <a:srgbClr val="DBCB6F"/>
              </a:solidFill>
            </c:spPr>
            <c:extLst>
              <c:ext xmlns:c16="http://schemas.microsoft.com/office/drawing/2014/chart" uri="{C3380CC4-5D6E-409C-BE32-E72D297353CC}">
                <c16:uniqueId val="{0000034F-085C-458F-9BEB-3F36C6ADFC53}"/>
              </c:ext>
            </c:extLst>
          </c:dPt>
          <c:dPt>
            <c:idx val="424"/>
            <c:bubble3D val="0"/>
            <c:spPr>
              <a:solidFill>
                <a:srgbClr val="FF67D7"/>
              </a:solidFill>
            </c:spPr>
            <c:extLst>
              <c:ext xmlns:c16="http://schemas.microsoft.com/office/drawing/2014/chart" uri="{C3380CC4-5D6E-409C-BE32-E72D297353CC}">
                <c16:uniqueId val="{00000351-085C-458F-9BEB-3F36C6ADFC53}"/>
              </c:ext>
            </c:extLst>
          </c:dPt>
          <c:dPt>
            <c:idx val="425"/>
            <c:bubble3D val="0"/>
            <c:spPr>
              <a:solidFill>
                <a:srgbClr val="732773"/>
              </a:solidFill>
            </c:spPr>
            <c:extLst>
              <c:ext xmlns:c16="http://schemas.microsoft.com/office/drawing/2014/chart" uri="{C3380CC4-5D6E-409C-BE32-E72D297353CC}">
                <c16:uniqueId val="{00000353-085C-458F-9BEB-3F36C6ADFC53}"/>
              </c:ext>
            </c:extLst>
          </c:dPt>
          <c:dPt>
            <c:idx val="426"/>
            <c:bubble3D val="0"/>
            <c:spPr>
              <a:solidFill>
                <a:srgbClr val="FCACDE"/>
              </a:solidFill>
            </c:spPr>
            <c:extLst>
              <c:ext xmlns:c16="http://schemas.microsoft.com/office/drawing/2014/chart" uri="{C3380CC4-5D6E-409C-BE32-E72D297353CC}">
                <c16:uniqueId val="{00000355-085C-458F-9BEB-3F36C6ADFC53}"/>
              </c:ext>
            </c:extLst>
          </c:dPt>
          <c:dPt>
            <c:idx val="427"/>
            <c:bubble3D val="0"/>
            <c:spPr>
              <a:solidFill>
                <a:srgbClr val="A9E704"/>
              </a:solidFill>
            </c:spPr>
            <c:extLst>
              <c:ext xmlns:c16="http://schemas.microsoft.com/office/drawing/2014/chart" uri="{C3380CC4-5D6E-409C-BE32-E72D297353CC}">
                <c16:uniqueId val="{00000357-085C-458F-9BEB-3F36C6ADFC53}"/>
              </c:ext>
            </c:extLst>
          </c:dPt>
          <c:dPt>
            <c:idx val="428"/>
            <c:bubble3D val="0"/>
            <c:spPr>
              <a:solidFill>
                <a:srgbClr val="504FE6"/>
              </a:solidFill>
            </c:spPr>
            <c:extLst>
              <c:ext xmlns:c16="http://schemas.microsoft.com/office/drawing/2014/chart" uri="{C3380CC4-5D6E-409C-BE32-E72D297353CC}">
                <c16:uniqueId val="{00000359-085C-458F-9BEB-3F36C6ADFC53}"/>
              </c:ext>
            </c:extLst>
          </c:dPt>
          <c:dPt>
            <c:idx val="429"/>
            <c:bubble3D val="0"/>
            <c:spPr>
              <a:solidFill>
                <a:srgbClr val="18E5A3"/>
              </a:solidFill>
            </c:spPr>
            <c:extLst>
              <c:ext xmlns:c16="http://schemas.microsoft.com/office/drawing/2014/chart" uri="{C3380CC4-5D6E-409C-BE32-E72D297353CC}">
                <c16:uniqueId val="{0000035B-085C-458F-9BEB-3F36C6ADFC53}"/>
              </c:ext>
            </c:extLst>
          </c:dPt>
          <c:dPt>
            <c:idx val="430"/>
            <c:bubble3D val="0"/>
            <c:spPr>
              <a:solidFill>
                <a:srgbClr val="FF9323"/>
              </a:solidFill>
            </c:spPr>
            <c:extLst>
              <c:ext xmlns:c16="http://schemas.microsoft.com/office/drawing/2014/chart" uri="{C3380CC4-5D6E-409C-BE32-E72D297353CC}">
                <c16:uniqueId val="{0000035D-085C-458F-9BEB-3F36C6ADFC53}"/>
              </c:ext>
            </c:extLst>
          </c:dPt>
          <c:dPt>
            <c:idx val="431"/>
            <c:bubble3D val="0"/>
            <c:spPr>
              <a:solidFill>
                <a:srgbClr val="AA3B84"/>
              </a:solidFill>
            </c:spPr>
            <c:extLst>
              <c:ext xmlns:c16="http://schemas.microsoft.com/office/drawing/2014/chart" uri="{C3380CC4-5D6E-409C-BE32-E72D297353CC}">
                <c16:uniqueId val="{0000035F-085C-458F-9BEB-3F36C6ADFC53}"/>
              </c:ext>
            </c:extLst>
          </c:dPt>
          <c:dPt>
            <c:idx val="432"/>
            <c:bubble3D val="0"/>
            <c:spPr>
              <a:solidFill>
                <a:srgbClr val="34D0E2"/>
              </a:solidFill>
            </c:spPr>
            <c:extLst>
              <c:ext xmlns:c16="http://schemas.microsoft.com/office/drawing/2014/chart" uri="{C3380CC4-5D6E-409C-BE32-E72D297353CC}">
                <c16:uniqueId val="{00000361-085C-458F-9BEB-3F36C6ADFC53}"/>
              </c:ext>
            </c:extLst>
          </c:dPt>
          <c:dPt>
            <c:idx val="433"/>
            <c:bubble3D val="0"/>
            <c:spPr>
              <a:solidFill>
                <a:srgbClr val="B02040"/>
              </a:solidFill>
            </c:spPr>
            <c:extLst>
              <c:ext xmlns:c16="http://schemas.microsoft.com/office/drawing/2014/chart" uri="{C3380CC4-5D6E-409C-BE32-E72D297353CC}">
                <c16:uniqueId val="{00000363-085C-458F-9BEB-3F36C6ADFC53}"/>
              </c:ext>
            </c:extLst>
          </c:dPt>
          <c:dPt>
            <c:idx val="434"/>
            <c:bubble3D val="0"/>
            <c:spPr>
              <a:solidFill>
                <a:srgbClr val="516332"/>
              </a:solidFill>
            </c:spPr>
            <c:extLst>
              <c:ext xmlns:c16="http://schemas.microsoft.com/office/drawing/2014/chart" uri="{C3380CC4-5D6E-409C-BE32-E72D297353CC}">
                <c16:uniqueId val="{00000365-085C-458F-9BEB-3F36C6ADFC53}"/>
              </c:ext>
            </c:extLst>
          </c:dPt>
          <c:dPt>
            <c:idx val="435"/>
            <c:bubble3D val="0"/>
            <c:spPr>
              <a:solidFill>
                <a:srgbClr val="55FFD6"/>
              </a:solidFill>
            </c:spPr>
            <c:extLst>
              <c:ext xmlns:c16="http://schemas.microsoft.com/office/drawing/2014/chart" uri="{C3380CC4-5D6E-409C-BE32-E72D297353CC}">
                <c16:uniqueId val="{00000367-085C-458F-9BEB-3F36C6ADFC53}"/>
              </c:ext>
            </c:extLst>
          </c:dPt>
          <c:dPt>
            <c:idx val="436"/>
            <c:bubble3D val="0"/>
            <c:spPr>
              <a:solidFill>
                <a:srgbClr val="FFBF6F"/>
              </a:solidFill>
            </c:spPr>
            <c:extLst>
              <c:ext xmlns:c16="http://schemas.microsoft.com/office/drawing/2014/chart" uri="{C3380CC4-5D6E-409C-BE32-E72D297353CC}">
                <c16:uniqueId val="{00000369-085C-458F-9BEB-3F36C6ADFC53}"/>
              </c:ext>
            </c:extLst>
          </c:dPt>
          <c:dPt>
            <c:idx val="437"/>
            <c:bubble3D val="0"/>
            <c:spPr>
              <a:solidFill>
                <a:srgbClr val="E24F95"/>
              </a:solidFill>
            </c:spPr>
            <c:extLst>
              <c:ext xmlns:c16="http://schemas.microsoft.com/office/drawing/2014/chart" uri="{C3380CC4-5D6E-409C-BE32-E72D297353CC}">
                <c16:uniqueId val="{0000036B-085C-458F-9BEB-3F36C6ADFC53}"/>
              </c:ext>
            </c:extLst>
          </c:dPt>
          <c:dPt>
            <c:idx val="438"/>
            <c:bubble3D val="0"/>
            <c:spPr>
              <a:solidFill>
                <a:srgbClr val="6DF5E5"/>
              </a:solidFill>
            </c:spPr>
            <c:extLst>
              <c:ext xmlns:c16="http://schemas.microsoft.com/office/drawing/2014/chart" uri="{C3380CC4-5D6E-409C-BE32-E72D297353CC}">
                <c16:uniqueId val="{0000036D-085C-458F-9BEB-3F36C6ADFC53}"/>
              </c:ext>
            </c:extLst>
          </c:dPt>
          <c:dPt>
            <c:idx val="439"/>
            <c:bubble3D val="0"/>
            <c:spPr>
              <a:solidFill>
                <a:srgbClr val="B6587D"/>
              </a:solidFill>
            </c:spPr>
            <c:extLst>
              <c:ext xmlns:c16="http://schemas.microsoft.com/office/drawing/2014/chart" uri="{C3380CC4-5D6E-409C-BE32-E72D297353CC}">
                <c16:uniqueId val="{0000036F-085C-458F-9BEB-3F36C6ADFC53}"/>
              </c:ext>
            </c:extLst>
          </c:dPt>
          <c:dPt>
            <c:idx val="440"/>
            <c:bubble3D val="0"/>
            <c:spPr>
              <a:solidFill>
                <a:srgbClr val="53777D"/>
              </a:solidFill>
            </c:spPr>
            <c:extLst>
              <c:ext xmlns:c16="http://schemas.microsoft.com/office/drawing/2014/chart" uri="{C3380CC4-5D6E-409C-BE32-E72D297353CC}">
                <c16:uniqueId val="{00000371-085C-458F-9BEB-3F36C6ADFC53}"/>
              </c:ext>
            </c:extLst>
          </c:dPt>
          <c:dPt>
            <c:idx val="441"/>
            <c:bubble3D val="0"/>
            <c:spPr>
              <a:solidFill>
                <a:srgbClr val="92190A"/>
              </a:solidFill>
            </c:spPr>
            <c:extLst>
              <c:ext xmlns:c16="http://schemas.microsoft.com/office/drawing/2014/chart" uri="{C3380CC4-5D6E-409C-BE32-E72D297353CC}">
                <c16:uniqueId val="{00000373-085C-458F-9BEB-3F36C6ADFC53}"/>
              </c:ext>
            </c:extLst>
          </c:dPt>
          <c:dPt>
            <c:idx val="442"/>
            <c:bubble3D val="0"/>
            <c:spPr>
              <a:solidFill>
                <a:srgbClr val="FFEABC"/>
              </a:solidFill>
            </c:spPr>
            <c:extLst>
              <c:ext xmlns:c16="http://schemas.microsoft.com/office/drawing/2014/chart" uri="{C3380CC4-5D6E-409C-BE32-E72D297353CC}">
                <c16:uniqueId val="{00000375-085C-458F-9BEB-3F36C6ADFC53}"/>
              </c:ext>
            </c:extLst>
          </c:dPt>
          <c:dPt>
            <c:idx val="443"/>
            <c:bubble3D val="0"/>
            <c:spPr>
              <a:solidFill>
                <a:srgbClr val="1A62A6"/>
              </a:solidFill>
            </c:spPr>
            <c:extLst>
              <c:ext xmlns:c16="http://schemas.microsoft.com/office/drawing/2014/chart" uri="{C3380CC4-5D6E-409C-BE32-E72D297353CC}">
                <c16:uniqueId val="{00000377-085C-458F-9BEB-3F36C6ADFC53}"/>
              </c:ext>
            </c:extLst>
          </c:dPt>
          <c:dPt>
            <c:idx val="444"/>
            <c:bubble3D val="0"/>
            <c:spPr>
              <a:solidFill>
                <a:srgbClr val="A619E8"/>
              </a:solidFill>
            </c:spPr>
            <c:extLst>
              <c:ext xmlns:c16="http://schemas.microsoft.com/office/drawing/2014/chart" uri="{C3380CC4-5D6E-409C-BE32-E72D297353CC}">
                <c16:uniqueId val="{00000379-085C-458F-9BEB-3F36C6ADFC53}"/>
              </c:ext>
            </c:extLst>
          </c:dPt>
          <c:dPt>
            <c:idx val="445"/>
            <c:bubble3D val="0"/>
            <c:spPr>
              <a:solidFill>
                <a:srgbClr val="BC91B9"/>
              </a:solidFill>
            </c:spPr>
            <c:extLst>
              <c:ext xmlns:c16="http://schemas.microsoft.com/office/drawing/2014/chart" uri="{C3380CC4-5D6E-409C-BE32-E72D297353CC}">
                <c16:uniqueId val="{0000037B-085C-458F-9BEB-3F36C6ADFC53}"/>
              </c:ext>
            </c:extLst>
          </c:dPt>
          <c:dPt>
            <c:idx val="446"/>
            <c:bubble3D val="0"/>
            <c:spPr>
              <a:solidFill>
                <a:srgbClr val="548BC8"/>
              </a:solidFill>
            </c:spPr>
            <c:extLst>
              <c:ext xmlns:c16="http://schemas.microsoft.com/office/drawing/2014/chart" uri="{C3380CC4-5D6E-409C-BE32-E72D297353CC}">
                <c16:uniqueId val="{0000037D-085C-458F-9BEB-3F36C6ADFC53}"/>
              </c:ext>
            </c:extLst>
          </c:dPt>
          <c:dPt>
            <c:idx val="447"/>
            <c:bubble3D val="0"/>
            <c:spPr>
              <a:solidFill>
                <a:srgbClr val="CF333D"/>
              </a:solidFill>
            </c:spPr>
            <c:extLst>
              <c:ext xmlns:c16="http://schemas.microsoft.com/office/drawing/2014/chart" uri="{C3380CC4-5D6E-409C-BE32-E72D297353CC}">
                <c16:uniqueId val="{0000037F-085C-458F-9BEB-3F36C6ADFC53}"/>
              </c:ext>
            </c:extLst>
          </c:dPt>
          <c:dPt>
            <c:idx val="448"/>
            <c:bubble3D val="0"/>
            <c:spPr>
              <a:solidFill>
                <a:srgbClr val="FF1608"/>
              </a:solidFill>
            </c:spPr>
            <c:extLst>
              <c:ext xmlns:c16="http://schemas.microsoft.com/office/drawing/2014/chart" uri="{C3380CC4-5D6E-409C-BE32-E72D297353CC}">
                <c16:uniqueId val="{00000381-085C-458F-9BEB-3F36C6ADFC53}"/>
              </c:ext>
            </c:extLst>
          </c:dPt>
          <c:dPt>
            <c:idx val="449"/>
            <c:bubble3D val="0"/>
            <c:spPr>
              <a:solidFill>
                <a:srgbClr val="5176B7"/>
              </a:solidFill>
            </c:spPr>
            <c:extLst>
              <c:ext xmlns:c16="http://schemas.microsoft.com/office/drawing/2014/chart" uri="{C3380CC4-5D6E-409C-BE32-E72D297353CC}">
                <c16:uniqueId val="{00000383-085C-458F-9BEB-3F36C6ADFC53}"/>
              </c:ext>
            </c:extLst>
          </c:dPt>
          <c:dPt>
            <c:idx val="450"/>
            <c:bubble3D val="0"/>
            <c:spPr>
              <a:solidFill>
                <a:srgbClr val="DF3EEC"/>
              </a:solidFill>
            </c:spPr>
            <c:extLst>
              <c:ext xmlns:c16="http://schemas.microsoft.com/office/drawing/2014/chart" uri="{C3380CC4-5D6E-409C-BE32-E72D297353CC}">
                <c16:uniqueId val="{00000385-085C-458F-9BEB-3F36C6ADFC53}"/>
              </c:ext>
            </c:extLst>
          </c:dPt>
          <c:dPt>
            <c:idx val="451"/>
            <c:bubble3D val="0"/>
            <c:spPr>
              <a:solidFill>
                <a:srgbClr val="C3C9F6"/>
              </a:solidFill>
            </c:spPr>
            <c:extLst>
              <c:ext xmlns:c16="http://schemas.microsoft.com/office/drawing/2014/chart" uri="{C3380CC4-5D6E-409C-BE32-E72D297353CC}">
                <c16:uniqueId val="{00000387-085C-458F-9BEB-3F36C6ADFC53}"/>
              </c:ext>
            </c:extLst>
          </c:dPt>
          <c:dPt>
            <c:idx val="452"/>
            <c:bubble3D val="0"/>
            <c:spPr>
              <a:solidFill>
                <a:srgbClr val="55A014"/>
              </a:solidFill>
            </c:spPr>
            <c:extLst>
              <c:ext xmlns:c16="http://schemas.microsoft.com/office/drawing/2014/chart" uri="{C3380CC4-5D6E-409C-BE32-E72D297353CC}">
                <c16:uniqueId val="{00000389-085C-458F-9BEB-3F36C6ADFC53}"/>
              </c:ext>
            </c:extLst>
          </c:dPt>
          <c:dPt>
            <c:idx val="453"/>
            <c:bubble3D val="0"/>
            <c:spPr>
              <a:solidFill>
                <a:srgbClr val="0C4E71"/>
              </a:solidFill>
            </c:spPr>
            <c:extLst>
              <c:ext xmlns:c16="http://schemas.microsoft.com/office/drawing/2014/chart" uri="{C3380CC4-5D6E-409C-BE32-E72D297353CC}">
                <c16:uniqueId val="{0000038B-085C-458F-9BEB-3F36C6ADFC53}"/>
              </c:ext>
            </c:extLst>
          </c:dPt>
          <c:dPt>
            <c:idx val="454"/>
            <c:bubble3D val="0"/>
            <c:spPr>
              <a:solidFill>
                <a:srgbClr val="FF4254"/>
              </a:solidFill>
            </c:spPr>
            <c:extLst>
              <c:ext xmlns:c16="http://schemas.microsoft.com/office/drawing/2014/chart" uri="{C3380CC4-5D6E-409C-BE32-E72D297353CC}">
                <c16:uniqueId val="{0000038D-085C-458F-9BEB-3F36C6ADFC53}"/>
              </c:ext>
            </c:extLst>
          </c:dPt>
          <c:dPt>
            <c:idx val="455"/>
            <c:bubble3D val="0"/>
            <c:spPr>
              <a:solidFill>
                <a:srgbClr val="898AC9"/>
              </a:solidFill>
            </c:spPr>
            <c:extLst>
              <c:ext xmlns:c16="http://schemas.microsoft.com/office/drawing/2014/chart" uri="{C3380CC4-5D6E-409C-BE32-E72D297353CC}">
                <c16:uniqueId val="{0000038F-085C-458F-9BEB-3F36C6ADFC53}"/>
              </c:ext>
            </c:extLst>
          </c:dPt>
          <c:dPt>
            <c:idx val="456"/>
            <c:bubble3D val="0"/>
            <c:spPr>
              <a:solidFill>
                <a:srgbClr val="1763EF"/>
              </a:solidFill>
            </c:spPr>
            <c:extLst>
              <c:ext xmlns:c16="http://schemas.microsoft.com/office/drawing/2014/chart" uri="{C3380CC4-5D6E-409C-BE32-E72D297353CC}">
                <c16:uniqueId val="{00000391-085C-458F-9BEB-3F36C6ADFC53}"/>
              </c:ext>
            </c:extLst>
          </c:dPt>
          <c:dPt>
            <c:idx val="457"/>
            <c:bubble3D val="0"/>
            <c:spPr>
              <a:solidFill>
                <a:srgbClr val="C90133"/>
              </a:solidFill>
            </c:spPr>
            <c:extLst>
              <c:ext xmlns:c16="http://schemas.microsoft.com/office/drawing/2014/chart" uri="{C3380CC4-5D6E-409C-BE32-E72D297353CC}">
                <c16:uniqueId val="{00000393-085C-458F-9BEB-3F36C6ADFC53}"/>
              </c:ext>
            </c:extLst>
          </c:dPt>
          <c:dPt>
            <c:idx val="458"/>
            <c:bubble3D val="0"/>
            <c:spPr>
              <a:solidFill>
                <a:srgbClr val="56B45F"/>
              </a:solidFill>
            </c:spPr>
            <c:extLst>
              <c:ext xmlns:c16="http://schemas.microsoft.com/office/drawing/2014/chart" uri="{C3380CC4-5D6E-409C-BE32-E72D297353CC}">
                <c16:uniqueId val="{00000395-085C-458F-9BEB-3F36C6ADFC53}"/>
              </c:ext>
            </c:extLst>
          </c:dPt>
          <c:dPt>
            <c:idx val="459"/>
            <c:bubble3D val="0"/>
            <c:spPr>
              <a:solidFill>
                <a:srgbClr val="4868A5"/>
              </a:solidFill>
            </c:spPr>
            <c:extLst>
              <c:ext xmlns:c16="http://schemas.microsoft.com/office/drawing/2014/chart" uri="{C3380CC4-5D6E-409C-BE32-E72D297353CC}">
                <c16:uniqueId val="{00000397-085C-458F-9BEB-3F36C6ADFC53}"/>
              </c:ext>
            </c:extLst>
          </c:dPt>
          <c:dPt>
            <c:idx val="460"/>
            <c:bubble3D val="0"/>
            <c:spPr>
              <a:solidFill>
                <a:srgbClr val="FF6EA0"/>
              </a:solidFill>
            </c:spPr>
            <c:extLst>
              <c:ext xmlns:c16="http://schemas.microsoft.com/office/drawing/2014/chart" uri="{C3380CC4-5D6E-409C-BE32-E72D297353CC}">
                <c16:uniqueId val="{00000399-085C-458F-9BEB-3F36C6ADFC53}"/>
              </c:ext>
            </c:extLst>
          </c:dPt>
          <c:dPt>
            <c:idx val="461"/>
            <c:bubble3D val="0"/>
            <c:spPr>
              <a:solidFill>
                <a:srgbClr val="C09EDA"/>
              </a:solidFill>
            </c:spPr>
            <c:extLst>
              <c:ext xmlns:c16="http://schemas.microsoft.com/office/drawing/2014/chart" uri="{C3380CC4-5D6E-409C-BE32-E72D297353CC}">
                <c16:uniqueId val="{0000039B-085C-458F-9BEB-3F36C6ADFC53}"/>
              </c:ext>
            </c:extLst>
          </c:dPt>
          <c:dPt>
            <c:idx val="462"/>
            <c:bubble3D val="0"/>
            <c:spPr>
              <a:solidFill>
                <a:srgbClr val="5087F2"/>
              </a:solidFill>
            </c:spPr>
            <c:extLst>
              <c:ext xmlns:c16="http://schemas.microsoft.com/office/drawing/2014/chart" uri="{C3380CC4-5D6E-409C-BE32-E72D297353CC}">
                <c16:uniqueId val="{0000039D-085C-458F-9BEB-3F36C6ADFC53}"/>
              </c:ext>
            </c:extLst>
          </c:dPt>
          <c:dPt>
            <c:idx val="463"/>
            <c:bubble3D val="0"/>
            <c:spPr>
              <a:solidFill>
                <a:srgbClr val="CF3A6F"/>
              </a:solidFill>
            </c:spPr>
            <c:extLst>
              <c:ext xmlns:c16="http://schemas.microsoft.com/office/drawing/2014/chart" uri="{C3380CC4-5D6E-409C-BE32-E72D297353CC}">
                <c16:uniqueId val="{0000039F-085C-458F-9BEB-3F36C6ADFC53}"/>
              </c:ext>
            </c:extLst>
          </c:dPt>
          <c:dPt>
            <c:idx val="464"/>
            <c:bubble3D val="0"/>
            <c:spPr>
              <a:solidFill>
                <a:srgbClr val="57C8AA"/>
              </a:solidFill>
            </c:spPr>
            <c:extLst>
              <c:ext xmlns:c16="http://schemas.microsoft.com/office/drawing/2014/chart" uri="{C3380CC4-5D6E-409C-BE32-E72D297353CC}">
                <c16:uniqueId val="{000003A1-085C-458F-9BEB-3F36C6ADFC53}"/>
              </c:ext>
            </c:extLst>
          </c:dPt>
          <c:dPt>
            <c:idx val="465"/>
            <c:bubble3D val="0"/>
            <c:spPr>
              <a:solidFill>
                <a:srgbClr val="8582D8"/>
              </a:solidFill>
            </c:spPr>
            <c:extLst>
              <c:ext xmlns:c16="http://schemas.microsoft.com/office/drawing/2014/chart" uri="{C3380CC4-5D6E-409C-BE32-E72D297353CC}">
                <c16:uniqueId val="{000003A3-085C-458F-9BEB-3F36C6ADFC53}"/>
              </c:ext>
            </c:extLst>
          </c:dPt>
          <c:dPt>
            <c:idx val="466"/>
            <c:bubble3D val="0"/>
            <c:spPr>
              <a:solidFill>
                <a:srgbClr val="FF9AEC"/>
              </a:solidFill>
            </c:spPr>
            <c:extLst>
              <c:ext xmlns:c16="http://schemas.microsoft.com/office/drawing/2014/chart" uri="{C3380CC4-5D6E-409C-BE32-E72D297353CC}">
                <c16:uniqueId val="{000003A5-085C-458F-9BEB-3F36C6ADFC53}"/>
              </c:ext>
            </c:extLst>
          </c:dPt>
          <c:dPt>
            <c:idx val="467"/>
            <c:bubble3D val="0"/>
            <c:spPr>
              <a:solidFill>
                <a:srgbClr val="F8B2EB"/>
              </a:solidFill>
            </c:spPr>
            <c:extLst>
              <c:ext xmlns:c16="http://schemas.microsoft.com/office/drawing/2014/chart" uri="{C3380CC4-5D6E-409C-BE32-E72D297353CC}">
                <c16:uniqueId val="{000003A7-085C-458F-9BEB-3F36C6ADFC53}"/>
              </c:ext>
            </c:extLst>
          </c:dPt>
          <c:dPt>
            <c:idx val="468"/>
            <c:bubble3D val="0"/>
            <c:spPr>
              <a:solidFill>
                <a:srgbClr val="89ACF5"/>
              </a:solidFill>
            </c:spPr>
            <c:extLst>
              <c:ext xmlns:c16="http://schemas.microsoft.com/office/drawing/2014/chart" uri="{C3380CC4-5D6E-409C-BE32-E72D297353CC}">
                <c16:uniqueId val="{000003A9-085C-458F-9BEB-3F36C6ADFC53}"/>
              </c:ext>
            </c:extLst>
          </c:dPt>
          <c:dPt>
            <c:idx val="469"/>
            <c:bubble3D val="0"/>
            <c:spPr>
              <a:solidFill>
                <a:srgbClr val="D572AC"/>
              </a:solidFill>
            </c:spPr>
            <c:extLst>
              <c:ext xmlns:c16="http://schemas.microsoft.com/office/drawing/2014/chart" uri="{C3380CC4-5D6E-409C-BE32-E72D297353CC}">
                <c16:uniqueId val="{000003AB-085C-458F-9BEB-3F36C6ADFC53}"/>
              </c:ext>
            </c:extLst>
          </c:dPt>
          <c:dPt>
            <c:idx val="470"/>
            <c:bubble3D val="0"/>
            <c:spPr>
              <a:solidFill>
                <a:srgbClr val="59DCF5"/>
              </a:solidFill>
            </c:spPr>
            <c:extLst>
              <c:ext xmlns:c16="http://schemas.microsoft.com/office/drawing/2014/chart" uri="{C3380CC4-5D6E-409C-BE32-E72D297353CC}">
                <c16:uniqueId val="{000003AD-085C-458F-9BEB-3F36C6ADFC53}"/>
              </c:ext>
            </c:extLst>
          </c:dPt>
          <c:dPt>
            <c:idx val="471"/>
            <c:bubble3D val="0"/>
            <c:spPr>
              <a:solidFill>
                <a:srgbClr val="C29C0C"/>
              </a:solidFill>
            </c:spPr>
            <c:extLst>
              <c:ext xmlns:c16="http://schemas.microsoft.com/office/drawing/2014/chart" uri="{C3380CC4-5D6E-409C-BE32-E72D297353CC}">
                <c16:uniqueId val="{000003AF-085C-458F-9BEB-3F36C6ADFC53}"/>
              </c:ext>
            </c:extLst>
          </c:dPt>
          <c:dPt>
            <c:idx val="472"/>
            <c:bubble3D val="0"/>
            <c:spPr>
              <a:solidFill>
                <a:srgbClr val="FFC539"/>
              </a:solidFill>
            </c:spPr>
            <c:extLst>
              <c:ext xmlns:c16="http://schemas.microsoft.com/office/drawing/2014/chart" uri="{C3380CC4-5D6E-409C-BE32-E72D297353CC}">
                <c16:uniqueId val="{000003B1-085C-458F-9BEB-3F36C6ADFC53}"/>
              </c:ext>
            </c:extLst>
          </c:dPt>
          <c:dPt>
            <c:idx val="473"/>
            <c:bubble3D val="0"/>
            <c:spPr>
              <a:solidFill>
                <a:srgbClr val="2FC5FC"/>
              </a:solidFill>
            </c:spPr>
            <c:extLst>
              <c:ext xmlns:c16="http://schemas.microsoft.com/office/drawing/2014/chart" uri="{C3380CC4-5D6E-409C-BE32-E72D297353CC}">
                <c16:uniqueId val="{000003B3-085C-458F-9BEB-3F36C6ADFC53}"/>
              </c:ext>
            </c:extLst>
          </c:dPt>
          <c:dPt>
            <c:idx val="474"/>
            <c:bubble3D val="0"/>
            <c:spPr>
              <a:solidFill>
                <a:srgbClr val="C1D0F9"/>
              </a:solidFill>
            </c:spPr>
            <c:extLst>
              <c:ext xmlns:c16="http://schemas.microsoft.com/office/drawing/2014/chart" uri="{C3380CC4-5D6E-409C-BE32-E72D297353CC}">
                <c16:uniqueId val="{000003B5-085C-458F-9BEB-3F36C6ADFC53}"/>
              </c:ext>
            </c:extLst>
          </c:dPt>
          <c:dPt>
            <c:idx val="475"/>
            <c:bubble3D val="0"/>
            <c:spPr>
              <a:solidFill>
                <a:srgbClr val="DCABE8"/>
              </a:solidFill>
            </c:spPr>
            <c:extLst>
              <c:ext xmlns:c16="http://schemas.microsoft.com/office/drawing/2014/chart" uri="{C3380CC4-5D6E-409C-BE32-E72D297353CC}">
                <c16:uniqueId val="{000003B7-085C-458F-9BEB-3F36C6ADFC53}"/>
              </c:ext>
            </c:extLst>
          </c:dPt>
          <c:dPt>
            <c:idx val="476"/>
            <c:bubble3D val="0"/>
            <c:spPr>
              <a:solidFill>
                <a:srgbClr val="5AF041"/>
              </a:solidFill>
            </c:spPr>
            <c:extLst>
              <c:ext xmlns:c16="http://schemas.microsoft.com/office/drawing/2014/chart" uri="{C3380CC4-5D6E-409C-BE32-E72D297353CC}">
                <c16:uniqueId val="{000003B9-085C-458F-9BEB-3F36C6ADFC53}"/>
              </c:ext>
            </c:extLst>
          </c:dPt>
          <c:dPt>
            <c:idx val="477"/>
            <c:bubble3D val="0"/>
            <c:spPr>
              <a:solidFill>
                <a:srgbClr val="FFB63F"/>
              </a:solidFill>
            </c:spPr>
            <c:extLst>
              <c:ext xmlns:c16="http://schemas.microsoft.com/office/drawing/2014/chart" uri="{C3380CC4-5D6E-409C-BE32-E72D297353CC}">
                <c16:uniqueId val="{000003BB-085C-458F-9BEB-3F36C6ADFC53}"/>
              </c:ext>
            </c:extLst>
          </c:dPt>
          <c:dPt>
            <c:idx val="478"/>
            <c:bubble3D val="0"/>
            <c:spPr>
              <a:solidFill>
                <a:srgbClr val="FFF185"/>
              </a:solidFill>
            </c:spPr>
            <c:extLst>
              <c:ext xmlns:c16="http://schemas.microsoft.com/office/drawing/2014/chart" uri="{C3380CC4-5D6E-409C-BE32-E72D297353CC}">
                <c16:uniqueId val="{000003BD-085C-458F-9BEB-3F36C6ADFC53}"/>
              </c:ext>
            </c:extLst>
          </c:dPt>
          <c:dPt>
            <c:idx val="479"/>
            <c:bubble3D val="0"/>
            <c:spPr>
              <a:solidFill>
                <a:srgbClr val="67D90D"/>
              </a:solidFill>
            </c:spPr>
            <c:extLst>
              <c:ext xmlns:c16="http://schemas.microsoft.com/office/drawing/2014/chart" uri="{C3380CC4-5D6E-409C-BE32-E72D297353CC}">
                <c16:uniqueId val="{000003BF-085C-458F-9BEB-3F36C6ADFC53}"/>
              </c:ext>
            </c:extLst>
          </c:dPt>
          <c:dPt>
            <c:idx val="480"/>
            <c:bubble3D val="0"/>
            <c:spPr>
              <a:solidFill>
                <a:srgbClr val="FAF5FC"/>
              </a:solidFill>
            </c:spPr>
            <c:extLst>
              <c:ext xmlns:c16="http://schemas.microsoft.com/office/drawing/2014/chart" uri="{C3380CC4-5D6E-409C-BE32-E72D297353CC}">
                <c16:uniqueId val="{000003C1-085C-458F-9BEB-3F36C6ADFC53}"/>
              </c:ext>
            </c:extLst>
          </c:dPt>
          <c:dPt>
            <c:idx val="481"/>
            <c:bubble3D val="0"/>
            <c:spPr>
              <a:solidFill>
                <a:srgbClr val="E2E325"/>
              </a:solidFill>
            </c:spPr>
            <c:extLst>
              <c:ext xmlns:c16="http://schemas.microsoft.com/office/drawing/2014/chart" uri="{C3380CC4-5D6E-409C-BE32-E72D297353CC}">
                <c16:uniqueId val="{000003C3-085C-458F-9BEB-3F36C6ADFC53}"/>
              </c:ext>
            </c:extLst>
          </c:dPt>
          <c:dPt>
            <c:idx val="482"/>
            <c:bubble3D val="0"/>
            <c:spPr>
              <a:solidFill>
                <a:srgbClr val="5B048C"/>
              </a:solidFill>
            </c:spPr>
            <c:extLst>
              <c:ext xmlns:c16="http://schemas.microsoft.com/office/drawing/2014/chart" uri="{C3380CC4-5D6E-409C-BE32-E72D297353CC}">
                <c16:uniqueId val="{000003C5-085C-458F-9BEB-3F36C6ADFC53}"/>
              </c:ext>
            </c:extLst>
          </c:dPt>
          <c:dPt>
            <c:idx val="483"/>
            <c:bubble3D val="0"/>
            <c:spPr>
              <a:solidFill>
                <a:srgbClr val="3CD073"/>
              </a:solidFill>
            </c:spPr>
            <c:extLst>
              <c:ext xmlns:c16="http://schemas.microsoft.com/office/drawing/2014/chart" uri="{C3380CC4-5D6E-409C-BE32-E72D297353CC}">
                <c16:uniqueId val="{000003C7-085C-458F-9BEB-3F36C6ADFC53}"/>
              </c:ext>
            </c:extLst>
          </c:dPt>
          <c:dPt>
            <c:idx val="484"/>
            <c:bubble3D val="0"/>
            <c:spPr>
              <a:solidFill>
                <a:srgbClr val="FF1DD1"/>
              </a:solidFill>
            </c:spPr>
            <c:extLst>
              <c:ext xmlns:c16="http://schemas.microsoft.com/office/drawing/2014/chart" uri="{C3380CC4-5D6E-409C-BE32-E72D297353CC}">
                <c16:uniqueId val="{000003C9-085C-458F-9BEB-3F36C6ADFC53}"/>
              </c:ext>
            </c:extLst>
          </c:dPt>
          <c:dPt>
            <c:idx val="485"/>
            <c:bubble3D val="0"/>
            <c:spPr>
              <a:solidFill>
                <a:srgbClr val="9EED1E"/>
              </a:solidFill>
            </c:spPr>
            <c:extLst>
              <c:ext xmlns:c16="http://schemas.microsoft.com/office/drawing/2014/chart" uri="{C3380CC4-5D6E-409C-BE32-E72D297353CC}">
                <c16:uniqueId val="{000003CB-085C-458F-9BEB-3F36C6ADFC53}"/>
              </c:ext>
            </c:extLst>
          </c:dPt>
          <c:dPt>
            <c:idx val="486"/>
            <c:bubble3D val="0"/>
            <c:spPr>
              <a:solidFill>
                <a:srgbClr val="331AFF"/>
              </a:solidFill>
            </c:spPr>
            <c:extLst>
              <c:ext xmlns:c16="http://schemas.microsoft.com/office/drawing/2014/chart" uri="{C3380CC4-5D6E-409C-BE32-E72D297353CC}">
                <c16:uniqueId val="{000003CD-085C-458F-9BEB-3F36C6ADFC53}"/>
              </c:ext>
            </c:extLst>
          </c:dPt>
          <c:dPt>
            <c:idx val="487"/>
            <c:bubble3D val="0"/>
            <c:spPr>
              <a:solidFill>
                <a:srgbClr val="E81B62"/>
              </a:solidFill>
            </c:spPr>
            <c:extLst>
              <c:ext xmlns:c16="http://schemas.microsoft.com/office/drawing/2014/chart" uri="{C3380CC4-5D6E-409C-BE32-E72D297353CC}">
                <c16:uniqueId val="{000003CF-085C-458F-9BEB-3F36C6ADFC53}"/>
              </c:ext>
            </c:extLst>
          </c:dPt>
          <c:dPt>
            <c:idx val="488"/>
            <c:bubble3D val="0"/>
            <c:spPr>
              <a:solidFill>
                <a:srgbClr val="5C18D7"/>
              </a:solidFill>
            </c:spPr>
            <c:extLst>
              <c:ext xmlns:c16="http://schemas.microsoft.com/office/drawing/2014/chart" uri="{C3380CC4-5D6E-409C-BE32-E72D297353CC}">
                <c16:uniqueId val="{000003D1-085C-458F-9BEB-3F36C6ADFC53}"/>
              </c:ext>
            </c:extLst>
          </c:dPt>
          <c:dPt>
            <c:idx val="489"/>
            <c:bubble3D val="0"/>
            <c:spPr>
              <a:solidFill>
                <a:srgbClr val="79EAA7"/>
              </a:solidFill>
            </c:spPr>
            <c:extLst>
              <c:ext xmlns:c16="http://schemas.microsoft.com/office/drawing/2014/chart" uri="{C3380CC4-5D6E-409C-BE32-E72D297353CC}">
                <c16:uniqueId val="{000003D3-085C-458F-9BEB-3F36C6ADFC53}"/>
              </c:ext>
            </c:extLst>
          </c:dPt>
          <c:dPt>
            <c:idx val="490"/>
            <c:bubble3D val="0"/>
            <c:spPr>
              <a:solidFill>
                <a:srgbClr val="FF491D"/>
              </a:solidFill>
            </c:spPr>
            <c:extLst>
              <c:ext xmlns:c16="http://schemas.microsoft.com/office/drawing/2014/chart" uri="{C3380CC4-5D6E-409C-BE32-E72D297353CC}">
                <c16:uniqueId val="{000003D5-085C-458F-9BEB-3F36C6ADFC53}"/>
              </c:ext>
            </c:extLst>
          </c:dPt>
          <c:dPt>
            <c:idx val="491"/>
            <c:bubble3D val="0"/>
            <c:spPr>
              <a:solidFill>
                <a:srgbClr val="D6012F"/>
              </a:solidFill>
            </c:spPr>
            <c:extLst>
              <c:ext xmlns:c16="http://schemas.microsoft.com/office/drawing/2014/chart" uri="{C3380CC4-5D6E-409C-BE32-E72D297353CC}">
                <c16:uniqueId val="{000003D7-085C-458F-9BEB-3F36C6ADFC53}"/>
              </c:ext>
            </c:extLst>
          </c:dPt>
          <c:dPt>
            <c:idx val="492"/>
            <c:bubble3D val="0"/>
            <c:spPr>
              <a:solidFill>
                <a:srgbClr val="6B3E03"/>
              </a:solidFill>
            </c:spPr>
            <c:extLst>
              <c:ext xmlns:c16="http://schemas.microsoft.com/office/drawing/2014/chart" uri="{C3380CC4-5D6E-409C-BE32-E72D297353CC}">
                <c16:uniqueId val="{000003D9-085C-458F-9BEB-3F36C6ADFC53}"/>
              </c:ext>
            </c:extLst>
          </c:dPt>
          <c:dPt>
            <c:idx val="493"/>
            <c:bubble3D val="0"/>
            <c:spPr>
              <a:solidFill>
                <a:srgbClr val="EF549E"/>
              </a:solidFill>
            </c:spPr>
            <c:extLst>
              <c:ext xmlns:c16="http://schemas.microsoft.com/office/drawing/2014/chart" uri="{C3380CC4-5D6E-409C-BE32-E72D297353CC}">
                <c16:uniqueId val="{000003DB-085C-458F-9BEB-3F36C6ADFC53}"/>
              </c:ext>
            </c:extLst>
          </c:dPt>
          <c:dPt>
            <c:idx val="494"/>
            <c:bubble3D val="0"/>
            <c:spPr>
              <a:solidFill>
                <a:srgbClr val="5D2C23"/>
              </a:solidFill>
            </c:spPr>
            <c:extLst>
              <c:ext xmlns:c16="http://schemas.microsoft.com/office/drawing/2014/chart" uri="{C3380CC4-5D6E-409C-BE32-E72D297353CC}">
                <c16:uniqueId val="{000003DD-085C-458F-9BEB-3F36C6ADFC53}"/>
              </c:ext>
            </c:extLst>
          </c:dPt>
          <c:dPt>
            <c:idx val="495"/>
            <c:bubble3D val="0"/>
            <c:spPr>
              <a:solidFill>
                <a:srgbClr val="B604DA"/>
              </a:solidFill>
            </c:spPr>
            <c:extLst>
              <c:ext xmlns:c16="http://schemas.microsoft.com/office/drawing/2014/chart" uri="{C3380CC4-5D6E-409C-BE32-E72D297353CC}">
                <c16:uniqueId val="{000003DF-085C-458F-9BEB-3F36C6ADFC53}"/>
              </c:ext>
            </c:extLst>
          </c:dPt>
          <c:dPt>
            <c:idx val="496"/>
            <c:bubble3D val="0"/>
            <c:spPr>
              <a:solidFill>
                <a:srgbClr val="FF7569"/>
              </a:solidFill>
            </c:spPr>
            <c:extLst>
              <c:ext xmlns:c16="http://schemas.microsoft.com/office/drawing/2014/chart" uri="{C3380CC4-5D6E-409C-BE32-E72D297353CC}">
                <c16:uniqueId val="{000003E1-085C-458F-9BEB-3F36C6ADFC53}"/>
              </c:ext>
            </c:extLst>
          </c:dPt>
          <c:dPt>
            <c:idx val="497"/>
            <c:bubble3D val="0"/>
            <c:spPr>
              <a:solidFill>
                <a:srgbClr val="0D1540"/>
              </a:solidFill>
            </c:spPr>
            <c:extLst>
              <c:ext xmlns:c16="http://schemas.microsoft.com/office/drawing/2014/chart" uri="{C3380CC4-5D6E-409C-BE32-E72D297353CC}">
                <c16:uniqueId val="{000003E3-085C-458F-9BEB-3F36C6ADFC53}"/>
              </c:ext>
            </c:extLst>
          </c:dPt>
          <c:dPt>
            <c:idx val="498"/>
            <c:bubble3D val="0"/>
            <c:spPr>
              <a:solidFill>
                <a:srgbClr val="A46306"/>
              </a:solidFill>
            </c:spPr>
            <c:extLst>
              <c:ext xmlns:c16="http://schemas.microsoft.com/office/drawing/2014/chart" uri="{C3380CC4-5D6E-409C-BE32-E72D297353CC}">
                <c16:uniqueId val="{000003E5-085C-458F-9BEB-3F36C6ADFC53}"/>
              </c:ext>
            </c:extLst>
          </c:dPt>
          <c:dPt>
            <c:idx val="499"/>
            <c:bubble3D val="0"/>
            <c:spPr>
              <a:solidFill>
                <a:srgbClr val="F58CDB"/>
              </a:solidFill>
            </c:spPr>
            <c:extLst>
              <c:ext xmlns:c16="http://schemas.microsoft.com/office/drawing/2014/chart" uri="{C3380CC4-5D6E-409C-BE32-E72D297353CC}">
                <c16:uniqueId val="{000003E7-085C-458F-9BEB-3F36C6ADFC53}"/>
              </c:ext>
            </c:extLst>
          </c:dPt>
          <c:dPt>
            <c:idx val="500"/>
            <c:bubble3D val="0"/>
            <c:spPr>
              <a:solidFill>
                <a:srgbClr val="5F406E"/>
              </a:solidFill>
            </c:spPr>
            <c:extLst>
              <c:ext xmlns:c16="http://schemas.microsoft.com/office/drawing/2014/chart" uri="{C3380CC4-5D6E-409C-BE32-E72D297353CC}">
                <c16:uniqueId val="{000003E9-085C-458F-9BEB-3F36C6ADFC53}"/>
              </c:ext>
            </c:extLst>
          </c:dPt>
          <c:dPt>
            <c:idx val="501"/>
            <c:bubble3D val="0"/>
            <c:spPr>
              <a:solidFill>
                <a:srgbClr val="F31E0E"/>
              </a:solidFill>
            </c:spPr>
            <c:extLst>
              <c:ext xmlns:c16="http://schemas.microsoft.com/office/drawing/2014/chart" uri="{C3380CC4-5D6E-409C-BE32-E72D297353CC}">
                <c16:uniqueId val="{000003EB-085C-458F-9BEB-3F36C6ADFC53}"/>
              </c:ext>
            </c:extLst>
          </c:dPt>
          <c:dPt>
            <c:idx val="502"/>
            <c:bubble3D val="0"/>
            <c:spPr>
              <a:solidFill>
                <a:srgbClr val="FFA0B6"/>
              </a:solidFill>
            </c:spPr>
            <c:extLst>
              <c:ext xmlns:c16="http://schemas.microsoft.com/office/drawing/2014/chart" uri="{C3380CC4-5D6E-409C-BE32-E72D297353CC}">
                <c16:uniqueId val="{000003ED-085C-458F-9BEB-3F36C6ADFC53}"/>
              </c:ext>
            </c:extLst>
          </c:dPt>
          <c:dPt>
            <c:idx val="503"/>
            <c:bubble3D val="0"/>
            <c:spPr>
              <a:solidFill>
                <a:srgbClr val="452851"/>
              </a:solidFill>
            </c:spPr>
            <c:extLst>
              <c:ext xmlns:c16="http://schemas.microsoft.com/office/drawing/2014/chart" uri="{C3380CC4-5D6E-409C-BE32-E72D297353CC}">
                <c16:uniqueId val="{000003EF-085C-458F-9BEB-3F36C6ADFC53}"/>
              </c:ext>
            </c:extLst>
          </c:dPt>
          <c:dPt>
            <c:idx val="504"/>
            <c:bubble3D val="0"/>
            <c:spPr>
              <a:solidFill>
                <a:srgbClr val="DD8709"/>
              </a:solidFill>
            </c:spPr>
            <c:extLst>
              <c:ext xmlns:c16="http://schemas.microsoft.com/office/drawing/2014/chart" uri="{C3380CC4-5D6E-409C-BE32-E72D297353CC}">
                <c16:uniqueId val="{000003F1-085C-458F-9BEB-3F36C6ADFC53}"/>
              </c:ext>
            </c:extLst>
          </c:dPt>
          <c:dPt>
            <c:idx val="505"/>
            <c:bubble3D val="0"/>
            <c:spPr>
              <a:solidFill>
                <a:srgbClr val="FBC517"/>
              </a:solidFill>
            </c:spPr>
            <c:extLst>
              <c:ext xmlns:c16="http://schemas.microsoft.com/office/drawing/2014/chart" uri="{C3380CC4-5D6E-409C-BE32-E72D297353CC}">
                <c16:uniqueId val="{000003F3-085C-458F-9BEB-3F36C6ADFC53}"/>
              </c:ext>
            </c:extLst>
          </c:dPt>
          <c:dPt>
            <c:idx val="506"/>
            <c:bubble3D val="0"/>
            <c:spPr>
              <a:solidFill>
                <a:srgbClr val="6054B9"/>
              </a:solidFill>
            </c:spPr>
            <c:extLst>
              <c:ext xmlns:c16="http://schemas.microsoft.com/office/drawing/2014/chart" uri="{C3380CC4-5D6E-409C-BE32-E72D297353CC}">
                <c16:uniqueId val="{000003F5-085C-458F-9BEB-3F36C6ADFC53}"/>
              </c:ext>
            </c:extLst>
          </c:dPt>
          <c:dPt>
            <c:idx val="507"/>
            <c:bubble3D val="0"/>
            <c:spPr>
              <a:solidFill>
                <a:srgbClr val="303841"/>
              </a:solidFill>
            </c:spPr>
            <c:extLst>
              <c:ext xmlns:c16="http://schemas.microsoft.com/office/drawing/2014/chart" uri="{C3380CC4-5D6E-409C-BE32-E72D297353CC}">
                <c16:uniqueId val="{000003F7-085C-458F-9BEB-3F36C6ADFC53}"/>
              </c:ext>
            </c:extLst>
          </c:dPt>
          <c:dPt>
            <c:idx val="508"/>
            <c:bubble3D val="0"/>
            <c:spPr>
              <a:solidFill>
                <a:srgbClr val="FFCC02"/>
              </a:solidFill>
            </c:spPr>
            <c:extLst>
              <c:ext xmlns:c16="http://schemas.microsoft.com/office/drawing/2014/chart" uri="{C3380CC4-5D6E-409C-BE32-E72D297353CC}">
                <c16:uniqueId val="{000003F9-085C-458F-9BEB-3F36C6ADFC53}"/>
              </c:ext>
            </c:extLst>
          </c:dPt>
          <c:dPt>
            <c:idx val="509"/>
            <c:bubble3D val="0"/>
            <c:spPr>
              <a:solidFill>
                <a:srgbClr val="7C3C62"/>
              </a:solidFill>
            </c:spPr>
            <c:extLst>
              <c:ext xmlns:c16="http://schemas.microsoft.com/office/drawing/2014/chart" uri="{C3380CC4-5D6E-409C-BE32-E72D297353CC}">
                <c16:uniqueId val="{000003FB-085C-458F-9BEB-3F36C6ADFC53}"/>
              </c:ext>
            </c:extLst>
          </c:dPt>
          <c:dPt>
            <c:idx val="510"/>
            <c:bubble3D val="0"/>
            <c:spPr>
              <a:solidFill>
                <a:srgbClr val="16AC0D"/>
              </a:solidFill>
            </c:spPr>
            <c:extLst>
              <c:ext xmlns:c16="http://schemas.microsoft.com/office/drawing/2014/chart" uri="{C3380CC4-5D6E-409C-BE32-E72D297353CC}">
                <c16:uniqueId val="{000003FD-085C-458F-9BEB-3F36C6ADFC53}"/>
              </c:ext>
            </c:extLst>
          </c:dPt>
          <c:dPt>
            <c:idx val="511"/>
            <c:bubble3D val="0"/>
            <c:spPr>
              <a:solidFill>
                <a:srgbClr val="02FD54"/>
              </a:solidFill>
            </c:spPr>
            <c:extLst>
              <c:ext xmlns:c16="http://schemas.microsoft.com/office/drawing/2014/chart" uri="{C3380CC4-5D6E-409C-BE32-E72D297353CC}">
                <c16:uniqueId val="{000003FF-085C-458F-9BEB-3F36C6ADFC53}"/>
              </c:ext>
            </c:extLst>
          </c:dPt>
          <c:dPt>
            <c:idx val="512"/>
            <c:bubble3D val="0"/>
            <c:spPr>
              <a:solidFill>
                <a:srgbClr val="616905"/>
              </a:solidFill>
            </c:spPr>
            <c:extLst>
              <c:ext xmlns:c16="http://schemas.microsoft.com/office/drawing/2014/chart" uri="{C3380CC4-5D6E-409C-BE32-E72D297353CC}">
                <c16:uniqueId val="{00000401-085C-458F-9BEB-3F36C6ADFC53}"/>
              </c:ext>
            </c:extLst>
          </c:dPt>
          <c:dPt>
            <c:idx val="513"/>
            <c:bubble3D val="0"/>
            <c:spPr>
              <a:solidFill>
                <a:srgbClr val="6D5375"/>
              </a:solidFill>
            </c:spPr>
            <c:extLst>
              <c:ext xmlns:c16="http://schemas.microsoft.com/office/drawing/2014/chart" uri="{C3380CC4-5D6E-409C-BE32-E72D297353CC}">
                <c16:uniqueId val="{00000403-085C-458F-9BEB-3F36C6ADFC53}"/>
              </c:ext>
            </c:extLst>
          </c:dPt>
          <c:dPt>
            <c:idx val="514"/>
            <c:bubble3D val="0"/>
            <c:spPr>
              <a:solidFill>
                <a:srgbClr val="FFF84E"/>
              </a:solidFill>
            </c:spPr>
            <c:extLst>
              <c:ext xmlns:c16="http://schemas.microsoft.com/office/drawing/2014/chart" uri="{C3380CC4-5D6E-409C-BE32-E72D297353CC}">
                <c16:uniqueId val="{00000405-085C-458F-9BEB-3F36C6ADFC53}"/>
              </c:ext>
            </c:extLst>
          </c:dPt>
          <c:dPt>
            <c:idx val="515"/>
            <c:bubble3D val="0"/>
            <c:spPr>
              <a:solidFill>
                <a:srgbClr val="B45074"/>
              </a:solidFill>
            </c:spPr>
            <c:extLst>
              <c:ext xmlns:c16="http://schemas.microsoft.com/office/drawing/2014/chart" uri="{C3380CC4-5D6E-409C-BE32-E72D297353CC}">
                <c16:uniqueId val="{00000407-085C-458F-9BEB-3F36C6ADFC53}"/>
              </c:ext>
            </c:extLst>
          </c:dPt>
          <c:dPt>
            <c:idx val="516"/>
            <c:bubble3D val="0"/>
            <c:spPr>
              <a:solidFill>
                <a:srgbClr val="4ED110"/>
              </a:solidFill>
            </c:spPr>
            <c:extLst>
              <c:ext xmlns:c16="http://schemas.microsoft.com/office/drawing/2014/chart" uri="{C3380CC4-5D6E-409C-BE32-E72D297353CC}">
                <c16:uniqueId val="{00000409-085C-458F-9BEB-3F36C6ADFC53}"/>
              </c:ext>
            </c:extLst>
          </c:dPt>
          <c:dPt>
            <c:idx val="517"/>
            <c:bubble3D val="0"/>
            <c:spPr>
              <a:solidFill>
                <a:srgbClr val="083591"/>
              </a:solidFill>
            </c:spPr>
            <c:extLst>
              <c:ext xmlns:c16="http://schemas.microsoft.com/office/drawing/2014/chart" uri="{C3380CC4-5D6E-409C-BE32-E72D297353CC}">
                <c16:uniqueId val="{0000040B-085C-458F-9BEB-3F36C6ADFC53}"/>
              </c:ext>
            </c:extLst>
          </c:dPt>
          <c:dPt>
            <c:idx val="518"/>
            <c:bubble3D val="0"/>
            <c:spPr>
              <a:solidFill>
                <a:srgbClr val="627D50"/>
              </a:solidFill>
            </c:spPr>
            <c:extLst>
              <c:ext xmlns:c16="http://schemas.microsoft.com/office/drawing/2014/chart" uri="{C3380CC4-5D6E-409C-BE32-E72D297353CC}">
                <c16:uniqueId val="{0000040D-085C-458F-9BEB-3F36C6ADFC53}"/>
              </c:ext>
            </c:extLst>
          </c:dPt>
          <c:dPt>
            <c:idx val="519"/>
            <c:bubble3D val="0"/>
            <c:spPr>
              <a:solidFill>
                <a:srgbClr val="A96DA9"/>
              </a:solidFill>
            </c:spPr>
            <c:extLst>
              <c:ext xmlns:c16="http://schemas.microsoft.com/office/drawing/2014/chart" uri="{C3380CC4-5D6E-409C-BE32-E72D297353CC}">
                <c16:uniqueId val="{0000040F-085C-458F-9BEB-3F36C6ADFC53}"/>
              </c:ext>
            </c:extLst>
          </c:dPt>
          <c:dPt>
            <c:idx val="520"/>
            <c:bubble3D val="0"/>
            <c:spPr>
              <a:solidFill>
                <a:srgbClr val="FF249A"/>
              </a:solidFill>
            </c:spPr>
            <c:extLst>
              <c:ext xmlns:c16="http://schemas.microsoft.com/office/drawing/2014/chart" uri="{C3380CC4-5D6E-409C-BE32-E72D297353CC}">
                <c16:uniqueId val="{00000411-085C-458F-9BEB-3F36C6ADFC53}"/>
              </c:ext>
            </c:extLst>
          </c:dPt>
          <c:dPt>
            <c:idx val="521"/>
            <c:bubble3D val="0"/>
            <c:spPr>
              <a:solidFill>
                <a:srgbClr val="EB6485"/>
              </a:solidFill>
            </c:spPr>
            <c:extLst>
              <c:ext xmlns:c16="http://schemas.microsoft.com/office/drawing/2014/chart" uri="{C3380CC4-5D6E-409C-BE32-E72D297353CC}">
                <c16:uniqueId val="{00000413-085C-458F-9BEB-3F36C6ADFC53}"/>
              </c:ext>
            </c:extLst>
          </c:dPt>
          <c:dPt>
            <c:idx val="522"/>
            <c:bubble3D val="0"/>
            <c:spPr>
              <a:solidFill>
                <a:srgbClr val="87F513"/>
              </a:solidFill>
            </c:spPr>
            <c:extLst>
              <c:ext xmlns:c16="http://schemas.microsoft.com/office/drawing/2014/chart" uri="{C3380CC4-5D6E-409C-BE32-E72D297353CC}">
                <c16:uniqueId val="{00000415-085C-458F-9BEB-3F36C6ADFC53}"/>
              </c:ext>
            </c:extLst>
          </c:dPt>
          <c:dPt>
            <c:idx val="523"/>
            <c:bubble3D val="0"/>
            <c:spPr>
              <a:solidFill>
                <a:srgbClr val="0E6ECD"/>
              </a:solidFill>
            </c:spPr>
            <c:extLst>
              <c:ext xmlns:c16="http://schemas.microsoft.com/office/drawing/2014/chart" uri="{C3380CC4-5D6E-409C-BE32-E72D297353CC}">
                <c16:uniqueId val="{00000417-085C-458F-9BEB-3F36C6ADFC53}"/>
              </c:ext>
            </c:extLst>
          </c:dPt>
          <c:dPt>
            <c:idx val="524"/>
            <c:bubble3D val="0"/>
            <c:spPr>
              <a:solidFill>
                <a:srgbClr val="63919B"/>
              </a:solidFill>
            </c:spPr>
            <c:extLst>
              <c:ext xmlns:c16="http://schemas.microsoft.com/office/drawing/2014/chart" uri="{C3380CC4-5D6E-409C-BE32-E72D297353CC}">
                <c16:uniqueId val="{00000419-085C-458F-9BEB-3F36C6ADFC53}"/>
              </c:ext>
            </c:extLst>
          </c:dPt>
          <c:dPt>
            <c:idx val="525"/>
            <c:bubble3D val="0"/>
            <c:spPr>
              <a:solidFill>
                <a:srgbClr val="E687DC"/>
              </a:solidFill>
            </c:spPr>
            <c:extLst>
              <c:ext xmlns:c16="http://schemas.microsoft.com/office/drawing/2014/chart" uri="{C3380CC4-5D6E-409C-BE32-E72D297353CC}">
                <c16:uniqueId val="{0000041B-085C-458F-9BEB-3F36C6ADFC53}"/>
              </c:ext>
            </c:extLst>
          </c:dPt>
          <c:dPt>
            <c:idx val="526"/>
            <c:bubble3D val="0"/>
            <c:spPr>
              <a:solidFill>
                <a:srgbClr val="FF50E6"/>
              </a:solidFill>
            </c:spPr>
            <c:extLst>
              <c:ext xmlns:c16="http://schemas.microsoft.com/office/drawing/2014/chart" uri="{C3380CC4-5D6E-409C-BE32-E72D297353CC}">
                <c16:uniqueId val="{0000041D-085C-458F-9BEB-3F36C6ADFC53}"/>
              </c:ext>
            </c:extLst>
          </c:dPt>
          <c:dPt>
            <c:idx val="527"/>
            <c:bubble3D val="0"/>
            <c:spPr>
              <a:solidFill>
                <a:srgbClr val="237896"/>
              </a:solidFill>
            </c:spPr>
            <c:extLst>
              <c:ext xmlns:c16="http://schemas.microsoft.com/office/drawing/2014/chart" uri="{C3380CC4-5D6E-409C-BE32-E72D297353CC}">
                <c16:uniqueId val="{0000041F-085C-458F-9BEB-3F36C6ADFC53}"/>
              </c:ext>
            </c:extLst>
          </c:dPt>
          <c:dPt>
            <c:idx val="528"/>
            <c:bubble3D val="0"/>
            <c:spPr>
              <a:solidFill>
                <a:srgbClr val="C01A16"/>
              </a:solidFill>
            </c:spPr>
            <c:extLst>
              <c:ext xmlns:c16="http://schemas.microsoft.com/office/drawing/2014/chart" uri="{C3380CC4-5D6E-409C-BE32-E72D297353CC}">
                <c16:uniqueId val="{00000421-085C-458F-9BEB-3F36C6ADFC53}"/>
              </c:ext>
            </c:extLst>
          </c:dPt>
          <c:dPt>
            <c:idx val="529"/>
            <c:bubble3D val="0"/>
            <c:spPr>
              <a:solidFill>
                <a:srgbClr val="14A60A"/>
              </a:solidFill>
            </c:spPr>
            <c:extLst>
              <c:ext xmlns:c16="http://schemas.microsoft.com/office/drawing/2014/chart" uri="{C3380CC4-5D6E-409C-BE32-E72D297353CC}">
                <c16:uniqueId val="{00000423-085C-458F-9BEB-3F36C6ADFC53}"/>
              </c:ext>
            </c:extLst>
          </c:dPt>
          <c:dPt>
            <c:idx val="530"/>
            <c:bubble3D val="0"/>
            <c:spPr>
              <a:solidFill>
                <a:srgbClr val="65A5E6"/>
              </a:solidFill>
            </c:spPr>
            <c:extLst>
              <c:ext xmlns:c16="http://schemas.microsoft.com/office/drawing/2014/chart" uri="{C3380CC4-5D6E-409C-BE32-E72D297353CC}">
                <c16:uniqueId val="{00000425-085C-458F-9BEB-3F36C6ADFC53}"/>
              </c:ext>
            </c:extLst>
          </c:dPt>
          <c:dPt>
            <c:idx val="531"/>
            <c:bubble3D val="0"/>
            <c:spPr>
              <a:solidFill>
                <a:srgbClr val="23A110"/>
              </a:solidFill>
            </c:spPr>
            <c:extLst>
              <c:ext xmlns:c16="http://schemas.microsoft.com/office/drawing/2014/chart" uri="{C3380CC4-5D6E-409C-BE32-E72D297353CC}">
                <c16:uniqueId val="{00000427-085C-458F-9BEB-3F36C6ADFC53}"/>
              </c:ext>
            </c:extLst>
          </c:dPt>
          <c:dPt>
            <c:idx val="532"/>
            <c:bubble3D val="0"/>
            <c:spPr>
              <a:solidFill>
                <a:srgbClr val="FF7B33"/>
              </a:solidFill>
            </c:spPr>
            <c:extLst>
              <c:ext xmlns:c16="http://schemas.microsoft.com/office/drawing/2014/chart" uri="{C3380CC4-5D6E-409C-BE32-E72D297353CC}">
                <c16:uniqueId val="{00000429-085C-458F-9BEB-3F36C6ADFC53}"/>
              </c:ext>
            </c:extLst>
          </c:dPt>
          <c:dPt>
            <c:idx val="533"/>
            <c:bubble3D val="0"/>
            <c:spPr>
              <a:solidFill>
                <a:srgbClr val="5A8BA7"/>
              </a:solidFill>
            </c:spPr>
            <c:extLst>
              <c:ext xmlns:c16="http://schemas.microsoft.com/office/drawing/2014/chart" uri="{C3380CC4-5D6E-409C-BE32-E72D297353CC}">
                <c16:uniqueId val="{0000042B-085C-458F-9BEB-3F36C6ADFC53}"/>
              </c:ext>
            </c:extLst>
          </c:dPt>
          <c:dPt>
            <c:idx val="534"/>
            <c:bubble3D val="0"/>
            <c:spPr>
              <a:solidFill>
                <a:srgbClr val="F83E1A"/>
              </a:solidFill>
            </c:spPr>
            <c:extLst>
              <c:ext xmlns:c16="http://schemas.microsoft.com/office/drawing/2014/chart" uri="{C3380CC4-5D6E-409C-BE32-E72D297353CC}">
                <c16:uniqueId val="{0000042D-085C-458F-9BEB-3F36C6ADFC53}"/>
              </c:ext>
            </c:extLst>
          </c:dPt>
          <c:dPt>
            <c:idx val="535"/>
            <c:bubble3D val="0"/>
            <c:spPr>
              <a:solidFill>
                <a:srgbClr val="1BDF46"/>
              </a:solidFill>
            </c:spPr>
            <c:extLst>
              <c:ext xmlns:c16="http://schemas.microsoft.com/office/drawing/2014/chart" uri="{C3380CC4-5D6E-409C-BE32-E72D297353CC}">
                <c16:uniqueId val="{0000042F-085C-458F-9BEB-3F36C6ADFC53}"/>
              </c:ext>
            </c:extLst>
          </c:dPt>
          <c:dPt>
            <c:idx val="536"/>
            <c:bubble3D val="0"/>
            <c:spPr>
              <a:solidFill>
                <a:srgbClr val="66B932"/>
              </a:solidFill>
            </c:spPr>
            <c:extLst>
              <c:ext xmlns:c16="http://schemas.microsoft.com/office/drawing/2014/chart" uri="{C3380CC4-5D6E-409C-BE32-E72D297353CC}">
                <c16:uniqueId val="{00000431-085C-458F-9BEB-3F36C6ADFC53}"/>
              </c:ext>
            </c:extLst>
          </c:dPt>
          <c:dPt>
            <c:idx val="537"/>
            <c:bubble3D val="0"/>
            <c:spPr>
              <a:solidFill>
                <a:srgbClr val="60BB43"/>
              </a:solidFill>
            </c:spPr>
            <c:extLst>
              <c:ext xmlns:c16="http://schemas.microsoft.com/office/drawing/2014/chart" uri="{C3380CC4-5D6E-409C-BE32-E72D297353CC}">
                <c16:uniqueId val="{00000433-085C-458F-9BEB-3F36C6ADFC53}"/>
              </c:ext>
            </c:extLst>
          </c:dPt>
          <c:dPt>
            <c:idx val="538"/>
            <c:bubble3D val="0"/>
            <c:spPr>
              <a:solidFill>
                <a:srgbClr val="FFA77F"/>
              </a:solidFill>
            </c:spPr>
            <c:extLst>
              <c:ext xmlns:c16="http://schemas.microsoft.com/office/drawing/2014/chart" uri="{C3380CC4-5D6E-409C-BE32-E72D297353CC}">
                <c16:uniqueId val="{00000435-085C-458F-9BEB-3F36C6ADFC53}"/>
              </c:ext>
            </c:extLst>
          </c:dPt>
          <c:dPt>
            <c:idx val="539"/>
            <c:bubble3D val="0"/>
            <c:spPr>
              <a:solidFill>
                <a:srgbClr val="929FB8"/>
              </a:solidFill>
            </c:spPr>
            <c:extLst>
              <c:ext xmlns:c16="http://schemas.microsoft.com/office/drawing/2014/chart" uri="{C3380CC4-5D6E-409C-BE32-E72D297353CC}">
                <c16:uniqueId val="{00000437-085C-458F-9BEB-3F36C6ADFC53}"/>
              </c:ext>
            </c:extLst>
          </c:dPt>
          <c:dPt>
            <c:idx val="540"/>
            <c:bubble3D val="0"/>
            <c:spPr>
              <a:solidFill>
                <a:srgbClr val="31631D"/>
              </a:solidFill>
            </c:spPr>
            <c:extLst>
              <c:ext xmlns:c16="http://schemas.microsoft.com/office/drawing/2014/chart" uri="{C3380CC4-5D6E-409C-BE32-E72D297353CC}">
                <c16:uniqueId val="{00000439-085C-458F-9BEB-3F36C6ADFC53}"/>
              </c:ext>
            </c:extLst>
          </c:dPt>
          <c:dPt>
            <c:idx val="541"/>
            <c:bubble3D val="0"/>
            <c:spPr>
              <a:solidFill>
                <a:srgbClr val="211783"/>
              </a:solidFill>
            </c:spPr>
            <c:extLst>
              <c:ext xmlns:c16="http://schemas.microsoft.com/office/drawing/2014/chart" uri="{C3380CC4-5D6E-409C-BE32-E72D297353CC}">
                <c16:uniqueId val="{0000043B-085C-458F-9BEB-3F36C6ADFC53}"/>
              </c:ext>
            </c:extLst>
          </c:dPt>
          <c:dPt>
            <c:idx val="542"/>
            <c:bubble3D val="0"/>
            <c:spPr>
              <a:solidFill>
                <a:srgbClr val="67CD7D"/>
              </a:solidFill>
            </c:spPr>
            <c:extLst>
              <c:ext xmlns:c16="http://schemas.microsoft.com/office/drawing/2014/chart" uri="{C3380CC4-5D6E-409C-BE32-E72D297353CC}">
                <c16:uniqueId val="{0000043D-085C-458F-9BEB-3F36C6ADFC53}"/>
              </c:ext>
            </c:extLst>
          </c:dPt>
          <c:dPt>
            <c:idx val="543"/>
            <c:bubble3D val="0"/>
            <c:spPr>
              <a:solidFill>
                <a:srgbClr val="9DD577"/>
              </a:solidFill>
            </c:spPr>
            <c:extLst>
              <c:ext xmlns:c16="http://schemas.microsoft.com/office/drawing/2014/chart" uri="{C3380CC4-5D6E-409C-BE32-E72D297353CC}">
                <c16:uniqueId val="{0000043F-085C-458F-9BEB-3F36C6ADFC53}"/>
              </c:ext>
            </c:extLst>
          </c:dPt>
          <c:dPt>
            <c:idx val="544"/>
            <c:bubble3D val="0"/>
            <c:spPr>
              <a:solidFill>
                <a:srgbClr val="FFD3CB"/>
              </a:solidFill>
            </c:spPr>
            <c:extLst>
              <c:ext xmlns:c16="http://schemas.microsoft.com/office/drawing/2014/chart" uri="{C3380CC4-5D6E-409C-BE32-E72D297353CC}">
                <c16:uniqueId val="{00000441-085C-458F-9BEB-3F36C6ADFC53}"/>
              </c:ext>
            </c:extLst>
          </c:dPt>
          <c:dPt>
            <c:idx val="545"/>
            <c:bubble3D val="0"/>
            <c:spPr>
              <a:solidFill>
                <a:srgbClr val="C9B3C9"/>
              </a:solidFill>
            </c:spPr>
            <c:extLst>
              <c:ext xmlns:c16="http://schemas.microsoft.com/office/drawing/2014/chart" uri="{C3380CC4-5D6E-409C-BE32-E72D297353CC}">
                <c16:uniqueId val="{00000443-085C-458F-9BEB-3F36C6ADFC53}"/>
              </c:ext>
            </c:extLst>
          </c:dPt>
          <c:dPt>
            <c:idx val="546"/>
            <c:bubble3D val="0"/>
            <c:spPr>
              <a:solidFill>
                <a:srgbClr val="6A8820"/>
              </a:solidFill>
            </c:spPr>
            <c:extLst>
              <c:ext xmlns:c16="http://schemas.microsoft.com/office/drawing/2014/chart" uri="{C3380CC4-5D6E-409C-BE32-E72D297353CC}">
                <c16:uniqueId val="{00000445-085C-458F-9BEB-3F36C6ADFC53}"/>
              </c:ext>
            </c:extLst>
          </c:dPt>
          <c:dPt>
            <c:idx val="547"/>
            <c:bubble3D val="0"/>
            <c:spPr>
              <a:solidFill>
                <a:srgbClr val="274FC0"/>
              </a:solidFill>
            </c:spPr>
            <c:extLst>
              <c:ext xmlns:c16="http://schemas.microsoft.com/office/drawing/2014/chart" uri="{C3380CC4-5D6E-409C-BE32-E72D297353CC}">
                <c16:uniqueId val="{00000447-085C-458F-9BEB-3F36C6ADFC53}"/>
              </c:ext>
            </c:extLst>
          </c:dPt>
          <c:dPt>
            <c:idx val="548"/>
            <c:bubble3D val="0"/>
            <c:spPr>
              <a:solidFill>
                <a:srgbClr val="68E1C8"/>
              </a:solidFill>
            </c:spPr>
            <c:extLst>
              <c:ext xmlns:c16="http://schemas.microsoft.com/office/drawing/2014/chart" uri="{C3380CC4-5D6E-409C-BE32-E72D297353CC}">
                <c16:uniqueId val="{00000449-085C-458F-9BEB-3F36C6ADFC53}"/>
              </c:ext>
            </c:extLst>
          </c:dPt>
          <c:dPt>
            <c:idx val="549"/>
            <c:bubble3D val="0"/>
            <c:spPr>
              <a:solidFill>
                <a:srgbClr val="DAEFAB"/>
              </a:solidFill>
            </c:spPr>
            <c:extLst>
              <c:ext xmlns:c16="http://schemas.microsoft.com/office/drawing/2014/chart" uri="{C3380CC4-5D6E-409C-BE32-E72D297353CC}">
                <c16:uniqueId val="{0000044B-085C-458F-9BEB-3F36C6ADFC53}"/>
              </c:ext>
            </c:extLst>
          </c:dPt>
          <c:dPt>
            <c:idx val="550"/>
            <c:bubble3D val="0"/>
            <c:spPr>
              <a:solidFill>
                <a:srgbClr val="FFFF17"/>
              </a:solidFill>
            </c:spPr>
            <c:extLst>
              <c:ext xmlns:c16="http://schemas.microsoft.com/office/drawing/2014/chart" uri="{C3380CC4-5D6E-409C-BE32-E72D297353CC}">
                <c16:uniqueId val="{0000044D-085C-458F-9BEB-3F36C6ADFC53}"/>
              </c:ext>
            </c:extLst>
          </c:dPt>
          <c:dPt>
            <c:idx val="551"/>
            <c:bubble3D val="0"/>
            <c:spPr>
              <a:solidFill>
                <a:srgbClr val="01C7DA"/>
              </a:solidFill>
            </c:spPr>
            <c:extLst>
              <c:ext xmlns:c16="http://schemas.microsoft.com/office/drawing/2014/chart" uri="{C3380CC4-5D6E-409C-BE32-E72D297353CC}">
                <c16:uniqueId val="{0000044F-085C-458F-9BEB-3F36C6ADFC53}"/>
              </c:ext>
            </c:extLst>
          </c:dPt>
          <c:dPt>
            <c:idx val="552"/>
            <c:bubble3D val="0"/>
            <c:spPr>
              <a:solidFill>
                <a:srgbClr val="A2AC24"/>
              </a:solidFill>
            </c:spPr>
            <c:extLst>
              <c:ext xmlns:c16="http://schemas.microsoft.com/office/drawing/2014/chart" uri="{C3380CC4-5D6E-409C-BE32-E72D297353CC}">
                <c16:uniqueId val="{00000451-085C-458F-9BEB-3F36C6ADFC53}"/>
              </c:ext>
            </c:extLst>
          </c:dPt>
          <c:dPt>
            <c:idx val="553"/>
            <c:bubble3D val="0"/>
            <c:spPr>
              <a:solidFill>
                <a:srgbClr val="2E88FC"/>
              </a:solidFill>
            </c:spPr>
            <c:extLst>
              <c:ext xmlns:c16="http://schemas.microsoft.com/office/drawing/2014/chart" uri="{C3380CC4-5D6E-409C-BE32-E72D297353CC}">
                <c16:uniqueId val="{00000453-085C-458F-9BEB-3F36C6ADFC53}"/>
              </c:ext>
            </c:extLst>
          </c:dPt>
          <c:dPt>
            <c:idx val="554"/>
            <c:bubble3D val="0"/>
            <c:spPr>
              <a:solidFill>
                <a:srgbClr val="69F514"/>
              </a:solidFill>
            </c:spPr>
            <c:extLst>
              <c:ext xmlns:c16="http://schemas.microsoft.com/office/drawing/2014/chart" uri="{C3380CC4-5D6E-409C-BE32-E72D297353CC}">
                <c16:uniqueId val="{00000455-085C-458F-9BEB-3F36C6ADFC53}"/>
              </c:ext>
            </c:extLst>
          </c:dPt>
          <c:dPt>
            <c:idx val="555"/>
            <c:bubble3D val="0"/>
            <c:spPr>
              <a:solidFill>
                <a:srgbClr val="1709DE"/>
              </a:solidFill>
            </c:spPr>
            <c:extLst>
              <c:ext xmlns:c16="http://schemas.microsoft.com/office/drawing/2014/chart" uri="{C3380CC4-5D6E-409C-BE32-E72D297353CC}">
                <c16:uniqueId val="{00000457-085C-458F-9BEB-3F36C6ADFC53}"/>
              </c:ext>
            </c:extLst>
          </c:dPt>
          <c:dPt>
            <c:idx val="556"/>
            <c:bubble3D val="0"/>
            <c:spPr>
              <a:solidFill>
                <a:srgbClr val="FF2B63"/>
              </a:solidFill>
            </c:spPr>
            <c:extLst>
              <c:ext xmlns:c16="http://schemas.microsoft.com/office/drawing/2014/chart" uri="{C3380CC4-5D6E-409C-BE32-E72D297353CC}">
                <c16:uniqueId val="{00000459-085C-458F-9BEB-3F36C6ADFC53}"/>
              </c:ext>
            </c:extLst>
          </c:dPt>
          <c:dPt>
            <c:idx val="557"/>
            <c:bubble3D val="0"/>
            <c:spPr>
              <a:solidFill>
                <a:srgbClr val="38DBEB"/>
              </a:solidFill>
            </c:spPr>
            <c:extLst>
              <c:ext xmlns:c16="http://schemas.microsoft.com/office/drawing/2014/chart" uri="{C3380CC4-5D6E-409C-BE32-E72D297353CC}">
                <c16:uniqueId val="{0000045B-085C-458F-9BEB-3F36C6ADFC53}"/>
              </c:ext>
            </c:extLst>
          </c:dPt>
          <c:dPt>
            <c:idx val="558"/>
            <c:bubble3D val="0"/>
            <c:spPr>
              <a:solidFill>
                <a:srgbClr val="DBD127"/>
              </a:solidFill>
            </c:spPr>
            <c:extLst>
              <c:ext xmlns:c16="http://schemas.microsoft.com/office/drawing/2014/chart" uri="{C3380CC4-5D6E-409C-BE32-E72D297353CC}">
                <c16:uniqueId val="{0000045D-085C-458F-9BEB-3F36C6ADFC53}"/>
              </c:ext>
            </c:extLst>
          </c:dPt>
          <c:dPt>
            <c:idx val="559"/>
            <c:bubble3D val="0"/>
            <c:spPr>
              <a:solidFill>
                <a:srgbClr val="34C039"/>
              </a:solidFill>
            </c:spPr>
            <c:extLst>
              <c:ext xmlns:c16="http://schemas.microsoft.com/office/drawing/2014/chart" uri="{C3380CC4-5D6E-409C-BE32-E72D297353CC}">
                <c16:uniqueId val="{0000045F-085C-458F-9BEB-3F36C6ADFC53}"/>
              </c:ext>
            </c:extLst>
          </c:dPt>
          <c:dPt>
            <c:idx val="560"/>
            <c:bubble3D val="0"/>
            <c:spPr>
              <a:solidFill>
                <a:srgbClr val="6B095F"/>
              </a:solidFill>
            </c:spPr>
            <c:extLst>
              <c:ext xmlns:c16="http://schemas.microsoft.com/office/drawing/2014/chart" uri="{C3380CC4-5D6E-409C-BE32-E72D297353CC}">
                <c16:uniqueId val="{00000461-085C-458F-9BEB-3F36C6ADFC53}"/>
              </c:ext>
            </c:extLst>
          </c:dPt>
          <c:dPt>
            <c:idx val="561"/>
            <c:bubble3D val="0"/>
            <c:spPr>
              <a:solidFill>
                <a:srgbClr val="542312"/>
              </a:solidFill>
            </c:spPr>
            <c:extLst>
              <c:ext xmlns:c16="http://schemas.microsoft.com/office/drawing/2014/chart" uri="{C3380CC4-5D6E-409C-BE32-E72D297353CC}">
                <c16:uniqueId val="{00000463-085C-458F-9BEB-3F36C6ADFC53}"/>
              </c:ext>
            </c:extLst>
          </c:dPt>
          <c:dPt>
            <c:idx val="562"/>
            <c:bubble3D val="0"/>
            <c:spPr>
              <a:solidFill>
                <a:srgbClr val="FF56B0"/>
              </a:solidFill>
            </c:spPr>
            <c:extLst>
              <c:ext xmlns:c16="http://schemas.microsoft.com/office/drawing/2014/chart" uri="{C3380CC4-5D6E-409C-BE32-E72D297353CC}">
                <c16:uniqueId val="{00000465-085C-458F-9BEB-3F36C6ADFC53}"/>
              </c:ext>
            </c:extLst>
          </c:dPt>
          <c:dPt>
            <c:idx val="563"/>
            <c:bubble3D val="0"/>
            <c:spPr>
              <a:solidFill>
                <a:srgbClr val="70EEFC"/>
              </a:solidFill>
            </c:spPr>
            <c:extLst>
              <c:ext xmlns:c16="http://schemas.microsoft.com/office/drawing/2014/chart" uri="{C3380CC4-5D6E-409C-BE32-E72D297353CC}">
                <c16:uniqueId val="{00000467-085C-458F-9BEB-3F36C6ADFC53}"/>
              </c:ext>
            </c:extLst>
          </c:dPt>
          <c:dPt>
            <c:idx val="564"/>
            <c:bubble3D val="0"/>
            <c:spPr>
              <a:solidFill>
                <a:srgbClr val="14F52A"/>
              </a:solidFill>
            </c:spPr>
            <c:extLst>
              <c:ext xmlns:c16="http://schemas.microsoft.com/office/drawing/2014/chart" uri="{C3380CC4-5D6E-409C-BE32-E72D297353CC}">
                <c16:uniqueId val="{00000469-085C-458F-9BEB-3F36C6ADFC53}"/>
              </c:ext>
            </c:extLst>
          </c:dPt>
          <c:dPt>
            <c:idx val="565"/>
            <c:bubble3D val="0"/>
            <c:spPr>
              <a:solidFill>
                <a:srgbClr val="3AF975"/>
              </a:solidFill>
            </c:spPr>
            <c:extLst>
              <c:ext xmlns:c16="http://schemas.microsoft.com/office/drawing/2014/chart" uri="{C3380CC4-5D6E-409C-BE32-E72D297353CC}">
                <c16:uniqueId val="{0000046B-085C-458F-9BEB-3F36C6ADFC53}"/>
              </c:ext>
            </c:extLst>
          </c:dPt>
          <c:dPt>
            <c:idx val="566"/>
            <c:bubble3D val="0"/>
            <c:spPr>
              <a:solidFill>
                <a:srgbClr val="6C1DAA"/>
              </a:solidFill>
            </c:spPr>
            <c:extLst>
              <c:ext xmlns:c16="http://schemas.microsoft.com/office/drawing/2014/chart" uri="{C3380CC4-5D6E-409C-BE32-E72D297353CC}">
                <c16:uniqueId val="{0000046D-085C-458F-9BEB-3F36C6ADFC53}"/>
              </c:ext>
            </c:extLst>
          </c:dPt>
          <c:dPt>
            <c:idx val="567"/>
            <c:bubble3D val="0"/>
            <c:spPr>
              <a:solidFill>
                <a:srgbClr val="913D45"/>
              </a:solidFill>
            </c:spPr>
            <c:extLst>
              <c:ext xmlns:c16="http://schemas.microsoft.com/office/drawing/2014/chart" uri="{C3380CC4-5D6E-409C-BE32-E72D297353CC}">
                <c16:uniqueId val="{0000046F-085C-458F-9BEB-3F36C6ADFC53}"/>
              </c:ext>
            </c:extLst>
          </c:dPt>
          <c:dPt>
            <c:idx val="568"/>
            <c:bubble3D val="0"/>
            <c:spPr>
              <a:solidFill>
                <a:srgbClr val="FF82FC"/>
              </a:solidFill>
            </c:spPr>
            <c:extLst>
              <c:ext xmlns:c16="http://schemas.microsoft.com/office/drawing/2014/chart" uri="{C3380CC4-5D6E-409C-BE32-E72D297353CC}">
                <c16:uniqueId val="{00000471-085C-458F-9BEB-3F36C6ADFC53}"/>
              </c:ext>
            </c:extLst>
          </c:dPt>
          <c:dPt>
            <c:idx val="569"/>
            <c:bubble3D val="0"/>
            <c:spPr>
              <a:solidFill>
                <a:srgbClr val="A7020D"/>
              </a:solidFill>
            </c:spPr>
            <c:extLst>
              <c:ext xmlns:c16="http://schemas.microsoft.com/office/drawing/2014/chart" uri="{C3380CC4-5D6E-409C-BE32-E72D297353CC}">
                <c16:uniqueId val="{00000473-085C-458F-9BEB-3F36C6ADFC53}"/>
              </c:ext>
            </c:extLst>
          </c:dPt>
          <c:dPt>
            <c:idx val="570"/>
            <c:bubble3D val="0"/>
            <c:spPr>
              <a:solidFill>
                <a:srgbClr val="4D1A2E"/>
              </a:solidFill>
            </c:spPr>
            <c:extLst>
              <c:ext xmlns:c16="http://schemas.microsoft.com/office/drawing/2014/chart" uri="{C3380CC4-5D6E-409C-BE32-E72D297353CC}">
                <c16:uniqueId val="{00000475-085C-458F-9BEB-3F36C6ADFC53}"/>
              </c:ext>
            </c:extLst>
          </c:dPt>
          <c:dPt>
            <c:idx val="571"/>
            <c:bubble3D val="0"/>
            <c:spPr>
              <a:solidFill>
                <a:srgbClr val="4131B2"/>
              </a:solidFill>
            </c:spPr>
            <c:extLst>
              <c:ext xmlns:c16="http://schemas.microsoft.com/office/drawing/2014/chart" uri="{C3380CC4-5D6E-409C-BE32-E72D297353CC}">
                <c16:uniqueId val="{00000477-085C-458F-9BEB-3F36C6ADFC53}"/>
              </c:ext>
            </c:extLst>
          </c:dPt>
          <c:dPt>
            <c:idx val="572"/>
            <c:bubble3D val="0"/>
            <c:spPr>
              <a:solidFill>
                <a:srgbClr val="6D32F6"/>
              </a:solidFill>
            </c:spPr>
            <c:extLst>
              <c:ext xmlns:c16="http://schemas.microsoft.com/office/drawing/2014/chart" uri="{C3380CC4-5D6E-409C-BE32-E72D297353CC}">
                <c16:uniqueId val="{00000479-085C-458F-9BEB-3F36C6ADFC53}"/>
              </c:ext>
            </c:extLst>
          </c:dPt>
          <c:dPt>
            <c:idx val="573"/>
            <c:bubble3D val="0"/>
            <c:spPr>
              <a:solidFill>
                <a:srgbClr val="CE5879"/>
              </a:solidFill>
            </c:spPr>
            <c:extLst>
              <c:ext xmlns:c16="http://schemas.microsoft.com/office/drawing/2014/chart" uri="{C3380CC4-5D6E-409C-BE32-E72D297353CC}">
                <c16:uniqueId val="{0000047B-085C-458F-9BEB-3F36C6ADFC53}"/>
              </c:ext>
            </c:extLst>
          </c:dPt>
          <c:dPt>
            <c:idx val="574"/>
            <c:bubble3D val="0"/>
            <c:spPr>
              <a:solidFill>
                <a:srgbClr val="FFAE48"/>
              </a:solidFill>
            </c:spPr>
            <c:extLst>
              <c:ext xmlns:c16="http://schemas.microsoft.com/office/drawing/2014/chart" uri="{C3380CC4-5D6E-409C-BE32-E72D297353CC}">
                <c16:uniqueId val="{0000047D-085C-458F-9BEB-3F36C6ADFC53}"/>
              </c:ext>
            </c:extLst>
          </c:dPt>
          <c:dPt>
            <c:idx val="575"/>
            <c:bubble3D val="0"/>
            <c:spPr>
              <a:solidFill>
                <a:srgbClr val="DF161F"/>
              </a:solidFill>
            </c:spPr>
            <c:extLst>
              <c:ext xmlns:c16="http://schemas.microsoft.com/office/drawing/2014/chart" uri="{C3380CC4-5D6E-409C-BE32-E72D297353CC}">
                <c16:uniqueId val="{0000047F-085C-458F-9BEB-3F36C6ADFC53}"/>
              </c:ext>
            </c:extLst>
          </c:dPt>
          <c:dPt>
            <c:idx val="576"/>
            <c:bubble3D val="0"/>
            <c:spPr>
              <a:solidFill>
                <a:srgbClr val="853F31"/>
              </a:solidFill>
            </c:spPr>
            <c:extLst>
              <c:ext xmlns:c16="http://schemas.microsoft.com/office/drawing/2014/chart" uri="{C3380CC4-5D6E-409C-BE32-E72D297353CC}">
                <c16:uniqueId val="{00000481-085C-458F-9BEB-3F36C6ADFC53}"/>
              </c:ext>
            </c:extLst>
          </c:dPt>
          <c:dPt>
            <c:idx val="577"/>
            <c:bubble3D val="0"/>
            <c:spPr>
              <a:solidFill>
                <a:srgbClr val="4769EF"/>
              </a:solidFill>
            </c:spPr>
            <c:extLst>
              <c:ext xmlns:c16="http://schemas.microsoft.com/office/drawing/2014/chart" uri="{C3380CC4-5D6E-409C-BE32-E72D297353CC}">
                <c16:uniqueId val="{00000483-085C-458F-9BEB-3F36C6ADFC53}"/>
              </c:ext>
            </c:extLst>
          </c:dPt>
          <c:dPt>
            <c:idx val="578"/>
            <c:bubble3D val="0"/>
            <c:spPr>
              <a:solidFill>
                <a:srgbClr val="6E4641"/>
              </a:solidFill>
            </c:spPr>
            <c:extLst>
              <c:ext xmlns:c16="http://schemas.microsoft.com/office/drawing/2014/chart" uri="{C3380CC4-5D6E-409C-BE32-E72D297353CC}">
                <c16:uniqueId val="{00000485-085C-458F-9BEB-3F36C6ADFC53}"/>
              </c:ext>
            </c:extLst>
          </c:dPt>
          <c:dPt>
            <c:idx val="579"/>
            <c:bubble3D val="0"/>
            <c:spPr>
              <a:solidFill>
                <a:srgbClr val="0A72AD"/>
              </a:solidFill>
            </c:spPr>
            <c:extLst>
              <c:ext xmlns:c16="http://schemas.microsoft.com/office/drawing/2014/chart" uri="{C3380CC4-5D6E-409C-BE32-E72D297353CC}">
                <c16:uniqueId val="{00000487-085C-458F-9BEB-3F36C6ADFC53}"/>
              </c:ext>
            </c:extLst>
          </c:dPt>
          <c:dPt>
            <c:idx val="580"/>
            <c:bubble3D val="0"/>
            <c:spPr>
              <a:solidFill>
                <a:srgbClr val="FFDA94"/>
              </a:solidFill>
            </c:spPr>
            <c:extLst>
              <c:ext xmlns:c16="http://schemas.microsoft.com/office/drawing/2014/chart" uri="{C3380CC4-5D6E-409C-BE32-E72D297353CC}">
                <c16:uniqueId val="{00000489-085C-458F-9BEB-3F36C6ADFC53}"/>
              </c:ext>
            </c:extLst>
          </c:dPt>
          <c:dPt>
            <c:idx val="581"/>
            <c:bubble3D val="0"/>
            <c:spPr>
              <a:solidFill>
                <a:srgbClr val="162A30"/>
              </a:solidFill>
            </c:spPr>
            <c:extLst>
              <c:ext xmlns:c16="http://schemas.microsoft.com/office/drawing/2014/chart" uri="{C3380CC4-5D6E-409C-BE32-E72D297353CC}">
                <c16:uniqueId val="{0000048B-085C-458F-9BEB-3F36C6ADFC53}"/>
              </c:ext>
            </c:extLst>
          </c:dPt>
          <c:dPt>
            <c:idx val="582"/>
            <c:bubble3D val="0"/>
            <c:spPr>
              <a:solidFill>
                <a:srgbClr val="BE6334"/>
              </a:solidFill>
            </c:spPr>
            <c:extLst>
              <c:ext xmlns:c16="http://schemas.microsoft.com/office/drawing/2014/chart" uri="{C3380CC4-5D6E-409C-BE32-E72D297353CC}">
                <c16:uniqueId val="{0000048D-085C-458F-9BEB-3F36C6ADFC53}"/>
              </c:ext>
            </c:extLst>
          </c:dPt>
          <c:dPt>
            <c:idx val="583"/>
            <c:bubble3D val="0"/>
            <c:spPr>
              <a:solidFill>
                <a:srgbClr val="4DA22B"/>
              </a:solidFill>
            </c:spPr>
            <c:extLst>
              <c:ext xmlns:c16="http://schemas.microsoft.com/office/drawing/2014/chart" uri="{C3380CC4-5D6E-409C-BE32-E72D297353CC}">
                <c16:uniqueId val="{0000048F-085C-458F-9BEB-3F36C6ADFC53}"/>
              </c:ext>
            </c:extLst>
          </c:dPt>
          <c:dPt>
            <c:idx val="584"/>
            <c:bubble3D val="0"/>
            <c:spPr>
              <a:solidFill>
                <a:srgbClr val="6F5A8C"/>
              </a:solidFill>
            </c:spPr>
            <c:extLst>
              <c:ext xmlns:c16="http://schemas.microsoft.com/office/drawing/2014/chart" uri="{C3380CC4-5D6E-409C-BE32-E72D297353CC}">
                <c16:uniqueId val="{00000491-085C-458F-9BEB-3F36C6ADFC53}"/>
              </c:ext>
            </c:extLst>
          </c:dPt>
          <c:dPt>
            <c:idx val="585"/>
            <c:bubble3D val="0"/>
            <c:spPr>
              <a:solidFill>
                <a:srgbClr val="478CE0"/>
              </a:solidFill>
            </c:spPr>
            <c:extLst>
              <c:ext xmlns:c16="http://schemas.microsoft.com/office/drawing/2014/chart" uri="{C3380CC4-5D6E-409C-BE32-E72D297353CC}">
                <c16:uniqueId val="{00000493-085C-458F-9BEB-3F36C6ADFC53}"/>
              </c:ext>
            </c:extLst>
          </c:dPt>
          <c:dPt>
            <c:idx val="586"/>
            <c:bubble3D val="0"/>
            <c:spPr>
              <a:solidFill>
                <a:srgbClr val="FF06E0"/>
              </a:solidFill>
            </c:spPr>
            <c:extLst>
              <c:ext xmlns:c16="http://schemas.microsoft.com/office/drawing/2014/chart" uri="{C3380CC4-5D6E-409C-BE32-E72D297353CC}">
                <c16:uniqueId val="{00000495-085C-458F-9BEB-3F36C6ADFC53}"/>
              </c:ext>
            </c:extLst>
          </c:dPt>
          <c:dPt>
            <c:idx val="587"/>
            <c:bubble3D val="0"/>
            <c:spPr>
              <a:solidFill>
                <a:srgbClr val="4E3E41"/>
              </a:solidFill>
            </c:spPr>
            <c:extLst>
              <c:ext xmlns:c16="http://schemas.microsoft.com/office/drawing/2014/chart" uri="{C3380CC4-5D6E-409C-BE32-E72D297353CC}">
                <c16:uniqueId val="{00000497-085C-458F-9BEB-3F36C6ADFC53}"/>
              </c:ext>
            </c:extLst>
          </c:dPt>
          <c:dPt>
            <c:idx val="588"/>
            <c:bubble3D val="0"/>
            <c:spPr>
              <a:solidFill>
                <a:srgbClr val="F78837"/>
              </a:solidFill>
            </c:spPr>
            <c:extLst>
              <c:ext xmlns:c16="http://schemas.microsoft.com/office/drawing/2014/chart" uri="{C3380CC4-5D6E-409C-BE32-E72D297353CC}">
                <c16:uniqueId val="{00000499-085C-458F-9BEB-3F36C6ADFC53}"/>
              </c:ext>
            </c:extLst>
          </c:dPt>
          <c:dPt>
            <c:idx val="589"/>
            <c:bubble3D val="0"/>
            <c:spPr>
              <a:solidFill>
                <a:srgbClr val="53DA68"/>
              </a:solidFill>
            </c:spPr>
            <c:extLst>
              <c:ext xmlns:c16="http://schemas.microsoft.com/office/drawing/2014/chart" uri="{C3380CC4-5D6E-409C-BE32-E72D297353CC}">
                <c16:uniqueId val="{0000049B-085C-458F-9BEB-3F36C6ADFC53}"/>
              </c:ext>
            </c:extLst>
          </c:dPt>
          <c:dPt>
            <c:idx val="590"/>
            <c:bubble3D val="0"/>
            <c:spPr>
              <a:solidFill>
                <a:srgbClr val="716ED7"/>
              </a:solidFill>
            </c:spPr>
            <c:extLst>
              <c:ext xmlns:c16="http://schemas.microsoft.com/office/drawing/2014/chart" uri="{C3380CC4-5D6E-409C-BE32-E72D297353CC}">
                <c16:uniqueId val="{0000049D-085C-458F-9BEB-3F36C6ADFC53}"/>
              </c:ext>
            </c:extLst>
          </c:dPt>
          <c:dPt>
            <c:idx val="591"/>
            <c:bubble3D val="0"/>
            <c:spPr>
              <a:solidFill>
                <a:srgbClr val="84A614"/>
              </a:solidFill>
            </c:spPr>
            <c:extLst>
              <c:ext xmlns:c16="http://schemas.microsoft.com/office/drawing/2014/chart" uri="{C3380CC4-5D6E-409C-BE32-E72D297353CC}">
                <c16:uniqueId val="{0000049F-085C-458F-9BEB-3F36C6ADFC53}"/>
              </c:ext>
            </c:extLst>
          </c:dPt>
          <c:dPt>
            <c:idx val="592"/>
            <c:bubble3D val="0"/>
            <c:spPr>
              <a:solidFill>
                <a:srgbClr val="FF312D"/>
              </a:solidFill>
            </c:spPr>
            <c:extLst>
              <c:ext xmlns:c16="http://schemas.microsoft.com/office/drawing/2014/chart" uri="{C3380CC4-5D6E-409C-BE32-E72D297353CC}">
                <c16:uniqueId val="{000004A1-085C-458F-9BEB-3F36C6ADFC53}"/>
              </c:ext>
            </c:extLst>
          </c:dPt>
          <c:dPt>
            <c:idx val="593"/>
            <c:bubble3D val="0"/>
            <c:spPr>
              <a:solidFill>
                <a:srgbClr val="855152"/>
              </a:solidFill>
            </c:spPr>
            <c:extLst>
              <c:ext xmlns:c16="http://schemas.microsoft.com/office/drawing/2014/chart" uri="{C3380CC4-5D6E-409C-BE32-E72D297353CC}">
                <c16:uniqueId val="{000004A3-085C-458F-9BEB-3F36C6ADFC53}"/>
              </c:ext>
            </c:extLst>
          </c:dPt>
          <c:dPt>
            <c:idx val="594"/>
            <c:bubble3D val="0"/>
            <c:spPr>
              <a:solidFill>
                <a:srgbClr val="2FAC3B"/>
              </a:solidFill>
            </c:spPr>
            <c:extLst>
              <c:ext xmlns:c16="http://schemas.microsoft.com/office/drawing/2014/chart" uri="{C3380CC4-5D6E-409C-BE32-E72D297353CC}">
                <c16:uniqueId val="{000004A5-085C-458F-9BEB-3F36C6ADFC53}"/>
              </c:ext>
            </c:extLst>
          </c:dPt>
          <c:dPt>
            <c:idx val="595"/>
            <c:bubble3D val="0"/>
            <c:spPr>
              <a:solidFill>
                <a:srgbClr val="5A13A4"/>
              </a:solidFill>
            </c:spPr>
            <c:extLst>
              <c:ext xmlns:c16="http://schemas.microsoft.com/office/drawing/2014/chart" uri="{C3380CC4-5D6E-409C-BE32-E72D297353CC}">
                <c16:uniqueId val="{000004A7-085C-458F-9BEB-3F36C6ADFC53}"/>
              </c:ext>
            </c:extLst>
          </c:dPt>
          <c:dPt>
            <c:idx val="596"/>
            <c:bubble3D val="0"/>
            <c:spPr>
              <a:solidFill>
                <a:srgbClr val="728223"/>
              </a:solidFill>
            </c:spPr>
            <c:extLst>
              <c:ext xmlns:c16="http://schemas.microsoft.com/office/drawing/2014/chart" uri="{C3380CC4-5D6E-409C-BE32-E72D297353CC}">
                <c16:uniqueId val="{000004A9-085C-458F-9BEB-3F36C6ADFC53}"/>
              </c:ext>
            </c:extLst>
          </c:dPt>
          <c:dPt>
            <c:idx val="597"/>
            <c:bubble3D val="0"/>
            <c:spPr>
              <a:solidFill>
                <a:srgbClr val="C1C047"/>
              </a:solidFill>
            </c:spPr>
            <c:extLst>
              <c:ext xmlns:c16="http://schemas.microsoft.com/office/drawing/2014/chart" uri="{C3380CC4-5D6E-409C-BE32-E72D297353CC}">
                <c16:uniqueId val="{000004AB-085C-458F-9BEB-3F36C6ADFC53}"/>
              </c:ext>
            </c:extLst>
          </c:dPt>
          <c:dPt>
            <c:idx val="598"/>
            <c:bubble3D val="0"/>
            <c:spPr>
              <a:solidFill>
                <a:srgbClr val="FF5D79"/>
              </a:solidFill>
            </c:spPr>
            <c:extLst>
              <c:ext xmlns:c16="http://schemas.microsoft.com/office/drawing/2014/chart" uri="{C3380CC4-5D6E-409C-BE32-E72D297353CC}">
                <c16:uniqueId val="{000004AD-085C-458F-9BEB-3F36C6ADFC53}"/>
              </c:ext>
            </c:extLst>
          </c:dPt>
          <c:dPt>
            <c:idx val="599"/>
            <c:bubble3D val="0"/>
            <c:spPr>
              <a:solidFill>
                <a:srgbClr val="BD6563"/>
              </a:solidFill>
            </c:spPr>
            <c:extLst>
              <c:ext xmlns:c16="http://schemas.microsoft.com/office/drawing/2014/chart" uri="{C3380CC4-5D6E-409C-BE32-E72D297353CC}">
                <c16:uniqueId val="{000004AF-085C-458F-9BEB-3F36C6ADFC53}"/>
              </c:ext>
            </c:extLst>
          </c:dPt>
          <c:dPt>
            <c:idx val="600"/>
            <c:bubble3D val="0"/>
            <c:spPr>
              <a:solidFill>
                <a:srgbClr val="68D13E"/>
              </a:solidFill>
            </c:spPr>
            <c:extLst>
              <c:ext xmlns:c16="http://schemas.microsoft.com/office/drawing/2014/chart" uri="{C3380CC4-5D6E-409C-BE32-E72D297353CC}">
                <c16:uniqueId val="{000004B1-085C-458F-9BEB-3F36C6ADFC53}"/>
              </c:ext>
            </c:extLst>
          </c:dPt>
          <c:dPt>
            <c:idx val="601"/>
            <c:bubble3D val="0"/>
            <c:spPr>
              <a:solidFill>
                <a:srgbClr val="604BE1"/>
              </a:solidFill>
            </c:spPr>
            <c:extLst>
              <c:ext xmlns:c16="http://schemas.microsoft.com/office/drawing/2014/chart" uri="{C3380CC4-5D6E-409C-BE32-E72D297353CC}">
                <c16:uniqueId val="{000004B3-085C-458F-9BEB-3F36C6ADFC53}"/>
              </c:ext>
            </c:extLst>
          </c:dPt>
          <c:dPt>
            <c:idx val="602"/>
            <c:bubble3D val="0"/>
            <c:spPr>
              <a:solidFill>
                <a:srgbClr val="73966E"/>
              </a:solidFill>
            </c:spPr>
            <c:extLst>
              <c:ext xmlns:c16="http://schemas.microsoft.com/office/drawing/2014/chart" uri="{C3380CC4-5D6E-409C-BE32-E72D297353CC}">
                <c16:uniqueId val="{000004B5-085C-458F-9BEB-3F36C6ADFC53}"/>
              </c:ext>
            </c:extLst>
          </c:dPt>
          <c:dPt>
            <c:idx val="603"/>
            <c:bubble3D val="0"/>
            <c:spPr>
              <a:solidFill>
                <a:srgbClr val="FEDA7B"/>
              </a:solidFill>
            </c:spPr>
            <c:extLst>
              <c:ext xmlns:c16="http://schemas.microsoft.com/office/drawing/2014/chart" uri="{C3380CC4-5D6E-409C-BE32-E72D297353CC}">
                <c16:uniqueId val="{000004B7-085C-458F-9BEB-3F36C6ADFC53}"/>
              </c:ext>
            </c:extLst>
          </c:dPt>
          <c:dPt>
            <c:idx val="604"/>
            <c:bubble3D val="0"/>
            <c:spPr>
              <a:solidFill>
                <a:srgbClr val="FF89C5"/>
              </a:solidFill>
            </c:spPr>
            <c:extLst>
              <c:ext xmlns:c16="http://schemas.microsoft.com/office/drawing/2014/chart" uri="{C3380CC4-5D6E-409C-BE32-E72D297353CC}">
                <c16:uniqueId val="{000004B9-085C-458F-9BEB-3F36C6ADFC53}"/>
              </c:ext>
            </c:extLst>
          </c:dPt>
          <c:dPt>
            <c:idx val="605"/>
            <c:bubble3D val="0"/>
            <c:spPr>
              <a:solidFill>
                <a:srgbClr val="F47974"/>
              </a:solidFill>
            </c:spPr>
            <c:extLst>
              <c:ext xmlns:c16="http://schemas.microsoft.com/office/drawing/2014/chart" uri="{C3380CC4-5D6E-409C-BE32-E72D297353CC}">
                <c16:uniqueId val="{000004BB-085C-458F-9BEB-3F36C6ADFC53}"/>
              </c:ext>
            </c:extLst>
          </c:dPt>
          <c:dPt>
            <c:idx val="606"/>
            <c:bubble3D val="0"/>
            <c:spPr>
              <a:solidFill>
                <a:srgbClr val="A1F641"/>
              </a:solidFill>
            </c:spPr>
            <c:extLst>
              <c:ext xmlns:c16="http://schemas.microsoft.com/office/drawing/2014/chart" uri="{C3380CC4-5D6E-409C-BE32-E72D297353CC}">
                <c16:uniqueId val="{000004BD-085C-458F-9BEB-3F36C6ADFC53}"/>
              </c:ext>
            </c:extLst>
          </c:dPt>
          <c:dPt>
            <c:idx val="607"/>
            <c:bubble3D val="0"/>
            <c:spPr>
              <a:solidFill>
                <a:srgbClr val="66831E"/>
              </a:solidFill>
            </c:spPr>
            <c:extLst>
              <c:ext xmlns:c16="http://schemas.microsoft.com/office/drawing/2014/chart" uri="{C3380CC4-5D6E-409C-BE32-E72D297353CC}">
                <c16:uniqueId val="{000004BF-085C-458F-9BEB-3F36C6ADFC53}"/>
              </c:ext>
            </c:extLst>
          </c:dPt>
          <c:dPt>
            <c:idx val="608"/>
            <c:bubble3D val="0"/>
            <c:spPr>
              <a:solidFill>
                <a:srgbClr val="74AAB9"/>
              </a:solidFill>
            </c:spPr>
            <c:extLst>
              <c:ext xmlns:c16="http://schemas.microsoft.com/office/drawing/2014/chart" uri="{C3380CC4-5D6E-409C-BE32-E72D297353CC}">
                <c16:uniqueId val="{000004C1-085C-458F-9BEB-3F36C6ADFC53}"/>
              </c:ext>
            </c:extLst>
          </c:dPt>
          <c:dPt>
            <c:idx val="609"/>
            <c:bubble3D val="0"/>
            <c:spPr>
              <a:solidFill>
                <a:srgbClr val="3BF4AF"/>
              </a:solidFill>
            </c:spPr>
            <c:extLst>
              <c:ext xmlns:c16="http://schemas.microsoft.com/office/drawing/2014/chart" uri="{C3380CC4-5D6E-409C-BE32-E72D297353CC}">
                <c16:uniqueId val="{000004C3-085C-458F-9BEB-3F36C6ADFC53}"/>
              </c:ext>
            </c:extLst>
          </c:dPt>
          <c:dPt>
            <c:idx val="610"/>
            <c:bubble3D val="0"/>
            <c:spPr>
              <a:solidFill>
                <a:srgbClr val="FFB511"/>
              </a:solidFill>
            </c:spPr>
            <c:extLst>
              <c:ext xmlns:c16="http://schemas.microsoft.com/office/drawing/2014/chart" uri="{C3380CC4-5D6E-409C-BE32-E72D297353CC}">
                <c16:uniqueId val="{000004C5-085C-458F-9BEB-3F36C6ADFC53}"/>
              </c:ext>
            </c:extLst>
          </c:dPt>
          <c:dPt>
            <c:idx val="611"/>
            <c:bubble3D val="0"/>
            <c:spPr>
              <a:solidFill>
                <a:srgbClr val="2C8D85"/>
              </a:solidFill>
            </c:spPr>
            <c:extLst>
              <c:ext xmlns:c16="http://schemas.microsoft.com/office/drawing/2014/chart" uri="{C3380CC4-5D6E-409C-BE32-E72D297353CC}">
                <c16:uniqueId val="{000004C7-085C-458F-9BEB-3F36C6ADFC53}"/>
              </c:ext>
            </c:extLst>
          </c:dPt>
          <c:dPt>
            <c:idx val="612"/>
            <c:bubble3D val="0"/>
            <c:spPr>
              <a:solidFill>
                <a:srgbClr val="D91A45"/>
              </a:solidFill>
            </c:spPr>
            <c:extLst>
              <c:ext xmlns:c16="http://schemas.microsoft.com/office/drawing/2014/chart" uri="{C3380CC4-5D6E-409C-BE32-E72D297353CC}">
                <c16:uniqueId val="{000004C9-085C-458F-9BEB-3F36C6ADFC53}"/>
              </c:ext>
            </c:extLst>
          </c:dPt>
          <c:dPt>
            <c:idx val="613"/>
            <c:bubble3D val="0"/>
            <c:spPr>
              <a:solidFill>
                <a:srgbClr val="6DBC5A"/>
              </a:solidFill>
            </c:spPr>
            <c:extLst>
              <c:ext xmlns:c16="http://schemas.microsoft.com/office/drawing/2014/chart" uri="{C3380CC4-5D6E-409C-BE32-E72D297353CC}">
                <c16:uniqueId val="{000004CB-085C-458F-9BEB-3F36C6ADFC53}"/>
              </c:ext>
            </c:extLst>
          </c:dPt>
          <c:dPt>
            <c:idx val="614"/>
            <c:bubble3D val="0"/>
            <c:spPr>
              <a:solidFill>
                <a:srgbClr val="75BE05"/>
              </a:solidFill>
            </c:spPr>
            <c:extLst>
              <c:ext xmlns:c16="http://schemas.microsoft.com/office/drawing/2014/chart" uri="{C3380CC4-5D6E-409C-BE32-E72D297353CC}">
                <c16:uniqueId val="{000004CD-085C-458F-9BEB-3F36C6ADFC53}"/>
              </c:ext>
            </c:extLst>
          </c:dPt>
          <c:dPt>
            <c:idx val="615"/>
            <c:bubble3D val="0"/>
            <c:spPr>
              <a:solidFill>
                <a:srgbClr val="780EE2"/>
              </a:solidFill>
            </c:spPr>
            <c:extLst>
              <c:ext xmlns:c16="http://schemas.microsoft.com/office/drawing/2014/chart" uri="{C3380CC4-5D6E-409C-BE32-E72D297353CC}">
                <c16:uniqueId val="{000004CF-085C-458F-9BEB-3F36C6ADFC53}"/>
              </c:ext>
            </c:extLst>
          </c:dPt>
          <c:dPt>
            <c:idx val="616"/>
            <c:bubble3D val="0"/>
            <c:spPr>
              <a:solidFill>
                <a:srgbClr val="FFE15D"/>
              </a:solidFill>
            </c:spPr>
            <c:extLst>
              <c:ext xmlns:c16="http://schemas.microsoft.com/office/drawing/2014/chart" uri="{C3380CC4-5D6E-409C-BE32-E72D297353CC}">
                <c16:uniqueId val="{000004D1-085C-458F-9BEB-3F36C6ADFC53}"/>
              </c:ext>
            </c:extLst>
          </c:dPt>
          <c:dPt>
            <c:idx val="617"/>
            <c:bubble3D val="0"/>
            <c:spPr>
              <a:solidFill>
                <a:srgbClr val="63A196"/>
              </a:solidFill>
            </c:spPr>
            <c:extLst>
              <c:ext xmlns:c16="http://schemas.microsoft.com/office/drawing/2014/chart" uri="{C3380CC4-5D6E-409C-BE32-E72D297353CC}">
                <c16:uniqueId val="{000004D3-085C-458F-9BEB-3F36C6ADFC53}"/>
              </c:ext>
            </c:extLst>
          </c:dPt>
          <c:dPt>
            <c:idx val="618"/>
            <c:bubble3D val="0"/>
            <c:spPr>
              <a:solidFill>
                <a:srgbClr val="123F48"/>
              </a:solidFill>
            </c:spPr>
            <c:extLst>
              <c:ext xmlns:c16="http://schemas.microsoft.com/office/drawing/2014/chart" uri="{C3380CC4-5D6E-409C-BE32-E72D297353CC}">
                <c16:uniqueId val="{000004D5-085C-458F-9BEB-3F36C6ADFC53}"/>
              </c:ext>
            </c:extLst>
          </c:dPt>
          <c:dPt>
            <c:idx val="619"/>
            <c:bubble3D val="0"/>
            <c:spPr>
              <a:solidFill>
                <a:srgbClr val="73F497"/>
              </a:solidFill>
            </c:spPr>
            <c:extLst>
              <c:ext xmlns:c16="http://schemas.microsoft.com/office/drawing/2014/chart" uri="{C3380CC4-5D6E-409C-BE32-E72D297353CC}">
                <c16:uniqueId val="{000004D7-085C-458F-9BEB-3F36C6ADFC53}"/>
              </c:ext>
            </c:extLst>
          </c:dPt>
          <c:dPt>
            <c:idx val="620"/>
            <c:bubble3D val="0"/>
            <c:spPr>
              <a:solidFill>
                <a:srgbClr val="77D250"/>
              </a:solidFill>
            </c:spPr>
            <c:extLst>
              <c:ext xmlns:c16="http://schemas.microsoft.com/office/drawing/2014/chart" uri="{C3380CC4-5D6E-409C-BE32-E72D297353CC}">
                <c16:uniqueId val="{000004D9-085C-458F-9BEB-3F36C6ADFC53}"/>
              </c:ext>
            </c:extLst>
          </c:dPt>
          <c:dPt>
            <c:idx val="621"/>
            <c:bubble3D val="0"/>
            <c:spPr>
              <a:solidFill>
                <a:srgbClr val="B52816"/>
              </a:solidFill>
            </c:spPr>
            <c:extLst>
              <c:ext xmlns:c16="http://schemas.microsoft.com/office/drawing/2014/chart" uri="{C3380CC4-5D6E-409C-BE32-E72D297353CC}">
                <c16:uniqueId val="{000004DB-085C-458F-9BEB-3F36C6ADFC53}"/>
              </c:ext>
            </c:extLst>
          </c:dPt>
          <c:dPt>
            <c:idx val="622"/>
            <c:bubble3D val="0"/>
            <c:spPr>
              <a:solidFill>
                <a:srgbClr val="FF0CAA"/>
              </a:solidFill>
            </c:spPr>
            <c:extLst>
              <c:ext xmlns:c16="http://schemas.microsoft.com/office/drawing/2014/chart" uri="{C3380CC4-5D6E-409C-BE32-E72D297353CC}">
                <c16:uniqueId val="{000004DD-085C-458F-9BEB-3F36C6ADFC53}"/>
              </c:ext>
            </c:extLst>
          </c:dPt>
          <c:dPt>
            <c:idx val="623"/>
            <c:bubble3D val="0"/>
            <c:spPr>
              <a:solidFill>
                <a:srgbClr val="9BB4A7"/>
              </a:solidFill>
            </c:spPr>
            <c:extLst>
              <c:ext xmlns:c16="http://schemas.microsoft.com/office/drawing/2014/chart" uri="{C3380CC4-5D6E-409C-BE32-E72D297353CC}">
                <c16:uniqueId val="{000004DF-085C-458F-9BEB-3F36C6ADFC53}"/>
              </c:ext>
            </c:extLst>
          </c:dPt>
          <c:dPt>
            <c:idx val="624"/>
            <c:bubble3D val="0"/>
            <c:spPr>
              <a:solidFill>
                <a:srgbClr val="4B634B"/>
              </a:solidFill>
            </c:spPr>
            <c:extLst>
              <c:ext xmlns:c16="http://schemas.microsoft.com/office/drawing/2014/chart" uri="{C3380CC4-5D6E-409C-BE32-E72D297353CC}">
                <c16:uniqueId val="{000004E1-085C-458F-9BEB-3F36C6ADFC53}"/>
              </c:ext>
            </c:extLst>
          </c:dPt>
          <c:dPt>
            <c:idx val="625"/>
            <c:bubble3D val="0"/>
            <c:spPr>
              <a:solidFill>
                <a:srgbClr val="792DD3"/>
              </a:solidFill>
            </c:spPr>
            <c:extLst>
              <c:ext xmlns:c16="http://schemas.microsoft.com/office/drawing/2014/chart" uri="{C3380CC4-5D6E-409C-BE32-E72D297353CC}">
                <c16:uniqueId val="{000004E3-085C-458F-9BEB-3F36C6ADFC53}"/>
              </c:ext>
            </c:extLst>
          </c:dPt>
          <c:dPt>
            <c:idx val="626"/>
            <c:bubble3D val="0"/>
            <c:spPr>
              <a:solidFill>
                <a:srgbClr val="78E69B"/>
              </a:solidFill>
            </c:spPr>
            <c:extLst>
              <c:ext xmlns:c16="http://schemas.microsoft.com/office/drawing/2014/chart" uri="{C3380CC4-5D6E-409C-BE32-E72D297353CC}">
                <c16:uniqueId val="{000004E5-085C-458F-9BEB-3F36C6ADFC53}"/>
              </c:ext>
            </c:extLst>
          </c:dPt>
          <c:dPt>
            <c:idx val="627"/>
            <c:bubble3D val="0"/>
            <c:spPr>
              <a:solidFill>
                <a:srgbClr val="F24249"/>
              </a:solidFill>
            </c:spPr>
            <c:extLst>
              <c:ext xmlns:c16="http://schemas.microsoft.com/office/drawing/2014/chart" uri="{C3380CC4-5D6E-409C-BE32-E72D297353CC}">
                <c16:uniqueId val="{000004E7-085C-458F-9BEB-3F36C6ADFC53}"/>
              </c:ext>
            </c:extLst>
          </c:dPt>
          <c:dPt>
            <c:idx val="628"/>
            <c:bubble3D val="0"/>
            <c:spPr>
              <a:solidFill>
                <a:srgbClr val="FF38F6"/>
              </a:solidFill>
            </c:spPr>
            <c:extLst>
              <c:ext xmlns:c16="http://schemas.microsoft.com/office/drawing/2014/chart" uri="{C3380CC4-5D6E-409C-BE32-E72D297353CC}">
                <c16:uniqueId val="{000004E9-085C-458F-9BEB-3F36C6ADFC53}"/>
              </c:ext>
            </c:extLst>
          </c:dPt>
          <c:dPt>
            <c:idx val="629"/>
            <c:bubble3D val="0"/>
            <c:spPr>
              <a:solidFill>
                <a:srgbClr val="D2C8B8"/>
              </a:solidFill>
            </c:spPr>
            <c:extLst>
              <c:ext xmlns:c16="http://schemas.microsoft.com/office/drawing/2014/chart" uri="{C3380CC4-5D6E-409C-BE32-E72D297353CC}">
                <c16:uniqueId val="{000004EB-085C-458F-9BEB-3F36C6ADFC53}"/>
              </c:ext>
            </c:extLst>
          </c:dPt>
          <c:dPt>
            <c:idx val="630"/>
            <c:bubble3D val="0"/>
            <c:spPr>
              <a:solidFill>
                <a:srgbClr val="84884F"/>
              </a:solidFill>
            </c:spPr>
            <c:extLst>
              <c:ext xmlns:c16="http://schemas.microsoft.com/office/drawing/2014/chart" uri="{C3380CC4-5D6E-409C-BE32-E72D297353CC}">
                <c16:uniqueId val="{000004ED-085C-458F-9BEB-3F36C6ADFC53}"/>
              </c:ext>
            </c:extLst>
          </c:dPt>
          <c:dPt>
            <c:idx val="631"/>
            <c:bubble3D val="0"/>
            <c:spPr>
              <a:solidFill>
                <a:srgbClr val="806510"/>
              </a:solidFill>
            </c:spPr>
            <c:extLst>
              <c:ext xmlns:c16="http://schemas.microsoft.com/office/drawing/2014/chart" uri="{C3380CC4-5D6E-409C-BE32-E72D297353CC}">
                <c16:uniqueId val="{000004EF-085C-458F-9BEB-3F36C6ADFC53}"/>
              </c:ext>
            </c:extLst>
          </c:dPt>
          <c:dPt>
            <c:idx val="632"/>
            <c:bubble3D val="0"/>
            <c:spPr>
              <a:solidFill>
                <a:srgbClr val="79FBE7"/>
              </a:solidFill>
            </c:spPr>
            <c:extLst>
              <c:ext xmlns:c16="http://schemas.microsoft.com/office/drawing/2014/chart" uri="{C3380CC4-5D6E-409C-BE32-E72D297353CC}">
                <c16:uniqueId val="{000004F1-085C-458F-9BEB-3F36C6ADFC53}"/>
              </c:ext>
            </c:extLst>
          </c:dPt>
          <c:dPt>
            <c:idx val="633"/>
            <c:bubble3D val="0"/>
            <c:spPr>
              <a:solidFill>
                <a:srgbClr val="2F5D7D"/>
              </a:solidFill>
            </c:spPr>
            <c:extLst>
              <c:ext xmlns:c16="http://schemas.microsoft.com/office/drawing/2014/chart" uri="{C3380CC4-5D6E-409C-BE32-E72D297353CC}">
                <c16:uniqueId val="{000004F3-085C-458F-9BEB-3F36C6ADFC53}"/>
              </c:ext>
            </c:extLst>
          </c:dPt>
          <c:dPt>
            <c:idx val="634"/>
            <c:bubble3D val="0"/>
            <c:spPr>
              <a:solidFill>
                <a:srgbClr val="FF6442"/>
              </a:solidFill>
            </c:spPr>
            <c:extLst>
              <c:ext xmlns:c16="http://schemas.microsoft.com/office/drawing/2014/chart" uri="{C3380CC4-5D6E-409C-BE32-E72D297353CC}">
                <c16:uniqueId val="{000004F5-085C-458F-9BEB-3F36C6ADFC53}"/>
              </c:ext>
            </c:extLst>
          </c:dPt>
          <c:dPt>
            <c:idx val="635"/>
            <c:bubble3D val="0"/>
            <c:spPr>
              <a:solidFill>
                <a:srgbClr val="0ADCCA"/>
              </a:solidFill>
            </c:spPr>
            <c:extLst>
              <c:ext xmlns:c16="http://schemas.microsoft.com/office/drawing/2014/chart" uri="{C3380CC4-5D6E-409C-BE32-E72D297353CC}">
                <c16:uniqueId val="{000004F7-085C-458F-9BEB-3F36C6ADFC53}"/>
              </c:ext>
            </c:extLst>
          </c:dPt>
          <c:dPt>
            <c:idx val="636"/>
            <c:bubble3D val="0"/>
            <c:spPr>
              <a:solidFill>
                <a:srgbClr val="BCAD52"/>
              </a:solidFill>
            </c:spPr>
            <c:extLst>
              <c:ext xmlns:c16="http://schemas.microsoft.com/office/drawing/2014/chart" uri="{C3380CC4-5D6E-409C-BE32-E72D297353CC}">
                <c16:uniqueId val="{000004F9-085C-458F-9BEB-3F36C6ADFC53}"/>
              </c:ext>
            </c:extLst>
          </c:dPt>
          <c:dPt>
            <c:idx val="637"/>
            <c:bubble3D val="0"/>
            <c:spPr>
              <a:solidFill>
                <a:srgbClr val="869D4D"/>
              </a:solidFill>
            </c:spPr>
            <c:extLst>
              <c:ext xmlns:c16="http://schemas.microsoft.com/office/drawing/2014/chart" uri="{C3380CC4-5D6E-409C-BE32-E72D297353CC}">
                <c16:uniqueId val="{000004FB-085C-458F-9BEB-3F36C6ADFC53}"/>
              </c:ext>
            </c:extLst>
          </c:dPt>
          <c:dPt>
            <c:idx val="638"/>
            <c:bubble3D val="0"/>
            <c:spPr>
              <a:solidFill>
                <a:srgbClr val="7A0F32"/>
              </a:solidFill>
            </c:spPr>
            <c:extLst>
              <c:ext xmlns:c16="http://schemas.microsoft.com/office/drawing/2014/chart" uri="{C3380CC4-5D6E-409C-BE32-E72D297353CC}">
                <c16:uniqueId val="{000004FD-085C-458F-9BEB-3F36C6ADFC53}"/>
              </c:ext>
            </c:extLst>
          </c:dPt>
          <c:dPt>
            <c:idx val="639"/>
            <c:bubble3D val="0"/>
            <c:spPr>
              <a:solidFill>
                <a:srgbClr val="6B77B1"/>
              </a:solidFill>
            </c:spPr>
            <c:extLst>
              <c:ext xmlns:c16="http://schemas.microsoft.com/office/drawing/2014/chart" uri="{C3380CC4-5D6E-409C-BE32-E72D297353CC}">
                <c16:uniqueId val="{000004FF-085C-458F-9BEB-3F36C6ADFC53}"/>
              </c:ext>
            </c:extLst>
          </c:dPt>
          <c:dPt>
            <c:idx val="640"/>
            <c:bubble3D val="0"/>
            <c:spPr>
              <a:solidFill>
                <a:srgbClr val="FF908E"/>
              </a:solidFill>
            </c:spPr>
            <c:extLst>
              <c:ext xmlns:c16="http://schemas.microsoft.com/office/drawing/2014/chart" uri="{C3380CC4-5D6E-409C-BE32-E72D297353CC}">
                <c16:uniqueId val="{00000501-085C-458F-9BEB-3F36C6ADFC53}"/>
              </c:ext>
            </c:extLst>
          </c:dPt>
          <c:dPt>
            <c:idx val="641"/>
            <c:bubble3D val="0"/>
            <c:spPr>
              <a:solidFill>
                <a:srgbClr val="41F0DB"/>
              </a:solidFill>
            </c:spPr>
            <c:extLst>
              <c:ext xmlns:c16="http://schemas.microsoft.com/office/drawing/2014/chart" uri="{C3380CC4-5D6E-409C-BE32-E72D297353CC}">
                <c16:uniqueId val="{00000503-085C-458F-9BEB-3F36C6ADFC53}"/>
              </c:ext>
            </c:extLst>
          </c:dPt>
          <c:dPt>
            <c:idx val="642"/>
            <c:bubble3D val="0"/>
            <c:spPr>
              <a:solidFill>
                <a:srgbClr val="F5D155"/>
              </a:solidFill>
            </c:spPr>
            <c:extLst>
              <c:ext xmlns:c16="http://schemas.microsoft.com/office/drawing/2014/chart" uri="{C3380CC4-5D6E-409C-BE32-E72D297353CC}">
                <c16:uniqueId val="{00000505-085C-458F-9BEB-3F36C6ADFC53}"/>
              </c:ext>
            </c:extLst>
          </c:dPt>
          <c:dPt>
            <c:idx val="643"/>
            <c:bubble3D val="0"/>
            <c:spPr>
              <a:solidFill>
                <a:srgbClr val="8CD689"/>
              </a:solidFill>
            </c:spPr>
            <c:extLst>
              <c:ext xmlns:c16="http://schemas.microsoft.com/office/drawing/2014/chart" uri="{C3380CC4-5D6E-409C-BE32-E72D297353CC}">
                <c16:uniqueId val="{00000507-085C-458F-9BEB-3F36C6ADFC53}"/>
              </c:ext>
            </c:extLst>
          </c:dPt>
          <c:dPt>
            <c:idx val="644"/>
            <c:bubble3D val="0"/>
            <c:spPr>
              <a:solidFill>
                <a:srgbClr val="7B237D"/>
              </a:solidFill>
            </c:spPr>
            <c:extLst>
              <c:ext xmlns:c16="http://schemas.microsoft.com/office/drawing/2014/chart" uri="{C3380CC4-5D6E-409C-BE32-E72D297353CC}">
                <c16:uniqueId val="{00000509-085C-458F-9BEB-3F36C6ADFC53}"/>
              </c:ext>
            </c:extLst>
          </c:dPt>
          <c:dPt>
            <c:idx val="645"/>
            <c:bubble3D val="0"/>
            <c:spPr>
              <a:solidFill>
                <a:srgbClr val="A891E4"/>
              </a:solidFill>
            </c:spPr>
            <c:extLst>
              <c:ext xmlns:c16="http://schemas.microsoft.com/office/drawing/2014/chart" uri="{C3380CC4-5D6E-409C-BE32-E72D297353CC}">
                <c16:uniqueId val="{0000050B-085C-458F-9BEB-3F36C6ADFC53}"/>
              </c:ext>
            </c:extLst>
          </c:dPt>
          <c:dPt>
            <c:idx val="646"/>
            <c:bubble3D val="0"/>
            <c:spPr>
              <a:solidFill>
                <a:srgbClr val="FFBCDA"/>
              </a:solidFill>
            </c:spPr>
            <c:extLst>
              <c:ext xmlns:c16="http://schemas.microsoft.com/office/drawing/2014/chart" uri="{C3380CC4-5D6E-409C-BE32-E72D297353CC}">
                <c16:uniqueId val="{0000050D-085C-458F-9BEB-3F36C6ADFC53}"/>
              </c:ext>
            </c:extLst>
          </c:dPt>
          <c:dPt>
            <c:idx val="647"/>
            <c:bubble3D val="0"/>
            <c:spPr>
              <a:solidFill>
                <a:srgbClr val="7804EC"/>
              </a:solidFill>
            </c:spPr>
            <c:extLst>
              <c:ext xmlns:c16="http://schemas.microsoft.com/office/drawing/2014/chart" uri="{C3380CC4-5D6E-409C-BE32-E72D297353CC}">
                <c16:uniqueId val="{0000050F-085C-458F-9BEB-3F36C6ADFC53}"/>
              </c:ext>
            </c:extLst>
          </c:dPt>
          <c:dPt>
            <c:idx val="648"/>
            <c:bubble3D val="0"/>
            <c:spPr>
              <a:solidFill>
                <a:srgbClr val="2EF658"/>
              </a:solidFill>
            </c:spPr>
            <c:extLst>
              <c:ext xmlns:c16="http://schemas.microsoft.com/office/drawing/2014/chart" uri="{C3380CC4-5D6E-409C-BE32-E72D297353CC}">
                <c16:uniqueId val="{00000511-085C-458F-9BEB-3F36C6ADFC53}"/>
              </c:ext>
            </c:extLst>
          </c:dPt>
          <c:dPt>
            <c:idx val="649"/>
            <c:bubble3D val="0"/>
            <c:spPr>
              <a:solidFill>
                <a:srgbClr val="920EC6"/>
              </a:solidFill>
            </c:spPr>
            <c:extLst>
              <c:ext xmlns:c16="http://schemas.microsoft.com/office/drawing/2014/chart" uri="{C3380CC4-5D6E-409C-BE32-E72D297353CC}">
                <c16:uniqueId val="{00000513-085C-458F-9BEB-3F36C6ADFC53}"/>
              </c:ext>
            </c:extLst>
          </c:dPt>
          <c:dPt>
            <c:idx val="650"/>
            <c:bubble3D val="0"/>
            <c:spPr>
              <a:solidFill>
                <a:srgbClr val="7D37C8"/>
              </a:solidFill>
            </c:spPr>
            <c:extLst>
              <c:ext xmlns:c16="http://schemas.microsoft.com/office/drawing/2014/chart" uri="{C3380CC4-5D6E-409C-BE32-E72D297353CC}">
                <c16:uniqueId val="{00000515-085C-458F-9BEB-3F36C6ADFC53}"/>
              </c:ext>
            </c:extLst>
          </c:dPt>
          <c:dPt>
            <c:idx val="651"/>
            <c:bubble3D val="0"/>
            <c:spPr>
              <a:solidFill>
                <a:srgbClr val="E5AB18"/>
              </a:solidFill>
            </c:spPr>
            <c:extLst>
              <c:ext xmlns:c16="http://schemas.microsoft.com/office/drawing/2014/chart" uri="{C3380CC4-5D6E-409C-BE32-E72D297353CC}">
                <c16:uniqueId val="{00000517-085C-458F-9BEB-3F36C6ADFC53}"/>
              </c:ext>
            </c:extLst>
          </c:dPt>
          <c:dPt>
            <c:idx val="652"/>
            <c:bubble3D val="0"/>
            <c:spPr>
              <a:solidFill>
                <a:srgbClr val="FFE727"/>
              </a:solidFill>
            </c:spPr>
            <c:extLst>
              <c:ext xmlns:c16="http://schemas.microsoft.com/office/drawing/2014/chart" uri="{C3380CC4-5D6E-409C-BE32-E72D297353CC}">
                <c16:uniqueId val="{00000519-085C-458F-9BEB-3F36C6ADFC53}"/>
              </c:ext>
            </c:extLst>
          </c:dPt>
          <c:dPt>
            <c:idx val="653"/>
            <c:bubble3D val="0"/>
            <c:spPr>
              <a:solidFill>
                <a:srgbClr val="B017FD"/>
              </a:solidFill>
            </c:spPr>
            <c:extLst>
              <c:ext xmlns:c16="http://schemas.microsoft.com/office/drawing/2014/chart" uri="{C3380CC4-5D6E-409C-BE32-E72D297353CC}">
                <c16:uniqueId val="{0000051B-085C-458F-9BEB-3F36C6ADFC53}"/>
              </c:ext>
            </c:extLst>
          </c:dPt>
          <c:dPt>
            <c:idx val="654"/>
            <c:bubble3D val="0"/>
            <c:spPr>
              <a:solidFill>
                <a:srgbClr val="661A5C"/>
              </a:solidFill>
            </c:spPr>
            <c:extLst>
              <c:ext xmlns:c16="http://schemas.microsoft.com/office/drawing/2014/chart" uri="{C3380CC4-5D6E-409C-BE32-E72D297353CC}">
                <c16:uniqueId val="{0000051D-085C-458F-9BEB-3F36C6ADFC53}"/>
              </c:ext>
            </c:extLst>
          </c:dPt>
          <c:dPt>
            <c:idx val="655"/>
            <c:bubble3D val="0"/>
            <c:spPr>
              <a:solidFill>
                <a:srgbClr val="994702"/>
              </a:solidFill>
            </c:spPr>
            <c:extLst>
              <c:ext xmlns:c16="http://schemas.microsoft.com/office/drawing/2014/chart" uri="{C3380CC4-5D6E-409C-BE32-E72D297353CC}">
                <c16:uniqueId val="{0000051F-085C-458F-9BEB-3F36C6ADFC53}"/>
              </c:ext>
            </c:extLst>
          </c:dPt>
          <c:dPt>
            <c:idx val="656"/>
            <c:bubble3D val="0"/>
            <c:spPr>
              <a:solidFill>
                <a:srgbClr val="7E4B14"/>
              </a:solidFill>
            </c:spPr>
            <c:extLst>
              <c:ext xmlns:c16="http://schemas.microsoft.com/office/drawing/2014/chart" uri="{C3380CC4-5D6E-409C-BE32-E72D297353CC}">
                <c16:uniqueId val="{00000521-085C-458F-9BEB-3F36C6ADFC53}"/>
              </c:ext>
            </c:extLst>
          </c:dPt>
          <c:dPt>
            <c:idx val="657"/>
            <c:bubble3D val="0"/>
            <c:spPr>
              <a:solidFill>
                <a:srgbClr val="22C54B"/>
              </a:solidFill>
            </c:spPr>
            <c:extLst>
              <c:ext xmlns:c16="http://schemas.microsoft.com/office/drawing/2014/chart" uri="{C3380CC4-5D6E-409C-BE32-E72D297353CC}">
                <c16:uniqueId val="{00000523-085C-458F-9BEB-3F36C6ADFC53}"/>
              </c:ext>
            </c:extLst>
          </c:dPt>
          <c:dPt>
            <c:idx val="658"/>
            <c:bubble3D val="0"/>
            <c:spPr>
              <a:solidFill>
                <a:srgbClr val="FF1373"/>
              </a:solidFill>
            </c:spPr>
            <c:extLst>
              <c:ext xmlns:c16="http://schemas.microsoft.com/office/drawing/2014/chart" uri="{C3380CC4-5D6E-409C-BE32-E72D297353CC}">
                <c16:uniqueId val="{00000525-085C-458F-9BEB-3F36C6ADFC53}"/>
              </c:ext>
            </c:extLst>
          </c:dPt>
          <c:dPt>
            <c:idx val="659"/>
            <c:bubble3D val="0"/>
            <c:spPr>
              <a:solidFill>
                <a:srgbClr val="E82B0E"/>
              </a:solidFill>
            </c:spPr>
            <c:extLst>
              <c:ext xmlns:c16="http://schemas.microsoft.com/office/drawing/2014/chart" uri="{C3380CC4-5D6E-409C-BE32-E72D297353CC}">
                <c16:uniqueId val="{00000527-085C-458F-9BEB-3F36C6ADFC53}"/>
              </c:ext>
            </c:extLst>
          </c:dPt>
          <c:dPt>
            <c:idx val="660"/>
            <c:bubble3D val="0"/>
            <c:spPr>
              <a:solidFill>
                <a:srgbClr val="9F3F5F"/>
              </a:solidFill>
            </c:spPr>
            <c:extLst>
              <c:ext xmlns:c16="http://schemas.microsoft.com/office/drawing/2014/chart" uri="{C3380CC4-5D6E-409C-BE32-E72D297353CC}">
                <c16:uniqueId val="{00000529-085C-458F-9BEB-3F36C6ADFC53}"/>
              </c:ext>
            </c:extLst>
          </c:dPt>
          <c:dPt>
            <c:idx val="661"/>
            <c:bubble3D val="0"/>
            <c:spPr>
              <a:solidFill>
                <a:srgbClr val="9F7F3F"/>
              </a:solidFill>
            </c:spPr>
            <c:extLst>
              <c:ext xmlns:c16="http://schemas.microsoft.com/office/drawing/2014/chart" uri="{C3380CC4-5D6E-409C-BE32-E72D297353CC}">
                <c16:uniqueId val="{0000052B-085C-458F-9BEB-3F36C6ADFC53}"/>
              </c:ext>
            </c:extLst>
          </c:dPt>
          <c:dPt>
            <c:idx val="662"/>
            <c:bubble3D val="0"/>
            <c:spPr>
              <a:solidFill>
                <a:srgbClr val="7F5F5F"/>
              </a:solidFill>
            </c:spPr>
            <c:extLst>
              <c:ext xmlns:c16="http://schemas.microsoft.com/office/drawing/2014/chart" uri="{C3380CC4-5D6E-409C-BE32-E72D297353CC}">
                <c16:uniqueId val="{0000052D-085C-458F-9BEB-3F36C6ADFC53}"/>
              </c:ext>
            </c:extLst>
          </c:dPt>
          <c:dPt>
            <c:idx val="663"/>
            <c:bubble3D val="0"/>
            <c:spPr>
              <a:solidFill>
                <a:srgbClr val="5FDF7F"/>
              </a:solidFill>
            </c:spPr>
            <c:extLst>
              <c:ext xmlns:c16="http://schemas.microsoft.com/office/drawing/2014/chart" uri="{C3380CC4-5D6E-409C-BE32-E72D297353CC}">
                <c16:uniqueId val="{0000052F-085C-458F-9BEB-3F36C6ADFC53}"/>
              </c:ext>
            </c:extLst>
          </c:dPt>
          <c:dPt>
            <c:idx val="664"/>
            <c:bubble3D val="0"/>
            <c:spPr>
              <a:solidFill>
                <a:srgbClr val="FF3FBF"/>
              </a:solidFill>
            </c:spPr>
            <c:extLst>
              <c:ext xmlns:c16="http://schemas.microsoft.com/office/drawing/2014/chart" uri="{C3380CC4-5D6E-409C-BE32-E72D297353CC}">
                <c16:uniqueId val="{00000531-085C-458F-9BEB-3F36C6ADFC53}"/>
              </c:ext>
            </c:extLst>
          </c:dPt>
          <c:dPt>
            <c:idx val="665"/>
            <c:bubble3D val="0"/>
            <c:spPr>
              <a:solidFill>
                <a:srgbClr val="1F3F1F"/>
              </a:solidFill>
            </c:spPr>
            <c:extLst>
              <c:ext xmlns:c16="http://schemas.microsoft.com/office/drawing/2014/chart" uri="{C3380CC4-5D6E-409C-BE32-E72D297353CC}">
                <c16:uniqueId val="{00000533-085C-458F-9BEB-3F36C6ADFC53}"/>
              </c:ext>
            </c:extLst>
          </c:dPt>
          <c:dPt>
            <c:idx val="666"/>
            <c:bubble3D val="0"/>
            <c:spPr>
              <a:solidFill>
                <a:srgbClr val="D86462"/>
              </a:solidFill>
            </c:spPr>
            <c:extLst>
              <c:ext xmlns:c16="http://schemas.microsoft.com/office/drawing/2014/chart" uri="{C3380CC4-5D6E-409C-BE32-E72D297353CC}">
                <c16:uniqueId val="{00000535-085C-458F-9BEB-3F36C6ADFC53}"/>
              </c:ext>
            </c:extLst>
          </c:dPt>
          <c:dPt>
            <c:idx val="667"/>
            <c:bubble3D val="0"/>
            <c:spPr>
              <a:solidFill>
                <a:srgbClr val="A5B77C"/>
              </a:solidFill>
            </c:spPr>
            <c:extLst>
              <c:ext xmlns:c16="http://schemas.microsoft.com/office/drawing/2014/chart" uri="{C3380CC4-5D6E-409C-BE32-E72D297353CC}">
                <c16:uniqueId val="{00000537-085C-458F-9BEB-3F36C6ADFC53}"/>
              </c:ext>
            </c:extLst>
          </c:dPt>
          <c:dPt>
            <c:idx val="668"/>
            <c:bubble3D val="0"/>
            <c:spPr>
              <a:solidFill>
                <a:srgbClr val="8073AA"/>
              </a:solidFill>
            </c:spPr>
            <c:extLst>
              <c:ext xmlns:c16="http://schemas.microsoft.com/office/drawing/2014/chart" uri="{C3380CC4-5D6E-409C-BE32-E72D297353CC}">
                <c16:uniqueId val="{00000539-085C-458F-9BEB-3F36C6ADFC53}"/>
              </c:ext>
            </c:extLst>
          </c:dPt>
          <c:dPt>
            <c:idx val="669"/>
            <c:bubble3D val="0"/>
            <c:spPr>
              <a:solidFill>
                <a:srgbClr val="9CF9B3"/>
              </a:solidFill>
            </c:spPr>
            <c:extLst>
              <c:ext xmlns:c16="http://schemas.microsoft.com/office/drawing/2014/chart" uri="{C3380CC4-5D6E-409C-BE32-E72D297353CC}">
                <c16:uniqueId val="{0000053B-085C-458F-9BEB-3F36C6ADFC53}"/>
              </c:ext>
            </c:extLst>
          </c:dPt>
          <c:dPt>
            <c:idx val="670"/>
            <c:bubble3D val="0"/>
            <c:spPr>
              <a:solidFill>
                <a:srgbClr val="FF6B0B"/>
              </a:solidFill>
            </c:spPr>
            <c:extLst>
              <c:ext xmlns:c16="http://schemas.microsoft.com/office/drawing/2014/chart" uri="{C3380CC4-5D6E-409C-BE32-E72D297353CC}">
                <c16:uniqueId val="{0000053D-085C-458F-9BEB-3F36C6ADFC53}"/>
              </c:ext>
            </c:extLst>
          </c:dPt>
          <c:dPt>
            <c:idx val="671"/>
            <c:bubble3D val="0"/>
            <c:spPr>
              <a:solidFill>
                <a:srgbClr val="575330"/>
              </a:solidFill>
            </c:spPr>
            <c:extLst>
              <c:ext xmlns:c16="http://schemas.microsoft.com/office/drawing/2014/chart" uri="{C3380CC4-5D6E-409C-BE32-E72D297353CC}">
                <c16:uniqueId val="{0000053F-085C-458F-9BEB-3F36C6ADFC53}"/>
              </c:ext>
            </c:extLst>
          </c:dPt>
          <c:dPt>
            <c:idx val="672"/>
            <c:bubble3D val="0"/>
            <c:spPr>
              <a:solidFill>
                <a:srgbClr val="108866"/>
              </a:solidFill>
            </c:spPr>
            <c:extLst>
              <c:ext xmlns:c16="http://schemas.microsoft.com/office/drawing/2014/chart" uri="{C3380CC4-5D6E-409C-BE32-E72D297353CC}">
                <c16:uniqueId val="{00000541-085C-458F-9BEB-3F36C6ADFC53}"/>
              </c:ext>
            </c:extLst>
          </c:dPt>
          <c:dPt>
            <c:idx val="673"/>
            <c:bubble3D val="0"/>
            <c:spPr>
              <a:solidFill>
                <a:srgbClr val="ACF0B8"/>
              </a:solidFill>
            </c:spPr>
            <c:extLst>
              <c:ext xmlns:c16="http://schemas.microsoft.com/office/drawing/2014/chart" uri="{C3380CC4-5D6E-409C-BE32-E72D297353CC}">
                <c16:uniqueId val="{00000543-085C-458F-9BEB-3F36C6ADFC53}"/>
              </c:ext>
            </c:extLst>
          </c:dPt>
          <c:dPt>
            <c:idx val="674"/>
            <c:bubble3D val="0"/>
            <c:spPr>
              <a:solidFill>
                <a:srgbClr val="8187F6"/>
              </a:solidFill>
            </c:spPr>
            <c:extLst>
              <c:ext xmlns:c16="http://schemas.microsoft.com/office/drawing/2014/chart" uri="{C3380CC4-5D6E-409C-BE32-E72D297353CC}">
                <c16:uniqueId val="{00000545-085C-458F-9BEB-3F36C6ADFC53}"/>
              </c:ext>
            </c:extLst>
          </c:dPt>
          <c:dPt>
            <c:idx val="675"/>
            <c:bubble3D val="0"/>
            <c:spPr>
              <a:solidFill>
                <a:srgbClr val="D913E6"/>
              </a:solidFill>
            </c:spPr>
            <c:extLst>
              <c:ext xmlns:c16="http://schemas.microsoft.com/office/drawing/2014/chart" uri="{C3380CC4-5D6E-409C-BE32-E72D297353CC}">
                <c16:uniqueId val="{00000547-085C-458F-9BEB-3F36C6ADFC53}"/>
              </c:ext>
            </c:extLst>
          </c:dPt>
          <c:dPt>
            <c:idx val="676"/>
            <c:bubble3D val="0"/>
            <c:spPr>
              <a:solidFill>
                <a:srgbClr val="FF9757"/>
              </a:solidFill>
            </c:spPr>
            <c:extLst>
              <c:ext xmlns:c16="http://schemas.microsoft.com/office/drawing/2014/chart" uri="{C3380CC4-5D6E-409C-BE32-E72D297353CC}">
                <c16:uniqueId val="{00000549-085C-458F-9BEB-3F36C6ADFC53}"/>
              </c:ext>
            </c:extLst>
          </c:dPt>
          <c:dPt>
            <c:idx val="677"/>
            <c:bubble3D val="0"/>
            <c:spPr>
              <a:solidFill>
                <a:srgbClr val="8E6741"/>
              </a:solidFill>
            </c:spPr>
            <c:extLst>
              <c:ext xmlns:c16="http://schemas.microsoft.com/office/drawing/2014/chart" uri="{C3380CC4-5D6E-409C-BE32-E72D297353CC}">
                <c16:uniqueId val="{0000054B-085C-458F-9BEB-3F36C6ADFC53}"/>
              </c:ext>
            </c:extLst>
          </c:dPt>
          <c:dPt>
            <c:idx val="678"/>
            <c:bubble3D val="0"/>
            <c:spPr>
              <a:solidFill>
                <a:srgbClr val="49AD69"/>
              </a:solidFill>
            </c:spPr>
            <c:extLst>
              <c:ext xmlns:c16="http://schemas.microsoft.com/office/drawing/2014/chart" uri="{C3380CC4-5D6E-409C-BE32-E72D297353CC}">
                <c16:uniqueId val="{0000054D-085C-458F-9BEB-3F36C6ADFC53}"/>
              </c:ext>
            </c:extLst>
          </c:dPt>
          <c:dPt>
            <c:idx val="679"/>
            <c:bubble3D val="0"/>
            <c:spPr>
              <a:solidFill>
                <a:srgbClr val="B228F5"/>
              </a:solidFill>
            </c:spPr>
            <c:extLst>
              <c:ext xmlns:c16="http://schemas.microsoft.com/office/drawing/2014/chart" uri="{C3380CC4-5D6E-409C-BE32-E72D297353CC}">
                <c16:uniqueId val="{0000054F-085C-458F-9BEB-3F36C6ADFC53}"/>
              </c:ext>
            </c:extLst>
          </c:dPt>
          <c:dPt>
            <c:idx val="680"/>
            <c:bubble3D val="0"/>
            <c:spPr>
              <a:solidFill>
                <a:srgbClr val="839B41"/>
              </a:solidFill>
            </c:spPr>
            <c:extLst>
              <c:ext xmlns:c16="http://schemas.microsoft.com/office/drawing/2014/chart" uri="{C3380CC4-5D6E-409C-BE32-E72D297353CC}">
                <c16:uniqueId val="{00000551-085C-458F-9BEB-3F36C6ADFC53}"/>
              </c:ext>
            </c:extLst>
          </c:dPt>
          <c:dPt>
            <c:idx val="681"/>
            <c:bubble3D val="0"/>
            <c:spPr>
              <a:solidFill>
                <a:srgbClr val="162D1A"/>
              </a:solidFill>
            </c:spPr>
            <c:extLst>
              <c:ext xmlns:c16="http://schemas.microsoft.com/office/drawing/2014/chart" uri="{C3380CC4-5D6E-409C-BE32-E72D297353CC}">
                <c16:uniqueId val="{00000553-085C-458F-9BEB-3F36C6ADFC53}"/>
              </c:ext>
            </c:extLst>
          </c:dPt>
          <c:dPt>
            <c:idx val="682"/>
            <c:bubble3D val="0"/>
            <c:spPr>
              <a:solidFill>
                <a:srgbClr val="FFC2A4"/>
              </a:solidFill>
            </c:spPr>
            <c:extLst>
              <c:ext xmlns:c16="http://schemas.microsoft.com/office/drawing/2014/chart" uri="{C3380CC4-5D6E-409C-BE32-E72D297353CC}">
                <c16:uniqueId val="{00000555-085C-458F-9BEB-3F36C6ADFC53}"/>
              </c:ext>
            </c:extLst>
          </c:dPt>
          <c:dPt>
            <c:idx val="683"/>
            <c:bubble3D val="0"/>
            <c:spPr>
              <a:solidFill>
                <a:srgbClr val="C67A52"/>
              </a:solidFill>
            </c:spPr>
            <c:extLst>
              <c:ext xmlns:c16="http://schemas.microsoft.com/office/drawing/2014/chart" uri="{C3380CC4-5D6E-409C-BE32-E72D297353CC}">
                <c16:uniqueId val="{00000557-085C-458F-9BEB-3F36C6ADFC53}"/>
              </c:ext>
            </c:extLst>
          </c:dPt>
          <c:dPt>
            <c:idx val="684"/>
            <c:bubble3D val="0"/>
            <c:spPr>
              <a:solidFill>
                <a:srgbClr val="82D16C"/>
              </a:solidFill>
            </c:spPr>
            <c:extLst>
              <c:ext xmlns:c16="http://schemas.microsoft.com/office/drawing/2014/chart" uri="{C3380CC4-5D6E-409C-BE32-E72D297353CC}">
                <c16:uniqueId val="{00000559-085C-458F-9BEB-3F36C6ADFC53}"/>
              </c:ext>
            </c:extLst>
          </c:dPt>
          <c:dPt>
            <c:idx val="685"/>
            <c:bubble3D val="0"/>
            <c:spPr>
              <a:solidFill>
                <a:srgbClr val="B86131"/>
              </a:solidFill>
            </c:spPr>
            <c:extLst>
              <c:ext xmlns:c16="http://schemas.microsoft.com/office/drawing/2014/chart" uri="{C3380CC4-5D6E-409C-BE32-E72D297353CC}">
                <c16:uniqueId val="{0000055B-085C-458F-9BEB-3F36C6ADFC53}"/>
              </c:ext>
            </c:extLst>
          </c:dPt>
          <c:dPt>
            <c:idx val="686"/>
            <c:bubble3D val="0"/>
            <c:spPr>
              <a:solidFill>
                <a:srgbClr val="84AF8C"/>
              </a:solidFill>
            </c:spPr>
            <c:extLst>
              <c:ext xmlns:c16="http://schemas.microsoft.com/office/drawing/2014/chart" uri="{C3380CC4-5D6E-409C-BE32-E72D297353CC}">
                <c16:uniqueId val="{0000055D-085C-458F-9BEB-3F36C6ADFC53}"/>
              </c:ext>
            </c:extLst>
          </c:dPt>
          <c:dPt>
            <c:idx val="687"/>
            <c:bubble3D val="0"/>
            <c:spPr>
              <a:solidFill>
                <a:srgbClr val="53474D"/>
              </a:solidFill>
            </c:spPr>
            <c:extLst>
              <c:ext xmlns:c16="http://schemas.microsoft.com/office/drawing/2014/chart" uri="{C3380CC4-5D6E-409C-BE32-E72D297353CC}">
                <c16:uniqueId val="{0000055F-085C-458F-9BEB-3F36C6ADFC53}"/>
              </c:ext>
            </c:extLst>
          </c:dPt>
          <c:dPt>
            <c:idx val="688"/>
            <c:bubble3D val="0"/>
            <c:spPr>
              <a:solidFill>
                <a:srgbClr val="FFEEF0"/>
              </a:solidFill>
            </c:spPr>
            <c:extLst>
              <c:ext xmlns:c16="http://schemas.microsoft.com/office/drawing/2014/chart" uri="{C3380CC4-5D6E-409C-BE32-E72D297353CC}">
                <c16:uniqueId val="{00000561-085C-458F-9BEB-3F36C6ADFC53}"/>
              </c:ext>
            </c:extLst>
          </c:dPt>
          <c:dPt>
            <c:idx val="689"/>
            <c:bubble3D val="0"/>
            <c:spPr>
              <a:solidFill>
                <a:srgbClr val="FD8E63"/>
              </a:solidFill>
            </c:spPr>
            <c:extLst>
              <c:ext xmlns:c16="http://schemas.microsoft.com/office/drawing/2014/chart" uri="{C3380CC4-5D6E-409C-BE32-E72D297353CC}">
                <c16:uniqueId val="{00000563-085C-458F-9BEB-3F36C6ADFC53}"/>
              </c:ext>
            </c:extLst>
          </c:dPt>
          <c:dPt>
            <c:idx val="690"/>
            <c:bubble3D val="0"/>
            <c:spPr>
              <a:solidFill>
                <a:srgbClr val="BBF670"/>
              </a:solidFill>
            </c:spPr>
            <c:extLst>
              <c:ext xmlns:c16="http://schemas.microsoft.com/office/drawing/2014/chart" uri="{C3380CC4-5D6E-409C-BE32-E72D297353CC}">
                <c16:uniqueId val="{00000565-085C-458F-9BEB-3F36C6ADFC53}"/>
              </c:ext>
            </c:extLst>
          </c:dPt>
          <c:dPt>
            <c:idx val="691"/>
            <c:bubble3D val="0"/>
            <c:spPr>
              <a:solidFill>
                <a:srgbClr val="BF996E"/>
              </a:solidFill>
            </c:spPr>
            <c:extLst>
              <c:ext xmlns:c16="http://schemas.microsoft.com/office/drawing/2014/chart" uri="{C3380CC4-5D6E-409C-BE32-E72D297353CC}">
                <c16:uniqueId val="{00000567-085C-458F-9BEB-3F36C6ADFC53}"/>
              </c:ext>
            </c:extLst>
          </c:dPt>
          <c:dPt>
            <c:idx val="692"/>
            <c:bubble3D val="0"/>
            <c:spPr>
              <a:solidFill>
                <a:srgbClr val="85C4D8"/>
              </a:solidFill>
            </c:spPr>
            <c:extLst>
              <c:ext xmlns:c16="http://schemas.microsoft.com/office/drawing/2014/chart" uri="{C3380CC4-5D6E-409C-BE32-E72D297353CC}">
                <c16:uniqueId val="{00000569-085C-458F-9BEB-3F36C6ADFC53}"/>
              </c:ext>
            </c:extLst>
          </c:dPt>
          <c:dPt>
            <c:idx val="693"/>
            <c:bubble3D val="0"/>
            <c:spPr>
              <a:solidFill>
                <a:srgbClr val="906281"/>
              </a:solidFill>
            </c:spPr>
            <c:extLst>
              <c:ext xmlns:c16="http://schemas.microsoft.com/office/drawing/2014/chart" uri="{C3380CC4-5D6E-409C-BE32-E72D297353CC}">
                <c16:uniqueId val="{0000056B-085C-458F-9BEB-3F36C6ADFC53}"/>
              </c:ext>
            </c:extLst>
          </c:dPt>
          <c:dPt>
            <c:idx val="694"/>
            <c:bubble3D val="0"/>
            <c:spPr>
              <a:solidFill>
                <a:srgbClr val="FF1A3C"/>
              </a:solidFill>
            </c:spPr>
            <c:extLst>
              <c:ext xmlns:c16="http://schemas.microsoft.com/office/drawing/2014/chart" uri="{C3380CC4-5D6E-409C-BE32-E72D297353CC}">
                <c16:uniqueId val="{0000056D-085C-458F-9BEB-3F36C6ADFC53}"/>
              </c:ext>
            </c:extLst>
          </c:dPt>
          <c:dPt>
            <c:idx val="695"/>
            <c:bubble3D val="0"/>
            <c:spPr>
              <a:solidFill>
                <a:srgbClr val="35A275"/>
              </a:solidFill>
            </c:spPr>
            <c:extLst>
              <c:ext xmlns:c16="http://schemas.microsoft.com/office/drawing/2014/chart" uri="{C3380CC4-5D6E-409C-BE32-E72D297353CC}">
                <c16:uniqueId val="{0000056F-085C-458F-9BEB-3F36C6ADFC53}"/>
              </c:ext>
            </c:extLst>
          </c:dPt>
          <c:dPt>
            <c:idx val="696"/>
            <c:bubble3D val="0"/>
            <c:spPr>
              <a:solidFill>
                <a:srgbClr val="F31B73"/>
              </a:solidFill>
            </c:spPr>
            <c:extLst>
              <c:ext xmlns:c16="http://schemas.microsoft.com/office/drawing/2014/chart" uri="{C3380CC4-5D6E-409C-BE32-E72D297353CC}">
                <c16:uniqueId val="{00000571-085C-458F-9BEB-3F36C6ADFC53}"/>
              </c:ext>
            </c:extLst>
          </c:dPt>
          <c:dPt>
            <c:idx val="697"/>
            <c:bubble3D val="0"/>
            <c:spPr>
              <a:solidFill>
                <a:srgbClr val="C5D1AB"/>
              </a:solidFill>
            </c:spPr>
            <c:extLst>
              <c:ext xmlns:c16="http://schemas.microsoft.com/office/drawing/2014/chart" uri="{C3380CC4-5D6E-409C-BE32-E72D297353CC}">
                <c16:uniqueId val="{00000573-085C-458F-9BEB-3F36C6ADFC53}"/>
              </c:ext>
            </c:extLst>
          </c:dPt>
          <c:dPt>
            <c:idx val="698"/>
            <c:bubble3D val="0"/>
            <c:spPr>
              <a:solidFill>
                <a:srgbClr val="86D823"/>
              </a:solidFill>
            </c:spPr>
            <c:extLst>
              <c:ext xmlns:c16="http://schemas.microsoft.com/office/drawing/2014/chart" uri="{C3380CC4-5D6E-409C-BE32-E72D297353CC}">
                <c16:uniqueId val="{00000575-085C-458F-9BEB-3F36C6ADFC53}"/>
              </c:ext>
            </c:extLst>
          </c:dPt>
          <c:dPt>
            <c:idx val="699"/>
            <c:bubble3D val="0"/>
            <c:spPr>
              <a:solidFill>
                <a:srgbClr val="CC7CB5"/>
              </a:solidFill>
            </c:spPr>
            <c:extLst>
              <c:ext xmlns:c16="http://schemas.microsoft.com/office/drawing/2014/chart" uri="{C3380CC4-5D6E-409C-BE32-E72D297353CC}">
                <c16:uniqueId val="{00000577-085C-458F-9BEB-3F36C6ADFC53}"/>
              </c:ext>
            </c:extLst>
          </c:dPt>
          <c:dPt>
            <c:idx val="700"/>
            <c:bubble3D val="0"/>
            <c:spPr>
              <a:solidFill>
                <a:srgbClr val="FF4688"/>
              </a:solidFill>
            </c:spPr>
            <c:extLst>
              <c:ext xmlns:c16="http://schemas.microsoft.com/office/drawing/2014/chart" uri="{C3380CC4-5D6E-409C-BE32-E72D297353CC}">
                <c16:uniqueId val="{00000579-085C-458F-9BEB-3F36C6ADFC53}"/>
              </c:ext>
            </c:extLst>
          </c:dPt>
          <c:dPt>
            <c:idx val="701"/>
            <c:bubble3D val="0"/>
            <c:spPr>
              <a:solidFill>
                <a:srgbClr val="6CB686"/>
              </a:solidFill>
            </c:spPr>
            <c:extLst>
              <c:ext xmlns:c16="http://schemas.microsoft.com/office/drawing/2014/chart" uri="{C3380CC4-5D6E-409C-BE32-E72D297353CC}">
                <c16:uniqueId val="{0000057B-085C-458F-9BEB-3F36C6ADFC53}"/>
              </c:ext>
            </c:extLst>
          </c:dPt>
          <c:dPt>
            <c:idx val="702"/>
            <c:bubble3D val="0"/>
            <c:spPr>
              <a:solidFill>
                <a:srgbClr val="2C3F76"/>
              </a:solidFill>
            </c:spPr>
            <c:extLst>
              <c:ext xmlns:c16="http://schemas.microsoft.com/office/drawing/2014/chart" uri="{C3380CC4-5D6E-409C-BE32-E72D297353CC}">
                <c16:uniqueId val="{0000057D-085C-458F-9BEB-3F36C6ADFC53}"/>
              </c:ext>
            </c:extLst>
          </c:dPt>
          <c:dPt>
            <c:idx val="703"/>
            <c:bubble3D val="0"/>
            <c:spPr>
              <a:solidFill>
                <a:srgbClr val="CB0AE7"/>
              </a:solidFill>
            </c:spPr>
            <c:extLst>
              <c:ext xmlns:c16="http://schemas.microsoft.com/office/drawing/2014/chart" uri="{C3380CC4-5D6E-409C-BE32-E72D297353CC}">
                <c16:uniqueId val="{0000057F-085C-458F-9BEB-3F36C6ADFC53}"/>
              </c:ext>
            </c:extLst>
          </c:dPt>
          <c:dPt>
            <c:idx val="704"/>
            <c:bubble3D val="0"/>
            <c:spPr>
              <a:solidFill>
                <a:srgbClr val="87EC6E"/>
              </a:solidFill>
            </c:spPr>
            <c:extLst>
              <c:ext xmlns:c16="http://schemas.microsoft.com/office/drawing/2014/chart" uri="{C3380CC4-5D6E-409C-BE32-E72D297353CC}">
                <c16:uniqueId val="{00000581-085C-458F-9BEB-3F36C6ADFC53}"/>
              </c:ext>
            </c:extLst>
          </c:dPt>
          <c:dPt>
            <c:idx val="705"/>
            <c:bubble3D val="0"/>
            <c:spPr>
              <a:solidFill>
                <a:srgbClr val="0996E8"/>
              </a:solidFill>
            </c:spPr>
            <c:extLst>
              <c:ext xmlns:c16="http://schemas.microsoft.com/office/drawing/2014/chart" uri="{C3380CC4-5D6E-409C-BE32-E72D297353CC}">
                <c16:uniqueId val="{00000583-085C-458F-9BEB-3F36C6ADFC53}"/>
              </c:ext>
            </c:extLst>
          </c:dPt>
          <c:dPt>
            <c:idx val="706"/>
            <c:bubble3D val="0"/>
            <c:spPr>
              <a:solidFill>
                <a:srgbClr val="FF72D4"/>
              </a:solidFill>
            </c:spPr>
            <c:extLst>
              <c:ext xmlns:c16="http://schemas.microsoft.com/office/drawing/2014/chart" uri="{C3380CC4-5D6E-409C-BE32-E72D297353CC}">
                <c16:uniqueId val="{00000585-085C-458F-9BEB-3F36C6ADFC53}"/>
              </c:ext>
            </c:extLst>
          </c:dPt>
          <c:dPt>
            <c:idx val="707"/>
            <c:bubble3D val="0"/>
            <c:spPr>
              <a:solidFill>
                <a:srgbClr val="A3CA97"/>
              </a:solidFill>
            </c:spPr>
            <c:extLst>
              <c:ext xmlns:c16="http://schemas.microsoft.com/office/drawing/2014/chart" uri="{C3380CC4-5D6E-409C-BE32-E72D297353CC}">
                <c16:uniqueId val="{00000587-085C-458F-9BEB-3F36C6ADFC53}"/>
              </c:ext>
            </c:extLst>
          </c:dPt>
          <c:dPt>
            <c:idx val="708"/>
            <c:bubble3D val="0"/>
            <c:spPr>
              <a:solidFill>
                <a:srgbClr val="656479"/>
              </a:solidFill>
            </c:spPr>
            <c:extLst>
              <c:ext xmlns:c16="http://schemas.microsoft.com/office/drawing/2014/chart" uri="{C3380CC4-5D6E-409C-BE32-E72D297353CC}">
                <c16:uniqueId val="{00000589-085C-458F-9BEB-3F36C6ADFC53}"/>
              </c:ext>
            </c:extLst>
          </c:dPt>
          <c:dPt>
            <c:idx val="709"/>
            <c:bubble3D val="0"/>
            <c:spPr>
              <a:solidFill>
                <a:srgbClr val="D14224"/>
              </a:solidFill>
            </c:spPr>
            <c:extLst>
              <c:ext xmlns:c16="http://schemas.microsoft.com/office/drawing/2014/chart" uri="{C3380CC4-5D6E-409C-BE32-E72D297353CC}">
                <c16:uniqueId val="{0000058B-085C-458F-9BEB-3F36C6ADFC53}"/>
              </c:ext>
            </c:extLst>
          </c:dPt>
          <c:dPt>
            <c:idx val="710"/>
            <c:bubble3D val="0"/>
            <c:spPr>
              <a:solidFill>
                <a:srgbClr val="8900B9"/>
              </a:solidFill>
            </c:spPr>
            <c:extLst>
              <c:ext xmlns:c16="http://schemas.microsoft.com/office/drawing/2014/chart" uri="{C3380CC4-5D6E-409C-BE32-E72D297353CC}">
                <c16:uniqueId val="{0000058D-085C-458F-9BEB-3F36C6ADFC53}"/>
              </c:ext>
            </c:extLst>
          </c:dPt>
          <c:dPt>
            <c:idx val="711"/>
            <c:bubble3D val="0"/>
            <c:spPr>
              <a:solidFill>
                <a:srgbClr val="46B01C"/>
              </a:solidFill>
            </c:spPr>
            <c:extLst>
              <c:ext xmlns:c16="http://schemas.microsoft.com/office/drawing/2014/chart" uri="{C3380CC4-5D6E-409C-BE32-E72D297353CC}">
                <c16:uniqueId val="{0000058F-085C-458F-9BEB-3F36C6ADFC53}"/>
              </c:ext>
            </c:extLst>
          </c:dPt>
          <c:dPt>
            <c:idx val="712"/>
            <c:bubble3D val="0"/>
            <c:spPr>
              <a:solidFill>
                <a:srgbClr val="FF9D21"/>
              </a:solidFill>
            </c:spPr>
            <c:extLst>
              <c:ext xmlns:c16="http://schemas.microsoft.com/office/drawing/2014/chart" uri="{C3380CC4-5D6E-409C-BE32-E72D297353CC}">
                <c16:uniqueId val="{00000591-085C-458F-9BEB-3F36C6ADFC53}"/>
              </c:ext>
            </c:extLst>
          </c:dPt>
          <c:dPt>
            <c:idx val="713"/>
            <c:bubble3D val="0"/>
            <c:spPr>
              <a:solidFill>
                <a:srgbClr val="DBDDA8"/>
              </a:solidFill>
            </c:spPr>
            <c:extLst>
              <c:ext xmlns:c16="http://schemas.microsoft.com/office/drawing/2014/chart" uri="{C3380CC4-5D6E-409C-BE32-E72D297353CC}">
                <c16:uniqueId val="{00000593-085C-458F-9BEB-3F36C6ADFC53}"/>
              </c:ext>
            </c:extLst>
          </c:dPt>
          <c:dPt>
            <c:idx val="714"/>
            <c:bubble3D val="0"/>
            <c:spPr>
              <a:solidFill>
                <a:srgbClr val="9D887D"/>
              </a:solidFill>
            </c:spPr>
            <c:extLst>
              <c:ext xmlns:c16="http://schemas.microsoft.com/office/drawing/2014/chart" uri="{C3380CC4-5D6E-409C-BE32-E72D297353CC}">
                <c16:uniqueId val="{00000595-085C-458F-9BEB-3F36C6ADFC53}"/>
              </c:ext>
            </c:extLst>
          </c:dPt>
          <c:dPt>
            <c:idx val="715"/>
            <c:bubble3D val="0"/>
            <c:spPr>
              <a:solidFill>
                <a:srgbClr val="D87B60"/>
              </a:solidFill>
            </c:spPr>
            <c:extLst>
              <c:ext xmlns:c16="http://schemas.microsoft.com/office/drawing/2014/chart" uri="{C3380CC4-5D6E-409C-BE32-E72D297353CC}">
                <c16:uniqueId val="{00000597-085C-458F-9BEB-3F36C6ADFC53}"/>
              </c:ext>
            </c:extLst>
          </c:dPt>
          <c:dPt>
            <c:idx val="716"/>
            <c:bubble3D val="0"/>
            <c:spPr>
              <a:solidFill>
                <a:srgbClr val="8A1405"/>
              </a:solidFill>
            </c:spPr>
            <c:extLst>
              <c:ext xmlns:c16="http://schemas.microsoft.com/office/drawing/2014/chart" uri="{C3380CC4-5D6E-409C-BE32-E72D297353CC}">
                <c16:uniqueId val="{00000599-085C-458F-9BEB-3F36C6ADFC53}"/>
              </c:ext>
            </c:extLst>
          </c:dPt>
          <c:dPt>
            <c:idx val="717"/>
            <c:bubble3D val="0"/>
            <c:spPr>
              <a:solidFill>
                <a:srgbClr val="83CA4F"/>
              </a:solidFill>
            </c:spPr>
            <c:extLst>
              <c:ext xmlns:c16="http://schemas.microsoft.com/office/drawing/2014/chart" uri="{C3380CC4-5D6E-409C-BE32-E72D297353CC}">
                <c16:uniqueId val="{0000059B-085C-458F-9BEB-3F36C6ADFC53}"/>
              </c:ext>
            </c:extLst>
          </c:dPt>
          <c:dPt>
            <c:idx val="718"/>
            <c:bubble3D val="0"/>
            <c:spPr>
              <a:solidFill>
                <a:srgbClr val="FFC96D"/>
              </a:solidFill>
            </c:spPr>
            <c:extLst>
              <c:ext xmlns:c16="http://schemas.microsoft.com/office/drawing/2014/chart" uri="{C3380CC4-5D6E-409C-BE32-E72D297353CC}">
                <c16:uniqueId val="{0000059D-085C-458F-9BEB-3F36C6ADFC53}"/>
              </c:ext>
            </c:extLst>
          </c:dPt>
          <c:dPt>
            <c:idx val="719"/>
            <c:bubble3D val="0"/>
            <c:spPr>
              <a:solidFill>
                <a:srgbClr val="13F1B9"/>
              </a:solidFill>
            </c:spPr>
            <c:extLst>
              <c:ext xmlns:c16="http://schemas.microsoft.com/office/drawing/2014/chart" uri="{C3380CC4-5D6E-409C-BE32-E72D297353CC}">
                <c16:uniqueId val="{0000059F-085C-458F-9BEB-3F36C6ADFC53}"/>
              </c:ext>
            </c:extLst>
          </c:dPt>
          <c:dPt>
            <c:idx val="720"/>
            <c:bubble3D val="0"/>
            <c:spPr>
              <a:solidFill>
                <a:srgbClr val="D6AD80"/>
              </a:solidFill>
            </c:spPr>
            <c:extLst>
              <c:ext xmlns:c16="http://schemas.microsoft.com/office/drawing/2014/chart" uri="{C3380CC4-5D6E-409C-BE32-E72D297353CC}">
                <c16:uniqueId val="{000005A1-085C-458F-9BEB-3F36C6ADFC53}"/>
              </c:ext>
            </c:extLst>
          </c:dPt>
          <c:dPt>
            <c:idx val="721"/>
            <c:bubble3D val="0"/>
            <c:spPr>
              <a:solidFill>
                <a:srgbClr val="DEB39D"/>
              </a:solidFill>
            </c:spPr>
            <c:extLst>
              <c:ext xmlns:c16="http://schemas.microsoft.com/office/drawing/2014/chart" uri="{C3380CC4-5D6E-409C-BE32-E72D297353CC}">
                <c16:uniqueId val="{000005A3-085C-458F-9BEB-3F36C6ADFC53}"/>
              </c:ext>
            </c:extLst>
          </c:dPt>
          <c:dPt>
            <c:idx val="722"/>
            <c:bubble3D val="0"/>
            <c:spPr>
              <a:solidFill>
                <a:srgbClr val="8B2850"/>
              </a:solidFill>
            </c:spPr>
            <c:extLst>
              <c:ext xmlns:c16="http://schemas.microsoft.com/office/drawing/2014/chart" uri="{C3380CC4-5D6E-409C-BE32-E72D297353CC}">
                <c16:uniqueId val="{000005A5-085C-458F-9BEB-3F36C6ADFC53}"/>
              </c:ext>
            </c:extLst>
          </c:dPt>
          <c:dPt>
            <c:idx val="723"/>
            <c:bubble3D val="0"/>
            <c:spPr>
              <a:solidFill>
                <a:srgbClr val="C0E483"/>
              </a:solidFill>
            </c:spPr>
            <c:extLst>
              <c:ext xmlns:c16="http://schemas.microsoft.com/office/drawing/2014/chart" uri="{C3380CC4-5D6E-409C-BE32-E72D297353CC}">
                <c16:uniqueId val="{000005A7-085C-458F-9BEB-3F36C6ADFC53}"/>
              </c:ext>
            </c:extLst>
          </c:dPt>
          <c:dPt>
            <c:idx val="724"/>
            <c:bubble3D val="0"/>
            <c:spPr>
              <a:solidFill>
                <a:srgbClr val="FFF5B9"/>
              </a:solidFill>
            </c:spPr>
            <c:extLst>
              <c:ext xmlns:c16="http://schemas.microsoft.com/office/drawing/2014/chart" uri="{C3380CC4-5D6E-409C-BE32-E72D297353CC}">
                <c16:uniqueId val="{000005A9-085C-458F-9BEB-3F36C6ADFC53}"/>
              </c:ext>
            </c:extLst>
          </c:dPt>
          <c:dPt>
            <c:idx val="725"/>
            <c:bubble3D val="0"/>
            <c:spPr>
              <a:solidFill>
                <a:srgbClr val="4A05CA"/>
              </a:solidFill>
            </c:spPr>
            <c:extLst>
              <c:ext xmlns:c16="http://schemas.microsoft.com/office/drawing/2014/chart" uri="{C3380CC4-5D6E-409C-BE32-E72D297353CC}">
                <c16:uniqueId val="{000005AB-085C-458F-9BEB-3F36C6ADFC53}"/>
              </c:ext>
            </c:extLst>
          </c:dPt>
          <c:dPt>
            <c:idx val="726"/>
            <c:bubble3D val="0"/>
            <c:spPr>
              <a:solidFill>
                <a:srgbClr val="0FD283"/>
              </a:solidFill>
            </c:spPr>
            <c:extLst>
              <c:ext xmlns:c16="http://schemas.microsoft.com/office/drawing/2014/chart" uri="{C3380CC4-5D6E-409C-BE32-E72D297353CC}">
                <c16:uniqueId val="{000005AD-085C-458F-9BEB-3F36C6ADFC53}"/>
              </c:ext>
            </c:extLst>
          </c:dPt>
          <c:dPt>
            <c:idx val="727"/>
            <c:bubble3D val="0"/>
            <c:spPr>
              <a:solidFill>
                <a:srgbClr val="E4EBDA"/>
              </a:solidFill>
            </c:spPr>
            <c:extLst>
              <c:ext xmlns:c16="http://schemas.microsoft.com/office/drawing/2014/chart" uri="{C3380CC4-5D6E-409C-BE32-E72D297353CC}">
                <c16:uniqueId val="{000005AF-085C-458F-9BEB-3F36C6ADFC53}"/>
              </c:ext>
            </c:extLst>
          </c:dPt>
          <c:dPt>
            <c:idx val="728"/>
            <c:bubble3D val="0"/>
            <c:spPr>
              <a:solidFill>
                <a:srgbClr val="8C3C9B"/>
              </a:solidFill>
            </c:spPr>
            <c:extLst>
              <c:ext xmlns:c16="http://schemas.microsoft.com/office/drawing/2014/chart" uri="{C3380CC4-5D6E-409C-BE32-E72D297353CC}">
                <c16:uniqueId val="{000005B1-085C-458F-9BEB-3F36C6ADFC53}"/>
              </c:ext>
            </c:extLst>
          </c:dPt>
          <c:dPt>
            <c:idx val="729"/>
            <c:bubble3D val="0"/>
            <c:spPr>
              <a:solidFill>
                <a:srgbClr val="FDFEB7"/>
              </a:solidFill>
            </c:spPr>
            <c:extLst>
              <c:ext xmlns:c16="http://schemas.microsoft.com/office/drawing/2014/chart" uri="{C3380CC4-5D6E-409C-BE32-E72D297353CC}">
                <c16:uniqueId val="{000005B3-085C-458F-9BEB-3F36C6ADFC53}"/>
              </c:ext>
            </c:extLst>
          </c:dPt>
          <c:dPt>
            <c:idx val="730"/>
            <c:bubble3D val="0"/>
            <c:spPr>
              <a:solidFill>
                <a:srgbClr val="FF2105"/>
              </a:solidFill>
            </c:spPr>
            <c:extLst>
              <c:ext xmlns:c16="http://schemas.microsoft.com/office/drawing/2014/chart" uri="{C3380CC4-5D6E-409C-BE32-E72D297353CC}">
                <c16:uniqueId val="{000005B5-085C-458F-9BEB-3F36C6ADFC53}"/>
              </c:ext>
            </c:extLst>
          </c:dPt>
          <c:dPt>
            <c:idx val="731"/>
            <c:bubble3D val="0"/>
            <c:spPr>
              <a:solidFill>
                <a:srgbClr val="8219DB"/>
              </a:solidFill>
            </c:spPr>
            <c:extLst>
              <c:ext xmlns:c16="http://schemas.microsoft.com/office/drawing/2014/chart" uri="{C3380CC4-5D6E-409C-BE32-E72D297353CC}">
                <c16:uniqueId val="{000005B7-085C-458F-9BEB-3F36C6ADFC53}"/>
              </c:ext>
            </c:extLst>
          </c:dPt>
          <c:dPt>
            <c:idx val="732"/>
            <c:bubble3D val="0"/>
            <c:spPr>
              <a:solidFill>
                <a:srgbClr val="47F687"/>
              </a:solidFill>
            </c:spPr>
            <c:extLst>
              <c:ext xmlns:c16="http://schemas.microsoft.com/office/drawing/2014/chart" uri="{C3380CC4-5D6E-409C-BE32-E72D297353CC}">
                <c16:uniqueId val="{000005B9-085C-458F-9BEB-3F36C6ADFC53}"/>
              </c:ext>
            </c:extLst>
          </c:dPt>
          <c:dPt>
            <c:idx val="733"/>
            <c:bubble3D val="0"/>
            <c:spPr>
              <a:solidFill>
                <a:srgbClr val="EB2416"/>
              </a:solidFill>
            </c:spPr>
            <c:extLst>
              <c:ext xmlns:c16="http://schemas.microsoft.com/office/drawing/2014/chart" uri="{C3380CC4-5D6E-409C-BE32-E72D297353CC}">
                <c16:uniqueId val="{000005BB-085C-458F-9BEB-3F36C6ADFC53}"/>
              </c:ext>
            </c:extLst>
          </c:dPt>
          <c:dPt>
            <c:idx val="734"/>
            <c:bubble3D val="0"/>
            <c:spPr>
              <a:solidFill>
                <a:srgbClr val="8D50E7"/>
              </a:solidFill>
            </c:spPr>
            <c:extLst>
              <c:ext xmlns:c16="http://schemas.microsoft.com/office/drawing/2014/chart" uri="{C3380CC4-5D6E-409C-BE32-E72D297353CC}">
                <c16:uniqueId val="{000005BD-085C-458F-9BEB-3F36C6ADFC53}"/>
              </c:ext>
            </c:extLst>
          </c:dPt>
          <c:dPt>
            <c:idx val="735"/>
            <c:bubble3D val="0"/>
            <c:spPr>
              <a:solidFill>
                <a:srgbClr val="3A18EA"/>
              </a:solidFill>
            </c:spPr>
            <c:extLst>
              <c:ext xmlns:c16="http://schemas.microsoft.com/office/drawing/2014/chart" uri="{C3380CC4-5D6E-409C-BE32-E72D297353CC}">
                <c16:uniqueId val="{000005BF-085C-458F-9BEB-3F36C6ADFC53}"/>
              </c:ext>
            </c:extLst>
          </c:dPt>
          <c:dPt>
            <c:idx val="736"/>
            <c:bubble3D val="0"/>
            <c:spPr>
              <a:solidFill>
                <a:srgbClr val="FF4D51"/>
              </a:solidFill>
            </c:spPr>
            <c:extLst>
              <c:ext xmlns:c16="http://schemas.microsoft.com/office/drawing/2014/chart" uri="{C3380CC4-5D6E-409C-BE32-E72D297353CC}">
                <c16:uniqueId val="{000005C1-085C-458F-9BEB-3F36C6ADFC53}"/>
              </c:ext>
            </c:extLst>
          </c:dPt>
          <c:dPt>
            <c:idx val="737"/>
            <c:bubble3D val="0"/>
            <c:spPr>
              <a:solidFill>
                <a:srgbClr val="B92DEC"/>
              </a:solidFill>
            </c:spPr>
            <c:extLst>
              <c:ext xmlns:c16="http://schemas.microsoft.com/office/drawing/2014/chart" uri="{C3380CC4-5D6E-409C-BE32-E72D297353CC}">
                <c16:uniqueId val="{000005C3-085C-458F-9BEB-3F36C6ADFC53}"/>
              </c:ext>
            </c:extLst>
          </c:dPt>
          <c:dPt>
            <c:idx val="738"/>
            <c:bubble3D val="0"/>
            <c:spPr>
              <a:solidFill>
                <a:srgbClr val="801B8A"/>
              </a:solidFill>
            </c:spPr>
            <c:extLst>
              <c:ext xmlns:c16="http://schemas.microsoft.com/office/drawing/2014/chart" uri="{C3380CC4-5D6E-409C-BE32-E72D297353CC}">
                <c16:uniqueId val="{000005C5-085C-458F-9BEB-3F36C6ADFC53}"/>
              </c:ext>
            </c:extLst>
          </c:dPt>
          <c:dPt>
            <c:idx val="739"/>
            <c:bubble3D val="0"/>
            <c:spPr>
              <a:solidFill>
                <a:srgbClr val="F15C53"/>
              </a:solidFill>
            </c:spPr>
            <c:extLst>
              <c:ext xmlns:c16="http://schemas.microsoft.com/office/drawing/2014/chart" uri="{C3380CC4-5D6E-409C-BE32-E72D297353CC}">
                <c16:uniqueId val="{000005C7-085C-458F-9BEB-3F36C6ADFC53}"/>
              </c:ext>
            </c:extLst>
          </c:dPt>
          <c:dPt>
            <c:idx val="740"/>
            <c:bubble3D val="0"/>
            <c:spPr>
              <a:solidFill>
                <a:srgbClr val="8F6432"/>
              </a:solidFill>
            </c:spPr>
            <c:extLst>
              <c:ext xmlns:c16="http://schemas.microsoft.com/office/drawing/2014/chart" uri="{C3380CC4-5D6E-409C-BE32-E72D297353CC}">
                <c16:uniqueId val="{000005C9-085C-458F-9BEB-3F36C6ADFC53}"/>
              </c:ext>
            </c:extLst>
          </c:dPt>
          <c:dPt>
            <c:idx val="741"/>
            <c:bubble3D val="0"/>
            <c:spPr>
              <a:solidFill>
                <a:srgbClr val="77321E"/>
              </a:solidFill>
            </c:spPr>
            <c:extLst>
              <c:ext xmlns:c16="http://schemas.microsoft.com/office/drawing/2014/chart" uri="{C3380CC4-5D6E-409C-BE32-E72D297353CC}">
                <c16:uniqueId val="{000005CB-085C-458F-9BEB-3F36C6ADFC53}"/>
              </c:ext>
            </c:extLst>
          </c:dPt>
          <c:dPt>
            <c:idx val="742"/>
            <c:bubble3D val="0"/>
            <c:spPr>
              <a:solidFill>
                <a:srgbClr val="FF789E"/>
              </a:solidFill>
            </c:spPr>
            <c:extLst>
              <c:ext xmlns:c16="http://schemas.microsoft.com/office/drawing/2014/chart" uri="{C3380CC4-5D6E-409C-BE32-E72D297353CC}">
                <c16:uniqueId val="{000005CD-085C-458F-9BEB-3F36C6ADFC53}"/>
              </c:ext>
            </c:extLst>
          </c:dPt>
          <c:dPt>
            <c:idx val="743"/>
            <c:bubble3D val="0"/>
            <c:spPr>
              <a:solidFill>
                <a:srgbClr val="F140FD"/>
              </a:solidFill>
            </c:spPr>
            <c:extLst>
              <c:ext xmlns:c16="http://schemas.microsoft.com/office/drawing/2014/chart" uri="{C3380CC4-5D6E-409C-BE32-E72D297353CC}">
                <c16:uniqueId val="{000005CF-085C-458F-9BEB-3F36C6ADFC53}"/>
              </c:ext>
            </c:extLst>
          </c:dPt>
          <c:dPt>
            <c:idx val="744"/>
            <c:bubble3D val="0"/>
            <c:spPr>
              <a:solidFill>
                <a:srgbClr val="B93F8D"/>
              </a:solidFill>
            </c:spPr>
            <c:extLst>
              <c:ext xmlns:c16="http://schemas.microsoft.com/office/drawing/2014/chart" uri="{C3380CC4-5D6E-409C-BE32-E72D297353CC}">
                <c16:uniqueId val="{000005D1-085C-458F-9BEB-3F36C6ADFC53}"/>
              </c:ext>
            </c:extLst>
          </c:dPt>
          <c:dPt>
            <c:idx val="745"/>
            <c:bubble3D val="0"/>
            <c:spPr>
              <a:solidFill>
                <a:srgbClr val="F7958F"/>
              </a:solidFill>
            </c:spPr>
            <c:extLst>
              <c:ext xmlns:c16="http://schemas.microsoft.com/office/drawing/2014/chart" uri="{C3380CC4-5D6E-409C-BE32-E72D297353CC}">
                <c16:uniqueId val="{000005D3-085C-458F-9BEB-3F36C6ADFC53}"/>
              </c:ext>
            </c:extLst>
          </c:dPt>
          <c:dPt>
            <c:idx val="746"/>
            <c:bubble3D val="0"/>
            <c:spPr>
              <a:solidFill>
                <a:srgbClr val="90787D"/>
              </a:solidFill>
            </c:spPr>
            <c:extLst>
              <c:ext xmlns:c16="http://schemas.microsoft.com/office/drawing/2014/chart" uri="{C3380CC4-5D6E-409C-BE32-E72D297353CC}">
                <c16:uniqueId val="{000005D5-085C-458F-9BEB-3F36C6ADFC53}"/>
              </c:ext>
            </c:extLst>
          </c:dPt>
          <c:dPt>
            <c:idx val="747"/>
            <c:bubble3D val="0"/>
            <c:spPr>
              <a:solidFill>
                <a:srgbClr val="B44C51"/>
              </a:solidFill>
            </c:spPr>
            <c:extLst>
              <c:ext xmlns:c16="http://schemas.microsoft.com/office/drawing/2014/chart" uri="{C3380CC4-5D6E-409C-BE32-E72D297353CC}">
                <c16:uniqueId val="{000005D7-085C-458F-9BEB-3F36C6ADFC53}"/>
              </c:ext>
            </c:extLst>
          </c:dPt>
          <c:dPt>
            <c:idx val="748"/>
            <c:bubble3D val="0"/>
            <c:spPr>
              <a:solidFill>
                <a:srgbClr val="FFA4EA"/>
              </a:solidFill>
            </c:spPr>
            <c:extLst>
              <c:ext xmlns:c16="http://schemas.microsoft.com/office/drawing/2014/chart" uri="{C3380CC4-5D6E-409C-BE32-E72D297353CC}">
                <c16:uniqueId val="{000005D9-085C-458F-9BEB-3F36C6ADFC53}"/>
              </c:ext>
            </c:extLst>
          </c:dPt>
          <c:dPt>
            <c:idx val="749"/>
            <c:bubble3D val="0"/>
            <c:spPr>
              <a:solidFill>
                <a:srgbClr val="28540E"/>
              </a:solidFill>
            </c:spPr>
            <c:extLst>
              <c:ext xmlns:c16="http://schemas.microsoft.com/office/drawing/2014/chart" uri="{C3380CC4-5D6E-409C-BE32-E72D297353CC}">
                <c16:uniqueId val="{000005DB-085C-458F-9BEB-3F36C6ADFC53}"/>
              </c:ext>
            </c:extLst>
          </c:dPt>
          <c:dPt>
            <c:idx val="750"/>
            <c:bubble3D val="0"/>
            <c:spPr>
              <a:solidFill>
                <a:srgbClr val="F26491"/>
              </a:solidFill>
            </c:spPr>
            <c:extLst>
              <c:ext xmlns:c16="http://schemas.microsoft.com/office/drawing/2014/chart" uri="{C3380CC4-5D6E-409C-BE32-E72D297353CC}">
                <c16:uniqueId val="{000005DD-085C-458F-9BEB-3F36C6ADFC53}"/>
              </c:ext>
            </c:extLst>
          </c:dPt>
          <c:dPt>
            <c:idx val="751"/>
            <c:bubble3D val="0"/>
            <c:spPr>
              <a:solidFill>
                <a:srgbClr val="FECDCC"/>
              </a:solidFill>
            </c:spPr>
            <c:extLst>
              <c:ext xmlns:c16="http://schemas.microsoft.com/office/drawing/2014/chart" uri="{C3380CC4-5D6E-409C-BE32-E72D297353CC}">
                <c16:uniqueId val="{000005DF-085C-458F-9BEB-3F36C6ADFC53}"/>
              </c:ext>
            </c:extLst>
          </c:dPt>
          <c:dPt>
            <c:idx val="752"/>
            <c:bubble3D val="0"/>
            <c:spPr>
              <a:solidFill>
                <a:srgbClr val="918DC9"/>
              </a:solidFill>
            </c:spPr>
            <c:extLst>
              <c:ext xmlns:c16="http://schemas.microsoft.com/office/drawing/2014/chart" uri="{C3380CC4-5D6E-409C-BE32-E72D297353CC}">
                <c16:uniqueId val="{000005E1-085C-458F-9BEB-3F36C6ADFC53}"/>
              </c:ext>
            </c:extLst>
          </c:dPt>
          <c:dPt>
            <c:idx val="753"/>
            <c:bubble3D val="0"/>
            <c:spPr>
              <a:solidFill>
                <a:srgbClr val="F16785"/>
              </a:solidFill>
            </c:spPr>
            <c:extLst>
              <c:ext xmlns:c16="http://schemas.microsoft.com/office/drawing/2014/chart" uri="{C3380CC4-5D6E-409C-BE32-E72D297353CC}">
                <c16:uniqueId val="{000005E3-085C-458F-9BEB-3F36C6ADFC53}"/>
              </c:ext>
            </c:extLst>
          </c:dPt>
          <c:dPt>
            <c:idx val="754"/>
            <c:bubble3D val="0"/>
            <c:spPr>
              <a:solidFill>
                <a:srgbClr val="FFD036"/>
              </a:solidFill>
            </c:spPr>
            <c:extLst>
              <c:ext xmlns:c16="http://schemas.microsoft.com/office/drawing/2014/chart" uri="{C3380CC4-5D6E-409C-BE32-E72D297353CC}">
                <c16:uniqueId val="{000005E5-085C-458F-9BEB-3F36C6ADFC53}"/>
              </c:ext>
            </c:extLst>
          </c:dPt>
          <c:dPt>
            <c:idx val="755"/>
            <c:bubble3D val="0"/>
            <c:spPr>
              <a:solidFill>
                <a:srgbClr val="606820"/>
              </a:solidFill>
            </c:spPr>
            <c:extLst>
              <c:ext xmlns:c16="http://schemas.microsoft.com/office/drawing/2014/chart" uri="{C3380CC4-5D6E-409C-BE32-E72D297353CC}">
                <c16:uniqueId val="{000005E7-085C-458F-9BEB-3F36C6ADFC53}"/>
              </c:ext>
            </c:extLst>
          </c:dPt>
          <c:dPt>
            <c:idx val="756"/>
            <c:bubble3D val="0"/>
            <c:spPr>
              <a:solidFill>
                <a:srgbClr val="2A8994"/>
              </a:solidFill>
            </c:spPr>
            <c:extLst>
              <c:ext xmlns:c16="http://schemas.microsoft.com/office/drawing/2014/chart" uri="{C3380CC4-5D6E-409C-BE32-E72D297353CC}">
                <c16:uniqueId val="{000005E9-085C-458F-9BEB-3F36C6ADFC53}"/>
              </c:ext>
            </c:extLst>
          </c:dPt>
          <c:dPt>
            <c:idx val="757"/>
            <c:bubble3D val="0"/>
            <c:spPr>
              <a:solidFill>
                <a:srgbClr val="040509"/>
              </a:solidFill>
            </c:spPr>
            <c:extLst>
              <c:ext xmlns:c16="http://schemas.microsoft.com/office/drawing/2014/chart" uri="{C3380CC4-5D6E-409C-BE32-E72D297353CC}">
                <c16:uniqueId val="{000005EB-085C-458F-9BEB-3F36C6ADFC53}"/>
              </c:ext>
            </c:extLst>
          </c:dPt>
          <c:dPt>
            <c:idx val="758"/>
            <c:bubble3D val="0"/>
            <c:spPr>
              <a:solidFill>
                <a:srgbClr val="92A114"/>
              </a:solidFill>
            </c:spPr>
            <c:extLst>
              <c:ext xmlns:c16="http://schemas.microsoft.com/office/drawing/2014/chart" uri="{C3380CC4-5D6E-409C-BE32-E72D297353CC}">
                <c16:uniqueId val="{000005ED-085C-458F-9BEB-3F36C6ADFC53}"/>
              </c:ext>
            </c:extLst>
          </c:dPt>
          <c:dPt>
            <c:idx val="759"/>
            <c:bubble3D val="0"/>
            <c:spPr>
              <a:solidFill>
                <a:srgbClr val="2D81B9"/>
              </a:solidFill>
            </c:spPr>
            <c:extLst>
              <c:ext xmlns:c16="http://schemas.microsoft.com/office/drawing/2014/chart" uri="{C3380CC4-5D6E-409C-BE32-E72D297353CC}">
                <c16:uniqueId val="{000005EF-085C-458F-9BEB-3F36C6ADFC53}"/>
              </c:ext>
            </c:extLst>
          </c:dPt>
          <c:dPt>
            <c:idx val="760"/>
            <c:bubble3D val="0"/>
            <c:spPr>
              <a:solidFill>
                <a:srgbClr val="FFFC82"/>
              </a:solidFill>
            </c:spPr>
            <c:extLst>
              <c:ext xmlns:c16="http://schemas.microsoft.com/office/drawing/2014/chart" uri="{C3380CC4-5D6E-409C-BE32-E72D297353CC}">
                <c16:uniqueId val="{000005F1-085C-458F-9BEB-3F36C6ADFC53}"/>
              </c:ext>
            </c:extLst>
          </c:dPt>
          <c:dPt>
            <c:idx val="761"/>
            <c:bubble3D val="0"/>
            <c:spPr>
              <a:solidFill>
                <a:srgbClr val="977C31"/>
              </a:solidFill>
            </c:spPr>
            <c:extLst>
              <c:ext xmlns:c16="http://schemas.microsoft.com/office/drawing/2014/chart" uri="{C3380CC4-5D6E-409C-BE32-E72D297353CC}">
                <c16:uniqueId val="{000005F3-085C-458F-9BEB-3F36C6ADFC53}"/>
              </c:ext>
            </c:extLst>
          </c:dPt>
          <c:dPt>
            <c:idx val="762"/>
            <c:bubble3D val="0"/>
            <c:spPr>
              <a:solidFill>
                <a:srgbClr val="63AD97"/>
              </a:solidFill>
            </c:spPr>
            <c:extLst>
              <c:ext xmlns:c16="http://schemas.microsoft.com/office/drawing/2014/chart" uri="{C3380CC4-5D6E-409C-BE32-E72D297353CC}">
                <c16:uniqueId val="{000005F5-085C-458F-9BEB-3F36C6ADFC53}"/>
              </c:ext>
            </c:extLst>
          </c:dPt>
          <c:dPt>
            <c:idx val="763"/>
            <c:bubble3D val="0"/>
            <c:spPr>
              <a:solidFill>
                <a:srgbClr val="0A3E45"/>
              </a:solidFill>
            </c:spPr>
            <c:extLst>
              <c:ext xmlns:c16="http://schemas.microsoft.com/office/drawing/2014/chart" uri="{C3380CC4-5D6E-409C-BE32-E72D297353CC}">
                <c16:uniqueId val="{000005F7-085C-458F-9BEB-3F36C6ADFC53}"/>
              </c:ext>
            </c:extLst>
          </c:dPt>
          <c:dPt>
            <c:idx val="764"/>
            <c:bubble3D val="0"/>
            <c:spPr>
              <a:solidFill>
                <a:srgbClr val="93B55F"/>
              </a:solidFill>
            </c:spPr>
            <c:extLst>
              <c:ext xmlns:c16="http://schemas.microsoft.com/office/drawing/2014/chart" uri="{C3380CC4-5D6E-409C-BE32-E72D297353CC}">
                <c16:uniqueId val="{000005F9-085C-458F-9BEB-3F36C6ADFC53}"/>
              </c:ext>
            </c:extLst>
          </c:dPt>
          <c:dPt>
            <c:idx val="765"/>
            <c:bubble3D val="0"/>
            <c:spPr>
              <a:solidFill>
                <a:srgbClr val="6A9BEC"/>
              </a:solidFill>
            </c:spPr>
            <c:extLst>
              <c:ext xmlns:c16="http://schemas.microsoft.com/office/drawing/2014/chart" uri="{C3380CC4-5D6E-409C-BE32-E72D297353CC}">
                <c16:uniqueId val="{000005FB-085C-458F-9BEB-3F36C6ADFC53}"/>
              </c:ext>
            </c:extLst>
          </c:dPt>
          <c:dPt>
            <c:idx val="766"/>
            <c:bubble3D val="0"/>
            <c:spPr>
              <a:solidFill>
                <a:srgbClr val="FF28CE"/>
              </a:solidFill>
            </c:spPr>
            <c:extLst>
              <c:ext xmlns:c16="http://schemas.microsoft.com/office/drawing/2014/chart" uri="{C3380CC4-5D6E-409C-BE32-E72D297353CC}">
                <c16:uniqueId val="{000005FD-085C-458F-9BEB-3F36C6ADFC53}"/>
              </c:ext>
            </c:extLst>
          </c:dPt>
          <c:dPt>
            <c:idx val="767"/>
            <c:bubble3D val="0"/>
            <c:spPr>
              <a:solidFill>
                <a:srgbClr val="CE9042"/>
              </a:solidFill>
            </c:spPr>
            <c:extLst>
              <c:ext xmlns:c16="http://schemas.microsoft.com/office/drawing/2014/chart" uri="{C3380CC4-5D6E-409C-BE32-E72D297353CC}">
                <c16:uniqueId val="{000005FF-085C-458F-9BEB-3F36C6ADFC53}"/>
              </c:ext>
            </c:extLst>
          </c:dPt>
          <c:dPt>
            <c:idx val="768"/>
            <c:bubble3D val="0"/>
            <c:spPr>
              <a:solidFill>
                <a:srgbClr val="9CD29A"/>
              </a:solidFill>
            </c:spPr>
            <c:extLst>
              <c:ext xmlns:c16="http://schemas.microsoft.com/office/drawing/2014/chart" uri="{C3380CC4-5D6E-409C-BE32-E72D297353CC}">
                <c16:uniqueId val="{00000601-085C-458F-9BEB-3F36C6ADFC53}"/>
              </c:ext>
            </c:extLst>
          </c:dPt>
          <c:dPt>
            <c:idx val="769"/>
            <c:bubble3D val="0"/>
            <c:spPr>
              <a:solidFill>
                <a:srgbClr val="107682"/>
              </a:solidFill>
            </c:spPr>
            <c:extLst>
              <c:ext xmlns:c16="http://schemas.microsoft.com/office/drawing/2014/chart" uri="{C3380CC4-5D6E-409C-BE32-E72D297353CC}">
                <c16:uniqueId val="{00000603-085C-458F-9BEB-3F36C6ADFC53}"/>
              </c:ext>
            </c:extLst>
          </c:dPt>
          <c:dPt>
            <c:idx val="770"/>
            <c:bubble3D val="0"/>
            <c:spPr>
              <a:solidFill>
                <a:srgbClr val="95C9AA"/>
              </a:solidFill>
            </c:spPr>
            <c:extLst>
              <c:ext xmlns:c16="http://schemas.microsoft.com/office/drawing/2014/chart" uri="{C3380CC4-5D6E-409C-BE32-E72D297353CC}">
                <c16:uniqueId val="{00000605-085C-458F-9BEB-3F36C6ADFC53}"/>
              </c:ext>
            </c:extLst>
          </c:dPt>
          <c:dPt>
            <c:idx val="771"/>
            <c:bubble3D val="0"/>
            <c:spPr>
              <a:solidFill>
                <a:srgbClr val="A7B520"/>
              </a:solidFill>
            </c:spPr>
            <c:extLst>
              <c:ext xmlns:c16="http://schemas.microsoft.com/office/drawing/2014/chart" uri="{C3380CC4-5D6E-409C-BE32-E72D297353CC}">
                <c16:uniqueId val="{00000607-085C-458F-9BEB-3F36C6ADFC53}"/>
              </c:ext>
            </c:extLst>
          </c:dPt>
          <c:dPt>
            <c:idx val="772"/>
            <c:bubble3D val="0"/>
            <c:spPr>
              <a:solidFill>
                <a:srgbClr val="FF531B"/>
              </a:solidFill>
            </c:spPr>
            <c:extLst>
              <c:ext xmlns:c16="http://schemas.microsoft.com/office/drawing/2014/chart" uri="{C3380CC4-5D6E-409C-BE32-E72D297353CC}">
                <c16:uniqueId val="{00000609-085C-458F-9BEB-3F36C6ADFC53}"/>
              </c:ext>
            </c:extLst>
          </c:dPt>
          <c:dPt>
            <c:idx val="773"/>
            <c:bubble3D val="0"/>
            <c:spPr>
              <a:solidFill>
                <a:srgbClr val="06A353"/>
              </a:solidFill>
            </c:spPr>
            <c:extLst>
              <c:ext xmlns:c16="http://schemas.microsoft.com/office/drawing/2014/chart" uri="{C3380CC4-5D6E-409C-BE32-E72D297353CC}">
                <c16:uniqueId val="{0000060B-085C-458F-9BEB-3F36C6ADFC53}"/>
              </c:ext>
            </c:extLst>
          </c:dPt>
          <c:dPt>
            <c:idx val="774"/>
            <c:bubble3D val="0"/>
            <c:spPr>
              <a:solidFill>
                <a:srgbClr val="D4F69E"/>
              </a:solidFill>
            </c:spPr>
            <c:extLst>
              <c:ext xmlns:c16="http://schemas.microsoft.com/office/drawing/2014/chart" uri="{C3380CC4-5D6E-409C-BE32-E72D297353CC}">
                <c16:uniqueId val="{0000060D-085C-458F-9BEB-3F36C6ADFC53}"/>
              </c:ext>
            </c:extLst>
          </c:dPt>
          <c:dPt>
            <c:idx val="775"/>
            <c:bubble3D val="0"/>
            <c:spPr>
              <a:solidFill>
                <a:srgbClr val="17AFBE"/>
              </a:solidFill>
            </c:spPr>
            <c:extLst>
              <c:ext xmlns:c16="http://schemas.microsoft.com/office/drawing/2014/chart" uri="{C3380CC4-5D6E-409C-BE32-E72D297353CC}">
                <c16:uniqueId val="{0000060F-085C-458F-9BEB-3F36C6ADFC53}"/>
              </c:ext>
            </c:extLst>
          </c:dPt>
          <c:dPt>
            <c:idx val="776"/>
            <c:bubble3D val="0"/>
            <c:spPr>
              <a:solidFill>
                <a:srgbClr val="96DDF6"/>
              </a:solidFill>
            </c:spPr>
            <c:extLst>
              <c:ext xmlns:c16="http://schemas.microsoft.com/office/drawing/2014/chart" uri="{C3380CC4-5D6E-409C-BE32-E72D297353CC}">
                <c16:uniqueId val="{00000611-085C-458F-9BEB-3F36C6ADFC53}"/>
              </c:ext>
            </c:extLst>
          </c:dPt>
          <c:dPt>
            <c:idx val="777"/>
            <c:bubble3D val="0"/>
            <c:spPr>
              <a:solidFill>
                <a:srgbClr val="E4CF53"/>
              </a:solidFill>
            </c:spPr>
            <c:extLst>
              <c:ext xmlns:c16="http://schemas.microsoft.com/office/drawing/2014/chart" uri="{C3380CC4-5D6E-409C-BE32-E72D297353CC}">
                <c16:uniqueId val="{00000613-085C-458F-9BEB-3F36C6ADFC53}"/>
              </c:ext>
            </c:extLst>
          </c:dPt>
          <c:dPt>
            <c:idx val="778"/>
            <c:bubble3D val="0"/>
            <c:spPr>
              <a:solidFill>
                <a:srgbClr val="FF7F67"/>
              </a:solidFill>
            </c:spPr>
            <c:extLst>
              <c:ext xmlns:c16="http://schemas.microsoft.com/office/drawing/2014/chart" uri="{C3380CC4-5D6E-409C-BE32-E72D297353CC}">
                <c16:uniqueId val="{00000615-085C-458F-9BEB-3F36C6ADFC53}"/>
              </c:ext>
            </c:extLst>
          </c:dPt>
          <c:dPt>
            <c:idx val="779"/>
            <c:bubble3D val="0"/>
            <c:spPr>
              <a:solidFill>
                <a:srgbClr val="3EB764"/>
              </a:solidFill>
            </c:spPr>
            <c:extLst>
              <c:ext xmlns:c16="http://schemas.microsoft.com/office/drawing/2014/chart" uri="{C3380CC4-5D6E-409C-BE32-E72D297353CC}">
                <c16:uniqueId val="{00000617-085C-458F-9BEB-3F36C6ADFC53}"/>
              </c:ext>
            </c:extLst>
          </c:dPt>
          <c:dPt>
            <c:idx val="780"/>
            <c:bubble3D val="0"/>
            <c:spPr>
              <a:solidFill>
                <a:srgbClr val="0D1BA1"/>
              </a:solidFill>
            </c:spPr>
            <c:extLst>
              <c:ext xmlns:c16="http://schemas.microsoft.com/office/drawing/2014/chart" uri="{C3380CC4-5D6E-409C-BE32-E72D297353CC}">
                <c16:uniqueId val="{00000619-085C-458F-9BEB-3F36C6ADFC53}"/>
              </c:ext>
            </c:extLst>
          </c:dPt>
          <c:dPt>
            <c:idx val="781"/>
            <c:bubble3D val="0"/>
            <c:spPr>
              <a:solidFill>
                <a:srgbClr val="1DE7FB"/>
              </a:solidFill>
            </c:spPr>
            <c:extLst>
              <c:ext xmlns:c16="http://schemas.microsoft.com/office/drawing/2014/chart" uri="{C3380CC4-5D6E-409C-BE32-E72D297353CC}">
                <c16:uniqueId val="{0000061B-085C-458F-9BEB-3F36C6ADFC53}"/>
              </c:ext>
            </c:extLst>
          </c:dPt>
          <c:dPt>
            <c:idx val="782"/>
            <c:bubble3D val="0"/>
            <c:spPr>
              <a:solidFill>
                <a:srgbClr val="97F141"/>
              </a:solidFill>
            </c:spPr>
            <c:extLst>
              <c:ext xmlns:c16="http://schemas.microsoft.com/office/drawing/2014/chart" uri="{C3380CC4-5D6E-409C-BE32-E72D297353CC}">
                <c16:uniqueId val="{0000061D-085C-458F-9BEB-3F36C6ADFC53}"/>
              </c:ext>
            </c:extLst>
          </c:dPt>
          <c:dPt>
            <c:idx val="783"/>
            <c:bubble3D val="0"/>
            <c:spPr>
              <a:solidFill>
                <a:srgbClr val="21E987"/>
              </a:solidFill>
            </c:spPr>
            <c:extLst>
              <c:ext xmlns:c16="http://schemas.microsoft.com/office/drawing/2014/chart" uri="{C3380CC4-5D6E-409C-BE32-E72D297353CC}">
                <c16:uniqueId val="{0000061F-085C-458F-9BEB-3F36C6ADFC53}"/>
              </c:ext>
            </c:extLst>
          </c:dPt>
          <c:dPt>
            <c:idx val="784"/>
            <c:bubble3D val="0"/>
            <c:spPr>
              <a:solidFill>
                <a:srgbClr val="FFABB3"/>
              </a:solidFill>
            </c:spPr>
            <c:extLst>
              <c:ext xmlns:c16="http://schemas.microsoft.com/office/drawing/2014/chart" uri="{C3380CC4-5D6E-409C-BE32-E72D297353CC}">
                <c16:uniqueId val="{00000621-085C-458F-9BEB-3F36C6ADFC53}"/>
              </c:ext>
            </c:extLst>
          </c:dPt>
          <c:dPt>
            <c:idx val="785"/>
            <c:bubble3D val="0"/>
            <c:spPr>
              <a:solidFill>
                <a:srgbClr val="75CB75"/>
              </a:solidFill>
            </c:spPr>
            <c:extLst>
              <c:ext xmlns:c16="http://schemas.microsoft.com/office/drawing/2014/chart" uri="{C3380CC4-5D6E-409C-BE32-E72D297353CC}">
                <c16:uniqueId val="{00000623-085C-458F-9BEB-3F36C6ADFC53}"/>
              </c:ext>
            </c:extLst>
          </c:dPt>
          <c:dPt>
            <c:idx val="786"/>
            <c:bubble3D val="0"/>
            <c:spPr>
              <a:solidFill>
                <a:srgbClr val="4640A4"/>
              </a:solidFill>
            </c:spPr>
            <c:extLst>
              <c:ext xmlns:c16="http://schemas.microsoft.com/office/drawing/2014/chart" uri="{C3380CC4-5D6E-409C-BE32-E72D297353CC}">
                <c16:uniqueId val="{00000625-085C-458F-9BEB-3F36C6ADFC53}"/>
              </c:ext>
            </c:extLst>
          </c:dPt>
          <c:dPt>
            <c:idx val="787"/>
            <c:bubble3D val="0"/>
            <c:spPr>
              <a:solidFill>
                <a:srgbClr val="231F38"/>
              </a:solidFill>
            </c:spPr>
            <c:extLst>
              <c:ext xmlns:c16="http://schemas.microsoft.com/office/drawing/2014/chart" uri="{C3380CC4-5D6E-409C-BE32-E72D297353CC}">
                <c16:uniqueId val="{00000627-085C-458F-9BEB-3F36C6ADFC53}"/>
              </c:ext>
            </c:extLst>
          </c:dPt>
          <c:dPt>
            <c:idx val="788"/>
            <c:bubble3D val="0"/>
            <c:spPr>
              <a:solidFill>
                <a:srgbClr val="98058C"/>
              </a:solidFill>
            </c:spPr>
            <c:extLst>
              <c:ext xmlns:c16="http://schemas.microsoft.com/office/drawing/2014/chart" uri="{C3380CC4-5D6E-409C-BE32-E72D297353CC}">
                <c16:uniqueId val="{00000629-085C-458F-9BEB-3F36C6ADFC53}"/>
              </c:ext>
            </c:extLst>
          </c:dPt>
          <c:dPt>
            <c:idx val="789"/>
            <c:bubble3D val="0"/>
            <c:spPr>
              <a:solidFill>
                <a:srgbClr val="5E03BB"/>
              </a:solidFill>
            </c:spPr>
            <c:extLst>
              <c:ext xmlns:c16="http://schemas.microsoft.com/office/drawing/2014/chart" uri="{C3380CC4-5D6E-409C-BE32-E72D297353CC}">
                <c16:uniqueId val="{0000062B-085C-458F-9BEB-3F36C6ADFC53}"/>
              </c:ext>
            </c:extLst>
          </c:dPt>
          <c:dPt>
            <c:idx val="790"/>
            <c:bubble3D val="0"/>
            <c:spPr>
              <a:solidFill>
                <a:srgbClr val="FFD7FF"/>
              </a:solidFill>
            </c:spPr>
            <c:extLst>
              <c:ext xmlns:c16="http://schemas.microsoft.com/office/drawing/2014/chart" uri="{C3380CC4-5D6E-409C-BE32-E72D297353CC}">
                <c16:uniqueId val="{0000062D-085C-458F-9BEB-3F36C6ADFC53}"/>
              </c:ext>
            </c:extLst>
          </c:dPt>
          <c:dPt>
            <c:idx val="791"/>
            <c:bubble3D val="0"/>
            <c:spPr>
              <a:solidFill>
                <a:srgbClr val="ADDF86"/>
              </a:solidFill>
            </c:spPr>
            <c:extLst>
              <c:ext xmlns:c16="http://schemas.microsoft.com/office/drawing/2014/chart" uri="{C3380CC4-5D6E-409C-BE32-E72D297353CC}">
                <c16:uniqueId val="{0000062F-085C-458F-9BEB-3F36C6ADFC53}"/>
              </c:ext>
            </c:extLst>
          </c:dPt>
          <c:dPt>
            <c:idx val="792"/>
            <c:bubble3D val="0"/>
            <c:spPr>
              <a:solidFill>
                <a:srgbClr val="7E64A8"/>
              </a:solidFill>
            </c:spPr>
            <c:extLst>
              <c:ext xmlns:c16="http://schemas.microsoft.com/office/drawing/2014/chart" uri="{C3380CC4-5D6E-409C-BE32-E72D297353CC}">
                <c16:uniqueId val="{00000631-085C-458F-9BEB-3F36C6ADFC53}"/>
              </c:ext>
            </c:extLst>
          </c:dPt>
          <c:dPt>
            <c:idx val="793"/>
            <c:bubble3D val="0"/>
            <c:spPr>
              <a:solidFill>
                <a:srgbClr val="2A5874"/>
              </a:solidFill>
            </c:spPr>
            <c:extLst>
              <c:ext xmlns:c16="http://schemas.microsoft.com/office/drawing/2014/chart" uri="{C3380CC4-5D6E-409C-BE32-E72D297353CC}">
                <c16:uniqueId val="{00000633-085C-458F-9BEB-3F36C6ADFC53}"/>
              </c:ext>
            </c:extLst>
          </c:dPt>
          <c:dPt>
            <c:idx val="794"/>
            <c:bubble3D val="0"/>
            <c:spPr>
              <a:solidFill>
                <a:srgbClr val="9919D8"/>
              </a:solidFill>
            </c:spPr>
            <c:extLst>
              <c:ext xmlns:c16="http://schemas.microsoft.com/office/drawing/2014/chart" uri="{C3380CC4-5D6E-409C-BE32-E72D297353CC}">
                <c16:uniqueId val="{00000635-085C-458F-9BEB-3F36C6ADFC53}"/>
              </c:ext>
            </c:extLst>
          </c:dPt>
          <c:dPt>
            <c:idx val="795"/>
            <c:bubble3D val="0"/>
            <c:spPr>
              <a:solidFill>
                <a:srgbClr val="9B1DEE"/>
              </a:solidFill>
            </c:spPr>
            <c:extLst>
              <c:ext xmlns:c16="http://schemas.microsoft.com/office/drawing/2014/chart" uri="{C3380CC4-5D6E-409C-BE32-E72D297353CC}">
                <c16:uniqueId val="{00000637-085C-458F-9BEB-3F36C6ADFC53}"/>
              </c:ext>
            </c:extLst>
          </c:dPt>
          <c:dPt>
            <c:idx val="796"/>
            <c:bubble3D val="0"/>
            <c:spPr>
              <a:solidFill>
                <a:srgbClr val="FF034B"/>
              </a:solidFill>
            </c:spPr>
            <c:extLst>
              <c:ext xmlns:c16="http://schemas.microsoft.com/office/drawing/2014/chart" uri="{C3380CC4-5D6E-409C-BE32-E72D297353CC}">
                <c16:uniqueId val="{00000639-085C-458F-9BEB-3F36C6ADFC53}"/>
              </c:ext>
            </c:extLst>
          </c:dPt>
          <c:dPt>
            <c:idx val="797"/>
            <c:bubble3D val="0"/>
            <c:spPr>
              <a:solidFill>
                <a:srgbClr val="E4F397"/>
              </a:solidFill>
            </c:spPr>
            <c:extLst>
              <c:ext xmlns:c16="http://schemas.microsoft.com/office/drawing/2014/chart" uri="{C3380CC4-5D6E-409C-BE32-E72D297353CC}">
                <c16:uniqueId val="{0000063B-085C-458F-9BEB-3F36C6ADFC53}"/>
              </c:ext>
            </c:extLst>
          </c:dPt>
          <c:dPt>
            <c:idx val="798"/>
            <c:bubble3D val="0"/>
            <c:spPr>
              <a:solidFill>
                <a:srgbClr val="B789AB"/>
              </a:solidFill>
            </c:spPr>
            <c:extLst>
              <c:ext xmlns:c16="http://schemas.microsoft.com/office/drawing/2014/chart" uri="{C3380CC4-5D6E-409C-BE32-E72D297353CC}">
                <c16:uniqueId val="{0000063D-085C-458F-9BEB-3F36C6ADFC53}"/>
              </c:ext>
            </c:extLst>
          </c:dPt>
          <c:dPt>
            <c:idx val="799"/>
            <c:bubble3D val="0"/>
            <c:spPr>
              <a:solidFill>
                <a:srgbClr val="3090B1"/>
              </a:solidFill>
            </c:spPr>
            <c:extLst>
              <c:ext xmlns:c16="http://schemas.microsoft.com/office/drawing/2014/chart" uri="{C3380CC4-5D6E-409C-BE32-E72D297353CC}">
                <c16:uniqueId val="{0000063F-085C-458F-9BEB-3F36C6ADFC53}"/>
              </c:ext>
            </c:extLst>
          </c:dPt>
          <c:dPt>
            <c:idx val="800"/>
            <c:bubble3D val="0"/>
            <c:spPr>
              <a:solidFill>
                <a:srgbClr val="9B2D23"/>
              </a:solidFill>
            </c:spPr>
            <c:extLst>
              <c:ext xmlns:c16="http://schemas.microsoft.com/office/drawing/2014/chart" uri="{C3380CC4-5D6E-409C-BE32-E72D297353CC}">
                <c16:uniqueId val="{00000641-085C-458F-9BEB-3F36C6ADFC53}"/>
              </c:ext>
            </c:extLst>
          </c:dPt>
          <c:dPt>
            <c:idx val="801"/>
            <c:bubble3D val="0"/>
            <c:spPr>
              <a:solidFill>
                <a:srgbClr val="D83722"/>
              </a:solidFill>
            </c:spPr>
            <c:extLst>
              <c:ext xmlns:c16="http://schemas.microsoft.com/office/drawing/2014/chart" uri="{C3380CC4-5D6E-409C-BE32-E72D297353CC}">
                <c16:uniqueId val="{00000643-085C-458F-9BEB-3F36C6ADFC53}"/>
              </c:ext>
            </c:extLst>
          </c:dPt>
          <c:dPt>
            <c:idx val="802"/>
            <c:bubble3D val="0"/>
            <c:spPr>
              <a:solidFill>
                <a:srgbClr val="FF2E98"/>
              </a:solidFill>
            </c:spPr>
            <c:extLst>
              <c:ext xmlns:c16="http://schemas.microsoft.com/office/drawing/2014/chart" uri="{C3380CC4-5D6E-409C-BE32-E72D297353CC}">
                <c16:uniqueId val="{00000645-085C-458F-9BEB-3F36C6ADFC53}"/>
              </c:ext>
            </c:extLst>
          </c:dPt>
          <c:dPt>
            <c:idx val="803"/>
            <c:bubble3D val="0"/>
            <c:spPr>
              <a:solidFill>
                <a:srgbClr val="1C06A8"/>
              </a:solidFill>
            </c:spPr>
            <c:extLst>
              <c:ext xmlns:c16="http://schemas.microsoft.com/office/drawing/2014/chart" uri="{C3380CC4-5D6E-409C-BE32-E72D297353CC}">
                <c16:uniqueId val="{00000647-085C-458F-9BEB-3F36C6ADFC53}"/>
              </c:ext>
            </c:extLst>
          </c:dPt>
          <c:dPt>
            <c:idx val="804"/>
            <c:bubble3D val="0"/>
            <c:spPr>
              <a:solidFill>
                <a:srgbClr val="F0ADAE"/>
              </a:solidFill>
            </c:spPr>
            <c:extLst>
              <c:ext xmlns:c16="http://schemas.microsoft.com/office/drawing/2014/chart" uri="{C3380CC4-5D6E-409C-BE32-E72D297353CC}">
                <c16:uniqueId val="{00000649-085C-458F-9BEB-3F36C6ADFC53}"/>
              </c:ext>
            </c:extLst>
          </c:dPt>
          <c:dPt>
            <c:idx val="805"/>
            <c:bubble3D val="0"/>
            <c:spPr>
              <a:solidFill>
                <a:srgbClr val="36C9ED"/>
              </a:solidFill>
            </c:spPr>
            <c:extLst>
              <c:ext xmlns:c16="http://schemas.microsoft.com/office/drawing/2014/chart" uri="{C3380CC4-5D6E-409C-BE32-E72D297353CC}">
                <c16:uniqueId val="{0000064B-085C-458F-9BEB-3F36C6ADFC53}"/>
              </c:ext>
            </c:extLst>
          </c:dPt>
          <c:dPt>
            <c:idx val="806"/>
            <c:bubble3D val="0"/>
            <c:spPr>
              <a:solidFill>
                <a:srgbClr val="9C416E"/>
              </a:solidFill>
            </c:spPr>
            <c:extLst>
              <c:ext xmlns:c16="http://schemas.microsoft.com/office/drawing/2014/chart" uri="{C3380CC4-5D6E-409C-BE32-E72D297353CC}">
                <c16:uniqueId val="{0000064D-085C-458F-9BEB-3F36C6ADFC53}"/>
              </c:ext>
            </c:extLst>
          </c:dPt>
          <c:dPt>
            <c:idx val="807"/>
            <c:bubble3D val="0"/>
            <c:spPr>
              <a:solidFill>
                <a:srgbClr val="155155"/>
              </a:solidFill>
            </c:spPr>
            <c:extLst>
              <c:ext xmlns:c16="http://schemas.microsoft.com/office/drawing/2014/chart" uri="{C3380CC4-5D6E-409C-BE32-E72D297353CC}">
                <c16:uniqueId val="{0000064F-085C-458F-9BEB-3F36C6ADFC53}"/>
              </c:ext>
            </c:extLst>
          </c:dPt>
          <c:dPt>
            <c:idx val="808"/>
            <c:bubble3D val="0"/>
            <c:spPr>
              <a:solidFill>
                <a:srgbClr val="FF5AE4"/>
              </a:solidFill>
            </c:spPr>
            <c:extLst>
              <c:ext xmlns:c16="http://schemas.microsoft.com/office/drawing/2014/chart" uri="{C3380CC4-5D6E-409C-BE32-E72D297353CC}">
                <c16:uniqueId val="{00000651-085C-458F-9BEB-3F36C6ADFC53}"/>
              </c:ext>
            </c:extLst>
          </c:dPt>
          <c:dPt>
            <c:idx val="809"/>
            <c:bubble3D val="0"/>
            <c:spPr>
              <a:solidFill>
                <a:srgbClr val="531AB9"/>
              </a:solidFill>
            </c:spPr>
            <c:extLst>
              <c:ext xmlns:c16="http://schemas.microsoft.com/office/drawing/2014/chart" uri="{C3380CC4-5D6E-409C-BE32-E72D297353CC}">
                <c16:uniqueId val="{00000653-085C-458F-9BEB-3F36C6ADFC53}"/>
              </c:ext>
            </c:extLst>
          </c:dPt>
          <c:dPt>
            <c:idx val="810"/>
            <c:bubble3D val="0"/>
            <c:spPr>
              <a:solidFill>
                <a:srgbClr val="29D2B2"/>
              </a:solidFill>
            </c:spPr>
            <c:extLst>
              <c:ext xmlns:c16="http://schemas.microsoft.com/office/drawing/2014/chart" uri="{C3380CC4-5D6E-409C-BE32-E72D297353CC}">
                <c16:uniqueId val="{00000655-085C-458F-9BEB-3F36C6ADFC53}"/>
              </c:ext>
            </c:extLst>
          </c:dPt>
          <c:dPt>
            <c:idx val="811"/>
            <c:bubble3D val="0"/>
            <c:spPr>
              <a:solidFill>
                <a:srgbClr val="3D012A"/>
              </a:solidFill>
            </c:spPr>
            <c:extLst>
              <c:ext xmlns:c16="http://schemas.microsoft.com/office/drawing/2014/chart" uri="{C3380CC4-5D6E-409C-BE32-E72D297353CC}">
                <c16:uniqueId val="{00000657-085C-458F-9BEB-3F36C6ADFC53}"/>
              </c:ext>
            </c:extLst>
          </c:dPt>
          <c:dPt>
            <c:idx val="812"/>
            <c:bubble3D val="0"/>
            <c:spPr>
              <a:solidFill>
                <a:srgbClr val="9D56BA"/>
              </a:solidFill>
            </c:spPr>
            <c:extLst>
              <c:ext xmlns:c16="http://schemas.microsoft.com/office/drawing/2014/chart" uri="{C3380CC4-5D6E-409C-BE32-E72D297353CC}">
                <c16:uniqueId val="{00000659-085C-458F-9BEB-3F36C6ADFC53}"/>
              </c:ext>
            </c:extLst>
          </c:dPt>
          <c:dPt>
            <c:idx val="813"/>
            <c:bubble3D val="0"/>
            <c:spPr>
              <a:solidFill>
                <a:srgbClr val="526C89"/>
              </a:solidFill>
            </c:spPr>
            <c:extLst>
              <c:ext xmlns:c16="http://schemas.microsoft.com/office/drawing/2014/chart" uri="{C3380CC4-5D6E-409C-BE32-E72D297353CC}">
                <c16:uniqueId val="{0000065B-085C-458F-9BEB-3F36C6ADFC53}"/>
              </c:ext>
            </c:extLst>
          </c:dPt>
          <c:dPt>
            <c:idx val="814"/>
            <c:bubble3D val="0"/>
            <c:spPr>
              <a:solidFill>
                <a:srgbClr val="FF8630"/>
              </a:solidFill>
            </c:spPr>
            <c:extLst>
              <c:ext xmlns:c16="http://schemas.microsoft.com/office/drawing/2014/chart" uri="{C3380CC4-5D6E-409C-BE32-E72D297353CC}">
                <c16:uniqueId val="{0000065D-085C-458F-9BEB-3F36C6ADFC53}"/>
              </c:ext>
            </c:extLst>
          </c:dPt>
          <c:dPt>
            <c:idx val="815"/>
            <c:bubble3D val="0"/>
            <c:spPr>
              <a:solidFill>
                <a:srgbClr val="8B2ECB"/>
              </a:solidFill>
            </c:spPr>
            <c:extLst>
              <c:ext xmlns:c16="http://schemas.microsoft.com/office/drawing/2014/chart" uri="{C3380CC4-5D6E-409C-BE32-E72D297353CC}">
                <c16:uniqueId val="{0000065F-085C-458F-9BEB-3F36C6ADFC53}"/>
              </c:ext>
            </c:extLst>
          </c:dPt>
          <c:dPt>
            <c:idx val="816"/>
            <c:bubble3D val="0"/>
            <c:spPr>
              <a:solidFill>
                <a:srgbClr val="61F7B5"/>
              </a:solidFill>
            </c:spPr>
            <c:extLst>
              <c:ext xmlns:c16="http://schemas.microsoft.com/office/drawing/2014/chart" uri="{C3380CC4-5D6E-409C-BE32-E72D297353CC}">
                <c16:uniqueId val="{00000661-085C-458F-9BEB-3F36C6ADFC53}"/>
              </c:ext>
            </c:extLst>
          </c:dPt>
          <c:dPt>
            <c:idx val="817"/>
            <c:bubble3D val="0"/>
            <c:spPr>
              <a:solidFill>
                <a:srgbClr val="433967"/>
              </a:solidFill>
            </c:spPr>
            <c:extLst>
              <c:ext xmlns:c16="http://schemas.microsoft.com/office/drawing/2014/chart" uri="{C3380CC4-5D6E-409C-BE32-E72D297353CC}">
                <c16:uniqueId val="{00000663-085C-458F-9BEB-3F36C6ADFC53}"/>
              </c:ext>
            </c:extLst>
          </c:dPt>
          <c:dPt>
            <c:idx val="818"/>
            <c:bubble3D val="0"/>
            <c:spPr>
              <a:solidFill>
                <a:srgbClr val="9E6A05"/>
              </a:solidFill>
            </c:spPr>
            <c:extLst>
              <c:ext xmlns:c16="http://schemas.microsoft.com/office/drawing/2014/chart" uri="{C3380CC4-5D6E-409C-BE32-E72D297353CC}">
                <c16:uniqueId val="{00000665-085C-458F-9BEB-3F36C6ADFC53}"/>
              </c:ext>
            </c:extLst>
          </c:dPt>
          <c:dPt>
            <c:idx val="819"/>
            <c:bubble3D val="0"/>
            <c:spPr>
              <a:solidFill>
                <a:srgbClr val="8E86BD"/>
              </a:solidFill>
            </c:spPr>
            <c:extLst>
              <c:ext xmlns:c16="http://schemas.microsoft.com/office/drawing/2014/chart" uri="{C3380CC4-5D6E-409C-BE32-E72D297353CC}">
                <c16:uniqueId val="{00000667-085C-458F-9BEB-3F36C6ADFC53}"/>
              </c:ext>
            </c:extLst>
          </c:dPt>
          <c:dPt>
            <c:idx val="820"/>
            <c:bubble3D val="0"/>
            <c:spPr>
              <a:solidFill>
                <a:srgbClr val="FFB27C"/>
              </a:solidFill>
            </c:spPr>
            <c:extLst>
              <c:ext xmlns:c16="http://schemas.microsoft.com/office/drawing/2014/chart" uri="{C3380CC4-5D6E-409C-BE32-E72D297353CC}">
                <c16:uniqueId val="{00000669-085C-458F-9BEB-3F36C6ADFC53}"/>
              </c:ext>
            </c:extLst>
          </c:dPt>
          <c:dPt>
            <c:idx val="821"/>
            <c:bubble3D val="0"/>
            <c:spPr>
              <a:solidFill>
                <a:srgbClr val="C242DC"/>
              </a:solidFill>
            </c:spPr>
            <c:extLst>
              <c:ext xmlns:c16="http://schemas.microsoft.com/office/drawing/2014/chart" uri="{C3380CC4-5D6E-409C-BE32-E72D297353CC}">
                <c16:uniqueId val="{0000066B-085C-458F-9BEB-3F36C6ADFC53}"/>
              </c:ext>
            </c:extLst>
          </c:dPt>
          <c:dPt>
            <c:idx val="822"/>
            <c:bubble3D val="0"/>
            <c:spPr>
              <a:solidFill>
                <a:srgbClr val="9A1BB8"/>
              </a:solidFill>
            </c:spPr>
            <c:extLst>
              <c:ext xmlns:c16="http://schemas.microsoft.com/office/drawing/2014/chart" uri="{C3380CC4-5D6E-409C-BE32-E72D297353CC}">
                <c16:uniqueId val="{0000066D-085C-458F-9BEB-3F36C6ADFC53}"/>
              </c:ext>
            </c:extLst>
          </c:dPt>
          <c:dPt>
            <c:idx val="823"/>
            <c:bubble3D val="0"/>
            <c:spPr>
              <a:solidFill>
                <a:srgbClr val="4972A3"/>
              </a:solidFill>
            </c:spPr>
            <c:extLst>
              <c:ext xmlns:c16="http://schemas.microsoft.com/office/drawing/2014/chart" uri="{C3380CC4-5D6E-409C-BE32-E72D297353CC}">
                <c16:uniqueId val="{0000066F-085C-458F-9BEB-3F36C6ADFC53}"/>
              </c:ext>
            </c:extLst>
          </c:dPt>
          <c:dPt>
            <c:idx val="824"/>
            <c:bubble3D val="0"/>
            <c:spPr>
              <a:solidFill>
                <a:srgbClr val="9F7E50"/>
              </a:solidFill>
            </c:spPr>
            <c:extLst>
              <c:ext xmlns:c16="http://schemas.microsoft.com/office/drawing/2014/chart" uri="{C3380CC4-5D6E-409C-BE32-E72D297353CC}">
                <c16:uniqueId val="{00000671-085C-458F-9BEB-3F36C6ADFC53}"/>
              </c:ext>
            </c:extLst>
          </c:dPt>
          <c:dPt>
            <c:idx val="825"/>
            <c:bubble3D val="0"/>
            <c:spPr>
              <a:solidFill>
                <a:srgbClr val="CBA0F0"/>
              </a:solidFill>
            </c:spPr>
            <c:extLst>
              <c:ext xmlns:c16="http://schemas.microsoft.com/office/drawing/2014/chart" uri="{C3380CC4-5D6E-409C-BE32-E72D297353CC}">
                <c16:uniqueId val="{00000673-085C-458F-9BEB-3F36C6ADFC53}"/>
              </c:ext>
            </c:extLst>
          </c:dPt>
          <c:dPt>
            <c:idx val="826"/>
            <c:bubble3D val="0"/>
            <c:spPr>
              <a:solidFill>
                <a:srgbClr val="FFDEC8"/>
              </a:solidFill>
            </c:spPr>
            <c:extLst>
              <c:ext xmlns:c16="http://schemas.microsoft.com/office/drawing/2014/chart" uri="{C3380CC4-5D6E-409C-BE32-E72D297353CC}">
                <c16:uniqueId val="{00000675-085C-458F-9BEB-3F36C6ADFC53}"/>
              </c:ext>
            </c:extLst>
          </c:dPt>
          <c:dPt>
            <c:idx val="827"/>
            <c:bubble3D val="0"/>
            <c:spPr>
              <a:solidFill>
                <a:srgbClr val="F956ED"/>
              </a:solidFill>
            </c:spPr>
            <c:extLst>
              <c:ext xmlns:c16="http://schemas.microsoft.com/office/drawing/2014/chart" uri="{C3380CC4-5D6E-409C-BE32-E72D297353CC}">
                <c16:uniqueId val="{00000677-085C-458F-9BEB-3F36C6ADFC53}"/>
              </c:ext>
            </c:extLst>
          </c:dPt>
          <c:dPt>
            <c:idx val="828"/>
            <c:bubble3D val="0"/>
            <c:spPr>
              <a:solidFill>
                <a:srgbClr val="D340BB"/>
              </a:solidFill>
            </c:spPr>
            <c:extLst>
              <c:ext xmlns:c16="http://schemas.microsoft.com/office/drawing/2014/chart" uri="{C3380CC4-5D6E-409C-BE32-E72D297353CC}">
                <c16:uniqueId val="{00000679-085C-458F-9BEB-3F36C6ADFC53}"/>
              </c:ext>
            </c:extLst>
          </c:dPt>
          <c:dPt>
            <c:idx val="829"/>
            <c:bubble3D val="0"/>
            <c:spPr>
              <a:solidFill>
                <a:srgbClr val="4FAAE0"/>
              </a:solidFill>
            </c:spPr>
            <c:extLst>
              <c:ext xmlns:c16="http://schemas.microsoft.com/office/drawing/2014/chart" uri="{C3380CC4-5D6E-409C-BE32-E72D297353CC}">
                <c16:uniqueId val="{0000067B-085C-458F-9BEB-3F36C6ADFC53}"/>
              </c:ext>
            </c:extLst>
          </c:dPt>
          <c:dPt>
            <c:idx val="830"/>
            <c:bubble3D val="0"/>
            <c:spPr>
              <a:solidFill>
                <a:srgbClr val="A1929B"/>
              </a:solidFill>
            </c:spPr>
            <c:extLst>
              <c:ext xmlns:c16="http://schemas.microsoft.com/office/drawing/2014/chart" uri="{C3380CC4-5D6E-409C-BE32-E72D297353CC}">
                <c16:uniqueId val="{0000067D-085C-458F-9BEB-3F36C6ADFC53}"/>
              </c:ext>
            </c:extLst>
          </c:dPt>
          <c:dPt>
            <c:idx val="831"/>
            <c:bubble3D val="0"/>
            <c:spPr>
              <a:solidFill>
                <a:srgbClr val="08BA24"/>
              </a:solidFill>
            </c:spPr>
            <c:extLst>
              <c:ext xmlns:c16="http://schemas.microsoft.com/office/drawing/2014/chart" uri="{C3380CC4-5D6E-409C-BE32-E72D297353CC}">
                <c16:uniqueId val="{0000067F-085C-458F-9BEB-3F36C6ADFC53}"/>
              </c:ext>
            </c:extLst>
          </c:dPt>
          <c:dPt>
            <c:idx val="832"/>
            <c:bubble3D val="0"/>
            <c:spPr>
              <a:solidFill>
                <a:srgbClr val="FF0915"/>
              </a:solidFill>
            </c:spPr>
            <c:extLst>
              <c:ext xmlns:c16="http://schemas.microsoft.com/office/drawing/2014/chart" uri="{C3380CC4-5D6E-409C-BE32-E72D297353CC}">
                <c16:uniqueId val="{00000681-085C-458F-9BEB-3F36C6ADFC53}"/>
              </c:ext>
            </c:extLst>
          </c:dPt>
          <c:dPt>
            <c:idx val="833"/>
            <c:bubble3D val="0"/>
            <c:spPr>
              <a:solidFill>
                <a:srgbClr val="3169FE"/>
              </a:solidFill>
            </c:spPr>
            <c:extLst>
              <c:ext xmlns:c16="http://schemas.microsoft.com/office/drawing/2014/chart" uri="{C3380CC4-5D6E-409C-BE32-E72D297353CC}">
                <c16:uniqueId val="{00000683-085C-458F-9BEB-3F36C6ADFC53}"/>
              </c:ext>
            </c:extLst>
          </c:dPt>
          <c:dPt>
            <c:idx val="834"/>
            <c:bubble3D val="0"/>
            <c:spPr>
              <a:solidFill>
                <a:srgbClr val="0B64BF"/>
              </a:solidFill>
            </c:spPr>
            <c:extLst>
              <c:ext xmlns:c16="http://schemas.microsoft.com/office/drawing/2014/chart" uri="{C3380CC4-5D6E-409C-BE32-E72D297353CC}">
                <c16:uniqueId val="{00000685-085C-458F-9BEB-3F36C6ADFC53}"/>
              </c:ext>
            </c:extLst>
          </c:dPt>
          <c:dPt>
            <c:idx val="835"/>
            <c:bubble3D val="0"/>
            <c:spPr>
              <a:solidFill>
                <a:srgbClr val="56E31C"/>
              </a:solidFill>
            </c:spPr>
            <c:extLst>
              <c:ext xmlns:c16="http://schemas.microsoft.com/office/drawing/2014/chart" uri="{C3380CC4-5D6E-409C-BE32-E72D297353CC}">
                <c16:uniqueId val="{00000687-085C-458F-9BEB-3F36C6ADFC53}"/>
              </c:ext>
            </c:extLst>
          </c:dPt>
          <c:dPt>
            <c:idx val="836"/>
            <c:bubble3D val="0"/>
            <c:spPr>
              <a:solidFill>
                <a:srgbClr val="A2A6E7"/>
              </a:solidFill>
            </c:spPr>
            <c:extLst>
              <c:ext xmlns:c16="http://schemas.microsoft.com/office/drawing/2014/chart" uri="{C3380CC4-5D6E-409C-BE32-E72D297353CC}">
                <c16:uniqueId val="{00000689-085C-458F-9BEB-3F36C6ADFC53}"/>
              </c:ext>
            </c:extLst>
          </c:dPt>
          <c:dPt>
            <c:idx val="837"/>
            <c:bubble3D val="0"/>
            <c:spPr>
              <a:solidFill>
                <a:srgbClr val="45D457"/>
              </a:solidFill>
            </c:spPr>
            <c:extLst>
              <c:ext xmlns:c16="http://schemas.microsoft.com/office/drawing/2014/chart" uri="{C3380CC4-5D6E-409C-BE32-E72D297353CC}">
                <c16:uniqueId val="{0000068B-085C-458F-9BEB-3F36C6ADFC53}"/>
              </c:ext>
            </c:extLst>
          </c:dPt>
          <c:dPt>
            <c:idx val="838"/>
            <c:bubble3D val="0"/>
            <c:spPr>
              <a:solidFill>
                <a:srgbClr val="FF3561"/>
              </a:solidFill>
            </c:spPr>
            <c:extLst>
              <c:ext xmlns:c16="http://schemas.microsoft.com/office/drawing/2014/chart" uri="{C3380CC4-5D6E-409C-BE32-E72D297353CC}">
                <c16:uniqueId val="{0000068D-085C-458F-9BEB-3F36C6ADFC53}"/>
              </c:ext>
            </c:extLst>
          </c:dPt>
          <c:dPt>
            <c:idx val="839"/>
            <c:bubble3D val="0"/>
            <c:spPr>
              <a:solidFill>
                <a:srgbClr val="697D0F"/>
              </a:solidFill>
            </c:spPr>
            <c:extLst>
              <c:ext xmlns:c16="http://schemas.microsoft.com/office/drawing/2014/chart" uri="{C3380CC4-5D6E-409C-BE32-E72D297353CC}">
                <c16:uniqueId val="{0000068F-085C-458F-9BEB-3F36C6ADFC53}"/>
              </c:ext>
            </c:extLst>
          </c:dPt>
          <c:dPt>
            <c:idx val="840"/>
            <c:bubble3D val="0"/>
            <c:spPr>
              <a:solidFill>
                <a:srgbClr val="4489C2"/>
              </a:solidFill>
            </c:spPr>
            <c:extLst>
              <c:ext xmlns:c16="http://schemas.microsoft.com/office/drawing/2014/chart" uri="{C3380CC4-5D6E-409C-BE32-E72D297353CC}">
                <c16:uniqueId val="{00000691-085C-458F-9BEB-3F36C6ADFC53}"/>
              </c:ext>
            </c:extLst>
          </c:dPt>
          <c:dPt>
            <c:idx val="841"/>
            <c:bubble3D val="0"/>
            <c:spPr>
              <a:solidFill>
                <a:srgbClr val="5C1B59"/>
              </a:solidFill>
            </c:spPr>
            <c:extLst>
              <c:ext xmlns:c16="http://schemas.microsoft.com/office/drawing/2014/chart" uri="{C3380CC4-5D6E-409C-BE32-E72D297353CC}">
                <c16:uniqueId val="{00000693-085C-458F-9BEB-3F36C6ADFC53}"/>
              </c:ext>
            </c:extLst>
          </c:dPt>
          <c:dPt>
            <c:idx val="842"/>
            <c:bubble3D val="0"/>
            <c:spPr>
              <a:solidFill>
                <a:srgbClr val="A3BA32"/>
              </a:solidFill>
            </c:spPr>
            <c:extLst>
              <c:ext xmlns:c16="http://schemas.microsoft.com/office/drawing/2014/chart" uri="{C3380CC4-5D6E-409C-BE32-E72D297353CC}">
                <c16:uniqueId val="{00000695-085C-458F-9BEB-3F36C6ADFC53}"/>
              </c:ext>
            </c:extLst>
          </c:dPt>
          <c:dPt>
            <c:idx val="843"/>
            <c:bubble3D val="0"/>
            <c:spPr>
              <a:solidFill>
                <a:srgbClr val="82EE8B"/>
              </a:solidFill>
            </c:spPr>
            <c:extLst>
              <c:ext xmlns:c16="http://schemas.microsoft.com/office/drawing/2014/chart" uri="{C3380CC4-5D6E-409C-BE32-E72D297353CC}">
                <c16:uniqueId val="{00000697-085C-458F-9BEB-3F36C6ADFC53}"/>
              </c:ext>
            </c:extLst>
          </c:dPt>
          <c:dPt>
            <c:idx val="844"/>
            <c:bubble3D val="0"/>
            <c:spPr>
              <a:solidFill>
                <a:srgbClr val="FF61AD"/>
              </a:solidFill>
            </c:spPr>
            <c:extLst>
              <c:ext xmlns:c16="http://schemas.microsoft.com/office/drawing/2014/chart" uri="{C3380CC4-5D6E-409C-BE32-E72D297353CC}">
                <c16:uniqueId val="{00000699-085C-458F-9BEB-3F36C6ADFC53}"/>
              </c:ext>
            </c:extLst>
          </c:dPt>
          <c:dPt>
            <c:idx val="845"/>
            <c:bubble3D val="0"/>
            <c:spPr>
              <a:solidFill>
                <a:srgbClr val="A09120"/>
              </a:solidFill>
            </c:spPr>
            <c:extLst>
              <c:ext xmlns:c16="http://schemas.microsoft.com/office/drawing/2014/chart" uri="{C3380CC4-5D6E-409C-BE32-E72D297353CC}">
                <c16:uniqueId val="{0000069B-085C-458F-9BEB-3F36C6ADFC53}"/>
              </c:ext>
            </c:extLst>
          </c:dPt>
          <c:dPt>
            <c:idx val="846"/>
            <c:bubble3D val="0"/>
            <c:spPr>
              <a:solidFill>
                <a:srgbClr val="7DAEC5"/>
              </a:solidFill>
            </c:spPr>
            <c:extLst>
              <c:ext xmlns:c16="http://schemas.microsoft.com/office/drawing/2014/chart" uri="{C3380CC4-5D6E-409C-BE32-E72D297353CC}">
                <c16:uniqueId val="{0000069D-085C-458F-9BEB-3F36C6ADFC53}"/>
              </c:ext>
            </c:extLst>
          </c:dPt>
          <c:dPt>
            <c:idx val="847"/>
            <c:bubble3D val="0"/>
            <c:spPr>
              <a:solidFill>
                <a:srgbClr val="625396"/>
              </a:solidFill>
            </c:spPr>
            <c:extLst>
              <c:ext xmlns:c16="http://schemas.microsoft.com/office/drawing/2014/chart" uri="{C3380CC4-5D6E-409C-BE32-E72D297353CC}">
                <c16:uniqueId val="{0000069F-085C-458F-9BEB-3F36C6ADFC53}"/>
              </c:ext>
            </c:extLst>
          </c:dPt>
          <c:dPt>
            <c:idx val="848"/>
            <c:bubble3D val="0"/>
            <c:spPr>
              <a:solidFill>
                <a:srgbClr val="A4CE7D"/>
              </a:solidFill>
            </c:spPr>
            <c:extLst>
              <c:ext xmlns:c16="http://schemas.microsoft.com/office/drawing/2014/chart" uri="{C3380CC4-5D6E-409C-BE32-E72D297353CC}">
                <c16:uniqueId val="{000006A1-085C-458F-9BEB-3F36C6ADFC53}"/>
              </c:ext>
            </c:extLst>
          </c:dPt>
          <c:dPt>
            <c:idx val="849"/>
            <c:bubble3D val="0"/>
            <c:spPr>
              <a:solidFill>
                <a:srgbClr val="BF08BF"/>
              </a:solidFill>
            </c:spPr>
            <c:extLst>
              <c:ext xmlns:c16="http://schemas.microsoft.com/office/drawing/2014/chart" uri="{C3380CC4-5D6E-409C-BE32-E72D297353CC}">
                <c16:uniqueId val="{000006A3-085C-458F-9BEB-3F36C6ADFC53}"/>
              </c:ext>
            </c:extLst>
          </c:dPt>
          <c:dPt>
            <c:idx val="850"/>
            <c:bubble3D val="0"/>
            <c:spPr>
              <a:solidFill>
                <a:srgbClr val="FF8DF9"/>
              </a:solidFill>
            </c:spPr>
            <c:extLst>
              <c:ext xmlns:c16="http://schemas.microsoft.com/office/drawing/2014/chart" uri="{C3380CC4-5D6E-409C-BE32-E72D297353CC}">
                <c16:uniqueId val="{000006A5-085C-458F-9BEB-3F36C6ADFC53}"/>
              </c:ext>
            </c:extLst>
          </c:dPt>
          <c:dPt>
            <c:idx val="851"/>
            <c:bubble3D val="0"/>
            <c:spPr>
              <a:solidFill>
                <a:srgbClr val="D8A531"/>
              </a:solidFill>
            </c:spPr>
            <c:extLst>
              <c:ext xmlns:c16="http://schemas.microsoft.com/office/drawing/2014/chart" uri="{C3380CC4-5D6E-409C-BE32-E72D297353CC}">
                <c16:uniqueId val="{000006A7-085C-458F-9BEB-3F36C6ADFC53}"/>
              </c:ext>
            </c:extLst>
          </c:dPt>
          <c:dPt>
            <c:idx val="852"/>
            <c:bubble3D val="0"/>
            <c:spPr>
              <a:solidFill>
                <a:srgbClr val="B5D2C9"/>
              </a:solidFill>
            </c:spPr>
            <c:extLst>
              <c:ext xmlns:c16="http://schemas.microsoft.com/office/drawing/2014/chart" uri="{C3380CC4-5D6E-409C-BE32-E72D297353CC}">
                <c16:uniqueId val="{000006A9-085C-458F-9BEB-3F36C6ADFC53}"/>
              </c:ext>
            </c:extLst>
          </c:dPt>
          <c:dPt>
            <c:idx val="853"/>
            <c:bubble3D val="0"/>
            <c:spPr>
              <a:solidFill>
                <a:srgbClr val="698CD2"/>
              </a:solidFill>
            </c:spPr>
            <c:extLst>
              <c:ext xmlns:c16="http://schemas.microsoft.com/office/drawing/2014/chart" uri="{C3380CC4-5D6E-409C-BE32-E72D297353CC}">
                <c16:uniqueId val="{000006AB-085C-458F-9BEB-3F36C6ADFC53}"/>
              </c:ext>
            </c:extLst>
          </c:dPt>
          <c:dPt>
            <c:idx val="854"/>
            <c:bubble3D val="0"/>
            <c:spPr>
              <a:solidFill>
                <a:srgbClr val="A5E2C9"/>
              </a:solidFill>
            </c:spPr>
            <c:extLst>
              <c:ext xmlns:c16="http://schemas.microsoft.com/office/drawing/2014/chart" uri="{C3380CC4-5D6E-409C-BE32-E72D297353CC}">
                <c16:uniqueId val="{000006AD-085C-458F-9BEB-3F36C6ADFC53}"/>
              </c:ext>
            </c:extLst>
          </c:dPt>
          <c:dPt>
            <c:idx val="855"/>
            <c:bubble3D val="0"/>
            <c:spPr>
              <a:solidFill>
                <a:srgbClr val="FC22F2"/>
              </a:solidFill>
            </c:spPr>
            <c:extLst>
              <c:ext xmlns:c16="http://schemas.microsoft.com/office/drawing/2014/chart" uri="{C3380CC4-5D6E-409C-BE32-E72D297353CC}">
                <c16:uniqueId val="{000006AF-085C-458F-9BEB-3F36C6ADFC53}"/>
              </c:ext>
            </c:extLst>
          </c:dPt>
          <c:dPt>
            <c:idx val="856"/>
            <c:bubble3D val="0"/>
            <c:spPr>
              <a:solidFill>
                <a:srgbClr val="FFB945"/>
              </a:solidFill>
            </c:spPr>
            <c:extLst>
              <c:ext xmlns:c16="http://schemas.microsoft.com/office/drawing/2014/chart" uri="{C3380CC4-5D6E-409C-BE32-E72D297353CC}">
                <c16:uniqueId val="{000006B1-085C-458F-9BEB-3F36C6ADFC53}"/>
              </c:ext>
            </c:extLst>
          </c:dPt>
          <c:dPt>
            <c:idx val="857"/>
            <c:bubble3D val="0"/>
            <c:spPr>
              <a:solidFill>
                <a:srgbClr val="0FB942"/>
              </a:solidFill>
            </c:spPr>
            <c:extLst>
              <c:ext xmlns:c16="http://schemas.microsoft.com/office/drawing/2014/chart" uri="{C3380CC4-5D6E-409C-BE32-E72D297353CC}">
                <c16:uniqueId val="{000006B3-085C-458F-9BEB-3F36C6ADFC53}"/>
              </c:ext>
            </c:extLst>
          </c:dPt>
          <c:dPt>
            <c:idx val="858"/>
            <c:bubble3D val="0"/>
            <c:spPr>
              <a:solidFill>
                <a:srgbClr val="EEF7CC"/>
              </a:solidFill>
            </c:spPr>
            <c:extLst>
              <c:ext xmlns:c16="http://schemas.microsoft.com/office/drawing/2014/chart" uri="{C3380CC4-5D6E-409C-BE32-E72D297353CC}">
                <c16:uniqueId val="{000006B5-085C-458F-9BEB-3F36C6ADFC53}"/>
              </c:ext>
            </c:extLst>
          </c:dPt>
          <c:dPt>
            <c:idx val="859"/>
            <c:bubble3D val="0"/>
            <c:spPr>
              <a:solidFill>
                <a:srgbClr val="6FC40F"/>
              </a:solidFill>
            </c:spPr>
            <c:extLst>
              <c:ext xmlns:c16="http://schemas.microsoft.com/office/drawing/2014/chart" uri="{C3380CC4-5D6E-409C-BE32-E72D297353CC}">
                <c16:uniqueId val="{000006B7-085C-458F-9BEB-3F36C6ADFC53}"/>
              </c:ext>
            </c:extLst>
          </c:dPt>
          <c:dPt>
            <c:idx val="860"/>
            <c:bubble3D val="0"/>
            <c:spPr>
              <a:solidFill>
                <a:srgbClr val="A7F614"/>
              </a:solidFill>
            </c:spPr>
            <c:extLst>
              <c:ext xmlns:c16="http://schemas.microsoft.com/office/drawing/2014/chart" uri="{C3380CC4-5D6E-409C-BE32-E72D297353CC}">
                <c16:uniqueId val="{000006B9-085C-458F-9BEB-3F36C6ADFC53}"/>
              </c:ext>
            </c:extLst>
          </c:dPt>
          <c:dPt>
            <c:idx val="861"/>
            <c:bubble3D val="0"/>
            <c:spPr>
              <a:solidFill>
                <a:srgbClr val="393C26"/>
              </a:solidFill>
            </c:spPr>
            <c:extLst>
              <c:ext xmlns:c16="http://schemas.microsoft.com/office/drawing/2014/chart" uri="{C3380CC4-5D6E-409C-BE32-E72D297353CC}">
                <c16:uniqueId val="{000006BB-085C-458F-9BEB-3F36C6ADFC53}"/>
              </c:ext>
            </c:extLst>
          </c:dPt>
          <c:dPt>
            <c:idx val="862"/>
            <c:bubble3D val="0"/>
            <c:spPr>
              <a:solidFill>
                <a:srgbClr val="FFE492"/>
              </a:solidFill>
            </c:spPr>
            <c:extLst>
              <c:ext xmlns:c16="http://schemas.microsoft.com/office/drawing/2014/chart" uri="{C3380CC4-5D6E-409C-BE32-E72D297353CC}">
                <c16:uniqueId val="{000006BD-085C-458F-9BEB-3F36C6ADFC53}"/>
              </c:ext>
            </c:extLst>
          </c:dPt>
          <c:dPt>
            <c:idx val="863"/>
            <c:bubble3D val="0"/>
            <c:spPr>
              <a:solidFill>
                <a:srgbClr val="47CC53"/>
              </a:solidFill>
            </c:spPr>
            <c:extLst>
              <c:ext xmlns:c16="http://schemas.microsoft.com/office/drawing/2014/chart" uri="{C3380CC4-5D6E-409C-BE32-E72D297353CC}">
                <c16:uniqueId val="{000006BF-085C-458F-9BEB-3F36C6ADFC53}"/>
              </c:ext>
            </c:extLst>
          </c:dPt>
          <c:dPt>
            <c:idx val="864"/>
            <c:bubble3D val="0"/>
            <c:spPr>
              <a:solidFill>
                <a:srgbClr val="271BCF"/>
              </a:solidFill>
            </c:spPr>
            <c:extLst>
              <c:ext xmlns:c16="http://schemas.microsoft.com/office/drawing/2014/chart" uri="{C3380CC4-5D6E-409C-BE32-E72D297353CC}">
                <c16:uniqueId val="{000006C1-085C-458F-9BEB-3F36C6ADFC53}"/>
              </c:ext>
            </c:extLst>
          </c:dPt>
          <c:dPt>
            <c:idx val="865"/>
            <c:bubble3D val="0"/>
            <c:spPr>
              <a:solidFill>
                <a:srgbClr val="75FD4B"/>
              </a:solidFill>
            </c:spPr>
            <c:extLst>
              <c:ext xmlns:c16="http://schemas.microsoft.com/office/drawing/2014/chart" uri="{C3380CC4-5D6E-409C-BE32-E72D297353CC}">
                <c16:uniqueId val="{000006C3-085C-458F-9BEB-3F36C6ADFC53}"/>
              </c:ext>
            </c:extLst>
          </c:dPt>
          <c:dPt>
            <c:idx val="866"/>
            <c:bubble3D val="0"/>
            <c:spPr>
              <a:solidFill>
                <a:srgbClr val="A80A5F"/>
              </a:solidFill>
            </c:spPr>
            <c:extLst>
              <c:ext xmlns:c16="http://schemas.microsoft.com/office/drawing/2014/chart" uri="{C3380CC4-5D6E-409C-BE32-E72D297353CC}">
                <c16:uniqueId val="{000006C5-085C-458F-9BEB-3F36C6ADFC53}"/>
              </c:ext>
            </c:extLst>
          </c:dPt>
          <c:dPt>
            <c:idx val="867"/>
            <c:bubble3D val="0"/>
            <c:spPr>
              <a:solidFill>
                <a:srgbClr val="765659"/>
              </a:solidFill>
            </c:spPr>
            <c:extLst>
              <c:ext xmlns:c16="http://schemas.microsoft.com/office/drawing/2014/chart" uri="{C3380CC4-5D6E-409C-BE32-E72D297353CC}">
                <c16:uniqueId val="{000006C7-085C-458F-9BEB-3F36C6ADFC53}"/>
              </c:ext>
            </c:extLst>
          </c:dPt>
          <c:dPt>
            <c:idx val="868"/>
            <c:bubble3D val="0"/>
            <c:spPr>
              <a:solidFill>
                <a:srgbClr val="FF10DE"/>
              </a:solidFill>
            </c:spPr>
            <c:extLst>
              <c:ext xmlns:c16="http://schemas.microsoft.com/office/drawing/2014/chart" uri="{C3380CC4-5D6E-409C-BE32-E72D297353CC}">
                <c16:uniqueId val="{000006C9-085C-458F-9BEB-3F36C6ADFC53}"/>
              </c:ext>
            </c:extLst>
          </c:dPt>
          <c:dPt>
            <c:idx val="869"/>
            <c:bubble3D val="0"/>
            <c:spPr>
              <a:solidFill>
                <a:srgbClr val="7EE064"/>
              </a:solidFill>
            </c:spPr>
            <c:extLst>
              <c:ext xmlns:c16="http://schemas.microsoft.com/office/drawing/2014/chart" uri="{C3380CC4-5D6E-409C-BE32-E72D297353CC}">
                <c16:uniqueId val="{000006CB-085C-458F-9BEB-3F36C6ADFC53}"/>
              </c:ext>
            </c:extLst>
          </c:dPt>
          <c:dPt>
            <c:idx val="870"/>
            <c:bubble3D val="0"/>
            <c:spPr>
              <a:solidFill>
                <a:srgbClr val="6040D3"/>
              </a:solidFill>
            </c:spPr>
            <c:extLst>
              <c:ext xmlns:c16="http://schemas.microsoft.com/office/drawing/2014/chart" uri="{C3380CC4-5D6E-409C-BE32-E72D297353CC}">
                <c16:uniqueId val="{000006CD-085C-458F-9BEB-3F36C6ADFC53}"/>
              </c:ext>
            </c:extLst>
          </c:dPt>
          <c:dPt>
            <c:idx val="871"/>
            <c:bubble3D val="0"/>
            <c:spPr>
              <a:solidFill>
                <a:srgbClr val="7C3588"/>
              </a:solidFill>
            </c:spPr>
            <c:extLst>
              <c:ext xmlns:c16="http://schemas.microsoft.com/office/drawing/2014/chart" uri="{C3380CC4-5D6E-409C-BE32-E72D297353CC}">
                <c16:uniqueId val="{000006CF-085C-458F-9BEB-3F36C6ADFC53}"/>
              </c:ext>
            </c:extLst>
          </c:dPt>
          <c:dPt>
            <c:idx val="872"/>
            <c:bubble3D val="0"/>
            <c:spPr>
              <a:solidFill>
                <a:srgbClr val="A91FAB"/>
              </a:solidFill>
            </c:spPr>
            <c:extLst>
              <c:ext xmlns:c16="http://schemas.microsoft.com/office/drawing/2014/chart" uri="{C3380CC4-5D6E-409C-BE32-E72D297353CC}">
                <c16:uniqueId val="{000006D1-085C-458F-9BEB-3F36C6ADFC53}"/>
              </c:ext>
            </c:extLst>
          </c:dPt>
          <c:dPt>
            <c:idx val="873"/>
            <c:bubble3D val="0"/>
            <c:spPr>
              <a:solidFill>
                <a:srgbClr val="B3718D"/>
              </a:solidFill>
            </c:spPr>
            <c:extLst>
              <c:ext xmlns:c16="http://schemas.microsoft.com/office/drawing/2014/chart" uri="{C3380CC4-5D6E-409C-BE32-E72D297353CC}">
                <c16:uniqueId val="{000006D3-085C-458F-9BEB-3F36C6ADFC53}"/>
              </c:ext>
            </c:extLst>
          </c:dPt>
          <c:dPt>
            <c:idx val="874"/>
            <c:bubble3D val="0"/>
            <c:spPr>
              <a:solidFill>
                <a:srgbClr val="FF3C2A"/>
              </a:solidFill>
            </c:spPr>
            <c:extLst>
              <c:ext xmlns:c16="http://schemas.microsoft.com/office/drawing/2014/chart" uri="{C3380CC4-5D6E-409C-BE32-E72D297353CC}">
                <c16:uniqueId val="{000006D5-085C-458F-9BEB-3F36C6ADFC53}"/>
              </c:ext>
            </c:extLst>
          </c:dPt>
          <c:dPt>
            <c:idx val="875"/>
            <c:bubble3D val="0"/>
            <c:spPr>
              <a:solidFill>
                <a:srgbClr val="B6F476"/>
              </a:solidFill>
            </c:spPr>
            <c:extLst>
              <c:ext xmlns:c16="http://schemas.microsoft.com/office/drawing/2014/chart" uri="{C3380CC4-5D6E-409C-BE32-E72D297353CC}">
                <c16:uniqueId val="{000006D7-085C-458F-9BEB-3F36C6ADFC53}"/>
              </c:ext>
            </c:extLst>
          </c:dPt>
          <c:dPt>
            <c:idx val="876"/>
            <c:bubble3D val="0"/>
            <c:spPr>
              <a:solidFill>
                <a:srgbClr val="9865D6"/>
              </a:solidFill>
            </c:spPr>
            <c:extLst>
              <c:ext xmlns:c16="http://schemas.microsoft.com/office/drawing/2014/chart" uri="{C3380CC4-5D6E-409C-BE32-E72D297353CC}">
                <c16:uniqueId val="{000006D9-085C-458F-9BEB-3F36C6ADFC53}"/>
              </c:ext>
            </c:extLst>
          </c:dPt>
          <c:dPt>
            <c:idx val="877"/>
            <c:bubble3D val="0"/>
            <c:spPr>
              <a:solidFill>
                <a:srgbClr val="826DC5"/>
              </a:solidFill>
            </c:spPr>
            <c:extLst>
              <c:ext xmlns:c16="http://schemas.microsoft.com/office/drawing/2014/chart" uri="{C3380CC4-5D6E-409C-BE32-E72D297353CC}">
                <c16:uniqueId val="{000006DB-085C-458F-9BEB-3F36C6ADFC53}"/>
              </c:ext>
            </c:extLst>
          </c:dPt>
          <c:dPt>
            <c:idx val="878"/>
            <c:bubble3D val="0"/>
            <c:spPr>
              <a:solidFill>
                <a:srgbClr val="AA33F6"/>
              </a:solidFill>
            </c:spPr>
            <c:extLst>
              <c:ext xmlns:c16="http://schemas.microsoft.com/office/drawing/2014/chart" uri="{C3380CC4-5D6E-409C-BE32-E72D297353CC}">
                <c16:uniqueId val="{000006DD-085C-458F-9BEB-3F36C6ADFC53}"/>
              </c:ext>
            </c:extLst>
          </c:dPt>
          <c:dPt>
            <c:idx val="879"/>
            <c:bubble3D val="0"/>
            <c:spPr>
              <a:solidFill>
                <a:srgbClr val="EF8BC1"/>
              </a:solidFill>
            </c:spPr>
            <c:extLst>
              <c:ext xmlns:c16="http://schemas.microsoft.com/office/drawing/2014/chart" uri="{C3380CC4-5D6E-409C-BE32-E72D297353CC}">
                <c16:uniqueId val="{000006DF-085C-458F-9BEB-3F36C6ADFC53}"/>
              </c:ext>
            </c:extLst>
          </c:dPt>
          <c:dPt>
            <c:idx val="880"/>
            <c:bubble3D val="0"/>
            <c:spPr>
              <a:solidFill>
                <a:srgbClr val="FF6876"/>
              </a:solidFill>
            </c:spPr>
            <c:extLst>
              <c:ext xmlns:c16="http://schemas.microsoft.com/office/drawing/2014/chart" uri="{C3380CC4-5D6E-409C-BE32-E72D297353CC}">
                <c16:uniqueId val="{000006E1-085C-458F-9BEB-3F36C6ADFC53}"/>
              </c:ext>
            </c:extLst>
          </c:dPt>
          <c:dPt>
            <c:idx val="881"/>
            <c:bubble3D val="0"/>
            <c:spPr>
              <a:solidFill>
                <a:srgbClr val="ED0887"/>
              </a:solidFill>
            </c:spPr>
            <c:extLst>
              <c:ext xmlns:c16="http://schemas.microsoft.com/office/drawing/2014/chart" uri="{C3380CC4-5D6E-409C-BE32-E72D297353CC}">
                <c16:uniqueId val="{000006E3-085C-458F-9BEB-3F36C6ADFC53}"/>
              </c:ext>
            </c:extLst>
          </c:dPt>
          <c:dPt>
            <c:idx val="882"/>
            <c:bubble3D val="0"/>
            <c:spPr>
              <a:solidFill>
                <a:srgbClr val="D189D9"/>
              </a:solidFill>
            </c:spPr>
            <c:extLst>
              <c:ext xmlns:c16="http://schemas.microsoft.com/office/drawing/2014/chart" uri="{C3380CC4-5D6E-409C-BE32-E72D297353CC}">
                <c16:uniqueId val="{000006E5-085C-458F-9BEB-3F36C6ADFC53}"/>
              </c:ext>
            </c:extLst>
          </c:dPt>
          <c:dPt>
            <c:idx val="883"/>
            <c:bubble3D val="0"/>
            <c:spPr>
              <a:solidFill>
                <a:srgbClr val="88A601"/>
              </a:solidFill>
            </c:spPr>
            <c:extLst>
              <c:ext xmlns:c16="http://schemas.microsoft.com/office/drawing/2014/chart" uri="{C3380CC4-5D6E-409C-BE32-E72D297353CC}">
                <c16:uniqueId val="{000006E7-085C-458F-9BEB-3F36C6ADFC53}"/>
              </c:ext>
            </c:extLst>
          </c:dPt>
          <c:dPt>
            <c:idx val="884"/>
            <c:bubble3D val="0"/>
            <c:spPr>
              <a:solidFill>
                <a:srgbClr val="AB4741"/>
              </a:solidFill>
            </c:spPr>
            <c:extLst>
              <c:ext xmlns:c16="http://schemas.microsoft.com/office/drawing/2014/chart" uri="{C3380CC4-5D6E-409C-BE32-E72D297353CC}">
                <c16:uniqueId val="{000006E9-085C-458F-9BEB-3F36C6ADFC53}"/>
              </c:ext>
            </c:extLst>
          </c:dPt>
          <c:dPt>
            <c:idx val="885"/>
            <c:bubble3D val="0"/>
            <c:spPr>
              <a:solidFill>
                <a:srgbClr val="2CA5F4"/>
              </a:solidFill>
            </c:spPr>
            <c:extLst>
              <c:ext xmlns:c16="http://schemas.microsoft.com/office/drawing/2014/chart" uri="{C3380CC4-5D6E-409C-BE32-E72D297353CC}">
                <c16:uniqueId val="{000006EB-085C-458F-9BEB-3F36C6ADFC53}"/>
              </c:ext>
            </c:extLst>
          </c:dPt>
          <c:dPt>
            <c:idx val="886"/>
            <c:bubble3D val="0"/>
            <c:spPr>
              <a:solidFill>
                <a:srgbClr val="FF94C2"/>
              </a:solidFill>
            </c:spPr>
            <c:extLst>
              <c:ext xmlns:c16="http://schemas.microsoft.com/office/drawing/2014/chart" uri="{C3380CC4-5D6E-409C-BE32-E72D297353CC}">
                <c16:uniqueId val="{000006ED-085C-458F-9BEB-3F36C6ADFC53}"/>
              </c:ext>
            </c:extLst>
          </c:dPt>
          <c:dPt>
            <c:idx val="887"/>
            <c:bubble3D val="0"/>
            <c:spPr>
              <a:solidFill>
                <a:srgbClr val="251C98"/>
              </a:solidFill>
            </c:spPr>
            <c:extLst>
              <c:ext xmlns:c16="http://schemas.microsoft.com/office/drawing/2014/chart" uri="{C3380CC4-5D6E-409C-BE32-E72D297353CC}">
                <c16:uniqueId val="{000006EF-085C-458F-9BEB-3F36C6ADFC53}"/>
              </c:ext>
            </c:extLst>
          </c:dPt>
          <c:dPt>
            <c:idx val="888"/>
            <c:bubble3D val="0"/>
            <c:spPr>
              <a:solidFill>
                <a:srgbClr val="0AAEDC"/>
              </a:solidFill>
            </c:spPr>
            <c:extLst>
              <c:ext xmlns:c16="http://schemas.microsoft.com/office/drawing/2014/chart" uri="{C3380CC4-5D6E-409C-BE32-E72D297353CC}">
                <c16:uniqueId val="{000006F1-085C-458F-9BEB-3F36C6ADFC53}"/>
              </c:ext>
            </c:extLst>
          </c:dPt>
          <c:dPt>
            <c:idx val="889"/>
            <c:bubble3D val="0"/>
            <c:spPr>
              <a:solidFill>
                <a:srgbClr val="8EDE3E"/>
              </a:solidFill>
            </c:spPr>
            <c:extLst>
              <c:ext xmlns:c16="http://schemas.microsoft.com/office/drawing/2014/chart" uri="{C3380CC4-5D6E-409C-BE32-E72D297353CC}">
                <c16:uniqueId val="{000006F3-085C-458F-9BEB-3F36C6ADFC53}"/>
              </c:ext>
            </c:extLst>
          </c:dPt>
          <c:dPt>
            <c:idx val="890"/>
            <c:bubble3D val="0"/>
            <c:spPr>
              <a:solidFill>
                <a:srgbClr val="AD5B8C"/>
              </a:solidFill>
            </c:spPr>
            <c:extLst>
              <c:ext xmlns:c16="http://schemas.microsoft.com/office/drawing/2014/chart" uri="{C3380CC4-5D6E-409C-BE32-E72D297353CC}">
                <c16:uniqueId val="{000006F5-085C-458F-9BEB-3F36C6ADFC53}"/>
              </c:ext>
            </c:extLst>
          </c:dPt>
          <c:dPt>
            <c:idx val="891"/>
            <c:bubble3D val="0"/>
            <c:spPr>
              <a:solidFill>
                <a:srgbClr val="69BF28"/>
              </a:solidFill>
            </c:spPr>
            <c:extLst>
              <c:ext xmlns:c16="http://schemas.microsoft.com/office/drawing/2014/chart" uri="{C3380CC4-5D6E-409C-BE32-E72D297353CC}">
                <c16:uniqueId val="{000006F7-085C-458F-9BEB-3F36C6ADFC53}"/>
              </c:ext>
            </c:extLst>
          </c:dPt>
          <c:dPt>
            <c:idx val="892"/>
            <c:bubble3D val="0"/>
            <c:spPr>
              <a:solidFill>
                <a:srgbClr val="FFBF0F"/>
              </a:solidFill>
            </c:spPr>
            <c:extLst>
              <c:ext xmlns:c16="http://schemas.microsoft.com/office/drawing/2014/chart" uri="{C3380CC4-5D6E-409C-BE32-E72D297353CC}">
                <c16:uniqueId val="{000006F9-085C-458F-9BEB-3F36C6ADFC53}"/>
              </c:ext>
            </c:extLst>
          </c:dPt>
          <c:dPt>
            <c:idx val="893"/>
            <c:bubble3D val="0"/>
            <c:spPr>
              <a:solidFill>
                <a:srgbClr val="5C2FA9"/>
              </a:solidFill>
            </c:spPr>
            <c:extLst>
              <c:ext xmlns:c16="http://schemas.microsoft.com/office/drawing/2014/chart" uri="{C3380CC4-5D6E-409C-BE32-E72D297353CC}">
                <c16:uniqueId val="{000006FB-085C-458F-9BEB-3F36C6ADFC53}"/>
              </c:ext>
            </c:extLst>
          </c:dPt>
          <c:dPt>
            <c:idx val="894"/>
            <c:bubble3D val="0"/>
            <c:spPr>
              <a:solidFill>
                <a:srgbClr val="42D2E0"/>
              </a:solidFill>
            </c:spPr>
            <c:extLst>
              <c:ext xmlns:c16="http://schemas.microsoft.com/office/drawing/2014/chart" uri="{C3380CC4-5D6E-409C-BE32-E72D297353CC}">
                <c16:uniqueId val="{000006FD-085C-458F-9BEB-3F36C6ADFC53}"/>
              </c:ext>
            </c:extLst>
          </c:dPt>
          <c:dPt>
            <c:idx val="895"/>
            <c:bubble3D val="0"/>
            <c:spPr>
              <a:solidFill>
                <a:srgbClr val="95177A"/>
              </a:solidFill>
            </c:spPr>
            <c:extLst>
              <c:ext xmlns:c16="http://schemas.microsoft.com/office/drawing/2014/chart" uri="{C3380CC4-5D6E-409C-BE32-E72D297353CC}">
                <c16:uniqueId val="{000006FF-085C-458F-9BEB-3F36C6ADFC53}"/>
              </c:ext>
            </c:extLst>
          </c:dPt>
          <c:dPt>
            <c:idx val="896"/>
            <c:bubble3D val="0"/>
            <c:spPr>
              <a:solidFill>
                <a:srgbClr val="AE6FD8"/>
              </a:solidFill>
            </c:spPr>
            <c:extLst>
              <c:ext xmlns:c16="http://schemas.microsoft.com/office/drawing/2014/chart" uri="{C3380CC4-5D6E-409C-BE32-E72D297353CC}">
                <c16:uniqueId val="{00000701-085C-458F-9BEB-3F36C6ADFC53}"/>
              </c:ext>
            </c:extLst>
          </c:dPt>
          <c:dPt>
            <c:idx val="897"/>
            <c:bubble3D val="0"/>
            <c:spPr>
              <a:solidFill>
                <a:srgbClr val="A6D95B"/>
              </a:solidFill>
            </c:spPr>
            <c:extLst>
              <c:ext xmlns:c16="http://schemas.microsoft.com/office/drawing/2014/chart" uri="{C3380CC4-5D6E-409C-BE32-E72D297353CC}">
                <c16:uniqueId val="{00000703-085C-458F-9BEB-3F36C6ADFC53}"/>
              </c:ext>
            </c:extLst>
          </c:dPt>
          <c:dPt>
            <c:idx val="898"/>
            <c:bubble3D val="0"/>
            <c:spPr>
              <a:solidFill>
                <a:srgbClr val="FFEB5B"/>
              </a:solidFill>
            </c:spPr>
            <c:extLst>
              <c:ext xmlns:c16="http://schemas.microsoft.com/office/drawing/2014/chart" uri="{C3380CC4-5D6E-409C-BE32-E72D297353CC}">
                <c16:uniqueId val="{00000705-085C-458F-9BEB-3F36C6ADFC53}"/>
              </c:ext>
            </c:extLst>
          </c:dPt>
          <c:dPt>
            <c:idx val="899"/>
            <c:bubble3D val="0"/>
            <c:spPr>
              <a:solidFill>
                <a:srgbClr val="9443BA"/>
              </a:solidFill>
            </c:spPr>
            <c:extLst>
              <c:ext xmlns:c16="http://schemas.microsoft.com/office/drawing/2014/chart" uri="{C3380CC4-5D6E-409C-BE32-E72D297353CC}">
                <c16:uniqueId val="{00000707-085C-458F-9BEB-3F36C6ADFC53}"/>
              </c:ext>
            </c:extLst>
          </c:dPt>
          <c:dPt>
            <c:idx val="900"/>
            <c:bubble3D val="0"/>
            <c:spPr>
              <a:solidFill>
                <a:srgbClr val="7BF7E3"/>
              </a:solidFill>
            </c:spPr>
            <c:extLst>
              <c:ext xmlns:c16="http://schemas.microsoft.com/office/drawing/2014/chart" uri="{C3380CC4-5D6E-409C-BE32-E72D297353CC}">
                <c16:uniqueId val="{00000709-085C-458F-9BEB-3F36C6ADFC53}"/>
              </c:ext>
            </c:extLst>
          </c:dPt>
          <c:dPt>
            <c:idx val="901"/>
            <c:bubble3D val="0"/>
            <c:spPr>
              <a:solidFill>
                <a:srgbClr val="9B4FB7"/>
              </a:solidFill>
            </c:spPr>
            <c:extLst>
              <c:ext xmlns:c16="http://schemas.microsoft.com/office/drawing/2014/chart" uri="{C3380CC4-5D6E-409C-BE32-E72D297353CC}">
                <c16:uniqueId val="{0000070B-085C-458F-9BEB-3F36C6ADFC53}"/>
              </c:ext>
            </c:extLst>
          </c:dPt>
          <c:dPt>
            <c:idx val="902"/>
            <c:bubble3D val="0"/>
            <c:spPr>
              <a:solidFill>
                <a:srgbClr val="AF8323"/>
              </a:solidFill>
            </c:spPr>
            <c:extLst>
              <c:ext xmlns:c16="http://schemas.microsoft.com/office/drawing/2014/chart" uri="{C3380CC4-5D6E-409C-BE32-E72D297353CC}">
                <c16:uniqueId val="{0000070D-085C-458F-9BEB-3F36C6ADFC53}"/>
              </c:ext>
            </c:extLst>
          </c:dPt>
          <c:dPt>
            <c:idx val="903"/>
            <c:bubble3D val="0"/>
            <c:spPr>
              <a:solidFill>
                <a:srgbClr val="E3F38F"/>
              </a:solidFill>
            </c:spPr>
            <c:extLst>
              <c:ext xmlns:c16="http://schemas.microsoft.com/office/drawing/2014/chart" uri="{C3380CC4-5D6E-409C-BE32-E72D297353CC}">
                <c16:uniqueId val="{0000070F-085C-458F-9BEB-3F36C6ADFC53}"/>
              </c:ext>
            </c:extLst>
          </c:dPt>
          <c:dPt>
            <c:idx val="904"/>
            <c:bubble3D val="0"/>
            <c:spPr>
              <a:solidFill>
                <a:srgbClr val="FF17A7"/>
              </a:solidFill>
            </c:spPr>
            <c:extLst>
              <c:ext xmlns:c16="http://schemas.microsoft.com/office/drawing/2014/chart" uri="{C3380CC4-5D6E-409C-BE32-E72D297353CC}">
                <c16:uniqueId val="{00000711-085C-458F-9BEB-3F36C6ADFC53}"/>
              </c:ext>
            </c:extLst>
          </c:dPt>
          <c:dPt>
            <c:idx val="905"/>
            <c:bubble3D val="0"/>
            <c:spPr>
              <a:solidFill>
                <a:srgbClr val="CB57CB"/>
              </a:solidFill>
            </c:spPr>
            <c:extLst>
              <c:ext xmlns:c16="http://schemas.microsoft.com/office/drawing/2014/chart" uri="{C3380CC4-5D6E-409C-BE32-E72D297353CC}">
                <c16:uniqueId val="{00000713-085C-458F-9BEB-3F36C6ADFC53}"/>
              </c:ext>
            </c:extLst>
          </c:dPt>
          <c:dPt>
            <c:idx val="906"/>
            <c:bubble3D val="0"/>
            <c:spPr>
              <a:solidFill>
                <a:srgbClr val="B41CE6"/>
              </a:solidFill>
            </c:spPr>
            <c:extLst>
              <c:ext xmlns:c16="http://schemas.microsoft.com/office/drawing/2014/chart" uri="{C3380CC4-5D6E-409C-BE32-E72D297353CC}">
                <c16:uniqueId val="{00000715-085C-458F-9BEB-3F36C6ADFC53}"/>
              </c:ext>
            </c:extLst>
          </c:dPt>
          <c:dPt>
            <c:idx val="907"/>
            <c:bubble3D val="0"/>
            <c:spPr>
              <a:solidFill>
                <a:srgbClr val="A187F4"/>
              </a:solidFill>
            </c:spPr>
            <c:extLst>
              <c:ext xmlns:c16="http://schemas.microsoft.com/office/drawing/2014/chart" uri="{C3380CC4-5D6E-409C-BE32-E72D297353CC}">
                <c16:uniqueId val="{00000717-085C-458F-9BEB-3F36C6ADFC53}"/>
              </c:ext>
            </c:extLst>
          </c:dPt>
          <c:dPt>
            <c:idx val="908"/>
            <c:bubble3D val="0"/>
            <c:spPr>
              <a:solidFill>
                <a:srgbClr val="B0976E"/>
              </a:solidFill>
            </c:spPr>
            <c:extLst>
              <c:ext xmlns:c16="http://schemas.microsoft.com/office/drawing/2014/chart" uri="{C3380CC4-5D6E-409C-BE32-E72D297353CC}">
                <c16:uniqueId val="{00000719-085C-458F-9BEB-3F36C6ADFC53}"/>
              </c:ext>
            </c:extLst>
          </c:dPt>
          <c:dPt>
            <c:idx val="909"/>
            <c:bubble3D val="0"/>
            <c:spPr>
              <a:solidFill>
                <a:srgbClr val="200DC3"/>
              </a:solidFill>
            </c:spPr>
            <c:extLst>
              <c:ext xmlns:c16="http://schemas.microsoft.com/office/drawing/2014/chart" uri="{C3380CC4-5D6E-409C-BE32-E72D297353CC}">
                <c16:uniqueId val="{0000071B-085C-458F-9BEB-3F36C6ADFC53}"/>
              </c:ext>
            </c:extLst>
          </c:dPt>
          <c:dPt>
            <c:idx val="910"/>
            <c:bubble3D val="0"/>
            <c:spPr>
              <a:solidFill>
                <a:srgbClr val="FF43F3"/>
              </a:solidFill>
            </c:spPr>
            <c:extLst>
              <c:ext xmlns:c16="http://schemas.microsoft.com/office/drawing/2014/chart" uri="{C3380CC4-5D6E-409C-BE32-E72D297353CC}">
                <c16:uniqueId val="{0000071D-085C-458F-9BEB-3F36C6ADFC53}"/>
              </c:ext>
            </c:extLst>
          </c:dPt>
          <c:dPt>
            <c:idx val="911"/>
            <c:bubble3D val="0"/>
            <c:spPr>
              <a:solidFill>
                <a:srgbClr val="036BDC"/>
              </a:solidFill>
            </c:spPr>
            <c:extLst>
              <c:ext xmlns:c16="http://schemas.microsoft.com/office/drawing/2014/chart" uri="{C3380CC4-5D6E-409C-BE32-E72D297353CC}">
                <c16:uniqueId val="{0000071F-085C-458F-9BEB-3F36C6ADFC53}"/>
              </c:ext>
            </c:extLst>
          </c:dPt>
          <c:dPt>
            <c:idx val="912"/>
            <c:bubble3D val="0"/>
            <c:spPr>
              <a:solidFill>
                <a:srgbClr val="EC40EA"/>
              </a:solidFill>
            </c:spPr>
            <c:extLst>
              <c:ext xmlns:c16="http://schemas.microsoft.com/office/drawing/2014/chart" uri="{C3380CC4-5D6E-409C-BE32-E72D297353CC}">
                <c16:uniqueId val="{00000721-085C-458F-9BEB-3F36C6ADFC53}"/>
              </c:ext>
            </c:extLst>
          </c:dPt>
          <c:dPt>
            <c:idx val="913"/>
            <c:bubble3D val="0"/>
            <c:spPr>
              <a:solidFill>
                <a:srgbClr val="A8C030"/>
              </a:solidFill>
            </c:spPr>
            <c:extLst>
              <c:ext xmlns:c16="http://schemas.microsoft.com/office/drawing/2014/chart" uri="{C3380CC4-5D6E-409C-BE32-E72D297353CC}">
                <c16:uniqueId val="{00000723-085C-458F-9BEB-3F36C6ADFC53}"/>
              </c:ext>
            </c:extLst>
          </c:dPt>
          <c:dPt>
            <c:idx val="914"/>
            <c:bubble3D val="0"/>
            <c:spPr>
              <a:solidFill>
                <a:srgbClr val="B1ABBA"/>
              </a:solidFill>
            </c:spPr>
            <c:extLst>
              <c:ext xmlns:c16="http://schemas.microsoft.com/office/drawing/2014/chart" uri="{C3380CC4-5D6E-409C-BE32-E72D297353CC}">
                <c16:uniqueId val="{00000725-085C-458F-9BEB-3F36C6ADFC53}"/>
              </c:ext>
            </c:extLst>
          </c:dPt>
          <c:dPt>
            <c:idx val="915"/>
            <c:bubble3D val="0"/>
            <c:spPr>
              <a:solidFill>
                <a:srgbClr val="5D27F6"/>
              </a:solidFill>
            </c:spPr>
            <c:extLst>
              <c:ext xmlns:c16="http://schemas.microsoft.com/office/drawing/2014/chart" uri="{C3380CC4-5D6E-409C-BE32-E72D297353CC}">
                <c16:uniqueId val="{00000727-085C-458F-9BEB-3F36C6ADFC53}"/>
              </c:ext>
            </c:extLst>
          </c:dPt>
          <c:dPt>
            <c:idx val="916"/>
            <c:bubble3D val="0"/>
            <c:spPr>
              <a:solidFill>
                <a:srgbClr val="FF6F3F"/>
              </a:solidFill>
            </c:spPr>
            <c:extLst>
              <c:ext xmlns:c16="http://schemas.microsoft.com/office/drawing/2014/chart" uri="{C3380CC4-5D6E-409C-BE32-E72D297353CC}">
                <c16:uniqueId val="{00000729-085C-458F-9BEB-3F36C6ADFC53}"/>
              </c:ext>
            </c:extLst>
          </c:dPt>
          <c:dPt>
            <c:idx val="917"/>
            <c:bubble3D val="0"/>
            <c:spPr>
              <a:solidFill>
                <a:srgbClr val="3A7FED"/>
              </a:solidFill>
            </c:spPr>
            <c:extLst>
              <c:ext xmlns:c16="http://schemas.microsoft.com/office/drawing/2014/chart" uri="{C3380CC4-5D6E-409C-BE32-E72D297353CC}">
                <c16:uniqueId val="{0000072B-085C-458F-9BEB-3F36C6ADFC53}"/>
              </c:ext>
            </c:extLst>
          </c:dPt>
          <c:dPt>
            <c:idx val="918"/>
            <c:bubble3D val="0"/>
            <c:spPr>
              <a:solidFill>
                <a:srgbClr val="2565ED"/>
              </a:solidFill>
            </c:spPr>
            <c:extLst>
              <c:ext xmlns:c16="http://schemas.microsoft.com/office/drawing/2014/chart" uri="{C3380CC4-5D6E-409C-BE32-E72D297353CC}">
                <c16:uniqueId val="{0000072D-085C-458F-9BEB-3F36C6ADFC53}"/>
              </c:ext>
            </c:extLst>
          </c:dPt>
          <c:dPt>
            <c:idx val="919"/>
            <c:bubble3D val="0"/>
            <c:spPr>
              <a:solidFill>
                <a:srgbClr val="AEF86D"/>
              </a:solidFill>
            </c:spPr>
            <c:extLst>
              <c:ext xmlns:c16="http://schemas.microsoft.com/office/drawing/2014/chart" uri="{C3380CC4-5D6E-409C-BE32-E72D297353CC}">
                <c16:uniqueId val="{0000072F-085C-458F-9BEB-3F36C6ADFC53}"/>
              </c:ext>
            </c:extLst>
          </c:dPt>
          <c:dPt>
            <c:idx val="920"/>
            <c:bubble3D val="0"/>
            <c:spPr>
              <a:solidFill>
                <a:srgbClr val="B3BF05"/>
              </a:solidFill>
            </c:spPr>
            <c:extLst>
              <c:ext xmlns:c16="http://schemas.microsoft.com/office/drawing/2014/chart" uri="{C3380CC4-5D6E-409C-BE32-E72D297353CC}">
                <c16:uniqueId val="{00000731-085C-458F-9BEB-3F36C6ADFC53}"/>
              </c:ext>
            </c:extLst>
          </c:dPt>
          <c:dPt>
            <c:idx val="921"/>
            <c:bubble3D val="0"/>
            <c:spPr>
              <a:solidFill>
                <a:srgbClr val="9A412A"/>
              </a:solidFill>
            </c:spPr>
            <c:extLst>
              <c:ext xmlns:c16="http://schemas.microsoft.com/office/drawing/2014/chart" uri="{C3380CC4-5D6E-409C-BE32-E72D297353CC}">
                <c16:uniqueId val="{00000733-085C-458F-9BEB-3F36C6ADFC53}"/>
              </c:ext>
            </c:extLst>
          </c:dPt>
          <c:dPt>
            <c:idx val="922"/>
            <c:bubble3D val="0"/>
            <c:spPr>
              <a:solidFill>
                <a:srgbClr val="FF9A8C"/>
              </a:solidFill>
            </c:spPr>
            <c:extLst>
              <c:ext xmlns:c16="http://schemas.microsoft.com/office/drawing/2014/chart" uri="{C3380CC4-5D6E-409C-BE32-E72D297353CC}">
                <c16:uniqueId val="{00000735-085C-458F-9BEB-3F36C6ADFC53}"/>
              </c:ext>
            </c:extLst>
          </c:dPt>
          <c:dPt>
            <c:idx val="923"/>
            <c:bubble3D val="0"/>
            <c:spPr>
              <a:solidFill>
                <a:srgbClr val="7292FE"/>
              </a:solidFill>
            </c:spPr>
            <c:extLst>
              <c:ext xmlns:c16="http://schemas.microsoft.com/office/drawing/2014/chart" uri="{C3380CC4-5D6E-409C-BE32-E72D297353CC}">
                <c16:uniqueId val="{00000737-085C-458F-9BEB-3F36C6ADFC53}"/>
              </c:ext>
            </c:extLst>
          </c:dPt>
          <c:dPt>
            <c:idx val="924"/>
            <c:bubble3D val="0"/>
            <c:spPr>
              <a:solidFill>
                <a:srgbClr val="5E89F0"/>
              </a:solidFill>
            </c:spPr>
            <c:extLst>
              <c:ext xmlns:c16="http://schemas.microsoft.com/office/drawing/2014/chart" uri="{C3380CC4-5D6E-409C-BE32-E72D297353CC}">
                <c16:uniqueId val="{00000739-085C-458F-9BEB-3F36C6ADFC53}"/>
              </c:ext>
            </c:extLst>
          </c:dPt>
          <c:dPt>
            <c:idx val="925"/>
            <c:bubble3D val="0"/>
            <c:spPr>
              <a:solidFill>
                <a:srgbClr val="B431A9"/>
              </a:solidFill>
            </c:spPr>
            <c:extLst>
              <c:ext xmlns:c16="http://schemas.microsoft.com/office/drawing/2014/chart" uri="{C3380CC4-5D6E-409C-BE32-E72D297353CC}">
                <c16:uniqueId val="{0000073B-085C-458F-9BEB-3F36C6ADFC53}"/>
              </c:ext>
            </c:extLst>
          </c:dPt>
          <c:dPt>
            <c:idx val="926"/>
            <c:bubble3D val="0"/>
            <c:spPr>
              <a:solidFill>
                <a:srgbClr val="B4D350"/>
              </a:solidFill>
            </c:spPr>
            <c:extLst>
              <c:ext xmlns:c16="http://schemas.microsoft.com/office/drawing/2014/chart" uri="{C3380CC4-5D6E-409C-BE32-E72D297353CC}">
                <c16:uniqueId val="{0000073D-085C-458F-9BEB-3F36C6ADFC53}"/>
              </c:ext>
            </c:extLst>
          </c:dPt>
          <c:dPt>
            <c:idx val="927"/>
            <c:bubble3D val="0"/>
            <c:spPr>
              <a:solidFill>
                <a:srgbClr val="D75B5D"/>
              </a:solidFill>
            </c:spPr>
            <c:extLst>
              <c:ext xmlns:c16="http://schemas.microsoft.com/office/drawing/2014/chart" uri="{C3380CC4-5D6E-409C-BE32-E72D297353CC}">
                <c16:uniqueId val="{0000073F-085C-458F-9BEB-3F36C6ADFC53}"/>
              </c:ext>
            </c:extLst>
          </c:dPt>
          <c:dPt>
            <c:idx val="928"/>
            <c:bubble3D val="0"/>
            <c:spPr>
              <a:solidFill>
                <a:srgbClr val="FFC6D8"/>
              </a:solidFill>
            </c:spPr>
            <c:extLst>
              <c:ext xmlns:c16="http://schemas.microsoft.com/office/drawing/2014/chart" uri="{C3380CC4-5D6E-409C-BE32-E72D297353CC}">
                <c16:uniqueId val="{00000741-085C-458F-9BEB-3F36C6ADFC53}"/>
              </c:ext>
            </c:extLst>
          </c:dPt>
          <c:dPt>
            <c:idx val="929"/>
            <c:bubble3D val="0"/>
            <c:spPr>
              <a:solidFill>
                <a:srgbClr val="A9A60F"/>
              </a:solidFill>
            </c:spPr>
            <c:extLst>
              <c:ext xmlns:c16="http://schemas.microsoft.com/office/drawing/2014/chart" uri="{C3380CC4-5D6E-409C-BE32-E72D297353CC}">
                <c16:uniqueId val="{00000743-085C-458F-9BEB-3F36C6ADFC53}"/>
              </c:ext>
            </c:extLst>
          </c:dPt>
          <c:dPt>
            <c:idx val="930"/>
            <c:bubble3D val="0"/>
            <c:spPr>
              <a:solidFill>
                <a:srgbClr val="97AEF4"/>
              </a:solidFill>
            </c:spPr>
            <c:extLst>
              <c:ext xmlns:c16="http://schemas.microsoft.com/office/drawing/2014/chart" uri="{C3380CC4-5D6E-409C-BE32-E72D297353CC}">
                <c16:uniqueId val="{00000745-085C-458F-9BEB-3F36C6ADFC53}"/>
              </c:ext>
            </c:extLst>
          </c:dPt>
          <c:dPt>
            <c:idx val="931"/>
            <c:bubble3D val="0"/>
            <c:spPr>
              <a:solidFill>
                <a:srgbClr val="BB69E6"/>
              </a:solidFill>
            </c:spPr>
            <c:extLst>
              <c:ext xmlns:c16="http://schemas.microsoft.com/office/drawing/2014/chart" uri="{C3380CC4-5D6E-409C-BE32-E72D297353CC}">
                <c16:uniqueId val="{00000747-085C-458F-9BEB-3F36C6ADFC53}"/>
              </c:ext>
            </c:extLst>
          </c:dPt>
          <c:dPt>
            <c:idx val="932"/>
            <c:bubble3D val="0"/>
            <c:spPr>
              <a:solidFill>
                <a:srgbClr val="B5E89C"/>
              </a:solidFill>
            </c:spPr>
            <c:extLst>
              <c:ext xmlns:c16="http://schemas.microsoft.com/office/drawing/2014/chart" uri="{C3380CC4-5D6E-409C-BE32-E72D297353CC}">
                <c16:uniqueId val="{00000749-085C-458F-9BEB-3F36C6ADFC53}"/>
              </c:ext>
            </c:extLst>
          </c:dPt>
          <c:dPt>
            <c:idx val="933"/>
            <c:bubble3D val="0"/>
            <c:spPr>
              <a:solidFill>
                <a:srgbClr val="147691"/>
              </a:solidFill>
            </c:spPr>
            <c:extLst>
              <c:ext xmlns:c16="http://schemas.microsoft.com/office/drawing/2014/chart" uri="{C3380CC4-5D6E-409C-BE32-E72D297353CC}">
                <c16:uniqueId val="{0000074B-085C-458F-9BEB-3F36C6ADFC53}"/>
              </c:ext>
            </c:extLst>
          </c:dPt>
          <c:dPt>
            <c:idx val="934"/>
            <c:bubble3D val="0"/>
            <c:spPr>
              <a:solidFill>
                <a:srgbClr val="FFF224"/>
              </a:solidFill>
            </c:spPr>
            <c:extLst>
              <c:ext xmlns:c16="http://schemas.microsoft.com/office/drawing/2014/chart" uri="{C3380CC4-5D6E-409C-BE32-E72D297353CC}">
                <c16:uniqueId val="{0000074D-085C-458F-9BEB-3F36C6ADFC53}"/>
              </c:ext>
            </c:extLst>
          </c:dPt>
          <c:dPt>
            <c:idx val="935"/>
            <c:bubble3D val="0"/>
            <c:spPr>
              <a:solidFill>
                <a:srgbClr val="E1BA21"/>
              </a:solidFill>
            </c:spPr>
            <c:extLst>
              <c:ext xmlns:c16="http://schemas.microsoft.com/office/drawing/2014/chart" uri="{C3380CC4-5D6E-409C-BE32-E72D297353CC}">
                <c16:uniqueId val="{0000074F-085C-458F-9BEB-3F36C6ADFC53}"/>
              </c:ext>
            </c:extLst>
          </c:dPt>
          <c:dPt>
            <c:idx val="936"/>
            <c:bubble3D val="0"/>
            <c:spPr>
              <a:solidFill>
                <a:srgbClr val="CFD3F7"/>
              </a:solidFill>
            </c:spPr>
            <c:extLst>
              <c:ext xmlns:c16="http://schemas.microsoft.com/office/drawing/2014/chart" uri="{C3380CC4-5D6E-409C-BE32-E72D297353CC}">
                <c16:uniqueId val="{00000751-085C-458F-9BEB-3F36C6ADFC53}"/>
              </c:ext>
            </c:extLst>
          </c:dPt>
          <c:dPt>
            <c:idx val="937"/>
            <c:bubble3D val="0"/>
            <c:spPr>
              <a:solidFill>
                <a:srgbClr val="C1A123"/>
              </a:solidFill>
            </c:spPr>
            <c:extLst>
              <c:ext xmlns:c16="http://schemas.microsoft.com/office/drawing/2014/chart" uri="{C3380CC4-5D6E-409C-BE32-E72D297353CC}">
                <c16:uniqueId val="{00000753-085C-458F-9BEB-3F36C6ADFC53}"/>
              </c:ext>
            </c:extLst>
          </c:dPt>
          <c:dPt>
            <c:idx val="938"/>
            <c:bubble3D val="0"/>
            <c:spPr>
              <a:solidFill>
                <a:srgbClr val="B6FCE7"/>
              </a:solidFill>
            </c:spPr>
            <c:extLst>
              <c:ext xmlns:c16="http://schemas.microsoft.com/office/drawing/2014/chart" uri="{C3380CC4-5D6E-409C-BE32-E72D297353CC}">
                <c16:uniqueId val="{00000755-085C-458F-9BEB-3F36C6ADFC53}"/>
              </c:ext>
            </c:extLst>
          </c:dPt>
          <c:dPt>
            <c:idx val="939"/>
            <c:bubble3D val="0"/>
            <c:spPr>
              <a:solidFill>
                <a:srgbClr val="5090C5"/>
              </a:solidFill>
            </c:spPr>
            <c:extLst>
              <c:ext xmlns:c16="http://schemas.microsoft.com/office/drawing/2014/chart" uri="{C3380CC4-5D6E-409C-BE32-E72D297353CC}">
                <c16:uniqueId val="{00000757-085C-458F-9BEB-3F36C6ADFC53}"/>
              </c:ext>
            </c:extLst>
          </c:dPt>
          <c:dPt>
            <c:idx val="940"/>
            <c:bubble3D val="0"/>
            <c:spPr>
              <a:solidFill>
                <a:srgbClr val="FF1E70"/>
              </a:solidFill>
            </c:spPr>
            <c:extLst>
              <c:ext xmlns:c16="http://schemas.microsoft.com/office/drawing/2014/chart" uri="{C3380CC4-5D6E-409C-BE32-E72D297353CC}">
                <c16:uniqueId val="{00000759-085C-458F-9BEB-3F36C6ADFC53}"/>
              </c:ext>
            </c:extLst>
          </c:dPt>
          <c:dPt>
            <c:idx val="941"/>
            <c:bubble3D val="0"/>
            <c:spPr>
              <a:solidFill>
                <a:srgbClr val="18CE32"/>
              </a:solidFill>
            </c:spPr>
            <c:extLst>
              <c:ext xmlns:c16="http://schemas.microsoft.com/office/drawing/2014/chart" uri="{C3380CC4-5D6E-409C-BE32-E72D297353CC}">
                <c16:uniqueId val="{0000075B-085C-458F-9BEB-3F36C6ADFC53}"/>
              </c:ext>
            </c:extLst>
          </c:dPt>
          <c:dPt>
            <c:idx val="942"/>
            <c:bubble3D val="0"/>
            <c:spPr>
              <a:solidFill>
                <a:srgbClr val="08F7FA"/>
              </a:solidFill>
            </c:spPr>
            <c:extLst>
              <c:ext xmlns:c16="http://schemas.microsoft.com/office/drawing/2014/chart" uri="{C3380CC4-5D6E-409C-BE32-E72D297353CC}">
                <c16:uniqueId val="{0000075D-085C-458F-9BEB-3F36C6ADFC53}"/>
              </c:ext>
            </c:extLst>
          </c:dPt>
          <c:dPt>
            <c:idx val="943"/>
            <c:bubble3D val="0"/>
            <c:spPr>
              <a:solidFill>
                <a:srgbClr val="C7DA5F"/>
              </a:solidFill>
            </c:spPr>
            <c:extLst>
              <c:ext xmlns:c16="http://schemas.microsoft.com/office/drawing/2014/chart" uri="{C3380CC4-5D6E-409C-BE32-E72D297353CC}">
                <c16:uniqueId val="{0000075F-085C-458F-9BEB-3F36C6ADFC53}"/>
              </c:ext>
            </c:extLst>
          </c:dPt>
          <c:dPt>
            <c:idx val="944"/>
            <c:bubble3D val="0"/>
            <c:spPr>
              <a:solidFill>
                <a:srgbClr val="B71032"/>
              </a:solidFill>
            </c:spPr>
            <c:extLst>
              <c:ext xmlns:c16="http://schemas.microsoft.com/office/drawing/2014/chart" uri="{C3380CC4-5D6E-409C-BE32-E72D297353CC}">
                <c16:uniqueId val="{00000761-085C-458F-9BEB-3F36C6ADFC53}"/>
              </c:ext>
            </c:extLst>
          </c:dPt>
          <c:dPt>
            <c:idx val="945"/>
            <c:bubble3D val="0"/>
            <c:spPr>
              <a:solidFill>
                <a:srgbClr val="8DAAF8"/>
              </a:solidFill>
            </c:spPr>
            <c:extLst>
              <c:ext xmlns:c16="http://schemas.microsoft.com/office/drawing/2014/chart" uri="{C3380CC4-5D6E-409C-BE32-E72D297353CC}">
                <c16:uniqueId val="{00000763-085C-458F-9BEB-3F36C6ADFC53}"/>
              </c:ext>
            </c:extLst>
          </c:dPt>
          <c:dPt>
            <c:idx val="946"/>
            <c:bubble3D val="0"/>
            <c:spPr>
              <a:solidFill>
                <a:srgbClr val="FF4ABC"/>
              </a:solidFill>
            </c:spPr>
            <c:extLst>
              <c:ext xmlns:c16="http://schemas.microsoft.com/office/drawing/2014/chart" uri="{C3380CC4-5D6E-409C-BE32-E72D297353CC}">
                <c16:uniqueId val="{00000765-085C-458F-9BEB-3F36C6ADFC53}"/>
              </c:ext>
            </c:extLst>
          </c:dPt>
          <c:dPt>
            <c:idx val="947"/>
            <c:bubble3D val="0"/>
            <c:spPr>
              <a:solidFill>
                <a:srgbClr val="50E243"/>
              </a:solidFill>
            </c:spPr>
            <c:extLst>
              <c:ext xmlns:c16="http://schemas.microsoft.com/office/drawing/2014/chart" uri="{C3380CC4-5D6E-409C-BE32-E72D297353CC}">
                <c16:uniqueId val="{00000767-085C-458F-9BEB-3F36C6ADFC53}"/>
              </c:ext>
            </c:extLst>
          </c:dPt>
          <c:dPt>
            <c:idx val="948"/>
            <c:bubble3D val="0"/>
            <c:spPr>
              <a:solidFill>
                <a:srgbClr val="411CFD"/>
              </a:solidFill>
            </c:spPr>
            <c:extLst>
              <c:ext xmlns:c16="http://schemas.microsoft.com/office/drawing/2014/chart" uri="{C3380CC4-5D6E-409C-BE32-E72D297353CC}">
                <c16:uniqueId val="{00000769-085C-458F-9BEB-3F36C6ADFC53}"/>
              </c:ext>
            </c:extLst>
          </c:dPt>
          <c:dPt>
            <c:idx val="949"/>
            <c:bubble3D val="0"/>
            <c:spPr>
              <a:solidFill>
                <a:srgbClr val="CD129C"/>
              </a:solidFill>
            </c:spPr>
            <c:extLst>
              <c:ext xmlns:c16="http://schemas.microsoft.com/office/drawing/2014/chart" uri="{C3380CC4-5D6E-409C-BE32-E72D297353CC}">
                <c16:uniqueId val="{0000076B-085C-458F-9BEB-3F36C6ADFC53}"/>
              </c:ext>
            </c:extLst>
          </c:dPt>
          <c:dPt>
            <c:idx val="950"/>
            <c:bubble3D val="0"/>
            <c:spPr>
              <a:solidFill>
                <a:srgbClr val="B9247D"/>
              </a:solidFill>
            </c:spPr>
            <c:extLst>
              <c:ext xmlns:c16="http://schemas.microsoft.com/office/drawing/2014/chart" uri="{C3380CC4-5D6E-409C-BE32-E72D297353CC}">
                <c16:uniqueId val="{0000076D-085C-458F-9BEB-3F36C6ADFC53}"/>
              </c:ext>
            </c:extLst>
          </c:dPt>
          <c:dPt>
            <c:idx val="951"/>
            <c:bubble3D val="0"/>
            <c:spPr>
              <a:solidFill>
                <a:srgbClr val="CAC42C"/>
              </a:solidFill>
            </c:spPr>
            <c:extLst>
              <c:ext xmlns:c16="http://schemas.microsoft.com/office/drawing/2014/chart" uri="{C3380CC4-5D6E-409C-BE32-E72D297353CC}">
                <c16:uniqueId val="{0000076F-085C-458F-9BEB-3F36C6ADFC53}"/>
              </c:ext>
            </c:extLst>
          </c:dPt>
          <c:dPt>
            <c:idx val="952"/>
            <c:bubble3D val="0"/>
            <c:spPr>
              <a:solidFill>
                <a:srgbClr val="FF7509"/>
              </a:solidFill>
            </c:spPr>
            <c:extLst>
              <c:ext xmlns:c16="http://schemas.microsoft.com/office/drawing/2014/chart" uri="{C3380CC4-5D6E-409C-BE32-E72D297353CC}">
                <c16:uniqueId val="{00000771-085C-458F-9BEB-3F36C6ADFC53}"/>
              </c:ext>
            </c:extLst>
          </c:dPt>
          <c:dPt>
            <c:idx val="953"/>
            <c:bubble3D val="0"/>
            <c:spPr>
              <a:solidFill>
                <a:srgbClr val="87F554"/>
              </a:solidFill>
            </c:spPr>
            <c:extLst>
              <c:ext xmlns:c16="http://schemas.microsoft.com/office/drawing/2014/chart" uri="{C3380CC4-5D6E-409C-BE32-E72D297353CC}">
                <c16:uniqueId val="{00000773-085C-458F-9BEB-3F36C6ADFC53}"/>
              </c:ext>
            </c:extLst>
          </c:dPt>
          <c:dPt>
            <c:idx val="954"/>
            <c:bubble3D val="0"/>
            <c:spPr>
              <a:solidFill>
                <a:srgbClr val="794001"/>
              </a:solidFill>
            </c:spPr>
            <c:extLst>
              <c:ext xmlns:c16="http://schemas.microsoft.com/office/drawing/2014/chart" uri="{C3380CC4-5D6E-409C-BE32-E72D297353CC}">
                <c16:uniqueId val="{00000775-085C-458F-9BEB-3F36C6ADFC53}"/>
              </c:ext>
            </c:extLst>
          </c:dPt>
          <c:dPt>
            <c:idx val="955"/>
            <c:bubble3D val="0"/>
            <c:spPr>
              <a:solidFill>
                <a:srgbClr val="D44BD8"/>
              </a:solidFill>
            </c:spPr>
            <c:extLst>
              <c:ext xmlns:c16="http://schemas.microsoft.com/office/drawing/2014/chart" uri="{C3380CC4-5D6E-409C-BE32-E72D297353CC}">
                <c16:uniqueId val="{00000777-085C-458F-9BEB-3F36C6ADFC53}"/>
              </c:ext>
            </c:extLst>
          </c:dPt>
          <c:dPt>
            <c:idx val="956"/>
            <c:bubble3D val="0"/>
            <c:spPr>
              <a:solidFill>
                <a:srgbClr val="BA38C9"/>
              </a:solidFill>
            </c:spPr>
            <c:extLst>
              <c:ext xmlns:c16="http://schemas.microsoft.com/office/drawing/2014/chart" uri="{C3380CC4-5D6E-409C-BE32-E72D297353CC}">
                <c16:uniqueId val="{00000779-085C-458F-9BEB-3F36C6ADFC53}"/>
              </c:ext>
            </c:extLst>
          </c:dPt>
          <c:dPt>
            <c:idx val="957"/>
            <c:bubble3D val="0"/>
            <c:spPr>
              <a:solidFill>
                <a:srgbClr val="07DE5F"/>
              </a:solidFill>
            </c:spPr>
            <c:extLst>
              <c:ext xmlns:c16="http://schemas.microsoft.com/office/drawing/2014/chart" uri="{C3380CC4-5D6E-409C-BE32-E72D297353CC}">
                <c16:uniqueId val="{0000077B-085C-458F-9BEB-3F36C6ADFC53}"/>
              </c:ext>
            </c:extLst>
          </c:dPt>
          <c:dPt>
            <c:idx val="958"/>
            <c:bubble3D val="0"/>
            <c:spPr>
              <a:solidFill>
                <a:srgbClr val="FFA155"/>
              </a:solidFill>
            </c:spPr>
            <c:extLst>
              <c:ext xmlns:c16="http://schemas.microsoft.com/office/drawing/2014/chart" uri="{C3380CC4-5D6E-409C-BE32-E72D297353CC}">
                <c16:uniqueId val="{0000077D-085C-458F-9BEB-3F36C6ADFC53}"/>
              </c:ext>
            </c:extLst>
          </c:dPt>
          <c:dPt>
            <c:idx val="959"/>
            <c:bubble3D val="0"/>
            <c:spPr>
              <a:solidFill>
                <a:srgbClr val="BF0965"/>
              </a:solidFill>
            </c:spPr>
            <c:extLst>
              <c:ext xmlns:c16="http://schemas.microsoft.com/office/drawing/2014/chart" uri="{C3380CC4-5D6E-409C-BE32-E72D297353CC}">
                <c16:uniqueId val="{0000077F-085C-458F-9BEB-3F36C6ADFC53}"/>
              </c:ext>
            </c:extLst>
          </c:dPt>
          <c:dPt>
            <c:idx val="960"/>
            <c:bubble3D val="0"/>
            <c:spPr>
              <a:solidFill>
                <a:srgbClr val="B26504"/>
              </a:solidFill>
            </c:spPr>
            <c:extLst>
              <c:ext xmlns:c16="http://schemas.microsoft.com/office/drawing/2014/chart" uri="{C3380CC4-5D6E-409C-BE32-E72D297353CC}">
                <c16:uniqueId val="{00000781-085C-458F-9BEB-3F36C6ADFC53}"/>
              </c:ext>
            </c:extLst>
          </c:dPt>
          <c:dPt>
            <c:idx val="961"/>
            <c:bubble3D val="0"/>
            <c:spPr>
              <a:solidFill>
                <a:srgbClr val="DA8315"/>
              </a:solidFill>
            </c:spPr>
            <c:extLst>
              <c:ext xmlns:c16="http://schemas.microsoft.com/office/drawing/2014/chart" uri="{C3380CC4-5D6E-409C-BE32-E72D297353CC}">
                <c16:uniqueId val="{00000783-085C-458F-9BEB-3F36C6ADFC53}"/>
              </c:ext>
            </c:extLst>
          </c:dPt>
          <c:dPt>
            <c:idx val="962"/>
            <c:bubble3D val="0"/>
            <c:spPr>
              <a:solidFill>
                <a:srgbClr val="BB4C14"/>
              </a:solidFill>
            </c:spPr>
            <c:extLst>
              <c:ext xmlns:c16="http://schemas.microsoft.com/office/drawing/2014/chart" uri="{C3380CC4-5D6E-409C-BE32-E72D297353CC}">
                <c16:uniqueId val="{00000785-085C-458F-9BEB-3F36C6ADFC53}"/>
              </c:ext>
            </c:extLst>
          </c:dPt>
          <c:dPt>
            <c:idx val="963"/>
            <c:bubble3D val="0"/>
            <c:spPr>
              <a:solidFill>
                <a:srgbClr val="44F893"/>
              </a:solidFill>
            </c:spPr>
            <c:extLst>
              <c:ext xmlns:c16="http://schemas.microsoft.com/office/drawing/2014/chart" uri="{C3380CC4-5D6E-409C-BE32-E72D297353CC}">
                <c16:uniqueId val="{00000787-085C-458F-9BEB-3F36C6ADFC53}"/>
              </c:ext>
            </c:extLst>
          </c:dPt>
          <c:dPt>
            <c:idx val="964"/>
            <c:bubble3D val="0"/>
            <c:spPr>
              <a:solidFill>
                <a:srgbClr val="FFCDA1"/>
              </a:solidFill>
            </c:spPr>
            <c:extLst>
              <c:ext xmlns:c16="http://schemas.microsoft.com/office/drawing/2014/chart" uri="{C3380CC4-5D6E-409C-BE32-E72D297353CC}">
                <c16:uniqueId val="{00000789-085C-458F-9BEB-3F36C6ADFC53}"/>
              </c:ext>
            </c:extLst>
          </c:dPt>
          <c:dPt>
            <c:idx val="965"/>
            <c:bubble3D val="0"/>
            <c:spPr>
              <a:solidFill>
                <a:srgbClr val="F61D76"/>
              </a:solidFill>
            </c:spPr>
            <c:extLst>
              <c:ext xmlns:c16="http://schemas.microsoft.com/office/drawing/2014/chart" uri="{C3380CC4-5D6E-409C-BE32-E72D297353CC}">
                <c16:uniqueId val="{0000078B-085C-458F-9BEB-3F36C6ADFC53}"/>
              </c:ext>
            </c:extLst>
          </c:dPt>
          <c:dPt>
            <c:idx val="966"/>
            <c:bubble3D val="0"/>
            <c:spPr>
              <a:solidFill>
                <a:srgbClr val="EB8A07"/>
              </a:solidFill>
            </c:spPr>
            <c:extLst>
              <c:ext xmlns:c16="http://schemas.microsoft.com/office/drawing/2014/chart" uri="{C3380CC4-5D6E-409C-BE32-E72D297353CC}">
                <c16:uniqueId val="{0000078D-085C-458F-9BEB-3F36C6ADFC53}"/>
              </c:ext>
            </c:extLst>
          </c:dPt>
          <c:dPt>
            <c:idx val="967"/>
            <c:bubble3D val="0"/>
            <c:spPr>
              <a:solidFill>
                <a:srgbClr val="E0BB52"/>
              </a:solidFill>
            </c:spPr>
            <c:extLst>
              <c:ext xmlns:c16="http://schemas.microsoft.com/office/drawing/2014/chart" uri="{C3380CC4-5D6E-409C-BE32-E72D297353CC}">
                <c16:uniqueId val="{0000078F-085C-458F-9BEB-3F36C6ADFC53}"/>
              </c:ext>
            </c:extLst>
          </c:dPt>
          <c:dPt>
            <c:idx val="968"/>
            <c:bubble3D val="0"/>
            <c:spPr>
              <a:solidFill>
                <a:srgbClr val="BC605F"/>
              </a:solidFill>
            </c:spPr>
            <c:extLst>
              <c:ext xmlns:c16="http://schemas.microsoft.com/office/drawing/2014/chart" uri="{C3380CC4-5D6E-409C-BE32-E72D297353CC}">
                <c16:uniqueId val="{00000791-085C-458F-9BEB-3F36C6ADFC53}"/>
              </c:ext>
            </c:extLst>
          </c:dPt>
          <c:dPt>
            <c:idx val="969"/>
            <c:bubble3D val="0"/>
            <c:spPr>
              <a:solidFill>
                <a:srgbClr val="8112C7"/>
              </a:solidFill>
            </c:spPr>
            <c:extLst>
              <c:ext xmlns:c16="http://schemas.microsoft.com/office/drawing/2014/chart" uri="{C3380CC4-5D6E-409C-BE32-E72D297353CC}">
                <c16:uniqueId val="{00000793-085C-458F-9BEB-3F36C6ADFC53}"/>
              </c:ext>
            </c:extLst>
          </c:dPt>
          <c:dPt>
            <c:idx val="970"/>
            <c:bubble3D val="0"/>
            <c:spPr>
              <a:solidFill>
                <a:srgbClr val="FFF9ED"/>
              </a:solidFill>
            </c:spPr>
            <c:extLst>
              <c:ext xmlns:c16="http://schemas.microsoft.com/office/drawing/2014/chart" uri="{C3380CC4-5D6E-409C-BE32-E72D297353CC}">
                <c16:uniqueId val="{00000795-085C-458F-9BEB-3F36C6ADFC53}"/>
              </c:ext>
            </c:extLst>
          </c:dPt>
          <c:dPt>
            <c:idx val="971"/>
            <c:bubble3D val="0"/>
            <c:spPr>
              <a:solidFill>
                <a:srgbClr val="2E3187"/>
              </a:solidFill>
            </c:spPr>
            <c:extLst>
              <c:ext xmlns:c16="http://schemas.microsoft.com/office/drawing/2014/chart" uri="{C3380CC4-5D6E-409C-BE32-E72D297353CC}">
                <c16:uniqueId val="{00000797-085C-458F-9BEB-3F36C6ADFC53}"/>
              </c:ext>
            </c:extLst>
          </c:dPt>
          <c:dPt>
            <c:idx val="972"/>
            <c:bubble3D val="0"/>
            <c:spPr>
              <a:solidFill>
                <a:srgbClr val="23AE0B"/>
              </a:solidFill>
            </c:spPr>
            <c:extLst>
              <c:ext xmlns:c16="http://schemas.microsoft.com/office/drawing/2014/chart" uri="{C3380CC4-5D6E-409C-BE32-E72D297353CC}">
                <c16:uniqueId val="{00000799-085C-458F-9BEB-3F36C6ADFC53}"/>
              </c:ext>
            </c:extLst>
          </c:dPt>
          <c:dPt>
            <c:idx val="973"/>
            <c:bubble3D val="0"/>
            <c:spPr>
              <a:solidFill>
                <a:srgbClr val="E7F48E"/>
              </a:solidFill>
            </c:spPr>
            <c:extLst>
              <c:ext xmlns:c16="http://schemas.microsoft.com/office/drawing/2014/chart" uri="{C3380CC4-5D6E-409C-BE32-E72D297353CC}">
                <c16:uniqueId val="{0000079B-085C-458F-9BEB-3F36C6ADFC53}"/>
              </c:ext>
            </c:extLst>
          </c:dPt>
          <c:dPt>
            <c:idx val="974"/>
            <c:bubble3D val="0"/>
            <c:spPr>
              <a:solidFill>
                <a:srgbClr val="BD74AB"/>
              </a:solidFill>
            </c:spPr>
            <c:extLst>
              <c:ext xmlns:c16="http://schemas.microsoft.com/office/drawing/2014/chart" uri="{C3380CC4-5D6E-409C-BE32-E72D297353CC}">
                <c16:uniqueId val="{0000079D-085C-458F-9BEB-3F36C6ADFC53}"/>
              </c:ext>
            </c:extLst>
          </c:dPt>
          <c:dPt>
            <c:idx val="975"/>
            <c:bubble3D val="0"/>
            <c:spPr>
              <a:solidFill>
                <a:srgbClr val="BE2CFA"/>
              </a:solidFill>
            </c:spPr>
            <c:extLst>
              <c:ext xmlns:c16="http://schemas.microsoft.com/office/drawing/2014/chart" uri="{C3380CC4-5D6E-409C-BE32-E72D297353CC}">
                <c16:uniqueId val="{0000079F-085C-458F-9BEB-3F36C6ADFC53}"/>
              </c:ext>
            </c:extLst>
          </c:dPt>
          <c:dPt>
            <c:idx val="976"/>
            <c:bubble3D val="0"/>
            <c:spPr>
              <a:solidFill>
                <a:srgbClr val="FF2539"/>
              </a:solidFill>
            </c:spPr>
            <c:extLst>
              <c:ext xmlns:c16="http://schemas.microsoft.com/office/drawing/2014/chart" uri="{C3380CC4-5D6E-409C-BE32-E72D297353CC}">
                <c16:uniqueId val="{000007A1-085C-458F-9BEB-3F36C6ADFC53}"/>
              </c:ext>
            </c:extLst>
          </c:dPt>
          <c:dPt>
            <c:idx val="977"/>
            <c:bubble3D val="0"/>
            <c:spPr>
              <a:solidFill>
                <a:srgbClr val="654598"/>
              </a:solidFill>
            </c:spPr>
            <c:extLst>
              <c:ext xmlns:c16="http://schemas.microsoft.com/office/drawing/2014/chart" uri="{C3380CC4-5D6E-409C-BE32-E72D297353CC}">
                <c16:uniqueId val="{000007A3-085C-458F-9BEB-3F36C6ADFC53}"/>
              </c:ext>
            </c:extLst>
          </c:dPt>
          <c:dPt>
            <c:idx val="978"/>
            <c:bubble3D val="0"/>
            <c:spPr>
              <a:solidFill>
                <a:srgbClr val="5CD30E"/>
              </a:solidFill>
            </c:spPr>
            <c:extLst>
              <c:ext xmlns:c16="http://schemas.microsoft.com/office/drawing/2014/chart" uri="{C3380CC4-5D6E-409C-BE32-E72D297353CC}">
                <c16:uniqueId val="{000007A5-085C-458F-9BEB-3F36C6ADFC53}"/>
              </c:ext>
            </c:extLst>
          </c:dPt>
          <c:dPt>
            <c:idx val="979"/>
            <c:bubble3D val="0"/>
            <c:spPr>
              <a:solidFill>
                <a:srgbClr val="ED2CCB"/>
              </a:solidFill>
            </c:spPr>
            <c:extLst>
              <c:ext xmlns:c16="http://schemas.microsoft.com/office/drawing/2014/chart" uri="{C3380CC4-5D6E-409C-BE32-E72D297353CC}">
                <c16:uniqueId val="{000007A7-085C-458F-9BEB-3F36C6ADFC53}"/>
              </c:ext>
            </c:extLst>
          </c:dPt>
          <c:dPt>
            <c:idx val="980"/>
            <c:bubble3D val="0"/>
            <c:spPr>
              <a:solidFill>
                <a:srgbClr val="BF88F6"/>
              </a:solidFill>
            </c:spPr>
            <c:extLst>
              <c:ext xmlns:c16="http://schemas.microsoft.com/office/drawing/2014/chart" uri="{C3380CC4-5D6E-409C-BE32-E72D297353CC}">
                <c16:uniqueId val="{000007A9-085C-458F-9BEB-3F36C6ADFC53}"/>
              </c:ext>
            </c:extLst>
          </c:dPt>
          <c:dPt>
            <c:idx val="981"/>
            <c:bubble3D val="0"/>
            <c:spPr>
              <a:solidFill>
                <a:srgbClr val="FB462E"/>
              </a:solidFill>
            </c:spPr>
            <c:extLst>
              <c:ext xmlns:c16="http://schemas.microsoft.com/office/drawing/2014/chart" uri="{C3380CC4-5D6E-409C-BE32-E72D297353CC}">
                <c16:uniqueId val="{000007AB-085C-458F-9BEB-3F36C6ADFC53}"/>
              </c:ext>
            </c:extLst>
          </c:dPt>
          <c:dPt>
            <c:idx val="982"/>
            <c:bubble3D val="0"/>
            <c:spPr>
              <a:solidFill>
                <a:srgbClr val="FF5086"/>
              </a:solidFill>
            </c:spPr>
            <c:extLst>
              <c:ext xmlns:c16="http://schemas.microsoft.com/office/drawing/2014/chart" uri="{C3380CC4-5D6E-409C-BE32-E72D297353CC}">
                <c16:uniqueId val="{000007AD-085C-458F-9BEB-3F36C6ADFC53}"/>
              </c:ext>
            </c:extLst>
          </c:dPt>
          <c:dPt>
            <c:idx val="983"/>
            <c:bubble3D val="0"/>
            <c:spPr>
              <a:solidFill>
                <a:srgbClr val="9D58A9"/>
              </a:solidFill>
            </c:spPr>
            <c:extLst>
              <c:ext xmlns:c16="http://schemas.microsoft.com/office/drawing/2014/chart" uri="{C3380CC4-5D6E-409C-BE32-E72D297353CC}">
                <c16:uniqueId val="{000007AF-085C-458F-9BEB-3F36C6ADFC53}"/>
              </c:ext>
            </c:extLst>
          </c:dPt>
          <c:dPt>
            <c:idx val="984"/>
            <c:bubble3D val="0"/>
            <c:spPr>
              <a:solidFill>
                <a:srgbClr val="95F711"/>
              </a:solidFill>
            </c:spPr>
            <c:extLst>
              <c:ext xmlns:c16="http://schemas.microsoft.com/office/drawing/2014/chart" uri="{C3380CC4-5D6E-409C-BE32-E72D297353CC}">
                <c16:uniqueId val="{000007B1-085C-458F-9BEB-3F36C6ADFC53}"/>
              </c:ext>
            </c:extLst>
          </c:dPt>
          <c:dPt>
            <c:idx val="985"/>
            <c:bubble3D val="0"/>
            <c:spPr>
              <a:solidFill>
                <a:srgbClr val="F36507"/>
              </a:solidFill>
            </c:spPr>
            <c:extLst>
              <c:ext xmlns:c16="http://schemas.microsoft.com/office/drawing/2014/chart" uri="{C3380CC4-5D6E-409C-BE32-E72D297353CC}">
                <c16:uniqueId val="{000007B3-085C-458F-9BEB-3F36C6ADFC53}"/>
              </c:ext>
            </c:extLst>
          </c:dPt>
          <c:dPt>
            <c:idx val="986"/>
            <c:bubble3D val="0"/>
            <c:spPr>
              <a:solidFill>
                <a:srgbClr val="C09C41"/>
              </a:solidFill>
            </c:spPr>
            <c:extLst>
              <c:ext xmlns:c16="http://schemas.microsoft.com/office/drawing/2014/chart" uri="{C3380CC4-5D6E-409C-BE32-E72D297353CC}">
                <c16:uniqueId val="{000007B5-085C-458F-9BEB-3F36C6ADFC53}"/>
              </c:ext>
            </c:extLst>
          </c:dPt>
          <c:dPt>
            <c:idx val="987"/>
            <c:bubble3D val="0"/>
            <c:spPr>
              <a:solidFill>
                <a:srgbClr val="386061"/>
              </a:solidFill>
            </c:spPr>
            <c:extLst>
              <c:ext xmlns:c16="http://schemas.microsoft.com/office/drawing/2014/chart" uri="{C3380CC4-5D6E-409C-BE32-E72D297353CC}">
                <c16:uniqueId val="{000007B7-085C-458F-9BEB-3F36C6ADFC53}"/>
              </c:ext>
            </c:extLst>
          </c:dPt>
          <c:dPt>
            <c:idx val="988"/>
            <c:bubble3D val="0"/>
            <c:spPr>
              <a:solidFill>
                <a:srgbClr val="FF7CD2"/>
              </a:solidFill>
            </c:spPr>
            <c:extLst>
              <c:ext xmlns:c16="http://schemas.microsoft.com/office/drawing/2014/chart" uri="{C3380CC4-5D6E-409C-BE32-E72D297353CC}">
                <c16:uniqueId val="{000007B9-085C-458F-9BEB-3F36C6ADFC53}"/>
              </c:ext>
            </c:extLst>
          </c:dPt>
          <c:dPt>
            <c:idx val="989"/>
            <c:bubble3D val="0"/>
            <c:spPr>
              <a:solidFill>
                <a:srgbClr val="D46CBA"/>
              </a:solidFill>
            </c:spPr>
            <c:extLst>
              <c:ext xmlns:c16="http://schemas.microsoft.com/office/drawing/2014/chart" uri="{C3380CC4-5D6E-409C-BE32-E72D297353CC}">
                <c16:uniqueId val="{000007BB-085C-458F-9BEB-3F36C6ADFC53}"/>
              </c:ext>
            </c:extLst>
          </c:dPt>
          <c:dPt>
            <c:idx val="990"/>
            <c:bubble3D val="0"/>
            <c:spPr>
              <a:solidFill>
                <a:srgbClr val="CE1C15"/>
              </a:solidFill>
            </c:spPr>
            <c:extLst>
              <c:ext xmlns:c16="http://schemas.microsoft.com/office/drawing/2014/chart" uri="{C3380CC4-5D6E-409C-BE32-E72D297353CC}">
                <c16:uniqueId val="{000007BD-085C-458F-9BEB-3F36C6ADFC53}"/>
              </c:ext>
            </c:extLst>
          </c:dPt>
          <c:dPt>
            <c:idx val="991"/>
            <c:bubble3D val="0"/>
            <c:spPr>
              <a:solidFill>
                <a:srgbClr val="FA9D44"/>
              </a:solidFill>
            </c:spPr>
            <c:extLst>
              <c:ext xmlns:c16="http://schemas.microsoft.com/office/drawing/2014/chart" uri="{C3380CC4-5D6E-409C-BE32-E72D297353CC}">
                <c16:uniqueId val="{000007BF-085C-458F-9BEB-3F36C6ADFC53}"/>
              </c:ext>
            </c:extLst>
          </c:dPt>
          <c:dPt>
            <c:idx val="992"/>
            <c:bubble3D val="0"/>
            <c:spPr>
              <a:solidFill>
                <a:srgbClr val="C1B18D"/>
              </a:solidFill>
            </c:spPr>
            <c:extLst>
              <c:ext xmlns:c16="http://schemas.microsoft.com/office/drawing/2014/chart" uri="{C3380CC4-5D6E-409C-BE32-E72D297353CC}">
                <c16:uniqueId val="{000007C1-085C-458F-9BEB-3F36C6ADFC53}"/>
              </c:ext>
            </c:extLst>
          </c:dPt>
          <c:dPt>
            <c:idx val="993"/>
            <c:bubble3D val="0"/>
            <c:spPr>
              <a:solidFill>
                <a:srgbClr val="757B95"/>
              </a:solidFill>
            </c:spPr>
            <c:extLst>
              <c:ext xmlns:c16="http://schemas.microsoft.com/office/drawing/2014/chart" uri="{C3380CC4-5D6E-409C-BE32-E72D297353CC}">
                <c16:uniqueId val="{000007C3-085C-458F-9BEB-3F36C6ADFC53}"/>
              </c:ext>
            </c:extLst>
          </c:dPt>
          <c:dPt>
            <c:idx val="994"/>
            <c:bubble3D val="0"/>
            <c:spPr>
              <a:solidFill>
                <a:srgbClr val="FFA81E"/>
              </a:solidFill>
            </c:spPr>
            <c:extLst>
              <c:ext xmlns:c16="http://schemas.microsoft.com/office/drawing/2014/chart" uri="{C3380CC4-5D6E-409C-BE32-E72D297353CC}">
                <c16:uniqueId val="{000007C5-085C-458F-9BEB-3F36C6ADFC53}"/>
              </c:ext>
            </c:extLst>
          </c:dPt>
          <c:dPt>
            <c:idx val="995"/>
            <c:bubble3D val="0"/>
            <c:spPr>
              <a:solidFill>
                <a:srgbClr val="0C80CC"/>
              </a:solidFill>
            </c:spPr>
            <c:extLst>
              <c:ext xmlns:c16="http://schemas.microsoft.com/office/drawing/2014/chart" uri="{C3380CC4-5D6E-409C-BE32-E72D297353CC}">
                <c16:uniqueId val="{000007C7-085C-458F-9BEB-3F36C6ADFC53}"/>
              </c:ext>
            </c:extLst>
          </c:dPt>
          <c:dPt>
            <c:idx val="996"/>
            <c:bubble3D val="0"/>
            <c:spPr>
              <a:solidFill>
                <a:srgbClr val="064118"/>
              </a:solidFill>
            </c:spPr>
            <c:extLst>
              <c:ext xmlns:c16="http://schemas.microsoft.com/office/drawing/2014/chart" uri="{C3380CC4-5D6E-409C-BE32-E72D297353CC}">
                <c16:uniqueId val="{000007C9-085C-458F-9BEB-3F36C6ADFC53}"/>
              </c:ext>
            </c:extLst>
          </c:dPt>
          <c:dPt>
            <c:idx val="997"/>
            <c:bubble3D val="0"/>
            <c:spPr>
              <a:solidFill>
                <a:srgbClr val="00D581"/>
              </a:solidFill>
            </c:spPr>
            <c:extLst>
              <c:ext xmlns:c16="http://schemas.microsoft.com/office/drawing/2014/chart" uri="{C3380CC4-5D6E-409C-BE32-E72D297353CC}">
                <c16:uniqueId val="{000007CB-085C-458F-9BEB-3F36C6ADFC53}"/>
              </c:ext>
            </c:extLst>
          </c:dPt>
          <c:dPt>
            <c:idx val="998"/>
            <c:bubble3D val="0"/>
            <c:spPr>
              <a:solidFill>
                <a:srgbClr val="C2C5D8"/>
              </a:solidFill>
            </c:spPr>
            <c:extLst>
              <c:ext xmlns:c16="http://schemas.microsoft.com/office/drawing/2014/chart" uri="{C3380CC4-5D6E-409C-BE32-E72D297353CC}">
                <c16:uniqueId val="{000007CD-085C-458F-9BEB-3F36C6ADFC53}"/>
              </c:ext>
            </c:extLst>
          </c:dPt>
          <c:dLbls>
            <c:spPr>
              <a:noFill/>
              <a:ln>
                <a:noFill/>
              </a:ln>
              <a:effectLst/>
            </c:spPr>
            <c:showLegendKey val="0"/>
            <c:showVal val="1"/>
            <c:showCatName val="0"/>
            <c:showSerName val="0"/>
            <c:showPercent val="0"/>
            <c:showBubbleSize val="0"/>
            <c:showLeaderLines val="1"/>
            <c:extLst>
              <c:ext xmlns:c15="http://schemas.microsoft.com/office/drawing/2012/chart" uri="{CE6537A1-D6FC-4f65-9D91-7224C49458BB}"/>
            </c:extLst>
          </c:dLbls>
          <c:cat>
            <c:multiLvlStrRef>
              <c:f>'Consolidated (Pivot DB)'!$E$2:$E$1000</c:f>
            </c:multiLvlStrRef>
          </c:cat>
          <c:val>
            <c:numRef>
              <c:f>'Consolidated (Pivot DB)'!$D$2:$D$1000</c:f>
              <c:numCache>
                <c:formatCode>#,##0.00</c:formatCode>
                <c:ptCount val="9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numCache>
            </c:numRef>
          </c:val>
          <c:extLst>
            <c:ext xmlns:c16="http://schemas.microsoft.com/office/drawing/2014/chart" uri="{C3380CC4-5D6E-409C-BE32-E72D297353CC}">
              <c16:uniqueId val="{000007CE-085C-458F-9BEB-3F36C6ADFC53}"/>
            </c:ext>
          </c:extLst>
        </c:ser>
        <c:dLbls>
          <c:showLegendKey val="0"/>
          <c:showVal val="0"/>
          <c:showCatName val="0"/>
          <c:showSerName val="0"/>
          <c:showPercent val="0"/>
          <c:showBubbleSize val="0"/>
          <c:showLeaderLines val="1"/>
        </c:dLbls>
        <c:firstSliceAng val="0"/>
        <c:holeSize val="50"/>
      </c:doughnutChart>
    </c:plotArea>
    <c:legend>
      <c:legendPos val="r"/>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1.jpg"/></Relationships>
</file>

<file path=xl/drawings/_rels/drawing6.xml.rels><?xml version="1.0" encoding="UTF-8" standalone="yes"?>
<Relationships xmlns="http://schemas.openxmlformats.org/package/2006/relationships"><Relationship Id="rId1" Type="http://schemas.openxmlformats.org/officeDocument/2006/relationships/image" Target="../media/image1.jpg"/></Relationships>
</file>

<file path=xl/drawings/_rels/drawing7.xml.rels><?xml version="1.0" encoding="UTF-8" standalone="yes"?>
<Relationships xmlns="http://schemas.openxmlformats.org/package/2006/relationships"><Relationship Id="rId1" Type="http://schemas.openxmlformats.org/officeDocument/2006/relationships/chart" Target="../charts/chart1.xml"/></Relationships>
</file>

<file path=xl/drawings/_rels/drawing8.xml.rels><?xml version="1.0" encoding="UTF-8" standalone="yes"?>
<Relationships xmlns="http://schemas.openxmlformats.org/package/2006/relationships"><Relationship Id="rId1" Type="http://schemas.openxmlformats.org/officeDocument/2006/relationships/image" Target="../media/image2.png"/></Relationships>
</file>

<file path=xl/drawings/_rels/drawing9.xml.rels><?xml version="1.0" encoding="UTF-8" standalone="yes"?>
<Relationships xmlns="http://schemas.openxmlformats.org/package/2006/relationships"><Relationship Id="rId1" Type="http://schemas.openxmlformats.org/officeDocument/2006/relationships/image" Target="../media/image2.png"/></Relationships>
</file>

<file path=xl/drawings/_rels/drawing10.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oneCellAnchor>
    <xdr:from>
      <xdr:col>1</xdr:col>
      <xdr:colOff>0</xdr:colOff>
      <xdr:row>76</xdr:row>
      <xdr:rowOff>152400</xdr:rowOff>
    </xdr:from>
    <xdr:ext cx="9344025" cy="3295650"/>
    <xdr:sp macro="" textlink="">
      <xdr:nvSpPr>
        <xdr:cNvPr id="3" name="Shape 3">
          <a:extLst>
            <a:ext uri="{FF2B5EF4-FFF2-40B4-BE49-F238E27FC236}">
              <a16:creationId xmlns:a16="http://schemas.microsoft.com/office/drawing/2014/main" id="{00000000-0008-0000-0100-000003000000}"/>
            </a:ext>
          </a:extLst>
        </xdr:cNvPr>
        <xdr:cNvSpPr/>
      </xdr:nvSpPr>
      <xdr:spPr>
        <a:xfrm>
          <a:off x="783025" y="1041125"/>
          <a:ext cx="8043000" cy="2819400"/>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000" b="1">
              <a:solidFill>
                <a:schemeClr val="dk1"/>
              </a:solidFill>
              <a:latin typeface="Times New Roman"/>
              <a:ea typeface="Times New Roman"/>
              <a:cs typeface="Times New Roman"/>
              <a:sym typeface="Times New Roman"/>
            </a:rPr>
            <a:t>Requested by:	</a:t>
          </a:r>
          <a:r>
            <a:rPr lang="en-US" sz="1000">
              <a:solidFill>
                <a:schemeClr val="dk1"/>
              </a:solidFill>
              <a:latin typeface="Times New Roman"/>
              <a:ea typeface="Times New Roman"/>
              <a:cs typeface="Times New Roman"/>
              <a:sym typeface="Times New Roman"/>
            </a:rPr>
            <a:t>		            				</a:t>
          </a:r>
          <a:r>
            <a:rPr lang="en-US" sz="1000" b="1">
              <a:solidFill>
                <a:schemeClr val="dk1"/>
              </a:solidFill>
              <a:latin typeface="Times New Roman"/>
              <a:ea typeface="Times New Roman"/>
              <a:cs typeface="Times New Roman"/>
              <a:sym typeface="Times New Roman"/>
            </a:rPr>
            <a:t>	 Budget Allocation Certified by:</a:t>
          </a:r>
          <a:endParaRPr sz="1400" b="1"/>
        </a:p>
        <a:p>
          <a:pPr marL="0" lvl="0" indent="0" algn="l" rtl="0">
            <a:spcBef>
              <a:spcPts val="0"/>
            </a:spcBef>
            <a:spcAft>
              <a:spcPts val="0"/>
            </a:spcAft>
            <a:buNone/>
          </a:pPr>
          <a:endParaRPr sz="1000">
            <a:solidFill>
              <a:schemeClr val="dk1"/>
            </a:solidFill>
            <a:latin typeface="Times New Roman"/>
            <a:ea typeface="Times New Roman"/>
            <a:cs typeface="Times New Roman"/>
            <a:sym typeface="Times New Roman"/>
          </a:endParaRPr>
        </a:p>
        <a:p>
          <a:pPr marL="0" lvl="0" indent="0" algn="l" rtl="0">
            <a:spcBef>
              <a:spcPts val="0"/>
            </a:spcBef>
            <a:spcAft>
              <a:spcPts val="0"/>
            </a:spcAft>
            <a:buNone/>
          </a:pPr>
          <a:endParaRPr sz="1000">
            <a:solidFill>
              <a:schemeClr val="dk1"/>
            </a:solidFill>
            <a:latin typeface="Times New Roman"/>
            <a:ea typeface="Times New Roman"/>
            <a:cs typeface="Times New Roman"/>
            <a:sym typeface="Times New Roman"/>
          </a:endParaRPr>
        </a:p>
        <a:p>
          <a:pPr marL="0" lvl="0" indent="0" algn="l" rtl="0">
            <a:spcBef>
              <a:spcPts val="0"/>
            </a:spcBef>
            <a:spcAft>
              <a:spcPts val="0"/>
            </a:spcAft>
            <a:buNone/>
          </a:pPr>
          <a:r>
            <a:rPr lang="en-US" sz="1000">
              <a:solidFill>
                <a:schemeClr val="dk1"/>
              </a:solidFill>
              <a:latin typeface="Times New Roman"/>
              <a:ea typeface="Times New Roman"/>
              <a:cs typeface="Times New Roman"/>
              <a:sym typeface="Times New Roman"/>
            </a:rPr>
            <a:t>Signature: 	______________________	________________           	Signature:         _______________________</a:t>
          </a:r>
          <a:endParaRPr sz="1400"/>
        </a:p>
        <a:p>
          <a:pPr marL="0" marR="0" lvl="0" indent="0" algn="l" rtl="0">
            <a:lnSpc>
              <a:spcPct val="100000"/>
            </a:lnSpc>
            <a:spcBef>
              <a:spcPts val="0"/>
            </a:spcBef>
            <a:spcAft>
              <a:spcPts val="0"/>
            </a:spcAft>
            <a:buClr>
              <a:schemeClr val="dk1"/>
            </a:buClr>
            <a:buSzPts val="1000"/>
            <a:buFont typeface="Times New Roman"/>
            <a:buNone/>
          </a:pPr>
          <a:r>
            <a:rPr lang="en-US" sz="1000">
              <a:solidFill>
                <a:schemeClr val="dk1"/>
              </a:solidFill>
              <a:latin typeface="Times New Roman"/>
              <a:ea typeface="Times New Roman"/>
              <a:cs typeface="Times New Roman"/>
              <a:sym typeface="Times New Roman"/>
            </a:rPr>
            <a:t>Printed Name: 	</a:t>
          </a:r>
          <a:r>
            <a:rPr lang="en-US" sz="1100" b="1">
              <a:latin typeface="Calibri"/>
              <a:ea typeface="Calibri"/>
              <a:cs typeface="Calibri"/>
              <a:sym typeface="Calibri"/>
            </a:rPr>
            <a:t>IAN GUY MENDOZA</a:t>
          </a:r>
          <a:r>
            <a:rPr lang="en-US" sz="1000">
              <a:solidFill>
                <a:schemeClr val="dk1"/>
              </a:solidFill>
              <a:latin typeface="Times New Roman"/>
              <a:ea typeface="Times New Roman"/>
              <a:cs typeface="Times New Roman"/>
              <a:sym typeface="Times New Roman"/>
            </a:rPr>
            <a:t>	            	</a:t>
          </a:r>
          <a:r>
            <a:rPr lang="en-US" sz="1000" b="1">
              <a:solidFill>
                <a:schemeClr val="dk1"/>
              </a:solidFill>
              <a:latin typeface="Times New Roman"/>
              <a:ea typeface="Times New Roman"/>
              <a:cs typeface="Times New Roman"/>
              <a:sym typeface="Times New Roman"/>
            </a:rPr>
            <a:t>Romeo Tuazon, Jr.   </a:t>
          </a:r>
          <a:r>
            <a:rPr lang="en-US" sz="1000">
              <a:solidFill>
                <a:schemeClr val="dk1"/>
              </a:solidFill>
              <a:latin typeface="Times New Roman"/>
              <a:ea typeface="Times New Roman"/>
              <a:cs typeface="Times New Roman"/>
              <a:sym typeface="Times New Roman"/>
            </a:rPr>
            <a:t>         Printed Name:  </a:t>
          </a:r>
          <a:r>
            <a:rPr lang="en-US" sz="1100" b="1" u="sng">
              <a:solidFill>
                <a:schemeClr val="dk1"/>
              </a:solidFill>
              <a:latin typeface="Calibri"/>
              <a:ea typeface="Calibri"/>
              <a:cs typeface="Calibri"/>
              <a:sym typeface="Calibri"/>
            </a:rPr>
            <a:t>MARIA TERESA T. CORNEL</a:t>
          </a:r>
          <a:endParaRPr sz="1000" b="1" u="sng">
            <a:solidFill>
              <a:schemeClr val="dk1"/>
            </a:solidFill>
            <a:latin typeface="Times New Roman"/>
            <a:ea typeface="Times New Roman"/>
            <a:cs typeface="Times New Roman"/>
            <a:sym typeface="Times New Roman"/>
          </a:endParaRPr>
        </a:p>
        <a:p>
          <a:pPr marL="0" lvl="0" indent="0" algn="l" rtl="0">
            <a:spcBef>
              <a:spcPts val="0"/>
            </a:spcBef>
            <a:spcAft>
              <a:spcPts val="0"/>
            </a:spcAft>
            <a:buNone/>
          </a:pPr>
          <a:r>
            <a:rPr lang="en-US" sz="1000">
              <a:solidFill>
                <a:schemeClr val="dk1"/>
              </a:solidFill>
              <a:latin typeface="Times New Roman"/>
              <a:ea typeface="Times New Roman"/>
              <a:cs typeface="Times New Roman"/>
              <a:sym typeface="Times New Roman"/>
            </a:rPr>
            <a:t>Designation:  	IHOMP Unit Head /  CMT III	OIC-CAO          		Designation:     </a:t>
          </a:r>
          <a:r>
            <a:rPr lang="en-US" sz="1000" u="sng">
              <a:solidFill>
                <a:schemeClr val="dk1"/>
              </a:solidFill>
              <a:latin typeface="Times New Roman"/>
              <a:ea typeface="Times New Roman"/>
              <a:cs typeface="Times New Roman"/>
              <a:sym typeface="Times New Roman"/>
            </a:rPr>
            <a:t>Supervising Administrative  Officer</a:t>
          </a:r>
          <a:endParaRPr sz="1400"/>
        </a:p>
        <a:p>
          <a:pPr marL="0" lvl="0" indent="0" algn="l" rtl="0">
            <a:spcBef>
              <a:spcPts val="0"/>
            </a:spcBef>
            <a:spcAft>
              <a:spcPts val="0"/>
            </a:spcAft>
            <a:buNone/>
          </a:pPr>
          <a:r>
            <a:rPr lang="en-US" sz="1000" u="none">
              <a:solidFill>
                <a:schemeClr val="dk1"/>
              </a:solidFill>
              <a:latin typeface="Times New Roman"/>
              <a:ea typeface="Times New Roman"/>
              <a:cs typeface="Times New Roman"/>
              <a:sym typeface="Times New Roman"/>
            </a:rPr>
            <a:t>			            						Fund Cluster:    ____________________ </a:t>
          </a:r>
          <a:endParaRPr sz="1400"/>
        </a:p>
        <a:p>
          <a:pPr marL="0" lvl="0" indent="0" algn="l" rtl="0">
            <a:spcBef>
              <a:spcPts val="0"/>
            </a:spcBef>
            <a:spcAft>
              <a:spcPts val="0"/>
            </a:spcAft>
            <a:buNone/>
          </a:pPr>
          <a:endParaRPr sz="1000" u="none">
            <a:solidFill>
              <a:schemeClr val="dk1"/>
            </a:solidFill>
            <a:latin typeface="Times New Roman"/>
            <a:ea typeface="Times New Roman"/>
            <a:cs typeface="Times New Roman"/>
            <a:sym typeface="Times New Roman"/>
          </a:endParaRPr>
        </a:p>
        <a:p>
          <a:pPr marL="0" lvl="0" indent="0" algn="l" rtl="0">
            <a:spcBef>
              <a:spcPts val="0"/>
            </a:spcBef>
            <a:spcAft>
              <a:spcPts val="0"/>
            </a:spcAft>
            <a:buNone/>
          </a:pPr>
          <a:endParaRPr sz="1000" u="none">
            <a:solidFill>
              <a:schemeClr val="dk1"/>
            </a:solidFill>
            <a:latin typeface="Times New Roman"/>
            <a:ea typeface="Times New Roman"/>
            <a:cs typeface="Times New Roman"/>
            <a:sym typeface="Times New Roman"/>
          </a:endParaRPr>
        </a:p>
        <a:p>
          <a:pPr marL="0" lvl="0" indent="0" algn="l" rtl="0">
            <a:spcBef>
              <a:spcPts val="0"/>
            </a:spcBef>
            <a:spcAft>
              <a:spcPts val="0"/>
            </a:spcAft>
            <a:buNone/>
          </a:pPr>
          <a:r>
            <a:rPr lang="en-US" sz="1000" b="1" u="none">
              <a:solidFill>
                <a:schemeClr val="dk1"/>
              </a:solidFill>
              <a:latin typeface="Times New Roman"/>
              <a:ea typeface="Times New Roman"/>
              <a:cs typeface="Times New Roman"/>
              <a:sym typeface="Times New Roman"/>
            </a:rPr>
            <a:t>Posted to PhilGeps by:</a:t>
          </a:r>
          <a:r>
            <a:rPr lang="en-US" sz="1000" u="none">
              <a:solidFill>
                <a:schemeClr val="dk1"/>
              </a:solidFill>
              <a:latin typeface="Times New Roman"/>
              <a:ea typeface="Times New Roman"/>
              <a:cs typeface="Times New Roman"/>
              <a:sym typeface="Times New Roman"/>
            </a:rPr>
            <a:t>		          					</a:t>
          </a:r>
          <a:r>
            <a:rPr lang="en-US" sz="1000" b="1" u="none">
              <a:solidFill>
                <a:schemeClr val="dk1"/>
              </a:solidFill>
              <a:latin typeface="Times New Roman"/>
              <a:ea typeface="Times New Roman"/>
              <a:cs typeface="Times New Roman"/>
              <a:sym typeface="Times New Roman"/>
            </a:rPr>
            <a:t> Approved by:</a:t>
          </a:r>
          <a:endParaRPr sz="1400" b="1"/>
        </a:p>
        <a:p>
          <a:pPr marL="0" lvl="0" indent="0" algn="l" rtl="0">
            <a:spcBef>
              <a:spcPts val="0"/>
            </a:spcBef>
            <a:spcAft>
              <a:spcPts val="0"/>
            </a:spcAft>
            <a:buNone/>
          </a:pPr>
          <a:endParaRPr sz="1000">
            <a:solidFill>
              <a:schemeClr val="dk1"/>
            </a:solidFill>
            <a:latin typeface="Times New Roman"/>
            <a:ea typeface="Times New Roman"/>
            <a:cs typeface="Times New Roman"/>
            <a:sym typeface="Times New Roman"/>
          </a:endParaRPr>
        </a:p>
        <a:p>
          <a:pPr marL="0" lvl="0" indent="0" algn="l" rtl="0">
            <a:spcBef>
              <a:spcPts val="0"/>
            </a:spcBef>
            <a:spcAft>
              <a:spcPts val="0"/>
            </a:spcAft>
            <a:buNone/>
          </a:pPr>
          <a:endParaRPr sz="1000">
            <a:solidFill>
              <a:schemeClr val="dk1"/>
            </a:solidFill>
            <a:latin typeface="Times New Roman"/>
            <a:ea typeface="Times New Roman"/>
            <a:cs typeface="Times New Roman"/>
            <a:sym typeface="Times New Roman"/>
          </a:endParaRPr>
        </a:p>
        <a:p>
          <a:pPr marL="0" lvl="0" indent="0" algn="l" rtl="0">
            <a:spcBef>
              <a:spcPts val="0"/>
            </a:spcBef>
            <a:spcAft>
              <a:spcPts val="0"/>
            </a:spcAft>
            <a:buNone/>
          </a:pPr>
          <a:r>
            <a:rPr lang="en-US" sz="1000">
              <a:solidFill>
                <a:schemeClr val="dk1"/>
              </a:solidFill>
              <a:latin typeface="Times New Roman"/>
              <a:ea typeface="Times New Roman"/>
              <a:cs typeface="Times New Roman"/>
              <a:sym typeface="Times New Roman"/>
            </a:rPr>
            <a:t>Signature:	____________________	            				Signature:	 _________________________________</a:t>
          </a:r>
          <a:endParaRPr sz="1400"/>
        </a:p>
        <a:p>
          <a:pPr marL="0" lvl="0" indent="0" algn="l" rtl="0">
            <a:spcBef>
              <a:spcPts val="0"/>
            </a:spcBef>
            <a:spcAft>
              <a:spcPts val="0"/>
            </a:spcAft>
            <a:buNone/>
          </a:pPr>
          <a:r>
            <a:rPr lang="en-US" sz="1000">
              <a:solidFill>
                <a:schemeClr val="dk1"/>
              </a:solidFill>
              <a:latin typeface="Times New Roman"/>
              <a:ea typeface="Times New Roman"/>
              <a:cs typeface="Times New Roman"/>
              <a:sym typeface="Times New Roman"/>
            </a:rPr>
            <a:t>Solicitation:	</a:t>
          </a:r>
          <a:r>
            <a:rPr lang="en-US" sz="1000" b="1" u="none">
              <a:solidFill>
                <a:schemeClr val="dk1"/>
              </a:solidFill>
              <a:latin typeface="Times New Roman"/>
              <a:ea typeface="Times New Roman"/>
              <a:cs typeface="Times New Roman"/>
              <a:sym typeface="Times New Roman"/>
            </a:rPr>
            <a:t>____________________</a:t>
          </a:r>
          <a:r>
            <a:rPr lang="en-US" sz="1000">
              <a:solidFill>
                <a:schemeClr val="dk1"/>
              </a:solidFill>
              <a:latin typeface="Times New Roman"/>
              <a:ea typeface="Times New Roman"/>
              <a:cs typeface="Times New Roman"/>
              <a:sym typeface="Times New Roman"/>
            </a:rPr>
            <a:t>	            				Printed Name:  </a:t>
          </a:r>
          <a:r>
            <a:rPr lang="en-US" sz="1000" b="1">
              <a:solidFill>
                <a:schemeClr val="dk1"/>
              </a:solidFill>
              <a:latin typeface="Times New Roman"/>
              <a:ea typeface="Times New Roman"/>
              <a:cs typeface="Times New Roman"/>
              <a:sym typeface="Times New Roman"/>
            </a:rPr>
            <a:t>GLORY V. BALTAZAR, MD, MHP, MHA, CESe</a:t>
          </a:r>
          <a:endParaRPr sz="1400"/>
        </a:p>
        <a:p>
          <a:pPr marL="0" lvl="0" indent="0" algn="l" rtl="0">
            <a:spcBef>
              <a:spcPts val="0"/>
            </a:spcBef>
            <a:spcAft>
              <a:spcPts val="0"/>
            </a:spcAft>
            <a:buNone/>
          </a:pPr>
          <a:r>
            <a:rPr lang="en-US" sz="1000">
              <a:solidFill>
                <a:schemeClr val="dk1"/>
              </a:solidFill>
              <a:latin typeface="Times New Roman"/>
              <a:ea typeface="Times New Roman"/>
              <a:cs typeface="Times New Roman"/>
              <a:sym typeface="Times New Roman"/>
            </a:rPr>
            <a:t>Reference No.			             					Designation:   Head of Procuring Entity (HOPE)</a:t>
          </a:r>
          <a:endParaRPr sz="1400"/>
        </a:p>
        <a:p>
          <a:pPr marL="0" lvl="0" indent="0" algn="l" rtl="0">
            <a:spcBef>
              <a:spcPts val="0"/>
            </a:spcBef>
            <a:spcAft>
              <a:spcPts val="0"/>
            </a:spcAft>
            <a:buNone/>
          </a:pPr>
          <a:endParaRPr sz="1000">
            <a:solidFill>
              <a:schemeClr val="dk1"/>
            </a:solidFill>
            <a:latin typeface="Times New Roman"/>
            <a:ea typeface="Times New Roman"/>
            <a:cs typeface="Times New Roman"/>
            <a:sym typeface="Times New Roman"/>
          </a:endParaRPr>
        </a:p>
        <a:p>
          <a:pPr marL="0" lvl="0" indent="0" algn="l" rtl="0">
            <a:spcBef>
              <a:spcPts val="0"/>
            </a:spcBef>
            <a:spcAft>
              <a:spcPts val="0"/>
            </a:spcAft>
            <a:buNone/>
          </a:pPr>
          <a:r>
            <a:rPr lang="en-US" sz="1000">
              <a:solidFill>
                <a:schemeClr val="dk1"/>
              </a:solidFill>
              <a:latin typeface="Times New Roman"/>
              <a:ea typeface="Times New Roman"/>
              <a:cs typeface="Times New Roman"/>
              <a:sym typeface="Times New Roman"/>
            </a:rPr>
            <a:t>															PRO-F-03-06</a:t>
          </a:r>
          <a:endParaRPr sz="1000">
            <a:solidFill>
              <a:schemeClr val="dk1"/>
            </a:solidFill>
            <a:latin typeface="Times New Roman"/>
            <a:ea typeface="Times New Roman"/>
            <a:cs typeface="Times New Roman"/>
            <a:sym typeface="Times New Roman"/>
          </a:endParaRPr>
        </a:p>
      </xdr:txBody>
    </xdr:sp>
    <xdr:clientData fLocksWithSheet="0"/>
  </xdr:oneCellAnchor>
  <xdr:oneCellAnchor>
    <xdr:from>
      <xdr:col>3</xdr:col>
      <xdr:colOff>704850</xdr:colOff>
      <xdr:row>0</xdr:row>
      <xdr:rowOff>95250</xdr:rowOff>
    </xdr:from>
    <xdr:ext cx="6581775" cy="885825"/>
    <xdr:pic>
      <xdr:nvPicPr>
        <xdr:cNvPr id="2" name="image1.jpg" title="Image">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2</xdr:col>
      <xdr:colOff>314325</xdr:colOff>
      <xdr:row>1</xdr:row>
      <xdr:rowOff>19050</xdr:rowOff>
    </xdr:from>
    <xdr:ext cx="5981700" cy="876300"/>
    <xdr:pic>
      <xdr:nvPicPr>
        <xdr:cNvPr id="2" name="image2.png" title="Image">
          <a:extLst>
            <a:ext uri="{FF2B5EF4-FFF2-40B4-BE49-F238E27FC236}">
              <a16:creationId xmlns:a16="http://schemas.microsoft.com/office/drawing/2014/main" id="{00000000-0008-0000-08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1</xdr:col>
      <xdr:colOff>2600325</xdr:colOff>
      <xdr:row>1</xdr:row>
      <xdr:rowOff>0</xdr:rowOff>
    </xdr:from>
    <xdr:ext cx="6829425" cy="876300"/>
    <xdr:pic>
      <xdr:nvPicPr>
        <xdr:cNvPr id="2" name="image2.png" title="Image">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xfrm>
          <a:off x="2933700" y="180975"/>
          <a:ext cx="6829425" cy="876300"/>
        </a:xfrm>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2</xdr:col>
      <xdr:colOff>314325</xdr:colOff>
      <xdr:row>0</xdr:row>
      <xdr:rowOff>19050</xdr:rowOff>
    </xdr:from>
    <xdr:ext cx="5981700" cy="876300"/>
    <xdr:pic>
      <xdr:nvPicPr>
        <xdr:cNvPr id="2" name="image2.png" title="Image">
          <a:extLst>
            <a:ext uri="{FF2B5EF4-FFF2-40B4-BE49-F238E27FC236}">
              <a16:creationId xmlns:a16="http://schemas.microsoft.com/office/drawing/2014/main" id="{00000000-0008-0000-1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1</xdr:col>
      <xdr:colOff>0</xdr:colOff>
      <xdr:row>142</xdr:row>
      <xdr:rowOff>152400</xdr:rowOff>
    </xdr:from>
    <xdr:ext cx="9258300" cy="3267075"/>
    <xdr:sp macro="" textlink="">
      <xdr:nvSpPr>
        <xdr:cNvPr id="3" name="Shape 3">
          <a:extLst>
            <a:ext uri="{FF2B5EF4-FFF2-40B4-BE49-F238E27FC236}">
              <a16:creationId xmlns:a16="http://schemas.microsoft.com/office/drawing/2014/main" id="{00000000-0008-0000-1600-000003000000}"/>
            </a:ext>
          </a:extLst>
        </xdr:cNvPr>
        <xdr:cNvSpPr/>
      </xdr:nvSpPr>
      <xdr:spPr>
        <a:xfrm>
          <a:off x="783025" y="1041125"/>
          <a:ext cx="8043000" cy="2819400"/>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000" b="1">
              <a:solidFill>
                <a:schemeClr val="dk1"/>
              </a:solidFill>
              <a:latin typeface="Times New Roman"/>
              <a:ea typeface="Times New Roman"/>
              <a:cs typeface="Times New Roman"/>
              <a:sym typeface="Times New Roman"/>
            </a:rPr>
            <a:t>Requested by:	</a:t>
          </a:r>
          <a:r>
            <a:rPr lang="en-US" sz="1000">
              <a:solidFill>
                <a:schemeClr val="dk1"/>
              </a:solidFill>
              <a:latin typeface="Times New Roman"/>
              <a:ea typeface="Times New Roman"/>
              <a:cs typeface="Times New Roman"/>
              <a:sym typeface="Times New Roman"/>
            </a:rPr>
            <a:t>		            				</a:t>
          </a:r>
          <a:r>
            <a:rPr lang="en-US" sz="1000" b="1">
              <a:solidFill>
                <a:schemeClr val="dk1"/>
              </a:solidFill>
              <a:latin typeface="Times New Roman"/>
              <a:ea typeface="Times New Roman"/>
              <a:cs typeface="Times New Roman"/>
              <a:sym typeface="Times New Roman"/>
            </a:rPr>
            <a:t>	 Budget Allocation Certified by:</a:t>
          </a:r>
          <a:endParaRPr sz="1400" b="1"/>
        </a:p>
        <a:p>
          <a:pPr marL="0" lvl="0" indent="0" algn="l" rtl="0">
            <a:spcBef>
              <a:spcPts val="0"/>
            </a:spcBef>
            <a:spcAft>
              <a:spcPts val="0"/>
            </a:spcAft>
            <a:buNone/>
          </a:pPr>
          <a:endParaRPr sz="1000">
            <a:solidFill>
              <a:schemeClr val="dk1"/>
            </a:solidFill>
            <a:latin typeface="Times New Roman"/>
            <a:ea typeface="Times New Roman"/>
            <a:cs typeface="Times New Roman"/>
            <a:sym typeface="Times New Roman"/>
          </a:endParaRPr>
        </a:p>
        <a:p>
          <a:pPr marL="0" lvl="0" indent="0" algn="l" rtl="0">
            <a:spcBef>
              <a:spcPts val="0"/>
            </a:spcBef>
            <a:spcAft>
              <a:spcPts val="0"/>
            </a:spcAft>
            <a:buNone/>
          </a:pPr>
          <a:endParaRPr sz="1000">
            <a:solidFill>
              <a:schemeClr val="dk1"/>
            </a:solidFill>
            <a:latin typeface="Times New Roman"/>
            <a:ea typeface="Times New Roman"/>
            <a:cs typeface="Times New Roman"/>
            <a:sym typeface="Times New Roman"/>
          </a:endParaRPr>
        </a:p>
        <a:p>
          <a:pPr marL="0" lvl="0" indent="0" algn="l" rtl="0">
            <a:spcBef>
              <a:spcPts val="0"/>
            </a:spcBef>
            <a:spcAft>
              <a:spcPts val="0"/>
            </a:spcAft>
            <a:buNone/>
          </a:pPr>
          <a:r>
            <a:rPr lang="en-US" sz="1000">
              <a:solidFill>
                <a:schemeClr val="dk1"/>
              </a:solidFill>
              <a:latin typeface="Times New Roman"/>
              <a:ea typeface="Times New Roman"/>
              <a:cs typeface="Times New Roman"/>
              <a:sym typeface="Times New Roman"/>
            </a:rPr>
            <a:t>Signature: 	______________________	________________           	Signature:         _______________________</a:t>
          </a:r>
          <a:endParaRPr sz="1400"/>
        </a:p>
        <a:p>
          <a:pPr marL="0" marR="0" lvl="0" indent="0" algn="l" rtl="0">
            <a:lnSpc>
              <a:spcPct val="100000"/>
            </a:lnSpc>
            <a:spcBef>
              <a:spcPts val="0"/>
            </a:spcBef>
            <a:spcAft>
              <a:spcPts val="0"/>
            </a:spcAft>
            <a:buClr>
              <a:schemeClr val="dk1"/>
            </a:buClr>
            <a:buSzPts val="1000"/>
            <a:buFont typeface="Times New Roman"/>
            <a:buNone/>
          </a:pPr>
          <a:r>
            <a:rPr lang="en-US" sz="1000">
              <a:solidFill>
                <a:schemeClr val="dk1"/>
              </a:solidFill>
              <a:latin typeface="Times New Roman"/>
              <a:ea typeface="Times New Roman"/>
              <a:cs typeface="Times New Roman"/>
              <a:sym typeface="Times New Roman"/>
            </a:rPr>
            <a:t>Printed Name: 	</a:t>
          </a:r>
          <a:r>
            <a:rPr lang="en-US" sz="1100" b="1">
              <a:latin typeface="Calibri"/>
              <a:ea typeface="Calibri"/>
              <a:cs typeface="Calibri"/>
              <a:sym typeface="Calibri"/>
            </a:rPr>
            <a:t>IAN GUY MENDOZA</a:t>
          </a:r>
          <a:r>
            <a:rPr lang="en-US" sz="1000">
              <a:solidFill>
                <a:schemeClr val="dk1"/>
              </a:solidFill>
              <a:latin typeface="Times New Roman"/>
              <a:ea typeface="Times New Roman"/>
              <a:cs typeface="Times New Roman"/>
              <a:sym typeface="Times New Roman"/>
            </a:rPr>
            <a:t>	            	</a:t>
          </a:r>
          <a:r>
            <a:rPr lang="en-US" sz="1000" b="1">
              <a:solidFill>
                <a:schemeClr val="dk1"/>
              </a:solidFill>
              <a:latin typeface="Times New Roman"/>
              <a:ea typeface="Times New Roman"/>
              <a:cs typeface="Times New Roman"/>
              <a:sym typeface="Times New Roman"/>
            </a:rPr>
            <a:t>Romeo Tuazon, Jr.   </a:t>
          </a:r>
          <a:r>
            <a:rPr lang="en-US" sz="1000">
              <a:solidFill>
                <a:schemeClr val="dk1"/>
              </a:solidFill>
              <a:latin typeface="Times New Roman"/>
              <a:ea typeface="Times New Roman"/>
              <a:cs typeface="Times New Roman"/>
              <a:sym typeface="Times New Roman"/>
            </a:rPr>
            <a:t>         Printed Name:  </a:t>
          </a:r>
          <a:r>
            <a:rPr lang="en-US" sz="1100" b="1" u="sng">
              <a:solidFill>
                <a:schemeClr val="dk1"/>
              </a:solidFill>
              <a:latin typeface="Calibri"/>
              <a:ea typeface="Calibri"/>
              <a:cs typeface="Calibri"/>
              <a:sym typeface="Calibri"/>
            </a:rPr>
            <a:t>MARIA TERESA T. CORNEL</a:t>
          </a:r>
          <a:endParaRPr sz="1000" b="1" u="sng">
            <a:solidFill>
              <a:schemeClr val="dk1"/>
            </a:solidFill>
            <a:latin typeface="Times New Roman"/>
            <a:ea typeface="Times New Roman"/>
            <a:cs typeface="Times New Roman"/>
            <a:sym typeface="Times New Roman"/>
          </a:endParaRPr>
        </a:p>
        <a:p>
          <a:pPr marL="0" lvl="0" indent="0" algn="l" rtl="0">
            <a:spcBef>
              <a:spcPts val="0"/>
            </a:spcBef>
            <a:spcAft>
              <a:spcPts val="0"/>
            </a:spcAft>
            <a:buNone/>
          </a:pPr>
          <a:r>
            <a:rPr lang="en-US" sz="1000">
              <a:solidFill>
                <a:schemeClr val="dk1"/>
              </a:solidFill>
              <a:latin typeface="Times New Roman"/>
              <a:ea typeface="Times New Roman"/>
              <a:cs typeface="Times New Roman"/>
              <a:sym typeface="Times New Roman"/>
            </a:rPr>
            <a:t>Designation:  	IHOMP Unit Head /  CMT III	OIC-CAO          		Designation:     </a:t>
          </a:r>
          <a:r>
            <a:rPr lang="en-US" sz="1000" u="sng">
              <a:solidFill>
                <a:schemeClr val="dk1"/>
              </a:solidFill>
              <a:latin typeface="Times New Roman"/>
              <a:ea typeface="Times New Roman"/>
              <a:cs typeface="Times New Roman"/>
              <a:sym typeface="Times New Roman"/>
            </a:rPr>
            <a:t>Supervising Administrative  Officer</a:t>
          </a:r>
          <a:endParaRPr sz="1400"/>
        </a:p>
        <a:p>
          <a:pPr marL="0" lvl="0" indent="0" algn="l" rtl="0">
            <a:spcBef>
              <a:spcPts val="0"/>
            </a:spcBef>
            <a:spcAft>
              <a:spcPts val="0"/>
            </a:spcAft>
            <a:buNone/>
          </a:pPr>
          <a:r>
            <a:rPr lang="en-US" sz="1000" u="none">
              <a:solidFill>
                <a:schemeClr val="dk1"/>
              </a:solidFill>
              <a:latin typeface="Times New Roman"/>
              <a:ea typeface="Times New Roman"/>
              <a:cs typeface="Times New Roman"/>
              <a:sym typeface="Times New Roman"/>
            </a:rPr>
            <a:t>			            						Fund Cluster:    ____________________ </a:t>
          </a:r>
          <a:endParaRPr sz="1400"/>
        </a:p>
        <a:p>
          <a:pPr marL="0" lvl="0" indent="0" algn="l" rtl="0">
            <a:spcBef>
              <a:spcPts val="0"/>
            </a:spcBef>
            <a:spcAft>
              <a:spcPts val="0"/>
            </a:spcAft>
            <a:buNone/>
          </a:pPr>
          <a:endParaRPr sz="1000" u="none">
            <a:solidFill>
              <a:schemeClr val="dk1"/>
            </a:solidFill>
            <a:latin typeface="Times New Roman"/>
            <a:ea typeface="Times New Roman"/>
            <a:cs typeface="Times New Roman"/>
            <a:sym typeface="Times New Roman"/>
          </a:endParaRPr>
        </a:p>
        <a:p>
          <a:pPr marL="0" lvl="0" indent="0" algn="l" rtl="0">
            <a:spcBef>
              <a:spcPts val="0"/>
            </a:spcBef>
            <a:spcAft>
              <a:spcPts val="0"/>
            </a:spcAft>
            <a:buNone/>
          </a:pPr>
          <a:endParaRPr sz="1000" u="none">
            <a:solidFill>
              <a:schemeClr val="dk1"/>
            </a:solidFill>
            <a:latin typeface="Times New Roman"/>
            <a:ea typeface="Times New Roman"/>
            <a:cs typeface="Times New Roman"/>
            <a:sym typeface="Times New Roman"/>
          </a:endParaRPr>
        </a:p>
        <a:p>
          <a:pPr marL="0" lvl="0" indent="0" algn="l" rtl="0">
            <a:spcBef>
              <a:spcPts val="0"/>
            </a:spcBef>
            <a:spcAft>
              <a:spcPts val="0"/>
            </a:spcAft>
            <a:buNone/>
          </a:pPr>
          <a:r>
            <a:rPr lang="en-US" sz="1000" b="1" u="none">
              <a:solidFill>
                <a:schemeClr val="dk1"/>
              </a:solidFill>
              <a:latin typeface="Times New Roman"/>
              <a:ea typeface="Times New Roman"/>
              <a:cs typeface="Times New Roman"/>
              <a:sym typeface="Times New Roman"/>
            </a:rPr>
            <a:t>Posted to PhilGeps by:</a:t>
          </a:r>
          <a:r>
            <a:rPr lang="en-US" sz="1000" u="none">
              <a:solidFill>
                <a:schemeClr val="dk1"/>
              </a:solidFill>
              <a:latin typeface="Times New Roman"/>
              <a:ea typeface="Times New Roman"/>
              <a:cs typeface="Times New Roman"/>
              <a:sym typeface="Times New Roman"/>
            </a:rPr>
            <a:t>		          					</a:t>
          </a:r>
          <a:r>
            <a:rPr lang="en-US" sz="1000" b="1" u="none">
              <a:solidFill>
                <a:schemeClr val="dk1"/>
              </a:solidFill>
              <a:latin typeface="Times New Roman"/>
              <a:ea typeface="Times New Roman"/>
              <a:cs typeface="Times New Roman"/>
              <a:sym typeface="Times New Roman"/>
            </a:rPr>
            <a:t> Approved by:</a:t>
          </a:r>
          <a:endParaRPr sz="1400" b="1"/>
        </a:p>
        <a:p>
          <a:pPr marL="0" lvl="0" indent="0" algn="l" rtl="0">
            <a:spcBef>
              <a:spcPts val="0"/>
            </a:spcBef>
            <a:spcAft>
              <a:spcPts val="0"/>
            </a:spcAft>
            <a:buNone/>
          </a:pPr>
          <a:endParaRPr sz="1000">
            <a:solidFill>
              <a:schemeClr val="dk1"/>
            </a:solidFill>
            <a:latin typeface="Times New Roman"/>
            <a:ea typeface="Times New Roman"/>
            <a:cs typeface="Times New Roman"/>
            <a:sym typeface="Times New Roman"/>
          </a:endParaRPr>
        </a:p>
        <a:p>
          <a:pPr marL="0" lvl="0" indent="0" algn="l" rtl="0">
            <a:spcBef>
              <a:spcPts val="0"/>
            </a:spcBef>
            <a:spcAft>
              <a:spcPts val="0"/>
            </a:spcAft>
            <a:buNone/>
          </a:pPr>
          <a:endParaRPr sz="1000">
            <a:solidFill>
              <a:schemeClr val="dk1"/>
            </a:solidFill>
            <a:latin typeface="Times New Roman"/>
            <a:ea typeface="Times New Roman"/>
            <a:cs typeface="Times New Roman"/>
            <a:sym typeface="Times New Roman"/>
          </a:endParaRPr>
        </a:p>
        <a:p>
          <a:pPr marL="0" lvl="0" indent="0" algn="l" rtl="0">
            <a:spcBef>
              <a:spcPts val="0"/>
            </a:spcBef>
            <a:spcAft>
              <a:spcPts val="0"/>
            </a:spcAft>
            <a:buNone/>
          </a:pPr>
          <a:r>
            <a:rPr lang="en-US" sz="1000">
              <a:solidFill>
                <a:schemeClr val="dk1"/>
              </a:solidFill>
              <a:latin typeface="Times New Roman"/>
              <a:ea typeface="Times New Roman"/>
              <a:cs typeface="Times New Roman"/>
              <a:sym typeface="Times New Roman"/>
            </a:rPr>
            <a:t>Signature:	____________________	            				Signature:	 _________________________________</a:t>
          </a:r>
          <a:endParaRPr sz="1400"/>
        </a:p>
        <a:p>
          <a:pPr marL="0" lvl="0" indent="0" algn="l" rtl="0">
            <a:spcBef>
              <a:spcPts val="0"/>
            </a:spcBef>
            <a:spcAft>
              <a:spcPts val="0"/>
            </a:spcAft>
            <a:buNone/>
          </a:pPr>
          <a:r>
            <a:rPr lang="en-US" sz="1000">
              <a:solidFill>
                <a:schemeClr val="dk1"/>
              </a:solidFill>
              <a:latin typeface="Times New Roman"/>
              <a:ea typeface="Times New Roman"/>
              <a:cs typeface="Times New Roman"/>
              <a:sym typeface="Times New Roman"/>
            </a:rPr>
            <a:t>Solicitation:	</a:t>
          </a:r>
          <a:r>
            <a:rPr lang="en-US" sz="1000" b="1" u="none">
              <a:solidFill>
                <a:schemeClr val="dk1"/>
              </a:solidFill>
              <a:latin typeface="Times New Roman"/>
              <a:ea typeface="Times New Roman"/>
              <a:cs typeface="Times New Roman"/>
              <a:sym typeface="Times New Roman"/>
            </a:rPr>
            <a:t>____________________</a:t>
          </a:r>
          <a:r>
            <a:rPr lang="en-US" sz="1000">
              <a:solidFill>
                <a:schemeClr val="dk1"/>
              </a:solidFill>
              <a:latin typeface="Times New Roman"/>
              <a:ea typeface="Times New Roman"/>
              <a:cs typeface="Times New Roman"/>
              <a:sym typeface="Times New Roman"/>
            </a:rPr>
            <a:t>	            				Printed Name:  </a:t>
          </a:r>
          <a:r>
            <a:rPr lang="en-US" sz="1000" b="1">
              <a:solidFill>
                <a:schemeClr val="dk1"/>
              </a:solidFill>
              <a:latin typeface="Times New Roman"/>
              <a:ea typeface="Times New Roman"/>
              <a:cs typeface="Times New Roman"/>
              <a:sym typeface="Times New Roman"/>
            </a:rPr>
            <a:t>GLORY V. BALTAZAR, MD, MHP, MHA, CESe</a:t>
          </a:r>
          <a:endParaRPr sz="1400"/>
        </a:p>
        <a:p>
          <a:pPr marL="0" lvl="0" indent="0" algn="l" rtl="0">
            <a:spcBef>
              <a:spcPts val="0"/>
            </a:spcBef>
            <a:spcAft>
              <a:spcPts val="0"/>
            </a:spcAft>
            <a:buNone/>
          </a:pPr>
          <a:r>
            <a:rPr lang="en-US" sz="1000">
              <a:solidFill>
                <a:schemeClr val="dk1"/>
              </a:solidFill>
              <a:latin typeface="Times New Roman"/>
              <a:ea typeface="Times New Roman"/>
              <a:cs typeface="Times New Roman"/>
              <a:sym typeface="Times New Roman"/>
            </a:rPr>
            <a:t>Reference No.			             					Designation:   Head of Procuring Entity (HOPE)</a:t>
          </a:r>
          <a:endParaRPr sz="1400"/>
        </a:p>
        <a:p>
          <a:pPr marL="0" lvl="0" indent="0" algn="l" rtl="0">
            <a:spcBef>
              <a:spcPts val="0"/>
            </a:spcBef>
            <a:spcAft>
              <a:spcPts val="0"/>
            </a:spcAft>
            <a:buNone/>
          </a:pPr>
          <a:endParaRPr sz="1000">
            <a:solidFill>
              <a:schemeClr val="dk1"/>
            </a:solidFill>
            <a:latin typeface="Times New Roman"/>
            <a:ea typeface="Times New Roman"/>
            <a:cs typeface="Times New Roman"/>
            <a:sym typeface="Times New Roman"/>
          </a:endParaRPr>
        </a:p>
        <a:p>
          <a:pPr marL="0" lvl="0" indent="0" algn="l" rtl="0">
            <a:spcBef>
              <a:spcPts val="0"/>
            </a:spcBef>
            <a:spcAft>
              <a:spcPts val="0"/>
            </a:spcAft>
            <a:buNone/>
          </a:pPr>
          <a:r>
            <a:rPr lang="en-US" sz="1000">
              <a:solidFill>
                <a:schemeClr val="dk1"/>
              </a:solidFill>
              <a:latin typeface="Times New Roman"/>
              <a:ea typeface="Times New Roman"/>
              <a:cs typeface="Times New Roman"/>
              <a:sym typeface="Times New Roman"/>
            </a:rPr>
            <a:t>															PRO-F-03-06</a:t>
          </a:r>
          <a:endParaRPr sz="1000">
            <a:solidFill>
              <a:schemeClr val="dk1"/>
            </a:solidFill>
            <a:latin typeface="Times New Roman"/>
            <a:ea typeface="Times New Roman"/>
            <a:cs typeface="Times New Roman"/>
            <a:sym typeface="Times New Roman"/>
          </a:endParaRPr>
        </a:p>
      </xdr:txBody>
    </xdr:sp>
    <xdr:clientData fLocksWithSheet="0"/>
  </xdr:oneCellAnchor>
  <xdr:oneCellAnchor>
    <xdr:from>
      <xdr:col>3</xdr:col>
      <xdr:colOff>704850</xdr:colOff>
      <xdr:row>0</xdr:row>
      <xdr:rowOff>95250</xdr:rowOff>
    </xdr:from>
    <xdr:ext cx="6581775" cy="885825"/>
    <xdr:pic>
      <xdr:nvPicPr>
        <xdr:cNvPr id="2" name="image1.jpg" title="Image">
          <a:extLst>
            <a:ext uri="{FF2B5EF4-FFF2-40B4-BE49-F238E27FC236}">
              <a16:creationId xmlns:a16="http://schemas.microsoft.com/office/drawing/2014/main" id="{00000000-0008-0000-1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0</xdr:col>
      <xdr:colOff>0</xdr:colOff>
      <xdr:row>21</xdr:row>
      <xdr:rowOff>200025</xdr:rowOff>
    </xdr:from>
    <xdr:ext cx="8058150" cy="2838450"/>
    <xdr:sp macro="" textlink="">
      <xdr:nvSpPr>
        <xdr:cNvPr id="3" name="Shape 3">
          <a:extLst>
            <a:ext uri="{FF2B5EF4-FFF2-40B4-BE49-F238E27FC236}">
              <a16:creationId xmlns:a16="http://schemas.microsoft.com/office/drawing/2014/main" id="{00000000-0008-0000-1B00-000003000000}"/>
            </a:ext>
          </a:extLst>
        </xdr:cNvPr>
        <xdr:cNvSpPr/>
      </xdr:nvSpPr>
      <xdr:spPr>
        <a:xfrm>
          <a:off x="237975" y="2064300"/>
          <a:ext cx="8043000" cy="2819400"/>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000">
              <a:solidFill>
                <a:schemeClr val="dk1"/>
              </a:solidFill>
              <a:latin typeface="Times New Roman"/>
              <a:ea typeface="Times New Roman"/>
              <a:cs typeface="Times New Roman"/>
              <a:sym typeface="Times New Roman"/>
            </a:rPr>
            <a:t>Requested by:			             Budget Allocation Certified by:</a:t>
          </a:r>
          <a:endParaRPr sz="1400"/>
        </a:p>
        <a:p>
          <a:pPr marL="0" lvl="0" indent="0" algn="l" rtl="0">
            <a:spcBef>
              <a:spcPts val="0"/>
            </a:spcBef>
            <a:spcAft>
              <a:spcPts val="0"/>
            </a:spcAft>
            <a:buNone/>
          </a:pPr>
          <a:endParaRPr sz="1000">
            <a:solidFill>
              <a:schemeClr val="dk1"/>
            </a:solidFill>
            <a:latin typeface="Times New Roman"/>
            <a:ea typeface="Times New Roman"/>
            <a:cs typeface="Times New Roman"/>
            <a:sym typeface="Times New Roman"/>
          </a:endParaRPr>
        </a:p>
        <a:p>
          <a:pPr marL="0" lvl="0" indent="0" algn="l" rtl="0">
            <a:spcBef>
              <a:spcPts val="0"/>
            </a:spcBef>
            <a:spcAft>
              <a:spcPts val="0"/>
            </a:spcAft>
            <a:buNone/>
          </a:pPr>
          <a:endParaRPr sz="1000">
            <a:solidFill>
              <a:schemeClr val="dk1"/>
            </a:solidFill>
            <a:latin typeface="Times New Roman"/>
            <a:ea typeface="Times New Roman"/>
            <a:cs typeface="Times New Roman"/>
            <a:sym typeface="Times New Roman"/>
          </a:endParaRPr>
        </a:p>
        <a:p>
          <a:pPr marL="0" lvl="0" indent="0" algn="l" rtl="0">
            <a:spcBef>
              <a:spcPts val="0"/>
            </a:spcBef>
            <a:spcAft>
              <a:spcPts val="0"/>
            </a:spcAft>
            <a:buNone/>
          </a:pPr>
          <a:r>
            <a:rPr lang="en-US" sz="1000">
              <a:solidFill>
                <a:schemeClr val="dk1"/>
              </a:solidFill>
              <a:latin typeface="Times New Roman"/>
              <a:ea typeface="Times New Roman"/>
              <a:cs typeface="Times New Roman"/>
              <a:sym typeface="Times New Roman"/>
            </a:rPr>
            <a:t>Signature: 	______________________	            Signature:         _______________________</a:t>
          </a:r>
          <a:endParaRPr sz="1400"/>
        </a:p>
        <a:p>
          <a:pPr marL="0" marR="0" lvl="0" indent="0" algn="l" rtl="0">
            <a:lnSpc>
              <a:spcPct val="100000"/>
            </a:lnSpc>
            <a:spcBef>
              <a:spcPts val="0"/>
            </a:spcBef>
            <a:spcAft>
              <a:spcPts val="0"/>
            </a:spcAft>
            <a:buClr>
              <a:schemeClr val="dk1"/>
            </a:buClr>
            <a:buSzPts val="1000"/>
            <a:buFont typeface="Times New Roman"/>
            <a:buNone/>
          </a:pPr>
          <a:r>
            <a:rPr lang="en-US" sz="1000">
              <a:solidFill>
                <a:schemeClr val="dk1"/>
              </a:solidFill>
              <a:latin typeface="Times New Roman"/>
              <a:ea typeface="Times New Roman"/>
              <a:cs typeface="Times New Roman"/>
              <a:sym typeface="Times New Roman"/>
            </a:rPr>
            <a:t>Printed Name: 	</a:t>
          </a:r>
          <a:r>
            <a:rPr lang="en-US" sz="1100" b="1">
              <a:latin typeface="Calibri"/>
              <a:ea typeface="Calibri"/>
              <a:cs typeface="Calibri"/>
              <a:sym typeface="Calibri"/>
            </a:rPr>
            <a:t>IAN GUY MENDOZA</a:t>
          </a:r>
          <a:r>
            <a:rPr lang="en-US" sz="1000">
              <a:solidFill>
                <a:schemeClr val="dk1"/>
              </a:solidFill>
              <a:latin typeface="Times New Roman"/>
              <a:ea typeface="Times New Roman"/>
              <a:cs typeface="Times New Roman"/>
              <a:sym typeface="Times New Roman"/>
            </a:rPr>
            <a:t>	            	            Printed Name:  </a:t>
          </a:r>
          <a:r>
            <a:rPr lang="en-US" sz="1100" b="1" u="sng">
              <a:solidFill>
                <a:schemeClr val="dk1"/>
              </a:solidFill>
              <a:latin typeface="Calibri"/>
              <a:ea typeface="Calibri"/>
              <a:cs typeface="Calibri"/>
              <a:sym typeface="Calibri"/>
            </a:rPr>
            <a:t>MARIA TERESA T. CORNEL</a:t>
          </a:r>
          <a:endParaRPr sz="1000" b="1" u="sng">
            <a:solidFill>
              <a:schemeClr val="dk1"/>
            </a:solidFill>
            <a:latin typeface="Times New Roman"/>
            <a:ea typeface="Times New Roman"/>
            <a:cs typeface="Times New Roman"/>
            <a:sym typeface="Times New Roman"/>
          </a:endParaRPr>
        </a:p>
        <a:p>
          <a:pPr marL="0" lvl="0" indent="0" algn="l" rtl="0">
            <a:spcBef>
              <a:spcPts val="0"/>
            </a:spcBef>
            <a:spcAft>
              <a:spcPts val="0"/>
            </a:spcAft>
            <a:buNone/>
          </a:pPr>
          <a:r>
            <a:rPr lang="en-US" sz="1000">
              <a:solidFill>
                <a:schemeClr val="dk1"/>
              </a:solidFill>
              <a:latin typeface="Times New Roman"/>
              <a:ea typeface="Times New Roman"/>
              <a:cs typeface="Times New Roman"/>
              <a:sym typeface="Times New Roman"/>
            </a:rPr>
            <a:t>Designation:  	</a:t>
          </a:r>
          <a:r>
            <a:rPr lang="en-US" sz="1000" u="sng">
              <a:solidFill>
                <a:schemeClr val="dk1"/>
              </a:solidFill>
              <a:latin typeface="Times New Roman"/>
              <a:ea typeface="Times New Roman"/>
              <a:cs typeface="Times New Roman"/>
              <a:sym typeface="Times New Roman"/>
            </a:rPr>
            <a:t>IHOMP Unit Head /  CMT III</a:t>
          </a:r>
          <a:r>
            <a:rPr lang="en-US" sz="1000">
              <a:solidFill>
                <a:schemeClr val="dk1"/>
              </a:solidFill>
              <a:latin typeface="Times New Roman"/>
              <a:ea typeface="Times New Roman"/>
              <a:cs typeface="Times New Roman"/>
              <a:sym typeface="Times New Roman"/>
            </a:rPr>
            <a:t>	            Designation:     </a:t>
          </a:r>
          <a:r>
            <a:rPr lang="en-US" sz="1000" u="sng">
              <a:solidFill>
                <a:schemeClr val="dk1"/>
              </a:solidFill>
              <a:latin typeface="Times New Roman"/>
              <a:ea typeface="Times New Roman"/>
              <a:cs typeface="Times New Roman"/>
              <a:sym typeface="Times New Roman"/>
            </a:rPr>
            <a:t>Supervising Administrative  Officer</a:t>
          </a:r>
          <a:endParaRPr sz="1400"/>
        </a:p>
        <a:p>
          <a:pPr marL="0" lvl="0" indent="0" algn="l" rtl="0">
            <a:spcBef>
              <a:spcPts val="0"/>
            </a:spcBef>
            <a:spcAft>
              <a:spcPts val="0"/>
            </a:spcAft>
            <a:buNone/>
          </a:pPr>
          <a:r>
            <a:rPr lang="en-US" sz="1000" u="none">
              <a:solidFill>
                <a:schemeClr val="dk1"/>
              </a:solidFill>
              <a:latin typeface="Times New Roman"/>
              <a:ea typeface="Times New Roman"/>
              <a:cs typeface="Times New Roman"/>
              <a:sym typeface="Times New Roman"/>
            </a:rPr>
            <a:t>			            Fund Cluster:    ____________________ </a:t>
          </a:r>
          <a:endParaRPr sz="1400"/>
        </a:p>
        <a:p>
          <a:pPr marL="0" lvl="0" indent="0" algn="l" rtl="0">
            <a:spcBef>
              <a:spcPts val="0"/>
            </a:spcBef>
            <a:spcAft>
              <a:spcPts val="0"/>
            </a:spcAft>
            <a:buNone/>
          </a:pPr>
          <a:endParaRPr sz="1000" u="none">
            <a:solidFill>
              <a:schemeClr val="dk1"/>
            </a:solidFill>
            <a:latin typeface="Times New Roman"/>
            <a:ea typeface="Times New Roman"/>
            <a:cs typeface="Times New Roman"/>
            <a:sym typeface="Times New Roman"/>
          </a:endParaRPr>
        </a:p>
        <a:p>
          <a:pPr marL="0" lvl="0" indent="0" algn="l" rtl="0">
            <a:spcBef>
              <a:spcPts val="0"/>
            </a:spcBef>
            <a:spcAft>
              <a:spcPts val="0"/>
            </a:spcAft>
            <a:buNone/>
          </a:pPr>
          <a:endParaRPr sz="1000" u="none">
            <a:solidFill>
              <a:schemeClr val="dk1"/>
            </a:solidFill>
            <a:latin typeface="Times New Roman"/>
            <a:ea typeface="Times New Roman"/>
            <a:cs typeface="Times New Roman"/>
            <a:sym typeface="Times New Roman"/>
          </a:endParaRPr>
        </a:p>
        <a:p>
          <a:pPr marL="0" lvl="0" indent="0" algn="l" rtl="0">
            <a:spcBef>
              <a:spcPts val="0"/>
            </a:spcBef>
            <a:spcAft>
              <a:spcPts val="0"/>
            </a:spcAft>
            <a:buNone/>
          </a:pPr>
          <a:r>
            <a:rPr lang="en-US" sz="1000" u="none">
              <a:solidFill>
                <a:schemeClr val="dk1"/>
              </a:solidFill>
              <a:latin typeface="Times New Roman"/>
              <a:ea typeface="Times New Roman"/>
              <a:cs typeface="Times New Roman"/>
              <a:sym typeface="Times New Roman"/>
            </a:rPr>
            <a:t>Posted to PhilGeps by:		           Approved by:</a:t>
          </a:r>
          <a:endParaRPr sz="1400"/>
        </a:p>
        <a:p>
          <a:pPr marL="0" lvl="0" indent="0" algn="l" rtl="0">
            <a:spcBef>
              <a:spcPts val="0"/>
            </a:spcBef>
            <a:spcAft>
              <a:spcPts val="0"/>
            </a:spcAft>
            <a:buNone/>
          </a:pPr>
          <a:endParaRPr sz="1000">
            <a:solidFill>
              <a:schemeClr val="dk1"/>
            </a:solidFill>
            <a:latin typeface="Times New Roman"/>
            <a:ea typeface="Times New Roman"/>
            <a:cs typeface="Times New Roman"/>
            <a:sym typeface="Times New Roman"/>
          </a:endParaRPr>
        </a:p>
        <a:p>
          <a:pPr marL="0" lvl="0" indent="0" algn="l" rtl="0">
            <a:spcBef>
              <a:spcPts val="0"/>
            </a:spcBef>
            <a:spcAft>
              <a:spcPts val="0"/>
            </a:spcAft>
            <a:buNone/>
          </a:pPr>
          <a:endParaRPr sz="1000">
            <a:solidFill>
              <a:schemeClr val="dk1"/>
            </a:solidFill>
            <a:latin typeface="Times New Roman"/>
            <a:ea typeface="Times New Roman"/>
            <a:cs typeface="Times New Roman"/>
            <a:sym typeface="Times New Roman"/>
          </a:endParaRPr>
        </a:p>
        <a:p>
          <a:pPr marL="0" lvl="0" indent="0" algn="l" rtl="0">
            <a:spcBef>
              <a:spcPts val="0"/>
            </a:spcBef>
            <a:spcAft>
              <a:spcPts val="0"/>
            </a:spcAft>
            <a:buNone/>
          </a:pPr>
          <a:r>
            <a:rPr lang="en-US" sz="1000">
              <a:solidFill>
                <a:schemeClr val="dk1"/>
              </a:solidFill>
              <a:latin typeface="Times New Roman"/>
              <a:ea typeface="Times New Roman"/>
              <a:cs typeface="Times New Roman"/>
              <a:sym typeface="Times New Roman"/>
            </a:rPr>
            <a:t>Signature:	____________________	            Signature:	        _________________________________</a:t>
          </a:r>
          <a:endParaRPr sz="1400"/>
        </a:p>
        <a:p>
          <a:pPr marL="0" lvl="0" indent="0" algn="l" rtl="0">
            <a:spcBef>
              <a:spcPts val="0"/>
            </a:spcBef>
            <a:spcAft>
              <a:spcPts val="0"/>
            </a:spcAft>
            <a:buNone/>
          </a:pPr>
          <a:r>
            <a:rPr lang="en-US" sz="1000">
              <a:solidFill>
                <a:schemeClr val="dk1"/>
              </a:solidFill>
              <a:latin typeface="Times New Roman"/>
              <a:ea typeface="Times New Roman"/>
              <a:cs typeface="Times New Roman"/>
              <a:sym typeface="Times New Roman"/>
            </a:rPr>
            <a:t>Solicitation:	</a:t>
          </a:r>
          <a:r>
            <a:rPr lang="en-US" sz="1000" b="1" u="none">
              <a:solidFill>
                <a:schemeClr val="dk1"/>
              </a:solidFill>
              <a:latin typeface="Times New Roman"/>
              <a:ea typeface="Times New Roman"/>
              <a:cs typeface="Times New Roman"/>
              <a:sym typeface="Times New Roman"/>
            </a:rPr>
            <a:t>____________________</a:t>
          </a:r>
          <a:r>
            <a:rPr lang="en-US" sz="1000">
              <a:solidFill>
                <a:schemeClr val="dk1"/>
              </a:solidFill>
              <a:latin typeface="Times New Roman"/>
              <a:ea typeface="Times New Roman"/>
              <a:cs typeface="Times New Roman"/>
              <a:sym typeface="Times New Roman"/>
            </a:rPr>
            <a:t>	            Printed Name:  </a:t>
          </a:r>
          <a:r>
            <a:rPr lang="en-US" sz="1000" b="1">
              <a:solidFill>
                <a:schemeClr val="dk1"/>
              </a:solidFill>
              <a:latin typeface="Times New Roman"/>
              <a:ea typeface="Times New Roman"/>
              <a:cs typeface="Times New Roman"/>
              <a:sym typeface="Times New Roman"/>
            </a:rPr>
            <a:t>GLORY V. BALTAZAR, MD, MHP, MHA, CESe</a:t>
          </a:r>
          <a:endParaRPr sz="1400"/>
        </a:p>
        <a:p>
          <a:pPr marL="0" lvl="0" indent="0" algn="l" rtl="0">
            <a:spcBef>
              <a:spcPts val="0"/>
            </a:spcBef>
            <a:spcAft>
              <a:spcPts val="0"/>
            </a:spcAft>
            <a:buNone/>
          </a:pPr>
          <a:r>
            <a:rPr lang="en-US" sz="1000">
              <a:solidFill>
                <a:schemeClr val="dk1"/>
              </a:solidFill>
              <a:latin typeface="Times New Roman"/>
              <a:ea typeface="Times New Roman"/>
              <a:cs typeface="Times New Roman"/>
              <a:sym typeface="Times New Roman"/>
            </a:rPr>
            <a:t>Reference No.			             Designation:   Head of Procuring Entity (HOPE)</a:t>
          </a:r>
          <a:endParaRPr sz="1400"/>
        </a:p>
        <a:p>
          <a:pPr marL="0" lvl="0" indent="0" algn="l" rtl="0">
            <a:spcBef>
              <a:spcPts val="0"/>
            </a:spcBef>
            <a:spcAft>
              <a:spcPts val="0"/>
            </a:spcAft>
            <a:buNone/>
          </a:pPr>
          <a:endParaRPr sz="1000">
            <a:solidFill>
              <a:schemeClr val="dk1"/>
            </a:solidFill>
            <a:latin typeface="Times New Roman"/>
            <a:ea typeface="Times New Roman"/>
            <a:cs typeface="Times New Roman"/>
            <a:sym typeface="Times New Roman"/>
          </a:endParaRPr>
        </a:p>
        <a:p>
          <a:pPr marL="0" lvl="0" indent="0" algn="l" rtl="0">
            <a:spcBef>
              <a:spcPts val="0"/>
            </a:spcBef>
            <a:spcAft>
              <a:spcPts val="0"/>
            </a:spcAft>
            <a:buNone/>
          </a:pPr>
          <a:r>
            <a:rPr lang="en-US" sz="1000">
              <a:solidFill>
                <a:schemeClr val="dk1"/>
              </a:solidFill>
              <a:latin typeface="Times New Roman"/>
              <a:ea typeface="Times New Roman"/>
              <a:cs typeface="Times New Roman"/>
              <a:sym typeface="Times New Roman"/>
            </a:rPr>
            <a:t>						PRO-F-03-06</a:t>
          </a:r>
          <a:endParaRPr sz="1000">
            <a:solidFill>
              <a:schemeClr val="dk1"/>
            </a:solidFill>
            <a:latin typeface="Times New Roman"/>
            <a:ea typeface="Times New Roman"/>
            <a:cs typeface="Times New Roman"/>
            <a:sym typeface="Times New Roman"/>
          </a:endParaRPr>
        </a:p>
      </xdr:txBody>
    </xdr:sp>
    <xdr:clientData fLocksWithSheet="0"/>
  </xdr:oneCellAnchor>
  <xdr:oneCellAnchor>
    <xdr:from>
      <xdr:col>1</xdr:col>
      <xdr:colOff>200025</xdr:colOff>
      <xdr:row>0</xdr:row>
      <xdr:rowOff>95250</xdr:rowOff>
    </xdr:from>
    <xdr:ext cx="6581775" cy="885825"/>
    <xdr:pic>
      <xdr:nvPicPr>
        <xdr:cNvPr id="2" name="image1.jpg" title="Image">
          <a:extLst>
            <a:ext uri="{FF2B5EF4-FFF2-40B4-BE49-F238E27FC236}">
              <a16:creationId xmlns:a16="http://schemas.microsoft.com/office/drawing/2014/main" id="{00000000-0008-0000-1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5</xdr:col>
      <xdr:colOff>561975</xdr:colOff>
      <xdr:row>1</xdr:row>
      <xdr:rowOff>47625</xdr:rowOff>
    </xdr:from>
    <xdr:ext cx="10658475" cy="6972300"/>
    <xdr:graphicFrame macro="">
      <xdr:nvGraphicFramePr>
        <xdr:cNvPr id="2" name="Chart 1" title="Chart">
          <a:extLst>
            <a:ext uri="{FF2B5EF4-FFF2-40B4-BE49-F238E27FC236}">
              <a16:creationId xmlns:a16="http://schemas.microsoft.com/office/drawing/2014/main" id="{00000000-0008-0000-1E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8.xml><?xml version="1.0" encoding="utf-8"?>
<xdr:wsDr xmlns:xdr="http://schemas.openxmlformats.org/drawingml/2006/spreadsheetDrawing" xmlns:a="http://schemas.openxmlformats.org/drawingml/2006/main">
  <xdr:oneCellAnchor>
    <xdr:from>
      <xdr:col>7</xdr:col>
      <xdr:colOff>171450</xdr:colOff>
      <xdr:row>0</xdr:row>
      <xdr:rowOff>190500</xdr:rowOff>
    </xdr:from>
    <xdr:ext cx="7667625" cy="1123950"/>
    <xdr:pic>
      <xdr:nvPicPr>
        <xdr:cNvPr id="2" name="image2.png" title="Image">
          <a:extLst>
            <a:ext uri="{FF2B5EF4-FFF2-40B4-BE49-F238E27FC236}">
              <a16:creationId xmlns:a16="http://schemas.microsoft.com/office/drawing/2014/main" id="{00000000-0008-0000-2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dr:oneCellAnchor>
    <xdr:from>
      <xdr:col>7</xdr:col>
      <xdr:colOff>171450</xdr:colOff>
      <xdr:row>0</xdr:row>
      <xdr:rowOff>190500</xdr:rowOff>
    </xdr:from>
    <xdr:ext cx="7667625" cy="1123950"/>
    <xdr:pic>
      <xdr:nvPicPr>
        <xdr:cNvPr id="2" name="image2.png" title="Image">
          <a:extLst>
            <a:ext uri="{FF2B5EF4-FFF2-40B4-BE49-F238E27FC236}">
              <a16:creationId xmlns:a16="http://schemas.microsoft.com/office/drawing/2014/main" id="{00000000-0008-0000-2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dr:oneCellAnchor>
    <xdr:from>
      <xdr:col>2</xdr:col>
      <xdr:colOff>352425</xdr:colOff>
      <xdr:row>0</xdr:row>
      <xdr:rowOff>0</xdr:rowOff>
    </xdr:from>
    <xdr:ext cx="4962525" cy="847725"/>
    <xdr:pic>
      <xdr:nvPicPr>
        <xdr:cNvPr id="2" name="image3.png" title="Image">
          <a:extLst>
            <a:ext uri="{FF2B5EF4-FFF2-40B4-BE49-F238E27FC236}">
              <a16:creationId xmlns:a16="http://schemas.microsoft.com/office/drawing/2014/main" id="{00000000-0008-0000-2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Pivot%202024%20Conso"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Conso%20ICT%202023"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vot 2024 Conso"/>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so ICT 2023"/>
    </sheetNames>
    <sheetDataSet>
      <sheetData sheetId="0"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OnLoad="1" refreshedBy="ACER" refreshedDate="45734.596776620368" refreshedVersion="6" recordCount="936">
  <cacheSource type="worksheet">
    <worksheetSource ref="A4:Z940" sheet="Conso ICT 2025"/>
  </cacheSource>
  <cacheFields count="26">
    <cacheField name="Item No." numFmtId="0">
      <sharedItems containsBlank="1"/>
    </cacheField>
    <cacheField name="Item Description / General Specification" numFmtId="0">
      <sharedItems containsBlank="1"/>
    </cacheField>
    <cacheField name="Total Quantity" numFmtId="0">
      <sharedItems containsBlank="1" containsMixedTypes="1" containsNumber="1" containsInteger="1" minValue="0" maxValue="1000" count="38">
        <n v="1"/>
        <n v="2"/>
        <n v="3"/>
        <n v="60"/>
        <n v="12"/>
        <n v="10"/>
        <n v="16"/>
        <n v="15"/>
        <n v="0"/>
        <n v="5"/>
        <n v="4"/>
        <n v="8"/>
        <n v="30"/>
        <m/>
        <n v="80"/>
        <n v="20"/>
        <n v="6"/>
        <n v="24"/>
        <n v="9"/>
        <n v="7"/>
        <n v="200"/>
        <n v="40"/>
        <n v="800"/>
        <n v="33"/>
        <n v="36"/>
        <n v="210"/>
        <n v="120"/>
        <n v="75"/>
        <n v="1000"/>
        <n v="28"/>
        <n v="48"/>
        <n v="720"/>
        <n v="150"/>
        <s v="pc"/>
        <n v="100"/>
        <n v="50"/>
        <n v="70"/>
        <n v="300"/>
      </sharedItems>
    </cacheField>
    <cacheField name="Unit" numFmtId="0">
      <sharedItems containsBlank="1" containsMixedTypes="1" containsNumber="1" containsInteger="1" minValue="2" maxValue="480"/>
    </cacheField>
    <cacheField name="Unit Price" numFmtId="0">
      <sharedItems containsNonDate="0" containsString="0" containsBlank="1"/>
    </cacheField>
    <cacheField name="Total price" numFmtId="0">
      <sharedItems containsNonDate="0" containsString="0" containsBlank="1"/>
    </cacheField>
    <cacheField name="Mode of Procurement" numFmtId="0">
      <sharedItems containsBlank="1"/>
    </cacheField>
    <cacheField name="QTY1" numFmtId="0">
      <sharedItems containsString="0" containsBlank="1" containsNumber="1" containsInteger="1" minValue="0" maxValue="250"/>
    </cacheField>
    <cacheField name="Jan" numFmtId="0">
      <sharedItems containsBlank="1" containsMixedTypes="1" containsNumber="1" containsInteger="1" minValue="0" maxValue="84"/>
    </cacheField>
    <cacheField name="Feb" numFmtId="0">
      <sharedItems containsBlank="1" containsMixedTypes="1" containsNumber="1" containsInteger="1" minValue="0" maxValue="83"/>
    </cacheField>
    <cacheField name="Mar" numFmtId="0">
      <sharedItems containsBlank="1" containsMixedTypes="1" containsNumber="1" containsInteger="1" minValue="0" maxValue="83"/>
    </cacheField>
    <cacheField name="QTY2" numFmtId="0">
      <sharedItems containsString="0" containsBlank="1" containsNumber="1" containsInteger="1" minValue="0" maxValue="250"/>
    </cacheField>
    <cacheField name="Apr" numFmtId="0">
      <sharedItems containsBlank="1" containsMixedTypes="1" containsNumber="1" containsInteger="1" minValue="0" maxValue="84"/>
    </cacheField>
    <cacheField name="May" numFmtId="0">
      <sharedItems containsBlank="1" containsMixedTypes="1" containsNumber="1" containsInteger="1" minValue="0" maxValue="83"/>
    </cacheField>
    <cacheField name="Jun" numFmtId="0">
      <sharedItems containsBlank="1" containsMixedTypes="1" containsNumber="1" containsInteger="1" minValue="0" maxValue="83"/>
    </cacheField>
    <cacheField name="QTY3" numFmtId="0">
      <sharedItems containsString="0" containsBlank="1" containsNumber="1" containsInteger="1" minValue="0" maxValue="250"/>
    </cacheField>
    <cacheField name="July" numFmtId="0">
      <sharedItems containsBlank="1" containsMixedTypes="1" containsNumber="1" containsInteger="1" minValue="0" maxValue="84"/>
    </cacheField>
    <cacheField name="Aug" numFmtId="0">
      <sharedItems containsBlank="1" containsMixedTypes="1" containsNumber="1" containsInteger="1" minValue="0" maxValue="83"/>
    </cacheField>
    <cacheField name="Sept" numFmtId="0">
      <sharedItems containsBlank="1" containsMixedTypes="1" containsNumber="1" containsInteger="1" minValue="0" maxValue="83"/>
    </cacheField>
    <cacheField name="QTY4" numFmtId="0">
      <sharedItems containsString="0" containsBlank="1" containsNumber="1" containsInteger="1" minValue="0" maxValue="250"/>
    </cacheField>
    <cacheField name="Oct" numFmtId="0">
      <sharedItems containsBlank="1" containsMixedTypes="1" containsNumber="1" containsInteger="1" minValue="0" maxValue="84"/>
    </cacheField>
    <cacheField name="Nov" numFmtId="0">
      <sharedItems containsBlank="1" containsMixedTypes="1" containsNumber="1" containsInteger="1" minValue="0" maxValue="83"/>
    </cacheField>
    <cacheField name="Dec" numFmtId="0">
      <sharedItems containsBlank="1" containsMixedTypes="1" containsNumber="1" containsInteger="1" minValue="0" maxValue="83"/>
    </cacheField>
    <cacheField name="End USer" numFmtId="0">
      <sharedItems containsBlank="1" count="69">
        <s v="HD FINANCE"/>
        <s v="PRAISE COMMITTEE"/>
        <s v="DEPARTMENT OF ANESTHESIOLOGY "/>
        <s v="DEPARTMENT OF OTOLARYNGOLOGY-HEAD AND NECK SURGERY"/>
        <s v="PHYSICAL MEDICINE AND REHABILITATION"/>
        <s v="BUDGET"/>
        <s v="ACCOUNTING"/>
        <s v="DEPARTMENT OF SURGERY"/>
        <s v="CHIEF OF MEDICAL PROFFESIONAL STAFF"/>
        <s v="DENTAL"/>
        <s v="DEPARTMENT OF EMERGENCY MEDICINE"/>
        <s v="DEPARTMEMT OF FAMILY AND COMMUNITY MEDICINE / EMPLOYEES' CLINIC / SDN"/>
        <s v="HEART STATION"/>
        <s v="INTERNAL MEDICINE "/>
        <s v="RTU"/>
        <s v="Department of Pathology and Laboratory"/>
        <m/>
        <s v="HIRM"/>
        <s v="BLOODBANK"/>
        <s v="Nutrition and Dietetics Department"/>
        <s v="DCC"/>
        <s v="DEPARTMENT OF MEDICAL IMAGING"/>
        <s v="PHARMACY"/>
        <s v="PETRO"/>
        <s v="HEPO"/>
        <s v="MSS"/>
        <s v="CHPO"/>
        <s v="OSM"/>
        <s v="HRMO"/>
        <s v="PLANNING AND MANAGEMENT UNIT"/>
        <s v="PROCUREMENT SECTION"/>
        <s v="BILLING AND CLAIMS SECTION"/>
        <s v="PROPERTY AND SUPPLY SECTION"/>
        <s v="CNO"/>
        <s v="CSSR"/>
        <s v="OB COMPLEX"/>
        <s v="DR"/>
        <s v="EMERGENCY DEPARTMENT"/>
        <s v="HEMODIALYSIS UNIT"/>
        <s v="HUMAN MILK BANK"/>
        <s v="IICU"/>
        <s v="MB 5TH"/>
        <s v="OR PACU"/>
        <s v="NICU 1"/>
        <s v="NSU"/>
        <s v="PEDIA 1ST"/>
        <s v="PEDIA 3RD"/>
        <s v="PICU"/>
        <s v="Infectious"/>
        <s v="MICU"/>
        <s v="ISOL 1ST"/>
        <s v="ISOL 2ND"/>
        <s v="MB 1ST"/>
        <s v="MB 2ND"/>
        <s v="MB 3RD"/>
        <s v="MB 4TH"/>
        <s v="Animal Bite"/>
        <s v="OPD OPTHA"/>
        <s v="OPD SURGERY"/>
        <s v="OPD ENT"/>
        <s v="OPD MEDICAL"/>
        <s v="OPD DFCM"/>
        <s v="OPD OB"/>
        <s v="OPD PEDIA"/>
        <s v="TB DOTS"/>
        <s v="SURGERY COMPLEX"/>
        <s v="TOXICOLOGY UNIT"/>
        <s v="EFMS"/>
        <s v="IMISS"/>
      </sharedItems>
    </cacheField>
    <cacheField name="PPMP2025" numFmtId="0">
      <sharedItems containsBlank="1" count="189">
        <s v="Branded Desktop Computer Set"/>
        <s v="Dot Matrix Printer 24-Pin"/>
        <s v="Webcam Professional Full HD"/>
        <s v="UPS 650VA, AVR, 230V"/>
        <s v="USB Computer Headset"/>
        <m/>
        <s v="EPSON LQ310 Ribbon Cartridge (SO15634)"/>
        <s v="Toner Cartridge for the existing ECOSYS M2535DN/L"/>
        <s v="Maintenance Kit for the existing ECOSYS M2535DN/L"/>
        <s v="Toner Cartridge for the existing ECOSYS M4125IDN"/>
        <s v="Maintenance Kit for the existing ECOSYS M4125IDN"/>
        <s v="Toner Cartridge for the existing ECOSYS M5521CDW"/>
        <s v="Colored Toner Cartridge Set for the existing ECOSYS M5521CDW"/>
        <s v="Keyboard, Full Size, USB 2.0"/>
        <s v="Mouse, Optical, USB 2.0"/>
        <s v="Ink Tank Printer"/>
        <s v="Epson Genuine Ink T6641 Black"/>
        <s v="Epson Genuine Ink T6642 Cyan"/>
        <s v="Epson Genuine Ink T6643 Magenta"/>
        <s v="Epson Genuine Ink T6644 Yellow"/>
        <s v="32GB Flash Drive"/>
        <s v="TONER CARTRIDGE, (TN263BK) Black"/>
        <s v="ONER CARTRIDGE, (TN263M) Magenta"/>
        <s v="TONER CARTRIDGE, (TN263C) Cyan"/>
        <s v="TONER CARTRIDGE, (TN263Y) Yellow"/>
        <s v="Toner Cartridge for the existing ECOSYS P2040DN"/>
        <s v="Epson Genuine Ink (003) Black"/>
        <s v="Epson Genuine Ink (003) Cyan"/>
        <s v="Epson Genuine Ink (003) Yellow"/>
        <s v="Epson Genuine Ink (003) Magenta"/>
        <s v="HP Genuine Ink Refill - (GT53) Black"/>
        <s v="HP Genuine Ink Refill - (GT52) Magenta"/>
        <s v="HP Genuine Ink Refill - (GT52) Cyan"/>
        <s v="HP Genuine Ink Refill - (GT52) Yellow"/>
        <s v="Toner Cartridge for the existing FS-6525MFP"/>
        <s v="Maintenance Kit for the existing FS-6525MFP"/>
        <s v="64GB Flash Drive"/>
        <s v="1TB Slim Portable Hard Drive External HDD"/>
        <s v="1TB Portable SSD"/>
        <s v="2TB Slim Portable Hard Drive External HDD"/>
        <s v="Branded Laptop"/>
        <s v="Android Tablet 10.5&quot;"/>
        <s v="Professional Presenter Wireless Presentation Clicker Remote"/>
        <s v="Hand-Held Radio dual band"/>
        <s v="Base Radio dual band with antenna"/>
        <s v="Toner Cartridge for the existing ECOSYS M3145DN"/>
        <s v="Toner Cartridge for the existing ECOSYS M2540DN/L"/>
        <s v="Desktop Gooseneck Condenser Microphone"/>
        <s v="Black Original LaserJet Toner Cartridge"/>
        <s v="Toner Cartridge for the existing ECOSYS M2640IDW/L"/>
        <s v="HP Printhead Black compatible with the existing HP Smart Tank 515"/>
        <s v="HP Printhead Tri-color compatible with the existing HP Smart Tank 515"/>
        <s v="Single Line Telephone (Black)"/>
        <s v="Black &amp; White Monochrome MULTI-FUNCTIONAL MACHINE"/>
        <s v="16GB Flash Drive"/>
        <s v="HP 680 Tri-Color Ink Cartridge"/>
        <s v="Toner Cartridge for the existing TASKALFA 3212I"/>
        <s v="HP 680 Black Original Ink Advantage Cartridge"/>
        <s v="HP 107A Black Original Laser Toner Cartridge"/>
        <s v="HP 17A Black Original LaserJet Toner Cartridge"/>
        <s v="HP 85A Black Original LaserJet Toner Cartridge"/>
        <s v="Thermal POS Receipt Printer"/>
        <s v="Desktop Type Document Scanner"/>
        <s v="Cellphone (Android)"/>
        <s v="Projector"/>
        <s v="Walkie Talkie Dual Band Handheld Two Way Radio"/>
        <s v="Brother Genuine Ink BT5000M"/>
        <s v="Brother Genuine Ink BT5000C"/>
        <s v="Brother Genuine Ink BT5000Y"/>
        <s v="Colored Toner Cartridge Set for the existing ECOSYS M8124CIDN"/>
        <s v="Toner Cartridge for the existing ECOSYS M8124CIDN"/>
        <s v="Stereo Digital Voice Recorder with Built-in USB"/>
        <s v="Stereo Speakers"/>
        <s v="Camera DSLR"/>
        <s v="Toner Cartridge for the existing ECOSYS P6230CDN"/>
        <s v="Colored Toner Cartridge Set for the existing ECOSYS P6230CDN"/>
        <s v="Toner Cartridge for the existing ECOSYS M4132IDN"/>
        <s v="Printable PVC Pre-Cut Cards"/>
        <s v="ID Card Printer Genuine Color Ribbon (650643)"/>
        <s v="Maintenance Kit for the existing ECOSYS M4132IDN"/>
        <s v="Toner Cartridge for the existing ECOSYS M3645DN"/>
        <s v="Maintenance Kit for the existing ECOSYS M3645DN"/>
        <s v="Maintenance Kit for the existing TASKALFA 3212I"/>
        <s v="Brother Genuine Ink BT6000BK"/>
        <s v="Toner Cartridge for the existing Canon Imageclass MF543x"/>
        <s v="Toner Cartridge for the existing Brother DCP L2540DW"/>
        <s v="A3 Black &amp; White MULTI-FUNCTIONAL_x000a_HEAVY-DUTY DIGITAL COPIER"/>
        <s v="21.5&quot; FHD LED Monitor"/>
        <s v="A3 Full-Colour Digital Copier, Full-Colour Network Printer,&amp; Full-Colour Network Scanner"/>
        <s v="Branded Desktop Set"/>
        <s v="1Gbps Internet Subscription (Leased Line)"/>
        <s v="Core Stackable Managed Switch with 20x10G SFP+ Module for Multimode fiber compatible with the existing CBS350-24XS"/>
        <s v="Distribution Stackable Managed Switch with 4x10G SFP+ Module for Multimode fiber compatible with the existing CBS350-24FP-4X"/>
        <s v="Fortinet Firewall Annual Subscription, Website Hosting &amp; SMS, Google, ZOOM Subscription, Software as a service (SaaS)"/>
        <s v="Fortinet Firewall with Annual Subscription and 4x10G SFP+ transceiver module compatible with the existing FortiGATE-601E for HA configuration and deployment."/>
        <s v="Maintenance and Upgrade of Desktop, Laptop, Server, DOH/DICT Cybersecurity Equipment compliance, Copier, Printer, Network, PABX, CCTV and Paging System"/>
        <s v="Multimedia Controller"/>
        <s v="Smart Phone Bill for Telemedicine"/>
        <s v="1.5M Gigabit Cat6 Ethernet Patch Cable with RJ45 CAT6 High Quality"/>
        <s v="10 GE SFP+ transceiver module compatible with the existing FortiGATE-601E Firewall"/>
        <s v="10M Gigabit Cat6 Ethernet Patch Cable with RJ45 CAT6 High Quality"/>
        <s v="10TB Surveillance Hard Drive SATA"/>
        <s v="15M Gigabit Cat6 Ethernet Patch Cable with RJ45 CAT6 High Quality"/>
        <s v="19 inches Universal PDU 6 outlets with surge protection SPD module"/>
        <s v="2 port Wall Faceplate With Mounting Junction Box "/>
        <s v="2.5 &amp; 3.5 Inch SATA2.0 USB3.0 1 to 3 Clone External Hard Drive Dock"/>
        <s v="20M Gigabit Cat6 Ethernet Patch Cable with RJ45 CAT6 High Quality"/>
        <s v="27inch Curved Monitor"/>
        <s v="30M Gigabit Cat6 Ethernet Patch Cable with RJ45 CAT6 High Quality"/>
        <s v="3M Gigabit Cat6 Ethernet Patch Cable with RJ45 CAT6 High Quality"/>
        <s v="42U Server Data Rack"/>
        <s v="480GB 2.5&quot; Internal SSD"/>
        <s v="4U 4-Layer Data Cabinet Wallmounted Data Cabinet"/>
        <s v="550 Watt 80 Plus Bronze Certified PSU ATX "/>
        <s v="5M Gigabit Cat6 Ethernet Patch Cable with RJ45 CAT6 High Quality"/>
        <s v="7.0 Ah Replacement Battery (For UPS)"/>
        <s v="8 Port Gigabit Network Switch with 4-Port PoE+"/>
        <s v="8-Port Gigabit L2 Managed Switch with 2 SFP Slots"/>
        <s v="Aluminum Step Ladder, FT-4 (4 Steps)"/>
        <s v="Aluminum Step Ladder, FT-6 (6 Steps)"/>
        <s v="Aluminum Step Ladder, FT-7 (7 Steps)"/>
        <s v="BATTERY 9V"/>
        <s v="BATTERY AA 2S (2pcs/pack)"/>
        <s v="BATTERY AAA 4S (2pcs/pack)"/>
        <s v="Black &amp; White LASER NETWORK PRINTER with DUPLEX PRINTING"/>
        <s v="Black Nylon Cable Tie 2.5 x 100mm 100pcs/pack "/>
        <s v="Black Nylon Cable Tie 2.5 x 140mm 100pcs/pack "/>
        <s v="Black Nylon Cable Tie 3.6 x 140mm 100pcs/pack "/>
        <s v="Black Nylon Cable Tie 3.6 x 200mm 100pcs/pack "/>
        <s v="Black Nylon Cable Tie 3.6 x 300mm 100pcs/pack "/>
        <s v="Black Nylon Cable Tie 4.8 x 200mm 100pcs/pack "/>
        <s v="Black Nylon Cable Tie 4.8 x 250mm 100pcs/pack "/>
        <s v="Black Nylon Cable Tie 4.8 x 300mm 100pcs/pack "/>
        <s v="Black Nylon Cable Tie 4.8 x 400mm 100pcs/pack "/>
        <s v="Bolt Expansion Sleeve Anchor Concrete 1/4&quot;"/>
        <s v="Bolt Expansion Sleeve Anchor Concrete 5/16&quot;"/>
        <s v="CAT 6 Cable, U/UTP, Indoor 305 meters"/>
        <s v="CAT6 Cable, UTP, OUTDOOR 305 meters (Pure Copper)"/>
        <s v="CAT6/CAT5e Tool-Less Keystone Jack; High Quality"/>
        <s v="CCTV Outdoor Junction Box 100x100x70mm"/>
        <s v="Collapsible Hand Truck"/>
        <s v="Cordless Blower 18V"/>
        <s v="Cordless Screwdriver Kit Set"/>
        <s v="Epson L Series Pickup Roller / feeder"/>
        <s v="Ergonomic Chair Design Metal Base"/>
        <s v="Extreme Instant Glue Gel 3g"/>
        <s v="Fiberglass Extension Ladder, (8-13 ft)"/>
        <s v="Flex cable set compatible for printer"/>
        <s v="Foldable Platform Truck, 300kgs (Steel)"/>
        <s v="Gigabit PCI Express Network Adapter"/>
        <s v="HDMI 2.0 Cable 4K 10m"/>
        <s v="HDMI 2.0 Cable 4K 1m"/>
        <s v="Laminated 12mm Black on White label tape"/>
        <s v="M6 Cabinet Screws 100pcs/pack"/>
        <s v="Mini PC"/>
        <s v="Network Cable Tester RJ45 RJ11 Network LAN Ethernet"/>
        <s v="Nylon Zip Ties Cable Label Mark Tags 100pcs/pack"/>
        <s v="Paper feeder rubber set for printer"/>
        <s v="PC-Connectable Label Maker with 10pcs 12mm Laminated Tape"/>
        <s v="PVC Cable Tray (2mtr)"/>
        <s v="Replacement Battery APCRBC175 for the existing BVX1200LI-MS"/>
        <s v="Rj11 Connector"/>
        <s v="RJ11 Telephone Converter 10pcs/pack"/>
        <s v="RJ45 Connector Crimp Connection Terminals 100pcs/pack"/>
        <s v="Rj45 Connectors for CAT6 (100pcs Clear)"/>
        <s v="RJ45 Coupler, 8P8C Female Extender LAN Connector"/>
        <s v="RJ45 Crimp Tool Pass Through Cat5 Cat5e Cat6"/>
        <s v="Rj45 Metal Shield Connectors for CAT6 (100pcs)"/>
        <s v="Super Strength Molding Tape Double Sided Tape 1/2&quot; x 15ft"/>
        <s v="Super Strength Molding Tape Double Sided Tape 7/8&quot; x 15ft"/>
        <s v="Telephone Wire (3mtrs)"/>
        <s v="Thermal Paste Syringe"/>
        <s v="Touch-style Fingerprint Reader"/>
        <s v="Tox with Screw 6mm (50pcs)"/>
        <s v="UPS 1200VA, AVR, 230V"/>
        <s v="VDE Insulated Flat Phillips Handle Screwdrivers Set Insulated"/>
        <s v="Velcro Straps Cable Organizer 3m/roll"/>
        <s v="White Nylon Cable Tie 2.5 x 100mm 100pcs/pack"/>
        <s v="White Nylon Cable Tie 2.5 x 140mm 100pcs/pack"/>
        <s v="White Nylon Cable Tie 3.6 x 140mm 100pcs/pack"/>
        <s v="White Nylon Cable Tie 3.6 x 200mm 100pcs/pack"/>
        <s v="White Nylon Cable Tie 3.6 x 300mm 100pcs/pack"/>
        <s v="White Nylon Cable Tie 4.8 x 200mm 100pcs/pack"/>
        <s v="White Nylon Cable Tie 4.8 x 250mm 100pcs/pack"/>
        <s v="White Nylon Cable Tie 4.8 x 300mm 100pcs/pack"/>
        <s v="White Nylon Cable Tie 4.8 x 400mm 100pcs/pack"/>
        <s v="WiFi 6 Access Point Dual-band "/>
        <s v="Wired USB Numeric Keypad (Black)"/>
        <s v="A3 Black &amp; White MULTI-FUNCTIONAL _x000a_HEAVY-DUTY DIGITAL COPIER" u="1"/>
      </sharedItems>
    </cacheField>
    <cacheField name="IHOMP REMARKS"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OnLoad="1" refreshedBy="ACER" refreshedDate="45734.596776967592" refreshedVersion="6" recordCount="936">
  <cacheSource type="worksheet">
    <worksheetSource ref="B4:AA940" sheet="Conso ICT 2025"/>
  </cacheSource>
  <cacheFields count="26">
    <cacheField name="Item Description / General Specification" numFmtId="0">
      <sharedItems containsBlank="1"/>
    </cacheField>
    <cacheField name="Total Quantity" numFmtId="0">
      <sharedItems containsBlank="1" containsMixedTypes="1" containsNumber="1" containsInteger="1" minValue="0" maxValue="1000"/>
    </cacheField>
    <cacheField name="Unit" numFmtId="0">
      <sharedItems containsBlank="1" containsMixedTypes="1" containsNumber="1" containsInteger="1" minValue="2" maxValue="480"/>
    </cacheField>
    <cacheField name="Unit Price" numFmtId="0">
      <sharedItems containsNonDate="0" containsString="0" containsBlank="1"/>
    </cacheField>
    <cacheField name="Total price" numFmtId="0">
      <sharedItems containsNonDate="0" containsString="0" containsBlank="1"/>
    </cacheField>
    <cacheField name="Mode of Procurement" numFmtId="0">
      <sharedItems containsBlank="1"/>
    </cacheField>
    <cacheField name="QTY1" numFmtId="0">
      <sharedItems containsString="0" containsBlank="1" containsNumber="1" containsInteger="1" minValue="0" maxValue="250"/>
    </cacheField>
    <cacheField name="Jan" numFmtId="0">
      <sharedItems containsBlank="1" containsMixedTypes="1" containsNumber="1" containsInteger="1" minValue="0" maxValue="84"/>
    </cacheField>
    <cacheField name="Feb" numFmtId="0">
      <sharedItems containsBlank="1" containsMixedTypes="1" containsNumber="1" containsInteger="1" minValue="0" maxValue="83"/>
    </cacheField>
    <cacheField name="Mar" numFmtId="0">
      <sharedItems containsBlank="1" containsMixedTypes="1" containsNumber="1" containsInteger="1" minValue="0" maxValue="83"/>
    </cacheField>
    <cacheField name="QTY2" numFmtId="0">
      <sharedItems containsString="0" containsBlank="1" containsNumber="1" containsInteger="1" minValue="0" maxValue="250"/>
    </cacheField>
    <cacheField name="Apr" numFmtId="0">
      <sharedItems containsBlank="1" containsMixedTypes="1" containsNumber="1" containsInteger="1" minValue="0" maxValue="84"/>
    </cacheField>
    <cacheField name="May" numFmtId="0">
      <sharedItems containsBlank="1" containsMixedTypes="1" containsNumber="1" containsInteger="1" minValue="0" maxValue="83"/>
    </cacheField>
    <cacheField name="Jun" numFmtId="0">
      <sharedItems containsBlank="1" containsMixedTypes="1" containsNumber="1" containsInteger="1" minValue="0" maxValue="83"/>
    </cacheField>
    <cacheField name="QTY3" numFmtId="0">
      <sharedItems containsString="0" containsBlank="1" containsNumber="1" containsInteger="1" minValue="0" maxValue="250"/>
    </cacheField>
    <cacheField name="July" numFmtId="0">
      <sharedItems containsBlank="1" containsMixedTypes="1" containsNumber="1" containsInteger="1" minValue="0" maxValue="84"/>
    </cacheField>
    <cacheField name="Aug" numFmtId="0">
      <sharedItems containsBlank="1" containsMixedTypes="1" containsNumber="1" containsInteger="1" minValue="0" maxValue="83"/>
    </cacheField>
    <cacheField name="Sept" numFmtId="0">
      <sharedItems containsBlank="1" containsMixedTypes="1" containsNumber="1" containsInteger="1" minValue="0" maxValue="83"/>
    </cacheField>
    <cacheField name="QTY4" numFmtId="0">
      <sharedItems containsString="0" containsBlank="1" containsNumber="1" containsInteger="1" minValue="0" maxValue="250"/>
    </cacheField>
    <cacheField name="Oct" numFmtId="0">
      <sharedItems containsBlank="1" containsMixedTypes="1" containsNumber="1" containsInteger="1" minValue="0" maxValue="84"/>
    </cacheField>
    <cacheField name="Nov" numFmtId="0">
      <sharedItems containsBlank="1" containsMixedTypes="1" containsNumber="1" containsInteger="1" minValue="0" maxValue="83"/>
    </cacheField>
    <cacheField name="Dec" numFmtId="0">
      <sharedItems containsBlank="1" containsMixedTypes="1" containsNumber="1" containsInteger="1" minValue="0" maxValue="83"/>
    </cacheField>
    <cacheField name="End USer" numFmtId="0">
      <sharedItems containsBlank="1" count="69">
        <s v="HD FINANCE"/>
        <s v="PRAISE COMMITTEE"/>
        <s v="DEPARTMENT OF ANESTHESIOLOGY "/>
        <s v="DEPARTMENT OF OTOLARYNGOLOGY-HEAD AND NECK SURGERY"/>
        <s v="PHYSICAL MEDICINE AND REHABILITATION"/>
        <s v="BUDGET"/>
        <s v="ACCOUNTING"/>
        <s v="DEPARTMENT OF SURGERY"/>
        <s v="CHIEF OF MEDICAL PROFFESIONAL STAFF"/>
        <s v="DENTAL"/>
        <s v="DEPARTMENT OF EMERGENCY MEDICINE"/>
        <s v="DEPARTMEMT OF FAMILY AND COMMUNITY MEDICINE / EMPLOYEES' CLINIC / SDN"/>
        <s v="HEART STATION"/>
        <s v="INTERNAL MEDICINE "/>
        <s v="RTU"/>
        <s v="Department of Pathology and Laboratory"/>
        <m/>
        <s v="HIRM"/>
        <s v="BLOODBANK"/>
        <s v="Nutrition and Dietetics Department"/>
        <s v="DCC"/>
        <s v="DEPARTMENT OF MEDICAL IMAGING"/>
        <s v="PHARMACY"/>
        <s v="PETRO"/>
        <s v="HEPO"/>
        <s v="MSS"/>
        <s v="CHPO"/>
        <s v="OSM"/>
        <s v="HRMO"/>
        <s v="PLANNING AND MANAGEMENT UNIT"/>
        <s v="PROCUREMENT SECTION"/>
        <s v="BILLING AND CLAIMS SECTION"/>
        <s v="PROPERTY AND SUPPLY SECTION"/>
        <s v="CNO"/>
        <s v="CSSR"/>
        <s v="OB COMPLEX"/>
        <s v="DR"/>
        <s v="EMERGENCY DEPARTMENT"/>
        <s v="HEMODIALYSIS UNIT"/>
        <s v="HUMAN MILK BANK"/>
        <s v="IICU"/>
        <s v="MB 5TH"/>
        <s v="OR PACU"/>
        <s v="NICU 1"/>
        <s v="NSU"/>
        <s v="PEDIA 1ST"/>
        <s v="PEDIA 3RD"/>
        <s v="PICU"/>
        <s v="Infectious"/>
        <s v="MICU"/>
        <s v="ISOL 1ST"/>
        <s v="ISOL 2ND"/>
        <s v="MB 1ST"/>
        <s v="MB 2ND"/>
        <s v="MB 3RD"/>
        <s v="MB 4TH"/>
        <s v="Animal Bite"/>
        <s v="OPD OPTHA"/>
        <s v="OPD SURGERY"/>
        <s v="OPD ENT"/>
        <s v="OPD MEDICAL"/>
        <s v="OPD DFCM"/>
        <s v="OPD OB"/>
        <s v="OPD PEDIA"/>
        <s v="TB DOTS"/>
        <s v="SURGERY COMPLEX"/>
        <s v="TOXICOLOGY UNIT"/>
        <s v="EFMS"/>
        <s v="IMISS"/>
      </sharedItems>
    </cacheField>
    <cacheField name="PPMP2025" numFmtId="0">
      <sharedItems containsBlank="1" count="189">
        <s v="Branded Desktop Computer Set"/>
        <s v="Dot Matrix Printer 24-Pin"/>
        <s v="Webcam Professional Full HD"/>
        <s v="UPS 650VA, AVR, 230V"/>
        <s v="USB Computer Headset"/>
        <m/>
        <s v="EPSON LQ310 Ribbon Cartridge (SO15634)"/>
        <s v="Toner Cartridge for the existing ECOSYS M2535DN/L"/>
        <s v="Maintenance Kit for the existing ECOSYS M2535DN/L"/>
        <s v="Toner Cartridge for the existing ECOSYS M4125IDN"/>
        <s v="Maintenance Kit for the existing ECOSYS M4125IDN"/>
        <s v="Toner Cartridge for the existing ECOSYS M5521CDW"/>
        <s v="Colored Toner Cartridge Set for the existing ECOSYS M5521CDW"/>
        <s v="Keyboard, Full Size, USB 2.0"/>
        <s v="Mouse, Optical, USB 2.0"/>
        <s v="Ink Tank Printer"/>
        <s v="Epson Genuine Ink T6641 Black"/>
        <s v="Epson Genuine Ink T6642 Cyan"/>
        <s v="Epson Genuine Ink T6643 Magenta"/>
        <s v="Epson Genuine Ink T6644 Yellow"/>
        <s v="32GB Flash Drive"/>
        <s v="TONER CARTRIDGE, (TN263BK) Black"/>
        <s v="ONER CARTRIDGE, (TN263M) Magenta"/>
        <s v="TONER CARTRIDGE, (TN263C) Cyan"/>
        <s v="TONER CARTRIDGE, (TN263Y) Yellow"/>
        <s v="Toner Cartridge for the existing ECOSYS P2040DN"/>
        <s v="Epson Genuine Ink (003) Black"/>
        <s v="Epson Genuine Ink (003) Cyan"/>
        <s v="Epson Genuine Ink (003) Yellow"/>
        <s v="Epson Genuine Ink (003) Magenta"/>
        <s v="HP Genuine Ink Refill - (GT53) Black"/>
        <s v="HP Genuine Ink Refill - (GT52) Magenta"/>
        <s v="HP Genuine Ink Refill - (GT52) Cyan"/>
        <s v="HP Genuine Ink Refill - (GT52) Yellow"/>
        <s v="Toner Cartridge for the existing FS-6525MFP"/>
        <s v="Maintenance Kit for the existing FS-6525MFP"/>
        <s v="64GB Flash Drive"/>
        <s v="1TB Slim Portable Hard Drive External HDD"/>
        <s v="1TB Portable SSD"/>
        <s v="2TB Slim Portable Hard Drive External HDD"/>
        <s v="Branded Laptop"/>
        <s v="Android Tablet 10.5&quot;"/>
        <s v="Professional Presenter Wireless Presentation Clicker Remote"/>
        <s v="Hand-Held Radio dual band"/>
        <s v="Base Radio dual band with antenna"/>
        <s v="Toner Cartridge for the existing ECOSYS M3145DN"/>
        <s v="Toner Cartridge for the existing ECOSYS M2540DN/L"/>
        <s v="Desktop Gooseneck Condenser Microphone"/>
        <s v="Black Original LaserJet Toner Cartridge"/>
        <s v="Toner Cartridge for the existing ECOSYS M2640IDW/L"/>
        <s v="HP Printhead Black compatible with the existing HP Smart Tank 515"/>
        <s v="HP Printhead Tri-color compatible with the existing HP Smart Tank 515"/>
        <s v="Single Line Telephone (Black)"/>
        <s v="Black &amp; White Monochrome MULTI-FUNCTIONAL MACHINE"/>
        <s v="16GB Flash Drive"/>
        <s v="HP 680 Tri-Color Ink Cartridge"/>
        <s v="Toner Cartridge for the existing TASKALFA 3212I"/>
        <s v="HP 680 Black Original Ink Advantage Cartridge"/>
        <s v="HP 107A Black Original Laser Toner Cartridge"/>
        <s v="HP 17A Black Original LaserJet Toner Cartridge"/>
        <s v="HP 85A Black Original LaserJet Toner Cartridge"/>
        <s v="Thermal POS Receipt Printer"/>
        <s v="Desktop Type Document Scanner"/>
        <s v="Cellphone (Android)"/>
        <s v="Projector"/>
        <s v="Walkie Talkie Dual Band Handheld Two Way Radio"/>
        <s v="Brother Genuine Ink BT5000M"/>
        <s v="Brother Genuine Ink BT5000C"/>
        <s v="Brother Genuine Ink BT5000Y"/>
        <s v="Colored Toner Cartridge Set for the existing ECOSYS M8124CIDN"/>
        <s v="Toner Cartridge for the existing ECOSYS M8124CIDN"/>
        <s v="Stereo Digital Voice Recorder with Built-in USB"/>
        <s v="Stereo Speakers"/>
        <s v="Camera DSLR"/>
        <s v="Toner Cartridge for the existing ECOSYS P6230CDN"/>
        <s v="Colored Toner Cartridge Set for the existing ECOSYS P6230CDN"/>
        <s v="Toner Cartridge for the existing ECOSYS M4132IDN"/>
        <s v="Printable PVC Pre-Cut Cards"/>
        <s v="ID Card Printer Genuine Color Ribbon (650643)"/>
        <s v="Maintenance Kit for the existing ECOSYS M4132IDN"/>
        <s v="Toner Cartridge for the existing ECOSYS M3645DN"/>
        <s v="Maintenance Kit for the existing ECOSYS M3645DN"/>
        <s v="Maintenance Kit for the existing TASKALFA 3212I"/>
        <s v="Brother Genuine Ink BT6000BK"/>
        <s v="Toner Cartridge for the existing Canon Imageclass MF543x"/>
        <s v="Toner Cartridge for the existing Brother DCP L2540DW"/>
        <s v="A3 Black &amp; White MULTI-FUNCTIONAL_x000a_HEAVY-DUTY DIGITAL COPIER"/>
        <s v="21.5&quot; FHD LED Monitor"/>
        <s v="A3 Full-Colour Digital Copier, Full-Colour Network Printer,&amp; Full-Colour Network Scanner"/>
        <s v="Branded Desktop Set"/>
        <s v="1Gbps Internet Subscription (Leased Line)"/>
        <s v="Core Stackable Managed Switch with 20x10G SFP+ Module for Multimode fiber compatible with the existing CBS350-24XS"/>
        <s v="Distribution Stackable Managed Switch with 4x10G SFP+ Module for Multimode fiber compatible with the existing CBS350-24FP-4X"/>
        <s v="Fortinet Firewall Annual Subscription, Website Hosting &amp; SMS, Google, ZOOM Subscription, Software as a service (SaaS)"/>
        <s v="Fortinet Firewall with Annual Subscription and 4x10G SFP+ transceiver module compatible with the existing FortiGATE-601E for HA configuration and deployment."/>
        <s v="Maintenance and Upgrade of Desktop, Laptop, Server, DOH/DICT Cybersecurity Equipment compliance, Copier, Printer, Network, PABX, CCTV and Paging System"/>
        <s v="Multimedia Controller"/>
        <s v="Smart Phone Bill for Telemedicine"/>
        <s v="1.5M Gigabit Cat6 Ethernet Patch Cable with RJ45 CAT6 High Quality"/>
        <s v="10 GE SFP+ transceiver module compatible with the existing FortiGATE-601E Firewall"/>
        <s v="10M Gigabit Cat6 Ethernet Patch Cable with RJ45 CAT6 High Quality"/>
        <s v="10TB Surveillance Hard Drive SATA"/>
        <s v="15M Gigabit Cat6 Ethernet Patch Cable with RJ45 CAT6 High Quality"/>
        <s v="19 inches Universal PDU 6 outlets with surge protection SPD module"/>
        <s v="2 port Wall Faceplate With Mounting Junction Box "/>
        <s v="2.5 &amp; 3.5 Inch SATA2.0 USB3.0 1 to 3 Clone External Hard Drive Dock"/>
        <s v="20M Gigabit Cat6 Ethernet Patch Cable with RJ45 CAT6 High Quality"/>
        <s v="27inch Curved Monitor"/>
        <s v="30M Gigabit Cat6 Ethernet Patch Cable with RJ45 CAT6 High Quality"/>
        <s v="3M Gigabit Cat6 Ethernet Patch Cable with RJ45 CAT6 High Quality"/>
        <s v="42U Server Data Rack"/>
        <s v="480GB 2.5&quot; Internal SSD"/>
        <s v="4U 4-Layer Data Cabinet Wallmounted Data Cabinet"/>
        <s v="550 Watt 80 Plus Bronze Certified PSU ATX "/>
        <s v="5M Gigabit Cat6 Ethernet Patch Cable with RJ45 CAT6 High Quality"/>
        <s v="7.0 Ah Replacement Battery (For UPS)"/>
        <s v="8 Port Gigabit Network Switch with 4-Port PoE+"/>
        <s v="8-Port Gigabit L2 Managed Switch with 2 SFP Slots"/>
        <s v="Aluminum Step Ladder, FT-4 (4 Steps)"/>
        <s v="Aluminum Step Ladder, FT-6 (6 Steps)"/>
        <s v="Aluminum Step Ladder, FT-7 (7 Steps)"/>
        <s v="BATTERY 9V"/>
        <s v="BATTERY AA 2S (2pcs/pack)"/>
        <s v="BATTERY AAA 4S (2pcs/pack)"/>
        <s v="Black &amp; White LASER NETWORK PRINTER with DUPLEX PRINTING"/>
        <s v="Black Nylon Cable Tie 2.5 x 100mm 100pcs/pack "/>
        <s v="Black Nylon Cable Tie 2.5 x 140mm 100pcs/pack "/>
        <s v="Black Nylon Cable Tie 3.6 x 140mm 100pcs/pack "/>
        <s v="Black Nylon Cable Tie 3.6 x 200mm 100pcs/pack "/>
        <s v="Black Nylon Cable Tie 3.6 x 300mm 100pcs/pack "/>
        <s v="Black Nylon Cable Tie 4.8 x 200mm 100pcs/pack "/>
        <s v="Black Nylon Cable Tie 4.8 x 250mm 100pcs/pack "/>
        <s v="Black Nylon Cable Tie 4.8 x 300mm 100pcs/pack "/>
        <s v="Black Nylon Cable Tie 4.8 x 400mm 100pcs/pack "/>
        <s v="Bolt Expansion Sleeve Anchor Concrete 1/4&quot;"/>
        <s v="Bolt Expansion Sleeve Anchor Concrete 5/16&quot;"/>
        <s v="CAT 6 Cable, U/UTP, Indoor 305 meters"/>
        <s v="CAT6 Cable, UTP, OUTDOOR 305 meters (Pure Copper)"/>
        <s v="CAT6/CAT5e Tool-Less Keystone Jack; High Quality"/>
        <s v="CCTV Outdoor Junction Box 100x100x70mm"/>
        <s v="Collapsible Hand Truck"/>
        <s v="Cordless Blower 18V"/>
        <s v="Cordless Screwdriver Kit Set"/>
        <s v="Epson L Series Pickup Roller / feeder"/>
        <s v="Ergonomic Chair Design Metal Base"/>
        <s v="Extreme Instant Glue Gel 3g"/>
        <s v="Fiberglass Extension Ladder, (8-13 ft)"/>
        <s v="Flex cable set compatible for printer"/>
        <s v="Foldable Platform Truck, 300kgs (Steel)"/>
        <s v="Gigabit PCI Express Network Adapter"/>
        <s v="HDMI 2.0 Cable 4K 10m"/>
        <s v="HDMI 2.0 Cable 4K 1m"/>
        <s v="Laminated 12mm Black on White label tape"/>
        <s v="M6 Cabinet Screws 100pcs/pack"/>
        <s v="Mini PC"/>
        <s v="Network Cable Tester RJ45 RJ11 Network LAN Ethernet"/>
        <s v="Nylon Zip Ties Cable Label Mark Tags 100pcs/pack"/>
        <s v="Paper feeder rubber set for printer"/>
        <s v="PC-Connectable Label Maker with 10pcs 12mm Laminated Tape"/>
        <s v="PVC Cable Tray (2mtr)"/>
        <s v="Replacement Battery APCRBC175 for the existing BVX1200LI-MS"/>
        <s v="Rj11 Connector"/>
        <s v="RJ11 Telephone Converter 10pcs/pack"/>
        <s v="RJ45 Connector Crimp Connection Terminals 100pcs/pack"/>
        <s v="Rj45 Connectors for CAT6 (100pcs Clear)"/>
        <s v="RJ45 Coupler, 8P8C Female Extender LAN Connector"/>
        <s v="RJ45 Crimp Tool Pass Through Cat5 Cat5e Cat6"/>
        <s v="Rj45 Metal Shield Connectors for CAT6 (100pcs)"/>
        <s v="Super Strength Molding Tape Double Sided Tape 1/2&quot; x 15ft"/>
        <s v="Super Strength Molding Tape Double Sided Tape 7/8&quot; x 15ft"/>
        <s v="Telephone Wire (3mtrs)"/>
        <s v="Thermal Paste Syringe"/>
        <s v="Touch-style Fingerprint Reader"/>
        <s v="Tox with Screw 6mm (50pcs)"/>
        <s v="UPS 1200VA, AVR, 230V"/>
        <s v="VDE Insulated Flat Phillips Handle Screwdrivers Set Insulated"/>
        <s v="Velcro Straps Cable Organizer 3m/roll"/>
        <s v="White Nylon Cable Tie 2.5 x 100mm 100pcs/pack"/>
        <s v="White Nylon Cable Tie 2.5 x 140mm 100pcs/pack"/>
        <s v="White Nylon Cable Tie 3.6 x 140mm 100pcs/pack"/>
        <s v="White Nylon Cable Tie 3.6 x 200mm 100pcs/pack"/>
        <s v="White Nylon Cable Tie 3.6 x 300mm 100pcs/pack"/>
        <s v="White Nylon Cable Tie 4.8 x 200mm 100pcs/pack"/>
        <s v="White Nylon Cable Tie 4.8 x 250mm 100pcs/pack"/>
        <s v="White Nylon Cable Tie 4.8 x 300mm 100pcs/pack"/>
        <s v="White Nylon Cable Tie 4.8 x 400mm 100pcs/pack"/>
        <s v="WiFi 6 Access Point Dual-band "/>
        <s v="Wired USB Numeric Keypad (Black)"/>
        <s v="A3 Black &amp; White MULTI-FUNCTIONAL _x000a_HEAVY-DUTY DIGITAL COPIER" u="1"/>
      </sharedItems>
    </cacheField>
    <cacheField name="IHOMP REMARKS" numFmtId="0">
      <sharedItems containsBlank="1"/>
    </cacheField>
    <cacheField name="New Total Quantity"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36">
  <r>
    <e v="#NAME?"/>
    <s v="Desktop Mid Range Users"/>
    <x v="0"/>
    <s v="UNIT"/>
    <m/>
    <m/>
    <s v="PUBLIC BIDDLING"/>
    <n v="0"/>
    <m/>
    <m/>
    <m/>
    <n v="1"/>
    <n v="1"/>
    <m/>
    <m/>
    <n v="0"/>
    <m/>
    <m/>
    <m/>
    <n v="0"/>
    <m/>
    <m/>
    <m/>
    <x v="0"/>
    <x v="0"/>
    <m/>
  </r>
  <r>
    <e v="#NAME?"/>
    <s v="DOT Matrix Printer 9 pins"/>
    <x v="0"/>
    <s v="UNIT"/>
    <m/>
    <m/>
    <s v="PUBLIC BIDDLING"/>
    <n v="0"/>
    <m/>
    <m/>
    <m/>
    <n v="1"/>
    <n v="1"/>
    <m/>
    <m/>
    <n v="0"/>
    <m/>
    <m/>
    <m/>
    <n v="0"/>
    <m/>
    <m/>
    <m/>
    <x v="0"/>
    <x v="1"/>
    <m/>
  </r>
  <r>
    <e v="#NAME?"/>
    <s v="High-definition web cameras"/>
    <x v="1"/>
    <s v="UNIT"/>
    <m/>
    <m/>
    <s v="PUBLIC BIDDLING"/>
    <n v="0"/>
    <m/>
    <m/>
    <m/>
    <n v="1"/>
    <n v="1"/>
    <m/>
    <m/>
    <n v="0"/>
    <m/>
    <m/>
    <m/>
    <n v="0"/>
    <m/>
    <m/>
    <m/>
    <x v="0"/>
    <x v="2"/>
    <m/>
  </r>
  <r>
    <e v="#NAME?"/>
    <s v="Uninterruptible Power Supply (UPS)"/>
    <x v="2"/>
    <s v="UNIT"/>
    <m/>
    <m/>
    <s v="PUBLIC BIDDLING"/>
    <n v="0"/>
    <m/>
    <m/>
    <m/>
    <n v="2"/>
    <n v="2"/>
    <m/>
    <m/>
    <n v="0"/>
    <m/>
    <m/>
    <m/>
    <n v="0"/>
    <m/>
    <m/>
    <m/>
    <x v="0"/>
    <x v="3"/>
    <m/>
  </r>
  <r>
    <e v="#NAME?"/>
    <s v="Noise cancelling microphone"/>
    <x v="1"/>
    <s v="UNIT"/>
    <m/>
    <m/>
    <s v="PUBLIC BIDDLING"/>
    <n v="0"/>
    <m/>
    <m/>
    <m/>
    <n v="1"/>
    <n v="1"/>
    <m/>
    <m/>
    <n v="0"/>
    <m/>
    <m/>
    <m/>
    <n v="0"/>
    <m/>
    <m/>
    <m/>
    <x v="0"/>
    <x v="4"/>
    <m/>
  </r>
  <r>
    <e v="#NAME?"/>
    <s v="8 Port Gigabit Network Switch 10/100/1000Mbps"/>
    <x v="0"/>
    <s v="UNIT"/>
    <m/>
    <m/>
    <s v="PUBLIC BIDDLING"/>
    <n v="0"/>
    <m/>
    <m/>
    <m/>
    <n v="1"/>
    <n v="1"/>
    <m/>
    <m/>
    <n v="0"/>
    <m/>
    <m/>
    <m/>
    <n v="0"/>
    <m/>
    <m/>
    <m/>
    <x v="0"/>
    <x v="5"/>
    <s v="N/A"/>
  </r>
  <r>
    <e v="#NAME?"/>
    <s v="Epson LQ-310 (S015634) Ribbon Cartridge"/>
    <x v="3"/>
    <s v="UNIT"/>
    <m/>
    <m/>
    <s v="PUBLIC BIDDLING"/>
    <n v="30"/>
    <n v="30"/>
    <m/>
    <m/>
    <n v="30"/>
    <n v="30"/>
    <m/>
    <m/>
    <n v="30"/>
    <n v="30"/>
    <m/>
    <m/>
    <n v="30"/>
    <n v="30"/>
    <m/>
    <m/>
    <x v="0"/>
    <x v="6"/>
    <m/>
  </r>
  <r>
    <e v="#NAME?"/>
    <s v="Kyocera ECO SYS TONER KIT-1147"/>
    <x v="4"/>
    <s v="UNIT"/>
    <m/>
    <m/>
    <s v="PUBLIC BIDDLING"/>
    <n v="3"/>
    <n v="3"/>
    <m/>
    <m/>
    <n v="0"/>
    <n v="0"/>
    <m/>
    <m/>
    <n v="3"/>
    <n v="3"/>
    <m/>
    <m/>
    <n v="0"/>
    <n v="0"/>
    <m/>
    <m/>
    <x v="0"/>
    <x v="7"/>
    <m/>
  </r>
  <r>
    <e v="#NAME?"/>
    <s v="Kyocera ECO SYS Fuser Kit-1147"/>
    <x v="1"/>
    <s v="UNIT"/>
    <m/>
    <m/>
    <s v="PUBLIC BIDDLING"/>
    <n v="1"/>
    <n v="1"/>
    <m/>
    <m/>
    <n v="0"/>
    <m/>
    <m/>
    <m/>
    <n v="1"/>
    <n v="1"/>
    <m/>
    <m/>
    <n v="0"/>
    <m/>
    <m/>
    <m/>
    <x v="0"/>
    <x v="5"/>
    <s v="Maintenance Fund"/>
  </r>
  <r>
    <e v="#NAME?"/>
    <s v="Kyocera M2535 DN / L MK-1147"/>
    <x v="1"/>
    <s v="UNIT"/>
    <m/>
    <m/>
    <s v="PUBLIC BIDDLING"/>
    <n v="1"/>
    <n v="1"/>
    <m/>
    <m/>
    <n v="0"/>
    <m/>
    <m/>
    <m/>
    <n v="1"/>
    <n v="1"/>
    <m/>
    <m/>
    <n v="0"/>
    <m/>
    <m/>
    <m/>
    <x v="0"/>
    <x v="8"/>
    <m/>
  </r>
  <r>
    <e v="#NAME?"/>
    <s v="Kyocera ECO SYS TONER KIT-6113"/>
    <x v="5"/>
    <s v="UNIT"/>
    <m/>
    <m/>
    <s v="PUBLIC BIDDLING"/>
    <n v="5"/>
    <n v="5"/>
    <m/>
    <m/>
    <n v="5"/>
    <n v="5"/>
    <m/>
    <m/>
    <n v="5"/>
    <n v="5"/>
    <m/>
    <m/>
    <n v="5"/>
    <n v="5"/>
    <m/>
    <m/>
    <x v="0"/>
    <x v="9"/>
    <m/>
  </r>
  <r>
    <e v="#NAME?"/>
    <s v="Kyocera ECO SYS MAINTENANCE KIT"/>
    <x v="1"/>
    <s v="UNIT"/>
    <m/>
    <m/>
    <s v="PUBLIC BIDDLING"/>
    <n v="1"/>
    <n v="1"/>
    <m/>
    <m/>
    <n v="0"/>
    <m/>
    <m/>
    <m/>
    <n v="1"/>
    <n v="1"/>
    <m/>
    <m/>
    <n v="0"/>
    <m/>
    <m/>
    <m/>
    <x v="0"/>
    <x v="10"/>
    <m/>
  </r>
  <r>
    <e v="#NAME?"/>
    <s v="INK, KYOCERA ECOSYS (M5521cdw Toner Cartridge), Black"/>
    <x v="6"/>
    <s v="pc"/>
    <m/>
    <m/>
    <s v="PUBLIC BIDDLING"/>
    <n v="6"/>
    <n v="2"/>
    <n v="2"/>
    <n v="2"/>
    <n v="3"/>
    <n v="1"/>
    <n v="1"/>
    <n v="1"/>
    <n v="3"/>
    <n v="1"/>
    <n v="1"/>
    <n v="1"/>
    <n v="4"/>
    <n v="1"/>
    <n v="1"/>
    <n v="2"/>
    <x v="1"/>
    <x v="11"/>
    <m/>
  </r>
  <r>
    <e v="#NAME?"/>
    <s v="INK, KYOCERA ECOSYS (M5521cdw Toner Cartridge), Cyan"/>
    <x v="6"/>
    <s v="pc"/>
    <m/>
    <m/>
    <s v="PUBLIC BIDDLING"/>
    <n v="6"/>
    <n v="2"/>
    <n v="2"/>
    <n v="2"/>
    <n v="3"/>
    <n v="1"/>
    <n v="1"/>
    <n v="1"/>
    <n v="3"/>
    <n v="1"/>
    <n v="1"/>
    <n v="1"/>
    <n v="4"/>
    <n v="1"/>
    <n v="1"/>
    <n v="2"/>
    <x v="1"/>
    <x v="12"/>
    <m/>
  </r>
  <r>
    <e v="#NAME?"/>
    <s v="INK, KYOCERA ECOSYS (M5521cdw Toner Cartridge), Magenta"/>
    <x v="6"/>
    <s v="pc"/>
    <m/>
    <m/>
    <s v="PUBLIC BIDDLING"/>
    <n v="6"/>
    <n v="2"/>
    <n v="2"/>
    <n v="2"/>
    <n v="3"/>
    <n v="1"/>
    <n v="1"/>
    <n v="1"/>
    <n v="3"/>
    <n v="1"/>
    <n v="1"/>
    <n v="1"/>
    <n v="4"/>
    <n v="1"/>
    <n v="1"/>
    <n v="2"/>
    <x v="1"/>
    <x v="5"/>
    <s v="N/A"/>
  </r>
  <r>
    <e v="#NAME?"/>
    <s v="INK, KYOCERA ECOSYS (M5521cdw Toner Cartridge), Yellow"/>
    <x v="6"/>
    <s v="pc"/>
    <m/>
    <m/>
    <s v="PUBLIC BIDDLING"/>
    <n v="6"/>
    <n v="2"/>
    <n v="2"/>
    <n v="2"/>
    <n v="3"/>
    <n v="1"/>
    <n v="1"/>
    <n v="1"/>
    <n v="3"/>
    <n v="1"/>
    <n v="1"/>
    <n v="1"/>
    <n v="4"/>
    <n v="1"/>
    <n v="1"/>
    <n v="2"/>
    <x v="1"/>
    <x v="5"/>
    <s v="N/A"/>
  </r>
  <r>
    <e v="#NAME?"/>
    <s v="Keyboard, Full Size, USB 2.0"/>
    <x v="0"/>
    <s v="pc"/>
    <m/>
    <m/>
    <s v="PUBLIC BIDDLING"/>
    <n v="2"/>
    <n v="2"/>
    <m/>
    <m/>
    <n v="0"/>
    <m/>
    <m/>
    <m/>
    <n v="0"/>
    <m/>
    <m/>
    <m/>
    <n v="0"/>
    <m/>
    <m/>
    <m/>
    <x v="2"/>
    <x v="13"/>
    <m/>
  </r>
  <r>
    <e v="#NAME?"/>
    <s v="Mouse, Optical"/>
    <x v="0"/>
    <s v="UNIT"/>
    <m/>
    <m/>
    <s v="PUBLIC BIDDLING"/>
    <n v="2"/>
    <n v="2"/>
    <m/>
    <m/>
    <n v="0"/>
    <m/>
    <m/>
    <m/>
    <n v="0"/>
    <m/>
    <m/>
    <m/>
    <n v="0"/>
    <m/>
    <m/>
    <m/>
    <x v="2"/>
    <x v="14"/>
    <m/>
  </r>
  <r>
    <e v="#NAME?"/>
    <s v="Branded Desktop Set"/>
    <x v="0"/>
    <s v="pc"/>
    <m/>
    <m/>
    <s v="PUBLIC BIDDLING"/>
    <n v="1"/>
    <n v="1"/>
    <m/>
    <m/>
    <m/>
    <m/>
    <m/>
    <m/>
    <m/>
    <m/>
    <m/>
    <m/>
    <m/>
    <m/>
    <m/>
    <m/>
    <x v="2"/>
    <x v="0"/>
    <m/>
  </r>
  <r>
    <e v="#NAME?"/>
    <s v="3 in 1 Printer, compatible to Branded Desktop Set"/>
    <x v="0"/>
    <s v="pc"/>
    <m/>
    <m/>
    <s v="PUBLIC BIDDLING"/>
    <n v="1"/>
    <n v="1"/>
    <m/>
    <m/>
    <m/>
    <m/>
    <m/>
    <m/>
    <m/>
    <m/>
    <m/>
    <m/>
    <m/>
    <m/>
    <m/>
    <m/>
    <x v="2"/>
    <x v="15"/>
    <s v="Printer"/>
  </r>
  <r>
    <e v="#NAME?"/>
    <s v="INK, EPSON (T664), Black"/>
    <x v="7"/>
    <s v="pc"/>
    <m/>
    <m/>
    <s v="PUBLIC BIDDLING"/>
    <n v="6"/>
    <n v="2"/>
    <n v="2"/>
    <n v="2"/>
    <n v="3"/>
    <n v="1"/>
    <n v="1"/>
    <n v="1"/>
    <n v="3"/>
    <n v="1"/>
    <n v="1"/>
    <n v="1"/>
    <n v="3"/>
    <n v="1"/>
    <n v="1"/>
    <n v="1"/>
    <x v="2"/>
    <x v="16"/>
    <m/>
  </r>
  <r>
    <e v="#NAME?"/>
    <s v="INK, EPSON (T664), Cyan"/>
    <x v="7"/>
    <s v="pc"/>
    <m/>
    <m/>
    <s v="PUBLIC BIDDLING"/>
    <n v="6"/>
    <n v="2"/>
    <n v="2"/>
    <n v="2"/>
    <n v="3"/>
    <n v="1"/>
    <n v="1"/>
    <n v="1"/>
    <n v="3"/>
    <n v="1"/>
    <n v="1"/>
    <n v="1"/>
    <n v="3"/>
    <n v="1"/>
    <n v="1"/>
    <n v="1"/>
    <x v="2"/>
    <x v="17"/>
    <m/>
  </r>
  <r>
    <e v="#NAME?"/>
    <s v="INK, EPSON (T664), Cyan), Magenta"/>
    <x v="7"/>
    <s v="pc"/>
    <m/>
    <m/>
    <s v="PUBLIC BIDDLING"/>
    <n v="6"/>
    <n v="2"/>
    <n v="2"/>
    <n v="2"/>
    <n v="3"/>
    <n v="1"/>
    <n v="1"/>
    <n v="1"/>
    <n v="3"/>
    <n v="1"/>
    <n v="1"/>
    <n v="1"/>
    <n v="3"/>
    <n v="1"/>
    <n v="1"/>
    <n v="1"/>
    <x v="2"/>
    <x v="18"/>
    <m/>
  </r>
  <r>
    <e v="#NAME?"/>
    <s v="INK, EPSON (T664), Cyan, Yellow"/>
    <x v="7"/>
    <s v="pc"/>
    <m/>
    <m/>
    <s v="PUBLIC BIDDLING"/>
    <n v="6"/>
    <n v="2"/>
    <n v="2"/>
    <n v="2"/>
    <n v="3"/>
    <n v="1"/>
    <n v="1"/>
    <n v="1"/>
    <n v="3"/>
    <n v="1"/>
    <n v="1"/>
    <n v="1"/>
    <n v="3"/>
    <n v="1"/>
    <n v="1"/>
    <n v="1"/>
    <x v="2"/>
    <x v="19"/>
    <m/>
  </r>
  <r>
    <e v="#NAME?"/>
    <s v="Keyboard, Full Size, USB 2.0"/>
    <x v="0"/>
    <s v="pc"/>
    <m/>
    <m/>
    <s v="PUBLIC BIDDLING"/>
    <n v="1"/>
    <n v="0"/>
    <n v="0"/>
    <n v="0"/>
    <n v="0"/>
    <n v="0"/>
    <n v="0"/>
    <n v="0"/>
    <n v="0"/>
    <n v="0"/>
    <n v="0"/>
    <n v="0"/>
    <n v="0"/>
    <n v="0"/>
    <n v="0"/>
    <n v="0"/>
    <x v="3"/>
    <x v="13"/>
    <m/>
  </r>
  <r>
    <e v="#NAME?"/>
    <s v="Mouse, Optical, USB 2.0"/>
    <x v="1"/>
    <s v="UNIT"/>
    <m/>
    <m/>
    <s v="PUBLIC BIDDLING"/>
    <n v="1"/>
    <n v="1"/>
    <n v="0"/>
    <n v="0"/>
    <n v="0"/>
    <n v="0"/>
    <n v="0"/>
    <n v="0"/>
    <n v="0"/>
    <n v="0"/>
    <n v="0"/>
    <n v="0"/>
    <n v="1"/>
    <n v="1"/>
    <n v="0"/>
    <n v="0"/>
    <x v="3"/>
    <x v="14"/>
    <m/>
  </r>
  <r>
    <e v="#NAME?"/>
    <s v="USB Thumb Drive, 32 GB"/>
    <x v="0"/>
    <s v="pc"/>
    <m/>
    <m/>
    <s v="PUBLIC BIDDLING"/>
    <n v="1"/>
    <n v="1"/>
    <n v="0"/>
    <n v="0"/>
    <n v="0"/>
    <n v="0"/>
    <n v="0"/>
    <n v="0"/>
    <n v="0"/>
    <n v="0"/>
    <n v="0"/>
    <n v="0"/>
    <n v="0"/>
    <n v="0"/>
    <n v="0"/>
    <n v="0"/>
    <x v="3"/>
    <x v="20"/>
    <m/>
  </r>
  <r>
    <e v="#NAME?"/>
    <s v="External Drive, 2TB"/>
    <x v="8"/>
    <s v="pc"/>
    <m/>
    <m/>
    <s v="PUBLIC BIDDLING"/>
    <n v="0"/>
    <n v="0"/>
    <n v="0"/>
    <n v="0"/>
    <n v="0"/>
    <n v="0"/>
    <n v="0"/>
    <n v="0"/>
    <n v="0"/>
    <n v="0"/>
    <n v="0"/>
    <n v="0"/>
    <n v="0"/>
    <n v="0"/>
    <n v="0"/>
    <n v="0"/>
    <x v="3"/>
    <x v="5"/>
    <s v="N/A"/>
  </r>
  <r>
    <e v="#NAME?"/>
    <s v="Laptop (Training)"/>
    <x v="8"/>
    <s v="pc"/>
    <m/>
    <m/>
    <s v="PUBLIC BIDDLING"/>
    <n v="0"/>
    <n v="0"/>
    <n v="0"/>
    <n v="0"/>
    <n v="0"/>
    <n v="0"/>
    <n v="0"/>
    <n v="0"/>
    <n v="0"/>
    <n v="0"/>
    <n v="0"/>
    <n v="0"/>
    <n v="0"/>
    <n v="0"/>
    <n v="0"/>
    <n v="0"/>
    <x v="3"/>
    <x v="5"/>
    <s v="N/A"/>
  </r>
  <r>
    <e v="#NAME?"/>
    <s v="BROTHER TN- 263 TONER CARTRIDGE, (TN263BK) Black"/>
    <x v="7"/>
    <s v="pc"/>
    <m/>
    <m/>
    <s v="PUBLIC BIDDLING"/>
    <n v="5"/>
    <n v="5"/>
    <n v="0"/>
    <n v="0"/>
    <n v="4"/>
    <n v="4"/>
    <n v="0"/>
    <n v="0"/>
    <n v="3"/>
    <n v="3"/>
    <n v="0"/>
    <n v="0"/>
    <n v="3"/>
    <n v="3"/>
    <n v="0"/>
    <n v="0"/>
    <x v="3"/>
    <x v="21"/>
    <m/>
  </r>
  <r>
    <e v="#NAME?"/>
    <s v="BROTHER TN- 263 TONER CARTRIDGE, (TN263M) Magenta"/>
    <x v="9"/>
    <s v="pc"/>
    <m/>
    <m/>
    <s v="PUBLIC BIDDLING"/>
    <n v="2"/>
    <n v="2"/>
    <n v="0"/>
    <n v="0"/>
    <n v="1"/>
    <n v="1"/>
    <n v="0"/>
    <n v="0"/>
    <n v="1"/>
    <n v="1"/>
    <n v="0"/>
    <n v="0"/>
    <n v="1"/>
    <n v="1"/>
    <n v="0"/>
    <n v="0"/>
    <x v="3"/>
    <x v="22"/>
    <m/>
  </r>
  <r>
    <e v="#NAME?"/>
    <s v="BROTHER TN- 263 TONER CARTRIDGE, (TN263C) Cyan"/>
    <x v="9"/>
    <s v="pc"/>
    <m/>
    <m/>
    <s v="PUBLIC BIDDLING"/>
    <n v="2"/>
    <n v="2"/>
    <n v="0"/>
    <n v="0"/>
    <n v="1"/>
    <n v="1"/>
    <n v="0"/>
    <n v="0"/>
    <n v="1"/>
    <n v="1"/>
    <n v="0"/>
    <n v="0"/>
    <n v="1"/>
    <n v="1"/>
    <n v="0"/>
    <n v="0"/>
    <x v="3"/>
    <x v="23"/>
    <m/>
  </r>
  <r>
    <e v="#NAME?"/>
    <s v="BROTHER TN- 263 TONER CARTRIDGE, (TN263Y) Yellow"/>
    <x v="9"/>
    <s v="pc"/>
    <m/>
    <m/>
    <s v="PUBLIC BIDDLING"/>
    <n v="2"/>
    <n v="2"/>
    <n v="0"/>
    <n v="0"/>
    <n v="1"/>
    <n v="1"/>
    <n v="0"/>
    <n v="0"/>
    <n v="1"/>
    <n v="1"/>
    <n v="0"/>
    <n v="0"/>
    <n v="1"/>
    <n v="1"/>
    <n v="0"/>
    <n v="0"/>
    <x v="3"/>
    <x v="24"/>
    <m/>
  </r>
  <r>
    <e v="#NAME?"/>
    <s v="Computer Desktop"/>
    <x v="0"/>
    <s v="pc"/>
    <m/>
    <m/>
    <s v="PUBLIC BIDDLING"/>
    <n v="1"/>
    <n v="1"/>
    <n v="0"/>
    <n v="0"/>
    <n v="0"/>
    <n v="0"/>
    <n v="0"/>
    <n v="0"/>
    <n v="0"/>
    <n v="0"/>
    <n v="0"/>
    <n v="0"/>
    <n v="0"/>
    <n v="0"/>
    <n v="0"/>
    <n v="0"/>
    <x v="3"/>
    <x v="0"/>
    <m/>
  </r>
  <r>
    <e v="#NAME?"/>
    <s v="Printer, Multi Function (Print/Scan/Copy)"/>
    <x v="0"/>
    <s v="pc"/>
    <m/>
    <m/>
    <s v="PUBLIC BIDDLING"/>
    <n v="1"/>
    <n v="1"/>
    <n v="0"/>
    <n v="0"/>
    <n v="0"/>
    <n v="0"/>
    <n v="0"/>
    <n v="0"/>
    <n v="0"/>
    <n v="0"/>
    <n v="0"/>
    <n v="0"/>
    <n v="0"/>
    <n v="0"/>
    <n v="0"/>
    <n v="0"/>
    <x v="3"/>
    <x v="15"/>
    <s v="Printer"/>
  </r>
  <r>
    <e v="#NAME?"/>
    <s v="AVR 500 Watts, 220 Volts"/>
    <x v="0"/>
    <s v="pc"/>
    <m/>
    <m/>
    <s v="PUBLIC BIDDLING"/>
    <n v="1"/>
    <n v="1"/>
    <n v="0"/>
    <n v="0"/>
    <n v="0"/>
    <n v="0"/>
    <n v="0"/>
    <n v="0"/>
    <n v="0"/>
    <n v="0"/>
    <n v="0"/>
    <n v="0"/>
    <n v="0"/>
    <n v="0"/>
    <n v="0"/>
    <n v="0"/>
    <x v="3"/>
    <x v="3"/>
    <m/>
  </r>
  <r>
    <e v="#NAME?"/>
    <s v="Kyocera ECOSYS P2040dn Toner kit"/>
    <x v="10"/>
    <s v="pc"/>
    <m/>
    <m/>
    <s v="PUBLIC BIDDLING"/>
    <n v="1"/>
    <n v="1"/>
    <n v="0"/>
    <n v="0"/>
    <n v="1"/>
    <n v="1"/>
    <n v="0"/>
    <n v="0"/>
    <n v="1"/>
    <n v="1"/>
    <n v="0"/>
    <n v="0"/>
    <n v="1"/>
    <n v="1"/>
    <n v="0"/>
    <n v="0"/>
    <x v="4"/>
    <x v="25"/>
    <m/>
  </r>
  <r>
    <e v="#NAME?"/>
    <s v="Epson L-3210 (S015634) Ink Toner, Black"/>
    <x v="4"/>
    <s v="Bottle"/>
    <m/>
    <m/>
    <s v="PUBLIC BIDDLING"/>
    <n v="3"/>
    <n v="3"/>
    <n v="0"/>
    <n v="0"/>
    <n v="3"/>
    <n v="3"/>
    <n v="0"/>
    <n v="0"/>
    <n v="3"/>
    <n v="3"/>
    <n v="0"/>
    <n v="0"/>
    <n v="3"/>
    <n v="3"/>
    <n v="0"/>
    <n v="0"/>
    <x v="4"/>
    <x v="26"/>
    <m/>
  </r>
  <r>
    <e v="#NAME?"/>
    <s v="Epson L-3210 (S015634) Ink Toner, Cyan"/>
    <x v="11"/>
    <s v="Bottle"/>
    <m/>
    <m/>
    <s v="PUBLIC BIDDLING"/>
    <n v="2"/>
    <n v="2"/>
    <n v="0"/>
    <n v="0"/>
    <n v="2"/>
    <n v="2"/>
    <n v="0"/>
    <n v="0"/>
    <n v="2"/>
    <n v="2"/>
    <n v="0"/>
    <n v="0"/>
    <n v="2"/>
    <n v="2"/>
    <s v="-"/>
    <s v="-"/>
    <x v="4"/>
    <x v="27"/>
    <m/>
  </r>
  <r>
    <e v="#NAME?"/>
    <s v="Epson L-3210 (S015634) Ink Toner, Magenta"/>
    <x v="11"/>
    <s v="Bottle"/>
    <m/>
    <m/>
    <s v="PUBLIC BIDDLING"/>
    <n v="2"/>
    <n v="2"/>
    <n v="0"/>
    <n v="0"/>
    <n v="2"/>
    <n v="2"/>
    <n v="0"/>
    <n v="0"/>
    <n v="2"/>
    <n v="2"/>
    <n v="0"/>
    <n v="0"/>
    <n v="2"/>
    <n v="2"/>
    <s v="-"/>
    <s v="-"/>
    <x v="4"/>
    <x v="28"/>
    <m/>
  </r>
  <r>
    <e v="#NAME?"/>
    <s v="Epson L-3210 (S015634) Ink Toner, Yellow"/>
    <x v="11"/>
    <s v="Bottle"/>
    <m/>
    <m/>
    <s v="PUBLIC BIDDLING"/>
    <n v="2"/>
    <n v="2"/>
    <n v="0"/>
    <n v="0"/>
    <n v="2"/>
    <n v="2"/>
    <n v="0"/>
    <n v="0"/>
    <n v="2"/>
    <n v="2"/>
    <n v="0"/>
    <n v="0"/>
    <n v="2"/>
    <n v="2"/>
    <s v="-"/>
    <s v="-"/>
    <x v="4"/>
    <x v="29"/>
    <m/>
  </r>
  <r>
    <e v="#NAME?"/>
    <s v="Webcam Full HD w/ built in Microphone"/>
    <x v="2"/>
    <s v="pc"/>
    <m/>
    <m/>
    <s v="PUBLIC BIDDLING"/>
    <n v="1"/>
    <n v="1"/>
    <n v="0"/>
    <n v="0"/>
    <n v="0"/>
    <s v="-"/>
    <n v="0"/>
    <n v="0"/>
    <n v="0"/>
    <n v="0"/>
    <n v="0"/>
    <n v="0"/>
    <n v="0"/>
    <s v="-"/>
    <s v="-"/>
    <s v="-"/>
    <x v="4"/>
    <x v="2"/>
    <m/>
  </r>
  <r>
    <e v="#NAME?"/>
    <s v="Branded Headset with built-in boom type microphone, Noise cancelling capability and active noise cancellation, 3.5mm Input Jack, over ear, Adjustable headband, compatibility with Windows PC and IOS"/>
    <x v="1"/>
    <s v="pc"/>
    <m/>
    <m/>
    <s v="PUBLIC BIDDLING"/>
    <n v="2"/>
    <n v="2"/>
    <n v="0"/>
    <n v="0"/>
    <n v="0"/>
    <n v="0"/>
    <n v="0"/>
    <n v="0"/>
    <n v="0"/>
    <n v="0"/>
    <n v="0"/>
    <n v="0"/>
    <n v="0"/>
    <n v="0"/>
    <n v="0"/>
    <n v="0"/>
    <x v="4"/>
    <x v="4"/>
    <m/>
  </r>
  <r>
    <e v="#NAME?"/>
    <s v="Mouse, Optical, USB 2.0"/>
    <x v="1"/>
    <s v="pc"/>
    <m/>
    <m/>
    <s v="PUBLIC BIDDLING"/>
    <n v="2"/>
    <n v="2"/>
    <s v="-"/>
    <s v="-"/>
    <n v="0"/>
    <s v="-"/>
    <s v="-"/>
    <s v="-"/>
    <n v="0"/>
    <s v="-"/>
    <s v="-"/>
    <s v="-"/>
    <n v="0"/>
    <s v="-"/>
    <s v="-"/>
    <s v="-"/>
    <x v="4"/>
    <x v="14"/>
    <m/>
  </r>
  <r>
    <e v="#NAME?"/>
    <s v="Multi-function inkjet printer Tank (print, copy, scan)"/>
    <x v="1"/>
    <s v="UNIT"/>
    <m/>
    <m/>
    <s v="PUBLIC BIDDLING"/>
    <n v="1"/>
    <n v="1"/>
    <s v="-"/>
    <s v="-"/>
    <n v="0"/>
    <s v="-"/>
    <s v="-"/>
    <s v="-"/>
    <n v="0"/>
    <s v="-"/>
    <s v="-"/>
    <s v="-"/>
    <n v="0"/>
    <s v="-"/>
    <s v="-"/>
    <s v="-"/>
    <x v="4"/>
    <x v="15"/>
    <s v="Printer"/>
  </r>
  <r>
    <e v="#NAME?"/>
    <s v="Web Cam"/>
    <x v="1"/>
    <s v="pc"/>
    <m/>
    <m/>
    <s v="Public Bidding/ Small Value Procurement"/>
    <n v="2"/>
    <n v="2"/>
    <n v="0"/>
    <n v="0"/>
    <n v="0"/>
    <n v="0"/>
    <n v="0"/>
    <n v="0"/>
    <n v="0"/>
    <n v="0"/>
    <n v="0"/>
    <n v="0"/>
    <n v="0"/>
    <n v="0"/>
    <n v="0"/>
    <n v="0"/>
    <x v="5"/>
    <x v="2"/>
    <m/>
  </r>
  <r>
    <e v="#NAME?"/>
    <s v="Ink Compatible to existing HP Smart Tank 515, HP GT53 black"/>
    <x v="6"/>
    <s v="pc"/>
    <m/>
    <m/>
    <s v="Public Bidding/ Small Value Procurement"/>
    <n v="5"/>
    <n v="2"/>
    <n v="1"/>
    <n v="2"/>
    <n v="4"/>
    <n v="1"/>
    <n v="1"/>
    <n v="2"/>
    <n v="4"/>
    <n v="1"/>
    <n v="1"/>
    <n v="2"/>
    <n v="3"/>
    <n v="1"/>
    <n v="1"/>
    <n v="1"/>
    <x v="5"/>
    <x v="30"/>
    <m/>
  </r>
  <r>
    <e v="#NAME?"/>
    <s v="Ink Compatible to existing HP Smart Tank 515, HP GT52 magenta"/>
    <x v="4"/>
    <s v="pc"/>
    <m/>
    <m/>
    <s v="Public Bidding/ Small Value Procurement"/>
    <n v="3"/>
    <n v="1"/>
    <n v="1"/>
    <n v="1"/>
    <n v="3"/>
    <n v="1"/>
    <n v="1"/>
    <n v="1"/>
    <n v="3"/>
    <n v="1"/>
    <n v="1"/>
    <n v="1"/>
    <n v="3"/>
    <n v="1"/>
    <n v="1"/>
    <n v="1"/>
    <x v="5"/>
    <x v="31"/>
    <m/>
  </r>
  <r>
    <e v="#NAME?"/>
    <s v="Ink Compatible to existing HP Smart Tank 515, HP GT52 cyan"/>
    <x v="4"/>
    <s v="pc"/>
    <m/>
    <m/>
    <s v="Public Bidding/ Small Value Procurement"/>
    <n v="3"/>
    <n v="1"/>
    <n v="1"/>
    <n v="1"/>
    <n v="3"/>
    <n v="1"/>
    <n v="1"/>
    <n v="1"/>
    <n v="3"/>
    <n v="1"/>
    <n v="1"/>
    <n v="1"/>
    <n v="3"/>
    <n v="1"/>
    <n v="1"/>
    <n v="1"/>
    <x v="5"/>
    <x v="32"/>
    <m/>
  </r>
  <r>
    <e v="#NAME?"/>
    <s v="Ink Compatible to existing HP Smart Tank 515, HP GT52 yellow"/>
    <x v="4"/>
    <s v="pc"/>
    <m/>
    <m/>
    <s v="Public Bidding/ Small Value Procurement"/>
    <n v="3"/>
    <n v="1"/>
    <n v="1"/>
    <n v="1"/>
    <n v="3"/>
    <n v="1"/>
    <n v="1"/>
    <n v="1"/>
    <n v="3"/>
    <n v="1"/>
    <n v="1"/>
    <n v="1"/>
    <n v="3"/>
    <n v="1"/>
    <n v="1"/>
    <n v="1"/>
    <x v="5"/>
    <x v="33"/>
    <m/>
  </r>
  <r>
    <e v="#NAME?"/>
    <s v="Kyocera FS-6525 MFP TK-479"/>
    <x v="4"/>
    <s v="pc"/>
    <m/>
    <m/>
    <s v="Public Bidding/ Small Value Procurement"/>
    <n v="3"/>
    <n v="1"/>
    <n v="1"/>
    <n v="1"/>
    <n v="3"/>
    <n v="1"/>
    <n v="1"/>
    <n v="1"/>
    <n v="3"/>
    <n v="1"/>
    <n v="1"/>
    <n v="1"/>
    <n v="3"/>
    <n v="1"/>
    <n v="1"/>
    <n v="1"/>
    <x v="5"/>
    <x v="34"/>
    <m/>
  </r>
  <r>
    <e v="#NAME?"/>
    <s v="Kyocera FS-6525MFP MK-479"/>
    <x v="1"/>
    <s v="pc"/>
    <m/>
    <m/>
    <s v="Public Bidding/ Small Value Procurement"/>
    <n v="1"/>
    <n v="1"/>
    <n v="0"/>
    <n v="0"/>
    <n v="0"/>
    <n v="0"/>
    <n v="0"/>
    <n v="0"/>
    <n v="1"/>
    <n v="1"/>
    <n v="0"/>
    <n v="0"/>
    <n v="0"/>
    <n v="0"/>
    <n v="0"/>
    <n v="0"/>
    <x v="5"/>
    <x v="35"/>
    <m/>
  </r>
  <r>
    <e v="#NAME?"/>
    <s v="Ink black compatible with multi function printer of winning brand"/>
    <x v="4"/>
    <s v="pc"/>
    <m/>
    <m/>
    <s v="Public Bidding/ Small Value Procurement"/>
    <n v="3"/>
    <n v="1"/>
    <n v="1"/>
    <n v="1"/>
    <n v="3"/>
    <n v="1"/>
    <n v="1"/>
    <n v="1"/>
    <n v="3"/>
    <n v="1"/>
    <n v="1"/>
    <n v="1"/>
    <n v="3"/>
    <n v="1"/>
    <n v="1"/>
    <n v="1"/>
    <x v="5"/>
    <x v="5"/>
    <s v="N/A"/>
  </r>
  <r>
    <e v="#NAME?"/>
    <s v="Ink cyan compatible with multi function printer of winning brand"/>
    <x v="11"/>
    <s v="pc"/>
    <m/>
    <m/>
    <s v="Public Bidding/ Small Value Procurement"/>
    <n v="2"/>
    <n v="1"/>
    <n v="0"/>
    <n v="1"/>
    <n v="2"/>
    <n v="1"/>
    <n v="0"/>
    <n v="1"/>
    <n v="2"/>
    <n v="1"/>
    <n v="0"/>
    <n v="1"/>
    <n v="2"/>
    <n v="1"/>
    <n v="0"/>
    <n v="1"/>
    <x v="5"/>
    <x v="5"/>
    <s v="N/A"/>
  </r>
  <r>
    <e v="#NAME?"/>
    <s v="Ink magenta compatible with multi function printer of winning brand"/>
    <x v="11"/>
    <s v="pc"/>
    <m/>
    <m/>
    <s v="Public Bidding/ Small Value Procurement"/>
    <n v="2"/>
    <n v="1"/>
    <n v="0"/>
    <n v="1"/>
    <n v="2"/>
    <n v="1"/>
    <n v="0"/>
    <n v="1"/>
    <n v="2"/>
    <n v="1"/>
    <n v="0"/>
    <n v="1"/>
    <n v="2"/>
    <n v="1"/>
    <n v="0"/>
    <n v="1"/>
    <x v="5"/>
    <x v="5"/>
    <s v="N/A"/>
  </r>
  <r>
    <e v="#NAME?"/>
    <s v="Ink yellow compatible with multi function printer of winning brand"/>
    <x v="11"/>
    <s v="pc"/>
    <m/>
    <m/>
    <s v="Public Bidding/ Small Value Procurement"/>
    <n v="2"/>
    <n v="1"/>
    <n v="0"/>
    <n v="1"/>
    <n v="2"/>
    <n v="1"/>
    <n v="0"/>
    <n v="1"/>
    <n v="2"/>
    <n v="1"/>
    <n v="0"/>
    <n v="1"/>
    <n v="2"/>
    <n v="1"/>
    <n v="0"/>
    <n v="1"/>
    <x v="5"/>
    <x v="5"/>
    <s v="N/A"/>
  </r>
  <r>
    <e v="#NAME?"/>
    <s v="Multi-Function Printer/Copier"/>
    <x v="0"/>
    <s v="pc"/>
    <m/>
    <m/>
    <s v="Public Bidding/ Small Value Procurement"/>
    <n v="1"/>
    <n v="1"/>
    <n v="0"/>
    <n v="0"/>
    <n v="0"/>
    <n v="0"/>
    <n v="0"/>
    <n v="0"/>
    <n v="0"/>
    <n v="0"/>
    <n v="0"/>
    <n v="0"/>
    <n v="0"/>
    <n v="0"/>
    <n v="0"/>
    <n v="0"/>
    <x v="5"/>
    <x v="15"/>
    <s v="Printer"/>
  </r>
  <r>
    <e v="#NAME?"/>
    <s v="64GB USB Flash Drive"/>
    <x v="1"/>
    <s v="pc"/>
    <m/>
    <m/>
    <s v="Public Bidding/ Small Value Procurement"/>
    <n v="1"/>
    <n v="1"/>
    <n v="0"/>
    <n v="0"/>
    <n v="0"/>
    <n v="0"/>
    <n v="0"/>
    <n v="0"/>
    <n v="1"/>
    <n v="1"/>
    <n v="0"/>
    <n v="0"/>
    <n v="0"/>
    <n v="0"/>
    <n v="0"/>
    <n v="0"/>
    <x v="5"/>
    <x v="36"/>
    <m/>
  </r>
  <r>
    <e v="#NAME?"/>
    <s v="1TB, External HDD"/>
    <x v="0"/>
    <s v="pc"/>
    <m/>
    <m/>
    <s v="Public Bidding/ Small Value Procurement"/>
    <n v="1"/>
    <n v="1"/>
    <n v="0"/>
    <n v="0"/>
    <n v="0"/>
    <n v="0"/>
    <n v="0"/>
    <n v="0"/>
    <n v="0"/>
    <n v="0"/>
    <n v="0"/>
    <n v="0"/>
    <n v="0"/>
    <n v="0"/>
    <n v="0"/>
    <n v="0"/>
    <x v="5"/>
    <x v="37"/>
    <m/>
  </r>
  <r>
    <e v="#NAME?"/>
    <s v="USB 2.0 OPTICAL MOUSE"/>
    <x v="1"/>
    <s v="pc"/>
    <m/>
    <m/>
    <s v="Public Bidding/ Small Value Procurement"/>
    <n v="1"/>
    <n v="1"/>
    <n v="0"/>
    <n v="0"/>
    <n v="0"/>
    <n v="0"/>
    <n v="0"/>
    <n v="0"/>
    <n v="1"/>
    <n v="1"/>
    <n v="0"/>
    <n v="0"/>
    <n v="0"/>
    <n v="0"/>
    <n v="0"/>
    <n v="0"/>
    <x v="5"/>
    <x v="14"/>
    <m/>
  </r>
  <r>
    <e v="#NAME?"/>
    <s v="KEYBOARD, FULL SIZE, USB 2.0 (A4TECH)"/>
    <x v="1"/>
    <s v="pc"/>
    <m/>
    <m/>
    <s v="Public Bidding/ Small Value Procurement"/>
    <n v="1"/>
    <n v="1"/>
    <n v="0"/>
    <n v="0"/>
    <n v="0"/>
    <n v="0"/>
    <n v="0"/>
    <n v="0"/>
    <n v="1"/>
    <n v="1"/>
    <n v="0"/>
    <n v="0"/>
    <n v="0"/>
    <n v="0"/>
    <n v="0"/>
    <n v="0"/>
    <x v="5"/>
    <x v="13"/>
    <m/>
  </r>
  <r>
    <e v="#NAME?"/>
    <s v="325Watts/650 VA UPS"/>
    <x v="2"/>
    <s v="pc"/>
    <m/>
    <m/>
    <s v="Public Bidding/ Small Value Procurement"/>
    <n v="3"/>
    <n v="3"/>
    <n v="0"/>
    <n v="0"/>
    <n v="0"/>
    <n v="0"/>
    <n v="0"/>
    <n v="0"/>
    <n v="0"/>
    <n v="0"/>
    <n v="0"/>
    <n v="0"/>
    <n v="0"/>
    <n v="0"/>
    <n v="0"/>
    <n v="0"/>
    <x v="5"/>
    <x v="3"/>
    <m/>
  </r>
  <r>
    <e v="#NAME?"/>
    <s v="Replacement Battery (For UPS)"/>
    <x v="1"/>
    <s v="pc"/>
    <m/>
    <m/>
    <s v="Public Bidding/ Small Value Procurement"/>
    <n v="2"/>
    <n v="2"/>
    <n v="0"/>
    <n v="0"/>
    <n v="0"/>
    <n v="0"/>
    <n v="0"/>
    <n v="0"/>
    <n v="0"/>
    <n v="0"/>
    <n v="0"/>
    <n v="0"/>
    <n v="0"/>
    <n v="0"/>
    <n v="0"/>
    <n v="0"/>
    <x v="5"/>
    <x v="5"/>
    <s v="N/A"/>
  </r>
  <r>
    <e v="#NAME?"/>
    <s v="Keyboard, Full Size, USB 2.0"/>
    <x v="10"/>
    <s v="pc"/>
    <m/>
    <m/>
    <s v="Public Bidding/ Alternative Mode of Procurement"/>
    <n v="2"/>
    <n v="2"/>
    <n v="0"/>
    <n v="0"/>
    <n v="2"/>
    <n v="2"/>
    <n v="0"/>
    <n v="0"/>
    <n v="0"/>
    <n v="0"/>
    <n v="0"/>
    <n v="0"/>
    <n v="0"/>
    <n v="0"/>
    <n v="0"/>
    <n v="0"/>
    <x v="6"/>
    <x v="13"/>
    <m/>
  </r>
  <r>
    <e v="#NAME?"/>
    <s v="Ink for EPSON L360, Black"/>
    <x v="4"/>
    <s v="pc"/>
    <m/>
    <m/>
    <s v="Public Bidding/ Alternative Mode of Procurement"/>
    <n v="3"/>
    <n v="1"/>
    <n v="1"/>
    <n v="1"/>
    <n v="3"/>
    <n v="1"/>
    <n v="1"/>
    <n v="1"/>
    <n v="3"/>
    <n v="1"/>
    <n v="1"/>
    <n v="1"/>
    <n v="3"/>
    <n v="1"/>
    <n v="1"/>
    <n v="1"/>
    <x v="6"/>
    <x v="16"/>
    <m/>
  </r>
  <r>
    <e v="#NAME?"/>
    <s v="Ink for EPSON L3210, Black"/>
    <x v="12"/>
    <s v="pc"/>
    <m/>
    <m/>
    <s v="Public Bidding/ Alternative Mode of Procurement"/>
    <n v="8"/>
    <n v="3"/>
    <n v="3"/>
    <n v="2"/>
    <n v="8"/>
    <n v="3"/>
    <n v="3"/>
    <n v="2"/>
    <n v="7"/>
    <n v="3"/>
    <n v="2"/>
    <n v="2"/>
    <n v="7"/>
    <n v="3"/>
    <n v="2"/>
    <n v="2"/>
    <x v="6"/>
    <x v="26"/>
    <m/>
  </r>
  <r>
    <e v="#NAME?"/>
    <s v="Ink for EPSON L3210, cyan"/>
    <x v="6"/>
    <s v="pc"/>
    <m/>
    <m/>
    <s v="Public Bidding/ Alternative Mode of Procurement"/>
    <n v="4"/>
    <n v="2"/>
    <n v="1"/>
    <n v="1"/>
    <n v="4"/>
    <n v="2"/>
    <n v="1"/>
    <n v="1"/>
    <n v="4"/>
    <n v="2"/>
    <n v="1"/>
    <n v="1"/>
    <n v="4"/>
    <n v="2"/>
    <n v="1"/>
    <n v="1"/>
    <x v="6"/>
    <x v="27"/>
    <m/>
  </r>
  <r>
    <e v="#NAME?"/>
    <s v="Ink for EPSON L3210, magenta"/>
    <x v="6"/>
    <s v="pc"/>
    <m/>
    <m/>
    <s v="Public Bidding/ Alternative Mode of Procurement"/>
    <n v="4"/>
    <n v="2"/>
    <n v="1"/>
    <n v="1"/>
    <n v="4"/>
    <n v="2"/>
    <n v="1"/>
    <n v="1"/>
    <n v="4"/>
    <n v="2"/>
    <n v="1"/>
    <n v="1"/>
    <n v="4"/>
    <n v="2"/>
    <n v="1"/>
    <n v="1"/>
    <x v="6"/>
    <x v="28"/>
    <m/>
  </r>
  <r>
    <e v="#NAME?"/>
    <s v="Ink for EPSON L3210, yellow"/>
    <x v="6"/>
    <s v="pc"/>
    <m/>
    <m/>
    <s v="Public Bidding/ Alternative Mode of Procurement"/>
    <n v="4"/>
    <n v="2"/>
    <n v="1"/>
    <n v="1"/>
    <n v="4"/>
    <n v="2"/>
    <n v="1"/>
    <n v="1"/>
    <n v="4"/>
    <n v="2"/>
    <n v="1"/>
    <n v="1"/>
    <n v="4"/>
    <n v="2"/>
    <n v="1"/>
    <n v="1"/>
    <x v="6"/>
    <x v="29"/>
    <m/>
  </r>
  <r>
    <e v="#NAME?"/>
    <s v="flash drive, 32 gb"/>
    <x v="0"/>
    <s v="pc"/>
    <m/>
    <m/>
    <s v="Public Bidding/ Alternative Mode of Procurement"/>
    <n v="1"/>
    <n v="1"/>
    <n v="0"/>
    <n v="0"/>
    <n v="0"/>
    <n v="0"/>
    <n v="0"/>
    <n v="0"/>
    <n v="0"/>
    <n v="0"/>
    <n v="0"/>
    <n v="0"/>
    <n v="0"/>
    <n v="0"/>
    <n v="0"/>
    <n v="0"/>
    <x v="6"/>
    <x v="20"/>
    <m/>
  </r>
  <r>
    <e v="#NAME?"/>
    <s v="KYOCERA TONER TK-6113"/>
    <x v="12"/>
    <s v="pc"/>
    <m/>
    <m/>
    <s v="Public Bidding/ Alternative Mode of Procurement"/>
    <n v="5"/>
    <n v="2"/>
    <n v="2"/>
    <n v="1"/>
    <n v="5"/>
    <n v="2"/>
    <n v="2"/>
    <n v="1"/>
    <n v="5"/>
    <n v="2"/>
    <n v="2"/>
    <n v="1"/>
    <n v="15"/>
    <n v="5"/>
    <n v="5"/>
    <n v="5"/>
    <x v="6"/>
    <x v="9"/>
    <m/>
  </r>
  <r>
    <e v="#NAME?"/>
    <s v="325 Watts/650 VA UPS"/>
    <x v="6"/>
    <s v="UNIT"/>
    <m/>
    <m/>
    <s v="Public Bidding/ Alternative Mode of Procurement"/>
    <n v="16"/>
    <n v="16"/>
    <n v="0"/>
    <n v="0"/>
    <n v="0"/>
    <n v="0"/>
    <n v="0"/>
    <n v="0"/>
    <n v="0"/>
    <n v="0"/>
    <n v="0"/>
    <n v="0"/>
    <n v="0"/>
    <n v="0"/>
    <n v="0"/>
    <n v="0"/>
    <x v="6"/>
    <x v="3"/>
    <m/>
  </r>
  <r>
    <e v="#NAME?"/>
    <s v="EXTERNAL HARD DRIVE, 1 TB (SSD)"/>
    <x v="1"/>
    <s v="UNIT"/>
    <m/>
    <m/>
    <s v="Public Bidding/ Alternative Mode of Procurement"/>
    <n v="2"/>
    <n v="2"/>
    <n v="0"/>
    <n v="0"/>
    <n v="0"/>
    <n v="0"/>
    <n v="0"/>
    <n v="0"/>
    <n v="0"/>
    <n v="0"/>
    <n v="0"/>
    <n v="0"/>
    <n v="0"/>
    <n v="0"/>
    <n v="0"/>
    <n v="0"/>
    <x v="6"/>
    <x v="38"/>
    <m/>
  </r>
  <r>
    <e v="#NAME?"/>
    <s v="CPU"/>
    <x v="0"/>
    <m/>
    <m/>
    <m/>
    <m/>
    <n v="1"/>
    <n v="1"/>
    <n v="0"/>
    <n v="0"/>
    <n v="0"/>
    <n v="0"/>
    <n v="0"/>
    <n v="0"/>
    <n v="0"/>
    <n v="0"/>
    <n v="0"/>
    <n v="0"/>
    <n v="0"/>
    <n v="0"/>
    <n v="0"/>
    <n v="0"/>
    <x v="6"/>
    <x v="0"/>
    <m/>
  </r>
  <r>
    <e v="#NAME?"/>
    <s v="PORTABLE SCANNER"/>
    <x v="13"/>
    <m/>
    <m/>
    <m/>
    <m/>
    <n v="1"/>
    <n v="0"/>
    <n v="0"/>
    <n v="0"/>
    <n v="1"/>
    <n v="1"/>
    <n v="0"/>
    <n v="0"/>
    <n v="0"/>
    <n v="1"/>
    <n v="0"/>
    <n v="0"/>
    <n v="0"/>
    <n v="0"/>
    <n v="0"/>
    <n v="0"/>
    <x v="6"/>
    <x v="5"/>
    <s v="N/A"/>
  </r>
  <r>
    <e v="#NAME?"/>
    <s v="Multi-function Inkjet Printer (Print, Copy, Scan) (Refillable Ink Tank) with Ink"/>
    <x v="1"/>
    <s v="UNIT"/>
    <m/>
    <m/>
    <s v="Public Bidding/ Alternative Mode of Procurement"/>
    <n v="2"/>
    <n v="2"/>
    <n v="0"/>
    <n v="0"/>
    <n v="0"/>
    <n v="0"/>
    <n v="0"/>
    <n v="0"/>
    <n v="0"/>
    <n v="0"/>
    <n v="0"/>
    <n v="0"/>
    <n v="0"/>
    <n v="0"/>
    <n v="0"/>
    <n v="0"/>
    <x v="6"/>
    <x v="15"/>
    <s v="Printer"/>
  </r>
  <r>
    <e v="#NAME?"/>
    <s v="COMPUTER SET"/>
    <x v="1"/>
    <s v="UNIT"/>
    <m/>
    <m/>
    <m/>
    <n v="0"/>
    <n v="0"/>
    <n v="0"/>
    <n v="0"/>
    <n v="0"/>
    <n v="0"/>
    <n v="0"/>
    <n v="0"/>
    <n v="0"/>
    <n v="0"/>
    <n v="0"/>
    <n v="0"/>
    <n v="2"/>
    <n v="2"/>
    <n v="0"/>
    <n v="0"/>
    <x v="6"/>
    <x v="0"/>
    <m/>
  </r>
  <r>
    <e v="#NAME?"/>
    <s v="Keyboard, Full Size, USB 2.0"/>
    <x v="0"/>
    <s v="pc"/>
    <m/>
    <m/>
    <s v="Public Bidding"/>
    <n v="1"/>
    <n v="1"/>
    <m/>
    <m/>
    <n v="0"/>
    <m/>
    <m/>
    <m/>
    <n v="0"/>
    <m/>
    <m/>
    <m/>
    <n v="0"/>
    <m/>
    <m/>
    <m/>
    <x v="7"/>
    <x v="13"/>
    <m/>
  </r>
  <r>
    <e v="#NAME?"/>
    <s v="Mouse, Optical"/>
    <x v="0"/>
    <s v="UNIT"/>
    <m/>
    <m/>
    <s v="Public Bidding"/>
    <n v="1"/>
    <n v="1"/>
    <m/>
    <m/>
    <n v="0"/>
    <m/>
    <m/>
    <m/>
    <n v="0"/>
    <m/>
    <m/>
    <m/>
    <n v="0"/>
    <m/>
    <m/>
    <m/>
    <x v="7"/>
    <x v="14"/>
    <m/>
  </r>
  <r>
    <e v="#NAME?"/>
    <s v="USB Thumb Drive, 32 GB"/>
    <x v="9"/>
    <s v="pc"/>
    <m/>
    <m/>
    <s v="Public Bidding"/>
    <n v="2"/>
    <n v="1"/>
    <m/>
    <n v="1"/>
    <n v="1"/>
    <n v="1"/>
    <m/>
    <m/>
    <n v="1"/>
    <n v="1"/>
    <m/>
    <m/>
    <n v="1"/>
    <n v="1"/>
    <m/>
    <m/>
    <x v="7"/>
    <x v="20"/>
    <m/>
  </r>
  <r>
    <e v="#NAME?"/>
    <s v="External Drive, 2TB"/>
    <x v="1"/>
    <s v="pc"/>
    <m/>
    <m/>
    <s v="Public Bidding"/>
    <n v="2"/>
    <n v="2"/>
    <m/>
    <m/>
    <n v="0"/>
    <m/>
    <m/>
    <m/>
    <n v="0"/>
    <m/>
    <m/>
    <m/>
    <n v="0"/>
    <m/>
    <m/>
    <m/>
    <x v="7"/>
    <x v="39"/>
    <m/>
  </r>
  <r>
    <e v="#NAME?"/>
    <s v="Laptop (Training)"/>
    <x v="0"/>
    <s v="pc"/>
    <m/>
    <m/>
    <s v="Public Bidding"/>
    <n v="1"/>
    <n v="1"/>
    <m/>
    <m/>
    <n v="0"/>
    <m/>
    <m/>
    <m/>
    <n v="0"/>
    <m/>
    <m/>
    <m/>
    <n v="0"/>
    <m/>
    <m/>
    <m/>
    <x v="7"/>
    <x v="40"/>
    <m/>
  </r>
  <r>
    <e v="#NAME?"/>
    <s v="Android Tablet (USB-C) 10&quot; screen with pen"/>
    <x v="0"/>
    <s v="pc"/>
    <m/>
    <m/>
    <s v="Public Bidding"/>
    <n v="1"/>
    <n v="1"/>
    <m/>
    <m/>
    <n v="0"/>
    <m/>
    <m/>
    <m/>
    <n v="0"/>
    <m/>
    <m/>
    <m/>
    <n v="0"/>
    <m/>
    <m/>
    <m/>
    <x v="7"/>
    <x v="41"/>
    <m/>
  </r>
  <r>
    <e v="#NAME?"/>
    <s v="INK CART, EPSON C13T664100 (T6641), Black"/>
    <x v="14"/>
    <s v="pc"/>
    <m/>
    <m/>
    <s v="Public Bidding"/>
    <n v="20"/>
    <n v="10"/>
    <n v="5"/>
    <n v="5"/>
    <n v="20"/>
    <n v="10"/>
    <n v="5"/>
    <n v="5"/>
    <n v="20"/>
    <n v="10"/>
    <n v="5"/>
    <n v="5"/>
    <n v="20"/>
    <n v="10"/>
    <n v="5"/>
    <n v="5"/>
    <x v="7"/>
    <x v="16"/>
    <m/>
  </r>
  <r>
    <e v="#NAME?"/>
    <s v="INK CART, EPSON C13T664200 (T6642), Cyan"/>
    <x v="12"/>
    <s v="pc"/>
    <m/>
    <m/>
    <s v="Public Bidding"/>
    <n v="7"/>
    <n v="3"/>
    <n v="2"/>
    <n v="2"/>
    <n v="8"/>
    <n v="3"/>
    <n v="2"/>
    <n v="3"/>
    <n v="7"/>
    <n v="3"/>
    <n v="2"/>
    <n v="2"/>
    <n v="8"/>
    <n v="3"/>
    <n v="2"/>
    <n v="3"/>
    <x v="7"/>
    <x v="17"/>
    <m/>
  </r>
  <r>
    <e v="#NAME?"/>
    <s v="INK CART, EPSON C13T664300 (T6643), Magenta"/>
    <x v="12"/>
    <s v="pc"/>
    <m/>
    <m/>
    <s v="Public Bidding"/>
    <n v="7"/>
    <n v="3"/>
    <n v="2"/>
    <n v="2"/>
    <n v="8"/>
    <n v="3"/>
    <n v="2"/>
    <n v="3"/>
    <n v="7"/>
    <n v="3"/>
    <n v="2"/>
    <n v="2"/>
    <n v="8"/>
    <n v="3"/>
    <n v="2"/>
    <n v="3"/>
    <x v="7"/>
    <x v="18"/>
    <m/>
  </r>
  <r>
    <e v="#NAME?"/>
    <s v="INK CART, EPSON C13T664400 (T6644), Yellow"/>
    <x v="12"/>
    <s v="pc"/>
    <m/>
    <m/>
    <s v="Public Bidding"/>
    <n v="7"/>
    <n v="3"/>
    <n v="2"/>
    <n v="2"/>
    <n v="8"/>
    <n v="3"/>
    <n v="2"/>
    <n v="3"/>
    <n v="7"/>
    <n v="3"/>
    <n v="2"/>
    <n v="2"/>
    <n v="8"/>
    <n v="3"/>
    <n v="2"/>
    <n v="3"/>
    <x v="7"/>
    <x v="19"/>
    <m/>
  </r>
  <r>
    <e v="#NAME?"/>
    <s v="Printer, Multi Function (Print/Scan/Copy)"/>
    <x v="0"/>
    <s v="UNIT"/>
    <m/>
    <m/>
    <s v="Public Bidding"/>
    <n v="1"/>
    <n v="1"/>
    <m/>
    <m/>
    <n v="0"/>
    <m/>
    <m/>
    <m/>
    <n v="0"/>
    <m/>
    <m/>
    <m/>
    <n v="0"/>
    <m/>
    <m/>
    <m/>
    <x v="8"/>
    <x v="15"/>
    <s v="Printer"/>
  </r>
  <r>
    <e v="#NAME?"/>
    <s v="USB Thumb drive,32GB"/>
    <x v="0"/>
    <s v="pc"/>
    <m/>
    <m/>
    <s v="Public Bidding"/>
    <n v="5"/>
    <s v="2nd Week"/>
    <m/>
    <m/>
    <n v="0"/>
    <m/>
    <m/>
    <m/>
    <n v="0"/>
    <m/>
    <m/>
    <m/>
    <n v="0"/>
    <m/>
    <m/>
    <m/>
    <x v="8"/>
    <x v="20"/>
    <m/>
  </r>
  <r>
    <e v="#NAME?"/>
    <s v="Branded Laptop"/>
    <x v="0"/>
    <s v="UNIT"/>
    <m/>
    <m/>
    <s v="Public Bidding"/>
    <n v="1"/>
    <n v="1"/>
    <m/>
    <m/>
    <n v="0"/>
    <m/>
    <m/>
    <m/>
    <n v="0"/>
    <m/>
    <m/>
    <m/>
    <n v="0"/>
    <m/>
    <m/>
    <m/>
    <x v="8"/>
    <x v="40"/>
    <m/>
  </r>
  <r>
    <e v="#NAME?"/>
    <s v="Laser Point with clicker"/>
    <x v="0"/>
    <s v="pc"/>
    <m/>
    <m/>
    <s v="Public Bidding"/>
    <n v="1"/>
    <s v="2nd Week"/>
    <m/>
    <m/>
    <n v="0"/>
    <m/>
    <m/>
    <m/>
    <n v="0"/>
    <m/>
    <m/>
    <m/>
    <n v="0"/>
    <m/>
    <m/>
    <m/>
    <x v="8"/>
    <x v="42"/>
    <m/>
  </r>
  <r>
    <e v="#NAME?"/>
    <s v="UPS, 1000VA, 230V, 4pc Universal Outlet"/>
    <x v="0"/>
    <s v="pc"/>
    <m/>
    <m/>
    <s v="Public Bidding"/>
    <n v="2"/>
    <n v="2"/>
    <m/>
    <m/>
    <n v="0"/>
    <m/>
    <m/>
    <m/>
    <n v="0"/>
    <m/>
    <m/>
    <m/>
    <n v="0"/>
    <m/>
    <m/>
    <m/>
    <x v="8"/>
    <x v="3"/>
    <m/>
  </r>
  <r>
    <e v="#NAME?"/>
    <s v="TK - 5234C"/>
    <x v="10"/>
    <s v="pc"/>
    <m/>
    <m/>
    <s v="Public Bidding"/>
    <n v="1"/>
    <n v="1"/>
    <m/>
    <m/>
    <n v="1"/>
    <n v="1"/>
    <m/>
    <m/>
    <n v="1"/>
    <n v="1"/>
    <m/>
    <m/>
    <n v="1"/>
    <n v="1"/>
    <m/>
    <m/>
    <x v="8"/>
    <x v="12"/>
    <m/>
  </r>
  <r>
    <e v="#NAME?"/>
    <s v="TK - 5234K"/>
    <x v="10"/>
    <s v="pc"/>
    <m/>
    <m/>
    <s v="Public Bidding"/>
    <n v="1"/>
    <n v="1"/>
    <m/>
    <m/>
    <n v="1"/>
    <n v="1"/>
    <m/>
    <m/>
    <n v="1"/>
    <n v="1"/>
    <m/>
    <m/>
    <n v="1"/>
    <n v="1"/>
    <m/>
    <m/>
    <x v="8"/>
    <x v="11"/>
    <m/>
  </r>
  <r>
    <e v="#NAME?"/>
    <s v="TK - 5234Y"/>
    <x v="10"/>
    <s v="pc"/>
    <m/>
    <m/>
    <s v="Public Bidding"/>
    <n v="1"/>
    <n v="1"/>
    <m/>
    <m/>
    <n v="1"/>
    <n v="1"/>
    <m/>
    <m/>
    <n v="1"/>
    <n v="1"/>
    <m/>
    <m/>
    <n v="1"/>
    <n v="1"/>
    <m/>
    <m/>
    <x v="8"/>
    <x v="5"/>
    <s v="N/A"/>
  </r>
  <r>
    <e v="#NAME?"/>
    <s v="TK - 5234M"/>
    <x v="10"/>
    <s v="pc"/>
    <m/>
    <m/>
    <s v="Public Bidding"/>
    <n v="1"/>
    <n v="1"/>
    <m/>
    <m/>
    <n v="1"/>
    <n v="1"/>
    <m/>
    <m/>
    <n v="1"/>
    <n v="1"/>
    <m/>
    <m/>
    <n v="1"/>
    <n v="1"/>
    <m/>
    <m/>
    <x v="8"/>
    <x v="5"/>
    <s v="N/A"/>
  </r>
  <r>
    <e v="#NAME?"/>
    <s v="UPS, 1000VA, 230V, 4pc Universal Outlet"/>
    <x v="0"/>
    <s v="pc"/>
    <m/>
    <m/>
    <s v="Public Bidding"/>
    <n v="2"/>
    <n v="2"/>
    <m/>
    <m/>
    <n v="0"/>
    <m/>
    <m/>
    <m/>
    <n v="0"/>
    <m/>
    <m/>
    <m/>
    <n v="0"/>
    <m/>
    <m/>
    <m/>
    <x v="8"/>
    <x v="3"/>
    <m/>
  </r>
  <r>
    <e v="#NAME?"/>
    <s v="2tb External Hard Drive"/>
    <x v="0"/>
    <s v="pc"/>
    <m/>
    <m/>
    <s v="Public Bidding"/>
    <n v="1"/>
    <n v="1"/>
    <m/>
    <m/>
    <m/>
    <m/>
    <m/>
    <m/>
    <m/>
    <m/>
    <m/>
    <m/>
    <m/>
    <m/>
    <m/>
    <m/>
    <x v="9"/>
    <x v="39"/>
    <m/>
  </r>
  <r>
    <e v="#NAME?"/>
    <s v="Branded Laptop                "/>
    <x v="0"/>
    <s v="set"/>
    <m/>
    <m/>
    <s v="Public Bidding"/>
    <n v="1"/>
    <n v="1"/>
    <m/>
    <m/>
    <m/>
    <m/>
    <m/>
    <m/>
    <m/>
    <m/>
    <m/>
    <m/>
    <m/>
    <m/>
    <m/>
    <m/>
    <x v="9"/>
    <x v="40"/>
    <m/>
  </r>
  <r>
    <e v="#NAME?"/>
    <s v="Desktop"/>
    <x v="1"/>
    <s v="set"/>
    <m/>
    <m/>
    <s v="Public Bidding"/>
    <n v="2"/>
    <n v="2"/>
    <m/>
    <m/>
    <m/>
    <m/>
    <m/>
    <m/>
    <m/>
    <m/>
    <m/>
    <m/>
    <m/>
    <m/>
    <m/>
    <m/>
    <x v="9"/>
    <x v="0"/>
    <m/>
  </r>
  <r>
    <e v="#NAME?"/>
    <s v=" Ink Tank Printer                "/>
    <x v="0"/>
    <s v="UNIT"/>
    <m/>
    <m/>
    <s v="Public Bidding"/>
    <n v="1"/>
    <n v="1"/>
    <m/>
    <m/>
    <m/>
    <m/>
    <m/>
    <m/>
    <m/>
    <m/>
    <m/>
    <m/>
    <m/>
    <m/>
    <m/>
    <m/>
    <x v="9"/>
    <x v="15"/>
    <s v="Printer"/>
  </r>
  <r>
    <e v="#NAME?"/>
    <s v="Hand-Held Radio dual band"/>
    <x v="15"/>
    <s v="set"/>
    <m/>
    <m/>
    <s v="Public Bidding"/>
    <m/>
    <m/>
    <m/>
    <m/>
    <n v="20"/>
    <s v="2nd week"/>
    <m/>
    <m/>
    <m/>
    <m/>
    <m/>
    <m/>
    <m/>
    <m/>
    <m/>
    <m/>
    <x v="10"/>
    <x v="43"/>
    <m/>
  </r>
  <r>
    <e v="#NAME?"/>
    <s v="Base Radio dual band with antenna"/>
    <x v="1"/>
    <s v="set"/>
    <m/>
    <m/>
    <s v="Public Bidding"/>
    <m/>
    <m/>
    <m/>
    <m/>
    <n v="2"/>
    <s v="2nd week"/>
    <m/>
    <m/>
    <m/>
    <m/>
    <m/>
    <m/>
    <m/>
    <m/>
    <m/>
    <m/>
    <x v="10"/>
    <x v="44"/>
    <m/>
  </r>
  <r>
    <e v="#NAME?"/>
    <s v="USB WebCam"/>
    <x v="1"/>
    <s v="pc"/>
    <m/>
    <m/>
    <s v="Public Bidding"/>
    <n v="2"/>
    <s v="3rd week"/>
    <m/>
    <m/>
    <m/>
    <m/>
    <m/>
    <m/>
    <m/>
    <m/>
    <m/>
    <m/>
    <m/>
    <m/>
    <m/>
    <m/>
    <x v="10"/>
    <x v="2"/>
    <m/>
  </r>
  <r>
    <e v="#NAME?"/>
    <s v="Ink black compatible with HP Smart Tank 515 printer"/>
    <x v="7"/>
    <s v="pc"/>
    <m/>
    <m/>
    <s v="Public Bidding"/>
    <n v="5"/>
    <s v="2nd Week"/>
    <m/>
    <m/>
    <n v="5"/>
    <s v="2nd week"/>
    <m/>
    <m/>
    <n v="5"/>
    <s v="2nd week"/>
    <m/>
    <m/>
    <m/>
    <m/>
    <m/>
    <m/>
    <x v="10"/>
    <x v="30"/>
    <m/>
  </r>
  <r>
    <e v="#NAME?"/>
    <s v="Ink cyan compatible with HP Smart Tank 515 printer"/>
    <x v="5"/>
    <s v="pc"/>
    <m/>
    <m/>
    <s v="Public Bidding"/>
    <n v="5"/>
    <s v="2nd Week"/>
    <m/>
    <m/>
    <m/>
    <m/>
    <m/>
    <m/>
    <n v="5"/>
    <s v="2nd week"/>
    <m/>
    <m/>
    <m/>
    <m/>
    <m/>
    <m/>
    <x v="10"/>
    <x v="31"/>
    <m/>
  </r>
  <r>
    <e v="#NAME?"/>
    <s v="Ink yellow compatible with HP Smart Tank 515 printer"/>
    <x v="5"/>
    <s v="pc"/>
    <m/>
    <m/>
    <s v="Public Bidding"/>
    <n v="5"/>
    <s v="2nd Week"/>
    <m/>
    <m/>
    <m/>
    <m/>
    <m/>
    <m/>
    <n v="5"/>
    <s v="2nd week"/>
    <m/>
    <m/>
    <m/>
    <m/>
    <m/>
    <m/>
    <x v="10"/>
    <x v="32"/>
    <m/>
  </r>
  <r>
    <e v="#NAME?"/>
    <s v="Ink magenta compatible with HP Smart Tank 515 printer"/>
    <x v="5"/>
    <s v="pc"/>
    <m/>
    <m/>
    <s v="Public Bidding"/>
    <n v="5"/>
    <s v="2nd Week"/>
    <m/>
    <m/>
    <m/>
    <m/>
    <m/>
    <m/>
    <n v="5"/>
    <s v="2nd week"/>
    <m/>
    <m/>
    <m/>
    <m/>
    <m/>
    <m/>
    <x v="10"/>
    <x v="33"/>
    <m/>
  </r>
  <r>
    <e v="#NAME?"/>
    <s v="Toner Kit for KYOCERA (TK-3165)"/>
    <x v="11"/>
    <s v="pc"/>
    <m/>
    <m/>
    <s v="Public Bidding"/>
    <n v="3"/>
    <s v="2nd Week"/>
    <m/>
    <m/>
    <n v="3"/>
    <s v="2nd week"/>
    <m/>
    <m/>
    <n v="2"/>
    <s v="2nd week"/>
    <m/>
    <m/>
    <n v="1"/>
    <s v="2nd week"/>
    <m/>
    <m/>
    <x v="10"/>
    <x v="45"/>
    <m/>
  </r>
  <r>
    <e v="#NAME?"/>
    <s v="Printer, Multi Function (Print/Scan/Copy)"/>
    <x v="10"/>
    <s v="pc"/>
    <m/>
    <m/>
    <m/>
    <n v="4"/>
    <n v="4"/>
    <m/>
    <m/>
    <m/>
    <m/>
    <m/>
    <m/>
    <m/>
    <m/>
    <m/>
    <m/>
    <m/>
    <m/>
    <m/>
    <m/>
    <x v="11"/>
    <x v="15"/>
    <s v="Printer"/>
  </r>
  <r>
    <e v="#NAME?"/>
    <s v="kyocera Toner, TK 1175"/>
    <x v="4"/>
    <s v="pc"/>
    <m/>
    <m/>
    <m/>
    <n v="3"/>
    <n v="3"/>
    <m/>
    <m/>
    <n v="3"/>
    <n v="3"/>
    <m/>
    <m/>
    <n v="3"/>
    <n v="3"/>
    <m/>
    <m/>
    <n v="3"/>
    <n v="3"/>
    <m/>
    <m/>
    <x v="11"/>
    <x v="46"/>
    <m/>
  </r>
  <r>
    <e v="#NAME?"/>
    <s v="AI powered webcam"/>
    <x v="0"/>
    <s v="set"/>
    <m/>
    <m/>
    <m/>
    <n v="1"/>
    <n v="1"/>
    <m/>
    <m/>
    <m/>
    <m/>
    <m/>
    <m/>
    <m/>
    <m/>
    <m/>
    <m/>
    <m/>
    <m/>
    <m/>
    <m/>
    <x v="11"/>
    <x v="2"/>
    <m/>
  </r>
  <r>
    <e v="#NAME?"/>
    <s v="Branded laptop"/>
    <x v="0"/>
    <s v="set"/>
    <m/>
    <m/>
    <m/>
    <n v="1"/>
    <n v="1"/>
    <m/>
    <m/>
    <m/>
    <m/>
    <m/>
    <m/>
    <m/>
    <m/>
    <m/>
    <m/>
    <m/>
    <m/>
    <m/>
    <m/>
    <x v="11"/>
    <x v="40"/>
    <m/>
  </r>
  <r>
    <e v="#NAME?"/>
    <s v="Kyocera Toner, Colored M5521"/>
    <x v="9"/>
    <s v="set"/>
    <m/>
    <m/>
    <m/>
    <n v="5"/>
    <n v="5"/>
    <m/>
    <m/>
    <m/>
    <m/>
    <m/>
    <m/>
    <m/>
    <m/>
    <m/>
    <m/>
    <m/>
    <m/>
    <m/>
    <m/>
    <x v="11"/>
    <x v="12"/>
    <m/>
  </r>
  <r>
    <e v="#NAME?"/>
    <s v="Branded Desktop Set"/>
    <x v="1"/>
    <s v="set"/>
    <m/>
    <m/>
    <m/>
    <n v="2"/>
    <n v="2"/>
    <m/>
    <m/>
    <m/>
    <m/>
    <m/>
    <m/>
    <m/>
    <m/>
    <m/>
    <m/>
    <m/>
    <m/>
    <m/>
    <m/>
    <x v="11"/>
    <x v="0"/>
    <m/>
  </r>
  <r>
    <e v="#NAME?"/>
    <s v="Gooseneck Microphone"/>
    <x v="1"/>
    <s v="set"/>
    <m/>
    <m/>
    <m/>
    <n v="2"/>
    <m/>
    <m/>
    <m/>
    <m/>
    <m/>
    <m/>
    <m/>
    <m/>
    <m/>
    <m/>
    <m/>
    <m/>
    <m/>
    <m/>
    <m/>
    <x v="11"/>
    <x v="47"/>
    <m/>
  </r>
  <r>
    <e v="#NAME?"/>
    <s v="Ink Black compatible to Epson L100, L110, L120, L200, L210, L220"/>
    <x v="5"/>
    <s v="pc"/>
    <m/>
    <m/>
    <m/>
    <n v="5"/>
    <n v="5"/>
    <m/>
    <m/>
    <m/>
    <m/>
    <m/>
    <m/>
    <n v="5"/>
    <n v="5"/>
    <m/>
    <m/>
    <m/>
    <m/>
    <m/>
    <m/>
    <x v="11"/>
    <x v="16"/>
    <m/>
  </r>
  <r>
    <e v="#NAME?"/>
    <s v="Ink Cyan compatible to Epson L100, L110, L120, L200, L210, L220"/>
    <x v="2"/>
    <s v="pc"/>
    <m/>
    <m/>
    <m/>
    <n v="3"/>
    <n v="3"/>
    <m/>
    <m/>
    <m/>
    <m/>
    <m/>
    <m/>
    <m/>
    <m/>
    <m/>
    <m/>
    <m/>
    <m/>
    <m/>
    <m/>
    <x v="11"/>
    <x v="17"/>
    <m/>
  </r>
  <r>
    <e v="#NAME?"/>
    <s v="Ink Magenta compatible to Epson L100, L110, L120, L200, L210, L220"/>
    <x v="2"/>
    <s v="pc"/>
    <m/>
    <m/>
    <m/>
    <n v="3"/>
    <n v="3"/>
    <m/>
    <m/>
    <m/>
    <m/>
    <m/>
    <m/>
    <m/>
    <m/>
    <m/>
    <m/>
    <m/>
    <m/>
    <m/>
    <m/>
    <x v="11"/>
    <x v="18"/>
    <m/>
  </r>
  <r>
    <e v="#NAME?"/>
    <s v="Ink Cartridge Yellow compatible to Epson L100, L110, L120, L200, L210, L220"/>
    <x v="2"/>
    <s v="pc"/>
    <m/>
    <m/>
    <m/>
    <n v="3"/>
    <n v="3"/>
    <m/>
    <m/>
    <m/>
    <m/>
    <m/>
    <m/>
    <m/>
    <m/>
    <m/>
    <m/>
    <m/>
    <m/>
    <m/>
    <m/>
    <x v="11"/>
    <x v="19"/>
    <m/>
  </r>
  <r>
    <e v="#NAME?"/>
    <s v="UPS, 1000VA, 230V, 4pc Universal Outlet"/>
    <x v="1"/>
    <s v="pc"/>
    <m/>
    <m/>
    <m/>
    <n v="1"/>
    <n v="1"/>
    <m/>
    <m/>
    <n v="0"/>
    <m/>
    <m/>
    <m/>
    <n v="1"/>
    <m/>
    <m/>
    <n v="1"/>
    <n v="3"/>
    <m/>
    <m/>
    <n v="3"/>
    <x v="12"/>
    <x v="3"/>
    <m/>
  </r>
  <r>
    <e v="#NAME?"/>
    <s v="UPS, 2KVA, 2000Watt, Universal Outlet"/>
    <x v="0"/>
    <s v="pc"/>
    <m/>
    <m/>
    <m/>
    <n v="1"/>
    <n v="1"/>
    <m/>
    <m/>
    <n v="0"/>
    <m/>
    <m/>
    <m/>
    <n v="0"/>
    <m/>
    <m/>
    <m/>
    <n v="0"/>
    <m/>
    <m/>
    <m/>
    <x v="12"/>
    <x v="5"/>
    <s v="c/o EFMS"/>
  </r>
  <r>
    <e v="#NAME?"/>
    <s v="Hard Drive, External, 2TB, USB 3.0"/>
    <x v="11"/>
    <s v="pc"/>
    <m/>
    <m/>
    <m/>
    <n v="2"/>
    <n v="2"/>
    <m/>
    <m/>
    <n v="2"/>
    <n v="2"/>
    <m/>
    <m/>
    <n v="2"/>
    <n v="2"/>
    <m/>
    <m/>
    <n v="2"/>
    <n v="2"/>
    <m/>
    <m/>
    <x v="12"/>
    <x v="39"/>
    <m/>
  </r>
  <r>
    <e v="#NAME?"/>
    <s v="Desktop Set, Intel Core i7 with 24&quot; Monitor"/>
    <x v="1"/>
    <s v="set"/>
    <m/>
    <m/>
    <m/>
    <n v="1"/>
    <n v="1"/>
    <m/>
    <m/>
    <n v="0"/>
    <m/>
    <m/>
    <m/>
    <n v="1"/>
    <n v="1"/>
    <m/>
    <m/>
    <n v="0"/>
    <m/>
    <m/>
    <m/>
    <x v="12"/>
    <x v="0"/>
    <m/>
  </r>
  <r>
    <e v="#NAME?"/>
    <s v="PRINTER, Dot Matrix, 24 Wire Pin, 80 Columns, USB High Speed with USB Cable"/>
    <x v="0"/>
    <s v="set"/>
    <m/>
    <m/>
    <m/>
    <n v="1"/>
    <n v="1"/>
    <m/>
    <m/>
    <n v="0"/>
    <m/>
    <m/>
    <m/>
    <n v="0"/>
    <m/>
    <m/>
    <m/>
    <n v="0"/>
    <m/>
    <m/>
    <m/>
    <x v="12"/>
    <x v="1"/>
    <m/>
  </r>
  <r>
    <e v="#NAME?"/>
    <s v="Laserjet Pro HP 80A Toner"/>
    <x v="4"/>
    <s v="pc"/>
    <m/>
    <m/>
    <m/>
    <n v="3"/>
    <n v="1"/>
    <n v="1"/>
    <n v="1"/>
    <n v="3"/>
    <n v="1"/>
    <n v="1"/>
    <n v="1"/>
    <n v="3"/>
    <n v="1"/>
    <n v="1"/>
    <n v="1"/>
    <n v="3"/>
    <n v="1"/>
    <n v="1"/>
    <n v="1"/>
    <x v="12"/>
    <x v="48"/>
    <m/>
  </r>
  <r>
    <e v="#NAME?"/>
    <s v="Laserjet Pro HP 85A Toner"/>
    <x v="4"/>
    <s v="pc"/>
    <m/>
    <m/>
    <m/>
    <n v="3"/>
    <n v="1"/>
    <n v="1"/>
    <n v="1"/>
    <n v="3"/>
    <n v="1"/>
    <n v="1"/>
    <n v="1"/>
    <n v="3"/>
    <n v="1"/>
    <n v="1"/>
    <n v="1"/>
    <n v="3"/>
    <n v="1"/>
    <n v="1"/>
    <n v="1"/>
    <x v="12"/>
    <x v="5"/>
    <s v="N/A"/>
  </r>
  <r>
    <e v="#NAME?"/>
    <s v="Keyboard, Full Size, USB 2.0"/>
    <x v="10"/>
    <s v="pc"/>
    <m/>
    <m/>
    <s v="Public Bidding"/>
    <n v="1"/>
    <n v="1"/>
    <m/>
    <m/>
    <n v="1"/>
    <n v="1"/>
    <m/>
    <m/>
    <n v="1"/>
    <n v="1"/>
    <m/>
    <m/>
    <n v="0"/>
    <m/>
    <m/>
    <m/>
    <x v="13"/>
    <x v="13"/>
    <m/>
  </r>
  <r>
    <e v="#NAME?"/>
    <s v="Mouse, Optical, USB 2.0"/>
    <x v="10"/>
    <s v="pc"/>
    <m/>
    <m/>
    <s v="Public Bidding"/>
    <n v="1"/>
    <n v="1"/>
    <m/>
    <m/>
    <n v="1"/>
    <n v="1"/>
    <m/>
    <m/>
    <n v="1"/>
    <n v="1"/>
    <m/>
    <m/>
    <n v="0"/>
    <m/>
    <m/>
    <m/>
    <x v="13"/>
    <x v="14"/>
    <m/>
  </r>
  <r>
    <e v="#NAME?"/>
    <s v="UPS, 625va, 325 Watts"/>
    <x v="2"/>
    <s v="pc"/>
    <m/>
    <m/>
    <s v="Public Bidding"/>
    <n v="1"/>
    <n v="1"/>
    <m/>
    <m/>
    <n v="1"/>
    <m/>
    <m/>
    <m/>
    <n v="0"/>
    <m/>
    <m/>
    <m/>
    <n v="0"/>
    <m/>
    <m/>
    <m/>
    <x v="13"/>
    <x v="3"/>
    <m/>
  </r>
  <r>
    <e v="#NAME?"/>
    <s v="Ink black compatible with HP Smart Tank 515 printer"/>
    <x v="16"/>
    <s v="pc"/>
    <m/>
    <m/>
    <s v="Public Bidding"/>
    <n v="3"/>
    <n v="1"/>
    <m/>
    <m/>
    <n v="3"/>
    <n v="3"/>
    <m/>
    <m/>
    <n v="0"/>
    <m/>
    <m/>
    <m/>
    <m/>
    <m/>
    <m/>
    <m/>
    <x v="13"/>
    <x v="30"/>
    <m/>
  </r>
  <r>
    <e v="#NAME?"/>
    <s v="Ink cyan compatible with HP Smart Tank 515 printer"/>
    <x v="10"/>
    <s v="pc"/>
    <m/>
    <m/>
    <s v="Public Bidding"/>
    <n v="2"/>
    <n v="2"/>
    <m/>
    <m/>
    <n v="2"/>
    <n v="2"/>
    <m/>
    <m/>
    <n v="0"/>
    <m/>
    <m/>
    <m/>
    <n v="0"/>
    <m/>
    <m/>
    <m/>
    <x v="13"/>
    <x v="31"/>
    <m/>
  </r>
  <r>
    <e v="#NAME?"/>
    <s v="Ink yellow compatible with HP Smart Tank 515 printer"/>
    <x v="10"/>
    <s v="pc"/>
    <m/>
    <m/>
    <s v="Public Bidding"/>
    <n v="2"/>
    <n v="2"/>
    <m/>
    <m/>
    <n v="2"/>
    <n v="2"/>
    <m/>
    <m/>
    <n v="0"/>
    <m/>
    <m/>
    <m/>
    <n v="0"/>
    <m/>
    <m/>
    <m/>
    <x v="13"/>
    <x v="32"/>
    <m/>
  </r>
  <r>
    <e v="#NAME?"/>
    <s v="Ink magenta compatible with HP Smart Tank 515 printer"/>
    <x v="10"/>
    <s v="pc"/>
    <m/>
    <m/>
    <s v="Public Bidding"/>
    <n v="2"/>
    <n v="2"/>
    <m/>
    <m/>
    <n v="2"/>
    <n v="2"/>
    <m/>
    <m/>
    <n v="0"/>
    <m/>
    <m/>
    <m/>
    <n v="0"/>
    <m/>
    <m/>
    <m/>
    <x v="13"/>
    <x v="33"/>
    <m/>
  </r>
  <r>
    <e v="#NAME?"/>
    <s v="Kyocera Ecosys Toner M2640idw/L"/>
    <x v="16"/>
    <s v="pc"/>
    <m/>
    <m/>
    <s v="Public Bidding"/>
    <n v="2"/>
    <n v="2"/>
    <m/>
    <m/>
    <n v="2"/>
    <n v="2"/>
    <m/>
    <m/>
    <n v="2"/>
    <n v="2"/>
    <m/>
    <m/>
    <n v="0"/>
    <m/>
    <m/>
    <m/>
    <x v="13"/>
    <x v="49"/>
    <m/>
  </r>
  <r>
    <e v="#NAME?"/>
    <s v="Ink Black compatible to Epson L3210"/>
    <x v="16"/>
    <s v="bot"/>
    <m/>
    <m/>
    <s v="Public Bidding"/>
    <n v="2"/>
    <n v="2"/>
    <m/>
    <m/>
    <n v="2"/>
    <n v="2"/>
    <m/>
    <m/>
    <n v="2"/>
    <n v="2"/>
    <m/>
    <m/>
    <n v="0"/>
    <m/>
    <m/>
    <m/>
    <x v="13"/>
    <x v="26"/>
    <m/>
  </r>
  <r>
    <e v="#NAME?"/>
    <s v="Ink Cyan compatible to Epson L3210"/>
    <x v="10"/>
    <s v="bot"/>
    <m/>
    <m/>
    <s v="Public Bidding"/>
    <n v="2"/>
    <n v="2"/>
    <m/>
    <m/>
    <n v="1"/>
    <n v="1"/>
    <m/>
    <m/>
    <n v="1"/>
    <n v="1"/>
    <m/>
    <m/>
    <n v="0"/>
    <m/>
    <m/>
    <m/>
    <x v="13"/>
    <x v="27"/>
    <m/>
  </r>
  <r>
    <e v="#NAME?"/>
    <s v="Ink Magenta compatible to Epson L3210"/>
    <x v="10"/>
    <s v="bot"/>
    <m/>
    <m/>
    <s v="Public Bidding"/>
    <n v="2"/>
    <n v="2"/>
    <m/>
    <m/>
    <n v="1"/>
    <n v="1"/>
    <m/>
    <m/>
    <n v="1"/>
    <n v="1"/>
    <m/>
    <m/>
    <n v="0"/>
    <m/>
    <m/>
    <m/>
    <x v="13"/>
    <x v="28"/>
    <m/>
  </r>
  <r>
    <e v="#NAME?"/>
    <s v="Ink Cartridge Yellow compatible to Epson L3210"/>
    <x v="10"/>
    <s v="bot"/>
    <m/>
    <m/>
    <s v="Public Bidding"/>
    <n v="1"/>
    <n v="1"/>
    <m/>
    <m/>
    <n v="1"/>
    <n v="1"/>
    <m/>
    <m/>
    <n v="1"/>
    <n v="1"/>
    <m/>
    <m/>
    <n v="0"/>
    <m/>
    <m/>
    <m/>
    <x v="13"/>
    <x v="29"/>
    <m/>
  </r>
  <r>
    <e v="#NAME?"/>
    <s v="HP smart tank 515 M0H50A"/>
    <x v="1"/>
    <s v="pc"/>
    <m/>
    <m/>
    <s v="Public Bidding"/>
    <n v="1"/>
    <n v="1"/>
    <m/>
    <m/>
    <n v="1"/>
    <n v="1"/>
    <m/>
    <m/>
    <n v="0"/>
    <m/>
    <m/>
    <m/>
    <n v="0"/>
    <m/>
    <m/>
    <m/>
    <x v="13"/>
    <x v="50"/>
    <m/>
  </r>
  <r>
    <e v="#NAME?"/>
    <s v="HP smart tank 515 X4E75AA"/>
    <x v="1"/>
    <s v="pc"/>
    <m/>
    <m/>
    <s v="Public Bidding"/>
    <n v="1"/>
    <n v="1"/>
    <m/>
    <m/>
    <n v="1"/>
    <n v="1"/>
    <m/>
    <m/>
    <n v="0"/>
    <m/>
    <m/>
    <m/>
    <n v="0"/>
    <m/>
    <m/>
    <m/>
    <x v="13"/>
    <x v="51"/>
    <m/>
  </r>
  <r>
    <e v="#NAME?"/>
    <s v="Desktop"/>
    <x v="1"/>
    <s v="pc"/>
    <m/>
    <m/>
    <s v="Public Bidding"/>
    <n v="2"/>
    <m/>
    <m/>
    <m/>
    <n v="0"/>
    <m/>
    <m/>
    <m/>
    <n v="0"/>
    <m/>
    <m/>
    <m/>
    <n v="0"/>
    <m/>
    <m/>
    <m/>
    <x v="14"/>
    <x v="0"/>
    <m/>
  </r>
  <r>
    <e v="#NAME?"/>
    <s v="TELEPHONE (WALL MOUNTED)"/>
    <x v="1"/>
    <s v="pc"/>
    <m/>
    <m/>
    <s v="Public Bidding"/>
    <n v="2"/>
    <m/>
    <m/>
    <m/>
    <n v="0"/>
    <m/>
    <m/>
    <m/>
    <n v="0"/>
    <m/>
    <m/>
    <m/>
    <n v="0"/>
    <m/>
    <m/>
    <m/>
    <x v="14"/>
    <x v="52"/>
    <m/>
  </r>
  <r>
    <e v="#NAME?"/>
    <s v="Computer printer, with scanner, copier (colored)"/>
    <x v="1"/>
    <s v="pc"/>
    <m/>
    <m/>
    <s v="Public Bidding"/>
    <n v="2"/>
    <m/>
    <m/>
    <m/>
    <n v="0"/>
    <m/>
    <m/>
    <m/>
    <n v="0"/>
    <m/>
    <m/>
    <m/>
    <n v="0"/>
    <m/>
    <m/>
    <m/>
    <x v="14"/>
    <x v="15"/>
    <s v="Printer"/>
  </r>
  <r>
    <e v="#NAME?"/>
    <s v="Printer ink for HP smart tank 515 (black)"/>
    <x v="17"/>
    <s v="pc"/>
    <m/>
    <m/>
    <s v="Public Bidding"/>
    <n v="6"/>
    <m/>
    <m/>
    <m/>
    <n v="6"/>
    <m/>
    <m/>
    <m/>
    <n v="6"/>
    <m/>
    <m/>
    <m/>
    <n v="6"/>
    <m/>
    <m/>
    <m/>
    <x v="14"/>
    <x v="30"/>
    <m/>
  </r>
  <r>
    <e v="#NAME?"/>
    <s v="Printer ink for HP smart tank 515 (cyan)"/>
    <x v="17"/>
    <s v="pc"/>
    <m/>
    <m/>
    <s v="Public Bidding"/>
    <n v="6"/>
    <m/>
    <m/>
    <m/>
    <n v="6"/>
    <m/>
    <m/>
    <m/>
    <n v="6"/>
    <m/>
    <m/>
    <m/>
    <n v="6"/>
    <m/>
    <m/>
    <m/>
    <x v="14"/>
    <x v="31"/>
    <m/>
  </r>
  <r>
    <e v="#NAME?"/>
    <s v="Printer ink for HP smart tank 515 (yellow)"/>
    <x v="17"/>
    <s v="pc"/>
    <m/>
    <m/>
    <s v="Public Bidding"/>
    <n v="6"/>
    <m/>
    <m/>
    <m/>
    <n v="6"/>
    <m/>
    <m/>
    <m/>
    <n v="6"/>
    <m/>
    <m/>
    <m/>
    <n v="6"/>
    <m/>
    <m/>
    <m/>
    <x v="14"/>
    <x v="32"/>
    <m/>
  </r>
  <r>
    <e v="#NAME?"/>
    <s v="Printer ink for HP smart tank 515 (magenta)"/>
    <x v="17"/>
    <s v="pc"/>
    <m/>
    <m/>
    <s v="Public Bidding"/>
    <n v="6"/>
    <m/>
    <m/>
    <m/>
    <n v="6"/>
    <m/>
    <m/>
    <m/>
    <n v="6"/>
    <m/>
    <m/>
    <m/>
    <n v="6"/>
    <m/>
    <m/>
    <m/>
    <x v="14"/>
    <x v="33"/>
    <m/>
  </r>
  <r>
    <e v="#NAME?"/>
    <s v="Print head/cartridge for HP smart tank 515"/>
    <x v="17"/>
    <s v="pc"/>
    <m/>
    <m/>
    <s v="Public Bidding"/>
    <n v="6"/>
    <m/>
    <m/>
    <m/>
    <n v="6"/>
    <m/>
    <m/>
    <m/>
    <n v="6"/>
    <m/>
    <m/>
    <m/>
    <n v="6"/>
    <m/>
    <m/>
    <m/>
    <x v="14"/>
    <x v="5"/>
    <s v="N/A"/>
  </r>
  <r>
    <e v="#NAME?"/>
    <s v="Printer ink for Epson L3210 (black)"/>
    <x v="17"/>
    <s v="pc"/>
    <m/>
    <m/>
    <s v="Public Bidding"/>
    <n v="6"/>
    <m/>
    <m/>
    <m/>
    <n v="6"/>
    <m/>
    <m/>
    <m/>
    <n v="6"/>
    <m/>
    <m/>
    <m/>
    <n v="6"/>
    <m/>
    <m/>
    <m/>
    <x v="14"/>
    <x v="26"/>
    <m/>
  </r>
  <r>
    <e v="#NAME?"/>
    <s v="Printer ink for Epson L3210 (cyan)"/>
    <x v="17"/>
    <s v="pc"/>
    <m/>
    <m/>
    <s v="Public Bidding"/>
    <n v="6"/>
    <m/>
    <m/>
    <m/>
    <n v="6"/>
    <m/>
    <m/>
    <m/>
    <n v="6"/>
    <m/>
    <m/>
    <m/>
    <n v="6"/>
    <m/>
    <m/>
    <m/>
    <x v="14"/>
    <x v="27"/>
    <m/>
  </r>
  <r>
    <e v="#NAME?"/>
    <s v="Printer ink for Epson L3210 (yellow)"/>
    <x v="17"/>
    <s v="pc"/>
    <m/>
    <m/>
    <s v="Public Bidding"/>
    <n v="6"/>
    <m/>
    <m/>
    <m/>
    <n v="6"/>
    <m/>
    <m/>
    <m/>
    <n v="6"/>
    <m/>
    <m/>
    <m/>
    <n v="6"/>
    <m/>
    <m/>
    <m/>
    <x v="14"/>
    <x v="28"/>
    <m/>
  </r>
  <r>
    <e v="#NAME?"/>
    <s v="Printer ink for Epson L3210 (magenta)"/>
    <x v="10"/>
    <s v="pc"/>
    <m/>
    <m/>
    <s v="Public Bidding"/>
    <n v="1"/>
    <m/>
    <m/>
    <m/>
    <n v="1"/>
    <m/>
    <m/>
    <m/>
    <n v="1"/>
    <m/>
    <m/>
    <m/>
    <n v="1"/>
    <m/>
    <m/>
    <m/>
    <x v="14"/>
    <x v="29"/>
    <m/>
  </r>
  <r>
    <e v="#NAME?"/>
    <s v="Print head/cartridge for Epson L3210"/>
    <x v="10"/>
    <s v="pc"/>
    <m/>
    <m/>
    <s v="Public Bidding"/>
    <n v="1"/>
    <m/>
    <m/>
    <m/>
    <n v="1"/>
    <m/>
    <m/>
    <m/>
    <n v="1"/>
    <m/>
    <m/>
    <m/>
    <n v="1"/>
    <m/>
    <m/>
    <m/>
    <x v="14"/>
    <x v="5"/>
    <s v="Maintenance Fund"/>
  </r>
  <r>
    <e v="#NAME?"/>
    <s v="Printer ink for Epson L3250 (black)"/>
    <x v="17"/>
    <s v="pc"/>
    <m/>
    <m/>
    <s v="Public Bidding"/>
    <n v="6"/>
    <m/>
    <m/>
    <m/>
    <n v="6"/>
    <m/>
    <m/>
    <m/>
    <n v="6"/>
    <m/>
    <m/>
    <m/>
    <n v="6"/>
    <m/>
    <m/>
    <m/>
    <x v="14"/>
    <x v="26"/>
    <m/>
  </r>
  <r>
    <e v="#NAME?"/>
    <s v="Printer ink for Epson L3250 (cyan)"/>
    <x v="4"/>
    <s v="pc"/>
    <m/>
    <m/>
    <s v="Public Bidding"/>
    <n v="6"/>
    <m/>
    <m/>
    <m/>
    <n v="0"/>
    <m/>
    <m/>
    <m/>
    <n v="6"/>
    <m/>
    <m/>
    <m/>
    <n v="0"/>
    <m/>
    <m/>
    <m/>
    <x v="14"/>
    <x v="27"/>
    <m/>
  </r>
  <r>
    <e v="#NAME?"/>
    <s v="Printer ink for Epson L3250 (yellow)"/>
    <x v="4"/>
    <s v="pc"/>
    <m/>
    <m/>
    <s v="Public Bidding"/>
    <n v="6"/>
    <m/>
    <m/>
    <m/>
    <n v="0"/>
    <m/>
    <m/>
    <m/>
    <n v="6"/>
    <m/>
    <m/>
    <m/>
    <n v="0"/>
    <m/>
    <m/>
    <m/>
    <x v="14"/>
    <x v="28"/>
    <m/>
  </r>
  <r>
    <e v="#NAME?"/>
    <s v="Printer ink for Epson L3250 (magenta)"/>
    <x v="4"/>
    <s v="pc"/>
    <m/>
    <m/>
    <s v="Public Bidding"/>
    <n v="6"/>
    <m/>
    <m/>
    <m/>
    <n v="0"/>
    <m/>
    <m/>
    <m/>
    <n v="6"/>
    <m/>
    <m/>
    <m/>
    <n v="0"/>
    <m/>
    <m/>
    <m/>
    <x v="14"/>
    <x v="29"/>
    <m/>
  </r>
  <r>
    <e v="#NAME?"/>
    <s v="Print head/cartridge for Epson L3250"/>
    <x v="1"/>
    <s v="pc"/>
    <m/>
    <m/>
    <s v="Public Bidding"/>
    <n v="2"/>
    <m/>
    <m/>
    <m/>
    <n v="0"/>
    <m/>
    <m/>
    <m/>
    <n v="0"/>
    <m/>
    <m/>
    <m/>
    <n v="0"/>
    <m/>
    <m/>
    <m/>
    <x v="14"/>
    <x v="5"/>
    <s v="Maintenance Fund"/>
  </r>
  <r>
    <e v="#NAME?"/>
    <s v="Kyocera ECOSYS P2040dn Printer Toner Cartridges"/>
    <x v="1"/>
    <s v="pc"/>
    <m/>
    <m/>
    <s v="Public Bidding"/>
    <n v="2"/>
    <m/>
    <m/>
    <m/>
    <n v="0"/>
    <m/>
    <m/>
    <m/>
    <n v="0"/>
    <m/>
    <m/>
    <m/>
    <n v="0"/>
    <m/>
    <m/>
    <m/>
    <x v="14"/>
    <x v="25"/>
    <m/>
  </r>
  <r>
    <e v="#NAME?"/>
    <s v="8-Port Gigabit Switch HUB LAN 10/100/1000Mbps"/>
    <x v="5"/>
    <s v="pc"/>
    <m/>
    <m/>
    <s v="Public Bidding"/>
    <n v="3"/>
    <s v="2nd Week"/>
    <m/>
    <m/>
    <n v="2"/>
    <s v="2nd week"/>
    <m/>
    <m/>
    <n v="2"/>
    <s v="2nd week"/>
    <m/>
    <m/>
    <n v="3"/>
    <s v="2nd week"/>
    <m/>
    <m/>
    <x v="15"/>
    <x v="5"/>
    <s v="N/A"/>
  </r>
  <r>
    <e v="#NAME?"/>
    <s v="UPS"/>
    <x v="9"/>
    <s v="pc"/>
    <m/>
    <m/>
    <s v="Public Bidding"/>
    <n v="3"/>
    <s v="2nd Week"/>
    <m/>
    <m/>
    <m/>
    <m/>
    <m/>
    <m/>
    <n v="2"/>
    <s v="2nd week"/>
    <m/>
    <m/>
    <m/>
    <m/>
    <m/>
    <m/>
    <x v="15"/>
    <x v="3"/>
    <m/>
  </r>
  <r>
    <e v="#NAME?"/>
    <s v="AVR 500 Watts, 220 Volts"/>
    <x v="9"/>
    <s v="pc"/>
    <m/>
    <m/>
    <s v="Public Bidding"/>
    <n v="3"/>
    <s v="2nd Week"/>
    <m/>
    <m/>
    <m/>
    <m/>
    <m/>
    <m/>
    <n v="2"/>
    <s v="2nd week"/>
    <m/>
    <m/>
    <m/>
    <m/>
    <m/>
    <m/>
    <x v="15"/>
    <x v="5"/>
    <s v="N/A"/>
  </r>
  <r>
    <e v="#NAME?"/>
    <s v="Branded Desktop Set"/>
    <x v="18"/>
    <s v="set"/>
    <m/>
    <m/>
    <s v="Public Bidding"/>
    <n v="7"/>
    <s v="2nd Week"/>
    <m/>
    <m/>
    <m/>
    <m/>
    <m/>
    <m/>
    <n v="2"/>
    <s v="2nd week"/>
    <m/>
    <m/>
    <m/>
    <m/>
    <m/>
    <m/>
    <x v="15"/>
    <x v="0"/>
    <m/>
  </r>
  <r>
    <e v="#NAME?"/>
    <s v="Photocopier, Multi Function (Scan/Copy)"/>
    <x v="0"/>
    <s v="pc"/>
    <m/>
    <m/>
    <s v="Public Bidding"/>
    <n v="1"/>
    <s v="2nd Week"/>
    <m/>
    <m/>
    <m/>
    <m/>
    <m/>
    <m/>
    <m/>
    <m/>
    <m/>
    <m/>
    <m/>
    <m/>
    <m/>
    <m/>
    <x v="15"/>
    <x v="53"/>
    <m/>
  </r>
  <r>
    <e v="#NAME?"/>
    <s v="Printer, Multi Function (Print/Scan/Copy)"/>
    <x v="19"/>
    <s v="pc"/>
    <m/>
    <m/>
    <s v="Public Bidding"/>
    <n v="4"/>
    <s v="2nd Week"/>
    <m/>
    <m/>
    <m/>
    <m/>
    <m/>
    <m/>
    <n v="3"/>
    <s v="2nd week"/>
    <m/>
    <m/>
    <m/>
    <m/>
    <m/>
    <m/>
    <x v="15"/>
    <x v="15"/>
    <s v="Printer"/>
  </r>
  <r>
    <e v="#NAME?"/>
    <s v="USB Thumb Drive, 16GB"/>
    <x v="15"/>
    <s v="pc"/>
    <m/>
    <m/>
    <s v="Public Bidding"/>
    <n v="5"/>
    <s v="2nd Week"/>
    <m/>
    <m/>
    <n v="5"/>
    <s v="2nd week"/>
    <m/>
    <m/>
    <n v="5"/>
    <s v="2nd week"/>
    <m/>
    <m/>
    <n v="5"/>
    <s v="2nd week"/>
    <m/>
    <m/>
    <x v="15"/>
    <x v="54"/>
    <m/>
  </r>
  <r>
    <e v="#NAME?"/>
    <s v="USB Thumb Drive, 32GB"/>
    <x v="5"/>
    <s v="pc"/>
    <m/>
    <m/>
    <s v="Public Bidding"/>
    <n v="5"/>
    <s v="2nd Week"/>
    <m/>
    <m/>
    <m/>
    <m/>
    <m/>
    <m/>
    <n v="5"/>
    <s v="2nd week"/>
    <m/>
    <m/>
    <m/>
    <m/>
    <m/>
    <m/>
    <x v="15"/>
    <x v="20"/>
    <m/>
  </r>
  <r>
    <e v="#NAME?"/>
    <s v="UPS, 625va, 325 Watts"/>
    <x v="10"/>
    <s v="pc"/>
    <m/>
    <m/>
    <s v="Public Bidding"/>
    <n v="2"/>
    <s v="2nd Week"/>
    <m/>
    <m/>
    <m/>
    <m/>
    <m/>
    <m/>
    <n v="2"/>
    <s v="2nd week"/>
    <m/>
    <m/>
    <m/>
    <m/>
    <m/>
    <m/>
    <x v="15"/>
    <x v="3"/>
    <m/>
  </r>
  <r>
    <e v="#NAME?"/>
    <s v="Epson Genuine Ink T6641 Black"/>
    <x v="20"/>
    <s v="Bottle"/>
    <m/>
    <m/>
    <s v="Public Bidding"/>
    <n v="50"/>
    <m/>
    <m/>
    <m/>
    <n v="50"/>
    <m/>
    <m/>
    <m/>
    <n v="50"/>
    <m/>
    <m/>
    <m/>
    <n v="50"/>
    <m/>
    <m/>
    <m/>
    <x v="15"/>
    <x v="16"/>
    <m/>
  </r>
  <r>
    <e v="#NAME?"/>
    <s v="Epson Genuine Ink T6642 Cyan"/>
    <x v="21"/>
    <s v="Bottle"/>
    <m/>
    <m/>
    <s v="Public Bidding"/>
    <n v="10"/>
    <m/>
    <m/>
    <m/>
    <n v="10"/>
    <m/>
    <m/>
    <m/>
    <n v="10"/>
    <m/>
    <m/>
    <m/>
    <n v="10"/>
    <m/>
    <m/>
    <m/>
    <x v="15"/>
    <x v="17"/>
    <m/>
  </r>
  <r>
    <e v="#NAME?"/>
    <s v="Epson Genuine Ink T6644 Yellow"/>
    <x v="21"/>
    <s v="Bottle"/>
    <m/>
    <m/>
    <s v="Public Bidding"/>
    <n v="10"/>
    <m/>
    <m/>
    <m/>
    <n v="10"/>
    <m/>
    <m/>
    <m/>
    <n v="10"/>
    <m/>
    <m/>
    <m/>
    <n v="10"/>
    <m/>
    <m/>
    <m/>
    <x v="15"/>
    <x v="18"/>
    <m/>
  </r>
  <r>
    <e v="#NAME?"/>
    <s v="Epson Genuine Ink T6643 Magenta"/>
    <x v="21"/>
    <s v="Bottle"/>
    <m/>
    <m/>
    <s v="Public Bidding"/>
    <n v="10"/>
    <m/>
    <m/>
    <m/>
    <n v="10"/>
    <m/>
    <m/>
    <m/>
    <n v="10"/>
    <m/>
    <m/>
    <m/>
    <n v="10"/>
    <m/>
    <m/>
    <m/>
    <x v="15"/>
    <x v="19"/>
    <m/>
  </r>
  <r>
    <e v="#NAME?"/>
    <s v="Epson Genuine Ink (003) Black"/>
    <x v="22"/>
    <s v="Bottle"/>
    <m/>
    <m/>
    <s v="Public Bidding"/>
    <n v="200"/>
    <m/>
    <m/>
    <m/>
    <n v="200"/>
    <m/>
    <m/>
    <m/>
    <n v="200"/>
    <m/>
    <m/>
    <m/>
    <n v="200"/>
    <m/>
    <m/>
    <m/>
    <x v="15"/>
    <x v="26"/>
    <m/>
  </r>
  <r>
    <e v="#NAME?"/>
    <s v="Epson Genuine Ink (003) Cyan"/>
    <x v="14"/>
    <s v="Bottle"/>
    <m/>
    <m/>
    <s v="Public Bidding"/>
    <n v="20"/>
    <m/>
    <m/>
    <m/>
    <n v="20"/>
    <m/>
    <m/>
    <m/>
    <n v="20"/>
    <m/>
    <m/>
    <m/>
    <n v="20"/>
    <m/>
    <m/>
    <m/>
    <x v="15"/>
    <x v="27"/>
    <m/>
  </r>
  <r>
    <e v="#NAME?"/>
    <s v="Epson Genuine Ink (003) Magenta"/>
    <x v="14"/>
    <s v="Bottle"/>
    <m/>
    <m/>
    <s v="Public Bidding"/>
    <n v="20"/>
    <m/>
    <m/>
    <m/>
    <n v="20"/>
    <m/>
    <m/>
    <m/>
    <n v="20"/>
    <m/>
    <m/>
    <m/>
    <n v="20"/>
    <m/>
    <m/>
    <m/>
    <x v="15"/>
    <x v="28"/>
    <m/>
  </r>
  <r>
    <e v="#NAME?"/>
    <s v="Epson Genuine Ink (003) Yellow"/>
    <x v="14"/>
    <s v="Bottle"/>
    <m/>
    <m/>
    <s v="Public Bidding"/>
    <n v="20"/>
    <m/>
    <m/>
    <m/>
    <n v="20"/>
    <m/>
    <m/>
    <m/>
    <n v="20"/>
    <m/>
    <m/>
    <m/>
    <n v="20"/>
    <m/>
    <m/>
    <m/>
    <x v="15"/>
    <x v="29"/>
    <m/>
  </r>
  <r>
    <e v="#NAME?"/>
    <s v="Ink Laserjet HP 680 Colored"/>
    <x v="14"/>
    <s v="Piece"/>
    <m/>
    <m/>
    <s v="Public Bidding"/>
    <n v="20"/>
    <m/>
    <m/>
    <m/>
    <n v="20"/>
    <m/>
    <m/>
    <m/>
    <n v="20"/>
    <m/>
    <m/>
    <m/>
    <n v="20"/>
    <m/>
    <m/>
    <m/>
    <x v="15"/>
    <x v="55"/>
    <m/>
  </r>
  <r>
    <e v="#NAME?"/>
    <s v="Ink Laserjet HP P1102 Colored"/>
    <x v="8"/>
    <s v="Piece"/>
    <m/>
    <m/>
    <s v="Public Bidding"/>
    <m/>
    <m/>
    <m/>
    <m/>
    <m/>
    <m/>
    <m/>
    <m/>
    <m/>
    <m/>
    <m/>
    <m/>
    <m/>
    <m/>
    <m/>
    <m/>
    <x v="15"/>
    <x v="5"/>
    <s v="N/A"/>
  </r>
  <r>
    <e v="#NAME?"/>
    <s v="Ink Laserjet HP DESKJET ADVANTAGE 2335"/>
    <x v="8"/>
    <s v="Piece"/>
    <m/>
    <m/>
    <s v="Public Bidding"/>
    <m/>
    <m/>
    <m/>
    <m/>
    <m/>
    <m/>
    <m/>
    <m/>
    <m/>
    <m/>
    <m/>
    <m/>
    <m/>
    <m/>
    <m/>
    <m/>
    <x v="15"/>
    <x v="5"/>
    <s v="N/A"/>
  </r>
  <r>
    <e v="#NAME?"/>
    <s v="Kyocera Ecosys M2640idw/L"/>
    <x v="12"/>
    <s v="Piece"/>
    <m/>
    <m/>
    <s v="Public Bidding"/>
    <n v="15"/>
    <m/>
    <m/>
    <m/>
    <n v="15"/>
    <m/>
    <m/>
    <m/>
    <m/>
    <m/>
    <m/>
    <m/>
    <m/>
    <m/>
    <m/>
    <m/>
    <x v="15"/>
    <x v="49"/>
    <m/>
  </r>
  <r>
    <e v="#NAME?"/>
    <s v="TK-7120"/>
    <x v="12"/>
    <m/>
    <m/>
    <m/>
    <m/>
    <m/>
    <m/>
    <m/>
    <m/>
    <m/>
    <m/>
    <m/>
    <m/>
    <n v="15"/>
    <m/>
    <m/>
    <m/>
    <n v="15"/>
    <m/>
    <m/>
    <m/>
    <x v="16"/>
    <x v="56"/>
    <m/>
  </r>
  <r>
    <e v="#NAME?"/>
    <s v="Ink Laserjet HP 680 Black"/>
    <x v="20"/>
    <s v="Bottle"/>
    <m/>
    <m/>
    <s v="Public Bidding"/>
    <n v="50"/>
    <m/>
    <m/>
    <m/>
    <n v="50"/>
    <m/>
    <m/>
    <m/>
    <n v="50"/>
    <m/>
    <m/>
    <m/>
    <n v="50"/>
    <m/>
    <m/>
    <m/>
    <x v="15"/>
    <x v="57"/>
    <m/>
  </r>
  <r>
    <e v="#NAME?"/>
    <s v="Kyocera Ecosys, TK-1168"/>
    <x v="3"/>
    <s v="Piece"/>
    <m/>
    <m/>
    <s v="Public Bidding"/>
    <n v="15"/>
    <m/>
    <m/>
    <m/>
    <n v="15"/>
    <m/>
    <m/>
    <m/>
    <n v="15"/>
    <m/>
    <m/>
    <m/>
    <n v="15"/>
    <m/>
    <m/>
    <m/>
    <x v="15"/>
    <x v="25"/>
    <m/>
  </r>
  <r>
    <e v="#NAME?"/>
    <s v="Ink Laserjet HP 85A"/>
    <x v="21"/>
    <s v="Piece"/>
    <m/>
    <m/>
    <s v="Public Bidding"/>
    <n v="10"/>
    <m/>
    <m/>
    <m/>
    <n v="10"/>
    <m/>
    <m/>
    <m/>
    <n v="10"/>
    <m/>
    <m/>
    <m/>
    <n v="10"/>
    <m/>
    <m/>
    <m/>
    <x v="15"/>
    <x v="5"/>
    <s v="N/A"/>
  </r>
  <r>
    <e v="#NAME?"/>
    <s v="Ink Laserjet HP 107A"/>
    <x v="21"/>
    <s v="Piece"/>
    <m/>
    <m/>
    <s v="Public Bidding"/>
    <n v="10"/>
    <m/>
    <m/>
    <m/>
    <n v="10"/>
    <m/>
    <m/>
    <m/>
    <n v="10"/>
    <m/>
    <m/>
    <m/>
    <n v="10"/>
    <m/>
    <m/>
    <m/>
    <x v="15"/>
    <x v="58"/>
    <m/>
  </r>
  <r>
    <e v="#NAME?"/>
    <s v="Ink Laserjet HP 17A"/>
    <x v="21"/>
    <s v="Piece"/>
    <m/>
    <m/>
    <s v="Public Bidding"/>
    <n v="10"/>
    <m/>
    <m/>
    <m/>
    <n v="10"/>
    <m/>
    <m/>
    <m/>
    <n v="10"/>
    <m/>
    <m/>
    <m/>
    <n v="10"/>
    <m/>
    <m/>
    <m/>
    <x v="15"/>
    <x v="59"/>
    <m/>
  </r>
  <r>
    <e v="#NAME?"/>
    <s v="Ink Laserjet HP 85A"/>
    <x v="3"/>
    <s v="Piece"/>
    <m/>
    <m/>
    <s v="Public Bidding"/>
    <n v="15"/>
    <m/>
    <m/>
    <m/>
    <n v="15"/>
    <m/>
    <m/>
    <m/>
    <n v="15"/>
    <m/>
    <m/>
    <m/>
    <n v="15"/>
    <m/>
    <m/>
    <m/>
    <x v="15"/>
    <x v="60"/>
    <m/>
  </r>
  <r>
    <e v="#NAME?"/>
    <s v="Brother HL L 2375DW"/>
    <x v="3"/>
    <s v="Piece"/>
    <m/>
    <m/>
    <s v="Public Bidding"/>
    <n v="15"/>
    <m/>
    <m/>
    <m/>
    <n v="15"/>
    <m/>
    <m/>
    <m/>
    <n v="15"/>
    <m/>
    <m/>
    <m/>
    <n v="15"/>
    <m/>
    <m/>
    <m/>
    <x v="15"/>
    <x v="5"/>
    <s v="N/A"/>
  </r>
  <r>
    <e v="#NAME?"/>
    <s v="Brother HL LBTD 60 Colored"/>
    <x v="15"/>
    <s v="Piece"/>
    <m/>
    <m/>
    <s v="Public Bidding"/>
    <n v="5"/>
    <m/>
    <m/>
    <m/>
    <n v="5"/>
    <m/>
    <m/>
    <m/>
    <n v="5"/>
    <m/>
    <m/>
    <m/>
    <n v="5"/>
    <m/>
    <m/>
    <m/>
    <x v="15"/>
    <x v="5"/>
    <s v="N/A"/>
  </r>
  <r>
    <e v="#NAME?"/>
    <s v="Brother HL LBTD 60 Black"/>
    <x v="3"/>
    <s v="Piece"/>
    <m/>
    <m/>
    <s v="Public Bidding"/>
    <n v="15"/>
    <m/>
    <m/>
    <m/>
    <n v="15"/>
    <m/>
    <m/>
    <m/>
    <n v="15"/>
    <m/>
    <m/>
    <m/>
    <n v="15"/>
    <m/>
    <m/>
    <m/>
    <x v="15"/>
    <x v="5"/>
    <s v="N/A"/>
  </r>
  <r>
    <e v="#NAME?"/>
    <s v="Branded Desktop Set"/>
    <x v="5"/>
    <s v="set"/>
    <m/>
    <m/>
    <m/>
    <n v="4"/>
    <s v="2nd Week"/>
    <m/>
    <m/>
    <n v="3"/>
    <s v="2nd week"/>
    <m/>
    <m/>
    <n v="3"/>
    <m/>
    <m/>
    <m/>
    <m/>
    <m/>
    <m/>
    <m/>
    <x v="17"/>
    <x v="0"/>
    <m/>
  </r>
  <r>
    <e v="#NAME?"/>
    <s v="Keyboard, Full Size, USB 2.0"/>
    <x v="5"/>
    <s v="pc"/>
    <m/>
    <m/>
    <m/>
    <n v="3"/>
    <s v="2nd Week"/>
    <m/>
    <m/>
    <m/>
    <m/>
    <m/>
    <m/>
    <n v="3"/>
    <s v="2nd week"/>
    <m/>
    <m/>
    <m/>
    <m/>
    <m/>
    <m/>
    <x v="17"/>
    <x v="13"/>
    <m/>
  </r>
  <r>
    <e v="#NAME?"/>
    <s v="Mouse, Optical, USB 2.0"/>
    <x v="5"/>
    <s v="pc"/>
    <m/>
    <m/>
    <m/>
    <n v="3"/>
    <s v="2nd Week"/>
    <m/>
    <m/>
    <m/>
    <m/>
    <m/>
    <m/>
    <n v="3"/>
    <s v="2nd week"/>
    <m/>
    <m/>
    <m/>
    <m/>
    <m/>
    <m/>
    <x v="17"/>
    <x v="14"/>
    <m/>
  </r>
  <r>
    <e v="#NAME?"/>
    <s v="Printer, Multi Function (Print/Scan/Copy)"/>
    <x v="16"/>
    <s v="pc"/>
    <m/>
    <m/>
    <m/>
    <n v="2"/>
    <s v="2nd Week"/>
    <m/>
    <m/>
    <n v="2"/>
    <s v="2nd week"/>
    <m/>
    <m/>
    <n v="2"/>
    <s v="2nd week"/>
    <m/>
    <m/>
    <m/>
    <m/>
    <m/>
    <m/>
    <x v="17"/>
    <x v="15"/>
    <s v="Printer"/>
  </r>
  <r>
    <e v="#NAME?"/>
    <s v="Printer, Single Function"/>
    <x v="10"/>
    <s v="pc"/>
    <m/>
    <m/>
    <m/>
    <n v="2"/>
    <s v="2nd Week"/>
    <m/>
    <m/>
    <n v="1"/>
    <s v="2nd week"/>
    <m/>
    <m/>
    <n v="1"/>
    <s v="2nd week"/>
    <m/>
    <m/>
    <m/>
    <m/>
    <m/>
    <m/>
    <x v="17"/>
    <x v="15"/>
    <s v="Printer"/>
  </r>
  <r>
    <e v="#NAME?"/>
    <s v="Thermal Printer"/>
    <x v="0"/>
    <s v="pc"/>
    <m/>
    <m/>
    <m/>
    <n v="1"/>
    <s v="2nd Week"/>
    <m/>
    <m/>
    <m/>
    <m/>
    <m/>
    <m/>
    <m/>
    <m/>
    <m/>
    <m/>
    <m/>
    <m/>
    <m/>
    <m/>
    <x v="17"/>
    <x v="61"/>
    <m/>
  </r>
  <r>
    <e v="#NAME?"/>
    <s v="UPS, 625va, 325 Watts"/>
    <x v="5"/>
    <s v="pc"/>
    <m/>
    <m/>
    <m/>
    <n v="4"/>
    <s v="2nd Week"/>
    <m/>
    <m/>
    <n v="3"/>
    <s v="2nd week"/>
    <m/>
    <m/>
    <n v="3"/>
    <s v="2nd week"/>
    <m/>
    <m/>
    <m/>
    <m/>
    <m/>
    <m/>
    <x v="17"/>
    <x v="3"/>
    <m/>
  </r>
  <r>
    <e v="#NAME?"/>
    <s v="Canon Image Formula DR-M160II"/>
    <x v="1"/>
    <s v="pc"/>
    <m/>
    <m/>
    <m/>
    <n v="1"/>
    <s v="2nd Week"/>
    <m/>
    <m/>
    <n v="1"/>
    <s v="2nd week"/>
    <m/>
    <m/>
    <m/>
    <m/>
    <m/>
    <m/>
    <m/>
    <m/>
    <m/>
    <m/>
    <x v="17"/>
    <x v="62"/>
    <m/>
  </r>
  <r>
    <e v="#NAME?"/>
    <s v="Branded Computer Set with Printer"/>
    <x v="1"/>
    <s v="sets"/>
    <m/>
    <m/>
    <s v="Public Bidding"/>
    <n v="2"/>
    <s v="2nd wk"/>
    <m/>
    <m/>
    <m/>
    <m/>
    <m/>
    <m/>
    <m/>
    <m/>
    <m/>
    <m/>
    <m/>
    <m/>
    <m/>
    <m/>
    <x v="18"/>
    <x v="0"/>
    <m/>
  </r>
  <r>
    <e v="#NAME?"/>
    <s v="Lightweight Laptop"/>
    <x v="0"/>
    <s v="pc"/>
    <m/>
    <m/>
    <s v="Public Bidding"/>
    <n v="1"/>
    <s v="2nd wk"/>
    <m/>
    <m/>
    <m/>
    <m/>
    <m/>
    <m/>
    <m/>
    <m/>
    <m/>
    <m/>
    <m/>
    <m/>
    <m/>
    <m/>
    <x v="18"/>
    <x v="40"/>
    <m/>
  </r>
  <r>
    <e v="#NAME?"/>
    <s v="Cellphone (Android)"/>
    <x v="0"/>
    <s v="pc"/>
    <m/>
    <m/>
    <s v="Public Bidding"/>
    <n v="1"/>
    <s v="2nd wk"/>
    <m/>
    <m/>
    <m/>
    <m/>
    <m/>
    <m/>
    <m/>
    <m/>
    <m/>
    <m/>
    <m/>
    <m/>
    <m/>
    <m/>
    <x v="18"/>
    <x v="63"/>
    <m/>
  </r>
  <r>
    <e v="#NAME?"/>
    <s v="Branded desktop set"/>
    <x v="10"/>
    <s v="set"/>
    <m/>
    <m/>
    <s v="Public Bidding"/>
    <n v="4"/>
    <n v="5"/>
    <m/>
    <m/>
    <n v="0"/>
    <m/>
    <m/>
    <m/>
    <n v="0"/>
    <m/>
    <m/>
    <m/>
    <n v="0"/>
    <m/>
    <m/>
    <m/>
    <x v="19"/>
    <x v="0"/>
    <m/>
  </r>
  <r>
    <e v="#NAME?"/>
    <s v="CCTV"/>
    <x v="9"/>
    <s v="pc"/>
    <m/>
    <m/>
    <s v="Public Bidding"/>
    <n v="5"/>
    <n v="5"/>
    <m/>
    <m/>
    <n v="0"/>
    <m/>
    <m/>
    <m/>
    <n v="0"/>
    <m/>
    <m/>
    <m/>
    <n v="0"/>
    <m/>
    <m/>
    <m/>
    <x v="19"/>
    <x v="5"/>
    <s v="N/A"/>
  </r>
  <r>
    <e v="#NAME?"/>
    <s v="UPS, 625va, 325 Watts"/>
    <x v="16"/>
    <s v="pc"/>
    <m/>
    <m/>
    <s v="Public Bidding"/>
    <n v="6"/>
    <n v="6"/>
    <m/>
    <m/>
    <n v="0"/>
    <m/>
    <m/>
    <m/>
    <n v="0"/>
    <m/>
    <m/>
    <m/>
    <n v="0"/>
    <m/>
    <m/>
    <m/>
    <x v="19"/>
    <x v="3"/>
    <m/>
  </r>
  <r>
    <e v="#NAME?"/>
    <s v="Webcam Full HD 1080p with Built in Microphone, , USB plug and play, with attachable mounting clip"/>
    <x v="1"/>
    <s v="pc"/>
    <m/>
    <m/>
    <s v="Public Bidding"/>
    <n v="2"/>
    <n v="2"/>
    <m/>
    <m/>
    <n v="0"/>
    <m/>
    <m/>
    <m/>
    <n v="0"/>
    <m/>
    <m/>
    <m/>
    <n v="0"/>
    <m/>
    <m/>
    <m/>
    <x v="19"/>
    <x v="2"/>
    <m/>
  </r>
  <r>
    <e v="#NAME?"/>
    <s v="Branded Headset with built-in boom type microphone, Noise cancelling capability and active noise cancellation, 3.5mm Input Jack, over ear, Adjustable headband, compatibility with Windows PC and IOS"/>
    <x v="1"/>
    <s v="pc"/>
    <m/>
    <m/>
    <s v="Public Bidding"/>
    <n v="2"/>
    <n v="2"/>
    <m/>
    <m/>
    <n v="0"/>
    <m/>
    <m/>
    <m/>
    <n v="0"/>
    <m/>
    <m/>
    <m/>
    <n v="0"/>
    <m/>
    <m/>
    <m/>
    <x v="19"/>
    <x v="4"/>
    <m/>
  </r>
  <r>
    <e v="#NAME?"/>
    <s v="Laptop Lightweight"/>
    <x v="0"/>
    <s v="UNIT"/>
    <m/>
    <m/>
    <s v="Public Bidding"/>
    <n v="1"/>
    <n v="1"/>
    <m/>
    <m/>
    <n v="0"/>
    <m/>
    <m/>
    <m/>
    <n v="0"/>
    <m/>
    <m/>
    <m/>
    <n v="0"/>
    <m/>
    <m/>
    <m/>
    <x v="19"/>
    <x v="40"/>
    <m/>
  </r>
  <r>
    <e v="#NAME?"/>
    <s v="Projector"/>
    <x v="0"/>
    <s v="pc"/>
    <m/>
    <m/>
    <s v="Public Bidding"/>
    <n v="1"/>
    <n v="1"/>
    <m/>
    <m/>
    <n v="0"/>
    <m/>
    <m/>
    <m/>
    <n v="0"/>
    <m/>
    <m/>
    <m/>
    <n v="0"/>
    <m/>
    <m/>
    <m/>
    <x v="19"/>
    <x v="64"/>
    <m/>
  </r>
  <r>
    <e v="#NAME?"/>
    <s v="Telephone"/>
    <x v="1"/>
    <s v="pc"/>
    <m/>
    <m/>
    <s v="Public Bidding"/>
    <n v="2"/>
    <n v="2"/>
    <m/>
    <m/>
    <n v="0"/>
    <m/>
    <m/>
    <m/>
    <n v="0"/>
    <m/>
    <m/>
    <m/>
    <n v="0"/>
    <m/>
    <m/>
    <m/>
    <x v="19"/>
    <x v="52"/>
    <m/>
  </r>
  <r>
    <e v="#NAME?"/>
    <s v="Professional walkie-talkie"/>
    <x v="10"/>
    <s v="pc"/>
    <m/>
    <m/>
    <s v="Public Bidding"/>
    <n v="4"/>
    <n v="4"/>
    <m/>
    <m/>
    <n v="0"/>
    <m/>
    <m/>
    <m/>
    <n v="0"/>
    <m/>
    <m/>
    <m/>
    <n v="0"/>
    <m/>
    <m/>
    <m/>
    <x v="19"/>
    <x v="65"/>
    <m/>
  </r>
  <r>
    <e v="#NAME?"/>
    <s v="Ink,Black, compatible to Brother DCP-T700W"/>
    <x v="3"/>
    <s v="pc"/>
    <m/>
    <m/>
    <s v="Public Bidding"/>
    <n v="15"/>
    <n v="5"/>
    <n v="5"/>
    <n v="5"/>
    <n v="15"/>
    <n v="5"/>
    <n v="5"/>
    <n v="5"/>
    <n v="15"/>
    <n v="5"/>
    <n v="5"/>
    <n v="5"/>
    <n v="15"/>
    <n v="5"/>
    <n v="5"/>
    <n v="5"/>
    <x v="19"/>
    <x v="66"/>
    <m/>
  </r>
  <r>
    <e v="#NAME?"/>
    <s v="Ink, magenta,compatible to Brother DCP-T700W"/>
    <x v="23"/>
    <s v="pc"/>
    <m/>
    <m/>
    <s v="Public Bidding"/>
    <n v="6"/>
    <n v="2"/>
    <n v="2"/>
    <n v="2"/>
    <n v="9"/>
    <n v="3"/>
    <n v="3"/>
    <n v="3"/>
    <n v="9"/>
    <n v="3"/>
    <n v="3"/>
    <n v="3"/>
    <n v="9"/>
    <n v="3"/>
    <n v="3"/>
    <n v="3"/>
    <x v="19"/>
    <x v="67"/>
    <m/>
  </r>
  <r>
    <e v="#NAME?"/>
    <s v="Ink, cyan, compatible to Brother DCP-T700W"/>
    <x v="23"/>
    <s v="pc"/>
    <m/>
    <m/>
    <s v="Public Bidding"/>
    <n v="6"/>
    <n v="2"/>
    <n v="2"/>
    <n v="2"/>
    <n v="9"/>
    <n v="3"/>
    <n v="3"/>
    <n v="3"/>
    <n v="9"/>
    <n v="3"/>
    <n v="3"/>
    <n v="3"/>
    <n v="9"/>
    <n v="3"/>
    <n v="3"/>
    <n v="3"/>
    <x v="19"/>
    <x v="68"/>
    <m/>
  </r>
  <r>
    <e v="#NAME?"/>
    <s v="Ink ,yellow,compatible to Brother DCP-T700W"/>
    <x v="23"/>
    <s v="pc"/>
    <m/>
    <m/>
    <s v="Public Bidding"/>
    <n v="6"/>
    <n v="2"/>
    <n v="2"/>
    <n v="2"/>
    <n v="9"/>
    <n v="3"/>
    <n v="3"/>
    <n v="3"/>
    <n v="9"/>
    <n v="3"/>
    <n v="3"/>
    <n v="3"/>
    <n v="9"/>
    <n v="3"/>
    <n v="3"/>
    <n v="3"/>
    <x v="19"/>
    <x v="66"/>
    <m/>
  </r>
  <r>
    <e v="#NAME?"/>
    <s v="Ink Black compatible to Epson L3210"/>
    <x v="24"/>
    <s v="pc"/>
    <m/>
    <m/>
    <s v="Public Bidding"/>
    <n v="9"/>
    <n v="3"/>
    <n v="3"/>
    <n v="3"/>
    <n v="9"/>
    <n v="3"/>
    <n v="3"/>
    <n v="3"/>
    <n v="9"/>
    <n v="3"/>
    <n v="3"/>
    <n v="3"/>
    <n v="9"/>
    <n v="3"/>
    <n v="3"/>
    <n v="3"/>
    <x v="19"/>
    <x v="26"/>
    <m/>
  </r>
  <r>
    <e v="#NAME?"/>
    <s v="Ink Cyan compatible to Epson L3210"/>
    <x v="4"/>
    <s v="pc"/>
    <m/>
    <m/>
    <s v="Public Bidding"/>
    <n v="3"/>
    <n v="1"/>
    <n v="1"/>
    <n v="1"/>
    <n v="3"/>
    <n v="1"/>
    <n v="1"/>
    <n v="1"/>
    <n v="3"/>
    <n v="1"/>
    <n v="1"/>
    <n v="1"/>
    <n v="3"/>
    <n v="1"/>
    <n v="1"/>
    <n v="1"/>
    <x v="19"/>
    <x v="27"/>
    <m/>
  </r>
  <r>
    <e v="#NAME?"/>
    <s v="Ink Magenta compatible to Epson L3210"/>
    <x v="4"/>
    <s v="pc"/>
    <m/>
    <m/>
    <s v="Public Bidding"/>
    <n v="3"/>
    <n v="1"/>
    <n v="1"/>
    <n v="1"/>
    <n v="3"/>
    <n v="1"/>
    <n v="1"/>
    <n v="1"/>
    <n v="3"/>
    <n v="1"/>
    <n v="1"/>
    <n v="1"/>
    <n v="3"/>
    <n v="1"/>
    <n v="1"/>
    <n v="1"/>
    <x v="19"/>
    <x v="28"/>
    <m/>
  </r>
  <r>
    <e v="#NAME?"/>
    <s v="Ink Yellow compatible to Epson L3210"/>
    <x v="4"/>
    <s v="pc"/>
    <m/>
    <m/>
    <s v="Public Bidding"/>
    <n v="3"/>
    <n v="1"/>
    <n v="1"/>
    <n v="1"/>
    <n v="3"/>
    <n v="1"/>
    <n v="1"/>
    <n v="1"/>
    <n v="3"/>
    <n v="1"/>
    <n v="1"/>
    <n v="1"/>
    <n v="3"/>
    <n v="1"/>
    <n v="1"/>
    <n v="1"/>
    <x v="19"/>
    <x v="29"/>
    <m/>
  </r>
  <r>
    <e v="#NAME?"/>
    <s v="Kyocera TK-8113Y"/>
    <x v="2"/>
    <s v="cart"/>
    <m/>
    <m/>
    <m/>
    <n v="1"/>
    <n v="1"/>
    <m/>
    <m/>
    <n v="1"/>
    <m/>
    <n v="1"/>
    <m/>
    <n v="1"/>
    <m/>
    <n v="1"/>
    <m/>
    <n v="0"/>
    <m/>
    <m/>
    <m/>
    <x v="20"/>
    <x v="69"/>
    <m/>
  </r>
  <r>
    <e v="#NAME?"/>
    <s v="Kyocera TK-8113M"/>
    <x v="2"/>
    <s v="cart"/>
    <m/>
    <m/>
    <m/>
    <n v="1"/>
    <n v="1"/>
    <m/>
    <m/>
    <n v="1"/>
    <m/>
    <n v="1"/>
    <m/>
    <n v="1"/>
    <m/>
    <n v="1"/>
    <m/>
    <n v="0"/>
    <m/>
    <m/>
    <m/>
    <x v="20"/>
    <x v="5"/>
    <s v="N/A"/>
  </r>
  <r>
    <e v="#NAME?"/>
    <s v="Kyocera TK-8113C"/>
    <x v="2"/>
    <s v="cart"/>
    <m/>
    <m/>
    <m/>
    <n v="1"/>
    <n v="1"/>
    <m/>
    <m/>
    <n v="1"/>
    <m/>
    <n v="1"/>
    <m/>
    <n v="1"/>
    <m/>
    <n v="1"/>
    <m/>
    <n v="0"/>
    <m/>
    <m/>
    <m/>
    <x v="20"/>
    <x v="5"/>
    <s v="N/A"/>
  </r>
  <r>
    <e v="#NAME?"/>
    <s v="Kyocera TK-8113K"/>
    <x v="2"/>
    <s v="cart"/>
    <m/>
    <m/>
    <m/>
    <n v="1"/>
    <n v="1"/>
    <m/>
    <m/>
    <n v="1"/>
    <m/>
    <n v="1"/>
    <m/>
    <n v="1"/>
    <m/>
    <n v="1"/>
    <m/>
    <n v="0"/>
    <m/>
    <m/>
    <m/>
    <x v="20"/>
    <x v="70"/>
    <m/>
  </r>
  <r>
    <e v="#NAME?"/>
    <s v="EPSON 003 - CYAN"/>
    <x v="15"/>
    <s v="Bottle"/>
    <m/>
    <m/>
    <m/>
    <n v="5"/>
    <n v="5"/>
    <m/>
    <m/>
    <n v="5"/>
    <n v="5"/>
    <m/>
    <m/>
    <n v="5"/>
    <n v="5"/>
    <m/>
    <m/>
    <n v="5"/>
    <n v="5"/>
    <m/>
    <m/>
    <x v="20"/>
    <x v="29"/>
    <m/>
  </r>
  <r>
    <e v="#NAME?"/>
    <s v="EPSON 003 - MAGENTA"/>
    <x v="15"/>
    <s v="Bottle"/>
    <m/>
    <m/>
    <m/>
    <n v="5"/>
    <n v="5"/>
    <m/>
    <m/>
    <n v="5"/>
    <n v="5"/>
    <m/>
    <m/>
    <n v="5"/>
    <n v="5"/>
    <m/>
    <m/>
    <n v="5"/>
    <n v="5"/>
    <m/>
    <m/>
    <x v="20"/>
    <x v="27"/>
    <m/>
  </r>
  <r>
    <e v="#NAME?"/>
    <s v="EPSON 003 - YELLOW"/>
    <x v="15"/>
    <s v="Bottle"/>
    <m/>
    <m/>
    <m/>
    <n v="5"/>
    <n v="5"/>
    <m/>
    <m/>
    <n v="5"/>
    <n v="5"/>
    <m/>
    <m/>
    <n v="5"/>
    <n v="5"/>
    <m/>
    <m/>
    <n v="5"/>
    <n v="5"/>
    <m/>
    <m/>
    <x v="20"/>
    <x v="28"/>
    <m/>
  </r>
  <r>
    <e v="#NAME?"/>
    <s v="EPSON 003 - BLACK"/>
    <x v="12"/>
    <s v="Bottle"/>
    <m/>
    <m/>
    <m/>
    <n v="10"/>
    <n v="10"/>
    <m/>
    <m/>
    <n v="10"/>
    <n v="10"/>
    <m/>
    <m/>
    <n v="5"/>
    <n v="5"/>
    <m/>
    <m/>
    <n v="5"/>
    <n v="5"/>
    <m/>
    <m/>
    <x v="20"/>
    <x v="26"/>
    <m/>
  </r>
  <r>
    <e v="#NAME?"/>
    <s v="Kyocera TK-1168"/>
    <x v="1"/>
    <s v="cart"/>
    <m/>
    <m/>
    <m/>
    <n v="1"/>
    <n v="1"/>
    <m/>
    <m/>
    <n v="0"/>
    <m/>
    <m/>
    <m/>
    <n v="1"/>
    <n v="1"/>
    <m/>
    <m/>
    <n v="0"/>
    <m/>
    <m/>
    <m/>
    <x v="20"/>
    <x v="25"/>
    <m/>
  </r>
  <r>
    <e v="#NAME?"/>
    <s v="Ink for Epson L120 (T6641), Black"/>
    <x v="3"/>
    <s v="pc"/>
    <m/>
    <m/>
    <s v="Public Bidding"/>
    <n v="15"/>
    <n v="5"/>
    <n v="5"/>
    <n v="5"/>
    <n v="15"/>
    <n v="5"/>
    <n v="5"/>
    <n v="5"/>
    <n v="15"/>
    <n v="5"/>
    <n v="5"/>
    <n v="5"/>
    <n v="15"/>
    <n v="5"/>
    <n v="5"/>
    <n v="5"/>
    <x v="21"/>
    <x v="16"/>
    <m/>
  </r>
  <r>
    <e v="#NAME?"/>
    <s v="Ink for Epson L120 (T6642), Yellow"/>
    <x v="3"/>
    <s v="pc"/>
    <m/>
    <m/>
    <s v="Public Bidding"/>
    <n v="15"/>
    <n v="5"/>
    <n v="5"/>
    <n v="5"/>
    <n v="15"/>
    <n v="5"/>
    <n v="5"/>
    <n v="5"/>
    <n v="15"/>
    <n v="5"/>
    <n v="5"/>
    <n v="5"/>
    <n v="15"/>
    <n v="5"/>
    <n v="5"/>
    <n v="5"/>
    <x v="21"/>
    <x v="17"/>
    <m/>
  </r>
  <r>
    <e v="#NAME?"/>
    <s v="Ink for Epson L120 (T6643), Magenta"/>
    <x v="3"/>
    <s v="pc"/>
    <m/>
    <m/>
    <s v="Public Bidding"/>
    <n v="15"/>
    <n v="5"/>
    <n v="5"/>
    <n v="5"/>
    <n v="15"/>
    <n v="5"/>
    <n v="5"/>
    <n v="5"/>
    <n v="15"/>
    <n v="5"/>
    <n v="5"/>
    <n v="5"/>
    <n v="15"/>
    <n v="5"/>
    <n v="5"/>
    <n v="5"/>
    <x v="21"/>
    <x v="18"/>
    <m/>
  </r>
  <r>
    <e v="#NAME?"/>
    <s v="Ink for Epson L120 (T6642), Cyan"/>
    <x v="3"/>
    <s v="pc"/>
    <m/>
    <m/>
    <s v="Public Bidding"/>
    <n v="15"/>
    <n v="5"/>
    <n v="5"/>
    <n v="5"/>
    <n v="15"/>
    <n v="5"/>
    <n v="5"/>
    <n v="5"/>
    <n v="15"/>
    <n v="5"/>
    <n v="5"/>
    <n v="5"/>
    <n v="15"/>
    <n v="5"/>
    <n v="5"/>
    <n v="5"/>
    <x v="21"/>
    <x v="19"/>
    <m/>
  </r>
  <r>
    <e v="#NAME?"/>
    <s v="Ink for Epson L3210 and L3250 (003), Black"/>
    <x v="3"/>
    <s v="pc"/>
    <m/>
    <m/>
    <s v="Public Bidding"/>
    <n v="15"/>
    <n v="5"/>
    <n v="5"/>
    <n v="5"/>
    <n v="15"/>
    <n v="5"/>
    <n v="5"/>
    <n v="5"/>
    <n v="15"/>
    <n v="5"/>
    <n v="5"/>
    <n v="5"/>
    <n v="15"/>
    <n v="5"/>
    <n v="5"/>
    <n v="5"/>
    <x v="21"/>
    <x v="26"/>
    <m/>
  </r>
  <r>
    <e v="#NAME?"/>
    <s v="Ink for Epson L3210 and L3250 (003), Yellow"/>
    <x v="3"/>
    <s v="pc"/>
    <m/>
    <m/>
    <s v="Public Bidding"/>
    <n v="15"/>
    <n v="5"/>
    <n v="5"/>
    <n v="5"/>
    <n v="15"/>
    <n v="5"/>
    <n v="5"/>
    <n v="5"/>
    <n v="15"/>
    <n v="5"/>
    <n v="5"/>
    <n v="5"/>
    <n v="15"/>
    <n v="5"/>
    <n v="5"/>
    <n v="5"/>
    <x v="21"/>
    <x v="27"/>
    <m/>
  </r>
  <r>
    <e v="#NAME?"/>
    <s v="Ink for Epson L3210 and L3250 (003), Magenta"/>
    <x v="3"/>
    <s v="pc"/>
    <m/>
    <m/>
    <s v="Public Bidding"/>
    <n v="15"/>
    <n v="5"/>
    <n v="5"/>
    <n v="5"/>
    <n v="15"/>
    <n v="5"/>
    <n v="5"/>
    <n v="5"/>
    <n v="15"/>
    <n v="5"/>
    <n v="5"/>
    <n v="5"/>
    <n v="15"/>
    <n v="5"/>
    <n v="5"/>
    <n v="5"/>
    <x v="21"/>
    <x v="28"/>
    <m/>
  </r>
  <r>
    <e v="#NAME?"/>
    <s v="Ink for Epson L3210 and L3250 (003), Cyan"/>
    <x v="3"/>
    <s v="pc"/>
    <m/>
    <m/>
    <s v="Public Bidding"/>
    <n v="15"/>
    <n v="5"/>
    <n v="5"/>
    <n v="5"/>
    <n v="15"/>
    <n v="5"/>
    <n v="5"/>
    <n v="5"/>
    <n v="15"/>
    <n v="5"/>
    <n v="5"/>
    <n v="5"/>
    <n v="15"/>
    <n v="5"/>
    <n v="5"/>
    <n v="5"/>
    <x v="21"/>
    <x v="29"/>
    <m/>
  </r>
  <r>
    <e v="#NAME?"/>
    <s v="TONER compatible to Kyocera TASKalfa 3212i"/>
    <x v="10"/>
    <s v="pc"/>
    <m/>
    <m/>
    <s v="Public Bidding"/>
    <n v="1"/>
    <n v="1"/>
    <n v="0"/>
    <n v="0"/>
    <n v="1"/>
    <n v="1"/>
    <n v="0"/>
    <n v="0"/>
    <n v="1"/>
    <n v="1"/>
    <n v="0"/>
    <n v="0"/>
    <n v="1"/>
    <n v="1"/>
    <n v="0"/>
    <n v="0"/>
    <x v="21"/>
    <x v="56"/>
    <m/>
  </r>
  <r>
    <e v="#NAME?"/>
    <s v="CELLPHONE"/>
    <x v="1"/>
    <s v="UNIT"/>
    <m/>
    <m/>
    <s v="Public Bidding"/>
    <n v="2"/>
    <n v="2"/>
    <n v="0"/>
    <n v="0"/>
    <n v="0"/>
    <n v="0"/>
    <n v="0"/>
    <n v="0"/>
    <n v="0"/>
    <n v="0"/>
    <n v="0"/>
    <n v="0"/>
    <n v="0"/>
    <n v="0"/>
    <n v="0"/>
    <n v="0"/>
    <x v="22"/>
    <x v="63"/>
    <m/>
  </r>
  <r>
    <e v="#NAME?"/>
    <s v="COPIER MONOCHROME MULTIFUNCTIONAL PRINT, COPY, COLOUR SCAN AND FAX"/>
    <x v="0"/>
    <s v="UNIT"/>
    <m/>
    <m/>
    <s v="Public Bidding"/>
    <n v="1"/>
    <n v="1"/>
    <n v="0"/>
    <n v="0"/>
    <n v="0"/>
    <n v="0"/>
    <n v="0"/>
    <n v="0"/>
    <n v="0"/>
    <n v="0"/>
    <n v="0"/>
    <n v="0"/>
    <n v="0"/>
    <n v="0"/>
    <n v="0"/>
    <n v="0"/>
    <x v="22"/>
    <x v="53"/>
    <m/>
  </r>
  <r>
    <e v="#NAME?"/>
    <s v="DESKTOP FOR MID-RANGE USERS"/>
    <x v="18"/>
    <s v="UNIT"/>
    <m/>
    <m/>
    <s v="Public Bidding"/>
    <n v="6"/>
    <n v="6"/>
    <n v="0"/>
    <n v="0"/>
    <n v="0"/>
    <n v="0"/>
    <n v="0"/>
    <n v="0"/>
    <n v="3"/>
    <n v="3"/>
    <n v="0"/>
    <n v="0"/>
    <n v="0"/>
    <n v="0"/>
    <n v="0"/>
    <n v="0"/>
    <x v="22"/>
    <x v="0"/>
    <m/>
  </r>
  <r>
    <e v="#NAME?"/>
    <s v="DIGITAL VOICE RECORDER"/>
    <x v="0"/>
    <s v="UNIT"/>
    <m/>
    <m/>
    <s v="Public Bidding"/>
    <n v="1"/>
    <n v="1"/>
    <n v="0"/>
    <n v="0"/>
    <n v="0"/>
    <n v="0"/>
    <n v="0"/>
    <n v="0"/>
    <n v="0"/>
    <n v="0"/>
    <n v="0"/>
    <n v="0"/>
    <n v="0"/>
    <n v="0"/>
    <n v="0"/>
    <n v="0"/>
    <x v="22"/>
    <x v="71"/>
    <m/>
  </r>
  <r>
    <e v="#NAME?"/>
    <s v="DRUM KIT TK-6113"/>
    <x v="9"/>
    <s v="cart"/>
    <m/>
    <m/>
    <s v="Public Bidding"/>
    <n v="5"/>
    <n v="5"/>
    <n v="0"/>
    <n v="0"/>
    <n v="0"/>
    <n v="0"/>
    <n v="0"/>
    <n v="0"/>
    <n v="0"/>
    <n v="0"/>
    <n v="0"/>
    <n v="0"/>
    <n v="0"/>
    <n v="0"/>
    <n v="0"/>
    <n v="0"/>
    <x v="22"/>
    <x v="5"/>
    <s v="Maintenance Fund"/>
  </r>
  <r>
    <e v="#NAME?"/>
    <s v="FLASH DRIVE, 16 GB CAPACITY"/>
    <x v="9"/>
    <s v="Piece"/>
    <m/>
    <m/>
    <s v="Public Bidding"/>
    <n v="5"/>
    <n v="5"/>
    <n v="0"/>
    <n v="0"/>
    <n v="0"/>
    <n v="0"/>
    <n v="0"/>
    <n v="0"/>
    <n v="0"/>
    <n v="0"/>
    <n v="0"/>
    <n v="0"/>
    <n v="0"/>
    <n v="0"/>
    <n v="0"/>
    <n v="0"/>
    <x v="22"/>
    <x v="54"/>
    <m/>
  </r>
  <r>
    <e v="#NAME?"/>
    <s v="INK CART, EPSON C13T664100 (T6641), BLACK"/>
    <x v="24"/>
    <s v="Bottle"/>
    <m/>
    <m/>
    <s v="Public Bidding"/>
    <n v="9"/>
    <n v="3"/>
    <n v="3"/>
    <n v="3"/>
    <n v="9"/>
    <n v="3"/>
    <n v="3"/>
    <n v="3"/>
    <n v="9"/>
    <n v="3"/>
    <n v="3"/>
    <n v="3"/>
    <n v="9"/>
    <n v="3"/>
    <n v="3"/>
    <n v="3"/>
    <x v="22"/>
    <x v="16"/>
    <m/>
  </r>
  <r>
    <e v="#NAME?"/>
    <s v="INK CART, EPSON C13T664200 (T6642), CYAN"/>
    <x v="24"/>
    <s v="Bottle"/>
    <m/>
    <m/>
    <s v="Public Bidding"/>
    <n v="9"/>
    <n v="3"/>
    <n v="3"/>
    <n v="3"/>
    <n v="9"/>
    <n v="3"/>
    <n v="3"/>
    <n v="3"/>
    <n v="9"/>
    <n v="3"/>
    <n v="3"/>
    <n v="3"/>
    <n v="9"/>
    <n v="3"/>
    <n v="3"/>
    <n v="3"/>
    <x v="22"/>
    <x v="17"/>
    <m/>
  </r>
  <r>
    <e v="#NAME?"/>
    <s v="INK CART, EPSON C13T664300 (T6643), MAGENTA"/>
    <x v="24"/>
    <s v="Bottle"/>
    <m/>
    <m/>
    <s v="Public Bidding"/>
    <n v="9"/>
    <n v="3"/>
    <n v="3"/>
    <n v="3"/>
    <n v="9"/>
    <n v="3"/>
    <n v="3"/>
    <n v="3"/>
    <n v="9"/>
    <n v="3"/>
    <n v="3"/>
    <n v="3"/>
    <n v="9"/>
    <n v="3"/>
    <n v="3"/>
    <n v="3"/>
    <x v="22"/>
    <x v="18"/>
    <m/>
  </r>
  <r>
    <e v="#NAME?"/>
    <s v="INK CART, EPSON C13T664400 (T6644), YELLOW"/>
    <x v="24"/>
    <s v="Bottle"/>
    <m/>
    <m/>
    <s v="Public Bidding"/>
    <n v="9"/>
    <n v="3"/>
    <n v="3"/>
    <n v="3"/>
    <n v="9"/>
    <n v="3"/>
    <n v="3"/>
    <n v="3"/>
    <n v="9"/>
    <n v="3"/>
    <n v="3"/>
    <n v="3"/>
    <n v="9"/>
    <n v="3"/>
    <n v="3"/>
    <n v="3"/>
    <x v="22"/>
    <x v="19"/>
    <m/>
  </r>
  <r>
    <e v="#NAME?"/>
    <s v="INK EPSON 003 BLACK"/>
    <x v="24"/>
    <s v="Bottle"/>
    <m/>
    <m/>
    <s v="Public Bidding"/>
    <n v="9"/>
    <n v="3"/>
    <n v="3"/>
    <n v="3"/>
    <n v="9"/>
    <n v="3"/>
    <n v="3"/>
    <n v="3"/>
    <n v="9"/>
    <n v="3"/>
    <n v="3"/>
    <n v="3"/>
    <n v="9"/>
    <n v="3"/>
    <n v="3"/>
    <n v="3"/>
    <x v="22"/>
    <x v="26"/>
    <m/>
  </r>
  <r>
    <e v="#NAME?"/>
    <s v="INK EPSON 003 CYAN"/>
    <x v="24"/>
    <s v="Bottle"/>
    <m/>
    <m/>
    <s v="Public Bidding"/>
    <n v="9"/>
    <n v="3"/>
    <n v="3"/>
    <n v="3"/>
    <n v="9"/>
    <n v="3"/>
    <n v="3"/>
    <n v="3"/>
    <n v="9"/>
    <n v="3"/>
    <n v="3"/>
    <n v="3"/>
    <n v="9"/>
    <n v="3"/>
    <n v="3"/>
    <n v="3"/>
    <x v="22"/>
    <x v="27"/>
    <m/>
  </r>
  <r>
    <e v="#NAME?"/>
    <s v="INK EPSON 003 MAGENTA"/>
    <x v="24"/>
    <s v="Bottle"/>
    <m/>
    <m/>
    <s v="Public Bidding"/>
    <n v="9"/>
    <n v="3"/>
    <n v="3"/>
    <n v="3"/>
    <n v="9"/>
    <n v="3"/>
    <n v="3"/>
    <n v="3"/>
    <n v="9"/>
    <n v="3"/>
    <n v="3"/>
    <n v="3"/>
    <n v="9"/>
    <n v="3"/>
    <n v="3"/>
    <n v="3"/>
    <x v="22"/>
    <x v="28"/>
    <m/>
  </r>
  <r>
    <e v="#NAME?"/>
    <s v="INK EPSON 003 YELLOW"/>
    <x v="24"/>
    <s v="Bottle"/>
    <m/>
    <m/>
    <s v="Public Bidding"/>
    <n v="9"/>
    <n v="3"/>
    <n v="3"/>
    <n v="3"/>
    <n v="9"/>
    <n v="3"/>
    <n v="3"/>
    <n v="3"/>
    <n v="9"/>
    <n v="3"/>
    <n v="3"/>
    <n v="3"/>
    <n v="9"/>
    <n v="3"/>
    <n v="3"/>
    <n v="3"/>
    <x v="22"/>
    <x v="29"/>
    <m/>
  </r>
  <r>
    <e v="#NAME?"/>
    <s v="KEYBOARD, FULL SIZE, USB 2.0"/>
    <x v="5"/>
    <s v="pc"/>
    <m/>
    <m/>
    <s v="Public Bidding"/>
    <n v="10"/>
    <n v="10"/>
    <n v="0"/>
    <n v="0"/>
    <n v="0"/>
    <n v="0"/>
    <n v="0"/>
    <n v="0"/>
    <n v="0"/>
    <n v="0"/>
    <n v="0"/>
    <n v="0"/>
    <n v="0"/>
    <n v="0"/>
    <n v="0"/>
    <n v="0"/>
    <x v="22"/>
    <x v="13"/>
    <m/>
  </r>
  <r>
    <e v="#NAME?"/>
    <s v="LAPTOP, LIGHTWEIGHT"/>
    <x v="0"/>
    <s v="UNIT"/>
    <m/>
    <m/>
    <s v="Public Bidding"/>
    <n v="1"/>
    <n v="1"/>
    <n v="0"/>
    <n v="0"/>
    <n v="0"/>
    <n v="0"/>
    <n v="0"/>
    <n v="0"/>
    <n v="0"/>
    <n v="0"/>
    <n v="0"/>
    <n v="0"/>
    <n v="0"/>
    <n v="0"/>
    <n v="0"/>
    <n v="0"/>
    <x v="22"/>
    <x v="40"/>
    <m/>
  </r>
  <r>
    <e v="#NAME?"/>
    <s v="LAPTOP, MID-RANGE"/>
    <x v="1"/>
    <s v="UNIT"/>
    <m/>
    <m/>
    <s v="Public Bidding"/>
    <n v="2"/>
    <n v="2"/>
    <n v="0"/>
    <n v="0"/>
    <n v="0"/>
    <n v="0"/>
    <n v="0"/>
    <n v="0"/>
    <n v="0"/>
    <n v="0"/>
    <n v="0"/>
    <n v="0"/>
    <n v="0"/>
    <n v="0"/>
    <n v="0"/>
    <n v="0"/>
    <x v="22"/>
    <x v="40"/>
    <m/>
  </r>
  <r>
    <e v="#NAME?"/>
    <s v="MAINTENANCE KIT TK-6119"/>
    <x v="9"/>
    <s v="cart"/>
    <m/>
    <m/>
    <s v="Public Bidding"/>
    <n v="5"/>
    <n v="5"/>
    <n v="0"/>
    <n v="0"/>
    <n v="0"/>
    <n v="0"/>
    <n v="0"/>
    <n v="0"/>
    <n v="0"/>
    <n v="0"/>
    <n v="0"/>
    <n v="0"/>
    <n v="0"/>
    <n v="0"/>
    <n v="0"/>
    <n v="0"/>
    <x v="22"/>
    <x v="10"/>
    <m/>
  </r>
  <r>
    <e v="#NAME?"/>
    <s v="MOUSE, OPTICAL"/>
    <x v="5"/>
    <s v="UNIT"/>
    <m/>
    <m/>
    <s v="Public Bidding"/>
    <n v="10"/>
    <n v="10"/>
    <n v="0"/>
    <n v="0"/>
    <n v="0"/>
    <n v="0"/>
    <n v="0"/>
    <n v="0"/>
    <n v="0"/>
    <n v="0"/>
    <n v="0"/>
    <n v="0"/>
    <n v="0"/>
    <n v="0"/>
    <n v="0"/>
    <n v="0"/>
    <x v="22"/>
    <x v="14"/>
    <m/>
  </r>
  <r>
    <e v="#NAME?"/>
    <s v="MULTI-FUNCTION INKJET PRINTER TANK (PRINT, COPY, SCAN)"/>
    <x v="9"/>
    <s v="UNIT"/>
    <m/>
    <m/>
    <s v="Public Bidding"/>
    <n v="5"/>
    <n v="5"/>
    <n v="0"/>
    <n v="0"/>
    <n v="0"/>
    <n v="0"/>
    <n v="0"/>
    <n v="0"/>
    <n v="0"/>
    <n v="0"/>
    <n v="0"/>
    <n v="0"/>
    <n v="0"/>
    <n v="0"/>
    <n v="0"/>
    <n v="0"/>
    <x v="22"/>
    <x v="15"/>
    <s v="Printer"/>
  </r>
  <r>
    <e v="#NAME?"/>
    <s v="THERMAL POS RECEIPT PRINTER"/>
    <x v="5"/>
    <s v="UNIT"/>
    <m/>
    <m/>
    <s v="Public Bidding"/>
    <n v="8"/>
    <n v="8"/>
    <n v="0"/>
    <n v="0"/>
    <n v="0"/>
    <n v="0"/>
    <n v="0"/>
    <n v="0"/>
    <n v="2"/>
    <n v="2"/>
    <n v="0"/>
    <n v="0"/>
    <n v="0"/>
    <n v="0"/>
    <n v="0"/>
    <n v="0"/>
    <x v="22"/>
    <x v="61"/>
    <m/>
  </r>
  <r>
    <e v="#NAME?"/>
    <s v="TONER KIT TK-6113"/>
    <x v="15"/>
    <s v="UNIT"/>
    <m/>
    <m/>
    <s v="Public Bidding"/>
    <n v="5"/>
    <n v="5"/>
    <n v="0"/>
    <n v="0"/>
    <n v="5"/>
    <n v="5"/>
    <n v="0"/>
    <n v="0"/>
    <n v="5"/>
    <n v="5"/>
    <n v="0"/>
    <n v="0"/>
    <n v="5"/>
    <n v="5"/>
    <n v="0"/>
    <n v="0"/>
    <x v="22"/>
    <x v="9"/>
    <m/>
  </r>
  <r>
    <e v="#NAME?"/>
    <s v="TONER KIT TK-1168"/>
    <x v="15"/>
    <s v="UNIT"/>
    <m/>
    <m/>
    <s v="Public Bidding"/>
    <n v="5"/>
    <n v="5"/>
    <n v="0"/>
    <n v="0"/>
    <n v="5"/>
    <n v="5"/>
    <n v="0"/>
    <n v="0"/>
    <n v="5"/>
    <n v="5"/>
    <n v="0"/>
    <n v="0"/>
    <n v="5"/>
    <n v="5"/>
    <n v="0"/>
    <n v="0"/>
    <x v="22"/>
    <x v="25"/>
    <m/>
  </r>
  <r>
    <e v="#NAME?"/>
    <s v="WEBCAM FULL HD 1080P WITH BUILT IN MICROPHONE, , USB PLUG AND PLAY, WITH ATTACHABLE MOUNTING CLIP"/>
    <x v="9"/>
    <s v="UNIT"/>
    <m/>
    <m/>
    <s v="Public Bidding"/>
    <n v="5"/>
    <n v="5"/>
    <n v="0"/>
    <n v="0"/>
    <n v="0"/>
    <n v="0"/>
    <n v="0"/>
    <n v="0"/>
    <n v="0"/>
    <n v="0"/>
    <n v="0"/>
    <n v="0"/>
    <n v="0"/>
    <n v="0"/>
    <n v="0"/>
    <n v="0"/>
    <x v="22"/>
    <x v="2"/>
    <m/>
  </r>
  <r>
    <e v="#NAME?"/>
    <s v="UPS 650VA"/>
    <x v="11"/>
    <s v="UNIT"/>
    <m/>
    <m/>
    <s v="Public Bidding"/>
    <n v="8"/>
    <n v="8"/>
    <n v="0"/>
    <n v="0"/>
    <n v="0"/>
    <n v="0"/>
    <n v="0"/>
    <n v="0"/>
    <n v="0"/>
    <n v="0"/>
    <n v="0"/>
    <n v="0"/>
    <n v="0"/>
    <n v="0"/>
    <n v="0"/>
    <n v="0"/>
    <x v="22"/>
    <x v="3"/>
    <m/>
  </r>
  <r>
    <e v="#NAME?"/>
    <s v="PORTABLE RADIO"/>
    <x v="9"/>
    <s v="UNIT"/>
    <m/>
    <m/>
    <s v="Public Bidding"/>
    <n v="5"/>
    <n v="5"/>
    <n v="0"/>
    <n v="0"/>
    <n v="0"/>
    <n v="0"/>
    <n v="0"/>
    <n v="0"/>
    <n v="0"/>
    <n v="0"/>
    <n v="0"/>
    <n v="0"/>
    <n v="0"/>
    <n v="0"/>
    <n v="0"/>
    <n v="0"/>
    <x v="22"/>
    <x v="65"/>
    <m/>
  </r>
  <r>
    <e v="#NAME?"/>
    <s v="Desktop Speaker"/>
    <x v="0"/>
    <s v="pc"/>
    <m/>
    <m/>
    <m/>
    <n v="1"/>
    <m/>
    <m/>
    <m/>
    <m/>
    <m/>
    <m/>
    <m/>
    <m/>
    <m/>
    <m/>
    <m/>
    <m/>
    <m/>
    <m/>
    <m/>
    <x v="23"/>
    <x v="72"/>
    <m/>
  </r>
  <r>
    <e v="#NAME?"/>
    <s v="Desktop Webcam HD"/>
    <x v="11"/>
    <s v="pc"/>
    <m/>
    <m/>
    <m/>
    <n v="8"/>
    <m/>
    <m/>
    <m/>
    <m/>
    <m/>
    <m/>
    <m/>
    <m/>
    <m/>
    <m/>
    <m/>
    <m/>
    <m/>
    <m/>
    <m/>
    <x v="23"/>
    <x v="2"/>
    <m/>
  </r>
  <r>
    <e v="#NAME?"/>
    <s v="Desktop Headset"/>
    <x v="11"/>
    <s v="pc"/>
    <m/>
    <m/>
    <m/>
    <n v="8"/>
    <m/>
    <m/>
    <m/>
    <m/>
    <m/>
    <m/>
    <m/>
    <m/>
    <m/>
    <m/>
    <m/>
    <m/>
    <m/>
    <m/>
    <m/>
    <x v="23"/>
    <x v="4"/>
    <m/>
  </r>
  <r>
    <e v="#NAME?"/>
    <s v="APC Power Supply BV800I-MS 800VA/450Watts Line Interactive"/>
    <x v="10"/>
    <s v="pc"/>
    <m/>
    <m/>
    <m/>
    <n v="8"/>
    <m/>
    <m/>
    <m/>
    <m/>
    <m/>
    <m/>
    <m/>
    <m/>
    <m/>
    <m/>
    <m/>
    <m/>
    <m/>
    <m/>
    <m/>
    <x v="23"/>
    <x v="3"/>
    <m/>
  </r>
  <r>
    <e v="#NAME?"/>
    <s v="Camera DSLR"/>
    <x v="0"/>
    <s v="set"/>
    <m/>
    <m/>
    <m/>
    <n v="1"/>
    <m/>
    <m/>
    <m/>
    <m/>
    <m/>
    <m/>
    <m/>
    <m/>
    <m/>
    <m/>
    <m/>
    <m/>
    <m/>
    <m/>
    <m/>
    <x v="23"/>
    <x v="73"/>
    <m/>
  </r>
  <r>
    <e v="#NAME?"/>
    <s v="Multi-function Printer: Print/Scan/Copy, Color, Ink Tank System, High Speed USB 2.0, Supported Paper: Legal/Letter/A4; High quality; Leading Brand; 1 year warranty or higher; with Authorized Service Center"/>
    <x v="0"/>
    <s v="pc"/>
    <m/>
    <m/>
    <m/>
    <n v="1"/>
    <m/>
    <m/>
    <m/>
    <m/>
    <m/>
    <m/>
    <m/>
    <m/>
    <m/>
    <m/>
    <m/>
    <m/>
    <m/>
    <m/>
    <m/>
    <x v="23"/>
    <x v="15"/>
    <s v="Printer"/>
  </r>
  <r>
    <e v="#NAME?"/>
    <s v="Kyocera ECOSYS P6230cdn Black Toner Cartridge (Do not Cut Down)"/>
    <x v="1"/>
    <s v="pc"/>
    <m/>
    <m/>
    <m/>
    <n v="2"/>
    <m/>
    <m/>
    <m/>
    <m/>
    <m/>
    <m/>
    <m/>
    <m/>
    <m/>
    <m/>
    <m/>
    <m/>
    <m/>
    <m/>
    <m/>
    <x v="23"/>
    <x v="74"/>
    <m/>
  </r>
  <r>
    <e v="#NAME?"/>
    <s v="Kyocera ECOSYS P6230cdn Yellow Toner Cartridge (Do not Cut Down)"/>
    <x v="1"/>
    <s v="pc"/>
    <m/>
    <m/>
    <m/>
    <n v="2"/>
    <m/>
    <m/>
    <m/>
    <m/>
    <m/>
    <m/>
    <m/>
    <m/>
    <m/>
    <m/>
    <m/>
    <m/>
    <m/>
    <m/>
    <m/>
    <x v="23"/>
    <x v="75"/>
    <m/>
  </r>
  <r>
    <e v="#NAME?"/>
    <s v="Kyocera ECOSYS P6230cdn Magenta Toner Cartridge (Do not Cut Down)"/>
    <x v="1"/>
    <s v="pc"/>
    <m/>
    <m/>
    <m/>
    <n v="2"/>
    <m/>
    <m/>
    <m/>
    <m/>
    <m/>
    <m/>
    <m/>
    <m/>
    <m/>
    <m/>
    <m/>
    <m/>
    <m/>
    <m/>
    <m/>
    <x v="23"/>
    <x v="5"/>
    <s v="N/A"/>
  </r>
  <r>
    <e v="#NAME?"/>
    <s v="Kyocera ECOSYS P6230cdn Cyan Toner Cartridge (Do not Cut Down)"/>
    <x v="1"/>
    <s v="pc"/>
    <m/>
    <m/>
    <m/>
    <n v="2"/>
    <m/>
    <m/>
    <m/>
    <m/>
    <m/>
    <m/>
    <m/>
    <m/>
    <m/>
    <m/>
    <m/>
    <m/>
    <m/>
    <m/>
    <m/>
    <x v="23"/>
    <x v="5"/>
    <s v="N/A"/>
  </r>
  <r>
    <e v="#NAME?"/>
    <s v="Desktop"/>
    <x v="0"/>
    <s v="set"/>
    <m/>
    <m/>
    <m/>
    <n v="1"/>
    <m/>
    <m/>
    <m/>
    <m/>
    <m/>
    <m/>
    <m/>
    <m/>
    <m/>
    <m/>
    <m/>
    <m/>
    <m/>
    <m/>
    <m/>
    <x v="23"/>
    <x v="0"/>
    <m/>
  </r>
  <r>
    <e v="#NAME?"/>
    <s v="Laptop"/>
    <x v="0"/>
    <s v="set"/>
    <m/>
    <m/>
    <m/>
    <n v="1"/>
    <m/>
    <m/>
    <m/>
    <m/>
    <m/>
    <m/>
    <m/>
    <m/>
    <m/>
    <m/>
    <m/>
    <m/>
    <m/>
    <m/>
    <m/>
    <x v="23"/>
    <x v="40"/>
    <m/>
  </r>
  <r>
    <e v="#NAME?"/>
    <s v="Laser pointer with clicker, Wave Length: 640～660nm (red light), Wireless operating distance: Approx 10m,_x000a_ Wireless technology: 2.4 GHz wireless technology"/>
    <x v="0"/>
    <s v="pc"/>
    <m/>
    <m/>
    <m/>
    <n v="1"/>
    <m/>
    <m/>
    <m/>
    <m/>
    <m/>
    <m/>
    <m/>
    <m/>
    <m/>
    <m/>
    <m/>
    <m/>
    <m/>
    <m/>
    <m/>
    <x v="23"/>
    <x v="42"/>
    <m/>
  </r>
  <r>
    <e v="#NAME?"/>
    <s v="L3110 Epson Ink (003) Black"/>
    <x v="15"/>
    <s v="pc"/>
    <m/>
    <m/>
    <m/>
    <n v="5"/>
    <m/>
    <m/>
    <m/>
    <m/>
    <m/>
    <m/>
    <m/>
    <m/>
    <m/>
    <m/>
    <m/>
    <m/>
    <m/>
    <m/>
    <m/>
    <x v="23"/>
    <x v="26"/>
    <m/>
  </r>
  <r>
    <e v="#NAME?"/>
    <s v="L3110 Epson Ink (003) Cyan"/>
    <x v="11"/>
    <s v="pc"/>
    <m/>
    <m/>
    <m/>
    <n v="2"/>
    <m/>
    <m/>
    <m/>
    <m/>
    <m/>
    <m/>
    <m/>
    <m/>
    <m/>
    <m/>
    <m/>
    <m/>
    <m/>
    <m/>
    <m/>
    <x v="23"/>
    <x v="27"/>
    <m/>
  </r>
  <r>
    <e v="#NAME?"/>
    <s v="L3110 Epson Ink (003) Yellow"/>
    <x v="11"/>
    <s v="pc"/>
    <m/>
    <m/>
    <m/>
    <n v="2"/>
    <m/>
    <m/>
    <m/>
    <m/>
    <m/>
    <m/>
    <m/>
    <m/>
    <m/>
    <m/>
    <m/>
    <m/>
    <m/>
    <m/>
    <m/>
    <x v="23"/>
    <x v="28"/>
    <m/>
  </r>
  <r>
    <e v="#NAME?"/>
    <s v="L3110 Epson Ink (003) Magenta"/>
    <x v="11"/>
    <s v="pc"/>
    <m/>
    <m/>
    <m/>
    <n v="2"/>
    <m/>
    <m/>
    <m/>
    <m/>
    <m/>
    <m/>
    <m/>
    <m/>
    <m/>
    <m/>
    <m/>
    <m/>
    <m/>
    <m/>
    <m/>
    <x v="23"/>
    <x v="29"/>
    <m/>
  </r>
  <r>
    <e v="#NAME?"/>
    <s v="Desktop type Document Scanner (same as DCC)"/>
    <x v="1"/>
    <s v="set"/>
    <m/>
    <m/>
    <m/>
    <n v="2"/>
    <m/>
    <m/>
    <m/>
    <m/>
    <m/>
    <m/>
    <m/>
    <m/>
    <m/>
    <m/>
    <m/>
    <m/>
    <m/>
    <m/>
    <m/>
    <x v="23"/>
    <x v="62"/>
    <m/>
  </r>
  <r>
    <e v="#NAME?"/>
    <s v="Kyosera Multifunction CLEANING part"/>
    <x v="0"/>
    <s v="set"/>
    <m/>
    <m/>
    <m/>
    <n v="2"/>
    <m/>
    <m/>
    <m/>
    <m/>
    <m/>
    <m/>
    <m/>
    <m/>
    <m/>
    <m/>
    <m/>
    <m/>
    <m/>
    <m/>
    <m/>
    <x v="23"/>
    <x v="5"/>
    <s v="N/A"/>
  </r>
  <r>
    <e v="#NAME?"/>
    <s v="Ink - Epson T6641 Black (Model L220)"/>
    <x v="11"/>
    <s v="bot"/>
    <m/>
    <m/>
    <s v="Public Bidding"/>
    <n v="2"/>
    <n v="1"/>
    <n v="0"/>
    <n v="1"/>
    <n v="2"/>
    <n v="1"/>
    <n v="0"/>
    <n v="1"/>
    <n v="2"/>
    <n v="1"/>
    <n v="0"/>
    <n v="1"/>
    <n v="2"/>
    <n v="1"/>
    <n v="0"/>
    <n v="1"/>
    <x v="24"/>
    <x v="16"/>
    <m/>
  </r>
  <r>
    <e v="#NAME?"/>
    <s v="Ink - Epson T6642 Cyan (Model L220)"/>
    <x v="10"/>
    <s v="bot"/>
    <m/>
    <m/>
    <s v="Public Bidding"/>
    <n v="1"/>
    <n v="1"/>
    <n v="0"/>
    <n v="0"/>
    <n v="1"/>
    <n v="1"/>
    <n v="0"/>
    <n v="0"/>
    <n v="1"/>
    <n v="1"/>
    <n v="0"/>
    <n v="0"/>
    <n v="1"/>
    <n v="1"/>
    <n v="0"/>
    <n v="0"/>
    <x v="24"/>
    <x v="17"/>
    <m/>
  </r>
  <r>
    <e v="#NAME?"/>
    <s v="Ink- Epson T6643 Magenta (Model L220)"/>
    <x v="10"/>
    <s v="bot"/>
    <m/>
    <m/>
    <s v="Public Bidding"/>
    <n v="1"/>
    <n v="1"/>
    <n v="0"/>
    <n v="0"/>
    <n v="1"/>
    <n v="1"/>
    <n v="0"/>
    <n v="0"/>
    <n v="1"/>
    <n v="1"/>
    <n v="0"/>
    <n v="0"/>
    <n v="1"/>
    <n v="1"/>
    <n v="0"/>
    <n v="0"/>
    <x v="24"/>
    <x v="18"/>
    <m/>
  </r>
  <r>
    <e v="#NAME?"/>
    <s v="Ink - Epson T6644 Yellow (Model L220)"/>
    <x v="10"/>
    <s v="bot"/>
    <m/>
    <m/>
    <s v="Public Bidding"/>
    <n v="1"/>
    <n v="1"/>
    <n v="0"/>
    <n v="0"/>
    <n v="1"/>
    <n v="1"/>
    <n v="0"/>
    <n v="0"/>
    <n v="1"/>
    <n v="1"/>
    <n v="0"/>
    <n v="0"/>
    <n v="1"/>
    <n v="1"/>
    <n v="0"/>
    <n v="0"/>
    <x v="24"/>
    <x v="19"/>
    <m/>
  </r>
  <r>
    <e v="#NAME?"/>
    <s v="Ink - Epson 003 Black (Model L3110)"/>
    <x v="11"/>
    <s v="bot"/>
    <m/>
    <m/>
    <s v="Public Bidding"/>
    <n v="3"/>
    <n v="1"/>
    <n v="1"/>
    <n v="1"/>
    <n v="3"/>
    <n v="1"/>
    <n v="1"/>
    <n v="1"/>
    <n v="3"/>
    <n v="1"/>
    <n v="1"/>
    <n v="1"/>
    <n v="3"/>
    <n v="1"/>
    <n v="1"/>
    <n v="1"/>
    <x v="24"/>
    <x v="26"/>
    <m/>
  </r>
  <r>
    <e v="#NAME?"/>
    <s v="Ink - Epson 003 Cyan (Model L3110)"/>
    <x v="10"/>
    <s v="bot"/>
    <m/>
    <m/>
    <s v="Public Bidding"/>
    <n v="2"/>
    <n v="1"/>
    <n v="0"/>
    <n v="1"/>
    <n v="2"/>
    <n v="1"/>
    <n v="0"/>
    <n v="1"/>
    <n v="2"/>
    <n v="1"/>
    <n v="0"/>
    <n v="1"/>
    <n v="2"/>
    <n v="1"/>
    <n v="0"/>
    <n v="1"/>
    <x v="24"/>
    <x v="27"/>
    <m/>
  </r>
  <r>
    <e v="#NAME?"/>
    <s v="Ink - Epson 003 Magenta (Model L3110)"/>
    <x v="10"/>
    <s v="bot"/>
    <m/>
    <m/>
    <s v="Public Bidding"/>
    <n v="2"/>
    <n v="1"/>
    <n v="0"/>
    <n v="1"/>
    <n v="2"/>
    <n v="1"/>
    <n v="0"/>
    <n v="1"/>
    <n v="2"/>
    <n v="1"/>
    <n v="0"/>
    <n v="1"/>
    <n v="2"/>
    <n v="1"/>
    <n v="0"/>
    <n v="1"/>
    <x v="24"/>
    <x v="28"/>
    <m/>
  </r>
  <r>
    <e v="#NAME?"/>
    <s v="Ink - Epson 003 Yellow (Model L3110)"/>
    <x v="10"/>
    <s v="bot"/>
    <m/>
    <m/>
    <s v="Public Bidding"/>
    <n v="2"/>
    <n v="1"/>
    <n v="0"/>
    <n v="1"/>
    <n v="2"/>
    <n v="1"/>
    <n v="0"/>
    <n v="1"/>
    <n v="2"/>
    <n v="1"/>
    <n v="0"/>
    <n v="1"/>
    <n v="2"/>
    <n v="1"/>
    <n v="0"/>
    <n v="1"/>
    <x v="24"/>
    <x v="29"/>
    <m/>
  </r>
  <r>
    <e v="#NAME?"/>
    <s v="Ink - Kyocera Black (ECOSYS M5521 CDW)"/>
    <x v="4"/>
    <s v="Cartridge"/>
    <m/>
    <m/>
    <s v="Public Bidding"/>
    <n v="3"/>
    <n v="1"/>
    <n v="1"/>
    <n v="1"/>
    <n v="3"/>
    <n v="1"/>
    <n v="1"/>
    <n v="1"/>
    <n v="3"/>
    <n v="1"/>
    <n v="1"/>
    <n v="1"/>
    <n v="3"/>
    <n v="1"/>
    <n v="1"/>
    <n v="1"/>
    <x v="24"/>
    <x v="11"/>
    <m/>
  </r>
  <r>
    <e v="#NAME?"/>
    <s v="Ink - Kyocera Cyan (ECOSYS M5521 CDW)"/>
    <x v="11"/>
    <s v="Cartridge"/>
    <m/>
    <m/>
    <s v="Public Bidding"/>
    <n v="2"/>
    <n v="1"/>
    <n v="0"/>
    <n v="1"/>
    <n v="2"/>
    <n v="1"/>
    <n v="0"/>
    <n v="1"/>
    <n v="2"/>
    <n v="1"/>
    <n v="0"/>
    <n v="1"/>
    <n v="2"/>
    <n v="1"/>
    <n v="0"/>
    <n v="1"/>
    <x v="24"/>
    <x v="12"/>
    <m/>
  </r>
  <r>
    <e v="#NAME?"/>
    <s v="Ink - Kyocera Magenta (ECOSYS M5521 CDW)"/>
    <x v="11"/>
    <s v="Cartridge"/>
    <m/>
    <m/>
    <s v="Public Bidding"/>
    <n v="2"/>
    <n v="1"/>
    <n v="0"/>
    <n v="1"/>
    <n v="2"/>
    <n v="1"/>
    <n v="0"/>
    <n v="1"/>
    <n v="2"/>
    <n v="1"/>
    <n v="0"/>
    <n v="1"/>
    <n v="2"/>
    <n v="1"/>
    <n v="0"/>
    <n v="1"/>
    <x v="24"/>
    <x v="5"/>
    <s v="N/A"/>
  </r>
  <r>
    <e v="#NAME?"/>
    <s v="Ink - KyoceraYellow (ECOSYS M5521 CDW)"/>
    <x v="11"/>
    <s v="Cartridge"/>
    <m/>
    <m/>
    <s v="Public Bidding"/>
    <n v="2"/>
    <n v="1"/>
    <n v="0"/>
    <n v="1"/>
    <n v="2"/>
    <n v="1"/>
    <n v="0"/>
    <n v="1"/>
    <n v="2"/>
    <n v="1"/>
    <n v="0"/>
    <n v="1"/>
    <n v="2"/>
    <n v="1"/>
    <n v="0"/>
    <n v="1"/>
    <x v="24"/>
    <x v="5"/>
    <s v="N/A"/>
  </r>
  <r>
    <e v="#NAME?"/>
    <s v="Ink Black compatible to Epson L100, L110, L120, L200, L210, L220"/>
    <x v="25"/>
    <s v="bot"/>
    <m/>
    <m/>
    <m/>
    <n v="60"/>
    <n v="20"/>
    <n v="20"/>
    <n v="20"/>
    <n v="30"/>
    <n v="10"/>
    <n v="10"/>
    <n v="10"/>
    <n v="60"/>
    <n v="20"/>
    <n v="20"/>
    <n v="20"/>
    <n v="60"/>
    <n v="20"/>
    <n v="20"/>
    <n v="20"/>
    <x v="25"/>
    <x v="16"/>
    <m/>
  </r>
  <r>
    <e v="#NAME?"/>
    <s v="Ink Cyan compatible to Epson L100, L110, L120, L200, L210, L220"/>
    <x v="26"/>
    <s v="bot"/>
    <m/>
    <m/>
    <m/>
    <n v="30"/>
    <n v="10"/>
    <n v="10"/>
    <n v="10"/>
    <n v="30"/>
    <n v="10"/>
    <n v="10"/>
    <n v="10"/>
    <n v="30"/>
    <n v="10"/>
    <n v="10"/>
    <n v="10"/>
    <n v="30"/>
    <n v="10"/>
    <n v="10"/>
    <n v="10"/>
    <x v="25"/>
    <x v="17"/>
    <m/>
  </r>
  <r>
    <e v="#NAME?"/>
    <s v="Ink Magenta compatible to Epson L100, L110, L120, L200, L210, L220"/>
    <x v="27"/>
    <s v="bot"/>
    <m/>
    <m/>
    <m/>
    <n v="30"/>
    <n v="10"/>
    <n v="10"/>
    <n v="10"/>
    <n v="15"/>
    <n v="5"/>
    <n v="5"/>
    <n v="5"/>
    <n v="15"/>
    <n v="5"/>
    <n v="5"/>
    <n v="5"/>
    <n v="15"/>
    <n v="5"/>
    <n v="5"/>
    <n v="5"/>
    <x v="25"/>
    <x v="18"/>
    <m/>
  </r>
  <r>
    <e v="#NAME?"/>
    <s v="Ink Yellow compatible to Epson L100, L110, L120, L200, L210, L220"/>
    <x v="27"/>
    <s v="bot"/>
    <m/>
    <m/>
    <m/>
    <n v="30"/>
    <n v="10"/>
    <n v="10"/>
    <n v="10"/>
    <n v="15"/>
    <n v="5"/>
    <n v="5"/>
    <n v="5"/>
    <n v="15"/>
    <n v="5"/>
    <n v="5"/>
    <n v="5"/>
    <n v="15"/>
    <n v="5"/>
    <n v="5"/>
    <n v="5"/>
    <x v="25"/>
    <x v="19"/>
    <m/>
  </r>
  <r>
    <e v="#NAME?"/>
    <s v="Kyocera Ecosys M4132idn TK-6113"/>
    <x v="12"/>
    <s v="pc"/>
    <m/>
    <m/>
    <m/>
    <n v="7"/>
    <n v="2"/>
    <n v="3"/>
    <n v="2"/>
    <n v="8"/>
    <n v="3"/>
    <n v="2"/>
    <n v="3"/>
    <n v="7"/>
    <n v="2"/>
    <n v="3"/>
    <n v="2"/>
    <n v="8"/>
    <n v="3"/>
    <n v="2"/>
    <n v="3"/>
    <x v="25"/>
    <x v="76"/>
    <m/>
  </r>
  <r>
    <e v="#NAME?"/>
    <s v="Kyocera TK-5234Y"/>
    <x v="4"/>
    <s v="pc"/>
    <m/>
    <m/>
    <m/>
    <n v="3"/>
    <n v="1"/>
    <n v="1"/>
    <n v="1"/>
    <n v="3"/>
    <n v="1"/>
    <n v="1"/>
    <n v="1"/>
    <n v="3"/>
    <n v="1"/>
    <n v="1"/>
    <n v="1"/>
    <n v="3"/>
    <n v="1"/>
    <n v="1"/>
    <n v="1"/>
    <x v="25"/>
    <x v="12"/>
    <m/>
  </r>
  <r>
    <e v="#NAME?"/>
    <s v="Kyocera TK-5234C"/>
    <x v="4"/>
    <s v="pc"/>
    <m/>
    <m/>
    <m/>
    <n v="3"/>
    <n v="1"/>
    <n v="1"/>
    <n v="1"/>
    <n v="3"/>
    <n v="1"/>
    <n v="1"/>
    <n v="1"/>
    <n v="3"/>
    <n v="1"/>
    <n v="1"/>
    <n v="1"/>
    <n v="3"/>
    <n v="1"/>
    <n v="1"/>
    <n v="1"/>
    <x v="25"/>
    <x v="5"/>
    <s v="N/A"/>
  </r>
  <r>
    <e v="#NAME?"/>
    <s v="Kyocera TK-5234M"/>
    <x v="4"/>
    <s v="pc"/>
    <m/>
    <m/>
    <m/>
    <n v="3"/>
    <n v="1"/>
    <n v="1"/>
    <n v="1"/>
    <n v="3"/>
    <n v="1"/>
    <n v="1"/>
    <n v="1"/>
    <n v="3"/>
    <n v="1"/>
    <n v="1"/>
    <n v="1"/>
    <n v="3"/>
    <n v="1"/>
    <n v="1"/>
    <n v="1"/>
    <x v="25"/>
    <x v="5"/>
    <s v="N/A"/>
  </r>
  <r>
    <e v="#NAME?"/>
    <s v="Kyocera TK-5234K"/>
    <x v="4"/>
    <s v="pc"/>
    <m/>
    <m/>
    <m/>
    <n v="3"/>
    <n v="1"/>
    <n v="1"/>
    <n v="1"/>
    <n v="3"/>
    <n v="1"/>
    <n v="1"/>
    <n v="1"/>
    <n v="3"/>
    <n v="1"/>
    <n v="1"/>
    <n v="1"/>
    <n v="3"/>
    <n v="1"/>
    <n v="1"/>
    <n v="1"/>
    <x v="25"/>
    <x v="11"/>
    <m/>
  </r>
  <r>
    <e v="#NAME?"/>
    <s v="USB Thumb drive,32GB"/>
    <x v="10"/>
    <s v="pc"/>
    <m/>
    <m/>
    <s v="Public Bidding"/>
    <n v="4"/>
    <s v="2nd Week"/>
    <m/>
    <m/>
    <m/>
    <m/>
    <m/>
    <m/>
    <m/>
    <m/>
    <m/>
    <m/>
    <m/>
    <m/>
    <m/>
    <m/>
    <x v="26"/>
    <x v="20"/>
    <m/>
  </r>
  <r>
    <e v="#NAME?"/>
    <s v="Laser Point with clicker"/>
    <x v="1"/>
    <s v="pc"/>
    <m/>
    <m/>
    <s v="Public Bidding"/>
    <n v="2"/>
    <s v="2nd Week"/>
    <m/>
    <m/>
    <m/>
    <m/>
    <m/>
    <m/>
    <m/>
    <m/>
    <m/>
    <m/>
    <m/>
    <m/>
    <m/>
    <m/>
    <x v="26"/>
    <x v="42"/>
    <m/>
  </r>
  <r>
    <e v="#NAME?"/>
    <s v="External Hard Drive,1T"/>
    <x v="0"/>
    <s v="pc"/>
    <m/>
    <m/>
    <s v="Public Bidding"/>
    <n v="1"/>
    <s v="2nd Week"/>
    <m/>
    <m/>
    <m/>
    <m/>
    <m/>
    <m/>
    <m/>
    <m/>
    <m/>
    <m/>
    <m/>
    <m/>
    <m/>
    <m/>
    <x v="26"/>
    <x v="37"/>
    <m/>
  </r>
  <r>
    <e v="#NAME?"/>
    <s v="Portable Hard Drive, 1TB, USB 3.0"/>
    <x v="0"/>
    <s v="UNIT"/>
    <m/>
    <m/>
    <s v="Public Bidding"/>
    <n v="1"/>
    <m/>
    <m/>
    <m/>
    <n v="0"/>
    <m/>
    <m/>
    <m/>
    <n v="0"/>
    <m/>
    <m/>
    <m/>
    <n v="0"/>
    <m/>
    <m/>
    <m/>
    <x v="27"/>
    <x v="37"/>
    <m/>
  </r>
  <r>
    <e v="#NAME?"/>
    <s v="Printer, multi-function ink tank"/>
    <x v="0"/>
    <s v="UNIT"/>
    <m/>
    <m/>
    <s v="Public Bidding"/>
    <n v="1"/>
    <m/>
    <m/>
    <m/>
    <n v="0"/>
    <m/>
    <m/>
    <m/>
    <n v="0"/>
    <m/>
    <m/>
    <m/>
    <n v="0"/>
    <m/>
    <m/>
    <m/>
    <x v="27"/>
    <x v="15"/>
    <s v="Printer"/>
  </r>
  <r>
    <e v="#NAME?"/>
    <s v="Desktop, basic use"/>
    <x v="0"/>
    <s v="UNIT"/>
    <m/>
    <m/>
    <s v="Public Bidding"/>
    <n v="1"/>
    <m/>
    <m/>
    <m/>
    <n v="0"/>
    <m/>
    <m/>
    <m/>
    <n v="0"/>
    <m/>
    <m/>
    <m/>
    <n v="0"/>
    <m/>
    <m/>
    <m/>
    <x v="27"/>
    <x v="0"/>
    <m/>
  </r>
  <r>
    <e v="#NAME?"/>
    <s v="Laptop, lightweight"/>
    <x v="0"/>
    <s v="UNIT"/>
    <m/>
    <m/>
    <s v="Public Bidding"/>
    <n v="1"/>
    <m/>
    <m/>
    <m/>
    <n v="0"/>
    <m/>
    <m/>
    <m/>
    <n v="0"/>
    <m/>
    <m/>
    <m/>
    <n v="0"/>
    <m/>
    <m/>
    <m/>
    <x v="27"/>
    <x v="40"/>
    <m/>
  </r>
  <r>
    <e v="#NAME?"/>
    <s v="Epson Ink Cartridge T6641 Black"/>
    <x v="15"/>
    <s v="bot"/>
    <m/>
    <m/>
    <s v="Public Bidding"/>
    <n v="5"/>
    <m/>
    <m/>
    <m/>
    <n v="5"/>
    <m/>
    <m/>
    <m/>
    <n v="5"/>
    <m/>
    <m/>
    <m/>
    <n v="5"/>
    <m/>
    <m/>
    <m/>
    <x v="27"/>
    <x v="16"/>
    <m/>
  </r>
  <r>
    <e v="#NAME?"/>
    <s v="Epson Ink Cartridge T6642 Cyan"/>
    <x v="11"/>
    <s v="bot"/>
    <m/>
    <m/>
    <s v="Public Bidding"/>
    <n v="2"/>
    <m/>
    <m/>
    <m/>
    <n v="2"/>
    <m/>
    <m/>
    <m/>
    <n v="2"/>
    <m/>
    <m/>
    <m/>
    <n v="2"/>
    <m/>
    <m/>
    <m/>
    <x v="27"/>
    <x v="17"/>
    <m/>
  </r>
  <r>
    <e v="#NAME?"/>
    <s v="Epson Ink Cartridge T6643 Magenta"/>
    <x v="11"/>
    <s v="bot"/>
    <m/>
    <m/>
    <s v="Public Bidding"/>
    <n v="2"/>
    <m/>
    <m/>
    <m/>
    <n v="2"/>
    <m/>
    <m/>
    <m/>
    <n v="2"/>
    <m/>
    <m/>
    <m/>
    <n v="2"/>
    <m/>
    <m/>
    <m/>
    <x v="27"/>
    <x v="18"/>
    <m/>
  </r>
  <r>
    <e v="#NAME?"/>
    <s v="Epson Ink Cartridge T6644 Yellow"/>
    <x v="11"/>
    <s v="bot"/>
    <m/>
    <m/>
    <s v="Public Bidding"/>
    <n v="2"/>
    <m/>
    <m/>
    <m/>
    <n v="2"/>
    <m/>
    <m/>
    <m/>
    <n v="2"/>
    <m/>
    <m/>
    <m/>
    <n v="2"/>
    <m/>
    <m/>
    <m/>
    <x v="27"/>
    <x v="19"/>
    <m/>
  </r>
  <r>
    <e v="#NAME?"/>
    <s v="Toner, Kyocera ECOSYS M5521cdw, black"/>
    <x v="15"/>
    <s v="bot"/>
    <m/>
    <m/>
    <s v="Public Bidding"/>
    <n v="5"/>
    <m/>
    <m/>
    <m/>
    <n v="5"/>
    <m/>
    <m/>
    <m/>
    <n v="5"/>
    <m/>
    <m/>
    <m/>
    <n v="5"/>
    <m/>
    <m/>
    <m/>
    <x v="27"/>
    <x v="11"/>
    <m/>
  </r>
  <r>
    <e v="#NAME?"/>
    <s v="Toner, Kyocera ECOSYS M5521cdw, cyan"/>
    <x v="11"/>
    <s v="bot"/>
    <m/>
    <m/>
    <s v="Public Bidding"/>
    <n v="2"/>
    <m/>
    <m/>
    <m/>
    <n v="2"/>
    <m/>
    <m/>
    <m/>
    <n v="2"/>
    <m/>
    <m/>
    <m/>
    <n v="2"/>
    <m/>
    <m/>
    <m/>
    <x v="27"/>
    <x v="12"/>
    <m/>
  </r>
  <r>
    <e v="#NAME?"/>
    <s v="Toner, Kyocera ECOSYS M5521cdw, magenta"/>
    <x v="11"/>
    <s v="bot"/>
    <m/>
    <m/>
    <s v="Public Bidding"/>
    <n v="2"/>
    <m/>
    <m/>
    <m/>
    <n v="2"/>
    <m/>
    <m/>
    <m/>
    <n v="2"/>
    <m/>
    <m/>
    <m/>
    <n v="2"/>
    <m/>
    <m/>
    <m/>
    <x v="27"/>
    <x v="5"/>
    <s v="N/A"/>
  </r>
  <r>
    <e v="#NAME?"/>
    <s v="Toner, Kyocera ECOSYS M5521cdw, yellow"/>
    <x v="11"/>
    <s v="bot"/>
    <m/>
    <m/>
    <s v="Public Bidding"/>
    <n v="2"/>
    <m/>
    <m/>
    <m/>
    <n v="2"/>
    <m/>
    <m/>
    <m/>
    <n v="2"/>
    <m/>
    <m/>
    <m/>
    <n v="2"/>
    <m/>
    <m/>
    <m/>
    <x v="27"/>
    <x v="5"/>
    <s v="N/A"/>
  </r>
  <r>
    <e v="#NAME?"/>
    <s v="Mouse, Optical"/>
    <x v="2"/>
    <s v="UNIT"/>
    <m/>
    <m/>
    <s v="Public Bidding"/>
    <n v="3"/>
    <m/>
    <m/>
    <m/>
    <n v="0"/>
    <m/>
    <m/>
    <m/>
    <n v="0"/>
    <m/>
    <m/>
    <m/>
    <n v="0"/>
    <m/>
    <m/>
    <m/>
    <x v="27"/>
    <x v="14"/>
    <m/>
  </r>
  <r>
    <e v="#NAME?"/>
    <s v="Keyboard, Full Size, USB 2.0"/>
    <x v="1"/>
    <s v="pc"/>
    <m/>
    <m/>
    <m/>
    <n v="1"/>
    <n v="1"/>
    <m/>
    <m/>
    <n v="1"/>
    <n v="1"/>
    <m/>
    <m/>
    <n v="0"/>
    <m/>
    <m/>
    <m/>
    <n v="0"/>
    <m/>
    <m/>
    <m/>
    <x v="28"/>
    <x v="13"/>
    <m/>
  </r>
  <r>
    <e v="#NAME?"/>
    <s v="Mouse, Optical, USB 2.0"/>
    <x v="1"/>
    <s v="pc"/>
    <m/>
    <m/>
    <m/>
    <n v="1"/>
    <n v="1"/>
    <m/>
    <m/>
    <n v="1"/>
    <n v="1"/>
    <m/>
    <m/>
    <n v="0"/>
    <m/>
    <m/>
    <m/>
    <n v="0"/>
    <m/>
    <m/>
    <m/>
    <x v="28"/>
    <x v="14"/>
    <m/>
  </r>
  <r>
    <e v="#NAME?"/>
    <s v="UPS, 625va, 325 Watts, High Quality"/>
    <x v="10"/>
    <s v="pc"/>
    <m/>
    <m/>
    <m/>
    <n v="2"/>
    <n v="2"/>
    <m/>
    <m/>
    <n v="0"/>
    <m/>
    <m/>
    <m/>
    <n v="2"/>
    <n v="2"/>
    <m/>
    <m/>
    <n v="0"/>
    <m/>
    <m/>
    <m/>
    <x v="28"/>
    <x v="3"/>
    <m/>
  </r>
  <r>
    <e v="#NAME?"/>
    <s v="PVC Card"/>
    <x v="28"/>
    <s v="pc"/>
    <m/>
    <m/>
    <m/>
    <n v="250"/>
    <n v="84"/>
    <n v="83"/>
    <n v="83"/>
    <n v="250"/>
    <n v="84"/>
    <n v="83"/>
    <n v="83"/>
    <n v="250"/>
    <n v="84"/>
    <n v="83"/>
    <n v="83"/>
    <n v="250"/>
    <n v="84"/>
    <n v="83"/>
    <n v="83"/>
    <x v="28"/>
    <x v="77"/>
    <m/>
  </r>
  <r>
    <e v="#NAME?"/>
    <s v="YMCKO Color Ribbon"/>
    <x v="11"/>
    <s v="pc"/>
    <m/>
    <m/>
    <m/>
    <n v="2"/>
    <n v="2"/>
    <m/>
    <m/>
    <n v="2"/>
    <n v="2"/>
    <m/>
    <m/>
    <n v="2"/>
    <n v="2"/>
    <m/>
    <m/>
    <n v="2"/>
    <n v="2"/>
    <m/>
    <m/>
    <x v="28"/>
    <x v="78"/>
    <m/>
  </r>
  <r>
    <e v="#NAME?"/>
    <s v="EXTERNAL HARD DRIVE, 1 TB"/>
    <x v="1"/>
    <s v="UNIT"/>
    <m/>
    <m/>
    <m/>
    <n v="1"/>
    <n v="1"/>
    <m/>
    <m/>
    <n v="1"/>
    <n v="1"/>
    <m/>
    <m/>
    <n v="0"/>
    <m/>
    <m/>
    <m/>
    <n v="0"/>
    <m/>
    <m/>
    <m/>
    <x v="28"/>
    <x v="37"/>
    <m/>
  </r>
  <r>
    <e v="#NAME?"/>
    <s v="INK CART, EPSON C13T664100 (T6641), Black"/>
    <x v="24"/>
    <s v="cart"/>
    <m/>
    <m/>
    <m/>
    <n v="9"/>
    <n v="3"/>
    <n v="3"/>
    <n v="3"/>
    <n v="9"/>
    <n v="3"/>
    <n v="3"/>
    <n v="3"/>
    <n v="9"/>
    <n v="3"/>
    <n v="3"/>
    <n v="3"/>
    <n v="9"/>
    <n v="3"/>
    <n v="3"/>
    <n v="3"/>
    <x v="28"/>
    <x v="16"/>
    <m/>
  </r>
  <r>
    <e v="#NAME?"/>
    <s v="INK CART, EPSON C13T664200 (T6642), Cyan"/>
    <x v="29"/>
    <s v="cart"/>
    <m/>
    <m/>
    <m/>
    <n v="7"/>
    <n v="3"/>
    <n v="2"/>
    <n v="2"/>
    <n v="7"/>
    <n v="3"/>
    <n v="2"/>
    <n v="2"/>
    <n v="7"/>
    <n v="3"/>
    <n v="2"/>
    <n v="2"/>
    <n v="7"/>
    <n v="3"/>
    <n v="2"/>
    <n v="2"/>
    <x v="28"/>
    <x v="17"/>
    <m/>
  </r>
  <r>
    <e v="#NAME?"/>
    <s v="INK CART, EPSON C13T664300 (T6643), Magenta"/>
    <x v="29"/>
    <s v="cart"/>
    <m/>
    <m/>
    <m/>
    <n v="7"/>
    <n v="3"/>
    <n v="2"/>
    <n v="2"/>
    <n v="7"/>
    <n v="3"/>
    <n v="2"/>
    <n v="2"/>
    <n v="7"/>
    <n v="3"/>
    <n v="2"/>
    <n v="2"/>
    <n v="7"/>
    <n v="3"/>
    <n v="2"/>
    <n v="2"/>
    <x v="28"/>
    <x v="18"/>
    <m/>
  </r>
  <r>
    <e v="#NAME?"/>
    <s v="INK CART, EPSON C13T664400 (T6644), Yellow"/>
    <x v="29"/>
    <s v="cart"/>
    <m/>
    <m/>
    <m/>
    <n v="7"/>
    <n v="3"/>
    <n v="2"/>
    <n v="2"/>
    <n v="7"/>
    <n v="3"/>
    <n v="2"/>
    <n v="2"/>
    <n v="7"/>
    <n v="3"/>
    <n v="2"/>
    <n v="2"/>
    <n v="7"/>
    <n v="3"/>
    <n v="2"/>
    <n v="2"/>
    <x v="28"/>
    <x v="19"/>
    <m/>
  </r>
  <r>
    <e v="#NAME?"/>
    <s v="Epson Ink Refill - 003 (Black)"/>
    <x v="4"/>
    <s v="cart"/>
    <m/>
    <m/>
    <m/>
    <n v="3"/>
    <n v="1"/>
    <n v="1"/>
    <n v="1"/>
    <n v="3"/>
    <n v="1"/>
    <n v="1"/>
    <n v="1"/>
    <n v="3"/>
    <n v="1"/>
    <n v="1"/>
    <n v="1"/>
    <n v="3"/>
    <n v="1"/>
    <n v="1"/>
    <n v="1"/>
    <x v="28"/>
    <x v="26"/>
    <m/>
  </r>
  <r>
    <e v="#NAME?"/>
    <s v="Epson Ink Refill - 003 (Magenta)"/>
    <x v="11"/>
    <s v="cart"/>
    <m/>
    <m/>
    <m/>
    <n v="2"/>
    <n v="1"/>
    <n v="1"/>
    <m/>
    <n v="2"/>
    <n v="1"/>
    <n v="1"/>
    <m/>
    <n v="2"/>
    <n v="1"/>
    <n v="1"/>
    <m/>
    <n v="2"/>
    <n v="1"/>
    <n v="1"/>
    <m/>
    <x v="28"/>
    <x v="27"/>
    <m/>
  </r>
  <r>
    <e v="#NAME?"/>
    <s v="Epson Ink Refill - 003 (Yellow)"/>
    <x v="11"/>
    <s v="cart"/>
    <m/>
    <m/>
    <m/>
    <n v="2"/>
    <n v="1"/>
    <n v="1"/>
    <m/>
    <n v="2"/>
    <n v="1"/>
    <n v="1"/>
    <m/>
    <n v="2"/>
    <n v="1"/>
    <n v="1"/>
    <m/>
    <n v="2"/>
    <n v="1"/>
    <n v="1"/>
    <m/>
    <x v="28"/>
    <x v="28"/>
    <m/>
  </r>
  <r>
    <e v="#NAME?"/>
    <s v="Epson Ink Refill - 003 (Cyan)"/>
    <x v="11"/>
    <s v="cart"/>
    <m/>
    <m/>
    <m/>
    <n v="2"/>
    <n v="1"/>
    <n v="1"/>
    <m/>
    <n v="2"/>
    <n v="1"/>
    <n v="1"/>
    <m/>
    <n v="2"/>
    <n v="1"/>
    <n v="1"/>
    <m/>
    <n v="2"/>
    <n v="1"/>
    <n v="1"/>
    <m/>
    <x v="28"/>
    <x v="29"/>
    <m/>
  </r>
  <r>
    <e v="#NAME?"/>
    <s v="HP Ink Refill - (GT53) Black"/>
    <x v="8"/>
    <s v="cart"/>
    <m/>
    <m/>
    <m/>
    <n v="0"/>
    <m/>
    <m/>
    <m/>
    <n v="0"/>
    <m/>
    <m/>
    <m/>
    <n v="0"/>
    <m/>
    <m/>
    <m/>
    <n v="0"/>
    <m/>
    <m/>
    <m/>
    <x v="28"/>
    <x v="5"/>
    <s v="N/A"/>
  </r>
  <r>
    <e v="#NAME?"/>
    <s v="HP Ink Refill - (GT52) Magenta"/>
    <x v="8"/>
    <s v="cart"/>
    <m/>
    <m/>
    <m/>
    <n v="0"/>
    <m/>
    <m/>
    <m/>
    <n v="0"/>
    <m/>
    <m/>
    <m/>
    <n v="0"/>
    <m/>
    <m/>
    <m/>
    <n v="0"/>
    <m/>
    <m/>
    <m/>
    <x v="28"/>
    <x v="5"/>
    <s v="N/A"/>
  </r>
  <r>
    <e v="#NAME?"/>
    <s v="HP Ink Refill - (GT52) Cyan"/>
    <x v="8"/>
    <s v="cart"/>
    <m/>
    <m/>
    <m/>
    <n v="0"/>
    <m/>
    <m/>
    <m/>
    <n v="0"/>
    <m/>
    <m/>
    <m/>
    <n v="0"/>
    <m/>
    <m/>
    <m/>
    <n v="0"/>
    <m/>
    <m/>
    <m/>
    <x v="28"/>
    <x v="5"/>
    <s v="N/A"/>
  </r>
  <r>
    <e v="#NAME?"/>
    <s v="HP Ink Refill - (GT52) Yellow"/>
    <x v="8"/>
    <s v="cart"/>
    <m/>
    <m/>
    <m/>
    <n v="0"/>
    <m/>
    <m/>
    <m/>
    <n v="0"/>
    <m/>
    <m/>
    <m/>
    <n v="0"/>
    <m/>
    <m/>
    <m/>
    <n v="0"/>
    <m/>
    <m/>
    <m/>
    <x v="28"/>
    <x v="5"/>
    <s v="N/A"/>
  </r>
  <r>
    <e v="#NAME?"/>
    <s v="HP Toner CF280XC"/>
    <x v="8"/>
    <s v="cart"/>
    <m/>
    <m/>
    <m/>
    <n v="0"/>
    <m/>
    <m/>
    <m/>
    <n v="0"/>
    <m/>
    <m/>
    <m/>
    <n v="0"/>
    <m/>
    <m/>
    <m/>
    <n v="0"/>
    <m/>
    <m/>
    <m/>
    <x v="28"/>
    <x v="5"/>
    <s v="N/A"/>
  </r>
  <r>
    <e v="#NAME?"/>
    <s v="Kyocera Ecosys FS-6525MFP TK 479"/>
    <x v="8"/>
    <s v="pc"/>
    <m/>
    <m/>
    <m/>
    <n v="0"/>
    <m/>
    <m/>
    <m/>
    <n v="0"/>
    <m/>
    <m/>
    <m/>
    <n v="0"/>
    <m/>
    <m/>
    <m/>
    <n v="0"/>
    <m/>
    <m/>
    <m/>
    <x v="28"/>
    <x v="34"/>
    <m/>
  </r>
  <r>
    <e v="#NAME?"/>
    <s v="Kyocera Ecosys FS-6525MFP MK 479"/>
    <x v="8"/>
    <s v="pc"/>
    <m/>
    <m/>
    <m/>
    <n v="0"/>
    <m/>
    <m/>
    <m/>
    <n v="0"/>
    <m/>
    <m/>
    <m/>
    <n v="0"/>
    <m/>
    <m/>
    <m/>
    <n v="0"/>
    <m/>
    <m/>
    <m/>
    <x v="28"/>
    <x v="35"/>
    <m/>
  </r>
  <r>
    <e v="#NAME?"/>
    <s v="Kyocera Ecosys M4125idn TK 6113"/>
    <x v="30"/>
    <s v="pc"/>
    <m/>
    <m/>
    <m/>
    <n v="12"/>
    <n v="4"/>
    <n v="4"/>
    <n v="4"/>
    <n v="12"/>
    <n v="4"/>
    <n v="4"/>
    <n v="4"/>
    <n v="12"/>
    <n v="4"/>
    <n v="4"/>
    <n v="4"/>
    <n v="12"/>
    <n v="4"/>
    <n v="4"/>
    <n v="4"/>
    <x v="28"/>
    <x v="9"/>
    <m/>
  </r>
  <r>
    <e v="#NAME?"/>
    <s v="Kyocera Ecosys M4125idn MK 6113"/>
    <x v="8"/>
    <s v="pc"/>
    <m/>
    <m/>
    <m/>
    <n v="0"/>
    <m/>
    <m/>
    <m/>
    <n v="0"/>
    <m/>
    <m/>
    <m/>
    <n v="0"/>
    <m/>
    <m/>
    <m/>
    <n v="0"/>
    <m/>
    <m/>
    <m/>
    <x v="28"/>
    <x v="10"/>
    <m/>
  </r>
  <r>
    <e v="#NAME?"/>
    <s v="Kyocera Ecosys P2040dn TK 1168"/>
    <x v="30"/>
    <s v="pc"/>
    <m/>
    <m/>
    <m/>
    <n v="12"/>
    <n v="4"/>
    <n v="4"/>
    <n v="4"/>
    <n v="12"/>
    <n v="4"/>
    <n v="4"/>
    <n v="4"/>
    <n v="12"/>
    <n v="4"/>
    <n v="4"/>
    <n v="4"/>
    <n v="12"/>
    <n v="4"/>
    <n v="4"/>
    <n v="4"/>
    <x v="28"/>
    <x v="25"/>
    <m/>
  </r>
  <r>
    <e v="#NAME?"/>
    <s v="Multi Function (Print/Scan/Copy), Color, Ink Tank System, High Speed USB 2.0, Supported Paper: Legal / Letter / A4, Max Resolution: 5760 x 1440 dpi"/>
    <x v="9"/>
    <s v="pc"/>
    <m/>
    <m/>
    <m/>
    <n v="2"/>
    <n v="2"/>
    <m/>
    <m/>
    <n v="2"/>
    <n v="2"/>
    <m/>
    <m/>
    <n v="1"/>
    <n v="1"/>
    <m/>
    <m/>
    <n v="0"/>
    <m/>
    <m/>
    <m/>
    <x v="28"/>
    <x v="15"/>
    <s v="Printer"/>
  </r>
  <r>
    <e v="#NAME?"/>
    <s v="Desktop Set"/>
    <x v="11"/>
    <s v="pc"/>
    <m/>
    <m/>
    <m/>
    <n v="4"/>
    <n v="4"/>
    <m/>
    <m/>
    <n v="0"/>
    <m/>
    <m/>
    <m/>
    <n v="4"/>
    <n v="4"/>
    <m/>
    <m/>
    <n v="0"/>
    <m/>
    <m/>
    <m/>
    <x v="28"/>
    <x v="0"/>
    <m/>
  </r>
  <r>
    <e v="#NAME?"/>
    <s v="LCD signature capture pad"/>
    <x v="8"/>
    <s v="pc"/>
    <m/>
    <m/>
    <m/>
    <n v="0"/>
    <m/>
    <m/>
    <m/>
    <n v="0"/>
    <m/>
    <m/>
    <m/>
    <n v="0"/>
    <m/>
    <m/>
    <m/>
    <n v="0"/>
    <m/>
    <m/>
    <m/>
    <x v="28"/>
    <x v="5"/>
    <s v="N/A"/>
  </r>
  <r>
    <e v="#NAME?"/>
    <s v="Roller Kit for Canon Image Formula DR-M160II"/>
    <x v="8"/>
    <s v="pc"/>
    <m/>
    <m/>
    <m/>
    <n v="0"/>
    <m/>
    <m/>
    <m/>
    <n v="0"/>
    <m/>
    <m/>
    <m/>
    <n v="0"/>
    <m/>
    <m/>
    <m/>
    <n v="0"/>
    <m/>
    <m/>
    <m/>
    <x v="28"/>
    <x v="5"/>
    <s v="N/A"/>
  </r>
  <r>
    <e v="#NAME?"/>
    <s v="Roller Kit for Epson L120, L220, L360"/>
    <x v="8"/>
    <s v="pc"/>
    <m/>
    <m/>
    <m/>
    <n v="0"/>
    <m/>
    <m/>
    <m/>
    <n v="0"/>
    <m/>
    <m/>
    <m/>
    <n v="0"/>
    <m/>
    <m/>
    <m/>
    <n v="0"/>
    <m/>
    <m/>
    <m/>
    <x v="28"/>
    <x v="5"/>
    <s v="N/A"/>
  </r>
  <r>
    <e v="#NAME?"/>
    <s v="Genuine Kyocera Toner TK-5234C compatible to Kyocera Ecosys M5521cdw (Toner Cyan)"/>
    <x v="17"/>
    <s v="pc"/>
    <m/>
    <m/>
    <s v="Public Bidding"/>
    <n v="6"/>
    <n v="6"/>
    <m/>
    <m/>
    <n v="6"/>
    <n v="6"/>
    <m/>
    <m/>
    <n v="6"/>
    <n v="6"/>
    <m/>
    <m/>
    <n v="6"/>
    <n v="6"/>
    <m/>
    <m/>
    <x v="29"/>
    <x v="12"/>
    <m/>
  </r>
  <r>
    <e v="#NAME?"/>
    <s v="Genuine Kyocera Toner TK-5234M compatible to Kyocera Ecosys M5521cdw (Toner Magenta)"/>
    <x v="17"/>
    <s v="pc"/>
    <m/>
    <m/>
    <s v="Public Bidding"/>
    <n v="6"/>
    <n v="6"/>
    <m/>
    <m/>
    <n v="6"/>
    <n v="6"/>
    <m/>
    <m/>
    <n v="6"/>
    <n v="6"/>
    <m/>
    <m/>
    <n v="6"/>
    <n v="6"/>
    <m/>
    <m/>
    <x v="29"/>
    <x v="5"/>
    <s v="N/A"/>
  </r>
  <r>
    <e v="#NAME?"/>
    <s v="Genuine Kyocera Toner TK-5234Y compatible to Kyocera Ecosys M5521cdw (Toner Yellow)"/>
    <x v="17"/>
    <s v="pc"/>
    <m/>
    <m/>
    <s v="Public Bidding"/>
    <n v="6"/>
    <n v="6"/>
    <m/>
    <m/>
    <n v="6"/>
    <n v="6"/>
    <m/>
    <m/>
    <n v="6"/>
    <n v="6"/>
    <m/>
    <m/>
    <n v="6"/>
    <n v="6"/>
    <m/>
    <m/>
    <x v="29"/>
    <x v="5"/>
    <s v="N/A"/>
  </r>
  <r>
    <e v="#NAME?"/>
    <s v="Genuine Kyocera Toner TK-5234K compatible to Kyocera Ecosys M5521cdw (Toner Black)"/>
    <x v="24"/>
    <s v="pc"/>
    <m/>
    <m/>
    <s v="Public Bidding"/>
    <n v="9"/>
    <n v="9"/>
    <m/>
    <m/>
    <n v="9"/>
    <n v="9"/>
    <m/>
    <m/>
    <n v="9"/>
    <n v="9"/>
    <m/>
    <m/>
    <n v="9"/>
    <n v="9"/>
    <m/>
    <m/>
    <x v="29"/>
    <x v="11"/>
    <m/>
  </r>
  <r>
    <e v="#NAME?"/>
    <s v="Desktop Type Document Scanner"/>
    <x v="0"/>
    <s v="UNIT"/>
    <m/>
    <m/>
    <s v="Public Bidding"/>
    <n v="1"/>
    <n v="1"/>
    <m/>
    <m/>
    <n v="0"/>
    <m/>
    <m/>
    <m/>
    <n v="0"/>
    <m/>
    <m/>
    <m/>
    <n v="0"/>
    <m/>
    <m/>
    <m/>
    <x v="29"/>
    <x v="62"/>
    <m/>
  </r>
  <r>
    <e v="#NAME?"/>
    <s v="Wireless Mouse, bluetooth"/>
    <x v="1"/>
    <s v="pc"/>
    <m/>
    <m/>
    <s v="Public Bidding"/>
    <n v="2"/>
    <n v="2"/>
    <m/>
    <m/>
    <n v="0"/>
    <m/>
    <m/>
    <m/>
    <n v="0"/>
    <m/>
    <m/>
    <m/>
    <n v="0"/>
    <m/>
    <m/>
    <m/>
    <x v="29"/>
    <x v="14"/>
    <m/>
  </r>
  <r>
    <e v="#NAME?"/>
    <s v="UPS 1200VA, AVR, 230V"/>
    <x v="1"/>
    <s v="pc"/>
    <m/>
    <m/>
    <s v="Public Bidding"/>
    <n v="2"/>
    <n v="2"/>
    <m/>
    <m/>
    <n v="0"/>
    <m/>
    <m/>
    <m/>
    <n v="0"/>
    <m/>
    <m/>
    <m/>
    <n v="0"/>
    <m/>
    <m/>
    <m/>
    <x v="29"/>
    <x v="3"/>
    <m/>
  </r>
  <r>
    <e v="#NAME?"/>
    <s v="Maintenance Kit for Kyocera Ecosys M5521cdw"/>
    <x v="0"/>
    <s v="lot"/>
    <m/>
    <m/>
    <s v="Public Bidding"/>
    <m/>
    <m/>
    <m/>
    <m/>
    <m/>
    <m/>
    <m/>
    <m/>
    <m/>
    <m/>
    <m/>
    <m/>
    <m/>
    <m/>
    <m/>
    <m/>
    <x v="29"/>
    <x v="5"/>
    <s v="N/A"/>
  </r>
  <r>
    <e v="#NAME?"/>
    <s v="Keyboard, Full Size, USB 2.0"/>
    <x v="2"/>
    <s v="pc"/>
    <m/>
    <m/>
    <s v="Public Bidding"/>
    <n v="2"/>
    <n v="2"/>
    <m/>
    <m/>
    <n v="0"/>
    <m/>
    <m/>
    <m/>
    <n v="0"/>
    <m/>
    <m/>
    <m/>
    <n v="0"/>
    <m/>
    <m/>
    <m/>
    <x v="30"/>
    <x v="13"/>
    <m/>
  </r>
  <r>
    <e v="#NAME?"/>
    <s v="Mouse, Optical, USB 2.0"/>
    <x v="2"/>
    <s v="pc"/>
    <m/>
    <m/>
    <s v="Public Bidding"/>
    <n v="2"/>
    <n v="2"/>
    <m/>
    <m/>
    <n v="0"/>
    <m/>
    <m/>
    <m/>
    <n v="0"/>
    <m/>
    <m/>
    <m/>
    <n v="0"/>
    <m/>
    <m/>
    <m/>
    <x v="30"/>
    <x v="14"/>
    <m/>
  </r>
  <r>
    <e v="#NAME?"/>
    <s v="UPS, 625va, 325 Watts"/>
    <x v="2"/>
    <s v="pc"/>
    <m/>
    <m/>
    <s v="Public Bidding"/>
    <n v="5"/>
    <n v="5"/>
    <m/>
    <m/>
    <n v="0"/>
    <m/>
    <m/>
    <m/>
    <n v="0"/>
    <m/>
    <m/>
    <m/>
    <n v="0"/>
    <m/>
    <m/>
    <m/>
    <x v="30"/>
    <x v="3"/>
    <m/>
  </r>
  <r>
    <e v="#NAME?"/>
    <s v="Webcam Full HD 1080p with Built in Microphone, , USB plug and play, with attachable mounting clip"/>
    <x v="0"/>
    <s v="pc"/>
    <m/>
    <m/>
    <s v="Public Bidding"/>
    <n v="1"/>
    <n v="1"/>
    <m/>
    <m/>
    <n v="0"/>
    <m/>
    <m/>
    <m/>
    <n v="0"/>
    <m/>
    <m/>
    <m/>
    <n v="0"/>
    <m/>
    <m/>
    <m/>
    <x v="30"/>
    <x v="2"/>
    <m/>
  </r>
  <r>
    <e v="#NAME?"/>
    <s v="Epson Ink Cartridge T6641 Black"/>
    <x v="11"/>
    <s v="pc"/>
    <m/>
    <m/>
    <s v="Public Bidding"/>
    <n v="2"/>
    <n v="1"/>
    <n v="1"/>
    <m/>
    <n v="2"/>
    <n v="1"/>
    <n v="1"/>
    <m/>
    <n v="2"/>
    <n v="1"/>
    <n v="1"/>
    <m/>
    <n v="2"/>
    <n v="1"/>
    <n v="1"/>
    <m/>
    <x v="30"/>
    <x v="16"/>
    <m/>
  </r>
  <r>
    <e v="#NAME?"/>
    <s v="Epson Ink Cartridge T6642"/>
    <x v="11"/>
    <s v="pc"/>
    <m/>
    <m/>
    <s v="Public Bidding"/>
    <n v="2"/>
    <n v="1"/>
    <n v="1"/>
    <m/>
    <n v="2"/>
    <n v="1"/>
    <n v="1"/>
    <m/>
    <n v="2"/>
    <n v="1"/>
    <n v="1"/>
    <m/>
    <n v="2"/>
    <n v="1"/>
    <n v="1"/>
    <m/>
    <x v="30"/>
    <x v="17"/>
    <m/>
  </r>
  <r>
    <e v="#NAME?"/>
    <s v="Epson Ink Cartridge T6643"/>
    <x v="11"/>
    <s v="pc"/>
    <m/>
    <m/>
    <s v="Public Bidding"/>
    <n v="2"/>
    <n v="1"/>
    <n v="1"/>
    <m/>
    <n v="2"/>
    <n v="1"/>
    <n v="1"/>
    <m/>
    <n v="2"/>
    <n v="1"/>
    <n v="1"/>
    <m/>
    <n v="2"/>
    <n v="1"/>
    <n v="1"/>
    <m/>
    <x v="30"/>
    <x v="18"/>
    <m/>
  </r>
  <r>
    <e v="#NAME?"/>
    <s v="Epson Ink Cartridge T6644"/>
    <x v="11"/>
    <s v="pc"/>
    <m/>
    <m/>
    <s v="Public Bidding"/>
    <n v="2"/>
    <n v="1"/>
    <n v="1"/>
    <m/>
    <n v="2"/>
    <n v="1"/>
    <n v="1"/>
    <m/>
    <n v="2"/>
    <n v="1"/>
    <n v="1"/>
    <m/>
    <n v="2"/>
    <n v="1"/>
    <n v="1"/>
    <m/>
    <x v="30"/>
    <x v="19"/>
    <m/>
  </r>
  <r>
    <e v="#NAME?"/>
    <s v="Ink black compatible with HP Smart Tank 515 printer"/>
    <x v="30"/>
    <s v="pc"/>
    <m/>
    <m/>
    <s v="Public Bidding"/>
    <n v="12"/>
    <n v="4"/>
    <n v="4"/>
    <n v="4"/>
    <n v="12"/>
    <n v="4"/>
    <n v="4"/>
    <n v="4"/>
    <n v="12"/>
    <n v="4"/>
    <n v="4"/>
    <n v="4"/>
    <n v="12"/>
    <n v="4"/>
    <n v="4"/>
    <n v="4"/>
    <x v="30"/>
    <x v="30"/>
    <m/>
  </r>
  <r>
    <e v="#NAME?"/>
    <s v="Ink cyan compatible with HP Smart Tank 515 printer"/>
    <x v="11"/>
    <s v="pc"/>
    <m/>
    <m/>
    <s v="Public Bidding"/>
    <n v="4"/>
    <n v="4"/>
    <m/>
    <m/>
    <n v="0"/>
    <m/>
    <m/>
    <m/>
    <n v="4"/>
    <n v="4"/>
    <m/>
    <m/>
    <n v="0"/>
    <m/>
    <m/>
    <m/>
    <x v="30"/>
    <x v="31"/>
    <m/>
  </r>
  <r>
    <e v="#NAME?"/>
    <s v="Ink yellow compatible with HP Smart Tank 515 printer"/>
    <x v="11"/>
    <s v="pc"/>
    <m/>
    <m/>
    <s v="Public Bidding"/>
    <n v="4"/>
    <n v="4"/>
    <m/>
    <m/>
    <n v="0"/>
    <m/>
    <m/>
    <m/>
    <n v="4"/>
    <n v="4"/>
    <m/>
    <m/>
    <n v="0"/>
    <m/>
    <m/>
    <m/>
    <x v="30"/>
    <x v="32"/>
    <m/>
  </r>
  <r>
    <e v="#NAME?"/>
    <s v="Ink magenta compatible with HP Smart Tank 515 printer"/>
    <x v="11"/>
    <s v="pc"/>
    <m/>
    <m/>
    <s v="Public Bidding"/>
    <n v="4"/>
    <n v="4"/>
    <m/>
    <m/>
    <n v="0"/>
    <m/>
    <m/>
    <m/>
    <n v="4"/>
    <n v="4"/>
    <m/>
    <m/>
    <n v="0"/>
    <m/>
    <m/>
    <m/>
    <x v="30"/>
    <x v="33"/>
    <m/>
  </r>
  <r>
    <e v="#NAME?"/>
    <s v="HP Printhead Black compatible to HP Smart tank 515"/>
    <x v="5"/>
    <s v="pc"/>
    <m/>
    <m/>
    <s v="Public Bidding"/>
    <n v="5"/>
    <n v="5"/>
    <m/>
    <m/>
    <n v="0"/>
    <m/>
    <m/>
    <m/>
    <n v="5"/>
    <n v="5"/>
    <m/>
    <m/>
    <n v="0"/>
    <m/>
    <m/>
    <m/>
    <x v="30"/>
    <x v="50"/>
    <m/>
  </r>
  <r>
    <e v="#NAME?"/>
    <s v="HP Printhead Tri-color compatible to HP Smart tank 515"/>
    <x v="5"/>
    <s v="pc"/>
    <m/>
    <m/>
    <s v="Public Bidding"/>
    <n v="5"/>
    <n v="5"/>
    <m/>
    <m/>
    <n v="0"/>
    <m/>
    <m/>
    <m/>
    <n v="5"/>
    <n v="5"/>
    <m/>
    <m/>
    <n v="0"/>
    <m/>
    <m/>
    <m/>
    <x v="30"/>
    <x v="51"/>
    <m/>
  </r>
  <r>
    <e v="#NAME?"/>
    <s v="MK-6113"/>
    <x v="0"/>
    <s v="pc"/>
    <m/>
    <m/>
    <s v="Public Bidding"/>
    <n v="1"/>
    <n v="1"/>
    <m/>
    <m/>
    <n v="0"/>
    <n v="0"/>
    <m/>
    <m/>
    <n v="0"/>
    <n v="0"/>
    <m/>
    <m/>
    <n v="0"/>
    <n v="0"/>
    <m/>
    <m/>
    <x v="30"/>
    <x v="79"/>
    <m/>
  </r>
  <r>
    <e v="#NAME?"/>
    <s v="Toner TK-6113 compatible to existing Kyocera Ecosys M4132idn"/>
    <x v="17"/>
    <s v="pc"/>
    <m/>
    <m/>
    <s v="Public Bidding"/>
    <n v="6"/>
    <n v="2"/>
    <n v="2"/>
    <n v="2"/>
    <n v="6"/>
    <n v="2"/>
    <n v="2"/>
    <n v="2"/>
    <n v="6"/>
    <n v="2"/>
    <n v="2"/>
    <n v="2"/>
    <n v="6"/>
    <n v="2"/>
    <n v="2"/>
    <n v="2"/>
    <x v="30"/>
    <x v="76"/>
    <m/>
  </r>
  <r>
    <e v="#NAME?"/>
    <s v="Toner TK-1175 compatible to existing Kyocera ECOSYS M2540dn/L"/>
    <x v="6"/>
    <s v="pc"/>
    <m/>
    <m/>
    <s v="Public Bidding"/>
    <n v="5"/>
    <n v="3"/>
    <n v="1"/>
    <n v="1"/>
    <n v="3"/>
    <n v="1"/>
    <n v="1"/>
    <n v="1"/>
    <n v="3"/>
    <n v="1"/>
    <n v="1"/>
    <n v="1"/>
    <n v="5"/>
    <n v="3"/>
    <n v="1"/>
    <n v="1"/>
    <x v="30"/>
    <x v="46"/>
    <m/>
  </r>
  <r>
    <e v="#NAME?"/>
    <s v="Kyocera Toner TK 3165 compatible to existing Kyocera ECOSYS M4125idn"/>
    <x v="6"/>
    <s v="pc"/>
    <m/>
    <m/>
    <s v="Public Bidding"/>
    <n v="5"/>
    <n v="3"/>
    <n v="1"/>
    <n v="1"/>
    <n v="3"/>
    <n v="1"/>
    <n v="1"/>
    <n v="1"/>
    <n v="3"/>
    <n v="1"/>
    <n v="1"/>
    <n v="1"/>
    <n v="5"/>
    <n v="3"/>
    <n v="1"/>
    <n v="1"/>
    <x v="30"/>
    <x v="9"/>
    <m/>
  </r>
  <r>
    <e v="#NAME?"/>
    <s v="Genuine Toner TK-5234K Black"/>
    <x v="6"/>
    <s v="pc"/>
    <m/>
    <m/>
    <s v="Public Bidding"/>
    <n v="4"/>
    <n v="2"/>
    <n v="2"/>
    <m/>
    <n v="4"/>
    <n v="2"/>
    <n v="2"/>
    <m/>
    <n v="4"/>
    <n v="2"/>
    <n v="2"/>
    <m/>
    <n v="4"/>
    <n v="2"/>
    <n v="2"/>
    <m/>
    <x v="30"/>
    <x v="11"/>
    <m/>
  </r>
  <r>
    <e v="#NAME?"/>
    <s v="Genuine Toner TK-5234C Cyan"/>
    <x v="11"/>
    <s v="pc"/>
    <m/>
    <m/>
    <s v="Public Bidding"/>
    <n v="2"/>
    <n v="1"/>
    <n v="1"/>
    <m/>
    <n v="2"/>
    <n v="1"/>
    <n v="1"/>
    <m/>
    <n v="2"/>
    <n v="1"/>
    <n v="1"/>
    <m/>
    <n v="2"/>
    <n v="1"/>
    <n v="1"/>
    <m/>
    <x v="30"/>
    <x v="12"/>
    <m/>
  </r>
  <r>
    <e v="#NAME?"/>
    <s v="Genuine Toner TK-5234M Magenta"/>
    <x v="11"/>
    <s v="pc"/>
    <m/>
    <m/>
    <s v="Public Bidding"/>
    <n v="2"/>
    <n v="1"/>
    <n v="1"/>
    <m/>
    <n v="2"/>
    <n v="1"/>
    <n v="1"/>
    <m/>
    <n v="2"/>
    <n v="1"/>
    <n v="1"/>
    <m/>
    <n v="2"/>
    <n v="1"/>
    <n v="1"/>
    <m/>
    <x v="30"/>
    <x v="5"/>
    <s v="N/A"/>
  </r>
  <r>
    <e v="#NAME?"/>
    <s v="Genuine Toner TK-5234Y Yellow"/>
    <x v="11"/>
    <s v="pc"/>
    <m/>
    <m/>
    <s v="Public Bidding"/>
    <n v="2"/>
    <n v="1"/>
    <n v="1"/>
    <m/>
    <n v="2"/>
    <n v="1"/>
    <n v="1"/>
    <m/>
    <n v="2"/>
    <n v="1"/>
    <n v="1"/>
    <m/>
    <n v="2"/>
    <n v="1"/>
    <n v="1"/>
    <m/>
    <x v="30"/>
    <x v="5"/>
    <s v="N/A"/>
  </r>
  <r>
    <e v="#NAME?"/>
    <s v="Kyocera Toner TK-6113"/>
    <x v="30"/>
    <s v="pc"/>
    <m/>
    <m/>
    <s v="Public Bidding"/>
    <n v="12"/>
    <n v="4"/>
    <n v="4"/>
    <n v="4"/>
    <n v="12"/>
    <n v="4"/>
    <n v="4"/>
    <n v="4"/>
    <n v="12"/>
    <n v="4"/>
    <n v="4"/>
    <n v="4"/>
    <n v="12"/>
    <n v="4"/>
    <n v="4"/>
    <n v="4"/>
    <x v="31"/>
    <x v="9"/>
    <m/>
  </r>
  <r>
    <e v="#NAME?"/>
    <s v="Kyocera Maintenance Kit MK-6119"/>
    <x v="10"/>
    <s v="pc"/>
    <m/>
    <m/>
    <s v="Public Bidding"/>
    <n v="2"/>
    <n v="2"/>
    <n v="0"/>
    <n v="0"/>
    <n v="0"/>
    <n v="0"/>
    <n v="0"/>
    <n v="0"/>
    <n v="2"/>
    <n v="2"/>
    <n v="0"/>
    <n v="0"/>
    <n v="0"/>
    <n v="0"/>
    <n v="0"/>
    <n v="0"/>
    <x v="31"/>
    <x v="10"/>
    <m/>
  </r>
  <r>
    <e v="#NAME?"/>
    <s v="Computer Set"/>
    <x v="16"/>
    <s v="set"/>
    <m/>
    <m/>
    <s v="Public Bidding"/>
    <n v="6"/>
    <n v="6"/>
    <n v="0"/>
    <n v="0"/>
    <n v="0"/>
    <n v="0"/>
    <n v="0"/>
    <n v="0"/>
    <n v="0"/>
    <n v="0"/>
    <n v="0"/>
    <n v="0"/>
    <n v="0"/>
    <n v="0"/>
    <n v="0"/>
    <n v="0"/>
    <x v="31"/>
    <x v="0"/>
    <m/>
  </r>
  <r>
    <e v="#NAME?"/>
    <s v="UPS"/>
    <x v="16"/>
    <s v="pc"/>
    <m/>
    <m/>
    <s v="Public Bidding"/>
    <n v="6"/>
    <n v="6"/>
    <n v="0"/>
    <n v="0"/>
    <n v="0"/>
    <n v="0"/>
    <n v="0"/>
    <n v="0"/>
    <n v="0"/>
    <n v="0"/>
    <n v="0"/>
    <n v="0"/>
    <n v="0"/>
    <n v="0"/>
    <n v="0"/>
    <n v="0"/>
    <x v="31"/>
    <x v="3"/>
    <m/>
  </r>
  <r>
    <e v="#NAME?"/>
    <s v="External Hard Drive"/>
    <x v="0"/>
    <s v="pc"/>
    <m/>
    <m/>
    <s v="Public Bidding"/>
    <n v="1"/>
    <n v="1"/>
    <n v="0"/>
    <n v="0"/>
    <n v="0"/>
    <n v="0"/>
    <n v="0"/>
    <n v="0"/>
    <n v="0"/>
    <n v="0"/>
    <n v="0"/>
    <n v="0"/>
    <n v="0"/>
    <n v="0"/>
    <n v="0"/>
    <n v="0"/>
    <x v="31"/>
    <x v="37"/>
    <m/>
  </r>
  <r>
    <e v="#NAME?"/>
    <s v="Flash Drive 32GB"/>
    <x v="10"/>
    <s v="pc"/>
    <m/>
    <m/>
    <s v="Public Bidding"/>
    <n v="4"/>
    <n v="4"/>
    <n v="0"/>
    <n v="0"/>
    <n v="0"/>
    <n v="0"/>
    <n v="0"/>
    <n v="0"/>
    <n v="0"/>
    <n v="0"/>
    <n v="0"/>
    <n v="0"/>
    <n v="0"/>
    <n v="0"/>
    <n v="0"/>
    <n v="0"/>
    <x v="31"/>
    <x v="20"/>
    <m/>
  </r>
  <r>
    <e v="#NAME?"/>
    <s v="Kyocera Toner TK-3165"/>
    <x v="4"/>
    <s v="pc"/>
    <m/>
    <m/>
    <s v="Public Bidding"/>
    <n v="3"/>
    <n v="1"/>
    <n v="1"/>
    <n v="1"/>
    <n v="3"/>
    <n v="1"/>
    <n v="1"/>
    <n v="1"/>
    <n v="3"/>
    <n v="1"/>
    <n v="1"/>
    <n v="1"/>
    <n v="3"/>
    <n v="1"/>
    <n v="1"/>
    <n v="1"/>
    <x v="31"/>
    <x v="80"/>
    <m/>
  </r>
  <r>
    <e v="#NAME?"/>
    <s v="Kyocera Maintenance Kit MK-3165"/>
    <x v="1"/>
    <s v="pc"/>
    <m/>
    <m/>
    <s v="Public Bidding"/>
    <n v="1"/>
    <n v="1"/>
    <n v="0"/>
    <n v="0"/>
    <n v="0"/>
    <n v="0"/>
    <n v="0"/>
    <n v="0"/>
    <n v="1"/>
    <n v="1"/>
    <n v="0"/>
    <n v="0"/>
    <n v="0"/>
    <n v="0"/>
    <n v="0"/>
    <n v="0"/>
    <x v="31"/>
    <x v="81"/>
    <m/>
  </r>
  <r>
    <e v="#NAME?"/>
    <s v="EPSON 664 INK CYAN"/>
    <x v="4"/>
    <s v="Bottle"/>
    <m/>
    <m/>
    <s v="Public Bidding"/>
    <n v="3"/>
    <n v="1"/>
    <n v="1"/>
    <n v="1"/>
    <n v="3"/>
    <n v="1"/>
    <n v="1"/>
    <n v="1"/>
    <n v="3"/>
    <n v="1"/>
    <n v="1"/>
    <n v="1"/>
    <n v="3"/>
    <n v="1"/>
    <n v="1"/>
    <n v="1"/>
    <x v="31"/>
    <x v="17"/>
    <m/>
  </r>
  <r>
    <e v="#NAME?"/>
    <s v="EPSON 664 INK YELLOW"/>
    <x v="4"/>
    <s v="Bottle"/>
    <m/>
    <m/>
    <s v="Public Bidding"/>
    <n v="3"/>
    <n v="1"/>
    <n v="1"/>
    <n v="1"/>
    <n v="3"/>
    <n v="1"/>
    <n v="1"/>
    <n v="1"/>
    <n v="3"/>
    <n v="1"/>
    <n v="1"/>
    <n v="1"/>
    <n v="3"/>
    <n v="1"/>
    <n v="1"/>
    <n v="1"/>
    <x v="31"/>
    <x v="18"/>
    <m/>
  </r>
  <r>
    <e v="#NAME?"/>
    <s v="EPSON 664 INK MAGENTA"/>
    <x v="4"/>
    <s v="Bottle"/>
    <m/>
    <m/>
    <s v="Public Bidding"/>
    <n v="3"/>
    <n v="1"/>
    <n v="1"/>
    <n v="1"/>
    <n v="3"/>
    <n v="1"/>
    <n v="1"/>
    <n v="1"/>
    <n v="3"/>
    <n v="1"/>
    <n v="1"/>
    <n v="1"/>
    <n v="3"/>
    <n v="1"/>
    <n v="1"/>
    <n v="1"/>
    <x v="31"/>
    <x v="19"/>
    <m/>
  </r>
  <r>
    <e v="#NAME?"/>
    <s v="Epson LQ-310 Printer"/>
    <x v="16"/>
    <s v="pc"/>
    <m/>
    <m/>
    <s v="Public Bidding"/>
    <n v="3"/>
    <n v="1"/>
    <n v="1"/>
    <n v="1"/>
    <n v="0"/>
    <n v="0"/>
    <n v="0"/>
    <n v="0"/>
    <n v="3"/>
    <n v="1"/>
    <n v="1"/>
    <n v="1"/>
    <n v="0"/>
    <n v="0"/>
    <n v="0"/>
    <n v="0"/>
    <x v="31"/>
    <x v="1"/>
    <m/>
  </r>
  <r>
    <e v="#NAME?"/>
    <s v="Epson LQ-310 (S015634) Ribbon Cartridge"/>
    <x v="31"/>
    <s v="pc"/>
    <m/>
    <m/>
    <s v="Public Bidding"/>
    <n v="180"/>
    <n v="60"/>
    <n v="60"/>
    <n v="60"/>
    <n v="180"/>
    <n v="60"/>
    <n v="60"/>
    <n v="60"/>
    <n v="180"/>
    <n v="60"/>
    <n v="60"/>
    <n v="60"/>
    <n v="180"/>
    <n v="60"/>
    <n v="60"/>
    <n v="60"/>
    <x v="31"/>
    <x v="6"/>
    <m/>
  </r>
  <r>
    <e v="#NAME?"/>
    <s v="Toner TK-7120 for Taskalfa 3212i"/>
    <x v="24"/>
    <s v="pc"/>
    <m/>
    <m/>
    <s v="Public Bidding"/>
    <n v="9"/>
    <n v="3"/>
    <n v="3"/>
    <n v="3"/>
    <n v="9"/>
    <n v="3"/>
    <n v="3"/>
    <n v="3"/>
    <n v="9"/>
    <n v="3"/>
    <n v="3"/>
    <n v="3"/>
    <n v="9"/>
    <n v="3"/>
    <n v="3"/>
    <n v="3"/>
    <x v="31"/>
    <x v="56"/>
    <m/>
  </r>
  <r>
    <e v="#NAME?"/>
    <s v="Kyocera Digital Copier Taskalfa 3212i"/>
    <x v="0"/>
    <s v="pc"/>
    <m/>
    <m/>
    <s v="Public Bidding"/>
    <n v="1"/>
    <n v="1"/>
    <n v="0"/>
    <n v="0"/>
    <n v="0"/>
    <n v="0"/>
    <n v="0"/>
    <n v="0"/>
    <n v="0"/>
    <n v="0"/>
    <n v="0"/>
    <n v="0"/>
    <n v="0"/>
    <n v="0"/>
    <n v="0"/>
    <n v="0"/>
    <x v="31"/>
    <x v="53"/>
    <m/>
  </r>
  <r>
    <e v="#NAME?"/>
    <s v="Kyocera Digital Copier Taskalfa 3212i Maintenance Kit"/>
    <x v="10"/>
    <s v="pc"/>
    <m/>
    <m/>
    <s v="Public Bidding"/>
    <n v="1"/>
    <n v="1"/>
    <n v="0"/>
    <n v="0"/>
    <n v="1"/>
    <n v="1"/>
    <n v="0"/>
    <n v="0"/>
    <n v="1"/>
    <n v="1"/>
    <n v="0"/>
    <n v="0"/>
    <n v="1"/>
    <n v="1"/>
    <n v="0"/>
    <n v="0"/>
    <x v="31"/>
    <x v="82"/>
    <m/>
  </r>
  <r>
    <e v="#NAME?"/>
    <s v="Printer"/>
    <x v="10"/>
    <s v="pc"/>
    <m/>
    <m/>
    <s v="Public Bidding"/>
    <n v="4"/>
    <n v="4"/>
    <n v="0"/>
    <n v="0"/>
    <n v="0"/>
    <n v="0"/>
    <n v="0"/>
    <n v="0"/>
    <n v="0"/>
    <n v="0"/>
    <n v="0"/>
    <n v="0"/>
    <n v="0"/>
    <n v="0"/>
    <n v="0"/>
    <n v="0"/>
    <x v="31"/>
    <x v="15"/>
    <s v="Printer"/>
  </r>
  <r>
    <e v="#NAME?"/>
    <s v="Kyocera Ecosys M4125IDN"/>
    <x v="1"/>
    <s v="pc"/>
    <m/>
    <m/>
    <s v="Public Bidding"/>
    <n v="1"/>
    <n v="1"/>
    <n v="0"/>
    <n v="0"/>
    <n v="0"/>
    <n v="0"/>
    <n v="0"/>
    <n v="0"/>
    <n v="1"/>
    <n v="1"/>
    <n v="0"/>
    <n v="0"/>
    <n v="0"/>
    <n v="0"/>
    <n v="0"/>
    <n v="0"/>
    <x v="31"/>
    <x v="53"/>
    <m/>
  </r>
  <r>
    <e v="#NAME?"/>
    <s v="EPSON L3210 TONER"/>
    <x v="17"/>
    <s v="pc"/>
    <m/>
    <m/>
    <s v="Public Bidding"/>
    <n v="6"/>
    <n v="2"/>
    <n v="2"/>
    <n v="2"/>
    <n v="6"/>
    <n v="2"/>
    <n v="2"/>
    <n v="2"/>
    <n v="6"/>
    <n v="2"/>
    <n v="2"/>
    <n v="2"/>
    <n v="6"/>
    <n v="2"/>
    <n v="2"/>
    <n v="2"/>
    <x v="31"/>
    <x v="26"/>
    <m/>
  </r>
  <r>
    <e v="#NAME?"/>
    <s v="INK-HP GT53 BLACK 90 ml"/>
    <x v="17"/>
    <s v="pc"/>
    <m/>
    <m/>
    <s v="Public Bidding"/>
    <n v="12"/>
    <n v="12"/>
    <n v="0"/>
    <n v="0"/>
    <n v="0"/>
    <n v="0"/>
    <n v="0"/>
    <n v="0"/>
    <n v="12"/>
    <n v="12"/>
    <n v="0"/>
    <n v="0"/>
    <n v="0"/>
    <n v="0"/>
    <n v="0"/>
    <n v="0"/>
    <x v="31"/>
    <x v="30"/>
    <m/>
  </r>
  <r>
    <e v="#NAME?"/>
    <s v="INK-HP GT53 CYAN 90 ml"/>
    <x v="11"/>
    <s v="pc"/>
    <m/>
    <m/>
    <s v="Public Bidding"/>
    <n v="2"/>
    <n v="2"/>
    <n v="0"/>
    <n v="0"/>
    <n v="2"/>
    <n v="2"/>
    <n v="0"/>
    <n v="0"/>
    <n v="2"/>
    <n v="2"/>
    <n v="0"/>
    <n v="0"/>
    <n v="2"/>
    <n v="2"/>
    <n v="0"/>
    <n v="0"/>
    <x v="31"/>
    <x v="31"/>
    <m/>
  </r>
  <r>
    <e v="#NAME?"/>
    <s v="INK-HP GT53 MAGENTA 90 ml"/>
    <x v="11"/>
    <s v="pc"/>
    <m/>
    <m/>
    <s v="Public Bidding"/>
    <n v="2"/>
    <n v="2"/>
    <n v="0"/>
    <n v="0"/>
    <n v="2"/>
    <n v="2"/>
    <n v="0"/>
    <n v="0"/>
    <n v="2"/>
    <n v="2"/>
    <n v="0"/>
    <n v="0"/>
    <n v="2"/>
    <n v="2"/>
    <n v="0"/>
    <n v="0"/>
    <x v="31"/>
    <x v="32"/>
    <m/>
  </r>
  <r>
    <e v="#NAME?"/>
    <s v="INK-HP GT53 YELLOW 90 ml"/>
    <x v="11"/>
    <s v="pc"/>
    <m/>
    <m/>
    <s v="Public Bidding"/>
    <n v="2"/>
    <n v="2"/>
    <n v="0"/>
    <n v="0"/>
    <n v="2"/>
    <n v="2"/>
    <n v="0"/>
    <n v="0"/>
    <n v="2"/>
    <n v="2"/>
    <n v="0"/>
    <n v="0"/>
    <n v="2"/>
    <n v="2"/>
    <n v="0"/>
    <n v="0"/>
    <x v="31"/>
    <x v="33"/>
    <m/>
  </r>
  <r>
    <e v="#NAME?"/>
    <s v="Brother DCP T700W (Toner) BT 6000BK"/>
    <x v="15"/>
    <s v="pc"/>
    <m/>
    <m/>
    <m/>
    <n v="5"/>
    <n v="5"/>
    <m/>
    <m/>
    <n v="5"/>
    <n v="5"/>
    <m/>
    <m/>
    <n v="5"/>
    <n v="5"/>
    <m/>
    <m/>
    <n v="5"/>
    <n v="5"/>
    <m/>
    <m/>
    <x v="32"/>
    <x v="83"/>
    <m/>
  </r>
  <r>
    <e v="#NAME?"/>
    <s v="Brother DCP T700W (Toner) BT 5000C"/>
    <x v="4"/>
    <s v="pc"/>
    <m/>
    <m/>
    <m/>
    <n v="3"/>
    <n v="3"/>
    <m/>
    <m/>
    <n v="3"/>
    <n v="3"/>
    <m/>
    <m/>
    <n v="3"/>
    <n v="3"/>
    <m/>
    <m/>
    <n v="3"/>
    <n v="3"/>
    <m/>
    <m/>
    <x v="32"/>
    <x v="67"/>
    <m/>
  </r>
  <r>
    <e v="#NAME?"/>
    <s v="Brother DCP T700W (Toner) BT 5000M"/>
    <x v="4"/>
    <s v="pc"/>
    <m/>
    <m/>
    <m/>
    <n v="3"/>
    <n v="3"/>
    <m/>
    <m/>
    <n v="3"/>
    <n v="3"/>
    <m/>
    <m/>
    <n v="3"/>
    <n v="3"/>
    <m/>
    <m/>
    <n v="3"/>
    <n v="3"/>
    <m/>
    <m/>
    <x v="32"/>
    <x v="68"/>
    <m/>
  </r>
  <r>
    <e v="#NAME?"/>
    <s v="Brother DCP T700W (Toner) BT 5000Y"/>
    <x v="4"/>
    <s v="pc"/>
    <m/>
    <m/>
    <m/>
    <n v="3"/>
    <n v="3"/>
    <m/>
    <m/>
    <n v="3"/>
    <n v="3"/>
    <m/>
    <m/>
    <n v="3"/>
    <n v="3"/>
    <m/>
    <m/>
    <n v="3"/>
    <n v="3"/>
    <m/>
    <m/>
    <x v="32"/>
    <x v="66"/>
    <m/>
  </r>
  <r>
    <e v="#NAME?"/>
    <s v="Ink black compatible to Epson L3110, L3150 (003 Ink Black)"/>
    <x v="15"/>
    <s v="pc"/>
    <m/>
    <m/>
    <m/>
    <n v="5"/>
    <n v="5"/>
    <m/>
    <m/>
    <n v="5"/>
    <n v="5"/>
    <m/>
    <m/>
    <n v="5"/>
    <n v="5"/>
    <m/>
    <m/>
    <n v="5"/>
    <n v="5"/>
    <m/>
    <m/>
    <x v="32"/>
    <x v="26"/>
    <m/>
  </r>
  <r>
    <e v="#NAME?"/>
    <s v="Ink Cyan compatible to Epson L3110, L3150 (003 Ink Cyan)"/>
    <x v="4"/>
    <s v="pc"/>
    <m/>
    <m/>
    <m/>
    <n v="3"/>
    <n v="3"/>
    <m/>
    <m/>
    <n v="3"/>
    <n v="3"/>
    <m/>
    <m/>
    <n v="3"/>
    <n v="3"/>
    <m/>
    <m/>
    <n v="3"/>
    <n v="3"/>
    <m/>
    <m/>
    <x v="32"/>
    <x v="27"/>
    <m/>
  </r>
  <r>
    <e v="#NAME?"/>
    <s v="Ink Magenta compatible to Epson L3110, L3150 (003 Ink Magenta)"/>
    <x v="4"/>
    <s v="pc"/>
    <m/>
    <m/>
    <m/>
    <n v="3"/>
    <n v="3"/>
    <m/>
    <m/>
    <n v="3"/>
    <n v="3"/>
    <m/>
    <m/>
    <n v="3"/>
    <n v="3"/>
    <m/>
    <m/>
    <n v="3"/>
    <n v="3"/>
    <m/>
    <m/>
    <x v="32"/>
    <x v="28"/>
    <m/>
  </r>
  <r>
    <e v="#NAME?"/>
    <s v="Ink Yellow compatible to Epson L3110, L3150 (003 Ink Yellow)"/>
    <x v="4"/>
    <s v="pc"/>
    <m/>
    <m/>
    <m/>
    <n v="3"/>
    <n v="3"/>
    <m/>
    <m/>
    <n v="3"/>
    <n v="3"/>
    <m/>
    <m/>
    <n v="3"/>
    <n v="3"/>
    <m/>
    <m/>
    <n v="3"/>
    <n v="3"/>
    <m/>
    <m/>
    <x v="32"/>
    <x v="29"/>
    <m/>
  </r>
  <r>
    <e v="#NAME?"/>
    <s v="INK CARTRIDGE, EPSON (T6641), BLACK"/>
    <x v="15"/>
    <s v="pc"/>
    <m/>
    <m/>
    <m/>
    <n v="5"/>
    <n v="5"/>
    <m/>
    <m/>
    <n v="5"/>
    <n v="5"/>
    <m/>
    <m/>
    <n v="5"/>
    <n v="5"/>
    <m/>
    <m/>
    <n v="5"/>
    <n v="5"/>
    <m/>
    <m/>
    <x v="32"/>
    <x v="16"/>
    <m/>
  </r>
  <r>
    <e v="#NAME?"/>
    <s v="INK CARTRIDGE, EPSON (T6642), CYAN"/>
    <x v="4"/>
    <s v="pc"/>
    <m/>
    <m/>
    <m/>
    <n v="3"/>
    <n v="3"/>
    <m/>
    <m/>
    <n v="3"/>
    <n v="3"/>
    <m/>
    <m/>
    <n v="3"/>
    <n v="3"/>
    <m/>
    <m/>
    <n v="3"/>
    <n v="3"/>
    <m/>
    <m/>
    <x v="32"/>
    <x v="17"/>
    <m/>
  </r>
  <r>
    <e v="#NAME?"/>
    <s v="INK CARTRIDGE, EPSON (T6643), MAGENTA"/>
    <x v="4"/>
    <s v="pc"/>
    <m/>
    <m/>
    <m/>
    <n v="3"/>
    <n v="3"/>
    <m/>
    <m/>
    <n v="3"/>
    <n v="3"/>
    <m/>
    <m/>
    <n v="3"/>
    <n v="3"/>
    <m/>
    <m/>
    <n v="3"/>
    <n v="3"/>
    <m/>
    <m/>
    <x v="32"/>
    <x v="18"/>
    <m/>
  </r>
  <r>
    <e v="#NAME?"/>
    <s v="INK CARTRIDGE, EPSON (T6644), YELLOW"/>
    <x v="4"/>
    <s v="pc"/>
    <m/>
    <m/>
    <m/>
    <n v="3"/>
    <n v="3"/>
    <m/>
    <m/>
    <n v="3"/>
    <n v="3"/>
    <m/>
    <m/>
    <n v="3"/>
    <n v="3"/>
    <m/>
    <m/>
    <n v="3"/>
    <n v="3"/>
    <m/>
    <m/>
    <x v="32"/>
    <x v="19"/>
    <m/>
  </r>
  <r>
    <e v="#NAME?"/>
    <s v="HP Printhead Black compatible with the existing HP Smart Tank 515"/>
    <x v="11"/>
    <s v="pc"/>
    <m/>
    <m/>
    <m/>
    <n v="8"/>
    <n v="8"/>
    <m/>
    <m/>
    <n v="0"/>
    <m/>
    <m/>
    <m/>
    <n v="0"/>
    <m/>
    <m/>
    <m/>
    <n v="0"/>
    <m/>
    <m/>
    <m/>
    <x v="32"/>
    <x v="50"/>
    <m/>
  </r>
  <r>
    <e v="#NAME?"/>
    <s v="HP Printhead Tri-color compatible with the existing HP Smart Tank 515"/>
    <x v="10"/>
    <s v="pc"/>
    <m/>
    <m/>
    <m/>
    <n v="4"/>
    <n v="4"/>
    <m/>
    <m/>
    <n v="0"/>
    <m/>
    <m/>
    <m/>
    <n v="0"/>
    <m/>
    <m/>
    <m/>
    <n v="0"/>
    <m/>
    <m/>
    <m/>
    <x v="32"/>
    <x v="51"/>
    <m/>
  </r>
  <r>
    <e v="#NAME?"/>
    <s v="HP Ink GT 53 Black - Ink compatible to existing HP Smart Tank 515"/>
    <x v="15"/>
    <s v="pc"/>
    <m/>
    <m/>
    <m/>
    <n v="5"/>
    <n v="5"/>
    <m/>
    <m/>
    <n v="5"/>
    <n v="5"/>
    <m/>
    <m/>
    <n v="5"/>
    <n v="5"/>
    <m/>
    <m/>
    <n v="5"/>
    <n v="5"/>
    <m/>
    <m/>
    <x v="32"/>
    <x v="30"/>
    <m/>
  </r>
  <r>
    <e v="#NAME?"/>
    <s v="HP Ink GT 52 Magenta - Ink compatible to existing HP Smart Tank 515"/>
    <x v="4"/>
    <s v="pc"/>
    <m/>
    <m/>
    <m/>
    <n v="3"/>
    <n v="3"/>
    <m/>
    <m/>
    <n v="3"/>
    <n v="3"/>
    <m/>
    <m/>
    <n v="3"/>
    <n v="3"/>
    <m/>
    <m/>
    <n v="3"/>
    <n v="3"/>
    <m/>
    <m/>
    <x v="32"/>
    <x v="31"/>
    <m/>
  </r>
  <r>
    <e v="#NAME?"/>
    <s v="HP Ink GT 52 Cyan - Ink compatible to existing HP Smart Tank 515"/>
    <x v="4"/>
    <s v="pc"/>
    <m/>
    <m/>
    <m/>
    <n v="3"/>
    <n v="3"/>
    <m/>
    <m/>
    <n v="3"/>
    <n v="3"/>
    <m/>
    <m/>
    <n v="3"/>
    <n v="3"/>
    <m/>
    <m/>
    <n v="3"/>
    <n v="3"/>
    <m/>
    <m/>
    <x v="32"/>
    <x v="32"/>
    <m/>
  </r>
  <r>
    <e v="#NAME?"/>
    <s v="HP Ink GT 52 Yellow - Ink compatible to existing HP Smart Tank 515"/>
    <x v="4"/>
    <s v="pc"/>
    <m/>
    <m/>
    <m/>
    <n v="3"/>
    <n v="3"/>
    <m/>
    <m/>
    <n v="3"/>
    <n v="3"/>
    <m/>
    <m/>
    <n v="3"/>
    <n v="3"/>
    <m/>
    <m/>
    <n v="3"/>
    <n v="3"/>
    <m/>
    <m/>
    <x v="32"/>
    <x v="33"/>
    <m/>
  </r>
  <r>
    <e v="#NAME?"/>
    <s v="Toner kit for Kyocera Ecosys M4125idn (TK 6113)"/>
    <x v="17"/>
    <s v="pc"/>
    <m/>
    <m/>
    <m/>
    <n v="6"/>
    <n v="6"/>
    <m/>
    <m/>
    <n v="6"/>
    <n v="6"/>
    <m/>
    <m/>
    <n v="6"/>
    <n v="6"/>
    <m/>
    <m/>
    <n v="6"/>
    <n v="6"/>
    <m/>
    <m/>
    <x v="32"/>
    <x v="9"/>
    <m/>
  </r>
  <r>
    <e v="#NAME?"/>
    <s v="KYOCERA ECOSYS M4125idn MAINTENANCE KIT (MK 6119)"/>
    <x v="16"/>
    <s v="pc"/>
    <m/>
    <m/>
    <m/>
    <n v="2"/>
    <n v="2"/>
    <m/>
    <m/>
    <n v="1"/>
    <n v="1"/>
    <m/>
    <m/>
    <n v="1"/>
    <n v="1"/>
    <m/>
    <m/>
    <n v="2"/>
    <n v="2"/>
    <m/>
    <m/>
    <x v="32"/>
    <x v="10"/>
    <m/>
  </r>
  <r>
    <e v="#NAME?"/>
    <s v="Toner Cartridge Compatible to Canon Imageclass MF543x"/>
    <x v="17"/>
    <s v="pc"/>
    <m/>
    <m/>
    <m/>
    <n v="6"/>
    <n v="6"/>
    <m/>
    <m/>
    <n v="6"/>
    <n v="6"/>
    <m/>
    <m/>
    <n v="6"/>
    <n v="6"/>
    <m/>
    <m/>
    <n v="6"/>
    <n v="6"/>
    <m/>
    <m/>
    <x v="32"/>
    <x v="84"/>
    <m/>
  </r>
  <r>
    <e v="#NAME?"/>
    <s v="Toner Cartridge compatible to Brother DCP L2540DW (TN-2360)"/>
    <x v="17"/>
    <s v="pc"/>
    <m/>
    <m/>
    <m/>
    <n v="6"/>
    <n v="6"/>
    <m/>
    <m/>
    <n v="6"/>
    <n v="6"/>
    <m/>
    <m/>
    <n v="6"/>
    <n v="6"/>
    <m/>
    <m/>
    <n v="6"/>
    <n v="6"/>
    <m/>
    <m/>
    <x v="32"/>
    <x v="85"/>
    <m/>
  </r>
  <r>
    <e v="#NAME?"/>
    <s v="Mouse, Optical, USB 2.0"/>
    <x v="0"/>
    <s v="pc"/>
    <m/>
    <m/>
    <m/>
    <n v="1"/>
    <m/>
    <m/>
    <m/>
    <m/>
    <m/>
    <m/>
    <m/>
    <m/>
    <m/>
    <m/>
    <m/>
    <m/>
    <m/>
    <m/>
    <m/>
    <x v="33"/>
    <x v="14"/>
    <m/>
  </r>
  <r>
    <e v="#NAME?"/>
    <s v="USB Thumb Drive, 32GB"/>
    <x v="0"/>
    <s v="pc"/>
    <m/>
    <m/>
    <m/>
    <n v="1"/>
    <m/>
    <m/>
    <m/>
    <m/>
    <m/>
    <m/>
    <m/>
    <m/>
    <m/>
    <m/>
    <m/>
    <m/>
    <m/>
    <m/>
    <m/>
    <x v="33"/>
    <x v="20"/>
    <m/>
  </r>
  <r>
    <e v="#NAME?"/>
    <s v="Wifi Router"/>
    <x v="0"/>
    <s v="pc"/>
    <m/>
    <m/>
    <m/>
    <n v="1"/>
    <m/>
    <m/>
    <m/>
    <m/>
    <m/>
    <m/>
    <m/>
    <m/>
    <m/>
    <m/>
    <m/>
    <m/>
    <m/>
    <m/>
    <m/>
    <x v="33"/>
    <x v="5"/>
    <s v="N/A"/>
  </r>
  <r>
    <e v="#NAME?"/>
    <s v="UPS, 625VA, 325 Watts"/>
    <x v="0"/>
    <s v="pc"/>
    <m/>
    <m/>
    <m/>
    <n v="1"/>
    <m/>
    <m/>
    <m/>
    <m/>
    <m/>
    <m/>
    <m/>
    <m/>
    <m/>
    <m/>
    <m/>
    <m/>
    <m/>
    <m/>
    <m/>
    <x v="33"/>
    <x v="3"/>
    <m/>
  </r>
  <r>
    <e v="#NAME?"/>
    <s v="Analog Telephone Handset compatible to existing PABX"/>
    <x v="0"/>
    <s v="set"/>
    <m/>
    <m/>
    <m/>
    <n v="1"/>
    <m/>
    <m/>
    <m/>
    <m/>
    <m/>
    <m/>
    <m/>
    <m/>
    <m/>
    <m/>
    <m/>
    <m/>
    <m/>
    <m/>
    <m/>
    <x v="33"/>
    <x v="52"/>
    <m/>
  </r>
  <r>
    <e v="#NAME?"/>
    <s v="Branded Desktop Set"/>
    <x v="0"/>
    <s v="set"/>
    <m/>
    <m/>
    <m/>
    <n v="1"/>
    <m/>
    <m/>
    <m/>
    <m/>
    <m/>
    <m/>
    <m/>
    <m/>
    <m/>
    <m/>
    <m/>
    <m/>
    <m/>
    <m/>
    <m/>
    <x v="33"/>
    <x v="0"/>
    <m/>
  </r>
  <r>
    <e v="#NAME?"/>
    <s v="Printer, Multi Function (Print/Scan/Copy)"/>
    <x v="0"/>
    <s v="pc"/>
    <m/>
    <m/>
    <m/>
    <n v="1"/>
    <m/>
    <m/>
    <m/>
    <m/>
    <m/>
    <m/>
    <m/>
    <m/>
    <m/>
    <m/>
    <m/>
    <m/>
    <m/>
    <m/>
    <m/>
    <x v="33"/>
    <x v="15"/>
    <s v="Printer"/>
  </r>
  <r>
    <e v="#NAME?"/>
    <s v="Mouse, Optical, USB 2.0"/>
    <x v="0"/>
    <s v="pc"/>
    <m/>
    <m/>
    <m/>
    <n v="1"/>
    <m/>
    <m/>
    <m/>
    <m/>
    <m/>
    <m/>
    <m/>
    <m/>
    <m/>
    <m/>
    <m/>
    <m/>
    <m/>
    <m/>
    <m/>
    <x v="33"/>
    <x v="14"/>
    <m/>
  </r>
  <r>
    <e v="#NAME?"/>
    <s v="Keyboard, Full Size, USB 2.0"/>
    <x v="0"/>
    <s v="pc"/>
    <m/>
    <m/>
    <m/>
    <n v="1"/>
    <m/>
    <m/>
    <m/>
    <m/>
    <m/>
    <m/>
    <m/>
    <m/>
    <m/>
    <m/>
    <m/>
    <m/>
    <m/>
    <m/>
    <m/>
    <x v="33"/>
    <x v="13"/>
    <m/>
  </r>
  <r>
    <e v="#NAME?"/>
    <s v="Branded Laptop"/>
    <x v="0"/>
    <s v="set"/>
    <m/>
    <m/>
    <m/>
    <n v="1"/>
    <m/>
    <m/>
    <m/>
    <m/>
    <m/>
    <m/>
    <m/>
    <m/>
    <m/>
    <m/>
    <m/>
    <m/>
    <m/>
    <m/>
    <m/>
    <x v="33"/>
    <x v="40"/>
    <m/>
  </r>
  <r>
    <e v="#NAME?"/>
    <s v="LCD Projector"/>
    <x v="0"/>
    <s v="pc"/>
    <m/>
    <m/>
    <m/>
    <n v="1"/>
    <m/>
    <m/>
    <m/>
    <m/>
    <m/>
    <m/>
    <m/>
    <m/>
    <m/>
    <m/>
    <m/>
    <m/>
    <m/>
    <m/>
    <m/>
    <x v="33"/>
    <x v="64"/>
    <m/>
  </r>
  <r>
    <e v="#NAME?"/>
    <s v="External HDD, 1TB"/>
    <x v="0"/>
    <s v="pc"/>
    <m/>
    <m/>
    <m/>
    <n v="1"/>
    <m/>
    <m/>
    <m/>
    <m/>
    <m/>
    <m/>
    <m/>
    <m/>
    <m/>
    <m/>
    <m/>
    <m/>
    <m/>
    <m/>
    <m/>
    <x v="33"/>
    <x v="37"/>
    <m/>
  </r>
  <r>
    <e v="#NAME?"/>
    <s v="Digital Audio Recorder with USB, 4GB RAM"/>
    <x v="0"/>
    <s v="pc"/>
    <m/>
    <m/>
    <m/>
    <n v="1"/>
    <m/>
    <m/>
    <m/>
    <m/>
    <m/>
    <m/>
    <m/>
    <m/>
    <m/>
    <m/>
    <m/>
    <m/>
    <m/>
    <m/>
    <m/>
    <x v="33"/>
    <x v="71"/>
    <m/>
  </r>
  <r>
    <e v="#NAME?"/>
    <s v="Laser Pointer with clicker"/>
    <x v="0"/>
    <s v="pc"/>
    <m/>
    <m/>
    <m/>
    <n v="1"/>
    <m/>
    <m/>
    <m/>
    <m/>
    <m/>
    <m/>
    <m/>
    <m/>
    <m/>
    <m/>
    <m/>
    <m/>
    <m/>
    <m/>
    <m/>
    <x v="33"/>
    <x v="42"/>
    <m/>
  </r>
  <r>
    <e v="#NAME?"/>
    <s v="120GB SSD"/>
    <x v="0"/>
    <s v="pc"/>
    <m/>
    <m/>
    <m/>
    <n v="1"/>
    <m/>
    <m/>
    <m/>
    <m/>
    <m/>
    <m/>
    <m/>
    <m/>
    <m/>
    <m/>
    <m/>
    <m/>
    <m/>
    <m/>
    <m/>
    <x v="33"/>
    <x v="5"/>
    <s v="N/A"/>
  </r>
  <r>
    <e v="#NAME?"/>
    <s v="Multi- functional copier, Supported Paper: Letter/A4/Legal /A3"/>
    <x v="0"/>
    <s v="pc"/>
    <m/>
    <m/>
    <m/>
    <n v="1"/>
    <m/>
    <m/>
    <m/>
    <m/>
    <m/>
    <m/>
    <m/>
    <m/>
    <m/>
    <m/>
    <m/>
    <m/>
    <m/>
    <m/>
    <m/>
    <x v="33"/>
    <x v="86"/>
    <m/>
  </r>
  <r>
    <e v="#NAME?"/>
    <s v="Ink black compatible with HP Smart Tank 515 printer"/>
    <x v="30"/>
    <s v="pc"/>
    <m/>
    <m/>
    <m/>
    <n v="12"/>
    <m/>
    <m/>
    <m/>
    <n v="12"/>
    <m/>
    <m/>
    <m/>
    <n v="12"/>
    <m/>
    <m/>
    <m/>
    <n v="12"/>
    <m/>
    <m/>
    <m/>
    <x v="33"/>
    <x v="30"/>
    <m/>
  </r>
  <r>
    <e v="#NAME?"/>
    <s v="Ink cyan compatible with HP Smart Tank 515 printer"/>
    <x v="30"/>
    <s v="pc"/>
    <m/>
    <m/>
    <m/>
    <n v="12"/>
    <m/>
    <m/>
    <m/>
    <n v="12"/>
    <m/>
    <m/>
    <m/>
    <n v="12"/>
    <m/>
    <m/>
    <m/>
    <n v="12"/>
    <m/>
    <m/>
    <m/>
    <x v="33"/>
    <x v="31"/>
    <m/>
  </r>
  <r>
    <e v="#NAME?"/>
    <s v="Ink yellow compatible with HP Smart Tank 515 printer"/>
    <x v="30"/>
    <s v="pc"/>
    <m/>
    <m/>
    <m/>
    <n v="12"/>
    <m/>
    <m/>
    <m/>
    <n v="12"/>
    <m/>
    <m/>
    <m/>
    <n v="12"/>
    <m/>
    <m/>
    <m/>
    <n v="12"/>
    <m/>
    <m/>
    <m/>
    <x v="33"/>
    <x v="32"/>
    <m/>
  </r>
  <r>
    <e v="#NAME?"/>
    <s v="Ink magenta compatible with HP Smart Tank 515 printer"/>
    <x v="30"/>
    <s v="pc"/>
    <m/>
    <m/>
    <m/>
    <n v="12"/>
    <m/>
    <m/>
    <m/>
    <n v="12"/>
    <m/>
    <m/>
    <m/>
    <n v="12"/>
    <m/>
    <m/>
    <m/>
    <n v="12"/>
    <m/>
    <m/>
    <m/>
    <x v="33"/>
    <x v="33"/>
    <m/>
  </r>
  <r>
    <e v="#NAME?"/>
    <s v="Kyocera FS-6525MFP TK-479"/>
    <x v="11"/>
    <s v="pc"/>
    <m/>
    <m/>
    <m/>
    <n v="4"/>
    <m/>
    <m/>
    <m/>
    <n v="4"/>
    <m/>
    <m/>
    <m/>
    <m/>
    <m/>
    <m/>
    <m/>
    <m/>
    <m/>
    <m/>
    <m/>
    <x v="33"/>
    <x v="34"/>
    <m/>
  </r>
  <r>
    <e v="#NAME?"/>
    <s v="Kyocera Ecosys FS-6525MFP MK 479"/>
    <x v="10"/>
    <s v="pc"/>
    <m/>
    <m/>
    <m/>
    <n v="2"/>
    <m/>
    <m/>
    <m/>
    <n v="2"/>
    <m/>
    <m/>
    <m/>
    <m/>
    <m/>
    <m/>
    <m/>
    <m/>
    <m/>
    <m/>
    <m/>
    <x v="33"/>
    <x v="35"/>
    <m/>
  </r>
  <r>
    <e v="#NAME?"/>
    <s v="CPU"/>
    <x v="1"/>
    <s v="UNIT"/>
    <m/>
    <m/>
    <m/>
    <n v="2"/>
    <m/>
    <m/>
    <m/>
    <m/>
    <m/>
    <m/>
    <m/>
    <m/>
    <m/>
    <m/>
    <m/>
    <m/>
    <m/>
    <m/>
    <m/>
    <x v="34"/>
    <x v="5"/>
    <s v="N/A"/>
  </r>
  <r>
    <e v="#NAME?"/>
    <s v="DESKTOP FOR MID-RANGE USERS"/>
    <x v="0"/>
    <s v="UNIT"/>
    <m/>
    <m/>
    <m/>
    <n v="1"/>
    <m/>
    <m/>
    <m/>
    <m/>
    <m/>
    <m/>
    <m/>
    <m/>
    <m/>
    <m/>
    <m/>
    <m/>
    <m/>
    <m/>
    <m/>
    <x v="34"/>
    <x v="0"/>
    <m/>
  </r>
  <r>
    <e v="#NAME?"/>
    <s v="PRINTER, impact, dot matrix, 24 pins, 136 columns"/>
    <x v="0"/>
    <s v="UNIT"/>
    <m/>
    <m/>
    <m/>
    <n v="1"/>
    <m/>
    <m/>
    <m/>
    <m/>
    <m/>
    <m/>
    <m/>
    <m/>
    <m/>
    <m/>
    <m/>
    <m/>
    <m/>
    <m/>
    <m/>
    <x v="34"/>
    <x v="1"/>
    <m/>
  </r>
  <r>
    <e v="#NAME?"/>
    <s v="INK EPSON C13T664100 (T6641), Black"/>
    <x v="11"/>
    <s v="bot"/>
    <m/>
    <m/>
    <m/>
    <n v="4"/>
    <m/>
    <m/>
    <m/>
    <m/>
    <m/>
    <m/>
    <m/>
    <n v="4"/>
    <m/>
    <m/>
    <m/>
    <m/>
    <m/>
    <m/>
    <m/>
    <x v="34"/>
    <x v="16"/>
    <m/>
  </r>
  <r>
    <e v="#NAME?"/>
    <s v="INK EPSON C13T664200 (T6642), Cyan"/>
    <x v="1"/>
    <s v="bot"/>
    <m/>
    <m/>
    <m/>
    <n v="1"/>
    <m/>
    <m/>
    <m/>
    <m/>
    <m/>
    <m/>
    <m/>
    <n v="1"/>
    <m/>
    <m/>
    <m/>
    <m/>
    <m/>
    <m/>
    <m/>
    <x v="34"/>
    <x v="17"/>
    <m/>
  </r>
  <r>
    <e v="#NAME?"/>
    <s v="INK, EPSON C13T664300 (T6643), Magenta"/>
    <x v="1"/>
    <s v="bot"/>
    <m/>
    <m/>
    <m/>
    <n v="1"/>
    <m/>
    <m/>
    <m/>
    <m/>
    <m/>
    <m/>
    <m/>
    <n v="1"/>
    <m/>
    <m/>
    <m/>
    <m/>
    <m/>
    <m/>
    <m/>
    <x v="34"/>
    <x v="18"/>
    <m/>
  </r>
  <r>
    <e v="#NAME?"/>
    <s v="INK, EPSON C13T664400 (T6644), Yellow"/>
    <x v="1"/>
    <s v="bot"/>
    <m/>
    <m/>
    <m/>
    <n v="1"/>
    <m/>
    <m/>
    <m/>
    <m/>
    <m/>
    <m/>
    <m/>
    <n v="1"/>
    <m/>
    <m/>
    <m/>
    <m/>
    <m/>
    <m/>
    <m/>
    <x v="34"/>
    <x v="19"/>
    <m/>
  </r>
  <r>
    <e v="#NAME?"/>
    <s v="HP GT52 Yellow"/>
    <x v="10"/>
    <s v="bot"/>
    <m/>
    <m/>
    <m/>
    <n v="2"/>
    <m/>
    <m/>
    <m/>
    <m/>
    <m/>
    <m/>
    <m/>
    <n v="2"/>
    <m/>
    <m/>
    <m/>
    <m/>
    <m/>
    <m/>
    <m/>
    <x v="34"/>
    <x v="33"/>
    <m/>
  </r>
  <r>
    <e v="#NAME?"/>
    <s v="HP GT52 Magenta"/>
    <x v="10"/>
    <s v="bot"/>
    <m/>
    <m/>
    <m/>
    <n v="2"/>
    <m/>
    <m/>
    <m/>
    <m/>
    <m/>
    <m/>
    <m/>
    <n v="2"/>
    <m/>
    <m/>
    <m/>
    <m/>
    <m/>
    <m/>
    <m/>
    <x v="34"/>
    <x v="31"/>
    <m/>
  </r>
  <r>
    <e v="#NAME?"/>
    <s v="HP GT52 Cyan"/>
    <x v="10"/>
    <s v="bot"/>
    <m/>
    <m/>
    <m/>
    <n v="2"/>
    <m/>
    <m/>
    <m/>
    <m/>
    <m/>
    <m/>
    <m/>
    <n v="2"/>
    <m/>
    <m/>
    <m/>
    <m/>
    <m/>
    <m/>
    <m/>
    <x v="34"/>
    <x v="32"/>
    <m/>
  </r>
  <r>
    <e v="#NAME?"/>
    <s v="HP GT53 Black"/>
    <x v="11"/>
    <s v="bot"/>
    <m/>
    <m/>
    <m/>
    <n v="4"/>
    <m/>
    <m/>
    <m/>
    <m/>
    <m/>
    <m/>
    <m/>
    <n v="4"/>
    <m/>
    <m/>
    <m/>
    <m/>
    <m/>
    <m/>
    <m/>
    <x v="34"/>
    <x v="30"/>
    <m/>
  </r>
  <r>
    <e v="#NAME?"/>
    <s v="epson L3210 printer"/>
    <x v="2"/>
    <s v="pc"/>
    <m/>
    <m/>
    <m/>
    <n v="3"/>
    <n v="3"/>
    <m/>
    <m/>
    <m/>
    <m/>
    <m/>
    <m/>
    <m/>
    <m/>
    <m/>
    <m/>
    <m/>
    <m/>
    <m/>
    <m/>
    <x v="35"/>
    <x v="15"/>
    <s v="Printer"/>
  </r>
  <r>
    <e v="#NAME?"/>
    <s v="Keyboard, Full Size, USB 2.0"/>
    <x v="2"/>
    <s v="pc"/>
    <m/>
    <m/>
    <m/>
    <n v="3"/>
    <n v="3"/>
    <m/>
    <m/>
    <m/>
    <m/>
    <m/>
    <m/>
    <m/>
    <m/>
    <m/>
    <m/>
    <m/>
    <m/>
    <m/>
    <m/>
    <x v="35"/>
    <x v="13"/>
    <m/>
  </r>
  <r>
    <e v="#NAME?"/>
    <s v="Mouse, Optical, USB 2.0"/>
    <x v="2"/>
    <s v="pc"/>
    <m/>
    <m/>
    <m/>
    <n v="3"/>
    <n v="3"/>
    <m/>
    <m/>
    <m/>
    <m/>
    <m/>
    <m/>
    <m/>
    <m/>
    <m/>
    <m/>
    <m/>
    <m/>
    <m/>
    <m/>
    <x v="35"/>
    <x v="14"/>
    <m/>
  </r>
  <r>
    <e v="#NAME?"/>
    <s v="UPS, 625va, 325 Watts"/>
    <x v="2"/>
    <s v="pc"/>
    <m/>
    <m/>
    <m/>
    <n v="3"/>
    <n v="3"/>
    <m/>
    <m/>
    <m/>
    <m/>
    <m/>
    <m/>
    <m/>
    <m/>
    <m/>
    <m/>
    <m/>
    <m/>
    <m/>
    <m/>
    <x v="35"/>
    <x v="3"/>
    <m/>
  </r>
  <r>
    <e v="#NAME?"/>
    <s v="AVR 500 Watts, 220 Volts"/>
    <x v="2"/>
    <s v="pc"/>
    <m/>
    <m/>
    <m/>
    <n v="3"/>
    <n v="3"/>
    <m/>
    <m/>
    <m/>
    <m/>
    <m/>
    <m/>
    <m/>
    <m/>
    <m/>
    <m/>
    <m/>
    <m/>
    <m/>
    <m/>
    <x v="35"/>
    <x v="5"/>
    <s v="N/A"/>
  </r>
  <r>
    <e v="#NAME?"/>
    <s v="Analog Telephone Handset compatible to existing PABX"/>
    <x v="2"/>
    <s v="pc"/>
    <m/>
    <m/>
    <m/>
    <n v="3"/>
    <n v="3"/>
    <m/>
    <m/>
    <m/>
    <m/>
    <m/>
    <m/>
    <m/>
    <m/>
    <m/>
    <m/>
    <m/>
    <m/>
    <m/>
    <m/>
    <x v="35"/>
    <x v="52"/>
    <m/>
  </r>
  <r>
    <e v="#NAME?"/>
    <s v="EPSON L3210"/>
    <x v="1"/>
    <s v="pc"/>
    <m/>
    <m/>
    <m/>
    <n v="1"/>
    <n v="1"/>
    <m/>
    <m/>
    <n v="0"/>
    <m/>
    <m/>
    <m/>
    <n v="0"/>
    <m/>
    <m/>
    <m/>
    <n v="0"/>
    <m/>
    <m/>
    <m/>
    <x v="36"/>
    <x v="5"/>
    <s v="N/A"/>
  </r>
  <r>
    <e v="#NAME?"/>
    <s v="Keyboard, Full Size, USB 2.0"/>
    <x v="1"/>
    <s v="pc"/>
    <m/>
    <m/>
    <m/>
    <n v="1"/>
    <n v="1"/>
    <m/>
    <m/>
    <n v="0"/>
    <m/>
    <m/>
    <m/>
    <n v="1"/>
    <n v="1"/>
    <m/>
    <m/>
    <n v="0"/>
    <m/>
    <m/>
    <m/>
    <x v="36"/>
    <x v="13"/>
    <m/>
  </r>
  <r>
    <e v="#NAME?"/>
    <s v="Mouse, Optical, USB 2.0"/>
    <x v="1"/>
    <s v="pc"/>
    <m/>
    <m/>
    <m/>
    <n v="1"/>
    <n v="1"/>
    <m/>
    <m/>
    <n v="0"/>
    <m/>
    <m/>
    <m/>
    <n v="1"/>
    <n v="1"/>
    <m/>
    <m/>
    <n v="0"/>
    <m/>
    <m/>
    <m/>
    <x v="36"/>
    <x v="14"/>
    <m/>
  </r>
  <r>
    <e v="#NAME?"/>
    <s v="Multi-function inkjet printer Tank (print, copy, scan)"/>
    <x v="0"/>
    <s v="pc"/>
    <m/>
    <m/>
    <m/>
    <n v="1"/>
    <n v="1"/>
    <m/>
    <m/>
    <n v="0"/>
    <m/>
    <m/>
    <m/>
    <n v="0"/>
    <m/>
    <m/>
    <m/>
    <n v="0"/>
    <m/>
    <m/>
    <m/>
    <x v="36"/>
    <x v="15"/>
    <s v="Printer"/>
  </r>
  <r>
    <e v="#NAME?"/>
    <s v="UPS, 625va, 325 Watts"/>
    <x v="1"/>
    <s v="pc"/>
    <m/>
    <m/>
    <m/>
    <n v="1"/>
    <n v="1"/>
    <m/>
    <m/>
    <n v="0"/>
    <m/>
    <m/>
    <m/>
    <n v="1"/>
    <n v="1"/>
    <m/>
    <m/>
    <n v="0"/>
    <m/>
    <m/>
    <m/>
    <x v="36"/>
    <x v="3"/>
    <m/>
  </r>
  <r>
    <e v="#NAME?"/>
    <s v="AVR 500 Watts, 220 Volts"/>
    <x v="1"/>
    <s v="pc"/>
    <m/>
    <m/>
    <m/>
    <n v="1"/>
    <n v="1"/>
    <m/>
    <m/>
    <n v="1"/>
    <n v="1"/>
    <m/>
    <m/>
    <n v="0"/>
    <m/>
    <m/>
    <m/>
    <n v="0"/>
    <m/>
    <m/>
    <m/>
    <x v="36"/>
    <x v="5"/>
    <s v="N/A"/>
  </r>
  <r>
    <e v="#NAME?"/>
    <s v="Epson LQ-310 printer"/>
    <x v="0"/>
    <s v="UNIT"/>
    <m/>
    <m/>
    <m/>
    <n v="1"/>
    <n v="1"/>
    <m/>
    <m/>
    <n v="0"/>
    <m/>
    <m/>
    <m/>
    <n v="0"/>
    <m/>
    <m/>
    <m/>
    <n v="0"/>
    <m/>
    <m/>
    <m/>
    <x v="36"/>
    <x v="1"/>
    <m/>
  </r>
  <r>
    <e v="#NAME?"/>
    <s v="Analog Telephone Handset compatible to existing PABX"/>
    <x v="0"/>
    <s v="pc"/>
    <m/>
    <m/>
    <m/>
    <n v="1"/>
    <n v="1"/>
    <m/>
    <m/>
    <n v="0"/>
    <m/>
    <m/>
    <m/>
    <n v="0"/>
    <m/>
    <m/>
    <m/>
    <n v="0"/>
    <m/>
    <m/>
    <m/>
    <x v="36"/>
    <x v="52"/>
    <m/>
  </r>
  <r>
    <e v="#NAME?"/>
    <s v="Ink black compatible EPSON L3210"/>
    <x v="32"/>
    <s v="pc"/>
    <m/>
    <m/>
    <m/>
    <n v="36"/>
    <n v="12"/>
    <n v="12"/>
    <n v="12"/>
    <n v="36"/>
    <n v="12"/>
    <n v="12"/>
    <n v="12"/>
    <n v="36"/>
    <n v="12"/>
    <n v="12"/>
    <n v="12"/>
    <n v="36"/>
    <n v="12"/>
    <n v="12"/>
    <n v="12"/>
    <x v="36"/>
    <x v="26"/>
    <m/>
  </r>
  <r>
    <e v="#NAME?"/>
    <s v="Ink cyan compatible EPSON L3210"/>
    <x v="32"/>
    <s v="pc"/>
    <m/>
    <m/>
    <m/>
    <n v="36"/>
    <n v="12"/>
    <n v="12"/>
    <n v="12"/>
    <n v="36"/>
    <n v="12"/>
    <n v="12"/>
    <n v="12"/>
    <n v="36"/>
    <n v="12"/>
    <n v="12"/>
    <n v="12"/>
    <n v="36"/>
    <n v="12"/>
    <n v="12"/>
    <n v="12"/>
    <x v="36"/>
    <x v="27"/>
    <m/>
  </r>
  <r>
    <e v="#NAME?"/>
    <s v="Ink yellow compatible EPSON L3210"/>
    <x v="32"/>
    <s v="pc"/>
    <m/>
    <m/>
    <m/>
    <n v="36"/>
    <n v="12"/>
    <n v="12"/>
    <n v="12"/>
    <n v="36"/>
    <n v="12"/>
    <n v="12"/>
    <n v="12"/>
    <n v="36"/>
    <n v="12"/>
    <n v="12"/>
    <n v="12"/>
    <n v="36"/>
    <n v="12"/>
    <n v="12"/>
    <n v="12"/>
    <x v="36"/>
    <x v="28"/>
    <m/>
  </r>
  <r>
    <e v="#NAME?"/>
    <s v="Ink magenta compatible EPSON L3210"/>
    <x v="32"/>
    <s v="pc"/>
    <m/>
    <m/>
    <m/>
    <n v="36"/>
    <n v="12"/>
    <n v="12"/>
    <n v="12"/>
    <n v="36"/>
    <n v="12"/>
    <n v="12"/>
    <n v="12"/>
    <n v="36"/>
    <n v="12"/>
    <n v="12"/>
    <n v="12"/>
    <n v="36"/>
    <n v="12"/>
    <n v="12"/>
    <n v="12"/>
    <x v="36"/>
    <x v="29"/>
    <m/>
  </r>
  <r>
    <e v="#NAME?"/>
    <s v="Analog Telephone Handset compatible to existing PABX"/>
    <x v="1"/>
    <s v="pc"/>
    <m/>
    <m/>
    <m/>
    <n v="2"/>
    <n v="2"/>
    <m/>
    <m/>
    <n v="0"/>
    <m/>
    <m/>
    <m/>
    <n v="0"/>
    <m/>
    <m/>
    <m/>
    <n v="0"/>
    <m/>
    <m/>
    <m/>
    <x v="37"/>
    <x v="52"/>
    <m/>
  </r>
  <r>
    <e v="#NAME?"/>
    <s v="Keyboard, Full Size, USB 2.0"/>
    <x v="1"/>
    <s v="pc"/>
    <m/>
    <m/>
    <m/>
    <n v="2"/>
    <n v="2"/>
    <m/>
    <m/>
    <n v="0"/>
    <m/>
    <m/>
    <m/>
    <n v="0"/>
    <m/>
    <m/>
    <m/>
    <n v="0"/>
    <m/>
    <m/>
    <m/>
    <x v="37"/>
    <x v="13"/>
    <m/>
  </r>
  <r>
    <e v="#NAME?"/>
    <s v="Mouse, Optical, USB 2.0"/>
    <x v="1"/>
    <s v="pc"/>
    <m/>
    <m/>
    <m/>
    <n v="2"/>
    <n v="2"/>
    <m/>
    <m/>
    <n v="0"/>
    <m/>
    <m/>
    <m/>
    <n v="0"/>
    <m/>
    <m/>
    <m/>
    <n v="0"/>
    <m/>
    <m/>
    <m/>
    <x v="37"/>
    <x v="14"/>
    <m/>
  </r>
  <r>
    <e v="#NAME?"/>
    <s v="Printer with Scanner"/>
    <x v="0"/>
    <s v="pc"/>
    <m/>
    <m/>
    <m/>
    <n v="1"/>
    <n v="1"/>
    <m/>
    <m/>
    <n v="0"/>
    <m/>
    <m/>
    <m/>
    <n v="0"/>
    <m/>
    <m/>
    <m/>
    <n v="0"/>
    <m/>
    <m/>
    <m/>
    <x v="37"/>
    <x v="15"/>
    <s v="Printer"/>
  </r>
  <r>
    <e v="#NAME?"/>
    <s v="Printer Ink for EPSON L3210 (Black)"/>
    <x v="3"/>
    <s v="pc"/>
    <m/>
    <m/>
    <m/>
    <n v="15"/>
    <n v="5"/>
    <n v="5"/>
    <n v="5"/>
    <n v="15"/>
    <n v="5"/>
    <n v="5"/>
    <n v="5"/>
    <n v="15"/>
    <n v="5"/>
    <n v="5"/>
    <n v="5"/>
    <n v="15"/>
    <n v="5"/>
    <n v="5"/>
    <n v="5"/>
    <x v="37"/>
    <x v="26"/>
    <m/>
  </r>
  <r>
    <e v="#NAME?"/>
    <s v="Printer Ink for EPSON L3210 (Magenta)"/>
    <x v="3"/>
    <s v="pc"/>
    <m/>
    <m/>
    <m/>
    <n v="15"/>
    <n v="5"/>
    <n v="5"/>
    <n v="5"/>
    <n v="15"/>
    <n v="5"/>
    <n v="5"/>
    <n v="5"/>
    <n v="15"/>
    <n v="5"/>
    <n v="5"/>
    <n v="5"/>
    <n v="15"/>
    <n v="5"/>
    <n v="5"/>
    <n v="5"/>
    <x v="37"/>
    <x v="27"/>
    <m/>
  </r>
  <r>
    <e v="#NAME?"/>
    <s v="Printer Ink for EPSON L3210 (Cyan)"/>
    <x v="3"/>
    <s v="pc"/>
    <m/>
    <m/>
    <m/>
    <n v="15"/>
    <n v="5"/>
    <n v="5"/>
    <n v="5"/>
    <n v="15"/>
    <n v="5"/>
    <n v="5"/>
    <n v="5"/>
    <n v="15"/>
    <n v="5"/>
    <n v="5"/>
    <n v="5"/>
    <n v="15"/>
    <n v="5"/>
    <n v="5"/>
    <n v="5"/>
    <x v="37"/>
    <x v="28"/>
    <m/>
  </r>
  <r>
    <e v="#NAME?"/>
    <s v="Printer Ink for EPSON L3210 (Yellow)"/>
    <x v="3"/>
    <s v="pc"/>
    <m/>
    <m/>
    <m/>
    <n v="15"/>
    <n v="5"/>
    <n v="5"/>
    <n v="5"/>
    <n v="15"/>
    <n v="5"/>
    <n v="5"/>
    <n v="5"/>
    <n v="15"/>
    <n v="5"/>
    <n v="5"/>
    <n v="5"/>
    <n v="15"/>
    <n v="5"/>
    <n v="5"/>
    <n v="5"/>
    <x v="37"/>
    <x v="29"/>
    <m/>
  </r>
  <r>
    <e v="#NAME?"/>
    <s v="Toner Kit for Kyocera (TK-3165)"/>
    <x v="17"/>
    <s v="pc"/>
    <m/>
    <m/>
    <m/>
    <n v="6"/>
    <n v="2"/>
    <n v="2"/>
    <n v="2"/>
    <n v="6"/>
    <n v="2"/>
    <n v="2"/>
    <n v="2"/>
    <n v="6"/>
    <n v="2"/>
    <n v="2"/>
    <n v="2"/>
    <n v="6"/>
    <n v="2"/>
    <n v="2"/>
    <n v="2"/>
    <x v="37"/>
    <x v="45"/>
    <m/>
  </r>
  <r>
    <e v="#NAME?"/>
    <s v="UPS 625va 325 watts"/>
    <x v="16"/>
    <s v="pc"/>
    <m/>
    <m/>
    <m/>
    <n v="3"/>
    <n v="3"/>
    <m/>
    <m/>
    <n v="0"/>
    <m/>
    <m/>
    <m/>
    <n v="3"/>
    <n v="3"/>
    <m/>
    <m/>
    <n v="0"/>
    <m/>
    <m/>
    <m/>
    <x v="37"/>
    <x v="3"/>
    <m/>
  </r>
  <r>
    <e v="#NAME?"/>
    <s v="PRINTER DOT MATRIX"/>
    <x v="2"/>
    <s v="pc"/>
    <m/>
    <m/>
    <m/>
    <n v="1"/>
    <n v="1"/>
    <m/>
    <m/>
    <n v="1"/>
    <n v="1"/>
    <m/>
    <m/>
    <n v="1"/>
    <n v="1"/>
    <m/>
    <m/>
    <n v="0"/>
    <m/>
    <m/>
    <m/>
    <x v="37"/>
    <x v="1"/>
    <m/>
  </r>
  <r>
    <e v="#NAME?"/>
    <s v="CPU"/>
    <x v="0"/>
    <s v="pc"/>
    <m/>
    <m/>
    <m/>
    <n v="1"/>
    <n v="1"/>
    <m/>
    <m/>
    <n v="0"/>
    <m/>
    <m/>
    <m/>
    <n v="0"/>
    <m/>
    <m/>
    <m/>
    <n v="0"/>
    <m/>
    <m/>
    <m/>
    <x v="38"/>
    <x v="5"/>
    <s v="N/A"/>
  </r>
  <r>
    <e v="#NAME?"/>
    <s v="Desktop Computer"/>
    <x v="10"/>
    <s v="pc"/>
    <m/>
    <m/>
    <m/>
    <n v="2"/>
    <n v="2"/>
    <m/>
    <m/>
    <n v="0"/>
    <m/>
    <m/>
    <m/>
    <n v="2"/>
    <n v="2"/>
    <m/>
    <m/>
    <n v="0"/>
    <m/>
    <m/>
    <m/>
    <x v="38"/>
    <x v="0"/>
    <m/>
  </r>
  <r>
    <e v="#NAME?"/>
    <s v="Analog Telephone Handset compatible to existing PABX"/>
    <x v="10"/>
    <s v="pc"/>
    <m/>
    <m/>
    <m/>
    <n v="1"/>
    <n v="1"/>
    <m/>
    <m/>
    <n v="1"/>
    <n v="1"/>
    <m/>
    <m/>
    <n v="1"/>
    <n v="1"/>
    <m/>
    <m/>
    <n v="1"/>
    <n v="1"/>
    <m/>
    <m/>
    <x v="38"/>
    <x v="52"/>
    <m/>
  </r>
  <r>
    <e v="#NAME?"/>
    <s v="AVR Automatic Voltage regulator"/>
    <x v="12"/>
    <s v="pc"/>
    <m/>
    <m/>
    <m/>
    <n v="20"/>
    <n v="20"/>
    <m/>
    <m/>
    <n v="0"/>
    <m/>
    <m/>
    <m/>
    <n v="10"/>
    <n v="10"/>
    <m/>
    <m/>
    <n v="0"/>
    <m/>
    <m/>
    <m/>
    <x v="38"/>
    <x v="5"/>
    <s v="N/A"/>
  </r>
  <r>
    <e v="#NAME?"/>
    <s v="Keyboard, Full Size, USB 2.0"/>
    <x v="11"/>
    <s v="pc"/>
    <m/>
    <m/>
    <m/>
    <n v="4"/>
    <n v="4"/>
    <m/>
    <m/>
    <n v="0"/>
    <m/>
    <m/>
    <m/>
    <n v="4"/>
    <n v="4"/>
    <m/>
    <m/>
    <n v="0"/>
    <m/>
    <m/>
    <m/>
    <x v="38"/>
    <x v="13"/>
    <m/>
  </r>
  <r>
    <e v="#NAME?"/>
    <s v="Mouse, Optical, USB 2.0"/>
    <x v="11"/>
    <s v="pc"/>
    <m/>
    <m/>
    <m/>
    <n v="4"/>
    <n v="4"/>
    <m/>
    <m/>
    <n v="0"/>
    <m/>
    <m/>
    <m/>
    <n v="4"/>
    <n v="4"/>
    <m/>
    <m/>
    <n v="0"/>
    <m/>
    <m/>
    <m/>
    <x v="38"/>
    <x v="14"/>
    <m/>
  </r>
  <r>
    <e v="#NAME?"/>
    <s v="Printer with Scanner"/>
    <x v="1"/>
    <s v="pc"/>
    <m/>
    <m/>
    <m/>
    <n v="2"/>
    <n v="2"/>
    <m/>
    <m/>
    <n v="0"/>
    <m/>
    <m/>
    <m/>
    <n v="0"/>
    <m/>
    <m/>
    <m/>
    <n v="0"/>
    <m/>
    <m/>
    <m/>
    <x v="38"/>
    <x v="15"/>
    <s v="Printer"/>
  </r>
  <r>
    <e v="#NAME?"/>
    <s v="Printer Ink for HP Smart Tank 515 (Black)"/>
    <x v="3"/>
    <s v="pc"/>
    <m/>
    <m/>
    <m/>
    <n v="15"/>
    <n v="5"/>
    <n v="5"/>
    <n v="5"/>
    <n v="15"/>
    <n v="5"/>
    <n v="5"/>
    <n v="5"/>
    <n v="15"/>
    <n v="5"/>
    <n v="5"/>
    <n v="5"/>
    <n v="15"/>
    <n v="5"/>
    <n v="5"/>
    <n v="5"/>
    <x v="38"/>
    <x v="33"/>
    <m/>
  </r>
  <r>
    <e v="#NAME?"/>
    <s v="Printer Ink for HP Smart Tank 515 (Magenta)"/>
    <x v="3"/>
    <s v="pc"/>
    <m/>
    <m/>
    <m/>
    <n v="15"/>
    <n v="5"/>
    <n v="5"/>
    <n v="5"/>
    <n v="15"/>
    <n v="5"/>
    <n v="5"/>
    <n v="5"/>
    <n v="15"/>
    <n v="5"/>
    <n v="5"/>
    <n v="5"/>
    <n v="15"/>
    <n v="5"/>
    <n v="5"/>
    <n v="5"/>
    <x v="38"/>
    <x v="31"/>
    <m/>
  </r>
  <r>
    <e v="#NAME?"/>
    <s v="Printer Ink for HP Smart Tank 515 (Cyan)"/>
    <x v="3"/>
    <s v="pc"/>
    <m/>
    <m/>
    <m/>
    <n v="15"/>
    <n v="5"/>
    <n v="5"/>
    <n v="5"/>
    <n v="15"/>
    <n v="5"/>
    <n v="5"/>
    <n v="5"/>
    <n v="15"/>
    <n v="5"/>
    <n v="5"/>
    <n v="5"/>
    <n v="15"/>
    <n v="5"/>
    <n v="5"/>
    <n v="5"/>
    <x v="38"/>
    <x v="32"/>
    <m/>
  </r>
  <r>
    <e v="#NAME?"/>
    <s v="Printer Ink for HP Smart Tank 515 (Yellow)"/>
    <x v="3"/>
    <s v="pc"/>
    <m/>
    <m/>
    <m/>
    <n v="15"/>
    <n v="5"/>
    <n v="5"/>
    <n v="5"/>
    <n v="15"/>
    <n v="5"/>
    <n v="5"/>
    <n v="5"/>
    <n v="15"/>
    <n v="5"/>
    <n v="5"/>
    <n v="5"/>
    <n v="15"/>
    <n v="5"/>
    <n v="5"/>
    <n v="5"/>
    <x v="38"/>
    <x v="30"/>
    <m/>
  </r>
  <r>
    <e v="#NAME?"/>
    <s v="Toner Kit for Kyocera (TK 1168)"/>
    <x v="17"/>
    <s v="pc"/>
    <m/>
    <m/>
    <m/>
    <n v="6"/>
    <n v="2"/>
    <n v="2"/>
    <n v="2"/>
    <n v="6"/>
    <n v="2"/>
    <n v="2"/>
    <n v="2"/>
    <n v="6"/>
    <n v="2"/>
    <n v="2"/>
    <n v="2"/>
    <n v="6"/>
    <n v="2"/>
    <n v="2"/>
    <n v="2"/>
    <x v="38"/>
    <x v="7"/>
    <m/>
  </r>
  <r>
    <e v="#NAME?"/>
    <s v="Toner Kit for Kyocera (TK 6113)"/>
    <x v="17"/>
    <s v="pc"/>
    <m/>
    <m/>
    <m/>
    <n v="6"/>
    <n v="2"/>
    <n v="2"/>
    <n v="2"/>
    <n v="6"/>
    <n v="2"/>
    <n v="2"/>
    <n v="2"/>
    <n v="6"/>
    <n v="2"/>
    <n v="2"/>
    <n v="2"/>
    <n v="6"/>
    <n v="2"/>
    <n v="2"/>
    <n v="2"/>
    <x v="38"/>
    <x v="9"/>
    <m/>
  </r>
  <r>
    <e v="#NAME?"/>
    <s v="Toner Kit for Kyocera ECOSYS M2640idw/L"/>
    <x v="11"/>
    <s v="pc"/>
    <m/>
    <m/>
    <m/>
    <n v="2"/>
    <n v="1"/>
    <m/>
    <n v="1"/>
    <n v="2"/>
    <n v="1"/>
    <m/>
    <n v="1"/>
    <n v="2"/>
    <n v="1"/>
    <m/>
    <n v="1"/>
    <n v="2"/>
    <n v="1"/>
    <m/>
    <n v="1"/>
    <x v="38"/>
    <x v="46"/>
    <m/>
  </r>
  <r>
    <e v="#NAME?"/>
    <s v="UPS 625va 325 watts"/>
    <x v="10"/>
    <s v="pc"/>
    <m/>
    <m/>
    <m/>
    <n v="2"/>
    <n v="2"/>
    <m/>
    <m/>
    <n v="0"/>
    <m/>
    <m/>
    <m/>
    <n v="2"/>
    <n v="2"/>
    <m/>
    <m/>
    <n v="0"/>
    <m/>
    <m/>
    <m/>
    <x v="38"/>
    <x v="3"/>
    <m/>
  </r>
  <r>
    <e v="#NAME?"/>
    <s v="USB Drive 32gb"/>
    <x v="2"/>
    <s v="pc"/>
    <m/>
    <m/>
    <m/>
    <n v="0"/>
    <m/>
    <m/>
    <m/>
    <n v="2"/>
    <n v="2"/>
    <m/>
    <m/>
    <n v="0"/>
    <m/>
    <m/>
    <m/>
    <n v="1"/>
    <n v="1"/>
    <m/>
    <m/>
    <x v="38"/>
    <x v="20"/>
    <m/>
  </r>
  <r>
    <e v="#NAME?"/>
    <s v="USB Drive 16gb"/>
    <x v="2"/>
    <s v="pc"/>
    <m/>
    <m/>
    <m/>
    <n v="2"/>
    <n v="2"/>
    <m/>
    <m/>
    <n v="0"/>
    <m/>
    <m/>
    <m/>
    <n v="1"/>
    <n v="1"/>
    <m/>
    <m/>
    <n v="0"/>
    <m/>
    <m/>
    <m/>
    <x v="38"/>
    <x v="54"/>
    <m/>
  </r>
  <r>
    <e v="#NAME?"/>
    <s v="Printer all-in-one (Print, Copy and Scan)"/>
    <x v="0"/>
    <s v="UNIT"/>
    <m/>
    <m/>
    <m/>
    <n v="1"/>
    <n v="1"/>
    <m/>
    <m/>
    <m/>
    <m/>
    <m/>
    <m/>
    <m/>
    <m/>
    <m/>
    <m/>
    <m/>
    <m/>
    <m/>
    <m/>
    <x v="39"/>
    <x v="15"/>
    <s v="Printer"/>
  </r>
  <r>
    <e v="#NAME?"/>
    <s v="Thermal Transfer Label 2&quot; x 2&quot; for Zebra Printer ZD421_x000a_ color: white_x000a_ -with perforation between each label_x000a_ -permanent adhesive"/>
    <x v="11"/>
    <s v="pc"/>
    <m/>
    <m/>
    <m/>
    <n v="2"/>
    <n v="1"/>
    <m/>
    <n v="1"/>
    <n v="2"/>
    <n v="1"/>
    <m/>
    <n v="1"/>
    <n v="2"/>
    <n v="1"/>
    <m/>
    <n v="1"/>
    <n v="2"/>
    <n v="1"/>
    <m/>
    <n v="1"/>
    <x v="39"/>
    <x v="5"/>
    <s v="N/A"/>
  </r>
  <r>
    <e v="#NAME?"/>
    <s v="Thermal Transfer Ribbon for Zebra Printer ZD421_x000a_ -WAX RESIN Thermal Transfer Ribbon (Black)_x000a_ -80mm wide x 300m length"/>
    <x v="10"/>
    <s v="pc"/>
    <m/>
    <m/>
    <m/>
    <n v="1"/>
    <n v="1"/>
    <m/>
    <m/>
    <n v="1"/>
    <n v="1"/>
    <m/>
    <m/>
    <n v="1"/>
    <n v="1"/>
    <m/>
    <m/>
    <n v="1"/>
    <n v="1"/>
    <m/>
    <m/>
    <x v="39"/>
    <x v="5"/>
    <s v="N/A"/>
  </r>
  <r>
    <e v="#NAME?"/>
    <s v="Kyocera TK-1128 Toner Black"/>
    <x v="11"/>
    <s v="pc"/>
    <m/>
    <m/>
    <m/>
    <n v="2"/>
    <n v="1"/>
    <m/>
    <n v="1"/>
    <n v="2"/>
    <n v="1"/>
    <m/>
    <n v="1"/>
    <n v="2"/>
    <n v="1"/>
    <m/>
    <n v="1"/>
    <n v="2"/>
    <n v="1"/>
    <m/>
    <n v="1"/>
    <x v="39"/>
    <x v="25"/>
    <m/>
  </r>
  <r>
    <e v="#NAME?"/>
    <s v="CPU"/>
    <x v="0"/>
    <s v="pc"/>
    <m/>
    <m/>
    <m/>
    <n v="1"/>
    <n v="1"/>
    <m/>
    <m/>
    <n v="0"/>
    <m/>
    <m/>
    <m/>
    <n v="0"/>
    <m/>
    <m/>
    <m/>
    <n v="0"/>
    <m/>
    <m/>
    <m/>
    <x v="40"/>
    <x v="5"/>
    <s v="N/A"/>
  </r>
  <r>
    <e v="#NAME?"/>
    <s v="Desktop Computer"/>
    <x v="1"/>
    <s v="pc"/>
    <m/>
    <m/>
    <m/>
    <n v="2"/>
    <n v="2"/>
    <m/>
    <m/>
    <n v="0"/>
    <m/>
    <m/>
    <m/>
    <n v="0"/>
    <m/>
    <m/>
    <m/>
    <n v="0"/>
    <m/>
    <m/>
    <m/>
    <x v="40"/>
    <x v="0"/>
    <m/>
  </r>
  <r>
    <e v="#NAME?"/>
    <s v="Analog Telephone Handset compatible to existing PABX"/>
    <x v="10"/>
    <s v="pc"/>
    <m/>
    <m/>
    <m/>
    <n v="1"/>
    <n v="1"/>
    <m/>
    <m/>
    <n v="0"/>
    <m/>
    <m/>
    <m/>
    <n v="0"/>
    <m/>
    <m/>
    <m/>
    <n v="0"/>
    <m/>
    <m/>
    <m/>
    <x v="40"/>
    <x v="52"/>
    <m/>
  </r>
  <r>
    <e v="#NAME?"/>
    <s v="AVR Automatic Voltage regulator"/>
    <x v="5"/>
    <s v="pc"/>
    <m/>
    <m/>
    <m/>
    <n v="10"/>
    <n v="10"/>
    <m/>
    <m/>
    <n v="0"/>
    <m/>
    <m/>
    <m/>
    <n v="0"/>
    <m/>
    <m/>
    <m/>
    <n v="0"/>
    <m/>
    <m/>
    <m/>
    <x v="40"/>
    <x v="5"/>
    <s v="N/A"/>
  </r>
  <r>
    <e v="#NAME?"/>
    <s v="Keyboard, Full Size, USB 2.0"/>
    <x v="1"/>
    <s v="pc"/>
    <m/>
    <m/>
    <m/>
    <n v="2"/>
    <n v="2"/>
    <m/>
    <m/>
    <n v="0"/>
    <m/>
    <m/>
    <m/>
    <n v="0"/>
    <m/>
    <m/>
    <m/>
    <n v="0"/>
    <m/>
    <m/>
    <m/>
    <x v="40"/>
    <x v="13"/>
    <m/>
  </r>
  <r>
    <e v="#NAME?"/>
    <s v="Mouse, Optical, USB 2.0"/>
    <x v="1"/>
    <s v="pc"/>
    <m/>
    <m/>
    <m/>
    <n v="2"/>
    <n v="2"/>
    <m/>
    <m/>
    <n v="0"/>
    <m/>
    <m/>
    <m/>
    <n v="0"/>
    <m/>
    <m/>
    <m/>
    <n v="0"/>
    <m/>
    <m/>
    <m/>
    <x v="40"/>
    <x v="14"/>
    <m/>
  </r>
  <r>
    <e v="#NAME?"/>
    <s v="Printer with Scanner"/>
    <x v="0"/>
    <s v="pc"/>
    <m/>
    <m/>
    <m/>
    <n v="1"/>
    <n v="1"/>
    <m/>
    <m/>
    <n v="0"/>
    <m/>
    <m/>
    <m/>
    <n v="0"/>
    <m/>
    <m/>
    <m/>
    <n v="0"/>
    <m/>
    <m/>
    <m/>
    <x v="40"/>
    <x v="15"/>
    <s v="Printer"/>
  </r>
  <r>
    <e v="#NAME?"/>
    <s v="Printer Ink for HP Smart Tank 515 (Black)"/>
    <x v="3"/>
    <s v="pc"/>
    <m/>
    <m/>
    <m/>
    <n v="15"/>
    <n v="5"/>
    <n v="5"/>
    <n v="5"/>
    <n v="15"/>
    <n v="5"/>
    <n v="5"/>
    <n v="5"/>
    <n v="15"/>
    <n v="5"/>
    <n v="5"/>
    <n v="5"/>
    <n v="15"/>
    <n v="5"/>
    <n v="5"/>
    <n v="5"/>
    <x v="40"/>
    <x v="33"/>
    <m/>
  </r>
  <r>
    <e v="#NAME?"/>
    <s v="Printer Ink for HP Smart Tank 515 (Magenta)"/>
    <x v="3"/>
    <s v="pc"/>
    <m/>
    <m/>
    <m/>
    <n v="15"/>
    <n v="5"/>
    <n v="5"/>
    <n v="5"/>
    <n v="15"/>
    <n v="5"/>
    <n v="5"/>
    <n v="5"/>
    <n v="15"/>
    <n v="5"/>
    <n v="5"/>
    <n v="5"/>
    <n v="15"/>
    <n v="5"/>
    <n v="5"/>
    <n v="5"/>
    <x v="40"/>
    <x v="31"/>
    <m/>
  </r>
  <r>
    <e v="#NAME?"/>
    <s v="Printer Ink for HP Smart Tank 515 (Cyan)"/>
    <x v="3"/>
    <s v="pc"/>
    <m/>
    <m/>
    <m/>
    <n v="15"/>
    <n v="5"/>
    <n v="5"/>
    <n v="5"/>
    <n v="15"/>
    <n v="5"/>
    <n v="5"/>
    <n v="5"/>
    <n v="15"/>
    <n v="5"/>
    <n v="5"/>
    <n v="5"/>
    <n v="15"/>
    <n v="5"/>
    <n v="5"/>
    <n v="5"/>
    <x v="40"/>
    <x v="32"/>
    <m/>
  </r>
  <r>
    <e v="#NAME?"/>
    <s v="Printer Ink for HP Smart Tank 515 (Yellow)"/>
    <x v="3"/>
    <s v="pc"/>
    <m/>
    <m/>
    <m/>
    <n v="15"/>
    <n v="5"/>
    <n v="5"/>
    <n v="5"/>
    <n v="15"/>
    <n v="5"/>
    <n v="5"/>
    <n v="5"/>
    <n v="15"/>
    <n v="5"/>
    <n v="5"/>
    <n v="5"/>
    <n v="15"/>
    <n v="5"/>
    <n v="5"/>
    <n v="5"/>
    <x v="40"/>
    <x v="30"/>
    <m/>
  </r>
  <r>
    <e v="#NAME?"/>
    <s v="Toner Kit for Kyocera (TK 1168)"/>
    <x v="17"/>
    <s v="pc"/>
    <m/>
    <m/>
    <m/>
    <n v="6"/>
    <n v="2"/>
    <n v="2"/>
    <n v="2"/>
    <n v="6"/>
    <n v="2"/>
    <n v="2"/>
    <n v="2"/>
    <n v="6"/>
    <n v="2"/>
    <n v="2"/>
    <n v="2"/>
    <n v="6"/>
    <n v="2"/>
    <n v="2"/>
    <n v="2"/>
    <x v="40"/>
    <x v="25"/>
    <m/>
  </r>
  <r>
    <e v="#NAME?"/>
    <s v="UPS 625va 325 watts"/>
    <x v="10"/>
    <s v="pc"/>
    <m/>
    <m/>
    <m/>
    <n v="2"/>
    <n v="2"/>
    <m/>
    <m/>
    <n v="0"/>
    <m/>
    <m/>
    <m/>
    <n v="2"/>
    <n v="2"/>
    <m/>
    <m/>
    <n v="0"/>
    <m/>
    <m/>
    <m/>
    <x v="40"/>
    <x v="3"/>
    <m/>
  </r>
  <r>
    <e v="#NAME?"/>
    <s v="USB Drive 32gb"/>
    <x v="2"/>
    <s v="pc"/>
    <m/>
    <m/>
    <m/>
    <n v="0"/>
    <m/>
    <m/>
    <m/>
    <n v="2"/>
    <n v="2"/>
    <m/>
    <m/>
    <n v="0"/>
    <m/>
    <m/>
    <m/>
    <n v="0"/>
    <m/>
    <m/>
    <m/>
    <x v="40"/>
    <x v="20"/>
    <m/>
  </r>
  <r>
    <e v="#NAME?"/>
    <s v="USB Drive 16gb"/>
    <x v="2"/>
    <s v="pc"/>
    <m/>
    <m/>
    <m/>
    <n v="2"/>
    <n v="2"/>
    <m/>
    <m/>
    <n v="0"/>
    <m/>
    <m/>
    <m/>
    <n v="0"/>
    <m/>
    <m/>
    <m/>
    <n v="0"/>
    <m/>
    <m/>
    <m/>
    <x v="40"/>
    <x v="54"/>
    <m/>
  </r>
  <r>
    <e v="#NAME?"/>
    <s v="Keyboard, Full Size, USB 2.0"/>
    <x v="1"/>
    <s v="pc"/>
    <m/>
    <m/>
    <m/>
    <n v="1"/>
    <n v="1"/>
    <m/>
    <m/>
    <n v="0"/>
    <m/>
    <m/>
    <m/>
    <n v="1"/>
    <n v="1"/>
    <m/>
    <m/>
    <n v="0"/>
    <m/>
    <m/>
    <m/>
    <x v="41"/>
    <x v="13"/>
    <m/>
  </r>
  <r>
    <e v="#NAME?"/>
    <s v="Mouse, Optical, USB 2.0"/>
    <x v="1"/>
    <s v="pc"/>
    <m/>
    <m/>
    <m/>
    <n v="1"/>
    <n v="1"/>
    <m/>
    <m/>
    <n v="0"/>
    <m/>
    <m/>
    <m/>
    <n v="1"/>
    <n v="1"/>
    <m/>
    <m/>
    <n v="0"/>
    <m/>
    <m/>
    <m/>
    <x v="41"/>
    <x v="14"/>
    <m/>
  </r>
  <r>
    <e v="#NAME?"/>
    <s v="Multi-function inkjet printer Tank (print, copy, scan)"/>
    <x v="1"/>
    <s v="pc"/>
    <m/>
    <m/>
    <m/>
    <n v="1"/>
    <n v="1"/>
    <m/>
    <m/>
    <n v="0"/>
    <m/>
    <m/>
    <m/>
    <n v="1"/>
    <n v="1"/>
    <m/>
    <m/>
    <n v="0"/>
    <m/>
    <m/>
    <m/>
    <x v="41"/>
    <x v="15"/>
    <s v="Printer"/>
  </r>
  <r>
    <e v="#NAME?"/>
    <s v="UPS, 625va, 325 Watts"/>
    <x v="9"/>
    <s v="pc"/>
    <m/>
    <m/>
    <m/>
    <n v="5"/>
    <n v="5"/>
    <m/>
    <m/>
    <n v="0"/>
    <m/>
    <m/>
    <m/>
    <n v="0"/>
    <m/>
    <m/>
    <m/>
    <n v="0"/>
    <m/>
    <m/>
    <m/>
    <x v="41"/>
    <x v="3"/>
    <m/>
  </r>
  <r>
    <e v="#NAME?"/>
    <s v="AVR 500 Watts, 220 Volts"/>
    <x v="0"/>
    <s v="pc"/>
    <m/>
    <m/>
    <m/>
    <n v="1"/>
    <n v="1"/>
    <m/>
    <m/>
    <n v="0"/>
    <m/>
    <m/>
    <m/>
    <n v="0"/>
    <m/>
    <m/>
    <m/>
    <n v="0"/>
    <m/>
    <m/>
    <m/>
    <x v="41"/>
    <x v="5"/>
    <s v="N/A"/>
  </r>
  <r>
    <e v="#NAME?"/>
    <s v="Epson LQ-310 printer"/>
    <x v="0"/>
    <s v="pc"/>
    <m/>
    <m/>
    <m/>
    <n v="1"/>
    <n v="1"/>
    <m/>
    <m/>
    <n v="0"/>
    <m/>
    <m/>
    <m/>
    <n v="0"/>
    <m/>
    <m/>
    <m/>
    <n v="0"/>
    <m/>
    <m/>
    <m/>
    <x v="41"/>
    <x v="1"/>
    <m/>
  </r>
  <r>
    <e v="#NAME?"/>
    <s v="Analog Telephone Handset compatible to existing PABX"/>
    <x v="0"/>
    <s v="pc"/>
    <m/>
    <m/>
    <m/>
    <n v="1"/>
    <n v="1"/>
    <m/>
    <m/>
    <n v="0"/>
    <m/>
    <m/>
    <m/>
    <n v="0"/>
    <m/>
    <m/>
    <m/>
    <n v="0"/>
    <m/>
    <m/>
    <m/>
    <x v="41"/>
    <x v="52"/>
    <m/>
  </r>
  <r>
    <e v="#NAME?"/>
    <s v="DESKTOP COMPUTER SET"/>
    <x v="0"/>
    <s v="set"/>
    <m/>
    <m/>
    <m/>
    <n v="0"/>
    <m/>
    <m/>
    <m/>
    <n v="1"/>
    <n v="1"/>
    <m/>
    <m/>
    <n v="0"/>
    <m/>
    <m/>
    <m/>
    <n v="0"/>
    <m/>
    <m/>
    <m/>
    <x v="42"/>
    <x v="0"/>
    <m/>
  </r>
  <r>
    <e v="#NAME?"/>
    <s v="PRINTER 4 in 1- colored"/>
    <x v="0"/>
    <s v="pc"/>
    <m/>
    <m/>
    <m/>
    <n v="1"/>
    <n v="1"/>
    <m/>
    <m/>
    <n v="0"/>
    <n v="0"/>
    <m/>
    <m/>
    <n v="0"/>
    <m/>
    <m/>
    <m/>
    <n v="0"/>
    <m/>
    <m/>
    <m/>
    <x v="42"/>
    <x v="15"/>
    <s v="Printer"/>
  </r>
  <r>
    <e v="#NAME?"/>
    <s v="TELEPHONE"/>
    <x v="1"/>
    <s v="pc"/>
    <m/>
    <m/>
    <m/>
    <n v="1"/>
    <n v="1"/>
    <m/>
    <m/>
    <n v="0"/>
    <m/>
    <m/>
    <m/>
    <n v="1"/>
    <n v="1"/>
    <m/>
    <m/>
    <n v="0"/>
    <m/>
    <m/>
    <m/>
    <x v="42"/>
    <x v="52"/>
    <m/>
  </r>
  <r>
    <e v="#NAME?"/>
    <s v="FLASH DRIVE 32GB"/>
    <x v="1"/>
    <s v="pc"/>
    <m/>
    <m/>
    <m/>
    <n v="1"/>
    <n v="1"/>
    <m/>
    <m/>
    <n v="0"/>
    <m/>
    <m/>
    <m/>
    <n v="1"/>
    <n v="1"/>
    <m/>
    <m/>
    <n v="0"/>
    <m/>
    <m/>
    <m/>
    <x v="42"/>
    <x v="20"/>
    <m/>
  </r>
  <r>
    <e v="#NAME?"/>
    <s v="Keyboard, Full Size, USB 2.0"/>
    <x v="1"/>
    <s v="pc"/>
    <m/>
    <m/>
    <m/>
    <n v="1"/>
    <n v="1"/>
    <m/>
    <m/>
    <n v="1"/>
    <n v="1"/>
    <m/>
    <m/>
    <n v="0"/>
    <m/>
    <m/>
    <m/>
    <n v="0"/>
    <m/>
    <m/>
    <m/>
    <x v="42"/>
    <x v="13"/>
    <m/>
  </r>
  <r>
    <e v="#NAME?"/>
    <s v="Mouse, Optical, USB 2.0"/>
    <x v="1"/>
    <s v="pc"/>
    <m/>
    <m/>
    <m/>
    <n v="1"/>
    <n v="1"/>
    <m/>
    <m/>
    <n v="0"/>
    <m/>
    <m/>
    <m/>
    <n v="1"/>
    <n v="1"/>
    <m/>
    <m/>
    <n v="0"/>
    <m/>
    <m/>
    <m/>
    <x v="42"/>
    <x v="14"/>
    <m/>
  </r>
  <r>
    <e v="#NAME?"/>
    <s v="Webcam Full HD 1080p with Built in Microphone, , USB plug and play, with attachable mounting clip"/>
    <x v="0"/>
    <s v="pc"/>
    <m/>
    <m/>
    <m/>
    <n v="1"/>
    <n v="1"/>
    <m/>
    <m/>
    <n v="0"/>
    <m/>
    <m/>
    <m/>
    <n v="0"/>
    <m/>
    <m/>
    <m/>
    <n v="0"/>
    <m/>
    <m/>
    <m/>
    <x v="42"/>
    <x v="2"/>
    <m/>
  </r>
  <r>
    <e v="#NAME?"/>
    <s v="UPS, 625va, 325 Watts"/>
    <x v="1"/>
    <s v="pc"/>
    <m/>
    <m/>
    <m/>
    <n v="1"/>
    <n v="1"/>
    <m/>
    <m/>
    <n v="1"/>
    <n v="1"/>
    <m/>
    <m/>
    <n v="0"/>
    <m/>
    <m/>
    <m/>
    <n v="0"/>
    <m/>
    <m/>
    <m/>
    <x v="42"/>
    <x v="3"/>
    <m/>
  </r>
  <r>
    <e v="#NAME?"/>
    <s v="INK-TONER EPSON L3210 inf Cartriged 003(Black)"/>
    <x v="21"/>
    <s v="pc"/>
    <m/>
    <m/>
    <m/>
    <n v="10"/>
    <n v="5"/>
    <n v="5"/>
    <m/>
    <n v="10"/>
    <n v="5"/>
    <n v="5"/>
    <m/>
    <n v="10"/>
    <n v="5"/>
    <n v="5"/>
    <m/>
    <n v="10"/>
    <n v="5"/>
    <n v="5"/>
    <m/>
    <x v="42"/>
    <x v="26"/>
    <m/>
  </r>
  <r>
    <e v="#NAME?"/>
    <s v="INK-TONER EPSON L3210 inf Cartriged 003(Cyan)"/>
    <x v="6"/>
    <s v="pc"/>
    <m/>
    <m/>
    <m/>
    <n v="5"/>
    <n v="5"/>
    <m/>
    <m/>
    <n v="3"/>
    <n v="3"/>
    <m/>
    <m/>
    <n v="5"/>
    <n v="5"/>
    <m/>
    <m/>
    <n v="3"/>
    <n v="3"/>
    <m/>
    <m/>
    <x v="42"/>
    <x v="27"/>
    <m/>
  </r>
  <r>
    <e v="#NAME?"/>
    <s v="INK-TONER EPSON L 3210 inf Cartriged 003(Magenta)"/>
    <x v="6"/>
    <s v="pc"/>
    <m/>
    <m/>
    <m/>
    <n v="5"/>
    <n v="5"/>
    <m/>
    <m/>
    <n v="3"/>
    <n v="3"/>
    <m/>
    <m/>
    <n v="5"/>
    <n v="5"/>
    <m/>
    <m/>
    <n v="3"/>
    <n v="3"/>
    <m/>
    <m/>
    <x v="42"/>
    <x v="28"/>
    <m/>
  </r>
  <r>
    <e v="#NAME?"/>
    <s v="INK-TONER EPSON L3210 inf Cartriged 003(Yellow)"/>
    <x v="6"/>
    <s v="pc"/>
    <m/>
    <m/>
    <m/>
    <n v="5"/>
    <n v="5"/>
    <m/>
    <m/>
    <n v="3"/>
    <n v="3"/>
    <m/>
    <m/>
    <n v="5"/>
    <n v="5"/>
    <m/>
    <m/>
    <n v="3"/>
    <n v="3"/>
    <m/>
    <m/>
    <x v="42"/>
    <x v="29"/>
    <m/>
  </r>
  <r>
    <e v="#NAME?"/>
    <s v="EPSON RIBBON CARTRIDGE INK (LQ310)"/>
    <x v="21"/>
    <s v="pc"/>
    <m/>
    <m/>
    <m/>
    <n v="10"/>
    <n v="10"/>
    <m/>
    <m/>
    <n v="10"/>
    <n v="10"/>
    <m/>
    <m/>
    <n v="10"/>
    <n v="10"/>
    <m/>
    <m/>
    <n v="10"/>
    <n v="10"/>
    <m/>
    <m/>
    <x v="42"/>
    <x v="6"/>
    <m/>
  </r>
  <r>
    <e v="#NAME?"/>
    <s v="Keyboard, full size, USB 2.0"/>
    <x v="0"/>
    <s v="pc"/>
    <m/>
    <m/>
    <m/>
    <n v="1"/>
    <n v="1"/>
    <m/>
    <m/>
    <m/>
    <m/>
    <m/>
    <m/>
    <m/>
    <m/>
    <m/>
    <m/>
    <m/>
    <m/>
    <m/>
    <m/>
    <x v="43"/>
    <x v="13"/>
    <m/>
  </r>
  <r>
    <e v="#NAME?"/>
    <s v="Mouse optical USB2.0"/>
    <x v="0"/>
    <s v="pc"/>
    <m/>
    <m/>
    <m/>
    <n v="1"/>
    <n v="1"/>
    <m/>
    <m/>
    <m/>
    <m/>
    <m/>
    <m/>
    <m/>
    <m/>
    <m/>
    <m/>
    <m/>
    <m/>
    <m/>
    <m/>
    <x v="43"/>
    <x v="14"/>
    <m/>
  </r>
  <r>
    <e v="#NAME?"/>
    <s v="ALL-IN-ONE- PRINTER"/>
    <x v="0"/>
    <s v="UNIT"/>
    <m/>
    <m/>
    <m/>
    <n v="1"/>
    <n v="1"/>
    <m/>
    <m/>
    <m/>
    <m/>
    <m/>
    <m/>
    <m/>
    <m/>
    <m/>
    <m/>
    <m/>
    <m/>
    <m/>
    <m/>
    <x v="43"/>
    <x v="15"/>
    <s v="Printer"/>
  </r>
  <r>
    <e v="#NAME?"/>
    <s v="Computer set"/>
    <x v="1"/>
    <s v="UNIT"/>
    <m/>
    <m/>
    <m/>
    <n v="2"/>
    <m/>
    <m/>
    <m/>
    <m/>
    <m/>
    <m/>
    <m/>
    <m/>
    <m/>
    <m/>
    <m/>
    <m/>
    <m/>
    <m/>
    <m/>
    <x v="43"/>
    <x v="0"/>
    <m/>
  </r>
  <r>
    <e v="#NAME?"/>
    <s v="Epson Ink Cartridge T6641 Black"/>
    <x v="17"/>
    <s v="pc"/>
    <m/>
    <m/>
    <m/>
    <n v="6"/>
    <n v="2"/>
    <n v="2"/>
    <n v="2"/>
    <n v="6"/>
    <n v="2"/>
    <n v="2"/>
    <n v="2"/>
    <n v="6"/>
    <n v="2"/>
    <n v="2"/>
    <n v="2"/>
    <n v="6"/>
    <n v="2"/>
    <n v="2"/>
    <n v="2"/>
    <x v="43"/>
    <x v="16"/>
    <m/>
  </r>
  <r>
    <e v="#NAME?"/>
    <s v="Epson Ink Cartridge T6642 Cyan"/>
    <x v="17"/>
    <s v="pc"/>
    <m/>
    <m/>
    <m/>
    <n v="6"/>
    <n v="2"/>
    <n v="2"/>
    <n v="2"/>
    <n v="6"/>
    <n v="2"/>
    <n v="2"/>
    <n v="2"/>
    <n v="6"/>
    <n v="2"/>
    <n v="2"/>
    <n v="2"/>
    <n v="6"/>
    <n v="2"/>
    <n v="2"/>
    <n v="2"/>
    <x v="43"/>
    <x v="17"/>
    <m/>
  </r>
  <r>
    <e v="#NAME?"/>
    <s v="Epson Ink Cartridge T6643 Magenta"/>
    <x v="17"/>
    <s v="pc"/>
    <m/>
    <m/>
    <m/>
    <n v="6"/>
    <n v="2"/>
    <n v="2"/>
    <n v="2"/>
    <n v="6"/>
    <n v="2"/>
    <n v="2"/>
    <n v="2"/>
    <n v="6"/>
    <n v="2"/>
    <n v="2"/>
    <n v="2"/>
    <n v="6"/>
    <n v="2"/>
    <n v="2"/>
    <n v="2"/>
    <x v="43"/>
    <x v="18"/>
    <m/>
  </r>
  <r>
    <e v="#NAME?"/>
    <s v="Epson Ink Cartridge T6644 Yellow"/>
    <x v="17"/>
    <s v="pc"/>
    <m/>
    <m/>
    <m/>
    <n v="6"/>
    <n v="2"/>
    <n v="2"/>
    <n v="2"/>
    <n v="6"/>
    <n v="2"/>
    <n v="2"/>
    <n v="2"/>
    <n v="6"/>
    <n v="2"/>
    <n v="2"/>
    <n v="2"/>
    <n v="6"/>
    <n v="2"/>
    <n v="2"/>
    <n v="2"/>
    <x v="43"/>
    <x v="19"/>
    <m/>
  </r>
  <r>
    <e v="#NAME?"/>
    <s v="Computer Speaker"/>
    <x v="0"/>
    <s v="pc"/>
    <m/>
    <m/>
    <m/>
    <n v="1"/>
    <n v="1"/>
    <m/>
    <m/>
    <m/>
    <m/>
    <m/>
    <m/>
    <m/>
    <m/>
    <m/>
    <m/>
    <m/>
    <m/>
    <m/>
    <m/>
    <x v="43"/>
    <x v="72"/>
    <m/>
  </r>
  <r>
    <e v="#NAME?"/>
    <s v="Kyocera toner TK1168"/>
    <x v="17"/>
    <s v="pc"/>
    <m/>
    <m/>
    <m/>
    <n v="6"/>
    <n v="2"/>
    <n v="2"/>
    <n v="2"/>
    <n v="6"/>
    <n v="2"/>
    <n v="2"/>
    <n v="2"/>
    <n v="6"/>
    <n v="2"/>
    <n v="2"/>
    <n v="2"/>
    <n v="6"/>
    <n v="2"/>
    <n v="2"/>
    <n v="2"/>
    <x v="43"/>
    <x v="25"/>
    <m/>
  </r>
  <r>
    <e v="#NAME?"/>
    <s v="WEB CAMERA"/>
    <x v="0"/>
    <s v="pc"/>
    <m/>
    <m/>
    <m/>
    <n v="1"/>
    <n v="1"/>
    <m/>
    <m/>
    <m/>
    <m/>
    <m/>
    <m/>
    <m/>
    <m/>
    <m/>
    <m/>
    <m/>
    <m/>
    <m/>
    <m/>
    <x v="43"/>
    <x v="2"/>
    <m/>
  </r>
  <r>
    <e v="#NAME?"/>
    <s v="Keyboard, Full Size, USB 2.0"/>
    <x v="1"/>
    <s v="pc"/>
    <m/>
    <m/>
    <m/>
    <n v="1"/>
    <n v="1"/>
    <m/>
    <m/>
    <n v="0"/>
    <m/>
    <m/>
    <m/>
    <n v="1"/>
    <n v="1"/>
    <m/>
    <m/>
    <n v="0"/>
    <m/>
    <m/>
    <m/>
    <x v="44"/>
    <x v="13"/>
    <m/>
  </r>
  <r>
    <e v="#NAME?"/>
    <s v="Mouse, Optical, USB 2.0"/>
    <x v="1"/>
    <s v="pc"/>
    <m/>
    <m/>
    <m/>
    <n v="1"/>
    <n v="1"/>
    <m/>
    <m/>
    <n v="0"/>
    <m/>
    <m/>
    <m/>
    <n v="1"/>
    <n v="1"/>
    <m/>
    <m/>
    <n v="0"/>
    <m/>
    <m/>
    <m/>
    <x v="44"/>
    <x v="14"/>
    <m/>
  </r>
  <r>
    <e v="#NAME?"/>
    <s v="Desktop Computer Set"/>
    <x v="1"/>
    <s v="pc"/>
    <m/>
    <m/>
    <m/>
    <n v="2"/>
    <n v="2"/>
    <m/>
    <m/>
    <n v="0"/>
    <m/>
    <m/>
    <m/>
    <n v="0"/>
    <m/>
    <m/>
    <m/>
    <n v="0"/>
    <m/>
    <m/>
    <m/>
    <x v="45"/>
    <x v="0"/>
    <m/>
  </r>
  <r>
    <e v="#NAME?"/>
    <s v="Keyboard, Full Size, USB 2.0"/>
    <x v="1"/>
    <s v="pc"/>
    <m/>
    <m/>
    <m/>
    <n v="1"/>
    <n v="1"/>
    <m/>
    <m/>
    <n v="1"/>
    <n v="1"/>
    <m/>
    <m/>
    <m/>
    <m/>
    <m/>
    <m/>
    <n v="0"/>
    <m/>
    <m/>
    <m/>
    <x v="45"/>
    <x v="13"/>
    <m/>
  </r>
  <r>
    <e v="#NAME?"/>
    <s v="Mouse, Optical, USB 2.0"/>
    <x v="1"/>
    <s v="pc"/>
    <m/>
    <m/>
    <m/>
    <n v="1"/>
    <n v="1"/>
    <m/>
    <m/>
    <n v="1"/>
    <n v="1"/>
    <m/>
    <m/>
    <n v="0"/>
    <m/>
    <m/>
    <m/>
    <n v="0"/>
    <m/>
    <m/>
    <m/>
    <x v="45"/>
    <x v="14"/>
    <m/>
  </r>
  <r>
    <e v="#NAME?"/>
    <s v="EPSON L3250 Printer ALL-in-ONE (Print, COPY, Scan)"/>
    <x v="0"/>
    <s v="UNIT"/>
    <m/>
    <m/>
    <m/>
    <n v="1"/>
    <n v="1"/>
    <m/>
    <m/>
    <n v="0"/>
    <m/>
    <m/>
    <m/>
    <n v="0"/>
    <m/>
    <m/>
    <n v="0"/>
    <n v="0"/>
    <m/>
    <m/>
    <m/>
    <x v="45"/>
    <x v="15"/>
    <s v="Printer"/>
  </r>
  <r>
    <e v="#NAME?"/>
    <s v="UPS, 625va, 325 Watts"/>
    <x v="0"/>
    <s v="pc"/>
    <m/>
    <m/>
    <m/>
    <n v="1"/>
    <n v="1"/>
    <m/>
    <m/>
    <n v="0"/>
    <m/>
    <m/>
    <m/>
    <n v="0"/>
    <m/>
    <m/>
    <m/>
    <n v="0"/>
    <m/>
    <m/>
    <m/>
    <x v="45"/>
    <x v="3"/>
    <m/>
  </r>
  <r>
    <e v="#NAME?"/>
    <s v="Webcam Full HD 1080p with Built in Microphone, USB plug and play, with attachable mounting clip"/>
    <x v="0"/>
    <s v="pc"/>
    <m/>
    <m/>
    <m/>
    <n v="1"/>
    <n v="1"/>
    <m/>
    <m/>
    <n v="0"/>
    <m/>
    <m/>
    <m/>
    <n v="0"/>
    <m/>
    <m/>
    <m/>
    <n v="0"/>
    <m/>
    <m/>
    <m/>
    <x v="45"/>
    <x v="2"/>
    <m/>
  </r>
  <r>
    <e v="#NAME?"/>
    <s v="KYOCERA CARTRIDGE TONER KIT BLACK TK-1168"/>
    <x v="24"/>
    <s v="pc"/>
    <m/>
    <m/>
    <m/>
    <n v="3"/>
    <n v="1"/>
    <n v="1"/>
    <n v="1"/>
    <n v="3"/>
    <n v="1"/>
    <n v="1"/>
    <n v="1"/>
    <n v="3"/>
    <n v="1"/>
    <n v="1"/>
    <n v="1"/>
    <n v="0"/>
    <m/>
    <m/>
    <m/>
    <x v="46"/>
    <x v="25"/>
    <m/>
  </r>
  <r>
    <e v="#NAME?"/>
    <s v="Desktop Computer Set"/>
    <x v="1"/>
    <s v="pc"/>
    <m/>
    <m/>
    <m/>
    <n v="2"/>
    <n v="2"/>
    <m/>
    <m/>
    <n v="0"/>
    <m/>
    <m/>
    <m/>
    <n v="0"/>
    <m/>
    <m/>
    <m/>
    <n v="0"/>
    <m/>
    <m/>
    <m/>
    <x v="46"/>
    <x v="0"/>
    <m/>
  </r>
  <r>
    <e v="#NAME?"/>
    <s v="INK BLACK COMPATIBLE WITH 3 IN 1 PRINTER OOF WINNING BRAND"/>
    <x v="6"/>
    <s v="bot"/>
    <m/>
    <m/>
    <m/>
    <n v="4"/>
    <n v="2"/>
    <n v="1"/>
    <n v="1"/>
    <n v="4"/>
    <n v="2"/>
    <n v="1"/>
    <n v="1"/>
    <n v="4"/>
    <n v="2"/>
    <n v="1"/>
    <n v="1"/>
    <n v="4"/>
    <n v="2"/>
    <n v="1"/>
    <n v="1"/>
    <x v="46"/>
    <x v="5"/>
    <s v="N/A"/>
  </r>
  <r>
    <e v="#NAME?"/>
    <s v="INK CYAN COMPATIBLE WITH 3 IN 1 PRINTER OOF WINNING BRAND"/>
    <x v="4"/>
    <s v="bot"/>
    <m/>
    <m/>
    <m/>
    <n v="3"/>
    <n v="1"/>
    <n v="1"/>
    <n v="1"/>
    <n v="3"/>
    <n v="1"/>
    <n v="1"/>
    <n v="1"/>
    <n v="3"/>
    <n v="1"/>
    <n v="1"/>
    <n v="1"/>
    <n v="3"/>
    <n v="1"/>
    <n v="1"/>
    <n v="1"/>
    <x v="46"/>
    <x v="5"/>
    <s v="N/A"/>
  </r>
  <r>
    <e v="#NAME?"/>
    <s v="INK MAGENTA COMPATIBLE WITH 3 IN 1 PRINTER OOF WINNING BRAND"/>
    <x v="4"/>
    <s v="bot"/>
    <m/>
    <m/>
    <m/>
    <n v="3"/>
    <n v="1"/>
    <n v="1"/>
    <n v="1"/>
    <n v="3"/>
    <n v="1"/>
    <n v="1"/>
    <n v="1"/>
    <n v="3"/>
    <n v="1"/>
    <n v="1"/>
    <n v="1"/>
    <n v="3"/>
    <n v="1"/>
    <n v="1"/>
    <n v="1"/>
    <x v="46"/>
    <x v="5"/>
    <s v="N/A"/>
  </r>
  <r>
    <e v="#NAME?"/>
    <s v="INK YELLOW COMPATIBLE WITH 3 IN 1 PRINTER OOF WINNING BRAND"/>
    <x v="4"/>
    <s v="bot"/>
    <m/>
    <m/>
    <m/>
    <n v="3"/>
    <n v="1"/>
    <n v="1"/>
    <n v="1"/>
    <n v="3"/>
    <n v="1"/>
    <n v="1"/>
    <n v="1"/>
    <n v="3"/>
    <n v="1"/>
    <n v="1"/>
    <n v="1"/>
    <n v="3"/>
    <n v="1"/>
    <n v="1"/>
    <n v="1"/>
    <x v="46"/>
    <x v="5"/>
    <s v="N/A"/>
  </r>
  <r>
    <e v="#NAME?"/>
    <s v="EPSON LQ-310 (SO 15634) Ribbon Cartridge"/>
    <x v="4"/>
    <s v="pc"/>
    <m/>
    <m/>
    <m/>
    <n v="3"/>
    <n v="1"/>
    <n v="1"/>
    <n v="1"/>
    <n v="3"/>
    <n v="1"/>
    <n v="1"/>
    <n v="1"/>
    <n v="3"/>
    <n v="1"/>
    <n v="1"/>
    <n v="1"/>
    <n v="3"/>
    <n v="1"/>
    <n v="1"/>
    <n v="1"/>
    <x v="46"/>
    <x v="6"/>
    <m/>
  </r>
  <r>
    <e v="#NAME?"/>
    <s v="Keyboard, Full Size, USB 2.0"/>
    <x v="2"/>
    <s v="pc"/>
    <m/>
    <m/>
    <m/>
    <n v="1"/>
    <n v="1"/>
    <m/>
    <m/>
    <n v="1"/>
    <n v="1"/>
    <m/>
    <m/>
    <n v="1"/>
    <n v="1"/>
    <m/>
    <m/>
    <n v="0"/>
    <m/>
    <m/>
    <m/>
    <x v="46"/>
    <x v="13"/>
    <m/>
  </r>
  <r>
    <e v="#NAME?"/>
    <s v="Mouse, Optical, USB 2.0"/>
    <x v="2"/>
    <s v="pc"/>
    <m/>
    <m/>
    <m/>
    <n v="1"/>
    <n v="1"/>
    <m/>
    <m/>
    <n v="1"/>
    <n v="1"/>
    <m/>
    <m/>
    <n v="1"/>
    <n v="1"/>
    <m/>
    <m/>
    <n v="0"/>
    <m/>
    <m/>
    <m/>
    <x v="46"/>
    <x v="14"/>
    <m/>
  </r>
  <r>
    <e v="#NAME?"/>
    <s v="Multi-function inkjet printer Tank (print, copy, scan), (Wireless All-in-One Printer WINNING BRAND)"/>
    <x v="0"/>
    <s v="UNIT"/>
    <m/>
    <m/>
    <m/>
    <n v="1"/>
    <n v="1"/>
    <m/>
    <m/>
    <n v="0"/>
    <m/>
    <m/>
    <m/>
    <n v="0"/>
    <m/>
    <m/>
    <n v="0"/>
    <n v="0"/>
    <m/>
    <m/>
    <m/>
    <x v="46"/>
    <x v="15"/>
    <s v="Printer"/>
  </r>
  <r>
    <e v="#NAME?"/>
    <s v="UPS, 625va, 325 Watts"/>
    <x v="0"/>
    <s v="pc"/>
    <m/>
    <m/>
    <m/>
    <n v="1"/>
    <n v="1"/>
    <m/>
    <m/>
    <n v="0"/>
    <m/>
    <m/>
    <m/>
    <n v="0"/>
    <m/>
    <m/>
    <m/>
    <n v="0"/>
    <m/>
    <m/>
    <m/>
    <x v="46"/>
    <x v="3"/>
    <m/>
  </r>
  <r>
    <e v="#NAME?"/>
    <s v="Webcam Full HD 1080p with Built in Microphone, USB plug and play, with attachable mounting clip"/>
    <x v="0"/>
    <s v="pc"/>
    <m/>
    <m/>
    <m/>
    <n v="1"/>
    <n v="1"/>
    <m/>
    <m/>
    <n v="0"/>
    <m/>
    <m/>
    <m/>
    <n v="0"/>
    <m/>
    <m/>
    <m/>
    <n v="0"/>
    <m/>
    <m/>
    <m/>
    <x v="46"/>
    <x v="2"/>
    <m/>
  </r>
  <r>
    <e v="#NAME?"/>
    <s v="Android Tablet 10-15 inches"/>
    <x v="0"/>
    <s v="pc"/>
    <m/>
    <m/>
    <m/>
    <n v="1"/>
    <n v="1"/>
    <m/>
    <m/>
    <n v="0"/>
    <m/>
    <m/>
    <m/>
    <n v="0"/>
    <m/>
    <m/>
    <m/>
    <n v="0"/>
    <m/>
    <m/>
    <m/>
    <x v="47"/>
    <x v="41"/>
    <m/>
  </r>
  <r>
    <e v="#NAME?"/>
    <s v="Desktop Computer Set"/>
    <x v="1"/>
    <s v="pc"/>
    <m/>
    <m/>
    <m/>
    <n v="2"/>
    <n v="2"/>
    <m/>
    <m/>
    <n v="0"/>
    <m/>
    <m/>
    <m/>
    <n v="0"/>
    <m/>
    <m/>
    <m/>
    <n v="0"/>
    <m/>
    <m/>
    <m/>
    <x v="47"/>
    <x v="0"/>
    <m/>
  </r>
  <r>
    <e v="#NAME?"/>
    <s v="HP Printhead Black compatible to HP Smart Tank 515"/>
    <x v="0"/>
    <s v="pc"/>
    <m/>
    <m/>
    <m/>
    <n v="1"/>
    <n v="1"/>
    <m/>
    <m/>
    <n v="0"/>
    <m/>
    <m/>
    <m/>
    <n v="0"/>
    <m/>
    <m/>
    <m/>
    <n v="0"/>
    <m/>
    <m/>
    <m/>
    <x v="47"/>
    <x v="50"/>
    <m/>
  </r>
  <r>
    <e v="#NAME?"/>
    <s v="HP Printhead Tr-color compatible to HP Smart Tank 515"/>
    <x v="0"/>
    <s v="pc"/>
    <m/>
    <m/>
    <m/>
    <n v="1"/>
    <n v="1"/>
    <m/>
    <m/>
    <n v="0"/>
    <m/>
    <m/>
    <m/>
    <n v="0"/>
    <m/>
    <m/>
    <m/>
    <n v="0"/>
    <m/>
    <m/>
    <m/>
    <x v="47"/>
    <x v="51"/>
    <m/>
  </r>
  <r>
    <e v="#NAME?"/>
    <s v="Keyboard, Full Size, USB 2.0"/>
    <x v="2"/>
    <s v="pc"/>
    <m/>
    <m/>
    <m/>
    <n v="1"/>
    <n v="1"/>
    <m/>
    <m/>
    <n v="1"/>
    <n v="1"/>
    <m/>
    <m/>
    <n v="1"/>
    <n v="1"/>
    <m/>
    <m/>
    <n v="0"/>
    <m/>
    <m/>
    <m/>
    <x v="47"/>
    <x v="13"/>
    <m/>
  </r>
  <r>
    <e v="#NAME?"/>
    <s v="Mouse, Optical, USB 2.0"/>
    <x v="2"/>
    <s v="pc"/>
    <m/>
    <m/>
    <m/>
    <n v="1"/>
    <n v="1"/>
    <m/>
    <m/>
    <n v="1"/>
    <n v="1"/>
    <m/>
    <m/>
    <n v="1"/>
    <n v="1"/>
    <m/>
    <m/>
    <n v="0"/>
    <m/>
    <m/>
    <m/>
    <x v="47"/>
    <x v="14"/>
    <m/>
  </r>
  <r>
    <e v="#NAME?"/>
    <s v="Multi-function inkjet printer Tank (print, copy, scan), (HP Smart Tank 515 Wireless All-in-One Printer)"/>
    <x v="0"/>
    <s v="UNIT"/>
    <m/>
    <m/>
    <m/>
    <n v="1"/>
    <n v="1"/>
    <m/>
    <m/>
    <n v="0"/>
    <m/>
    <m/>
    <m/>
    <n v="0"/>
    <m/>
    <m/>
    <n v="0"/>
    <n v="0"/>
    <m/>
    <m/>
    <m/>
    <x v="47"/>
    <x v="15"/>
    <s v="Printer"/>
  </r>
  <r>
    <e v="#NAME?"/>
    <s v="UPS, 625va, 325 Watts"/>
    <x v="0"/>
    <s v="pc"/>
    <m/>
    <m/>
    <m/>
    <n v="1"/>
    <n v="1"/>
    <m/>
    <m/>
    <n v="0"/>
    <m/>
    <m/>
    <m/>
    <n v="0"/>
    <m/>
    <m/>
    <m/>
    <n v="0"/>
    <m/>
    <m/>
    <m/>
    <x v="47"/>
    <x v="3"/>
    <m/>
  </r>
  <r>
    <e v="#NAME?"/>
    <s v="Webcam Full HD 1080p with Built in Microphone, USB plug and play, with attachable mounting clip"/>
    <x v="0"/>
    <s v="pc"/>
    <m/>
    <m/>
    <m/>
    <n v="1"/>
    <n v="1"/>
    <m/>
    <m/>
    <n v="0"/>
    <m/>
    <m/>
    <m/>
    <n v="0"/>
    <m/>
    <m/>
    <m/>
    <n v="0"/>
    <m/>
    <m/>
    <m/>
    <x v="47"/>
    <x v="2"/>
    <m/>
  </r>
  <r>
    <e v="#NAME?"/>
    <s v="Analog Telephone Handset compatible to existing PABX"/>
    <x v="0"/>
    <s v="Pack"/>
    <m/>
    <m/>
    <m/>
    <n v="1"/>
    <n v="1"/>
    <m/>
    <m/>
    <n v="0"/>
    <m/>
    <m/>
    <m/>
    <n v="0"/>
    <m/>
    <m/>
    <m/>
    <n v="0"/>
    <m/>
    <m/>
    <m/>
    <x v="48"/>
    <x v="52"/>
    <m/>
  </r>
  <r>
    <e v="#NAME?"/>
    <s v="Keyboard, Full Size, USB 2.0"/>
    <x v="1"/>
    <s v="Pack"/>
    <m/>
    <m/>
    <m/>
    <n v="1"/>
    <n v="1"/>
    <m/>
    <m/>
    <n v="0"/>
    <m/>
    <m/>
    <m/>
    <n v="1"/>
    <n v="1"/>
    <m/>
    <m/>
    <n v="0"/>
    <m/>
    <m/>
    <m/>
    <x v="48"/>
    <x v="13"/>
    <m/>
  </r>
  <r>
    <e v="#NAME?"/>
    <s v="Mouse, Optical, USB 2.0"/>
    <x v="1"/>
    <s v="Pack"/>
    <m/>
    <m/>
    <m/>
    <n v="1"/>
    <n v="1"/>
    <m/>
    <m/>
    <n v="0"/>
    <m/>
    <m/>
    <m/>
    <n v="1"/>
    <n v="1"/>
    <m/>
    <m/>
    <n v="0"/>
    <m/>
    <m/>
    <m/>
    <x v="48"/>
    <x v="14"/>
    <m/>
  </r>
  <r>
    <e v="#NAME?"/>
    <s v="Web Camera"/>
    <x v="0"/>
    <s v="Pack"/>
    <m/>
    <m/>
    <m/>
    <n v="1"/>
    <n v="1"/>
    <m/>
    <m/>
    <n v="0"/>
    <m/>
    <m/>
    <m/>
    <n v="0"/>
    <m/>
    <m/>
    <m/>
    <n v="0"/>
    <m/>
    <m/>
    <m/>
    <x v="48"/>
    <x v="2"/>
    <m/>
  </r>
  <r>
    <e v="#NAME?"/>
    <s v="Ink BLACK compatible with EPSON L3210 (003)"/>
    <x v="30"/>
    <s v="Bottle"/>
    <m/>
    <m/>
    <m/>
    <n v="12"/>
    <n v="4"/>
    <n v="4"/>
    <n v="4"/>
    <n v="12"/>
    <n v="4"/>
    <n v="4"/>
    <n v="4"/>
    <n v="12"/>
    <n v="4"/>
    <n v="4"/>
    <n v="4"/>
    <n v="12"/>
    <n v="4"/>
    <n v="4"/>
    <n v="4"/>
    <x v="48"/>
    <x v="26"/>
    <m/>
  </r>
  <r>
    <e v="#NAME?"/>
    <s v="Ink YELLOW compatible with EPSON L3210 (003)"/>
    <x v="4"/>
    <s v="Bottle"/>
    <m/>
    <m/>
    <m/>
    <n v="3"/>
    <n v="1"/>
    <n v="1"/>
    <n v="1"/>
    <n v="3"/>
    <n v="1"/>
    <n v="1"/>
    <n v="1"/>
    <n v="3"/>
    <n v="1"/>
    <n v="1"/>
    <n v="1"/>
    <n v="3"/>
    <n v="1"/>
    <n v="1"/>
    <n v="1"/>
    <x v="48"/>
    <x v="27"/>
    <m/>
  </r>
  <r>
    <e v="#NAME?"/>
    <s v="Ink MAGENTA compatible with EPSON L3210 (003)"/>
    <x v="4"/>
    <s v="Bottle"/>
    <m/>
    <m/>
    <m/>
    <n v="3"/>
    <n v="1"/>
    <n v="1"/>
    <n v="1"/>
    <n v="3"/>
    <n v="1"/>
    <n v="1"/>
    <n v="1"/>
    <n v="3"/>
    <n v="1"/>
    <n v="1"/>
    <n v="1"/>
    <n v="3"/>
    <n v="1"/>
    <n v="1"/>
    <n v="1"/>
    <x v="48"/>
    <x v="28"/>
    <m/>
  </r>
  <r>
    <e v="#NAME?"/>
    <s v="Ink CYAN compatible with EPSON L3210 (003)"/>
    <x v="4"/>
    <s v="Bottle"/>
    <m/>
    <m/>
    <m/>
    <n v="3"/>
    <n v="1"/>
    <n v="1"/>
    <n v="1"/>
    <n v="3"/>
    <n v="1"/>
    <n v="1"/>
    <n v="1"/>
    <n v="3"/>
    <n v="1"/>
    <n v="1"/>
    <n v="1"/>
    <n v="3"/>
    <n v="1"/>
    <n v="1"/>
    <n v="1"/>
    <x v="48"/>
    <x v="29"/>
    <m/>
  </r>
  <r>
    <e v="#NAME?"/>
    <s v="Eye Sheet, Yellow"/>
    <x v="2"/>
    <s v="Piece"/>
    <m/>
    <m/>
    <m/>
    <n v="3"/>
    <n v="3"/>
    <m/>
    <m/>
    <n v="0"/>
    <m/>
    <m/>
    <m/>
    <n v="0"/>
    <m/>
    <m/>
    <m/>
    <n v="0"/>
    <m/>
    <m/>
    <m/>
    <x v="49"/>
    <x v="5"/>
    <s v="N/A"/>
  </r>
  <r>
    <e v="#NAME?"/>
    <s v="Towel, Yellow, 25.2x14.5"/>
    <x v="2"/>
    <s v="Piece"/>
    <m/>
    <m/>
    <m/>
    <n v="3"/>
    <n v="3"/>
    <m/>
    <m/>
    <n v="0"/>
    <m/>
    <m/>
    <m/>
    <n v="0"/>
    <m/>
    <m/>
    <m/>
    <n v="0"/>
    <m/>
    <m/>
    <m/>
    <x v="49"/>
    <x v="5"/>
    <s v="N/A"/>
  </r>
  <r>
    <e v="#NAME?"/>
    <s v="Medication Vest, Orange"/>
    <x v="9"/>
    <s v="Piece"/>
    <m/>
    <m/>
    <m/>
    <n v="5"/>
    <n v="5"/>
    <m/>
    <m/>
    <n v="0"/>
    <m/>
    <m/>
    <m/>
    <n v="0"/>
    <m/>
    <m/>
    <m/>
    <n v="0"/>
    <m/>
    <m/>
    <m/>
    <x v="49"/>
    <x v="5"/>
    <s v="N/A"/>
  </r>
  <r>
    <e v="#NAME?"/>
    <s v="CCP"/>
    <x v="5"/>
    <s v="Pack"/>
    <m/>
    <m/>
    <m/>
    <n v="10"/>
    <n v="10"/>
    <m/>
    <m/>
    <n v="0"/>
    <m/>
    <m/>
    <m/>
    <n v="0"/>
    <m/>
    <m/>
    <m/>
    <n v="0"/>
    <m/>
    <m/>
    <m/>
    <x v="50"/>
    <x v="5"/>
    <s v="N/A"/>
  </r>
  <r>
    <e v="#NAME?"/>
    <s v="NCC"/>
    <x v="5"/>
    <s v="Pack"/>
    <m/>
    <m/>
    <m/>
    <n v="10"/>
    <n v="10"/>
    <m/>
    <m/>
    <n v="0"/>
    <m/>
    <m/>
    <m/>
    <n v="0"/>
    <m/>
    <m/>
    <m/>
    <n v="0"/>
    <m/>
    <m/>
    <m/>
    <x v="50"/>
    <x v="5"/>
    <s v="N/A"/>
  </r>
  <r>
    <e v="#NAME?"/>
    <s v="Eye Sheet, Yellow"/>
    <x v="2"/>
    <s v="Pack"/>
    <m/>
    <m/>
    <m/>
    <n v="3"/>
    <n v="3"/>
    <m/>
    <m/>
    <n v="0"/>
    <m/>
    <m/>
    <m/>
    <n v="0"/>
    <m/>
    <m/>
    <m/>
    <n v="0"/>
    <m/>
    <m/>
    <m/>
    <x v="50"/>
    <x v="5"/>
    <s v="N/A"/>
  </r>
  <r>
    <e v="#NAME?"/>
    <s v="Towel, Yellow, 25.2x14.5"/>
    <x v="2"/>
    <s v="Pack"/>
    <m/>
    <m/>
    <m/>
    <n v="3"/>
    <n v="3"/>
    <m/>
    <m/>
    <n v="0"/>
    <m/>
    <m/>
    <m/>
    <n v="0"/>
    <m/>
    <m/>
    <m/>
    <n v="0"/>
    <m/>
    <m/>
    <m/>
    <x v="50"/>
    <x v="5"/>
    <s v="N/A"/>
  </r>
  <r>
    <e v="#NAME?"/>
    <s v="Medication Vest, Orange"/>
    <x v="9"/>
    <s v="Piece"/>
    <m/>
    <m/>
    <m/>
    <n v="5"/>
    <n v="5"/>
    <m/>
    <m/>
    <n v="0"/>
    <m/>
    <m/>
    <m/>
    <n v="0"/>
    <m/>
    <m/>
    <m/>
    <n v="0"/>
    <m/>
    <m/>
    <m/>
    <x v="50"/>
    <x v="5"/>
    <s v="N/A"/>
  </r>
  <r>
    <e v="#NAME?"/>
    <s v="Analog Telephone Handset compatible to existing PABX"/>
    <x v="0"/>
    <s v="UNIT"/>
    <m/>
    <m/>
    <m/>
    <n v="1"/>
    <n v="1"/>
    <m/>
    <m/>
    <n v="0"/>
    <m/>
    <m/>
    <m/>
    <n v="0"/>
    <m/>
    <m/>
    <m/>
    <n v="0"/>
    <m/>
    <m/>
    <m/>
    <x v="51"/>
    <x v="52"/>
    <m/>
  </r>
  <r>
    <e v="#NAME?"/>
    <s v="Keyboard, Full Size, USB 2.0"/>
    <x v="1"/>
    <s v="UNIT"/>
    <m/>
    <m/>
    <m/>
    <n v="1"/>
    <n v="1"/>
    <m/>
    <m/>
    <n v="0"/>
    <m/>
    <m/>
    <m/>
    <n v="1"/>
    <n v="1"/>
    <m/>
    <m/>
    <n v="0"/>
    <m/>
    <m/>
    <m/>
    <x v="51"/>
    <x v="13"/>
    <m/>
  </r>
  <r>
    <e v="#NAME?"/>
    <s v="Mouse, Optical, USB 2.0"/>
    <x v="1"/>
    <s v="UNIT"/>
    <m/>
    <m/>
    <m/>
    <n v="1"/>
    <n v="1"/>
    <m/>
    <m/>
    <n v="0"/>
    <m/>
    <m/>
    <m/>
    <n v="1"/>
    <n v="1"/>
    <m/>
    <m/>
    <n v="0"/>
    <m/>
    <m/>
    <m/>
    <x v="51"/>
    <x v="14"/>
    <m/>
  </r>
  <r>
    <e v="#NAME?"/>
    <s v="Web Camera"/>
    <x v="0"/>
    <s v="UNIT"/>
    <m/>
    <m/>
    <m/>
    <n v="1"/>
    <n v="1"/>
    <m/>
    <m/>
    <n v="0"/>
    <m/>
    <m/>
    <m/>
    <n v="0"/>
    <m/>
    <m/>
    <m/>
    <n v="0"/>
    <m/>
    <m/>
    <m/>
    <x v="51"/>
    <x v="2"/>
    <m/>
  </r>
  <r>
    <e v="#NAME?"/>
    <s v="Ink BLACK compatible with EPSON L3210 (003)"/>
    <x v="6"/>
    <s v="Bottle"/>
    <m/>
    <m/>
    <m/>
    <n v="12"/>
    <n v="4"/>
    <n v="4"/>
    <n v="4"/>
    <n v="12"/>
    <n v="4"/>
    <n v="4"/>
    <n v="4"/>
    <n v="12"/>
    <n v="4"/>
    <n v="4"/>
    <n v="4"/>
    <n v="12"/>
    <n v="4"/>
    <n v="4"/>
    <n v="4"/>
    <x v="51"/>
    <x v="26"/>
    <m/>
  </r>
  <r>
    <e v="#NAME?"/>
    <s v="Ink YELLOW compatible with EPSON L3210 (003)"/>
    <x v="11"/>
    <s v="Bottle"/>
    <m/>
    <m/>
    <m/>
    <n v="6"/>
    <n v="2"/>
    <n v="2"/>
    <n v="2"/>
    <n v="6"/>
    <n v="2"/>
    <n v="2"/>
    <n v="2"/>
    <n v="6"/>
    <n v="2"/>
    <n v="2"/>
    <n v="2"/>
    <n v="6"/>
    <n v="2"/>
    <n v="2"/>
    <n v="2"/>
    <x v="51"/>
    <x v="27"/>
    <m/>
  </r>
  <r>
    <e v="#NAME?"/>
    <s v="Ink MAGENTA compatible with EPSON L3210 (003)"/>
    <x v="11"/>
    <s v="Bottle"/>
    <m/>
    <m/>
    <m/>
    <n v="6"/>
    <n v="2"/>
    <n v="2"/>
    <n v="2"/>
    <n v="6"/>
    <n v="2"/>
    <n v="2"/>
    <n v="2"/>
    <n v="6"/>
    <n v="2"/>
    <n v="2"/>
    <n v="2"/>
    <n v="6"/>
    <n v="2"/>
    <n v="2"/>
    <n v="2"/>
    <x v="51"/>
    <x v="28"/>
    <m/>
  </r>
  <r>
    <e v="#NAME?"/>
    <s v="Ink CYAN compatible with EPSON L3210 (003)"/>
    <x v="11"/>
    <s v="Bottle"/>
    <m/>
    <m/>
    <m/>
    <n v="6"/>
    <n v="2"/>
    <n v="2"/>
    <n v="2"/>
    <n v="6"/>
    <n v="2"/>
    <n v="2"/>
    <n v="2"/>
    <n v="6"/>
    <n v="2"/>
    <n v="2"/>
    <n v="2"/>
    <n v="6"/>
    <n v="2"/>
    <n v="2"/>
    <n v="2"/>
    <x v="51"/>
    <x v="29"/>
    <m/>
  </r>
  <r>
    <e v="#NAME?"/>
    <s v="Keyboard, Full Size, USB 2.0"/>
    <x v="1"/>
    <s v="pc"/>
    <m/>
    <m/>
    <m/>
    <n v="1"/>
    <n v="1"/>
    <m/>
    <m/>
    <n v="0"/>
    <m/>
    <m/>
    <m/>
    <n v="1"/>
    <n v="1"/>
    <m/>
    <m/>
    <n v="0"/>
    <m/>
    <m/>
    <m/>
    <x v="52"/>
    <x v="13"/>
    <m/>
  </r>
  <r>
    <e v="#NAME?"/>
    <s v="Mouse, Optical, USB 2.0"/>
    <x v="1"/>
    <s v="pc"/>
    <m/>
    <m/>
    <m/>
    <n v="1"/>
    <n v="1"/>
    <m/>
    <m/>
    <n v="0"/>
    <m/>
    <m/>
    <m/>
    <n v="1"/>
    <n v="1"/>
    <m/>
    <m/>
    <n v="0"/>
    <m/>
    <m/>
    <m/>
    <x v="52"/>
    <x v="14"/>
    <m/>
  </r>
  <r>
    <e v="#NAME?"/>
    <s v="Multi-function inkjet printer Tank (print, copy, scan)"/>
    <x v="0"/>
    <s v="pc"/>
    <m/>
    <m/>
    <m/>
    <n v="1"/>
    <n v="1"/>
    <m/>
    <m/>
    <n v="0"/>
    <m/>
    <m/>
    <m/>
    <n v="0"/>
    <m/>
    <m/>
    <m/>
    <n v="0"/>
    <m/>
    <m/>
    <m/>
    <x v="52"/>
    <x v="15"/>
    <s v="Printer"/>
  </r>
  <r>
    <e v="#NAME?"/>
    <s v="UPS, 625va, 325 Watts"/>
    <x v="1"/>
    <s v="pc"/>
    <m/>
    <m/>
    <m/>
    <n v="1"/>
    <n v="1"/>
    <m/>
    <m/>
    <n v="0"/>
    <m/>
    <m/>
    <m/>
    <n v="1"/>
    <n v="1"/>
    <m/>
    <m/>
    <n v="0"/>
    <m/>
    <m/>
    <m/>
    <x v="52"/>
    <x v="3"/>
    <m/>
  </r>
  <r>
    <e v="#NAME?"/>
    <s v="AVR 500 Watts, 220 Volts"/>
    <x v="0"/>
    <s v="pc"/>
    <m/>
    <m/>
    <m/>
    <n v="1"/>
    <n v="1"/>
    <m/>
    <m/>
    <n v="0"/>
    <m/>
    <m/>
    <m/>
    <n v="0"/>
    <m/>
    <m/>
    <m/>
    <n v="0"/>
    <m/>
    <m/>
    <m/>
    <x v="52"/>
    <x v="5"/>
    <s v="N/A"/>
  </r>
  <r>
    <e v="#NAME?"/>
    <s v="Epson L360 printer"/>
    <x v="0"/>
    <s v="UNIT"/>
    <m/>
    <m/>
    <m/>
    <n v="1"/>
    <n v="1"/>
    <m/>
    <m/>
    <n v="0"/>
    <m/>
    <m/>
    <m/>
    <n v="0"/>
    <m/>
    <m/>
    <m/>
    <n v="0"/>
    <m/>
    <m/>
    <m/>
    <x v="52"/>
    <x v="15"/>
    <s v="Printer"/>
  </r>
  <r>
    <e v="#NAME?"/>
    <s v="Analog Telephone Handset compatible to existing PABX"/>
    <x v="0"/>
    <s v="pc"/>
    <m/>
    <m/>
    <m/>
    <n v="1"/>
    <n v="1"/>
    <m/>
    <m/>
    <n v="0"/>
    <m/>
    <m/>
    <m/>
    <n v="0"/>
    <m/>
    <m/>
    <m/>
    <n v="0"/>
    <m/>
    <m/>
    <m/>
    <x v="52"/>
    <x v="52"/>
    <m/>
  </r>
  <r>
    <e v="#NAME?"/>
    <s v="Printer, Multi Function (Print/Scan/Copy)"/>
    <x v="0"/>
    <s v="pc"/>
    <m/>
    <m/>
    <m/>
    <n v="1"/>
    <n v="1"/>
    <m/>
    <m/>
    <n v="0"/>
    <m/>
    <m/>
    <m/>
    <n v="0"/>
    <m/>
    <m/>
    <m/>
    <n v="0"/>
    <m/>
    <m/>
    <m/>
    <x v="52"/>
    <x v="15"/>
    <s v="Printer"/>
  </r>
  <r>
    <e v="#NAME?"/>
    <s v="EPSON INK BOTTLE REFIL 003 BLACK"/>
    <x v="12"/>
    <s v="pc"/>
    <m/>
    <m/>
    <m/>
    <n v="10"/>
    <n v="6"/>
    <n v="2"/>
    <n v="2"/>
    <n v="6"/>
    <n v="2"/>
    <n v="2"/>
    <n v="2"/>
    <n v="8"/>
    <n v="2"/>
    <n v="2"/>
    <n v="4"/>
    <n v="6"/>
    <n v="2"/>
    <n v="2"/>
    <n v="2"/>
    <x v="53"/>
    <x v="26"/>
    <m/>
  </r>
  <r>
    <e v="#NAME?"/>
    <s v="EPSON INK BOTTLE REFIL 003 CYAN"/>
    <x v="4"/>
    <s v="pc"/>
    <m/>
    <m/>
    <m/>
    <n v="3"/>
    <n v="1"/>
    <n v="1"/>
    <n v="1"/>
    <n v="3"/>
    <n v="1"/>
    <n v="1"/>
    <n v="1"/>
    <n v="3"/>
    <n v="1"/>
    <n v="1"/>
    <n v="1"/>
    <n v="3"/>
    <n v="1"/>
    <n v="1"/>
    <n v="1"/>
    <x v="53"/>
    <x v="27"/>
    <m/>
  </r>
  <r>
    <e v="#NAME?"/>
    <s v="EPSON INK BOTTLE REFIL 003 YELLOW"/>
    <x v="4"/>
    <s v="pc"/>
    <m/>
    <m/>
    <m/>
    <n v="3"/>
    <n v="1"/>
    <n v="1"/>
    <n v="1"/>
    <n v="3"/>
    <n v="1"/>
    <n v="1"/>
    <n v="1"/>
    <n v="3"/>
    <n v="1"/>
    <n v="1"/>
    <n v="1"/>
    <n v="3"/>
    <n v="1"/>
    <n v="1"/>
    <n v="1"/>
    <x v="53"/>
    <x v="28"/>
    <m/>
  </r>
  <r>
    <e v="#NAME?"/>
    <s v="EPSON INK BOTTLE REFIL 003 MAGENTA"/>
    <x v="4"/>
    <s v="pc"/>
    <m/>
    <m/>
    <m/>
    <n v="3"/>
    <n v="1"/>
    <n v="1"/>
    <n v="1"/>
    <n v="3"/>
    <n v="1"/>
    <n v="1"/>
    <n v="1"/>
    <n v="3"/>
    <n v="1"/>
    <n v="1"/>
    <n v="1"/>
    <n v="3"/>
    <n v="1"/>
    <n v="1"/>
    <n v="1"/>
    <x v="53"/>
    <x v="29"/>
    <m/>
  </r>
  <r>
    <e v="#NAME?"/>
    <s v="Epson LQ-310 (S015634) Ribbon Cartridge"/>
    <x v="17"/>
    <s v="pc"/>
    <m/>
    <m/>
    <m/>
    <n v="3"/>
    <n v="1"/>
    <n v="1"/>
    <n v="1"/>
    <n v="3"/>
    <n v="1"/>
    <n v="1"/>
    <n v="1"/>
    <n v="3"/>
    <n v="1"/>
    <n v="1"/>
    <n v="1"/>
    <n v="3"/>
    <n v="1"/>
    <n v="1"/>
    <n v="1"/>
    <x v="53"/>
    <x v="6"/>
    <m/>
  </r>
  <r>
    <e v="#NAME?"/>
    <s v="Computer monitor"/>
    <x v="0"/>
    <s v="Pack"/>
    <m/>
    <m/>
    <m/>
    <n v="1"/>
    <n v="1"/>
    <m/>
    <m/>
    <n v="0"/>
    <m/>
    <m/>
    <m/>
    <n v="0"/>
    <m/>
    <m/>
    <m/>
    <n v="0"/>
    <m/>
    <m/>
    <m/>
    <x v="53"/>
    <x v="87"/>
    <m/>
  </r>
  <r>
    <e v="#NAME?"/>
    <s v="CPU"/>
    <x v="0"/>
    <s v="Pack"/>
    <m/>
    <m/>
    <m/>
    <n v="1"/>
    <n v="1"/>
    <m/>
    <m/>
    <n v="0"/>
    <m/>
    <m/>
    <m/>
    <n v="0"/>
    <m/>
    <m/>
    <m/>
    <n v="0"/>
    <m/>
    <m/>
    <m/>
    <x v="53"/>
    <x v="5"/>
    <s v="N/A"/>
  </r>
  <r>
    <e v="#NAME?"/>
    <s v="keyboard , full size"/>
    <x v="0"/>
    <s v="Pack"/>
    <m/>
    <m/>
    <m/>
    <n v="1"/>
    <n v="1"/>
    <m/>
    <m/>
    <n v="0"/>
    <m/>
    <m/>
    <m/>
    <n v="0"/>
    <m/>
    <m/>
    <m/>
    <n v="0"/>
    <m/>
    <m/>
    <m/>
    <x v="53"/>
    <x v="13"/>
    <m/>
  </r>
  <r>
    <e v="#NAME?"/>
    <s v="mouse, optical"/>
    <x v="0"/>
    <s v="Pack"/>
    <m/>
    <m/>
    <m/>
    <n v="0"/>
    <m/>
    <m/>
    <m/>
    <n v="0"/>
    <m/>
    <m/>
    <m/>
    <n v="0"/>
    <m/>
    <m/>
    <m/>
    <n v="0"/>
    <m/>
    <m/>
    <m/>
    <x v="53"/>
    <x v="14"/>
    <m/>
  </r>
  <r>
    <e v="#NAME?"/>
    <s v="UPS battery pack for desktop"/>
    <x v="0"/>
    <s v="Pack"/>
    <m/>
    <m/>
    <m/>
    <n v="0"/>
    <m/>
    <m/>
    <m/>
    <n v="0"/>
    <m/>
    <m/>
    <m/>
    <n v="0"/>
    <m/>
    <m/>
    <m/>
    <n v="0"/>
    <m/>
    <m/>
    <m/>
    <x v="53"/>
    <x v="5"/>
    <s v="N/A"/>
  </r>
  <r>
    <e v="#NAME?"/>
    <s v="analog telephone handset"/>
    <x v="0"/>
    <s v="Pack"/>
    <m/>
    <m/>
    <m/>
    <n v="0"/>
    <m/>
    <m/>
    <m/>
    <n v="0"/>
    <m/>
    <m/>
    <m/>
    <n v="0"/>
    <m/>
    <m/>
    <m/>
    <n v="0"/>
    <m/>
    <m/>
    <m/>
    <x v="53"/>
    <x v="52"/>
    <m/>
  </r>
  <r>
    <e v="#NAME?"/>
    <s v="printer"/>
    <x v="0"/>
    <s v="Pack"/>
    <m/>
    <m/>
    <m/>
    <n v="0"/>
    <m/>
    <m/>
    <m/>
    <n v="0"/>
    <m/>
    <m/>
    <m/>
    <n v="0"/>
    <m/>
    <m/>
    <m/>
    <n v="0"/>
    <m/>
    <m/>
    <m/>
    <x v="53"/>
    <x v="15"/>
    <s v="Printer"/>
  </r>
  <r>
    <e v="#NAME?"/>
    <s v="EPSON INK BOTTLE REFIL 003 BLACK"/>
    <x v="12"/>
    <s v="pc"/>
    <m/>
    <m/>
    <m/>
    <n v="10"/>
    <n v="6"/>
    <n v="2"/>
    <n v="2"/>
    <n v="6"/>
    <n v="2"/>
    <n v="2"/>
    <n v="2"/>
    <n v="8"/>
    <n v="2"/>
    <n v="2"/>
    <n v="4"/>
    <n v="6"/>
    <n v="2"/>
    <n v="2"/>
    <n v="2"/>
    <x v="54"/>
    <x v="26"/>
    <m/>
  </r>
  <r>
    <e v="#NAME?"/>
    <s v="EPSON INK BOTTLE REFIL 003 CYAN"/>
    <x v="4"/>
    <s v="pc"/>
    <m/>
    <m/>
    <m/>
    <n v="3"/>
    <n v="1"/>
    <n v="1"/>
    <n v="1"/>
    <n v="3"/>
    <n v="1"/>
    <n v="1"/>
    <n v="1"/>
    <n v="3"/>
    <n v="1"/>
    <n v="1"/>
    <n v="1"/>
    <n v="3"/>
    <n v="1"/>
    <n v="1"/>
    <n v="1"/>
    <x v="54"/>
    <x v="27"/>
    <m/>
  </r>
  <r>
    <e v="#NAME?"/>
    <s v="EPSON INK BOTTLE REFIL 003 YELLOW"/>
    <x v="4"/>
    <s v="pc"/>
    <m/>
    <m/>
    <m/>
    <n v="3"/>
    <n v="1"/>
    <n v="1"/>
    <n v="1"/>
    <n v="3"/>
    <n v="1"/>
    <n v="1"/>
    <n v="1"/>
    <n v="3"/>
    <n v="1"/>
    <n v="1"/>
    <n v="1"/>
    <n v="3"/>
    <n v="1"/>
    <n v="1"/>
    <n v="1"/>
    <x v="54"/>
    <x v="28"/>
    <m/>
  </r>
  <r>
    <e v="#NAME?"/>
    <s v="EPSON INK BOTTLE REFIL 003 MAGENTA"/>
    <x v="4"/>
    <s v="pc"/>
    <m/>
    <m/>
    <m/>
    <n v="3"/>
    <n v="1"/>
    <n v="1"/>
    <n v="1"/>
    <n v="3"/>
    <n v="1"/>
    <n v="1"/>
    <n v="1"/>
    <n v="3"/>
    <n v="1"/>
    <n v="1"/>
    <n v="1"/>
    <n v="3"/>
    <n v="1"/>
    <n v="1"/>
    <n v="1"/>
    <x v="54"/>
    <x v="29"/>
    <m/>
  </r>
  <r>
    <e v="#NAME?"/>
    <s v="Epson LQ-310 (S015634) Ribbon Cartridge"/>
    <x v="17"/>
    <s v="pc"/>
    <m/>
    <m/>
    <m/>
    <n v="3"/>
    <n v="1"/>
    <n v="1"/>
    <n v="1"/>
    <n v="3"/>
    <n v="1"/>
    <n v="1"/>
    <n v="1"/>
    <n v="3"/>
    <n v="1"/>
    <n v="1"/>
    <n v="1"/>
    <n v="3"/>
    <n v="1"/>
    <n v="1"/>
    <n v="1"/>
    <x v="54"/>
    <x v="6"/>
    <m/>
  </r>
  <r>
    <e v="#NAME?"/>
    <s v="Computer monitor"/>
    <x v="0"/>
    <s v="Pack"/>
    <m/>
    <m/>
    <m/>
    <n v="1"/>
    <n v="1"/>
    <m/>
    <m/>
    <n v="0"/>
    <m/>
    <m/>
    <m/>
    <n v="0"/>
    <m/>
    <m/>
    <m/>
    <n v="0"/>
    <m/>
    <m/>
    <m/>
    <x v="54"/>
    <x v="87"/>
    <m/>
  </r>
  <r>
    <e v="#NAME?"/>
    <s v="CPU"/>
    <x v="0"/>
    <s v="Pack"/>
    <m/>
    <m/>
    <m/>
    <n v="1"/>
    <n v="1"/>
    <m/>
    <m/>
    <n v="0"/>
    <m/>
    <m/>
    <m/>
    <n v="0"/>
    <m/>
    <m/>
    <m/>
    <n v="0"/>
    <m/>
    <m/>
    <m/>
    <x v="54"/>
    <x v="5"/>
    <s v="N/A"/>
  </r>
  <r>
    <e v="#NAME?"/>
    <s v="keyboard , full size"/>
    <x v="0"/>
    <s v="Pack"/>
    <m/>
    <m/>
    <m/>
    <n v="1"/>
    <n v="1"/>
    <m/>
    <m/>
    <n v="0"/>
    <m/>
    <m/>
    <m/>
    <n v="0"/>
    <m/>
    <m/>
    <m/>
    <n v="0"/>
    <m/>
    <m/>
    <m/>
    <x v="54"/>
    <x v="13"/>
    <m/>
  </r>
  <r>
    <e v="#NAME?"/>
    <s v="mouse, optical"/>
    <x v="0"/>
    <s v="Pack"/>
    <m/>
    <m/>
    <m/>
    <n v="0"/>
    <m/>
    <m/>
    <m/>
    <n v="0"/>
    <m/>
    <m/>
    <m/>
    <n v="0"/>
    <m/>
    <m/>
    <m/>
    <n v="0"/>
    <m/>
    <m/>
    <m/>
    <x v="54"/>
    <x v="14"/>
    <m/>
  </r>
  <r>
    <e v="#NAME?"/>
    <s v="UPS battery pack for desktop"/>
    <x v="0"/>
    <s v="Pack"/>
    <m/>
    <m/>
    <m/>
    <n v="0"/>
    <m/>
    <m/>
    <m/>
    <n v="0"/>
    <m/>
    <m/>
    <m/>
    <n v="0"/>
    <m/>
    <m/>
    <m/>
    <n v="0"/>
    <m/>
    <m/>
    <m/>
    <x v="54"/>
    <x v="5"/>
    <s v="N/A"/>
  </r>
  <r>
    <e v="#NAME?"/>
    <s v="analog telephone handset"/>
    <x v="0"/>
    <s v="Pack"/>
    <m/>
    <m/>
    <m/>
    <n v="0"/>
    <m/>
    <m/>
    <m/>
    <n v="0"/>
    <m/>
    <m/>
    <m/>
    <n v="0"/>
    <m/>
    <m/>
    <m/>
    <n v="0"/>
    <m/>
    <m/>
    <m/>
    <x v="54"/>
    <x v="52"/>
    <m/>
  </r>
  <r>
    <e v="#NAME?"/>
    <s v="printer"/>
    <x v="0"/>
    <s v="Pack"/>
    <m/>
    <m/>
    <m/>
    <n v="0"/>
    <m/>
    <m/>
    <m/>
    <n v="0"/>
    <m/>
    <m/>
    <m/>
    <n v="0"/>
    <m/>
    <m/>
    <m/>
    <n v="0"/>
    <m/>
    <m/>
    <m/>
    <x v="54"/>
    <x v="15"/>
    <s v="Printer"/>
  </r>
  <r>
    <e v="#NAME?"/>
    <s v="EPSON INK BOTTLE REFIL 003 BLACK"/>
    <x v="12"/>
    <s v="pc"/>
    <m/>
    <m/>
    <m/>
    <n v="10"/>
    <n v="6"/>
    <n v="2"/>
    <n v="2"/>
    <n v="6"/>
    <n v="2"/>
    <n v="2"/>
    <n v="2"/>
    <n v="8"/>
    <n v="2"/>
    <n v="2"/>
    <n v="4"/>
    <n v="6"/>
    <n v="2"/>
    <n v="2"/>
    <n v="2"/>
    <x v="55"/>
    <x v="26"/>
    <m/>
  </r>
  <r>
    <e v="#NAME?"/>
    <s v="EPSON INK BOTTLE REFIL 003 CYAN"/>
    <x v="4"/>
    <s v="pc"/>
    <m/>
    <m/>
    <m/>
    <n v="3"/>
    <n v="1"/>
    <n v="1"/>
    <n v="1"/>
    <n v="3"/>
    <n v="1"/>
    <n v="1"/>
    <n v="1"/>
    <n v="3"/>
    <n v="1"/>
    <n v="1"/>
    <n v="1"/>
    <n v="3"/>
    <n v="1"/>
    <n v="1"/>
    <n v="1"/>
    <x v="55"/>
    <x v="27"/>
    <m/>
  </r>
  <r>
    <e v="#NAME?"/>
    <s v="EPSON INK BOTTLE REFIL 003 YELLOW"/>
    <x v="4"/>
    <s v="pc"/>
    <m/>
    <m/>
    <m/>
    <n v="3"/>
    <n v="1"/>
    <n v="1"/>
    <n v="1"/>
    <n v="3"/>
    <n v="1"/>
    <n v="1"/>
    <n v="1"/>
    <n v="3"/>
    <n v="1"/>
    <n v="1"/>
    <n v="1"/>
    <n v="3"/>
    <n v="1"/>
    <n v="1"/>
    <n v="1"/>
    <x v="55"/>
    <x v="28"/>
    <m/>
  </r>
  <r>
    <e v="#NAME?"/>
    <s v="EPSON INK BOTTLE REFIL 003 MAGENTA"/>
    <x v="4"/>
    <s v="pc"/>
    <m/>
    <m/>
    <m/>
    <n v="3"/>
    <n v="1"/>
    <n v="1"/>
    <n v="1"/>
    <n v="3"/>
    <n v="1"/>
    <n v="1"/>
    <n v="1"/>
    <n v="3"/>
    <n v="1"/>
    <n v="1"/>
    <n v="1"/>
    <n v="3"/>
    <n v="1"/>
    <n v="1"/>
    <n v="1"/>
    <x v="55"/>
    <x v="29"/>
    <m/>
  </r>
  <r>
    <e v="#NAME?"/>
    <s v="Epson LQ-310 (S015634) Ribbon Cartridge"/>
    <x v="17"/>
    <s v="pc"/>
    <m/>
    <m/>
    <m/>
    <n v="3"/>
    <n v="1"/>
    <n v="1"/>
    <n v="1"/>
    <n v="3"/>
    <n v="1"/>
    <n v="1"/>
    <n v="1"/>
    <n v="3"/>
    <n v="1"/>
    <n v="1"/>
    <n v="1"/>
    <n v="3"/>
    <n v="1"/>
    <n v="1"/>
    <n v="1"/>
    <x v="55"/>
    <x v="6"/>
    <m/>
  </r>
  <r>
    <e v="#NAME?"/>
    <s v="AVR 500 Watts, 220 Volts, 3-4 Output, With Power On Delay, Heavy Duty"/>
    <x v="33"/>
    <n v="2"/>
    <m/>
    <m/>
    <m/>
    <n v="2"/>
    <n v="2"/>
    <m/>
    <m/>
    <m/>
    <m/>
    <m/>
    <m/>
    <m/>
    <m/>
    <m/>
    <m/>
    <m/>
    <m/>
    <m/>
    <m/>
    <x v="56"/>
    <x v="3"/>
    <m/>
  </r>
  <r>
    <e v="#NAME?"/>
    <s v="Epson Ink Cartridge T6641 Black"/>
    <x v="33"/>
    <n v="480"/>
    <m/>
    <m/>
    <m/>
    <n v="9"/>
    <n v="3"/>
    <n v="3"/>
    <n v="3"/>
    <n v="9"/>
    <n v="3"/>
    <n v="3"/>
    <n v="3"/>
    <n v="9"/>
    <n v="3"/>
    <n v="3"/>
    <n v="3"/>
    <n v="9"/>
    <n v="3"/>
    <n v="3"/>
    <n v="3"/>
    <x v="56"/>
    <x v="16"/>
    <m/>
  </r>
  <r>
    <e v="#NAME?"/>
    <s v="Epson Ink Cartridge T6642 Cyan"/>
    <x v="33"/>
    <n v="480"/>
    <m/>
    <m/>
    <m/>
    <n v="6"/>
    <n v="2"/>
    <n v="2"/>
    <n v="2"/>
    <n v="6"/>
    <n v="2"/>
    <n v="2"/>
    <n v="2"/>
    <n v="6"/>
    <n v="2"/>
    <n v="2"/>
    <n v="2"/>
    <n v="6"/>
    <n v="2"/>
    <n v="2"/>
    <n v="2"/>
    <x v="56"/>
    <x v="17"/>
    <m/>
  </r>
  <r>
    <e v="#NAME?"/>
    <s v="Epson Ink Cartridge T6643 Magenta"/>
    <x v="33"/>
    <n v="480"/>
    <m/>
    <m/>
    <m/>
    <n v="6"/>
    <n v="2"/>
    <n v="2"/>
    <n v="2"/>
    <n v="3"/>
    <n v="2"/>
    <n v="2"/>
    <n v="2"/>
    <n v="3"/>
    <n v="2"/>
    <n v="2"/>
    <n v="2"/>
    <n v="3"/>
    <n v="2"/>
    <n v="2"/>
    <n v="2"/>
    <x v="56"/>
    <x v="18"/>
    <m/>
  </r>
  <r>
    <e v="#NAME?"/>
    <s v="Epson Ink Cartridge T6644 Yellow"/>
    <x v="33"/>
    <n v="480"/>
    <m/>
    <m/>
    <m/>
    <n v="6"/>
    <n v="2"/>
    <n v="2"/>
    <n v="2"/>
    <n v="6"/>
    <n v="2"/>
    <n v="2"/>
    <n v="2"/>
    <n v="6"/>
    <n v="2"/>
    <n v="2"/>
    <n v="2"/>
    <n v="6"/>
    <n v="2"/>
    <n v="2"/>
    <n v="2"/>
    <x v="56"/>
    <x v="19"/>
    <m/>
  </r>
  <r>
    <e v="#NAME?"/>
    <s v="Keyboard, Full Size, USB 2.0"/>
    <x v="1"/>
    <s v="pc"/>
    <m/>
    <m/>
    <m/>
    <n v="1"/>
    <n v="1"/>
    <m/>
    <m/>
    <n v="0"/>
    <m/>
    <m/>
    <m/>
    <n v="1"/>
    <n v="1"/>
    <m/>
    <m/>
    <n v="0"/>
    <m/>
    <m/>
    <m/>
    <x v="57"/>
    <x v="13"/>
    <m/>
  </r>
  <r>
    <e v="#NAME?"/>
    <s v="Mouse, Optical, USB 2.0"/>
    <x v="1"/>
    <s v="pc"/>
    <m/>
    <m/>
    <m/>
    <n v="1"/>
    <n v="1"/>
    <m/>
    <m/>
    <n v="0"/>
    <m/>
    <m/>
    <m/>
    <n v="1"/>
    <n v="1"/>
    <m/>
    <m/>
    <n v="0"/>
    <m/>
    <m/>
    <m/>
    <x v="57"/>
    <x v="14"/>
    <m/>
  </r>
  <r>
    <e v="#NAME?"/>
    <s v="Multi-function inkjet printer Tank (print, copy, scan)"/>
    <x v="0"/>
    <s v="pc"/>
    <m/>
    <m/>
    <m/>
    <n v="1"/>
    <n v="1"/>
    <m/>
    <m/>
    <n v="0"/>
    <m/>
    <m/>
    <m/>
    <n v="0"/>
    <m/>
    <m/>
    <m/>
    <n v="0"/>
    <m/>
    <m/>
    <m/>
    <x v="57"/>
    <x v="15"/>
    <s v="Printer"/>
  </r>
  <r>
    <e v="#NAME?"/>
    <s v="UPS, 625va, 325 Watts"/>
    <x v="1"/>
    <s v="pc"/>
    <m/>
    <m/>
    <m/>
    <n v="1"/>
    <n v="1"/>
    <m/>
    <m/>
    <n v="0"/>
    <m/>
    <m/>
    <m/>
    <n v="1"/>
    <n v="1"/>
    <m/>
    <m/>
    <n v="0"/>
    <m/>
    <m/>
    <m/>
    <x v="57"/>
    <x v="3"/>
    <m/>
  </r>
  <r>
    <e v="#NAME?"/>
    <s v="AVR 500 Watts, 220 Volts"/>
    <x v="0"/>
    <s v="pc"/>
    <m/>
    <m/>
    <m/>
    <n v="1"/>
    <n v="1"/>
    <m/>
    <m/>
    <n v="0"/>
    <m/>
    <m/>
    <m/>
    <n v="0"/>
    <m/>
    <m/>
    <m/>
    <n v="0"/>
    <m/>
    <m/>
    <m/>
    <x v="57"/>
    <x v="5"/>
    <s v="N/A"/>
  </r>
  <r>
    <e v="#NAME?"/>
    <s v="Epson LQ-310 Dot Matrix printer"/>
    <x v="1"/>
    <s v="UNIT"/>
    <m/>
    <m/>
    <m/>
    <n v="1"/>
    <n v="1"/>
    <m/>
    <m/>
    <n v="0"/>
    <m/>
    <m/>
    <m/>
    <n v="1"/>
    <n v="1"/>
    <m/>
    <m/>
    <n v="0"/>
    <m/>
    <m/>
    <m/>
    <x v="57"/>
    <x v="1"/>
    <m/>
  </r>
  <r>
    <e v="#NAME?"/>
    <s v="Computer Monitor"/>
    <x v="1"/>
    <s v="pc"/>
    <m/>
    <m/>
    <m/>
    <n v="1"/>
    <n v="1"/>
    <m/>
    <m/>
    <n v="0"/>
    <m/>
    <m/>
    <m/>
    <n v="1"/>
    <n v="1"/>
    <m/>
    <m/>
    <n v="0"/>
    <m/>
    <m/>
    <m/>
    <x v="57"/>
    <x v="87"/>
    <m/>
  </r>
  <r>
    <e v="#NAME?"/>
    <s v="EPSON L1250 ECO TANK PRINTER"/>
    <x v="1"/>
    <s v="pc"/>
    <m/>
    <m/>
    <m/>
    <n v="1"/>
    <n v="1"/>
    <m/>
    <m/>
    <n v="0"/>
    <m/>
    <m/>
    <m/>
    <n v="1"/>
    <n v="1"/>
    <m/>
    <m/>
    <n v="0"/>
    <m/>
    <m/>
    <m/>
    <x v="57"/>
    <x v="5"/>
    <m/>
  </r>
  <r>
    <e v="#NAME?"/>
    <s v="Analog Telephone Handset compatible to existing PABX"/>
    <x v="0"/>
    <s v="pc"/>
    <m/>
    <m/>
    <m/>
    <n v="1"/>
    <n v="1"/>
    <m/>
    <m/>
    <n v="0"/>
    <m/>
    <m/>
    <m/>
    <n v="0"/>
    <m/>
    <m/>
    <m/>
    <n v="0"/>
    <m/>
    <m/>
    <m/>
    <x v="57"/>
    <x v="52"/>
    <m/>
  </r>
  <r>
    <e v="#NAME?"/>
    <s v="Keyboard, Full Size, USB 2.0"/>
    <x v="1"/>
    <s v="pc"/>
    <m/>
    <m/>
    <m/>
    <n v="1"/>
    <n v="1"/>
    <m/>
    <m/>
    <n v="0"/>
    <m/>
    <m/>
    <m/>
    <n v="1"/>
    <n v="1"/>
    <m/>
    <m/>
    <n v="0"/>
    <m/>
    <m/>
    <m/>
    <x v="58"/>
    <x v="13"/>
    <m/>
  </r>
  <r>
    <e v="#NAME?"/>
    <s v="Mouse, Optical, USB 2.0"/>
    <x v="1"/>
    <s v="pc"/>
    <m/>
    <m/>
    <m/>
    <n v="1"/>
    <n v="1"/>
    <m/>
    <m/>
    <n v="0"/>
    <m/>
    <m/>
    <m/>
    <n v="1"/>
    <n v="1"/>
    <m/>
    <m/>
    <n v="0"/>
    <m/>
    <m/>
    <m/>
    <x v="58"/>
    <x v="14"/>
    <m/>
  </r>
  <r>
    <e v="#NAME?"/>
    <s v="Multi-function inkjet printer Tank (print, copy, scan)"/>
    <x v="0"/>
    <s v="pc"/>
    <m/>
    <m/>
    <m/>
    <n v="1"/>
    <n v="1"/>
    <m/>
    <m/>
    <n v="0"/>
    <m/>
    <m/>
    <m/>
    <n v="0"/>
    <m/>
    <m/>
    <m/>
    <n v="0"/>
    <m/>
    <m/>
    <m/>
    <x v="58"/>
    <x v="15"/>
    <s v="Printer"/>
  </r>
  <r>
    <e v="#NAME?"/>
    <s v="UPS, 625va, 325 Watts"/>
    <x v="1"/>
    <s v="pc"/>
    <m/>
    <m/>
    <m/>
    <n v="1"/>
    <n v="1"/>
    <m/>
    <m/>
    <n v="0"/>
    <m/>
    <m/>
    <m/>
    <n v="1"/>
    <n v="1"/>
    <m/>
    <m/>
    <n v="0"/>
    <m/>
    <m/>
    <m/>
    <x v="58"/>
    <x v="3"/>
    <m/>
  </r>
  <r>
    <e v="#NAME?"/>
    <s v="AVR 500 Watts, 220 Volts"/>
    <x v="0"/>
    <s v="pc"/>
    <m/>
    <m/>
    <m/>
    <n v="1"/>
    <n v="1"/>
    <m/>
    <m/>
    <n v="0"/>
    <m/>
    <m/>
    <m/>
    <n v="0"/>
    <m/>
    <m/>
    <m/>
    <n v="0"/>
    <m/>
    <m/>
    <m/>
    <x v="58"/>
    <x v="5"/>
    <s v="N/A"/>
  </r>
  <r>
    <e v="#NAME?"/>
    <s v="Epson LQ-310 Dot Matrix printer"/>
    <x v="1"/>
    <s v="UNIT"/>
    <m/>
    <m/>
    <m/>
    <n v="1"/>
    <n v="1"/>
    <m/>
    <m/>
    <n v="0"/>
    <m/>
    <m/>
    <m/>
    <n v="1"/>
    <n v="1"/>
    <m/>
    <m/>
    <n v="0"/>
    <m/>
    <m/>
    <m/>
    <x v="58"/>
    <x v="1"/>
    <m/>
  </r>
  <r>
    <e v="#NAME?"/>
    <s v="Computer Monitor"/>
    <x v="1"/>
    <s v="pc"/>
    <m/>
    <m/>
    <m/>
    <n v="1"/>
    <n v="1"/>
    <m/>
    <m/>
    <n v="0"/>
    <m/>
    <m/>
    <m/>
    <n v="1"/>
    <n v="1"/>
    <m/>
    <m/>
    <n v="0"/>
    <m/>
    <m/>
    <m/>
    <x v="58"/>
    <x v="87"/>
    <m/>
  </r>
  <r>
    <e v="#NAME?"/>
    <s v="EPSON L1250 ECO TANK PRINTER"/>
    <x v="1"/>
    <s v="pc"/>
    <m/>
    <m/>
    <m/>
    <n v="1"/>
    <n v="1"/>
    <m/>
    <m/>
    <n v="0"/>
    <m/>
    <m/>
    <m/>
    <n v="1"/>
    <n v="1"/>
    <m/>
    <m/>
    <n v="0"/>
    <m/>
    <m/>
    <m/>
    <x v="58"/>
    <x v="5"/>
    <s v="N/A"/>
  </r>
  <r>
    <e v="#NAME?"/>
    <s v="Analog Telephone Handset compatible to existing PABX"/>
    <x v="0"/>
    <s v="pc"/>
    <m/>
    <m/>
    <m/>
    <n v="1"/>
    <n v="1"/>
    <m/>
    <m/>
    <n v="0"/>
    <m/>
    <m/>
    <m/>
    <n v="0"/>
    <m/>
    <m/>
    <m/>
    <n v="0"/>
    <m/>
    <m/>
    <m/>
    <x v="58"/>
    <x v="52"/>
    <m/>
  </r>
  <r>
    <e v="#NAME?"/>
    <s v="Keyboard, Full Size, USB 2.0"/>
    <x v="1"/>
    <s v="pc"/>
    <m/>
    <m/>
    <m/>
    <n v="1"/>
    <n v="1"/>
    <m/>
    <m/>
    <n v="0"/>
    <m/>
    <m/>
    <m/>
    <n v="1"/>
    <n v="1"/>
    <m/>
    <m/>
    <n v="0"/>
    <m/>
    <m/>
    <m/>
    <x v="59"/>
    <x v="13"/>
    <m/>
  </r>
  <r>
    <e v="#NAME?"/>
    <s v="Mouse, Optical, USB 2.0"/>
    <x v="1"/>
    <s v="pc"/>
    <m/>
    <m/>
    <m/>
    <n v="1"/>
    <n v="1"/>
    <m/>
    <m/>
    <n v="0"/>
    <m/>
    <m/>
    <m/>
    <n v="1"/>
    <n v="1"/>
    <m/>
    <m/>
    <n v="0"/>
    <m/>
    <m/>
    <m/>
    <x v="59"/>
    <x v="14"/>
    <m/>
  </r>
  <r>
    <e v="#NAME?"/>
    <s v="Multi-function inkjet printer Tank (print, copy, scan)"/>
    <x v="0"/>
    <s v="pc"/>
    <m/>
    <m/>
    <m/>
    <n v="1"/>
    <n v="1"/>
    <m/>
    <m/>
    <n v="0"/>
    <m/>
    <m/>
    <m/>
    <n v="0"/>
    <m/>
    <m/>
    <m/>
    <n v="0"/>
    <m/>
    <m/>
    <m/>
    <x v="59"/>
    <x v="15"/>
    <s v="Printer"/>
  </r>
  <r>
    <e v="#NAME?"/>
    <s v="UPS, 625va, 325 Watts"/>
    <x v="1"/>
    <s v="pc"/>
    <m/>
    <m/>
    <m/>
    <n v="1"/>
    <n v="1"/>
    <m/>
    <m/>
    <n v="0"/>
    <m/>
    <m/>
    <m/>
    <n v="1"/>
    <n v="1"/>
    <m/>
    <m/>
    <n v="0"/>
    <m/>
    <m/>
    <m/>
    <x v="59"/>
    <x v="3"/>
    <m/>
  </r>
  <r>
    <e v="#NAME?"/>
    <s v="AVR 500 Watts, 220 Volts"/>
    <x v="0"/>
    <s v="pc"/>
    <m/>
    <m/>
    <m/>
    <n v="1"/>
    <n v="1"/>
    <m/>
    <m/>
    <n v="0"/>
    <m/>
    <m/>
    <m/>
    <n v="0"/>
    <m/>
    <m/>
    <m/>
    <n v="0"/>
    <m/>
    <m/>
    <m/>
    <x v="59"/>
    <x v="5"/>
    <s v="N/A"/>
  </r>
  <r>
    <e v="#NAME?"/>
    <s v="Epson LQ-310 Dot Matrix printer"/>
    <x v="1"/>
    <s v="UNIT"/>
    <m/>
    <m/>
    <m/>
    <n v="1"/>
    <n v="1"/>
    <m/>
    <m/>
    <n v="0"/>
    <m/>
    <m/>
    <m/>
    <n v="1"/>
    <n v="1"/>
    <m/>
    <m/>
    <n v="0"/>
    <m/>
    <m/>
    <m/>
    <x v="59"/>
    <x v="1"/>
    <m/>
  </r>
  <r>
    <e v="#NAME?"/>
    <s v="Computer Monitor"/>
    <x v="1"/>
    <s v="pc"/>
    <m/>
    <m/>
    <m/>
    <n v="1"/>
    <n v="1"/>
    <m/>
    <m/>
    <n v="0"/>
    <m/>
    <m/>
    <m/>
    <n v="1"/>
    <n v="1"/>
    <m/>
    <m/>
    <n v="0"/>
    <m/>
    <m/>
    <m/>
    <x v="59"/>
    <x v="87"/>
    <m/>
  </r>
  <r>
    <e v="#NAME?"/>
    <s v="EPSON L1250 ECO TANK PRINTER"/>
    <x v="1"/>
    <s v="pc"/>
    <m/>
    <m/>
    <m/>
    <n v="1"/>
    <n v="1"/>
    <m/>
    <m/>
    <n v="0"/>
    <m/>
    <m/>
    <m/>
    <n v="1"/>
    <n v="1"/>
    <m/>
    <m/>
    <n v="0"/>
    <m/>
    <m/>
    <m/>
    <x v="59"/>
    <x v="5"/>
    <m/>
  </r>
  <r>
    <e v="#NAME?"/>
    <s v="Analog Telephone Handset compatible to existing PABX"/>
    <x v="0"/>
    <s v="pc"/>
    <m/>
    <m/>
    <m/>
    <n v="1"/>
    <n v="1"/>
    <m/>
    <m/>
    <n v="0"/>
    <m/>
    <m/>
    <m/>
    <n v="0"/>
    <m/>
    <m/>
    <m/>
    <n v="0"/>
    <m/>
    <m/>
    <m/>
    <x v="59"/>
    <x v="52"/>
    <m/>
  </r>
  <r>
    <e v="#NAME?"/>
    <s v="Keyboard, Full Size, USB 2.0"/>
    <x v="1"/>
    <s v="pc"/>
    <m/>
    <m/>
    <m/>
    <n v="1"/>
    <n v="1"/>
    <m/>
    <m/>
    <n v="0"/>
    <m/>
    <m/>
    <m/>
    <n v="1"/>
    <n v="1"/>
    <m/>
    <m/>
    <n v="0"/>
    <m/>
    <m/>
    <m/>
    <x v="60"/>
    <x v="13"/>
    <m/>
  </r>
  <r>
    <e v="#NAME?"/>
    <s v="Mouse, Optical, USB 2.0"/>
    <x v="1"/>
    <s v="pc"/>
    <m/>
    <m/>
    <m/>
    <n v="1"/>
    <n v="1"/>
    <m/>
    <m/>
    <n v="0"/>
    <m/>
    <m/>
    <m/>
    <n v="1"/>
    <n v="1"/>
    <m/>
    <m/>
    <n v="0"/>
    <m/>
    <m/>
    <m/>
    <x v="60"/>
    <x v="14"/>
    <m/>
  </r>
  <r>
    <e v="#NAME?"/>
    <s v="Multi-function inkjet printer Tank (print, copy, scan)"/>
    <x v="0"/>
    <s v="pc"/>
    <m/>
    <m/>
    <m/>
    <n v="1"/>
    <n v="1"/>
    <m/>
    <m/>
    <n v="0"/>
    <m/>
    <m/>
    <m/>
    <n v="0"/>
    <m/>
    <m/>
    <m/>
    <n v="0"/>
    <m/>
    <m/>
    <m/>
    <x v="60"/>
    <x v="15"/>
    <s v="Printer"/>
  </r>
  <r>
    <e v="#NAME?"/>
    <s v="UPS, 625va, 325 Watts"/>
    <x v="1"/>
    <s v="pc"/>
    <m/>
    <m/>
    <m/>
    <n v="1"/>
    <n v="1"/>
    <m/>
    <m/>
    <n v="0"/>
    <m/>
    <m/>
    <m/>
    <n v="1"/>
    <n v="1"/>
    <m/>
    <m/>
    <n v="0"/>
    <m/>
    <m/>
    <m/>
    <x v="60"/>
    <x v="3"/>
    <m/>
  </r>
  <r>
    <e v="#NAME?"/>
    <s v="AVR 500 Watts, 220 Volts"/>
    <x v="0"/>
    <s v="pc"/>
    <m/>
    <m/>
    <m/>
    <n v="1"/>
    <n v="1"/>
    <m/>
    <m/>
    <n v="0"/>
    <m/>
    <m/>
    <m/>
    <n v="0"/>
    <m/>
    <m/>
    <m/>
    <n v="0"/>
    <m/>
    <m/>
    <m/>
    <x v="60"/>
    <x v="5"/>
    <s v="N/A"/>
  </r>
  <r>
    <e v="#NAME?"/>
    <s v="Epson LQ-310 Dot Matrix printer"/>
    <x v="1"/>
    <s v="UNIT"/>
    <m/>
    <m/>
    <m/>
    <n v="1"/>
    <n v="1"/>
    <m/>
    <m/>
    <n v="0"/>
    <m/>
    <m/>
    <m/>
    <n v="1"/>
    <n v="1"/>
    <m/>
    <m/>
    <n v="0"/>
    <m/>
    <m/>
    <m/>
    <x v="60"/>
    <x v="1"/>
    <m/>
  </r>
  <r>
    <e v="#NAME?"/>
    <s v="Computer Monitor"/>
    <x v="1"/>
    <s v="pc"/>
    <m/>
    <m/>
    <m/>
    <n v="1"/>
    <n v="1"/>
    <m/>
    <m/>
    <n v="0"/>
    <m/>
    <m/>
    <m/>
    <n v="1"/>
    <n v="1"/>
    <m/>
    <m/>
    <n v="0"/>
    <m/>
    <m/>
    <m/>
    <x v="60"/>
    <x v="87"/>
    <m/>
  </r>
  <r>
    <e v="#NAME?"/>
    <s v="EPSON L1250 ECO TANK PRINTER"/>
    <x v="1"/>
    <s v="pc"/>
    <m/>
    <m/>
    <m/>
    <n v="1"/>
    <n v="1"/>
    <m/>
    <m/>
    <n v="0"/>
    <m/>
    <m/>
    <m/>
    <n v="1"/>
    <n v="1"/>
    <m/>
    <m/>
    <n v="0"/>
    <m/>
    <m/>
    <m/>
    <x v="60"/>
    <x v="5"/>
    <m/>
  </r>
  <r>
    <e v="#NAME?"/>
    <s v="Analog Telephone Handset compatible to existing PABX"/>
    <x v="0"/>
    <s v="pc"/>
    <m/>
    <m/>
    <m/>
    <n v="1"/>
    <n v="1"/>
    <m/>
    <m/>
    <n v="0"/>
    <m/>
    <m/>
    <m/>
    <n v="0"/>
    <m/>
    <m/>
    <m/>
    <n v="0"/>
    <m/>
    <m/>
    <m/>
    <x v="60"/>
    <x v="52"/>
    <m/>
  </r>
  <r>
    <e v="#NAME?"/>
    <s v="Keyboard, Full Size, USB 2.0"/>
    <x v="1"/>
    <s v="pc"/>
    <m/>
    <m/>
    <m/>
    <n v="1"/>
    <n v="1"/>
    <m/>
    <m/>
    <n v="0"/>
    <m/>
    <m/>
    <m/>
    <n v="1"/>
    <n v="1"/>
    <m/>
    <m/>
    <n v="0"/>
    <m/>
    <m/>
    <m/>
    <x v="61"/>
    <x v="13"/>
    <m/>
  </r>
  <r>
    <e v="#NAME?"/>
    <s v="Mouse, Optical, USB 2.0"/>
    <x v="1"/>
    <s v="pc"/>
    <m/>
    <m/>
    <m/>
    <n v="1"/>
    <n v="1"/>
    <m/>
    <m/>
    <n v="0"/>
    <m/>
    <m/>
    <m/>
    <n v="1"/>
    <n v="1"/>
    <m/>
    <m/>
    <n v="0"/>
    <m/>
    <m/>
    <m/>
    <x v="61"/>
    <x v="14"/>
    <m/>
  </r>
  <r>
    <e v="#NAME?"/>
    <s v="Multi-function inkjet printer Tank (print, copy, scan)"/>
    <x v="0"/>
    <s v="pc"/>
    <m/>
    <m/>
    <m/>
    <n v="1"/>
    <n v="1"/>
    <m/>
    <m/>
    <n v="0"/>
    <m/>
    <m/>
    <m/>
    <n v="0"/>
    <m/>
    <m/>
    <m/>
    <n v="0"/>
    <m/>
    <m/>
    <m/>
    <x v="61"/>
    <x v="15"/>
    <s v="Printer"/>
  </r>
  <r>
    <e v="#NAME?"/>
    <s v="UPS, 625va, 325 Watts"/>
    <x v="1"/>
    <s v="pc"/>
    <m/>
    <m/>
    <m/>
    <n v="1"/>
    <n v="1"/>
    <m/>
    <m/>
    <n v="0"/>
    <m/>
    <m/>
    <m/>
    <n v="1"/>
    <n v="1"/>
    <m/>
    <m/>
    <n v="0"/>
    <m/>
    <m/>
    <m/>
    <x v="61"/>
    <x v="3"/>
    <m/>
  </r>
  <r>
    <e v="#NAME?"/>
    <s v="AVR 500 Watts, 220 Volts"/>
    <x v="0"/>
    <s v="pc"/>
    <m/>
    <m/>
    <m/>
    <n v="1"/>
    <n v="1"/>
    <m/>
    <m/>
    <n v="0"/>
    <m/>
    <m/>
    <m/>
    <n v="0"/>
    <m/>
    <m/>
    <m/>
    <n v="0"/>
    <m/>
    <m/>
    <m/>
    <x v="61"/>
    <x v="5"/>
    <s v="N/A"/>
  </r>
  <r>
    <e v="#NAME?"/>
    <s v="Epson LQ-310 Dot Matrix printer"/>
    <x v="1"/>
    <s v="UNIT"/>
    <m/>
    <m/>
    <m/>
    <n v="1"/>
    <n v="1"/>
    <m/>
    <m/>
    <n v="0"/>
    <m/>
    <m/>
    <m/>
    <n v="1"/>
    <n v="1"/>
    <m/>
    <m/>
    <n v="0"/>
    <m/>
    <m/>
    <m/>
    <x v="61"/>
    <x v="1"/>
    <m/>
  </r>
  <r>
    <e v="#NAME?"/>
    <s v="Computer Monitor"/>
    <x v="1"/>
    <s v="pc"/>
    <m/>
    <m/>
    <m/>
    <n v="1"/>
    <n v="1"/>
    <m/>
    <m/>
    <n v="0"/>
    <m/>
    <m/>
    <m/>
    <n v="1"/>
    <n v="1"/>
    <m/>
    <m/>
    <n v="0"/>
    <m/>
    <m/>
    <m/>
    <x v="61"/>
    <x v="87"/>
    <m/>
  </r>
  <r>
    <e v="#NAME?"/>
    <s v="EPSON L1250 ECO TANK PRINTER"/>
    <x v="1"/>
    <s v="pc"/>
    <m/>
    <m/>
    <m/>
    <n v="1"/>
    <n v="1"/>
    <m/>
    <m/>
    <n v="0"/>
    <m/>
    <m/>
    <m/>
    <n v="1"/>
    <n v="1"/>
    <m/>
    <m/>
    <n v="0"/>
    <m/>
    <m/>
    <m/>
    <x v="61"/>
    <x v="5"/>
    <m/>
  </r>
  <r>
    <e v="#NAME?"/>
    <s v="Analog Telephone Handset compatible to existing PABX"/>
    <x v="0"/>
    <s v="pc"/>
    <m/>
    <m/>
    <m/>
    <n v="1"/>
    <n v="1"/>
    <m/>
    <m/>
    <n v="0"/>
    <m/>
    <m/>
    <m/>
    <n v="0"/>
    <m/>
    <m/>
    <m/>
    <n v="0"/>
    <m/>
    <m/>
    <m/>
    <x v="61"/>
    <x v="52"/>
    <m/>
  </r>
  <r>
    <e v="#NAME?"/>
    <s v="Keyboard, Full Size, USB 2.0"/>
    <x v="1"/>
    <s v="pc"/>
    <m/>
    <m/>
    <m/>
    <n v="1"/>
    <n v="1"/>
    <m/>
    <m/>
    <n v="0"/>
    <m/>
    <m/>
    <m/>
    <n v="1"/>
    <n v="1"/>
    <m/>
    <m/>
    <n v="0"/>
    <m/>
    <m/>
    <m/>
    <x v="62"/>
    <x v="13"/>
    <m/>
  </r>
  <r>
    <e v="#NAME?"/>
    <s v="Mouse, Optical, USB 2.0"/>
    <x v="1"/>
    <s v="pc"/>
    <m/>
    <m/>
    <m/>
    <n v="1"/>
    <n v="1"/>
    <m/>
    <m/>
    <n v="0"/>
    <m/>
    <m/>
    <m/>
    <n v="1"/>
    <n v="1"/>
    <m/>
    <m/>
    <n v="0"/>
    <m/>
    <m/>
    <m/>
    <x v="62"/>
    <x v="14"/>
    <m/>
  </r>
  <r>
    <e v="#NAME?"/>
    <s v="Multi-function inkjet printer Tank (print, copy, scan)"/>
    <x v="0"/>
    <s v="pc"/>
    <m/>
    <m/>
    <m/>
    <n v="1"/>
    <n v="1"/>
    <m/>
    <m/>
    <n v="0"/>
    <m/>
    <m/>
    <m/>
    <n v="0"/>
    <m/>
    <m/>
    <m/>
    <n v="0"/>
    <m/>
    <m/>
    <m/>
    <x v="62"/>
    <x v="15"/>
    <s v="Printer"/>
  </r>
  <r>
    <e v="#NAME?"/>
    <s v="UPS, 625va, 325 Watts"/>
    <x v="1"/>
    <s v="pc"/>
    <m/>
    <m/>
    <m/>
    <n v="1"/>
    <n v="1"/>
    <m/>
    <m/>
    <n v="0"/>
    <m/>
    <m/>
    <m/>
    <n v="1"/>
    <n v="1"/>
    <m/>
    <m/>
    <n v="0"/>
    <m/>
    <m/>
    <m/>
    <x v="62"/>
    <x v="3"/>
    <m/>
  </r>
  <r>
    <e v="#NAME?"/>
    <s v="AVR 500 Watts, 220 Volts"/>
    <x v="0"/>
    <s v="pc"/>
    <m/>
    <m/>
    <m/>
    <n v="1"/>
    <n v="1"/>
    <m/>
    <m/>
    <n v="0"/>
    <m/>
    <m/>
    <m/>
    <n v="0"/>
    <m/>
    <m/>
    <m/>
    <n v="0"/>
    <m/>
    <m/>
    <m/>
    <x v="62"/>
    <x v="5"/>
    <s v="N/A"/>
  </r>
  <r>
    <e v="#NAME?"/>
    <s v="Epson LQ-310 Dot Matrix printer"/>
    <x v="1"/>
    <s v="UNIT"/>
    <m/>
    <m/>
    <m/>
    <n v="1"/>
    <n v="1"/>
    <m/>
    <m/>
    <n v="0"/>
    <m/>
    <m/>
    <m/>
    <n v="1"/>
    <n v="1"/>
    <m/>
    <m/>
    <n v="0"/>
    <m/>
    <m/>
    <m/>
    <x v="62"/>
    <x v="1"/>
    <m/>
  </r>
  <r>
    <e v="#NAME?"/>
    <s v="Computer Monitor"/>
    <x v="1"/>
    <s v="pc"/>
    <m/>
    <m/>
    <m/>
    <n v="1"/>
    <n v="1"/>
    <m/>
    <m/>
    <n v="0"/>
    <m/>
    <m/>
    <m/>
    <n v="1"/>
    <n v="1"/>
    <m/>
    <m/>
    <n v="0"/>
    <m/>
    <m/>
    <m/>
    <x v="62"/>
    <x v="87"/>
    <m/>
  </r>
  <r>
    <e v="#NAME?"/>
    <s v="EPSON L1250 ECO TANK PRINTER"/>
    <x v="1"/>
    <s v="pc"/>
    <m/>
    <m/>
    <m/>
    <n v="1"/>
    <n v="1"/>
    <m/>
    <m/>
    <n v="0"/>
    <m/>
    <m/>
    <m/>
    <n v="1"/>
    <n v="1"/>
    <m/>
    <m/>
    <n v="0"/>
    <m/>
    <m/>
    <m/>
    <x v="62"/>
    <x v="5"/>
    <m/>
  </r>
  <r>
    <e v="#NAME?"/>
    <s v="Analog Telephone Handset compatible to existing PABX"/>
    <x v="0"/>
    <s v="pc"/>
    <m/>
    <m/>
    <m/>
    <n v="1"/>
    <n v="1"/>
    <m/>
    <m/>
    <n v="0"/>
    <m/>
    <m/>
    <m/>
    <n v="0"/>
    <m/>
    <m/>
    <m/>
    <n v="0"/>
    <m/>
    <m/>
    <m/>
    <x v="62"/>
    <x v="52"/>
    <m/>
  </r>
  <r>
    <e v="#NAME?"/>
    <s v="Keyboard, Full Size, USB 2.0"/>
    <x v="1"/>
    <s v="pc"/>
    <m/>
    <m/>
    <m/>
    <n v="1"/>
    <n v="1"/>
    <m/>
    <m/>
    <n v="0"/>
    <m/>
    <m/>
    <m/>
    <n v="1"/>
    <n v="1"/>
    <m/>
    <m/>
    <n v="0"/>
    <m/>
    <m/>
    <m/>
    <x v="63"/>
    <x v="13"/>
    <m/>
  </r>
  <r>
    <e v="#NAME?"/>
    <s v="Mouse, Optical, USB 2.0"/>
    <x v="1"/>
    <s v="pc"/>
    <m/>
    <m/>
    <m/>
    <n v="1"/>
    <n v="1"/>
    <m/>
    <m/>
    <n v="0"/>
    <m/>
    <m/>
    <m/>
    <n v="1"/>
    <n v="1"/>
    <m/>
    <m/>
    <n v="0"/>
    <m/>
    <m/>
    <m/>
    <x v="63"/>
    <x v="14"/>
    <m/>
  </r>
  <r>
    <e v="#NAME?"/>
    <s v="Multi-function inkjet printer Tank (print, copy, scan)"/>
    <x v="0"/>
    <s v="pc"/>
    <m/>
    <m/>
    <m/>
    <n v="1"/>
    <n v="1"/>
    <m/>
    <m/>
    <n v="0"/>
    <m/>
    <m/>
    <m/>
    <n v="0"/>
    <m/>
    <m/>
    <m/>
    <n v="0"/>
    <m/>
    <m/>
    <m/>
    <x v="63"/>
    <x v="15"/>
    <s v="Printer"/>
  </r>
  <r>
    <e v="#NAME?"/>
    <s v="UPS, 625va, 325 Watts"/>
    <x v="1"/>
    <s v="pc"/>
    <m/>
    <m/>
    <m/>
    <n v="1"/>
    <n v="1"/>
    <m/>
    <m/>
    <n v="0"/>
    <m/>
    <m/>
    <m/>
    <n v="1"/>
    <n v="1"/>
    <m/>
    <m/>
    <n v="0"/>
    <m/>
    <m/>
    <m/>
    <x v="63"/>
    <x v="3"/>
    <m/>
  </r>
  <r>
    <e v="#NAME?"/>
    <s v="AVR 500 Watts, 220 Volts"/>
    <x v="0"/>
    <s v="pc"/>
    <m/>
    <m/>
    <m/>
    <n v="1"/>
    <n v="1"/>
    <m/>
    <m/>
    <n v="0"/>
    <m/>
    <m/>
    <m/>
    <n v="0"/>
    <m/>
    <m/>
    <m/>
    <n v="0"/>
    <m/>
    <m/>
    <m/>
    <x v="63"/>
    <x v="5"/>
    <s v="N/A"/>
  </r>
  <r>
    <e v="#NAME?"/>
    <s v="Epson LQ-310 Dot Matrix printer"/>
    <x v="1"/>
    <s v="UNIT"/>
    <m/>
    <m/>
    <m/>
    <n v="1"/>
    <n v="1"/>
    <m/>
    <m/>
    <n v="0"/>
    <m/>
    <m/>
    <m/>
    <n v="1"/>
    <n v="1"/>
    <m/>
    <m/>
    <n v="0"/>
    <m/>
    <m/>
    <m/>
    <x v="63"/>
    <x v="1"/>
    <m/>
  </r>
  <r>
    <e v="#NAME?"/>
    <s v="Computer Monitor"/>
    <x v="1"/>
    <s v="pc"/>
    <m/>
    <m/>
    <m/>
    <n v="1"/>
    <n v="1"/>
    <m/>
    <m/>
    <n v="0"/>
    <m/>
    <m/>
    <m/>
    <n v="1"/>
    <n v="1"/>
    <m/>
    <m/>
    <n v="0"/>
    <m/>
    <m/>
    <m/>
    <x v="63"/>
    <x v="87"/>
    <m/>
  </r>
  <r>
    <e v="#NAME?"/>
    <s v="EPSON L1250 ECO TANK PRINTER"/>
    <x v="1"/>
    <s v="pc"/>
    <m/>
    <m/>
    <m/>
    <n v="1"/>
    <n v="1"/>
    <m/>
    <m/>
    <n v="0"/>
    <m/>
    <m/>
    <m/>
    <n v="1"/>
    <n v="1"/>
    <m/>
    <m/>
    <n v="0"/>
    <m/>
    <m/>
    <m/>
    <x v="63"/>
    <x v="5"/>
    <m/>
  </r>
  <r>
    <e v="#NAME?"/>
    <s v="Analog Telephone Handset compatible to existing PABX"/>
    <x v="0"/>
    <s v="pc"/>
    <m/>
    <m/>
    <m/>
    <n v="1"/>
    <n v="1"/>
    <m/>
    <m/>
    <n v="0"/>
    <m/>
    <m/>
    <m/>
    <n v="0"/>
    <m/>
    <m/>
    <m/>
    <n v="0"/>
    <m/>
    <m/>
    <m/>
    <x v="63"/>
    <x v="52"/>
    <m/>
  </r>
  <r>
    <e v="#NAME?"/>
    <s v="Keyboard, Full Size, USB 2.0"/>
    <x v="1"/>
    <s v="pc"/>
    <m/>
    <m/>
    <m/>
    <n v="1"/>
    <n v="1"/>
    <m/>
    <m/>
    <n v="0"/>
    <m/>
    <m/>
    <m/>
    <n v="1"/>
    <n v="1"/>
    <m/>
    <m/>
    <n v="0"/>
    <m/>
    <m/>
    <m/>
    <x v="64"/>
    <x v="13"/>
    <m/>
  </r>
  <r>
    <e v="#NAME?"/>
    <s v="Mouse, Optical, USB 2.0"/>
    <x v="1"/>
    <s v="pc"/>
    <m/>
    <m/>
    <m/>
    <n v="1"/>
    <n v="1"/>
    <m/>
    <m/>
    <n v="0"/>
    <m/>
    <m/>
    <m/>
    <n v="1"/>
    <n v="1"/>
    <m/>
    <m/>
    <n v="0"/>
    <m/>
    <m/>
    <m/>
    <x v="64"/>
    <x v="14"/>
    <m/>
  </r>
  <r>
    <e v="#NAME?"/>
    <s v="Multi-function inkjet printer Tank (print, copy, scan)"/>
    <x v="0"/>
    <s v="pc"/>
    <m/>
    <m/>
    <m/>
    <n v="1"/>
    <n v="1"/>
    <m/>
    <m/>
    <n v="0"/>
    <m/>
    <m/>
    <m/>
    <n v="0"/>
    <m/>
    <m/>
    <m/>
    <n v="0"/>
    <m/>
    <m/>
    <m/>
    <x v="64"/>
    <x v="15"/>
    <s v="Printer"/>
  </r>
  <r>
    <e v="#NAME?"/>
    <s v="UPS, 625va, 325 Watts"/>
    <x v="1"/>
    <s v="pc"/>
    <m/>
    <m/>
    <m/>
    <n v="1"/>
    <n v="1"/>
    <m/>
    <m/>
    <n v="0"/>
    <m/>
    <m/>
    <m/>
    <n v="1"/>
    <n v="1"/>
    <m/>
    <m/>
    <n v="0"/>
    <m/>
    <m/>
    <m/>
    <x v="64"/>
    <x v="3"/>
    <m/>
  </r>
  <r>
    <e v="#NAME?"/>
    <s v="AVR 500 Watts, 220 Volts"/>
    <x v="0"/>
    <s v="pc"/>
    <m/>
    <m/>
    <m/>
    <n v="1"/>
    <n v="1"/>
    <m/>
    <m/>
    <n v="0"/>
    <m/>
    <m/>
    <m/>
    <n v="0"/>
    <m/>
    <m/>
    <m/>
    <n v="0"/>
    <m/>
    <m/>
    <m/>
    <x v="64"/>
    <x v="5"/>
    <s v="N/A"/>
  </r>
  <r>
    <e v="#NAME?"/>
    <s v="Epson LQ-310 Dot Matrix printer"/>
    <x v="1"/>
    <s v="UNIT"/>
    <m/>
    <m/>
    <m/>
    <n v="1"/>
    <n v="1"/>
    <m/>
    <m/>
    <n v="0"/>
    <m/>
    <m/>
    <m/>
    <n v="1"/>
    <n v="1"/>
    <m/>
    <m/>
    <n v="0"/>
    <m/>
    <m/>
    <m/>
    <x v="64"/>
    <x v="1"/>
    <m/>
  </r>
  <r>
    <e v="#NAME?"/>
    <s v="Computer Monitor"/>
    <x v="1"/>
    <s v="pc"/>
    <m/>
    <m/>
    <m/>
    <n v="1"/>
    <n v="1"/>
    <m/>
    <m/>
    <n v="0"/>
    <m/>
    <m/>
    <m/>
    <n v="1"/>
    <n v="1"/>
    <m/>
    <m/>
    <n v="0"/>
    <m/>
    <m/>
    <m/>
    <x v="64"/>
    <x v="87"/>
    <m/>
  </r>
  <r>
    <e v="#NAME?"/>
    <s v="EPSON L1250 ECO TANK PRINTER"/>
    <x v="1"/>
    <s v="pc"/>
    <m/>
    <m/>
    <m/>
    <n v="1"/>
    <n v="1"/>
    <m/>
    <m/>
    <n v="0"/>
    <m/>
    <m/>
    <m/>
    <n v="1"/>
    <n v="1"/>
    <m/>
    <m/>
    <n v="0"/>
    <m/>
    <m/>
    <m/>
    <x v="64"/>
    <x v="5"/>
    <m/>
  </r>
  <r>
    <e v="#NAME?"/>
    <s v="Analog Telephone Handset compatible to existing PABX"/>
    <x v="0"/>
    <s v="pc"/>
    <m/>
    <m/>
    <m/>
    <n v="1"/>
    <n v="1"/>
    <m/>
    <m/>
    <n v="0"/>
    <m/>
    <m/>
    <m/>
    <n v="0"/>
    <m/>
    <m/>
    <m/>
    <n v="0"/>
    <m/>
    <m/>
    <m/>
    <x v="64"/>
    <x v="52"/>
    <m/>
  </r>
  <r>
    <e v="#NAME?"/>
    <s v="Keyboard, full size, USB 2.0"/>
    <x v="10"/>
    <s v="pc"/>
    <m/>
    <m/>
    <m/>
    <n v="2"/>
    <m/>
    <m/>
    <m/>
    <m/>
    <m/>
    <m/>
    <m/>
    <n v="2"/>
    <m/>
    <m/>
    <m/>
    <m/>
    <m/>
    <m/>
    <m/>
    <x v="65"/>
    <x v="13"/>
    <m/>
  </r>
  <r>
    <e v="#NAME?"/>
    <s v="Mouse, optical, Usb 2.0"/>
    <x v="11"/>
    <s v="pc"/>
    <m/>
    <m/>
    <m/>
    <n v="4"/>
    <m/>
    <m/>
    <m/>
    <m/>
    <m/>
    <m/>
    <m/>
    <n v="4"/>
    <m/>
    <m/>
    <m/>
    <m/>
    <m/>
    <m/>
    <m/>
    <x v="65"/>
    <x v="14"/>
    <m/>
  </r>
  <r>
    <e v="#NAME?"/>
    <s v="UPS, 625va, 325 watts, high quality"/>
    <x v="1"/>
    <s v="pc"/>
    <m/>
    <m/>
    <m/>
    <n v="1"/>
    <m/>
    <m/>
    <m/>
    <m/>
    <m/>
    <m/>
    <m/>
    <m/>
    <m/>
    <m/>
    <m/>
    <m/>
    <m/>
    <m/>
    <m/>
    <x v="65"/>
    <x v="3"/>
    <m/>
  </r>
  <r>
    <e v="#NAME?"/>
    <s v="Computer set, desk top"/>
    <x v="11"/>
    <s v="pc"/>
    <m/>
    <m/>
    <m/>
    <n v="8"/>
    <m/>
    <m/>
    <m/>
    <m/>
    <m/>
    <m/>
    <m/>
    <m/>
    <m/>
    <m/>
    <m/>
    <m/>
    <m/>
    <m/>
    <m/>
    <x v="65"/>
    <x v="0"/>
    <m/>
  </r>
  <r>
    <e v="#NAME?"/>
    <s v="CPU"/>
    <x v="10"/>
    <s v="pc"/>
    <m/>
    <m/>
    <m/>
    <n v="1"/>
    <m/>
    <m/>
    <m/>
    <m/>
    <m/>
    <m/>
    <m/>
    <m/>
    <m/>
    <m/>
    <m/>
    <m/>
    <m/>
    <m/>
    <m/>
    <x v="65"/>
    <x v="5"/>
    <s v="N/A"/>
  </r>
  <r>
    <e v="#NAME?"/>
    <s v="Printer, Multi Function (Print/Scan/Copy)"/>
    <x v="0"/>
    <s v="pc"/>
    <m/>
    <m/>
    <m/>
    <n v="1"/>
    <m/>
    <m/>
    <m/>
    <m/>
    <m/>
    <m/>
    <m/>
    <m/>
    <m/>
    <m/>
    <m/>
    <m/>
    <m/>
    <m/>
    <m/>
    <x v="65"/>
    <x v="15"/>
    <s v="Printer"/>
  </r>
  <r>
    <e v="#NAME?"/>
    <s v="AVR 500 Watts, 220 Volts"/>
    <x v="0"/>
    <s v="pc"/>
    <m/>
    <m/>
    <m/>
    <n v="1"/>
    <m/>
    <m/>
    <m/>
    <m/>
    <m/>
    <m/>
    <m/>
    <m/>
    <m/>
    <m/>
    <m/>
    <m/>
    <m/>
    <m/>
    <m/>
    <x v="65"/>
    <x v="5"/>
    <s v="N/A"/>
  </r>
  <r>
    <e v="#NAME?"/>
    <s v="Epson LQ-310 printer"/>
    <x v="0"/>
    <s v="pc"/>
    <m/>
    <m/>
    <m/>
    <n v="1"/>
    <m/>
    <m/>
    <m/>
    <m/>
    <m/>
    <m/>
    <m/>
    <m/>
    <m/>
    <m/>
    <m/>
    <m/>
    <m/>
    <m/>
    <m/>
    <x v="65"/>
    <x v="1"/>
    <m/>
  </r>
  <r>
    <e v="#NAME?"/>
    <s v="Analog Telephone Handset compatible to existing PABX"/>
    <x v="2"/>
    <s v="pc"/>
    <m/>
    <m/>
    <m/>
    <n v="3"/>
    <m/>
    <m/>
    <m/>
    <m/>
    <m/>
    <m/>
    <m/>
    <m/>
    <m/>
    <m/>
    <m/>
    <m/>
    <m/>
    <m/>
    <m/>
    <x v="65"/>
    <x v="52"/>
    <m/>
  </r>
  <r>
    <e v="#NAME?"/>
    <s v="EPSON L3210 ECO TANK PRINTER"/>
    <x v="0"/>
    <s v="pc"/>
    <m/>
    <m/>
    <m/>
    <m/>
    <n v="1"/>
    <s v="2nd week"/>
    <m/>
    <m/>
    <m/>
    <m/>
    <m/>
    <m/>
    <m/>
    <m/>
    <m/>
    <m/>
    <m/>
    <m/>
    <m/>
    <x v="66"/>
    <x v="5"/>
    <m/>
  </r>
  <r>
    <e v="#NAME?"/>
    <s v="Analog Telephone Handset compatible to existing PABX"/>
    <x v="0"/>
    <s v="pc"/>
    <m/>
    <m/>
    <m/>
    <m/>
    <n v="1"/>
    <s v="2nd week"/>
    <m/>
    <m/>
    <m/>
    <m/>
    <m/>
    <m/>
    <m/>
    <m/>
    <m/>
    <m/>
    <m/>
    <m/>
    <m/>
    <x v="66"/>
    <x v="5"/>
    <m/>
  </r>
  <r>
    <e v="#NAME?"/>
    <s v="Toner Kit for KYOCERA (TK-3165)"/>
    <x v="11"/>
    <s v="pc"/>
    <m/>
    <m/>
    <m/>
    <m/>
    <n v="3"/>
    <s v="2nd week"/>
    <m/>
    <m/>
    <n v="3"/>
    <s v="2nd week"/>
    <m/>
    <m/>
    <n v="1"/>
    <s v="2nd week"/>
    <m/>
    <m/>
    <n v="1"/>
    <s v="2nd week"/>
    <m/>
    <x v="66"/>
    <x v="5"/>
    <m/>
  </r>
  <r>
    <e v="#NAME?"/>
    <s v="A3 Full-Colour Digital Copier, Full-Colour Network Printer,&amp; Full-Colour Network Scanner"/>
    <x v="0"/>
    <s v="pc"/>
    <m/>
    <m/>
    <m/>
    <n v="1"/>
    <n v="1"/>
    <m/>
    <m/>
    <m/>
    <m/>
    <m/>
    <m/>
    <m/>
    <m/>
    <m/>
    <m/>
    <m/>
    <m/>
    <m/>
    <m/>
    <x v="67"/>
    <x v="88"/>
    <m/>
  </r>
  <r>
    <e v="#NAME?"/>
    <s v="Laptop"/>
    <x v="0"/>
    <s v="pc"/>
    <m/>
    <m/>
    <m/>
    <m/>
    <m/>
    <m/>
    <m/>
    <m/>
    <m/>
    <m/>
    <m/>
    <m/>
    <m/>
    <m/>
    <m/>
    <m/>
    <m/>
    <m/>
    <m/>
    <x v="16"/>
    <x v="40"/>
    <m/>
  </r>
  <r>
    <e v="#NAME?"/>
    <s v="Branded Desktop Set"/>
    <x v="16"/>
    <s v="set"/>
    <m/>
    <m/>
    <m/>
    <m/>
    <m/>
    <m/>
    <m/>
    <m/>
    <m/>
    <m/>
    <m/>
    <m/>
    <m/>
    <m/>
    <m/>
    <m/>
    <m/>
    <m/>
    <m/>
    <x v="16"/>
    <x v="89"/>
    <m/>
  </r>
  <r>
    <e v="#NAME?"/>
    <s v="Printer, Multi Function (Print/Scan/Copy)"/>
    <x v="2"/>
    <s v="pc"/>
    <m/>
    <m/>
    <m/>
    <m/>
    <m/>
    <m/>
    <m/>
    <m/>
    <m/>
    <m/>
    <m/>
    <m/>
    <m/>
    <m/>
    <m/>
    <m/>
    <m/>
    <m/>
    <m/>
    <x v="16"/>
    <x v="15"/>
    <m/>
  </r>
  <r>
    <e v="#NAME?"/>
    <s v="UPS, 625va, 325 Watts"/>
    <x v="10"/>
    <s v="pc"/>
    <m/>
    <m/>
    <m/>
    <m/>
    <m/>
    <m/>
    <m/>
    <m/>
    <m/>
    <m/>
    <m/>
    <m/>
    <m/>
    <m/>
    <m/>
    <m/>
    <m/>
    <m/>
    <m/>
    <x v="16"/>
    <x v="3"/>
    <m/>
  </r>
  <r>
    <e v="#NAME?"/>
    <s v="LCD Projector"/>
    <x v="0"/>
    <s v="UNIT"/>
    <m/>
    <m/>
    <m/>
    <m/>
    <m/>
    <m/>
    <m/>
    <m/>
    <m/>
    <m/>
    <m/>
    <m/>
    <m/>
    <m/>
    <m/>
    <m/>
    <m/>
    <m/>
    <m/>
    <x v="16"/>
    <x v="64"/>
    <m/>
  </r>
  <r>
    <e v="#NAME?"/>
    <s v="Speakers with mic"/>
    <x v="13"/>
    <m/>
    <m/>
    <m/>
    <m/>
    <m/>
    <m/>
    <m/>
    <m/>
    <m/>
    <m/>
    <m/>
    <m/>
    <m/>
    <m/>
    <m/>
    <m/>
    <m/>
    <m/>
    <m/>
    <m/>
    <x v="16"/>
    <x v="5"/>
    <s v="N/A"/>
  </r>
  <r>
    <e v="#NAME?"/>
    <s v="Hard drive 2TB"/>
    <x v="1"/>
    <s v="pc"/>
    <m/>
    <m/>
    <m/>
    <m/>
    <m/>
    <m/>
    <m/>
    <m/>
    <m/>
    <m/>
    <m/>
    <m/>
    <m/>
    <m/>
    <m/>
    <m/>
    <m/>
    <m/>
    <m/>
    <x v="16"/>
    <x v="39"/>
    <m/>
  </r>
  <r>
    <e v="#NAME?"/>
    <s v="Epson Ink Compatible with L3210, Black"/>
    <x v="6"/>
    <s v="bot"/>
    <m/>
    <m/>
    <m/>
    <m/>
    <m/>
    <m/>
    <m/>
    <m/>
    <m/>
    <m/>
    <m/>
    <m/>
    <m/>
    <m/>
    <m/>
    <m/>
    <m/>
    <m/>
    <m/>
    <x v="16"/>
    <x v="26"/>
    <m/>
  </r>
  <r>
    <e v="#NAME?"/>
    <s v="Epson Ink Compatible with L3210, Yellow"/>
    <x v="19"/>
    <s v="bot"/>
    <m/>
    <m/>
    <m/>
    <m/>
    <m/>
    <m/>
    <m/>
    <m/>
    <m/>
    <m/>
    <m/>
    <m/>
    <m/>
    <m/>
    <m/>
    <m/>
    <m/>
    <m/>
    <m/>
    <x v="16"/>
    <x v="27"/>
    <m/>
  </r>
  <r>
    <e v="#NAME?"/>
    <s v="Epson Ink Compatible with L3210, Magenta"/>
    <x v="19"/>
    <s v="bot"/>
    <m/>
    <m/>
    <m/>
    <m/>
    <m/>
    <m/>
    <m/>
    <m/>
    <m/>
    <m/>
    <m/>
    <m/>
    <m/>
    <m/>
    <m/>
    <m/>
    <m/>
    <m/>
    <m/>
    <x v="16"/>
    <x v="28"/>
    <m/>
  </r>
  <r>
    <e v="#NAME?"/>
    <s v="Epson Ink Compatible with L3210, Cyan"/>
    <x v="19"/>
    <s v="bot"/>
    <m/>
    <m/>
    <m/>
    <m/>
    <m/>
    <m/>
    <m/>
    <m/>
    <m/>
    <m/>
    <m/>
    <m/>
    <m/>
    <m/>
    <m/>
    <m/>
    <m/>
    <m/>
    <m/>
    <x v="16"/>
    <x v="29"/>
    <m/>
  </r>
  <r>
    <e v="#NAME?"/>
    <s v="1Gbps Internet Subscription (Leased Line)"/>
    <x v="0"/>
    <s v="lot"/>
    <m/>
    <m/>
    <m/>
    <m/>
    <m/>
    <m/>
    <m/>
    <m/>
    <m/>
    <m/>
    <m/>
    <m/>
    <m/>
    <m/>
    <m/>
    <m/>
    <m/>
    <m/>
    <m/>
    <x v="68"/>
    <x v="90"/>
    <m/>
  </r>
  <r>
    <e v="#NAME?"/>
    <s v="Branded Desktop Computer Set"/>
    <x v="9"/>
    <s v="set"/>
    <m/>
    <m/>
    <m/>
    <m/>
    <m/>
    <m/>
    <m/>
    <m/>
    <m/>
    <m/>
    <m/>
    <m/>
    <m/>
    <m/>
    <m/>
    <m/>
    <m/>
    <m/>
    <m/>
    <x v="68"/>
    <x v="0"/>
    <m/>
  </r>
  <r>
    <e v="#NAME?"/>
    <s v="Core Stackable Managed Switch with 20x10G SFP+ Module for Multimode fiber compatible with the existing CBS350-24XS"/>
    <x v="1"/>
    <s v="lot"/>
    <m/>
    <m/>
    <m/>
    <m/>
    <m/>
    <m/>
    <m/>
    <m/>
    <m/>
    <m/>
    <m/>
    <m/>
    <m/>
    <m/>
    <m/>
    <m/>
    <m/>
    <m/>
    <m/>
    <x v="68"/>
    <x v="91"/>
    <m/>
  </r>
  <r>
    <e v="#NAME?"/>
    <s v="Distribution Stackable Managed Switch with 4x10G SFP+ Module for Multimode fiber compatible with the existing CBS350-24FP-4X"/>
    <x v="16"/>
    <s v="lot"/>
    <m/>
    <m/>
    <m/>
    <m/>
    <m/>
    <m/>
    <m/>
    <m/>
    <m/>
    <m/>
    <m/>
    <m/>
    <m/>
    <m/>
    <m/>
    <m/>
    <m/>
    <m/>
    <m/>
    <x v="68"/>
    <x v="92"/>
    <m/>
  </r>
  <r>
    <e v="#NAME?"/>
    <s v="Fortinet Firewall Annual Subscription, Website Hosting &amp; SMS, Google, ZOOM Subscription, Software as a service (SaaS)"/>
    <x v="0"/>
    <s v="lot"/>
    <m/>
    <m/>
    <m/>
    <m/>
    <m/>
    <m/>
    <m/>
    <m/>
    <m/>
    <m/>
    <m/>
    <m/>
    <m/>
    <m/>
    <m/>
    <m/>
    <m/>
    <m/>
    <m/>
    <x v="68"/>
    <x v="93"/>
    <m/>
  </r>
  <r>
    <e v="#NAME?"/>
    <s v="Fortinet Firewall with Annual Subscription and 4x10G SFP+ transceiver module compatible with the existing FortiGATE-601E for HA configuration and deployment."/>
    <x v="0"/>
    <s v="lot"/>
    <m/>
    <m/>
    <m/>
    <m/>
    <m/>
    <m/>
    <m/>
    <m/>
    <m/>
    <m/>
    <m/>
    <m/>
    <m/>
    <m/>
    <m/>
    <m/>
    <m/>
    <m/>
    <m/>
    <x v="68"/>
    <x v="94"/>
    <m/>
  </r>
  <r>
    <e v="#NAME?"/>
    <s v="Maintenance and Upgrade of Desktop, Laptop, Server, DOH/DICT Cybersecurity Equipment compliance, Copier, Printer, Network, PABX, CCTV and Paging System"/>
    <x v="0"/>
    <s v="lot"/>
    <m/>
    <m/>
    <m/>
    <m/>
    <m/>
    <m/>
    <m/>
    <m/>
    <m/>
    <m/>
    <m/>
    <m/>
    <m/>
    <m/>
    <m/>
    <m/>
    <m/>
    <m/>
    <m/>
    <x v="68"/>
    <x v="95"/>
    <m/>
  </r>
  <r>
    <e v="#NAME?"/>
    <s v="Multimedia Controller"/>
    <x v="0"/>
    <s v="set"/>
    <m/>
    <m/>
    <m/>
    <m/>
    <m/>
    <m/>
    <m/>
    <m/>
    <m/>
    <m/>
    <m/>
    <m/>
    <m/>
    <m/>
    <m/>
    <m/>
    <m/>
    <m/>
    <m/>
    <x v="68"/>
    <x v="96"/>
    <m/>
  </r>
  <r>
    <e v="#NAME?"/>
    <s v="Smart Phone Bill for Telemedicine"/>
    <x v="0"/>
    <s v="lot"/>
    <m/>
    <m/>
    <m/>
    <m/>
    <m/>
    <m/>
    <m/>
    <m/>
    <m/>
    <m/>
    <m/>
    <m/>
    <m/>
    <m/>
    <m/>
    <m/>
    <m/>
    <m/>
    <m/>
    <x v="68"/>
    <x v="97"/>
    <m/>
  </r>
  <r>
    <e v="#NAME?"/>
    <s v="1.5M Gigabit Cat6 Ethernet Patch Cable with RJ45 CAT6 High Quality"/>
    <x v="34"/>
    <s v="pc"/>
    <m/>
    <m/>
    <m/>
    <m/>
    <m/>
    <m/>
    <m/>
    <m/>
    <m/>
    <m/>
    <m/>
    <m/>
    <m/>
    <m/>
    <m/>
    <m/>
    <m/>
    <m/>
    <m/>
    <x v="68"/>
    <x v="98"/>
    <m/>
  </r>
  <r>
    <e v="#NAME?"/>
    <s v="10 GE SFP+ transceiver module compatible with the existing FortiGATE-601E Firewall"/>
    <x v="10"/>
    <s v="pc"/>
    <m/>
    <m/>
    <m/>
    <m/>
    <m/>
    <m/>
    <m/>
    <m/>
    <m/>
    <m/>
    <m/>
    <m/>
    <m/>
    <m/>
    <m/>
    <m/>
    <m/>
    <m/>
    <m/>
    <x v="68"/>
    <x v="99"/>
    <m/>
  </r>
  <r>
    <e v="#NAME?"/>
    <s v="10M Gigabit Cat6 Ethernet Patch Cable with RJ45 CAT6 High Quality"/>
    <x v="35"/>
    <s v="pc"/>
    <m/>
    <m/>
    <m/>
    <m/>
    <m/>
    <m/>
    <m/>
    <m/>
    <m/>
    <m/>
    <m/>
    <m/>
    <m/>
    <m/>
    <m/>
    <m/>
    <m/>
    <m/>
    <m/>
    <x v="68"/>
    <x v="100"/>
    <m/>
  </r>
  <r>
    <e v="#NAME?"/>
    <s v="10TB Surveillance Hard Drive SATA"/>
    <x v="5"/>
    <s v="pc"/>
    <m/>
    <m/>
    <m/>
    <m/>
    <m/>
    <m/>
    <m/>
    <m/>
    <m/>
    <m/>
    <m/>
    <m/>
    <m/>
    <m/>
    <m/>
    <m/>
    <m/>
    <m/>
    <m/>
    <x v="68"/>
    <x v="101"/>
    <m/>
  </r>
  <r>
    <e v="#NAME?"/>
    <s v="15M Gigabit Cat6 Ethernet Patch Cable with RJ45 CAT6 High Quality"/>
    <x v="15"/>
    <s v="pc"/>
    <m/>
    <m/>
    <m/>
    <m/>
    <m/>
    <m/>
    <m/>
    <m/>
    <m/>
    <m/>
    <m/>
    <m/>
    <m/>
    <m/>
    <m/>
    <m/>
    <m/>
    <m/>
    <m/>
    <x v="68"/>
    <x v="102"/>
    <m/>
  </r>
  <r>
    <e v="#NAME?"/>
    <s v="19 inches Universal PDU 6 outlets with surge protection SPD module"/>
    <x v="15"/>
    <s v="pc"/>
    <m/>
    <m/>
    <m/>
    <m/>
    <m/>
    <m/>
    <m/>
    <m/>
    <m/>
    <m/>
    <m/>
    <m/>
    <m/>
    <m/>
    <m/>
    <m/>
    <m/>
    <m/>
    <m/>
    <x v="68"/>
    <x v="103"/>
    <m/>
  </r>
  <r>
    <e v="#NAME?"/>
    <s v="1TB Portable SSD"/>
    <x v="5"/>
    <s v="pc"/>
    <m/>
    <m/>
    <m/>
    <m/>
    <m/>
    <m/>
    <m/>
    <m/>
    <m/>
    <m/>
    <m/>
    <m/>
    <m/>
    <m/>
    <m/>
    <m/>
    <m/>
    <m/>
    <m/>
    <x v="68"/>
    <x v="38"/>
    <m/>
  </r>
  <r>
    <e v="#NAME?"/>
    <s v="2 port Wall Faceplate With Mounting Junction Box "/>
    <x v="34"/>
    <s v="set"/>
    <m/>
    <m/>
    <m/>
    <m/>
    <m/>
    <m/>
    <m/>
    <m/>
    <m/>
    <m/>
    <m/>
    <m/>
    <m/>
    <m/>
    <m/>
    <m/>
    <m/>
    <m/>
    <m/>
    <x v="68"/>
    <x v="104"/>
    <m/>
  </r>
  <r>
    <e v="#NAME?"/>
    <s v="2.5 &amp; 3.5 Inch SATA2.0 USB3.0 1 to 3 Clone External Hard Drive Dock"/>
    <x v="0"/>
    <s v="pc"/>
    <m/>
    <m/>
    <m/>
    <m/>
    <m/>
    <m/>
    <m/>
    <m/>
    <m/>
    <m/>
    <m/>
    <m/>
    <m/>
    <m/>
    <m/>
    <m/>
    <m/>
    <m/>
    <m/>
    <x v="68"/>
    <x v="105"/>
    <m/>
  </r>
  <r>
    <e v="#NAME?"/>
    <s v="20M Gigabit Cat6 Ethernet Patch Cable with RJ45 CAT6 High Quality"/>
    <x v="15"/>
    <s v="pc"/>
    <m/>
    <m/>
    <m/>
    <m/>
    <m/>
    <m/>
    <m/>
    <m/>
    <m/>
    <m/>
    <m/>
    <m/>
    <m/>
    <m/>
    <m/>
    <m/>
    <m/>
    <m/>
    <m/>
    <x v="68"/>
    <x v="106"/>
    <m/>
  </r>
  <r>
    <e v="#NAME?"/>
    <s v="21.5&quot; FHD LED Monitor"/>
    <x v="16"/>
    <s v="pc"/>
    <m/>
    <m/>
    <m/>
    <m/>
    <m/>
    <m/>
    <m/>
    <m/>
    <m/>
    <m/>
    <m/>
    <m/>
    <m/>
    <m/>
    <m/>
    <m/>
    <m/>
    <m/>
    <m/>
    <x v="68"/>
    <x v="87"/>
    <m/>
  </r>
  <r>
    <e v="#NAME?"/>
    <s v="27inch Curved Monitor"/>
    <x v="9"/>
    <s v="pc"/>
    <m/>
    <m/>
    <m/>
    <m/>
    <m/>
    <m/>
    <m/>
    <m/>
    <m/>
    <m/>
    <m/>
    <m/>
    <m/>
    <m/>
    <m/>
    <m/>
    <m/>
    <m/>
    <m/>
    <x v="68"/>
    <x v="107"/>
    <m/>
  </r>
  <r>
    <e v="#NAME?"/>
    <s v="30M Gigabit Cat6 Ethernet Patch Cable with RJ45 CAT6 High Quality"/>
    <x v="15"/>
    <s v="pc"/>
    <m/>
    <m/>
    <m/>
    <m/>
    <m/>
    <m/>
    <m/>
    <m/>
    <m/>
    <m/>
    <m/>
    <m/>
    <m/>
    <m/>
    <m/>
    <m/>
    <m/>
    <m/>
    <m/>
    <x v="68"/>
    <x v="108"/>
    <m/>
  </r>
  <r>
    <e v="#NAME?"/>
    <s v="3M Gigabit Cat6 Ethernet Patch Cable with RJ45 CAT6 High Quality"/>
    <x v="36"/>
    <s v="pc"/>
    <m/>
    <m/>
    <m/>
    <m/>
    <m/>
    <m/>
    <m/>
    <m/>
    <m/>
    <m/>
    <m/>
    <m/>
    <m/>
    <m/>
    <m/>
    <m/>
    <m/>
    <m/>
    <m/>
    <x v="68"/>
    <x v="109"/>
    <m/>
  </r>
  <r>
    <e v="#NAME?"/>
    <s v="42U Server Data Rack"/>
    <x v="1"/>
    <s v="pc"/>
    <m/>
    <m/>
    <m/>
    <m/>
    <m/>
    <m/>
    <m/>
    <m/>
    <m/>
    <m/>
    <m/>
    <m/>
    <m/>
    <m/>
    <m/>
    <m/>
    <m/>
    <m/>
    <m/>
    <x v="68"/>
    <x v="110"/>
    <m/>
  </r>
  <r>
    <e v="#NAME?"/>
    <s v="480GB 2.5&quot; Internal SSD"/>
    <x v="34"/>
    <s v="pc"/>
    <m/>
    <m/>
    <m/>
    <m/>
    <m/>
    <m/>
    <m/>
    <m/>
    <m/>
    <m/>
    <m/>
    <m/>
    <m/>
    <m/>
    <m/>
    <m/>
    <m/>
    <m/>
    <m/>
    <x v="68"/>
    <x v="111"/>
    <m/>
  </r>
  <r>
    <e v="#NAME?"/>
    <s v="4U 4-Layer Data Cabinet Wallmounted Data Cabinet"/>
    <x v="15"/>
    <s v="set"/>
    <m/>
    <m/>
    <m/>
    <m/>
    <m/>
    <m/>
    <m/>
    <m/>
    <m/>
    <m/>
    <m/>
    <m/>
    <m/>
    <m/>
    <m/>
    <m/>
    <m/>
    <m/>
    <m/>
    <x v="68"/>
    <x v="112"/>
    <m/>
  </r>
  <r>
    <e v="#NAME?"/>
    <s v="550 Watt 80 Plus Bronze Certified PSU ATX "/>
    <x v="4"/>
    <s v="pc"/>
    <m/>
    <m/>
    <m/>
    <m/>
    <m/>
    <m/>
    <m/>
    <m/>
    <m/>
    <m/>
    <m/>
    <m/>
    <m/>
    <m/>
    <m/>
    <m/>
    <m/>
    <m/>
    <m/>
    <x v="68"/>
    <x v="113"/>
    <m/>
  </r>
  <r>
    <e v="#NAME?"/>
    <s v="5M Gigabit Cat6 Ethernet Patch Cable with RJ45 CAT6 High Quality"/>
    <x v="35"/>
    <s v="pc"/>
    <m/>
    <m/>
    <m/>
    <m/>
    <m/>
    <m/>
    <m/>
    <m/>
    <m/>
    <m/>
    <m/>
    <m/>
    <m/>
    <m/>
    <m/>
    <m/>
    <m/>
    <m/>
    <m/>
    <x v="68"/>
    <x v="114"/>
    <m/>
  </r>
  <r>
    <e v="#NAME?"/>
    <s v="7.0 Ah Replacement Battery (For UPS)"/>
    <x v="20"/>
    <s v="pc"/>
    <m/>
    <m/>
    <m/>
    <m/>
    <m/>
    <m/>
    <m/>
    <m/>
    <m/>
    <m/>
    <m/>
    <m/>
    <m/>
    <m/>
    <m/>
    <m/>
    <m/>
    <m/>
    <m/>
    <x v="68"/>
    <x v="115"/>
    <m/>
  </r>
  <r>
    <e v="#NAME?"/>
    <s v="8 Port Gigabit Network Switch with 4-Port PoE+"/>
    <x v="21"/>
    <s v="pc"/>
    <m/>
    <m/>
    <m/>
    <m/>
    <m/>
    <m/>
    <m/>
    <m/>
    <m/>
    <m/>
    <m/>
    <m/>
    <m/>
    <m/>
    <m/>
    <m/>
    <m/>
    <m/>
    <m/>
    <x v="68"/>
    <x v="116"/>
    <m/>
  </r>
  <r>
    <e v="#NAME?"/>
    <s v="8-Port Gigabit L2 Managed Switch with 2 SFP Slots"/>
    <x v="17"/>
    <s v="pc"/>
    <m/>
    <m/>
    <m/>
    <m/>
    <m/>
    <m/>
    <m/>
    <m/>
    <m/>
    <m/>
    <m/>
    <m/>
    <m/>
    <m/>
    <m/>
    <m/>
    <m/>
    <m/>
    <m/>
    <x v="68"/>
    <x v="117"/>
    <m/>
  </r>
  <r>
    <e v="#NAME?"/>
    <s v="Aluminum Step Ladder, FT-4 (4 Steps)"/>
    <x v="0"/>
    <s v="pc"/>
    <m/>
    <m/>
    <m/>
    <m/>
    <m/>
    <m/>
    <m/>
    <m/>
    <m/>
    <m/>
    <m/>
    <m/>
    <m/>
    <m/>
    <m/>
    <m/>
    <m/>
    <m/>
    <m/>
    <x v="68"/>
    <x v="118"/>
    <m/>
  </r>
  <r>
    <e v="#NAME?"/>
    <s v="Aluminum Step Ladder, FT-6 (6 Steps)"/>
    <x v="1"/>
    <s v="pc"/>
    <m/>
    <m/>
    <m/>
    <m/>
    <m/>
    <m/>
    <m/>
    <m/>
    <m/>
    <m/>
    <m/>
    <m/>
    <m/>
    <m/>
    <m/>
    <m/>
    <m/>
    <m/>
    <m/>
    <x v="68"/>
    <x v="119"/>
    <m/>
  </r>
  <r>
    <e v="#NAME?"/>
    <s v="Aluminum Step Ladder, FT-7 (7 Steps)"/>
    <x v="1"/>
    <s v="pc"/>
    <m/>
    <m/>
    <m/>
    <m/>
    <m/>
    <m/>
    <m/>
    <m/>
    <m/>
    <m/>
    <m/>
    <m/>
    <m/>
    <m/>
    <m/>
    <m/>
    <m/>
    <m/>
    <m/>
    <x v="68"/>
    <x v="120"/>
    <m/>
  </r>
  <r>
    <e v="#NAME?"/>
    <s v="BATTERY 9V"/>
    <x v="3"/>
    <s v="pc"/>
    <m/>
    <m/>
    <m/>
    <m/>
    <m/>
    <m/>
    <m/>
    <m/>
    <m/>
    <m/>
    <m/>
    <m/>
    <m/>
    <m/>
    <m/>
    <m/>
    <m/>
    <m/>
    <m/>
    <x v="68"/>
    <x v="121"/>
    <m/>
  </r>
  <r>
    <e v="#NAME?"/>
    <s v="BATTERY AA 2S (2pcs/pack)"/>
    <x v="34"/>
    <s v="Pack"/>
    <m/>
    <m/>
    <m/>
    <m/>
    <m/>
    <m/>
    <m/>
    <m/>
    <m/>
    <m/>
    <m/>
    <m/>
    <m/>
    <m/>
    <m/>
    <m/>
    <m/>
    <m/>
    <m/>
    <x v="68"/>
    <x v="122"/>
    <m/>
  </r>
  <r>
    <e v="#NAME?"/>
    <s v="BATTERY AAA 4S (2pcs/pack)"/>
    <x v="3"/>
    <s v="Pack"/>
    <m/>
    <m/>
    <m/>
    <m/>
    <m/>
    <m/>
    <m/>
    <m/>
    <m/>
    <m/>
    <m/>
    <m/>
    <m/>
    <m/>
    <m/>
    <m/>
    <m/>
    <m/>
    <m/>
    <x v="68"/>
    <x v="123"/>
    <m/>
  </r>
  <r>
    <e v="#NAME?"/>
    <s v="Black &amp; White LASER NETWORK PRINTER with DUPLEX PRINTING"/>
    <x v="0"/>
    <s v="set"/>
    <m/>
    <m/>
    <m/>
    <m/>
    <m/>
    <m/>
    <m/>
    <m/>
    <m/>
    <m/>
    <m/>
    <m/>
    <m/>
    <m/>
    <m/>
    <m/>
    <m/>
    <m/>
    <m/>
    <x v="68"/>
    <x v="124"/>
    <m/>
  </r>
  <r>
    <e v="#NAME?"/>
    <s v="Black Nylon Cable Tie 2.5 x 100mm 100pcs/pack "/>
    <x v="35"/>
    <s v="Pack"/>
    <m/>
    <m/>
    <m/>
    <m/>
    <m/>
    <m/>
    <m/>
    <m/>
    <m/>
    <m/>
    <m/>
    <m/>
    <m/>
    <m/>
    <m/>
    <m/>
    <m/>
    <m/>
    <m/>
    <x v="68"/>
    <x v="125"/>
    <m/>
  </r>
  <r>
    <e v="#NAME?"/>
    <s v="Black Nylon Cable Tie 2.5 x 140mm 100pcs/pack "/>
    <x v="35"/>
    <s v="Pack"/>
    <m/>
    <m/>
    <m/>
    <m/>
    <m/>
    <m/>
    <m/>
    <m/>
    <m/>
    <m/>
    <m/>
    <m/>
    <m/>
    <m/>
    <m/>
    <m/>
    <m/>
    <m/>
    <m/>
    <x v="68"/>
    <x v="126"/>
    <m/>
  </r>
  <r>
    <e v="#NAME?"/>
    <s v="Black Nylon Cable Tie 3.6 x 140mm 100pcs/pack "/>
    <x v="21"/>
    <s v="Pack"/>
    <m/>
    <m/>
    <m/>
    <m/>
    <m/>
    <m/>
    <m/>
    <m/>
    <m/>
    <m/>
    <m/>
    <m/>
    <m/>
    <m/>
    <m/>
    <m/>
    <m/>
    <m/>
    <m/>
    <x v="68"/>
    <x v="127"/>
    <m/>
  </r>
  <r>
    <e v="#NAME?"/>
    <s v="Black Nylon Cable Tie 3.6 x 200mm 100pcs/pack "/>
    <x v="21"/>
    <s v="Pack"/>
    <m/>
    <m/>
    <m/>
    <m/>
    <m/>
    <m/>
    <m/>
    <m/>
    <m/>
    <m/>
    <m/>
    <m/>
    <m/>
    <m/>
    <m/>
    <m/>
    <m/>
    <m/>
    <m/>
    <x v="68"/>
    <x v="128"/>
    <m/>
  </r>
  <r>
    <e v="#NAME?"/>
    <s v="Black Nylon Cable Tie 3.6 x 300mm 100pcs/pack "/>
    <x v="12"/>
    <s v="Pack"/>
    <m/>
    <m/>
    <m/>
    <m/>
    <m/>
    <m/>
    <m/>
    <m/>
    <m/>
    <m/>
    <m/>
    <m/>
    <m/>
    <m/>
    <m/>
    <m/>
    <m/>
    <m/>
    <m/>
    <x v="68"/>
    <x v="129"/>
    <m/>
  </r>
  <r>
    <e v="#NAME?"/>
    <s v="Black Nylon Cable Tie 4.8 x 200mm 100pcs/pack "/>
    <x v="12"/>
    <s v="Pack"/>
    <m/>
    <m/>
    <m/>
    <m/>
    <m/>
    <m/>
    <m/>
    <m/>
    <m/>
    <m/>
    <m/>
    <m/>
    <m/>
    <m/>
    <m/>
    <m/>
    <m/>
    <m/>
    <m/>
    <x v="68"/>
    <x v="130"/>
    <m/>
  </r>
  <r>
    <e v="#NAME?"/>
    <s v="Black Nylon Cable Tie 4.8 x 250mm 100pcs/pack "/>
    <x v="5"/>
    <s v="Pack"/>
    <m/>
    <m/>
    <m/>
    <m/>
    <m/>
    <m/>
    <m/>
    <m/>
    <m/>
    <m/>
    <m/>
    <m/>
    <m/>
    <m/>
    <m/>
    <m/>
    <m/>
    <m/>
    <m/>
    <x v="68"/>
    <x v="131"/>
    <m/>
  </r>
  <r>
    <e v="#NAME?"/>
    <s v="Black Nylon Cable Tie 4.8 x 300mm 100pcs/pack "/>
    <x v="5"/>
    <s v="Pack"/>
    <m/>
    <m/>
    <m/>
    <m/>
    <m/>
    <m/>
    <m/>
    <m/>
    <m/>
    <m/>
    <m/>
    <m/>
    <m/>
    <m/>
    <m/>
    <m/>
    <m/>
    <m/>
    <m/>
    <x v="68"/>
    <x v="132"/>
    <m/>
  </r>
  <r>
    <e v="#NAME?"/>
    <s v="Black Nylon Cable Tie 4.8 x 400mm 100pcs/pack "/>
    <x v="5"/>
    <s v="Pack"/>
    <m/>
    <m/>
    <m/>
    <m/>
    <m/>
    <m/>
    <m/>
    <m/>
    <m/>
    <m/>
    <m/>
    <m/>
    <m/>
    <m/>
    <m/>
    <m/>
    <m/>
    <m/>
    <m/>
    <x v="68"/>
    <x v="133"/>
    <m/>
  </r>
  <r>
    <e v="#NAME?"/>
    <s v="Bolt Expansion Sleeve Anchor Concrete 1/4&quot;"/>
    <x v="35"/>
    <s v="pc"/>
    <m/>
    <m/>
    <m/>
    <m/>
    <m/>
    <m/>
    <m/>
    <m/>
    <m/>
    <m/>
    <m/>
    <m/>
    <m/>
    <m/>
    <m/>
    <m/>
    <m/>
    <m/>
    <m/>
    <x v="68"/>
    <x v="134"/>
    <m/>
  </r>
  <r>
    <e v="#NAME?"/>
    <s v="Bolt Expansion Sleeve Anchor Concrete 5/16&quot;"/>
    <x v="35"/>
    <s v="pc"/>
    <m/>
    <m/>
    <m/>
    <m/>
    <m/>
    <m/>
    <m/>
    <m/>
    <m/>
    <m/>
    <m/>
    <m/>
    <m/>
    <m/>
    <m/>
    <m/>
    <m/>
    <m/>
    <m/>
    <x v="68"/>
    <x v="135"/>
    <m/>
  </r>
  <r>
    <e v="#NAME?"/>
    <s v="CAT 6 Cable, U/UTP, Indoor 305 meters"/>
    <x v="4"/>
    <s v="box"/>
    <m/>
    <m/>
    <m/>
    <m/>
    <m/>
    <m/>
    <m/>
    <m/>
    <m/>
    <m/>
    <m/>
    <m/>
    <m/>
    <m/>
    <m/>
    <m/>
    <m/>
    <m/>
    <m/>
    <x v="68"/>
    <x v="136"/>
    <m/>
  </r>
  <r>
    <e v="#NAME?"/>
    <s v="CAT6 Cable, UTP, OUTDOOR 305 meters (Pure Copper)"/>
    <x v="5"/>
    <s v="box"/>
    <m/>
    <m/>
    <m/>
    <m/>
    <m/>
    <m/>
    <m/>
    <m/>
    <m/>
    <m/>
    <m/>
    <m/>
    <m/>
    <m/>
    <m/>
    <m/>
    <m/>
    <m/>
    <m/>
    <x v="68"/>
    <x v="137"/>
    <m/>
  </r>
  <r>
    <e v="#NAME?"/>
    <s v="CAT6/CAT5e Tool-Less Keystone Jack; High Quality"/>
    <x v="37"/>
    <s v="pc"/>
    <m/>
    <m/>
    <m/>
    <m/>
    <m/>
    <m/>
    <m/>
    <m/>
    <m/>
    <m/>
    <m/>
    <m/>
    <m/>
    <m/>
    <m/>
    <m/>
    <m/>
    <m/>
    <m/>
    <x v="68"/>
    <x v="138"/>
    <m/>
  </r>
  <r>
    <e v="#NAME?"/>
    <s v="CCTV Outdoor Junction Box 100x100x70mm"/>
    <x v="35"/>
    <s v="pc"/>
    <m/>
    <m/>
    <m/>
    <m/>
    <m/>
    <m/>
    <m/>
    <m/>
    <m/>
    <m/>
    <m/>
    <m/>
    <m/>
    <m/>
    <m/>
    <m/>
    <m/>
    <m/>
    <m/>
    <x v="68"/>
    <x v="139"/>
    <m/>
  </r>
  <r>
    <e v="#NAME?"/>
    <s v="Collapsible Hand Truck"/>
    <x v="1"/>
    <s v="pc"/>
    <m/>
    <m/>
    <m/>
    <m/>
    <m/>
    <m/>
    <m/>
    <m/>
    <m/>
    <m/>
    <m/>
    <m/>
    <m/>
    <m/>
    <m/>
    <m/>
    <m/>
    <m/>
    <m/>
    <x v="68"/>
    <x v="140"/>
    <m/>
  </r>
  <r>
    <e v="#NAME?"/>
    <s v="Colored Toner Cartridge Set for the existing ECOSYS M5521CDW"/>
    <x v="10"/>
    <s v="set"/>
    <m/>
    <m/>
    <m/>
    <m/>
    <m/>
    <m/>
    <m/>
    <m/>
    <m/>
    <m/>
    <m/>
    <m/>
    <m/>
    <m/>
    <m/>
    <m/>
    <m/>
    <m/>
    <m/>
    <x v="68"/>
    <x v="12"/>
    <m/>
  </r>
  <r>
    <e v="#NAME?"/>
    <s v="Cordless Blower 18V"/>
    <x v="0"/>
    <s v="set"/>
    <m/>
    <m/>
    <m/>
    <m/>
    <m/>
    <m/>
    <m/>
    <m/>
    <m/>
    <m/>
    <m/>
    <m/>
    <m/>
    <m/>
    <m/>
    <m/>
    <m/>
    <m/>
    <m/>
    <x v="68"/>
    <x v="141"/>
    <m/>
  </r>
  <r>
    <e v="#NAME?"/>
    <s v="Cordless Screwdriver Kit Set"/>
    <x v="1"/>
    <s v="set"/>
    <m/>
    <m/>
    <m/>
    <m/>
    <m/>
    <m/>
    <m/>
    <m/>
    <m/>
    <m/>
    <m/>
    <m/>
    <m/>
    <m/>
    <m/>
    <m/>
    <m/>
    <m/>
    <m/>
    <x v="68"/>
    <x v="142"/>
    <m/>
  </r>
  <r>
    <e v="#NAME?"/>
    <s v="Epson L Series Pickup Roller / feeder"/>
    <x v="15"/>
    <s v="pc"/>
    <m/>
    <m/>
    <m/>
    <m/>
    <m/>
    <m/>
    <m/>
    <m/>
    <m/>
    <m/>
    <m/>
    <m/>
    <m/>
    <m/>
    <m/>
    <m/>
    <m/>
    <m/>
    <m/>
    <x v="68"/>
    <x v="143"/>
    <m/>
  </r>
  <r>
    <e v="#NAME?"/>
    <s v="Ergonomic Chair Design Metal Base"/>
    <x v="7"/>
    <s v="pc"/>
    <m/>
    <m/>
    <m/>
    <m/>
    <m/>
    <m/>
    <m/>
    <m/>
    <m/>
    <m/>
    <m/>
    <m/>
    <m/>
    <m/>
    <m/>
    <m/>
    <m/>
    <m/>
    <m/>
    <x v="68"/>
    <x v="144"/>
    <m/>
  </r>
  <r>
    <e v="#NAME?"/>
    <s v="Extreme Instant Glue Gel 3g"/>
    <x v="17"/>
    <s v="pc"/>
    <m/>
    <m/>
    <m/>
    <m/>
    <m/>
    <m/>
    <m/>
    <m/>
    <m/>
    <m/>
    <m/>
    <m/>
    <m/>
    <m/>
    <m/>
    <m/>
    <m/>
    <m/>
    <m/>
    <x v="68"/>
    <x v="145"/>
    <m/>
  </r>
  <r>
    <e v="#NAME?"/>
    <s v="Fiberglass Extension Ladder, (8-13 ft)"/>
    <x v="0"/>
    <s v="pc"/>
    <m/>
    <m/>
    <m/>
    <m/>
    <m/>
    <m/>
    <m/>
    <m/>
    <m/>
    <m/>
    <m/>
    <m/>
    <m/>
    <m/>
    <m/>
    <m/>
    <m/>
    <m/>
    <m/>
    <x v="68"/>
    <x v="146"/>
    <m/>
  </r>
  <r>
    <e v="#NAME?"/>
    <s v="Flex cable set compatible for printer"/>
    <x v="9"/>
    <s v="set"/>
    <m/>
    <m/>
    <m/>
    <m/>
    <m/>
    <m/>
    <m/>
    <m/>
    <m/>
    <m/>
    <m/>
    <m/>
    <m/>
    <m/>
    <m/>
    <m/>
    <m/>
    <m/>
    <m/>
    <x v="68"/>
    <x v="147"/>
    <m/>
  </r>
  <r>
    <e v="#NAME?"/>
    <s v="Foldable Platform Truck, 300kgs (Steel)"/>
    <x v="0"/>
    <s v="pc"/>
    <m/>
    <m/>
    <m/>
    <m/>
    <m/>
    <m/>
    <m/>
    <m/>
    <m/>
    <m/>
    <m/>
    <m/>
    <m/>
    <m/>
    <m/>
    <m/>
    <m/>
    <m/>
    <m/>
    <x v="68"/>
    <x v="148"/>
    <m/>
  </r>
  <r>
    <e v="#NAME?"/>
    <s v="Gigabit PCI Express Network Adapter"/>
    <x v="4"/>
    <s v="pc"/>
    <m/>
    <m/>
    <m/>
    <m/>
    <m/>
    <m/>
    <m/>
    <m/>
    <m/>
    <m/>
    <m/>
    <m/>
    <m/>
    <m/>
    <m/>
    <m/>
    <m/>
    <m/>
    <m/>
    <x v="68"/>
    <x v="149"/>
    <m/>
  </r>
  <r>
    <e v="#NAME?"/>
    <s v="HDMI 2.0 Cable 4K 10m"/>
    <x v="5"/>
    <s v="pc"/>
    <m/>
    <m/>
    <m/>
    <m/>
    <m/>
    <m/>
    <m/>
    <m/>
    <m/>
    <m/>
    <m/>
    <m/>
    <m/>
    <m/>
    <m/>
    <m/>
    <m/>
    <m/>
    <m/>
    <x v="68"/>
    <x v="150"/>
    <m/>
  </r>
  <r>
    <e v="#NAME?"/>
    <s v="HDMI 2.0 Cable 4K 1m"/>
    <x v="17"/>
    <s v="pc"/>
    <m/>
    <m/>
    <m/>
    <m/>
    <m/>
    <m/>
    <m/>
    <m/>
    <m/>
    <m/>
    <m/>
    <m/>
    <m/>
    <m/>
    <m/>
    <m/>
    <m/>
    <m/>
    <m/>
    <x v="68"/>
    <x v="151"/>
    <m/>
  </r>
  <r>
    <e v="#NAME?"/>
    <s v="HP Printhead Black compatible with the existing HP Smart Tank 515"/>
    <x v="4"/>
    <s v="pc"/>
    <m/>
    <m/>
    <m/>
    <m/>
    <m/>
    <m/>
    <m/>
    <m/>
    <m/>
    <m/>
    <m/>
    <m/>
    <m/>
    <m/>
    <m/>
    <m/>
    <m/>
    <m/>
    <m/>
    <x v="68"/>
    <x v="50"/>
    <m/>
  </r>
  <r>
    <e v="#NAME?"/>
    <s v="HP Printhead Tri-color compatible with the existing HP Smart Tank 515"/>
    <x v="4"/>
    <s v="pc"/>
    <m/>
    <m/>
    <m/>
    <m/>
    <m/>
    <m/>
    <m/>
    <m/>
    <m/>
    <m/>
    <m/>
    <m/>
    <m/>
    <m/>
    <m/>
    <m/>
    <m/>
    <m/>
    <m/>
    <x v="68"/>
    <x v="51"/>
    <m/>
  </r>
  <r>
    <e v="#NAME?"/>
    <s v="Laminated 12mm Black on White label tape"/>
    <x v="12"/>
    <s v="pc"/>
    <m/>
    <m/>
    <m/>
    <m/>
    <m/>
    <m/>
    <m/>
    <m/>
    <m/>
    <m/>
    <m/>
    <m/>
    <m/>
    <m/>
    <m/>
    <m/>
    <m/>
    <m/>
    <m/>
    <x v="68"/>
    <x v="152"/>
    <m/>
  </r>
  <r>
    <e v="#NAME?"/>
    <s v="M6 Cabinet Screws 100pcs/pack"/>
    <x v="2"/>
    <s v="Pack"/>
    <m/>
    <m/>
    <m/>
    <m/>
    <m/>
    <m/>
    <m/>
    <m/>
    <m/>
    <m/>
    <m/>
    <m/>
    <m/>
    <m/>
    <m/>
    <m/>
    <m/>
    <m/>
    <m/>
    <x v="68"/>
    <x v="153"/>
    <m/>
  </r>
  <r>
    <e v="#NAME?"/>
    <s v="Mini PC"/>
    <x v="11"/>
    <s v="lot"/>
    <m/>
    <m/>
    <m/>
    <m/>
    <m/>
    <m/>
    <m/>
    <m/>
    <m/>
    <m/>
    <m/>
    <m/>
    <m/>
    <m/>
    <m/>
    <m/>
    <m/>
    <m/>
    <m/>
    <x v="68"/>
    <x v="154"/>
    <m/>
  </r>
  <r>
    <e v="#NAME?"/>
    <s v="Network Cable Tester RJ45 RJ11 Network LAN Ethernet"/>
    <x v="1"/>
    <s v="pc"/>
    <m/>
    <m/>
    <m/>
    <m/>
    <m/>
    <m/>
    <m/>
    <m/>
    <m/>
    <m/>
    <m/>
    <m/>
    <m/>
    <m/>
    <m/>
    <m/>
    <m/>
    <m/>
    <m/>
    <x v="68"/>
    <x v="155"/>
    <m/>
  </r>
  <r>
    <e v="#NAME?"/>
    <s v="Nylon Zip Ties Cable Label Mark Tags 100pcs/pack"/>
    <x v="9"/>
    <s v="Pack"/>
    <m/>
    <m/>
    <m/>
    <m/>
    <m/>
    <m/>
    <m/>
    <m/>
    <m/>
    <m/>
    <m/>
    <m/>
    <m/>
    <m/>
    <m/>
    <m/>
    <m/>
    <m/>
    <m/>
    <x v="68"/>
    <x v="156"/>
    <m/>
  </r>
  <r>
    <e v="#NAME?"/>
    <s v="Paper feeder rubber set for printer"/>
    <x v="5"/>
    <s v="set"/>
    <m/>
    <m/>
    <m/>
    <m/>
    <m/>
    <m/>
    <m/>
    <m/>
    <m/>
    <m/>
    <m/>
    <m/>
    <m/>
    <m/>
    <m/>
    <m/>
    <m/>
    <m/>
    <m/>
    <x v="68"/>
    <x v="157"/>
    <m/>
  </r>
  <r>
    <e v="#NAME?"/>
    <s v="Paper feeder rubber set for printer"/>
    <x v="5"/>
    <s v="set"/>
    <m/>
    <m/>
    <m/>
    <m/>
    <m/>
    <m/>
    <m/>
    <m/>
    <m/>
    <m/>
    <m/>
    <m/>
    <m/>
    <m/>
    <m/>
    <m/>
    <m/>
    <m/>
    <m/>
    <x v="68"/>
    <x v="157"/>
    <m/>
  </r>
  <r>
    <e v="#NAME?"/>
    <s v="PC-Connectable Label Maker with 10pcs 12mm Laminated Tape"/>
    <x v="0"/>
    <s v="set"/>
    <m/>
    <m/>
    <m/>
    <m/>
    <m/>
    <m/>
    <m/>
    <m/>
    <m/>
    <m/>
    <m/>
    <m/>
    <m/>
    <m/>
    <m/>
    <m/>
    <m/>
    <m/>
    <m/>
    <x v="68"/>
    <x v="158"/>
    <m/>
  </r>
  <r>
    <e v="#NAME?"/>
    <s v="PVC Cable Tray (2mtr)"/>
    <x v="35"/>
    <s v="pc"/>
    <m/>
    <m/>
    <m/>
    <m/>
    <m/>
    <m/>
    <m/>
    <m/>
    <m/>
    <m/>
    <m/>
    <m/>
    <m/>
    <m/>
    <m/>
    <m/>
    <m/>
    <m/>
    <m/>
    <x v="68"/>
    <x v="159"/>
    <m/>
  </r>
  <r>
    <e v="#NAME?"/>
    <s v="Replacement Battery APCRBC175 for the existing BVX1200LI-MS"/>
    <x v="12"/>
    <s v="pc"/>
    <m/>
    <m/>
    <m/>
    <m/>
    <m/>
    <m/>
    <m/>
    <m/>
    <m/>
    <m/>
    <m/>
    <m/>
    <m/>
    <m/>
    <m/>
    <m/>
    <m/>
    <m/>
    <m/>
    <x v="68"/>
    <x v="160"/>
    <m/>
  </r>
  <r>
    <e v="#NAME?"/>
    <s v="Rj11 Connector"/>
    <x v="28"/>
    <s v="pc"/>
    <m/>
    <m/>
    <m/>
    <m/>
    <m/>
    <m/>
    <m/>
    <m/>
    <m/>
    <m/>
    <m/>
    <m/>
    <m/>
    <m/>
    <m/>
    <m/>
    <m/>
    <m/>
    <m/>
    <x v="68"/>
    <x v="161"/>
    <m/>
  </r>
  <r>
    <e v="#NAME?"/>
    <s v="RJ11 Telephone Converter 10pcs/pack"/>
    <x v="9"/>
    <s v="Pack"/>
    <m/>
    <m/>
    <m/>
    <m/>
    <m/>
    <m/>
    <m/>
    <m/>
    <m/>
    <m/>
    <m/>
    <m/>
    <m/>
    <m/>
    <m/>
    <m/>
    <m/>
    <m/>
    <m/>
    <x v="68"/>
    <x v="162"/>
    <m/>
  </r>
  <r>
    <e v="#NAME?"/>
    <s v="RJ45 Connector Crimp Connection Terminals 100pcs/pack"/>
    <x v="10"/>
    <s v="Pack"/>
    <m/>
    <m/>
    <m/>
    <m/>
    <m/>
    <m/>
    <m/>
    <m/>
    <m/>
    <m/>
    <m/>
    <m/>
    <m/>
    <m/>
    <m/>
    <m/>
    <m/>
    <m/>
    <m/>
    <x v="68"/>
    <x v="163"/>
    <m/>
  </r>
  <r>
    <e v="#NAME?"/>
    <s v="Rj45 Connectors for CAT6 (100pcs Clear)"/>
    <x v="5"/>
    <s v="box"/>
    <m/>
    <m/>
    <m/>
    <m/>
    <m/>
    <m/>
    <m/>
    <m/>
    <m/>
    <m/>
    <m/>
    <m/>
    <m/>
    <m/>
    <m/>
    <m/>
    <m/>
    <m/>
    <m/>
    <x v="68"/>
    <x v="164"/>
    <m/>
  </r>
  <r>
    <e v="#NAME?"/>
    <s v="RJ45 Coupler, 8P8C Female Extender LAN Connector"/>
    <x v="15"/>
    <s v="pc"/>
    <m/>
    <m/>
    <m/>
    <m/>
    <m/>
    <m/>
    <m/>
    <m/>
    <m/>
    <m/>
    <m/>
    <m/>
    <m/>
    <m/>
    <m/>
    <m/>
    <m/>
    <m/>
    <m/>
    <x v="68"/>
    <x v="165"/>
    <m/>
  </r>
  <r>
    <e v="#NAME?"/>
    <s v="RJ45 Crimp Tool Pass Through Cat5 Cat5e Cat6"/>
    <x v="10"/>
    <s v="pc"/>
    <m/>
    <m/>
    <m/>
    <m/>
    <m/>
    <m/>
    <m/>
    <m/>
    <m/>
    <m/>
    <m/>
    <m/>
    <m/>
    <m/>
    <m/>
    <m/>
    <m/>
    <m/>
    <m/>
    <x v="68"/>
    <x v="166"/>
    <m/>
  </r>
  <r>
    <e v="#NAME?"/>
    <s v="Rj45 Metal Shield Connectors for CAT6 (100pcs)"/>
    <x v="1"/>
    <s v="box"/>
    <m/>
    <m/>
    <m/>
    <m/>
    <m/>
    <m/>
    <m/>
    <m/>
    <m/>
    <m/>
    <m/>
    <m/>
    <m/>
    <m/>
    <m/>
    <m/>
    <m/>
    <m/>
    <m/>
    <x v="68"/>
    <x v="167"/>
    <m/>
  </r>
  <r>
    <e v="#NAME?"/>
    <s v="Single Line Telephone (Black)"/>
    <x v="34"/>
    <s v="box"/>
    <m/>
    <m/>
    <m/>
    <m/>
    <m/>
    <m/>
    <m/>
    <m/>
    <m/>
    <m/>
    <m/>
    <m/>
    <m/>
    <m/>
    <m/>
    <m/>
    <m/>
    <m/>
    <m/>
    <x v="68"/>
    <x v="52"/>
    <m/>
  </r>
  <r>
    <e v="#NAME?"/>
    <s v="Super Strength Molding Tape Double Sided Tape 1/2&quot; x 15ft"/>
    <x v="15"/>
    <s v="pc"/>
    <m/>
    <m/>
    <m/>
    <m/>
    <m/>
    <m/>
    <m/>
    <m/>
    <m/>
    <m/>
    <m/>
    <m/>
    <m/>
    <m/>
    <m/>
    <m/>
    <m/>
    <m/>
    <m/>
    <x v="68"/>
    <x v="168"/>
    <m/>
  </r>
  <r>
    <e v="#NAME?"/>
    <s v="Super Strength Molding Tape Double Sided Tape 7/8&quot; x 15ft"/>
    <x v="15"/>
    <s v="pc"/>
    <m/>
    <m/>
    <m/>
    <m/>
    <m/>
    <m/>
    <m/>
    <m/>
    <m/>
    <m/>
    <m/>
    <m/>
    <m/>
    <m/>
    <m/>
    <m/>
    <m/>
    <m/>
    <m/>
    <x v="68"/>
    <x v="169"/>
    <m/>
  </r>
  <r>
    <e v="#NAME?"/>
    <s v="Telephone Wire (3mtrs)"/>
    <x v="20"/>
    <s v="pc"/>
    <m/>
    <m/>
    <m/>
    <m/>
    <m/>
    <m/>
    <m/>
    <m/>
    <m/>
    <m/>
    <m/>
    <m/>
    <m/>
    <m/>
    <m/>
    <m/>
    <m/>
    <m/>
    <m/>
    <x v="68"/>
    <x v="170"/>
    <m/>
  </r>
  <r>
    <e v="#NAME?"/>
    <s v="Thermal Paste Syringe"/>
    <x v="21"/>
    <s v="pc"/>
    <m/>
    <m/>
    <m/>
    <m/>
    <m/>
    <m/>
    <m/>
    <m/>
    <m/>
    <m/>
    <m/>
    <m/>
    <m/>
    <m/>
    <m/>
    <m/>
    <m/>
    <m/>
    <m/>
    <x v="68"/>
    <x v="171"/>
    <m/>
  </r>
  <r>
    <e v="#NAME?"/>
    <s v="Toner Cartridge for the existing ECOSYS M5521CDW"/>
    <x v="11"/>
    <s v="pc"/>
    <m/>
    <m/>
    <m/>
    <m/>
    <m/>
    <m/>
    <m/>
    <m/>
    <m/>
    <m/>
    <m/>
    <m/>
    <m/>
    <m/>
    <m/>
    <m/>
    <m/>
    <m/>
    <m/>
    <x v="68"/>
    <x v="11"/>
    <m/>
  </r>
  <r>
    <e v="#NAME?"/>
    <s v="Touch-style Fingerprint Reader"/>
    <x v="4"/>
    <s v="pc"/>
    <m/>
    <m/>
    <m/>
    <m/>
    <m/>
    <m/>
    <m/>
    <m/>
    <m/>
    <m/>
    <m/>
    <m/>
    <m/>
    <m/>
    <m/>
    <m/>
    <m/>
    <m/>
    <m/>
    <x v="68"/>
    <x v="172"/>
    <m/>
  </r>
  <r>
    <e v="#NAME?"/>
    <s v="Tox with Screw 6mm (50pcs)"/>
    <x v="5"/>
    <s v="box"/>
    <m/>
    <m/>
    <m/>
    <m/>
    <m/>
    <m/>
    <m/>
    <m/>
    <m/>
    <m/>
    <m/>
    <m/>
    <m/>
    <m/>
    <m/>
    <m/>
    <m/>
    <m/>
    <m/>
    <x v="68"/>
    <x v="173"/>
    <m/>
  </r>
  <r>
    <e v="#NAME?"/>
    <s v="UPS 1200VA, AVR, 230V"/>
    <x v="21"/>
    <s v="pc"/>
    <m/>
    <m/>
    <m/>
    <m/>
    <m/>
    <m/>
    <m/>
    <m/>
    <m/>
    <m/>
    <m/>
    <m/>
    <m/>
    <m/>
    <m/>
    <m/>
    <m/>
    <m/>
    <m/>
    <x v="68"/>
    <x v="174"/>
    <m/>
  </r>
  <r>
    <e v="#NAME?"/>
    <s v="VDE Insulated Flat Phillips Handle Screwdrivers Set Insulated"/>
    <x v="1"/>
    <s v="set"/>
    <m/>
    <m/>
    <m/>
    <m/>
    <m/>
    <m/>
    <m/>
    <m/>
    <m/>
    <m/>
    <m/>
    <m/>
    <m/>
    <m/>
    <m/>
    <m/>
    <m/>
    <m/>
    <m/>
    <x v="68"/>
    <x v="175"/>
    <m/>
  </r>
  <r>
    <e v="#NAME?"/>
    <s v="Velcro Straps Cable Organizer 3m/roll"/>
    <x v="12"/>
    <s v="roll"/>
    <m/>
    <m/>
    <m/>
    <m/>
    <m/>
    <m/>
    <m/>
    <m/>
    <m/>
    <m/>
    <m/>
    <m/>
    <m/>
    <m/>
    <m/>
    <m/>
    <m/>
    <m/>
    <m/>
    <x v="68"/>
    <x v="176"/>
    <m/>
  </r>
  <r>
    <e v="#NAME?"/>
    <s v="Webcam Professional Full HD"/>
    <x v="10"/>
    <s v="pc"/>
    <m/>
    <m/>
    <m/>
    <m/>
    <m/>
    <m/>
    <m/>
    <m/>
    <m/>
    <m/>
    <m/>
    <m/>
    <m/>
    <m/>
    <m/>
    <m/>
    <m/>
    <m/>
    <m/>
    <x v="68"/>
    <x v="2"/>
    <m/>
  </r>
  <r>
    <e v="#NAME?"/>
    <s v="White Nylon Cable Tie 2.5 x 100mm 100pcs/pack"/>
    <x v="35"/>
    <s v="Pack"/>
    <m/>
    <m/>
    <m/>
    <m/>
    <m/>
    <m/>
    <m/>
    <m/>
    <m/>
    <m/>
    <m/>
    <m/>
    <m/>
    <m/>
    <m/>
    <m/>
    <m/>
    <m/>
    <m/>
    <x v="68"/>
    <x v="177"/>
    <m/>
  </r>
  <r>
    <e v="#NAME?"/>
    <s v="White Nylon Cable Tie 2.5 x 140mm 100pcs/pack"/>
    <x v="35"/>
    <s v="Pack"/>
    <m/>
    <m/>
    <m/>
    <m/>
    <m/>
    <m/>
    <m/>
    <m/>
    <m/>
    <m/>
    <m/>
    <m/>
    <m/>
    <m/>
    <m/>
    <m/>
    <m/>
    <m/>
    <m/>
    <x v="68"/>
    <x v="178"/>
    <m/>
  </r>
  <r>
    <e v="#NAME?"/>
    <s v="White Nylon Cable Tie 3.6 x 140mm 100pcs/pack"/>
    <x v="21"/>
    <s v="Pack"/>
    <m/>
    <m/>
    <m/>
    <m/>
    <m/>
    <m/>
    <m/>
    <m/>
    <m/>
    <m/>
    <m/>
    <m/>
    <m/>
    <m/>
    <m/>
    <m/>
    <m/>
    <m/>
    <m/>
    <x v="68"/>
    <x v="179"/>
    <m/>
  </r>
  <r>
    <e v="#NAME?"/>
    <s v="White Nylon Cable Tie 3.6 x 200mm 100pcs/pack"/>
    <x v="21"/>
    <s v="Pack"/>
    <m/>
    <m/>
    <m/>
    <m/>
    <m/>
    <m/>
    <m/>
    <m/>
    <m/>
    <m/>
    <m/>
    <m/>
    <m/>
    <m/>
    <m/>
    <m/>
    <m/>
    <m/>
    <m/>
    <x v="68"/>
    <x v="180"/>
    <m/>
  </r>
  <r>
    <e v="#NAME?"/>
    <s v="White Nylon Cable Tie 3.6 x 300mm 100pcs/pack"/>
    <x v="12"/>
    <s v="Pack"/>
    <m/>
    <m/>
    <m/>
    <m/>
    <m/>
    <m/>
    <m/>
    <m/>
    <m/>
    <m/>
    <m/>
    <m/>
    <m/>
    <m/>
    <m/>
    <m/>
    <m/>
    <m/>
    <m/>
    <x v="68"/>
    <x v="181"/>
    <m/>
  </r>
  <r>
    <e v="#NAME?"/>
    <s v="White Nylon Cable Tie 4.8 x 200mm 100pcs/pack"/>
    <x v="12"/>
    <s v="Pack"/>
    <m/>
    <m/>
    <m/>
    <m/>
    <m/>
    <m/>
    <m/>
    <m/>
    <m/>
    <m/>
    <m/>
    <m/>
    <m/>
    <m/>
    <m/>
    <m/>
    <m/>
    <m/>
    <m/>
    <x v="68"/>
    <x v="182"/>
    <m/>
  </r>
  <r>
    <e v="#NAME?"/>
    <s v="White Nylon Cable Tie 4.8 x 250mm 100pcs/pack"/>
    <x v="5"/>
    <s v="Pack"/>
    <m/>
    <m/>
    <m/>
    <m/>
    <m/>
    <m/>
    <m/>
    <m/>
    <m/>
    <m/>
    <m/>
    <m/>
    <m/>
    <m/>
    <m/>
    <m/>
    <m/>
    <m/>
    <m/>
    <x v="68"/>
    <x v="183"/>
    <m/>
  </r>
  <r>
    <e v="#NAME?"/>
    <s v="White Nylon Cable Tie 4.8 x 300mm 100pcs/pack"/>
    <x v="5"/>
    <s v="Pack"/>
    <m/>
    <m/>
    <m/>
    <m/>
    <m/>
    <m/>
    <m/>
    <m/>
    <m/>
    <m/>
    <m/>
    <m/>
    <m/>
    <m/>
    <m/>
    <m/>
    <m/>
    <m/>
    <m/>
    <x v="68"/>
    <x v="184"/>
    <m/>
  </r>
  <r>
    <e v="#NAME?"/>
    <s v="White Nylon Cable Tie 4.8 x 400mm 100pcs/pack"/>
    <x v="5"/>
    <s v="Pack"/>
    <m/>
    <m/>
    <m/>
    <m/>
    <m/>
    <m/>
    <m/>
    <m/>
    <m/>
    <m/>
    <m/>
    <m/>
    <m/>
    <m/>
    <m/>
    <m/>
    <m/>
    <m/>
    <m/>
    <x v="68"/>
    <x v="185"/>
    <m/>
  </r>
  <r>
    <e v="#NAME?"/>
    <s v="WiFi 6 Access Point Dual-band "/>
    <x v="21"/>
    <s v="pc"/>
    <m/>
    <m/>
    <m/>
    <m/>
    <m/>
    <m/>
    <m/>
    <m/>
    <m/>
    <m/>
    <m/>
    <m/>
    <m/>
    <m/>
    <m/>
    <m/>
    <m/>
    <m/>
    <m/>
    <x v="68"/>
    <x v="186"/>
    <m/>
  </r>
  <r>
    <e v="#NAME?"/>
    <s v="Wired USB Numeric Keypad (Black)"/>
    <x v="5"/>
    <s v="pc"/>
    <m/>
    <m/>
    <m/>
    <m/>
    <m/>
    <m/>
    <m/>
    <m/>
    <m/>
    <m/>
    <m/>
    <m/>
    <m/>
    <m/>
    <m/>
    <m/>
    <m/>
    <m/>
    <m/>
    <x v="68"/>
    <x v="187"/>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pivotCacheRecords>
</file>

<file path=xl/pivotCache/pivotCacheRecords2.xml><?xml version="1.0" encoding="utf-8"?>
<pivotCacheRecords xmlns="http://schemas.openxmlformats.org/spreadsheetml/2006/main" xmlns:r="http://schemas.openxmlformats.org/officeDocument/2006/relationships" count="936">
  <r>
    <s v="Desktop Mid Range Users"/>
    <n v="1"/>
    <s v="UNIT"/>
    <m/>
    <m/>
    <s v="PUBLIC BIDDLING"/>
    <n v="0"/>
    <m/>
    <m/>
    <m/>
    <n v="1"/>
    <n v="1"/>
    <m/>
    <m/>
    <n v="0"/>
    <m/>
    <m/>
    <m/>
    <n v="0"/>
    <m/>
    <m/>
    <m/>
    <x v="0"/>
    <x v="0"/>
    <m/>
    <m/>
  </r>
  <r>
    <s v="DOT Matrix Printer 9 pins"/>
    <n v="1"/>
    <s v="UNIT"/>
    <m/>
    <m/>
    <s v="PUBLIC BIDDLING"/>
    <n v="0"/>
    <m/>
    <m/>
    <m/>
    <n v="1"/>
    <n v="1"/>
    <m/>
    <m/>
    <n v="0"/>
    <m/>
    <m/>
    <m/>
    <n v="0"/>
    <m/>
    <m/>
    <m/>
    <x v="0"/>
    <x v="1"/>
    <m/>
    <m/>
  </r>
  <r>
    <s v="High-definition web cameras"/>
    <n v="2"/>
    <s v="UNIT"/>
    <m/>
    <m/>
    <s v="PUBLIC BIDDLING"/>
    <n v="0"/>
    <m/>
    <m/>
    <m/>
    <n v="1"/>
    <n v="1"/>
    <m/>
    <m/>
    <n v="0"/>
    <m/>
    <m/>
    <m/>
    <n v="0"/>
    <m/>
    <m/>
    <m/>
    <x v="0"/>
    <x v="2"/>
    <m/>
    <m/>
  </r>
  <r>
    <s v="Uninterruptible Power Supply (UPS)"/>
    <n v="3"/>
    <s v="UNIT"/>
    <m/>
    <m/>
    <s v="PUBLIC BIDDLING"/>
    <n v="0"/>
    <m/>
    <m/>
    <m/>
    <n v="2"/>
    <n v="2"/>
    <m/>
    <m/>
    <n v="0"/>
    <m/>
    <m/>
    <m/>
    <n v="0"/>
    <m/>
    <m/>
    <m/>
    <x v="0"/>
    <x v="3"/>
    <m/>
    <m/>
  </r>
  <r>
    <s v="Noise cancelling microphone"/>
    <n v="2"/>
    <s v="UNIT"/>
    <m/>
    <m/>
    <s v="PUBLIC BIDDLING"/>
    <n v="0"/>
    <m/>
    <m/>
    <m/>
    <n v="1"/>
    <n v="1"/>
    <m/>
    <m/>
    <n v="0"/>
    <m/>
    <m/>
    <m/>
    <n v="0"/>
    <m/>
    <m/>
    <m/>
    <x v="0"/>
    <x v="4"/>
    <m/>
    <m/>
  </r>
  <r>
    <s v="8 Port Gigabit Network Switch 10/100/1000Mbps"/>
    <n v="1"/>
    <s v="UNIT"/>
    <m/>
    <m/>
    <s v="PUBLIC BIDDLING"/>
    <n v="0"/>
    <m/>
    <m/>
    <m/>
    <n v="1"/>
    <n v="1"/>
    <m/>
    <m/>
    <n v="0"/>
    <m/>
    <m/>
    <m/>
    <n v="0"/>
    <m/>
    <m/>
    <m/>
    <x v="0"/>
    <x v="5"/>
    <s v="N/A"/>
    <m/>
  </r>
  <r>
    <s v="Epson LQ-310 (S015634) Ribbon Cartridge"/>
    <n v="60"/>
    <s v="UNIT"/>
    <m/>
    <m/>
    <s v="PUBLIC BIDDLING"/>
    <n v="30"/>
    <n v="30"/>
    <m/>
    <m/>
    <n v="30"/>
    <n v="30"/>
    <m/>
    <m/>
    <n v="30"/>
    <n v="30"/>
    <m/>
    <m/>
    <n v="30"/>
    <n v="30"/>
    <m/>
    <m/>
    <x v="0"/>
    <x v="6"/>
    <m/>
    <m/>
  </r>
  <r>
    <s v="Kyocera ECO SYS TONER KIT-1147"/>
    <n v="12"/>
    <s v="UNIT"/>
    <m/>
    <m/>
    <s v="PUBLIC BIDDLING"/>
    <n v="3"/>
    <n v="3"/>
    <m/>
    <m/>
    <n v="0"/>
    <n v="0"/>
    <m/>
    <m/>
    <n v="3"/>
    <n v="3"/>
    <m/>
    <m/>
    <n v="0"/>
    <n v="0"/>
    <m/>
    <m/>
    <x v="0"/>
    <x v="7"/>
    <m/>
    <m/>
  </r>
  <r>
    <s v="Kyocera ECO SYS Fuser Kit-1147"/>
    <n v="2"/>
    <s v="UNIT"/>
    <m/>
    <m/>
    <s v="PUBLIC BIDDLING"/>
    <n v="1"/>
    <n v="1"/>
    <m/>
    <m/>
    <n v="0"/>
    <m/>
    <m/>
    <m/>
    <n v="1"/>
    <n v="1"/>
    <m/>
    <m/>
    <n v="0"/>
    <m/>
    <m/>
    <m/>
    <x v="0"/>
    <x v="5"/>
    <s v="Maintenance Fund"/>
    <m/>
  </r>
  <r>
    <s v="Kyocera M2535 DN / L MK-1147"/>
    <n v="2"/>
    <s v="UNIT"/>
    <m/>
    <m/>
    <s v="PUBLIC BIDDLING"/>
    <n v="1"/>
    <n v="1"/>
    <m/>
    <m/>
    <n v="0"/>
    <m/>
    <m/>
    <m/>
    <n v="1"/>
    <n v="1"/>
    <m/>
    <m/>
    <n v="0"/>
    <m/>
    <m/>
    <m/>
    <x v="0"/>
    <x v="8"/>
    <m/>
    <m/>
  </r>
  <r>
    <s v="Kyocera ECO SYS TONER KIT-6113"/>
    <n v="10"/>
    <s v="UNIT"/>
    <m/>
    <m/>
    <s v="PUBLIC BIDDLING"/>
    <n v="5"/>
    <n v="5"/>
    <m/>
    <m/>
    <n v="5"/>
    <n v="5"/>
    <m/>
    <m/>
    <n v="5"/>
    <n v="5"/>
    <m/>
    <m/>
    <n v="5"/>
    <n v="5"/>
    <m/>
    <m/>
    <x v="0"/>
    <x v="9"/>
    <m/>
    <m/>
  </r>
  <r>
    <s v="Kyocera ECO SYS MAINTENANCE KIT"/>
    <n v="2"/>
    <s v="UNIT"/>
    <m/>
    <m/>
    <s v="PUBLIC BIDDLING"/>
    <n v="1"/>
    <n v="1"/>
    <m/>
    <m/>
    <n v="0"/>
    <m/>
    <m/>
    <m/>
    <n v="1"/>
    <n v="1"/>
    <m/>
    <m/>
    <n v="0"/>
    <m/>
    <m/>
    <m/>
    <x v="0"/>
    <x v="10"/>
    <m/>
    <m/>
  </r>
  <r>
    <s v="INK, KYOCERA ECOSYS (M5521cdw Toner Cartridge), Black"/>
    <n v="16"/>
    <s v="pc"/>
    <m/>
    <m/>
    <s v="PUBLIC BIDDLING"/>
    <n v="6"/>
    <n v="2"/>
    <n v="2"/>
    <n v="2"/>
    <n v="3"/>
    <n v="1"/>
    <n v="1"/>
    <n v="1"/>
    <n v="3"/>
    <n v="1"/>
    <n v="1"/>
    <n v="1"/>
    <n v="4"/>
    <n v="1"/>
    <n v="1"/>
    <n v="2"/>
    <x v="1"/>
    <x v="11"/>
    <m/>
    <m/>
  </r>
  <r>
    <s v="INK, KYOCERA ECOSYS (M5521cdw Toner Cartridge), Cyan"/>
    <n v="16"/>
    <s v="pc"/>
    <m/>
    <m/>
    <s v="PUBLIC BIDDLING"/>
    <n v="6"/>
    <n v="2"/>
    <n v="2"/>
    <n v="2"/>
    <n v="3"/>
    <n v="1"/>
    <n v="1"/>
    <n v="1"/>
    <n v="3"/>
    <n v="1"/>
    <n v="1"/>
    <n v="1"/>
    <n v="4"/>
    <n v="1"/>
    <n v="1"/>
    <n v="2"/>
    <x v="1"/>
    <x v="12"/>
    <m/>
    <m/>
  </r>
  <r>
    <s v="INK, KYOCERA ECOSYS (M5521cdw Toner Cartridge), Magenta"/>
    <n v="16"/>
    <s v="pc"/>
    <m/>
    <m/>
    <s v="PUBLIC BIDDLING"/>
    <n v="6"/>
    <n v="2"/>
    <n v="2"/>
    <n v="2"/>
    <n v="3"/>
    <n v="1"/>
    <n v="1"/>
    <n v="1"/>
    <n v="3"/>
    <n v="1"/>
    <n v="1"/>
    <n v="1"/>
    <n v="4"/>
    <n v="1"/>
    <n v="1"/>
    <n v="2"/>
    <x v="1"/>
    <x v="5"/>
    <s v="N/A"/>
    <m/>
  </r>
  <r>
    <s v="INK, KYOCERA ECOSYS (M5521cdw Toner Cartridge), Yellow"/>
    <n v="16"/>
    <s v="pc"/>
    <m/>
    <m/>
    <s v="PUBLIC BIDDLING"/>
    <n v="6"/>
    <n v="2"/>
    <n v="2"/>
    <n v="2"/>
    <n v="3"/>
    <n v="1"/>
    <n v="1"/>
    <n v="1"/>
    <n v="3"/>
    <n v="1"/>
    <n v="1"/>
    <n v="1"/>
    <n v="4"/>
    <n v="1"/>
    <n v="1"/>
    <n v="2"/>
    <x v="1"/>
    <x v="5"/>
    <s v="N/A"/>
    <m/>
  </r>
  <r>
    <s v="Keyboard, Full Size, USB 2.0"/>
    <n v="1"/>
    <s v="pc"/>
    <m/>
    <m/>
    <s v="PUBLIC BIDDLING"/>
    <n v="2"/>
    <n v="2"/>
    <m/>
    <m/>
    <n v="0"/>
    <m/>
    <m/>
    <m/>
    <n v="0"/>
    <m/>
    <m/>
    <m/>
    <n v="0"/>
    <m/>
    <m/>
    <m/>
    <x v="2"/>
    <x v="13"/>
    <m/>
    <m/>
  </r>
  <r>
    <s v="Mouse, Optical"/>
    <n v="1"/>
    <s v="UNIT"/>
    <m/>
    <m/>
    <s v="PUBLIC BIDDLING"/>
    <n v="2"/>
    <n v="2"/>
    <m/>
    <m/>
    <n v="0"/>
    <m/>
    <m/>
    <m/>
    <n v="0"/>
    <m/>
    <m/>
    <m/>
    <n v="0"/>
    <m/>
    <m/>
    <m/>
    <x v="2"/>
    <x v="14"/>
    <m/>
    <m/>
  </r>
  <r>
    <s v="Branded Desktop Set"/>
    <n v="1"/>
    <s v="pc"/>
    <m/>
    <m/>
    <s v="PUBLIC BIDDLING"/>
    <n v="1"/>
    <n v="1"/>
    <m/>
    <m/>
    <m/>
    <m/>
    <m/>
    <m/>
    <m/>
    <m/>
    <m/>
    <m/>
    <m/>
    <m/>
    <m/>
    <m/>
    <x v="2"/>
    <x v="0"/>
    <m/>
    <m/>
  </r>
  <r>
    <s v="3 in 1 Printer, compatible to Branded Desktop Set"/>
    <n v="1"/>
    <s v="pc"/>
    <m/>
    <m/>
    <s v="PUBLIC BIDDLING"/>
    <n v="1"/>
    <n v="1"/>
    <m/>
    <m/>
    <m/>
    <m/>
    <m/>
    <m/>
    <m/>
    <m/>
    <m/>
    <m/>
    <m/>
    <m/>
    <m/>
    <m/>
    <x v="2"/>
    <x v="15"/>
    <s v="Printer"/>
    <m/>
  </r>
  <r>
    <s v="INK, EPSON (T664), Black"/>
    <n v="15"/>
    <s v="pc"/>
    <m/>
    <m/>
    <s v="PUBLIC BIDDLING"/>
    <n v="6"/>
    <n v="2"/>
    <n v="2"/>
    <n v="2"/>
    <n v="3"/>
    <n v="1"/>
    <n v="1"/>
    <n v="1"/>
    <n v="3"/>
    <n v="1"/>
    <n v="1"/>
    <n v="1"/>
    <n v="3"/>
    <n v="1"/>
    <n v="1"/>
    <n v="1"/>
    <x v="2"/>
    <x v="16"/>
    <m/>
    <m/>
  </r>
  <r>
    <s v="INK, EPSON (T664), Cyan"/>
    <n v="15"/>
    <s v="pc"/>
    <m/>
    <m/>
    <s v="PUBLIC BIDDLING"/>
    <n v="6"/>
    <n v="2"/>
    <n v="2"/>
    <n v="2"/>
    <n v="3"/>
    <n v="1"/>
    <n v="1"/>
    <n v="1"/>
    <n v="3"/>
    <n v="1"/>
    <n v="1"/>
    <n v="1"/>
    <n v="3"/>
    <n v="1"/>
    <n v="1"/>
    <n v="1"/>
    <x v="2"/>
    <x v="17"/>
    <m/>
    <m/>
  </r>
  <r>
    <s v="INK, EPSON (T664), Cyan), Magenta"/>
    <n v="15"/>
    <s v="pc"/>
    <m/>
    <m/>
    <s v="PUBLIC BIDDLING"/>
    <n v="6"/>
    <n v="2"/>
    <n v="2"/>
    <n v="2"/>
    <n v="3"/>
    <n v="1"/>
    <n v="1"/>
    <n v="1"/>
    <n v="3"/>
    <n v="1"/>
    <n v="1"/>
    <n v="1"/>
    <n v="3"/>
    <n v="1"/>
    <n v="1"/>
    <n v="1"/>
    <x v="2"/>
    <x v="18"/>
    <m/>
    <m/>
  </r>
  <r>
    <s v="INK, EPSON (T664), Cyan, Yellow"/>
    <n v="15"/>
    <s v="pc"/>
    <m/>
    <m/>
    <s v="PUBLIC BIDDLING"/>
    <n v="6"/>
    <n v="2"/>
    <n v="2"/>
    <n v="2"/>
    <n v="3"/>
    <n v="1"/>
    <n v="1"/>
    <n v="1"/>
    <n v="3"/>
    <n v="1"/>
    <n v="1"/>
    <n v="1"/>
    <n v="3"/>
    <n v="1"/>
    <n v="1"/>
    <n v="1"/>
    <x v="2"/>
    <x v="19"/>
    <m/>
    <m/>
  </r>
  <r>
    <s v="Keyboard, Full Size, USB 2.0"/>
    <n v="1"/>
    <s v="pc"/>
    <m/>
    <m/>
    <s v="PUBLIC BIDDLING"/>
    <n v="1"/>
    <n v="0"/>
    <n v="0"/>
    <n v="0"/>
    <n v="0"/>
    <n v="0"/>
    <n v="0"/>
    <n v="0"/>
    <n v="0"/>
    <n v="0"/>
    <n v="0"/>
    <n v="0"/>
    <n v="0"/>
    <n v="0"/>
    <n v="0"/>
    <n v="0"/>
    <x v="3"/>
    <x v="13"/>
    <m/>
    <m/>
  </r>
  <r>
    <s v="Mouse, Optical, USB 2.0"/>
    <n v="2"/>
    <s v="UNIT"/>
    <m/>
    <m/>
    <s v="PUBLIC BIDDLING"/>
    <n v="1"/>
    <n v="1"/>
    <n v="0"/>
    <n v="0"/>
    <n v="0"/>
    <n v="0"/>
    <n v="0"/>
    <n v="0"/>
    <n v="0"/>
    <n v="0"/>
    <n v="0"/>
    <n v="0"/>
    <n v="1"/>
    <n v="1"/>
    <n v="0"/>
    <n v="0"/>
    <x v="3"/>
    <x v="14"/>
    <m/>
    <m/>
  </r>
  <r>
    <s v="USB Thumb Drive, 32 GB"/>
    <n v="1"/>
    <s v="pc"/>
    <m/>
    <m/>
    <s v="PUBLIC BIDDLING"/>
    <n v="1"/>
    <n v="1"/>
    <n v="0"/>
    <n v="0"/>
    <n v="0"/>
    <n v="0"/>
    <n v="0"/>
    <n v="0"/>
    <n v="0"/>
    <n v="0"/>
    <n v="0"/>
    <n v="0"/>
    <n v="0"/>
    <n v="0"/>
    <n v="0"/>
    <n v="0"/>
    <x v="3"/>
    <x v="20"/>
    <m/>
    <m/>
  </r>
  <r>
    <s v="External Drive, 2TB"/>
    <n v="0"/>
    <s v="pc"/>
    <m/>
    <m/>
    <s v="PUBLIC BIDDLING"/>
    <n v="0"/>
    <n v="0"/>
    <n v="0"/>
    <n v="0"/>
    <n v="0"/>
    <n v="0"/>
    <n v="0"/>
    <n v="0"/>
    <n v="0"/>
    <n v="0"/>
    <n v="0"/>
    <n v="0"/>
    <n v="0"/>
    <n v="0"/>
    <n v="0"/>
    <n v="0"/>
    <x v="3"/>
    <x v="5"/>
    <s v="N/A"/>
    <m/>
  </r>
  <r>
    <s v="Laptop (Training)"/>
    <n v="0"/>
    <s v="pc"/>
    <m/>
    <m/>
    <s v="PUBLIC BIDDLING"/>
    <n v="0"/>
    <n v="0"/>
    <n v="0"/>
    <n v="0"/>
    <n v="0"/>
    <n v="0"/>
    <n v="0"/>
    <n v="0"/>
    <n v="0"/>
    <n v="0"/>
    <n v="0"/>
    <n v="0"/>
    <n v="0"/>
    <n v="0"/>
    <n v="0"/>
    <n v="0"/>
    <x v="3"/>
    <x v="5"/>
    <s v="N/A"/>
    <m/>
  </r>
  <r>
    <s v="BROTHER TN- 263 TONER CARTRIDGE, (TN263BK) Black"/>
    <n v="15"/>
    <s v="pc"/>
    <m/>
    <m/>
    <s v="PUBLIC BIDDLING"/>
    <n v="5"/>
    <n v="5"/>
    <n v="0"/>
    <n v="0"/>
    <n v="4"/>
    <n v="4"/>
    <n v="0"/>
    <n v="0"/>
    <n v="3"/>
    <n v="3"/>
    <n v="0"/>
    <n v="0"/>
    <n v="3"/>
    <n v="3"/>
    <n v="0"/>
    <n v="0"/>
    <x v="3"/>
    <x v="21"/>
    <m/>
    <m/>
  </r>
  <r>
    <s v="BROTHER TN- 263 TONER CARTRIDGE, (TN263M) Magenta"/>
    <n v="5"/>
    <s v="pc"/>
    <m/>
    <m/>
    <s v="PUBLIC BIDDLING"/>
    <n v="2"/>
    <n v="2"/>
    <n v="0"/>
    <n v="0"/>
    <n v="1"/>
    <n v="1"/>
    <n v="0"/>
    <n v="0"/>
    <n v="1"/>
    <n v="1"/>
    <n v="0"/>
    <n v="0"/>
    <n v="1"/>
    <n v="1"/>
    <n v="0"/>
    <n v="0"/>
    <x v="3"/>
    <x v="22"/>
    <m/>
    <m/>
  </r>
  <r>
    <s v="BROTHER TN- 263 TONER CARTRIDGE, (TN263C) Cyan"/>
    <n v="5"/>
    <s v="pc"/>
    <m/>
    <m/>
    <s v="PUBLIC BIDDLING"/>
    <n v="2"/>
    <n v="2"/>
    <n v="0"/>
    <n v="0"/>
    <n v="1"/>
    <n v="1"/>
    <n v="0"/>
    <n v="0"/>
    <n v="1"/>
    <n v="1"/>
    <n v="0"/>
    <n v="0"/>
    <n v="1"/>
    <n v="1"/>
    <n v="0"/>
    <n v="0"/>
    <x v="3"/>
    <x v="23"/>
    <m/>
    <m/>
  </r>
  <r>
    <s v="BROTHER TN- 263 TONER CARTRIDGE, (TN263Y) Yellow"/>
    <n v="5"/>
    <s v="pc"/>
    <m/>
    <m/>
    <s v="PUBLIC BIDDLING"/>
    <n v="2"/>
    <n v="2"/>
    <n v="0"/>
    <n v="0"/>
    <n v="1"/>
    <n v="1"/>
    <n v="0"/>
    <n v="0"/>
    <n v="1"/>
    <n v="1"/>
    <n v="0"/>
    <n v="0"/>
    <n v="1"/>
    <n v="1"/>
    <n v="0"/>
    <n v="0"/>
    <x v="3"/>
    <x v="24"/>
    <m/>
    <m/>
  </r>
  <r>
    <s v="Computer Desktop"/>
    <n v="1"/>
    <s v="pc"/>
    <m/>
    <m/>
    <s v="PUBLIC BIDDLING"/>
    <n v="1"/>
    <n v="1"/>
    <n v="0"/>
    <n v="0"/>
    <n v="0"/>
    <n v="0"/>
    <n v="0"/>
    <n v="0"/>
    <n v="0"/>
    <n v="0"/>
    <n v="0"/>
    <n v="0"/>
    <n v="0"/>
    <n v="0"/>
    <n v="0"/>
    <n v="0"/>
    <x v="3"/>
    <x v="0"/>
    <m/>
    <m/>
  </r>
  <r>
    <s v="Printer, Multi Function (Print/Scan/Copy)"/>
    <n v="1"/>
    <s v="pc"/>
    <m/>
    <m/>
    <s v="PUBLIC BIDDLING"/>
    <n v="1"/>
    <n v="1"/>
    <n v="0"/>
    <n v="0"/>
    <n v="0"/>
    <n v="0"/>
    <n v="0"/>
    <n v="0"/>
    <n v="0"/>
    <n v="0"/>
    <n v="0"/>
    <n v="0"/>
    <n v="0"/>
    <n v="0"/>
    <n v="0"/>
    <n v="0"/>
    <x v="3"/>
    <x v="15"/>
    <s v="Printer"/>
    <m/>
  </r>
  <r>
    <s v="AVR 500 Watts, 220 Volts"/>
    <n v="1"/>
    <s v="pc"/>
    <m/>
    <m/>
    <s v="PUBLIC BIDDLING"/>
    <n v="1"/>
    <n v="1"/>
    <n v="0"/>
    <n v="0"/>
    <n v="0"/>
    <n v="0"/>
    <n v="0"/>
    <n v="0"/>
    <n v="0"/>
    <n v="0"/>
    <n v="0"/>
    <n v="0"/>
    <n v="0"/>
    <n v="0"/>
    <n v="0"/>
    <n v="0"/>
    <x v="3"/>
    <x v="3"/>
    <m/>
    <m/>
  </r>
  <r>
    <s v="Kyocera ECOSYS P2040dn Toner kit"/>
    <n v="4"/>
    <s v="pc"/>
    <m/>
    <m/>
    <s v="PUBLIC BIDDLING"/>
    <n v="1"/>
    <n v="1"/>
    <n v="0"/>
    <n v="0"/>
    <n v="1"/>
    <n v="1"/>
    <n v="0"/>
    <n v="0"/>
    <n v="1"/>
    <n v="1"/>
    <n v="0"/>
    <n v="0"/>
    <n v="1"/>
    <n v="1"/>
    <n v="0"/>
    <n v="0"/>
    <x v="4"/>
    <x v="25"/>
    <m/>
    <m/>
  </r>
  <r>
    <s v="Epson L-3210 (S015634) Ink Toner, Black"/>
    <n v="12"/>
    <s v="Bottle"/>
    <m/>
    <m/>
    <s v="PUBLIC BIDDLING"/>
    <n v="3"/>
    <n v="3"/>
    <n v="0"/>
    <n v="0"/>
    <n v="3"/>
    <n v="3"/>
    <n v="0"/>
    <n v="0"/>
    <n v="3"/>
    <n v="3"/>
    <n v="0"/>
    <n v="0"/>
    <n v="3"/>
    <n v="3"/>
    <n v="0"/>
    <n v="0"/>
    <x v="4"/>
    <x v="26"/>
    <m/>
    <m/>
  </r>
  <r>
    <s v="Epson L-3210 (S015634) Ink Toner, Cyan"/>
    <n v="8"/>
    <s v="Bottle"/>
    <m/>
    <m/>
    <s v="PUBLIC BIDDLING"/>
    <n v="2"/>
    <n v="2"/>
    <n v="0"/>
    <n v="0"/>
    <n v="2"/>
    <n v="2"/>
    <n v="0"/>
    <n v="0"/>
    <n v="2"/>
    <n v="2"/>
    <n v="0"/>
    <n v="0"/>
    <n v="2"/>
    <n v="2"/>
    <s v="-"/>
    <s v="-"/>
    <x v="4"/>
    <x v="27"/>
    <m/>
    <m/>
  </r>
  <r>
    <s v="Epson L-3210 (S015634) Ink Toner, Magenta"/>
    <n v="8"/>
    <s v="Bottle"/>
    <m/>
    <m/>
    <s v="PUBLIC BIDDLING"/>
    <n v="2"/>
    <n v="2"/>
    <n v="0"/>
    <n v="0"/>
    <n v="2"/>
    <n v="2"/>
    <n v="0"/>
    <n v="0"/>
    <n v="2"/>
    <n v="2"/>
    <n v="0"/>
    <n v="0"/>
    <n v="2"/>
    <n v="2"/>
    <s v="-"/>
    <s v="-"/>
    <x v="4"/>
    <x v="28"/>
    <m/>
    <m/>
  </r>
  <r>
    <s v="Epson L-3210 (S015634) Ink Toner, Yellow"/>
    <n v="8"/>
    <s v="Bottle"/>
    <m/>
    <m/>
    <s v="PUBLIC BIDDLING"/>
    <n v="2"/>
    <n v="2"/>
    <n v="0"/>
    <n v="0"/>
    <n v="2"/>
    <n v="2"/>
    <n v="0"/>
    <n v="0"/>
    <n v="2"/>
    <n v="2"/>
    <n v="0"/>
    <n v="0"/>
    <n v="2"/>
    <n v="2"/>
    <s v="-"/>
    <s v="-"/>
    <x v="4"/>
    <x v="29"/>
    <m/>
    <m/>
  </r>
  <r>
    <s v="Webcam Full HD w/ built in Microphone"/>
    <n v="3"/>
    <s v="pc"/>
    <m/>
    <m/>
    <s v="PUBLIC BIDDLING"/>
    <n v="1"/>
    <n v="1"/>
    <n v="0"/>
    <n v="0"/>
    <n v="0"/>
    <s v="-"/>
    <n v="0"/>
    <n v="0"/>
    <n v="0"/>
    <n v="0"/>
    <n v="0"/>
    <n v="0"/>
    <n v="0"/>
    <s v="-"/>
    <s v="-"/>
    <s v="-"/>
    <x v="4"/>
    <x v="2"/>
    <m/>
    <m/>
  </r>
  <r>
    <s v="Branded Headset with built-in boom type microphone, Noise cancelling capability and active noise cancellation, 3.5mm Input Jack, over ear, Adjustable headband, compatibility with Windows PC and IOS"/>
    <n v="2"/>
    <s v="pc"/>
    <m/>
    <m/>
    <s v="PUBLIC BIDDLING"/>
    <n v="2"/>
    <n v="2"/>
    <n v="0"/>
    <n v="0"/>
    <n v="0"/>
    <n v="0"/>
    <n v="0"/>
    <n v="0"/>
    <n v="0"/>
    <n v="0"/>
    <n v="0"/>
    <n v="0"/>
    <n v="0"/>
    <n v="0"/>
    <n v="0"/>
    <n v="0"/>
    <x v="4"/>
    <x v="4"/>
    <m/>
    <m/>
  </r>
  <r>
    <s v="Mouse, Optical, USB 2.0"/>
    <n v="2"/>
    <s v="pc"/>
    <m/>
    <m/>
    <s v="PUBLIC BIDDLING"/>
    <n v="2"/>
    <n v="2"/>
    <s v="-"/>
    <s v="-"/>
    <n v="0"/>
    <s v="-"/>
    <s v="-"/>
    <s v="-"/>
    <n v="0"/>
    <s v="-"/>
    <s v="-"/>
    <s v="-"/>
    <n v="0"/>
    <s v="-"/>
    <s v="-"/>
    <s v="-"/>
    <x v="4"/>
    <x v="14"/>
    <m/>
    <m/>
  </r>
  <r>
    <s v="Multi-function inkjet printer Tank (print, copy, scan)"/>
    <n v="2"/>
    <s v="UNIT"/>
    <m/>
    <m/>
    <s v="PUBLIC BIDDLING"/>
    <n v="1"/>
    <n v="1"/>
    <s v="-"/>
    <s v="-"/>
    <n v="0"/>
    <s v="-"/>
    <s v="-"/>
    <s v="-"/>
    <n v="0"/>
    <s v="-"/>
    <s v="-"/>
    <s v="-"/>
    <n v="0"/>
    <s v="-"/>
    <s v="-"/>
    <s v="-"/>
    <x v="4"/>
    <x v="15"/>
    <s v="Printer"/>
    <m/>
  </r>
  <r>
    <s v="Web Cam"/>
    <n v="2"/>
    <s v="pc"/>
    <m/>
    <m/>
    <s v="Public Bidding/ Small Value Procurement"/>
    <n v="2"/>
    <n v="2"/>
    <n v="0"/>
    <n v="0"/>
    <n v="0"/>
    <n v="0"/>
    <n v="0"/>
    <n v="0"/>
    <n v="0"/>
    <n v="0"/>
    <n v="0"/>
    <n v="0"/>
    <n v="0"/>
    <n v="0"/>
    <n v="0"/>
    <n v="0"/>
    <x v="5"/>
    <x v="2"/>
    <m/>
    <m/>
  </r>
  <r>
    <s v="Ink Compatible to existing HP Smart Tank 515, HP GT53 black"/>
    <n v="16"/>
    <s v="pc"/>
    <m/>
    <m/>
    <s v="Public Bidding/ Small Value Procurement"/>
    <n v="5"/>
    <n v="2"/>
    <n v="1"/>
    <n v="2"/>
    <n v="4"/>
    <n v="1"/>
    <n v="1"/>
    <n v="2"/>
    <n v="4"/>
    <n v="1"/>
    <n v="1"/>
    <n v="2"/>
    <n v="3"/>
    <n v="1"/>
    <n v="1"/>
    <n v="1"/>
    <x v="5"/>
    <x v="30"/>
    <m/>
    <m/>
  </r>
  <r>
    <s v="Ink Compatible to existing HP Smart Tank 515, HP GT52 magenta"/>
    <n v="12"/>
    <s v="pc"/>
    <m/>
    <m/>
    <s v="Public Bidding/ Small Value Procurement"/>
    <n v="3"/>
    <n v="1"/>
    <n v="1"/>
    <n v="1"/>
    <n v="3"/>
    <n v="1"/>
    <n v="1"/>
    <n v="1"/>
    <n v="3"/>
    <n v="1"/>
    <n v="1"/>
    <n v="1"/>
    <n v="3"/>
    <n v="1"/>
    <n v="1"/>
    <n v="1"/>
    <x v="5"/>
    <x v="31"/>
    <m/>
    <m/>
  </r>
  <r>
    <s v="Ink Compatible to existing HP Smart Tank 515, HP GT52 cyan"/>
    <n v="12"/>
    <s v="pc"/>
    <m/>
    <m/>
    <s v="Public Bidding/ Small Value Procurement"/>
    <n v="3"/>
    <n v="1"/>
    <n v="1"/>
    <n v="1"/>
    <n v="3"/>
    <n v="1"/>
    <n v="1"/>
    <n v="1"/>
    <n v="3"/>
    <n v="1"/>
    <n v="1"/>
    <n v="1"/>
    <n v="3"/>
    <n v="1"/>
    <n v="1"/>
    <n v="1"/>
    <x v="5"/>
    <x v="32"/>
    <m/>
    <m/>
  </r>
  <r>
    <s v="Ink Compatible to existing HP Smart Tank 515, HP GT52 yellow"/>
    <n v="12"/>
    <s v="pc"/>
    <m/>
    <m/>
    <s v="Public Bidding/ Small Value Procurement"/>
    <n v="3"/>
    <n v="1"/>
    <n v="1"/>
    <n v="1"/>
    <n v="3"/>
    <n v="1"/>
    <n v="1"/>
    <n v="1"/>
    <n v="3"/>
    <n v="1"/>
    <n v="1"/>
    <n v="1"/>
    <n v="3"/>
    <n v="1"/>
    <n v="1"/>
    <n v="1"/>
    <x v="5"/>
    <x v="33"/>
    <m/>
    <m/>
  </r>
  <r>
    <s v="Kyocera FS-6525 MFP TK-479"/>
    <n v="12"/>
    <s v="pc"/>
    <m/>
    <m/>
    <s v="Public Bidding/ Small Value Procurement"/>
    <n v="3"/>
    <n v="1"/>
    <n v="1"/>
    <n v="1"/>
    <n v="3"/>
    <n v="1"/>
    <n v="1"/>
    <n v="1"/>
    <n v="3"/>
    <n v="1"/>
    <n v="1"/>
    <n v="1"/>
    <n v="3"/>
    <n v="1"/>
    <n v="1"/>
    <n v="1"/>
    <x v="5"/>
    <x v="34"/>
    <m/>
    <m/>
  </r>
  <r>
    <s v="Kyocera FS-6525MFP MK-479"/>
    <n v="2"/>
    <s v="pc"/>
    <m/>
    <m/>
    <s v="Public Bidding/ Small Value Procurement"/>
    <n v="1"/>
    <n v="1"/>
    <n v="0"/>
    <n v="0"/>
    <n v="0"/>
    <n v="0"/>
    <n v="0"/>
    <n v="0"/>
    <n v="1"/>
    <n v="1"/>
    <n v="0"/>
    <n v="0"/>
    <n v="0"/>
    <n v="0"/>
    <n v="0"/>
    <n v="0"/>
    <x v="5"/>
    <x v="35"/>
    <m/>
    <m/>
  </r>
  <r>
    <s v="Ink black compatible with multi function printer of winning brand"/>
    <n v="12"/>
    <s v="pc"/>
    <m/>
    <m/>
    <s v="Public Bidding/ Small Value Procurement"/>
    <n v="3"/>
    <n v="1"/>
    <n v="1"/>
    <n v="1"/>
    <n v="3"/>
    <n v="1"/>
    <n v="1"/>
    <n v="1"/>
    <n v="3"/>
    <n v="1"/>
    <n v="1"/>
    <n v="1"/>
    <n v="3"/>
    <n v="1"/>
    <n v="1"/>
    <n v="1"/>
    <x v="5"/>
    <x v="5"/>
    <s v="N/A"/>
    <m/>
  </r>
  <r>
    <s v="Ink cyan compatible with multi function printer of winning brand"/>
    <n v="8"/>
    <s v="pc"/>
    <m/>
    <m/>
    <s v="Public Bidding/ Small Value Procurement"/>
    <n v="2"/>
    <n v="1"/>
    <n v="0"/>
    <n v="1"/>
    <n v="2"/>
    <n v="1"/>
    <n v="0"/>
    <n v="1"/>
    <n v="2"/>
    <n v="1"/>
    <n v="0"/>
    <n v="1"/>
    <n v="2"/>
    <n v="1"/>
    <n v="0"/>
    <n v="1"/>
    <x v="5"/>
    <x v="5"/>
    <s v="N/A"/>
    <m/>
  </r>
  <r>
    <s v="Ink magenta compatible with multi function printer of winning brand"/>
    <n v="8"/>
    <s v="pc"/>
    <m/>
    <m/>
    <s v="Public Bidding/ Small Value Procurement"/>
    <n v="2"/>
    <n v="1"/>
    <n v="0"/>
    <n v="1"/>
    <n v="2"/>
    <n v="1"/>
    <n v="0"/>
    <n v="1"/>
    <n v="2"/>
    <n v="1"/>
    <n v="0"/>
    <n v="1"/>
    <n v="2"/>
    <n v="1"/>
    <n v="0"/>
    <n v="1"/>
    <x v="5"/>
    <x v="5"/>
    <s v="N/A"/>
    <m/>
  </r>
  <r>
    <s v="Ink yellow compatible with multi function printer of winning brand"/>
    <n v="8"/>
    <s v="pc"/>
    <m/>
    <m/>
    <s v="Public Bidding/ Small Value Procurement"/>
    <n v="2"/>
    <n v="1"/>
    <n v="0"/>
    <n v="1"/>
    <n v="2"/>
    <n v="1"/>
    <n v="0"/>
    <n v="1"/>
    <n v="2"/>
    <n v="1"/>
    <n v="0"/>
    <n v="1"/>
    <n v="2"/>
    <n v="1"/>
    <n v="0"/>
    <n v="1"/>
    <x v="5"/>
    <x v="5"/>
    <s v="N/A"/>
    <m/>
  </r>
  <r>
    <s v="Multi-Function Printer/Copier"/>
    <n v="1"/>
    <s v="pc"/>
    <m/>
    <m/>
    <s v="Public Bidding/ Small Value Procurement"/>
    <n v="1"/>
    <n v="1"/>
    <n v="0"/>
    <n v="0"/>
    <n v="0"/>
    <n v="0"/>
    <n v="0"/>
    <n v="0"/>
    <n v="0"/>
    <n v="0"/>
    <n v="0"/>
    <n v="0"/>
    <n v="0"/>
    <n v="0"/>
    <n v="0"/>
    <n v="0"/>
    <x v="5"/>
    <x v="15"/>
    <s v="Printer"/>
    <m/>
  </r>
  <r>
    <s v="64GB USB Flash Drive"/>
    <n v="2"/>
    <s v="pc"/>
    <m/>
    <m/>
    <s v="Public Bidding/ Small Value Procurement"/>
    <n v="1"/>
    <n v="1"/>
    <n v="0"/>
    <n v="0"/>
    <n v="0"/>
    <n v="0"/>
    <n v="0"/>
    <n v="0"/>
    <n v="1"/>
    <n v="1"/>
    <n v="0"/>
    <n v="0"/>
    <n v="0"/>
    <n v="0"/>
    <n v="0"/>
    <n v="0"/>
    <x v="5"/>
    <x v="36"/>
    <m/>
    <m/>
  </r>
  <r>
    <s v="1TB, External HDD"/>
    <n v="1"/>
    <s v="pc"/>
    <m/>
    <m/>
    <s v="Public Bidding/ Small Value Procurement"/>
    <n v="1"/>
    <n v="1"/>
    <n v="0"/>
    <n v="0"/>
    <n v="0"/>
    <n v="0"/>
    <n v="0"/>
    <n v="0"/>
    <n v="0"/>
    <n v="0"/>
    <n v="0"/>
    <n v="0"/>
    <n v="0"/>
    <n v="0"/>
    <n v="0"/>
    <n v="0"/>
    <x v="5"/>
    <x v="37"/>
    <m/>
    <m/>
  </r>
  <r>
    <s v="USB 2.0 OPTICAL MOUSE"/>
    <n v="2"/>
    <s v="pc"/>
    <m/>
    <m/>
    <s v="Public Bidding/ Small Value Procurement"/>
    <n v="1"/>
    <n v="1"/>
    <n v="0"/>
    <n v="0"/>
    <n v="0"/>
    <n v="0"/>
    <n v="0"/>
    <n v="0"/>
    <n v="1"/>
    <n v="1"/>
    <n v="0"/>
    <n v="0"/>
    <n v="0"/>
    <n v="0"/>
    <n v="0"/>
    <n v="0"/>
    <x v="5"/>
    <x v="14"/>
    <m/>
    <m/>
  </r>
  <r>
    <s v="KEYBOARD, FULL SIZE, USB 2.0 (A4TECH)"/>
    <n v="2"/>
    <s v="pc"/>
    <m/>
    <m/>
    <s v="Public Bidding/ Small Value Procurement"/>
    <n v="1"/>
    <n v="1"/>
    <n v="0"/>
    <n v="0"/>
    <n v="0"/>
    <n v="0"/>
    <n v="0"/>
    <n v="0"/>
    <n v="1"/>
    <n v="1"/>
    <n v="0"/>
    <n v="0"/>
    <n v="0"/>
    <n v="0"/>
    <n v="0"/>
    <n v="0"/>
    <x v="5"/>
    <x v="13"/>
    <m/>
    <m/>
  </r>
  <r>
    <s v="325Watts/650 VA UPS"/>
    <n v="3"/>
    <s v="pc"/>
    <m/>
    <m/>
    <s v="Public Bidding/ Small Value Procurement"/>
    <n v="3"/>
    <n v="3"/>
    <n v="0"/>
    <n v="0"/>
    <n v="0"/>
    <n v="0"/>
    <n v="0"/>
    <n v="0"/>
    <n v="0"/>
    <n v="0"/>
    <n v="0"/>
    <n v="0"/>
    <n v="0"/>
    <n v="0"/>
    <n v="0"/>
    <n v="0"/>
    <x v="5"/>
    <x v="3"/>
    <m/>
    <m/>
  </r>
  <r>
    <s v="Replacement Battery (For UPS)"/>
    <n v="2"/>
    <s v="pc"/>
    <m/>
    <m/>
    <s v="Public Bidding/ Small Value Procurement"/>
    <n v="2"/>
    <n v="2"/>
    <n v="0"/>
    <n v="0"/>
    <n v="0"/>
    <n v="0"/>
    <n v="0"/>
    <n v="0"/>
    <n v="0"/>
    <n v="0"/>
    <n v="0"/>
    <n v="0"/>
    <n v="0"/>
    <n v="0"/>
    <n v="0"/>
    <n v="0"/>
    <x v="5"/>
    <x v="5"/>
    <s v="N/A"/>
    <m/>
  </r>
  <r>
    <s v="Keyboard, Full Size, USB 2.0"/>
    <n v="4"/>
    <s v="pc"/>
    <m/>
    <m/>
    <s v="Public Bidding/ Alternative Mode of Procurement"/>
    <n v="2"/>
    <n v="2"/>
    <n v="0"/>
    <n v="0"/>
    <n v="2"/>
    <n v="2"/>
    <n v="0"/>
    <n v="0"/>
    <n v="0"/>
    <n v="0"/>
    <n v="0"/>
    <n v="0"/>
    <n v="0"/>
    <n v="0"/>
    <n v="0"/>
    <n v="0"/>
    <x v="6"/>
    <x v="13"/>
    <m/>
    <m/>
  </r>
  <r>
    <s v="Ink for EPSON L360, Black"/>
    <n v="12"/>
    <s v="pc"/>
    <m/>
    <m/>
    <s v="Public Bidding/ Alternative Mode of Procurement"/>
    <n v="3"/>
    <n v="1"/>
    <n v="1"/>
    <n v="1"/>
    <n v="3"/>
    <n v="1"/>
    <n v="1"/>
    <n v="1"/>
    <n v="3"/>
    <n v="1"/>
    <n v="1"/>
    <n v="1"/>
    <n v="3"/>
    <n v="1"/>
    <n v="1"/>
    <n v="1"/>
    <x v="6"/>
    <x v="16"/>
    <m/>
    <m/>
  </r>
  <r>
    <s v="Ink for EPSON L3210, Black"/>
    <n v="30"/>
    <s v="pc"/>
    <m/>
    <m/>
    <s v="Public Bidding/ Alternative Mode of Procurement"/>
    <n v="8"/>
    <n v="3"/>
    <n v="3"/>
    <n v="2"/>
    <n v="8"/>
    <n v="3"/>
    <n v="3"/>
    <n v="2"/>
    <n v="7"/>
    <n v="3"/>
    <n v="2"/>
    <n v="2"/>
    <n v="7"/>
    <n v="3"/>
    <n v="2"/>
    <n v="2"/>
    <x v="6"/>
    <x v="26"/>
    <m/>
    <m/>
  </r>
  <r>
    <s v="Ink for EPSON L3210, cyan"/>
    <n v="16"/>
    <s v="pc"/>
    <m/>
    <m/>
    <s v="Public Bidding/ Alternative Mode of Procurement"/>
    <n v="4"/>
    <n v="2"/>
    <n v="1"/>
    <n v="1"/>
    <n v="4"/>
    <n v="2"/>
    <n v="1"/>
    <n v="1"/>
    <n v="4"/>
    <n v="2"/>
    <n v="1"/>
    <n v="1"/>
    <n v="4"/>
    <n v="2"/>
    <n v="1"/>
    <n v="1"/>
    <x v="6"/>
    <x v="27"/>
    <m/>
    <m/>
  </r>
  <r>
    <s v="Ink for EPSON L3210, magenta"/>
    <n v="16"/>
    <s v="pc"/>
    <m/>
    <m/>
    <s v="Public Bidding/ Alternative Mode of Procurement"/>
    <n v="4"/>
    <n v="2"/>
    <n v="1"/>
    <n v="1"/>
    <n v="4"/>
    <n v="2"/>
    <n v="1"/>
    <n v="1"/>
    <n v="4"/>
    <n v="2"/>
    <n v="1"/>
    <n v="1"/>
    <n v="4"/>
    <n v="2"/>
    <n v="1"/>
    <n v="1"/>
    <x v="6"/>
    <x v="28"/>
    <m/>
    <m/>
  </r>
  <r>
    <s v="Ink for EPSON L3210, yellow"/>
    <n v="16"/>
    <s v="pc"/>
    <m/>
    <m/>
    <s v="Public Bidding/ Alternative Mode of Procurement"/>
    <n v="4"/>
    <n v="2"/>
    <n v="1"/>
    <n v="1"/>
    <n v="4"/>
    <n v="2"/>
    <n v="1"/>
    <n v="1"/>
    <n v="4"/>
    <n v="2"/>
    <n v="1"/>
    <n v="1"/>
    <n v="4"/>
    <n v="2"/>
    <n v="1"/>
    <n v="1"/>
    <x v="6"/>
    <x v="29"/>
    <m/>
    <m/>
  </r>
  <r>
    <s v="flash drive, 32 gb"/>
    <n v="1"/>
    <s v="pc"/>
    <m/>
    <m/>
    <s v="Public Bidding/ Alternative Mode of Procurement"/>
    <n v="1"/>
    <n v="1"/>
    <n v="0"/>
    <n v="0"/>
    <n v="0"/>
    <n v="0"/>
    <n v="0"/>
    <n v="0"/>
    <n v="0"/>
    <n v="0"/>
    <n v="0"/>
    <n v="0"/>
    <n v="0"/>
    <n v="0"/>
    <n v="0"/>
    <n v="0"/>
    <x v="6"/>
    <x v="20"/>
    <m/>
    <m/>
  </r>
  <r>
    <s v="KYOCERA TONER TK-6113"/>
    <n v="30"/>
    <s v="pc"/>
    <m/>
    <m/>
    <s v="Public Bidding/ Alternative Mode of Procurement"/>
    <n v="5"/>
    <n v="2"/>
    <n v="2"/>
    <n v="1"/>
    <n v="5"/>
    <n v="2"/>
    <n v="2"/>
    <n v="1"/>
    <n v="5"/>
    <n v="2"/>
    <n v="2"/>
    <n v="1"/>
    <n v="15"/>
    <n v="5"/>
    <n v="5"/>
    <n v="5"/>
    <x v="6"/>
    <x v="9"/>
    <m/>
    <m/>
  </r>
  <r>
    <s v="325 Watts/650 VA UPS"/>
    <n v="16"/>
    <s v="UNIT"/>
    <m/>
    <m/>
    <s v="Public Bidding/ Alternative Mode of Procurement"/>
    <n v="16"/>
    <n v="16"/>
    <n v="0"/>
    <n v="0"/>
    <n v="0"/>
    <n v="0"/>
    <n v="0"/>
    <n v="0"/>
    <n v="0"/>
    <n v="0"/>
    <n v="0"/>
    <n v="0"/>
    <n v="0"/>
    <n v="0"/>
    <n v="0"/>
    <n v="0"/>
    <x v="6"/>
    <x v="3"/>
    <m/>
    <m/>
  </r>
  <r>
    <s v="EXTERNAL HARD DRIVE, 1 TB (SSD)"/>
    <n v="2"/>
    <s v="UNIT"/>
    <m/>
    <m/>
    <s v="Public Bidding/ Alternative Mode of Procurement"/>
    <n v="2"/>
    <n v="2"/>
    <n v="0"/>
    <n v="0"/>
    <n v="0"/>
    <n v="0"/>
    <n v="0"/>
    <n v="0"/>
    <n v="0"/>
    <n v="0"/>
    <n v="0"/>
    <n v="0"/>
    <n v="0"/>
    <n v="0"/>
    <n v="0"/>
    <n v="0"/>
    <x v="6"/>
    <x v="38"/>
    <m/>
    <m/>
  </r>
  <r>
    <s v="CPU"/>
    <n v="1"/>
    <m/>
    <m/>
    <m/>
    <m/>
    <n v="1"/>
    <n v="1"/>
    <n v="0"/>
    <n v="0"/>
    <n v="0"/>
    <n v="0"/>
    <n v="0"/>
    <n v="0"/>
    <n v="0"/>
    <n v="0"/>
    <n v="0"/>
    <n v="0"/>
    <n v="0"/>
    <n v="0"/>
    <n v="0"/>
    <n v="0"/>
    <x v="6"/>
    <x v="0"/>
    <m/>
    <m/>
  </r>
  <r>
    <s v="PORTABLE SCANNER"/>
    <m/>
    <m/>
    <m/>
    <m/>
    <m/>
    <n v="1"/>
    <n v="0"/>
    <n v="0"/>
    <n v="0"/>
    <n v="1"/>
    <n v="1"/>
    <n v="0"/>
    <n v="0"/>
    <n v="0"/>
    <n v="1"/>
    <n v="0"/>
    <n v="0"/>
    <n v="0"/>
    <n v="0"/>
    <n v="0"/>
    <n v="0"/>
    <x v="6"/>
    <x v="5"/>
    <s v="N/A"/>
    <m/>
  </r>
  <r>
    <s v="Multi-function Inkjet Printer (Print, Copy, Scan) (Refillable Ink Tank) with Ink"/>
    <n v="2"/>
    <s v="UNIT"/>
    <m/>
    <m/>
    <s v="Public Bidding/ Alternative Mode of Procurement"/>
    <n v="2"/>
    <n v="2"/>
    <n v="0"/>
    <n v="0"/>
    <n v="0"/>
    <n v="0"/>
    <n v="0"/>
    <n v="0"/>
    <n v="0"/>
    <n v="0"/>
    <n v="0"/>
    <n v="0"/>
    <n v="0"/>
    <n v="0"/>
    <n v="0"/>
    <n v="0"/>
    <x v="6"/>
    <x v="15"/>
    <s v="Printer"/>
    <m/>
  </r>
  <r>
    <s v="COMPUTER SET"/>
    <n v="2"/>
    <s v="UNIT"/>
    <m/>
    <m/>
    <m/>
    <n v="0"/>
    <n v="0"/>
    <n v="0"/>
    <n v="0"/>
    <n v="0"/>
    <n v="0"/>
    <n v="0"/>
    <n v="0"/>
    <n v="0"/>
    <n v="0"/>
    <n v="0"/>
    <n v="0"/>
    <n v="2"/>
    <n v="2"/>
    <n v="0"/>
    <n v="0"/>
    <x v="6"/>
    <x v="0"/>
    <m/>
    <m/>
  </r>
  <r>
    <s v="Keyboard, Full Size, USB 2.0"/>
    <n v="1"/>
    <s v="pc"/>
    <m/>
    <m/>
    <s v="Public Bidding"/>
    <n v="1"/>
    <n v="1"/>
    <m/>
    <m/>
    <n v="0"/>
    <m/>
    <m/>
    <m/>
    <n v="0"/>
    <m/>
    <m/>
    <m/>
    <n v="0"/>
    <m/>
    <m/>
    <m/>
    <x v="7"/>
    <x v="13"/>
    <m/>
    <m/>
  </r>
  <r>
    <s v="Mouse, Optical"/>
    <n v="1"/>
    <s v="UNIT"/>
    <m/>
    <m/>
    <s v="Public Bidding"/>
    <n v="1"/>
    <n v="1"/>
    <m/>
    <m/>
    <n v="0"/>
    <m/>
    <m/>
    <m/>
    <n v="0"/>
    <m/>
    <m/>
    <m/>
    <n v="0"/>
    <m/>
    <m/>
    <m/>
    <x v="7"/>
    <x v="14"/>
    <m/>
    <m/>
  </r>
  <r>
    <s v="USB Thumb Drive, 32 GB"/>
    <n v="5"/>
    <s v="pc"/>
    <m/>
    <m/>
    <s v="Public Bidding"/>
    <n v="2"/>
    <n v="1"/>
    <m/>
    <n v="1"/>
    <n v="1"/>
    <n v="1"/>
    <m/>
    <m/>
    <n v="1"/>
    <n v="1"/>
    <m/>
    <m/>
    <n v="1"/>
    <n v="1"/>
    <m/>
    <m/>
    <x v="7"/>
    <x v="20"/>
    <m/>
    <m/>
  </r>
  <r>
    <s v="External Drive, 2TB"/>
    <n v="2"/>
    <s v="pc"/>
    <m/>
    <m/>
    <s v="Public Bidding"/>
    <n v="2"/>
    <n v="2"/>
    <m/>
    <m/>
    <n v="0"/>
    <m/>
    <m/>
    <m/>
    <n v="0"/>
    <m/>
    <m/>
    <m/>
    <n v="0"/>
    <m/>
    <m/>
    <m/>
    <x v="7"/>
    <x v="39"/>
    <m/>
    <m/>
  </r>
  <r>
    <s v="Laptop (Training)"/>
    <n v="1"/>
    <s v="pc"/>
    <m/>
    <m/>
    <s v="Public Bidding"/>
    <n v="1"/>
    <n v="1"/>
    <m/>
    <m/>
    <n v="0"/>
    <m/>
    <m/>
    <m/>
    <n v="0"/>
    <m/>
    <m/>
    <m/>
    <n v="0"/>
    <m/>
    <m/>
    <m/>
    <x v="7"/>
    <x v="40"/>
    <m/>
    <m/>
  </r>
  <r>
    <s v="Android Tablet (USB-C) 10&quot; screen with pen"/>
    <n v="1"/>
    <s v="pc"/>
    <m/>
    <m/>
    <s v="Public Bidding"/>
    <n v="1"/>
    <n v="1"/>
    <m/>
    <m/>
    <n v="0"/>
    <m/>
    <m/>
    <m/>
    <n v="0"/>
    <m/>
    <m/>
    <m/>
    <n v="0"/>
    <m/>
    <m/>
    <m/>
    <x v="7"/>
    <x v="41"/>
    <m/>
    <m/>
  </r>
  <r>
    <s v="INK CART, EPSON C13T664100 (T6641), Black"/>
    <n v="80"/>
    <s v="pc"/>
    <m/>
    <m/>
    <s v="Public Bidding"/>
    <n v="20"/>
    <n v="10"/>
    <n v="5"/>
    <n v="5"/>
    <n v="20"/>
    <n v="10"/>
    <n v="5"/>
    <n v="5"/>
    <n v="20"/>
    <n v="10"/>
    <n v="5"/>
    <n v="5"/>
    <n v="20"/>
    <n v="10"/>
    <n v="5"/>
    <n v="5"/>
    <x v="7"/>
    <x v="16"/>
    <m/>
    <m/>
  </r>
  <r>
    <s v="INK CART, EPSON C13T664200 (T6642), Cyan"/>
    <n v="30"/>
    <s v="pc"/>
    <m/>
    <m/>
    <s v="Public Bidding"/>
    <n v="7"/>
    <n v="3"/>
    <n v="2"/>
    <n v="2"/>
    <n v="8"/>
    <n v="3"/>
    <n v="2"/>
    <n v="3"/>
    <n v="7"/>
    <n v="3"/>
    <n v="2"/>
    <n v="2"/>
    <n v="8"/>
    <n v="3"/>
    <n v="2"/>
    <n v="3"/>
    <x v="7"/>
    <x v="17"/>
    <m/>
    <m/>
  </r>
  <r>
    <s v="INK CART, EPSON C13T664300 (T6643), Magenta"/>
    <n v="30"/>
    <s v="pc"/>
    <m/>
    <m/>
    <s v="Public Bidding"/>
    <n v="7"/>
    <n v="3"/>
    <n v="2"/>
    <n v="2"/>
    <n v="8"/>
    <n v="3"/>
    <n v="2"/>
    <n v="3"/>
    <n v="7"/>
    <n v="3"/>
    <n v="2"/>
    <n v="2"/>
    <n v="8"/>
    <n v="3"/>
    <n v="2"/>
    <n v="3"/>
    <x v="7"/>
    <x v="18"/>
    <m/>
    <m/>
  </r>
  <r>
    <s v="INK CART, EPSON C13T664400 (T6644), Yellow"/>
    <n v="30"/>
    <s v="pc"/>
    <m/>
    <m/>
    <s v="Public Bidding"/>
    <n v="7"/>
    <n v="3"/>
    <n v="2"/>
    <n v="2"/>
    <n v="8"/>
    <n v="3"/>
    <n v="2"/>
    <n v="3"/>
    <n v="7"/>
    <n v="3"/>
    <n v="2"/>
    <n v="2"/>
    <n v="8"/>
    <n v="3"/>
    <n v="2"/>
    <n v="3"/>
    <x v="7"/>
    <x v="19"/>
    <m/>
    <m/>
  </r>
  <r>
    <s v="Printer, Multi Function (Print/Scan/Copy)"/>
    <n v="1"/>
    <s v="UNIT"/>
    <m/>
    <m/>
    <s v="Public Bidding"/>
    <n v="1"/>
    <n v="1"/>
    <m/>
    <m/>
    <n v="0"/>
    <m/>
    <m/>
    <m/>
    <n v="0"/>
    <m/>
    <m/>
    <m/>
    <n v="0"/>
    <m/>
    <m/>
    <m/>
    <x v="8"/>
    <x v="15"/>
    <s v="Printer"/>
    <m/>
  </r>
  <r>
    <s v="USB Thumb drive,32GB"/>
    <n v="1"/>
    <s v="pc"/>
    <m/>
    <m/>
    <s v="Public Bidding"/>
    <n v="5"/>
    <s v="2nd Week"/>
    <m/>
    <m/>
    <n v="0"/>
    <m/>
    <m/>
    <m/>
    <n v="0"/>
    <m/>
    <m/>
    <m/>
    <n v="0"/>
    <m/>
    <m/>
    <m/>
    <x v="8"/>
    <x v="20"/>
    <m/>
    <m/>
  </r>
  <r>
    <s v="Branded Laptop"/>
    <n v="1"/>
    <s v="UNIT"/>
    <m/>
    <m/>
    <s v="Public Bidding"/>
    <n v="1"/>
    <n v="1"/>
    <m/>
    <m/>
    <n v="0"/>
    <m/>
    <m/>
    <m/>
    <n v="0"/>
    <m/>
    <m/>
    <m/>
    <n v="0"/>
    <m/>
    <m/>
    <m/>
    <x v="8"/>
    <x v="40"/>
    <m/>
    <m/>
  </r>
  <r>
    <s v="Laser Point with clicker"/>
    <n v="1"/>
    <s v="pc"/>
    <m/>
    <m/>
    <s v="Public Bidding"/>
    <n v="1"/>
    <s v="2nd Week"/>
    <m/>
    <m/>
    <n v="0"/>
    <m/>
    <m/>
    <m/>
    <n v="0"/>
    <m/>
    <m/>
    <m/>
    <n v="0"/>
    <m/>
    <m/>
    <m/>
    <x v="8"/>
    <x v="42"/>
    <m/>
    <m/>
  </r>
  <r>
    <s v="UPS, 1000VA, 230V, 4pc Universal Outlet"/>
    <n v="1"/>
    <s v="pc"/>
    <m/>
    <m/>
    <s v="Public Bidding"/>
    <n v="2"/>
    <n v="2"/>
    <m/>
    <m/>
    <n v="0"/>
    <m/>
    <m/>
    <m/>
    <n v="0"/>
    <m/>
    <m/>
    <m/>
    <n v="0"/>
    <m/>
    <m/>
    <m/>
    <x v="8"/>
    <x v="3"/>
    <m/>
    <m/>
  </r>
  <r>
    <s v="TK - 5234C"/>
    <n v="4"/>
    <s v="pc"/>
    <m/>
    <m/>
    <s v="Public Bidding"/>
    <n v="1"/>
    <n v="1"/>
    <m/>
    <m/>
    <n v="1"/>
    <n v="1"/>
    <m/>
    <m/>
    <n v="1"/>
    <n v="1"/>
    <m/>
    <m/>
    <n v="1"/>
    <n v="1"/>
    <m/>
    <m/>
    <x v="8"/>
    <x v="12"/>
    <m/>
    <m/>
  </r>
  <r>
    <s v="TK - 5234K"/>
    <n v="4"/>
    <s v="pc"/>
    <m/>
    <m/>
    <s v="Public Bidding"/>
    <n v="1"/>
    <n v="1"/>
    <m/>
    <m/>
    <n v="1"/>
    <n v="1"/>
    <m/>
    <m/>
    <n v="1"/>
    <n v="1"/>
    <m/>
    <m/>
    <n v="1"/>
    <n v="1"/>
    <m/>
    <m/>
    <x v="8"/>
    <x v="11"/>
    <m/>
    <m/>
  </r>
  <r>
    <s v="TK - 5234Y"/>
    <n v="4"/>
    <s v="pc"/>
    <m/>
    <m/>
    <s v="Public Bidding"/>
    <n v="1"/>
    <n v="1"/>
    <m/>
    <m/>
    <n v="1"/>
    <n v="1"/>
    <m/>
    <m/>
    <n v="1"/>
    <n v="1"/>
    <m/>
    <m/>
    <n v="1"/>
    <n v="1"/>
    <m/>
    <m/>
    <x v="8"/>
    <x v="5"/>
    <s v="N/A"/>
    <m/>
  </r>
  <r>
    <s v="TK - 5234M"/>
    <n v="4"/>
    <s v="pc"/>
    <m/>
    <m/>
    <s v="Public Bidding"/>
    <n v="1"/>
    <n v="1"/>
    <m/>
    <m/>
    <n v="1"/>
    <n v="1"/>
    <m/>
    <m/>
    <n v="1"/>
    <n v="1"/>
    <m/>
    <m/>
    <n v="1"/>
    <n v="1"/>
    <m/>
    <m/>
    <x v="8"/>
    <x v="5"/>
    <s v="N/A"/>
    <m/>
  </r>
  <r>
    <s v="UPS, 1000VA, 230V, 4pc Universal Outlet"/>
    <n v="1"/>
    <s v="pc"/>
    <m/>
    <m/>
    <s v="Public Bidding"/>
    <n v="2"/>
    <n v="2"/>
    <m/>
    <m/>
    <n v="0"/>
    <m/>
    <m/>
    <m/>
    <n v="0"/>
    <m/>
    <m/>
    <m/>
    <n v="0"/>
    <m/>
    <m/>
    <m/>
    <x v="8"/>
    <x v="3"/>
    <m/>
    <m/>
  </r>
  <r>
    <s v="2tb External Hard Drive"/>
    <n v="1"/>
    <s v="pc"/>
    <m/>
    <m/>
    <s v="Public Bidding"/>
    <n v="1"/>
    <n v="1"/>
    <m/>
    <m/>
    <m/>
    <m/>
    <m/>
    <m/>
    <m/>
    <m/>
    <m/>
    <m/>
    <m/>
    <m/>
    <m/>
    <m/>
    <x v="9"/>
    <x v="39"/>
    <m/>
    <m/>
  </r>
  <r>
    <s v="Branded Laptop                "/>
    <n v="1"/>
    <s v="set"/>
    <m/>
    <m/>
    <s v="Public Bidding"/>
    <n v="1"/>
    <n v="1"/>
    <m/>
    <m/>
    <m/>
    <m/>
    <m/>
    <m/>
    <m/>
    <m/>
    <m/>
    <m/>
    <m/>
    <m/>
    <m/>
    <m/>
    <x v="9"/>
    <x v="40"/>
    <m/>
    <m/>
  </r>
  <r>
    <s v="Desktop"/>
    <n v="2"/>
    <s v="set"/>
    <m/>
    <m/>
    <s v="Public Bidding"/>
    <n v="2"/>
    <n v="2"/>
    <m/>
    <m/>
    <m/>
    <m/>
    <m/>
    <m/>
    <m/>
    <m/>
    <m/>
    <m/>
    <m/>
    <m/>
    <m/>
    <m/>
    <x v="9"/>
    <x v="0"/>
    <m/>
    <m/>
  </r>
  <r>
    <s v=" Ink Tank Printer                "/>
    <n v="1"/>
    <s v="UNIT"/>
    <m/>
    <m/>
    <s v="Public Bidding"/>
    <n v="1"/>
    <n v="1"/>
    <m/>
    <m/>
    <m/>
    <m/>
    <m/>
    <m/>
    <m/>
    <m/>
    <m/>
    <m/>
    <m/>
    <m/>
    <m/>
    <m/>
    <x v="9"/>
    <x v="15"/>
    <s v="Printer"/>
    <m/>
  </r>
  <r>
    <s v="Hand-Held Radio dual band"/>
    <n v="20"/>
    <s v="set"/>
    <m/>
    <m/>
    <s v="Public Bidding"/>
    <m/>
    <m/>
    <m/>
    <m/>
    <n v="20"/>
    <s v="2nd week"/>
    <m/>
    <m/>
    <m/>
    <m/>
    <m/>
    <m/>
    <m/>
    <m/>
    <m/>
    <m/>
    <x v="10"/>
    <x v="43"/>
    <m/>
    <m/>
  </r>
  <r>
    <s v="Base Radio dual band with antenna"/>
    <n v="2"/>
    <s v="set"/>
    <m/>
    <m/>
    <s v="Public Bidding"/>
    <m/>
    <m/>
    <m/>
    <m/>
    <n v="2"/>
    <s v="2nd week"/>
    <m/>
    <m/>
    <m/>
    <m/>
    <m/>
    <m/>
    <m/>
    <m/>
    <m/>
    <m/>
    <x v="10"/>
    <x v="44"/>
    <m/>
    <m/>
  </r>
  <r>
    <s v="USB WebCam"/>
    <n v="2"/>
    <s v="pc"/>
    <m/>
    <m/>
    <s v="Public Bidding"/>
    <n v="2"/>
    <s v="3rd week"/>
    <m/>
    <m/>
    <m/>
    <m/>
    <m/>
    <m/>
    <m/>
    <m/>
    <m/>
    <m/>
    <m/>
    <m/>
    <m/>
    <m/>
    <x v="10"/>
    <x v="2"/>
    <m/>
    <m/>
  </r>
  <r>
    <s v="Ink black compatible with HP Smart Tank 515 printer"/>
    <n v="15"/>
    <s v="pc"/>
    <m/>
    <m/>
    <s v="Public Bidding"/>
    <n v="5"/>
    <s v="2nd Week"/>
    <m/>
    <m/>
    <n v="5"/>
    <s v="2nd week"/>
    <m/>
    <m/>
    <n v="5"/>
    <s v="2nd week"/>
    <m/>
    <m/>
    <m/>
    <m/>
    <m/>
    <m/>
    <x v="10"/>
    <x v="30"/>
    <m/>
    <m/>
  </r>
  <r>
    <s v="Ink cyan compatible with HP Smart Tank 515 printer"/>
    <n v="10"/>
    <s v="pc"/>
    <m/>
    <m/>
    <s v="Public Bidding"/>
    <n v="5"/>
    <s v="2nd Week"/>
    <m/>
    <m/>
    <m/>
    <m/>
    <m/>
    <m/>
    <n v="5"/>
    <s v="2nd week"/>
    <m/>
    <m/>
    <m/>
    <m/>
    <m/>
    <m/>
    <x v="10"/>
    <x v="31"/>
    <m/>
    <m/>
  </r>
  <r>
    <s v="Ink yellow compatible with HP Smart Tank 515 printer"/>
    <n v="10"/>
    <s v="pc"/>
    <m/>
    <m/>
    <s v="Public Bidding"/>
    <n v="5"/>
    <s v="2nd Week"/>
    <m/>
    <m/>
    <m/>
    <m/>
    <m/>
    <m/>
    <n v="5"/>
    <s v="2nd week"/>
    <m/>
    <m/>
    <m/>
    <m/>
    <m/>
    <m/>
    <x v="10"/>
    <x v="32"/>
    <m/>
    <m/>
  </r>
  <r>
    <s v="Ink magenta compatible with HP Smart Tank 515 printer"/>
    <n v="10"/>
    <s v="pc"/>
    <m/>
    <m/>
    <s v="Public Bidding"/>
    <n v="5"/>
    <s v="2nd Week"/>
    <m/>
    <m/>
    <m/>
    <m/>
    <m/>
    <m/>
    <n v="5"/>
    <s v="2nd week"/>
    <m/>
    <m/>
    <m/>
    <m/>
    <m/>
    <m/>
    <x v="10"/>
    <x v="33"/>
    <m/>
    <m/>
  </r>
  <r>
    <s v="Toner Kit for KYOCERA (TK-3165)"/>
    <n v="8"/>
    <s v="pc"/>
    <m/>
    <m/>
    <s v="Public Bidding"/>
    <n v="3"/>
    <s v="2nd Week"/>
    <m/>
    <m/>
    <n v="3"/>
    <s v="2nd week"/>
    <m/>
    <m/>
    <n v="2"/>
    <s v="2nd week"/>
    <m/>
    <m/>
    <n v="1"/>
    <s v="2nd week"/>
    <m/>
    <m/>
    <x v="10"/>
    <x v="45"/>
    <m/>
    <m/>
  </r>
  <r>
    <s v="Printer, Multi Function (Print/Scan/Copy)"/>
    <n v="4"/>
    <s v="pc"/>
    <m/>
    <m/>
    <m/>
    <n v="4"/>
    <n v="4"/>
    <m/>
    <m/>
    <m/>
    <m/>
    <m/>
    <m/>
    <m/>
    <m/>
    <m/>
    <m/>
    <m/>
    <m/>
    <m/>
    <m/>
    <x v="11"/>
    <x v="15"/>
    <s v="Printer"/>
    <m/>
  </r>
  <r>
    <s v="kyocera Toner, TK 1175"/>
    <n v="12"/>
    <s v="pc"/>
    <m/>
    <m/>
    <m/>
    <n v="3"/>
    <n v="3"/>
    <m/>
    <m/>
    <n v="3"/>
    <n v="3"/>
    <m/>
    <m/>
    <n v="3"/>
    <n v="3"/>
    <m/>
    <m/>
    <n v="3"/>
    <n v="3"/>
    <m/>
    <m/>
    <x v="11"/>
    <x v="46"/>
    <m/>
    <m/>
  </r>
  <r>
    <s v="AI powered webcam"/>
    <n v="1"/>
    <s v="set"/>
    <m/>
    <m/>
    <m/>
    <n v="1"/>
    <n v="1"/>
    <m/>
    <m/>
    <m/>
    <m/>
    <m/>
    <m/>
    <m/>
    <m/>
    <m/>
    <m/>
    <m/>
    <m/>
    <m/>
    <m/>
    <x v="11"/>
    <x v="2"/>
    <m/>
    <m/>
  </r>
  <r>
    <s v="Branded laptop"/>
    <n v="1"/>
    <s v="set"/>
    <m/>
    <m/>
    <m/>
    <n v="1"/>
    <n v="1"/>
    <m/>
    <m/>
    <m/>
    <m/>
    <m/>
    <m/>
    <m/>
    <m/>
    <m/>
    <m/>
    <m/>
    <m/>
    <m/>
    <m/>
    <x v="11"/>
    <x v="40"/>
    <m/>
    <m/>
  </r>
  <r>
    <s v="Kyocera Toner, Colored M5521"/>
    <n v="5"/>
    <s v="set"/>
    <m/>
    <m/>
    <m/>
    <n v="5"/>
    <n v="5"/>
    <m/>
    <m/>
    <m/>
    <m/>
    <m/>
    <m/>
    <m/>
    <m/>
    <m/>
    <m/>
    <m/>
    <m/>
    <m/>
    <m/>
    <x v="11"/>
    <x v="12"/>
    <m/>
    <m/>
  </r>
  <r>
    <s v="Branded Desktop Set"/>
    <n v="2"/>
    <s v="set"/>
    <m/>
    <m/>
    <m/>
    <n v="2"/>
    <n v="2"/>
    <m/>
    <m/>
    <m/>
    <m/>
    <m/>
    <m/>
    <m/>
    <m/>
    <m/>
    <m/>
    <m/>
    <m/>
    <m/>
    <m/>
    <x v="11"/>
    <x v="0"/>
    <m/>
    <m/>
  </r>
  <r>
    <s v="Gooseneck Microphone"/>
    <n v="2"/>
    <s v="set"/>
    <m/>
    <m/>
    <m/>
    <n v="2"/>
    <m/>
    <m/>
    <m/>
    <m/>
    <m/>
    <m/>
    <m/>
    <m/>
    <m/>
    <m/>
    <m/>
    <m/>
    <m/>
    <m/>
    <m/>
    <x v="11"/>
    <x v="47"/>
    <m/>
    <m/>
  </r>
  <r>
    <s v="Ink Black compatible to Epson L100, L110, L120, L200, L210, L220"/>
    <n v="10"/>
    <s v="pc"/>
    <m/>
    <m/>
    <m/>
    <n v="5"/>
    <n v="5"/>
    <m/>
    <m/>
    <m/>
    <m/>
    <m/>
    <m/>
    <n v="5"/>
    <n v="5"/>
    <m/>
    <m/>
    <m/>
    <m/>
    <m/>
    <m/>
    <x v="11"/>
    <x v="16"/>
    <m/>
    <m/>
  </r>
  <r>
    <s v="Ink Cyan compatible to Epson L100, L110, L120, L200, L210, L220"/>
    <n v="3"/>
    <s v="pc"/>
    <m/>
    <m/>
    <m/>
    <n v="3"/>
    <n v="3"/>
    <m/>
    <m/>
    <m/>
    <m/>
    <m/>
    <m/>
    <m/>
    <m/>
    <m/>
    <m/>
    <m/>
    <m/>
    <m/>
    <m/>
    <x v="11"/>
    <x v="17"/>
    <m/>
    <m/>
  </r>
  <r>
    <s v="Ink Magenta compatible to Epson L100, L110, L120, L200, L210, L220"/>
    <n v="3"/>
    <s v="pc"/>
    <m/>
    <m/>
    <m/>
    <n v="3"/>
    <n v="3"/>
    <m/>
    <m/>
    <m/>
    <m/>
    <m/>
    <m/>
    <m/>
    <m/>
    <m/>
    <m/>
    <m/>
    <m/>
    <m/>
    <m/>
    <x v="11"/>
    <x v="18"/>
    <m/>
    <m/>
  </r>
  <r>
    <s v="Ink Cartridge Yellow compatible to Epson L100, L110, L120, L200, L210, L220"/>
    <n v="3"/>
    <s v="pc"/>
    <m/>
    <m/>
    <m/>
    <n v="3"/>
    <n v="3"/>
    <m/>
    <m/>
    <m/>
    <m/>
    <m/>
    <m/>
    <m/>
    <m/>
    <m/>
    <m/>
    <m/>
    <m/>
    <m/>
    <m/>
    <x v="11"/>
    <x v="19"/>
    <m/>
    <m/>
  </r>
  <r>
    <s v="UPS, 1000VA, 230V, 4pc Universal Outlet"/>
    <n v="2"/>
    <s v="pc"/>
    <m/>
    <m/>
    <m/>
    <n v="1"/>
    <n v="1"/>
    <m/>
    <m/>
    <n v="0"/>
    <m/>
    <m/>
    <m/>
    <n v="1"/>
    <m/>
    <m/>
    <n v="1"/>
    <n v="3"/>
    <m/>
    <m/>
    <n v="3"/>
    <x v="12"/>
    <x v="3"/>
    <m/>
    <m/>
  </r>
  <r>
    <s v="UPS, 2KVA, 2000Watt, Universal Outlet"/>
    <n v="1"/>
    <s v="pc"/>
    <m/>
    <m/>
    <m/>
    <n v="1"/>
    <n v="1"/>
    <m/>
    <m/>
    <n v="0"/>
    <m/>
    <m/>
    <m/>
    <n v="0"/>
    <m/>
    <m/>
    <m/>
    <n v="0"/>
    <m/>
    <m/>
    <m/>
    <x v="12"/>
    <x v="5"/>
    <s v="c/o EFMS"/>
    <m/>
  </r>
  <r>
    <s v="Hard Drive, External, 2TB, USB 3.0"/>
    <n v="8"/>
    <s v="pc"/>
    <m/>
    <m/>
    <m/>
    <n v="2"/>
    <n v="2"/>
    <m/>
    <m/>
    <n v="2"/>
    <n v="2"/>
    <m/>
    <m/>
    <n v="2"/>
    <n v="2"/>
    <m/>
    <m/>
    <n v="2"/>
    <n v="2"/>
    <m/>
    <m/>
    <x v="12"/>
    <x v="39"/>
    <m/>
    <m/>
  </r>
  <r>
    <s v="Desktop Set, Intel Core i7 with 24&quot; Monitor"/>
    <n v="2"/>
    <s v="set"/>
    <m/>
    <m/>
    <m/>
    <n v="1"/>
    <n v="1"/>
    <m/>
    <m/>
    <n v="0"/>
    <m/>
    <m/>
    <m/>
    <n v="1"/>
    <n v="1"/>
    <m/>
    <m/>
    <n v="0"/>
    <m/>
    <m/>
    <m/>
    <x v="12"/>
    <x v="0"/>
    <m/>
    <m/>
  </r>
  <r>
    <s v="PRINTER, Dot Matrix, 24 Wire Pin, 80 Columns, USB High Speed with USB Cable"/>
    <n v="1"/>
    <s v="set"/>
    <m/>
    <m/>
    <m/>
    <n v="1"/>
    <n v="1"/>
    <m/>
    <m/>
    <n v="0"/>
    <m/>
    <m/>
    <m/>
    <n v="0"/>
    <m/>
    <m/>
    <m/>
    <n v="0"/>
    <m/>
    <m/>
    <m/>
    <x v="12"/>
    <x v="1"/>
    <m/>
    <m/>
  </r>
  <r>
    <s v="Laserjet Pro HP 80A Toner"/>
    <n v="12"/>
    <s v="pc"/>
    <m/>
    <m/>
    <m/>
    <n v="3"/>
    <n v="1"/>
    <n v="1"/>
    <n v="1"/>
    <n v="3"/>
    <n v="1"/>
    <n v="1"/>
    <n v="1"/>
    <n v="3"/>
    <n v="1"/>
    <n v="1"/>
    <n v="1"/>
    <n v="3"/>
    <n v="1"/>
    <n v="1"/>
    <n v="1"/>
    <x v="12"/>
    <x v="48"/>
    <m/>
    <m/>
  </r>
  <r>
    <s v="Laserjet Pro HP 85A Toner"/>
    <n v="12"/>
    <s v="pc"/>
    <m/>
    <m/>
    <m/>
    <n v="3"/>
    <n v="1"/>
    <n v="1"/>
    <n v="1"/>
    <n v="3"/>
    <n v="1"/>
    <n v="1"/>
    <n v="1"/>
    <n v="3"/>
    <n v="1"/>
    <n v="1"/>
    <n v="1"/>
    <n v="3"/>
    <n v="1"/>
    <n v="1"/>
    <n v="1"/>
    <x v="12"/>
    <x v="5"/>
    <s v="N/A"/>
    <m/>
  </r>
  <r>
    <s v="Keyboard, Full Size, USB 2.0"/>
    <n v="4"/>
    <s v="pc"/>
    <m/>
    <m/>
    <s v="Public Bidding"/>
    <n v="1"/>
    <n v="1"/>
    <m/>
    <m/>
    <n v="1"/>
    <n v="1"/>
    <m/>
    <m/>
    <n v="1"/>
    <n v="1"/>
    <m/>
    <m/>
    <n v="0"/>
    <m/>
    <m/>
    <m/>
    <x v="13"/>
    <x v="13"/>
    <m/>
    <m/>
  </r>
  <r>
    <s v="Mouse, Optical, USB 2.0"/>
    <n v="4"/>
    <s v="pc"/>
    <m/>
    <m/>
    <s v="Public Bidding"/>
    <n v="1"/>
    <n v="1"/>
    <m/>
    <m/>
    <n v="1"/>
    <n v="1"/>
    <m/>
    <m/>
    <n v="1"/>
    <n v="1"/>
    <m/>
    <m/>
    <n v="0"/>
    <m/>
    <m/>
    <m/>
    <x v="13"/>
    <x v="14"/>
    <m/>
    <m/>
  </r>
  <r>
    <s v="UPS, 625va, 325 Watts"/>
    <n v="3"/>
    <s v="pc"/>
    <m/>
    <m/>
    <s v="Public Bidding"/>
    <n v="1"/>
    <n v="1"/>
    <m/>
    <m/>
    <n v="1"/>
    <m/>
    <m/>
    <m/>
    <n v="0"/>
    <m/>
    <m/>
    <m/>
    <n v="0"/>
    <m/>
    <m/>
    <m/>
    <x v="13"/>
    <x v="3"/>
    <m/>
    <m/>
  </r>
  <r>
    <s v="Ink black compatible with HP Smart Tank 515 printer"/>
    <n v="6"/>
    <s v="pc"/>
    <m/>
    <m/>
    <s v="Public Bidding"/>
    <n v="3"/>
    <n v="1"/>
    <m/>
    <m/>
    <n v="3"/>
    <n v="3"/>
    <m/>
    <m/>
    <n v="0"/>
    <m/>
    <m/>
    <m/>
    <m/>
    <m/>
    <m/>
    <m/>
    <x v="13"/>
    <x v="30"/>
    <m/>
    <m/>
  </r>
  <r>
    <s v="Ink cyan compatible with HP Smart Tank 515 printer"/>
    <n v="4"/>
    <s v="pc"/>
    <m/>
    <m/>
    <s v="Public Bidding"/>
    <n v="2"/>
    <n v="2"/>
    <m/>
    <m/>
    <n v="2"/>
    <n v="2"/>
    <m/>
    <m/>
    <n v="0"/>
    <m/>
    <m/>
    <m/>
    <n v="0"/>
    <m/>
    <m/>
    <m/>
    <x v="13"/>
    <x v="31"/>
    <m/>
    <m/>
  </r>
  <r>
    <s v="Ink yellow compatible with HP Smart Tank 515 printer"/>
    <n v="4"/>
    <s v="pc"/>
    <m/>
    <m/>
    <s v="Public Bidding"/>
    <n v="2"/>
    <n v="2"/>
    <m/>
    <m/>
    <n v="2"/>
    <n v="2"/>
    <m/>
    <m/>
    <n v="0"/>
    <m/>
    <m/>
    <m/>
    <n v="0"/>
    <m/>
    <m/>
    <m/>
    <x v="13"/>
    <x v="32"/>
    <m/>
    <m/>
  </r>
  <r>
    <s v="Ink magenta compatible with HP Smart Tank 515 printer"/>
    <n v="4"/>
    <s v="pc"/>
    <m/>
    <m/>
    <s v="Public Bidding"/>
    <n v="2"/>
    <n v="2"/>
    <m/>
    <m/>
    <n v="2"/>
    <n v="2"/>
    <m/>
    <m/>
    <n v="0"/>
    <m/>
    <m/>
    <m/>
    <n v="0"/>
    <m/>
    <m/>
    <m/>
    <x v="13"/>
    <x v="33"/>
    <m/>
    <m/>
  </r>
  <r>
    <s v="Kyocera Ecosys Toner M2640idw/L"/>
    <n v="6"/>
    <s v="pc"/>
    <m/>
    <m/>
    <s v="Public Bidding"/>
    <n v="2"/>
    <n v="2"/>
    <m/>
    <m/>
    <n v="2"/>
    <n v="2"/>
    <m/>
    <m/>
    <n v="2"/>
    <n v="2"/>
    <m/>
    <m/>
    <n v="0"/>
    <m/>
    <m/>
    <m/>
    <x v="13"/>
    <x v="49"/>
    <m/>
    <m/>
  </r>
  <r>
    <s v="Ink Black compatible to Epson L3210"/>
    <n v="6"/>
    <s v="bot"/>
    <m/>
    <m/>
    <s v="Public Bidding"/>
    <n v="2"/>
    <n v="2"/>
    <m/>
    <m/>
    <n v="2"/>
    <n v="2"/>
    <m/>
    <m/>
    <n v="2"/>
    <n v="2"/>
    <m/>
    <m/>
    <n v="0"/>
    <m/>
    <m/>
    <m/>
    <x v="13"/>
    <x v="26"/>
    <m/>
    <m/>
  </r>
  <r>
    <s v="Ink Cyan compatible to Epson L3210"/>
    <n v="4"/>
    <s v="bot"/>
    <m/>
    <m/>
    <s v="Public Bidding"/>
    <n v="2"/>
    <n v="2"/>
    <m/>
    <m/>
    <n v="1"/>
    <n v="1"/>
    <m/>
    <m/>
    <n v="1"/>
    <n v="1"/>
    <m/>
    <m/>
    <n v="0"/>
    <m/>
    <m/>
    <m/>
    <x v="13"/>
    <x v="27"/>
    <m/>
    <m/>
  </r>
  <r>
    <s v="Ink Magenta compatible to Epson L3210"/>
    <n v="4"/>
    <s v="bot"/>
    <m/>
    <m/>
    <s v="Public Bidding"/>
    <n v="2"/>
    <n v="2"/>
    <m/>
    <m/>
    <n v="1"/>
    <n v="1"/>
    <m/>
    <m/>
    <n v="1"/>
    <n v="1"/>
    <m/>
    <m/>
    <n v="0"/>
    <m/>
    <m/>
    <m/>
    <x v="13"/>
    <x v="28"/>
    <m/>
    <m/>
  </r>
  <r>
    <s v="Ink Cartridge Yellow compatible to Epson L3210"/>
    <n v="4"/>
    <s v="bot"/>
    <m/>
    <m/>
    <s v="Public Bidding"/>
    <n v="1"/>
    <n v="1"/>
    <m/>
    <m/>
    <n v="1"/>
    <n v="1"/>
    <m/>
    <m/>
    <n v="1"/>
    <n v="1"/>
    <m/>
    <m/>
    <n v="0"/>
    <m/>
    <m/>
    <m/>
    <x v="13"/>
    <x v="29"/>
    <m/>
    <m/>
  </r>
  <r>
    <s v="HP smart tank 515 M0H50A"/>
    <n v="2"/>
    <s v="pc"/>
    <m/>
    <m/>
    <s v="Public Bidding"/>
    <n v="1"/>
    <n v="1"/>
    <m/>
    <m/>
    <n v="1"/>
    <n v="1"/>
    <m/>
    <m/>
    <n v="0"/>
    <m/>
    <m/>
    <m/>
    <n v="0"/>
    <m/>
    <m/>
    <m/>
    <x v="13"/>
    <x v="50"/>
    <m/>
    <m/>
  </r>
  <r>
    <s v="HP smart tank 515 X4E75AA"/>
    <n v="2"/>
    <s v="pc"/>
    <m/>
    <m/>
    <s v="Public Bidding"/>
    <n v="1"/>
    <n v="1"/>
    <m/>
    <m/>
    <n v="1"/>
    <n v="1"/>
    <m/>
    <m/>
    <n v="0"/>
    <m/>
    <m/>
    <m/>
    <n v="0"/>
    <m/>
    <m/>
    <m/>
    <x v="13"/>
    <x v="51"/>
    <m/>
    <m/>
  </r>
  <r>
    <s v="Desktop"/>
    <n v="2"/>
    <s v="pc"/>
    <m/>
    <m/>
    <s v="Public Bidding"/>
    <n v="2"/>
    <m/>
    <m/>
    <m/>
    <n v="0"/>
    <m/>
    <m/>
    <m/>
    <n v="0"/>
    <m/>
    <m/>
    <m/>
    <n v="0"/>
    <m/>
    <m/>
    <m/>
    <x v="14"/>
    <x v="0"/>
    <m/>
    <m/>
  </r>
  <r>
    <s v="TELEPHONE (WALL MOUNTED)"/>
    <n v="2"/>
    <s v="pc"/>
    <m/>
    <m/>
    <s v="Public Bidding"/>
    <n v="2"/>
    <m/>
    <m/>
    <m/>
    <n v="0"/>
    <m/>
    <m/>
    <m/>
    <n v="0"/>
    <m/>
    <m/>
    <m/>
    <n v="0"/>
    <m/>
    <m/>
    <m/>
    <x v="14"/>
    <x v="52"/>
    <m/>
    <m/>
  </r>
  <r>
    <s v="Computer printer, with scanner, copier (colored)"/>
    <n v="2"/>
    <s v="pc"/>
    <m/>
    <m/>
    <s v="Public Bidding"/>
    <n v="2"/>
    <m/>
    <m/>
    <m/>
    <n v="0"/>
    <m/>
    <m/>
    <m/>
    <n v="0"/>
    <m/>
    <m/>
    <m/>
    <n v="0"/>
    <m/>
    <m/>
    <m/>
    <x v="14"/>
    <x v="15"/>
    <s v="Printer"/>
    <m/>
  </r>
  <r>
    <s v="Printer ink for HP smart tank 515 (black)"/>
    <n v="24"/>
    <s v="pc"/>
    <m/>
    <m/>
    <s v="Public Bidding"/>
    <n v="6"/>
    <m/>
    <m/>
    <m/>
    <n v="6"/>
    <m/>
    <m/>
    <m/>
    <n v="6"/>
    <m/>
    <m/>
    <m/>
    <n v="6"/>
    <m/>
    <m/>
    <m/>
    <x v="14"/>
    <x v="30"/>
    <m/>
    <m/>
  </r>
  <r>
    <s v="Printer ink for HP smart tank 515 (cyan)"/>
    <n v="24"/>
    <s v="pc"/>
    <m/>
    <m/>
    <s v="Public Bidding"/>
    <n v="6"/>
    <m/>
    <m/>
    <m/>
    <n v="6"/>
    <m/>
    <m/>
    <m/>
    <n v="6"/>
    <m/>
    <m/>
    <m/>
    <n v="6"/>
    <m/>
    <m/>
    <m/>
    <x v="14"/>
    <x v="31"/>
    <m/>
    <m/>
  </r>
  <r>
    <s v="Printer ink for HP smart tank 515 (yellow)"/>
    <n v="24"/>
    <s v="pc"/>
    <m/>
    <m/>
    <s v="Public Bidding"/>
    <n v="6"/>
    <m/>
    <m/>
    <m/>
    <n v="6"/>
    <m/>
    <m/>
    <m/>
    <n v="6"/>
    <m/>
    <m/>
    <m/>
    <n v="6"/>
    <m/>
    <m/>
    <m/>
    <x v="14"/>
    <x v="32"/>
    <m/>
    <m/>
  </r>
  <r>
    <s v="Printer ink for HP smart tank 515 (magenta)"/>
    <n v="24"/>
    <s v="pc"/>
    <m/>
    <m/>
    <s v="Public Bidding"/>
    <n v="6"/>
    <m/>
    <m/>
    <m/>
    <n v="6"/>
    <m/>
    <m/>
    <m/>
    <n v="6"/>
    <m/>
    <m/>
    <m/>
    <n v="6"/>
    <m/>
    <m/>
    <m/>
    <x v="14"/>
    <x v="33"/>
    <m/>
    <m/>
  </r>
  <r>
    <s v="Print head/cartridge for HP smart tank 515"/>
    <n v="24"/>
    <s v="pc"/>
    <m/>
    <m/>
    <s v="Public Bidding"/>
    <n v="6"/>
    <m/>
    <m/>
    <m/>
    <n v="6"/>
    <m/>
    <m/>
    <m/>
    <n v="6"/>
    <m/>
    <m/>
    <m/>
    <n v="6"/>
    <m/>
    <m/>
    <m/>
    <x v="14"/>
    <x v="5"/>
    <s v="N/A"/>
    <m/>
  </r>
  <r>
    <s v="Printer ink for Epson L3210 (black)"/>
    <n v="24"/>
    <s v="pc"/>
    <m/>
    <m/>
    <s v="Public Bidding"/>
    <n v="6"/>
    <m/>
    <m/>
    <m/>
    <n v="6"/>
    <m/>
    <m/>
    <m/>
    <n v="6"/>
    <m/>
    <m/>
    <m/>
    <n v="6"/>
    <m/>
    <m/>
    <m/>
    <x v="14"/>
    <x v="26"/>
    <m/>
    <m/>
  </r>
  <r>
    <s v="Printer ink for Epson L3210 (cyan)"/>
    <n v="24"/>
    <s v="pc"/>
    <m/>
    <m/>
    <s v="Public Bidding"/>
    <n v="6"/>
    <m/>
    <m/>
    <m/>
    <n v="6"/>
    <m/>
    <m/>
    <m/>
    <n v="6"/>
    <m/>
    <m/>
    <m/>
    <n v="6"/>
    <m/>
    <m/>
    <m/>
    <x v="14"/>
    <x v="27"/>
    <m/>
    <m/>
  </r>
  <r>
    <s v="Printer ink for Epson L3210 (yellow)"/>
    <n v="24"/>
    <s v="pc"/>
    <m/>
    <m/>
    <s v="Public Bidding"/>
    <n v="6"/>
    <m/>
    <m/>
    <m/>
    <n v="6"/>
    <m/>
    <m/>
    <m/>
    <n v="6"/>
    <m/>
    <m/>
    <m/>
    <n v="6"/>
    <m/>
    <m/>
    <m/>
    <x v="14"/>
    <x v="28"/>
    <m/>
    <m/>
  </r>
  <r>
    <s v="Printer ink for Epson L3210 (magenta)"/>
    <n v="4"/>
    <s v="pc"/>
    <m/>
    <m/>
    <s v="Public Bidding"/>
    <n v="1"/>
    <m/>
    <m/>
    <m/>
    <n v="1"/>
    <m/>
    <m/>
    <m/>
    <n v="1"/>
    <m/>
    <m/>
    <m/>
    <n v="1"/>
    <m/>
    <m/>
    <m/>
    <x v="14"/>
    <x v="29"/>
    <m/>
    <m/>
  </r>
  <r>
    <s v="Print head/cartridge for Epson L3210"/>
    <n v="4"/>
    <s v="pc"/>
    <m/>
    <m/>
    <s v="Public Bidding"/>
    <n v="1"/>
    <m/>
    <m/>
    <m/>
    <n v="1"/>
    <m/>
    <m/>
    <m/>
    <n v="1"/>
    <m/>
    <m/>
    <m/>
    <n v="1"/>
    <m/>
    <m/>
    <m/>
    <x v="14"/>
    <x v="5"/>
    <s v="Maintenance Fund"/>
    <m/>
  </r>
  <r>
    <s v="Printer ink for Epson L3250 (black)"/>
    <n v="24"/>
    <s v="pc"/>
    <m/>
    <m/>
    <s v="Public Bidding"/>
    <n v="6"/>
    <m/>
    <m/>
    <m/>
    <n v="6"/>
    <m/>
    <m/>
    <m/>
    <n v="6"/>
    <m/>
    <m/>
    <m/>
    <n v="6"/>
    <m/>
    <m/>
    <m/>
    <x v="14"/>
    <x v="26"/>
    <m/>
    <m/>
  </r>
  <r>
    <s v="Printer ink for Epson L3250 (cyan)"/>
    <n v="12"/>
    <s v="pc"/>
    <m/>
    <m/>
    <s v="Public Bidding"/>
    <n v="6"/>
    <m/>
    <m/>
    <m/>
    <n v="0"/>
    <m/>
    <m/>
    <m/>
    <n v="6"/>
    <m/>
    <m/>
    <m/>
    <n v="0"/>
    <m/>
    <m/>
    <m/>
    <x v="14"/>
    <x v="27"/>
    <m/>
    <m/>
  </r>
  <r>
    <s v="Printer ink for Epson L3250 (yellow)"/>
    <n v="12"/>
    <s v="pc"/>
    <m/>
    <m/>
    <s v="Public Bidding"/>
    <n v="6"/>
    <m/>
    <m/>
    <m/>
    <n v="0"/>
    <m/>
    <m/>
    <m/>
    <n v="6"/>
    <m/>
    <m/>
    <m/>
    <n v="0"/>
    <m/>
    <m/>
    <m/>
    <x v="14"/>
    <x v="28"/>
    <m/>
    <m/>
  </r>
  <r>
    <s v="Printer ink for Epson L3250 (magenta)"/>
    <n v="12"/>
    <s v="pc"/>
    <m/>
    <m/>
    <s v="Public Bidding"/>
    <n v="6"/>
    <m/>
    <m/>
    <m/>
    <n v="0"/>
    <m/>
    <m/>
    <m/>
    <n v="6"/>
    <m/>
    <m/>
    <m/>
    <n v="0"/>
    <m/>
    <m/>
    <m/>
    <x v="14"/>
    <x v="29"/>
    <m/>
    <m/>
  </r>
  <r>
    <s v="Print head/cartridge for Epson L3250"/>
    <n v="2"/>
    <s v="pc"/>
    <m/>
    <m/>
    <s v="Public Bidding"/>
    <n v="2"/>
    <m/>
    <m/>
    <m/>
    <n v="0"/>
    <m/>
    <m/>
    <m/>
    <n v="0"/>
    <m/>
    <m/>
    <m/>
    <n v="0"/>
    <m/>
    <m/>
    <m/>
    <x v="14"/>
    <x v="5"/>
    <s v="Maintenance Fund"/>
    <m/>
  </r>
  <r>
    <s v="Kyocera ECOSYS P2040dn Printer Toner Cartridges"/>
    <n v="2"/>
    <s v="pc"/>
    <m/>
    <m/>
    <s v="Public Bidding"/>
    <n v="2"/>
    <m/>
    <m/>
    <m/>
    <n v="0"/>
    <m/>
    <m/>
    <m/>
    <n v="0"/>
    <m/>
    <m/>
    <m/>
    <n v="0"/>
    <m/>
    <m/>
    <m/>
    <x v="14"/>
    <x v="25"/>
    <m/>
    <m/>
  </r>
  <r>
    <s v="8-Port Gigabit Switch HUB LAN 10/100/1000Mbps"/>
    <n v="10"/>
    <s v="pc"/>
    <m/>
    <m/>
    <s v="Public Bidding"/>
    <n v="3"/>
    <s v="2nd Week"/>
    <m/>
    <m/>
    <n v="2"/>
    <s v="2nd week"/>
    <m/>
    <m/>
    <n v="2"/>
    <s v="2nd week"/>
    <m/>
    <m/>
    <n v="3"/>
    <s v="2nd week"/>
    <m/>
    <m/>
    <x v="15"/>
    <x v="5"/>
    <s v="N/A"/>
    <m/>
  </r>
  <r>
    <s v="UPS"/>
    <n v="5"/>
    <s v="pc"/>
    <m/>
    <m/>
    <s v="Public Bidding"/>
    <n v="3"/>
    <s v="2nd Week"/>
    <m/>
    <m/>
    <m/>
    <m/>
    <m/>
    <m/>
    <n v="2"/>
    <s v="2nd week"/>
    <m/>
    <m/>
    <m/>
    <m/>
    <m/>
    <m/>
    <x v="15"/>
    <x v="3"/>
    <m/>
    <m/>
  </r>
  <r>
    <s v="AVR 500 Watts, 220 Volts"/>
    <n v="5"/>
    <s v="pc"/>
    <m/>
    <m/>
    <s v="Public Bidding"/>
    <n v="3"/>
    <s v="2nd Week"/>
    <m/>
    <m/>
    <m/>
    <m/>
    <m/>
    <m/>
    <n v="2"/>
    <s v="2nd week"/>
    <m/>
    <m/>
    <m/>
    <m/>
    <m/>
    <m/>
    <x v="15"/>
    <x v="5"/>
    <s v="N/A"/>
    <m/>
  </r>
  <r>
    <s v="Branded Desktop Set"/>
    <n v="9"/>
    <s v="set"/>
    <m/>
    <m/>
    <s v="Public Bidding"/>
    <n v="7"/>
    <s v="2nd Week"/>
    <m/>
    <m/>
    <m/>
    <m/>
    <m/>
    <m/>
    <n v="2"/>
    <s v="2nd week"/>
    <m/>
    <m/>
    <m/>
    <m/>
    <m/>
    <m/>
    <x v="15"/>
    <x v="0"/>
    <m/>
    <m/>
  </r>
  <r>
    <s v="Photocopier, Multi Function (Scan/Copy)"/>
    <n v="1"/>
    <s v="pc"/>
    <m/>
    <m/>
    <s v="Public Bidding"/>
    <n v="1"/>
    <s v="2nd Week"/>
    <m/>
    <m/>
    <m/>
    <m/>
    <m/>
    <m/>
    <m/>
    <m/>
    <m/>
    <m/>
    <m/>
    <m/>
    <m/>
    <m/>
    <x v="15"/>
    <x v="53"/>
    <m/>
    <m/>
  </r>
  <r>
    <s v="Printer, Multi Function (Print/Scan/Copy)"/>
    <n v="7"/>
    <s v="pc"/>
    <m/>
    <m/>
    <s v="Public Bidding"/>
    <n v="4"/>
    <s v="2nd Week"/>
    <m/>
    <m/>
    <m/>
    <m/>
    <m/>
    <m/>
    <n v="3"/>
    <s v="2nd week"/>
    <m/>
    <m/>
    <m/>
    <m/>
    <m/>
    <m/>
    <x v="15"/>
    <x v="15"/>
    <s v="Printer"/>
    <m/>
  </r>
  <r>
    <s v="USB Thumb Drive, 16GB"/>
    <n v="20"/>
    <s v="pc"/>
    <m/>
    <m/>
    <s v="Public Bidding"/>
    <n v="5"/>
    <s v="2nd Week"/>
    <m/>
    <m/>
    <n v="5"/>
    <s v="2nd week"/>
    <m/>
    <m/>
    <n v="5"/>
    <s v="2nd week"/>
    <m/>
    <m/>
    <n v="5"/>
    <s v="2nd week"/>
    <m/>
    <m/>
    <x v="15"/>
    <x v="54"/>
    <m/>
    <m/>
  </r>
  <r>
    <s v="USB Thumb Drive, 32GB"/>
    <n v="10"/>
    <s v="pc"/>
    <m/>
    <m/>
    <s v="Public Bidding"/>
    <n v="5"/>
    <s v="2nd Week"/>
    <m/>
    <m/>
    <m/>
    <m/>
    <m/>
    <m/>
    <n v="5"/>
    <s v="2nd week"/>
    <m/>
    <m/>
    <m/>
    <m/>
    <m/>
    <m/>
    <x v="15"/>
    <x v="20"/>
    <m/>
    <m/>
  </r>
  <r>
    <s v="UPS, 625va, 325 Watts"/>
    <n v="4"/>
    <s v="pc"/>
    <m/>
    <m/>
    <s v="Public Bidding"/>
    <n v="2"/>
    <s v="2nd Week"/>
    <m/>
    <m/>
    <m/>
    <m/>
    <m/>
    <m/>
    <n v="2"/>
    <s v="2nd week"/>
    <m/>
    <m/>
    <m/>
    <m/>
    <m/>
    <m/>
    <x v="15"/>
    <x v="3"/>
    <m/>
    <m/>
  </r>
  <r>
    <s v="Epson Genuine Ink T6641 Black"/>
    <n v="200"/>
    <s v="Bottle"/>
    <m/>
    <m/>
    <s v="Public Bidding"/>
    <n v="50"/>
    <m/>
    <m/>
    <m/>
    <n v="50"/>
    <m/>
    <m/>
    <m/>
    <n v="50"/>
    <m/>
    <m/>
    <m/>
    <n v="50"/>
    <m/>
    <m/>
    <m/>
    <x v="15"/>
    <x v="16"/>
    <m/>
    <m/>
  </r>
  <r>
    <s v="Epson Genuine Ink T6642 Cyan"/>
    <n v="40"/>
    <s v="Bottle"/>
    <m/>
    <m/>
    <s v="Public Bidding"/>
    <n v="10"/>
    <m/>
    <m/>
    <m/>
    <n v="10"/>
    <m/>
    <m/>
    <m/>
    <n v="10"/>
    <m/>
    <m/>
    <m/>
    <n v="10"/>
    <m/>
    <m/>
    <m/>
    <x v="15"/>
    <x v="17"/>
    <m/>
    <m/>
  </r>
  <r>
    <s v="Epson Genuine Ink T6644 Yellow"/>
    <n v="40"/>
    <s v="Bottle"/>
    <m/>
    <m/>
    <s v="Public Bidding"/>
    <n v="10"/>
    <m/>
    <m/>
    <m/>
    <n v="10"/>
    <m/>
    <m/>
    <m/>
    <n v="10"/>
    <m/>
    <m/>
    <m/>
    <n v="10"/>
    <m/>
    <m/>
    <m/>
    <x v="15"/>
    <x v="18"/>
    <m/>
    <m/>
  </r>
  <r>
    <s v="Epson Genuine Ink T6643 Magenta"/>
    <n v="40"/>
    <s v="Bottle"/>
    <m/>
    <m/>
    <s v="Public Bidding"/>
    <n v="10"/>
    <m/>
    <m/>
    <m/>
    <n v="10"/>
    <m/>
    <m/>
    <m/>
    <n v="10"/>
    <m/>
    <m/>
    <m/>
    <n v="10"/>
    <m/>
    <m/>
    <m/>
    <x v="15"/>
    <x v="19"/>
    <m/>
    <m/>
  </r>
  <r>
    <s v="Epson Genuine Ink (003) Black"/>
    <n v="800"/>
    <s v="Bottle"/>
    <m/>
    <m/>
    <s v="Public Bidding"/>
    <n v="200"/>
    <m/>
    <m/>
    <m/>
    <n v="200"/>
    <m/>
    <m/>
    <m/>
    <n v="200"/>
    <m/>
    <m/>
    <m/>
    <n v="200"/>
    <m/>
    <m/>
    <m/>
    <x v="15"/>
    <x v="26"/>
    <m/>
    <m/>
  </r>
  <r>
    <s v="Epson Genuine Ink (003) Cyan"/>
    <n v="80"/>
    <s v="Bottle"/>
    <m/>
    <m/>
    <s v="Public Bidding"/>
    <n v="20"/>
    <m/>
    <m/>
    <m/>
    <n v="20"/>
    <m/>
    <m/>
    <m/>
    <n v="20"/>
    <m/>
    <m/>
    <m/>
    <n v="20"/>
    <m/>
    <m/>
    <m/>
    <x v="15"/>
    <x v="27"/>
    <m/>
    <m/>
  </r>
  <r>
    <s v="Epson Genuine Ink (003) Magenta"/>
    <n v="80"/>
    <s v="Bottle"/>
    <m/>
    <m/>
    <s v="Public Bidding"/>
    <n v="20"/>
    <m/>
    <m/>
    <m/>
    <n v="20"/>
    <m/>
    <m/>
    <m/>
    <n v="20"/>
    <m/>
    <m/>
    <m/>
    <n v="20"/>
    <m/>
    <m/>
    <m/>
    <x v="15"/>
    <x v="28"/>
    <m/>
    <m/>
  </r>
  <r>
    <s v="Epson Genuine Ink (003) Yellow"/>
    <n v="80"/>
    <s v="Bottle"/>
    <m/>
    <m/>
    <s v="Public Bidding"/>
    <n v="20"/>
    <m/>
    <m/>
    <m/>
    <n v="20"/>
    <m/>
    <m/>
    <m/>
    <n v="20"/>
    <m/>
    <m/>
    <m/>
    <n v="20"/>
    <m/>
    <m/>
    <m/>
    <x v="15"/>
    <x v="29"/>
    <m/>
    <m/>
  </r>
  <r>
    <s v="Ink Laserjet HP 680 Colored"/>
    <n v="80"/>
    <s v="Piece"/>
    <m/>
    <m/>
    <s v="Public Bidding"/>
    <n v="20"/>
    <m/>
    <m/>
    <m/>
    <n v="20"/>
    <m/>
    <m/>
    <m/>
    <n v="20"/>
    <m/>
    <m/>
    <m/>
    <n v="20"/>
    <m/>
    <m/>
    <m/>
    <x v="15"/>
    <x v="55"/>
    <m/>
    <m/>
  </r>
  <r>
    <s v="Ink Laserjet HP P1102 Colored"/>
    <n v="0"/>
    <s v="Piece"/>
    <m/>
    <m/>
    <s v="Public Bidding"/>
    <m/>
    <m/>
    <m/>
    <m/>
    <m/>
    <m/>
    <m/>
    <m/>
    <m/>
    <m/>
    <m/>
    <m/>
    <m/>
    <m/>
    <m/>
    <m/>
    <x v="15"/>
    <x v="5"/>
    <s v="N/A"/>
    <m/>
  </r>
  <r>
    <s v="Ink Laserjet HP DESKJET ADVANTAGE 2335"/>
    <n v="0"/>
    <s v="Piece"/>
    <m/>
    <m/>
    <s v="Public Bidding"/>
    <m/>
    <m/>
    <m/>
    <m/>
    <m/>
    <m/>
    <m/>
    <m/>
    <m/>
    <m/>
    <m/>
    <m/>
    <m/>
    <m/>
    <m/>
    <m/>
    <x v="15"/>
    <x v="5"/>
    <s v="N/A"/>
    <m/>
  </r>
  <r>
    <s v="Kyocera Ecosys M2640idw/L"/>
    <n v="30"/>
    <s v="Piece"/>
    <m/>
    <m/>
    <s v="Public Bidding"/>
    <n v="15"/>
    <m/>
    <m/>
    <m/>
    <n v="15"/>
    <m/>
    <m/>
    <m/>
    <m/>
    <m/>
    <m/>
    <m/>
    <m/>
    <m/>
    <m/>
    <m/>
    <x v="15"/>
    <x v="49"/>
    <m/>
    <m/>
  </r>
  <r>
    <s v="TK-7120"/>
    <n v="30"/>
    <m/>
    <m/>
    <m/>
    <m/>
    <m/>
    <m/>
    <m/>
    <m/>
    <m/>
    <m/>
    <m/>
    <m/>
    <n v="15"/>
    <m/>
    <m/>
    <m/>
    <n v="15"/>
    <m/>
    <m/>
    <m/>
    <x v="16"/>
    <x v="56"/>
    <m/>
    <m/>
  </r>
  <r>
    <s v="Ink Laserjet HP 680 Black"/>
    <n v="200"/>
    <s v="Bottle"/>
    <m/>
    <m/>
    <s v="Public Bidding"/>
    <n v="50"/>
    <m/>
    <m/>
    <m/>
    <n v="50"/>
    <m/>
    <m/>
    <m/>
    <n v="50"/>
    <m/>
    <m/>
    <m/>
    <n v="50"/>
    <m/>
    <m/>
    <m/>
    <x v="15"/>
    <x v="57"/>
    <m/>
    <m/>
  </r>
  <r>
    <s v="Kyocera Ecosys, TK-1168"/>
    <n v="60"/>
    <s v="Piece"/>
    <m/>
    <m/>
    <s v="Public Bidding"/>
    <n v="15"/>
    <m/>
    <m/>
    <m/>
    <n v="15"/>
    <m/>
    <m/>
    <m/>
    <n v="15"/>
    <m/>
    <m/>
    <m/>
    <n v="15"/>
    <m/>
    <m/>
    <m/>
    <x v="15"/>
    <x v="25"/>
    <m/>
    <m/>
  </r>
  <r>
    <s v="Ink Laserjet HP 85A"/>
    <n v="40"/>
    <s v="Piece"/>
    <m/>
    <m/>
    <s v="Public Bidding"/>
    <n v="10"/>
    <m/>
    <m/>
    <m/>
    <n v="10"/>
    <m/>
    <m/>
    <m/>
    <n v="10"/>
    <m/>
    <m/>
    <m/>
    <n v="10"/>
    <m/>
    <m/>
    <m/>
    <x v="15"/>
    <x v="5"/>
    <s v="N/A"/>
    <m/>
  </r>
  <r>
    <s v="Ink Laserjet HP 107A"/>
    <n v="40"/>
    <s v="Piece"/>
    <m/>
    <m/>
    <s v="Public Bidding"/>
    <n v="10"/>
    <m/>
    <m/>
    <m/>
    <n v="10"/>
    <m/>
    <m/>
    <m/>
    <n v="10"/>
    <m/>
    <m/>
    <m/>
    <n v="10"/>
    <m/>
    <m/>
    <m/>
    <x v="15"/>
    <x v="58"/>
    <m/>
    <m/>
  </r>
  <r>
    <s v="Ink Laserjet HP 17A"/>
    <n v="40"/>
    <s v="Piece"/>
    <m/>
    <m/>
    <s v="Public Bidding"/>
    <n v="10"/>
    <m/>
    <m/>
    <m/>
    <n v="10"/>
    <m/>
    <m/>
    <m/>
    <n v="10"/>
    <m/>
    <m/>
    <m/>
    <n v="10"/>
    <m/>
    <m/>
    <m/>
    <x v="15"/>
    <x v="59"/>
    <m/>
    <m/>
  </r>
  <r>
    <s v="Ink Laserjet HP 85A"/>
    <n v="60"/>
    <s v="Piece"/>
    <m/>
    <m/>
    <s v="Public Bidding"/>
    <n v="15"/>
    <m/>
    <m/>
    <m/>
    <n v="15"/>
    <m/>
    <m/>
    <m/>
    <n v="15"/>
    <m/>
    <m/>
    <m/>
    <n v="15"/>
    <m/>
    <m/>
    <m/>
    <x v="15"/>
    <x v="60"/>
    <m/>
    <m/>
  </r>
  <r>
    <s v="Brother HL L 2375DW"/>
    <n v="60"/>
    <s v="Piece"/>
    <m/>
    <m/>
    <s v="Public Bidding"/>
    <n v="15"/>
    <m/>
    <m/>
    <m/>
    <n v="15"/>
    <m/>
    <m/>
    <m/>
    <n v="15"/>
    <m/>
    <m/>
    <m/>
    <n v="15"/>
    <m/>
    <m/>
    <m/>
    <x v="15"/>
    <x v="5"/>
    <s v="N/A"/>
    <m/>
  </r>
  <r>
    <s v="Brother HL LBTD 60 Colored"/>
    <n v="20"/>
    <s v="Piece"/>
    <m/>
    <m/>
    <s v="Public Bidding"/>
    <n v="5"/>
    <m/>
    <m/>
    <m/>
    <n v="5"/>
    <m/>
    <m/>
    <m/>
    <n v="5"/>
    <m/>
    <m/>
    <m/>
    <n v="5"/>
    <m/>
    <m/>
    <m/>
    <x v="15"/>
    <x v="5"/>
    <s v="N/A"/>
    <m/>
  </r>
  <r>
    <s v="Brother HL LBTD 60 Black"/>
    <n v="60"/>
    <s v="Piece"/>
    <m/>
    <m/>
    <s v="Public Bidding"/>
    <n v="15"/>
    <m/>
    <m/>
    <m/>
    <n v="15"/>
    <m/>
    <m/>
    <m/>
    <n v="15"/>
    <m/>
    <m/>
    <m/>
    <n v="15"/>
    <m/>
    <m/>
    <m/>
    <x v="15"/>
    <x v="5"/>
    <s v="N/A"/>
    <m/>
  </r>
  <r>
    <s v="Branded Desktop Set"/>
    <n v="10"/>
    <s v="set"/>
    <m/>
    <m/>
    <m/>
    <n v="4"/>
    <s v="2nd Week"/>
    <m/>
    <m/>
    <n v="3"/>
    <s v="2nd week"/>
    <m/>
    <m/>
    <n v="3"/>
    <m/>
    <m/>
    <m/>
    <m/>
    <m/>
    <m/>
    <m/>
    <x v="17"/>
    <x v="0"/>
    <m/>
    <m/>
  </r>
  <r>
    <s v="Keyboard, Full Size, USB 2.0"/>
    <n v="10"/>
    <s v="pc"/>
    <m/>
    <m/>
    <m/>
    <n v="3"/>
    <s v="2nd Week"/>
    <m/>
    <m/>
    <m/>
    <m/>
    <m/>
    <m/>
    <n v="3"/>
    <s v="2nd week"/>
    <m/>
    <m/>
    <m/>
    <m/>
    <m/>
    <m/>
    <x v="17"/>
    <x v="13"/>
    <m/>
    <m/>
  </r>
  <r>
    <s v="Mouse, Optical, USB 2.0"/>
    <n v="10"/>
    <s v="pc"/>
    <m/>
    <m/>
    <m/>
    <n v="3"/>
    <s v="2nd Week"/>
    <m/>
    <m/>
    <m/>
    <m/>
    <m/>
    <m/>
    <n v="3"/>
    <s v="2nd week"/>
    <m/>
    <m/>
    <m/>
    <m/>
    <m/>
    <m/>
    <x v="17"/>
    <x v="14"/>
    <m/>
    <m/>
  </r>
  <r>
    <s v="Printer, Multi Function (Print/Scan/Copy)"/>
    <n v="6"/>
    <s v="pc"/>
    <m/>
    <m/>
    <m/>
    <n v="2"/>
    <s v="2nd Week"/>
    <m/>
    <m/>
    <n v="2"/>
    <s v="2nd week"/>
    <m/>
    <m/>
    <n v="2"/>
    <s v="2nd week"/>
    <m/>
    <m/>
    <m/>
    <m/>
    <m/>
    <m/>
    <x v="17"/>
    <x v="15"/>
    <s v="Printer"/>
    <m/>
  </r>
  <r>
    <s v="Printer, Single Function"/>
    <n v="4"/>
    <s v="pc"/>
    <m/>
    <m/>
    <m/>
    <n v="2"/>
    <s v="2nd Week"/>
    <m/>
    <m/>
    <n v="1"/>
    <s v="2nd week"/>
    <m/>
    <m/>
    <n v="1"/>
    <s v="2nd week"/>
    <m/>
    <m/>
    <m/>
    <m/>
    <m/>
    <m/>
    <x v="17"/>
    <x v="15"/>
    <s v="Printer"/>
    <m/>
  </r>
  <r>
    <s v="Thermal Printer"/>
    <n v="1"/>
    <s v="pc"/>
    <m/>
    <m/>
    <m/>
    <n v="1"/>
    <s v="2nd Week"/>
    <m/>
    <m/>
    <m/>
    <m/>
    <m/>
    <m/>
    <m/>
    <m/>
    <m/>
    <m/>
    <m/>
    <m/>
    <m/>
    <m/>
    <x v="17"/>
    <x v="61"/>
    <m/>
    <m/>
  </r>
  <r>
    <s v="UPS, 625va, 325 Watts"/>
    <n v="10"/>
    <s v="pc"/>
    <m/>
    <m/>
    <m/>
    <n v="4"/>
    <s v="2nd Week"/>
    <m/>
    <m/>
    <n v="3"/>
    <s v="2nd week"/>
    <m/>
    <m/>
    <n v="3"/>
    <s v="2nd week"/>
    <m/>
    <m/>
    <m/>
    <m/>
    <m/>
    <m/>
    <x v="17"/>
    <x v="3"/>
    <m/>
    <m/>
  </r>
  <r>
    <s v="Canon Image Formula DR-M160II"/>
    <n v="2"/>
    <s v="pc"/>
    <m/>
    <m/>
    <m/>
    <n v="1"/>
    <s v="2nd Week"/>
    <m/>
    <m/>
    <n v="1"/>
    <s v="2nd week"/>
    <m/>
    <m/>
    <m/>
    <m/>
    <m/>
    <m/>
    <m/>
    <m/>
    <m/>
    <m/>
    <x v="17"/>
    <x v="62"/>
    <m/>
    <m/>
  </r>
  <r>
    <s v="Branded Computer Set with Printer"/>
    <n v="2"/>
    <s v="sets"/>
    <m/>
    <m/>
    <s v="Public Bidding"/>
    <n v="2"/>
    <s v="2nd wk"/>
    <m/>
    <m/>
    <m/>
    <m/>
    <m/>
    <m/>
    <m/>
    <m/>
    <m/>
    <m/>
    <m/>
    <m/>
    <m/>
    <m/>
    <x v="18"/>
    <x v="0"/>
    <m/>
    <m/>
  </r>
  <r>
    <s v="Lightweight Laptop"/>
    <n v="1"/>
    <s v="pc"/>
    <m/>
    <m/>
    <s v="Public Bidding"/>
    <n v="1"/>
    <s v="2nd wk"/>
    <m/>
    <m/>
    <m/>
    <m/>
    <m/>
    <m/>
    <m/>
    <m/>
    <m/>
    <m/>
    <m/>
    <m/>
    <m/>
    <m/>
    <x v="18"/>
    <x v="40"/>
    <m/>
    <m/>
  </r>
  <r>
    <s v="Cellphone (Android)"/>
    <n v="1"/>
    <s v="pc"/>
    <m/>
    <m/>
    <s v="Public Bidding"/>
    <n v="1"/>
    <s v="2nd wk"/>
    <m/>
    <m/>
    <m/>
    <m/>
    <m/>
    <m/>
    <m/>
    <m/>
    <m/>
    <m/>
    <m/>
    <m/>
    <m/>
    <m/>
    <x v="18"/>
    <x v="63"/>
    <m/>
    <m/>
  </r>
  <r>
    <s v="Branded desktop set"/>
    <n v="4"/>
    <s v="set"/>
    <m/>
    <m/>
    <s v="Public Bidding"/>
    <n v="4"/>
    <n v="5"/>
    <m/>
    <m/>
    <n v="0"/>
    <m/>
    <m/>
    <m/>
    <n v="0"/>
    <m/>
    <m/>
    <m/>
    <n v="0"/>
    <m/>
    <m/>
    <m/>
    <x v="19"/>
    <x v="0"/>
    <m/>
    <m/>
  </r>
  <r>
    <s v="CCTV"/>
    <n v="5"/>
    <s v="pc"/>
    <m/>
    <m/>
    <s v="Public Bidding"/>
    <n v="5"/>
    <n v="5"/>
    <m/>
    <m/>
    <n v="0"/>
    <m/>
    <m/>
    <m/>
    <n v="0"/>
    <m/>
    <m/>
    <m/>
    <n v="0"/>
    <m/>
    <m/>
    <m/>
    <x v="19"/>
    <x v="5"/>
    <s v="N/A"/>
    <m/>
  </r>
  <r>
    <s v="UPS, 625va, 325 Watts"/>
    <n v="6"/>
    <s v="pc"/>
    <m/>
    <m/>
    <s v="Public Bidding"/>
    <n v="6"/>
    <n v="6"/>
    <m/>
    <m/>
    <n v="0"/>
    <m/>
    <m/>
    <m/>
    <n v="0"/>
    <m/>
    <m/>
    <m/>
    <n v="0"/>
    <m/>
    <m/>
    <m/>
    <x v="19"/>
    <x v="3"/>
    <m/>
    <m/>
  </r>
  <r>
    <s v="Webcam Full HD 1080p with Built in Microphone, , USB plug and play, with attachable mounting clip"/>
    <n v="2"/>
    <s v="pc"/>
    <m/>
    <m/>
    <s v="Public Bidding"/>
    <n v="2"/>
    <n v="2"/>
    <m/>
    <m/>
    <n v="0"/>
    <m/>
    <m/>
    <m/>
    <n v="0"/>
    <m/>
    <m/>
    <m/>
    <n v="0"/>
    <m/>
    <m/>
    <m/>
    <x v="19"/>
    <x v="2"/>
    <m/>
    <m/>
  </r>
  <r>
    <s v="Branded Headset with built-in boom type microphone, Noise cancelling capability and active noise cancellation, 3.5mm Input Jack, over ear, Adjustable headband, compatibility with Windows PC and IOS"/>
    <n v="2"/>
    <s v="pc"/>
    <m/>
    <m/>
    <s v="Public Bidding"/>
    <n v="2"/>
    <n v="2"/>
    <m/>
    <m/>
    <n v="0"/>
    <m/>
    <m/>
    <m/>
    <n v="0"/>
    <m/>
    <m/>
    <m/>
    <n v="0"/>
    <m/>
    <m/>
    <m/>
    <x v="19"/>
    <x v="4"/>
    <m/>
    <m/>
  </r>
  <r>
    <s v="Laptop Lightweight"/>
    <n v="1"/>
    <s v="UNIT"/>
    <m/>
    <m/>
    <s v="Public Bidding"/>
    <n v="1"/>
    <n v="1"/>
    <m/>
    <m/>
    <n v="0"/>
    <m/>
    <m/>
    <m/>
    <n v="0"/>
    <m/>
    <m/>
    <m/>
    <n v="0"/>
    <m/>
    <m/>
    <m/>
    <x v="19"/>
    <x v="40"/>
    <m/>
    <m/>
  </r>
  <r>
    <s v="Projector"/>
    <n v="1"/>
    <s v="pc"/>
    <m/>
    <m/>
    <s v="Public Bidding"/>
    <n v="1"/>
    <n v="1"/>
    <m/>
    <m/>
    <n v="0"/>
    <m/>
    <m/>
    <m/>
    <n v="0"/>
    <m/>
    <m/>
    <m/>
    <n v="0"/>
    <m/>
    <m/>
    <m/>
    <x v="19"/>
    <x v="64"/>
    <m/>
    <m/>
  </r>
  <r>
    <s v="Telephone"/>
    <n v="2"/>
    <s v="pc"/>
    <m/>
    <m/>
    <s v="Public Bidding"/>
    <n v="2"/>
    <n v="2"/>
    <m/>
    <m/>
    <n v="0"/>
    <m/>
    <m/>
    <m/>
    <n v="0"/>
    <m/>
    <m/>
    <m/>
    <n v="0"/>
    <m/>
    <m/>
    <m/>
    <x v="19"/>
    <x v="52"/>
    <m/>
    <m/>
  </r>
  <r>
    <s v="Professional walkie-talkie"/>
    <n v="4"/>
    <s v="pc"/>
    <m/>
    <m/>
    <s v="Public Bidding"/>
    <n v="4"/>
    <n v="4"/>
    <m/>
    <m/>
    <n v="0"/>
    <m/>
    <m/>
    <m/>
    <n v="0"/>
    <m/>
    <m/>
    <m/>
    <n v="0"/>
    <m/>
    <m/>
    <m/>
    <x v="19"/>
    <x v="65"/>
    <m/>
    <m/>
  </r>
  <r>
    <s v="Ink,Black, compatible to Brother DCP-T700W"/>
    <n v="60"/>
    <s v="pc"/>
    <m/>
    <m/>
    <s v="Public Bidding"/>
    <n v="15"/>
    <n v="5"/>
    <n v="5"/>
    <n v="5"/>
    <n v="15"/>
    <n v="5"/>
    <n v="5"/>
    <n v="5"/>
    <n v="15"/>
    <n v="5"/>
    <n v="5"/>
    <n v="5"/>
    <n v="15"/>
    <n v="5"/>
    <n v="5"/>
    <n v="5"/>
    <x v="19"/>
    <x v="66"/>
    <m/>
    <m/>
  </r>
  <r>
    <s v="Ink, magenta,compatible to Brother DCP-T700W"/>
    <n v="33"/>
    <s v="pc"/>
    <m/>
    <m/>
    <s v="Public Bidding"/>
    <n v="6"/>
    <n v="2"/>
    <n v="2"/>
    <n v="2"/>
    <n v="9"/>
    <n v="3"/>
    <n v="3"/>
    <n v="3"/>
    <n v="9"/>
    <n v="3"/>
    <n v="3"/>
    <n v="3"/>
    <n v="9"/>
    <n v="3"/>
    <n v="3"/>
    <n v="3"/>
    <x v="19"/>
    <x v="67"/>
    <m/>
    <m/>
  </r>
  <r>
    <s v="Ink, cyan, compatible to Brother DCP-T700W"/>
    <n v="33"/>
    <s v="pc"/>
    <m/>
    <m/>
    <s v="Public Bidding"/>
    <n v="6"/>
    <n v="2"/>
    <n v="2"/>
    <n v="2"/>
    <n v="9"/>
    <n v="3"/>
    <n v="3"/>
    <n v="3"/>
    <n v="9"/>
    <n v="3"/>
    <n v="3"/>
    <n v="3"/>
    <n v="9"/>
    <n v="3"/>
    <n v="3"/>
    <n v="3"/>
    <x v="19"/>
    <x v="68"/>
    <m/>
    <m/>
  </r>
  <r>
    <s v="Ink ,yellow,compatible to Brother DCP-T700W"/>
    <n v="33"/>
    <s v="pc"/>
    <m/>
    <m/>
    <s v="Public Bidding"/>
    <n v="6"/>
    <n v="2"/>
    <n v="2"/>
    <n v="2"/>
    <n v="9"/>
    <n v="3"/>
    <n v="3"/>
    <n v="3"/>
    <n v="9"/>
    <n v="3"/>
    <n v="3"/>
    <n v="3"/>
    <n v="9"/>
    <n v="3"/>
    <n v="3"/>
    <n v="3"/>
    <x v="19"/>
    <x v="66"/>
    <m/>
    <m/>
  </r>
  <r>
    <s v="Ink Black compatible to Epson L3210"/>
    <n v="36"/>
    <s v="pc"/>
    <m/>
    <m/>
    <s v="Public Bidding"/>
    <n v="9"/>
    <n v="3"/>
    <n v="3"/>
    <n v="3"/>
    <n v="9"/>
    <n v="3"/>
    <n v="3"/>
    <n v="3"/>
    <n v="9"/>
    <n v="3"/>
    <n v="3"/>
    <n v="3"/>
    <n v="9"/>
    <n v="3"/>
    <n v="3"/>
    <n v="3"/>
    <x v="19"/>
    <x v="26"/>
    <m/>
    <m/>
  </r>
  <r>
    <s v="Ink Cyan compatible to Epson L3210"/>
    <n v="12"/>
    <s v="pc"/>
    <m/>
    <m/>
    <s v="Public Bidding"/>
    <n v="3"/>
    <n v="1"/>
    <n v="1"/>
    <n v="1"/>
    <n v="3"/>
    <n v="1"/>
    <n v="1"/>
    <n v="1"/>
    <n v="3"/>
    <n v="1"/>
    <n v="1"/>
    <n v="1"/>
    <n v="3"/>
    <n v="1"/>
    <n v="1"/>
    <n v="1"/>
    <x v="19"/>
    <x v="27"/>
    <m/>
    <m/>
  </r>
  <r>
    <s v="Ink Magenta compatible to Epson L3210"/>
    <n v="12"/>
    <s v="pc"/>
    <m/>
    <m/>
    <s v="Public Bidding"/>
    <n v="3"/>
    <n v="1"/>
    <n v="1"/>
    <n v="1"/>
    <n v="3"/>
    <n v="1"/>
    <n v="1"/>
    <n v="1"/>
    <n v="3"/>
    <n v="1"/>
    <n v="1"/>
    <n v="1"/>
    <n v="3"/>
    <n v="1"/>
    <n v="1"/>
    <n v="1"/>
    <x v="19"/>
    <x v="28"/>
    <m/>
    <m/>
  </r>
  <r>
    <s v="Ink Yellow compatible to Epson L3210"/>
    <n v="12"/>
    <s v="pc"/>
    <m/>
    <m/>
    <s v="Public Bidding"/>
    <n v="3"/>
    <n v="1"/>
    <n v="1"/>
    <n v="1"/>
    <n v="3"/>
    <n v="1"/>
    <n v="1"/>
    <n v="1"/>
    <n v="3"/>
    <n v="1"/>
    <n v="1"/>
    <n v="1"/>
    <n v="3"/>
    <n v="1"/>
    <n v="1"/>
    <n v="1"/>
    <x v="19"/>
    <x v="29"/>
    <m/>
    <m/>
  </r>
  <r>
    <s v="Kyocera TK-8113Y"/>
    <n v="3"/>
    <s v="cart"/>
    <m/>
    <m/>
    <m/>
    <n v="1"/>
    <n v="1"/>
    <m/>
    <m/>
    <n v="1"/>
    <m/>
    <n v="1"/>
    <m/>
    <n v="1"/>
    <m/>
    <n v="1"/>
    <m/>
    <n v="0"/>
    <m/>
    <m/>
    <m/>
    <x v="20"/>
    <x v="69"/>
    <m/>
    <m/>
  </r>
  <r>
    <s v="Kyocera TK-8113M"/>
    <n v="3"/>
    <s v="cart"/>
    <m/>
    <m/>
    <m/>
    <n v="1"/>
    <n v="1"/>
    <m/>
    <m/>
    <n v="1"/>
    <m/>
    <n v="1"/>
    <m/>
    <n v="1"/>
    <m/>
    <n v="1"/>
    <m/>
    <n v="0"/>
    <m/>
    <m/>
    <m/>
    <x v="20"/>
    <x v="5"/>
    <s v="N/A"/>
    <m/>
  </r>
  <r>
    <s v="Kyocera TK-8113C"/>
    <n v="3"/>
    <s v="cart"/>
    <m/>
    <m/>
    <m/>
    <n v="1"/>
    <n v="1"/>
    <m/>
    <m/>
    <n v="1"/>
    <m/>
    <n v="1"/>
    <m/>
    <n v="1"/>
    <m/>
    <n v="1"/>
    <m/>
    <n v="0"/>
    <m/>
    <m/>
    <m/>
    <x v="20"/>
    <x v="5"/>
    <s v="N/A"/>
    <m/>
  </r>
  <r>
    <s v="Kyocera TK-8113K"/>
    <n v="3"/>
    <s v="cart"/>
    <m/>
    <m/>
    <m/>
    <n v="1"/>
    <n v="1"/>
    <m/>
    <m/>
    <n v="1"/>
    <m/>
    <n v="1"/>
    <m/>
    <n v="1"/>
    <m/>
    <n v="1"/>
    <m/>
    <n v="0"/>
    <m/>
    <m/>
    <m/>
    <x v="20"/>
    <x v="70"/>
    <m/>
    <m/>
  </r>
  <r>
    <s v="EPSON 003 - CYAN"/>
    <n v="20"/>
    <s v="Bottle"/>
    <m/>
    <m/>
    <m/>
    <n v="5"/>
    <n v="5"/>
    <m/>
    <m/>
    <n v="5"/>
    <n v="5"/>
    <m/>
    <m/>
    <n v="5"/>
    <n v="5"/>
    <m/>
    <m/>
    <n v="5"/>
    <n v="5"/>
    <m/>
    <m/>
    <x v="20"/>
    <x v="29"/>
    <m/>
    <m/>
  </r>
  <r>
    <s v="EPSON 003 - MAGENTA"/>
    <n v="20"/>
    <s v="Bottle"/>
    <m/>
    <m/>
    <m/>
    <n v="5"/>
    <n v="5"/>
    <m/>
    <m/>
    <n v="5"/>
    <n v="5"/>
    <m/>
    <m/>
    <n v="5"/>
    <n v="5"/>
    <m/>
    <m/>
    <n v="5"/>
    <n v="5"/>
    <m/>
    <m/>
    <x v="20"/>
    <x v="27"/>
    <m/>
    <m/>
  </r>
  <r>
    <s v="EPSON 003 - YELLOW"/>
    <n v="20"/>
    <s v="Bottle"/>
    <m/>
    <m/>
    <m/>
    <n v="5"/>
    <n v="5"/>
    <m/>
    <m/>
    <n v="5"/>
    <n v="5"/>
    <m/>
    <m/>
    <n v="5"/>
    <n v="5"/>
    <m/>
    <m/>
    <n v="5"/>
    <n v="5"/>
    <m/>
    <m/>
    <x v="20"/>
    <x v="28"/>
    <m/>
    <m/>
  </r>
  <r>
    <s v="EPSON 003 - BLACK"/>
    <n v="30"/>
    <s v="Bottle"/>
    <m/>
    <m/>
    <m/>
    <n v="10"/>
    <n v="10"/>
    <m/>
    <m/>
    <n v="10"/>
    <n v="10"/>
    <m/>
    <m/>
    <n v="5"/>
    <n v="5"/>
    <m/>
    <m/>
    <n v="5"/>
    <n v="5"/>
    <m/>
    <m/>
    <x v="20"/>
    <x v="26"/>
    <m/>
    <m/>
  </r>
  <r>
    <s v="Kyocera TK-1168"/>
    <n v="2"/>
    <s v="cart"/>
    <m/>
    <m/>
    <m/>
    <n v="1"/>
    <n v="1"/>
    <m/>
    <m/>
    <n v="0"/>
    <m/>
    <m/>
    <m/>
    <n v="1"/>
    <n v="1"/>
    <m/>
    <m/>
    <n v="0"/>
    <m/>
    <m/>
    <m/>
    <x v="20"/>
    <x v="25"/>
    <m/>
    <m/>
  </r>
  <r>
    <s v="Ink for Epson L120 (T6641), Black"/>
    <n v="60"/>
    <s v="pc"/>
    <m/>
    <m/>
    <s v="Public Bidding"/>
    <n v="15"/>
    <n v="5"/>
    <n v="5"/>
    <n v="5"/>
    <n v="15"/>
    <n v="5"/>
    <n v="5"/>
    <n v="5"/>
    <n v="15"/>
    <n v="5"/>
    <n v="5"/>
    <n v="5"/>
    <n v="15"/>
    <n v="5"/>
    <n v="5"/>
    <n v="5"/>
    <x v="21"/>
    <x v="16"/>
    <m/>
    <m/>
  </r>
  <r>
    <s v="Ink for Epson L120 (T6642), Yellow"/>
    <n v="60"/>
    <s v="pc"/>
    <m/>
    <m/>
    <s v="Public Bidding"/>
    <n v="15"/>
    <n v="5"/>
    <n v="5"/>
    <n v="5"/>
    <n v="15"/>
    <n v="5"/>
    <n v="5"/>
    <n v="5"/>
    <n v="15"/>
    <n v="5"/>
    <n v="5"/>
    <n v="5"/>
    <n v="15"/>
    <n v="5"/>
    <n v="5"/>
    <n v="5"/>
    <x v="21"/>
    <x v="17"/>
    <m/>
    <m/>
  </r>
  <r>
    <s v="Ink for Epson L120 (T6643), Magenta"/>
    <n v="60"/>
    <s v="pc"/>
    <m/>
    <m/>
    <s v="Public Bidding"/>
    <n v="15"/>
    <n v="5"/>
    <n v="5"/>
    <n v="5"/>
    <n v="15"/>
    <n v="5"/>
    <n v="5"/>
    <n v="5"/>
    <n v="15"/>
    <n v="5"/>
    <n v="5"/>
    <n v="5"/>
    <n v="15"/>
    <n v="5"/>
    <n v="5"/>
    <n v="5"/>
    <x v="21"/>
    <x v="18"/>
    <m/>
    <m/>
  </r>
  <r>
    <s v="Ink for Epson L120 (T6642), Cyan"/>
    <n v="60"/>
    <s v="pc"/>
    <m/>
    <m/>
    <s v="Public Bidding"/>
    <n v="15"/>
    <n v="5"/>
    <n v="5"/>
    <n v="5"/>
    <n v="15"/>
    <n v="5"/>
    <n v="5"/>
    <n v="5"/>
    <n v="15"/>
    <n v="5"/>
    <n v="5"/>
    <n v="5"/>
    <n v="15"/>
    <n v="5"/>
    <n v="5"/>
    <n v="5"/>
    <x v="21"/>
    <x v="19"/>
    <m/>
    <m/>
  </r>
  <r>
    <s v="Ink for Epson L3210 and L3250 (003), Black"/>
    <n v="60"/>
    <s v="pc"/>
    <m/>
    <m/>
    <s v="Public Bidding"/>
    <n v="15"/>
    <n v="5"/>
    <n v="5"/>
    <n v="5"/>
    <n v="15"/>
    <n v="5"/>
    <n v="5"/>
    <n v="5"/>
    <n v="15"/>
    <n v="5"/>
    <n v="5"/>
    <n v="5"/>
    <n v="15"/>
    <n v="5"/>
    <n v="5"/>
    <n v="5"/>
    <x v="21"/>
    <x v="26"/>
    <m/>
    <m/>
  </r>
  <r>
    <s v="Ink for Epson L3210 and L3250 (003), Yellow"/>
    <n v="60"/>
    <s v="pc"/>
    <m/>
    <m/>
    <s v="Public Bidding"/>
    <n v="15"/>
    <n v="5"/>
    <n v="5"/>
    <n v="5"/>
    <n v="15"/>
    <n v="5"/>
    <n v="5"/>
    <n v="5"/>
    <n v="15"/>
    <n v="5"/>
    <n v="5"/>
    <n v="5"/>
    <n v="15"/>
    <n v="5"/>
    <n v="5"/>
    <n v="5"/>
    <x v="21"/>
    <x v="27"/>
    <m/>
    <m/>
  </r>
  <r>
    <s v="Ink for Epson L3210 and L3250 (003), Magenta"/>
    <n v="60"/>
    <s v="pc"/>
    <m/>
    <m/>
    <s v="Public Bidding"/>
    <n v="15"/>
    <n v="5"/>
    <n v="5"/>
    <n v="5"/>
    <n v="15"/>
    <n v="5"/>
    <n v="5"/>
    <n v="5"/>
    <n v="15"/>
    <n v="5"/>
    <n v="5"/>
    <n v="5"/>
    <n v="15"/>
    <n v="5"/>
    <n v="5"/>
    <n v="5"/>
    <x v="21"/>
    <x v="28"/>
    <m/>
    <m/>
  </r>
  <r>
    <s v="Ink for Epson L3210 and L3250 (003), Cyan"/>
    <n v="60"/>
    <s v="pc"/>
    <m/>
    <m/>
    <s v="Public Bidding"/>
    <n v="15"/>
    <n v="5"/>
    <n v="5"/>
    <n v="5"/>
    <n v="15"/>
    <n v="5"/>
    <n v="5"/>
    <n v="5"/>
    <n v="15"/>
    <n v="5"/>
    <n v="5"/>
    <n v="5"/>
    <n v="15"/>
    <n v="5"/>
    <n v="5"/>
    <n v="5"/>
    <x v="21"/>
    <x v="29"/>
    <m/>
    <m/>
  </r>
  <r>
    <s v="TONER compatible to Kyocera TASKalfa 3212i"/>
    <n v="4"/>
    <s v="pc"/>
    <m/>
    <m/>
    <s v="Public Bidding"/>
    <n v="1"/>
    <n v="1"/>
    <n v="0"/>
    <n v="0"/>
    <n v="1"/>
    <n v="1"/>
    <n v="0"/>
    <n v="0"/>
    <n v="1"/>
    <n v="1"/>
    <n v="0"/>
    <n v="0"/>
    <n v="1"/>
    <n v="1"/>
    <n v="0"/>
    <n v="0"/>
    <x v="21"/>
    <x v="56"/>
    <m/>
    <m/>
  </r>
  <r>
    <s v="CELLPHONE"/>
    <n v="2"/>
    <s v="UNIT"/>
    <m/>
    <m/>
    <s v="Public Bidding"/>
    <n v="2"/>
    <n v="2"/>
    <n v="0"/>
    <n v="0"/>
    <n v="0"/>
    <n v="0"/>
    <n v="0"/>
    <n v="0"/>
    <n v="0"/>
    <n v="0"/>
    <n v="0"/>
    <n v="0"/>
    <n v="0"/>
    <n v="0"/>
    <n v="0"/>
    <n v="0"/>
    <x v="22"/>
    <x v="63"/>
    <m/>
    <m/>
  </r>
  <r>
    <s v="COPIER MONOCHROME MULTIFUNCTIONAL PRINT, COPY, COLOUR SCAN AND FAX"/>
    <n v="1"/>
    <s v="UNIT"/>
    <m/>
    <m/>
    <s v="Public Bidding"/>
    <n v="1"/>
    <n v="1"/>
    <n v="0"/>
    <n v="0"/>
    <n v="0"/>
    <n v="0"/>
    <n v="0"/>
    <n v="0"/>
    <n v="0"/>
    <n v="0"/>
    <n v="0"/>
    <n v="0"/>
    <n v="0"/>
    <n v="0"/>
    <n v="0"/>
    <n v="0"/>
    <x v="22"/>
    <x v="53"/>
    <m/>
    <m/>
  </r>
  <r>
    <s v="DESKTOP FOR MID-RANGE USERS"/>
    <n v="9"/>
    <s v="UNIT"/>
    <m/>
    <m/>
    <s v="Public Bidding"/>
    <n v="6"/>
    <n v="6"/>
    <n v="0"/>
    <n v="0"/>
    <n v="0"/>
    <n v="0"/>
    <n v="0"/>
    <n v="0"/>
    <n v="3"/>
    <n v="3"/>
    <n v="0"/>
    <n v="0"/>
    <n v="0"/>
    <n v="0"/>
    <n v="0"/>
    <n v="0"/>
    <x v="22"/>
    <x v="0"/>
    <m/>
    <m/>
  </r>
  <r>
    <s v="DIGITAL VOICE RECORDER"/>
    <n v="1"/>
    <s v="UNIT"/>
    <m/>
    <m/>
    <s v="Public Bidding"/>
    <n v="1"/>
    <n v="1"/>
    <n v="0"/>
    <n v="0"/>
    <n v="0"/>
    <n v="0"/>
    <n v="0"/>
    <n v="0"/>
    <n v="0"/>
    <n v="0"/>
    <n v="0"/>
    <n v="0"/>
    <n v="0"/>
    <n v="0"/>
    <n v="0"/>
    <n v="0"/>
    <x v="22"/>
    <x v="71"/>
    <m/>
    <m/>
  </r>
  <r>
    <s v="DRUM KIT TK-6113"/>
    <n v="5"/>
    <s v="cart"/>
    <m/>
    <m/>
    <s v="Public Bidding"/>
    <n v="5"/>
    <n v="5"/>
    <n v="0"/>
    <n v="0"/>
    <n v="0"/>
    <n v="0"/>
    <n v="0"/>
    <n v="0"/>
    <n v="0"/>
    <n v="0"/>
    <n v="0"/>
    <n v="0"/>
    <n v="0"/>
    <n v="0"/>
    <n v="0"/>
    <n v="0"/>
    <x v="22"/>
    <x v="5"/>
    <s v="Maintenance Fund"/>
    <m/>
  </r>
  <r>
    <s v="FLASH DRIVE, 16 GB CAPACITY"/>
    <n v="5"/>
    <s v="Piece"/>
    <m/>
    <m/>
    <s v="Public Bidding"/>
    <n v="5"/>
    <n v="5"/>
    <n v="0"/>
    <n v="0"/>
    <n v="0"/>
    <n v="0"/>
    <n v="0"/>
    <n v="0"/>
    <n v="0"/>
    <n v="0"/>
    <n v="0"/>
    <n v="0"/>
    <n v="0"/>
    <n v="0"/>
    <n v="0"/>
    <n v="0"/>
    <x v="22"/>
    <x v="54"/>
    <m/>
    <m/>
  </r>
  <r>
    <s v="INK CART, EPSON C13T664100 (T6641), BLACK"/>
    <n v="36"/>
    <s v="Bottle"/>
    <m/>
    <m/>
    <s v="Public Bidding"/>
    <n v="9"/>
    <n v="3"/>
    <n v="3"/>
    <n v="3"/>
    <n v="9"/>
    <n v="3"/>
    <n v="3"/>
    <n v="3"/>
    <n v="9"/>
    <n v="3"/>
    <n v="3"/>
    <n v="3"/>
    <n v="9"/>
    <n v="3"/>
    <n v="3"/>
    <n v="3"/>
    <x v="22"/>
    <x v="16"/>
    <m/>
    <m/>
  </r>
  <r>
    <s v="INK CART, EPSON C13T664200 (T6642), CYAN"/>
    <n v="36"/>
    <s v="Bottle"/>
    <m/>
    <m/>
    <s v="Public Bidding"/>
    <n v="9"/>
    <n v="3"/>
    <n v="3"/>
    <n v="3"/>
    <n v="9"/>
    <n v="3"/>
    <n v="3"/>
    <n v="3"/>
    <n v="9"/>
    <n v="3"/>
    <n v="3"/>
    <n v="3"/>
    <n v="9"/>
    <n v="3"/>
    <n v="3"/>
    <n v="3"/>
    <x v="22"/>
    <x v="17"/>
    <m/>
    <m/>
  </r>
  <r>
    <s v="INK CART, EPSON C13T664300 (T6643), MAGENTA"/>
    <n v="36"/>
    <s v="Bottle"/>
    <m/>
    <m/>
    <s v="Public Bidding"/>
    <n v="9"/>
    <n v="3"/>
    <n v="3"/>
    <n v="3"/>
    <n v="9"/>
    <n v="3"/>
    <n v="3"/>
    <n v="3"/>
    <n v="9"/>
    <n v="3"/>
    <n v="3"/>
    <n v="3"/>
    <n v="9"/>
    <n v="3"/>
    <n v="3"/>
    <n v="3"/>
    <x v="22"/>
    <x v="18"/>
    <m/>
    <m/>
  </r>
  <r>
    <s v="INK CART, EPSON C13T664400 (T6644), YELLOW"/>
    <n v="36"/>
    <s v="Bottle"/>
    <m/>
    <m/>
    <s v="Public Bidding"/>
    <n v="9"/>
    <n v="3"/>
    <n v="3"/>
    <n v="3"/>
    <n v="9"/>
    <n v="3"/>
    <n v="3"/>
    <n v="3"/>
    <n v="9"/>
    <n v="3"/>
    <n v="3"/>
    <n v="3"/>
    <n v="9"/>
    <n v="3"/>
    <n v="3"/>
    <n v="3"/>
    <x v="22"/>
    <x v="19"/>
    <m/>
    <m/>
  </r>
  <r>
    <s v="INK EPSON 003 BLACK"/>
    <n v="36"/>
    <s v="Bottle"/>
    <m/>
    <m/>
    <s v="Public Bidding"/>
    <n v="9"/>
    <n v="3"/>
    <n v="3"/>
    <n v="3"/>
    <n v="9"/>
    <n v="3"/>
    <n v="3"/>
    <n v="3"/>
    <n v="9"/>
    <n v="3"/>
    <n v="3"/>
    <n v="3"/>
    <n v="9"/>
    <n v="3"/>
    <n v="3"/>
    <n v="3"/>
    <x v="22"/>
    <x v="26"/>
    <m/>
    <m/>
  </r>
  <r>
    <s v="INK EPSON 003 CYAN"/>
    <n v="36"/>
    <s v="Bottle"/>
    <m/>
    <m/>
    <s v="Public Bidding"/>
    <n v="9"/>
    <n v="3"/>
    <n v="3"/>
    <n v="3"/>
    <n v="9"/>
    <n v="3"/>
    <n v="3"/>
    <n v="3"/>
    <n v="9"/>
    <n v="3"/>
    <n v="3"/>
    <n v="3"/>
    <n v="9"/>
    <n v="3"/>
    <n v="3"/>
    <n v="3"/>
    <x v="22"/>
    <x v="27"/>
    <m/>
    <m/>
  </r>
  <r>
    <s v="INK EPSON 003 MAGENTA"/>
    <n v="36"/>
    <s v="Bottle"/>
    <m/>
    <m/>
    <s v="Public Bidding"/>
    <n v="9"/>
    <n v="3"/>
    <n v="3"/>
    <n v="3"/>
    <n v="9"/>
    <n v="3"/>
    <n v="3"/>
    <n v="3"/>
    <n v="9"/>
    <n v="3"/>
    <n v="3"/>
    <n v="3"/>
    <n v="9"/>
    <n v="3"/>
    <n v="3"/>
    <n v="3"/>
    <x v="22"/>
    <x v="28"/>
    <m/>
    <m/>
  </r>
  <r>
    <s v="INK EPSON 003 YELLOW"/>
    <n v="36"/>
    <s v="Bottle"/>
    <m/>
    <m/>
    <s v="Public Bidding"/>
    <n v="9"/>
    <n v="3"/>
    <n v="3"/>
    <n v="3"/>
    <n v="9"/>
    <n v="3"/>
    <n v="3"/>
    <n v="3"/>
    <n v="9"/>
    <n v="3"/>
    <n v="3"/>
    <n v="3"/>
    <n v="9"/>
    <n v="3"/>
    <n v="3"/>
    <n v="3"/>
    <x v="22"/>
    <x v="29"/>
    <m/>
    <m/>
  </r>
  <r>
    <s v="KEYBOARD, FULL SIZE, USB 2.0"/>
    <n v="10"/>
    <s v="pc"/>
    <m/>
    <m/>
    <s v="Public Bidding"/>
    <n v="10"/>
    <n v="10"/>
    <n v="0"/>
    <n v="0"/>
    <n v="0"/>
    <n v="0"/>
    <n v="0"/>
    <n v="0"/>
    <n v="0"/>
    <n v="0"/>
    <n v="0"/>
    <n v="0"/>
    <n v="0"/>
    <n v="0"/>
    <n v="0"/>
    <n v="0"/>
    <x v="22"/>
    <x v="13"/>
    <m/>
    <m/>
  </r>
  <r>
    <s v="LAPTOP, LIGHTWEIGHT"/>
    <n v="1"/>
    <s v="UNIT"/>
    <m/>
    <m/>
    <s v="Public Bidding"/>
    <n v="1"/>
    <n v="1"/>
    <n v="0"/>
    <n v="0"/>
    <n v="0"/>
    <n v="0"/>
    <n v="0"/>
    <n v="0"/>
    <n v="0"/>
    <n v="0"/>
    <n v="0"/>
    <n v="0"/>
    <n v="0"/>
    <n v="0"/>
    <n v="0"/>
    <n v="0"/>
    <x v="22"/>
    <x v="40"/>
    <m/>
    <m/>
  </r>
  <r>
    <s v="LAPTOP, MID-RANGE"/>
    <n v="2"/>
    <s v="UNIT"/>
    <m/>
    <m/>
    <s v="Public Bidding"/>
    <n v="2"/>
    <n v="2"/>
    <n v="0"/>
    <n v="0"/>
    <n v="0"/>
    <n v="0"/>
    <n v="0"/>
    <n v="0"/>
    <n v="0"/>
    <n v="0"/>
    <n v="0"/>
    <n v="0"/>
    <n v="0"/>
    <n v="0"/>
    <n v="0"/>
    <n v="0"/>
    <x v="22"/>
    <x v="40"/>
    <m/>
    <m/>
  </r>
  <r>
    <s v="MAINTENANCE KIT TK-6119"/>
    <n v="5"/>
    <s v="cart"/>
    <m/>
    <m/>
    <s v="Public Bidding"/>
    <n v="5"/>
    <n v="5"/>
    <n v="0"/>
    <n v="0"/>
    <n v="0"/>
    <n v="0"/>
    <n v="0"/>
    <n v="0"/>
    <n v="0"/>
    <n v="0"/>
    <n v="0"/>
    <n v="0"/>
    <n v="0"/>
    <n v="0"/>
    <n v="0"/>
    <n v="0"/>
    <x v="22"/>
    <x v="10"/>
    <m/>
    <m/>
  </r>
  <r>
    <s v="MOUSE, OPTICAL"/>
    <n v="10"/>
    <s v="UNIT"/>
    <m/>
    <m/>
    <s v="Public Bidding"/>
    <n v="10"/>
    <n v="10"/>
    <n v="0"/>
    <n v="0"/>
    <n v="0"/>
    <n v="0"/>
    <n v="0"/>
    <n v="0"/>
    <n v="0"/>
    <n v="0"/>
    <n v="0"/>
    <n v="0"/>
    <n v="0"/>
    <n v="0"/>
    <n v="0"/>
    <n v="0"/>
    <x v="22"/>
    <x v="14"/>
    <m/>
    <m/>
  </r>
  <r>
    <s v="MULTI-FUNCTION INKJET PRINTER TANK (PRINT, COPY, SCAN)"/>
    <n v="5"/>
    <s v="UNIT"/>
    <m/>
    <m/>
    <s v="Public Bidding"/>
    <n v="5"/>
    <n v="5"/>
    <n v="0"/>
    <n v="0"/>
    <n v="0"/>
    <n v="0"/>
    <n v="0"/>
    <n v="0"/>
    <n v="0"/>
    <n v="0"/>
    <n v="0"/>
    <n v="0"/>
    <n v="0"/>
    <n v="0"/>
    <n v="0"/>
    <n v="0"/>
    <x v="22"/>
    <x v="15"/>
    <s v="Printer"/>
    <m/>
  </r>
  <r>
    <s v="THERMAL POS RECEIPT PRINTER"/>
    <n v="10"/>
    <s v="UNIT"/>
    <m/>
    <m/>
    <s v="Public Bidding"/>
    <n v="8"/>
    <n v="8"/>
    <n v="0"/>
    <n v="0"/>
    <n v="0"/>
    <n v="0"/>
    <n v="0"/>
    <n v="0"/>
    <n v="2"/>
    <n v="2"/>
    <n v="0"/>
    <n v="0"/>
    <n v="0"/>
    <n v="0"/>
    <n v="0"/>
    <n v="0"/>
    <x v="22"/>
    <x v="61"/>
    <m/>
    <m/>
  </r>
  <r>
    <s v="TONER KIT TK-6113"/>
    <n v="20"/>
    <s v="UNIT"/>
    <m/>
    <m/>
    <s v="Public Bidding"/>
    <n v="5"/>
    <n v="5"/>
    <n v="0"/>
    <n v="0"/>
    <n v="5"/>
    <n v="5"/>
    <n v="0"/>
    <n v="0"/>
    <n v="5"/>
    <n v="5"/>
    <n v="0"/>
    <n v="0"/>
    <n v="5"/>
    <n v="5"/>
    <n v="0"/>
    <n v="0"/>
    <x v="22"/>
    <x v="9"/>
    <m/>
    <m/>
  </r>
  <r>
    <s v="TONER KIT TK-1168"/>
    <n v="20"/>
    <s v="UNIT"/>
    <m/>
    <m/>
    <s v="Public Bidding"/>
    <n v="5"/>
    <n v="5"/>
    <n v="0"/>
    <n v="0"/>
    <n v="5"/>
    <n v="5"/>
    <n v="0"/>
    <n v="0"/>
    <n v="5"/>
    <n v="5"/>
    <n v="0"/>
    <n v="0"/>
    <n v="5"/>
    <n v="5"/>
    <n v="0"/>
    <n v="0"/>
    <x v="22"/>
    <x v="25"/>
    <m/>
    <m/>
  </r>
  <r>
    <s v="WEBCAM FULL HD 1080P WITH BUILT IN MICROPHONE, , USB PLUG AND PLAY, WITH ATTACHABLE MOUNTING CLIP"/>
    <n v="5"/>
    <s v="UNIT"/>
    <m/>
    <m/>
    <s v="Public Bidding"/>
    <n v="5"/>
    <n v="5"/>
    <n v="0"/>
    <n v="0"/>
    <n v="0"/>
    <n v="0"/>
    <n v="0"/>
    <n v="0"/>
    <n v="0"/>
    <n v="0"/>
    <n v="0"/>
    <n v="0"/>
    <n v="0"/>
    <n v="0"/>
    <n v="0"/>
    <n v="0"/>
    <x v="22"/>
    <x v="2"/>
    <m/>
    <m/>
  </r>
  <r>
    <s v="UPS 650VA"/>
    <n v="8"/>
    <s v="UNIT"/>
    <m/>
    <m/>
    <s v="Public Bidding"/>
    <n v="8"/>
    <n v="8"/>
    <n v="0"/>
    <n v="0"/>
    <n v="0"/>
    <n v="0"/>
    <n v="0"/>
    <n v="0"/>
    <n v="0"/>
    <n v="0"/>
    <n v="0"/>
    <n v="0"/>
    <n v="0"/>
    <n v="0"/>
    <n v="0"/>
    <n v="0"/>
    <x v="22"/>
    <x v="3"/>
    <m/>
    <m/>
  </r>
  <r>
    <s v="PORTABLE RADIO"/>
    <n v="5"/>
    <s v="UNIT"/>
    <m/>
    <m/>
    <s v="Public Bidding"/>
    <n v="5"/>
    <n v="5"/>
    <n v="0"/>
    <n v="0"/>
    <n v="0"/>
    <n v="0"/>
    <n v="0"/>
    <n v="0"/>
    <n v="0"/>
    <n v="0"/>
    <n v="0"/>
    <n v="0"/>
    <n v="0"/>
    <n v="0"/>
    <n v="0"/>
    <n v="0"/>
    <x v="22"/>
    <x v="65"/>
    <m/>
    <m/>
  </r>
  <r>
    <s v="Desktop Speaker"/>
    <n v="1"/>
    <s v="pc"/>
    <m/>
    <m/>
    <m/>
    <n v="1"/>
    <m/>
    <m/>
    <m/>
    <m/>
    <m/>
    <m/>
    <m/>
    <m/>
    <m/>
    <m/>
    <m/>
    <m/>
    <m/>
    <m/>
    <m/>
    <x v="23"/>
    <x v="72"/>
    <m/>
    <m/>
  </r>
  <r>
    <s v="Desktop Webcam HD"/>
    <n v="8"/>
    <s v="pc"/>
    <m/>
    <m/>
    <m/>
    <n v="8"/>
    <m/>
    <m/>
    <m/>
    <m/>
    <m/>
    <m/>
    <m/>
    <m/>
    <m/>
    <m/>
    <m/>
    <m/>
    <m/>
    <m/>
    <m/>
    <x v="23"/>
    <x v="2"/>
    <m/>
    <m/>
  </r>
  <r>
    <s v="Desktop Headset"/>
    <n v="8"/>
    <s v="pc"/>
    <m/>
    <m/>
    <m/>
    <n v="8"/>
    <m/>
    <m/>
    <m/>
    <m/>
    <m/>
    <m/>
    <m/>
    <m/>
    <m/>
    <m/>
    <m/>
    <m/>
    <m/>
    <m/>
    <m/>
    <x v="23"/>
    <x v="4"/>
    <m/>
    <m/>
  </r>
  <r>
    <s v="APC Power Supply BV800I-MS 800VA/450Watts Line Interactive"/>
    <n v="4"/>
    <s v="pc"/>
    <m/>
    <m/>
    <m/>
    <n v="8"/>
    <m/>
    <m/>
    <m/>
    <m/>
    <m/>
    <m/>
    <m/>
    <m/>
    <m/>
    <m/>
    <m/>
    <m/>
    <m/>
    <m/>
    <m/>
    <x v="23"/>
    <x v="3"/>
    <m/>
    <m/>
  </r>
  <r>
    <s v="Camera DSLR"/>
    <n v="1"/>
    <s v="set"/>
    <m/>
    <m/>
    <m/>
    <n v="1"/>
    <m/>
    <m/>
    <m/>
    <m/>
    <m/>
    <m/>
    <m/>
    <m/>
    <m/>
    <m/>
    <m/>
    <m/>
    <m/>
    <m/>
    <m/>
    <x v="23"/>
    <x v="73"/>
    <m/>
    <m/>
  </r>
  <r>
    <s v="Multi-function Printer: Print/Scan/Copy, Color, Ink Tank System, High Speed USB 2.0, Supported Paper: Legal/Letter/A4; High quality; Leading Brand; 1 year warranty or higher; with Authorized Service Center"/>
    <n v="1"/>
    <s v="pc"/>
    <m/>
    <m/>
    <m/>
    <n v="1"/>
    <m/>
    <m/>
    <m/>
    <m/>
    <m/>
    <m/>
    <m/>
    <m/>
    <m/>
    <m/>
    <m/>
    <m/>
    <m/>
    <m/>
    <m/>
    <x v="23"/>
    <x v="15"/>
    <s v="Printer"/>
    <m/>
  </r>
  <r>
    <s v="Kyocera ECOSYS P6230cdn Black Toner Cartridge (Do not Cut Down)"/>
    <n v="2"/>
    <s v="pc"/>
    <m/>
    <m/>
    <m/>
    <n v="2"/>
    <m/>
    <m/>
    <m/>
    <m/>
    <m/>
    <m/>
    <m/>
    <m/>
    <m/>
    <m/>
    <m/>
    <m/>
    <m/>
    <m/>
    <m/>
    <x v="23"/>
    <x v="74"/>
    <m/>
    <m/>
  </r>
  <r>
    <s v="Kyocera ECOSYS P6230cdn Yellow Toner Cartridge (Do not Cut Down)"/>
    <n v="2"/>
    <s v="pc"/>
    <m/>
    <m/>
    <m/>
    <n v="2"/>
    <m/>
    <m/>
    <m/>
    <m/>
    <m/>
    <m/>
    <m/>
    <m/>
    <m/>
    <m/>
    <m/>
    <m/>
    <m/>
    <m/>
    <m/>
    <x v="23"/>
    <x v="75"/>
    <m/>
    <m/>
  </r>
  <r>
    <s v="Kyocera ECOSYS P6230cdn Magenta Toner Cartridge (Do not Cut Down)"/>
    <n v="2"/>
    <s v="pc"/>
    <m/>
    <m/>
    <m/>
    <n v="2"/>
    <m/>
    <m/>
    <m/>
    <m/>
    <m/>
    <m/>
    <m/>
    <m/>
    <m/>
    <m/>
    <m/>
    <m/>
    <m/>
    <m/>
    <m/>
    <x v="23"/>
    <x v="5"/>
    <s v="N/A"/>
    <m/>
  </r>
  <r>
    <s v="Kyocera ECOSYS P6230cdn Cyan Toner Cartridge (Do not Cut Down)"/>
    <n v="2"/>
    <s v="pc"/>
    <m/>
    <m/>
    <m/>
    <n v="2"/>
    <m/>
    <m/>
    <m/>
    <m/>
    <m/>
    <m/>
    <m/>
    <m/>
    <m/>
    <m/>
    <m/>
    <m/>
    <m/>
    <m/>
    <m/>
    <x v="23"/>
    <x v="5"/>
    <s v="N/A"/>
    <m/>
  </r>
  <r>
    <s v="Desktop"/>
    <n v="1"/>
    <s v="set"/>
    <m/>
    <m/>
    <m/>
    <n v="1"/>
    <m/>
    <m/>
    <m/>
    <m/>
    <m/>
    <m/>
    <m/>
    <m/>
    <m/>
    <m/>
    <m/>
    <m/>
    <m/>
    <m/>
    <m/>
    <x v="23"/>
    <x v="0"/>
    <m/>
    <m/>
  </r>
  <r>
    <s v="Laptop"/>
    <n v="1"/>
    <s v="set"/>
    <m/>
    <m/>
    <m/>
    <n v="1"/>
    <m/>
    <m/>
    <m/>
    <m/>
    <m/>
    <m/>
    <m/>
    <m/>
    <m/>
    <m/>
    <m/>
    <m/>
    <m/>
    <m/>
    <m/>
    <x v="23"/>
    <x v="40"/>
    <m/>
    <m/>
  </r>
  <r>
    <s v="Laser pointer with clicker, Wave Length: 640～660nm (red light), Wireless operating distance: Approx 10m,_x000a_ Wireless technology: 2.4 GHz wireless technology"/>
    <n v="1"/>
    <s v="pc"/>
    <m/>
    <m/>
    <m/>
    <n v="1"/>
    <m/>
    <m/>
    <m/>
    <m/>
    <m/>
    <m/>
    <m/>
    <m/>
    <m/>
    <m/>
    <m/>
    <m/>
    <m/>
    <m/>
    <m/>
    <x v="23"/>
    <x v="42"/>
    <m/>
    <m/>
  </r>
  <r>
    <s v="L3110 Epson Ink (003) Black"/>
    <n v="20"/>
    <s v="pc"/>
    <m/>
    <m/>
    <m/>
    <n v="5"/>
    <m/>
    <m/>
    <m/>
    <m/>
    <m/>
    <m/>
    <m/>
    <m/>
    <m/>
    <m/>
    <m/>
    <m/>
    <m/>
    <m/>
    <m/>
    <x v="23"/>
    <x v="26"/>
    <m/>
    <m/>
  </r>
  <r>
    <s v="L3110 Epson Ink (003) Cyan"/>
    <n v="8"/>
    <s v="pc"/>
    <m/>
    <m/>
    <m/>
    <n v="2"/>
    <m/>
    <m/>
    <m/>
    <m/>
    <m/>
    <m/>
    <m/>
    <m/>
    <m/>
    <m/>
    <m/>
    <m/>
    <m/>
    <m/>
    <m/>
    <x v="23"/>
    <x v="27"/>
    <m/>
    <m/>
  </r>
  <r>
    <s v="L3110 Epson Ink (003) Yellow"/>
    <n v="8"/>
    <s v="pc"/>
    <m/>
    <m/>
    <m/>
    <n v="2"/>
    <m/>
    <m/>
    <m/>
    <m/>
    <m/>
    <m/>
    <m/>
    <m/>
    <m/>
    <m/>
    <m/>
    <m/>
    <m/>
    <m/>
    <m/>
    <x v="23"/>
    <x v="28"/>
    <m/>
    <m/>
  </r>
  <r>
    <s v="L3110 Epson Ink (003) Magenta"/>
    <n v="8"/>
    <s v="pc"/>
    <m/>
    <m/>
    <m/>
    <n v="2"/>
    <m/>
    <m/>
    <m/>
    <m/>
    <m/>
    <m/>
    <m/>
    <m/>
    <m/>
    <m/>
    <m/>
    <m/>
    <m/>
    <m/>
    <m/>
    <x v="23"/>
    <x v="29"/>
    <m/>
    <m/>
  </r>
  <r>
    <s v="Desktop type Document Scanner (same as DCC)"/>
    <n v="2"/>
    <s v="set"/>
    <m/>
    <m/>
    <m/>
    <n v="2"/>
    <m/>
    <m/>
    <m/>
    <m/>
    <m/>
    <m/>
    <m/>
    <m/>
    <m/>
    <m/>
    <m/>
    <m/>
    <m/>
    <m/>
    <m/>
    <x v="23"/>
    <x v="62"/>
    <m/>
    <m/>
  </r>
  <r>
    <s v="Kyosera Multifunction CLEANING part"/>
    <n v="1"/>
    <s v="set"/>
    <m/>
    <m/>
    <m/>
    <n v="2"/>
    <m/>
    <m/>
    <m/>
    <m/>
    <m/>
    <m/>
    <m/>
    <m/>
    <m/>
    <m/>
    <m/>
    <m/>
    <m/>
    <m/>
    <m/>
    <x v="23"/>
    <x v="5"/>
    <s v="N/A"/>
    <m/>
  </r>
  <r>
    <s v="Ink - Epson T6641 Black (Model L220)"/>
    <n v="8"/>
    <s v="bot"/>
    <m/>
    <m/>
    <s v="Public Bidding"/>
    <n v="2"/>
    <n v="1"/>
    <n v="0"/>
    <n v="1"/>
    <n v="2"/>
    <n v="1"/>
    <n v="0"/>
    <n v="1"/>
    <n v="2"/>
    <n v="1"/>
    <n v="0"/>
    <n v="1"/>
    <n v="2"/>
    <n v="1"/>
    <n v="0"/>
    <n v="1"/>
    <x v="24"/>
    <x v="16"/>
    <m/>
    <m/>
  </r>
  <r>
    <s v="Ink - Epson T6642 Cyan (Model L220)"/>
    <n v="4"/>
    <s v="bot"/>
    <m/>
    <m/>
    <s v="Public Bidding"/>
    <n v="1"/>
    <n v="1"/>
    <n v="0"/>
    <n v="0"/>
    <n v="1"/>
    <n v="1"/>
    <n v="0"/>
    <n v="0"/>
    <n v="1"/>
    <n v="1"/>
    <n v="0"/>
    <n v="0"/>
    <n v="1"/>
    <n v="1"/>
    <n v="0"/>
    <n v="0"/>
    <x v="24"/>
    <x v="17"/>
    <m/>
    <m/>
  </r>
  <r>
    <s v="Ink- Epson T6643 Magenta (Model L220)"/>
    <n v="4"/>
    <s v="bot"/>
    <m/>
    <m/>
    <s v="Public Bidding"/>
    <n v="1"/>
    <n v="1"/>
    <n v="0"/>
    <n v="0"/>
    <n v="1"/>
    <n v="1"/>
    <n v="0"/>
    <n v="0"/>
    <n v="1"/>
    <n v="1"/>
    <n v="0"/>
    <n v="0"/>
    <n v="1"/>
    <n v="1"/>
    <n v="0"/>
    <n v="0"/>
    <x v="24"/>
    <x v="18"/>
    <m/>
    <m/>
  </r>
  <r>
    <s v="Ink - Epson T6644 Yellow (Model L220)"/>
    <n v="4"/>
    <s v="bot"/>
    <m/>
    <m/>
    <s v="Public Bidding"/>
    <n v="1"/>
    <n v="1"/>
    <n v="0"/>
    <n v="0"/>
    <n v="1"/>
    <n v="1"/>
    <n v="0"/>
    <n v="0"/>
    <n v="1"/>
    <n v="1"/>
    <n v="0"/>
    <n v="0"/>
    <n v="1"/>
    <n v="1"/>
    <n v="0"/>
    <n v="0"/>
    <x v="24"/>
    <x v="19"/>
    <m/>
    <m/>
  </r>
  <r>
    <s v="Ink - Epson 003 Black (Model L3110)"/>
    <n v="8"/>
    <s v="bot"/>
    <m/>
    <m/>
    <s v="Public Bidding"/>
    <n v="3"/>
    <n v="1"/>
    <n v="1"/>
    <n v="1"/>
    <n v="3"/>
    <n v="1"/>
    <n v="1"/>
    <n v="1"/>
    <n v="3"/>
    <n v="1"/>
    <n v="1"/>
    <n v="1"/>
    <n v="3"/>
    <n v="1"/>
    <n v="1"/>
    <n v="1"/>
    <x v="24"/>
    <x v="26"/>
    <m/>
    <m/>
  </r>
  <r>
    <s v="Ink - Epson 003 Cyan (Model L3110)"/>
    <n v="4"/>
    <s v="bot"/>
    <m/>
    <m/>
    <s v="Public Bidding"/>
    <n v="2"/>
    <n v="1"/>
    <n v="0"/>
    <n v="1"/>
    <n v="2"/>
    <n v="1"/>
    <n v="0"/>
    <n v="1"/>
    <n v="2"/>
    <n v="1"/>
    <n v="0"/>
    <n v="1"/>
    <n v="2"/>
    <n v="1"/>
    <n v="0"/>
    <n v="1"/>
    <x v="24"/>
    <x v="27"/>
    <m/>
    <m/>
  </r>
  <r>
    <s v="Ink - Epson 003 Magenta (Model L3110)"/>
    <n v="4"/>
    <s v="bot"/>
    <m/>
    <m/>
    <s v="Public Bidding"/>
    <n v="2"/>
    <n v="1"/>
    <n v="0"/>
    <n v="1"/>
    <n v="2"/>
    <n v="1"/>
    <n v="0"/>
    <n v="1"/>
    <n v="2"/>
    <n v="1"/>
    <n v="0"/>
    <n v="1"/>
    <n v="2"/>
    <n v="1"/>
    <n v="0"/>
    <n v="1"/>
    <x v="24"/>
    <x v="28"/>
    <m/>
    <m/>
  </r>
  <r>
    <s v="Ink - Epson 003 Yellow (Model L3110)"/>
    <n v="4"/>
    <s v="bot"/>
    <m/>
    <m/>
    <s v="Public Bidding"/>
    <n v="2"/>
    <n v="1"/>
    <n v="0"/>
    <n v="1"/>
    <n v="2"/>
    <n v="1"/>
    <n v="0"/>
    <n v="1"/>
    <n v="2"/>
    <n v="1"/>
    <n v="0"/>
    <n v="1"/>
    <n v="2"/>
    <n v="1"/>
    <n v="0"/>
    <n v="1"/>
    <x v="24"/>
    <x v="29"/>
    <m/>
    <m/>
  </r>
  <r>
    <s v="Ink - Kyocera Black (ECOSYS M5521 CDW)"/>
    <n v="12"/>
    <s v="Cartridge"/>
    <m/>
    <m/>
    <s v="Public Bidding"/>
    <n v="3"/>
    <n v="1"/>
    <n v="1"/>
    <n v="1"/>
    <n v="3"/>
    <n v="1"/>
    <n v="1"/>
    <n v="1"/>
    <n v="3"/>
    <n v="1"/>
    <n v="1"/>
    <n v="1"/>
    <n v="3"/>
    <n v="1"/>
    <n v="1"/>
    <n v="1"/>
    <x v="24"/>
    <x v="11"/>
    <m/>
    <m/>
  </r>
  <r>
    <s v="Ink - Kyocera Cyan (ECOSYS M5521 CDW)"/>
    <n v="8"/>
    <s v="Cartridge"/>
    <m/>
    <m/>
    <s v="Public Bidding"/>
    <n v="2"/>
    <n v="1"/>
    <n v="0"/>
    <n v="1"/>
    <n v="2"/>
    <n v="1"/>
    <n v="0"/>
    <n v="1"/>
    <n v="2"/>
    <n v="1"/>
    <n v="0"/>
    <n v="1"/>
    <n v="2"/>
    <n v="1"/>
    <n v="0"/>
    <n v="1"/>
    <x v="24"/>
    <x v="12"/>
    <m/>
    <m/>
  </r>
  <r>
    <s v="Ink - Kyocera Magenta (ECOSYS M5521 CDW)"/>
    <n v="8"/>
    <s v="Cartridge"/>
    <m/>
    <m/>
    <s v="Public Bidding"/>
    <n v="2"/>
    <n v="1"/>
    <n v="0"/>
    <n v="1"/>
    <n v="2"/>
    <n v="1"/>
    <n v="0"/>
    <n v="1"/>
    <n v="2"/>
    <n v="1"/>
    <n v="0"/>
    <n v="1"/>
    <n v="2"/>
    <n v="1"/>
    <n v="0"/>
    <n v="1"/>
    <x v="24"/>
    <x v="5"/>
    <s v="N/A"/>
    <m/>
  </r>
  <r>
    <s v="Ink - KyoceraYellow (ECOSYS M5521 CDW)"/>
    <n v="8"/>
    <s v="Cartridge"/>
    <m/>
    <m/>
    <s v="Public Bidding"/>
    <n v="2"/>
    <n v="1"/>
    <n v="0"/>
    <n v="1"/>
    <n v="2"/>
    <n v="1"/>
    <n v="0"/>
    <n v="1"/>
    <n v="2"/>
    <n v="1"/>
    <n v="0"/>
    <n v="1"/>
    <n v="2"/>
    <n v="1"/>
    <n v="0"/>
    <n v="1"/>
    <x v="24"/>
    <x v="5"/>
    <s v="N/A"/>
    <m/>
  </r>
  <r>
    <s v="Ink Black compatible to Epson L100, L110, L120, L200, L210, L220"/>
    <n v="210"/>
    <s v="bot"/>
    <m/>
    <m/>
    <m/>
    <n v="60"/>
    <n v="20"/>
    <n v="20"/>
    <n v="20"/>
    <n v="30"/>
    <n v="10"/>
    <n v="10"/>
    <n v="10"/>
    <n v="60"/>
    <n v="20"/>
    <n v="20"/>
    <n v="20"/>
    <n v="60"/>
    <n v="20"/>
    <n v="20"/>
    <n v="20"/>
    <x v="25"/>
    <x v="16"/>
    <m/>
    <m/>
  </r>
  <r>
    <s v="Ink Cyan compatible to Epson L100, L110, L120, L200, L210, L220"/>
    <n v="120"/>
    <s v="bot"/>
    <m/>
    <m/>
    <m/>
    <n v="30"/>
    <n v="10"/>
    <n v="10"/>
    <n v="10"/>
    <n v="30"/>
    <n v="10"/>
    <n v="10"/>
    <n v="10"/>
    <n v="30"/>
    <n v="10"/>
    <n v="10"/>
    <n v="10"/>
    <n v="30"/>
    <n v="10"/>
    <n v="10"/>
    <n v="10"/>
    <x v="25"/>
    <x v="17"/>
    <m/>
    <m/>
  </r>
  <r>
    <s v="Ink Magenta compatible to Epson L100, L110, L120, L200, L210, L220"/>
    <n v="75"/>
    <s v="bot"/>
    <m/>
    <m/>
    <m/>
    <n v="30"/>
    <n v="10"/>
    <n v="10"/>
    <n v="10"/>
    <n v="15"/>
    <n v="5"/>
    <n v="5"/>
    <n v="5"/>
    <n v="15"/>
    <n v="5"/>
    <n v="5"/>
    <n v="5"/>
    <n v="15"/>
    <n v="5"/>
    <n v="5"/>
    <n v="5"/>
    <x v="25"/>
    <x v="18"/>
    <m/>
    <m/>
  </r>
  <r>
    <s v="Ink Yellow compatible to Epson L100, L110, L120, L200, L210, L220"/>
    <n v="75"/>
    <s v="bot"/>
    <m/>
    <m/>
    <m/>
    <n v="30"/>
    <n v="10"/>
    <n v="10"/>
    <n v="10"/>
    <n v="15"/>
    <n v="5"/>
    <n v="5"/>
    <n v="5"/>
    <n v="15"/>
    <n v="5"/>
    <n v="5"/>
    <n v="5"/>
    <n v="15"/>
    <n v="5"/>
    <n v="5"/>
    <n v="5"/>
    <x v="25"/>
    <x v="19"/>
    <m/>
    <m/>
  </r>
  <r>
    <s v="Kyocera Ecosys M4132idn TK-6113"/>
    <n v="30"/>
    <s v="pc"/>
    <m/>
    <m/>
    <m/>
    <n v="7"/>
    <n v="2"/>
    <n v="3"/>
    <n v="2"/>
    <n v="8"/>
    <n v="3"/>
    <n v="2"/>
    <n v="3"/>
    <n v="7"/>
    <n v="2"/>
    <n v="3"/>
    <n v="2"/>
    <n v="8"/>
    <n v="3"/>
    <n v="2"/>
    <n v="3"/>
    <x v="25"/>
    <x v="76"/>
    <m/>
    <m/>
  </r>
  <r>
    <s v="Kyocera TK-5234Y"/>
    <n v="12"/>
    <s v="pc"/>
    <m/>
    <m/>
    <m/>
    <n v="3"/>
    <n v="1"/>
    <n v="1"/>
    <n v="1"/>
    <n v="3"/>
    <n v="1"/>
    <n v="1"/>
    <n v="1"/>
    <n v="3"/>
    <n v="1"/>
    <n v="1"/>
    <n v="1"/>
    <n v="3"/>
    <n v="1"/>
    <n v="1"/>
    <n v="1"/>
    <x v="25"/>
    <x v="12"/>
    <m/>
    <m/>
  </r>
  <r>
    <s v="Kyocera TK-5234C"/>
    <n v="12"/>
    <s v="pc"/>
    <m/>
    <m/>
    <m/>
    <n v="3"/>
    <n v="1"/>
    <n v="1"/>
    <n v="1"/>
    <n v="3"/>
    <n v="1"/>
    <n v="1"/>
    <n v="1"/>
    <n v="3"/>
    <n v="1"/>
    <n v="1"/>
    <n v="1"/>
    <n v="3"/>
    <n v="1"/>
    <n v="1"/>
    <n v="1"/>
    <x v="25"/>
    <x v="5"/>
    <s v="N/A"/>
    <m/>
  </r>
  <r>
    <s v="Kyocera TK-5234M"/>
    <n v="12"/>
    <s v="pc"/>
    <m/>
    <m/>
    <m/>
    <n v="3"/>
    <n v="1"/>
    <n v="1"/>
    <n v="1"/>
    <n v="3"/>
    <n v="1"/>
    <n v="1"/>
    <n v="1"/>
    <n v="3"/>
    <n v="1"/>
    <n v="1"/>
    <n v="1"/>
    <n v="3"/>
    <n v="1"/>
    <n v="1"/>
    <n v="1"/>
    <x v="25"/>
    <x v="5"/>
    <s v="N/A"/>
    <m/>
  </r>
  <r>
    <s v="Kyocera TK-5234K"/>
    <n v="12"/>
    <s v="pc"/>
    <m/>
    <m/>
    <m/>
    <n v="3"/>
    <n v="1"/>
    <n v="1"/>
    <n v="1"/>
    <n v="3"/>
    <n v="1"/>
    <n v="1"/>
    <n v="1"/>
    <n v="3"/>
    <n v="1"/>
    <n v="1"/>
    <n v="1"/>
    <n v="3"/>
    <n v="1"/>
    <n v="1"/>
    <n v="1"/>
    <x v="25"/>
    <x v="11"/>
    <m/>
    <m/>
  </r>
  <r>
    <s v="USB Thumb drive,32GB"/>
    <n v="4"/>
    <s v="pc"/>
    <m/>
    <m/>
    <s v="Public Bidding"/>
    <n v="4"/>
    <s v="2nd Week"/>
    <m/>
    <m/>
    <m/>
    <m/>
    <m/>
    <m/>
    <m/>
    <m/>
    <m/>
    <m/>
    <m/>
    <m/>
    <m/>
    <m/>
    <x v="26"/>
    <x v="20"/>
    <m/>
    <m/>
  </r>
  <r>
    <s v="Laser Point with clicker"/>
    <n v="2"/>
    <s v="pc"/>
    <m/>
    <m/>
    <s v="Public Bidding"/>
    <n v="2"/>
    <s v="2nd Week"/>
    <m/>
    <m/>
    <m/>
    <m/>
    <m/>
    <m/>
    <m/>
    <m/>
    <m/>
    <m/>
    <m/>
    <m/>
    <m/>
    <m/>
    <x v="26"/>
    <x v="42"/>
    <m/>
    <m/>
  </r>
  <r>
    <s v="External Hard Drive,1T"/>
    <n v="1"/>
    <s v="pc"/>
    <m/>
    <m/>
    <s v="Public Bidding"/>
    <n v="1"/>
    <s v="2nd Week"/>
    <m/>
    <m/>
    <m/>
    <m/>
    <m/>
    <m/>
    <m/>
    <m/>
    <m/>
    <m/>
    <m/>
    <m/>
    <m/>
    <m/>
    <x v="26"/>
    <x v="37"/>
    <m/>
    <m/>
  </r>
  <r>
    <s v="Portable Hard Drive, 1TB, USB 3.0"/>
    <n v="1"/>
    <s v="UNIT"/>
    <m/>
    <m/>
    <s v="Public Bidding"/>
    <n v="1"/>
    <m/>
    <m/>
    <m/>
    <n v="0"/>
    <m/>
    <m/>
    <m/>
    <n v="0"/>
    <m/>
    <m/>
    <m/>
    <n v="0"/>
    <m/>
    <m/>
    <m/>
    <x v="27"/>
    <x v="37"/>
    <m/>
    <m/>
  </r>
  <r>
    <s v="Printer, multi-function ink tank"/>
    <n v="1"/>
    <s v="UNIT"/>
    <m/>
    <m/>
    <s v="Public Bidding"/>
    <n v="1"/>
    <m/>
    <m/>
    <m/>
    <n v="0"/>
    <m/>
    <m/>
    <m/>
    <n v="0"/>
    <m/>
    <m/>
    <m/>
    <n v="0"/>
    <m/>
    <m/>
    <m/>
    <x v="27"/>
    <x v="15"/>
    <s v="Printer"/>
    <m/>
  </r>
  <r>
    <s v="Desktop, basic use"/>
    <n v="1"/>
    <s v="UNIT"/>
    <m/>
    <m/>
    <s v="Public Bidding"/>
    <n v="1"/>
    <m/>
    <m/>
    <m/>
    <n v="0"/>
    <m/>
    <m/>
    <m/>
    <n v="0"/>
    <m/>
    <m/>
    <m/>
    <n v="0"/>
    <m/>
    <m/>
    <m/>
    <x v="27"/>
    <x v="0"/>
    <m/>
    <m/>
  </r>
  <r>
    <s v="Laptop, lightweight"/>
    <n v="1"/>
    <s v="UNIT"/>
    <m/>
    <m/>
    <s v="Public Bidding"/>
    <n v="1"/>
    <m/>
    <m/>
    <m/>
    <n v="0"/>
    <m/>
    <m/>
    <m/>
    <n v="0"/>
    <m/>
    <m/>
    <m/>
    <n v="0"/>
    <m/>
    <m/>
    <m/>
    <x v="27"/>
    <x v="40"/>
    <m/>
    <m/>
  </r>
  <r>
    <s v="Epson Ink Cartridge T6641 Black"/>
    <n v="20"/>
    <s v="bot"/>
    <m/>
    <m/>
    <s v="Public Bidding"/>
    <n v="5"/>
    <m/>
    <m/>
    <m/>
    <n v="5"/>
    <m/>
    <m/>
    <m/>
    <n v="5"/>
    <m/>
    <m/>
    <m/>
    <n v="5"/>
    <m/>
    <m/>
    <m/>
    <x v="27"/>
    <x v="16"/>
    <m/>
    <m/>
  </r>
  <r>
    <s v="Epson Ink Cartridge T6642 Cyan"/>
    <n v="8"/>
    <s v="bot"/>
    <m/>
    <m/>
    <s v="Public Bidding"/>
    <n v="2"/>
    <m/>
    <m/>
    <m/>
    <n v="2"/>
    <m/>
    <m/>
    <m/>
    <n v="2"/>
    <m/>
    <m/>
    <m/>
    <n v="2"/>
    <m/>
    <m/>
    <m/>
    <x v="27"/>
    <x v="17"/>
    <m/>
    <m/>
  </r>
  <r>
    <s v="Epson Ink Cartridge T6643 Magenta"/>
    <n v="8"/>
    <s v="bot"/>
    <m/>
    <m/>
    <s v="Public Bidding"/>
    <n v="2"/>
    <m/>
    <m/>
    <m/>
    <n v="2"/>
    <m/>
    <m/>
    <m/>
    <n v="2"/>
    <m/>
    <m/>
    <m/>
    <n v="2"/>
    <m/>
    <m/>
    <m/>
    <x v="27"/>
    <x v="18"/>
    <m/>
    <m/>
  </r>
  <r>
    <s v="Epson Ink Cartridge T6644 Yellow"/>
    <n v="8"/>
    <s v="bot"/>
    <m/>
    <m/>
    <s v="Public Bidding"/>
    <n v="2"/>
    <m/>
    <m/>
    <m/>
    <n v="2"/>
    <m/>
    <m/>
    <m/>
    <n v="2"/>
    <m/>
    <m/>
    <m/>
    <n v="2"/>
    <m/>
    <m/>
    <m/>
    <x v="27"/>
    <x v="19"/>
    <m/>
    <m/>
  </r>
  <r>
    <s v="Toner, Kyocera ECOSYS M5521cdw, black"/>
    <n v="20"/>
    <s v="bot"/>
    <m/>
    <m/>
    <s v="Public Bidding"/>
    <n v="5"/>
    <m/>
    <m/>
    <m/>
    <n v="5"/>
    <m/>
    <m/>
    <m/>
    <n v="5"/>
    <m/>
    <m/>
    <m/>
    <n v="5"/>
    <m/>
    <m/>
    <m/>
    <x v="27"/>
    <x v="11"/>
    <m/>
    <m/>
  </r>
  <r>
    <s v="Toner, Kyocera ECOSYS M5521cdw, cyan"/>
    <n v="8"/>
    <s v="bot"/>
    <m/>
    <m/>
    <s v="Public Bidding"/>
    <n v="2"/>
    <m/>
    <m/>
    <m/>
    <n v="2"/>
    <m/>
    <m/>
    <m/>
    <n v="2"/>
    <m/>
    <m/>
    <m/>
    <n v="2"/>
    <m/>
    <m/>
    <m/>
    <x v="27"/>
    <x v="12"/>
    <m/>
    <m/>
  </r>
  <r>
    <s v="Toner, Kyocera ECOSYS M5521cdw, magenta"/>
    <n v="8"/>
    <s v="bot"/>
    <m/>
    <m/>
    <s v="Public Bidding"/>
    <n v="2"/>
    <m/>
    <m/>
    <m/>
    <n v="2"/>
    <m/>
    <m/>
    <m/>
    <n v="2"/>
    <m/>
    <m/>
    <m/>
    <n v="2"/>
    <m/>
    <m/>
    <m/>
    <x v="27"/>
    <x v="5"/>
    <s v="N/A"/>
    <m/>
  </r>
  <r>
    <s v="Toner, Kyocera ECOSYS M5521cdw, yellow"/>
    <n v="8"/>
    <s v="bot"/>
    <m/>
    <m/>
    <s v="Public Bidding"/>
    <n v="2"/>
    <m/>
    <m/>
    <m/>
    <n v="2"/>
    <m/>
    <m/>
    <m/>
    <n v="2"/>
    <m/>
    <m/>
    <m/>
    <n v="2"/>
    <m/>
    <m/>
    <m/>
    <x v="27"/>
    <x v="5"/>
    <s v="N/A"/>
    <m/>
  </r>
  <r>
    <s v="Mouse, Optical"/>
    <n v="3"/>
    <s v="UNIT"/>
    <m/>
    <m/>
    <s v="Public Bidding"/>
    <n v="3"/>
    <m/>
    <m/>
    <m/>
    <n v="0"/>
    <m/>
    <m/>
    <m/>
    <n v="0"/>
    <m/>
    <m/>
    <m/>
    <n v="0"/>
    <m/>
    <m/>
    <m/>
    <x v="27"/>
    <x v="14"/>
    <m/>
    <m/>
  </r>
  <r>
    <s v="Keyboard, Full Size, USB 2.0"/>
    <n v="2"/>
    <s v="pc"/>
    <m/>
    <m/>
    <m/>
    <n v="1"/>
    <n v="1"/>
    <m/>
    <m/>
    <n v="1"/>
    <n v="1"/>
    <m/>
    <m/>
    <n v="0"/>
    <m/>
    <m/>
    <m/>
    <n v="0"/>
    <m/>
    <m/>
    <m/>
    <x v="28"/>
    <x v="13"/>
    <m/>
    <m/>
  </r>
  <r>
    <s v="Mouse, Optical, USB 2.0"/>
    <n v="2"/>
    <s v="pc"/>
    <m/>
    <m/>
    <m/>
    <n v="1"/>
    <n v="1"/>
    <m/>
    <m/>
    <n v="1"/>
    <n v="1"/>
    <m/>
    <m/>
    <n v="0"/>
    <m/>
    <m/>
    <m/>
    <n v="0"/>
    <m/>
    <m/>
    <m/>
    <x v="28"/>
    <x v="14"/>
    <m/>
    <m/>
  </r>
  <r>
    <s v="UPS, 625va, 325 Watts, High Quality"/>
    <n v="4"/>
    <s v="pc"/>
    <m/>
    <m/>
    <m/>
    <n v="2"/>
    <n v="2"/>
    <m/>
    <m/>
    <n v="0"/>
    <m/>
    <m/>
    <m/>
    <n v="2"/>
    <n v="2"/>
    <m/>
    <m/>
    <n v="0"/>
    <m/>
    <m/>
    <m/>
    <x v="28"/>
    <x v="3"/>
    <m/>
    <m/>
  </r>
  <r>
    <s v="PVC Card"/>
    <n v="1000"/>
    <s v="pc"/>
    <m/>
    <m/>
    <m/>
    <n v="250"/>
    <n v="84"/>
    <n v="83"/>
    <n v="83"/>
    <n v="250"/>
    <n v="84"/>
    <n v="83"/>
    <n v="83"/>
    <n v="250"/>
    <n v="84"/>
    <n v="83"/>
    <n v="83"/>
    <n v="250"/>
    <n v="84"/>
    <n v="83"/>
    <n v="83"/>
    <x v="28"/>
    <x v="77"/>
    <m/>
    <m/>
  </r>
  <r>
    <s v="YMCKO Color Ribbon"/>
    <n v="8"/>
    <s v="pc"/>
    <m/>
    <m/>
    <m/>
    <n v="2"/>
    <n v="2"/>
    <m/>
    <m/>
    <n v="2"/>
    <n v="2"/>
    <m/>
    <m/>
    <n v="2"/>
    <n v="2"/>
    <m/>
    <m/>
    <n v="2"/>
    <n v="2"/>
    <m/>
    <m/>
    <x v="28"/>
    <x v="78"/>
    <m/>
    <m/>
  </r>
  <r>
    <s v="EXTERNAL HARD DRIVE, 1 TB"/>
    <n v="2"/>
    <s v="UNIT"/>
    <m/>
    <m/>
    <m/>
    <n v="1"/>
    <n v="1"/>
    <m/>
    <m/>
    <n v="1"/>
    <n v="1"/>
    <m/>
    <m/>
    <n v="0"/>
    <m/>
    <m/>
    <m/>
    <n v="0"/>
    <m/>
    <m/>
    <m/>
    <x v="28"/>
    <x v="37"/>
    <m/>
    <m/>
  </r>
  <r>
    <s v="INK CART, EPSON C13T664100 (T6641), Black"/>
    <n v="36"/>
    <s v="cart"/>
    <m/>
    <m/>
    <m/>
    <n v="9"/>
    <n v="3"/>
    <n v="3"/>
    <n v="3"/>
    <n v="9"/>
    <n v="3"/>
    <n v="3"/>
    <n v="3"/>
    <n v="9"/>
    <n v="3"/>
    <n v="3"/>
    <n v="3"/>
    <n v="9"/>
    <n v="3"/>
    <n v="3"/>
    <n v="3"/>
    <x v="28"/>
    <x v="16"/>
    <m/>
    <m/>
  </r>
  <r>
    <s v="INK CART, EPSON C13T664200 (T6642), Cyan"/>
    <n v="28"/>
    <s v="cart"/>
    <m/>
    <m/>
    <m/>
    <n v="7"/>
    <n v="3"/>
    <n v="2"/>
    <n v="2"/>
    <n v="7"/>
    <n v="3"/>
    <n v="2"/>
    <n v="2"/>
    <n v="7"/>
    <n v="3"/>
    <n v="2"/>
    <n v="2"/>
    <n v="7"/>
    <n v="3"/>
    <n v="2"/>
    <n v="2"/>
    <x v="28"/>
    <x v="17"/>
    <m/>
    <m/>
  </r>
  <r>
    <s v="INK CART, EPSON C13T664300 (T6643), Magenta"/>
    <n v="28"/>
    <s v="cart"/>
    <m/>
    <m/>
    <m/>
    <n v="7"/>
    <n v="3"/>
    <n v="2"/>
    <n v="2"/>
    <n v="7"/>
    <n v="3"/>
    <n v="2"/>
    <n v="2"/>
    <n v="7"/>
    <n v="3"/>
    <n v="2"/>
    <n v="2"/>
    <n v="7"/>
    <n v="3"/>
    <n v="2"/>
    <n v="2"/>
    <x v="28"/>
    <x v="18"/>
    <m/>
    <m/>
  </r>
  <r>
    <s v="INK CART, EPSON C13T664400 (T6644), Yellow"/>
    <n v="28"/>
    <s v="cart"/>
    <m/>
    <m/>
    <m/>
    <n v="7"/>
    <n v="3"/>
    <n v="2"/>
    <n v="2"/>
    <n v="7"/>
    <n v="3"/>
    <n v="2"/>
    <n v="2"/>
    <n v="7"/>
    <n v="3"/>
    <n v="2"/>
    <n v="2"/>
    <n v="7"/>
    <n v="3"/>
    <n v="2"/>
    <n v="2"/>
    <x v="28"/>
    <x v="19"/>
    <m/>
    <m/>
  </r>
  <r>
    <s v="Epson Ink Refill - 003 (Black)"/>
    <n v="12"/>
    <s v="cart"/>
    <m/>
    <m/>
    <m/>
    <n v="3"/>
    <n v="1"/>
    <n v="1"/>
    <n v="1"/>
    <n v="3"/>
    <n v="1"/>
    <n v="1"/>
    <n v="1"/>
    <n v="3"/>
    <n v="1"/>
    <n v="1"/>
    <n v="1"/>
    <n v="3"/>
    <n v="1"/>
    <n v="1"/>
    <n v="1"/>
    <x v="28"/>
    <x v="26"/>
    <m/>
    <m/>
  </r>
  <r>
    <s v="Epson Ink Refill - 003 (Magenta)"/>
    <n v="8"/>
    <s v="cart"/>
    <m/>
    <m/>
    <m/>
    <n v="2"/>
    <n v="1"/>
    <n v="1"/>
    <m/>
    <n v="2"/>
    <n v="1"/>
    <n v="1"/>
    <m/>
    <n v="2"/>
    <n v="1"/>
    <n v="1"/>
    <m/>
    <n v="2"/>
    <n v="1"/>
    <n v="1"/>
    <m/>
    <x v="28"/>
    <x v="27"/>
    <m/>
    <m/>
  </r>
  <r>
    <s v="Epson Ink Refill - 003 (Yellow)"/>
    <n v="8"/>
    <s v="cart"/>
    <m/>
    <m/>
    <m/>
    <n v="2"/>
    <n v="1"/>
    <n v="1"/>
    <m/>
    <n v="2"/>
    <n v="1"/>
    <n v="1"/>
    <m/>
    <n v="2"/>
    <n v="1"/>
    <n v="1"/>
    <m/>
    <n v="2"/>
    <n v="1"/>
    <n v="1"/>
    <m/>
    <x v="28"/>
    <x v="28"/>
    <m/>
    <m/>
  </r>
  <r>
    <s v="Epson Ink Refill - 003 (Cyan)"/>
    <n v="8"/>
    <s v="cart"/>
    <m/>
    <m/>
    <m/>
    <n v="2"/>
    <n v="1"/>
    <n v="1"/>
    <m/>
    <n v="2"/>
    <n v="1"/>
    <n v="1"/>
    <m/>
    <n v="2"/>
    <n v="1"/>
    <n v="1"/>
    <m/>
    <n v="2"/>
    <n v="1"/>
    <n v="1"/>
    <m/>
    <x v="28"/>
    <x v="29"/>
    <m/>
    <m/>
  </r>
  <r>
    <s v="HP Ink Refill - (GT53) Black"/>
    <n v="0"/>
    <s v="cart"/>
    <m/>
    <m/>
    <m/>
    <n v="0"/>
    <m/>
    <m/>
    <m/>
    <n v="0"/>
    <m/>
    <m/>
    <m/>
    <n v="0"/>
    <m/>
    <m/>
    <m/>
    <n v="0"/>
    <m/>
    <m/>
    <m/>
    <x v="28"/>
    <x v="5"/>
    <s v="N/A"/>
    <m/>
  </r>
  <r>
    <s v="HP Ink Refill - (GT52) Magenta"/>
    <n v="0"/>
    <s v="cart"/>
    <m/>
    <m/>
    <m/>
    <n v="0"/>
    <m/>
    <m/>
    <m/>
    <n v="0"/>
    <m/>
    <m/>
    <m/>
    <n v="0"/>
    <m/>
    <m/>
    <m/>
    <n v="0"/>
    <m/>
    <m/>
    <m/>
    <x v="28"/>
    <x v="5"/>
    <s v="N/A"/>
    <m/>
  </r>
  <r>
    <s v="HP Ink Refill - (GT52) Cyan"/>
    <n v="0"/>
    <s v="cart"/>
    <m/>
    <m/>
    <m/>
    <n v="0"/>
    <m/>
    <m/>
    <m/>
    <n v="0"/>
    <m/>
    <m/>
    <m/>
    <n v="0"/>
    <m/>
    <m/>
    <m/>
    <n v="0"/>
    <m/>
    <m/>
    <m/>
    <x v="28"/>
    <x v="5"/>
    <s v="N/A"/>
    <m/>
  </r>
  <r>
    <s v="HP Ink Refill - (GT52) Yellow"/>
    <n v="0"/>
    <s v="cart"/>
    <m/>
    <m/>
    <m/>
    <n v="0"/>
    <m/>
    <m/>
    <m/>
    <n v="0"/>
    <m/>
    <m/>
    <m/>
    <n v="0"/>
    <m/>
    <m/>
    <m/>
    <n v="0"/>
    <m/>
    <m/>
    <m/>
    <x v="28"/>
    <x v="5"/>
    <s v="N/A"/>
    <m/>
  </r>
  <r>
    <s v="HP Toner CF280XC"/>
    <n v="0"/>
    <s v="cart"/>
    <m/>
    <m/>
    <m/>
    <n v="0"/>
    <m/>
    <m/>
    <m/>
    <n v="0"/>
    <m/>
    <m/>
    <m/>
    <n v="0"/>
    <m/>
    <m/>
    <m/>
    <n v="0"/>
    <m/>
    <m/>
    <m/>
    <x v="28"/>
    <x v="5"/>
    <s v="N/A"/>
    <m/>
  </r>
  <r>
    <s v="Kyocera Ecosys FS-6525MFP TK 479"/>
    <n v="0"/>
    <s v="pc"/>
    <m/>
    <m/>
    <m/>
    <n v="0"/>
    <m/>
    <m/>
    <m/>
    <n v="0"/>
    <m/>
    <m/>
    <m/>
    <n v="0"/>
    <m/>
    <m/>
    <m/>
    <n v="0"/>
    <m/>
    <m/>
    <m/>
    <x v="28"/>
    <x v="34"/>
    <m/>
    <m/>
  </r>
  <r>
    <s v="Kyocera Ecosys FS-6525MFP MK 479"/>
    <n v="0"/>
    <s v="pc"/>
    <m/>
    <m/>
    <m/>
    <n v="0"/>
    <m/>
    <m/>
    <m/>
    <n v="0"/>
    <m/>
    <m/>
    <m/>
    <n v="0"/>
    <m/>
    <m/>
    <m/>
    <n v="0"/>
    <m/>
    <m/>
    <m/>
    <x v="28"/>
    <x v="35"/>
    <m/>
    <m/>
  </r>
  <r>
    <s v="Kyocera Ecosys M4125idn TK 6113"/>
    <n v="48"/>
    <s v="pc"/>
    <m/>
    <m/>
    <m/>
    <n v="12"/>
    <n v="4"/>
    <n v="4"/>
    <n v="4"/>
    <n v="12"/>
    <n v="4"/>
    <n v="4"/>
    <n v="4"/>
    <n v="12"/>
    <n v="4"/>
    <n v="4"/>
    <n v="4"/>
    <n v="12"/>
    <n v="4"/>
    <n v="4"/>
    <n v="4"/>
    <x v="28"/>
    <x v="9"/>
    <m/>
    <m/>
  </r>
  <r>
    <s v="Kyocera Ecosys M4125idn MK 6113"/>
    <n v="0"/>
    <s v="pc"/>
    <m/>
    <m/>
    <m/>
    <n v="0"/>
    <m/>
    <m/>
    <m/>
    <n v="0"/>
    <m/>
    <m/>
    <m/>
    <n v="0"/>
    <m/>
    <m/>
    <m/>
    <n v="0"/>
    <m/>
    <m/>
    <m/>
    <x v="28"/>
    <x v="10"/>
    <m/>
    <m/>
  </r>
  <r>
    <s v="Kyocera Ecosys P2040dn TK 1168"/>
    <n v="48"/>
    <s v="pc"/>
    <m/>
    <m/>
    <m/>
    <n v="12"/>
    <n v="4"/>
    <n v="4"/>
    <n v="4"/>
    <n v="12"/>
    <n v="4"/>
    <n v="4"/>
    <n v="4"/>
    <n v="12"/>
    <n v="4"/>
    <n v="4"/>
    <n v="4"/>
    <n v="12"/>
    <n v="4"/>
    <n v="4"/>
    <n v="4"/>
    <x v="28"/>
    <x v="25"/>
    <m/>
    <m/>
  </r>
  <r>
    <s v="Multi Function (Print/Scan/Copy), Color, Ink Tank System, High Speed USB 2.0, Supported Paper: Legal / Letter / A4, Max Resolution: 5760 x 1440 dpi"/>
    <n v="5"/>
    <s v="pc"/>
    <m/>
    <m/>
    <m/>
    <n v="2"/>
    <n v="2"/>
    <m/>
    <m/>
    <n v="2"/>
    <n v="2"/>
    <m/>
    <m/>
    <n v="1"/>
    <n v="1"/>
    <m/>
    <m/>
    <n v="0"/>
    <m/>
    <m/>
    <m/>
    <x v="28"/>
    <x v="15"/>
    <s v="Printer"/>
    <m/>
  </r>
  <r>
    <s v="Desktop Set"/>
    <n v="8"/>
    <s v="pc"/>
    <m/>
    <m/>
    <m/>
    <n v="4"/>
    <n v="4"/>
    <m/>
    <m/>
    <n v="0"/>
    <m/>
    <m/>
    <m/>
    <n v="4"/>
    <n v="4"/>
    <m/>
    <m/>
    <n v="0"/>
    <m/>
    <m/>
    <m/>
    <x v="28"/>
    <x v="0"/>
    <m/>
    <m/>
  </r>
  <r>
    <s v="LCD signature capture pad"/>
    <n v="0"/>
    <s v="pc"/>
    <m/>
    <m/>
    <m/>
    <n v="0"/>
    <m/>
    <m/>
    <m/>
    <n v="0"/>
    <m/>
    <m/>
    <m/>
    <n v="0"/>
    <m/>
    <m/>
    <m/>
    <n v="0"/>
    <m/>
    <m/>
    <m/>
    <x v="28"/>
    <x v="5"/>
    <s v="N/A"/>
    <m/>
  </r>
  <r>
    <s v="Roller Kit for Canon Image Formula DR-M160II"/>
    <n v="0"/>
    <s v="pc"/>
    <m/>
    <m/>
    <m/>
    <n v="0"/>
    <m/>
    <m/>
    <m/>
    <n v="0"/>
    <m/>
    <m/>
    <m/>
    <n v="0"/>
    <m/>
    <m/>
    <m/>
    <n v="0"/>
    <m/>
    <m/>
    <m/>
    <x v="28"/>
    <x v="5"/>
    <s v="N/A"/>
    <m/>
  </r>
  <r>
    <s v="Roller Kit for Epson L120, L220, L360"/>
    <n v="0"/>
    <s v="pc"/>
    <m/>
    <m/>
    <m/>
    <n v="0"/>
    <m/>
    <m/>
    <m/>
    <n v="0"/>
    <m/>
    <m/>
    <m/>
    <n v="0"/>
    <m/>
    <m/>
    <m/>
    <n v="0"/>
    <m/>
    <m/>
    <m/>
    <x v="28"/>
    <x v="5"/>
    <s v="N/A"/>
    <m/>
  </r>
  <r>
    <s v="Genuine Kyocera Toner TK-5234C compatible to Kyocera Ecosys M5521cdw (Toner Cyan)"/>
    <n v="24"/>
    <s v="pc"/>
    <m/>
    <m/>
    <s v="Public Bidding"/>
    <n v="6"/>
    <n v="6"/>
    <m/>
    <m/>
    <n v="6"/>
    <n v="6"/>
    <m/>
    <m/>
    <n v="6"/>
    <n v="6"/>
    <m/>
    <m/>
    <n v="6"/>
    <n v="6"/>
    <m/>
    <m/>
    <x v="29"/>
    <x v="12"/>
    <m/>
    <m/>
  </r>
  <r>
    <s v="Genuine Kyocera Toner TK-5234M compatible to Kyocera Ecosys M5521cdw (Toner Magenta)"/>
    <n v="24"/>
    <s v="pc"/>
    <m/>
    <m/>
    <s v="Public Bidding"/>
    <n v="6"/>
    <n v="6"/>
    <m/>
    <m/>
    <n v="6"/>
    <n v="6"/>
    <m/>
    <m/>
    <n v="6"/>
    <n v="6"/>
    <m/>
    <m/>
    <n v="6"/>
    <n v="6"/>
    <m/>
    <m/>
    <x v="29"/>
    <x v="5"/>
    <s v="N/A"/>
    <m/>
  </r>
  <r>
    <s v="Genuine Kyocera Toner TK-5234Y compatible to Kyocera Ecosys M5521cdw (Toner Yellow)"/>
    <n v="24"/>
    <s v="pc"/>
    <m/>
    <m/>
    <s v="Public Bidding"/>
    <n v="6"/>
    <n v="6"/>
    <m/>
    <m/>
    <n v="6"/>
    <n v="6"/>
    <m/>
    <m/>
    <n v="6"/>
    <n v="6"/>
    <m/>
    <m/>
    <n v="6"/>
    <n v="6"/>
    <m/>
    <m/>
    <x v="29"/>
    <x v="5"/>
    <s v="N/A"/>
    <m/>
  </r>
  <r>
    <s v="Genuine Kyocera Toner TK-5234K compatible to Kyocera Ecosys M5521cdw (Toner Black)"/>
    <n v="36"/>
    <s v="pc"/>
    <m/>
    <m/>
    <s v="Public Bidding"/>
    <n v="9"/>
    <n v="9"/>
    <m/>
    <m/>
    <n v="9"/>
    <n v="9"/>
    <m/>
    <m/>
    <n v="9"/>
    <n v="9"/>
    <m/>
    <m/>
    <n v="9"/>
    <n v="9"/>
    <m/>
    <m/>
    <x v="29"/>
    <x v="11"/>
    <m/>
    <m/>
  </r>
  <r>
    <s v="Desktop Type Document Scanner"/>
    <n v="1"/>
    <s v="UNIT"/>
    <m/>
    <m/>
    <s v="Public Bidding"/>
    <n v="1"/>
    <n v="1"/>
    <m/>
    <m/>
    <n v="0"/>
    <m/>
    <m/>
    <m/>
    <n v="0"/>
    <m/>
    <m/>
    <m/>
    <n v="0"/>
    <m/>
    <m/>
    <m/>
    <x v="29"/>
    <x v="62"/>
    <m/>
    <m/>
  </r>
  <r>
    <s v="Wireless Mouse, bluetooth"/>
    <n v="2"/>
    <s v="pc"/>
    <m/>
    <m/>
    <s v="Public Bidding"/>
    <n v="2"/>
    <n v="2"/>
    <m/>
    <m/>
    <n v="0"/>
    <m/>
    <m/>
    <m/>
    <n v="0"/>
    <m/>
    <m/>
    <m/>
    <n v="0"/>
    <m/>
    <m/>
    <m/>
    <x v="29"/>
    <x v="14"/>
    <m/>
    <m/>
  </r>
  <r>
    <s v="UPS 1200VA, AVR, 230V"/>
    <n v="2"/>
    <s v="pc"/>
    <m/>
    <m/>
    <s v="Public Bidding"/>
    <n v="2"/>
    <n v="2"/>
    <m/>
    <m/>
    <n v="0"/>
    <m/>
    <m/>
    <m/>
    <n v="0"/>
    <m/>
    <m/>
    <m/>
    <n v="0"/>
    <m/>
    <m/>
    <m/>
    <x v="29"/>
    <x v="3"/>
    <m/>
    <m/>
  </r>
  <r>
    <s v="Maintenance Kit for Kyocera Ecosys M5521cdw"/>
    <n v="1"/>
    <s v="lot"/>
    <m/>
    <m/>
    <s v="Public Bidding"/>
    <m/>
    <m/>
    <m/>
    <m/>
    <m/>
    <m/>
    <m/>
    <m/>
    <m/>
    <m/>
    <m/>
    <m/>
    <m/>
    <m/>
    <m/>
    <m/>
    <x v="29"/>
    <x v="5"/>
    <s v="N/A"/>
    <m/>
  </r>
  <r>
    <s v="Keyboard, Full Size, USB 2.0"/>
    <n v="3"/>
    <s v="pc"/>
    <m/>
    <m/>
    <s v="Public Bidding"/>
    <n v="2"/>
    <n v="2"/>
    <m/>
    <m/>
    <n v="0"/>
    <m/>
    <m/>
    <m/>
    <n v="0"/>
    <m/>
    <m/>
    <m/>
    <n v="0"/>
    <m/>
    <m/>
    <m/>
    <x v="30"/>
    <x v="13"/>
    <m/>
    <m/>
  </r>
  <r>
    <s v="Mouse, Optical, USB 2.0"/>
    <n v="3"/>
    <s v="pc"/>
    <m/>
    <m/>
    <s v="Public Bidding"/>
    <n v="2"/>
    <n v="2"/>
    <m/>
    <m/>
    <n v="0"/>
    <m/>
    <m/>
    <m/>
    <n v="0"/>
    <m/>
    <m/>
    <m/>
    <n v="0"/>
    <m/>
    <m/>
    <m/>
    <x v="30"/>
    <x v="14"/>
    <m/>
    <m/>
  </r>
  <r>
    <s v="UPS, 625va, 325 Watts"/>
    <n v="3"/>
    <s v="pc"/>
    <m/>
    <m/>
    <s v="Public Bidding"/>
    <n v="5"/>
    <n v="5"/>
    <m/>
    <m/>
    <n v="0"/>
    <m/>
    <m/>
    <m/>
    <n v="0"/>
    <m/>
    <m/>
    <m/>
    <n v="0"/>
    <m/>
    <m/>
    <m/>
    <x v="30"/>
    <x v="3"/>
    <m/>
    <m/>
  </r>
  <r>
    <s v="Webcam Full HD 1080p with Built in Microphone, , USB plug and play, with attachable mounting clip"/>
    <n v="1"/>
    <s v="pc"/>
    <m/>
    <m/>
    <s v="Public Bidding"/>
    <n v="1"/>
    <n v="1"/>
    <m/>
    <m/>
    <n v="0"/>
    <m/>
    <m/>
    <m/>
    <n v="0"/>
    <m/>
    <m/>
    <m/>
    <n v="0"/>
    <m/>
    <m/>
    <m/>
    <x v="30"/>
    <x v="2"/>
    <m/>
    <m/>
  </r>
  <r>
    <s v="Epson Ink Cartridge T6641 Black"/>
    <n v="8"/>
    <s v="pc"/>
    <m/>
    <m/>
    <s v="Public Bidding"/>
    <n v="2"/>
    <n v="1"/>
    <n v="1"/>
    <m/>
    <n v="2"/>
    <n v="1"/>
    <n v="1"/>
    <m/>
    <n v="2"/>
    <n v="1"/>
    <n v="1"/>
    <m/>
    <n v="2"/>
    <n v="1"/>
    <n v="1"/>
    <m/>
    <x v="30"/>
    <x v="16"/>
    <m/>
    <m/>
  </r>
  <r>
    <s v="Epson Ink Cartridge T6642"/>
    <n v="8"/>
    <s v="pc"/>
    <m/>
    <m/>
    <s v="Public Bidding"/>
    <n v="2"/>
    <n v="1"/>
    <n v="1"/>
    <m/>
    <n v="2"/>
    <n v="1"/>
    <n v="1"/>
    <m/>
    <n v="2"/>
    <n v="1"/>
    <n v="1"/>
    <m/>
    <n v="2"/>
    <n v="1"/>
    <n v="1"/>
    <m/>
    <x v="30"/>
    <x v="17"/>
    <m/>
    <m/>
  </r>
  <r>
    <s v="Epson Ink Cartridge T6643"/>
    <n v="8"/>
    <s v="pc"/>
    <m/>
    <m/>
    <s v="Public Bidding"/>
    <n v="2"/>
    <n v="1"/>
    <n v="1"/>
    <m/>
    <n v="2"/>
    <n v="1"/>
    <n v="1"/>
    <m/>
    <n v="2"/>
    <n v="1"/>
    <n v="1"/>
    <m/>
    <n v="2"/>
    <n v="1"/>
    <n v="1"/>
    <m/>
    <x v="30"/>
    <x v="18"/>
    <m/>
    <m/>
  </r>
  <r>
    <s v="Epson Ink Cartridge T6644"/>
    <n v="8"/>
    <s v="pc"/>
    <m/>
    <m/>
    <s v="Public Bidding"/>
    <n v="2"/>
    <n v="1"/>
    <n v="1"/>
    <m/>
    <n v="2"/>
    <n v="1"/>
    <n v="1"/>
    <m/>
    <n v="2"/>
    <n v="1"/>
    <n v="1"/>
    <m/>
    <n v="2"/>
    <n v="1"/>
    <n v="1"/>
    <m/>
    <x v="30"/>
    <x v="19"/>
    <m/>
    <m/>
  </r>
  <r>
    <s v="Ink black compatible with HP Smart Tank 515 printer"/>
    <n v="48"/>
    <s v="pc"/>
    <m/>
    <m/>
    <s v="Public Bidding"/>
    <n v="12"/>
    <n v="4"/>
    <n v="4"/>
    <n v="4"/>
    <n v="12"/>
    <n v="4"/>
    <n v="4"/>
    <n v="4"/>
    <n v="12"/>
    <n v="4"/>
    <n v="4"/>
    <n v="4"/>
    <n v="12"/>
    <n v="4"/>
    <n v="4"/>
    <n v="4"/>
    <x v="30"/>
    <x v="30"/>
    <m/>
    <m/>
  </r>
  <r>
    <s v="Ink cyan compatible with HP Smart Tank 515 printer"/>
    <n v="8"/>
    <s v="pc"/>
    <m/>
    <m/>
    <s v="Public Bidding"/>
    <n v="4"/>
    <n v="4"/>
    <m/>
    <m/>
    <n v="0"/>
    <m/>
    <m/>
    <m/>
    <n v="4"/>
    <n v="4"/>
    <m/>
    <m/>
    <n v="0"/>
    <m/>
    <m/>
    <m/>
    <x v="30"/>
    <x v="31"/>
    <m/>
    <m/>
  </r>
  <r>
    <s v="Ink yellow compatible with HP Smart Tank 515 printer"/>
    <n v="8"/>
    <s v="pc"/>
    <m/>
    <m/>
    <s v="Public Bidding"/>
    <n v="4"/>
    <n v="4"/>
    <m/>
    <m/>
    <n v="0"/>
    <m/>
    <m/>
    <m/>
    <n v="4"/>
    <n v="4"/>
    <m/>
    <m/>
    <n v="0"/>
    <m/>
    <m/>
    <m/>
    <x v="30"/>
    <x v="32"/>
    <m/>
    <m/>
  </r>
  <r>
    <s v="Ink magenta compatible with HP Smart Tank 515 printer"/>
    <n v="8"/>
    <s v="pc"/>
    <m/>
    <m/>
    <s v="Public Bidding"/>
    <n v="4"/>
    <n v="4"/>
    <m/>
    <m/>
    <n v="0"/>
    <m/>
    <m/>
    <m/>
    <n v="4"/>
    <n v="4"/>
    <m/>
    <m/>
    <n v="0"/>
    <m/>
    <m/>
    <m/>
    <x v="30"/>
    <x v="33"/>
    <m/>
    <m/>
  </r>
  <r>
    <s v="HP Printhead Black compatible to HP Smart tank 515"/>
    <n v="10"/>
    <s v="pc"/>
    <m/>
    <m/>
    <s v="Public Bidding"/>
    <n v="5"/>
    <n v="5"/>
    <m/>
    <m/>
    <n v="0"/>
    <m/>
    <m/>
    <m/>
    <n v="5"/>
    <n v="5"/>
    <m/>
    <m/>
    <n v="0"/>
    <m/>
    <m/>
    <m/>
    <x v="30"/>
    <x v="50"/>
    <m/>
    <m/>
  </r>
  <r>
    <s v="HP Printhead Tri-color compatible to HP Smart tank 515"/>
    <n v="10"/>
    <s v="pc"/>
    <m/>
    <m/>
    <s v="Public Bidding"/>
    <n v="5"/>
    <n v="5"/>
    <m/>
    <m/>
    <n v="0"/>
    <m/>
    <m/>
    <m/>
    <n v="5"/>
    <n v="5"/>
    <m/>
    <m/>
    <n v="0"/>
    <m/>
    <m/>
    <m/>
    <x v="30"/>
    <x v="51"/>
    <m/>
    <m/>
  </r>
  <r>
    <s v="MK-6113"/>
    <n v="1"/>
    <s v="pc"/>
    <m/>
    <m/>
    <s v="Public Bidding"/>
    <n v="1"/>
    <n v="1"/>
    <m/>
    <m/>
    <n v="0"/>
    <n v="0"/>
    <m/>
    <m/>
    <n v="0"/>
    <n v="0"/>
    <m/>
    <m/>
    <n v="0"/>
    <n v="0"/>
    <m/>
    <m/>
    <x v="30"/>
    <x v="79"/>
    <m/>
    <m/>
  </r>
  <r>
    <s v="Toner TK-6113 compatible to existing Kyocera Ecosys M4132idn"/>
    <n v="24"/>
    <s v="pc"/>
    <m/>
    <m/>
    <s v="Public Bidding"/>
    <n v="6"/>
    <n v="2"/>
    <n v="2"/>
    <n v="2"/>
    <n v="6"/>
    <n v="2"/>
    <n v="2"/>
    <n v="2"/>
    <n v="6"/>
    <n v="2"/>
    <n v="2"/>
    <n v="2"/>
    <n v="6"/>
    <n v="2"/>
    <n v="2"/>
    <n v="2"/>
    <x v="30"/>
    <x v="76"/>
    <m/>
    <m/>
  </r>
  <r>
    <s v="Toner TK-1175 compatible to existing Kyocera ECOSYS M2540dn/L"/>
    <n v="16"/>
    <s v="pc"/>
    <m/>
    <m/>
    <s v="Public Bidding"/>
    <n v="5"/>
    <n v="3"/>
    <n v="1"/>
    <n v="1"/>
    <n v="3"/>
    <n v="1"/>
    <n v="1"/>
    <n v="1"/>
    <n v="3"/>
    <n v="1"/>
    <n v="1"/>
    <n v="1"/>
    <n v="5"/>
    <n v="3"/>
    <n v="1"/>
    <n v="1"/>
    <x v="30"/>
    <x v="46"/>
    <m/>
    <m/>
  </r>
  <r>
    <s v="Kyocera Toner TK 3165 compatible to existing Kyocera ECOSYS M4125idn"/>
    <n v="16"/>
    <s v="pc"/>
    <m/>
    <m/>
    <s v="Public Bidding"/>
    <n v="5"/>
    <n v="3"/>
    <n v="1"/>
    <n v="1"/>
    <n v="3"/>
    <n v="1"/>
    <n v="1"/>
    <n v="1"/>
    <n v="3"/>
    <n v="1"/>
    <n v="1"/>
    <n v="1"/>
    <n v="5"/>
    <n v="3"/>
    <n v="1"/>
    <n v="1"/>
    <x v="30"/>
    <x v="9"/>
    <m/>
    <m/>
  </r>
  <r>
    <s v="Genuine Toner TK-5234K Black"/>
    <n v="16"/>
    <s v="pc"/>
    <m/>
    <m/>
    <s v="Public Bidding"/>
    <n v="4"/>
    <n v="2"/>
    <n v="2"/>
    <m/>
    <n v="4"/>
    <n v="2"/>
    <n v="2"/>
    <m/>
    <n v="4"/>
    <n v="2"/>
    <n v="2"/>
    <m/>
    <n v="4"/>
    <n v="2"/>
    <n v="2"/>
    <m/>
    <x v="30"/>
    <x v="11"/>
    <m/>
    <m/>
  </r>
  <r>
    <s v="Genuine Toner TK-5234C Cyan"/>
    <n v="8"/>
    <s v="pc"/>
    <m/>
    <m/>
    <s v="Public Bidding"/>
    <n v="2"/>
    <n v="1"/>
    <n v="1"/>
    <m/>
    <n v="2"/>
    <n v="1"/>
    <n v="1"/>
    <m/>
    <n v="2"/>
    <n v="1"/>
    <n v="1"/>
    <m/>
    <n v="2"/>
    <n v="1"/>
    <n v="1"/>
    <m/>
    <x v="30"/>
    <x v="12"/>
    <m/>
    <m/>
  </r>
  <r>
    <s v="Genuine Toner TK-5234M Magenta"/>
    <n v="8"/>
    <s v="pc"/>
    <m/>
    <m/>
    <s v="Public Bidding"/>
    <n v="2"/>
    <n v="1"/>
    <n v="1"/>
    <m/>
    <n v="2"/>
    <n v="1"/>
    <n v="1"/>
    <m/>
    <n v="2"/>
    <n v="1"/>
    <n v="1"/>
    <m/>
    <n v="2"/>
    <n v="1"/>
    <n v="1"/>
    <m/>
    <x v="30"/>
    <x v="5"/>
    <s v="N/A"/>
    <m/>
  </r>
  <r>
    <s v="Genuine Toner TK-5234Y Yellow"/>
    <n v="8"/>
    <s v="pc"/>
    <m/>
    <m/>
    <s v="Public Bidding"/>
    <n v="2"/>
    <n v="1"/>
    <n v="1"/>
    <m/>
    <n v="2"/>
    <n v="1"/>
    <n v="1"/>
    <m/>
    <n v="2"/>
    <n v="1"/>
    <n v="1"/>
    <m/>
    <n v="2"/>
    <n v="1"/>
    <n v="1"/>
    <m/>
    <x v="30"/>
    <x v="5"/>
    <s v="N/A"/>
    <m/>
  </r>
  <r>
    <s v="Kyocera Toner TK-6113"/>
    <n v="48"/>
    <s v="pc"/>
    <m/>
    <m/>
    <s v="Public Bidding"/>
    <n v="12"/>
    <n v="4"/>
    <n v="4"/>
    <n v="4"/>
    <n v="12"/>
    <n v="4"/>
    <n v="4"/>
    <n v="4"/>
    <n v="12"/>
    <n v="4"/>
    <n v="4"/>
    <n v="4"/>
    <n v="12"/>
    <n v="4"/>
    <n v="4"/>
    <n v="4"/>
    <x v="31"/>
    <x v="9"/>
    <m/>
    <m/>
  </r>
  <r>
    <s v="Kyocera Maintenance Kit MK-6119"/>
    <n v="4"/>
    <s v="pc"/>
    <m/>
    <m/>
    <s v="Public Bidding"/>
    <n v="2"/>
    <n v="2"/>
    <n v="0"/>
    <n v="0"/>
    <n v="0"/>
    <n v="0"/>
    <n v="0"/>
    <n v="0"/>
    <n v="2"/>
    <n v="2"/>
    <n v="0"/>
    <n v="0"/>
    <n v="0"/>
    <n v="0"/>
    <n v="0"/>
    <n v="0"/>
    <x v="31"/>
    <x v="10"/>
    <m/>
    <m/>
  </r>
  <r>
    <s v="Computer Set"/>
    <n v="6"/>
    <s v="set"/>
    <m/>
    <m/>
    <s v="Public Bidding"/>
    <n v="6"/>
    <n v="6"/>
    <n v="0"/>
    <n v="0"/>
    <n v="0"/>
    <n v="0"/>
    <n v="0"/>
    <n v="0"/>
    <n v="0"/>
    <n v="0"/>
    <n v="0"/>
    <n v="0"/>
    <n v="0"/>
    <n v="0"/>
    <n v="0"/>
    <n v="0"/>
    <x v="31"/>
    <x v="0"/>
    <m/>
    <m/>
  </r>
  <r>
    <s v="UPS"/>
    <n v="6"/>
    <s v="pc"/>
    <m/>
    <m/>
    <s v="Public Bidding"/>
    <n v="6"/>
    <n v="6"/>
    <n v="0"/>
    <n v="0"/>
    <n v="0"/>
    <n v="0"/>
    <n v="0"/>
    <n v="0"/>
    <n v="0"/>
    <n v="0"/>
    <n v="0"/>
    <n v="0"/>
    <n v="0"/>
    <n v="0"/>
    <n v="0"/>
    <n v="0"/>
    <x v="31"/>
    <x v="3"/>
    <m/>
    <m/>
  </r>
  <r>
    <s v="External Hard Drive"/>
    <n v="1"/>
    <s v="pc"/>
    <m/>
    <m/>
    <s v="Public Bidding"/>
    <n v="1"/>
    <n v="1"/>
    <n v="0"/>
    <n v="0"/>
    <n v="0"/>
    <n v="0"/>
    <n v="0"/>
    <n v="0"/>
    <n v="0"/>
    <n v="0"/>
    <n v="0"/>
    <n v="0"/>
    <n v="0"/>
    <n v="0"/>
    <n v="0"/>
    <n v="0"/>
    <x v="31"/>
    <x v="37"/>
    <m/>
    <m/>
  </r>
  <r>
    <s v="Flash Drive 32GB"/>
    <n v="4"/>
    <s v="pc"/>
    <m/>
    <m/>
    <s v="Public Bidding"/>
    <n v="4"/>
    <n v="4"/>
    <n v="0"/>
    <n v="0"/>
    <n v="0"/>
    <n v="0"/>
    <n v="0"/>
    <n v="0"/>
    <n v="0"/>
    <n v="0"/>
    <n v="0"/>
    <n v="0"/>
    <n v="0"/>
    <n v="0"/>
    <n v="0"/>
    <n v="0"/>
    <x v="31"/>
    <x v="20"/>
    <m/>
    <m/>
  </r>
  <r>
    <s v="Kyocera Toner TK-3165"/>
    <n v="12"/>
    <s v="pc"/>
    <m/>
    <m/>
    <s v="Public Bidding"/>
    <n v="3"/>
    <n v="1"/>
    <n v="1"/>
    <n v="1"/>
    <n v="3"/>
    <n v="1"/>
    <n v="1"/>
    <n v="1"/>
    <n v="3"/>
    <n v="1"/>
    <n v="1"/>
    <n v="1"/>
    <n v="3"/>
    <n v="1"/>
    <n v="1"/>
    <n v="1"/>
    <x v="31"/>
    <x v="80"/>
    <m/>
    <m/>
  </r>
  <r>
    <s v="Kyocera Maintenance Kit MK-3165"/>
    <n v="2"/>
    <s v="pc"/>
    <m/>
    <m/>
    <s v="Public Bidding"/>
    <n v="1"/>
    <n v="1"/>
    <n v="0"/>
    <n v="0"/>
    <n v="0"/>
    <n v="0"/>
    <n v="0"/>
    <n v="0"/>
    <n v="1"/>
    <n v="1"/>
    <n v="0"/>
    <n v="0"/>
    <n v="0"/>
    <n v="0"/>
    <n v="0"/>
    <n v="0"/>
    <x v="31"/>
    <x v="81"/>
    <m/>
    <m/>
  </r>
  <r>
    <s v="EPSON 664 INK CYAN"/>
    <n v="12"/>
    <s v="Bottle"/>
    <m/>
    <m/>
    <s v="Public Bidding"/>
    <n v="3"/>
    <n v="1"/>
    <n v="1"/>
    <n v="1"/>
    <n v="3"/>
    <n v="1"/>
    <n v="1"/>
    <n v="1"/>
    <n v="3"/>
    <n v="1"/>
    <n v="1"/>
    <n v="1"/>
    <n v="3"/>
    <n v="1"/>
    <n v="1"/>
    <n v="1"/>
    <x v="31"/>
    <x v="17"/>
    <m/>
    <m/>
  </r>
  <r>
    <s v="EPSON 664 INK YELLOW"/>
    <n v="12"/>
    <s v="Bottle"/>
    <m/>
    <m/>
    <s v="Public Bidding"/>
    <n v="3"/>
    <n v="1"/>
    <n v="1"/>
    <n v="1"/>
    <n v="3"/>
    <n v="1"/>
    <n v="1"/>
    <n v="1"/>
    <n v="3"/>
    <n v="1"/>
    <n v="1"/>
    <n v="1"/>
    <n v="3"/>
    <n v="1"/>
    <n v="1"/>
    <n v="1"/>
    <x v="31"/>
    <x v="18"/>
    <m/>
    <m/>
  </r>
  <r>
    <s v="EPSON 664 INK MAGENTA"/>
    <n v="12"/>
    <s v="Bottle"/>
    <m/>
    <m/>
    <s v="Public Bidding"/>
    <n v="3"/>
    <n v="1"/>
    <n v="1"/>
    <n v="1"/>
    <n v="3"/>
    <n v="1"/>
    <n v="1"/>
    <n v="1"/>
    <n v="3"/>
    <n v="1"/>
    <n v="1"/>
    <n v="1"/>
    <n v="3"/>
    <n v="1"/>
    <n v="1"/>
    <n v="1"/>
    <x v="31"/>
    <x v="19"/>
    <m/>
    <m/>
  </r>
  <r>
    <s v="Epson LQ-310 Printer"/>
    <n v="6"/>
    <s v="pc"/>
    <m/>
    <m/>
    <s v="Public Bidding"/>
    <n v="3"/>
    <n v="1"/>
    <n v="1"/>
    <n v="1"/>
    <n v="0"/>
    <n v="0"/>
    <n v="0"/>
    <n v="0"/>
    <n v="3"/>
    <n v="1"/>
    <n v="1"/>
    <n v="1"/>
    <n v="0"/>
    <n v="0"/>
    <n v="0"/>
    <n v="0"/>
    <x v="31"/>
    <x v="1"/>
    <m/>
    <m/>
  </r>
  <r>
    <s v="Epson LQ-310 (S015634) Ribbon Cartridge"/>
    <n v="720"/>
    <s v="pc"/>
    <m/>
    <m/>
    <s v="Public Bidding"/>
    <n v="180"/>
    <n v="60"/>
    <n v="60"/>
    <n v="60"/>
    <n v="180"/>
    <n v="60"/>
    <n v="60"/>
    <n v="60"/>
    <n v="180"/>
    <n v="60"/>
    <n v="60"/>
    <n v="60"/>
    <n v="180"/>
    <n v="60"/>
    <n v="60"/>
    <n v="60"/>
    <x v="31"/>
    <x v="6"/>
    <m/>
    <m/>
  </r>
  <r>
    <s v="Toner TK-7120 for Taskalfa 3212i"/>
    <n v="36"/>
    <s v="pc"/>
    <m/>
    <m/>
    <s v="Public Bidding"/>
    <n v="9"/>
    <n v="3"/>
    <n v="3"/>
    <n v="3"/>
    <n v="9"/>
    <n v="3"/>
    <n v="3"/>
    <n v="3"/>
    <n v="9"/>
    <n v="3"/>
    <n v="3"/>
    <n v="3"/>
    <n v="9"/>
    <n v="3"/>
    <n v="3"/>
    <n v="3"/>
    <x v="31"/>
    <x v="56"/>
    <m/>
    <m/>
  </r>
  <r>
    <s v="Kyocera Digital Copier Taskalfa 3212i"/>
    <n v="1"/>
    <s v="pc"/>
    <m/>
    <m/>
    <s v="Public Bidding"/>
    <n v="1"/>
    <n v="1"/>
    <n v="0"/>
    <n v="0"/>
    <n v="0"/>
    <n v="0"/>
    <n v="0"/>
    <n v="0"/>
    <n v="0"/>
    <n v="0"/>
    <n v="0"/>
    <n v="0"/>
    <n v="0"/>
    <n v="0"/>
    <n v="0"/>
    <n v="0"/>
    <x v="31"/>
    <x v="53"/>
    <m/>
    <m/>
  </r>
  <r>
    <s v="Kyocera Digital Copier Taskalfa 3212i Maintenance Kit"/>
    <n v="4"/>
    <s v="pc"/>
    <m/>
    <m/>
    <s v="Public Bidding"/>
    <n v="1"/>
    <n v="1"/>
    <n v="0"/>
    <n v="0"/>
    <n v="1"/>
    <n v="1"/>
    <n v="0"/>
    <n v="0"/>
    <n v="1"/>
    <n v="1"/>
    <n v="0"/>
    <n v="0"/>
    <n v="1"/>
    <n v="1"/>
    <n v="0"/>
    <n v="0"/>
    <x v="31"/>
    <x v="82"/>
    <m/>
    <m/>
  </r>
  <r>
    <s v="Printer"/>
    <n v="4"/>
    <s v="pc"/>
    <m/>
    <m/>
    <s v="Public Bidding"/>
    <n v="4"/>
    <n v="4"/>
    <n v="0"/>
    <n v="0"/>
    <n v="0"/>
    <n v="0"/>
    <n v="0"/>
    <n v="0"/>
    <n v="0"/>
    <n v="0"/>
    <n v="0"/>
    <n v="0"/>
    <n v="0"/>
    <n v="0"/>
    <n v="0"/>
    <n v="0"/>
    <x v="31"/>
    <x v="15"/>
    <s v="Printer"/>
    <m/>
  </r>
  <r>
    <s v="Kyocera Ecosys M4125IDN"/>
    <n v="2"/>
    <s v="pc"/>
    <m/>
    <m/>
    <s v="Public Bidding"/>
    <n v="1"/>
    <n v="1"/>
    <n v="0"/>
    <n v="0"/>
    <n v="0"/>
    <n v="0"/>
    <n v="0"/>
    <n v="0"/>
    <n v="1"/>
    <n v="1"/>
    <n v="0"/>
    <n v="0"/>
    <n v="0"/>
    <n v="0"/>
    <n v="0"/>
    <n v="0"/>
    <x v="31"/>
    <x v="53"/>
    <m/>
    <m/>
  </r>
  <r>
    <s v="EPSON L3210 TONER"/>
    <n v="24"/>
    <s v="pc"/>
    <m/>
    <m/>
    <s v="Public Bidding"/>
    <n v="6"/>
    <n v="2"/>
    <n v="2"/>
    <n v="2"/>
    <n v="6"/>
    <n v="2"/>
    <n v="2"/>
    <n v="2"/>
    <n v="6"/>
    <n v="2"/>
    <n v="2"/>
    <n v="2"/>
    <n v="6"/>
    <n v="2"/>
    <n v="2"/>
    <n v="2"/>
    <x v="31"/>
    <x v="26"/>
    <m/>
    <m/>
  </r>
  <r>
    <s v="INK-HP GT53 BLACK 90 ml"/>
    <n v="24"/>
    <s v="pc"/>
    <m/>
    <m/>
    <s v="Public Bidding"/>
    <n v="12"/>
    <n v="12"/>
    <n v="0"/>
    <n v="0"/>
    <n v="0"/>
    <n v="0"/>
    <n v="0"/>
    <n v="0"/>
    <n v="12"/>
    <n v="12"/>
    <n v="0"/>
    <n v="0"/>
    <n v="0"/>
    <n v="0"/>
    <n v="0"/>
    <n v="0"/>
    <x v="31"/>
    <x v="30"/>
    <m/>
    <m/>
  </r>
  <r>
    <s v="INK-HP GT53 CYAN 90 ml"/>
    <n v="8"/>
    <s v="pc"/>
    <m/>
    <m/>
    <s v="Public Bidding"/>
    <n v="2"/>
    <n v="2"/>
    <n v="0"/>
    <n v="0"/>
    <n v="2"/>
    <n v="2"/>
    <n v="0"/>
    <n v="0"/>
    <n v="2"/>
    <n v="2"/>
    <n v="0"/>
    <n v="0"/>
    <n v="2"/>
    <n v="2"/>
    <n v="0"/>
    <n v="0"/>
    <x v="31"/>
    <x v="31"/>
    <m/>
    <m/>
  </r>
  <r>
    <s v="INK-HP GT53 MAGENTA 90 ml"/>
    <n v="8"/>
    <s v="pc"/>
    <m/>
    <m/>
    <s v="Public Bidding"/>
    <n v="2"/>
    <n v="2"/>
    <n v="0"/>
    <n v="0"/>
    <n v="2"/>
    <n v="2"/>
    <n v="0"/>
    <n v="0"/>
    <n v="2"/>
    <n v="2"/>
    <n v="0"/>
    <n v="0"/>
    <n v="2"/>
    <n v="2"/>
    <n v="0"/>
    <n v="0"/>
    <x v="31"/>
    <x v="32"/>
    <m/>
    <m/>
  </r>
  <r>
    <s v="INK-HP GT53 YELLOW 90 ml"/>
    <n v="8"/>
    <s v="pc"/>
    <m/>
    <m/>
    <s v="Public Bidding"/>
    <n v="2"/>
    <n v="2"/>
    <n v="0"/>
    <n v="0"/>
    <n v="2"/>
    <n v="2"/>
    <n v="0"/>
    <n v="0"/>
    <n v="2"/>
    <n v="2"/>
    <n v="0"/>
    <n v="0"/>
    <n v="2"/>
    <n v="2"/>
    <n v="0"/>
    <n v="0"/>
    <x v="31"/>
    <x v="33"/>
    <m/>
    <m/>
  </r>
  <r>
    <s v="Brother DCP T700W (Toner) BT 6000BK"/>
    <n v="20"/>
    <s v="pc"/>
    <m/>
    <m/>
    <m/>
    <n v="5"/>
    <n v="5"/>
    <m/>
    <m/>
    <n v="5"/>
    <n v="5"/>
    <m/>
    <m/>
    <n v="5"/>
    <n v="5"/>
    <m/>
    <m/>
    <n v="5"/>
    <n v="5"/>
    <m/>
    <m/>
    <x v="32"/>
    <x v="83"/>
    <m/>
    <m/>
  </r>
  <r>
    <s v="Brother DCP T700W (Toner) BT 5000C"/>
    <n v="12"/>
    <s v="pc"/>
    <m/>
    <m/>
    <m/>
    <n v="3"/>
    <n v="3"/>
    <m/>
    <m/>
    <n v="3"/>
    <n v="3"/>
    <m/>
    <m/>
    <n v="3"/>
    <n v="3"/>
    <m/>
    <m/>
    <n v="3"/>
    <n v="3"/>
    <m/>
    <m/>
    <x v="32"/>
    <x v="67"/>
    <m/>
    <m/>
  </r>
  <r>
    <s v="Brother DCP T700W (Toner) BT 5000M"/>
    <n v="12"/>
    <s v="pc"/>
    <m/>
    <m/>
    <m/>
    <n v="3"/>
    <n v="3"/>
    <m/>
    <m/>
    <n v="3"/>
    <n v="3"/>
    <m/>
    <m/>
    <n v="3"/>
    <n v="3"/>
    <m/>
    <m/>
    <n v="3"/>
    <n v="3"/>
    <m/>
    <m/>
    <x v="32"/>
    <x v="68"/>
    <m/>
    <m/>
  </r>
  <r>
    <s v="Brother DCP T700W (Toner) BT 5000Y"/>
    <n v="12"/>
    <s v="pc"/>
    <m/>
    <m/>
    <m/>
    <n v="3"/>
    <n v="3"/>
    <m/>
    <m/>
    <n v="3"/>
    <n v="3"/>
    <m/>
    <m/>
    <n v="3"/>
    <n v="3"/>
    <m/>
    <m/>
    <n v="3"/>
    <n v="3"/>
    <m/>
    <m/>
    <x v="32"/>
    <x v="66"/>
    <m/>
    <m/>
  </r>
  <r>
    <s v="Ink black compatible to Epson L3110, L3150 (003 Ink Black)"/>
    <n v="20"/>
    <s v="pc"/>
    <m/>
    <m/>
    <m/>
    <n v="5"/>
    <n v="5"/>
    <m/>
    <m/>
    <n v="5"/>
    <n v="5"/>
    <m/>
    <m/>
    <n v="5"/>
    <n v="5"/>
    <m/>
    <m/>
    <n v="5"/>
    <n v="5"/>
    <m/>
    <m/>
    <x v="32"/>
    <x v="26"/>
    <m/>
    <m/>
  </r>
  <r>
    <s v="Ink Cyan compatible to Epson L3110, L3150 (003 Ink Cyan)"/>
    <n v="12"/>
    <s v="pc"/>
    <m/>
    <m/>
    <m/>
    <n v="3"/>
    <n v="3"/>
    <m/>
    <m/>
    <n v="3"/>
    <n v="3"/>
    <m/>
    <m/>
    <n v="3"/>
    <n v="3"/>
    <m/>
    <m/>
    <n v="3"/>
    <n v="3"/>
    <m/>
    <m/>
    <x v="32"/>
    <x v="27"/>
    <m/>
    <m/>
  </r>
  <r>
    <s v="Ink Magenta compatible to Epson L3110, L3150 (003 Ink Magenta)"/>
    <n v="12"/>
    <s v="pc"/>
    <m/>
    <m/>
    <m/>
    <n v="3"/>
    <n v="3"/>
    <m/>
    <m/>
    <n v="3"/>
    <n v="3"/>
    <m/>
    <m/>
    <n v="3"/>
    <n v="3"/>
    <m/>
    <m/>
    <n v="3"/>
    <n v="3"/>
    <m/>
    <m/>
    <x v="32"/>
    <x v="28"/>
    <m/>
    <m/>
  </r>
  <r>
    <s v="Ink Yellow compatible to Epson L3110, L3150 (003 Ink Yellow)"/>
    <n v="12"/>
    <s v="pc"/>
    <m/>
    <m/>
    <m/>
    <n v="3"/>
    <n v="3"/>
    <m/>
    <m/>
    <n v="3"/>
    <n v="3"/>
    <m/>
    <m/>
    <n v="3"/>
    <n v="3"/>
    <m/>
    <m/>
    <n v="3"/>
    <n v="3"/>
    <m/>
    <m/>
    <x v="32"/>
    <x v="29"/>
    <m/>
    <m/>
  </r>
  <r>
    <s v="INK CARTRIDGE, EPSON (T6641), BLACK"/>
    <n v="20"/>
    <s v="pc"/>
    <m/>
    <m/>
    <m/>
    <n v="5"/>
    <n v="5"/>
    <m/>
    <m/>
    <n v="5"/>
    <n v="5"/>
    <m/>
    <m/>
    <n v="5"/>
    <n v="5"/>
    <m/>
    <m/>
    <n v="5"/>
    <n v="5"/>
    <m/>
    <m/>
    <x v="32"/>
    <x v="16"/>
    <m/>
    <m/>
  </r>
  <r>
    <s v="INK CARTRIDGE, EPSON (T6642), CYAN"/>
    <n v="12"/>
    <s v="pc"/>
    <m/>
    <m/>
    <m/>
    <n v="3"/>
    <n v="3"/>
    <m/>
    <m/>
    <n v="3"/>
    <n v="3"/>
    <m/>
    <m/>
    <n v="3"/>
    <n v="3"/>
    <m/>
    <m/>
    <n v="3"/>
    <n v="3"/>
    <m/>
    <m/>
    <x v="32"/>
    <x v="17"/>
    <m/>
    <m/>
  </r>
  <r>
    <s v="INK CARTRIDGE, EPSON (T6643), MAGENTA"/>
    <n v="12"/>
    <s v="pc"/>
    <m/>
    <m/>
    <m/>
    <n v="3"/>
    <n v="3"/>
    <m/>
    <m/>
    <n v="3"/>
    <n v="3"/>
    <m/>
    <m/>
    <n v="3"/>
    <n v="3"/>
    <m/>
    <m/>
    <n v="3"/>
    <n v="3"/>
    <m/>
    <m/>
    <x v="32"/>
    <x v="18"/>
    <m/>
    <m/>
  </r>
  <r>
    <s v="INK CARTRIDGE, EPSON (T6644), YELLOW"/>
    <n v="12"/>
    <s v="pc"/>
    <m/>
    <m/>
    <m/>
    <n v="3"/>
    <n v="3"/>
    <m/>
    <m/>
    <n v="3"/>
    <n v="3"/>
    <m/>
    <m/>
    <n v="3"/>
    <n v="3"/>
    <m/>
    <m/>
    <n v="3"/>
    <n v="3"/>
    <m/>
    <m/>
    <x v="32"/>
    <x v="19"/>
    <m/>
    <m/>
  </r>
  <r>
    <s v="HP Printhead Black compatible with the existing HP Smart Tank 515"/>
    <n v="8"/>
    <s v="pc"/>
    <m/>
    <m/>
    <m/>
    <n v="8"/>
    <n v="8"/>
    <m/>
    <m/>
    <n v="0"/>
    <m/>
    <m/>
    <m/>
    <n v="0"/>
    <m/>
    <m/>
    <m/>
    <n v="0"/>
    <m/>
    <m/>
    <m/>
    <x v="32"/>
    <x v="50"/>
    <m/>
    <m/>
  </r>
  <r>
    <s v="HP Printhead Tri-color compatible with the existing HP Smart Tank 515"/>
    <n v="4"/>
    <s v="pc"/>
    <m/>
    <m/>
    <m/>
    <n v="4"/>
    <n v="4"/>
    <m/>
    <m/>
    <n v="0"/>
    <m/>
    <m/>
    <m/>
    <n v="0"/>
    <m/>
    <m/>
    <m/>
    <n v="0"/>
    <m/>
    <m/>
    <m/>
    <x v="32"/>
    <x v="51"/>
    <m/>
    <m/>
  </r>
  <r>
    <s v="HP Ink GT 53 Black - Ink compatible to existing HP Smart Tank 515"/>
    <n v="20"/>
    <s v="pc"/>
    <m/>
    <m/>
    <m/>
    <n v="5"/>
    <n v="5"/>
    <m/>
    <m/>
    <n v="5"/>
    <n v="5"/>
    <m/>
    <m/>
    <n v="5"/>
    <n v="5"/>
    <m/>
    <m/>
    <n v="5"/>
    <n v="5"/>
    <m/>
    <m/>
    <x v="32"/>
    <x v="30"/>
    <m/>
    <m/>
  </r>
  <r>
    <s v="HP Ink GT 52 Magenta - Ink compatible to existing HP Smart Tank 515"/>
    <n v="12"/>
    <s v="pc"/>
    <m/>
    <m/>
    <m/>
    <n v="3"/>
    <n v="3"/>
    <m/>
    <m/>
    <n v="3"/>
    <n v="3"/>
    <m/>
    <m/>
    <n v="3"/>
    <n v="3"/>
    <m/>
    <m/>
    <n v="3"/>
    <n v="3"/>
    <m/>
    <m/>
    <x v="32"/>
    <x v="31"/>
    <m/>
    <m/>
  </r>
  <r>
    <s v="HP Ink GT 52 Cyan - Ink compatible to existing HP Smart Tank 515"/>
    <n v="12"/>
    <s v="pc"/>
    <m/>
    <m/>
    <m/>
    <n v="3"/>
    <n v="3"/>
    <m/>
    <m/>
    <n v="3"/>
    <n v="3"/>
    <m/>
    <m/>
    <n v="3"/>
    <n v="3"/>
    <m/>
    <m/>
    <n v="3"/>
    <n v="3"/>
    <m/>
    <m/>
    <x v="32"/>
    <x v="32"/>
    <m/>
    <m/>
  </r>
  <r>
    <s v="HP Ink GT 52 Yellow - Ink compatible to existing HP Smart Tank 515"/>
    <n v="12"/>
    <s v="pc"/>
    <m/>
    <m/>
    <m/>
    <n v="3"/>
    <n v="3"/>
    <m/>
    <m/>
    <n v="3"/>
    <n v="3"/>
    <m/>
    <m/>
    <n v="3"/>
    <n v="3"/>
    <m/>
    <m/>
    <n v="3"/>
    <n v="3"/>
    <m/>
    <m/>
    <x v="32"/>
    <x v="33"/>
    <m/>
    <m/>
  </r>
  <r>
    <s v="Toner kit for Kyocera Ecosys M4125idn (TK 6113)"/>
    <n v="24"/>
    <s v="pc"/>
    <m/>
    <m/>
    <m/>
    <n v="6"/>
    <n v="6"/>
    <m/>
    <m/>
    <n v="6"/>
    <n v="6"/>
    <m/>
    <m/>
    <n v="6"/>
    <n v="6"/>
    <m/>
    <m/>
    <n v="6"/>
    <n v="6"/>
    <m/>
    <m/>
    <x v="32"/>
    <x v="9"/>
    <m/>
    <m/>
  </r>
  <r>
    <s v="KYOCERA ECOSYS M4125idn MAINTENANCE KIT (MK 6119)"/>
    <n v="6"/>
    <s v="pc"/>
    <m/>
    <m/>
    <m/>
    <n v="2"/>
    <n v="2"/>
    <m/>
    <m/>
    <n v="1"/>
    <n v="1"/>
    <m/>
    <m/>
    <n v="1"/>
    <n v="1"/>
    <m/>
    <m/>
    <n v="2"/>
    <n v="2"/>
    <m/>
    <m/>
    <x v="32"/>
    <x v="10"/>
    <m/>
    <m/>
  </r>
  <r>
    <s v="Toner Cartridge Compatible to Canon Imageclass MF543x"/>
    <n v="24"/>
    <s v="pc"/>
    <m/>
    <m/>
    <m/>
    <n v="6"/>
    <n v="6"/>
    <m/>
    <m/>
    <n v="6"/>
    <n v="6"/>
    <m/>
    <m/>
    <n v="6"/>
    <n v="6"/>
    <m/>
    <m/>
    <n v="6"/>
    <n v="6"/>
    <m/>
    <m/>
    <x v="32"/>
    <x v="84"/>
    <m/>
    <m/>
  </r>
  <r>
    <s v="Toner Cartridge compatible to Brother DCP L2540DW (TN-2360)"/>
    <n v="24"/>
    <s v="pc"/>
    <m/>
    <m/>
    <m/>
    <n v="6"/>
    <n v="6"/>
    <m/>
    <m/>
    <n v="6"/>
    <n v="6"/>
    <m/>
    <m/>
    <n v="6"/>
    <n v="6"/>
    <m/>
    <m/>
    <n v="6"/>
    <n v="6"/>
    <m/>
    <m/>
    <x v="32"/>
    <x v="85"/>
    <m/>
    <m/>
  </r>
  <r>
    <s v="Mouse, Optical, USB 2.0"/>
    <n v="1"/>
    <s v="pc"/>
    <m/>
    <m/>
    <m/>
    <n v="1"/>
    <m/>
    <m/>
    <m/>
    <m/>
    <m/>
    <m/>
    <m/>
    <m/>
    <m/>
    <m/>
    <m/>
    <m/>
    <m/>
    <m/>
    <m/>
    <x v="33"/>
    <x v="14"/>
    <m/>
    <m/>
  </r>
  <r>
    <s v="USB Thumb Drive, 32GB"/>
    <n v="1"/>
    <s v="pc"/>
    <m/>
    <m/>
    <m/>
    <n v="1"/>
    <m/>
    <m/>
    <m/>
    <m/>
    <m/>
    <m/>
    <m/>
    <m/>
    <m/>
    <m/>
    <m/>
    <m/>
    <m/>
    <m/>
    <m/>
    <x v="33"/>
    <x v="20"/>
    <m/>
    <m/>
  </r>
  <r>
    <s v="Wifi Router"/>
    <n v="1"/>
    <s v="pc"/>
    <m/>
    <m/>
    <m/>
    <n v="1"/>
    <m/>
    <m/>
    <m/>
    <m/>
    <m/>
    <m/>
    <m/>
    <m/>
    <m/>
    <m/>
    <m/>
    <m/>
    <m/>
    <m/>
    <m/>
    <x v="33"/>
    <x v="5"/>
    <s v="N/A"/>
    <m/>
  </r>
  <r>
    <s v="UPS, 625VA, 325 Watts"/>
    <n v="1"/>
    <s v="pc"/>
    <m/>
    <m/>
    <m/>
    <n v="1"/>
    <m/>
    <m/>
    <m/>
    <m/>
    <m/>
    <m/>
    <m/>
    <m/>
    <m/>
    <m/>
    <m/>
    <m/>
    <m/>
    <m/>
    <m/>
    <x v="33"/>
    <x v="3"/>
    <m/>
    <m/>
  </r>
  <r>
    <s v="Analog Telephone Handset compatible to existing PABX"/>
    <n v="1"/>
    <s v="set"/>
    <m/>
    <m/>
    <m/>
    <n v="1"/>
    <m/>
    <m/>
    <m/>
    <m/>
    <m/>
    <m/>
    <m/>
    <m/>
    <m/>
    <m/>
    <m/>
    <m/>
    <m/>
    <m/>
    <m/>
    <x v="33"/>
    <x v="52"/>
    <m/>
    <m/>
  </r>
  <r>
    <s v="Branded Desktop Set"/>
    <n v="1"/>
    <s v="set"/>
    <m/>
    <m/>
    <m/>
    <n v="1"/>
    <m/>
    <m/>
    <m/>
    <m/>
    <m/>
    <m/>
    <m/>
    <m/>
    <m/>
    <m/>
    <m/>
    <m/>
    <m/>
    <m/>
    <m/>
    <x v="33"/>
    <x v="0"/>
    <m/>
    <m/>
  </r>
  <r>
    <s v="Printer, Multi Function (Print/Scan/Copy)"/>
    <n v="1"/>
    <s v="pc"/>
    <m/>
    <m/>
    <m/>
    <n v="1"/>
    <m/>
    <m/>
    <m/>
    <m/>
    <m/>
    <m/>
    <m/>
    <m/>
    <m/>
    <m/>
    <m/>
    <m/>
    <m/>
    <m/>
    <m/>
    <x v="33"/>
    <x v="15"/>
    <s v="Printer"/>
    <m/>
  </r>
  <r>
    <s v="Mouse, Optical, USB 2.0"/>
    <n v="1"/>
    <s v="pc"/>
    <m/>
    <m/>
    <m/>
    <n v="1"/>
    <m/>
    <m/>
    <m/>
    <m/>
    <m/>
    <m/>
    <m/>
    <m/>
    <m/>
    <m/>
    <m/>
    <m/>
    <m/>
    <m/>
    <m/>
    <x v="33"/>
    <x v="14"/>
    <m/>
    <m/>
  </r>
  <r>
    <s v="Keyboard, Full Size, USB 2.0"/>
    <n v="1"/>
    <s v="pc"/>
    <m/>
    <m/>
    <m/>
    <n v="1"/>
    <m/>
    <m/>
    <m/>
    <m/>
    <m/>
    <m/>
    <m/>
    <m/>
    <m/>
    <m/>
    <m/>
    <m/>
    <m/>
    <m/>
    <m/>
    <x v="33"/>
    <x v="13"/>
    <m/>
    <m/>
  </r>
  <r>
    <s v="Branded Laptop"/>
    <n v="1"/>
    <s v="set"/>
    <m/>
    <m/>
    <m/>
    <n v="1"/>
    <m/>
    <m/>
    <m/>
    <m/>
    <m/>
    <m/>
    <m/>
    <m/>
    <m/>
    <m/>
    <m/>
    <m/>
    <m/>
    <m/>
    <m/>
    <x v="33"/>
    <x v="40"/>
    <m/>
    <m/>
  </r>
  <r>
    <s v="LCD Projector"/>
    <n v="1"/>
    <s v="pc"/>
    <m/>
    <m/>
    <m/>
    <n v="1"/>
    <m/>
    <m/>
    <m/>
    <m/>
    <m/>
    <m/>
    <m/>
    <m/>
    <m/>
    <m/>
    <m/>
    <m/>
    <m/>
    <m/>
    <m/>
    <x v="33"/>
    <x v="64"/>
    <m/>
    <m/>
  </r>
  <r>
    <s v="External HDD, 1TB"/>
    <n v="1"/>
    <s v="pc"/>
    <m/>
    <m/>
    <m/>
    <n v="1"/>
    <m/>
    <m/>
    <m/>
    <m/>
    <m/>
    <m/>
    <m/>
    <m/>
    <m/>
    <m/>
    <m/>
    <m/>
    <m/>
    <m/>
    <m/>
    <x v="33"/>
    <x v="37"/>
    <m/>
    <m/>
  </r>
  <r>
    <s v="Digital Audio Recorder with USB, 4GB RAM"/>
    <n v="1"/>
    <s v="pc"/>
    <m/>
    <m/>
    <m/>
    <n v="1"/>
    <m/>
    <m/>
    <m/>
    <m/>
    <m/>
    <m/>
    <m/>
    <m/>
    <m/>
    <m/>
    <m/>
    <m/>
    <m/>
    <m/>
    <m/>
    <x v="33"/>
    <x v="71"/>
    <m/>
    <m/>
  </r>
  <r>
    <s v="Laser Pointer with clicker"/>
    <n v="1"/>
    <s v="pc"/>
    <m/>
    <m/>
    <m/>
    <n v="1"/>
    <m/>
    <m/>
    <m/>
    <m/>
    <m/>
    <m/>
    <m/>
    <m/>
    <m/>
    <m/>
    <m/>
    <m/>
    <m/>
    <m/>
    <m/>
    <x v="33"/>
    <x v="42"/>
    <m/>
    <m/>
  </r>
  <r>
    <s v="120GB SSD"/>
    <n v="1"/>
    <s v="pc"/>
    <m/>
    <m/>
    <m/>
    <n v="1"/>
    <m/>
    <m/>
    <m/>
    <m/>
    <m/>
    <m/>
    <m/>
    <m/>
    <m/>
    <m/>
    <m/>
    <m/>
    <m/>
    <m/>
    <m/>
    <x v="33"/>
    <x v="5"/>
    <s v="N/A"/>
    <m/>
  </r>
  <r>
    <s v="Multi- functional copier, Supported Paper: Letter/A4/Legal /A3"/>
    <n v="1"/>
    <s v="pc"/>
    <m/>
    <m/>
    <m/>
    <n v="1"/>
    <m/>
    <m/>
    <m/>
    <m/>
    <m/>
    <m/>
    <m/>
    <m/>
    <m/>
    <m/>
    <m/>
    <m/>
    <m/>
    <m/>
    <m/>
    <x v="33"/>
    <x v="86"/>
    <m/>
    <m/>
  </r>
  <r>
    <s v="Ink black compatible with HP Smart Tank 515 printer"/>
    <n v="48"/>
    <s v="pc"/>
    <m/>
    <m/>
    <m/>
    <n v="12"/>
    <m/>
    <m/>
    <m/>
    <n v="12"/>
    <m/>
    <m/>
    <m/>
    <n v="12"/>
    <m/>
    <m/>
    <m/>
    <n v="12"/>
    <m/>
    <m/>
    <m/>
    <x v="33"/>
    <x v="30"/>
    <m/>
    <m/>
  </r>
  <r>
    <s v="Ink cyan compatible with HP Smart Tank 515 printer"/>
    <n v="48"/>
    <s v="pc"/>
    <m/>
    <m/>
    <m/>
    <n v="12"/>
    <m/>
    <m/>
    <m/>
    <n v="12"/>
    <m/>
    <m/>
    <m/>
    <n v="12"/>
    <m/>
    <m/>
    <m/>
    <n v="12"/>
    <m/>
    <m/>
    <m/>
    <x v="33"/>
    <x v="31"/>
    <m/>
    <m/>
  </r>
  <r>
    <s v="Ink yellow compatible with HP Smart Tank 515 printer"/>
    <n v="48"/>
    <s v="pc"/>
    <m/>
    <m/>
    <m/>
    <n v="12"/>
    <m/>
    <m/>
    <m/>
    <n v="12"/>
    <m/>
    <m/>
    <m/>
    <n v="12"/>
    <m/>
    <m/>
    <m/>
    <n v="12"/>
    <m/>
    <m/>
    <m/>
    <x v="33"/>
    <x v="32"/>
    <m/>
    <m/>
  </r>
  <r>
    <s v="Ink magenta compatible with HP Smart Tank 515 printer"/>
    <n v="48"/>
    <s v="pc"/>
    <m/>
    <m/>
    <m/>
    <n v="12"/>
    <m/>
    <m/>
    <m/>
    <n v="12"/>
    <m/>
    <m/>
    <m/>
    <n v="12"/>
    <m/>
    <m/>
    <m/>
    <n v="12"/>
    <m/>
    <m/>
    <m/>
    <x v="33"/>
    <x v="33"/>
    <m/>
    <m/>
  </r>
  <r>
    <s v="Kyocera FS-6525MFP TK-479"/>
    <n v="8"/>
    <s v="pc"/>
    <m/>
    <m/>
    <m/>
    <n v="4"/>
    <m/>
    <m/>
    <m/>
    <n v="4"/>
    <m/>
    <m/>
    <m/>
    <m/>
    <m/>
    <m/>
    <m/>
    <m/>
    <m/>
    <m/>
    <m/>
    <x v="33"/>
    <x v="34"/>
    <m/>
    <m/>
  </r>
  <r>
    <s v="Kyocera Ecosys FS-6525MFP MK 479"/>
    <n v="4"/>
    <s v="pc"/>
    <m/>
    <m/>
    <m/>
    <n v="2"/>
    <m/>
    <m/>
    <m/>
    <n v="2"/>
    <m/>
    <m/>
    <m/>
    <m/>
    <m/>
    <m/>
    <m/>
    <m/>
    <m/>
    <m/>
    <m/>
    <x v="33"/>
    <x v="35"/>
    <m/>
    <m/>
  </r>
  <r>
    <s v="CPU"/>
    <n v="2"/>
    <s v="UNIT"/>
    <m/>
    <m/>
    <m/>
    <n v="2"/>
    <m/>
    <m/>
    <m/>
    <m/>
    <m/>
    <m/>
    <m/>
    <m/>
    <m/>
    <m/>
    <m/>
    <m/>
    <m/>
    <m/>
    <m/>
    <x v="34"/>
    <x v="5"/>
    <s v="N/A"/>
    <m/>
  </r>
  <r>
    <s v="DESKTOP FOR MID-RANGE USERS"/>
    <n v="1"/>
    <s v="UNIT"/>
    <m/>
    <m/>
    <m/>
    <n v="1"/>
    <m/>
    <m/>
    <m/>
    <m/>
    <m/>
    <m/>
    <m/>
    <m/>
    <m/>
    <m/>
    <m/>
    <m/>
    <m/>
    <m/>
    <m/>
    <x v="34"/>
    <x v="0"/>
    <m/>
    <m/>
  </r>
  <r>
    <s v="PRINTER, impact, dot matrix, 24 pins, 136 columns"/>
    <n v="1"/>
    <s v="UNIT"/>
    <m/>
    <m/>
    <m/>
    <n v="1"/>
    <m/>
    <m/>
    <m/>
    <m/>
    <m/>
    <m/>
    <m/>
    <m/>
    <m/>
    <m/>
    <m/>
    <m/>
    <m/>
    <m/>
    <m/>
    <x v="34"/>
    <x v="1"/>
    <m/>
    <m/>
  </r>
  <r>
    <s v="INK EPSON C13T664100 (T6641), Black"/>
    <n v="8"/>
    <s v="bot"/>
    <m/>
    <m/>
    <m/>
    <n v="4"/>
    <m/>
    <m/>
    <m/>
    <m/>
    <m/>
    <m/>
    <m/>
    <n v="4"/>
    <m/>
    <m/>
    <m/>
    <m/>
    <m/>
    <m/>
    <m/>
    <x v="34"/>
    <x v="16"/>
    <m/>
    <m/>
  </r>
  <r>
    <s v="INK EPSON C13T664200 (T6642), Cyan"/>
    <n v="2"/>
    <s v="bot"/>
    <m/>
    <m/>
    <m/>
    <n v="1"/>
    <m/>
    <m/>
    <m/>
    <m/>
    <m/>
    <m/>
    <m/>
    <n v="1"/>
    <m/>
    <m/>
    <m/>
    <m/>
    <m/>
    <m/>
    <m/>
    <x v="34"/>
    <x v="17"/>
    <m/>
    <m/>
  </r>
  <r>
    <s v="INK, EPSON C13T664300 (T6643), Magenta"/>
    <n v="2"/>
    <s v="bot"/>
    <m/>
    <m/>
    <m/>
    <n v="1"/>
    <m/>
    <m/>
    <m/>
    <m/>
    <m/>
    <m/>
    <m/>
    <n v="1"/>
    <m/>
    <m/>
    <m/>
    <m/>
    <m/>
    <m/>
    <m/>
    <x v="34"/>
    <x v="18"/>
    <m/>
    <m/>
  </r>
  <r>
    <s v="INK, EPSON C13T664400 (T6644), Yellow"/>
    <n v="2"/>
    <s v="bot"/>
    <m/>
    <m/>
    <m/>
    <n v="1"/>
    <m/>
    <m/>
    <m/>
    <m/>
    <m/>
    <m/>
    <m/>
    <n v="1"/>
    <m/>
    <m/>
    <m/>
    <m/>
    <m/>
    <m/>
    <m/>
    <x v="34"/>
    <x v="19"/>
    <m/>
    <m/>
  </r>
  <r>
    <s v="HP GT52 Yellow"/>
    <n v="4"/>
    <s v="bot"/>
    <m/>
    <m/>
    <m/>
    <n v="2"/>
    <m/>
    <m/>
    <m/>
    <m/>
    <m/>
    <m/>
    <m/>
    <n v="2"/>
    <m/>
    <m/>
    <m/>
    <m/>
    <m/>
    <m/>
    <m/>
    <x v="34"/>
    <x v="33"/>
    <m/>
    <m/>
  </r>
  <r>
    <s v="HP GT52 Magenta"/>
    <n v="4"/>
    <s v="bot"/>
    <m/>
    <m/>
    <m/>
    <n v="2"/>
    <m/>
    <m/>
    <m/>
    <m/>
    <m/>
    <m/>
    <m/>
    <n v="2"/>
    <m/>
    <m/>
    <m/>
    <m/>
    <m/>
    <m/>
    <m/>
    <x v="34"/>
    <x v="31"/>
    <m/>
    <m/>
  </r>
  <r>
    <s v="HP GT52 Cyan"/>
    <n v="4"/>
    <s v="bot"/>
    <m/>
    <m/>
    <m/>
    <n v="2"/>
    <m/>
    <m/>
    <m/>
    <m/>
    <m/>
    <m/>
    <m/>
    <n v="2"/>
    <m/>
    <m/>
    <m/>
    <m/>
    <m/>
    <m/>
    <m/>
    <x v="34"/>
    <x v="32"/>
    <m/>
    <m/>
  </r>
  <r>
    <s v="HP GT53 Black"/>
    <n v="8"/>
    <s v="bot"/>
    <m/>
    <m/>
    <m/>
    <n v="4"/>
    <m/>
    <m/>
    <m/>
    <m/>
    <m/>
    <m/>
    <m/>
    <n v="4"/>
    <m/>
    <m/>
    <m/>
    <m/>
    <m/>
    <m/>
    <m/>
    <x v="34"/>
    <x v="30"/>
    <m/>
    <m/>
  </r>
  <r>
    <s v="epson L3210 printer"/>
    <n v="3"/>
    <s v="pc"/>
    <m/>
    <m/>
    <m/>
    <n v="3"/>
    <n v="3"/>
    <m/>
    <m/>
    <m/>
    <m/>
    <m/>
    <m/>
    <m/>
    <m/>
    <m/>
    <m/>
    <m/>
    <m/>
    <m/>
    <m/>
    <x v="35"/>
    <x v="15"/>
    <s v="Printer"/>
    <m/>
  </r>
  <r>
    <s v="Keyboard, Full Size, USB 2.0"/>
    <n v="3"/>
    <s v="pc"/>
    <m/>
    <m/>
    <m/>
    <n v="3"/>
    <n v="3"/>
    <m/>
    <m/>
    <m/>
    <m/>
    <m/>
    <m/>
    <m/>
    <m/>
    <m/>
    <m/>
    <m/>
    <m/>
    <m/>
    <m/>
    <x v="35"/>
    <x v="13"/>
    <m/>
    <m/>
  </r>
  <r>
    <s v="Mouse, Optical, USB 2.0"/>
    <n v="3"/>
    <s v="pc"/>
    <m/>
    <m/>
    <m/>
    <n v="3"/>
    <n v="3"/>
    <m/>
    <m/>
    <m/>
    <m/>
    <m/>
    <m/>
    <m/>
    <m/>
    <m/>
    <m/>
    <m/>
    <m/>
    <m/>
    <m/>
    <x v="35"/>
    <x v="14"/>
    <m/>
    <m/>
  </r>
  <r>
    <s v="UPS, 625va, 325 Watts"/>
    <n v="3"/>
    <s v="pc"/>
    <m/>
    <m/>
    <m/>
    <n v="3"/>
    <n v="3"/>
    <m/>
    <m/>
    <m/>
    <m/>
    <m/>
    <m/>
    <m/>
    <m/>
    <m/>
    <m/>
    <m/>
    <m/>
    <m/>
    <m/>
    <x v="35"/>
    <x v="3"/>
    <m/>
    <m/>
  </r>
  <r>
    <s v="AVR 500 Watts, 220 Volts"/>
    <n v="3"/>
    <s v="pc"/>
    <m/>
    <m/>
    <m/>
    <n v="3"/>
    <n v="3"/>
    <m/>
    <m/>
    <m/>
    <m/>
    <m/>
    <m/>
    <m/>
    <m/>
    <m/>
    <m/>
    <m/>
    <m/>
    <m/>
    <m/>
    <x v="35"/>
    <x v="5"/>
    <s v="N/A"/>
    <m/>
  </r>
  <r>
    <s v="Analog Telephone Handset compatible to existing PABX"/>
    <n v="3"/>
    <s v="pc"/>
    <m/>
    <m/>
    <m/>
    <n v="3"/>
    <n v="3"/>
    <m/>
    <m/>
    <m/>
    <m/>
    <m/>
    <m/>
    <m/>
    <m/>
    <m/>
    <m/>
    <m/>
    <m/>
    <m/>
    <m/>
    <x v="35"/>
    <x v="52"/>
    <m/>
    <m/>
  </r>
  <r>
    <s v="EPSON L3210"/>
    <n v="2"/>
    <s v="pc"/>
    <m/>
    <m/>
    <m/>
    <n v="1"/>
    <n v="1"/>
    <m/>
    <m/>
    <n v="0"/>
    <m/>
    <m/>
    <m/>
    <n v="0"/>
    <m/>
    <m/>
    <m/>
    <n v="0"/>
    <m/>
    <m/>
    <m/>
    <x v="36"/>
    <x v="5"/>
    <s v="N/A"/>
    <m/>
  </r>
  <r>
    <s v="Keyboard, Full Size, USB 2.0"/>
    <n v="2"/>
    <s v="pc"/>
    <m/>
    <m/>
    <m/>
    <n v="1"/>
    <n v="1"/>
    <m/>
    <m/>
    <n v="0"/>
    <m/>
    <m/>
    <m/>
    <n v="1"/>
    <n v="1"/>
    <m/>
    <m/>
    <n v="0"/>
    <m/>
    <m/>
    <m/>
    <x v="36"/>
    <x v="13"/>
    <m/>
    <m/>
  </r>
  <r>
    <s v="Mouse, Optical, USB 2.0"/>
    <n v="2"/>
    <s v="pc"/>
    <m/>
    <m/>
    <m/>
    <n v="1"/>
    <n v="1"/>
    <m/>
    <m/>
    <n v="0"/>
    <m/>
    <m/>
    <m/>
    <n v="1"/>
    <n v="1"/>
    <m/>
    <m/>
    <n v="0"/>
    <m/>
    <m/>
    <m/>
    <x v="36"/>
    <x v="14"/>
    <m/>
    <m/>
  </r>
  <r>
    <s v="Multi-function inkjet printer Tank (print, copy, scan)"/>
    <n v="1"/>
    <s v="pc"/>
    <m/>
    <m/>
    <m/>
    <n v="1"/>
    <n v="1"/>
    <m/>
    <m/>
    <n v="0"/>
    <m/>
    <m/>
    <m/>
    <n v="0"/>
    <m/>
    <m/>
    <m/>
    <n v="0"/>
    <m/>
    <m/>
    <m/>
    <x v="36"/>
    <x v="15"/>
    <s v="Printer"/>
    <m/>
  </r>
  <r>
    <s v="UPS, 625va, 325 Watts"/>
    <n v="2"/>
    <s v="pc"/>
    <m/>
    <m/>
    <m/>
    <n v="1"/>
    <n v="1"/>
    <m/>
    <m/>
    <n v="0"/>
    <m/>
    <m/>
    <m/>
    <n v="1"/>
    <n v="1"/>
    <m/>
    <m/>
    <n v="0"/>
    <m/>
    <m/>
    <m/>
    <x v="36"/>
    <x v="3"/>
    <m/>
    <m/>
  </r>
  <r>
    <s v="AVR 500 Watts, 220 Volts"/>
    <n v="2"/>
    <s v="pc"/>
    <m/>
    <m/>
    <m/>
    <n v="1"/>
    <n v="1"/>
    <m/>
    <m/>
    <n v="1"/>
    <n v="1"/>
    <m/>
    <m/>
    <n v="0"/>
    <m/>
    <m/>
    <m/>
    <n v="0"/>
    <m/>
    <m/>
    <m/>
    <x v="36"/>
    <x v="5"/>
    <s v="N/A"/>
    <m/>
  </r>
  <r>
    <s v="Epson LQ-310 printer"/>
    <n v="1"/>
    <s v="UNIT"/>
    <m/>
    <m/>
    <m/>
    <n v="1"/>
    <n v="1"/>
    <m/>
    <m/>
    <n v="0"/>
    <m/>
    <m/>
    <m/>
    <n v="0"/>
    <m/>
    <m/>
    <m/>
    <n v="0"/>
    <m/>
    <m/>
    <m/>
    <x v="36"/>
    <x v="1"/>
    <m/>
    <m/>
  </r>
  <r>
    <s v="Analog Telephone Handset compatible to existing PABX"/>
    <n v="1"/>
    <s v="pc"/>
    <m/>
    <m/>
    <m/>
    <n v="1"/>
    <n v="1"/>
    <m/>
    <m/>
    <n v="0"/>
    <m/>
    <m/>
    <m/>
    <n v="0"/>
    <m/>
    <m/>
    <m/>
    <n v="0"/>
    <m/>
    <m/>
    <m/>
    <x v="36"/>
    <x v="52"/>
    <m/>
    <m/>
  </r>
  <r>
    <s v="Ink black compatible EPSON L3210"/>
    <n v="150"/>
    <s v="pc"/>
    <m/>
    <m/>
    <m/>
    <n v="36"/>
    <n v="12"/>
    <n v="12"/>
    <n v="12"/>
    <n v="36"/>
    <n v="12"/>
    <n v="12"/>
    <n v="12"/>
    <n v="36"/>
    <n v="12"/>
    <n v="12"/>
    <n v="12"/>
    <n v="36"/>
    <n v="12"/>
    <n v="12"/>
    <n v="12"/>
    <x v="36"/>
    <x v="26"/>
    <m/>
    <m/>
  </r>
  <r>
    <s v="Ink cyan compatible EPSON L3210"/>
    <n v="150"/>
    <s v="pc"/>
    <m/>
    <m/>
    <m/>
    <n v="36"/>
    <n v="12"/>
    <n v="12"/>
    <n v="12"/>
    <n v="36"/>
    <n v="12"/>
    <n v="12"/>
    <n v="12"/>
    <n v="36"/>
    <n v="12"/>
    <n v="12"/>
    <n v="12"/>
    <n v="36"/>
    <n v="12"/>
    <n v="12"/>
    <n v="12"/>
    <x v="36"/>
    <x v="27"/>
    <m/>
    <m/>
  </r>
  <r>
    <s v="Ink yellow compatible EPSON L3210"/>
    <n v="150"/>
    <s v="pc"/>
    <m/>
    <m/>
    <m/>
    <n v="36"/>
    <n v="12"/>
    <n v="12"/>
    <n v="12"/>
    <n v="36"/>
    <n v="12"/>
    <n v="12"/>
    <n v="12"/>
    <n v="36"/>
    <n v="12"/>
    <n v="12"/>
    <n v="12"/>
    <n v="36"/>
    <n v="12"/>
    <n v="12"/>
    <n v="12"/>
    <x v="36"/>
    <x v="28"/>
    <m/>
    <m/>
  </r>
  <r>
    <s v="Ink magenta compatible EPSON L3210"/>
    <n v="150"/>
    <s v="pc"/>
    <m/>
    <m/>
    <m/>
    <n v="36"/>
    <n v="12"/>
    <n v="12"/>
    <n v="12"/>
    <n v="36"/>
    <n v="12"/>
    <n v="12"/>
    <n v="12"/>
    <n v="36"/>
    <n v="12"/>
    <n v="12"/>
    <n v="12"/>
    <n v="36"/>
    <n v="12"/>
    <n v="12"/>
    <n v="12"/>
    <x v="36"/>
    <x v="29"/>
    <m/>
    <m/>
  </r>
  <r>
    <s v="Analog Telephone Handset compatible to existing PABX"/>
    <n v="2"/>
    <s v="pc"/>
    <m/>
    <m/>
    <m/>
    <n v="2"/>
    <n v="2"/>
    <m/>
    <m/>
    <n v="0"/>
    <m/>
    <m/>
    <m/>
    <n v="0"/>
    <m/>
    <m/>
    <m/>
    <n v="0"/>
    <m/>
    <m/>
    <m/>
    <x v="37"/>
    <x v="52"/>
    <m/>
    <m/>
  </r>
  <r>
    <s v="Keyboard, Full Size, USB 2.0"/>
    <n v="2"/>
    <s v="pc"/>
    <m/>
    <m/>
    <m/>
    <n v="2"/>
    <n v="2"/>
    <m/>
    <m/>
    <n v="0"/>
    <m/>
    <m/>
    <m/>
    <n v="0"/>
    <m/>
    <m/>
    <m/>
    <n v="0"/>
    <m/>
    <m/>
    <m/>
    <x v="37"/>
    <x v="13"/>
    <m/>
    <m/>
  </r>
  <r>
    <s v="Mouse, Optical, USB 2.0"/>
    <n v="2"/>
    <s v="pc"/>
    <m/>
    <m/>
    <m/>
    <n v="2"/>
    <n v="2"/>
    <m/>
    <m/>
    <n v="0"/>
    <m/>
    <m/>
    <m/>
    <n v="0"/>
    <m/>
    <m/>
    <m/>
    <n v="0"/>
    <m/>
    <m/>
    <m/>
    <x v="37"/>
    <x v="14"/>
    <m/>
    <m/>
  </r>
  <r>
    <s v="Printer with Scanner"/>
    <n v="1"/>
    <s v="pc"/>
    <m/>
    <m/>
    <m/>
    <n v="1"/>
    <n v="1"/>
    <m/>
    <m/>
    <n v="0"/>
    <m/>
    <m/>
    <m/>
    <n v="0"/>
    <m/>
    <m/>
    <m/>
    <n v="0"/>
    <m/>
    <m/>
    <m/>
    <x v="37"/>
    <x v="15"/>
    <s v="Printer"/>
    <m/>
  </r>
  <r>
    <s v="Printer Ink for EPSON L3210 (Black)"/>
    <n v="60"/>
    <s v="pc"/>
    <m/>
    <m/>
    <m/>
    <n v="15"/>
    <n v="5"/>
    <n v="5"/>
    <n v="5"/>
    <n v="15"/>
    <n v="5"/>
    <n v="5"/>
    <n v="5"/>
    <n v="15"/>
    <n v="5"/>
    <n v="5"/>
    <n v="5"/>
    <n v="15"/>
    <n v="5"/>
    <n v="5"/>
    <n v="5"/>
    <x v="37"/>
    <x v="26"/>
    <m/>
    <m/>
  </r>
  <r>
    <s v="Printer Ink for EPSON L3210 (Magenta)"/>
    <n v="60"/>
    <s v="pc"/>
    <m/>
    <m/>
    <m/>
    <n v="15"/>
    <n v="5"/>
    <n v="5"/>
    <n v="5"/>
    <n v="15"/>
    <n v="5"/>
    <n v="5"/>
    <n v="5"/>
    <n v="15"/>
    <n v="5"/>
    <n v="5"/>
    <n v="5"/>
    <n v="15"/>
    <n v="5"/>
    <n v="5"/>
    <n v="5"/>
    <x v="37"/>
    <x v="27"/>
    <m/>
    <m/>
  </r>
  <r>
    <s v="Printer Ink for EPSON L3210 (Cyan)"/>
    <n v="60"/>
    <s v="pc"/>
    <m/>
    <m/>
    <m/>
    <n v="15"/>
    <n v="5"/>
    <n v="5"/>
    <n v="5"/>
    <n v="15"/>
    <n v="5"/>
    <n v="5"/>
    <n v="5"/>
    <n v="15"/>
    <n v="5"/>
    <n v="5"/>
    <n v="5"/>
    <n v="15"/>
    <n v="5"/>
    <n v="5"/>
    <n v="5"/>
    <x v="37"/>
    <x v="28"/>
    <m/>
    <m/>
  </r>
  <r>
    <s v="Printer Ink for EPSON L3210 (Yellow)"/>
    <n v="60"/>
    <s v="pc"/>
    <m/>
    <m/>
    <m/>
    <n v="15"/>
    <n v="5"/>
    <n v="5"/>
    <n v="5"/>
    <n v="15"/>
    <n v="5"/>
    <n v="5"/>
    <n v="5"/>
    <n v="15"/>
    <n v="5"/>
    <n v="5"/>
    <n v="5"/>
    <n v="15"/>
    <n v="5"/>
    <n v="5"/>
    <n v="5"/>
    <x v="37"/>
    <x v="29"/>
    <m/>
    <m/>
  </r>
  <r>
    <s v="Toner Kit for Kyocera (TK-3165)"/>
    <n v="24"/>
    <s v="pc"/>
    <m/>
    <m/>
    <m/>
    <n v="6"/>
    <n v="2"/>
    <n v="2"/>
    <n v="2"/>
    <n v="6"/>
    <n v="2"/>
    <n v="2"/>
    <n v="2"/>
    <n v="6"/>
    <n v="2"/>
    <n v="2"/>
    <n v="2"/>
    <n v="6"/>
    <n v="2"/>
    <n v="2"/>
    <n v="2"/>
    <x v="37"/>
    <x v="45"/>
    <m/>
    <m/>
  </r>
  <r>
    <s v="UPS 625va 325 watts"/>
    <n v="6"/>
    <s v="pc"/>
    <m/>
    <m/>
    <m/>
    <n v="3"/>
    <n v="3"/>
    <m/>
    <m/>
    <n v="0"/>
    <m/>
    <m/>
    <m/>
    <n v="3"/>
    <n v="3"/>
    <m/>
    <m/>
    <n v="0"/>
    <m/>
    <m/>
    <m/>
    <x v="37"/>
    <x v="3"/>
    <m/>
    <m/>
  </r>
  <r>
    <s v="PRINTER DOT MATRIX"/>
    <n v="3"/>
    <s v="pc"/>
    <m/>
    <m/>
    <m/>
    <n v="1"/>
    <n v="1"/>
    <m/>
    <m/>
    <n v="1"/>
    <n v="1"/>
    <m/>
    <m/>
    <n v="1"/>
    <n v="1"/>
    <m/>
    <m/>
    <n v="0"/>
    <m/>
    <m/>
    <m/>
    <x v="37"/>
    <x v="1"/>
    <m/>
    <m/>
  </r>
  <r>
    <s v="CPU"/>
    <n v="1"/>
    <s v="pc"/>
    <m/>
    <m/>
    <m/>
    <n v="1"/>
    <n v="1"/>
    <m/>
    <m/>
    <n v="0"/>
    <m/>
    <m/>
    <m/>
    <n v="0"/>
    <m/>
    <m/>
    <m/>
    <n v="0"/>
    <m/>
    <m/>
    <m/>
    <x v="38"/>
    <x v="5"/>
    <s v="N/A"/>
    <m/>
  </r>
  <r>
    <s v="Desktop Computer"/>
    <n v="4"/>
    <s v="pc"/>
    <m/>
    <m/>
    <m/>
    <n v="2"/>
    <n v="2"/>
    <m/>
    <m/>
    <n v="0"/>
    <m/>
    <m/>
    <m/>
    <n v="2"/>
    <n v="2"/>
    <m/>
    <m/>
    <n v="0"/>
    <m/>
    <m/>
    <m/>
    <x v="38"/>
    <x v="0"/>
    <m/>
    <m/>
  </r>
  <r>
    <s v="Analog Telephone Handset compatible to existing PABX"/>
    <n v="4"/>
    <s v="pc"/>
    <m/>
    <m/>
    <m/>
    <n v="1"/>
    <n v="1"/>
    <m/>
    <m/>
    <n v="1"/>
    <n v="1"/>
    <m/>
    <m/>
    <n v="1"/>
    <n v="1"/>
    <m/>
    <m/>
    <n v="1"/>
    <n v="1"/>
    <m/>
    <m/>
    <x v="38"/>
    <x v="52"/>
    <m/>
    <m/>
  </r>
  <r>
    <s v="AVR Automatic Voltage regulator"/>
    <n v="30"/>
    <s v="pc"/>
    <m/>
    <m/>
    <m/>
    <n v="20"/>
    <n v="20"/>
    <m/>
    <m/>
    <n v="0"/>
    <m/>
    <m/>
    <m/>
    <n v="10"/>
    <n v="10"/>
    <m/>
    <m/>
    <n v="0"/>
    <m/>
    <m/>
    <m/>
    <x v="38"/>
    <x v="5"/>
    <s v="N/A"/>
    <m/>
  </r>
  <r>
    <s v="Keyboard, Full Size, USB 2.0"/>
    <n v="8"/>
    <s v="pc"/>
    <m/>
    <m/>
    <m/>
    <n v="4"/>
    <n v="4"/>
    <m/>
    <m/>
    <n v="0"/>
    <m/>
    <m/>
    <m/>
    <n v="4"/>
    <n v="4"/>
    <m/>
    <m/>
    <n v="0"/>
    <m/>
    <m/>
    <m/>
    <x v="38"/>
    <x v="13"/>
    <m/>
    <m/>
  </r>
  <r>
    <s v="Mouse, Optical, USB 2.0"/>
    <n v="8"/>
    <s v="pc"/>
    <m/>
    <m/>
    <m/>
    <n v="4"/>
    <n v="4"/>
    <m/>
    <m/>
    <n v="0"/>
    <m/>
    <m/>
    <m/>
    <n v="4"/>
    <n v="4"/>
    <m/>
    <m/>
    <n v="0"/>
    <m/>
    <m/>
    <m/>
    <x v="38"/>
    <x v="14"/>
    <m/>
    <m/>
  </r>
  <r>
    <s v="Printer with Scanner"/>
    <n v="2"/>
    <s v="pc"/>
    <m/>
    <m/>
    <m/>
    <n v="2"/>
    <n v="2"/>
    <m/>
    <m/>
    <n v="0"/>
    <m/>
    <m/>
    <m/>
    <n v="0"/>
    <m/>
    <m/>
    <m/>
    <n v="0"/>
    <m/>
    <m/>
    <m/>
    <x v="38"/>
    <x v="15"/>
    <s v="Printer"/>
    <m/>
  </r>
  <r>
    <s v="Printer Ink for HP Smart Tank 515 (Black)"/>
    <n v="60"/>
    <s v="pc"/>
    <m/>
    <m/>
    <m/>
    <n v="15"/>
    <n v="5"/>
    <n v="5"/>
    <n v="5"/>
    <n v="15"/>
    <n v="5"/>
    <n v="5"/>
    <n v="5"/>
    <n v="15"/>
    <n v="5"/>
    <n v="5"/>
    <n v="5"/>
    <n v="15"/>
    <n v="5"/>
    <n v="5"/>
    <n v="5"/>
    <x v="38"/>
    <x v="33"/>
    <m/>
    <m/>
  </r>
  <r>
    <s v="Printer Ink for HP Smart Tank 515 (Magenta)"/>
    <n v="60"/>
    <s v="pc"/>
    <m/>
    <m/>
    <m/>
    <n v="15"/>
    <n v="5"/>
    <n v="5"/>
    <n v="5"/>
    <n v="15"/>
    <n v="5"/>
    <n v="5"/>
    <n v="5"/>
    <n v="15"/>
    <n v="5"/>
    <n v="5"/>
    <n v="5"/>
    <n v="15"/>
    <n v="5"/>
    <n v="5"/>
    <n v="5"/>
    <x v="38"/>
    <x v="31"/>
    <m/>
    <m/>
  </r>
  <r>
    <s v="Printer Ink for HP Smart Tank 515 (Cyan)"/>
    <n v="60"/>
    <s v="pc"/>
    <m/>
    <m/>
    <m/>
    <n v="15"/>
    <n v="5"/>
    <n v="5"/>
    <n v="5"/>
    <n v="15"/>
    <n v="5"/>
    <n v="5"/>
    <n v="5"/>
    <n v="15"/>
    <n v="5"/>
    <n v="5"/>
    <n v="5"/>
    <n v="15"/>
    <n v="5"/>
    <n v="5"/>
    <n v="5"/>
    <x v="38"/>
    <x v="32"/>
    <m/>
    <m/>
  </r>
  <r>
    <s v="Printer Ink for HP Smart Tank 515 (Yellow)"/>
    <n v="60"/>
    <s v="pc"/>
    <m/>
    <m/>
    <m/>
    <n v="15"/>
    <n v="5"/>
    <n v="5"/>
    <n v="5"/>
    <n v="15"/>
    <n v="5"/>
    <n v="5"/>
    <n v="5"/>
    <n v="15"/>
    <n v="5"/>
    <n v="5"/>
    <n v="5"/>
    <n v="15"/>
    <n v="5"/>
    <n v="5"/>
    <n v="5"/>
    <x v="38"/>
    <x v="30"/>
    <m/>
    <m/>
  </r>
  <r>
    <s v="Toner Kit for Kyocera (TK 1168)"/>
    <n v="24"/>
    <s v="pc"/>
    <m/>
    <m/>
    <m/>
    <n v="6"/>
    <n v="2"/>
    <n v="2"/>
    <n v="2"/>
    <n v="6"/>
    <n v="2"/>
    <n v="2"/>
    <n v="2"/>
    <n v="6"/>
    <n v="2"/>
    <n v="2"/>
    <n v="2"/>
    <n v="6"/>
    <n v="2"/>
    <n v="2"/>
    <n v="2"/>
    <x v="38"/>
    <x v="7"/>
    <m/>
    <m/>
  </r>
  <r>
    <s v="Toner Kit for Kyocera (TK 6113)"/>
    <n v="24"/>
    <s v="pc"/>
    <m/>
    <m/>
    <m/>
    <n v="6"/>
    <n v="2"/>
    <n v="2"/>
    <n v="2"/>
    <n v="6"/>
    <n v="2"/>
    <n v="2"/>
    <n v="2"/>
    <n v="6"/>
    <n v="2"/>
    <n v="2"/>
    <n v="2"/>
    <n v="6"/>
    <n v="2"/>
    <n v="2"/>
    <n v="2"/>
    <x v="38"/>
    <x v="9"/>
    <m/>
    <m/>
  </r>
  <r>
    <s v="Toner Kit for Kyocera ECOSYS M2640idw/L"/>
    <n v="8"/>
    <s v="pc"/>
    <m/>
    <m/>
    <m/>
    <n v="2"/>
    <n v="1"/>
    <m/>
    <n v="1"/>
    <n v="2"/>
    <n v="1"/>
    <m/>
    <n v="1"/>
    <n v="2"/>
    <n v="1"/>
    <m/>
    <n v="1"/>
    <n v="2"/>
    <n v="1"/>
    <m/>
    <n v="1"/>
    <x v="38"/>
    <x v="46"/>
    <m/>
    <m/>
  </r>
  <r>
    <s v="UPS 625va 325 watts"/>
    <n v="4"/>
    <s v="pc"/>
    <m/>
    <m/>
    <m/>
    <n v="2"/>
    <n v="2"/>
    <m/>
    <m/>
    <n v="0"/>
    <m/>
    <m/>
    <m/>
    <n v="2"/>
    <n v="2"/>
    <m/>
    <m/>
    <n v="0"/>
    <m/>
    <m/>
    <m/>
    <x v="38"/>
    <x v="3"/>
    <m/>
    <m/>
  </r>
  <r>
    <s v="USB Drive 32gb"/>
    <n v="3"/>
    <s v="pc"/>
    <m/>
    <m/>
    <m/>
    <n v="0"/>
    <m/>
    <m/>
    <m/>
    <n v="2"/>
    <n v="2"/>
    <m/>
    <m/>
    <n v="0"/>
    <m/>
    <m/>
    <m/>
    <n v="1"/>
    <n v="1"/>
    <m/>
    <m/>
    <x v="38"/>
    <x v="20"/>
    <m/>
    <m/>
  </r>
  <r>
    <s v="USB Drive 16gb"/>
    <n v="3"/>
    <s v="pc"/>
    <m/>
    <m/>
    <m/>
    <n v="2"/>
    <n v="2"/>
    <m/>
    <m/>
    <n v="0"/>
    <m/>
    <m/>
    <m/>
    <n v="1"/>
    <n v="1"/>
    <m/>
    <m/>
    <n v="0"/>
    <m/>
    <m/>
    <m/>
    <x v="38"/>
    <x v="54"/>
    <m/>
    <m/>
  </r>
  <r>
    <s v="Printer all-in-one (Print, Copy and Scan)"/>
    <n v="1"/>
    <s v="UNIT"/>
    <m/>
    <m/>
    <m/>
    <n v="1"/>
    <n v="1"/>
    <m/>
    <m/>
    <m/>
    <m/>
    <m/>
    <m/>
    <m/>
    <m/>
    <m/>
    <m/>
    <m/>
    <m/>
    <m/>
    <m/>
    <x v="39"/>
    <x v="15"/>
    <s v="Printer"/>
    <m/>
  </r>
  <r>
    <s v="Thermal Transfer Label 2&quot; x 2&quot; for Zebra Printer ZD421_x000a_ color: white_x000a_ -with perforation between each label_x000a_ -permanent adhesive"/>
    <n v="8"/>
    <s v="pc"/>
    <m/>
    <m/>
    <m/>
    <n v="2"/>
    <n v="1"/>
    <m/>
    <n v="1"/>
    <n v="2"/>
    <n v="1"/>
    <m/>
    <n v="1"/>
    <n v="2"/>
    <n v="1"/>
    <m/>
    <n v="1"/>
    <n v="2"/>
    <n v="1"/>
    <m/>
    <n v="1"/>
    <x v="39"/>
    <x v="5"/>
    <s v="N/A"/>
    <m/>
  </r>
  <r>
    <s v="Thermal Transfer Ribbon for Zebra Printer ZD421_x000a_ -WAX RESIN Thermal Transfer Ribbon (Black)_x000a_ -80mm wide x 300m length"/>
    <n v="4"/>
    <s v="pc"/>
    <m/>
    <m/>
    <m/>
    <n v="1"/>
    <n v="1"/>
    <m/>
    <m/>
    <n v="1"/>
    <n v="1"/>
    <m/>
    <m/>
    <n v="1"/>
    <n v="1"/>
    <m/>
    <m/>
    <n v="1"/>
    <n v="1"/>
    <m/>
    <m/>
    <x v="39"/>
    <x v="5"/>
    <s v="N/A"/>
    <m/>
  </r>
  <r>
    <s v="Kyocera TK-1128 Toner Black"/>
    <n v="8"/>
    <s v="pc"/>
    <m/>
    <m/>
    <m/>
    <n v="2"/>
    <n v="1"/>
    <m/>
    <n v="1"/>
    <n v="2"/>
    <n v="1"/>
    <m/>
    <n v="1"/>
    <n v="2"/>
    <n v="1"/>
    <m/>
    <n v="1"/>
    <n v="2"/>
    <n v="1"/>
    <m/>
    <n v="1"/>
    <x v="39"/>
    <x v="25"/>
    <m/>
    <m/>
  </r>
  <r>
    <s v="CPU"/>
    <n v="1"/>
    <s v="pc"/>
    <m/>
    <m/>
    <m/>
    <n v="1"/>
    <n v="1"/>
    <m/>
    <m/>
    <n v="0"/>
    <m/>
    <m/>
    <m/>
    <n v="0"/>
    <m/>
    <m/>
    <m/>
    <n v="0"/>
    <m/>
    <m/>
    <m/>
    <x v="40"/>
    <x v="5"/>
    <s v="N/A"/>
    <m/>
  </r>
  <r>
    <s v="Desktop Computer"/>
    <n v="2"/>
    <s v="pc"/>
    <m/>
    <m/>
    <m/>
    <n v="2"/>
    <n v="2"/>
    <m/>
    <m/>
    <n v="0"/>
    <m/>
    <m/>
    <m/>
    <n v="0"/>
    <m/>
    <m/>
    <m/>
    <n v="0"/>
    <m/>
    <m/>
    <m/>
    <x v="40"/>
    <x v="0"/>
    <m/>
    <m/>
  </r>
  <r>
    <s v="Analog Telephone Handset compatible to existing PABX"/>
    <n v="4"/>
    <s v="pc"/>
    <m/>
    <m/>
    <m/>
    <n v="1"/>
    <n v="1"/>
    <m/>
    <m/>
    <n v="0"/>
    <m/>
    <m/>
    <m/>
    <n v="0"/>
    <m/>
    <m/>
    <m/>
    <n v="0"/>
    <m/>
    <m/>
    <m/>
    <x v="40"/>
    <x v="52"/>
    <m/>
    <m/>
  </r>
  <r>
    <s v="AVR Automatic Voltage regulator"/>
    <n v="10"/>
    <s v="pc"/>
    <m/>
    <m/>
    <m/>
    <n v="10"/>
    <n v="10"/>
    <m/>
    <m/>
    <n v="0"/>
    <m/>
    <m/>
    <m/>
    <n v="0"/>
    <m/>
    <m/>
    <m/>
    <n v="0"/>
    <m/>
    <m/>
    <m/>
    <x v="40"/>
    <x v="5"/>
    <s v="N/A"/>
    <m/>
  </r>
  <r>
    <s v="Keyboard, Full Size, USB 2.0"/>
    <n v="2"/>
    <s v="pc"/>
    <m/>
    <m/>
    <m/>
    <n v="2"/>
    <n v="2"/>
    <m/>
    <m/>
    <n v="0"/>
    <m/>
    <m/>
    <m/>
    <n v="0"/>
    <m/>
    <m/>
    <m/>
    <n v="0"/>
    <m/>
    <m/>
    <m/>
    <x v="40"/>
    <x v="13"/>
    <m/>
    <m/>
  </r>
  <r>
    <s v="Mouse, Optical, USB 2.0"/>
    <n v="2"/>
    <s v="pc"/>
    <m/>
    <m/>
    <m/>
    <n v="2"/>
    <n v="2"/>
    <m/>
    <m/>
    <n v="0"/>
    <m/>
    <m/>
    <m/>
    <n v="0"/>
    <m/>
    <m/>
    <m/>
    <n v="0"/>
    <m/>
    <m/>
    <m/>
    <x v="40"/>
    <x v="14"/>
    <m/>
    <m/>
  </r>
  <r>
    <s v="Printer with Scanner"/>
    <n v="1"/>
    <s v="pc"/>
    <m/>
    <m/>
    <m/>
    <n v="1"/>
    <n v="1"/>
    <m/>
    <m/>
    <n v="0"/>
    <m/>
    <m/>
    <m/>
    <n v="0"/>
    <m/>
    <m/>
    <m/>
    <n v="0"/>
    <m/>
    <m/>
    <m/>
    <x v="40"/>
    <x v="15"/>
    <s v="Printer"/>
    <m/>
  </r>
  <r>
    <s v="Printer Ink for HP Smart Tank 515 (Black)"/>
    <n v="60"/>
    <s v="pc"/>
    <m/>
    <m/>
    <m/>
    <n v="15"/>
    <n v="5"/>
    <n v="5"/>
    <n v="5"/>
    <n v="15"/>
    <n v="5"/>
    <n v="5"/>
    <n v="5"/>
    <n v="15"/>
    <n v="5"/>
    <n v="5"/>
    <n v="5"/>
    <n v="15"/>
    <n v="5"/>
    <n v="5"/>
    <n v="5"/>
    <x v="40"/>
    <x v="33"/>
    <m/>
    <m/>
  </r>
  <r>
    <s v="Printer Ink for HP Smart Tank 515 (Magenta)"/>
    <n v="60"/>
    <s v="pc"/>
    <m/>
    <m/>
    <m/>
    <n v="15"/>
    <n v="5"/>
    <n v="5"/>
    <n v="5"/>
    <n v="15"/>
    <n v="5"/>
    <n v="5"/>
    <n v="5"/>
    <n v="15"/>
    <n v="5"/>
    <n v="5"/>
    <n v="5"/>
    <n v="15"/>
    <n v="5"/>
    <n v="5"/>
    <n v="5"/>
    <x v="40"/>
    <x v="31"/>
    <m/>
    <m/>
  </r>
  <r>
    <s v="Printer Ink for HP Smart Tank 515 (Cyan)"/>
    <n v="60"/>
    <s v="pc"/>
    <m/>
    <m/>
    <m/>
    <n v="15"/>
    <n v="5"/>
    <n v="5"/>
    <n v="5"/>
    <n v="15"/>
    <n v="5"/>
    <n v="5"/>
    <n v="5"/>
    <n v="15"/>
    <n v="5"/>
    <n v="5"/>
    <n v="5"/>
    <n v="15"/>
    <n v="5"/>
    <n v="5"/>
    <n v="5"/>
    <x v="40"/>
    <x v="32"/>
    <m/>
    <m/>
  </r>
  <r>
    <s v="Printer Ink for HP Smart Tank 515 (Yellow)"/>
    <n v="60"/>
    <s v="pc"/>
    <m/>
    <m/>
    <m/>
    <n v="15"/>
    <n v="5"/>
    <n v="5"/>
    <n v="5"/>
    <n v="15"/>
    <n v="5"/>
    <n v="5"/>
    <n v="5"/>
    <n v="15"/>
    <n v="5"/>
    <n v="5"/>
    <n v="5"/>
    <n v="15"/>
    <n v="5"/>
    <n v="5"/>
    <n v="5"/>
    <x v="40"/>
    <x v="30"/>
    <m/>
    <m/>
  </r>
  <r>
    <s v="Toner Kit for Kyocera (TK 1168)"/>
    <n v="24"/>
    <s v="pc"/>
    <m/>
    <m/>
    <m/>
    <n v="6"/>
    <n v="2"/>
    <n v="2"/>
    <n v="2"/>
    <n v="6"/>
    <n v="2"/>
    <n v="2"/>
    <n v="2"/>
    <n v="6"/>
    <n v="2"/>
    <n v="2"/>
    <n v="2"/>
    <n v="6"/>
    <n v="2"/>
    <n v="2"/>
    <n v="2"/>
    <x v="40"/>
    <x v="25"/>
    <m/>
    <m/>
  </r>
  <r>
    <s v="UPS 625va 325 watts"/>
    <n v="4"/>
    <s v="pc"/>
    <m/>
    <m/>
    <m/>
    <n v="2"/>
    <n v="2"/>
    <m/>
    <m/>
    <n v="0"/>
    <m/>
    <m/>
    <m/>
    <n v="2"/>
    <n v="2"/>
    <m/>
    <m/>
    <n v="0"/>
    <m/>
    <m/>
    <m/>
    <x v="40"/>
    <x v="3"/>
    <m/>
    <m/>
  </r>
  <r>
    <s v="USB Drive 32gb"/>
    <n v="3"/>
    <s v="pc"/>
    <m/>
    <m/>
    <m/>
    <n v="0"/>
    <m/>
    <m/>
    <m/>
    <n v="2"/>
    <n v="2"/>
    <m/>
    <m/>
    <n v="0"/>
    <m/>
    <m/>
    <m/>
    <n v="0"/>
    <m/>
    <m/>
    <m/>
    <x v="40"/>
    <x v="20"/>
    <m/>
    <m/>
  </r>
  <r>
    <s v="USB Drive 16gb"/>
    <n v="3"/>
    <s v="pc"/>
    <m/>
    <m/>
    <m/>
    <n v="2"/>
    <n v="2"/>
    <m/>
    <m/>
    <n v="0"/>
    <m/>
    <m/>
    <m/>
    <n v="0"/>
    <m/>
    <m/>
    <m/>
    <n v="0"/>
    <m/>
    <m/>
    <m/>
    <x v="40"/>
    <x v="54"/>
    <m/>
    <m/>
  </r>
  <r>
    <s v="Keyboard, Full Size, USB 2.0"/>
    <n v="2"/>
    <s v="pc"/>
    <m/>
    <m/>
    <m/>
    <n v="1"/>
    <n v="1"/>
    <m/>
    <m/>
    <n v="0"/>
    <m/>
    <m/>
    <m/>
    <n v="1"/>
    <n v="1"/>
    <m/>
    <m/>
    <n v="0"/>
    <m/>
    <m/>
    <m/>
    <x v="41"/>
    <x v="13"/>
    <m/>
    <m/>
  </r>
  <r>
    <s v="Mouse, Optical, USB 2.0"/>
    <n v="2"/>
    <s v="pc"/>
    <m/>
    <m/>
    <m/>
    <n v="1"/>
    <n v="1"/>
    <m/>
    <m/>
    <n v="0"/>
    <m/>
    <m/>
    <m/>
    <n v="1"/>
    <n v="1"/>
    <m/>
    <m/>
    <n v="0"/>
    <m/>
    <m/>
    <m/>
    <x v="41"/>
    <x v="14"/>
    <m/>
    <m/>
  </r>
  <r>
    <s v="Multi-function inkjet printer Tank (print, copy, scan)"/>
    <n v="2"/>
    <s v="pc"/>
    <m/>
    <m/>
    <m/>
    <n v="1"/>
    <n v="1"/>
    <m/>
    <m/>
    <n v="0"/>
    <m/>
    <m/>
    <m/>
    <n v="1"/>
    <n v="1"/>
    <m/>
    <m/>
    <n v="0"/>
    <m/>
    <m/>
    <m/>
    <x v="41"/>
    <x v="15"/>
    <s v="Printer"/>
    <m/>
  </r>
  <r>
    <s v="UPS, 625va, 325 Watts"/>
    <n v="5"/>
    <s v="pc"/>
    <m/>
    <m/>
    <m/>
    <n v="5"/>
    <n v="5"/>
    <m/>
    <m/>
    <n v="0"/>
    <m/>
    <m/>
    <m/>
    <n v="0"/>
    <m/>
    <m/>
    <m/>
    <n v="0"/>
    <m/>
    <m/>
    <m/>
    <x v="41"/>
    <x v="3"/>
    <m/>
    <m/>
  </r>
  <r>
    <s v="AVR 500 Watts, 220 Volts"/>
    <n v="1"/>
    <s v="pc"/>
    <m/>
    <m/>
    <m/>
    <n v="1"/>
    <n v="1"/>
    <m/>
    <m/>
    <n v="0"/>
    <m/>
    <m/>
    <m/>
    <n v="0"/>
    <m/>
    <m/>
    <m/>
    <n v="0"/>
    <m/>
    <m/>
    <m/>
    <x v="41"/>
    <x v="5"/>
    <s v="N/A"/>
    <m/>
  </r>
  <r>
    <s v="Epson LQ-310 printer"/>
    <n v="1"/>
    <s v="pc"/>
    <m/>
    <m/>
    <m/>
    <n v="1"/>
    <n v="1"/>
    <m/>
    <m/>
    <n v="0"/>
    <m/>
    <m/>
    <m/>
    <n v="0"/>
    <m/>
    <m/>
    <m/>
    <n v="0"/>
    <m/>
    <m/>
    <m/>
    <x v="41"/>
    <x v="1"/>
    <m/>
    <m/>
  </r>
  <r>
    <s v="Analog Telephone Handset compatible to existing PABX"/>
    <n v="1"/>
    <s v="pc"/>
    <m/>
    <m/>
    <m/>
    <n v="1"/>
    <n v="1"/>
    <m/>
    <m/>
    <n v="0"/>
    <m/>
    <m/>
    <m/>
    <n v="0"/>
    <m/>
    <m/>
    <m/>
    <n v="0"/>
    <m/>
    <m/>
    <m/>
    <x v="41"/>
    <x v="52"/>
    <m/>
    <m/>
  </r>
  <r>
    <s v="DESKTOP COMPUTER SET"/>
    <n v="1"/>
    <s v="set"/>
    <m/>
    <m/>
    <m/>
    <n v="0"/>
    <m/>
    <m/>
    <m/>
    <n v="1"/>
    <n v="1"/>
    <m/>
    <m/>
    <n v="0"/>
    <m/>
    <m/>
    <m/>
    <n v="0"/>
    <m/>
    <m/>
    <m/>
    <x v="42"/>
    <x v="0"/>
    <m/>
    <m/>
  </r>
  <r>
    <s v="PRINTER 4 in 1- colored"/>
    <n v="1"/>
    <s v="pc"/>
    <m/>
    <m/>
    <m/>
    <n v="1"/>
    <n v="1"/>
    <m/>
    <m/>
    <n v="0"/>
    <n v="0"/>
    <m/>
    <m/>
    <n v="0"/>
    <m/>
    <m/>
    <m/>
    <n v="0"/>
    <m/>
    <m/>
    <m/>
    <x v="42"/>
    <x v="15"/>
    <s v="Printer"/>
    <m/>
  </r>
  <r>
    <s v="TELEPHONE"/>
    <n v="2"/>
    <s v="pc"/>
    <m/>
    <m/>
    <m/>
    <n v="1"/>
    <n v="1"/>
    <m/>
    <m/>
    <n v="0"/>
    <m/>
    <m/>
    <m/>
    <n v="1"/>
    <n v="1"/>
    <m/>
    <m/>
    <n v="0"/>
    <m/>
    <m/>
    <m/>
    <x v="42"/>
    <x v="52"/>
    <m/>
    <m/>
  </r>
  <r>
    <s v="FLASH DRIVE 32GB"/>
    <n v="2"/>
    <s v="pc"/>
    <m/>
    <m/>
    <m/>
    <n v="1"/>
    <n v="1"/>
    <m/>
    <m/>
    <n v="0"/>
    <m/>
    <m/>
    <m/>
    <n v="1"/>
    <n v="1"/>
    <m/>
    <m/>
    <n v="0"/>
    <m/>
    <m/>
    <m/>
    <x v="42"/>
    <x v="20"/>
    <m/>
    <m/>
  </r>
  <r>
    <s v="Keyboard, Full Size, USB 2.0"/>
    <n v="2"/>
    <s v="pc"/>
    <m/>
    <m/>
    <m/>
    <n v="1"/>
    <n v="1"/>
    <m/>
    <m/>
    <n v="1"/>
    <n v="1"/>
    <m/>
    <m/>
    <n v="0"/>
    <m/>
    <m/>
    <m/>
    <n v="0"/>
    <m/>
    <m/>
    <m/>
    <x v="42"/>
    <x v="13"/>
    <m/>
    <m/>
  </r>
  <r>
    <s v="Mouse, Optical, USB 2.0"/>
    <n v="2"/>
    <s v="pc"/>
    <m/>
    <m/>
    <m/>
    <n v="1"/>
    <n v="1"/>
    <m/>
    <m/>
    <n v="0"/>
    <m/>
    <m/>
    <m/>
    <n v="1"/>
    <n v="1"/>
    <m/>
    <m/>
    <n v="0"/>
    <m/>
    <m/>
    <m/>
    <x v="42"/>
    <x v="14"/>
    <m/>
    <m/>
  </r>
  <r>
    <s v="Webcam Full HD 1080p with Built in Microphone, , USB plug and play, with attachable mounting clip"/>
    <n v="1"/>
    <s v="pc"/>
    <m/>
    <m/>
    <m/>
    <n v="1"/>
    <n v="1"/>
    <m/>
    <m/>
    <n v="0"/>
    <m/>
    <m/>
    <m/>
    <n v="0"/>
    <m/>
    <m/>
    <m/>
    <n v="0"/>
    <m/>
    <m/>
    <m/>
    <x v="42"/>
    <x v="2"/>
    <m/>
    <m/>
  </r>
  <r>
    <s v="UPS, 625va, 325 Watts"/>
    <n v="2"/>
    <s v="pc"/>
    <m/>
    <m/>
    <m/>
    <n v="1"/>
    <n v="1"/>
    <m/>
    <m/>
    <n v="1"/>
    <n v="1"/>
    <m/>
    <m/>
    <n v="0"/>
    <m/>
    <m/>
    <m/>
    <n v="0"/>
    <m/>
    <m/>
    <m/>
    <x v="42"/>
    <x v="3"/>
    <m/>
    <m/>
  </r>
  <r>
    <s v="INK-TONER EPSON L3210 inf Cartriged 003(Black)"/>
    <n v="40"/>
    <s v="pc"/>
    <m/>
    <m/>
    <m/>
    <n v="10"/>
    <n v="5"/>
    <n v="5"/>
    <m/>
    <n v="10"/>
    <n v="5"/>
    <n v="5"/>
    <m/>
    <n v="10"/>
    <n v="5"/>
    <n v="5"/>
    <m/>
    <n v="10"/>
    <n v="5"/>
    <n v="5"/>
    <m/>
    <x v="42"/>
    <x v="26"/>
    <m/>
    <m/>
  </r>
  <r>
    <s v="INK-TONER EPSON L3210 inf Cartriged 003(Cyan)"/>
    <n v="16"/>
    <s v="pc"/>
    <m/>
    <m/>
    <m/>
    <n v="5"/>
    <n v="5"/>
    <m/>
    <m/>
    <n v="3"/>
    <n v="3"/>
    <m/>
    <m/>
    <n v="5"/>
    <n v="5"/>
    <m/>
    <m/>
    <n v="3"/>
    <n v="3"/>
    <m/>
    <m/>
    <x v="42"/>
    <x v="27"/>
    <m/>
    <m/>
  </r>
  <r>
    <s v="INK-TONER EPSON L 3210 inf Cartriged 003(Magenta)"/>
    <n v="16"/>
    <s v="pc"/>
    <m/>
    <m/>
    <m/>
    <n v="5"/>
    <n v="5"/>
    <m/>
    <m/>
    <n v="3"/>
    <n v="3"/>
    <m/>
    <m/>
    <n v="5"/>
    <n v="5"/>
    <m/>
    <m/>
    <n v="3"/>
    <n v="3"/>
    <m/>
    <m/>
    <x v="42"/>
    <x v="28"/>
    <m/>
    <m/>
  </r>
  <r>
    <s v="INK-TONER EPSON L3210 inf Cartriged 003(Yellow)"/>
    <n v="16"/>
    <s v="pc"/>
    <m/>
    <m/>
    <m/>
    <n v="5"/>
    <n v="5"/>
    <m/>
    <m/>
    <n v="3"/>
    <n v="3"/>
    <m/>
    <m/>
    <n v="5"/>
    <n v="5"/>
    <m/>
    <m/>
    <n v="3"/>
    <n v="3"/>
    <m/>
    <m/>
    <x v="42"/>
    <x v="29"/>
    <m/>
    <m/>
  </r>
  <r>
    <s v="EPSON RIBBON CARTRIDGE INK (LQ310)"/>
    <n v="40"/>
    <s v="pc"/>
    <m/>
    <m/>
    <m/>
    <n v="10"/>
    <n v="10"/>
    <m/>
    <m/>
    <n v="10"/>
    <n v="10"/>
    <m/>
    <m/>
    <n v="10"/>
    <n v="10"/>
    <m/>
    <m/>
    <n v="10"/>
    <n v="10"/>
    <m/>
    <m/>
    <x v="42"/>
    <x v="6"/>
    <m/>
    <m/>
  </r>
  <r>
    <s v="Keyboard, full size, USB 2.0"/>
    <n v="1"/>
    <s v="pc"/>
    <m/>
    <m/>
    <m/>
    <n v="1"/>
    <n v="1"/>
    <m/>
    <m/>
    <m/>
    <m/>
    <m/>
    <m/>
    <m/>
    <m/>
    <m/>
    <m/>
    <m/>
    <m/>
    <m/>
    <m/>
    <x v="43"/>
    <x v="13"/>
    <m/>
    <m/>
  </r>
  <r>
    <s v="Mouse optical USB2.0"/>
    <n v="1"/>
    <s v="pc"/>
    <m/>
    <m/>
    <m/>
    <n v="1"/>
    <n v="1"/>
    <m/>
    <m/>
    <m/>
    <m/>
    <m/>
    <m/>
    <m/>
    <m/>
    <m/>
    <m/>
    <m/>
    <m/>
    <m/>
    <m/>
    <x v="43"/>
    <x v="14"/>
    <m/>
    <m/>
  </r>
  <r>
    <s v="ALL-IN-ONE- PRINTER"/>
    <n v="1"/>
    <s v="UNIT"/>
    <m/>
    <m/>
    <m/>
    <n v="1"/>
    <n v="1"/>
    <m/>
    <m/>
    <m/>
    <m/>
    <m/>
    <m/>
    <m/>
    <m/>
    <m/>
    <m/>
    <m/>
    <m/>
    <m/>
    <m/>
    <x v="43"/>
    <x v="15"/>
    <s v="Printer"/>
    <m/>
  </r>
  <r>
    <s v="Computer set"/>
    <n v="2"/>
    <s v="UNIT"/>
    <m/>
    <m/>
    <m/>
    <n v="2"/>
    <m/>
    <m/>
    <m/>
    <m/>
    <m/>
    <m/>
    <m/>
    <m/>
    <m/>
    <m/>
    <m/>
    <m/>
    <m/>
    <m/>
    <m/>
    <x v="43"/>
    <x v="0"/>
    <m/>
    <m/>
  </r>
  <r>
    <s v="Epson Ink Cartridge T6641 Black"/>
    <n v="24"/>
    <s v="pc"/>
    <m/>
    <m/>
    <m/>
    <n v="6"/>
    <n v="2"/>
    <n v="2"/>
    <n v="2"/>
    <n v="6"/>
    <n v="2"/>
    <n v="2"/>
    <n v="2"/>
    <n v="6"/>
    <n v="2"/>
    <n v="2"/>
    <n v="2"/>
    <n v="6"/>
    <n v="2"/>
    <n v="2"/>
    <n v="2"/>
    <x v="43"/>
    <x v="16"/>
    <m/>
    <m/>
  </r>
  <r>
    <s v="Epson Ink Cartridge T6642 Cyan"/>
    <n v="24"/>
    <s v="pc"/>
    <m/>
    <m/>
    <m/>
    <n v="6"/>
    <n v="2"/>
    <n v="2"/>
    <n v="2"/>
    <n v="6"/>
    <n v="2"/>
    <n v="2"/>
    <n v="2"/>
    <n v="6"/>
    <n v="2"/>
    <n v="2"/>
    <n v="2"/>
    <n v="6"/>
    <n v="2"/>
    <n v="2"/>
    <n v="2"/>
    <x v="43"/>
    <x v="17"/>
    <m/>
    <m/>
  </r>
  <r>
    <s v="Epson Ink Cartridge T6643 Magenta"/>
    <n v="24"/>
    <s v="pc"/>
    <m/>
    <m/>
    <m/>
    <n v="6"/>
    <n v="2"/>
    <n v="2"/>
    <n v="2"/>
    <n v="6"/>
    <n v="2"/>
    <n v="2"/>
    <n v="2"/>
    <n v="6"/>
    <n v="2"/>
    <n v="2"/>
    <n v="2"/>
    <n v="6"/>
    <n v="2"/>
    <n v="2"/>
    <n v="2"/>
    <x v="43"/>
    <x v="18"/>
    <m/>
    <m/>
  </r>
  <r>
    <s v="Epson Ink Cartridge T6644 Yellow"/>
    <n v="24"/>
    <s v="pc"/>
    <m/>
    <m/>
    <m/>
    <n v="6"/>
    <n v="2"/>
    <n v="2"/>
    <n v="2"/>
    <n v="6"/>
    <n v="2"/>
    <n v="2"/>
    <n v="2"/>
    <n v="6"/>
    <n v="2"/>
    <n v="2"/>
    <n v="2"/>
    <n v="6"/>
    <n v="2"/>
    <n v="2"/>
    <n v="2"/>
    <x v="43"/>
    <x v="19"/>
    <m/>
    <m/>
  </r>
  <r>
    <s v="Computer Speaker"/>
    <n v="1"/>
    <s v="pc"/>
    <m/>
    <m/>
    <m/>
    <n v="1"/>
    <n v="1"/>
    <m/>
    <m/>
    <m/>
    <m/>
    <m/>
    <m/>
    <m/>
    <m/>
    <m/>
    <m/>
    <m/>
    <m/>
    <m/>
    <m/>
    <x v="43"/>
    <x v="72"/>
    <m/>
    <m/>
  </r>
  <r>
    <s v="Kyocera toner TK1168"/>
    <n v="24"/>
    <s v="pc"/>
    <m/>
    <m/>
    <m/>
    <n v="6"/>
    <n v="2"/>
    <n v="2"/>
    <n v="2"/>
    <n v="6"/>
    <n v="2"/>
    <n v="2"/>
    <n v="2"/>
    <n v="6"/>
    <n v="2"/>
    <n v="2"/>
    <n v="2"/>
    <n v="6"/>
    <n v="2"/>
    <n v="2"/>
    <n v="2"/>
    <x v="43"/>
    <x v="25"/>
    <m/>
    <m/>
  </r>
  <r>
    <s v="WEB CAMERA"/>
    <n v="1"/>
    <s v="pc"/>
    <m/>
    <m/>
    <m/>
    <n v="1"/>
    <n v="1"/>
    <m/>
    <m/>
    <m/>
    <m/>
    <m/>
    <m/>
    <m/>
    <m/>
    <m/>
    <m/>
    <m/>
    <m/>
    <m/>
    <m/>
    <x v="43"/>
    <x v="2"/>
    <m/>
    <m/>
  </r>
  <r>
    <s v="Keyboard, Full Size, USB 2.0"/>
    <n v="2"/>
    <s v="pc"/>
    <m/>
    <m/>
    <m/>
    <n v="1"/>
    <n v="1"/>
    <m/>
    <m/>
    <n v="0"/>
    <m/>
    <m/>
    <m/>
    <n v="1"/>
    <n v="1"/>
    <m/>
    <m/>
    <n v="0"/>
    <m/>
    <m/>
    <m/>
    <x v="44"/>
    <x v="13"/>
    <m/>
    <m/>
  </r>
  <r>
    <s v="Mouse, Optical, USB 2.0"/>
    <n v="2"/>
    <s v="pc"/>
    <m/>
    <m/>
    <m/>
    <n v="1"/>
    <n v="1"/>
    <m/>
    <m/>
    <n v="0"/>
    <m/>
    <m/>
    <m/>
    <n v="1"/>
    <n v="1"/>
    <m/>
    <m/>
    <n v="0"/>
    <m/>
    <m/>
    <m/>
    <x v="44"/>
    <x v="14"/>
    <m/>
    <m/>
  </r>
  <r>
    <s v="Desktop Computer Set"/>
    <n v="2"/>
    <s v="pc"/>
    <m/>
    <m/>
    <m/>
    <n v="2"/>
    <n v="2"/>
    <m/>
    <m/>
    <n v="0"/>
    <m/>
    <m/>
    <m/>
    <n v="0"/>
    <m/>
    <m/>
    <m/>
    <n v="0"/>
    <m/>
    <m/>
    <m/>
    <x v="45"/>
    <x v="0"/>
    <m/>
    <m/>
  </r>
  <r>
    <s v="Keyboard, Full Size, USB 2.0"/>
    <n v="2"/>
    <s v="pc"/>
    <m/>
    <m/>
    <m/>
    <n v="1"/>
    <n v="1"/>
    <m/>
    <m/>
    <n v="1"/>
    <n v="1"/>
    <m/>
    <m/>
    <m/>
    <m/>
    <m/>
    <m/>
    <n v="0"/>
    <m/>
    <m/>
    <m/>
    <x v="45"/>
    <x v="13"/>
    <m/>
    <m/>
  </r>
  <r>
    <s v="Mouse, Optical, USB 2.0"/>
    <n v="2"/>
    <s v="pc"/>
    <m/>
    <m/>
    <m/>
    <n v="1"/>
    <n v="1"/>
    <m/>
    <m/>
    <n v="1"/>
    <n v="1"/>
    <m/>
    <m/>
    <n v="0"/>
    <m/>
    <m/>
    <m/>
    <n v="0"/>
    <m/>
    <m/>
    <m/>
    <x v="45"/>
    <x v="14"/>
    <m/>
    <m/>
  </r>
  <r>
    <s v="EPSON L3250 Printer ALL-in-ONE (Print, COPY, Scan)"/>
    <n v="1"/>
    <s v="UNIT"/>
    <m/>
    <m/>
    <m/>
    <n v="1"/>
    <n v="1"/>
    <m/>
    <m/>
    <n v="0"/>
    <m/>
    <m/>
    <m/>
    <n v="0"/>
    <m/>
    <m/>
    <n v="0"/>
    <n v="0"/>
    <m/>
    <m/>
    <m/>
    <x v="45"/>
    <x v="15"/>
    <s v="Printer"/>
    <m/>
  </r>
  <r>
    <s v="UPS, 625va, 325 Watts"/>
    <n v="1"/>
    <s v="pc"/>
    <m/>
    <m/>
    <m/>
    <n v="1"/>
    <n v="1"/>
    <m/>
    <m/>
    <n v="0"/>
    <m/>
    <m/>
    <m/>
    <n v="0"/>
    <m/>
    <m/>
    <m/>
    <n v="0"/>
    <m/>
    <m/>
    <m/>
    <x v="45"/>
    <x v="3"/>
    <m/>
    <m/>
  </r>
  <r>
    <s v="Webcam Full HD 1080p with Built in Microphone, USB plug and play, with attachable mounting clip"/>
    <n v="1"/>
    <s v="pc"/>
    <m/>
    <m/>
    <m/>
    <n v="1"/>
    <n v="1"/>
    <m/>
    <m/>
    <n v="0"/>
    <m/>
    <m/>
    <m/>
    <n v="0"/>
    <m/>
    <m/>
    <m/>
    <n v="0"/>
    <m/>
    <m/>
    <m/>
    <x v="45"/>
    <x v="2"/>
    <m/>
    <m/>
  </r>
  <r>
    <s v="KYOCERA CARTRIDGE TONER KIT BLACK TK-1168"/>
    <n v="36"/>
    <s v="pc"/>
    <m/>
    <m/>
    <m/>
    <n v="3"/>
    <n v="1"/>
    <n v="1"/>
    <n v="1"/>
    <n v="3"/>
    <n v="1"/>
    <n v="1"/>
    <n v="1"/>
    <n v="3"/>
    <n v="1"/>
    <n v="1"/>
    <n v="1"/>
    <n v="0"/>
    <m/>
    <m/>
    <m/>
    <x v="46"/>
    <x v="25"/>
    <m/>
    <m/>
  </r>
  <r>
    <s v="Desktop Computer Set"/>
    <n v="2"/>
    <s v="pc"/>
    <m/>
    <m/>
    <m/>
    <n v="2"/>
    <n v="2"/>
    <m/>
    <m/>
    <n v="0"/>
    <m/>
    <m/>
    <m/>
    <n v="0"/>
    <m/>
    <m/>
    <m/>
    <n v="0"/>
    <m/>
    <m/>
    <m/>
    <x v="46"/>
    <x v="0"/>
    <m/>
    <m/>
  </r>
  <r>
    <s v="INK BLACK COMPATIBLE WITH 3 IN 1 PRINTER OOF WINNING BRAND"/>
    <n v="16"/>
    <s v="bot"/>
    <m/>
    <m/>
    <m/>
    <n v="4"/>
    <n v="2"/>
    <n v="1"/>
    <n v="1"/>
    <n v="4"/>
    <n v="2"/>
    <n v="1"/>
    <n v="1"/>
    <n v="4"/>
    <n v="2"/>
    <n v="1"/>
    <n v="1"/>
    <n v="4"/>
    <n v="2"/>
    <n v="1"/>
    <n v="1"/>
    <x v="46"/>
    <x v="5"/>
    <s v="N/A"/>
    <m/>
  </r>
  <r>
    <s v="INK CYAN COMPATIBLE WITH 3 IN 1 PRINTER OOF WINNING BRAND"/>
    <n v="12"/>
    <s v="bot"/>
    <m/>
    <m/>
    <m/>
    <n v="3"/>
    <n v="1"/>
    <n v="1"/>
    <n v="1"/>
    <n v="3"/>
    <n v="1"/>
    <n v="1"/>
    <n v="1"/>
    <n v="3"/>
    <n v="1"/>
    <n v="1"/>
    <n v="1"/>
    <n v="3"/>
    <n v="1"/>
    <n v="1"/>
    <n v="1"/>
    <x v="46"/>
    <x v="5"/>
    <s v="N/A"/>
    <m/>
  </r>
  <r>
    <s v="INK MAGENTA COMPATIBLE WITH 3 IN 1 PRINTER OOF WINNING BRAND"/>
    <n v="12"/>
    <s v="bot"/>
    <m/>
    <m/>
    <m/>
    <n v="3"/>
    <n v="1"/>
    <n v="1"/>
    <n v="1"/>
    <n v="3"/>
    <n v="1"/>
    <n v="1"/>
    <n v="1"/>
    <n v="3"/>
    <n v="1"/>
    <n v="1"/>
    <n v="1"/>
    <n v="3"/>
    <n v="1"/>
    <n v="1"/>
    <n v="1"/>
    <x v="46"/>
    <x v="5"/>
    <s v="N/A"/>
    <m/>
  </r>
  <r>
    <s v="INK YELLOW COMPATIBLE WITH 3 IN 1 PRINTER OOF WINNING BRAND"/>
    <n v="12"/>
    <s v="bot"/>
    <m/>
    <m/>
    <m/>
    <n v="3"/>
    <n v="1"/>
    <n v="1"/>
    <n v="1"/>
    <n v="3"/>
    <n v="1"/>
    <n v="1"/>
    <n v="1"/>
    <n v="3"/>
    <n v="1"/>
    <n v="1"/>
    <n v="1"/>
    <n v="3"/>
    <n v="1"/>
    <n v="1"/>
    <n v="1"/>
    <x v="46"/>
    <x v="5"/>
    <s v="N/A"/>
    <m/>
  </r>
  <r>
    <s v="EPSON LQ-310 (SO 15634) Ribbon Cartridge"/>
    <n v="12"/>
    <s v="pc"/>
    <m/>
    <m/>
    <m/>
    <n v="3"/>
    <n v="1"/>
    <n v="1"/>
    <n v="1"/>
    <n v="3"/>
    <n v="1"/>
    <n v="1"/>
    <n v="1"/>
    <n v="3"/>
    <n v="1"/>
    <n v="1"/>
    <n v="1"/>
    <n v="3"/>
    <n v="1"/>
    <n v="1"/>
    <n v="1"/>
    <x v="46"/>
    <x v="6"/>
    <m/>
    <m/>
  </r>
  <r>
    <s v="Keyboard, Full Size, USB 2.0"/>
    <n v="3"/>
    <s v="pc"/>
    <m/>
    <m/>
    <m/>
    <n v="1"/>
    <n v="1"/>
    <m/>
    <m/>
    <n v="1"/>
    <n v="1"/>
    <m/>
    <m/>
    <n v="1"/>
    <n v="1"/>
    <m/>
    <m/>
    <n v="0"/>
    <m/>
    <m/>
    <m/>
    <x v="46"/>
    <x v="13"/>
    <m/>
    <m/>
  </r>
  <r>
    <s v="Mouse, Optical, USB 2.0"/>
    <n v="3"/>
    <s v="pc"/>
    <m/>
    <m/>
    <m/>
    <n v="1"/>
    <n v="1"/>
    <m/>
    <m/>
    <n v="1"/>
    <n v="1"/>
    <m/>
    <m/>
    <n v="1"/>
    <n v="1"/>
    <m/>
    <m/>
    <n v="0"/>
    <m/>
    <m/>
    <m/>
    <x v="46"/>
    <x v="14"/>
    <m/>
    <m/>
  </r>
  <r>
    <s v="Multi-function inkjet printer Tank (print, copy, scan), (Wireless All-in-One Printer WINNING BRAND)"/>
    <n v="1"/>
    <s v="UNIT"/>
    <m/>
    <m/>
    <m/>
    <n v="1"/>
    <n v="1"/>
    <m/>
    <m/>
    <n v="0"/>
    <m/>
    <m/>
    <m/>
    <n v="0"/>
    <m/>
    <m/>
    <n v="0"/>
    <n v="0"/>
    <m/>
    <m/>
    <m/>
    <x v="46"/>
    <x v="15"/>
    <s v="Printer"/>
    <m/>
  </r>
  <r>
    <s v="UPS, 625va, 325 Watts"/>
    <n v="1"/>
    <s v="pc"/>
    <m/>
    <m/>
    <m/>
    <n v="1"/>
    <n v="1"/>
    <m/>
    <m/>
    <n v="0"/>
    <m/>
    <m/>
    <m/>
    <n v="0"/>
    <m/>
    <m/>
    <m/>
    <n v="0"/>
    <m/>
    <m/>
    <m/>
    <x v="46"/>
    <x v="3"/>
    <m/>
    <m/>
  </r>
  <r>
    <s v="Webcam Full HD 1080p with Built in Microphone, USB plug and play, with attachable mounting clip"/>
    <n v="1"/>
    <s v="pc"/>
    <m/>
    <m/>
    <m/>
    <n v="1"/>
    <n v="1"/>
    <m/>
    <m/>
    <n v="0"/>
    <m/>
    <m/>
    <m/>
    <n v="0"/>
    <m/>
    <m/>
    <m/>
    <n v="0"/>
    <m/>
    <m/>
    <m/>
    <x v="46"/>
    <x v="2"/>
    <m/>
    <m/>
  </r>
  <r>
    <s v="Android Tablet 10-15 inches"/>
    <n v="1"/>
    <s v="pc"/>
    <m/>
    <m/>
    <m/>
    <n v="1"/>
    <n v="1"/>
    <m/>
    <m/>
    <n v="0"/>
    <m/>
    <m/>
    <m/>
    <n v="0"/>
    <m/>
    <m/>
    <m/>
    <n v="0"/>
    <m/>
    <m/>
    <m/>
    <x v="47"/>
    <x v="41"/>
    <m/>
    <m/>
  </r>
  <r>
    <s v="Desktop Computer Set"/>
    <n v="2"/>
    <s v="pc"/>
    <m/>
    <m/>
    <m/>
    <n v="2"/>
    <n v="2"/>
    <m/>
    <m/>
    <n v="0"/>
    <m/>
    <m/>
    <m/>
    <n v="0"/>
    <m/>
    <m/>
    <m/>
    <n v="0"/>
    <m/>
    <m/>
    <m/>
    <x v="47"/>
    <x v="0"/>
    <m/>
    <m/>
  </r>
  <r>
    <s v="HP Printhead Black compatible to HP Smart Tank 515"/>
    <n v="1"/>
    <s v="pc"/>
    <m/>
    <m/>
    <m/>
    <n v="1"/>
    <n v="1"/>
    <m/>
    <m/>
    <n v="0"/>
    <m/>
    <m/>
    <m/>
    <n v="0"/>
    <m/>
    <m/>
    <m/>
    <n v="0"/>
    <m/>
    <m/>
    <m/>
    <x v="47"/>
    <x v="50"/>
    <m/>
    <m/>
  </r>
  <r>
    <s v="HP Printhead Tr-color compatible to HP Smart Tank 515"/>
    <n v="1"/>
    <s v="pc"/>
    <m/>
    <m/>
    <m/>
    <n v="1"/>
    <n v="1"/>
    <m/>
    <m/>
    <n v="0"/>
    <m/>
    <m/>
    <m/>
    <n v="0"/>
    <m/>
    <m/>
    <m/>
    <n v="0"/>
    <m/>
    <m/>
    <m/>
    <x v="47"/>
    <x v="51"/>
    <m/>
    <m/>
  </r>
  <r>
    <s v="Keyboard, Full Size, USB 2.0"/>
    <n v="3"/>
    <s v="pc"/>
    <m/>
    <m/>
    <m/>
    <n v="1"/>
    <n v="1"/>
    <m/>
    <m/>
    <n v="1"/>
    <n v="1"/>
    <m/>
    <m/>
    <n v="1"/>
    <n v="1"/>
    <m/>
    <m/>
    <n v="0"/>
    <m/>
    <m/>
    <m/>
    <x v="47"/>
    <x v="13"/>
    <m/>
    <m/>
  </r>
  <r>
    <s v="Mouse, Optical, USB 2.0"/>
    <n v="3"/>
    <s v="pc"/>
    <m/>
    <m/>
    <m/>
    <n v="1"/>
    <n v="1"/>
    <m/>
    <m/>
    <n v="1"/>
    <n v="1"/>
    <m/>
    <m/>
    <n v="1"/>
    <n v="1"/>
    <m/>
    <m/>
    <n v="0"/>
    <m/>
    <m/>
    <m/>
    <x v="47"/>
    <x v="14"/>
    <m/>
    <m/>
  </r>
  <r>
    <s v="Multi-function inkjet printer Tank (print, copy, scan), (HP Smart Tank 515 Wireless All-in-One Printer)"/>
    <n v="1"/>
    <s v="UNIT"/>
    <m/>
    <m/>
    <m/>
    <n v="1"/>
    <n v="1"/>
    <m/>
    <m/>
    <n v="0"/>
    <m/>
    <m/>
    <m/>
    <n v="0"/>
    <m/>
    <m/>
    <n v="0"/>
    <n v="0"/>
    <m/>
    <m/>
    <m/>
    <x v="47"/>
    <x v="15"/>
    <s v="Printer"/>
    <m/>
  </r>
  <r>
    <s v="UPS, 625va, 325 Watts"/>
    <n v="1"/>
    <s v="pc"/>
    <m/>
    <m/>
    <m/>
    <n v="1"/>
    <n v="1"/>
    <m/>
    <m/>
    <n v="0"/>
    <m/>
    <m/>
    <m/>
    <n v="0"/>
    <m/>
    <m/>
    <m/>
    <n v="0"/>
    <m/>
    <m/>
    <m/>
    <x v="47"/>
    <x v="3"/>
    <m/>
    <m/>
  </r>
  <r>
    <s v="Webcam Full HD 1080p with Built in Microphone, USB plug and play, with attachable mounting clip"/>
    <n v="1"/>
    <s v="pc"/>
    <m/>
    <m/>
    <m/>
    <n v="1"/>
    <n v="1"/>
    <m/>
    <m/>
    <n v="0"/>
    <m/>
    <m/>
    <m/>
    <n v="0"/>
    <m/>
    <m/>
    <m/>
    <n v="0"/>
    <m/>
    <m/>
    <m/>
    <x v="47"/>
    <x v="2"/>
    <m/>
    <m/>
  </r>
  <r>
    <s v="Analog Telephone Handset compatible to existing PABX"/>
    <n v="1"/>
    <s v="Pack"/>
    <m/>
    <m/>
    <m/>
    <n v="1"/>
    <n v="1"/>
    <m/>
    <m/>
    <n v="0"/>
    <m/>
    <m/>
    <m/>
    <n v="0"/>
    <m/>
    <m/>
    <m/>
    <n v="0"/>
    <m/>
    <m/>
    <m/>
    <x v="48"/>
    <x v="52"/>
    <m/>
    <m/>
  </r>
  <r>
    <s v="Keyboard, Full Size, USB 2.0"/>
    <n v="2"/>
    <s v="Pack"/>
    <m/>
    <m/>
    <m/>
    <n v="1"/>
    <n v="1"/>
    <m/>
    <m/>
    <n v="0"/>
    <m/>
    <m/>
    <m/>
    <n v="1"/>
    <n v="1"/>
    <m/>
    <m/>
    <n v="0"/>
    <m/>
    <m/>
    <m/>
    <x v="48"/>
    <x v="13"/>
    <m/>
    <m/>
  </r>
  <r>
    <s v="Mouse, Optical, USB 2.0"/>
    <n v="2"/>
    <s v="Pack"/>
    <m/>
    <m/>
    <m/>
    <n v="1"/>
    <n v="1"/>
    <m/>
    <m/>
    <n v="0"/>
    <m/>
    <m/>
    <m/>
    <n v="1"/>
    <n v="1"/>
    <m/>
    <m/>
    <n v="0"/>
    <m/>
    <m/>
    <m/>
    <x v="48"/>
    <x v="14"/>
    <m/>
    <m/>
  </r>
  <r>
    <s v="Web Camera"/>
    <n v="1"/>
    <s v="Pack"/>
    <m/>
    <m/>
    <m/>
    <n v="1"/>
    <n v="1"/>
    <m/>
    <m/>
    <n v="0"/>
    <m/>
    <m/>
    <m/>
    <n v="0"/>
    <m/>
    <m/>
    <m/>
    <n v="0"/>
    <m/>
    <m/>
    <m/>
    <x v="48"/>
    <x v="2"/>
    <m/>
    <m/>
  </r>
  <r>
    <s v="Ink BLACK compatible with EPSON L3210 (003)"/>
    <n v="48"/>
    <s v="Bottle"/>
    <m/>
    <m/>
    <m/>
    <n v="12"/>
    <n v="4"/>
    <n v="4"/>
    <n v="4"/>
    <n v="12"/>
    <n v="4"/>
    <n v="4"/>
    <n v="4"/>
    <n v="12"/>
    <n v="4"/>
    <n v="4"/>
    <n v="4"/>
    <n v="12"/>
    <n v="4"/>
    <n v="4"/>
    <n v="4"/>
    <x v="48"/>
    <x v="26"/>
    <m/>
    <m/>
  </r>
  <r>
    <s v="Ink YELLOW compatible with EPSON L3210 (003)"/>
    <n v="12"/>
    <s v="Bottle"/>
    <m/>
    <m/>
    <m/>
    <n v="3"/>
    <n v="1"/>
    <n v="1"/>
    <n v="1"/>
    <n v="3"/>
    <n v="1"/>
    <n v="1"/>
    <n v="1"/>
    <n v="3"/>
    <n v="1"/>
    <n v="1"/>
    <n v="1"/>
    <n v="3"/>
    <n v="1"/>
    <n v="1"/>
    <n v="1"/>
    <x v="48"/>
    <x v="27"/>
    <m/>
    <m/>
  </r>
  <r>
    <s v="Ink MAGENTA compatible with EPSON L3210 (003)"/>
    <n v="12"/>
    <s v="Bottle"/>
    <m/>
    <m/>
    <m/>
    <n v="3"/>
    <n v="1"/>
    <n v="1"/>
    <n v="1"/>
    <n v="3"/>
    <n v="1"/>
    <n v="1"/>
    <n v="1"/>
    <n v="3"/>
    <n v="1"/>
    <n v="1"/>
    <n v="1"/>
    <n v="3"/>
    <n v="1"/>
    <n v="1"/>
    <n v="1"/>
    <x v="48"/>
    <x v="28"/>
    <m/>
    <m/>
  </r>
  <r>
    <s v="Ink CYAN compatible with EPSON L3210 (003)"/>
    <n v="12"/>
    <s v="Bottle"/>
    <m/>
    <m/>
    <m/>
    <n v="3"/>
    <n v="1"/>
    <n v="1"/>
    <n v="1"/>
    <n v="3"/>
    <n v="1"/>
    <n v="1"/>
    <n v="1"/>
    <n v="3"/>
    <n v="1"/>
    <n v="1"/>
    <n v="1"/>
    <n v="3"/>
    <n v="1"/>
    <n v="1"/>
    <n v="1"/>
    <x v="48"/>
    <x v="29"/>
    <m/>
    <m/>
  </r>
  <r>
    <s v="Eye Sheet, Yellow"/>
    <n v="3"/>
    <s v="Piece"/>
    <m/>
    <m/>
    <m/>
    <n v="3"/>
    <n v="3"/>
    <m/>
    <m/>
    <n v="0"/>
    <m/>
    <m/>
    <m/>
    <n v="0"/>
    <m/>
    <m/>
    <m/>
    <n v="0"/>
    <m/>
    <m/>
    <m/>
    <x v="49"/>
    <x v="5"/>
    <s v="N/A"/>
    <m/>
  </r>
  <r>
    <s v="Towel, Yellow, 25.2x14.5"/>
    <n v="3"/>
    <s v="Piece"/>
    <m/>
    <m/>
    <m/>
    <n v="3"/>
    <n v="3"/>
    <m/>
    <m/>
    <n v="0"/>
    <m/>
    <m/>
    <m/>
    <n v="0"/>
    <m/>
    <m/>
    <m/>
    <n v="0"/>
    <m/>
    <m/>
    <m/>
    <x v="49"/>
    <x v="5"/>
    <s v="N/A"/>
    <m/>
  </r>
  <r>
    <s v="Medication Vest, Orange"/>
    <n v="5"/>
    <s v="Piece"/>
    <m/>
    <m/>
    <m/>
    <n v="5"/>
    <n v="5"/>
    <m/>
    <m/>
    <n v="0"/>
    <m/>
    <m/>
    <m/>
    <n v="0"/>
    <m/>
    <m/>
    <m/>
    <n v="0"/>
    <m/>
    <m/>
    <m/>
    <x v="49"/>
    <x v="5"/>
    <s v="N/A"/>
    <m/>
  </r>
  <r>
    <s v="CCP"/>
    <n v="10"/>
    <s v="Pack"/>
    <m/>
    <m/>
    <m/>
    <n v="10"/>
    <n v="10"/>
    <m/>
    <m/>
    <n v="0"/>
    <m/>
    <m/>
    <m/>
    <n v="0"/>
    <m/>
    <m/>
    <m/>
    <n v="0"/>
    <m/>
    <m/>
    <m/>
    <x v="50"/>
    <x v="5"/>
    <s v="N/A"/>
    <m/>
  </r>
  <r>
    <s v="NCC"/>
    <n v="10"/>
    <s v="Pack"/>
    <m/>
    <m/>
    <m/>
    <n v="10"/>
    <n v="10"/>
    <m/>
    <m/>
    <n v="0"/>
    <m/>
    <m/>
    <m/>
    <n v="0"/>
    <m/>
    <m/>
    <m/>
    <n v="0"/>
    <m/>
    <m/>
    <m/>
    <x v="50"/>
    <x v="5"/>
    <s v="N/A"/>
    <m/>
  </r>
  <r>
    <s v="Eye Sheet, Yellow"/>
    <n v="3"/>
    <s v="Pack"/>
    <m/>
    <m/>
    <m/>
    <n v="3"/>
    <n v="3"/>
    <m/>
    <m/>
    <n v="0"/>
    <m/>
    <m/>
    <m/>
    <n v="0"/>
    <m/>
    <m/>
    <m/>
    <n v="0"/>
    <m/>
    <m/>
    <m/>
    <x v="50"/>
    <x v="5"/>
    <s v="N/A"/>
    <m/>
  </r>
  <r>
    <s v="Towel, Yellow, 25.2x14.5"/>
    <n v="3"/>
    <s v="Pack"/>
    <m/>
    <m/>
    <m/>
    <n v="3"/>
    <n v="3"/>
    <m/>
    <m/>
    <n v="0"/>
    <m/>
    <m/>
    <m/>
    <n v="0"/>
    <m/>
    <m/>
    <m/>
    <n v="0"/>
    <m/>
    <m/>
    <m/>
    <x v="50"/>
    <x v="5"/>
    <s v="N/A"/>
    <m/>
  </r>
  <r>
    <s v="Medication Vest, Orange"/>
    <n v="5"/>
    <s v="Piece"/>
    <m/>
    <m/>
    <m/>
    <n v="5"/>
    <n v="5"/>
    <m/>
    <m/>
    <n v="0"/>
    <m/>
    <m/>
    <m/>
    <n v="0"/>
    <m/>
    <m/>
    <m/>
    <n v="0"/>
    <m/>
    <m/>
    <m/>
    <x v="50"/>
    <x v="5"/>
    <s v="N/A"/>
    <m/>
  </r>
  <r>
    <s v="Analog Telephone Handset compatible to existing PABX"/>
    <n v="1"/>
    <s v="UNIT"/>
    <m/>
    <m/>
    <m/>
    <n v="1"/>
    <n v="1"/>
    <m/>
    <m/>
    <n v="0"/>
    <m/>
    <m/>
    <m/>
    <n v="0"/>
    <m/>
    <m/>
    <m/>
    <n v="0"/>
    <m/>
    <m/>
    <m/>
    <x v="51"/>
    <x v="52"/>
    <m/>
    <m/>
  </r>
  <r>
    <s v="Keyboard, Full Size, USB 2.0"/>
    <n v="2"/>
    <s v="UNIT"/>
    <m/>
    <m/>
    <m/>
    <n v="1"/>
    <n v="1"/>
    <m/>
    <m/>
    <n v="0"/>
    <m/>
    <m/>
    <m/>
    <n v="1"/>
    <n v="1"/>
    <m/>
    <m/>
    <n v="0"/>
    <m/>
    <m/>
    <m/>
    <x v="51"/>
    <x v="13"/>
    <m/>
    <m/>
  </r>
  <r>
    <s v="Mouse, Optical, USB 2.0"/>
    <n v="2"/>
    <s v="UNIT"/>
    <m/>
    <m/>
    <m/>
    <n v="1"/>
    <n v="1"/>
    <m/>
    <m/>
    <n v="0"/>
    <m/>
    <m/>
    <m/>
    <n v="1"/>
    <n v="1"/>
    <m/>
    <m/>
    <n v="0"/>
    <m/>
    <m/>
    <m/>
    <x v="51"/>
    <x v="14"/>
    <m/>
    <m/>
  </r>
  <r>
    <s v="Web Camera"/>
    <n v="1"/>
    <s v="UNIT"/>
    <m/>
    <m/>
    <m/>
    <n v="1"/>
    <n v="1"/>
    <m/>
    <m/>
    <n v="0"/>
    <m/>
    <m/>
    <m/>
    <n v="0"/>
    <m/>
    <m/>
    <m/>
    <n v="0"/>
    <m/>
    <m/>
    <m/>
    <x v="51"/>
    <x v="2"/>
    <m/>
    <m/>
  </r>
  <r>
    <s v="Ink BLACK compatible with EPSON L3210 (003)"/>
    <n v="16"/>
    <s v="Bottle"/>
    <m/>
    <m/>
    <m/>
    <n v="12"/>
    <n v="4"/>
    <n v="4"/>
    <n v="4"/>
    <n v="12"/>
    <n v="4"/>
    <n v="4"/>
    <n v="4"/>
    <n v="12"/>
    <n v="4"/>
    <n v="4"/>
    <n v="4"/>
    <n v="12"/>
    <n v="4"/>
    <n v="4"/>
    <n v="4"/>
    <x v="51"/>
    <x v="26"/>
    <m/>
    <m/>
  </r>
  <r>
    <s v="Ink YELLOW compatible with EPSON L3210 (003)"/>
    <n v="8"/>
    <s v="Bottle"/>
    <m/>
    <m/>
    <m/>
    <n v="6"/>
    <n v="2"/>
    <n v="2"/>
    <n v="2"/>
    <n v="6"/>
    <n v="2"/>
    <n v="2"/>
    <n v="2"/>
    <n v="6"/>
    <n v="2"/>
    <n v="2"/>
    <n v="2"/>
    <n v="6"/>
    <n v="2"/>
    <n v="2"/>
    <n v="2"/>
    <x v="51"/>
    <x v="27"/>
    <m/>
    <m/>
  </r>
  <r>
    <s v="Ink MAGENTA compatible with EPSON L3210 (003)"/>
    <n v="8"/>
    <s v="Bottle"/>
    <m/>
    <m/>
    <m/>
    <n v="6"/>
    <n v="2"/>
    <n v="2"/>
    <n v="2"/>
    <n v="6"/>
    <n v="2"/>
    <n v="2"/>
    <n v="2"/>
    <n v="6"/>
    <n v="2"/>
    <n v="2"/>
    <n v="2"/>
    <n v="6"/>
    <n v="2"/>
    <n v="2"/>
    <n v="2"/>
    <x v="51"/>
    <x v="28"/>
    <m/>
    <m/>
  </r>
  <r>
    <s v="Ink CYAN compatible with EPSON L3210 (003)"/>
    <n v="8"/>
    <s v="Bottle"/>
    <m/>
    <m/>
    <m/>
    <n v="6"/>
    <n v="2"/>
    <n v="2"/>
    <n v="2"/>
    <n v="6"/>
    <n v="2"/>
    <n v="2"/>
    <n v="2"/>
    <n v="6"/>
    <n v="2"/>
    <n v="2"/>
    <n v="2"/>
    <n v="6"/>
    <n v="2"/>
    <n v="2"/>
    <n v="2"/>
    <x v="51"/>
    <x v="29"/>
    <m/>
    <m/>
  </r>
  <r>
    <s v="Keyboard, Full Size, USB 2.0"/>
    <n v="2"/>
    <s v="pc"/>
    <m/>
    <m/>
    <m/>
    <n v="1"/>
    <n v="1"/>
    <m/>
    <m/>
    <n v="0"/>
    <m/>
    <m/>
    <m/>
    <n v="1"/>
    <n v="1"/>
    <m/>
    <m/>
    <n v="0"/>
    <m/>
    <m/>
    <m/>
    <x v="52"/>
    <x v="13"/>
    <m/>
    <m/>
  </r>
  <r>
    <s v="Mouse, Optical, USB 2.0"/>
    <n v="2"/>
    <s v="pc"/>
    <m/>
    <m/>
    <m/>
    <n v="1"/>
    <n v="1"/>
    <m/>
    <m/>
    <n v="0"/>
    <m/>
    <m/>
    <m/>
    <n v="1"/>
    <n v="1"/>
    <m/>
    <m/>
    <n v="0"/>
    <m/>
    <m/>
    <m/>
    <x v="52"/>
    <x v="14"/>
    <m/>
    <m/>
  </r>
  <r>
    <s v="Multi-function inkjet printer Tank (print, copy, scan)"/>
    <n v="1"/>
    <s v="pc"/>
    <m/>
    <m/>
    <m/>
    <n v="1"/>
    <n v="1"/>
    <m/>
    <m/>
    <n v="0"/>
    <m/>
    <m/>
    <m/>
    <n v="0"/>
    <m/>
    <m/>
    <m/>
    <n v="0"/>
    <m/>
    <m/>
    <m/>
    <x v="52"/>
    <x v="15"/>
    <s v="Printer"/>
    <m/>
  </r>
  <r>
    <s v="UPS, 625va, 325 Watts"/>
    <n v="2"/>
    <s v="pc"/>
    <m/>
    <m/>
    <m/>
    <n v="1"/>
    <n v="1"/>
    <m/>
    <m/>
    <n v="0"/>
    <m/>
    <m/>
    <m/>
    <n v="1"/>
    <n v="1"/>
    <m/>
    <m/>
    <n v="0"/>
    <m/>
    <m/>
    <m/>
    <x v="52"/>
    <x v="3"/>
    <m/>
    <m/>
  </r>
  <r>
    <s v="AVR 500 Watts, 220 Volts"/>
    <n v="1"/>
    <s v="pc"/>
    <m/>
    <m/>
    <m/>
    <n v="1"/>
    <n v="1"/>
    <m/>
    <m/>
    <n v="0"/>
    <m/>
    <m/>
    <m/>
    <n v="0"/>
    <m/>
    <m/>
    <m/>
    <n v="0"/>
    <m/>
    <m/>
    <m/>
    <x v="52"/>
    <x v="5"/>
    <s v="N/A"/>
    <m/>
  </r>
  <r>
    <s v="Epson L360 printer"/>
    <n v="1"/>
    <s v="UNIT"/>
    <m/>
    <m/>
    <m/>
    <n v="1"/>
    <n v="1"/>
    <m/>
    <m/>
    <n v="0"/>
    <m/>
    <m/>
    <m/>
    <n v="0"/>
    <m/>
    <m/>
    <m/>
    <n v="0"/>
    <m/>
    <m/>
    <m/>
    <x v="52"/>
    <x v="15"/>
    <s v="Printer"/>
    <m/>
  </r>
  <r>
    <s v="Analog Telephone Handset compatible to existing PABX"/>
    <n v="1"/>
    <s v="pc"/>
    <m/>
    <m/>
    <m/>
    <n v="1"/>
    <n v="1"/>
    <m/>
    <m/>
    <n v="0"/>
    <m/>
    <m/>
    <m/>
    <n v="0"/>
    <m/>
    <m/>
    <m/>
    <n v="0"/>
    <m/>
    <m/>
    <m/>
    <x v="52"/>
    <x v="52"/>
    <m/>
    <m/>
  </r>
  <r>
    <s v="Printer, Multi Function (Print/Scan/Copy)"/>
    <n v="1"/>
    <s v="pc"/>
    <m/>
    <m/>
    <m/>
    <n v="1"/>
    <n v="1"/>
    <m/>
    <m/>
    <n v="0"/>
    <m/>
    <m/>
    <m/>
    <n v="0"/>
    <m/>
    <m/>
    <m/>
    <n v="0"/>
    <m/>
    <m/>
    <m/>
    <x v="52"/>
    <x v="15"/>
    <s v="Printer"/>
    <m/>
  </r>
  <r>
    <s v="EPSON INK BOTTLE REFIL 003 BLACK"/>
    <n v="30"/>
    <s v="pc"/>
    <m/>
    <m/>
    <m/>
    <n v="10"/>
    <n v="6"/>
    <n v="2"/>
    <n v="2"/>
    <n v="6"/>
    <n v="2"/>
    <n v="2"/>
    <n v="2"/>
    <n v="8"/>
    <n v="2"/>
    <n v="2"/>
    <n v="4"/>
    <n v="6"/>
    <n v="2"/>
    <n v="2"/>
    <n v="2"/>
    <x v="53"/>
    <x v="26"/>
    <m/>
    <m/>
  </r>
  <r>
    <s v="EPSON INK BOTTLE REFIL 003 CYAN"/>
    <n v="12"/>
    <s v="pc"/>
    <m/>
    <m/>
    <m/>
    <n v="3"/>
    <n v="1"/>
    <n v="1"/>
    <n v="1"/>
    <n v="3"/>
    <n v="1"/>
    <n v="1"/>
    <n v="1"/>
    <n v="3"/>
    <n v="1"/>
    <n v="1"/>
    <n v="1"/>
    <n v="3"/>
    <n v="1"/>
    <n v="1"/>
    <n v="1"/>
    <x v="53"/>
    <x v="27"/>
    <m/>
    <m/>
  </r>
  <r>
    <s v="EPSON INK BOTTLE REFIL 003 YELLOW"/>
    <n v="12"/>
    <s v="pc"/>
    <m/>
    <m/>
    <m/>
    <n v="3"/>
    <n v="1"/>
    <n v="1"/>
    <n v="1"/>
    <n v="3"/>
    <n v="1"/>
    <n v="1"/>
    <n v="1"/>
    <n v="3"/>
    <n v="1"/>
    <n v="1"/>
    <n v="1"/>
    <n v="3"/>
    <n v="1"/>
    <n v="1"/>
    <n v="1"/>
    <x v="53"/>
    <x v="28"/>
    <m/>
    <m/>
  </r>
  <r>
    <s v="EPSON INK BOTTLE REFIL 003 MAGENTA"/>
    <n v="12"/>
    <s v="pc"/>
    <m/>
    <m/>
    <m/>
    <n v="3"/>
    <n v="1"/>
    <n v="1"/>
    <n v="1"/>
    <n v="3"/>
    <n v="1"/>
    <n v="1"/>
    <n v="1"/>
    <n v="3"/>
    <n v="1"/>
    <n v="1"/>
    <n v="1"/>
    <n v="3"/>
    <n v="1"/>
    <n v="1"/>
    <n v="1"/>
    <x v="53"/>
    <x v="29"/>
    <m/>
    <m/>
  </r>
  <r>
    <s v="Epson LQ-310 (S015634) Ribbon Cartridge"/>
    <n v="24"/>
    <s v="pc"/>
    <m/>
    <m/>
    <m/>
    <n v="3"/>
    <n v="1"/>
    <n v="1"/>
    <n v="1"/>
    <n v="3"/>
    <n v="1"/>
    <n v="1"/>
    <n v="1"/>
    <n v="3"/>
    <n v="1"/>
    <n v="1"/>
    <n v="1"/>
    <n v="3"/>
    <n v="1"/>
    <n v="1"/>
    <n v="1"/>
    <x v="53"/>
    <x v="6"/>
    <m/>
    <m/>
  </r>
  <r>
    <s v="Computer monitor"/>
    <n v="1"/>
    <s v="Pack"/>
    <m/>
    <m/>
    <m/>
    <n v="1"/>
    <n v="1"/>
    <m/>
    <m/>
    <n v="0"/>
    <m/>
    <m/>
    <m/>
    <n v="0"/>
    <m/>
    <m/>
    <m/>
    <n v="0"/>
    <m/>
    <m/>
    <m/>
    <x v="53"/>
    <x v="87"/>
    <m/>
    <m/>
  </r>
  <r>
    <s v="CPU"/>
    <n v="1"/>
    <s v="Pack"/>
    <m/>
    <m/>
    <m/>
    <n v="1"/>
    <n v="1"/>
    <m/>
    <m/>
    <n v="0"/>
    <m/>
    <m/>
    <m/>
    <n v="0"/>
    <m/>
    <m/>
    <m/>
    <n v="0"/>
    <m/>
    <m/>
    <m/>
    <x v="53"/>
    <x v="5"/>
    <s v="N/A"/>
    <m/>
  </r>
  <r>
    <s v="keyboard , full size"/>
    <n v="1"/>
    <s v="Pack"/>
    <m/>
    <m/>
    <m/>
    <n v="1"/>
    <n v="1"/>
    <m/>
    <m/>
    <n v="0"/>
    <m/>
    <m/>
    <m/>
    <n v="0"/>
    <m/>
    <m/>
    <m/>
    <n v="0"/>
    <m/>
    <m/>
    <m/>
    <x v="53"/>
    <x v="13"/>
    <m/>
    <m/>
  </r>
  <r>
    <s v="mouse, optical"/>
    <n v="1"/>
    <s v="Pack"/>
    <m/>
    <m/>
    <m/>
    <n v="0"/>
    <m/>
    <m/>
    <m/>
    <n v="0"/>
    <m/>
    <m/>
    <m/>
    <n v="0"/>
    <m/>
    <m/>
    <m/>
    <n v="0"/>
    <m/>
    <m/>
    <m/>
    <x v="53"/>
    <x v="14"/>
    <m/>
    <m/>
  </r>
  <r>
    <s v="UPS battery pack for desktop"/>
    <n v="1"/>
    <s v="Pack"/>
    <m/>
    <m/>
    <m/>
    <n v="0"/>
    <m/>
    <m/>
    <m/>
    <n v="0"/>
    <m/>
    <m/>
    <m/>
    <n v="0"/>
    <m/>
    <m/>
    <m/>
    <n v="0"/>
    <m/>
    <m/>
    <m/>
    <x v="53"/>
    <x v="5"/>
    <s v="N/A"/>
    <m/>
  </r>
  <r>
    <s v="analog telephone handset"/>
    <n v="1"/>
    <s v="Pack"/>
    <m/>
    <m/>
    <m/>
    <n v="0"/>
    <m/>
    <m/>
    <m/>
    <n v="0"/>
    <m/>
    <m/>
    <m/>
    <n v="0"/>
    <m/>
    <m/>
    <m/>
    <n v="0"/>
    <m/>
    <m/>
    <m/>
    <x v="53"/>
    <x v="52"/>
    <m/>
    <m/>
  </r>
  <r>
    <s v="printer"/>
    <n v="1"/>
    <s v="Pack"/>
    <m/>
    <m/>
    <m/>
    <n v="0"/>
    <m/>
    <m/>
    <m/>
    <n v="0"/>
    <m/>
    <m/>
    <m/>
    <n v="0"/>
    <m/>
    <m/>
    <m/>
    <n v="0"/>
    <m/>
    <m/>
    <m/>
    <x v="53"/>
    <x v="15"/>
    <s v="Printer"/>
    <m/>
  </r>
  <r>
    <s v="EPSON INK BOTTLE REFIL 003 BLACK"/>
    <n v="30"/>
    <s v="pc"/>
    <m/>
    <m/>
    <m/>
    <n v="10"/>
    <n v="6"/>
    <n v="2"/>
    <n v="2"/>
    <n v="6"/>
    <n v="2"/>
    <n v="2"/>
    <n v="2"/>
    <n v="8"/>
    <n v="2"/>
    <n v="2"/>
    <n v="4"/>
    <n v="6"/>
    <n v="2"/>
    <n v="2"/>
    <n v="2"/>
    <x v="54"/>
    <x v="26"/>
    <m/>
    <m/>
  </r>
  <r>
    <s v="EPSON INK BOTTLE REFIL 003 CYAN"/>
    <n v="12"/>
    <s v="pc"/>
    <m/>
    <m/>
    <m/>
    <n v="3"/>
    <n v="1"/>
    <n v="1"/>
    <n v="1"/>
    <n v="3"/>
    <n v="1"/>
    <n v="1"/>
    <n v="1"/>
    <n v="3"/>
    <n v="1"/>
    <n v="1"/>
    <n v="1"/>
    <n v="3"/>
    <n v="1"/>
    <n v="1"/>
    <n v="1"/>
    <x v="54"/>
    <x v="27"/>
    <m/>
    <m/>
  </r>
  <r>
    <s v="EPSON INK BOTTLE REFIL 003 YELLOW"/>
    <n v="12"/>
    <s v="pc"/>
    <m/>
    <m/>
    <m/>
    <n v="3"/>
    <n v="1"/>
    <n v="1"/>
    <n v="1"/>
    <n v="3"/>
    <n v="1"/>
    <n v="1"/>
    <n v="1"/>
    <n v="3"/>
    <n v="1"/>
    <n v="1"/>
    <n v="1"/>
    <n v="3"/>
    <n v="1"/>
    <n v="1"/>
    <n v="1"/>
    <x v="54"/>
    <x v="28"/>
    <m/>
    <m/>
  </r>
  <r>
    <s v="EPSON INK BOTTLE REFIL 003 MAGENTA"/>
    <n v="12"/>
    <s v="pc"/>
    <m/>
    <m/>
    <m/>
    <n v="3"/>
    <n v="1"/>
    <n v="1"/>
    <n v="1"/>
    <n v="3"/>
    <n v="1"/>
    <n v="1"/>
    <n v="1"/>
    <n v="3"/>
    <n v="1"/>
    <n v="1"/>
    <n v="1"/>
    <n v="3"/>
    <n v="1"/>
    <n v="1"/>
    <n v="1"/>
    <x v="54"/>
    <x v="29"/>
    <m/>
    <m/>
  </r>
  <r>
    <s v="Epson LQ-310 (S015634) Ribbon Cartridge"/>
    <n v="24"/>
    <s v="pc"/>
    <m/>
    <m/>
    <m/>
    <n v="3"/>
    <n v="1"/>
    <n v="1"/>
    <n v="1"/>
    <n v="3"/>
    <n v="1"/>
    <n v="1"/>
    <n v="1"/>
    <n v="3"/>
    <n v="1"/>
    <n v="1"/>
    <n v="1"/>
    <n v="3"/>
    <n v="1"/>
    <n v="1"/>
    <n v="1"/>
    <x v="54"/>
    <x v="6"/>
    <m/>
    <m/>
  </r>
  <r>
    <s v="Computer monitor"/>
    <n v="1"/>
    <s v="Pack"/>
    <m/>
    <m/>
    <m/>
    <n v="1"/>
    <n v="1"/>
    <m/>
    <m/>
    <n v="0"/>
    <m/>
    <m/>
    <m/>
    <n v="0"/>
    <m/>
    <m/>
    <m/>
    <n v="0"/>
    <m/>
    <m/>
    <m/>
    <x v="54"/>
    <x v="87"/>
    <m/>
    <m/>
  </r>
  <r>
    <s v="CPU"/>
    <n v="1"/>
    <s v="Pack"/>
    <m/>
    <m/>
    <m/>
    <n v="1"/>
    <n v="1"/>
    <m/>
    <m/>
    <n v="0"/>
    <m/>
    <m/>
    <m/>
    <n v="0"/>
    <m/>
    <m/>
    <m/>
    <n v="0"/>
    <m/>
    <m/>
    <m/>
    <x v="54"/>
    <x v="5"/>
    <s v="N/A"/>
    <m/>
  </r>
  <r>
    <s v="keyboard , full size"/>
    <n v="1"/>
    <s v="Pack"/>
    <m/>
    <m/>
    <m/>
    <n v="1"/>
    <n v="1"/>
    <m/>
    <m/>
    <n v="0"/>
    <m/>
    <m/>
    <m/>
    <n v="0"/>
    <m/>
    <m/>
    <m/>
    <n v="0"/>
    <m/>
    <m/>
    <m/>
    <x v="54"/>
    <x v="13"/>
    <m/>
    <m/>
  </r>
  <r>
    <s v="mouse, optical"/>
    <n v="1"/>
    <s v="Pack"/>
    <m/>
    <m/>
    <m/>
    <n v="0"/>
    <m/>
    <m/>
    <m/>
    <n v="0"/>
    <m/>
    <m/>
    <m/>
    <n v="0"/>
    <m/>
    <m/>
    <m/>
    <n v="0"/>
    <m/>
    <m/>
    <m/>
    <x v="54"/>
    <x v="14"/>
    <m/>
    <m/>
  </r>
  <r>
    <s v="UPS battery pack for desktop"/>
    <n v="1"/>
    <s v="Pack"/>
    <m/>
    <m/>
    <m/>
    <n v="0"/>
    <m/>
    <m/>
    <m/>
    <n v="0"/>
    <m/>
    <m/>
    <m/>
    <n v="0"/>
    <m/>
    <m/>
    <m/>
    <n v="0"/>
    <m/>
    <m/>
    <m/>
    <x v="54"/>
    <x v="5"/>
    <s v="N/A"/>
    <m/>
  </r>
  <r>
    <s v="analog telephone handset"/>
    <n v="1"/>
    <s v="Pack"/>
    <m/>
    <m/>
    <m/>
    <n v="0"/>
    <m/>
    <m/>
    <m/>
    <n v="0"/>
    <m/>
    <m/>
    <m/>
    <n v="0"/>
    <m/>
    <m/>
    <m/>
    <n v="0"/>
    <m/>
    <m/>
    <m/>
    <x v="54"/>
    <x v="52"/>
    <m/>
    <m/>
  </r>
  <r>
    <s v="printer"/>
    <n v="1"/>
    <s v="Pack"/>
    <m/>
    <m/>
    <m/>
    <n v="0"/>
    <m/>
    <m/>
    <m/>
    <n v="0"/>
    <m/>
    <m/>
    <m/>
    <n v="0"/>
    <m/>
    <m/>
    <m/>
    <n v="0"/>
    <m/>
    <m/>
    <m/>
    <x v="54"/>
    <x v="15"/>
    <s v="Printer"/>
    <m/>
  </r>
  <r>
    <s v="EPSON INK BOTTLE REFIL 003 BLACK"/>
    <n v="30"/>
    <s v="pc"/>
    <m/>
    <m/>
    <m/>
    <n v="10"/>
    <n v="6"/>
    <n v="2"/>
    <n v="2"/>
    <n v="6"/>
    <n v="2"/>
    <n v="2"/>
    <n v="2"/>
    <n v="8"/>
    <n v="2"/>
    <n v="2"/>
    <n v="4"/>
    <n v="6"/>
    <n v="2"/>
    <n v="2"/>
    <n v="2"/>
    <x v="55"/>
    <x v="26"/>
    <m/>
    <m/>
  </r>
  <r>
    <s v="EPSON INK BOTTLE REFIL 003 CYAN"/>
    <n v="12"/>
    <s v="pc"/>
    <m/>
    <m/>
    <m/>
    <n v="3"/>
    <n v="1"/>
    <n v="1"/>
    <n v="1"/>
    <n v="3"/>
    <n v="1"/>
    <n v="1"/>
    <n v="1"/>
    <n v="3"/>
    <n v="1"/>
    <n v="1"/>
    <n v="1"/>
    <n v="3"/>
    <n v="1"/>
    <n v="1"/>
    <n v="1"/>
    <x v="55"/>
    <x v="27"/>
    <m/>
    <m/>
  </r>
  <r>
    <s v="EPSON INK BOTTLE REFIL 003 YELLOW"/>
    <n v="12"/>
    <s v="pc"/>
    <m/>
    <m/>
    <m/>
    <n v="3"/>
    <n v="1"/>
    <n v="1"/>
    <n v="1"/>
    <n v="3"/>
    <n v="1"/>
    <n v="1"/>
    <n v="1"/>
    <n v="3"/>
    <n v="1"/>
    <n v="1"/>
    <n v="1"/>
    <n v="3"/>
    <n v="1"/>
    <n v="1"/>
    <n v="1"/>
    <x v="55"/>
    <x v="28"/>
    <m/>
    <m/>
  </r>
  <r>
    <s v="EPSON INK BOTTLE REFIL 003 MAGENTA"/>
    <n v="12"/>
    <s v="pc"/>
    <m/>
    <m/>
    <m/>
    <n v="3"/>
    <n v="1"/>
    <n v="1"/>
    <n v="1"/>
    <n v="3"/>
    <n v="1"/>
    <n v="1"/>
    <n v="1"/>
    <n v="3"/>
    <n v="1"/>
    <n v="1"/>
    <n v="1"/>
    <n v="3"/>
    <n v="1"/>
    <n v="1"/>
    <n v="1"/>
    <x v="55"/>
    <x v="29"/>
    <m/>
    <m/>
  </r>
  <r>
    <s v="Epson LQ-310 (S015634) Ribbon Cartridge"/>
    <n v="24"/>
    <s v="pc"/>
    <m/>
    <m/>
    <m/>
    <n v="3"/>
    <n v="1"/>
    <n v="1"/>
    <n v="1"/>
    <n v="3"/>
    <n v="1"/>
    <n v="1"/>
    <n v="1"/>
    <n v="3"/>
    <n v="1"/>
    <n v="1"/>
    <n v="1"/>
    <n v="3"/>
    <n v="1"/>
    <n v="1"/>
    <n v="1"/>
    <x v="55"/>
    <x v="6"/>
    <m/>
    <m/>
  </r>
  <r>
    <s v="AVR 500 Watts, 220 Volts, 3-4 Output, With Power On Delay, Heavy Duty"/>
    <s v="pc"/>
    <n v="2"/>
    <m/>
    <m/>
    <m/>
    <n v="2"/>
    <n v="2"/>
    <m/>
    <m/>
    <m/>
    <m/>
    <m/>
    <m/>
    <m/>
    <m/>
    <m/>
    <m/>
    <m/>
    <m/>
    <m/>
    <m/>
    <x v="56"/>
    <x v="3"/>
    <m/>
    <m/>
  </r>
  <r>
    <s v="Epson Ink Cartridge T6641 Black"/>
    <s v="pc"/>
    <n v="480"/>
    <m/>
    <m/>
    <m/>
    <n v="9"/>
    <n v="3"/>
    <n v="3"/>
    <n v="3"/>
    <n v="9"/>
    <n v="3"/>
    <n v="3"/>
    <n v="3"/>
    <n v="9"/>
    <n v="3"/>
    <n v="3"/>
    <n v="3"/>
    <n v="9"/>
    <n v="3"/>
    <n v="3"/>
    <n v="3"/>
    <x v="56"/>
    <x v="16"/>
    <m/>
    <m/>
  </r>
  <r>
    <s v="Epson Ink Cartridge T6642 Cyan"/>
    <s v="pc"/>
    <n v="480"/>
    <m/>
    <m/>
    <m/>
    <n v="6"/>
    <n v="2"/>
    <n v="2"/>
    <n v="2"/>
    <n v="6"/>
    <n v="2"/>
    <n v="2"/>
    <n v="2"/>
    <n v="6"/>
    <n v="2"/>
    <n v="2"/>
    <n v="2"/>
    <n v="6"/>
    <n v="2"/>
    <n v="2"/>
    <n v="2"/>
    <x v="56"/>
    <x v="17"/>
    <m/>
    <m/>
  </r>
  <r>
    <s v="Epson Ink Cartridge T6643 Magenta"/>
    <s v="pc"/>
    <n v="480"/>
    <m/>
    <m/>
    <m/>
    <n v="6"/>
    <n v="2"/>
    <n v="2"/>
    <n v="2"/>
    <n v="3"/>
    <n v="2"/>
    <n v="2"/>
    <n v="2"/>
    <n v="3"/>
    <n v="2"/>
    <n v="2"/>
    <n v="2"/>
    <n v="3"/>
    <n v="2"/>
    <n v="2"/>
    <n v="2"/>
    <x v="56"/>
    <x v="18"/>
    <m/>
    <m/>
  </r>
  <r>
    <s v="Epson Ink Cartridge T6644 Yellow"/>
    <s v="pc"/>
    <n v="480"/>
    <m/>
    <m/>
    <m/>
    <n v="6"/>
    <n v="2"/>
    <n v="2"/>
    <n v="2"/>
    <n v="6"/>
    <n v="2"/>
    <n v="2"/>
    <n v="2"/>
    <n v="6"/>
    <n v="2"/>
    <n v="2"/>
    <n v="2"/>
    <n v="6"/>
    <n v="2"/>
    <n v="2"/>
    <n v="2"/>
    <x v="56"/>
    <x v="19"/>
    <m/>
    <m/>
  </r>
  <r>
    <s v="Keyboard, Full Size, USB 2.0"/>
    <n v="2"/>
    <s v="pc"/>
    <m/>
    <m/>
    <m/>
    <n v="1"/>
    <n v="1"/>
    <m/>
    <m/>
    <n v="0"/>
    <m/>
    <m/>
    <m/>
    <n v="1"/>
    <n v="1"/>
    <m/>
    <m/>
    <n v="0"/>
    <m/>
    <m/>
    <m/>
    <x v="57"/>
    <x v="13"/>
    <m/>
    <m/>
  </r>
  <r>
    <s v="Mouse, Optical, USB 2.0"/>
    <n v="2"/>
    <s v="pc"/>
    <m/>
    <m/>
    <m/>
    <n v="1"/>
    <n v="1"/>
    <m/>
    <m/>
    <n v="0"/>
    <m/>
    <m/>
    <m/>
    <n v="1"/>
    <n v="1"/>
    <m/>
    <m/>
    <n v="0"/>
    <m/>
    <m/>
    <m/>
    <x v="57"/>
    <x v="14"/>
    <m/>
    <m/>
  </r>
  <r>
    <s v="Multi-function inkjet printer Tank (print, copy, scan)"/>
    <n v="1"/>
    <s v="pc"/>
    <m/>
    <m/>
    <m/>
    <n v="1"/>
    <n v="1"/>
    <m/>
    <m/>
    <n v="0"/>
    <m/>
    <m/>
    <m/>
    <n v="0"/>
    <m/>
    <m/>
    <m/>
    <n v="0"/>
    <m/>
    <m/>
    <m/>
    <x v="57"/>
    <x v="15"/>
    <s v="Printer"/>
    <m/>
  </r>
  <r>
    <s v="UPS, 625va, 325 Watts"/>
    <n v="2"/>
    <s v="pc"/>
    <m/>
    <m/>
    <m/>
    <n v="1"/>
    <n v="1"/>
    <m/>
    <m/>
    <n v="0"/>
    <m/>
    <m/>
    <m/>
    <n v="1"/>
    <n v="1"/>
    <m/>
    <m/>
    <n v="0"/>
    <m/>
    <m/>
    <m/>
    <x v="57"/>
    <x v="3"/>
    <m/>
    <m/>
  </r>
  <r>
    <s v="AVR 500 Watts, 220 Volts"/>
    <n v="1"/>
    <s v="pc"/>
    <m/>
    <m/>
    <m/>
    <n v="1"/>
    <n v="1"/>
    <m/>
    <m/>
    <n v="0"/>
    <m/>
    <m/>
    <m/>
    <n v="0"/>
    <m/>
    <m/>
    <m/>
    <n v="0"/>
    <m/>
    <m/>
    <m/>
    <x v="57"/>
    <x v="5"/>
    <s v="N/A"/>
    <m/>
  </r>
  <r>
    <s v="Epson LQ-310 Dot Matrix printer"/>
    <n v="2"/>
    <s v="UNIT"/>
    <m/>
    <m/>
    <m/>
    <n v="1"/>
    <n v="1"/>
    <m/>
    <m/>
    <n v="0"/>
    <m/>
    <m/>
    <m/>
    <n v="1"/>
    <n v="1"/>
    <m/>
    <m/>
    <n v="0"/>
    <m/>
    <m/>
    <m/>
    <x v="57"/>
    <x v="1"/>
    <m/>
    <m/>
  </r>
  <r>
    <s v="Computer Monitor"/>
    <n v="2"/>
    <s v="pc"/>
    <m/>
    <m/>
    <m/>
    <n v="1"/>
    <n v="1"/>
    <m/>
    <m/>
    <n v="0"/>
    <m/>
    <m/>
    <m/>
    <n v="1"/>
    <n v="1"/>
    <m/>
    <m/>
    <n v="0"/>
    <m/>
    <m/>
    <m/>
    <x v="57"/>
    <x v="87"/>
    <m/>
    <m/>
  </r>
  <r>
    <s v="EPSON L1250 ECO TANK PRINTER"/>
    <n v="2"/>
    <s v="pc"/>
    <m/>
    <m/>
    <m/>
    <n v="1"/>
    <n v="1"/>
    <m/>
    <m/>
    <n v="0"/>
    <m/>
    <m/>
    <m/>
    <n v="1"/>
    <n v="1"/>
    <m/>
    <m/>
    <n v="0"/>
    <m/>
    <m/>
    <m/>
    <x v="57"/>
    <x v="5"/>
    <m/>
    <s v="N/A"/>
  </r>
  <r>
    <s v="Analog Telephone Handset compatible to existing PABX"/>
    <n v="1"/>
    <s v="pc"/>
    <m/>
    <m/>
    <m/>
    <n v="1"/>
    <n v="1"/>
    <m/>
    <m/>
    <n v="0"/>
    <m/>
    <m/>
    <m/>
    <n v="0"/>
    <m/>
    <m/>
    <m/>
    <n v="0"/>
    <m/>
    <m/>
    <m/>
    <x v="57"/>
    <x v="52"/>
    <m/>
    <m/>
  </r>
  <r>
    <s v="Keyboard, Full Size, USB 2.0"/>
    <n v="2"/>
    <s v="pc"/>
    <m/>
    <m/>
    <m/>
    <n v="1"/>
    <n v="1"/>
    <m/>
    <m/>
    <n v="0"/>
    <m/>
    <m/>
    <m/>
    <n v="1"/>
    <n v="1"/>
    <m/>
    <m/>
    <n v="0"/>
    <m/>
    <m/>
    <m/>
    <x v="58"/>
    <x v="13"/>
    <m/>
    <m/>
  </r>
  <r>
    <s v="Mouse, Optical, USB 2.0"/>
    <n v="2"/>
    <s v="pc"/>
    <m/>
    <m/>
    <m/>
    <n v="1"/>
    <n v="1"/>
    <m/>
    <m/>
    <n v="0"/>
    <m/>
    <m/>
    <m/>
    <n v="1"/>
    <n v="1"/>
    <m/>
    <m/>
    <n v="0"/>
    <m/>
    <m/>
    <m/>
    <x v="58"/>
    <x v="14"/>
    <m/>
    <m/>
  </r>
  <r>
    <s v="Multi-function inkjet printer Tank (print, copy, scan)"/>
    <n v="1"/>
    <s v="pc"/>
    <m/>
    <m/>
    <m/>
    <n v="1"/>
    <n v="1"/>
    <m/>
    <m/>
    <n v="0"/>
    <m/>
    <m/>
    <m/>
    <n v="0"/>
    <m/>
    <m/>
    <m/>
    <n v="0"/>
    <m/>
    <m/>
    <m/>
    <x v="58"/>
    <x v="15"/>
    <s v="Printer"/>
    <m/>
  </r>
  <r>
    <s v="UPS, 625va, 325 Watts"/>
    <n v="2"/>
    <s v="pc"/>
    <m/>
    <m/>
    <m/>
    <n v="1"/>
    <n v="1"/>
    <m/>
    <m/>
    <n v="0"/>
    <m/>
    <m/>
    <m/>
    <n v="1"/>
    <n v="1"/>
    <m/>
    <m/>
    <n v="0"/>
    <m/>
    <m/>
    <m/>
    <x v="58"/>
    <x v="3"/>
    <m/>
    <m/>
  </r>
  <r>
    <s v="AVR 500 Watts, 220 Volts"/>
    <n v="1"/>
    <s v="pc"/>
    <m/>
    <m/>
    <m/>
    <n v="1"/>
    <n v="1"/>
    <m/>
    <m/>
    <n v="0"/>
    <m/>
    <m/>
    <m/>
    <n v="0"/>
    <m/>
    <m/>
    <m/>
    <n v="0"/>
    <m/>
    <m/>
    <m/>
    <x v="58"/>
    <x v="5"/>
    <s v="N/A"/>
    <m/>
  </r>
  <r>
    <s v="Epson LQ-310 Dot Matrix printer"/>
    <n v="2"/>
    <s v="UNIT"/>
    <m/>
    <m/>
    <m/>
    <n v="1"/>
    <n v="1"/>
    <m/>
    <m/>
    <n v="0"/>
    <m/>
    <m/>
    <m/>
    <n v="1"/>
    <n v="1"/>
    <m/>
    <m/>
    <n v="0"/>
    <m/>
    <m/>
    <m/>
    <x v="58"/>
    <x v="1"/>
    <m/>
    <m/>
  </r>
  <r>
    <s v="Computer Monitor"/>
    <n v="2"/>
    <s v="pc"/>
    <m/>
    <m/>
    <m/>
    <n v="1"/>
    <n v="1"/>
    <m/>
    <m/>
    <n v="0"/>
    <m/>
    <m/>
    <m/>
    <n v="1"/>
    <n v="1"/>
    <m/>
    <m/>
    <n v="0"/>
    <m/>
    <m/>
    <m/>
    <x v="58"/>
    <x v="87"/>
    <m/>
    <m/>
  </r>
  <r>
    <s v="EPSON L1250 ECO TANK PRINTER"/>
    <n v="2"/>
    <s v="pc"/>
    <m/>
    <m/>
    <m/>
    <n v="1"/>
    <n v="1"/>
    <m/>
    <m/>
    <n v="0"/>
    <m/>
    <m/>
    <m/>
    <n v="1"/>
    <n v="1"/>
    <m/>
    <m/>
    <n v="0"/>
    <m/>
    <m/>
    <m/>
    <x v="58"/>
    <x v="5"/>
    <s v="N/A"/>
    <m/>
  </r>
  <r>
    <s v="Analog Telephone Handset compatible to existing PABX"/>
    <n v="1"/>
    <s v="pc"/>
    <m/>
    <m/>
    <m/>
    <n v="1"/>
    <n v="1"/>
    <m/>
    <m/>
    <n v="0"/>
    <m/>
    <m/>
    <m/>
    <n v="0"/>
    <m/>
    <m/>
    <m/>
    <n v="0"/>
    <m/>
    <m/>
    <m/>
    <x v="58"/>
    <x v="52"/>
    <m/>
    <m/>
  </r>
  <r>
    <s v="Keyboard, Full Size, USB 2.0"/>
    <n v="2"/>
    <s v="pc"/>
    <m/>
    <m/>
    <m/>
    <n v="1"/>
    <n v="1"/>
    <m/>
    <m/>
    <n v="0"/>
    <m/>
    <m/>
    <m/>
    <n v="1"/>
    <n v="1"/>
    <m/>
    <m/>
    <n v="0"/>
    <m/>
    <m/>
    <m/>
    <x v="59"/>
    <x v="13"/>
    <m/>
    <m/>
  </r>
  <r>
    <s v="Mouse, Optical, USB 2.0"/>
    <n v="2"/>
    <s v="pc"/>
    <m/>
    <m/>
    <m/>
    <n v="1"/>
    <n v="1"/>
    <m/>
    <m/>
    <n v="0"/>
    <m/>
    <m/>
    <m/>
    <n v="1"/>
    <n v="1"/>
    <m/>
    <m/>
    <n v="0"/>
    <m/>
    <m/>
    <m/>
    <x v="59"/>
    <x v="14"/>
    <m/>
    <m/>
  </r>
  <r>
    <s v="Multi-function inkjet printer Tank (print, copy, scan)"/>
    <n v="1"/>
    <s v="pc"/>
    <m/>
    <m/>
    <m/>
    <n v="1"/>
    <n v="1"/>
    <m/>
    <m/>
    <n v="0"/>
    <m/>
    <m/>
    <m/>
    <n v="0"/>
    <m/>
    <m/>
    <m/>
    <n v="0"/>
    <m/>
    <m/>
    <m/>
    <x v="59"/>
    <x v="15"/>
    <s v="Printer"/>
    <m/>
  </r>
  <r>
    <s v="UPS, 625va, 325 Watts"/>
    <n v="2"/>
    <s v="pc"/>
    <m/>
    <m/>
    <m/>
    <n v="1"/>
    <n v="1"/>
    <m/>
    <m/>
    <n v="0"/>
    <m/>
    <m/>
    <m/>
    <n v="1"/>
    <n v="1"/>
    <m/>
    <m/>
    <n v="0"/>
    <m/>
    <m/>
    <m/>
    <x v="59"/>
    <x v="3"/>
    <m/>
    <m/>
  </r>
  <r>
    <s v="AVR 500 Watts, 220 Volts"/>
    <n v="1"/>
    <s v="pc"/>
    <m/>
    <m/>
    <m/>
    <n v="1"/>
    <n v="1"/>
    <m/>
    <m/>
    <n v="0"/>
    <m/>
    <m/>
    <m/>
    <n v="0"/>
    <m/>
    <m/>
    <m/>
    <n v="0"/>
    <m/>
    <m/>
    <m/>
    <x v="59"/>
    <x v="5"/>
    <s v="N/A"/>
    <m/>
  </r>
  <r>
    <s v="Epson LQ-310 Dot Matrix printer"/>
    <n v="2"/>
    <s v="UNIT"/>
    <m/>
    <m/>
    <m/>
    <n v="1"/>
    <n v="1"/>
    <m/>
    <m/>
    <n v="0"/>
    <m/>
    <m/>
    <m/>
    <n v="1"/>
    <n v="1"/>
    <m/>
    <m/>
    <n v="0"/>
    <m/>
    <m/>
    <m/>
    <x v="59"/>
    <x v="1"/>
    <m/>
    <m/>
  </r>
  <r>
    <s v="Computer Monitor"/>
    <n v="2"/>
    <s v="pc"/>
    <m/>
    <m/>
    <m/>
    <n v="1"/>
    <n v="1"/>
    <m/>
    <m/>
    <n v="0"/>
    <m/>
    <m/>
    <m/>
    <n v="1"/>
    <n v="1"/>
    <m/>
    <m/>
    <n v="0"/>
    <m/>
    <m/>
    <m/>
    <x v="59"/>
    <x v="87"/>
    <m/>
    <m/>
  </r>
  <r>
    <s v="EPSON L1250 ECO TANK PRINTER"/>
    <n v="2"/>
    <s v="pc"/>
    <m/>
    <m/>
    <m/>
    <n v="1"/>
    <n v="1"/>
    <m/>
    <m/>
    <n v="0"/>
    <m/>
    <m/>
    <m/>
    <n v="1"/>
    <n v="1"/>
    <m/>
    <m/>
    <n v="0"/>
    <m/>
    <m/>
    <m/>
    <x v="59"/>
    <x v="5"/>
    <m/>
    <s v="N/A"/>
  </r>
  <r>
    <s v="Analog Telephone Handset compatible to existing PABX"/>
    <n v="1"/>
    <s v="pc"/>
    <m/>
    <m/>
    <m/>
    <n v="1"/>
    <n v="1"/>
    <m/>
    <m/>
    <n v="0"/>
    <m/>
    <m/>
    <m/>
    <n v="0"/>
    <m/>
    <m/>
    <m/>
    <n v="0"/>
    <m/>
    <m/>
    <m/>
    <x v="59"/>
    <x v="52"/>
    <m/>
    <m/>
  </r>
  <r>
    <s v="Keyboard, Full Size, USB 2.0"/>
    <n v="2"/>
    <s v="pc"/>
    <m/>
    <m/>
    <m/>
    <n v="1"/>
    <n v="1"/>
    <m/>
    <m/>
    <n v="0"/>
    <m/>
    <m/>
    <m/>
    <n v="1"/>
    <n v="1"/>
    <m/>
    <m/>
    <n v="0"/>
    <m/>
    <m/>
    <m/>
    <x v="60"/>
    <x v="13"/>
    <m/>
    <m/>
  </r>
  <r>
    <s v="Mouse, Optical, USB 2.0"/>
    <n v="2"/>
    <s v="pc"/>
    <m/>
    <m/>
    <m/>
    <n v="1"/>
    <n v="1"/>
    <m/>
    <m/>
    <n v="0"/>
    <m/>
    <m/>
    <m/>
    <n v="1"/>
    <n v="1"/>
    <m/>
    <m/>
    <n v="0"/>
    <m/>
    <m/>
    <m/>
    <x v="60"/>
    <x v="14"/>
    <m/>
    <m/>
  </r>
  <r>
    <s v="Multi-function inkjet printer Tank (print, copy, scan)"/>
    <n v="1"/>
    <s v="pc"/>
    <m/>
    <m/>
    <m/>
    <n v="1"/>
    <n v="1"/>
    <m/>
    <m/>
    <n v="0"/>
    <m/>
    <m/>
    <m/>
    <n v="0"/>
    <m/>
    <m/>
    <m/>
    <n v="0"/>
    <m/>
    <m/>
    <m/>
    <x v="60"/>
    <x v="15"/>
    <s v="Printer"/>
    <m/>
  </r>
  <r>
    <s v="UPS, 625va, 325 Watts"/>
    <n v="2"/>
    <s v="pc"/>
    <m/>
    <m/>
    <m/>
    <n v="1"/>
    <n v="1"/>
    <m/>
    <m/>
    <n v="0"/>
    <m/>
    <m/>
    <m/>
    <n v="1"/>
    <n v="1"/>
    <m/>
    <m/>
    <n v="0"/>
    <m/>
    <m/>
    <m/>
    <x v="60"/>
    <x v="3"/>
    <m/>
    <m/>
  </r>
  <r>
    <s v="AVR 500 Watts, 220 Volts"/>
    <n v="1"/>
    <s v="pc"/>
    <m/>
    <m/>
    <m/>
    <n v="1"/>
    <n v="1"/>
    <m/>
    <m/>
    <n v="0"/>
    <m/>
    <m/>
    <m/>
    <n v="0"/>
    <m/>
    <m/>
    <m/>
    <n v="0"/>
    <m/>
    <m/>
    <m/>
    <x v="60"/>
    <x v="5"/>
    <s v="N/A"/>
    <m/>
  </r>
  <r>
    <s v="Epson LQ-310 Dot Matrix printer"/>
    <n v="2"/>
    <s v="UNIT"/>
    <m/>
    <m/>
    <m/>
    <n v="1"/>
    <n v="1"/>
    <m/>
    <m/>
    <n v="0"/>
    <m/>
    <m/>
    <m/>
    <n v="1"/>
    <n v="1"/>
    <m/>
    <m/>
    <n v="0"/>
    <m/>
    <m/>
    <m/>
    <x v="60"/>
    <x v="1"/>
    <m/>
    <m/>
  </r>
  <r>
    <s v="Computer Monitor"/>
    <n v="2"/>
    <s v="pc"/>
    <m/>
    <m/>
    <m/>
    <n v="1"/>
    <n v="1"/>
    <m/>
    <m/>
    <n v="0"/>
    <m/>
    <m/>
    <m/>
    <n v="1"/>
    <n v="1"/>
    <m/>
    <m/>
    <n v="0"/>
    <m/>
    <m/>
    <m/>
    <x v="60"/>
    <x v="87"/>
    <m/>
    <m/>
  </r>
  <r>
    <s v="EPSON L1250 ECO TANK PRINTER"/>
    <n v="2"/>
    <s v="pc"/>
    <m/>
    <m/>
    <m/>
    <n v="1"/>
    <n v="1"/>
    <m/>
    <m/>
    <n v="0"/>
    <m/>
    <m/>
    <m/>
    <n v="1"/>
    <n v="1"/>
    <m/>
    <m/>
    <n v="0"/>
    <m/>
    <m/>
    <m/>
    <x v="60"/>
    <x v="5"/>
    <m/>
    <s v="N/A"/>
  </r>
  <r>
    <s v="Analog Telephone Handset compatible to existing PABX"/>
    <n v="1"/>
    <s v="pc"/>
    <m/>
    <m/>
    <m/>
    <n v="1"/>
    <n v="1"/>
    <m/>
    <m/>
    <n v="0"/>
    <m/>
    <m/>
    <m/>
    <n v="0"/>
    <m/>
    <m/>
    <m/>
    <n v="0"/>
    <m/>
    <m/>
    <m/>
    <x v="60"/>
    <x v="52"/>
    <m/>
    <m/>
  </r>
  <r>
    <s v="Keyboard, Full Size, USB 2.0"/>
    <n v="2"/>
    <s v="pc"/>
    <m/>
    <m/>
    <m/>
    <n v="1"/>
    <n v="1"/>
    <m/>
    <m/>
    <n v="0"/>
    <m/>
    <m/>
    <m/>
    <n v="1"/>
    <n v="1"/>
    <m/>
    <m/>
    <n v="0"/>
    <m/>
    <m/>
    <m/>
    <x v="61"/>
    <x v="13"/>
    <m/>
    <m/>
  </r>
  <r>
    <s v="Mouse, Optical, USB 2.0"/>
    <n v="2"/>
    <s v="pc"/>
    <m/>
    <m/>
    <m/>
    <n v="1"/>
    <n v="1"/>
    <m/>
    <m/>
    <n v="0"/>
    <m/>
    <m/>
    <m/>
    <n v="1"/>
    <n v="1"/>
    <m/>
    <m/>
    <n v="0"/>
    <m/>
    <m/>
    <m/>
    <x v="61"/>
    <x v="14"/>
    <m/>
    <m/>
  </r>
  <r>
    <s v="Multi-function inkjet printer Tank (print, copy, scan)"/>
    <n v="1"/>
    <s v="pc"/>
    <m/>
    <m/>
    <m/>
    <n v="1"/>
    <n v="1"/>
    <m/>
    <m/>
    <n v="0"/>
    <m/>
    <m/>
    <m/>
    <n v="0"/>
    <m/>
    <m/>
    <m/>
    <n v="0"/>
    <m/>
    <m/>
    <m/>
    <x v="61"/>
    <x v="15"/>
    <s v="Printer"/>
    <m/>
  </r>
  <r>
    <s v="UPS, 625va, 325 Watts"/>
    <n v="2"/>
    <s v="pc"/>
    <m/>
    <m/>
    <m/>
    <n v="1"/>
    <n v="1"/>
    <m/>
    <m/>
    <n v="0"/>
    <m/>
    <m/>
    <m/>
    <n v="1"/>
    <n v="1"/>
    <m/>
    <m/>
    <n v="0"/>
    <m/>
    <m/>
    <m/>
    <x v="61"/>
    <x v="3"/>
    <m/>
    <m/>
  </r>
  <r>
    <s v="AVR 500 Watts, 220 Volts"/>
    <n v="1"/>
    <s v="pc"/>
    <m/>
    <m/>
    <m/>
    <n v="1"/>
    <n v="1"/>
    <m/>
    <m/>
    <n v="0"/>
    <m/>
    <m/>
    <m/>
    <n v="0"/>
    <m/>
    <m/>
    <m/>
    <n v="0"/>
    <m/>
    <m/>
    <m/>
    <x v="61"/>
    <x v="5"/>
    <s v="N/A"/>
    <m/>
  </r>
  <r>
    <s v="Epson LQ-310 Dot Matrix printer"/>
    <n v="2"/>
    <s v="UNIT"/>
    <m/>
    <m/>
    <m/>
    <n v="1"/>
    <n v="1"/>
    <m/>
    <m/>
    <n v="0"/>
    <m/>
    <m/>
    <m/>
    <n v="1"/>
    <n v="1"/>
    <m/>
    <m/>
    <n v="0"/>
    <m/>
    <m/>
    <m/>
    <x v="61"/>
    <x v="1"/>
    <m/>
    <m/>
  </r>
  <r>
    <s v="Computer Monitor"/>
    <n v="2"/>
    <s v="pc"/>
    <m/>
    <m/>
    <m/>
    <n v="1"/>
    <n v="1"/>
    <m/>
    <m/>
    <n v="0"/>
    <m/>
    <m/>
    <m/>
    <n v="1"/>
    <n v="1"/>
    <m/>
    <m/>
    <n v="0"/>
    <m/>
    <m/>
    <m/>
    <x v="61"/>
    <x v="87"/>
    <m/>
    <m/>
  </r>
  <r>
    <s v="EPSON L1250 ECO TANK PRINTER"/>
    <n v="2"/>
    <s v="pc"/>
    <m/>
    <m/>
    <m/>
    <n v="1"/>
    <n v="1"/>
    <m/>
    <m/>
    <n v="0"/>
    <m/>
    <m/>
    <m/>
    <n v="1"/>
    <n v="1"/>
    <m/>
    <m/>
    <n v="0"/>
    <m/>
    <m/>
    <m/>
    <x v="61"/>
    <x v="5"/>
    <m/>
    <s v="N/A"/>
  </r>
  <r>
    <s v="Analog Telephone Handset compatible to existing PABX"/>
    <n v="1"/>
    <s v="pc"/>
    <m/>
    <m/>
    <m/>
    <n v="1"/>
    <n v="1"/>
    <m/>
    <m/>
    <n v="0"/>
    <m/>
    <m/>
    <m/>
    <n v="0"/>
    <m/>
    <m/>
    <m/>
    <n v="0"/>
    <m/>
    <m/>
    <m/>
    <x v="61"/>
    <x v="52"/>
    <m/>
    <m/>
  </r>
  <r>
    <s v="Keyboard, Full Size, USB 2.0"/>
    <n v="2"/>
    <s v="pc"/>
    <m/>
    <m/>
    <m/>
    <n v="1"/>
    <n v="1"/>
    <m/>
    <m/>
    <n v="0"/>
    <m/>
    <m/>
    <m/>
    <n v="1"/>
    <n v="1"/>
    <m/>
    <m/>
    <n v="0"/>
    <m/>
    <m/>
    <m/>
    <x v="62"/>
    <x v="13"/>
    <m/>
    <m/>
  </r>
  <r>
    <s v="Mouse, Optical, USB 2.0"/>
    <n v="2"/>
    <s v="pc"/>
    <m/>
    <m/>
    <m/>
    <n v="1"/>
    <n v="1"/>
    <m/>
    <m/>
    <n v="0"/>
    <m/>
    <m/>
    <m/>
    <n v="1"/>
    <n v="1"/>
    <m/>
    <m/>
    <n v="0"/>
    <m/>
    <m/>
    <m/>
    <x v="62"/>
    <x v="14"/>
    <m/>
    <m/>
  </r>
  <r>
    <s v="Multi-function inkjet printer Tank (print, copy, scan)"/>
    <n v="1"/>
    <s v="pc"/>
    <m/>
    <m/>
    <m/>
    <n v="1"/>
    <n v="1"/>
    <m/>
    <m/>
    <n v="0"/>
    <m/>
    <m/>
    <m/>
    <n v="0"/>
    <m/>
    <m/>
    <m/>
    <n v="0"/>
    <m/>
    <m/>
    <m/>
    <x v="62"/>
    <x v="15"/>
    <s v="Printer"/>
    <m/>
  </r>
  <r>
    <s v="UPS, 625va, 325 Watts"/>
    <n v="2"/>
    <s v="pc"/>
    <m/>
    <m/>
    <m/>
    <n v="1"/>
    <n v="1"/>
    <m/>
    <m/>
    <n v="0"/>
    <m/>
    <m/>
    <m/>
    <n v="1"/>
    <n v="1"/>
    <m/>
    <m/>
    <n v="0"/>
    <m/>
    <m/>
    <m/>
    <x v="62"/>
    <x v="3"/>
    <m/>
    <m/>
  </r>
  <r>
    <s v="AVR 500 Watts, 220 Volts"/>
    <n v="1"/>
    <s v="pc"/>
    <m/>
    <m/>
    <m/>
    <n v="1"/>
    <n v="1"/>
    <m/>
    <m/>
    <n v="0"/>
    <m/>
    <m/>
    <m/>
    <n v="0"/>
    <m/>
    <m/>
    <m/>
    <n v="0"/>
    <m/>
    <m/>
    <m/>
    <x v="62"/>
    <x v="5"/>
    <s v="N/A"/>
    <m/>
  </r>
  <r>
    <s v="Epson LQ-310 Dot Matrix printer"/>
    <n v="2"/>
    <s v="UNIT"/>
    <m/>
    <m/>
    <m/>
    <n v="1"/>
    <n v="1"/>
    <m/>
    <m/>
    <n v="0"/>
    <m/>
    <m/>
    <m/>
    <n v="1"/>
    <n v="1"/>
    <m/>
    <m/>
    <n v="0"/>
    <m/>
    <m/>
    <m/>
    <x v="62"/>
    <x v="1"/>
    <m/>
    <m/>
  </r>
  <r>
    <s v="Computer Monitor"/>
    <n v="2"/>
    <s v="pc"/>
    <m/>
    <m/>
    <m/>
    <n v="1"/>
    <n v="1"/>
    <m/>
    <m/>
    <n v="0"/>
    <m/>
    <m/>
    <m/>
    <n v="1"/>
    <n v="1"/>
    <m/>
    <m/>
    <n v="0"/>
    <m/>
    <m/>
    <m/>
    <x v="62"/>
    <x v="87"/>
    <m/>
    <m/>
  </r>
  <r>
    <s v="EPSON L1250 ECO TANK PRINTER"/>
    <n v="2"/>
    <s v="pc"/>
    <m/>
    <m/>
    <m/>
    <n v="1"/>
    <n v="1"/>
    <m/>
    <m/>
    <n v="0"/>
    <m/>
    <m/>
    <m/>
    <n v="1"/>
    <n v="1"/>
    <m/>
    <m/>
    <n v="0"/>
    <m/>
    <m/>
    <m/>
    <x v="62"/>
    <x v="5"/>
    <m/>
    <s v="N/A"/>
  </r>
  <r>
    <s v="Analog Telephone Handset compatible to existing PABX"/>
    <n v="1"/>
    <s v="pc"/>
    <m/>
    <m/>
    <m/>
    <n v="1"/>
    <n v="1"/>
    <m/>
    <m/>
    <n v="0"/>
    <m/>
    <m/>
    <m/>
    <n v="0"/>
    <m/>
    <m/>
    <m/>
    <n v="0"/>
    <m/>
    <m/>
    <m/>
    <x v="62"/>
    <x v="52"/>
    <m/>
    <m/>
  </r>
  <r>
    <s v="Keyboard, Full Size, USB 2.0"/>
    <n v="2"/>
    <s v="pc"/>
    <m/>
    <m/>
    <m/>
    <n v="1"/>
    <n v="1"/>
    <m/>
    <m/>
    <n v="0"/>
    <m/>
    <m/>
    <m/>
    <n v="1"/>
    <n v="1"/>
    <m/>
    <m/>
    <n v="0"/>
    <m/>
    <m/>
    <m/>
    <x v="63"/>
    <x v="13"/>
    <m/>
    <m/>
  </r>
  <r>
    <s v="Mouse, Optical, USB 2.0"/>
    <n v="2"/>
    <s v="pc"/>
    <m/>
    <m/>
    <m/>
    <n v="1"/>
    <n v="1"/>
    <m/>
    <m/>
    <n v="0"/>
    <m/>
    <m/>
    <m/>
    <n v="1"/>
    <n v="1"/>
    <m/>
    <m/>
    <n v="0"/>
    <m/>
    <m/>
    <m/>
    <x v="63"/>
    <x v="14"/>
    <m/>
    <m/>
  </r>
  <r>
    <s v="Multi-function inkjet printer Tank (print, copy, scan)"/>
    <n v="1"/>
    <s v="pc"/>
    <m/>
    <m/>
    <m/>
    <n v="1"/>
    <n v="1"/>
    <m/>
    <m/>
    <n v="0"/>
    <m/>
    <m/>
    <m/>
    <n v="0"/>
    <m/>
    <m/>
    <m/>
    <n v="0"/>
    <m/>
    <m/>
    <m/>
    <x v="63"/>
    <x v="15"/>
    <s v="Printer"/>
    <m/>
  </r>
  <r>
    <s v="UPS, 625va, 325 Watts"/>
    <n v="2"/>
    <s v="pc"/>
    <m/>
    <m/>
    <m/>
    <n v="1"/>
    <n v="1"/>
    <m/>
    <m/>
    <n v="0"/>
    <m/>
    <m/>
    <m/>
    <n v="1"/>
    <n v="1"/>
    <m/>
    <m/>
    <n v="0"/>
    <m/>
    <m/>
    <m/>
    <x v="63"/>
    <x v="3"/>
    <m/>
    <m/>
  </r>
  <r>
    <s v="AVR 500 Watts, 220 Volts"/>
    <n v="1"/>
    <s v="pc"/>
    <m/>
    <m/>
    <m/>
    <n v="1"/>
    <n v="1"/>
    <m/>
    <m/>
    <n v="0"/>
    <m/>
    <m/>
    <m/>
    <n v="0"/>
    <m/>
    <m/>
    <m/>
    <n v="0"/>
    <m/>
    <m/>
    <m/>
    <x v="63"/>
    <x v="5"/>
    <s v="N/A"/>
    <m/>
  </r>
  <r>
    <s v="Epson LQ-310 Dot Matrix printer"/>
    <n v="2"/>
    <s v="UNIT"/>
    <m/>
    <m/>
    <m/>
    <n v="1"/>
    <n v="1"/>
    <m/>
    <m/>
    <n v="0"/>
    <m/>
    <m/>
    <m/>
    <n v="1"/>
    <n v="1"/>
    <m/>
    <m/>
    <n v="0"/>
    <m/>
    <m/>
    <m/>
    <x v="63"/>
    <x v="1"/>
    <m/>
    <m/>
  </r>
  <r>
    <s v="Computer Monitor"/>
    <n v="2"/>
    <s v="pc"/>
    <m/>
    <m/>
    <m/>
    <n v="1"/>
    <n v="1"/>
    <m/>
    <m/>
    <n v="0"/>
    <m/>
    <m/>
    <m/>
    <n v="1"/>
    <n v="1"/>
    <m/>
    <m/>
    <n v="0"/>
    <m/>
    <m/>
    <m/>
    <x v="63"/>
    <x v="87"/>
    <m/>
    <m/>
  </r>
  <r>
    <s v="EPSON L1250 ECO TANK PRINTER"/>
    <n v="2"/>
    <s v="pc"/>
    <m/>
    <m/>
    <m/>
    <n v="1"/>
    <n v="1"/>
    <m/>
    <m/>
    <n v="0"/>
    <m/>
    <m/>
    <m/>
    <n v="1"/>
    <n v="1"/>
    <m/>
    <m/>
    <n v="0"/>
    <m/>
    <m/>
    <m/>
    <x v="63"/>
    <x v="5"/>
    <m/>
    <s v="N/A"/>
  </r>
  <r>
    <s v="Analog Telephone Handset compatible to existing PABX"/>
    <n v="1"/>
    <s v="pc"/>
    <m/>
    <m/>
    <m/>
    <n v="1"/>
    <n v="1"/>
    <m/>
    <m/>
    <n v="0"/>
    <m/>
    <m/>
    <m/>
    <n v="0"/>
    <m/>
    <m/>
    <m/>
    <n v="0"/>
    <m/>
    <m/>
    <m/>
    <x v="63"/>
    <x v="52"/>
    <m/>
    <m/>
  </r>
  <r>
    <s v="Keyboard, Full Size, USB 2.0"/>
    <n v="2"/>
    <s v="pc"/>
    <m/>
    <m/>
    <m/>
    <n v="1"/>
    <n v="1"/>
    <m/>
    <m/>
    <n v="0"/>
    <m/>
    <m/>
    <m/>
    <n v="1"/>
    <n v="1"/>
    <m/>
    <m/>
    <n v="0"/>
    <m/>
    <m/>
    <m/>
    <x v="64"/>
    <x v="13"/>
    <m/>
    <m/>
  </r>
  <r>
    <s v="Mouse, Optical, USB 2.0"/>
    <n v="2"/>
    <s v="pc"/>
    <m/>
    <m/>
    <m/>
    <n v="1"/>
    <n v="1"/>
    <m/>
    <m/>
    <n v="0"/>
    <m/>
    <m/>
    <m/>
    <n v="1"/>
    <n v="1"/>
    <m/>
    <m/>
    <n v="0"/>
    <m/>
    <m/>
    <m/>
    <x v="64"/>
    <x v="14"/>
    <m/>
    <m/>
  </r>
  <r>
    <s v="Multi-function inkjet printer Tank (print, copy, scan)"/>
    <n v="1"/>
    <s v="pc"/>
    <m/>
    <m/>
    <m/>
    <n v="1"/>
    <n v="1"/>
    <m/>
    <m/>
    <n v="0"/>
    <m/>
    <m/>
    <m/>
    <n v="0"/>
    <m/>
    <m/>
    <m/>
    <n v="0"/>
    <m/>
    <m/>
    <m/>
    <x v="64"/>
    <x v="15"/>
    <s v="Printer"/>
    <m/>
  </r>
  <r>
    <s v="UPS, 625va, 325 Watts"/>
    <n v="2"/>
    <s v="pc"/>
    <m/>
    <m/>
    <m/>
    <n v="1"/>
    <n v="1"/>
    <m/>
    <m/>
    <n v="0"/>
    <m/>
    <m/>
    <m/>
    <n v="1"/>
    <n v="1"/>
    <m/>
    <m/>
    <n v="0"/>
    <m/>
    <m/>
    <m/>
    <x v="64"/>
    <x v="3"/>
    <m/>
    <m/>
  </r>
  <r>
    <s v="AVR 500 Watts, 220 Volts"/>
    <n v="1"/>
    <s v="pc"/>
    <m/>
    <m/>
    <m/>
    <n v="1"/>
    <n v="1"/>
    <m/>
    <m/>
    <n v="0"/>
    <m/>
    <m/>
    <m/>
    <n v="0"/>
    <m/>
    <m/>
    <m/>
    <n v="0"/>
    <m/>
    <m/>
    <m/>
    <x v="64"/>
    <x v="5"/>
    <s v="N/A"/>
    <m/>
  </r>
  <r>
    <s v="Epson LQ-310 Dot Matrix printer"/>
    <n v="2"/>
    <s v="UNIT"/>
    <m/>
    <m/>
    <m/>
    <n v="1"/>
    <n v="1"/>
    <m/>
    <m/>
    <n v="0"/>
    <m/>
    <m/>
    <m/>
    <n v="1"/>
    <n v="1"/>
    <m/>
    <m/>
    <n v="0"/>
    <m/>
    <m/>
    <m/>
    <x v="64"/>
    <x v="1"/>
    <m/>
    <m/>
  </r>
  <r>
    <s v="Computer Monitor"/>
    <n v="2"/>
    <s v="pc"/>
    <m/>
    <m/>
    <m/>
    <n v="1"/>
    <n v="1"/>
    <m/>
    <m/>
    <n v="0"/>
    <m/>
    <m/>
    <m/>
    <n v="1"/>
    <n v="1"/>
    <m/>
    <m/>
    <n v="0"/>
    <m/>
    <m/>
    <m/>
    <x v="64"/>
    <x v="87"/>
    <m/>
    <m/>
  </r>
  <r>
    <s v="EPSON L1250 ECO TANK PRINTER"/>
    <n v="2"/>
    <s v="pc"/>
    <m/>
    <m/>
    <m/>
    <n v="1"/>
    <n v="1"/>
    <m/>
    <m/>
    <n v="0"/>
    <m/>
    <m/>
    <m/>
    <n v="1"/>
    <n v="1"/>
    <m/>
    <m/>
    <n v="0"/>
    <m/>
    <m/>
    <m/>
    <x v="64"/>
    <x v="5"/>
    <m/>
    <s v="N/A"/>
  </r>
  <r>
    <s v="Analog Telephone Handset compatible to existing PABX"/>
    <n v="1"/>
    <s v="pc"/>
    <m/>
    <m/>
    <m/>
    <n v="1"/>
    <n v="1"/>
    <m/>
    <m/>
    <n v="0"/>
    <m/>
    <m/>
    <m/>
    <n v="0"/>
    <m/>
    <m/>
    <m/>
    <n v="0"/>
    <m/>
    <m/>
    <m/>
    <x v="64"/>
    <x v="52"/>
    <m/>
    <m/>
  </r>
  <r>
    <s v="Keyboard, full size, USB 2.0"/>
    <n v="4"/>
    <s v="pc"/>
    <m/>
    <m/>
    <m/>
    <n v="2"/>
    <m/>
    <m/>
    <m/>
    <m/>
    <m/>
    <m/>
    <m/>
    <n v="2"/>
    <m/>
    <m/>
    <m/>
    <m/>
    <m/>
    <m/>
    <m/>
    <x v="65"/>
    <x v="13"/>
    <m/>
    <m/>
  </r>
  <r>
    <s v="Mouse, optical, Usb 2.0"/>
    <n v="8"/>
    <s v="pc"/>
    <m/>
    <m/>
    <m/>
    <n v="4"/>
    <m/>
    <m/>
    <m/>
    <m/>
    <m/>
    <m/>
    <m/>
    <n v="4"/>
    <m/>
    <m/>
    <m/>
    <m/>
    <m/>
    <m/>
    <m/>
    <x v="65"/>
    <x v="14"/>
    <m/>
    <m/>
  </r>
  <r>
    <s v="UPS, 625va, 325 watts, high quality"/>
    <n v="2"/>
    <s v="pc"/>
    <m/>
    <m/>
    <m/>
    <n v="1"/>
    <m/>
    <m/>
    <m/>
    <m/>
    <m/>
    <m/>
    <m/>
    <m/>
    <m/>
    <m/>
    <m/>
    <m/>
    <m/>
    <m/>
    <m/>
    <x v="65"/>
    <x v="3"/>
    <m/>
    <m/>
  </r>
  <r>
    <s v="Computer set, desk top"/>
    <n v="8"/>
    <s v="pc"/>
    <m/>
    <m/>
    <m/>
    <n v="8"/>
    <m/>
    <m/>
    <m/>
    <m/>
    <m/>
    <m/>
    <m/>
    <m/>
    <m/>
    <m/>
    <m/>
    <m/>
    <m/>
    <m/>
    <m/>
    <x v="65"/>
    <x v="0"/>
    <m/>
    <m/>
  </r>
  <r>
    <s v="CPU"/>
    <n v="4"/>
    <s v="pc"/>
    <m/>
    <m/>
    <m/>
    <n v="1"/>
    <m/>
    <m/>
    <m/>
    <m/>
    <m/>
    <m/>
    <m/>
    <m/>
    <m/>
    <m/>
    <m/>
    <m/>
    <m/>
    <m/>
    <m/>
    <x v="65"/>
    <x v="5"/>
    <s v="N/A"/>
    <m/>
  </r>
  <r>
    <s v="Printer, Multi Function (Print/Scan/Copy)"/>
    <n v="1"/>
    <s v="pc"/>
    <m/>
    <m/>
    <m/>
    <n v="1"/>
    <m/>
    <m/>
    <m/>
    <m/>
    <m/>
    <m/>
    <m/>
    <m/>
    <m/>
    <m/>
    <m/>
    <m/>
    <m/>
    <m/>
    <m/>
    <x v="65"/>
    <x v="15"/>
    <s v="Printer"/>
    <m/>
  </r>
  <r>
    <s v="AVR 500 Watts, 220 Volts"/>
    <n v="1"/>
    <s v="pc"/>
    <m/>
    <m/>
    <m/>
    <n v="1"/>
    <m/>
    <m/>
    <m/>
    <m/>
    <m/>
    <m/>
    <m/>
    <m/>
    <m/>
    <m/>
    <m/>
    <m/>
    <m/>
    <m/>
    <m/>
    <x v="65"/>
    <x v="5"/>
    <s v="N/A"/>
    <m/>
  </r>
  <r>
    <s v="Epson LQ-310 printer"/>
    <n v="1"/>
    <s v="pc"/>
    <m/>
    <m/>
    <m/>
    <n v="1"/>
    <m/>
    <m/>
    <m/>
    <m/>
    <m/>
    <m/>
    <m/>
    <m/>
    <m/>
    <m/>
    <m/>
    <m/>
    <m/>
    <m/>
    <m/>
    <x v="65"/>
    <x v="1"/>
    <m/>
    <m/>
  </r>
  <r>
    <s v="Analog Telephone Handset compatible to existing PABX"/>
    <n v="3"/>
    <s v="pc"/>
    <m/>
    <m/>
    <m/>
    <n v="3"/>
    <m/>
    <m/>
    <m/>
    <m/>
    <m/>
    <m/>
    <m/>
    <m/>
    <m/>
    <m/>
    <m/>
    <m/>
    <m/>
    <m/>
    <m/>
    <x v="65"/>
    <x v="52"/>
    <m/>
    <m/>
  </r>
  <r>
    <s v="EPSON L3210 ECO TANK PRINTER"/>
    <n v="1"/>
    <s v="pc"/>
    <m/>
    <m/>
    <m/>
    <m/>
    <n v="1"/>
    <s v="2nd week"/>
    <m/>
    <m/>
    <m/>
    <m/>
    <m/>
    <m/>
    <m/>
    <m/>
    <m/>
    <m/>
    <m/>
    <m/>
    <m/>
    <x v="66"/>
    <x v="5"/>
    <m/>
    <m/>
  </r>
  <r>
    <s v="Analog Telephone Handset compatible to existing PABX"/>
    <n v="1"/>
    <s v="pc"/>
    <m/>
    <m/>
    <m/>
    <m/>
    <n v="1"/>
    <s v="2nd week"/>
    <m/>
    <m/>
    <m/>
    <m/>
    <m/>
    <m/>
    <m/>
    <m/>
    <m/>
    <m/>
    <m/>
    <m/>
    <m/>
    <x v="66"/>
    <x v="5"/>
    <m/>
    <m/>
  </r>
  <r>
    <s v="Toner Kit for KYOCERA (TK-3165)"/>
    <n v="8"/>
    <s v="pc"/>
    <m/>
    <m/>
    <m/>
    <m/>
    <n v="3"/>
    <s v="2nd week"/>
    <m/>
    <m/>
    <n v="3"/>
    <s v="2nd week"/>
    <m/>
    <m/>
    <n v="1"/>
    <s v="2nd week"/>
    <m/>
    <m/>
    <n v="1"/>
    <s v="2nd week"/>
    <m/>
    <x v="66"/>
    <x v="5"/>
    <m/>
    <m/>
  </r>
  <r>
    <s v="A3 Full-Colour Digital Copier, Full-Colour Network Printer,&amp; Full-Colour Network Scanner"/>
    <n v="1"/>
    <s v="pc"/>
    <m/>
    <m/>
    <m/>
    <n v="1"/>
    <n v="1"/>
    <m/>
    <m/>
    <m/>
    <m/>
    <m/>
    <m/>
    <m/>
    <m/>
    <m/>
    <m/>
    <m/>
    <m/>
    <m/>
    <m/>
    <x v="67"/>
    <x v="88"/>
    <m/>
    <m/>
  </r>
  <r>
    <s v="Laptop"/>
    <n v="1"/>
    <s v="pc"/>
    <m/>
    <m/>
    <m/>
    <m/>
    <m/>
    <m/>
    <m/>
    <m/>
    <m/>
    <m/>
    <m/>
    <m/>
    <m/>
    <m/>
    <m/>
    <m/>
    <m/>
    <m/>
    <m/>
    <x v="16"/>
    <x v="40"/>
    <m/>
    <m/>
  </r>
  <r>
    <s v="Branded Desktop Set"/>
    <n v="6"/>
    <s v="set"/>
    <m/>
    <m/>
    <m/>
    <m/>
    <m/>
    <m/>
    <m/>
    <m/>
    <m/>
    <m/>
    <m/>
    <m/>
    <m/>
    <m/>
    <m/>
    <m/>
    <m/>
    <m/>
    <m/>
    <x v="16"/>
    <x v="89"/>
    <m/>
    <m/>
  </r>
  <r>
    <s v="Printer, Multi Function (Print/Scan/Copy)"/>
    <n v="3"/>
    <s v="pc"/>
    <m/>
    <m/>
    <m/>
    <m/>
    <m/>
    <m/>
    <m/>
    <m/>
    <m/>
    <m/>
    <m/>
    <m/>
    <m/>
    <m/>
    <m/>
    <m/>
    <m/>
    <m/>
    <m/>
    <x v="16"/>
    <x v="15"/>
    <m/>
    <m/>
  </r>
  <r>
    <s v="UPS, 625va, 325 Watts"/>
    <n v="4"/>
    <s v="pc"/>
    <m/>
    <m/>
    <m/>
    <m/>
    <m/>
    <m/>
    <m/>
    <m/>
    <m/>
    <m/>
    <m/>
    <m/>
    <m/>
    <m/>
    <m/>
    <m/>
    <m/>
    <m/>
    <m/>
    <x v="16"/>
    <x v="3"/>
    <m/>
    <m/>
  </r>
  <r>
    <s v="LCD Projector"/>
    <n v="1"/>
    <s v="UNIT"/>
    <m/>
    <m/>
    <m/>
    <m/>
    <m/>
    <m/>
    <m/>
    <m/>
    <m/>
    <m/>
    <m/>
    <m/>
    <m/>
    <m/>
    <m/>
    <m/>
    <m/>
    <m/>
    <m/>
    <x v="16"/>
    <x v="64"/>
    <m/>
    <m/>
  </r>
  <r>
    <s v="Speakers with mic"/>
    <m/>
    <m/>
    <m/>
    <m/>
    <m/>
    <m/>
    <m/>
    <m/>
    <m/>
    <m/>
    <m/>
    <m/>
    <m/>
    <m/>
    <m/>
    <m/>
    <m/>
    <m/>
    <m/>
    <m/>
    <m/>
    <x v="16"/>
    <x v="5"/>
    <s v="N/A"/>
    <m/>
  </r>
  <r>
    <s v="Hard drive 2TB"/>
    <n v="2"/>
    <s v="pc"/>
    <m/>
    <m/>
    <m/>
    <m/>
    <m/>
    <m/>
    <m/>
    <m/>
    <m/>
    <m/>
    <m/>
    <m/>
    <m/>
    <m/>
    <m/>
    <m/>
    <m/>
    <m/>
    <m/>
    <x v="16"/>
    <x v="39"/>
    <m/>
    <m/>
  </r>
  <r>
    <s v="Epson Ink Compatible with L3210, Black"/>
    <n v="16"/>
    <s v="bot"/>
    <m/>
    <m/>
    <m/>
    <m/>
    <m/>
    <m/>
    <m/>
    <m/>
    <m/>
    <m/>
    <m/>
    <m/>
    <m/>
    <m/>
    <m/>
    <m/>
    <m/>
    <m/>
    <m/>
    <x v="16"/>
    <x v="26"/>
    <m/>
    <m/>
  </r>
  <r>
    <s v="Epson Ink Compatible with L3210, Yellow"/>
    <n v="7"/>
    <s v="bot"/>
    <m/>
    <m/>
    <m/>
    <m/>
    <m/>
    <m/>
    <m/>
    <m/>
    <m/>
    <m/>
    <m/>
    <m/>
    <m/>
    <m/>
    <m/>
    <m/>
    <m/>
    <m/>
    <m/>
    <x v="16"/>
    <x v="27"/>
    <m/>
    <m/>
  </r>
  <r>
    <s v="Epson Ink Compatible with L3210, Magenta"/>
    <n v="7"/>
    <s v="bot"/>
    <m/>
    <m/>
    <m/>
    <m/>
    <m/>
    <m/>
    <m/>
    <m/>
    <m/>
    <m/>
    <m/>
    <m/>
    <m/>
    <m/>
    <m/>
    <m/>
    <m/>
    <m/>
    <m/>
    <x v="16"/>
    <x v="28"/>
    <m/>
    <m/>
  </r>
  <r>
    <s v="Epson Ink Compatible with L3210, Cyan"/>
    <n v="7"/>
    <s v="bot"/>
    <m/>
    <m/>
    <m/>
    <m/>
    <m/>
    <m/>
    <m/>
    <m/>
    <m/>
    <m/>
    <m/>
    <m/>
    <m/>
    <m/>
    <m/>
    <m/>
    <m/>
    <m/>
    <m/>
    <x v="16"/>
    <x v="29"/>
    <m/>
    <m/>
  </r>
  <r>
    <s v="1Gbps Internet Subscription (Leased Line)"/>
    <n v="1"/>
    <s v="lot"/>
    <m/>
    <m/>
    <m/>
    <m/>
    <m/>
    <m/>
    <m/>
    <m/>
    <m/>
    <m/>
    <m/>
    <m/>
    <m/>
    <m/>
    <m/>
    <m/>
    <m/>
    <m/>
    <m/>
    <x v="68"/>
    <x v="90"/>
    <m/>
    <m/>
  </r>
  <r>
    <s v="Branded Desktop Computer Set"/>
    <n v="5"/>
    <s v="set"/>
    <m/>
    <m/>
    <m/>
    <m/>
    <m/>
    <m/>
    <m/>
    <m/>
    <m/>
    <m/>
    <m/>
    <m/>
    <m/>
    <m/>
    <m/>
    <m/>
    <m/>
    <m/>
    <m/>
    <x v="68"/>
    <x v="0"/>
    <m/>
    <m/>
  </r>
  <r>
    <s v="Core Stackable Managed Switch with 20x10G SFP+ Module for Multimode fiber compatible with the existing CBS350-24XS"/>
    <n v="2"/>
    <s v="lot"/>
    <m/>
    <m/>
    <m/>
    <m/>
    <m/>
    <m/>
    <m/>
    <m/>
    <m/>
    <m/>
    <m/>
    <m/>
    <m/>
    <m/>
    <m/>
    <m/>
    <m/>
    <m/>
    <m/>
    <x v="68"/>
    <x v="91"/>
    <m/>
    <m/>
  </r>
  <r>
    <s v="Distribution Stackable Managed Switch with 4x10G SFP+ Module for Multimode fiber compatible with the existing CBS350-24FP-4X"/>
    <n v="6"/>
    <s v="lot"/>
    <m/>
    <m/>
    <m/>
    <m/>
    <m/>
    <m/>
    <m/>
    <m/>
    <m/>
    <m/>
    <m/>
    <m/>
    <m/>
    <m/>
    <m/>
    <m/>
    <m/>
    <m/>
    <m/>
    <x v="68"/>
    <x v="92"/>
    <m/>
    <m/>
  </r>
  <r>
    <s v="Fortinet Firewall Annual Subscription, Website Hosting &amp; SMS, Google, ZOOM Subscription, Software as a service (SaaS)"/>
    <n v="1"/>
    <s v="lot"/>
    <m/>
    <m/>
    <m/>
    <m/>
    <m/>
    <m/>
    <m/>
    <m/>
    <m/>
    <m/>
    <m/>
    <m/>
    <m/>
    <m/>
    <m/>
    <m/>
    <m/>
    <m/>
    <m/>
    <x v="68"/>
    <x v="93"/>
    <m/>
    <m/>
  </r>
  <r>
    <s v="Fortinet Firewall with Annual Subscription and 4x10G SFP+ transceiver module compatible with the existing FortiGATE-601E for HA configuration and deployment."/>
    <n v="1"/>
    <s v="lot"/>
    <m/>
    <m/>
    <m/>
    <m/>
    <m/>
    <m/>
    <m/>
    <m/>
    <m/>
    <m/>
    <m/>
    <m/>
    <m/>
    <m/>
    <m/>
    <m/>
    <m/>
    <m/>
    <m/>
    <x v="68"/>
    <x v="94"/>
    <m/>
    <m/>
  </r>
  <r>
    <s v="Maintenance and Upgrade of Desktop, Laptop, Server, DOH/DICT Cybersecurity Equipment compliance, Copier, Printer, Network, PABX, CCTV and Paging System"/>
    <n v="1"/>
    <s v="lot"/>
    <m/>
    <m/>
    <m/>
    <m/>
    <m/>
    <m/>
    <m/>
    <m/>
    <m/>
    <m/>
    <m/>
    <m/>
    <m/>
    <m/>
    <m/>
    <m/>
    <m/>
    <m/>
    <m/>
    <x v="68"/>
    <x v="95"/>
    <m/>
    <m/>
  </r>
  <r>
    <s v="Multimedia Controller"/>
    <n v="1"/>
    <s v="set"/>
    <m/>
    <m/>
    <m/>
    <m/>
    <m/>
    <m/>
    <m/>
    <m/>
    <m/>
    <m/>
    <m/>
    <m/>
    <m/>
    <m/>
    <m/>
    <m/>
    <m/>
    <m/>
    <m/>
    <x v="68"/>
    <x v="96"/>
    <m/>
    <m/>
  </r>
  <r>
    <s v="Smart Phone Bill for Telemedicine"/>
    <n v="1"/>
    <s v="lot"/>
    <m/>
    <m/>
    <m/>
    <m/>
    <m/>
    <m/>
    <m/>
    <m/>
    <m/>
    <m/>
    <m/>
    <m/>
    <m/>
    <m/>
    <m/>
    <m/>
    <m/>
    <m/>
    <m/>
    <x v="68"/>
    <x v="97"/>
    <m/>
    <m/>
  </r>
  <r>
    <s v="1.5M Gigabit Cat6 Ethernet Patch Cable with RJ45 CAT6 High Quality"/>
    <n v="100"/>
    <s v="pc"/>
    <m/>
    <m/>
    <m/>
    <m/>
    <m/>
    <m/>
    <m/>
    <m/>
    <m/>
    <m/>
    <m/>
    <m/>
    <m/>
    <m/>
    <m/>
    <m/>
    <m/>
    <m/>
    <m/>
    <x v="68"/>
    <x v="98"/>
    <m/>
    <m/>
  </r>
  <r>
    <s v="10 GE SFP+ transceiver module compatible with the existing FortiGATE-601E Firewall"/>
    <n v="4"/>
    <s v="pc"/>
    <m/>
    <m/>
    <m/>
    <m/>
    <m/>
    <m/>
    <m/>
    <m/>
    <m/>
    <m/>
    <m/>
    <m/>
    <m/>
    <m/>
    <m/>
    <m/>
    <m/>
    <m/>
    <m/>
    <x v="68"/>
    <x v="99"/>
    <m/>
    <m/>
  </r>
  <r>
    <s v="10M Gigabit Cat6 Ethernet Patch Cable with RJ45 CAT6 High Quality"/>
    <n v="50"/>
    <s v="pc"/>
    <m/>
    <m/>
    <m/>
    <m/>
    <m/>
    <m/>
    <m/>
    <m/>
    <m/>
    <m/>
    <m/>
    <m/>
    <m/>
    <m/>
    <m/>
    <m/>
    <m/>
    <m/>
    <m/>
    <x v="68"/>
    <x v="100"/>
    <m/>
    <m/>
  </r>
  <r>
    <s v="10TB Surveillance Hard Drive SATA"/>
    <n v="10"/>
    <s v="pc"/>
    <m/>
    <m/>
    <m/>
    <m/>
    <m/>
    <m/>
    <m/>
    <m/>
    <m/>
    <m/>
    <m/>
    <m/>
    <m/>
    <m/>
    <m/>
    <m/>
    <m/>
    <m/>
    <m/>
    <x v="68"/>
    <x v="101"/>
    <m/>
    <m/>
  </r>
  <r>
    <s v="15M Gigabit Cat6 Ethernet Patch Cable with RJ45 CAT6 High Quality"/>
    <n v="20"/>
    <s v="pc"/>
    <m/>
    <m/>
    <m/>
    <m/>
    <m/>
    <m/>
    <m/>
    <m/>
    <m/>
    <m/>
    <m/>
    <m/>
    <m/>
    <m/>
    <m/>
    <m/>
    <m/>
    <m/>
    <m/>
    <x v="68"/>
    <x v="102"/>
    <m/>
    <m/>
  </r>
  <r>
    <s v="19 inches Universal PDU 6 outlets with surge protection SPD module"/>
    <n v="20"/>
    <s v="pc"/>
    <m/>
    <m/>
    <m/>
    <m/>
    <m/>
    <m/>
    <m/>
    <m/>
    <m/>
    <m/>
    <m/>
    <m/>
    <m/>
    <m/>
    <m/>
    <m/>
    <m/>
    <m/>
    <m/>
    <x v="68"/>
    <x v="103"/>
    <m/>
    <m/>
  </r>
  <r>
    <s v="1TB Portable SSD"/>
    <n v="10"/>
    <s v="pc"/>
    <m/>
    <m/>
    <m/>
    <m/>
    <m/>
    <m/>
    <m/>
    <m/>
    <m/>
    <m/>
    <m/>
    <m/>
    <m/>
    <m/>
    <m/>
    <m/>
    <m/>
    <m/>
    <m/>
    <x v="68"/>
    <x v="38"/>
    <m/>
    <m/>
  </r>
  <r>
    <s v="2 port Wall Faceplate With Mounting Junction Box "/>
    <n v="100"/>
    <s v="set"/>
    <m/>
    <m/>
    <m/>
    <m/>
    <m/>
    <m/>
    <m/>
    <m/>
    <m/>
    <m/>
    <m/>
    <m/>
    <m/>
    <m/>
    <m/>
    <m/>
    <m/>
    <m/>
    <m/>
    <x v="68"/>
    <x v="104"/>
    <m/>
    <m/>
  </r>
  <r>
    <s v="2.5 &amp; 3.5 Inch SATA2.0 USB3.0 1 to 3 Clone External Hard Drive Dock"/>
    <n v="1"/>
    <s v="pc"/>
    <m/>
    <m/>
    <m/>
    <m/>
    <m/>
    <m/>
    <m/>
    <m/>
    <m/>
    <m/>
    <m/>
    <m/>
    <m/>
    <m/>
    <m/>
    <m/>
    <m/>
    <m/>
    <m/>
    <x v="68"/>
    <x v="105"/>
    <m/>
    <m/>
  </r>
  <r>
    <s v="20M Gigabit Cat6 Ethernet Patch Cable with RJ45 CAT6 High Quality"/>
    <n v="20"/>
    <s v="pc"/>
    <m/>
    <m/>
    <m/>
    <m/>
    <m/>
    <m/>
    <m/>
    <m/>
    <m/>
    <m/>
    <m/>
    <m/>
    <m/>
    <m/>
    <m/>
    <m/>
    <m/>
    <m/>
    <m/>
    <x v="68"/>
    <x v="106"/>
    <m/>
    <m/>
  </r>
  <r>
    <s v="21.5&quot; FHD LED Monitor"/>
    <n v="6"/>
    <s v="pc"/>
    <m/>
    <m/>
    <m/>
    <m/>
    <m/>
    <m/>
    <m/>
    <m/>
    <m/>
    <m/>
    <m/>
    <m/>
    <m/>
    <m/>
    <m/>
    <m/>
    <m/>
    <m/>
    <m/>
    <x v="68"/>
    <x v="87"/>
    <m/>
    <m/>
  </r>
  <r>
    <s v="27inch Curved Monitor"/>
    <n v="5"/>
    <s v="pc"/>
    <m/>
    <m/>
    <m/>
    <m/>
    <m/>
    <m/>
    <m/>
    <m/>
    <m/>
    <m/>
    <m/>
    <m/>
    <m/>
    <m/>
    <m/>
    <m/>
    <m/>
    <m/>
    <m/>
    <x v="68"/>
    <x v="107"/>
    <m/>
    <m/>
  </r>
  <r>
    <s v="30M Gigabit Cat6 Ethernet Patch Cable with RJ45 CAT6 High Quality"/>
    <n v="20"/>
    <s v="pc"/>
    <m/>
    <m/>
    <m/>
    <m/>
    <m/>
    <m/>
    <m/>
    <m/>
    <m/>
    <m/>
    <m/>
    <m/>
    <m/>
    <m/>
    <m/>
    <m/>
    <m/>
    <m/>
    <m/>
    <x v="68"/>
    <x v="108"/>
    <m/>
    <m/>
  </r>
  <r>
    <s v="3M Gigabit Cat6 Ethernet Patch Cable with RJ45 CAT6 High Quality"/>
    <n v="70"/>
    <s v="pc"/>
    <m/>
    <m/>
    <m/>
    <m/>
    <m/>
    <m/>
    <m/>
    <m/>
    <m/>
    <m/>
    <m/>
    <m/>
    <m/>
    <m/>
    <m/>
    <m/>
    <m/>
    <m/>
    <m/>
    <x v="68"/>
    <x v="109"/>
    <m/>
    <m/>
  </r>
  <r>
    <s v="42U Server Data Rack"/>
    <n v="2"/>
    <s v="pc"/>
    <m/>
    <m/>
    <m/>
    <m/>
    <m/>
    <m/>
    <m/>
    <m/>
    <m/>
    <m/>
    <m/>
    <m/>
    <m/>
    <m/>
    <m/>
    <m/>
    <m/>
    <m/>
    <m/>
    <x v="68"/>
    <x v="110"/>
    <m/>
    <m/>
  </r>
  <r>
    <s v="480GB 2.5&quot; Internal SSD"/>
    <n v="100"/>
    <s v="pc"/>
    <m/>
    <m/>
    <m/>
    <m/>
    <m/>
    <m/>
    <m/>
    <m/>
    <m/>
    <m/>
    <m/>
    <m/>
    <m/>
    <m/>
    <m/>
    <m/>
    <m/>
    <m/>
    <m/>
    <x v="68"/>
    <x v="111"/>
    <m/>
    <m/>
  </r>
  <r>
    <s v="4U 4-Layer Data Cabinet Wallmounted Data Cabinet"/>
    <n v="20"/>
    <s v="set"/>
    <m/>
    <m/>
    <m/>
    <m/>
    <m/>
    <m/>
    <m/>
    <m/>
    <m/>
    <m/>
    <m/>
    <m/>
    <m/>
    <m/>
    <m/>
    <m/>
    <m/>
    <m/>
    <m/>
    <x v="68"/>
    <x v="112"/>
    <m/>
    <m/>
  </r>
  <r>
    <s v="550 Watt 80 Plus Bronze Certified PSU ATX "/>
    <n v="12"/>
    <s v="pc"/>
    <m/>
    <m/>
    <m/>
    <m/>
    <m/>
    <m/>
    <m/>
    <m/>
    <m/>
    <m/>
    <m/>
    <m/>
    <m/>
    <m/>
    <m/>
    <m/>
    <m/>
    <m/>
    <m/>
    <x v="68"/>
    <x v="113"/>
    <m/>
    <m/>
  </r>
  <r>
    <s v="5M Gigabit Cat6 Ethernet Patch Cable with RJ45 CAT6 High Quality"/>
    <n v="50"/>
    <s v="pc"/>
    <m/>
    <m/>
    <m/>
    <m/>
    <m/>
    <m/>
    <m/>
    <m/>
    <m/>
    <m/>
    <m/>
    <m/>
    <m/>
    <m/>
    <m/>
    <m/>
    <m/>
    <m/>
    <m/>
    <x v="68"/>
    <x v="114"/>
    <m/>
    <m/>
  </r>
  <r>
    <s v="7.0 Ah Replacement Battery (For UPS)"/>
    <n v="200"/>
    <s v="pc"/>
    <m/>
    <m/>
    <m/>
    <m/>
    <m/>
    <m/>
    <m/>
    <m/>
    <m/>
    <m/>
    <m/>
    <m/>
    <m/>
    <m/>
    <m/>
    <m/>
    <m/>
    <m/>
    <m/>
    <x v="68"/>
    <x v="115"/>
    <m/>
    <m/>
  </r>
  <r>
    <s v="8 Port Gigabit Network Switch with 4-Port PoE+"/>
    <n v="40"/>
    <s v="pc"/>
    <m/>
    <m/>
    <m/>
    <m/>
    <m/>
    <m/>
    <m/>
    <m/>
    <m/>
    <m/>
    <m/>
    <m/>
    <m/>
    <m/>
    <m/>
    <m/>
    <m/>
    <m/>
    <m/>
    <x v="68"/>
    <x v="116"/>
    <m/>
    <m/>
  </r>
  <r>
    <s v="8-Port Gigabit L2 Managed Switch with 2 SFP Slots"/>
    <n v="24"/>
    <s v="pc"/>
    <m/>
    <m/>
    <m/>
    <m/>
    <m/>
    <m/>
    <m/>
    <m/>
    <m/>
    <m/>
    <m/>
    <m/>
    <m/>
    <m/>
    <m/>
    <m/>
    <m/>
    <m/>
    <m/>
    <x v="68"/>
    <x v="117"/>
    <m/>
    <m/>
  </r>
  <r>
    <s v="Aluminum Step Ladder, FT-4 (4 Steps)"/>
    <n v="1"/>
    <s v="pc"/>
    <m/>
    <m/>
    <m/>
    <m/>
    <m/>
    <m/>
    <m/>
    <m/>
    <m/>
    <m/>
    <m/>
    <m/>
    <m/>
    <m/>
    <m/>
    <m/>
    <m/>
    <m/>
    <m/>
    <x v="68"/>
    <x v="118"/>
    <m/>
    <m/>
  </r>
  <r>
    <s v="Aluminum Step Ladder, FT-6 (6 Steps)"/>
    <n v="2"/>
    <s v="pc"/>
    <m/>
    <m/>
    <m/>
    <m/>
    <m/>
    <m/>
    <m/>
    <m/>
    <m/>
    <m/>
    <m/>
    <m/>
    <m/>
    <m/>
    <m/>
    <m/>
    <m/>
    <m/>
    <m/>
    <x v="68"/>
    <x v="119"/>
    <m/>
    <m/>
  </r>
  <r>
    <s v="Aluminum Step Ladder, FT-7 (7 Steps)"/>
    <n v="2"/>
    <s v="pc"/>
    <m/>
    <m/>
    <m/>
    <m/>
    <m/>
    <m/>
    <m/>
    <m/>
    <m/>
    <m/>
    <m/>
    <m/>
    <m/>
    <m/>
    <m/>
    <m/>
    <m/>
    <m/>
    <m/>
    <x v="68"/>
    <x v="120"/>
    <m/>
    <m/>
  </r>
  <r>
    <s v="BATTERY 9V"/>
    <n v="60"/>
    <s v="pc"/>
    <m/>
    <m/>
    <m/>
    <m/>
    <m/>
    <m/>
    <m/>
    <m/>
    <m/>
    <m/>
    <m/>
    <m/>
    <m/>
    <m/>
    <m/>
    <m/>
    <m/>
    <m/>
    <m/>
    <x v="68"/>
    <x v="121"/>
    <m/>
    <m/>
  </r>
  <r>
    <s v="BATTERY AA 2S (2pcs/pack)"/>
    <n v="100"/>
    <s v="Pack"/>
    <m/>
    <m/>
    <m/>
    <m/>
    <m/>
    <m/>
    <m/>
    <m/>
    <m/>
    <m/>
    <m/>
    <m/>
    <m/>
    <m/>
    <m/>
    <m/>
    <m/>
    <m/>
    <m/>
    <x v="68"/>
    <x v="122"/>
    <m/>
    <m/>
  </r>
  <r>
    <s v="BATTERY AAA 4S (2pcs/pack)"/>
    <n v="60"/>
    <s v="Pack"/>
    <m/>
    <m/>
    <m/>
    <m/>
    <m/>
    <m/>
    <m/>
    <m/>
    <m/>
    <m/>
    <m/>
    <m/>
    <m/>
    <m/>
    <m/>
    <m/>
    <m/>
    <m/>
    <m/>
    <x v="68"/>
    <x v="123"/>
    <m/>
    <m/>
  </r>
  <r>
    <s v="Black &amp; White LASER NETWORK PRINTER with DUPLEX PRINTING"/>
    <n v="1"/>
    <s v="set"/>
    <m/>
    <m/>
    <m/>
    <m/>
    <m/>
    <m/>
    <m/>
    <m/>
    <m/>
    <m/>
    <m/>
    <m/>
    <m/>
    <m/>
    <m/>
    <m/>
    <m/>
    <m/>
    <m/>
    <x v="68"/>
    <x v="124"/>
    <m/>
    <m/>
  </r>
  <r>
    <s v="Black Nylon Cable Tie 2.5 x 100mm 100pcs/pack "/>
    <n v="50"/>
    <s v="Pack"/>
    <m/>
    <m/>
    <m/>
    <m/>
    <m/>
    <m/>
    <m/>
    <m/>
    <m/>
    <m/>
    <m/>
    <m/>
    <m/>
    <m/>
    <m/>
    <m/>
    <m/>
    <m/>
    <m/>
    <x v="68"/>
    <x v="125"/>
    <m/>
    <m/>
  </r>
  <r>
    <s v="Black Nylon Cable Tie 2.5 x 140mm 100pcs/pack "/>
    <n v="50"/>
    <s v="Pack"/>
    <m/>
    <m/>
    <m/>
    <m/>
    <m/>
    <m/>
    <m/>
    <m/>
    <m/>
    <m/>
    <m/>
    <m/>
    <m/>
    <m/>
    <m/>
    <m/>
    <m/>
    <m/>
    <m/>
    <x v="68"/>
    <x v="126"/>
    <m/>
    <m/>
  </r>
  <r>
    <s v="Black Nylon Cable Tie 3.6 x 140mm 100pcs/pack "/>
    <n v="40"/>
    <s v="Pack"/>
    <m/>
    <m/>
    <m/>
    <m/>
    <m/>
    <m/>
    <m/>
    <m/>
    <m/>
    <m/>
    <m/>
    <m/>
    <m/>
    <m/>
    <m/>
    <m/>
    <m/>
    <m/>
    <m/>
    <x v="68"/>
    <x v="127"/>
    <m/>
    <m/>
  </r>
  <r>
    <s v="Black Nylon Cable Tie 3.6 x 200mm 100pcs/pack "/>
    <n v="40"/>
    <s v="Pack"/>
    <m/>
    <m/>
    <m/>
    <m/>
    <m/>
    <m/>
    <m/>
    <m/>
    <m/>
    <m/>
    <m/>
    <m/>
    <m/>
    <m/>
    <m/>
    <m/>
    <m/>
    <m/>
    <m/>
    <x v="68"/>
    <x v="128"/>
    <m/>
    <m/>
  </r>
  <r>
    <s v="Black Nylon Cable Tie 3.6 x 300mm 100pcs/pack "/>
    <n v="30"/>
    <s v="Pack"/>
    <m/>
    <m/>
    <m/>
    <m/>
    <m/>
    <m/>
    <m/>
    <m/>
    <m/>
    <m/>
    <m/>
    <m/>
    <m/>
    <m/>
    <m/>
    <m/>
    <m/>
    <m/>
    <m/>
    <x v="68"/>
    <x v="129"/>
    <m/>
    <m/>
  </r>
  <r>
    <s v="Black Nylon Cable Tie 4.8 x 200mm 100pcs/pack "/>
    <n v="30"/>
    <s v="Pack"/>
    <m/>
    <m/>
    <m/>
    <m/>
    <m/>
    <m/>
    <m/>
    <m/>
    <m/>
    <m/>
    <m/>
    <m/>
    <m/>
    <m/>
    <m/>
    <m/>
    <m/>
    <m/>
    <m/>
    <x v="68"/>
    <x v="130"/>
    <m/>
    <m/>
  </r>
  <r>
    <s v="Black Nylon Cable Tie 4.8 x 250mm 100pcs/pack "/>
    <n v="10"/>
    <s v="Pack"/>
    <m/>
    <m/>
    <m/>
    <m/>
    <m/>
    <m/>
    <m/>
    <m/>
    <m/>
    <m/>
    <m/>
    <m/>
    <m/>
    <m/>
    <m/>
    <m/>
    <m/>
    <m/>
    <m/>
    <x v="68"/>
    <x v="131"/>
    <m/>
    <m/>
  </r>
  <r>
    <s v="Black Nylon Cable Tie 4.8 x 300mm 100pcs/pack "/>
    <n v="10"/>
    <s v="Pack"/>
    <m/>
    <m/>
    <m/>
    <m/>
    <m/>
    <m/>
    <m/>
    <m/>
    <m/>
    <m/>
    <m/>
    <m/>
    <m/>
    <m/>
    <m/>
    <m/>
    <m/>
    <m/>
    <m/>
    <x v="68"/>
    <x v="132"/>
    <m/>
    <m/>
  </r>
  <r>
    <s v="Black Nylon Cable Tie 4.8 x 400mm 100pcs/pack "/>
    <n v="10"/>
    <s v="Pack"/>
    <m/>
    <m/>
    <m/>
    <m/>
    <m/>
    <m/>
    <m/>
    <m/>
    <m/>
    <m/>
    <m/>
    <m/>
    <m/>
    <m/>
    <m/>
    <m/>
    <m/>
    <m/>
    <m/>
    <x v="68"/>
    <x v="133"/>
    <m/>
    <m/>
  </r>
  <r>
    <s v="Bolt Expansion Sleeve Anchor Concrete 1/4&quot;"/>
    <n v="50"/>
    <s v="pc"/>
    <m/>
    <m/>
    <m/>
    <m/>
    <m/>
    <m/>
    <m/>
    <m/>
    <m/>
    <m/>
    <m/>
    <m/>
    <m/>
    <m/>
    <m/>
    <m/>
    <m/>
    <m/>
    <m/>
    <x v="68"/>
    <x v="134"/>
    <m/>
    <m/>
  </r>
  <r>
    <s v="Bolt Expansion Sleeve Anchor Concrete 5/16&quot;"/>
    <n v="50"/>
    <s v="pc"/>
    <m/>
    <m/>
    <m/>
    <m/>
    <m/>
    <m/>
    <m/>
    <m/>
    <m/>
    <m/>
    <m/>
    <m/>
    <m/>
    <m/>
    <m/>
    <m/>
    <m/>
    <m/>
    <m/>
    <x v="68"/>
    <x v="135"/>
    <m/>
    <m/>
  </r>
  <r>
    <s v="CAT 6 Cable, U/UTP, Indoor 305 meters"/>
    <n v="12"/>
    <s v="box"/>
    <m/>
    <m/>
    <m/>
    <m/>
    <m/>
    <m/>
    <m/>
    <m/>
    <m/>
    <m/>
    <m/>
    <m/>
    <m/>
    <m/>
    <m/>
    <m/>
    <m/>
    <m/>
    <m/>
    <x v="68"/>
    <x v="136"/>
    <m/>
    <m/>
  </r>
  <r>
    <s v="CAT6 Cable, UTP, OUTDOOR 305 meters (Pure Copper)"/>
    <n v="10"/>
    <s v="box"/>
    <m/>
    <m/>
    <m/>
    <m/>
    <m/>
    <m/>
    <m/>
    <m/>
    <m/>
    <m/>
    <m/>
    <m/>
    <m/>
    <m/>
    <m/>
    <m/>
    <m/>
    <m/>
    <m/>
    <x v="68"/>
    <x v="137"/>
    <m/>
    <m/>
  </r>
  <r>
    <s v="CAT6/CAT5e Tool-Less Keystone Jack; High Quality"/>
    <n v="300"/>
    <s v="pc"/>
    <m/>
    <m/>
    <m/>
    <m/>
    <m/>
    <m/>
    <m/>
    <m/>
    <m/>
    <m/>
    <m/>
    <m/>
    <m/>
    <m/>
    <m/>
    <m/>
    <m/>
    <m/>
    <m/>
    <x v="68"/>
    <x v="138"/>
    <m/>
    <m/>
  </r>
  <r>
    <s v="CCTV Outdoor Junction Box 100x100x70mm"/>
    <n v="50"/>
    <s v="pc"/>
    <m/>
    <m/>
    <m/>
    <m/>
    <m/>
    <m/>
    <m/>
    <m/>
    <m/>
    <m/>
    <m/>
    <m/>
    <m/>
    <m/>
    <m/>
    <m/>
    <m/>
    <m/>
    <m/>
    <x v="68"/>
    <x v="139"/>
    <m/>
    <m/>
  </r>
  <r>
    <s v="Collapsible Hand Truck"/>
    <n v="2"/>
    <s v="pc"/>
    <m/>
    <m/>
    <m/>
    <m/>
    <m/>
    <m/>
    <m/>
    <m/>
    <m/>
    <m/>
    <m/>
    <m/>
    <m/>
    <m/>
    <m/>
    <m/>
    <m/>
    <m/>
    <m/>
    <x v="68"/>
    <x v="140"/>
    <m/>
    <m/>
  </r>
  <r>
    <s v="Colored Toner Cartridge Set for the existing ECOSYS M5521CDW"/>
    <n v="4"/>
    <s v="set"/>
    <m/>
    <m/>
    <m/>
    <m/>
    <m/>
    <m/>
    <m/>
    <m/>
    <m/>
    <m/>
    <m/>
    <m/>
    <m/>
    <m/>
    <m/>
    <m/>
    <m/>
    <m/>
    <m/>
    <x v="68"/>
    <x v="12"/>
    <m/>
    <m/>
  </r>
  <r>
    <s v="Cordless Blower 18V"/>
    <n v="1"/>
    <s v="set"/>
    <m/>
    <m/>
    <m/>
    <m/>
    <m/>
    <m/>
    <m/>
    <m/>
    <m/>
    <m/>
    <m/>
    <m/>
    <m/>
    <m/>
    <m/>
    <m/>
    <m/>
    <m/>
    <m/>
    <x v="68"/>
    <x v="141"/>
    <m/>
    <m/>
  </r>
  <r>
    <s v="Cordless Screwdriver Kit Set"/>
    <n v="2"/>
    <s v="set"/>
    <m/>
    <m/>
    <m/>
    <m/>
    <m/>
    <m/>
    <m/>
    <m/>
    <m/>
    <m/>
    <m/>
    <m/>
    <m/>
    <m/>
    <m/>
    <m/>
    <m/>
    <m/>
    <m/>
    <x v="68"/>
    <x v="142"/>
    <m/>
    <m/>
  </r>
  <r>
    <s v="Epson L Series Pickup Roller / feeder"/>
    <n v="20"/>
    <s v="pc"/>
    <m/>
    <m/>
    <m/>
    <m/>
    <m/>
    <m/>
    <m/>
    <m/>
    <m/>
    <m/>
    <m/>
    <m/>
    <m/>
    <m/>
    <m/>
    <m/>
    <m/>
    <m/>
    <m/>
    <x v="68"/>
    <x v="143"/>
    <m/>
    <m/>
  </r>
  <r>
    <s v="Ergonomic Chair Design Metal Base"/>
    <n v="15"/>
    <s v="pc"/>
    <m/>
    <m/>
    <m/>
    <m/>
    <m/>
    <m/>
    <m/>
    <m/>
    <m/>
    <m/>
    <m/>
    <m/>
    <m/>
    <m/>
    <m/>
    <m/>
    <m/>
    <m/>
    <m/>
    <x v="68"/>
    <x v="144"/>
    <m/>
    <m/>
  </r>
  <r>
    <s v="Extreme Instant Glue Gel 3g"/>
    <n v="24"/>
    <s v="pc"/>
    <m/>
    <m/>
    <m/>
    <m/>
    <m/>
    <m/>
    <m/>
    <m/>
    <m/>
    <m/>
    <m/>
    <m/>
    <m/>
    <m/>
    <m/>
    <m/>
    <m/>
    <m/>
    <m/>
    <x v="68"/>
    <x v="145"/>
    <m/>
    <m/>
  </r>
  <r>
    <s v="Fiberglass Extension Ladder, (8-13 ft)"/>
    <n v="1"/>
    <s v="pc"/>
    <m/>
    <m/>
    <m/>
    <m/>
    <m/>
    <m/>
    <m/>
    <m/>
    <m/>
    <m/>
    <m/>
    <m/>
    <m/>
    <m/>
    <m/>
    <m/>
    <m/>
    <m/>
    <m/>
    <x v="68"/>
    <x v="146"/>
    <m/>
    <m/>
  </r>
  <r>
    <s v="Flex cable set compatible for printer"/>
    <n v="5"/>
    <s v="set"/>
    <m/>
    <m/>
    <m/>
    <m/>
    <m/>
    <m/>
    <m/>
    <m/>
    <m/>
    <m/>
    <m/>
    <m/>
    <m/>
    <m/>
    <m/>
    <m/>
    <m/>
    <m/>
    <m/>
    <x v="68"/>
    <x v="147"/>
    <m/>
    <m/>
  </r>
  <r>
    <s v="Foldable Platform Truck, 300kgs (Steel)"/>
    <n v="1"/>
    <s v="pc"/>
    <m/>
    <m/>
    <m/>
    <m/>
    <m/>
    <m/>
    <m/>
    <m/>
    <m/>
    <m/>
    <m/>
    <m/>
    <m/>
    <m/>
    <m/>
    <m/>
    <m/>
    <m/>
    <m/>
    <x v="68"/>
    <x v="148"/>
    <m/>
    <m/>
  </r>
  <r>
    <s v="Gigabit PCI Express Network Adapter"/>
    <n v="12"/>
    <s v="pc"/>
    <m/>
    <m/>
    <m/>
    <m/>
    <m/>
    <m/>
    <m/>
    <m/>
    <m/>
    <m/>
    <m/>
    <m/>
    <m/>
    <m/>
    <m/>
    <m/>
    <m/>
    <m/>
    <m/>
    <x v="68"/>
    <x v="149"/>
    <m/>
    <m/>
  </r>
  <r>
    <s v="HDMI 2.0 Cable 4K 10m"/>
    <n v="10"/>
    <s v="pc"/>
    <m/>
    <m/>
    <m/>
    <m/>
    <m/>
    <m/>
    <m/>
    <m/>
    <m/>
    <m/>
    <m/>
    <m/>
    <m/>
    <m/>
    <m/>
    <m/>
    <m/>
    <m/>
    <m/>
    <x v="68"/>
    <x v="150"/>
    <m/>
    <m/>
  </r>
  <r>
    <s v="HDMI 2.0 Cable 4K 1m"/>
    <n v="24"/>
    <s v="pc"/>
    <m/>
    <m/>
    <m/>
    <m/>
    <m/>
    <m/>
    <m/>
    <m/>
    <m/>
    <m/>
    <m/>
    <m/>
    <m/>
    <m/>
    <m/>
    <m/>
    <m/>
    <m/>
    <m/>
    <x v="68"/>
    <x v="151"/>
    <m/>
    <m/>
  </r>
  <r>
    <s v="HP Printhead Black compatible with the existing HP Smart Tank 515"/>
    <n v="12"/>
    <s v="pc"/>
    <m/>
    <m/>
    <m/>
    <m/>
    <m/>
    <m/>
    <m/>
    <m/>
    <m/>
    <m/>
    <m/>
    <m/>
    <m/>
    <m/>
    <m/>
    <m/>
    <m/>
    <m/>
    <m/>
    <x v="68"/>
    <x v="50"/>
    <m/>
    <m/>
  </r>
  <r>
    <s v="HP Printhead Tri-color compatible with the existing HP Smart Tank 515"/>
    <n v="12"/>
    <s v="pc"/>
    <m/>
    <m/>
    <m/>
    <m/>
    <m/>
    <m/>
    <m/>
    <m/>
    <m/>
    <m/>
    <m/>
    <m/>
    <m/>
    <m/>
    <m/>
    <m/>
    <m/>
    <m/>
    <m/>
    <x v="68"/>
    <x v="51"/>
    <m/>
    <m/>
  </r>
  <r>
    <s v="Laminated 12mm Black on White label tape"/>
    <n v="30"/>
    <s v="pc"/>
    <m/>
    <m/>
    <m/>
    <m/>
    <m/>
    <m/>
    <m/>
    <m/>
    <m/>
    <m/>
    <m/>
    <m/>
    <m/>
    <m/>
    <m/>
    <m/>
    <m/>
    <m/>
    <m/>
    <x v="68"/>
    <x v="152"/>
    <m/>
    <m/>
  </r>
  <r>
    <s v="M6 Cabinet Screws 100pcs/pack"/>
    <n v="3"/>
    <s v="Pack"/>
    <m/>
    <m/>
    <m/>
    <m/>
    <m/>
    <m/>
    <m/>
    <m/>
    <m/>
    <m/>
    <m/>
    <m/>
    <m/>
    <m/>
    <m/>
    <m/>
    <m/>
    <m/>
    <m/>
    <x v="68"/>
    <x v="153"/>
    <m/>
    <m/>
  </r>
  <r>
    <s v="Mini PC"/>
    <n v="8"/>
    <s v="lot"/>
    <m/>
    <m/>
    <m/>
    <m/>
    <m/>
    <m/>
    <m/>
    <m/>
    <m/>
    <m/>
    <m/>
    <m/>
    <m/>
    <m/>
    <m/>
    <m/>
    <m/>
    <m/>
    <m/>
    <x v="68"/>
    <x v="154"/>
    <m/>
    <m/>
  </r>
  <r>
    <s v="Network Cable Tester RJ45 RJ11 Network LAN Ethernet"/>
    <n v="2"/>
    <s v="pc"/>
    <m/>
    <m/>
    <m/>
    <m/>
    <m/>
    <m/>
    <m/>
    <m/>
    <m/>
    <m/>
    <m/>
    <m/>
    <m/>
    <m/>
    <m/>
    <m/>
    <m/>
    <m/>
    <m/>
    <x v="68"/>
    <x v="155"/>
    <m/>
    <m/>
  </r>
  <r>
    <s v="Nylon Zip Ties Cable Label Mark Tags 100pcs/pack"/>
    <n v="5"/>
    <s v="Pack"/>
    <m/>
    <m/>
    <m/>
    <m/>
    <m/>
    <m/>
    <m/>
    <m/>
    <m/>
    <m/>
    <m/>
    <m/>
    <m/>
    <m/>
    <m/>
    <m/>
    <m/>
    <m/>
    <m/>
    <x v="68"/>
    <x v="156"/>
    <m/>
    <m/>
  </r>
  <r>
    <s v="Paper feeder rubber set for printer"/>
    <n v="10"/>
    <s v="set"/>
    <m/>
    <m/>
    <m/>
    <m/>
    <m/>
    <m/>
    <m/>
    <m/>
    <m/>
    <m/>
    <m/>
    <m/>
    <m/>
    <m/>
    <m/>
    <m/>
    <m/>
    <m/>
    <m/>
    <x v="68"/>
    <x v="157"/>
    <m/>
    <m/>
  </r>
  <r>
    <s v="Paper feeder rubber set for printer"/>
    <n v="10"/>
    <s v="set"/>
    <m/>
    <m/>
    <m/>
    <m/>
    <m/>
    <m/>
    <m/>
    <m/>
    <m/>
    <m/>
    <m/>
    <m/>
    <m/>
    <m/>
    <m/>
    <m/>
    <m/>
    <m/>
    <m/>
    <x v="68"/>
    <x v="157"/>
    <m/>
    <m/>
  </r>
  <r>
    <s v="PC-Connectable Label Maker with 10pcs 12mm Laminated Tape"/>
    <n v="1"/>
    <s v="set"/>
    <m/>
    <m/>
    <m/>
    <m/>
    <m/>
    <m/>
    <m/>
    <m/>
    <m/>
    <m/>
    <m/>
    <m/>
    <m/>
    <m/>
    <m/>
    <m/>
    <m/>
    <m/>
    <m/>
    <x v="68"/>
    <x v="158"/>
    <m/>
    <m/>
  </r>
  <r>
    <s v="PVC Cable Tray (2mtr)"/>
    <n v="50"/>
    <s v="pc"/>
    <m/>
    <m/>
    <m/>
    <m/>
    <m/>
    <m/>
    <m/>
    <m/>
    <m/>
    <m/>
    <m/>
    <m/>
    <m/>
    <m/>
    <m/>
    <m/>
    <m/>
    <m/>
    <m/>
    <x v="68"/>
    <x v="159"/>
    <m/>
    <m/>
  </r>
  <r>
    <s v="Replacement Battery APCRBC175 for the existing BVX1200LI-MS"/>
    <n v="30"/>
    <s v="pc"/>
    <m/>
    <m/>
    <m/>
    <m/>
    <m/>
    <m/>
    <m/>
    <m/>
    <m/>
    <m/>
    <m/>
    <m/>
    <m/>
    <m/>
    <m/>
    <m/>
    <m/>
    <m/>
    <m/>
    <x v="68"/>
    <x v="160"/>
    <m/>
    <m/>
  </r>
  <r>
    <s v="Rj11 Connector"/>
    <n v="1000"/>
    <s v="pc"/>
    <m/>
    <m/>
    <m/>
    <m/>
    <m/>
    <m/>
    <m/>
    <m/>
    <m/>
    <m/>
    <m/>
    <m/>
    <m/>
    <m/>
    <m/>
    <m/>
    <m/>
    <m/>
    <m/>
    <x v="68"/>
    <x v="161"/>
    <m/>
    <m/>
  </r>
  <r>
    <s v="RJ11 Telephone Converter 10pcs/pack"/>
    <n v="5"/>
    <s v="Pack"/>
    <m/>
    <m/>
    <m/>
    <m/>
    <m/>
    <m/>
    <m/>
    <m/>
    <m/>
    <m/>
    <m/>
    <m/>
    <m/>
    <m/>
    <m/>
    <m/>
    <m/>
    <m/>
    <m/>
    <x v="68"/>
    <x v="162"/>
    <m/>
    <m/>
  </r>
  <r>
    <s v="RJ45 Connector Crimp Connection Terminals 100pcs/pack"/>
    <n v="4"/>
    <s v="Pack"/>
    <m/>
    <m/>
    <m/>
    <m/>
    <m/>
    <m/>
    <m/>
    <m/>
    <m/>
    <m/>
    <m/>
    <m/>
    <m/>
    <m/>
    <m/>
    <m/>
    <m/>
    <m/>
    <m/>
    <x v="68"/>
    <x v="163"/>
    <m/>
    <m/>
  </r>
  <r>
    <s v="Rj45 Connectors for CAT6 (100pcs Clear)"/>
    <n v="10"/>
    <s v="box"/>
    <m/>
    <m/>
    <m/>
    <m/>
    <m/>
    <m/>
    <m/>
    <m/>
    <m/>
    <m/>
    <m/>
    <m/>
    <m/>
    <m/>
    <m/>
    <m/>
    <m/>
    <m/>
    <m/>
    <x v="68"/>
    <x v="164"/>
    <m/>
    <m/>
  </r>
  <r>
    <s v="RJ45 Coupler, 8P8C Female Extender LAN Connector"/>
    <n v="20"/>
    <s v="pc"/>
    <m/>
    <m/>
    <m/>
    <m/>
    <m/>
    <m/>
    <m/>
    <m/>
    <m/>
    <m/>
    <m/>
    <m/>
    <m/>
    <m/>
    <m/>
    <m/>
    <m/>
    <m/>
    <m/>
    <x v="68"/>
    <x v="165"/>
    <m/>
    <m/>
  </r>
  <r>
    <s v="RJ45 Crimp Tool Pass Through Cat5 Cat5e Cat6"/>
    <n v="4"/>
    <s v="pc"/>
    <m/>
    <m/>
    <m/>
    <m/>
    <m/>
    <m/>
    <m/>
    <m/>
    <m/>
    <m/>
    <m/>
    <m/>
    <m/>
    <m/>
    <m/>
    <m/>
    <m/>
    <m/>
    <m/>
    <x v="68"/>
    <x v="166"/>
    <m/>
    <m/>
  </r>
  <r>
    <s v="Rj45 Metal Shield Connectors for CAT6 (100pcs)"/>
    <n v="2"/>
    <s v="box"/>
    <m/>
    <m/>
    <m/>
    <m/>
    <m/>
    <m/>
    <m/>
    <m/>
    <m/>
    <m/>
    <m/>
    <m/>
    <m/>
    <m/>
    <m/>
    <m/>
    <m/>
    <m/>
    <m/>
    <x v="68"/>
    <x v="167"/>
    <m/>
    <m/>
  </r>
  <r>
    <s v="Single Line Telephone (Black)"/>
    <n v="100"/>
    <s v="box"/>
    <m/>
    <m/>
    <m/>
    <m/>
    <m/>
    <m/>
    <m/>
    <m/>
    <m/>
    <m/>
    <m/>
    <m/>
    <m/>
    <m/>
    <m/>
    <m/>
    <m/>
    <m/>
    <m/>
    <x v="68"/>
    <x v="52"/>
    <m/>
    <m/>
  </r>
  <r>
    <s v="Super Strength Molding Tape Double Sided Tape 1/2&quot; x 15ft"/>
    <n v="20"/>
    <s v="pc"/>
    <m/>
    <m/>
    <m/>
    <m/>
    <m/>
    <m/>
    <m/>
    <m/>
    <m/>
    <m/>
    <m/>
    <m/>
    <m/>
    <m/>
    <m/>
    <m/>
    <m/>
    <m/>
    <m/>
    <x v="68"/>
    <x v="168"/>
    <m/>
    <m/>
  </r>
  <r>
    <s v="Super Strength Molding Tape Double Sided Tape 7/8&quot; x 15ft"/>
    <n v="20"/>
    <s v="pc"/>
    <m/>
    <m/>
    <m/>
    <m/>
    <m/>
    <m/>
    <m/>
    <m/>
    <m/>
    <m/>
    <m/>
    <m/>
    <m/>
    <m/>
    <m/>
    <m/>
    <m/>
    <m/>
    <m/>
    <x v="68"/>
    <x v="169"/>
    <m/>
    <m/>
  </r>
  <r>
    <s v="Telephone Wire (3mtrs)"/>
    <n v="200"/>
    <s v="pc"/>
    <m/>
    <m/>
    <m/>
    <m/>
    <m/>
    <m/>
    <m/>
    <m/>
    <m/>
    <m/>
    <m/>
    <m/>
    <m/>
    <m/>
    <m/>
    <m/>
    <m/>
    <m/>
    <m/>
    <x v="68"/>
    <x v="170"/>
    <m/>
    <m/>
  </r>
  <r>
    <s v="Thermal Paste Syringe"/>
    <n v="40"/>
    <s v="pc"/>
    <m/>
    <m/>
    <m/>
    <m/>
    <m/>
    <m/>
    <m/>
    <m/>
    <m/>
    <m/>
    <m/>
    <m/>
    <m/>
    <m/>
    <m/>
    <m/>
    <m/>
    <m/>
    <m/>
    <x v="68"/>
    <x v="171"/>
    <m/>
    <m/>
  </r>
  <r>
    <s v="Toner Cartridge for the existing ECOSYS M5521CDW"/>
    <n v="8"/>
    <s v="pc"/>
    <m/>
    <m/>
    <m/>
    <m/>
    <m/>
    <m/>
    <m/>
    <m/>
    <m/>
    <m/>
    <m/>
    <m/>
    <m/>
    <m/>
    <m/>
    <m/>
    <m/>
    <m/>
    <m/>
    <x v="68"/>
    <x v="11"/>
    <m/>
    <m/>
  </r>
  <r>
    <s v="Touch-style Fingerprint Reader"/>
    <n v="12"/>
    <s v="pc"/>
    <m/>
    <m/>
    <m/>
    <m/>
    <m/>
    <m/>
    <m/>
    <m/>
    <m/>
    <m/>
    <m/>
    <m/>
    <m/>
    <m/>
    <m/>
    <m/>
    <m/>
    <m/>
    <m/>
    <x v="68"/>
    <x v="172"/>
    <m/>
    <m/>
  </r>
  <r>
    <s v="Tox with Screw 6mm (50pcs)"/>
    <n v="10"/>
    <s v="box"/>
    <m/>
    <m/>
    <m/>
    <m/>
    <m/>
    <m/>
    <m/>
    <m/>
    <m/>
    <m/>
    <m/>
    <m/>
    <m/>
    <m/>
    <m/>
    <m/>
    <m/>
    <m/>
    <m/>
    <x v="68"/>
    <x v="173"/>
    <m/>
    <m/>
  </r>
  <r>
    <s v="UPS 1200VA, AVR, 230V"/>
    <n v="40"/>
    <s v="pc"/>
    <m/>
    <m/>
    <m/>
    <m/>
    <m/>
    <m/>
    <m/>
    <m/>
    <m/>
    <m/>
    <m/>
    <m/>
    <m/>
    <m/>
    <m/>
    <m/>
    <m/>
    <m/>
    <m/>
    <x v="68"/>
    <x v="174"/>
    <m/>
    <m/>
  </r>
  <r>
    <s v="VDE Insulated Flat Phillips Handle Screwdrivers Set Insulated"/>
    <n v="2"/>
    <s v="set"/>
    <m/>
    <m/>
    <m/>
    <m/>
    <m/>
    <m/>
    <m/>
    <m/>
    <m/>
    <m/>
    <m/>
    <m/>
    <m/>
    <m/>
    <m/>
    <m/>
    <m/>
    <m/>
    <m/>
    <x v="68"/>
    <x v="175"/>
    <m/>
    <m/>
  </r>
  <r>
    <s v="Velcro Straps Cable Organizer 3m/roll"/>
    <n v="30"/>
    <s v="roll"/>
    <m/>
    <m/>
    <m/>
    <m/>
    <m/>
    <m/>
    <m/>
    <m/>
    <m/>
    <m/>
    <m/>
    <m/>
    <m/>
    <m/>
    <m/>
    <m/>
    <m/>
    <m/>
    <m/>
    <x v="68"/>
    <x v="176"/>
    <m/>
    <m/>
  </r>
  <r>
    <s v="Webcam Professional Full HD"/>
    <n v="4"/>
    <s v="pc"/>
    <m/>
    <m/>
    <m/>
    <m/>
    <m/>
    <m/>
    <m/>
    <m/>
    <m/>
    <m/>
    <m/>
    <m/>
    <m/>
    <m/>
    <m/>
    <m/>
    <m/>
    <m/>
    <m/>
    <x v="68"/>
    <x v="2"/>
    <m/>
    <m/>
  </r>
  <r>
    <s v="White Nylon Cable Tie 2.5 x 100mm 100pcs/pack"/>
    <n v="50"/>
    <s v="Pack"/>
    <m/>
    <m/>
    <m/>
    <m/>
    <m/>
    <m/>
    <m/>
    <m/>
    <m/>
    <m/>
    <m/>
    <m/>
    <m/>
    <m/>
    <m/>
    <m/>
    <m/>
    <m/>
    <m/>
    <x v="68"/>
    <x v="177"/>
    <m/>
    <m/>
  </r>
  <r>
    <s v="White Nylon Cable Tie 2.5 x 140mm 100pcs/pack"/>
    <n v="50"/>
    <s v="Pack"/>
    <m/>
    <m/>
    <m/>
    <m/>
    <m/>
    <m/>
    <m/>
    <m/>
    <m/>
    <m/>
    <m/>
    <m/>
    <m/>
    <m/>
    <m/>
    <m/>
    <m/>
    <m/>
    <m/>
    <x v="68"/>
    <x v="178"/>
    <m/>
    <m/>
  </r>
  <r>
    <s v="White Nylon Cable Tie 3.6 x 140mm 100pcs/pack"/>
    <n v="40"/>
    <s v="Pack"/>
    <m/>
    <m/>
    <m/>
    <m/>
    <m/>
    <m/>
    <m/>
    <m/>
    <m/>
    <m/>
    <m/>
    <m/>
    <m/>
    <m/>
    <m/>
    <m/>
    <m/>
    <m/>
    <m/>
    <x v="68"/>
    <x v="179"/>
    <m/>
    <m/>
  </r>
  <r>
    <s v="White Nylon Cable Tie 3.6 x 200mm 100pcs/pack"/>
    <n v="40"/>
    <s v="Pack"/>
    <m/>
    <m/>
    <m/>
    <m/>
    <m/>
    <m/>
    <m/>
    <m/>
    <m/>
    <m/>
    <m/>
    <m/>
    <m/>
    <m/>
    <m/>
    <m/>
    <m/>
    <m/>
    <m/>
    <x v="68"/>
    <x v="180"/>
    <m/>
    <m/>
  </r>
  <r>
    <s v="White Nylon Cable Tie 3.6 x 300mm 100pcs/pack"/>
    <n v="30"/>
    <s v="Pack"/>
    <m/>
    <m/>
    <m/>
    <m/>
    <m/>
    <m/>
    <m/>
    <m/>
    <m/>
    <m/>
    <m/>
    <m/>
    <m/>
    <m/>
    <m/>
    <m/>
    <m/>
    <m/>
    <m/>
    <x v="68"/>
    <x v="181"/>
    <m/>
    <m/>
  </r>
  <r>
    <s v="White Nylon Cable Tie 4.8 x 200mm 100pcs/pack"/>
    <n v="30"/>
    <s v="Pack"/>
    <m/>
    <m/>
    <m/>
    <m/>
    <m/>
    <m/>
    <m/>
    <m/>
    <m/>
    <m/>
    <m/>
    <m/>
    <m/>
    <m/>
    <m/>
    <m/>
    <m/>
    <m/>
    <m/>
    <x v="68"/>
    <x v="182"/>
    <m/>
    <m/>
  </r>
  <r>
    <s v="White Nylon Cable Tie 4.8 x 250mm 100pcs/pack"/>
    <n v="10"/>
    <s v="Pack"/>
    <m/>
    <m/>
    <m/>
    <m/>
    <m/>
    <m/>
    <m/>
    <m/>
    <m/>
    <m/>
    <m/>
    <m/>
    <m/>
    <m/>
    <m/>
    <m/>
    <m/>
    <m/>
    <m/>
    <x v="68"/>
    <x v="183"/>
    <m/>
    <m/>
  </r>
  <r>
    <s v="White Nylon Cable Tie 4.8 x 300mm 100pcs/pack"/>
    <n v="10"/>
    <s v="Pack"/>
    <m/>
    <m/>
    <m/>
    <m/>
    <m/>
    <m/>
    <m/>
    <m/>
    <m/>
    <m/>
    <m/>
    <m/>
    <m/>
    <m/>
    <m/>
    <m/>
    <m/>
    <m/>
    <m/>
    <x v="68"/>
    <x v="184"/>
    <m/>
    <m/>
  </r>
  <r>
    <s v="White Nylon Cable Tie 4.8 x 400mm 100pcs/pack"/>
    <n v="10"/>
    <s v="Pack"/>
    <m/>
    <m/>
    <m/>
    <m/>
    <m/>
    <m/>
    <m/>
    <m/>
    <m/>
    <m/>
    <m/>
    <m/>
    <m/>
    <m/>
    <m/>
    <m/>
    <m/>
    <m/>
    <m/>
    <x v="68"/>
    <x v="185"/>
    <m/>
    <m/>
  </r>
  <r>
    <s v="WiFi 6 Access Point Dual-band "/>
    <n v="40"/>
    <s v="pc"/>
    <m/>
    <m/>
    <m/>
    <m/>
    <m/>
    <m/>
    <m/>
    <m/>
    <m/>
    <m/>
    <m/>
    <m/>
    <m/>
    <m/>
    <m/>
    <m/>
    <m/>
    <m/>
    <m/>
    <x v="68"/>
    <x v="186"/>
    <m/>
    <m/>
  </r>
  <r>
    <s v="Wired USB Numeric Keypad (Black)"/>
    <n v="10"/>
    <s v="pc"/>
    <m/>
    <m/>
    <m/>
    <m/>
    <m/>
    <m/>
    <m/>
    <m/>
    <m/>
    <m/>
    <m/>
    <m/>
    <m/>
    <m/>
    <m/>
    <m/>
    <m/>
    <m/>
    <m/>
    <x v="68"/>
    <x v="187"/>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Recepients_Pivot 2024 Conso" cacheId="10" applyNumberFormats="0" applyBorderFormats="0" applyFontFormats="0" applyPatternFormats="0" applyAlignmentFormats="0" applyWidthHeightFormats="0" dataCaption="" updatedVersion="6" rowGrandTotals="0" compact="0" compactData="0">
  <location ref="A1:C567" firstHeaderRow="1" firstDataRow="1" firstDataCol="2"/>
  <pivotFields count="26">
    <pivotField name="Item Description / General Specification" compact="0" outline="0" multipleItemSelectionAllowed="1" showAll="0"/>
    <pivotField name="Total Quantity" compact="0" outline="0" multipleItemSelectionAllowed="1" showAll="0"/>
    <pivotField name="Unit" compact="0" outline="0" multipleItemSelectionAllowed="1" showAll="0"/>
    <pivotField name="Unit Price" compact="0" outline="0" multipleItemSelectionAllowed="1" showAll="0"/>
    <pivotField name="Total price" compact="0" outline="0" multipleItemSelectionAllowed="1" showAll="0"/>
    <pivotField name="Mode of Procurement" compact="0" outline="0" multipleItemSelectionAllowed="1" showAll="0"/>
    <pivotField name="QTY1" compact="0" outline="0" multipleItemSelectionAllowed="1" showAll="0"/>
    <pivotField name="Jan" compact="0" outline="0" multipleItemSelectionAllowed="1" showAll="0"/>
    <pivotField name="Feb" compact="0" outline="0" multipleItemSelectionAllowed="1" showAll="0"/>
    <pivotField name="Mar" compact="0" outline="0" multipleItemSelectionAllowed="1" showAll="0"/>
    <pivotField name="QTY2" compact="0" outline="0" multipleItemSelectionAllowed="1" showAll="0"/>
    <pivotField name="Apr" compact="0" outline="0" multipleItemSelectionAllowed="1" showAll="0"/>
    <pivotField name="May" compact="0" outline="0" multipleItemSelectionAllowed="1" showAll="0"/>
    <pivotField name="Jun" compact="0" outline="0" multipleItemSelectionAllowed="1" showAll="0"/>
    <pivotField name="QTY3" compact="0" outline="0" multipleItemSelectionAllowed="1" showAll="0"/>
    <pivotField name="July" compact="0" outline="0" multipleItemSelectionAllowed="1" showAll="0"/>
    <pivotField name="Aug" compact="0" outline="0" multipleItemSelectionAllowed="1" showAll="0"/>
    <pivotField name="Sept" compact="0" outline="0" multipleItemSelectionAllowed="1" showAll="0"/>
    <pivotField name="QTY4" compact="0" outline="0" multipleItemSelectionAllowed="1" showAll="0"/>
    <pivotField name="Oct" compact="0" outline="0" multipleItemSelectionAllowed="1" showAll="0"/>
    <pivotField name="Nov" compact="0" outline="0" multipleItemSelectionAllowed="1" showAll="0"/>
    <pivotField name="Dec" compact="0" outline="0" multipleItemSelectionAllowed="1" showAll="0"/>
    <pivotField name="End User" axis="axisRow" compact="0" outline="0" multipleItemSelectionAllowed="1" showAll="0" sortType="ascending">
      <items count="70">
        <item x="6"/>
        <item x="56"/>
        <item x="31"/>
        <item x="18"/>
        <item x="5"/>
        <item x="8"/>
        <item x="26"/>
        <item x="33"/>
        <item x="34"/>
        <item x="20"/>
        <item x="9"/>
        <item x="11"/>
        <item x="2"/>
        <item x="10"/>
        <item x="21"/>
        <item x="3"/>
        <item x="15"/>
        <item x="7"/>
        <item x="36"/>
        <item x="67"/>
        <item x="37"/>
        <item x="0"/>
        <item x="12"/>
        <item x="38"/>
        <item x="24"/>
        <item x="17"/>
        <item x="28"/>
        <item x="39"/>
        <item x="40"/>
        <item x="68"/>
        <item x="48"/>
        <item x="13"/>
        <item x="50"/>
        <item x="51"/>
        <item x="52"/>
        <item x="53"/>
        <item x="54"/>
        <item x="55"/>
        <item x="41"/>
        <item x="49"/>
        <item x="25"/>
        <item x="43"/>
        <item x="44"/>
        <item x="19"/>
        <item x="35"/>
        <item x="61"/>
        <item x="59"/>
        <item x="60"/>
        <item x="62"/>
        <item x="57"/>
        <item x="63"/>
        <item x="58"/>
        <item x="42"/>
        <item x="27"/>
        <item x="45"/>
        <item x="46"/>
        <item x="23"/>
        <item x="22"/>
        <item x="4"/>
        <item x="47"/>
        <item x="29"/>
        <item x="1"/>
        <item x="30"/>
        <item x="32"/>
        <item x="14"/>
        <item x="65"/>
        <item x="64"/>
        <item x="66"/>
        <item x="16"/>
        <item t="default"/>
      </items>
    </pivotField>
    <pivotField name="PPMP2025" axis="axisRow" compact="0" outline="0" multipleItemSelectionAllowed="1" showAll="0" sortType="ascending" defaultSubtotal="0">
      <items count="189">
        <item x="98"/>
        <item h="1" x="99"/>
        <item x="100"/>
        <item x="101"/>
        <item x="102"/>
        <item x="54"/>
        <item x="103"/>
        <item h="1" x="90"/>
        <item h="1" x="38"/>
        <item x="37"/>
        <item x="104"/>
        <item h="1" x="105"/>
        <item x="106"/>
        <item x="87"/>
        <item h="1" x="107"/>
        <item x="39"/>
        <item x="108"/>
        <item x="20"/>
        <item x="109"/>
        <item h="1" x="110"/>
        <item x="111"/>
        <item x="112"/>
        <item h="1" x="113"/>
        <item x="114"/>
        <item h="1" x="36"/>
        <item x="115"/>
        <item h="1" x="116"/>
        <item h="1" x="117"/>
        <item h="1" m="1" x="188"/>
        <item h="1" x="86"/>
        <item x="88"/>
        <item x="118"/>
        <item h="1" x="119"/>
        <item x="120"/>
        <item x="41"/>
        <item x="44"/>
        <item h="1" x="121"/>
        <item x="122"/>
        <item x="123"/>
        <item x="124"/>
        <item x="53"/>
        <item x="125"/>
        <item x="126"/>
        <item x="127"/>
        <item x="128"/>
        <item x="129"/>
        <item x="130"/>
        <item x="131"/>
        <item x="132"/>
        <item x="133"/>
        <item h="1" x="48"/>
        <item h="1" x="134"/>
        <item h="1" x="135"/>
        <item x="0"/>
        <item h="1" x="89"/>
        <item x="40"/>
        <item x="67"/>
        <item x="66"/>
        <item x="68"/>
        <item x="83"/>
        <item h="1" x="73"/>
        <item x="136"/>
        <item h="1" x="137"/>
        <item x="138"/>
        <item x="139"/>
        <item h="1" x="63"/>
        <item h="1" x="140"/>
        <item h="1" x="12"/>
        <item h="1" x="69"/>
        <item h="1" x="75"/>
        <item h="1" x="141"/>
        <item x="142"/>
        <item h="1" x="91"/>
        <item h="1" x="47"/>
        <item x="62"/>
        <item h="1" x="92"/>
        <item x="1"/>
        <item x="26"/>
        <item x="27"/>
        <item x="29"/>
        <item x="28"/>
        <item x="16"/>
        <item x="17"/>
        <item x="18"/>
        <item x="19"/>
        <item x="143"/>
        <item x="6"/>
        <item x="144"/>
        <item x="145"/>
        <item x="146"/>
        <item h="1" x="147"/>
        <item x="148"/>
        <item h="1" x="93"/>
        <item h="1" x="94"/>
        <item h="1" x="149"/>
        <item x="43"/>
        <item x="150"/>
        <item x="151"/>
        <item h="1" x="58"/>
        <item h="1" x="59"/>
        <item h="1" x="57"/>
        <item h="1" x="55"/>
        <item h="1" x="60"/>
        <item x="32"/>
        <item x="31"/>
        <item x="33"/>
        <item x="30"/>
        <item x="50"/>
        <item x="51"/>
        <item x="78"/>
        <item h="1" x="15"/>
        <item x="13"/>
        <item h="1" x="152"/>
        <item x="153"/>
        <item h="1" x="95"/>
        <item h="1" x="8"/>
        <item h="1" x="81"/>
        <item h="1" x="10"/>
        <item h="1" x="79"/>
        <item h="1" x="35"/>
        <item h="1" x="82"/>
        <item h="1" x="154"/>
        <item x="14"/>
        <item h="1" x="96"/>
        <item x="155"/>
        <item x="156"/>
        <item h="1" x="22"/>
        <item h="1" x="157"/>
        <item h="1" x="158"/>
        <item x="77"/>
        <item x="42"/>
        <item x="64"/>
        <item h="1" x="159"/>
        <item h="1" x="160"/>
        <item x="161"/>
        <item x="162"/>
        <item x="163"/>
        <item x="164"/>
        <item x="165"/>
        <item h="1" x="166"/>
        <item x="167"/>
        <item x="52"/>
        <item h="1" x="97"/>
        <item x="71"/>
        <item x="72"/>
        <item x="168"/>
        <item x="169"/>
        <item h="1" x="170"/>
        <item x="171"/>
        <item x="61"/>
        <item h="1" x="85"/>
        <item h="1" x="84"/>
        <item h="1" x="7"/>
        <item h="1" x="46"/>
        <item h="1" x="49"/>
        <item h="1" x="45"/>
        <item h="1" x="80"/>
        <item h="1" x="9"/>
        <item h="1" x="76"/>
        <item h="1" x="11"/>
        <item h="1" x="70"/>
        <item h="1" x="25"/>
        <item h="1" x="74"/>
        <item h="1" x="34"/>
        <item h="1" x="56"/>
        <item h="1" x="21"/>
        <item h="1" x="23"/>
        <item h="1" x="24"/>
        <item x="172"/>
        <item h="1" x="173"/>
        <item x="174"/>
        <item x="3"/>
        <item x="4"/>
        <item x="175"/>
        <item x="176"/>
        <item x="65"/>
        <item x="2"/>
        <item x="177"/>
        <item x="178"/>
        <item x="179"/>
        <item x="180"/>
        <item x="181"/>
        <item x="182"/>
        <item x="183"/>
        <item x="184"/>
        <item x="185"/>
        <item x="186"/>
        <item x="187"/>
        <item h="1" x="5"/>
      </items>
    </pivotField>
    <pivotField name="IHOMP REMARKS" compact="0" outline="0" multipleItemSelectionAllowed="1" showAll="0"/>
    <pivotField name="New Total Quantity" dataField="1" compact="0" outline="0" multipleItemSelectionAllowed="1" showAll="0"/>
  </pivotFields>
  <rowFields count="2">
    <field x="23"/>
    <field x="22"/>
  </rowFields>
  <rowItems count="566">
    <i>
      <x/>
      <x v="29"/>
    </i>
    <i>
      <x v="2"/>
      <x v="29"/>
    </i>
    <i>
      <x v="3"/>
      <x v="29"/>
    </i>
    <i>
      <x v="4"/>
      <x v="29"/>
    </i>
    <i>
      <x v="5"/>
      <x v="16"/>
    </i>
    <i r="1">
      <x v="23"/>
    </i>
    <i r="1">
      <x v="28"/>
    </i>
    <i r="1">
      <x v="57"/>
    </i>
    <i>
      <x v="6"/>
      <x v="29"/>
    </i>
    <i>
      <x v="9"/>
      <x v="2"/>
    </i>
    <i r="1">
      <x v="4"/>
    </i>
    <i r="1">
      <x v="6"/>
    </i>
    <i r="1">
      <x v="7"/>
    </i>
    <i r="1">
      <x v="26"/>
    </i>
    <i r="1">
      <x v="53"/>
    </i>
    <i>
      <x v="10"/>
      <x v="29"/>
    </i>
    <i>
      <x v="12"/>
      <x v="29"/>
    </i>
    <i>
      <x v="13"/>
      <x v="29"/>
    </i>
    <i r="1">
      <x v="35"/>
    </i>
    <i r="1">
      <x v="36"/>
    </i>
    <i r="1">
      <x v="45"/>
    </i>
    <i r="1">
      <x v="46"/>
    </i>
    <i r="1">
      <x v="47"/>
    </i>
    <i r="1">
      <x v="48"/>
    </i>
    <i r="1">
      <x v="49"/>
    </i>
    <i r="1">
      <x v="50"/>
    </i>
    <i r="1">
      <x v="51"/>
    </i>
    <i r="1">
      <x v="66"/>
    </i>
    <i>
      <x v="15"/>
      <x v="10"/>
    </i>
    <i r="1">
      <x v="17"/>
    </i>
    <i r="1">
      <x v="22"/>
    </i>
    <i r="1">
      <x v="68"/>
    </i>
    <i>
      <x v="16"/>
      <x v="29"/>
    </i>
    <i>
      <x v="17"/>
      <x/>
    </i>
    <i r="1">
      <x v="2"/>
    </i>
    <i r="1">
      <x v="5"/>
    </i>
    <i r="1">
      <x v="6"/>
    </i>
    <i r="1">
      <x v="7"/>
    </i>
    <i r="1">
      <x v="15"/>
    </i>
    <i r="1">
      <x v="16"/>
    </i>
    <i r="1">
      <x v="17"/>
    </i>
    <i r="1">
      <x v="23"/>
    </i>
    <i r="1">
      <x v="28"/>
    </i>
    <i r="1">
      <x v="52"/>
    </i>
    <i>
      <x v="18"/>
      <x v="29"/>
    </i>
    <i>
      <x v="20"/>
      <x v="29"/>
    </i>
    <i>
      <x v="21"/>
      <x v="29"/>
    </i>
    <i>
      <x v="23"/>
      <x v="29"/>
    </i>
    <i>
      <x v="25"/>
      <x v="29"/>
    </i>
    <i>
      <x v="30"/>
      <x v="19"/>
    </i>
    <i>
      <x v="31"/>
      <x v="29"/>
    </i>
    <i>
      <x v="33"/>
      <x v="29"/>
    </i>
    <i>
      <x v="34"/>
      <x v="17"/>
    </i>
    <i r="1">
      <x v="59"/>
    </i>
    <i>
      <x v="35"/>
      <x v="13"/>
    </i>
    <i>
      <x v="37"/>
      <x v="29"/>
    </i>
    <i>
      <x v="38"/>
      <x v="29"/>
    </i>
    <i>
      <x v="39"/>
      <x v="29"/>
    </i>
    <i>
      <x v="40"/>
      <x v="2"/>
    </i>
    <i r="1">
      <x v="16"/>
    </i>
    <i r="1">
      <x v="57"/>
    </i>
    <i>
      <x v="41"/>
      <x v="29"/>
    </i>
    <i>
      <x v="42"/>
      <x v="29"/>
    </i>
    <i>
      <x v="43"/>
      <x v="29"/>
    </i>
    <i>
      <x v="44"/>
      <x v="29"/>
    </i>
    <i>
      <x v="45"/>
      <x v="29"/>
    </i>
    <i>
      <x v="46"/>
      <x v="29"/>
    </i>
    <i>
      <x v="47"/>
      <x v="29"/>
    </i>
    <i>
      <x v="48"/>
      <x v="29"/>
    </i>
    <i>
      <x v="49"/>
      <x v="29"/>
    </i>
    <i>
      <x v="53"/>
      <x/>
    </i>
    <i r="1">
      <x v="2"/>
    </i>
    <i r="1">
      <x v="3"/>
    </i>
    <i r="1">
      <x v="7"/>
    </i>
    <i r="1">
      <x v="8"/>
    </i>
    <i r="1">
      <x v="10"/>
    </i>
    <i r="1">
      <x v="11"/>
    </i>
    <i r="1">
      <x v="12"/>
    </i>
    <i r="1">
      <x v="15"/>
    </i>
    <i r="1">
      <x v="16"/>
    </i>
    <i r="1">
      <x v="21"/>
    </i>
    <i r="1">
      <x v="22"/>
    </i>
    <i r="1">
      <x v="23"/>
    </i>
    <i r="1">
      <x v="25"/>
    </i>
    <i r="1">
      <x v="26"/>
    </i>
    <i r="1">
      <x v="28"/>
    </i>
    <i r="1">
      <x v="29"/>
    </i>
    <i r="1">
      <x v="41"/>
    </i>
    <i r="1">
      <x v="43"/>
    </i>
    <i r="1">
      <x v="52"/>
    </i>
    <i r="1">
      <x v="53"/>
    </i>
    <i r="1">
      <x v="54"/>
    </i>
    <i r="1">
      <x v="55"/>
    </i>
    <i r="1">
      <x v="56"/>
    </i>
    <i r="1">
      <x v="57"/>
    </i>
    <i r="1">
      <x v="59"/>
    </i>
    <i r="1">
      <x v="64"/>
    </i>
    <i r="1">
      <x v="65"/>
    </i>
    <i>
      <x v="55"/>
      <x v="3"/>
    </i>
    <i r="1">
      <x v="5"/>
    </i>
    <i r="1">
      <x v="7"/>
    </i>
    <i r="1">
      <x v="10"/>
    </i>
    <i r="1">
      <x v="11"/>
    </i>
    <i r="1">
      <x v="17"/>
    </i>
    <i r="1">
      <x v="43"/>
    </i>
    <i r="1">
      <x v="53"/>
    </i>
    <i r="1">
      <x v="56"/>
    </i>
    <i r="1">
      <x v="57"/>
    </i>
    <i r="1">
      <x v="68"/>
    </i>
    <i>
      <x v="56"/>
      <x v="43"/>
    </i>
    <i r="1">
      <x v="63"/>
    </i>
    <i>
      <x v="57"/>
      <x v="43"/>
    </i>
    <i r="1">
      <x v="63"/>
    </i>
    <i>
      <x v="58"/>
      <x v="43"/>
    </i>
    <i r="1">
      <x v="63"/>
    </i>
    <i>
      <x v="59"/>
      <x v="63"/>
    </i>
    <i>
      <x v="61"/>
      <x v="29"/>
    </i>
    <i>
      <x v="63"/>
      <x v="29"/>
    </i>
    <i>
      <x v="64"/>
      <x v="29"/>
    </i>
    <i>
      <x v="71"/>
      <x v="29"/>
    </i>
    <i>
      <x v="74"/>
      <x v="25"/>
    </i>
    <i r="1">
      <x v="56"/>
    </i>
    <i r="1">
      <x v="60"/>
    </i>
    <i>
      <x v="76"/>
      <x v="2"/>
    </i>
    <i r="1">
      <x v="8"/>
    </i>
    <i r="1">
      <x v="18"/>
    </i>
    <i r="1">
      <x v="20"/>
    </i>
    <i r="1">
      <x v="21"/>
    </i>
    <i r="1">
      <x v="22"/>
    </i>
    <i r="1">
      <x v="38"/>
    </i>
    <i r="1">
      <x v="45"/>
    </i>
    <i r="1">
      <x v="46"/>
    </i>
    <i r="1">
      <x v="47"/>
    </i>
    <i r="1">
      <x v="48"/>
    </i>
    <i r="1">
      <x v="49"/>
    </i>
    <i r="1">
      <x v="50"/>
    </i>
    <i r="1">
      <x v="51"/>
    </i>
    <i r="1">
      <x v="65"/>
    </i>
    <i r="1">
      <x v="66"/>
    </i>
    <i>
      <x v="77"/>
      <x/>
    </i>
    <i r="1">
      <x v="2"/>
    </i>
    <i r="1">
      <x v="9"/>
    </i>
    <i r="1">
      <x v="14"/>
    </i>
    <i r="1">
      <x v="16"/>
    </i>
    <i r="1">
      <x v="18"/>
    </i>
    <i r="1">
      <x v="20"/>
    </i>
    <i r="1">
      <x v="24"/>
    </i>
    <i r="1">
      <x v="26"/>
    </i>
    <i r="1">
      <x v="30"/>
    </i>
    <i r="1">
      <x v="31"/>
    </i>
    <i r="1">
      <x v="33"/>
    </i>
    <i r="1">
      <x v="35"/>
    </i>
    <i r="1">
      <x v="36"/>
    </i>
    <i r="1">
      <x v="37"/>
    </i>
    <i r="1">
      <x v="43"/>
    </i>
    <i r="1">
      <x v="52"/>
    </i>
    <i r="1">
      <x v="56"/>
    </i>
    <i r="1">
      <x v="57"/>
    </i>
    <i r="1">
      <x v="58"/>
    </i>
    <i r="1">
      <x v="63"/>
    </i>
    <i r="1">
      <x v="64"/>
    </i>
    <i r="1">
      <x v="68"/>
    </i>
    <i>
      <x v="78"/>
      <x/>
    </i>
    <i r="1">
      <x v="9"/>
    </i>
    <i r="1">
      <x v="14"/>
    </i>
    <i r="1">
      <x v="16"/>
    </i>
    <i r="1">
      <x v="18"/>
    </i>
    <i r="1">
      <x v="20"/>
    </i>
    <i r="1">
      <x v="24"/>
    </i>
    <i r="1">
      <x v="26"/>
    </i>
    <i r="1">
      <x v="30"/>
    </i>
    <i r="1">
      <x v="31"/>
    </i>
    <i r="1">
      <x v="33"/>
    </i>
    <i r="1">
      <x v="35"/>
    </i>
    <i r="1">
      <x v="36"/>
    </i>
    <i r="1">
      <x v="37"/>
    </i>
    <i r="1">
      <x v="43"/>
    </i>
    <i r="1">
      <x v="52"/>
    </i>
    <i r="1">
      <x v="56"/>
    </i>
    <i r="1">
      <x v="57"/>
    </i>
    <i r="1">
      <x v="58"/>
    </i>
    <i r="1">
      <x v="63"/>
    </i>
    <i r="1">
      <x v="64"/>
    </i>
    <i r="1">
      <x v="68"/>
    </i>
    <i>
      <x v="79"/>
      <x/>
    </i>
    <i r="1">
      <x v="9"/>
    </i>
    <i r="1">
      <x v="14"/>
    </i>
    <i r="1">
      <x v="16"/>
    </i>
    <i r="1">
      <x v="18"/>
    </i>
    <i r="1">
      <x v="20"/>
    </i>
    <i r="1">
      <x v="24"/>
    </i>
    <i r="1">
      <x v="26"/>
    </i>
    <i r="1">
      <x v="30"/>
    </i>
    <i r="1">
      <x v="31"/>
    </i>
    <i r="1">
      <x v="33"/>
    </i>
    <i r="1">
      <x v="35"/>
    </i>
    <i r="1">
      <x v="36"/>
    </i>
    <i r="1">
      <x v="37"/>
    </i>
    <i r="1">
      <x v="43"/>
    </i>
    <i r="1">
      <x v="52"/>
    </i>
    <i r="1">
      <x v="56"/>
    </i>
    <i r="1">
      <x v="57"/>
    </i>
    <i r="1">
      <x v="58"/>
    </i>
    <i r="1">
      <x v="63"/>
    </i>
    <i r="1">
      <x v="64"/>
    </i>
    <i r="1">
      <x v="68"/>
    </i>
    <i>
      <x v="80"/>
      <x/>
    </i>
    <i r="1">
      <x v="9"/>
    </i>
    <i r="1">
      <x v="14"/>
    </i>
    <i r="1">
      <x v="16"/>
    </i>
    <i r="1">
      <x v="18"/>
    </i>
    <i r="1">
      <x v="20"/>
    </i>
    <i r="1">
      <x v="24"/>
    </i>
    <i r="1">
      <x v="26"/>
    </i>
    <i r="1">
      <x v="30"/>
    </i>
    <i r="1">
      <x v="31"/>
    </i>
    <i r="1">
      <x v="33"/>
    </i>
    <i r="1">
      <x v="35"/>
    </i>
    <i r="1">
      <x v="36"/>
    </i>
    <i r="1">
      <x v="37"/>
    </i>
    <i r="1">
      <x v="43"/>
    </i>
    <i r="1">
      <x v="52"/>
    </i>
    <i r="1">
      <x v="56"/>
    </i>
    <i r="1">
      <x v="57"/>
    </i>
    <i r="1">
      <x v="58"/>
    </i>
    <i r="1">
      <x v="63"/>
    </i>
    <i r="1">
      <x v="64"/>
    </i>
    <i r="1">
      <x v="68"/>
    </i>
    <i>
      <x v="81"/>
      <x/>
    </i>
    <i r="1">
      <x v="1"/>
    </i>
    <i r="1">
      <x v="8"/>
    </i>
    <i r="1">
      <x v="11"/>
    </i>
    <i r="1">
      <x v="12"/>
    </i>
    <i r="1">
      <x v="14"/>
    </i>
    <i r="1">
      <x v="16"/>
    </i>
    <i r="1">
      <x v="17"/>
    </i>
    <i r="1">
      <x v="24"/>
    </i>
    <i r="1">
      <x v="26"/>
    </i>
    <i r="1">
      <x v="40"/>
    </i>
    <i r="1">
      <x v="41"/>
    </i>
    <i r="1">
      <x v="53"/>
    </i>
    <i r="1">
      <x v="57"/>
    </i>
    <i r="1">
      <x v="62"/>
    </i>
    <i r="1">
      <x v="63"/>
    </i>
    <i>
      <x v="82"/>
      <x v="1"/>
    </i>
    <i r="1">
      <x v="2"/>
    </i>
    <i r="1">
      <x v="8"/>
    </i>
    <i r="1">
      <x v="11"/>
    </i>
    <i r="1">
      <x v="12"/>
    </i>
    <i r="1">
      <x v="14"/>
    </i>
    <i r="1">
      <x v="16"/>
    </i>
    <i r="1">
      <x v="17"/>
    </i>
    <i r="1">
      <x v="24"/>
    </i>
    <i r="1">
      <x v="26"/>
    </i>
    <i r="1">
      <x v="40"/>
    </i>
    <i r="1">
      <x v="41"/>
    </i>
    <i r="1">
      <x v="53"/>
    </i>
    <i r="1">
      <x v="57"/>
    </i>
    <i r="1">
      <x v="62"/>
    </i>
    <i r="1">
      <x v="63"/>
    </i>
    <i>
      <x v="83"/>
      <x v="1"/>
    </i>
    <i r="1">
      <x v="2"/>
    </i>
    <i r="1">
      <x v="8"/>
    </i>
    <i r="1">
      <x v="11"/>
    </i>
    <i r="1">
      <x v="12"/>
    </i>
    <i r="1">
      <x v="14"/>
    </i>
    <i r="1">
      <x v="16"/>
    </i>
    <i r="1">
      <x v="17"/>
    </i>
    <i r="1">
      <x v="24"/>
    </i>
    <i r="1">
      <x v="26"/>
    </i>
    <i r="1">
      <x v="40"/>
    </i>
    <i r="1">
      <x v="41"/>
    </i>
    <i r="1">
      <x v="53"/>
    </i>
    <i r="1">
      <x v="57"/>
    </i>
    <i r="1">
      <x v="62"/>
    </i>
    <i r="1">
      <x v="63"/>
    </i>
    <i>
      <x v="84"/>
      <x v="1"/>
    </i>
    <i r="1">
      <x v="2"/>
    </i>
    <i r="1">
      <x v="8"/>
    </i>
    <i r="1">
      <x v="11"/>
    </i>
    <i r="1">
      <x v="12"/>
    </i>
    <i r="1">
      <x v="14"/>
    </i>
    <i r="1">
      <x v="16"/>
    </i>
    <i r="1">
      <x v="17"/>
    </i>
    <i r="1">
      <x v="24"/>
    </i>
    <i r="1">
      <x v="26"/>
    </i>
    <i r="1">
      <x v="40"/>
    </i>
    <i r="1">
      <x v="41"/>
    </i>
    <i r="1">
      <x v="53"/>
    </i>
    <i r="1">
      <x v="57"/>
    </i>
    <i r="1">
      <x v="62"/>
    </i>
    <i r="1">
      <x v="63"/>
    </i>
    <i>
      <x v="85"/>
      <x v="29"/>
    </i>
    <i>
      <x v="86"/>
      <x v="2"/>
    </i>
    <i r="1">
      <x v="21"/>
    </i>
    <i r="1">
      <x v="35"/>
    </i>
    <i r="1">
      <x v="36"/>
    </i>
    <i r="1">
      <x v="37"/>
    </i>
    <i r="1">
      <x v="52"/>
    </i>
    <i r="1">
      <x v="55"/>
    </i>
    <i>
      <x v="87"/>
      <x v="29"/>
    </i>
    <i>
      <x v="88"/>
      <x v="29"/>
    </i>
    <i>
      <x v="89"/>
      <x v="29"/>
    </i>
    <i>
      <x v="91"/>
      <x v="29"/>
    </i>
    <i>
      <x v="95"/>
      <x v="13"/>
    </i>
    <i>
      <x v="96"/>
      <x v="29"/>
    </i>
    <i>
      <x v="97"/>
      <x v="29"/>
    </i>
    <i>
      <x v="103"/>
      <x v="2"/>
    </i>
    <i r="1">
      <x v="4"/>
    </i>
    <i r="1">
      <x v="7"/>
    </i>
    <i r="1">
      <x v="8"/>
    </i>
    <i r="1">
      <x v="13"/>
    </i>
    <i r="1">
      <x v="23"/>
    </i>
    <i r="1">
      <x v="28"/>
    </i>
    <i r="1">
      <x v="31"/>
    </i>
    <i r="1">
      <x v="62"/>
    </i>
    <i r="1">
      <x v="63"/>
    </i>
    <i r="1">
      <x v="64"/>
    </i>
    <i>
      <x v="104"/>
      <x v="2"/>
    </i>
    <i r="1">
      <x v="4"/>
    </i>
    <i r="1">
      <x v="7"/>
    </i>
    <i r="1">
      <x v="8"/>
    </i>
    <i r="1">
      <x v="13"/>
    </i>
    <i r="1">
      <x v="23"/>
    </i>
    <i r="1">
      <x v="28"/>
    </i>
    <i r="1">
      <x v="31"/>
    </i>
    <i r="1">
      <x v="62"/>
    </i>
    <i r="1">
      <x v="63"/>
    </i>
    <i r="1">
      <x v="64"/>
    </i>
    <i>
      <x v="105"/>
      <x v="2"/>
    </i>
    <i r="1">
      <x v="4"/>
    </i>
    <i r="1">
      <x v="7"/>
    </i>
    <i r="1">
      <x v="8"/>
    </i>
    <i r="1">
      <x v="13"/>
    </i>
    <i r="1">
      <x v="23"/>
    </i>
    <i r="1">
      <x v="28"/>
    </i>
    <i r="1">
      <x v="31"/>
    </i>
    <i r="1">
      <x v="62"/>
    </i>
    <i r="1">
      <x v="63"/>
    </i>
    <i r="1">
      <x v="64"/>
    </i>
    <i>
      <x v="106"/>
      <x v="2"/>
    </i>
    <i r="1">
      <x v="4"/>
    </i>
    <i r="1">
      <x v="7"/>
    </i>
    <i r="1">
      <x v="8"/>
    </i>
    <i r="1">
      <x v="13"/>
    </i>
    <i r="1">
      <x v="23"/>
    </i>
    <i r="1">
      <x v="28"/>
    </i>
    <i r="1">
      <x v="31"/>
    </i>
    <i r="1">
      <x v="62"/>
    </i>
    <i r="1">
      <x v="63"/>
    </i>
    <i r="1">
      <x v="64"/>
    </i>
    <i>
      <x v="107"/>
      <x v="29"/>
    </i>
    <i r="1">
      <x v="31"/>
    </i>
    <i r="1">
      <x v="59"/>
    </i>
    <i r="1">
      <x v="62"/>
    </i>
    <i r="1">
      <x v="63"/>
    </i>
    <i>
      <x v="108"/>
      <x v="29"/>
    </i>
    <i r="1">
      <x v="31"/>
    </i>
    <i r="1">
      <x v="59"/>
    </i>
    <i r="1">
      <x v="62"/>
    </i>
    <i r="1">
      <x v="63"/>
    </i>
    <i>
      <x v="109"/>
      <x v="26"/>
    </i>
    <i>
      <x v="111"/>
      <x/>
    </i>
    <i r="1">
      <x v="4"/>
    </i>
    <i r="1">
      <x v="7"/>
    </i>
    <i r="1">
      <x v="12"/>
    </i>
    <i r="1">
      <x v="15"/>
    </i>
    <i r="1">
      <x v="17"/>
    </i>
    <i r="1">
      <x v="18"/>
    </i>
    <i r="1">
      <x v="20"/>
    </i>
    <i r="1">
      <x v="23"/>
    </i>
    <i r="1">
      <x v="25"/>
    </i>
    <i r="1">
      <x v="26"/>
    </i>
    <i r="1">
      <x v="28"/>
    </i>
    <i r="1">
      <x v="30"/>
    </i>
    <i r="1">
      <x v="31"/>
    </i>
    <i r="1">
      <x v="33"/>
    </i>
    <i r="1">
      <x v="34"/>
    </i>
    <i r="1">
      <x v="35"/>
    </i>
    <i r="1">
      <x v="36"/>
    </i>
    <i r="1">
      <x v="38"/>
    </i>
    <i r="1">
      <x v="41"/>
    </i>
    <i r="1">
      <x v="42"/>
    </i>
    <i r="1">
      <x v="44"/>
    </i>
    <i r="1">
      <x v="45"/>
    </i>
    <i r="1">
      <x v="46"/>
    </i>
    <i r="1">
      <x v="47"/>
    </i>
    <i r="1">
      <x v="48"/>
    </i>
    <i r="1">
      <x v="49"/>
    </i>
    <i r="1">
      <x v="50"/>
    </i>
    <i r="1">
      <x v="51"/>
    </i>
    <i r="1">
      <x v="52"/>
    </i>
    <i r="1">
      <x v="54"/>
    </i>
    <i r="1">
      <x v="55"/>
    </i>
    <i r="1">
      <x v="57"/>
    </i>
    <i r="1">
      <x v="59"/>
    </i>
    <i r="1">
      <x v="62"/>
    </i>
    <i r="1">
      <x v="65"/>
    </i>
    <i r="1">
      <x v="66"/>
    </i>
    <i>
      <x v="113"/>
      <x v="29"/>
    </i>
    <i>
      <x v="122"/>
      <x v="4"/>
    </i>
    <i r="1">
      <x v="7"/>
    </i>
    <i r="1">
      <x v="12"/>
    </i>
    <i r="1">
      <x v="15"/>
    </i>
    <i r="1">
      <x v="17"/>
    </i>
    <i r="1">
      <x v="18"/>
    </i>
    <i r="1">
      <x v="20"/>
    </i>
    <i r="1">
      <x v="23"/>
    </i>
    <i r="1">
      <x v="25"/>
    </i>
    <i r="1">
      <x v="26"/>
    </i>
    <i r="1">
      <x v="28"/>
    </i>
    <i r="1">
      <x v="30"/>
    </i>
    <i r="1">
      <x v="31"/>
    </i>
    <i r="1">
      <x v="33"/>
    </i>
    <i r="1">
      <x v="34"/>
    </i>
    <i r="1">
      <x v="35"/>
    </i>
    <i r="1">
      <x v="36"/>
    </i>
    <i r="1">
      <x v="38"/>
    </i>
    <i r="1">
      <x v="41"/>
    </i>
    <i r="1">
      <x v="42"/>
    </i>
    <i r="1">
      <x v="44"/>
    </i>
    <i r="1">
      <x v="45"/>
    </i>
    <i r="1">
      <x v="46"/>
    </i>
    <i r="1">
      <x v="47"/>
    </i>
    <i r="1">
      <x v="48"/>
    </i>
    <i r="1">
      <x v="49"/>
    </i>
    <i r="1">
      <x v="50"/>
    </i>
    <i r="1">
      <x v="51"/>
    </i>
    <i r="1">
      <x v="52"/>
    </i>
    <i r="1">
      <x v="53"/>
    </i>
    <i r="1">
      <x v="54"/>
    </i>
    <i r="1">
      <x v="55"/>
    </i>
    <i r="1">
      <x v="57"/>
    </i>
    <i r="1">
      <x v="58"/>
    </i>
    <i r="1">
      <x v="59"/>
    </i>
    <i r="1">
      <x v="60"/>
    </i>
    <i r="1">
      <x v="62"/>
    </i>
    <i r="1">
      <x v="65"/>
    </i>
    <i r="1">
      <x v="66"/>
    </i>
    <i>
      <x v="124"/>
      <x v="29"/>
    </i>
    <i>
      <x v="125"/>
      <x v="29"/>
    </i>
    <i>
      <x v="129"/>
      <x v="26"/>
    </i>
    <i>
      <x v="130"/>
      <x v="5"/>
    </i>
    <i r="1">
      <x v="6"/>
    </i>
    <i r="1">
      <x v="7"/>
    </i>
    <i r="1">
      <x v="56"/>
    </i>
    <i>
      <x v="131"/>
      <x v="7"/>
    </i>
    <i r="1">
      <x v="43"/>
    </i>
    <i r="1">
      <x v="68"/>
    </i>
    <i>
      <x v="134"/>
      <x v="29"/>
    </i>
    <i>
      <x v="135"/>
      <x v="29"/>
    </i>
    <i>
      <x v="136"/>
      <x v="29"/>
    </i>
    <i>
      <x v="137"/>
      <x v="29"/>
    </i>
    <i>
      <x v="138"/>
      <x v="29"/>
    </i>
    <i>
      <x v="140"/>
      <x v="29"/>
    </i>
    <i>
      <x v="141"/>
      <x v="7"/>
    </i>
    <i r="1">
      <x v="18"/>
    </i>
    <i r="1">
      <x v="20"/>
    </i>
    <i r="1">
      <x v="23"/>
    </i>
    <i r="1">
      <x v="28"/>
    </i>
    <i r="1">
      <x v="29"/>
    </i>
    <i r="1">
      <x v="30"/>
    </i>
    <i r="1">
      <x v="33"/>
    </i>
    <i r="1">
      <x v="34"/>
    </i>
    <i r="1">
      <x v="35"/>
    </i>
    <i r="1">
      <x v="36"/>
    </i>
    <i r="1">
      <x v="38"/>
    </i>
    <i r="1">
      <x v="43"/>
    </i>
    <i r="1">
      <x v="44"/>
    </i>
    <i r="1">
      <x v="45"/>
    </i>
    <i r="1">
      <x v="46"/>
    </i>
    <i r="1">
      <x v="47"/>
    </i>
    <i r="1">
      <x v="48"/>
    </i>
    <i r="1">
      <x v="49"/>
    </i>
    <i r="1">
      <x v="50"/>
    </i>
    <i r="1">
      <x v="51"/>
    </i>
    <i r="1">
      <x v="52"/>
    </i>
    <i r="1">
      <x v="64"/>
    </i>
    <i r="1">
      <x v="65"/>
    </i>
    <i r="1">
      <x v="66"/>
    </i>
    <i>
      <x v="143"/>
      <x v="7"/>
    </i>
    <i r="1">
      <x v="57"/>
    </i>
    <i>
      <x v="144"/>
      <x v="41"/>
    </i>
    <i r="1">
      <x v="56"/>
    </i>
    <i>
      <x v="145"/>
      <x v="29"/>
    </i>
    <i>
      <x v="146"/>
      <x v="29"/>
    </i>
    <i>
      <x v="148"/>
      <x v="29"/>
    </i>
    <i>
      <x v="149"/>
      <x v="25"/>
    </i>
    <i r="1">
      <x v="57"/>
    </i>
    <i>
      <x v="168"/>
      <x v="29"/>
    </i>
    <i>
      <x v="170"/>
      <x v="29"/>
    </i>
    <i>
      <x v="171"/>
      <x/>
    </i>
    <i r="1">
      <x v="1"/>
    </i>
    <i r="1">
      <x v="2"/>
    </i>
    <i r="1">
      <x v="4"/>
    </i>
    <i r="1">
      <x v="5"/>
    </i>
    <i r="1">
      <x v="7"/>
    </i>
    <i r="1">
      <x v="15"/>
    </i>
    <i r="1">
      <x v="16"/>
    </i>
    <i r="1">
      <x v="18"/>
    </i>
    <i r="1">
      <x v="20"/>
    </i>
    <i r="1">
      <x v="21"/>
    </i>
    <i r="1">
      <x v="22"/>
    </i>
    <i r="1">
      <x v="23"/>
    </i>
    <i r="1">
      <x v="25"/>
    </i>
    <i r="1">
      <x v="26"/>
    </i>
    <i r="1">
      <x v="28"/>
    </i>
    <i r="1">
      <x v="31"/>
    </i>
    <i r="1">
      <x v="34"/>
    </i>
    <i r="1">
      <x v="38"/>
    </i>
    <i r="1">
      <x v="43"/>
    </i>
    <i r="1">
      <x v="44"/>
    </i>
    <i r="1">
      <x v="45"/>
    </i>
    <i r="1">
      <x v="46"/>
    </i>
    <i r="1">
      <x v="47"/>
    </i>
    <i r="1">
      <x v="48"/>
    </i>
    <i r="1">
      <x v="49"/>
    </i>
    <i r="1">
      <x v="50"/>
    </i>
    <i r="1">
      <x v="51"/>
    </i>
    <i r="1">
      <x v="52"/>
    </i>
    <i r="1">
      <x v="54"/>
    </i>
    <i r="1">
      <x v="55"/>
    </i>
    <i r="1">
      <x v="56"/>
    </i>
    <i r="1">
      <x v="57"/>
    </i>
    <i r="1">
      <x v="59"/>
    </i>
    <i r="1">
      <x v="60"/>
    </i>
    <i r="1">
      <x v="62"/>
    </i>
    <i r="1">
      <x v="65"/>
    </i>
    <i r="1">
      <x v="66"/>
    </i>
    <i r="1">
      <x v="68"/>
    </i>
    <i>
      <x v="172"/>
      <x v="21"/>
    </i>
    <i r="1">
      <x v="43"/>
    </i>
    <i r="1">
      <x v="56"/>
    </i>
    <i r="1">
      <x v="58"/>
    </i>
    <i>
      <x v="173"/>
      <x v="29"/>
    </i>
    <i>
      <x v="174"/>
      <x v="29"/>
    </i>
    <i>
      <x v="175"/>
      <x v="43"/>
    </i>
    <i r="1">
      <x v="57"/>
    </i>
    <i>
      <x v="176"/>
      <x v="4"/>
    </i>
    <i r="1">
      <x v="11"/>
    </i>
    <i r="1">
      <x v="13"/>
    </i>
    <i r="1">
      <x v="21"/>
    </i>
    <i r="1">
      <x v="29"/>
    </i>
    <i r="1">
      <x v="30"/>
    </i>
    <i r="1">
      <x v="33"/>
    </i>
    <i r="1">
      <x v="41"/>
    </i>
    <i r="1">
      <x v="43"/>
    </i>
    <i r="1">
      <x v="52"/>
    </i>
    <i r="1">
      <x v="54"/>
    </i>
    <i r="1">
      <x v="55"/>
    </i>
    <i r="1">
      <x v="56"/>
    </i>
    <i r="1">
      <x v="57"/>
    </i>
    <i r="1">
      <x v="58"/>
    </i>
    <i r="1">
      <x v="59"/>
    </i>
    <i r="1">
      <x v="62"/>
    </i>
    <i>
      <x v="177"/>
      <x v="29"/>
    </i>
    <i>
      <x v="178"/>
      <x v="29"/>
    </i>
    <i>
      <x v="179"/>
      <x v="29"/>
    </i>
    <i>
      <x v="180"/>
      <x v="29"/>
    </i>
    <i>
      <x v="181"/>
      <x v="29"/>
    </i>
    <i>
      <x v="182"/>
      <x v="29"/>
    </i>
    <i>
      <x v="183"/>
      <x v="29"/>
    </i>
    <i>
      <x v="184"/>
      <x v="29"/>
    </i>
    <i>
      <x v="185"/>
      <x v="29"/>
    </i>
    <i>
      <x v="186"/>
      <x v="29"/>
    </i>
    <i>
      <x v="187"/>
      <x v="29"/>
    </i>
  </rowItems>
  <colItems count="1">
    <i/>
  </colItems>
  <dataFields count="1">
    <dataField name="Original Quantity" fld="25"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 Conso ICT 2025" cacheId="6" applyNumberFormats="0" applyBorderFormats="0" applyFontFormats="0" applyPatternFormats="0" applyAlignmentFormats="0" applyWidthHeightFormats="0" dataCaption="" updatedVersion="6" rowGrandTotals="0" compact="0" compactData="0">
  <location ref="A1:B186" firstHeaderRow="1" firstDataRow="1" firstDataCol="1"/>
  <pivotFields count="26">
    <pivotField name="Item No." compact="0" outline="0" multipleItemSelectionAllowed="1" showAll="0"/>
    <pivotField name="Item Description / General Specification" compact="0" outline="0" multipleItemSelectionAllowed="1" showAll="0"/>
    <pivotField name="Total Quantity" dataField="1" compact="0" outline="0" multipleItemSelectionAllowed="1" showAll="0"/>
    <pivotField name="Unit" compact="0" outline="0" multipleItemSelectionAllowed="1" showAll="0"/>
    <pivotField name="Unit Price" compact="0" outline="0" multipleItemSelectionAllowed="1" showAll="0"/>
    <pivotField name="Total price" compact="0" outline="0" multipleItemSelectionAllowed="1" showAll="0"/>
    <pivotField name="Mode of Procurement" compact="0" outline="0" multipleItemSelectionAllowed="1" showAll="0"/>
    <pivotField name="QTY1" compact="0" outline="0" multipleItemSelectionAllowed="1" showAll="0"/>
    <pivotField name="Jan" compact="0" outline="0" multipleItemSelectionAllowed="1" showAll="0"/>
    <pivotField name="Feb" compact="0" outline="0" multipleItemSelectionAllowed="1" showAll="0"/>
    <pivotField name="Mar" compact="0" outline="0" multipleItemSelectionAllowed="1" showAll="0"/>
    <pivotField name="QTY2" compact="0" outline="0" multipleItemSelectionAllowed="1" showAll="0"/>
    <pivotField name="Apr" compact="0" outline="0" multipleItemSelectionAllowed="1" showAll="0"/>
    <pivotField name="May" compact="0" outline="0" multipleItemSelectionAllowed="1" showAll="0"/>
    <pivotField name="Jun" compact="0" outline="0" multipleItemSelectionAllowed="1" showAll="0"/>
    <pivotField name="QTY3" compact="0" outline="0" multipleItemSelectionAllowed="1" showAll="0"/>
    <pivotField name="July" compact="0" outline="0" multipleItemSelectionAllowed="1" showAll="0"/>
    <pivotField name="Aug" compact="0" outline="0" multipleItemSelectionAllowed="1" showAll="0"/>
    <pivotField name="Sept" compact="0" outline="0" multipleItemSelectionAllowed="1" showAll="0"/>
    <pivotField name="QTY4" compact="0" outline="0" multipleItemSelectionAllowed="1" showAll="0"/>
    <pivotField name="Oct" compact="0" outline="0" multipleItemSelectionAllowed="1" showAll="0"/>
    <pivotField name="Nov" compact="0" outline="0" multipleItemSelectionAllowed="1" showAll="0"/>
    <pivotField name="Dec" compact="0" outline="0" multipleItemSelectionAllowed="1" showAll="0"/>
    <pivotField name="End USer" compact="0" outline="0" multipleItemSelectionAllowed="1" showAll="0"/>
    <pivotField name="PPMP2025" axis="axisRow" compact="0" outline="0" multipleItemSelectionAllowed="1" showAll="0" sortType="ascending">
      <items count="190">
        <item x="98"/>
        <item x="99"/>
        <item x="100"/>
        <item x="101"/>
        <item x="102"/>
        <item x="54"/>
        <item x="103"/>
        <item x="90"/>
        <item x="38"/>
        <item x="37"/>
        <item x="104"/>
        <item x="105"/>
        <item x="106"/>
        <item x="87"/>
        <item x="107"/>
        <item x="39"/>
        <item x="108"/>
        <item x="20"/>
        <item x="109"/>
        <item x="110"/>
        <item x="111"/>
        <item x="112"/>
        <item x="113"/>
        <item x="114"/>
        <item x="36"/>
        <item x="115"/>
        <item x="116"/>
        <item x="117"/>
        <item m="1" x="188"/>
        <item h="1" x="86"/>
        <item x="88"/>
        <item x="118"/>
        <item x="119"/>
        <item x="120"/>
        <item x="41"/>
        <item x="44"/>
        <item x="121"/>
        <item x="122"/>
        <item x="123"/>
        <item x="124"/>
        <item x="53"/>
        <item x="125"/>
        <item x="126"/>
        <item x="127"/>
        <item x="128"/>
        <item x="129"/>
        <item x="130"/>
        <item x="131"/>
        <item x="132"/>
        <item x="133"/>
        <item x="48"/>
        <item x="134"/>
        <item x="135"/>
        <item x="0"/>
        <item h="1" x="89"/>
        <item x="40"/>
        <item x="67"/>
        <item x="66"/>
        <item x="68"/>
        <item x="83"/>
        <item x="73"/>
        <item x="136"/>
        <item x="137"/>
        <item x="138"/>
        <item x="139"/>
        <item x="63"/>
        <item x="140"/>
        <item x="12"/>
        <item x="69"/>
        <item x="75"/>
        <item x="141"/>
        <item x="142"/>
        <item x="91"/>
        <item x="47"/>
        <item x="62"/>
        <item x="92"/>
        <item x="1"/>
        <item x="26"/>
        <item x="27"/>
        <item x="29"/>
        <item x="28"/>
        <item x="16"/>
        <item x="17"/>
        <item x="18"/>
        <item x="19"/>
        <item x="143"/>
        <item x="6"/>
        <item x="144"/>
        <item x="145"/>
        <item x="146"/>
        <item x="147"/>
        <item x="148"/>
        <item x="93"/>
        <item x="94"/>
        <item x="149"/>
        <item x="43"/>
        <item x="150"/>
        <item x="151"/>
        <item x="58"/>
        <item x="59"/>
        <item x="57"/>
        <item x="55"/>
        <item x="60"/>
        <item x="32"/>
        <item x="31"/>
        <item x="33"/>
        <item x="30"/>
        <item x="50"/>
        <item x="51"/>
        <item x="78"/>
        <item x="15"/>
        <item x="13"/>
        <item x="152"/>
        <item x="153"/>
        <item x="95"/>
        <item x="8"/>
        <item x="81"/>
        <item x="10"/>
        <item x="79"/>
        <item x="35"/>
        <item x="82"/>
        <item x="154"/>
        <item x="14"/>
        <item x="96"/>
        <item x="155"/>
        <item x="156"/>
        <item x="22"/>
        <item x="157"/>
        <item x="158"/>
        <item x="77"/>
        <item x="42"/>
        <item x="64"/>
        <item x="159"/>
        <item x="160"/>
        <item x="161"/>
        <item x="162"/>
        <item x="163"/>
        <item x="164"/>
        <item x="165"/>
        <item x="166"/>
        <item x="167"/>
        <item x="52"/>
        <item x="97"/>
        <item x="71"/>
        <item x="72"/>
        <item x="168"/>
        <item x="169"/>
        <item x="170"/>
        <item x="171"/>
        <item x="61"/>
        <item x="85"/>
        <item x="84"/>
        <item x="7"/>
        <item x="46"/>
        <item x="49"/>
        <item x="45"/>
        <item x="80"/>
        <item x="9"/>
        <item x="76"/>
        <item x="11"/>
        <item x="70"/>
        <item x="25"/>
        <item x="74"/>
        <item x="34"/>
        <item x="56"/>
        <item x="21"/>
        <item x="23"/>
        <item x="24"/>
        <item x="172"/>
        <item x="173"/>
        <item x="174"/>
        <item x="3"/>
        <item x="4"/>
        <item x="175"/>
        <item x="176"/>
        <item x="65"/>
        <item x="2"/>
        <item x="177"/>
        <item x="178"/>
        <item x="179"/>
        <item x="180"/>
        <item x="181"/>
        <item x="182"/>
        <item x="183"/>
        <item x="184"/>
        <item x="185"/>
        <item x="186"/>
        <item x="187"/>
        <item h="1" x="5"/>
        <item t="default"/>
      </items>
    </pivotField>
    <pivotField name="IHOMP REMARKS" compact="0" outline="0" multipleItemSelectionAllowed="1" showAll="0"/>
  </pivotFields>
  <rowFields count="1">
    <field x="24"/>
  </rowFields>
  <rowItems count="185">
    <i>
      <x/>
    </i>
    <i>
      <x v="1"/>
    </i>
    <i>
      <x v="2"/>
    </i>
    <i>
      <x v="3"/>
    </i>
    <i>
      <x v="4"/>
    </i>
    <i>
      <x v="5"/>
    </i>
    <i>
      <x v="6"/>
    </i>
    <i>
      <x v="7"/>
    </i>
    <i>
      <x v="8"/>
    </i>
    <i>
      <x v="9"/>
    </i>
    <i>
      <x v="10"/>
    </i>
    <i>
      <x v="11"/>
    </i>
    <i>
      <x v="12"/>
    </i>
    <i>
      <x v="13"/>
    </i>
    <i>
      <x v="14"/>
    </i>
    <i>
      <x v="15"/>
    </i>
    <i>
      <x v="16"/>
    </i>
    <i>
      <x v="17"/>
    </i>
    <i>
      <x v="18"/>
    </i>
    <i>
      <x v="19"/>
    </i>
    <i>
      <x v="20"/>
    </i>
    <i>
      <x v="21"/>
    </i>
    <i>
      <x v="22"/>
    </i>
    <i>
      <x v="23"/>
    </i>
    <i>
      <x v="24"/>
    </i>
    <i>
      <x v="25"/>
    </i>
    <i>
      <x v="26"/>
    </i>
    <i>
      <x v="27"/>
    </i>
    <i>
      <x v="30"/>
    </i>
    <i>
      <x v="31"/>
    </i>
    <i>
      <x v="32"/>
    </i>
    <i>
      <x v="33"/>
    </i>
    <i>
      <x v="34"/>
    </i>
    <i>
      <x v="35"/>
    </i>
    <i>
      <x v="36"/>
    </i>
    <i>
      <x v="37"/>
    </i>
    <i>
      <x v="38"/>
    </i>
    <i>
      <x v="39"/>
    </i>
    <i>
      <x v="40"/>
    </i>
    <i>
      <x v="41"/>
    </i>
    <i>
      <x v="42"/>
    </i>
    <i>
      <x v="43"/>
    </i>
    <i>
      <x v="44"/>
    </i>
    <i>
      <x v="45"/>
    </i>
    <i>
      <x v="46"/>
    </i>
    <i>
      <x v="47"/>
    </i>
    <i>
      <x v="48"/>
    </i>
    <i>
      <x v="49"/>
    </i>
    <i>
      <x v="50"/>
    </i>
    <i>
      <x v="51"/>
    </i>
    <i>
      <x v="52"/>
    </i>
    <i>
      <x v="53"/>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rowItems>
  <colItems count="1">
    <i/>
  </colItems>
  <dataFields count="1">
    <dataField name="SUM of Total Quantity" fld="2"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Copy of Pivot 2024 Conso" cacheId="10" applyNumberFormats="0" applyBorderFormats="0" applyFontFormats="0" applyPatternFormats="0" applyAlignmentFormats="0" applyWidthHeightFormats="0" dataCaption="" updatedVersion="6" rowGrandTotals="0" compact="0" compactData="0">
  <location ref="A1:B116" firstHeaderRow="1" firstDataRow="1" firstDataCol="1"/>
  <pivotFields count="26">
    <pivotField name="Item Description / General Specification" compact="0" outline="0" multipleItemSelectionAllowed="1" showAll="0"/>
    <pivotField name="Total Quantity" compact="0" outline="0" multipleItemSelectionAllowed="1" showAll="0"/>
    <pivotField name="Unit" compact="0" outline="0" multipleItemSelectionAllowed="1" showAll="0"/>
    <pivotField name="Unit Price" compact="0" outline="0" multipleItemSelectionAllowed="1" showAll="0"/>
    <pivotField name="Total price" compact="0" outline="0" multipleItemSelectionAllowed="1" showAll="0"/>
    <pivotField name="Mode of Procurement" compact="0" outline="0" multipleItemSelectionAllowed="1" showAll="0"/>
    <pivotField name="QTY1" compact="0" outline="0" multipleItemSelectionAllowed="1" showAll="0"/>
    <pivotField name="Jan" compact="0" outline="0" multipleItemSelectionAllowed="1" showAll="0"/>
    <pivotField name="Feb" compact="0" outline="0" multipleItemSelectionAllowed="1" showAll="0"/>
    <pivotField name="Mar" compact="0" outline="0" multipleItemSelectionAllowed="1" showAll="0"/>
    <pivotField name="QTY2" compact="0" outline="0" multipleItemSelectionAllowed="1" showAll="0"/>
    <pivotField name="Apr" compact="0" outline="0" multipleItemSelectionAllowed="1" showAll="0"/>
    <pivotField name="May" compact="0" outline="0" multipleItemSelectionAllowed="1" showAll="0"/>
    <pivotField name="Jun" compact="0" outline="0" multipleItemSelectionAllowed="1" showAll="0"/>
    <pivotField name="QTY3" compact="0" outline="0" multipleItemSelectionAllowed="1" showAll="0"/>
    <pivotField name="July" compact="0" outline="0" multipleItemSelectionAllowed="1" showAll="0"/>
    <pivotField name="Aug" compact="0" outline="0" multipleItemSelectionAllowed="1" showAll="0"/>
    <pivotField name="Sept" compact="0" outline="0" multipleItemSelectionAllowed="1" showAll="0"/>
    <pivotField name="QTY4" compact="0" outline="0" multipleItemSelectionAllowed="1" showAll="0"/>
    <pivotField name="Oct" compact="0" outline="0" multipleItemSelectionAllowed="1" showAll="0"/>
    <pivotField name="Nov" compact="0" outline="0" multipleItemSelectionAllowed="1" showAll="0"/>
    <pivotField name="Dec" compact="0" outline="0" multipleItemSelectionAllowed="1" showAll="0"/>
    <pivotField name="End USer" compact="0" outline="0" multipleItemSelectionAllowed="1" showAll="0"/>
    <pivotField name="PPMP2025" axis="axisRow" compact="0" outline="0" multipleItemSelectionAllowed="1" showAll="0" sortType="ascending">
      <items count="190">
        <item x="98"/>
        <item h="1" x="99"/>
        <item x="100"/>
        <item x="101"/>
        <item x="102"/>
        <item x="54"/>
        <item x="103"/>
        <item x="90"/>
        <item h="1" x="38"/>
        <item x="37"/>
        <item x="104"/>
        <item h="1" x="105"/>
        <item x="106"/>
        <item x="87"/>
        <item h="1" x="107"/>
        <item x="39"/>
        <item x="108"/>
        <item x="20"/>
        <item x="109"/>
        <item h="1" x="110"/>
        <item x="111"/>
        <item x="112"/>
        <item h="1" x="113"/>
        <item x="114"/>
        <item h="1" x="36"/>
        <item x="115"/>
        <item h="1" x="116"/>
        <item h="1" x="117"/>
        <item h="1" m="1" x="188"/>
        <item h="1" x="86"/>
        <item x="88"/>
        <item x="118"/>
        <item h="1" x="119"/>
        <item x="120"/>
        <item x="41"/>
        <item x="44"/>
        <item h="1" x="121"/>
        <item x="122"/>
        <item x="123"/>
        <item x="124"/>
        <item x="53"/>
        <item x="125"/>
        <item x="126"/>
        <item x="127"/>
        <item x="128"/>
        <item x="129"/>
        <item x="130"/>
        <item x="131"/>
        <item x="132"/>
        <item x="133"/>
        <item h="1" x="48"/>
        <item h="1" x="134"/>
        <item h="1" x="135"/>
        <item x="0"/>
        <item h="1" x="89"/>
        <item x="40"/>
        <item x="67"/>
        <item x="66"/>
        <item x="68"/>
        <item x="83"/>
        <item h="1" x="73"/>
        <item x="136"/>
        <item h="1" x="137"/>
        <item x="138"/>
        <item x="139"/>
        <item h="1" x="63"/>
        <item h="1" x="140"/>
        <item h="1" x="12"/>
        <item h="1" x="69"/>
        <item h="1" x="75"/>
        <item h="1" x="141"/>
        <item x="142"/>
        <item h="1" x="91"/>
        <item h="1" x="47"/>
        <item x="62"/>
        <item h="1" x="92"/>
        <item x="1"/>
        <item x="26"/>
        <item x="27"/>
        <item x="29"/>
        <item x="28"/>
        <item x="16"/>
        <item x="17"/>
        <item x="18"/>
        <item x="19"/>
        <item x="143"/>
        <item x="6"/>
        <item x="144"/>
        <item x="145"/>
        <item x="146"/>
        <item h="1" x="147"/>
        <item x="148"/>
        <item h="1" x="93"/>
        <item h="1" x="94"/>
        <item h="1" x="149"/>
        <item x="43"/>
        <item x="150"/>
        <item x="151"/>
        <item h="1" x="58"/>
        <item h="1" x="59"/>
        <item h="1" x="57"/>
        <item h="1" x="55"/>
        <item h="1" x="60"/>
        <item x="32"/>
        <item x="31"/>
        <item x="33"/>
        <item x="30"/>
        <item x="50"/>
        <item x="51"/>
        <item x="78"/>
        <item h="1" x="15"/>
        <item x="13"/>
        <item h="1" x="152"/>
        <item x="153"/>
        <item x="95"/>
        <item h="1" x="8"/>
        <item h="1" x="81"/>
        <item h="1" x="10"/>
        <item h="1" x="79"/>
        <item h="1" x="35"/>
        <item h="1" x="82"/>
        <item h="1" x="154"/>
        <item x="14"/>
        <item h="1" x="96"/>
        <item x="155"/>
        <item x="156"/>
        <item h="1" x="22"/>
        <item h="1" x="157"/>
        <item h="1" x="158"/>
        <item x="77"/>
        <item x="42"/>
        <item x="64"/>
        <item h="1" x="159"/>
        <item h="1" x="160"/>
        <item x="161"/>
        <item x="162"/>
        <item x="163"/>
        <item x="164"/>
        <item x="165"/>
        <item h="1" x="166"/>
        <item x="167"/>
        <item x="52"/>
        <item x="97"/>
        <item x="71"/>
        <item x="72"/>
        <item x="168"/>
        <item x="169"/>
        <item h="1" x="170"/>
        <item x="171"/>
        <item x="61"/>
        <item h="1" x="85"/>
        <item h="1" x="84"/>
        <item h="1" x="7"/>
        <item h="1" x="46"/>
        <item h="1" x="49"/>
        <item h="1" x="45"/>
        <item h="1" x="80"/>
        <item h="1" x="9"/>
        <item h="1" x="76"/>
        <item h="1" x="11"/>
        <item h="1" x="70"/>
        <item h="1" x="25"/>
        <item h="1" x="74"/>
        <item h="1" x="34"/>
        <item h="1" x="56"/>
        <item h="1" x="21"/>
        <item h="1" x="23"/>
        <item h="1" x="24"/>
        <item x="172"/>
        <item h="1" x="173"/>
        <item x="174"/>
        <item x="3"/>
        <item x="4"/>
        <item x="175"/>
        <item x="176"/>
        <item x="65"/>
        <item x="2"/>
        <item x="177"/>
        <item x="178"/>
        <item x="179"/>
        <item x="180"/>
        <item x="181"/>
        <item x="182"/>
        <item x="183"/>
        <item x="184"/>
        <item x="185"/>
        <item x="186"/>
        <item x="187"/>
        <item h="1" x="5"/>
        <item t="default"/>
      </items>
    </pivotField>
    <pivotField name="IHOMP REMARKS" compact="0" outline="0" multipleItemSelectionAllowed="1" showAll="0"/>
    <pivotField name="New Total Quantity" dataField="1" compact="0" outline="0" multipleItemSelectionAllowed="1" showAll="0"/>
  </pivotFields>
  <rowFields count="1">
    <field x="23"/>
  </rowFields>
  <rowItems count="115">
    <i>
      <x/>
    </i>
    <i>
      <x v="2"/>
    </i>
    <i>
      <x v="3"/>
    </i>
    <i>
      <x v="4"/>
    </i>
    <i>
      <x v="5"/>
    </i>
    <i>
      <x v="6"/>
    </i>
    <i>
      <x v="7"/>
    </i>
    <i>
      <x v="9"/>
    </i>
    <i>
      <x v="10"/>
    </i>
    <i>
      <x v="12"/>
    </i>
    <i>
      <x v="13"/>
    </i>
    <i>
      <x v="15"/>
    </i>
    <i>
      <x v="16"/>
    </i>
    <i>
      <x v="17"/>
    </i>
    <i>
      <x v="18"/>
    </i>
    <i>
      <x v="20"/>
    </i>
    <i>
      <x v="21"/>
    </i>
    <i>
      <x v="23"/>
    </i>
    <i>
      <x v="25"/>
    </i>
    <i>
      <x v="30"/>
    </i>
    <i>
      <x v="31"/>
    </i>
    <i>
      <x v="33"/>
    </i>
    <i>
      <x v="34"/>
    </i>
    <i>
      <x v="35"/>
    </i>
    <i>
      <x v="37"/>
    </i>
    <i>
      <x v="38"/>
    </i>
    <i>
      <x v="39"/>
    </i>
    <i>
      <x v="40"/>
    </i>
    <i>
      <x v="41"/>
    </i>
    <i>
      <x v="42"/>
    </i>
    <i>
      <x v="43"/>
    </i>
    <i>
      <x v="44"/>
    </i>
    <i>
      <x v="45"/>
    </i>
    <i>
      <x v="46"/>
    </i>
    <i>
      <x v="47"/>
    </i>
    <i>
      <x v="48"/>
    </i>
    <i>
      <x v="49"/>
    </i>
    <i>
      <x v="53"/>
    </i>
    <i>
      <x v="55"/>
    </i>
    <i>
      <x v="56"/>
    </i>
    <i>
      <x v="57"/>
    </i>
    <i>
      <x v="58"/>
    </i>
    <i>
      <x v="59"/>
    </i>
    <i>
      <x v="61"/>
    </i>
    <i>
      <x v="63"/>
    </i>
    <i>
      <x v="64"/>
    </i>
    <i>
      <x v="71"/>
    </i>
    <i>
      <x v="74"/>
    </i>
    <i>
      <x v="76"/>
    </i>
    <i>
      <x v="77"/>
    </i>
    <i>
      <x v="78"/>
    </i>
    <i>
      <x v="79"/>
    </i>
    <i>
      <x v="80"/>
    </i>
    <i>
      <x v="81"/>
    </i>
    <i>
      <x v="82"/>
    </i>
    <i>
      <x v="83"/>
    </i>
    <i>
      <x v="84"/>
    </i>
    <i>
      <x v="85"/>
    </i>
    <i>
      <x v="86"/>
    </i>
    <i>
      <x v="87"/>
    </i>
    <i>
      <x v="88"/>
    </i>
    <i>
      <x v="89"/>
    </i>
    <i>
      <x v="91"/>
    </i>
    <i>
      <x v="95"/>
    </i>
    <i>
      <x v="96"/>
    </i>
    <i>
      <x v="97"/>
    </i>
    <i>
      <x v="103"/>
    </i>
    <i>
      <x v="104"/>
    </i>
    <i>
      <x v="105"/>
    </i>
    <i>
      <x v="106"/>
    </i>
    <i>
      <x v="107"/>
    </i>
    <i>
      <x v="108"/>
    </i>
    <i>
      <x v="109"/>
    </i>
    <i>
      <x v="111"/>
    </i>
    <i>
      <x v="113"/>
    </i>
    <i>
      <x v="114"/>
    </i>
    <i>
      <x v="122"/>
    </i>
    <i>
      <x v="124"/>
    </i>
    <i>
      <x v="125"/>
    </i>
    <i>
      <x v="129"/>
    </i>
    <i>
      <x v="130"/>
    </i>
    <i>
      <x v="131"/>
    </i>
    <i>
      <x v="134"/>
    </i>
    <i>
      <x v="135"/>
    </i>
    <i>
      <x v="136"/>
    </i>
    <i>
      <x v="137"/>
    </i>
    <i>
      <x v="138"/>
    </i>
    <i>
      <x v="140"/>
    </i>
    <i>
      <x v="141"/>
    </i>
    <i>
      <x v="142"/>
    </i>
    <i>
      <x v="143"/>
    </i>
    <i>
      <x v="144"/>
    </i>
    <i>
      <x v="145"/>
    </i>
    <i>
      <x v="146"/>
    </i>
    <i>
      <x v="148"/>
    </i>
    <i>
      <x v="149"/>
    </i>
    <i>
      <x v="168"/>
    </i>
    <i>
      <x v="170"/>
    </i>
    <i>
      <x v="171"/>
    </i>
    <i>
      <x v="172"/>
    </i>
    <i>
      <x v="173"/>
    </i>
    <i>
      <x v="174"/>
    </i>
    <i>
      <x v="175"/>
    </i>
    <i>
      <x v="176"/>
    </i>
    <i>
      <x v="177"/>
    </i>
    <i>
      <x v="178"/>
    </i>
    <i>
      <x v="179"/>
    </i>
    <i>
      <x v="180"/>
    </i>
    <i>
      <x v="181"/>
    </i>
    <i>
      <x v="182"/>
    </i>
    <i>
      <x v="183"/>
    </i>
    <i>
      <x v="184"/>
    </i>
    <i>
      <x v="185"/>
    </i>
    <i>
      <x v="186"/>
    </i>
    <i>
      <x v="187"/>
    </i>
  </rowItems>
  <colItems count="1">
    <i/>
  </colItems>
  <dataFields count="1">
    <dataField name="Original Quantity" fld="25"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lazada.com.ph/products/ampcom-krone-punch-down-tool-multifunction-krone-kd-1-type-idcnetwork-wire-cat5e6-and-telephone-impact-terminal-insertion-tools-i2118481877.html?spm=a2o4l.store_product.list.102.6d951741ZnszOD" TargetMode="External"/><Relationship Id="rId13" Type="http://schemas.openxmlformats.org/officeDocument/2006/relationships/hyperlink" Target="https://www.lazada.com.ph/products/ampcom-m6-cabinet-screws-rack-mount-cage-nuts-screws-and-washers-for-rack-mount-server-cabinet-rack-mount-server-shelves-routers-i3436741799.html?spm=a2o4l.store_product.list.354.6d951741ZnszOD" TargetMode="External"/><Relationship Id="rId3" Type="http://schemas.openxmlformats.org/officeDocument/2006/relationships/hyperlink" Target="https://www.lazada.com.ph/products/ampcom-rj11-rj45-faceplate-wall-socket-wallplate-face-plate-1-port-2-port-4-port-networking-telephone-socket-outlet-mount-panel-i731792873.html?spm=a2o4l.store_product.list.73.6d951741ZnszOD" TargetMode="External"/><Relationship Id="rId7" Type="http://schemas.openxmlformats.org/officeDocument/2006/relationships/hyperlink" Target="https://www.lazada.com.ph/products/ampcom-patch-panel-24-port-patch-panel-pass-through-rj45-stp-thru-coupler-patch-panel-with-backplane-rack-mount-1u-19-cat6cat7-stp-rj45-inline-coupler-keystone-jack-i2933882276.html?spm=a2o4l.store_product.list.92.6d951741ZnszOD" TargetMode="External"/><Relationship Id="rId12" Type="http://schemas.openxmlformats.org/officeDocument/2006/relationships/hyperlink" Target="https://www.lazada.com.ph/products/ampcom-network-cable-tester-rj45-ethernet-cable-tester-lan-test-tool-for-cat5-cat6-cat7-8p-6p-lan-cable-and-rj11-telephone-cable-i3778676306.html?spm=a2o4l.store_product.list.349.6d951741ZnszOD" TargetMode="External"/><Relationship Id="rId17" Type="http://schemas.openxmlformats.org/officeDocument/2006/relationships/hyperlink" Target="https://www.lazada.com.ph/products/3m-double-sided-super-strength-molding-tape-original-i3427762658-s17568015895.html?" TargetMode="External"/><Relationship Id="rId2" Type="http://schemas.openxmlformats.org/officeDocument/2006/relationships/hyperlink" Target="https://www.lazada.com.ph/products/ampcom-86-type-wall-faceplate-with-mounting-junction-box-networking-telephone-socket-outlet-mount-panel-for-rj45-rj11-module-i2398200671-s10925445225.html?spm=a2o4l.tm80167379.7779702790.1.1503baNpbaNpbT.1503baNpbaNpbT" TargetMode="External"/><Relationship Id="rId16" Type="http://schemas.openxmlformats.org/officeDocument/2006/relationships/hyperlink" Target="https://www.lazada.com.ph/products/ampcom-cat6-network-cable-rj45-lan-cable-24awg-utp-cat6-rj45-network-cable-patch-cord-for-desktop-computers-modem-router-i3073885557-s15151131668.html?" TargetMode="External"/><Relationship Id="rId1" Type="http://schemas.openxmlformats.org/officeDocument/2006/relationships/hyperlink" Target="https://www.lazada.com.ph/products/4u-4-layer-data-cabinet-wallmounted-data-cabinet-600x450x230-w-2pcs-fan-1pc-pdu-6slot-assembled-i2235929681.html?spm=a2o4l.searchlist.list.9.4fe15f3c4jQNfz" TargetMode="External"/><Relationship Id="rId6" Type="http://schemas.openxmlformats.org/officeDocument/2006/relationships/hyperlink" Target="https://www.lazada.com.ph/products/ampcom-19-inches-universal-pdu-6-outlets-with-surge-protection-spd-module-1016a-power-strip-for-serve-room-cabinet-networking-i2953726890.html?spm=a2o4l.store_product.list.77.6d951741ZnszOD" TargetMode="External"/><Relationship Id="rId11" Type="http://schemas.openxmlformats.org/officeDocument/2006/relationships/hyperlink" Target="https://www.lazada.com.ph/products/ampcom-cat6-rj45-pass-through-connectors-ez-to-crimp-modular-network-connector-for-computer-hardware-stranded-utp-cable-i3636247969.html?spm=a2o4l.store_product.list.262.6d951741ZnszOD" TargetMode="External"/><Relationship Id="rId5" Type="http://schemas.openxmlformats.org/officeDocument/2006/relationships/hyperlink" Target="https://www.lazada.com.ph/products/ampcom-rj45-coupler-8p8c-female-extender-lan-connector-inline-cat6acat6cat5e-ethernet-cable-lightning-protection-i768890222.html?spm=a2o4l.store_product.list.87.6d951741ZnszOD" TargetMode="External"/><Relationship Id="rId15" Type="http://schemas.openxmlformats.org/officeDocument/2006/relationships/hyperlink" Target="https://www.lazada.com.ph/products/ampcom-510-pack-rj11-telephone-converter-rj-11-classic-6-pins-female-1-to-3-1-to-4-telephone-phone-cable-line-splitter-adapter-i946158676.html?spm=a2o4l.store_product.list.565.9fcd174140YnSV" TargetMode="External"/><Relationship Id="rId10" Type="http://schemas.openxmlformats.org/officeDocument/2006/relationships/hyperlink" Target="https://www.lazada.com.ph/products/ampcom-telephone-patch-panel-19-inch-rack-50u-gold-plated-voice-patch-panels-rj11-rj45-8p4c-6p4c-rj11-1u-cat3-2550-ports-i2331881783.html?spm=a2o4l.store_product.list.218.6d951741ZnszOD" TargetMode="External"/><Relationship Id="rId4" Type="http://schemas.openxmlformats.org/officeDocument/2006/relationships/hyperlink" Target="https://www.lazada.com.ph/products/ampcom-50100pcs-k1-rj45-connector-crimp-connection-terminals-uy1-connector-waterproof-wiring-ethernet-cable-telephone-cord-term-i874848616-s2776906574.html?" TargetMode="External"/><Relationship Id="rId9" Type="http://schemas.openxmlformats.org/officeDocument/2006/relationships/hyperlink" Target="https://www.lazada.com.ph/products/ampcom-punch-down-tool-110-type-multi-function-network-cable-tool-telephone-impact-terminal-insertion-tools-for-rj45-rj11-i761058684.html?spm=a2o4l.store_product.list.284.4e6417417qqYU8" TargetMode="External"/><Relationship Id="rId14" Type="http://schemas.openxmlformats.org/officeDocument/2006/relationships/hyperlink" Target="https://www.lazada.com.ph/products/ampcom-nylon-zip-ties-cable-label-mark-tags-write-on-ethernet-wire-self-locking-free-printable-labels-472-inches-5-color-i772404752.html?spm=a2o4l.store_product.list.250.4e6417417qqYU8"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0.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12.xml.rels><?xml version="1.0" encoding="UTF-8" standalone="yes"?>
<Relationships xmlns="http://schemas.openxmlformats.org/package/2006/relationships"><Relationship Id="rId117" Type="http://schemas.openxmlformats.org/officeDocument/2006/relationships/hyperlink" Target="https://shopee.ph/ASUS-TUF-VG27VH1B-27INCH-Curved-Gaming-Monitor-i.167356732.11547355508" TargetMode="External"/><Relationship Id="rId299" Type="http://schemas.openxmlformats.org/officeDocument/2006/relationships/hyperlink" Target="https://asdi.ph/products/epson-lq310-ribbon-cartridge-so15634" TargetMode="External"/><Relationship Id="rId303" Type="http://schemas.openxmlformats.org/officeDocument/2006/relationships/hyperlink" Target="https://www.lazada.com.ph/products/4k-hdmiugreen-hdmi-20-cable-4k-hdmi-male-to-male-high-speed-hdmi-adapter-3d-for-smart-tv-xbox-360-apple-tv-ps5-pro-nintendo-switch-projector-hdmi-i5943200-s7693809229.html?c=&amp;channelLpJumpArgs=&amp;clickTrackInfo=query%253Ahdmi%252Bcable%253Bnid%253A5943200%253Bsrc%253ALazadaMainSrp%253Brn%253Ac18667ede1b40aeeb4afef098052fc97%253Bregion%253Aph%253Bsku%253A5943200_PH%253Bprice%253A179%253Bclient%253Adesktop%253Bsupplier_id%253A15884%253Bpromotion_biz%253A%253Basc_category_id%253A21466%253Bitem_id%253A5943200%253Bsku_id%253A7693809229%253Bshop_id%253A1038&amp;fastshipping=0&amp;freeshipping=0&amp;fs_ab=2&amp;fuse_fs=&amp;lang=en&amp;location=Laguna&amp;price=179&amp;priceCompare=&amp;ratingscore=4.942523948354852&amp;request_id=c18667ede1b40aeeb4afef098052fc97&amp;review=1199&amp;sale=14420&amp;search=1&amp;source=search&amp;spm=a2o4l.searchlist.list.12&amp;stock=1" TargetMode="External"/><Relationship Id="rId21" Type="http://schemas.openxmlformats.org/officeDocument/2006/relationships/hyperlink" Target="https://www.lazada.com.ph/products/energizer-cr2032-lithium-coin-button-battery-3v-2pcs-1-pack-cmos-pc-desktop-laptop-motherboard-car-key-weighing-scale-battery-2032-by-mavens-collection-i513314322.html?spm=a2o4l.searchlist.list.2.6eaa10e6u8DUDy" TargetMode="External"/><Relationship Id="rId42" Type="http://schemas.openxmlformats.org/officeDocument/2006/relationships/hyperlink" Target="https://www.lazada.com.ph/products/tolsen-100pcs-black-nylon-cable-tie-dupont-pa66-25-to-76mm-100mm-to-450mm-zip-tie-i276960904-s11289235208.html?" TargetMode="External"/><Relationship Id="rId63" Type="http://schemas.openxmlformats.org/officeDocument/2006/relationships/hyperlink" Target="https://www.lazada.com.ph/products/belden-7814a-cat-6-cable-utp-unshielded-awg24-blue-data-lan-cable-cat6-305-meters-1000-feet-305m-1000ft-i256357846-s352596124.html?&amp;search=pdp_same_topselling?spm=a2o4l.pdp_revamp.recommendation_1.5.ccd07a98wg5dEn&amp;mp=1&amp;scm=1007.16389.286994.0&amp;clickTrackInfo=ebdba38e-d7d3-4574-b454-cedc99f91706__256357846__10100366__trigger2i__224806__0.247__0.247__0.0__0.0__0.0__0.247__4__null__null__null__null__null__null____13140.0__0.2009132420091324__5.0__6__10500.0__38009,101718,151636,173872__null__null__null__3650.16538_3650.16544_955.3632__null__13426__null__0.0__0.0________null__null" TargetMode="External"/><Relationship Id="rId84" Type="http://schemas.openxmlformats.org/officeDocument/2006/relationships/hyperlink" Target="https://www.lazada.com.ph/products/ampcom-network-tool-kit-14-in-1-professional-ethernet-cable-tester-rj45-rj11-cat6cat5econnectors-cable-crimper-stripper-pliers-i1529906023.html?spm=a2o4l.seller.list.34.6d951741nGMPRM" TargetMode="External"/><Relationship Id="rId138" Type="http://schemas.openxmlformats.org/officeDocument/2006/relationships/hyperlink" Target="https://www.lazada.com.ph/products/energizer-battery-aa-e91bp2-max-2s-i661066061-s1887058745.html?clickTrackInfo=query%253Aaa%252Bbattery%253Bnid%253A661066061%253Bsrc%253ALazadaMainSrp%253Brn%253A4547742364977846e70c460edd3ba918%253Bregion%253Aph%253Bsku%253A661066061_PH%253Bprice%253A106%253Bclient%253Adesktop%253Bsupplier_id%253A100002401%253Basc_category_id%253A5215%253Bitem_id%253A661066061%253Bsku_id%253A1887058745%253Bshop_id%253A31674&amp;search=1&amp;spm=a2o4l.searchlist.list.6" TargetMode="External"/><Relationship Id="rId159" Type="http://schemas.openxmlformats.org/officeDocument/2006/relationships/hyperlink" Target="https://documents.westerndigital.com/content/dam/doc-library/en_us/assets/public/sandisk/product/usb-flash/cruzer-blade-usb-2-0/data-sheet-cruzer-blade-usb-2-0.pdf" TargetMode="External"/><Relationship Id="rId324" Type="http://schemas.openxmlformats.org/officeDocument/2006/relationships/hyperlink" Target="https://www.lazada.com.ph/products/benro-ttor24cgx30-tortoise-series-professional-carbon-fiber-tripod-with-gx30-ball-head-for-camera-jg-superstore-i1251008315.html?spm=a2o4l.store_product.list.80.6ecb6121bjOUd2" TargetMode="External"/><Relationship Id="rId170" Type="http://schemas.openxmlformats.org/officeDocument/2006/relationships/hyperlink" Target="https://www.lazada.com.ph/products/sony-icd-px470-recorder-pen-stereo-digital-voice-recorder-with-built-in-usb-voice-recorder-icd-px470-i1148006964-s3995272100.html?exlaz=d_1:mm_150050845_51350205_2010350205::12:17877749403!!!!!c!!3995272100!235704600&amp;gclid=Cj0KCQjwxveXBhDDARIsAI0Q0x3pi862fLTxHF-Z1dcwalrPYSQK99rg_xEWYFz6xvTTjMDk1wz6e_saAjDQEALw_wcB" TargetMode="External"/><Relationship Id="rId191" Type="http://schemas.openxmlformats.org/officeDocument/2006/relationships/hyperlink" Target="https://www.lazada.com.ph/products/epson-664-ink-black-cyan-magenta-yellow-one-set-brand-new-original-epson-ink-bottles-for-epson-l120-l121-l220-l360-other-l-series-one-set-t6641-t6642-t6643-t6644-wink-printer-solutions-i111495931-s113652954.html?clickTrackInfo=query%253AEPSON%252B664%253Bnid%253A21821667%253Bsrc%253ALazadaMainSrp%253Brn%253A4833d7c4702ea79a4c16e43668557d17%253Bregion%253Aph%253Bsku%253AEP602ELAACZPPFANPH%253Bprice%253A1125.00%253Bclient%253Adesktop%253Bsupplier_id%253A871%253Basc_category_id%253A13893%253Bitem_id%253A111495931%253Bsku_id%253A113652954%253Bshop_id%253A1673&amp;search=1&amp;spm=a2o4l.searchlist.list.6" TargetMode="External"/><Relationship Id="rId205" Type="http://schemas.openxmlformats.org/officeDocument/2006/relationships/hyperlink" Target="https://www.lazada.com.ph/products/hp-gt52-gt53-original-ink-bottle-i2547394076-s11802642352.html?exlaz=d_1:mm_150050845_51350205_2010350205::12:17877749403!!!!!c!!11802642352!124650670&amp;gclid=Cj0KCQjwxveXBhDDARIsAI0Q0x0x3RfyLM5zG-MI7JuABNfCi2QL7gbctZpV_OAwEi3G6L7WGDZYnpQaAvFYEALw_wcB" TargetMode="External"/><Relationship Id="rId226" Type="http://schemas.openxmlformats.org/officeDocument/2006/relationships/hyperlink" Target="https://www.lazada.com.ph/products/ampcom-86-type-wall-faceplate-with-mounting-junction-box-networking-telephone-socket-outlet-mount-panel-for-rj45-rj11-module-i2398200671-s10925445225.html?spm=a2o4l.tm80167379.7779702790.1.1503baNpbaNpbT.1503baNpbaNpbT" TargetMode="External"/><Relationship Id="rId247" Type="http://schemas.openxmlformats.org/officeDocument/2006/relationships/hyperlink" Target="https://www.lazada.com.ph/products/15m-3m-5m-10m-15m-20m-30m-40m-50m-ad-link-gigabit-cat6-ethernet-patch-cable-with-rj45-cat6e-high-quality-blue-i1767824467-s7555638474.html?" TargetMode="External"/><Relationship Id="rId107" Type="http://schemas.openxmlformats.org/officeDocument/2006/relationships/hyperlink" Target="https://www.lazada.com.ph/products/tp-link-archer-t3u-plus-ac1300-high-gain-wireless-dual-band-usb-adapter-ac-wifi-adapter-wifi-receiver-wifi-dongle-wifi-hotspot-tp-link-tplink-i1059460254.html?spm=a2o4l.searchlist.list.6.53b17edbf1dx0A" TargetMode="External"/><Relationship Id="rId268" Type="http://schemas.openxmlformats.org/officeDocument/2006/relationships/hyperlink" Target="https://mail.google.com/mail/u/0/?ogbl" TargetMode="External"/><Relationship Id="rId289" Type="http://schemas.openxmlformats.org/officeDocument/2006/relationships/hyperlink" Target="https://www.brother.com.ph/en/products/all-printers/printers/mfc-l5900dw" TargetMode="External"/><Relationship Id="rId11" Type="http://schemas.openxmlformats.org/officeDocument/2006/relationships/hyperlink" Target="https://www.lazada.com.ph/products/apc-easy-ups-bvx1200li-ms-230v-avr-universal-sockets-apc-universal-sockets-apc-avr-i1399420381.html?spm=a2o4l.searchlist.list.4.43697128WA84f2" TargetMode="External"/><Relationship Id="rId32" Type="http://schemas.openxmlformats.org/officeDocument/2006/relationships/hyperlink" Target="https://www.lazada.com.ph/products/tolsen-100pcs-black-nylon-cable-tie-dupont-pa66-25-to-76mm-100mm-to-450mm-zip-tie-i276960904-s11289235208.html?" TargetMode="External"/><Relationship Id="rId53" Type="http://schemas.openxmlformats.org/officeDocument/2006/relationships/hyperlink" Target="https://www.lazada.com.ph/products/tolsen-100pcs-black-nylon-cable-tie-dupont-pa66-25-to-76mm-100mm-to-450mm-zip-tie-i276960904-s11289235208.html?" TargetMode="External"/><Relationship Id="rId74" Type="http://schemas.openxmlformats.org/officeDocument/2006/relationships/hyperlink" Target="https://www.lazada.com.ph/products/cat6cat5e-tool-less-keystone-jackampcom-rj45-utp-keystone-module-adapter-no-punch-down-tool-required-couplers-i751124158-s2242930566.html" TargetMode="External"/><Relationship Id="rId128" Type="http://schemas.openxmlformats.org/officeDocument/2006/relationships/hyperlink" Target="https://www.insta360.com/product/insta360-onex2/" TargetMode="External"/><Relationship Id="rId149" Type="http://schemas.openxmlformats.org/officeDocument/2006/relationships/hyperlink" Target="https://www.epson.com.ph/Dot-Matrix-Printers/Epson-LQ-310-Dot-Matrix-Printer/p/C11CC25301" TargetMode="External"/><Relationship Id="rId314" Type="http://schemas.openxmlformats.org/officeDocument/2006/relationships/hyperlink" Target="https://www.lazada.com.ph/products/samsung-galaxy-tab-lite-i1343608081.html?spm=a2o4l.store_product.list.8.16c48430fts0lM" TargetMode="External"/><Relationship Id="rId335" Type="http://schemas.openxmlformats.org/officeDocument/2006/relationships/hyperlink" Target="https://www.apc.com/ph/en/product/APCRBC175/apc-replacement-battery-cartridge-175/" TargetMode="External"/><Relationship Id="rId5" Type="http://schemas.openxmlformats.org/officeDocument/2006/relationships/hyperlink" Target="https://www.lazada.com.ph/products/tp-link-tl-sg108-8-port-101001000mbps-desktop-switch-8-port-gigabit-network-switch-tp-link-tplink-i775570358-s2344730558.html?spm=a2o4l.seller.list.12.62812e19faIfiS&amp;mp=1" TargetMode="External"/><Relationship Id="rId95" Type="http://schemas.openxmlformats.org/officeDocument/2006/relationships/hyperlink" Target="https://www.lazada.com.ph/products/15m-3m-5m-10m-15m-20m-30m-40m-50m-ad-link-gigabit-cat6-ethernet-patch-cable-with-rj45-cat6e-high-quality-blue-i1767824467-s7555638470.html?" TargetMode="External"/><Relationship Id="rId160" Type="http://schemas.openxmlformats.org/officeDocument/2006/relationships/hyperlink" Target="https://unlistore.ph/en/panasonic-kv-s1037x-portable-color-document-scanner-kv-s1037x" TargetMode="External"/><Relationship Id="rId181" Type="http://schemas.openxmlformats.org/officeDocument/2006/relationships/hyperlink" Target="https://www.lazada.com.ph/products/hp-80xc-high-yield-black-laserjet-toner-cartridge-cf280xc-i598532280.html" TargetMode="External"/><Relationship Id="rId216" Type="http://schemas.openxmlformats.org/officeDocument/2006/relationships/hyperlink" Target="https://www.lazada.com.ph/products/5101520m-usb-20-active-repeater-male-to-female-extension-cable-adapter-cord-i1459022707-s5797904675.html?spm=a2o4l.home.just4u.66.4b56359difofjw&amp;&amp;scm=1007.17519.162103.0&amp;pvid=642cf2f5-c018-4985-b30c-5d8351b047c6&amp;search=0&amp;clicktrackinfo=tcsceneid%3ahpjfy%3bbuyernid%3awnxsjkhhvawyr1xlbhskb2it1c3ftggz%3btcboost%3a0%3bpvid%3a642cf2f5-c018-4985-b30c-5d8351b047c6%3bchannel_id%3a0000%3bmt%3ai2i%3bitem_id%3a1459022707%3bself_ab_id%3a162103%3bself_app_id%3a7519%3blayer_buckets%3a955.7333_5437.25236_6059.28889%3bpos%3a18%3b" TargetMode="External"/><Relationship Id="rId237" Type="http://schemas.openxmlformats.org/officeDocument/2006/relationships/hyperlink" Target="https://www.lazada.com.ph/products/ampcom-krone-punch-down-tool-multifunction-krone-kd-1-type-idcnetwork-wire-cat5e6-and-telephone-impact-terminal-insertion-tools-i2118481877-s9452621047.html?spm=a2o4l.tm80167379.7779702790.1.331ewopdwopdMa.331ewopdwopdMa" TargetMode="External"/><Relationship Id="rId258" Type="http://schemas.openxmlformats.org/officeDocument/2006/relationships/hyperlink" Target="https://www.lazada.com.ph/products/kruger-fiberglass-extension-ladder-f32808-8-13-ft-i104388838.html?spm=a2o4l.store_product.list.62.4b8c8049amNbH2" TargetMode="External"/><Relationship Id="rId279" Type="http://schemas.openxmlformats.org/officeDocument/2006/relationships/hyperlink" Target="https://www.lazada.com.ph/products/seagate-st4000vx016-4tb-skyhawk-5900rpm-35-i207853349-s263825716.html?c=&amp;channelLpJumpArgs=&amp;clickTrackInfo=query%253A4tb%252Bhdd%252Bfor%252Bcctv%253Bnid%253A207853349%253Bsrc%253ALazadaMainSrp%253Brn%253Ac2983abe21c7bbe17669e6a737c3b7e1%253Bregion%253Aph%253Bsku%253A207853349_PH%253Bprice%253A5659%253Bclient%253Adesktop%253Bsupplier_id%253A100089229%253Bpromotion_biz%253A%253Basc_category_id%253A5155%253Bitem_id%253A207853349%253Bsku_id%253A263825716%253Bshop_id%253A106089&amp;fastshipping=0&amp;freeshipping=0&amp;fs_ab=2&amp;fuse_fs=1&amp;lang=en&amp;location=Metro%20Manila&amp;price=5659&amp;priceCompare=&amp;ratingscore=4.711538461538462&amp;request_id=c2983abe21c7bbe17669e6a737c3b7e1&amp;review=104&amp;sale=638&amp;search=1&amp;source=search&amp;spm=a2o4l.searchlist.list.8&amp;stock=1" TargetMode="External"/><Relationship Id="rId22" Type="http://schemas.openxmlformats.org/officeDocument/2006/relationships/hyperlink" Target="https://data.energizer.com/pdfs/cr2032.pdf" TargetMode="External"/><Relationship Id="rId43" Type="http://schemas.openxmlformats.org/officeDocument/2006/relationships/hyperlink" Target="https://www.lazada.com.ph/products/tolsen-100pcs-black-nylon-cable-tie-dupont-pa66-25-to-76mm-100mm-to-450mm-zip-tie-i276960904-s11289235208.html?" TargetMode="External"/><Relationship Id="rId64" Type="http://schemas.openxmlformats.org/officeDocument/2006/relationships/hyperlink" Target="https://catalog.belden.com/techdata/EN/7814A_techdata.pdf?_gl=1*1apxy0l*_ga*NDIzNzE2NzMwLjE2NjA1NDc0NTY.*_ga_X6Q7YE8B3L*MTY2MDU0NzQ1NS4xLjAuMTY2MDU0NzQ1NS4w" TargetMode="External"/><Relationship Id="rId118" Type="http://schemas.openxmlformats.org/officeDocument/2006/relationships/hyperlink" Target="https://www.asus.com/Displays-Desktops/Monitors/TUF-Gaming/TUF-Gaming-VG27VH1B/techspec/" TargetMode="External"/><Relationship Id="rId139" Type="http://schemas.openxmlformats.org/officeDocument/2006/relationships/hyperlink" Target="https://data.energizer.com/pdfs/e91.pdf" TargetMode="External"/><Relationship Id="rId290" Type="http://schemas.openxmlformats.org/officeDocument/2006/relationships/hyperlink" Target="https://asdi.ph/products/epson-lq310-ribbon-cartridge-so15634" TargetMode="External"/><Relationship Id="rId304" Type="http://schemas.openxmlformats.org/officeDocument/2006/relationships/hyperlink" Target="https://www.lazada.com.ph/products/4k-hdmiugreen-hdmi-20-cable-4k-hdmi-male-to-male-high-speed-hdmi-adapter-3d-for-smart-tv-xbox-360-apple-tv-ps5-pro-nintendo-switch-projector-hdmi-i5943200-s7693809229.html?c=&amp;channelLpJumpArgs=&amp;clickTrackInfo=query%253Ahdmi%252Bcable%253Bnid%253A5943200%253Bsrc%253ALazadaMainSrp%253Brn%253Ac18667ede1b40aeeb4afef098052fc97%253Bregion%253Aph%253Bsku%253A5943200_PH%253Bprice%253A179%253Bclient%253Adesktop%253Bsupplier_id%253A15884%253Bpromotion_biz%253A%253Basc_category_id%253A21466%253Bitem_id%253A5943200%253Bsku_id%253A7693809229%253Bshop_id%253A1038&amp;fastshipping=0&amp;freeshipping=0&amp;fs_ab=2&amp;fuse_fs=&amp;lang=en&amp;location=Laguna&amp;price=179&amp;priceCompare=&amp;ratingscore=4.942523948354852&amp;request_id=c18667ede1b40aeeb4afef098052fc97&amp;review=1199&amp;sale=14420&amp;search=1&amp;source=search&amp;spm=a2o4l.searchlist.list.12&amp;stock=1" TargetMode="External"/><Relationship Id="rId325" Type="http://schemas.openxmlformats.org/officeDocument/2006/relationships/hyperlink" Target="https://www.lazada.com.ph/products/benro-ttor24cgx30-tortoise-series-professional-carbon-fiber-tripod-with-gx30-ball-head-for-camera-jg-superstore-i1251008315.html?spm=a2o4l.store_product.list.80.6ecb6121bjOUd2" TargetMode="External"/><Relationship Id="rId85" Type="http://schemas.openxmlformats.org/officeDocument/2006/relationships/hyperlink" Target="https://www.lazada.com.ph/products/ampcom-rj45-crimp-tool-pass-through-cat5-cat5e-cat6-crimper-cutter-stripper-for-rj45-rj12-rj11-8p-6p-end-pass-through-connector-i2366754866.html?spm=a2o4l.seller.list.119.55231741Bkp89Z" TargetMode="External"/><Relationship Id="rId150" Type="http://schemas.openxmlformats.org/officeDocument/2006/relationships/hyperlink" Target="https://www.lazada.com.ph/products/sandisk-usb-cruzer-blade-2gb-4gb-8gb-16gb-32gb-64gb-128gb-flash-drive-i1909491153-s8118181539.html?clickTrackInfo=query%253A16gb%252Busb%253Bnid%253A1909491153%253Bsrc%253ALazadaMainSrp%253Brn%253Ae564ffea2db79299f42f71a13c4f17bc%253Bregion%253Aph%253Bsku%253A1909491153_PH%253Bprice%253A129.00%253Bclient%253Adesktop%253Bsupplier_id%253A500168697079%253Basc_category_id%253A5177%253Bitem_id%253A1909491153%253Bsku_id%253A8118181539%253Bshop_id%253A1836513&amp;search=1&amp;spm=a2o4l.searchlist.list.2" TargetMode="External"/><Relationship Id="rId171" Type="http://schemas.openxmlformats.org/officeDocument/2006/relationships/hyperlink" Target="https://www.sony.com.ph/electronics/voice-recorders/icd-px470/specifications" TargetMode="External"/><Relationship Id="rId192" Type="http://schemas.openxmlformats.org/officeDocument/2006/relationships/hyperlink" Target="https://www.lazada.com.ph/products/epson-664-ink-black-cyan-magenta-yellow-one-set-brand-new-original-epson-ink-bottles-for-epson-l120-l121-l220-l360-other-l-series-one-set-t6641-t6642-t6643-t6644-wink-printer-solutions-i111495931-s113652954.html?clickTrackInfo=query%253AEPSON%252B664%253Bnid%253A21821667%253Bsrc%253ALazadaMainSrp%253Brn%253A4833d7c4702ea79a4c16e43668557d17%253Bregion%253Aph%253Bsku%253AEP602ELAACZPPFANPH%253Bprice%253A1125.00%253Bclient%253Adesktop%253Bsupplier_id%253A871%253Basc_category_id%253A13893%253Bitem_id%253A111495931%253Bsku_id%253A113652954%253Bshop_id%253A1673&amp;search=1&amp;spm=a2o4l.searchlist.list.6" TargetMode="External"/><Relationship Id="rId206" Type="http://schemas.openxmlformats.org/officeDocument/2006/relationships/hyperlink" Target="https://www.lazada.com.ph/products/hp-gt52-gt53-original-ink-bottle-i2547394076-s11802642352.html?exlaz=d_1:mm_150050845_51350205_2010350205::12:17877749403!!!!!c!!11802642352!124650670&amp;gclid=Cj0KCQjwxveXBhDDARIsAI0Q0x0x3RfyLM5zG-MI7JuABNfCi2QL7gbctZpV_OAwEi3G6L7WGDZYnpQaAvFYEALw_wcB" TargetMode="External"/><Relationship Id="rId227" Type="http://schemas.openxmlformats.org/officeDocument/2006/relationships/hyperlink" Target="https://www.lazada.com.ph/products/ampcom-86-type-wall-faceplate-with-mounting-junction-box-networking-telephone-socket-outlet-mount-panel-for-rj45-rj11-module-i2398200671-s10925445225.html?spm=a2o4l.tm80167379.7779702790.1.1503baNpbaNpbT.1503baNpbaNpbT" TargetMode="External"/><Relationship Id="rId248" Type="http://schemas.openxmlformats.org/officeDocument/2006/relationships/hyperlink" Target="https://www.lazada.com.ph/products/15m-3m-5m-10m-15m-20m-30m-40m-50m-ad-link-gigabit-cat6-ethernet-patch-cable-with-rj45-cat6e-high-quality-blue-i1767824467-s7555638474.html?" TargetMode="External"/><Relationship Id="rId269" Type="http://schemas.openxmlformats.org/officeDocument/2006/relationships/hyperlink" Target="https://mail.google.com/mail/u/0/?ogbl" TargetMode="External"/><Relationship Id="rId12" Type="http://schemas.openxmlformats.org/officeDocument/2006/relationships/hyperlink" Target="https://www.apc.com/ph/en/product/BVX1200LI-MS/apc-easy-ups-bvx-1200va-230v-avr-universal-sockets/" TargetMode="External"/><Relationship Id="rId33" Type="http://schemas.openxmlformats.org/officeDocument/2006/relationships/hyperlink" Target="https://www.lazada.com.ph/products/tolsen-100pcs-black-nylon-cable-tie-dupont-pa66-25-to-76mm-100mm-to-450mm-zip-tie-i276960904-s11289235208.html?" TargetMode="External"/><Relationship Id="rId108" Type="http://schemas.openxmlformats.org/officeDocument/2006/relationships/hyperlink" Target="https://static.tp-link.com/2020/202010/20201019/Archer%20T3U%20Plus(EU%EF%BC%8FUS)%201.0_Datasheet.pdf" TargetMode="External"/><Relationship Id="rId129" Type="http://schemas.openxmlformats.org/officeDocument/2006/relationships/hyperlink" Target="https://www.logitech.com/en-ph/products/webcams/c922-pro-stream-webcam.960-001090.html" TargetMode="External"/><Relationship Id="rId280" Type="http://schemas.openxmlformats.org/officeDocument/2006/relationships/hyperlink" Target="https://support.brother.com/g/b/colist.aspx?c=ph&amp;lang=en&amp;prod=dcpt700w_all&amp;cao=btl" TargetMode="External"/><Relationship Id="rId315" Type="http://schemas.openxmlformats.org/officeDocument/2006/relationships/hyperlink" Target="https://www.lazada.com.ph/products/samsung-galaxy-tab-lite-i1343608081.html?spm=a2o4l.store_product.list.8.16c48430fts0lM" TargetMode="External"/><Relationship Id="rId336" Type="http://schemas.openxmlformats.org/officeDocument/2006/relationships/hyperlink" Target="https://www.tp-link.com/ph/home-networking/adapter/tg-3468/" TargetMode="External"/><Relationship Id="rId54" Type="http://schemas.openxmlformats.org/officeDocument/2006/relationships/hyperlink" Target="https://www.lazada.com.ph/products/tolsen-100pcs-black-nylon-cable-tie-dupont-pa66-25-to-76mm-100mm-to-450mm-zip-tie-i276960904-s11289235208.html?" TargetMode="External"/><Relationship Id="rId75" Type="http://schemas.openxmlformats.org/officeDocument/2006/relationships/hyperlink" Target="https://www.lazada.com.ph/products/brother-pt-d600-pc-connectable-label-maker-with-twin-pack-tze-231-i5749717-s7279307.html?&amp;search=pdp_same_topselling?spm=a2o4l.pdp_revamp.recommendation_1.5.7d2419a2JGNYgd&amp;mp=1&amp;scm=1007.16389.286994.0&amp;clickTrackInfo=806d2b5d-f88b-4e2d-8d71-ee3cf6ca206e__5749717__22756__trigger2i__224806__0.26__0.26__0.0__0.0__0.0__0.26__4__null__null__null__null__null__null____7964.0__0.09090909090909094__4.964285714285714__28__7240.0__12003,12018,12027,24085,38009,120000,127634,128317,129114,141200,142021,142877,149113,149328,149836,157410,160749,164724,166568__null__null__null__3650.16539_3650.16544_955.3632__null__13426__null__0.0__0.0________null__null" TargetMode="External"/><Relationship Id="rId96" Type="http://schemas.openxmlformats.org/officeDocument/2006/relationships/hyperlink" Target="https://www.lazada.com.ph/products/15m-3m-5m-10m-15m-20m-30m-40m-50m-ad-link-gigabit-cat6-ethernet-patch-cable-with-rj45-cat6e-high-quality-blue-i1767824467-s7555638470.html?" TargetMode="External"/><Relationship Id="rId140" Type="http://schemas.openxmlformats.org/officeDocument/2006/relationships/hyperlink" Target="https://www.lazada.com.ph/products/energizer-battery-aaa-e92bp2-max-2s-i660374270-s1883456639.html?&amp;search=pdp_same_topselling?spm=a2o4l.pdp_revamp.recommendation_1.1.774f51e6sotI3b&amp;mp=1&amp;scm=1007.16389.286994.0&amp;clickTrackInfo=3f4fd9a6-a35f-4980-ab4c-a10201dd3baa__660374270__22653__trigger2i__224806__0.12__0.12__0.0__0.0__0.0__0.12__0__null__null__null__null__null__null____124.0__0.056451612903225756__5.0__1__117.0__101718,127634,151636,188631,190584,190664,196164,198814,202290,204828,204914,205596__null__null__null__3650.16544_955.3632__null__13426__null__0.0__0.0________null__null" TargetMode="External"/><Relationship Id="rId161" Type="http://schemas.openxmlformats.org/officeDocument/2006/relationships/hyperlink" Target="https://panasonic.net/cns/office/products/scanner/kv-s1037x/pdf/KV-S1037X_Catalog.pdf" TargetMode="External"/><Relationship Id="rId182" Type="http://schemas.openxmlformats.org/officeDocument/2006/relationships/hyperlink" Target="https://www.usa.canon.com/shop/p/eos-rebel-sl3-ef-s-18-55mm-is-stm-lens-kit?color=Black&amp;type=New" TargetMode="External"/><Relationship Id="rId217" Type="http://schemas.openxmlformats.org/officeDocument/2006/relationships/hyperlink" Target="https://www.lazada.com.ph/products/5101520m-usb-20-active-repeater-male-to-female-extension-cable-adapter-cord-i1459022707-s5797904675.html?spm=a2o4l.home.just4u.66.4b56359difofjw&amp;&amp;scm=1007.17519.162103.0&amp;pvid=642cf2f5-c018-4985-b30c-5d8351b047c6&amp;search=0&amp;clicktrackinfo=tcsceneid%3ahpjfy%3bbuyernid%3awnxsjkhhvawyr1xlbhskb2it1c3ftggz%3btcboost%3a0%3bpvid%3a642cf2f5-c018-4985-b30c-5d8351b047c6%3bchannel_id%3a0000%3bmt%3ai2i%3bitem_id%3a1459022707%3bself_ab_id%3a162103%3bself_app_id%3a7519%3blayer_buckets%3a955.7333_5437.25236_6059.28889%3bpos%3a18%3b" TargetMode="External"/><Relationship Id="rId6" Type="http://schemas.openxmlformats.org/officeDocument/2006/relationships/hyperlink" Target="https://static.tp-link.com/res/down/doc/TL-SG105-108.pdf" TargetMode="External"/><Relationship Id="rId238" Type="http://schemas.openxmlformats.org/officeDocument/2006/relationships/hyperlink" Target="https://www.lazada.com.ph/products/ampcom-m6-cabinet-screws-rack-mount-cage-nuts-screws-and-washers-for-rack-mount-server-cabinet-rack-mount-server-shelves-routers-i3436741799.html?spm=a2o4l.store_product.list.354.6d951741ZnszOD" TargetMode="External"/><Relationship Id="rId259" Type="http://schemas.openxmlformats.org/officeDocument/2006/relationships/hyperlink" Target="https://www.lazada.com.ph/products/kruger-fiberglass-extension-ladder-f32808-8-13-ft-i104388838.html?spm=a2o4l.store_product.list.62.4b8c8049amNbH2" TargetMode="External"/><Relationship Id="rId23" Type="http://schemas.openxmlformats.org/officeDocument/2006/relationships/hyperlink" Target="https://www.lazada.com.ph/products/csb-battery-ups-12360-7-f2-12v-360w-i1333458365-s4881842838.html?exlaz=d_1:mm_150050845_51350205_2010350205::12:17987503176!!!!!c!!4881842838!240212130&amp;gclid=Cj0KCQjwuuKXBhCRARIsAC-gM0i3DsAo907ZANiWrOgPL3JV-J1znFj725onRkxBCBG9okJndQ7G7n8aAlMqEALw_wcB" TargetMode="External"/><Relationship Id="rId119" Type="http://schemas.openxmlformats.org/officeDocument/2006/relationships/hyperlink" Target="https://www.lazada.com.ph/products/logitech-g512-carbon-lightsync-rgb-mechanical-gaming-keyboard-with-gx-switches-usb-passthrough-i235322628-s5140140898.html?clickTrackInfo=query%253Alogitech%252Bmechanical%253Bnid%253A235322628%253Bsrc%253ALazadaMainSrp%253Brn%253Ab74b06f2ca812335a7615c1c08121357%253Bregion%253Aph%253Bsku%253A235322628_PH%253Bprice%253A3994%253Bclient%253Adesktop%253Bsupplier_id%253A100097156%253Basc_category_id%253A13853%253Bitem_id%253A235322628%253Bsku_id%253A5140140898%253Bshop_id%253A114288&amp;search=1&amp;spm=a2o4l.searchlist.list.4" TargetMode="External"/><Relationship Id="rId270" Type="http://schemas.openxmlformats.org/officeDocument/2006/relationships/hyperlink" Target="https://mail.google.com/mail/u/0/?ogbl" TargetMode="External"/><Relationship Id="rId291" Type="http://schemas.openxmlformats.org/officeDocument/2006/relationships/hyperlink" Target="https://asdi.ph/products/epson-lq310-ribbon-cartridge-so15634" TargetMode="External"/><Relationship Id="rId305" Type="http://schemas.openxmlformats.org/officeDocument/2006/relationships/hyperlink" Target="https://www.lazada.com.ph/products/4k-hdmiugreen-hdmi-20-cable-4k-hdmi-male-to-male-high-speed-hdmi-adapter-3d-for-smart-tv-xbox-360-apple-tv-ps5-pro-nintendo-switch-projector-hdmi-i5943200-s7693809229.html?c=&amp;channelLpJumpArgs=&amp;clickTrackInfo=query%253Ahdmi%252Bcable%253Bnid%253A5943200%253Bsrc%253ALazadaMainSrp%253Brn%253Ac18667ede1b40aeeb4afef098052fc97%253Bregion%253Aph%253Bsku%253A5943200_PH%253Bprice%253A179%253Bclient%253Adesktop%253Bsupplier_id%253A15884%253Bpromotion_biz%253A%253Basc_category_id%253A21466%253Bitem_id%253A5943200%253Bsku_id%253A7693809229%253Bshop_id%253A1038&amp;fastshipping=0&amp;freeshipping=0&amp;fs_ab=2&amp;fuse_fs=&amp;lang=en&amp;location=Laguna&amp;price=179&amp;priceCompare=&amp;ratingscore=4.942523948354852&amp;request_id=c18667ede1b40aeeb4afef098052fc97&amp;review=1199&amp;sale=14420&amp;search=1&amp;source=search&amp;spm=a2o4l.searchlist.list.12&amp;stock=1" TargetMode="External"/><Relationship Id="rId326" Type="http://schemas.openxmlformats.org/officeDocument/2006/relationships/hyperlink" Target="https://www.lazada.com.ph/products/dji-rs-3-mini-move-light-3rd-gen-rs-stabilization-algorithm-native-vertical-shooting-14-full-color-touchscreen-i3522372712-s18185413167.html?c=&amp;channelLpJumpArgs=&amp;clickTrackInfo=query%253Agimbal%253Bnid%253A3522372712%253Bsrc%253AlazadaInShopSrp%253Brn%253Af2cb71cfe3b3623d9d92c7ef9b9bc45f%253Bregion%253Aph%253Bsku%253A3522372712_PH%253Bprice%253A16590%253Bclient%253Adesktop%253Bsupplier_id%253A500159631382%253Bpromotion_biz%253A%253Basc_category_id%253A24954%253Bitem_id%253A3522372712%253Bsku_id%253A18185413167%253Bshop_id%253A991894&amp;fastshipping=0&amp;freeshipping=0&amp;fs_ab=2&amp;fuse_fs=&amp;lang=en&amp;location=&amp;price=1.659E%204&amp;priceCompare=&amp;ratingscore=5.0&amp;request_id=f2cb71cfe3b3623d9d92c7ef9b9bc45f&amp;review=10&amp;sale=30&amp;search=1&amp;source=search&amp;spm=a2o4l.store_product.list.4&amp;stock=1" TargetMode="External"/><Relationship Id="rId44" Type="http://schemas.openxmlformats.org/officeDocument/2006/relationships/hyperlink" Target="https://www.lazada.com.ph/products/tolsen-100pcs-black-nylon-cable-tie-dupont-pa66-25-to-76mm-100mm-to-450mm-zip-tie-i276960904-s11289235208.html?" TargetMode="External"/><Relationship Id="rId65" Type="http://schemas.openxmlformats.org/officeDocument/2006/relationships/hyperlink" Target="https://www.lazada.com.ph/products/ad-link-cat6-outdoor-utp-cable-305m-high-quality-i292272797.html?spm=a2o4l.seller.list.4.110e6997orML3z" TargetMode="External"/><Relationship Id="rId86" Type="http://schemas.openxmlformats.org/officeDocument/2006/relationships/hyperlink" Target="https://www.lazada.com.ph/products/ampcom-rj45-crimp-tool-pass-through-cat5-cat5e-cat6-crimper-cutter-stripper-for-rj45-rj12-rj11-8p-6p-end-pass-through-connector-i2366754866.html?spm=a2o4l.seller.list.119.55231741Bkp89Z" TargetMode="External"/><Relationship Id="rId130" Type="http://schemas.openxmlformats.org/officeDocument/2006/relationships/hyperlink" Target="https://www.lazada.com.ph/products/makita-dhp484rfe-brushless-dc-motor-cordless-hammer-drill-13mm-18v-lxt-kit-set-with-free-magnetic-screw-bit-crdlsdrl-mak18v-gigatools-i111243257.html?spm=a2o4l.searchlist.list.3.37ef3ba9v9thuN" TargetMode="External"/><Relationship Id="rId151" Type="http://schemas.openxmlformats.org/officeDocument/2006/relationships/hyperlink" Target="https://documents.westerndigital.com/content/dam/doc-library/en_us/assets/public/sandisk/product/usb-flash/cruzer-blade-usb-2-0/data-sheet-cruzer-blade-usb-2-0.pdf" TargetMode="External"/><Relationship Id="rId172" Type="http://schemas.openxmlformats.org/officeDocument/2006/relationships/hyperlink" Target="https://shopee.ph/item-i.457767953.11731761635?utm_campaign=s457767953_ss_ph_othr_1538p105115u1s785900&amp;utm_content=wtb&amp;utm_medium=seller&amp;utm_source=ccwtb" TargetMode="External"/><Relationship Id="rId193" Type="http://schemas.openxmlformats.org/officeDocument/2006/relationships/hyperlink" Target="https://www.lazada.com.ph/products/epson-664-ink-black-cyan-magenta-yellow-one-set-brand-new-original-epson-ink-bottles-for-epson-l120-l121-l220-l360-other-l-series-one-set-t6641-t6642-t6643-t6644-wink-printer-solutions-i111495931-s113652954.html?clickTrackInfo=query%253AEPSON%252B664%253Bnid%253A21821667%253Bsrc%253ALazadaMainSrp%253Brn%253A4833d7c4702ea79a4c16e43668557d17%253Bregion%253Aph%253Bsku%253AEP602ELAACZPPFANPH%253Bprice%253A1125.00%253Bclient%253Adesktop%253Bsupplier_id%253A871%253Basc_category_id%253A13893%253Bitem_id%253A111495931%253Bsku_id%253A113652954%253Bshop_id%253A1673&amp;search=1&amp;spm=a2o4l.searchlist.list.6" TargetMode="External"/><Relationship Id="rId207" Type="http://schemas.openxmlformats.org/officeDocument/2006/relationships/hyperlink" Target="https://www.lazada.com.ph/products/hp-gt52-gt53-original-ink-bottle-i2547394076-s11802642352.html?exlaz=d_1:mm_150050845_51350205_2010350205::12:17877749403!!!!!c!!11802642352!124650670&amp;gclid=Cj0KCQjwxveXBhDDARIsAI0Q0x0x3RfyLM5zG-MI7JuABNfCi2QL7gbctZpV_OAwEi3G6L7WGDZYnpQaAvFYEALw_wcB" TargetMode="External"/><Relationship Id="rId228" Type="http://schemas.openxmlformats.org/officeDocument/2006/relationships/hyperlink" Target="https://www.lazada.com.ph/products/ampcom-rj45-coupler-8p8c-female-extender-lan-connector-inline-cat6acat6cat5e-ethernet-cable-lightning-protection-i768890222-s2319214521.html?spm=a2o4l.tm80167379.7779702790.1.1df3O6LBO6LBsu.1df3O6LBO6LBsu" TargetMode="External"/><Relationship Id="rId249" Type="http://schemas.openxmlformats.org/officeDocument/2006/relationships/hyperlink" Target="https://www.lazada.com.ph/products/15m-3m-5m-10m-15m-20m-30m-40m-50m-ad-link-gigabit-cat6-ethernet-patch-cable-with-rj45-cat6e-high-quality-blue-i1767824467-s7555638474.html?" TargetMode="External"/><Relationship Id="rId13" Type="http://schemas.openxmlformats.org/officeDocument/2006/relationships/hyperlink" Target="https://www.lazada.com.ph/products/tp-link-tl-sg1024d-24-port-gigabit-desktoprackmount-switch-network-switch-hub-24-port-gigabit-switch-tp-link-tplink-i315234716.html?spm=a2o4l.searchlist.list.10.3a1f8782ByDCtk" TargetMode="External"/><Relationship Id="rId109" Type="http://schemas.openxmlformats.org/officeDocument/2006/relationships/hyperlink" Target="https://www.lazada.com.ph/products/office-chair-computer-chair-executive-chair-boss-chair-office-chairs-office-chair-with-arm-rest-cheap-office-chair-with-arm-rest-boss-chair-rotating-computer-chair-ergonomic-chair-design-metal-base-i1603670994-s15382966492.html?clickTrackInfo=query%253Aergonomic%252Bchair%252Boffice%253Bnid%253A1603670994%253Bsrc%253ALazadaMainSrp%253Brn%253A96070e39ed1685732ba9c930c9afb149%253Bregion%253Aph%253Bsku%253A1603670994_PH%253Bprice%253A1234%253Bclient%253Adesktop%253Bsupplier_id%253A1000271104%253Basc_category_id%253A22819%253Bitem_id%253A1603670994%253Bsku_id%253A15382966492%253Bshop_id%253A443213&amp;freeshipping=1&amp;search=1&amp;spm=a2o4l.searchlist.list.6" TargetMode="External"/><Relationship Id="rId260" Type="http://schemas.openxmlformats.org/officeDocument/2006/relationships/hyperlink" Target="https://www.lazada.com.ph/products/kohl-foldable-platform-truck-300kgs-steel-i354858526-s802190993.html?spm=a2o4l.10450891.0.0.32746d68gx2TXc&amp;search=store" TargetMode="External"/><Relationship Id="rId281" Type="http://schemas.openxmlformats.org/officeDocument/2006/relationships/hyperlink" Target="https://support.brother.com/g/b/colist.aspx?c=ph&amp;lang=en&amp;prod=dcpt700w_all&amp;cao=btl" TargetMode="External"/><Relationship Id="rId316" Type="http://schemas.openxmlformats.org/officeDocument/2006/relationships/hyperlink" Target="https://ccs.com.ph/products/topaz-t-lbk460-siglite-lcd-1x5-series-signature-pad" TargetMode="External"/><Relationship Id="rId337" Type="http://schemas.openxmlformats.org/officeDocument/2006/relationships/hyperlink" Target="https://asianic.com.ph/product/orico-25--35-inch-sata20-usb30-1-to-3-clone-external-hard-drive-dock-black6648us3c" TargetMode="External"/><Relationship Id="rId34" Type="http://schemas.openxmlformats.org/officeDocument/2006/relationships/hyperlink" Target="https://www.lazada.com.ph/products/tolsen-100pcs-black-nylon-cable-tie-dupont-pa66-25-to-76mm-100mm-to-450mm-zip-tie-i276960904-s11289235208.html?" TargetMode="External"/><Relationship Id="rId55" Type="http://schemas.openxmlformats.org/officeDocument/2006/relationships/hyperlink" Target="https://www.lazada.com.ph/products/tolsen-100pcs-black-nylon-cable-tie-dupont-pa66-25-to-76mm-100mm-to-450mm-zip-tie-i276960904-s11289235208.html?" TargetMode="External"/><Relationship Id="rId76" Type="http://schemas.openxmlformats.org/officeDocument/2006/relationships/hyperlink" Target="https://www.lazada.com.ph/products/brother-pt-d600-pc-connectable-label-maker-with-twin-pack-tze-231-i5749717-s7279307.html?&amp;search=pdp_same_topselling?spm=a2o4l.pdp_revamp.recommendation_1.5.7d2419a2JGNYgd&amp;mp=1&amp;scm=1007.16389.286994.0&amp;clickTrackInfo=806d2b5d-f88b-4e2d-8d71-ee3cf6ca206e__5749717__22756__trigger2i__224806__0.26__0.26__0.0__0.0__0.0__0.26__4__null__null__null__null__null__null____7964.0__0.09090909090909094__4.964285714285714__28__7240.0__12003,12018,12027,24085,38009,120000,127634,128317,129114,141200,142021,142877,149113,149328,149836,157410,160749,164724,166568__null__null__null__3650.16539_3650.16544_955.3632__null__13426__null__0.0__0.0________null__null" TargetMode="External"/><Relationship Id="rId97" Type="http://schemas.openxmlformats.org/officeDocument/2006/relationships/hyperlink" Target="https://www.lazada.com.ph/products/rj11-6p6c-telephone-connector-per-piece-i2888887294-s14033502988.html?clickTrackInfo=query%253Arj11%252Bconnector%253Bnid%253A2888887294%253Bsrc%253ALazadaMainSrp%253Brn%253Ab2ec5001b5796829716e677f52c6ece0%253Bregion%253Aph%253Bsku%253A2888887294_PH%253Bprice%253A12.00%253Bclient%253Adesktop%253Bsupplier_id%253A500157846587%253Basc_category_id%253A10100366%253Bitem_id%253A2888887294%253Bsku_id%253A14033502988%253Bshop_id%253A745049&amp;search=1&amp;spm=a2o4l.searchlist.list.3" TargetMode="External"/><Relationship Id="rId120" Type="http://schemas.openxmlformats.org/officeDocument/2006/relationships/hyperlink" Target="https://www.logitechg.com/en-us/products/gaming-keyboards/g512-mechanical-gaming-keyboard.html" TargetMode="External"/><Relationship Id="rId141" Type="http://schemas.openxmlformats.org/officeDocument/2006/relationships/hyperlink" Target="https://data.energizer.com/pdfs/e92.pdf" TargetMode="External"/><Relationship Id="rId7" Type="http://schemas.openxmlformats.org/officeDocument/2006/relationships/hyperlink" Target="https://www.lazada.com.ph/products/tp-link-tl-sg108pe-8-port-gigabit-easy-smart-switch-with-4-port-poe-network-switch-hub-8-port-gigabit-switch-poe-switch-tp-link-tplink-i315276774.html?spm=a2o4l.searchlist.list.6.752b69f8Ek5yHB" TargetMode="External"/><Relationship Id="rId162" Type="http://schemas.openxmlformats.org/officeDocument/2006/relationships/hyperlink" Target="https://www.lazada.com.ph/products/logitech-h390-wired-headset-stereo-headphones-with-noise-cancelling-microphone-usb-in-line-controls-pcmaclaptop-black-i411306465-s1001522385.html?exlaz=d_1:mm_150050845_51350205_2010350205::12:17877749403!!!!!c!!1001522385!122832993&amp;gclid=Cj0KCQjwxveXBhDDARIsAI0Q0x1S7J3NV7GjU4eWhe3NWAicV1QfX2y3pLevYzCkP3MIq9DuJ4G-_WwaAh2iEALw_wcB" TargetMode="External"/><Relationship Id="rId183" Type="http://schemas.openxmlformats.org/officeDocument/2006/relationships/hyperlink" Target="https://www.usa.canon.com/shop/p/eos-rebel-sl3-ef-s-18-55mm-is-stm-lens-kit?color=Black&amp;type=New" TargetMode="External"/><Relationship Id="rId218" Type="http://schemas.openxmlformats.org/officeDocument/2006/relationships/hyperlink" Target="https://www.lazada.com.ph/products/rode-wireless-go-ii-omnidirectional-dual-channel-wireless-microphone-system-jg-superstore-i2078346316-s9259549052.html?clicktrackinfo=query%253adual%252bwireless%252bmicrophone%253bnid%253a2078346316%253bsrc%253alazadamainsrp%253brn%253af3f5b8acc2a53b00690356e961df2c82%253bregion%253aph%253bsku%253a2078346316_ph%253bprice%253a15188%253bclient%253adesktop%253bsupplier_id%253a22728%253basc_category_id%253a13429%253bitem_id%253a2078346316%253bsku_id%253a9259549052%253bshop_id%253a2317&amp;search=1&amp;spm=a2o4l.searchlist.list.i40.21395bd9h3e3wy" TargetMode="External"/><Relationship Id="rId239" Type="http://schemas.openxmlformats.org/officeDocument/2006/relationships/hyperlink" Target="https://www.lazada.com.ph/products/ampcom-m6-cabinet-screws-rack-mount-cage-nuts-screws-and-washers-for-rack-mount-server-cabinet-rack-mount-server-shelves-routers-i3436741799.html?spm=a2o4l.store_product.list.354.6d951741ZnszOD" TargetMode="External"/><Relationship Id="rId250" Type="http://schemas.openxmlformats.org/officeDocument/2006/relationships/hyperlink" Target="https://www.lazada.com.ph/products/3m-double-sided-tape-available-sizes-78-x-5ft-78-x-15ft-and-12-x-15ft-i1994461098-s8703069091.html?" TargetMode="External"/><Relationship Id="rId271" Type="http://schemas.openxmlformats.org/officeDocument/2006/relationships/hyperlink" Target="https://philcopy.net/product_details.php?slug=ecosys-m4125idn" TargetMode="External"/><Relationship Id="rId292" Type="http://schemas.openxmlformats.org/officeDocument/2006/relationships/hyperlink" Target="https://www.officewarehouse.com.ph/product/27612/" TargetMode="External"/><Relationship Id="rId306" Type="http://schemas.openxmlformats.org/officeDocument/2006/relationships/hyperlink" Target="https://www.lazada.com.ph/products/4k-hdmiugreen-hdmi-20-cable-4k-hdmi-male-to-male-high-speed-hdmi-adapter-3d-for-smart-tv-xbox-360-apple-tv-ps5-pro-nintendo-switch-projector-hdmi-i5943200-s7693809229.html?c=&amp;channelLpJumpArgs=&amp;clickTrackInfo=query%253Ahdmi%252Bcable%253Bnid%253A5943200%253Bsrc%253ALazadaMainSrp%253Brn%253Ac18667ede1b40aeeb4afef098052fc97%253Bregion%253Aph%253Bsku%253A5943200_PH%253Bprice%253A179%253Bclient%253Adesktop%253Bsupplier_id%253A15884%253Bpromotion_biz%253A%253Basc_category_id%253A21466%253Bitem_id%253A5943200%253Bsku_id%253A7693809229%253Bshop_id%253A1038&amp;fastshipping=0&amp;freeshipping=0&amp;fs_ab=2&amp;fuse_fs=&amp;lang=en&amp;location=Laguna&amp;price=179&amp;priceCompare=&amp;ratingscore=4.942523948354852&amp;request_id=c18667ede1b40aeeb4afef098052fc97&amp;review=1199&amp;sale=14420&amp;search=1&amp;source=search&amp;spm=a2o4l.searchlist.list.12&amp;stock=1" TargetMode="External"/><Relationship Id="rId24" Type="http://schemas.openxmlformats.org/officeDocument/2006/relationships/hyperlink" Target="https://www.apc.com/ph/en/product/APCRBC110/apc-replacement-battery-cartridge-110-with-2-year-warranty/" TargetMode="External"/><Relationship Id="rId45" Type="http://schemas.openxmlformats.org/officeDocument/2006/relationships/hyperlink" Target="https://www.lazada.com.ph/products/tolsen-100pcs-black-nylon-cable-tie-dupont-pa66-25-to-76mm-100mm-to-450mm-zip-tie-i276960904-s11289235208.html?" TargetMode="External"/><Relationship Id="rId66" Type="http://schemas.openxmlformats.org/officeDocument/2006/relationships/hyperlink" Target="https://adlink.ph/product/utp-outdoor-cat6-305-meters/" TargetMode="External"/><Relationship Id="rId87" Type="http://schemas.openxmlformats.org/officeDocument/2006/relationships/hyperlink" Target="https://www.lazada.com.ph/products/ampcom-krone-punch-down-tool-multifunction-krone-kd-1-type-idcnetwork-wire-cat5e-and-telephone-impact-terminal-insertion-tools-i2118481877.html?spm=a2o4l.seller.list.192.55231741LI79zK" TargetMode="External"/><Relationship Id="rId110" Type="http://schemas.openxmlformats.org/officeDocument/2006/relationships/hyperlink" Target="https://www.lazada.com.ph/products/office-chair-computer-chair-executive-chair-boss-chair-office-chairs-office-chair-with-arm-rest-cheap-office-chair-with-arm-rest-boss-chair-rotating-computer-chair-ergonomic-chair-design-metal-base-i1603670994-s15382966492.html?clickTrackInfo=query%253Aergonomic%252Bchair%252Boffice%253Bnid%253A1603670994%253Bsrc%253ALazadaMainSrp%253Brn%253A96070e39ed1685732ba9c930c9afb149%253Bregion%253Aph%253Bsku%253A1603670994_PH%253Bprice%253A1234%253Bclient%253Adesktop%253Bsupplier_id%253A1000271104%253Basc_category_id%253A22819%253Bitem_id%253A1603670994%253Bsku_id%253A15382966492%253Bshop_id%253A443213&amp;freeshipping=1&amp;search=1&amp;spm=a2o4l.searchlist.list.6" TargetMode="External"/><Relationship Id="rId131" Type="http://schemas.openxmlformats.org/officeDocument/2006/relationships/hyperlink" Target="https://www.gigatools.ph/products/akita-dhp484rfe-18v-3-0ah-li-ion-cordless-hammer-driver-drill-brushless-heavy-duty" TargetMode="External"/><Relationship Id="rId327" Type="http://schemas.openxmlformats.org/officeDocument/2006/relationships/hyperlink" Target="https://www.lazada.com.ph/products/dji-rs-3-mini-move-light-3rd-gen-rs-stabilization-algorithm-native-vertical-shooting-14-full-color-touchscreen-i3522372712-s18185413167.html?c=&amp;channelLpJumpArgs=&amp;clickTrackInfo=query%253Agimbal%253Bnid%253A3522372712%253Bsrc%253AlazadaInShopSrp%253Brn%253Af2cb71cfe3b3623d9d92c7ef9b9bc45f%253Bregion%253Aph%253Bsku%253A3522372712_PH%253Bprice%253A16590%253Bclient%253Adesktop%253Bsupplier_id%253A500159631382%253Bpromotion_biz%253A%253Basc_category_id%253A24954%253Bitem_id%253A3522372712%253Bsku_id%253A18185413167%253Bshop_id%253A991894&amp;fastshipping=0&amp;freeshipping=0&amp;fs_ab=2&amp;fuse_fs=&amp;lang=en&amp;location=&amp;price=1.659E%204&amp;priceCompare=&amp;ratingscore=5.0&amp;request_id=f2cb71cfe3b3623d9d92c7ef9b9bc45f&amp;review=10&amp;sale=30&amp;search=1&amp;source=search&amp;spm=a2o4l.store_product.list.4&amp;stock=1" TargetMode="External"/><Relationship Id="rId152" Type="http://schemas.openxmlformats.org/officeDocument/2006/relationships/hyperlink" Target="https://www.lazada.com.ph/products/sandisk-usb-cruzer-blade-2gb-4gb-8gb-16gb-32gb-64gb-128gb-flash-drive-i1909491153-s8118181539.html?clickTrackInfo=query%253A16gb%252Busb%253Bnid%253A1909491153%253Bsrc%253ALazadaMainSrp%253Brn%253Ae564ffea2db79299f42f71a13c4f17bc%253Bregion%253Aph%253Bsku%253A1909491153_PH%253Bprice%253A129.00%253Bclient%253Adesktop%253Bsupplier_id%253A500168697079%253Basc_category_id%253A5177%253Bitem_id%253A1909491153%253Bsku_id%253A8118181539%253Bshop_id%253A1836513&amp;search=1&amp;spm=a2o4l.searchlist.list.2" TargetMode="External"/><Relationship Id="rId173" Type="http://schemas.openxmlformats.org/officeDocument/2006/relationships/hyperlink" Target="https://www.epson.com.ph/Projectors/Corporate-and-Education/Epson-EB-E10-XGA-3LCD-Projector/p/V11H975052" TargetMode="External"/><Relationship Id="rId194" Type="http://schemas.openxmlformats.org/officeDocument/2006/relationships/hyperlink" Target="https://www.lazada.com.ph/products/epson-664-ink-black-cyan-magenta-yellow-one-set-brand-new-original-epson-ink-bottles-for-epson-l120-l121-l220-l360-other-l-series-one-set-t6641-t6642-t6643-t6644-wink-printer-solutions-i111495931-s113652954.html?clickTrackInfo=query%253AEPSON%252B664%253Bnid%253A21821667%253Bsrc%253ALazadaMainSrp%253Brn%253A4833d7c4702ea79a4c16e43668557d17%253Bregion%253Aph%253Bsku%253AEP602ELAACZPPFANPH%253Bprice%253A1125.00%253Bclient%253Adesktop%253Bsupplier_id%253A871%253Basc_category_id%253A13893%253Bitem_id%253A111495931%253Bsku_id%253A113652954%253Bshop_id%253A1673&amp;search=1&amp;spm=a2o4l.searchlist.list.6" TargetMode="External"/><Relationship Id="rId208" Type="http://schemas.openxmlformats.org/officeDocument/2006/relationships/hyperlink" Target="https://www.lazada.com.ph/products/hp-gt52-gt53-original-ink-bottle-i2547394076-s11802642352.html?exlaz=d_1:mm_150050845_51350205_2010350205::12:17877749403!!!!!c!!11802642352!124650670&amp;gclid=Cj0KCQjwxveXBhDDARIsAI0Q0x0x3RfyLM5zG-MI7JuABNfCi2QL7gbctZpV_OAwEi3G6L7WGDZYnpQaAvFYEALw_wcB" TargetMode="External"/><Relationship Id="rId229" Type="http://schemas.openxmlformats.org/officeDocument/2006/relationships/hyperlink" Target="https://www.lazada.com.ph/products/ampcom-rj45-coupler-8p8c-female-extender-lan-connector-inline-cat6acat6cat5e-ethernet-cable-lightning-protection-i768890222-s2319214521.html?spm=a2o4l.tm80167379.7779702790.1.1df3O6LBO6LBsu.1df3O6LBO6LBsu" TargetMode="External"/><Relationship Id="rId240" Type="http://schemas.openxmlformats.org/officeDocument/2006/relationships/hyperlink" Target="https://www.lazada.com.ph/products/ampcom-nylon-zip-ties-cable-label-mark-tags-write-on-ethernet-wire-self-locking-free-printable-labels-472-inches-5-color-i772404752-s2333630474.html?spm=a2o4l.tm80167379.7779702790.1.4447AvoPAvoPAW.4447AvoPAvoPAW" TargetMode="External"/><Relationship Id="rId261" Type="http://schemas.openxmlformats.org/officeDocument/2006/relationships/hyperlink" Target="https://www.lazada.com.ph/products/kohl-foldable-platform-truck-300kgs-steel-i354858526-s802190993.html?spm=a2o4l.10450891.0.0.32746d68gx2TXc&amp;search=store" TargetMode="External"/><Relationship Id="rId14" Type="http://schemas.openxmlformats.org/officeDocument/2006/relationships/hyperlink" Target="https://www.tp-link.com/us/business-networking/unmanaged-switch/tl-sg1024d/" TargetMode="External"/><Relationship Id="rId35" Type="http://schemas.openxmlformats.org/officeDocument/2006/relationships/hyperlink" Target="https://www.lazada.com.ph/products/tolsen-100pcs-black-nylon-cable-tie-dupont-pa66-25-to-76mm-100mm-to-450mm-zip-tie-i276960904-s11289235208.html?" TargetMode="External"/><Relationship Id="rId56" Type="http://schemas.openxmlformats.org/officeDocument/2006/relationships/hyperlink" Target="https://www.lazada.com.ph/products/tolsen-100pcs-black-nylon-cable-tie-dupont-pa66-25-to-76mm-100mm-to-450mm-zip-tie-i276960904-s11289235208.html?" TargetMode="External"/><Relationship Id="rId77" Type="http://schemas.openxmlformats.org/officeDocument/2006/relationships/hyperlink" Target="https://www.lazada.com.ph/products/acer-ka220hq-bi-215-fhd-led-monitor-i191381509.html?spm=a2o4l.searchlist.list.18.642e5575IKqSck" TargetMode="External"/><Relationship Id="rId100" Type="http://schemas.openxmlformats.org/officeDocument/2006/relationships/hyperlink" Target="https://www.lazada.com.ph/products/gordak-968d-rework-station-hot-air-soldering-station-pull-gun-remake-station-combo-i546918385-s1477040500.html?clickTrackInfo=query%253AGordak%252BRework%252BStation%253Bnid%253A546918385%253Bsrc%253ALazadaMainSrp%253Brn%253A18fff759a1fe632248f5c492ba5c625a%253Bregion%253Aph%253Bsku%253A546918385_PH%253Bprice%253A2050.00%253Bclient%253Adesktop%253Bsupplier_id%253A1000136235%253Basc_category_id%253A22670%253Bitem_id%253A546918385%253Bsku_id%253A1477040500%253Bshop_id%253A313708&amp;search=1&amp;spm=a2o4l.searchlist.list.4" TargetMode="External"/><Relationship Id="rId282" Type="http://schemas.openxmlformats.org/officeDocument/2006/relationships/hyperlink" Target="https://support.brother.com/g/b/colist.aspx?c=ph&amp;lang=en&amp;prod=dcpt700w_all&amp;cao=btl" TargetMode="External"/><Relationship Id="rId317" Type="http://schemas.openxmlformats.org/officeDocument/2006/relationships/hyperlink" Target="https://ccs.com.ph/products/topaz-t-lbk460-siglite-lcd-1x5-series-signature-pad" TargetMode="External"/><Relationship Id="rId8" Type="http://schemas.openxmlformats.org/officeDocument/2006/relationships/hyperlink" Target="https://www.use-ip.co.uk/datasheets/4952/tplink_tlsg108pe_8port_gigabit_easy_smart_switch_with_4port_poe.pdf" TargetMode="External"/><Relationship Id="rId98" Type="http://schemas.openxmlformats.org/officeDocument/2006/relationships/hyperlink" Target="https://www.lazada.com.ph/products/rj11-6p6c-telephone-connector-per-piece-i2888887294-s14033502988.html?clickTrackInfo=query%253Arj11%252Bconnector%253Bnid%253A2888887294%253Bsrc%253ALazadaMainSrp%253Brn%253Ab2ec5001b5796829716e677f52c6ece0%253Bregion%253Aph%253Bsku%253A2888887294_PH%253Bprice%253A12.00%253Bclient%253Adesktop%253Bsupplier_id%253A500157846587%253Basc_category_id%253A10100366%253Bitem_id%253A2888887294%253Bsku_id%253A14033502988%253Bshop_id%253A745049&amp;search=1&amp;spm=a2o4l.searchlist.list.3" TargetMode="External"/><Relationship Id="rId121" Type="http://schemas.openxmlformats.org/officeDocument/2006/relationships/hyperlink" Target="https://www.lazada.com.ph/products/online-exclusive-logitech-g-pro-wireless-gaming-mouse-hero-25k-sensor-25600-dpi-rgb-ultra-lightweight-4-to-8-programmable-buttons-long-battery-life-on-board-memory-built-for-esport-pc-mac-i277502507.html?spm=a2o4l.searchlist.list.2.31f2244dElmdzD" TargetMode="External"/><Relationship Id="rId142" Type="http://schemas.openxmlformats.org/officeDocument/2006/relationships/hyperlink" Target="https://www.lazada.com.ph/products/original-logitech-streamcam-webcam-professional-usb-full-hd-1080p-60fps-autofocus-built-in-microphone-web-camera-i2664215131-s12678747266.html?spm=a2o4l.tm80167379.5934338580.1.5045bdWpbdWp4H.5045bdWpbdWp4H" TargetMode="External"/><Relationship Id="rId163" Type="http://schemas.openxmlformats.org/officeDocument/2006/relationships/hyperlink" Target="https://www.logitech.com/en-ph/products/headsets/h390-usb-headset.981-000485.html" TargetMode="External"/><Relationship Id="rId184" Type="http://schemas.openxmlformats.org/officeDocument/2006/relationships/hyperlink" Target="https://www.lazada.com.ph/products/logitech-z121-compact-pc-stereo-speakers-35mm-audio-input-usb-powered-integrated-controls-cable-management-solution-computersmartphonetabletmusic-player-whiteblack-i261801944-s361690101.html?clickTrackInfo=query%253Alogitech%252Bspeaker%253Bnid%253A261801944%253Bsrc%253ALazadaMainSrp%253Brn%253A1b2b1402cd6d67fd70e19d53adf78920%253Bregion%253Aph%253Bsku%253A261801944_PH%253Bprice%253A595.00%253Bclient%253Adesktop%253Bsupplier_id%253A100097156%253Basc_category_id%253A24962%253Bitem_id%253A261801944%253Bsku_id%253A361690101%253Bshop_id%253A114288&amp;search=1&amp;spm=a2o4l.searchlist.list.2" TargetMode="External"/><Relationship Id="rId219" Type="http://schemas.openxmlformats.org/officeDocument/2006/relationships/hyperlink" Target="https://rode.com/en/microphones/wireless/wirelessgoii" TargetMode="External"/><Relationship Id="rId3" Type="http://schemas.openxmlformats.org/officeDocument/2006/relationships/hyperlink" Target="https://www.lazada.com.ph/products/kingston-a400-120gb240gb480gb960gb192tb-25-sata-3-ssd-solid-state-drive-i160522428-s19722596645.html?c=&amp;channelLpJumpArgs=&amp;clickTrackInfo=query%253AKingston%252BA400%252B480GB%253Bnid%253A160522428%253Bsrc%253ALazadaMainSrp%253Brn%253A5310d3621ca48517412b9306e6b7517b%253Bregion%253Aph%253Bsku%253A160522428_PH%253Bprice%253A2533%253Bclient%253Adesktop%253Bsupplier_id%253A100076741%253Bpromotion_biz%253A%253Basc_category_id%253A24946%253Bitem_id%253A160522428%253Bsku_id%253A19722596645%253Bshop_id%253A4394&amp;fastshipping=0&amp;freeshipping=0&amp;fs_ab=2&amp;fuse_fs=1&amp;lang=en&amp;location=Metro%20Manila&amp;price=2533&amp;priceCompare=&amp;ratingscore=4.910800970873787&amp;request_id=5310d3621ca48517412b9306e6b7517b&amp;review=1707&amp;sale=11846&amp;search=1&amp;source=search&amp;spm=a2o4l.searchlist.list.2&amp;stock=1" TargetMode="External"/><Relationship Id="rId214" Type="http://schemas.openxmlformats.org/officeDocument/2006/relationships/hyperlink" Target="https://docs.arduino.cc/hardware/uno-rev3-smd" TargetMode="External"/><Relationship Id="rId230" Type="http://schemas.openxmlformats.org/officeDocument/2006/relationships/hyperlink" Target="https://www.lazada.com.ph/products/ampcom-50100pcs-k1-rj45-connector-crimp-connection-terminals-uy1-connector-waterproof-wiring-ethernet-cable-telephone-cord-term-i874848616-s2776906574.html?" TargetMode="External"/><Relationship Id="rId235" Type="http://schemas.openxmlformats.org/officeDocument/2006/relationships/hyperlink" Target="https://www.lazada.com.ph/products/ampcom-patch-panel-24-port-patch-panel-pass-through-rj45-stp-thru-coupler-patch-panel-with-backplane-rack-mount-1u-19-cat6cat7-stp-rj45-inline-coupler-keystone-jack-i2933882276.html?spm=a2o4l.store_product.list.92.6d951741ZnszOD" TargetMode="External"/><Relationship Id="rId251" Type="http://schemas.openxmlformats.org/officeDocument/2006/relationships/hyperlink" Target="https://www.lazada.com.ph/products/3m-double-sided-tape-available-sizes-78-x-5ft-78-x-15ft-and-12-x-15ft-i1994461098-s8703069091.html?" TargetMode="External"/><Relationship Id="rId256" Type="http://schemas.openxmlformats.org/officeDocument/2006/relationships/hyperlink" Target="https://www.lazada.com.ph/products/kruger-aluminum-step-ladder-ft-7-7-steps-i104251189-s104753420.html?search=pdp_same_topselling?spm=a2o4l.pdp_revamp.recommendation_1.5.d39d5a9d5KMFaQ&amp;&amp;mp=1&amp;scm=1007.16389.286994.0&amp;clickTrackInfo=e778af11-bb1d-49b8-9af6-72b2fb1cfc07__104251189__22409__trigger2i__224806__0.485__0.485__0.0__0.0__0.0__0.485__4__null__null__null__null__null__null____4200.0__0.4302261904761905__4.791044776119403__22__2393.05__12027,12040,14001,20001,23008,23071,23083,24085,38009,73210,80976,82420,89487,89491,92575,101718,103128,103150,115440,115569,120000,129114,134506,141200,142021,142484,142877,149113,151636,157410,160749,166568,166654,173872,177091,185876,188631,188683,189113,196164,203107,211076,213315,215654,216429,219059,232522,234498,235822,237332,239497,242264,250934,253514,255127,255984,262419,267209,268998,271427,286991__null__null__null__3650.16537_3650.16544_955.3632_955.3630__null__13426__null__0.0__0.0________null__null" TargetMode="External"/><Relationship Id="rId277" Type="http://schemas.openxmlformats.org/officeDocument/2006/relationships/hyperlink" Target="https://www.lazada.com.ph/products/seagate-st10000ve001-10tb-skyhawk-ai-7200rpm-256mb-hard-disk-drive-i1324420589-s4839694732.html?c=&amp;channelLpJumpArgs=&amp;clickTrackInfo=query%253A10tb%252Bhdd%252Bfor%252Bcctv%253Bnid%253A1324420589%253Bsrc%253ALazadaMainSrp%253Brn%253Aa137ff6c45835a4176d2482c7be25f86%253Bregion%253Aph%253Bsku%253A1324420589_PH%253Bprice%253A12799%253Bclient%253Adesktop%253Bsupplier_id%253A100089229%253Bpromotion_biz%253A%253Basc_category_id%253A5155%253Bitem_id%253A1324420589%253Bsku_id%253A4839694732%253Bshop_id%253A106089&amp;fastshipping=0&amp;freeshipping=0&amp;fs_ab=2&amp;fuse_fs=1&amp;lang=en&amp;location=Metro%20Manila&amp;price=12799&amp;priceCompare=&amp;ratingscore=5.0&amp;request_id=a137ff6c45835a4176d2482c7be25f86&amp;review=8&amp;sale=62&amp;search=1&amp;source=search&amp;spm=a2o4l.searchlist.list.8&amp;stock=1" TargetMode="External"/><Relationship Id="rId298" Type="http://schemas.openxmlformats.org/officeDocument/2006/relationships/hyperlink" Target="https://www.officewarehouse.com.ph/product/27612/" TargetMode="External"/><Relationship Id="rId25" Type="http://schemas.openxmlformats.org/officeDocument/2006/relationships/hyperlink" Target="https://asianic.com.ph/product/csb-gp1272" TargetMode="External"/><Relationship Id="rId46" Type="http://schemas.openxmlformats.org/officeDocument/2006/relationships/hyperlink" Target="https://www.lazada.com.ph/products/tolsen-100pcs-black-nylon-cable-tie-dupont-pa66-25-to-76mm-100mm-to-450mm-zip-tie-i276960904-s11289235208.html?" TargetMode="External"/><Relationship Id="rId67" Type="http://schemas.openxmlformats.org/officeDocument/2006/relationships/hyperlink" Target="https://www.lazada.com.ph/products/rj45-metal-shield-connectors-for-cat6-ad-link-100pcs-i163262976.html?spm=a2o4l.seller.list.4.60536997Q9q5DC" TargetMode="External"/><Relationship Id="rId116" Type="http://schemas.openxmlformats.org/officeDocument/2006/relationships/hyperlink" Target="https://www.lazada.com.ph/products/kruger-aluminum-step-ladder-ft-6-6-steps-i104250682.html?spm=a2o4l.searchlist.list.116.3e0f4270GdnPqP" TargetMode="External"/><Relationship Id="rId137" Type="http://schemas.openxmlformats.org/officeDocument/2006/relationships/hyperlink" Target="https://5.imimg.com/data5/SELLER/Doc/2021/3/TU/FH/GL/70642752/bosch-go-2-0-screwdriver.pdf" TargetMode="External"/><Relationship Id="rId158" Type="http://schemas.openxmlformats.org/officeDocument/2006/relationships/hyperlink" Target="https://www.lazada.com.ph/products/sandisk-usb-cruzer-blade-2gb-4gb-8gb-16gb-32gb-64gb-128gb-flash-drive-i1909491153-s8118181539.html?clickTrackInfo=query%253A16gb%252Busb%253Bnid%253A1909491153%253Bsrc%253ALazadaMainSrp%253Brn%253Ae564ffea2db79299f42f71a13c4f17bc%253Bregion%253Aph%253Bsku%253A1909491153_PH%253Bprice%253A129.00%253Bclient%253Adesktop%253Bsupplier_id%253A500168697079%253Basc_category_id%253A5177%253Bitem_id%253A1909491153%253Bsku_id%253A8118181539%253Bshop_id%253A1836513&amp;search=1&amp;spm=a2o4l.searchlist.list.2" TargetMode="External"/><Relationship Id="rId272" Type="http://schemas.openxmlformats.org/officeDocument/2006/relationships/hyperlink" Target="https://www.lazada.com.ph/products/a4tech-krs-85-natural-comfort-roundedge-keycaps-laser-inscribed-keys-drain-holes-design-usb-wired-keyboard-i585666599.html?spm=a2o4l.searchlist.list.10.94803585VPRuXX" TargetMode="External"/><Relationship Id="rId293" Type="http://schemas.openxmlformats.org/officeDocument/2006/relationships/hyperlink" Target="https://asdi.ph/products/epson-lq310-ribbon-cartridge-so15634" TargetMode="External"/><Relationship Id="rId302" Type="http://schemas.openxmlformats.org/officeDocument/2006/relationships/hyperlink" Target="https://www.lazada.com.ph/products/4k-hdmiugreen-hdmi-20-cable-4k-hdmi-male-to-male-high-speed-hdmi-adapter-3d-for-smart-tv-xbox-360-apple-tv-ps5-pro-nintendo-switch-projector-hdmi-i5943200-s7693809229.html?c=&amp;channelLpJumpArgs=&amp;clickTrackInfo=query%253Ahdmi%252Bcable%253Bnid%253A5943200%253Bsrc%253ALazadaMainSrp%253Brn%253Ac18667ede1b40aeeb4afef098052fc97%253Bregion%253Aph%253Bsku%253A5943200_PH%253Bprice%253A179%253Bclient%253Adesktop%253Bsupplier_id%253A15884%253Bpromotion_biz%253A%253Basc_category_id%253A21466%253Bitem_id%253A5943200%253Bsku_id%253A7693809229%253Bshop_id%253A1038&amp;fastshipping=0&amp;freeshipping=0&amp;fs_ab=2&amp;fuse_fs=&amp;lang=en&amp;location=Laguna&amp;price=179&amp;priceCompare=&amp;ratingscore=4.942523948354852&amp;request_id=c18667ede1b40aeeb4afef098052fc97&amp;review=1199&amp;sale=14420&amp;search=1&amp;source=search&amp;spm=a2o4l.searchlist.list.12&amp;stock=1" TargetMode="External"/><Relationship Id="rId307" Type="http://schemas.openxmlformats.org/officeDocument/2006/relationships/hyperlink" Target="https://www.lazada.com.ph/products/4k-hdmiugreen-hdmi-20-cable-4k-hdmi-male-to-male-high-speed-hdmi-adapter-3d-for-smart-tv-xbox-360-apple-tv-ps5-pro-nintendo-switch-projector-hdmi-i5943200-s7693809229.html?c=&amp;channelLpJumpArgs=&amp;clickTrackInfo=query%253Ahdmi%252Bcable%253Bnid%253A5943200%253Bsrc%253ALazadaMainSrp%253Brn%253Ac18667ede1b40aeeb4afef098052fc97%253Bregion%253Aph%253Bsku%253A5943200_PH%253Bprice%253A179%253Bclient%253Adesktop%253Bsupplier_id%253A15884%253Bpromotion_biz%253A%253Basc_category_id%253A21466%253Bitem_id%253A5943200%253Bsku_id%253A7693809229%253Bshop_id%253A1038&amp;fastshipping=0&amp;freeshipping=0&amp;fs_ab=2&amp;fuse_fs=&amp;lang=en&amp;location=Laguna&amp;price=179&amp;priceCompare=&amp;ratingscore=4.942523948354852&amp;request_id=c18667ede1b40aeeb4afef098052fc97&amp;review=1199&amp;sale=14420&amp;search=1&amp;source=search&amp;spm=a2o4l.searchlist.list.12&amp;stock=1" TargetMode="External"/><Relationship Id="rId323" Type="http://schemas.openxmlformats.org/officeDocument/2006/relationships/hyperlink" Target="https://mail.google.com/mail/u/0/?ogbl" TargetMode="External"/><Relationship Id="rId328" Type="http://schemas.openxmlformats.org/officeDocument/2006/relationships/hyperlink" Target="https://www.lazada.com.ph/products/kingston-a400-120gb240gb480gb960gb192tb-25-sata-3-ssd-solid-state-drive-i160522428-s19722596643.html?" TargetMode="External"/><Relationship Id="rId20" Type="http://schemas.openxmlformats.org/officeDocument/2006/relationships/hyperlink" Target="http://www.isagecomm.com/wp-content/uploads/2015/09/uareu5100reader.pdf" TargetMode="External"/><Relationship Id="rId41" Type="http://schemas.openxmlformats.org/officeDocument/2006/relationships/hyperlink" Target="https://www.lazada.com.ph/products/tolsen-100pcs-black-nylon-cable-tie-dupont-pa66-25-to-76mm-100mm-to-450mm-zip-tie-i276960904-s11289235208.html?" TargetMode="External"/><Relationship Id="rId62" Type="http://schemas.openxmlformats.org/officeDocument/2006/relationships/hyperlink" Target="https://www.lazada.com.ph/products/tolsen-100pcs-black-nylon-cable-tie-dupont-pa66-25-to-76mm-100mm-to-450mm-zip-tie-i276960904-s11289235208.html?" TargetMode="External"/><Relationship Id="rId83" Type="http://schemas.openxmlformats.org/officeDocument/2006/relationships/hyperlink" Target="https://www.lazada.com.ph/products/ampcom-network-tool-kit-14-in-1-professional-ethernet-cable-tester-rj45-rj11-cat6cat5econnectors-cable-crimper-stripper-pliers-i1529906023.html?spm=a2o4l.seller.list.34.6d951741nGMPRM" TargetMode="External"/><Relationship Id="rId88" Type="http://schemas.openxmlformats.org/officeDocument/2006/relationships/hyperlink" Target="https://www.lazada.com.ph/products/ampcom-krone-punch-down-tool-multifunction-krone-kd-1-type-idcnetwork-wire-cat5e-and-telephone-impact-terminal-insertion-tools-i2118481877.html?spm=a2o4l.seller.list.192.55231741LI79zK" TargetMode="External"/><Relationship Id="rId111" Type="http://schemas.openxmlformats.org/officeDocument/2006/relationships/hyperlink" Target="https://www.lazada.com.ph/products/pioneer-mighty-bond-extreme-instant-glue-gel-3g-i790680447-s2405080031.html?clickTrackInfo=query%253Amighty%252Bbond%253Bnid%253A790680447%253Bsrc%253ALazadaMainSrp%253Brn%253A43e45ba1d66a568097c2a916044231b3%253Bregion%253Aph%253Bsku%253A790680447_PH%253Bprice%253A89.00%253Bclient%253Adesktop%253Bsupplier_id%253A100018869%253Basc_category_id%253A22751%253Bitem_id%253A790680447%253Bsku_id%253A2405080031%253Bshop_id%253A3012&amp;search=1&amp;spm=a2o4l.searchlist.list.6" TargetMode="External"/><Relationship Id="rId132" Type="http://schemas.openxmlformats.org/officeDocument/2006/relationships/hyperlink" Target="https://www.lazada.com.ph/products/makita-dub185z-cordless-blower-18v-lxt-body-only-battery-and-charger-sold-separately-replaces-old-dub182z-crdlsblwr-mak18v-gigatools-i115245104.html?spm=a2o4l.seller.list.34.62419c9aSK1o2j" TargetMode="External"/><Relationship Id="rId153" Type="http://schemas.openxmlformats.org/officeDocument/2006/relationships/hyperlink" Target="https://documents.westerndigital.com/content/dam/doc-library/en_us/assets/public/sandisk/product/usb-flash/cruzer-blade-usb-2-0/data-sheet-cruzer-blade-usb-2-0.pdf" TargetMode="External"/><Relationship Id="rId174" Type="http://schemas.openxmlformats.org/officeDocument/2006/relationships/hyperlink" Target="https://www.lazada.com.ph/products/epson-tm-t88iv-thermal-receipt-printer-i2037854.html" TargetMode="External"/><Relationship Id="rId179" Type="http://schemas.openxmlformats.org/officeDocument/2006/relationships/hyperlink" Target="https://www.hp.com/ca-en/shop/offer.aspx?p=hp-laserjet-pro-mfp-m426fdn-printer-toner-cartridges" TargetMode="External"/><Relationship Id="rId195" Type="http://schemas.openxmlformats.org/officeDocument/2006/relationships/hyperlink" Target="https://www.lazada.com.ph/products/epson-664-ink-black-cyan-magenta-yellow-one-set-brand-new-original-epson-ink-bottles-for-epson-l120-l121-l220-l360-other-l-series-one-set-t6641-t6642-t6643-t6644-wink-printer-solutions-i111495931-s113652954.html?clickTrackInfo=query%253AEPSON%252B664%253Bnid%253A21821667%253Bsrc%253ALazadaMainSrp%253Brn%253A4833d7c4702ea79a4c16e43668557d17%253Bregion%253Aph%253Bsku%253AEP602ELAACZPPFANPH%253Bprice%253A1125.00%253Bclient%253Adesktop%253Bsupplier_id%253A871%253Basc_category_id%253A13893%253Bitem_id%253A111495931%253Bsku_id%253A113652954%253Bshop_id%253A1673&amp;search=1&amp;spm=a2o4l.searchlist.list.6" TargetMode="External"/><Relationship Id="rId209" Type="http://schemas.openxmlformats.org/officeDocument/2006/relationships/hyperlink" Target="https://www.lazada.com.ph/products/hp-gt52-gt53-original-ink-bottle-i2547394076-s11802642352.html?exlaz=d_1:mm_150050845_51350205_2010350205::12:17877749403!!!!!c!!11802642352!124650670&amp;gclid=Cj0KCQjwxveXBhDDARIsAI0Q0x0x3RfyLM5zG-MI7JuABNfCi2QL7gbctZpV_OAwEi3G6L7WGDZYnpQaAvFYEALw_wcB" TargetMode="External"/><Relationship Id="rId190" Type="http://schemas.openxmlformats.org/officeDocument/2006/relationships/hyperlink" Target="https://www.lazada.com.ph/products/epson-664-ink-black-cyan-magenta-yellow-one-set-brand-new-original-epson-ink-bottles-for-epson-l120-l121-l220-l360-other-l-series-one-set-t6641-t6642-t6643-t6644-wink-printer-solutions-i111495931-s113652954.html?clickTrackInfo=query%253AEPSON%252B664%253Bnid%253A21821667%253Bsrc%253ALazadaMainSrp%253Brn%253A4833d7c4702ea79a4c16e43668557d17%253Bregion%253Aph%253Bsku%253AEP602ELAACZPPFANPH%253Bprice%253A1125.00%253Bclient%253Adesktop%253Bsupplier_id%253A871%253Basc_category_id%253A13893%253Bitem_id%253A111495931%253Bsku_id%253A113652954%253Bshop_id%253A1673&amp;search=1&amp;spm=a2o4l.searchlist.list.6" TargetMode="External"/><Relationship Id="rId204" Type="http://schemas.openxmlformats.org/officeDocument/2006/relationships/hyperlink" Target="https://www.lazada.com.ph/products/hp-gt52-gt53-original-ink-bottle-i2547394076-s11802642352.html?exlaz=d_1:mm_150050845_51350205_2010350205::12:17877749403!!!!!c!!11802642352!124650670&amp;gclid=Cj0KCQjwxveXBhDDARIsAI0Q0x0x3RfyLM5zG-MI7JuABNfCi2QL7gbctZpV_OAwEi3G6L7WGDZYnpQaAvFYEALw_wcB" TargetMode="External"/><Relationship Id="rId220" Type="http://schemas.openxmlformats.org/officeDocument/2006/relationships/hyperlink" Target="https://www.lazada.com.ph/products/wireless-hdmi-transmitter-and-receiver-kits-full-hd-4k-30hz-5ghz-164ft-wireless-display-dongle-plug-and-play-streaming-laptop-i2703739586-s12917373406.html?spm=a2o4l.home.just4u.124.6ac4359dsosp5h&amp;&amp;scm=1007.17519.162103.0&amp;pvid=5fbc80a9-c8ee-411d-a663-7a8febe432d8&amp;search=0&amp;clicktrackinfo=tcsceneid%3ahpjfy%3bbuyernid%3awnxsjkhhvawyr1xlbhskb2it1c3ftggz%3btcboost%3a0%3bpvid%3a5fbc80a9-c8ee-411d-a663-7a8febe432d8%3bchannel_id%3a0000%3bmt%3ai2i%3bitem_id%3a2703739586%3bself_ab_id%3a162103%3bself_app_id%3a7519%3blayer_buckets%3a955.7333_5437.25236_955.3634_6059.28891%3bpos%3a4%3b" TargetMode="External"/><Relationship Id="rId225" Type="http://schemas.openxmlformats.org/officeDocument/2006/relationships/hyperlink" Target="https://www.lazada.com.ph/products/4u-4-layer-data-cabinet-wallmounted-data-cabinet-600x450x230-w-2pcs-fan-1pc-pdu-6slot-assembled-i2235929681.html?spm=a2o4l.searchlist.list.9.4fe15f3c4jQNfz" TargetMode="External"/><Relationship Id="rId241" Type="http://schemas.openxmlformats.org/officeDocument/2006/relationships/hyperlink" Target="https://www.lazada.com.ph/products/ampcom-nylon-zip-ties-cable-label-mark-tags-write-on-ethernet-wire-self-locking-free-printable-labels-472-inches-5-color-i772404752-s2333630474.html?spm=a2o4l.tm80167379.7779702790.1.4447AvoPAvoPAW.4447AvoPAvoPAW" TargetMode="External"/><Relationship Id="rId246" Type="http://schemas.openxmlformats.org/officeDocument/2006/relationships/hyperlink" Target="https://www.lazada.com.ph/products/15m-3m-5m-10m-15m-20m-30m-40m-50m-ad-link-gigabit-cat6-ethernet-patch-cable-with-rj45-cat6e-high-quality-blue-i1767824467-s7555638474.html?" TargetMode="External"/><Relationship Id="rId267" Type="http://schemas.openxmlformats.org/officeDocument/2006/relationships/hyperlink" Target="https://mail.google.com/mail/u/0/?ogbl" TargetMode="External"/><Relationship Id="rId288" Type="http://schemas.openxmlformats.org/officeDocument/2006/relationships/hyperlink" Target="https://www.brother.com.ph/en/products/all-printers/printers/mfc-l5900dw" TargetMode="External"/><Relationship Id="rId15" Type="http://schemas.openxmlformats.org/officeDocument/2006/relationships/hyperlink" Target="https://www.lazada.com.ph/products/tp-link-tl-sg1016d-16-port-101001000mbps-desktoprackmount-switch-and-gigabit-wired-network-expansion-solution-i263137983-s366095889.html?clickTrackInfo=query%253A16-Port%252BGigabit%253Bnid%253A263137983%253Bsrc%253ALazadaMainSrp%253Brn%253A970ed53f4f4f41fa0f21fcd4da35491c%253Bregion%253Aph%253Bsku%253A263137983_PH%253Bprice%253A3399.00%253Bclient%253Adesktop%253Bsupplier_id%253A1791%253Basc_category_id%253A5196%253Bitem_id%253A263137983%253Bsku_id%253A366095889%253Bshop_id%253A3990&amp;search=1&amp;spm=a2o4l.searchlist.list.2" TargetMode="External"/><Relationship Id="rId36" Type="http://schemas.openxmlformats.org/officeDocument/2006/relationships/hyperlink" Target="https://www.lazada.com.ph/products/tolsen-100pcs-black-nylon-cable-tie-dupont-pa66-25-to-76mm-100mm-to-450mm-zip-tie-i276960904-s11289235208.html?" TargetMode="External"/><Relationship Id="rId57" Type="http://schemas.openxmlformats.org/officeDocument/2006/relationships/hyperlink" Target="https://www.lazada.com.ph/products/tolsen-100pcs-black-nylon-cable-tie-dupont-pa66-25-to-76mm-100mm-to-450mm-zip-tie-i276960904-s11289235208.html?" TargetMode="External"/><Relationship Id="rId106" Type="http://schemas.openxmlformats.org/officeDocument/2006/relationships/hyperlink" Target="https://www.lazada.com.ph/products/allan-30g-thermal-conductive-grease-paste-for-cpu-gpu-chipset-cooling-grey-compound-thermal-paste-syringe-silicon-syringe-density-is-compatible-with-sharp-mirrored-cpu-cooler-s-surface-and-video-cards-or-gpu-i1713768308-s7403382032.html?clickTrackInfo=query%253Athermal%252Bpaste%253Bnid%253A1713768308%253Bsrc%253ALazadaMainSrp%253Brn%253A611861c1dba355c1d7ff25641032fd75%253Bregion%253Aph%253Bsku%253A1713768308_PH%253Bprice%253A25.22%253Bclient%253Adesktop%253Bsupplier_id%253A500171112345%253Basc_category_id%253A5161%253Bitem_id%253A1713768308%253Bsku_id%253A7403382032%253Bshop_id%253A1958642&amp;search=1&amp;spm=a2o4l.searchlist.list.2" TargetMode="External"/><Relationship Id="rId127" Type="http://schemas.openxmlformats.org/officeDocument/2006/relationships/hyperlink" Target="https://www.lazada.com.ph/products/insta360-one-x2-360-camera-action-camera-waterproof-57k-stabilization-touch-screen-ai-editing-live-streaming-webcam-i2186825021-s9819605412.html?clickTrackInfo=query%253Ainsta360%252Bone%252Bx2%253Bnid%253A2186825021%253Bsrc%253ALazadaMainSrp%253Brn%253Adaf594f521dd05669b41c05a7b5d0839%253Bregion%253Aph%253Bsku%253A2186825021_PH%253Bprice%253A22499%253Bclient%253Adesktop%253Bsupplier_id%253A500174652107%253Basc_category_id%253A11134%253Bitem_id%253A2186825021%253Bsku_id%253A9819605412%253Bshop_id%253A2164940&amp;freeshipping=1&amp;search=1&amp;spm=a2o4l.searchlist.list.2" TargetMode="External"/><Relationship Id="rId262" Type="http://schemas.openxmlformats.org/officeDocument/2006/relationships/hyperlink" Target="https://www.lazada.com.ph/products/3m-double-sided-tape-available-sizes-78-x-5ft-78-x-15ft-and-12-x-15ft-i1994461098-s8703069091.html?" TargetMode="External"/><Relationship Id="rId283" Type="http://schemas.openxmlformats.org/officeDocument/2006/relationships/hyperlink" Target="https://support.brother.com/g/b/colist.aspx?c=ph&amp;lang=en&amp;prod=dcpt700w_all&amp;cao=btl" TargetMode="External"/><Relationship Id="rId313" Type="http://schemas.openxmlformats.org/officeDocument/2006/relationships/hyperlink" Target="https://www.lazada.com.ph/products/samsung-galaxy-tab-a8-wi-fi-4gb-ram-64gb-rom-i2709578104.html?spm=a2o4l.store_product.list.4.16c48430fts0lM" TargetMode="External"/><Relationship Id="rId318" Type="http://schemas.openxmlformats.org/officeDocument/2006/relationships/hyperlink" Target="https://www.acer.com/ph-en/desktops-and-all-in-ones/aspire-classic-desktops/aspire-tc/pdp/DT.BHVSP.00A" TargetMode="External"/><Relationship Id="rId10" Type="http://schemas.openxmlformats.org/officeDocument/2006/relationships/hyperlink" Target="https://www.apc.com/ph/en/product/BVX650I-PH/apc-easy-ups-bvx-650va-avr-230v/" TargetMode="External"/><Relationship Id="rId31" Type="http://schemas.openxmlformats.org/officeDocument/2006/relationships/hyperlink" Target="https://www.lazada.com.ph/products/tolsen-100pcs-black-nylon-cable-tie-dupont-pa66-25-to-76mm-100mm-to-450mm-zip-tie-i276960904-s11289235208.html?" TargetMode="External"/><Relationship Id="rId52" Type="http://schemas.openxmlformats.org/officeDocument/2006/relationships/hyperlink" Target="https://www.lazada.com.ph/products/tolsen-100pcs-black-nylon-cable-tie-dupont-pa66-25-to-76mm-100mm-to-450mm-zip-tie-i276960904-s11289235208.html?" TargetMode="External"/><Relationship Id="rId73" Type="http://schemas.openxmlformats.org/officeDocument/2006/relationships/hyperlink" Target="https://www.lazada.com.ph/products/cat6cat5e-tool-less-keystone-jackampcom-rj45-utp-keystone-module-adapter-no-punch-down-tool-required-couplers-i751124158-s2242930566.html" TargetMode="External"/><Relationship Id="rId78" Type="http://schemas.openxmlformats.org/officeDocument/2006/relationships/hyperlink" Target="https://www.acer.com/ac/en/US/content/model/UM.WX0AA.001" TargetMode="External"/><Relationship Id="rId94" Type="http://schemas.openxmlformats.org/officeDocument/2006/relationships/hyperlink" Target="https://www.lazada.com.ph/products/15m-3m-5m-10m-15m-20m-30m-40m-50m-ad-link-gigabit-cat6-ethernet-patch-cable-with-rj45-cat6e-high-quality-blue-i1767824467-s7555638470.html?" TargetMode="External"/><Relationship Id="rId99" Type="http://schemas.openxmlformats.org/officeDocument/2006/relationships/hyperlink" Target="https://www.lazada.com.ph/products/gordak-968d-rework-station-hot-air-soldering-station-pull-gun-remake-station-combo-i546918385-s1477040500.html?clickTrackInfo=query%253AGordak%252BRework%252BStation%253Bnid%253A546918385%253Bsrc%253ALazadaMainSrp%253Brn%253A18fff759a1fe632248f5c492ba5c625a%253Bregion%253Aph%253Bsku%253A546918385_PH%253Bprice%253A2050.00%253Bclient%253Adesktop%253Bsupplier_id%253A1000136235%253Basc_category_id%253A22670%253Bitem_id%253A546918385%253Bsku_id%253A1477040500%253Bshop_id%253A313708&amp;search=1&amp;spm=a2o4l.searchlist.list.4" TargetMode="External"/><Relationship Id="rId101" Type="http://schemas.openxmlformats.org/officeDocument/2006/relationships/hyperlink" Target="https://www.lazada.com.ph/products/baofeng-uv-5r-walkie-talkie-dual-band-vhfuhf136-174mhz-400-520mhz-handheld-two-way-radio-i610048420.html?spm=a2o4l.seller.list.24.4d0f362dfVGrRg" TargetMode="External"/><Relationship Id="rId122" Type="http://schemas.openxmlformats.org/officeDocument/2006/relationships/hyperlink" Target="https://www.logitechg.com/en-ph/products/gaming-mice/league-of-legends-pro-wireless-gaming-mouse.910-006453.html" TargetMode="External"/><Relationship Id="rId143" Type="http://schemas.openxmlformats.org/officeDocument/2006/relationships/hyperlink" Target="https://www.logitech.com/en-us/products/webcams/streamcam.960-001289.html" TargetMode="External"/><Relationship Id="rId148" Type="http://schemas.openxmlformats.org/officeDocument/2006/relationships/hyperlink" Target="https://shopee.ph/item-i.457767953.5291273193?utm_campaign=s457767953_ss_ph_othr_1538p105115u1s785900&amp;utm_content=wtb&amp;utm_medium=seller&amp;utm_source=ccwtb" TargetMode="External"/><Relationship Id="rId164" Type="http://schemas.openxmlformats.org/officeDocument/2006/relationships/hyperlink" Target="https://www.lazada.com.ph/products/hp-black-printhead-x4e75aa-i742472377-s2202218265.html?&amp;search=pdp_v2v?spm=a2o4l.pdp_revamp.recommendation_2.4.22587bcciwpdqA&amp;mp=1&amp;scm=1007.16389.286994.0&amp;clickTrackInfo=91a2929b-93af-48e9-bff4-a56d2f78121f__742472377__13893__trigger2i__287002__0.247__0.247__0.0__0.0__0.0__0.247__3__null__null__null__null__null__null____1000.0__0.0__4.928571428571429__28__1000.0____null__null__null__3650.16544_955.3632__null__32104__null__0.0__0.0________null__null__0" TargetMode="External"/><Relationship Id="rId169" Type="http://schemas.openxmlformats.org/officeDocument/2006/relationships/hyperlink" Target="https://www.canon-europe.com/business/products/scanners/document-scanners/imageformula_dr-m160ii/specification.html" TargetMode="External"/><Relationship Id="rId185" Type="http://schemas.openxmlformats.org/officeDocument/2006/relationships/hyperlink" Target="https://www.logitech.com/en-ph/products/speakers/z121-usb-compact-speakers.980-001311.html" TargetMode="External"/><Relationship Id="rId334" Type="http://schemas.openxmlformats.org/officeDocument/2006/relationships/hyperlink" Target="https://data.energizer.com/pdfs/522.pdf" TargetMode="External"/><Relationship Id="rId4" Type="http://schemas.openxmlformats.org/officeDocument/2006/relationships/hyperlink" Target="https://www.kingston.com/datasheets/SA400S37_us.pdf" TargetMode="External"/><Relationship Id="rId9" Type="http://schemas.openxmlformats.org/officeDocument/2006/relationships/hyperlink" Target="https://www.lazada.com.ph/products/apc-easy-ups-bvx-650va-avr-230v-power-supply-ph-version-bvx650i-ph-i272113603.html?spm=a2o4l.searchlist.list.2.43697128WA84f2" TargetMode="External"/><Relationship Id="rId180" Type="http://schemas.openxmlformats.org/officeDocument/2006/relationships/hyperlink" Target="https://www.lazada.com.ph/products/hp-80xc-high-yield-black-laserjet-toner-cartridge-cf280xc-i598532280.html" TargetMode="External"/><Relationship Id="rId210" Type="http://schemas.openxmlformats.org/officeDocument/2006/relationships/hyperlink" Target="https://www.lazada.com.ph/products/hp-gt52-gt53-original-ink-bottle-i2547394076-s11802642352.html?exlaz=d_1:mm_150050845_51350205_2010350205::12:17877749403!!!!!c!!11802642352!124650670&amp;gclid=Cj0KCQjwxveXBhDDARIsAI0Q0x0x3RfyLM5zG-MI7JuABNfCi2QL7gbctZpV_OAwEi3G6L7WGDZYnpQaAvFYEALw_wcB" TargetMode="External"/><Relationship Id="rId215" Type="http://schemas.openxmlformats.org/officeDocument/2006/relationships/hyperlink" Target="https://www.lazada.com.ph/products/daytech-tuyasmart-wifi-gsm-alarm-system-home-burglar-alarm-temperature-humidity-wireless-wired-touchpad-fingerprint-alexa-google-home-gsm05-i2460360612-s11247043935.html?&amp;search=pdp_same_topselling?spm=a2o4l.pdp_revamp.recommendation_1.5.634d3c04jymfeu&amp;mp=1&amp;scm=1007.16389.286994.0&amp;clicktrackinfo=f536bb2b-e314-4d63-9994-b72d51e95473__2460360612__22643__trigger2i__224806__0.118__0.118__0.0__0.0__0.0__0.118__4__null__null__null__null__null__null____11958.0__0.5490048503094163__5.0__2__5393.0__101718,144565,149328,152127,154346,156177,157119,157410,157464,160301,160749,164072,166568,166654,176033,177023,177091,177365,181201,185876,187301,187409,188683,189113,190584__null__null__null__3650.16544_955.3632_3650.16543_955.7331__null__13426__null__0.0__0.0________null__null" TargetMode="External"/><Relationship Id="rId236" Type="http://schemas.openxmlformats.org/officeDocument/2006/relationships/hyperlink" Target="https://www.lazada.com.ph/products/ampcom-krone-punch-down-tool-multifunction-krone-kd-1-type-idcnetwork-wire-cat5e6-and-telephone-impact-terminal-insertion-tools-i2118481877-s9452621047.html?spm=a2o4l.tm80167379.7779702790.1.331ewopdwopdMa.331ewopdwopdMa" TargetMode="External"/><Relationship Id="rId257" Type="http://schemas.openxmlformats.org/officeDocument/2006/relationships/hyperlink" Target="https://www.lazada.com.ph/products/kruger-aluminum-step-ladder-ft-7-7-steps-i104251189-s104753420.html?search=pdp_same_topselling?spm=a2o4l.pdp_revamp.recommendation_1.5.d39d5a9d5KMFaQ&amp;&amp;mp=1&amp;scm=1007.16389.286994.0&amp;clickTrackInfo=e778af11-bb1d-49b8-9af6-72b2fb1cfc07__104251189__22409__trigger2i__224806__0.485__0.485__0.0__0.0__0.0__0.485__4__null__null__null__null__null__null____4200.0__0.4302261904761905__4.791044776119403__22__2393.05__12027,12040,14001,20001,23008,23071,23083,24085,38009,73210,80976,82420,89487,89491,92575,101718,103128,103150,115440,115569,120000,129114,134506,141200,142021,142484,142877,149113,151636,157410,160749,166568,166654,173872,177091,185876,188631,188683,189113,196164,203107,211076,213315,215654,216429,219059,232522,234498,235822,237332,239497,242264,250934,253514,255127,255984,262419,267209,268998,271427,286991__null__null__null__3650.16537_3650.16544_955.3632_955.3630__null__13426__null__0.0__0.0________null__null" TargetMode="External"/><Relationship Id="rId278" Type="http://schemas.openxmlformats.org/officeDocument/2006/relationships/hyperlink" Target="https://www.lazada.com.ph/products/seagate-st4000vx016-4tb-skyhawk-5900rpm-35-i207853349-s263825716.html?c=&amp;channelLpJumpArgs=&amp;clickTrackInfo=query%253A4tb%252Bhdd%252Bfor%252Bcctv%253Bnid%253A207853349%253Bsrc%253ALazadaMainSrp%253Brn%253Ac2983abe21c7bbe17669e6a737c3b7e1%253Bregion%253Aph%253Bsku%253A207853349_PH%253Bprice%253A5659%253Bclient%253Adesktop%253Bsupplier_id%253A100089229%253Bpromotion_biz%253A%253Basc_category_id%253A5155%253Bitem_id%253A207853349%253Bsku_id%253A263825716%253Bshop_id%253A106089&amp;fastshipping=0&amp;freeshipping=0&amp;fs_ab=2&amp;fuse_fs=1&amp;lang=en&amp;location=Metro%20Manila&amp;price=5659&amp;priceCompare=&amp;ratingscore=4.711538461538462&amp;request_id=c2983abe21c7bbe17669e6a737c3b7e1&amp;review=104&amp;sale=638&amp;search=1&amp;source=search&amp;spm=a2o4l.searchlist.list.8&amp;stock=1" TargetMode="External"/><Relationship Id="rId26" Type="http://schemas.openxmlformats.org/officeDocument/2006/relationships/hyperlink" Target="https://www.csb-battery.com.tw/english/01_product/02_detail.php?fid=5&amp;pid=11" TargetMode="External"/><Relationship Id="rId231" Type="http://schemas.openxmlformats.org/officeDocument/2006/relationships/hyperlink" Target="https://www.lazada.com.ph/products/ampcom-50100pcs-k1-rj45-connector-crimp-connection-terminals-uy1-connector-waterproof-wiring-ethernet-cable-telephone-cord-term-i874848616-s2776906574.html?" TargetMode="External"/><Relationship Id="rId252" Type="http://schemas.openxmlformats.org/officeDocument/2006/relationships/hyperlink" Target="https://www.lazada.com.ph/products/baseus-velcro-straps-cable-organizer-for-charging-data-cable-network-cable-winder-cable-clip-office-desktop-management-i787512710-s8528288052.html?" TargetMode="External"/><Relationship Id="rId273" Type="http://schemas.openxmlformats.org/officeDocument/2006/relationships/hyperlink" Target="https://www.lazada.com.ph/products/a4tech-krs-85-natural-comfort-roundedge-keycaps-laser-inscribed-keys-drain-holes-design-usb-wired-keyboard-i585666599.html?spm=a2o4l.searchlist.list.10.94803585VPRuXX" TargetMode="External"/><Relationship Id="rId294" Type="http://schemas.openxmlformats.org/officeDocument/2006/relationships/hyperlink" Target="https://www.officewarehouse.com.ph/product/27612/" TargetMode="External"/><Relationship Id="rId308" Type="http://schemas.openxmlformats.org/officeDocument/2006/relationships/hyperlink" Target="https://shopee.ph/product/67422291/1143823740?is_seller=true&amp;utm_campaign=s67422291_ss_ph_gmax_ph-sis-official-pmax&amp;utm_source=google&amp;utm_medium=seller&amp;utm_content=ph-gglsearch-official-pmax&amp;gclid=Cj0KCQjwnrmlBhDHARIsADJ5b_m5KiSX88X2xOQhTCR5C3pIdemQAJ1YYJF90V1QK6YuuPA-KvY7H-caAmLTEALw_wcB" TargetMode="External"/><Relationship Id="rId329" Type="http://schemas.openxmlformats.org/officeDocument/2006/relationships/hyperlink" Target="https://www.lazada.com.ph/products/kingston-a400-120gb240gb480gb960gb192tb-25-sata-3-ssd-solid-state-drive-i160522428-s19722596643.html?" TargetMode="External"/><Relationship Id="rId47" Type="http://schemas.openxmlformats.org/officeDocument/2006/relationships/hyperlink" Target="https://www.lazada.com.ph/products/tolsen-100pcs-black-nylon-cable-tie-dupont-pa66-25-to-76mm-100mm-to-450mm-zip-tie-i276960904-s11289235208.html?" TargetMode="External"/><Relationship Id="rId68" Type="http://schemas.openxmlformats.org/officeDocument/2006/relationships/hyperlink" Target="https://www.lazada.com.ph/products/rj45-metal-shield-connectors-for-cat6-ad-link-100pcs-i163262976.html?spm=a2o4l.seller.list.4.60536997Q9q5DC" TargetMode="External"/><Relationship Id="rId89" Type="http://schemas.openxmlformats.org/officeDocument/2006/relationships/hyperlink" Target="https://www.lazada.com.ph/products/15m-3m-5m-10m-15m-20m-30m-40m-50m-ad-link-gigabit-cat6-ethernet-patch-cable-with-rj45-cat6e-high-quality-blue-i1767824467-s7555638470.html?" TargetMode="External"/><Relationship Id="rId112" Type="http://schemas.openxmlformats.org/officeDocument/2006/relationships/hyperlink" Target="https://www.lazada.com.ph/products/pioneer-mighty-bond-extreme-instant-glue-gel-3g-i790680447-s2405080031.html?clickTrackInfo=query%253Amighty%252Bbond%253Bnid%253A790680447%253Bsrc%253ALazadaMainSrp%253Brn%253A43e45ba1d66a568097c2a916044231b3%253Bregion%253Aph%253Bsku%253A790680447_PH%253Bprice%253A89.00%253Bclient%253Adesktop%253Bsupplier_id%253A100018869%253Basc_category_id%253A22751%253Bitem_id%253A790680447%253Bsku_id%253A2405080031%253Bshop_id%253A3012&amp;search=1&amp;spm=a2o4l.searchlist.list.6" TargetMode="External"/><Relationship Id="rId133" Type="http://schemas.openxmlformats.org/officeDocument/2006/relationships/hyperlink" Target="https://makitauk.com/data/sr/productinfo/generated/dub185z_2.pdf" TargetMode="External"/><Relationship Id="rId154" Type="http://schemas.openxmlformats.org/officeDocument/2006/relationships/hyperlink" Target="https://www.lazada.com.ph/products/sandisk-usb-cruzer-blade-2gb-4gb-8gb-16gb-32gb-64gb-128gb-flash-drive-i1909491153-s8118181539.html?clickTrackInfo=query%253A16gb%252Busb%253Bnid%253A1909491153%253Bsrc%253ALazadaMainSrp%253Brn%253Ae564ffea2db79299f42f71a13c4f17bc%253Bregion%253Aph%253Bsku%253A1909491153_PH%253Bprice%253A129.00%253Bclient%253Adesktop%253Bsupplier_id%253A500168697079%253Basc_category_id%253A5177%253Bitem_id%253A1909491153%253Bsku_id%253A8118181539%253Bshop_id%253A1836513&amp;search=1&amp;spm=a2o4l.searchlist.list.2" TargetMode="External"/><Relationship Id="rId175" Type="http://schemas.openxmlformats.org/officeDocument/2006/relationships/hyperlink" Target="https://download.epson.com.sg/product_brochures/pos/EPC/Epson_TM-T88VI_T88VI-iHub_August2018.pdf?t=4" TargetMode="External"/><Relationship Id="rId196" Type="http://schemas.openxmlformats.org/officeDocument/2006/relationships/hyperlink" Target="https://www.lazada.com.ph/products/epson-003-genuine-ink-blackcyanmagentayellow-65ml-for-epson-l3100-l3101-l3110-l3150-i1877583433-s7979022936.html?exlaz=d_1:mm_150050845_51350205_2010350205::12:17877749403!!!!!c!!7979022936!285211010&amp;gclid=Cj0KCQjwxveXBhDDARIsAI0Q0x1YgNb0HCIFWEvO8GLLKIT_ellzh2nN4zLGAywgoaIhfs6LaERoKroaAnffEALw_wcB" TargetMode="External"/><Relationship Id="rId200" Type="http://schemas.openxmlformats.org/officeDocument/2006/relationships/hyperlink" Target="https://www.lazada.com.ph/products/epson-003-genuine-ink-blackcyanmagentayellow-65ml-for-epson-l3100-l3101-l3110-l3150-i1877583433-s7979022936.html?exlaz=d_1:mm_150050845_51350205_2010350205::12:17877749403!!!!!c!!7979022936!285211010&amp;gclid=Cj0KCQjwxveXBhDDARIsAI0Q0x1YgNb0HCIFWEvO8GLLKIT_ellzh2nN4zLGAywgoaIhfs6LaERoKroaAnffEALw_wcB" TargetMode="External"/><Relationship Id="rId16" Type="http://schemas.openxmlformats.org/officeDocument/2006/relationships/hyperlink" Target="https://www.tp-link.com/us/business-networking/unmanaged-switch/tl-sg1016d/" TargetMode="External"/><Relationship Id="rId221" Type="http://schemas.openxmlformats.org/officeDocument/2006/relationships/hyperlink" Target="https://easypc.com.ph/collections/mini-pc/products/easypc-pocket-rocket-beelink-sei12-intel-core-i5-1235u-processor-16gb-3200mhz-ddr4-500gb-nvme-m-2-ssd?variant=42890619224235" TargetMode="External"/><Relationship Id="rId242" Type="http://schemas.openxmlformats.org/officeDocument/2006/relationships/hyperlink" Target="https://www.lazada.com.ph/products/ampcom-510-pack-rj11-telephone-converter-rj-11-classic-6-pins-female-1-to-3-1-to-4-telephone-phone-cable-line-splitter-adapter-i946158676-s3097512298.html?" TargetMode="External"/><Relationship Id="rId263" Type="http://schemas.openxmlformats.org/officeDocument/2006/relationships/hyperlink" Target="https://www.lazada.com.ph/products/3m-double-sided-tape-available-sizes-78-x-5ft-78-x-15ft-and-12-x-15ft-i1994461098-s8703069091.html?" TargetMode="External"/><Relationship Id="rId284" Type="http://schemas.openxmlformats.org/officeDocument/2006/relationships/hyperlink" Target="https://support.brother.com/g/b/colist.aspx?c=ph&amp;lang=en&amp;prod=dcpt700w_all&amp;cao=btl" TargetMode="External"/><Relationship Id="rId319" Type="http://schemas.openxmlformats.org/officeDocument/2006/relationships/hyperlink" Target="https://www.acer.com/ph-en/desktops-and-all-in-ones/aspire-classic-desktops/aspire-tc/pdp/DT.BHVSP.00A" TargetMode="External"/><Relationship Id="rId37" Type="http://schemas.openxmlformats.org/officeDocument/2006/relationships/hyperlink" Target="https://www.lazada.com.ph/products/tolsen-100pcs-black-nylon-cable-tie-dupont-pa66-25-to-76mm-100mm-to-450mm-zip-tie-i276960904-s11289235208.html?" TargetMode="External"/><Relationship Id="rId58" Type="http://schemas.openxmlformats.org/officeDocument/2006/relationships/hyperlink" Target="https://www.lazada.com.ph/products/tolsen-100pcs-black-nylon-cable-tie-dupont-pa66-25-to-76mm-100mm-to-450mm-zip-tie-i276960904-s11289235208.html?" TargetMode="External"/><Relationship Id="rId79" Type="http://schemas.openxmlformats.org/officeDocument/2006/relationships/hyperlink" Target="https://www.lazada.com.ph/products/fluke-101-digital-multimeter-i1839843724-s7826163055.html?clickTrackInfo=query%253AFluke%252B101%252BDigital%252BMultimeter%253Bnid%253A1839843724%253Bsrc%253ALazadaMainSrp%253Brn%253A0363762d6abe66adb8f1591ce60f04e5%253Bregion%253Aph%253Bsku%253A1839843724_PH%253Bprice%253A3750.00%253Bclient%253Adesktop%253Bsupplier_id%253A500171004094%253Basc_category_id%253A22652%253Bitem_id%253A1839843724%253Bsku_id%253A7826163055%253Bshop_id%253A1950776&amp;search=1&amp;spm=a2o4l.searchlist.list.2" TargetMode="External"/><Relationship Id="rId102" Type="http://schemas.openxmlformats.org/officeDocument/2006/relationships/hyperlink" Target="https://www.lazada.com.ph/products/baofeng-uv-5r-walkie-talkie-dual-band-vhfuhf136-174mhz-400-520mhz-handheld-two-way-radio-i610048420.html?spm=a2o4l.seller.list.24.4d0f362dfVGrRg" TargetMode="External"/><Relationship Id="rId123" Type="http://schemas.openxmlformats.org/officeDocument/2006/relationships/hyperlink" Target="https://www.amazon.com/mountup-triple-monitor-stand-mount/dp/b07z7zwc6s" TargetMode="External"/><Relationship Id="rId144" Type="http://schemas.openxmlformats.org/officeDocument/2006/relationships/hyperlink" Target="https://www.lazada.com.ph/products/transcend-1tb-portable-hard-drive-slim-transcend-portable-hard-drive-hdd-hard-drives-ts1tsj25m3g-military-portable-hdd-with-3-years-warranty-portable-hard-drives-i210881748-s268827857.html?clickTrackInfo=query%253A1tb%252Bexternal%253Bnid%253A210881748%253Bsrc%253ALazadaMainSrp%253Brn%253Aaacf36dedcddd3bcf9399c6000de0742%253Bregion%253Aph%253Bsku%253A210881748_PH%253Bprice%253A2749.00%253Bclient%253Adesktop%253Bsupplier_id%253A93%253Basc_category_id%253A5180%253Bitem_id%253A210881748%253Bsku_id%253A268827857%253Bshop_id%253A1402&amp;search=1&amp;spm=a2o4l.searchlist.list.15" TargetMode="External"/><Relationship Id="rId330" Type="http://schemas.openxmlformats.org/officeDocument/2006/relationships/hyperlink" Target="https://www.lazada.com.ph/products/seagate-5tb-one-touch-external-hard-drive-for-mac-and-windows-external-hdd-5tb-external-hard-drive-free-seagate-pouch-external-hard-disk-drive-i3246356955-s16338088738.html?c=&amp;channelLpJumpArgs=&amp;clickTrackInfo=query%253Aexternal%252Bdrive%252B5tb%253Bnid%253A3246356955%253Bsrc%253ALazadaMainSrp%253Brn%253A20b17390d1e46221308886b56c700c78%253Bregion%253Aph%253Bsku%253A3246356955_PH%253Bprice%253A8250%253Bclient%253Adesktop%253Bsupplier_id%253A93%253Bpromotion_biz%253A%253Basc_category_id%253A5180%253Bitem_id%253A3246356955%253Bsku_id%253A16338088738%253Bshop_id%253A1402&amp;fastshipping=0&amp;freeshipping=0&amp;fs_ab=2&amp;fuse_fs=1&amp;lang=en&amp;location=Metro%20Manila&amp;price=8.25E%203&amp;priceCompare=&amp;ratingscore=5.0&amp;request_id=20b17390d1e46221308886b56c700c78&amp;review=3&amp;sale=14&amp;search=1&amp;source=search&amp;spm=a2o4l.searchlist.list.i40.6c5c18a47Z2DaT&amp;stock=1" TargetMode="External"/><Relationship Id="rId90" Type="http://schemas.openxmlformats.org/officeDocument/2006/relationships/hyperlink" Target="https://www.lazada.com.ph/products/15m-3m-5m-10m-15m-20m-30m-40m-50m-ad-link-gigabit-cat6-ethernet-patch-cable-with-rj45-cat6e-high-quality-blue-i1767824467-s7555638470.html?" TargetMode="External"/><Relationship Id="rId165" Type="http://schemas.openxmlformats.org/officeDocument/2006/relationships/hyperlink" Target="https://www.lazada.com.ph/products/hp-black-printhead-x4e75aa-i742472377-s2202218265.html?&amp;search=pdp_v2v?spm=a2o4l.pdp_revamp.recommendation_2.4.22587bcciwpdqA&amp;mp=1&amp;scm=1007.16389.286994.0&amp;clickTrackInfo=91a2929b-93af-48e9-bff4-a56d2f78121f__742472377__13893__trigger2i__287002__0.247__0.247__0.0__0.0__0.0__0.247__3__null__null__null__null__null__null____1000.0__0.0__4.928571428571429__28__1000.0____null__null__null__3650.16544_955.3632__null__32104__null__0.0__0.0________null__null__0" TargetMode="External"/><Relationship Id="rId186" Type="http://schemas.openxmlformats.org/officeDocument/2006/relationships/hyperlink" Target="https://www.lazada.com.ph/products/idp-650634-or-650643-id-card-printer-genuine-color-ribbon-original-siadc-ymcko-ribbon-kit-250-prints-and-cleaning-roller-for-idp-smart-30-and-idp-smart-50-card-printers-smart-printer-ribbon-idp-smart-ribbon-smart-card-printer-ribbon-i493510262-s1301576046.html?exlaz=d_1:mm_150050845_51350205_2010350205::12:17743041800!!!!!c!!1301576046!142606512&amp;gclid=Cj0KCQjwxveXBhDDARIsAI0Q0x0l7hLfQxzR-if5qG4xF6k6D8Gt4jinsEjQS8C-zDEvKnergBXxj_saAqdcEALw_wcB" TargetMode="External"/><Relationship Id="rId211" Type="http://schemas.openxmlformats.org/officeDocument/2006/relationships/hyperlink" Target="https://www.lazada.com.ph/products/hp-gt52-gt53-original-ink-bottle-i2547394076-s11802642352.html?exlaz=d_1:mm_150050845_51350205_2010350205::12:17877749403!!!!!c!!11802642352!124650670&amp;gclid=Cj0KCQjwxveXBhDDARIsAI0Q0x0x3RfyLM5zG-MI7JuABNfCi2QL7gbctZpV_OAwEi3G6L7WGDZYnpQaAvFYEALw_wcB" TargetMode="External"/><Relationship Id="rId232" Type="http://schemas.openxmlformats.org/officeDocument/2006/relationships/hyperlink" Target="https://www.lazada.com.ph/products/ampcom-19-inches-universal-pdu-6-outlets-with-surge-protection-spd-module-1016a-power-strip-for-serve-room-cabinet-networking-i2953726890.html?spm=a2o4l.store_product.list.77.6d951741ZnszOD" TargetMode="External"/><Relationship Id="rId253" Type="http://schemas.openxmlformats.org/officeDocument/2006/relationships/hyperlink" Target="https://www.lazada.com.ph/products/baseus-velcro-straps-cable-organizer-for-charging-data-cable-network-cable-winder-cable-clip-office-desktop-management-i787512710-s8528288052.html?" TargetMode="External"/><Relationship Id="rId274" Type="http://schemas.openxmlformats.org/officeDocument/2006/relationships/hyperlink" Target="https://www.lazada.com.ph/products/a4tech-op-620d-2x-button-4-way-wheel-1000-dpi-durable-button-life-dust-resistant-wheel-plug-and-play-screen-capture-wired-usb-mouse-black-i587644066.html?spm=a2o4l.store_product.list.12.5e9e36e6ceqxku" TargetMode="External"/><Relationship Id="rId295" Type="http://schemas.openxmlformats.org/officeDocument/2006/relationships/hyperlink" Target="https://asdi.ph/products/epson-lq310-ribbon-cartridge-so15634" TargetMode="External"/><Relationship Id="rId309" Type="http://schemas.openxmlformats.org/officeDocument/2006/relationships/hyperlink" Target="https://shopee.ph/product/67422291/1143823740?is_seller=true&amp;utm_campaign=s67422291_ss_ph_gmax_ph-sis-official-pmax&amp;utm_source=google&amp;utm_medium=seller&amp;utm_content=ph-gglsearch-official-pmax&amp;gclid=Cj0KCQjwnrmlBhDHARIsADJ5b_m5KiSX88X2xOQhTCR5C3pIdemQAJ1YYJF90V1QK6YuuPA-KvY7H-caAmLTEALw_wcB" TargetMode="External"/><Relationship Id="rId27" Type="http://schemas.openxmlformats.org/officeDocument/2006/relationships/hyperlink" Target="https://www.lazada.com.ph/products/tolsen-100pcs-black-nylon-cable-tie-dupont-pa66-25-to-76mm-100mm-to-450mm-zip-tie-i276960904-s11289235208.html?" TargetMode="External"/><Relationship Id="rId48" Type="http://schemas.openxmlformats.org/officeDocument/2006/relationships/hyperlink" Target="https://www.lazada.com.ph/products/tolsen-100pcs-black-nylon-cable-tie-dupont-pa66-25-to-76mm-100mm-to-450mm-zip-tie-i276960904-s11289235208.html?" TargetMode="External"/><Relationship Id="rId69" Type="http://schemas.openxmlformats.org/officeDocument/2006/relationships/hyperlink" Target="https://www.lazada.com.ph/products/rj45-connectors-for-cat6-ad-link-100pcs-clear-i163264768.html?spm=a2o4l.seller.list.22.60536997Q9q5DC" TargetMode="External"/><Relationship Id="rId113" Type="http://schemas.openxmlformats.org/officeDocument/2006/relationships/hyperlink" Target="https://www.lazada.com.ph/products/tolsen-6pcs-vde-insulated-flat-phillips-handle-screwdrivers-set-insulated-375-4100-55100-ph1x80-ph2x100-3x140mm-38013-i246522691.html?spm=a2o4l.searchlist.list.48.4ce0759aArTVNj" TargetMode="External"/><Relationship Id="rId134" Type="http://schemas.openxmlformats.org/officeDocument/2006/relationships/hyperlink" Target="https://www.lazada.com.ph/products/makita-dcl281fzw-750ml-cordless-brushless-vacuum-cleaner-18v-lxt-battery-and-charger-sold-separately-crdlsvacm-mak18v-gigatools-i859848989-s2711042846.html?clickTrackInfo=query%253AMAK18V%253Bnid%253A859848989%253Bsrc%253AlazadaInShopSrp%253Brn%253Acb30b49294cf2c70ae30a6695db86758%253Bregion%253Aph%253Bsku%253A859848989_PH%253Bprice%253A5799.00%253Bclient%253Adesktop%253Bsupplier_id%253A100004107%253Basc_category_id%253A22694%253Bitem_id%253A859848989%253Bsku_id%253A2711042846%253Bshop_id%253A140&amp;mp=1&amp;spm=a2o4l.seller.list.2" TargetMode="External"/><Relationship Id="rId320" Type="http://schemas.openxmlformats.org/officeDocument/2006/relationships/hyperlink" Target="https://www.lazada.com.ph/products/a4tech-fk-13p-wired-usb-numeric-keypad-i1261134348-s4546230935.html?c=&amp;channelLpJumpArgs=&amp;clickTrackInfo=query%253ANumeric%252BKeypad%253Bnid%253A1261134348%253Bsrc%253ALazadaMainSrp%253Brn%253Aa15f8f4041f74dacd06cfc0b21cef9a3%253Bregion%253Aph%253Bsku%253A1261134348_PH%253Bprice%253A271%253Bclient%253Adesktop%253Bsupplier_id%253A500157819122%253Bpromotion_biz%253A%253Basc_category_id%253A24965%253Bitem_id%253A1261134348%253Bsku_id%253A4546230935%253Bshop_id%253A723645&amp;fastshipping=0&amp;freeshipping=0&amp;fs_ab=2&amp;fuse_fs=1&amp;lang=en&amp;location=Metro%20Manila&amp;price=271&amp;priceCompare=&amp;ratingscore=4.898395721925134&amp;request_id=a15f8f4041f74dacd06cfc0b21cef9a3&amp;review=187&amp;sale=646&amp;search=1&amp;source=search&amp;spm=a2o4l.searchlist.list.4&amp;stock=1" TargetMode="External"/><Relationship Id="rId80" Type="http://schemas.openxmlformats.org/officeDocument/2006/relationships/hyperlink" Target="https://www.fluke.com/en-in/product/electrical-testing/digital-multimeters/fluke-101" TargetMode="External"/><Relationship Id="rId155" Type="http://schemas.openxmlformats.org/officeDocument/2006/relationships/hyperlink" Target="https://documents.westerndigital.com/content/dam/doc-library/en_us/assets/public/sandisk/product/usb-flash/cruzer-blade-usb-2-0/data-sheet-cruzer-blade-usb-2-0.pdf" TargetMode="External"/><Relationship Id="rId176" Type="http://schemas.openxmlformats.org/officeDocument/2006/relationships/hyperlink" Target="https://www.lazada.com.ph/products/logitech-r800-professional-presenter-wireless-presentation-clicker-remote-with-green-laser-pointer-and-lcd-display-jg-superstore-i1085916394-s3721948590.html?clickTrackInfo=query%253Ar800%253Bnid%253A1085916394%253Bsrc%253AlazadaInShopSrp%253Brn%253Ae80a51f0440f94224604828b028e061a%253Bregion%253Aph%253Bsku%253A1085916394_PH%253Bprice%253A2899.00%253Bclient%253Adesktop%253Bsupplier_id%253A22728%253Basc_category_id%253A13408%253Bitem_id%253A1085916394%253Bsku_id%253A3721948590%253Bshop_id%253A2317&amp;mp=1&amp;spm=a2o4l.seller.list.2" TargetMode="External"/><Relationship Id="rId197" Type="http://schemas.openxmlformats.org/officeDocument/2006/relationships/hyperlink" Target="https://www.lazada.com.ph/products/epson-003-genuine-ink-blackcyanmagentayellow-65ml-for-epson-l3100-l3101-l3110-l3150-i1877583433-s7979022936.html?exlaz=d_1:mm_150050845_51350205_2010350205::12:17877749403!!!!!c!!7979022936!285211010&amp;gclid=Cj0KCQjwxveXBhDDARIsAI0Q0x1YgNb0HCIFWEvO8GLLKIT_ellzh2nN4zLGAywgoaIhfs6LaERoKroaAnffEALw_wcB" TargetMode="External"/><Relationship Id="rId201" Type="http://schemas.openxmlformats.org/officeDocument/2006/relationships/hyperlink" Target="https://www.lazada.com.ph/products/epson-003-genuine-ink-blackcyanmagentayellow-65ml-for-epson-l3100-l3101-l3110-l3150-i1877583433-s7979022936.html?exlaz=d_1:mm_150050845_51350205_2010350205::12:17877749403!!!!!c!!7979022936!285211010&amp;gclid=Cj0KCQjwxveXBhDDARIsAI0Q0x1YgNb0HCIFWEvO8GLLKIT_ellzh2nN4zLGAywgoaIhfs6LaERoKroaAnffEALw_wcB" TargetMode="External"/><Relationship Id="rId222" Type="http://schemas.openxmlformats.org/officeDocument/2006/relationships/hyperlink" Target="https://www.amazon.com/Compatible-FN-TRAN-SFP-SR-10GBASE-SR-Transceiver/dp/B08DRW4V64" TargetMode="External"/><Relationship Id="rId243" Type="http://schemas.openxmlformats.org/officeDocument/2006/relationships/hyperlink" Target="https://www.lazada.com.ph/products/ampcom-510-pack-rj11-telephone-converter-rj-11-classic-6-pins-female-1-to-3-1-to-4-telephone-phone-cable-line-splitter-adapter-i946158676-s3097512298.html?" TargetMode="External"/><Relationship Id="rId264" Type="http://schemas.openxmlformats.org/officeDocument/2006/relationships/hyperlink" Target="https://mail.google.com/mail/u/0/?ogbl" TargetMode="External"/><Relationship Id="rId285" Type="http://schemas.openxmlformats.org/officeDocument/2006/relationships/hyperlink" Target="https://support.brother.com/g/b/colist.aspx?c=ph&amp;lang=en&amp;prod=dcpt700w_all&amp;cao=btl" TargetMode="External"/><Relationship Id="rId17" Type="http://schemas.openxmlformats.org/officeDocument/2006/relationships/hyperlink" Target="https://www.lazada.com.ph/products/easypc-corsair-cv550-550watts-80-plus-bronze-certified-psucorsair-cv-550-true-rated-power-supply-85-plus-bronze-psu-for-micro-atx-and-atx-casing-for-gaming-and-for-video-card-that-needs-8pin-and-6pin-connector-quiet-and-durable-cooling-fan-i586988437.html?spm=a2o4l.searchlist.list.26.15ea44abt3onEg" TargetMode="External"/><Relationship Id="rId38" Type="http://schemas.openxmlformats.org/officeDocument/2006/relationships/hyperlink" Target="https://www.lazada.com.ph/products/tolsen-100pcs-black-nylon-cable-tie-dupont-pa66-25-to-76mm-100mm-to-450mm-zip-tie-i276960904-s11289235208.html?" TargetMode="External"/><Relationship Id="rId59" Type="http://schemas.openxmlformats.org/officeDocument/2006/relationships/hyperlink" Target="https://www.lazada.com.ph/products/tolsen-100pcs-black-nylon-cable-tie-dupont-pa66-25-to-76mm-100mm-to-450mm-zip-tie-i276960904-s11289235208.html?" TargetMode="External"/><Relationship Id="rId103" Type="http://schemas.openxmlformats.org/officeDocument/2006/relationships/hyperlink" Target="https://www.lazada.com.ph/products/ubiquiti-unifi6-pro-u6-pro-indoor-dual-band-poe-wifi-access-point-i3273519200.html?spm=a2o4l.searchlist.list.1.43de6d232IN3cL" TargetMode="External"/><Relationship Id="rId124" Type="http://schemas.openxmlformats.org/officeDocument/2006/relationships/hyperlink" Target="https://www.amazon.com/mountup-triple-monitor-stand-mount/dp/b07z7zwc6s" TargetMode="External"/><Relationship Id="rId310" Type="http://schemas.openxmlformats.org/officeDocument/2006/relationships/hyperlink" Target="https://www.lazada.com.ph/products/hp-laserjet-p1102p1102w-print-cartridge-i214924032-s278655069.html?c=&amp;channelLpJumpArgs=&amp;clickTrackInfo=query%253AP1102%253Bnid%253A214924032%253Bsrc%253AlazadaInShopSrp%253Brn%253A35f958aeecc7b44aaed7a325b0e62684%253Bregion%253Aph%253Bsku%253A214924032_PH%253Bprice%253A4025%253Bclient%253Adesktop%253Bsupplier_id%253A100064191%253Bpromotion_biz%253A%253Basc_category_id%253A13894%253Bitem_id%253A214924032%253Bsku_id%253A278655069%253Bshop_id%253A4495&amp;fastshipping=0&amp;freeshipping=1&amp;fs_ab=2&amp;fuse_fs=1&amp;lang=en&amp;location=Metro%20Manila&amp;price=4025&amp;priceCompare=&amp;ratingscore=5.0&amp;request_id=35f958aeecc7b44aaed7a325b0e62684&amp;review=1&amp;sale=30&amp;search=1&amp;source=search&amp;spm=a2o4l.store_product.list.i1.33ae64a8qrLFCc&amp;stock=0%27" TargetMode="External"/><Relationship Id="rId70" Type="http://schemas.openxmlformats.org/officeDocument/2006/relationships/hyperlink" Target="https://www.lazada.com.ph/products/rj45-connectors-for-cat6-ad-link-100pcs-clear-i163264768.html?spm=a2o4l.seller.list.22.60536997Q9q5DC" TargetMode="External"/><Relationship Id="rId91" Type="http://schemas.openxmlformats.org/officeDocument/2006/relationships/hyperlink" Target="https://www.lazada.com.ph/products/15m-3m-5m-10m-15m-20m-30m-40m-50m-ad-link-gigabit-cat6-ethernet-patch-cable-with-rj45-cat6e-high-quality-blue-i1767824467-s7555638470.html?" TargetMode="External"/><Relationship Id="rId145" Type="http://schemas.openxmlformats.org/officeDocument/2006/relationships/hyperlink" Target="https://cdn.transcend-info.com/products/images/modelpic/284/Transcend-StoreJet25M3.pdf" TargetMode="External"/><Relationship Id="rId166" Type="http://schemas.openxmlformats.org/officeDocument/2006/relationships/hyperlink" Target="https://www.lazada.com.ph/products/hp-printhead-kit-m0h50aa-tri-colored-for-hp-ink-tank-115315415-smart-tank-500515615-printer-i3127351581-s15490404974.html?&amp;search=pdp_v2v?spm=a2o4l.pdp_revamp.recommendation_2.2.22587bccS9Lgw2&amp;mp=1&amp;scm=1007.16389.286994.0&amp;clickTrackInfo=58d88972-3a1c-4dae-83a6-0ef8923cfda1__3127351581__13893__trigger2i__287002__0.802__0.802__0.0__0.0__0.0__0.802__1__null__null__null__null__null__null____999.0__0.0__5.0__2__999.0__101718,173872,188631,196164,196524,198814__null__null__null__3650.16544_955.3632__null__32104__null__0.0__0.0________null__null__0" TargetMode="External"/><Relationship Id="rId187" Type="http://schemas.openxmlformats.org/officeDocument/2006/relationships/hyperlink" Target="https://www.idcardgroup.com/650634-ymcko-ribbon" TargetMode="External"/><Relationship Id="rId331" Type="http://schemas.openxmlformats.org/officeDocument/2006/relationships/hyperlink" Target="https://www.lazada.com.ph/products/seagate-5tb-one-touch-external-hard-drive-for-mac-and-windows-external-hdd-5tb-external-hard-drive-free-seagate-pouch-external-hard-disk-drive-i3246356955-s16338088738.html?c=&amp;channelLpJumpArgs=&amp;clickTrackInfo=query%253Aexternal%252Bdrive%252B5tb%253Bnid%253A3246356955%253Bsrc%253ALazadaMainSrp%253Brn%253A20b17390d1e46221308886b56c700c78%253Bregion%253Aph%253Bsku%253A3246356955_PH%253Bprice%253A8250%253Bclient%253Adesktop%253Bsupplier_id%253A93%253Bpromotion_biz%253A%253Basc_category_id%253A5180%253Bitem_id%253A3246356955%253Bsku_id%253A16338088738%253Bshop_id%253A1402&amp;fastshipping=0&amp;freeshipping=0&amp;fs_ab=2&amp;fuse_fs=1&amp;lang=en&amp;location=Metro%20Manila&amp;price=8.25E%203&amp;priceCompare=&amp;ratingscore=5.0&amp;request_id=20b17390d1e46221308886b56c700c78&amp;review=3&amp;sale=14&amp;search=1&amp;source=search&amp;spm=a2o4l.searchlist.list.i40.6c5c18a47Z2DaT&amp;stock=1" TargetMode="External"/><Relationship Id="rId1" Type="http://schemas.openxmlformats.org/officeDocument/2006/relationships/hyperlink" Target="https://www.lazada.com.ph/products/sandisk-extreme-1tb-portable-ssd-v2-sdssde61-1t00-g25-with-up-to-1050mbs-read-and-1000mbs-write-speed-i1455440837-s5733722726.html?clickTrackInfo=query%253Aexternal%252Bssd%253Bnid%253A1455440837%253Bsrc%253ALazadaMainSrp%253Brn%253A441ec52e1480f7b1f47c33a816851096%253Bregion%253Aph%253Bsku%253A1455440837_PH%253Bprice%253A8728%253Bclient%253Adesktop%253Bsupplier_id%253A100099342%253Basc_category_id%253A24947%253Bitem_id%253A1455440837%253Bsku_id%253A5733722726%253Bshop_id%253A117532&amp;search=1&amp;spm=a2o4l.searchlist.list.i40.2c523b9cYi9wZy" TargetMode="External"/><Relationship Id="rId212" Type="http://schemas.openxmlformats.org/officeDocument/2006/relationships/hyperlink" Target="https://www.synology.com/en-global/products/RS4021xs+" TargetMode="External"/><Relationship Id="rId233" Type="http://schemas.openxmlformats.org/officeDocument/2006/relationships/hyperlink" Target="https://www.lazada.com.ph/products/ampcom-19-inches-universal-pdu-6-outlets-with-surge-protection-spd-module-1016a-power-strip-for-serve-room-cabinet-networking-i2953726890.html?spm=a2o4l.store_product.list.77.6d951741ZnszOD" TargetMode="External"/><Relationship Id="rId254" Type="http://schemas.openxmlformats.org/officeDocument/2006/relationships/hyperlink" Target="https://www.lazada.com.ph/products/cctv-outdoor-junction-box-ip65-weather-water-proof-enclosure-with-rubber-gasket-screws-ra-series-i3458917246-s17775648347.html?" TargetMode="External"/><Relationship Id="rId28" Type="http://schemas.openxmlformats.org/officeDocument/2006/relationships/hyperlink" Target="https://www.lazada.com.ph/products/tolsen-100pcs-black-nylon-cable-tie-dupont-pa66-25-to-76mm-100mm-to-450mm-zip-tie-i276960904-s11289235208.html?" TargetMode="External"/><Relationship Id="rId49" Type="http://schemas.openxmlformats.org/officeDocument/2006/relationships/hyperlink" Target="https://www.lazada.com.ph/products/tolsen-100pcs-black-nylon-cable-tie-dupont-pa66-25-to-76mm-100mm-to-450mm-zip-tie-i276960904-s11289235208.html?" TargetMode="External"/><Relationship Id="rId114" Type="http://schemas.openxmlformats.org/officeDocument/2006/relationships/hyperlink" Target="https://www.lazada.com.ph/products/tolsen-6pcs-vde-insulated-flat-phillips-handle-screwdrivers-set-insulated-375-4100-55100-ph1x80-ph2x100-3x140mm-38013-i246522691.html?spm=a2o4l.searchlist.list.48.4ce0759aArTVNj" TargetMode="External"/><Relationship Id="rId275" Type="http://schemas.openxmlformats.org/officeDocument/2006/relationships/hyperlink" Target="https://www.lazada.com.ph/products/a4tech-op-620d-2x-button-4-way-wheel-1000-dpi-durable-button-life-dust-resistant-wheel-plug-and-play-screen-capture-wired-usb-mouse-black-i587644066.html?spm=a2o4l.store_product.list.12.5e9e36e6ceqxku" TargetMode="External"/><Relationship Id="rId296" Type="http://schemas.openxmlformats.org/officeDocument/2006/relationships/hyperlink" Target="https://www.officewarehouse.com.ph/product/27612/" TargetMode="External"/><Relationship Id="rId300" Type="http://schemas.openxmlformats.org/officeDocument/2006/relationships/hyperlink" Target="https://www.lazada.com.ph/products/4k-hdmiugreen-hdmi-20-cable-4k-hdmi-male-to-male-high-speed-hdmi-adapter-3d-for-smart-tv-xbox-360-apple-tv-ps5-pro-nintendo-switch-projector-hdmi-i5943200-s7693809229.html?c=&amp;channelLpJumpArgs=&amp;clickTrackInfo=query%253Ahdmi%252Bcable%253Bnid%253A5943200%253Bsrc%253ALazadaMainSrp%253Brn%253Ac18667ede1b40aeeb4afef098052fc97%253Bregion%253Aph%253Bsku%253A5943200_PH%253Bprice%253A179%253Bclient%253Adesktop%253Bsupplier_id%253A15884%253Bpromotion_biz%253A%253Basc_category_id%253A21466%253Bitem_id%253A5943200%253Bsku_id%253A7693809229%253Bshop_id%253A1038&amp;fastshipping=0&amp;freeshipping=0&amp;fs_ab=2&amp;fuse_fs=&amp;lang=en&amp;location=Laguna&amp;price=179&amp;priceCompare=&amp;ratingscore=4.942523948354852&amp;request_id=c18667ede1b40aeeb4afef098052fc97&amp;review=1199&amp;sale=14420&amp;search=1&amp;source=search&amp;spm=a2o4l.searchlist.list.12&amp;stock=1" TargetMode="External"/><Relationship Id="rId60" Type="http://schemas.openxmlformats.org/officeDocument/2006/relationships/hyperlink" Target="https://www.lazada.com.ph/products/tolsen-100pcs-black-nylon-cable-tie-dupont-pa66-25-to-76mm-100mm-to-450mm-zip-tie-i276960904-s11289235208.html?" TargetMode="External"/><Relationship Id="rId81" Type="http://schemas.openxmlformats.org/officeDocument/2006/relationships/hyperlink" Target="https://www.lazada.com.ph/products/ampcom-network-cable-tester-rj45-rj11-network-lan-ethernet-rj45-cable-tester-tool-lan-networking-tool-network-repair-blackred-i880070328.html?spm=a2o4l.searchlist.list.10.3522f4bddRTXcn" TargetMode="External"/><Relationship Id="rId135" Type="http://schemas.openxmlformats.org/officeDocument/2006/relationships/hyperlink" Target="https://www.khmtools.com.ph/products/makita-dcl281fzw-cordless-vacuum-cleaner-lxt-series-bare" TargetMode="External"/><Relationship Id="rId156" Type="http://schemas.openxmlformats.org/officeDocument/2006/relationships/hyperlink" Target="https://www.lazada.com.ph/products/sandisk-usb-cruzer-blade-2gb-4gb-8gb-16gb-32gb-64gb-128gb-flash-drive-i1909491153-s8118181539.html?clickTrackInfo=query%253A16gb%252Busb%253Bnid%253A1909491153%253Bsrc%253ALazadaMainSrp%253Brn%253Ae564ffea2db79299f42f71a13c4f17bc%253Bregion%253Aph%253Bsku%253A1909491153_PH%253Bprice%253A129.00%253Bclient%253Adesktop%253Bsupplier_id%253A500168697079%253Basc_category_id%253A5177%253Bitem_id%253A1909491153%253Bsku_id%253A8118181539%253Bshop_id%253A1836513&amp;search=1&amp;spm=a2o4l.searchlist.list.2" TargetMode="External"/><Relationship Id="rId177" Type="http://schemas.openxmlformats.org/officeDocument/2006/relationships/hyperlink" Target="https://www.logitech.com/en-ph/products/presenters/r800-professional-presenter.910-001358.html" TargetMode="External"/><Relationship Id="rId198" Type="http://schemas.openxmlformats.org/officeDocument/2006/relationships/hyperlink" Target="https://www.lazada.com.ph/products/epson-003-genuine-ink-blackcyanmagentayellow-65ml-for-epson-l3100-l3101-l3110-l3150-i1877583433-s7979022936.html?exlaz=d_1:mm_150050845_51350205_2010350205::12:17877749403!!!!!c!!7979022936!285211010&amp;gclid=Cj0KCQjwxveXBhDDARIsAI0Q0x1YgNb0HCIFWEvO8GLLKIT_ellzh2nN4zLGAywgoaIhfs6LaERoKroaAnffEALw_wcB" TargetMode="External"/><Relationship Id="rId321" Type="http://schemas.openxmlformats.org/officeDocument/2006/relationships/hyperlink" Target="http://fstyler.a4tech.com/product.aspx?id=274" TargetMode="External"/><Relationship Id="rId202" Type="http://schemas.openxmlformats.org/officeDocument/2006/relationships/hyperlink" Target="https://www.lazada.com.ph/products/epson-003-genuine-ink-blackcyanmagentayellow-65ml-for-epson-l3100-l3101-l3110-l3150-i1877583433-s7979022936.html?exlaz=d_1:mm_150050845_51350205_2010350205::12:17877749403!!!!!c!!7979022936!285211010&amp;gclid=Cj0KCQjwxveXBhDDARIsAI0Q0x1YgNb0HCIFWEvO8GLLKIT_ellzh2nN4zLGAywgoaIhfs6LaERoKroaAnffEALw_wcB" TargetMode="External"/><Relationship Id="rId223" Type="http://schemas.openxmlformats.org/officeDocument/2006/relationships/hyperlink" Target="https://www.fortinet.com/content/dam/fortinet/assets/data-sheets/FortiGate_600E.pdf" TargetMode="External"/><Relationship Id="rId244" Type="http://schemas.openxmlformats.org/officeDocument/2006/relationships/hyperlink" Target="https://www.lazada.com.ph/products/15m-3m-5m-10m-15m-20m-30m-40m-50m-ad-link-gigabit-cat6-ethernet-patch-cable-with-rj45-cat6e-high-quality-blue-i1767824467-s7555638474.html?" TargetMode="External"/><Relationship Id="rId18" Type="http://schemas.openxmlformats.org/officeDocument/2006/relationships/hyperlink" Target="https://www.corsair.com/us/en/Categories/Products/Power-Supply-Units/Power-Supply-Units-General-Purpose/CV-Series%E2%84%A2/p/CP-9020210-NA" TargetMode="External"/><Relationship Id="rId39" Type="http://schemas.openxmlformats.org/officeDocument/2006/relationships/hyperlink" Target="https://www.lazada.com.ph/products/tolsen-100pcs-black-nylon-cable-tie-dupont-pa66-25-to-76mm-100mm-to-450mm-zip-tie-i276960904-s11289235208.html?" TargetMode="External"/><Relationship Id="rId265" Type="http://schemas.openxmlformats.org/officeDocument/2006/relationships/hyperlink" Target="https://mail.google.com/mail/u/0/?ogbl" TargetMode="External"/><Relationship Id="rId286" Type="http://schemas.openxmlformats.org/officeDocument/2006/relationships/hyperlink" Target="https://support.brother.com/g/b/colist.aspx?c=ph&amp;lang=en&amp;prod=dcpt700w_all&amp;cao=btl" TargetMode="External"/><Relationship Id="rId50" Type="http://schemas.openxmlformats.org/officeDocument/2006/relationships/hyperlink" Target="https://www.lazada.com.ph/products/tolsen-100pcs-black-nylon-cable-tie-dupont-pa66-25-to-76mm-100mm-to-450mm-zip-tie-i276960904-s11289235208.html?" TargetMode="External"/><Relationship Id="rId104" Type="http://schemas.openxmlformats.org/officeDocument/2006/relationships/hyperlink" Target="https://dl.ui.com/ds/u6-pro_ds.pdf" TargetMode="External"/><Relationship Id="rId125" Type="http://schemas.openxmlformats.org/officeDocument/2006/relationships/hyperlink" Target="https://www.lazada.com.ph/products/beringer-2-input-4-output-usb-audio-interface-umc204hd-u-phoria-i2326206370-s10553865294.html?clicktrackinfo=query%253aberinger%252bmixer%253bnid%253a2326206370%253bsrc%253alazadamainsrp%253brn%253a36fb071c0d3bd7847e992cd0cd9cef96%253bregion%253aph%253bsku%253a2326206370_ph%253bprice%253a7092.00%253bclient%253adesktop%253bsupplier_id%253a500173515110%253basc_category_id%253a13432%253bitem_id%253a2326206370%253bsku_id%253a10553865294%253bshop_id%253a2123425&amp;search=1&amp;spm=a2o4l.searchlist.list.i16.6eac1b6e8nv0dv" TargetMode="External"/><Relationship Id="rId146" Type="http://schemas.openxmlformats.org/officeDocument/2006/relationships/hyperlink" Target="https://www.lazada.com.ph/products/transcend-storejet-25m3-2tb-usb-31-shockproof-portable-hard-drive-i156999243-s414378121.html?clickTrackInfo=query%253AStoreJet%252B25M3%252B2tb%253Bnid%253A78083375%253Bsrc%253ALazadaMainSrp%253Brn%253Af513fb8011050a62910c0719a112e873%253Bregion%253Aph%253Bsku%253A156999243_PH%253Bprice%253A3782%253Bclient%253Adesktop%253Bsupplier_id%253A1383%253Basc_category_id%253A5180%253Bitem_id%253A156999243%253Bsku_id%253A414378121%253Bshop_id%253A1625&amp;freeshipping=1&amp;search=1&amp;spm=a2o4l.searchlist.list.4" TargetMode="External"/><Relationship Id="rId167" Type="http://schemas.openxmlformats.org/officeDocument/2006/relationships/hyperlink" Target="https://www.lazada.com.ph/products/hp-printhead-kit-m0h50aa-tri-colored-for-hp-ink-tank-115315415-smart-tank-500515615-printer-i3127351581-s15490404974.html?&amp;search=pdp_v2v?spm=a2o4l.pdp_revamp.recommendation_2.2.22587bccS9Lgw2&amp;mp=1&amp;scm=1007.16389.286994.0&amp;clickTrackInfo=58d88972-3a1c-4dae-83a6-0ef8923cfda1__3127351581__13893__trigger2i__287002__0.802__0.802__0.0__0.0__0.0__0.802__1__null__null__null__null__null__null____999.0__0.0__5.0__2__999.0__101718,173872,188631,196164,196524,198814__null__null__null__3650.16544_955.3632__null__32104__null__0.0__0.0________null__null__0" TargetMode="External"/><Relationship Id="rId188" Type="http://schemas.openxmlformats.org/officeDocument/2006/relationships/hyperlink" Target="https://www.lazada.com.ph/products/epson-664-ink-black-cyan-magenta-yellow-one-set-brand-new-original-epson-ink-bottles-for-epson-l120-l121-l220-l360-other-l-series-one-set-t6641-t6642-t6643-t6644-wink-printer-solutions-i111495931-s113652954.html?clickTrackInfo=query%253AEPSON%252B664%253Bnid%253A21821667%253Bsrc%253ALazadaMainSrp%253Brn%253A4833d7c4702ea79a4c16e43668557d17%253Bregion%253Aph%253Bsku%253AEP602ELAACZPPFANPH%253Bprice%253A1125.00%253Bclient%253Adesktop%253Bsupplier_id%253A871%253Basc_category_id%253A13893%253Bitem_id%253A111495931%253Bsku_id%253A113652954%253Bshop_id%253A1673&amp;search=1&amp;spm=a2o4l.searchlist.list.6" TargetMode="External"/><Relationship Id="rId311" Type="http://schemas.openxmlformats.org/officeDocument/2006/relationships/hyperlink" Target="https://www.lazada.com.ph/products/hp-laserjet-p1102p1102w-print-cartridge-i214924032-s278655069.html?c=&amp;channelLpJumpArgs=&amp;clickTrackInfo=query%253AP1102%253Bnid%253A214924032%253Bsrc%253AlazadaInShopSrp%253Brn%253A35f958aeecc7b44aaed7a325b0e62684%253Bregion%253Aph%253Bsku%253A214924032_PH%253Bprice%253A4025%253Bclient%253Adesktop%253Bsupplier_id%253A100064191%253Bpromotion_biz%253A%253Basc_category_id%253A13894%253Bitem_id%253A214924032%253Bsku_id%253A278655069%253Bshop_id%253A4495&amp;fastshipping=0&amp;freeshipping=1&amp;fs_ab=2&amp;fuse_fs=1&amp;lang=en&amp;location=Metro%20Manila&amp;price=4025&amp;priceCompare=&amp;ratingscore=5.0&amp;request_id=35f958aeecc7b44aaed7a325b0e62684&amp;review=1&amp;sale=30&amp;search=1&amp;source=search&amp;spm=a2o4l.store_product.list.i1.33ae64a8qrLFCc&amp;stock=0%27" TargetMode="External"/><Relationship Id="rId332" Type="http://schemas.openxmlformats.org/officeDocument/2006/relationships/hyperlink" Target="https://www.lazada.com.ph/products/tp-link-jetstream-8-port-gigabit-l2-managed-switch-with-2-sfp-slots-tl-sg3210-network-switch-hub-8-port-gigabit-switch-old-model-t2500g-10ts-i-tplink-tp-link-i-infobahn-i1612058028-s6909074513.html?from_gmc=1&amp;fl_tag=1&amp;exlaz=d_1:mm_150050845_51350205_2010350205::12:20986161724!!!!!c!!6909074513!239908907&amp;gad_source=4&amp;gclid=Cj0KCQjw0_WyBhDMARIsAL1Vz8sz2upmcQwXOTheCmqKjuhydT_LaUkl03GuSAH3tzEpeTGiziaKwIEaAkRKEALw_wcB" TargetMode="External"/><Relationship Id="rId71" Type="http://schemas.openxmlformats.org/officeDocument/2006/relationships/hyperlink" Target="https://pinoydeal.ph/mobile-phones/other-phone-related/analog-phone-nec-at40_i61216" TargetMode="External"/><Relationship Id="rId92" Type="http://schemas.openxmlformats.org/officeDocument/2006/relationships/hyperlink" Target="https://www.lazada.com.ph/products/15m-3m-5m-10m-15m-20m-30m-40m-50m-ad-link-gigabit-cat6-ethernet-patch-cable-with-rj45-cat6e-high-quality-blue-i1767824467-s7555638470.html?" TargetMode="External"/><Relationship Id="rId213" Type="http://schemas.openxmlformats.org/officeDocument/2006/relationships/hyperlink" Target="https://www.lazada.com.ph/products/arduino-uno-r3-with-usb-cable-dip-arduino-compatible-motherboard-atmega328p-5v-microcontroller-board-micro-controller-rev3-i471206797-s1227306051.html?exlaz=d_1:mm_150050845_51350205_2010350205::12:17877749403!!!!!c!!1227306051!465223488&amp;gclid=CjwKCAjw6fyXBhBgEiwAhhiZsqSrJiO9tCvCNGB75IdXJbyzkiQYv3uQgPV5bAeZoZuuAWCDtYTLsBoCvEsQAvD_BwE" TargetMode="External"/><Relationship Id="rId234" Type="http://schemas.openxmlformats.org/officeDocument/2006/relationships/hyperlink" Target="https://www.lazada.com.ph/products/ampcom-patch-panel-24-port-patch-panel-pass-through-rj45-stp-thru-coupler-patch-panel-with-backplane-rack-mount-1u-19-cat6cat7-stp-rj45-inline-coupler-keystone-jack-i2933882276.html?spm=a2o4l.store_product.list.92.6d951741ZnszOD" TargetMode="External"/><Relationship Id="rId2" Type="http://schemas.openxmlformats.org/officeDocument/2006/relationships/hyperlink" Target="https://www.westerndigital.com/en-ap/products/portable-drives/sandisk-extreme-usb-3-2-ssd" TargetMode="External"/><Relationship Id="rId29" Type="http://schemas.openxmlformats.org/officeDocument/2006/relationships/hyperlink" Target="https://www.lazada.com.ph/products/tolsen-100pcs-black-nylon-cable-tie-dupont-pa66-25-to-76mm-100mm-to-450mm-zip-tie-i276960904-s11289235208.html?" TargetMode="External"/><Relationship Id="rId255" Type="http://schemas.openxmlformats.org/officeDocument/2006/relationships/hyperlink" Target="https://www.lazada.com.ph/products/cctv-outdoor-junction-box-ip65-weather-water-proof-enclosure-with-rubber-gasket-screws-ra-series-i3458917246-s17775648347.html?" TargetMode="External"/><Relationship Id="rId276" Type="http://schemas.openxmlformats.org/officeDocument/2006/relationships/hyperlink" Target="https://www.lazada.com.ph/products/seagate-st10000ve001-10tb-skyhawk-ai-7200rpm-256mb-hard-disk-drive-i1324420589-s4839694732.html?c=&amp;channelLpJumpArgs=&amp;clickTrackInfo=query%253A10tb%252Bhdd%252Bfor%252Bcctv%253Bnid%253A1324420589%253Bsrc%253ALazadaMainSrp%253Brn%253Aa137ff6c45835a4176d2482c7be25f86%253Bregion%253Aph%253Bsku%253A1324420589_PH%253Bprice%253A12799%253Bclient%253Adesktop%253Bsupplier_id%253A100089229%253Bpromotion_biz%253A%253Basc_category_id%253A5155%253Bitem_id%253A1324420589%253Bsku_id%253A4839694732%253Bshop_id%253A106089&amp;fastshipping=0&amp;freeshipping=0&amp;fs_ab=2&amp;fuse_fs=1&amp;lang=en&amp;location=Metro%20Manila&amp;price=12799&amp;priceCompare=&amp;ratingscore=5.0&amp;request_id=a137ff6c45835a4176d2482c7be25f86&amp;review=8&amp;sale=62&amp;search=1&amp;source=search&amp;spm=a2o4l.searchlist.list.8&amp;stock=1" TargetMode="External"/><Relationship Id="rId297" Type="http://schemas.openxmlformats.org/officeDocument/2006/relationships/hyperlink" Target="https://asdi.ph/products/epson-lq310-ribbon-cartridge-so15634" TargetMode="External"/><Relationship Id="rId40" Type="http://schemas.openxmlformats.org/officeDocument/2006/relationships/hyperlink" Target="https://www.lazada.com.ph/products/tolsen-100pcs-black-nylon-cable-tie-dupont-pa66-25-to-76mm-100mm-to-450mm-zip-tie-i276960904-s11289235208.html?" TargetMode="External"/><Relationship Id="rId115" Type="http://schemas.openxmlformats.org/officeDocument/2006/relationships/hyperlink" Target="https://www.lazada.com.ph/products/kruger-aluminum-step-ladder-ft-6-6-steps-i104250682.html?spm=a2o4l.searchlist.list.116.3e0f4270GdnPqP" TargetMode="External"/><Relationship Id="rId136" Type="http://schemas.openxmlformats.org/officeDocument/2006/relationships/hyperlink" Target="https://www.lazada.com.ph/products/new-bosch-go-2-smart-cordless-screwdriver-kit-set-with-added-mechanical-clutch-and-electronic-brake-crdlsdrl-with-variants-gigatools-i328488360.html?spm=a2o4l.seller.list.6.27c59c9afnuzOr" TargetMode="External"/><Relationship Id="rId157" Type="http://schemas.openxmlformats.org/officeDocument/2006/relationships/hyperlink" Target="https://documents.westerndigital.com/content/dam/doc-library/en_us/assets/public/sandisk/product/usb-flash/cruzer-blade-usb-2-0/data-sheet-cruzer-blade-usb-2-0.pdf" TargetMode="External"/><Relationship Id="rId178" Type="http://schemas.openxmlformats.org/officeDocument/2006/relationships/hyperlink" Target="https://www.hp.com/ca-en/shop/offer.aspx?p=hp-laserjet-pro-mfp-m426fdn-printer-toner-cartridges" TargetMode="External"/><Relationship Id="rId301" Type="http://schemas.openxmlformats.org/officeDocument/2006/relationships/hyperlink" Target="https://www.lazada.com.ph/products/4k-hdmiugreen-hdmi-20-cable-4k-hdmi-male-to-male-high-speed-hdmi-adapter-3d-for-smart-tv-xbox-360-apple-tv-ps5-pro-nintendo-switch-projector-hdmi-i5943200-s7693809229.html?c=&amp;channelLpJumpArgs=&amp;clickTrackInfo=query%253Ahdmi%252Bcable%253Bnid%253A5943200%253Bsrc%253ALazadaMainSrp%253Brn%253Ac18667ede1b40aeeb4afef098052fc97%253Bregion%253Aph%253Bsku%253A5943200_PH%253Bprice%253A179%253Bclient%253Adesktop%253Bsupplier_id%253A15884%253Bpromotion_biz%253A%253Basc_category_id%253A21466%253Bitem_id%253A5943200%253Bsku_id%253A7693809229%253Bshop_id%253A1038&amp;fastshipping=0&amp;freeshipping=0&amp;fs_ab=2&amp;fuse_fs=&amp;lang=en&amp;location=Laguna&amp;price=179&amp;priceCompare=&amp;ratingscore=4.942523948354852&amp;request_id=c18667ede1b40aeeb4afef098052fc97&amp;review=1199&amp;sale=14420&amp;search=1&amp;source=search&amp;spm=a2o4l.searchlist.list.12&amp;stock=1" TargetMode="External"/><Relationship Id="rId322" Type="http://schemas.openxmlformats.org/officeDocument/2006/relationships/hyperlink" Target="https://mail.google.com/mail/u/0/?ogbl" TargetMode="External"/><Relationship Id="rId61" Type="http://schemas.openxmlformats.org/officeDocument/2006/relationships/hyperlink" Target="https://www.lazada.com.ph/products/tolsen-100pcs-black-nylon-cable-tie-dupont-pa66-25-to-76mm-100mm-to-450mm-zip-tie-i276960904-s11289235208.html?" TargetMode="External"/><Relationship Id="rId82" Type="http://schemas.openxmlformats.org/officeDocument/2006/relationships/hyperlink" Target="https://www.lazada.com.ph/products/ampcom-network-cable-tester-rj45-rj11-network-lan-ethernet-rj45-cable-tester-tool-lan-networking-tool-network-repair-blackred-i880070328.html?spm=a2o4l.searchlist.list.10.3522f4bddRTXcn" TargetMode="External"/><Relationship Id="rId199" Type="http://schemas.openxmlformats.org/officeDocument/2006/relationships/hyperlink" Target="https://www.lazada.com.ph/products/epson-003-genuine-ink-blackcyanmagentayellow-65ml-for-epson-l3100-l3101-l3110-l3150-i1877583433-s7979022936.html?exlaz=d_1:mm_150050845_51350205_2010350205::12:17877749403!!!!!c!!7979022936!285211010&amp;gclid=Cj0KCQjwxveXBhDDARIsAI0Q0x1YgNb0HCIFWEvO8GLLKIT_ellzh2nN4zLGAywgoaIhfs6LaERoKroaAnffEALw_wcB" TargetMode="External"/><Relationship Id="rId203" Type="http://schemas.openxmlformats.org/officeDocument/2006/relationships/hyperlink" Target="https://www.lazada.com.ph/products/epson-003-genuine-ink-blackcyanmagentayellow-65ml-for-epson-l3100-l3101-l3110-l3150-i1877583433-s7979022936.html?exlaz=d_1:mm_150050845_51350205_2010350205::12:17877749403!!!!!c!!7979022936!285211010&amp;gclid=Cj0KCQjwxveXBhDDARIsAI0Q0x1YgNb0HCIFWEvO8GLLKIT_ellzh2nN4zLGAywgoaIhfs6LaERoKroaAnffEALw_wcB" TargetMode="External"/><Relationship Id="rId19" Type="http://schemas.openxmlformats.org/officeDocument/2006/relationships/hyperlink" Target="https://www.lazada.com.ph/products/easypc-corsair-cv550-550watts-80-plus-bronze-certified-psucorsair-cv-550-true-rated-power-supply-85-plus-bronze-psu-for-micro-atx-and-atx-casing-for-gaming-and-for-video-card-that-needs-8pin-and-6pin-connector-quiet-and-durable-cooling-fan-i586988437.html?spm=a2o4l.searchlist.list.26.15ea44abt3onEg" TargetMode="External"/><Relationship Id="rId224" Type="http://schemas.openxmlformats.org/officeDocument/2006/relationships/hyperlink" Target="https://www.lazada.com.ph/products/4u-4-layer-data-cabinet-wallmounted-data-cabinet-600x450x230-w-2pcs-fan-1pc-pdu-6slot-assembled-i2235929681.html?spm=a2o4l.searchlist.list.9.4fe15f3c4jQNfz" TargetMode="External"/><Relationship Id="rId245" Type="http://schemas.openxmlformats.org/officeDocument/2006/relationships/hyperlink" Target="https://www.lazada.com.ph/products/15m-3m-5m-10m-15m-20m-30m-40m-50m-ad-link-gigabit-cat6-ethernet-patch-cable-with-rj45-cat6e-high-quality-blue-i1767824467-s7555638474.html?" TargetMode="External"/><Relationship Id="rId266" Type="http://schemas.openxmlformats.org/officeDocument/2006/relationships/hyperlink" Target="https://mail.google.com/mail/u/0/?ogbl" TargetMode="External"/><Relationship Id="rId287" Type="http://schemas.openxmlformats.org/officeDocument/2006/relationships/hyperlink" Target="https://support.brother.com/g/b/colist.aspx?c=ph&amp;lang=en&amp;prod=dcpt700w_all&amp;cao=btl" TargetMode="External"/><Relationship Id="rId30" Type="http://schemas.openxmlformats.org/officeDocument/2006/relationships/hyperlink" Target="https://www.lazada.com.ph/products/tolsen-100pcs-black-nylon-cable-tie-dupont-pa66-25-to-76mm-100mm-to-450mm-zip-tie-i276960904-s11289235208.html?" TargetMode="External"/><Relationship Id="rId105" Type="http://schemas.openxmlformats.org/officeDocument/2006/relationships/hyperlink" Target="https://www.lazada.com.ph/products/allan-30g-thermal-conductive-grease-paste-for-cpu-gpu-chipset-cooling-grey-compound-thermal-paste-syringe-silicon-syringe-density-is-compatible-with-sharp-mirrored-cpu-cooler-s-surface-and-video-cards-or-gpu-i1713768308-s7403382032.html?clickTrackInfo=query%253Athermal%252Bpaste%253Bnid%253A1713768308%253Bsrc%253ALazadaMainSrp%253Brn%253A611861c1dba355c1d7ff25641032fd75%253Bregion%253Aph%253Bsku%253A1713768308_PH%253Bprice%253A25.22%253Bclient%253Adesktop%253Bsupplier_id%253A500171112345%253Basc_category_id%253A5161%253Bitem_id%253A1713768308%253Bsku_id%253A7403382032%253Bshop_id%253A1958642&amp;search=1&amp;spm=a2o4l.searchlist.list.2" TargetMode="External"/><Relationship Id="rId126" Type="http://schemas.openxmlformats.org/officeDocument/2006/relationships/hyperlink" Target="https://www.behringer.com/product.html?modelCode=P0BK0" TargetMode="External"/><Relationship Id="rId147" Type="http://schemas.openxmlformats.org/officeDocument/2006/relationships/hyperlink" Target="https://cdn.transcend-info.com/products/images/modelpic/284/Transcend-StoreJet25M3.pdf" TargetMode="External"/><Relationship Id="rId168" Type="http://schemas.openxmlformats.org/officeDocument/2006/relationships/hyperlink" Target="https://www.amazon.com/Canon-DR-M160II-Document-Scanner/dp/B00KGHWUBY" TargetMode="External"/><Relationship Id="rId312" Type="http://schemas.openxmlformats.org/officeDocument/2006/relationships/hyperlink" Target="https://www.lazada.com.ph/products/samsung-galaxy-tab-a8-wi-fi-4gb-ram-64gb-rom-i2709578104.html?spm=a2o4l.store_product.list.4.16c48430fts0lM" TargetMode="External"/><Relationship Id="rId333" Type="http://schemas.openxmlformats.org/officeDocument/2006/relationships/hyperlink" Target="https://www.tp-link.com/ph/business-networking/managed-switch/tl-sg3210/v1/" TargetMode="External"/><Relationship Id="rId51" Type="http://schemas.openxmlformats.org/officeDocument/2006/relationships/hyperlink" Target="https://www.lazada.com.ph/products/tolsen-100pcs-black-nylon-cable-tie-dupont-pa66-25-to-76mm-100mm-to-450mm-zip-tie-i276960904-s11289235208.html?" TargetMode="External"/><Relationship Id="rId72" Type="http://schemas.openxmlformats.org/officeDocument/2006/relationships/hyperlink" Target="https://pinoydeal.ph/mobile-phones/other-phone-related/analog-phone-nec-at40_i61216" TargetMode="External"/><Relationship Id="rId93" Type="http://schemas.openxmlformats.org/officeDocument/2006/relationships/hyperlink" Target="https://www.lazada.com.ph/products/15m-3m-5m-10m-15m-20m-30m-40m-50m-ad-link-gigabit-cat6-ethernet-patch-cable-with-rj45-cat6e-high-quality-blue-i1767824467-s7555638470.html?" TargetMode="External"/><Relationship Id="rId189" Type="http://schemas.openxmlformats.org/officeDocument/2006/relationships/hyperlink" Target="https://www.lazada.com.ph/products/epson-664-ink-black-cyan-magenta-yellow-one-set-brand-new-original-epson-ink-bottles-for-epson-l120-l121-l220-l360-other-l-series-one-set-t6641-t6642-t6643-t6644-wink-printer-solutions-i111495931-s113652954.html?clickTrackInfo=query%253AEPSON%252B664%253Bnid%253A21821667%253Bsrc%253ALazadaMainSrp%253Brn%253A4833d7c4702ea79a4c16e43668557d17%253Bregion%253Aph%253Bsku%253AEP602ELAACZPPFANPH%253Bprice%253A1125.00%253Bclient%253Adesktop%253Bsupplier_id%253A871%253Basc_category_id%253A13893%253Bitem_id%253A111495931%253Bsku_id%253A113652954%253Bshop_id%253A1673&amp;search=1&amp;spm=a2o4l.searchlist.list.6" TargetMode="Externa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30.xml.rels><?xml version="1.0" encoding="UTF-8" standalone="yes"?>
<Relationships xmlns="http://schemas.openxmlformats.org/package/2006/relationships"><Relationship Id="rId1" Type="http://schemas.openxmlformats.org/officeDocument/2006/relationships/hyperlink" Target="https://drive.google.com/uc?id=" TargetMode="Externa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3.xml.rels><?xml version="1.0" encoding="UTF-8" standalone="yes"?>
<Relationships xmlns="http://schemas.openxmlformats.org/package/2006/relationships"><Relationship Id="rId8" Type="http://schemas.openxmlformats.org/officeDocument/2006/relationships/hyperlink" Target="https://drive.google.com/open?id=1e6XMUyeMlHk75z1qHgQc89BJgSR9YGfK" TargetMode="External"/><Relationship Id="rId3" Type="http://schemas.openxmlformats.org/officeDocument/2006/relationships/hyperlink" Target="https://drive.google.com/open?id=1ak-tu-KWiMfHMO8D1ahWNbliWr-ljvDh" TargetMode="External"/><Relationship Id="rId7" Type="http://schemas.openxmlformats.org/officeDocument/2006/relationships/hyperlink" Target="https://drive.google.com/open?id=1_GiBifW86bKGszMCXKIrk4ws_VG_kLZF" TargetMode="External"/><Relationship Id="rId2" Type="http://schemas.openxmlformats.org/officeDocument/2006/relationships/hyperlink" Target="https://drive.google.com/open?id=1Ih4PSWao7irLqhWgsnYW3XEFxnHb7PkA" TargetMode="External"/><Relationship Id="rId1" Type="http://schemas.openxmlformats.org/officeDocument/2006/relationships/hyperlink" Target="https://drive.google.com/uc?id=" TargetMode="External"/><Relationship Id="rId6" Type="http://schemas.openxmlformats.org/officeDocument/2006/relationships/hyperlink" Target="https://drive.google.com/open?id=1ro1lRMxhs3SkJleCNBU3FRRL4igRCFmf" TargetMode="External"/><Relationship Id="rId5" Type="http://schemas.openxmlformats.org/officeDocument/2006/relationships/hyperlink" Target="https://drive.google.com/open?id=1En9XgypXxYUDUKfuzdOuJ4sYs_eRJEiF" TargetMode="External"/><Relationship Id="rId4" Type="http://schemas.openxmlformats.org/officeDocument/2006/relationships/hyperlink" Target="https://drive.google.com/open?id=12aJE8qc4jTO_PhTspWRUPED8KtLso9Fa" TargetMode="Externa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42.xml.rels><?xml version="1.0" encoding="UTF-8" standalone="yes"?>
<Relationships xmlns="http://schemas.openxmlformats.org/package/2006/relationships"><Relationship Id="rId13" Type="http://schemas.openxmlformats.org/officeDocument/2006/relationships/hyperlink" Target="https://www.lazada.com.ph/products/anti-static-esd-300x400mm-grounding-mat-with-coil-cable-anti-static-esd-mat-ground-point-cord-i142172027-s162078495.html?spm=a2o4l.searchlist.list.2.48957f65YVktuO&amp;search=1" TargetMode="External"/><Relationship Id="rId18" Type="http://schemas.openxmlformats.org/officeDocument/2006/relationships/hyperlink" Target="https://www.lazada.com.ph/products/100pcs-m36-m3-x-45681012-inches-white-nylon-cable-tie-zip-tie-cable-binder-plastic-fasten-organizer-wire-cord-strap-tgc-i254415913-s1137650750.html?spm=a2o4l.pdp.recommendation_1.3.312037ebZsZadE&amp;mp=1&amp;scm=1007.16389.126158.0&amp;clickTrackInfo=f0210a50-58e2-4ac7-bbe7-dba1b4cae5dd__254415913__22650__trigger2i__170092__0.336__0.35875165__0.0__0.7910334__0.099434994__0.36869514__2__null__null__null__null__null__null__" TargetMode="External"/><Relationship Id="rId26" Type="http://schemas.openxmlformats.org/officeDocument/2006/relationships/hyperlink" Target="https://www.lazada.com.ph/products/100pcs-m36-m3-x-45681012-inches-white-nylon-cable-tie-zip-tie-cable-binder-plastic-fasten-organizer-wire-cord-strap-tgc-i254415913-s1137650750.html?spm=a2o4l.pdp.recommendation_1.3.312037ebZsZadE&amp;mp=1&amp;scm=1007.16389.126158.0&amp;clickTrackInfo=f0210a50-58e2-4ac7-bbe7-dba1b4cae5dd__254415913__22650__trigger2i__170092__0.336__0.35875165__0.0__0.7910334__0.099434994__0.36869514__2__null__null__null__null__null__null__" TargetMode="External"/><Relationship Id="rId39" Type="http://schemas.openxmlformats.org/officeDocument/2006/relationships/hyperlink" Target="https://www.lazada.com.ph/products/brother-pt-d400ad-easy-to-use-p-touch-labelling-machine-with-twin-pack-tze-231-i234620880-s317142567.html?spm=a2o4l.searchlist.list.6.2cec33a4PpUuov&amp;search=1" TargetMode="External"/><Relationship Id="rId21" Type="http://schemas.openxmlformats.org/officeDocument/2006/relationships/hyperlink" Target="https://www.lazada.com.ph/products/100pcs-m36-m3-x-45681012-inches-white-nylon-cable-tie-zip-tie-cable-binder-plastic-fasten-organizer-wire-cord-strap-tgc-i254415913-s1137650750.html?spm=a2o4l.pdp.recommendation_1.3.312037ebZsZadE&amp;mp=1&amp;scm=1007.16389.126158.0&amp;clickTrackInfo=f0210a50-58e2-4ac7-bbe7-dba1b4cae5dd__254415913__22650__trigger2i__170092__0.336__0.35875165__0.0__0.7910334__0.099434994__0.36869514__2__null__null__null__null__null__null__" TargetMode="External"/><Relationship Id="rId34" Type="http://schemas.openxmlformats.org/officeDocument/2006/relationships/hyperlink" Target="https://www.lazada.com.ph/products/cotran-insulating-electrical-tape-flame-resistant-kc62-018mmx18mmx20m-i869810696-s2756990963.html?spm=a2o4l.searchlist.list.15.76471e261f5rPr&amp;search=1" TargetMode="External"/><Relationship Id="rId42" Type="http://schemas.openxmlformats.org/officeDocument/2006/relationships/hyperlink" Target="https://www.lazada.com.ph/catalog/?q=Energizer+head+lamp&amp;_keyori=ss&amp;from=input&amp;spm=a2o4l.searchlist.search.go.30fcb8b6CABBhS" TargetMode="External"/><Relationship Id="rId47" Type="http://schemas.openxmlformats.org/officeDocument/2006/relationships/hyperlink" Target="https://www.lazada.com.ph/products/ctrl-100-pcs-rj11-modular-plugs-6p4c-for-solid-connectors-new-i581806801-s1590162533.html?spm=a2o4l.searchlist.list.18.69152b93TrIHd7&amp;search=1" TargetMode="External"/><Relationship Id="rId50" Type="http://schemas.openxmlformats.org/officeDocument/2006/relationships/hyperlink" Target="https://www.lazada.com.ph/products/chinatera-usb-30-sata-adapter-25-inch-sata-to-usb-30-cable-22-pin-715-hddssd-cord-support-uasp-serial-ata-iii-compatible-for-25-sata-hard-drive-i294982808-s489868145.html?spm=a2o4l.searchlist.list.2.7b847a65aIHBYk&amp;search=1" TargetMode="External"/><Relationship Id="rId55" Type="http://schemas.openxmlformats.org/officeDocument/2006/relationships/hyperlink" Target="https://www.lazada.com.ph/products/65ft-telephone-handset-phone-extension-cord-curly-coil-line-cable-wire-2m-longest-telephone-coiled-cord-intl-i212797901-s273615557.html?spm=a2o4l.searchlist.list.4.5f9c19ffSNM1iF&amp;search=1" TargetMode="External"/><Relationship Id="rId63" Type="http://schemas.openxmlformats.org/officeDocument/2006/relationships/hyperlink" Target="https://www.lazada.com.ph/products/tp-link-tl-wr840n-300mbps-wireless-n-router-n300-wifi-router-wisprouterrepeateraccess-point-4-in-one-tp-link-tplink-i311734098-s626104951.html?spm=a2o4l.seller.list.40.648c2e19vbHEaR&amp;mp=1" TargetMode="External"/><Relationship Id="rId68" Type="http://schemas.openxmlformats.org/officeDocument/2006/relationships/hyperlink" Target="https://www.synology.com/en-global/products/RS2418+" TargetMode="External"/><Relationship Id="rId7" Type="http://schemas.openxmlformats.org/officeDocument/2006/relationships/hyperlink" Target="https://www.lazada.com.ph/products/sandisk-cruzer-blade-sdcz50-064g-b35-64gb-usb-20-flash-drive-i291178717-s473318069.html?spm=a2o4l.searchlist.list.9.501316c5oSgMTW&amp;search=1" TargetMode="External"/><Relationship Id="rId71" Type="http://schemas.openxmlformats.org/officeDocument/2006/relationships/hyperlink" Target="https://www.lazada.com.ph/products/philips-ph-801a-uni-directional-professional-gooseneck-condenser-microphone-with-chime-black-i253819884-s348393689.html?exlaz=d_1:mm_150050845_51350205_2010350205::12:1032129542!52512091404!!!pla-293946777986!c!293946777986!348393689!117730922&amp;gclid=CjwKCAiAu8SABhAxEiwAsodSZH0QBJ7TyCYNdIznb0n1fIk2rMJWPR317ulEfKaQLc5H2wA2h_hOfhoC2B8QAvD_BwE" TargetMode="External"/><Relationship Id="rId2" Type="http://schemas.openxmlformats.org/officeDocument/2006/relationships/hyperlink" Target="https://www.lazada.com.ph/products/wd-40-specialist-fast-drying-contact-cleaner-360ml-i6711863-s8578330.html?spm=a2o4l.searchlist.list.2.15fc56d4V0StgF&amp;search=1" TargetMode="External"/><Relationship Id="rId16" Type="http://schemas.openxmlformats.org/officeDocument/2006/relationships/hyperlink" Target="https://www.lazada.com.ph/products/digital-persona-uareu-5100-fingerprint-reader-i107706845-s108918085.html?spm=a2o4l.pdp.recommendation_1.5.3c94593czYPat5&amp;mp=1&amp;scm=1007.16389.126158.0&amp;clickTrackInfo=1a501902-b52e-4484-be5d-bb62b488684c__107706845__5162__cate__124572__0.4387583__0.4387583__0.0__0.4096059__2.5E-4__0.43878332__4__null__null__null__null__null__null__" TargetMode="External"/><Relationship Id="rId29" Type="http://schemas.openxmlformats.org/officeDocument/2006/relationships/hyperlink" Target="https://www.lazada.com.ph/products/cat6cat5e-tool-less-keystone-jackampcom-rj45-utp-keystone-module-adapter-no-punch-down-tool-required-couplers-i751124158-s2242930566.html" TargetMode="External"/><Relationship Id="rId1" Type="http://schemas.openxmlformats.org/officeDocument/2006/relationships/hyperlink" Target="https://www.lazada.com.ph/products/seagate-sthn2000400-2tb-back-up-plus-25-usb-30-slim-black-hard-disk-black-with-free-pouch-i3084938-s3754000.html?spm=a2o4l.seller.list.32.7a7e7237iiMHF6&amp;mp=1" TargetMode="External"/><Relationship Id="rId6" Type="http://schemas.openxmlformats.org/officeDocument/2006/relationships/hyperlink" Target="https://www.lazada.com.ph/products/kingston-a400-240gb-ssd-sata3-25-sa400s37240g-i160522428-s195798033.html?spm=a2o4l.searchlist.list.2.e5ef6a5cYntanw&amp;search=1" TargetMode="External"/><Relationship Id="rId11" Type="http://schemas.openxmlformats.org/officeDocument/2006/relationships/hyperlink" Target="https://www.lazada.com.ph/products/tp-link-tl-sf1008d-8-port-10100mbps-unmanaged-desktop-switch-network-switch-hub-8-port-switch-tp-link-tplink-i314654528-s640024375.html?spm=a2o4l.seller.list.4.62812e19faIfiS&amp;mp=1" TargetMode="External"/><Relationship Id="rId24" Type="http://schemas.openxmlformats.org/officeDocument/2006/relationships/hyperlink" Target="https://www.lazada.com.ph/products/100pcs-m36-m3-x-45681012-inches-white-nylon-cable-tie-zip-tie-cable-binder-plastic-fasten-organizer-wire-cord-strap-tgc-i254415913-s1137650750.html?spm=a2o4l.pdp.recommendation_1.3.312037ebZsZadE&amp;mp=1&amp;scm=1007.16389.126158.0&amp;clickTrackInfo=f0210a50-58e2-4ac7-bbe7-dba1b4cae5dd__254415913__22650__trigger2i__170092__0.336__0.35875165__0.0__0.7910334__0.099434994__0.36869514__2__null__null__null__null__null__null__" TargetMode="External"/><Relationship Id="rId32" Type="http://schemas.openxmlformats.org/officeDocument/2006/relationships/hyperlink" Target="https://www.lazada.com.ph/products/makita-dcl281fzw-750ml-cordless-brushless-vacuum-cleaner-18v-lxt-battery-and-charger-sold-separately-crdlsvacm-mak18v-i859848989-s2711042846.html?spm=a2o4l.pdp.recommendation_1.2.546c6dff1hU5FB&amp;mp=1&amp;scm=1007.16389.126158.0&amp;clickTrackInfo=8423a66f-7156-4af1-855f-cf4332d95265__859848989__22694__trigger2i__170092__0.375__0.38313538__0.0__0.5377076__0.002865__0.38342187__1__null__null__null__null__null__null__" TargetMode="External"/><Relationship Id="rId37" Type="http://schemas.openxmlformats.org/officeDocument/2006/relationships/hyperlink" Target="https://ph.rs-online.com/web/p/crimp-tools/8296527/" TargetMode="External"/><Relationship Id="rId40" Type="http://schemas.openxmlformats.org/officeDocument/2006/relationships/hyperlink" Target="https://www.lazada.com.ph/products/5pcspack-laminated-ribbons-tze-231-tz231-tze231-tape-12mm-black-on-white-laminated-tape-tze-231-tz-231-for-brother-p-touch-printer-label-tape-i255377861-s351192715.html?spm=a2o4l.searchlist.list.2.67c36ac7Li79s5&amp;search=1" TargetMode="External"/><Relationship Id="rId45" Type="http://schemas.openxmlformats.org/officeDocument/2006/relationships/hyperlink" Target="https://www.lazada.com.ph/products/kingdo-8-in-1-network-lan-kit-cable-tester-crimper-crimping-tool-set-with-free-reader-card-i305414696-s568618507.html?spm=a2o4l.searchlist.list.8.79845f00rkWhEK&amp;search=1" TargetMode="External"/><Relationship Id="rId53" Type="http://schemas.openxmlformats.org/officeDocument/2006/relationships/hyperlink" Target="https://pinoydeal.ph/mobile-phones/other-phone-related/analog-phone-nec-at40_i61216" TargetMode="External"/><Relationship Id="rId58" Type="http://schemas.openxmlformats.org/officeDocument/2006/relationships/hyperlink" Target="https://www.lazada.com.ph/products/a4tech-krs-8572-usb-keyboard-and-mouse-combo-kit-i247973952-s338695104.html?spm=a2o4l.searchlist.list.2.33c337b49jhnFW&amp;search=1" TargetMode="External"/><Relationship Id="rId66" Type="http://schemas.openxmlformats.org/officeDocument/2006/relationships/hyperlink" Target="https://www.fortinet.com/content/dam/fortinet/assets/data-sheets/fortigate-100f-series.pdf" TargetMode="External"/><Relationship Id="rId5" Type="http://schemas.openxmlformats.org/officeDocument/2006/relationships/hyperlink" Target="https://www.lazada.com.ph/products/tp-link-tl-sg1024d-24-port-gigabit-desktoprackmount-switch-network-switch-hub-24-port-gigabit-switch-tp-link-tplink-i315234716-s642756326.html?spm=a2o4l.seller.list.22.62812e19faIfiS&amp;mp=1" TargetMode="External"/><Relationship Id="rId15" Type="http://schemas.openxmlformats.org/officeDocument/2006/relationships/hyperlink" Target="https://www.lazada.com.ph/products/new-makita-199994-5-battery-and-charger-kit-30ah-18v-lxt-crdlsbatt-mak18v-i340098692-s762468300.html?spm=a2o4l.seller.list.8.394358bfICtOJN&amp;mp=1" TargetMode="External"/><Relationship Id="rId23" Type="http://schemas.openxmlformats.org/officeDocument/2006/relationships/hyperlink" Target="https://www.lazada.com.ph/products/100pcs-m36-m3-x-45681012-inches-white-nylon-cable-tie-zip-tie-cable-binder-plastic-fasten-organizer-wire-cord-strap-tgc-i254415913-s1137650750.html?spm=a2o4l.pdp.recommendation_1.3.312037ebZsZadE&amp;mp=1&amp;scm=1007.16389.126158.0&amp;clickTrackInfo=f0210a50-58e2-4ac7-bbe7-dba1b4cae5dd__254415913__22650__trigger2i__170092__0.336__0.35875165__0.0__0.7910334__0.099434994__0.36869514__2__null__null__null__null__null__null__" TargetMode="External"/><Relationship Id="rId28" Type="http://schemas.openxmlformats.org/officeDocument/2006/relationships/hyperlink" Target="https://www.lazada.com.ph/products/100m-cat6-utp-cable-high-quality-ad-link-with-rj45-set-of-100-i111350055-s113441197.html?spm=a2o4l.searchlist.list.78.27a2a5618WECS4&amp;search=1" TargetMode="External"/><Relationship Id="rId36" Type="http://schemas.openxmlformats.org/officeDocument/2006/relationships/hyperlink" Target="https://www.lazada.com.ph/products/deepcool-z5-high-performance-thermal-paste-with-good-thermal-conductivity-i219201588-s286854757.html?spm=a2o4l.searchlist.list.16.4e041c91jhN4n3&amp;search=1" TargetMode="External"/><Relationship Id="rId49" Type="http://schemas.openxmlformats.org/officeDocument/2006/relationships/hyperlink" Target="https://www.lazada.com.ph/products/100pcs-rj45-rubber-boots-rubberboots-rubberboots-rubberboot-for-cat5e-and-cat6-black-i216751140-s282281173.html?spm=a2o4l.searchlist.list.36.27a2a5618WECS4&amp;search=1" TargetMode="External"/><Relationship Id="rId57" Type="http://schemas.openxmlformats.org/officeDocument/2006/relationships/hyperlink" Target="https://asianic.com.ph/product/csb-gp1272" TargetMode="External"/><Relationship Id="rId61" Type="http://schemas.openxmlformats.org/officeDocument/2006/relationships/hyperlink" Target="https://www.lazada.com.ph/products/wd-40-multi-purpose-penetrating-oil-65-oz-191ml-i585222196-s1599412115.html?spm=a2o4l.searchlist.list.2.2ebe1c1aNcwyux&amp;search=1" TargetMode="External"/><Relationship Id="rId10" Type="http://schemas.openxmlformats.org/officeDocument/2006/relationships/hyperlink" Target="https://www.lazada.com.ph/products/tp-link-tl-sg1008p-8-port-gigabit-desktop-switch-with-4-port-poe-network-switch-hub-8-port-gigabit-switch-poe-switch-tp-link-tplink-i315302438-s643156749.html?spm=a2o4l.seller.list.70.58552e199rM1Hm&amp;mp=1" TargetMode="External"/><Relationship Id="rId19" Type="http://schemas.openxmlformats.org/officeDocument/2006/relationships/hyperlink" Target="https://www.lazada.com.ph/products/100pcs-m36-m3-x-45681012-inches-white-nylon-cable-tie-zip-tie-cable-binder-plastic-fasten-organizer-wire-cord-strap-tgc-i254415913-s1137650750.html?spm=a2o4l.pdp.recommendation_1.3.312037ebZsZadE&amp;mp=1&amp;scm=1007.16389.126158.0&amp;clickTrackInfo=f0210a50-58e2-4ac7-bbe7-dba1b4cae5dd__254415913__22650__trigger2i__170092__0.336__0.35875165__0.0__0.7910334__0.099434994__0.36869514__2__null__null__null__null__null__null__" TargetMode="External"/><Relationship Id="rId31" Type="http://schemas.openxmlformats.org/officeDocument/2006/relationships/hyperlink" Target="https://www.lazada.com.ph/products/makita-dub182z-cordless-blower-18v-lxt-body-only-battery-and-charger-sold-separately-crdlsblwr-mak18v-i115245104-s119284491.html?spm=a2o4l.seller.list.2.6e8f58bfZRkTOK&amp;mp=1" TargetMode="External"/><Relationship Id="rId44" Type="http://schemas.openxmlformats.org/officeDocument/2006/relationships/hyperlink" Target="https://www.fluke.com/en-in/product/electrical-testing/digital-multimeters/fluke-15b-plus" TargetMode="External"/><Relationship Id="rId52" Type="http://schemas.openxmlformats.org/officeDocument/2006/relationships/hyperlink" Target="https://www.datacomtools.com/store/1PK-1700NA.html" TargetMode="External"/><Relationship Id="rId60" Type="http://schemas.openxmlformats.org/officeDocument/2006/relationships/hyperlink" Target="https://www.lazada.com.ph/products/cotran-waterseal-mastic-tape-model-kc80-2in-x-065in-x-10ft-i455492770-s1170438306.html?spm=a2o4l.searchlist.list.3.76471e261f5rPr&amp;search=1" TargetMode="External"/><Relationship Id="rId65" Type="http://schemas.openxmlformats.org/officeDocument/2006/relationships/hyperlink" Target="https://www.router-switch.com/cisco-isr4331-k9-p-16544.html" TargetMode="External"/><Relationship Id="rId4" Type="http://schemas.openxmlformats.org/officeDocument/2006/relationships/hyperlink" Target="https://www.lazada.com.ph/products/sandisk-cruzer-blade-16gb-usb-flash-drive-black-sdcz50c-016g-b35-i191436915-s242336375.html?spm=a2o4l.searchlist.list.37.501316c5oSgMTW&amp;search=1" TargetMode="External"/><Relationship Id="rId9" Type="http://schemas.openxmlformats.org/officeDocument/2006/relationships/hyperlink" Target="https://www.lazada.com.ph/products/tp-link-tl-sg108-8-port-101001000mbps-desktop-switch-8-port-gigabit-network-switch-tp-link-tplink-i775570358-s2344730558.html?spm=a2o4l.seller.list.12.62812e19faIfiS&amp;mp=1" TargetMode="External"/><Relationship Id="rId14" Type="http://schemas.openxmlformats.org/officeDocument/2006/relationships/hyperlink" Target="https://www.lazada.com.ph/products/600w-standard-desktop-computer-atx-power-supply-w-free-power-cable-i1612541-s1957163.html?spm=a2o4l.searchlist.list.2.740844abAsXalx&amp;search=1" TargetMode="External"/><Relationship Id="rId22" Type="http://schemas.openxmlformats.org/officeDocument/2006/relationships/hyperlink" Target="https://www.lazada.com.ph/products/100pcs-m36-m3-x-45681012-inches-white-nylon-cable-tie-zip-tie-cable-binder-plastic-fasten-organizer-wire-cord-strap-tgc-i254415913-s1137650750.html?spm=a2o4l.pdp.recommendation_1.3.312037ebZsZadE&amp;mp=1&amp;scm=1007.16389.126158.0&amp;clickTrackInfo=f0210a50-58e2-4ac7-bbe7-dba1b4cae5dd__254415913__22650__trigger2i__170092__0.336__0.35875165__0.0__0.7910334__0.099434994__0.36869514__2__null__null__null__null__null__null__" TargetMode="External"/><Relationship Id="rId27" Type="http://schemas.openxmlformats.org/officeDocument/2006/relationships/hyperlink" Target="https://www.lazada.com.ph/products/ad-link-cat6-outdoor-utp-cable-305m-high-quality-free-10pcs-rj45-tagusan-i160085636-s194982495.html?spm=a2o4l.searchlist.list.60.27a2a5618WECS4&amp;search=1" TargetMode="External"/><Relationship Id="rId30" Type="http://schemas.openxmlformats.org/officeDocument/2006/relationships/hyperlink" Target="https://www.lazada.com.ph/products/energizer-cr2032-3v-lithium-coin-button-batteries-zero-mercury-4pcs-cmos-pc-desktop-laptop-motherboard-battery-i300122717-s522822320.html?spm=a2o4l.searchlist.list.2.3ab11865KP3wOS&amp;search=1" TargetMode="External"/><Relationship Id="rId35" Type="http://schemas.openxmlformats.org/officeDocument/2006/relationships/hyperlink" Target="https://www.lazada.com.ph/products/herdar-super-heavy-duty-platform-truck-hand-trolley-foldable-push-cart-300kg-24-x-36-inches-plt-300-i823896130-s2549736288.html?spm=a2o4l.pdp.recommendation_1.1.536b375dzg90LT&amp;mp=1&amp;scm=1007.16389.126158.0&amp;clickTrackInfo=13be161a-4830-44f9-a8ab-376da7e4c1d2__823896130__22678__trigger2i__170092__1.0__0.9779512__0.0__0.55902445__0.010385__0.9789897__0__null__null__null__null__null__null__" TargetMode="External"/><Relationship Id="rId43" Type="http://schemas.openxmlformats.org/officeDocument/2006/relationships/hyperlink" Target="https://www.lazada.com.ph/products/acer-v226hql-monitor-215-1920-x-1080-60hz-5ms-response-time-no-speakers-vga-dvi-hdmi-with-3yr-warranty-i944578166-s3088274533.html?spm=a2o4l.searchlist.list.36.365c4ee1zhA9eN&amp;search=1" TargetMode="External"/><Relationship Id="rId48" Type="http://schemas.openxmlformats.org/officeDocument/2006/relationships/hyperlink" Target="https://www.lazada.com.ph/products/100-pcs-rj45-rj-45-connector-cat5e-cat5-e-high-quality-i207872394-s263847909.html?spm=a2o4l.searchlist.list.4.27a2a5618WECS4&amp;search=1" TargetMode="External"/><Relationship Id="rId56" Type="http://schemas.openxmlformats.org/officeDocument/2006/relationships/hyperlink" Target="https://www.lazada.com.ph/products/free-gifttracker-diagnose-tone-finder-telephone-wire-cable-tester-toner-tracer-inder-detector-networking-tools-with-bag-i439870633-s1101596225.html?spm=a2o4l.searchlist.list.4.716b100aUgdZEo&amp;search=1" TargetMode="External"/><Relationship Id="rId64" Type="http://schemas.openxmlformats.org/officeDocument/2006/relationships/hyperlink" Target="https://www.lazada.com.ph/products/tp-link-omada-eap110-outdoor-300mbps-wireless-n-outdoor-access-point-long-range-outdoor-wifi-piso-wifi-public-wifi-wisp-use-wifi-hotspot-tp-link-tplink-i314988572-s641616717.html?spm=a2o4l.seller.list.4.62812e19b7PRgI&amp;mp=1" TargetMode="External"/><Relationship Id="rId69" Type="http://schemas.openxmlformats.org/officeDocument/2006/relationships/hyperlink" Target="https://www.lazada.com.ph/products/seagate-1tb-2tb-ironwolf-sata-30-hdd-interface-64mb-cache-6gbs-5900-rpm-35-internal-hard-drive-disk-for-desktop-pc-1tb-16tb-i948476047-s3109398337.html?" TargetMode="External"/><Relationship Id="rId8" Type="http://schemas.openxmlformats.org/officeDocument/2006/relationships/hyperlink" Target="https://www.lazada.com.ph/products/apc-bx650li-ms-325-watts650-va-ups-black-i1845415-s2251306.html?spm=a2o4l.searchlist.list.6.4fc02a14PQqlu3&amp;search=1" TargetMode="External"/><Relationship Id="rId51" Type="http://schemas.openxmlformats.org/officeDocument/2006/relationships/hyperlink" Target="https://www.lazada.com.ph/products/sata-30-cable-sata-iii-6gbs-right-angle-90-degree-for-hdd-hard-drive-50cm-i372008033-s843168164.html?spm=a2o4l.searchlist.list.4.274d580atexq1f&amp;search=1" TargetMode="External"/><Relationship Id="rId3" Type="http://schemas.openxmlformats.org/officeDocument/2006/relationships/hyperlink" Target="https://www.lazada.com.ph/products/tp-link-tl-sg1016-16-port-gigabit-rackmount-switch-network-switch-hub-16-port-gigabit-switch-tp-link-tplink-i315264296-s642776552.html?spm=a2o4l.seller.list.14.62812e19faIfiS&amp;mp=1" TargetMode="External"/><Relationship Id="rId12" Type="http://schemas.openxmlformats.org/officeDocument/2006/relationships/hyperlink" Target="https://hofequipment.com/vestil-hcr-aluminum-hose-cable-ramps-p546.html" TargetMode="External"/><Relationship Id="rId17" Type="http://schemas.openxmlformats.org/officeDocument/2006/relationships/hyperlink" Target="https://www.lazada.com.ph/products/100pcs-m36-m3-x-45681012-inches-white-nylon-cable-tie-zip-tie-cable-binder-plastic-fasten-organizer-wire-cord-strap-tgc-i254415913-s1137650750.html?spm=a2o4l.pdp.recommendation_1.3.312037ebZsZadE&amp;mp=1&amp;scm=1007.16389.126158.0&amp;clickTrackInfo=f0210a50-58e2-4ac7-bbe7-dba1b4cae5dd__254415913__22650__trigger2i__170092__0.336__0.35875165__0.0__0.7910334__0.099434994__0.36869514__2__null__null__null__null__null__null__" TargetMode="External"/><Relationship Id="rId25" Type="http://schemas.openxmlformats.org/officeDocument/2006/relationships/hyperlink" Target="https://www.lazada.com.ph/products/100pcs-m36-m3-x-45681012-inches-white-nylon-cable-tie-zip-tie-cable-binder-plastic-fasten-organizer-wire-cord-strap-tgc-i254415913-s1137650750.html?spm=a2o4l.pdp.recommendation_1.3.312037ebZsZadE&amp;mp=1&amp;scm=1007.16389.126158.0&amp;clickTrackInfo=f0210a50-58e2-4ac7-bbe7-dba1b4cae5dd__254415913__22650__trigger2i__170092__0.336__0.35875165__0.0__0.7910334__0.099434994__0.36869514__2__null__null__null__null__null__null__" TargetMode="External"/><Relationship Id="rId33" Type="http://schemas.openxmlformats.org/officeDocument/2006/relationships/hyperlink" Target="https://www.lazada.com.ph/products/makita-dhp453rfx4-cordless-hammer-drill-12-18v-lxt-kit-set-crdlsdrl-mak18v-i111241698-s113286426.html?spm=a2o4l.seller.list.14.52444937n5vHW7&amp;mp=1" TargetMode="External"/><Relationship Id="rId38" Type="http://schemas.openxmlformats.org/officeDocument/2006/relationships/hyperlink" Target="https://www.lazada.com.ph/products/150300pcs-self-adhesive-network-waterproof-wire-fiber-organizers-identification-tags-cable-labels-stickers-i777480217-s2350758683.html?spm=a2o4l.searchlist.list.43.14f3588761XkjO&amp;search=1" TargetMode="External"/><Relationship Id="rId46" Type="http://schemas.openxmlformats.org/officeDocument/2006/relationships/hyperlink" Target="https://www.lazada.com.ph/products/tp-link-cpe210-24ghz-300mbps-9dbi-outdoor-cpe-p2p-ap-point-to-point-access-point-tp-link-tplink-i315040507-s641870174.html?spm=a2o4l.seller.list.52.43192e19keMV9l&amp;mp=1" TargetMode="External"/><Relationship Id="rId59" Type="http://schemas.openxmlformats.org/officeDocument/2006/relationships/hyperlink" Target="https://www.lazada.com.ph/products/baofeng-bf-888s-uhf-fm-transceiver-high-illumination-flashlight-walkie-talkie-two-way-radio-set-of-5-i111555655-s113726800.html?spm=a2o4l.searchlistbrand.list.20.5d50674dSFlVNW&amp;search=1" TargetMode="External"/><Relationship Id="rId67" Type="http://schemas.openxmlformats.org/officeDocument/2006/relationships/hyperlink" Target="https://www.lazada.com.ph/products/synology-rackstation-rs2418-i278211257-s417681774.html?spm=a2o4l.searchlist.list.2.38655595fXKUZ5&amp;search=1" TargetMode="External"/><Relationship Id="rId20" Type="http://schemas.openxmlformats.org/officeDocument/2006/relationships/hyperlink" Target="https://www.lazada.com.ph/products/100pcs-m36-m3-x-45681012-inches-white-nylon-cable-tie-zip-tie-cable-binder-plastic-fasten-organizer-wire-cord-strap-tgc-i254415913-s1137650750.html?spm=a2o4l.pdp.recommendation_1.3.312037ebZsZadE&amp;mp=1&amp;scm=1007.16389.126158.0&amp;clickTrackInfo=f0210a50-58e2-4ac7-bbe7-dba1b4cae5dd__254415913__22650__trigger2i__170092__0.336__0.35875165__0.0__0.7910334__0.099434994__0.36869514__2__null__null__null__null__null__null__" TargetMode="External"/><Relationship Id="rId41" Type="http://schemas.openxmlformats.org/officeDocument/2006/relationships/hyperlink" Target="https://www.lazada.com.ph/products/acer-swift3-sf314-57-5954-i5-1035g1-8gb-512gb-ssd-14-win10-steel-grey-i960114364-s3165144215.html?spm=a2o4l.seller.list.24.46b41981kNVHkk&amp;mp=1" TargetMode="External"/><Relationship Id="rId54" Type="http://schemas.openxmlformats.org/officeDocument/2006/relationships/hyperlink" Target="https://www.lazada.com.ph/products/gordak-868d-2-in1-usb-digtal-lcd-display-smd-soldering-iron-rework-station-hot-air-welding-tool-i340278485-s762792224.html?spm=a2o4l.searchlist.list.10.234430982V5mr4&amp;search=1" TargetMode="External"/><Relationship Id="rId62" Type="http://schemas.openxmlformats.org/officeDocument/2006/relationships/hyperlink" Target="https://www.lazada.com.ph/products/tp-link-tl-wn823n-300mbps-mini-wireless-n-usb-adapter-wifi-adapter-wifi-receiver-wifi-dongle-tp-link-tplink-i311720128-s626066928.html?spm=a2o4l.seller.list.64.35f22e196COdeK&amp;mp=1" TargetMode="External"/><Relationship Id="rId70" Type="http://schemas.openxmlformats.org/officeDocument/2006/relationships/hyperlink" Target="https://www.amazon.com/Synology-ECC-RAM-Module-RAMEC2133DDR4-16G/dp/B01LJUOL4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B1:E996"/>
  <sheetViews>
    <sheetView topLeftCell="A7" workbookViewId="0"/>
  </sheetViews>
  <sheetFormatPr defaultColWidth="12.5703125" defaultRowHeight="15.75" customHeight="1"/>
  <cols>
    <col min="1" max="1" width="4" customWidth="1"/>
    <col min="2" max="2" width="89.42578125" customWidth="1"/>
    <col min="4" max="4" width="104.140625" customWidth="1"/>
  </cols>
  <sheetData>
    <row r="1" spans="2:5" ht="15.75" customHeight="1">
      <c r="B1" s="1" t="s">
        <v>0</v>
      </c>
      <c r="C1" s="1" t="s">
        <v>1</v>
      </c>
      <c r="D1" s="1" t="s">
        <v>2</v>
      </c>
      <c r="E1" s="1" t="s">
        <v>3</v>
      </c>
    </row>
    <row r="2" spans="2:5" ht="15.75" customHeight="1">
      <c r="B2" s="1" t="s">
        <v>4</v>
      </c>
      <c r="C2" s="1"/>
      <c r="D2" s="1" t="s">
        <v>5</v>
      </c>
    </row>
    <row r="3" spans="2:5" ht="15.75" customHeight="1">
      <c r="B3" s="1" t="s">
        <v>6</v>
      </c>
      <c r="C3" s="1"/>
      <c r="D3" s="1" t="s">
        <v>7</v>
      </c>
      <c r="E3" s="1" t="s">
        <v>8</v>
      </c>
    </row>
    <row r="4" spans="2:5" ht="15.75" customHeight="1">
      <c r="B4" s="1" t="s">
        <v>9</v>
      </c>
      <c r="C4" s="1"/>
      <c r="D4" s="1" t="s">
        <v>10</v>
      </c>
      <c r="E4" s="1" t="s">
        <v>11</v>
      </c>
    </row>
    <row r="5" spans="2:5" ht="15.75" customHeight="1">
      <c r="B5" s="1" t="s">
        <v>12</v>
      </c>
      <c r="C5" s="2" t="s">
        <v>13</v>
      </c>
      <c r="D5" s="1" t="s">
        <v>14</v>
      </c>
      <c r="E5" s="1" t="s">
        <v>8</v>
      </c>
    </row>
    <row r="6" spans="2:5" ht="15.75" customHeight="1">
      <c r="B6" s="1" t="s">
        <v>15</v>
      </c>
      <c r="C6" s="1"/>
    </row>
    <row r="7" spans="2:5" ht="15.75" customHeight="1">
      <c r="B7" s="1" t="s">
        <v>16</v>
      </c>
      <c r="C7" s="1"/>
      <c r="E7" s="1" t="s">
        <v>8</v>
      </c>
    </row>
    <row r="8" spans="2:5" ht="15.75" customHeight="1">
      <c r="B8" s="1" t="s">
        <v>17</v>
      </c>
      <c r="C8" s="1"/>
      <c r="E8" s="1" t="s">
        <v>8</v>
      </c>
    </row>
    <row r="9" spans="2:5" ht="15.75" customHeight="1">
      <c r="B9" s="1" t="s">
        <v>18</v>
      </c>
      <c r="C9" s="1"/>
      <c r="E9" s="1" t="s">
        <v>8</v>
      </c>
    </row>
    <row r="10" spans="2:5" ht="15.75" customHeight="1">
      <c r="B10" s="1" t="s">
        <v>19</v>
      </c>
      <c r="C10" s="1"/>
      <c r="E10" s="1" t="s">
        <v>8</v>
      </c>
    </row>
    <row r="11" spans="2:5" ht="15.75" customHeight="1">
      <c r="B11" s="1" t="s">
        <v>20</v>
      </c>
      <c r="C11" s="1"/>
      <c r="E11" s="1" t="s">
        <v>11</v>
      </c>
    </row>
    <row r="12" spans="2:5" ht="15.75" customHeight="1">
      <c r="B12" s="1" t="s">
        <v>21</v>
      </c>
      <c r="C12" s="3" t="s">
        <v>22</v>
      </c>
      <c r="D12" s="1" t="s">
        <v>23</v>
      </c>
      <c r="E12" s="1" t="s">
        <v>8</v>
      </c>
    </row>
    <row r="13" spans="2:5" ht="15.75" customHeight="1">
      <c r="B13" s="1" t="s">
        <v>24</v>
      </c>
      <c r="C13" s="3" t="s">
        <v>25</v>
      </c>
      <c r="D13" s="1" t="s">
        <v>26</v>
      </c>
      <c r="E13" s="1" t="s">
        <v>11</v>
      </c>
    </row>
    <row r="14" spans="2:5" ht="15.75" customHeight="1">
      <c r="B14" s="1" t="s">
        <v>27</v>
      </c>
      <c r="C14" s="1"/>
    </row>
    <row r="15" spans="2:5" ht="15.75" customHeight="1">
      <c r="B15" s="1" t="s">
        <v>28</v>
      </c>
      <c r="C15" s="3" t="s">
        <v>29</v>
      </c>
      <c r="D15" s="1" t="s">
        <v>30</v>
      </c>
      <c r="E15" s="1" t="s">
        <v>8</v>
      </c>
    </row>
    <row r="16" spans="2:5" ht="15.75" customHeight="1">
      <c r="B16" s="1" t="s">
        <v>31</v>
      </c>
      <c r="C16" s="3" t="s">
        <v>32</v>
      </c>
      <c r="D16" s="1" t="s">
        <v>33</v>
      </c>
      <c r="E16" s="1" t="s">
        <v>8</v>
      </c>
    </row>
    <row r="17" spans="2:5" ht="15.75" customHeight="1">
      <c r="B17" s="1" t="s">
        <v>34</v>
      </c>
      <c r="C17" s="1"/>
    </row>
    <row r="18" spans="2:5" ht="15.75" customHeight="1">
      <c r="B18" s="1" t="s">
        <v>35</v>
      </c>
      <c r="C18" s="1"/>
    </row>
    <row r="19" spans="2:5" ht="15.75" customHeight="1">
      <c r="B19" s="1" t="s">
        <v>36</v>
      </c>
      <c r="C19" s="3" t="s">
        <v>37</v>
      </c>
      <c r="D19" s="1" t="s">
        <v>36</v>
      </c>
      <c r="E19" s="1" t="s">
        <v>8</v>
      </c>
    </row>
    <row r="20" spans="2:5" ht="15.75" customHeight="1">
      <c r="B20" s="1" t="s">
        <v>38</v>
      </c>
      <c r="C20" s="3" t="s">
        <v>39</v>
      </c>
      <c r="D20" s="1" t="s">
        <v>40</v>
      </c>
      <c r="E20" s="1" t="s">
        <v>11</v>
      </c>
    </row>
    <row r="21" spans="2:5" ht="15.75" customHeight="1">
      <c r="B21" s="1" t="s">
        <v>41</v>
      </c>
      <c r="C21" s="3" t="s">
        <v>42</v>
      </c>
      <c r="D21" s="1" t="s">
        <v>43</v>
      </c>
      <c r="E21" s="1" t="s">
        <v>8</v>
      </c>
    </row>
    <row r="22" spans="2:5" ht="15.75" customHeight="1">
      <c r="B22" s="1" t="s">
        <v>44</v>
      </c>
      <c r="C22" s="3" t="s">
        <v>45</v>
      </c>
      <c r="D22" s="1" t="s">
        <v>44</v>
      </c>
      <c r="E22" s="1" t="s">
        <v>11</v>
      </c>
    </row>
    <row r="23" spans="2:5" ht="15.75" customHeight="1">
      <c r="B23" s="1" t="s">
        <v>46</v>
      </c>
      <c r="C23" s="3" t="s">
        <v>47</v>
      </c>
      <c r="D23" s="1" t="s">
        <v>48</v>
      </c>
      <c r="E23" s="1" t="s">
        <v>11</v>
      </c>
    </row>
    <row r="24" spans="2:5" ht="15.75" customHeight="1">
      <c r="B24" s="1" t="s">
        <v>49</v>
      </c>
      <c r="C24" s="3" t="s">
        <v>50</v>
      </c>
      <c r="D24" s="1" t="s">
        <v>51</v>
      </c>
      <c r="E24" s="1" t="s">
        <v>11</v>
      </c>
    </row>
    <row r="25" spans="2:5" ht="15.75" customHeight="1">
      <c r="B25" s="1" t="s">
        <v>52</v>
      </c>
      <c r="C25" s="3" t="s">
        <v>53</v>
      </c>
      <c r="D25" s="1" t="s">
        <v>54</v>
      </c>
      <c r="E25" s="1" t="s">
        <v>11</v>
      </c>
    </row>
    <row r="26" spans="2:5" ht="15.75" customHeight="1">
      <c r="B26" s="1" t="s">
        <v>55</v>
      </c>
      <c r="C26" s="3" t="s">
        <v>56</v>
      </c>
      <c r="D26" s="1" t="s">
        <v>57</v>
      </c>
      <c r="E26" s="1" t="s">
        <v>8</v>
      </c>
    </row>
    <row r="27" spans="2:5" ht="15.75" customHeight="1">
      <c r="B27" s="1" t="s">
        <v>58</v>
      </c>
      <c r="C27" s="3" t="s">
        <v>59</v>
      </c>
      <c r="D27" s="1" t="s">
        <v>60</v>
      </c>
      <c r="E27" s="1" t="s">
        <v>8</v>
      </c>
    </row>
    <row r="28" spans="2:5" ht="15.75" customHeight="1">
      <c r="B28" s="1" t="s">
        <v>61</v>
      </c>
      <c r="C28" s="3" t="s">
        <v>62</v>
      </c>
      <c r="D28" s="1" t="s">
        <v>63</v>
      </c>
      <c r="E28" s="1" t="s">
        <v>8</v>
      </c>
    </row>
    <row r="29" spans="2:5" ht="15.75" customHeight="1">
      <c r="B29" s="1" t="s">
        <v>64</v>
      </c>
      <c r="C29" s="3" t="s">
        <v>65</v>
      </c>
      <c r="D29" s="1" t="s">
        <v>66</v>
      </c>
      <c r="E29" s="1" t="s">
        <v>11</v>
      </c>
    </row>
    <row r="30" spans="2:5" ht="15.75" customHeight="1">
      <c r="B30" s="1" t="s">
        <v>67</v>
      </c>
      <c r="C30" s="3" t="s">
        <v>68</v>
      </c>
      <c r="D30" s="1" t="s">
        <v>67</v>
      </c>
      <c r="E30" s="1" t="s">
        <v>8</v>
      </c>
    </row>
    <row r="31" spans="2:5" ht="15.75" customHeight="1">
      <c r="B31" s="1" t="s">
        <v>69</v>
      </c>
      <c r="C31" s="1" t="s">
        <v>70</v>
      </c>
      <c r="D31" s="1" t="s">
        <v>71</v>
      </c>
      <c r="E31" s="1" t="s">
        <v>8</v>
      </c>
    </row>
    <row r="32" spans="2:5" ht="15.75" customHeight="1">
      <c r="B32" s="1"/>
      <c r="C32" s="1"/>
    </row>
    <row r="33" spans="2:3" ht="15.75" customHeight="1">
      <c r="B33" s="1"/>
      <c r="C33" s="1"/>
    </row>
    <row r="34" spans="2:3" ht="15.75" customHeight="1">
      <c r="B34" s="1"/>
      <c r="C34" s="1"/>
    </row>
    <row r="35" spans="2:3" ht="15.75" customHeight="1">
      <c r="B35" s="1"/>
      <c r="C35" s="1"/>
    </row>
    <row r="36" spans="2:3" ht="15.75" customHeight="1">
      <c r="B36" s="1"/>
      <c r="C36" s="1"/>
    </row>
    <row r="37" spans="2:3" ht="15.75" customHeight="1">
      <c r="B37" s="1"/>
      <c r="C37" s="1"/>
    </row>
    <row r="38" spans="2:3" ht="15.75" customHeight="1">
      <c r="B38" s="1"/>
      <c r="C38" s="1"/>
    </row>
    <row r="39" spans="2:3" ht="15.75" customHeight="1">
      <c r="B39" s="1"/>
      <c r="C39" s="1"/>
    </row>
    <row r="40" spans="2:3" ht="15.75" customHeight="1">
      <c r="B40" s="1"/>
      <c r="C40" s="1"/>
    </row>
    <row r="41" spans="2:3" ht="15.75" customHeight="1">
      <c r="B41" s="1"/>
      <c r="C41" s="1"/>
    </row>
    <row r="42" spans="2:3" ht="15.75" customHeight="1">
      <c r="B42" s="1"/>
      <c r="C42" s="1"/>
    </row>
    <row r="43" spans="2:3" ht="15.75" customHeight="1">
      <c r="B43" s="1"/>
      <c r="C43" s="1"/>
    </row>
    <row r="44" spans="2:3" ht="15.75" customHeight="1">
      <c r="B44" s="1"/>
      <c r="C44" s="1"/>
    </row>
    <row r="45" spans="2:3" ht="15.75" customHeight="1">
      <c r="B45" s="1"/>
      <c r="C45" s="1"/>
    </row>
    <row r="46" spans="2:3" ht="15.75" customHeight="1">
      <c r="B46" s="1"/>
      <c r="C46" s="1"/>
    </row>
    <row r="47" spans="2:3" ht="15.75" customHeight="1">
      <c r="B47" s="1"/>
      <c r="C47" s="1"/>
    </row>
    <row r="48" spans="2:3" ht="15.75" customHeight="1">
      <c r="B48" s="1"/>
      <c r="C48" s="1"/>
    </row>
    <row r="49" spans="2:3" ht="15.75" customHeight="1">
      <c r="B49" s="1"/>
      <c r="C49" s="1"/>
    </row>
    <row r="50" spans="2:3" ht="15.75" customHeight="1">
      <c r="B50" s="1"/>
      <c r="C50" s="1"/>
    </row>
    <row r="51" spans="2:3" ht="15.75" customHeight="1">
      <c r="B51" s="1"/>
      <c r="C51" s="1"/>
    </row>
    <row r="52" spans="2:3" ht="15.75" customHeight="1">
      <c r="B52" s="1"/>
      <c r="C52" s="1"/>
    </row>
    <row r="53" spans="2:3" ht="15.75" customHeight="1">
      <c r="B53" s="1"/>
      <c r="C53" s="1"/>
    </row>
    <row r="54" spans="2:3" ht="15.75" customHeight="1">
      <c r="B54" s="1"/>
      <c r="C54" s="1"/>
    </row>
    <row r="55" spans="2:3" ht="15.75" customHeight="1">
      <c r="B55" s="1"/>
      <c r="C55" s="1"/>
    </row>
    <row r="56" spans="2:3" ht="15.75" customHeight="1">
      <c r="B56" s="1"/>
      <c r="C56" s="1"/>
    </row>
    <row r="57" spans="2:3" ht="15.75" customHeight="1">
      <c r="B57" s="1"/>
      <c r="C57" s="1"/>
    </row>
    <row r="58" spans="2:3" ht="15.75" customHeight="1">
      <c r="B58" s="1"/>
      <c r="C58" s="1"/>
    </row>
    <row r="59" spans="2:3" ht="15.75" customHeight="1">
      <c r="B59" s="1"/>
      <c r="C59" s="1"/>
    </row>
    <row r="60" spans="2:3" ht="15.75" customHeight="1">
      <c r="B60" s="1"/>
      <c r="C60" s="1"/>
    </row>
    <row r="61" spans="2:3" ht="12.75">
      <c r="B61" s="1"/>
      <c r="C61" s="1"/>
    </row>
    <row r="62" spans="2:3" ht="12.75">
      <c r="B62" s="1"/>
      <c r="C62" s="1"/>
    </row>
    <row r="63" spans="2:3" ht="12.75">
      <c r="B63" s="1"/>
      <c r="C63" s="1"/>
    </row>
    <row r="64" spans="2:3" ht="12.75">
      <c r="B64" s="1"/>
      <c r="C64" s="1"/>
    </row>
    <row r="65" spans="2:3" ht="12.75">
      <c r="B65" s="1"/>
      <c r="C65" s="1"/>
    </row>
    <row r="66" spans="2:3" ht="12.75">
      <c r="B66" s="1"/>
      <c r="C66" s="1"/>
    </row>
    <row r="67" spans="2:3" ht="12.75">
      <c r="B67" s="1"/>
      <c r="C67" s="1"/>
    </row>
    <row r="68" spans="2:3" ht="12.75">
      <c r="B68" s="1"/>
      <c r="C68" s="1"/>
    </row>
    <row r="69" spans="2:3" ht="12.75">
      <c r="B69" s="1"/>
      <c r="C69" s="1"/>
    </row>
    <row r="70" spans="2:3" ht="12.75">
      <c r="B70" s="1"/>
      <c r="C70" s="1"/>
    </row>
    <row r="71" spans="2:3" ht="12.75">
      <c r="B71" s="1"/>
      <c r="C71" s="1"/>
    </row>
    <row r="72" spans="2:3" ht="12.75">
      <c r="B72" s="1"/>
      <c r="C72" s="1"/>
    </row>
    <row r="73" spans="2:3" ht="12.75">
      <c r="B73" s="1"/>
      <c r="C73" s="1"/>
    </row>
    <row r="74" spans="2:3" ht="12.75">
      <c r="B74" s="1"/>
      <c r="C74" s="1"/>
    </row>
    <row r="75" spans="2:3" ht="12.75">
      <c r="B75" s="1"/>
      <c r="C75" s="1"/>
    </row>
    <row r="76" spans="2:3" ht="12.75">
      <c r="B76" s="1"/>
      <c r="C76" s="1"/>
    </row>
    <row r="77" spans="2:3" ht="12.75">
      <c r="B77" s="1"/>
      <c r="C77" s="1"/>
    </row>
    <row r="78" spans="2:3" ht="12.75">
      <c r="B78" s="1"/>
      <c r="C78" s="1"/>
    </row>
    <row r="79" spans="2:3" ht="12.75">
      <c r="B79" s="1"/>
      <c r="C79" s="1"/>
    </row>
    <row r="80" spans="2:3" ht="12.75">
      <c r="B80" s="1"/>
      <c r="C80" s="1"/>
    </row>
    <row r="81" spans="2:3" ht="12.75">
      <c r="B81" s="1"/>
      <c r="C81" s="1"/>
    </row>
    <row r="82" spans="2:3" ht="12.75">
      <c r="B82" s="1"/>
      <c r="C82" s="1"/>
    </row>
    <row r="83" spans="2:3" ht="12.75">
      <c r="B83" s="1"/>
      <c r="C83" s="1"/>
    </row>
    <row r="84" spans="2:3" ht="12.75">
      <c r="B84" s="1"/>
      <c r="C84" s="1"/>
    </row>
    <row r="85" spans="2:3" ht="12.75">
      <c r="B85" s="1"/>
      <c r="C85" s="1"/>
    </row>
    <row r="86" spans="2:3" ht="12.75">
      <c r="B86" s="1"/>
      <c r="C86" s="1"/>
    </row>
    <row r="87" spans="2:3" ht="12.75">
      <c r="B87" s="1"/>
      <c r="C87" s="1"/>
    </row>
    <row r="88" spans="2:3" ht="12.75">
      <c r="B88" s="1"/>
      <c r="C88" s="1"/>
    </row>
    <row r="89" spans="2:3" ht="12.75">
      <c r="B89" s="1"/>
      <c r="C89" s="1"/>
    </row>
    <row r="90" spans="2:3" ht="12.75">
      <c r="B90" s="1"/>
      <c r="C90" s="1"/>
    </row>
    <row r="91" spans="2:3" ht="12.75">
      <c r="B91" s="1"/>
      <c r="C91" s="1"/>
    </row>
    <row r="92" spans="2:3" ht="12.75">
      <c r="B92" s="1"/>
      <c r="C92" s="1"/>
    </row>
    <row r="93" spans="2:3" ht="12.75">
      <c r="B93" s="1"/>
      <c r="C93" s="1"/>
    </row>
    <row r="94" spans="2:3" ht="12.75">
      <c r="B94" s="1"/>
      <c r="C94" s="1"/>
    </row>
    <row r="95" spans="2:3" ht="12.75">
      <c r="B95" s="1"/>
      <c r="C95" s="1"/>
    </row>
    <row r="96" spans="2:3" ht="12.75">
      <c r="B96" s="1"/>
      <c r="C96" s="1"/>
    </row>
    <row r="97" spans="2:3" ht="12.75">
      <c r="B97" s="1"/>
      <c r="C97" s="1"/>
    </row>
    <row r="98" spans="2:3" ht="12.75">
      <c r="B98" s="1"/>
      <c r="C98" s="1"/>
    </row>
    <row r="99" spans="2:3" ht="12.75">
      <c r="B99" s="1"/>
      <c r="C99" s="1"/>
    </row>
    <row r="100" spans="2:3" ht="12.75">
      <c r="B100" s="1"/>
      <c r="C100" s="1"/>
    </row>
    <row r="101" spans="2:3" ht="12.75">
      <c r="B101" s="1"/>
      <c r="C101" s="1"/>
    </row>
    <row r="102" spans="2:3" ht="12.75">
      <c r="B102" s="1"/>
      <c r="C102" s="1"/>
    </row>
    <row r="103" spans="2:3" ht="12.75">
      <c r="B103" s="1"/>
      <c r="C103" s="1"/>
    </row>
    <row r="104" spans="2:3" ht="12.75">
      <c r="B104" s="1"/>
      <c r="C104" s="1"/>
    </row>
    <row r="105" spans="2:3" ht="12.75">
      <c r="B105" s="1"/>
      <c r="C105" s="1"/>
    </row>
    <row r="106" spans="2:3" ht="12.75">
      <c r="B106" s="1"/>
      <c r="C106" s="1"/>
    </row>
    <row r="107" spans="2:3" ht="12.75">
      <c r="B107" s="1"/>
      <c r="C107" s="1"/>
    </row>
    <row r="108" spans="2:3" ht="12.75">
      <c r="B108" s="1"/>
      <c r="C108" s="1"/>
    </row>
    <row r="109" spans="2:3" ht="12.75">
      <c r="B109" s="1"/>
      <c r="C109" s="1"/>
    </row>
    <row r="110" spans="2:3" ht="12.75">
      <c r="B110" s="1"/>
      <c r="C110" s="1"/>
    </row>
    <row r="111" spans="2:3" ht="12.75">
      <c r="B111" s="1"/>
      <c r="C111" s="1"/>
    </row>
    <row r="112" spans="2:3" ht="12.75">
      <c r="B112" s="1"/>
      <c r="C112" s="1"/>
    </row>
    <row r="113" spans="2:3" ht="12.75">
      <c r="B113" s="1"/>
      <c r="C113" s="1"/>
    </row>
    <row r="114" spans="2:3" ht="12.75">
      <c r="B114" s="1"/>
      <c r="C114" s="1"/>
    </row>
    <row r="115" spans="2:3" ht="12.75">
      <c r="B115" s="1"/>
      <c r="C115" s="1"/>
    </row>
    <row r="116" spans="2:3" ht="12.75">
      <c r="B116" s="1"/>
      <c r="C116" s="1"/>
    </row>
    <row r="117" spans="2:3" ht="12.75">
      <c r="B117" s="1"/>
      <c r="C117" s="1"/>
    </row>
    <row r="118" spans="2:3" ht="12.75">
      <c r="B118" s="1"/>
      <c r="C118" s="1"/>
    </row>
    <row r="119" spans="2:3" ht="12.75">
      <c r="B119" s="1"/>
      <c r="C119" s="1"/>
    </row>
    <row r="120" spans="2:3" ht="12.75">
      <c r="B120" s="1"/>
      <c r="C120" s="1"/>
    </row>
    <row r="121" spans="2:3" ht="12.75">
      <c r="B121" s="1"/>
      <c r="C121" s="1"/>
    </row>
    <row r="122" spans="2:3" ht="12.75">
      <c r="B122" s="1"/>
      <c r="C122" s="1"/>
    </row>
    <row r="123" spans="2:3" ht="12.75">
      <c r="B123" s="1"/>
      <c r="C123" s="1"/>
    </row>
    <row r="124" spans="2:3" ht="12.75">
      <c r="B124" s="1"/>
      <c r="C124" s="1"/>
    </row>
    <row r="125" spans="2:3" ht="12.75">
      <c r="B125" s="1"/>
      <c r="C125" s="1"/>
    </row>
    <row r="126" spans="2:3" ht="12.75">
      <c r="B126" s="1"/>
      <c r="C126" s="1"/>
    </row>
    <row r="127" spans="2:3" ht="12.75">
      <c r="B127" s="1"/>
      <c r="C127" s="1"/>
    </row>
    <row r="128" spans="2:3" ht="12.75">
      <c r="B128" s="1"/>
      <c r="C128" s="1"/>
    </row>
    <row r="129" spans="2:3" ht="12.75">
      <c r="B129" s="1"/>
      <c r="C129" s="1"/>
    </row>
    <row r="130" spans="2:3" ht="12.75">
      <c r="B130" s="1"/>
      <c r="C130" s="1"/>
    </row>
    <row r="131" spans="2:3" ht="12.75">
      <c r="B131" s="1"/>
      <c r="C131" s="1"/>
    </row>
    <row r="132" spans="2:3" ht="12.75">
      <c r="B132" s="1"/>
      <c r="C132" s="1"/>
    </row>
    <row r="133" spans="2:3" ht="12.75">
      <c r="B133" s="1"/>
      <c r="C133" s="1"/>
    </row>
    <row r="134" spans="2:3" ht="12.75">
      <c r="B134" s="1"/>
      <c r="C134" s="1"/>
    </row>
    <row r="135" spans="2:3" ht="12.75">
      <c r="B135" s="1"/>
      <c r="C135" s="1"/>
    </row>
    <row r="136" spans="2:3" ht="12.75">
      <c r="B136" s="1"/>
      <c r="C136" s="1"/>
    </row>
    <row r="137" spans="2:3" ht="12.75">
      <c r="B137" s="1"/>
      <c r="C137" s="1"/>
    </row>
    <row r="138" spans="2:3" ht="12.75">
      <c r="B138" s="1"/>
      <c r="C138" s="1"/>
    </row>
    <row r="139" spans="2:3" ht="12.75">
      <c r="B139" s="1"/>
      <c r="C139" s="1"/>
    </row>
    <row r="140" spans="2:3" ht="12.75">
      <c r="B140" s="1"/>
      <c r="C140" s="1"/>
    </row>
    <row r="141" spans="2:3" ht="12.75">
      <c r="B141" s="1"/>
      <c r="C141" s="1"/>
    </row>
    <row r="142" spans="2:3" ht="12.75">
      <c r="B142" s="1"/>
      <c r="C142" s="1"/>
    </row>
    <row r="143" spans="2:3" ht="12.75">
      <c r="B143" s="1"/>
      <c r="C143" s="1"/>
    </row>
    <row r="144" spans="2:3" ht="12.75">
      <c r="B144" s="1"/>
      <c r="C144" s="1"/>
    </row>
    <row r="145" spans="2:3" ht="12.75">
      <c r="B145" s="1"/>
      <c r="C145" s="1"/>
    </row>
    <row r="146" spans="2:3" ht="12.75">
      <c r="B146" s="1"/>
      <c r="C146" s="1"/>
    </row>
    <row r="147" spans="2:3" ht="12.75">
      <c r="B147" s="1"/>
      <c r="C147" s="1"/>
    </row>
    <row r="148" spans="2:3" ht="12.75">
      <c r="B148" s="1"/>
      <c r="C148" s="1"/>
    </row>
    <row r="149" spans="2:3" ht="12.75">
      <c r="B149" s="1"/>
      <c r="C149" s="1"/>
    </row>
    <row r="150" spans="2:3" ht="12.75">
      <c r="B150" s="1"/>
      <c r="C150" s="1"/>
    </row>
    <row r="151" spans="2:3" ht="12.75">
      <c r="B151" s="1"/>
      <c r="C151" s="1"/>
    </row>
    <row r="152" spans="2:3" ht="12.75">
      <c r="B152" s="1"/>
      <c r="C152" s="1"/>
    </row>
    <row r="153" spans="2:3" ht="12.75">
      <c r="B153" s="1"/>
      <c r="C153" s="1"/>
    </row>
    <row r="154" spans="2:3" ht="12.75">
      <c r="B154" s="1"/>
      <c r="C154" s="1"/>
    </row>
    <row r="155" spans="2:3" ht="12.75">
      <c r="B155" s="1"/>
      <c r="C155" s="1"/>
    </row>
    <row r="156" spans="2:3" ht="12.75">
      <c r="B156" s="1"/>
      <c r="C156" s="1"/>
    </row>
    <row r="157" spans="2:3" ht="12.75">
      <c r="B157" s="1"/>
      <c r="C157" s="1"/>
    </row>
    <row r="158" spans="2:3" ht="12.75">
      <c r="B158" s="1"/>
      <c r="C158" s="1"/>
    </row>
    <row r="159" spans="2:3" ht="12.75">
      <c r="B159" s="1"/>
      <c r="C159" s="1"/>
    </row>
    <row r="160" spans="2:3" ht="12.75">
      <c r="B160" s="1"/>
      <c r="C160" s="1"/>
    </row>
    <row r="161" spans="2:3" ht="12.75">
      <c r="B161" s="1"/>
      <c r="C161" s="1"/>
    </row>
    <row r="162" spans="2:3" ht="12.75">
      <c r="B162" s="1"/>
      <c r="C162" s="1"/>
    </row>
    <row r="163" spans="2:3" ht="12.75">
      <c r="B163" s="1"/>
      <c r="C163" s="1"/>
    </row>
    <row r="164" spans="2:3" ht="12.75">
      <c r="B164" s="1"/>
      <c r="C164" s="1"/>
    </row>
    <row r="165" spans="2:3" ht="12.75">
      <c r="B165" s="1"/>
      <c r="C165" s="1"/>
    </row>
    <row r="166" spans="2:3" ht="12.75">
      <c r="B166" s="1"/>
      <c r="C166" s="1"/>
    </row>
    <row r="167" spans="2:3" ht="12.75">
      <c r="B167" s="1"/>
      <c r="C167" s="1"/>
    </row>
    <row r="168" spans="2:3" ht="12.75">
      <c r="B168" s="1"/>
      <c r="C168" s="1"/>
    </row>
    <row r="169" spans="2:3" ht="12.75">
      <c r="B169" s="1"/>
      <c r="C169" s="1"/>
    </row>
    <row r="170" spans="2:3" ht="12.75">
      <c r="B170" s="1"/>
      <c r="C170" s="1"/>
    </row>
    <row r="171" spans="2:3" ht="12.75">
      <c r="B171" s="1"/>
      <c r="C171" s="1"/>
    </row>
    <row r="172" spans="2:3" ht="12.75">
      <c r="B172" s="1"/>
      <c r="C172" s="1"/>
    </row>
    <row r="173" spans="2:3" ht="12.75">
      <c r="B173" s="1"/>
      <c r="C173" s="1"/>
    </row>
    <row r="174" spans="2:3" ht="12.75">
      <c r="B174" s="1"/>
      <c r="C174" s="1"/>
    </row>
    <row r="175" spans="2:3" ht="12.75">
      <c r="B175" s="1"/>
      <c r="C175" s="1"/>
    </row>
    <row r="176" spans="2:3" ht="12.75">
      <c r="B176" s="1"/>
      <c r="C176" s="1"/>
    </row>
    <row r="177" spans="2:3" ht="12.75">
      <c r="B177" s="1"/>
      <c r="C177" s="1"/>
    </row>
    <row r="178" spans="2:3" ht="12.75">
      <c r="B178" s="1"/>
      <c r="C178" s="1"/>
    </row>
    <row r="179" spans="2:3" ht="12.75">
      <c r="B179" s="1"/>
      <c r="C179" s="1"/>
    </row>
    <row r="180" spans="2:3" ht="12.75">
      <c r="B180" s="1"/>
      <c r="C180" s="1"/>
    </row>
    <row r="181" spans="2:3" ht="12.75">
      <c r="B181" s="1"/>
      <c r="C181" s="1"/>
    </row>
    <row r="182" spans="2:3" ht="12.75">
      <c r="B182" s="1"/>
      <c r="C182" s="1"/>
    </row>
    <row r="183" spans="2:3" ht="12.75">
      <c r="B183" s="1"/>
      <c r="C183" s="1"/>
    </row>
    <row r="184" spans="2:3" ht="12.75">
      <c r="B184" s="1"/>
      <c r="C184" s="1"/>
    </row>
    <row r="185" spans="2:3" ht="12.75">
      <c r="B185" s="1"/>
      <c r="C185" s="1"/>
    </row>
    <row r="186" spans="2:3" ht="12.75">
      <c r="B186" s="1"/>
      <c r="C186" s="1"/>
    </row>
    <row r="187" spans="2:3" ht="12.75">
      <c r="B187" s="1"/>
      <c r="C187" s="1"/>
    </row>
    <row r="188" spans="2:3" ht="12.75">
      <c r="B188" s="1"/>
      <c r="C188" s="1"/>
    </row>
    <row r="189" spans="2:3" ht="12.75">
      <c r="B189" s="1"/>
      <c r="C189" s="1"/>
    </row>
    <row r="190" spans="2:3" ht="12.75">
      <c r="B190" s="1"/>
      <c r="C190" s="1"/>
    </row>
    <row r="191" spans="2:3" ht="12.75">
      <c r="B191" s="1"/>
      <c r="C191" s="1"/>
    </row>
    <row r="192" spans="2:3" ht="12.75">
      <c r="B192" s="1"/>
      <c r="C192" s="1"/>
    </row>
    <row r="193" spans="2:3" ht="12.75">
      <c r="B193" s="1"/>
      <c r="C193" s="1"/>
    </row>
    <row r="194" spans="2:3" ht="12.75">
      <c r="B194" s="1"/>
      <c r="C194" s="1"/>
    </row>
    <row r="195" spans="2:3" ht="12.75">
      <c r="B195" s="1"/>
      <c r="C195" s="1"/>
    </row>
    <row r="196" spans="2:3" ht="12.75">
      <c r="B196" s="1"/>
      <c r="C196" s="1"/>
    </row>
    <row r="197" spans="2:3" ht="12.75">
      <c r="B197" s="1"/>
      <c r="C197" s="1"/>
    </row>
    <row r="198" spans="2:3" ht="12.75">
      <c r="B198" s="1"/>
      <c r="C198" s="1"/>
    </row>
    <row r="199" spans="2:3" ht="12.75">
      <c r="B199" s="1"/>
      <c r="C199" s="1"/>
    </row>
    <row r="200" spans="2:3" ht="12.75">
      <c r="B200" s="1"/>
      <c r="C200" s="1"/>
    </row>
    <row r="201" spans="2:3" ht="12.75">
      <c r="B201" s="1"/>
      <c r="C201" s="1"/>
    </row>
    <row r="202" spans="2:3" ht="12.75">
      <c r="B202" s="1"/>
      <c r="C202" s="1"/>
    </row>
    <row r="203" spans="2:3" ht="12.75">
      <c r="B203" s="1"/>
      <c r="C203" s="1"/>
    </row>
    <row r="204" spans="2:3" ht="12.75">
      <c r="B204" s="1"/>
      <c r="C204" s="1"/>
    </row>
    <row r="205" spans="2:3" ht="12.75">
      <c r="B205" s="1"/>
      <c r="C205" s="1"/>
    </row>
    <row r="206" spans="2:3" ht="12.75">
      <c r="B206" s="1"/>
      <c r="C206" s="1"/>
    </row>
    <row r="207" spans="2:3" ht="12.75">
      <c r="B207" s="1"/>
      <c r="C207" s="1"/>
    </row>
    <row r="208" spans="2:3" ht="12.75">
      <c r="B208" s="1"/>
      <c r="C208" s="1"/>
    </row>
    <row r="209" spans="2:3" ht="12.75">
      <c r="B209" s="1"/>
      <c r="C209" s="1"/>
    </row>
    <row r="210" spans="2:3" ht="12.75">
      <c r="B210" s="1"/>
      <c r="C210" s="1"/>
    </row>
    <row r="211" spans="2:3" ht="12.75">
      <c r="B211" s="1"/>
      <c r="C211" s="1"/>
    </row>
    <row r="212" spans="2:3" ht="12.75">
      <c r="B212" s="1"/>
      <c r="C212" s="1"/>
    </row>
    <row r="213" spans="2:3" ht="12.75">
      <c r="B213" s="1"/>
      <c r="C213" s="1"/>
    </row>
    <row r="214" spans="2:3" ht="12.75">
      <c r="B214" s="1"/>
      <c r="C214" s="1"/>
    </row>
    <row r="215" spans="2:3" ht="12.75">
      <c r="B215" s="1"/>
      <c r="C215" s="1"/>
    </row>
    <row r="216" spans="2:3" ht="12.75">
      <c r="B216" s="1"/>
      <c r="C216" s="1"/>
    </row>
    <row r="217" spans="2:3" ht="12.75">
      <c r="B217" s="1"/>
      <c r="C217" s="1"/>
    </row>
    <row r="218" spans="2:3" ht="12.75">
      <c r="B218" s="1"/>
      <c r="C218" s="1"/>
    </row>
    <row r="219" spans="2:3" ht="12.75">
      <c r="B219" s="1"/>
      <c r="C219" s="1"/>
    </row>
    <row r="220" spans="2:3" ht="12.75">
      <c r="B220" s="1"/>
      <c r="C220" s="1"/>
    </row>
    <row r="221" spans="2:3" ht="12.75">
      <c r="B221" s="1"/>
      <c r="C221" s="1"/>
    </row>
    <row r="222" spans="2:3" ht="12.75">
      <c r="B222" s="1"/>
      <c r="C222" s="1"/>
    </row>
    <row r="223" spans="2:3" ht="12.75">
      <c r="B223" s="1"/>
      <c r="C223" s="1"/>
    </row>
    <row r="224" spans="2:3" ht="12.75">
      <c r="B224" s="1"/>
      <c r="C224" s="1"/>
    </row>
    <row r="225" spans="2:3" ht="12.75">
      <c r="B225" s="1"/>
      <c r="C225" s="1"/>
    </row>
    <row r="226" spans="2:3" ht="12.75">
      <c r="B226" s="1"/>
      <c r="C226" s="1"/>
    </row>
    <row r="227" spans="2:3" ht="12.75">
      <c r="B227" s="1"/>
      <c r="C227" s="1"/>
    </row>
    <row r="228" spans="2:3" ht="12.75">
      <c r="B228" s="1"/>
      <c r="C228" s="1"/>
    </row>
    <row r="229" spans="2:3" ht="12.75">
      <c r="B229" s="1"/>
      <c r="C229" s="1"/>
    </row>
    <row r="230" spans="2:3" ht="12.75">
      <c r="B230" s="1"/>
      <c r="C230" s="1"/>
    </row>
    <row r="231" spans="2:3" ht="12.75">
      <c r="B231" s="1"/>
      <c r="C231" s="1"/>
    </row>
    <row r="232" spans="2:3" ht="12.75">
      <c r="B232" s="1"/>
      <c r="C232" s="1"/>
    </row>
    <row r="233" spans="2:3" ht="12.75">
      <c r="B233" s="1"/>
      <c r="C233" s="1"/>
    </row>
    <row r="234" spans="2:3" ht="12.75">
      <c r="B234" s="1"/>
      <c r="C234" s="1"/>
    </row>
    <row r="235" spans="2:3" ht="12.75">
      <c r="B235" s="1"/>
      <c r="C235" s="1"/>
    </row>
    <row r="236" spans="2:3" ht="12.75">
      <c r="B236" s="1"/>
      <c r="C236" s="1"/>
    </row>
    <row r="237" spans="2:3" ht="12.75">
      <c r="B237" s="1"/>
      <c r="C237" s="1"/>
    </row>
    <row r="238" spans="2:3" ht="12.75">
      <c r="B238" s="1"/>
      <c r="C238" s="1"/>
    </row>
    <row r="239" spans="2:3" ht="12.75">
      <c r="B239" s="1"/>
      <c r="C239" s="1"/>
    </row>
    <row r="240" spans="2:3" ht="12.75">
      <c r="B240" s="1"/>
      <c r="C240" s="1"/>
    </row>
    <row r="241" spans="2:3" ht="12.75">
      <c r="B241" s="1"/>
      <c r="C241" s="1"/>
    </row>
    <row r="242" spans="2:3" ht="12.75">
      <c r="B242" s="1"/>
      <c r="C242" s="1"/>
    </row>
    <row r="243" spans="2:3" ht="12.75">
      <c r="B243" s="1"/>
      <c r="C243" s="1"/>
    </row>
    <row r="244" spans="2:3" ht="12.75">
      <c r="B244" s="1"/>
      <c r="C244" s="1"/>
    </row>
    <row r="245" spans="2:3" ht="12.75">
      <c r="B245" s="1"/>
      <c r="C245" s="1"/>
    </row>
    <row r="246" spans="2:3" ht="12.75">
      <c r="B246" s="1"/>
      <c r="C246" s="1"/>
    </row>
    <row r="247" spans="2:3" ht="12.75">
      <c r="B247" s="1"/>
      <c r="C247" s="1"/>
    </row>
    <row r="248" spans="2:3" ht="12.75">
      <c r="B248" s="1"/>
      <c r="C248" s="1"/>
    </row>
    <row r="249" spans="2:3" ht="12.75">
      <c r="B249" s="1"/>
      <c r="C249" s="1"/>
    </row>
    <row r="250" spans="2:3" ht="12.75">
      <c r="B250" s="1"/>
      <c r="C250" s="1"/>
    </row>
    <row r="251" spans="2:3" ht="12.75">
      <c r="B251" s="1"/>
      <c r="C251" s="1"/>
    </row>
    <row r="252" spans="2:3" ht="12.75">
      <c r="B252" s="1"/>
      <c r="C252" s="1"/>
    </row>
    <row r="253" spans="2:3" ht="12.75">
      <c r="B253" s="1"/>
      <c r="C253" s="1"/>
    </row>
    <row r="254" spans="2:3" ht="12.75">
      <c r="B254" s="1"/>
      <c r="C254" s="1"/>
    </row>
    <row r="255" spans="2:3" ht="12.75">
      <c r="B255" s="1"/>
      <c r="C255" s="1"/>
    </row>
    <row r="256" spans="2:3" ht="12.75">
      <c r="B256" s="1"/>
      <c r="C256" s="1"/>
    </row>
    <row r="257" spans="2:3" ht="12.75">
      <c r="B257" s="1"/>
      <c r="C257" s="1"/>
    </row>
    <row r="258" spans="2:3" ht="12.75">
      <c r="B258" s="1"/>
      <c r="C258" s="1"/>
    </row>
    <row r="259" spans="2:3" ht="12.75">
      <c r="B259" s="1"/>
      <c r="C259" s="1"/>
    </row>
    <row r="260" spans="2:3" ht="12.75">
      <c r="B260" s="1"/>
      <c r="C260" s="1"/>
    </row>
    <row r="261" spans="2:3" ht="12.75">
      <c r="B261" s="1"/>
      <c r="C261" s="1"/>
    </row>
    <row r="262" spans="2:3" ht="12.75">
      <c r="B262" s="1"/>
      <c r="C262" s="1"/>
    </row>
    <row r="263" spans="2:3" ht="12.75">
      <c r="B263" s="1"/>
      <c r="C263" s="1"/>
    </row>
    <row r="264" spans="2:3" ht="12.75">
      <c r="B264" s="1"/>
      <c r="C264" s="1"/>
    </row>
    <row r="265" spans="2:3" ht="12.75">
      <c r="B265" s="1"/>
      <c r="C265" s="1"/>
    </row>
    <row r="266" spans="2:3" ht="12.75">
      <c r="B266" s="1"/>
      <c r="C266" s="1"/>
    </row>
    <row r="267" spans="2:3" ht="12.75">
      <c r="B267" s="1"/>
      <c r="C267" s="1"/>
    </row>
    <row r="268" spans="2:3" ht="12.75">
      <c r="B268" s="1"/>
      <c r="C268" s="1"/>
    </row>
    <row r="269" spans="2:3" ht="12.75">
      <c r="B269" s="1"/>
      <c r="C269" s="1"/>
    </row>
    <row r="270" spans="2:3" ht="12.75">
      <c r="B270" s="1"/>
      <c r="C270" s="1"/>
    </row>
    <row r="271" spans="2:3" ht="12.75">
      <c r="B271" s="1"/>
      <c r="C271" s="1"/>
    </row>
    <row r="272" spans="2:3" ht="12.75">
      <c r="B272" s="1"/>
      <c r="C272" s="1"/>
    </row>
    <row r="273" spans="2:3" ht="12.75">
      <c r="B273" s="1"/>
      <c r="C273" s="1"/>
    </row>
    <row r="274" spans="2:3" ht="12.75">
      <c r="B274" s="1"/>
      <c r="C274" s="1"/>
    </row>
    <row r="275" spans="2:3" ht="12.75">
      <c r="B275" s="1"/>
      <c r="C275" s="1"/>
    </row>
    <row r="276" spans="2:3" ht="12.75">
      <c r="B276" s="1"/>
      <c r="C276" s="1"/>
    </row>
    <row r="277" spans="2:3" ht="12.75">
      <c r="B277" s="1"/>
      <c r="C277" s="1"/>
    </row>
    <row r="278" spans="2:3" ht="12.75">
      <c r="B278" s="1"/>
      <c r="C278" s="1"/>
    </row>
    <row r="279" spans="2:3" ht="12.75">
      <c r="B279" s="1"/>
      <c r="C279" s="1"/>
    </row>
    <row r="280" spans="2:3" ht="12.75">
      <c r="B280" s="1"/>
      <c r="C280" s="1"/>
    </row>
    <row r="281" spans="2:3" ht="12.75">
      <c r="B281" s="1"/>
      <c r="C281" s="1"/>
    </row>
    <row r="282" spans="2:3" ht="12.75">
      <c r="B282" s="1"/>
      <c r="C282" s="1"/>
    </row>
    <row r="283" spans="2:3" ht="12.75">
      <c r="B283" s="1"/>
      <c r="C283" s="1"/>
    </row>
    <row r="284" spans="2:3" ht="12.75">
      <c r="B284" s="1"/>
      <c r="C284" s="1"/>
    </row>
    <row r="285" spans="2:3" ht="12.75">
      <c r="B285" s="1"/>
      <c r="C285" s="1"/>
    </row>
    <row r="286" spans="2:3" ht="12.75">
      <c r="B286" s="1"/>
      <c r="C286" s="1"/>
    </row>
    <row r="287" spans="2:3" ht="12.75">
      <c r="B287" s="1"/>
      <c r="C287" s="1"/>
    </row>
    <row r="288" spans="2:3" ht="12.75">
      <c r="B288" s="1"/>
      <c r="C288" s="1"/>
    </row>
    <row r="289" spans="2:3" ht="12.75">
      <c r="B289" s="1"/>
      <c r="C289" s="1"/>
    </row>
    <row r="290" spans="2:3" ht="12.75">
      <c r="B290" s="1"/>
      <c r="C290" s="1"/>
    </row>
    <row r="291" spans="2:3" ht="12.75">
      <c r="B291" s="1"/>
      <c r="C291" s="1"/>
    </row>
    <row r="292" spans="2:3" ht="12.75">
      <c r="B292" s="1"/>
      <c r="C292" s="1"/>
    </row>
    <row r="293" spans="2:3" ht="12.75">
      <c r="B293" s="1"/>
      <c r="C293" s="1"/>
    </row>
    <row r="294" spans="2:3" ht="12.75">
      <c r="B294" s="1"/>
      <c r="C294" s="1"/>
    </row>
    <row r="295" spans="2:3" ht="12.75">
      <c r="B295" s="1"/>
      <c r="C295" s="1"/>
    </row>
    <row r="296" spans="2:3" ht="12.75">
      <c r="B296" s="1"/>
      <c r="C296" s="1"/>
    </row>
    <row r="297" spans="2:3" ht="12.75">
      <c r="B297" s="1"/>
      <c r="C297" s="1"/>
    </row>
    <row r="298" spans="2:3" ht="12.75">
      <c r="B298" s="1"/>
      <c r="C298" s="1"/>
    </row>
    <row r="299" spans="2:3" ht="12.75">
      <c r="B299" s="1"/>
      <c r="C299" s="1"/>
    </row>
    <row r="300" spans="2:3" ht="12.75">
      <c r="B300" s="1"/>
      <c r="C300" s="1"/>
    </row>
    <row r="301" spans="2:3" ht="12.75">
      <c r="B301" s="1"/>
      <c r="C301" s="1"/>
    </row>
    <row r="302" spans="2:3" ht="12.75">
      <c r="B302" s="1"/>
      <c r="C302" s="1"/>
    </row>
    <row r="303" spans="2:3" ht="12.75">
      <c r="B303" s="1"/>
      <c r="C303" s="1"/>
    </row>
    <row r="304" spans="2:3" ht="12.75">
      <c r="B304" s="1"/>
      <c r="C304" s="1"/>
    </row>
    <row r="305" spans="2:3" ht="12.75">
      <c r="B305" s="1"/>
      <c r="C305" s="1"/>
    </row>
    <row r="306" spans="2:3" ht="12.75">
      <c r="B306" s="1"/>
      <c r="C306" s="1"/>
    </row>
    <row r="307" spans="2:3" ht="12.75">
      <c r="B307" s="1"/>
      <c r="C307" s="1"/>
    </row>
    <row r="308" spans="2:3" ht="12.75">
      <c r="B308" s="1"/>
      <c r="C308" s="1"/>
    </row>
    <row r="309" spans="2:3" ht="12.75">
      <c r="B309" s="1"/>
      <c r="C309" s="1"/>
    </row>
    <row r="310" spans="2:3" ht="12.75">
      <c r="B310" s="1"/>
      <c r="C310" s="1"/>
    </row>
    <row r="311" spans="2:3" ht="12.75">
      <c r="B311" s="1"/>
      <c r="C311" s="1"/>
    </row>
    <row r="312" spans="2:3" ht="12.75">
      <c r="B312" s="1"/>
      <c r="C312" s="1"/>
    </row>
    <row r="313" spans="2:3" ht="12.75">
      <c r="B313" s="1"/>
      <c r="C313" s="1"/>
    </row>
    <row r="314" spans="2:3" ht="12.75">
      <c r="B314" s="1"/>
      <c r="C314" s="1"/>
    </row>
    <row r="315" spans="2:3" ht="12.75">
      <c r="B315" s="1"/>
      <c r="C315" s="1"/>
    </row>
    <row r="316" spans="2:3" ht="12.75">
      <c r="B316" s="1"/>
      <c r="C316" s="1"/>
    </row>
    <row r="317" spans="2:3" ht="12.75">
      <c r="B317" s="1"/>
      <c r="C317" s="1"/>
    </row>
    <row r="318" spans="2:3" ht="12.75">
      <c r="B318" s="1"/>
      <c r="C318" s="1"/>
    </row>
    <row r="319" spans="2:3" ht="12.75">
      <c r="B319" s="1"/>
      <c r="C319" s="1"/>
    </row>
    <row r="320" spans="2:3" ht="12.75">
      <c r="B320" s="1"/>
      <c r="C320" s="1"/>
    </row>
    <row r="321" spans="2:3" ht="12.75">
      <c r="B321" s="1"/>
      <c r="C321" s="1"/>
    </row>
    <row r="322" spans="2:3" ht="12.75">
      <c r="B322" s="1"/>
      <c r="C322" s="1"/>
    </row>
    <row r="323" spans="2:3" ht="12.75">
      <c r="B323" s="1"/>
      <c r="C323" s="1"/>
    </row>
    <row r="324" spans="2:3" ht="12.75">
      <c r="B324" s="1"/>
      <c r="C324" s="1"/>
    </row>
    <row r="325" spans="2:3" ht="12.75">
      <c r="B325" s="1"/>
      <c r="C325" s="1"/>
    </row>
    <row r="326" spans="2:3" ht="12.75">
      <c r="B326" s="1"/>
      <c r="C326" s="1"/>
    </row>
    <row r="327" spans="2:3" ht="12.75">
      <c r="B327" s="1"/>
      <c r="C327" s="1"/>
    </row>
    <row r="328" spans="2:3" ht="12.75">
      <c r="B328" s="1"/>
      <c r="C328" s="1"/>
    </row>
    <row r="329" spans="2:3" ht="12.75">
      <c r="B329" s="1"/>
      <c r="C329" s="1"/>
    </row>
    <row r="330" spans="2:3" ht="12.75">
      <c r="B330" s="1"/>
      <c r="C330" s="1"/>
    </row>
    <row r="331" spans="2:3" ht="12.75">
      <c r="B331" s="1"/>
      <c r="C331" s="1"/>
    </row>
    <row r="332" spans="2:3" ht="12.75">
      <c r="B332" s="1"/>
      <c r="C332" s="1"/>
    </row>
    <row r="333" spans="2:3" ht="12.75">
      <c r="B333" s="1"/>
      <c r="C333" s="1"/>
    </row>
    <row r="334" spans="2:3" ht="12.75">
      <c r="B334" s="1"/>
      <c r="C334" s="1"/>
    </row>
    <row r="335" spans="2:3" ht="12.75">
      <c r="B335" s="1"/>
      <c r="C335" s="1"/>
    </row>
    <row r="336" spans="2:3" ht="12.75">
      <c r="B336" s="1"/>
      <c r="C336" s="1"/>
    </row>
    <row r="337" spans="2:3" ht="12.75">
      <c r="B337" s="1"/>
      <c r="C337" s="1"/>
    </row>
    <row r="338" spans="2:3" ht="12.75">
      <c r="B338" s="1"/>
      <c r="C338" s="1"/>
    </row>
    <row r="339" spans="2:3" ht="12.75">
      <c r="B339" s="1"/>
      <c r="C339" s="1"/>
    </row>
    <row r="340" spans="2:3" ht="12.75">
      <c r="B340" s="1"/>
      <c r="C340" s="1"/>
    </row>
    <row r="341" spans="2:3" ht="12.75">
      <c r="B341" s="1"/>
      <c r="C341" s="1"/>
    </row>
    <row r="342" spans="2:3" ht="12.75">
      <c r="B342" s="1"/>
      <c r="C342" s="1"/>
    </row>
    <row r="343" spans="2:3" ht="12.75">
      <c r="B343" s="1"/>
      <c r="C343" s="1"/>
    </row>
    <row r="344" spans="2:3" ht="12.75">
      <c r="B344" s="1"/>
      <c r="C344" s="1"/>
    </row>
    <row r="345" spans="2:3" ht="12.75">
      <c r="B345" s="1"/>
      <c r="C345" s="1"/>
    </row>
    <row r="346" spans="2:3" ht="12.75">
      <c r="B346" s="1"/>
      <c r="C346" s="1"/>
    </row>
    <row r="347" spans="2:3" ht="12.75">
      <c r="B347" s="1"/>
      <c r="C347" s="1"/>
    </row>
    <row r="348" spans="2:3" ht="12.75">
      <c r="B348" s="1"/>
      <c r="C348" s="1"/>
    </row>
    <row r="349" spans="2:3" ht="12.75">
      <c r="B349" s="1"/>
      <c r="C349" s="1"/>
    </row>
    <row r="350" spans="2:3" ht="12.75">
      <c r="B350" s="1"/>
      <c r="C350" s="1"/>
    </row>
    <row r="351" spans="2:3" ht="12.75">
      <c r="B351" s="1"/>
      <c r="C351" s="1"/>
    </row>
    <row r="352" spans="2:3" ht="12.75">
      <c r="B352" s="1"/>
      <c r="C352" s="1"/>
    </row>
    <row r="353" spans="2:3" ht="12.75">
      <c r="B353" s="1"/>
      <c r="C353" s="1"/>
    </row>
    <row r="354" spans="2:3" ht="12.75">
      <c r="B354" s="1"/>
      <c r="C354" s="1"/>
    </row>
    <row r="355" spans="2:3" ht="12.75">
      <c r="B355" s="1"/>
      <c r="C355" s="1"/>
    </row>
    <row r="356" spans="2:3" ht="12.75">
      <c r="B356" s="1"/>
      <c r="C356" s="1"/>
    </row>
    <row r="357" spans="2:3" ht="12.75">
      <c r="B357" s="1"/>
      <c r="C357" s="1"/>
    </row>
    <row r="358" spans="2:3" ht="12.75">
      <c r="B358" s="1"/>
      <c r="C358" s="1"/>
    </row>
    <row r="359" spans="2:3" ht="12.75">
      <c r="B359" s="1"/>
      <c r="C359" s="1"/>
    </row>
    <row r="360" spans="2:3" ht="12.75">
      <c r="B360" s="1"/>
      <c r="C360" s="1"/>
    </row>
    <row r="361" spans="2:3" ht="12.75">
      <c r="B361" s="1"/>
      <c r="C361" s="1"/>
    </row>
    <row r="362" spans="2:3" ht="12.75">
      <c r="B362" s="1"/>
      <c r="C362" s="1"/>
    </row>
    <row r="363" spans="2:3" ht="12.75">
      <c r="B363" s="1"/>
      <c r="C363" s="1"/>
    </row>
    <row r="364" spans="2:3" ht="12.75">
      <c r="B364" s="1"/>
      <c r="C364" s="1"/>
    </row>
    <row r="365" spans="2:3" ht="12.75">
      <c r="B365" s="1"/>
      <c r="C365" s="1"/>
    </row>
    <row r="366" spans="2:3" ht="12.75">
      <c r="B366" s="1"/>
      <c r="C366" s="1"/>
    </row>
    <row r="367" spans="2:3" ht="12.75">
      <c r="B367" s="1"/>
      <c r="C367" s="1"/>
    </row>
    <row r="368" spans="2:3" ht="12.75">
      <c r="B368" s="1"/>
      <c r="C368" s="1"/>
    </row>
    <row r="369" spans="2:3" ht="12.75">
      <c r="B369" s="1"/>
      <c r="C369" s="1"/>
    </row>
    <row r="370" spans="2:3" ht="12.75">
      <c r="B370" s="1"/>
      <c r="C370" s="1"/>
    </row>
    <row r="371" spans="2:3" ht="12.75">
      <c r="B371" s="1"/>
      <c r="C371" s="1"/>
    </row>
    <row r="372" spans="2:3" ht="12.75">
      <c r="B372" s="1"/>
      <c r="C372" s="1"/>
    </row>
    <row r="373" spans="2:3" ht="12.75">
      <c r="B373" s="1"/>
      <c r="C373" s="1"/>
    </row>
    <row r="374" spans="2:3" ht="12.75">
      <c r="B374" s="1"/>
      <c r="C374" s="1"/>
    </row>
    <row r="375" spans="2:3" ht="12.75">
      <c r="B375" s="1"/>
      <c r="C375" s="1"/>
    </row>
    <row r="376" spans="2:3" ht="12.75">
      <c r="B376" s="1"/>
      <c r="C376" s="1"/>
    </row>
    <row r="377" spans="2:3" ht="12.75">
      <c r="B377" s="1"/>
      <c r="C377" s="1"/>
    </row>
    <row r="378" spans="2:3" ht="12.75">
      <c r="B378" s="1"/>
      <c r="C378" s="1"/>
    </row>
    <row r="379" spans="2:3" ht="12.75">
      <c r="B379" s="1"/>
      <c r="C379" s="1"/>
    </row>
    <row r="380" spans="2:3" ht="12.75">
      <c r="B380" s="1"/>
      <c r="C380" s="1"/>
    </row>
    <row r="381" spans="2:3" ht="12.75">
      <c r="B381" s="1"/>
      <c r="C381" s="1"/>
    </row>
    <row r="382" spans="2:3" ht="12.75">
      <c r="B382" s="1"/>
      <c r="C382" s="1"/>
    </row>
    <row r="383" spans="2:3" ht="12.75">
      <c r="B383" s="1"/>
      <c r="C383" s="1"/>
    </row>
    <row r="384" spans="2:3" ht="12.75">
      <c r="B384" s="1"/>
      <c r="C384" s="1"/>
    </row>
    <row r="385" spans="2:3" ht="12.75">
      <c r="B385" s="1"/>
      <c r="C385" s="1"/>
    </row>
    <row r="386" spans="2:3" ht="12.75">
      <c r="B386" s="1"/>
      <c r="C386" s="1"/>
    </row>
    <row r="387" spans="2:3" ht="12.75">
      <c r="B387" s="1"/>
      <c r="C387" s="1"/>
    </row>
    <row r="388" spans="2:3" ht="12.75">
      <c r="B388" s="1"/>
      <c r="C388" s="1"/>
    </row>
    <row r="389" spans="2:3" ht="12.75">
      <c r="B389" s="1"/>
      <c r="C389" s="1"/>
    </row>
    <row r="390" spans="2:3" ht="12.75">
      <c r="B390" s="1"/>
      <c r="C390" s="1"/>
    </row>
    <row r="391" spans="2:3" ht="12.75">
      <c r="B391" s="1"/>
      <c r="C391" s="1"/>
    </row>
    <row r="392" spans="2:3" ht="12.75">
      <c r="B392" s="1"/>
      <c r="C392" s="1"/>
    </row>
    <row r="393" spans="2:3" ht="12.75">
      <c r="B393" s="1"/>
      <c r="C393" s="1"/>
    </row>
    <row r="394" spans="2:3" ht="12.75">
      <c r="B394" s="1"/>
      <c r="C394" s="1"/>
    </row>
    <row r="395" spans="2:3" ht="12.75">
      <c r="B395" s="1"/>
      <c r="C395" s="1"/>
    </row>
    <row r="396" spans="2:3" ht="12.75">
      <c r="B396" s="1"/>
      <c r="C396" s="1"/>
    </row>
    <row r="397" spans="2:3" ht="12.75">
      <c r="B397" s="1"/>
      <c r="C397" s="1"/>
    </row>
    <row r="398" spans="2:3" ht="12.75">
      <c r="B398" s="1"/>
      <c r="C398" s="1"/>
    </row>
    <row r="399" spans="2:3" ht="12.75">
      <c r="B399" s="1"/>
      <c r="C399" s="1"/>
    </row>
    <row r="400" spans="2:3" ht="12.75">
      <c r="B400" s="1"/>
      <c r="C400" s="1"/>
    </row>
    <row r="401" spans="2:3" ht="12.75">
      <c r="B401" s="1"/>
      <c r="C401" s="1"/>
    </row>
    <row r="402" spans="2:3" ht="12.75">
      <c r="B402" s="1"/>
      <c r="C402" s="1"/>
    </row>
    <row r="403" spans="2:3" ht="12.75">
      <c r="B403" s="1"/>
      <c r="C403" s="1"/>
    </row>
    <row r="404" spans="2:3" ht="12.75">
      <c r="B404" s="1"/>
      <c r="C404" s="1"/>
    </row>
    <row r="405" spans="2:3" ht="12.75">
      <c r="B405" s="1"/>
      <c r="C405" s="1"/>
    </row>
    <row r="406" spans="2:3" ht="12.75">
      <c r="B406" s="1"/>
      <c r="C406" s="1"/>
    </row>
    <row r="407" spans="2:3" ht="12.75">
      <c r="B407" s="1"/>
      <c r="C407" s="1"/>
    </row>
    <row r="408" spans="2:3" ht="12.75">
      <c r="B408" s="1"/>
      <c r="C408" s="1"/>
    </row>
    <row r="409" spans="2:3" ht="12.75">
      <c r="B409" s="1"/>
      <c r="C409" s="1"/>
    </row>
    <row r="410" spans="2:3" ht="12.75">
      <c r="B410" s="1"/>
      <c r="C410" s="1"/>
    </row>
    <row r="411" spans="2:3" ht="12.75">
      <c r="B411" s="1"/>
      <c r="C411" s="1"/>
    </row>
    <row r="412" spans="2:3" ht="12.75">
      <c r="B412" s="1"/>
      <c r="C412" s="1"/>
    </row>
    <row r="413" spans="2:3" ht="12.75">
      <c r="B413" s="1"/>
      <c r="C413" s="1"/>
    </row>
    <row r="414" spans="2:3" ht="12.75">
      <c r="B414" s="1"/>
      <c r="C414" s="1"/>
    </row>
    <row r="415" spans="2:3" ht="12.75">
      <c r="B415" s="1"/>
      <c r="C415" s="1"/>
    </row>
    <row r="416" spans="2:3" ht="12.75">
      <c r="B416" s="1"/>
      <c r="C416" s="1"/>
    </row>
    <row r="417" spans="2:3" ht="12.75">
      <c r="B417" s="1"/>
      <c r="C417" s="1"/>
    </row>
    <row r="418" spans="2:3" ht="12.75">
      <c r="B418" s="1"/>
      <c r="C418" s="1"/>
    </row>
    <row r="419" spans="2:3" ht="12.75">
      <c r="B419" s="1"/>
      <c r="C419" s="1"/>
    </row>
    <row r="420" spans="2:3" ht="12.75">
      <c r="B420" s="1"/>
      <c r="C420" s="1"/>
    </row>
    <row r="421" spans="2:3" ht="12.75">
      <c r="B421" s="1"/>
      <c r="C421" s="1"/>
    </row>
    <row r="422" spans="2:3" ht="12.75">
      <c r="B422" s="1"/>
      <c r="C422" s="1"/>
    </row>
    <row r="423" spans="2:3" ht="12.75">
      <c r="B423" s="1"/>
      <c r="C423" s="1"/>
    </row>
    <row r="424" spans="2:3" ht="12.75">
      <c r="B424" s="1"/>
      <c r="C424" s="1"/>
    </row>
    <row r="425" spans="2:3" ht="12.75">
      <c r="B425" s="1"/>
      <c r="C425" s="1"/>
    </row>
    <row r="426" spans="2:3" ht="12.75">
      <c r="B426" s="1"/>
      <c r="C426" s="1"/>
    </row>
    <row r="427" spans="2:3" ht="12.75">
      <c r="B427" s="1"/>
      <c r="C427" s="1"/>
    </row>
    <row r="428" spans="2:3" ht="12.75">
      <c r="B428" s="1"/>
      <c r="C428" s="1"/>
    </row>
    <row r="429" spans="2:3" ht="12.75">
      <c r="B429" s="1"/>
      <c r="C429" s="1"/>
    </row>
    <row r="430" spans="2:3" ht="12.75">
      <c r="B430" s="1"/>
      <c r="C430" s="1"/>
    </row>
    <row r="431" spans="2:3" ht="12.75">
      <c r="B431" s="1"/>
      <c r="C431" s="1"/>
    </row>
    <row r="432" spans="2:3" ht="12.75">
      <c r="B432" s="1"/>
      <c r="C432" s="1"/>
    </row>
    <row r="433" spans="2:3" ht="12.75">
      <c r="B433" s="1"/>
      <c r="C433" s="1"/>
    </row>
    <row r="434" spans="2:3" ht="12.75">
      <c r="B434" s="1"/>
      <c r="C434" s="1"/>
    </row>
    <row r="435" spans="2:3" ht="12.75">
      <c r="B435" s="1"/>
      <c r="C435" s="1"/>
    </row>
    <row r="436" spans="2:3" ht="12.75">
      <c r="B436" s="1"/>
      <c r="C436" s="1"/>
    </row>
    <row r="437" spans="2:3" ht="12.75">
      <c r="B437" s="1"/>
      <c r="C437" s="1"/>
    </row>
    <row r="438" spans="2:3" ht="12.75">
      <c r="B438" s="1"/>
      <c r="C438" s="1"/>
    </row>
    <row r="439" spans="2:3" ht="12.75">
      <c r="B439" s="1"/>
      <c r="C439" s="1"/>
    </row>
    <row r="440" spans="2:3" ht="12.75">
      <c r="B440" s="1"/>
      <c r="C440" s="1"/>
    </row>
    <row r="441" spans="2:3" ht="12.75">
      <c r="B441" s="1"/>
      <c r="C441" s="1"/>
    </row>
    <row r="442" spans="2:3" ht="12.75">
      <c r="B442" s="1"/>
      <c r="C442" s="1"/>
    </row>
    <row r="443" spans="2:3" ht="12.75">
      <c r="B443" s="1"/>
      <c r="C443" s="1"/>
    </row>
    <row r="444" spans="2:3" ht="12.75">
      <c r="B444" s="1"/>
      <c r="C444" s="1"/>
    </row>
    <row r="445" spans="2:3" ht="12.75">
      <c r="B445" s="1"/>
      <c r="C445" s="1"/>
    </row>
    <row r="446" spans="2:3" ht="12.75">
      <c r="B446" s="1"/>
      <c r="C446" s="1"/>
    </row>
    <row r="447" spans="2:3" ht="12.75">
      <c r="B447" s="1"/>
      <c r="C447" s="1"/>
    </row>
    <row r="448" spans="2:3" ht="12.75">
      <c r="B448" s="1"/>
      <c r="C448" s="1"/>
    </row>
    <row r="449" spans="2:3" ht="12.75">
      <c r="B449" s="1"/>
      <c r="C449" s="1"/>
    </row>
    <row r="450" spans="2:3" ht="12.75">
      <c r="B450" s="1"/>
      <c r="C450" s="1"/>
    </row>
    <row r="451" spans="2:3" ht="12.75">
      <c r="B451" s="1"/>
      <c r="C451" s="1"/>
    </row>
    <row r="452" spans="2:3" ht="12.75">
      <c r="B452" s="1"/>
      <c r="C452" s="1"/>
    </row>
    <row r="453" spans="2:3" ht="12.75">
      <c r="B453" s="1"/>
      <c r="C453" s="1"/>
    </row>
    <row r="454" spans="2:3" ht="12.75">
      <c r="B454" s="1"/>
      <c r="C454" s="1"/>
    </row>
    <row r="455" spans="2:3" ht="12.75">
      <c r="B455" s="1"/>
      <c r="C455" s="1"/>
    </row>
    <row r="456" spans="2:3" ht="12.75">
      <c r="B456" s="1"/>
      <c r="C456" s="1"/>
    </row>
    <row r="457" spans="2:3" ht="12.75">
      <c r="B457" s="1"/>
      <c r="C457" s="1"/>
    </row>
    <row r="458" spans="2:3" ht="12.75">
      <c r="B458" s="1"/>
      <c r="C458" s="1"/>
    </row>
    <row r="459" spans="2:3" ht="12.75">
      <c r="B459" s="1"/>
      <c r="C459" s="1"/>
    </row>
    <row r="460" spans="2:3" ht="12.75">
      <c r="B460" s="1"/>
      <c r="C460" s="1"/>
    </row>
    <row r="461" spans="2:3" ht="12.75">
      <c r="B461" s="1"/>
      <c r="C461" s="1"/>
    </row>
    <row r="462" spans="2:3" ht="12.75">
      <c r="B462" s="1"/>
      <c r="C462" s="1"/>
    </row>
    <row r="463" spans="2:3" ht="12.75">
      <c r="B463" s="1"/>
      <c r="C463" s="1"/>
    </row>
    <row r="464" spans="2:3" ht="12.75">
      <c r="B464" s="1"/>
      <c r="C464" s="1"/>
    </row>
    <row r="465" spans="2:3" ht="12.75">
      <c r="B465" s="1"/>
      <c r="C465" s="1"/>
    </row>
    <row r="466" spans="2:3" ht="12.75">
      <c r="B466" s="1"/>
      <c r="C466" s="1"/>
    </row>
    <row r="467" spans="2:3" ht="12.75">
      <c r="B467" s="1"/>
      <c r="C467" s="1"/>
    </row>
    <row r="468" spans="2:3" ht="12.75">
      <c r="B468" s="1"/>
      <c r="C468" s="1"/>
    </row>
    <row r="469" spans="2:3" ht="12.75">
      <c r="B469" s="1"/>
      <c r="C469" s="1"/>
    </row>
    <row r="470" spans="2:3" ht="12.75">
      <c r="B470" s="1"/>
      <c r="C470" s="1"/>
    </row>
    <row r="471" spans="2:3" ht="12.75">
      <c r="B471" s="1"/>
      <c r="C471" s="1"/>
    </row>
    <row r="472" spans="2:3" ht="12.75">
      <c r="B472" s="1"/>
      <c r="C472" s="1"/>
    </row>
    <row r="473" spans="2:3" ht="12.75">
      <c r="B473" s="1"/>
      <c r="C473" s="1"/>
    </row>
    <row r="474" spans="2:3" ht="12.75">
      <c r="B474" s="1"/>
      <c r="C474" s="1"/>
    </row>
    <row r="475" spans="2:3" ht="12.75">
      <c r="B475" s="1"/>
      <c r="C475" s="1"/>
    </row>
    <row r="476" spans="2:3" ht="12.75">
      <c r="B476" s="1"/>
      <c r="C476" s="1"/>
    </row>
    <row r="477" spans="2:3" ht="12.75">
      <c r="B477" s="1"/>
      <c r="C477" s="1"/>
    </row>
    <row r="478" spans="2:3" ht="12.75">
      <c r="B478" s="1"/>
      <c r="C478" s="1"/>
    </row>
    <row r="479" spans="2:3" ht="12.75">
      <c r="B479" s="1"/>
      <c r="C479" s="1"/>
    </row>
    <row r="480" spans="2:3" ht="12.75">
      <c r="B480" s="1"/>
      <c r="C480" s="1"/>
    </row>
    <row r="481" spans="2:3" ht="12.75">
      <c r="B481" s="1"/>
      <c r="C481" s="1"/>
    </row>
    <row r="482" spans="2:3" ht="12.75">
      <c r="B482" s="1"/>
      <c r="C482" s="1"/>
    </row>
    <row r="483" spans="2:3" ht="12.75">
      <c r="B483" s="1"/>
      <c r="C483" s="1"/>
    </row>
    <row r="484" spans="2:3" ht="12.75">
      <c r="B484" s="1"/>
      <c r="C484" s="1"/>
    </row>
    <row r="485" spans="2:3" ht="12.75">
      <c r="B485" s="1"/>
      <c r="C485" s="1"/>
    </row>
    <row r="486" spans="2:3" ht="12.75">
      <c r="B486" s="1"/>
      <c r="C486" s="1"/>
    </row>
    <row r="487" spans="2:3" ht="12.75">
      <c r="B487" s="1"/>
      <c r="C487" s="1"/>
    </row>
    <row r="488" spans="2:3" ht="12.75">
      <c r="B488" s="1"/>
      <c r="C488" s="1"/>
    </row>
    <row r="489" spans="2:3" ht="12.75">
      <c r="B489" s="1"/>
      <c r="C489" s="1"/>
    </row>
    <row r="490" spans="2:3" ht="12.75">
      <c r="B490" s="1"/>
      <c r="C490" s="1"/>
    </row>
    <row r="491" spans="2:3" ht="12.75">
      <c r="B491" s="1"/>
      <c r="C491" s="1"/>
    </row>
    <row r="492" spans="2:3" ht="12.75">
      <c r="B492" s="1"/>
      <c r="C492" s="1"/>
    </row>
    <row r="493" spans="2:3" ht="12.75">
      <c r="B493" s="1"/>
      <c r="C493" s="1"/>
    </row>
    <row r="494" spans="2:3" ht="12.75">
      <c r="B494" s="1"/>
      <c r="C494" s="1"/>
    </row>
    <row r="495" spans="2:3" ht="12.75">
      <c r="B495" s="1"/>
      <c r="C495" s="1"/>
    </row>
    <row r="496" spans="2:3" ht="12.75">
      <c r="B496" s="1"/>
      <c r="C496" s="1"/>
    </row>
    <row r="497" spans="2:3" ht="12.75">
      <c r="B497" s="1"/>
      <c r="C497" s="1"/>
    </row>
    <row r="498" spans="2:3" ht="12.75">
      <c r="B498" s="1"/>
      <c r="C498" s="1"/>
    </row>
    <row r="499" spans="2:3" ht="12.75">
      <c r="B499" s="1"/>
      <c r="C499" s="1"/>
    </row>
    <row r="500" spans="2:3" ht="12.75">
      <c r="B500" s="1"/>
      <c r="C500" s="1"/>
    </row>
    <row r="501" spans="2:3" ht="12.75">
      <c r="B501" s="1"/>
      <c r="C501" s="1"/>
    </row>
    <row r="502" spans="2:3" ht="12.75">
      <c r="B502" s="1"/>
      <c r="C502" s="1"/>
    </row>
    <row r="503" spans="2:3" ht="12.75">
      <c r="B503" s="1"/>
      <c r="C503" s="1"/>
    </row>
    <row r="504" spans="2:3" ht="12.75">
      <c r="B504" s="1"/>
      <c r="C504" s="1"/>
    </row>
    <row r="505" spans="2:3" ht="12.75">
      <c r="B505" s="1"/>
      <c r="C505" s="1"/>
    </row>
    <row r="506" spans="2:3" ht="12.75">
      <c r="B506" s="1"/>
      <c r="C506" s="1"/>
    </row>
    <row r="507" spans="2:3" ht="12.75">
      <c r="B507" s="1"/>
      <c r="C507" s="1"/>
    </row>
    <row r="508" spans="2:3" ht="12.75">
      <c r="B508" s="1"/>
      <c r="C508" s="1"/>
    </row>
    <row r="509" spans="2:3" ht="12.75">
      <c r="B509" s="1"/>
      <c r="C509" s="1"/>
    </row>
    <row r="510" spans="2:3" ht="12.75">
      <c r="B510" s="1"/>
      <c r="C510" s="1"/>
    </row>
    <row r="511" spans="2:3" ht="12.75">
      <c r="B511" s="1"/>
      <c r="C511" s="1"/>
    </row>
    <row r="512" spans="2:3" ht="12.75">
      <c r="B512" s="1"/>
      <c r="C512" s="1"/>
    </row>
    <row r="513" spans="2:3" ht="12.75">
      <c r="B513" s="1"/>
      <c r="C513" s="1"/>
    </row>
    <row r="514" spans="2:3" ht="12.75">
      <c r="B514" s="1"/>
      <c r="C514" s="1"/>
    </row>
    <row r="515" spans="2:3" ht="12.75">
      <c r="B515" s="1"/>
      <c r="C515" s="1"/>
    </row>
    <row r="516" spans="2:3" ht="12.75">
      <c r="B516" s="1"/>
      <c r="C516" s="1"/>
    </row>
    <row r="517" spans="2:3" ht="12.75">
      <c r="B517" s="1"/>
      <c r="C517" s="1"/>
    </row>
    <row r="518" spans="2:3" ht="12.75">
      <c r="B518" s="1"/>
      <c r="C518" s="1"/>
    </row>
    <row r="519" spans="2:3" ht="12.75">
      <c r="B519" s="1"/>
      <c r="C519" s="1"/>
    </row>
    <row r="520" spans="2:3" ht="12.75">
      <c r="B520" s="1"/>
      <c r="C520" s="1"/>
    </row>
    <row r="521" spans="2:3" ht="12.75">
      <c r="B521" s="1"/>
      <c r="C521" s="1"/>
    </row>
    <row r="522" spans="2:3" ht="12.75">
      <c r="B522" s="1"/>
      <c r="C522" s="1"/>
    </row>
    <row r="523" spans="2:3" ht="12.75">
      <c r="B523" s="1"/>
      <c r="C523" s="1"/>
    </row>
    <row r="524" spans="2:3" ht="12.75">
      <c r="B524" s="1"/>
      <c r="C524" s="1"/>
    </row>
    <row r="525" spans="2:3" ht="12.75">
      <c r="B525" s="1"/>
      <c r="C525" s="1"/>
    </row>
    <row r="526" spans="2:3" ht="12.75">
      <c r="B526" s="1"/>
      <c r="C526" s="1"/>
    </row>
    <row r="527" spans="2:3" ht="12.75">
      <c r="B527" s="1"/>
      <c r="C527" s="1"/>
    </row>
    <row r="528" spans="2:3" ht="12.75">
      <c r="B528" s="1"/>
      <c r="C528" s="1"/>
    </row>
    <row r="529" spans="2:3" ht="12.75">
      <c r="B529" s="1"/>
      <c r="C529" s="1"/>
    </row>
    <row r="530" spans="2:3" ht="12.75">
      <c r="B530" s="1"/>
      <c r="C530" s="1"/>
    </row>
    <row r="531" spans="2:3" ht="12.75">
      <c r="B531" s="1"/>
      <c r="C531" s="1"/>
    </row>
    <row r="532" spans="2:3" ht="12.75">
      <c r="B532" s="1"/>
      <c r="C532" s="1"/>
    </row>
    <row r="533" spans="2:3" ht="12.75">
      <c r="B533" s="1"/>
      <c r="C533" s="1"/>
    </row>
    <row r="534" spans="2:3" ht="12.75">
      <c r="B534" s="1"/>
      <c r="C534" s="1"/>
    </row>
    <row r="535" spans="2:3" ht="12.75">
      <c r="B535" s="1"/>
      <c r="C535" s="1"/>
    </row>
    <row r="536" spans="2:3" ht="12.75">
      <c r="B536" s="1"/>
      <c r="C536" s="1"/>
    </row>
    <row r="537" spans="2:3" ht="12.75">
      <c r="B537" s="1"/>
      <c r="C537" s="1"/>
    </row>
    <row r="538" spans="2:3" ht="12.75">
      <c r="B538" s="1"/>
      <c r="C538" s="1"/>
    </row>
    <row r="539" spans="2:3" ht="12.75">
      <c r="B539" s="1"/>
      <c r="C539" s="1"/>
    </row>
    <row r="540" spans="2:3" ht="12.75">
      <c r="B540" s="1"/>
      <c r="C540" s="1"/>
    </row>
    <row r="541" spans="2:3" ht="12.75">
      <c r="B541" s="1"/>
      <c r="C541" s="1"/>
    </row>
    <row r="542" spans="2:3" ht="12.75">
      <c r="B542" s="1"/>
      <c r="C542" s="1"/>
    </row>
    <row r="543" spans="2:3" ht="12.75">
      <c r="B543" s="1"/>
      <c r="C543" s="1"/>
    </row>
    <row r="544" spans="2:3" ht="12.75">
      <c r="B544" s="1"/>
      <c r="C544" s="1"/>
    </row>
    <row r="545" spans="2:3" ht="12.75">
      <c r="B545" s="1"/>
      <c r="C545" s="1"/>
    </row>
    <row r="546" spans="2:3" ht="12.75">
      <c r="B546" s="1"/>
      <c r="C546" s="1"/>
    </row>
    <row r="547" spans="2:3" ht="12.75">
      <c r="B547" s="1"/>
      <c r="C547" s="1"/>
    </row>
    <row r="548" spans="2:3" ht="12.75">
      <c r="B548" s="1"/>
      <c r="C548" s="1"/>
    </row>
    <row r="549" spans="2:3" ht="12.75">
      <c r="B549" s="1"/>
      <c r="C549" s="1"/>
    </row>
    <row r="550" spans="2:3" ht="12.75">
      <c r="B550" s="1"/>
      <c r="C550" s="1"/>
    </row>
    <row r="551" spans="2:3" ht="12.75">
      <c r="B551" s="1"/>
      <c r="C551" s="1"/>
    </row>
    <row r="552" spans="2:3" ht="12.75">
      <c r="B552" s="1"/>
      <c r="C552" s="1"/>
    </row>
    <row r="553" spans="2:3" ht="12.75">
      <c r="B553" s="1"/>
      <c r="C553" s="1"/>
    </row>
    <row r="554" spans="2:3" ht="12.75">
      <c r="B554" s="1"/>
      <c r="C554" s="1"/>
    </row>
    <row r="555" spans="2:3" ht="12.75">
      <c r="B555" s="1"/>
      <c r="C555" s="1"/>
    </row>
    <row r="556" spans="2:3" ht="12.75">
      <c r="B556" s="1"/>
      <c r="C556" s="1"/>
    </row>
    <row r="557" spans="2:3" ht="12.75">
      <c r="B557" s="1"/>
      <c r="C557" s="1"/>
    </row>
    <row r="558" spans="2:3" ht="12.75">
      <c r="B558" s="1"/>
      <c r="C558" s="1"/>
    </row>
    <row r="559" spans="2:3" ht="12.75">
      <c r="B559" s="1"/>
      <c r="C559" s="1"/>
    </row>
    <row r="560" spans="2:3" ht="12.75">
      <c r="B560" s="1"/>
      <c r="C560" s="1"/>
    </row>
    <row r="561" spans="2:3" ht="12.75">
      <c r="B561" s="1"/>
      <c r="C561" s="1"/>
    </row>
    <row r="562" spans="2:3" ht="12.75">
      <c r="B562" s="1"/>
      <c r="C562" s="1"/>
    </row>
    <row r="563" spans="2:3" ht="12.75">
      <c r="B563" s="1"/>
      <c r="C563" s="1"/>
    </row>
    <row r="564" spans="2:3" ht="12.75">
      <c r="B564" s="1"/>
      <c r="C564" s="1"/>
    </row>
    <row r="565" spans="2:3" ht="12.75">
      <c r="B565" s="1"/>
      <c r="C565" s="1"/>
    </row>
    <row r="566" spans="2:3" ht="12.75">
      <c r="B566" s="1"/>
      <c r="C566" s="1"/>
    </row>
    <row r="567" spans="2:3" ht="12.75">
      <c r="B567" s="1"/>
      <c r="C567" s="1"/>
    </row>
    <row r="568" spans="2:3" ht="12.75">
      <c r="B568" s="1"/>
      <c r="C568" s="1"/>
    </row>
    <row r="569" spans="2:3" ht="12.75">
      <c r="B569" s="1"/>
      <c r="C569" s="1"/>
    </row>
    <row r="570" spans="2:3" ht="12.75">
      <c r="B570" s="1"/>
      <c r="C570" s="1"/>
    </row>
    <row r="571" spans="2:3" ht="12.75">
      <c r="B571" s="1"/>
      <c r="C571" s="1"/>
    </row>
    <row r="572" spans="2:3" ht="12.75">
      <c r="B572" s="1"/>
      <c r="C572" s="1"/>
    </row>
    <row r="573" spans="2:3" ht="12.75">
      <c r="B573" s="1"/>
      <c r="C573" s="1"/>
    </row>
    <row r="574" spans="2:3" ht="12.75">
      <c r="B574" s="1"/>
      <c r="C574" s="1"/>
    </row>
    <row r="575" spans="2:3" ht="12.75">
      <c r="B575" s="1"/>
      <c r="C575" s="1"/>
    </row>
    <row r="576" spans="2:3" ht="12.75">
      <c r="B576" s="1"/>
      <c r="C576" s="1"/>
    </row>
    <row r="577" spans="2:3" ht="12.75">
      <c r="B577" s="1"/>
      <c r="C577" s="1"/>
    </row>
    <row r="578" spans="2:3" ht="12.75">
      <c r="B578" s="1"/>
      <c r="C578" s="1"/>
    </row>
    <row r="579" spans="2:3" ht="12.75">
      <c r="B579" s="1"/>
      <c r="C579" s="1"/>
    </row>
    <row r="580" spans="2:3" ht="12.75">
      <c r="B580" s="1"/>
      <c r="C580" s="1"/>
    </row>
    <row r="581" spans="2:3" ht="12.75">
      <c r="B581" s="1"/>
      <c r="C581" s="1"/>
    </row>
    <row r="582" spans="2:3" ht="12.75">
      <c r="B582" s="1"/>
      <c r="C582" s="1"/>
    </row>
    <row r="583" spans="2:3" ht="12.75">
      <c r="B583" s="1"/>
      <c r="C583" s="1"/>
    </row>
    <row r="584" spans="2:3" ht="12.75">
      <c r="B584" s="1"/>
      <c r="C584" s="1"/>
    </row>
    <row r="585" spans="2:3" ht="12.75">
      <c r="B585" s="1"/>
      <c r="C585" s="1"/>
    </row>
    <row r="586" spans="2:3" ht="12.75">
      <c r="B586" s="1"/>
      <c r="C586" s="1"/>
    </row>
    <row r="587" spans="2:3" ht="12.75">
      <c r="B587" s="1"/>
      <c r="C587" s="1"/>
    </row>
    <row r="588" spans="2:3" ht="12.75">
      <c r="B588" s="1"/>
      <c r="C588" s="1"/>
    </row>
    <row r="589" spans="2:3" ht="12.75">
      <c r="B589" s="1"/>
      <c r="C589" s="1"/>
    </row>
    <row r="590" spans="2:3" ht="12.75">
      <c r="B590" s="1"/>
      <c r="C590" s="1"/>
    </row>
    <row r="591" spans="2:3" ht="12.75">
      <c r="B591" s="1"/>
      <c r="C591" s="1"/>
    </row>
    <row r="592" spans="2:3" ht="12.75">
      <c r="B592" s="1"/>
      <c r="C592" s="1"/>
    </row>
    <row r="593" spans="2:3" ht="12.75">
      <c r="B593" s="1"/>
      <c r="C593" s="1"/>
    </row>
    <row r="594" spans="2:3" ht="12.75">
      <c r="B594" s="1"/>
      <c r="C594" s="1"/>
    </row>
    <row r="595" spans="2:3" ht="12.75">
      <c r="B595" s="1"/>
      <c r="C595" s="1"/>
    </row>
    <row r="596" spans="2:3" ht="12.75">
      <c r="B596" s="1"/>
      <c r="C596" s="1"/>
    </row>
    <row r="597" spans="2:3" ht="12.75">
      <c r="B597" s="1"/>
      <c r="C597" s="1"/>
    </row>
    <row r="598" spans="2:3" ht="12.75">
      <c r="B598" s="1"/>
      <c r="C598" s="1"/>
    </row>
    <row r="599" spans="2:3" ht="12.75">
      <c r="B599" s="1"/>
      <c r="C599" s="1"/>
    </row>
    <row r="600" spans="2:3" ht="12.75">
      <c r="B600" s="1"/>
      <c r="C600" s="1"/>
    </row>
    <row r="601" spans="2:3" ht="12.75">
      <c r="B601" s="1"/>
      <c r="C601" s="1"/>
    </row>
    <row r="602" spans="2:3" ht="12.75">
      <c r="B602" s="1"/>
      <c r="C602" s="1"/>
    </row>
    <row r="603" spans="2:3" ht="12.75">
      <c r="B603" s="1"/>
      <c r="C603" s="1"/>
    </row>
    <row r="604" spans="2:3" ht="12.75">
      <c r="B604" s="1"/>
      <c r="C604" s="1"/>
    </row>
    <row r="605" spans="2:3" ht="12.75">
      <c r="B605" s="1"/>
      <c r="C605" s="1"/>
    </row>
    <row r="606" spans="2:3" ht="12.75">
      <c r="B606" s="1"/>
      <c r="C606" s="1"/>
    </row>
    <row r="607" spans="2:3" ht="12.75">
      <c r="B607" s="1"/>
      <c r="C607" s="1"/>
    </row>
    <row r="608" spans="2:3" ht="12.75">
      <c r="B608" s="1"/>
      <c r="C608" s="1"/>
    </row>
    <row r="609" spans="2:3" ht="12.75">
      <c r="B609" s="1"/>
      <c r="C609" s="1"/>
    </row>
    <row r="610" spans="2:3" ht="12.75">
      <c r="B610" s="1"/>
      <c r="C610" s="1"/>
    </row>
    <row r="611" spans="2:3" ht="12.75">
      <c r="B611" s="1"/>
      <c r="C611" s="1"/>
    </row>
    <row r="612" spans="2:3" ht="12.75">
      <c r="B612" s="1"/>
      <c r="C612" s="1"/>
    </row>
    <row r="613" spans="2:3" ht="12.75">
      <c r="B613" s="1"/>
      <c r="C613" s="1"/>
    </row>
    <row r="614" spans="2:3" ht="12.75">
      <c r="B614" s="1"/>
      <c r="C614" s="1"/>
    </row>
    <row r="615" spans="2:3" ht="12.75">
      <c r="B615" s="1"/>
      <c r="C615" s="1"/>
    </row>
    <row r="616" spans="2:3" ht="12.75">
      <c r="B616" s="1"/>
      <c r="C616" s="1"/>
    </row>
    <row r="617" spans="2:3" ht="12.75">
      <c r="B617" s="1"/>
      <c r="C617" s="1"/>
    </row>
    <row r="618" spans="2:3" ht="12.75">
      <c r="B618" s="1"/>
      <c r="C618" s="1"/>
    </row>
    <row r="619" spans="2:3" ht="12.75">
      <c r="B619" s="1"/>
      <c r="C619" s="1"/>
    </row>
    <row r="620" spans="2:3" ht="12.75">
      <c r="B620" s="1"/>
      <c r="C620" s="1"/>
    </row>
    <row r="621" spans="2:3" ht="12.75">
      <c r="B621" s="1"/>
      <c r="C621" s="1"/>
    </row>
    <row r="622" spans="2:3" ht="12.75">
      <c r="B622" s="1"/>
      <c r="C622" s="1"/>
    </row>
    <row r="623" spans="2:3" ht="12.75">
      <c r="B623" s="1"/>
      <c r="C623" s="1"/>
    </row>
    <row r="624" spans="2:3" ht="12.75">
      <c r="B624" s="1"/>
      <c r="C624" s="1"/>
    </row>
    <row r="625" spans="2:3" ht="12.75">
      <c r="B625" s="1"/>
      <c r="C625" s="1"/>
    </row>
    <row r="626" spans="2:3" ht="12.75">
      <c r="B626" s="1"/>
      <c r="C626" s="1"/>
    </row>
    <row r="627" spans="2:3" ht="12.75">
      <c r="B627" s="1"/>
      <c r="C627" s="1"/>
    </row>
    <row r="628" spans="2:3" ht="12.75">
      <c r="B628" s="1"/>
      <c r="C628" s="1"/>
    </row>
    <row r="629" spans="2:3" ht="12.75">
      <c r="B629" s="1"/>
      <c r="C629" s="1"/>
    </row>
    <row r="630" spans="2:3" ht="12.75">
      <c r="B630" s="1"/>
      <c r="C630" s="1"/>
    </row>
    <row r="631" spans="2:3" ht="12.75">
      <c r="B631" s="1"/>
      <c r="C631" s="1"/>
    </row>
    <row r="632" spans="2:3" ht="12.75">
      <c r="B632" s="1"/>
      <c r="C632" s="1"/>
    </row>
    <row r="633" spans="2:3" ht="12.75">
      <c r="B633" s="1"/>
      <c r="C633" s="1"/>
    </row>
    <row r="634" spans="2:3" ht="12.75">
      <c r="B634" s="1"/>
      <c r="C634" s="1"/>
    </row>
    <row r="635" spans="2:3" ht="12.75">
      <c r="B635" s="1"/>
      <c r="C635" s="1"/>
    </row>
    <row r="636" spans="2:3" ht="12.75">
      <c r="B636" s="1"/>
      <c r="C636" s="1"/>
    </row>
    <row r="637" spans="2:3" ht="12.75">
      <c r="B637" s="1"/>
      <c r="C637" s="1"/>
    </row>
    <row r="638" spans="2:3" ht="12.75">
      <c r="B638" s="1"/>
      <c r="C638" s="1"/>
    </row>
    <row r="639" spans="2:3" ht="12.75">
      <c r="B639" s="1"/>
      <c r="C639" s="1"/>
    </row>
    <row r="640" spans="2:3" ht="12.75">
      <c r="B640" s="1"/>
      <c r="C640" s="1"/>
    </row>
    <row r="641" spans="2:3" ht="12.75">
      <c r="B641" s="1"/>
      <c r="C641" s="1"/>
    </row>
    <row r="642" spans="2:3" ht="12.75">
      <c r="B642" s="1"/>
      <c r="C642" s="1"/>
    </row>
    <row r="643" spans="2:3" ht="12.75">
      <c r="B643" s="1"/>
      <c r="C643" s="1"/>
    </row>
    <row r="644" spans="2:3" ht="12.75">
      <c r="B644" s="1"/>
      <c r="C644" s="1"/>
    </row>
    <row r="645" spans="2:3" ht="12.75">
      <c r="B645" s="1"/>
      <c r="C645" s="1"/>
    </row>
    <row r="646" spans="2:3" ht="12.75">
      <c r="B646" s="1"/>
      <c r="C646" s="1"/>
    </row>
    <row r="647" spans="2:3" ht="12.75">
      <c r="B647" s="1"/>
      <c r="C647" s="1"/>
    </row>
    <row r="648" spans="2:3" ht="12.75">
      <c r="B648" s="1"/>
      <c r="C648" s="1"/>
    </row>
    <row r="649" spans="2:3" ht="12.75">
      <c r="B649" s="1"/>
      <c r="C649" s="1"/>
    </row>
    <row r="650" spans="2:3" ht="12.75">
      <c r="B650" s="1"/>
      <c r="C650" s="1"/>
    </row>
    <row r="651" spans="2:3" ht="12.75">
      <c r="B651" s="1"/>
      <c r="C651" s="1"/>
    </row>
    <row r="652" spans="2:3" ht="12.75">
      <c r="B652" s="1"/>
      <c r="C652" s="1"/>
    </row>
    <row r="653" spans="2:3" ht="12.75">
      <c r="B653" s="1"/>
      <c r="C653" s="1"/>
    </row>
    <row r="654" spans="2:3" ht="12.75">
      <c r="B654" s="1"/>
      <c r="C654" s="1"/>
    </row>
    <row r="655" spans="2:3" ht="12.75">
      <c r="B655" s="1"/>
      <c r="C655" s="1"/>
    </row>
    <row r="656" spans="2:3" ht="12.75">
      <c r="B656" s="1"/>
      <c r="C656" s="1"/>
    </row>
    <row r="657" spans="2:3" ht="12.75">
      <c r="B657" s="1"/>
      <c r="C657" s="1"/>
    </row>
    <row r="658" spans="2:3" ht="12.75">
      <c r="B658" s="1"/>
      <c r="C658" s="1"/>
    </row>
    <row r="659" spans="2:3" ht="12.75">
      <c r="B659" s="1"/>
      <c r="C659" s="1"/>
    </row>
    <row r="660" spans="2:3" ht="12.75">
      <c r="B660" s="1"/>
      <c r="C660" s="1"/>
    </row>
    <row r="661" spans="2:3" ht="12.75">
      <c r="B661" s="1"/>
      <c r="C661" s="1"/>
    </row>
    <row r="662" spans="2:3" ht="12.75">
      <c r="B662" s="1"/>
      <c r="C662" s="1"/>
    </row>
    <row r="663" spans="2:3" ht="12.75">
      <c r="B663" s="1"/>
      <c r="C663" s="1"/>
    </row>
    <row r="664" spans="2:3" ht="12.75">
      <c r="B664" s="1"/>
      <c r="C664" s="1"/>
    </row>
    <row r="665" spans="2:3" ht="12.75">
      <c r="B665" s="1"/>
      <c r="C665" s="1"/>
    </row>
    <row r="666" spans="2:3" ht="12.75">
      <c r="B666" s="1"/>
      <c r="C666" s="1"/>
    </row>
    <row r="667" spans="2:3" ht="12.75">
      <c r="B667" s="1"/>
      <c r="C667" s="1"/>
    </row>
    <row r="668" spans="2:3" ht="12.75">
      <c r="B668" s="1"/>
      <c r="C668" s="1"/>
    </row>
    <row r="669" spans="2:3" ht="12.75">
      <c r="B669" s="1"/>
      <c r="C669" s="1"/>
    </row>
    <row r="670" spans="2:3" ht="12.75">
      <c r="B670" s="1"/>
      <c r="C670" s="1"/>
    </row>
    <row r="671" spans="2:3" ht="12.75">
      <c r="B671" s="1"/>
      <c r="C671" s="1"/>
    </row>
    <row r="672" spans="2:3" ht="12.75">
      <c r="B672" s="1"/>
      <c r="C672" s="1"/>
    </row>
    <row r="673" spans="2:3" ht="12.75">
      <c r="B673" s="1"/>
      <c r="C673" s="1"/>
    </row>
    <row r="674" spans="2:3" ht="12.75">
      <c r="B674" s="1"/>
      <c r="C674" s="1"/>
    </row>
    <row r="675" spans="2:3" ht="12.75">
      <c r="B675" s="1"/>
      <c r="C675" s="1"/>
    </row>
    <row r="676" spans="2:3" ht="12.75">
      <c r="B676" s="1"/>
      <c r="C676" s="1"/>
    </row>
    <row r="677" spans="2:3" ht="12.75">
      <c r="B677" s="1"/>
      <c r="C677" s="1"/>
    </row>
    <row r="678" spans="2:3" ht="12.75">
      <c r="B678" s="1"/>
      <c r="C678" s="1"/>
    </row>
    <row r="679" spans="2:3" ht="12.75">
      <c r="B679" s="1"/>
      <c r="C679" s="1"/>
    </row>
    <row r="680" spans="2:3" ht="12.75">
      <c r="B680" s="1"/>
      <c r="C680" s="1"/>
    </row>
    <row r="681" spans="2:3" ht="12.75">
      <c r="B681" s="1"/>
      <c r="C681" s="1"/>
    </row>
    <row r="682" spans="2:3" ht="12.75">
      <c r="B682" s="1"/>
      <c r="C682" s="1"/>
    </row>
    <row r="683" spans="2:3" ht="12.75">
      <c r="B683" s="1"/>
      <c r="C683" s="1"/>
    </row>
    <row r="684" spans="2:3" ht="12.75">
      <c r="B684" s="1"/>
      <c r="C684" s="1"/>
    </row>
    <row r="685" spans="2:3" ht="12.75">
      <c r="B685" s="1"/>
      <c r="C685" s="1"/>
    </row>
    <row r="686" spans="2:3" ht="12.75">
      <c r="B686" s="1"/>
      <c r="C686" s="1"/>
    </row>
    <row r="687" spans="2:3" ht="12.75">
      <c r="B687" s="1"/>
      <c r="C687" s="1"/>
    </row>
    <row r="688" spans="2:3" ht="12.75">
      <c r="B688" s="1"/>
      <c r="C688" s="1"/>
    </row>
    <row r="689" spans="2:3" ht="12.75">
      <c r="B689" s="1"/>
      <c r="C689" s="1"/>
    </row>
    <row r="690" spans="2:3" ht="12.75">
      <c r="B690" s="1"/>
      <c r="C690" s="1"/>
    </row>
    <row r="691" spans="2:3" ht="12.75">
      <c r="B691" s="1"/>
      <c r="C691" s="1"/>
    </row>
    <row r="692" spans="2:3" ht="12.75">
      <c r="B692" s="1"/>
      <c r="C692" s="1"/>
    </row>
    <row r="693" spans="2:3" ht="12.75">
      <c r="B693" s="1"/>
      <c r="C693" s="1"/>
    </row>
    <row r="694" spans="2:3" ht="12.75">
      <c r="B694" s="1"/>
      <c r="C694" s="1"/>
    </row>
    <row r="695" spans="2:3" ht="12.75">
      <c r="B695" s="1"/>
      <c r="C695" s="1"/>
    </row>
    <row r="696" spans="2:3" ht="12.75">
      <c r="B696" s="1"/>
      <c r="C696" s="1"/>
    </row>
    <row r="697" spans="2:3" ht="12.75">
      <c r="B697" s="1"/>
      <c r="C697" s="1"/>
    </row>
    <row r="698" spans="2:3" ht="12.75">
      <c r="B698" s="1"/>
      <c r="C698" s="1"/>
    </row>
    <row r="699" spans="2:3" ht="12.75">
      <c r="B699" s="1"/>
      <c r="C699" s="1"/>
    </row>
    <row r="700" spans="2:3" ht="12.75">
      <c r="B700" s="1"/>
      <c r="C700" s="1"/>
    </row>
    <row r="701" spans="2:3" ht="12.75">
      <c r="B701" s="1"/>
      <c r="C701" s="1"/>
    </row>
    <row r="702" spans="2:3" ht="12.75">
      <c r="B702" s="1"/>
      <c r="C702" s="1"/>
    </row>
    <row r="703" spans="2:3" ht="12.75">
      <c r="B703" s="1"/>
      <c r="C703" s="1"/>
    </row>
    <row r="704" spans="2:3" ht="12.75">
      <c r="B704" s="1"/>
      <c r="C704" s="1"/>
    </row>
    <row r="705" spans="2:3" ht="12.75">
      <c r="B705" s="1"/>
      <c r="C705" s="1"/>
    </row>
    <row r="706" spans="2:3" ht="12.75">
      <c r="B706" s="1"/>
      <c r="C706" s="1"/>
    </row>
    <row r="707" spans="2:3" ht="12.75">
      <c r="B707" s="1"/>
      <c r="C707" s="1"/>
    </row>
    <row r="708" spans="2:3" ht="12.75">
      <c r="B708" s="1"/>
      <c r="C708" s="1"/>
    </row>
    <row r="709" spans="2:3" ht="12.75">
      <c r="B709" s="1"/>
      <c r="C709" s="1"/>
    </row>
    <row r="710" spans="2:3" ht="12.75">
      <c r="B710" s="1"/>
      <c r="C710" s="1"/>
    </row>
    <row r="711" spans="2:3" ht="12.75">
      <c r="B711" s="1"/>
      <c r="C711" s="1"/>
    </row>
    <row r="712" spans="2:3" ht="12.75">
      <c r="B712" s="1"/>
      <c r="C712" s="1"/>
    </row>
    <row r="713" spans="2:3" ht="12.75">
      <c r="B713" s="1"/>
      <c r="C713" s="1"/>
    </row>
    <row r="714" spans="2:3" ht="12.75">
      <c r="B714" s="1"/>
      <c r="C714" s="1"/>
    </row>
    <row r="715" spans="2:3" ht="12.75">
      <c r="B715" s="1"/>
      <c r="C715" s="1"/>
    </row>
    <row r="716" spans="2:3" ht="12.75">
      <c r="B716" s="1"/>
      <c r="C716" s="1"/>
    </row>
    <row r="717" spans="2:3" ht="12.75">
      <c r="B717" s="1"/>
      <c r="C717" s="1"/>
    </row>
    <row r="718" spans="2:3" ht="12.75">
      <c r="B718" s="1"/>
      <c r="C718" s="1"/>
    </row>
    <row r="719" spans="2:3" ht="12.75">
      <c r="B719" s="1"/>
      <c r="C719" s="1"/>
    </row>
    <row r="720" spans="2:3" ht="12.75">
      <c r="B720" s="1"/>
      <c r="C720" s="1"/>
    </row>
    <row r="721" spans="2:3" ht="12.75">
      <c r="B721" s="1"/>
      <c r="C721" s="1"/>
    </row>
    <row r="722" spans="2:3" ht="12.75">
      <c r="B722" s="1"/>
      <c r="C722" s="1"/>
    </row>
    <row r="723" spans="2:3" ht="12.75">
      <c r="B723" s="1"/>
      <c r="C723" s="1"/>
    </row>
    <row r="724" spans="2:3" ht="12.75">
      <c r="B724" s="1"/>
      <c r="C724" s="1"/>
    </row>
    <row r="725" spans="2:3" ht="12.75">
      <c r="B725" s="1"/>
      <c r="C725" s="1"/>
    </row>
    <row r="726" spans="2:3" ht="12.75">
      <c r="B726" s="1"/>
      <c r="C726" s="1"/>
    </row>
    <row r="727" spans="2:3" ht="12.75">
      <c r="B727" s="1"/>
      <c r="C727" s="1"/>
    </row>
    <row r="728" spans="2:3" ht="12.75">
      <c r="B728" s="1"/>
      <c r="C728" s="1"/>
    </row>
    <row r="729" spans="2:3" ht="12.75">
      <c r="B729" s="1"/>
      <c r="C729" s="1"/>
    </row>
    <row r="730" spans="2:3" ht="12.75">
      <c r="B730" s="1"/>
      <c r="C730" s="1"/>
    </row>
    <row r="731" spans="2:3" ht="12.75">
      <c r="B731" s="1"/>
      <c r="C731" s="1"/>
    </row>
    <row r="732" spans="2:3" ht="12.75">
      <c r="B732" s="1"/>
      <c r="C732" s="1"/>
    </row>
    <row r="733" spans="2:3" ht="12.75">
      <c r="B733" s="1"/>
      <c r="C733" s="1"/>
    </row>
    <row r="734" spans="2:3" ht="12.75">
      <c r="B734" s="1"/>
      <c r="C734" s="1"/>
    </row>
    <row r="735" spans="2:3" ht="12.75">
      <c r="B735" s="1"/>
      <c r="C735" s="1"/>
    </row>
    <row r="736" spans="2:3" ht="12.75">
      <c r="B736" s="1"/>
      <c r="C736" s="1"/>
    </row>
    <row r="737" spans="2:3" ht="12.75">
      <c r="B737" s="1"/>
      <c r="C737" s="1"/>
    </row>
    <row r="738" spans="2:3" ht="12.75">
      <c r="B738" s="1"/>
      <c r="C738" s="1"/>
    </row>
    <row r="739" spans="2:3" ht="12.75">
      <c r="B739" s="1"/>
      <c r="C739" s="1"/>
    </row>
    <row r="740" spans="2:3" ht="12.75">
      <c r="B740" s="1"/>
      <c r="C740" s="1"/>
    </row>
    <row r="741" spans="2:3" ht="12.75">
      <c r="B741" s="1"/>
      <c r="C741" s="1"/>
    </row>
    <row r="742" spans="2:3" ht="12.75">
      <c r="B742" s="1"/>
      <c r="C742" s="1"/>
    </row>
    <row r="743" spans="2:3" ht="12.75">
      <c r="B743" s="1"/>
      <c r="C743" s="1"/>
    </row>
    <row r="744" spans="2:3" ht="12.75">
      <c r="B744" s="1"/>
      <c r="C744" s="1"/>
    </row>
    <row r="745" spans="2:3" ht="12.75">
      <c r="B745" s="1"/>
      <c r="C745" s="1"/>
    </row>
    <row r="746" spans="2:3" ht="12.75">
      <c r="B746" s="1"/>
      <c r="C746" s="1"/>
    </row>
    <row r="747" spans="2:3" ht="12.75">
      <c r="B747" s="1"/>
      <c r="C747" s="1"/>
    </row>
    <row r="748" spans="2:3" ht="12.75">
      <c r="B748" s="1"/>
      <c r="C748" s="1"/>
    </row>
    <row r="749" spans="2:3" ht="12.75">
      <c r="B749" s="1"/>
      <c r="C749" s="1"/>
    </row>
    <row r="750" spans="2:3" ht="12.75">
      <c r="B750" s="1"/>
      <c r="C750" s="1"/>
    </row>
    <row r="751" spans="2:3" ht="12.75">
      <c r="B751" s="1"/>
      <c r="C751" s="1"/>
    </row>
    <row r="752" spans="2:3" ht="12.75">
      <c r="B752" s="1"/>
      <c r="C752" s="1"/>
    </row>
    <row r="753" spans="2:3" ht="12.75">
      <c r="B753" s="1"/>
      <c r="C753" s="1"/>
    </row>
    <row r="754" spans="2:3" ht="12.75">
      <c r="B754" s="1"/>
      <c r="C754" s="1"/>
    </row>
    <row r="755" spans="2:3" ht="12.75">
      <c r="B755" s="1"/>
      <c r="C755" s="1"/>
    </row>
    <row r="756" spans="2:3" ht="12.75">
      <c r="B756" s="1"/>
      <c r="C756" s="1"/>
    </row>
    <row r="757" spans="2:3" ht="12.75">
      <c r="B757" s="1"/>
      <c r="C757" s="1"/>
    </row>
    <row r="758" spans="2:3" ht="12.75">
      <c r="B758" s="1"/>
      <c r="C758" s="1"/>
    </row>
    <row r="759" spans="2:3" ht="12.75">
      <c r="B759" s="1"/>
      <c r="C759" s="1"/>
    </row>
    <row r="760" spans="2:3" ht="12.75">
      <c r="B760" s="1"/>
      <c r="C760" s="1"/>
    </row>
    <row r="761" spans="2:3" ht="12.75">
      <c r="B761" s="1"/>
      <c r="C761" s="1"/>
    </row>
    <row r="762" spans="2:3" ht="12.75">
      <c r="B762" s="1"/>
      <c r="C762" s="1"/>
    </row>
    <row r="763" spans="2:3" ht="12.75">
      <c r="B763" s="1"/>
      <c r="C763" s="1"/>
    </row>
    <row r="764" spans="2:3" ht="12.75">
      <c r="B764" s="1"/>
      <c r="C764" s="1"/>
    </row>
    <row r="765" spans="2:3" ht="12.75">
      <c r="B765" s="1"/>
      <c r="C765" s="1"/>
    </row>
    <row r="766" spans="2:3" ht="12.75">
      <c r="B766" s="1"/>
      <c r="C766" s="1"/>
    </row>
    <row r="767" spans="2:3" ht="12.75">
      <c r="B767" s="1"/>
      <c r="C767" s="1"/>
    </row>
    <row r="768" spans="2:3" ht="12.75">
      <c r="B768" s="1"/>
      <c r="C768" s="1"/>
    </row>
    <row r="769" spans="2:3" ht="12.75">
      <c r="B769" s="1"/>
      <c r="C769" s="1"/>
    </row>
    <row r="770" spans="2:3" ht="12.75">
      <c r="B770" s="1"/>
      <c r="C770" s="1"/>
    </row>
    <row r="771" spans="2:3" ht="12.75">
      <c r="B771" s="1"/>
      <c r="C771" s="1"/>
    </row>
    <row r="772" spans="2:3" ht="12.75">
      <c r="B772" s="1"/>
      <c r="C772" s="1"/>
    </row>
    <row r="773" spans="2:3" ht="12.75">
      <c r="B773" s="1"/>
      <c r="C773" s="1"/>
    </row>
    <row r="774" spans="2:3" ht="12.75">
      <c r="B774" s="1"/>
      <c r="C774" s="1"/>
    </row>
    <row r="775" spans="2:3" ht="12.75">
      <c r="B775" s="1"/>
      <c r="C775" s="1"/>
    </row>
    <row r="776" spans="2:3" ht="12.75">
      <c r="B776" s="1"/>
      <c r="C776" s="1"/>
    </row>
    <row r="777" spans="2:3" ht="12.75">
      <c r="B777" s="1"/>
      <c r="C777" s="1"/>
    </row>
    <row r="778" spans="2:3" ht="12.75">
      <c r="B778" s="1"/>
      <c r="C778" s="1"/>
    </row>
    <row r="779" spans="2:3" ht="12.75">
      <c r="B779" s="1"/>
      <c r="C779" s="1"/>
    </row>
    <row r="780" spans="2:3" ht="12.75">
      <c r="B780" s="1"/>
      <c r="C780" s="1"/>
    </row>
    <row r="781" spans="2:3" ht="12.75">
      <c r="B781" s="1"/>
      <c r="C781" s="1"/>
    </row>
    <row r="782" spans="2:3" ht="12.75">
      <c r="B782" s="1"/>
      <c r="C782" s="1"/>
    </row>
    <row r="783" spans="2:3" ht="12.75">
      <c r="B783" s="1"/>
      <c r="C783" s="1"/>
    </row>
    <row r="784" spans="2:3" ht="12.75">
      <c r="B784" s="1"/>
      <c r="C784" s="1"/>
    </row>
    <row r="785" spans="2:3" ht="12.75">
      <c r="B785" s="1"/>
      <c r="C785" s="1"/>
    </row>
    <row r="786" spans="2:3" ht="12.75">
      <c r="B786" s="1"/>
      <c r="C786" s="1"/>
    </row>
    <row r="787" spans="2:3" ht="12.75">
      <c r="B787" s="1"/>
      <c r="C787" s="1"/>
    </row>
    <row r="788" spans="2:3" ht="12.75">
      <c r="B788" s="1"/>
      <c r="C788" s="1"/>
    </row>
    <row r="789" spans="2:3" ht="12.75">
      <c r="B789" s="1"/>
      <c r="C789" s="1"/>
    </row>
    <row r="790" spans="2:3" ht="12.75">
      <c r="B790" s="1"/>
      <c r="C790" s="1"/>
    </row>
    <row r="791" spans="2:3" ht="12.75">
      <c r="B791" s="1"/>
      <c r="C791" s="1"/>
    </row>
    <row r="792" spans="2:3" ht="12.75">
      <c r="B792" s="1"/>
      <c r="C792" s="1"/>
    </row>
    <row r="793" spans="2:3" ht="12.75">
      <c r="B793" s="1"/>
      <c r="C793" s="1"/>
    </row>
    <row r="794" spans="2:3" ht="12.75">
      <c r="B794" s="1"/>
      <c r="C794" s="1"/>
    </row>
    <row r="795" spans="2:3" ht="12.75">
      <c r="B795" s="1"/>
      <c r="C795" s="1"/>
    </row>
    <row r="796" spans="2:3" ht="12.75">
      <c r="B796" s="1"/>
      <c r="C796" s="1"/>
    </row>
    <row r="797" spans="2:3" ht="12.75">
      <c r="B797" s="1"/>
      <c r="C797" s="1"/>
    </row>
    <row r="798" spans="2:3" ht="12.75">
      <c r="B798" s="1"/>
      <c r="C798" s="1"/>
    </row>
    <row r="799" spans="2:3" ht="12.75">
      <c r="B799" s="1"/>
      <c r="C799" s="1"/>
    </row>
    <row r="800" spans="2:3" ht="12.75">
      <c r="B800" s="1"/>
      <c r="C800" s="1"/>
    </row>
    <row r="801" spans="2:3" ht="12.75">
      <c r="B801" s="1"/>
      <c r="C801" s="1"/>
    </row>
    <row r="802" spans="2:3" ht="12.75">
      <c r="B802" s="1"/>
      <c r="C802" s="1"/>
    </row>
    <row r="803" spans="2:3" ht="12.75">
      <c r="B803" s="1"/>
      <c r="C803" s="1"/>
    </row>
    <row r="804" spans="2:3" ht="12.75">
      <c r="B804" s="1"/>
      <c r="C804" s="1"/>
    </row>
    <row r="805" spans="2:3" ht="12.75">
      <c r="B805" s="1"/>
      <c r="C805" s="1"/>
    </row>
    <row r="806" spans="2:3" ht="12.75">
      <c r="B806" s="1"/>
      <c r="C806" s="1"/>
    </row>
    <row r="807" spans="2:3" ht="12.75">
      <c r="B807" s="1"/>
      <c r="C807" s="1"/>
    </row>
    <row r="808" spans="2:3" ht="12.75">
      <c r="B808" s="1"/>
      <c r="C808" s="1"/>
    </row>
    <row r="809" spans="2:3" ht="12.75">
      <c r="B809" s="1"/>
      <c r="C809" s="1"/>
    </row>
    <row r="810" spans="2:3" ht="12.75">
      <c r="B810" s="1"/>
      <c r="C810" s="1"/>
    </row>
    <row r="811" spans="2:3" ht="12.75">
      <c r="B811" s="1"/>
      <c r="C811" s="1"/>
    </row>
    <row r="812" spans="2:3" ht="12.75">
      <c r="B812" s="1"/>
      <c r="C812" s="1"/>
    </row>
    <row r="813" spans="2:3" ht="12.75">
      <c r="B813" s="1"/>
      <c r="C813" s="1"/>
    </row>
    <row r="814" spans="2:3" ht="12.75">
      <c r="B814" s="1"/>
      <c r="C814" s="1"/>
    </row>
    <row r="815" spans="2:3" ht="12.75">
      <c r="B815" s="1"/>
      <c r="C815" s="1"/>
    </row>
    <row r="816" spans="2:3" ht="12.75">
      <c r="B816" s="1"/>
      <c r="C816" s="1"/>
    </row>
    <row r="817" spans="2:3" ht="12.75">
      <c r="B817" s="1"/>
      <c r="C817" s="1"/>
    </row>
    <row r="818" spans="2:3" ht="12.75">
      <c r="B818" s="1"/>
      <c r="C818" s="1"/>
    </row>
    <row r="819" spans="2:3" ht="12.75">
      <c r="B819" s="1"/>
      <c r="C819" s="1"/>
    </row>
    <row r="820" spans="2:3" ht="12.75">
      <c r="B820" s="1"/>
      <c r="C820" s="1"/>
    </row>
    <row r="821" spans="2:3" ht="12.75">
      <c r="B821" s="1"/>
      <c r="C821" s="1"/>
    </row>
    <row r="822" spans="2:3" ht="12.75">
      <c r="B822" s="1"/>
      <c r="C822" s="1"/>
    </row>
    <row r="823" spans="2:3" ht="12.75">
      <c r="B823" s="1"/>
      <c r="C823" s="1"/>
    </row>
    <row r="824" spans="2:3" ht="12.75">
      <c r="B824" s="1"/>
      <c r="C824" s="1"/>
    </row>
    <row r="825" spans="2:3" ht="12.75">
      <c r="B825" s="1"/>
      <c r="C825" s="1"/>
    </row>
    <row r="826" spans="2:3" ht="12.75">
      <c r="B826" s="1"/>
      <c r="C826" s="1"/>
    </row>
    <row r="827" spans="2:3" ht="12.75">
      <c r="B827" s="1"/>
      <c r="C827" s="1"/>
    </row>
    <row r="828" spans="2:3" ht="12.75">
      <c r="B828" s="1"/>
      <c r="C828" s="1"/>
    </row>
    <row r="829" spans="2:3" ht="12.75">
      <c r="B829" s="1"/>
      <c r="C829" s="1"/>
    </row>
    <row r="830" spans="2:3" ht="12.75">
      <c r="B830" s="1"/>
      <c r="C830" s="1"/>
    </row>
    <row r="831" spans="2:3" ht="12.75">
      <c r="B831" s="1"/>
      <c r="C831" s="1"/>
    </row>
    <row r="832" spans="2:3" ht="12.75">
      <c r="B832" s="1"/>
      <c r="C832" s="1"/>
    </row>
    <row r="833" spans="2:3" ht="12.75">
      <c r="B833" s="1"/>
      <c r="C833" s="1"/>
    </row>
    <row r="834" spans="2:3" ht="12.75">
      <c r="B834" s="1"/>
      <c r="C834" s="1"/>
    </row>
    <row r="835" spans="2:3" ht="12.75">
      <c r="B835" s="1"/>
      <c r="C835" s="1"/>
    </row>
    <row r="836" spans="2:3" ht="12.75">
      <c r="B836" s="1"/>
      <c r="C836" s="1"/>
    </row>
    <row r="837" spans="2:3" ht="12.75">
      <c r="B837" s="1"/>
      <c r="C837" s="1"/>
    </row>
    <row r="838" spans="2:3" ht="12.75">
      <c r="B838" s="1"/>
      <c r="C838" s="1"/>
    </row>
    <row r="839" spans="2:3" ht="12.75">
      <c r="B839" s="1"/>
      <c r="C839" s="1"/>
    </row>
    <row r="840" spans="2:3" ht="12.75">
      <c r="B840" s="1"/>
      <c r="C840" s="1"/>
    </row>
    <row r="841" spans="2:3" ht="12.75">
      <c r="B841" s="1"/>
      <c r="C841" s="1"/>
    </row>
    <row r="842" spans="2:3" ht="12.75">
      <c r="B842" s="1"/>
      <c r="C842" s="1"/>
    </row>
    <row r="843" spans="2:3" ht="12.75">
      <c r="B843" s="1"/>
      <c r="C843" s="1"/>
    </row>
    <row r="844" spans="2:3" ht="12.75">
      <c r="B844" s="1"/>
      <c r="C844" s="1"/>
    </row>
    <row r="845" spans="2:3" ht="12.75">
      <c r="B845" s="1"/>
      <c r="C845" s="1"/>
    </row>
    <row r="846" spans="2:3" ht="12.75">
      <c r="B846" s="1"/>
      <c r="C846" s="1"/>
    </row>
    <row r="847" spans="2:3" ht="12.75">
      <c r="B847" s="1"/>
      <c r="C847" s="1"/>
    </row>
    <row r="848" spans="2:3" ht="12.75">
      <c r="B848" s="1"/>
      <c r="C848" s="1"/>
    </row>
    <row r="849" spans="2:3" ht="12.75">
      <c r="B849" s="1"/>
      <c r="C849" s="1"/>
    </row>
    <row r="850" spans="2:3" ht="12.75">
      <c r="B850" s="1"/>
      <c r="C850" s="1"/>
    </row>
    <row r="851" spans="2:3" ht="12.75">
      <c r="B851" s="1"/>
      <c r="C851" s="1"/>
    </row>
    <row r="852" spans="2:3" ht="12.75">
      <c r="B852" s="1"/>
      <c r="C852" s="1"/>
    </row>
    <row r="853" spans="2:3" ht="12.75">
      <c r="B853" s="1"/>
      <c r="C853" s="1"/>
    </row>
    <row r="854" spans="2:3" ht="12.75">
      <c r="B854" s="1"/>
      <c r="C854" s="1"/>
    </row>
    <row r="855" spans="2:3" ht="12.75">
      <c r="B855" s="1"/>
      <c r="C855" s="1"/>
    </row>
    <row r="856" spans="2:3" ht="12.75">
      <c r="B856" s="1"/>
      <c r="C856" s="1"/>
    </row>
    <row r="857" spans="2:3" ht="12.75">
      <c r="B857" s="1"/>
      <c r="C857" s="1"/>
    </row>
    <row r="858" spans="2:3" ht="12.75">
      <c r="B858" s="1"/>
      <c r="C858" s="1"/>
    </row>
    <row r="859" spans="2:3" ht="12.75">
      <c r="B859" s="1"/>
      <c r="C859" s="1"/>
    </row>
    <row r="860" spans="2:3" ht="12.75">
      <c r="B860" s="1"/>
      <c r="C860" s="1"/>
    </row>
    <row r="861" spans="2:3" ht="12.75">
      <c r="B861" s="1"/>
      <c r="C861" s="1"/>
    </row>
    <row r="862" spans="2:3" ht="12.75">
      <c r="B862" s="1"/>
      <c r="C862" s="1"/>
    </row>
    <row r="863" spans="2:3" ht="12.75">
      <c r="B863" s="1"/>
      <c r="C863" s="1"/>
    </row>
    <row r="864" spans="2:3" ht="12.75">
      <c r="B864" s="1"/>
      <c r="C864" s="1"/>
    </row>
    <row r="865" spans="2:3" ht="12.75">
      <c r="B865" s="1"/>
      <c r="C865" s="1"/>
    </row>
    <row r="866" spans="2:3" ht="12.75">
      <c r="B866" s="1"/>
      <c r="C866" s="1"/>
    </row>
    <row r="867" spans="2:3" ht="12.75">
      <c r="B867" s="1"/>
      <c r="C867" s="1"/>
    </row>
    <row r="868" spans="2:3" ht="12.75">
      <c r="B868" s="1"/>
      <c r="C868" s="1"/>
    </row>
    <row r="869" spans="2:3" ht="12.75">
      <c r="B869" s="1"/>
      <c r="C869" s="1"/>
    </row>
    <row r="870" spans="2:3" ht="12.75">
      <c r="B870" s="1"/>
      <c r="C870" s="1"/>
    </row>
    <row r="871" spans="2:3" ht="12.75">
      <c r="B871" s="1"/>
      <c r="C871" s="1"/>
    </row>
    <row r="872" spans="2:3" ht="12.75">
      <c r="B872" s="1"/>
      <c r="C872" s="1"/>
    </row>
    <row r="873" spans="2:3" ht="12.75">
      <c r="B873" s="1"/>
      <c r="C873" s="1"/>
    </row>
    <row r="874" spans="2:3" ht="12.75">
      <c r="B874" s="1"/>
      <c r="C874" s="1"/>
    </row>
    <row r="875" spans="2:3" ht="12.75">
      <c r="B875" s="1"/>
      <c r="C875" s="1"/>
    </row>
    <row r="876" spans="2:3" ht="12.75">
      <c r="B876" s="1"/>
      <c r="C876" s="1"/>
    </row>
    <row r="877" spans="2:3" ht="12.75">
      <c r="B877" s="1"/>
      <c r="C877" s="1"/>
    </row>
    <row r="878" spans="2:3" ht="12.75">
      <c r="B878" s="1"/>
      <c r="C878" s="1"/>
    </row>
    <row r="879" spans="2:3" ht="12.75">
      <c r="B879" s="1"/>
      <c r="C879" s="1"/>
    </row>
    <row r="880" spans="2:3" ht="12.75">
      <c r="B880" s="1"/>
      <c r="C880" s="1"/>
    </row>
    <row r="881" spans="2:3" ht="12.75">
      <c r="B881" s="1"/>
      <c r="C881" s="1"/>
    </row>
    <row r="882" spans="2:3" ht="12.75">
      <c r="B882" s="1"/>
      <c r="C882" s="1"/>
    </row>
    <row r="883" spans="2:3" ht="12.75">
      <c r="B883" s="1"/>
      <c r="C883" s="1"/>
    </row>
    <row r="884" spans="2:3" ht="12.75">
      <c r="B884" s="1"/>
      <c r="C884" s="1"/>
    </row>
    <row r="885" spans="2:3" ht="12.75">
      <c r="B885" s="1"/>
      <c r="C885" s="1"/>
    </row>
    <row r="886" spans="2:3" ht="12.75">
      <c r="B886" s="1"/>
      <c r="C886" s="1"/>
    </row>
    <row r="887" spans="2:3" ht="12.75">
      <c r="B887" s="1"/>
      <c r="C887" s="1"/>
    </row>
    <row r="888" spans="2:3" ht="12.75">
      <c r="B888" s="1"/>
      <c r="C888" s="1"/>
    </row>
    <row r="889" spans="2:3" ht="12.75">
      <c r="B889" s="1"/>
      <c r="C889" s="1"/>
    </row>
    <row r="890" spans="2:3" ht="12.75">
      <c r="B890" s="1"/>
      <c r="C890" s="1"/>
    </row>
    <row r="891" spans="2:3" ht="12.75">
      <c r="B891" s="1"/>
      <c r="C891" s="1"/>
    </row>
    <row r="892" spans="2:3" ht="12.75">
      <c r="B892" s="1"/>
      <c r="C892" s="1"/>
    </row>
    <row r="893" spans="2:3" ht="12.75">
      <c r="B893" s="1"/>
      <c r="C893" s="1"/>
    </row>
    <row r="894" spans="2:3" ht="12.75">
      <c r="B894" s="1"/>
      <c r="C894" s="1"/>
    </row>
    <row r="895" spans="2:3" ht="12.75">
      <c r="B895" s="1"/>
      <c r="C895" s="1"/>
    </row>
    <row r="896" spans="2:3" ht="12.75">
      <c r="B896" s="1"/>
      <c r="C896" s="1"/>
    </row>
    <row r="897" spans="2:3" ht="12.75">
      <c r="B897" s="1"/>
      <c r="C897" s="1"/>
    </row>
    <row r="898" spans="2:3" ht="12.75">
      <c r="B898" s="1"/>
      <c r="C898" s="1"/>
    </row>
    <row r="899" spans="2:3" ht="12.75">
      <c r="B899" s="1"/>
      <c r="C899" s="1"/>
    </row>
    <row r="900" spans="2:3" ht="12.75">
      <c r="B900" s="1"/>
      <c r="C900" s="1"/>
    </row>
    <row r="901" spans="2:3" ht="12.75">
      <c r="B901" s="1"/>
      <c r="C901" s="1"/>
    </row>
    <row r="902" spans="2:3" ht="12.75">
      <c r="B902" s="1"/>
      <c r="C902" s="1"/>
    </row>
    <row r="903" spans="2:3" ht="12.75">
      <c r="B903" s="1"/>
      <c r="C903" s="1"/>
    </row>
    <row r="904" spans="2:3" ht="12.75">
      <c r="B904" s="1"/>
      <c r="C904" s="1"/>
    </row>
    <row r="905" spans="2:3" ht="12.75">
      <c r="B905" s="1"/>
      <c r="C905" s="1"/>
    </row>
    <row r="906" spans="2:3" ht="12.75">
      <c r="B906" s="1"/>
      <c r="C906" s="1"/>
    </row>
    <row r="907" spans="2:3" ht="12.75">
      <c r="B907" s="1"/>
      <c r="C907" s="1"/>
    </row>
    <row r="908" spans="2:3" ht="12.75">
      <c r="B908" s="1"/>
      <c r="C908" s="1"/>
    </row>
    <row r="909" spans="2:3" ht="12.75">
      <c r="B909" s="1"/>
      <c r="C909" s="1"/>
    </row>
    <row r="910" spans="2:3" ht="12.75">
      <c r="B910" s="1"/>
      <c r="C910" s="1"/>
    </row>
    <row r="911" spans="2:3" ht="12.75">
      <c r="B911" s="1"/>
      <c r="C911" s="1"/>
    </row>
    <row r="912" spans="2:3" ht="12.75">
      <c r="B912" s="1"/>
      <c r="C912" s="1"/>
    </row>
    <row r="913" spans="2:3" ht="12.75">
      <c r="B913" s="1"/>
      <c r="C913" s="1"/>
    </row>
    <row r="914" spans="2:3" ht="12.75">
      <c r="B914" s="1"/>
      <c r="C914" s="1"/>
    </row>
    <row r="915" spans="2:3" ht="12.75">
      <c r="B915" s="1"/>
      <c r="C915" s="1"/>
    </row>
    <row r="916" spans="2:3" ht="12.75">
      <c r="B916" s="1"/>
      <c r="C916" s="1"/>
    </row>
    <row r="917" spans="2:3" ht="12.75">
      <c r="B917" s="1"/>
      <c r="C917" s="1"/>
    </row>
    <row r="918" spans="2:3" ht="12.75">
      <c r="B918" s="1"/>
      <c r="C918" s="1"/>
    </row>
    <row r="919" spans="2:3" ht="12.75">
      <c r="B919" s="1"/>
      <c r="C919" s="1"/>
    </row>
    <row r="920" spans="2:3" ht="12.75">
      <c r="B920" s="1"/>
      <c r="C920" s="1"/>
    </row>
    <row r="921" spans="2:3" ht="12.75">
      <c r="B921" s="1"/>
      <c r="C921" s="1"/>
    </row>
    <row r="922" spans="2:3" ht="12.75">
      <c r="B922" s="1"/>
      <c r="C922" s="1"/>
    </row>
    <row r="923" spans="2:3" ht="12.75">
      <c r="B923" s="1"/>
      <c r="C923" s="1"/>
    </row>
    <row r="924" spans="2:3" ht="12.75">
      <c r="B924" s="1"/>
      <c r="C924" s="1"/>
    </row>
    <row r="925" spans="2:3" ht="12.75">
      <c r="B925" s="1"/>
      <c r="C925" s="1"/>
    </row>
    <row r="926" spans="2:3" ht="12.75">
      <c r="B926" s="1"/>
      <c r="C926" s="1"/>
    </row>
    <row r="927" spans="2:3" ht="12.75">
      <c r="B927" s="1"/>
      <c r="C927" s="1"/>
    </row>
    <row r="928" spans="2:3" ht="12.75">
      <c r="B928" s="1"/>
      <c r="C928" s="1"/>
    </row>
    <row r="929" spans="2:3" ht="12.75">
      <c r="B929" s="1"/>
      <c r="C929" s="1"/>
    </row>
    <row r="930" spans="2:3" ht="12.75">
      <c r="B930" s="1"/>
      <c r="C930" s="1"/>
    </row>
    <row r="931" spans="2:3" ht="12.75">
      <c r="B931" s="1"/>
      <c r="C931" s="1"/>
    </row>
    <row r="932" spans="2:3" ht="12.75">
      <c r="B932" s="1"/>
      <c r="C932" s="1"/>
    </row>
    <row r="933" spans="2:3" ht="12.75">
      <c r="B933" s="1"/>
      <c r="C933" s="1"/>
    </row>
    <row r="934" spans="2:3" ht="12.75">
      <c r="B934" s="1"/>
      <c r="C934" s="1"/>
    </row>
    <row r="935" spans="2:3" ht="12.75">
      <c r="B935" s="1"/>
      <c r="C935" s="1"/>
    </row>
    <row r="936" spans="2:3" ht="12.75">
      <c r="B936" s="1"/>
      <c r="C936" s="1"/>
    </row>
    <row r="937" spans="2:3" ht="12.75">
      <c r="B937" s="1"/>
      <c r="C937" s="1"/>
    </row>
    <row r="938" spans="2:3" ht="12.75">
      <c r="B938" s="1"/>
      <c r="C938" s="1"/>
    </row>
    <row r="939" spans="2:3" ht="12.75">
      <c r="B939" s="1"/>
      <c r="C939" s="1"/>
    </row>
    <row r="940" spans="2:3" ht="12.75">
      <c r="B940" s="1"/>
      <c r="C940" s="1"/>
    </row>
    <row r="941" spans="2:3" ht="12.75">
      <c r="B941" s="1"/>
      <c r="C941" s="1"/>
    </row>
    <row r="942" spans="2:3" ht="12.75">
      <c r="B942" s="1"/>
      <c r="C942" s="1"/>
    </row>
    <row r="943" spans="2:3" ht="12.75">
      <c r="B943" s="1"/>
      <c r="C943" s="1"/>
    </row>
    <row r="944" spans="2:3" ht="12.75">
      <c r="B944" s="1"/>
      <c r="C944" s="1"/>
    </row>
    <row r="945" spans="2:3" ht="12.75">
      <c r="B945" s="1"/>
      <c r="C945" s="1"/>
    </row>
    <row r="946" spans="2:3" ht="12.75">
      <c r="B946" s="1"/>
      <c r="C946" s="1"/>
    </row>
    <row r="947" spans="2:3" ht="12.75">
      <c r="B947" s="1"/>
      <c r="C947" s="1"/>
    </row>
    <row r="948" spans="2:3" ht="12.75">
      <c r="B948" s="1"/>
      <c r="C948" s="1"/>
    </row>
    <row r="949" spans="2:3" ht="12.75">
      <c r="B949" s="1"/>
      <c r="C949" s="1"/>
    </row>
    <row r="950" spans="2:3" ht="12.75">
      <c r="B950" s="1"/>
      <c r="C950" s="1"/>
    </row>
    <row r="951" spans="2:3" ht="12.75">
      <c r="B951" s="1"/>
      <c r="C951" s="1"/>
    </row>
    <row r="952" spans="2:3" ht="12.75">
      <c r="B952" s="1"/>
      <c r="C952" s="1"/>
    </row>
    <row r="953" spans="2:3" ht="12.75">
      <c r="B953" s="1"/>
      <c r="C953" s="1"/>
    </row>
    <row r="954" spans="2:3" ht="12.75">
      <c r="B954" s="1"/>
      <c r="C954" s="1"/>
    </row>
    <row r="955" spans="2:3" ht="12.75">
      <c r="B955" s="1"/>
      <c r="C955" s="1"/>
    </row>
    <row r="956" spans="2:3" ht="12.75">
      <c r="B956" s="1"/>
      <c r="C956" s="1"/>
    </row>
    <row r="957" spans="2:3" ht="12.75">
      <c r="B957" s="1"/>
      <c r="C957" s="1"/>
    </row>
    <row r="958" spans="2:3" ht="12.75">
      <c r="B958" s="1"/>
      <c r="C958" s="1"/>
    </row>
    <row r="959" spans="2:3" ht="12.75">
      <c r="B959" s="1"/>
      <c r="C959" s="1"/>
    </row>
    <row r="960" spans="2:3" ht="12.75">
      <c r="B960" s="1"/>
      <c r="C960" s="1"/>
    </row>
    <row r="961" spans="2:3" ht="12.75">
      <c r="B961" s="1"/>
      <c r="C961" s="1"/>
    </row>
    <row r="962" spans="2:3" ht="12.75">
      <c r="B962" s="1"/>
      <c r="C962" s="1"/>
    </row>
    <row r="963" spans="2:3" ht="12.75">
      <c r="B963" s="1"/>
      <c r="C963" s="1"/>
    </row>
    <row r="964" spans="2:3" ht="12.75">
      <c r="B964" s="1"/>
      <c r="C964" s="1"/>
    </row>
    <row r="965" spans="2:3" ht="12.75">
      <c r="B965" s="1"/>
      <c r="C965" s="1"/>
    </row>
    <row r="966" spans="2:3" ht="12.75">
      <c r="B966" s="1"/>
      <c r="C966" s="1"/>
    </row>
    <row r="967" spans="2:3" ht="12.75">
      <c r="B967" s="1"/>
      <c r="C967" s="1"/>
    </row>
    <row r="968" spans="2:3" ht="12.75">
      <c r="B968" s="1"/>
      <c r="C968" s="1"/>
    </row>
    <row r="969" spans="2:3" ht="12.75">
      <c r="B969" s="1"/>
      <c r="C969" s="1"/>
    </row>
    <row r="970" spans="2:3" ht="12.75">
      <c r="B970" s="1"/>
      <c r="C970" s="1"/>
    </row>
    <row r="971" spans="2:3" ht="12.75">
      <c r="B971" s="1"/>
      <c r="C971" s="1"/>
    </row>
    <row r="972" spans="2:3" ht="12.75">
      <c r="B972" s="1"/>
      <c r="C972" s="1"/>
    </row>
    <row r="973" spans="2:3" ht="12.75">
      <c r="B973" s="1"/>
      <c r="C973" s="1"/>
    </row>
    <row r="974" spans="2:3" ht="12.75">
      <c r="B974" s="1"/>
      <c r="C974" s="1"/>
    </row>
    <row r="975" spans="2:3" ht="12.75">
      <c r="B975" s="1"/>
      <c r="C975" s="1"/>
    </row>
    <row r="976" spans="2:3" ht="12.75">
      <c r="B976" s="1"/>
      <c r="C976" s="1"/>
    </row>
    <row r="977" spans="2:3" ht="12.75">
      <c r="B977" s="1"/>
      <c r="C977" s="1"/>
    </row>
    <row r="978" spans="2:3" ht="12.75">
      <c r="B978" s="1"/>
      <c r="C978" s="1"/>
    </row>
    <row r="979" spans="2:3" ht="12.75">
      <c r="B979" s="1"/>
      <c r="C979" s="1"/>
    </row>
    <row r="980" spans="2:3" ht="12.75">
      <c r="B980" s="1"/>
      <c r="C980" s="1"/>
    </row>
    <row r="981" spans="2:3" ht="12.75">
      <c r="B981" s="1"/>
      <c r="C981" s="1"/>
    </row>
    <row r="982" spans="2:3" ht="12.75">
      <c r="B982" s="1"/>
      <c r="C982" s="1"/>
    </row>
    <row r="983" spans="2:3" ht="12.75">
      <c r="B983" s="1"/>
      <c r="C983" s="1"/>
    </row>
    <row r="984" spans="2:3" ht="12.75">
      <c r="B984" s="1"/>
      <c r="C984" s="1"/>
    </row>
    <row r="985" spans="2:3" ht="12.75">
      <c r="B985" s="1"/>
      <c r="C985" s="1"/>
    </row>
    <row r="986" spans="2:3" ht="12.75">
      <c r="B986" s="1"/>
      <c r="C986" s="1"/>
    </row>
    <row r="987" spans="2:3" ht="12.75">
      <c r="B987" s="1"/>
      <c r="C987" s="1"/>
    </row>
    <row r="988" spans="2:3" ht="12.75">
      <c r="B988" s="1"/>
      <c r="C988" s="1"/>
    </row>
    <row r="989" spans="2:3" ht="12.75">
      <c r="B989" s="1"/>
      <c r="C989" s="1"/>
    </row>
    <row r="990" spans="2:3" ht="12.75">
      <c r="B990" s="1"/>
      <c r="C990" s="1"/>
    </row>
    <row r="991" spans="2:3" ht="12.75">
      <c r="B991" s="1"/>
      <c r="C991" s="1"/>
    </row>
    <row r="992" spans="2:3" ht="12.75">
      <c r="B992" s="1"/>
      <c r="C992" s="1"/>
    </row>
    <row r="993" spans="2:3" ht="12.75">
      <c r="B993" s="1"/>
      <c r="C993" s="1"/>
    </row>
    <row r="994" spans="2:3" ht="12.75">
      <c r="B994" s="1"/>
      <c r="C994" s="1"/>
    </row>
    <row r="995" spans="2:3" ht="12.75">
      <c r="B995" s="1"/>
      <c r="C995" s="1"/>
    </row>
    <row r="996" spans="2:3" ht="12.75">
      <c r="B996" s="1"/>
      <c r="C996" s="1"/>
    </row>
  </sheetData>
  <hyperlinks>
    <hyperlink ref="C5" r:id="rId1"/>
    <hyperlink ref="C12" r:id="rId2"/>
    <hyperlink ref="C13" r:id="rId3"/>
    <hyperlink ref="C15" r:id="rId4"/>
    <hyperlink ref="C16" r:id="rId5"/>
    <hyperlink ref="C19" r:id="rId6"/>
    <hyperlink ref="C20" r:id="rId7"/>
    <hyperlink ref="C21" r:id="rId8"/>
    <hyperlink ref="C22" r:id="rId9"/>
    <hyperlink ref="C23" r:id="rId10"/>
    <hyperlink ref="C24" r:id="rId11"/>
    <hyperlink ref="C25" r:id="rId12"/>
    <hyperlink ref="C26" r:id="rId13"/>
    <hyperlink ref="C27" r:id="rId14"/>
    <hyperlink ref="C28" r:id="rId15"/>
    <hyperlink ref="C29" r:id="rId16"/>
    <hyperlink ref="C30" r:id="rId17"/>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FF"/>
    <outlinePr summaryBelow="0" summaryRight="0"/>
    <pageSetUpPr fitToPage="1"/>
  </sheetPr>
  <dimension ref="A1:AA985"/>
  <sheetViews>
    <sheetView showGridLines="0" workbookViewId="0">
      <pane ySplit="12" topLeftCell="A13" activePane="bottomLeft" state="frozen"/>
      <selection pane="bottomLeft" activeCell="B14" sqref="B14"/>
    </sheetView>
  </sheetViews>
  <sheetFormatPr defaultColWidth="12.5703125" defaultRowHeight="15.75" customHeight="1"/>
  <cols>
    <col min="1" max="1" width="16" hidden="1" customWidth="1"/>
    <col min="2" max="2" width="6.42578125" customWidth="1"/>
    <col min="3" max="3" width="4.140625" customWidth="1"/>
    <col min="4" max="4" width="57.85546875" customWidth="1"/>
    <col min="5" max="8" width="5.42578125" customWidth="1"/>
    <col min="9" max="9" width="7.42578125" customWidth="1"/>
    <col min="10" max="10" width="11.5703125" customWidth="1"/>
    <col min="11" max="11" width="13.42578125" customWidth="1"/>
  </cols>
  <sheetData>
    <row r="1" spans="1:27" ht="15">
      <c r="A1" s="4"/>
      <c r="B1" s="4"/>
      <c r="C1" s="4"/>
      <c r="D1" s="5"/>
      <c r="E1" s="4"/>
      <c r="F1" s="4"/>
      <c r="G1" s="4"/>
      <c r="H1" s="4"/>
      <c r="I1" s="4"/>
      <c r="J1" s="6"/>
      <c r="K1" s="7"/>
      <c r="L1" s="8"/>
      <c r="M1" s="8"/>
      <c r="N1" s="8"/>
      <c r="O1" s="8"/>
      <c r="P1" s="8"/>
      <c r="Q1" s="8"/>
      <c r="R1" s="8"/>
      <c r="S1" s="8"/>
      <c r="T1" s="8"/>
      <c r="U1" s="8"/>
      <c r="V1" s="8"/>
      <c r="W1" s="8"/>
      <c r="X1" s="8"/>
      <c r="Y1" s="8"/>
      <c r="Z1" s="8"/>
      <c r="AA1" s="8"/>
    </row>
    <row r="2" spans="1:27" ht="15">
      <c r="A2" s="4"/>
      <c r="B2" s="4"/>
      <c r="C2" s="4"/>
      <c r="D2" s="5"/>
      <c r="E2" s="4"/>
      <c r="F2" s="4"/>
      <c r="G2" s="4"/>
      <c r="H2" s="4"/>
      <c r="I2" s="4"/>
      <c r="J2" s="6"/>
      <c r="K2" s="7"/>
      <c r="L2" s="8"/>
      <c r="M2" s="9"/>
      <c r="N2" s="8"/>
      <c r="O2" s="8"/>
      <c r="P2" s="8"/>
      <c r="Q2" s="8"/>
      <c r="R2" s="8"/>
      <c r="S2" s="8"/>
      <c r="T2" s="8"/>
      <c r="U2" s="8"/>
      <c r="V2" s="8"/>
      <c r="W2" s="8"/>
      <c r="X2" s="8"/>
      <c r="Y2" s="8"/>
      <c r="Z2" s="8"/>
      <c r="AA2" s="8"/>
    </row>
    <row r="3" spans="1:27" ht="15">
      <c r="A3" s="4"/>
      <c r="B3" s="4"/>
      <c r="C3" s="4"/>
      <c r="D3" s="5"/>
      <c r="E3" s="4"/>
      <c r="F3" s="4"/>
      <c r="G3" s="4"/>
      <c r="H3" s="4"/>
      <c r="I3" s="4"/>
      <c r="J3" s="6"/>
      <c r="K3" s="7"/>
      <c r="L3" s="8"/>
      <c r="M3" s="8"/>
      <c r="N3" s="8"/>
      <c r="O3" s="8"/>
      <c r="P3" s="8"/>
      <c r="Q3" s="8"/>
      <c r="R3" s="8"/>
      <c r="S3" s="8"/>
      <c r="T3" s="8"/>
      <c r="U3" s="8"/>
      <c r="V3" s="8"/>
      <c r="W3" s="8"/>
      <c r="X3" s="8"/>
      <c r="Y3" s="8"/>
      <c r="Z3" s="8"/>
      <c r="AA3" s="8"/>
    </row>
    <row r="4" spans="1:27" ht="15">
      <c r="A4" s="4"/>
      <c r="B4" s="4"/>
      <c r="C4" s="4"/>
      <c r="D4" s="5"/>
      <c r="E4" s="4"/>
      <c r="F4" s="4"/>
      <c r="G4" s="4"/>
      <c r="H4" s="4"/>
      <c r="I4" s="4"/>
      <c r="J4" s="6"/>
      <c r="K4" s="7"/>
      <c r="L4" s="8"/>
      <c r="M4" s="8"/>
      <c r="N4" s="8"/>
      <c r="O4" s="8"/>
      <c r="P4" s="8"/>
      <c r="Q4" s="8"/>
      <c r="R4" s="8"/>
      <c r="S4" s="8"/>
      <c r="T4" s="8"/>
      <c r="U4" s="8"/>
      <c r="V4" s="8"/>
      <c r="W4" s="8"/>
      <c r="X4" s="8"/>
      <c r="Y4" s="8"/>
      <c r="Z4" s="8"/>
      <c r="AA4" s="8"/>
    </row>
    <row r="5" spans="1:27" ht="15">
      <c r="A5" s="4"/>
      <c r="B5" s="10"/>
      <c r="C5" s="10"/>
      <c r="D5" s="11"/>
      <c r="E5" s="10"/>
      <c r="F5" s="10"/>
      <c r="G5" s="10"/>
      <c r="H5" s="10"/>
      <c r="I5" s="10"/>
      <c r="J5" s="12"/>
      <c r="K5" s="13"/>
      <c r="L5" s="8"/>
      <c r="M5" s="8"/>
      <c r="N5" s="8"/>
      <c r="O5" s="8"/>
      <c r="P5" s="8"/>
      <c r="Q5" s="8"/>
      <c r="R5" s="8"/>
      <c r="S5" s="8"/>
      <c r="T5" s="8"/>
      <c r="U5" s="8"/>
      <c r="V5" s="8"/>
      <c r="W5" s="8"/>
      <c r="X5" s="8"/>
      <c r="Y5" s="8"/>
      <c r="Z5" s="8"/>
      <c r="AA5" s="8"/>
    </row>
    <row r="6" spans="1:27" ht="15">
      <c r="A6" s="14"/>
      <c r="B6" s="1432" t="s">
        <v>72</v>
      </c>
      <c r="C6" s="1433"/>
      <c r="D6" s="1433"/>
      <c r="E6" s="1433"/>
      <c r="F6" s="1433"/>
      <c r="G6" s="1433"/>
      <c r="H6" s="1433"/>
      <c r="I6" s="1433"/>
      <c r="J6" s="1433"/>
      <c r="K6" s="1434"/>
      <c r="L6" s="8"/>
      <c r="M6" s="8"/>
      <c r="N6" s="8"/>
      <c r="O6" s="8"/>
      <c r="P6" s="8"/>
      <c r="Q6" s="8"/>
      <c r="R6" s="8"/>
      <c r="S6" s="8"/>
      <c r="T6" s="8"/>
      <c r="U6" s="8"/>
      <c r="V6" s="8"/>
      <c r="W6" s="8"/>
      <c r="X6" s="8"/>
      <c r="Y6" s="8"/>
      <c r="Z6" s="8"/>
      <c r="AA6" s="8"/>
    </row>
    <row r="7" spans="1:27" ht="15">
      <c r="A7" s="15"/>
      <c r="B7" s="16"/>
      <c r="C7" s="17"/>
      <c r="D7" s="18"/>
      <c r="E7" s="17"/>
      <c r="F7" s="17"/>
      <c r="G7" s="17"/>
      <c r="H7" s="17"/>
      <c r="I7" s="17"/>
      <c r="J7" s="19"/>
      <c r="K7" s="20"/>
      <c r="L7" s="8"/>
      <c r="M7" s="8"/>
      <c r="N7" s="8"/>
      <c r="O7" s="8"/>
      <c r="P7" s="8"/>
      <c r="Q7" s="8"/>
      <c r="R7" s="8"/>
      <c r="S7" s="8"/>
      <c r="T7" s="8"/>
      <c r="U7" s="8"/>
      <c r="V7" s="8"/>
      <c r="W7" s="8"/>
      <c r="X7" s="8"/>
      <c r="Y7" s="8"/>
      <c r="Z7" s="8"/>
      <c r="AA7" s="8"/>
    </row>
    <row r="8" spans="1:27" ht="15">
      <c r="A8" s="21"/>
      <c r="B8" s="22" t="s">
        <v>73</v>
      </c>
      <c r="C8" s="23"/>
      <c r="D8" s="24"/>
      <c r="E8" s="23"/>
      <c r="F8" s="23"/>
      <c r="G8" s="23"/>
      <c r="H8" s="23"/>
      <c r="I8" s="23"/>
      <c r="J8" s="1435"/>
      <c r="K8" s="1436"/>
      <c r="L8" s="8"/>
      <c r="M8" s="8"/>
      <c r="N8" s="8"/>
      <c r="O8" s="8"/>
      <c r="P8" s="8"/>
      <c r="Q8" s="8"/>
      <c r="R8" s="8"/>
      <c r="S8" s="8"/>
      <c r="T8" s="8"/>
      <c r="U8" s="8"/>
      <c r="V8" s="8"/>
      <c r="W8" s="8"/>
      <c r="X8" s="8"/>
      <c r="Y8" s="8"/>
      <c r="Z8" s="8"/>
      <c r="AA8" s="8"/>
    </row>
    <row r="9" spans="1:27" ht="15">
      <c r="A9" s="25"/>
      <c r="B9" s="1437" t="s">
        <v>74</v>
      </c>
      <c r="C9" s="1438"/>
      <c r="D9" s="1441" t="s">
        <v>75</v>
      </c>
      <c r="E9" s="1442"/>
      <c r="F9" s="1442"/>
      <c r="G9" s="1442"/>
      <c r="H9" s="1442"/>
      <c r="I9" s="1443"/>
      <c r="J9" s="1444" t="s">
        <v>76</v>
      </c>
      <c r="K9" s="1445">
        <f ca="1">TODAY()</f>
        <v>45734</v>
      </c>
      <c r="L9" s="8"/>
      <c r="M9" s="8"/>
      <c r="N9" s="8"/>
      <c r="O9" s="8"/>
      <c r="P9" s="8"/>
      <c r="Q9" s="8"/>
      <c r="R9" s="8"/>
      <c r="S9" s="8"/>
      <c r="T9" s="8"/>
      <c r="U9" s="8"/>
      <c r="V9" s="8"/>
      <c r="W9" s="8"/>
      <c r="X9" s="8"/>
      <c r="Y9" s="8"/>
      <c r="Z9" s="8"/>
      <c r="AA9" s="8"/>
    </row>
    <row r="10" spans="1:27" ht="12.75">
      <c r="A10" s="25"/>
      <c r="B10" s="1439"/>
      <c r="C10" s="1440"/>
      <c r="D10" s="1446" t="s">
        <v>77</v>
      </c>
      <c r="E10" s="1442"/>
      <c r="F10" s="1442"/>
      <c r="G10" s="1442"/>
      <c r="H10" s="1442"/>
      <c r="I10" s="1443"/>
      <c r="J10" s="1439"/>
      <c r="K10" s="1440"/>
      <c r="L10" s="8"/>
      <c r="M10" s="8"/>
      <c r="N10" s="8"/>
      <c r="O10" s="8"/>
      <c r="P10" s="8"/>
      <c r="Q10" s="8"/>
      <c r="R10" s="8"/>
      <c r="S10" s="8"/>
      <c r="T10" s="8"/>
      <c r="U10" s="8"/>
      <c r="V10" s="8"/>
      <c r="W10" s="8"/>
      <c r="X10" s="8"/>
      <c r="Y10" s="8"/>
      <c r="Z10" s="8"/>
      <c r="AA10" s="8"/>
    </row>
    <row r="11" spans="1:27" ht="12.75">
      <c r="A11" s="26"/>
      <c r="B11" s="1452" t="s">
        <v>78</v>
      </c>
      <c r="C11" s="1452" t="s">
        <v>79</v>
      </c>
      <c r="D11" s="1453" t="s">
        <v>80</v>
      </c>
      <c r="E11" s="1454" t="s">
        <v>81</v>
      </c>
      <c r="F11" s="1454" t="s">
        <v>82</v>
      </c>
      <c r="G11" s="1454" t="s">
        <v>83</v>
      </c>
      <c r="H11" s="1454" t="s">
        <v>84</v>
      </c>
      <c r="I11" s="1447" t="s">
        <v>85</v>
      </c>
      <c r="J11" s="1447" t="s">
        <v>86</v>
      </c>
      <c r="K11" s="1449" t="s">
        <v>87</v>
      </c>
      <c r="L11" s="8"/>
      <c r="M11" s="8"/>
      <c r="N11" s="8"/>
      <c r="O11" s="8"/>
      <c r="P11" s="8"/>
      <c r="Q11" s="8"/>
      <c r="R11" s="8"/>
      <c r="S11" s="8"/>
      <c r="T11" s="8"/>
      <c r="U11" s="8"/>
      <c r="V11" s="8"/>
      <c r="W11" s="8"/>
      <c r="X11" s="8"/>
      <c r="Y11" s="8"/>
      <c r="Z11" s="8"/>
      <c r="AA11" s="8"/>
    </row>
    <row r="12" spans="1:27" ht="12.75">
      <c r="A12" s="26"/>
      <c r="B12" s="1448"/>
      <c r="C12" s="1448"/>
      <c r="D12" s="1448"/>
      <c r="E12" s="1448"/>
      <c r="F12" s="1448"/>
      <c r="G12" s="1448"/>
      <c r="H12" s="1448"/>
      <c r="I12" s="1448"/>
      <c r="J12" s="1448"/>
      <c r="K12" s="1448"/>
      <c r="L12" s="8"/>
      <c r="M12" s="8"/>
      <c r="N12" s="8"/>
      <c r="O12" s="8"/>
      <c r="P12" s="8"/>
      <c r="Q12" s="8"/>
      <c r="R12" s="8"/>
      <c r="S12" s="8"/>
      <c r="T12" s="8"/>
      <c r="U12" s="8"/>
      <c r="V12" s="8"/>
      <c r="W12" s="8"/>
      <c r="X12" s="8"/>
      <c r="Y12" s="8"/>
      <c r="Z12" s="8"/>
      <c r="AA12" s="8"/>
    </row>
    <row r="13" spans="1:27" ht="176.25" customHeight="1">
      <c r="A13" s="27" t="str">
        <f ca="1">IFERROR(__xludf.DUMMYFUNCTION("UNIQUE(Filter_PR!C2:C985)"),"1Gbps Internet Subscription (Leased Line)")</f>
        <v>1Gbps Internet Subscription (Leased Line)</v>
      </c>
      <c r="B13" s="28">
        <v>1</v>
      </c>
      <c r="C13" s="29" t="e">
        <f ca="1">VLOOKUP(A13,default!B17:D1009,3,0)</f>
        <v>#N/A</v>
      </c>
      <c r="D13" s="30" t="str">
        <f ca="1">IFERROR(__xludf.DUMMYFUNCTION("UNIQUE(Filter_PR!$D2:D985)"),"1Gbps Internet Subscription (Leased Line)
PLDT 1Gbps Internet Subscription (Leased Line)")</f>
        <v>1Gbps Internet Subscription (Leased Line)
PLDT 1Gbps Internet Subscription (Leased Line)</v>
      </c>
      <c r="E13" s="28" t="str">
        <f ca="1">VLOOKUP(A13,Filter_PR!$C$2:F985,3,0)</f>
        <v/>
      </c>
      <c r="F13" s="28">
        <v>0</v>
      </c>
      <c r="G13" s="28">
        <v>0</v>
      </c>
      <c r="H13" s="28">
        <v>0</v>
      </c>
      <c r="I13" s="28">
        <f t="shared" ref="I13:I75" ca="1" si="0">SUM(E13:H13)</f>
        <v>0</v>
      </c>
      <c r="J13" s="31" t="str">
        <f ca="1">VLOOKUP(A13,Filter_PR!$C$2:F985,4,0)</f>
        <v/>
      </c>
      <c r="K13" s="32" t="e">
        <f t="shared" ref="K13:K75" ca="1" si="1">I13*J13</f>
        <v>#VALUE!</v>
      </c>
      <c r="L13" s="8"/>
      <c r="M13" s="8"/>
      <c r="N13" s="8"/>
      <c r="O13" s="8"/>
      <c r="P13" s="8"/>
      <c r="Q13" s="8"/>
      <c r="R13" s="8"/>
      <c r="S13" s="8"/>
      <c r="T13" s="8"/>
      <c r="U13" s="8"/>
      <c r="V13" s="8"/>
      <c r="W13" s="8"/>
      <c r="X13" s="8"/>
      <c r="Y13" s="8"/>
      <c r="Z13" s="8"/>
      <c r="AA13" s="8"/>
    </row>
    <row r="14" spans="1:27" ht="300" customHeight="1">
      <c r="A14" s="27" t="str">
        <f ca="1">IFERROR(__xludf.DUMMYFUNCTION("""COMPUTED_VALUE"""),"A3 Black &amp; White MULTI-FUNCTIONAL
HEAVY-DUTY DIGITAL COPIER")</f>
        <v>A3 Black &amp; White MULTI-FUNCTIONAL
HEAVY-DUTY DIGITAL COPIER</v>
      </c>
      <c r="B14" s="28">
        <v>2</v>
      </c>
      <c r="C14" s="29" t="e">
        <f ca="1">VLOOKUP(A14,default!B17:D1009,3,0)</f>
        <v>#N/A</v>
      </c>
      <c r="D14" s="30" t="str">
        <f ca="1">IFERROR(__xludf.DUMMYFUNCTION("""COMPUTED_VALUE"""),"A3 Black &amp; White MULTI-FUNCTIONAL
HEAVY-DUTY DIGITAL COPIER
Multi-Functional Copier/Scanner/Printer, with automatic document feeder, duplex unit, &amp; job separator; supported
paper sizes: letter, A4, legal, A3; 1 GB memory, CPU speed 1.2GHz dual-core Corte"&amp;"x-A9; with RJ-45 port,
Maintenance Kit capacity before replacement 300,000 copies/print; can print, save and scan via USB,
with dealer/distributor certificate for after-sales service
Warranty: 1 year on parts and 2 years on service")</f>
        <v>A3 Black &amp; White MULTI-FUNCTIONAL
HEAVY-DUTY DIGITAL COPIER
Multi-Functional Copier/Scanner/Printer, with automatic document feeder, duplex unit, &amp; job separator; supported
paper sizes: letter, A4, legal, A3; 1 GB memory, CPU speed 1.2GHz dual-core Cortex-A9; with RJ-45 port,
Maintenance Kit capacity before replacement 300,000 copies/print; can print, save and scan via USB,
with dealer/distributor certificate for after-sales service
Warranty: 1 year on parts and 2 years on service</v>
      </c>
      <c r="E14" s="28">
        <f ca="1">VLOOKUP(A14,Filter_PR!$C$2:F985,3,0)</f>
        <v>0</v>
      </c>
      <c r="F14" s="28">
        <v>0</v>
      </c>
      <c r="G14" s="28">
        <v>0</v>
      </c>
      <c r="H14" s="28">
        <v>0</v>
      </c>
      <c r="I14" s="28">
        <f t="shared" ca="1" si="0"/>
        <v>0</v>
      </c>
      <c r="J14" s="31">
        <f ca="1">VLOOKUP(A14,Filter_PR!$C$2:F985,4,0)</f>
        <v>0</v>
      </c>
      <c r="K14" s="32">
        <f t="shared" ca="1" si="1"/>
        <v>0</v>
      </c>
      <c r="L14" s="8"/>
      <c r="M14" s="8"/>
      <c r="N14" s="8"/>
      <c r="O14" s="8"/>
      <c r="P14" s="8"/>
      <c r="Q14" s="8"/>
      <c r="R14" s="8"/>
      <c r="S14" s="8"/>
      <c r="T14" s="8"/>
      <c r="U14" s="8"/>
      <c r="V14" s="8"/>
      <c r="W14" s="8"/>
      <c r="X14" s="8"/>
      <c r="Y14" s="8"/>
      <c r="Z14" s="8"/>
      <c r="AA14" s="8"/>
    </row>
    <row r="15" spans="1:27" ht="191.25">
      <c r="A15" s="27" t="str">
        <f ca="1">IFERROR(__xludf.DUMMYFUNCTION("""COMPUTED_VALUE"""),"A3 Full-Colour Digital Copier, Full-Colour Network Printer,&amp; Full-Colour Network Scanner")</f>
        <v>A3 Full-Colour Digital Copier, Full-Colour Network Printer,&amp; Full-Colour Network Scanner</v>
      </c>
      <c r="B15" s="28">
        <v>3</v>
      </c>
      <c r="C15" s="29" t="e">
        <f ca="1">VLOOKUP(A15,default!B17:D1009,3,0)</f>
        <v>#N/A</v>
      </c>
      <c r="D15" s="30" t="str">
        <f ca="1">IFERROR(__xludf.DUMMYFUNCTION("""COMPUTED_VALUE"""),"A3 Full-Colour Digital Copier, Full-Colour Network Printer,&amp; Full-Colour Network Scanner
Maintenance kit life: 200,000 copies or prints
Copy or print speed: 24 pages per minute(A4)
CPU: ARM Cortex-A9 Dual-core 1.2 GHz
Memory: 1,536 MB RAM
Print resolution"&amp;": 1,200 dpi x 1,200 dpi
With a 50-sheet Reversing Automatic Document Feeder
With Duplex Unit for automatic back-to-back copy or print
With Job Separator for separation of copy from print job
Functions: color copying, network color printing, network color "&amp;"scanning
With supplier’s dealer or distributor’s certificate from the manufacturer for after-sales service
Warranty: 1 year on parts and 2 years on service")</f>
        <v>A3 Full-Colour Digital Copier, Full-Colour Network Printer,&amp; Full-Colour Network Scanner
Maintenance kit life: 200,000 copies or prints
Copy or print speed: 24 pages per minute(A4)
CPU: ARM Cortex-A9 Dual-core 1.2 GHz
Memory: 1,536 MB RAM
Print resolution: 1,200 dpi x 1,200 dpi
With a 50-sheet Reversing Automatic Document Feeder
With Duplex Unit for automatic back-to-back copy or print
With Job Separator for separation of copy from print job
Functions: color copying, network color printing, network color scanning
With supplier’s dealer or distributor’s certificate from the manufacturer for after-sales service
Warranty: 1 year on parts and 2 years on service</v>
      </c>
      <c r="E15" s="28">
        <f ca="1">VLOOKUP(A15,Filter_PR!$C$2:F985,3,0)</f>
        <v>0</v>
      </c>
      <c r="F15" s="28">
        <v>0</v>
      </c>
      <c r="G15" s="28">
        <v>0</v>
      </c>
      <c r="H15" s="28">
        <v>0</v>
      </c>
      <c r="I15" s="28">
        <f t="shared" ca="1" si="0"/>
        <v>0</v>
      </c>
      <c r="J15" s="31">
        <f ca="1">VLOOKUP(A15,Filter_PR!$C$2:F985,4,0)</f>
        <v>0</v>
      </c>
      <c r="K15" s="32">
        <f t="shared" ca="1" si="1"/>
        <v>0</v>
      </c>
      <c r="L15" s="8"/>
      <c r="M15" s="8"/>
      <c r="N15" s="8"/>
      <c r="O15" s="8"/>
      <c r="P15" s="8"/>
      <c r="Q15" s="8"/>
      <c r="R15" s="8"/>
      <c r="S15" s="8"/>
      <c r="T15" s="8"/>
      <c r="U15" s="8"/>
      <c r="V15" s="8"/>
      <c r="W15" s="8"/>
      <c r="X15" s="8"/>
      <c r="Y15" s="8"/>
      <c r="Z15" s="8"/>
      <c r="AA15" s="8"/>
    </row>
    <row r="16" spans="1:27" ht="57" customHeight="1">
      <c r="A16" s="27" t="str">
        <f ca="1">IFERROR(__xludf.DUMMYFUNCTION("""COMPUTED_VALUE"""),"Base Radio dual band with antenna")</f>
        <v>Base Radio dual band with antenna</v>
      </c>
      <c r="B16" s="28">
        <v>15</v>
      </c>
      <c r="C16" s="29" t="e">
        <f ca="1">VLOOKUP(A16,default!B19:D1009,3,0)</f>
        <v>#N/A</v>
      </c>
      <c r="D16" s="30" t="str">
        <f ca="1">IFERROR(__xludf.DUMMYFUNCTION("""COMPUTED_VALUE"""),"Base Radio dual band with antenna
Base Radio dual band with antenna")</f>
        <v>Base Radio dual band with antenna
Base Radio dual band with antenna</v>
      </c>
      <c r="E16" s="28">
        <f ca="1">VLOOKUP(A16,Filter_PR!$C$2:F985,3,0)</f>
        <v>0</v>
      </c>
      <c r="F16" s="28">
        <v>0</v>
      </c>
      <c r="G16" s="28">
        <v>0</v>
      </c>
      <c r="H16" s="28">
        <v>0</v>
      </c>
      <c r="I16" s="28">
        <f t="shared" ca="1" si="0"/>
        <v>0</v>
      </c>
      <c r="J16" s="31">
        <f ca="1">VLOOKUP(A16,Filter_PR!$C$2:F985,4,0)</f>
        <v>0</v>
      </c>
      <c r="K16" s="32">
        <f t="shared" ca="1" si="1"/>
        <v>0</v>
      </c>
      <c r="L16" s="8"/>
      <c r="M16" s="8"/>
      <c r="N16" s="8"/>
      <c r="O16" s="8"/>
      <c r="P16" s="8"/>
      <c r="Q16" s="8"/>
      <c r="R16" s="8"/>
      <c r="S16" s="8"/>
      <c r="T16" s="8"/>
      <c r="U16" s="8"/>
      <c r="V16" s="8"/>
      <c r="W16" s="8"/>
      <c r="X16" s="8"/>
      <c r="Y16" s="8"/>
      <c r="Z16" s="8"/>
      <c r="AA16" s="8"/>
    </row>
    <row r="17" spans="1:27" ht="72" customHeight="1">
      <c r="A17" s="27" t="str">
        <f ca="1">IFERROR(__xludf.DUMMYFUNCTION("""COMPUTED_VALUE"""),"Black &amp; White Monochrome MULTI-FUNCTIONAL MACHINE")</f>
        <v>Black &amp; White Monochrome MULTI-FUNCTIONAL MACHINE</v>
      </c>
      <c r="B17" s="28">
        <v>16</v>
      </c>
      <c r="C17" s="29" t="e">
        <f ca="1">VLOOKUP(A17,default!B20:D1009,3,0)</f>
        <v>#N/A</v>
      </c>
      <c r="D17" s="30" t="str">
        <f ca="1">IFERROR(__xludf.DUMMYFUNCTION("""COMPUTED_VALUE"""),"Black &amp; White Monochrome MULTI-FUNCTIONAL MACHINE
DIGITAL COPIER, NETWORK PRINTER, NETWORK COLORED SCANNER, &amp;
NETWORK FAX in one
Copy/print/scan speed: 40 pages per minute (A4)
Memory: 512 MB
CPU: PowerPC 440 / 800 MHz speed
With Dual-scan Document Feeder"&amp;" and Duplex Unit
Functions: Black&amp;White copying, network printing, network colored scanning, and network fax
Scan/Print via USB flash drive memory
Print resolution: 1200 x 1200 d.p.i.
Maintenance Kit life: 100,000 copies/prints
Maximum copy/print/fax/scan"&amp;" size: 8.5” x 14” Legal size on the top glass &amp; Dual-scan Document Feeder
Power Consumption: Copy/Print mode: 661 W, Ready mode: 21 W, Sleep-mode: 1 W
With supplier’s dealer/distributor certificate from the manufacturer for after-sales service
One (1) pap"&amp;"er cassette (250 sheets) and multi-purpose bypass tray (50 sheets)
Continuous copying: up to 999, 
with dealer/distributor certificate for after-sales service
1 year spare parts warranty and 2 years service warranty")</f>
        <v>Black &amp; White Monochrome MULTI-FUNCTIONAL MACHINE
DIGITAL COPIER, NETWORK PRINTER, NETWORK COLORED SCANNER, &amp;
NETWORK FAX in one
Copy/print/scan speed: 40 pages per minute (A4)
Memory: 512 MB
CPU: PowerPC 440 / 800 MHz speed
With Dual-scan Document Feeder and Duplex Unit
Functions: Black&amp;White copying, network printing, network colored scanning, and network fax
Scan/Print via USB flash drive memory
Print resolution: 1200 x 1200 d.p.i.
Maintenance Kit life: 100,000 copies/prints
Maximum copy/print/fax/scan size: 8.5” x 14” Legal size on the top glass &amp; Dual-scan Document Feeder
Power Consumption: Copy/Print mode: 661 W, Ready mode: 21 W, Sleep-mode: 1 W
With supplier’s dealer/distributor certificate from the manufacturer for after-sales service
One (1) paper cassette (250 sheets) and multi-purpose bypass tray (50 sheets)
Continuous copying: up to 999, 
with dealer/distributor certificate for after-sales service
1 year spare parts warranty and 2 years service warranty</v>
      </c>
      <c r="E17" s="28">
        <f ca="1">VLOOKUP(A17,Filter_PR!$C$2:F985,3,0)</f>
        <v>0</v>
      </c>
      <c r="F17" s="28">
        <v>0</v>
      </c>
      <c r="G17" s="28">
        <v>0</v>
      </c>
      <c r="H17" s="28">
        <v>0</v>
      </c>
      <c r="I17" s="28">
        <f t="shared" ca="1" si="0"/>
        <v>0</v>
      </c>
      <c r="J17" s="31">
        <f ca="1">VLOOKUP(A17,Filter_PR!$C$2:F985,4,0)</f>
        <v>0</v>
      </c>
      <c r="K17" s="32">
        <f t="shared" ca="1" si="1"/>
        <v>0</v>
      </c>
      <c r="L17" s="8"/>
      <c r="M17" s="8"/>
      <c r="N17" s="8"/>
      <c r="O17" s="8"/>
      <c r="P17" s="8"/>
      <c r="Q17" s="8"/>
      <c r="R17" s="8"/>
      <c r="S17" s="8"/>
      <c r="T17" s="8"/>
      <c r="U17" s="8"/>
      <c r="V17" s="8"/>
      <c r="W17" s="8"/>
      <c r="X17" s="8"/>
      <c r="Y17" s="8"/>
      <c r="Z17" s="8"/>
      <c r="AA17" s="8"/>
    </row>
    <row r="18" spans="1:27" ht="70.5" customHeight="1">
      <c r="A18" s="27" t="str">
        <f ca="1">IFERROR(__xludf.DUMMYFUNCTION("""COMPUTED_VALUE"""),"Branded Desktop Computer Set")</f>
        <v>Branded Desktop Computer Set</v>
      </c>
      <c r="B18" s="28">
        <v>17</v>
      </c>
      <c r="C18" s="29" t="e">
        <f ca="1">VLOOKUP(A18,default!B21:D1009,3,0)</f>
        <v>#N/A</v>
      </c>
      <c r="D18" s="30" t="str">
        <f ca="1">IFERROR(__xludf.DUMMYFUNCTION("""COMPUTED_VALUE"""),"Branded Desktop Computer Set
Processor: Intel Core i7-12700F, 25MB Cache, 4.9GHz
System Memory: 16GB DDR4 3200MHz
Display Card: 4GB DDR4 Graphic Cards
Hard Drive Storage: 512GB SSD Boot Drive +
1TB HDD Sata Drive
Monitor: 24"" Full HD IPS Panel, 1920"&amp;" x 1080 resolution
LAN Support: 10/100/1000 Mb/s LAN Subsystem
Gigabit Ethernet Controller
With Intel Dual Band WiFi 6 AX 201 2x2 AX + 
Bluetooth 5.2
Power Supply: 350 watts High Efficiency Power Supply
Front Ports:
Two Super Speed USB 3.0 front an"&amp;"d Two USB 2.0 ports, 2x Audio Jack Ports, 1x Type C Port
Rear Ports:
2 X USB 3.2 Gen 2x1 Type A port(s), 2 X USB2.0 port(s), 2x PS2 Ports, 3 Audio Jack Ports (Line Out/Line In/Mic In), 1 x HDMI 2.0 Port, 1 x VGA Port, 1 x Display Port, 1 x RJ45 Port
OS"&amp;": Windows 11 Pro 
Additional Features: Energy Star Version 6.1
Accessories: USB Mouse, USB Keyboard, Bluetooth,
Speaker, UPS 650VA, 360 watts
Warranty: at least 3-year limited parts warranty
and services")</f>
        <v>Branded Desktop Computer Set
Processor: Intel Core i7-12700F, 25MB Cache, 4.9GHz
System Memory: 16GB DDR4 3200MHz
Display Card: 4GB DDR4 Graphic Cards
Hard Drive Storage: 512GB SSD Boot Drive +
1TB HDD Sata Drive
Monitor: 24" Full HD IPS Panel, 1920 x 1080 resolution
LAN Support: 10/100/1000 Mb/s LAN Subsystem
Gigabit Ethernet Controller
With Intel Dual Band WiFi 6 AX 201 2x2 AX + 
Bluetooth 5.2
Power Supply: 350 watts High Efficiency Power Supply
Front Ports:
Two Super Speed USB 3.0 front and Two USB 2.0 ports, 2x Audio Jack Ports, 1x Type C Port
Rear Ports:
2 X USB 3.2 Gen 2x1 Type A port(s), 2 X USB2.0 port(s), 2x PS2 Ports, 3 Audio Jack Ports (Line Out/Line In/Mic In), 1 x HDMI 2.0 Port, 1 x VGA Port, 1 x Display Port, 1 x RJ45 Port
OS: Windows 11 Pro 
Additional Features: Energy Star Version 6.1
Accessories: USB Mouse, USB Keyboard, Bluetooth,
Speaker, UPS 650VA, 360 watts
Warranty: at least 3-year limited parts warranty
and services</v>
      </c>
      <c r="E18" s="28">
        <f ca="1">VLOOKUP(A18,Filter_PR!$C$2:F985,3,0)</f>
        <v>0</v>
      </c>
      <c r="F18" s="28">
        <v>0</v>
      </c>
      <c r="G18" s="28">
        <v>0</v>
      </c>
      <c r="H18" s="28">
        <v>0</v>
      </c>
      <c r="I18" s="28">
        <f t="shared" ca="1" si="0"/>
        <v>0</v>
      </c>
      <c r="J18" s="31">
        <f ca="1">VLOOKUP(A18,Filter_PR!$C$2:F985,4,0)</f>
        <v>0</v>
      </c>
      <c r="K18" s="32">
        <f t="shared" ca="1" si="1"/>
        <v>0</v>
      </c>
      <c r="L18" s="8"/>
      <c r="M18" s="8"/>
      <c r="N18" s="8"/>
      <c r="O18" s="8"/>
      <c r="P18" s="8"/>
      <c r="Q18" s="8"/>
      <c r="R18" s="8"/>
      <c r="S18" s="8"/>
      <c r="T18" s="8"/>
      <c r="U18" s="8"/>
      <c r="V18" s="8"/>
      <c r="W18" s="8"/>
      <c r="X18" s="8"/>
      <c r="Y18" s="8"/>
      <c r="Z18" s="8"/>
      <c r="AA18" s="8"/>
    </row>
    <row r="19" spans="1:27" ht="111.75" customHeight="1">
      <c r="A19" s="27" t="str">
        <f ca="1">IFERROR(__xludf.DUMMYFUNCTION("""COMPUTED_VALUE"""),"Branded Laptop")</f>
        <v>Branded Laptop</v>
      </c>
      <c r="B19" s="28">
        <v>18</v>
      </c>
      <c r="C19" s="29" t="e">
        <f ca="1">VLOOKUP(A19,default!B22:D1009,3,0)</f>
        <v>#N/A</v>
      </c>
      <c r="D19" s="30" t="str">
        <f ca="1">IFERROR(__xludf.DUMMYFUNCTION("""COMPUTED_VALUE"""),"Branded Laptop
Core i7-1195G7 processor 2.9 GHz, at least 16GB DDR4 (8GB of onboard DDR4 system memory + 8GB of dual-channel DDR4), 1TB NVMe SSD, 15.6 inches display Full HD 1920 x 1080, Intel Iris Xe Graphics, Genuine Windows 11 Pro or higher
Gigabit Eth"&amp;"ernet, Wi-Fi  6
with Charger
Warranty: at least 1-year limited parts warranty
and services")</f>
        <v>Branded Laptop
Core i7-1195G7 processor 2.9 GHz, at least 16GB DDR4 (8GB of onboard DDR4 system memory + 8GB of dual-channel DDR4), 1TB NVMe SSD, 15.6 inches display Full HD 1920 x 1080, Intel Iris Xe Graphics, Genuine Windows 11 Pro or higher
Gigabit Ethernet, Wi-Fi  6
with Charger
Warranty: at least 1-year limited parts warranty
and services</v>
      </c>
      <c r="E19" s="28">
        <f ca="1">VLOOKUP(A19,Filter_PR!$C$2:F985,3,0)</f>
        <v>0</v>
      </c>
      <c r="F19" s="28">
        <v>0</v>
      </c>
      <c r="G19" s="28">
        <v>0</v>
      </c>
      <c r="H19" s="28">
        <v>0</v>
      </c>
      <c r="I19" s="28">
        <f t="shared" ca="1" si="0"/>
        <v>0</v>
      </c>
      <c r="J19" s="31">
        <f ca="1">VLOOKUP(A19,Filter_PR!$C$2:F985,4,0)</f>
        <v>0</v>
      </c>
      <c r="K19" s="32">
        <f t="shared" ca="1" si="1"/>
        <v>0</v>
      </c>
      <c r="L19" s="8"/>
      <c r="M19" s="8"/>
      <c r="N19" s="8"/>
      <c r="O19" s="8"/>
      <c r="P19" s="8"/>
      <c r="Q19" s="8"/>
      <c r="R19" s="8"/>
      <c r="S19" s="8"/>
      <c r="T19" s="8"/>
      <c r="U19" s="8"/>
      <c r="V19" s="8"/>
      <c r="W19" s="8"/>
      <c r="X19" s="8"/>
      <c r="Y19" s="8"/>
      <c r="Z19" s="8"/>
      <c r="AA19" s="8"/>
    </row>
    <row r="20" spans="1:27" ht="180">
      <c r="A20" s="15" t="str">
        <f ca="1">IFERROR(__xludf.DUMMYFUNCTION("""COMPUTED_VALUE"""),"Camera DSLR")</f>
        <v>Camera DSLR</v>
      </c>
      <c r="B20" s="28">
        <v>21</v>
      </c>
      <c r="C20" s="29" t="e">
        <f ca="1">VLOOKUP(A20,default!B23:D1009,3,0)</f>
        <v>#N/A</v>
      </c>
      <c r="D20" s="33" t="str">
        <f ca="1">IFERROR(__xludf.DUMMYFUNCTION("""COMPUTED_VALUE"""),"Camera DSLR
18-55mm IS STM Black
Type: Digital AF/AE single-lens reflex camera with built-in flash
Recording Media: SD/SDHC/SDXC memory cards
SD speed class-compatible; UHS-I compatible; Compatible with Eye-Fi cards.
Image Format: Approx. 22.3 x 14.9m"&amp;"m (APS-C) 
Compatible Lenses: EF lenses (including EF-S lenses, excluding EF-M lenses)
Lens Mount: EF mount
Accessories: AC Adapter AC-E6N and Charger; Camera Bag")</f>
        <v>Camera DSLR
18-55mm IS STM Black
Type: Digital AF/AE single-lens reflex camera with built-in flash
Recording Media: SD/SDHC/SDXC memory cards
SD speed class-compatible; UHS-I compatible; Compatible with Eye-Fi cards.
Image Format: Approx. 22.3 x 14.9mm (APS-C) 
Compatible Lenses: EF lenses (including EF-S lenses, excluding EF-M lenses)
Lens Mount: EF mount
Accessories: AC Adapter AC-E6N and Charger; Camera Bag</v>
      </c>
      <c r="E20" s="28">
        <f ca="1">VLOOKUP(A20,Filter_PR!$C$2:F985,3,0)</f>
        <v>0</v>
      </c>
      <c r="F20" s="28">
        <v>0</v>
      </c>
      <c r="G20" s="28">
        <v>0</v>
      </c>
      <c r="H20" s="28">
        <v>0</v>
      </c>
      <c r="I20" s="28">
        <f t="shared" ca="1" si="0"/>
        <v>0</v>
      </c>
      <c r="J20" s="31">
        <f ca="1">VLOOKUP(A20,Filter_PR!$C$2:F985,4,0)</f>
        <v>0</v>
      </c>
      <c r="K20" s="32">
        <f t="shared" ca="1" si="1"/>
        <v>0</v>
      </c>
      <c r="L20" s="8"/>
      <c r="M20" s="8"/>
      <c r="N20" s="8"/>
      <c r="O20" s="8"/>
      <c r="P20" s="8"/>
      <c r="Q20" s="8"/>
      <c r="R20" s="8"/>
      <c r="S20" s="8"/>
      <c r="T20" s="8"/>
      <c r="U20" s="8"/>
      <c r="V20" s="8"/>
      <c r="W20" s="8"/>
      <c r="X20" s="8"/>
      <c r="Y20" s="8"/>
      <c r="Z20" s="8"/>
      <c r="AA20" s="8"/>
    </row>
    <row r="21" spans="1:27" ht="165">
      <c r="A21" s="9" t="str">
        <f ca="1">IFERROR(__xludf.DUMMYFUNCTION("""COMPUTED_VALUE"""),"Core Stackable Managed Switch with 20x10G SFP+ Module for Multimode fiber compatible with the existing CBS350-24XS")</f>
        <v>Core Stackable Managed Switch with 20x10G SFP+ Module for Multimode fiber compatible with the existing CBS350-24XS</v>
      </c>
      <c r="B21" s="28">
        <v>22</v>
      </c>
      <c r="C21" s="29" t="e">
        <f ca="1">VLOOKUP(A21,default!B25:D1009,3,0)</f>
        <v>#N/A</v>
      </c>
      <c r="D21" s="34" t="str">
        <f ca="1">IFERROR(__xludf.DUMMYFUNCTION("""COMPUTED_VALUE"""),"Core Stackable Managed Switch with 20x10G SFP+ Module for Multimode fiber compatible with the existing CBS350-24XS
Switching Capacity in Gigabits per Second: 480 Gbps
Up to 4 units in a stack
24 x 10 Gigabit SFP+
4 x 10 Gigabit copper ports (combo with 4 "&amp;"x SFP+)
1 x GE management port
Rack-mountable
Inclusion: 2x Direct-Attach Twinax Copper Cable Assembly with SFP+ Connectors SFP-H10GB-CU1M
Warranty: 1 year or more")</f>
        <v>Core Stackable Managed Switch with 20x10G SFP+ Module for Multimode fiber compatible with the existing CBS350-24XS
Switching Capacity in Gigabits per Second: 480 Gbps
Up to 4 units in a stack
24 x 10 Gigabit SFP+
4 x 10 Gigabit copper ports (combo with 4 x SFP+)
1 x GE management port
Rack-mountable
Inclusion: 2x Direct-Attach Twinax Copper Cable Assembly with SFP+ Connectors SFP-H10GB-CU1M
Warranty: 1 year or more</v>
      </c>
      <c r="E21" s="28">
        <f ca="1">VLOOKUP(A21,Filter_PR!$C$2:F985,3,0)</f>
        <v>0</v>
      </c>
      <c r="F21" s="28">
        <v>0</v>
      </c>
      <c r="G21" s="28">
        <v>0</v>
      </c>
      <c r="H21" s="28">
        <v>0</v>
      </c>
      <c r="I21" s="28">
        <f t="shared" ca="1" si="0"/>
        <v>0</v>
      </c>
      <c r="J21" s="31">
        <f ca="1">VLOOKUP(A21,Filter_PR!$C$2:F985,4,0)</f>
        <v>0</v>
      </c>
      <c r="K21" s="32">
        <f t="shared" ca="1" si="1"/>
        <v>0</v>
      </c>
      <c r="L21" s="8"/>
      <c r="M21" s="8"/>
      <c r="N21" s="8"/>
      <c r="O21" s="8"/>
      <c r="P21" s="8"/>
      <c r="Q21" s="8"/>
      <c r="R21" s="8"/>
      <c r="S21" s="8"/>
      <c r="T21" s="8"/>
      <c r="U21" s="8"/>
      <c r="V21" s="8"/>
      <c r="W21" s="8"/>
      <c r="X21" s="8"/>
      <c r="Y21" s="8"/>
      <c r="Z21" s="8"/>
      <c r="AA21" s="8"/>
    </row>
    <row r="22" spans="1:27" ht="180">
      <c r="A22" s="9" t="str">
        <f ca="1">IFERROR(__xludf.DUMMYFUNCTION("""COMPUTED_VALUE"""),"Desktop Type Document Scanner")</f>
        <v>Desktop Type Document Scanner</v>
      </c>
      <c r="B22" s="28">
        <v>23</v>
      </c>
      <c r="C22" s="29" t="e">
        <f ca="1">VLOOKUP(A22,default!B26:D1009,3,0)</f>
        <v>#N/A</v>
      </c>
      <c r="D22" s="34" t="str">
        <f ca="1">IFERROR(__xludf.DUMMYFUNCTION("""COMPUTED_VALUE"""),"Desktop Type Document Scanner
Type: Desktop Type Sheet Fed Scanner
Scanning sensor unit: CMOS CIS 1 Line Sensor
Optical resolution: 600dpi or more
Light source: RGB LED
Scanning side: Front / Back / Duplex
Interface: USB 2.0 (USB 3.0 compatible)
SCANNING "&amp;"SPEED
   Black and White: 60ppm / 120ipm or more
   Colour: 60ppm / 120ipm or more
Compatible with the existing software CaptureOnTouch Pro
Warranty: 1 year or more")</f>
        <v>Desktop Type Document Scanner
Type: Desktop Type Sheet Fed Scanner
Scanning sensor unit: CMOS CIS 1 Line Sensor
Optical resolution: 600dpi or more
Light source: RGB LED
Scanning side: Front / Back / Duplex
Interface: USB 2.0 (USB 3.0 compatible)
SCANNING SPEED
   Black and White: 60ppm / 120ipm or more
   Colour: 60ppm / 120ipm or more
Compatible with the existing software CaptureOnTouch Pro
Warranty: 1 year or more</v>
      </c>
      <c r="E22" s="28">
        <f ca="1">VLOOKUP(A22,Filter_PR!$C$2:F985,3,0)</f>
        <v>0</v>
      </c>
      <c r="F22" s="28">
        <v>0</v>
      </c>
      <c r="G22" s="28">
        <v>0</v>
      </c>
      <c r="H22" s="28">
        <v>0</v>
      </c>
      <c r="I22" s="28">
        <f t="shared" ca="1" si="0"/>
        <v>0</v>
      </c>
      <c r="J22" s="31">
        <f ca="1">VLOOKUP(A22,Filter_PR!$C$2:F985,4,0)</f>
        <v>0</v>
      </c>
      <c r="K22" s="32">
        <f t="shared" ca="1" si="1"/>
        <v>0</v>
      </c>
      <c r="L22" s="8"/>
      <c r="M22" s="8"/>
      <c r="N22" s="8"/>
      <c r="O22" s="8"/>
      <c r="P22" s="8"/>
      <c r="Q22" s="8"/>
      <c r="R22" s="8"/>
      <c r="S22" s="8"/>
      <c r="T22" s="8"/>
      <c r="U22" s="8"/>
      <c r="V22" s="8"/>
      <c r="W22" s="8"/>
      <c r="X22" s="8"/>
      <c r="Y22" s="8"/>
      <c r="Z22" s="8"/>
      <c r="AA22" s="8"/>
    </row>
    <row r="23" spans="1:27" ht="102">
      <c r="A23" s="8" t="str">
        <f ca="1">IFERROR(__xludf.DUMMYFUNCTION("""COMPUTED_VALUE"""),"Distribution Stackable Managed Switch with 4x10G SFP+ Module for Multimode fiber compatible with the existing CBS350-24FP-4X")</f>
        <v>Distribution Stackable Managed Switch with 4x10G SFP+ Module for Multimode fiber compatible with the existing CBS350-24FP-4X</v>
      </c>
      <c r="B23" s="28">
        <v>24</v>
      </c>
      <c r="C23" s="29" t="e">
        <f ca="1">VLOOKUP(A23,default!B27:D1009,3,0)</f>
        <v>#N/A</v>
      </c>
      <c r="D23" s="35" t="str">
        <f ca="1">IFERROR(__xludf.DUMMYFUNCTION("""COMPUTED_VALUE"""),"Distribution Stackable Managed Switch with 4x10G SFP+ Module for Multimode fiber compatible with the existing CBS350-24FP-4X
Switching Capacity in Gigabits per Second: 128 Gbps
Up to 4 units in a stack
24 10/100/1000 PoE+ ports with 370W power budget
4 10"&amp;" Gigabit SFP+
Rack-mountable
Warranty: 1 year or more")</f>
        <v>Distribution Stackable Managed Switch with 4x10G SFP+ Module for Multimode fiber compatible with the existing CBS350-24FP-4X
Switching Capacity in Gigabits per Second: 128 Gbps
Up to 4 units in a stack
24 10/100/1000 PoE+ ports with 370W power budget
4 10 Gigabit SFP+
Rack-mountable
Warranty: 1 year or more</v>
      </c>
      <c r="E23" s="28">
        <f ca="1">VLOOKUP(A23,Filter_PR!$C$2:F985,3,0)</f>
        <v>0</v>
      </c>
      <c r="F23" s="28">
        <v>0</v>
      </c>
      <c r="G23" s="28">
        <v>0</v>
      </c>
      <c r="H23" s="28">
        <v>0</v>
      </c>
      <c r="I23" s="28">
        <f t="shared" ca="1" si="0"/>
        <v>0</v>
      </c>
      <c r="J23" s="31">
        <f ca="1">VLOOKUP(A23,Filter_PR!$C$2:F985,4,0)</f>
        <v>0</v>
      </c>
      <c r="K23" s="32">
        <f t="shared" ca="1" si="1"/>
        <v>0</v>
      </c>
      <c r="L23" s="8"/>
      <c r="M23" s="8"/>
      <c r="N23" s="8"/>
      <c r="O23" s="8"/>
      <c r="P23" s="8"/>
      <c r="Q23" s="8"/>
      <c r="R23" s="8"/>
      <c r="S23" s="8"/>
      <c r="T23" s="8"/>
      <c r="U23" s="8"/>
      <c r="V23" s="8"/>
      <c r="W23" s="8"/>
      <c r="X23" s="8"/>
      <c r="Y23" s="8"/>
      <c r="Z23" s="8"/>
      <c r="AA23" s="8"/>
    </row>
    <row r="24" spans="1:27" ht="60">
      <c r="A24" s="15" t="str">
        <f ca="1">IFERROR(__xludf.DUMMYFUNCTION("""COMPUTED_VALUE"""),"Fortinet Firewall Annual Subscription, Website Hosting &amp; SMS, Google, ZOOM Subscription, Software as a service (SaaS)")</f>
        <v>Fortinet Firewall Annual Subscription, Website Hosting &amp; SMS, Google, ZOOM Subscription, Software as a service (SaaS)</v>
      </c>
      <c r="B24" s="28">
        <v>25</v>
      </c>
      <c r="C24" s="29" t="e">
        <f ca="1">VLOOKUP(A24,default!B28:D1009,3,0)</f>
        <v>#N/A</v>
      </c>
      <c r="D24" s="33" t="str">
        <f ca="1">IFERROR(__xludf.DUMMYFUNCTION("""COMPUTED_VALUE"""),"Fortinet Firewall Annual Subscription, Website Hosting &amp; SMS, Google, ZOOM Subscription, Software as a service (SaaS)
Fortinet Firewall Annual Subscription, Website Hosting &amp; SMS, ZOOM Subscription")</f>
        <v>Fortinet Firewall Annual Subscription, Website Hosting &amp; SMS, Google, ZOOM Subscription, Software as a service (SaaS)
Fortinet Firewall Annual Subscription, Website Hosting &amp; SMS, ZOOM Subscription</v>
      </c>
      <c r="E24" s="28">
        <f ca="1">VLOOKUP(A24,Filter_PR!$C$2:F985,3,0)</f>
        <v>0</v>
      </c>
      <c r="F24" s="28">
        <v>0</v>
      </c>
      <c r="G24" s="28">
        <v>0</v>
      </c>
      <c r="H24" s="28">
        <v>0</v>
      </c>
      <c r="I24" s="28">
        <f t="shared" ca="1" si="0"/>
        <v>0</v>
      </c>
      <c r="J24" s="31">
        <f ca="1">VLOOKUP(A24,Filter_PR!$C$2:F985,4,0)</f>
        <v>0</v>
      </c>
      <c r="K24" s="32">
        <f t="shared" ca="1" si="1"/>
        <v>0</v>
      </c>
      <c r="L24" s="8"/>
      <c r="M24" s="8"/>
      <c r="N24" s="8"/>
      <c r="O24" s="8"/>
      <c r="P24" s="8"/>
      <c r="Q24" s="8"/>
      <c r="R24" s="8"/>
      <c r="S24" s="8"/>
      <c r="T24" s="8"/>
      <c r="U24" s="8"/>
      <c r="V24" s="8"/>
      <c r="W24" s="8"/>
      <c r="X24" s="8"/>
      <c r="Y24" s="8"/>
      <c r="Z24" s="8"/>
      <c r="AA24" s="8"/>
    </row>
    <row r="25" spans="1:27" ht="120">
      <c r="A25" s="15" t="str">
        <f ca="1">IFERROR(__xludf.DUMMYFUNCTION("""COMPUTED_VALUE"""),"Fortinet Firewall with Annual Subscription and 4x10G SFP+ transceiver module compatible with the existing FortiGATE-601E for HA configuration and deployment.")</f>
        <v>Fortinet Firewall with Annual Subscription and 4x10G SFP+ transceiver module compatible with the existing FortiGATE-601E for HA configuration and deployment.</v>
      </c>
      <c r="B25" s="28">
        <v>26</v>
      </c>
      <c r="C25" s="29" t="e">
        <f ca="1">VLOOKUP(A25,default!B29:D1009,3,0)</f>
        <v>#N/A</v>
      </c>
      <c r="D25" s="33" t="str">
        <f ca="1">IFERROR(__xludf.DUMMYFUNCTION("""COMPUTED_VALUE"""),"Fortinet Firewall with Annual Subscription and 4x10G SFP+ transceiver module compatible with the existing FortiGATE-601E for HA configuration and deployment.
Fortinet Firewall with Annual Subscription and 4x10G SFP+ transceiver module compatible with the "&amp;"existing FortiGATE-601E for HA configuration and deployment.
Includes installation, commissioning, configuration, testing, training with certification and documentation.")</f>
        <v>Fortinet Firewall with Annual Subscription and 4x10G SFP+ transceiver module compatible with the existing FortiGATE-601E for HA configuration and deployment.
Fortinet Firewall with Annual Subscription and 4x10G SFP+ transceiver module compatible with the existing FortiGATE-601E for HA configuration and deployment.
Includes installation, commissioning, configuration, testing, training with certification and documentation.</v>
      </c>
      <c r="E25" s="28">
        <f ca="1">VLOOKUP(A25,Filter_PR!$C$2:F985,3,0)</f>
        <v>0</v>
      </c>
      <c r="F25" s="28">
        <v>0</v>
      </c>
      <c r="G25" s="28">
        <v>0</v>
      </c>
      <c r="H25" s="28">
        <v>0</v>
      </c>
      <c r="I25" s="28">
        <f t="shared" ca="1" si="0"/>
        <v>0</v>
      </c>
      <c r="J25" s="31">
        <f ca="1">VLOOKUP(A25,Filter_PR!$C$2:F985,4,0)</f>
        <v>0</v>
      </c>
      <c r="K25" s="32">
        <f t="shared" ca="1" si="1"/>
        <v>0</v>
      </c>
      <c r="L25" s="8"/>
      <c r="M25" s="8"/>
      <c r="N25" s="8"/>
      <c r="O25" s="8"/>
      <c r="P25" s="8"/>
      <c r="Q25" s="8"/>
      <c r="R25" s="8"/>
      <c r="S25" s="8"/>
      <c r="T25" s="8"/>
      <c r="U25" s="8"/>
      <c r="V25" s="8"/>
      <c r="W25" s="8"/>
      <c r="X25" s="8"/>
      <c r="Y25" s="8"/>
      <c r="Z25" s="8"/>
      <c r="AA25" s="8"/>
    </row>
    <row r="26" spans="1:27" ht="75">
      <c r="A26" s="15" t="str">
        <f ca="1">IFERROR(__xludf.DUMMYFUNCTION("""COMPUTED_VALUE"""),"Maintenance and Upgrade of Desktop, Laptop, Server, DOH/DICT Cybersecurity Equipment compliance, Copier, Printer, Network, PABX, CCTV and Paging System")</f>
        <v>Maintenance and Upgrade of Desktop, Laptop, Server, DOH/DICT Cybersecurity Equipment compliance, Copier, Printer, Network, PABX, CCTV and Paging System</v>
      </c>
      <c r="B26" s="28">
        <v>27</v>
      </c>
      <c r="C26" s="29" t="e">
        <f ca="1">VLOOKUP(A26,default!B30:D1009,3,0)</f>
        <v>#N/A</v>
      </c>
      <c r="D26" s="33" t="str">
        <f ca="1">IFERROR(__xludf.DUMMYFUNCTION("""COMPUTED_VALUE"""),"Maintenance and Upgrade of Desktop, Laptop, Server, DOH/DICT Cybersecurity Equipment compliance, Copier, Printer, Network, PABX, CCTV and Paging System
Maintenance and Upgrade of Desktop, Laptop, Server, Copier, Printer, Network, PABX, CCTV and Paging Sys"&amp;"tem")</f>
        <v>Maintenance and Upgrade of Desktop, Laptop, Server, DOH/DICT Cybersecurity Equipment compliance, Copier, Printer, Network, PABX, CCTV and Paging System
Maintenance and Upgrade of Desktop, Laptop, Server, Copier, Printer, Network, PABX, CCTV and Paging System</v>
      </c>
      <c r="E26" s="28">
        <f ca="1">VLOOKUP(A26,Filter_PR!$C$2:F985,3,0)</f>
        <v>0</v>
      </c>
      <c r="F26" s="28">
        <v>0</v>
      </c>
      <c r="G26" s="28">
        <v>0</v>
      </c>
      <c r="H26" s="28">
        <v>0</v>
      </c>
      <c r="I26" s="28">
        <f t="shared" ca="1" si="0"/>
        <v>0</v>
      </c>
      <c r="J26" s="31">
        <f ca="1">VLOOKUP(A26,Filter_PR!$C$2:F985,4,0)</f>
        <v>0</v>
      </c>
      <c r="K26" s="32">
        <f t="shared" ca="1" si="1"/>
        <v>0</v>
      </c>
      <c r="L26" s="8"/>
      <c r="M26" s="8"/>
      <c r="N26" s="8"/>
      <c r="O26" s="8"/>
      <c r="P26" s="8"/>
      <c r="Q26" s="8"/>
      <c r="R26" s="8"/>
      <c r="S26" s="8"/>
      <c r="T26" s="8"/>
      <c r="U26" s="8"/>
      <c r="V26" s="8"/>
      <c r="W26" s="8"/>
      <c r="X26" s="8"/>
      <c r="Y26" s="8"/>
      <c r="Z26" s="8"/>
      <c r="AA26" s="8"/>
    </row>
    <row r="27" spans="1:27" ht="30">
      <c r="A27" s="15" t="str">
        <f ca="1">IFERROR(__xludf.DUMMYFUNCTION("""COMPUTED_VALUE"""),"Maintenance Kit for the existing TASKALFA 3212I")</f>
        <v>Maintenance Kit for the existing TASKALFA 3212I</v>
      </c>
      <c r="B27" s="28">
        <v>28</v>
      </c>
      <c r="C27" s="29" t="e">
        <f ca="1">VLOOKUP(A27,default!B31:D1009,3,0)</f>
        <v>#N/A</v>
      </c>
      <c r="D27" s="33" t="str">
        <f ca="1">IFERROR(__xludf.DUMMYFUNCTION("""COMPUTED_VALUE"""),"Maintenance Kit for the existing TASKALFA 3212I
MK-7129")</f>
        <v>Maintenance Kit for the existing TASKALFA 3212I
MK-7129</v>
      </c>
      <c r="E27" s="28">
        <f ca="1">VLOOKUP(A27,Filter_PR!$C$2:F985,3,0)</f>
        <v>0</v>
      </c>
      <c r="F27" s="28">
        <v>0</v>
      </c>
      <c r="G27" s="28">
        <v>0</v>
      </c>
      <c r="H27" s="28">
        <v>0</v>
      </c>
      <c r="I27" s="28">
        <f t="shared" ca="1" si="0"/>
        <v>0</v>
      </c>
      <c r="J27" s="31">
        <f ca="1">VLOOKUP(A27,Filter_PR!$C$2:F985,4,0)</f>
        <v>0</v>
      </c>
      <c r="K27" s="32">
        <f t="shared" ca="1" si="1"/>
        <v>0</v>
      </c>
      <c r="L27" s="8"/>
      <c r="M27" s="8"/>
      <c r="N27" s="8"/>
      <c r="O27" s="8"/>
      <c r="P27" s="8"/>
      <c r="Q27" s="8"/>
      <c r="R27" s="8"/>
      <c r="S27" s="8"/>
      <c r="T27" s="8"/>
      <c r="U27" s="8"/>
      <c r="V27" s="8"/>
      <c r="W27" s="8"/>
      <c r="X27" s="8"/>
      <c r="Y27" s="8"/>
      <c r="Z27" s="8"/>
      <c r="AA27" s="8"/>
    </row>
    <row r="28" spans="1:27" ht="30">
      <c r="A28" s="15" t="str">
        <f ca="1">IFERROR(__xludf.DUMMYFUNCTION("""COMPUTED_VALUE"""),"Multimedia Controller")</f>
        <v>Multimedia Controller</v>
      </c>
      <c r="B28" s="28">
        <v>29</v>
      </c>
      <c r="C28" s="29" t="e">
        <f ca="1">VLOOKUP(A28,default!B32:D1009,3,0)</f>
        <v>#N/A</v>
      </c>
      <c r="D28" s="33" t="str">
        <f ca="1">IFERROR(__xludf.DUMMYFUNCTION("""COMPUTED_VALUE"""),"Multimedia Controller
c/o Sir Ian")</f>
        <v>Multimedia Controller
c/o Sir Ian</v>
      </c>
      <c r="E28" s="28">
        <f ca="1">VLOOKUP(A28,Filter_PR!$C$2:F985,3,0)</f>
        <v>0</v>
      </c>
      <c r="F28" s="28">
        <v>0</v>
      </c>
      <c r="G28" s="28">
        <v>0</v>
      </c>
      <c r="H28" s="28">
        <v>0</v>
      </c>
      <c r="I28" s="28">
        <f t="shared" ca="1" si="0"/>
        <v>0</v>
      </c>
      <c r="J28" s="31">
        <f ca="1">VLOOKUP(A28,Filter_PR!$C$2:F985,4,0)</f>
        <v>0</v>
      </c>
      <c r="K28" s="32">
        <f t="shared" ca="1" si="1"/>
        <v>0</v>
      </c>
      <c r="L28" s="8"/>
      <c r="M28" s="8"/>
      <c r="N28" s="8"/>
      <c r="O28" s="8"/>
      <c r="P28" s="8"/>
      <c r="Q28" s="8"/>
      <c r="R28" s="8"/>
      <c r="S28" s="8"/>
      <c r="T28" s="8"/>
      <c r="U28" s="8"/>
      <c r="V28" s="8"/>
      <c r="W28" s="8"/>
      <c r="X28" s="8"/>
      <c r="Y28" s="8"/>
      <c r="Z28" s="8"/>
      <c r="AA28" s="8"/>
    </row>
    <row r="29" spans="1:27" ht="30">
      <c r="A29" s="15" t="str">
        <f ca="1">IFERROR(__xludf.DUMMYFUNCTION("""COMPUTED_VALUE"""),"Smart Phone Bill for Telemedicine")</f>
        <v>Smart Phone Bill for Telemedicine</v>
      </c>
      <c r="B29" s="28">
        <v>30</v>
      </c>
      <c r="C29" s="29" t="e">
        <f ca="1">VLOOKUP(A29,default!B33:D1009,3,0)</f>
        <v>#N/A</v>
      </c>
      <c r="D29" s="33" t="str">
        <f ca="1">IFERROR(__xludf.DUMMYFUNCTION("""COMPUTED_VALUE"""),"Smart Phone Bill for Telemedicine
Smart Phone Bill for Telemedicine")</f>
        <v>Smart Phone Bill for Telemedicine
Smart Phone Bill for Telemedicine</v>
      </c>
      <c r="E29" s="28">
        <f ca="1">VLOOKUP(A29,Filter_PR!$C$2:F985,3,0)</f>
        <v>0</v>
      </c>
      <c r="F29" s="28">
        <v>0</v>
      </c>
      <c r="G29" s="28">
        <v>0</v>
      </c>
      <c r="H29" s="28">
        <v>0</v>
      </c>
      <c r="I29" s="28">
        <f t="shared" ca="1" si="0"/>
        <v>0</v>
      </c>
      <c r="J29" s="31">
        <f ca="1">VLOOKUP(A29,Filter_PR!$C$2:F985,4,0)</f>
        <v>0</v>
      </c>
      <c r="K29" s="32">
        <f t="shared" ca="1" si="1"/>
        <v>0</v>
      </c>
      <c r="L29" s="8"/>
      <c r="M29" s="8"/>
      <c r="N29" s="8"/>
      <c r="O29" s="8"/>
      <c r="P29" s="8"/>
      <c r="Q29" s="8"/>
      <c r="R29" s="8"/>
      <c r="S29" s="8"/>
      <c r="T29" s="8"/>
      <c r="U29" s="8"/>
      <c r="V29" s="8"/>
      <c r="W29" s="8"/>
      <c r="X29" s="8"/>
      <c r="Y29" s="8"/>
      <c r="Z29" s="8"/>
      <c r="AA29" s="8"/>
    </row>
    <row r="30" spans="1:27" ht="75">
      <c r="A30" s="15" t="str">
        <f ca="1">IFERROR(__xludf.DUMMYFUNCTION("""COMPUTED_VALUE"""),"1.5M Gigabit Cat6 Ethernet Patch Cable with RJ45 CAT6 High Quality")</f>
        <v>1.5M Gigabit Cat6 Ethernet Patch Cable with RJ45 CAT6 High Quality</v>
      </c>
      <c r="B30" s="28">
        <v>31</v>
      </c>
      <c r="C30" s="29" t="e">
        <f ca="1">VLOOKUP(A30,default!B35:D1009,3,0)</f>
        <v>#N/A</v>
      </c>
      <c r="D30" s="33" t="str">
        <f ca="1">IFERROR(__xludf.DUMMYFUNCTION("""COMPUTED_VALUE"""),"1.5M Gigabit Cat6 Ethernet Patch Cable with RJ45 CAT6 High Quality
Gigabit Speed and Ready to Use Cable
Cable Category: Cat6/Cat6e
Machine Crimped")</f>
        <v>1.5M Gigabit Cat6 Ethernet Patch Cable with RJ45 CAT6 High Quality
Gigabit Speed and Ready to Use Cable
Cable Category: Cat6/Cat6e
Machine Crimped</v>
      </c>
      <c r="E30" s="28">
        <f ca="1">VLOOKUP(A30,Filter_PR!$C$2:F985,3,0)</f>
        <v>0</v>
      </c>
      <c r="F30" s="28">
        <v>0</v>
      </c>
      <c r="G30" s="28">
        <v>0</v>
      </c>
      <c r="H30" s="28">
        <v>0</v>
      </c>
      <c r="I30" s="28">
        <f t="shared" ca="1" si="0"/>
        <v>0</v>
      </c>
      <c r="J30" s="31">
        <f ca="1">VLOOKUP(A30,Filter_PR!$C$2:F985,4,0)</f>
        <v>0</v>
      </c>
      <c r="K30" s="32">
        <f t="shared" ca="1" si="1"/>
        <v>0</v>
      </c>
      <c r="L30" s="8"/>
      <c r="M30" s="8"/>
      <c r="N30" s="8"/>
      <c r="O30" s="8"/>
      <c r="P30" s="8"/>
      <c r="Q30" s="8"/>
      <c r="R30" s="8"/>
      <c r="S30" s="8"/>
      <c r="T30" s="8"/>
      <c r="U30" s="8"/>
      <c r="V30" s="8"/>
      <c r="W30" s="8"/>
      <c r="X30" s="8"/>
      <c r="Y30" s="8"/>
      <c r="Z30" s="8"/>
      <c r="AA30" s="8"/>
    </row>
    <row r="31" spans="1:27" ht="75">
      <c r="A31" s="8" t="str">
        <f ca="1">IFERROR(__xludf.DUMMYFUNCTION("""COMPUTED_VALUE"""),"10 GE SFP+ transceiver module compatible with the existing FortiGATE-601E Firewall")</f>
        <v>10 GE SFP+ transceiver module compatible with the existing FortiGATE-601E Firewall</v>
      </c>
      <c r="B31" s="28">
        <v>32</v>
      </c>
      <c r="C31" s="29" t="e">
        <f ca="1">VLOOKUP(A31,default!B35:D1009,3,0)</f>
        <v>#N/A</v>
      </c>
      <c r="D31" s="33" t="str">
        <f ca="1">IFERROR(__xludf.DUMMYFUNCTION("""COMPUTED_VALUE"""),"10 GE SFP+ transceiver module compatible with the existing FortiGATE-601E Firewall
10 GE SFP+ transceiver module, short range for all systems with SFP+ and SFP/SFP+ slots
Compatible with the existing Firewall FortiGate-601E")</f>
        <v>10 GE SFP+ transceiver module compatible with the existing FortiGATE-601E Firewall
10 GE SFP+ transceiver module, short range for all systems with SFP+ and SFP/SFP+ slots
Compatible with the existing Firewall FortiGate-601E</v>
      </c>
      <c r="E31" s="28">
        <f ca="1">VLOOKUP(A31,Filter_PR!$C$2:F985,3,0)</f>
        <v>0</v>
      </c>
      <c r="F31" s="28">
        <v>0</v>
      </c>
      <c r="G31" s="28">
        <v>0</v>
      </c>
      <c r="H31" s="28">
        <v>0</v>
      </c>
      <c r="I31" s="28">
        <f t="shared" ca="1" si="0"/>
        <v>0</v>
      </c>
      <c r="J31" s="31">
        <f ca="1">VLOOKUP(A31,Filter_PR!$C$2:F985,4,0)</f>
        <v>0</v>
      </c>
      <c r="K31" s="32">
        <f t="shared" ca="1" si="1"/>
        <v>0</v>
      </c>
      <c r="L31" s="8"/>
      <c r="M31" s="8"/>
      <c r="N31" s="8"/>
      <c r="O31" s="8"/>
      <c r="P31" s="8"/>
      <c r="Q31" s="8"/>
      <c r="R31" s="8"/>
      <c r="S31" s="8"/>
      <c r="T31" s="8"/>
      <c r="U31" s="8"/>
      <c r="V31" s="8"/>
      <c r="W31" s="8"/>
      <c r="X31" s="8"/>
      <c r="Y31" s="8"/>
      <c r="Z31" s="8"/>
      <c r="AA31" s="8"/>
    </row>
    <row r="32" spans="1:27" ht="75">
      <c r="A32" s="15" t="str">
        <f ca="1">IFERROR(__xludf.DUMMYFUNCTION("""COMPUTED_VALUE"""),"10M Gigabit Cat6 Ethernet Patch Cable with RJ45 CAT6 High Quality")</f>
        <v>10M Gigabit Cat6 Ethernet Patch Cable with RJ45 CAT6 High Quality</v>
      </c>
      <c r="B32" s="28">
        <v>33</v>
      </c>
      <c r="C32" s="29" t="e">
        <f ca="1">VLOOKUP(A32,default!B35:D1009,3,0)</f>
        <v>#N/A</v>
      </c>
      <c r="D32" s="33" t="str">
        <f ca="1">IFERROR(__xludf.DUMMYFUNCTION("""COMPUTED_VALUE"""),"10M Gigabit Cat6 Ethernet Patch Cable with RJ45 CAT6 High Quality
Gigabit Speed and Ready to Use Cable
Cable Category: Cat6/Cat6e
Machine Crimped")</f>
        <v>10M Gigabit Cat6 Ethernet Patch Cable with RJ45 CAT6 High Quality
Gigabit Speed and Ready to Use Cable
Cable Category: Cat6/Cat6e
Machine Crimped</v>
      </c>
      <c r="E32" s="28">
        <f ca="1">VLOOKUP(A32,Filter_PR!$C$2:F985,3,0)</f>
        <v>0</v>
      </c>
      <c r="F32" s="28">
        <v>0</v>
      </c>
      <c r="G32" s="28">
        <v>0</v>
      </c>
      <c r="H32" s="28">
        <v>0</v>
      </c>
      <c r="I32" s="28">
        <f t="shared" ca="1" si="0"/>
        <v>0</v>
      </c>
      <c r="J32" s="31">
        <f ca="1">VLOOKUP(A32,Filter_PR!$C$2:F985,4,0)</f>
        <v>0</v>
      </c>
      <c r="K32" s="32">
        <f t="shared" ca="1" si="1"/>
        <v>0</v>
      </c>
      <c r="L32" s="8"/>
      <c r="M32" s="8"/>
      <c r="N32" s="8"/>
      <c r="O32" s="8"/>
      <c r="P32" s="8"/>
      <c r="Q32" s="8"/>
      <c r="R32" s="8"/>
      <c r="S32" s="8"/>
      <c r="T32" s="8"/>
      <c r="U32" s="8"/>
      <c r="V32" s="8"/>
      <c r="W32" s="8"/>
      <c r="X32" s="8"/>
      <c r="Y32" s="8"/>
      <c r="Z32" s="8"/>
      <c r="AA32" s="8"/>
    </row>
    <row r="33" spans="1:27" ht="45">
      <c r="A33" s="15" t="str">
        <f ca="1">IFERROR(__xludf.DUMMYFUNCTION("""COMPUTED_VALUE"""),"10TB Surveillance Hard Drive SATA")</f>
        <v>10TB Surveillance Hard Drive SATA</v>
      </c>
      <c r="B33" s="28">
        <v>34</v>
      </c>
      <c r="C33" s="29" t="e">
        <f ca="1">VLOOKUP(A33,default!B35:D1009,3,0)</f>
        <v>#N/A</v>
      </c>
      <c r="D33" s="33" t="str">
        <f ca="1">IFERROR(__xludf.DUMMYFUNCTION("""COMPUTED_VALUE"""),"10TB Surveillance Hard Drive SATA
Surveillance Hard Drive - SATA 6Gb/s 3.5-Inch for existing CCTV NVR")</f>
        <v>10TB Surveillance Hard Drive SATA
Surveillance Hard Drive - SATA 6Gb/s 3.5-Inch for existing CCTV NVR</v>
      </c>
      <c r="E33" s="28">
        <f ca="1">VLOOKUP(A33,Filter_PR!$C$2:F985,3,0)</f>
        <v>0</v>
      </c>
      <c r="F33" s="28">
        <v>0</v>
      </c>
      <c r="G33" s="28">
        <v>0</v>
      </c>
      <c r="H33" s="28">
        <v>0</v>
      </c>
      <c r="I33" s="28">
        <f t="shared" ca="1" si="0"/>
        <v>0</v>
      </c>
      <c r="J33" s="31">
        <f ca="1">VLOOKUP(A33,Filter_PR!$C$2:F985,4,0)</f>
        <v>0</v>
      </c>
      <c r="K33" s="32">
        <f t="shared" ca="1" si="1"/>
        <v>0</v>
      </c>
      <c r="L33" s="8"/>
      <c r="M33" s="8"/>
      <c r="N33" s="8"/>
      <c r="O33" s="8"/>
      <c r="P33" s="8"/>
      <c r="Q33" s="8"/>
      <c r="R33" s="8"/>
      <c r="S33" s="8"/>
      <c r="T33" s="8"/>
      <c r="U33" s="8"/>
      <c r="V33" s="8"/>
      <c r="W33" s="8"/>
      <c r="X33" s="8"/>
      <c r="Y33" s="8"/>
      <c r="Z33" s="8"/>
      <c r="AA33" s="8"/>
    </row>
    <row r="34" spans="1:27" ht="75">
      <c r="A34" s="15" t="str">
        <f ca="1">IFERROR(__xludf.DUMMYFUNCTION("""COMPUTED_VALUE"""),"15M Gigabit Cat6 Ethernet Patch Cable with RJ45 CAT6 High Quality")</f>
        <v>15M Gigabit Cat6 Ethernet Patch Cable with RJ45 CAT6 High Quality</v>
      </c>
      <c r="B34" s="28">
        <v>35</v>
      </c>
      <c r="C34" s="29" t="e">
        <f ca="1">VLOOKUP(A34,default!B35:D1009,3,0)</f>
        <v>#N/A</v>
      </c>
      <c r="D34" s="33" t="str">
        <f ca="1">IFERROR(__xludf.DUMMYFUNCTION("""COMPUTED_VALUE"""),"15M Gigabit Cat6 Ethernet Patch Cable with RJ45 CAT6 High Quality
Gigabit Speed and Ready to Use Cable
Cable Category: Cat6/Cat6e
Machine Crimped")</f>
        <v>15M Gigabit Cat6 Ethernet Patch Cable with RJ45 CAT6 High Quality
Gigabit Speed and Ready to Use Cable
Cable Category: Cat6/Cat6e
Machine Crimped</v>
      </c>
      <c r="E34" s="28">
        <f ca="1">VLOOKUP(A34,Filter_PR!$C$2:F985,3,0)</f>
        <v>0</v>
      </c>
      <c r="F34" s="28">
        <v>0</v>
      </c>
      <c r="G34" s="28">
        <v>0</v>
      </c>
      <c r="H34" s="28">
        <v>0</v>
      </c>
      <c r="I34" s="28">
        <f t="shared" ca="1" si="0"/>
        <v>0</v>
      </c>
      <c r="J34" s="31">
        <f ca="1">VLOOKUP(A34,Filter_PR!$C$2:F985,4,0)</f>
        <v>0</v>
      </c>
      <c r="K34" s="32">
        <f t="shared" ca="1" si="1"/>
        <v>0</v>
      </c>
      <c r="L34" s="8"/>
      <c r="M34" s="8"/>
      <c r="N34" s="8"/>
      <c r="O34" s="8"/>
      <c r="P34" s="8"/>
      <c r="Q34" s="8"/>
      <c r="R34" s="8"/>
      <c r="S34" s="8"/>
      <c r="T34" s="8"/>
      <c r="U34" s="8"/>
      <c r="V34" s="8"/>
      <c r="W34" s="8"/>
      <c r="X34" s="8"/>
      <c r="Y34" s="8"/>
      <c r="Z34" s="8"/>
      <c r="AA34" s="8"/>
    </row>
    <row r="35" spans="1:27" ht="60">
      <c r="A35" s="15" t="str">
        <f ca="1">IFERROR(__xludf.DUMMYFUNCTION("""COMPUTED_VALUE"""),"16GB Flash Drive")</f>
        <v>16GB Flash Drive</v>
      </c>
      <c r="B35" s="28">
        <v>36</v>
      </c>
      <c r="C35" s="29" t="e">
        <f ca="1">VLOOKUP(A35,default!B35:D1009,3,0)</f>
        <v>#N/A</v>
      </c>
      <c r="D35" s="33" t="str">
        <f ca="1">IFERROR(__xludf.DUMMYFUNCTION("""COMPUTED_VALUE"""),"16GB Flash Drive
Capacities: 16GB; Branded
Compatability: USB 2.0 port required for high-speed transfer
Warranty: 1 year or more")</f>
        <v>16GB Flash Drive
Capacities: 16GB; Branded
Compatability: USB 2.0 port required for high-speed transfer
Warranty: 1 year or more</v>
      </c>
      <c r="E35" s="28">
        <f ca="1">VLOOKUP(A35,Filter_PR!$C$2:F985,3,0)</f>
        <v>0</v>
      </c>
      <c r="F35" s="28">
        <v>0</v>
      </c>
      <c r="G35" s="28">
        <v>0</v>
      </c>
      <c r="H35" s="28">
        <v>0</v>
      </c>
      <c r="I35" s="28">
        <f t="shared" ca="1" si="0"/>
        <v>0</v>
      </c>
      <c r="J35" s="31">
        <f ca="1">VLOOKUP(A35,Filter_PR!$C$2:F985,4,0)</f>
        <v>0</v>
      </c>
      <c r="K35" s="32">
        <f t="shared" ca="1" si="1"/>
        <v>0</v>
      </c>
      <c r="L35" s="8"/>
      <c r="M35" s="8"/>
      <c r="N35" s="8"/>
      <c r="O35" s="8"/>
      <c r="P35" s="8"/>
      <c r="Q35" s="8"/>
      <c r="R35" s="8"/>
      <c r="S35" s="8"/>
      <c r="T35" s="8"/>
      <c r="U35" s="8"/>
      <c r="V35" s="8"/>
      <c r="W35" s="8"/>
      <c r="X35" s="8"/>
      <c r="Y35" s="8"/>
      <c r="Z35" s="8"/>
      <c r="AA35" s="8"/>
    </row>
    <row r="36" spans="1:27" ht="60">
      <c r="A36" s="15" t="str">
        <f ca="1">IFERROR(__xludf.DUMMYFUNCTION("""COMPUTED_VALUE"""),"19 inches Universal PDU 6 outlets with surge protection SPD module")</f>
        <v>19 inches Universal PDU 6 outlets with surge protection SPD module</v>
      </c>
      <c r="B36" s="28">
        <v>37</v>
      </c>
      <c r="C36" s="29" t="e">
        <f ca="1">VLOOKUP(A36,default!B35:D1009,3,0)</f>
        <v>#N/A</v>
      </c>
      <c r="D36" s="33" t="str">
        <f ca="1">IFERROR(__xludf.DUMMYFUNCTION("""COMPUTED_VALUE"""),"19 inches Universal PDU 6 outlets with surge protection SPD module
19 inches Universal PDU 6 outlets with surge protection SPD module")</f>
        <v>19 inches Universal PDU 6 outlets with surge protection SPD module
19 inches Universal PDU 6 outlets with surge protection SPD module</v>
      </c>
      <c r="E36" s="28">
        <f ca="1">VLOOKUP(A36,Filter_PR!$C$2:F985,3,0)</f>
        <v>0</v>
      </c>
      <c r="F36" s="28">
        <v>0</v>
      </c>
      <c r="G36" s="28">
        <v>0</v>
      </c>
      <c r="H36" s="28">
        <v>0</v>
      </c>
      <c r="I36" s="28">
        <f t="shared" ca="1" si="0"/>
        <v>0</v>
      </c>
      <c r="J36" s="31">
        <f ca="1">VLOOKUP(A36,Filter_PR!$C$2:F985,4,0)</f>
        <v>0</v>
      </c>
      <c r="K36" s="32">
        <f t="shared" ca="1" si="1"/>
        <v>0</v>
      </c>
      <c r="L36" s="8"/>
      <c r="M36" s="8"/>
      <c r="N36" s="8"/>
      <c r="O36" s="8"/>
      <c r="P36" s="8"/>
      <c r="Q36" s="8"/>
      <c r="R36" s="8"/>
      <c r="S36" s="8"/>
      <c r="T36" s="8"/>
      <c r="U36" s="8"/>
      <c r="V36" s="8"/>
      <c r="W36" s="8"/>
      <c r="X36" s="8"/>
      <c r="Y36" s="8"/>
      <c r="Z36" s="8"/>
      <c r="AA36" s="8"/>
    </row>
    <row r="37" spans="1:27" ht="120">
      <c r="A37" s="15" t="str">
        <f ca="1">IFERROR(__xludf.DUMMYFUNCTION("""COMPUTED_VALUE"""),"1TB Portable SSD")</f>
        <v>1TB Portable SSD</v>
      </c>
      <c r="B37" s="28">
        <v>38</v>
      </c>
      <c r="C37" s="29" t="e">
        <f ca="1">VLOOKUP(A37,default!B35:D1009,3,0)</f>
        <v>#N/A</v>
      </c>
      <c r="D37" s="33" t="str">
        <f ca="1">IFERROR(__xludf.DUMMYFUNCTION("""COMPUTED_VALUE"""),"1TB Portable SSD
Capacity: 1TB
Interface: USB 3.2 Gen 2
Connector: USB-C
Durability: IP55-rated for water and dust resistance
Warranty: 2 years or more
Inclusion: USB-C to USB-C Cable, USB-C to USB-A Adaptor
Warranty: 1 year or more")</f>
        <v>1TB Portable SSD
Capacity: 1TB
Interface: USB 3.2 Gen 2
Connector: USB-C
Durability: IP55-rated for water and dust resistance
Warranty: 2 years or more
Inclusion: USB-C to USB-C Cable, USB-C to USB-A Adaptor
Warranty: 1 year or more</v>
      </c>
      <c r="E37" s="28">
        <f ca="1">VLOOKUP(A37,Filter_PR!$C$2:F985,3,0)</f>
        <v>0</v>
      </c>
      <c r="F37" s="28">
        <v>0</v>
      </c>
      <c r="G37" s="28">
        <v>0</v>
      </c>
      <c r="H37" s="28">
        <v>0</v>
      </c>
      <c r="I37" s="28">
        <f t="shared" ca="1" si="0"/>
        <v>0</v>
      </c>
      <c r="J37" s="31">
        <f ca="1">VLOOKUP(A37,Filter_PR!$C$2:F985,4,0)</f>
        <v>0</v>
      </c>
      <c r="K37" s="32">
        <f t="shared" ca="1" si="1"/>
        <v>0</v>
      </c>
      <c r="L37" s="8"/>
      <c r="M37" s="8"/>
      <c r="N37" s="8"/>
      <c r="O37" s="8"/>
      <c r="P37" s="8"/>
      <c r="Q37" s="8"/>
      <c r="R37" s="8"/>
      <c r="S37" s="8"/>
      <c r="T37" s="8"/>
      <c r="U37" s="8"/>
      <c r="V37" s="8"/>
      <c r="W37" s="8"/>
      <c r="X37" s="8"/>
      <c r="Y37" s="8"/>
      <c r="Z37" s="8"/>
      <c r="AA37" s="8"/>
    </row>
    <row r="38" spans="1:27" ht="90">
      <c r="A38" s="15" t="str">
        <f ca="1">IFERROR(__xludf.DUMMYFUNCTION("""COMPUTED_VALUE"""),"1TB Slim Portable Hard Drive External HDD")</f>
        <v>1TB Slim Portable Hard Drive External HDD</v>
      </c>
      <c r="B38" s="28">
        <v>39</v>
      </c>
      <c r="C38" s="29" t="e">
        <f ca="1">VLOOKUP(A38,default!B36:D1009,3,0)</f>
        <v>#N/A</v>
      </c>
      <c r="D38" s="33" t="str">
        <f ca="1">IFERROR(__xludf.DUMMYFUNCTION("""COMPUTED_VALUE"""),"1TB Slim Portable Hard Drive External HDD
USB Type micro USB to USB Type A
Connection Interface USB 3.1 Gen 1
Capacity 1 TB
Storage Media 2.5"" HDD
Warranty: 2 years or more")</f>
        <v>1TB Slim Portable Hard Drive External HDD
USB Type micro USB to USB Type A
Connection Interface USB 3.1 Gen 1
Capacity 1 TB
Storage Media 2.5" HDD
Warranty: 2 years or more</v>
      </c>
      <c r="E38" s="28">
        <f ca="1">VLOOKUP(A38,Filter_PR!$C$2:F985,3,0)</f>
        <v>0</v>
      </c>
      <c r="F38" s="28">
        <v>0</v>
      </c>
      <c r="G38" s="28">
        <v>0</v>
      </c>
      <c r="H38" s="28">
        <v>0</v>
      </c>
      <c r="I38" s="28">
        <f t="shared" ca="1" si="0"/>
        <v>0</v>
      </c>
      <c r="J38" s="31">
        <f ca="1">VLOOKUP(A38,Filter_PR!$C$2:F985,4,0)</f>
        <v>0</v>
      </c>
      <c r="K38" s="32">
        <f t="shared" ca="1" si="1"/>
        <v>0</v>
      </c>
      <c r="L38" s="8"/>
      <c r="M38" s="8"/>
      <c r="N38" s="8"/>
      <c r="O38" s="8"/>
      <c r="P38" s="8"/>
      <c r="Q38" s="8"/>
      <c r="R38" s="8"/>
      <c r="S38" s="8"/>
      <c r="T38" s="8"/>
      <c r="U38" s="8"/>
      <c r="V38" s="8"/>
      <c r="W38" s="8"/>
      <c r="X38" s="8"/>
      <c r="Y38" s="8"/>
      <c r="Z38" s="8"/>
      <c r="AA38" s="8"/>
    </row>
    <row r="39" spans="1:27" ht="60">
      <c r="A39" s="15" t="str">
        <f ca="1">IFERROR(__xludf.DUMMYFUNCTION("""COMPUTED_VALUE"""),"2 port Wall Faceplate With Mounting Junction Box ")</f>
        <v xml:space="preserve">2 port Wall Faceplate With Mounting Junction Box </v>
      </c>
      <c r="B39" s="28">
        <v>40</v>
      </c>
      <c r="C39" s="29" t="e">
        <f ca="1">VLOOKUP(A39,default!B37:D1009,3,0)</f>
        <v>#N/A</v>
      </c>
      <c r="D39" s="33" t="str">
        <f ca="1">IFERROR(__xludf.DUMMYFUNCTION("""COMPUTED_VALUE"""),"2 port Wall Faceplate With Mounting Junction Box 
AMPCOM 86-type Wall Faceplate With Mounting Junction Box , Networking Telephone Socket Outlet Mount Panel For RJ45 RJ11 Module")</f>
        <v>2 port Wall Faceplate With Mounting Junction Box 
AMPCOM 86-type Wall Faceplate With Mounting Junction Box , Networking Telephone Socket Outlet Mount Panel For RJ45 RJ11 Module</v>
      </c>
      <c r="E39" s="28">
        <f ca="1">VLOOKUP(A39,Filter_PR!$C$2:F985,3,0)</f>
        <v>0</v>
      </c>
      <c r="F39" s="28">
        <v>0</v>
      </c>
      <c r="G39" s="28">
        <v>0</v>
      </c>
      <c r="H39" s="28">
        <v>0</v>
      </c>
      <c r="I39" s="28">
        <f t="shared" ca="1" si="0"/>
        <v>0</v>
      </c>
      <c r="J39" s="31">
        <f ca="1">VLOOKUP(A39,Filter_PR!$C$2:F985,4,0)</f>
        <v>0</v>
      </c>
      <c r="K39" s="32">
        <f t="shared" ca="1" si="1"/>
        <v>0</v>
      </c>
      <c r="L39" s="8"/>
      <c r="M39" s="8"/>
      <c r="N39" s="8"/>
      <c r="O39" s="8"/>
      <c r="P39" s="8"/>
      <c r="Q39" s="8"/>
      <c r="R39" s="8"/>
      <c r="S39" s="8"/>
      <c r="T39" s="8"/>
      <c r="U39" s="8"/>
      <c r="V39" s="8"/>
      <c r="W39" s="8"/>
      <c r="X39" s="8"/>
      <c r="Y39" s="8"/>
      <c r="Z39" s="8"/>
      <c r="AA39" s="8"/>
    </row>
    <row r="40" spans="1:27" ht="120">
      <c r="A40" s="15" t="str">
        <f ca="1">IFERROR(__xludf.DUMMYFUNCTION("""COMPUTED_VALUE"""),"2.5 &amp; 3.5 Inch SATA2.0 USB3.0 1 to 3 Clone External Hard Drive Dock")</f>
        <v>2.5 &amp; 3.5 Inch SATA2.0 USB3.0 1 to 3 Clone External Hard Drive Dock</v>
      </c>
      <c r="B40" s="28">
        <v>41</v>
      </c>
      <c r="C40" s="29" t="e">
        <f ca="1">VLOOKUP(A40,default!B38:D1009,3,0)</f>
        <v>#N/A</v>
      </c>
      <c r="D40" s="33" t="str">
        <f ca="1">IFERROR(__xludf.DUMMYFUNCTION("""COMPUTED_VALUE"""),"2.5 &amp; 3.5 Inch SATA2.0 USB3.0 1 to 3 Clone External Hard Drive Dock
Size: 2.5 &amp; 3.5 inch HDD/SSD
Output Interface: USB3.0
Clone: 1 to 3 Standalone Clone
HDD Interface: SATA I, SATA II
Power Supply: 12V6A
Data Cable: 3Ft. or more USB3.0")</f>
        <v>2.5 &amp; 3.5 Inch SATA2.0 USB3.0 1 to 3 Clone External Hard Drive Dock
Size: 2.5 &amp; 3.5 inch HDD/SSD
Output Interface: USB3.0
Clone: 1 to 3 Standalone Clone
HDD Interface: SATA I, SATA II
Power Supply: 12V6A
Data Cable: 3Ft. or more USB3.0</v>
      </c>
      <c r="E40" s="28">
        <f ca="1">VLOOKUP(A40,Filter_PR!$C$2:F985,3,0)</f>
        <v>0</v>
      </c>
      <c r="F40" s="28">
        <v>0</v>
      </c>
      <c r="G40" s="28">
        <v>0</v>
      </c>
      <c r="H40" s="28">
        <v>0</v>
      </c>
      <c r="I40" s="28">
        <f t="shared" ca="1" si="0"/>
        <v>0</v>
      </c>
      <c r="J40" s="31">
        <f ca="1">VLOOKUP(A40,Filter_PR!$C$2:F985,4,0)</f>
        <v>0</v>
      </c>
      <c r="K40" s="32">
        <f t="shared" ca="1" si="1"/>
        <v>0</v>
      </c>
      <c r="L40" s="8"/>
      <c r="M40" s="8"/>
      <c r="N40" s="8"/>
      <c r="O40" s="8"/>
      <c r="P40" s="8"/>
      <c r="Q40" s="8"/>
      <c r="R40" s="8"/>
      <c r="S40" s="8"/>
      <c r="T40" s="8"/>
      <c r="U40" s="8"/>
      <c r="V40" s="8"/>
      <c r="W40" s="8"/>
      <c r="X40" s="8"/>
      <c r="Y40" s="8"/>
      <c r="Z40" s="8"/>
      <c r="AA40" s="8"/>
    </row>
    <row r="41" spans="1:27" ht="75">
      <c r="A41" s="15" t="str">
        <f ca="1">IFERROR(__xludf.DUMMYFUNCTION("""COMPUTED_VALUE"""),"20M Gigabit Cat6 Ethernet Patch Cable with RJ45 CAT6 High Quality")</f>
        <v>20M Gigabit Cat6 Ethernet Patch Cable with RJ45 CAT6 High Quality</v>
      </c>
      <c r="B41" s="28">
        <v>42</v>
      </c>
      <c r="C41" s="29" t="e">
        <f ca="1">VLOOKUP(A41,default!B39:D1009,3,0)</f>
        <v>#N/A</v>
      </c>
      <c r="D41" s="33" t="str">
        <f ca="1">IFERROR(__xludf.DUMMYFUNCTION("""COMPUTED_VALUE"""),"20M Gigabit Cat6 Ethernet Patch Cable with RJ45 CAT6 High Quality
Gigabit Speed and Ready to Use Cable
Cable Category: Cat6/Cat6e
Machine Crimped")</f>
        <v>20M Gigabit Cat6 Ethernet Patch Cable with RJ45 CAT6 High Quality
Gigabit Speed and Ready to Use Cable
Cable Category: Cat6/Cat6e
Machine Crimped</v>
      </c>
      <c r="E41" s="28">
        <f ca="1">VLOOKUP(A41,Filter_PR!$C$2:F985,3,0)</f>
        <v>0</v>
      </c>
      <c r="F41" s="28">
        <v>0</v>
      </c>
      <c r="G41" s="28">
        <v>0</v>
      </c>
      <c r="H41" s="28">
        <v>0</v>
      </c>
      <c r="I41" s="28">
        <f t="shared" ca="1" si="0"/>
        <v>0</v>
      </c>
      <c r="J41" s="31">
        <f ca="1">VLOOKUP(A41,Filter_PR!$C$2:F985,4,0)</f>
        <v>0</v>
      </c>
      <c r="K41" s="32">
        <f t="shared" ca="1" si="1"/>
        <v>0</v>
      </c>
      <c r="L41" s="8"/>
      <c r="M41" s="8"/>
      <c r="N41" s="8"/>
      <c r="O41" s="8"/>
      <c r="P41" s="8"/>
      <c r="Q41" s="8"/>
      <c r="R41" s="8"/>
      <c r="S41" s="8"/>
      <c r="T41" s="8"/>
      <c r="U41" s="8"/>
      <c r="V41" s="8"/>
      <c r="W41" s="8"/>
      <c r="X41" s="8"/>
      <c r="Y41" s="8"/>
      <c r="Z41" s="8"/>
      <c r="AA41" s="8"/>
    </row>
    <row r="42" spans="1:27" ht="120">
      <c r="A42" s="15" t="str">
        <f ca="1">IFERROR(__xludf.DUMMYFUNCTION("""COMPUTED_VALUE"""),"21.5"" FHD LED Monitor")</f>
        <v>21.5" FHD LED Monitor</v>
      </c>
      <c r="B42" s="28">
        <v>43</v>
      </c>
      <c r="C42" s="29" t="e">
        <f ca="1">VLOOKUP(A42,default!B40:D1009,3,0)</f>
        <v>#N/A</v>
      </c>
      <c r="D42" s="33" t="str">
        <f ca="1">IFERROR(__xludf.DUMMYFUNCTION("""COMPUTED_VALUE"""),"21.5"" FHD LED Monitor
Screen Size: 21.5""
Maximum Resolution: (Full HD)1920 x 1080
Aspect Ratio: 16:9
Backlight: LED
Panel Type: TN (Twisted Nematic Film)
Ports &amp; Connectors: VGA, HDMI
Warranty: 1 year or more")</f>
        <v>21.5" FHD LED Monitor
Screen Size: 21.5"
Maximum Resolution: (Full HD)1920 x 1080
Aspect Ratio: 16:9
Backlight: LED
Panel Type: TN (Twisted Nematic Film)
Ports &amp; Connectors: VGA, HDMI
Warranty: 1 year or more</v>
      </c>
      <c r="E42" s="28">
        <f ca="1">VLOOKUP(A42,Filter_PR!$C$2:F985,3,0)</f>
        <v>0</v>
      </c>
      <c r="F42" s="28">
        <v>0</v>
      </c>
      <c r="G42" s="28">
        <v>0</v>
      </c>
      <c r="H42" s="28">
        <v>0</v>
      </c>
      <c r="I42" s="28">
        <f t="shared" ca="1" si="0"/>
        <v>0</v>
      </c>
      <c r="J42" s="31">
        <f ca="1">VLOOKUP(A42,Filter_PR!$C$2:F985,4,0)</f>
        <v>0</v>
      </c>
      <c r="K42" s="32">
        <f t="shared" ca="1" si="1"/>
        <v>0</v>
      </c>
      <c r="L42" s="8"/>
      <c r="M42" s="8"/>
      <c r="N42" s="8"/>
      <c r="O42" s="8"/>
      <c r="P42" s="8"/>
      <c r="Q42" s="8"/>
      <c r="R42" s="8"/>
      <c r="S42" s="8"/>
      <c r="T42" s="8"/>
      <c r="U42" s="8"/>
      <c r="V42" s="8"/>
      <c r="W42" s="8"/>
      <c r="X42" s="8"/>
      <c r="Y42" s="8"/>
      <c r="Z42" s="8"/>
      <c r="AA42" s="8"/>
    </row>
    <row r="43" spans="1:27" ht="180">
      <c r="A43" s="15" t="str">
        <f ca="1">IFERROR(__xludf.DUMMYFUNCTION("""COMPUTED_VALUE"""),"27inch Curved Monitor")</f>
        <v>27inch Curved Monitor</v>
      </c>
      <c r="B43" s="28">
        <v>44</v>
      </c>
      <c r="C43" s="29" t="e">
        <f ca="1">VLOOKUP(A43,default!B41:D1009,3,0)</f>
        <v>#N/A</v>
      </c>
      <c r="D43" s="33" t="str">
        <f ca="1">IFERROR(__xludf.DUMMYFUNCTION("""COMPUTED_VALUE"""),"27inch Curved Monitor
Panel Size (inch) : 27
Aspect Ratio : 16:9
Display Surface : Non-Glare
Backlight Type : LED
Panel Type : VA
Resolution : 1920x1080
Curvature : 1500R
Refresh Rate (Max) : 165Hz
HDMI x 1, VGA x 1
VESA Wall Mounting 100x100mm
Warranty: "&amp;"1 year or more")</f>
        <v>27inch Curved Monitor
Panel Size (inch) : 27
Aspect Ratio : 16:9
Display Surface : Non-Glare
Backlight Type : LED
Panel Type : VA
Resolution : 1920x1080
Curvature : 1500R
Refresh Rate (Max) : 165Hz
HDMI x 1, VGA x 1
VESA Wall Mounting 100x100mm
Warranty: 1 year or more</v>
      </c>
      <c r="E43" s="28">
        <f ca="1">VLOOKUP(A43,Filter_PR!$C$2:F985,3,0)</f>
        <v>0</v>
      </c>
      <c r="F43" s="28">
        <v>0</v>
      </c>
      <c r="G43" s="28">
        <v>0</v>
      </c>
      <c r="H43" s="28">
        <v>0</v>
      </c>
      <c r="I43" s="28">
        <f t="shared" ca="1" si="0"/>
        <v>0</v>
      </c>
      <c r="J43" s="31">
        <f ca="1">VLOOKUP(A43,Filter_PR!$C$2:F985,4,0)</f>
        <v>0</v>
      </c>
      <c r="K43" s="32">
        <f t="shared" ca="1" si="1"/>
        <v>0</v>
      </c>
      <c r="L43" s="8"/>
      <c r="M43" s="8"/>
      <c r="N43" s="8"/>
      <c r="O43" s="8"/>
      <c r="P43" s="8"/>
      <c r="Q43" s="8"/>
      <c r="R43" s="8"/>
      <c r="S43" s="8"/>
      <c r="T43" s="8"/>
      <c r="U43" s="8"/>
      <c r="V43" s="8"/>
      <c r="W43" s="8"/>
      <c r="X43" s="8"/>
      <c r="Y43" s="8"/>
      <c r="Z43" s="8"/>
      <c r="AA43" s="8"/>
    </row>
    <row r="44" spans="1:27" ht="90">
      <c r="A44" s="15" t="str">
        <f ca="1">IFERROR(__xludf.DUMMYFUNCTION("""COMPUTED_VALUE"""),"2TB Slim Portable Hard Drive External HDD")</f>
        <v>2TB Slim Portable Hard Drive External HDD</v>
      </c>
      <c r="B44" s="28">
        <v>45</v>
      </c>
      <c r="C44" s="29" t="e">
        <f ca="1">VLOOKUP(A44,default!B42:D1009,3,0)</f>
        <v>#N/A</v>
      </c>
      <c r="D44" s="33" t="str">
        <f ca="1">IFERROR(__xludf.DUMMYFUNCTION("""COMPUTED_VALUE"""),"2TB Slim Portable Hard Drive External HDD
USB Type micro USB to USB Type A
Connection Interface USB 3.1 Gen 1
Capacity 2 TB
Storage Media 2.5"" HDD
Warranty: 2 years or more")</f>
        <v>2TB Slim Portable Hard Drive External HDD
USB Type micro USB to USB Type A
Connection Interface USB 3.1 Gen 1
Capacity 2 TB
Storage Media 2.5" HDD
Warranty: 2 years or more</v>
      </c>
      <c r="E44" s="28">
        <f ca="1">VLOOKUP(A44,Filter_PR!$C$2:F985,3,0)</f>
        <v>0</v>
      </c>
      <c r="F44" s="28">
        <v>0</v>
      </c>
      <c r="G44" s="28">
        <v>0</v>
      </c>
      <c r="H44" s="28">
        <v>0</v>
      </c>
      <c r="I44" s="28">
        <f t="shared" ca="1" si="0"/>
        <v>0</v>
      </c>
      <c r="J44" s="31">
        <f ca="1">VLOOKUP(A44,Filter_PR!$C$2:F985,4,0)</f>
        <v>0</v>
      </c>
      <c r="K44" s="32">
        <f t="shared" ca="1" si="1"/>
        <v>0</v>
      </c>
      <c r="L44" s="8"/>
      <c r="M44" s="8"/>
      <c r="N44" s="8"/>
      <c r="O44" s="8"/>
      <c r="P44" s="8"/>
      <c r="Q44" s="8"/>
      <c r="R44" s="8"/>
      <c r="S44" s="8"/>
      <c r="T44" s="8"/>
      <c r="U44" s="8"/>
      <c r="V44" s="8"/>
      <c r="W44" s="8"/>
      <c r="X44" s="8"/>
      <c r="Y44" s="8"/>
      <c r="Z44" s="8"/>
      <c r="AA44" s="8"/>
    </row>
    <row r="45" spans="1:27" ht="75">
      <c r="A45" s="15" t="str">
        <f ca="1">IFERROR(__xludf.DUMMYFUNCTION("""COMPUTED_VALUE"""),"30M Gigabit Cat6 Ethernet Patch Cable with RJ45 CAT6 High Quality")</f>
        <v>30M Gigabit Cat6 Ethernet Patch Cable with RJ45 CAT6 High Quality</v>
      </c>
      <c r="B45" s="28">
        <v>46</v>
      </c>
      <c r="C45" s="29" t="e">
        <f ca="1">VLOOKUP(A45,default!B42:D1009,3,0)</f>
        <v>#N/A</v>
      </c>
      <c r="D45" s="33" t="str">
        <f ca="1">IFERROR(__xludf.DUMMYFUNCTION("""COMPUTED_VALUE"""),"30M Gigabit Cat6 Ethernet Patch Cable with RJ45 CAT6 High Quality
Gigabit Speed and Ready to Use Cable
Cable Category: Cat6/Cat6e
Machine Crimped")</f>
        <v>30M Gigabit Cat6 Ethernet Patch Cable with RJ45 CAT6 High Quality
Gigabit Speed and Ready to Use Cable
Cable Category: Cat6/Cat6e
Machine Crimped</v>
      </c>
      <c r="E45" s="28">
        <f ca="1">VLOOKUP(A45,Filter_PR!$C$2:F985,3,0)</f>
        <v>0</v>
      </c>
      <c r="F45" s="28">
        <v>0</v>
      </c>
      <c r="G45" s="28">
        <v>0</v>
      </c>
      <c r="H45" s="28">
        <v>0</v>
      </c>
      <c r="I45" s="28">
        <f t="shared" ca="1" si="0"/>
        <v>0</v>
      </c>
      <c r="J45" s="31">
        <f ca="1">VLOOKUP(A45,Filter_PR!$C$2:F985,4,0)</f>
        <v>0</v>
      </c>
      <c r="K45" s="32">
        <f t="shared" ca="1" si="1"/>
        <v>0</v>
      </c>
      <c r="L45" s="8"/>
      <c r="M45" s="8"/>
      <c r="N45" s="8"/>
      <c r="O45" s="8"/>
      <c r="P45" s="8"/>
      <c r="Q45" s="8"/>
      <c r="R45" s="8"/>
      <c r="S45" s="8"/>
      <c r="T45" s="8"/>
      <c r="U45" s="8"/>
      <c r="V45" s="8"/>
      <c r="W45" s="8"/>
      <c r="X45" s="8"/>
      <c r="Y45" s="8"/>
      <c r="Z45" s="8"/>
      <c r="AA45" s="8"/>
    </row>
    <row r="46" spans="1:27" ht="60">
      <c r="A46" s="15" t="str">
        <f ca="1">IFERROR(__xludf.DUMMYFUNCTION("""COMPUTED_VALUE"""),"32GB Flash Drive")</f>
        <v>32GB Flash Drive</v>
      </c>
      <c r="B46" s="28">
        <v>47</v>
      </c>
      <c r="C46" s="29" t="e">
        <f ca="1">VLOOKUP(A46,default!B43:D1009,3,0)</f>
        <v>#N/A</v>
      </c>
      <c r="D46" s="33" t="str">
        <f ca="1">IFERROR(__xludf.DUMMYFUNCTION("""COMPUTED_VALUE"""),"32GB Flash Drive
Capacities: 32GB; Branded
Compatability: USB 2.0 port required for high-speed transfer
Warranty: 1 year or more")</f>
        <v>32GB Flash Drive
Capacities: 32GB; Branded
Compatability: USB 2.0 port required for high-speed transfer
Warranty: 1 year or more</v>
      </c>
      <c r="E46" s="28">
        <f ca="1">VLOOKUP(A46,Filter_PR!$C$2:F985,3,0)</f>
        <v>0</v>
      </c>
      <c r="F46" s="28">
        <v>0</v>
      </c>
      <c r="G46" s="28">
        <v>0</v>
      </c>
      <c r="H46" s="28">
        <v>0</v>
      </c>
      <c r="I46" s="28">
        <f t="shared" ca="1" si="0"/>
        <v>0</v>
      </c>
      <c r="J46" s="31">
        <f ca="1">VLOOKUP(A46,Filter_PR!$C$2:F985,4,0)</f>
        <v>0</v>
      </c>
      <c r="K46" s="32">
        <f t="shared" ca="1" si="1"/>
        <v>0</v>
      </c>
      <c r="L46" s="8"/>
      <c r="M46" s="8"/>
      <c r="N46" s="8"/>
      <c r="O46" s="8"/>
      <c r="P46" s="8"/>
      <c r="Q46" s="8"/>
      <c r="R46" s="8"/>
      <c r="S46" s="8"/>
      <c r="T46" s="8"/>
      <c r="U46" s="8"/>
      <c r="V46" s="8"/>
      <c r="W46" s="8"/>
      <c r="X46" s="8"/>
      <c r="Y46" s="8"/>
      <c r="Z46" s="8"/>
      <c r="AA46" s="8"/>
    </row>
    <row r="47" spans="1:27" ht="75">
      <c r="A47" s="15" t="str">
        <f ca="1">IFERROR(__xludf.DUMMYFUNCTION("""COMPUTED_VALUE"""),"3M Gigabit Cat6 Ethernet Patch Cable with RJ45 CAT6 High Quality")</f>
        <v>3M Gigabit Cat6 Ethernet Patch Cable with RJ45 CAT6 High Quality</v>
      </c>
      <c r="B47" s="28">
        <v>48</v>
      </c>
      <c r="C47" s="29" t="e">
        <f ca="1">VLOOKUP(A47,default!B44:D1009,3,0)</f>
        <v>#N/A</v>
      </c>
      <c r="D47" s="33" t="str">
        <f ca="1">IFERROR(__xludf.DUMMYFUNCTION("""COMPUTED_VALUE"""),"3M Gigabit Cat6 Ethernet Patch Cable with RJ45 CAT6 High Quality
Gigabit Speed and Ready to Use Cable
Cable Category: Cat6/Cat6e
Machine Crimped")</f>
        <v>3M Gigabit Cat6 Ethernet Patch Cable with RJ45 CAT6 High Quality
Gigabit Speed and Ready to Use Cable
Cable Category: Cat6/Cat6e
Machine Crimped</v>
      </c>
      <c r="E47" s="28">
        <f ca="1">VLOOKUP(A47,Filter_PR!$C$2:F985,3,0)</f>
        <v>0</v>
      </c>
      <c r="F47" s="28">
        <v>0</v>
      </c>
      <c r="G47" s="28">
        <v>0</v>
      </c>
      <c r="H47" s="28">
        <v>0</v>
      </c>
      <c r="I47" s="28">
        <f t="shared" ca="1" si="0"/>
        <v>0</v>
      </c>
      <c r="J47" s="31">
        <f ca="1">VLOOKUP(A47,Filter_PR!$C$2:F985,4,0)</f>
        <v>0</v>
      </c>
      <c r="K47" s="32">
        <f t="shared" ca="1" si="1"/>
        <v>0</v>
      </c>
      <c r="L47" s="8"/>
      <c r="M47" s="8"/>
      <c r="N47" s="8"/>
      <c r="O47" s="8"/>
      <c r="P47" s="8"/>
      <c r="Q47" s="8"/>
      <c r="R47" s="8"/>
      <c r="S47" s="8"/>
      <c r="T47" s="8"/>
      <c r="U47" s="8"/>
      <c r="V47" s="8"/>
      <c r="W47" s="8"/>
      <c r="X47" s="8"/>
      <c r="Y47" s="8"/>
      <c r="Z47" s="8"/>
      <c r="AA47" s="8"/>
    </row>
    <row r="48" spans="1:27" ht="150">
      <c r="A48" s="15" t="str">
        <f ca="1">IFERROR(__xludf.DUMMYFUNCTION("""COMPUTED_VALUE"""),"42U Server Data Rack")</f>
        <v>42U Server Data Rack</v>
      </c>
      <c r="B48" s="28">
        <v>49</v>
      </c>
      <c r="C48" s="29" t="e">
        <f ca="1">VLOOKUP(A48,default!B44:D1009,3,0)</f>
        <v>#N/A</v>
      </c>
      <c r="D48" s="33" t="str">
        <f ca="1">IFERROR(__xludf.DUMMYFUNCTION("""COMPUTED_VALUE"""),"42U Server Data Rack
42U Server Data Rack / Data Cabinet/Server Rack Cabinet/Network Cabine /Organizer of Critical IT Systems/With 8 Slot PDU, Lock, (Shelf/Width:600mm,  Depth 1000mm, Height:2000mm) / Heavy-duty SPCC Cold Rolled Steel Material. Full 75% H"&amp;"oneycomb double-section perforation Rear Door for maximised ventilation. Includes trays, power strip, ventilation fan tray &amp; cagenuts assembly. Thickness: Mounting Profile at least 2.0mm, 19-inch Panel Mounting 1.5mm, Others 1.2mm")</f>
        <v>42U Server Data Rack
42U Server Data Rack / Data Cabinet/Server Rack Cabinet/Network Cabine /Organizer of Critical IT Systems/With 8 Slot PDU, Lock, (Shelf/Width:600mm,  Depth 1000mm, Height:2000mm) / Heavy-duty SPCC Cold Rolled Steel Material. Full 75% Honeycomb double-section perforation Rear Door for maximised ventilation. Includes trays, power strip, ventilation fan tray &amp; cagenuts assembly. Thickness: Mounting Profile at least 2.0mm, 19-inch Panel Mounting 1.5mm, Others 1.2mm</v>
      </c>
      <c r="E48" s="28">
        <f ca="1">VLOOKUP(A48,Filter_PR!$C$2:F985,3,0)</f>
        <v>0</v>
      </c>
      <c r="F48" s="28">
        <v>0</v>
      </c>
      <c r="G48" s="28">
        <v>0</v>
      </c>
      <c r="H48" s="28">
        <v>0</v>
      </c>
      <c r="I48" s="28">
        <f t="shared" ca="1" si="0"/>
        <v>0</v>
      </c>
      <c r="J48" s="31">
        <f ca="1">VLOOKUP(A48,Filter_PR!$C$2:F985,4,0)</f>
        <v>0</v>
      </c>
      <c r="K48" s="32">
        <f t="shared" ca="1" si="1"/>
        <v>0</v>
      </c>
      <c r="L48" s="8"/>
      <c r="M48" s="8"/>
      <c r="N48" s="8"/>
      <c r="O48" s="8"/>
      <c r="P48" s="8"/>
      <c r="Q48" s="8"/>
      <c r="R48" s="8"/>
      <c r="S48" s="8"/>
      <c r="T48" s="8"/>
      <c r="U48" s="8"/>
      <c r="V48" s="8"/>
      <c r="W48" s="8"/>
      <c r="X48" s="8"/>
      <c r="Y48" s="8"/>
      <c r="Z48" s="8"/>
      <c r="AA48" s="8"/>
    </row>
    <row r="49" spans="1:27" ht="105">
      <c r="A49" s="15" t="str">
        <f ca="1">IFERROR(__xludf.DUMMYFUNCTION("""COMPUTED_VALUE"""),"480GB 2.5"" Internal SSD")</f>
        <v>480GB 2.5" Internal SSD</v>
      </c>
      <c r="B49" s="28">
        <v>50</v>
      </c>
      <c r="C49" s="29" t="e">
        <f ca="1">VLOOKUP(A49,default!B45:D1009,3,0)</f>
        <v>#N/A</v>
      </c>
      <c r="D49" s="33" t="str">
        <f ca="1">IFERROR(__xludf.DUMMYFUNCTION("""COMPUTED_VALUE"""),"480GB 2.5"" Internal SSD
Form factor: 2.5”
Interface: SATA Rev. 3.0 (6Gb/s) – with backwards compatibility to SATA Rev. 2.0 (3Gb/s)
Capacities: 480GB or more
Baseline performance: up to 450MB/s read/write or more
Warranty: 2 years or more")</f>
        <v>480GB 2.5" Internal SSD
Form factor: 2.5”
Interface: SATA Rev. 3.0 (6Gb/s) – with backwards compatibility to SATA Rev. 2.0 (3Gb/s)
Capacities: 480GB or more
Baseline performance: up to 450MB/s read/write or more
Warranty: 2 years or more</v>
      </c>
      <c r="E49" s="28">
        <f ca="1">VLOOKUP(A49,Filter_PR!$C$2:F985,3,0)</f>
        <v>0</v>
      </c>
      <c r="F49" s="28">
        <v>0</v>
      </c>
      <c r="G49" s="28">
        <v>0</v>
      </c>
      <c r="H49" s="28">
        <v>0</v>
      </c>
      <c r="I49" s="28">
        <f t="shared" ca="1" si="0"/>
        <v>0</v>
      </c>
      <c r="J49" s="31">
        <f ca="1">VLOOKUP(A49,Filter_PR!$C$2:F985,4,0)</f>
        <v>0</v>
      </c>
      <c r="K49" s="32">
        <f t="shared" ca="1" si="1"/>
        <v>0</v>
      </c>
      <c r="L49" s="8"/>
      <c r="M49" s="8"/>
      <c r="N49" s="8"/>
      <c r="O49" s="8"/>
      <c r="P49" s="8"/>
      <c r="Q49" s="8"/>
      <c r="R49" s="8"/>
      <c r="S49" s="8"/>
      <c r="T49" s="8"/>
      <c r="U49" s="8"/>
      <c r="V49" s="8"/>
      <c r="W49" s="8"/>
      <c r="X49" s="8"/>
      <c r="Y49" s="8"/>
      <c r="Z49" s="8"/>
      <c r="AA49" s="8"/>
    </row>
    <row r="50" spans="1:27" ht="45">
      <c r="A50" s="15" t="str">
        <f ca="1">IFERROR(__xludf.DUMMYFUNCTION("""COMPUTED_VALUE"""),"4U 4-Layer Data Cabinet Wallmounted Data Cabinet")</f>
        <v>4U 4-Layer Data Cabinet Wallmounted Data Cabinet</v>
      </c>
      <c r="B50" s="28">
        <v>51</v>
      </c>
      <c r="C50" s="29" t="e">
        <f ca="1">VLOOKUP(A50,default!B46:D1009,3,0)</f>
        <v>#N/A</v>
      </c>
      <c r="D50" s="33" t="str">
        <f ca="1">IFERROR(__xludf.DUMMYFUNCTION("""COMPUTED_VALUE"""),"4U 4-Layer Data Cabinet Wallmounted Data Cabinet
Wallmounted Data Cabinet 600x450x230 W/ 2pcs Fan &amp; 1pc PDU 6Slot (ASSEMBLED)")</f>
        <v>4U 4-Layer Data Cabinet Wallmounted Data Cabinet
Wallmounted Data Cabinet 600x450x230 W/ 2pcs Fan &amp; 1pc PDU 6Slot (ASSEMBLED)</v>
      </c>
      <c r="E50" s="28">
        <f ca="1">VLOOKUP(A50,Filter_PR!$C$2:F985,3,0)</f>
        <v>0</v>
      </c>
      <c r="F50" s="28">
        <v>0</v>
      </c>
      <c r="G50" s="28">
        <v>0</v>
      </c>
      <c r="H50" s="28">
        <v>0</v>
      </c>
      <c r="I50" s="28">
        <f t="shared" ca="1" si="0"/>
        <v>0</v>
      </c>
      <c r="J50" s="31">
        <f ca="1">VLOOKUP(A50,Filter_PR!$C$2:F985,4,0)</f>
        <v>0</v>
      </c>
      <c r="K50" s="32">
        <f t="shared" ca="1" si="1"/>
        <v>0</v>
      </c>
      <c r="L50" s="8"/>
      <c r="M50" s="8"/>
      <c r="N50" s="8"/>
      <c r="O50" s="8"/>
      <c r="P50" s="8"/>
      <c r="Q50" s="8"/>
      <c r="R50" s="8"/>
      <c r="S50" s="8"/>
      <c r="T50" s="8"/>
      <c r="U50" s="8"/>
      <c r="V50" s="8"/>
      <c r="W50" s="8"/>
      <c r="X50" s="8"/>
      <c r="Y50" s="8"/>
      <c r="Z50" s="8"/>
      <c r="AA50" s="8"/>
    </row>
    <row r="51" spans="1:27" ht="90">
      <c r="A51" s="15" t="str">
        <f ca="1">IFERROR(__xludf.DUMMYFUNCTION("""COMPUTED_VALUE"""),"550 Watt 80 Plus Bronze Certified PSU ATX ")</f>
        <v xml:space="preserve">550 Watt 80 Plus Bronze Certified PSU ATX </v>
      </c>
      <c r="B51" s="28">
        <v>52</v>
      </c>
      <c r="C51" s="29" t="e">
        <f ca="1">VLOOKUP(A51,default!B47:D1009,3,0)</f>
        <v>#N/A</v>
      </c>
      <c r="D51" s="33" t="str">
        <f ca="1">IFERROR(__xludf.DUMMYFUNCTION("""COMPUTED_VALUE"""),"550 Watt 80 Plus Bronze Certified PSU ATX 
PSU Form Factor: ATX
Continuous power W: 550 Watts True Rated
ATX Connector: 1
80 PLUS Efficiency: Bronze
Warranty: 2 Years or more")</f>
        <v>550 Watt 80 Plus Bronze Certified PSU ATX 
PSU Form Factor: ATX
Continuous power W: 550 Watts True Rated
ATX Connector: 1
80 PLUS Efficiency: Bronze
Warranty: 2 Years or more</v>
      </c>
      <c r="E51" s="28">
        <f ca="1">VLOOKUP(A51,Filter_PR!$C$2:F985,3,0)</f>
        <v>0</v>
      </c>
      <c r="F51" s="28">
        <v>0</v>
      </c>
      <c r="G51" s="28">
        <v>0</v>
      </c>
      <c r="H51" s="28">
        <v>0</v>
      </c>
      <c r="I51" s="28">
        <f t="shared" ca="1" si="0"/>
        <v>0</v>
      </c>
      <c r="J51" s="31">
        <f ca="1">VLOOKUP(A51,Filter_PR!$C$2:F985,4,0)</f>
        <v>0</v>
      </c>
      <c r="K51" s="32">
        <f t="shared" ca="1" si="1"/>
        <v>0</v>
      </c>
      <c r="L51" s="8"/>
      <c r="M51" s="8"/>
      <c r="N51" s="8"/>
      <c r="O51" s="8"/>
      <c r="P51" s="8"/>
      <c r="Q51" s="8"/>
      <c r="R51" s="8"/>
      <c r="S51" s="8"/>
      <c r="T51" s="8"/>
      <c r="U51" s="8"/>
      <c r="V51" s="8"/>
      <c r="W51" s="8"/>
      <c r="X51" s="8"/>
      <c r="Y51" s="8"/>
      <c r="Z51" s="8"/>
      <c r="AA51" s="8"/>
    </row>
    <row r="52" spans="1:27" ht="75">
      <c r="A52" s="15" t="str">
        <f ca="1">IFERROR(__xludf.DUMMYFUNCTION("""COMPUTED_VALUE"""),"5M Gigabit Cat6 Ethernet Patch Cable with RJ45 CAT6 High Quality")</f>
        <v>5M Gigabit Cat6 Ethernet Patch Cable with RJ45 CAT6 High Quality</v>
      </c>
      <c r="B52" s="28">
        <v>53</v>
      </c>
      <c r="C52" s="29" t="e">
        <f ca="1">VLOOKUP(A52,default!B49:D1009,3,0)</f>
        <v>#N/A</v>
      </c>
      <c r="D52" s="33" t="str">
        <f ca="1">IFERROR(__xludf.DUMMYFUNCTION("""COMPUTED_VALUE"""),"5M Gigabit Cat6 Ethernet Patch Cable with RJ45 CAT6 High Quality
Gigabit Speed and Ready to Use Cable
Cable Category: Cat6/Cat6e
Machine Crimped")</f>
        <v>5M Gigabit Cat6 Ethernet Patch Cable with RJ45 CAT6 High Quality
Gigabit Speed and Ready to Use Cable
Cable Category: Cat6/Cat6e
Machine Crimped</v>
      </c>
      <c r="E52" s="28">
        <f ca="1">VLOOKUP(A52,Filter_PR!$C$2:F985,3,0)</f>
        <v>0</v>
      </c>
      <c r="F52" s="28">
        <v>0</v>
      </c>
      <c r="G52" s="28">
        <v>0</v>
      </c>
      <c r="H52" s="28">
        <v>0</v>
      </c>
      <c r="I52" s="28">
        <f t="shared" ca="1" si="0"/>
        <v>0</v>
      </c>
      <c r="J52" s="31">
        <f ca="1">VLOOKUP(A52,Filter_PR!$C$2:F985,4,0)</f>
        <v>0</v>
      </c>
      <c r="K52" s="32">
        <f t="shared" ca="1" si="1"/>
        <v>0</v>
      </c>
      <c r="L52" s="8"/>
      <c r="M52" s="8"/>
      <c r="N52" s="8"/>
      <c r="O52" s="8"/>
      <c r="P52" s="8"/>
      <c r="Q52" s="8"/>
      <c r="R52" s="8"/>
      <c r="S52" s="8"/>
      <c r="T52" s="8"/>
      <c r="U52" s="8"/>
      <c r="V52" s="8"/>
      <c r="W52" s="8"/>
      <c r="X52" s="8"/>
      <c r="Y52" s="8"/>
      <c r="Z52" s="8"/>
      <c r="AA52" s="8"/>
    </row>
    <row r="53" spans="1:27" ht="60">
      <c r="A53" s="15" t="str">
        <f ca="1">IFERROR(__xludf.DUMMYFUNCTION("""COMPUTED_VALUE"""),"64GB Flash Drive")</f>
        <v>64GB Flash Drive</v>
      </c>
      <c r="B53" s="28">
        <v>54</v>
      </c>
      <c r="C53" s="29" t="e">
        <f ca="1">VLOOKUP(A53,default!B49:D1009,3,0)</f>
        <v>#N/A</v>
      </c>
      <c r="D53" s="33" t="str">
        <f ca="1">IFERROR(__xludf.DUMMYFUNCTION("""COMPUTED_VALUE"""),"64GB Flash Drive
Capacities: 64GB; Branded
Compatability: USB 2.0 port required for high-speed transfer
Warranty: 1 year or more")</f>
        <v>64GB Flash Drive
Capacities: 64GB; Branded
Compatability: USB 2.0 port required for high-speed transfer
Warranty: 1 year or more</v>
      </c>
      <c r="E53" s="28">
        <f ca="1">VLOOKUP(A53,Filter_PR!$C$2:F985,3,0)</f>
        <v>0</v>
      </c>
      <c r="F53" s="28">
        <v>0</v>
      </c>
      <c r="G53" s="28">
        <v>0</v>
      </c>
      <c r="H53" s="28">
        <v>0</v>
      </c>
      <c r="I53" s="28">
        <f t="shared" ca="1" si="0"/>
        <v>0</v>
      </c>
      <c r="J53" s="31">
        <f ca="1">VLOOKUP(A53,Filter_PR!$C$2:F985,4,0)</f>
        <v>0</v>
      </c>
      <c r="K53" s="32">
        <f t="shared" ca="1" si="1"/>
        <v>0</v>
      </c>
      <c r="L53" s="8"/>
      <c r="M53" s="8"/>
      <c r="N53" s="8"/>
      <c r="O53" s="8"/>
      <c r="P53" s="8"/>
      <c r="Q53" s="8"/>
      <c r="R53" s="8"/>
      <c r="S53" s="8"/>
      <c r="T53" s="8"/>
      <c r="U53" s="8"/>
      <c r="V53" s="8"/>
      <c r="W53" s="8"/>
      <c r="X53" s="8"/>
      <c r="Y53" s="8"/>
      <c r="Z53" s="8"/>
      <c r="AA53" s="8"/>
    </row>
    <row r="54" spans="1:27" ht="90">
      <c r="A54" s="15" t="str">
        <f ca="1">IFERROR(__xludf.DUMMYFUNCTION("""COMPUTED_VALUE"""),"7.0 Ah Replacement Battery (For UPS)")</f>
        <v>7.0 Ah Replacement Battery (For UPS)</v>
      </c>
      <c r="B54" s="28">
        <v>55</v>
      </c>
      <c r="C54" s="29" t="e">
        <f ca="1">VLOOKUP(A54,default!B49:D1009,3,0)</f>
        <v>#N/A</v>
      </c>
      <c r="D54" s="33" t="str">
        <f ca="1">IFERROR(__xludf.DUMMYFUNCTION("""COMPUTED_VALUE"""),"7.0 Ah Replacement Battery (For UPS)
Battery type: Lead-acid battery
Battery capacity: 7.0 Ah
Battery voltage: 12 V
Note: Compatible with the existing BX625CI-MS
Warranty: 2 years or more")</f>
        <v>7.0 Ah Replacement Battery (For UPS)
Battery type: Lead-acid battery
Battery capacity: 7.0 Ah
Battery voltage: 12 V
Note: Compatible with the existing BX625CI-MS
Warranty: 2 years or more</v>
      </c>
      <c r="E54" s="28">
        <f ca="1">VLOOKUP(A54,Filter_PR!$C$2:F985,3,0)</f>
        <v>0</v>
      </c>
      <c r="F54" s="28">
        <v>0</v>
      </c>
      <c r="G54" s="28">
        <v>0</v>
      </c>
      <c r="H54" s="28">
        <v>0</v>
      </c>
      <c r="I54" s="28">
        <f t="shared" ca="1" si="0"/>
        <v>0</v>
      </c>
      <c r="J54" s="31">
        <f ca="1">VLOOKUP(A54,Filter_PR!$C$2:F985,4,0)</f>
        <v>0</v>
      </c>
      <c r="K54" s="32">
        <f t="shared" ca="1" si="1"/>
        <v>0</v>
      </c>
      <c r="L54" s="8"/>
      <c r="M54" s="8"/>
      <c r="N54" s="8"/>
      <c r="O54" s="8"/>
      <c r="P54" s="8"/>
      <c r="Q54" s="8"/>
      <c r="R54" s="8"/>
      <c r="S54" s="8"/>
      <c r="T54" s="8"/>
      <c r="U54" s="8"/>
      <c r="V54" s="8"/>
      <c r="W54" s="8"/>
      <c r="X54" s="8"/>
      <c r="Y54" s="8"/>
      <c r="Z54" s="8"/>
      <c r="AA54" s="8"/>
    </row>
    <row r="55" spans="1:27" ht="90">
      <c r="A55" s="15" t="str">
        <f ca="1">IFERROR(__xludf.DUMMYFUNCTION("""COMPUTED_VALUE"""),"8 Port Gigabit Network Switch with 4-Port PoE+")</f>
        <v>8 Port Gigabit Network Switch with 4-Port PoE+</v>
      </c>
      <c r="B55" s="28">
        <v>56</v>
      </c>
      <c r="C55" s="29" t="e">
        <f ca="1">VLOOKUP(A55,default!B50:D1009,3,0)</f>
        <v>#N/A</v>
      </c>
      <c r="D55" s="33" t="str">
        <f ca="1">IFERROR(__xludf.DUMMYFUNCTION("""COMPUTED_VALUE"""),"8 Port Gigabit Network Switch with 4-Port PoE+
Interface: 8 10/100/1000 Mbps ports, Auto Negotiation
PoE Standard: 802.3af/at
Switching Capacity: at least 16Gbps
Fan Quantity: Fanless
Warranty: 1 year or more")</f>
        <v>8 Port Gigabit Network Switch with 4-Port PoE+
Interface: 8 10/100/1000 Mbps ports, Auto Negotiation
PoE Standard: 802.3af/at
Switching Capacity: at least 16Gbps
Fan Quantity: Fanless
Warranty: 1 year or more</v>
      </c>
      <c r="E55" s="28">
        <f ca="1">VLOOKUP(A55,Filter_PR!$C$2:F985,3,0)</f>
        <v>0</v>
      </c>
      <c r="F55" s="28">
        <v>0</v>
      </c>
      <c r="G55" s="28">
        <v>0</v>
      </c>
      <c r="H55" s="28">
        <v>0</v>
      </c>
      <c r="I55" s="28">
        <f t="shared" ca="1" si="0"/>
        <v>0</v>
      </c>
      <c r="J55" s="31">
        <f ca="1">VLOOKUP(A55,Filter_PR!$C$2:F985,4,0)</f>
        <v>0</v>
      </c>
      <c r="K55" s="32">
        <f t="shared" ca="1" si="1"/>
        <v>0</v>
      </c>
      <c r="L55" s="8"/>
      <c r="M55" s="8"/>
      <c r="N55" s="8"/>
      <c r="O55" s="8"/>
      <c r="P55" s="8"/>
      <c r="Q55" s="8"/>
      <c r="R55" s="8"/>
      <c r="S55" s="8"/>
      <c r="T55" s="8"/>
      <c r="U55" s="8"/>
      <c r="V55" s="8"/>
      <c r="W55" s="8"/>
      <c r="X55" s="8"/>
      <c r="Y55" s="8"/>
      <c r="Z55" s="8"/>
      <c r="AA55" s="8"/>
    </row>
    <row r="56" spans="1:27" ht="135">
      <c r="A56" s="15" t="str">
        <f ca="1">IFERROR(__xludf.DUMMYFUNCTION("""COMPUTED_VALUE"""),"8-Port Gigabit L2 Managed Switch with 2 SFP Slots")</f>
        <v>8-Port Gigabit L2 Managed Switch with 2 SFP Slots</v>
      </c>
      <c r="B56" s="28">
        <v>57</v>
      </c>
      <c r="C56" s="29" t="e">
        <f ca="1">VLOOKUP(A56,default!B51:D1009,3,0)</f>
        <v>#N/A</v>
      </c>
      <c r="D56" s="33" t="str">
        <f ca="1">IFERROR(__xludf.DUMMYFUNCTION("""COMPUTED_VALUE"""),"8-Port Gigabit L2 Managed Switch with 2 SFP Slots
8 10/100/1000Mbps RJ45 Ports
(Auto Negotiation/Auto MDI/MDIX)
2 1000Mbps SFP Slots
Bandwidth: 20Gbps or more
Supports up to 4K VLANs simultaneously
Fan Quantity: Fanless
Inclusion: Power Cord; Rackmount Ki"&amp;"t
Warranty: 1 year or more")</f>
        <v>8-Port Gigabit L2 Managed Switch with 2 SFP Slots
8 10/100/1000Mbps RJ45 Ports
(Auto Negotiation/Auto MDI/MDIX)
2 1000Mbps SFP Slots
Bandwidth: 20Gbps or more
Supports up to 4K VLANs simultaneously
Fan Quantity: Fanless
Inclusion: Power Cord; Rackmount Kit
Warranty: 1 year or more</v>
      </c>
      <c r="E56" s="28">
        <f ca="1">VLOOKUP(A56,Filter_PR!$C$2:F985,3,0)</f>
        <v>0</v>
      </c>
      <c r="F56" s="28">
        <v>0</v>
      </c>
      <c r="G56" s="28">
        <v>0</v>
      </c>
      <c r="H56" s="28">
        <v>0</v>
      </c>
      <c r="I56" s="28">
        <f t="shared" ca="1" si="0"/>
        <v>0</v>
      </c>
      <c r="J56" s="31">
        <f ca="1">VLOOKUP(A56,Filter_PR!$C$2:F985,4,0)</f>
        <v>0</v>
      </c>
      <c r="K56" s="32">
        <f t="shared" ca="1" si="1"/>
        <v>0</v>
      </c>
      <c r="L56" s="8"/>
      <c r="M56" s="8"/>
      <c r="N56" s="8"/>
      <c r="O56" s="8"/>
      <c r="P56" s="8"/>
      <c r="Q56" s="8"/>
      <c r="R56" s="8"/>
      <c r="S56" s="8"/>
      <c r="T56" s="8"/>
      <c r="U56" s="8"/>
      <c r="V56" s="8"/>
      <c r="W56" s="8"/>
      <c r="X56" s="8"/>
      <c r="Y56" s="8"/>
      <c r="Z56" s="8"/>
      <c r="AA56" s="8"/>
    </row>
    <row r="57" spans="1:27" ht="75">
      <c r="A57" s="15" t="str">
        <f ca="1">IFERROR(__xludf.DUMMYFUNCTION("""COMPUTED_VALUE"""),"Aluminum Step Ladder, FT-4 (4 Steps)")</f>
        <v>Aluminum Step Ladder, FT-4 (4 Steps)</v>
      </c>
      <c r="B57" s="28">
        <v>58</v>
      </c>
      <c r="C57" s="29" t="e">
        <f ca="1">VLOOKUP(A57,default!B52:D1009,3,0)</f>
        <v>#N/A</v>
      </c>
      <c r="D57" s="33" t="str">
        <f ca="1">IFERROR(__xludf.DUMMYFUNCTION("""COMPUTED_VALUE"""),"Aluminum Step Ladder, FT-4 (4 Steps)
Foldable and lightweight
Load Capacity: 300 lbs
Tall Extended Handrail and Extra Large Platform Area
High Strength Aluminum")</f>
        <v>Aluminum Step Ladder, FT-4 (4 Steps)
Foldable and lightweight
Load Capacity: 300 lbs
Tall Extended Handrail and Extra Large Platform Area
High Strength Aluminum</v>
      </c>
      <c r="E57" s="28">
        <f ca="1">VLOOKUP(A57,Filter_PR!$C$2:F985,3,0)</f>
        <v>0</v>
      </c>
      <c r="F57" s="28">
        <v>0</v>
      </c>
      <c r="G57" s="28">
        <v>0</v>
      </c>
      <c r="H57" s="28">
        <v>0</v>
      </c>
      <c r="I57" s="28">
        <f t="shared" ca="1" si="0"/>
        <v>0</v>
      </c>
      <c r="J57" s="31">
        <f ca="1">VLOOKUP(A57,Filter_PR!$C$2:F985,4,0)</f>
        <v>0</v>
      </c>
      <c r="K57" s="32">
        <f t="shared" ca="1" si="1"/>
        <v>0</v>
      </c>
      <c r="L57" s="8"/>
      <c r="M57" s="8"/>
      <c r="N57" s="8"/>
      <c r="O57" s="8"/>
      <c r="P57" s="8"/>
      <c r="Q57" s="8"/>
      <c r="R57" s="8"/>
      <c r="S57" s="8"/>
      <c r="T57" s="8"/>
      <c r="U57" s="8"/>
      <c r="V57" s="8"/>
      <c r="W57" s="8"/>
      <c r="X57" s="8"/>
      <c r="Y57" s="8"/>
      <c r="Z57" s="8"/>
      <c r="AA57" s="8"/>
    </row>
    <row r="58" spans="1:27" ht="120">
      <c r="A58" s="15" t="str">
        <f ca="1">IFERROR(__xludf.DUMMYFUNCTION("""COMPUTED_VALUE"""),"Aluminum Step Ladder, FT-6 (6 Steps)")</f>
        <v>Aluminum Step Ladder, FT-6 (6 Steps)</v>
      </c>
      <c r="B58" s="28">
        <v>59</v>
      </c>
      <c r="C58" s="29" t="e">
        <f ca="1">VLOOKUP(A58,default!B53:D1009,3,0)</f>
        <v>#N/A</v>
      </c>
      <c r="D58" s="33" t="str">
        <f ca="1">IFERROR(__xludf.DUMMYFUNCTION("""COMPUTED_VALUE"""),"Aluminum Step Ladder, FT-6 (6 Steps)
Height when opened: 1.30m or more (From Top Platform to Ground)
Foldable and lightweight
Load Capacity: 300 lbs or more
22"" or more Tall Extended Handrail and Extra Large Platform Area
Main Material: High Strength"&amp;" Aluminum")</f>
        <v>Aluminum Step Ladder, FT-6 (6 Steps)
Height when opened: 1.30m or more (From Top Platform to Ground)
Foldable and lightweight
Load Capacity: 300 lbs or more
22" or more Tall Extended Handrail and Extra Large Platform Area
Main Material: High Strength Aluminum</v>
      </c>
      <c r="E58" s="28">
        <f ca="1">VLOOKUP(A58,Filter_PR!$C$2:F985,3,0)</f>
        <v>0</v>
      </c>
      <c r="F58" s="28">
        <v>0</v>
      </c>
      <c r="G58" s="28">
        <v>0</v>
      </c>
      <c r="H58" s="28">
        <v>0</v>
      </c>
      <c r="I58" s="28">
        <f t="shared" ca="1" si="0"/>
        <v>0</v>
      </c>
      <c r="J58" s="31">
        <f ca="1">VLOOKUP(A58,Filter_PR!$C$2:F985,4,0)</f>
        <v>0</v>
      </c>
      <c r="K58" s="32">
        <f t="shared" ca="1" si="1"/>
        <v>0</v>
      </c>
      <c r="L58" s="8"/>
      <c r="M58" s="8"/>
      <c r="N58" s="8"/>
      <c r="O58" s="8"/>
      <c r="P58" s="8"/>
      <c r="Q58" s="8"/>
      <c r="R58" s="8"/>
      <c r="S58" s="8"/>
      <c r="T58" s="8"/>
      <c r="U58" s="8"/>
      <c r="V58" s="8"/>
      <c r="W58" s="8"/>
      <c r="X58" s="8"/>
      <c r="Y58" s="8"/>
      <c r="Z58" s="8"/>
      <c r="AA58" s="8"/>
    </row>
    <row r="59" spans="1:27" ht="75">
      <c r="A59" s="15" t="str">
        <f ca="1">IFERROR(__xludf.DUMMYFUNCTION("""COMPUTED_VALUE"""),"Aluminum Step Ladder, FT-7 (7 Steps)")</f>
        <v>Aluminum Step Ladder, FT-7 (7 Steps)</v>
      </c>
      <c r="B59" s="28">
        <v>60</v>
      </c>
      <c r="C59" s="29" t="e">
        <f ca="1">VLOOKUP(A59,default!B54:D1009,3,0)</f>
        <v>#N/A</v>
      </c>
      <c r="D59" s="33" t="str">
        <f ca="1">IFERROR(__xludf.DUMMYFUNCTION("""COMPUTED_VALUE"""),"Aluminum Step Ladder, FT-7 (7 Steps)
Foldable and lightweight
Load Capacity: 300 lbs
Tall Extended Handrail and Extra Large Platform Area
High Strength Aluminum")</f>
        <v>Aluminum Step Ladder, FT-7 (7 Steps)
Foldable and lightweight
Load Capacity: 300 lbs
Tall Extended Handrail and Extra Large Platform Area
High Strength Aluminum</v>
      </c>
      <c r="E59" s="28">
        <f ca="1">VLOOKUP(A59,Filter_PR!$C$2:F985,3,0)</f>
        <v>0</v>
      </c>
      <c r="F59" s="28">
        <v>0</v>
      </c>
      <c r="G59" s="28">
        <v>0</v>
      </c>
      <c r="H59" s="28">
        <v>0</v>
      </c>
      <c r="I59" s="28">
        <f t="shared" ca="1" si="0"/>
        <v>0</v>
      </c>
      <c r="J59" s="31">
        <f ca="1">VLOOKUP(A59,Filter_PR!$C$2:F985,4,0)</f>
        <v>0</v>
      </c>
      <c r="K59" s="32">
        <f t="shared" ca="1" si="1"/>
        <v>0</v>
      </c>
      <c r="L59" s="8"/>
      <c r="M59" s="8"/>
      <c r="N59" s="8"/>
      <c r="O59" s="8"/>
      <c r="P59" s="8"/>
      <c r="Q59" s="8"/>
      <c r="R59" s="8"/>
      <c r="S59" s="8"/>
      <c r="T59" s="8"/>
      <c r="U59" s="8"/>
      <c r="V59" s="8"/>
      <c r="W59" s="8"/>
      <c r="X59" s="8"/>
      <c r="Y59" s="8"/>
      <c r="Z59" s="8"/>
      <c r="AA59" s="8"/>
    </row>
    <row r="60" spans="1:27" ht="75">
      <c r="A60" s="15" t="str">
        <f ca="1">IFERROR(__xludf.DUMMYFUNCTION("""COMPUTED_VALUE"""),"Android Tablet 10.5""")</f>
        <v>Android Tablet 10.5"</v>
      </c>
      <c r="B60" s="28">
        <v>61</v>
      </c>
      <c r="C60" s="29" t="e">
        <f ca="1">VLOOKUP(A60,default!B55:D1009,3,0)</f>
        <v>#N/A</v>
      </c>
      <c r="D60" s="33" t="str">
        <f ca="1">IFERROR(__xludf.DUMMYFUNCTION("""COMPUTED_VALUE"""),"Android Tablet 10.5""
Octa core processor
10"", Wi-Fi [4GB RAM + 64GB ROM] or more
8.0 MP Rear Camera - Resolution
Quad Speakers with sound by Dolby Atmos")</f>
        <v>Android Tablet 10.5"
Octa core processor
10", Wi-Fi [4GB RAM + 64GB ROM] or more
8.0 MP Rear Camera - Resolution
Quad Speakers with sound by Dolby Atmos</v>
      </c>
      <c r="E60" s="28">
        <f ca="1">VLOOKUP(A60,Filter_PR!$C$2:F985,3,0)</f>
        <v>0</v>
      </c>
      <c r="F60" s="28">
        <v>0</v>
      </c>
      <c r="G60" s="28">
        <v>0</v>
      </c>
      <c r="H60" s="28">
        <v>0</v>
      </c>
      <c r="I60" s="28">
        <f t="shared" ca="1" si="0"/>
        <v>0</v>
      </c>
      <c r="J60" s="31">
        <f ca="1">VLOOKUP(A60,Filter_PR!$C$2:F985,4,0)</f>
        <v>0</v>
      </c>
      <c r="K60" s="32">
        <f t="shared" ca="1" si="1"/>
        <v>0</v>
      </c>
      <c r="L60" s="8"/>
      <c r="M60" s="8"/>
      <c r="N60" s="8"/>
      <c r="O60" s="8"/>
      <c r="P60" s="8"/>
      <c r="Q60" s="8"/>
      <c r="R60" s="8"/>
      <c r="S60" s="8"/>
      <c r="T60" s="8"/>
      <c r="U60" s="8"/>
      <c r="V60" s="8"/>
      <c r="W60" s="8"/>
      <c r="X60" s="8"/>
      <c r="Y60" s="8"/>
      <c r="Z60" s="8"/>
      <c r="AA60" s="8"/>
    </row>
    <row r="61" spans="1:27" ht="75">
      <c r="A61" s="15" t="str">
        <f ca="1">IFERROR(__xludf.DUMMYFUNCTION("""COMPUTED_VALUE"""),"BATTERY 9V")</f>
        <v>BATTERY 9V</v>
      </c>
      <c r="B61" s="28">
        <v>62</v>
      </c>
      <c r="C61" s="29" t="e">
        <f ca="1">VLOOKUP(A61,default!B56:D1009,3,0)</f>
        <v>#N/A</v>
      </c>
      <c r="D61" s="33" t="str">
        <f ca="1">IFERROR(__xludf.DUMMYFUNCTION("""COMPUTED_VALUE"""),"BATTERY 9V
Classification: Alkaline
Chemical System: Zinc-Manganese Dioxide (Zn/MnO2)
Nominal Voltage: 9 volts
Terminal: Miniature Snap")</f>
        <v>BATTERY 9V
Classification: Alkaline
Chemical System: Zinc-Manganese Dioxide (Zn/MnO2)
Nominal Voltage: 9 volts
Terminal: Miniature Snap</v>
      </c>
      <c r="E61" s="28">
        <f ca="1">VLOOKUP(A61,Filter_PR!$C$2:F985,3,0)</f>
        <v>0</v>
      </c>
      <c r="F61" s="28">
        <v>0</v>
      </c>
      <c r="G61" s="28">
        <v>0</v>
      </c>
      <c r="H61" s="28">
        <v>0</v>
      </c>
      <c r="I61" s="28">
        <f t="shared" ca="1" si="0"/>
        <v>0</v>
      </c>
      <c r="J61" s="31">
        <f ca="1">VLOOKUP(A61,Filter_PR!$C$2:F985,4,0)</f>
        <v>0</v>
      </c>
      <c r="K61" s="32">
        <f t="shared" ca="1" si="1"/>
        <v>0</v>
      </c>
      <c r="L61" s="8"/>
      <c r="M61" s="8"/>
      <c r="N61" s="8"/>
      <c r="O61" s="8"/>
      <c r="P61" s="8"/>
      <c r="Q61" s="8"/>
      <c r="R61" s="8"/>
      <c r="S61" s="8"/>
      <c r="T61" s="8"/>
      <c r="U61" s="8"/>
      <c r="V61" s="8"/>
      <c r="W61" s="8"/>
      <c r="X61" s="8"/>
      <c r="Y61" s="8"/>
      <c r="Z61" s="8"/>
      <c r="AA61" s="8"/>
    </row>
    <row r="62" spans="1:27" ht="75">
      <c r="A62" s="15" t="str">
        <f ca="1">IFERROR(__xludf.DUMMYFUNCTION("""COMPUTED_VALUE"""),"BATTERY AA 2S (2pcs/pack)")</f>
        <v>BATTERY AA 2S (2pcs/pack)</v>
      </c>
      <c r="B62" s="28">
        <v>63</v>
      </c>
      <c r="C62" s="29" t="e">
        <f ca="1">VLOOKUP(A62,default!B57:D1009,3,0)</f>
        <v>#N/A</v>
      </c>
      <c r="D62" s="33" t="str">
        <f ca="1">IFERROR(__xludf.DUMMYFUNCTION("""COMPUTED_VALUE"""),"BATTERY AA 2S (2pcs/pack)
Classification: Alkaline
Chemical System: Zinc-Manganese Dioxide (Zn/MnO2)
Nominal Voltage: 1.5 volts
Terminal: Flat Contact")</f>
        <v>BATTERY AA 2S (2pcs/pack)
Classification: Alkaline
Chemical System: Zinc-Manganese Dioxide (Zn/MnO2)
Nominal Voltage: 1.5 volts
Terminal: Flat Contact</v>
      </c>
      <c r="E62" s="28">
        <f ca="1">VLOOKUP(A62,Filter_PR!$C$2:F985,3,0)</f>
        <v>0</v>
      </c>
      <c r="F62" s="28">
        <v>0</v>
      </c>
      <c r="G62" s="28">
        <v>0</v>
      </c>
      <c r="H62" s="28">
        <v>0</v>
      </c>
      <c r="I62" s="28">
        <f t="shared" ca="1" si="0"/>
        <v>0</v>
      </c>
      <c r="J62" s="31">
        <f ca="1">VLOOKUP(A62,Filter_PR!$C$2:F985,4,0)</f>
        <v>0</v>
      </c>
      <c r="K62" s="32">
        <f t="shared" ca="1" si="1"/>
        <v>0</v>
      </c>
      <c r="L62" s="8"/>
      <c r="M62" s="8"/>
      <c r="N62" s="8"/>
      <c r="O62" s="8"/>
      <c r="P62" s="8"/>
      <c r="Q62" s="8"/>
      <c r="R62" s="8"/>
      <c r="S62" s="8"/>
      <c r="T62" s="8"/>
      <c r="U62" s="8"/>
      <c r="V62" s="8"/>
      <c r="W62" s="8"/>
      <c r="X62" s="8"/>
      <c r="Y62" s="8"/>
      <c r="Z62" s="8"/>
      <c r="AA62" s="8"/>
    </row>
    <row r="63" spans="1:27" ht="75">
      <c r="A63" s="15" t="str">
        <f ca="1">IFERROR(__xludf.DUMMYFUNCTION("""COMPUTED_VALUE"""),"BATTERY AAA 4S (2pcs/pack)")</f>
        <v>BATTERY AAA 4S (2pcs/pack)</v>
      </c>
      <c r="B63" s="28">
        <v>64</v>
      </c>
      <c r="C63" s="29" t="e">
        <f ca="1">VLOOKUP(A63,default!B57:D1009,3,0)</f>
        <v>#N/A</v>
      </c>
      <c r="D63" s="33" t="str">
        <f ca="1">IFERROR(__xludf.DUMMYFUNCTION("""COMPUTED_VALUE"""),"BATTERY AAA 4S (2pcs/pack)
Classification: Alkaline
Chemical System: Zinc-Manganese Dioxide (Zn/MnO2)
Nominal Voltage: 1.5 volts
Terminal: Flat Contact")</f>
        <v>BATTERY AAA 4S (2pcs/pack)
Classification: Alkaline
Chemical System: Zinc-Manganese Dioxide (Zn/MnO2)
Nominal Voltage: 1.5 volts
Terminal: Flat Contact</v>
      </c>
      <c r="E63" s="28">
        <f ca="1">VLOOKUP(A63,Filter_PR!$C$2:F985,3,0)</f>
        <v>0</v>
      </c>
      <c r="F63" s="28">
        <v>0</v>
      </c>
      <c r="G63" s="28">
        <v>0</v>
      </c>
      <c r="H63" s="28">
        <v>0</v>
      </c>
      <c r="I63" s="28">
        <f t="shared" ca="1" si="0"/>
        <v>0</v>
      </c>
      <c r="J63" s="31">
        <f ca="1">VLOOKUP(A63,Filter_PR!$C$2:F985,4,0)</f>
        <v>0</v>
      </c>
      <c r="K63" s="32">
        <f t="shared" ca="1" si="1"/>
        <v>0</v>
      </c>
      <c r="L63" s="8"/>
      <c r="M63" s="8"/>
      <c r="N63" s="8"/>
      <c r="O63" s="8"/>
      <c r="P63" s="8"/>
      <c r="Q63" s="8"/>
      <c r="R63" s="8"/>
      <c r="S63" s="8"/>
      <c r="T63" s="8"/>
      <c r="U63" s="8"/>
      <c r="V63" s="8"/>
      <c r="W63" s="8"/>
      <c r="X63" s="8"/>
      <c r="Y63" s="8"/>
      <c r="Z63" s="8"/>
      <c r="AA63" s="8"/>
    </row>
    <row r="64" spans="1:27" ht="240">
      <c r="A64" s="15" t="str">
        <f ca="1">IFERROR(__xludf.DUMMYFUNCTION("""COMPUTED_VALUE"""),"Black &amp; White LASER NETWORK PRINTER with DUPLEX PRINTING")</f>
        <v>Black &amp; White LASER NETWORK PRINTER with DUPLEX PRINTING</v>
      </c>
      <c r="B64" s="28">
        <v>65</v>
      </c>
      <c r="C64" s="29" t="e">
        <f ca="1">VLOOKUP(A64,default!B58:D1009,3,0)</f>
        <v>#N/A</v>
      </c>
      <c r="D64" s="33" t="str">
        <f ca="1">IFERROR(__xludf.DUMMYFUNCTION("""COMPUTED_VALUE"""),"Black &amp; White LASER NETWORK PRINTER with DUPLEX PRINTING
Print speed: 40 pages per minute (A4)
Memory: 256 MB
Processor: Cortex A9, 800 MHz
Maintenance Kit Life: 100,000 pages
With Network Printing and Duplex Printing(automatic double-sided printing)
Maxi"&amp;"mum print size: Legal size 8.5.” x 14”
One paper cassette (250 sheets) and multi-purpose tray (100 sheets)
Print resolution: up to 1,200 d.p.i.
Standard interface: USB 2.0 (Hi-Speed), USB Host Interface, Gigabit Ethernet
with dealer/distributor certificat"&amp;"e for after-sales service
2 years spare parts warranty and 2 years service warranty")</f>
        <v>Black &amp; White LASER NETWORK PRINTER with DUPLEX PRINTING
Print speed: 40 pages per minute (A4)
Memory: 256 MB
Processor: Cortex A9, 800 MHz
Maintenance Kit Life: 100,000 pages
With Network Printing and Duplex Printing(automatic double-sided printing)
Maximum print size: Legal size 8.5.” x 14”
One paper cassette (250 sheets) and multi-purpose tray (100 sheets)
Print resolution: up to 1,200 d.p.i.
Standard interface: USB 2.0 (Hi-Speed), USB Host Interface, Gigabit Ethernet
with dealer/distributor certificate for after-sales service
2 years spare parts warranty and 2 years service warranty</v>
      </c>
      <c r="E64" s="28">
        <f ca="1">VLOOKUP(A64,Filter_PR!$C$2:F985,3,0)</f>
        <v>0</v>
      </c>
      <c r="F64" s="28">
        <v>0</v>
      </c>
      <c r="G64" s="28">
        <v>0</v>
      </c>
      <c r="H64" s="28">
        <v>0</v>
      </c>
      <c r="I64" s="28">
        <f t="shared" ca="1" si="0"/>
        <v>0</v>
      </c>
      <c r="J64" s="31">
        <f ca="1">VLOOKUP(A64,Filter_PR!$C$2:F985,4,0)</f>
        <v>0</v>
      </c>
      <c r="K64" s="32">
        <f t="shared" ca="1" si="1"/>
        <v>0</v>
      </c>
      <c r="L64" s="8"/>
      <c r="M64" s="8"/>
      <c r="N64" s="8"/>
      <c r="O64" s="8"/>
      <c r="P64" s="8"/>
      <c r="Q64" s="8"/>
      <c r="R64" s="8"/>
      <c r="S64" s="8"/>
      <c r="T64" s="8"/>
      <c r="U64" s="8"/>
      <c r="V64" s="8"/>
      <c r="W64" s="8"/>
      <c r="X64" s="8"/>
      <c r="Y64" s="8"/>
      <c r="Z64" s="8"/>
      <c r="AA64" s="8"/>
    </row>
    <row r="65" spans="1:27" ht="30">
      <c r="A65" s="15" t="str">
        <f ca="1">IFERROR(__xludf.DUMMYFUNCTION("""COMPUTED_VALUE"""),"Black Nylon Cable Tie 2.5 x 100mm 100pcs/pack ")</f>
        <v xml:space="preserve">Black Nylon Cable Tie 2.5 x 100mm 100pcs/pack </v>
      </c>
      <c r="B65" s="28">
        <v>66</v>
      </c>
      <c r="C65" s="29" t="e">
        <f ca="1">VLOOKUP(A65,default!B59:D1009,3,0)</f>
        <v>#N/A</v>
      </c>
      <c r="D65" s="33" t="str">
        <f ca="1">IFERROR(__xludf.DUMMYFUNCTION("""COMPUTED_VALUE"""),"Black Nylon Cable Tie 2.5 x 100mm 100pcs/pack 
Black Nylon Cable Tie 2.5 x 100mm")</f>
        <v>Black Nylon Cable Tie 2.5 x 100mm 100pcs/pack 
Black Nylon Cable Tie 2.5 x 100mm</v>
      </c>
      <c r="E65" s="28">
        <f ca="1">VLOOKUP(A65,Filter_PR!$C$2:F985,3,0)</f>
        <v>0</v>
      </c>
      <c r="F65" s="28">
        <v>0</v>
      </c>
      <c r="G65" s="28">
        <v>0</v>
      </c>
      <c r="H65" s="28">
        <v>0</v>
      </c>
      <c r="I65" s="28">
        <f t="shared" ca="1" si="0"/>
        <v>0</v>
      </c>
      <c r="J65" s="31">
        <f ca="1">VLOOKUP(A65,Filter_PR!$C$2:F985,4,0)</f>
        <v>0</v>
      </c>
      <c r="K65" s="32">
        <f t="shared" ca="1" si="1"/>
        <v>0</v>
      </c>
      <c r="L65" s="8"/>
      <c r="M65" s="8"/>
      <c r="N65" s="8"/>
      <c r="O65" s="8"/>
      <c r="P65" s="8"/>
      <c r="Q65" s="8"/>
      <c r="R65" s="8"/>
      <c r="S65" s="8"/>
      <c r="T65" s="8"/>
      <c r="U65" s="8"/>
      <c r="V65" s="8"/>
      <c r="W65" s="8"/>
      <c r="X65" s="8"/>
      <c r="Y65" s="8"/>
      <c r="Z65" s="8"/>
      <c r="AA65" s="8"/>
    </row>
    <row r="66" spans="1:27" ht="30">
      <c r="A66" s="15" t="str">
        <f ca="1">IFERROR(__xludf.DUMMYFUNCTION("""COMPUTED_VALUE"""),"Black Nylon Cable Tie 2.5 x 140mm 100pcs/pack ")</f>
        <v xml:space="preserve">Black Nylon Cable Tie 2.5 x 140mm 100pcs/pack </v>
      </c>
      <c r="B66" s="28">
        <v>67</v>
      </c>
      <c r="C66" s="29" t="e">
        <f ca="1">VLOOKUP(A66,default!B60:D1009,3,0)</f>
        <v>#N/A</v>
      </c>
      <c r="D66" s="33" t="str">
        <f ca="1">IFERROR(__xludf.DUMMYFUNCTION("""COMPUTED_VALUE"""),"Black Nylon Cable Tie 2.5 x 140mm 100pcs/pack 
Black Nylon Cable Tie 2.5 x 140mm")</f>
        <v>Black Nylon Cable Tie 2.5 x 140mm 100pcs/pack 
Black Nylon Cable Tie 2.5 x 140mm</v>
      </c>
      <c r="E66" s="28">
        <f ca="1">VLOOKUP(A66,Filter_PR!$C$2:F985,3,0)</f>
        <v>0</v>
      </c>
      <c r="F66" s="28">
        <v>0</v>
      </c>
      <c r="G66" s="28">
        <v>0</v>
      </c>
      <c r="H66" s="28">
        <v>0</v>
      </c>
      <c r="I66" s="28">
        <f t="shared" ca="1" si="0"/>
        <v>0</v>
      </c>
      <c r="J66" s="31">
        <f ca="1">VLOOKUP(A66,Filter_PR!$C$2:F985,4,0)</f>
        <v>0</v>
      </c>
      <c r="K66" s="32">
        <f t="shared" ca="1" si="1"/>
        <v>0</v>
      </c>
      <c r="L66" s="8"/>
      <c r="M66" s="8"/>
      <c r="N66" s="8"/>
      <c r="O66" s="8"/>
      <c r="P66" s="8"/>
      <c r="Q66" s="8"/>
      <c r="R66" s="8"/>
      <c r="S66" s="8"/>
      <c r="T66" s="8"/>
      <c r="U66" s="8"/>
      <c r="V66" s="8"/>
      <c r="W66" s="8"/>
      <c r="X66" s="8"/>
      <c r="Y66" s="8"/>
      <c r="Z66" s="8"/>
      <c r="AA66" s="8"/>
    </row>
    <row r="67" spans="1:27" ht="30">
      <c r="A67" s="15" t="str">
        <f ca="1">IFERROR(__xludf.DUMMYFUNCTION("""COMPUTED_VALUE"""),"Black Nylon Cable Tie 3.6 x 140mm 100pcs/pack ")</f>
        <v xml:space="preserve">Black Nylon Cable Tie 3.6 x 140mm 100pcs/pack </v>
      </c>
      <c r="B67" s="28">
        <v>68</v>
      </c>
      <c r="C67" s="29" t="e">
        <f ca="1">VLOOKUP(A67,default!B60:D1009,3,0)</f>
        <v>#N/A</v>
      </c>
      <c r="D67" s="33" t="str">
        <f ca="1">IFERROR(__xludf.DUMMYFUNCTION("""COMPUTED_VALUE"""),"Black Nylon Cable Tie 3.6 x 140mm 100pcs/pack 
Black Nylon Cable Tie 3.6 x 140mm")</f>
        <v>Black Nylon Cable Tie 3.6 x 140mm 100pcs/pack 
Black Nylon Cable Tie 3.6 x 140mm</v>
      </c>
      <c r="E67" s="28">
        <f ca="1">VLOOKUP(A67,Filter_PR!$C$2:F985,3,0)</f>
        <v>0</v>
      </c>
      <c r="F67" s="28">
        <v>0</v>
      </c>
      <c r="G67" s="28">
        <v>0</v>
      </c>
      <c r="H67" s="28">
        <v>0</v>
      </c>
      <c r="I67" s="28">
        <f t="shared" ca="1" si="0"/>
        <v>0</v>
      </c>
      <c r="J67" s="31">
        <f ca="1">VLOOKUP(A67,Filter_PR!$C$2:F985,4,0)</f>
        <v>0</v>
      </c>
      <c r="K67" s="32">
        <f t="shared" ca="1" si="1"/>
        <v>0</v>
      </c>
      <c r="L67" s="8"/>
      <c r="M67" s="8"/>
      <c r="N67" s="8"/>
      <c r="O67" s="8"/>
      <c r="P67" s="8"/>
      <c r="Q67" s="8"/>
      <c r="R67" s="8"/>
      <c r="S67" s="8"/>
      <c r="T67" s="8"/>
      <c r="U67" s="8"/>
      <c r="V67" s="8"/>
      <c r="W67" s="8"/>
      <c r="X67" s="8"/>
      <c r="Y67" s="8"/>
      <c r="Z67" s="8"/>
      <c r="AA67" s="8"/>
    </row>
    <row r="68" spans="1:27" ht="30">
      <c r="A68" s="15" t="str">
        <f ca="1">IFERROR(__xludf.DUMMYFUNCTION("""COMPUTED_VALUE"""),"Black Nylon Cable Tie 3.6 x 200mm 100pcs/pack ")</f>
        <v xml:space="preserve">Black Nylon Cable Tie 3.6 x 200mm 100pcs/pack </v>
      </c>
      <c r="B68" s="28">
        <v>69</v>
      </c>
      <c r="C68" s="29" t="e">
        <f ca="1">VLOOKUP(A68,default!B60:D1009,3,0)</f>
        <v>#N/A</v>
      </c>
      <c r="D68" s="33" t="str">
        <f ca="1">IFERROR(__xludf.DUMMYFUNCTION("""COMPUTED_VALUE"""),"Black Nylon Cable Tie 3.6 x 200mm 100pcs/pack 
Black Nylon Cable Tie 3.6 x 200mm")</f>
        <v>Black Nylon Cable Tie 3.6 x 200mm 100pcs/pack 
Black Nylon Cable Tie 3.6 x 200mm</v>
      </c>
      <c r="E68" s="28">
        <f ca="1">VLOOKUP(A68,Filter_PR!$C$2:F985,3,0)</f>
        <v>0</v>
      </c>
      <c r="F68" s="28">
        <v>0</v>
      </c>
      <c r="G68" s="28">
        <v>0</v>
      </c>
      <c r="H68" s="28">
        <v>0</v>
      </c>
      <c r="I68" s="28">
        <f t="shared" ca="1" si="0"/>
        <v>0</v>
      </c>
      <c r="J68" s="31">
        <f ca="1">VLOOKUP(A68,Filter_PR!$C$2:F985,4,0)</f>
        <v>0</v>
      </c>
      <c r="K68" s="32">
        <f t="shared" ca="1" si="1"/>
        <v>0</v>
      </c>
      <c r="L68" s="8"/>
      <c r="M68" s="8"/>
      <c r="N68" s="8"/>
      <c r="O68" s="8"/>
      <c r="P68" s="8"/>
      <c r="Q68" s="8"/>
      <c r="R68" s="8"/>
      <c r="S68" s="8"/>
      <c r="T68" s="8"/>
      <c r="U68" s="8"/>
      <c r="V68" s="8"/>
      <c r="W68" s="8"/>
      <c r="X68" s="8"/>
      <c r="Y68" s="8"/>
      <c r="Z68" s="8"/>
      <c r="AA68" s="8"/>
    </row>
    <row r="69" spans="1:27" ht="30">
      <c r="A69" s="15" t="str">
        <f ca="1">IFERROR(__xludf.DUMMYFUNCTION("""COMPUTED_VALUE"""),"Black Nylon Cable Tie 3.6 x 300mm 100pcs/pack ")</f>
        <v xml:space="preserve">Black Nylon Cable Tie 3.6 x 300mm 100pcs/pack </v>
      </c>
      <c r="B69" s="28">
        <v>70</v>
      </c>
      <c r="C69" s="29" t="e">
        <f ca="1">VLOOKUP(A69,default!B62:D1009,3,0)</f>
        <v>#N/A</v>
      </c>
      <c r="D69" s="33" t="str">
        <f ca="1">IFERROR(__xludf.DUMMYFUNCTION("""COMPUTED_VALUE"""),"Black Nylon Cable Tie 3.6 x 300mm 100pcs/pack 
Black Nylon Cable Tie 3.6 x 300mm")</f>
        <v>Black Nylon Cable Tie 3.6 x 300mm 100pcs/pack 
Black Nylon Cable Tie 3.6 x 300mm</v>
      </c>
      <c r="E69" s="28">
        <f ca="1">VLOOKUP(A69,Filter_PR!$C$2:F985,3,0)</f>
        <v>0</v>
      </c>
      <c r="F69" s="28">
        <v>0</v>
      </c>
      <c r="G69" s="28">
        <v>0</v>
      </c>
      <c r="H69" s="28">
        <v>0</v>
      </c>
      <c r="I69" s="28">
        <f t="shared" ca="1" si="0"/>
        <v>0</v>
      </c>
      <c r="J69" s="31">
        <f ca="1">VLOOKUP(A69,Filter_PR!$C$2:F985,4,0)</f>
        <v>0</v>
      </c>
      <c r="K69" s="32">
        <f t="shared" ca="1" si="1"/>
        <v>0</v>
      </c>
      <c r="L69" s="8"/>
      <c r="M69" s="8"/>
      <c r="N69" s="8"/>
      <c r="O69" s="8"/>
      <c r="P69" s="8"/>
      <c r="Q69" s="8"/>
      <c r="R69" s="8"/>
      <c r="S69" s="8"/>
      <c r="T69" s="8"/>
      <c r="U69" s="8"/>
      <c r="V69" s="8"/>
      <c r="W69" s="8"/>
      <c r="X69" s="8"/>
      <c r="Y69" s="8"/>
      <c r="Z69" s="8"/>
      <c r="AA69" s="8"/>
    </row>
    <row r="70" spans="1:27" ht="30">
      <c r="A70" s="15" t="str">
        <f ca="1">IFERROR(__xludf.DUMMYFUNCTION("""COMPUTED_VALUE"""),"Black Nylon Cable Tie 4.8 x 200mm 100pcs/pack ")</f>
        <v xml:space="preserve">Black Nylon Cable Tie 4.8 x 200mm 100pcs/pack </v>
      </c>
      <c r="B70" s="28">
        <v>71</v>
      </c>
      <c r="C70" s="29" t="e">
        <f ca="1">VLOOKUP(A70,default!B62:D1009,3,0)</f>
        <v>#N/A</v>
      </c>
      <c r="D70" s="33" t="str">
        <f ca="1">IFERROR(__xludf.DUMMYFUNCTION("""COMPUTED_VALUE"""),"Black Nylon Cable Tie 4.8 x 200mm 100pcs/pack 
Black Nylon Cable Tie 4.8 x 200mm")</f>
        <v>Black Nylon Cable Tie 4.8 x 200mm 100pcs/pack 
Black Nylon Cable Tie 4.8 x 200mm</v>
      </c>
      <c r="E70" s="28">
        <f ca="1">VLOOKUP(A70,Filter_PR!$C$2:F985,3,0)</f>
        <v>0</v>
      </c>
      <c r="F70" s="28">
        <v>0</v>
      </c>
      <c r="G70" s="28">
        <v>0</v>
      </c>
      <c r="H70" s="28">
        <v>0</v>
      </c>
      <c r="I70" s="28">
        <f t="shared" ca="1" si="0"/>
        <v>0</v>
      </c>
      <c r="J70" s="31">
        <f ca="1">VLOOKUP(A70,Filter_PR!$C$2:F985,4,0)</f>
        <v>0</v>
      </c>
      <c r="K70" s="32">
        <f t="shared" ca="1" si="1"/>
        <v>0</v>
      </c>
      <c r="L70" s="8"/>
      <c r="M70" s="8"/>
      <c r="N70" s="8"/>
      <c r="O70" s="8"/>
      <c r="P70" s="8"/>
      <c r="Q70" s="8"/>
      <c r="R70" s="8"/>
      <c r="S70" s="8"/>
      <c r="T70" s="8"/>
      <c r="U70" s="8"/>
      <c r="V70" s="8"/>
      <c r="W70" s="8"/>
      <c r="X70" s="8"/>
      <c r="Y70" s="8"/>
      <c r="Z70" s="8"/>
      <c r="AA70" s="8"/>
    </row>
    <row r="71" spans="1:27" ht="30">
      <c r="A71" s="15" t="str">
        <f ca="1">IFERROR(__xludf.DUMMYFUNCTION("""COMPUTED_VALUE"""),"Black Nylon Cable Tie 4.8 x 250mm 100pcs/pack ")</f>
        <v xml:space="preserve">Black Nylon Cable Tie 4.8 x 250mm 100pcs/pack </v>
      </c>
      <c r="B71" s="28">
        <v>72</v>
      </c>
      <c r="C71" s="29" t="e">
        <f ca="1">VLOOKUP(A71,default!B62:D1009,3,0)</f>
        <v>#N/A</v>
      </c>
      <c r="D71" s="33" t="str">
        <f ca="1">IFERROR(__xludf.DUMMYFUNCTION("""COMPUTED_VALUE"""),"Black Nylon Cable Tie 4.8 x 250mm 100pcs/pack 
Black Nylon Cable Tie 4.8 x 250mm")</f>
        <v>Black Nylon Cable Tie 4.8 x 250mm 100pcs/pack 
Black Nylon Cable Tie 4.8 x 250mm</v>
      </c>
      <c r="E71" s="28">
        <f ca="1">VLOOKUP(A71,Filter_PR!$C$2:F985,3,0)</f>
        <v>0</v>
      </c>
      <c r="F71" s="28">
        <v>0</v>
      </c>
      <c r="G71" s="28">
        <v>0</v>
      </c>
      <c r="H71" s="28">
        <v>0</v>
      </c>
      <c r="I71" s="28">
        <f t="shared" ca="1" si="0"/>
        <v>0</v>
      </c>
      <c r="J71" s="31">
        <f ca="1">VLOOKUP(A71,Filter_PR!$C$2:F985,4,0)</f>
        <v>0</v>
      </c>
      <c r="K71" s="32">
        <f t="shared" ca="1" si="1"/>
        <v>0</v>
      </c>
      <c r="L71" s="8"/>
      <c r="M71" s="8"/>
      <c r="N71" s="8"/>
      <c r="O71" s="8"/>
      <c r="P71" s="8"/>
      <c r="Q71" s="8"/>
      <c r="R71" s="8"/>
      <c r="S71" s="8"/>
      <c r="T71" s="8"/>
      <c r="U71" s="8"/>
      <c r="V71" s="8"/>
      <c r="W71" s="8"/>
      <c r="X71" s="8"/>
      <c r="Y71" s="8"/>
      <c r="Z71" s="8"/>
      <c r="AA71" s="8"/>
    </row>
    <row r="72" spans="1:27" ht="30">
      <c r="A72" s="15" t="str">
        <f ca="1">IFERROR(__xludf.DUMMYFUNCTION("""COMPUTED_VALUE"""),"Black Nylon Cable Tie 4.8 x 300mm 100pcs/pack ")</f>
        <v xml:space="preserve">Black Nylon Cable Tie 4.8 x 300mm 100pcs/pack </v>
      </c>
      <c r="B72" s="28">
        <v>73</v>
      </c>
      <c r="C72" s="29" t="e">
        <f ca="1">VLOOKUP(A72,default!B62:D1009,3,0)</f>
        <v>#N/A</v>
      </c>
      <c r="D72" s="33" t="str">
        <f ca="1">IFERROR(__xludf.DUMMYFUNCTION("""COMPUTED_VALUE"""),"Black Nylon Cable Tie 4.8 x 300mm 100pcs/pack 
Black Nylon Cable Tie 4.8 x 300mm")</f>
        <v>Black Nylon Cable Tie 4.8 x 300mm 100pcs/pack 
Black Nylon Cable Tie 4.8 x 300mm</v>
      </c>
      <c r="E72" s="28">
        <f ca="1">VLOOKUP(A72,Filter_PR!$C$2:F985,3,0)</f>
        <v>0</v>
      </c>
      <c r="F72" s="28">
        <v>0</v>
      </c>
      <c r="G72" s="28">
        <v>0</v>
      </c>
      <c r="H72" s="28">
        <v>0</v>
      </c>
      <c r="I72" s="28">
        <f t="shared" ca="1" si="0"/>
        <v>0</v>
      </c>
      <c r="J72" s="31">
        <f ca="1">VLOOKUP(A72,Filter_PR!$C$2:F985,4,0)</f>
        <v>0</v>
      </c>
      <c r="K72" s="32">
        <f t="shared" ca="1" si="1"/>
        <v>0</v>
      </c>
      <c r="L72" s="8"/>
      <c r="M72" s="8"/>
      <c r="N72" s="8"/>
      <c r="O72" s="8"/>
      <c r="P72" s="8"/>
      <c r="Q72" s="8"/>
      <c r="R72" s="8"/>
      <c r="S72" s="8"/>
      <c r="T72" s="8"/>
      <c r="U72" s="8"/>
      <c r="V72" s="8"/>
      <c r="W72" s="8"/>
      <c r="X72" s="8"/>
      <c r="Y72" s="8"/>
      <c r="Z72" s="8"/>
      <c r="AA72" s="8"/>
    </row>
    <row r="73" spans="1:27" ht="30">
      <c r="A73" s="15" t="str">
        <f ca="1">IFERROR(__xludf.DUMMYFUNCTION("""COMPUTED_VALUE"""),"Black Nylon Cable Tie 4.8 x 400mm 100pcs/pack ")</f>
        <v xml:space="preserve">Black Nylon Cable Tie 4.8 x 400mm 100pcs/pack </v>
      </c>
      <c r="B73" s="28">
        <v>74</v>
      </c>
      <c r="C73" s="29" t="e">
        <f ca="1">VLOOKUP(A73,default!B62:D1009,3,0)</f>
        <v>#N/A</v>
      </c>
      <c r="D73" s="33" t="str">
        <f ca="1">IFERROR(__xludf.DUMMYFUNCTION("""COMPUTED_VALUE"""),"Black Nylon Cable Tie 4.8 x 400mm 100pcs/pack 
Black Nylon Cable Tie 4.8 x 400mm")</f>
        <v>Black Nylon Cable Tie 4.8 x 400mm 100pcs/pack 
Black Nylon Cable Tie 4.8 x 400mm</v>
      </c>
      <c r="E73" s="28">
        <f ca="1">VLOOKUP(A73,Filter_PR!$C$2:F985,3,0)</f>
        <v>0</v>
      </c>
      <c r="F73" s="28">
        <v>0</v>
      </c>
      <c r="G73" s="28">
        <v>0</v>
      </c>
      <c r="H73" s="28">
        <v>0</v>
      </c>
      <c r="I73" s="28">
        <f t="shared" ca="1" si="0"/>
        <v>0</v>
      </c>
      <c r="J73" s="31">
        <f ca="1">VLOOKUP(A73,Filter_PR!$C$2:F985,4,0)</f>
        <v>0</v>
      </c>
      <c r="K73" s="32">
        <f t="shared" ca="1" si="1"/>
        <v>0</v>
      </c>
      <c r="L73" s="8"/>
      <c r="M73" s="8"/>
      <c r="N73" s="8"/>
      <c r="O73" s="8"/>
      <c r="P73" s="8"/>
      <c r="Q73" s="8"/>
      <c r="R73" s="8"/>
      <c r="S73" s="8"/>
      <c r="T73" s="8"/>
      <c r="U73" s="8"/>
      <c r="V73" s="8"/>
      <c r="W73" s="8"/>
      <c r="X73" s="8"/>
      <c r="Y73" s="8"/>
      <c r="Z73" s="8"/>
      <c r="AA73" s="8"/>
    </row>
    <row r="74" spans="1:27" ht="30">
      <c r="A74" s="15" t="str">
        <f ca="1">IFERROR(__xludf.DUMMYFUNCTION("""COMPUTED_VALUE"""),"Black Original LaserJet Toner Cartridge")</f>
        <v>Black Original LaserJet Toner Cartridge</v>
      </c>
      <c r="B74" s="28">
        <v>75</v>
      </c>
      <c r="C74" s="29" t="e">
        <f ca="1">VLOOKUP(A74,default!B63:D1009,3,0)</f>
        <v>#N/A</v>
      </c>
      <c r="D74" s="33" t="str">
        <f ca="1">IFERROR(__xludf.DUMMYFUNCTION("""COMPUTED_VALUE"""),"Black Original LaserJet Toner Cartridge
HP 80A Black Original LaserJet Toner Cartridge, CF280A")</f>
        <v>Black Original LaserJet Toner Cartridge
HP 80A Black Original LaserJet Toner Cartridge, CF280A</v>
      </c>
      <c r="E74" s="28">
        <f ca="1">VLOOKUP(A74,Filter_PR!$C$2:F985,3,0)</f>
        <v>0</v>
      </c>
      <c r="F74" s="28">
        <v>0</v>
      </c>
      <c r="G74" s="28">
        <v>0</v>
      </c>
      <c r="H74" s="28">
        <v>0</v>
      </c>
      <c r="I74" s="28">
        <f t="shared" ca="1" si="0"/>
        <v>0</v>
      </c>
      <c r="J74" s="31">
        <f ca="1">VLOOKUP(A74,Filter_PR!$C$2:F985,4,0)</f>
        <v>0</v>
      </c>
      <c r="K74" s="32">
        <f t="shared" ca="1" si="1"/>
        <v>0</v>
      </c>
      <c r="L74" s="8"/>
      <c r="M74" s="8"/>
      <c r="N74" s="8"/>
      <c r="O74" s="8"/>
      <c r="P74" s="8"/>
      <c r="Q74" s="8"/>
      <c r="R74" s="8"/>
      <c r="S74" s="8"/>
      <c r="T74" s="8"/>
      <c r="U74" s="8"/>
      <c r="V74" s="8"/>
      <c r="W74" s="8"/>
      <c r="X74" s="8"/>
      <c r="Y74" s="8"/>
      <c r="Z74" s="8"/>
      <c r="AA74" s="8"/>
    </row>
    <row r="75" spans="1:27" ht="30">
      <c r="A75" s="15" t="str">
        <f ca="1">IFERROR(__xludf.DUMMYFUNCTION("""COMPUTED_VALUE"""),"Bolt Expansion Sleeve Anchor Concrete 1/4""")</f>
        <v>Bolt Expansion Sleeve Anchor Concrete 1/4"</v>
      </c>
      <c r="B75" s="28">
        <v>76</v>
      </c>
      <c r="C75" s="29" t="e">
        <f ca="1">VLOOKUP(A75,default!B64:D1009,3,0)</f>
        <v>#N/A</v>
      </c>
      <c r="D75" s="33" t="str">
        <f ca="1">IFERROR(__xludf.DUMMYFUNCTION("""COMPUTED_VALUE"""),"Bolt Expansion Sleeve Anchor Concrete 1/4""
Bolt Expansion Sleeve Anchor Concrete 1/4""")</f>
        <v>Bolt Expansion Sleeve Anchor Concrete 1/4"
Bolt Expansion Sleeve Anchor Concrete 1/4"</v>
      </c>
      <c r="E75" s="28">
        <f ca="1">VLOOKUP(A75,Filter_PR!$C$2:F985,3,0)</f>
        <v>0</v>
      </c>
      <c r="F75" s="28">
        <v>0</v>
      </c>
      <c r="G75" s="28">
        <v>0</v>
      </c>
      <c r="H75" s="28">
        <v>0</v>
      </c>
      <c r="I75" s="28">
        <f t="shared" ca="1" si="0"/>
        <v>0</v>
      </c>
      <c r="J75" s="31">
        <f ca="1">VLOOKUP(A75,Filter_PR!$C$2:F985,4,0)</f>
        <v>0</v>
      </c>
      <c r="K75" s="32">
        <f t="shared" ca="1" si="1"/>
        <v>0</v>
      </c>
      <c r="L75" s="8"/>
      <c r="M75" s="8"/>
      <c r="N75" s="8"/>
      <c r="O75" s="8"/>
      <c r="P75" s="8"/>
      <c r="Q75" s="8"/>
      <c r="R75" s="8"/>
      <c r="S75" s="8"/>
      <c r="T75" s="8"/>
      <c r="U75" s="8"/>
      <c r="V75" s="8"/>
      <c r="W75" s="8"/>
      <c r="X75" s="8"/>
      <c r="Y75" s="8"/>
      <c r="Z75" s="8"/>
      <c r="AA75" s="8"/>
    </row>
    <row r="76" spans="1:27" ht="15">
      <c r="A76" s="15" t="str">
        <f ca="1">IFERROR(__xludf.DUMMYFUNCTION("""COMPUTED_VALUE"""),"Bolt Expansion Sleeve Anchor Concrete 5/16""")</f>
        <v>Bolt Expansion Sleeve Anchor Concrete 5/16"</v>
      </c>
      <c r="B76" s="36"/>
      <c r="C76" s="15"/>
      <c r="D76" s="37" t="str">
        <f ca="1">IFERROR(__xludf.DUMMYFUNCTION("""COMPUTED_VALUE"""),"Bolt Expansion Sleeve Anchor Concrete 5/16""
Bolt Expansion Sleeve Anchor Concrete 5/16""")</f>
        <v>Bolt Expansion Sleeve Anchor Concrete 5/16"
Bolt Expansion Sleeve Anchor Concrete 5/16"</v>
      </c>
      <c r="E76" s="15"/>
      <c r="F76" s="15"/>
      <c r="G76" s="15"/>
      <c r="H76" s="15"/>
      <c r="I76" s="1450" t="s">
        <v>88</v>
      </c>
      <c r="J76" s="1451"/>
      <c r="K76" s="38" t="e">
        <f ca="1">SUM($K$13:K75)</f>
        <v>#VALUE!</v>
      </c>
      <c r="L76" s="8"/>
      <c r="M76" s="8"/>
      <c r="N76" s="8"/>
      <c r="O76" s="8"/>
      <c r="P76" s="8"/>
      <c r="Q76" s="8"/>
      <c r="R76" s="8"/>
      <c r="S76" s="8"/>
      <c r="T76" s="8"/>
      <c r="U76" s="8"/>
      <c r="V76" s="8"/>
      <c r="W76" s="8"/>
      <c r="X76" s="8"/>
      <c r="Y76" s="8"/>
      <c r="Z76" s="8"/>
      <c r="AA76" s="8"/>
    </row>
    <row r="77" spans="1:27" ht="15">
      <c r="A77" s="15" t="str">
        <f ca="1">IFERROR(__xludf.DUMMYFUNCTION("""COMPUTED_VALUE"""),"Brother Genuine Ink BT5000C")</f>
        <v>Brother Genuine Ink BT5000C</v>
      </c>
      <c r="B77" s="36"/>
      <c r="C77" s="15"/>
      <c r="D77" s="37" t="str">
        <f ca="1">IFERROR(__xludf.DUMMYFUNCTION("""COMPUTED_VALUE"""),"Brother Genuine Ink BT5000C
Brother Genuine Ink BT5000C for existing BROTHER Printer")</f>
        <v>Brother Genuine Ink BT5000C
Brother Genuine Ink BT5000C for existing BROTHER Printer</v>
      </c>
      <c r="E77" s="15"/>
      <c r="F77" s="15"/>
      <c r="G77" s="15"/>
      <c r="H77" s="15"/>
      <c r="I77" s="15"/>
      <c r="J77" s="39"/>
      <c r="K77" s="40"/>
      <c r="L77" s="8"/>
      <c r="M77" s="8"/>
      <c r="N77" s="8"/>
      <c r="O77" s="8"/>
      <c r="P77" s="8"/>
      <c r="Q77" s="8"/>
      <c r="R77" s="8"/>
      <c r="S77" s="8"/>
      <c r="T77" s="8"/>
      <c r="U77" s="8"/>
      <c r="V77" s="8"/>
      <c r="W77" s="8"/>
      <c r="X77" s="8"/>
      <c r="Y77" s="8"/>
      <c r="Z77" s="8"/>
      <c r="AA77" s="8"/>
    </row>
    <row r="78" spans="1:27" ht="15">
      <c r="A78" s="15" t="str">
        <f ca="1">IFERROR(__xludf.DUMMYFUNCTION("""COMPUTED_VALUE"""),"Brother Genuine Ink BT5000M")</f>
        <v>Brother Genuine Ink BT5000M</v>
      </c>
      <c r="B78" s="36"/>
      <c r="C78" s="15"/>
      <c r="D78" s="37" t="str">
        <f ca="1">IFERROR(__xludf.DUMMYFUNCTION("""COMPUTED_VALUE"""),"Brother Genuine Ink BT5000M
Brother Genuine Ink BT5000M for existing BROTHER Printer")</f>
        <v>Brother Genuine Ink BT5000M
Brother Genuine Ink BT5000M for existing BROTHER Printer</v>
      </c>
      <c r="E78" s="15"/>
      <c r="F78" s="15"/>
      <c r="G78" s="15"/>
      <c r="H78" s="15"/>
      <c r="I78" s="15"/>
      <c r="J78" s="39"/>
      <c r="K78" s="40"/>
      <c r="L78" s="8"/>
      <c r="M78" s="8"/>
      <c r="N78" s="8"/>
      <c r="O78" s="8"/>
      <c r="P78" s="8"/>
      <c r="Q78" s="8"/>
      <c r="R78" s="8"/>
      <c r="S78" s="8"/>
      <c r="T78" s="8"/>
      <c r="U78" s="8"/>
      <c r="V78" s="8"/>
      <c r="W78" s="8"/>
      <c r="X78" s="8"/>
      <c r="Y78" s="8"/>
      <c r="Z78" s="8"/>
      <c r="AA78" s="8"/>
    </row>
    <row r="79" spans="1:27" ht="15">
      <c r="A79" s="15" t="str">
        <f ca="1">IFERROR(__xludf.DUMMYFUNCTION("""COMPUTED_VALUE"""),"Brother Genuine Ink BT5000Y")</f>
        <v>Brother Genuine Ink BT5000Y</v>
      </c>
      <c r="B79" s="36"/>
      <c r="C79" s="15"/>
      <c r="D79" s="37" t="str">
        <f ca="1">IFERROR(__xludf.DUMMYFUNCTION("""COMPUTED_VALUE"""),"Brother Genuine Ink BT5000Y
Brother Genuine Ink BT5000Y for existing BROTHER Printer")</f>
        <v>Brother Genuine Ink BT5000Y
Brother Genuine Ink BT5000Y for existing BROTHER Printer</v>
      </c>
      <c r="E79" s="15"/>
      <c r="F79" s="15"/>
      <c r="G79" s="15"/>
      <c r="H79" s="15"/>
      <c r="I79" s="15"/>
      <c r="J79" s="39"/>
      <c r="K79" s="40"/>
      <c r="L79" s="8"/>
      <c r="M79" s="8"/>
      <c r="N79" s="8"/>
      <c r="O79" s="8"/>
      <c r="P79" s="8"/>
      <c r="Q79" s="8"/>
      <c r="R79" s="8"/>
      <c r="S79" s="8"/>
      <c r="T79" s="8"/>
      <c r="U79" s="8"/>
      <c r="V79" s="8"/>
      <c r="W79" s="8"/>
      <c r="X79" s="8"/>
      <c r="Y79" s="8"/>
      <c r="Z79" s="8"/>
      <c r="AA79" s="8"/>
    </row>
    <row r="80" spans="1:27" ht="15">
      <c r="A80" s="15" t="str">
        <f ca="1">IFERROR(__xludf.DUMMYFUNCTION("""COMPUTED_VALUE"""),"Brother Genuine Ink BT6000BK")</f>
        <v>Brother Genuine Ink BT6000BK</v>
      </c>
      <c r="B80" s="36"/>
      <c r="C80" s="15"/>
      <c r="D80" s="37" t="str">
        <f ca="1">IFERROR(__xludf.DUMMYFUNCTION("""COMPUTED_VALUE"""),"Brother Genuine Ink BT6000BK
Brother Genuine Ink BT5000BK for existing BROTHER Printer")</f>
        <v>Brother Genuine Ink BT6000BK
Brother Genuine Ink BT5000BK for existing BROTHER Printer</v>
      </c>
      <c r="E80" s="15"/>
      <c r="F80" s="15"/>
      <c r="G80" s="15"/>
      <c r="H80" s="15"/>
      <c r="I80" s="15"/>
      <c r="J80" s="39"/>
      <c r="K80" s="40"/>
      <c r="L80" s="8"/>
      <c r="M80" s="8"/>
      <c r="N80" s="8"/>
      <c r="O80" s="8"/>
      <c r="P80" s="8"/>
      <c r="Q80" s="8"/>
      <c r="R80" s="8"/>
      <c r="S80" s="8"/>
      <c r="T80" s="8"/>
      <c r="U80" s="8"/>
      <c r="V80" s="8"/>
      <c r="W80" s="8"/>
      <c r="X80" s="8"/>
      <c r="Y80" s="8"/>
      <c r="Z80" s="8"/>
      <c r="AA80" s="8"/>
    </row>
    <row r="81" spans="1:27" ht="15">
      <c r="A81" s="15" t="str">
        <f ca="1">IFERROR(__xludf.DUMMYFUNCTION("""COMPUTED_VALUE"""),"CAT 6 Cable, U/UTP, Indoor 305 meters")</f>
        <v>CAT 6 Cable, U/UTP, Indoor 305 meters</v>
      </c>
      <c r="B81" s="36"/>
      <c r="C81" s="15"/>
      <c r="D81" s="37" t="str">
        <f ca="1">IFERROR(__xludf.DUMMYFUNCTION("""COMPUTED_VALUE"""),"CAT 6 Cable, U/UTP, Indoor 305 meters
AWG: 24
Stranding: Solid
Material: BC - Bare Copper
No. of Pairs: 4
Material: PO - Polyolefin
Outer Jacket: PVC - Polyvinyl Chloride
ISO/IEC Compliance: ISO/IEC 11801")</f>
        <v>CAT 6 Cable, U/UTP, Indoor 305 meters
AWG: 24
Stranding: Solid
Material: BC - Bare Copper
No. of Pairs: 4
Material: PO - Polyolefin
Outer Jacket: PVC - Polyvinyl Chloride
ISO/IEC Compliance: ISO/IEC 11801</v>
      </c>
      <c r="E81" s="15"/>
      <c r="F81" s="15"/>
      <c r="G81" s="15"/>
      <c r="H81" s="15"/>
      <c r="I81" s="15"/>
      <c r="J81" s="39"/>
      <c r="K81" s="40"/>
      <c r="L81" s="8"/>
      <c r="M81" s="8"/>
      <c r="N81" s="8"/>
      <c r="O81" s="8"/>
      <c r="P81" s="8"/>
      <c r="Q81" s="8"/>
      <c r="R81" s="8"/>
      <c r="S81" s="8"/>
      <c r="T81" s="8"/>
      <c r="U81" s="8"/>
      <c r="V81" s="8"/>
      <c r="W81" s="8"/>
      <c r="X81" s="8"/>
      <c r="Y81" s="8"/>
      <c r="Z81" s="8"/>
      <c r="AA81" s="8"/>
    </row>
    <row r="82" spans="1:27" ht="15">
      <c r="A82" s="15" t="str">
        <f ca="1">IFERROR(__xludf.DUMMYFUNCTION("""COMPUTED_VALUE"""),"CAT6 Cable, UTP, OUTDOOR 305 meters (Pure Copper)")</f>
        <v>CAT6 Cable, UTP, OUTDOOR 305 meters (Pure Copper)</v>
      </c>
      <c r="B82" s="36"/>
      <c r="C82" s="15"/>
      <c r="D82" s="37" t="str">
        <f ca="1">IFERROR(__xludf.DUMMYFUNCTION("""COMPUTED_VALUE"""),"CAT6 Cable, UTP, OUTDOOR 305 meters (Pure Copper)
Conductor size:  23AWG
No. of Conductor:  4P")</f>
        <v>CAT6 Cable, UTP, OUTDOOR 305 meters (Pure Copper)
Conductor size:  23AWG
No. of Conductor:  4P</v>
      </c>
      <c r="E82" s="15"/>
      <c r="F82" s="15"/>
      <c r="G82" s="15"/>
      <c r="H82" s="15"/>
      <c r="I82" s="15"/>
      <c r="J82" s="39"/>
      <c r="K82" s="40"/>
      <c r="L82" s="8"/>
      <c r="M82" s="8"/>
      <c r="N82" s="8"/>
      <c r="O82" s="8"/>
      <c r="P82" s="8"/>
      <c r="Q82" s="8"/>
      <c r="R82" s="8"/>
      <c r="S82" s="8"/>
      <c r="T82" s="8"/>
      <c r="U82" s="8"/>
      <c r="V82" s="8"/>
      <c r="W82" s="8"/>
      <c r="X82" s="8"/>
      <c r="Y82" s="8"/>
      <c r="Z82" s="8"/>
      <c r="AA82" s="8"/>
    </row>
    <row r="83" spans="1:27" ht="15">
      <c r="A83" s="15" t="str">
        <f ca="1">IFERROR(__xludf.DUMMYFUNCTION("""COMPUTED_VALUE"""),"CAT6/CAT5e Tool-Less Keystone Jack; High Quality")</f>
        <v>CAT6/CAT5e Tool-Less Keystone Jack; High Quality</v>
      </c>
      <c r="B83" s="36"/>
      <c r="C83" s="15"/>
      <c r="D83" s="37" t="str">
        <f ca="1">IFERROR(__xludf.DUMMYFUNCTION("""COMPUTED_VALUE"""),"CAT6/CAT5e Tool-Less Keystone Jack; High Quality
Backwards compatible to 10/100/1000 Mbps Ethernet CAT5 CAT5E CAT6
Labeled for T568A and T568B wiring scheme next to wire clips;
It accepts 22 to 26 AWG solid Ethernet Patch Cords")</f>
        <v>CAT6/CAT5e Tool-Less Keystone Jack; High Quality
Backwards compatible to 10/100/1000 Mbps Ethernet CAT5 CAT5E CAT6
Labeled for T568A and T568B wiring scheme next to wire clips;
It accepts 22 to 26 AWG solid Ethernet Patch Cords</v>
      </c>
      <c r="E83" s="15"/>
      <c r="F83" s="15"/>
      <c r="G83" s="15"/>
      <c r="H83" s="15"/>
      <c r="I83" s="15"/>
      <c r="J83" s="39"/>
      <c r="K83" s="40"/>
      <c r="L83" s="8"/>
      <c r="M83" s="8"/>
      <c r="N83" s="8"/>
      <c r="O83" s="8"/>
      <c r="P83" s="8"/>
      <c r="Q83" s="8"/>
      <c r="R83" s="8"/>
      <c r="S83" s="8"/>
      <c r="T83" s="8"/>
      <c r="U83" s="8"/>
      <c r="V83" s="8"/>
      <c r="W83" s="8"/>
      <c r="X83" s="8"/>
      <c r="Y83" s="8"/>
      <c r="Z83" s="8"/>
      <c r="AA83" s="8"/>
    </row>
    <row r="84" spans="1:27" ht="15">
      <c r="A84" s="15" t="str">
        <f ca="1">IFERROR(__xludf.DUMMYFUNCTION("""COMPUTED_VALUE"""),"CCTV Outdoor Junction Box 100x100x70mm")</f>
        <v>CCTV Outdoor Junction Box 100x100x70mm</v>
      </c>
      <c r="B84" s="36"/>
      <c r="C84" s="15"/>
      <c r="D84" s="37" t="str">
        <f ca="1">IFERROR(__xludf.DUMMYFUNCTION("""COMPUTED_VALUE"""),"CCTV Outdoor Junction Box 100x100x70mm
CCTV Outdoor Junction Box IP65 Weather Water Proof Enclosure with Rubber Gasket &amp; Screws")</f>
        <v>CCTV Outdoor Junction Box 100x100x70mm
CCTV Outdoor Junction Box IP65 Weather Water Proof Enclosure with Rubber Gasket &amp; Screws</v>
      </c>
      <c r="E84" s="15"/>
      <c r="F84" s="15"/>
      <c r="G84" s="15"/>
      <c r="H84" s="15"/>
      <c r="I84" s="15"/>
      <c r="J84" s="39"/>
      <c r="K84" s="40"/>
      <c r="L84" s="8"/>
      <c r="M84" s="8"/>
      <c r="N84" s="8"/>
      <c r="O84" s="8"/>
      <c r="P84" s="8"/>
      <c r="Q84" s="8"/>
      <c r="R84" s="8"/>
      <c r="S84" s="8"/>
      <c r="T84" s="8"/>
      <c r="U84" s="8"/>
      <c r="V84" s="8"/>
      <c r="W84" s="8"/>
      <c r="X84" s="8"/>
      <c r="Y84" s="8"/>
      <c r="Z84" s="8"/>
      <c r="AA84" s="8"/>
    </row>
    <row r="85" spans="1:27" ht="15">
      <c r="A85" s="15" t="str">
        <f ca="1">IFERROR(__xludf.DUMMYFUNCTION("""COMPUTED_VALUE"""),"Cellphone (Android)")</f>
        <v>Cellphone (Android)</v>
      </c>
      <c r="B85" s="36"/>
      <c r="C85" s="15"/>
      <c r="D85" s="37" t="str">
        <f ca="1">IFERROR(__xludf.DUMMYFUNCTION("""COMPUTED_VALUE"""),"Cellphone (Android)
")</f>
        <v xml:space="preserve">Cellphone (Android)
</v>
      </c>
      <c r="E85" s="15"/>
      <c r="F85" s="15"/>
      <c r="G85" s="15"/>
      <c r="H85" s="15"/>
      <c r="I85" s="15"/>
      <c r="J85" s="39"/>
      <c r="K85" s="40"/>
      <c r="L85" s="8"/>
      <c r="M85" s="8"/>
      <c r="N85" s="8"/>
      <c r="O85" s="8"/>
      <c r="P85" s="8"/>
      <c r="Q85" s="8"/>
      <c r="R85" s="8"/>
      <c r="S85" s="8"/>
      <c r="T85" s="8"/>
      <c r="U85" s="8"/>
      <c r="V85" s="8"/>
      <c r="W85" s="8"/>
      <c r="X85" s="8"/>
      <c r="Y85" s="8"/>
      <c r="Z85" s="8"/>
      <c r="AA85" s="8"/>
    </row>
    <row r="86" spans="1:27" ht="15">
      <c r="A86" s="15" t="str">
        <f ca="1">IFERROR(__xludf.DUMMYFUNCTION("""COMPUTED_VALUE"""),"Collapsible Hand Truck")</f>
        <v>Collapsible Hand Truck</v>
      </c>
      <c r="B86" s="36"/>
      <c r="C86" s="15"/>
      <c r="D86" s="37" t="str">
        <f ca="1">IFERROR(__xludf.DUMMYFUNCTION("""COMPUTED_VALUE"""),"Collapsible Hand Truck
Heavy duty metal coated
70kg max capacity or more
Folds for compact storage
Light weight")</f>
        <v>Collapsible Hand Truck
Heavy duty metal coated
70kg max capacity or more
Folds for compact storage
Light weight</v>
      </c>
      <c r="E86" s="15"/>
      <c r="F86" s="15"/>
      <c r="G86" s="15"/>
      <c r="H86" s="15"/>
      <c r="I86" s="15"/>
      <c r="J86" s="39"/>
      <c r="K86" s="40"/>
      <c r="L86" s="8"/>
      <c r="M86" s="8"/>
      <c r="N86" s="8"/>
      <c r="O86" s="8"/>
      <c r="P86" s="8"/>
      <c r="Q86" s="8"/>
      <c r="R86" s="8"/>
      <c r="S86" s="8"/>
      <c r="T86" s="8"/>
      <c r="U86" s="8"/>
      <c r="V86" s="8"/>
      <c r="W86" s="8"/>
      <c r="X86" s="8"/>
      <c r="Y86" s="8"/>
      <c r="Z86" s="8"/>
      <c r="AA86" s="8"/>
    </row>
    <row r="87" spans="1:27" ht="15">
      <c r="A87" s="15" t="str">
        <f ca="1">IFERROR(__xludf.DUMMYFUNCTION("""COMPUTED_VALUE"""),"Colored Toner Cartridge Set for the existing ECOSYS M5521CDW")</f>
        <v>Colored Toner Cartridge Set for the existing ECOSYS M5521CDW</v>
      </c>
      <c r="B87" s="36"/>
      <c r="C87" s="15"/>
      <c r="D87" s="37" t="str">
        <f ca="1">IFERROR(__xludf.DUMMYFUNCTION("""COMPUTED_VALUE"""),"Colored Toner Cartridge Set for the existing ECOSYS M5521CDW
TK-5234C, TK-5234M, TK-5234Y")</f>
        <v>Colored Toner Cartridge Set for the existing ECOSYS M5521CDW
TK-5234C, TK-5234M, TK-5234Y</v>
      </c>
      <c r="E87" s="15"/>
      <c r="F87" s="15"/>
      <c r="G87" s="15"/>
      <c r="H87" s="15"/>
      <c r="I87" s="15"/>
      <c r="J87" s="39"/>
      <c r="K87" s="40"/>
      <c r="L87" s="8"/>
      <c r="M87" s="8"/>
      <c r="N87" s="8"/>
      <c r="O87" s="8"/>
      <c r="P87" s="8"/>
      <c r="Q87" s="8"/>
      <c r="R87" s="8"/>
      <c r="S87" s="8"/>
      <c r="T87" s="8"/>
      <c r="U87" s="8"/>
      <c r="V87" s="8"/>
      <c r="W87" s="8"/>
      <c r="X87" s="8"/>
      <c r="Y87" s="8"/>
      <c r="Z87" s="8"/>
      <c r="AA87" s="8"/>
    </row>
    <row r="88" spans="1:27" ht="15">
      <c r="A88" s="15" t="str">
        <f ca="1">IFERROR(__xludf.DUMMYFUNCTION("""COMPUTED_VALUE"""),"Colored Toner Cartridge Set for the existing ECOSYS M8124CIDN")</f>
        <v>Colored Toner Cartridge Set for the existing ECOSYS M8124CIDN</v>
      </c>
      <c r="B88" s="36"/>
      <c r="C88" s="15"/>
      <c r="D88" s="37" t="str">
        <f ca="1">IFERROR(__xludf.DUMMYFUNCTION("""COMPUTED_VALUE"""),"Colored Toner Cartridge Set for the existing ECOSYS M8124CIDN
TK-8113C, TK-8113M, TK-8113Y")</f>
        <v>Colored Toner Cartridge Set for the existing ECOSYS M8124CIDN
TK-8113C, TK-8113M, TK-8113Y</v>
      </c>
      <c r="E88" s="15"/>
      <c r="F88" s="15"/>
      <c r="G88" s="15"/>
      <c r="H88" s="15"/>
      <c r="I88" s="15"/>
      <c r="J88" s="39"/>
      <c r="K88" s="40"/>
      <c r="L88" s="8"/>
      <c r="M88" s="8"/>
      <c r="N88" s="8"/>
      <c r="O88" s="8"/>
      <c r="P88" s="8"/>
      <c r="Q88" s="8"/>
      <c r="R88" s="8"/>
      <c r="S88" s="8"/>
      <c r="T88" s="8"/>
      <c r="U88" s="8"/>
      <c r="V88" s="8"/>
      <c r="W88" s="8"/>
      <c r="X88" s="8"/>
      <c r="Y88" s="8"/>
      <c r="Z88" s="8"/>
      <c r="AA88" s="8"/>
    </row>
    <row r="89" spans="1:27" ht="15">
      <c r="A89" s="15" t="str">
        <f ca="1">IFERROR(__xludf.DUMMYFUNCTION("""COMPUTED_VALUE"""),"Colored Toner Cartridge Set for the existing ECOSYS P6230CDN")</f>
        <v>Colored Toner Cartridge Set for the existing ECOSYS P6230CDN</v>
      </c>
      <c r="B89" s="36"/>
      <c r="C89" s="15"/>
      <c r="D89" s="37" t="str">
        <f ca="1">IFERROR(__xludf.DUMMYFUNCTION("""COMPUTED_VALUE"""),"Colored Toner Cartridge Set for the existing ECOSYS P6230CDN
TK-5275C, TK-5275M, TK-5275Y")</f>
        <v>Colored Toner Cartridge Set for the existing ECOSYS P6230CDN
TK-5275C, TK-5275M, TK-5275Y</v>
      </c>
      <c r="E89" s="15"/>
      <c r="F89" s="15"/>
      <c r="G89" s="15"/>
      <c r="H89" s="15"/>
      <c r="I89" s="15"/>
      <c r="J89" s="39"/>
      <c r="K89" s="40"/>
      <c r="L89" s="8"/>
      <c r="M89" s="8"/>
      <c r="N89" s="8"/>
      <c r="O89" s="8"/>
      <c r="P89" s="8"/>
      <c r="Q89" s="8"/>
      <c r="R89" s="8"/>
      <c r="S89" s="8"/>
      <c r="T89" s="8"/>
      <c r="U89" s="8"/>
      <c r="V89" s="8"/>
      <c r="W89" s="8"/>
      <c r="X89" s="8"/>
      <c r="Y89" s="8"/>
      <c r="Z89" s="8"/>
      <c r="AA89" s="8"/>
    </row>
    <row r="90" spans="1:27" ht="15">
      <c r="A90" s="15" t="str">
        <f ca="1">IFERROR(__xludf.DUMMYFUNCTION("""COMPUTED_VALUE"""),"Cordless Blower 18V")</f>
        <v>Cordless Blower 18V</v>
      </c>
      <c r="B90" s="36"/>
      <c r="C90" s="15"/>
      <c r="D90" s="37" t="str">
        <f ca="1">IFERROR(__xludf.DUMMYFUNCTION("""COMPUTED_VALUE"""),"Cordless Blower 18V
Voltage 18v
Max air velocity 98 m/sec or more
Air volume setting dial 3 settings
No Load Speed 0 - 18,000 rpm or more
Includes: 1 x Li-ion Battery 3.0Ah 18V, 1 x Fast Charger, 1 x Battery Cover, Compatible with 18V LXT Tools
Warranty: "&amp;"1 year or more")</f>
        <v>Cordless Blower 18V
Voltage 18v
Max air velocity 98 m/sec or more
Air volume setting dial 3 settings
No Load Speed 0 - 18,000 rpm or more
Includes: 1 x Li-ion Battery 3.0Ah 18V, 1 x Fast Charger, 1 x Battery Cover, Compatible with 18V LXT Tools
Warranty: 1 year or more</v>
      </c>
      <c r="E90" s="15"/>
      <c r="F90" s="15"/>
      <c r="G90" s="15"/>
      <c r="H90" s="15"/>
      <c r="I90" s="15"/>
      <c r="J90" s="39"/>
      <c r="K90" s="40"/>
      <c r="L90" s="8"/>
      <c r="M90" s="8"/>
      <c r="N90" s="8"/>
      <c r="O90" s="8"/>
      <c r="P90" s="8"/>
      <c r="Q90" s="8"/>
      <c r="R90" s="8"/>
      <c r="S90" s="8"/>
      <c r="T90" s="8"/>
      <c r="U90" s="8"/>
      <c r="V90" s="8"/>
      <c r="W90" s="8"/>
      <c r="X90" s="8"/>
      <c r="Y90" s="8"/>
      <c r="Z90" s="8"/>
      <c r="AA90" s="8"/>
    </row>
    <row r="91" spans="1:27" ht="15">
      <c r="A91" s="15" t="str">
        <f ca="1">IFERROR(__xludf.DUMMYFUNCTION("""COMPUTED_VALUE"""),"Cordless Screwdriver Kit Set")</f>
        <v>Cordless Screwdriver Kit Set</v>
      </c>
      <c r="B91" s="36"/>
      <c r="C91" s="15"/>
      <c r="D91" s="37" t="str">
        <f ca="1">IFERROR(__xludf.DUMMYFUNCTION("""COMPUTED_VALUE"""),"Cordless Screwdriver Kit Set
Torque (soft/hard): 2.5/5 Nm or more
Battery type: Lithium-ion
Battery voltage: 3.6 V
Max. screw diameter: 5 mm or more
Packaging dimensions (width x length x height): 
162-167mm x 280-285mm x 90-95 mm
Warranty: 1 year or more")</f>
        <v>Cordless Screwdriver Kit Set
Torque (soft/hard): 2.5/5 Nm or more
Battery type: Lithium-ion
Battery voltage: 3.6 V
Max. screw diameter: 5 mm or more
Packaging dimensions (width x length x height): 
162-167mm x 280-285mm x 90-95 mm
Warranty: 1 year or more</v>
      </c>
      <c r="E91" s="15"/>
      <c r="F91" s="15"/>
      <c r="G91" s="15"/>
      <c r="H91" s="15"/>
      <c r="I91" s="15"/>
      <c r="J91" s="39"/>
      <c r="K91" s="40"/>
      <c r="L91" s="8"/>
      <c r="M91" s="8"/>
      <c r="N91" s="8"/>
      <c r="O91" s="8"/>
      <c r="P91" s="8"/>
      <c r="Q91" s="8"/>
      <c r="R91" s="8"/>
      <c r="S91" s="8"/>
      <c r="T91" s="8"/>
      <c r="U91" s="8"/>
      <c r="V91" s="8"/>
      <c r="W91" s="8"/>
      <c r="X91" s="8"/>
      <c r="Y91" s="8"/>
      <c r="Z91" s="8"/>
      <c r="AA91" s="8"/>
    </row>
    <row r="92" spans="1:27" ht="15">
      <c r="A92" s="15" t="str">
        <f ca="1">IFERROR(__xludf.DUMMYFUNCTION("""COMPUTED_VALUE"""),"Desktop Gooseneck Condenser Microphone")</f>
        <v>Desktop Gooseneck Condenser Microphone</v>
      </c>
      <c r="B92" s="36"/>
      <c r="C92" s="15"/>
      <c r="D92" s="37" t="str">
        <f ca="1">IFERROR(__xludf.DUMMYFUNCTION("""COMPUTED_VALUE"""),"Desktop Gooseneck Condenser Microphone
Gooseneck Condenser Microphone 18"" Podium Microphones with Base LED Indicator XLR Mic
with AAA Battery*2
48V Phantom Power")</f>
        <v>Desktop Gooseneck Condenser Microphone
Gooseneck Condenser Microphone 18" Podium Microphones with Base LED Indicator XLR Mic
with AAA Battery*2
48V Phantom Power</v>
      </c>
      <c r="E92" s="15"/>
      <c r="F92" s="15"/>
      <c r="G92" s="15"/>
      <c r="H92" s="15"/>
      <c r="I92" s="15"/>
      <c r="J92" s="39"/>
      <c r="K92" s="40"/>
      <c r="L92" s="8"/>
      <c r="M92" s="8"/>
      <c r="N92" s="8"/>
      <c r="O92" s="8"/>
      <c r="P92" s="8"/>
      <c r="Q92" s="8"/>
      <c r="R92" s="8"/>
      <c r="S92" s="8"/>
      <c r="T92" s="8"/>
      <c r="U92" s="8"/>
      <c r="V92" s="8"/>
      <c r="W92" s="8"/>
      <c r="X92" s="8"/>
      <c r="Y92" s="8"/>
      <c r="Z92" s="8"/>
      <c r="AA92" s="8"/>
    </row>
    <row r="93" spans="1:27" ht="15">
      <c r="A93" s="15" t="str">
        <f ca="1">IFERROR(__xludf.DUMMYFUNCTION("""COMPUTED_VALUE"""),"Dot Matrix Printer 24-Pin")</f>
        <v>Dot Matrix Printer 24-Pin</v>
      </c>
      <c r="B93" s="36"/>
      <c r="C93" s="15"/>
      <c r="D93" s="37" t="str">
        <f ca="1">IFERROR(__xludf.DUMMYFUNCTION("""COMPUTED_VALUE"""),"Dot Matrix Printer 24-Pin
Print Method Impact dot matrix
Number of Pins in Head: 24 pins
Print Direction: Bi-direction with logic seeking
Paper Handling
Paper Path
   Tractor: Rear in, Top out; Manual Insertion: Rear in, Top out
Paper Feeding
   Standard "&amp;"Friction, Push Tractor
Interface
   Standard: Bi-directional parallel interface; USB 2.0 Full-Speed; Serial
Compatible with the existing Fabric Ribbon Cartridge (Black) S015634
Warranty: 1 year or more")</f>
        <v>Dot Matrix Printer 24-Pin
Print Method Impact dot matrix
Number of Pins in Head: 24 pins
Print Direction: Bi-direction with logic seeking
Paper Handling
Paper Path
   Tractor: Rear in, Top out; Manual Insertion: Rear in, Top out
Paper Feeding
   Standard Friction, Push Tractor
Interface
   Standard: Bi-directional parallel interface; USB 2.0 Full-Speed; Serial
Compatible with the existing Fabric Ribbon Cartridge (Black) S015634
Warranty: 1 year or more</v>
      </c>
      <c r="E93" s="15"/>
      <c r="F93" s="15"/>
      <c r="G93" s="15"/>
      <c r="H93" s="15"/>
      <c r="I93" s="15"/>
      <c r="J93" s="39"/>
      <c r="K93" s="40"/>
      <c r="L93" s="8"/>
      <c r="M93" s="8"/>
      <c r="N93" s="8"/>
      <c r="O93" s="8"/>
      <c r="P93" s="8"/>
      <c r="Q93" s="8"/>
      <c r="R93" s="8"/>
      <c r="S93" s="8"/>
      <c r="T93" s="8"/>
      <c r="U93" s="8"/>
      <c r="V93" s="8"/>
      <c r="W93" s="8"/>
      <c r="X93" s="8"/>
      <c r="Y93" s="8"/>
      <c r="Z93" s="8"/>
      <c r="AA93" s="8"/>
    </row>
    <row r="94" spans="1:27" ht="15">
      <c r="A94" s="15" t="str">
        <f ca="1">IFERROR(__xludf.DUMMYFUNCTION("""COMPUTED_VALUE"""),"Epson Genuine Ink (003) Black")</f>
        <v>Epson Genuine Ink (003) Black</v>
      </c>
      <c r="B94" s="36"/>
      <c r="C94" s="15"/>
      <c r="D94" s="37" t="str">
        <f ca="1">IFERROR(__xludf.DUMMYFUNCTION("""COMPUTED_VALUE"""),"Epson Genuine Ink (003) Black
Epson Genuine Ink (003) Black for existing Epson L3100, L3101, L3110, L3150")</f>
        <v>Epson Genuine Ink (003) Black
Epson Genuine Ink (003) Black for existing Epson L3100, L3101, L3110, L3150</v>
      </c>
      <c r="E94" s="15"/>
      <c r="F94" s="15"/>
      <c r="G94" s="15"/>
      <c r="H94" s="15"/>
      <c r="I94" s="15"/>
      <c r="J94" s="39"/>
      <c r="K94" s="40"/>
      <c r="L94" s="8"/>
      <c r="M94" s="8"/>
      <c r="N94" s="8"/>
      <c r="O94" s="8"/>
      <c r="P94" s="8"/>
      <c r="Q94" s="8"/>
      <c r="R94" s="8"/>
      <c r="S94" s="8"/>
      <c r="T94" s="8"/>
      <c r="U94" s="8"/>
      <c r="V94" s="8"/>
      <c r="W94" s="8"/>
      <c r="X94" s="8"/>
      <c r="Y94" s="8"/>
      <c r="Z94" s="8"/>
      <c r="AA94" s="8"/>
    </row>
    <row r="95" spans="1:27" ht="15">
      <c r="A95" s="15" t="str">
        <f ca="1">IFERROR(__xludf.DUMMYFUNCTION("""COMPUTED_VALUE"""),"Epson Genuine Ink (003) Cyan")</f>
        <v>Epson Genuine Ink (003) Cyan</v>
      </c>
      <c r="B95" s="36"/>
      <c r="C95" s="15"/>
      <c r="D95" s="37" t="str">
        <f ca="1">IFERROR(__xludf.DUMMYFUNCTION("""COMPUTED_VALUE"""),"Epson Genuine Ink (003) Cyan
Epson Genuine Ink (003) Cyan for existing Epson L3100, L3101, L3110, L3150")</f>
        <v>Epson Genuine Ink (003) Cyan
Epson Genuine Ink (003) Cyan for existing Epson L3100, L3101, L3110, L3150</v>
      </c>
      <c r="E95" s="15"/>
      <c r="F95" s="15"/>
      <c r="G95" s="15"/>
      <c r="H95" s="15"/>
      <c r="I95" s="15"/>
      <c r="J95" s="39"/>
      <c r="K95" s="40"/>
      <c r="L95" s="8"/>
      <c r="M95" s="8"/>
      <c r="N95" s="8"/>
      <c r="O95" s="8"/>
      <c r="P95" s="8"/>
      <c r="Q95" s="8"/>
      <c r="R95" s="8"/>
      <c r="S95" s="8"/>
      <c r="T95" s="8"/>
      <c r="U95" s="8"/>
      <c r="V95" s="8"/>
      <c r="W95" s="8"/>
      <c r="X95" s="8"/>
      <c r="Y95" s="8"/>
      <c r="Z95" s="8"/>
      <c r="AA95" s="8"/>
    </row>
    <row r="96" spans="1:27" ht="15">
      <c r="A96" s="15" t="str">
        <f ca="1">IFERROR(__xludf.DUMMYFUNCTION("""COMPUTED_VALUE"""),"Epson Genuine Ink (003) Magenta")</f>
        <v>Epson Genuine Ink (003) Magenta</v>
      </c>
      <c r="B96" s="36"/>
      <c r="C96" s="15"/>
      <c r="D96" s="37" t="str">
        <f ca="1">IFERROR(__xludf.DUMMYFUNCTION("""COMPUTED_VALUE"""),"Epson Genuine Ink (003) Magenta
Epson Genuine Ink (003) Magenta for existing Epson L3100, L3101, L3110, L3150")</f>
        <v>Epson Genuine Ink (003) Magenta
Epson Genuine Ink (003) Magenta for existing Epson L3100, L3101, L3110, L3150</v>
      </c>
      <c r="E96" s="15"/>
      <c r="F96" s="15"/>
      <c r="G96" s="15"/>
      <c r="H96" s="15"/>
      <c r="I96" s="15"/>
      <c r="J96" s="39"/>
      <c r="K96" s="40"/>
      <c r="L96" s="8"/>
      <c r="M96" s="8"/>
      <c r="N96" s="8"/>
      <c r="O96" s="8"/>
      <c r="P96" s="8"/>
      <c r="Q96" s="8"/>
      <c r="R96" s="8"/>
      <c r="S96" s="8"/>
      <c r="T96" s="8"/>
      <c r="U96" s="8"/>
      <c r="V96" s="8"/>
      <c r="W96" s="8"/>
      <c r="X96" s="8"/>
      <c r="Y96" s="8"/>
      <c r="Z96" s="8"/>
      <c r="AA96" s="8"/>
    </row>
    <row r="97" spans="1:27" ht="15">
      <c r="A97" s="15" t="str">
        <f ca="1">IFERROR(__xludf.DUMMYFUNCTION("""COMPUTED_VALUE"""),"Epson Genuine Ink (003) Yellow")</f>
        <v>Epson Genuine Ink (003) Yellow</v>
      </c>
      <c r="B97" s="36"/>
      <c r="C97" s="15"/>
      <c r="D97" s="37" t="str">
        <f ca="1">IFERROR(__xludf.DUMMYFUNCTION("""COMPUTED_VALUE"""),"Epson Genuine Ink (003) Yellow
Epson Genuine Ink (003) Yellow for existing Epson L3100, L3101, L3110, L3150")</f>
        <v>Epson Genuine Ink (003) Yellow
Epson Genuine Ink (003) Yellow for existing Epson L3100, L3101, L3110, L3150</v>
      </c>
      <c r="E97" s="15"/>
      <c r="F97" s="15"/>
      <c r="G97" s="15"/>
      <c r="H97" s="15"/>
      <c r="I97" s="15"/>
      <c r="J97" s="39"/>
      <c r="K97" s="40"/>
      <c r="L97" s="8"/>
      <c r="M97" s="8"/>
      <c r="N97" s="8"/>
      <c r="O97" s="8"/>
      <c r="P97" s="8"/>
      <c r="Q97" s="8"/>
      <c r="R97" s="8"/>
      <c r="S97" s="8"/>
      <c r="T97" s="8"/>
      <c r="U97" s="8"/>
      <c r="V97" s="8"/>
      <c r="W97" s="8"/>
      <c r="X97" s="8"/>
      <c r="Y97" s="8"/>
      <c r="Z97" s="8"/>
      <c r="AA97" s="8"/>
    </row>
    <row r="98" spans="1:27" ht="15">
      <c r="A98" s="15" t="str">
        <f ca="1">IFERROR(__xludf.DUMMYFUNCTION("""COMPUTED_VALUE"""),"Epson Genuine Ink T6641 Black")</f>
        <v>Epson Genuine Ink T6641 Black</v>
      </c>
      <c r="B98" s="36"/>
      <c r="C98" s="15"/>
      <c r="D98" s="37" t="str">
        <f ca="1">IFERROR(__xludf.DUMMYFUNCTION("""COMPUTED_VALUE"""),"Epson Genuine Ink T6641 Black
Epson Genuine Ink T6641 Black for existing EPSON Printer")</f>
        <v>Epson Genuine Ink T6641 Black
Epson Genuine Ink T6641 Black for existing EPSON Printer</v>
      </c>
      <c r="E98" s="15"/>
      <c r="F98" s="15"/>
      <c r="G98" s="15"/>
      <c r="H98" s="15"/>
      <c r="I98" s="15"/>
      <c r="J98" s="39"/>
      <c r="K98" s="40"/>
      <c r="L98" s="8"/>
      <c r="M98" s="8"/>
      <c r="N98" s="8"/>
      <c r="O98" s="8"/>
      <c r="P98" s="8"/>
      <c r="Q98" s="8"/>
      <c r="R98" s="8"/>
      <c r="S98" s="8"/>
      <c r="T98" s="8"/>
      <c r="U98" s="8"/>
      <c r="V98" s="8"/>
      <c r="W98" s="8"/>
      <c r="X98" s="8"/>
      <c r="Y98" s="8"/>
      <c r="Z98" s="8"/>
      <c r="AA98" s="8"/>
    </row>
    <row r="99" spans="1:27" ht="15">
      <c r="A99" s="15" t="str">
        <f ca="1">IFERROR(__xludf.DUMMYFUNCTION("""COMPUTED_VALUE"""),"Epson Genuine Ink T6642 Cyan")</f>
        <v>Epson Genuine Ink T6642 Cyan</v>
      </c>
      <c r="B99" s="36"/>
      <c r="C99" s="15"/>
      <c r="D99" s="37" t="str">
        <f ca="1">IFERROR(__xludf.DUMMYFUNCTION("""COMPUTED_VALUE"""),"Epson Genuine Ink T6642 Cyan
Epson Genuine Ink T6642 Cyan for existing EPSON Printer")</f>
        <v>Epson Genuine Ink T6642 Cyan
Epson Genuine Ink T6642 Cyan for existing EPSON Printer</v>
      </c>
      <c r="E99" s="15"/>
      <c r="F99" s="15"/>
      <c r="G99" s="15"/>
      <c r="H99" s="15"/>
      <c r="I99" s="15"/>
      <c r="J99" s="39"/>
      <c r="K99" s="40"/>
      <c r="L99" s="8"/>
      <c r="M99" s="8"/>
      <c r="N99" s="8"/>
      <c r="O99" s="8"/>
      <c r="P99" s="8"/>
      <c r="Q99" s="8"/>
      <c r="R99" s="8"/>
      <c r="S99" s="8"/>
      <c r="T99" s="8"/>
      <c r="U99" s="8"/>
      <c r="V99" s="8"/>
      <c r="W99" s="8"/>
      <c r="X99" s="8"/>
      <c r="Y99" s="8"/>
      <c r="Z99" s="8"/>
      <c r="AA99" s="8"/>
    </row>
    <row r="100" spans="1:27" ht="15">
      <c r="A100" s="15" t="str">
        <f ca="1">IFERROR(__xludf.DUMMYFUNCTION("""COMPUTED_VALUE"""),"Epson Genuine Ink T6643 Magenta")</f>
        <v>Epson Genuine Ink T6643 Magenta</v>
      </c>
      <c r="B100" s="36"/>
      <c r="C100" s="15"/>
      <c r="D100" s="37" t="str">
        <f ca="1">IFERROR(__xludf.DUMMYFUNCTION("""COMPUTED_VALUE"""),"Epson Genuine Ink T6643 Magenta
Epson Genuine Ink T6643 Magenta for existing EPSON Printer")</f>
        <v>Epson Genuine Ink T6643 Magenta
Epson Genuine Ink T6643 Magenta for existing EPSON Printer</v>
      </c>
      <c r="E100" s="15"/>
      <c r="F100" s="15"/>
      <c r="G100" s="15"/>
      <c r="H100" s="15"/>
      <c r="I100" s="15"/>
      <c r="J100" s="39"/>
      <c r="K100" s="40"/>
      <c r="L100" s="8"/>
      <c r="M100" s="8"/>
      <c r="N100" s="8"/>
      <c r="O100" s="8"/>
      <c r="P100" s="8"/>
      <c r="Q100" s="8"/>
      <c r="R100" s="8"/>
      <c r="S100" s="8"/>
      <c r="T100" s="8"/>
      <c r="U100" s="8"/>
      <c r="V100" s="8"/>
      <c r="W100" s="8"/>
      <c r="X100" s="8"/>
      <c r="Y100" s="8"/>
      <c r="Z100" s="8"/>
      <c r="AA100" s="8"/>
    </row>
    <row r="101" spans="1:27" ht="15">
      <c r="A101" s="15" t="str">
        <f ca="1">IFERROR(__xludf.DUMMYFUNCTION("""COMPUTED_VALUE"""),"Epson Genuine Ink T6644 Yellow")</f>
        <v>Epson Genuine Ink T6644 Yellow</v>
      </c>
      <c r="B101" s="36"/>
      <c r="C101" s="15"/>
      <c r="D101" s="37" t="str">
        <f ca="1">IFERROR(__xludf.DUMMYFUNCTION("""COMPUTED_VALUE"""),"Epson Genuine Ink T6644 Yellow
Epson Genuine Ink T6644 Yellow for existing EPSON Printer")</f>
        <v>Epson Genuine Ink T6644 Yellow
Epson Genuine Ink T6644 Yellow for existing EPSON Printer</v>
      </c>
      <c r="E101" s="15"/>
      <c r="F101" s="15"/>
      <c r="G101" s="15"/>
      <c r="H101" s="15"/>
      <c r="I101" s="15"/>
      <c r="J101" s="39"/>
      <c r="K101" s="40"/>
      <c r="L101" s="8"/>
      <c r="M101" s="8"/>
      <c r="N101" s="8"/>
      <c r="O101" s="8"/>
      <c r="P101" s="8"/>
      <c r="Q101" s="8"/>
      <c r="R101" s="8"/>
      <c r="S101" s="8"/>
      <c r="T101" s="8"/>
      <c r="U101" s="8"/>
      <c r="V101" s="8"/>
      <c r="W101" s="8"/>
      <c r="X101" s="8"/>
      <c r="Y101" s="8"/>
      <c r="Z101" s="8"/>
      <c r="AA101" s="8"/>
    </row>
    <row r="102" spans="1:27" ht="15">
      <c r="A102" s="15" t="str">
        <f ca="1">IFERROR(__xludf.DUMMYFUNCTION("""COMPUTED_VALUE"""),"Epson L Series Pickup Roller / feeder")</f>
        <v>Epson L Series Pickup Roller / feeder</v>
      </c>
      <c r="B102" s="36"/>
      <c r="C102" s="15"/>
      <c r="D102" s="37" t="str">
        <f ca="1">IFERROR(__xludf.DUMMYFUNCTION("""COMPUTED_VALUE"""),"Epson L Series Pickup Roller / feeder
Epson L Series Pickup Roller / feeder L110, L360, L300, L310 L120, L210, L220")</f>
        <v>Epson L Series Pickup Roller / feeder
Epson L Series Pickup Roller / feeder L110, L360, L300, L310 L120, L210, L220</v>
      </c>
      <c r="E102" s="15"/>
      <c r="F102" s="15"/>
      <c r="G102" s="15"/>
      <c r="H102" s="15"/>
      <c r="I102" s="15"/>
      <c r="J102" s="39"/>
      <c r="K102" s="40"/>
      <c r="L102" s="8"/>
      <c r="M102" s="8"/>
      <c r="N102" s="8"/>
      <c r="O102" s="8"/>
      <c r="P102" s="8"/>
      <c r="Q102" s="8"/>
      <c r="R102" s="8"/>
      <c r="S102" s="8"/>
      <c r="T102" s="8"/>
      <c r="U102" s="8"/>
      <c r="V102" s="8"/>
      <c r="W102" s="8"/>
      <c r="X102" s="8"/>
      <c r="Y102" s="8"/>
      <c r="Z102" s="8"/>
      <c r="AA102" s="8"/>
    </row>
    <row r="103" spans="1:27" ht="15">
      <c r="A103" s="15" t="str">
        <f ca="1">IFERROR(__xludf.DUMMYFUNCTION("""COMPUTED_VALUE"""),"EPSON LQ310 Ribbon Cartridge (SO15634)")</f>
        <v>EPSON LQ310 Ribbon Cartridge (SO15634)</v>
      </c>
      <c r="B103" s="36"/>
      <c r="C103" s="15"/>
      <c r="D103" s="37" t="str">
        <f ca="1">IFERROR(__xludf.DUMMYFUNCTION("""COMPUTED_VALUE"""),"EPSON LQ310 Ribbon Cartridge (SO15634)
EPSON LQ310 Ribbon Cartridge (SO15634) for existing EPSON LQ310")</f>
        <v>EPSON LQ310 Ribbon Cartridge (SO15634)
EPSON LQ310 Ribbon Cartridge (SO15634) for existing EPSON LQ310</v>
      </c>
      <c r="E103" s="15"/>
      <c r="F103" s="15"/>
      <c r="G103" s="15"/>
      <c r="H103" s="15"/>
      <c r="I103" s="15"/>
      <c r="J103" s="39"/>
      <c r="K103" s="40"/>
      <c r="L103" s="8"/>
      <c r="M103" s="8"/>
      <c r="N103" s="8"/>
      <c r="O103" s="8"/>
      <c r="P103" s="8"/>
      <c r="Q103" s="8"/>
      <c r="R103" s="8"/>
      <c r="S103" s="8"/>
      <c r="T103" s="8"/>
      <c r="U103" s="8"/>
      <c r="V103" s="8"/>
      <c r="W103" s="8"/>
      <c r="X103" s="8"/>
      <c r="Y103" s="8"/>
      <c r="Z103" s="8"/>
      <c r="AA103" s="8"/>
    </row>
    <row r="104" spans="1:27" ht="15">
      <c r="A104" s="15" t="str">
        <f ca="1">IFERROR(__xludf.DUMMYFUNCTION("""COMPUTED_VALUE"""),"Ergonomic Chair Design Metal Base")</f>
        <v>Ergonomic Chair Design Metal Base</v>
      </c>
      <c r="B104" s="36"/>
      <c r="C104" s="15"/>
      <c r="D104" s="37" t="str">
        <f ca="1">IFERROR(__xludf.DUMMYFUNCTION("""COMPUTED_VALUE"""),"Ergonomic Chair Design Metal Base
Ergonomic Design with Thick Cushion and Breathable Mesh
High Back Design with Headrest
Chromed Steel Base &amp; Nylon Casters
Pneumatic Height Adjustment
360 Degrees Swivel Function")</f>
        <v>Ergonomic Chair Design Metal Base
Ergonomic Design with Thick Cushion and Breathable Mesh
High Back Design with Headrest
Chromed Steel Base &amp; Nylon Casters
Pneumatic Height Adjustment
360 Degrees Swivel Function</v>
      </c>
      <c r="E104" s="15"/>
      <c r="F104" s="15"/>
      <c r="G104" s="15"/>
      <c r="H104" s="15"/>
      <c r="I104" s="15"/>
      <c r="J104" s="39"/>
      <c r="K104" s="40"/>
      <c r="L104" s="8"/>
      <c r="M104" s="8"/>
      <c r="N104" s="8"/>
      <c r="O104" s="8"/>
      <c r="P104" s="8"/>
      <c r="Q104" s="8"/>
      <c r="R104" s="8"/>
      <c r="S104" s="8"/>
      <c r="T104" s="8"/>
      <c r="U104" s="8"/>
      <c r="V104" s="8"/>
      <c r="W104" s="8"/>
      <c r="X104" s="8"/>
      <c r="Y104" s="8"/>
      <c r="Z104" s="8"/>
      <c r="AA104" s="8"/>
    </row>
    <row r="105" spans="1:27" ht="15">
      <c r="A105" s="15" t="str">
        <f ca="1">IFERROR(__xludf.DUMMYFUNCTION("""COMPUTED_VALUE"""),"Extreme Instant Glue Gel 3g")</f>
        <v>Extreme Instant Glue Gel 3g</v>
      </c>
      <c r="B105" s="36"/>
      <c r="C105" s="15"/>
      <c r="D105" s="37" t="str">
        <f ca="1">IFERROR(__xludf.DUMMYFUNCTION("""COMPUTED_VALUE"""),"Extreme Instant Glue Gel 3g
Impact, heat, and water resistant
Bonds metal, rubber, porcelain, wood, and most plastics")</f>
        <v>Extreme Instant Glue Gel 3g
Impact, heat, and water resistant
Bonds metal, rubber, porcelain, wood, and most plastics</v>
      </c>
      <c r="E105" s="15"/>
      <c r="F105" s="15"/>
      <c r="G105" s="15"/>
      <c r="H105" s="15"/>
      <c r="I105" s="15"/>
      <c r="J105" s="39"/>
      <c r="K105" s="40"/>
      <c r="L105" s="8"/>
      <c r="M105" s="8"/>
      <c r="N105" s="8"/>
      <c r="O105" s="8"/>
      <c r="P105" s="8"/>
      <c r="Q105" s="8"/>
      <c r="R105" s="8"/>
      <c r="S105" s="8"/>
      <c r="T105" s="8"/>
      <c r="U105" s="8"/>
      <c r="V105" s="8"/>
      <c r="W105" s="8"/>
      <c r="X105" s="8"/>
      <c r="Y105" s="8"/>
      <c r="Z105" s="8"/>
      <c r="AA105" s="8"/>
    </row>
    <row r="106" spans="1:27" ht="15">
      <c r="A106" s="15" t="str">
        <f ca="1">IFERROR(__xludf.DUMMYFUNCTION("""COMPUTED_VALUE"""),"Fiberglass Extension Ladder, (8-13 ft)")</f>
        <v>Fiberglass Extension Ladder, (8-13 ft)</v>
      </c>
      <c r="B106" s="36"/>
      <c r="C106" s="15"/>
      <c r="D106" s="37" t="str">
        <f ca="1">IFERROR(__xludf.DUMMYFUNCTION("""COMPUTED_VALUE"""),"Fiberglass Extension Ladder, (8-13 ft)
Kruger Fiberglass Extension Ladder, (8-13 Rungs)
Load Capacity: 300 lbs
Reaches from 8 ft to an extendable length of 13 ft
Height: 8 ft to 13 ft
Self-leveling 2-way swivel safety shoes
Main Material: Fiberglass")</f>
        <v>Fiberglass Extension Ladder, (8-13 ft)
Kruger Fiberglass Extension Ladder, (8-13 Rungs)
Load Capacity: 300 lbs
Reaches from 8 ft to an extendable length of 13 ft
Height: 8 ft to 13 ft
Self-leveling 2-way swivel safety shoes
Main Material: Fiberglass</v>
      </c>
      <c r="E106" s="15"/>
      <c r="F106" s="15"/>
      <c r="G106" s="15"/>
      <c r="H106" s="15"/>
      <c r="I106" s="15"/>
      <c r="J106" s="39"/>
      <c r="K106" s="40"/>
      <c r="L106" s="8"/>
      <c r="M106" s="8"/>
      <c r="N106" s="8"/>
      <c r="O106" s="8"/>
      <c r="P106" s="8"/>
      <c r="Q106" s="8"/>
      <c r="R106" s="8"/>
      <c r="S106" s="8"/>
      <c r="T106" s="8"/>
      <c r="U106" s="8"/>
      <c r="V106" s="8"/>
      <c r="W106" s="8"/>
      <c r="X106" s="8"/>
      <c r="Y106" s="8"/>
      <c r="Z106" s="8"/>
      <c r="AA106" s="8"/>
    </row>
    <row r="107" spans="1:27" ht="15">
      <c r="A107" s="15" t="str">
        <f ca="1">IFERROR(__xludf.DUMMYFUNCTION("""COMPUTED_VALUE"""),"Flex cable set compatible for printer")</f>
        <v>Flex cable set compatible for printer</v>
      </c>
      <c r="B107" s="36"/>
      <c r="C107" s="15"/>
      <c r="D107" s="37" t="str">
        <f ca="1">IFERROR(__xludf.DUMMYFUNCTION("""COMPUTED_VALUE"""),"Flex cable set compatible for printer
Flex cable set compatible with the existing Epson L3110")</f>
        <v>Flex cable set compatible for printer
Flex cable set compatible with the existing Epson L3110</v>
      </c>
      <c r="E107" s="15"/>
      <c r="F107" s="15"/>
      <c r="G107" s="15"/>
      <c r="H107" s="15"/>
      <c r="I107" s="15"/>
      <c r="J107" s="39"/>
      <c r="K107" s="40"/>
      <c r="L107" s="8"/>
      <c r="M107" s="8"/>
      <c r="N107" s="8"/>
      <c r="O107" s="8"/>
      <c r="P107" s="8"/>
      <c r="Q107" s="8"/>
      <c r="R107" s="8"/>
      <c r="S107" s="8"/>
      <c r="T107" s="8"/>
      <c r="U107" s="8"/>
      <c r="V107" s="8"/>
      <c r="W107" s="8"/>
      <c r="X107" s="8"/>
      <c r="Y107" s="8"/>
      <c r="Z107" s="8"/>
      <c r="AA107" s="8"/>
    </row>
    <row r="108" spans="1:27" ht="15">
      <c r="A108" s="15" t="str">
        <f ca="1">IFERROR(__xludf.DUMMYFUNCTION("""COMPUTED_VALUE"""),"Foldable Platform Truck, 300kgs (Steel)")</f>
        <v>Foldable Platform Truck, 300kgs (Steel)</v>
      </c>
      <c r="B108" s="36"/>
      <c r="C108" s="15"/>
      <c r="D108" s="37" t="str">
        <f ca="1">IFERROR(__xludf.DUMMYFUNCTION("""COMPUTED_VALUE"""),"Foldable Platform Truck, 300kgs (Steel)
Loading Capacity: 300 kg
Wheel Size: 5”")</f>
        <v>Foldable Platform Truck, 300kgs (Steel)
Loading Capacity: 300 kg
Wheel Size: 5”</v>
      </c>
      <c r="E108" s="15"/>
      <c r="F108" s="15"/>
      <c r="G108" s="15"/>
      <c r="H108" s="15"/>
      <c r="I108" s="15"/>
      <c r="J108" s="39"/>
      <c r="K108" s="40"/>
      <c r="L108" s="8"/>
      <c r="M108" s="8"/>
      <c r="N108" s="8"/>
      <c r="O108" s="8"/>
      <c r="P108" s="8"/>
      <c r="Q108" s="8"/>
      <c r="R108" s="8"/>
      <c r="S108" s="8"/>
      <c r="T108" s="8"/>
      <c r="U108" s="8"/>
      <c r="V108" s="8"/>
      <c r="W108" s="8"/>
      <c r="X108" s="8"/>
      <c r="Y108" s="8"/>
      <c r="Z108" s="8"/>
      <c r="AA108" s="8"/>
    </row>
    <row r="109" spans="1:27" ht="15">
      <c r="A109" s="15" t="str">
        <f ca="1">IFERROR(__xludf.DUMMYFUNCTION("""COMPUTED_VALUE"""),"Gigabit PCI Express Network Adapter")</f>
        <v>Gigabit PCI Express Network Adapter</v>
      </c>
      <c r="B109" s="36"/>
      <c r="C109" s="15"/>
      <c r="D109" s="37" t="str">
        <f ca="1">IFERROR(__xludf.DUMMYFUNCTION("""COMPUTED_VALUE"""),"Gigabit PCI Express Network Adapter
32-bit PCI Express
1 10/100/1000Mbps RJ45 port
Wake-on-LAN")</f>
        <v>Gigabit PCI Express Network Adapter
32-bit PCI Express
1 10/100/1000Mbps RJ45 port
Wake-on-LAN</v>
      </c>
      <c r="E109" s="15"/>
      <c r="F109" s="15"/>
      <c r="G109" s="15"/>
      <c r="H109" s="15"/>
      <c r="I109" s="15"/>
      <c r="J109" s="39"/>
      <c r="K109" s="40"/>
      <c r="L109" s="8"/>
      <c r="M109" s="8"/>
      <c r="N109" s="8"/>
      <c r="O109" s="8"/>
      <c r="P109" s="8"/>
      <c r="Q109" s="8"/>
      <c r="R109" s="8"/>
      <c r="S109" s="8"/>
      <c r="T109" s="8"/>
      <c r="U109" s="8"/>
      <c r="V109" s="8"/>
      <c r="W109" s="8"/>
      <c r="X109" s="8"/>
      <c r="Y109" s="8"/>
      <c r="Z109" s="8"/>
      <c r="AA109" s="8"/>
    </row>
    <row r="110" spans="1:27" ht="15">
      <c r="A110" s="15" t="str">
        <f ca="1">IFERROR(__xludf.DUMMYFUNCTION("""COMPUTED_VALUE"""),"Hand-Held Radio dual band")</f>
        <v>Hand-Held Radio dual band</v>
      </c>
      <c r="B110" s="36"/>
      <c r="C110" s="15"/>
      <c r="D110" s="37" t="str">
        <f ca="1">IFERROR(__xludf.DUMMYFUNCTION("""COMPUTED_VALUE"""),"Hand-Held Radio dual band
Hand-Held Radio dual band")</f>
        <v>Hand-Held Radio dual band
Hand-Held Radio dual band</v>
      </c>
      <c r="E110" s="15"/>
      <c r="F110" s="15"/>
      <c r="G110" s="15"/>
      <c r="H110" s="15"/>
      <c r="I110" s="15"/>
      <c r="J110" s="39"/>
      <c r="K110" s="40"/>
      <c r="L110" s="8"/>
      <c r="M110" s="8"/>
      <c r="N110" s="8"/>
      <c r="O110" s="8"/>
      <c r="P110" s="8"/>
      <c r="Q110" s="8"/>
      <c r="R110" s="8"/>
      <c r="S110" s="8"/>
      <c r="T110" s="8"/>
      <c r="U110" s="8"/>
      <c r="V110" s="8"/>
      <c r="W110" s="8"/>
      <c r="X110" s="8"/>
      <c r="Y110" s="8"/>
      <c r="Z110" s="8"/>
      <c r="AA110" s="8"/>
    </row>
    <row r="111" spans="1:27" ht="15">
      <c r="A111" s="15" t="str">
        <f ca="1">IFERROR(__xludf.DUMMYFUNCTION("""COMPUTED_VALUE"""),"HDMI 2.0 Cable 4K 10m")</f>
        <v>HDMI 2.0 Cable 4K 10m</v>
      </c>
      <c r="B111" s="36"/>
      <c r="C111" s="15"/>
      <c r="D111" s="37" t="str">
        <f ca="1">IFERROR(__xludf.DUMMYFUNCTION("""COMPUTED_VALUE"""),"HDMI 2.0 Cable 4K 10m
HDMI 2.0 Cable 4K HDMI Male to Male High Speed HDMI Adapter
10 Meter")</f>
        <v>HDMI 2.0 Cable 4K 10m
HDMI 2.0 Cable 4K HDMI Male to Male High Speed HDMI Adapter
10 Meter</v>
      </c>
      <c r="E111" s="15"/>
      <c r="F111" s="15"/>
      <c r="G111" s="15"/>
      <c r="H111" s="15"/>
      <c r="I111" s="15"/>
      <c r="J111" s="39"/>
      <c r="K111" s="40"/>
      <c r="L111" s="8"/>
      <c r="M111" s="8"/>
      <c r="N111" s="8"/>
      <c r="O111" s="8"/>
      <c r="P111" s="8"/>
      <c r="Q111" s="8"/>
      <c r="R111" s="8"/>
      <c r="S111" s="8"/>
      <c r="T111" s="8"/>
      <c r="U111" s="8"/>
      <c r="V111" s="8"/>
      <c r="W111" s="8"/>
      <c r="X111" s="8"/>
      <c r="Y111" s="8"/>
      <c r="Z111" s="8"/>
      <c r="AA111" s="8"/>
    </row>
    <row r="112" spans="1:27" ht="15">
      <c r="A112" s="15" t="str">
        <f ca="1">IFERROR(__xludf.DUMMYFUNCTION("""COMPUTED_VALUE"""),"HDMI 2.0 Cable 4K 1m")</f>
        <v>HDMI 2.0 Cable 4K 1m</v>
      </c>
      <c r="B112" s="36"/>
      <c r="C112" s="15"/>
      <c r="D112" s="37" t="str">
        <f ca="1">IFERROR(__xludf.DUMMYFUNCTION("""COMPUTED_VALUE"""),"HDMI 2.0 Cable 4K 1m
HDMI 2.0 Cable 4K HDMI Male to Male High Speed HDMI Adapter
1 Meter")</f>
        <v>HDMI 2.0 Cable 4K 1m
HDMI 2.0 Cable 4K HDMI Male to Male High Speed HDMI Adapter
1 Meter</v>
      </c>
      <c r="E112" s="15"/>
      <c r="F112" s="15"/>
      <c r="G112" s="15"/>
      <c r="H112" s="15"/>
      <c r="I112" s="15"/>
      <c r="J112" s="39"/>
      <c r="K112" s="40"/>
      <c r="L112" s="8"/>
      <c r="M112" s="8"/>
      <c r="N112" s="8"/>
      <c r="O112" s="8"/>
      <c r="P112" s="8"/>
      <c r="Q112" s="8"/>
      <c r="R112" s="8"/>
      <c r="S112" s="8"/>
      <c r="T112" s="8"/>
      <c r="U112" s="8"/>
      <c r="V112" s="8"/>
      <c r="W112" s="8"/>
      <c r="X112" s="8"/>
      <c r="Y112" s="8"/>
      <c r="Z112" s="8"/>
      <c r="AA112" s="8"/>
    </row>
    <row r="113" spans="1:27" ht="15">
      <c r="A113" s="15" t="str">
        <f ca="1">IFERROR(__xludf.DUMMYFUNCTION("""COMPUTED_VALUE"""),"HP 107A Black Original Laser Toner Cartridge")</f>
        <v>HP 107A Black Original Laser Toner Cartridge</v>
      </c>
      <c r="B113" s="36"/>
      <c r="C113" s="15"/>
      <c r="D113" s="37" t="str">
        <f ca="1">IFERROR(__xludf.DUMMYFUNCTION("""COMPUTED_VALUE"""),"HP 107A Black Original Laser Toner Cartridge
HP 107A Black Original Laser Toner Cartridge")</f>
        <v>HP 107A Black Original Laser Toner Cartridge
HP 107A Black Original Laser Toner Cartridge</v>
      </c>
      <c r="E113" s="15"/>
      <c r="F113" s="15"/>
      <c r="G113" s="15"/>
      <c r="H113" s="15"/>
      <c r="I113" s="15"/>
      <c r="J113" s="39"/>
      <c r="K113" s="40"/>
      <c r="L113" s="8"/>
      <c r="M113" s="8"/>
      <c r="N113" s="8"/>
      <c r="O113" s="8"/>
      <c r="P113" s="8"/>
      <c r="Q113" s="8"/>
      <c r="R113" s="8"/>
      <c r="S113" s="8"/>
      <c r="T113" s="8"/>
      <c r="U113" s="8"/>
      <c r="V113" s="8"/>
      <c r="W113" s="8"/>
      <c r="X113" s="8"/>
      <c r="Y113" s="8"/>
      <c r="Z113" s="8"/>
      <c r="AA113" s="8"/>
    </row>
    <row r="114" spans="1:27" ht="15">
      <c r="A114" s="15" t="str">
        <f ca="1">IFERROR(__xludf.DUMMYFUNCTION("""COMPUTED_VALUE"""),"HP 17A Black Original LaserJet Toner Cartridge")</f>
        <v>HP 17A Black Original LaserJet Toner Cartridge</v>
      </c>
      <c r="B114" s="36"/>
      <c r="C114" s="15"/>
      <c r="D114" s="37" t="str">
        <f ca="1">IFERROR(__xludf.DUMMYFUNCTION("""COMPUTED_VALUE"""),"HP 17A Black Original LaserJet Toner Cartridge
HP 17A Black Original LaserJet Toner Cartridge, CF217A")</f>
        <v>HP 17A Black Original LaserJet Toner Cartridge
HP 17A Black Original LaserJet Toner Cartridge, CF217A</v>
      </c>
      <c r="E114" s="15"/>
      <c r="F114" s="15"/>
      <c r="G114" s="15"/>
      <c r="H114" s="15"/>
      <c r="I114" s="15"/>
      <c r="J114" s="39"/>
      <c r="K114" s="40"/>
      <c r="L114" s="8"/>
      <c r="M114" s="8"/>
      <c r="N114" s="8"/>
      <c r="O114" s="8"/>
      <c r="P114" s="8"/>
      <c r="Q114" s="8"/>
      <c r="R114" s="8"/>
      <c r="S114" s="8"/>
      <c r="T114" s="8"/>
      <c r="U114" s="8"/>
      <c r="V114" s="8"/>
      <c r="W114" s="8"/>
      <c r="X114" s="8"/>
      <c r="Y114" s="8"/>
      <c r="Z114" s="8"/>
      <c r="AA114" s="8"/>
    </row>
    <row r="115" spans="1:27" ht="15">
      <c r="A115" s="15" t="str">
        <f ca="1">IFERROR(__xludf.DUMMYFUNCTION("""COMPUTED_VALUE"""),"HP 680 Black Original Ink Advantage Cartridge")</f>
        <v>HP 680 Black Original Ink Advantage Cartridge</v>
      </c>
      <c r="B115" s="36"/>
      <c r="C115" s="15"/>
      <c r="D115" s="37" t="str">
        <f ca="1">IFERROR(__xludf.DUMMYFUNCTION("""COMPUTED_VALUE"""),"HP 680 Black Original Ink Advantage Cartridge
HP 680 Black Original Ink Advantage Cartridge")</f>
        <v>HP 680 Black Original Ink Advantage Cartridge
HP 680 Black Original Ink Advantage Cartridge</v>
      </c>
      <c r="E115" s="15"/>
      <c r="F115" s="15"/>
      <c r="G115" s="15"/>
      <c r="H115" s="15"/>
      <c r="I115" s="15"/>
      <c r="J115" s="39"/>
      <c r="K115" s="40"/>
      <c r="L115" s="8"/>
      <c r="M115" s="8"/>
      <c r="N115" s="8"/>
      <c r="O115" s="8"/>
      <c r="P115" s="8"/>
      <c r="Q115" s="8"/>
      <c r="R115" s="8"/>
      <c r="S115" s="8"/>
      <c r="T115" s="8"/>
      <c r="U115" s="8"/>
      <c r="V115" s="8"/>
      <c r="W115" s="8"/>
      <c r="X115" s="8"/>
      <c r="Y115" s="8"/>
      <c r="Z115" s="8"/>
      <c r="AA115" s="8"/>
    </row>
    <row r="116" spans="1:27" ht="15">
      <c r="A116" s="15" t="str">
        <f ca="1">IFERROR(__xludf.DUMMYFUNCTION("""COMPUTED_VALUE"""),"HP 680 Tri-Color Ink Cartridge")</f>
        <v>HP 680 Tri-Color Ink Cartridge</v>
      </c>
      <c r="B116" s="36"/>
      <c r="C116" s="15"/>
      <c r="D116" s="37" t="str">
        <f ca="1">IFERROR(__xludf.DUMMYFUNCTION("""COMPUTED_VALUE"""),"HP 680 Tri-Color Ink Cartridge
HP 680 Tri-Color Ink Cartridge")</f>
        <v>HP 680 Tri-Color Ink Cartridge
HP 680 Tri-Color Ink Cartridge</v>
      </c>
      <c r="E116" s="15"/>
      <c r="F116" s="15"/>
      <c r="G116" s="15"/>
      <c r="H116" s="15"/>
      <c r="I116" s="15"/>
      <c r="J116" s="39"/>
      <c r="K116" s="40"/>
      <c r="L116" s="8"/>
      <c r="M116" s="8"/>
      <c r="N116" s="8"/>
      <c r="O116" s="8"/>
      <c r="P116" s="8"/>
      <c r="Q116" s="8"/>
      <c r="R116" s="8"/>
      <c r="S116" s="8"/>
      <c r="T116" s="8"/>
      <c r="U116" s="8"/>
      <c r="V116" s="8"/>
      <c r="W116" s="8"/>
      <c r="X116" s="8"/>
      <c r="Y116" s="8"/>
      <c r="Z116" s="8"/>
      <c r="AA116" s="8"/>
    </row>
    <row r="117" spans="1:27" ht="15">
      <c r="A117" s="15" t="str">
        <f ca="1">IFERROR(__xludf.DUMMYFUNCTION("""COMPUTED_VALUE"""),"HP 85A Black Original LaserJet Toner Cartridge")</f>
        <v>HP 85A Black Original LaserJet Toner Cartridge</v>
      </c>
      <c r="B117" s="36"/>
      <c r="C117" s="15"/>
      <c r="D117" s="37" t="str">
        <f ca="1">IFERROR(__xludf.DUMMYFUNCTION("""COMPUTED_VALUE"""),"HP 85A Black Original LaserJet Toner Cartridge
HP 85A Black Original LaserJet Toner Cartridge, CE285A")</f>
        <v>HP 85A Black Original LaserJet Toner Cartridge
HP 85A Black Original LaserJet Toner Cartridge, CE285A</v>
      </c>
      <c r="E117" s="15"/>
      <c r="F117" s="15"/>
      <c r="G117" s="15"/>
      <c r="H117" s="15"/>
      <c r="I117" s="15"/>
      <c r="J117" s="39"/>
      <c r="K117" s="40"/>
      <c r="L117" s="8"/>
      <c r="M117" s="8"/>
      <c r="N117" s="8"/>
      <c r="O117" s="8"/>
      <c r="P117" s="8"/>
      <c r="Q117" s="8"/>
      <c r="R117" s="8"/>
      <c r="S117" s="8"/>
      <c r="T117" s="8"/>
      <c r="U117" s="8"/>
      <c r="V117" s="8"/>
      <c r="W117" s="8"/>
      <c r="X117" s="8"/>
      <c r="Y117" s="8"/>
      <c r="Z117" s="8"/>
      <c r="AA117" s="8"/>
    </row>
    <row r="118" spans="1:27" ht="15">
      <c r="A118" s="15" t="str">
        <f ca="1">IFERROR(__xludf.DUMMYFUNCTION("""COMPUTED_VALUE"""),"HP Genuine Ink Refill - (GT52) Cyan")</f>
        <v>HP Genuine Ink Refill - (GT52) Cyan</v>
      </c>
      <c r="B118" s="36"/>
      <c r="C118" s="15"/>
      <c r="D118" s="37" t="str">
        <f ca="1">IFERROR(__xludf.DUMMYFUNCTION("""COMPUTED_VALUE"""),"HP Genuine Ink Refill - (GT52) Cyan
HP Genuine Ink Refill - (GT52) Cyan for existing HP Smart Tank 500 Series Printer")</f>
        <v>HP Genuine Ink Refill - (GT52) Cyan
HP Genuine Ink Refill - (GT52) Cyan for existing HP Smart Tank 500 Series Printer</v>
      </c>
      <c r="E118" s="15"/>
      <c r="F118" s="15"/>
      <c r="G118" s="15"/>
      <c r="H118" s="15"/>
      <c r="I118" s="15"/>
      <c r="J118" s="39"/>
      <c r="K118" s="40"/>
      <c r="L118" s="8"/>
      <c r="M118" s="8"/>
      <c r="N118" s="8"/>
      <c r="O118" s="8"/>
      <c r="P118" s="8"/>
      <c r="Q118" s="8"/>
      <c r="R118" s="8"/>
      <c r="S118" s="8"/>
      <c r="T118" s="8"/>
      <c r="U118" s="8"/>
      <c r="V118" s="8"/>
      <c r="W118" s="8"/>
      <c r="X118" s="8"/>
      <c r="Y118" s="8"/>
      <c r="Z118" s="8"/>
      <c r="AA118" s="8"/>
    </row>
    <row r="119" spans="1:27" ht="15">
      <c r="A119" s="15" t="str">
        <f ca="1">IFERROR(__xludf.DUMMYFUNCTION("""COMPUTED_VALUE"""),"HP Genuine Ink Refill - (GT52) Magenta")</f>
        <v>HP Genuine Ink Refill - (GT52) Magenta</v>
      </c>
      <c r="B119" s="36"/>
      <c r="C119" s="15"/>
      <c r="D119" s="37" t="str">
        <f ca="1">IFERROR(__xludf.DUMMYFUNCTION("""COMPUTED_VALUE"""),"HP Genuine Ink Refill - (GT52) Magenta
HP Genuine Ink Refill - (GT52) Magenta for existing HP Smart Tank 500 Series Printer")</f>
        <v>HP Genuine Ink Refill - (GT52) Magenta
HP Genuine Ink Refill - (GT52) Magenta for existing HP Smart Tank 500 Series Printer</v>
      </c>
      <c r="E119" s="15"/>
      <c r="F119" s="15"/>
      <c r="G119" s="15"/>
      <c r="H119" s="15"/>
      <c r="I119" s="15"/>
      <c r="J119" s="39"/>
      <c r="K119" s="40"/>
      <c r="L119" s="8"/>
      <c r="M119" s="8"/>
      <c r="N119" s="8"/>
      <c r="O119" s="8"/>
      <c r="P119" s="8"/>
      <c r="Q119" s="8"/>
      <c r="R119" s="8"/>
      <c r="S119" s="8"/>
      <c r="T119" s="8"/>
      <c r="U119" s="8"/>
      <c r="V119" s="8"/>
      <c r="W119" s="8"/>
      <c r="X119" s="8"/>
      <c r="Y119" s="8"/>
      <c r="Z119" s="8"/>
      <c r="AA119" s="8"/>
    </row>
    <row r="120" spans="1:27" ht="15">
      <c r="A120" s="15" t="str">
        <f ca="1">IFERROR(__xludf.DUMMYFUNCTION("""COMPUTED_VALUE"""),"HP Genuine Ink Refill - (GT52) Yellow")</f>
        <v>HP Genuine Ink Refill - (GT52) Yellow</v>
      </c>
      <c r="B120" s="36"/>
      <c r="C120" s="15"/>
      <c r="D120" s="37" t="str">
        <f ca="1">IFERROR(__xludf.DUMMYFUNCTION("""COMPUTED_VALUE"""),"HP Genuine Ink Refill - (GT52) Yellow
HP Genuine Ink Refill - (GT52) Yellow for existing HP Smart Tank 500 Series Printer")</f>
        <v>HP Genuine Ink Refill - (GT52) Yellow
HP Genuine Ink Refill - (GT52) Yellow for existing HP Smart Tank 500 Series Printer</v>
      </c>
      <c r="E120" s="15"/>
      <c r="F120" s="15"/>
      <c r="G120" s="15"/>
      <c r="H120" s="15"/>
      <c r="I120" s="15"/>
      <c r="J120" s="39"/>
      <c r="K120" s="40"/>
      <c r="L120" s="8"/>
      <c r="M120" s="8"/>
      <c r="N120" s="8"/>
      <c r="O120" s="8"/>
      <c r="P120" s="8"/>
      <c r="Q120" s="8"/>
      <c r="R120" s="8"/>
      <c r="S120" s="8"/>
      <c r="T120" s="8"/>
      <c r="U120" s="8"/>
      <c r="V120" s="8"/>
      <c r="W120" s="8"/>
      <c r="X120" s="8"/>
      <c r="Y120" s="8"/>
      <c r="Z120" s="8"/>
      <c r="AA120" s="8"/>
    </row>
    <row r="121" spans="1:27" ht="15">
      <c r="A121" s="15" t="str">
        <f ca="1">IFERROR(__xludf.DUMMYFUNCTION("""COMPUTED_VALUE"""),"HP Genuine Ink Refill - (GT53) Black")</f>
        <v>HP Genuine Ink Refill - (GT53) Black</v>
      </c>
      <c r="B121" s="36"/>
      <c r="C121" s="15"/>
      <c r="D121" s="37" t="str">
        <f ca="1">IFERROR(__xludf.DUMMYFUNCTION("""COMPUTED_VALUE"""),"HP Genuine Ink Refill - (GT53) Black
HP Genuine Ink Refill - (GT53) Black for existing HP Smart Tank 500 Series Printer")</f>
        <v>HP Genuine Ink Refill - (GT53) Black
HP Genuine Ink Refill - (GT53) Black for existing HP Smart Tank 500 Series Printer</v>
      </c>
      <c r="E121" s="15"/>
      <c r="F121" s="15"/>
      <c r="G121" s="15"/>
      <c r="H121" s="15"/>
      <c r="I121" s="15"/>
      <c r="J121" s="39"/>
      <c r="K121" s="40"/>
      <c r="L121" s="8"/>
      <c r="M121" s="8"/>
      <c r="N121" s="8"/>
      <c r="O121" s="8"/>
      <c r="P121" s="8"/>
      <c r="Q121" s="8"/>
      <c r="R121" s="8"/>
      <c r="S121" s="8"/>
      <c r="T121" s="8"/>
      <c r="U121" s="8"/>
      <c r="V121" s="8"/>
      <c r="W121" s="8"/>
      <c r="X121" s="8"/>
      <c r="Y121" s="8"/>
      <c r="Z121" s="8"/>
      <c r="AA121" s="8"/>
    </row>
    <row r="122" spans="1:27" ht="15">
      <c r="A122" s="15" t="str">
        <f ca="1">IFERROR(__xludf.DUMMYFUNCTION("""COMPUTED_VALUE"""),"HP Printhead Black compatible with the existing HP Smart Tank 515")</f>
        <v>HP Printhead Black compatible with the existing HP Smart Tank 515</v>
      </c>
      <c r="B122" s="36"/>
      <c r="C122" s="15"/>
      <c r="D122" s="37" t="str">
        <f ca="1">IFERROR(__xludf.DUMMYFUNCTION("""COMPUTED_VALUE"""),"HP Printhead Black compatible with the existing HP Smart Tank 515
HP Printhead Black compatible with the existing HP Smart Tank 515")</f>
        <v>HP Printhead Black compatible with the existing HP Smart Tank 515
HP Printhead Black compatible with the existing HP Smart Tank 515</v>
      </c>
      <c r="E122" s="15"/>
      <c r="F122" s="15"/>
      <c r="G122" s="15"/>
      <c r="H122" s="15"/>
      <c r="I122" s="15"/>
      <c r="J122" s="39"/>
      <c r="K122" s="40"/>
      <c r="L122" s="8"/>
      <c r="M122" s="8"/>
      <c r="N122" s="8"/>
      <c r="O122" s="8"/>
      <c r="P122" s="8"/>
      <c r="Q122" s="8"/>
      <c r="R122" s="8"/>
      <c r="S122" s="8"/>
      <c r="T122" s="8"/>
      <c r="U122" s="8"/>
      <c r="V122" s="8"/>
      <c r="W122" s="8"/>
      <c r="X122" s="8"/>
      <c r="Y122" s="8"/>
      <c r="Z122" s="8"/>
      <c r="AA122" s="8"/>
    </row>
    <row r="123" spans="1:27" ht="15">
      <c r="A123" s="15" t="str">
        <f ca="1">IFERROR(__xludf.DUMMYFUNCTION("""COMPUTED_VALUE"""),"HP Printhead Tri-color compatible with the existing HP Smart Tank 515")</f>
        <v>HP Printhead Tri-color compatible with the existing HP Smart Tank 515</v>
      </c>
      <c r="B123" s="36"/>
      <c r="C123" s="15"/>
      <c r="D123" s="37" t="str">
        <f ca="1">IFERROR(__xludf.DUMMYFUNCTION("""COMPUTED_VALUE"""),"HP Printhead Tri-color compatible with the existing HP Smart Tank 515
HP Printhead Tri-color compatible with the existing HP Smart Tank 515")</f>
        <v>HP Printhead Tri-color compatible with the existing HP Smart Tank 515
HP Printhead Tri-color compatible with the existing HP Smart Tank 515</v>
      </c>
      <c r="E123" s="15"/>
      <c r="F123" s="15"/>
      <c r="G123" s="15"/>
      <c r="H123" s="15"/>
      <c r="I123" s="15"/>
      <c r="J123" s="39"/>
      <c r="K123" s="40"/>
      <c r="L123" s="8"/>
      <c r="M123" s="8"/>
      <c r="N123" s="8"/>
      <c r="O123" s="8"/>
      <c r="P123" s="8"/>
      <c r="Q123" s="8"/>
      <c r="R123" s="8"/>
      <c r="S123" s="8"/>
      <c r="T123" s="8"/>
      <c r="U123" s="8"/>
      <c r="V123" s="8"/>
      <c r="W123" s="8"/>
      <c r="X123" s="8"/>
      <c r="Y123" s="8"/>
      <c r="Z123" s="8"/>
      <c r="AA123" s="8"/>
    </row>
    <row r="124" spans="1:27" ht="15">
      <c r="A124" s="15" t="str">
        <f ca="1">IFERROR(__xludf.DUMMYFUNCTION("""COMPUTED_VALUE"""),"ID Card Printer Genuine Color Ribbon (650643)")</f>
        <v>ID Card Printer Genuine Color Ribbon (650643)</v>
      </c>
      <c r="B124" s="36"/>
      <c r="C124" s="15"/>
      <c r="D124" s="37" t="str">
        <f ca="1">IFERROR(__xludf.DUMMYFUNCTION("""COMPUTED_VALUE"""),"ID Card Printer Genuine Color Ribbon (650643)
IDP 650634 Full-Color YMCKO ribbon produces 250 images
Compatible with existing IDP SMART 30S, SMART 30D, SMART 50S, SMART 50D and SMART 50L card printers
Includes built-in cleaning roller")</f>
        <v>ID Card Printer Genuine Color Ribbon (650643)
IDP 650634 Full-Color YMCKO ribbon produces 250 images
Compatible with existing IDP SMART 30S, SMART 30D, SMART 50S, SMART 50D and SMART 50L card printers
Includes built-in cleaning roller</v>
      </c>
      <c r="E124" s="15"/>
      <c r="F124" s="15"/>
      <c r="G124" s="15"/>
      <c r="H124" s="15"/>
      <c r="I124" s="15"/>
      <c r="J124" s="39"/>
      <c r="K124" s="40"/>
      <c r="L124" s="8"/>
      <c r="M124" s="8"/>
      <c r="N124" s="8"/>
      <c r="O124" s="8"/>
      <c r="P124" s="8"/>
      <c r="Q124" s="8"/>
      <c r="R124" s="8"/>
      <c r="S124" s="8"/>
      <c r="T124" s="8"/>
      <c r="U124" s="8"/>
      <c r="V124" s="8"/>
      <c r="W124" s="8"/>
      <c r="X124" s="8"/>
      <c r="Y124" s="8"/>
      <c r="Z124" s="8"/>
      <c r="AA124" s="8"/>
    </row>
    <row r="125" spans="1:27" ht="15">
      <c r="A125" s="15" t="str">
        <f ca="1">IFERROR(__xludf.DUMMYFUNCTION("""COMPUTED_VALUE"""),"Ink Tank Printer")</f>
        <v>Ink Tank Printer</v>
      </c>
      <c r="B125" s="36"/>
      <c r="C125" s="15"/>
      <c r="D125" s="37" t="str">
        <f ca="1">IFERROR(__xludf.DUMMYFUNCTION("""COMPUTED_VALUE"""),"Ink Tank Printer
Print speed of up to 9.0 ipm (black) and 4.8 ipm (colour)
Ultra-high page yield of 4,500 pages (black) and 7,500 pages (colour)
2-year warranty or 20,000 pages, whichever comes first")</f>
        <v>Ink Tank Printer
Print speed of up to 9.0 ipm (black) and 4.8 ipm (colour)
Ultra-high page yield of 4,500 pages (black) and 7,500 pages (colour)
2-year warranty or 20,000 pages, whichever comes first</v>
      </c>
      <c r="E125" s="15"/>
      <c r="F125" s="15"/>
      <c r="G125" s="15"/>
      <c r="H125" s="15"/>
      <c r="I125" s="15"/>
      <c r="J125" s="39"/>
      <c r="K125" s="40"/>
      <c r="L125" s="8"/>
      <c r="M125" s="8"/>
      <c r="N125" s="8"/>
      <c r="O125" s="8"/>
      <c r="P125" s="8"/>
      <c r="Q125" s="8"/>
      <c r="R125" s="8"/>
      <c r="S125" s="8"/>
      <c r="T125" s="8"/>
      <c r="U125" s="8"/>
      <c r="V125" s="8"/>
      <c r="W125" s="8"/>
      <c r="X125" s="8"/>
      <c r="Y125" s="8"/>
      <c r="Z125" s="8"/>
      <c r="AA125" s="8"/>
    </row>
    <row r="126" spans="1:27" ht="15">
      <c r="A126" s="15" t="str">
        <f ca="1">IFERROR(__xludf.DUMMYFUNCTION("""COMPUTED_VALUE"""),"Keyboard, Full Size, USB 2.0")</f>
        <v>Keyboard, Full Size, USB 2.0</v>
      </c>
      <c r="B126" s="36"/>
      <c r="C126" s="15"/>
      <c r="D126" s="37" t="str">
        <f ca="1">IFERROR(__xludf.DUMMYFUNCTION("""COMPUTED_VALUE"""),"Keyboard, Full Size, USB 2.0
Natural Comfort Roundedge Keycaps, Laser Inscribed Keys, Drain Holes Design USB Wired Keyboard (BLACK)")</f>
        <v>Keyboard, Full Size, USB 2.0
Natural Comfort Roundedge Keycaps, Laser Inscribed Keys, Drain Holes Design USB Wired Keyboard (BLACK)</v>
      </c>
      <c r="E126" s="15"/>
      <c r="F126" s="15"/>
      <c r="G126" s="15"/>
      <c r="H126" s="15"/>
      <c r="I126" s="15"/>
      <c r="J126" s="39"/>
      <c r="K126" s="40"/>
      <c r="L126" s="8"/>
      <c r="M126" s="8"/>
      <c r="N126" s="8"/>
      <c r="O126" s="8"/>
      <c r="P126" s="8"/>
      <c r="Q126" s="8"/>
      <c r="R126" s="8"/>
      <c r="S126" s="8"/>
      <c r="T126" s="8"/>
      <c r="U126" s="8"/>
      <c r="V126" s="8"/>
      <c r="W126" s="8"/>
      <c r="X126" s="8"/>
      <c r="Y126" s="8"/>
      <c r="Z126" s="8"/>
      <c r="AA126" s="8"/>
    </row>
    <row r="127" spans="1:27" ht="15">
      <c r="A127" s="15" t="str">
        <f ca="1">IFERROR(__xludf.DUMMYFUNCTION("""COMPUTED_VALUE"""),"Laminated 12mm Black on White label tape")</f>
        <v>Laminated 12mm Black on White label tape</v>
      </c>
      <c r="B127" s="36"/>
      <c r="C127" s="15"/>
      <c r="D127" s="37" t="str">
        <f ca="1">IFERROR(__xludf.DUMMYFUNCTION("""COMPUTED_VALUE"""),"Laminated 12mm Black on White label tape
Laminated 12mm Black on White label tape compatible with the existing brother Label Maker PT-D400")</f>
        <v>Laminated 12mm Black on White label tape
Laminated 12mm Black on White label tape compatible with the existing brother Label Maker PT-D400</v>
      </c>
      <c r="E127" s="15"/>
      <c r="F127" s="15"/>
      <c r="G127" s="15"/>
      <c r="H127" s="15"/>
      <c r="I127" s="15"/>
      <c r="J127" s="39"/>
      <c r="K127" s="40"/>
      <c r="L127" s="8"/>
      <c r="M127" s="8"/>
      <c r="N127" s="8"/>
      <c r="O127" s="8"/>
      <c r="P127" s="8"/>
      <c r="Q127" s="8"/>
      <c r="R127" s="8"/>
      <c r="S127" s="8"/>
      <c r="T127" s="8"/>
      <c r="U127" s="8"/>
      <c r="V127" s="8"/>
      <c r="W127" s="8"/>
      <c r="X127" s="8"/>
      <c r="Y127" s="8"/>
      <c r="Z127" s="8"/>
      <c r="AA127" s="8"/>
    </row>
    <row r="128" spans="1:27" ht="15">
      <c r="A128" s="15" t="str">
        <f ca="1">IFERROR(__xludf.DUMMYFUNCTION("""COMPUTED_VALUE"""),"M6 Cabinet Screws 100pcs/pack")</f>
        <v>M6 Cabinet Screws 100pcs/pack</v>
      </c>
      <c r="B128" s="36"/>
      <c r="C128" s="15"/>
      <c r="D128" s="37" t="str">
        <f ca="1">IFERROR(__xludf.DUMMYFUNCTION("""COMPUTED_VALUE"""),"M6 Cabinet Screws 100pcs/pack
M6 x 16mm Rack Mount Cage Nuts, Screws And Washers For Rack Mount Server Cabinet")</f>
        <v>M6 Cabinet Screws 100pcs/pack
M6 x 16mm Rack Mount Cage Nuts, Screws And Washers For Rack Mount Server Cabinet</v>
      </c>
      <c r="E128" s="15"/>
      <c r="F128" s="15"/>
      <c r="G128" s="15"/>
      <c r="H128" s="15"/>
      <c r="I128" s="15"/>
      <c r="J128" s="39"/>
      <c r="K128" s="40"/>
      <c r="L128" s="8"/>
      <c r="M128" s="8"/>
      <c r="N128" s="8"/>
      <c r="O128" s="8"/>
      <c r="P128" s="8"/>
      <c r="Q128" s="8"/>
      <c r="R128" s="8"/>
      <c r="S128" s="8"/>
      <c r="T128" s="8"/>
      <c r="U128" s="8"/>
      <c r="V128" s="8"/>
      <c r="W128" s="8"/>
      <c r="X128" s="8"/>
      <c r="Y128" s="8"/>
      <c r="Z128" s="8"/>
      <c r="AA128" s="8"/>
    </row>
    <row r="129" spans="1:27" ht="15">
      <c r="A129" s="15" t="str">
        <f ca="1">IFERROR(__xludf.DUMMYFUNCTION("""COMPUTED_VALUE"""),"Maintenance Kit for the existing ECOSYS M2535DN/L")</f>
        <v>Maintenance Kit for the existing ECOSYS M2535DN/L</v>
      </c>
      <c r="B129" s="36"/>
      <c r="C129" s="15"/>
      <c r="D129" s="37" t="str">
        <f ca="1">IFERROR(__xludf.DUMMYFUNCTION("""COMPUTED_VALUE"""),"Maintenance Kit for the existing ECOSYS M2535DN/L
MK-1147")</f>
        <v>Maintenance Kit for the existing ECOSYS M2535DN/L
MK-1147</v>
      </c>
      <c r="E129" s="15"/>
      <c r="F129" s="15"/>
      <c r="G129" s="15"/>
      <c r="H129" s="15"/>
      <c r="I129" s="15"/>
      <c r="J129" s="39"/>
      <c r="K129" s="40"/>
      <c r="L129" s="8"/>
      <c r="M129" s="8"/>
      <c r="N129" s="8"/>
      <c r="O129" s="8"/>
      <c r="P129" s="8"/>
      <c r="Q129" s="8"/>
      <c r="R129" s="8"/>
      <c r="S129" s="8"/>
      <c r="T129" s="8"/>
      <c r="U129" s="8"/>
      <c r="V129" s="8"/>
      <c r="W129" s="8"/>
      <c r="X129" s="8"/>
      <c r="Y129" s="8"/>
      <c r="Z129" s="8"/>
      <c r="AA129" s="8"/>
    </row>
    <row r="130" spans="1:27" ht="15">
      <c r="A130" s="15" t="str">
        <f ca="1">IFERROR(__xludf.DUMMYFUNCTION("""COMPUTED_VALUE"""),"Maintenance Kit for the existing ECOSYS M3645DN")</f>
        <v>Maintenance Kit for the existing ECOSYS M3645DN</v>
      </c>
      <c r="B130" s="36"/>
      <c r="C130" s="15"/>
      <c r="D130" s="37" t="str">
        <f ca="1">IFERROR(__xludf.DUMMYFUNCTION("""COMPUTED_VALUE"""),"Maintenance Kit for the existing ECOSYS M3645DN
MK-3165")</f>
        <v>Maintenance Kit for the existing ECOSYS M3645DN
MK-3165</v>
      </c>
      <c r="E130" s="15"/>
      <c r="F130" s="15"/>
      <c r="G130" s="15"/>
      <c r="H130" s="15"/>
      <c r="I130" s="15"/>
      <c r="J130" s="39"/>
      <c r="K130" s="40"/>
      <c r="L130" s="8"/>
      <c r="M130" s="8"/>
      <c r="N130" s="8"/>
      <c r="O130" s="8"/>
      <c r="P130" s="8"/>
      <c r="Q130" s="8"/>
      <c r="R130" s="8"/>
      <c r="S130" s="8"/>
      <c r="T130" s="8"/>
      <c r="U130" s="8"/>
      <c r="V130" s="8"/>
      <c r="W130" s="8"/>
      <c r="X130" s="8"/>
      <c r="Y130" s="8"/>
      <c r="Z130" s="8"/>
      <c r="AA130" s="8"/>
    </row>
    <row r="131" spans="1:27" ht="15">
      <c r="A131" s="15" t="str">
        <f ca="1">IFERROR(__xludf.DUMMYFUNCTION("""COMPUTED_VALUE"""),"Maintenance Kit for the existing ECOSYS M4125IDN")</f>
        <v>Maintenance Kit for the existing ECOSYS M4125IDN</v>
      </c>
      <c r="B131" s="36"/>
      <c r="C131" s="15"/>
      <c r="D131" s="37" t="str">
        <f ca="1">IFERROR(__xludf.DUMMYFUNCTION("""COMPUTED_VALUE"""),"Maintenance Kit for the existing ECOSYS M4125IDN
MK-6119")</f>
        <v>Maintenance Kit for the existing ECOSYS M4125IDN
MK-6119</v>
      </c>
      <c r="E131" s="15"/>
      <c r="F131" s="15"/>
      <c r="G131" s="15"/>
      <c r="H131" s="15"/>
      <c r="I131" s="15"/>
      <c r="J131" s="39"/>
      <c r="K131" s="40"/>
      <c r="L131" s="8"/>
      <c r="M131" s="8"/>
      <c r="N131" s="8"/>
      <c r="O131" s="8"/>
      <c r="P131" s="8"/>
      <c r="Q131" s="8"/>
      <c r="R131" s="8"/>
      <c r="S131" s="8"/>
      <c r="T131" s="8"/>
      <c r="U131" s="8"/>
      <c r="V131" s="8"/>
      <c r="W131" s="8"/>
      <c r="X131" s="8"/>
      <c r="Y131" s="8"/>
      <c r="Z131" s="8"/>
      <c r="AA131" s="8"/>
    </row>
    <row r="132" spans="1:27" ht="15">
      <c r="A132" s="15" t="str">
        <f ca="1">IFERROR(__xludf.DUMMYFUNCTION("""COMPUTED_VALUE"""),"Maintenance Kit for the existing ECOSYS M4132IDN")</f>
        <v>Maintenance Kit for the existing ECOSYS M4132IDN</v>
      </c>
      <c r="B132" s="36"/>
      <c r="C132" s="15"/>
      <c r="D132" s="37" t="str">
        <f ca="1">IFERROR(__xludf.DUMMYFUNCTION("""COMPUTED_VALUE"""),"Maintenance Kit for the existing ECOSYS M4132IDN
MK-6119")</f>
        <v>Maintenance Kit for the existing ECOSYS M4132IDN
MK-6119</v>
      </c>
      <c r="E132" s="15"/>
      <c r="F132" s="15"/>
      <c r="G132" s="15"/>
      <c r="H132" s="15"/>
      <c r="I132" s="15"/>
      <c r="J132" s="39"/>
      <c r="K132" s="40"/>
      <c r="L132" s="8"/>
      <c r="M132" s="8"/>
      <c r="N132" s="8"/>
      <c r="O132" s="8"/>
      <c r="P132" s="8"/>
      <c r="Q132" s="8"/>
      <c r="R132" s="8"/>
      <c r="S132" s="8"/>
      <c r="T132" s="8"/>
      <c r="U132" s="8"/>
      <c r="V132" s="8"/>
      <c r="W132" s="8"/>
      <c r="X132" s="8"/>
      <c r="Y132" s="8"/>
      <c r="Z132" s="8"/>
      <c r="AA132" s="8"/>
    </row>
    <row r="133" spans="1:27" ht="15">
      <c r="A133" s="15" t="str">
        <f ca="1">IFERROR(__xludf.DUMMYFUNCTION("""COMPUTED_VALUE"""),"Maintenance Kit for the existing FS-6525MFP")</f>
        <v>Maintenance Kit for the existing FS-6525MFP</v>
      </c>
      <c r="B133" s="36"/>
      <c r="C133" s="15"/>
      <c r="D133" s="37" t="str">
        <f ca="1">IFERROR(__xludf.DUMMYFUNCTION("""COMPUTED_VALUE"""),"Maintenance Kit for the existing FS-6525MFP
MK-479")</f>
        <v>Maintenance Kit for the existing FS-6525MFP
MK-479</v>
      </c>
      <c r="E133" s="15"/>
      <c r="F133" s="15"/>
      <c r="G133" s="15"/>
      <c r="H133" s="15"/>
      <c r="I133" s="15"/>
      <c r="J133" s="39"/>
      <c r="K133" s="40"/>
      <c r="L133" s="8"/>
      <c r="M133" s="8"/>
      <c r="N133" s="8"/>
      <c r="O133" s="8"/>
      <c r="P133" s="8"/>
      <c r="Q133" s="8"/>
      <c r="R133" s="8"/>
      <c r="S133" s="8"/>
      <c r="T133" s="8"/>
      <c r="U133" s="8"/>
      <c r="V133" s="8"/>
      <c r="W133" s="8"/>
      <c r="X133" s="8"/>
      <c r="Y133" s="8"/>
      <c r="Z133" s="8"/>
      <c r="AA133" s="8"/>
    </row>
    <row r="134" spans="1:27" ht="15">
      <c r="A134" s="15" t="str">
        <f ca="1">IFERROR(__xludf.DUMMYFUNCTION("""COMPUTED_VALUE"""),"Mini PC")</f>
        <v>Mini PC</v>
      </c>
      <c r="B134" s="36"/>
      <c r="C134" s="15"/>
      <c r="D134" s="37" t="str">
        <f ca="1">IFERROR(__xludf.DUMMYFUNCTION("""COMPUTED_VALUE"""),"Mini PC
Intel Core i5 12th Gen Processor or higher
10 Cores 12 Threads or higher
Base frequency: 3.3 GHz or higher
Max Turbo Frequency : 4.4 GHz or higher
16GB 3200MHZ DDR4
500GB NVMe M.2 SSD or higher
Support 4K video output to three displays simultaneou"&amp;"sly
Multi-channel audio output via HDMI or DisplayPort
Support Windows 11
WiFi 6+Bluetooth 5.2 or higher")</f>
        <v>Mini PC
Intel Core i5 12th Gen Processor or higher
10 Cores 12 Threads or higher
Base frequency: 3.3 GHz or higher
Max Turbo Frequency : 4.4 GHz or higher
16GB 3200MHZ DDR4
500GB NVMe M.2 SSD or higher
Support 4K video output to three displays simultaneously
Multi-channel audio output via HDMI or DisplayPort
Support Windows 11
WiFi 6+Bluetooth 5.2 or higher</v>
      </c>
      <c r="E134" s="15"/>
      <c r="F134" s="15"/>
      <c r="G134" s="15"/>
      <c r="H134" s="15"/>
      <c r="I134" s="15"/>
      <c r="J134" s="39"/>
      <c r="K134" s="40"/>
      <c r="L134" s="8"/>
      <c r="M134" s="8"/>
      <c r="N134" s="8"/>
      <c r="O134" s="8"/>
      <c r="P134" s="8"/>
      <c r="Q134" s="8"/>
      <c r="R134" s="8"/>
      <c r="S134" s="8"/>
      <c r="T134" s="8"/>
      <c r="U134" s="8"/>
      <c r="V134" s="8"/>
      <c r="W134" s="8"/>
      <c r="X134" s="8"/>
      <c r="Y134" s="8"/>
      <c r="Z134" s="8"/>
      <c r="AA134" s="8"/>
    </row>
    <row r="135" spans="1:27" ht="15">
      <c r="A135" s="15" t="str">
        <f ca="1">IFERROR(__xludf.DUMMYFUNCTION("""COMPUTED_VALUE"""),"Mouse, Optical, USB 2.0")</f>
        <v>Mouse, Optical, USB 2.0</v>
      </c>
      <c r="B135" s="36"/>
      <c r="C135" s="15"/>
      <c r="D135" s="37" t="str">
        <f ca="1">IFERROR(__xludf.DUMMYFUNCTION("""COMPUTED_VALUE"""),"Mouse, Optical, USB 2.0
2x-Button, 4-Way Wheel, 1000 DPI, Durable Button Life, Dust-Resistant Wheel, Plug and Play, Screen Capture, Wired USB Mouse (Black)")</f>
        <v>Mouse, Optical, USB 2.0
2x-Button, 4-Way Wheel, 1000 DPI, Durable Button Life, Dust-Resistant Wheel, Plug and Play, Screen Capture, Wired USB Mouse (Black)</v>
      </c>
      <c r="E135" s="15"/>
      <c r="F135" s="15"/>
      <c r="G135" s="15"/>
      <c r="H135" s="15"/>
      <c r="I135" s="15"/>
      <c r="J135" s="39"/>
      <c r="K135" s="40"/>
      <c r="L135" s="8"/>
      <c r="M135" s="8"/>
      <c r="N135" s="8"/>
      <c r="O135" s="8"/>
      <c r="P135" s="8"/>
      <c r="Q135" s="8"/>
      <c r="R135" s="8"/>
      <c r="S135" s="8"/>
      <c r="T135" s="8"/>
      <c r="U135" s="8"/>
      <c r="V135" s="8"/>
      <c r="W135" s="8"/>
      <c r="X135" s="8"/>
      <c r="Y135" s="8"/>
      <c r="Z135" s="8"/>
      <c r="AA135" s="8"/>
    </row>
    <row r="136" spans="1:27" ht="15">
      <c r="A136" s="15" t="str">
        <f ca="1">IFERROR(__xludf.DUMMYFUNCTION("""COMPUTED_VALUE"""),"Network Cable Tester RJ45 RJ11 Network LAN Ethernet")</f>
        <v>Network Cable Tester RJ45 RJ11 Network LAN Ethernet</v>
      </c>
      <c r="B136" s="36"/>
      <c r="C136" s="15"/>
      <c r="D136" s="37" t="str">
        <f ca="1">IFERROR(__xludf.DUMMYFUNCTION("""COMPUTED_VALUE"""),"Network Cable Tester RJ45 RJ11 Network LAN Ethernet
Support testing RJ1 / RJ12 / RJ45 interface
Powered by a 9V battery;Powered by the type-c port charging;With a type-c cable in package
Emergency Lighting Function: The flashlight switch is located on the"&amp;" left side of the host
The tester can test unshielded cables and shielded cables
UTP: The lights of the main tester will turn on sequentiy from 1 to 8.
STP: The lights of the main tester will turn on sequentiy from 1 to G.
Warranty: 1 year or more")</f>
        <v>Network Cable Tester RJ45 RJ11 Network LAN Ethernet
Support testing RJ1 / RJ12 / RJ45 interface
Powered by a 9V battery;Powered by the type-c port charging;With a type-c cable in package
Emergency Lighting Function: The flashlight switch is located on the left side of the host
The tester can test unshielded cables and shielded cables
UTP: The lights of the main tester will turn on sequentiy from 1 to 8.
STP: The lights of the main tester will turn on sequentiy from 1 to G.
Warranty: 1 year or more</v>
      </c>
      <c r="E136" s="15"/>
      <c r="F136" s="15"/>
      <c r="G136" s="15"/>
      <c r="H136" s="15"/>
      <c r="I136" s="15"/>
      <c r="J136" s="39"/>
      <c r="K136" s="40"/>
      <c r="L136" s="8"/>
      <c r="M136" s="8"/>
      <c r="N136" s="8"/>
      <c r="O136" s="8"/>
      <c r="P136" s="8"/>
      <c r="Q136" s="8"/>
      <c r="R136" s="8"/>
      <c r="S136" s="8"/>
      <c r="T136" s="8"/>
      <c r="U136" s="8"/>
      <c r="V136" s="8"/>
      <c r="W136" s="8"/>
      <c r="X136" s="8"/>
      <c r="Y136" s="8"/>
      <c r="Z136" s="8"/>
      <c r="AA136" s="8"/>
    </row>
    <row r="137" spans="1:27" ht="15">
      <c r="A137" s="15" t="str">
        <f ca="1">IFERROR(__xludf.DUMMYFUNCTION("""COMPUTED_VALUE"""),"Nylon Zip Ties Cable Label Mark Tags 100pcs/pack")</f>
        <v>Nylon Zip Ties Cable Label Mark Tags 100pcs/pack</v>
      </c>
      <c r="B137" s="36"/>
      <c r="C137" s="15"/>
      <c r="D137" s="37" t="str">
        <f ca="1">IFERROR(__xludf.DUMMYFUNCTION("""COMPUTED_VALUE"""),"Nylon Zip Ties Cable Label Mark Tags 100pcs/pack
Self-Locking White")</f>
        <v>Nylon Zip Ties Cable Label Mark Tags 100pcs/pack
Self-Locking White</v>
      </c>
      <c r="E137" s="15"/>
      <c r="F137" s="15"/>
      <c r="G137" s="15"/>
      <c r="H137" s="15"/>
      <c r="I137" s="15"/>
      <c r="J137" s="39"/>
      <c r="K137" s="40"/>
      <c r="L137" s="8"/>
      <c r="M137" s="8"/>
      <c r="N137" s="8"/>
      <c r="O137" s="8"/>
      <c r="P137" s="8"/>
      <c r="Q137" s="8"/>
      <c r="R137" s="8"/>
      <c r="S137" s="8"/>
      <c r="T137" s="8"/>
      <c r="U137" s="8"/>
      <c r="V137" s="8"/>
      <c r="W137" s="8"/>
      <c r="X137" s="8"/>
      <c r="Y137" s="8"/>
      <c r="Z137" s="8"/>
      <c r="AA137" s="8"/>
    </row>
    <row r="138" spans="1:27" ht="15">
      <c r="A138" s="15" t="str">
        <f ca="1">IFERROR(__xludf.DUMMYFUNCTION("""COMPUTED_VALUE"""),"ONER CARTRIDGE, (TN263M) Magenta")</f>
        <v>ONER CARTRIDGE, (TN263M) Magenta</v>
      </c>
      <c r="B138" s="36"/>
      <c r="C138" s="15"/>
      <c r="D138" s="37" t="str">
        <f ca="1">IFERROR(__xludf.DUMMYFUNCTION("""COMPUTED_VALUE"""),"ONER CARTRIDGE, (TN263M) Magenta
BROTHER TN- 263 TONER CARTRIDGE, (TN263M) Magenta")</f>
        <v>ONER CARTRIDGE, (TN263M) Magenta
BROTHER TN- 263 TONER CARTRIDGE, (TN263M) Magenta</v>
      </c>
      <c r="E138" s="15"/>
      <c r="F138" s="15"/>
      <c r="G138" s="15"/>
      <c r="H138" s="15"/>
      <c r="I138" s="15"/>
      <c r="J138" s="39"/>
      <c r="K138" s="40"/>
      <c r="L138" s="8"/>
      <c r="M138" s="8"/>
      <c r="N138" s="8"/>
      <c r="O138" s="8"/>
      <c r="P138" s="8"/>
      <c r="Q138" s="8"/>
      <c r="R138" s="8"/>
      <c r="S138" s="8"/>
      <c r="T138" s="8"/>
      <c r="U138" s="8"/>
      <c r="V138" s="8"/>
      <c r="W138" s="8"/>
      <c r="X138" s="8"/>
      <c r="Y138" s="8"/>
      <c r="Z138" s="8"/>
      <c r="AA138" s="8"/>
    </row>
    <row r="139" spans="1:27" ht="15">
      <c r="A139" s="15" t="str">
        <f ca="1">IFERROR(__xludf.DUMMYFUNCTION("""COMPUTED_VALUE"""),"Paper feeder rubber set for printer")</f>
        <v>Paper feeder rubber set for printer</v>
      </c>
      <c r="B139" s="36"/>
      <c r="C139" s="15"/>
      <c r="D139" s="37" t="str">
        <f ca="1">IFERROR(__xludf.DUMMYFUNCTION("""COMPUTED_VALUE"""),"Paper feeder rubber set for printer
Paper feeder rubber set compatible with the existing Epson L3110, L3210 ")</f>
        <v xml:space="preserve">Paper feeder rubber set for printer
Paper feeder rubber set compatible with the existing Epson L3110, L3210 </v>
      </c>
      <c r="E139" s="15"/>
      <c r="F139" s="15"/>
      <c r="G139" s="15"/>
      <c r="H139" s="15"/>
      <c r="I139" s="15"/>
      <c r="J139" s="39"/>
      <c r="K139" s="40"/>
      <c r="L139" s="8"/>
      <c r="M139" s="8"/>
      <c r="N139" s="8"/>
      <c r="O139" s="8"/>
      <c r="P139" s="8"/>
      <c r="Q139" s="8"/>
      <c r="R139" s="8"/>
      <c r="S139" s="8"/>
      <c r="T139" s="8"/>
      <c r="U139" s="8"/>
      <c r="V139" s="8"/>
      <c r="W139" s="8"/>
      <c r="X139" s="8"/>
      <c r="Y139" s="8"/>
      <c r="Z139" s="8"/>
      <c r="AA139" s="8"/>
    </row>
    <row r="140" spans="1:27" ht="15">
      <c r="A140" s="15" t="str">
        <f ca="1">IFERROR(__xludf.DUMMYFUNCTION("""COMPUTED_VALUE"""),"PC-Connectable Label Maker with 10pcs 12mm Laminated Tape")</f>
        <v>PC-Connectable Label Maker with 10pcs 12mm Laminated Tape</v>
      </c>
      <c r="B140" s="36"/>
      <c r="C140" s="15"/>
      <c r="D140" s="37" t="str">
        <f ca="1">IFERROR(__xludf.DUMMYFUNCTION("""COMPUTED_VALUE"""),"PC-Connectable Label Maker with 10pcs 12mm Laminated Tape
Full-color graphical display: View label appearance before printing
PC-Connectable: Use stand-alone, or connected to a PC or Mac for added design capabilities
Multi-line labels: Prints labels with "&amp;"up to 7 lines of text
Includes: 10pcs 12mm TZe231 laminated tape, USB cable and AC power adapter
Warranty: 1 year or more")</f>
        <v>PC-Connectable Label Maker with 10pcs 12mm Laminated Tape
Full-color graphical display: View label appearance before printing
PC-Connectable: Use stand-alone, or connected to a PC or Mac for added design capabilities
Multi-line labels: Prints labels with up to 7 lines of text
Includes: 10pcs 12mm TZe231 laminated tape, USB cable and AC power adapter
Warranty: 1 year or more</v>
      </c>
      <c r="E140" s="15"/>
      <c r="F140" s="15"/>
      <c r="G140" s="15"/>
      <c r="H140" s="15"/>
      <c r="I140" s="15"/>
      <c r="J140" s="39"/>
      <c r="K140" s="40"/>
      <c r="L140" s="8"/>
      <c r="M140" s="8"/>
      <c r="N140" s="8"/>
      <c r="O140" s="8"/>
      <c r="P140" s="8"/>
      <c r="Q140" s="8"/>
      <c r="R140" s="8"/>
      <c r="S140" s="8"/>
      <c r="T140" s="8"/>
      <c r="U140" s="8"/>
      <c r="V140" s="8"/>
      <c r="W140" s="8"/>
      <c r="X140" s="8"/>
      <c r="Y140" s="8"/>
      <c r="Z140" s="8"/>
      <c r="AA140" s="8"/>
    </row>
    <row r="141" spans="1:27" ht="15">
      <c r="A141" s="15" t="str">
        <f ca="1">IFERROR(__xludf.DUMMYFUNCTION("""COMPUTED_VALUE"""),"Printable PVC Pre-Cut Cards")</f>
        <v>Printable PVC Pre-Cut Cards</v>
      </c>
      <c r="B141" s="36"/>
      <c r="C141" s="15"/>
      <c r="D141" s="37" t="str">
        <f ca="1">IFERROR(__xludf.DUMMYFUNCTION("""COMPUTED_VALUE"""),"Printable PVC Pre-Cut Cards
For direct ID Printing
High glossy output
size: 85-87mmx53-55mm")</f>
        <v>Printable PVC Pre-Cut Cards
For direct ID Printing
High glossy output
size: 85-87mmx53-55mm</v>
      </c>
      <c r="E141" s="15"/>
      <c r="F141" s="15"/>
      <c r="G141" s="15"/>
      <c r="H141" s="15"/>
      <c r="I141" s="15"/>
      <c r="J141" s="39"/>
      <c r="K141" s="40"/>
      <c r="L141" s="8"/>
      <c r="M141" s="8"/>
      <c r="N141" s="8"/>
      <c r="O141" s="8"/>
      <c r="P141" s="8"/>
      <c r="Q141" s="8"/>
      <c r="R141" s="8"/>
      <c r="S141" s="8"/>
      <c r="T141" s="8"/>
      <c r="U141" s="8"/>
      <c r="V141" s="8"/>
      <c r="W141" s="8"/>
      <c r="X141" s="8"/>
      <c r="Y141" s="8"/>
      <c r="Z141" s="8"/>
      <c r="AA141" s="8"/>
    </row>
    <row r="142" spans="1:27" ht="15">
      <c r="A142" s="15" t="str">
        <f ca="1">IFERROR(__xludf.DUMMYFUNCTION("""COMPUTED_VALUE"""),"Professional Presenter Wireless Presentation Clicker Remote")</f>
        <v>Professional Presenter Wireless Presentation Clicker Remote</v>
      </c>
      <c r="B142" s="36"/>
      <c r="C142" s="15"/>
      <c r="D142" s="37" t="str">
        <f ca="1">IFERROR(__xludf.DUMMYFUNCTION("""COMPUTED_VALUE"""),"Professional Presenter Wireless Presentation Clicker Remote
Laser Class: Class 2 laser
Max output: Less than 1m W
Wave Length: 522～542 nm (green light)
Battery type: 2 AAA batteries
Wireless technology: 2.4 GHz wireless technology
Warranty: 2 years or mor"&amp;"e")</f>
        <v>Professional Presenter Wireless Presentation Clicker Remote
Laser Class: Class 2 laser
Max output: Less than 1m W
Wave Length: 522～542 nm (green light)
Battery type: 2 AAA batteries
Wireless technology: 2.4 GHz wireless technology
Warranty: 2 years or more</v>
      </c>
      <c r="E142" s="15"/>
      <c r="F142" s="15"/>
      <c r="G142" s="15"/>
      <c r="H142" s="15"/>
      <c r="I142" s="15"/>
      <c r="J142" s="39"/>
      <c r="K142" s="40"/>
      <c r="L142" s="8"/>
      <c r="M142" s="8"/>
      <c r="N142" s="8"/>
      <c r="O142" s="8"/>
      <c r="P142" s="8"/>
      <c r="Q142" s="8"/>
      <c r="R142" s="8"/>
      <c r="S142" s="8"/>
      <c r="T142" s="8"/>
      <c r="U142" s="8"/>
      <c r="V142" s="8"/>
      <c r="W142" s="8"/>
      <c r="X142" s="8"/>
      <c r="Y142" s="8"/>
      <c r="Z142" s="8"/>
      <c r="AA142" s="8"/>
    </row>
    <row r="143" spans="1:27" ht="15">
      <c r="A143" s="15" t="str">
        <f ca="1">IFERROR(__xludf.DUMMYFUNCTION("""COMPUTED_VALUE"""),"Projector")</f>
        <v>Projector</v>
      </c>
      <c r="B143" s="36"/>
      <c r="C143" s="15"/>
      <c r="D143" s="37" t="str">
        <f ca="1">IFERROR(__xludf.DUMMYFUNCTION("""COMPUTED_VALUE"""),"Projector
Projection System: 3LCD, 3-chip technology
Native Resolution: 1024 x 768 (XGA)
Color Brightness: 3600 lumens or more
White Brightness: 3600 lumens or more
Aspect Ratio: 4:3
USB Type B: 1
Analog Input: D-Sub 15pin: 1
Digital Input: HDMI: 1
Warran"&amp;"ty: 1 year or more")</f>
        <v>Projector
Projection System: 3LCD, 3-chip technology
Native Resolution: 1024 x 768 (XGA)
Color Brightness: 3600 lumens or more
White Brightness: 3600 lumens or more
Aspect Ratio: 4:3
USB Type B: 1
Analog Input: D-Sub 15pin: 1
Digital Input: HDMI: 1
Warranty: 1 year or more</v>
      </c>
      <c r="E143" s="15"/>
      <c r="F143" s="15"/>
      <c r="G143" s="15"/>
      <c r="H143" s="15"/>
      <c r="I143" s="15"/>
      <c r="J143" s="39"/>
      <c r="K143" s="40"/>
      <c r="L143" s="8"/>
      <c r="M143" s="8"/>
      <c r="N143" s="8"/>
      <c r="O143" s="8"/>
      <c r="P143" s="8"/>
      <c r="Q143" s="8"/>
      <c r="R143" s="8"/>
      <c r="S143" s="8"/>
      <c r="T143" s="8"/>
      <c r="U143" s="8"/>
      <c r="V143" s="8"/>
      <c r="W143" s="8"/>
      <c r="X143" s="8"/>
      <c r="Y143" s="8"/>
      <c r="Z143" s="8"/>
      <c r="AA143" s="8"/>
    </row>
    <row r="144" spans="1:27" ht="15">
      <c r="A144" s="15" t="str">
        <f ca="1">IFERROR(__xludf.DUMMYFUNCTION("""COMPUTED_VALUE"""),"PVC Cable Tray (2mtr)")</f>
        <v>PVC Cable Tray (2mtr)</v>
      </c>
      <c r="B144" s="36"/>
      <c r="C144" s="15"/>
      <c r="D144" s="37" t="str">
        <f ca="1">IFERROR(__xludf.DUMMYFUNCTION("""COMPUTED_VALUE"""),"PVC Cable Tray (2mtr)
80mmx80mm PVC Cable Tray/Duct Slotted PVC (White or Light Gray)")</f>
        <v>PVC Cable Tray (2mtr)
80mmx80mm PVC Cable Tray/Duct Slotted PVC (White or Light Gray)</v>
      </c>
      <c r="E144" s="15"/>
      <c r="F144" s="15"/>
      <c r="G144" s="15"/>
      <c r="H144" s="15"/>
      <c r="I144" s="15"/>
      <c r="J144" s="39"/>
      <c r="K144" s="40"/>
      <c r="L144" s="8"/>
      <c r="M144" s="8"/>
      <c r="N144" s="8"/>
      <c r="O144" s="8"/>
      <c r="P144" s="8"/>
      <c r="Q144" s="8"/>
      <c r="R144" s="8"/>
      <c r="S144" s="8"/>
      <c r="T144" s="8"/>
      <c r="U144" s="8"/>
      <c r="V144" s="8"/>
      <c r="W144" s="8"/>
      <c r="X144" s="8"/>
      <c r="Y144" s="8"/>
      <c r="Z144" s="8"/>
      <c r="AA144" s="8"/>
    </row>
    <row r="145" spans="1:27" ht="15">
      <c r="A145" s="15" t="str">
        <f ca="1">IFERROR(__xludf.DUMMYFUNCTION("""COMPUTED_VALUE"""),"Replacement Battery APCRBC175 for the existing BVX1200LI-MS")</f>
        <v>Replacement Battery APCRBC175 for the existing BVX1200LI-MS</v>
      </c>
      <c r="B145" s="36"/>
      <c r="C145" s="15"/>
      <c r="D145" s="37" t="str">
        <f ca="1">IFERROR(__xludf.DUMMYFUNCTION("""COMPUTED_VALUE"""),"Replacement Battery APCRBC175 for the existing BVX1200LI-MS
Battery type: Lead-acid battery
Battery capacity: 9.0 Ah
Battery voltage: 12 V
Warranty: 2 years or more")</f>
        <v>Replacement Battery APCRBC175 for the existing BVX1200LI-MS
Battery type: Lead-acid battery
Battery capacity: 9.0 Ah
Battery voltage: 12 V
Warranty: 2 years or more</v>
      </c>
      <c r="E145" s="15"/>
      <c r="F145" s="15"/>
      <c r="G145" s="15"/>
      <c r="H145" s="15"/>
      <c r="I145" s="15"/>
      <c r="J145" s="39"/>
      <c r="K145" s="40"/>
      <c r="L145" s="8"/>
      <c r="M145" s="8"/>
      <c r="N145" s="8"/>
      <c r="O145" s="8"/>
      <c r="P145" s="8"/>
      <c r="Q145" s="8"/>
      <c r="R145" s="8"/>
      <c r="S145" s="8"/>
      <c r="T145" s="8"/>
      <c r="U145" s="8"/>
      <c r="V145" s="8"/>
      <c r="W145" s="8"/>
      <c r="X145" s="8"/>
      <c r="Y145" s="8"/>
      <c r="Z145" s="8"/>
      <c r="AA145" s="8"/>
    </row>
    <row r="146" spans="1:27" ht="15">
      <c r="A146" s="15" t="str">
        <f ca="1">IFERROR(__xludf.DUMMYFUNCTION("""COMPUTED_VALUE"""),"Rj11 Connector")</f>
        <v>Rj11 Connector</v>
      </c>
      <c r="B146" s="36"/>
      <c r="C146" s="15"/>
      <c r="D146" s="37" t="str">
        <f ca="1">IFERROR(__xludf.DUMMYFUNCTION("""COMPUTED_VALUE"""),"Rj11 Connector
6P6C Telephone Connector, High Quality")</f>
        <v>Rj11 Connector
6P6C Telephone Connector, High Quality</v>
      </c>
      <c r="E146" s="15"/>
      <c r="F146" s="15"/>
      <c r="G146" s="15"/>
      <c r="H146" s="15"/>
      <c r="I146" s="15"/>
      <c r="J146" s="39"/>
      <c r="K146" s="40"/>
      <c r="L146" s="8"/>
      <c r="M146" s="8"/>
      <c r="N146" s="8"/>
      <c r="O146" s="8"/>
      <c r="P146" s="8"/>
      <c r="Q146" s="8"/>
      <c r="R146" s="8"/>
      <c r="S146" s="8"/>
      <c r="T146" s="8"/>
      <c r="U146" s="8"/>
      <c r="V146" s="8"/>
      <c r="W146" s="8"/>
      <c r="X146" s="8"/>
      <c r="Y146" s="8"/>
      <c r="Z146" s="8"/>
      <c r="AA146" s="8"/>
    </row>
    <row r="147" spans="1:27" ht="15">
      <c r="A147" s="15" t="str">
        <f ca="1">IFERROR(__xludf.DUMMYFUNCTION("""COMPUTED_VALUE"""),"RJ11 Telephone Converter 10pcs/pack")</f>
        <v>RJ11 Telephone Converter 10pcs/pack</v>
      </c>
      <c r="B147" s="36"/>
      <c r="C147" s="15"/>
      <c r="D147" s="37" t="str">
        <f ca="1">IFERROR(__xludf.DUMMYFUNCTION("""COMPUTED_VALUE"""),"RJ11 Telephone Converter 10pcs/pack
RJ11 Telephone Converter RJ-11 Classic 6 Pins Female 1 to 3 Telephone Phone Cable Line Splitter Adapter")</f>
        <v>RJ11 Telephone Converter 10pcs/pack
RJ11 Telephone Converter RJ-11 Classic 6 Pins Female 1 to 3 Telephone Phone Cable Line Splitter Adapter</v>
      </c>
      <c r="E147" s="15"/>
      <c r="F147" s="15"/>
      <c r="G147" s="15"/>
      <c r="H147" s="15"/>
      <c r="I147" s="15"/>
      <c r="J147" s="39"/>
      <c r="K147" s="40"/>
      <c r="L147" s="8"/>
      <c r="M147" s="8"/>
      <c r="N147" s="8"/>
      <c r="O147" s="8"/>
      <c r="P147" s="8"/>
      <c r="Q147" s="8"/>
      <c r="R147" s="8"/>
      <c r="S147" s="8"/>
      <c r="T147" s="8"/>
      <c r="U147" s="8"/>
      <c r="V147" s="8"/>
      <c r="W147" s="8"/>
      <c r="X147" s="8"/>
      <c r="Y147" s="8"/>
      <c r="Z147" s="8"/>
      <c r="AA147" s="8"/>
    </row>
    <row r="148" spans="1:27" ht="15">
      <c r="A148" s="15" t="str">
        <f ca="1">IFERROR(__xludf.DUMMYFUNCTION("""COMPUTED_VALUE"""),"RJ45 Connector Crimp Connection Terminals 100pcs/pack")</f>
        <v>RJ45 Connector Crimp Connection Terminals 100pcs/pack</v>
      </c>
      <c r="B148" s="36"/>
      <c r="C148" s="15"/>
      <c r="D148" s="37" t="str">
        <f ca="1">IFERROR(__xludf.DUMMYFUNCTION("""COMPUTED_VALUE"""),"RJ45 Connector Crimp Connection Terminals 100pcs/pack
Rj45 Connector Crimp Connection Terminals Connector Waterproof Connectors")</f>
        <v>RJ45 Connector Crimp Connection Terminals 100pcs/pack
Rj45 Connector Crimp Connection Terminals Connector Waterproof Connectors</v>
      </c>
      <c r="E148" s="15"/>
      <c r="F148" s="15"/>
      <c r="G148" s="15"/>
      <c r="H148" s="15"/>
      <c r="I148" s="15"/>
      <c r="J148" s="39"/>
      <c r="K148" s="40"/>
      <c r="L148" s="8"/>
      <c r="M148" s="8"/>
      <c r="N148" s="8"/>
      <c r="O148" s="8"/>
      <c r="P148" s="8"/>
      <c r="Q148" s="8"/>
      <c r="R148" s="8"/>
      <c r="S148" s="8"/>
      <c r="T148" s="8"/>
      <c r="U148" s="8"/>
      <c r="V148" s="8"/>
      <c r="W148" s="8"/>
      <c r="X148" s="8"/>
      <c r="Y148" s="8"/>
      <c r="Z148" s="8"/>
      <c r="AA148" s="8"/>
    </row>
    <row r="149" spans="1:27" ht="15">
      <c r="A149" s="15" t="str">
        <f ca="1">IFERROR(__xludf.DUMMYFUNCTION("""COMPUTED_VALUE"""),"Rj45 Connectors for CAT6 (100pcs Clear)")</f>
        <v>Rj45 Connectors for CAT6 (100pcs Clear)</v>
      </c>
      <c r="B149" s="36"/>
      <c r="C149" s="15"/>
      <c r="D149" s="37" t="str">
        <f ca="1">IFERROR(__xludf.DUMMYFUNCTION("""COMPUTED_VALUE"""),"Rj45 Connectors for CAT6 (100pcs Clear)
Rj45 Connectors high quality")</f>
        <v>Rj45 Connectors for CAT6 (100pcs Clear)
Rj45 Connectors high quality</v>
      </c>
      <c r="E149" s="15"/>
      <c r="F149" s="15"/>
      <c r="G149" s="15"/>
      <c r="H149" s="15"/>
      <c r="I149" s="15"/>
      <c r="J149" s="39"/>
      <c r="K149" s="40"/>
      <c r="L149" s="8"/>
      <c r="M149" s="8"/>
      <c r="N149" s="8"/>
      <c r="O149" s="8"/>
      <c r="P149" s="8"/>
      <c r="Q149" s="8"/>
      <c r="R149" s="8"/>
      <c r="S149" s="8"/>
      <c r="T149" s="8"/>
      <c r="U149" s="8"/>
      <c r="V149" s="8"/>
      <c r="W149" s="8"/>
      <c r="X149" s="8"/>
      <c r="Y149" s="8"/>
      <c r="Z149" s="8"/>
      <c r="AA149" s="8"/>
    </row>
    <row r="150" spans="1:27" ht="15">
      <c r="A150" s="15" t="str">
        <f ca="1">IFERROR(__xludf.DUMMYFUNCTION("""COMPUTED_VALUE"""),"RJ45 Coupler, 8P8C Female Extender LAN Connector")</f>
        <v>RJ45 Coupler, 8P8C Female Extender LAN Connector</v>
      </c>
      <c r="B150" s="36"/>
      <c r="C150" s="15"/>
      <c r="D150" s="37" t="str">
        <f ca="1">IFERROR(__xludf.DUMMYFUNCTION("""COMPUTED_VALUE"""),"RJ45 Coupler, 8P8C Female Extender LAN Connector
RJ45 Coupler, 8P8C Female Extender LAN Connector Inline CAT6A/CAT6/CAT5E Ethernet Cable-Lightning Protection")</f>
        <v>RJ45 Coupler, 8P8C Female Extender LAN Connector
RJ45 Coupler, 8P8C Female Extender LAN Connector Inline CAT6A/CAT6/CAT5E Ethernet Cable-Lightning Protection</v>
      </c>
      <c r="E150" s="15"/>
      <c r="F150" s="15"/>
      <c r="G150" s="15"/>
      <c r="H150" s="15"/>
      <c r="I150" s="15"/>
      <c r="J150" s="39"/>
      <c r="K150" s="40"/>
      <c r="L150" s="8"/>
      <c r="M150" s="8"/>
      <c r="N150" s="8"/>
      <c r="O150" s="8"/>
      <c r="P150" s="8"/>
      <c r="Q150" s="8"/>
      <c r="R150" s="8"/>
      <c r="S150" s="8"/>
      <c r="T150" s="8"/>
      <c r="U150" s="8"/>
      <c r="V150" s="8"/>
      <c r="W150" s="8"/>
      <c r="X150" s="8"/>
      <c r="Y150" s="8"/>
      <c r="Z150" s="8"/>
      <c r="AA150" s="8"/>
    </row>
    <row r="151" spans="1:27" ht="15">
      <c r="A151" s="15" t="str">
        <f ca="1">IFERROR(__xludf.DUMMYFUNCTION("""COMPUTED_VALUE"""),"RJ45 Crimp Tool Pass Through Cat5 Cat5e Cat6")</f>
        <v>RJ45 Crimp Tool Pass Through Cat5 Cat5e Cat6</v>
      </c>
      <c r="B151" s="36"/>
      <c r="C151" s="15"/>
      <c r="D151" s="37" t="str">
        <f ca="1">IFERROR(__xludf.DUMMYFUNCTION("""COMPUTED_VALUE"""),"RJ45 Crimp Tool Pass Through Cat5 Cat5e Cat6
Crimper Cutter Stripper for RJ45 RJ12 RJ11 8P 6P End Pass Through connector
High Carbon Steel and PVC Non-slip Handle")</f>
        <v>RJ45 Crimp Tool Pass Through Cat5 Cat5e Cat6
Crimper Cutter Stripper for RJ45 RJ12 RJ11 8P 6P End Pass Through connector
High Carbon Steel and PVC Non-slip Handle</v>
      </c>
      <c r="E151" s="15"/>
      <c r="F151" s="15"/>
      <c r="G151" s="15"/>
      <c r="H151" s="15"/>
      <c r="I151" s="15"/>
      <c r="J151" s="39"/>
      <c r="K151" s="40"/>
      <c r="L151" s="8"/>
      <c r="M151" s="8"/>
      <c r="N151" s="8"/>
      <c r="O151" s="8"/>
      <c r="P151" s="8"/>
      <c r="Q151" s="8"/>
      <c r="R151" s="8"/>
      <c r="S151" s="8"/>
      <c r="T151" s="8"/>
      <c r="U151" s="8"/>
      <c r="V151" s="8"/>
      <c r="W151" s="8"/>
      <c r="X151" s="8"/>
      <c r="Y151" s="8"/>
      <c r="Z151" s="8"/>
      <c r="AA151" s="8"/>
    </row>
    <row r="152" spans="1:27" ht="15">
      <c r="A152" s="15" t="str">
        <f ca="1">IFERROR(__xludf.DUMMYFUNCTION("""COMPUTED_VALUE"""),"Rj45 Metal Shield Connectors for CAT6 (100pcs)")</f>
        <v>Rj45 Metal Shield Connectors for CAT6 (100pcs)</v>
      </c>
      <c r="B152" s="36"/>
      <c r="C152" s="15"/>
      <c r="D152" s="37" t="str">
        <f ca="1">IFERROR(__xludf.DUMMYFUNCTION("""COMPUTED_VALUE"""),"Rj45 Metal Shield Connectors for CAT6 (100pcs)
Rj45 Metal Shield Connectors high quality")</f>
        <v>Rj45 Metal Shield Connectors for CAT6 (100pcs)
Rj45 Metal Shield Connectors high quality</v>
      </c>
      <c r="E152" s="15"/>
      <c r="F152" s="15"/>
      <c r="G152" s="15"/>
      <c r="H152" s="15"/>
      <c r="I152" s="15"/>
      <c r="J152" s="39"/>
      <c r="K152" s="40"/>
      <c r="L152" s="8"/>
      <c r="M152" s="8"/>
      <c r="N152" s="8"/>
      <c r="O152" s="8"/>
      <c r="P152" s="8"/>
      <c r="Q152" s="8"/>
      <c r="R152" s="8"/>
      <c r="S152" s="8"/>
      <c r="T152" s="8"/>
      <c r="U152" s="8"/>
      <c r="V152" s="8"/>
      <c r="W152" s="8"/>
      <c r="X152" s="8"/>
      <c r="Y152" s="8"/>
      <c r="Z152" s="8"/>
      <c r="AA152" s="8"/>
    </row>
    <row r="153" spans="1:27" ht="15">
      <c r="A153" s="15" t="str">
        <f ca="1">IFERROR(__xludf.DUMMYFUNCTION("""COMPUTED_VALUE"""),"Single Line Telephone (Black)")</f>
        <v>Single Line Telephone (Black)</v>
      </c>
      <c r="B153" s="36"/>
      <c r="C153" s="15"/>
      <c r="D153" s="37" t="str">
        <f ca="1">IFERROR(__xludf.DUMMYFUNCTION("""COMPUTED_VALUE"""),"Single Line Telephone (Black)
3 Programmable Ringer Tones; 
Adjustable Ringer/Handset Volume; 
Time Flash; 
Switchable Tone or Pulse Dialing;
Compatible with the existing NEC SV9100 Communication Server ; With at least 1 year warranty.
Warranty: 1 year or"&amp;" more")</f>
        <v>Single Line Telephone (Black)
3 Programmable Ringer Tones; 
Adjustable Ringer/Handset Volume; 
Time Flash; 
Switchable Tone or Pulse Dialing;
Compatible with the existing NEC SV9100 Communication Server ; With at least 1 year warranty.
Warranty: 1 year or more</v>
      </c>
      <c r="E153" s="15"/>
      <c r="F153" s="15"/>
      <c r="G153" s="15"/>
      <c r="H153" s="15"/>
      <c r="I153" s="15"/>
      <c r="J153" s="39"/>
      <c r="K153" s="40"/>
      <c r="L153" s="8"/>
      <c r="M153" s="8"/>
      <c r="N153" s="8"/>
      <c r="O153" s="8"/>
      <c r="P153" s="8"/>
      <c r="Q153" s="8"/>
      <c r="R153" s="8"/>
      <c r="S153" s="8"/>
      <c r="T153" s="8"/>
      <c r="U153" s="8"/>
      <c r="V153" s="8"/>
      <c r="W153" s="8"/>
      <c r="X153" s="8"/>
      <c r="Y153" s="8"/>
      <c r="Z153" s="8"/>
      <c r="AA153" s="8"/>
    </row>
    <row r="154" spans="1:27" ht="15">
      <c r="A154" s="15" t="str">
        <f ca="1">IFERROR(__xludf.DUMMYFUNCTION("""COMPUTED_VALUE"""),"Stereo Digital Voice Recorder with Built-in USB")</f>
        <v>Stereo Digital Voice Recorder with Built-in USB</v>
      </c>
      <c r="B154" s="36"/>
      <c r="C154" s="15"/>
      <c r="D154" s="37" t="str">
        <f ca="1">IFERROR(__xludf.DUMMYFUNCTION("""COMPUTED_VALUE"""),"Stereo Digital Voice Recorder with Built-in USB
Battery Type: Dry Battery
Battery Type (Provided): AAA X2
Built-In Memory: 4 GB Internal Memory, Expandable To 32 GB With Micro Sd
Built-In Microphone: Stereo
Pc Connectivity: Yes
Input And Output Terminals
"&amp;"Hi-Speed Usb [Input] Stereo Mic-In Jack [Output] Stereo Earphone Jack
Warranty: 1 year or more")</f>
        <v>Stereo Digital Voice Recorder with Built-in USB
Battery Type: Dry Battery
Battery Type (Provided): AAA X2
Built-In Memory: 4 GB Internal Memory, Expandable To 32 GB With Micro Sd
Built-In Microphone: Stereo
Pc Connectivity: Yes
Input And Output Terminals
Hi-Speed Usb [Input] Stereo Mic-In Jack [Output] Stereo Earphone Jack
Warranty: 1 year or more</v>
      </c>
      <c r="E154" s="15"/>
      <c r="F154" s="15"/>
      <c r="G154" s="15"/>
      <c r="H154" s="15"/>
      <c r="I154" s="15"/>
      <c r="J154" s="39"/>
      <c r="K154" s="40"/>
      <c r="L154" s="8"/>
      <c r="M154" s="8"/>
      <c r="N154" s="8"/>
      <c r="O154" s="8"/>
      <c r="P154" s="8"/>
      <c r="Q154" s="8"/>
      <c r="R154" s="8"/>
      <c r="S154" s="8"/>
      <c r="T154" s="8"/>
      <c r="U154" s="8"/>
      <c r="V154" s="8"/>
      <c r="W154" s="8"/>
      <c r="X154" s="8"/>
      <c r="Y154" s="8"/>
      <c r="Z154" s="8"/>
      <c r="AA154" s="8"/>
    </row>
    <row r="155" spans="1:27" ht="15">
      <c r="A155" s="15" t="str">
        <f ca="1">IFERROR(__xludf.DUMMYFUNCTION("""COMPUTED_VALUE"""),"Stereo Speakers")</f>
        <v>Stereo Speakers</v>
      </c>
      <c r="B155" s="36"/>
      <c r="C155" s="15"/>
      <c r="D155" s="37" t="str">
        <f ca="1">IFERROR(__xludf.DUMMYFUNCTION("""COMPUTED_VALUE"""),"Stereo Speakers
Total Watt (RMS): approximately 1.2W (varies by power source)
3.5 mm input: 1
USB cable for power: 1
Controls: Power and volume controls on right speaker
Warranty: 2 years or more")</f>
        <v>Stereo Speakers
Total Watt (RMS): approximately 1.2W (varies by power source)
3.5 mm input: 1
USB cable for power: 1
Controls: Power and volume controls on right speaker
Warranty: 2 years or more</v>
      </c>
      <c r="E155" s="15"/>
      <c r="F155" s="15"/>
      <c r="G155" s="15"/>
      <c r="H155" s="15"/>
      <c r="I155" s="15"/>
      <c r="J155" s="39"/>
      <c r="K155" s="40"/>
      <c r="L155" s="8"/>
      <c r="M155" s="8"/>
      <c r="N155" s="8"/>
      <c r="O155" s="8"/>
      <c r="P155" s="8"/>
      <c r="Q155" s="8"/>
      <c r="R155" s="8"/>
      <c r="S155" s="8"/>
      <c r="T155" s="8"/>
      <c r="U155" s="8"/>
      <c r="V155" s="8"/>
      <c r="W155" s="8"/>
      <c r="X155" s="8"/>
      <c r="Y155" s="8"/>
      <c r="Z155" s="8"/>
      <c r="AA155" s="8"/>
    </row>
    <row r="156" spans="1:27" ht="15">
      <c r="A156" s="15" t="str">
        <f ca="1">IFERROR(__xludf.DUMMYFUNCTION("""COMPUTED_VALUE"""),"Super Strength Molding Tape Double Sided Tape 1/2"" x 15ft")</f>
        <v>Super Strength Molding Tape Double Sided Tape 1/2" x 15ft</v>
      </c>
      <c r="B156" s="36"/>
      <c r="C156" s="15"/>
      <c r="D156" s="37" t="str">
        <f ca="1">IFERROR(__xludf.DUMMYFUNCTION("""COMPUTED_VALUE"""),"Super Strength Molding Tape Double Sided Tape 1/2"" x 15ft
Self sticking adhesive on both sides")</f>
        <v>Super Strength Molding Tape Double Sided Tape 1/2" x 15ft
Self sticking adhesive on both sides</v>
      </c>
      <c r="E156" s="15"/>
      <c r="F156" s="15"/>
      <c r="G156" s="15"/>
      <c r="H156" s="15"/>
      <c r="I156" s="15"/>
      <c r="J156" s="39"/>
      <c r="K156" s="40"/>
      <c r="L156" s="8"/>
      <c r="M156" s="8"/>
      <c r="N156" s="8"/>
      <c r="O156" s="8"/>
      <c r="P156" s="8"/>
      <c r="Q156" s="8"/>
      <c r="R156" s="8"/>
      <c r="S156" s="8"/>
      <c r="T156" s="8"/>
      <c r="U156" s="8"/>
      <c r="V156" s="8"/>
      <c r="W156" s="8"/>
      <c r="X156" s="8"/>
      <c r="Y156" s="8"/>
      <c r="Z156" s="8"/>
      <c r="AA156" s="8"/>
    </row>
    <row r="157" spans="1:27" ht="15">
      <c r="A157" s="15" t="str">
        <f ca="1">IFERROR(__xludf.DUMMYFUNCTION("""COMPUTED_VALUE"""),"Super Strength Molding Tape Double Sided Tape 7/8"" x 15ft")</f>
        <v>Super Strength Molding Tape Double Sided Tape 7/8" x 15ft</v>
      </c>
      <c r="B157" s="36"/>
      <c r="C157" s="15"/>
      <c r="D157" s="37" t="str">
        <f ca="1">IFERROR(__xludf.DUMMYFUNCTION("""COMPUTED_VALUE"""),"Super Strength Molding Tape Double Sided Tape 7/8"" x 15ft
Self sticking adhesive on both sides")</f>
        <v>Super Strength Molding Tape Double Sided Tape 7/8" x 15ft
Self sticking adhesive on both sides</v>
      </c>
      <c r="E157" s="15"/>
      <c r="F157" s="15"/>
      <c r="G157" s="15"/>
      <c r="H157" s="15"/>
      <c r="I157" s="15"/>
      <c r="J157" s="39"/>
      <c r="K157" s="40"/>
      <c r="L157" s="8"/>
      <c r="M157" s="8"/>
      <c r="N157" s="8"/>
      <c r="O157" s="8"/>
      <c r="P157" s="8"/>
      <c r="Q157" s="8"/>
      <c r="R157" s="8"/>
      <c r="S157" s="8"/>
      <c r="T157" s="8"/>
      <c r="U157" s="8"/>
      <c r="V157" s="8"/>
      <c r="W157" s="8"/>
      <c r="X157" s="8"/>
      <c r="Y157" s="8"/>
      <c r="Z157" s="8"/>
      <c r="AA157" s="8"/>
    </row>
    <row r="158" spans="1:27" ht="15">
      <c r="A158" s="15" t="str">
        <f ca="1">IFERROR(__xludf.DUMMYFUNCTION("""COMPUTED_VALUE"""),"Telephone Wire (3mtrs)")</f>
        <v>Telephone Wire (3mtrs)</v>
      </c>
      <c r="B158" s="36"/>
      <c r="C158" s="15"/>
      <c r="D158" s="37" t="str">
        <f ca="1">IFERROR(__xludf.DUMMYFUNCTION("""COMPUTED_VALUE"""),"Telephone Wire (3mtrs)
RJ11 To RJ11 Cable Telephone Wire Ready-To-Use")</f>
        <v>Telephone Wire (3mtrs)
RJ11 To RJ11 Cable Telephone Wire Ready-To-Use</v>
      </c>
      <c r="E158" s="15"/>
      <c r="F158" s="15"/>
      <c r="G158" s="15"/>
      <c r="H158" s="15"/>
      <c r="I158" s="15"/>
      <c r="J158" s="39"/>
      <c r="K158" s="40"/>
      <c r="L158" s="8"/>
      <c r="M158" s="8"/>
      <c r="N158" s="8"/>
      <c r="O158" s="8"/>
      <c r="P158" s="8"/>
      <c r="Q158" s="8"/>
      <c r="R158" s="8"/>
      <c r="S158" s="8"/>
      <c r="T158" s="8"/>
      <c r="U158" s="8"/>
      <c r="V158" s="8"/>
      <c r="W158" s="8"/>
      <c r="X158" s="8"/>
      <c r="Y158" s="8"/>
      <c r="Z158" s="8"/>
      <c r="AA158" s="8"/>
    </row>
    <row r="159" spans="1:27" ht="15">
      <c r="A159" s="15" t="str">
        <f ca="1">IFERROR(__xludf.DUMMYFUNCTION("""COMPUTED_VALUE"""),"Thermal Paste Syringe")</f>
        <v>Thermal Paste Syringe</v>
      </c>
      <c r="B159" s="36"/>
      <c r="C159" s="15"/>
      <c r="D159" s="37" t="str">
        <f ca="1">IFERROR(__xludf.DUMMYFUNCTION("""COMPUTED_VALUE"""),"Thermal Paste Syringe
Thermal Conductive Grease Paste For CPU GPU High Quality
30g or more")</f>
        <v>Thermal Paste Syringe
Thermal Conductive Grease Paste For CPU GPU High Quality
30g or more</v>
      </c>
      <c r="E159" s="15"/>
      <c r="F159" s="15"/>
      <c r="G159" s="15"/>
      <c r="H159" s="15"/>
      <c r="I159" s="15"/>
      <c r="J159" s="39"/>
      <c r="K159" s="40"/>
      <c r="L159" s="8"/>
      <c r="M159" s="8"/>
      <c r="N159" s="8"/>
      <c r="O159" s="8"/>
      <c r="P159" s="8"/>
      <c r="Q159" s="8"/>
      <c r="R159" s="8"/>
      <c r="S159" s="8"/>
      <c r="T159" s="8"/>
      <c r="U159" s="8"/>
      <c r="V159" s="8"/>
      <c r="W159" s="8"/>
      <c r="X159" s="8"/>
      <c r="Y159" s="8"/>
      <c r="Z159" s="8"/>
      <c r="AA159" s="8"/>
    </row>
    <row r="160" spans="1:27" ht="15">
      <c r="A160" s="15" t="str">
        <f ca="1">IFERROR(__xludf.DUMMYFUNCTION("""COMPUTED_VALUE"""),"Thermal POS Receipt Printer")</f>
        <v>Thermal POS Receipt Printer</v>
      </c>
      <c r="B160" s="36"/>
      <c r="C160" s="15"/>
      <c r="D160" s="37" t="str">
        <f ca="1">IFERROR(__xludf.DUMMYFUNCTION("""COMPUTED_VALUE"""),"Thermal POS Receipt Printer
Print Method: Thermal line printing
Print Font
   Font: 9 × 17 / 12 × 24
   Column Capacity: 56 / 42 columns
Interface: Built-in USB (Type A &amp; Type B) + Built-in Ethernet
+ UIB (Serial or Parallel)
Print Speed: Max. 350 mm/sec."&amp;" or more
CPU: ARM Cortex-A5 384 MHz or higher
Warranty: 1 year or more")</f>
        <v>Thermal POS Receipt Printer
Print Method: Thermal line printing
Print Font
   Font: 9 × 17 / 12 × 24
   Column Capacity: 56 / 42 columns
Interface: Built-in USB (Type A &amp; Type B) + Built-in Ethernet
+ UIB (Serial or Parallel)
Print Speed: Max. 350 mm/sec. or more
CPU: ARM Cortex-A5 384 MHz or higher
Warranty: 1 year or more</v>
      </c>
      <c r="E160" s="15"/>
      <c r="F160" s="15"/>
      <c r="G160" s="15"/>
      <c r="H160" s="15"/>
      <c r="I160" s="15"/>
      <c r="J160" s="39"/>
      <c r="K160" s="40"/>
      <c r="L160" s="8"/>
      <c r="M160" s="8"/>
      <c r="N160" s="8"/>
      <c r="O160" s="8"/>
      <c r="P160" s="8"/>
      <c r="Q160" s="8"/>
      <c r="R160" s="8"/>
      <c r="S160" s="8"/>
      <c r="T160" s="8"/>
      <c r="U160" s="8"/>
      <c r="V160" s="8"/>
      <c r="W160" s="8"/>
      <c r="X160" s="8"/>
      <c r="Y160" s="8"/>
      <c r="Z160" s="8"/>
      <c r="AA160" s="8"/>
    </row>
    <row r="161" spans="1:27" ht="15">
      <c r="A161" s="15" t="str">
        <f ca="1">IFERROR(__xludf.DUMMYFUNCTION("""COMPUTED_VALUE"""),"Toner Cartridge for the existing Brother DCP L2540DW")</f>
        <v>Toner Cartridge for the existing Brother DCP L2540DW</v>
      </c>
      <c r="B161" s="36"/>
      <c r="C161" s="15"/>
      <c r="D161" s="37" t="str">
        <f ca="1">IFERROR(__xludf.DUMMYFUNCTION("""COMPUTED_VALUE"""),"Toner Cartridge for the existing Brother DCP L2540DW
BROTHER TN-2360 TONER CARTRIDGE")</f>
        <v>Toner Cartridge for the existing Brother DCP L2540DW
BROTHER TN-2360 TONER CARTRIDGE</v>
      </c>
      <c r="E161" s="15"/>
      <c r="F161" s="15"/>
      <c r="G161" s="15"/>
      <c r="H161" s="15"/>
      <c r="I161" s="15"/>
      <c r="J161" s="39"/>
      <c r="K161" s="40"/>
      <c r="L161" s="8"/>
      <c r="M161" s="8"/>
      <c r="N161" s="8"/>
      <c r="O161" s="8"/>
      <c r="P161" s="8"/>
      <c r="Q161" s="8"/>
      <c r="R161" s="8"/>
      <c r="S161" s="8"/>
      <c r="T161" s="8"/>
      <c r="U161" s="8"/>
      <c r="V161" s="8"/>
      <c r="W161" s="8"/>
      <c r="X161" s="8"/>
      <c r="Y161" s="8"/>
      <c r="Z161" s="8"/>
      <c r="AA161" s="8"/>
    </row>
    <row r="162" spans="1:27" ht="15">
      <c r="A162" s="15" t="str">
        <f ca="1">IFERROR(__xludf.DUMMYFUNCTION("""COMPUTED_VALUE"""),"Toner Cartridge for the existing Canon Imageclass MF543x")</f>
        <v>Toner Cartridge for the existing Canon Imageclass MF543x</v>
      </c>
      <c r="B162" s="36"/>
      <c r="C162" s="15"/>
      <c r="D162" s="37" t="str">
        <f ca="1">IFERROR(__xludf.DUMMYFUNCTION("""COMPUTED_VALUE"""),"Toner Cartridge for the existing Canon Imageclass MF543x
Canon Cartridge 056")</f>
        <v>Toner Cartridge for the existing Canon Imageclass MF543x
Canon Cartridge 056</v>
      </c>
      <c r="E162" s="15"/>
      <c r="F162" s="15"/>
      <c r="G162" s="15"/>
      <c r="H162" s="15"/>
      <c r="I162" s="15"/>
      <c r="J162" s="39"/>
      <c r="K162" s="40"/>
      <c r="L162" s="8"/>
      <c r="M162" s="8"/>
      <c r="N162" s="8"/>
      <c r="O162" s="8"/>
      <c r="P162" s="8"/>
      <c r="Q162" s="8"/>
      <c r="R162" s="8"/>
      <c r="S162" s="8"/>
      <c r="T162" s="8"/>
      <c r="U162" s="8"/>
      <c r="V162" s="8"/>
      <c r="W162" s="8"/>
      <c r="X162" s="8"/>
      <c r="Y162" s="8"/>
      <c r="Z162" s="8"/>
      <c r="AA162" s="8"/>
    </row>
    <row r="163" spans="1:27" ht="15">
      <c r="A163" s="15" t="str">
        <f ca="1">IFERROR(__xludf.DUMMYFUNCTION("""COMPUTED_VALUE"""),"Toner Cartridge for the existing ECOSYS M2535DN/L")</f>
        <v>Toner Cartridge for the existing ECOSYS M2535DN/L</v>
      </c>
      <c r="B163" s="36"/>
      <c r="C163" s="15"/>
      <c r="D163" s="37" t="str">
        <f ca="1">IFERROR(__xludf.DUMMYFUNCTION("""COMPUTED_VALUE"""),"Toner Cartridge for the existing ECOSYS M2535DN/L
TK-1147")</f>
        <v>Toner Cartridge for the existing ECOSYS M2535DN/L
TK-1147</v>
      </c>
      <c r="E163" s="15"/>
      <c r="F163" s="15"/>
      <c r="G163" s="15"/>
      <c r="H163" s="15"/>
      <c r="I163" s="15"/>
      <c r="J163" s="39"/>
      <c r="K163" s="40"/>
      <c r="L163" s="8"/>
      <c r="M163" s="8"/>
      <c r="N163" s="8"/>
      <c r="O163" s="8"/>
      <c r="P163" s="8"/>
      <c r="Q163" s="8"/>
      <c r="R163" s="8"/>
      <c r="S163" s="8"/>
      <c r="T163" s="8"/>
      <c r="U163" s="8"/>
      <c r="V163" s="8"/>
      <c r="W163" s="8"/>
      <c r="X163" s="8"/>
      <c r="Y163" s="8"/>
      <c r="Z163" s="8"/>
      <c r="AA163" s="8"/>
    </row>
    <row r="164" spans="1:27" ht="15">
      <c r="A164" s="15" t="str">
        <f ca="1">IFERROR(__xludf.DUMMYFUNCTION("""COMPUTED_VALUE"""),"Toner Cartridge for the existing ECOSYS M2540DN/L")</f>
        <v>Toner Cartridge for the existing ECOSYS M2540DN/L</v>
      </c>
      <c r="B164" s="36"/>
      <c r="C164" s="15"/>
      <c r="D164" s="37" t="str">
        <f ca="1">IFERROR(__xludf.DUMMYFUNCTION("""COMPUTED_VALUE"""),"Toner Cartridge for the existing ECOSYS M2540DN/L
TK-1175")</f>
        <v>Toner Cartridge for the existing ECOSYS M2540DN/L
TK-1175</v>
      </c>
      <c r="E164" s="15"/>
      <c r="F164" s="15"/>
      <c r="G164" s="15"/>
      <c r="H164" s="15"/>
      <c r="I164" s="15"/>
      <c r="J164" s="39"/>
      <c r="K164" s="40"/>
      <c r="L164" s="8"/>
      <c r="M164" s="8"/>
      <c r="N164" s="8"/>
      <c r="O164" s="8"/>
      <c r="P164" s="8"/>
      <c r="Q164" s="8"/>
      <c r="R164" s="8"/>
      <c r="S164" s="8"/>
      <c r="T164" s="8"/>
      <c r="U164" s="8"/>
      <c r="V164" s="8"/>
      <c r="W164" s="8"/>
      <c r="X164" s="8"/>
      <c r="Y164" s="8"/>
      <c r="Z164" s="8"/>
      <c r="AA164" s="8"/>
    </row>
    <row r="165" spans="1:27" ht="15">
      <c r="A165" s="15" t="str">
        <f ca="1">IFERROR(__xludf.DUMMYFUNCTION("""COMPUTED_VALUE"""),"Toner Cartridge for the existing ECOSYS M2640IDW/L")</f>
        <v>Toner Cartridge for the existing ECOSYS M2640IDW/L</v>
      </c>
      <c r="B165" s="36"/>
      <c r="C165" s="15"/>
      <c r="D165" s="37" t="str">
        <f ca="1">IFERROR(__xludf.DUMMYFUNCTION("""COMPUTED_VALUE"""),"Toner Cartridge for the existing ECOSYS M2640IDW/L
TK-1175")</f>
        <v>Toner Cartridge for the existing ECOSYS M2640IDW/L
TK-1175</v>
      </c>
      <c r="E165" s="15"/>
      <c r="F165" s="15"/>
      <c r="G165" s="15"/>
      <c r="H165" s="15"/>
      <c r="I165" s="15"/>
      <c r="J165" s="39"/>
      <c r="K165" s="40"/>
      <c r="L165" s="8"/>
      <c r="M165" s="8"/>
      <c r="N165" s="8"/>
      <c r="O165" s="8"/>
      <c r="P165" s="8"/>
      <c r="Q165" s="8"/>
      <c r="R165" s="8"/>
      <c r="S165" s="8"/>
      <c r="T165" s="8"/>
      <c r="U165" s="8"/>
      <c r="V165" s="8"/>
      <c r="W165" s="8"/>
      <c r="X165" s="8"/>
      <c r="Y165" s="8"/>
      <c r="Z165" s="8"/>
      <c r="AA165" s="8"/>
    </row>
    <row r="166" spans="1:27" ht="15">
      <c r="A166" s="15" t="str">
        <f ca="1">IFERROR(__xludf.DUMMYFUNCTION("""COMPUTED_VALUE"""),"Toner Cartridge for the existing ECOSYS M3145DN")</f>
        <v>Toner Cartridge for the existing ECOSYS M3145DN</v>
      </c>
      <c r="B166" s="36"/>
      <c r="C166" s="15"/>
      <c r="D166" s="37" t="str">
        <f ca="1">IFERROR(__xludf.DUMMYFUNCTION("""COMPUTED_VALUE"""),"Toner Cartridge for the existing ECOSYS M3145DN
TK-3165")</f>
        <v>Toner Cartridge for the existing ECOSYS M3145DN
TK-3165</v>
      </c>
      <c r="E166" s="15"/>
      <c r="F166" s="15"/>
      <c r="G166" s="15"/>
      <c r="H166" s="15"/>
      <c r="I166" s="15"/>
      <c r="J166" s="39"/>
      <c r="K166" s="40"/>
      <c r="L166" s="8"/>
      <c r="M166" s="8"/>
      <c r="N166" s="8"/>
      <c r="O166" s="8"/>
      <c r="P166" s="8"/>
      <c r="Q166" s="8"/>
      <c r="R166" s="8"/>
      <c r="S166" s="8"/>
      <c r="T166" s="8"/>
      <c r="U166" s="8"/>
      <c r="V166" s="8"/>
      <c r="W166" s="8"/>
      <c r="X166" s="8"/>
      <c r="Y166" s="8"/>
      <c r="Z166" s="8"/>
      <c r="AA166" s="8"/>
    </row>
    <row r="167" spans="1:27" ht="15">
      <c r="A167" s="15" t="str">
        <f ca="1">IFERROR(__xludf.DUMMYFUNCTION("""COMPUTED_VALUE"""),"Toner Cartridge for the existing ECOSYS M3645DN")</f>
        <v>Toner Cartridge for the existing ECOSYS M3645DN</v>
      </c>
      <c r="B167" s="36"/>
      <c r="C167" s="15"/>
      <c r="D167" s="37" t="str">
        <f ca="1">IFERROR(__xludf.DUMMYFUNCTION("""COMPUTED_VALUE"""),"Toner Cartridge for the existing ECOSYS M3645DN
TK-3165")</f>
        <v>Toner Cartridge for the existing ECOSYS M3645DN
TK-3165</v>
      </c>
      <c r="E167" s="15"/>
      <c r="F167" s="15"/>
      <c r="G167" s="15"/>
      <c r="H167" s="15"/>
      <c r="I167" s="15"/>
      <c r="J167" s="39"/>
      <c r="K167" s="40"/>
      <c r="L167" s="8"/>
      <c r="M167" s="8"/>
      <c r="N167" s="8"/>
      <c r="O167" s="8"/>
      <c r="P167" s="8"/>
      <c r="Q167" s="8"/>
      <c r="R167" s="8"/>
      <c r="S167" s="8"/>
      <c r="T167" s="8"/>
      <c r="U167" s="8"/>
      <c r="V167" s="8"/>
      <c r="W167" s="8"/>
      <c r="X167" s="8"/>
      <c r="Y167" s="8"/>
      <c r="Z167" s="8"/>
      <c r="AA167" s="8"/>
    </row>
    <row r="168" spans="1:27" ht="15">
      <c r="A168" s="15" t="str">
        <f ca="1">IFERROR(__xludf.DUMMYFUNCTION("""COMPUTED_VALUE"""),"Toner Cartridge for the existing ECOSYS M4125IDN")</f>
        <v>Toner Cartridge for the existing ECOSYS M4125IDN</v>
      </c>
      <c r="B168" s="36"/>
      <c r="C168" s="15"/>
      <c r="D168" s="37" t="str">
        <f ca="1">IFERROR(__xludf.DUMMYFUNCTION("""COMPUTED_VALUE"""),"Toner Cartridge for the existing ECOSYS M4125IDN
TK-6113")</f>
        <v>Toner Cartridge for the existing ECOSYS M4125IDN
TK-6113</v>
      </c>
      <c r="E168" s="15"/>
      <c r="F168" s="15"/>
      <c r="G168" s="15"/>
      <c r="H168" s="15"/>
      <c r="I168" s="15"/>
      <c r="J168" s="39"/>
      <c r="K168" s="40"/>
      <c r="L168" s="8"/>
      <c r="M168" s="8"/>
      <c r="N168" s="8"/>
      <c r="O168" s="8"/>
      <c r="P168" s="8"/>
      <c r="Q168" s="8"/>
      <c r="R168" s="8"/>
      <c r="S168" s="8"/>
      <c r="T168" s="8"/>
      <c r="U168" s="8"/>
      <c r="V168" s="8"/>
      <c r="W168" s="8"/>
      <c r="X168" s="8"/>
      <c r="Y168" s="8"/>
      <c r="Z168" s="8"/>
      <c r="AA168" s="8"/>
    </row>
    <row r="169" spans="1:27" ht="15">
      <c r="A169" s="15" t="str">
        <f ca="1">IFERROR(__xludf.DUMMYFUNCTION("""COMPUTED_VALUE"""),"Toner Cartridge for the existing ECOSYS M4132IDN")</f>
        <v>Toner Cartridge for the existing ECOSYS M4132IDN</v>
      </c>
      <c r="B169" s="36"/>
      <c r="C169" s="15"/>
      <c r="D169" s="37" t="str">
        <f ca="1">IFERROR(__xludf.DUMMYFUNCTION("""COMPUTED_VALUE"""),"Toner Cartridge for the existing ECOSYS M4132IDN
TK-6113")</f>
        <v>Toner Cartridge for the existing ECOSYS M4132IDN
TK-6113</v>
      </c>
      <c r="E169" s="15"/>
      <c r="F169" s="15"/>
      <c r="G169" s="15"/>
      <c r="H169" s="15"/>
      <c r="I169" s="15"/>
      <c r="J169" s="39"/>
      <c r="K169" s="40"/>
      <c r="L169" s="8"/>
      <c r="M169" s="8"/>
      <c r="N169" s="8"/>
      <c r="O169" s="8"/>
      <c r="P169" s="8"/>
      <c r="Q169" s="8"/>
      <c r="R169" s="8"/>
      <c r="S169" s="8"/>
      <c r="T169" s="8"/>
      <c r="U169" s="8"/>
      <c r="V169" s="8"/>
      <c r="W169" s="8"/>
      <c r="X169" s="8"/>
      <c r="Y169" s="8"/>
      <c r="Z169" s="8"/>
      <c r="AA169" s="8"/>
    </row>
    <row r="170" spans="1:27" ht="15">
      <c r="A170" s="15" t="str">
        <f ca="1">IFERROR(__xludf.DUMMYFUNCTION("""COMPUTED_VALUE"""),"Toner Cartridge for the existing ECOSYS M5521CDW")</f>
        <v>Toner Cartridge for the existing ECOSYS M5521CDW</v>
      </c>
      <c r="B170" s="36"/>
      <c r="C170" s="15"/>
      <c r="D170" s="37" t="str">
        <f ca="1">IFERROR(__xludf.DUMMYFUNCTION("""COMPUTED_VALUE"""),"Toner Cartridge for the existing ECOSYS M5521CDW
TK-5234K")</f>
        <v>Toner Cartridge for the existing ECOSYS M5521CDW
TK-5234K</v>
      </c>
      <c r="E170" s="15"/>
      <c r="F170" s="15"/>
      <c r="G170" s="15"/>
      <c r="H170" s="15"/>
      <c r="I170" s="15"/>
      <c r="J170" s="39"/>
      <c r="K170" s="40"/>
      <c r="L170" s="8"/>
      <c r="M170" s="8"/>
      <c r="N170" s="8"/>
      <c r="O170" s="8"/>
      <c r="P170" s="8"/>
      <c r="Q170" s="8"/>
      <c r="R170" s="8"/>
      <c r="S170" s="8"/>
      <c r="T170" s="8"/>
      <c r="U170" s="8"/>
      <c r="V170" s="8"/>
      <c r="W170" s="8"/>
      <c r="X170" s="8"/>
      <c r="Y170" s="8"/>
      <c r="Z170" s="8"/>
      <c r="AA170" s="8"/>
    </row>
    <row r="171" spans="1:27" ht="15">
      <c r="A171" s="15" t="str">
        <f ca="1">IFERROR(__xludf.DUMMYFUNCTION("""COMPUTED_VALUE"""),"Toner Cartridge for the existing ECOSYS M8124CIDN")</f>
        <v>Toner Cartridge for the existing ECOSYS M8124CIDN</v>
      </c>
      <c r="B171" s="36"/>
      <c r="C171" s="15"/>
      <c r="D171" s="37" t="str">
        <f ca="1">IFERROR(__xludf.DUMMYFUNCTION("""COMPUTED_VALUE"""),"Toner Cartridge for the existing ECOSYS M8124CIDN
TK-8113K")</f>
        <v>Toner Cartridge for the existing ECOSYS M8124CIDN
TK-8113K</v>
      </c>
      <c r="E171" s="15"/>
      <c r="F171" s="15"/>
      <c r="G171" s="15"/>
      <c r="H171" s="15"/>
      <c r="I171" s="15"/>
      <c r="J171" s="39"/>
      <c r="K171" s="40"/>
      <c r="L171" s="8"/>
      <c r="M171" s="8"/>
      <c r="N171" s="8"/>
      <c r="O171" s="8"/>
      <c r="P171" s="8"/>
      <c r="Q171" s="8"/>
      <c r="R171" s="8"/>
      <c r="S171" s="8"/>
      <c r="T171" s="8"/>
      <c r="U171" s="8"/>
      <c r="V171" s="8"/>
      <c r="W171" s="8"/>
      <c r="X171" s="8"/>
      <c r="Y171" s="8"/>
      <c r="Z171" s="8"/>
      <c r="AA171" s="8"/>
    </row>
    <row r="172" spans="1:27" ht="15">
      <c r="A172" s="15" t="str">
        <f ca="1">IFERROR(__xludf.DUMMYFUNCTION("""COMPUTED_VALUE"""),"Toner Cartridge for the existing ECOSYS P2040DN")</f>
        <v>Toner Cartridge for the existing ECOSYS P2040DN</v>
      </c>
      <c r="B172" s="36"/>
      <c r="C172" s="15"/>
      <c r="D172" s="37" t="str">
        <f ca="1">IFERROR(__xludf.DUMMYFUNCTION("""COMPUTED_VALUE"""),"Toner Cartridge for the existing ECOSYS P2040DN
TK-1168")</f>
        <v>Toner Cartridge for the existing ECOSYS P2040DN
TK-1168</v>
      </c>
      <c r="E172" s="15"/>
      <c r="F172" s="15"/>
      <c r="G172" s="15"/>
      <c r="H172" s="15"/>
      <c r="I172" s="15"/>
      <c r="J172" s="39"/>
      <c r="K172" s="40"/>
      <c r="L172" s="8"/>
      <c r="M172" s="8"/>
      <c r="N172" s="8"/>
      <c r="O172" s="8"/>
      <c r="P172" s="8"/>
      <c r="Q172" s="8"/>
      <c r="R172" s="8"/>
      <c r="S172" s="8"/>
      <c r="T172" s="8"/>
      <c r="U172" s="8"/>
      <c r="V172" s="8"/>
      <c r="W172" s="8"/>
      <c r="X172" s="8"/>
      <c r="Y172" s="8"/>
      <c r="Z172" s="8"/>
      <c r="AA172" s="8"/>
    </row>
    <row r="173" spans="1:27" ht="15">
      <c r="A173" s="15" t="str">
        <f ca="1">IFERROR(__xludf.DUMMYFUNCTION("""COMPUTED_VALUE"""),"Toner Cartridge for the existing ECOSYS P6230CDN")</f>
        <v>Toner Cartridge for the existing ECOSYS P6230CDN</v>
      </c>
      <c r="B173" s="36"/>
      <c r="C173" s="15"/>
      <c r="D173" s="37" t="str">
        <f ca="1">IFERROR(__xludf.DUMMYFUNCTION("""COMPUTED_VALUE"""),"Toner Cartridge for the existing ECOSYS P6230CDN
TK-5275K")</f>
        <v>Toner Cartridge for the existing ECOSYS P6230CDN
TK-5275K</v>
      </c>
      <c r="E173" s="15"/>
      <c r="F173" s="15"/>
      <c r="G173" s="15"/>
      <c r="H173" s="15"/>
      <c r="I173" s="15"/>
      <c r="J173" s="39"/>
      <c r="K173" s="40"/>
      <c r="L173" s="8"/>
      <c r="M173" s="8"/>
      <c r="N173" s="8"/>
      <c r="O173" s="8"/>
      <c r="P173" s="8"/>
      <c r="Q173" s="8"/>
      <c r="R173" s="8"/>
      <c r="S173" s="8"/>
      <c r="T173" s="8"/>
      <c r="U173" s="8"/>
      <c r="V173" s="8"/>
      <c r="W173" s="8"/>
      <c r="X173" s="8"/>
      <c r="Y173" s="8"/>
      <c r="Z173" s="8"/>
      <c r="AA173" s="8"/>
    </row>
    <row r="174" spans="1:27" ht="15">
      <c r="A174" s="15" t="str">
        <f ca="1">IFERROR(__xludf.DUMMYFUNCTION("""COMPUTED_VALUE"""),"Toner Cartridge for the existing FS-6525MFP")</f>
        <v>Toner Cartridge for the existing FS-6525MFP</v>
      </c>
      <c r="B174" s="36"/>
      <c r="C174" s="15"/>
      <c r="D174" s="37" t="str">
        <f ca="1">IFERROR(__xludf.DUMMYFUNCTION("""COMPUTED_VALUE"""),"Toner Cartridge for the existing FS-6525MFP
TK-479")</f>
        <v>Toner Cartridge for the existing FS-6525MFP
TK-479</v>
      </c>
      <c r="E174" s="15"/>
      <c r="F174" s="15"/>
      <c r="G174" s="15"/>
      <c r="H174" s="15"/>
      <c r="I174" s="15"/>
      <c r="J174" s="39"/>
      <c r="K174" s="40"/>
      <c r="L174" s="8"/>
      <c r="M174" s="8"/>
      <c r="N174" s="8"/>
      <c r="O174" s="8"/>
      <c r="P174" s="8"/>
      <c r="Q174" s="8"/>
      <c r="R174" s="8"/>
      <c r="S174" s="8"/>
      <c r="T174" s="8"/>
      <c r="U174" s="8"/>
      <c r="V174" s="8"/>
      <c r="W174" s="8"/>
      <c r="X174" s="8"/>
      <c r="Y174" s="8"/>
      <c r="Z174" s="8"/>
      <c r="AA174" s="8"/>
    </row>
    <row r="175" spans="1:27" ht="15">
      <c r="A175" s="15" t="str">
        <f ca="1">IFERROR(__xludf.DUMMYFUNCTION("""COMPUTED_VALUE"""),"Toner Cartridge for the existing TASKALFA 3212I")</f>
        <v>Toner Cartridge for the existing TASKALFA 3212I</v>
      </c>
      <c r="B175" s="36"/>
      <c r="C175" s="15"/>
      <c r="D175" s="37" t="str">
        <f ca="1">IFERROR(__xludf.DUMMYFUNCTION("""COMPUTED_VALUE"""),"Toner Cartridge for the existing TASKALFA 3212I
TK-7120")</f>
        <v>Toner Cartridge for the existing TASKALFA 3212I
TK-7120</v>
      </c>
      <c r="E175" s="15"/>
      <c r="F175" s="15"/>
      <c r="G175" s="15"/>
      <c r="H175" s="15"/>
      <c r="I175" s="15"/>
      <c r="J175" s="39"/>
      <c r="K175" s="40"/>
      <c r="L175" s="8"/>
      <c r="M175" s="8"/>
      <c r="N175" s="8"/>
      <c r="O175" s="8"/>
      <c r="P175" s="8"/>
      <c r="Q175" s="8"/>
      <c r="R175" s="8"/>
      <c r="S175" s="8"/>
      <c r="T175" s="8"/>
      <c r="U175" s="8"/>
      <c r="V175" s="8"/>
      <c r="W175" s="8"/>
      <c r="X175" s="8"/>
      <c r="Y175" s="8"/>
      <c r="Z175" s="8"/>
      <c r="AA175" s="8"/>
    </row>
    <row r="176" spans="1:27" ht="15">
      <c r="A176" s="15" t="str">
        <f ca="1">IFERROR(__xludf.DUMMYFUNCTION("""COMPUTED_VALUE"""),"TONER CARTRIDGE, (TN263BK) Black")</f>
        <v>TONER CARTRIDGE, (TN263BK) Black</v>
      </c>
      <c r="B176" s="36"/>
      <c r="C176" s="15"/>
      <c r="D176" s="37" t="str">
        <f ca="1">IFERROR(__xludf.DUMMYFUNCTION("""COMPUTED_VALUE"""),"TONER CARTRIDGE, (TN263BK) Black
BROTHER TN- 263 TONER CARTRIDGE, (TN263BK) Black")</f>
        <v>TONER CARTRIDGE, (TN263BK) Black
BROTHER TN- 263 TONER CARTRIDGE, (TN263BK) Black</v>
      </c>
      <c r="E176" s="15"/>
      <c r="F176" s="15"/>
      <c r="G176" s="15"/>
      <c r="H176" s="15"/>
      <c r="I176" s="15"/>
      <c r="J176" s="39"/>
      <c r="K176" s="40"/>
      <c r="L176" s="8"/>
      <c r="M176" s="8"/>
      <c r="N176" s="8"/>
      <c r="O176" s="8"/>
      <c r="P176" s="8"/>
      <c r="Q176" s="8"/>
      <c r="R176" s="8"/>
      <c r="S176" s="8"/>
      <c r="T176" s="8"/>
      <c r="U176" s="8"/>
      <c r="V176" s="8"/>
      <c r="W176" s="8"/>
      <c r="X176" s="8"/>
      <c r="Y176" s="8"/>
      <c r="Z176" s="8"/>
      <c r="AA176" s="8"/>
    </row>
    <row r="177" spans="1:27" ht="15">
      <c r="A177" s="15" t="str">
        <f ca="1">IFERROR(__xludf.DUMMYFUNCTION("""COMPUTED_VALUE"""),"TONER CARTRIDGE, (TN263C) Cyan")</f>
        <v>TONER CARTRIDGE, (TN263C) Cyan</v>
      </c>
      <c r="B177" s="36"/>
      <c r="C177" s="15"/>
      <c r="D177" s="37" t="str">
        <f ca="1">IFERROR(__xludf.DUMMYFUNCTION("""COMPUTED_VALUE"""),"TONER CARTRIDGE, (TN263C) Cyan
BROTHER TN- 263 TONER CARTRIDGE, (TN263C) Cyan")</f>
        <v>TONER CARTRIDGE, (TN263C) Cyan
BROTHER TN- 263 TONER CARTRIDGE, (TN263C) Cyan</v>
      </c>
      <c r="E177" s="15"/>
      <c r="F177" s="15"/>
      <c r="G177" s="15"/>
      <c r="H177" s="15"/>
      <c r="I177" s="15"/>
      <c r="J177" s="39"/>
      <c r="K177" s="40"/>
      <c r="L177" s="8"/>
      <c r="M177" s="8"/>
      <c r="N177" s="8"/>
      <c r="O177" s="8"/>
      <c r="P177" s="8"/>
      <c r="Q177" s="8"/>
      <c r="R177" s="8"/>
      <c r="S177" s="8"/>
      <c r="T177" s="8"/>
      <c r="U177" s="8"/>
      <c r="V177" s="8"/>
      <c r="W177" s="8"/>
      <c r="X177" s="8"/>
      <c r="Y177" s="8"/>
      <c r="Z177" s="8"/>
      <c r="AA177" s="8"/>
    </row>
    <row r="178" spans="1:27" ht="15">
      <c r="A178" s="15" t="str">
        <f ca="1">IFERROR(__xludf.DUMMYFUNCTION("""COMPUTED_VALUE"""),"TONER CARTRIDGE, (TN263Y) Yellow")</f>
        <v>TONER CARTRIDGE, (TN263Y) Yellow</v>
      </c>
      <c r="B178" s="36"/>
      <c r="C178" s="15"/>
      <c r="D178" s="37" t="str">
        <f ca="1">IFERROR(__xludf.DUMMYFUNCTION("""COMPUTED_VALUE"""),"TONER CARTRIDGE, (TN263Y) Yellow
BROTHER TN- 263 TONER CARTRIDGE, (TN263Y) Yellow")</f>
        <v>TONER CARTRIDGE, (TN263Y) Yellow
BROTHER TN- 263 TONER CARTRIDGE, (TN263Y) Yellow</v>
      </c>
      <c r="E178" s="15"/>
      <c r="F178" s="15"/>
      <c r="G178" s="15"/>
      <c r="H178" s="15"/>
      <c r="I178" s="15"/>
      <c r="J178" s="39"/>
      <c r="K178" s="40"/>
      <c r="L178" s="8"/>
      <c r="M178" s="8"/>
      <c r="N178" s="8"/>
      <c r="O178" s="8"/>
      <c r="P178" s="8"/>
      <c r="Q178" s="8"/>
      <c r="R178" s="8"/>
      <c r="S178" s="8"/>
      <c r="T178" s="8"/>
      <c r="U178" s="8"/>
      <c r="V178" s="8"/>
      <c r="W178" s="8"/>
      <c r="X178" s="8"/>
      <c r="Y178" s="8"/>
      <c r="Z178" s="8"/>
      <c r="AA178" s="8"/>
    </row>
    <row r="179" spans="1:27" ht="15">
      <c r="A179" s="15" t="str">
        <f ca="1">IFERROR(__xludf.DUMMYFUNCTION("""COMPUTED_VALUE"""),"Touch-style Fingerprint Reader")</f>
        <v>Touch-style Fingerprint Reader</v>
      </c>
      <c r="B179" s="36"/>
      <c r="C179" s="15"/>
      <c r="D179" s="37" t="str">
        <f ca="1">IFERROR(__xludf.DUMMYFUNCTION("""COMPUTED_VALUE"""),"Touch-style Fingerprint Reader
Pixel resolution: 500dpi (native), 1000dpi (interpolated) or more
Scan capture area: 12.8-13.8 mm x 16.5-17.5 mm
8-bit grayscale (256 gray levels)
Reader size (approximate): 72-73 mm x 39-40 mm x 21.7-22.7 mm
IP64 rated
PIV-"&amp;"certified
USB 2.0 (High Speed)
Warranty: 1 year or more")</f>
        <v>Touch-style Fingerprint Reader
Pixel resolution: 500dpi (native), 1000dpi (interpolated) or more
Scan capture area: 12.8-13.8 mm x 16.5-17.5 mm
8-bit grayscale (256 gray levels)
Reader size (approximate): 72-73 mm x 39-40 mm x 21.7-22.7 mm
IP64 rated
PIV-certified
USB 2.0 (High Speed)
Warranty: 1 year or more</v>
      </c>
      <c r="E179" s="15"/>
      <c r="F179" s="15"/>
      <c r="G179" s="15"/>
      <c r="H179" s="15"/>
      <c r="I179" s="15"/>
      <c r="J179" s="39"/>
      <c r="K179" s="40"/>
      <c r="L179" s="8"/>
      <c r="M179" s="8"/>
      <c r="N179" s="8"/>
      <c r="O179" s="8"/>
      <c r="P179" s="8"/>
      <c r="Q179" s="8"/>
      <c r="R179" s="8"/>
      <c r="S179" s="8"/>
      <c r="T179" s="8"/>
      <c r="U179" s="8"/>
      <c r="V179" s="8"/>
      <c r="W179" s="8"/>
      <c r="X179" s="8"/>
      <c r="Y179" s="8"/>
      <c r="Z179" s="8"/>
      <c r="AA179" s="8"/>
    </row>
    <row r="180" spans="1:27" ht="15">
      <c r="A180" s="15" t="str">
        <f ca="1">IFERROR(__xludf.DUMMYFUNCTION("""COMPUTED_VALUE"""),"Tox with Screw 6mm (50pcs)")</f>
        <v>Tox with Screw 6mm (50pcs)</v>
      </c>
      <c r="B180" s="36"/>
      <c r="C180" s="15"/>
      <c r="D180" s="37" t="str">
        <f ca="1">IFERROR(__xludf.DUMMYFUNCTION("""COMPUTED_VALUE"""),"Tox with Screw 6mm (50pcs)
Tox with Screw 6mm (50pcs)")</f>
        <v>Tox with Screw 6mm (50pcs)
Tox with Screw 6mm (50pcs)</v>
      </c>
      <c r="E180" s="15"/>
      <c r="F180" s="15"/>
      <c r="G180" s="15"/>
      <c r="H180" s="15"/>
      <c r="I180" s="15"/>
      <c r="J180" s="39"/>
      <c r="K180" s="40"/>
      <c r="L180" s="8"/>
      <c r="M180" s="8"/>
      <c r="N180" s="8"/>
      <c r="O180" s="8"/>
      <c r="P180" s="8"/>
      <c r="Q180" s="8"/>
      <c r="R180" s="8"/>
      <c r="S180" s="8"/>
      <c r="T180" s="8"/>
      <c r="U180" s="8"/>
      <c r="V180" s="8"/>
      <c r="W180" s="8"/>
      <c r="X180" s="8"/>
      <c r="Y180" s="8"/>
      <c r="Z180" s="8"/>
      <c r="AA180" s="8"/>
    </row>
    <row r="181" spans="1:27" ht="15">
      <c r="A181" s="15" t="str">
        <f ca="1">IFERROR(__xludf.DUMMYFUNCTION("""COMPUTED_VALUE"""),"UPS 1200VA, AVR, 230V")</f>
        <v>UPS 1200VA, AVR, 230V</v>
      </c>
      <c r="B181" s="36"/>
      <c r="C181" s="15"/>
      <c r="D181" s="37" t="str">
        <f ca="1">IFERROR(__xludf.DUMMYFUNCTION("""COMPUTED_VALUE"""),"UPS 1200VA, AVR, 230V
Rated power in W: 650W
Power socket outlets: 4 universal 1 IEC 60320 C13
Cable length: at least 1m
Number of cables: 1
Battery type: Lead-acid battery
Warranty: 2 years or more")</f>
        <v>UPS 1200VA, AVR, 230V
Rated power in W: 650W
Power socket outlets: 4 universal 1 IEC 60320 C13
Cable length: at least 1m
Number of cables: 1
Battery type: Lead-acid battery
Warranty: 2 years or more</v>
      </c>
      <c r="E181" s="15"/>
      <c r="F181" s="15"/>
      <c r="G181" s="15"/>
      <c r="H181" s="15"/>
      <c r="I181" s="15"/>
      <c r="J181" s="39"/>
      <c r="K181" s="40"/>
      <c r="L181" s="8"/>
      <c r="M181" s="8"/>
      <c r="N181" s="8"/>
      <c r="O181" s="8"/>
      <c r="P181" s="8"/>
      <c r="Q181" s="8"/>
      <c r="R181" s="8"/>
      <c r="S181" s="8"/>
      <c r="T181" s="8"/>
      <c r="U181" s="8"/>
      <c r="V181" s="8"/>
      <c r="W181" s="8"/>
      <c r="X181" s="8"/>
      <c r="Y181" s="8"/>
      <c r="Z181" s="8"/>
      <c r="AA181" s="8"/>
    </row>
    <row r="182" spans="1:27" ht="15">
      <c r="A182" s="15" t="str">
        <f ca="1">IFERROR(__xludf.DUMMYFUNCTION("""COMPUTED_VALUE"""),"UPS 650VA, AVR, 230V")</f>
        <v>UPS 650VA, AVR, 230V</v>
      </c>
      <c r="B182" s="36"/>
      <c r="C182" s="15"/>
      <c r="D182" s="37" t="str">
        <f ca="1">IFERROR(__xludf.DUMMYFUNCTION("""COMPUTED_VALUE"""),"UPS 650VA, AVR, 230V
Rated power in W: 360W
Power socket outlets: 4 NEMA 5-15R
Cable length: at least 1m
Number of cables: 1
Battery type: Lead-acid battery
Warranty: 2 years or more")</f>
        <v>UPS 650VA, AVR, 230V
Rated power in W: 360W
Power socket outlets: 4 NEMA 5-15R
Cable length: at least 1m
Number of cables: 1
Battery type: Lead-acid battery
Warranty: 2 years or more</v>
      </c>
      <c r="E182" s="15"/>
      <c r="F182" s="15"/>
      <c r="G182" s="15"/>
      <c r="H182" s="15"/>
      <c r="I182" s="15"/>
      <c r="J182" s="39"/>
      <c r="K182" s="40"/>
      <c r="L182" s="8"/>
      <c r="M182" s="8"/>
      <c r="N182" s="8"/>
      <c r="O182" s="8"/>
      <c r="P182" s="8"/>
      <c r="Q182" s="8"/>
      <c r="R182" s="8"/>
      <c r="S182" s="8"/>
      <c r="T182" s="8"/>
      <c r="U182" s="8"/>
      <c r="V182" s="8"/>
      <c r="W182" s="8"/>
      <c r="X182" s="8"/>
      <c r="Y182" s="8"/>
      <c r="Z182" s="8"/>
      <c r="AA182" s="8"/>
    </row>
    <row r="183" spans="1:27" ht="15">
      <c r="A183" s="15" t="str">
        <f ca="1">IFERROR(__xludf.DUMMYFUNCTION("""COMPUTED_VALUE"""),"USB Computer Headset")</f>
        <v>USB Computer Headset</v>
      </c>
      <c r="B183" s="36"/>
      <c r="C183" s="15"/>
      <c r="D183" s="37" t="str">
        <f ca="1">IFERROR(__xludf.DUMMYFUNCTION("""COMPUTED_VALUE"""),"USB Computer Headset
Plug-and-play USB-A connection and a noise-canceling mic w/ In-line controls
Microphone Type: Bi-directional
Input Impedance: 32 Ohm
Frequency response (Headset): 20 Hz - 20 KHz
Frequency response (Microphone): 100 Hz - 10 KHz
Wa"&amp;"rranty: 2 years or more")</f>
        <v>USB Computer Headset
Plug-and-play USB-A connection and a noise-canceling mic w/ In-line controls
Microphone Type: Bi-directional
Input Impedance: 32 Ohm
Frequency response (Headset): 20 Hz - 20 KHz
Frequency response (Microphone): 100 Hz - 10 KHz
Warranty: 2 years or more</v>
      </c>
      <c r="E183" s="15"/>
      <c r="F183" s="15"/>
      <c r="G183" s="15"/>
      <c r="H183" s="15"/>
      <c r="I183" s="15"/>
      <c r="J183" s="39"/>
      <c r="K183" s="40"/>
      <c r="L183" s="8"/>
      <c r="M183" s="8"/>
      <c r="N183" s="8"/>
      <c r="O183" s="8"/>
      <c r="P183" s="8"/>
      <c r="Q183" s="8"/>
      <c r="R183" s="8"/>
      <c r="S183" s="8"/>
      <c r="T183" s="8"/>
      <c r="U183" s="8"/>
      <c r="V183" s="8"/>
      <c r="W183" s="8"/>
      <c r="X183" s="8"/>
      <c r="Y183" s="8"/>
      <c r="Z183" s="8"/>
      <c r="AA183" s="8"/>
    </row>
    <row r="184" spans="1:27" ht="15">
      <c r="A184" s="15" t="str">
        <f ca="1">IFERROR(__xludf.DUMMYFUNCTION("""COMPUTED_VALUE"""),"VDE Insulated Flat Phillips Handle Screwdrivers Set Insulated")</f>
        <v>VDE Insulated Flat Phillips Handle Screwdrivers Set Insulated</v>
      </c>
      <c r="B184" s="36"/>
      <c r="C184" s="15"/>
      <c r="D184" s="37" t="str">
        <f ca="1">IFERROR(__xludf.DUMMYFUNCTION("""COMPUTED_VALUE"""),"VDE Insulated Flat Phillips Handle Screwdrivers Set Insulated
3 pcs insulated slotted screwdrivers: 3x75mm, 4x100mm, 5.5x125mm
2 pcs insulated phillips screwdrivers: PH1x80mm, PH2x100mm
1pc 3.0x140mm voltage tester 125-250V")</f>
        <v>VDE Insulated Flat Phillips Handle Screwdrivers Set Insulated
3 pcs insulated slotted screwdrivers: 3x75mm, 4x100mm, 5.5x125mm
2 pcs insulated phillips screwdrivers: PH1x80mm, PH2x100mm
1pc 3.0x140mm voltage tester 125-250V</v>
      </c>
      <c r="E184" s="15"/>
      <c r="F184" s="15"/>
      <c r="G184" s="15"/>
      <c r="H184" s="15"/>
      <c r="I184" s="15"/>
      <c r="J184" s="39"/>
      <c r="K184" s="40"/>
      <c r="L184" s="8"/>
      <c r="M184" s="8"/>
      <c r="N184" s="8"/>
      <c r="O184" s="8"/>
      <c r="P184" s="8"/>
      <c r="Q184" s="8"/>
      <c r="R184" s="8"/>
      <c r="S184" s="8"/>
      <c r="T184" s="8"/>
      <c r="U184" s="8"/>
      <c r="V184" s="8"/>
      <c r="W184" s="8"/>
      <c r="X184" s="8"/>
      <c r="Y184" s="8"/>
      <c r="Z184" s="8"/>
      <c r="AA184" s="8"/>
    </row>
    <row r="185" spans="1:27" ht="15">
      <c r="A185" s="15" t="str">
        <f ca="1">IFERROR(__xludf.DUMMYFUNCTION("""COMPUTED_VALUE"""),"Velcro Straps Cable Organizer 3m/roll")</f>
        <v>Velcro Straps Cable Organizer 3m/roll</v>
      </c>
      <c r="B185" s="36"/>
      <c r="C185" s="15"/>
      <c r="D185" s="37" t="str">
        <f ca="1">IFERROR(__xludf.DUMMYFUNCTION("""COMPUTED_VALUE"""),"Velcro Straps Cable Organizer 3m/roll
Network cable organizer Nylon")</f>
        <v>Velcro Straps Cable Organizer 3m/roll
Network cable organizer Nylon</v>
      </c>
      <c r="E185" s="15"/>
      <c r="F185" s="15"/>
      <c r="G185" s="15"/>
      <c r="H185" s="15"/>
      <c r="I185" s="15"/>
      <c r="J185" s="39"/>
      <c r="K185" s="40"/>
      <c r="L185" s="8"/>
      <c r="M185" s="8"/>
      <c r="N185" s="8"/>
      <c r="O185" s="8"/>
      <c r="P185" s="8"/>
      <c r="Q185" s="8"/>
      <c r="R185" s="8"/>
      <c r="S185" s="8"/>
      <c r="T185" s="8"/>
      <c r="U185" s="8"/>
      <c r="V185" s="8"/>
      <c r="W185" s="8"/>
      <c r="X185" s="8"/>
      <c r="Y185" s="8"/>
      <c r="Z185" s="8"/>
      <c r="AA185" s="8"/>
    </row>
    <row r="186" spans="1:27" ht="15">
      <c r="A186" s="15" t="str">
        <f ca="1">IFERROR(__xludf.DUMMYFUNCTION("""COMPUTED_VALUE"""),"Walkie Talkie Dual Band Handheld Two Way Radio")</f>
        <v>Walkie Talkie Dual Band Handheld Two Way Radio</v>
      </c>
      <c r="B186" s="36"/>
      <c r="C186" s="15"/>
      <c r="D186" s="37" t="str">
        <f ca="1">IFERROR(__xludf.DUMMYFUNCTION("""COMPUTED_VALUE"""),"Walkie Talkie Dual Band Handheld Two Way Radio
Frequency range: VHF/UHF136-174Mhz &amp; 400-520Mhz
[TX] 136 – 174MHz, 400 – 520MHz
[RX] 136 – 174MHz, 400 – 520MHz
Channel Capacity: 128 Channels
Battery: 1500mAh
Output power: 5W / 1W
Warranty: 1 year or more")</f>
        <v>Walkie Talkie Dual Band Handheld Two Way Radio
Frequency range: VHF/UHF136-174Mhz &amp; 400-520Mhz
[TX] 136 – 174MHz, 400 – 520MHz
[RX] 136 – 174MHz, 400 – 520MHz
Channel Capacity: 128 Channels
Battery: 1500mAh
Output power: 5W / 1W
Warranty: 1 year or more</v>
      </c>
      <c r="E186" s="15"/>
      <c r="F186" s="15"/>
      <c r="G186" s="15"/>
      <c r="H186" s="15"/>
      <c r="I186" s="15"/>
      <c r="J186" s="39"/>
      <c r="K186" s="40"/>
      <c r="L186" s="8"/>
      <c r="M186" s="8"/>
      <c r="N186" s="8"/>
      <c r="O186" s="8"/>
      <c r="P186" s="8"/>
      <c r="Q186" s="8"/>
      <c r="R186" s="8"/>
      <c r="S186" s="8"/>
      <c r="T186" s="8"/>
      <c r="U186" s="8"/>
      <c r="V186" s="8"/>
      <c r="W186" s="8"/>
      <c r="X186" s="8"/>
      <c r="Y186" s="8"/>
      <c r="Z186" s="8"/>
      <c r="AA186" s="8"/>
    </row>
    <row r="187" spans="1:27" ht="15">
      <c r="A187" s="15" t="str">
        <f ca="1">IFERROR(__xludf.DUMMYFUNCTION("""COMPUTED_VALUE"""),"Webcam Professional Full HD")</f>
        <v>Webcam Professional Full HD</v>
      </c>
      <c r="B187" s="36"/>
      <c r="C187" s="15"/>
      <c r="D187" s="37" t="str">
        <f ca="1">IFERROR(__xludf.DUMMYFUNCTION("""COMPUTED_VALUE"""),"Webcam Professional Full HD
Full HD Camera with USB-C 
Length: 5 ft (1.5 m) USB - C3.1 cable or more
Max Video Resolution: 1080p/60 fps in MJPEG
Premium Full HD Glass lens
f/2.0 - focal length 3.7 mm
Dual omnidirectional mic with noise reduction filter
Wa"&amp;"rranty: 1 year or more")</f>
        <v>Webcam Professional Full HD
Full HD Camera with USB-C 
Length: 5 ft (1.5 m) USB - C3.1 cable or more
Max Video Resolution: 1080p/60 fps in MJPEG
Premium Full HD Glass lens
f/2.0 - focal length 3.7 mm
Dual omnidirectional mic with noise reduction filter
Warranty: 1 year or more</v>
      </c>
      <c r="E187" s="15"/>
      <c r="F187" s="15"/>
      <c r="G187" s="15"/>
      <c r="H187" s="15"/>
      <c r="I187" s="15"/>
      <c r="J187" s="39"/>
      <c r="K187" s="40"/>
      <c r="L187" s="8"/>
      <c r="M187" s="8"/>
      <c r="N187" s="8"/>
      <c r="O187" s="8"/>
      <c r="P187" s="8"/>
      <c r="Q187" s="8"/>
      <c r="R187" s="8"/>
      <c r="S187" s="8"/>
      <c r="T187" s="8"/>
      <c r="U187" s="8"/>
      <c r="V187" s="8"/>
      <c r="W187" s="8"/>
      <c r="X187" s="8"/>
      <c r="Y187" s="8"/>
      <c r="Z187" s="8"/>
      <c r="AA187" s="8"/>
    </row>
    <row r="188" spans="1:27" ht="15">
      <c r="A188" s="15" t="str">
        <f ca="1">IFERROR(__xludf.DUMMYFUNCTION("""COMPUTED_VALUE"""),"White Nylon Cable Tie 2.5 x 100mm 100pcs/pack")</f>
        <v>White Nylon Cable Tie 2.5 x 100mm 100pcs/pack</v>
      </c>
      <c r="B188" s="36"/>
      <c r="C188" s="15"/>
      <c r="D188" s="37" t="str">
        <f ca="1">IFERROR(__xludf.DUMMYFUNCTION("""COMPUTED_VALUE"""),"White Nylon Cable Tie 2.5 x 100mm 100pcs/pack
White Nylon Cable Tie 2.5 x 100mm")</f>
        <v>White Nylon Cable Tie 2.5 x 100mm 100pcs/pack
White Nylon Cable Tie 2.5 x 100mm</v>
      </c>
      <c r="E188" s="15"/>
      <c r="F188" s="15"/>
      <c r="G188" s="15"/>
      <c r="H188" s="15"/>
      <c r="I188" s="15"/>
      <c r="J188" s="39"/>
      <c r="K188" s="40"/>
      <c r="L188" s="8"/>
      <c r="M188" s="8"/>
      <c r="N188" s="8"/>
      <c r="O188" s="8"/>
      <c r="P188" s="8"/>
      <c r="Q188" s="8"/>
      <c r="R188" s="8"/>
      <c r="S188" s="8"/>
      <c r="T188" s="8"/>
      <c r="U188" s="8"/>
      <c r="V188" s="8"/>
      <c r="W188" s="8"/>
      <c r="X188" s="8"/>
      <c r="Y188" s="8"/>
      <c r="Z188" s="8"/>
      <c r="AA188" s="8"/>
    </row>
    <row r="189" spans="1:27" ht="15">
      <c r="A189" s="15" t="str">
        <f ca="1">IFERROR(__xludf.DUMMYFUNCTION("""COMPUTED_VALUE"""),"White Nylon Cable Tie 2.5 x 140mm 100pcs/pack")</f>
        <v>White Nylon Cable Tie 2.5 x 140mm 100pcs/pack</v>
      </c>
      <c r="B189" s="36"/>
      <c r="C189" s="15"/>
      <c r="D189" s="37" t="str">
        <f ca="1">IFERROR(__xludf.DUMMYFUNCTION("""COMPUTED_VALUE"""),"White Nylon Cable Tie 2.5 x 140mm 100pcs/pack
White Nylon Cable Tie 2.5 x 140mm")</f>
        <v>White Nylon Cable Tie 2.5 x 140mm 100pcs/pack
White Nylon Cable Tie 2.5 x 140mm</v>
      </c>
      <c r="E189" s="15"/>
      <c r="F189" s="15"/>
      <c r="G189" s="15"/>
      <c r="H189" s="15"/>
      <c r="I189" s="15"/>
      <c r="J189" s="39"/>
      <c r="K189" s="40"/>
      <c r="L189" s="8"/>
      <c r="M189" s="8"/>
      <c r="N189" s="8"/>
      <c r="O189" s="8"/>
      <c r="P189" s="8"/>
      <c r="Q189" s="8"/>
      <c r="R189" s="8"/>
      <c r="S189" s="8"/>
      <c r="T189" s="8"/>
      <c r="U189" s="8"/>
      <c r="V189" s="8"/>
      <c r="W189" s="8"/>
      <c r="X189" s="8"/>
      <c r="Y189" s="8"/>
      <c r="Z189" s="8"/>
      <c r="AA189" s="8"/>
    </row>
    <row r="190" spans="1:27" ht="15">
      <c r="A190" s="15" t="str">
        <f ca="1">IFERROR(__xludf.DUMMYFUNCTION("""COMPUTED_VALUE"""),"White Nylon Cable Tie 3.6 x 140mm 100pcs/pack")</f>
        <v>White Nylon Cable Tie 3.6 x 140mm 100pcs/pack</v>
      </c>
      <c r="B190" s="36"/>
      <c r="C190" s="15"/>
      <c r="D190" s="37" t="str">
        <f ca="1">IFERROR(__xludf.DUMMYFUNCTION("""COMPUTED_VALUE"""),"White Nylon Cable Tie 3.6 x 140mm 100pcs/pack
White Nylon Cable Tie 3.6 x 140mm")</f>
        <v>White Nylon Cable Tie 3.6 x 140mm 100pcs/pack
White Nylon Cable Tie 3.6 x 140mm</v>
      </c>
      <c r="E190" s="15"/>
      <c r="F190" s="15"/>
      <c r="G190" s="15"/>
      <c r="H190" s="15"/>
      <c r="I190" s="15"/>
      <c r="J190" s="39"/>
      <c r="K190" s="40"/>
      <c r="L190" s="8"/>
      <c r="M190" s="8"/>
      <c r="N190" s="8"/>
      <c r="O190" s="8"/>
      <c r="P190" s="8"/>
      <c r="Q190" s="8"/>
      <c r="R190" s="8"/>
      <c r="S190" s="8"/>
      <c r="T190" s="8"/>
      <c r="U190" s="8"/>
      <c r="V190" s="8"/>
      <c r="W190" s="8"/>
      <c r="X190" s="8"/>
      <c r="Y190" s="8"/>
      <c r="Z190" s="8"/>
      <c r="AA190" s="8"/>
    </row>
    <row r="191" spans="1:27" ht="15">
      <c r="A191" s="15" t="str">
        <f ca="1">IFERROR(__xludf.DUMMYFUNCTION("""COMPUTED_VALUE"""),"White Nylon Cable Tie 3.6 x 200mm 100pcs/pack")</f>
        <v>White Nylon Cable Tie 3.6 x 200mm 100pcs/pack</v>
      </c>
      <c r="B191" s="36"/>
      <c r="C191" s="15"/>
      <c r="D191" s="37" t="str">
        <f ca="1">IFERROR(__xludf.DUMMYFUNCTION("""COMPUTED_VALUE"""),"White Nylon Cable Tie 3.6 x 200mm 100pcs/pack
White Nylon Cable Tie 3.6 x 200mm")</f>
        <v>White Nylon Cable Tie 3.6 x 200mm 100pcs/pack
White Nylon Cable Tie 3.6 x 200mm</v>
      </c>
      <c r="E191" s="15"/>
      <c r="F191" s="15"/>
      <c r="G191" s="15"/>
      <c r="H191" s="15"/>
      <c r="I191" s="15"/>
      <c r="J191" s="39"/>
      <c r="K191" s="40"/>
      <c r="L191" s="8"/>
      <c r="M191" s="8"/>
      <c r="N191" s="8"/>
      <c r="O191" s="8"/>
      <c r="P191" s="8"/>
      <c r="Q191" s="8"/>
      <c r="R191" s="8"/>
      <c r="S191" s="8"/>
      <c r="T191" s="8"/>
      <c r="U191" s="8"/>
      <c r="V191" s="8"/>
      <c r="W191" s="8"/>
      <c r="X191" s="8"/>
      <c r="Y191" s="8"/>
      <c r="Z191" s="8"/>
      <c r="AA191" s="8"/>
    </row>
    <row r="192" spans="1:27" ht="15">
      <c r="A192" s="15" t="str">
        <f ca="1">IFERROR(__xludf.DUMMYFUNCTION("""COMPUTED_VALUE"""),"White Nylon Cable Tie 3.6 x 300mm 100pcs/pack")</f>
        <v>White Nylon Cable Tie 3.6 x 300mm 100pcs/pack</v>
      </c>
      <c r="B192" s="36"/>
      <c r="C192" s="15"/>
      <c r="D192" s="37" t="str">
        <f ca="1">IFERROR(__xludf.DUMMYFUNCTION("""COMPUTED_VALUE"""),"White Nylon Cable Tie 3.6 x 300mm 100pcs/pack
White Nylon Cable Tie 3.6 x 300mm")</f>
        <v>White Nylon Cable Tie 3.6 x 300mm 100pcs/pack
White Nylon Cable Tie 3.6 x 300mm</v>
      </c>
      <c r="E192" s="15"/>
      <c r="F192" s="15"/>
      <c r="G192" s="15"/>
      <c r="H192" s="15"/>
      <c r="I192" s="15"/>
      <c r="J192" s="39"/>
      <c r="K192" s="40"/>
      <c r="L192" s="8"/>
      <c r="M192" s="8"/>
      <c r="N192" s="8"/>
      <c r="O192" s="8"/>
      <c r="P192" s="8"/>
      <c r="Q192" s="8"/>
      <c r="R192" s="8"/>
      <c r="S192" s="8"/>
      <c r="T192" s="8"/>
      <c r="U192" s="8"/>
      <c r="V192" s="8"/>
      <c r="W192" s="8"/>
      <c r="X192" s="8"/>
      <c r="Y192" s="8"/>
      <c r="Z192" s="8"/>
      <c r="AA192" s="8"/>
    </row>
    <row r="193" spans="1:27" ht="15">
      <c r="A193" s="15" t="str">
        <f ca="1">IFERROR(__xludf.DUMMYFUNCTION("""COMPUTED_VALUE"""),"White Nylon Cable Tie 4.8 x 200mm 100pcs/pack")</f>
        <v>White Nylon Cable Tie 4.8 x 200mm 100pcs/pack</v>
      </c>
      <c r="B193" s="36"/>
      <c r="C193" s="15"/>
      <c r="D193" s="37" t="str">
        <f ca="1">IFERROR(__xludf.DUMMYFUNCTION("""COMPUTED_VALUE"""),"White Nylon Cable Tie 4.8 x 200mm 100pcs/pack
White Nylon Cable Tie 4.8 x 200mm")</f>
        <v>White Nylon Cable Tie 4.8 x 200mm 100pcs/pack
White Nylon Cable Tie 4.8 x 200mm</v>
      </c>
      <c r="E193" s="15"/>
      <c r="F193" s="15"/>
      <c r="G193" s="15"/>
      <c r="H193" s="15"/>
      <c r="I193" s="15"/>
      <c r="J193" s="39"/>
      <c r="K193" s="40"/>
      <c r="L193" s="8"/>
      <c r="M193" s="8"/>
      <c r="N193" s="8"/>
      <c r="O193" s="8"/>
      <c r="P193" s="8"/>
      <c r="Q193" s="8"/>
      <c r="R193" s="8"/>
      <c r="S193" s="8"/>
      <c r="T193" s="8"/>
      <c r="U193" s="8"/>
      <c r="V193" s="8"/>
      <c r="W193" s="8"/>
      <c r="X193" s="8"/>
      <c r="Y193" s="8"/>
      <c r="Z193" s="8"/>
      <c r="AA193" s="8"/>
    </row>
    <row r="194" spans="1:27" ht="15">
      <c r="A194" s="15" t="str">
        <f ca="1">IFERROR(__xludf.DUMMYFUNCTION("""COMPUTED_VALUE"""),"White Nylon Cable Tie 4.8 x 250mm 100pcs/pack")</f>
        <v>White Nylon Cable Tie 4.8 x 250mm 100pcs/pack</v>
      </c>
      <c r="B194" s="36"/>
      <c r="C194" s="15"/>
      <c r="D194" s="37" t="str">
        <f ca="1">IFERROR(__xludf.DUMMYFUNCTION("""COMPUTED_VALUE"""),"White Nylon Cable Tie 4.8 x 250mm 100pcs/pack
White Nylon Cable Tie 4.8 x 250mm")</f>
        <v>White Nylon Cable Tie 4.8 x 250mm 100pcs/pack
White Nylon Cable Tie 4.8 x 250mm</v>
      </c>
      <c r="E194" s="15"/>
      <c r="F194" s="15"/>
      <c r="G194" s="15"/>
      <c r="H194" s="15"/>
      <c r="I194" s="15"/>
      <c r="J194" s="39"/>
      <c r="K194" s="40"/>
      <c r="L194" s="8"/>
      <c r="M194" s="8"/>
      <c r="N194" s="8"/>
      <c r="O194" s="8"/>
      <c r="P194" s="8"/>
      <c r="Q194" s="8"/>
      <c r="R194" s="8"/>
      <c r="S194" s="8"/>
      <c r="T194" s="8"/>
      <c r="U194" s="8"/>
      <c r="V194" s="8"/>
      <c r="W194" s="8"/>
      <c r="X194" s="8"/>
      <c r="Y194" s="8"/>
      <c r="Z194" s="8"/>
      <c r="AA194" s="8"/>
    </row>
    <row r="195" spans="1:27" ht="15">
      <c r="A195" s="15" t="str">
        <f ca="1">IFERROR(__xludf.DUMMYFUNCTION("""COMPUTED_VALUE"""),"White Nylon Cable Tie 4.8 x 300mm 100pcs/pack")</f>
        <v>White Nylon Cable Tie 4.8 x 300mm 100pcs/pack</v>
      </c>
      <c r="B195" s="36"/>
      <c r="C195" s="15"/>
      <c r="D195" s="37" t="str">
        <f ca="1">IFERROR(__xludf.DUMMYFUNCTION("""COMPUTED_VALUE"""),"White Nylon Cable Tie 4.8 x 300mm 100pcs/pack
White Nylon Cable Tie 4.8 x 300mm")</f>
        <v>White Nylon Cable Tie 4.8 x 300mm 100pcs/pack
White Nylon Cable Tie 4.8 x 300mm</v>
      </c>
      <c r="E195" s="15"/>
      <c r="F195" s="15"/>
      <c r="G195" s="15"/>
      <c r="H195" s="15"/>
      <c r="I195" s="15"/>
      <c r="J195" s="39"/>
      <c r="K195" s="40"/>
      <c r="L195" s="8"/>
      <c r="M195" s="8"/>
      <c r="N195" s="8"/>
      <c r="O195" s="8"/>
      <c r="P195" s="8"/>
      <c r="Q195" s="8"/>
      <c r="R195" s="8"/>
      <c r="S195" s="8"/>
      <c r="T195" s="8"/>
      <c r="U195" s="8"/>
      <c r="V195" s="8"/>
      <c r="W195" s="8"/>
      <c r="X195" s="8"/>
      <c r="Y195" s="8"/>
      <c r="Z195" s="8"/>
      <c r="AA195" s="8"/>
    </row>
    <row r="196" spans="1:27" ht="15">
      <c r="A196" s="15" t="str">
        <f ca="1">IFERROR(__xludf.DUMMYFUNCTION("""COMPUTED_VALUE"""),"White Nylon Cable Tie 4.8 x 400mm 100pcs/pack")</f>
        <v>White Nylon Cable Tie 4.8 x 400mm 100pcs/pack</v>
      </c>
      <c r="B196" s="36"/>
      <c r="C196" s="15"/>
      <c r="D196" s="37" t="str">
        <f ca="1">IFERROR(__xludf.DUMMYFUNCTION("""COMPUTED_VALUE"""),"White Nylon Cable Tie 4.8 x 400mm 100pcs/pack
White Nylon Cable Tie 4.8 x 400mm")</f>
        <v>White Nylon Cable Tie 4.8 x 400mm 100pcs/pack
White Nylon Cable Tie 4.8 x 400mm</v>
      </c>
      <c r="E196" s="15"/>
      <c r="F196" s="15"/>
      <c r="G196" s="15"/>
      <c r="H196" s="15"/>
      <c r="I196" s="15"/>
      <c r="J196" s="39"/>
      <c r="K196" s="40"/>
      <c r="L196" s="8"/>
      <c r="M196" s="8"/>
      <c r="N196" s="8"/>
      <c r="O196" s="8"/>
      <c r="P196" s="8"/>
      <c r="Q196" s="8"/>
      <c r="R196" s="8"/>
      <c r="S196" s="8"/>
      <c r="T196" s="8"/>
      <c r="U196" s="8"/>
      <c r="V196" s="8"/>
      <c r="W196" s="8"/>
      <c r="X196" s="8"/>
      <c r="Y196" s="8"/>
      <c r="Z196" s="8"/>
      <c r="AA196" s="8"/>
    </row>
    <row r="197" spans="1:27" ht="15">
      <c r="A197" s="15" t="str">
        <f ca="1">IFERROR(__xludf.DUMMYFUNCTION("""COMPUTED_VALUE"""),"WiFi 6 Access Point Dual-band ")</f>
        <v xml:space="preserve">WiFi 6 Access Point Dual-band </v>
      </c>
      <c r="B197" s="36"/>
      <c r="C197" s="15"/>
      <c r="D197" s="37" t="str">
        <f ca="1">IFERROR(__xludf.DUMMYFUNCTION("""COMPUTED_VALUE"""),"WiFi 6 Access Point Dual-band 
Networking interface: (1) GbE RJ45 port
Power method: PoE+
Power supply: 48V, 0.5A PoE adapter
Dual-band WiFi 6 (802.11ax)
5 GHz (4x4 MU-MIMO and OFDMA)
2.4 GHz (2x2 MU-MIMO and OFDMA)
Included universal mounting plate, back"&amp;"ing plate, and screw kit
Compatible with the existing UniFi Network Application
Warranty: 1 year or more")</f>
        <v>WiFi 6 Access Point Dual-band 
Networking interface: (1) GbE RJ45 port
Power method: PoE+
Power supply: 48V, 0.5A PoE adapter
Dual-band WiFi 6 (802.11ax)
5 GHz (4x4 MU-MIMO and OFDMA)
2.4 GHz (2x2 MU-MIMO and OFDMA)
Included universal mounting plate, backing plate, and screw kit
Compatible with the existing UniFi Network Application
Warranty: 1 year or more</v>
      </c>
      <c r="E197" s="15"/>
      <c r="F197" s="15"/>
      <c r="G197" s="15"/>
      <c r="H197" s="15"/>
      <c r="I197" s="15"/>
      <c r="J197" s="39"/>
      <c r="K197" s="40"/>
      <c r="L197" s="8"/>
      <c r="M197" s="8"/>
      <c r="N197" s="8"/>
      <c r="O197" s="8"/>
      <c r="P197" s="8"/>
      <c r="Q197" s="8"/>
      <c r="R197" s="8"/>
      <c r="S197" s="8"/>
      <c r="T197" s="8"/>
      <c r="U197" s="8"/>
      <c r="V197" s="8"/>
      <c r="W197" s="8"/>
      <c r="X197" s="8"/>
      <c r="Y197" s="8"/>
      <c r="Z197" s="8"/>
      <c r="AA197" s="8"/>
    </row>
    <row r="198" spans="1:27" ht="15">
      <c r="A198" s="15" t="str">
        <f ca="1">IFERROR(__xludf.DUMMYFUNCTION("""COMPUTED_VALUE"""),"Wired USB Numeric Keypad (Black)")</f>
        <v>Wired USB Numeric Keypad (Black)</v>
      </c>
      <c r="B198" s="36"/>
      <c r="C198" s="15"/>
      <c r="D198" s="37" t="str">
        <f ca="1">IFERROR(__xludf.DUMMYFUNCTION("""COMPUTED_VALUE"""),"Wired USB Numeric Keypad (Black)
Sleek Round-Square Keycaps
Cable Length: 120 cm or higher
Compatible Windows XP / Vista / 7 / 8 / 8.1 / 10  or higher")</f>
        <v>Wired USB Numeric Keypad (Black)
Sleek Round-Square Keycaps
Cable Length: 120 cm or higher
Compatible Windows XP / Vista / 7 / 8 / 8.1 / 10  or higher</v>
      </c>
      <c r="E198" s="15"/>
      <c r="F198" s="15"/>
      <c r="G198" s="15"/>
      <c r="H198" s="15"/>
      <c r="I198" s="15"/>
      <c r="J198" s="39"/>
      <c r="K198" s="40"/>
      <c r="L198" s="8"/>
      <c r="M198" s="8"/>
      <c r="N198" s="8"/>
      <c r="O198" s="8"/>
      <c r="P198" s="8"/>
      <c r="Q198" s="8"/>
      <c r="R198" s="8"/>
      <c r="S198" s="8"/>
      <c r="T198" s="8"/>
      <c r="U198" s="8"/>
      <c r="V198" s="8"/>
      <c r="W198" s="8"/>
      <c r="X198" s="8"/>
      <c r="Y198" s="8"/>
      <c r="Z198" s="8"/>
      <c r="AA198" s="8"/>
    </row>
    <row r="199" spans="1:27" ht="15">
      <c r="A199" s="15"/>
      <c r="B199" s="36"/>
      <c r="C199" s="15"/>
      <c r="D199" s="37"/>
      <c r="E199" s="15"/>
      <c r="F199" s="15"/>
      <c r="G199" s="15"/>
      <c r="H199" s="15"/>
      <c r="I199" s="15"/>
      <c r="J199" s="39"/>
      <c r="K199" s="40"/>
      <c r="L199" s="8"/>
      <c r="M199" s="8"/>
      <c r="N199" s="8"/>
      <c r="O199" s="8"/>
      <c r="P199" s="8"/>
      <c r="Q199" s="8"/>
      <c r="R199" s="8"/>
      <c r="S199" s="8"/>
      <c r="T199" s="8"/>
      <c r="U199" s="8"/>
      <c r="V199" s="8"/>
      <c r="W199" s="8"/>
      <c r="X199" s="8"/>
      <c r="Y199" s="8"/>
      <c r="Z199" s="8"/>
      <c r="AA199" s="8"/>
    </row>
    <row r="200" spans="1:27" ht="15">
      <c r="A200" s="15"/>
      <c r="B200" s="36"/>
      <c r="C200" s="15"/>
      <c r="D200" s="37"/>
      <c r="E200" s="15"/>
      <c r="F200" s="15"/>
      <c r="G200" s="15"/>
      <c r="H200" s="15"/>
      <c r="I200" s="15"/>
      <c r="J200" s="39"/>
      <c r="K200" s="40"/>
      <c r="L200" s="8"/>
      <c r="M200" s="8"/>
      <c r="N200" s="8"/>
      <c r="O200" s="8"/>
      <c r="P200" s="8"/>
      <c r="Q200" s="8"/>
      <c r="R200" s="8"/>
      <c r="S200" s="8"/>
      <c r="T200" s="8"/>
      <c r="U200" s="8"/>
      <c r="V200" s="8"/>
      <c r="W200" s="8"/>
      <c r="X200" s="8"/>
      <c r="Y200" s="8"/>
      <c r="Z200" s="8"/>
      <c r="AA200" s="8"/>
    </row>
    <row r="201" spans="1:27" ht="15">
      <c r="A201" s="15"/>
      <c r="B201" s="36"/>
      <c r="C201" s="15"/>
      <c r="D201" s="37"/>
      <c r="E201" s="15"/>
      <c r="F201" s="15"/>
      <c r="G201" s="15"/>
      <c r="H201" s="15"/>
      <c r="I201" s="15"/>
      <c r="J201" s="39"/>
      <c r="K201" s="40"/>
      <c r="L201" s="8"/>
      <c r="M201" s="8"/>
      <c r="N201" s="8"/>
      <c r="O201" s="8"/>
      <c r="P201" s="8"/>
      <c r="Q201" s="8"/>
      <c r="R201" s="8"/>
      <c r="S201" s="8"/>
      <c r="T201" s="8"/>
      <c r="U201" s="8"/>
      <c r="V201" s="8"/>
      <c r="W201" s="8"/>
      <c r="X201" s="8"/>
      <c r="Y201" s="8"/>
      <c r="Z201" s="8"/>
      <c r="AA201" s="8"/>
    </row>
    <row r="202" spans="1:27" ht="15">
      <c r="A202" s="15"/>
      <c r="B202" s="36"/>
      <c r="C202" s="15"/>
      <c r="D202" s="37"/>
      <c r="E202" s="15"/>
      <c r="F202" s="15"/>
      <c r="G202" s="15"/>
      <c r="H202" s="15"/>
      <c r="I202" s="15"/>
      <c r="J202" s="39"/>
      <c r="K202" s="40"/>
      <c r="L202" s="8"/>
      <c r="M202" s="8"/>
      <c r="N202" s="8"/>
      <c r="O202" s="8"/>
      <c r="P202" s="8"/>
      <c r="Q202" s="8"/>
      <c r="R202" s="8"/>
      <c r="S202" s="8"/>
      <c r="T202" s="8"/>
      <c r="U202" s="8"/>
      <c r="V202" s="8"/>
      <c r="W202" s="8"/>
      <c r="X202" s="8"/>
      <c r="Y202" s="8"/>
      <c r="Z202" s="8"/>
      <c r="AA202" s="8"/>
    </row>
    <row r="203" spans="1:27" ht="15">
      <c r="A203" s="15"/>
      <c r="B203" s="36"/>
      <c r="C203" s="15"/>
      <c r="D203" s="37"/>
      <c r="E203" s="15"/>
      <c r="F203" s="15"/>
      <c r="G203" s="15"/>
      <c r="H203" s="15"/>
      <c r="I203" s="15"/>
      <c r="J203" s="39"/>
      <c r="K203" s="40"/>
      <c r="L203" s="8"/>
      <c r="M203" s="8"/>
      <c r="N203" s="8"/>
      <c r="O203" s="8"/>
      <c r="P203" s="8"/>
      <c r="Q203" s="8"/>
      <c r="R203" s="8"/>
      <c r="S203" s="8"/>
      <c r="T203" s="8"/>
      <c r="U203" s="8"/>
      <c r="V203" s="8"/>
      <c r="W203" s="8"/>
      <c r="X203" s="8"/>
      <c r="Y203" s="8"/>
      <c r="Z203" s="8"/>
      <c r="AA203" s="8"/>
    </row>
    <row r="204" spans="1:27" ht="15">
      <c r="A204" s="15"/>
      <c r="B204" s="36"/>
      <c r="C204" s="15"/>
      <c r="D204" s="37"/>
      <c r="E204" s="15"/>
      <c r="F204" s="15"/>
      <c r="G204" s="15"/>
      <c r="H204" s="15"/>
      <c r="I204" s="15"/>
      <c r="J204" s="39"/>
      <c r="K204" s="40"/>
      <c r="L204" s="8"/>
      <c r="M204" s="8"/>
      <c r="N204" s="8"/>
      <c r="O204" s="8"/>
      <c r="P204" s="8"/>
      <c r="Q204" s="8"/>
      <c r="R204" s="8"/>
      <c r="S204" s="8"/>
      <c r="T204" s="8"/>
      <c r="U204" s="8"/>
      <c r="V204" s="8"/>
      <c r="W204" s="8"/>
      <c r="X204" s="8"/>
      <c r="Y204" s="8"/>
      <c r="Z204" s="8"/>
      <c r="AA204" s="8"/>
    </row>
    <row r="205" spans="1:27" ht="15">
      <c r="A205" s="15"/>
      <c r="B205" s="36"/>
      <c r="C205" s="15"/>
      <c r="D205" s="37"/>
      <c r="E205" s="15"/>
      <c r="F205" s="15"/>
      <c r="G205" s="15"/>
      <c r="H205" s="15"/>
      <c r="I205" s="15"/>
      <c r="J205" s="39"/>
      <c r="K205" s="40"/>
      <c r="L205" s="8"/>
      <c r="M205" s="8"/>
      <c r="N205" s="8"/>
      <c r="O205" s="8"/>
      <c r="P205" s="8"/>
      <c r="Q205" s="8"/>
      <c r="R205" s="8"/>
      <c r="S205" s="8"/>
      <c r="T205" s="8"/>
      <c r="U205" s="8"/>
      <c r="V205" s="8"/>
      <c r="W205" s="8"/>
      <c r="X205" s="8"/>
      <c r="Y205" s="8"/>
      <c r="Z205" s="8"/>
      <c r="AA205" s="8"/>
    </row>
    <row r="206" spans="1:27" ht="15">
      <c r="A206" s="15"/>
      <c r="B206" s="36"/>
      <c r="C206" s="15"/>
      <c r="D206" s="37"/>
      <c r="E206" s="15"/>
      <c r="F206" s="15"/>
      <c r="G206" s="15"/>
      <c r="H206" s="15"/>
      <c r="I206" s="15"/>
      <c r="J206" s="39"/>
      <c r="K206" s="40"/>
      <c r="L206" s="8"/>
      <c r="M206" s="8"/>
      <c r="N206" s="8"/>
      <c r="O206" s="8"/>
      <c r="P206" s="8"/>
      <c r="Q206" s="8"/>
      <c r="R206" s="8"/>
      <c r="S206" s="8"/>
      <c r="T206" s="8"/>
      <c r="U206" s="8"/>
      <c r="V206" s="8"/>
      <c r="W206" s="8"/>
      <c r="X206" s="8"/>
      <c r="Y206" s="8"/>
      <c r="Z206" s="8"/>
      <c r="AA206" s="8"/>
    </row>
    <row r="207" spans="1:27" ht="15">
      <c r="A207" s="15"/>
      <c r="B207" s="36"/>
      <c r="C207" s="15"/>
      <c r="D207" s="37"/>
      <c r="E207" s="15"/>
      <c r="F207" s="15"/>
      <c r="G207" s="15"/>
      <c r="H207" s="15"/>
      <c r="I207" s="15"/>
      <c r="J207" s="39"/>
      <c r="K207" s="40"/>
      <c r="L207" s="8"/>
      <c r="M207" s="8"/>
      <c r="N207" s="8"/>
      <c r="O207" s="8"/>
      <c r="P207" s="8"/>
      <c r="Q207" s="8"/>
      <c r="R207" s="8"/>
      <c r="S207" s="8"/>
      <c r="T207" s="8"/>
      <c r="U207" s="8"/>
      <c r="V207" s="8"/>
      <c r="W207" s="8"/>
      <c r="X207" s="8"/>
      <c r="Y207" s="8"/>
      <c r="Z207" s="8"/>
      <c r="AA207" s="8"/>
    </row>
    <row r="208" spans="1:27" ht="15">
      <c r="A208" s="15"/>
      <c r="B208" s="36"/>
      <c r="C208" s="15"/>
      <c r="D208" s="37"/>
      <c r="E208" s="15"/>
      <c r="F208" s="15"/>
      <c r="G208" s="15"/>
      <c r="H208" s="15"/>
      <c r="I208" s="15"/>
      <c r="J208" s="39"/>
      <c r="K208" s="40"/>
      <c r="L208" s="8"/>
      <c r="M208" s="8"/>
      <c r="N208" s="8"/>
      <c r="O208" s="8"/>
      <c r="P208" s="8"/>
      <c r="Q208" s="8"/>
      <c r="R208" s="8"/>
      <c r="S208" s="8"/>
      <c r="T208" s="8"/>
      <c r="U208" s="8"/>
      <c r="V208" s="8"/>
      <c r="W208" s="8"/>
      <c r="X208" s="8"/>
      <c r="Y208" s="8"/>
      <c r="Z208" s="8"/>
      <c r="AA208" s="8"/>
    </row>
    <row r="209" spans="1:27" ht="15">
      <c r="A209" s="15"/>
      <c r="B209" s="36"/>
      <c r="C209" s="15"/>
      <c r="D209" s="37"/>
      <c r="E209" s="15"/>
      <c r="F209" s="15"/>
      <c r="G209" s="15"/>
      <c r="H209" s="15"/>
      <c r="I209" s="15"/>
      <c r="J209" s="39"/>
      <c r="K209" s="40"/>
      <c r="L209" s="8"/>
      <c r="M209" s="8"/>
      <c r="N209" s="8"/>
      <c r="O209" s="8"/>
      <c r="P209" s="8"/>
      <c r="Q209" s="8"/>
      <c r="R209" s="8"/>
      <c r="S209" s="8"/>
      <c r="T209" s="8"/>
      <c r="U209" s="8"/>
      <c r="V209" s="8"/>
      <c r="W209" s="8"/>
      <c r="X209" s="8"/>
      <c r="Y209" s="8"/>
      <c r="Z209" s="8"/>
      <c r="AA209" s="8"/>
    </row>
    <row r="210" spans="1:27" ht="15">
      <c r="A210" s="15"/>
      <c r="B210" s="36"/>
      <c r="C210" s="15"/>
      <c r="D210" s="37"/>
      <c r="E210" s="15"/>
      <c r="F210" s="15"/>
      <c r="G210" s="15"/>
      <c r="H210" s="15"/>
      <c r="I210" s="15"/>
      <c r="J210" s="39"/>
      <c r="K210" s="40"/>
      <c r="L210" s="8"/>
      <c r="M210" s="8"/>
      <c r="N210" s="8"/>
      <c r="O210" s="8"/>
      <c r="P210" s="8"/>
      <c r="Q210" s="8"/>
      <c r="R210" s="8"/>
      <c r="S210" s="8"/>
      <c r="T210" s="8"/>
      <c r="U210" s="8"/>
      <c r="V210" s="8"/>
      <c r="W210" s="8"/>
      <c r="X210" s="8"/>
      <c r="Y210" s="8"/>
      <c r="Z210" s="8"/>
      <c r="AA210" s="8"/>
    </row>
    <row r="211" spans="1:27" ht="15">
      <c r="A211" s="15"/>
      <c r="B211" s="36"/>
      <c r="C211" s="15"/>
      <c r="D211" s="37"/>
      <c r="E211" s="15"/>
      <c r="F211" s="15"/>
      <c r="G211" s="15"/>
      <c r="H211" s="15"/>
      <c r="I211" s="15"/>
      <c r="J211" s="39"/>
      <c r="K211" s="40"/>
      <c r="L211" s="8"/>
      <c r="M211" s="8"/>
      <c r="N211" s="8"/>
      <c r="O211" s="8"/>
      <c r="P211" s="8"/>
      <c r="Q211" s="8"/>
      <c r="R211" s="8"/>
      <c r="S211" s="8"/>
      <c r="T211" s="8"/>
      <c r="U211" s="8"/>
      <c r="V211" s="8"/>
      <c r="W211" s="8"/>
      <c r="X211" s="8"/>
      <c r="Y211" s="8"/>
      <c r="Z211" s="8"/>
      <c r="AA211" s="8"/>
    </row>
    <row r="212" spans="1:27" ht="15">
      <c r="A212" s="15"/>
      <c r="B212" s="36"/>
      <c r="C212" s="15"/>
      <c r="D212" s="37"/>
      <c r="E212" s="15"/>
      <c r="F212" s="15"/>
      <c r="G212" s="15"/>
      <c r="H212" s="15"/>
      <c r="I212" s="15"/>
      <c r="J212" s="39"/>
      <c r="K212" s="40"/>
      <c r="L212" s="8"/>
      <c r="M212" s="8"/>
      <c r="N212" s="8"/>
      <c r="O212" s="8"/>
      <c r="P212" s="8"/>
      <c r="Q212" s="8"/>
      <c r="R212" s="8"/>
      <c r="S212" s="8"/>
      <c r="T212" s="8"/>
      <c r="U212" s="8"/>
      <c r="V212" s="8"/>
      <c r="W212" s="8"/>
      <c r="X212" s="8"/>
      <c r="Y212" s="8"/>
      <c r="Z212" s="8"/>
      <c r="AA212" s="8"/>
    </row>
    <row r="213" spans="1:27" ht="15">
      <c r="A213" s="15"/>
      <c r="B213" s="36"/>
      <c r="C213" s="15"/>
      <c r="D213" s="37"/>
      <c r="E213" s="15"/>
      <c r="F213" s="15"/>
      <c r="G213" s="15"/>
      <c r="H213" s="15"/>
      <c r="I213" s="15"/>
      <c r="J213" s="39"/>
      <c r="K213" s="40"/>
      <c r="L213" s="8"/>
      <c r="M213" s="8"/>
      <c r="N213" s="8"/>
      <c r="O213" s="8"/>
      <c r="P213" s="8"/>
      <c r="Q213" s="8"/>
      <c r="R213" s="8"/>
      <c r="S213" s="8"/>
      <c r="T213" s="8"/>
      <c r="U213" s="8"/>
      <c r="V213" s="8"/>
      <c r="W213" s="8"/>
      <c r="X213" s="8"/>
      <c r="Y213" s="8"/>
      <c r="Z213" s="8"/>
      <c r="AA213" s="8"/>
    </row>
    <row r="214" spans="1:27" ht="15">
      <c r="A214" s="15"/>
      <c r="B214" s="36"/>
      <c r="C214" s="15"/>
      <c r="D214" s="37"/>
      <c r="E214" s="15"/>
      <c r="F214" s="15"/>
      <c r="G214" s="15"/>
      <c r="H214" s="15"/>
      <c r="I214" s="15"/>
      <c r="J214" s="39"/>
      <c r="K214" s="40"/>
      <c r="L214" s="8"/>
      <c r="M214" s="8"/>
      <c r="N214" s="8"/>
      <c r="O214" s="8"/>
      <c r="P214" s="8"/>
      <c r="Q214" s="8"/>
      <c r="R214" s="8"/>
      <c r="S214" s="8"/>
      <c r="T214" s="8"/>
      <c r="U214" s="8"/>
      <c r="V214" s="8"/>
      <c r="W214" s="8"/>
      <c r="X214" s="8"/>
      <c r="Y214" s="8"/>
      <c r="Z214" s="8"/>
      <c r="AA214" s="8"/>
    </row>
    <row r="215" spans="1:27" ht="15">
      <c r="A215" s="15"/>
      <c r="B215" s="36"/>
      <c r="C215" s="15"/>
      <c r="D215" s="37"/>
      <c r="E215" s="15"/>
      <c r="F215" s="15"/>
      <c r="G215" s="15"/>
      <c r="H215" s="15"/>
      <c r="I215" s="15"/>
      <c r="J215" s="39"/>
      <c r="K215" s="40"/>
      <c r="L215" s="8"/>
      <c r="M215" s="8"/>
      <c r="N215" s="8"/>
      <c r="O215" s="8"/>
      <c r="P215" s="8"/>
      <c r="Q215" s="8"/>
      <c r="R215" s="8"/>
      <c r="S215" s="8"/>
      <c r="T215" s="8"/>
      <c r="U215" s="8"/>
      <c r="V215" s="8"/>
      <c r="W215" s="8"/>
      <c r="X215" s="8"/>
      <c r="Y215" s="8"/>
      <c r="Z215" s="8"/>
      <c r="AA215" s="8"/>
    </row>
    <row r="216" spans="1:27" ht="15">
      <c r="A216" s="15"/>
      <c r="B216" s="36"/>
      <c r="C216" s="15"/>
      <c r="D216" s="37"/>
      <c r="E216" s="15"/>
      <c r="F216" s="15"/>
      <c r="G216" s="15"/>
      <c r="H216" s="15"/>
      <c r="I216" s="15"/>
      <c r="J216" s="39"/>
      <c r="K216" s="40"/>
      <c r="L216" s="8"/>
      <c r="M216" s="8"/>
      <c r="N216" s="8"/>
      <c r="O216" s="8"/>
      <c r="P216" s="8"/>
      <c r="Q216" s="8"/>
      <c r="R216" s="8"/>
      <c r="S216" s="8"/>
      <c r="T216" s="8"/>
      <c r="U216" s="8"/>
      <c r="V216" s="8"/>
      <c r="W216" s="8"/>
      <c r="X216" s="8"/>
      <c r="Y216" s="8"/>
      <c r="Z216" s="8"/>
      <c r="AA216" s="8"/>
    </row>
    <row r="217" spans="1:27" ht="15">
      <c r="A217" s="15"/>
      <c r="B217" s="36"/>
      <c r="C217" s="15"/>
      <c r="D217" s="37"/>
      <c r="E217" s="15"/>
      <c r="F217" s="15"/>
      <c r="G217" s="15"/>
      <c r="H217" s="15"/>
      <c r="I217" s="15"/>
      <c r="J217" s="39"/>
      <c r="K217" s="40"/>
      <c r="L217" s="8"/>
      <c r="M217" s="8"/>
      <c r="N217" s="8"/>
      <c r="O217" s="8"/>
      <c r="P217" s="8"/>
      <c r="Q217" s="8"/>
      <c r="R217" s="8"/>
      <c r="S217" s="8"/>
      <c r="T217" s="8"/>
      <c r="U217" s="8"/>
      <c r="V217" s="8"/>
      <c r="W217" s="8"/>
      <c r="X217" s="8"/>
      <c r="Y217" s="8"/>
      <c r="Z217" s="8"/>
      <c r="AA217" s="8"/>
    </row>
    <row r="218" spans="1:27" ht="15">
      <c r="A218" s="15"/>
      <c r="B218" s="36"/>
      <c r="C218" s="15"/>
      <c r="D218" s="37"/>
      <c r="E218" s="15"/>
      <c r="F218" s="15"/>
      <c r="G218" s="15"/>
      <c r="H218" s="15"/>
      <c r="I218" s="15"/>
      <c r="J218" s="39"/>
      <c r="K218" s="40"/>
      <c r="L218" s="8"/>
      <c r="M218" s="8"/>
      <c r="N218" s="8"/>
      <c r="O218" s="8"/>
      <c r="P218" s="8"/>
      <c r="Q218" s="8"/>
      <c r="R218" s="8"/>
      <c r="S218" s="8"/>
      <c r="T218" s="8"/>
      <c r="U218" s="8"/>
      <c r="V218" s="8"/>
      <c r="W218" s="8"/>
      <c r="X218" s="8"/>
      <c r="Y218" s="8"/>
      <c r="Z218" s="8"/>
      <c r="AA218" s="8"/>
    </row>
    <row r="219" spans="1:27" ht="15">
      <c r="A219" s="15"/>
      <c r="B219" s="36"/>
      <c r="C219" s="15"/>
      <c r="D219" s="37"/>
      <c r="E219" s="15"/>
      <c r="F219" s="15"/>
      <c r="G219" s="15"/>
      <c r="H219" s="15"/>
      <c r="I219" s="15"/>
      <c r="J219" s="39"/>
      <c r="K219" s="40"/>
      <c r="L219" s="8"/>
      <c r="M219" s="8"/>
      <c r="N219" s="8"/>
      <c r="O219" s="8"/>
      <c r="P219" s="8"/>
      <c r="Q219" s="8"/>
      <c r="R219" s="8"/>
      <c r="S219" s="8"/>
      <c r="T219" s="8"/>
      <c r="U219" s="8"/>
      <c r="V219" s="8"/>
      <c r="W219" s="8"/>
      <c r="X219" s="8"/>
      <c r="Y219" s="8"/>
      <c r="Z219" s="8"/>
      <c r="AA219" s="8"/>
    </row>
    <row r="220" spans="1:27" ht="15">
      <c r="A220" s="15"/>
      <c r="B220" s="36"/>
      <c r="C220" s="15"/>
      <c r="D220" s="37"/>
      <c r="E220" s="15"/>
      <c r="F220" s="15"/>
      <c r="G220" s="15"/>
      <c r="H220" s="15"/>
      <c r="I220" s="15"/>
      <c r="J220" s="39"/>
      <c r="K220" s="40"/>
      <c r="L220" s="8"/>
      <c r="M220" s="8"/>
      <c r="N220" s="8"/>
      <c r="O220" s="8"/>
      <c r="P220" s="8"/>
      <c r="Q220" s="8"/>
      <c r="R220" s="8"/>
      <c r="S220" s="8"/>
      <c r="T220" s="8"/>
      <c r="U220" s="8"/>
      <c r="V220" s="8"/>
      <c r="W220" s="8"/>
      <c r="X220" s="8"/>
      <c r="Y220" s="8"/>
      <c r="Z220" s="8"/>
      <c r="AA220" s="8"/>
    </row>
    <row r="221" spans="1:27" ht="15">
      <c r="A221" s="15"/>
      <c r="B221" s="36"/>
      <c r="C221" s="15"/>
      <c r="D221" s="37"/>
      <c r="E221" s="15"/>
      <c r="F221" s="15"/>
      <c r="G221" s="15"/>
      <c r="H221" s="15"/>
      <c r="I221" s="15"/>
      <c r="J221" s="39"/>
      <c r="K221" s="40"/>
      <c r="L221" s="8"/>
      <c r="M221" s="8"/>
      <c r="N221" s="8"/>
      <c r="O221" s="8"/>
      <c r="P221" s="8"/>
      <c r="Q221" s="8"/>
      <c r="R221" s="8"/>
      <c r="S221" s="8"/>
      <c r="T221" s="8"/>
      <c r="U221" s="8"/>
      <c r="V221" s="8"/>
      <c r="W221" s="8"/>
      <c r="X221" s="8"/>
      <c r="Y221" s="8"/>
      <c r="Z221" s="8"/>
      <c r="AA221" s="8"/>
    </row>
    <row r="222" spans="1:27" ht="15">
      <c r="A222" s="15"/>
      <c r="B222" s="36"/>
      <c r="C222" s="15"/>
      <c r="D222" s="37"/>
      <c r="E222" s="15"/>
      <c r="F222" s="15"/>
      <c r="G222" s="15"/>
      <c r="H222" s="15"/>
      <c r="I222" s="15"/>
      <c r="J222" s="39"/>
      <c r="K222" s="40"/>
      <c r="L222" s="8"/>
      <c r="M222" s="8"/>
      <c r="N222" s="8"/>
      <c r="O222" s="8"/>
      <c r="P222" s="8"/>
      <c r="Q222" s="8"/>
      <c r="R222" s="8"/>
      <c r="S222" s="8"/>
      <c r="T222" s="8"/>
      <c r="U222" s="8"/>
      <c r="V222" s="8"/>
      <c r="W222" s="8"/>
      <c r="X222" s="8"/>
      <c r="Y222" s="8"/>
      <c r="Z222" s="8"/>
      <c r="AA222" s="8"/>
    </row>
    <row r="223" spans="1:27" ht="15">
      <c r="A223" s="15"/>
      <c r="B223" s="36"/>
      <c r="C223" s="15"/>
      <c r="D223" s="37"/>
      <c r="E223" s="15"/>
      <c r="F223" s="15"/>
      <c r="G223" s="15"/>
      <c r="H223" s="15"/>
      <c r="I223" s="15"/>
      <c r="J223" s="39"/>
      <c r="K223" s="40"/>
      <c r="L223" s="8"/>
      <c r="M223" s="8"/>
      <c r="N223" s="8"/>
      <c r="O223" s="8"/>
      <c r="P223" s="8"/>
      <c r="Q223" s="8"/>
      <c r="R223" s="8"/>
      <c r="S223" s="8"/>
      <c r="T223" s="8"/>
      <c r="U223" s="8"/>
      <c r="V223" s="8"/>
      <c r="W223" s="8"/>
      <c r="X223" s="8"/>
      <c r="Y223" s="8"/>
      <c r="Z223" s="8"/>
      <c r="AA223" s="8"/>
    </row>
    <row r="224" spans="1:27" ht="15">
      <c r="A224" s="15"/>
      <c r="B224" s="36"/>
      <c r="C224" s="15"/>
      <c r="D224" s="37"/>
      <c r="E224" s="15"/>
      <c r="F224" s="15"/>
      <c r="G224" s="15"/>
      <c r="H224" s="15"/>
      <c r="I224" s="15"/>
      <c r="J224" s="39"/>
      <c r="K224" s="40"/>
      <c r="L224" s="8"/>
      <c r="M224" s="8"/>
      <c r="N224" s="8"/>
      <c r="O224" s="8"/>
      <c r="P224" s="8"/>
      <c r="Q224" s="8"/>
      <c r="R224" s="8"/>
      <c r="S224" s="8"/>
      <c r="T224" s="8"/>
      <c r="U224" s="8"/>
      <c r="V224" s="8"/>
      <c r="W224" s="8"/>
      <c r="X224" s="8"/>
      <c r="Y224" s="8"/>
      <c r="Z224" s="8"/>
      <c r="AA224" s="8"/>
    </row>
    <row r="225" spans="1:27" ht="15">
      <c r="A225" s="15"/>
      <c r="B225" s="36"/>
      <c r="C225" s="15"/>
      <c r="D225" s="37"/>
      <c r="E225" s="15"/>
      <c r="F225" s="15"/>
      <c r="G225" s="15"/>
      <c r="H225" s="15"/>
      <c r="I225" s="15"/>
      <c r="J225" s="39"/>
      <c r="K225" s="40"/>
      <c r="L225" s="8"/>
      <c r="M225" s="8"/>
      <c r="N225" s="8"/>
      <c r="O225" s="8"/>
      <c r="P225" s="8"/>
      <c r="Q225" s="8"/>
      <c r="R225" s="8"/>
      <c r="S225" s="8"/>
      <c r="T225" s="8"/>
      <c r="U225" s="8"/>
      <c r="V225" s="8"/>
      <c r="W225" s="8"/>
      <c r="X225" s="8"/>
      <c r="Y225" s="8"/>
      <c r="Z225" s="8"/>
      <c r="AA225" s="8"/>
    </row>
    <row r="226" spans="1:27" ht="15">
      <c r="A226" s="15"/>
      <c r="B226" s="36"/>
      <c r="C226" s="15"/>
      <c r="D226" s="37"/>
      <c r="E226" s="15"/>
      <c r="F226" s="15"/>
      <c r="G226" s="15"/>
      <c r="H226" s="15"/>
      <c r="I226" s="15"/>
      <c r="J226" s="39"/>
      <c r="K226" s="40"/>
      <c r="L226" s="8"/>
      <c r="M226" s="8"/>
      <c r="N226" s="8"/>
      <c r="O226" s="8"/>
      <c r="P226" s="8"/>
      <c r="Q226" s="8"/>
      <c r="R226" s="8"/>
      <c r="S226" s="8"/>
      <c r="T226" s="8"/>
      <c r="U226" s="8"/>
      <c r="V226" s="8"/>
      <c r="W226" s="8"/>
      <c r="X226" s="8"/>
      <c r="Y226" s="8"/>
      <c r="Z226" s="8"/>
      <c r="AA226" s="8"/>
    </row>
    <row r="227" spans="1:27" ht="15">
      <c r="A227" s="15"/>
      <c r="B227" s="36"/>
      <c r="C227" s="15"/>
      <c r="D227" s="37"/>
      <c r="E227" s="15"/>
      <c r="F227" s="15"/>
      <c r="G227" s="15"/>
      <c r="H227" s="15"/>
      <c r="I227" s="15"/>
      <c r="J227" s="39"/>
      <c r="K227" s="40"/>
      <c r="L227" s="8"/>
      <c r="M227" s="8"/>
      <c r="N227" s="8"/>
      <c r="O227" s="8"/>
      <c r="P227" s="8"/>
      <c r="Q227" s="8"/>
      <c r="R227" s="8"/>
      <c r="S227" s="8"/>
      <c r="T227" s="8"/>
      <c r="U227" s="8"/>
      <c r="V227" s="8"/>
      <c r="W227" s="8"/>
      <c r="X227" s="8"/>
      <c r="Y227" s="8"/>
      <c r="Z227" s="8"/>
      <c r="AA227" s="8"/>
    </row>
    <row r="228" spans="1:27" ht="15">
      <c r="A228" s="15"/>
      <c r="B228" s="36"/>
      <c r="C228" s="15"/>
      <c r="D228" s="37"/>
      <c r="E228" s="15"/>
      <c r="F228" s="15"/>
      <c r="G228" s="15"/>
      <c r="H228" s="15"/>
      <c r="I228" s="15"/>
      <c r="J228" s="39"/>
      <c r="K228" s="40"/>
      <c r="L228" s="8"/>
      <c r="M228" s="8"/>
      <c r="N228" s="8"/>
      <c r="O228" s="8"/>
      <c r="P228" s="8"/>
      <c r="Q228" s="8"/>
      <c r="R228" s="8"/>
      <c r="S228" s="8"/>
      <c r="T228" s="8"/>
      <c r="U228" s="8"/>
      <c r="V228" s="8"/>
      <c r="W228" s="8"/>
      <c r="X228" s="8"/>
      <c r="Y228" s="8"/>
      <c r="Z228" s="8"/>
      <c r="AA228" s="8"/>
    </row>
    <row r="229" spans="1:27" ht="15">
      <c r="A229" s="15"/>
      <c r="B229" s="36"/>
      <c r="C229" s="15"/>
      <c r="D229" s="37"/>
      <c r="E229" s="15"/>
      <c r="F229" s="15"/>
      <c r="G229" s="15"/>
      <c r="H229" s="15"/>
      <c r="I229" s="15"/>
      <c r="J229" s="39"/>
      <c r="K229" s="40"/>
      <c r="L229" s="8"/>
      <c r="M229" s="8"/>
      <c r="N229" s="8"/>
      <c r="O229" s="8"/>
      <c r="P229" s="8"/>
      <c r="Q229" s="8"/>
      <c r="R229" s="8"/>
      <c r="S229" s="8"/>
      <c r="T229" s="8"/>
      <c r="U229" s="8"/>
      <c r="V229" s="8"/>
      <c r="W229" s="8"/>
      <c r="X229" s="8"/>
      <c r="Y229" s="8"/>
      <c r="Z229" s="8"/>
      <c r="AA229" s="8"/>
    </row>
    <row r="230" spans="1:27" ht="15">
      <c r="A230" s="15"/>
      <c r="B230" s="36"/>
      <c r="C230" s="15"/>
      <c r="D230" s="37"/>
      <c r="E230" s="15"/>
      <c r="F230" s="15"/>
      <c r="G230" s="15"/>
      <c r="H230" s="15"/>
      <c r="I230" s="15"/>
      <c r="J230" s="39"/>
      <c r="K230" s="40"/>
      <c r="L230" s="8"/>
      <c r="M230" s="8"/>
      <c r="N230" s="8"/>
      <c r="O230" s="8"/>
      <c r="P230" s="8"/>
      <c r="Q230" s="8"/>
      <c r="R230" s="8"/>
      <c r="S230" s="8"/>
      <c r="T230" s="8"/>
      <c r="U230" s="8"/>
      <c r="V230" s="8"/>
      <c r="W230" s="8"/>
      <c r="X230" s="8"/>
      <c r="Y230" s="8"/>
      <c r="Z230" s="8"/>
      <c r="AA230" s="8"/>
    </row>
    <row r="231" spans="1:27" ht="15">
      <c r="A231" s="15"/>
      <c r="B231" s="36"/>
      <c r="C231" s="15"/>
      <c r="D231" s="37"/>
      <c r="E231" s="15"/>
      <c r="F231" s="15"/>
      <c r="G231" s="15"/>
      <c r="H231" s="15"/>
      <c r="I231" s="15"/>
      <c r="J231" s="39"/>
      <c r="K231" s="40"/>
      <c r="L231" s="8"/>
      <c r="M231" s="8"/>
      <c r="N231" s="8"/>
      <c r="O231" s="8"/>
      <c r="P231" s="8"/>
      <c r="Q231" s="8"/>
      <c r="R231" s="8"/>
      <c r="S231" s="8"/>
      <c r="T231" s="8"/>
      <c r="U231" s="8"/>
      <c r="V231" s="8"/>
      <c r="W231" s="8"/>
      <c r="X231" s="8"/>
      <c r="Y231" s="8"/>
      <c r="Z231" s="8"/>
      <c r="AA231" s="8"/>
    </row>
    <row r="232" spans="1:27" ht="15">
      <c r="A232" s="15"/>
      <c r="B232" s="36"/>
      <c r="C232" s="15"/>
      <c r="D232" s="37"/>
      <c r="E232" s="15"/>
      <c r="F232" s="15"/>
      <c r="G232" s="15"/>
      <c r="H232" s="15"/>
      <c r="I232" s="15"/>
      <c r="J232" s="39"/>
      <c r="K232" s="40"/>
      <c r="L232" s="8"/>
      <c r="M232" s="8"/>
      <c r="N232" s="8"/>
      <c r="O232" s="8"/>
      <c r="P232" s="8"/>
      <c r="Q232" s="8"/>
      <c r="R232" s="8"/>
      <c r="S232" s="8"/>
      <c r="T232" s="8"/>
      <c r="U232" s="8"/>
      <c r="V232" s="8"/>
      <c r="W232" s="8"/>
      <c r="X232" s="8"/>
      <c r="Y232" s="8"/>
      <c r="Z232" s="8"/>
      <c r="AA232" s="8"/>
    </row>
    <row r="233" spans="1:27" ht="15">
      <c r="A233" s="15"/>
      <c r="B233" s="36"/>
      <c r="C233" s="15"/>
      <c r="D233" s="37"/>
      <c r="E233" s="15"/>
      <c r="F233" s="15"/>
      <c r="G233" s="15"/>
      <c r="H233" s="15"/>
      <c r="I233" s="15"/>
      <c r="J233" s="39"/>
      <c r="K233" s="40"/>
      <c r="L233" s="8"/>
      <c r="M233" s="8"/>
      <c r="N233" s="8"/>
      <c r="O233" s="8"/>
      <c r="P233" s="8"/>
      <c r="Q233" s="8"/>
      <c r="R233" s="8"/>
      <c r="S233" s="8"/>
      <c r="T233" s="8"/>
      <c r="U233" s="8"/>
      <c r="V233" s="8"/>
      <c r="W233" s="8"/>
      <c r="X233" s="8"/>
      <c r="Y233" s="8"/>
      <c r="Z233" s="8"/>
      <c r="AA233" s="8"/>
    </row>
    <row r="234" spans="1:27" ht="15">
      <c r="A234" s="15"/>
      <c r="B234" s="36"/>
      <c r="C234" s="15"/>
      <c r="D234" s="37"/>
      <c r="E234" s="15"/>
      <c r="F234" s="15"/>
      <c r="G234" s="15"/>
      <c r="H234" s="15"/>
      <c r="I234" s="15"/>
      <c r="J234" s="39"/>
      <c r="K234" s="40"/>
      <c r="L234" s="8"/>
      <c r="M234" s="8"/>
      <c r="N234" s="8"/>
      <c r="O234" s="8"/>
      <c r="P234" s="8"/>
      <c r="Q234" s="8"/>
      <c r="R234" s="8"/>
      <c r="S234" s="8"/>
      <c r="T234" s="8"/>
      <c r="U234" s="8"/>
      <c r="V234" s="8"/>
      <c r="W234" s="8"/>
      <c r="X234" s="8"/>
      <c r="Y234" s="8"/>
      <c r="Z234" s="8"/>
      <c r="AA234" s="8"/>
    </row>
    <row r="235" spans="1:27" ht="15">
      <c r="A235" s="15"/>
      <c r="B235" s="36"/>
      <c r="C235" s="15"/>
      <c r="D235" s="37"/>
      <c r="E235" s="15"/>
      <c r="F235" s="15"/>
      <c r="G235" s="15"/>
      <c r="H235" s="15"/>
      <c r="I235" s="15"/>
      <c r="J235" s="39"/>
      <c r="K235" s="40"/>
      <c r="L235" s="8"/>
      <c r="M235" s="8"/>
      <c r="N235" s="8"/>
      <c r="O235" s="8"/>
      <c r="P235" s="8"/>
      <c r="Q235" s="8"/>
      <c r="R235" s="8"/>
      <c r="S235" s="8"/>
      <c r="T235" s="8"/>
      <c r="U235" s="8"/>
      <c r="V235" s="8"/>
      <c r="W235" s="8"/>
      <c r="X235" s="8"/>
      <c r="Y235" s="8"/>
      <c r="Z235" s="8"/>
      <c r="AA235" s="8"/>
    </row>
    <row r="236" spans="1:27" ht="15">
      <c r="A236" s="15"/>
      <c r="B236" s="36"/>
      <c r="C236" s="15"/>
      <c r="D236" s="37"/>
      <c r="E236" s="15"/>
      <c r="F236" s="15"/>
      <c r="G236" s="15"/>
      <c r="H236" s="15"/>
      <c r="I236" s="15"/>
      <c r="J236" s="39"/>
      <c r="K236" s="40"/>
      <c r="L236" s="8"/>
      <c r="M236" s="8"/>
      <c r="N236" s="8"/>
      <c r="O236" s="8"/>
      <c r="P236" s="8"/>
      <c r="Q236" s="8"/>
      <c r="R236" s="8"/>
      <c r="S236" s="8"/>
      <c r="T236" s="8"/>
      <c r="U236" s="8"/>
      <c r="V236" s="8"/>
      <c r="W236" s="8"/>
      <c r="X236" s="8"/>
      <c r="Y236" s="8"/>
      <c r="Z236" s="8"/>
      <c r="AA236" s="8"/>
    </row>
    <row r="237" spans="1:27" ht="15">
      <c r="A237" s="15"/>
      <c r="B237" s="36"/>
      <c r="C237" s="15"/>
      <c r="D237" s="37"/>
      <c r="E237" s="15"/>
      <c r="F237" s="15"/>
      <c r="G237" s="15"/>
      <c r="H237" s="15"/>
      <c r="I237" s="15"/>
      <c r="J237" s="39"/>
      <c r="K237" s="40"/>
      <c r="L237" s="8"/>
      <c r="M237" s="8"/>
      <c r="N237" s="8"/>
      <c r="O237" s="8"/>
      <c r="P237" s="8"/>
      <c r="Q237" s="8"/>
      <c r="R237" s="8"/>
      <c r="S237" s="8"/>
      <c r="T237" s="8"/>
      <c r="U237" s="8"/>
      <c r="V237" s="8"/>
      <c r="W237" s="8"/>
      <c r="X237" s="8"/>
      <c r="Y237" s="8"/>
      <c r="Z237" s="8"/>
      <c r="AA237" s="8"/>
    </row>
    <row r="238" spans="1:27" ht="15">
      <c r="A238" s="15"/>
      <c r="B238" s="36"/>
      <c r="C238" s="15"/>
      <c r="D238" s="37"/>
      <c r="E238" s="15"/>
      <c r="F238" s="15"/>
      <c r="G238" s="15"/>
      <c r="H238" s="15"/>
      <c r="I238" s="15"/>
      <c r="J238" s="39"/>
      <c r="K238" s="40"/>
      <c r="L238" s="8"/>
      <c r="M238" s="8"/>
      <c r="N238" s="8"/>
      <c r="O238" s="8"/>
      <c r="P238" s="8"/>
      <c r="Q238" s="8"/>
      <c r="R238" s="8"/>
      <c r="S238" s="8"/>
      <c r="T238" s="8"/>
      <c r="U238" s="8"/>
      <c r="V238" s="8"/>
      <c r="W238" s="8"/>
      <c r="X238" s="8"/>
      <c r="Y238" s="8"/>
      <c r="Z238" s="8"/>
      <c r="AA238" s="8"/>
    </row>
    <row r="239" spans="1:27" ht="15">
      <c r="A239" s="15"/>
      <c r="B239" s="36"/>
      <c r="C239" s="15"/>
      <c r="D239" s="37"/>
      <c r="E239" s="15"/>
      <c r="F239" s="15"/>
      <c r="G239" s="15"/>
      <c r="H239" s="15"/>
      <c r="I239" s="15"/>
      <c r="J239" s="39"/>
      <c r="K239" s="40"/>
      <c r="L239" s="8"/>
      <c r="M239" s="8"/>
      <c r="N239" s="8"/>
      <c r="O239" s="8"/>
      <c r="P239" s="8"/>
      <c r="Q239" s="8"/>
      <c r="R239" s="8"/>
      <c r="S239" s="8"/>
      <c r="T239" s="8"/>
      <c r="U239" s="8"/>
      <c r="V239" s="8"/>
      <c r="W239" s="8"/>
      <c r="X239" s="8"/>
      <c r="Y239" s="8"/>
      <c r="Z239" s="8"/>
      <c r="AA239" s="8"/>
    </row>
    <row r="240" spans="1:27" ht="15">
      <c r="A240" s="15"/>
      <c r="B240" s="36"/>
      <c r="C240" s="15"/>
      <c r="D240" s="37"/>
      <c r="E240" s="15"/>
      <c r="F240" s="15"/>
      <c r="G240" s="15"/>
      <c r="H240" s="15"/>
      <c r="I240" s="15"/>
      <c r="J240" s="39"/>
      <c r="K240" s="40"/>
      <c r="L240" s="8"/>
      <c r="M240" s="8"/>
      <c r="N240" s="8"/>
      <c r="O240" s="8"/>
      <c r="P240" s="8"/>
      <c r="Q240" s="8"/>
      <c r="R240" s="8"/>
      <c r="S240" s="8"/>
      <c r="T240" s="8"/>
      <c r="U240" s="8"/>
      <c r="V240" s="8"/>
      <c r="W240" s="8"/>
      <c r="X240" s="8"/>
      <c r="Y240" s="8"/>
      <c r="Z240" s="8"/>
      <c r="AA240" s="8"/>
    </row>
    <row r="241" spans="1:27" ht="15">
      <c r="A241" s="15"/>
      <c r="B241" s="36"/>
      <c r="C241" s="15"/>
      <c r="D241" s="37"/>
      <c r="E241" s="15"/>
      <c r="F241" s="15"/>
      <c r="G241" s="15"/>
      <c r="H241" s="15"/>
      <c r="I241" s="15"/>
      <c r="J241" s="39"/>
      <c r="K241" s="40"/>
      <c r="L241" s="8"/>
      <c r="M241" s="8"/>
      <c r="N241" s="8"/>
      <c r="O241" s="8"/>
      <c r="P241" s="8"/>
      <c r="Q241" s="8"/>
      <c r="R241" s="8"/>
      <c r="S241" s="8"/>
      <c r="T241" s="8"/>
      <c r="U241" s="8"/>
      <c r="V241" s="8"/>
      <c r="W241" s="8"/>
      <c r="X241" s="8"/>
      <c r="Y241" s="8"/>
      <c r="Z241" s="8"/>
      <c r="AA241" s="8"/>
    </row>
    <row r="242" spans="1:27" ht="15">
      <c r="A242" s="15"/>
      <c r="B242" s="36"/>
      <c r="C242" s="15"/>
      <c r="D242" s="37"/>
      <c r="E242" s="15"/>
      <c r="F242" s="15"/>
      <c r="G242" s="15"/>
      <c r="H242" s="15"/>
      <c r="I242" s="15"/>
      <c r="J242" s="39"/>
      <c r="K242" s="40"/>
      <c r="L242" s="8"/>
      <c r="M242" s="8"/>
      <c r="N242" s="8"/>
      <c r="O242" s="8"/>
      <c r="P242" s="8"/>
      <c r="Q242" s="8"/>
      <c r="R242" s="8"/>
      <c r="S242" s="8"/>
      <c r="T242" s="8"/>
      <c r="U242" s="8"/>
      <c r="V242" s="8"/>
      <c r="W242" s="8"/>
      <c r="X242" s="8"/>
      <c r="Y242" s="8"/>
      <c r="Z242" s="8"/>
      <c r="AA242" s="8"/>
    </row>
    <row r="243" spans="1:27" ht="15">
      <c r="A243" s="15"/>
      <c r="B243" s="36"/>
      <c r="C243" s="15"/>
      <c r="D243" s="37"/>
      <c r="E243" s="15"/>
      <c r="F243" s="15"/>
      <c r="G243" s="15"/>
      <c r="H243" s="15"/>
      <c r="I243" s="15"/>
      <c r="J243" s="39"/>
      <c r="K243" s="40"/>
      <c r="L243" s="8"/>
      <c r="M243" s="8"/>
      <c r="N243" s="8"/>
      <c r="O243" s="8"/>
      <c r="P243" s="8"/>
      <c r="Q243" s="8"/>
      <c r="R243" s="8"/>
      <c r="S243" s="8"/>
      <c r="T243" s="8"/>
      <c r="U243" s="8"/>
      <c r="V243" s="8"/>
      <c r="W243" s="8"/>
      <c r="X243" s="8"/>
      <c r="Y243" s="8"/>
      <c r="Z243" s="8"/>
      <c r="AA243" s="8"/>
    </row>
    <row r="244" spans="1:27" ht="15">
      <c r="A244" s="15"/>
      <c r="B244" s="36"/>
      <c r="C244" s="15"/>
      <c r="D244" s="37"/>
      <c r="E244" s="15"/>
      <c r="F244" s="15"/>
      <c r="G244" s="15"/>
      <c r="H244" s="15"/>
      <c r="I244" s="15"/>
      <c r="J244" s="39"/>
      <c r="K244" s="40"/>
      <c r="L244" s="8"/>
      <c r="M244" s="8"/>
      <c r="N244" s="8"/>
      <c r="O244" s="8"/>
      <c r="P244" s="8"/>
      <c r="Q244" s="8"/>
      <c r="R244" s="8"/>
      <c r="S244" s="8"/>
      <c r="T244" s="8"/>
      <c r="U244" s="8"/>
      <c r="V244" s="8"/>
      <c r="W244" s="8"/>
      <c r="X244" s="8"/>
      <c r="Y244" s="8"/>
      <c r="Z244" s="8"/>
      <c r="AA244" s="8"/>
    </row>
    <row r="245" spans="1:27" ht="15">
      <c r="A245" s="15"/>
      <c r="B245" s="36"/>
      <c r="C245" s="15"/>
      <c r="D245" s="37"/>
      <c r="E245" s="15"/>
      <c r="F245" s="15"/>
      <c r="G245" s="15"/>
      <c r="H245" s="15"/>
      <c r="I245" s="15"/>
      <c r="J245" s="39"/>
      <c r="K245" s="40"/>
      <c r="L245" s="8"/>
      <c r="M245" s="8"/>
      <c r="N245" s="8"/>
      <c r="O245" s="8"/>
      <c r="P245" s="8"/>
      <c r="Q245" s="8"/>
      <c r="R245" s="8"/>
      <c r="S245" s="8"/>
      <c r="T245" s="8"/>
      <c r="U245" s="8"/>
      <c r="V245" s="8"/>
      <c r="W245" s="8"/>
      <c r="X245" s="8"/>
      <c r="Y245" s="8"/>
      <c r="Z245" s="8"/>
      <c r="AA245" s="8"/>
    </row>
    <row r="246" spans="1:27" ht="15">
      <c r="A246" s="15"/>
      <c r="B246" s="36"/>
      <c r="C246" s="15"/>
      <c r="D246" s="37"/>
      <c r="E246" s="15"/>
      <c r="F246" s="15"/>
      <c r="G246" s="15"/>
      <c r="H246" s="15"/>
      <c r="I246" s="15"/>
      <c r="J246" s="39"/>
      <c r="K246" s="40"/>
      <c r="L246" s="8"/>
      <c r="M246" s="8"/>
      <c r="N246" s="8"/>
      <c r="O246" s="8"/>
      <c r="P246" s="8"/>
      <c r="Q246" s="8"/>
      <c r="R246" s="8"/>
      <c r="S246" s="8"/>
      <c r="T246" s="8"/>
      <c r="U246" s="8"/>
      <c r="V246" s="8"/>
      <c r="W246" s="8"/>
      <c r="X246" s="8"/>
      <c r="Y246" s="8"/>
      <c r="Z246" s="8"/>
      <c r="AA246" s="8"/>
    </row>
    <row r="247" spans="1:27" ht="15">
      <c r="A247" s="15"/>
      <c r="B247" s="36"/>
      <c r="C247" s="15"/>
      <c r="D247" s="37"/>
      <c r="E247" s="15"/>
      <c r="F247" s="15"/>
      <c r="G247" s="15"/>
      <c r="H247" s="15"/>
      <c r="I247" s="15"/>
      <c r="J247" s="39"/>
      <c r="K247" s="40"/>
      <c r="L247" s="8"/>
      <c r="M247" s="8"/>
      <c r="N247" s="8"/>
      <c r="O247" s="8"/>
      <c r="P247" s="8"/>
      <c r="Q247" s="8"/>
      <c r="R247" s="8"/>
      <c r="S247" s="8"/>
      <c r="T247" s="8"/>
      <c r="U247" s="8"/>
      <c r="V247" s="8"/>
      <c r="W247" s="8"/>
      <c r="X247" s="8"/>
      <c r="Y247" s="8"/>
      <c r="Z247" s="8"/>
      <c r="AA247" s="8"/>
    </row>
    <row r="248" spans="1:27" ht="15">
      <c r="A248" s="15"/>
      <c r="B248" s="36"/>
      <c r="C248" s="15"/>
      <c r="D248" s="37"/>
      <c r="E248" s="15"/>
      <c r="F248" s="15"/>
      <c r="G248" s="15"/>
      <c r="H248" s="15"/>
      <c r="I248" s="15"/>
      <c r="J248" s="39"/>
      <c r="K248" s="40"/>
      <c r="L248" s="8"/>
      <c r="M248" s="8"/>
      <c r="N248" s="8"/>
      <c r="O248" s="8"/>
      <c r="P248" s="8"/>
      <c r="Q248" s="8"/>
      <c r="R248" s="8"/>
      <c r="S248" s="8"/>
      <c r="T248" s="8"/>
      <c r="U248" s="8"/>
      <c r="V248" s="8"/>
      <c r="W248" s="8"/>
      <c r="X248" s="8"/>
      <c r="Y248" s="8"/>
      <c r="Z248" s="8"/>
      <c r="AA248" s="8"/>
    </row>
    <row r="249" spans="1:27" ht="15">
      <c r="A249" s="15"/>
      <c r="B249" s="36"/>
      <c r="C249" s="15"/>
      <c r="D249" s="37"/>
      <c r="E249" s="15"/>
      <c r="F249" s="15"/>
      <c r="G249" s="15"/>
      <c r="H249" s="15"/>
      <c r="I249" s="15"/>
      <c r="J249" s="39"/>
      <c r="K249" s="40"/>
      <c r="L249" s="8"/>
      <c r="M249" s="8"/>
      <c r="N249" s="8"/>
      <c r="O249" s="8"/>
      <c r="P249" s="8"/>
      <c r="Q249" s="8"/>
      <c r="R249" s="8"/>
      <c r="S249" s="8"/>
      <c r="T249" s="8"/>
      <c r="U249" s="8"/>
      <c r="V249" s="8"/>
      <c r="W249" s="8"/>
      <c r="X249" s="8"/>
      <c r="Y249" s="8"/>
      <c r="Z249" s="8"/>
      <c r="AA249" s="8"/>
    </row>
    <row r="250" spans="1:27" ht="15">
      <c r="A250" s="15"/>
      <c r="B250" s="36"/>
      <c r="C250" s="15"/>
      <c r="D250" s="37"/>
      <c r="E250" s="15"/>
      <c r="F250" s="15"/>
      <c r="G250" s="15"/>
      <c r="H250" s="15"/>
      <c r="I250" s="15"/>
      <c r="J250" s="39"/>
      <c r="K250" s="40"/>
      <c r="L250" s="8"/>
      <c r="M250" s="8"/>
      <c r="N250" s="8"/>
      <c r="O250" s="8"/>
      <c r="P250" s="8"/>
      <c r="Q250" s="8"/>
      <c r="R250" s="8"/>
      <c r="S250" s="8"/>
      <c r="T250" s="8"/>
      <c r="U250" s="8"/>
      <c r="V250" s="8"/>
      <c r="W250" s="8"/>
      <c r="X250" s="8"/>
      <c r="Y250" s="8"/>
      <c r="Z250" s="8"/>
      <c r="AA250" s="8"/>
    </row>
    <row r="251" spans="1:27" ht="15">
      <c r="A251" s="15"/>
      <c r="B251" s="36"/>
      <c r="C251" s="15"/>
      <c r="D251" s="37"/>
      <c r="E251" s="15"/>
      <c r="F251" s="15"/>
      <c r="G251" s="15"/>
      <c r="H251" s="15"/>
      <c r="I251" s="15"/>
      <c r="J251" s="39"/>
      <c r="K251" s="40"/>
      <c r="L251" s="8"/>
      <c r="M251" s="8"/>
      <c r="N251" s="8"/>
      <c r="O251" s="8"/>
      <c r="P251" s="8"/>
      <c r="Q251" s="8"/>
      <c r="R251" s="8"/>
      <c r="S251" s="8"/>
      <c r="T251" s="8"/>
      <c r="U251" s="8"/>
      <c r="V251" s="8"/>
      <c r="W251" s="8"/>
      <c r="X251" s="8"/>
      <c r="Y251" s="8"/>
      <c r="Z251" s="8"/>
      <c r="AA251" s="8"/>
    </row>
    <row r="252" spans="1:27" ht="15">
      <c r="A252" s="15"/>
      <c r="B252" s="36"/>
      <c r="C252" s="15"/>
      <c r="D252" s="37"/>
      <c r="E252" s="15"/>
      <c r="F252" s="15"/>
      <c r="G252" s="15"/>
      <c r="H252" s="15"/>
      <c r="I252" s="15"/>
      <c r="J252" s="39"/>
      <c r="K252" s="40"/>
      <c r="L252" s="8"/>
      <c r="M252" s="8"/>
      <c r="N252" s="8"/>
      <c r="O252" s="8"/>
      <c r="P252" s="8"/>
      <c r="Q252" s="8"/>
      <c r="R252" s="8"/>
      <c r="S252" s="8"/>
      <c r="T252" s="8"/>
      <c r="U252" s="8"/>
      <c r="V252" s="8"/>
      <c r="W252" s="8"/>
      <c r="X252" s="8"/>
      <c r="Y252" s="8"/>
      <c r="Z252" s="8"/>
      <c r="AA252" s="8"/>
    </row>
    <row r="253" spans="1:27" ht="15">
      <c r="A253" s="15"/>
      <c r="B253" s="36"/>
      <c r="C253" s="15"/>
      <c r="D253" s="37"/>
      <c r="E253" s="15"/>
      <c r="F253" s="15"/>
      <c r="G253" s="15"/>
      <c r="H253" s="15"/>
      <c r="I253" s="15"/>
      <c r="J253" s="39"/>
      <c r="K253" s="40"/>
      <c r="L253" s="8"/>
      <c r="M253" s="8"/>
      <c r="N253" s="8"/>
      <c r="O253" s="8"/>
      <c r="P253" s="8"/>
      <c r="Q253" s="8"/>
      <c r="R253" s="8"/>
      <c r="S253" s="8"/>
      <c r="T253" s="8"/>
      <c r="U253" s="8"/>
      <c r="V253" s="8"/>
      <c r="W253" s="8"/>
      <c r="X253" s="8"/>
      <c r="Y253" s="8"/>
      <c r="Z253" s="8"/>
      <c r="AA253" s="8"/>
    </row>
    <row r="254" spans="1:27" ht="15">
      <c r="A254" s="15"/>
      <c r="B254" s="36"/>
      <c r="C254" s="15"/>
      <c r="D254" s="37"/>
      <c r="E254" s="15"/>
      <c r="F254" s="15"/>
      <c r="G254" s="15"/>
      <c r="H254" s="15"/>
      <c r="I254" s="15"/>
      <c r="J254" s="39"/>
      <c r="K254" s="40"/>
      <c r="L254" s="8"/>
      <c r="M254" s="8"/>
      <c r="N254" s="8"/>
      <c r="O254" s="8"/>
      <c r="P254" s="8"/>
      <c r="Q254" s="8"/>
      <c r="R254" s="8"/>
      <c r="S254" s="8"/>
      <c r="T254" s="8"/>
      <c r="U254" s="8"/>
      <c r="V254" s="8"/>
      <c r="W254" s="8"/>
      <c r="X254" s="8"/>
      <c r="Y254" s="8"/>
      <c r="Z254" s="8"/>
      <c r="AA254" s="8"/>
    </row>
    <row r="255" spans="1:27" ht="15">
      <c r="A255" s="15"/>
      <c r="B255" s="36"/>
      <c r="C255" s="15"/>
      <c r="D255" s="37"/>
      <c r="E255" s="15"/>
      <c r="F255" s="15"/>
      <c r="G255" s="15"/>
      <c r="H255" s="15"/>
      <c r="I255" s="15"/>
      <c r="J255" s="39"/>
      <c r="K255" s="40"/>
      <c r="L255" s="8"/>
      <c r="M255" s="8"/>
      <c r="N255" s="8"/>
      <c r="O255" s="8"/>
      <c r="P255" s="8"/>
      <c r="Q255" s="8"/>
      <c r="R255" s="8"/>
      <c r="S255" s="8"/>
      <c r="T255" s="8"/>
      <c r="U255" s="8"/>
      <c r="V255" s="8"/>
      <c r="W255" s="8"/>
      <c r="X255" s="8"/>
      <c r="Y255" s="8"/>
      <c r="Z255" s="8"/>
      <c r="AA255" s="8"/>
    </row>
    <row r="256" spans="1:27" ht="15">
      <c r="A256" s="15"/>
      <c r="B256" s="36"/>
      <c r="C256" s="15"/>
      <c r="D256" s="37"/>
      <c r="E256" s="15"/>
      <c r="F256" s="15"/>
      <c r="G256" s="15"/>
      <c r="H256" s="15"/>
      <c r="I256" s="15"/>
      <c r="J256" s="39"/>
      <c r="K256" s="40"/>
      <c r="L256" s="8"/>
      <c r="M256" s="8"/>
      <c r="N256" s="8"/>
      <c r="O256" s="8"/>
      <c r="P256" s="8"/>
      <c r="Q256" s="8"/>
      <c r="R256" s="8"/>
      <c r="S256" s="8"/>
      <c r="T256" s="8"/>
      <c r="U256" s="8"/>
      <c r="V256" s="8"/>
      <c r="W256" s="8"/>
      <c r="X256" s="8"/>
      <c r="Y256" s="8"/>
      <c r="Z256" s="8"/>
      <c r="AA256" s="8"/>
    </row>
    <row r="257" spans="1:27" ht="15">
      <c r="A257" s="15"/>
      <c r="B257" s="36"/>
      <c r="C257" s="15"/>
      <c r="D257" s="37"/>
      <c r="E257" s="15"/>
      <c r="F257" s="15"/>
      <c r="G257" s="15"/>
      <c r="H257" s="15"/>
      <c r="I257" s="15"/>
      <c r="J257" s="39"/>
      <c r="K257" s="40"/>
      <c r="L257" s="8"/>
      <c r="M257" s="8"/>
      <c r="N257" s="8"/>
      <c r="O257" s="8"/>
      <c r="P257" s="8"/>
      <c r="Q257" s="8"/>
      <c r="R257" s="8"/>
      <c r="S257" s="8"/>
      <c r="T257" s="8"/>
      <c r="U257" s="8"/>
      <c r="V257" s="8"/>
      <c r="W257" s="8"/>
      <c r="X257" s="8"/>
      <c r="Y257" s="8"/>
      <c r="Z257" s="8"/>
      <c r="AA257" s="8"/>
    </row>
    <row r="258" spans="1:27" ht="15">
      <c r="A258" s="15"/>
      <c r="B258" s="36"/>
      <c r="C258" s="15"/>
      <c r="D258" s="37"/>
      <c r="E258" s="15"/>
      <c r="F258" s="15"/>
      <c r="G258" s="15"/>
      <c r="H258" s="15"/>
      <c r="I258" s="15"/>
      <c r="J258" s="39"/>
      <c r="K258" s="40"/>
      <c r="L258" s="8"/>
      <c r="M258" s="8"/>
      <c r="N258" s="8"/>
      <c r="O258" s="8"/>
      <c r="P258" s="8"/>
      <c r="Q258" s="8"/>
      <c r="R258" s="8"/>
      <c r="S258" s="8"/>
      <c r="T258" s="8"/>
      <c r="U258" s="8"/>
      <c r="V258" s="8"/>
      <c r="W258" s="8"/>
      <c r="X258" s="8"/>
      <c r="Y258" s="8"/>
      <c r="Z258" s="8"/>
      <c r="AA258" s="8"/>
    </row>
    <row r="259" spans="1:27" ht="15">
      <c r="A259" s="15"/>
      <c r="B259" s="36"/>
      <c r="C259" s="15"/>
      <c r="D259" s="37"/>
      <c r="E259" s="15"/>
      <c r="F259" s="15"/>
      <c r="G259" s="15"/>
      <c r="H259" s="15"/>
      <c r="I259" s="15"/>
      <c r="J259" s="39"/>
      <c r="K259" s="40"/>
      <c r="L259" s="8"/>
      <c r="M259" s="8"/>
      <c r="N259" s="8"/>
      <c r="O259" s="8"/>
      <c r="P259" s="8"/>
      <c r="Q259" s="8"/>
      <c r="R259" s="8"/>
      <c r="S259" s="8"/>
      <c r="T259" s="8"/>
      <c r="U259" s="8"/>
      <c r="V259" s="8"/>
      <c r="W259" s="8"/>
      <c r="X259" s="8"/>
      <c r="Y259" s="8"/>
      <c r="Z259" s="8"/>
      <c r="AA259" s="8"/>
    </row>
    <row r="260" spans="1:27" ht="15">
      <c r="A260" s="15"/>
      <c r="B260" s="36"/>
      <c r="C260" s="15"/>
      <c r="D260" s="37"/>
      <c r="E260" s="15"/>
      <c r="F260" s="15"/>
      <c r="G260" s="15"/>
      <c r="H260" s="15"/>
      <c r="I260" s="15"/>
      <c r="J260" s="39"/>
      <c r="K260" s="40"/>
      <c r="L260" s="8"/>
      <c r="M260" s="8"/>
      <c r="N260" s="8"/>
      <c r="O260" s="8"/>
      <c r="P260" s="8"/>
      <c r="Q260" s="8"/>
      <c r="R260" s="8"/>
      <c r="S260" s="8"/>
      <c r="T260" s="8"/>
      <c r="U260" s="8"/>
      <c r="V260" s="8"/>
      <c r="W260" s="8"/>
      <c r="X260" s="8"/>
      <c r="Y260" s="8"/>
      <c r="Z260" s="8"/>
      <c r="AA260" s="8"/>
    </row>
    <row r="261" spans="1:27" ht="15">
      <c r="A261" s="15"/>
      <c r="B261" s="36"/>
      <c r="C261" s="15"/>
      <c r="D261" s="37"/>
      <c r="E261" s="15"/>
      <c r="F261" s="15"/>
      <c r="G261" s="15"/>
      <c r="H261" s="15"/>
      <c r="I261" s="15"/>
      <c r="J261" s="39"/>
      <c r="K261" s="40"/>
      <c r="L261" s="8"/>
      <c r="M261" s="8"/>
      <c r="N261" s="8"/>
      <c r="O261" s="8"/>
      <c r="P261" s="8"/>
      <c r="Q261" s="8"/>
      <c r="R261" s="8"/>
      <c r="S261" s="8"/>
      <c r="T261" s="8"/>
      <c r="U261" s="8"/>
      <c r="V261" s="8"/>
      <c r="W261" s="8"/>
      <c r="X261" s="8"/>
      <c r="Y261" s="8"/>
      <c r="Z261" s="8"/>
      <c r="AA261" s="8"/>
    </row>
    <row r="262" spans="1:27" ht="15">
      <c r="A262" s="15"/>
      <c r="B262" s="36"/>
      <c r="C262" s="15"/>
      <c r="D262" s="37"/>
      <c r="E262" s="15"/>
      <c r="F262" s="15"/>
      <c r="G262" s="15"/>
      <c r="H262" s="15"/>
      <c r="I262" s="15"/>
      <c r="J262" s="39"/>
      <c r="K262" s="40"/>
      <c r="L262" s="8"/>
      <c r="M262" s="8"/>
      <c r="N262" s="8"/>
      <c r="O262" s="8"/>
      <c r="P262" s="8"/>
      <c r="Q262" s="8"/>
      <c r="R262" s="8"/>
      <c r="S262" s="8"/>
      <c r="T262" s="8"/>
      <c r="U262" s="8"/>
      <c r="V262" s="8"/>
      <c r="W262" s="8"/>
      <c r="X262" s="8"/>
      <c r="Y262" s="8"/>
      <c r="Z262" s="8"/>
      <c r="AA262" s="8"/>
    </row>
    <row r="263" spans="1:27" ht="15">
      <c r="A263" s="15"/>
      <c r="B263" s="36"/>
      <c r="C263" s="15"/>
      <c r="D263" s="37"/>
      <c r="E263" s="15"/>
      <c r="F263" s="15"/>
      <c r="G263" s="15"/>
      <c r="H263" s="15"/>
      <c r="I263" s="15"/>
      <c r="J263" s="39"/>
      <c r="K263" s="40"/>
      <c r="L263" s="8"/>
      <c r="M263" s="8"/>
      <c r="N263" s="8"/>
      <c r="O263" s="8"/>
      <c r="P263" s="8"/>
      <c r="Q263" s="8"/>
      <c r="R263" s="8"/>
      <c r="S263" s="8"/>
      <c r="T263" s="8"/>
      <c r="U263" s="8"/>
      <c r="V263" s="8"/>
      <c r="W263" s="8"/>
      <c r="X263" s="8"/>
      <c r="Y263" s="8"/>
      <c r="Z263" s="8"/>
      <c r="AA263" s="8"/>
    </row>
    <row r="264" spans="1:27" ht="15">
      <c r="A264" s="15"/>
      <c r="B264" s="36"/>
      <c r="C264" s="15"/>
      <c r="D264" s="37"/>
      <c r="E264" s="15"/>
      <c r="F264" s="15"/>
      <c r="G264" s="15"/>
      <c r="H264" s="15"/>
      <c r="I264" s="15"/>
      <c r="J264" s="39"/>
      <c r="K264" s="40"/>
      <c r="L264" s="8"/>
      <c r="M264" s="8"/>
      <c r="N264" s="8"/>
      <c r="O264" s="8"/>
      <c r="P264" s="8"/>
      <c r="Q264" s="8"/>
      <c r="R264" s="8"/>
      <c r="S264" s="8"/>
      <c r="T264" s="8"/>
      <c r="U264" s="8"/>
      <c r="V264" s="8"/>
      <c r="W264" s="8"/>
      <c r="X264" s="8"/>
      <c r="Y264" s="8"/>
      <c r="Z264" s="8"/>
      <c r="AA264" s="8"/>
    </row>
    <row r="265" spans="1:27" ht="15">
      <c r="A265" s="15"/>
      <c r="B265" s="36"/>
      <c r="C265" s="15"/>
      <c r="D265" s="37"/>
      <c r="E265" s="15"/>
      <c r="F265" s="15"/>
      <c r="G265" s="15"/>
      <c r="H265" s="15"/>
      <c r="I265" s="15"/>
      <c r="J265" s="39"/>
      <c r="K265" s="40"/>
      <c r="L265" s="8"/>
      <c r="M265" s="8"/>
      <c r="N265" s="8"/>
      <c r="O265" s="8"/>
      <c r="P265" s="8"/>
      <c r="Q265" s="8"/>
      <c r="R265" s="8"/>
      <c r="S265" s="8"/>
      <c r="T265" s="8"/>
      <c r="U265" s="8"/>
      <c r="V265" s="8"/>
      <c r="W265" s="8"/>
      <c r="X265" s="8"/>
      <c r="Y265" s="8"/>
      <c r="Z265" s="8"/>
      <c r="AA265" s="8"/>
    </row>
    <row r="266" spans="1:27" ht="15">
      <c r="A266" s="15"/>
      <c r="B266" s="36"/>
      <c r="C266" s="15"/>
      <c r="D266" s="37"/>
      <c r="E266" s="15"/>
      <c r="F266" s="15"/>
      <c r="G266" s="15"/>
      <c r="H266" s="15"/>
      <c r="I266" s="15"/>
      <c r="J266" s="39"/>
      <c r="K266" s="40"/>
      <c r="L266" s="8"/>
      <c r="M266" s="8"/>
      <c r="N266" s="8"/>
      <c r="O266" s="8"/>
      <c r="P266" s="8"/>
      <c r="Q266" s="8"/>
      <c r="R266" s="8"/>
      <c r="S266" s="8"/>
      <c r="T266" s="8"/>
      <c r="U266" s="8"/>
      <c r="V266" s="8"/>
      <c r="W266" s="8"/>
      <c r="X266" s="8"/>
      <c r="Y266" s="8"/>
      <c r="Z266" s="8"/>
      <c r="AA266" s="8"/>
    </row>
    <row r="267" spans="1:27" ht="15">
      <c r="A267" s="15"/>
      <c r="B267" s="36"/>
      <c r="C267" s="15"/>
      <c r="D267" s="37"/>
      <c r="E267" s="15"/>
      <c r="F267" s="15"/>
      <c r="G267" s="15"/>
      <c r="H267" s="15"/>
      <c r="I267" s="15"/>
      <c r="J267" s="39"/>
      <c r="K267" s="40"/>
      <c r="L267" s="8"/>
      <c r="M267" s="8"/>
      <c r="N267" s="8"/>
      <c r="O267" s="8"/>
      <c r="P267" s="8"/>
      <c r="Q267" s="8"/>
      <c r="R267" s="8"/>
      <c r="S267" s="8"/>
      <c r="T267" s="8"/>
      <c r="U267" s="8"/>
      <c r="V267" s="8"/>
      <c r="W267" s="8"/>
      <c r="X267" s="8"/>
      <c r="Y267" s="8"/>
      <c r="Z267" s="8"/>
      <c r="AA267" s="8"/>
    </row>
    <row r="268" spans="1:27" ht="15">
      <c r="A268" s="15"/>
      <c r="B268" s="36"/>
      <c r="C268" s="15"/>
      <c r="D268" s="37"/>
      <c r="E268" s="15"/>
      <c r="F268" s="15"/>
      <c r="G268" s="15"/>
      <c r="H268" s="15"/>
      <c r="I268" s="15"/>
      <c r="J268" s="39"/>
      <c r="K268" s="40"/>
      <c r="L268" s="8"/>
      <c r="M268" s="8"/>
      <c r="N268" s="8"/>
      <c r="O268" s="8"/>
      <c r="P268" s="8"/>
      <c r="Q268" s="8"/>
      <c r="R268" s="8"/>
      <c r="S268" s="8"/>
      <c r="T268" s="8"/>
      <c r="U268" s="8"/>
      <c r="V268" s="8"/>
      <c r="W268" s="8"/>
      <c r="X268" s="8"/>
      <c r="Y268" s="8"/>
      <c r="Z268" s="8"/>
      <c r="AA268" s="8"/>
    </row>
    <row r="269" spans="1:27" ht="15">
      <c r="A269" s="15"/>
      <c r="B269" s="36"/>
      <c r="C269" s="15"/>
      <c r="D269" s="37"/>
      <c r="E269" s="15"/>
      <c r="F269" s="15"/>
      <c r="G269" s="15"/>
      <c r="H269" s="15"/>
      <c r="I269" s="15"/>
      <c r="J269" s="39"/>
      <c r="K269" s="40"/>
      <c r="L269" s="8"/>
      <c r="M269" s="8"/>
      <c r="N269" s="8"/>
      <c r="O269" s="8"/>
      <c r="P269" s="8"/>
      <c r="Q269" s="8"/>
      <c r="R269" s="8"/>
      <c r="S269" s="8"/>
      <c r="T269" s="8"/>
      <c r="U269" s="8"/>
      <c r="V269" s="8"/>
      <c r="W269" s="8"/>
      <c r="X269" s="8"/>
      <c r="Y269" s="8"/>
      <c r="Z269" s="8"/>
      <c r="AA269" s="8"/>
    </row>
    <row r="270" spans="1:27" ht="15">
      <c r="A270" s="15"/>
      <c r="B270" s="36"/>
      <c r="C270" s="15"/>
      <c r="D270" s="37"/>
      <c r="E270" s="15"/>
      <c r="F270" s="15"/>
      <c r="G270" s="15"/>
      <c r="H270" s="15"/>
      <c r="I270" s="15"/>
      <c r="J270" s="39"/>
      <c r="K270" s="40"/>
      <c r="L270" s="8"/>
      <c r="M270" s="8"/>
      <c r="N270" s="8"/>
      <c r="O270" s="8"/>
      <c r="P270" s="8"/>
      <c r="Q270" s="8"/>
      <c r="R270" s="8"/>
      <c r="S270" s="8"/>
      <c r="T270" s="8"/>
      <c r="U270" s="8"/>
      <c r="V270" s="8"/>
      <c r="W270" s="8"/>
      <c r="X270" s="8"/>
      <c r="Y270" s="8"/>
      <c r="Z270" s="8"/>
      <c r="AA270" s="8"/>
    </row>
    <row r="271" spans="1:27" ht="15">
      <c r="A271" s="15"/>
      <c r="B271" s="36"/>
      <c r="C271" s="15"/>
      <c r="D271" s="37"/>
      <c r="E271" s="15"/>
      <c r="F271" s="15"/>
      <c r="G271" s="15"/>
      <c r="H271" s="15"/>
      <c r="I271" s="15"/>
      <c r="J271" s="39"/>
      <c r="K271" s="40"/>
      <c r="L271" s="8"/>
      <c r="M271" s="8"/>
      <c r="N271" s="8"/>
      <c r="O271" s="8"/>
      <c r="P271" s="8"/>
      <c r="Q271" s="8"/>
      <c r="R271" s="8"/>
      <c r="S271" s="8"/>
      <c r="T271" s="8"/>
      <c r="U271" s="8"/>
      <c r="V271" s="8"/>
      <c r="W271" s="8"/>
      <c r="X271" s="8"/>
      <c r="Y271" s="8"/>
      <c r="Z271" s="8"/>
      <c r="AA271" s="8"/>
    </row>
    <row r="272" spans="1:27" ht="15">
      <c r="A272" s="15"/>
      <c r="B272" s="36"/>
      <c r="C272" s="15"/>
      <c r="D272" s="37"/>
      <c r="E272" s="15"/>
      <c r="F272" s="15"/>
      <c r="G272" s="15"/>
      <c r="H272" s="15"/>
      <c r="I272" s="15"/>
      <c r="J272" s="39"/>
      <c r="K272" s="40"/>
      <c r="L272" s="8"/>
      <c r="M272" s="8"/>
      <c r="N272" s="8"/>
      <c r="O272" s="8"/>
      <c r="P272" s="8"/>
      <c r="Q272" s="8"/>
      <c r="R272" s="8"/>
      <c r="S272" s="8"/>
      <c r="T272" s="8"/>
      <c r="U272" s="8"/>
      <c r="V272" s="8"/>
      <c r="W272" s="8"/>
      <c r="X272" s="8"/>
      <c r="Y272" s="8"/>
      <c r="Z272" s="8"/>
      <c r="AA272" s="8"/>
    </row>
    <row r="273" spans="1:27" ht="15">
      <c r="A273" s="15"/>
      <c r="B273" s="36"/>
      <c r="C273" s="15"/>
      <c r="D273" s="37"/>
      <c r="E273" s="15"/>
      <c r="F273" s="15"/>
      <c r="G273" s="15"/>
      <c r="H273" s="15"/>
      <c r="I273" s="15"/>
      <c r="J273" s="39"/>
      <c r="K273" s="40"/>
      <c r="L273" s="8"/>
      <c r="M273" s="8"/>
      <c r="N273" s="8"/>
      <c r="O273" s="8"/>
      <c r="P273" s="8"/>
      <c r="Q273" s="8"/>
      <c r="R273" s="8"/>
      <c r="S273" s="8"/>
      <c r="T273" s="8"/>
      <c r="U273" s="8"/>
      <c r="V273" s="8"/>
      <c r="W273" s="8"/>
      <c r="X273" s="8"/>
      <c r="Y273" s="8"/>
      <c r="Z273" s="8"/>
      <c r="AA273" s="8"/>
    </row>
    <row r="274" spans="1:27" ht="15">
      <c r="A274" s="15"/>
      <c r="B274" s="36"/>
      <c r="C274" s="15"/>
      <c r="D274" s="37"/>
      <c r="E274" s="15"/>
      <c r="F274" s="15"/>
      <c r="G274" s="15"/>
      <c r="H274" s="15"/>
      <c r="I274" s="15"/>
      <c r="J274" s="39"/>
      <c r="K274" s="40"/>
      <c r="L274" s="8"/>
      <c r="M274" s="8"/>
      <c r="N274" s="8"/>
      <c r="O274" s="8"/>
      <c r="P274" s="8"/>
      <c r="Q274" s="8"/>
      <c r="R274" s="8"/>
      <c r="S274" s="8"/>
      <c r="T274" s="8"/>
      <c r="U274" s="8"/>
      <c r="V274" s="8"/>
      <c r="W274" s="8"/>
      <c r="X274" s="8"/>
      <c r="Y274" s="8"/>
      <c r="Z274" s="8"/>
      <c r="AA274" s="8"/>
    </row>
    <row r="275" spans="1:27" ht="15">
      <c r="A275" s="15"/>
      <c r="B275" s="36"/>
      <c r="C275" s="15"/>
      <c r="D275" s="37"/>
      <c r="E275" s="15"/>
      <c r="F275" s="15"/>
      <c r="G275" s="15"/>
      <c r="H275" s="15"/>
      <c r="I275" s="15"/>
      <c r="J275" s="39"/>
      <c r="K275" s="40"/>
      <c r="L275" s="8"/>
      <c r="M275" s="8"/>
      <c r="N275" s="8"/>
      <c r="O275" s="8"/>
      <c r="P275" s="8"/>
      <c r="Q275" s="8"/>
      <c r="R275" s="8"/>
      <c r="S275" s="8"/>
      <c r="T275" s="8"/>
      <c r="U275" s="8"/>
      <c r="V275" s="8"/>
      <c r="W275" s="8"/>
      <c r="X275" s="8"/>
      <c r="Y275" s="8"/>
      <c r="Z275" s="8"/>
      <c r="AA275" s="8"/>
    </row>
    <row r="276" spans="1:27" ht="15">
      <c r="A276" s="15"/>
      <c r="B276" s="36"/>
      <c r="C276" s="15"/>
      <c r="D276" s="37"/>
      <c r="E276" s="15"/>
      <c r="F276" s="15"/>
      <c r="G276" s="15"/>
      <c r="H276" s="15"/>
      <c r="I276" s="15"/>
      <c r="J276" s="39"/>
      <c r="K276" s="40"/>
      <c r="L276" s="8"/>
      <c r="M276" s="8"/>
      <c r="N276" s="8"/>
      <c r="O276" s="8"/>
      <c r="P276" s="8"/>
      <c r="Q276" s="8"/>
      <c r="R276" s="8"/>
      <c r="S276" s="8"/>
      <c r="T276" s="8"/>
      <c r="U276" s="8"/>
      <c r="V276" s="8"/>
      <c r="W276" s="8"/>
      <c r="X276" s="8"/>
      <c r="Y276" s="8"/>
      <c r="Z276" s="8"/>
      <c r="AA276" s="8"/>
    </row>
    <row r="277" spans="1:27" ht="15">
      <c r="A277" s="15"/>
      <c r="B277" s="36"/>
      <c r="C277" s="15"/>
      <c r="D277" s="37"/>
      <c r="E277" s="15"/>
      <c r="F277" s="15"/>
      <c r="G277" s="15"/>
      <c r="H277" s="15"/>
      <c r="I277" s="15"/>
      <c r="J277" s="39"/>
      <c r="K277" s="40"/>
      <c r="L277" s="8"/>
      <c r="M277" s="8"/>
      <c r="N277" s="8"/>
      <c r="O277" s="8"/>
      <c r="P277" s="8"/>
      <c r="Q277" s="8"/>
      <c r="R277" s="8"/>
      <c r="S277" s="8"/>
      <c r="T277" s="8"/>
      <c r="U277" s="8"/>
      <c r="V277" s="8"/>
      <c r="W277" s="8"/>
      <c r="X277" s="8"/>
      <c r="Y277" s="8"/>
      <c r="Z277" s="8"/>
      <c r="AA277" s="8"/>
    </row>
    <row r="278" spans="1:27" ht="15">
      <c r="A278" s="15"/>
      <c r="B278" s="36"/>
      <c r="C278" s="15"/>
      <c r="D278" s="37"/>
      <c r="E278" s="15"/>
      <c r="F278" s="15"/>
      <c r="G278" s="15"/>
      <c r="H278" s="15"/>
      <c r="I278" s="15"/>
      <c r="J278" s="39"/>
      <c r="K278" s="40"/>
      <c r="L278" s="8"/>
      <c r="M278" s="8"/>
      <c r="N278" s="8"/>
      <c r="O278" s="8"/>
      <c r="P278" s="8"/>
      <c r="Q278" s="8"/>
      <c r="R278" s="8"/>
      <c r="S278" s="8"/>
      <c r="T278" s="8"/>
      <c r="U278" s="8"/>
      <c r="V278" s="8"/>
      <c r="W278" s="8"/>
      <c r="X278" s="8"/>
      <c r="Y278" s="8"/>
      <c r="Z278" s="8"/>
      <c r="AA278" s="8"/>
    </row>
    <row r="279" spans="1:27" ht="15">
      <c r="A279" s="15"/>
      <c r="B279" s="36"/>
      <c r="C279" s="15"/>
      <c r="D279" s="37"/>
      <c r="E279" s="15"/>
      <c r="F279" s="15"/>
      <c r="G279" s="15"/>
      <c r="H279" s="15"/>
      <c r="I279" s="15"/>
      <c r="J279" s="39"/>
      <c r="K279" s="40"/>
      <c r="L279" s="8"/>
      <c r="M279" s="8"/>
      <c r="N279" s="8"/>
      <c r="O279" s="8"/>
      <c r="P279" s="8"/>
      <c r="Q279" s="8"/>
      <c r="R279" s="8"/>
      <c r="S279" s="8"/>
      <c r="T279" s="8"/>
      <c r="U279" s="8"/>
      <c r="V279" s="8"/>
      <c r="W279" s="8"/>
      <c r="X279" s="8"/>
      <c r="Y279" s="8"/>
      <c r="Z279" s="8"/>
      <c r="AA279" s="8"/>
    </row>
    <row r="280" spans="1:27" ht="15">
      <c r="A280" s="15"/>
      <c r="B280" s="36"/>
      <c r="C280" s="15"/>
      <c r="D280" s="37"/>
      <c r="E280" s="15"/>
      <c r="F280" s="15"/>
      <c r="G280" s="15"/>
      <c r="H280" s="15"/>
      <c r="I280" s="15"/>
      <c r="J280" s="39"/>
      <c r="K280" s="40"/>
      <c r="L280" s="8"/>
      <c r="M280" s="8"/>
      <c r="N280" s="8"/>
      <c r="O280" s="8"/>
      <c r="P280" s="8"/>
      <c r="Q280" s="8"/>
      <c r="R280" s="8"/>
      <c r="S280" s="8"/>
      <c r="T280" s="8"/>
      <c r="U280" s="8"/>
      <c r="V280" s="8"/>
      <c r="W280" s="8"/>
      <c r="X280" s="8"/>
      <c r="Y280" s="8"/>
      <c r="Z280" s="8"/>
      <c r="AA280" s="8"/>
    </row>
    <row r="281" spans="1:27" ht="15">
      <c r="A281" s="15"/>
      <c r="B281" s="36"/>
      <c r="C281" s="15"/>
      <c r="D281" s="37"/>
      <c r="E281" s="15"/>
      <c r="F281" s="15"/>
      <c r="G281" s="15"/>
      <c r="H281" s="15"/>
      <c r="I281" s="15"/>
      <c r="J281" s="39"/>
      <c r="K281" s="40"/>
      <c r="L281" s="8"/>
      <c r="M281" s="8"/>
      <c r="N281" s="8"/>
      <c r="O281" s="8"/>
      <c r="P281" s="8"/>
      <c r="Q281" s="8"/>
      <c r="R281" s="8"/>
      <c r="S281" s="8"/>
      <c r="T281" s="8"/>
      <c r="U281" s="8"/>
      <c r="V281" s="8"/>
      <c r="W281" s="8"/>
      <c r="X281" s="8"/>
      <c r="Y281" s="8"/>
      <c r="Z281" s="8"/>
      <c r="AA281" s="8"/>
    </row>
    <row r="282" spans="1:27" ht="15">
      <c r="A282" s="15"/>
      <c r="B282" s="36"/>
      <c r="C282" s="15"/>
      <c r="D282" s="37"/>
      <c r="E282" s="15"/>
      <c r="F282" s="15"/>
      <c r="G282" s="15"/>
      <c r="H282" s="15"/>
      <c r="I282" s="15"/>
      <c r="J282" s="39"/>
      <c r="K282" s="40"/>
      <c r="L282" s="8"/>
      <c r="M282" s="8"/>
      <c r="N282" s="8"/>
      <c r="O282" s="8"/>
      <c r="P282" s="8"/>
      <c r="Q282" s="8"/>
      <c r="R282" s="8"/>
      <c r="S282" s="8"/>
      <c r="T282" s="8"/>
      <c r="U282" s="8"/>
      <c r="V282" s="8"/>
      <c r="W282" s="8"/>
      <c r="X282" s="8"/>
      <c r="Y282" s="8"/>
      <c r="Z282" s="8"/>
      <c r="AA282" s="8"/>
    </row>
    <row r="283" spans="1:27" ht="15">
      <c r="A283" s="15"/>
      <c r="B283" s="36"/>
      <c r="C283" s="15"/>
      <c r="D283" s="37"/>
      <c r="E283" s="15"/>
      <c r="F283" s="15"/>
      <c r="G283" s="15"/>
      <c r="H283" s="15"/>
      <c r="I283" s="15"/>
      <c r="J283" s="39"/>
      <c r="K283" s="40"/>
      <c r="L283" s="8"/>
      <c r="M283" s="8"/>
      <c r="N283" s="8"/>
      <c r="O283" s="8"/>
      <c r="P283" s="8"/>
      <c r="Q283" s="8"/>
      <c r="R283" s="8"/>
      <c r="S283" s="8"/>
      <c r="T283" s="8"/>
      <c r="U283" s="8"/>
      <c r="V283" s="8"/>
      <c r="W283" s="8"/>
      <c r="X283" s="8"/>
      <c r="Y283" s="8"/>
      <c r="Z283" s="8"/>
      <c r="AA283" s="8"/>
    </row>
    <row r="284" spans="1:27" ht="15">
      <c r="A284" s="15"/>
      <c r="B284" s="36"/>
      <c r="C284" s="15"/>
      <c r="D284" s="37"/>
      <c r="E284" s="15"/>
      <c r="F284" s="15"/>
      <c r="G284" s="15"/>
      <c r="H284" s="15"/>
      <c r="I284" s="15"/>
      <c r="J284" s="39"/>
      <c r="K284" s="40"/>
      <c r="L284" s="8"/>
      <c r="M284" s="8"/>
      <c r="N284" s="8"/>
      <c r="O284" s="8"/>
      <c r="P284" s="8"/>
      <c r="Q284" s="8"/>
      <c r="R284" s="8"/>
      <c r="S284" s="8"/>
      <c r="T284" s="8"/>
      <c r="U284" s="8"/>
      <c r="V284" s="8"/>
      <c r="W284" s="8"/>
      <c r="X284" s="8"/>
      <c r="Y284" s="8"/>
      <c r="Z284" s="8"/>
      <c r="AA284" s="8"/>
    </row>
    <row r="285" spans="1:27" ht="15">
      <c r="A285" s="15"/>
      <c r="B285" s="36"/>
      <c r="C285" s="15"/>
      <c r="D285" s="37"/>
      <c r="E285" s="15"/>
      <c r="F285" s="15"/>
      <c r="G285" s="15"/>
      <c r="H285" s="15"/>
      <c r="I285" s="15"/>
      <c r="J285" s="39"/>
      <c r="K285" s="40"/>
      <c r="L285" s="8"/>
      <c r="M285" s="8"/>
      <c r="N285" s="8"/>
      <c r="O285" s="8"/>
      <c r="P285" s="8"/>
      <c r="Q285" s="8"/>
      <c r="R285" s="8"/>
      <c r="S285" s="8"/>
      <c r="T285" s="8"/>
      <c r="U285" s="8"/>
      <c r="V285" s="8"/>
      <c r="W285" s="8"/>
      <c r="X285" s="8"/>
      <c r="Y285" s="8"/>
      <c r="Z285" s="8"/>
      <c r="AA285" s="8"/>
    </row>
    <row r="286" spans="1:27" ht="15">
      <c r="A286" s="15"/>
      <c r="B286" s="36"/>
      <c r="C286" s="15"/>
      <c r="D286" s="37"/>
      <c r="E286" s="15"/>
      <c r="F286" s="15"/>
      <c r="G286" s="15"/>
      <c r="H286" s="15"/>
      <c r="I286" s="15"/>
      <c r="J286" s="39"/>
      <c r="K286" s="40"/>
      <c r="L286" s="8"/>
      <c r="M286" s="8"/>
      <c r="N286" s="8"/>
      <c r="O286" s="8"/>
      <c r="P286" s="8"/>
      <c r="Q286" s="8"/>
      <c r="R286" s="8"/>
      <c r="S286" s="8"/>
      <c r="T286" s="8"/>
      <c r="U286" s="8"/>
      <c r="V286" s="8"/>
      <c r="W286" s="8"/>
      <c r="X286" s="8"/>
      <c r="Y286" s="8"/>
      <c r="Z286" s="8"/>
      <c r="AA286" s="8"/>
    </row>
    <row r="287" spans="1:27" ht="15">
      <c r="A287" s="15"/>
      <c r="B287" s="36"/>
      <c r="C287" s="15"/>
      <c r="D287" s="37"/>
      <c r="E287" s="15"/>
      <c r="F287" s="15"/>
      <c r="G287" s="15"/>
      <c r="H287" s="15"/>
      <c r="I287" s="15"/>
      <c r="J287" s="39"/>
      <c r="K287" s="40"/>
      <c r="L287" s="8"/>
      <c r="M287" s="8"/>
      <c r="N287" s="8"/>
      <c r="O287" s="8"/>
      <c r="P287" s="8"/>
      <c r="Q287" s="8"/>
      <c r="R287" s="8"/>
      <c r="S287" s="8"/>
      <c r="T287" s="8"/>
      <c r="U287" s="8"/>
      <c r="V287" s="8"/>
      <c r="W287" s="8"/>
      <c r="X287" s="8"/>
      <c r="Y287" s="8"/>
      <c r="Z287" s="8"/>
      <c r="AA287" s="8"/>
    </row>
    <row r="288" spans="1:27" ht="15">
      <c r="A288" s="15"/>
      <c r="B288" s="36"/>
      <c r="C288" s="15"/>
      <c r="D288" s="37"/>
      <c r="E288" s="15"/>
      <c r="F288" s="15"/>
      <c r="G288" s="15"/>
      <c r="H288" s="15"/>
      <c r="I288" s="15"/>
      <c r="J288" s="39"/>
      <c r="K288" s="40"/>
      <c r="L288" s="8"/>
      <c r="M288" s="8"/>
      <c r="N288" s="8"/>
      <c r="O288" s="8"/>
      <c r="P288" s="8"/>
      <c r="Q288" s="8"/>
      <c r="R288" s="8"/>
      <c r="S288" s="8"/>
      <c r="T288" s="8"/>
      <c r="U288" s="8"/>
      <c r="V288" s="8"/>
      <c r="W288" s="8"/>
      <c r="X288" s="8"/>
      <c r="Y288" s="8"/>
      <c r="Z288" s="8"/>
      <c r="AA288" s="8"/>
    </row>
    <row r="289" spans="1:27" ht="15">
      <c r="A289" s="15"/>
      <c r="B289" s="36"/>
      <c r="C289" s="15"/>
      <c r="D289" s="37"/>
      <c r="E289" s="15"/>
      <c r="F289" s="15"/>
      <c r="G289" s="15"/>
      <c r="H289" s="15"/>
      <c r="I289" s="15"/>
      <c r="J289" s="39"/>
      <c r="K289" s="40"/>
      <c r="L289" s="8"/>
      <c r="M289" s="8"/>
      <c r="N289" s="8"/>
      <c r="O289" s="8"/>
      <c r="P289" s="8"/>
      <c r="Q289" s="8"/>
      <c r="R289" s="8"/>
      <c r="S289" s="8"/>
      <c r="T289" s="8"/>
      <c r="U289" s="8"/>
      <c r="V289" s="8"/>
      <c r="W289" s="8"/>
      <c r="X289" s="8"/>
      <c r="Y289" s="8"/>
      <c r="Z289" s="8"/>
      <c r="AA289" s="8"/>
    </row>
    <row r="290" spans="1:27" ht="15">
      <c r="A290" s="15"/>
      <c r="B290" s="36"/>
      <c r="C290" s="15"/>
      <c r="D290" s="37"/>
      <c r="E290" s="15"/>
      <c r="F290" s="15"/>
      <c r="G290" s="15"/>
      <c r="H290" s="15"/>
      <c r="I290" s="15"/>
      <c r="J290" s="39"/>
      <c r="K290" s="40"/>
      <c r="L290" s="8"/>
      <c r="M290" s="8"/>
      <c r="N290" s="8"/>
      <c r="O290" s="8"/>
      <c r="P290" s="8"/>
      <c r="Q290" s="8"/>
      <c r="R290" s="8"/>
      <c r="S290" s="8"/>
      <c r="T290" s="8"/>
      <c r="U290" s="8"/>
      <c r="V290" s="8"/>
      <c r="W290" s="8"/>
      <c r="X290" s="8"/>
      <c r="Y290" s="8"/>
      <c r="Z290" s="8"/>
      <c r="AA290" s="8"/>
    </row>
    <row r="291" spans="1:27" ht="15">
      <c r="A291" s="15"/>
      <c r="B291" s="36"/>
      <c r="C291" s="15"/>
      <c r="D291" s="37"/>
      <c r="E291" s="15"/>
      <c r="F291" s="15"/>
      <c r="G291" s="15"/>
      <c r="H291" s="15"/>
      <c r="I291" s="15"/>
      <c r="J291" s="39"/>
      <c r="K291" s="40"/>
      <c r="L291" s="8"/>
      <c r="M291" s="8"/>
      <c r="N291" s="8"/>
      <c r="O291" s="8"/>
      <c r="P291" s="8"/>
      <c r="Q291" s="8"/>
      <c r="R291" s="8"/>
      <c r="S291" s="8"/>
      <c r="T291" s="8"/>
      <c r="U291" s="8"/>
      <c r="V291" s="8"/>
      <c r="W291" s="8"/>
      <c r="X291" s="8"/>
      <c r="Y291" s="8"/>
      <c r="Z291" s="8"/>
      <c r="AA291" s="8"/>
    </row>
    <row r="292" spans="1:27" ht="15">
      <c r="A292" s="15"/>
      <c r="B292" s="36"/>
      <c r="C292" s="15"/>
      <c r="D292" s="37"/>
      <c r="E292" s="15"/>
      <c r="F292" s="15"/>
      <c r="G292" s="15"/>
      <c r="H292" s="15"/>
      <c r="I292" s="15"/>
      <c r="J292" s="39"/>
      <c r="K292" s="40"/>
      <c r="L292" s="8"/>
      <c r="M292" s="8"/>
      <c r="N292" s="8"/>
      <c r="O292" s="8"/>
      <c r="P292" s="8"/>
      <c r="Q292" s="8"/>
      <c r="R292" s="8"/>
      <c r="S292" s="8"/>
      <c r="T292" s="8"/>
      <c r="U292" s="8"/>
      <c r="V292" s="8"/>
      <c r="W292" s="8"/>
      <c r="X292" s="8"/>
      <c r="Y292" s="8"/>
      <c r="Z292" s="8"/>
      <c r="AA292" s="8"/>
    </row>
    <row r="293" spans="1:27" ht="15">
      <c r="A293" s="15"/>
      <c r="B293" s="36"/>
      <c r="C293" s="15"/>
      <c r="D293" s="37"/>
      <c r="E293" s="15"/>
      <c r="F293" s="15"/>
      <c r="G293" s="15"/>
      <c r="H293" s="15"/>
      <c r="I293" s="15"/>
      <c r="J293" s="39"/>
      <c r="K293" s="40"/>
      <c r="L293" s="8"/>
      <c r="M293" s="8"/>
      <c r="N293" s="8"/>
      <c r="O293" s="8"/>
      <c r="P293" s="8"/>
      <c r="Q293" s="8"/>
      <c r="R293" s="8"/>
      <c r="S293" s="8"/>
      <c r="T293" s="8"/>
      <c r="U293" s="8"/>
      <c r="V293" s="8"/>
      <c r="W293" s="8"/>
      <c r="X293" s="8"/>
      <c r="Y293" s="8"/>
      <c r="Z293" s="8"/>
      <c r="AA293" s="8"/>
    </row>
    <row r="294" spans="1:27" ht="15">
      <c r="A294" s="15"/>
      <c r="B294" s="36"/>
      <c r="C294" s="15"/>
      <c r="D294" s="37"/>
      <c r="E294" s="15"/>
      <c r="F294" s="15"/>
      <c r="G294" s="15"/>
      <c r="H294" s="15"/>
      <c r="I294" s="15"/>
      <c r="J294" s="39"/>
      <c r="K294" s="40"/>
      <c r="L294" s="8"/>
      <c r="M294" s="8"/>
      <c r="N294" s="8"/>
      <c r="O294" s="8"/>
      <c r="P294" s="8"/>
      <c r="Q294" s="8"/>
      <c r="R294" s="8"/>
      <c r="S294" s="8"/>
      <c r="T294" s="8"/>
      <c r="U294" s="8"/>
      <c r="V294" s="8"/>
      <c r="W294" s="8"/>
      <c r="X294" s="8"/>
      <c r="Y294" s="8"/>
      <c r="Z294" s="8"/>
      <c r="AA294" s="8"/>
    </row>
    <row r="295" spans="1:27" ht="15">
      <c r="A295" s="15"/>
      <c r="B295" s="36"/>
      <c r="C295" s="15"/>
      <c r="D295" s="37"/>
      <c r="E295" s="15"/>
      <c r="F295" s="15"/>
      <c r="G295" s="15"/>
      <c r="H295" s="15"/>
      <c r="I295" s="15"/>
      <c r="J295" s="39"/>
      <c r="K295" s="40"/>
      <c r="L295" s="8"/>
      <c r="M295" s="8"/>
      <c r="N295" s="8"/>
      <c r="O295" s="8"/>
      <c r="P295" s="8"/>
      <c r="Q295" s="8"/>
      <c r="R295" s="8"/>
      <c r="S295" s="8"/>
      <c r="T295" s="8"/>
      <c r="U295" s="8"/>
      <c r="V295" s="8"/>
      <c r="W295" s="8"/>
      <c r="X295" s="8"/>
      <c r="Y295" s="8"/>
      <c r="Z295" s="8"/>
      <c r="AA295" s="8"/>
    </row>
    <row r="296" spans="1:27" ht="15">
      <c r="A296" s="15"/>
      <c r="B296" s="36"/>
      <c r="C296" s="15"/>
      <c r="D296" s="37"/>
      <c r="E296" s="15"/>
      <c r="F296" s="15"/>
      <c r="G296" s="15"/>
      <c r="H296" s="15"/>
      <c r="I296" s="15"/>
      <c r="J296" s="39"/>
      <c r="K296" s="40"/>
      <c r="L296" s="8"/>
      <c r="M296" s="8"/>
      <c r="N296" s="8"/>
      <c r="O296" s="8"/>
      <c r="P296" s="8"/>
      <c r="Q296" s="8"/>
      <c r="R296" s="8"/>
      <c r="S296" s="8"/>
      <c r="T296" s="8"/>
      <c r="U296" s="8"/>
      <c r="V296" s="8"/>
      <c r="W296" s="8"/>
      <c r="X296" s="8"/>
      <c r="Y296" s="8"/>
      <c r="Z296" s="8"/>
      <c r="AA296" s="8"/>
    </row>
    <row r="297" spans="1:27" ht="15">
      <c r="A297" s="15"/>
      <c r="B297" s="36"/>
      <c r="C297" s="15"/>
      <c r="D297" s="37"/>
      <c r="E297" s="15"/>
      <c r="F297" s="15"/>
      <c r="G297" s="15"/>
      <c r="H297" s="15"/>
      <c r="I297" s="15"/>
      <c r="J297" s="39"/>
      <c r="K297" s="40"/>
      <c r="L297" s="8"/>
      <c r="M297" s="8"/>
      <c r="N297" s="8"/>
      <c r="O297" s="8"/>
      <c r="P297" s="8"/>
      <c r="Q297" s="8"/>
      <c r="R297" s="8"/>
      <c r="S297" s="8"/>
      <c r="T297" s="8"/>
      <c r="U297" s="8"/>
      <c r="V297" s="8"/>
      <c r="W297" s="8"/>
      <c r="X297" s="8"/>
      <c r="Y297" s="8"/>
      <c r="Z297" s="8"/>
      <c r="AA297" s="8"/>
    </row>
    <row r="298" spans="1:27" ht="15">
      <c r="A298" s="15"/>
      <c r="B298" s="36"/>
      <c r="C298" s="15"/>
      <c r="D298" s="37"/>
      <c r="E298" s="15"/>
      <c r="F298" s="15"/>
      <c r="G298" s="15"/>
      <c r="H298" s="15"/>
      <c r="I298" s="15"/>
      <c r="J298" s="39"/>
      <c r="K298" s="40"/>
      <c r="L298" s="8"/>
      <c r="M298" s="8"/>
      <c r="N298" s="8"/>
      <c r="O298" s="8"/>
      <c r="P298" s="8"/>
      <c r="Q298" s="8"/>
      <c r="R298" s="8"/>
      <c r="S298" s="8"/>
      <c r="T298" s="8"/>
      <c r="U298" s="8"/>
      <c r="V298" s="8"/>
      <c r="W298" s="8"/>
      <c r="X298" s="8"/>
      <c r="Y298" s="8"/>
      <c r="Z298" s="8"/>
      <c r="AA298" s="8"/>
    </row>
    <row r="299" spans="1:27" ht="15">
      <c r="A299" s="15"/>
      <c r="B299" s="36"/>
      <c r="C299" s="15"/>
      <c r="D299" s="37"/>
      <c r="E299" s="15"/>
      <c r="F299" s="15"/>
      <c r="G299" s="15"/>
      <c r="H299" s="15"/>
      <c r="I299" s="15"/>
      <c r="J299" s="39"/>
      <c r="K299" s="40"/>
      <c r="L299" s="8"/>
      <c r="M299" s="8"/>
      <c r="N299" s="8"/>
      <c r="O299" s="8"/>
      <c r="P299" s="8"/>
      <c r="Q299" s="8"/>
      <c r="R299" s="8"/>
      <c r="S299" s="8"/>
      <c r="T299" s="8"/>
      <c r="U299" s="8"/>
      <c r="V299" s="8"/>
      <c r="W299" s="8"/>
      <c r="X299" s="8"/>
      <c r="Y299" s="8"/>
      <c r="Z299" s="8"/>
      <c r="AA299" s="8"/>
    </row>
    <row r="300" spans="1:27" ht="15">
      <c r="A300" s="15"/>
      <c r="B300" s="36"/>
      <c r="C300" s="15"/>
      <c r="D300" s="37"/>
      <c r="E300" s="15"/>
      <c r="F300" s="15"/>
      <c r="G300" s="15"/>
      <c r="H300" s="15"/>
      <c r="I300" s="15"/>
      <c r="J300" s="39"/>
      <c r="K300" s="40"/>
      <c r="L300" s="8"/>
      <c r="M300" s="8"/>
      <c r="N300" s="8"/>
      <c r="O300" s="8"/>
      <c r="P300" s="8"/>
      <c r="Q300" s="8"/>
      <c r="R300" s="8"/>
      <c r="S300" s="8"/>
      <c r="T300" s="8"/>
      <c r="U300" s="8"/>
      <c r="V300" s="8"/>
      <c r="W300" s="8"/>
      <c r="X300" s="8"/>
      <c r="Y300" s="8"/>
      <c r="Z300" s="8"/>
      <c r="AA300" s="8"/>
    </row>
    <row r="301" spans="1:27" ht="15">
      <c r="A301" s="15"/>
      <c r="B301" s="36"/>
      <c r="C301" s="15"/>
      <c r="D301" s="37"/>
      <c r="E301" s="15"/>
      <c r="F301" s="15"/>
      <c r="G301" s="15"/>
      <c r="H301" s="15"/>
      <c r="I301" s="15"/>
      <c r="J301" s="39"/>
      <c r="K301" s="40"/>
      <c r="L301" s="8"/>
      <c r="M301" s="8"/>
      <c r="N301" s="8"/>
      <c r="O301" s="8"/>
      <c r="P301" s="8"/>
      <c r="Q301" s="8"/>
      <c r="R301" s="8"/>
      <c r="S301" s="8"/>
      <c r="T301" s="8"/>
      <c r="U301" s="8"/>
      <c r="V301" s="8"/>
      <c r="W301" s="8"/>
      <c r="X301" s="8"/>
      <c r="Y301" s="8"/>
      <c r="Z301" s="8"/>
      <c r="AA301" s="8"/>
    </row>
    <row r="302" spans="1:27" ht="15">
      <c r="A302" s="15"/>
      <c r="B302" s="36"/>
      <c r="C302" s="15"/>
      <c r="D302" s="37"/>
      <c r="E302" s="15"/>
      <c r="F302" s="15"/>
      <c r="G302" s="15"/>
      <c r="H302" s="15"/>
      <c r="I302" s="15"/>
      <c r="J302" s="39"/>
      <c r="K302" s="40"/>
      <c r="L302" s="8"/>
      <c r="M302" s="8"/>
      <c r="N302" s="8"/>
      <c r="O302" s="8"/>
      <c r="P302" s="8"/>
      <c r="Q302" s="8"/>
      <c r="R302" s="8"/>
      <c r="S302" s="8"/>
      <c r="T302" s="8"/>
      <c r="U302" s="8"/>
      <c r="V302" s="8"/>
      <c r="W302" s="8"/>
      <c r="X302" s="8"/>
      <c r="Y302" s="8"/>
      <c r="Z302" s="8"/>
      <c r="AA302" s="8"/>
    </row>
    <row r="303" spans="1:27" ht="15">
      <c r="A303" s="15"/>
      <c r="B303" s="36"/>
      <c r="C303" s="15"/>
      <c r="D303" s="37"/>
      <c r="E303" s="15"/>
      <c r="F303" s="15"/>
      <c r="G303" s="15"/>
      <c r="H303" s="15"/>
      <c r="I303" s="15"/>
      <c r="J303" s="39"/>
      <c r="K303" s="40"/>
      <c r="L303" s="8"/>
      <c r="M303" s="8"/>
      <c r="N303" s="8"/>
      <c r="O303" s="8"/>
      <c r="P303" s="8"/>
      <c r="Q303" s="8"/>
      <c r="R303" s="8"/>
      <c r="S303" s="8"/>
      <c r="T303" s="8"/>
      <c r="U303" s="8"/>
      <c r="V303" s="8"/>
      <c r="W303" s="8"/>
      <c r="X303" s="8"/>
      <c r="Y303" s="8"/>
      <c r="Z303" s="8"/>
      <c r="AA303" s="8"/>
    </row>
    <row r="304" spans="1:27" ht="15">
      <c r="A304" s="15"/>
      <c r="B304" s="36"/>
      <c r="C304" s="15"/>
      <c r="D304" s="37"/>
      <c r="E304" s="15"/>
      <c r="F304" s="15"/>
      <c r="G304" s="15"/>
      <c r="H304" s="15"/>
      <c r="I304" s="15"/>
      <c r="J304" s="39"/>
      <c r="K304" s="40"/>
      <c r="L304" s="8"/>
      <c r="M304" s="8"/>
      <c r="N304" s="8"/>
      <c r="O304" s="8"/>
      <c r="P304" s="8"/>
      <c r="Q304" s="8"/>
      <c r="R304" s="8"/>
      <c r="S304" s="8"/>
      <c r="T304" s="8"/>
      <c r="U304" s="8"/>
      <c r="V304" s="8"/>
      <c r="W304" s="8"/>
      <c r="X304" s="8"/>
      <c r="Y304" s="8"/>
      <c r="Z304" s="8"/>
      <c r="AA304" s="8"/>
    </row>
    <row r="305" spans="1:27" ht="15">
      <c r="A305" s="15"/>
      <c r="B305" s="36"/>
      <c r="C305" s="15"/>
      <c r="D305" s="37"/>
      <c r="E305" s="15"/>
      <c r="F305" s="15"/>
      <c r="G305" s="15"/>
      <c r="H305" s="15"/>
      <c r="I305" s="15"/>
      <c r="J305" s="39"/>
      <c r="K305" s="40"/>
      <c r="L305" s="8"/>
      <c r="M305" s="8"/>
      <c r="N305" s="8"/>
      <c r="O305" s="8"/>
      <c r="P305" s="8"/>
      <c r="Q305" s="8"/>
      <c r="R305" s="8"/>
      <c r="S305" s="8"/>
      <c r="T305" s="8"/>
      <c r="U305" s="8"/>
      <c r="V305" s="8"/>
      <c r="W305" s="8"/>
      <c r="X305" s="8"/>
      <c r="Y305" s="8"/>
      <c r="Z305" s="8"/>
      <c r="AA305" s="8"/>
    </row>
    <row r="306" spans="1:27" ht="15">
      <c r="A306" s="15"/>
      <c r="B306" s="36"/>
      <c r="C306" s="15"/>
      <c r="D306" s="37"/>
      <c r="E306" s="15"/>
      <c r="F306" s="15"/>
      <c r="G306" s="15"/>
      <c r="H306" s="15"/>
      <c r="I306" s="15"/>
      <c r="J306" s="39"/>
      <c r="K306" s="40"/>
      <c r="L306" s="8"/>
      <c r="M306" s="8"/>
      <c r="N306" s="8"/>
      <c r="O306" s="8"/>
      <c r="P306" s="8"/>
      <c r="Q306" s="8"/>
      <c r="R306" s="8"/>
      <c r="S306" s="8"/>
      <c r="T306" s="8"/>
      <c r="U306" s="8"/>
      <c r="V306" s="8"/>
      <c r="W306" s="8"/>
      <c r="X306" s="8"/>
      <c r="Y306" s="8"/>
      <c r="Z306" s="8"/>
      <c r="AA306" s="8"/>
    </row>
    <row r="307" spans="1:27" ht="15">
      <c r="A307" s="15"/>
      <c r="B307" s="36"/>
      <c r="C307" s="15"/>
      <c r="D307" s="37"/>
      <c r="E307" s="15"/>
      <c r="F307" s="15"/>
      <c r="G307" s="15"/>
      <c r="H307" s="15"/>
      <c r="I307" s="15"/>
      <c r="J307" s="39"/>
      <c r="K307" s="40"/>
      <c r="L307" s="8"/>
      <c r="M307" s="8"/>
      <c r="N307" s="8"/>
      <c r="O307" s="8"/>
      <c r="P307" s="8"/>
      <c r="Q307" s="8"/>
      <c r="R307" s="8"/>
      <c r="S307" s="8"/>
      <c r="T307" s="8"/>
      <c r="U307" s="8"/>
      <c r="V307" s="8"/>
      <c r="W307" s="8"/>
      <c r="X307" s="8"/>
      <c r="Y307" s="8"/>
      <c r="Z307" s="8"/>
      <c r="AA307" s="8"/>
    </row>
    <row r="308" spans="1:27" ht="15">
      <c r="A308" s="15"/>
      <c r="B308" s="36"/>
      <c r="C308" s="15"/>
      <c r="D308" s="37"/>
      <c r="E308" s="15"/>
      <c r="F308" s="15"/>
      <c r="G308" s="15"/>
      <c r="H308" s="15"/>
      <c r="I308" s="15"/>
      <c r="J308" s="39"/>
      <c r="K308" s="40"/>
      <c r="L308" s="8"/>
      <c r="M308" s="8"/>
      <c r="N308" s="8"/>
      <c r="O308" s="8"/>
      <c r="P308" s="8"/>
      <c r="Q308" s="8"/>
      <c r="R308" s="8"/>
      <c r="S308" s="8"/>
      <c r="T308" s="8"/>
      <c r="U308" s="8"/>
      <c r="V308" s="8"/>
      <c r="W308" s="8"/>
      <c r="X308" s="8"/>
      <c r="Y308" s="8"/>
      <c r="Z308" s="8"/>
      <c r="AA308" s="8"/>
    </row>
    <row r="309" spans="1:27" ht="15">
      <c r="A309" s="15"/>
      <c r="B309" s="36"/>
      <c r="C309" s="15"/>
      <c r="D309" s="37"/>
      <c r="E309" s="15"/>
      <c r="F309" s="15"/>
      <c r="G309" s="15"/>
      <c r="H309" s="15"/>
      <c r="I309" s="15"/>
      <c r="J309" s="39"/>
      <c r="K309" s="40"/>
      <c r="L309" s="8"/>
      <c r="M309" s="8"/>
      <c r="N309" s="8"/>
      <c r="O309" s="8"/>
      <c r="P309" s="8"/>
      <c r="Q309" s="8"/>
      <c r="R309" s="8"/>
      <c r="S309" s="8"/>
      <c r="T309" s="8"/>
      <c r="U309" s="8"/>
      <c r="V309" s="8"/>
      <c r="W309" s="8"/>
      <c r="X309" s="8"/>
      <c r="Y309" s="8"/>
      <c r="Z309" s="8"/>
      <c r="AA309" s="8"/>
    </row>
    <row r="310" spans="1:27" ht="15">
      <c r="A310" s="15"/>
      <c r="B310" s="36"/>
      <c r="C310" s="15"/>
      <c r="D310" s="37"/>
      <c r="E310" s="15"/>
      <c r="F310" s="15"/>
      <c r="G310" s="15"/>
      <c r="H310" s="15"/>
      <c r="I310" s="15"/>
      <c r="J310" s="39"/>
      <c r="K310" s="40"/>
      <c r="L310" s="8"/>
      <c r="M310" s="8"/>
      <c r="N310" s="8"/>
      <c r="O310" s="8"/>
      <c r="P310" s="8"/>
      <c r="Q310" s="8"/>
      <c r="R310" s="8"/>
      <c r="S310" s="8"/>
      <c r="T310" s="8"/>
      <c r="U310" s="8"/>
      <c r="V310" s="8"/>
      <c r="W310" s="8"/>
      <c r="X310" s="8"/>
      <c r="Y310" s="8"/>
      <c r="Z310" s="8"/>
      <c r="AA310" s="8"/>
    </row>
    <row r="311" spans="1:27" ht="15">
      <c r="A311" s="15"/>
      <c r="B311" s="36"/>
      <c r="C311" s="15"/>
      <c r="D311" s="37"/>
      <c r="E311" s="15"/>
      <c r="F311" s="15"/>
      <c r="G311" s="15"/>
      <c r="H311" s="15"/>
      <c r="I311" s="15"/>
      <c r="J311" s="39"/>
      <c r="K311" s="40"/>
      <c r="L311" s="8"/>
      <c r="M311" s="8"/>
      <c r="N311" s="8"/>
      <c r="O311" s="8"/>
      <c r="P311" s="8"/>
      <c r="Q311" s="8"/>
      <c r="R311" s="8"/>
      <c r="S311" s="8"/>
      <c r="T311" s="8"/>
      <c r="U311" s="8"/>
      <c r="V311" s="8"/>
      <c r="W311" s="8"/>
      <c r="X311" s="8"/>
      <c r="Y311" s="8"/>
      <c r="Z311" s="8"/>
      <c r="AA311" s="8"/>
    </row>
    <row r="312" spans="1:27" ht="15">
      <c r="A312" s="15"/>
      <c r="B312" s="36"/>
      <c r="C312" s="15"/>
      <c r="D312" s="37"/>
      <c r="E312" s="15"/>
      <c r="F312" s="15"/>
      <c r="G312" s="15"/>
      <c r="H312" s="15"/>
      <c r="I312" s="15"/>
      <c r="J312" s="39"/>
      <c r="K312" s="40"/>
      <c r="L312" s="8"/>
      <c r="M312" s="8"/>
      <c r="N312" s="8"/>
      <c r="O312" s="8"/>
      <c r="P312" s="8"/>
      <c r="Q312" s="8"/>
      <c r="R312" s="8"/>
      <c r="S312" s="8"/>
      <c r="T312" s="8"/>
      <c r="U312" s="8"/>
      <c r="V312" s="8"/>
      <c r="W312" s="8"/>
      <c r="X312" s="8"/>
      <c r="Y312" s="8"/>
      <c r="Z312" s="8"/>
      <c r="AA312" s="8"/>
    </row>
    <row r="313" spans="1:27" ht="15">
      <c r="A313" s="15"/>
      <c r="B313" s="36"/>
      <c r="C313" s="15"/>
      <c r="D313" s="37"/>
      <c r="E313" s="15"/>
      <c r="F313" s="15"/>
      <c r="G313" s="15"/>
      <c r="H313" s="15"/>
      <c r="I313" s="15"/>
      <c r="J313" s="39"/>
      <c r="K313" s="40"/>
      <c r="L313" s="8"/>
      <c r="M313" s="8"/>
      <c r="N313" s="8"/>
      <c r="O313" s="8"/>
      <c r="P313" s="8"/>
      <c r="Q313" s="8"/>
      <c r="R313" s="8"/>
      <c r="S313" s="8"/>
      <c r="T313" s="8"/>
      <c r="U313" s="8"/>
      <c r="V313" s="8"/>
      <c r="W313" s="8"/>
      <c r="X313" s="8"/>
      <c r="Y313" s="8"/>
      <c r="Z313" s="8"/>
      <c r="AA313" s="8"/>
    </row>
    <row r="314" spans="1:27" ht="15">
      <c r="A314" s="15"/>
      <c r="B314" s="36"/>
      <c r="C314" s="15"/>
      <c r="D314" s="37"/>
      <c r="E314" s="15"/>
      <c r="F314" s="15"/>
      <c r="G314" s="15"/>
      <c r="H314" s="15"/>
      <c r="I314" s="15"/>
      <c r="J314" s="39"/>
      <c r="K314" s="40"/>
      <c r="L314" s="8"/>
      <c r="M314" s="8"/>
      <c r="N314" s="8"/>
      <c r="O314" s="8"/>
      <c r="P314" s="8"/>
      <c r="Q314" s="8"/>
      <c r="R314" s="8"/>
      <c r="S314" s="8"/>
      <c r="T314" s="8"/>
      <c r="U314" s="8"/>
      <c r="V314" s="8"/>
      <c r="W314" s="8"/>
      <c r="X314" s="8"/>
      <c r="Y314" s="8"/>
      <c r="Z314" s="8"/>
      <c r="AA314" s="8"/>
    </row>
    <row r="315" spans="1:27" ht="15">
      <c r="A315" s="15"/>
      <c r="B315" s="36"/>
      <c r="C315" s="15"/>
      <c r="D315" s="37"/>
      <c r="E315" s="15"/>
      <c r="F315" s="15"/>
      <c r="G315" s="15"/>
      <c r="H315" s="15"/>
      <c r="I315" s="15"/>
      <c r="J315" s="39"/>
      <c r="K315" s="40"/>
      <c r="L315" s="8"/>
      <c r="M315" s="8"/>
      <c r="N315" s="8"/>
      <c r="O315" s="8"/>
      <c r="P315" s="8"/>
      <c r="Q315" s="8"/>
      <c r="R315" s="8"/>
      <c r="S315" s="8"/>
      <c r="T315" s="8"/>
      <c r="U315" s="8"/>
      <c r="V315" s="8"/>
      <c r="W315" s="8"/>
      <c r="X315" s="8"/>
      <c r="Y315" s="8"/>
      <c r="Z315" s="8"/>
      <c r="AA315" s="8"/>
    </row>
    <row r="316" spans="1:27" ht="15">
      <c r="A316" s="15"/>
      <c r="B316" s="36"/>
      <c r="C316" s="15"/>
      <c r="D316" s="37"/>
      <c r="E316" s="15"/>
      <c r="F316" s="15"/>
      <c r="G316" s="15"/>
      <c r="H316" s="15"/>
      <c r="I316" s="15"/>
      <c r="J316" s="39"/>
      <c r="K316" s="40"/>
      <c r="L316" s="8"/>
      <c r="M316" s="8"/>
      <c r="N316" s="8"/>
      <c r="O316" s="8"/>
      <c r="P316" s="8"/>
      <c r="Q316" s="8"/>
      <c r="R316" s="8"/>
      <c r="S316" s="8"/>
      <c r="T316" s="8"/>
      <c r="U316" s="8"/>
      <c r="V316" s="8"/>
      <c r="W316" s="8"/>
      <c r="X316" s="8"/>
      <c r="Y316" s="8"/>
      <c r="Z316" s="8"/>
      <c r="AA316" s="8"/>
    </row>
    <row r="317" spans="1:27" ht="15">
      <c r="A317" s="15"/>
      <c r="B317" s="36"/>
      <c r="C317" s="15"/>
      <c r="D317" s="37"/>
      <c r="E317" s="15"/>
      <c r="F317" s="15"/>
      <c r="G317" s="15"/>
      <c r="H317" s="15"/>
      <c r="I317" s="15"/>
      <c r="J317" s="39"/>
      <c r="K317" s="40"/>
      <c r="L317" s="8"/>
      <c r="M317" s="8"/>
      <c r="N317" s="8"/>
      <c r="O317" s="8"/>
      <c r="P317" s="8"/>
      <c r="Q317" s="8"/>
      <c r="R317" s="8"/>
      <c r="S317" s="8"/>
      <c r="T317" s="8"/>
      <c r="U317" s="8"/>
      <c r="V317" s="8"/>
      <c r="W317" s="8"/>
      <c r="X317" s="8"/>
      <c r="Y317" s="8"/>
      <c r="Z317" s="8"/>
      <c r="AA317" s="8"/>
    </row>
    <row r="318" spans="1:27" ht="15">
      <c r="A318" s="15"/>
      <c r="B318" s="36"/>
      <c r="C318" s="15"/>
      <c r="D318" s="37"/>
      <c r="E318" s="15"/>
      <c r="F318" s="15"/>
      <c r="G318" s="15"/>
      <c r="H318" s="15"/>
      <c r="I318" s="15"/>
      <c r="J318" s="39"/>
      <c r="K318" s="40"/>
      <c r="L318" s="8"/>
      <c r="M318" s="8"/>
      <c r="N318" s="8"/>
      <c r="O318" s="8"/>
      <c r="P318" s="8"/>
      <c r="Q318" s="8"/>
      <c r="R318" s="8"/>
      <c r="S318" s="8"/>
      <c r="T318" s="8"/>
      <c r="U318" s="8"/>
      <c r="V318" s="8"/>
      <c r="W318" s="8"/>
      <c r="X318" s="8"/>
      <c r="Y318" s="8"/>
      <c r="Z318" s="8"/>
      <c r="AA318" s="8"/>
    </row>
    <row r="319" spans="1:27" ht="15">
      <c r="A319" s="15"/>
      <c r="B319" s="36"/>
      <c r="C319" s="15"/>
      <c r="D319" s="37"/>
      <c r="E319" s="15"/>
      <c r="F319" s="15"/>
      <c r="G319" s="15"/>
      <c r="H319" s="15"/>
      <c r="I319" s="15"/>
      <c r="J319" s="39"/>
      <c r="K319" s="40"/>
      <c r="L319" s="8"/>
      <c r="M319" s="8"/>
      <c r="N319" s="8"/>
      <c r="O319" s="8"/>
      <c r="P319" s="8"/>
      <c r="Q319" s="8"/>
      <c r="R319" s="8"/>
      <c r="S319" s="8"/>
      <c r="T319" s="8"/>
      <c r="U319" s="8"/>
      <c r="V319" s="8"/>
      <c r="W319" s="8"/>
      <c r="X319" s="8"/>
      <c r="Y319" s="8"/>
      <c r="Z319" s="8"/>
      <c r="AA319" s="8"/>
    </row>
    <row r="320" spans="1:27" ht="15">
      <c r="A320" s="15"/>
      <c r="B320" s="36"/>
      <c r="C320" s="15"/>
      <c r="D320" s="37"/>
      <c r="E320" s="15"/>
      <c r="F320" s="15"/>
      <c r="G320" s="15"/>
      <c r="H320" s="15"/>
      <c r="I320" s="15"/>
      <c r="J320" s="39"/>
      <c r="K320" s="40"/>
      <c r="L320" s="8"/>
      <c r="M320" s="8"/>
      <c r="N320" s="8"/>
      <c r="O320" s="8"/>
      <c r="P320" s="8"/>
      <c r="Q320" s="8"/>
      <c r="R320" s="8"/>
      <c r="S320" s="8"/>
      <c r="T320" s="8"/>
      <c r="U320" s="8"/>
      <c r="V320" s="8"/>
      <c r="W320" s="8"/>
      <c r="X320" s="8"/>
      <c r="Y320" s="8"/>
      <c r="Z320" s="8"/>
      <c r="AA320" s="8"/>
    </row>
    <row r="321" spans="1:27" ht="15">
      <c r="A321" s="15"/>
      <c r="B321" s="36"/>
      <c r="C321" s="15"/>
      <c r="D321" s="37"/>
      <c r="E321" s="15"/>
      <c r="F321" s="15"/>
      <c r="G321" s="15"/>
      <c r="H321" s="15"/>
      <c r="I321" s="15"/>
      <c r="J321" s="39"/>
      <c r="K321" s="40"/>
      <c r="L321" s="8"/>
      <c r="M321" s="8"/>
      <c r="N321" s="8"/>
      <c r="O321" s="8"/>
      <c r="P321" s="8"/>
      <c r="Q321" s="8"/>
      <c r="R321" s="8"/>
      <c r="S321" s="8"/>
      <c r="T321" s="8"/>
      <c r="U321" s="8"/>
      <c r="V321" s="8"/>
      <c r="W321" s="8"/>
      <c r="X321" s="8"/>
      <c r="Y321" s="8"/>
      <c r="Z321" s="8"/>
      <c r="AA321" s="8"/>
    </row>
    <row r="322" spans="1:27" ht="15">
      <c r="A322" s="15"/>
      <c r="B322" s="36"/>
      <c r="C322" s="15"/>
      <c r="D322" s="37"/>
      <c r="E322" s="15"/>
      <c r="F322" s="15"/>
      <c r="G322" s="15"/>
      <c r="H322" s="15"/>
      <c r="I322" s="15"/>
      <c r="J322" s="39"/>
      <c r="K322" s="40"/>
      <c r="L322" s="8"/>
      <c r="M322" s="8"/>
      <c r="N322" s="8"/>
      <c r="O322" s="8"/>
      <c r="P322" s="8"/>
      <c r="Q322" s="8"/>
      <c r="R322" s="8"/>
      <c r="S322" s="8"/>
      <c r="T322" s="8"/>
      <c r="U322" s="8"/>
      <c r="V322" s="8"/>
      <c r="W322" s="8"/>
      <c r="X322" s="8"/>
      <c r="Y322" s="8"/>
      <c r="Z322" s="8"/>
      <c r="AA322" s="8"/>
    </row>
    <row r="323" spans="1:27" ht="15">
      <c r="A323" s="15"/>
      <c r="B323" s="36"/>
      <c r="C323" s="15"/>
      <c r="D323" s="37"/>
      <c r="E323" s="15"/>
      <c r="F323" s="15"/>
      <c r="G323" s="15"/>
      <c r="H323" s="15"/>
      <c r="I323" s="15"/>
      <c r="J323" s="39"/>
      <c r="K323" s="40"/>
      <c r="L323" s="8"/>
      <c r="M323" s="8"/>
      <c r="N323" s="8"/>
      <c r="O323" s="8"/>
      <c r="P323" s="8"/>
      <c r="Q323" s="8"/>
      <c r="R323" s="8"/>
      <c r="S323" s="8"/>
      <c r="T323" s="8"/>
      <c r="U323" s="8"/>
      <c r="V323" s="8"/>
      <c r="W323" s="8"/>
      <c r="X323" s="8"/>
      <c r="Y323" s="8"/>
      <c r="Z323" s="8"/>
      <c r="AA323" s="8"/>
    </row>
    <row r="324" spans="1:27" ht="15">
      <c r="A324" s="15"/>
      <c r="B324" s="36"/>
      <c r="C324" s="15"/>
      <c r="D324" s="37"/>
      <c r="E324" s="15"/>
      <c r="F324" s="15"/>
      <c r="G324" s="15"/>
      <c r="H324" s="15"/>
      <c r="I324" s="15"/>
      <c r="J324" s="39"/>
      <c r="K324" s="40"/>
      <c r="L324" s="8"/>
      <c r="M324" s="8"/>
      <c r="N324" s="8"/>
      <c r="O324" s="8"/>
      <c r="P324" s="8"/>
      <c r="Q324" s="8"/>
      <c r="R324" s="8"/>
      <c r="S324" s="8"/>
      <c r="T324" s="8"/>
      <c r="U324" s="8"/>
      <c r="V324" s="8"/>
      <c r="W324" s="8"/>
      <c r="X324" s="8"/>
      <c r="Y324" s="8"/>
      <c r="Z324" s="8"/>
      <c r="AA324" s="8"/>
    </row>
    <row r="325" spans="1:27" ht="15">
      <c r="A325" s="15"/>
      <c r="B325" s="36"/>
      <c r="C325" s="15"/>
      <c r="D325" s="37"/>
      <c r="E325" s="15"/>
      <c r="F325" s="15"/>
      <c r="G325" s="15"/>
      <c r="H325" s="15"/>
      <c r="I325" s="15"/>
      <c r="J325" s="39"/>
      <c r="K325" s="40"/>
      <c r="L325" s="8"/>
      <c r="M325" s="8"/>
      <c r="N325" s="8"/>
      <c r="O325" s="8"/>
      <c r="P325" s="8"/>
      <c r="Q325" s="8"/>
      <c r="R325" s="8"/>
      <c r="S325" s="8"/>
      <c r="T325" s="8"/>
      <c r="U325" s="8"/>
      <c r="V325" s="8"/>
      <c r="W325" s="8"/>
      <c r="X325" s="8"/>
      <c r="Y325" s="8"/>
      <c r="Z325" s="8"/>
      <c r="AA325" s="8"/>
    </row>
    <row r="326" spans="1:27" ht="15">
      <c r="A326" s="15"/>
      <c r="B326" s="36"/>
      <c r="C326" s="15"/>
      <c r="D326" s="37"/>
      <c r="E326" s="15"/>
      <c r="F326" s="15"/>
      <c r="G326" s="15"/>
      <c r="H326" s="15"/>
      <c r="I326" s="15"/>
      <c r="J326" s="39"/>
      <c r="K326" s="40"/>
      <c r="L326" s="8"/>
      <c r="M326" s="8"/>
      <c r="N326" s="8"/>
      <c r="O326" s="8"/>
      <c r="P326" s="8"/>
      <c r="Q326" s="8"/>
      <c r="R326" s="8"/>
      <c r="S326" s="8"/>
      <c r="T326" s="8"/>
      <c r="U326" s="8"/>
      <c r="V326" s="8"/>
      <c r="W326" s="8"/>
      <c r="X326" s="8"/>
      <c r="Y326" s="8"/>
      <c r="Z326" s="8"/>
      <c r="AA326" s="8"/>
    </row>
    <row r="327" spans="1:27" ht="15">
      <c r="A327" s="15"/>
      <c r="B327" s="36"/>
      <c r="C327" s="15"/>
      <c r="D327" s="37"/>
      <c r="E327" s="15"/>
      <c r="F327" s="15"/>
      <c r="G327" s="15"/>
      <c r="H327" s="15"/>
      <c r="I327" s="15"/>
      <c r="J327" s="39"/>
      <c r="K327" s="40"/>
      <c r="L327" s="8"/>
      <c r="M327" s="8"/>
      <c r="N327" s="8"/>
      <c r="O327" s="8"/>
      <c r="P327" s="8"/>
      <c r="Q327" s="8"/>
      <c r="R327" s="8"/>
      <c r="S327" s="8"/>
      <c r="T327" s="8"/>
      <c r="U327" s="8"/>
      <c r="V327" s="8"/>
      <c r="W327" s="8"/>
      <c r="X327" s="8"/>
      <c r="Y327" s="8"/>
      <c r="Z327" s="8"/>
      <c r="AA327" s="8"/>
    </row>
    <row r="328" spans="1:27" ht="15">
      <c r="A328" s="15"/>
      <c r="B328" s="36"/>
      <c r="C328" s="15"/>
      <c r="D328" s="37"/>
      <c r="E328" s="15"/>
      <c r="F328" s="15"/>
      <c r="G328" s="15"/>
      <c r="H328" s="15"/>
      <c r="I328" s="15"/>
      <c r="J328" s="39"/>
      <c r="K328" s="40"/>
      <c r="L328" s="8"/>
      <c r="M328" s="8"/>
      <c r="N328" s="8"/>
      <c r="O328" s="8"/>
      <c r="P328" s="8"/>
      <c r="Q328" s="8"/>
      <c r="R328" s="8"/>
      <c r="S328" s="8"/>
      <c r="T328" s="8"/>
      <c r="U328" s="8"/>
      <c r="V328" s="8"/>
      <c r="W328" s="8"/>
      <c r="X328" s="8"/>
      <c r="Y328" s="8"/>
      <c r="Z328" s="8"/>
      <c r="AA328" s="8"/>
    </row>
    <row r="329" spans="1:27" ht="15">
      <c r="A329" s="15"/>
      <c r="B329" s="36"/>
      <c r="C329" s="15"/>
      <c r="D329" s="37"/>
      <c r="E329" s="15"/>
      <c r="F329" s="15"/>
      <c r="G329" s="15"/>
      <c r="H329" s="15"/>
      <c r="I329" s="15"/>
      <c r="J329" s="39"/>
      <c r="K329" s="40"/>
      <c r="L329" s="8"/>
      <c r="M329" s="8"/>
      <c r="N329" s="8"/>
      <c r="O329" s="8"/>
      <c r="P329" s="8"/>
      <c r="Q329" s="8"/>
      <c r="R329" s="8"/>
      <c r="S329" s="8"/>
      <c r="T329" s="8"/>
      <c r="U329" s="8"/>
      <c r="V329" s="8"/>
      <c r="W329" s="8"/>
      <c r="X329" s="8"/>
      <c r="Y329" s="8"/>
      <c r="Z329" s="8"/>
      <c r="AA329" s="8"/>
    </row>
    <row r="330" spans="1:27" ht="15">
      <c r="A330" s="15"/>
      <c r="B330" s="36"/>
      <c r="C330" s="15"/>
      <c r="D330" s="37"/>
      <c r="E330" s="15"/>
      <c r="F330" s="15"/>
      <c r="G330" s="15"/>
      <c r="H330" s="15"/>
      <c r="I330" s="15"/>
      <c r="J330" s="39"/>
      <c r="K330" s="40"/>
      <c r="L330" s="8"/>
      <c r="M330" s="8"/>
      <c r="N330" s="8"/>
      <c r="O330" s="8"/>
      <c r="P330" s="8"/>
      <c r="Q330" s="8"/>
      <c r="R330" s="8"/>
      <c r="S330" s="8"/>
      <c r="T330" s="8"/>
      <c r="U330" s="8"/>
      <c r="V330" s="8"/>
      <c r="W330" s="8"/>
      <c r="X330" s="8"/>
      <c r="Y330" s="8"/>
      <c r="Z330" s="8"/>
      <c r="AA330" s="8"/>
    </row>
    <row r="331" spans="1:27" ht="15">
      <c r="A331" s="15"/>
      <c r="B331" s="36"/>
      <c r="C331" s="15"/>
      <c r="D331" s="37"/>
      <c r="E331" s="15"/>
      <c r="F331" s="15"/>
      <c r="G331" s="15"/>
      <c r="H331" s="15"/>
      <c r="I331" s="15"/>
      <c r="J331" s="39"/>
      <c r="K331" s="40"/>
      <c r="L331" s="8"/>
      <c r="M331" s="8"/>
      <c r="N331" s="8"/>
      <c r="O331" s="8"/>
      <c r="P331" s="8"/>
      <c r="Q331" s="8"/>
      <c r="R331" s="8"/>
      <c r="S331" s="8"/>
      <c r="T331" s="8"/>
      <c r="U331" s="8"/>
      <c r="V331" s="8"/>
      <c r="W331" s="8"/>
      <c r="X331" s="8"/>
      <c r="Y331" s="8"/>
      <c r="Z331" s="8"/>
      <c r="AA331" s="8"/>
    </row>
    <row r="332" spans="1:27" ht="15">
      <c r="A332" s="15"/>
      <c r="B332" s="36"/>
      <c r="C332" s="15"/>
      <c r="D332" s="37"/>
      <c r="E332" s="15"/>
      <c r="F332" s="15"/>
      <c r="G332" s="15"/>
      <c r="H332" s="15"/>
      <c r="I332" s="15"/>
      <c r="J332" s="39"/>
      <c r="K332" s="40"/>
      <c r="L332" s="8"/>
      <c r="M332" s="8"/>
      <c r="N332" s="8"/>
      <c r="O332" s="8"/>
      <c r="P332" s="8"/>
      <c r="Q332" s="8"/>
      <c r="R332" s="8"/>
      <c r="S332" s="8"/>
      <c r="T332" s="8"/>
      <c r="U332" s="8"/>
      <c r="V332" s="8"/>
      <c r="W332" s="8"/>
      <c r="X332" s="8"/>
      <c r="Y332" s="8"/>
      <c r="Z332" s="8"/>
      <c r="AA332" s="8"/>
    </row>
    <row r="333" spans="1:27" ht="15">
      <c r="A333" s="15"/>
      <c r="B333" s="36"/>
      <c r="C333" s="15"/>
      <c r="D333" s="37"/>
      <c r="E333" s="15"/>
      <c r="F333" s="15"/>
      <c r="G333" s="15"/>
      <c r="H333" s="15"/>
      <c r="I333" s="15"/>
      <c r="J333" s="39"/>
      <c r="K333" s="40"/>
      <c r="L333" s="8"/>
      <c r="M333" s="8"/>
      <c r="N333" s="8"/>
      <c r="O333" s="8"/>
      <c r="P333" s="8"/>
      <c r="Q333" s="8"/>
      <c r="R333" s="8"/>
      <c r="S333" s="8"/>
      <c r="T333" s="8"/>
      <c r="U333" s="8"/>
      <c r="V333" s="8"/>
      <c r="W333" s="8"/>
      <c r="X333" s="8"/>
      <c r="Y333" s="8"/>
      <c r="Z333" s="8"/>
      <c r="AA333" s="8"/>
    </row>
    <row r="334" spans="1:27" ht="15">
      <c r="A334" s="15"/>
      <c r="B334" s="36"/>
      <c r="C334" s="15"/>
      <c r="D334" s="37"/>
      <c r="E334" s="15"/>
      <c r="F334" s="15"/>
      <c r="G334" s="15"/>
      <c r="H334" s="15"/>
      <c r="I334" s="15"/>
      <c r="J334" s="39"/>
      <c r="K334" s="40"/>
      <c r="L334" s="8"/>
      <c r="M334" s="8"/>
      <c r="N334" s="8"/>
      <c r="O334" s="8"/>
      <c r="P334" s="8"/>
      <c r="Q334" s="8"/>
      <c r="R334" s="8"/>
      <c r="S334" s="8"/>
      <c r="T334" s="8"/>
      <c r="U334" s="8"/>
      <c r="V334" s="8"/>
      <c r="W334" s="8"/>
      <c r="X334" s="8"/>
      <c r="Y334" s="8"/>
      <c r="Z334" s="8"/>
      <c r="AA334" s="8"/>
    </row>
    <row r="335" spans="1:27" ht="15">
      <c r="A335" s="15"/>
      <c r="B335" s="36"/>
      <c r="C335" s="15"/>
      <c r="D335" s="37"/>
      <c r="E335" s="15"/>
      <c r="F335" s="15"/>
      <c r="G335" s="15"/>
      <c r="H335" s="15"/>
      <c r="I335" s="15"/>
      <c r="J335" s="39"/>
      <c r="K335" s="40"/>
      <c r="L335" s="8"/>
      <c r="M335" s="8"/>
      <c r="N335" s="8"/>
      <c r="O335" s="8"/>
      <c r="P335" s="8"/>
      <c r="Q335" s="8"/>
      <c r="R335" s="8"/>
      <c r="S335" s="8"/>
      <c r="T335" s="8"/>
      <c r="U335" s="8"/>
      <c r="V335" s="8"/>
      <c r="W335" s="8"/>
      <c r="X335" s="8"/>
      <c r="Y335" s="8"/>
      <c r="Z335" s="8"/>
      <c r="AA335" s="8"/>
    </row>
    <row r="336" spans="1:27" ht="15">
      <c r="A336" s="15"/>
      <c r="B336" s="36"/>
      <c r="C336" s="15"/>
      <c r="D336" s="37"/>
      <c r="E336" s="15"/>
      <c r="F336" s="15"/>
      <c r="G336" s="15"/>
      <c r="H336" s="15"/>
      <c r="I336" s="15"/>
      <c r="J336" s="39"/>
      <c r="K336" s="40"/>
      <c r="L336" s="8"/>
      <c r="M336" s="8"/>
      <c r="N336" s="8"/>
      <c r="O336" s="8"/>
      <c r="P336" s="8"/>
      <c r="Q336" s="8"/>
      <c r="R336" s="8"/>
      <c r="S336" s="8"/>
      <c r="T336" s="8"/>
      <c r="U336" s="8"/>
      <c r="V336" s="8"/>
      <c r="W336" s="8"/>
      <c r="X336" s="8"/>
      <c r="Y336" s="8"/>
      <c r="Z336" s="8"/>
      <c r="AA336" s="8"/>
    </row>
    <row r="337" spans="1:27" ht="15">
      <c r="A337" s="15"/>
      <c r="B337" s="36"/>
      <c r="C337" s="15"/>
      <c r="D337" s="37"/>
      <c r="E337" s="15"/>
      <c r="F337" s="15"/>
      <c r="G337" s="15"/>
      <c r="H337" s="15"/>
      <c r="I337" s="15"/>
      <c r="J337" s="39"/>
      <c r="K337" s="40"/>
      <c r="L337" s="8"/>
      <c r="M337" s="8"/>
      <c r="N337" s="8"/>
      <c r="O337" s="8"/>
      <c r="P337" s="8"/>
      <c r="Q337" s="8"/>
      <c r="R337" s="8"/>
      <c r="S337" s="8"/>
      <c r="T337" s="8"/>
      <c r="U337" s="8"/>
      <c r="V337" s="8"/>
      <c r="W337" s="8"/>
      <c r="X337" s="8"/>
      <c r="Y337" s="8"/>
      <c r="Z337" s="8"/>
      <c r="AA337" s="8"/>
    </row>
    <row r="338" spans="1:27" ht="15">
      <c r="A338" s="15"/>
      <c r="B338" s="36"/>
      <c r="C338" s="15"/>
      <c r="D338" s="37"/>
      <c r="E338" s="15"/>
      <c r="F338" s="15"/>
      <c r="G338" s="15"/>
      <c r="H338" s="15"/>
      <c r="I338" s="15"/>
      <c r="J338" s="39"/>
      <c r="K338" s="40"/>
      <c r="L338" s="8"/>
      <c r="M338" s="8"/>
      <c r="N338" s="8"/>
      <c r="O338" s="8"/>
      <c r="P338" s="8"/>
      <c r="Q338" s="8"/>
      <c r="R338" s="8"/>
      <c r="S338" s="8"/>
      <c r="T338" s="8"/>
      <c r="U338" s="8"/>
      <c r="V338" s="8"/>
      <c r="W338" s="8"/>
      <c r="X338" s="8"/>
      <c r="Y338" s="8"/>
      <c r="Z338" s="8"/>
      <c r="AA338" s="8"/>
    </row>
    <row r="339" spans="1:27" ht="15">
      <c r="A339" s="15"/>
      <c r="B339" s="36"/>
      <c r="C339" s="15"/>
      <c r="D339" s="37"/>
      <c r="E339" s="15"/>
      <c r="F339" s="15"/>
      <c r="G339" s="15"/>
      <c r="H339" s="15"/>
      <c r="I339" s="15"/>
      <c r="J339" s="39"/>
      <c r="K339" s="40"/>
      <c r="L339" s="8"/>
      <c r="M339" s="8"/>
      <c r="N339" s="8"/>
      <c r="O339" s="8"/>
      <c r="P339" s="8"/>
      <c r="Q339" s="8"/>
      <c r="R339" s="8"/>
      <c r="S339" s="8"/>
      <c r="T339" s="8"/>
      <c r="U339" s="8"/>
      <c r="V339" s="8"/>
      <c r="W339" s="8"/>
      <c r="X339" s="8"/>
      <c r="Y339" s="8"/>
      <c r="Z339" s="8"/>
      <c r="AA339" s="8"/>
    </row>
    <row r="340" spans="1:27" ht="15">
      <c r="A340" s="15"/>
      <c r="B340" s="36"/>
      <c r="C340" s="15"/>
      <c r="D340" s="37"/>
      <c r="E340" s="15"/>
      <c r="F340" s="15"/>
      <c r="G340" s="15"/>
      <c r="H340" s="15"/>
      <c r="I340" s="15"/>
      <c r="J340" s="39"/>
      <c r="K340" s="40"/>
      <c r="L340" s="8"/>
      <c r="M340" s="8"/>
      <c r="N340" s="8"/>
      <c r="O340" s="8"/>
      <c r="P340" s="8"/>
      <c r="Q340" s="8"/>
      <c r="R340" s="8"/>
      <c r="S340" s="8"/>
      <c r="T340" s="8"/>
      <c r="U340" s="8"/>
      <c r="V340" s="8"/>
      <c r="W340" s="8"/>
      <c r="X340" s="8"/>
      <c r="Y340" s="8"/>
      <c r="Z340" s="8"/>
      <c r="AA340" s="8"/>
    </row>
    <row r="341" spans="1:27" ht="15">
      <c r="A341" s="15"/>
      <c r="B341" s="36"/>
      <c r="C341" s="15"/>
      <c r="D341" s="37"/>
      <c r="E341" s="15"/>
      <c r="F341" s="15"/>
      <c r="G341" s="15"/>
      <c r="H341" s="15"/>
      <c r="I341" s="15"/>
      <c r="J341" s="39"/>
      <c r="K341" s="40"/>
      <c r="L341" s="8"/>
      <c r="M341" s="8"/>
      <c r="N341" s="8"/>
      <c r="O341" s="8"/>
      <c r="P341" s="8"/>
      <c r="Q341" s="8"/>
      <c r="R341" s="8"/>
      <c r="S341" s="8"/>
      <c r="T341" s="8"/>
      <c r="U341" s="8"/>
      <c r="V341" s="8"/>
      <c r="W341" s="8"/>
      <c r="X341" s="8"/>
      <c r="Y341" s="8"/>
      <c r="Z341" s="8"/>
      <c r="AA341" s="8"/>
    </row>
    <row r="342" spans="1:27" ht="15">
      <c r="A342" s="15"/>
      <c r="B342" s="36"/>
      <c r="C342" s="15"/>
      <c r="D342" s="37"/>
      <c r="E342" s="15"/>
      <c r="F342" s="15"/>
      <c r="G342" s="15"/>
      <c r="H342" s="15"/>
      <c r="I342" s="15"/>
      <c r="J342" s="39"/>
      <c r="K342" s="40"/>
      <c r="L342" s="8"/>
      <c r="M342" s="8"/>
      <c r="N342" s="8"/>
      <c r="O342" s="8"/>
      <c r="P342" s="8"/>
      <c r="Q342" s="8"/>
      <c r="R342" s="8"/>
      <c r="S342" s="8"/>
      <c r="T342" s="8"/>
      <c r="U342" s="8"/>
      <c r="V342" s="8"/>
      <c r="W342" s="8"/>
      <c r="X342" s="8"/>
      <c r="Y342" s="8"/>
      <c r="Z342" s="8"/>
      <c r="AA342" s="8"/>
    </row>
    <row r="343" spans="1:27" ht="15">
      <c r="A343" s="15"/>
      <c r="B343" s="36"/>
      <c r="C343" s="15"/>
      <c r="D343" s="37"/>
      <c r="E343" s="15"/>
      <c r="F343" s="15"/>
      <c r="G343" s="15"/>
      <c r="H343" s="15"/>
      <c r="I343" s="15"/>
      <c r="J343" s="39"/>
      <c r="K343" s="40"/>
      <c r="L343" s="8"/>
      <c r="M343" s="8"/>
      <c r="N343" s="8"/>
      <c r="O343" s="8"/>
      <c r="P343" s="8"/>
      <c r="Q343" s="8"/>
      <c r="R343" s="8"/>
      <c r="S343" s="8"/>
      <c r="T343" s="8"/>
      <c r="U343" s="8"/>
      <c r="V343" s="8"/>
      <c r="W343" s="8"/>
      <c r="X343" s="8"/>
      <c r="Y343" s="8"/>
      <c r="Z343" s="8"/>
      <c r="AA343" s="8"/>
    </row>
    <row r="344" spans="1:27" ht="15">
      <c r="A344" s="15"/>
      <c r="B344" s="36"/>
      <c r="C344" s="15"/>
      <c r="D344" s="37"/>
      <c r="E344" s="15"/>
      <c r="F344" s="15"/>
      <c r="G344" s="15"/>
      <c r="H344" s="15"/>
      <c r="I344" s="15"/>
      <c r="J344" s="39"/>
      <c r="K344" s="40"/>
      <c r="L344" s="8"/>
      <c r="M344" s="8"/>
      <c r="N344" s="8"/>
      <c r="O344" s="8"/>
      <c r="P344" s="8"/>
      <c r="Q344" s="8"/>
      <c r="R344" s="8"/>
      <c r="S344" s="8"/>
      <c r="T344" s="8"/>
      <c r="U344" s="8"/>
      <c r="V344" s="8"/>
      <c r="W344" s="8"/>
      <c r="X344" s="8"/>
      <c r="Y344" s="8"/>
      <c r="Z344" s="8"/>
      <c r="AA344" s="8"/>
    </row>
    <row r="345" spans="1:27" ht="15">
      <c r="A345" s="15"/>
      <c r="B345" s="36"/>
      <c r="C345" s="15"/>
      <c r="D345" s="37"/>
      <c r="E345" s="15"/>
      <c r="F345" s="15"/>
      <c r="G345" s="15"/>
      <c r="H345" s="15"/>
      <c r="I345" s="15"/>
      <c r="J345" s="39"/>
      <c r="K345" s="40"/>
      <c r="L345" s="8"/>
      <c r="M345" s="8"/>
      <c r="N345" s="8"/>
      <c r="O345" s="8"/>
      <c r="P345" s="8"/>
      <c r="Q345" s="8"/>
      <c r="R345" s="8"/>
      <c r="S345" s="8"/>
      <c r="T345" s="8"/>
      <c r="U345" s="8"/>
      <c r="V345" s="8"/>
      <c r="W345" s="8"/>
      <c r="X345" s="8"/>
      <c r="Y345" s="8"/>
      <c r="Z345" s="8"/>
      <c r="AA345" s="8"/>
    </row>
    <row r="346" spans="1:27" ht="15">
      <c r="A346" s="15"/>
      <c r="B346" s="36"/>
      <c r="C346" s="15"/>
      <c r="D346" s="37"/>
      <c r="E346" s="15"/>
      <c r="F346" s="15"/>
      <c r="G346" s="15"/>
      <c r="H346" s="15"/>
      <c r="I346" s="15"/>
      <c r="J346" s="39"/>
      <c r="K346" s="40"/>
      <c r="L346" s="8"/>
      <c r="M346" s="8"/>
      <c r="N346" s="8"/>
      <c r="O346" s="8"/>
      <c r="P346" s="8"/>
      <c r="Q346" s="8"/>
      <c r="R346" s="8"/>
      <c r="S346" s="8"/>
      <c r="T346" s="8"/>
      <c r="U346" s="8"/>
      <c r="V346" s="8"/>
      <c r="W346" s="8"/>
      <c r="X346" s="8"/>
      <c r="Y346" s="8"/>
      <c r="Z346" s="8"/>
      <c r="AA346" s="8"/>
    </row>
    <row r="347" spans="1:27" ht="15">
      <c r="A347" s="15"/>
      <c r="B347" s="36"/>
      <c r="C347" s="15"/>
      <c r="D347" s="37"/>
      <c r="E347" s="15"/>
      <c r="F347" s="15"/>
      <c r="G347" s="15"/>
      <c r="H347" s="15"/>
      <c r="I347" s="15"/>
      <c r="J347" s="39"/>
      <c r="K347" s="40"/>
      <c r="L347" s="8"/>
      <c r="M347" s="8"/>
      <c r="N347" s="8"/>
      <c r="O347" s="8"/>
      <c r="P347" s="8"/>
      <c r="Q347" s="8"/>
      <c r="R347" s="8"/>
      <c r="S347" s="8"/>
      <c r="T347" s="8"/>
      <c r="U347" s="8"/>
      <c r="V347" s="8"/>
      <c r="W347" s="8"/>
      <c r="X347" s="8"/>
      <c r="Y347" s="8"/>
      <c r="Z347" s="8"/>
      <c r="AA347" s="8"/>
    </row>
    <row r="348" spans="1:27" ht="15">
      <c r="A348" s="15"/>
      <c r="B348" s="36"/>
      <c r="C348" s="15"/>
      <c r="D348" s="37"/>
      <c r="E348" s="15"/>
      <c r="F348" s="15"/>
      <c r="G348" s="15"/>
      <c r="H348" s="15"/>
      <c r="I348" s="15"/>
      <c r="J348" s="39"/>
      <c r="K348" s="40"/>
      <c r="L348" s="8"/>
      <c r="M348" s="8"/>
      <c r="N348" s="8"/>
      <c r="O348" s="8"/>
      <c r="P348" s="8"/>
      <c r="Q348" s="8"/>
      <c r="R348" s="8"/>
      <c r="S348" s="8"/>
      <c r="T348" s="8"/>
      <c r="U348" s="8"/>
      <c r="V348" s="8"/>
      <c r="W348" s="8"/>
      <c r="X348" s="8"/>
      <c r="Y348" s="8"/>
      <c r="Z348" s="8"/>
      <c r="AA348" s="8"/>
    </row>
    <row r="349" spans="1:27" ht="15">
      <c r="A349" s="15"/>
      <c r="B349" s="36"/>
      <c r="C349" s="15"/>
      <c r="D349" s="37"/>
      <c r="E349" s="15"/>
      <c r="F349" s="15"/>
      <c r="G349" s="15"/>
      <c r="H349" s="15"/>
      <c r="I349" s="15"/>
      <c r="J349" s="39"/>
      <c r="K349" s="40"/>
      <c r="L349" s="8"/>
      <c r="M349" s="8"/>
      <c r="N349" s="8"/>
      <c r="O349" s="8"/>
      <c r="P349" s="8"/>
      <c r="Q349" s="8"/>
      <c r="R349" s="8"/>
      <c r="S349" s="8"/>
      <c r="T349" s="8"/>
      <c r="U349" s="8"/>
      <c r="V349" s="8"/>
      <c r="W349" s="8"/>
      <c r="X349" s="8"/>
      <c r="Y349" s="8"/>
      <c r="Z349" s="8"/>
      <c r="AA349" s="8"/>
    </row>
    <row r="350" spans="1:27" ht="15">
      <c r="A350" s="15"/>
      <c r="B350" s="36"/>
      <c r="C350" s="15"/>
      <c r="D350" s="37"/>
      <c r="E350" s="15"/>
      <c r="F350" s="15"/>
      <c r="G350" s="15"/>
      <c r="H350" s="15"/>
      <c r="I350" s="15"/>
      <c r="J350" s="39"/>
      <c r="K350" s="40"/>
      <c r="L350" s="8"/>
      <c r="M350" s="8"/>
      <c r="N350" s="8"/>
      <c r="O350" s="8"/>
      <c r="P350" s="8"/>
      <c r="Q350" s="8"/>
      <c r="R350" s="8"/>
      <c r="S350" s="8"/>
      <c r="T350" s="8"/>
      <c r="U350" s="8"/>
      <c r="V350" s="8"/>
      <c r="W350" s="8"/>
      <c r="X350" s="8"/>
      <c r="Y350" s="8"/>
      <c r="Z350" s="8"/>
      <c r="AA350" s="8"/>
    </row>
    <row r="351" spans="1:27" ht="15">
      <c r="A351" s="15"/>
      <c r="B351" s="36"/>
      <c r="C351" s="15"/>
      <c r="D351" s="37"/>
      <c r="E351" s="15"/>
      <c r="F351" s="15"/>
      <c r="G351" s="15"/>
      <c r="H351" s="15"/>
      <c r="I351" s="15"/>
      <c r="J351" s="39"/>
      <c r="K351" s="40"/>
      <c r="L351" s="8"/>
      <c r="M351" s="8"/>
      <c r="N351" s="8"/>
      <c r="O351" s="8"/>
      <c r="P351" s="8"/>
      <c r="Q351" s="8"/>
      <c r="R351" s="8"/>
      <c r="S351" s="8"/>
      <c r="T351" s="8"/>
      <c r="U351" s="8"/>
      <c r="V351" s="8"/>
      <c r="W351" s="8"/>
      <c r="X351" s="8"/>
      <c r="Y351" s="8"/>
      <c r="Z351" s="8"/>
      <c r="AA351" s="8"/>
    </row>
    <row r="352" spans="1:27" ht="15">
      <c r="A352" s="15"/>
      <c r="B352" s="36"/>
      <c r="C352" s="15"/>
      <c r="D352" s="37"/>
      <c r="E352" s="15"/>
      <c r="F352" s="15"/>
      <c r="G352" s="15"/>
      <c r="H352" s="15"/>
      <c r="I352" s="15"/>
      <c r="J352" s="39"/>
      <c r="K352" s="40"/>
      <c r="L352" s="8"/>
      <c r="M352" s="8"/>
      <c r="N352" s="8"/>
      <c r="O352" s="8"/>
      <c r="P352" s="8"/>
      <c r="Q352" s="8"/>
      <c r="R352" s="8"/>
      <c r="S352" s="8"/>
      <c r="T352" s="8"/>
      <c r="U352" s="8"/>
      <c r="V352" s="8"/>
      <c r="W352" s="8"/>
      <c r="X352" s="8"/>
      <c r="Y352" s="8"/>
      <c r="Z352" s="8"/>
      <c r="AA352" s="8"/>
    </row>
    <row r="353" spans="1:27" ht="15">
      <c r="A353" s="15"/>
      <c r="B353" s="36"/>
      <c r="C353" s="15"/>
      <c r="D353" s="37"/>
      <c r="E353" s="15"/>
      <c r="F353" s="15"/>
      <c r="G353" s="15"/>
      <c r="H353" s="15"/>
      <c r="I353" s="15"/>
      <c r="J353" s="39"/>
      <c r="K353" s="40"/>
      <c r="L353" s="8"/>
      <c r="M353" s="8"/>
      <c r="N353" s="8"/>
      <c r="O353" s="8"/>
      <c r="P353" s="8"/>
      <c r="Q353" s="8"/>
      <c r="R353" s="8"/>
      <c r="S353" s="8"/>
      <c r="T353" s="8"/>
      <c r="U353" s="8"/>
      <c r="V353" s="8"/>
      <c r="W353" s="8"/>
      <c r="X353" s="8"/>
      <c r="Y353" s="8"/>
      <c r="Z353" s="8"/>
      <c r="AA353" s="8"/>
    </row>
    <row r="354" spans="1:27" ht="15">
      <c r="A354" s="15"/>
      <c r="B354" s="36"/>
      <c r="C354" s="15"/>
      <c r="D354" s="37"/>
      <c r="E354" s="15"/>
      <c r="F354" s="15"/>
      <c r="G354" s="15"/>
      <c r="H354" s="15"/>
      <c r="I354" s="15"/>
      <c r="J354" s="39"/>
      <c r="K354" s="40"/>
      <c r="L354" s="8"/>
      <c r="M354" s="8"/>
      <c r="N354" s="8"/>
      <c r="O354" s="8"/>
      <c r="P354" s="8"/>
      <c r="Q354" s="8"/>
      <c r="R354" s="8"/>
      <c r="S354" s="8"/>
      <c r="T354" s="8"/>
      <c r="U354" s="8"/>
      <c r="V354" s="8"/>
      <c r="W354" s="8"/>
      <c r="X354" s="8"/>
      <c r="Y354" s="8"/>
      <c r="Z354" s="8"/>
      <c r="AA354" s="8"/>
    </row>
    <row r="355" spans="1:27" ht="15">
      <c r="A355" s="15"/>
      <c r="B355" s="36"/>
      <c r="C355" s="15"/>
      <c r="D355" s="37"/>
      <c r="E355" s="15"/>
      <c r="F355" s="15"/>
      <c r="G355" s="15"/>
      <c r="H355" s="15"/>
      <c r="I355" s="15"/>
      <c r="J355" s="39"/>
      <c r="K355" s="40"/>
      <c r="L355" s="8"/>
      <c r="M355" s="8"/>
      <c r="N355" s="8"/>
      <c r="O355" s="8"/>
      <c r="P355" s="8"/>
      <c r="Q355" s="8"/>
      <c r="R355" s="8"/>
      <c r="S355" s="8"/>
      <c r="T355" s="8"/>
      <c r="U355" s="8"/>
      <c r="V355" s="8"/>
      <c r="W355" s="8"/>
      <c r="X355" s="8"/>
      <c r="Y355" s="8"/>
      <c r="Z355" s="8"/>
      <c r="AA355" s="8"/>
    </row>
    <row r="356" spans="1:27" ht="15">
      <c r="A356" s="15"/>
      <c r="B356" s="36"/>
      <c r="C356" s="15"/>
      <c r="D356" s="37"/>
      <c r="E356" s="15"/>
      <c r="F356" s="15"/>
      <c r="G356" s="15"/>
      <c r="H356" s="15"/>
      <c r="I356" s="15"/>
      <c r="J356" s="39"/>
      <c r="K356" s="40"/>
      <c r="L356" s="8"/>
      <c r="M356" s="8"/>
      <c r="N356" s="8"/>
      <c r="O356" s="8"/>
      <c r="P356" s="8"/>
      <c r="Q356" s="8"/>
      <c r="R356" s="8"/>
      <c r="S356" s="8"/>
      <c r="T356" s="8"/>
      <c r="U356" s="8"/>
      <c r="V356" s="8"/>
      <c r="W356" s="8"/>
      <c r="X356" s="8"/>
      <c r="Y356" s="8"/>
      <c r="Z356" s="8"/>
      <c r="AA356" s="8"/>
    </row>
    <row r="357" spans="1:27" ht="15">
      <c r="A357" s="15"/>
      <c r="B357" s="36"/>
      <c r="C357" s="15"/>
      <c r="D357" s="37"/>
      <c r="E357" s="15"/>
      <c r="F357" s="15"/>
      <c r="G357" s="15"/>
      <c r="H357" s="15"/>
      <c r="I357" s="15"/>
      <c r="J357" s="39"/>
      <c r="K357" s="40"/>
      <c r="L357" s="8"/>
      <c r="M357" s="8"/>
      <c r="N357" s="8"/>
      <c r="O357" s="8"/>
      <c r="P357" s="8"/>
      <c r="Q357" s="8"/>
      <c r="R357" s="8"/>
      <c r="S357" s="8"/>
      <c r="T357" s="8"/>
      <c r="U357" s="8"/>
      <c r="V357" s="8"/>
      <c r="W357" s="8"/>
      <c r="X357" s="8"/>
      <c r="Y357" s="8"/>
      <c r="Z357" s="8"/>
      <c r="AA357" s="8"/>
    </row>
    <row r="358" spans="1:27" ht="15">
      <c r="A358" s="15"/>
      <c r="B358" s="36"/>
      <c r="C358" s="15"/>
      <c r="D358" s="37"/>
      <c r="E358" s="15"/>
      <c r="F358" s="15"/>
      <c r="G358" s="15"/>
      <c r="H358" s="15"/>
      <c r="I358" s="15"/>
      <c r="J358" s="39"/>
      <c r="K358" s="40"/>
      <c r="L358" s="8"/>
      <c r="M358" s="8"/>
      <c r="N358" s="8"/>
      <c r="O358" s="8"/>
      <c r="P358" s="8"/>
      <c r="Q358" s="8"/>
      <c r="R358" s="8"/>
      <c r="S358" s="8"/>
      <c r="T358" s="8"/>
      <c r="U358" s="8"/>
      <c r="V358" s="8"/>
      <c r="W358" s="8"/>
      <c r="X358" s="8"/>
      <c r="Y358" s="8"/>
      <c r="Z358" s="8"/>
      <c r="AA358" s="8"/>
    </row>
    <row r="359" spans="1:27" ht="15">
      <c r="A359" s="15"/>
      <c r="B359" s="36"/>
      <c r="C359" s="15"/>
      <c r="D359" s="37"/>
      <c r="E359" s="15"/>
      <c r="F359" s="15"/>
      <c r="G359" s="15"/>
      <c r="H359" s="15"/>
      <c r="I359" s="15"/>
      <c r="J359" s="39"/>
      <c r="K359" s="40"/>
      <c r="L359" s="8"/>
      <c r="M359" s="8"/>
      <c r="N359" s="8"/>
      <c r="O359" s="8"/>
      <c r="P359" s="8"/>
      <c r="Q359" s="8"/>
      <c r="R359" s="8"/>
      <c r="S359" s="8"/>
      <c r="T359" s="8"/>
      <c r="U359" s="8"/>
      <c r="V359" s="8"/>
      <c r="W359" s="8"/>
      <c r="X359" s="8"/>
      <c r="Y359" s="8"/>
      <c r="Z359" s="8"/>
      <c r="AA359" s="8"/>
    </row>
    <row r="360" spans="1:27" ht="15">
      <c r="A360" s="15"/>
      <c r="B360" s="36"/>
      <c r="C360" s="15"/>
      <c r="D360" s="37"/>
      <c r="E360" s="15"/>
      <c r="F360" s="15"/>
      <c r="G360" s="15"/>
      <c r="H360" s="15"/>
      <c r="I360" s="15"/>
      <c r="J360" s="39"/>
      <c r="K360" s="40"/>
      <c r="L360" s="8"/>
      <c r="M360" s="8"/>
      <c r="N360" s="8"/>
      <c r="O360" s="8"/>
      <c r="P360" s="8"/>
      <c r="Q360" s="8"/>
      <c r="R360" s="8"/>
      <c r="S360" s="8"/>
      <c r="T360" s="8"/>
      <c r="U360" s="8"/>
      <c r="V360" s="8"/>
      <c r="W360" s="8"/>
      <c r="X360" s="8"/>
      <c r="Y360" s="8"/>
      <c r="Z360" s="8"/>
      <c r="AA360" s="8"/>
    </row>
    <row r="361" spans="1:27" ht="15">
      <c r="A361" s="15"/>
      <c r="B361" s="36"/>
      <c r="C361" s="15"/>
      <c r="D361" s="37"/>
      <c r="E361" s="15"/>
      <c r="F361" s="15"/>
      <c r="G361" s="15"/>
      <c r="H361" s="15"/>
      <c r="I361" s="15"/>
      <c r="J361" s="39"/>
      <c r="K361" s="40"/>
      <c r="L361" s="8"/>
      <c r="M361" s="8"/>
      <c r="N361" s="8"/>
      <c r="O361" s="8"/>
      <c r="P361" s="8"/>
      <c r="Q361" s="8"/>
      <c r="R361" s="8"/>
      <c r="S361" s="8"/>
      <c r="T361" s="8"/>
      <c r="U361" s="8"/>
      <c r="V361" s="8"/>
      <c r="W361" s="8"/>
      <c r="X361" s="8"/>
      <c r="Y361" s="8"/>
      <c r="Z361" s="8"/>
      <c r="AA361" s="8"/>
    </row>
    <row r="362" spans="1:27" ht="15">
      <c r="A362" s="15"/>
      <c r="B362" s="36"/>
      <c r="C362" s="15"/>
      <c r="D362" s="37"/>
      <c r="E362" s="15"/>
      <c r="F362" s="15"/>
      <c r="G362" s="15"/>
      <c r="H362" s="15"/>
      <c r="I362" s="15"/>
      <c r="J362" s="39"/>
      <c r="K362" s="40"/>
      <c r="L362" s="8"/>
      <c r="M362" s="8"/>
      <c r="N362" s="8"/>
      <c r="O362" s="8"/>
      <c r="P362" s="8"/>
      <c r="Q362" s="8"/>
      <c r="R362" s="8"/>
      <c r="S362" s="8"/>
      <c r="T362" s="8"/>
      <c r="U362" s="8"/>
      <c r="V362" s="8"/>
      <c r="W362" s="8"/>
      <c r="X362" s="8"/>
      <c r="Y362" s="8"/>
      <c r="Z362" s="8"/>
      <c r="AA362" s="8"/>
    </row>
    <row r="363" spans="1:27" ht="15">
      <c r="A363" s="15"/>
      <c r="B363" s="36"/>
      <c r="C363" s="15"/>
      <c r="D363" s="37"/>
      <c r="E363" s="15"/>
      <c r="F363" s="15"/>
      <c r="G363" s="15"/>
      <c r="H363" s="15"/>
      <c r="I363" s="15"/>
      <c r="J363" s="39"/>
      <c r="K363" s="40"/>
      <c r="L363" s="8"/>
      <c r="M363" s="8"/>
      <c r="N363" s="8"/>
      <c r="O363" s="8"/>
      <c r="P363" s="8"/>
      <c r="Q363" s="8"/>
      <c r="R363" s="8"/>
      <c r="S363" s="8"/>
      <c r="T363" s="8"/>
      <c r="U363" s="8"/>
      <c r="V363" s="8"/>
      <c r="W363" s="8"/>
      <c r="X363" s="8"/>
      <c r="Y363" s="8"/>
      <c r="Z363" s="8"/>
      <c r="AA363" s="8"/>
    </row>
    <row r="364" spans="1:27" ht="15">
      <c r="A364" s="15"/>
      <c r="B364" s="36"/>
      <c r="C364" s="15"/>
      <c r="D364" s="37"/>
      <c r="E364" s="15"/>
      <c r="F364" s="15"/>
      <c r="G364" s="15"/>
      <c r="H364" s="15"/>
      <c r="I364" s="15"/>
      <c r="J364" s="39"/>
      <c r="K364" s="40"/>
      <c r="L364" s="8"/>
      <c r="M364" s="8"/>
      <c r="N364" s="8"/>
      <c r="O364" s="8"/>
      <c r="P364" s="8"/>
      <c r="Q364" s="8"/>
      <c r="R364" s="8"/>
      <c r="S364" s="8"/>
      <c r="T364" s="8"/>
      <c r="U364" s="8"/>
      <c r="V364" s="8"/>
      <c r="W364" s="8"/>
      <c r="X364" s="8"/>
      <c r="Y364" s="8"/>
      <c r="Z364" s="8"/>
      <c r="AA364" s="8"/>
    </row>
    <row r="365" spans="1:27" ht="15">
      <c r="A365" s="15"/>
      <c r="B365" s="36"/>
      <c r="C365" s="15"/>
      <c r="D365" s="37"/>
      <c r="E365" s="15"/>
      <c r="F365" s="15"/>
      <c r="G365" s="15"/>
      <c r="H365" s="15"/>
      <c r="I365" s="15"/>
      <c r="J365" s="39"/>
      <c r="K365" s="40"/>
      <c r="L365" s="8"/>
      <c r="M365" s="8"/>
      <c r="N365" s="8"/>
      <c r="O365" s="8"/>
      <c r="P365" s="8"/>
      <c r="Q365" s="8"/>
      <c r="R365" s="8"/>
      <c r="S365" s="8"/>
      <c r="T365" s="8"/>
      <c r="U365" s="8"/>
      <c r="V365" s="8"/>
      <c r="W365" s="8"/>
      <c r="X365" s="8"/>
      <c r="Y365" s="8"/>
      <c r="Z365" s="8"/>
      <c r="AA365" s="8"/>
    </row>
    <row r="366" spans="1:27" ht="15">
      <c r="A366" s="15"/>
      <c r="B366" s="36"/>
      <c r="C366" s="15"/>
      <c r="D366" s="37"/>
      <c r="E366" s="15"/>
      <c r="F366" s="15"/>
      <c r="G366" s="15"/>
      <c r="H366" s="15"/>
      <c r="I366" s="15"/>
      <c r="J366" s="39"/>
      <c r="K366" s="40"/>
      <c r="L366" s="8"/>
      <c r="M366" s="8"/>
      <c r="N366" s="8"/>
      <c r="O366" s="8"/>
      <c r="P366" s="8"/>
      <c r="Q366" s="8"/>
      <c r="R366" s="8"/>
      <c r="S366" s="8"/>
      <c r="T366" s="8"/>
      <c r="U366" s="8"/>
      <c r="V366" s="8"/>
      <c r="W366" s="8"/>
      <c r="X366" s="8"/>
      <c r="Y366" s="8"/>
      <c r="Z366" s="8"/>
      <c r="AA366" s="8"/>
    </row>
    <row r="367" spans="1:27" ht="15">
      <c r="A367" s="15"/>
      <c r="B367" s="36"/>
      <c r="C367" s="15"/>
      <c r="D367" s="37"/>
      <c r="E367" s="15"/>
      <c r="F367" s="15"/>
      <c r="G367" s="15"/>
      <c r="H367" s="15"/>
      <c r="I367" s="15"/>
      <c r="J367" s="39"/>
      <c r="K367" s="40"/>
      <c r="L367" s="8"/>
      <c r="M367" s="8"/>
      <c r="N367" s="8"/>
      <c r="O367" s="8"/>
      <c r="P367" s="8"/>
      <c r="Q367" s="8"/>
      <c r="R367" s="8"/>
      <c r="S367" s="8"/>
      <c r="T367" s="8"/>
      <c r="U367" s="8"/>
      <c r="V367" s="8"/>
      <c r="W367" s="8"/>
      <c r="X367" s="8"/>
      <c r="Y367" s="8"/>
      <c r="Z367" s="8"/>
      <c r="AA367" s="8"/>
    </row>
    <row r="368" spans="1:27" ht="15">
      <c r="A368" s="15"/>
      <c r="B368" s="36"/>
      <c r="C368" s="15"/>
      <c r="D368" s="37"/>
      <c r="E368" s="15"/>
      <c r="F368" s="15"/>
      <c r="G368" s="15"/>
      <c r="H368" s="15"/>
      <c r="I368" s="15"/>
      <c r="J368" s="39"/>
      <c r="K368" s="40"/>
      <c r="L368" s="8"/>
      <c r="M368" s="8"/>
      <c r="N368" s="8"/>
      <c r="O368" s="8"/>
      <c r="P368" s="8"/>
      <c r="Q368" s="8"/>
      <c r="R368" s="8"/>
      <c r="S368" s="8"/>
      <c r="T368" s="8"/>
      <c r="U368" s="8"/>
      <c r="V368" s="8"/>
      <c r="W368" s="8"/>
      <c r="X368" s="8"/>
      <c r="Y368" s="8"/>
      <c r="Z368" s="8"/>
      <c r="AA368" s="8"/>
    </row>
    <row r="369" spans="1:27" ht="15">
      <c r="A369" s="15"/>
      <c r="B369" s="36"/>
      <c r="C369" s="15"/>
      <c r="D369" s="37"/>
      <c r="E369" s="15"/>
      <c r="F369" s="15"/>
      <c r="G369" s="15"/>
      <c r="H369" s="15"/>
      <c r="I369" s="15"/>
      <c r="J369" s="39"/>
      <c r="K369" s="40"/>
      <c r="L369" s="8"/>
      <c r="M369" s="8"/>
      <c r="N369" s="8"/>
      <c r="O369" s="8"/>
      <c r="P369" s="8"/>
      <c r="Q369" s="8"/>
      <c r="R369" s="8"/>
      <c r="S369" s="8"/>
      <c r="T369" s="8"/>
      <c r="U369" s="8"/>
      <c r="V369" s="8"/>
      <c r="W369" s="8"/>
      <c r="X369" s="8"/>
      <c r="Y369" s="8"/>
      <c r="Z369" s="8"/>
      <c r="AA369" s="8"/>
    </row>
    <row r="370" spans="1:27" ht="15">
      <c r="A370" s="15"/>
      <c r="B370" s="36"/>
      <c r="C370" s="15"/>
      <c r="D370" s="37"/>
      <c r="E370" s="15"/>
      <c r="F370" s="15"/>
      <c r="G370" s="15"/>
      <c r="H370" s="15"/>
      <c r="I370" s="15"/>
      <c r="J370" s="39"/>
      <c r="K370" s="40"/>
      <c r="L370" s="8"/>
      <c r="M370" s="8"/>
      <c r="N370" s="8"/>
      <c r="O370" s="8"/>
      <c r="P370" s="8"/>
      <c r="Q370" s="8"/>
      <c r="R370" s="8"/>
      <c r="S370" s="8"/>
      <c r="T370" s="8"/>
      <c r="U370" s="8"/>
      <c r="V370" s="8"/>
      <c r="W370" s="8"/>
      <c r="X370" s="8"/>
      <c r="Y370" s="8"/>
      <c r="Z370" s="8"/>
      <c r="AA370" s="8"/>
    </row>
    <row r="371" spans="1:27" ht="15">
      <c r="A371" s="15"/>
      <c r="B371" s="36"/>
      <c r="C371" s="15"/>
      <c r="D371" s="37"/>
      <c r="E371" s="15"/>
      <c r="F371" s="15"/>
      <c r="G371" s="15"/>
      <c r="H371" s="15"/>
      <c r="I371" s="15"/>
      <c r="J371" s="39"/>
      <c r="K371" s="40"/>
      <c r="L371" s="8"/>
      <c r="M371" s="8"/>
      <c r="N371" s="8"/>
      <c r="O371" s="8"/>
      <c r="P371" s="8"/>
      <c r="Q371" s="8"/>
      <c r="R371" s="8"/>
      <c r="S371" s="8"/>
      <c r="T371" s="8"/>
      <c r="U371" s="8"/>
      <c r="V371" s="8"/>
      <c r="W371" s="8"/>
      <c r="X371" s="8"/>
      <c r="Y371" s="8"/>
      <c r="Z371" s="8"/>
      <c r="AA371" s="8"/>
    </row>
    <row r="372" spans="1:27" ht="15">
      <c r="A372" s="15"/>
      <c r="B372" s="36"/>
      <c r="C372" s="15"/>
      <c r="D372" s="37"/>
      <c r="E372" s="15"/>
      <c r="F372" s="15"/>
      <c r="G372" s="15"/>
      <c r="H372" s="15"/>
      <c r="I372" s="15"/>
      <c r="J372" s="39"/>
      <c r="K372" s="40"/>
      <c r="L372" s="8"/>
      <c r="M372" s="8"/>
      <c r="N372" s="8"/>
      <c r="O372" s="8"/>
      <c r="P372" s="8"/>
      <c r="Q372" s="8"/>
      <c r="R372" s="8"/>
      <c r="S372" s="8"/>
      <c r="T372" s="8"/>
      <c r="U372" s="8"/>
      <c r="V372" s="8"/>
      <c r="W372" s="8"/>
      <c r="X372" s="8"/>
      <c r="Y372" s="8"/>
      <c r="Z372" s="8"/>
      <c r="AA372" s="8"/>
    </row>
    <row r="373" spans="1:27" ht="15">
      <c r="A373" s="15"/>
      <c r="B373" s="36"/>
      <c r="C373" s="15"/>
      <c r="D373" s="37"/>
      <c r="E373" s="15"/>
      <c r="F373" s="15"/>
      <c r="G373" s="15"/>
      <c r="H373" s="15"/>
      <c r="I373" s="15"/>
      <c r="J373" s="39"/>
      <c r="K373" s="40"/>
      <c r="L373" s="8"/>
      <c r="M373" s="8"/>
      <c r="N373" s="8"/>
      <c r="O373" s="8"/>
      <c r="P373" s="8"/>
      <c r="Q373" s="8"/>
      <c r="R373" s="8"/>
      <c r="S373" s="8"/>
      <c r="T373" s="8"/>
      <c r="U373" s="8"/>
      <c r="V373" s="8"/>
      <c r="W373" s="8"/>
      <c r="X373" s="8"/>
      <c r="Y373" s="8"/>
      <c r="Z373" s="8"/>
      <c r="AA373" s="8"/>
    </row>
    <row r="374" spans="1:27" ht="15">
      <c r="A374" s="15"/>
      <c r="B374" s="36"/>
      <c r="C374" s="15"/>
      <c r="D374" s="37"/>
      <c r="E374" s="15"/>
      <c r="F374" s="15"/>
      <c r="G374" s="15"/>
      <c r="H374" s="15"/>
      <c r="I374" s="15"/>
      <c r="J374" s="39"/>
      <c r="K374" s="40"/>
      <c r="L374" s="8"/>
      <c r="M374" s="8"/>
      <c r="N374" s="8"/>
      <c r="O374" s="8"/>
      <c r="P374" s="8"/>
      <c r="Q374" s="8"/>
      <c r="R374" s="8"/>
      <c r="S374" s="8"/>
      <c r="T374" s="8"/>
      <c r="U374" s="8"/>
      <c r="V374" s="8"/>
      <c r="W374" s="8"/>
      <c r="X374" s="8"/>
      <c r="Y374" s="8"/>
      <c r="Z374" s="8"/>
      <c r="AA374" s="8"/>
    </row>
    <row r="375" spans="1:27" ht="15">
      <c r="A375" s="15"/>
      <c r="B375" s="36"/>
      <c r="C375" s="15"/>
      <c r="D375" s="37"/>
      <c r="E375" s="15"/>
      <c r="F375" s="15"/>
      <c r="G375" s="15"/>
      <c r="H375" s="15"/>
      <c r="I375" s="15"/>
      <c r="J375" s="39"/>
      <c r="K375" s="40"/>
      <c r="L375" s="8"/>
      <c r="M375" s="8"/>
      <c r="N375" s="8"/>
      <c r="O375" s="8"/>
      <c r="P375" s="8"/>
      <c r="Q375" s="8"/>
      <c r="R375" s="8"/>
      <c r="S375" s="8"/>
      <c r="T375" s="8"/>
      <c r="U375" s="8"/>
      <c r="V375" s="8"/>
      <c r="W375" s="8"/>
      <c r="X375" s="8"/>
      <c r="Y375" s="8"/>
      <c r="Z375" s="8"/>
      <c r="AA375" s="8"/>
    </row>
    <row r="376" spans="1:27" ht="15">
      <c r="A376" s="15"/>
      <c r="B376" s="36"/>
      <c r="C376" s="15"/>
      <c r="D376" s="37"/>
      <c r="E376" s="15"/>
      <c r="F376" s="15"/>
      <c r="G376" s="15"/>
      <c r="H376" s="15"/>
      <c r="I376" s="15"/>
      <c r="J376" s="39"/>
      <c r="K376" s="40"/>
      <c r="L376" s="8"/>
      <c r="M376" s="8"/>
      <c r="N376" s="8"/>
      <c r="O376" s="8"/>
      <c r="P376" s="8"/>
      <c r="Q376" s="8"/>
      <c r="R376" s="8"/>
      <c r="S376" s="8"/>
      <c r="T376" s="8"/>
      <c r="U376" s="8"/>
      <c r="V376" s="8"/>
      <c r="W376" s="8"/>
      <c r="X376" s="8"/>
      <c r="Y376" s="8"/>
      <c r="Z376" s="8"/>
      <c r="AA376" s="8"/>
    </row>
    <row r="377" spans="1:27" ht="15">
      <c r="A377" s="15"/>
      <c r="B377" s="36"/>
      <c r="C377" s="15"/>
      <c r="D377" s="37"/>
      <c r="E377" s="15"/>
      <c r="F377" s="15"/>
      <c r="G377" s="15"/>
      <c r="H377" s="15"/>
      <c r="I377" s="15"/>
      <c r="J377" s="39"/>
      <c r="K377" s="40"/>
      <c r="L377" s="8"/>
      <c r="M377" s="8"/>
      <c r="N377" s="8"/>
      <c r="O377" s="8"/>
      <c r="P377" s="8"/>
      <c r="Q377" s="8"/>
      <c r="R377" s="8"/>
      <c r="S377" s="8"/>
      <c r="T377" s="8"/>
      <c r="U377" s="8"/>
      <c r="V377" s="8"/>
      <c r="W377" s="8"/>
      <c r="X377" s="8"/>
      <c r="Y377" s="8"/>
      <c r="Z377" s="8"/>
      <c r="AA377" s="8"/>
    </row>
    <row r="378" spans="1:27" ht="15">
      <c r="A378" s="15"/>
      <c r="B378" s="36"/>
      <c r="C378" s="15"/>
      <c r="D378" s="37"/>
      <c r="E378" s="15"/>
      <c r="F378" s="15"/>
      <c r="G378" s="15"/>
      <c r="H378" s="15"/>
      <c r="I378" s="15"/>
      <c r="J378" s="39"/>
      <c r="K378" s="40"/>
      <c r="L378" s="8"/>
      <c r="M378" s="8"/>
      <c r="N378" s="8"/>
      <c r="O378" s="8"/>
      <c r="P378" s="8"/>
      <c r="Q378" s="8"/>
      <c r="R378" s="8"/>
      <c r="S378" s="8"/>
      <c r="T378" s="8"/>
      <c r="U378" s="8"/>
      <c r="V378" s="8"/>
      <c r="W378" s="8"/>
      <c r="X378" s="8"/>
      <c r="Y378" s="8"/>
      <c r="Z378" s="8"/>
      <c r="AA378" s="8"/>
    </row>
    <row r="379" spans="1:27" ht="15">
      <c r="A379" s="15"/>
      <c r="B379" s="36"/>
      <c r="C379" s="15"/>
      <c r="D379" s="37"/>
      <c r="E379" s="15"/>
      <c r="F379" s="15"/>
      <c r="G379" s="15"/>
      <c r="H379" s="15"/>
      <c r="I379" s="15"/>
      <c r="J379" s="39"/>
      <c r="K379" s="40"/>
      <c r="L379" s="8"/>
      <c r="M379" s="8"/>
      <c r="N379" s="8"/>
      <c r="O379" s="8"/>
      <c r="P379" s="8"/>
      <c r="Q379" s="8"/>
      <c r="R379" s="8"/>
      <c r="S379" s="8"/>
      <c r="T379" s="8"/>
      <c r="U379" s="8"/>
      <c r="V379" s="8"/>
      <c r="W379" s="8"/>
      <c r="X379" s="8"/>
      <c r="Y379" s="8"/>
      <c r="Z379" s="8"/>
      <c r="AA379" s="8"/>
    </row>
    <row r="380" spans="1:27" ht="15">
      <c r="A380" s="15"/>
      <c r="B380" s="36"/>
      <c r="C380" s="15"/>
      <c r="D380" s="37"/>
      <c r="E380" s="15"/>
      <c r="F380" s="15"/>
      <c r="G380" s="15"/>
      <c r="H380" s="15"/>
      <c r="I380" s="15"/>
      <c r="J380" s="39"/>
      <c r="K380" s="40"/>
      <c r="L380" s="8"/>
      <c r="M380" s="8"/>
      <c r="N380" s="8"/>
      <c r="O380" s="8"/>
      <c r="P380" s="8"/>
      <c r="Q380" s="8"/>
      <c r="R380" s="8"/>
      <c r="S380" s="8"/>
      <c r="T380" s="8"/>
      <c r="U380" s="8"/>
      <c r="V380" s="8"/>
      <c r="W380" s="8"/>
      <c r="X380" s="8"/>
      <c r="Y380" s="8"/>
      <c r="Z380" s="8"/>
      <c r="AA380" s="8"/>
    </row>
    <row r="381" spans="1:27" ht="15">
      <c r="A381" s="15"/>
      <c r="B381" s="36"/>
      <c r="C381" s="15"/>
      <c r="D381" s="37"/>
      <c r="E381" s="15"/>
      <c r="F381" s="15"/>
      <c r="G381" s="15"/>
      <c r="H381" s="15"/>
      <c r="I381" s="15"/>
      <c r="J381" s="39"/>
      <c r="K381" s="40"/>
      <c r="L381" s="8"/>
      <c r="M381" s="8"/>
      <c r="N381" s="8"/>
      <c r="O381" s="8"/>
      <c r="P381" s="8"/>
      <c r="Q381" s="8"/>
      <c r="R381" s="8"/>
      <c r="S381" s="8"/>
      <c r="T381" s="8"/>
      <c r="U381" s="8"/>
      <c r="V381" s="8"/>
      <c r="W381" s="8"/>
      <c r="X381" s="8"/>
      <c r="Y381" s="8"/>
      <c r="Z381" s="8"/>
      <c r="AA381" s="8"/>
    </row>
    <row r="382" spans="1:27" ht="15">
      <c r="A382" s="15"/>
      <c r="B382" s="36"/>
      <c r="C382" s="15"/>
      <c r="D382" s="37"/>
      <c r="E382" s="15"/>
      <c r="F382" s="15"/>
      <c r="G382" s="15"/>
      <c r="H382" s="15"/>
      <c r="I382" s="15"/>
      <c r="J382" s="39"/>
      <c r="K382" s="40"/>
      <c r="L382" s="8"/>
      <c r="M382" s="8"/>
      <c r="N382" s="8"/>
      <c r="O382" s="8"/>
      <c r="P382" s="8"/>
      <c r="Q382" s="8"/>
      <c r="R382" s="8"/>
      <c r="S382" s="8"/>
      <c r="T382" s="8"/>
      <c r="U382" s="8"/>
      <c r="V382" s="8"/>
      <c r="W382" s="8"/>
      <c r="X382" s="8"/>
      <c r="Y382" s="8"/>
      <c r="Z382" s="8"/>
      <c r="AA382" s="8"/>
    </row>
    <row r="383" spans="1:27" ht="15">
      <c r="A383" s="15"/>
      <c r="B383" s="36"/>
      <c r="C383" s="15"/>
      <c r="D383" s="37"/>
      <c r="E383" s="15"/>
      <c r="F383" s="15"/>
      <c r="G383" s="15"/>
      <c r="H383" s="15"/>
      <c r="I383" s="15"/>
      <c r="J383" s="39"/>
      <c r="K383" s="40"/>
      <c r="L383" s="8"/>
      <c r="M383" s="8"/>
      <c r="N383" s="8"/>
      <c r="O383" s="8"/>
      <c r="P383" s="8"/>
      <c r="Q383" s="8"/>
      <c r="R383" s="8"/>
      <c r="S383" s="8"/>
      <c r="T383" s="8"/>
      <c r="U383" s="8"/>
      <c r="V383" s="8"/>
      <c r="W383" s="8"/>
      <c r="X383" s="8"/>
      <c r="Y383" s="8"/>
      <c r="Z383" s="8"/>
      <c r="AA383" s="8"/>
    </row>
    <row r="384" spans="1:27" ht="15">
      <c r="A384" s="15"/>
      <c r="B384" s="36"/>
      <c r="C384" s="15"/>
      <c r="D384" s="37"/>
      <c r="E384" s="15"/>
      <c r="F384" s="15"/>
      <c r="G384" s="15"/>
      <c r="H384" s="15"/>
      <c r="I384" s="15"/>
      <c r="J384" s="39"/>
      <c r="K384" s="40"/>
      <c r="L384" s="8"/>
      <c r="M384" s="8"/>
      <c r="N384" s="8"/>
      <c r="O384" s="8"/>
      <c r="P384" s="8"/>
      <c r="Q384" s="8"/>
      <c r="R384" s="8"/>
      <c r="S384" s="8"/>
      <c r="T384" s="8"/>
      <c r="U384" s="8"/>
      <c r="V384" s="8"/>
      <c r="W384" s="8"/>
      <c r="X384" s="8"/>
      <c r="Y384" s="8"/>
      <c r="Z384" s="8"/>
      <c r="AA384" s="8"/>
    </row>
    <row r="385" spans="1:27" ht="15">
      <c r="A385" s="15"/>
      <c r="B385" s="36"/>
      <c r="C385" s="15"/>
      <c r="D385" s="37"/>
      <c r="E385" s="15"/>
      <c r="F385" s="15"/>
      <c r="G385" s="15"/>
      <c r="H385" s="15"/>
      <c r="I385" s="15"/>
      <c r="J385" s="39"/>
      <c r="K385" s="40"/>
      <c r="L385" s="8"/>
      <c r="M385" s="8"/>
      <c r="N385" s="8"/>
      <c r="O385" s="8"/>
      <c r="P385" s="8"/>
      <c r="Q385" s="8"/>
      <c r="R385" s="8"/>
      <c r="S385" s="8"/>
      <c r="T385" s="8"/>
      <c r="U385" s="8"/>
      <c r="V385" s="8"/>
      <c r="W385" s="8"/>
      <c r="X385" s="8"/>
      <c r="Y385" s="8"/>
      <c r="Z385" s="8"/>
      <c r="AA385" s="8"/>
    </row>
    <row r="386" spans="1:27" ht="15">
      <c r="A386" s="15"/>
      <c r="B386" s="36"/>
      <c r="C386" s="15"/>
      <c r="D386" s="37"/>
      <c r="E386" s="15"/>
      <c r="F386" s="15"/>
      <c r="G386" s="15"/>
      <c r="H386" s="15"/>
      <c r="I386" s="15"/>
      <c r="J386" s="39"/>
      <c r="K386" s="40"/>
      <c r="L386" s="8"/>
      <c r="M386" s="8"/>
      <c r="N386" s="8"/>
      <c r="O386" s="8"/>
      <c r="P386" s="8"/>
      <c r="Q386" s="8"/>
      <c r="R386" s="8"/>
      <c r="S386" s="8"/>
      <c r="T386" s="8"/>
      <c r="U386" s="8"/>
      <c r="V386" s="8"/>
      <c r="W386" s="8"/>
      <c r="X386" s="8"/>
      <c r="Y386" s="8"/>
      <c r="Z386" s="8"/>
      <c r="AA386" s="8"/>
    </row>
    <row r="387" spans="1:27" ht="15">
      <c r="A387" s="15"/>
      <c r="B387" s="36"/>
      <c r="C387" s="15"/>
      <c r="D387" s="37"/>
      <c r="E387" s="15"/>
      <c r="F387" s="15"/>
      <c r="G387" s="15"/>
      <c r="H387" s="15"/>
      <c r="I387" s="15"/>
      <c r="J387" s="39"/>
      <c r="K387" s="40"/>
      <c r="L387" s="8"/>
      <c r="M387" s="8"/>
      <c r="N387" s="8"/>
      <c r="O387" s="8"/>
      <c r="P387" s="8"/>
      <c r="Q387" s="8"/>
      <c r="R387" s="8"/>
      <c r="S387" s="8"/>
      <c r="T387" s="8"/>
      <c r="U387" s="8"/>
      <c r="V387" s="8"/>
      <c r="W387" s="8"/>
      <c r="X387" s="8"/>
      <c r="Y387" s="8"/>
      <c r="Z387" s="8"/>
      <c r="AA387" s="8"/>
    </row>
    <row r="388" spans="1:27" ht="15">
      <c r="A388" s="15"/>
      <c r="B388" s="36"/>
      <c r="C388" s="15"/>
      <c r="D388" s="37"/>
      <c r="E388" s="15"/>
      <c r="F388" s="15"/>
      <c r="G388" s="15"/>
      <c r="H388" s="15"/>
      <c r="I388" s="15"/>
      <c r="J388" s="39"/>
      <c r="K388" s="40"/>
      <c r="L388" s="8"/>
      <c r="M388" s="8"/>
      <c r="N388" s="8"/>
      <c r="O388" s="8"/>
      <c r="P388" s="8"/>
      <c r="Q388" s="8"/>
      <c r="R388" s="8"/>
      <c r="S388" s="8"/>
      <c r="T388" s="8"/>
      <c r="U388" s="8"/>
      <c r="V388" s="8"/>
      <c r="W388" s="8"/>
      <c r="X388" s="8"/>
      <c r="Y388" s="8"/>
      <c r="Z388" s="8"/>
      <c r="AA388" s="8"/>
    </row>
    <row r="389" spans="1:27" ht="15">
      <c r="A389" s="15"/>
      <c r="B389" s="36"/>
      <c r="C389" s="15"/>
      <c r="D389" s="37"/>
      <c r="E389" s="15"/>
      <c r="F389" s="15"/>
      <c r="G389" s="15"/>
      <c r="H389" s="15"/>
      <c r="I389" s="15"/>
      <c r="J389" s="39"/>
      <c r="K389" s="40"/>
      <c r="L389" s="8"/>
      <c r="M389" s="8"/>
      <c r="N389" s="8"/>
      <c r="O389" s="8"/>
      <c r="P389" s="8"/>
      <c r="Q389" s="8"/>
      <c r="R389" s="8"/>
      <c r="S389" s="8"/>
      <c r="T389" s="8"/>
      <c r="U389" s="8"/>
      <c r="V389" s="8"/>
      <c r="W389" s="8"/>
      <c r="X389" s="8"/>
      <c r="Y389" s="8"/>
      <c r="Z389" s="8"/>
      <c r="AA389" s="8"/>
    </row>
    <row r="390" spans="1:27" ht="15">
      <c r="A390" s="15"/>
      <c r="B390" s="36"/>
      <c r="C390" s="15"/>
      <c r="D390" s="37"/>
      <c r="E390" s="15"/>
      <c r="F390" s="15"/>
      <c r="G390" s="15"/>
      <c r="H390" s="15"/>
      <c r="I390" s="15"/>
      <c r="J390" s="39"/>
      <c r="K390" s="40"/>
      <c r="L390" s="8"/>
      <c r="M390" s="8"/>
      <c r="N390" s="8"/>
      <c r="O390" s="8"/>
      <c r="P390" s="8"/>
      <c r="Q390" s="8"/>
      <c r="R390" s="8"/>
      <c r="S390" s="8"/>
      <c r="T390" s="8"/>
      <c r="U390" s="8"/>
      <c r="V390" s="8"/>
      <c r="W390" s="8"/>
      <c r="X390" s="8"/>
      <c r="Y390" s="8"/>
      <c r="Z390" s="8"/>
      <c r="AA390" s="8"/>
    </row>
    <row r="391" spans="1:27" ht="15">
      <c r="A391" s="15"/>
      <c r="B391" s="36"/>
      <c r="C391" s="15"/>
      <c r="D391" s="37"/>
      <c r="E391" s="15"/>
      <c r="F391" s="15"/>
      <c r="G391" s="15"/>
      <c r="H391" s="15"/>
      <c r="I391" s="15"/>
      <c r="J391" s="39"/>
      <c r="K391" s="40"/>
      <c r="L391" s="8"/>
      <c r="M391" s="8"/>
      <c r="N391" s="8"/>
      <c r="O391" s="8"/>
      <c r="P391" s="8"/>
      <c r="Q391" s="8"/>
      <c r="R391" s="8"/>
      <c r="S391" s="8"/>
      <c r="T391" s="8"/>
      <c r="U391" s="8"/>
      <c r="V391" s="8"/>
      <c r="W391" s="8"/>
      <c r="X391" s="8"/>
      <c r="Y391" s="8"/>
      <c r="Z391" s="8"/>
      <c r="AA391" s="8"/>
    </row>
    <row r="392" spans="1:27" ht="15">
      <c r="A392" s="15"/>
      <c r="B392" s="36"/>
      <c r="C392" s="15"/>
      <c r="D392" s="37"/>
      <c r="E392" s="15"/>
      <c r="F392" s="15"/>
      <c r="G392" s="15"/>
      <c r="H392" s="15"/>
      <c r="I392" s="15"/>
      <c r="J392" s="39"/>
      <c r="K392" s="40"/>
      <c r="L392" s="8"/>
      <c r="M392" s="8"/>
      <c r="N392" s="8"/>
      <c r="O392" s="8"/>
      <c r="P392" s="8"/>
      <c r="Q392" s="8"/>
      <c r="R392" s="8"/>
      <c r="S392" s="8"/>
      <c r="T392" s="8"/>
      <c r="U392" s="8"/>
      <c r="V392" s="8"/>
      <c r="W392" s="8"/>
      <c r="X392" s="8"/>
      <c r="Y392" s="8"/>
      <c r="Z392" s="8"/>
      <c r="AA392" s="8"/>
    </row>
    <row r="393" spans="1:27" ht="15">
      <c r="A393" s="15"/>
      <c r="B393" s="36"/>
      <c r="C393" s="15"/>
      <c r="D393" s="37"/>
      <c r="E393" s="15"/>
      <c r="F393" s="15"/>
      <c r="G393" s="15"/>
      <c r="H393" s="15"/>
      <c r="I393" s="15"/>
      <c r="J393" s="39"/>
      <c r="K393" s="40"/>
      <c r="L393" s="8"/>
      <c r="M393" s="8"/>
      <c r="N393" s="8"/>
      <c r="O393" s="8"/>
      <c r="P393" s="8"/>
      <c r="Q393" s="8"/>
      <c r="R393" s="8"/>
      <c r="S393" s="8"/>
      <c r="T393" s="8"/>
      <c r="U393" s="8"/>
      <c r="V393" s="8"/>
      <c r="W393" s="8"/>
      <c r="X393" s="8"/>
      <c r="Y393" s="8"/>
      <c r="Z393" s="8"/>
      <c r="AA393" s="8"/>
    </row>
    <row r="394" spans="1:27" ht="15">
      <c r="A394" s="15"/>
      <c r="B394" s="36"/>
      <c r="C394" s="15"/>
      <c r="D394" s="37"/>
      <c r="E394" s="15"/>
      <c r="F394" s="15"/>
      <c r="G394" s="15"/>
      <c r="H394" s="15"/>
      <c r="I394" s="15"/>
      <c r="J394" s="39"/>
      <c r="K394" s="40"/>
      <c r="L394" s="8"/>
      <c r="M394" s="8"/>
      <c r="N394" s="8"/>
      <c r="O394" s="8"/>
      <c r="P394" s="8"/>
      <c r="Q394" s="8"/>
      <c r="R394" s="8"/>
      <c r="S394" s="8"/>
      <c r="T394" s="8"/>
      <c r="U394" s="8"/>
      <c r="V394" s="8"/>
      <c r="W394" s="8"/>
      <c r="X394" s="8"/>
      <c r="Y394" s="8"/>
      <c r="Z394" s="8"/>
      <c r="AA394" s="8"/>
    </row>
    <row r="395" spans="1:27" ht="15">
      <c r="A395" s="15"/>
      <c r="B395" s="36"/>
      <c r="C395" s="15"/>
      <c r="D395" s="37"/>
      <c r="E395" s="15"/>
      <c r="F395" s="15"/>
      <c r="G395" s="15"/>
      <c r="H395" s="15"/>
      <c r="I395" s="15"/>
      <c r="J395" s="39"/>
      <c r="K395" s="40"/>
      <c r="L395" s="8"/>
      <c r="M395" s="8"/>
      <c r="N395" s="8"/>
      <c r="O395" s="8"/>
      <c r="P395" s="8"/>
      <c r="Q395" s="8"/>
      <c r="R395" s="8"/>
      <c r="S395" s="8"/>
      <c r="T395" s="8"/>
      <c r="U395" s="8"/>
      <c r="V395" s="8"/>
      <c r="W395" s="8"/>
      <c r="X395" s="8"/>
      <c r="Y395" s="8"/>
      <c r="Z395" s="8"/>
      <c r="AA395" s="8"/>
    </row>
    <row r="396" spans="1:27" ht="15">
      <c r="A396" s="15"/>
      <c r="B396" s="36"/>
      <c r="C396" s="15"/>
      <c r="D396" s="37"/>
      <c r="E396" s="15"/>
      <c r="F396" s="15"/>
      <c r="G396" s="15"/>
      <c r="H396" s="15"/>
      <c r="I396" s="15"/>
      <c r="J396" s="39"/>
      <c r="K396" s="40"/>
      <c r="L396" s="8"/>
      <c r="M396" s="8"/>
      <c r="N396" s="8"/>
      <c r="O396" s="8"/>
      <c r="P396" s="8"/>
      <c r="Q396" s="8"/>
      <c r="R396" s="8"/>
      <c r="S396" s="8"/>
      <c r="T396" s="8"/>
      <c r="U396" s="8"/>
      <c r="V396" s="8"/>
      <c r="W396" s="8"/>
      <c r="X396" s="8"/>
      <c r="Y396" s="8"/>
      <c r="Z396" s="8"/>
      <c r="AA396" s="8"/>
    </row>
    <row r="397" spans="1:27" ht="15">
      <c r="A397" s="15"/>
      <c r="B397" s="36"/>
      <c r="C397" s="15"/>
      <c r="D397" s="37"/>
      <c r="E397" s="15"/>
      <c r="F397" s="15"/>
      <c r="G397" s="15"/>
      <c r="H397" s="15"/>
      <c r="I397" s="15"/>
      <c r="J397" s="39"/>
      <c r="K397" s="40"/>
      <c r="L397" s="8"/>
      <c r="M397" s="8"/>
      <c r="N397" s="8"/>
      <c r="O397" s="8"/>
      <c r="P397" s="8"/>
      <c r="Q397" s="8"/>
      <c r="R397" s="8"/>
      <c r="S397" s="8"/>
      <c r="T397" s="8"/>
      <c r="U397" s="8"/>
      <c r="V397" s="8"/>
      <c r="W397" s="8"/>
      <c r="X397" s="8"/>
      <c r="Y397" s="8"/>
      <c r="Z397" s="8"/>
      <c r="AA397" s="8"/>
    </row>
    <row r="398" spans="1:27" ht="15">
      <c r="A398" s="15"/>
      <c r="B398" s="36"/>
      <c r="C398" s="15"/>
      <c r="D398" s="37"/>
      <c r="E398" s="15"/>
      <c r="F398" s="15"/>
      <c r="G398" s="15"/>
      <c r="H398" s="15"/>
      <c r="I398" s="15"/>
      <c r="J398" s="39"/>
      <c r="K398" s="40"/>
      <c r="L398" s="8"/>
      <c r="M398" s="8"/>
      <c r="N398" s="8"/>
      <c r="O398" s="8"/>
      <c r="P398" s="8"/>
      <c r="Q398" s="8"/>
      <c r="R398" s="8"/>
      <c r="S398" s="8"/>
      <c r="T398" s="8"/>
      <c r="U398" s="8"/>
      <c r="V398" s="8"/>
      <c r="W398" s="8"/>
      <c r="X398" s="8"/>
      <c r="Y398" s="8"/>
      <c r="Z398" s="8"/>
      <c r="AA398" s="8"/>
    </row>
    <row r="399" spans="1:27" ht="15">
      <c r="A399" s="15"/>
      <c r="B399" s="36"/>
      <c r="C399" s="15"/>
      <c r="D399" s="37"/>
      <c r="E399" s="15"/>
      <c r="F399" s="15"/>
      <c r="G399" s="15"/>
      <c r="H399" s="15"/>
      <c r="I399" s="15"/>
      <c r="J399" s="39"/>
      <c r="K399" s="40"/>
      <c r="L399" s="8"/>
      <c r="M399" s="8"/>
      <c r="N399" s="8"/>
      <c r="O399" s="8"/>
      <c r="P399" s="8"/>
      <c r="Q399" s="8"/>
      <c r="R399" s="8"/>
      <c r="S399" s="8"/>
      <c r="T399" s="8"/>
      <c r="U399" s="8"/>
      <c r="V399" s="8"/>
      <c r="W399" s="8"/>
      <c r="X399" s="8"/>
      <c r="Y399" s="8"/>
      <c r="Z399" s="8"/>
      <c r="AA399" s="8"/>
    </row>
    <row r="400" spans="1:27" ht="15">
      <c r="A400" s="15"/>
      <c r="B400" s="36"/>
      <c r="C400" s="15"/>
      <c r="D400" s="37"/>
      <c r="E400" s="15"/>
      <c r="F400" s="15"/>
      <c r="G400" s="15"/>
      <c r="H400" s="15"/>
      <c r="I400" s="15"/>
      <c r="J400" s="39"/>
      <c r="K400" s="40"/>
      <c r="L400" s="8"/>
      <c r="M400" s="8"/>
      <c r="N400" s="8"/>
      <c r="O400" s="8"/>
      <c r="P400" s="8"/>
      <c r="Q400" s="8"/>
      <c r="R400" s="8"/>
      <c r="S400" s="8"/>
      <c r="T400" s="8"/>
      <c r="U400" s="8"/>
      <c r="V400" s="8"/>
      <c r="W400" s="8"/>
      <c r="X400" s="8"/>
      <c r="Y400" s="8"/>
      <c r="Z400" s="8"/>
      <c r="AA400" s="8"/>
    </row>
    <row r="401" spans="1:27" ht="15">
      <c r="A401" s="15"/>
      <c r="B401" s="36"/>
      <c r="C401" s="15"/>
      <c r="D401" s="37"/>
      <c r="E401" s="15"/>
      <c r="F401" s="15"/>
      <c r="G401" s="15"/>
      <c r="H401" s="15"/>
      <c r="I401" s="15"/>
      <c r="J401" s="39"/>
      <c r="K401" s="40"/>
      <c r="L401" s="8"/>
      <c r="M401" s="8"/>
      <c r="N401" s="8"/>
      <c r="O401" s="8"/>
      <c r="P401" s="8"/>
      <c r="Q401" s="8"/>
      <c r="R401" s="8"/>
      <c r="S401" s="8"/>
      <c r="T401" s="8"/>
      <c r="U401" s="8"/>
      <c r="V401" s="8"/>
      <c r="W401" s="8"/>
      <c r="X401" s="8"/>
      <c r="Y401" s="8"/>
      <c r="Z401" s="8"/>
      <c r="AA401" s="8"/>
    </row>
    <row r="402" spans="1:27" ht="15">
      <c r="A402" s="15"/>
      <c r="B402" s="36"/>
      <c r="C402" s="15"/>
      <c r="D402" s="37"/>
      <c r="E402" s="15"/>
      <c r="F402" s="15"/>
      <c r="G402" s="15"/>
      <c r="H402" s="15"/>
      <c r="I402" s="15"/>
      <c r="J402" s="39"/>
      <c r="K402" s="40"/>
      <c r="L402" s="8"/>
      <c r="M402" s="8"/>
      <c r="N402" s="8"/>
      <c r="O402" s="8"/>
      <c r="P402" s="8"/>
      <c r="Q402" s="8"/>
      <c r="R402" s="8"/>
      <c r="S402" s="8"/>
      <c r="T402" s="8"/>
      <c r="U402" s="8"/>
      <c r="V402" s="8"/>
      <c r="W402" s="8"/>
      <c r="X402" s="8"/>
      <c r="Y402" s="8"/>
      <c r="Z402" s="8"/>
      <c r="AA402" s="8"/>
    </row>
    <row r="403" spans="1:27" ht="15">
      <c r="A403" s="15"/>
      <c r="B403" s="36"/>
      <c r="C403" s="15"/>
      <c r="D403" s="37"/>
      <c r="E403" s="15"/>
      <c r="F403" s="15"/>
      <c r="G403" s="15"/>
      <c r="H403" s="15"/>
      <c r="I403" s="15"/>
      <c r="J403" s="39"/>
      <c r="K403" s="40"/>
      <c r="L403" s="8"/>
      <c r="M403" s="8"/>
      <c r="N403" s="8"/>
      <c r="O403" s="8"/>
      <c r="P403" s="8"/>
      <c r="Q403" s="8"/>
      <c r="R403" s="8"/>
      <c r="S403" s="8"/>
      <c r="T403" s="8"/>
      <c r="U403" s="8"/>
      <c r="V403" s="8"/>
      <c r="W403" s="8"/>
      <c r="X403" s="8"/>
      <c r="Y403" s="8"/>
      <c r="Z403" s="8"/>
      <c r="AA403" s="8"/>
    </row>
    <row r="404" spans="1:27" ht="15">
      <c r="A404" s="15"/>
      <c r="B404" s="36"/>
      <c r="C404" s="15"/>
      <c r="D404" s="37"/>
      <c r="E404" s="15"/>
      <c r="F404" s="15"/>
      <c r="G404" s="15"/>
      <c r="H404" s="15"/>
      <c r="I404" s="15"/>
      <c r="J404" s="39"/>
      <c r="K404" s="40"/>
      <c r="L404" s="8"/>
      <c r="M404" s="8"/>
      <c r="N404" s="8"/>
      <c r="O404" s="8"/>
      <c r="P404" s="8"/>
      <c r="Q404" s="8"/>
      <c r="R404" s="8"/>
      <c r="S404" s="8"/>
      <c r="T404" s="8"/>
      <c r="U404" s="8"/>
      <c r="V404" s="8"/>
      <c r="W404" s="8"/>
      <c r="X404" s="8"/>
      <c r="Y404" s="8"/>
      <c r="Z404" s="8"/>
      <c r="AA404" s="8"/>
    </row>
    <row r="405" spans="1:27" ht="15">
      <c r="A405" s="15"/>
      <c r="B405" s="36"/>
      <c r="C405" s="15"/>
      <c r="D405" s="37"/>
      <c r="E405" s="15"/>
      <c r="F405" s="15"/>
      <c r="G405" s="15"/>
      <c r="H405" s="15"/>
      <c r="I405" s="15"/>
      <c r="J405" s="39"/>
      <c r="K405" s="40"/>
      <c r="L405" s="8"/>
      <c r="M405" s="8"/>
      <c r="N405" s="8"/>
      <c r="O405" s="8"/>
      <c r="P405" s="8"/>
      <c r="Q405" s="8"/>
      <c r="R405" s="8"/>
      <c r="S405" s="8"/>
      <c r="T405" s="8"/>
      <c r="U405" s="8"/>
      <c r="V405" s="8"/>
      <c r="W405" s="8"/>
      <c r="X405" s="8"/>
      <c r="Y405" s="8"/>
      <c r="Z405" s="8"/>
      <c r="AA405" s="8"/>
    </row>
    <row r="406" spans="1:27" ht="15">
      <c r="A406" s="15"/>
      <c r="B406" s="36"/>
      <c r="C406" s="15"/>
      <c r="D406" s="37"/>
      <c r="E406" s="15"/>
      <c r="F406" s="15"/>
      <c r="G406" s="15"/>
      <c r="H406" s="15"/>
      <c r="I406" s="15"/>
      <c r="J406" s="39"/>
      <c r="K406" s="40"/>
      <c r="L406" s="8"/>
      <c r="M406" s="8"/>
      <c r="N406" s="8"/>
      <c r="O406" s="8"/>
      <c r="P406" s="8"/>
      <c r="Q406" s="8"/>
      <c r="R406" s="8"/>
      <c r="S406" s="8"/>
      <c r="T406" s="8"/>
      <c r="U406" s="8"/>
      <c r="V406" s="8"/>
      <c r="W406" s="8"/>
      <c r="X406" s="8"/>
      <c r="Y406" s="8"/>
      <c r="Z406" s="8"/>
      <c r="AA406" s="8"/>
    </row>
    <row r="407" spans="1:27" ht="15">
      <c r="A407" s="15"/>
      <c r="B407" s="36"/>
      <c r="C407" s="15"/>
      <c r="D407" s="37"/>
      <c r="E407" s="15"/>
      <c r="F407" s="15"/>
      <c r="G407" s="15"/>
      <c r="H407" s="15"/>
      <c r="I407" s="15"/>
      <c r="J407" s="39"/>
      <c r="K407" s="40"/>
      <c r="L407" s="8"/>
      <c r="M407" s="8"/>
      <c r="N407" s="8"/>
      <c r="O407" s="8"/>
      <c r="P407" s="8"/>
      <c r="Q407" s="8"/>
      <c r="R407" s="8"/>
      <c r="S407" s="8"/>
      <c r="T407" s="8"/>
      <c r="U407" s="8"/>
      <c r="V407" s="8"/>
      <c r="W407" s="8"/>
      <c r="X407" s="8"/>
      <c r="Y407" s="8"/>
      <c r="Z407" s="8"/>
      <c r="AA407" s="8"/>
    </row>
    <row r="408" spans="1:27" ht="15">
      <c r="A408" s="15"/>
      <c r="B408" s="36"/>
      <c r="C408" s="15"/>
      <c r="D408" s="37"/>
      <c r="E408" s="15"/>
      <c r="F408" s="15"/>
      <c r="G408" s="15"/>
      <c r="H408" s="15"/>
      <c r="I408" s="15"/>
      <c r="J408" s="39"/>
      <c r="K408" s="40"/>
      <c r="L408" s="8"/>
      <c r="M408" s="8"/>
      <c r="N408" s="8"/>
      <c r="O408" s="8"/>
      <c r="P408" s="8"/>
      <c r="Q408" s="8"/>
      <c r="R408" s="8"/>
      <c r="S408" s="8"/>
      <c r="T408" s="8"/>
      <c r="U408" s="8"/>
      <c r="V408" s="8"/>
      <c r="W408" s="8"/>
      <c r="X408" s="8"/>
      <c r="Y408" s="8"/>
      <c r="Z408" s="8"/>
      <c r="AA408" s="8"/>
    </row>
    <row r="409" spans="1:27" ht="15">
      <c r="A409" s="15"/>
      <c r="B409" s="36"/>
      <c r="C409" s="15"/>
      <c r="D409" s="37"/>
      <c r="E409" s="15"/>
      <c r="F409" s="15"/>
      <c r="G409" s="15"/>
      <c r="H409" s="15"/>
      <c r="I409" s="15"/>
      <c r="J409" s="39"/>
      <c r="K409" s="40"/>
      <c r="L409" s="8"/>
      <c r="M409" s="8"/>
      <c r="N409" s="8"/>
      <c r="O409" s="8"/>
      <c r="P409" s="8"/>
      <c r="Q409" s="8"/>
      <c r="R409" s="8"/>
      <c r="S409" s="8"/>
      <c r="T409" s="8"/>
      <c r="U409" s="8"/>
      <c r="V409" s="8"/>
      <c r="W409" s="8"/>
      <c r="X409" s="8"/>
      <c r="Y409" s="8"/>
      <c r="Z409" s="8"/>
      <c r="AA409" s="8"/>
    </row>
    <row r="410" spans="1:27" ht="15">
      <c r="A410" s="15"/>
      <c r="B410" s="36"/>
      <c r="C410" s="15"/>
      <c r="D410" s="37"/>
      <c r="E410" s="15"/>
      <c r="F410" s="15"/>
      <c r="G410" s="15"/>
      <c r="H410" s="15"/>
      <c r="I410" s="15"/>
      <c r="J410" s="39"/>
      <c r="K410" s="40"/>
      <c r="L410" s="8"/>
      <c r="M410" s="8"/>
      <c r="N410" s="8"/>
      <c r="O410" s="8"/>
      <c r="P410" s="8"/>
      <c r="Q410" s="8"/>
      <c r="R410" s="8"/>
      <c r="S410" s="8"/>
      <c r="T410" s="8"/>
      <c r="U410" s="8"/>
      <c r="V410" s="8"/>
      <c r="W410" s="8"/>
      <c r="X410" s="8"/>
      <c r="Y410" s="8"/>
      <c r="Z410" s="8"/>
      <c r="AA410" s="8"/>
    </row>
    <row r="411" spans="1:27" ht="15">
      <c r="A411" s="15"/>
      <c r="B411" s="36"/>
      <c r="C411" s="15"/>
      <c r="D411" s="37"/>
      <c r="E411" s="15"/>
      <c r="F411" s="15"/>
      <c r="G411" s="15"/>
      <c r="H411" s="15"/>
      <c r="I411" s="15"/>
      <c r="J411" s="39"/>
      <c r="K411" s="40"/>
      <c r="L411" s="8"/>
      <c r="M411" s="8"/>
      <c r="N411" s="8"/>
      <c r="O411" s="8"/>
      <c r="P411" s="8"/>
      <c r="Q411" s="8"/>
      <c r="R411" s="8"/>
      <c r="S411" s="8"/>
      <c r="T411" s="8"/>
      <c r="U411" s="8"/>
      <c r="V411" s="8"/>
      <c r="W411" s="8"/>
      <c r="X411" s="8"/>
      <c r="Y411" s="8"/>
      <c r="Z411" s="8"/>
      <c r="AA411" s="8"/>
    </row>
    <row r="412" spans="1:27" ht="15">
      <c r="A412" s="15"/>
      <c r="B412" s="36"/>
      <c r="C412" s="15"/>
      <c r="D412" s="37"/>
      <c r="E412" s="15"/>
      <c r="F412" s="15"/>
      <c r="G412" s="15"/>
      <c r="H412" s="15"/>
      <c r="I412" s="15"/>
      <c r="J412" s="39"/>
      <c r="K412" s="40"/>
      <c r="L412" s="8"/>
      <c r="M412" s="8"/>
      <c r="N412" s="8"/>
      <c r="O412" s="8"/>
      <c r="P412" s="8"/>
      <c r="Q412" s="8"/>
      <c r="R412" s="8"/>
      <c r="S412" s="8"/>
      <c r="T412" s="8"/>
      <c r="U412" s="8"/>
      <c r="V412" s="8"/>
      <c r="W412" s="8"/>
      <c r="X412" s="8"/>
      <c r="Y412" s="8"/>
      <c r="Z412" s="8"/>
      <c r="AA412" s="8"/>
    </row>
    <row r="413" spans="1:27" ht="15">
      <c r="A413" s="15"/>
      <c r="B413" s="36"/>
      <c r="C413" s="15"/>
      <c r="D413" s="37"/>
      <c r="E413" s="15"/>
      <c r="F413" s="15"/>
      <c r="G413" s="15"/>
      <c r="H413" s="15"/>
      <c r="I413" s="15"/>
      <c r="J413" s="39"/>
      <c r="K413" s="40"/>
      <c r="L413" s="8"/>
      <c r="M413" s="8"/>
      <c r="N413" s="8"/>
      <c r="O413" s="8"/>
      <c r="P413" s="8"/>
      <c r="Q413" s="8"/>
      <c r="R413" s="8"/>
      <c r="S413" s="8"/>
      <c r="T413" s="8"/>
      <c r="U413" s="8"/>
      <c r="V413" s="8"/>
      <c r="W413" s="8"/>
      <c r="X413" s="8"/>
      <c r="Y413" s="8"/>
      <c r="Z413" s="8"/>
      <c r="AA413" s="8"/>
    </row>
    <row r="414" spans="1:27" ht="15">
      <c r="A414" s="15"/>
      <c r="B414" s="36"/>
      <c r="C414" s="15"/>
      <c r="D414" s="37"/>
      <c r="E414" s="15"/>
      <c r="F414" s="15"/>
      <c r="G414" s="15"/>
      <c r="H414" s="15"/>
      <c r="I414" s="15"/>
      <c r="J414" s="39"/>
      <c r="K414" s="40"/>
      <c r="L414" s="8"/>
      <c r="M414" s="8"/>
      <c r="N414" s="8"/>
      <c r="O414" s="8"/>
      <c r="P414" s="8"/>
      <c r="Q414" s="8"/>
      <c r="R414" s="8"/>
      <c r="S414" s="8"/>
      <c r="T414" s="8"/>
      <c r="U414" s="8"/>
      <c r="V414" s="8"/>
      <c r="W414" s="8"/>
      <c r="X414" s="8"/>
      <c r="Y414" s="8"/>
      <c r="Z414" s="8"/>
      <c r="AA414" s="8"/>
    </row>
    <row r="415" spans="1:27" ht="15">
      <c r="A415" s="15"/>
      <c r="B415" s="36"/>
      <c r="C415" s="15"/>
      <c r="D415" s="37"/>
      <c r="E415" s="15"/>
      <c r="F415" s="15"/>
      <c r="G415" s="15"/>
      <c r="H415" s="15"/>
      <c r="I415" s="15"/>
      <c r="J415" s="39"/>
      <c r="K415" s="40"/>
      <c r="L415" s="8"/>
      <c r="M415" s="8"/>
      <c r="N415" s="8"/>
      <c r="O415" s="8"/>
      <c r="P415" s="8"/>
      <c r="Q415" s="8"/>
      <c r="R415" s="8"/>
      <c r="S415" s="8"/>
      <c r="T415" s="8"/>
      <c r="U415" s="8"/>
      <c r="V415" s="8"/>
      <c r="W415" s="8"/>
      <c r="X415" s="8"/>
      <c r="Y415" s="8"/>
      <c r="Z415" s="8"/>
      <c r="AA415" s="8"/>
    </row>
    <row r="416" spans="1:27" ht="15">
      <c r="A416" s="15"/>
      <c r="B416" s="36"/>
      <c r="C416" s="15"/>
      <c r="D416" s="37"/>
      <c r="E416" s="15"/>
      <c r="F416" s="15"/>
      <c r="G416" s="15"/>
      <c r="H416" s="15"/>
      <c r="I416" s="15"/>
      <c r="J416" s="39"/>
      <c r="K416" s="40"/>
      <c r="L416" s="8"/>
      <c r="M416" s="8"/>
      <c r="N416" s="8"/>
      <c r="O416" s="8"/>
      <c r="P416" s="8"/>
      <c r="Q416" s="8"/>
      <c r="R416" s="8"/>
      <c r="S416" s="8"/>
      <c r="T416" s="8"/>
      <c r="U416" s="8"/>
      <c r="V416" s="8"/>
      <c r="W416" s="8"/>
      <c r="X416" s="8"/>
      <c r="Y416" s="8"/>
      <c r="Z416" s="8"/>
      <c r="AA416" s="8"/>
    </row>
    <row r="417" spans="1:27" ht="15">
      <c r="A417" s="15"/>
      <c r="B417" s="36"/>
      <c r="C417" s="15"/>
      <c r="D417" s="37"/>
      <c r="E417" s="15"/>
      <c r="F417" s="15"/>
      <c r="G417" s="15"/>
      <c r="H417" s="15"/>
      <c r="I417" s="15"/>
      <c r="J417" s="39"/>
      <c r="K417" s="40"/>
      <c r="L417" s="8"/>
      <c r="M417" s="8"/>
      <c r="N417" s="8"/>
      <c r="O417" s="8"/>
      <c r="P417" s="8"/>
      <c r="Q417" s="8"/>
      <c r="R417" s="8"/>
      <c r="S417" s="8"/>
      <c r="T417" s="8"/>
      <c r="U417" s="8"/>
      <c r="V417" s="8"/>
      <c r="W417" s="8"/>
      <c r="X417" s="8"/>
      <c r="Y417" s="8"/>
      <c r="Z417" s="8"/>
      <c r="AA417" s="8"/>
    </row>
    <row r="418" spans="1:27" ht="15">
      <c r="A418" s="15"/>
      <c r="B418" s="36"/>
      <c r="C418" s="15"/>
      <c r="D418" s="37"/>
      <c r="E418" s="15"/>
      <c r="F418" s="15"/>
      <c r="G418" s="15"/>
      <c r="H418" s="15"/>
      <c r="I418" s="15"/>
      <c r="J418" s="39"/>
      <c r="K418" s="40"/>
      <c r="L418" s="8"/>
      <c r="M418" s="8"/>
      <c r="N418" s="8"/>
      <c r="O418" s="8"/>
      <c r="P418" s="8"/>
      <c r="Q418" s="8"/>
      <c r="R418" s="8"/>
      <c r="S418" s="8"/>
      <c r="T418" s="8"/>
      <c r="U418" s="8"/>
      <c r="V418" s="8"/>
      <c r="W418" s="8"/>
      <c r="X418" s="8"/>
      <c r="Y418" s="8"/>
      <c r="Z418" s="8"/>
      <c r="AA418" s="8"/>
    </row>
    <row r="419" spans="1:27" ht="15">
      <c r="A419" s="15"/>
      <c r="B419" s="36"/>
      <c r="C419" s="15"/>
      <c r="D419" s="37"/>
      <c r="E419" s="15"/>
      <c r="F419" s="15"/>
      <c r="G419" s="15"/>
      <c r="H419" s="15"/>
      <c r="I419" s="15"/>
      <c r="J419" s="39"/>
      <c r="K419" s="40"/>
      <c r="L419" s="8"/>
      <c r="M419" s="8"/>
      <c r="N419" s="8"/>
      <c r="O419" s="8"/>
      <c r="P419" s="8"/>
      <c r="Q419" s="8"/>
      <c r="R419" s="8"/>
      <c r="S419" s="8"/>
      <c r="T419" s="8"/>
      <c r="U419" s="8"/>
      <c r="V419" s="8"/>
      <c r="W419" s="8"/>
      <c r="X419" s="8"/>
      <c r="Y419" s="8"/>
      <c r="Z419" s="8"/>
      <c r="AA419" s="8"/>
    </row>
    <row r="420" spans="1:27" ht="15">
      <c r="A420" s="15"/>
      <c r="B420" s="36"/>
      <c r="C420" s="15"/>
      <c r="D420" s="37"/>
      <c r="E420" s="15"/>
      <c r="F420" s="15"/>
      <c r="G420" s="15"/>
      <c r="H420" s="15"/>
      <c r="I420" s="15"/>
      <c r="J420" s="39"/>
      <c r="K420" s="40"/>
      <c r="L420" s="8"/>
      <c r="M420" s="8"/>
      <c r="N420" s="8"/>
      <c r="O420" s="8"/>
      <c r="P420" s="8"/>
      <c r="Q420" s="8"/>
      <c r="R420" s="8"/>
      <c r="S420" s="8"/>
      <c r="T420" s="8"/>
      <c r="U420" s="8"/>
      <c r="V420" s="8"/>
      <c r="W420" s="8"/>
      <c r="X420" s="8"/>
      <c r="Y420" s="8"/>
      <c r="Z420" s="8"/>
      <c r="AA420" s="8"/>
    </row>
    <row r="421" spans="1:27" ht="15">
      <c r="A421" s="15"/>
      <c r="B421" s="36"/>
      <c r="C421" s="15"/>
      <c r="D421" s="37"/>
      <c r="E421" s="15"/>
      <c r="F421" s="15"/>
      <c r="G421" s="15"/>
      <c r="H421" s="15"/>
      <c r="I421" s="15"/>
      <c r="J421" s="39"/>
      <c r="K421" s="40"/>
      <c r="L421" s="8"/>
      <c r="M421" s="8"/>
      <c r="N421" s="8"/>
      <c r="O421" s="8"/>
      <c r="P421" s="8"/>
      <c r="Q421" s="8"/>
      <c r="R421" s="8"/>
      <c r="S421" s="8"/>
      <c r="T421" s="8"/>
      <c r="U421" s="8"/>
      <c r="V421" s="8"/>
      <c r="W421" s="8"/>
      <c r="X421" s="8"/>
      <c r="Y421" s="8"/>
      <c r="Z421" s="8"/>
      <c r="AA421" s="8"/>
    </row>
    <row r="422" spans="1:27" ht="15">
      <c r="A422" s="15"/>
      <c r="B422" s="36"/>
      <c r="C422" s="15"/>
      <c r="D422" s="37"/>
      <c r="E422" s="15"/>
      <c r="F422" s="15"/>
      <c r="G422" s="15"/>
      <c r="H422" s="15"/>
      <c r="I422" s="15"/>
      <c r="J422" s="39"/>
      <c r="K422" s="40"/>
      <c r="L422" s="8"/>
      <c r="M422" s="8"/>
      <c r="N422" s="8"/>
      <c r="O422" s="8"/>
      <c r="P422" s="8"/>
      <c r="Q422" s="8"/>
      <c r="R422" s="8"/>
      <c r="S422" s="8"/>
      <c r="T422" s="8"/>
      <c r="U422" s="8"/>
      <c r="V422" s="8"/>
      <c r="W422" s="8"/>
      <c r="X422" s="8"/>
      <c r="Y422" s="8"/>
      <c r="Z422" s="8"/>
      <c r="AA422" s="8"/>
    </row>
    <row r="423" spans="1:27" ht="15">
      <c r="A423" s="15"/>
      <c r="B423" s="36"/>
      <c r="C423" s="15"/>
      <c r="D423" s="37"/>
      <c r="E423" s="15"/>
      <c r="F423" s="15"/>
      <c r="G423" s="15"/>
      <c r="H423" s="15"/>
      <c r="I423" s="15"/>
      <c r="J423" s="39"/>
      <c r="K423" s="40"/>
      <c r="L423" s="8"/>
      <c r="M423" s="8"/>
      <c r="N423" s="8"/>
      <c r="O423" s="8"/>
      <c r="P423" s="8"/>
      <c r="Q423" s="8"/>
      <c r="R423" s="8"/>
      <c r="S423" s="8"/>
      <c r="T423" s="8"/>
      <c r="U423" s="8"/>
      <c r="V423" s="8"/>
      <c r="W423" s="8"/>
      <c r="X423" s="8"/>
      <c r="Y423" s="8"/>
      <c r="Z423" s="8"/>
      <c r="AA423" s="8"/>
    </row>
    <row r="424" spans="1:27" ht="15">
      <c r="A424" s="15"/>
      <c r="B424" s="36"/>
      <c r="C424" s="15"/>
      <c r="D424" s="37"/>
      <c r="E424" s="15"/>
      <c r="F424" s="15"/>
      <c r="G424" s="15"/>
      <c r="H424" s="15"/>
      <c r="I424" s="15"/>
      <c r="J424" s="39"/>
      <c r="K424" s="40"/>
      <c r="L424" s="8"/>
      <c r="M424" s="8"/>
      <c r="N424" s="8"/>
      <c r="O424" s="8"/>
      <c r="P424" s="8"/>
      <c r="Q424" s="8"/>
      <c r="R424" s="8"/>
      <c r="S424" s="8"/>
      <c r="T424" s="8"/>
      <c r="U424" s="8"/>
      <c r="V424" s="8"/>
      <c r="W424" s="8"/>
      <c r="X424" s="8"/>
      <c r="Y424" s="8"/>
      <c r="Z424" s="8"/>
      <c r="AA424" s="8"/>
    </row>
    <row r="425" spans="1:27" ht="15">
      <c r="A425" s="15"/>
      <c r="B425" s="36"/>
      <c r="C425" s="15"/>
      <c r="D425" s="37"/>
      <c r="E425" s="15"/>
      <c r="F425" s="15"/>
      <c r="G425" s="15"/>
      <c r="H425" s="15"/>
      <c r="I425" s="15"/>
      <c r="J425" s="39"/>
      <c r="K425" s="40"/>
      <c r="L425" s="8"/>
      <c r="M425" s="8"/>
      <c r="N425" s="8"/>
      <c r="O425" s="8"/>
      <c r="P425" s="8"/>
      <c r="Q425" s="8"/>
      <c r="R425" s="8"/>
      <c r="S425" s="8"/>
      <c r="T425" s="8"/>
      <c r="U425" s="8"/>
      <c r="V425" s="8"/>
      <c r="W425" s="8"/>
      <c r="X425" s="8"/>
      <c r="Y425" s="8"/>
      <c r="Z425" s="8"/>
      <c r="AA425" s="8"/>
    </row>
    <row r="426" spans="1:27" ht="15">
      <c r="A426" s="15"/>
      <c r="B426" s="36"/>
      <c r="C426" s="15"/>
      <c r="D426" s="37"/>
      <c r="E426" s="15"/>
      <c r="F426" s="15"/>
      <c r="G426" s="15"/>
      <c r="H426" s="15"/>
      <c r="I426" s="15"/>
      <c r="J426" s="39"/>
      <c r="K426" s="40"/>
      <c r="L426" s="8"/>
      <c r="M426" s="8"/>
      <c r="N426" s="8"/>
      <c r="O426" s="8"/>
      <c r="P426" s="8"/>
      <c r="Q426" s="8"/>
      <c r="R426" s="8"/>
      <c r="S426" s="8"/>
      <c r="T426" s="8"/>
      <c r="U426" s="8"/>
      <c r="V426" s="8"/>
      <c r="W426" s="8"/>
      <c r="X426" s="8"/>
      <c r="Y426" s="8"/>
      <c r="Z426" s="8"/>
      <c r="AA426" s="8"/>
    </row>
    <row r="427" spans="1:27" ht="15">
      <c r="A427" s="15"/>
      <c r="B427" s="36"/>
      <c r="C427" s="15"/>
      <c r="D427" s="37"/>
      <c r="E427" s="15"/>
      <c r="F427" s="15"/>
      <c r="G427" s="15"/>
      <c r="H427" s="15"/>
      <c r="I427" s="15"/>
      <c r="J427" s="39"/>
      <c r="K427" s="40"/>
      <c r="L427" s="8"/>
      <c r="M427" s="8"/>
      <c r="N427" s="8"/>
      <c r="O427" s="8"/>
      <c r="P427" s="8"/>
      <c r="Q427" s="8"/>
      <c r="R427" s="8"/>
      <c r="S427" s="8"/>
      <c r="T427" s="8"/>
      <c r="U427" s="8"/>
      <c r="V427" s="8"/>
      <c r="W427" s="8"/>
      <c r="X427" s="8"/>
      <c r="Y427" s="8"/>
      <c r="Z427" s="8"/>
      <c r="AA427" s="8"/>
    </row>
    <row r="428" spans="1:27" ht="15">
      <c r="A428" s="15"/>
      <c r="B428" s="36"/>
      <c r="C428" s="15"/>
      <c r="D428" s="37"/>
      <c r="E428" s="15"/>
      <c r="F428" s="15"/>
      <c r="G428" s="15"/>
      <c r="H428" s="15"/>
      <c r="I428" s="15"/>
      <c r="J428" s="39"/>
      <c r="K428" s="40"/>
      <c r="L428" s="8"/>
      <c r="M428" s="8"/>
      <c r="N428" s="8"/>
      <c r="O428" s="8"/>
      <c r="P428" s="8"/>
      <c r="Q428" s="8"/>
      <c r="R428" s="8"/>
      <c r="S428" s="8"/>
      <c r="T428" s="8"/>
      <c r="U428" s="8"/>
      <c r="V428" s="8"/>
      <c r="W428" s="8"/>
      <c r="X428" s="8"/>
      <c r="Y428" s="8"/>
      <c r="Z428" s="8"/>
      <c r="AA428" s="8"/>
    </row>
    <row r="429" spans="1:27" ht="15">
      <c r="A429" s="15"/>
      <c r="B429" s="36"/>
      <c r="C429" s="15"/>
      <c r="D429" s="37"/>
      <c r="E429" s="15"/>
      <c r="F429" s="15"/>
      <c r="G429" s="15"/>
      <c r="H429" s="15"/>
      <c r="I429" s="15"/>
      <c r="J429" s="39"/>
      <c r="K429" s="40"/>
      <c r="L429" s="8"/>
      <c r="M429" s="8"/>
      <c r="N429" s="8"/>
      <c r="O429" s="8"/>
      <c r="P429" s="8"/>
      <c r="Q429" s="8"/>
      <c r="R429" s="8"/>
      <c r="S429" s="8"/>
      <c r="T429" s="8"/>
      <c r="U429" s="8"/>
      <c r="V429" s="8"/>
      <c r="W429" s="8"/>
      <c r="X429" s="8"/>
      <c r="Y429" s="8"/>
      <c r="Z429" s="8"/>
      <c r="AA429" s="8"/>
    </row>
    <row r="430" spans="1:27" ht="15">
      <c r="A430" s="15"/>
      <c r="B430" s="36"/>
      <c r="C430" s="15"/>
      <c r="D430" s="37"/>
      <c r="E430" s="15"/>
      <c r="F430" s="15"/>
      <c r="G430" s="15"/>
      <c r="H430" s="15"/>
      <c r="I430" s="15"/>
      <c r="J430" s="39"/>
      <c r="K430" s="40"/>
      <c r="L430" s="8"/>
      <c r="M430" s="8"/>
      <c r="N430" s="8"/>
      <c r="O430" s="8"/>
      <c r="P430" s="8"/>
      <c r="Q430" s="8"/>
      <c r="R430" s="8"/>
      <c r="S430" s="8"/>
      <c r="T430" s="8"/>
      <c r="U430" s="8"/>
      <c r="V430" s="8"/>
      <c r="W430" s="8"/>
      <c r="X430" s="8"/>
      <c r="Y430" s="8"/>
      <c r="Z430" s="8"/>
      <c r="AA430" s="8"/>
    </row>
    <row r="431" spans="1:27" ht="15">
      <c r="A431" s="15"/>
      <c r="B431" s="36"/>
      <c r="C431" s="15"/>
      <c r="D431" s="37"/>
      <c r="E431" s="15"/>
      <c r="F431" s="15"/>
      <c r="G431" s="15"/>
      <c r="H431" s="15"/>
      <c r="I431" s="15"/>
      <c r="J431" s="39"/>
      <c r="K431" s="40"/>
      <c r="L431" s="8"/>
      <c r="M431" s="8"/>
      <c r="N431" s="8"/>
      <c r="O431" s="8"/>
      <c r="P431" s="8"/>
      <c r="Q431" s="8"/>
      <c r="R431" s="8"/>
      <c r="S431" s="8"/>
      <c r="T431" s="8"/>
      <c r="U431" s="8"/>
      <c r="V431" s="8"/>
      <c r="W431" s="8"/>
      <c r="X431" s="8"/>
      <c r="Y431" s="8"/>
      <c r="Z431" s="8"/>
      <c r="AA431" s="8"/>
    </row>
    <row r="432" spans="1:27" ht="15">
      <c r="A432" s="15"/>
      <c r="B432" s="36"/>
      <c r="C432" s="15"/>
      <c r="D432" s="37"/>
      <c r="E432" s="15"/>
      <c r="F432" s="15"/>
      <c r="G432" s="15"/>
      <c r="H432" s="15"/>
      <c r="I432" s="15"/>
      <c r="J432" s="39"/>
      <c r="K432" s="40"/>
      <c r="L432" s="8"/>
      <c r="M432" s="8"/>
      <c r="N432" s="8"/>
      <c r="O432" s="8"/>
      <c r="P432" s="8"/>
      <c r="Q432" s="8"/>
      <c r="R432" s="8"/>
      <c r="S432" s="8"/>
      <c r="T432" s="8"/>
      <c r="U432" s="8"/>
      <c r="V432" s="8"/>
      <c r="W432" s="8"/>
      <c r="X432" s="8"/>
      <c r="Y432" s="8"/>
      <c r="Z432" s="8"/>
      <c r="AA432" s="8"/>
    </row>
    <row r="433" spans="1:27" ht="15">
      <c r="A433" s="15"/>
      <c r="B433" s="36"/>
      <c r="C433" s="15"/>
      <c r="D433" s="37"/>
      <c r="E433" s="15"/>
      <c r="F433" s="15"/>
      <c r="G433" s="15"/>
      <c r="H433" s="15"/>
      <c r="I433" s="15"/>
      <c r="J433" s="39"/>
      <c r="K433" s="40"/>
      <c r="L433" s="8"/>
      <c r="M433" s="8"/>
      <c r="N433" s="8"/>
      <c r="O433" s="8"/>
      <c r="P433" s="8"/>
      <c r="Q433" s="8"/>
      <c r="R433" s="8"/>
      <c r="S433" s="8"/>
      <c r="T433" s="8"/>
      <c r="U433" s="8"/>
      <c r="V433" s="8"/>
      <c r="W433" s="8"/>
      <c r="X433" s="8"/>
      <c r="Y433" s="8"/>
      <c r="Z433" s="8"/>
      <c r="AA433" s="8"/>
    </row>
    <row r="434" spans="1:27" ht="15">
      <c r="A434" s="15"/>
      <c r="B434" s="36"/>
      <c r="C434" s="15"/>
      <c r="D434" s="37"/>
      <c r="E434" s="15"/>
      <c r="F434" s="15"/>
      <c r="G434" s="15"/>
      <c r="H434" s="15"/>
      <c r="I434" s="15"/>
      <c r="J434" s="39"/>
      <c r="K434" s="40"/>
      <c r="L434" s="8"/>
      <c r="M434" s="8"/>
      <c r="N434" s="8"/>
      <c r="O434" s="8"/>
      <c r="P434" s="8"/>
      <c r="Q434" s="8"/>
      <c r="R434" s="8"/>
      <c r="S434" s="8"/>
      <c r="T434" s="8"/>
      <c r="U434" s="8"/>
      <c r="V434" s="8"/>
      <c r="W434" s="8"/>
      <c r="X434" s="8"/>
      <c r="Y434" s="8"/>
      <c r="Z434" s="8"/>
      <c r="AA434" s="8"/>
    </row>
    <row r="435" spans="1:27" ht="15">
      <c r="A435" s="15"/>
      <c r="B435" s="36"/>
      <c r="C435" s="15"/>
      <c r="D435" s="37"/>
      <c r="E435" s="15"/>
      <c r="F435" s="15"/>
      <c r="G435" s="15"/>
      <c r="H435" s="15"/>
      <c r="I435" s="15"/>
      <c r="J435" s="39"/>
      <c r="K435" s="40"/>
      <c r="L435" s="8"/>
      <c r="M435" s="8"/>
      <c r="N435" s="8"/>
      <c r="O435" s="8"/>
      <c r="P435" s="8"/>
      <c r="Q435" s="8"/>
      <c r="R435" s="8"/>
      <c r="S435" s="8"/>
      <c r="T435" s="8"/>
      <c r="U435" s="8"/>
      <c r="V435" s="8"/>
      <c r="W435" s="8"/>
      <c r="X435" s="8"/>
      <c r="Y435" s="8"/>
      <c r="Z435" s="8"/>
      <c r="AA435" s="8"/>
    </row>
    <row r="436" spans="1:27" ht="15">
      <c r="A436" s="15"/>
      <c r="B436" s="36"/>
      <c r="C436" s="15"/>
      <c r="D436" s="37"/>
      <c r="E436" s="15"/>
      <c r="F436" s="15"/>
      <c r="G436" s="15"/>
      <c r="H436" s="15"/>
      <c r="I436" s="15"/>
      <c r="J436" s="39"/>
      <c r="K436" s="40"/>
      <c r="L436" s="8"/>
      <c r="M436" s="8"/>
      <c r="N436" s="8"/>
      <c r="O436" s="8"/>
      <c r="P436" s="8"/>
      <c r="Q436" s="8"/>
      <c r="R436" s="8"/>
      <c r="S436" s="8"/>
      <c r="T436" s="8"/>
      <c r="U436" s="8"/>
      <c r="V436" s="8"/>
      <c r="W436" s="8"/>
      <c r="X436" s="8"/>
      <c r="Y436" s="8"/>
      <c r="Z436" s="8"/>
      <c r="AA436" s="8"/>
    </row>
    <row r="437" spans="1:27" ht="15">
      <c r="A437" s="15"/>
      <c r="B437" s="36"/>
      <c r="C437" s="15"/>
      <c r="D437" s="37"/>
      <c r="E437" s="15"/>
      <c r="F437" s="15"/>
      <c r="G437" s="15"/>
      <c r="H437" s="15"/>
      <c r="I437" s="15"/>
      <c r="J437" s="39"/>
      <c r="K437" s="40"/>
      <c r="L437" s="8"/>
      <c r="M437" s="8"/>
      <c r="N437" s="8"/>
      <c r="O437" s="8"/>
      <c r="P437" s="8"/>
      <c r="Q437" s="8"/>
      <c r="R437" s="8"/>
      <c r="S437" s="8"/>
      <c r="T437" s="8"/>
      <c r="U437" s="8"/>
      <c r="V437" s="8"/>
      <c r="W437" s="8"/>
      <c r="X437" s="8"/>
      <c r="Y437" s="8"/>
      <c r="Z437" s="8"/>
      <c r="AA437" s="8"/>
    </row>
    <row r="438" spans="1:27" ht="15">
      <c r="A438" s="15"/>
      <c r="B438" s="36"/>
      <c r="C438" s="15"/>
      <c r="D438" s="37"/>
      <c r="E438" s="15"/>
      <c r="F438" s="15"/>
      <c r="G438" s="15"/>
      <c r="H438" s="15"/>
      <c r="I438" s="15"/>
      <c r="J438" s="39"/>
      <c r="K438" s="40"/>
      <c r="L438" s="8"/>
      <c r="M438" s="8"/>
      <c r="N438" s="8"/>
      <c r="O438" s="8"/>
      <c r="P438" s="8"/>
      <c r="Q438" s="8"/>
      <c r="R438" s="8"/>
      <c r="S438" s="8"/>
      <c r="T438" s="8"/>
      <c r="U438" s="8"/>
      <c r="V438" s="8"/>
      <c r="W438" s="8"/>
      <c r="X438" s="8"/>
      <c r="Y438" s="8"/>
      <c r="Z438" s="8"/>
      <c r="AA438" s="8"/>
    </row>
    <row r="439" spans="1:27" ht="15">
      <c r="A439" s="15"/>
      <c r="B439" s="36"/>
      <c r="C439" s="15"/>
      <c r="D439" s="37"/>
      <c r="E439" s="15"/>
      <c r="F439" s="15"/>
      <c r="G439" s="15"/>
      <c r="H439" s="15"/>
      <c r="I439" s="15"/>
      <c r="J439" s="39"/>
      <c r="K439" s="40"/>
      <c r="L439" s="8"/>
      <c r="M439" s="8"/>
      <c r="N439" s="8"/>
      <c r="O439" s="8"/>
      <c r="P439" s="8"/>
      <c r="Q439" s="8"/>
      <c r="R439" s="8"/>
      <c r="S439" s="8"/>
      <c r="T439" s="8"/>
      <c r="U439" s="8"/>
      <c r="V439" s="8"/>
      <c r="W439" s="8"/>
      <c r="X439" s="8"/>
      <c r="Y439" s="8"/>
      <c r="Z439" s="8"/>
      <c r="AA439" s="8"/>
    </row>
    <row r="440" spans="1:27" ht="15">
      <c r="A440" s="15"/>
      <c r="B440" s="36"/>
      <c r="C440" s="15"/>
      <c r="D440" s="37"/>
      <c r="E440" s="15"/>
      <c r="F440" s="15"/>
      <c r="G440" s="15"/>
      <c r="H440" s="15"/>
      <c r="I440" s="15"/>
      <c r="J440" s="39"/>
      <c r="K440" s="40"/>
      <c r="L440" s="8"/>
      <c r="M440" s="8"/>
      <c r="N440" s="8"/>
      <c r="O440" s="8"/>
      <c r="P440" s="8"/>
      <c r="Q440" s="8"/>
      <c r="R440" s="8"/>
      <c r="S440" s="8"/>
      <c r="T440" s="8"/>
      <c r="U440" s="8"/>
      <c r="V440" s="8"/>
      <c r="W440" s="8"/>
      <c r="X440" s="8"/>
      <c r="Y440" s="8"/>
      <c r="Z440" s="8"/>
      <c r="AA440" s="8"/>
    </row>
    <row r="441" spans="1:27" ht="15">
      <c r="A441" s="15"/>
      <c r="B441" s="36"/>
      <c r="C441" s="15"/>
      <c r="D441" s="37"/>
      <c r="E441" s="15"/>
      <c r="F441" s="15"/>
      <c r="G441" s="15"/>
      <c r="H441" s="15"/>
      <c r="I441" s="15"/>
      <c r="J441" s="39"/>
      <c r="K441" s="40"/>
      <c r="L441" s="8"/>
      <c r="M441" s="8"/>
      <c r="N441" s="8"/>
      <c r="O441" s="8"/>
      <c r="P441" s="8"/>
      <c r="Q441" s="8"/>
      <c r="R441" s="8"/>
      <c r="S441" s="8"/>
      <c r="T441" s="8"/>
      <c r="U441" s="8"/>
      <c r="V441" s="8"/>
      <c r="W441" s="8"/>
      <c r="X441" s="8"/>
      <c r="Y441" s="8"/>
      <c r="Z441" s="8"/>
      <c r="AA441" s="8"/>
    </row>
    <row r="442" spans="1:27" ht="15">
      <c r="A442" s="15"/>
      <c r="B442" s="36"/>
      <c r="C442" s="15"/>
      <c r="D442" s="37"/>
      <c r="E442" s="15"/>
      <c r="F442" s="15"/>
      <c r="G442" s="15"/>
      <c r="H442" s="15"/>
      <c r="I442" s="15"/>
      <c r="J442" s="39"/>
      <c r="K442" s="40"/>
      <c r="L442" s="8"/>
      <c r="M442" s="8"/>
      <c r="N442" s="8"/>
      <c r="O442" s="8"/>
      <c r="P442" s="8"/>
      <c r="Q442" s="8"/>
      <c r="R442" s="8"/>
      <c r="S442" s="8"/>
      <c r="T442" s="8"/>
      <c r="U442" s="8"/>
      <c r="V442" s="8"/>
      <c r="W442" s="8"/>
      <c r="X442" s="8"/>
      <c r="Y442" s="8"/>
      <c r="Z442" s="8"/>
      <c r="AA442" s="8"/>
    </row>
    <row r="443" spans="1:27" ht="15">
      <c r="A443" s="15"/>
      <c r="B443" s="36"/>
      <c r="C443" s="15"/>
      <c r="D443" s="37"/>
      <c r="E443" s="15"/>
      <c r="F443" s="15"/>
      <c r="G443" s="15"/>
      <c r="H443" s="15"/>
      <c r="I443" s="15"/>
      <c r="J443" s="39"/>
      <c r="K443" s="40"/>
      <c r="L443" s="8"/>
      <c r="M443" s="8"/>
      <c r="N443" s="8"/>
      <c r="O443" s="8"/>
      <c r="P443" s="8"/>
      <c r="Q443" s="8"/>
      <c r="R443" s="8"/>
      <c r="S443" s="8"/>
      <c r="T443" s="8"/>
      <c r="U443" s="8"/>
      <c r="V443" s="8"/>
      <c r="W443" s="8"/>
      <c r="X443" s="8"/>
      <c r="Y443" s="8"/>
      <c r="Z443" s="8"/>
      <c r="AA443" s="8"/>
    </row>
    <row r="444" spans="1:27" ht="15">
      <c r="A444" s="15"/>
      <c r="B444" s="36"/>
      <c r="C444" s="15"/>
      <c r="D444" s="37"/>
      <c r="E444" s="15"/>
      <c r="F444" s="15"/>
      <c r="G444" s="15"/>
      <c r="H444" s="15"/>
      <c r="I444" s="15"/>
      <c r="J444" s="39"/>
      <c r="K444" s="40"/>
      <c r="L444" s="8"/>
      <c r="M444" s="8"/>
      <c r="N444" s="8"/>
      <c r="O444" s="8"/>
      <c r="P444" s="8"/>
      <c r="Q444" s="8"/>
      <c r="R444" s="8"/>
      <c r="S444" s="8"/>
      <c r="T444" s="8"/>
      <c r="U444" s="8"/>
      <c r="V444" s="8"/>
      <c r="W444" s="8"/>
      <c r="X444" s="8"/>
      <c r="Y444" s="8"/>
      <c r="Z444" s="8"/>
      <c r="AA444" s="8"/>
    </row>
    <row r="445" spans="1:27" ht="15">
      <c r="A445" s="15"/>
      <c r="B445" s="36"/>
      <c r="C445" s="15"/>
      <c r="D445" s="37"/>
      <c r="E445" s="15"/>
      <c r="F445" s="15"/>
      <c r="G445" s="15"/>
      <c r="H445" s="15"/>
      <c r="I445" s="15"/>
      <c r="J445" s="39"/>
      <c r="K445" s="40"/>
      <c r="L445" s="8"/>
      <c r="M445" s="8"/>
      <c r="N445" s="8"/>
      <c r="O445" s="8"/>
      <c r="P445" s="8"/>
      <c r="Q445" s="8"/>
      <c r="R445" s="8"/>
      <c r="S445" s="8"/>
      <c r="T445" s="8"/>
      <c r="U445" s="8"/>
      <c r="V445" s="8"/>
      <c r="W445" s="8"/>
      <c r="X445" s="8"/>
      <c r="Y445" s="8"/>
      <c r="Z445" s="8"/>
      <c r="AA445" s="8"/>
    </row>
    <row r="446" spans="1:27" ht="15">
      <c r="A446" s="15"/>
      <c r="B446" s="36"/>
      <c r="C446" s="15"/>
      <c r="D446" s="37"/>
      <c r="E446" s="15"/>
      <c r="F446" s="15"/>
      <c r="G446" s="15"/>
      <c r="H446" s="15"/>
      <c r="I446" s="15"/>
      <c r="J446" s="39"/>
      <c r="K446" s="40"/>
      <c r="L446" s="8"/>
      <c r="M446" s="8"/>
      <c r="N446" s="8"/>
      <c r="O446" s="8"/>
      <c r="P446" s="8"/>
      <c r="Q446" s="8"/>
      <c r="R446" s="8"/>
      <c r="S446" s="8"/>
      <c r="T446" s="8"/>
      <c r="U446" s="8"/>
      <c r="V446" s="8"/>
      <c r="W446" s="8"/>
      <c r="X446" s="8"/>
      <c r="Y446" s="8"/>
      <c r="Z446" s="8"/>
      <c r="AA446" s="8"/>
    </row>
    <row r="447" spans="1:27" ht="15">
      <c r="A447" s="15"/>
      <c r="B447" s="36"/>
      <c r="C447" s="15"/>
      <c r="D447" s="37"/>
      <c r="E447" s="15"/>
      <c r="F447" s="15"/>
      <c r="G447" s="15"/>
      <c r="H447" s="15"/>
      <c r="I447" s="15"/>
      <c r="J447" s="39"/>
      <c r="K447" s="40"/>
      <c r="L447" s="8"/>
      <c r="M447" s="8"/>
      <c r="N447" s="8"/>
      <c r="O447" s="8"/>
      <c r="P447" s="8"/>
      <c r="Q447" s="8"/>
      <c r="R447" s="8"/>
      <c r="S447" s="8"/>
      <c r="T447" s="8"/>
      <c r="U447" s="8"/>
      <c r="V447" s="8"/>
      <c r="W447" s="8"/>
      <c r="X447" s="8"/>
      <c r="Y447" s="8"/>
      <c r="Z447" s="8"/>
      <c r="AA447" s="8"/>
    </row>
    <row r="448" spans="1:27" ht="15">
      <c r="A448" s="15"/>
      <c r="B448" s="36"/>
      <c r="C448" s="15"/>
      <c r="D448" s="37"/>
      <c r="E448" s="15"/>
      <c r="F448" s="15"/>
      <c r="G448" s="15"/>
      <c r="H448" s="15"/>
      <c r="I448" s="15"/>
      <c r="J448" s="39"/>
      <c r="K448" s="40"/>
      <c r="L448" s="8"/>
      <c r="M448" s="8"/>
      <c r="N448" s="8"/>
      <c r="O448" s="8"/>
      <c r="P448" s="8"/>
      <c r="Q448" s="8"/>
      <c r="R448" s="8"/>
      <c r="S448" s="8"/>
      <c r="T448" s="8"/>
      <c r="U448" s="8"/>
      <c r="V448" s="8"/>
      <c r="W448" s="8"/>
      <c r="X448" s="8"/>
      <c r="Y448" s="8"/>
      <c r="Z448" s="8"/>
      <c r="AA448" s="8"/>
    </row>
    <row r="449" spans="1:27" ht="15">
      <c r="A449" s="15"/>
      <c r="B449" s="36"/>
      <c r="C449" s="15"/>
      <c r="D449" s="37"/>
      <c r="E449" s="15"/>
      <c r="F449" s="15"/>
      <c r="G449" s="15"/>
      <c r="H449" s="15"/>
      <c r="I449" s="15"/>
      <c r="J449" s="39"/>
      <c r="K449" s="40"/>
      <c r="L449" s="8"/>
      <c r="M449" s="8"/>
      <c r="N449" s="8"/>
      <c r="O449" s="8"/>
      <c r="P449" s="8"/>
      <c r="Q449" s="8"/>
      <c r="R449" s="8"/>
      <c r="S449" s="8"/>
      <c r="T449" s="8"/>
      <c r="U449" s="8"/>
      <c r="V449" s="8"/>
      <c r="W449" s="8"/>
      <c r="X449" s="8"/>
      <c r="Y449" s="8"/>
      <c r="Z449" s="8"/>
      <c r="AA449" s="8"/>
    </row>
    <row r="450" spans="1:27" ht="15">
      <c r="A450" s="15"/>
      <c r="B450" s="36"/>
      <c r="C450" s="15"/>
      <c r="D450" s="37"/>
      <c r="E450" s="15"/>
      <c r="F450" s="15"/>
      <c r="G450" s="15"/>
      <c r="H450" s="15"/>
      <c r="I450" s="15"/>
      <c r="J450" s="39"/>
      <c r="K450" s="40"/>
      <c r="L450" s="8"/>
      <c r="M450" s="8"/>
      <c r="N450" s="8"/>
      <c r="O450" s="8"/>
      <c r="P450" s="8"/>
      <c r="Q450" s="8"/>
      <c r="R450" s="8"/>
      <c r="S450" s="8"/>
      <c r="T450" s="8"/>
      <c r="U450" s="8"/>
      <c r="V450" s="8"/>
      <c r="W450" s="8"/>
      <c r="X450" s="8"/>
      <c r="Y450" s="8"/>
      <c r="Z450" s="8"/>
      <c r="AA450" s="8"/>
    </row>
    <row r="451" spans="1:27" ht="15">
      <c r="A451" s="15"/>
      <c r="B451" s="36"/>
      <c r="C451" s="15"/>
      <c r="D451" s="37"/>
      <c r="E451" s="15"/>
      <c r="F451" s="15"/>
      <c r="G451" s="15"/>
      <c r="H451" s="15"/>
      <c r="I451" s="15"/>
      <c r="J451" s="39"/>
      <c r="K451" s="40"/>
      <c r="L451" s="8"/>
      <c r="M451" s="8"/>
      <c r="N451" s="8"/>
      <c r="O451" s="8"/>
      <c r="P451" s="8"/>
      <c r="Q451" s="8"/>
      <c r="R451" s="8"/>
      <c r="S451" s="8"/>
      <c r="T451" s="8"/>
      <c r="U451" s="8"/>
      <c r="V451" s="8"/>
      <c r="W451" s="8"/>
      <c r="X451" s="8"/>
      <c r="Y451" s="8"/>
      <c r="Z451" s="8"/>
      <c r="AA451" s="8"/>
    </row>
    <row r="452" spans="1:27" ht="15">
      <c r="A452" s="15"/>
      <c r="B452" s="36"/>
      <c r="C452" s="15"/>
      <c r="D452" s="37"/>
      <c r="E452" s="15"/>
      <c r="F452" s="15"/>
      <c r="G452" s="15"/>
      <c r="H452" s="15"/>
      <c r="I452" s="15"/>
      <c r="J452" s="39"/>
      <c r="K452" s="40"/>
      <c r="L452" s="8"/>
      <c r="M452" s="8"/>
      <c r="N452" s="8"/>
      <c r="O452" s="8"/>
      <c r="P452" s="8"/>
      <c r="Q452" s="8"/>
      <c r="R452" s="8"/>
      <c r="S452" s="8"/>
      <c r="T452" s="8"/>
      <c r="U452" s="8"/>
      <c r="V452" s="8"/>
      <c r="W452" s="8"/>
      <c r="X452" s="8"/>
      <c r="Y452" s="8"/>
      <c r="Z452" s="8"/>
      <c r="AA452" s="8"/>
    </row>
    <row r="453" spans="1:27" ht="15">
      <c r="A453" s="15"/>
      <c r="B453" s="36"/>
      <c r="C453" s="15"/>
      <c r="D453" s="37"/>
      <c r="E453" s="15"/>
      <c r="F453" s="15"/>
      <c r="G453" s="15"/>
      <c r="H453" s="15"/>
      <c r="I453" s="15"/>
      <c r="J453" s="39"/>
      <c r="K453" s="40"/>
      <c r="L453" s="8"/>
      <c r="M453" s="8"/>
      <c r="N453" s="8"/>
      <c r="O453" s="8"/>
      <c r="P453" s="8"/>
      <c r="Q453" s="8"/>
      <c r="R453" s="8"/>
      <c r="S453" s="8"/>
      <c r="T453" s="8"/>
      <c r="U453" s="8"/>
      <c r="V453" s="8"/>
      <c r="W453" s="8"/>
      <c r="X453" s="8"/>
      <c r="Y453" s="8"/>
      <c r="Z453" s="8"/>
      <c r="AA453" s="8"/>
    </row>
    <row r="454" spans="1:27" ht="15">
      <c r="A454" s="15"/>
      <c r="B454" s="36"/>
      <c r="C454" s="15"/>
      <c r="D454" s="37"/>
      <c r="E454" s="15"/>
      <c r="F454" s="15"/>
      <c r="G454" s="15"/>
      <c r="H454" s="15"/>
      <c r="I454" s="15"/>
      <c r="J454" s="39"/>
      <c r="K454" s="40"/>
      <c r="L454" s="8"/>
      <c r="M454" s="8"/>
      <c r="N454" s="8"/>
      <c r="O454" s="8"/>
      <c r="P454" s="8"/>
      <c r="Q454" s="8"/>
      <c r="R454" s="8"/>
      <c r="S454" s="8"/>
      <c r="T454" s="8"/>
      <c r="U454" s="8"/>
      <c r="V454" s="8"/>
      <c r="W454" s="8"/>
      <c r="X454" s="8"/>
      <c r="Y454" s="8"/>
      <c r="Z454" s="8"/>
      <c r="AA454" s="8"/>
    </row>
    <row r="455" spans="1:27" ht="15">
      <c r="A455" s="15"/>
      <c r="B455" s="36"/>
      <c r="C455" s="15"/>
      <c r="D455" s="37"/>
      <c r="E455" s="15"/>
      <c r="F455" s="15"/>
      <c r="G455" s="15"/>
      <c r="H455" s="15"/>
      <c r="I455" s="15"/>
      <c r="J455" s="39"/>
      <c r="K455" s="40"/>
      <c r="L455" s="8"/>
      <c r="M455" s="8"/>
      <c r="N455" s="8"/>
      <c r="O455" s="8"/>
      <c r="P455" s="8"/>
      <c r="Q455" s="8"/>
      <c r="R455" s="8"/>
      <c r="S455" s="8"/>
      <c r="T455" s="8"/>
      <c r="U455" s="8"/>
      <c r="V455" s="8"/>
      <c r="W455" s="8"/>
      <c r="X455" s="8"/>
      <c r="Y455" s="8"/>
      <c r="Z455" s="8"/>
      <c r="AA455" s="8"/>
    </row>
    <row r="456" spans="1:27" ht="15">
      <c r="A456" s="15"/>
      <c r="B456" s="36"/>
      <c r="C456" s="15"/>
      <c r="D456" s="37"/>
      <c r="E456" s="15"/>
      <c r="F456" s="15"/>
      <c r="G456" s="15"/>
      <c r="H456" s="15"/>
      <c r="I456" s="15"/>
      <c r="J456" s="39"/>
      <c r="K456" s="40"/>
      <c r="L456" s="8"/>
      <c r="M456" s="8"/>
      <c r="N456" s="8"/>
      <c r="O456" s="8"/>
      <c r="P456" s="8"/>
      <c r="Q456" s="8"/>
      <c r="R456" s="8"/>
      <c r="S456" s="8"/>
      <c r="T456" s="8"/>
      <c r="U456" s="8"/>
      <c r="V456" s="8"/>
      <c r="W456" s="8"/>
      <c r="X456" s="8"/>
      <c r="Y456" s="8"/>
      <c r="Z456" s="8"/>
      <c r="AA456" s="8"/>
    </row>
    <row r="457" spans="1:27" ht="15">
      <c r="A457" s="15"/>
      <c r="B457" s="36"/>
      <c r="C457" s="15"/>
      <c r="D457" s="37"/>
      <c r="E457" s="15"/>
      <c r="F457" s="15"/>
      <c r="G457" s="15"/>
      <c r="H457" s="15"/>
      <c r="I457" s="15"/>
      <c r="J457" s="39"/>
      <c r="K457" s="40"/>
      <c r="L457" s="8"/>
      <c r="M457" s="8"/>
      <c r="N457" s="8"/>
      <c r="O457" s="8"/>
      <c r="P457" s="8"/>
      <c r="Q457" s="8"/>
      <c r="R457" s="8"/>
      <c r="S457" s="8"/>
      <c r="T457" s="8"/>
      <c r="U457" s="8"/>
      <c r="V457" s="8"/>
      <c r="W457" s="8"/>
      <c r="X457" s="8"/>
      <c r="Y457" s="8"/>
      <c r="Z457" s="8"/>
      <c r="AA457" s="8"/>
    </row>
    <row r="458" spans="1:27" ht="15">
      <c r="A458" s="15"/>
      <c r="B458" s="36"/>
      <c r="C458" s="15"/>
      <c r="D458" s="37"/>
      <c r="E458" s="15"/>
      <c r="F458" s="15"/>
      <c r="G458" s="15"/>
      <c r="H458" s="15"/>
      <c r="I458" s="15"/>
      <c r="J458" s="39"/>
      <c r="K458" s="40"/>
      <c r="L458" s="8"/>
      <c r="M458" s="8"/>
      <c r="N458" s="8"/>
      <c r="O458" s="8"/>
      <c r="P458" s="8"/>
      <c r="Q458" s="8"/>
      <c r="R458" s="8"/>
      <c r="S458" s="8"/>
      <c r="T458" s="8"/>
      <c r="U458" s="8"/>
      <c r="V458" s="8"/>
      <c r="W458" s="8"/>
      <c r="X458" s="8"/>
      <c r="Y458" s="8"/>
      <c r="Z458" s="8"/>
      <c r="AA458" s="8"/>
    </row>
    <row r="459" spans="1:27" ht="15">
      <c r="A459" s="15"/>
      <c r="B459" s="36"/>
      <c r="C459" s="15"/>
      <c r="D459" s="37"/>
      <c r="E459" s="15"/>
      <c r="F459" s="15"/>
      <c r="G459" s="15"/>
      <c r="H459" s="15"/>
      <c r="I459" s="15"/>
      <c r="J459" s="39"/>
      <c r="K459" s="40"/>
      <c r="L459" s="8"/>
      <c r="M459" s="8"/>
      <c r="N459" s="8"/>
      <c r="O459" s="8"/>
      <c r="P459" s="8"/>
      <c r="Q459" s="8"/>
      <c r="R459" s="8"/>
      <c r="S459" s="8"/>
      <c r="T459" s="8"/>
      <c r="U459" s="8"/>
      <c r="V459" s="8"/>
      <c r="W459" s="8"/>
      <c r="X459" s="8"/>
      <c r="Y459" s="8"/>
      <c r="Z459" s="8"/>
      <c r="AA459" s="8"/>
    </row>
    <row r="460" spans="1:27" ht="15">
      <c r="A460" s="15"/>
      <c r="B460" s="36"/>
      <c r="C460" s="15"/>
      <c r="D460" s="37"/>
      <c r="E460" s="15"/>
      <c r="F460" s="15"/>
      <c r="G460" s="15"/>
      <c r="H460" s="15"/>
      <c r="I460" s="15"/>
      <c r="J460" s="39"/>
      <c r="K460" s="40"/>
      <c r="L460" s="8"/>
      <c r="M460" s="8"/>
      <c r="N460" s="8"/>
      <c r="O460" s="8"/>
      <c r="P460" s="8"/>
      <c r="Q460" s="8"/>
      <c r="R460" s="8"/>
      <c r="S460" s="8"/>
      <c r="T460" s="8"/>
      <c r="U460" s="8"/>
      <c r="V460" s="8"/>
      <c r="W460" s="8"/>
      <c r="X460" s="8"/>
      <c r="Y460" s="8"/>
      <c r="Z460" s="8"/>
      <c r="AA460" s="8"/>
    </row>
    <row r="461" spans="1:27" ht="15">
      <c r="A461" s="15"/>
      <c r="B461" s="36"/>
      <c r="C461" s="15"/>
      <c r="D461" s="37"/>
      <c r="E461" s="15"/>
      <c r="F461" s="15"/>
      <c r="G461" s="15"/>
      <c r="H461" s="15"/>
      <c r="I461" s="15"/>
      <c r="J461" s="39"/>
      <c r="K461" s="40"/>
      <c r="L461" s="8"/>
      <c r="M461" s="8"/>
      <c r="N461" s="8"/>
      <c r="O461" s="8"/>
      <c r="P461" s="8"/>
      <c r="Q461" s="8"/>
      <c r="R461" s="8"/>
      <c r="S461" s="8"/>
      <c r="T461" s="8"/>
      <c r="U461" s="8"/>
      <c r="V461" s="8"/>
      <c r="W461" s="8"/>
      <c r="X461" s="8"/>
      <c r="Y461" s="8"/>
      <c r="Z461" s="8"/>
      <c r="AA461" s="8"/>
    </row>
    <row r="462" spans="1:27" ht="15">
      <c r="A462" s="15"/>
      <c r="B462" s="36"/>
      <c r="C462" s="15"/>
      <c r="D462" s="37"/>
      <c r="E462" s="15"/>
      <c r="F462" s="15"/>
      <c r="G462" s="15"/>
      <c r="H462" s="15"/>
      <c r="I462" s="15"/>
      <c r="J462" s="39"/>
      <c r="K462" s="40"/>
      <c r="L462" s="8"/>
      <c r="M462" s="8"/>
      <c r="N462" s="8"/>
      <c r="O462" s="8"/>
      <c r="P462" s="8"/>
      <c r="Q462" s="8"/>
      <c r="R462" s="8"/>
      <c r="S462" s="8"/>
      <c r="T462" s="8"/>
      <c r="U462" s="8"/>
      <c r="V462" s="8"/>
      <c r="W462" s="8"/>
      <c r="X462" s="8"/>
      <c r="Y462" s="8"/>
      <c r="Z462" s="8"/>
      <c r="AA462" s="8"/>
    </row>
    <row r="463" spans="1:27" ht="15">
      <c r="A463" s="15"/>
      <c r="B463" s="36"/>
      <c r="C463" s="15"/>
      <c r="D463" s="37"/>
      <c r="E463" s="15"/>
      <c r="F463" s="15"/>
      <c r="G463" s="15"/>
      <c r="H463" s="15"/>
      <c r="I463" s="15"/>
      <c r="J463" s="39"/>
      <c r="K463" s="40"/>
      <c r="L463" s="8"/>
      <c r="M463" s="8"/>
      <c r="N463" s="8"/>
      <c r="O463" s="8"/>
      <c r="P463" s="8"/>
      <c r="Q463" s="8"/>
      <c r="R463" s="8"/>
      <c r="S463" s="8"/>
      <c r="T463" s="8"/>
      <c r="U463" s="8"/>
      <c r="V463" s="8"/>
      <c r="W463" s="8"/>
      <c r="X463" s="8"/>
      <c r="Y463" s="8"/>
      <c r="Z463" s="8"/>
      <c r="AA463" s="8"/>
    </row>
    <row r="464" spans="1:27" ht="15">
      <c r="A464" s="15"/>
      <c r="B464" s="36"/>
      <c r="C464" s="15"/>
      <c r="D464" s="37"/>
      <c r="E464" s="15"/>
      <c r="F464" s="15"/>
      <c r="G464" s="15"/>
      <c r="H464" s="15"/>
      <c r="I464" s="15"/>
      <c r="J464" s="39"/>
      <c r="K464" s="40"/>
      <c r="L464" s="8"/>
      <c r="M464" s="8"/>
      <c r="N464" s="8"/>
      <c r="O464" s="8"/>
      <c r="P464" s="8"/>
      <c r="Q464" s="8"/>
      <c r="R464" s="8"/>
      <c r="S464" s="8"/>
      <c r="T464" s="8"/>
      <c r="U464" s="8"/>
      <c r="V464" s="8"/>
      <c r="W464" s="8"/>
      <c r="X464" s="8"/>
      <c r="Y464" s="8"/>
      <c r="Z464" s="8"/>
      <c r="AA464" s="8"/>
    </row>
    <row r="465" spans="1:27" ht="15">
      <c r="A465" s="15"/>
      <c r="B465" s="36"/>
      <c r="C465" s="15"/>
      <c r="D465" s="37"/>
      <c r="E465" s="15"/>
      <c r="F465" s="15"/>
      <c r="G465" s="15"/>
      <c r="H465" s="15"/>
      <c r="I465" s="15"/>
      <c r="J465" s="39"/>
      <c r="K465" s="40"/>
      <c r="L465" s="8"/>
      <c r="M465" s="8"/>
      <c r="N465" s="8"/>
      <c r="O465" s="8"/>
      <c r="P465" s="8"/>
      <c r="Q465" s="8"/>
      <c r="R465" s="8"/>
      <c r="S465" s="8"/>
      <c r="T465" s="8"/>
      <c r="U465" s="8"/>
      <c r="V465" s="8"/>
      <c r="W465" s="8"/>
      <c r="X465" s="8"/>
      <c r="Y465" s="8"/>
      <c r="Z465" s="8"/>
      <c r="AA465" s="8"/>
    </row>
    <row r="466" spans="1:27" ht="15">
      <c r="A466" s="15"/>
      <c r="B466" s="36"/>
      <c r="C466" s="15"/>
      <c r="D466" s="37"/>
      <c r="E466" s="15"/>
      <c r="F466" s="15"/>
      <c r="G466" s="15"/>
      <c r="H466" s="15"/>
      <c r="I466" s="15"/>
      <c r="J466" s="39"/>
      <c r="K466" s="40"/>
      <c r="L466" s="8"/>
      <c r="M466" s="8"/>
      <c r="N466" s="8"/>
      <c r="O466" s="8"/>
      <c r="P466" s="8"/>
      <c r="Q466" s="8"/>
      <c r="R466" s="8"/>
      <c r="S466" s="8"/>
      <c r="T466" s="8"/>
      <c r="U466" s="8"/>
      <c r="V466" s="8"/>
      <c r="W466" s="8"/>
      <c r="X466" s="8"/>
      <c r="Y466" s="8"/>
      <c r="Z466" s="8"/>
      <c r="AA466" s="8"/>
    </row>
    <row r="467" spans="1:27" ht="15">
      <c r="A467" s="15"/>
      <c r="B467" s="36"/>
      <c r="C467" s="15"/>
      <c r="D467" s="37"/>
      <c r="E467" s="15"/>
      <c r="F467" s="15"/>
      <c r="G467" s="15"/>
      <c r="H467" s="15"/>
      <c r="I467" s="15"/>
      <c r="J467" s="39"/>
      <c r="K467" s="40"/>
      <c r="L467" s="8"/>
      <c r="M467" s="8"/>
      <c r="N467" s="8"/>
      <c r="O467" s="8"/>
      <c r="P467" s="8"/>
      <c r="Q467" s="8"/>
      <c r="R467" s="8"/>
      <c r="S467" s="8"/>
      <c r="T467" s="8"/>
      <c r="U467" s="8"/>
      <c r="V467" s="8"/>
      <c r="W467" s="8"/>
      <c r="X467" s="8"/>
      <c r="Y467" s="8"/>
      <c r="Z467" s="8"/>
      <c r="AA467" s="8"/>
    </row>
    <row r="468" spans="1:27" ht="15">
      <c r="A468" s="15"/>
      <c r="B468" s="36"/>
      <c r="C468" s="15"/>
      <c r="D468" s="37"/>
      <c r="E468" s="15"/>
      <c r="F468" s="15"/>
      <c r="G468" s="15"/>
      <c r="H468" s="15"/>
      <c r="I468" s="15"/>
      <c r="J468" s="39"/>
      <c r="K468" s="40"/>
      <c r="L468" s="8"/>
      <c r="M468" s="8"/>
      <c r="N468" s="8"/>
      <c r="O468" s="8"/>
      <c r="P468" s="8"/>
      <c r="Q468" s="8"/>
      <c r="R468" s="8"/>
      <c r="S468" s="8"/>
      <c r="T468" s="8"/>
      <c r="U468" s="8"/>
      <c r="V468" s="8"/>
      <c r="W468" s="8"/>
      <c r="X468" s="8"/>
      <c r="Y468" s="8"/>
      <c r="Z468" s="8"/>
      <c r="AA468" s="8"/>
    </row>
    <row r="469" spans="1:27" ht="15">
      <c r="A469" s="15"/>
      <c r="B469" s="36"/>
      <c r="C469" s="15"/>
      <c r="D469" s="37"/>
      <c r="E469" s="15"/>
      <c r="F469" s="15"/>
      <c r="G469" s="15"/>
      <c r="H469" s="15"/>
      <c r="I469" s="15"/>
      <c r="J469" s="39"/>
      <c r="K469" s="40"/>
      <c r="L469" s="8"/>
      <c r="M469" s="8"/>
      <c r="N469" s="8"/>
      <c r="O469" s="8"/>
      <c r="P469" s="8"/>
      <c r="Q469" s="8"/>
      <c r="R469" s="8"/>
      <c r="S469" s="8"/>
      <c r="T469" s="8"/>
      <c r="U469" s="8"/>
      <c r="V469" s="8"/>
      <c r="W469" s="8"/>
      <c r="X469" s="8"/>
      <c r="Y469" s="8"/>
      <c r="Z469" s="8"/>
      <c r="AA469" s="8"/>
    </row>
    <row r="470" spans="1:27" ht="15">
      <c r="A470" s="15"/>
      <c r="B470" s="36"/>
      <c r="C470" s="15"/>
      <c r="D470" s="37"/>
      <c r="E470" s="15"/>
      <c r="F470" s="15"/>
      <c r="G470" s="15"/>
      <c r="H470" s="15"/>
      <c r="I470" s="15"/>
      <c r="J470" s="39"/>
      <c r="K470" s="40"/>
      <c r="L470" s="8"/>
      <c r="M470" s="8"/>
      <c r="N470" s="8"/>
      <c r="O470" s="8"/>
      <c r="P470" s="8"/>
      <c r="Q470" s="8"/>
      <c r="R470" s="8"/>
      <c r="S470" s="8"/>
      <c r="T470" s="8"/>
      <c r="U470" s="8"/>
      <c r="V470" s="8"/>
      <c r="W470" s="8"/>
      <c r="X470" s="8"/>
      <c r="Y470" s="8"/>
      <c r="Z470" s="8"/>
      <c r="AA470" s="8"/>
    </row>
    <row r="471" spans="1:27" ht="15">
      <c r="A471" s="15"/>
      <c r="B471" s="36"/>
      <c r="C471" s="15"/>
      <c r="D471" s="37"/>
      <c r="E471" s="15"/>
      <c r="F471" s="15"/>
      <c r="G471" s="15"/>
      <c r="H471" s="15"/>
      <c r="I471" s="15"/>
      <c r="J471" s="39"/>
      <c r="K471" s="40"/>
      <c r="L471" s="8"/>
      <c r="M471" s="8"/>
      <c r="N471" s="8"/>
      <c r="O471" s="8"/>
      <c r="P471" s="8"/>
      <c r="Q471" s="8"/>
      <c r="R471" s="8"/>
      <c r="S471" s="8"/>
      <c r="T471" s="8"/>
      <c r="U471" s="8"/>
      <c r="V471" s="8"/>
      <c r="W471" s="8"/>
      <c r="X471" s="8"/>
      <c r="Y471" s="8"/>
      <c r="Z471" s="8"/>
      <c r="AA471" s="8"/>
    </row>
    <row r="472" spans="1:27" ht="15">
      <c r="A472" s="15"/>
      <c r="B472" s="36"/>
      <c r="C472" s="15"/>
      <c r="D472" s="37"/>
      <c r="E472" s="15"/>
      <c r="F472" s="15"/>
      <c r="G472" s="15"/>
      <c r="H472" s="15"/>
      <c r="I472" s="15"/>
      <c r="J472" s="39"/>
      <c r="K472" s="40"/>
      <c r="L472" s="8"/>
      <c r="M472" s="8"/>
      <c r="N472" s="8"/>
      <c r="O472" s="8"/>
      <c r="P472" s="8"/>
      <c r="Q472" s="8"/>
      <c r="R472" s="8"/>
      <c r="S472" s="8"/>
      <c r="T472" s="8"/>
      <c r="U472" s="8"/>
      <c r="V472" s="8"/>
      <c r="W472" s="8"/>
      <c r="X472" s="8"/>
      <c r="Y472" s="8"/>
      <c r="Z472" s="8"/>
      <c r="AA472" s="8"/>
    </row>
    <row r="473" spans="1:27" ht="15">
      <c r="A473" s="15"/>
      <c r="B473" s="36"/>
      <c r="C473" s="15"/>
      <c r="D473" s="37"/>
      <c r="E473" s="15"/>
      <c r="F473" s="15"/>
      <c r="G473" s="15"/>
      <c r="H473" s="15"/>
      <c r="I473" s="15"/>
      <c r="J473" s="39"/>
      <c r="K473" s="40"/>
      <c r="L473" s="8"/>
      <c r="M473" s="8"/>
      <c r="N473" s="8"/>
      <c r="O473" s="8"/>
      <c r="P473" s="8"/>
      <c r="Q473" s="8"/>
      <c r="R473" s="8"/>
      <c r="S473" s="8"/>
      <c r="T473" s="8"/>
      <c r="U473" s="8"/>
      <c r="V473" s="8"/>
      <c r="W473" s="8"/>
      <c r="X473" s="8"/>
      <c r="Y473" s="8"/>
      <c r="Z473" s="8"/>
      <c r="AA473" s="8"/>
    </row>
    <row r="474" spans="1:27" ht="15">
      <c r="A474" s="15"/>
      <c r="B474" s="36"/>
      <c r="C474" s="15"/>
      <c r="D474" s="37"/>
      <c r="E474" s="15"/>
      <c r="F474" s="15"/>
      <c r="G474" s="15"/>
      <c r="H474" s="15"/>
      <c r="I474" s="15"/>
      <c r="J474" s="39"/>
      <c r="K474" s="40"/>
      <c r="L474" s="8"/>
      <c r="M474" s="8"/>
      <c r="N474" s="8"/>
      <c r="O474" s="8"/>
      <c r="P474" s="8"/>
      <c r="Q474" s="8"/>
      <c r="R474" s="8"/>
      <c r="S474" s="8"/>
      <c r="T474" s="8"/>
      <c r="U474" s="8"/>
      <c r="V474" s="8"/>
      <c r="W474" s="8"/>
      <c r="X474" s="8"/>
      <c r="Y474" s="8"/>
      <c r="Z474" s="8"/>
      <c r="AA474" s="8"/>
    </row>
    <row r="475" spans="1:27" ht="15">
      <c r="A475" s="15"/>
      <c r="B475" s="36"/>
      <c r="C475" s="15"/>
      <c r="D475" s="37"/>
      <c r="E475" s="15"/>
      <c r="F475" s="15"/>
      <c r="G475" s="15"/>
      <c r="H475" s="15"/>
      <c r="I475" s="15"/>
      <c r="J475" s="39"/>
      <c r="K475" s="40"/>
      <c r="L475" s="8"/>
      <c r="M475" s="8"/>
      <c r="N475" s="8"/>
      <c r="O475" s="8"/>
      <c r="P475" s="8"/>
      <c r="Q475" s="8"/>
      <c r="R475" s="8"/>
      <c r="S475" s="8"/>
      <c r="T475" s="8"/>
      <c r="U475" s="8"/>
      <c r="V475" s="8"/>
      <c r="W475" s="8"/>
      <c r="X475" s="8"/>
      <c r="Y475" s="8"/>
      <c r="Z475" s="8"/>
      <c r="AA475" s="8"/>
    </row>
    <row r="476" spans="1:27" ht="15">
      <c r="A476" s="15"/>
      <c r="B476" s="36"/>
      <c r="C476" s="15"/>
      <c r="D476" s="37"/>
      <c r="E476" s="15"/>
      <c r="F476" s="15"/>
      <c r="G476" s="15"/>
      <c r="H476" s="15"/>
      <c r="I476" s="15"/>
      <c r="J476" s="39"/>
      <c r="K476" s="40"/>
      <c r="L476" s="8"/>
      <c r="M476" s="8"/>
      <c r="N476" s="8"/>
      <c r="O476" s="8"/>
      <c r="P476" s="8"/>
      <c r="Q476" s="8"/>
      <c r="R476" s="8"/>
      <c r="S476" s="8"/>
      <c r="T476" s="8"/>
      <c r="U476" s="8"/>
      <c r="V476" s="8"/>
      <c r="W476" s="8"/>
      <c r="X476" s="8"/>
      <c r="Y476" s="8"/>
      <c r="Z476" s="8"/>
      <c r="AA476" s="8"/>
    </row>
    <row r="477" spans="1:27" ht="15">
      <c r="A477" s="15"/>
      <c r="B477" s="36"/>
      <c r="C477" s="15"/>
      <c r="D477" s="37"/>
      <c r="E477" s="15"/>
      <c r="F477" s="15"/>
      <c r="G477" s="15"/>
      <c r="H477" s="15"/>
      <c r="I477" s="15"/>
      <c r="J477" s="39"/>
      <c r="K477" s="40"/>
      <c r="L477" s="8"/>
      <c r="M477" s="8"/>
      <c r="N477" s="8"/>
      <c r="O477" s="8"/>
      <c r="P477" s="8"/>
      <c r="Q477" s="8"/>
      <c r="R477" s="8"/>
      <c r="S477" s="8"/>
      <c r="T477" s="8"/>
      <c r="U477" s="8"/>
      <c r="V477" s="8"/>
      <c r="W477" s="8"/>
      <c r="X477" s="8"/>
      <c r="Y477" s="8"/>
      <c r="Z477" s="8"/>
      <c r="AA477" s="8"/>
    </row>
    <row r="478" spans="1:27" ht="15">
      <c r="A478" s="15"/>
      <c r="B478" s="36"/>
      <c r="C478" s="15"/>
      <c r="D478" s="37"/>
      <c r="E478" s="15"/>
      <c r="F478" s="15"/>
      <c r="G478" s="15"/>
      <c r="H478" s="15"/>
      <c r="I478" s="15"/>
      <c r="J478" s="39"/>
      <c r="K478" s="40"/>
      <c r="L478" s="8"/>
      <c r="M478" s="8"/>
      <c r="N478" s="8"/>
      <c r="O478" s="8"/>
      <c r="P478" s="8"/>
      <c r="Q478" s="8"/>
      <c r="R478" s="8"/>
      <c r="S478" s="8"/>
      <c r="T478" s="8"/>
      <c r="U478" s="8"/>
      <c r="V478" s="8"/>
      <c r="W478" s="8"/>
      <c r="X478" s="8"/>
      <c r="Y478" s="8"/>
      <c r="Z478" s="8"/>
      <c r="AA478" s="8"/>
    </row>
    <row r="479" spans="1:27" ht="15">
      <c r="A479" s="15"/>
      <c r="B479" s="36"/>
      <c r="C479" s="15"/>
      <c r="D479" s="37"/>
      <c r="E479" s="15"/>
      <c r="F479" s="15"/>
      <c r="G479" s="15"/>
      <c r="H479" s="15"/>
      <c r="I479" s="15"/>
      <c r="J479" s="39"/>
      <c r="K479" s="40"/>
      <c r="L479" s="8"/>
      <c r="M479" s="8"/>
      <c r="N479" s="8"/>
      <c r="O479" s="8"/>
      <c r="P479" s="8"/>
      <c r="Q479" s="8"/>
      <c r="R479" s="8"/>
      <c r="S479" s="8"/>
      <c r="T479" s="8"/>
      <c r="U479" s="8"/>
      <c r="V479" s="8"/>
      <c r="W479" s="8"/>
      <c r="X479" s="8"/>
      <c r="Y479" s="8"/>
      <c r="Z479" s="8"/>
      <c r="AA479" s="8"/>
    </row>
    <row r="480" spans="1:27" ht="15">
      <c r="A480" s="15"/>
      <c r="B480" s="36"/>
      <c r="C480" s="15"/>
      <c r="D480" s="37"/>
      <c r="E480" s="15"/>
      <c r="F480" s="15"/>
      <c r="G480" s="15"/>
      <c r="H480" s="15"/>
      <c r="I480" s="15"/>
      <c r="J480" s="39"/>
      <c r="K480" s="40"/>
      <c r="L480" s="8"/>
      <c r="M480" s="8"/>
      <c r="N480" s="8"/>
      <c r="O480" s="8"/>
      <c r="P480" s="8"/>
      <c r="Q480" s="8"/>
      <c r="R480" s="8"/>
      <c r="S480" s="8"/>
      <c r="T480" s="8"/>
      <c r="U480" s="8"/>
      <c r="V480" s="8"/>
      <c r="W480" s="8"/>
      <c r="X480" s="8"/>
      <c r="Y480" s="8"/>
      <c r="Z480" s="8"/>
      <c r="AA480" s="8"/>
    </row>
    <row r="481" spans="1:27" ht="15">
      <c r="A481" s="15"/>
      <c r="B481" s="36"/>
      <c r="C481" s="15"/>
      <c r="D481" s="37"/>
      <c r="E481" s="15"/>
      <c r="F481" s="15"/>
      <c r="G481" s="15"/>
      <c r="H481" s="15"/>
      <c r="I481" s="15"/>
      <c r="J481" s="39"/>
      <c r="K481" s="40"/>
      <c r="L481" s="8"/>
      <c r="M481" s="8"/>
      <c r="N481" s="8"/>
      <c r="O481" s="8"/>
      <c r="P481" s="8"/>
      <c r="Q481" s="8"/>
      <c r="R481" s="8"/>
      <c r="S481" s="8"/>
      <c r="T481" s="8"/>
      <c r="U481" s="8"/>
      <c r="V481" s="8"/>
      <c r="W481" s="8"/>
      <c r="X481" s="8"/>
      <c r="Y481" s="8"/>
      <c r="Z481" s="8"/>
      <c r="AA481" s="8"/>
    </row>
    <row r="482" spans="1:27" ht="15">
      <c r="A482" s="15"/>
      <c r="B482" s="36"/>
      <c r="C482" s="15"/>
      <c r="D482" s="37"/>
      <c r="E482" s="15"/>
      <c r="F482" s="15"/>
      <c r="G482" s="15"/>
      <c r="H482" s="15"/>
      <c r="I482" s="15"/>
      <c r="J482" s="39"/>
      <c r="K482" s="40"/>
      <c r="L482" s="8"/>
      <c r="M482" s="8"/>
      <c r="N482" s="8"/>
      <c r="O482" s="8"/>
      <c r="P482" s="8"/>
      <c r="Q482" s="8"/>
      <c r="R482" s="8"/>
      <c r="S482" s="8"/>
      <c r="T482" s="8"/>
      <c r="U482" s="8"/>
      <c r="V482" s="8"/>
      <c r="W482" s="8"/>
      <c r="X482" s="8"/>
      <c r="Y482" s="8"/>
      <c r="Z482" s="8"/>
      <c r="AA482" s="8"/>
    </row>
    <row r="483" spans="1:27" ht="15">
      <c r="A483" s="15"/>
      <c r="B483" s="36"/>
      <c r="C483" s="15"/>
      <c r="D483" s="37"/>
      <c r="E483" s="15"/>
      <c r="F483" s="15"/>
      <c r="G483" s="15"/>
      <c r="H483" s="15"/>
      <c r="I483" s="15"/>
      <c r="J483" s="39"/>
      <c r="K483" s="40"/>
      <c r="L483" s="8"/>
      <c r="M483" s="8"/>
      <c r="N483" s="8"/>
      <c r="O483" s="8"/>
      <c r="P483" s="8"/>
      <c r="Q483" s="8"/>
      <c r="R483" s="8"/>
      <c r="S483" s="8"/>
      <c r="T483" s="8"/>
      <c r="U483" s="8"/>
      <c r="V483" s="8"/>
      <c r="W483" s="8"/>
      <c r="X483" s="8"/>
      <c r="Y483" s="8"/>
      <c r="Z483" s="8"/>
      <c r="AA483" s="8"/>
    </row>
    <row r="484" spans="1:27" ht="15">
      <c r="A484" s="15"/>
      <c r="B484" s="36"/>
      <c r="C484" s="15"/>
      <c r="D484" s="37"/>
      <c r="E484" s="15"/>
      <c r="F484" s="15"/>
      <c r="G484" s="15"/>
      <c r="H484" s="15"/>
      <c r="I484" s="15"/>
      <c r="J484" s="39"/>
      <c r="K484" s="40"/>
      <c r="L484" s="8"/>
      <c r="M484" s="8"/>
      <c r="N484" s="8"/>
      <c r="O484" s="8"/>
      <c r="P484" s="8"/>
      <c r="Q484" s="8"/>
      <c r="R484" s="8"/>
      <c r="S484" s="8"/>
      <c r="T484" s="8"/>
      <c r="U484" s="8"/>
      <c r="V484" s="8"/>
      <c r="W484" s="8"/>
      <c r="X484" s="8"/>
      <c r="Y484" s="8"/>
      <c r="Z484" s="8"/>
      <c r="AA484" s="8"/>
    </row>
    <row r="485" spans="1:27" ht="15">
      <c r="A485" s="15"/>
      <c r="B485" s="36"/>
      <c r="C485" s="15"/>
      <c r="D485" s="37"/>
      <c r="E485" s="15"/>
      <c r="F485" s="15"/>
      <c r="G485" s="15"/>
      <c r="H485" s="15"/>
      <c r="I485" s="15"/>
      <c r="J485" s="39"/>
      <c r="K485" s="40"/>
      <c r="L485" s="8"/>
      <c r="M485" s="8"/>
      <c r="N485" s="8"/>
      <c r="O485" s="8"/>
      <c r="P485" s="8"/>
      <c r="Q485" s="8"/>
      <c r="R485" s="8"/>
      <c r="S485" s="8"/>
      <c r="T485" s="8"/>
      <c r="U485" s="8"/>
      <c r="V485" s="8"/>
      <c r="W485" s="8"/>
      <c r="X485" s="8"/>
      <c r="Y485" s="8"/>
      <c r="Z485" s="8"/>
      <c r="AA485" s="8"/>
    </row>
    <row r="486" spans="1:27" ht="15">
      <c r="A486" s="15"/>
      <c r="B486" s="36"/>
      <c r="C486" s="15"/>
      <c r="D486" s="37"/>
      <c r="E486" s="15"/>
      <c r="F486" s="15"/>
      <c r="G486" s="15"/>
      <c r="H486" s="15"/>
      <c r="I486" s="15"/>
      <c r="J486" s="39"/>
      <c r="K486" s="40"/>
      <c r="L486" s="8"/>
      <c r="M486" s="8"/>
      <c r="N486" s="8"/>
      <c r="O486" s="8"/>
      <c r="P486" s="8"/>
      <c r="Q486" s="8"/>
      <c r="R486" s="8"/>
      <c r="S486" s="8"/>
      <c r="T486" s="8"/>
      <c r="U486" s="8"/>
      <c r="V486" s="8"/>
      <c r="W486" s="8"/>
      <c r="X486" s="8"/>
      <c r="Y486" s="8"/>
      <c r="Z486" s="8"/>
      <c r="AA486" s="8"/>
    </row>
    <row r="487" spans="1:27" ht="15">
      <c r="A487" s="15"/>
      <c r="B487" s="36"/>
      <c r="C487" s="15"/>
      <c r="D487" s="37"/>
      <c r="E487" s="15"/>
      <c r="F487" s="15"/>
      <c r="G487" s="15"/>
      <c r="H487" s="15"/>
      <c r="I487" s="15"/>
      <c r="J487" s="39"/>
      <c r="K487" s="40"/>
      <c r="L487" s="8"/>
      <c r="M487" s="8"/>
      <c r="N487" s="8"/>
      <c r="O487" s="8"/>
      <c r="P487" s="8"/>
      <c r="Q487" s="8"/>
      <c r="R487" s="8"/>
      <c r="S487" s="8"/>
      <c r="T487" s="8"/>
      <c r="U487" s="8"/>
      <c r="V487" s="8"/>
      <c r="W487" s="8"/>
      <c r="X487" s="8"/>
      <c r="Y487" s="8"/>
      <c r="Z487" s="8"/>
      <c r="AA487" s="8"/>
    </row>
    <row r="488" spans="1:27" ht="15">
      <c r="A488" s="15"/>
      <c r="B488" s="36"/>
      <c r="C488" s="15"/>
      <c r="D488" s="37"/>
      <c r="E488" s="15"/>
      <c r="F488" s="15"/>
      <c r="G488" s="15"/>
      <c r="H488" s="15"/>
      <c r="I488" s="15"/>
      <c r="J488" s="39"/>
      <c r="K488" s="40"/>
      <c r="L488" s="8"/>
      <c r="M488" s="8"/>
      <c r="N488" s="8"/>
      <c r="O488" s="8"/>
      <c r="P488" s="8"/>
      <c r="Q488" s="8"/>
      <c r="R488" s="8"/>
      <c r="S488" s="8"/>
      <c r="T488" s="8"/>
      <c r="U488" s="8"/>
      <c r="V488" s="8"/>
      <c r="W488" s="8"/>
      <c r="X488" s="8"/>
      <c r="Y488" s="8"/>
      <c r="Z488" s="8"/>
      <c r="AA488" s="8"/>
    </row>
    <row r="489" spans="1:27" ht="15">
      <c r="A489" s="15"/>
      <c r="B489" s="36"/>
      <c r="C489" s="15"/>
      <c r="D489" s="37"/>
      <c r="E489" s="15"/>
      <c r="F489" s="15"/>
      <c r="G489" s="15"/>
      <c r="H489" s="15"/>
      <c r="I489" s="15"/>
      <c r="J489" s="39"/>
      <c r="K489" s="40"/>
      <c r="L489" s="8"/>
      <c r="M489" s="8"/>
      <c r="N489" s="8"/>
      <c r="O489" s="8"/>
      <c r="P489" s="8"/>
      <c r="Q489" s="8"/>
      <c r="R489" s="8"/>
      <c r="S489" s="8"/>
      <c r="T489" s="8"/>
      <c r="U489" s="8"/>
      <c r="V489" s="8"/>
      <c r="W489" s="8"/>
      <c r="X489" s="8"/>
      <c r="Y489" s="8"/>
      <c r="Z489" s="8"/>
      <c r="AA489" s="8"/>
    </row>
    <row r="490" spans="1:27" ht="15">
      <c r="A490" s="15"/>
      <c r="B490" s="36"/>
      <c r="C490" s="15"/>
      <c r="D490" s="37"/>
      <c r="E490" s="15"/>
      <c r="F490" s="15"/>
      <c r="G490" s="15"/>
      <c r="H490" s="15"/>
      <c r="I490" s="15"/>
      <c r="J490" s="39"/>
      <c r="K490" s="40"/>
      <c r="L490" s="8"/>
      <c r="M490" s="8"/>
      <c r="N490" s="8"/>
      <c r="O490" s="8"/>
      <c r="P490" s="8"/>
      <c r="Q490" s="8"/>
      <c r="R490" s="8"/>
      <c r="S490" s="8"/>
      <c r="T490" s="8"/>
      <c r="U490" s="8"/>
      <c r="V490" s="8"/>
      <c r="W490" s="8"/>
      <c r="X490" s="8"/>
      <c r="Y490" s="8"/>
      <c r="Z490" s="8"/>
      <c r="AA490" s="8"/>
    </row>
    <row r="491" spans="1:27" ht="15">
      <c r="A491" s="15"/>
      <c r="B491" s="36"/>
      <c r="C491" s="15"/>
      <c r="D491" s="37"/>
      <c r="E491" s="15"/>
      <c r="F491" s="15"/>
      <c r="G491" s="15"/>
      <c r="H491" s="15"/>
      <c r="I491" s="15"/>
      <c r="J491" s="39"/>
      <c r="K491" s="40"/>
      <c r="L491" s="8"/>
      <c r="M491" s="8"/>
      <c r="N491" s="8"/>
      <c r="O491" s="8"/>
      <c r="P491" s="8"/>
      <c r="Q491" s="8"/>
      <c r="R491" s="8"/>
      <c r="S491" s="8"/>
      <c r="T491" s="8"/>
      <c r="U491" s="8"/>
      <c r="V491" s="8"/>
      <c r="W491" s="8"/>
      <c r="X491" s="8"/>
      <c r="Y491" s="8"/>
      <c r="Z491" s="8"/>
      <c r="AA491" s="8"/>
    </row>
    <row r="492" spans="1:27" ht="15">
      <c r="A492" s="15"/>
      <c r="B492" s="36"/>
      <c r="C492" s="15"/>
      <c r="D492" s="37"/>
      <c r="E492" s="15"/>
      <c r="F492" s="15"/>
      <c r="G492" s="15"/>
      <c r="H492" s="15"/>
      <c r="I492" s="15"/>
      <c r="J492" s="39"/>
      <c r="K492" s="40"/>
      <c r="L492" s="8"/>
      <c r="M492" s="8"/>
      <c r="N492" s="8"/>
      <c r="O492" s="8"/>
      <c r="P492" s="8"/>
      <c r="Q492" s="8"/>
      <c r="R492" s="8"/>
      <c r="S492" s="8"/>
      <c r="T492" s="8"/>
      <c r="U492" s="8"/>
      <c r="V492" s="8"/>
      <c r="W492" s="8"/>
      <c r="X492" s="8"/>
      <c r="Y492" s="8"/>
      <c r="Z492" s="8"/>
      <c r="AA492" s="8"/>
    </row>
    <row r="493" spans="1:27" ht="15">
      <c r="A493" s="15"/>
      <c r="B493" s="36"/>
      <c r="C493" s="15"/>
      <c r="D493" s="37"/>
      <c r="E493" s="15"/>
      <c r="F493" s="15"/>
      <c r="G493" s="15"/>
      <c r="H493" s="15"/>
      <c r="I493" s="15"/>
      <c r="J493" s="39"/>
      <c r="K493" s="40"/>
      <c r="L493" s="8"/>
      <c r="M493" s="8"/>
      <c r="N493" s="8"/>
      <c r="O493" s="8"/>
      <c r="P493" s="8"/>
      <c r="Q493" s="8"/>
      <c r="R493" s="8"/>
      <c r="S493" s="8"/>
      <c r="T493" s="8"/>
      <c r="U493" s="8"/>
      <c r="V493" s="8"/>
      <c r="W493" s="8"/>
      <c r="X493" s="8"/>
      <c r="Y493" s="8"/>
      <c r="Z493" s="8"/>
      <c r="AA493" s="8"/>
    </row>
    <row r="494" spans="1:27" ht="15">
      <c r="A494" s="15"/>
      <c r="B494" s="36"/>
      <c r="C494" s="15"/>
      <c r="D494" s="37"/>
      <c r="E494" s="15"/>
      <c r="F494" s="15"/>
      <c r="G494" s="15"/>
      <c r="H494" s="15"/>
      <c r="I494" s="15"/>
      <c r="J494" s="39"/>
      <c r="K494" s="40"/>
      <c r="L494" s="8"/>
      <c r="M494" s="8"/>
      <c r="N494" s="8"/>
      <c r="O494" s="8"/>
      <c r="P494" s="8"/>
      <c r="Q494" s="8"/>
      <c r="R494" s="8"/>
      <c r="S494" s="8"/>
      <c r="T494" s="8"/>
      <c r="U494" s="8"/>
      <c r="V494" s="8"/>
      <c r="W494" s="8"/>
      <c r="X494" s="8"/>
      <c r="Y494" s="8"/>
      <c r="Z494" s="8"/>
      <c r="AA494" s="8"/>
    </row>
    <row r="495" spans="1:27" ht="15">
      <c r="A495" s="15"/>
      <c r="B495" s="36"/>
      <c r="C495" s="15"/>
      <c r="D495" s="37"/>
      <c r="E495" s="15"/>
      <c r="F495" s="15"/>
      <c r="G495" s="15"/>
      <c r="H495" s="15"/>
      <c r="I495" s="15"/>
      <c r="J495" s="39"/>
      <c r="K495" s="40"/>
      <c r="L495" s="8"/>
      <c r="M495" s="8"/>
      <c r="N495" s="8"/>
      <c r="O495" s="8"/>
      <c r="P495" s="8"/>
      <c r="Q495" s="8"/>
      <c r="R495" s="8"/>
      <c r="S495" s="8"/>
      <c r="T495" s="8"/>
      <c r="U495" s="8"/>
      <c r="V495" s="8"/>
      <c r="W495" s="8"/>
      <c r="X495" s="8"/>
      <c r="Y495" s="8"/>
      <c r="Z495" s="8"/>
      <c r="AA495" s="8"/>
    </row>
    <row r="496" spans="1:27" ht="15">
      <c r="A496" s="15"/>
      <c r="B496" s="36"/>
      <c r="C496" s="15"/>
      <c r="D496" s="37"/>
      <c r="E496" s="15"/>
      <c r="F496" s="15"/>
      <c r="G496" s="15"/>
      <c r="H496" s="15"/>
      <c r="I496" s="15"/>
      <c r="J496" s="39"/>
      <c r="K496" s="40"/>
      <c r="L496" s="8"/>
      <c r="M496" s="8"/>
      <c r="N496" s="8"/>
      <c r="O496" s="8"/>
      <c r="P496" s="8"/>
      <c r="Q496" s="8"/>
      <c r="R496" s="8"/>
      <c r="S496" s="8"/>
      <c r="T496" s="8"/>
      <c r="U496" s="8"/>
      <c r="V496" s="8"/>
      <c r="W496" s="8"/>
      <c r="X496" s="8"/>
      <c r="Y496" s="8"/>
      <c r="Z496" s="8"/>
      <c r="AA496" s="8"/>
    </row>
    <row r="497" spans="1:27" ht="15">
      <c r="A497" s="15"/>
      <c r="B497" s="36"/>
      <c r="C497" s="15"/>
      <c r="D497" s="37"/>
      <c r="E497" s="15"/>
      <c r="F497" s="15"/>
      <c r="G497" s="15"/>
      <c r="H497" s="15"/>
      <c r="I497" s="15"/>
      <c r="J497" s="39"/>
      <c r="K497" s="40"/>
      <c r="L497" s="8"/>
      <c r="M497" s="8"/>
      <c r="N497" s="8"/>
      <c r="O497" s="8"/>
      <c r="P497" s="8"/>
      <c r="Q497" s="8"/>
      <c r="R497" s="8"/>
      <c r="S497" s="8"/>
      <c r="T497" s="8"/>
      <c r="U497" s="8"/>
      <c r="V497" s="8"/>
      <c r="W497" s="8"/>
      <c r="X497" s="8"/>
      <c r="Y497" s="8"/>
      <c r="Z497" s="8"/>
      <c r="AA497" s="8"/>
    </row>
    <row r="498" spans="1:27" ht="15">
      <c r="A498" s="15"/>
      <c r="B498" s="36"/>
      <c r="C498" s="15"/>
      <c r="D498" s="37"/>
      <c r="E498" s="15"/>
      <c r="F498" s="15"/>
      <c r="G498" s="15"/>
      <c r="H498" s="15"/>
      <c r="I498" s="15"/>
      <c r="J498" s="39"/>
      <c r="K498" s="40"/>
      <c r="L498" s="8"/>
      <c r="M498" s="8"/>
      <c r="N498" s="8"/>
      <c r="O498" s="8"/>
      <c r="P498" s="8"/>
      <c r="Q498" s="8"/>
      <c r="R498" s="8"/>
      <c r="S498" s="8"/>
      <c r="T498" s="8"/>
      <c r="U498" s="8"/>
      <c r="V498" s="8"/>
      <c r="W498" s="8"/>
      <c r="X498" s="8"/>
      <c r="Y498" s="8"/>
      <c r="Z498" s="8"/>
      <c r="AA498" s="8"/>
    </row>
    <row r="499" spans="1:27" ht="15">
      <c r="A499" s="15"/>
      <c r="B499" s="36"/>
      <c r="C499" s="15"/>
      <c r="D499" s="37"/>
      <c r="E499" s="15"/>
      <c r="F499" s="15"/>
      <c r="G499" s="15"/>
      <c r="H499" s="15"/>
      <c r="I499" s="15"/>
      <c r="J499" s="39"/>
      <c r="K499" s="40"/>
      <c r="L499" s="8"/>
      <c r="M499" s="8"/>
      <c r="N499" s="8"/>
      <c r="O499" s="8"/>
      <c r="P499" s="8"/>
      <c r="Q499" s="8"/>
      <c r="R499" s="8"/>
      <c r="S499" s="8"/>
      <c r="T499" s="8"/>
      <c r="U499" s="8"/>
      <c r="V499" s="8"/>
      <c r="W499" s="8"/>
      <c r="X499" s="8"/>
      <c r="Y499" s="8"/>
      <c r="Z499" s="8"/>
      <c r="AA499" s="8"/>
    </row>
    <row r="500" spans="1:27" ht="15">
      <c r="A500" s="15"/>
      <c r="B500" s="36"/>
      <c r="C500" s="15"/>
      <c r="D500" s="37"/>
      <c r="E500" s="15"/>
      <c r="F500" s="15"/>
      <c r="G500" s="15"/>
      <c r="H500" s="15"/>
      <c r="I500" s="15"/>
      <c r="J500" s="39"/>
      <c r="K500" s="40"/>
      <c r="L500" s="8"/>
      <c r="M500" s="8"/>
      <c r="N500" s="8"/>
      <c r="O500" s="8"/>
      <c r="P500" s="8"/>
      <c r="Q500" s="8"/>
      <c r="R500" s="8"/>
      <c r="S500" s="8"/>
      <c r="T500" s="8"/>
      <c r="U500" s="8"/>
      <c r="V500" s="8"/>
      <c r="W500" s="8"/>
      <c r="X500" s="8"/>
      <c r="Y500" s="8"/>
      <c r="Z500" s="8"/>
      <c r="AA500" s="8"/>
    </row>
    <row r="501" spans="1:27" ht="15">
      <c r="A501" s="15"/>
      <c r="B501" s="36"/>
      <c r="C501" s="15"/>
      <c r="D501" s="37"/>
      <c r="E501" s="15"/>
      <c r="F501" s="15"/>
      <c r="G501" s="15"/>
      <c r="H501" s="15"/>
      <c r="I501" s="15"/>
      <c r="J501" s="39"/>
      <c r="K501" s="40"/>
      <c r="L501" s="8"/>
      <c r="M501" s="8"/>
      <c r="N501" s="8"/>
      <c r="O501" s="8"/>
      <c r="P501" s="8"/>
      <c r="Q501" s="8"/>
      <c r="R501" s="8"/>
      <c r="S501" s="8"/>
      <c r="T501" s="8"/>
      <c r="U501" s="8"/>
      <c r="V501" s="8"/>
      <c r="W501" s="8"/>
      <c r="X501" s="8"/>
      <c r="Y501" s="8"/>
      <c r="Z501" s="8"/>
      <c r="AA501" s="8"/>
    </row>
    <row r="502" spans="1:27" ht="15">
      <c r="A502" s="15"/>
      <c r="B502" s="36"/>
      <c r="C502" s="15"/>
      <c r="D502" s="37"/>
      <c r="E502" s="15"/>
      <c r="F502" s="15"/>
      <c r="G502" s="15"/>
      <c r="H502" s="15"/>
      <c r="I502" s="15"/>
      <c r="J502" s="39"/>
      <c r="K502" s="40"/>
      <c r="L502" s="8"/>
      <c r="M502" s="8"/>
      <c r="N502" s="8"/>
      <c r="O502" s="8"/>
      <c r="P502" s="8"/>
      <c r="Q502" s="8"/>
      <c r="R502" s="8"/>
      <c r="S502" s="8"/>
      <c r="T502" s="8"/>
      <c r="U502" s="8"/>
      <c r="V502" s="8"/>
      <c r="W502" s="8"/>
      <c r="X502" s="8"/>
      <c r="Y502" s="8"/>
      <c r="Z502" s="8"/>
      <c r="AA502" s="8"/>
    </row>
    <row r="503" spans="1:27" ht="15">
      <c r="A503" s="15"/>
      <c r="B503" s="36"/>
      <c r="C503" s="15"/>
      <c r="D503" s="37"/>
      <c r="E503" s="15"/>
      <c r="F503" s="15"/>
      <c r="G503" s="15"/>
      <c r="H503" s="15"/>
      <c r="I503" s="15"/>
      <c r="J503" s="39"/>
      <c r="K503" s="40"/>
      <c r="L503" s="8"/>
      <c r="M503" s="8"/>
      <c r="N503" s="8"/>
      <c r="O503" s="8"/>
      <c r="P503" s="8"/>
      <c r="Q503" s="8"/>
      <c r="R503" s="8"/>
      <c r="S503" s="8"/>
      <c r="T503" s="8"/>
      <c r="U503" s="8"/>
      <c r="V503" s="8"/>
      <c r="W503" s="8"/>
      <c r="X503" s="8"/>
      <c r="Y503" s="8"/>
      <c r="Z503" s="8"/>
      <c r="AA503" s="8"/>
    </row>
    <row r="504" spans="1:27" ht="15">
      <c r="A504" s="15"/>
      <c r="B504" s="36"/>
      <c r="C504" s="15"/>
      <c r="D504" s="37"/>
      <c r="E504" s="15"/>
      <c r="F504" s="15"/>
      <c r="G504" s="15"/>
      <c r="H504" s="15"/>
      <c r="I504" s="15"/>
      <c r="J504" s="39"/>
      <c r="K504" s="40"/>
      <c r="L504" s="8"/>
      <c r="M504" s="8"/>
      <c r="N504" s="8"/>
      <c r="O504" s="8"/>
      <c r="P504" s="8"/>
      <c r="Q504" s="8"/>
      <c r="R504" s="8"/>
      <c r="S504" s="8"/>
      <c r="T504" s="8"/>
      <c r="U504" s="8"/>
      <c r="V504" s="8"/>
      <c r="W504" s="8"/>
      <c r="X504" s="8"/>
      <c r="Y504" s="8"/>
      <c r="Z504" s="8"/>
      <c r="AA504" s="8"/>
    </row>
    <row r="505" spans="1:27" ht="15">
      <c r="A505" s="15"/>
      <c r="B505" s="36"/>
      <c r="C505" s="15"/>
      <c r="D505" s="37"/>
      <c r="E505" s="15"/>
      <c r="F505" s="15"/>
      <c r="G505" s="15"/>
      <c r="H505" s="15"/>
      <c r="I505" s="15"/>
      <c r="J505" s="39"/>
      <c r="K505" s="40"/>
      <c r="L505" s="8"/>
      <c r="M505" s="8"/>
      <c r="N505" s="8"/>
      <c r="O505" s="8"/>
      <c r="P505" s="8"/>
      <c r="Q505" s="8"/>
      <c r="R505" s="8"/>
      <c r="S505" s="8"/>
      <c r="T505" s="8"/>
      <c r="U505" s="8"/>
      <c r="V505" s="8"/>
      <c r="W505" s="8"/>
      <c r="X505" s="8"/>
      <c r="Y505" s="8"/>
      <c r="Z505" s="8"/>
      <c r="AA505" s="8"/>
    </row>
    <row r="506" spans="1:27" ht="15">
      <c r="A506" s="15"/>
      <c r="B506" s="36"/>
      <c r="C506" s="15"/>
      <c r="D506" s="37"/>
      <c r="E506" s="15"/>
      <c r="F506" s="15"/>
      <c r="G506" s="15"/>
      <c r="H506" s="15"/>
      <c r="I506" s="15"/>
      <c r="J506" s="39"/>
      <c r="K506" s="40"/>
      <c r="L506" s="8"/>
      <c r="M506" s="8"/>
      <c r="N506" s="8"/>
      <c r="O506" s="8"/>
      <c r="P506" s="8"/>
      <c r="Q506" s="8"/>
      <c r="R506" s="8"/>
      <c r="S506" s="8"/>
      <c r="T506" s="8"/>
      <c r="U506" s="8"/>
      <c r="V506" s="8"/>
      <c r="W506" s="8"/>
      <c r="X506" s="8"/>
      <c r="Y506" s="8"/>
      <c r="Z506" s="8"/>
      <c r="AA506" s="8"/>
    </row>
    <row r="507" spans="1:27" ht="15">
      <c r="A507" s="15"/>
      <c r="B507" s="36"/>
      <c r="C507" s="15"/>
      <c r="D507" s="37"/>
      <c r="E507" s="15"/>
      <c r="F507" s="15"/>
      <c r="G507" s="15"/>
      <c r="H507" s="15"/>
      <c r="I507" s="15"/>
      <c r="J507" s="39"/>
      <c r="K507" s="40"/>
      <c r="L507" s="8"/>
      <c r="M507" s="8"/>
      <c r="N507" s="8"/>
      <c r="O507" s="8"/>
      <c r="P507" s="8"/>
      <c r="Q507" s="8"/>
      <c r="R507" s="8"/>
      <c r="S507" s="8"/>
      <c r="T507" s="8"/>
      <c r="U507" s="8"/>
      <c r="V507" s="8"/>
      <c r="W507" s="8"/>
      <c r="X507" s="8"/>
      <c r="Y507" s="8"/>
      <c r="Z507" s="8"/>
      <c r="AA507" s="8"/>
    </row>
    <row r="508" spans="1:27" ht="15">
      <c r="A508" s="15"/>
      <c r="B508" s="36"/>
      <c r="C508" s="15"/>
      <c r="D508" s="37"/>
      <c r="E508" s="15"/>
      <c r="F508" s="15"/>
      <c r="G508" s="15"/>
      <c r="H508" s="15"/>
      <c r="I508" s="15"/>
      <c r="J508" s="39"/>
      <c r="K508" s="40"/>
      <c r="L508" s="8"/>
      <c r="M508" s="8"/>
      <c r="N508" s="8"/>
      <c r="O508" s="8"/>
      <c r="P508" s="8"/>
      <c r="Q508" s="8"/>
      <c r="R508" s="8"/>
      <c r="S508" s="8"/>
      <c r="T508" s="8"/>
      <c r="U508" s="8"/>
      <c r="V508" s="8"/>
      <c r="W508" s="8"/>
      <c r="X508" s="8"/>
      <c r="Y508" s="8"/>
      <c r="Z508" s="8"/>
      <c r="AA508" s="8"/>
    </row>
    <row r="509" spans="1:27" ht="15">
      <c r="A509" s="15"/>
      <c r="B509" s="36"/>
      <c r="C509" s="15"/>
      <c r="D509" s="37"/>
      <c r="E509" s="15"/>
      <c r="F509" s="15"/>
      <c r="G509" s="15"/>
      <c r="H509" s="15"/>
      <c r="I509" s="15"/>
      <c r="J509" s="39"/>
      <c r="K509" s="40"/>
      <c r="L509" s="8"/>
      <c r="M509" s="8"/>
      <c r="N509" s="8"/>
      <c r="O509" s="8"/>
      <c r="P509" s="8"/>
      <c r="Q509" s="8"/>
      <c r="R509" s="8"/>
      <c r="S509" s="8"/>
      <c r="T509" s="8"/>
      <c r="U509" s="8"/>
      <c r="V509" s="8"/>
      <c r="W509" s="8"/>
      <c r="X509" s="8"/>
      <c r="Y509" s="8"/>
      <c r="Z509" s="8"/>
      <c r="AA509" s="8"/>
    </row>
    <row r="510" spans="1:27" ht="15">
      <c r="A510" s="15"/>
      <c r="B510" s="36"/>
      <c r="C510" s="15"/>
      <c r="D510" s="37"/>
      <c r="E510" s="15"/>
      <c r="F510" s="15"/>
      <c r="G510" s="15"/>
      <c r="H510" s="15"/>
      <c r="I510" s="15"/>
      <c r="J510" s="39"/>
      <c r="K510" s="40"/>
      <c r="L510" s="8"/>
      <c r="M510" s="8"/>
      <c r="N510" s="8"/>
      <c r="O510" s="8"/>
      <c r="P510" s="8"/>
      <c r="Q510" s="8"/>
      <c r="R510" s="8"/>
      <c r="S510" s="8"/>
      <c r="T510" s="8"/>
      <c r="U510" s="8"/>
      <c r="V510" s="8"/>
      <c r="W510" s="8"/>
      <c r="X510" s="8"/>
      <c r="Y510" s="8"/>
      <c r="Z510" s="8"/>
      <c r="AA510" s="8"/>
    </row>
    <row r="511" spans="1:27" ht="15">
      <c r="A511" s="15"/>
      <c r="B511" s="36"/>
      <c r="C511" s="15"/>
      <c r="D511" s="37"/>
      <c r="E511" s="15"/>
      <c r="F511" s="15"/>
      <c r="G511" s="15"/>
      <c r="H511" s="15"/>
      <c r="I511" s="15"/>
      <c r="J511" s="39"/>
      <c r="K511" s="40"/>
      <c r="L511" s="8"/>
      <c r="M511" s="8"/>
      <c r="N511" s="8"/>
      <c r="O511" s="8"/>
      <c r="P511" s="8"/>
      <c r="Q511" s="8"/>
      <c r="R511" s="8"/>
      <c r="S511" s="8"/>
      <c r="T511" s="8"/>
      <c r="U511" s="8"/>
      <c r="V511" s="8"/>
      <c r="W511" s="8"/>
      <c r="X511" s="8"/>
      <c r="Y511" s="8"/>
      <c r="Z511" s="8"/>
      <c r="AA511" s="8"/>
    </row>
    <row r="512" spans="1:27" ht="15">
      <c r="A512" s="15"/>
      <c r="B512" s="36"/>
      <c r="C512" s="15"/>
      <c r="D512" s="37"/>
      <c r="E512" s="15"/>
      <c r="F512" s="15"/>
      <c r="G512" s="15"/>
      <c r="H512" s="15"/>
      <c r="I512" s="15"/>
      <c r="J512" s="39"/>
      <c r="K512" s="40"/>
      <c r="L512" s="8"/>
      <c r="M512" s="8"/>
      <c r="N512" s="8"/>
      <c r="O512" s="8"/>
      <c r="P512" s="8"/>
      <c r="Q512" s="8"/>
      <c r="R512" s="8"/>
      <c r="S512" s="8"/>
      <c r="T512" s="8"/>
      <c r="U512" s="8"/>
      <c r="V512" s="8"/>
      <c r="W512" s="8"/>
      <c r="X512" s="8"/>
      <c r="Y512" s="8"/>
      <c r="Z512" s="8"/>
      <c r="AA512" s="8"/>
    </row>
    <row r="513" spans="1:27" ht="15">
      <c r="A513" s="15"/>
      <c r="B513" s="36"/>
      <c r="C513" s="15"/>
      <c r="D513" s="37"/>
      <c r="E513" s="15"/>
      <c r="F513" s="15"/>
      <c r="G513" s="15"/>
      <c r="H513" s="15"/>
      <c r="I513" s="15"/>
      <c r="J513" s="39"/>
      <c r="K513" s="40"/>
      <c r="L513" s="8"/>
      <c r="M513" s="8"/>
      <c r="N513" s="8"/>
      <c r="O513" s="8"/>
      <c r="P513" s="8"/>
      <c r="Q513" s="8"/>
      <c r="R513" s="8"/>
      <c r="S513" s="8"/>
      <c r="T513" s="8"/>
      <c r="U513" s="8"/>
      <c r="V513" s="8"/>
      <c r="W513" s="8"/>
      <c r="X513" s="8"/>
      <c r="Y513" s="8"/>
      <c r="Z513" s="8"/>
      <c r="AA513" s="8"/>
    </row>
    <row r="514" spans="1:27" ht="15">
      <c r="A514" s="15"/>
      <c r="B514" s="36"/>
      <c r="C514" s="15"/>
      <c r="D514" s="37"/>
      <c r="E514" s="15"/>
      <c r="F514" s="15"/>
      <c r="G514" s="15"/>
      <c r="H514" s="15"/>
      <c r="I514" s="15"/>
      <c r="J514" s="39"/>
      <c r="K514" s="40"/>
      <c r="L514" s="8"/>
      <c r="M514" s="8"/>
      <c r="N514" s="8"/>
      <c r="O514" s="8"/>
      <c r="P514" s="8"/>
      <c r="Q514" s="8"/>
      <c r="R514" s="8"/>
      <c r="S514" s="8"/>
      <c r="T514" s="8"/>
      <c r="U514" s="8"/>
      <c r="V514" s="8"/>
      <c r="W514" s="8"/>
      <c r="X514" s="8"/>
      <c r="Y514" s="8"/>
      <c r="Z514" s="8"/>
      <c r="AA514" s="8"/>
    </row>
    <row r="515" spans="1:27" ht="15">
      <c r="A515" s="15"/>
      <c r="B515" s="36"/>
      <c r="C515" s="15"/>
      <c r="D515" s="37"/>
      <c r="E515" s="15"/>
      <c r="F515" s="15"/>
      <c r="G515" s="15"/>
      <c r="H515" s="15"/>
      <c r="I515" s="15"/>
      <c r="J515" s="39"/>
      <c r="K515" s="40"/>
      <c r="L515" s="8"/>
      <c r="M515" s="8"/>
      <c r="N515" s="8"/>
      <c r="O515" s="8"/>
      <c r="P515" s="8"/>
      <c r="Q515" s="8"/>
      <c r="R515" s="8"/>
      <c r="S515" s="8"/>
      <c r="T515" s="8"/>
      <c r="U515" s="8"/>
      <c r="V515" s="8"/>
      <c r="W515" s="8"/>
      <c r="X515" s="8"/>
      <c r="Y515" s="8"/>
      <c r="Z515" s="8"/>
      <c r="AA515" s="8"/>
    </row>
    <row r="516" spans="1:27" ht="15">
      <c r="A516" s="15"/>
      <c r="B516" s="36"/>
      <c r="C516" s="15"/>
      <c r="D516" s="37"/>
      <c r="E516" s="15"/>
      <c r="F516" s="15"/>
      <c r="G516" s="15"/>
      <c r="H516" s="15"/>
      <c r="I516" s="15"/>
      <c r="J516" s="39"/>
      <c r="K516" s="40"/>
      <c r="L516" s="8"/>
      <c r="M516" s="8"/>
      <c r="N516" s="8"/>
      <c r="O516" s="8"/>
      <c r="P516" s="8"/>
      <c r="Q516" s="8"/>
      <c r="R516" s="8"/>
      <c r="S516" s="8"/>
      <c r="T516" s="8"/>
      <c r="U516" s="8"/>
      <c r="V516" s="8"/>
      <c r="W516" s="8"/>
      <c r="X516" s="8"/>
      <c r="Y516" s="8"/>
      <c r="Z516" s="8"/>
      <c r="AA516" s="8"/>
    </row>
    <row r="517" spans="1:27" ht="15">
      <c r="A517" s="15"/>
      <c r="B517" s="36"/>
      <c r="C517" s="15"/>
      <c r="D517" s="37"/>
      <c r="E517" s="15"/>
      <c r="F517" s="15"/>
      <c r="G517" s="15"/>
      <c r="H517" s="15"/>
      <c r="I517" s="15"/>
      <c r="J517" s="39"/>
      <c r="K517" s="40"/>
      <c r="L517" s="8"/>
      <c r="M517" s="8"/>
      <c r="N517" s="8"/>
      <c r="O517" s="8"/>
      <c r="P517" s="8"/>
      <c r="Q517" s="8"/>
      <c r="R517" s="8"/>
      <c r="S517" s="8"/>
      <c r="T517" s="8"/>
      <c r="U517" s="8"/>
      <c r="V517" s="8"/>
      <c r="W517" s="8"/>
      <c r="X517" s="8"/>
      <c r="Y517" s="8"/>
      <c r="Z517" s="8"/>
      <c r="AA517" s="8"/>
    </row>
    <row r="518" spans="1:27" ht="15">
      <c r="A518" s="15"/>
      <c r="B518" s="36"/>
      <c r="C518" s="15"/>
      <c r="D518" s="37"/>
      <c r="E518" s="15"/>
      <c r="F518" s="15"/>
      <c r="G518" s="15"/>
      <c r="H518" s="15"/>
      <c r="I518" s="15"/>
      <c r="J518" s="39"/>
      <c r="K518" s="40"/>
      <c r="L518" s="8"/>
      <c r="M518" s="8"/>
      <c r="N518" s="8"/>
      <c r="O518" s="8"/>
      <c r="P518" s="8"/>
      <c r="Q518" s="8"/>
      <c r="R518" s="8"/>
      <c r="S518" s="8"/>
      <c r="T518" s="8"/>
      <c r="U518" s="8"/>
      <c r="V518" s="8"/>
      <c r="W518" s="8"/>
      <c r="X518" s="8"/>
      <c r="Y518" s="8"/>
      <c r="Z518" s="8"/>
      <c r="AA518" s="8"/>
    </row>
    <row r="519" spans="1:27" ht="15">
      <c r="A519" s="15"/>
      <c r="B519" s="36"/>
      <c r="C519" s="15"/>
      <c r="D519" s="37"/>
      <c r="E519" s="15"/>
      <c r="F519" s="15"/>
      <c r="G519" s="15"/>
      <c r="H519" s="15"/>
      <c r="I519" s="15"/>
      <c r="J519" s="39"/>
      <c r="K519" s="40"/>
      <c r="L519" s="8"/>
      <c r="M519" s="8"/>
      <c r="N519" s="8"/>
      <c r="O519" s="8"/>
      <c r="P519" s="8"/>
      <c r="Q519" s="8"/>
      <c r="R519" s="8"/>
      <c r="S519" s="8"/>
      <c r="T519" s="8"/>
      <c r="U519" s="8"/>
      <c r="V519" s="8"/>
      <c r="W519" s="8"/>
      <c r="X519" s="8"/>
      <c r="Y519" s="8"/>
      <c r="Z519" s="8"/>
      <c r="AA519" s="8"/>
    </row>
    <row r="520" spans="1:27" ht="15">
      <c r="A520" s="15"/>
      <c r="B520" s="36"/>
      <c r="C520" s="15"/>
      <c r="D520" s="37"/>
      <c r="E520" s="15"/>
      <c r="F520" s="15"/>
      <c r="G520" s="15"/>
      <c r="H520" s="15"/>
      <c r="I520" s="15"/>
      <c r="J520" s="39"/>
      <c r="K520" s="40"/>
      <c r="L520" s="8"/>
      <c r="M520" s="8"/>
      <c r="N520" s="8"/>
      <c r="O520" s="8"/>
      <c r="P520" s="8"/>
      <c r="Q520" s="8"/>
      <c r="R520" s="8"/>
      <c r="S520" s="8"/>
      <c r="T520" s="8"/>
      <c r="U520" s="8"/>
      <c r="V520" s="8"/>
      <c r="W520" s="8"/>
      <c r="X520" s="8"/>
      <c r="Y520" s="8"/>
      <c r="Z520" s="8"/>
      <c r="AA520" s="8"/>
    </row>
    <row r="521" spans="1:27" ht="15">
      <c r="A521" s="15"/>
      <c r="B521" s="36"/>
      <c r="C521" s="15"/>
      <c r="D521" s="37"/>
      <c r="E521" s="15"/>
      <c r="F521" s="15"/>
      <c r="G521" s="15"/>
      <c r="H521" s="15"/>
      <c r="I521" s="15"/>
      <c r="J521" s="39"/>
      <c r="K521" s="40"/>
      <c r="L521" s="8"/>
      <c r="M521" s="8"/>
      <c r="N521" s="8"/>
      <c r="O521" s="8"/>
      <c r="P521" s="8"/>
      <c r="Q521" s="8"/>
      <c r="R521" s="8"/>
      <c r="S521" s="8"/>
      <c r="T521" s="8"/>
      <c r="U521" s="8"/>
      <c r="V521" s="8"/>
      <c r="W521" s="8"/>
      <c r="X521" s="8"/>
      <c r="Y521" s="8"/>
      <c r="Z521" s="8"/>
      <c r="AA521" s="8"/>
    </row>
    <row r="522" spans="1:27" ht="15">
      <c r="A522" s="15"/>
      <c r="B522" s="36"/>
      <c r="C522" s="15"/>
      <c r="D522" s="37"/>
      <c r="E522" s="15"/>
      <c r="F522" s="15"/>
      <c r="G522" s="15"/>
      <c r="H522" s="15"/>
      <c r="I522" s="15"/>
      <c r="J522" s="39"/>
      <c r="K522" s="40"/>
      <c r="L522" s="8"/>
      <c r="M522" s="8"/>
      <c r="N522" s="8"/>
      <c r="O522" s="8"/>
      <c r="P522" s="8"/>
      <c r="Q522" s="8"/>
      <c r="R522" s="8"/>
      <c r="S522" s="8"/>
      <c r="T522" s="8"/>
      <c r="U522" s="8"/>
      <c r="V522" s="8"/>
      <c r="W522" s="8"/>
      <c r="X522" s="8"/>
      <c r="Y522" s="8"/>
      <c r="Z522" s="8"/>
      <c r="AA522" s="8"/>
    </row>
    <row r="523" spans="1:27" ht="15">
      <c r="A523" s="15"/>
      <c r="B523" s="36"/>
      <c r="C523" s="15"/>
      <c r="D523" s="37"/>
      <c r="E523" s="15"/>
      <c r="F523" s="15"/>
      <c r="G523" s="15"/>
      <c r="H523" s="15"/>
      <c r="I523" s="15"/>
      <c r="J523" s="39"/>
      <c r="K523" s="40"/>
      <c r="L523" s="8"/>
      <c r="M523" s="8"/>
      <c r="N523" s="8"/>
      <c r="O523" s="8"/>
      <c r="P523" s="8"/>
      <c r="Q523" s="8"/>
      <c r="R523" s="8"/>
      <c r="S523" s="8"/>
      <c r="T523" s="8"/>
      <c r="U523" s="8"/>
      <c r="V523" s="8"/>
      <c r="W523" s="8"/>
      <c r="X523" s="8"/>
      <c r="Y523" s="8"/>
      <c r="Z523" s="8"/>
      <c r="AA523" s="8"/>
    </row>
    <row r="524" spans="1:27" ht="15">
      <c r="A524" s="15"/>
      <c r="B524" s="36"/>
      <c r="C524" s="15"/>
      <c r="D524" s="37"/>
      <c r="E524" s="15"/>
      <c r="F524" s="15"/>
      <c r="G524" s="15"/>
      <c r="H524" s="15"/>
      <c r="I524" s="15"/>
      <c r="J524" s="39"/>
      <c r="K524" s="40"/>
      <c r="L524" s="8"/>
      <c r="M524" s="8"/>
      <c r="N524" s="8"/>
      <c r="O524" s="8"/>
      <c r="P524" s="8"/>
      <c r="Q524" s="8"/>
      <c r="R524" s="8"/>
      <c r="S524" s="8"/>
      <c r="T524" s="8"/>
      <c r="U524" s="8"/>
      <c r="V524" s="8"/>
      <c r="W524" s="8"/>
      <c r="X524" s="8"/>
      <c r="Y524" s="8"/>
      <c r="Z524" s="8"/>
      <c r="AA524" s="8"/>
    </row>
    <row r="525" spans="1:27" ht="15">
      <c r="A525" s="15"/>
      <c r="B525" s="36"/>
      <c r="C525" s="15"/>
      <c r="D525" s="37"/>
      <c r="E525" s="15"/>
      <c r="F525" s="15"/>
      <c r="G525" s="15"/>
      <c r="H525" s="15"/>
      <c r="I525" s="15"/>
      <c r="J525" s="39"/>
      <c r="K525" s="40"/>
      <c r="L525" s="8"/>
      <c r="M525" s="8"/>
      <c r="N525" s="8"/>
      <c r="O525" s="8"/>
      <c r="P525" s="8"/>
      <c r="Q525" s="8"/>
      <c r="R525" s="8"/>
      <c r="S525" s="8"/>
      <c r="T525" s="8"/>
      <c r="U525" s="8"/>
      <c r="V525" s="8"/>
      <c r="W525" s="8"/>
      <c r="X525" s="8"/>
      <c r="Y525" s="8"/>
      <c r="Z525" s="8"/>
      <c r="AA525" s="8"/>
    </row>
    <row r="526" spans="1:27" ht="15">
      <c r="A526" s="15"/>
      <c r="B526" s="36"/>
      <c r="C526" s="15"/>
      <c r="D526" s="37"/>
      <c r="E526" s="15"/>
      <c r="F526" s="15"/>
      <c r="G526" s="15"/>
      <c r="H526" s="15"/>
      <c r="I526" s="15"/>
      <c r="J526" s="39"/>
      <c r="K526" s="40"/>
      <c r="L526" s="8"/>
      <c r="M526" s="8"/>
      <c r="N526" s="8"/>
      <c r="O526" s="8"/>
      <c r="P526" s="8"/>
      <c r="Q526" s="8"/>
      <c r="R526" s="8"/>
      <c r="S526" s="8"/>
      <c r="T526" s="8"/>
      <c r="U526" s="8"/>
      <c r="V526" s="8"/>
      <c r="W526" s="8"/>
      <c r="X526" s="8"/>
      <c r="Y526" s="8"/>
      <c r="Z526" s="8"/>
      <c r="AA526" s="8"/>
    </row>
    <row r="527" spans="1:27" ht="15">
      <c r="A527" s="15"/>
      <c r="B527" s="36"/>
      <c r="C527" s="15"/>
      <c r="D527" s="37"/>
      <c r="E527" s="15"/>
      <c r="F527" s="15"/>
      <c r="G527" s="15"/>
      <c r="H527" s="15"/>
      <c r="I527" s="15"/>
      <c r="J527" s="39"/>
      <c r="K527" s="40"/>
      <c r="L527" s="8"/>
      <c r="M527" s="8"/>
      <c r="N527" s="8"/>
      <c r="O527" s="8"/>
      <c r="P527" s="8"/>
      <c r="Q527" s="8"/>
      <c r="R527" s="8"/>
      <c r="S527" s="8"/>
      <c r="T527" s="8"/>
      <c r="U527" s="8"/>
      <c r="V527" s="8"/>
      <c r="W527" s="8"/>
      <c r="X527" s="8"/>
      <c r="Y527" s="8"/>
      <c r="Z527" s="8"/>
      <c r="AA527" s="8"/>
    </row>
    <row r="528" spans="1:27" ht="15">
      <c r="A528" s="15"/>
      <c r="B528" s="36"/>
      <c r="C528" s="15"/>
      <c r="D528" s="37"/>
      <c r="E528" s="15"/>
      <c r="F528" s="15"/>
      <c r="G528" s="15"/>
      <c r="H528" s="15"/>
      <c r="I528" s="15"/>
      <c r="J528" s="39"/>
      <c r="K528" s="40"/>
      <c r="L528" s="8"/>
      <c r="M528" s="8"/>
      <c r="N528" s="8"/>
      <c r="O528" s="8"/>
      <c r="P528" s="8"/>
      <c r="Q528" s="8"/>
      <c r="R528" s="8"/>
      <c r="S528" s="8"/>
      <c r="T528" s="8"/>
      <c r="U528" s="8"/>
      <c r="V528" s="8"/>
      <c r="W528" s="8"/>
      <c r="X528" s="8"/>
      <c r="Y528" s="8"/>
      <c r="Z528" s="8"/>
      <c r="AA528" s="8"/>
    </row>
    <row r="529" spans="1:27" ht="15">
      <c r="A529" s="15"/>
      <c r="B529" s="36"/>
      <c r="C529" s="15"/>
      <c r="D529" s="37"/>
      <c r="E529" s="15"/>
      <c r="F529" s="15"/>
      <c r="G529" s="15"/>
      <c r="H529" s="15"/>
      <c r="I529" s="15"/>
      <c r="J529" s="39"/>
      <c r="K529" s="40"/>
      <c r="L529" s="8"/>
      <c r="M529" s="8"/>
      <c r="N529" s="8"/>
      <c r="O529" s="8"/>
      <c r="P529" s="8"/>
      <c r="Q529" s="8"/>
      <c r="R529" s="8"/>
      <c r="S529" s="8"/>
      <c r="T529" s="8"/>
      <c r="U529" s="8"/>
      <c r="V529" s="8"/>
      <c r="W529" s="8"/>
      <c r="X529" s="8"/>
      <c r="Y529" s="8"/>
      <c r="Z529" s="8"/>
      <c r="AA529" s="8"/>
    </row>
    <row r="530" spans="1:27" ht="15">
      <c r="A530" s="15"/>
      <c r="B530" s="36"/>
      <c r="C530" s="15"/>
      <c r="D530" s="37"/>
      <c r="E530" s="15"/>
      <c r="F530" s="15"/>
      <c r="G530" s="15"/>
      <c r="H530" s="15"/>
      <c r="I530" s="15"/>
      <c r="J530" s="39"/>
      <c r="K530" s="40"/>
      <c r="L530" s="8"/>
      <c r="M530" s="8"/>
      <c r="N530" s="8"/>
      <c r="O530" s="8"/>
      <c r="P530" s="8"/>
      <c r="Q530" s="8"/>
      <c r="R530" s="8"/>
      <c r="S530" s="8"/>
      <c r="T530" s="8"/>
      <c r="U530" s="8"/>
      <c r="V530" s="8"/>
      <c r="W530" s="8"/>
      <c r="X530" s="8"/>
      <c r="Y530" s="8"/>
      <c r="Z530" s="8"/>
      <c r="AA530" s="8"/>
    </row>
    <row r="531" spans="1:27" ht="15">
      <c r="A531" s="15"/>
      <c r="B531" s="36"/>
      <c r="C531" s="15"/>
      <c r="D531" s="37"/>
      <c r="E531" s="15"/>
      <c r="F531" s="15"/>
      <c r="G531" s="15"/>
      <c r="H531" s="15"/>
      <c r="I531" s="15"/>
      <c r="J531" s="39"/>
      <c r="K531" s="40"/>
      <c r="L531" s="8"/>
      <c r="M531" s="8"/>
      <c r="N531" s="8"/>
      <c r="O531" s="8"/>
      <c r="P531" s="8"/>
      <c r="Q531" s="8"/>
      <c r="R531" s="8"/>
      <c r="S531" s="8"/>
      <c r="T531" s="8"/>
      <c r="U531" s="8"/>
      <c r="V531" s="8"/>
      <c r="W531" s="8"/>
      <c r="X531" s="8"/>
      <c r="Y531" s="8"/>
      <c r="Z531" s="8"/>
      <c r="AA531" s="8"/>
    </row>
    <row r="532" spans="1:27" ht="15">
      <c r="A532" s="15"/>
      <c r="B532" s="36"/>
      <c r="C532" s="15"/>
      <c r="D532" s="37"/>
      <c r="E532" s="15"/>
      <c r="F532" s="15"/>
      <c r="G532" s="15"/>
      <c r="H532" s="15"/>
      <c r="I532" s="15"/>
      <c r="J532" s="39"/>
      <c r="K532" s="40"/>
      <c r="L532" s="8"/>
      <c r="M532" s="8"/>
      <c r="N532" s="8"/>
      <c r="O532" s="8"/>
      <c r="P532" s="8"/>
      <c r="Q532" s="8"/>
      <c r="R532" s="8"/>
      <c r="S532" s="8"/>
      <c r="T532" s="8"/>
      <c r="U532" s="8"/>
      <c r="V532" s="8"/>
      <c r="W532" s="8"/>
      <c r="X532" s="8"/>
      <c r="Y532" s="8"/>
      <c r="Z532" s="8"/>
      <c r="AA532" s="8"/>
    </row>
    <row r="533" spans="1:27" ht="15">
      <c r="A533" s="15"/>
      <c r="B533" s="36"/>
      <c r="C533" s="15"/>
      <c r="D533" s="37"/>
      <c r="E533" s="15"/>
      <c r="F533" s="15"/>
      <c r="G533" s="15"/>
      <c r="H533" s="15"/>
      <c r="I533" s="15"/>
      <c r="J533" s="39"/>
      <c r="K533" s="40"/>
      <c r="L533" s="8"/>
      <c r="M533" s="8"/>
      <c r="N533" s="8"/>
      <c r="O533" s="8"/>
      <c r="P533" s="8"/>
      <c r="Q533" s="8"/>
      <c r="R533" s="8"/>
      <c r="S533" s="8"/>
      <c r="T533" s="8"/>
      <c r="U533" s="8"/>
      <c r="V533" s="8"/>
      <c r="W533" s="8"/>
      <c r="X533" s="8"/>
      <c r="Y533" s="8"/>
      <c r="Z533" s="8"/>
      <c r="AA533" s="8"/>
    </row>
    <row r="534" spans="1:27" ht="15">
      <c r="A534" s="15"/>
      <c r="B534" s="36"/>
      <c r="C534" s="15"/>
      <c r="D534" s="37"/>
      <c r="E534" s="15"/>
      <c r="F534" s="15"/>
      <c r="G534" s="15"/>
      <c r="H534" s="15"/>
      <c r="I534" s="15"/>
      <c r="J534" s="39"/>
      <c r="K534" s="40"/>
      <c r="L534" s="8"/>
      <c r="M534" s="8"/>
      <c r="N534" s="8"/>
      <c r="O534" s="8"/>
      <c r="P534" s="8"/>
      <c r="Q534" s="8"/>
      <c r="R534" s="8"/>
      <c r="S534" s="8"/>
      <c r="T534" s="8"/>
      <c r="U534" s="8"/>
      <c r="V534" s="8"/>
      <c r="W534" s="8"/>
      <c r="X534" s="8"/>
      <c r="Y534" s="8"/>
      <c r="Z534" s="8"/>
      <c r="AA534" s="8"/>
    </row>
    <row r="535" spans="1:27" ht="15">
      <c r="A535" s="15"/>
      <c r="B535" s="36"/>
      <c r="C535" s="15"/>
      <c r="D535" s="37"/>
      <c r="E535" s="15"/>
      <c r="F535" s="15"/>
      <c r="G535" s="15"/>
      <c r="H535" s="15"/>
      <c r="I535" s="15"/>
      <c r="J535" s="39"/>
      <c r="K535" s="40"/>
      <c r="L535" s="8"/>
      <c r="M535" s="8"/>
      <c r="N535" s="8"/>
      <c r="O535" s="8"/>
      <c r="P535" s="8"/>
      <c r="Q535" s="8"/>
      <c r="R535" s="8"/>
      <c r="S535" s="8"/>
      <c r="T535" s="8"/>
      <c r="U535" s="8"/>
      <c r="V535" s="8"/>
      <c r="W535" s="8"/>
      <c r="X535" s="8"/>
      <c r="Y535" s="8"/>
      <c r="Z535" s="8"/>
      <c r="AA535" s="8"/>
    </row>
    <row r="536" spans="1:27" ht="15">
      <c r="A536" s="15"/>
      <c r="B536" s="36"/>
      <c r="C536" s="15"/>
      <c r="D536" s="37"/>
      <c r="E536" s="15"/>
      <c r="F536" s="15"/>
      <c r="G536" s="15"/>
      <c r="H536" s="15"/>
      <c r="I536" s="15"/>
      <c r="J536" s="39"/>
      <c r="K536" s="40"/>
      <c r="L536" s="8"/>
      <c r="M536" s="8"/>
      <c r="N536" s="8"/>
      <c r="O536" s="8"/>
      <c r="P536" s="8"/>
      <c r="Q536" s="8"/>
      <c r="R536" s="8"/>
      <c r="S536" s="8"/>
      <c r="T536" s="8"/>
      <c r="U536" s="8"/>
      <c r="V536" s="8"/>
      <c r="W536" s="8"/>
      <c r="X536" s="8"/>
      <c r="Y536" s="8"/>
      <c r="Z536" s="8"/>
      <c r="AA536" s="8"/>
    </row>
    <row r="537" spans="1:27" ht="15">
      <c r="A537" s="15"/>
      <c r="B537" s="36"/>
      <c r="C537" s="15"/>
      <c r="D537" s="37"/>
      <c r="E537" s="15"/>
      <c r="F537" s="15"/>
      <c r="G537" s="15"/>
      <c r="H537" s="15"/>
      <c r="I537" s="15"/>
      <c r="J537" s="39"/>
      <c r="K537" s="40"/>
      <c r="L537" s="8"/>
      <c r="M537" s="8"/>
      <c r="N537" s="8"/>
      <c r="O537" s="8"/>
      <c r="P537" s="8"/>
      <c r="Q537" s="8"/>
      <c r="R537" s="8"/>
      <c r="S537" s="8"/>
      <c r="T537" s="8"/>
      <c r="U537" s="8"/>
      <c r="V537" s="8"/>
      <c r="W537" s="8"/>
      <c r="X537" s="8"/>
      <c r="Y537" s="8"/>
      <c r="Z537" s="8"/>
      <c r="AA537" s="8"/>
    </row>
    <row r="538" spans="1:27" ht="15">
      <c r="A538" s="15"/>
      <c r="B538" s="36"/>
      <c r="C538" s="15"/>
      <c r="D538" s="37"/>
      <c r="E538" s="15"/>
      <c r="F538" s="15"/>
      <c r="G538" s="15"/>
      <c r="H538" s="15"/>
      <c r="I538" s="15"/>
      <c r="J538" s="39"/>
      <c r="K538" s="40"/>
      <c r="L538" s="8"/>
      <c r="M538" s="8"/>
      <c r="N538" s="8"/>
      <c r="O538" s="8"/>
      <c r="P538" s="8"/>
      <c r="Q538" s="8"/>
      <c r="R538" s="8"/>
      <c r="S538" s="8"/>
      <c r="T538" s="8"/>
      <c r="U538" s="8"/>
      <c r="V538" s="8"/>
      <c r="W538" s="8"/>
      <c r="X538" s="8"/>
      <c r="Y538" s="8"/>
      <c r="Z538" s="8"/>
      <c r="AA538" s="8"/>
    </row>
    <row r="539" spans="1:27" ht="15">
      <c r="A539" s="15"/>
      <c r="B539" s="36"/>
      <c r="C539" s="15"/>
      <c r="D539" s="37"/>
      <c r="E539" s="15"/>
      <c r="F539" s="15"/>
      <c r="G539" s="15"/>
      <c r="H539" s="15"/>
      <c r="I539" s="15"/>
      <c r="J539" s="39"/>
      <c r="K539" s="40"/>
      <c r="L539" s="8"/>
      <c r="M539" s="8"/>
      <c r="N539" s="8"/>
      <c r="O539" s="8"/>
      <c r="P539" s="8"/>
      <c r="Q539" s="8"/>
      <c r="R539" s="8"/>
      <c r="S539" s="8"/>
      <c r="T539" s="8"/>
      <c r="U539" s="8"/>
      <c r="V539" s="8"/>
      <c r="W539" s="8"/>
      <c r="X539" s="8"/>
      <c r="Y539" s="8"/>
      <c r="Z539" s="8"/>
      <c r="AA539" s="8"/>
    </row>
    <row r="540" spans="1:27" ht="15">
      <c r="A540" s="15"/>
      <c r="B540" s="36"/>
      <c r="C540" s="15"/>
      <c r="D540" s="37"/>
      <c r="E540" s="15"/>
      <c r="F540" s="15"/>
      <c r="G540" s="15"/>
      <c r="H540" s="15"/>
      <c r="I540" s="15"/>
      <c r="J540" s="39"/>
      <c r="K540" s="40"/>
      <c r="L540" s="8"/>
      <c r="M540" s="8"/>
      <c r="N540" s="8"/>
      <c r="O540" s="8"/>
      <c r="P540" s="8"/>
      <c r="Q540" s="8"/>
      <c r="R540" s="8"/>
      <c r="S540" s="8"/>
      <c r="T540" s="8"/>
      <c r="U540" s="8"/>
      <c r="V540" s="8"/>
      <c r="W540" s="8"/>
      <c r="X540" s="8"/>
      <c r="Y540" s="8"/>
      <c r="Z540" s="8"/>
      <c r="AA540" s="8"/>
    </row>
    <row r="541" spans="1:27" ht="15">
      <c r="A541" s="15"/>
      <c r="B541" s="36"/>
      <c r="C541" s="15"/>
      <c r="D541" s="37"/>
      <c r="E541" s="15"/>
      <c r="F541" s="15"/>
      <c r="G541" s="15"/>
      <c r="H541" s="15"/>
      <c r="I541" s="15"/>
      <c r="J541" s="39"/>
      <c r="K541" s="40"/>
      <c r="L541" s="8"/>
      <c r="M541" s="8"/>
      <c r="N541" s="8"/>
      <c r="O541" s="8"/>
      <c r="P541" s="8"/>
      <c r="Q541" s="8"/>
      <c r="R541" s="8"/>
      <c r="S541" s="8"/>
      <c r="T541" s="8"/>
      <c r="U541" s="8"/>
      <c r="V541" s="8"/>
      <c r="W541" s="8"/>
      <c r="X541" s="8"/>
      <c r="Y541" s="8"/>
      <c r="Z541" s="8"/>
      <c r="AA541" s="8"/>
    </row>
    <row r="542" spans="1:27" ht="15">
      <c r="A542" s="15"/>
      <c r="B542" s="36"/>
      <c r="C542" s="15"/>
      <c r="D542" s="37"/>
      <c r="E542" s="15"/>
      <c r="F542" s="15"/>
      <c r="G542" s="15"/>
      <c r="H542" s="15"/>
      <c r="I542" s="15"/>
      <c r="J542" s="39"/>
      <c r="K542" s="40"/>
      <c r="L542" s="8"/>
      <c r="M542" s="8"/>
      <c r="N542" s="8"/>
      <c r="O542" s="8"/>
      <c r="P542" s="8"/>
      <c r="Q542" s="8"/>
      <c r="R542" s="8"/>
      <c r="S542" s="8"/>
      <c r="T542" s="8"/>
      <c r="U542" s="8"/>
      <c r="V542" s="8"/>
      <c r="W542" s="8"/>
      <c r="X542" s="8"/>
      <c r="Y542" s="8"/>
      <c r="Z542" s="8"/>
      <c r="AA542" s="8"/>
    </row>
    <row r="543" spans="1:27" ht="15">
      <c r="A543" s="15"/>
      <c r="B543" s="36"/>
      <c r="C543" s="15"/>
      <c r="D543" s="37"/>
      <c r="E543" s="15"/>
      <c r="F543" s="15"/>
      <c r="G543" s="15"/>
      <c r="H543" s="15"/>
      <c r="I543" s="15"/>
      <c r="J543" s="39"/>
      <c r="K543" s="40"/>
      <c r="L543" s="8"/>
      <c r="M543" s="8"/>
      <c r="N543" s="8"/>
      <c r="O543" s="8"/>
      <c r="P543" s="8"/>
      <c r="Q543" s="8"/>
      <c r="R543" s="8"/>
      <c r="S543" s="8"/>
      <c r="T543" s="8"/>
      <c r="U543" s="8"/>
      <c r="V543" s="8"/>
      <c r="W543" s="8"/>
      <c r="X543" s="8"/>
      <c r="Y543" s="8"/>
      <c r="Z543" s="8"/>
      <c r="AA543" s="8"/>
    </row>
    <row r="544" spans="1:27" ht="15">
      <c r="A544" s="15"/>
      <c r="B544" s="36"/>
      <c r="C544" s="15"/>
      <c r="D544" s="37"/>
      <c r="E544" s="15"/>
      <c r="F544" s="15"/>
      <c r="G544" s="15"/>
      <c r="H544" s="15"/>
      <c r="I544" s="15"/>
      <c r="J544" s="39"/>
      <c r="K544" s="40"/>
      <c r="L544" s="8"/>
      <c r="M544" s="8"/>
      <c r="N544" s="8"/>
      <c r="O544" s="8"/>
      <c r="P544" s="8"/>
      <c r="Q544" s="8"/>
      <c r="R544" s="8"/>
      <c r="S544" s="8"/>
      <c r="T544" s="8"/>
      <c r="U544" s="8"/>
      <c r="V544" s="8"/>
      <c r="W544" s="8"/>
      <c r="X544" s="8"/>
      <c r="Y544" s="8"/>
      <c r="Z544" s="8"/>
      <c r="AA544" s="8"/>
    </row>
    <row r="545" spans="1:27" ht="15">
      <c r="A545" s="15"/>
      <c r="B545" s="36"/>
      <c r="C545" s="15"/>
      <c r="D545" s="37"/>
      <c r="E545" s="15"/>
      <c r="F545" s="15"/>
      <c r="G545" s="15"/>
      <c r="H545" s="15"/>
      <c r="I545" s="15"/>
      <c r="J545" s="39"/>
      <c r="K545" s="40"/>
      <c r="L545" s="8"/>
      <c r="M545" s="8"/>
      <c r="N545" s="8"/>
      <c r="O545" s="8"/>
      <c r="P545" s="8"/>
      <c r="Q545" s="8"/>
      <c r="R545" s="8"/>
      <c r="S545" s="8"/>
      <c r="T545" s="8"/>
      <c r="U545" s="8"/>
      <c r="V545" s="8"/>
      <c r="W545" s="8"/>
      <c r="X545" s="8"/>
      <c r="Y545" s="8"/>
      <c r="Z545" s="8"/>
      <c r="AA545" s="8"/>
    </row>
    <row r="546" spans="1:27" ht="15">
      <c r="A546" s="15"/>
      <c r="B546" s="36"/>
      <c r="C546" s="15"/>
      <c r="D546" s="37"/>
      <c r="E546" s="15"/>
      <c r="F546" s="15"/>
      <c r="G546" s="15"/>
      <c r="H546" s="15"/>
      <c r="I546" s="15"/>
      <c r="J546" s="39"/>
      <c r="K546" s="40"/>
      <c r="L546" s="8"/>
      <c r="M546" s="8"/>
      <c r="N546" s="8"/>
      <c r="O546" s="8"/>
      <c r="P546" s="8"/>
      <c r="Q546" s="8"/>
      <c r="R546" s="8"/>
      <c r="S546" s="8"/>
      <c r="T546" s="8"/>
      <c r="U546" s="8"/>
      <c r="V546" s="8"/>
      <c r="W546" s="8"/>
      <c r="X546" s="8"/>
      <c r="Y546" s="8"/>
      <c r="Z546" s="8"/>
      <c r="AA546" s="8"/>
    </row>
    <row r="547" spans="1:27" ht="15">
      <c r="A547" s="15"/>
      <c r="B547" s="36"/>
      <c r="C547" s="15"/>
      <c r="D547" s="37"/>
      <c r="E547" s="15"/>
      <c r="F547" s="15"/>
      <c r="G547" s="15"/>
      <c r="H547" s="15"/>
      <c r="I547" s="15"/>
      <c r="J547" s="39"/>
      <c r="K547" s="40"/>
      <c r="L547" s="8"/>
      <c r="M547" s="8"/>
      <c r="N547" s="8"/>
      <c r="O547" s="8"/>
      <c r="P547" s="8"/>
      <c r="Q547" s="8"/>
      <c r="R547" s="8"/>
      <c r="S547" s="8"/>
      <c r="T547" s="8"/>
      <c r="U547" s="8"/>
      <c r="V547" s="8"/>
      <c r="W547" s="8"/>
      <c r="X547" s="8"/>
      <c r="Y547" s="8"/>
      <c r="Z547" s="8"/>
      <c r="AA547" s="8"/>
    </row>
    <row r="548" spans="1:27" ht="15">
      <c r="A548" s="15"/>
      <c r="B548" s="36"/>
      <c r="C548" s="15"/>
      <c r="D548" s="37"/>
      <c r="E548" s="15"/>
      <c r="F548" s="15"/>
      <c r="G548" s="15"/>
      <c r="H548" s="15"/>
      <c r="I548" s="15"/>
      <c r="J548" s="39"/>
      <c r="K548" s="40"/>
      <c r="L548" s="8"/>
      <c r="M548" s="8"/>
      <c r="N548" s="8"/>
      <c r="O548" s="8"/>
      <c r="P548" s="8"/>
      <c r="Q548" s="8"/>
      <c r="R548" s="8"/>
      <c r="S548" s="8"/>
      <c r="T548" s="8"/>
      <c r="U548" s="8"/>
      <c r="V548" s="8"/>
      <c r="W548" s="8"/>
      <c r="X548" s="8"/>
      <c r="Y548" s="8"/>
      <c r="Z548" s="8"/>
      <c r="AA548" s="8"/>
    </row>
    <row r="549" spans="1:27" ht="15">
      <c r="A549" s="15"/>
      <c r="B549" s="36"/>
      <c r="C549" s="15"/>
      <c r="D549" s="37"/>
      <c r="E549" s="15"/>
      <c r="F549" s="15"/>
      <c r="G549" s="15"/>
      <c r="H549" s="15"/>
      <c r="I549" s="15"/>
      <c r="J549" s="39"/>
      <c r="K549" s="40"/>
      <c r="L549" s="8"/>
      <c r="M549" s="8"/>
      <c r="N549" s="8"/>
      <c r="O549" s="8"/>
      <c r="P549" s="8"/>
      <c r="Q549" s="8"/>
      <c r="R549" s="8"/>
      <c r="S549" s="8"/>
      <c r="T549" s="8"/>
      <c r="U549" s="8"/>
      <c r="V549" s="8"/>
      <c r="W549" s="8"/>
      <c r="X549" s="8"/>
      <c r="Y549" s="8"/>
      <c r="Z549" s="8"/>
      <c r="AA549" s="8"/>
    </row>
    <row r="550" spans="1:27" ht="15">
      <c r="A550" s="15"/>
      <c r="B550" s="36"/>
      <c r="C550" s="15"/>
      <c r="D550" s="37"/>
      <c r="E550" s="15"/>
      <c r="F550" s="15"/>
      <c r="G550" s="15"/>
      <c r="H550" s="15"/>
      <c r="I550" s="15"/>
      <c r="J550" s="39"/>
      <c r="K550" s="40"/>
      <c r="L550" s="8"/>
      <c r="M550" s="8"/>
      <c r="N550" s="8"/>
      <c r="O550" s="8"/>
      <c r="P550" s="8"/>
      <c r="Q550" s="8"/>
      <c r="R550" s="8"/>
      <c r="S550" s="8"/>
      <c r="T550" s="8"/>
      <c r="U550" s="8"/>
      <c r="V550" s="8"/>
      <c r="W550" s="8"/>
      <c r="X550" s="8"/>
      <c r="Y550" s="8"/>
      <c r="Z550" s="8"/>
      <c r="AA550" s="8"/>
    </row>
    <row r="551" spans="1:27" ht="15">
      <c r="A551" s="15"/>
      <c r="B551" s="36"/>
      <c r="C551" s="15"/>
      <c r="D551" s="37"/>
      <c r="E551" s="15"/>
      <c r="F551" s="15"/>
      <c r="G551" s="15"/>
      <c r="H551" s="15"/>
      <c r="I551" s="15"/>
      <c r="J551" s="39"/>
      <c r="K551" s="40"/>
      <c r="L551" s="8"/>
      <c r="M551" s="8"/>
      <c r="N551" s="8"/>
      <c r="O551" s="8"/>
      <c r="P551" s="8"/>
      <c r="Q551" s="8"/>
      <c r="R551" s="8"/>
      <c r="S551" s="8"/>
      <c r="T551" s="8"/>
      <c r="U551" s="8"/>
      <c r="V551" s="8"/>
      <c r="W551" s="8"/>
      <c r="X551" s="8"/>
      <c r="Y551" s="8"/>
      <c r="Z551" s="8"/>
      <c r="AA551" s="8"/>
    </row>
    <row r="552" spans="1:27" ht="15">
      <c r="A552" s="15"/>
      <c r="B552" s="36"/>
      <c r="C552" s="15"/>
      <c r="D552" s="37"/>
      <c r="E552" s="15"/>
      <c r="F552" s="15"/>
      <c r="G552" s="15"/>
      <c r="H552" s="15"/>
      <c r="I552" s="15"/>
      <c r="J552" s="39"/>
      <c r="K552" s="40"/>
      <c r="L552" s="8"/>
      <c r="M552" s="8"/>
      <c r="N552" s="8"/>
      <c r="O552" s="8"/>
      <c r="P552" s="8"/>
      <c r="Q552" s="8"/>
      <c r="R552" s="8"/>
      <c r="S552" s="8"/>
      <c r="T552" s="8"/>
      <c r="U552" s="8"/>
      <c r="V552" s="8"/>
      <c r="W552" s="8"/>
      <c r="X552" s="8"/>
      <c r="Y552" s="8"/>
      <c r="Z552" s="8"/>
      <c r="AA552" s="8"/>
    </row>
    <row r="553" spans="1:27" ht="15">
      <c r="A553" s="15"/>
      <c r="B553" s="36"/>
      <c r="C553" s="15"/>
      <c r="D553" s="37"/>
      <c r="E553" s="15"/>
      <c r="F553" s="15"/>
      <c r="G553" s="15"/>
      <c r="H553" s="15"/>
      <c r="I553" s="15"/>
      <c r="J553" s="39"/>
      <c r="K553" s="40"/>
      <c r="L553" s="8"/>
      <c r="M553" s="8"/>
      <c r="N553" s="8"/>
      <c r="O553" s="8"/>
      <c r="P553" s="8"/>
      <c r="Q553" s="8"/>
      <c r="R553" s="8"/>
      <c r="S553" s="8"/>
      <c r="T553" s="8"/>
      <c r="U553" s="8"/>
      <c r="V553" s="8"/>
      <c r="W553" s="8"/>
      <c r="X553" s="8"/>
      <c r="Y553" s="8"/>
      <c r="Z553" s="8"/>
      <c r="AA553" s="8"/>
    </row>
    <row r="554" spans="1:27" ht="15">
      <c r="A554" s="15"/>
      <c r="B554" s="36"/>
      <c r="C554" s="15"/>
      <c r="D554" s="37"/>
      <c r="E554" s="15"/>
      <c r="F554" s="15"/>
      <c r="G554" s="15"/>
      <c r="H554" s="15"/>
      <c r="I554" s="15"/>
      <c r="J554" s="39"/>
      <c r="K554" s="40"/>
      <c r="L554" s="8"/>
      <c r="M554" s="8"/>
      <c r="N554" s="8"/>
      <c r="O554" s="8"/>
      <c r="P554" s="8"/>
      <c r="Q554" s="8"/>
      <c r="R554" s="8"/>
      <c r="S554" s="8"/>
      <c r="T554" s="8"/>
      <c r="U554" s="8"/>
      <c r="V554" s="8"/>
      <c r="W554" s="8"/>
      <c r="X554" s="8"/>
      <c r="Y554" s="8"/>
      <c r="Z554" s="8"/>
      <c r="AA554" s="8"/>
    </row>
    <row r="555" spans="1:27" ht="15">
      <c r="A555" s="15"/>
      <c r="B555" s="36"/>
      <c r="C555" s="15"/>
      <c r="D555" s="37"/>
      <c r="E555" s="15"/>
      <c r="F555" s="15"/>
      <c r="G555" s="15"/>
      <c r="H555" s="15"/>
      <c r="I555" s="15"/>
      <c r="J555" s="39"/>
      <c r="K555" s="40"/>
      <c r="L555" s="8"/>
      <c r="M555" s="8"/>
      <c r="N555" s="8"/>
      <c r="O555" s="8"/>
      <c r="P555" s="8"/>
      <c r="Q555" s="8"/>
      <c r="R555" s="8"/>
      <c r="S555" s="8"/>
      <c r="T555" s="8"/>
      <c r="U555" s="8"/>
      <c r="V555" s="8"/>
      <c r="W555" s="8"/>
      <c r="X555" s="8"/>
      <c r="Y555" s="8"/>
      <c r="Z555" s="8"/>
      <c r="AA555" s="8"/>
    </row>
    <row r="556" spans="1:27" ht="15">
      <c r="A556" s="15"/>
      <c r="B556" s="36"/>
      <c r="C556" s="15"/>
      <c r="D556" s="37"/>
      <c r="E556" s="15"/>
      <c r="F556" s="15"/>
      <c r="G556" s="15"/>
      <c r="H556" s="15"/>
      <c r="I556" s="15"/>
      <c r="J556" s="39"/>
      <c r="K556" s="40"/>
      <c r="L556" s="8"/>
      <c r="M556" s="8"/>
      <c r="N556" s="8"/>
      <c r="O556" s="8"/>
      <c r="P556" s="8"/>
      <c r="Q556" s="8"/>
      <c r="R556" s="8"/>
      <c r="S556" s="8"/>
      <c r="T556" s="8"/>
      <c r="U556" s="8"/>
      <c r="V556" s="8"/>
      <c r="W556" s="8"/>
      <c r="X556" s="8"/>
      <c r="Y556" s="8"/>
      <c r="Z556" s="8"/>
      <c r="AA556" s="8"/>
    </row>
    <row r="557" spans="1:27" ht="15">
      <c r="A557" s="15"/>
      <c r="B557" s="36"/>
      <c r="C557" s="15"/>
      <c r="D557" s="37"/>
      <c r="E557" s="15"/>
      <c r="F557" s="15"/>
      <c r="G557" s="15"/>
      <c r="H557" s="15"/>
      <c r="I557" s="15"/>
      <c r="J557" s="39"/>
      <c r="K557" s="40"/>
      <c r="L557" s="8"/>
      <c r="M557" s="8"/>
      <c r="N557" s="8"/>
      <c r="O557" s="8"/>
      <c r="P557" s="8"/>
      <c r="Q557" s="8"/>
      <c r="R557" s="8"/>
      <c r="S557" s="8"/>
      <c r="T557" s="8"/>
      <c r="U557" s="8"/>
      <c r="V557" s="8"/>
      <c r="W557" s="8"/>
      <c r="X557" s="8"/>
      <c r="Y557" s="8"/>
      <c r="Z557" s="8"/>
      <c r="AA557" s="8"/>
    </row>
    <row r="558" spans="1:27" ht="15">
      <c r="A558" s="15"/>
      <c r="B558" s="36"/>
      <c r="C558" s="15"/>
      <c r="D558" s="37"/>
      <c r="E558" s="15"/>
      <c r="F558" s="15"/>
      <c r="G558" s="15"/>
      <c r="H558" s="15"/>
      <c r="I558" s="15"/>
      <c r="J558" s="39"/>
      <c r="K558" s="40"/>
      <c r="L558" s="8"/>
      <c r="M558" s="8"/>
      <c r="N558" s="8"/>
      <c r="O558" s="8"/>
      <c r="P558" s="8"/>
      <c r="Q558" s="8"/>
      <c r="R558" s="8"/>
      <c r="S558" s="8"/>
      <c r="T558" s="8"/>
      <c r="U558" s="8"/>
      <c r="V558" s="8"/>
      <c r="W558" s="8"/>
      <c r="X558" s="8"/>
      <c r="Y558" s="8"/>
      <c r="Z558" s="8"/>
      <c r="AA558" s="8"/>
    </row>
    <row r="559" spans="1:27" ht="15">
      <c r="A559" s="15"/>
      <c r="B559" s="36"/>
      <c r="C559" s="15"/>
      <c r="D559" s="37"/>
      <c r="E559" s="15"/>
      <c r="F559" s="15"/>
      <c r="G559" s="15"/>
      <c r="H559" s="15"/>
      <c r="I559" s="15"/>
      <c r="J559" s="39"/>
      <c r="K559" s="40"/>
      <c r="L559" s="8"/>
      <c r="M559" s="8"/>
      <c r="N559" s="8"/>
      <c r="O559" s="8"/>
      <c r="P559" s="8"/>
      <c r="Q559" s="8"/>
      <c r="R559" s="8"/>
      <c r="S559" s="8"/>
      <c r="T559" s="8"/>
      <c r="U559" s="8"/>
      <c r="V559" s="8"/>
      <c r="W559" s="8"/>
      <c r="X559" s="8"/>
      <c r="Y559" s="8"/>
      <c r="Z559" s="8"/>
      <c r="AA559" s="8"/>
    </row>
    <row r="560" spans="1:27" ht="15">
      <c r="A560" s="15"/>
      <c r="B560" s="36"/>
      <c r="C560" s="15"/>
      <c r="D560" s="37"/>
      <c r="E560" s="15"/>
      <c r="F560" s="15"/>
      <c r="G560" s="15"/>
      <c r="H560" s="15"/>
      <c r="I560" s="15"/>
      <c r="J560" s="39"/>
      <c r="K560" s="40"/>
      <c r="L560" s="8"/>
      <c r="M560" s="8"/>
      <c r="N560" s="8"/>
      <c r="O560" s="8"/>
      <c r="P560" s="8"/>
      <c r="Q560" s="8"/>
      <c r="R560" s="8"/>
      <c r="S560" s="8"/>
      <c r="T560" s="8"/>
      <c r="U560" s="8"/>
      <c r="V560" s="8"/>
      <c r="W560" s="8"/>
      <c r="X560" s="8"/>
      <c r="Y560" s="8"/>
      <c r="Z560" s="8"/>
      <c r="AA560" s="8"/>
    </row>
    <row r="561" spans="1:27" ht="15">
      <c r="A561" s="15"/>
      <c r="B561" s="36"/>
      <c r="C561" s="15"/>
      <c r="D561" s="37"/>
      <c r="E561" s="15"/>
      <c r="F561" s="15"/>
      <c r="G561" s="15"/>
      <c r="H561" s="15"/>
      <c r="I561" s="15"/>
      <c r="J561" s="39"/>
      <c r="K561" s="40"/>
      <c r="L561" s="8"/>
      <c r="M561" s="8"/>
      <c r="N561" s="8"/>
      <c r="O561" s="8"/>
      <c r="P561" s="8"/>
      <c r="Q561" s="8"/>
      <c r="R561" s="8"/>
      <c r="S561" s="8"/>
      <c r="T561" s="8"/>
      <c r="U561" s="8"/>
      <c r="V561" s="8"/>
      <c r="W561" s="8"/>
      <c r="X561" s="8"/>
      <c r="Y561" s="8"/>
      <c r="Z561" s="8"/>
      <c r="AA561" s="8"/>
    </row>
    <row r="562" spans="1:27" ht="15">
      <c r="A562" s="15"/>
      <c r="B562" s="36"/>
      <c r="C562" s="15"/>
      <c r="D562" s="37"/>
      <c r="E562" s="15"/>
      <c r="F562" s="15"/>
      <c r="G562" s="15"/>
      <c r="H562" s="15"/>
      <c r="I562" s="15"/>
      <c r="J562" s="39"/>
      <c r="K562" s="40"/>
      <c r="L562" s="8"/>
      <c r="M562" s="8"/>
      <c r="N562" s="8"/>
      <c r="O562" s="8"/>
      <c r="P562" s="8"/>
      <c r="Q562" s="8"/>
      <c r="R562" s="8"/>
      <c r="S562" s="8"/>
      <c r="T562" s="8"/>
      <c r="U562" s="8"/>
      <c r="V562" s="8"/>
      <c r="W562" s="8"/>
      <c r="X562" s="8"/>
      <c r="Y562" s="8"/>
      <c r="Z562" s="8"/>
      <c r="AA562" s="8"/>
    </row>
    <row r="563" spans="1:27" ht="15">
      <c r="A563" s="15"/>
      <c r="B563" s="36"/>
      <c r="C563" s="15"/>
      <c r="D563" s="37"/>
      <c r="E563" s="15"/>
      <c r="F563" s="15"/>
      <c r="G563" s="15"/>
      <c r="H563" s="15"/>
      <c r="I563" s="15"/>
      <c r="J563" s="39"/>
      <c r="K563" s="40"/>
      <c r="L563" s="8"/>
      <c r="M563" s="8"/>
      <c r="N563" s="8"/>
      <c r="O563" s="8"/>
      <c r="P563" s="8"/>
      <c r="Q563" s="8"/>
      <c r="R563" s="8"/>
      <c r="S563" s="8"/>
      <c r="T563" s="8"/>
      <c r="U563" s="8"/>
      <c r="V563" s="8"/>
      <c r="W563" s="8"/>
      <c r="X563" s="8"/>
      <c r="Y563" s="8"/>
      <c r="Z563" s="8"/>
      <c r="AA563" s="8"/>
    </row>
    <row r="564" spans="1:27" ht="15">
      <c r="A564" s="15"/>
      <c r="B564" s="36"/>
      <c r="C564" s="15"/>
      <c r="D564" s="37"/>
      <c r="E564" s="15"/>
      <c r="F564" s="15"/>
      <c r="G564" s="15"/>
      <c r="H564" s="15"/>
      <c r="I564" s="15"/>
      <c r="J564" s="39"/>
      <c r="K564" s="40"/>
      <c r="L564" s="8"/>
      <c r="M564" s="8"/>
      <c r="N564" s="8"/>
      <c r="O564" s="8"/>
      <c r="P564" s="8"/>
      <c r="Q564" s="8"/>
      <c r="R564" s="8"/>
      <c r="S564" s="8"/>
      <c r="T564" s="8"/>
      <c r="U564" s="8"/>
      <c r="V564" s="8"/>
      <c r="W564" s="8"/>
      <c r="X564" s="8"/>
      <c r="Y564" s="8"/>
      <c r="Z564" s="8"/>
      <c r="AA564" s="8"/>
    </row>
    <row r="565" spans="1:27" ht="15">
      <c r="A565" s="15"/>
      <c r="B565" s="36"/>
      <c r="C565" s="15"/>
      <c r="D565" s="37"/>
      <c r="E565" s="15"/>
      <c r="F565" s="15"/>
      <c r="G565" s="15"/>
      <c r="H565" s="15"/>
      <c r="I565" s="15"/>
      <c r="J565" s="39"/>
      <c r="K565" s="40"/>
      <c r="L565" s="8"/>
      <c r="M565" s="8"/>
      <c r="N565" s="8"/>
      <c r="O565" s="8"/>
      <c r="P565" s="8"/>
      <c r="Q565" s="8"/>
      <c r="R565" s="8"/>
      <c r="S565" s="8"/>
      <c r="T565" s="8"/>
      <c r="U565" s="8"/>
      <c r="V565" s="8"/>
      <c r="W565" s="8"/>
      <c r="X565" s="8"/>
      <c r="Y565" s="8"/>
      <c r="Z565" s="8"/>
      <c r="AA565" s="8"/>
    </row>
    <row r="566" spans="1:27" ht="15">
      <c r="A566" s="15"/>
      <c r="B566" s="36"/>
      <c r="C566" s="15"/>
      <c r="D566" s="37"/>
      <c r="E566" s="15"/>
      <c r="F566" s="15"/>
      <c r="G566" s="15"/>
      <c r="H566" s="15"/>
      <c r="I566" s="15"/>
      <c r="J566" s="39"/>
      <c r="K566" s="40"/>
      <c r="L566" s="8"/>
      <c r="M566" s="8"/>
      <c r="N566" s="8"/>
      <c r="O566" s="8"/>
      <c r="P566" s="8"/>
      <c r="Q566" s="8"/>
      <c r="R566" s="8"/>
      <c r="S566" s="8"/>
      <c r="T566" s="8"/>
      <c r="U566" s="8"/>
      <c r="V566" s="8"/>
      <c r="W566" s="8"/>
      <c r="X566" s="8"/>
      <c r="Y566" s="8"/>
      <c r="Z566" s="8"/>
      <c r="AA566" s="8"/>
    </row>
    <row r="567" spans="1:27" ht="15">
      <c r="A567" s="15"/>
      <c r="B567" s="36"/>
      <c r="C567" s="15"/>
      <c r="D567" s="37"/>
      <c r="E567" s="15"/>
      <c r="F567" s="15"/>
      <c r="G567" s="15"/>
      <c r="H567" s="15"/>
      <c r="I567" s="15"/>
      <c r="J567" s="39"/>
      <c r="K567" s="40"/>
      <c r="L567" s="8"/>
      <c r="M567" s="8"/>
      <c r="N567" s="8"/>
      <c r="O567" s="8"/>
      <c r="P567" s="8"/>
      <c r="Q567" s="8"/>
      <c r="R567" s="8"/>
      <c r="S567" s="8"/>
      <c r="T567" s="8"/>
      <c r="U567" s="8"/>
      <c r="V567" s="8"/>
      <c r="W567" s="8"/>
      <c r="X567" s="8"/>
      <c r="Y567" s="8"/>
      <c r="Z567" s="8"/>
      <c r="AA567" s="8"/>
    </row>
    <row r="568" spans="1:27" ht="15">
      <c r="A568" s="15"/>
      <c r="B568" s="36"/>
      <c r="C568" s="15"/>
      <c r="D568" s="37"/>
      <c r="E568" s="15"/>
      <c r="F568" s="15"/>
      <c r="G568" s="15"/>
      <c r="H568" s="15"/>
      <c r="I568" s="15"/>
      <c r="J568" s="39"/>
      <c r="K568" s="40"/>
      <c r="L568" s="8"/>
      <c r="M568" s="8"/>
      <c r="N568" s="8"/>
      <c r="O568" s="8"/>
      <c r="P568" s="8"/>
      <c r="Q568" s="8"/>
      <c r="R568" s="8"/>
      <c r="S568" s="8"/>
      <c r="T568" s="8"/>
      <c r="U568" s="8"/>
      <c r="V568" s="8"/>
      <c r="W568" s="8"/>
      <c r="X568" s="8"/>
      <c r="Y568" s="8"/>
      <c r="Z568" s="8"/>
      <c r="AA568" s="8"/>
    </row>
    <row r="569" spans="1:27" ht="15">
      <c r="A569" s="15"/>
      <c r="B569" s="36"/>
      <c r="C569" s="15"/>
      <c r="D569" s="37"/>
      <c r="E569" s="15"/>
      <c r="F569" s="15"/>
      <c r="G569" s="15"/>
      <c r="H569" s="15"/>
      <c r="I569" s="15"/>
      <c r="J569" s="39"/>
      <c r="K569" s="40"/>
      <c r="L569" s="8"/>
      <c r="M569" s="8"/>
      <c r="N569" s="8"/>
      <c r="O569" s="8"/>
      <c r="P569" s="8"/>
      <c r="Q569" s="8"/>
      <c r="R569" s="8"/>
      <c r="S569" s="8"/>
      <c r="T569" s="8"/>
      <c r="U569" s="8"/>
      <c r="V569" s="8"/>
      <c r="W569" s="8"/>
      <c r="X569" s="8"/>
      <c r="Y569" s="8"/>
      <c r="Z569" s="8"/>
      <c r="AA569" s="8"/>
    </row>
    <row r="570" spans="1:27" ht="15">
      <c r="A570" s="15"/>
      <c r="B570" s="36"/>
      <c r="C570" s="15"/>
      <c r="D570" s="37"/>
      <c r="E570" s="15"/>
      <c r="F570" s="15"/>
      <c r="G570" s="15"/>
      <c r="H570" s="15"/>
      <c r="I570" s="15"/>
      <c r="J570" s="39"/>
      <c r="K570" s="40"/>
      <c r="L570" s="8"/>
      <c r="M570" s="8"/>
      <c r="N570" s="8"/>
      <c r="O570" s="8"/>
      <c r="P570" s="8"/>
      <c r="Q570" s="8"/>
      <c r="R570" s="8"/>
      <c r="S570" s="8"/>
      <c r="T570" s="8"/>
      <c r="U570" s="8"/>
      <c r="V570" s="8"/>
      <c r="W570" s="8"/>
      <c r="X570" s="8"/>
      <c r="Y570" s="8"/>
      <c r="Z570" s="8"/>
      <c r="AA570" s="8"/>
    </row>
    <row r="571" spans="1:27" ht="15">
      <c r="A571" s="15"/>
      <c r="B571" s="36"/>
      <c r="C571" s="15"/>
      <c r="D571" s="37"/>
      <c r="E571" s="15"/>
      <c r="F571" s="15"/>
      <c r="G571" s="15"/>
      <c r="H571" s="15"/>
      <c r="I571" s="15"/>
      <c r="J571" s="39"/>
      <c r="K571" s="40"/>
      <c r="L571" s="8"/>
      <c r="M571" s="8"/>
      <c r="N571" s="8"/>
      <c r="O571" s="8"/>
      <c r="P571" s="8"/>
      <c r="Q571" s="8"/>
      <c r="R571" s="8"/>
      <c r="S571" s="8"/>
      <c r="T571" s="8"/>
      <c r="U571" s="8"/>
      <c r="V571" s="8"/>
      <c r="W571" s="8"/>
      <c r="X571" s="8"/>
      <c r="Y571" s="8"/>
      <c r="Z571" s="8"/>
      <c r="AA571" s="8"/>
    </row>
    <row r="572" spans="1:27" ht="15">
      <c r="A572" s="15"/>
      <c r="B572" s="36"/>
      <c r="C572" s="15"/>
      <c r="D572" s="37"/>
      <c r="E572" s="15"/>
      <c r="F572" s="15"/>
      <c r="G572" s="15"/>
      <c r="H572" s="15"/>
      <c r="I572" s="15"/>
      <c r="J572" s="39"/>
      <c r="K572" s="40"/>
      <c r="L572" s="8"/>
      <c r="M572" s="8"/>
      <c r="N572" s="8"/>
      <c r="O572" s="8"/>
      <c r="P572" s="8"/>
      <c r="Q572" s="8"/>
      <c r="R572" s="8"/>
      <c r="S572" s="8"/>
      <c r="T572" s="8"/>
      <c r="U572" s="8"/>
      <c r="V572" s="8"/>
      <c r="W572" s="8"/>
      <c r="X572" s="8"/>
      <c r="Y572" s="8"/>
      <c r="Z572" s="8"/>
      <c r="AA572" s="8"/>
    </row>
    <row r="573" spans="1:27" ht="15">
      <c r="A573" s="15"/>
      <c r="B573" s="36"/>
      <c r="C573" s="15"/>
      <c r="D573" s="37"/>
      <c r="E573" s="15"/>
      <c r="F573" s="15"/>
      <c r="G573" s="15"/>
      <c r="H573" s="15"/>
      <c r="I573" s="15"/>
      <c r="J573" s="39"/>
      <c r="K573" s="40"/>
      <c r="L573" s="8"/>
      <c r="M573" s="8"/>
      <c r="N573" s="8"/>
      <c r="O573" s="8"/>
      <c r="P573" s="8"/>
      <c r="Q573" s="8"/>
      <c r="R573" s="8"/>
      <c r="S573" s="8"/>
      <c r="T573" s="8"/>
      <c r="U573" s="8"/>
      <c r="V573" s="8"/>
      <c r="W573" s="8"/>
      <c r="X573" s="8"/>
      <c r="Y573" s="8"/>
      <c r="Z573" s="8"/>
      <c r="AA573" s="8"/>
    </row>
    <row r="574" spans="1:27" ht="15">
      <c r="A574" s="15"/>
      <c r="B574" s="36"/>
      <c r="C574" s="15"/>
      <c r="D574" s="37"/>
      <c r="E574" s="15"/>
      <c r="F574" s="15"/>
      <c r="G574" s="15"/>
      <c r="H574" s="15"/>
      <c r="I574" s="15"/>
      <c r="J574" s="39"/>
      <c r="K574" s="40"/>
      <c r="L574" s="8"/>
      <c r="M574" s="8"/>
      <c r="N574" s="8"/>
      <c r="O574" s="8"/>
      <c r="P574" s="8"/>
      <c r="Q574" s="8"/>
      <c r="R574" s="8"/>
      <c r="S574" s="8"/>
      <c r="T574" s="8"/>
      <c r="U574" s="8"/>
      <c r="V574" s="8"/>
      <c r="W574" s="8"/>
      <c r="X574" s="8"/>
      <c r="Y574" s="8"/>
      <c r="Z574" s="8"/>
      <c r="AA574" s="8"/>
    </row>
    <row r="575" spans="1:27" ht="15">
      <c r="A575" s="15"/>
      <c r="B575" s="36"/>
      <c r="C575" s="15"/>
      <c r="D575" s="37"/>
      <c r="E575" s="15"/>
      <c r="F575" s="15"/>
      <c r="G575" s="15"/>
      <c r="H575" s="15"/>
      <c r="I575" s="15"/>
      <c r="J575" s="39"/>
      <c r="K575" s="40"/>
      <c r="L575" s="8"/>
      <c r="M575" s="8"/>
      <c r="N575" s="8"/>
      <c r="O575" s="8"/>
      <c r="P575" s="8"/>
      <c r="Q575" s="8"/>
      <c r="R575" s="8"/>
      <c r="S575" s="8"/>
      <c r="T575" s="8"/>
      <c r="U575" s="8"/>
      <c r="V575" s="8"/>
      <c r="W575" s="8"/>
      <c r="X575" s="8"/>
      <c r="Y575" s="8"/>
      <c r="Z575" s="8"/>
      <c r="AA575" s="8"/>
    </row>
    <row r="576" spans="1:27" ht="15">
      <c r="A576" s="15"/>
      <c r="B576" s="36"/>
      <c r="C576" s="15"/>
      <c r="D576" s="37"/>
      <c r="E576" s="15"/>
      <c r="F576" s="15"/>
      <c r="G576" s="15"/>
      <c r="H576" s="15"/>
      <c r="I576" s="15"/>
      <c r="J576" s="39"/>
      <c r="K576" s="40"/>
      <c r="L576" s="8"/>
      <c r="M576" s="8"/>
      <c r="N576" s="8"/>
      <c r="O576" s="8"/>
      <c r="P576" s="8"/>
      <c r="Q576" s="8"/>
      <c r="R576" s="8"/>
      <c r="S576" s="8"/>
      <c r="T576" s="8"/>
      <c r="U576" s="8"/>
      <c r="V576" s="8"/>
      <c r="W576" s="8"/>
      <c r="X576" s="8"/>
      <c r="Y576" s="8"/>
      <c r="Z576" s="8"/>
      <c r="AA576" s="8"/>
    </row>
    <row r="577" spans="1:27" ht="15">
      <c r="A577" s="15"/>
      <c r="B577" s="36"/>
      <c r="C577" s="15"/>
      <c r="D577" s="37"/>
      <c r="E577" s="15"/>
      <c r="F577" s="15"/>
      <c r="G577" s="15"/>
      <c r="H577" s="15"/>
      <c r="I577" s="15"/>
      <c r="J577" s="39"/>
      <c r="K577" s="40"/>
      <c r="L577" s="8"/>
      <c r="M577" s="8"/>
      <c r="N577" s="8"/>
      <c r="O577" s="8"/>
      <c r="P577" s="8"/>
      <c r="Q577" s="8"/>
      <c r="R577" s="8"/>
      <c r="S577" s="8"/>
      <c r="T577" s="8"/>
      <c r="U577" s="8"/>
      <c r="V577" s="8"/>
      <c r="W577" s="8"/>
      <c r="X577" s="8"/>
      <c r="Y577" s="8"/>
      <c r="Z577" s="8"/>
      <c r="AA577" s="8"/>
    </row>
    <row r="578" spans="1:27" ht="15">
      <c r="A578" s="15"/>
      <c r="B578" s="36"/>
      <c r="C578" s="15"/>
      <c r="D578" s="37"/>
      <c r="E578" s="15"/>
      <c r="F578" s="15"/>
      <c r="G578" s="15"/>
      <c r="H578" s="15"/>
      <c r="I578" s="15"/>
      <c r="J578" s="39"/>
      <c r="K578" s="40"/>
      <c r="L578" s="8"/>
      <c r="M578" s="8"/>
      <c r="N578" s="8"/>
      <c r="O578" s="8"/>
      <c r="P578" s="8"/>
      <c r="Q578" s="8"/>
      <c r="R578" s="8"/>
      <c r="S578" s="8"/>
      <c r="T578" s="8"/>
      <c r="U578" s="8"/>
      <c r="V578" s="8"/>
      <c r="W578" s="8"/>
      <c r="X578" s="8"/>
      <c r="Y578" s="8"/>
      <c r="Z578" s="8"/>
      <c r="AA578" s="8"/>
    </row>
    <row r="579" spans="1:27" ht="15">
      <c r="A579" s="15"/>
      <c r="B579" s="36"/>
      <c r="C579" s="15"/>
      <c r="D579" s="37"/>
      <c r="E579" s="15"/>
      <c r="F579" s="15"/>
      <c r="G579" s="15"/>
      <c r="H579" s="15"/>
      <c r="I579" s="15"/>
      <c r="J579" s="39"/>
      <c r="K579" s="40"/>
      <c r="L579" s="8"/>
      <c r="M579" s="8"/>
      <c r="N579" s="8"/>
      <c r="O579" s="8"/>
      <c r="P579" s="8"/>
      <c r="Q579" s="8"/>
      <c r="R579" s="8"/>
      <c r="S579" s="8"/>
      <c r="T579" s="8"/>
      <c r="U579" s="8"/>
      <c r="V579" s="8"/>
      <c r="W579" s="8"/>
      <c r="X579" s="8"/>
      <c r="Y579" s="8"/>
      <c r="Z579" s="8"/>
      <c r="AA579" s="8"/>
    </row>
    <row r="580" spans="1:27" ht="15">
      <c r="A580" s="15"/>
      <c r="B580" s="36"/>
      <c r="C580" s="15"/>
      <c r="D580" s="37"/>
      <c r="E580" s="15"/>
      <c r="F580" s="15"/>
      <c r="G580" s="15"/>
      <c r="H580" s="15"/>
      <c r="I580" s="15"/>
      <c r="J580" s="39"/>
      <c r="K580" s="40"/>
      <c r="L580" s="8"/>
      <c r="M580" s="8"/>
      <c r="N580" s="8"/>
      <c r="O580" s="8"/>
      <c r="P580" s="8"/>
      <c r="Q580" s="8"/>
      <c r="R580" s="8"/>
      <c r="S580" s="8"/>
      <c r="T580" s="8"/>
      <c r="U580" s="8"/>
      <c r="V580" s="8"/>
      <c r="W580" s="8"/>
      <c r="X580" s="8"/>
      <c r="Y580" s="8"/>
      <c r="Z580" s="8"/>
      <c r="AA580" s="8"/>
    </row>
    <row r="581" spans="1:27" ht="15">
      <c r="A581" s="15"/>
      <c r="B581" s="36"/>
      <c r="C581" s="15"/>
      <c r="D581" s="37"/>
      <c r="E581" s="15"/>
      <c r="F581" s="15"/>
      <c r="G581" s="15"/>
      <c r="H581" s="15"/>
      <c r="I581" s="15"/>
      <c r="J581" s="39"/>
      <c r="K581" s="40"/>
      <c r="L581" s="8"/>
      <c r="M581" s="8"/>
      <c r="N581" s="8"/>
      <c r="O581" s="8"/>
      <c r="P581" s="8"/>
      <c r="Q581" s="8"/>
      <c r="R581" s="8"/>
      <c r="S581" s="8"/>
      <c r="T581" s="8"/>
      <c r="U581" s="8"/>
      <c r="V581" s="8"/>
      <c r="W581" s="8"/>
      <c r="X581" s="8"/>
      <c r="Y581" s="8"/>
      <c r="Z581" s="8"/>
      <c r="AA581" s="8"/>
    </row>
    <row r="582" spans="1:27" ht="15">
      <c r="A582" s="15"/>
      <c r="B582" s="36"/>
      <c r="C582" s="15"/>
      <c r="D582" s="37"/>
      <c r="E582" s="15"/>
      <c r="F582" s="15"/>
      <c r="G582" s="15"/>
      <c r="H582" s="15"/>
      <c r="I582" s="15"/>
      <c r="J582" s="39"/>
      <c r="K582" s="40"/>
      <c r="L582" s="8"/>
      <c r="M582" s="8"/>
      <c r="N582" s="8"/>
      <c r="O582" s="8"/>
      <c r="P582" s="8"/>
      <c r="Q582" s="8"/>
      <c r="R582" s="8"/>
      <c r="S582" s="8"/>
      <c r="T582" s="8"/>
      <c r="U582" s="8"/>
      <c r="V582" s="8"/>
      <c r="W582" s="8"/>
      <c r="X582" s="8"/>
      <c r="Y582" s="8"/>
      <c r="Z582" s="8"/>
      <c r="AA582" s="8"/>
    </row>
    <row r="583" spans="1:27" ht="15">
      <c r="A583" s="15"/>
      <c r="B583" s="36"/>
      <c r="C583" s="15"/>
      <c r="D583" s="37"/>
      <c r="E583" s="15"/>
      <c r="F583" s="15"/>
      <c r="G583" s="15"/>
      <c r="H583" s="15"/>
      <c r="I583" s="15"/>
      <c r="J583" s="39"/>
      <c r="K583" s="40"/>
      <c r="L583" s="8"/>
      <c r="M583" s="8"/>
      <c r="N583" s="8"/>
      <c r="O583" s="8"/>
      <c r="P583" s="8"/>
      <c r="Q583" s="8"/>
      <c r="R583" s="8"/>
      <c r="S583" s="8"/>
      <c r="T583" s="8"/>
      <c r="U583" s="8"/>
      <c r="V583" s="8"/>
      <c r="W583" s="8"/>
      <c r="X583" s="8"/>
      <c r="Y583" s="8"/>
      <c r="Z583" s="8"/>
      <c r="AA583" s="8"/>
    </row>
    <row r="584" spans="1:27" ht="15">
      <c r="A584" s="15"/>
      <c r="B584" s="36"/>
      <c r="C584" s="15"/>
      <c r="D584" s="37"/>
      <c r="E584" s="15"/>
      <c r="F584" s="15"/>
      <c r="G584" s="15"/>
      <c r="H584" s="15"/>
      <c r="I584" s="15"/>
      <c r="J584" s="39"/>
      <c r="K584" s="40"/>
      <c r="L584" s="8"/>
      <c r="M584" s="8"/>
      <c r="N584" s="8"/>
      <c r="O584" s="8"/>
      <c r="P584" s="8"/>
      <c r="Q584" s="8"/>
      <c r="R584" s="8"/>
      <c r="S584" s="8"/>
      <c r="T584" s="8"/>
      <c r="U584" s="8"/>
      <c r="V584" s="8"/>
      <c r="W584" s="8"/>
      <c r="X584" s="8"/>
      <c r="Y584" s="8"/>
      <c r="Z584" s="8"/>
      <c r="AA584" s="8"/>
    </row>
    <row r="585" spans="1:27" ht="15">
      <c r="A585" s="15"/>
      <c r="B585" s="36"/>
      <c r="C585" s="15"/>
      <c r="D585" s="37"/>
      <c r="E585" s="15"/>
      <c r="F585" s="15"/>
      <c r="G585" s="15"/>
      <c r="H585" s="15"/>
      <c r="I585" s="15"/>
      <c r="J585" s="39"/>
      <c r="K585" s="40"/>
      <c r="L585" s="8"/>
      <c r="M585" s="8"/>
      <c r="N585" s="8"/>
      <c r="O585" s="8"/>
      <c r="P585" s="8"/>
      <c r="Q585" s="8"/>
      <c r="R585" s="8"/>
      <c r="S585" s="8"/>
      <c r="T585" s="8"/>
      <c r="U585" s="8"/>
      <c r="V585" s="8"/>
      <c r="W585" s="8"/>
      <c r="X585" s="8"/>
      <c r="Y585" s="8"/>
      <c r="Z585" s="8"/>
      <c r="AA585" s="8"/>
    </row>
    <row r="586" spans="1:27" ht="15">
      <c r="A586" s="15"/>
      <c r="B586" s="36"/>
      <c r="C586" s="15"/>
      <c r="D586" s="37"/>
      <c r="E586" s="15"/>
      <c r="F586" s="15"/>
      <c r="G586" s="15"/>
      <c r="H586" s="15"/>
      <c r="I586" s="15"/>
      <c r="J586" s="39"/>
      <c r="K586" s="40"/>
      <c r="L586" s="8"/>
      <c r="M586" s="8"/>
      <c r="N586" s="8"/>
      <c r="O586" s="8"/>
      <c r="P586" s="8"/>
      <c r="Q586" s="8"/>
      <c r="R586" s="8"/>
      <c r="S586" s="8"/>
      <c r="T586" s="8"/>
      <c r="U586" s="8"/>
      <c r="V586" s="8"/>
      <c r="W586" s="8"/>
      <c r="X586" s="8"/>
      <c r="Y586" s="8"/>
      <c r="Z586" s="8"/>
      <c r="AA586" s="8"/>
    </row>
    <row r="587" spans="1:27" ht="15">
      <c r="A587" s="15"/>
      <c r="B587" s="36"/>
      <c r="C587" s="15"/>
      <c r="D587" s="37"/>
      <c r="E587" s="15"/>
      <c r="F587" s="15"/>
      <c r="G587" s="15"/>
      <c r="H587" s="15"/>
      <c r="I587" s="15"/>
      <c r="J587" s="39"/>
      <c r="K587" s="40"/>
      <c r="L587" s="8"/>
      <c r="M587" s="8"/>
      <c r="N587" s="8"/>
      <c r="O587" s="8"/>
      <c r="P587" s="8"/>
      <c r="Q587" s="8"/>
      <c r="R587" s="8"/>
      <c r="S587" s="8"/>
      <c r="T587" s="8"/>
      <c r="U587" s="8"/>
      <c r="V587" s="8"/>
      <c r="W587" s="8"/>
      <c r="X587" s="8"/>
      <c r="Y587" s="8"/>
      <c r="Z587" s="8"/>
      <c r="AA587" s="8"/>
    </row>
    <row r="588" spans="1:27" ht="15">
      <c r="A588" s="15"/>
      <c r="B588" s="36"/>
      <c r="C588" s="15"/>
      <c r="D588" s="37"/>
      <c r="E588" s="15"/>
      <c r="F588" s="15"/>
      <c r="G588" s="15"/>
      <c r="H588" s="15"/>
      <c r="I588" s="15"/>
      <c r="J588" s="39"/>
      <c r="K588" s="40"/>
      <c r="L588" s="8"/>
      <c r="M588" s="8"/>
      <c r="N588" s="8"/>
      <c r="O588" s="8"/>
      <c r="P588" s="8"/>
      <c r="Q588" s="8"/>
      <c r="R588" s="8"/>
      <c r="S588" s="8"/>
      <c r="T588" s="8"/>
      <c r="U588" s="8"/>
      <c r="V588" s="8"/>
      <c r="W588" s="8"/>
      <c r="X588" s="8"/>
      <c r="Y588" s="8"/>
      <c r="Z588" s="8"/>
      <c r="AA588" s="8"/>
    </row>
    <row r="589" spans="1:27" ht="15">
      <c r="A589" s="15"/>
      <c r="B589" s="36"/>
      <c r="C589" s="15"/>
      <c r="D589" s="37"/>
      <c r="E589" s="15"/>
      <c r="F589" s="15"/>
      <c r="G589" s="15"/>
      <c r="H589" s="15"/>
      <c r="I589" s="15"/>
      <c r="J589" s="39"/>
      <c r="K589" s="40"/>
      <c r="L589" s="8"/>
      <c r="M589" s="8"/>
      <c r="N589" s="8"/>
      <c r="O589" s="8"/>
      <c r="P589" s="8"/>
      <c r="Q589" s="8"/>
      <c r="R589" s="8"/>
      <c r="S589" s="8"/>
      <c r="T589" s="8"/>
      <c r="U589" s="8"/>
      <c r="V589" s="8"/>
      <c r="W589" s="8"/>
      <c r="X589" s="8"/>
      <c r="Y589" s="8"/>
      <c r="Z589" s="8"/>
      <c r="AA589" s="8"/>
    </row>
    <row r="590" spans="1:27" ht="15">
      <c r="A590" s="15"/>
      <c r="B590" s="36"/>
      <c r="C590" s="15"/>
      <c r="D590" s="37"/>
      <c r="E590" s="15"/>
      <c r="F590" s="15"/>
      <c r="G590" s="15"/>
      <c r="H590" s="15"/>
      <c r="I590" s="15"/>
      <c r="J590" s="39"/>
      <c r="K590" s="40"/>
      <c r="L590" s="8"/>
      <c r="M590" s="8"/>
      <c r="N590" s="8"/>
      <c r="O590" s="8"/>
      <c r="P590" s="8"/>
      <c r="Q590" s="8"/>
      <c r="R590" s="8"/>
      <c r="S590" s="8"/>
      <c r="T590" s="8"/>
      <c r="U590" s="8"/>
      <c r="V590" s="8"/>
      <c r="W590" s="8"/>
      <c r="X590" s="8"/>
      <c r="Y590" s="8"/>
      <c r="Z590" s="8"/>
      <c r="AA590" s="8"/>
    </row>
    <row r="591" spans="1:27" ht="15">
      <c r="A591" s="15"/>
      <c r="B591" s="36"/>
      <c r="C591" s="15"/>
      <c r="D591" s="37"/>
      <c r="E591" s="15"/>
      <c r="F591" s="15"/>
      <c r="G591" s="15"/>
      <c r="H591" s="15"/>
      <c r="I591" s="15"/>
      <c r="J591" s="39"/>
      <c r="K591" s="40"/>
      <c r="L591" s="8"/>
      <c r="M591" s="8"/>
      <c r="N591" s="8"/>
      <c r="O591" s="8"/>
      <c r="P591" s="8"/>
      <c r="Q591" s="8"/>
      <c r="R591" s="8"/>
      <c r="S591" s="8"/>
      <c r="T591" s="8"/>
      <c r="U591" s="8"/>
      <c r="V591" s="8"/>
      <c r="W591" s="8"/>
      <c r="X591" s="8"/>
      <c r="Y591" s="8"/>
      <c r="Z591" s="8"/>
      <c r="AA591" s="8"/>
    </row>
    <row r="592" spans="1:27" ht="15">
      <c r="A592" s="15"/>
      <c r="B592" s="36"/>
      <c r="C592" s="15"/>
      <c r="D592" s="37"/>
      <c r="E592" s="15"/>
      <c r="F592" s="15"/>
      <c r="G592" s="15"/>
      <c r="H592" s="15"/>
      <c r="I592" s="15"/>
      <c r="J592" s="39"/>
      <c r="K592" s="40"/>
      <c r="L592" s="8"/>
      <c r="M592" s="8"/>
      <c r="N592" s="8"/>
      <c r="O592" s="8"/>
      <c r="P592" s="8"/>
      <c r="Q592" s="8"/>
      <c r="R592" s="8"/>
      <c r="S592" s="8"/>
      <c r="T592" s="8"/>
      <c r="U592" s="8"/>
      <c r="V592" s="8"/>
      <c r="W592" s="8"/>
      <c r="X592" s="8"/>
      <c r="Y592" s="8"/>
      <c r="Z592" s="8"/>
      <c r="AA592" s="8"/>
    </row>
    <row r="593" spans="1:27" ht="15">
      <c r="A593" s="15"/>
      <c r="B593" s="36"/>
      <c r="C593" s="15"/>
      <c r="D593" s="37"/>
      <c r="E593" s="15"/>
      <c r="F593" s="15"/>
      <c r="G593" s="15"/>
      <c r="H593" s="15"/>
      <c r="I593" s="15"/>
      <c r="J593" s="39"/>
      <c r="K593" s="40"/>
      <c r="L593" s="8"/>
      <c r="M593" s="8"/>
      <c r="N593" s="8"/>
      <c r="O593" s="8"/>
      <c r="P593" s="8"/>
      <c r="Q593" s="8"/>
      <c r="R593" s="8"/>
      <c r="S593" s="8"/>
      <c r="T593" s="8"/>
      <c r="U593" s="8"/>
      <c r="V593" s="8"/>
      <c r="W593" s="8"/>
      <c r="X593" s="8"/>
      <c r="Y593" s="8"/>
      <c r="Z593" s="8"/>
      <c r="AA593" s="8"/>
    </row>
    <row r="594" spans="1:27" ht="15">
      <c r="A594" s="15"/>
      <c r="B594" s="36"/>
      <c r="C594" s="15"/>
      <c r="D594" s="37"/>
      <c r="E594" s="15"/>
      <c r="F594" s="15"/>
      <c r="G594" s="15"/>
      <c r="H594" s="15"/>
      <c r="I594" s="15"/>
      <c r="J594" s="39"/>
      <c r="K594" s="40"/>
      <c r="L594" s="8"/>
      <c r="M594" s="8"/>
      <c r="N594" s="8"/>
      <c r="O594" s="8"/>
      <c r="P594" s="8"/>
      <c r="Q594" s="8"/>
      <c r="R594" s="8"/>
      <c r="S594" s="8"/>
      <c r="T594" s="8"/>
      <c r="U594" s="8"/>
      <c r="V594" s="8"/>
      <c r="W594" s="8"/>
      <c r="X594" s="8"/>
      <c r="Y594" s="8"/>
      <c r="Z594" s="8"/>
      <c r="AA594" s="8"/>
    </row>
    <row r="595" spans="1:27" ht="15">
      <c r="A595" s="15"/>
      <c r="B595" s="36"/>
      <c r="C595" s="15"/>
      <c r="D595" s="37"/>
      <c r="E595" s="15"/>
      <c r="F595" s="15"/>
      <c r="G595" s="15"/>
      <c r="H595" s="15"/>
      <c r="I595" s="15"/>
      <c r="J595" s="39"/>
      <c r="K595" s="40"/>
      <c r="L595" s="8"/>
      <c r="M595" s="8"/>
      <c r="N595" s="8"/>
      <c r="O595" s="8"/>
      <c r="P595" s="8"/>
      <c r="Q595" s="8"/>
      <c r="R595" s="8"/>
      <c r="S595" s="8"/>
      <c r="T595" s="8"/>
      <c r="U595" s="8"/>
      <c r="V595" s="8"/>
      <c r="W595" s="8"/>
      <c r="X595" s="8"/>
      <c r="Y595" s="8"/>
      <c r="Z595" s="8"/>
      <c r="AA595" s="8"/>
    </row>
    <row r="596" spans="1:27" ht="15">
      <c r="A596" s="15"/>
      <c r="B596" s="36"/>
      <c r="C596" s="15"/>
      <c r="D596" s="37"/>
      <c r="E596" s="15"/>
      <c r="F596" s="15"/>
      <c r="G596" s="15"/>
      <c r="H596" s="15"/>
      <c r="I596" s="15"/>
      <c r="J596" s="39"/>
      <c r="K596" s="40"/>
      <c r="L596" s="8"/>
      <c r="M596" s="8"/>
      <c r="N596" s="8"/>
      <c r="O596" s="8"/>
      <c r="P596" s="8"/>
      <c r="Q596" s="8"/>
      <c r="R596" s="8"/>
      <c r="S596" s="8"/>
      <c r="T596" s="8"/>
      <c r="U596" s="8"/>
      <c r="V596" s="8"/>
      <c r="W596" s="8"/>
      <c r="X596" s="8"/>
      <c r="Y596" s="8"/>
      <c r="Z596" s="8"/>
      <c r="AA596" s="8"/>
    </row>
    <row r="597" spans="1:27" ht="15">
      <c r="A597" s="15"/>
      <c r="B597" s="36"/>
      <c r="C597" s="15"/>
      <c r="D597" s="37"/>
      <c r="E597" s="15"/>
      <c r="F597" s="15"/>
      <c r="G597" s="15"/>
      <c r="H597" s="15"/>
      <c r="I597" s="15"/>
      <c r="J597" s="39"/>
      <c r="K597" s="40"/>
      <c r="L597" s="8"/>
      <c r="M597" s="8"/>
      <c r="N597" s="8"/>
      <c r="O597" s="8"/>
      <c r="P597" s="8"/>
      <c r="Q597" s="8"/>
      <c r="R597" s="8"/>
      <c r="S597" s="8"/>
      <c r="T597" s="8"/>
      <c r="U597" s="8"/>
      <c r="V597" s="8"/>
      <c r="W597" s="8"/>
      <c r="X597" s="8"/>
      <c r="Y597" s="8"/>
      <c r="Z597" s="8"/>
      <c r="AA597" s="8"/>
    </row>
    <row r="598" spans="1:27" ht="15">
      <c r="A598" s="15"/>
      <c r="B598" s="36"/>
      <c r="C598" s="15"/>
      <c r="D598" s="37"/>
      <c r="E598" s="15"/>
      <c r="F598" s="15"/>
      <c r="G598" s="15"/>
      <c r="H598" s="15"/>
      <c r="I598" s="15"/>
      <c r="J598" s="39"/>
      <c r="K598" s="40"/>
      <c r="L598" s="8"/>
      <c r="M598" s="8"/>
      <c r="N598" s="8"/>
      <c r="O598" s="8"/>
      <c r="P598" s="8"/>
      <c r="Q598" s="8"/>
      <c r="R598" s="8"/>
      <c r="S598" s="8"/>
      <c r="T598" s="8"/>
      <c r="U598" s="8"/>
      <c r="V598" s="8"/>
      <c r="W598" s="8"/>
      <c r="X598" s="8"/>
      <c r="Y598" s="8"/>
      <c r="Z598" s="8"/>
      <c r="AA598" s="8"/>
    </row>
    <row r="599" spans="1:27" ht="15">
      <c r="A599" s="15"/>
      <c r="B599" s="36"/>
      <c r="C599" s="15"/>
      <c r="D599" s="37"/>
      <c r="E599" s="15"/>
      <c r="F599" s="15"/>
      <c r="G599" s="15"/>
      <c r="H599" s="15"/>
      <c r="I599" s="15"/>
      <c r="J599" s="39"/>
      <c r="K599" s="40"/>
      <c r="L599" s="8"/>
      <c r="M599" s="8"/>
      <c r="N599" s="8"/>
      <c r="O599" s="8"/>
      <c r="P599" s="8"/>
      <c r="Q599" s="8"/>
      <c r="R599" s="8"/>
      <c r="S599" s="8"/>
      <c r="T599" s="8"/>
      <c r="U599" s="8"/>
      <c r="V599" s="8"/>
      <c r="W599" s="8"/>
      <c r="X599" s="8"/>
      <c r="Y599" s="8"/>
      <c r="Z599" s="8"/>
      <c r="AA599" s="8"/>
    </row>
    <row r="600" spans="1:27" ht="15">
      <c r="A600" s="15"/>
      <c r="B600" s="36"/>
      <c r="C600" s="15"/>
      <c r="D600" s="37"/>
      <c r="E600" s="15"/>
      <c r="F600" s="15"/>
      <c r="G600" s="15"/>
      <c r="H600" s="15"/>
      <c r="I600" s="15"/>
      <c r="J600" s="39"/>
      <c r="K600" s="40"/>
      <c r="L600" s="8"/>
      <c r="M600" s="8"/>
      <c r="N600" s="8"/>
      <c r="O600" s="8"/>
      <c r="P600" s="8"/>
      <c r="Q600" s="8"/>
      <c r="R600" s="8"/>
      <c r="S600" s="8"/>
      <c r="T600" s="8"/>
      <c r="U600" s="8"/>
      <c r="V600" s="8"/>
      <c r="W600" s="8"/>
      <c r="X600" s="8"/>
      <c r="Y600" s="8"/>
      <c r="Z600" s="8"/>
      <c r="AA600" s="8"/>
    </row>
    <row r="601" spans="1:27" ht="15">
      <c r="A601" s="15"/>
      <c r="B601" s="36"/>
      <c r="C601" s="15"/>
      <c r="D601" s="37"/>
      <c r="E601" s="15"/>
      <c r="F601" s="15"/>
      <c r="G601" s="15"/>
      <c r="H601" s="15"/>
      <c r="I601" s="15"/>
      <c r="J601" s="39"/>
      <c r="K601" s="40"/>
      <c r="L601" s="8"/>
      <c r="M601" s="8"/>
      <c r="N601" s="8"/>
      <c r="O601" s="8"/>
      <c r="P601" s="8"/>
      <c r="Q601" s="8"/>
      <c r="R601" s="8"/>
      <c r="S601" s="8"/>
      <c r="T601" s="8"/>
      <c r="U601" s="8"/>
      <c r="V601" s="8"/>
      <c r="W601" s="8"/>
      <c r="X601" s="8"/>
      <c r="Y601" s="8"/>
      <c r="Z601" s="8"/>
      <c r="AA601" s="8"/>
    </row>
    <row r="602" spans="1:27" ht="15">
      <c r="A602" s="15"/>
      <c r="B602" s="36"/>
      <c r="C602" s="15"/>
      <c r="D602" s="37"/>
      <c r="E602" s="15"/>
      <c r="F602" s="15"/>
      <c r="G602" s="15"/>
      <c r="H602" s="15"/>
      <c r="I602" s="15"/>
      <c r="J602" s="39"/>
      <c r="K602" s="40"/>
      <c r="L602" s="8"/>
      <c r="M602" s="8"/>
      <c r="N602" s="8"/>
      <c r="O602" s="8"/>
      <c r="P602" s="8"/>
      <c r="Q602" s="8"/>
      <c r="R602" s="8"/>
      <c r="S602" s="8"/>
      <c r="T602" s="8"/>
      <c r="U602" s="8"/>
      <c r="V602" s="8"/>
      <c r="W602" s="8"/>
      <c r="X602" s="8"/>
      <c r="Y602" s="8"/>
      <c r="Z602" s="8"/>
      <c r="AA602" s="8"/>
    </row>
    <row r="603" spans="1:27" ht="15">
      <c r="A603" s="15"/>
      <c r="B603" s="36"/>
      <c r="C603" s="15"/>
      <c r="D603" s="37"/>
      <c r="E603" s="15"/>
      <c r="F603" s="15"/>
      <c r="G603" s="15"/>
      <c r="H603" s="15"/>
      <c r="I603" s="15"/>
      <c r="J603" s="39"/>
      <c r="K603" s="40"/>
      <c r="L603" s="8"/>
      <c r="M603" s="8"/>
      <c r="N603" s="8"/>
      <c r="O603" s="8"/>
      <c r="P603" s="8"/>
      <c r="Q603" s="8"/>
      <c r="R603" s="8"/>
      <c r="S603" s="8"/>
      <c r="T603" s="8"/>
      <c r="U603" s="8"/>
      <c r="V603" s="8"/>
      <c r="W603" s="8"/>
      <c r="X603" s="8"/>
      <c r="Y603" s="8"/>
      <c r="Z603" s="8"/>
      <c r="AA603" s="8"/>
    </row>
    <row r="604" spans="1:27" ht="15">
      <c r="A604" s="15"/>
      <c r="B604" s="36"/>
      <c r="C604" s="15"/>
      <c r="D604" s="37"/>
      <c r="E604" s="15"/>
      <c r="F604" s="15"/>
      <c r="G604" s="15"/>
      <c r="H604" s="15"/>
      <c r="I604" s="15"/>
      <c r="J604" s="39"/>
      <c r="K604" s="40"/>
      <c r="L604" s="8"/>
      <c r="M604" s="8"/>
      <c r="N604" s="8"/>
      <c r="O604" s="8"/>
      <c r="P604" s="8"/>
      <c r="Q604" s="8"/>
      <c r="R604" s="8"/>
      <c r="S604" s="8"/>
      <c r="T604" s="8"/>
      <c r="U604" s="8"/>
      <c r="V604" s="8"/>
      <c r="W604" s="8"/>
      <c r="X604" s="8"/>
      <c r="Y604" s="8"/>
      <c r="Z604" s="8"/>
      <c r="AA604" s="8"/>
    </row>
    <row r="605" spans="1:27" ht="15">
      <c r="A605" s="15"/>
      <c r="B605" s="36"/>
      <c r="C605" s="15"/>
      <c r="D605" s="37"/>
      <c r="E605" s="15"/>
      <c r="F605" s="15"/>
      <c r="G605" s="15"/>
      <c r="H605" s="15"/>
      <c r="I605" s="15"/>
      <c r="J605" s="39"/>
      <c r="K605" s="40"/>
      <c r="L605" s="8"/>
      <c r="M605" s="8"/>
      <c r="N605" s="8"/>
      <c r="O605" s="8"/>
      <c r="P605" s="8"/>
      <c r="Q605" s="8"/>
      <c r="R605" s="8"/>
      <c r="S605" s="8"/>
      <c r="T605" s="8"/>
      <c r="U605" s="8"/>
      <c r="V605" s="8"/>
      <c r="W605" s="8"/>
      <c r="X605" s="8"/>
      <c r="Y605" s="8"/>
      <c r="Z605" s="8"/>
      <c r="AA605" s="8"/>
    </row>
    <row r="606" spans="1:27" ht="15">
      <c r="A606" s="15"/>
      <c r="B606" s="36"/>
      <c r="C606" s="15"/>
      <c r="D606" s="37"/>
      <c r="E606" s="15"/>
      <c r="F606" s="15"/>
      <c r="G606" s="15"/>
      <c r="H606" s="15"/>
      <c r="I606" s="15"/>
      <c r="J606" s="39"/>
      <c r="K606" s="40"/>
      <c r="L606" s="8"/>
      <c r="M606" s="8"/>
      <c r="N606" s="8"/>
      <c r="O606" s="8"/>
      <c r="P606" s="8"/>
      <c r="Q606" s="8"/>
      <c r="R606" s="8"/>
      <c r="S606" s="8"/>
      <c r="T606" s="8"/>
      <c r="U606" s="8"/>
      <c r="V606" s="8"/>
      <c r="W606" s="8"/>
      <c r="X606" s="8"/>
      <c r="Y606" s="8"/>
      <c r="Z606" s="8"/>
      <c r="AA606" s="8"/>
    </row>
    <row r="607" spans="1:27" ht="15">
      <c r="A607" s="15"/>
      <c r="B607" s="36"/>
      <c r="C607" s="15"/>
      <c r="D607" s="37"/>
      <c r="E607" s="15"/>
      <c r="F607" s="15"/>
      <c r="G607" s="15"/>
      <c r="H607" s="15"/>
      <c r="I607" s="15"/>
      <c r="J607" s="39"/>
      <c r="K607" s="40"/>
      <c r="L607" s="8"/>
      <c r="M607" s="8"/>
      <c r="N607" s="8"/>
      <c r="O607" s="8"/>
      <c r="P607" s="8"/>
      <c r="Q607" s="8"/>
      <c r="R607" s="8"/>
      <c r="S607" s="8"/>
      <c r="T607" s="8"/>
      <c r="U607" s="8"/>
      <c r="V607" s="8"/>
      <c r="W607" s="8"/>
      <c r="X607" s="8"/>
      <c r="Y607" s="8"/>
      <c r="Z607" s="8"/>
      <c r="AA607" s="8"/>
    </row>
    <row r="608" spans="1:27" ht="15">
      <c r="A608" s="15"/>
      <c r="B608" s="36"/>
      <c r="C608" s="15"/>
      <c r="D608" s="37"/>
      <c r="E608" s="15"/>
      <c r="F608" s="15"/>
      <c r="G608" s="15"/>
      <c r="H608" s="15"/>
      <c r="I608" s="15"/>
      <c r="J608" s="39"/>
      <c r="K608" s="40"/>
      <c r="L608" s="8"/>
      <c r="M608" s="8"/>
      <c r="N608" s="8"/>
      <c r="O608" s="8"/>
      <c r="P608" s="8"/>
      <c r="Q608" s="8"/>
      <c r="R608" s="8"/>
      <c r="S608" s="8"/>
      <c r="T608" s="8"/>
      <c r="U608" s="8"/>
      <c r="V608" s="8"/>
      <c r="W608" s="8"/>
      <c r="X608" s="8"/>
      <c r="Y608" s="8"/>
      <c r="Z608" s="8"/>
      <c r="AA608" s="8"/>
    </row>
    <row r="609" spans="1:27" ht="15">
      <c r="A609" s="15"/>
      <c r="B609" s="36"/>
      <c r="C609" s="15"/>
      <c r="D609" s="37"/>
      <c r="E609" s="15"/>
      <c r="F609" s="15"/>
      <c r="G609" s="15"/>
      <c r="H609" s="15"/>
      <c r="I609" s="15"/>
      <c r="J609" s="39"/>
      <c r="K609" s="40"/>
      <c r="L609" s="8"/>
      <c r="M609" s="8"/>
      <c r="N609" s="8"/>
      <c r="O609" s="8"/>
      <c r="P609" s="8"/>
      <c r="Q609" s="8"/>
      <c r="R609" s="8"/>
      <c r="S609" s="8"/>
      <c r="T609" s="8"/>
      <c r="U609" s="8"/>
      <c r="V609" s="8"/>
      <c r="W609" s="8"/>
      <c r="X609" s="8"/>
      <c r="Y609" s="8"/>
      <c r="Z609" s="8"/>
      <c r="AA609" s="8"/>
    </row>
    <row r="610" spans="1:27" ht="15">
      <c r="A610" s="15"/>
      <c r="B610" s="36"/>
      <c r="C610" s="15"/>
      <c r="D610" s="37"/>
      <c r="E610" s="15"/>
      <c r="F610" s="15"/>
      <c r="G610" s="15"/>
      <c r="H610" s="15"/>
      <c r="I610" s="15"/>
      <c r="J610" s="39"/>
      <c r="K610" s="40"/>
      <c r="L610" s="8"/>
      <c r="M610" s="8"/>
      <c r="N610" s="8"/>
      <c r="O610" s="8"/>
      <c r="P610" s="8"/>
      <c r="Q610" s="8"/>
      <c r="R610" s="8"/>
      <c r="S610" s="8"/>
      <c r="T610" s="8"/>
      <c r="U610" s="8"/>
      <c r="V610" s="8"/>
      <c r="W610" s="8"/>
      <c r="X610" s="8"/>
      <c r="Y610" s="8"/>
      <c r="Z610" s="8"/>
      <c r="AA610" s="8"/>
    </row>
    <row r="611" spans="1:27" ht="15">
      <c r="A611" s="15"/>
      <c r="B611" s="36"/>
      <c r="C611" s="15"/>
      <c r="D611" s="37"/>
      <c r="E611" s="15"/>
      <c r="F611" s="15"/>
      <c r="G611" s="15"/>
      <c r="H611" s="15"/>
      <c r="I611" s="15"/>
      <c r="J611" s="39"/>
      <c r="K611" s="40"/>
      <c r="L611" s="8"/>
      <c r="M611" s="8"/>
      <c r="N611" s="8"/>
      <c r="O611" s="8"/>
      <c r="P611" s="8"/>
      <c r="Q611" s="8"/>
      <c r="R611" s="8"/>
      <c r="S611" s="8"/>
      <c r="T611" s="8"/>
      <c r="U611" s="8"/>
      <c r="V611" s="8"/>
      <c r="W611" s="8"/>
      <c r="X611" s="8"/>
      <c r="Y611" s="8"/>
      <c r="Z611" s="8"/>
      <c r="AA611" s="8"/>
    </row>
    <row r="612" spans="1:27" ht="15">
      <c r="A612" s="15"/>
      <c r="B612" s="36"/>
      <c r="C612" s="15"/>
      <c r="D612" s="37"/>
      <c r="E612" s="15"/>
      <c r="F612" s="15"/>
      <c r="G612" s="15"/>
      <c r="H612" s="15"/>
      <c r="I612" s="15"/>
      <c r="J612" s="39"/>
      <c r="K612" s="40"/>
      <c r="L612" s="8"/>
      <c r="M612" s="8"/>
      <c r="N612" s="8"/>
      <c r="O612" s="8"/>
      <c r="P612" s="8"/>
      <c r="Q612" s="8"/>
      <c r="R612" s="8"/>
      <c r="S612" s="8"/>
      <c r="T612" s="8"/>
      <c r="U612" s="8"/>
      <c r="V612" s="8"/>
      <c r="W612" s="8"/>
      <c r="X612" s="8"/>
      <c r="Y612" s="8"/>
      <c r="Z612" s="8"/>
      <c r="AA612" s="8"/>
    </row>
    <row r="613" spans="1:27" ht="15">
      <c r="A613" s="15"/>
      <c r="B613" s="36"/>
      <c r="C613" s="15"/>
      <c r="D613" s="37"/>
      <c r="E613" s="15"/>
      <c r="F613" s="15"/>
      <c r="G613" s="15"/>
      <c r="H613" s="15"/>
      <c r="I613" s="15"/>
      <c r="J613" s="39"/>
      <c r="K613" s="40"/>
      <c r="L613" s="8"/>
      <c r="M613" s="8"/>
      <c r="N613" s="8"/>
      <c r="O613" s="8"/>
      <c r="P613" s="8"/>
      <c r="Q613" s="8"/>
      <c r="R613" s="8"/>
      <c r="S613" s="8"/>
      <c r="T613" s="8"/>
      <c r="U613" s="8"/>
      <c r="V613" s="8"/>
      <c r="W613" s="8"/>
      <c r="X613" s="8"/>
      <c r="Y613" s="8"/>
      <c r="Z613" s="8"/>
      <c r="AA613" s="8"/>
    </row>
    <row r="614" spans="1:27" ht="15">
      <c r="A614" s="15"/>
      <c r="B614" s="36"/>
      <c r="C614" s="15"/>
      <c r="D614" s="37"/>
      <c r="E614" s="15"/>
      <c r="F614" s="15"/>
      <c r="G614" s="15"/>
      <c r="H614" s="15"/>
      <c r="I614" s="15"/>
      <c r="J614" s="39"/>
      <c r="K614" s="40"/>
      <c r="L614" s="8"/>
      <c r="M614" s="8"/>
      <c r="N614" s="8"/>
      <c r="O614" s="8"/>
      <c r="P614" s="8"/>
      <c r="Q614" s="8"/>
      <c r="R614" s="8"/>
      <c r="S614" s="8"/>
      <c r="T614" s="8"/>
      <c r="U614" s="8"/>
      <c r="V614" s="8"/>
      <c r="W614" s="8"/>
      <c r="X614" s="8"/>
      <c r="Y614" s="8"/>
      <c r="Z614" s="8"/>
      <c r="AA614" s="8"/>
    </row>
    <row r="615" spans="1:27" ht="15">
      <c r="A615" s="15"/>
      <c r="B615" s="36"/>
      <c r="C615" s="15"/>
      <c r="D615" s="37"/>
      <c r="E615" s="15"/>
      <c r="F615" s="15"/>
      <c r="G615" s="15"/>
      <c r="H615" s="15"/>
      <c r="I615" s="15"/>
      <c r="J615" s="39"/>
      <c r="K615" s="40"/>
      <c r="L615" s="8"/>
      <c r="M615" s="8"/>
      <c r="N615" s="8"/>
      <c r="O615" s="8"/>
      <c r="P615" s="8"/>
      <c r="Q615" s="8"/>
      <c r="R615" s="8"/>
      <c r="S615" s="8"/>
      <c r="T615" s="8"/>
      <c r="U615" s="8"/>
      <c r="V615" s="8"/>
      <c r="W615" s="8"/>
      <c r="X615" s="8"/>
      <c r="Y615" s="8"/>
      <c r="Z615" s="8"/>
      <c r="AA615" s="8"/>
    </row>
    <row r="616" spans="1:27" ht="15">
      <c r="A616" s="15"/>
      <c r="B616" s="36"/>
      <c r="C616" s="15"/>
      <c r="D616" s="37"/>
      <c r="E616" s="15"/>
      <c r="F616" s="15"/>
      <c r="G616" s="15"/>
      <c r="H616" s="15"/>
      <c r="I616" s="15"/>
      <c r="J616" s="39"/>
      <c r="K616" s="40"/>
      <c r="L616" s="8"/>
      <c r="M616" s="8"/>
      <c r="N616" s="8"/>
      <c r="O616" s="8"/>
      <c r="P616" s="8"/>
      <c r="Q616" s="8"/>
      <c r="R616" s="8"/>
      <c r="S616" s="8"/>
      <c r="T616" s="8"/>
      <c r="U616" s="8"/>
      <c r="V616" s="8"/>
      <c r="W616" s="8"/>
      <c r="X616" s="8"/>
      <c r="Y616" s="8"/>
      <c r="Z616" s="8"/>
      <c r="AA616" s="8"/>
    </row>
    <row r="617" spans="1:27" ht="15">
      <c r="A617" s="15"/>
      <c r="B617" s="36"/>
      <c r="C617" s="15"/>
      <c r="D617" s="37"/>
      <c r="E617" s="15"/>
      <c r="F617" s="15"/>
      <c r="G617" s="15"/>
      <c r="H617" s="15"/>
      <c r="I617" s="15"/>
      <c r="J617" s="39"/>
      <c r="K617" s="40"/>
      <c r="L617" s="8"/>
      <c r="M617" s="8"/>
      <c r="N617" s="8"/>
      <c r="O617" s="8"/>
      <c r="P617" s="8"/>
      <c r="Q617" s="8"/>
      <c r="R617" s="8"/>
      <c r="S617" s="8"/>
      <c r="T617" s="8"/>
      <c r="U617" s="8"/>
      <c r="V617" s="8"/>
      <c r="W617" s="8"/>
      <c r="X617" s="8"/>
      <c r="Y617" s="8"/>
      <c r="Z617" s="8"/>
      <c r="AA617" s="8"/>
    </row>
    <row r="618" spans="1:27" ht="15">
      <c r="A618" s="15"/>
      <c r="B618" s="36"/>
      <c r="C618" s="15"/>
      <c r="D618" s="37"/>
      <c r="E618" s="15"/>
      <c r="F618" s="15"/>
      <c r="G618" s="15"/>
      <c r="H618" s="15"/>
      <c r="I618" s="15"/>
      <c r="J618" s="39"/>
      <c r="K618" s="40"/>
      <c r="L618" s="8"/>
      <c r="M618" s="8"/>
      <c r="N618" s="8"/>
      <c r="O618" s="8"/>
      <c r="P618" s="8"/>
      <c r="Q618" s="8"/>
      <c r="R618" s="8"/>
      <c r="S618" s="8"/>
      <c r="T618" s="8"/>
      <c r="U618" s="8"/>
      <c r="V618" s="8"/>
      <c r="W618" s="8"/>
      <c r="X618" s="8"/>
      <c r="Y618" s="8"/>
      <c r="Z618" s="8"/>
      <c r="AA618" s="8"/>
    </row>
    <row r="619" spans="1:27" ht="15">
      <c r="A619" s="15"/>
      <c r="B619" s="36"/>
      <c r="C619" s="15"/>
      <c r="D619" s="37"/>
      <c r="E619" s="15"/>
      <c r="F619" s="15"/>
      <c r="G619" s="15"/>
      <c r="H619" s="15"/>
      <c r="I619" s="15"/>
      <c r="J619" s="39"/>
      <c r="K619" s="40"/>
      <c r="L619" s="8"/>
      <c r="M619" s="8"/>
      <c r="N619" s="8"/>
      <c r="O619" s="8"/>
      <c r="P619" s="8"/>
      <c r="Q619" s="8"/>
      <c r="R619" s="8"/>
      <c r="S619" s="8"/>
      <c r="T619" s="8"/>
      <c r="U619" s="8"/>
      <c r="V619" s="8"/>
      <c r="W619" s="8"/>
      <c r="X619" s="8"/>
      <c r="Y619" s="8"/>
      <c r="Z619" s="8"/>
      <c r="AA619" s="8"/>
    </row>
    <row r="620" spans="1:27" ht="15">
      <c r="A620" s="15"/>
      <c r="B620" s="36"/>
      <c r="C620" s="15"/>
      <c r="D620" s="37"/>
      <c r="E620" s="15"/>
      <c r="F620" s="15"/>
      <c r="G620" s="15"/>
      <c r="H620" s="15"/>
      <c r="I620" s="15"/>
      <c r="J620" s="39"/>
      <c r="K620" s="40"/>
      <c r="L620" s="8"/>
      <c r="M620" s="8"/>
      <c r="N620" s="8"/>
      <c r="O620" s="8"/>
      <c r="P620" s="8"/>
      <c r="Q620" s="8"/>
      <c r="R620" s="8"/>
      <c r="S620" s="8"/>
      <c r="T620" s="8"/>
      <c r="U620" s="8"/>
      <c r="V620" s="8"/>
      <c r="W620" s="8"/>
      <c r="X620" s="8"/>
      <c r="Y620" s="8"/>
      <c r="Z620" s="8"/>
      <c r="AA620" s="8"/>
    </row>
    <row r="621" spans="1:27" ht="15">
      <c r="A621" s="15"/>
      <c r="B621" s="36"/>
      <c r="C621" s="15"/>
      <c r="D621" s="37"/>
      <c r="E621" s="15"/>
      <c r="F621" s="15"/>
      <c r="G621" s="15"/>
      <c r="H621" s="15"/>
      <c r="I621" s="15"/>
      <c r="J621" s="39"/>
      <c r="K621" s="40"/>
      <c r="L621" s="8"/>
      <c r="M621" s="8"/>
      <c r="N621" s="8"/>
      <c r="O621" s="8"/>
      <c r="P621" s="8"/>
      <c r="Q621" s="8"/>
      <c r="R621" s="8"/>
      <c r="S621" s="8"/>
      <c r="T621" s="8"/>
      <c r="U621" s="8"/>
      <c r="V621" s="8"/>
      <c r="W621" s="8"/>
      <c r="X621" s="8"/>
      <c r="Y621" s="8"/>
      <c r="Z621" s="8"/>
      <c r="AA621" s="8"/>
    </row>
    <row r="622" spans="1:27" ht="15">
      <c r="A622" s="15"/>
      <c r="B622" s="36"/>
      <c r="C622" s="15"/>
      <c r="D622" s="37"/>
      <c r="E622" s="15"/>
      <c r="F622" s="15"/>
      <c r="G622" s="15"/>
      <c r="H622" s="15"/>
      <c r="I622" s="15"/>
      <c r="J622" s="39"/>
      <c r="K622" s="40"/>
      <c r="L622" s="8"/>
      <c r="M622" s="8"/>
      <c r="N622" s="8"/>
      <c r="O622" s="8"/>
      <c r="P622" s="8"/>
      <c r="Q622" s="8"/>
      <c r="R622" s="8"/>
      <c r="S622" s="8"/>
      <c r="T622" s="8"/>
      <c r="U622" s="8"/>
      <c r="V622" s="8"/>
      <c r="W622" s="8"/>
      <c r="X622" s="8"/>
      <c r="Y622" s="8"/>
      <c r="Z622" s="8"/>
      <c r="AA622" s="8"/>
    </row>
    <row r="623" spans="1:27" ht="15">
      <c r="A623" s="15"/>
      <c r="B623" s="36"/>
      <c r="C623" s="15"/>
      <c r="D623" s="37"/>
      <c r="E623" s="15"/>
      <c r="F623" s="15"/>
      <c r="G623" s="15"/>
      <c r="H623" s="15"/>
      <c r="I623" s="15"/>
      <c r="J623" s="39"/>
      <c r="K623" s="40"/>
      <c r="L623" s="8"/>
      <c r="M623" s="8"/>
      <c r="N623" s="8"/>
      <c r="O623" s="8"/>
      <c r="P623" s="8"/>
      <c r="Q623" s="8"/>
      <c r="R623" s="8"/>
      <c r="S623" s="8"/>
      <c r="T623" s="8"/>
      <c r="U623" s="8"/>
      <c r="V623" s="8"/>
      <c r="W623" s="8"/>
      <c r="X623" s="8"/>
      <c r="Y623" s="8"/>
      <c r="Z623" s="8"/>
      <c r="AA623" s="8"/>
    </row>
    <row r="624" spans="1:27" ht="15">
      <c r="A624" s="15"/>
      <c r="B624" s="36"/>
      <c r="C624" s="15"/>
      <c r="D624" s="37"/>
      <c r="E624" s="15"/>
      <c r="F624" s="15"/>
      <c r="G624" s="15"/>
      <c r="H624" s="15"/>
      <c r="I624" s="15"/>
      <c r="J624" s="39"/>
      <c r="K624" s="40"/>
      <c r="L624" s="8"/>
      <c r="M624" s="8"/>
      <c r="N624" s="8"/>
      <c r="O624" s="8"/>
      <c r="P624" s="8"/>
      <c r="Q624" s="8"/>
      <c r="R624" s="8"/>
      <c r="S624" s="8"/>
      <c r="T624" s="8"/>
      <c r="U624" s="8"/>
      <c r="V624" s="8"/>
      <c r="W624" s="8"/>
      <c r="X624" s="8"/>
      <c r="Y624" s="8"/>
      <c r="Z624" s="8"/>
      <c r="AA624" s="8"/>
    </row>
    <row r="625" spans="1:27" ht="15">
      <c r="A625" s="15"/>
      <c r="B625" s="36"/>
      <c r="C625" s="15"/>
      <c r="D625" s="37"/>
      <c r="E625" s="15"/>
      <c r="F625" s="15"/>
      <c r="G625" s="15"/>
      <c r="H625" s="15"/>
      <c r="I625" s="15"/>
      <c r="J625" s="39"/>
      <c r="K625" s="40"/>
      <c r="L625" s="8"/>
      <c r="M625" s="8"/>
      <c r="N625" s="8"/>
      <c r="O625" s="8"/>
      <c r="P625" s="8"/>
      <c r="Q625" s="8"/>
      <c r="R625" s="8"/>
      <c r="S625" s="8"/>
      <c r="T625" s="8"/>
      <c r="U625" s="8"/>
      <c r="V625" s="8"/>
      <c r="W625" s="8"/>
      <c r="X625" s="8"/>
      <c r="Y625" s="8"/>
      <c r="Z625" s="8"/>
      <c r="AA625" s="8"/>
    </row>
    <row r="626" spans="1:27" ht="15">
      <c r="A626" s="15"/>
      <c r="B626" s="36"/>
      <c r="C626" s="15"/>
      <c r="D626" s="37"/>
      <c r="E626" s="15"/>
      <c r="F626" s="15"/>
      <c r="G626" s="15"/>
      <c r="H626" s="15"/>
      <c r="I626" s="15"/>
      <c r="J626" s="39"/>
      <c r="K626" s="40"/>
      <c r="L626" s="8"/>
      <c r="M626" s="8"/>
      <c r="N626" s="8"/>
      <c r="O626" s="8"/>
      <c r="P626" s="8"/>
      <c r="Q626" s="8"/>
      <c r="R626" s="8"/>
      <c r="S626" s="8"/>
      <c r="T626" s="8"/>
      <c r="U626" s="8"/>
      <c r="V626" s="8"/>
      <c r="W626" s="8"/>
      <c r="X626" s="8"/>
      <c r="Y626" s="8"/>
      <c r="Z626" s="8"/>
      <c r="AA626" s="8"/>
    </row>
    <row r="627" spans="1:27" ht="15">
      <c r="A627" s="15"/>
      <c r="B627" s="36"/>
      <c r="C627" s="15"/>
      <c r="D627" s="37"/>
      <c r="E627" s="15"/>
      <c r="F627" s="15"/>
      <c r="G627" s="15"/>
      <c r="H627" s="15"/>
      <c r="I627" s="15"/>
      <c r="J627" s="39"/>
      <c r="K627" s="40"/>
      <c r="L627" s="8"/>
      <c r="M627" s="8"/>
      <c r="N627" s="8"/>
      <c r="O627" s="8"/>
      <c r="P627" s="8"/>
      <c r="Q627" s="8"/>
      <c r="R627" s="8"/>
      <c r="S627" s="8"/>
      <c r="T627" s="8"/>
      <c r="U627" s="8"/>
      <c r="V627" s="8"/>
      <c r="W627" s="8"/>
      <c r="X627" s="8"/>
      <c r="Y627" s="8"/>
      <c r="Z627" s="8"/>
      <c r="AA627" s="8"/>
    </row>
    <row r="628" spans="1:27" ht="15">
      <c r="A628" s="15"/>
      <c r="B628" s="36"/>
      <c r="C628" s="15"/>
      <c r="D628" s="37"/>
      <c r="E628" s="15"/>
      <c r="F628" s="15"/>
      <c r="G628" s="15"/>
      <c r="H628" s="15"/>
      <c r="I628" s="15"/>
      <c r="J628" s="39"/>
      <c r="K628" s="40"/>
      <c r="L628" s="8"/>
      <c r="M628" s="8"/>
      <c r="N628" s="8"/>
      <c r="O628" s="8"/>
      <c r="P628" s="8"/>
      <c r="Q628" s="8"/>
      <c r="R628" s="8"/>
      <c r="S628" s="8"/>
      <c r="T628" s="8"/>
      <c r="U628" s="8"/>
      <c r="V628" s="8"/>
      <c r="W628" s="8"/>
      <c r="X628" s="8"/>
      <c r="Y628" s="8"/>
      <c r="Z628" s="8"/>
      <c r="AA628" s="8"/>
    </row>
    <row r="629" spans="1:27" ht="15">
      <c r="A629" s="15"/>
      <c r="B629" s="36"/>
      <c r="C629" s="15"/>
      <c r="D629" s="37"/>
      <c r="E629" s="15"/>
      <c r="F629" s="15"/>
      <c r="G629" s="15"/>
      <c r="H629" s="15"/>
      <c r="I629" s="15"/>
      <c r="J629" s="39"/>
      <c r="K629" s="40"/>
      <c r="L629" s="8"/>
      <c r="M629" s="8"/>
      <c r="N629" s="8"/>
      <c r="O629" s="8"/>
      <c r="P629" s="8"/>
      <c r="Q629" s="8"/>
      <c r="R629" s="8"/>
      <c r="S629" s="8"/>
      <c r="T629" s="8"/>
      <c r="U629" s="8"/>
      <c r="V629" s="8"/>
      <c r="W629" s="8"/>
      <c r="X629" s="8"/>
      <c r="Y629" s="8"/>
      <c r="Z629" s="8"/>
      <c r="AA629" s="8"/>
    </row>
    <row r="630" spans="1:27" ht="15">
      <c r="A630" s="15"/>
      <c r="B630" s="36"/>
      <c r="C630" s="15"/>
      <c r="D630" s="37"/>
      <c r="E630" s="15"/>
      <c r="F630" s="15"/>
      <c r="G630" s="15"/>
      <c r="H630" s="15"/>
      <c r="I630" s="15"/>
      <c r="J630" s="39"/>
      <c r="K630" s="40"/>
      <c r="L630" s="8"/>
      <c r="M630" s="8"/>
      <c r="N630" s="8"/>
      <c r="O630" s="8"/>
      <c r="P630" s="8"/>
      <c r="Q630" s="8"/>
      <c r="R630" s="8"/>
      <c r="S630" s="8"/>
      <c r="T630" s="8"/>
      <c r="U630" s="8"/>
      <c r="V630" s="8"/>
      <c r="W630" s="8"/>
      <c r="X630" s="8"/>
      <c r="Y630" s="8"/>
      <c r="Z630" s="8"/>
      <c r="AA630" s="8"/>
    </row>
    <row r="631" spans="1:27" ht="15">
      <c r="A631" s="15"/>
      <c r="B631" s="36"/>
      <c r="C631" s="15"/>
      <c r="D631" s="37"/>
      <c r="E631" s="15"/>
      <c r="F631" s="15"/>
      <c r="G631" s="15"/>
      <c r="H631" s="15"/>
      <c r="I631" s="15"/>
      <c r="J631" s="39"/>
      <c r="K631" s="40"/>
      <c r="L631" s="8"/>
      <c r="M631" s="8"/>
      <c r="N631" s="8"/>
      <c r="O631" s="8"/>
      <c r="P631" s="8"/>
      <c r="Q631" s="8"/>
      <c r="R631" s="8"/>
      <c r="S631" s="8"/>
      <c r="T631" s="8"/>
      <c r="U631" s="8"/>
      <c r="V631" s="8"/>
      <c r="W631" s="8"/>
      <c r="X631" s="8"/>
      <c r="Y631" s="8"/>
      <c r="Z631" s="8"/>
      <c r="AA631" s="8"/>
    </row>
    <row r="632" spans="1:27" ht="15">
      <c r="A632" s="15"/>
      <c r="B632" s="36"/>
      <c r="C632" s="15"/>
      <c r="D632" s="37"/>
      <c r="E632" s="15"/>
      <c r="F632" s="15"/>
      <c r="G632" s="15"/>
      <c r="H632" s="15"/>
      <c r="I632" s="15"/>
      <c r="J632" s="39"/>
      <c r="K632" s="40"/>
      <c r="L632" s="8"/>
      <c r="M632" s="8"/>
      <c r="N632" s="8"/>
      <c r="O632" s="8"/>
      <c r="P632" s="8"/>
      <c r="Q632" s="8"/>
      <c r="R632" s="8"/>
      <c r="S632" s="8"/>
      <c r="T632" s="8"/>
      <c r="U632" s="8"/>
      <c r="V632" s="8"/>
      <c r="W632" s="8"/>
      <c r="X632" s="8"/>
      <c r="Y632" s="8"/>
      <c r="Z632" s="8"/>
      <c r="AA632" s="8"/>
    </row>
    <row r="633" spans="1:27" ht="15">
      <c r="A633" s="15"/>
      <c r="B633" s="36"/>
      <c r="C633" s="15"/>
      <c r="D633" s="37"/>
      <c r="E633" s="15"/>
      <c r="F633" s="15"/>
      <c r="G633" s="15"/>
      <c r="H633" s="15"/>
      <c r="I633" s="15"/>
      <c r="J633" s="39"/>
      <c r="K633" s="40"/>
      <c r="L633" s="8"/>
      <c r="M633" s="8"/>
      <c r="N633" s="8"/>
      <c r="O633" s="8"/>
      <c r="P633" s="8"/>
      <c r="Q633" s="8"/>
      <c r="R633" s="8"/>
      <c r="S633" s="8"/>
      <c r="T633" s="8"/>
      <c r="U633" s="8"/>
      <c r="V633" s="8"/>
      <c r="W633" s="8"/>
      <c r="X633" s="8"/>
      <c r="Y633" s="8"/>
      <c r="Z633" s="8"/>
      <c r="AA633" s="8"/>
    </row>
    <row r="634" spans="1:27" ht="15">
      <c r="A634" s="15"/>
      <c r="B634" s="36"/>
      <c r="C634" s="15"/>
      <c r="D634" s="37"/>
      <c r="E634" s="15"/>
      <c r="F634" s="15"/>
      <c r="G634" s="15"/>
      <c r="H634" s="15"/>
      <c r="I634" s="15"/>
      <c r="J634" s="39"/>
      <c r="K634" s="40"/>
      <c r="L634" s="8"/>
      <c r="M634" s="8"/>
      <c r="N634" s="8"/>
      <c r="O634" s="8"/>
      <c r="P634" s="8"/>
      <c r="Q634" s="8"/>
      <c r="R634" s="8"/>
      <c r="S634" s="8"/>
      <c r="T634" s="8"/>
      <c r="U634" s="8"/>
      <c r="V634" s="8"/>
      <c r="W634" s="8"/>
      <c r="X634" s="8"/>
      <c r="Y634" s="8"/>
      <c r="Z634" s="8"/>
      <c r="AA634" s="8"/>
    </row>
    <row r="635" spans="1:27" ht="15">
      <c r="A635" s="15"/>
      <c r="B635" s="36"/>
      <c r="C635" s="15"/>
      <c r="D635" s="37"/>
      <c r="E635" s="15"/>
      <c r="F635" s="15"/>
      <c r="G635" s="15"/>
      <c r="H635" s="15"/>
      <c r="I635" s="15"/>
      <c r="J635" s="39"/>
      <c r="K635" s="40"/>
      <c r="L635" s="8"/>
      <c r="M635" s="8"/>
      <c r="N635" s="8"/>
      <c r="O635" s="8"/>
      <c r="P635" s="8"/>
      <c r="Q635" s="8"/>
      <c r="R635" s="8"/>
      <c r="S635" s="8"/>
      <c r="T635" s="8"/>
      <c r="U635" s="8"/>
      <c r="V635" s="8"/>
      <c r="W635" s="8"/>
      <c r="X635" s="8"/>
      <c r="Y635" s="8"/>
      <c r="Z635" s="8"/>
      <c r="AA635" s="8"/>
    </row>
    <row r="636" spans="1:27" ht="15">
      <c r="A636" s="15"/>
      <c r="B636" s="36"/>
      <c r="C636" s="15"/>
      <c r="D636" s="37"/>
      <c r="E636" s="15"/>
      <c r="F636" s="15"/>
      <c r="G636" s="15"/>
      <c r="H636" s="15"/>
      <c r="I636" s="15"/>
      <c r="J636" s="39"/>
      <c r="K636" s="40"/>
      <c r="L636" s="8"/>
      <c r="M636" s="8"/>
      <c r="N636" s="8"/>
      <c r="O636" s="8"/>
      <c r="P636" s="8"/>
      <c r="Q636" s="8"/>
      <c r="R636" s="8"/>
      <c r="S636" s="8"/>
      <c r="T636" s="8"/>
      <c r="U636" s="8"/>
      <c r="V636" s="8"/>
      <c r="W636" s="8"/>
      <c r="X636" s="8"/>
      <c r="Y636" s="8"/>
      <c r="Z636" s="8"/>
      <c r="AA636" s="8"/>
    </row>
    <row r="637" spans="1:27" ht="15">
      <c r="A637" s="15"/>
      <c r="B637" s="36"/>
      <c r="C637" s="15"/>
      <c r="D637" s="37"/>
      <c r="E637" s="15"/>
      <c r="F637" s="15"/>
      <c r="G637" s="15"/>
      <c r="H637" s="15"/>
      <c r="I637" s="15"/>
      <c r="J637" s="39"/>
      <c r="K637" s="40"/>
      <c r="L637" s="8"/>
      <c r="M637" s="8"/>
      <c r="N637" s="8"/>
      <c r="O637" s="8"/>
      <c r="P637" s="8"/>
      <c r="Q637" s="8"/>
      <c r="R637" s="8"/>
      <c r="S637" s="8"/>
      <c r="T637" s="8"/>
      <c r="U637" s="8"/>
      <c r="V637" s="8"/>
      <c r="W637" s="8"/>
      <c r="X637" s="8"/>
      <c r="Y637" s="8"/>
      <c r="Z637" s="8"/>
      <c r="AA637" s="8"/>
    </row>
    <row r="638" spans="1:27" ht="15">
      <c r="A638" s="15"/>
      <c r="B638" s="36"/>
      <c r="C638" s="15"/>
      <c r="D638" s="37"/>
      <c r="E638" s="15"/>
      <c r="F638" s="15"/>
      <c r="G638" s="15"/>
      <c r="H638" s="15"/>
      <c r="I638" s="15"/>
      <c r="J638" s="39"/>
      <c r="K638" s="40"/>
      <c r="L638" s="8"/>
      <c r="M638" s="8"/>
      <c r="N638" s="8"/>
      <c r="O638" s="8"/>
      <c r="P638" s="8"/>
      <c r="Q638" s="8"/>
      <c r="R638" s="8"/>
      <c r="S638" s="8"/>
      <c r="T638" s="8"/>
      <c r="U638" s="8"/>
      <c r="V638" s="8"/>
      <c r="W638" s="8"/>
      <c r="X638" s="8"/>
      <c r="Y638" s="8"/>
      <c r="Z638" s="8"/>
      <c r="AA638" s="8"/>
    </row>
    <row r="639" spans="1:27" ht="15">
      <c r="A639" s="15"/>
      <c r="B639" s="36"/>
      <c r="C639" s="15"/>
      <c r="D639" s="37"/>
      <c r="E639" s="15"/>
      <c r="F639" s="15"/>
      <c r="G639" s="15"/>
      <c r="H639" s="15"/>
      <c r="I639" s="15"/>
      <c r="J639" s="39"/>
      <c r="K639" s="40"/>
      <c r="L639" s="8"/>
      <c r="M639" s="8"/>
      <c r="N639" s="8"/>
      <c r="O639" s="8"/>
      <c r="P639" s="8"/>
      <c r="Q639" s="8"/>
      <c r="R639" s="8"/>
      <c r="S639" s="8"/>
      <c r="T639" s="8"/>
      <c r="U639" s="8"/>
      <c r="V639" s="8"/>
      <c r="W639" s="8"/>
      <c r="X639" s="8"/>
      <c r="Y639" s="8"/>
      <c r="Z639" s="8"/>
      <c r="AA639" s="8"/>
    </row>
    <row r="640" spans="1:27" ht="15">
      <c r="A640" s="15"/>
      <c r="B640" s="36"/>
      <c r="C640" s="15"/>
      <c r="D640" s="37"/>
      <c r="E640" s="15"/>
      <c r="F640" s="15"/>
      <c r="G640" s="15"/>
      <c r="H640" s="15"/>
      <c r="I640" s="15"/>
      <c r="J640" s="39"/>
      <c r="K640" s="40"/>
      <c r="L640" s="8"/>
      <c r="M640" s="8"/>
      <c r="N640" s="8"/>
      <c r="O640" s="8"/>
      <c r="P640" s="8"/>
      <c r="Q640" s="8"/>
      <c r="R640" s="8"/>
      <c r="S640" s="8"/>
      <c r="T640" s="8"/>
      <c r="U640" s="8"/>
      <c r="V640" s="8"/>
      <c r="W640" s="8"/>
      <c r="X640" s="8"/>
      <c r="Y640" s="8"/>
      <c r="Z640" s="8"/>
      <c r="AA640" s="8"/>
    </row>
    <row r="641" spans="1:27" ht="15">
      <c r="A641" s="15"/>
      <c r="B641" s="36"/>
      <c r="C641" s="15"/>
      <c r="D641" s="37"/>
      <c r="E641" s="15"/>
      <c r="F641" s="15"/>
      <c r="G641" s="15"/>
      <c r="H641" s="15"/>
      <c r="I641" s="15"/>
      <c r="J641" s="39"/>
      <c r="K641" s="40"/>
      <c r="L641" s="8"/>
      <c r="M641" s="8"/>
      <c r="N641" s="8"/>
      <c r="O641" s="8"/>
      <c r="P641" s="8"/>
      <c r="Q641" s="8"/>
      <c r="R641" s="8"/>
      <c r="S641" s="8"/>
      <c r="T641" s="8"/>
      <c r="U641" s="8"/>
      <c r="V641" s="8"/>
      <c r="W641" s="8"/>
      <c r="X641" s="8"/>
      <c r="Y641" s="8"/>
      <c r="Z641" s="8"/>
      <c r="AA641" s="8"/>
    </row>
    <row r="642" spans="1:27" ht="15">
      <c r="A642" s="15"/>
      <c r="B642" s="36"/>
      <c r="C642" s="15"/>
      <c r="D642" s="37"/>
      <c r="E642" s="15"/>
      <c r="F642" s="15"/>
      <c r="G642" s="15"/>
      <c r="H642" s="15"/>
      <c r="I642" s="15"/>
      <c r="J642" s="39"/>
      <c r="K642" s="40"/>
      <c r="L642" s="8"/>
      <c r="M642" s="8"/>
      <c r="N642" s="8"/>
      <c r="O642" s="8"/>
      <c r="P642" s="8"/>
      <c r="Q642" s="8"/>
      <c r="R642" s="8"/>
      <c r="S642" s="8"/>
      <c r="T642" s="8"/>
      <c r="U642" s="8"/>
      <c r="V642" s="8"/>
      <c r="W642" s="8"/>
      <c r="X642" s="8"/>
      <c r="Y642" s="8"/>
      <c r="Z642" s="8"/>
      <c r="AA642" s="8"/>
    </row>
    <row r="643" spans="1:27" ht="15">
      <c r="A643" s="15"/>
      <c r="B643" s="36"/>
      <c r="C643" s="15"/>
      <c r="D643" s="37"/>
      <c r="E643" s="15"/>
      <c r="F643" s="15"/>
      <c r="G643" s="15"/>
      <c r="H643" s="15"/>
      <c r="I643" s="15"/>
      <c r="J643" s="39"/>
      <c r="K643" s="40"/>
      <c r="L643" s="8"/>
      <c r="M643" s="8"/>
      <c r="N643" s="8"/>
      <c r="O643" s="8"/>
      <c r="P643" s="8"/>
      <c r="Q643" s="8"/>
      <c r="R643" s="8"/>
      <c r="S643" s="8"/>
      <c r="T643" s="8"/>
      <c r="U643" s="8"/>
      <c r="V643" s="8"/>
      <c r="W643" s="8"/>
      <c r="X643" s="8"/>
      <c r="Y643" s="8"/>
      <c r="Z643" s="8"/>
      <c r="AA643" s="8"/>
    </row>
    <row r="644" spans="1:27" ht="15">
      <c r="A644" s="15"/>
      <c r="B644" s="36"/>
      <c r="C644" s="15"/>
      <c r="D644" s="37"/>
      <c r="E644" s="15"/>
      <c r="F644" s="15"/>
      <c r="G644" s="15"/>
      <c r="H644" s="15"/>
      <c r="I644" s="15"/>
      <c r="J644" s="39"/>
      <c r="K644" s="40"/>
      <c r="L644" s="8"/>
      <c r="M644" s="8"/>
      <c r="N644" s="8"/>
      <c r="O644" s="8"/>
      <c r="P644" s="8"/>
      <c r="Q644" s="8"/>
      <c r="R644" s="8"/>
      <c r="S644" s="8"/>
      <c r="T644" s="8"/>
      <c r="U644" s="8"/>
      <c r="V644" s="8"/>
      <c r="W644" s="8"/>
      <c r="X644" s="8"/>
      <c r="Y644" s="8"/>
      <c r="Z644" s="8"/>
      <c r="AA644" s="8"/>
    </row>
    <row r="645" spans="1:27" ht="15">
      <c r="A645" s="15"/>
      <c r="B645" s="36"/>
      <c r="C645" s="15"/>
      <c r="D645" s="37"/>
      <c r="E645" s="15"/>
      <c r="F645" s="15"/>
      <c r="G645" s="15"/>
      <c r="H645" s="15"/>
      <c r="I645" s="15"/>
      <c r="J645" s="39"/>
      <c r="K645" s="40"/>
      <c r="L645" s="8"/>
      <c r="M645" s="8"/>
      <c r="N645" s="8"/>
      <c r="O645" s="8"/>
      <c r="P645" s="8"/>
      <c r="Q645" s="8"/>
      <c r="R645" s="8"/>
      <c r="S645" s="8"/>
      <c r="T645" s="8"/>
      <c r="U645" s="8"/>
      <c r="V645" s="8"/>
      <c r="W645" s="8"/>
      <c r="X645" s="8"/>
      <c r="Y645" s="8"/>
      <c r="Z645" s="8"/>
      <c r="AA645" s="8"/>
    </row>
    <row r="646" spans="1:27" ht="15">
      <c r="A646" s="15"/>
      <c r="B646" s="36"/>
      <c r="C646" s="15"/>
      <c r="D646" s="37"/>
      <c r="E646" s="15"/>
      <c r="F646" s="15"/>
      <c r="G646" s="15"/>
      <c r="H646" s="15"/>
      <c r="I646" s="15"/>
      <c r="J646" s="39"/>
      <c r="K646" s="40"/>
      <c r="L646" s="8"/>
      <c r="M646" s="8"/>
      <c r="N646" s="8"/>
      <c r="O646" s="8"/>
      <c r="P646" s="8"/>
      <c r="Q646" s="8"/>
      <c r="R646" s="8"/>
      <c r="S646" s="8"/>
      <c r="T646" s="8"/>
      <c r="U646" s="8"/>
      <c r="V646" s="8"/>
      <c r="W646" s="8"/>
      <c r="X646" s="8"/>
      <c r="Y646" s="8"/>
      <c r="Z646" s="8"/>
      <c r="AA646" s="8"/>
    </row>
    <row r="647" spans="1:27" ht="15">
      <c r="A647" s="15"/>
      <c r="B647" s="36"/>
      <c r="C647" s="15"/>
      <c r="D647" s="37"/>
      <c r="E647" s="15"/>
      <c r="F647" s="15"/>
      <c r="G647" s="15"/>
      <c r="H647" s="15"/>
      <c r="I647" s="15"/>
      <c r="J647" s="39"/>
      <c r="K647" s="40"/>
      <c r="L647" s="8"/>
      <c r="M647" s="8"/>
      <c r="N647" s="8"/>
      <c r="O647" s="8"/>
      <c r="P647" s="8"/>
      <c r="Q647" s="8"/>
      <c r="R647" s="8"/>
      <c r="S647" s="8"/>
      <c r="T647" s="8"/>
      <c r="U647" s="8"/>
      <c r="V647" s="8"/>
      <c r="W647" s="8"/>
      <c r="X647" s="8"/>
      <c r="Y647" s="8"/>
      <c r="Z647" s="8"/>
      <c r="AA647" s="8"/>
    </row>
    <row r="648" spans="1:27" ht="15">
      <c r="A648" s="15"/>
      <c r="B648" s="36"/>
      <c r="C648" s="15"/>
      <c r="D648" s="37"/>
      <c r="E648" s="15"/>
      <c r="F648" s="15"/>
      <c r="G648" s="15"/>
      <c r="H648" s="15"/>
      <c r="I648" s="15"/>
      <c r="J648" s="39"/>
      <c r="K648" s="40"/>
      <c r="L648" s="8"/>
      <c r="M648" s="8"/>
      <c r="N648" s="8"/>
      <c r="O648" s="8"/>
      <c r="P648" s="8"/>
      <c r="Q648" s="8"/>
      <c r="R648" s="8"/>
      <c r="S648" s="8"/>
      <c r="T648" s="8"/>
      <c r="U648" s="8"/>
      <c r="V648" s="8"/>
      <c r="W648" s="8"/>
      <c r="X648" s="8"/>
      <c r="Y648" s="8"/>
      <c r="Z648" s="8"/>
      <c r="AA648" s="8"/>
    </row>
    <row r="649" spans="1:27" ht="15">
      <c r="A649" s="15"/>
      <c r="B649" s="36"/>
      <c r="C649" s="15"/>
      <c r="D649" s="37"/>
      <c r="E649" s="15"/>
      <c r="F649" s="15"/>
      <c r="G649" s="15"/>
      <c r="H649" s="15"/>
      <c r="I649" s="15"/>
      <c r="J649" s="39"/>
      <c r="K649" s="40"/>
      <c r="L649" s="8"/>
      <c r="M649" s="8"/>
      <c r="N649" s="8"/>
      <c r="O649" s="8"/>
      <c r="P649" s="8"/>
      <c r="Q649" s="8"/>
      <c r="R649" s="8"/>
      <c r="S649" s="8"/>
      <c r="T649" s="8"/>
      <c r="U649" s="8"/>
      <c r="V649" s="8"/>
      <c r="W649" s="8"/>
      <c r="X649" s="8"/>
      <c r="Y649" s="8"/>
      <c r="Z649" s="8"/>
      <c r="AA649" s="8"/>
    </row>
    <row r="650" spans="1:27" ht="15">
      <c r="A650" s="15"/>
      <c r="B650" s="36"/>
      <c r="C650" s="15"/>
      <c r="D650" s="37"/>
      <c r="E650" s="15"/>
      <c r="F650" s="15"/>
      <c r="G650" s="15"/>
      <c r="H650" s="15"/>
      <c r="I650" s="15"/>
      <c r="J650" s="39"/>
      <c r="K650" s="40"/>
      <c r="L650" s="8"/>
      <c r="M650" s="8"/>
      <c r="N650" s="8"/>
      <c r="O650" s="8"/>
      <c r="P650" s="8"/>
      <c r="Q650" s="8"/>
      <c r="R650" s="8"/>
      <c r="S650" s="8"/>
      <c r="T650" s="8"/>
      <c r="U650" s="8"/>
      <c r="V650" s="8"/>
      <c r="W650" s="8"/>
      <c r="X650" s="8"/>
      <c r="Y650" s="8"/>
      <c r="Z650" s="8"/>
      <c r="AA650" s="8"/>
    </row>
    <row r="651" spans="1:27" ht="15">
      <c r="A651" s="15"/>
      <c r="B651" s="36"/>
      <c r="C651" s="15"/>
      <c r="D651" s="37"/>
      <c r="E651" s="15"/>
      <c r="F651" s="15"/>
      <c r="G651" s="15"/>
      <c r="H651" s="15"/>
      <c r="I651" s="15"/>
      <c r="J651" s="39"/>
      <c r="K651" s="40"/>
      <c r="L651" s="8"/>
      <c r="M651" s="8"/>
      <c r="N651" s="8"/>
      <c r="O651" s="8"/>
      <c r="P651" s="8"/>
      <c r="Q651" s="8"/>
      <c r="R651" s="8"/>
      <c r="S651" s="8"/>
      <c r="T651" s="8"/>
      <c r="U651" s="8"/>
      <c r="V651" s="8"/>
      <c r="W651" s="8"/>
      <c r="X651" s="8"/>
      <c r="Y651" s="8"/>
      <c r="Z651" s="8"/>
      <c r="AA651" s="8"/>
    </row>
    <row r="652" spans="1:27" ht="15">
      <c r="A652" s="15"/>
      <c r="B652" s="36"/>
      <c r="C652" s="15"/>
      <c r="D652" s="37"/>
      <c r="E652" s="15"/>
      <c r="F652" s="15"/>
      <c r="G652" s="15"/>
      <c r="H652" s="15"/>
      <c r="I652" s="15"/>
      <c r="J652" s="39"/>
      <c r="K652" s="40"/>
      <c r="L652" s="8"/>
      <c r="M652" s="8"/>
      <c r="N652" s="8"/>
      <c r="O652" s="8"/>
      <c r="P652" s="8"/>
      <c r="Q652" s="8"/>
      <c r="R652" s="8"/>
      <c r="S652" s="8"/>
      <c r="T652" s="8"/>
      <c r="U652" s="8"/>
      <c r="V652" s="8"/>
      <c r="W652" s="8"/>
      <c r="X652" s="8"/>
      <c r="Y652" s="8"/>
      <c r="Z652" s="8"/>
      <c r="AA652" s="8"/>
    </row>
    <row r="653" spans="1:27" ht="15">
      <c r="A653" s="15"/>
      <c r="B653" s="36"/>
      <c r="C653" s="15"/>
      <c r="D653" s="37"/>
      <c r="E653" s="15"/>
      <c r="F653" s="15"/>
      <c r="G653" s="15"/>
      <c r="H653" s="15"/>
      <c r="I653" s="15"/>
      <c r="J653" s="39"/>
      <c r="K653" s="40"/>
      <c r="L653" s="8"/>
      <c r="M653" s="8"/>
      <c r="N653" s="8"/>
      <c r="O653" s="8"/>
      <c r="P653" s="8"/>
      <c r="Q653" s="8"/>
      <c r="R653" s="8"/>
      <c r="S653" s="8"/>
      <c r="T653" s="8"/>
      <c r="U653" s="8"/>
      <c r="V653" s="8"/>
      <c r="W653" s="8"/>
      <c r="X653" s="8"/>
      <c r="Y653" s="8"/>
      <c r="Z653" s="8"/>
      <c r="AA653" s="8"/>
    </row>
    <row r="654" spans="1:27" ht="15">
      <c r="A654" s="15"/>
      <c r="B654" s="36"/>
      <c r="C654" s="15"/>
      <c r="D654" s="37"/>
      <c r="E654" s="15"/>
      <c r="F654" s="15"/>
      <c r="G654" s="15"/>
      <c r="H654" s="15"/>
      <c r="I654" s="15"/>
      <c r="J654" s="39"/>
      <c r="K654" s="40"/>
      <c r="L654" s="8"/>
      <c r="M654" s="8"/>
      <c r="N654" s="8"/>
      <c r="O654" s="8"/>
      <c r="P654" s="8"/>
      <c r="Q654" s="8"/>
      <c r="R654" s="8"/>
      <c r="S654" s="8"/>
      <c r="T654" s="8"/>
      <c r="U654" s="8"/>
      <c r="V654" s="8"/>
      <c r="W654" s="8"/>
      <c r="X654" s="8"/>
      <c r="Y654" s="8"/>
      <c r="Z654" s="8"/>
      <c r="AA654" s="8"/>
    </row>
    <row r="655" spans="1:27" ht="15">
      <c r="A655" s="15"/>
      <c r="B655" s="36"/>
      <c r="C655" s="15"/>
      <c r="D655" s="37"/>
      <c r="E655" s="15"/>
      <c r="F655" s="15"/>
      <c r="G655" s="15"/>
      <c r="H655" s="15"/>
      <c r="I655" s="15"/>
      <c r="J655" s="39"/>
      <c r="K655" s="40"/>
      <c r="L655" s="8"/>
      <c r="M655" s="8"/>
      <c r="N655" s="8"/>
      <c r="O655" s="8"/>
      <c r="P655" s="8"/>
      <c r="Q655" s="8"/>
      <c r="R655" s="8"/>
      <c r="S655" s="8"/>
      <c r="T655" s="8"/>
      <c r="U655" s="8"/>
      <c r="V655" s="8"/>
      <c r="W655" s="8"/>
      <c r="X655" s="8"/>
      <c r="Y655" s="8"/>
      <c r="Z655" s="8"/>
      <c r="AA655" s="8"/>
    </row>
    <row r="656" spans="1:27" ht="15">
      <c r="A656" s="15"/>
      <c r="B656" s="36"/>
      <c r="C656" s="15"/>
      <c r="D656" s="37"/>
      <c r="E656" s="15"/>
      <c r="F656" s="15"/>
      <c r="G656" s="15"/>
      <c r="H656" s="15"/>
      <c r="I656" s="15"/>
      <c r="J656" s="39"/>
      <c r="K656" s="40"/>
      <c r="L656" s="8"/>
      <c r="M656" s="8"/>
      <c r="N656" s="8"/>
      <c r="O656" s="8"/>
      <c r="P656" s="8"/>
      <c r="Q656" s="8"/>
      <c r="R656" s="8"/>
      <c r="S656" s="8"/>
      <c r="T656" s="8"/>
      <c r="U656" s="8"/>
      <c r="V656" s="8"/>
      <c r="W656" s="8"/>
      <c r="X656" s="8"/>
      <c r="Y656" s="8"/>
      <c r="Z656" s="8"/>
      <c r="AA656" s="8"/>
    </row>
    <row r="657" spans="1:27" ht="15">
      <c r="A657" s="15"/>
      <c r="B657" s="36"/>
      <c r="C657" s="15"/>
      <c r="D657" s="37"/>
      <c r="E657" s="15"/>
      <c r="F657" s="15"/>
      <c r="G657" s="15"/>
      <c r="H657" s="15"/>
      <c r="I657" s="15"/>
      <c r="J657" s="39"/>
      <c r="K657" s="40"/>
      <c r="L657" s="8"/>
      <c r="M657" s="8"/>
      <c r="N657" s="8"/>
      <c r="O657" s="8"/>
      <c r="P657" s="8"/>
      <c r="Q657" s="8"/>
      <c r="R657" s="8"/>
      <c r="S657" s="8"/>
      <c r="T657" s="8"/>
      <c r="U657" s="8"/>
      <c r="V657" s="8"/>
      <c r="W657" s="8"/>
      <c r="X657" s="8"/>
      <c r="Y657" s="8"/>
      <c r="Z657" s="8"/>
      <c r="AA657" s="8"/>
    </row>
    <row r="658" spans="1:27" ht="15">
      <c r="A658" s="15"/>
      <c r="B658" s="36"/>
      <c r="C658" s="15"/>
      <c r="D658" s="37"/>
      <c r="E658" s="15"/>
      <c r="F658" s="15"/>
      <c r="G658" s="15"/>
      <c r="H658" s="15"/>
      <c r="I658" s="15"/>
      <c r="J658" s="39"/>
      <c r="K658" s="40"/>
      <c r="L658" s="8"/>
      <c r="M658" s="8"/>
      <c r="N658" s="8"/>
      <c r="O658" s="8"/>
      <c r="P658" s="8"/>
      <c r="Q658" s="8"/>
      <c r="R658" s="8"/>
      <c r="S658" s="8"/>
      <c r="T658" s="8"/>
      <c r="U658" s="8"/>
      <c r="V658" s="8"/>
      <c r="W658" s="8"/>
      <c r="X658" s="8"/>
      <c r="Y658" s="8"/>
      <c r="Z658" s="8"/>
      <c r="AA658" s="8"/>
    </row>
    <row r="659" spans="1:27" ht="15">
      <c r="A659" s="15"/>
      <c r="B659" s="36"/>
      <c r="C659" s="15"/>
      <c r="D659" s="37"/>
      <c r="E659" s="15"/>
      <c r="F659" s="15"/>
      <c r="G659" s="15"/>
      <c r="H659" s="15"/>
      <c r="I659" s="15"/>
      <c r="J659" s="39"/>
      <c r="K659" s="40"/>
      <c r="L659" s="8"/>
      <c r="M659" s="8"/>
      <c r="N659" s="8"/>
      <c r="O659" s="8"/>
      <c r="P659" s="8"/>
      <c r="Q659" s="8"/>
      <c r="R659" s="8"/>
      <c r="S659" s="8"/>
      <c r="T659" s="8"/>
      <c r="U659" s="8"/>
      <c r="V659" s="8"/>
      <c r="W659" s="8"/>
      <c r="X659" s="8"/>
      <c r="Y659" s="8"/>
      <c r="Z659" s="8"/>
      <c r="AA659" s="8"/>
    </row>
    <row r="660" spans="1:27" ht="15">
      <c r="A660" s="15"/>
      <c r="B660" s="36"/>
      <c r="C660" s="15"/>
      <c r="D660" s="37"/>
      <c r="E660" s="15"/>
      <c r="F660" s="15"/>
      <c r="G660" s="15"/>
      <c r="H660" s="15"/>
      <c r="I660" s="15"/>
      <c r="J660" s="39"/>
      <c r="K660" s="40"/>
      <c r="L660" s="8"/>
      <c r="M660" s="8"/>
      <c r="N660" s="8"/>
      <c r="O660" s="8"/>
      <c r="P660" s="8"/>
      <c r="Q660" s="8"/>
      <c r="R660" s="8"/>
      <c r="S660" s="8"/>
      <c r="T660" s="8"/>
      <c r="U660" s="8"/>
      <c r="V660" s="8"/>
      <c r="W660" s="8"/>
      <c r="X660" s="8"/>
      <c r="Y660" s="8"/>
      <c r="Z660" s="8"/>
      <c r="AA660" s="8"/>
    </row>
    <row r="661" spans="1:27" ht="15">
      <c r="A661" s="15"/>
      <c r="B661" s="36"/>
      <c r="C661" s="15"/>
      <c r="D661" s="37"/>
      <c r="E661" s="15"/>
      <c r="F661" s="15"/>
      <c r="G661" s="15"/>
      <c r="H661" s="15"/>
      <c r="I661" s="15"/>
      <c r="J661" s="39"/>
      <c r="K661" s="40"/>
      <c r="L661" s="8"/>
      <c r="M661" s="8"/>
      <c r="N661" s="8"/>
      <c r="O661" s="8"/>
      <c r="P661" s="8"/>
      <c r="Q661" s="8"/>
      <c r="R661" s="8"/>
      <c r="S661" s="8"/>
      <c r="T661" s="8"/>
      <c r="U661" s="8"/>
      <c r="V661" s="8"/>
      <c r="W661" s="8"/>
      <c r="X661" s="8"/>
      <c r="Y661" s="8"/>
      <c r="Z661" s="8"/>
      <c r="AA661" s="8"/>
    </row>
    <row r="662" spans="1:27" ht="15">
      <c r="A662" s="15"/>
      <c r="B662" s="36"/>
      <c r="C662" s="15"/>
      <c r="D662" s="37"/>
      <c r="E662" s="15"/>
      <c r="F662" s="15"/>
      <c r="G662" s="15"/>
      <c r="H662" s="15"/>
      <c r="I662" s="15"/>
      <c r="J662" s="39"/>
      <c r="K662" s="40"/>
      <c r="L662" s="8"/>
      <c r="M662" s="8"/>
      <c r="N662" s="8"/>
      <c r="O662" s="8"/>
      <c r="P662" s="8"/>
      <c r="Q662" s="8"/>
      <c r="R662" s="8"/>
      <c r="S662" s="8"/>
      <c r="T662" s="8"/>
      <c r="U662" s="8"/>
      <c r="V662" s="8"/>
      <c r="W662" s="8"/>
      <c r="X662" s="8"/>
      <c r="Y662" s="8"/>
      <c r="Z662" s="8"/>
      <c r="AA662" s="8"/>
    </row>
    <row r="663" spans="1:27" ht="15">
      <c r="A663" s="15"/>
      <c r="B663" s="36"/>
      <c r="C663" s="15"/>
      <c r="D663" s="37"/>
      <c r="E663" s="15"/>
      <c r="F663" s="15"/>
      <c r="G663" s="15"/>
      <c r="H663" s="15"/>
      <c r="I663" s="15"/>
      <c r="J663" s="39"/>
      <c r="K663" s="40"/>
      <c r="L663" s="8"/>
      <c r="M663" s="8"/>
      <c r="N663" s="8"/>
      <c r="O663" s="8"/>
      <c r="P663" s="8"/>
      <c r="Q663" s="8"/>
      <c r="R663" s="8"/>
      <c r="S663" s="8"/>
      <c r="T663" s="8"/>
      <c r="U663" s="8"/>
      <c r="V663" s="8"/>
      <c r="W663" s="8"/>
      <c r="X663" s="8"/>
      <c r="Y663" s="8"/>
      <c r="Z663" s="8"/>
      <c r="AA663" s="8"/>
    </row>
    <row r="664" spans="1:27" ht="15">
      <c r="A664" s="15"/>
      <c r="B664" s="36"/>
      <c r="C664" s="15"/>
      <c r="D664" s="37"/>
      <c r="E664" s="15"/>
      <c r="F664" s="15"/>
      <c r="G664" s="15"/>
      <c r="H664" s="15"/>
      <c r="I664" s="15"/>
      <c r="J664" s="39"/>
      <c r="K664" s="40"/>
      <c r="L664" s="8"/>
      <c r="M664" s="8"/>
      <c r="N664" s="8"/>
      <c r="O664" s="8"/>
      <c r="P664" s="8"/>
      <c r="Q664" s="8"/>
      <c r="R664" s="8"/>
      <c r="S664" s="8"/>
      <c r="T664" s="8"/>
      <c r="U664" s="8"/>
      <c r="V664" s="8"/>
      <c r="W664" s="8"/>
      <c r="X664" s="8"/>
      <c r="Y664" s="8"/>
      <c r="Z664" s="8"/>
      <c r="AA664" s="8"/>
    </row>
    <row r="665" spans="1:27" ht="15">
      <c r="A665" s="15"/>
      <c r="B665" s="36"/>
      <c r="C665" s="15"/>
      <c r="D665" s="37"/>
      <c r="E665" s="15"/>
      <c r="F665" s="15"/>
      <c r="G665" s="15"/>
      <c r="H665" s="15"/>
      <c r="I665" s="15"/>
      <c r="J665" s="39"/>
      <c r="K665" s="40"/>
      <c r="L665" s="8"/>
      <c r="M665" s="8"/>
      <c r="N665" s="8"/>
      <c r="O665" s="8"/>
      <c r="P665" s="8"/>
      <c r="Q665" s="8"/>
      <c r="R665" s="8"/>
      <c r="S665" s="8"/>
      <c r="T665" s="8"/>
      <c r="U665" s="8"/>
      <c r="V665" s="8"/>
      <c r="W665" s="8"/>
      <c r="X665" s="8"/>
      <c r="Y665" s="8"/>
      <c r="Z665" s="8"/>
      <c r="AA665" s="8"/>
    </row>
    <row r="666" spans="1:27" ht="15">
      <c r="A666" s="15"/>
      <c r="B666" s="36"/>
      <c r="C666" s="15"/>
      <c r="D666" s="37"/>
      <c r="E666" s="15"/>
      <c r="F666" s="15"/>
      <c r="G666" s="15"/>
      <c r="H666" s="15"/>
      <c r="I666" s="15"/>
      <c r="J666" s="39"/>
      <c r="K666" s="40"/>
      <c r="L666" s="8"/>
      <c r="M666" s="8"/>
      <c r="N666" s="8"/>
      <c r="O666" s="8"/>
      <c r="P666" s="8"/>
      <c r="Q666" s="8"/>
      <c r="R666" s="8"/>
      <c r="S666" s="8"/>
      <c r="T666" s="8"/>
      <c r="U666" s="8"/>
      <c r="V666" s="8"/>
      <c r="W666" s="8"/>
      <c r="X666" s="8"/>
      <c r="Y666" s="8"/>
      <c r="Z666" s="8"/>
      <c r="AA666" s="8"/>
    </row>
    <row r="667" spans="1:27" ht="15">
      <c r="A667" s="15"/>
      <c r="B667" s="36"/>
      <c r="C667" s="15"/>
      <c r="D667" s="37"/>
      <c r="E667" s="15"/>
      <c r="F667" s="15"/>
      <c r="G667" s="15"/>
      <c r="H667" s="15"/>
      <c r="I667" s="15"/>
      <c r="J667" s="39"/>
      <c r="K667" s="40"/>
      <c r="L667" s="8"/>
      <c r="M667" s="8"/>
      <c r="N667" s="8"/>
      <c r="O667" s="8"/>
      <c r="P667" s="8"/>
      <c r="Q667" s="8"/>
      <c r="R667" s="8"/>
      <c r="S667" s="8"/>
      <c r="T667" s="8"/>
      <c r="U667" s="8"/>
      <c r="V667" s="8"/>
      <c r="W667" s="8"/>
      <c r="X667" s="8"/>
      <c r="Y667" s="8"/>
      <c r="Z667" s="8"/>
      <c r="AA667" s="8"/>
    </row>
    <row r="668" spans="1:27" ht="15">
      <c r="A668" s="15"/>
      <c r="B668" s="36"/>
      <c r="C668" s="15"/>
      <c r="D668" s="37"/>
      <c r="E668" s="15"/>
      <c r="F668" s="15"/>
      <c r="G668" s="15"/>
      <c r="H668" s="15"/>
      <c r="I668" s="15"/>
      <c r="J668" s="39"/>
      <c r="K668" s="40"/>
      <c r="L668" s="8"/>
      <c r="M668" s="8"/>
      <c r="N668" s="8"/>
      <c r="O668" s="8"/>
      <c r="P668" s="8"/>
      <c r="Q668" s="8"/>
      <c r="R668" s="8"/>
      <c r="S668" s="8"/>
      <c r="T668" s="8"/>
      <c r="U668" s="8"/>
      <c r="V668" s="8"/>
      <c r="W668" s="8"/>
      <c r="X668" s="8"/>
      <c r="Y668" s="8"/>
      <c r="Z668" s="8"/>
      <c r="AA668" s="8"/>
    </row>
    <row r="669" spans="1:27" ht="15">
      <c r="A669" s="15"/>
      <c r="B669" s="36"/>
      <c r="C669" s="15"/>
      <c r="D669" s="37"/>
      <c r="E669" s="15"/>
      <c r="F669" s="15"/>
      <c r="G669" s="15"/>
      <c r="H669" s="15"/>
      <c r="I669" s="15"/>
      <c r="J669" s="39"/>
      <c r="K669" s="40"/>
      <c r="L669" s="8"/>
      <c r="M669" s="8"/>
      <c r="N669" s="8"/>
      <c r="O669" s="8"/>
      <c r="P669" s="8"/>
      <c r="Q669" s="8"/>
      <c r="R669" s="8"/>
      <c r="S669" s="8"/>
      <c r="T669" s="8"/>
      <c r="U669" s="8"/>
      <c r="V669" s="8"/>
      <c r="W669" s="8"/>
      <c r="X669" s="8"/>
      <c r="Y669" s="8"/>
      <c r="Z669" s="8"/>
      <c r="AA669" s="8"/>
    </row>
    <row r="670" spans="1:27" ht="15">
      <c r="A670" s="15"/>
      <c r="B670" s="36"/>
      <c r="C670" s="15"/>
      <c r="D670" s="37"/>
      <c r="E670" s="15"/>
      <c r="F670" s="15"/>
      <c r="G670" s="15"/>
      <c r="H670" s="15"/>
      <c r="I670" s="15"/>
      <c r="J670" s="39"/>
      <c r="K670" s="40"/>
      <c r="L670" s="8"/>
      <c r="M670" s="8"/>
      <c r="N670" s="8"/>
      <c r="O670" s="8"/>
      <c r="P670" s="8"/>
      <c r="Q670" s="8"/>
      <c r="R670" s="8"/>
      <c r="S670" s="8"/>
      <c r="T670" s="8"/>
      <c r="U670" s="8"/>
      <c r="V670" s="8"/>
      <c r="W670" s="8"/>
      <c r="X670" s="8"/>
      <c r="Y670" s="8"/>
      <c r="Z670" s="8"/>
      <c r="AA670" s="8"/>
    </row>
    <row r="671" spans="1:27" ht="15">
      <c r="A671" s="15"/>
      <c r="B671" s="36"/>
      <c r="C671" s="15"/>
      <c r="D671" s="37"/>
      <c r="E671" s="15"/>
      <c r="F671" s="15"/>
      <c r="G671" s="15"/>
      <c r="H671" s="15"/>
      <c r="I671" s="15"/>
      <c r="J671" s="39"/>
      <c r="K671" s="40"/>
      <c r="L671" s="8"/>
      <c r="M671" s="8"/>
      <c r="N671" s="8"/>
      <c r="O671" s="8"/>
      <c r="P671" s="8"/>
      <c r="Q671" s="8"/>
      <c r="R671" s="8"/>
      <c r="S671" s="8"/>
      <c r="T671" s="8"/>
      <c r="U671" s="8"/>
      <c r="V671" s="8"/>
      <c r="W671" s="8"/>
      <c r="X671" s="8"/>
      <c r="Y671" s="8"/>
      <c r="Z671" s="8"/>
      <c r="AA671" s="8"/>
    </row>
    <row r="672" spans="1:27" ht="15">
      <c r="A672" s="15"/>
      <c r="B672" s="36"/>
      <c r="C672" s="15"/>
      <c r="D672" s="37"/>
      <c r="E672" s="15"/>
      <c r="F672" s="15"/>
      <c r="G672" s="15"/>
      <c r="H672" s="15"/>
      <c r="I672" s="15"/>
      <c r="J672" s="39"/>
      <c r="K672" s="40"/>
      <c r="L672" s="8"/>
      <c r="M672" s="8"/>
      <c r="N672" s="8"/>
      <c r="O672" s="8"/>
      <c r="P672" s="8"/>
      <c r="Q672" s="8"/>
      <c r="R672" s="8"/>
      <c r="S672" s="8"/>
      <c r="T672" s="8"/>
      <c r="U672" s="8"/>
      <c r="V672" s="8"/>
      <c r="W672" s="8"/>
      <c r="X672" s="8"/>
      <c r="Y672" s="8"/>
      <c r="Z672" s="8"/>
      <c r="AA672" s="8"/>
    </row>
    <row r="673" spans="1:27" ht="15">
      <c r="A673" s="15"/>
      <c r="B673" s="36"/>
      <c r="C673" s="15"/>
      <c r="D673" s="37"/>
      <c r="E673" s="15"/>
      <c r="F673" s="15"/>
      <c r="G673" s="15"/>
      <c r="H673" s="15"/>
      <c r="I673" s="15"/>
      <c r="J673" s="39"/>
      <c r="K673" s="40"/>
      <c r="L673" s="8"/>
      <c r="M673" s="8"/>
      <c r="N673" s="8"/>
      <c r="O673" s="8"/>
      <c r="P673" s="8"/>
      <c r="Q673" s="8"/>
      <c r="R673" s="8"/>
      <c r="S673" s="8"/>
      <c r="T673" s="8"/>
      <c r="U673" s="8"/>
      <c r="V673" s="8"/>
      <c r="W673" s="8"/>
      <c r="X673" s="8"/>
      <c r="Y673" s="8"/>
      <c r="Z673" s="8"/>
      <c r="AA673" s="8"/>
    </row>
    <row r="674" spans="1:27" ht="15">
      <c r="A674" s="15"/>
      <c r="B674" s="36"/>
      <c r="C674" s="15"/>
      <c r="D674" s="37"/>
      <c r="E674" s="15"/>
      <c r="F674" s="15"/>
      <c r="G674" s="15"/>
      <c r="H674" s="15"/>
      <c r="I674" s="15"/>
      <c r="J674" s="39"/>
      <c r="K674" s="40"/>
      <c r="L674" s="8"/>
      <c r="M674" s="8"/>
      <c r="N674" s="8"/>
      <c r="O674" s="8"/>
      <c r="P674" s="8"/>
      <c r="Q674" s="8"/>
      <c r="R674" s="8"/>
      <c r="S674" s="8"/>
      <c r="T674" s="8"/>
      <c r="U674" s="8"/>
      <c r="V674" s="8"/>
      <c r="W674" s="8"/>
      <c r="X674" s="8"/>
      <c r="Y674" s="8"/>
      <c r="Z674" s="8"/>
      <c r="AA674" s="8"/>
    </row>
    <row r="675" spans="1:27" ht="15">
      <c r="A675" s="15"/>
      <c r="B675" s="36"/>
      <c r="C675" s="15"/>
      <c r="D675" s="37"/>
      <c r="E675" s="15"/>
      <c r="F675" s="15"/>
      <c r="G675" s="15"/>
      <c r="H675" s="15"/>
      <c r="I675" s="15"/>
      <c r="J675" s="39"/>
      <c r="K675" s="40"/>
      <c r="L675" s="8"/>
      <c r="M675" s="8"/>
      <c r="N675" s="8"/>
      <c r="O675" s="8"/>
      <c r="P675" s="8"/>
      <c r="Q675" s="8"/>
      <c r="R675" s="8"/>
      <c r="S675" s="8"/>
      <c r="T675" s="8"/>
      <c r="U675" s="8"/>
      <c r="V675" s="8"/>
      <c r="W675" s="8"/>
      <c r="X675" s="8"/>
      <c r="Y675" s="8"/>
      <c r="Z675" s="8"/>
      <c r="AA675" s="8"/>
    </row>
    <row r="676" spans="1:27" ht="15">
      <c r="A676" s="15"/>
      <c r="B676" s="36"/>
      <c r="C676" s="15"/>
      <c r="D676" s="37"/>
      <c r="E676" s="15"/>
      <c r="F676" s="15"/>
      <c r="G676" s="15"/>
      <c r="H676" s="15"/>
      <c r="I676" s="15"/>
      <c r="J676" s="39"/>
      <c r="K676" s="40"/>
      <c r="L676" s="8"/>
      <c r="M676" s="8"/>
      <c r="N676" s="8"/>
      <c r="O676" s="8"/>
      <c r="P676" s="8"/>
      <c r="Q676" s="8"/>
      <c r="R676" s="8"/>
      <c r="S676" s="8"/>
      <c r="T676" s="8"/>
      <c r="U676" s="8"/>
      <c r="V676" s="8"/>
      <c r="W676" s="8"/>
      <c r="X676" s="8"/>
      <c r="Y676" s="8"/>
      <c r="Z676" s="8"/>
      <c r="AA676" s="8"/>
    </row>
    <row r="677" spans="1:27" ht="15">
      <c r="A677" s="15"/>
      <c r="B677" s="36"/>
      <c r="C677" s="15"/>
      <c r="D677" s="37"/>
      <c r="E677" s="15"/>
      <c r="F677" s="15"/>
      <c r="G677" s="15"/>
      <c r="H677" s="15"/>
      <c r="I677" s="15"/>
      <c r="J677" s="39"/>
      <c r="K677" s="40"/>
      <c r="L677" s="8"/>
      <c r="M677" s="8"/>
      <c r="N677" s="8"/>
      <c r="O677" s="8"/>
      <c r="P677" s="8"/>
      <c r="Q677" s="8"/>
      <c r="R677" s="8"/>
      <c r="S677" s="8"/>
      <c r="T677" s="8"/>
      <c r="U677" s="8"/>
      <c r="V677" s="8"/>
      <c r="W677" s="8"/>
      <c r="X677" s="8"/>
      <c r="Y677" s="8"/>
      <c r="Z677" s="8"/>
      <c r="AA677" s="8"/>
    </row>
    <row r="678" spans="1:27" ht="15">
      <c r="A678" s="15"/>
      <c r="B678" s="36"/>
      <c r="C678" s="15"/>
      <c r="D678" s="37"/>
      <c r="E678" s="15"/>
      <c r="F678" s="15"/>
      <c r="G678" s="15"/>
      <c r="H678" s="15"/>
      <c r="I678" s="15"/>
      <c r="J678" s="39"/>
      <c r="K678" s="40"/>
      <c r="L678" s="8"/>
      <c r="M678" s="8"/>
      <c r="N678" s="8"/>
      <c r="O678" s="8"/>
      <c r="P678" s="8"/>
      <c r="Q678" s="8"/>
      <c r="R678" s="8"/>
      <c r="S678" s="8"/>
      <c r="T678" s="8"/>
      <c r="U678" s="8"/>
      <c r="V678" s="8"/>
      <c r="W678" s="8"/>
      <c r="X678" s="8"/>
      <c r="Y678" s="8"/>
      <c r="Z678" s="8"/>
      <c r="AA678" s="8"/>
    </row>
    <row r="679" spans="1:27" ht="15">
      <c r="A679" s="15"/>
      <c r="B679" s="36"/>
      <c r="C679" s="15"/>
      <c r="D679" s="37"/>
      <c r="E679" s="15"/>
      <c r="F679" s="15"/>
      <c r="G679" s="15"/>
      <c r="H679" s="15"/>
      <c r="I679" s="15"/>
      <c r="J679" s="39"/>
      <c r="K679" s="40"/>
      <c r="L679" s="8"/>
      <c r="M679" s="8"/>
      <c r="N679" s="8"/>
      <c r="O679" s="8"/>
      <c r="P679" s="8"/>
      <c r="Q679" s="8"/>
      <c r="R679" s="8"/>
      <c r="S679" s="8"/>
      <c r="T679" s="8"/>
      <c r="U679" s="8"/>
      <c r="V679" s="8"/>
      <c r="W679" s="8"/>
      <c r="X679" s="8"/>
      <c r="Y679" s="8"/>
      <c r="Z679" s="8"/>
      <c r="AA679" s="8"/>
    </row>
    <row r="680" spans="1:27" ht="15">
      <c r="A680" s="15"/>
      <c r="B680" s="36"/>
      <c r="C680" s="15"/>
      <c r="D680" s="37"/>
      <c r="E680" s="15"/>
      <c r="F680" s="15"/>
      <c r="G680" s="15"/>
      <c r="H680" s="15"/>
      <c r="I680" s="15"/>
      <c r="J680" s="39"/>
      <c r="K680" s="40"/>
      <c r="L680" s="8"/>
      <c r="M680" s="8"/>
      <c r="N680" s="8"/>
      <c r="O680" s="8"/>
      <c r="P680" s="8"/>
      <c r="Q680" s="8"/>
      <c r="R680" s="8"/>
      <c r="S680" s="8"/>
      <c r="T680" s="8"/>
      <c r="U680" s="8"/>
      <c r="V680" s="8"/>
      <c r="W680" s="8"/>
      <c r="X680" s="8"/>
      <c r="Y680" s="8"/>
      <c r="Z680" s="8"/>
      <c r="AA680" s="8"/>
    </row>
    <row r="681" spans="1:27" ht="15">
      <c r="A681" s="15"/>
      <c r="B681" s="36"/>
      <c r="C681" s="15"/>
      <c r="D681" s="37"/>
      <c r="E681" s="15"/>
      <c r="F681" s="15"/>
      <c r="G681" s="15"/>
      <c r="H681" s="15"/>
      <c r="I681" s="15"/>
      <c r="J681" s="39"/>
      <c r="K681" s="40"/>
      <c r="L681" s="8"/>
      <c r="M681" s="8"/>
      <c r="N681" s="8"/>
      <c r="O681" s="8"/>
      <c r="P681" s="8"/>
      <c r="Q681" s="8"/>
      <c r="R681" s="8"/>
      <c r="S681" s="8"/>
      <c r="T681" s="8"/>
      <c r="U681" s="8"/>
      <c r="V681" s="8"/>
      <c r="W681" s="8"/>
      <c r="X681" s="8"/>
      <c r="Y681" s="8"/>
      <c r="Z681" s="8"/>
      <c r="AA681" s="8"/>
    </row>
    <row r="682" spans="1:27" ht="15">
      <c r="A682" s="15"/>
      <c r="B682" s="36"/>
      <c r="C682" s="15"/>
      <c r="D682" s="37"/>
      <c r="E682" s="15"/>
      <c r="F682" s="15"/>
      <c r="G682" s="15"/>
      <c r="H682" s="15"/>
      <c r="I682" s="15"/>
      <c r="J682" s="39"/>
      <c r="K682" s="40"/>
      <c r="L682" s="8"/>
      <c r="M682" s="8"/>
      <c r="N682" s="8"/>
      <c r="O682" s="8"/>
      <c r="P682" s="8"/>
      <c r="Q682" s="8"/>
      <c r="R682" s="8"/>
      <c r="S682" s="8"/>
      <c r="T682" s="8"/>
      <c r="U682" s="8"/>
      <c r="V682" s="8"/>
      <c r="W682" s="8"/>
      <c r="X682" s="8"/>
      <c r="Y682" s="8"/>
      <c r="Z682" s="8"/>
      <c r="AA682" s="8"/>
    </row>
    <row r="683" spans="1:27" ht="15">
      <c r="A683" s="15"/>
      <c r="B683" s="36"/>
      <c r="C683" s="15"/>
      <c r="D683" s="37"/>
      <c r="E683" s="15"/>
      <c r="F683" s="15"/>
      <c r="G683" s="15"/>
      <c r="H683" s="15"/>
      <c r="I683" s="15"/>
      <c r="J683" s="39"/>
      <c r="K683" s="40"/>
      <c r="L683" s="8"/>
      <c r="M683" s="8"/>
      <c r="N683" s="8"/>
      <c r="O683" s="8"/>
      <c r="P683" s="8"/>
      <c r="Q683" s="8"/>
      <c r="R683" s="8"/>
      <c r="S683" s="8"/>
      <c r="T683" s="8"/>
      <c r="U683" s="8"/>
      <c r="V683" s="8"/>
      <c r="W683" s="8"/>
      <c r="X683" s="8"/>
      <c r="Y683" s="8"/>
      <c r="Z683" s="8"/>
      <c r="AA683" s="8"/>
    </row>
    <row r="684" spans="1:27" ht="15">
      <c r="A684" s="15"/>
      <c r="B684" s="36"/>
      <c r="C684" s="15"/>
      <c r="D684" s="37"/>
      <c r="E684" s="15"/>
      <c r="F684" s="15"/>
      <c r="G684" s="15"/>
      <c r="H684" s="15"/>
      <c r="I684" s="15"/>
      <c r="J684" s="39"/>
      <c r="K684" s="40"/>
      <c r="L684" s="8"/>
      <c r="M684" s="8"/>
      <c r="N684" s="8"/>
      <c r="O684" s="8"/>
      <c r="P684" s="8"/>
      <c r="Q684" s="8"/>
      <c r="R684" s="8"/>
      <c r="S684" s="8"/>
      <c r="T684" s="8"/>
      <c r="U684" s="8"/>
      <c r="V684" s="8"/>
      <c r="W684" s="8"/>
      <c r="X684" s="8"/>
      <c r="Y684" s="8"/>
      <c r="Z684" s="8"/>
      <c r="AA684" s="8"/>
    </row>
    <row r="685" spans="1:27" ht="15">
      <c r="A685" s="15"/>
      <c r="B685" s="36"/>
      <c r="C685" s="15"/>
      <c r="D685" s="37"/>
      <c r="E685" s="15"/>
      <c r="F685" s="15"/>
      <c r="G685" s="15"/>
      <c r="H685" s="15"/>
      <c r="I685" s="15"/>
      <c r="J685" s="39"/>
      <c r="K685" s="40"/>
      <c r="L685" s="8"/>
      <c r="M685" s="8"/>
      <c r="N685" s="8"/>
      <c r="O685" s="8"/>
      <c r="P685" s="8"/>
      <c r="Q685" s="8"/>
      <c r="R685" s="8"/>
      <c r="S685" s="8"/>
      <c r="T685" s="8"/>
      <c r="U685" s="8"/>
      <c r="V685" s="8"/>
      <c r="W685" s="8"/>
      <c r="X685" s="8"/>
      <c r="Y685" s="8"/>
      <c r="Z685" s="8"/>
      <c r="AA685" s="8"/>
    </row>
    <row r="686" spans="1:27" ht="15">
      <c r="A686" s="15"/>
      <c r="B686" s="36"/>
      <c r="C686" s="15"/>
      <c r="D686" s="37"/>
      <c r="E686" s="15"/>
      <c r="F686" s="15"/>
      <c r="G686" s="15"/>
      <c r="H686" s="15"/>
      <c r="I686" s="15"/>
      <c r="J686" s="39"/>
      <c r="K686" s="40"/>
      <c r="L686" s="8"/>
      <c r="M686" s="8"/>
      <c r="N686" s="8"/>
      <c r="O686" s="8"/>
      <c r="P686" s="8"/>
      <c r="Q686" s="8"/>
      <c r="R686" s="8"/>
      <c r="S686" s="8"/>
      <c r="T686" s="8"/>
      <c r="U686" s="8"/>
      <c r="V686" s="8"/>
      <c r="W686" s="8"/>
      <c r="X686" s="8"/>
      <c r="Y686" s="8"/>
      <c r="Z686" s="8"/>
      <c r="AA686" s="8"/>
    </row>
    <row r="687" spans="1:27" ht="15">
      <c r="A687" s="15"/>
      <c r="B687" s="36"/>
      <c r="C687" s="15"/>
      <c r="D687" s="37"/>
      <c r="E687" s="15"/>
      <c r="F687" s="15"/>
      <c r="G687" s="15"/>
      <c r="H687" s="15"/>
      <c r="I687" s="15"/>
      <c r="J687" s="39"/>
      <c r="K687" s="40"/>
      <c r="L687" s="8"/>
      <c r="M687" s="8"/>
      <c r="N687" s="8"/>
      <c r="O687" s="8"/>
      <c r="P687" s="8"/>
      <c r="Q687" s="8"/>
      <c r="R687" s="8"/>
      <c r="S687" s="8"/>
      <c r="T687" s="8"/>
      <c r="U687" s="8"/>
      <c r="V687" s="8"/>
      <c r="W687" s="8"/>
      <c r="X687" s="8"/>
      <c r="Y687" s="8"/>
      <c r="Z687" s="8"/>
      <c r="AA687" s="8"/>
    </row>
    <row r="688" spans="1:27" ht="15">
      <c r="A688" s="15"/>
      <c r="B688" s="36"/>
      <c r="C688" s="15"/>
      <c r="D688" s="37"/>
      <c r="E688" s="15"/>
      <c r="F688" s="15"/>
      <c r="G688" s="15"/>
      <c r="H688" s="15"/>
      <c r="I688" s="15"/>
      <c r="J688" s="39"/>
      <c r="K688" s="40"/>
      <c r="L688" s="8"/>
      <c r="M688" s="8"/>
      <c r="N688" s="8"/>
      <c r="O688" s="8"/>
      <c r="P688" s="8"/>
      <c r="Q688" s="8"/>
      <c r="R688" s="8"/>
      <c r="S688" s="8"/>
      <c r="T688" s="8"/>
      <c r="U688" s="8"/>
      <c r="V688" s="8"/>
      <c r="W688" s="8"/>
      <c r="X688" s="8"/>
      <c r="Y688" s="8"/>
      <c r="Z688" s="8"/>
      <c r="AA688" s="8"/>
    </row>
    <row r="689" spans="1:27" ht="15">
      <c r="A689" s="15"/>
      <c r="B689" s="36"/>
      <c r="C689" s="15"/>
      <c r="D689" s="37"/>
      <c r="E689" s="15"/>
      <c r="F689" s="15"/>
      <c r="G689" s="15"/>
      <c r="H689" s="15"/>
      <c r="I689" s="15"/>
      <c r="J689" s="39"/>
      <c r="K689" s="40"/>
      <c r="L689" s="8"/>
      <c r="M689" s="8"/>
      <c r="N689" s="8"/>
      <c r="O689" s="8"/>
      <c r="P689" s="8"/>
      <c r="Q689" s="8"/>
      <c r="R689" s="8"/>
      <c r="S689" s="8"/>
      <c r="T689" s="8"/>
      <c r="U689" s="8"/>
      <c r="V689" s="8"/>
      <c r="W689" s="8"/>
      <c r="X689" s="8"/>
      <c r="Y689" s="8"/>
      <c r="Z689" s="8"/>
      <c r="AA689" s="8"/>
    </row>
    <row r="690" spans="1:27" ht="15">
      <c r="A690" s="15"/>
      <c r="B690" s="36"/>
      <c r="C690" s="15"/>
      <c r="D690" s="37"/>
      <c r="E690" s="15"/>
      <c r="F690" s="15"/>
      <c r="G690" s="15"/>
      <c r="H690" s="15"/>
      <c r="I690" s="15"/>
      <c r="J690" s="39"/>
      <c r="K690" s="40"/>
      <c r="L690" s="8"/>
      <c r="M690" s="8"/>
      <c r="N690" s="8"/>
      <c r="O690" s="8"/>
      <c r="P690" s="8"/>
      <c r="Q690" s="8"/>
      <c r="R690" s="8"/>
      <c r="S690" s="8"/>
      <c r="T690" s="8"/>
      <c r="U690" s="8"/>
      <c r="V690" s="8"/>
      <c r="W690" s="8"/>
      <c r="X690" s="8"/>
      <c r="Y690" s="8"/>
      <c r="Z690" s="8"/>
      <c r="AA690" s="8"/>
    </row>
    <row r="691" spans="1:27" ht="15">
      <c r="A691" s="15"/>
      <c r="B691" s="36"/>
      <c r="C691" s="15"/>
      <c r="D691" s="37"/>
      <c r="E691" s="15"/>
      <c r="F691" s="15"/>
      <c r="G691" s="15"/>
      <c r="H691" s="15"/>
      <c r="I691" s="15"/>
      <c r="J691" s="39"/>
      <c r="K691" s="40"/>
      <c r="L691" s="8"/>
      <c r="M691" s="8"/>
      <c r="N691" s="8"/>
      <c r="O691" s="8"/>
      <c r="P691" s="8"/>
      <c r="Q691" s="8"/>
      <c r="R691" s="8"/>
      <c r="S691" s="8"/>
      <c r="T691" s="8"/>
      <c r="U691" s="8"/>
      <c r="V691" s="8"/>
      <c r="W691" s="8"/>
      <c r="X691" s="8"/>
      <c r="Y691" s="8"/>
      <c r="Z691" s="8"/>
      <c r="AA691" s="8"/>
    </row>
    <row r="692" spans="1:27" ht="15">
      <c r="A692" s="15"/>
      <c r="B692" s="36"/>
      <c r="C692" s="15"/>
      <c r="D692" s="37"/>
      <c r="E692" s="15"/>
      <c r="F692" s="15"/>
      <c r="G692" s="15"/>
      <c r="H692" s="15"/>
      <c r="I692" s="15"/>
      <c r="J692" s="39"/>
      <c r="K692" s="40"/>
      <c r="L692" s="8"/>
      <c r="M692" s="8"/>
      <c r="N692" s="8"/>
      <c r="O692" s="8"/>
      <c r="P692" s="8"/>
      <c r="Q692" s="8"/>
      <c r="R692" s="8"/>
      <c r="S692" s="8"/>
      <c r="T692" s="8"/>
      <c r="U692" s="8"/>
      <c r="V692" s="8"/>
      <c r="W692" s="8"/>
      <c r="X692" s="8"/>
      <c r="Y692" s="8"/>
      <c r="Z692" s="8"/>
      <c r="AA692" s="8"/>
    </row>
    <row r="693" spans="1:27" ht="15">
      <c r="A693" s="15"/>
      <c r="B693" s="36"/>
      <c r="C693" s="15"/>
      <c r="D693" s="37"/>
      <c r="E693" s="15"/>
      <c r="F693" s="15"/>
      <c r="G693" s="15"/>
      <c r="H693" s="15"/>
      <c r="I693" s="15"/>
      <c r="J693" s="39"/>
      <c r="K693" s="40"/>
      <c r="L693" s="8"/>
      <c r="M693" s="8"/>
      <c r="N693" s="8"/>
      <c r="O693" s="8"/>
      <c r="P693" s="8"/>
      <c r="Q693" s="8"/>
      <c r="R693" s="8"/>
      <c r="S693" s="8"/>
      <c r="T693" s="8"/>
      <c r="U693" s="8"/>
      <c r="V693" s="8"/>
      <c r="W693" s="8"/>
      <c r="X693" s="8"/>
      <c r="Y693" s="8"/>
      <c r="Z693" s="8"/>
      <c r="AA693" s="8"/>
    </row>
    <row r="694" spans="1:27" ht="15">
      <c r="A694" s="15"/>
      <c r="B694" s="36"/>
      <c r="C694" s="15"/>
      <c r="D694" s="37"/>
      <c r="E694" s="15"/>
      <c r="F694" s="15"/>
      <c r="G694" s="15"/>
      <c r="H694" s="15"/>
      <c r="I694" s="15"/>
      <c r="J694" s="39"/>
      <c r="K694" s="40"/>
      <c r="L694" s="8"/>
      <c r="M694" s="8"/>
      <c r="N694" s="8"/>
      <c r="O694" s="8"/>
      <c r="P694" s="8"/>
      <c r="Q694" s="8"/>
      <c r="R694" s="8"/>
      <c r="S694" s="8"/>
      <c r="T694" s="8"/>
      <c r="U694" s="8"/>
      <c r="V694" s="8"/>
      <c r="W694" s="8"/>
      <c r="X694" s="8"/>
      <c r="Y694" s="8"/>
      <c r="Z694" s="8"/>
      <c r="AA694" s="8"/>
    </row>
    <row r="695" spans="1:27" ht="15">
      <c r="A695" s="15"/>
      <c r="B695" s="36"/>
      <c r="C695" s="15"/>
      <c r="D695" s="37"/>
      <c r="E695" s="15"/>
      <c r="F695" s="15"/>
      <c r="G695" s="15"/>
      <c r="H695" s="15"/>
      <c r="I695" s="15"/>
      <c r="J695" s="39"/>
      <c r="K695" s="40"/>
      <c r="L695" s="8"/>
      <c r="M695" s="8"/>
      <c r="N695" s="8"/>
      <c r="O695" s="8"/>
      <c r="P695" s="8"/>
      <c r="Q695" s="8"/>
      <c r="R695" s="8"/>
      <c r="S695" s="8"/>
      <c r="T695" s="8"/>
      <c r="U695" s="8"/>
      <c r="V695" s="8"/>
      <c r="W695" s="8"/>
      <c r="X695" s="8"/>
      <c r="Y695" s="8"/>
      <c r="Z695" s="8"/>
      <c r="AA695" s="8"/>
    </row>
    <row r="696" spans="1:27" ht="15">
      <c r="A696" s="15"/>
      <c r="B696" s="36"/>
      <c r="C696" s="15"/>
      <c r="D696" s="37"/>
      <c r="E696" s="15"/>
      <c r="F696" s="15"/>
      <c r="G696" s="15"/>
      <c r="H696" s="15"/>
      <c r="I696" s="15"/>
      <c r="J696" s="39"/>
      <c r="K696" s="40"/>
      <c r="L696" s="8"/>
      <c r="M696" s="8"/>
      <c r="N696" s="8"/>
      <c r="O696" s="8"/>
      <c r="P696" s="8"/>
      <c r="Q696" s="8"/>
      <c r="R696" s="8"/>
      <c r="S696" s="8"/>
      <c r="T696" s="8"/>
      <c r="U696" s="8"/>
      <c r="V696" s="8"/>
      <c r="W696" s="8"/>
      <c r="X696" s="8"/>
      <c r="Y696" s="8"/>
      <c r="Z696" s="8"/>
      <c r="AA696" s="8"/>
    </row>
    <row r="697" spans="1:27" ht="15">
      <c r="A697" s="15"/>
      <c r="B697" s="36"/>
      <c r="C697" s="15"/>
      <c r="D697" s="37"/>
      <c r="E697" s="15"/>
      <c r="F697" s="15"/>
      <c r="G697" s="15"/>
      <c r="H697" s="15"/>
      <c r="I697" s="15"/>
      <c r="J697" s="39"/>
      <c r="K697" s="40"/>
      <c r="L697" s="8"/>
      <c r="M697" s="8"/>
      <c r="N697" s="8"/>
      <c r="O697" s="8"/>
      <c r="P697" s="8"/>
      <c r="Q697" s="8"/>
      <c r="R697" s="8"/>
      <c r="S697" s="8"/>
      <c r="T697" s="8"/>
      <c r="U697" s="8"/>
      <c r="V697" s="8"/>
      <c r="W697" s="8"/>
      <c r="X697" s="8"/>
      <c r="Y697" s="8"/>
      <c r="Z697" s="8"/>
      <c r="AA697" s="8"/>
    </row>
    <row r="698" spans="1:27" ht="15">
      <c r="A698" s="15"/>
      <c r="B698" s="36"/>
      <c r="C698" s="15"/>
      <c r="D698" s="37"/>
      <c r="E698" s="15"/>
      <c r="F698" s="15"/>
      <c r="G698" s="15"/>
      <c r="H698" s="15"/>
      <c r="I698" s="15"/>
      <c r="J698" s="39"/>
      <c r="K698" s="40"/>
      <c r="L698" s="8"/>
      <c r="M698" s="8"/>
      <c r="N698" s="8"/>
      <c r="O698" s="8"/>
      <c r="P698" s="8"/>
      <c r="Q698" s="8"/>
      <c r="R698" s="8"/>
      <c r="S698" s="8"/>
      <c r="T698" s="8"/>
      <c r="U698" s="8"/>
      <c r="V698" s="8"/>
      <c r="W698" s="8"/>
      <c r="X698" s="8"/>
      <c r="Y698" s="8"/>
      <c r="Z698" s="8"/>
      <c r="AA698" s="8"/>
    </row>
    <row r="699" spans="1:27" ht="15">
      <c r="A699" s="15"/>
      <c r="B699" s="36"/>
      <c r="C699" s="15"/>
      <c r="D699" s="37"/>
      <c r="E699" s="15"/>
      <c r="F699" s="15"/>
      <c r="G699" s="15"/>
      <c r="H699" s="15"/>
      <c r="I699" s="15"/>
      <c r="J699" s="39"/>
      <c r="K699" s="40"/>
      <c r="L699" s="8"/>
      <c r="M699" s="8"/>
      <c r="N699" s="8"/>
      <c r="O699" s="8"/>
      <c r="P699" s="8"/>
      <c r="Q699" s="8"/>
      <c r="R699" s="8"/>
      <c r="S699" s="8"/>
      <c r="T699" s="8"/>
      <c r="U699" s="8"/>
      <c r="V699" s="8"/>
      <c r="W699" s="8"/>
      <c r="X699" s="8"/>
      <c r="Y699" s="8"/>
      <c r="Z699" s="8"/>
      <c r="AA699" s="8"/>
    </row>
    <row r="700" spans="1:27" ht="15">
      <c r="A700" s="15"/>
      <c r="B700" s="36"/>
      <c r="C700" s="15"/>
      <c r="D700" s="37"/>
      <c r="E700" s="15"/>
      <c r="F700" s="15"/>
      <c r="G700" s="15"/>
      <c r="H700" s="15"/>
      <c r="I700" s="15"/>
      <c r="J700" s="39"/>
      <c r="K700" s="40"/>
      <c r="L700" s="8"/>
      <c r="M700" s="8"/>
      <c r="N700" s="8"/>
      <c r="O700" s="8"/>
      <c r="P700" s="8"/>
      <c r="Q700" s="8"/>
      <c r="R700" s="8"/>
      <c r="S700" s="8"/>
      <c r="T700" s="8"/>
      <c r="U700" s="8"/>
      <c r="V700" s="8"/>
      <c r="W700" s="8"/>
      <c r="X700" s="8"/>
      <c r="Y700" s="8"/>
      <c r="Z700" s="8"/>
      <c r="AA700" s="8"/>
    </row>
    <row r="701" spans="1:27" ht="15">
      <c r="A701" s="15"/>
      <c r="B701" s="36"/>
      <c r="C701" s="15"/>
      <c r="D701" s="37"/>
      <c r="E701" s="15"/>
      <c r="F701" s="15"/>
      <c r="G701" s="15"/>
      <c r="H701" s="15"/>
      <c r="I701" s="15"/>
      <c r="J701" s="39"/>
      <c r="K701" s="40"/>
      <c r="L701" s="8"/>
      <c r="M701" s="8"/>
      <c r="N701" s="8"/>
      <c r="O701" s="8"/>
      <c r="P701" s="8"/>
      <c r="Q701" s="8"/>
      <c r="R701" s="8"/>
      <c r="S701" s="8"/>
      <c r="T701" s="8"/>
      <c r="U701" s="8"/>
      <c r="V701" s="8"/>
      <c r="W701" s="8"/>
      <c r="X701" s="8"/>
      <c r="Y701" s="8"/>
      <c r="Z701" s="8"/>
      <c r="AA701" s="8"/>
    </row>
    <row r="702" spans="1:27" ht="15">
      <c r="A702" s="15"/>
      <c r="B702" s="36"/>
      <c r="C702" s="15"/>
      <c r="D702" s="37"/>
      <c r="E702" s="15"/>
      <c r="F702" s="15"/>
      <c r="G702" s="15"/>
      <c r="H702" s="15"/>
      <c r="I702" s="15"/>
      <c r="J702" s="39"/>
      <c r="K702" s="40"/>
      <c r="L702" s="8"/>
      <c r="M702" s="8"/>
      <c r="N702" s="8"/>
      <c r="O702" s="8"/>
      <c r="P702" s="8"/>
      <c r="Q702" s="8"/>
      <c r="R702" s="8"/>
      <c r="S702" s="8"/>
      <c r="T702" s="8"/>
      <c r="U702" s="8"/>
      <c r="V702" s="8"/>
      <c r="W702" s="8"/>
      <c r="X702" s="8"/>
      <c r="Y702" s="8"/>
      <c r="Z702" s="8"/>
      <c r="AA702" s="8"/>
    </row>
    <row r="703" spans="1:27" ht="15">
      <c r="A703" s="15"/>
      <c r="B703" s="36"/>
      <c r="C703" s="15"/>
      <c r="D703" s="37"/>
      <c r="E703" s="15"/>
      <c r="F703" s="15"/>
      <c r="G703" s="15"/>
      <c r="H703" s="15"/>
      <c r="I703" s="15"/>
      <c r="J703" s="39"/>
      <c r="K703" s="40"/>
      <c r="L703" s="8"/>
      <c r="M703" s="8"/>
      <c r="N703" s="8"/>
      <c r="O703" s="8"/>
      <c r="P703" s="8"/>
      <c r="Q703" s="8"/>
      <c r="R703" s="8"/>
      <c r="S703" s="8"/>
      <c r="T703" s="8"/>
      <c r="U703" s="8"/>
      <c r="V703" s="8"/>
      <c r="W703" s="8"/>
      <c r="X703" s="8"/>
      <c r="Y703" s="8"/>
      <c r="Z703" s="8"/>
      <c r="AA703" s="8"/>
    </row>
    <row r="704" spans="1:27" ht="15">
      <c r="A704" s="15"/>
      <c r="B704" s="36"/>
      <c r="C704" s="15"/>
      <c r="D704" s="37"/>
      <c r="E704" s="15"/>
      <c r="F704" s="15"/>
      <c r="G704" s="15"/>
      <c r="H704" s="15"/>
      <c r="I704" s="15"/>
      <c r="J704" s="39"/>
      <c r="K704" s="40"/>
      <c r="L704" s="8"/>
      <c r="M704" s="8"/>
      <c r="N704" s="8"/>
      <c r="O704" s="8"/>
      <c r="P704" s="8"/>
      <c r="Q704" s="8"/>
      <c r="R704" s="8"/>
      <c r="S704" s="8"/>
      <c r="T704" s="8"/>
      <c r="U704" s="8"/>
      <c r="V704" s="8"/>
      <c r="W704" s="8"/>
      <c r="X704" s="8"/>
      <c r="Y704" s="8"/>
      <c r="Z704" s="8"/>
      <c r="AA704" s="8"/>
    </row>
    <row r="705" spans="1:27" ht="15">
      <c r="A705" s="15"/>
      <c r="B705" s="36"/>
      <c r="C705" s="15"/>
      <c r="D705" s="37"/>
      <c r="E705" s="15"/>
      <c r="F705" s="15"/>
      <c r="G705" s="15"/>
      <c r="H705" s="15"/>
      <c r="I705" s="15"/>
      <c r="J705" s="39"/>
      <c r="K705" s="40"/>
      <c r="L705" s="8"/>
      <c r="M705" s="8"/>
      <c r="N705" s="8"/>
      <c r="O705" s="8"/>
      <c r="P705" s="8"/>
      <c r="Q705" s="8"/>
      <c r="R705" s="8"/>
      <c r="S705" s="8"/>
      <c r="T705" s="8"/>
      <c r="U705" s="8"/>
      <c r="V705" s="8"/>
      <c r="W705" s="8"/>
      <c r="X705" s="8"/>
      <c r="Y705" s="8"/>
      <c r="Z705" s="8"/>
      <c r="AA705" s="8"/>
    </row>
    <row r="706" spans="1:27" ht="15">
      <c r="A706" s="15"/>
      <c r="B706" s="36"/>
      <c r="C706" s="15"/>
      <c r="D706" s="37"/>
      <c r="E706" s="15"/>
      <c r="F706" s="15"/>
      <c r="G706" s="15"/>
      <c r="H706" s="15"/>
      <c r="I706" s="15"/>
      <c r="J706" s="39"/>
      <c r="K706" s="40"/>
      <c r="L706" s="8"/>
      <c r="M706" s="8"/>
      <c r="N706" s="8"/>
      <c r="O706" s="8"/>
      <c r="P706" s="8"/>
      <c r="Q706" s="8"/>
      <c r="R706" s="8"/>
      <c r="S706" s="8"/>
      <c r="T706" s="8"/>
      <c r="U706" s="8"/>
      <c r="V706" s="8"/>
      <c r="W706" s="8"/>
      <c r="X706" s="8"/>
      <c r="Y706" s="8"/>
      <c r="Z706" s="8"/>
      <c r="AA706" s="8"/>
    </row>
    <row r="707" spans="1:27" ht="15">
      <c r="A707" s="15"/>
      <c r="B707" s="36"/>
      <c r="C707" s="15"/>
      <c r="D707" s="37"/>
      <c r="E707" s="15"/>
      <c r="F707" s="15"/>
      <c r="G707" s="15"/>
      <c r="H707" s="15"/>
      <c r="I707" s="15"/>
      <c r="J707" s="39"/>
      <c r="K707" s="40"/>
      <c r="L707" s="8"/>
      <c r="M707" s="8"/>
      <c r="N707" s="8"/>
      <c r="O707" s="8"/>
      <c r="P707" s="8"/>
      <c r="Q707" s="8"/>
      <c r="R707" s="8"/>
      <c r="S707" s="8"/>
      <c r="T707" s="8"/>
      <c r="U707" s="8"/>
      <c r="V707" s="8"/>
      <c r="W707" s="8"/>
      <c r="X707" s="8"/>
      <c r="Y707" s="8"/>
      <c r="Z707" s="8"/>
      <c r="AA707" s="8"/>
    </row>
    <row r="708" spans="1:27" ht="15">
      <c r="A708" s="15"/>
      <c r="B708" s="36"/>
      <c r="C708" s="15"/>
      <c r="D708" s="37"/>
      <c r="E708" s="15"/>
      <c r="F708" s="15"/>
      <c r="G708" s="15"/>
      <c r="H708" s="15"/>
      <c r="I708" s="15"/>
      <c r="J708" s="39"/>
      <c r="K708" s="40"/>
      <c r="L708" s="8"/>
      <c r="M708" s="8"/>
      <c r="N708" s="8"/>
      <c r="O708" s="8"/>
      <c r="P708" s="8"/>
      <c r="Q708" s="8"/>
      <c r="R708" s="8"/>
      <c r="S708" s="8"/>
      <c r="T708" s="8"/>
      <c r="U708" s="8"/>
      <c r="V708" s="8"/>
      <c r="W708" s="8"/>
      <c r="X708" s="8"/>
      <c r="Y708" s="8"/>
      <c r="Z708" s="8"/>
      <c r="AA708" s="8"/>
    </row>
    <row r="709" spans="1:27" ht="15">
      <c r="A709" s="15"/>
      <c r="B709" s="36"/>
      <c r="C709" s="15"/>
      <c r="D709" s="37"/>
      <c r="E709" s="15"/>
      <c r="F709" s="15"/>
      <c r="G709" s="15"/>
      <c r="H709" s="15"/>
      <c r="I709" s="15"/>
      <c r="J709" s="39"/>
      <c r="K709" s="40"/>
      <c r="L709" s="8"/>
      <c r="M709" s="8"/>
      <c r="N709" s="8"/>
      <c r="O709" s="8"/>
      <c r="P709" s="8"/>
      <c r="Q709" s="8"/>
      <c r="R709" s="8"/>
      <c r="S709" s="8"/>
      <c r="T709" s="8"/>
      <c r="U709" s="8"/>
      <c r="V709" s="8"/>
      <c r="W709" s="8"/>
      <c r="X709" s="8"/>
      <c r="Y709" s="8"/>
      <c r="Z709" s="8"/>
      <c r="AA709" s="8"/>
    </row>
    <row r="710" spans="1:27" ht="15">
      <c r="A710" s="15"/>
      <c r="B710" s="36"/>
      <c r="C710" s="15"/>
      <c r="D710" s="37"/>
      <c r="E710" s="15"/>
      <c r="F710" s="15"/>
      <c r="G710" s="15"/>
      <c r="H710" s="15"/>
      <c r="I710" s="15"/>
      <c r="J710" s="39"/>
      <c r="K710" s="40"/>
      <c r="L710" s="8"/>
      <c r="M710" s="8"/>
      <c r="N710" s="8"/>
      <c r="O710" s="8"/>
      <c r="P710" s="8"/>
      <c r="Q710" s="8"/>
      <c r="R710" s="8"/>
      <c r="S710" s="8"/>
      <c r="T710" s="8"/>
      <c r="U710" s="8"/>
      <c r="V710" s="8"/>
      <c r="W710" s="8"/>
      <c r="X710" s="8"/>
      <c r="Y710" s="8"/>
      <c r="Z710" s="8"/>
      <c r="AA710" s="8"/>
    </row>
    <row r="711" spans="1:27" ht="15">
      <c r="A711" s="15"/>
      <c r="B711" s="36"/>
      <c r="C711" s="15"/>
      <c r="D711" s="37"/>
      <c r="E711" s="15"/>
      <c r="F711" s="15"/>
      <c r="G711" s="15"/>
      <c r="H711" s="15"/>
      <c r="I711" s="15"/>
      <c r="J711" s="39"/>
      <c r="K711" s="40"/>
      <c r="L711" s="8"/>
      <c r="M711" s="8"/>
      <c r="N711" s="8"/>
      <c r="O711" s="8"/>
      <c r="P711" s="8"/>
      <c r="Q711" s="8"/>
      <c r="R711" s="8"/>
      <c r="S711" s="8"/>
      <c r="T711" s="8"/>
      <c r="U711" s="8"/>
      <c r="V711" s="8"/>
      <c r="W711" s="8"/>
      <c r="X711" s="8"/>
      <c r="Y711" s="8"/>
      <c r="Z711" s="8"/>
      <c r="AA711" s="8"/>
    </row>
    <row r="712" spans="1:27" ht="15">
      <c r="A712" s="15"/>
      <c r="B712" s="36"/>
      <c r="C712" s="15"/>
      <c r="D712" s="37"/>
      <c r="E712" s="15"/>
      <c r="F712" s="15"/>
      <c r="G712" s="15"/>
      <c r="H712" s="15"/>
      <c r="I712" s="15"/>
      <c r="J712" s="39"/>
      <c r="K712" s="40"/>
      <c r="L712" s="8"/>
      <c r="M712" s="8"/>
      <c r="N712" s="8"/>
      <c r="O712" s="8"/>
      <c r="P712" s="8"/>
      <c r="Q712" s="8"/>
      <c r="R712" s="8"/>
      <c r="S712" s="8"/>
      <c r="T712" s="8"/>
      <c r="U712" s="8"/>
      <c r="V712" s="8"/>
      <c r="W712" s="8"/>
      <c r="X712" s="8"/>
      <c r="Y712" s="8"/>
      <c r="Z712" s="8"/>
      <c r="AA712" s="8"/>
    </row>
    <row r="713" spans="1:27" ht="15">
      <c r="A713" s="15"/>
      <c r="B713" s="36"/>
      <c r="C713" s="15"/>
      <c r="D713" s="37"/>
      <c r="E713" s="15"/>
      <c r="F713" s="15"/>
      <c r="G713" s="15"/>
      <c r="H713" s="15"/>
      <c r="I713" s="15"/>
      <c r="J713" s="39"/>
      <c r="K713" s="40"/>
      <c r="L713" s="8"/>
      <c r="M713" s="8"/>
      <c r="N713" s="8"/>
      <c r="O713" s="8"/>
      <c r="P713" s="8"/>
      <c r="Q713" s="8"/>
      <c r="R713" s="8"/>
      <c r="S713" s="8"/>
      <c r="T713" s="8"/>
      <c r="U713" s="8"/>
      <c r="V713" s="8"/>
      <c r="W713" s="8"/>
      <c r="X713" s="8"/>
      <c r="Y713" s="8"/>
      <c r="Z713" s="8"/>
      <c r="AA713" s="8"/>
    </row>
    <row r="714" spans="1:27" ht="15">
      <c r="A714" s="15"/>
      <c r="B714" s="36"/>
      <c r="C714" s="15"/>
      <c r="D714" s="37"/>
      <c r="E714" s="15"/>
      <c r="F714" s="15"/>
      <c r="G714" s="15"/>
      <c r="H714" s="15"/>
      <c r="I714" s="15"/>
      <c r="J714" s="39"/>
      <c r="K714" s="40"/>
      <c r="L714" s="8"/>
      <c r="M714" s="8"/>
      <c r="N714" s="8"/>
      <c r="O714" s="8"/>
      <c r="P714" s="8"/>
      <c r="Q714" s="8"/>
      <c r="R714" s="8"/>
      <c r="S714" s="8"/>
      <c r="T714" s="8"/>
      <c r="U714" s="8"/>
      <c r="V714" s="8"/>
      <c r="W714" s="8"/>
      <c r="X714" s="8"/>
      <c r="Y714" s="8"/>
      <c r="Z714" s="8"/>
      <c r="AA714" s="8"/>
    </row>
    <row r="715" spans="1:27" ht="15">
      <c r="A715" s="15"/>
      <c r="B715" s="36"/>
      <c r="C715" s="15"/>
      <c r="D715" s="37"/>
      <c r="E715" s="15"/>
      <c r="F715" s="15"/>
      <c r="G715" s="15"/>
      <c r="H715" s="15"/>
      <c r="I715" s="15"/>
      <c r="J715" s="39"/>
      <c r="K715" s="40"/>
      <c r="L715" s="8"/>
      <c r="M715" s="8"/>
      <c r="N715" s="8"/>
      <c r="O715" s="8"/>
      <c r="P715" s="8"/>
      <c r="Q715" s="8"/>
      <c r="R715" s="8"/>
      <c r="S715" s="8"/>
      <c r="T715" s="8"/>
      <c r="U715" s="8"/>
      <c r="V715" s="8"/>
      <c r="W715" s="8"/>
      <c r="X715" s="8"/>
      <c r="Y715" s="8"/>
      <c r="Z715" s="8"/>
      <c r="AA715" s="8"/>
    </row>
    <row r="716" spans="1:27" ht="15">
      <c r="A716" s="15"/>
      <c r="B716" s="36"/>
      <c r="C716" s="15"/>
      <c r="D716" s="37"/>
      <c r="E716" s="15"/>
      <c r="F716" s="15"/>
      <c r="G716" s="15"/>
      <c r="H716" s="15"/>
      <c r="I716" s="15"/>
      <c r="J716" s="39"/>
      <c r="K716" s="40"/>
      <c r="L716" s="8"/>
      <c r="M716" s="8"/>
      <c r="N716" s="8"/>
      <c r="O716" s="8"/>
      <c r="P716" s="8"/>
      <c r="Q716" s="8"/>
      <c r="R716" s="8"/>
      <c r="S716" s="8"/>
      <c r="T716" s="8"/>
      <c r="U716" s="8"/>
      <c r="V716" s="8"/>
      <c r="W716" s="8"/>
      <c r="X716" s="8"/>
      <c r="Y716" s="8"/>
      <c r="Z716" s="8"/>
      <c r="AA716" s="8"/>
    </row>
    <row r="717" spans="1:27" ht="15">
      <c r="A717" s="15"/>
      <c r="B717" s="36"/>
      <c r="C717" s="15"/>
      <c r="D717" s="37"/>
      <c r="E717" s="15"/>
      <c r="F717" s="15"/>
      <c r="G717" s="15"/>
      <c r="H717" s="15"/>
      <c r="I717" s="15"/>
      <c r="J717" s="39"/>
      <c r="K717" s="40"/>
      <c r="L717" s="8"/>
      <c r="M717" s="8"/>
      <c r="N717" s="8"/>
      <c r="O717" s="8"/>
      <c r="P717" s="8"/>
      <c r="Q717" s="8"/>
      <c r="R717" s="8"/>
      <c r="S717" s="8"/>
      <c r="T717" s="8"/>
      <c r="U717" s="8"/>
      <c r="V717" s="8"/>
      <c r="W717" s="8"/>
      <c r="X717" s="8"/>
      <c r="Y717" s="8"/>
      <c r="Z717" s="8"/>
      <c r="AA717" s="8"/>
    </row>
    <row r="718" spans="1:27" ht="15">
      <c r="A718" s="15"/>
      <c r="B718" s="36"/>
      <c r="C718" s="15"/>
      <c r="D718" s="37"/>
      <c r="E718" s="15"/>
      <c r="F718" s="15"/>
      <c r="G718" s="15"/>
      <c r="H718" s="15"/>
      <c r="I718" s="15"/>
      <c r="J718" s="39"/>
      <c r="K718" s="40"/>
      <c r="L718" s="8"/>
      <c r="M718" s="8"/>
      <c r="N718" s="8"/>
      <c r="O718" s="8"/>
      <c r="P718" s="8"/>
      <c r="Q718" s="8"/>
      <c r="R718" s="8"/>
      <c r="S718" s="8"/>
      <c r="T718" s="8"/>
      <c r="U718" s="8"/>
      <c r="V718" s="8"/>
      <c r="W718" s="8"/>
      <c r="X718" s="8"/>
      <c r="Y718" s="8"/>
      <c r="Z718" s="8"/>
      <c r="AA718" s="8"/>
    </row>
    <row r="719" spans="1:27" ht="15">
      <c r="A719" s="15"/>
      <c r="B719" s="36"/>
      <c r="C719" s="15"/>
      <c r="D719" s="37"/>
      <c r="E719" s="15"/>
      <c r="F719" s="15"/>
      <c r="G719" s="15"/>
      <c r="H719" s="15"/>
      <c r="I719" s="15"/>
      <c r="J719" s="39"/>
      <c r="K719" s="40"/>
      <c r="L719" s="8"/>
      <c r="M719" s="8"/>
      <c r="N719" s="8"/>
      <c r="O719" s="8"/>
      <c r="P719" s="8"/>
      <c r="Q719" s="8"/>
      <c r="R719" s="8"/>
      <c r="S719" s="8"/>
      <c r="T719" s="8"/>
      <c r="U719" s="8"/>
      <c r="V719" s="8"/>
      <c r="W719" s="8"/>
      <c r="X719" s="8"/>
      <c r="Y719" s="8"/>
      <c r="Z719" s="8"/>
      <c r="AA719" s="8"/>
    </row>
    <row r="720" spans="1:27" ht="15">
      <c r="A720" s="15"/>
      <c r="B720" s="36"/>
      <c r="C720" s="15"/>
      <c r="D720" s="37"/>
      <c r="E720" s="15"/>
      <c r="F720" s="15"/>
      <c r="G720" s="15"/>
      <c r="H720" s="15"/>
      <c r="I720" s="15"/>
      <c r="J720" s="39"/>
      <c r="K720" s="40"/>
      <c r="L720" s="8"/>
      <c r="M720" s="8"/>
      <c r="N720" s="8"/>
      <c r="O720" s="8"/>
      <c r="P720" s="8"/>
      <c r="Q720" s="8"/>
      <c r="R720" s="8"/>
      <c r="S720" s="8"/>
      <c r="T720" s="8"/>
      <c r="U720" s="8"/>
      <c r="V720" s="8"/>
      <c r="W720" s="8"/>
      <c r="X720" s="8"/>
      <c r="Y720" s="8"/>
      <c r="Z720" s="8"/>
      <c r="AA720" s="8"/>
    </row>
    <row r="721" spans="1:27" ht="15">
      <c r="A721" s="15"/>
      <c r="B721" s="36"/>
      <c r="C721" s="15"/>
      <c r="D721" s="37"/>
      <c r="E721" s="15"/>
      <c r="F721" s="15"/>
      <c r="G721" s="15"/>
      <c r="H721" s="15"/>
      <c r="I721" s="15"/>
      <c r="J721" s="39"/>
      <c r="K721" s="40"/>
      <c r="L721" s="8"/>
      <c r="M721" s="8"/>
      <c r="N721" s="8"/>
      <c r="O721" s="8"/>
      <c r="P721" s="8"/>
      <c r="Q721" s="8"/>
      <c r="R721" s="8"/>
      <c r="S721" s="8"/>
      <c r="T721" s="8"/>
      <c r="U721" s="8"/>
      <c r="V721" s="8"/>
      <c r="W721" s="8"/>
      <c r="X721" s="8"/>
      <c r="Y721" s="8"/>
      <c r="Z721" s="8"/>
      <c r="AA721" s="8"/>
    </row>
    <row r="722" spans="1:27" ht="15">
      <c r="A722" s="15"/>
      <c r="B722" s="36"/>
      <c r="C722" s="15"/>
      <c r="D722" s="37"/>
      <c r="E722" s="15"/>
      <c r="F722" s="15"/>
      <c r="G722" s="15"/>
      <c r="H722" s="15"/>
      <c r="I722" s="15"/>
      <c r="J722" s="39"/>
      <c r="K722" s="40"/>
      <c r="L722" s="8"/>
      <c r="M722" s="8"/>
      <c r="N722" s="8"/>
      <c r="O722" s="8"/>
      <c r="P722" s="8"/>
      <c r="Q722" s="8"/>
      <c r="R722" s="8"/>
      <c r="S722" s="8"/>
      <c r="T722" s="8"/>
      <c r="U722" s="8"/>
      <c r="V722" s="8"/>
      <c r="W722" s="8"/>
      <c r="X722" s="8"/>
      <c r="Y722" s="8"/>
      <c r="Z722" s="8"/>
      <c r="AA722" s="8"/>
    </row>
    <row r="723" spans="1:27" ht="15">
      <c r="A723" s="15"/>
      <c r="B723" s="36"/>
      <c r="C723" s="15"/>
      <c r="D723" s="37"/>
      <c r="E723" s="15"/>
      <c r="F723" s="15"/>
      <c r="G723" s="15"/>
      <c r="H723" s="15"/>
      <c r="I723" s="15"/>
      <c r="J723" s="39"/>
      <c r="K723" s="40"/>
      <c r="L723" s="8"/>
      <c r="M723" s="8"/>
      <c r="N723" s="8"/>
      <c r="O723" s="8"/>
      <c r="P723" s="8"/>
      <c r="Q723" s="8"/>
      <c r="R723" s="8"/>
      <c r="S723" s="8"/>
      <c r="T723" s="8"/>
      <c r="U723" s="8"/>
      <c r="V723" s="8"/>
      <c r="W723" s="8"/>
      <c r="X723" s="8"/>
      <c r="Y723" s="8"/>
      <c r="Z723" s="8"/>
      <c r="AA723" s="8"/>
    </row>
    <row r="724" spans="1:27" ht="15">
      <c r="A724" s="15"/>
      <c r="B724" s="36"/>
      <c r="C724" s="15"/>
      <c r="D724" s="37"/>
      <c r="E724" s="15"/>
      <c r="F724" s="15"/>
      <c r="G724" s="15"/>
      <c r="H724" s="15"/>
      <c r="I724" s="15"/>
      <c r="J724" s="39"/>
      <c r="K724" s="40"/>
      <c r="L724" s="8"/>
      <c r="M724" s="8"/>
      <c r="N724" s="8"/>
      <c r="O724" s="8"/>
      <c r="P724" s="8"/>
      <c r="Q724" s="8"/>
      <c r="R724" s="8"/>
      <c r="S724" s="8"/>
      <c r="T724" s="8"/>
      <c r="U724" s="8"/>
      <c r="V724" s="8"/>
      <c r="W724" s="8"/>
      <c r="X724" s="8"/>
      <c r="Y724" s="8"/>
      <c r="Z724" s="8"/>
      <c r="AA724" s="8"/>
    </row>
    <row r="725" spans="1:27" ht="15">
      <c r="A725" s="15"/>
      <c r="B725" s="36"/>
      <c r="C725" s="15"/>
      <c r="D725" s="37"/>
      <c r="E725" s="15"/>
      <c r="F725" s="15"/>
      <c r="G725" s="15"/>
      <c r="H725" s="15"/>
      <c r="I725" s="15"/>
      <c r="J725" s="39"/>
      <c r="K725" s="40"/>
      <c r="L725" s="8"/>
      <c r="M725" s="8"/>
      <c r="N725" s="8"/>
      <c r="O725" s="8"/>
      <c r="P725" s="8"/>
      <c r="Q725" s="8"/>
      <c r="R725" s="8"/>
      <c r="S725" s="8"/>
      <c r="T725" s="8"/>
      <c r="U725" s="8"/>
      <c r="V725" s="8"/>
      <c r="W725" s="8"/>
      <c r="X725" s="8"/>
      <c r="Y725" s="8"/>
      <c r="Z725" s="8"/>
      <c r="AA725" s="8"/>
    </row>
    <row r="726" spans="1:27" ht="15">
      <c r="A726" s="15"/>
      <c r="B726" s="36"/>
      <c r="C726" s="15"/>
      <c r="D726" s="37"/>
      <c r="E726" s="15"/>
      <c r="F726" s="15"/>
      <c r="G726" s="15"/>
      <c r="H726" s="15"/>
      <c r="I726" s="15"/>
      <c r="J726" s="39"/>
      <c r="K726" s="40"/>
      <c r="L726" s="8"/>
      <c r="M726" s="8"/>
      <c r="N726" s="8"/>
      <c r="O726" s="8"/>
      <c r="P726" s="8"/>
      <c r="Q726" s="8"/>
      <c r="R726" s="8"/>
      <c r="S726" s="8"/>
      <c r="T726" s="8"/>
      <c r="U726" s="8"/>
      <c r="V726" s="8"/>
      <c r="W726" s="8"/>
      <c r="X726" s="8"/>
      <c r="Y726" s="8"/>
      <c r="Z726" s="8"/>
      <c r="AA726" s="8"/>
    </row>
    <row r="727" spans="1:27" ht="15">
      <c r="A727" s="15"/>
      <c r="B727" s="36"/>
      <c r="C727" s="15"/>
      <c r="D727" s="37"/>
      <c r="E727" s="15"/>
      <c r="F727" s="15"/>
      <c r="G727" s="15"/>
      <c r="H727" s="15"/>
      <c r="I727" s="15"/>
      <c r="J727" s="39"/>
      <c r="K727" s="40"/>
      <c r="L727" s="8"/>
      <c r="M727" s="8"/>
      <c r="N727" s="8"/>
      <c r="O727" s="8"/>
      <c r="P727" s="8"/>
      <c r="Q727" s="8"/>
      <c r="R727" s="8"/>
      <c r="S727" s="8"/>
      <c r="T727" s="8"/>
      <c r="U727" s="8"/>
      <c r="V727" s="8"/>
      <c r="W727" s="8"/>
      <c r="X727" s="8"/>
      <c r="Y727" s="8"/>
      <c r="Z727" s="8"/>
      <c r="AA727" s="8"/>
    </row>
    <row r="728" spans="1:27" ht="15">
      <c r="A728" s="15"/>
      <c r="B728" s="36"/>
      <c r="C728" s="15"/>
      <c r="D728" s="37"/>
      <c r="E728" s="15"/>
      <c r="F728" s="15"/>
      <c r="G728" s="15"/>
      <c r="H728" s="15"/>
      <c r="I728" s="15"/>
      <c r="J728" s="39"/>
      <c r="K728" s="40"/>
      <c r="L728" s="8"/>
      <c r="M728" s="8"/>
      <c r="N728" s="8"/>
      <c r="O728" s="8"/>
      <c r="P728" s="8"/>
      <c r="Q728" s="8"/>
      <c r="R728" s="8"/>
      <c r="S728" s="8"/>
      <c r="T728" s="8"/>
      <c r="U728" s="8"/>
      <c r="V728" s="8"/>
      <c r="W728" s="8"/>
      <c r="X728" s="8"/>
      <c r="Y728" s="8"/>
      <c r="Z728" s="8"/>
      <c r="AA728" s="8"/>
    </row>
    <row r="729" spans="1:27" ht="15">
      <c r="A729" s="15"/>
      <c r="B729" s="36"/>
      <c r="C729" s="15"/>
      <c r="D729" s="37"/>
      <c r="E729" s="15"/>
      <c r="F729" s="15"/>
      <c r="G729" s="15"/>
      <c r="H729" s="15"/>
      <c r="I729" s="15"/>
      <c r="J729" s="39"/>
      <c r="K729" s="40"/>
      <c r="L729" s="8"/>
      <c r="M729" s="8"/>
      <c r="N729" s="8"/>
      <c r="O729" s="8"/>
      <c r="P729" s="8"/>
      <c r="Q729" s="8"/>
      <c r="R729" s="8"/>
      <c r="S729" s="8"/>
      <c r="T729" s="8"/>
      <c r="U729" s="8"/>
      <c r="V729" s="8"/>
      <c r="W729" s="8"/>
      <c r="X729" s="8"/>
      <c r="Y729" s="8"/>
      <c r="Z729" s="8"/>
      <c r="AA729" s="8"/>
    </row>
    <row r="730" spans="1:27" ht="15">
      <c r="A730" s="15"/>
      <c r="B730" s="36"/>
      <c r="C730" s="15"/>
      <c r="D730" s="37"/>
      <c r="E730" s="15"/>
      <c r="F730" s="15"/>
      <c r="G730" s="15"/>
      <c r="H730" s="15"/>
      <c r="I730" s="15"/>
      <c r="J730" s="39"/>
      <c r="K730" s="40"/>
      <c r="L730" s="8"/>
      <c r="M730" s="8"/>
      <c r="N730" s="8"/>
      <c r="O730" s="8"/>
      <c r="P730" s="8"/>
      <c r="Q730" s="8"/>
      <c r="R730" s="8"/>
      <c r="S730" s="8"/>
      <c r="T730" s="8"/>
      <c r="U730" s="8"/>
      <c r="V730" s="8"/>
      <c r="W730" s="8"/>
      <c r="X730" s="8"/>
      <c r="Y730" s="8"/>
      <c r="Z730" s="8"/>
      <c r="AA730" s="8"/>
    </row>
    <row r="731" spans="1:27" ht="15">
      <c r="A731" s="15"/>
      <c r="B731" s="36"/>
      <c r="C731" s="15"/>
      <c r="D731" s="37"/>
      <c r="E731" s="15"/>
      <c r="F731" s="15"/>
      <c r="G731" s="15"/>
      <c r="H731" s="15"/>
      <c r="I731" s="15"/>
      <c r="J731" s="39"/>
      <c r="K731" s="40"/>
      <c r="L731" s="8"/>
      <c r="M731" s="8"/>
      <c r="N731" s="8"/>
      <c r="O731" s="8"/>
      <c r="P731" s="8"/>
      <c r="Q731" s="8"/>
      <c r="R731" s="8"/>
      <c r="S731" s="8"/>
      <c r="T731" s="8"/>
      <c r="U731" s="8"/>
      <c r="V731" s="8"/>
      <c r="W731" s="8"/>
      <c r="X731" s="8"/>
      <c r="Y731" s="8"/>
      <c r="Z731" s="8"/>
      <c r="AA731" s="8"/>
    </row>
    <row r="732" spans="1:27" ht="15">
      <c r="A732" s="15"/>
      <c r="B732" s="36"/>
      <c r="C732" s="15"/>
      <c r="D732" s="37"/>
      <c r="E732" s="15"/>
      <c r="F732" s="15"/>
      <c r="G732" s="15"/>
      <c r="H732" s="15"/>
      <c r="I732" s="15"/>
      <c r="J732" s="39"/>
      <c r="K732" s="40"/>
      <c r="L732" s="8"/>
      <c r="M732" s="8"/>
      <c r="N732" s="8"/>
      <c r="O732" s="8"/>
      <c r="P732" s="8"/>
      <c r="Q732" s="8"/>
      <c r="R732" s="8"/>
      <c r="S732" s="8"/>
      <c r="T732" s="8"/>
      <c r="U732" s="8"/>
      <c r="V732" s="8"/>
      <c r="W732" s="8"/>
      <c r="X732" s="8"/>
      <c r="Y732" s="8"/>
      <c r="Z732" s="8"/>
      <c r="AA732" s="8"/>
    </row>
    <row r="733" spans="1:27" ht="15">
      <c r="A733" s="15"/>
      <c r="B733" s="36"/>
      <c r="C733" s="15"/>
      <c r="D733" s="37"/>
      <c r="E733" s="15"/>
      <c r="F733" s="15"/>
      <c r="G733" s="15"/>
      <c r="H733" s="15"/>
      <c r="I733" s="15"/>
      <c r="J733" s="39"/>
      <c r="K733" s="40"/>
      <c r="L733" s="8"/>
      <c r="M733" s="8"/>
      <c r="N733" s="8"/>
      <c r="O733" s="8"/>
      <c r="P733" s="8"/>
      <c r="Q733" s="8"/>
      <c r="R733" s="8"/>
      <c r="S733" s="8"/>
      <c r="T733" s="8"/>
      <c r="U733" s="8"/>
      <c r="V733" s="8"/>
      <c r="W733" s="8"/>
      <c r="X733" s="8"/>
      <c r="Y733" s="8"/>
      <c r="Z733" s="8"/>
      <c r="AA733" s="8"/>
    </row>
    <row r="734" spans="1:27" ht="15">
      <c r="A734" s="15"/>
      <c r="B734" s="36"/>
      <c r="C734" s="15"/>
      <c r="D734" s="37"/>
      <c r="E734" s="15"/>
      <c r="F734" s="15"/>
      <c r="G734" s="15"/>
      <c r="H734" s="15"/>
      <c r="I734" s="15"/>
      <c r="J734" s="39"/>
      <c r="K734" s="40"/>
      <c r="L734" s="8"/>
      <c r="M734" s="8"/>
      <c r="N734" s="8"/>
      <c r="O734" s="8"/>
      <c r="P734" s="8"/>
      <c r="Q734" s="8"/>
      <c r="R734" s="8"/>
      <c r="S734" s="8"/>
      <c r="T734" s="8"/>
      <c r="U734" s="8"/>
      <c r="V734" s="8"/>
      <c r="W734" s="8"/>
      <c r="X734" s="8"/>
      <c r="Y734" s="8"/>
      <c r="Z734" s="8"/>
      <c r="AA734" s="8"/>
    </row>
    <row r="735" spans="1:27" ht="15">
      <c r="A735" s="15"/>
      <c r="B735" s="36"/>
      <c r="C735" s="15"/>
      <c r="D735" s="37"/>
      <c r="E735" s="15"/>
      <c r="F735" s="15"/>
      <c r="G735" s="15"/>
      <c r="H735" s="15"/>
      <c r="I735" s="15"/>
      <c r="J735" s="39"/>
      <c r="K735" s="40"/>
      <c r="L735" s="8"/>
      <c r="M735" s="8"/>
      <c r="N735" s="8"/>
      <c r="O735" s="8"/>
      <c r="P735" s="8"/>
      <c r="Q735" s="8"/>
      <c r="R735" s="8"/>
      <c r="S735" s="8"/>
      <c r="T735" s="8"/>
      <c r="U735" s="8"/>
      <c r="V735" s="8"/>
      <c r="W735" s="8"/>
      <c r="X735" s="8"/>
      <c r="Y735" s="8"/>
      <c r="Z735" s="8"/>
      <c r="AA735" s="8"/>
    </row>
    <row r="736" spans="1:27" ht="15">
      <c r="A736" s="15"/>
      <c r="B736" s="36"/>
      <c r="C736" s="15"/>
      <c r="D736" s="37"/>
      <c r="E736" s="15"/>
      <c r="F736" s="15"/>
      <c r="G736" s="15"/>
      <c r="H736" s="15"/>
      <c r="I736" s="15"/>
      <c r="J736" s="39"/>
      <c r="K736" s="40"/>
      <c r="L736" s="8"/>
      <c r="M736" s="8"/>
      <c r="N736" s="8"/>
      <c r="O736" s="8"/>
      <c r="P736" s="8"/>
      <c r="Q736" s="8"/>
      <c r="R736" s="8"/>
      <c r="S736" s="8"/>
      <c r="T736" s="8"/>
      <c r="U736" s="8"/>
      <c r="V736" s="8"/>
      <c r="W736" s="8"/>
      <c r="X736" s="8"/>
      <c r="Y736" s="8"/>
      <c r="Z736" s="8"/>
      <c r="AA736" s="8"/>
    </row>
    <row r="737" spans="1:27" ht="15">
      <c r="A737" s="15"/>
      <c r="B737" s="36"/>
      <c r="C737" s="15"/>
      <c r="D737" s="37"/>
      <c r="E737" s="15"/>
      <c r="F737" s="15"/>
      <c r="G737" s="15"/>
      <c r="H737" s="15"/>
      <c r="I737" s="15"/>
      <c r="J737" s="39"/>
      <c r="K737" s="40"/>
      <c r="L737" s="8"/>
      <c r="M737" s="8"/>
      <c r="N737" s="8"/>
      <c r="O737" s="8"/>
      <c r="P737" s="8"/>
      <c r="Q737" s="8"/>
      <c r="R737" s="8"/>
      <c r="S737" s="8"/>
      <c r="T737" s="8"/>
      <c r="U737" s="8"/>
      <c r="V737" s="8"/>
      <c r="W737" s="8"/>
      <c r="X737" s="8"/>
      <c r="Y737" s="8"/>
      <c r="Z737" s="8"/>
      <c r="AA737" s="8"/>
    </row>
    <row r="738" spans="1:27" ht="15">
      <c r="A738" s="15"/>
      <c r="B738" s="36"/>
      <c r="C738" s="15"/>
      <c r="D738" s="37"/>
      <c r="E738" s="15"/>
      <c r="F738" s="15"/>
      <c r="G738" s="15"/>
      <c r="H738" s="15"/>
      <c r="I738" s="15"/>
      <c r="J738" s="39"/>
      <c r="K738" s="40"/>
      <c r="L738" s="8"/>
      <c r="M738" s="8"/>
      <c r="N738" s="8"/>
      <c r="O738" s="8"/>
      <c r="P738" s="8"/>
      <c r="Q738" s="8"/>
      <c r="R738" s="8"/>
      <c r="S738" s="8"/>
      <c r="T738" s="8"/>
      <c r="U738" s="8"/>
      <c r="V738" s="8"/>
      <c r="W738" s="8"/>
      <c r="X738" s="8"/>
      <c r="Y738" s="8"/>
      <c r="Z738" s="8"/>
      <c r="AA738" s="8"/>
    </row>
    <row r="739" spans="1:27" ht="15">
      <c r="A739" s="15"/>
      <c r="B739" s="36"/>
      <c r="C739" s="15"/>
      <c r="D739" s="37"/>
      <c r="E739" s="15"/>
      <c r="F739" s="15"/>
      <c r="G739" s="15"/>
      <c r="H739" s="15"/>
      <c r="I739" s="15"/>
      <c r="J739" s="39"/>
      <c r="K739" s="40"/>
      <c r="L739" s="8"/>
      <c r="M739" s="8"/>
      <c r="N739" s="8"/>
      <c r="O739" s="8"/>
      <c r="P739" s="8"/>
      <c r="Q739" s="8"/>
      <c r="R739" s="8"/>
      <c r="S739" s="8"/>
      <c r="T739" s="8"/>
      <c r="U739" s="8"/>
      <c r="V739" s="8"/>
      <c r="W739" s="8"/>
      <c r="X739" s="8"/>
      <c r="Y739" s="8"/>
      <c r="Z739" s="8"/>
      <c r="AA739" s="8"/>
    </row>
    <row r="740" spans="1:27" ht="15">
      <c r="A740" s="15"/>
      <c r="B740" s="36"/>
      <c r="C740" s="15"/>
      <c r="D740" s="37"/>
      <c r="E740" s="15"/>
      <c r="F740" s="15"/>
      <c r="G740" s="15"/>
      <c r="H740" s="15"/>
      <c r="I740" s="15"/>
      <c r="J740" s="39"/>
      <c r="K740" s="40"/>
      <c r="L740" s="8"/>
      <c r="M740" s="8"/>
      <c r="N740" s="8"/>
      <c r="O740" s="8"/>
      <c r="P740" s="8"/>
      <c r="Q740" s="8"/>
      <c r="R740" s="8"/>
      <c r="S740" s="8"/>
      <c r="T740" s="8"/>
      <c r="U740" s="8"/>
      <c r="V740" s="8"/>
      <c r="W740" s="8"/>
      <c r="X740" s="8"/>
      <c r="Y740" s="8"/>
      <c r="Z740" s="8"/>
      <c r="AA740" s="8"/>
    </row>
    <row r="741" spans="1:27" ht="15">
      <c r="A741" s="15"/>
      <c r="B741" s="36"/>
      <c r="C741" s="15"/>
      <c r="D741" s="37"/>
      <c r="E741" s="15"/>
      <c r="F741" s="15"/>
      <c r="G741" s="15"/>
      <c r="H741" s="15"/>
      <c r="I741" s="15"/>
      <c r="J741" s="39"/>
      <c r="K741" s="40"/>
      <c r="L741" s="8"/>
      <c r="M741" s="8"/>
      <c r="N741" s="8"/>
      <c r="O741" s="8"/>
      <c r="P741" s="8"/>
      <c r="Q741" s="8"/>
      <c r="R741" s="8"/>
      <c r="S741" s="8"/>
      <c r="T741" s="8"/>
      <c r="U741" s="8"/>
      <c r="V741" s="8"/>
      <c r="W741" s="8"/>
      <c r="X741" s="8"/>
      <c r="Y741" s="8"/>
      <c r="Z741" s="8"/>
      <c r="AA741" s="8"/>
    </row>
    <row r="742" spans="1:27" ht="15">
      <c r="A742" s="15"/>
      <c r="B742" s="36"/>
      <c r="C742" s="15"/>
      <c r="D742" s="37"/>
      <c r="E742" s="15"/>
      <c r="F742" s="15"/>
      <c r="G742" s="15"/>
      <c r="H742" s="15"/>
      <c r="I742" s="15"/>
      <c r="J742" s="39"/>
      <c r="K742" s="40"/>
      <c r="L742" s="8"/>
      <c r="M742" s="8"/>
      <c r="N742" s="8"/>
      <c r="O742" s="8"/>
      <c r="P742" s="8"/>
      <c r="Q742" s="8"/>
      <c r="R742" s="8"/>
      <c r="S742" s="8"/>
      <c r="T742" s="8"/>
      <c r="U742" s="8"/>
      <c r="V742" s="8"/>
      <c r="W742" s="8"/>
      <c r="X742" s="8"/>
      <c r="Y742" s="8"/>
      <c r="Z742" s="8"/>
      <c r="AA742" s="8"/>
    </row>
    <row r="743" spans="1:27" ht="15">
      <c r="A743" s="15"/>
      <c r="B743" s="36"/>
      <c r="C743" s="15"/>
      <c r="D743" s="37"/>
      <c r="E743" s="15"/>
      <c r="F743" s="15"/>
      <c r="G743" s="15"/>
      <c r="H743" s="15"/>
      <c r="I743" s="15"/>
      <c r="J743" s="39"/>
      <c r="K743" s="40"/>
      <c r="L743" s="8"/>
      <c r="M743" s="8"/>
      <c r="N743" s="8"/>
      <c r="O743" s="8"/>
      <c r="P743" s="8"/>
      <c r="Q743" s="8"/>
      <c r="R743" s="8"/>
      <c r="S743" s="8"/>
      <c r="T743" s="8"/>
      <c r="U743" s="8"/>
      <c r="V743" s="8"/>
      <c r="W743" s="8"/>
      <c r="X743" s="8"/>
      <c r="Y743" s="8"/>
      <c r="Z743" s="8"/>
      <c r="AA743" s="8"/>
    </row>
    <row r="744" spans="1:27" ht="15">
      <c r="A744" s="15"/>
      <c r="B744" s="36"/>
      <c r="C744" s="15"/>
      <c r="D744" s="37"/>
      <c r="E744" s="15"/>
      <c r="F744" s="15"/>
      <c r="G744" s="15"/>
      <c r="H744" s="15"/>
      <c r="I744" s="15"/>
      <c r="J744" s="39"/>
      <c r="K744" s="40"/>
      <c r="L744" s="8"/>
      <c r="M744" s="8"/>
      <c r="N744" s="8"/>
      <c r="O744" s="8"/>
      <c r="P744" s="8"/>
      <c r="Q744" s="8"/>
      <c r="R744" s="8"/>
      <c r="S744" s="8"/>
      <c r="T744" s="8"/>
      <c r="U744" s="8"/>
      <c r="V744" s="8"/>
      <c r="W744" s="8"/>
      <c r="X744" s="8"/>
      <c r="Y744" s="8"/>
      <c r="Z744" s="8"/>
      <c r="AA744" s="8"/>
    </row>
    <row r="745" spans="1:27" ht="15">
      <c r="A745" s="15"/>
      <c r="B745" s="36"/>
      <c r="C745" s="15"/>
      <c r="D745" s="37"/>
      <c r="E745" s="15"/>
      <c r="F745" s="15"/>
      <c r="G745" s="15"/>
      <c r="H745" s="15"/>
      <c r="I745" s="15"/>
      <c r="J745" s="39"/>
      <c r="K745" s="40"/>
      <c r="L745" s="8"/>
      <c r="M745" s="8"/>
      <c r="N745" s="8"/>
      <c r="O745" s="8"/>
      <c r="P745" s="8"/>
      <c r="Q745" s="8"/>
      <c r="R745" s="8"/>
      <c r="S745" s="8"/>
      <c r="T745" s="8"/>
      <c r="U745" s="8"/>
      <c r="V745" s="8"/>
      <c r="W745" s="8"/>
      <c r="X745" s="8"/>
      <c r="Y745" s="8"/>
      <c r="Z745" s="8"/>
      <c r="AA745" s="8"/>
    </row>
    <row r="746" spans="1:27" ht="15">
      <c r="A746" s="15"/>
      <c r="B746" s="36"/>
      <c r="C746" s="15"/>
      <c r="D746" s="37"/>
      <c r="E746" s="15"/>
      <c r="F746" s="15"/>
      <c r="G746" s="15"/>
      <c r="H746" s="15"/>
      <c r="I746" s="15"/>
      <c r="J746" s="39"/>
      <c r="K746" s="40"/>
      <c r="L746" s="8"/>
      <c r="M746" s="8"/>
      <c r="N746" s="8"/>
      <c r="O746" s="8"/>
      <c r="P746" s="8"/>
      <c r="Q746" s="8"/>
      <c r="R746" s="8"/>
      <c r="S746" s="8"/>
      <c r="T746" s="8"/>
      <c r="U746" s="8"/>
      <c r="V746" s="8"/>
      <c r="W746" s="8"/>
      <c r="X746" s="8"/>
      <c r="Y746" s="8"/>
      <c r="Z746" s="8"/>
      <c r="AA746" s="8"/>
    </row>
    <row r="747" spans="1:27" ht="15">
      <c r="A747" s="15"/>
      <c r="B747" s="36"/>
      <c r="C747" s="15"/>
      <c r="D747" s="37"/>
      <c r="E747" s="15"/>
      <c r="F747" s="15"/>
      <c r="G747" s="15"/>
      <c r="H747" s="15"/>
      <c r="I747" s="15"/>
      <c r="J747" s="39"/>
      <c r="K747" s="40"/>
      <c r="L747" s="8"/>
      <c r="M747" s="8"/>
      <c r="N747" s="8"/>
      <c r="O747" s="8"/>
      <c r="P747" s="8"/>
      <c r="Q747" s="8"/>
      <c r="R747" s="8"/>
      <c r="S747" s="8"/>
      <c r="T747" s="8"/>
      <c r="U747" s="8"/>
      <c r="V747" s="8"/>
      <c r="W747" s="8"/>
      <c r="X747" s="8"/>
      <c r="Y747" s="8"/>
      <c r="Z747" s="8"/>
      <c r="AA747" s="8"/>
    </row>
    <row r="748" spans="1:27" ht="15">
      <c r="A748" s="15"/>
      <c r="B748" s="36"/>
      <c r="C748" s="15"/>
      <c r="D748" s="37"/>
      <c r="E748" s="15"/>
      <c r="F748" s="15"/>
      <c r="G748" s="15"/>
      <c r="H748" s="15"/>
      <c r="I748" s="15"/>
      <c r="J748" s="39"/>
      <c r="K748" s="40"/>
      <c r="L748" s="8"/>
      <c r="M748" s="8"/>
      <c r="N748" s="8"/>
      <c r="O748" s="8"/>
      <c r="P748" s="8"/>
      <c r="Q748" s="8"/>
      <c r="R748" s="8"/>
      <c r="S748" s="8"/>
      <c r="T748" s="8"/>
      <c r="U748" s="8"/>
      <c r="V748" s="8"/>
      <c r="W748" s="8"/>
      <c r="X748" s="8"/>
      <c r="Y748" s="8"/>
      <c r="Z748" s="8"/>
      <c r="AA748" s="8"/>
    </row>
    <row r="749" spans="1:27" ht="15">
      <c r="A749" s="15"/>
      <c r="B749" s="36"/>
      <c r="C749" s="15"/>
      <c r="D749" s="37"/>
      <c r="E749" s="15"/>
      <c r="F749" s="15"/>
      <c r="G749" s="15"/>
      <c r="H749" s="15"/>
      <c r="I749" s="15"/>
      <c r="J749" s="39"/>
      <c r="K749" s="40"/>
      <c r="L749" s="8"/>
      <c r="M749" s="8"/>
      <c r="N749" s="8"/>
      <c r="O749" s="8"/>
      <c r="P749" s="8"/>
      <c r="Q749" s="8"/>
      <c r="R749" s="8"/>
      <c r="S749" s="8"/>
      <c r="T749" s="8"/>
      <c r="U749" s="8"/>
      <c r="V749" s="8"/>
      <c r="W749" s="8"/>
      <c r="X749" s="8"/>
      <c r="Y749" s="8"/>
      <c r="Z749" s="8"/>
      <c r="AA749" s="8"/>
    </row>
    <row r="750" spans="1:27" ht="15">
      <c r="A750" s="15"/>
      <c r="B750" s="36"/>
      <c r="C750" s="15"/>
      <c r="D750" s="37"/>
      <c r="E750" s="15"/>
      <c r="F750" s="15"/>
      <c r="G750" s="15"/>
      <c r="H750" s="15"/>
      <c r="I750" s="15"/>
      <c r="J750" s="39"/>
      <c r="K750" s="40"/>
      <c r="L750" s="8"/>
      <c r="M750" s="8"/>
      <c r="N750" s="8"/>
      <c r="O750" s="8"/>
      <c r="P750" s="8"/>
      <c r="Q750" s="8"/>
      <c r="R750" s="8"/>
      <c r="S750" s="8"/>
      <c r="T750" s="8"/>
      <c r="U750" s="8"/>
      <c r="V750" s="8"/>
      <c r="W750" s="8"/>
      <c r="X750" s="8"/>
      <c r="Y750" s="8"/>
      <c r="Z750" s="8"/>
      <c r="AA750" s="8"/>
    </row>
    <row r="751" spans="1:27" ht="15">
      <c r="A751" s="15"/>
      <c r="B751" s="36"/>
      <c r="C751" s="15"/>
      <c r="D751" s="37"/>
      <c r="E751" s="15"/>
      <c r="F751" s="15"/>
      <c r="G751" s="15"/>
      <c r="H751" s="15"/>
      <c r="I751" s="15"/>
      <c r="J751" s="39"/>
      <c r="K751" s="40"/>
      <c r="L751" s="8"/>
      <c r="M751" s="8"/>
      <c r="N751" s="8"/>
      <c r="O751" s="8"/>
      <c r="P751" s="8"/>
      <c r="Q751" s="8"/>
      <c r="R751" s="8"/>
      <c r="S751" s="8"/>
      <c r="T751" s="8"/>
      <c r="U751" s="8"/>
      <c r="V751" s="8"/>
      <c r="W751" s="8"/>
      <c r="X751" s="8"/>
      <c r="Y751" s="8"/>
      <c r="Z751" s="8"/>
      <c r="AA751" s="8"/>
    </row>
    <row r="752" spans="1:27" ht="15">
      <c r="A752" s="15"/>
      <c r="B752" s="36"/>
      <c r="C752" s="15"/>
      <c r="D752" s="37"/>
      <c r="E752" s="15"/>
      <c r="F752" s="15"/>
      <c r="G752" s="15"/>
      <c r="H752" s="15"/>
      <c r="I752" s="15"/>
      <c r="J752" s="39"/>
      <c r="K752" s="40"/>
      <c r="L752" s="8"/>
      <c r="M752" s="8"/>
      <c r="N752" s="8"/>
      <c r="O752" s="8"/>
      <c r="P752" s="8"/>
      <c r="Q752" s="8"/>
      <c r="R752" s="8"/>
      <c r="S752" s="8"/>
      <c r="T752" s="8"/>
      <c r="U752" s="8"/>
      <c r="V752" s="8"/>
      <c r="W752" s="8"/>
      <c r="X752" s="8"/>
      <c r="Y752" s="8"/>
      <c r="Z752" s="8"/>
      <c r="AA752" s="8"/>
    </row>
    <row r="753" spans="1:27" ht="15">
      <c r="A753" s="15"/>
      <c r="B753" s="36"/>
      <c r="C753" s="15"/>
      <c r="D753" s="37"/>
      <c r="E753" s="15"/>
      <c r="F753" s="15"/>
      <c r="G753" s="15"/>
      <c r="H753" s="15"/>
      <c r="I753" s="15"/>
      <c r="J753" s="39"/>
      <c r="K753" s="40"/>
      <c r="L753" s="8"/>
      <c r="M753" s="8"/>
      <c r="N753" s="8"/>
      <c r="O753" s="8"/>
      <c r="P753" s="8"/>
      <c r="Q753" s="8"/>
      <c r="R753" s="8"/>
      <c r="S753" s="8"/>
      <c r="T753" s="8"/>
      <c r="U753" s="8"/>
      <c r="V753" s="8"/>
      <c r="W753" s="8"/>
      <c r="X753" s="8"/>
      <c r="Y753" s="8"/>
      <c r="Z753" s="8"/>
      <c r="AA753" s="8"/>
    </row>
    <row r="754" spans="1:27" ht="15">
      <c r="A754" s="15"/>
      <c r="B754" s="36"/>
      <c r="C754" s="15"/>
      <c r="D754" s="37"/>
      <c r="E754" s="15"/>
      <c r="F754" s="15"/>
      <c r="G754" s="15"/>
      <c r="H754" s="15"/>
      <c r="I754" s="15"/>
      <c r="J754" s="39"/>
      <c r="K754" s="40"/>
      <c r="L754" s="8"/>
      <c r="M754" s="8"/>
      <c r="N754" s="8"/>
      <c r="O754" s="8"/>
      <c r="P754" s="8"/>
      <c r="Q754" s="8"/>
      <c r="R754" s="8"/>
      <c r="S754" s="8"/>
      <c r="T754" s="8"/>
      <c r="U754" s="8"/>
      <c r="V754" s="8"/>
      <c r="W754" s="8"/>
      <c r="X754" s="8"/>
      <c r="Y754" s="8"/>
      <c r="Z754" s="8"/>
      <c r="AA754" s="8"/>
    </row>
    <row r="755" spans="1:27" ht="15">
      <c r="A755" s="15"/>
      <c r="B755" s="36"/>
      <c r="C755" s="15"/>
      <c r="D755" s="37"/>
      <c r="E755" s="15"/>
      <c r="F755" s="15"/>
      <c r="G755" s="15"/>
      <c r="H755" s="15"/>
      <c r="I755" s="15"/>
      <c r="J755" s="39"/>
      <c r="K755" s="40"/>
      <c r="L755" s="8"/>
      <c r="M755" s="8"/>
      <c r="N755" s="8"/>
      <c r="O755" s="8"/>
      <c r="P755" s="8"/>
      <c r="Q755" s="8"/>
      <c r="R755" s="8"/>
      <c r="S755" s="8"/>
      <c r="T755" s="8"/>
      <c r="U755" s="8"/>
      <c r="V755" s="8"/>
      <c r="W755" s="8"/>
      <c r="X755" s="8"/>
      <c r="Y755" s="8"/>
      <c r="Z755" s="8"/>
      <c r="AA755" s="8"/>
    </row>
    <row r="756" spans="1:27" ht="15">
      <c r="A756" s="15"/>
      <c r="B756" s="36"/>
      <c r="C756" s="15"/>
      <c r="D756" s="37"/>
      <c r="E756" s="15"/>
      <c r="F756" s="15"/>
      <c r="G756" s="15"/>
      <c r="H756" s="15"/>
      <c r="I756" s="15"/>
      <c r="J756" s="39"/>
      <c r="K756" s="40"/>
      <c r="L756" s="8"/>
      <c r="M756" s="8"/>
      <c r="N756" s="8"/>
      <c r="O756" s="8"/>
      <c r="P756" s="8"/>
      <c r="Q756" s="8"/>
      <c r="R756" s="8"/>
      <c r="S756" s="8"/>
      <c r="T756" s="8"/>
      <c r="U756" s="8"/>
      <c r="V756" s="8"/>
      <c r="W756" s="8"/>
      <c r="X756" s="8"/>
      <c r="Y756" s="8"/>
      <c r="Z756" s="8"/>
      <c r="AA756" s="8"/>
    </row>
    <row r="757" spans="1:27" ht="15">
      <c r="A757" s="15"/>
      <c r="B757" s="36"/>
      <c r="C757" s="15"/>
      <c r="D757" s="37"/>
      <c r="E757" s="15"/>
      <c r="F757" s="15"/>
      <c r="G757" s="15"/>
      <c r="H757" s="15"/>
      <c r="I757" s="15"/>
      <c r="J757" s="39"/>
      <c r="K757" s="40"/>
      <c r="L757" s="8"/>
      <c r="M757" s="8"/>
      <c r="N757" s="8"/>
      <c r="O757" s="8"/>
      <c r="P757" s="8"/>
      <c r="Q757" s="8"/>
      <c r="R757" s="8"/>
      <c r="S757" s="8"/>
      <c r="T757" s="8"/>
      <c r="U757" s="8"/>
      <c r="V757" s="8"/>
      <c r="W757" s="8"/>
      <c r="X757" s="8"/>
      <c r="Y757" s="8"/>
      <c r="Z757" s="8"/>
      <c r="AA757" s="8"/>
    </row>
    <row r="758" spans="1:27" ht="15">
      <c r="A758" s="15"/>
      <c r="B758" s="36"/>
      <c r="C758" s="15"/>
      <c r="D758" s="37"/>
      <c r="E758" s="15"/>
      <c r="F758" s="15"/>
      <c r="G758" s="15"/>
      <c r="H758" s="15"/>
      <c r="I758" s="15"/>
      <c r="J758" s="39"/>
      <c r="K758" s="40"/>
      <c r="L758" s="8"/>
      <c r="M758" s="8"/>
      <c r="N758" s="8"/>
      <c r="O758" s="8"/>
      <c r="P758" s="8"/>
      <c r="Q758" s="8"/>
      <c r="R758" s="8"/>
      <c r="S758" s="8"/>
      <c r="T758" s="8"/>
      <c r="U758" s="8"/>
      <c r="V758" s="8"/>
      <c r="W758" s="8"/>
      <c r="X758" s="8"/>
      <c r="Y758" s="8"/>
      <c r="Z758" s="8"/>
      <c r="AA758" s="8"/>
    </row>
    <row r="759" spans="1:27" ht="15">
      <c r="A759" s="15"/>
      <c r="B759" s="36"/>
      <c r="C759" s="15"/>
      <c r="D759" s="37"/>
      <c r="E759" s="15"/>
      <c r="F759" s="15"/>
      <c r="G759" s="15"/>
      <c r="H759" s="15"/>
      <c r="I759" s="15"/>
      <c r="J759" s="39"/>
      <c r="K759" s="40"/>
      <c r="L759" s="8"/>
      <c r="M759" s="8"/>
      <c r="N759" s="8"/>
      <c r="O759" s="8"/>
      <c r="P759" s="8"/>
      <c r="Q759" s="8"/>
      <c r="R759" s="8"/>
      <c r="S759" s="8"/>
      <c r="T759" s="8"/>
      <c r="U759" s="8"/>
      <c r="V759" s="8"/>
      <c r="W759" s="8"/>
      <c r="X759" s="8"/>
      <c r="Y759" s="8"/>
      <c r="Z759" s="8"/>
      <c r="AA759" s="8"/>
    </row>
    <row r="760" spans="1:27" ht="15">
      <c r="A760" s="15"/>
      <c r="B760" s="36"/>
      <c r="C760" s="15"/>
      <c r="D760" s="37"/>
      <c r="E760" s="15"/>
      <c r="F760" s="15"/>
      <c r="G760" s="15"/>
      <c r="H760" s="15"/>
      <c r="I760" s="15"/>
      <c r="J760" s="39"/>
      <c r="K760" s="40"/>
      <c r="L760" s="8"/>
      <c r="M760" s="8"/>
      <c r="N760" s="8"/>
      <c r="O760" s="8"/>
      <c r="P760" s="8"/>
      <c r="Q760" s="8"/>
      <c r="R760" s="8"/>
      <c r="S760" s="8"/>
      <c r="T760" s="8"/>
      <c r="U760" s="8"/>
      <c r="V760" s="8"/>
      <c r="W760" s="8"/>
      <c r="X760" s="8"/>
      <c r="Y760" s="8"/>
      <c r="Z760" s="8"/>
      <c r="AA760" s="8"/>
    </row>
    <row r="761" spans="1:27" ht="15">
      <c r="A761" s="15"/>
      <c r="B761" s="36"/>
      <c r="C761" s="15"/>
      <c r="D761" s="37"/>
      <c r="E761" s="15"/>
      <c r="F761" s="15"/>
      <c r="G761" s="15"/>
      <c r="H761" s="15"/>
      <c r="I761" s="15"/>
      <c r="J761" s="39"/>
      <c r="K761" s="40"/>
      <c r="L761" s="8"/>
      <c r="M761" s="8"/>
      <c r="N761" s="8"/>
      <c r="O761" s="8"/>
      <c r="P761" s="8"/>
      <c r="Q761" s="8"/>
      <c r="R761" s="8"/>
      <c r="S761" s="8"/>
      <c r="T761" s="8"/>
      <c r="U761" s="8"/>
      <c r="V761" s="8"/>
      <c r="W761" s="8"/>
      <c r="X761" s="8"/>
      <c r="Y761" s="8"/>
      <c r="Z761" s="8"/>
      <c r="AA761" s="8"/>
    </row>
    <row r="762" spans="1:27" ht="15">
      <c r="A762" s="15"/>
      <c r="B762" s="36"/>
      <c r="C762" s="15"/>
      <c r="D762" s="37"/>
      <c r="E762" s="15"/>
      <c r="F762" s="15"/>
      <c r="G762" s="15"/>
      <c r="H762" s="15"/>
      <c r="I762" s="15"/>
      <c r="J762" s="39"/>
      <c r="K762" s="40"/>
      <c r="L762" s="8"/>
      <c r="M762" s="8"/>
      <c r="N762" s="8"/>
      <c r="O762" s="8"/>
      <c r="P762" s="8"/>
      <c r="Q762" s="8"/>
      <c r="R762" s="8"/>
      <c r="S762" s="8"/>
      <c r="T762" s="8"/>
      <c r="U762" s="8"/>
      <c r="V762" s="8"/>
      <c r="W762" s="8"/>
      <c r="X762" s="8"/>
      <c r="Y762" s="8"/>
      <c r="Z762" s="8"/>
      <c r="AA762" s="8"/>
    </row>
    <row r="763" spans="1:27" ht="15">
      <c r="A763" s="15"/>
      <c r="B763" s="36"/>
      <c r="C763" s="15"/>
      <c r="D763" s="37"/>
      <c r="E763" s="15"/>
      <c r="F763" s="15"/>
      <c r="G763" s="15"/>
      <c r="H763" s="15"/>
      <c r="I763" s="15"/>
      <c r="J763" s="39"/>
      <c r="K763" s="40"/>
      <c r="L763" s="8"/>
      <c r="M763" s="8"/>
      <c r="N763" s="8"/>
      <c r="O763" s="8"/>
      <c r="P763" s="8"/>
      <c r="Q763" s="8"/>
      <c r="R763" s="8"/>
      <c r="S763" s="8"/>
      <c r="T763" s="8"/>
      <c r="U763" s="8"/>
      <c r="V763" s="8"/>
      <c r="W763" s="8"/>
      <c r="X763" s="8"/>
      <c r="Y763" s="8"/>
      <c r="Z763" s="8"/>
      <c r="AA763" s="8"/>
    </row>
    <row r="764" spans="1:27" ht="15">
      <c r="A764" s="15"/>
      <c r="B764" s="36"/>
      <c r="C764" s="15"/>
      <c r="D764" s="37"/>
      <c r="E764" s="15"/>
      <c r="F764" s="15"/>
      <c r="G764" s="15"/>
      <c r="H764" s="15"/>
      <c r="I764" s="15"/>
      <c r="J764" s="39"/>
      <c r="K764" s="40"/>
      <c r="L764" s="8"/>
      <c r="M764" s="8"/>
      <c r="N764" s="8"/>
      <c r="O764" s="8"/>
      <c r="P764" s="8"/>
      <c r="Q764" s="8"/>
      <c r="R764" s="8"/>
      <c r="S764" s="8"/>
      <c r="T764" s="8"/>
      <c r="U764" s="8"/>
      <c r="V764" s="8"/>
      <c r="W764" s="8"/>
      <c r="X764" s="8"/>
      <c r="Y764" s="8"/>
      <c r="Z764" s="8"/>
      <c r="AA764" s="8"/>
    </row>
    <row r="765" spans="1:27" ht="15">
      <c r="A765" s="15"/>
      <c r="B765" s="36"/>
      <c r="C765" s="15"/>
      <c r="D765" s="37"/>
      <c r="E765" s="15"/>
      <c r="F765" s="15"/>
      <c r="G765" s="15"/>
      <c r="H765" s="15"/>
      <c r="I765" s="15"/>
      <c r="J765" s="39"/>
      <c r="K765" s="40"/>
      <c r="L765" s="8"/>
      <c r="M765" s="8"/>
      <c r="N765" s="8"/>
      <c r="O765" s="8"/>
      <c r="P765" s="8"/>
      <c r="Q765" s="8"/>
      <c r="R765" s="8"/>
      <c r="S765" s="8"/>
      <c r="T765" s="8"/>
      <c r="U765" s="8"/>
      <c r="V765" s="8"/>
      <c r="W765" s="8"/>
      <c r="X765" s="8"/>
      <c r="Y765" s="8"/>
      <c r="Z765" s="8"/>
      <c r="AA765" s="8"/>
    </row>
    <row r="766" spans="1:27" ht="15">
      <c r="A766" s="15"/>
      <c r="B766" s="36"/>
      <c r="C766" s="15"/>
      <c r="D766" s="37"/>
      <c r="E766" s="15"/>
      <c r="F766" s="15"/>
      <c r="G766" s="15"/>
      <c r="H766" s="15"/>
      <c r="I766" s="15"/>
      <c r="J766" s="39"/>
      <c r="K766" s="40"/>
      <c r="L766" s="8"/>
      <c r="M766" s="8"/>
      <c r="N766" s="8"/>
      <c r="O766" s="8"/>
      <c r="P766" s="8"/>
      <c r="Q766" s="8"/>
      <c r="R766" s="8"/>
      <c r="S766" s="8"/>
      <c r="T766" s="8"/>
      <c r="U766" s="8"/>
      <c r="V766" s="8"/>
      <c r="W766" s="8"/>
      <c r="X766" s="8"/>
      <c r="Y766" s="8"/>
      <c r="Z766" s="8"/>
      <c r="AA766" s="8"/>
    </row>
    <row r="767" spans="1:27" ht="15">
      <c r="A767" s="15"/>
      <c r="B767" s="36"/>
      <c r="C767" s="15"/>
      <c r="D767" s="37"/>
      <c r="E767" s="15"/>
      <c r="F767" s="15"/>
      <c r="G767" s="15"/>
      <c r="H767" s="15"/>
      <c r="I767" s="15"/>
      <c r="J767" s="39"/>
      <c r="K767" s="40"/>
      <c r="L767" s="8"/>
      <c r="M767" s="8"/>
      <c r="N767" s="8"/>
      <c r="O767" s="8"/>
      <c r="P767" s="8"/>
      <c r="Q767" s="8"/>
      <c r="R767" s="8"/>
      <c r="S767" s="8"/>
      <c r="T767" s="8"/>
      <c r="U767" s="8"/>
      <c r="V767" s="8"/>
      <c r="W767" s="8"/>
      <c r="X767" s="8"/>
      <c r="Y767" s="8"/>
      <c r="Z767" s="8"/>
      <c r="AA767" s="8"/>
    </row>
    <row r="768" spans="1:27" ht="15">
      <c r="A768" s="15"/>
      <c r="B768" s="36"/>
      <c r="C768" s="15"/>
      <c r="D768" s="37"/>
      <c r="E768" s="15"/>
      <c r="F768" s="15"/>
      <c r="G768" s="15"/>
      <c r="H768" s="15"/>
      <c r="I768" s="15"/>
      <c r="J768" s="39"/>
      <c r="K768" s="40"/>
      <c r="L768" s="8"/>
      <c r="M768" s="8"/>
      <c r="N768" s="8"/>
      <c r="O768" s="8"/>
      <c r="P768" s="8"/>
      <c r="Q768" s="8"/>
      <c r="R768" s="8"/>
      <c r="S768" s="8"/>
      <c r="T768" s="8"/>
      <c r="U768" s="8"/>
      <c r="V768" s="8"/>
      <c r="W768" s="8"/>
      <c r="X768" s="8"/>
      <c r="Y768" s="8"/>
      <c r="Z768" s="8"/>
      <c r="AA768" s="8"/>
    </row>
    <row r="769" spans="1:27" ht="15">
      <c r="A769" s="15"/>
      <c r="B769" s="36"/>
      <c r="C769" s="15"/>
      <c r="D769" s="37"/>
      <c r="E769" s="15"/>
      <c r="F769" s="15"/>
      <c r="G769" s="15"/>
      <c r="H769" s="15"/>
      <c r="I769" s="15"/>
      <c r="J769" s="39"/>
      <c r="K769" s="40"/>
      <c r="L769" s="8"/>
      <c r="M769" s="8"/>
      <c r="N769" s="8"/>
      <c r="O769" s="8"/>
      <c r="P769" s="8"/>
      <c r="Q769" s="8"/>
      <c r="R769" s="8"/>
      <c r="S769" s="8"/>
      <c r="T769" s="8"/>
      <c r="U769" s="8"/>
      <c r="V769" s="8"/>
      <c r="W769" s="8"/>
      <c r="X769" s="8"/>
      <c r="Y769" s="8"/>
      <c r="Z769" s="8"/>
      <c r="AA769" s="8"/>
    </row>
    <row r="770" spans="1:27" ht="15">
      <c r="A770" s="15"/>
      <c r="B770" s="36"/>
      <c r="C770" s="15"/>
      <c r="D770" s="37"/>
      <c r="E770" s="15"/>
      <c r="F770" s="15"/>
      <c r="G770" s="15"/>
      <c r="H770" s="15"/>
      <c r="I770" s="15"/>
      <c r="J770" s="39"/>
      <c r="K770" s="40"/>
      <c r="L770" s="8"/>
      <c r="M770" s="8"/>
      <c r="N770" s="8"/>
      <c r="O770" s="8"/>
      <c r="P770" s="8"/>
      <c r="Q770" s="8"/>
      <c r="R770" s="8"/>
      <c r="S770" s="8"/>
      <c r="T770" s="8"/>
      <c r="U770" s="8"/>
      <c r="V770" s="8"/>
      <c r="W770" s="8"/>
      <c r="X770" s="8"/>
      <c r="Y770" s="8"/>
      <c r="Z770" s="8"/>
      <c r="AA770" s="8"/>
    </row>
    <row r="771" spans="1:27" ht="15">
      <c r="A771" s="15"/>
      <c r="B771" s="36"/>
      <c r="C771" s="15"/>
      <c r="D771" s="37"/>
      <c r="E771" s="15"/>
      <c r="F771" s="15"/>
      <c r="G771" s="15"/>
      <c r="H771" s="15"/>
      <c r="I771" s="15"/>
      <c r="J771" s="39"/>
      <c r="K771" s="40"/>
      <c r="L771" s="8"/>
      <c r="M771" s="8"/>
      <c r="N771" s="8"/>
      <c r="O771" s="8"/>
      <c r="P771" s="8"/>
      <c r="Q771" s="8"/>
      <c r="R771" s="8"/>
      <c r="S771" s="8"/>
      <c r="T771" s="8"/>
      <c r="U771" s="8"/>
      <c r="V771" s="8"/>
      <c r="W771" s="8"/>
      <c r="X771" s="8"/>
      <c r="Y771" s="8"/>
      <c r="Z771" s="8"/>
      <c r="AA771" s="8"/>
    </row>
    <row r="772" spans="1:27" ht="15">
      <c r="A772" s="15"/>
      <c r="B772" s="36"/>
      <c r="C772" s="15"/>
      <c r="D772" s="37"/>
      <c r="E772" s="15"/>
      <c r="F772" s="15"/>
      <c r="G772" s="15"/>
      <c r="H772" s="15"/>
      <c r="I772" s="15"/>
      <c r="J772" s="39"/>
      <c r="K772" s="40"/>
      <c r="L772" s="8"/>
      <c r="M772" s="8"/>
      <c r="N772" s="8"/>
      <c r="O772" s="8"/>
      <c r="P772" s="8"/>
      <c r="Q772" s="8"/>
      <c r="R772" s="8"/>
      <c r="S772" s="8"/>
      <c r="T772" s="8"/>
      <c r="U772" s="8"/>
      <c r="V772" s="8"/>
      <c r="W772" s="8"/>
      <c r="X772" s="8"/>
      <c r="Y772" s="8"/>
      <c r="Z772" s="8"/>
      <c r="AA772" s="8"/>
    </row>
    <row r="773" spans="1:27" ht="15">
      <c r="A773" s="15"/>
      <c r="B773" s="36"/>
      <c r="C773" s="15"/>
      <c r="D773" s="37"/>
      <c r="E773" s="15"/>
      <c r="F773" s="15"/>
      <c r="G773" s="15"/>
      <c r="H773" s="15"/>
      <c r="I773" s="15"/>
      <c r="J773" s="39"/>
      <c r="K773" s="40"/>
      <c r="L773" s="8"/>
      <c r="M773" s="8"/>
      <c r="N773" s="8"/>
      <c r="O773" s="8"/>
      <c r="P773" s="8"/>
      <c r="Q773" s="8"/>
      <c r="R773" s="8"/>
      <c r="S773" s="8"/>
      <c r="T773" s="8"/>
      <c r="U773" s="8"/>
      <c r="V773" s="8"/>
      <c r="W773" s="8"/>
      <c r="X773" s="8"/>
      <c r="Y773" s="8"/>
      <c r="Z773" s="8"/>
      <c r="AA773" s="8"/>
    </row>
    <row r="774" spans="1:27" ht="15">
      <c r="A774" s="15"/>
      <c r="B774" s="36"/>
      <c r="C774" s="15"/>
      <c r="D774" s="37"/>
      <c r="E774" s="15"/>
      <c r="F774" s="15"/>
      <c r="G774" s="15"/>
      <c r="H774" s="15"/>
      <c r="I774" s="15"/>
      <c r="J774" s="39"/>
      <c r="K774" s="40"/>
      <c r="L774" s="8"/>
      <c r="M774" s="8"/>
      <c r="N774" s="8"/>
      <c r="O774" s="8"/>
      <c r="P774" s="8"/>
      <c r="Q774" s="8"/>
      <c r="R774" s="8"/>
      <c r="S774" s="8"/>
      <c r="T774" s="8"/>
      <c r="U774" s="8"/>
      <c r="V774" s="8"/>
      <c r="W774" s="8"/>
      <c r="X774" s="8"/>
      <c r="Y774" s="8"/>
      <c r="Z774" s="8"/>
      <c r="AA774" s="8"/>
    </row>
    <row r="775" spans="1:27" ht="15">
      <c r="A775" s="15"/>
      <c r="B775" s="36"/>
      <c r="C775" s="15"/>
      <c r="D775" s="37"/>
      <c r="E775" s="15"/>
      <c r="F775" s="15"/>
      <c r="G775" s="15"/>
      <c r="H775" s="15"/>
      <c r="I775" s="15"/>
      <c r="J775" s="39"/>
      <c r="K775" s="40"/>
      <c r="L775" s="8"/>
      <c r="M775" s="8"/>
      <c r="N775" s="8"/>
      <c r="O775" s="8"/>
      <c r="P775" s="8"/>
      <c r="Q775" s="8"/>
      <c r="R775" s="8"/>
      <c r="S775" s="8"/>
      <c r="T775" s="8"/>
      <c r="U775" s="8"/>
      <c r="V775" s="8"/>
      <c r="W775" s="8"/>
      <c r="X775" s="8"/>
      <c r="Y775" s="8"/>
      <c r="Z775" s="8"/>
      <c r="AA775" s="8"/>
    </row>
    <row r="776" spans="1:27" ht="15">
      <c r="A776" s="15"/>
      <c r="B776" s="36"/>
      <c r="C776" s="15"/>
      <c r="D776" s="37"/>
      <c r="E776" s="15"/>
      <c r="F776" s="15"/>
      <c r="G776" s="15"/>
      <c r="H776" s="15"/>
      <c r="I776" s="15"/>
      <c r="J776" s="39"/>
      <c r="K776" s="40"/>
      <c r="L776" s="8"/>
      <c r="M776" s="8"/>
      <c r="N776" s="8"/>
      <c r="O776" s="8"/>
      <c r="P776" s="8"/>
      <c r="Q776" s="8"/>
      <c r="R776" s="8"/>
      <c r="S776" s="8"/>
      <c r="T776" s="8"/>
      <c r="U776" s="8"/>
      <c r="V776" s="8"/>
      <c r="W776" s="8"/>
      <c r="X776" s="8"/>
      <c r="Y776" s="8"/>
      <c r="Z776" s="8"/>
      <c r="AA776" s="8"/>
    </row>
    <row r="777" spans="1:27" ht="15">
      <c r="A777" s="15"/>
      <c r="B777" s="36"/>
      <c r="C777" s="15"/>
      <c r="D777" s="37"/>
      <c r="E777" s="15"/>
      <c r="F777" s="15"/>
      <c r="G777" s="15"/>
      <c r="H777" s="15"/>
      <c r="I777" s="15"/>
      <c r="J777" s="39"/>
      <c r="K777" s="40"/>
      <c r="L777" s="8"/>
      <c r="M777" s="8"/>
      <c r="N777" s="8"/>
      <c r="O777" s="8"/>
      <c r="P777" s="8"/>
      <c r="Q777" s="8"/>
      <c r="R777" s="8"/>
      <c r="S777" s="8"/>
      <c r="T777" s="8"/>
      <c r="U777" s="8"/>
      <c r="V777" s="8"/>
      <c r="W777" s="8"/>
      <c r="X777" s="8"/>
      <c r="Y777" s="8"/>
      <c r="Z777" s="8"/>
      <c r="AA777" s="8"/>
    </row>
    <row r="778" spans="1:27" ht="15">
      <c r="A778" s="15"/>
      <c r="B778" s="36"/>
      <c r="C778" s="15"/>
      <c r="D778" s="37"/>
      <c r="E778" s="15"/>
      <c r="F778" s="15"/>
      <c r="G778" s="15"/>
      <c r="H778" s="15"/>
      <c r="I778" s="15"/>
      <c r="J778" s="39"/>
      <c r="K778" s="40"/>
      <c r="L778" s="8"/>
      <c r="M778" s="8"/>
      <c r="N778" s="8"/>
      <c r="O778" s="8"/>
      <c r="P778" s="8"/>
      <c r="Q778" s="8"/>
      <c r="R778" s="8"/>
      <c r="S778" s="8"/>
      <c r="T778" s="8"/>
      <c r="U778" s="8"/>
      <c r="V778" s="8"/>
      <c r="W778" s="8"/>
      <c r="X778" s="8"/>
      <c r="Y778" s="8"/>
      <c r="Z778" s="8"/>
      <c r="AA778" s="8"/>
    </row>
    <row r="779" spans="1:27" ht="15">
      <c r="A779" s="15"/>
      <c r="B779" s="36"/>
      <c r="C779" s="15"/>
      <c r="D779" s="37"/>
      <c r="E779" s="15"/>
      <c r="F779" s="15"/>
      <c r="G779" s="15"/>
      <c r="H779" s="15"/>
      <c r="I779" s="15"/>
      <c r="J779" s="39"/>
      <c r="K779" s="40"/>
      <c r="L779" s="8"/>
      <c r="M779" s="8"/>
      <c r="N779" s="8"/>
      <c r="O779" s="8"/>
      <c r="P779" s="8"/>
      <c r="Q779" s="8"/>
      <c r="R779" s="8"/>
      <c r="S779" s="8"/>
      <c r="T779" s="8"/>
      <c r="U779" s="8"/>
      <c r="V779" s="8"/>
      <c r="W779" s="8"/>
      <c r="X779" s="8"/>
      <c r="Y779" s="8"/>
      <c r="Z779" s="8"/>
      <c r="AA779" s="8"/>
    </row>
    <row r="780" spans="1:27" ht="15">
      <c r="A780" s="15"/>
      <c r="B780" s="36"/>
      <c r="C780" s="15"/>
      <c r="D780" s="37"/>
      <c r="E780" s="15"/>
      <c r="F780" s="15"/>
      <c r="G780" s="15"/>
      <c r="H780" s="15"/>
      <c r="I780" s="15"/>
      <c r="J780" s="39"/>
      <c r="K780" s="40"/>
      <c r="L780" s="8"/>
      <c r="M780" s="8"/>
      <c r="N780" s="8"/>
      <c r="O780" s="8"/>
      <c r="P780" s="8"/>
      <c r="Q780" s="8"/>
      <c r="R780" s="8"/>
      <c r="S780" s="8"/>
      <c r="T780" s="8"/>
      <c r="U780" s="8"/>
      <c r="V780" s="8"/>
      <c r="W780" s="8"/>
      <c r="X780" s="8"/>
      <c r="Y780" s="8"/>
      <c r="Z780" s="8"/>
      <c r="AA780" s="8"/>
    </row>
    <row r="781" spans="1:27" ht="15">
      <c r="A781" s="15"/>
      <c r="B781" s="36"/>
      <c r="C781" s="15"/>
      <c r="D781" s="37"/>
      <c r="E781" s="15"/>
      <c r="F781" s="15"/>
      <c r="G781" s="15"/>
      <c r="H781" s="15"/>
      <c r="I781" s="15"/>
      <c r="J781" s="39"/>
      <c r="K781" s="40"/>
      <c r="L781" s="8"/>
      <c r="M781" s="8"/>
      <c r="N781" s="8"/>
      <c r="O781" s="8"/>
      <c r="P781" s="8"/>
      <c r="Q781" s="8"/>
      <c r="R781" s="8"/>
      <c r="S781" s="8"/>
      <c r="T781" s="8"/>
      <c r="U781" s="8"/>
      <c r="V781" s="8"/>
      <c r="W781" s="8"/>
      <c r="X781" s="8"/>
      <c r="Y781" s="8"/>
      <c r="Z781" s="8"/>
      <c r="AA781" s="8"/>
    </row>
    <row r="782" spans="1:27" ht="15">
      <c r="A782" s="15"/>
      <c r="B782" s="36"/>
      <c r="C782" s="15"/>
      <c r="D782" s="37"/>
      <c r="E782" s="15"/>
      <c r="F782" s="15"/>
      <c r="G782" s="15"/>
      <c r="H782" s="15"/>
      <c r="I782" s="15"/>
      <c r="J782" s="39"/>
      <c r="K782" s="40"/>
      <c r="L782" s="8"/>
      <c r="M782" s="8"/>
      <c r="N782" s="8"/>
      <c r="O782" s="8"/>
      <c r="P782" s="8"/>
      <c r="Q782" s="8"/>
      <c r="R782" s="8"/>
      <c r="S782" s="8"/>
      <c r="T782" s="8"/>
      <c r="U782" s="8"/>
      <c r="V782" s="8"/>
      <c r="W782" s="8"/>
      <c r="X782" s="8"/>
      <c r="Y782" s="8"/>
      <c r="Z782" s="8"/>
      <c r="AA782" s="8"/>
    </row>
    <row r="783" spans="1:27" ht="15">
      <c r="A783" s="15"/>
      <c r="B783" s="36"/>
      <c r="C783" s="15"/>
      <c r="D783" s="37"/>
      <c r="E783" s="15"/>
      <c r="F783" s="15"/>
      <c r="G783" s="15"/>
      <c r="H783" s="15"/>
      <c r="I783" s="15"/>
      <c r="J783" s="39"/>
      <c r="K783" s="40"/>
      <c r="L783" s="8"/>
      <c r="M783" s="8"/>
      <c r="N783" s="8"/>
      <c r="O783" s="8"/>
      <c r="P783" s="8"/>
      <c r="Q783" s="8"/>
      <c r="R783" s="8"/>
      <c r="S783" s="8"/>
      <c r="T783" s="8"/>
      <c r="U783" s="8"/>
      <c r="V783" s="8"/>
      <c r="W783" s="8"/>
      <c r="X783" s="8"/>
      <c r="Y783" s="8"/>
      <c r="Z783" s="8"/>
      <c r="AA783" s="8"/>
    </row>
    <row r="784" spans="1:27" ht="15">
      <c r="A784" s="15"/>
      <c r="B784" s="36"/>
      <c r="C784" s="15"/>
      <c r="D784" s="37"/>
      <c r="E784" s="15"/>
      <c r="F784" s="15"/>
      <c r="G784" s="15"/>
      <c r="H784" s="15"/>
      <c r="I784" s="15"/>
      <c r="J784" s="39"/>
      <c r="K784" s="40"/>
      <c r="L784" s="8"/>
      <c r="M784" s="8"/>
      <c r="N784" s="8"/>
      <c r="O784" s="8"/>
      <c r="P784" s="8"/>
      <c r="Q784" s="8"/>
      <c r="R784" s="8"/>
      <c r="S784" s="8"/>
      <c r="T784" s="8"/>
      <c r="U784" s="8"/>
      <c r="V784" s="8"/>
      <c r="W784" s="8"/>
      <c r="X784" s="8"/>
      <c r="Y784" s="8"/>
      <c r="Z784" s="8"/>
      <c r="AA784" s="8"/>
    </row>
    <row r="785" spans="1:27" ht="15">
      <c r="A785" s="15"/>
      <c r="B785" s="36"/>
      <c r="C785" s="15"/>
      <c r="D785" s="37"/>
      <c r="E785" s="15"/>
      <c r="F785" s="15"/>
      <c r="G785" s="15"/>
      <c r="H785" s="15"/>
      <c r="I785" s="15"/>
      <c r="J785" s="39"/>
      <c r="K785" s="40"/>
      <c r="L785" s="8"/>
      <c r="M785" s="8"/>
      <c r="N785" s="8"/>
      <c r="O785" s="8"/>
      <c r="P785" s="8"/>
      <c r="Q785" s="8"/>
      <c r="R785" s="8"/>
      <c r="S785" s="8"/>
      <c r="T785" s="8"/>
      <c r="U785" s="8"/>
      <c r="V785" s="8"/>
      <c r="W785" s="8"/>
      <c r="X785" s="8"/>
      <c r="Y785" s="8"/>
      <c r="Z785" s="8"/>
      <c r="AA785" s="8"/>
    </row>
    <row r="786" spans="1:27" ht="15">
      <c r="A786" s="15"/>
      <c r="B786" s="36"/>
      <c r="C786" s="15"/>
      <c r="D786" s="37"/>
      <c r="E786" s="15"/>
      <c r="F786" s="15"/>
      <c r="G786" s="15"/>
      <c r="H786" s="15"/>
      <c r="I786" s="15"/>
      <c r="J786" s="39"/>
      <c r="K786" s="40"/>
      <c r="L786" s="8"/>
      <c r="M786" s="8"/>
      <c r="N786" s="8"/>
      <c r="O786" s="8"/>
      <c r="P786" s="8"/>
      <c r="Q786" s="8"/>
      <c r="R786" s="8"/>
      <c r="S786" s="8"/>
      <c r="T786" s="8"/>
      <c r="U786" s="8"/>
      <c r="V786" s="8"/>
      <c r="W786" s="8"/>
      <c r="X786" s="8"/>
      <c r="Y786" s="8"/>
      <c r="Z786" s="8"/>
      <c r="AA786" s="8"/>
    </row>
    <row r="787" spans="1:27" ht="15">
      <c r="A787" s="15"/>
      <c r="B787" s="36"/>
      <c r="C787" s="15"/>
      <c r="D787" s="37"/>
      <c r="E787" s="15"/>
      <c r="F787" s="15"/>
      <c r="G787" s="15"/>
      <c r="H787" s="15"/>
      <c r="I787" s="15"/>
      <c r="J787" s="39"/>
      <c r="K787" s="40"/>
      <c r="L787" s="8"/>
      <c r="M787" s="8"/>
      <c r="N787" s="8"/>
      <c r="O787" s="8"/>
      <c r="P787" s="8"/>
      <c r="Q787" s="8"/>
      <c r="R787" s="8"/>
      <c r="S787" s="8"/>
      <c r="T787" s="8"/>
      <c r="U787" s="8"/>
      <c r="V787" s="8"/>
      <c r="W787" s="8"/>
      <c r="X787" s="8"/>
      <c r="Y787" s="8"/>
      <c r="Z787" s="8"/>
      <c r="AA787" s="8"/>
    </row>
    <row r="788" spans="1:27" ht="15">
      <c r="A788" s="15"/>
      <c r="B788" s="36"/>
      <c r="C788" s="15"/>
      <c r="D788" s="37"/>
      <c r="E788" s="15"/>
      <c r="F788" s="15"/>
      <c r="G788" s="15"/>
      <c r="H788" s="15"/>
      <c r="I788" s="15"/>
      <c r="J788" s="39"/>
      <c r="K788" s="40"/>
      <c r="L788" s="8"/>
      <c r="M788" s="8"/>
      <c r="N788" s="8"/>
      <c r="O788" s="8"/>
      <c r="P788" s="8"/>
      <c r="Q788" s="8"/>
      <c r="R788" s="8"/>
      <c r="S788" s="8"/>
      <c r="T788" s="8"/>
      <c r="U788" s="8"/>
      <c r="V788" s="8"/>
      <c r="W788" s="8"/>
      <c r="X788" s="8"/>
      <c r="Y788" s="8"/>
      <c r="Z788" s="8"/>
      <c r="AA788" s="8"/>
    </row>
    <row r="789" spans="1:27" ht="15">
      <c r="A789" s="15"/>
      <c r="B789" s="36"/>
      <c r="C789" s="15"/>
      <c r="D789" s="37"/>
      <c r="E789" s="15"/>
      <c r="F789" s="15"/>
      <c r="G789" s="15"/>
      <c r="H789" s="15"/>
      <c r="I789" s="15"/>
      <c r="J789" s="39"/>
      <c r="K789" s="40"/>
      <c r="L789" s="8"/>
      <c r="M789" s="8"/>
      <c r="N789" s="8"/>
      <c r="O789" s="8"/>
      <c r="P789" s="8"/>
      <c r="Q789" s="8"/>
      <c r="R789" s="8"/>
      <c r="S789" s="8"/>
      <c r="T789" s="8"/>
      <c r="U789" s="8"/>
      <c r="V789" s="8"/>
      <c r="W789" s="8"/>
      <c r="X789" s="8"/>
      <c r="Y789" s="8"/>
      <c r="Z789" s="8"/>
      <c r="AA789" s="8"/>
    </row>
    <row r="790" spans="1:27" ht="15">
      <c r="A790" s="15"/>
      <c r="B790" s="36"/>
      <c r="C790" s="15"/>
      <c r="D790" s="37"/>
      <c r="E790" s="15"/>
      <c r="F790" s="15"/>
      <c r="G790" s="15"/>
      <c r="H790" s="15"/>
      <c r="I790" s="15"/>
      <c r="J790" s="39"/>
      <c r="K790" s="40"/>
      <c r="L790" s="8"/>
      <c r="M790" s="8"/>
      <c r="N790" s="8"/>
      <c r="O790" s="8"/>
      <c r="P790" s="8"/>
      <c r="Q790" s="8"/>
      <c r="R790" s="8"/>
      <c r="S790" s="8"/>
      <c r="T790" s="8"/>
      <c r="U790" s="8"/>
      <c r="V790" s="8"/>
      <c r="W790" s="8"/>
      <c r="X790" s="8"/>
      <c r="Y790" s="8"/>
      <c r="Z790" s="8"/>
      <c r="AA790" s="8"/>
    </row>
    <row r="791" spans="1:27" ht="15">
      <c r="A791" s="15"/>
      <c r="B791" s="36"/>
      <c r="C791" s="15"/>
      <c r="D791" s="37"/>
      <c r="E791" s="15"/>
      <c r="F791" s="15"/>
      <c r="G791" s="15"/>
      <c r="H791" s="15"/>
      <c r="I791" s="15"/>
      <c r="J791" s="39"/>
      <c r="K791" s="40"/>
      <c r="L791" s="8"/>
      <c r="M791" s="8"/>
      <c r="N791" s="8"/>
      <c r="O791" s="8"/>
      <c r="P791" s="8"/>
      <c r="Q791" s="8"/>
      <c r="R791" s="8"/>
      <c r="S791" s="8"/>
      <c r="T791" s="8"/>
      <c r="U791" s="8"/>
      <c r="V791" s="8"/>
      <c r="W791" s="8"/>
      <c r="X791" s="8"/>
      <c r="Y791" s="8"/>
      <c r="Z791" s="8"/>
      <c r="AA791" s="8"/>
    </row>
    <row r="792" spans="1:27" ht="15">
      <c r="A792" s="15"/>
      <c r="B792" s="36"/>
      <c r="C792" s="15"/>
      <c r="D792" s="37"/>
      <c r="E792" s="15"/>
      <c r="F792" s="15"/>
      <c r="G792" s="15"/>
      <c r="H792" s="15"/>
      <c r="I792" s="15"/>
      <c r="J792" s="39"/>
      <c r="K792" s="40"/>
      <c r="L792" s="8"/>
      <c r="M792" s="8"/>
      <c r="N792" s="8"/>
      <c r="O792" s="8"/>
      <c r="P792" s="8"/>
      <c r="Q792" s="8"/>
      <c r="R792" s="8"/>
      <c r="S792" s="8"/>
      <c r="T792" s="8"/>
      <c r="U792" s="8"/>
      <c r="V792" s="8"/>
      <c r="W792" s="8"/>
      <c r="X792" s="8"/>
      <c r="Y792" s="8"/>
      <c r="Z792" s="8"/>
      <c r="AA792" s="8"/>
    </row>
    <row r="793" spans="1:27" ht="15">
      <c r="A793" s="15"/>
      <c r="B793" s="36"/>
      <c r="C793" s="15"/>
      <c r="D793" s="37"/>
      <c r="E793" s="15"/>
      <c r="F793" s="15"/>
      <c r="G793" s="15"/>
      <c r="H793" s="15"/>
      <c r="I793" s="15"/>
      <c r="J793" s="39"/>
      <c r="K793" s="40"/>
      <c r="L793" s="8"/>
      <c r="M793" s="8"/>
      <c r="N793" s="8"/>
      <c r="O793" s="8"/>
      <c r="P793" s="8"/>
      <c r="Q793" s="8"/>
      <c r="R793" s="8"/>
      <c r="S793" s="8"/>
      <c r="T793" s="8"/>
      <c r="U793" s="8"/>
      <c r="V793" s="8"/>
      <c r="W793" s="8"/>
      <c r="X793" s="8"/>
      <c r="Y793" s="8"/>
      <c r="Z793" s="8"/>
      <c r="AA793" s="8"/>
    </row>
    <row r="794" spans="1:27" ht="15">
      <c r="A794" s="15"/>
      <c r="B794" s="36"/>
      <c r="C794" s="15"/>
      <c r="D794" s="37"/>
      <c r="E794" s="15"/>
      <c r="F794" s="15"/>
      <c r="G794" s="15"/>
      <c r="H794" s="15"/>
      <c r="I794" s="15"/>
      <c r="J794" s="39"/>
      <c r="K794" s="40"/>
      <c r="L794" s="8"/>
      <c r="M794" s="8"/>
      <c r="N794" s="8"/>
      <c r="O794" s="8"/>
      <c r="P794" s="8"/>
      <c r="Q794" s="8"/>
      <c r="R794" s="8"/>
      <c r="S794" s="8"/>
      <c r="T794" s="8"/>
      <c r="U794" s="8"/>
      <c r="V794" s="8"/>
      <c r="W794" s="8"/>
      <c r="X794" s="8"/>
      <c r="Y794" s="8"/>
      <c r="Z794" s="8"/>
      <c r="AA794" s="8"/>
    </row>
    <row r="795" spans="1:27" ht="15">
      <c r="A795" s="15"/>
      <c r="B795" s="36"/>
      <c r="C795" s="15"/>
      <c r="D795" s="37"/>
      <c r="E795" s="15"/>
      <c r="F795" s="15"/>
      <c r="G795" s="15"/>
      <c r="H795" s="15"/>
      <c r="I795" s="15"/>
      <c r="J795" s="39"/>
      <c r="K795" s="40"/>
      <c r="L795" s="8"/>
      <c r="M795" s="8"/>
      <c r="N795" s="8"/>
      <c r="O795" s="8"/>
      <c r="P795" s="8"/>
      <c r="Q795" s="8"/>
      <c r="R795" s="8"/>
      <c r="S795" s="8"/>
      <c r="T795" s="8"/>
      <c r="U795" s="8"/>
      <c r="V795" s="8"/>
      <c r="W795" s="8"/>
      <c r="X795" s="8"/>
      <c r="Y795" s="8"/>
      <c r="Z795" s="8"/>
      <c r="AA795" s="8"/>
    </row>
    <row r="796" spans="1:27" ht="15">
      <c r="A796" s="15"/>
      <c r="B796" s="36"/>
      <c r="C796" s="15"/>
      <c r="D796" s="37"/>
      <c r="E796" s="15"/>
      <c r="F796" s="15"/>
      <c r="G796" s="15"/>
      <c r="H796" s="15"/>
      <c r="I796" s="15"/>
      <c r="J796" s="39"/>
      <c r="K796" s="40"/>
      <c r="L796" s="8"/>
      <c r="M796" s="8"/>
      <c r="N796" s="8"/>
      <c r="O796" s="8"/>
      <c r="P796" s="8"/>
      <c r="Q796" s="8"/>
      <c r="R796" s="8"/>
      <c r="S796" s="8"/>
      <c r="T796" s="8"/>
      <c r="U796" s="8"/>
      <c r="V796" s="8"/>
      <c r="W796" s="8"/>
      <c r="X796" s="8"/>
      <c r="Y796" s="8"/>
      <c r="Z796" s="8"/>
      <c r="AA796" s="8"/>
    </row>
    <row r="797" spans="1:27" ht="15">
      <c r="A797" s="15"/>
      <c r="B797" s="36"/>
      <c r="C797" s="15"/>
      <c r="D797" s="37"/>
      <c r="E797" s="15"/>
      <c r="F797" s="15"/>
      <c r="G797" s="15"/>
      <c r="H797" s="15"/>
      <c r="I797" s="15"/>
      <c r="J797" s="39"/>
      <c r="K797" s="40"/>
      <c r="L797" s="8"/>
      <c r="M797" s="8"/>
      <c r="N797" s="8"/>
      <c r="O797" s="8"/>
      <c r="P797" s="8"/>
      <c r="Q797" s="8"/>
      <c r="R797" s="8"/>
      <c r="S797" s="8"/>
      <c r="T797" s="8"/>
      <c r="U797" s="8"/>
      <c r="V797" s="8"/>
      <c r="W797" s="8"/>
      <c r="X797" s="8"/>
      <c r="Y797" s="8"/>
      <c r="Z797" s="8"/>
      <c r="AA797" s="8"/>
    </row>
    <row r="798" spans="1:27" ht="15">
      <c r="A798" s="15"/>
      <c r="B798" s="36"/>
      <c r="C798" s="15"/>
      <c r="D798" s="37"/>
      <c r="E798" s="15"/>
      <c r="F798" s="15"/>
      <c r="G798" s="15"/>
      <c r="H798" s="15"/>
      <c r="I798" s="15"/>
      <c r="J798" s="39"/>
      <c r="K798" s="40"/>
      <c r="L798" s="8"/>
      <c r="M798" s="8"/>
      <c r="N798" s="8"/>
      <c r="O798" s="8"/>
      <c r="P798" s="8"/>
      <c r="Q798" s="8"/>
      <c r="R798" s="8"/>
      <c r="S798" s="8"/>
      <c r="T798" s="8"/>
      <c r="U798" s="8"/>
      <c r="V798" s="8"/>
      <c r="W798" s="8"/>
      <c r="X798" s="8"/>
      <c r="Y798" s="8"/>
      <c r="Z798" s="8"/>
      <c r="AA798" s="8"/>
    </row>
    <row r="799" spans="1:27" ht="15">
      <c r="A799" s="15"/>
      <c r="B799" s="36"/>
      <c r="C799" s="15"/>
      <c r="D799" s="37"/>
      <c r="E799" s="15"/>
      <c r="F799" s="15"/>
      <c r="G799" s="15"/>
      <c r="H799" s="15"/>
      <c r="I799" s="15"/>
      <c r="J799" s="39"/>
      <c r="K799" s="40"/>
      <c r="L799" s="8"/>
      <c r="M799" s="8"/>
      <c r="N799" s="8"/>
      <c r="O799" s="8"/>
      <c r="P799" s="8"/>
      <c r="Q799" s="8"/>
      <c r="R799" s="8"/>
      <c r="S799" s="8"/>
      <c r="T799" s="8"/>
      <c r="U799" s="8"/>
      <c r="V799" s="8"/>
      <c r="W799" s="8"/>
      <c r="X799" s="8"/>
      <c r="Y799" s="8"/>
      <c r="Z799" s="8"/>
      <c r="AA799" s="8"/>
    </row>
    <row r="800" spans="1:27" ht="15">
      <c r="A800" s="15"/>
      <c r="B800" s="36"/>
      <c r="C800" s="15"/>
      <c r="D800" s="37"/>
      <c r="E800" s="15"/>
      <c r="F800" s="15"/>
      <c r="G800" s="15"/>
      <c r="H800" s="15"/>
      <c r="I800" s="15"/>
      <c r="J800" s="39"/>
      <c r="K800" s="40"/>
      <c r="L800" s="8"/>
      <c r="M800" s="8"/>
      <c r="N800" s="8"/>
      <c r="O800" s="8"/>
      <c r="P800" s="8"/>
      <c r="Q800" s="8"/>
      <c r="R800" s="8"/>
      <c r="S800" s="8"/>
      <c r="T800" s="8"/>
      <c r="U800" s="8"/>
      <c r="V800" s="8"/>
      <c r="W800" s="8"/>
      <c r="X800" s="8"/>
      <c r="Y800" s="8"/>
      <c r="Z800" s="8"/>
      <c r="AA800" s="8"/>
    </row>
    <row r="801" spans="1:27" ht="15">
      <c r="A801" s="15"/>
      <c r="B801" s="36"/>
      <c r="C801" s="15"/>
      <c r="D801" s="37"/>
      <c r="E801" s="15"/>
      <c r="F801" s="15"/>
      <c r="G801" s="15"/>
      <c r="H801" s="15"/>
      <c r="I801" s="15"/>
      <c r="J801" s="39"/>
      <c r="K801" s="40"/>
      <c r="L801" s="8"/>
      <c r="M801" s="8"/>
      <c r="N801" s="8"/>
      <c r="O801" s="8"/>
      <c r="P801" s="8"/>
      <c r="Q801" s="8"/>
      <c r="R801" s="8"/>
      <c r="S801" s="8"/>
      <c r="T801" s="8"/>
      <c r="U801" s="8"/>
      <c r="V801" s="8"/>
      <c r="W801" s="8"/>
      <c r="X801" s="8"/>
      <c r="Y801" s="8"/>
      <c r="Z801" s="8"/>
      <c r="AA801" s="8"/>
    </row>
    <row r="802" spans="1:27" ht="15">
      <c r="A802" s="15"/>
      <c r="B802" s="36"/>
      <c r="C802" s="15"/>
      <c r="D802" s="37"/>
      <c r="E802" s="15"/>
      <c r="F802" s="15"/>
      <c r="G802" s="15"/>
      <c r="H802" s="15"/>
      <c r="I802" s="15"/>
      <c r="J802" s="39"/>
      <c r="K802" s="40"/>
      <c r="L802" s="8"/>
      <c r="M802" s="8"/>
      <c r="N802" s="8"/>
      <c r="O802" s="8"/>
      <c r="P802" s="8"/>
      <c r="Q802" s="8"/>
      <c r="R802" s="8"/>
      <c r="S802" s="8"/>
      <c r="T802" s="8"/>
      <c r="U802" s="8"/>
      <c r="V802" s="8"/>
      <c r="W802" s="8"/>
      <c r="X802" s="8"/>
      <c r="Y802" s="8"/>
      <c r="Z802" s="8"/>
      <c r="AA802" s="8"/>
    </row>
    <row r="803" spans="1:27" ht="15">
      <c r="A803" s="15"/>
      <c r="B803" s="36"/>
      <c r="C803" s="15"/>
      <c r="D803" s="37"/>
      <c r="E803" s="15"/>
      <c r="F803" s="15"/>
      <c r="G803" s="15"/>
      <c r="H803" s="15"/>
      <c r="I803" s="15"/>
      <c r="J803" s="39"/>
      <c r="K803" s="40"/>
      <c r="L803" s="8"/>
      <c r="M803" s="8"/>
      <c r="N803" s="8"/>
      <c r="O803" s="8"/>
      <c r="P803" s="8"/>
      <c r="Q803" s="8"/>
      <c r="R803" s="8"/>
      <c r="S803" s="8"/>
      <c r="T803" s="8"/>
      <c r="U803" s="8"/>
      <c r="V803" s="8"/>
      <c r="W803" s="8"/>
      <c r="X803" s="8"/>
      <c r="Y803" s="8"/>
      <c r="Z803" s="8"/>
      <c r="AA803" s="8"/>
    </row>
    <row r="804" spans="1:27" ht="15">
      <c r="A804" s="15"/>
      <c r="B804" s="36"/>
      <c r="C804" s="15"/>
      <c r="D804" s="37"/>
      <c r="E804" s="15"/>
      <c r="F804" s="15"/>
      <c r="G804" s="15"/>
      <c r="H804" s="15"/>
      <c r="I804" s="15"/>
      <c r="J804" s="39"/>
      <c r="K804" s="40"/>
      <c r="L804" s="8"/>
      <c r="M804" s="8"/>
      <c r="N804" s="8"/>
      <c r="O804" s="8"/>
      <c r="P804" s="8"/>
      <c r="Q804" s="8"/>
      <c r="R804" s="8"/>
      <c r="S804" s="8"/>
      <c r="T804" s="8"/>
      <c r="U804" s="8"/>
      <c r="V804" s="8"/>
      <c r="W804" s="8"/>
      <c r="X804" s="8"/>
      <c r="Y804" s="8"/>
      <c r="Z804" s="8"/>
      <c r="AA804" s="8"/>
    </row>
    <row r="805" spans="1:27" ht="15">
      <c r="A805" s="15"/>
      <c r="B805" s="36"/>
      <c r="C805" s="15"/>
      <c r="D805" s="37"/>
      <c r="E805" s="15"/>
      <c r="F805" s="15"/>
      <c r="G805" s="15"/>
      <c r="H805" s="15"/>
      <c r="I805" s="15"/>
      <c r="J805" s="39"/>
      <c r="K805" s="40"/>
      <c r="L805" s="8"/>
      <c r="M805" s="8"/>
      <c r="N805" s="8"/>
      <c r="O805" s="8"/>
      <c r="P805" s="8"/>
      <c r="Q805" s="8"/>
      <c r="R805" s="8"/>
      <c r="S805" s="8"/>
      <c r="T805" s="8"/>
      <c r="U805" s="8"/>
      <c r="V805" s="8"/>
      <c r="W805" s="8"/>
      <c r="X805" s="8"/>
      <c r="Y805" s="8"/>
      <c r="Z805" s="8"/>
      <c r="AA805" s="8"/>
    </row>
    <row r="806" spans="1:27" ht="15">
      <c r="A806" s="15"/>
      <c r="B806" s="36"/>
      <c r="C806" s="15"/>
      <c r="D806" s="37"/>
      <c r="E806" s="15"/>
      <c r="F806" s="15"/>
      <c r="G806" s="15"/>
      <c r="H806" s="15"/>
      <c r="I806" s="15"/>
      <c r="J806" s="39"/>
      <c r="K806" s="40"/>
      <c r="L806" s="8"/>
      <c r="M806" s="8"/>
      <c r="N806" s="8"/>
      <c r="O806" s="8"/>
      <c r="P806" s="8"/>
      <c r="Q806" s="8"/>
      <c r="R806" s="8"/>
      <c r="S806" s="8"/>
      <c r="T806" s="8"/>
      <c r="U806" s="8"/>
      <c r="V806" s="8"/>
      <c r="W806" s="8"/>
      <c r="X806" s="8"/>
      <c r="Y806" s="8"/>
      <c r="Z806" s="8"/>
      <c r="AA806" s="8"/>
    </row>
    <row r="807" spans="1:27" ht="15">
      <c r="A807" s="15"/>
      <c r="B807" s="36"/>
      <c r="C807" s="15"/>
      <c r="D807" s="37"/>
      <c r="E807" s="15"/>
      <c r="F807" s="15"/>
      <c r="G807" s="15"/>
      <c r="H807" s="15"/>
      <c r="I807" s="15"/>
      <c r="J807" s="39"/>
      <c r="K807" s="40"/>
      <c r="L807" s="8"/>
      <c r="M807" s="8"/>
      <c r="N807" s="8"/>
      <c r="O807" s="8"/>
      <c r="P807" s="8"/>
      <c r="Q807" s="8"/>
      <c r="R807" s="8"/>
      <c r="S807" s="8"/>
      <c r="T807" s="8"/>
      <c r="U807" s="8"/>
      <c r="V807" s="8"/>
      <c r="W807" s="8"/>
      <c r="X807" s="8"/>
      <c r="Y807" s="8"/>
      <c r="Z807" s="8"/>
      <c r="AA807" s="8"/>
    </row>
    <row r="808" spans="1:27" ht="15">
      <c r="A808" s="15"/>
      <c r="B808" s="36"/>
      <c r="C808" s="15"/>
      <c r="D808" s="37"/>
      <c r="E808" s="15"/>
      <c r="F808" s="15"/>
      <c r="G808" s="15"/>
      <c r="H808" s="15"/>
      <c r="I808" s="15"/>
      <c r="J808" s="39"/>
      <c r="K808" s="40"/>
      <c r="L808" s="8"/>
      <c r="M808" s="8"/>
      <c r="N808" s="8"/>
      <c r="O808" s="8"/>
      <c r="P808" s="8"/>
      <c r="Q808" s="8"/>
      <c r="R808" s="8"/>
      <c r="S808" s="8"/>
      <c r="T808" s="8"/>
      <c r="U808" s="8"/>
      <c r="V808" s="8"/>
      <c r="W808" s="8"/>
      <c r="X808" s="8"/>
      <c r="Y808" s="8"/>
      <c r="Z808" s="8"/>
      <c r="AA808" s="8"/>
    </row>
    <row r="809" spans="1:27" ht="15">
      <c r="A809" s="15"/>
      <c r="B809" s="36"/>
      <c r="C809" s="15"/>
      <c r="D809" s="37"/>
      <c r="E809" s="15"/>
      <c r="F809" s="15"/>
      <c r="G809" s="15"/>
      <c r="H809" s="15"/>
      <c r="I809" s="15"/>
      <c r="J809" s="39"/>
      <c r="K809" s="40"/>
      <c r="L809" s="8"/>
      <c r="M809" s="8"/>
      <c r="N809" s="8"/>
      <c r="O809" s="8"/>
      <c r="P809" s="8"/>
      <c r="Q809" s="8"/>
      <c r="R809" s="8"/>
      <c r="S809" s="8"/>
      <c r="T809" s="8"/>
      <c r="U809" s="8"/>
      <c r="V809" s="8"/>
      <c r="W809" s="8"/>
      <c r="X809" s="8"/>
      <c r="Y809" s="8"/>
      <c r="Z809" s="8"/>
      <c r="AA809" s="8"/>
    </row>
    <row r="810" spans="1:27" ht="15">
      <c r="A810" s="15"/>
      <c r="B810" s="36"/>
      <c r="C810" s="15"/>
      <c r="D810" s="37"/>
      <c r="E810" s="15"/>
      <c r="F810" s="15"/>
      <c r="G810" s="15"/>
      <c r="H810" s="15"/>
      <c r="I810" s="15"/>
      <c r="J810" s="39"/>
      <c r="K810" s="40"/>
      <c r="L810" s="8"/>
      <c r="M810" s="8"/>
      <c r="N810" s="8"/>
      <c r="O810" s="8"/>
      <c r="P810" s="8"/>
      <c r="Q810" s="8"/>
      <c r="R810" s="8"/>
      <c r="S810" s="8"/>
      <c r="T810" s="8"/>
      <c r="U810" s="8"/>
      <c r="V810" s="8"/>
      <c r="W810" s="8"/>
      <c r="X810" s="8"/>
      <c r="Y810" s="8"/>
      <c r="Z810" s="8"/>
      <c r="AA810" s="8"/>
    </row>
    <row r="811" spans="1:27" ht="15">
      <c r="A811" s="15"/>
      <c r="B811" s="36"/>
      <c r="C811" s="15"/>
      <c r="D811" s="37"/>
      <c r="E811" s="15"/>
      <c r="F811" s="15"/>
      <c r="G811" s="15"/>
      <c r="H811" s="15"/>
      <c r="I811" s="15"/>
      <c r="J811" s="39"/>
      <c r="K811" s="40"/>
      <c r="L811" s="8"/>
      <c r="M811" s="8"/>
      <c r="N811" s="8"/>
      <c r="O811" s="8"/>
      <c r="P811" s="8"/>
      <c r="Q811" s="8"/>
      <c r="R811" s="8"/>
      <c r="S811" s="8"/>
      <c r="T811" s="8"/>
      <c r="U811" s="8"/>
      <c r="V811" s="8"/>
      <c r="W811" s="8"/>
      <c r="X811" s="8"/>
      <c r="Y811" s="8"/>
      <c r="Z811" s="8"/>
      <c r="AA811" s="8"/>
    </row>
    <row r="812" spans="1:27" ht="15">
      <c r="A812" s="15"/>
      <c r="B812" s="36"/>
      <c r="C812" s="15"/>
      <c r="D812" s="37"/>
      <c r="E812" s="15"/>
      <c r="F812" s="15"/>
      <c r="G812" s="15"/>
      <c r="H812" s="15"/>
      <c r="I812" s="15"/>
      <c r="J812" s="39"/>
      <c r="K812" s="40"/>
      <c r="L812" s="8"/>
      <c r="M812" s="8"/>
      <c r="N812" s="8"/>
      <c r="O812" s="8"/>
      <c r="P812" s="8"/>
      <c r="Q812" s="8"/>
      <c r="R812" s="8"/>
      <c r="S812" s="8"/>
      <c r="T812" s="8"/>
      <c r="U812" s="8"/>
      <c r="V812" s="8"/>
      <c r="W812" s="8"/>
      <c r="X812" s="8"/>
      <c r="Y812" s="8"/>
      <c r="Z812" s="8"/>
      <c r="AA812" s="8"/>
    </row>
    <row r="813" spans="1:27" ht="15">
      <c r="A813" s="15"/>
      <c r="B813" s="36"/>
      <c r="C813" s="15"/>
      <c r="D813" s="37"/>
      <c r="E813" s="15"/>
      <c r="F813" s="15"/>
      <c r="G813" s="15"/>
      <c r="H813" s="15"/>
      <c r="I813" s="15"/>
      <c r="J813" s="39"/>
      <c r="K813" s="40"/>
      <c r="L813" s="8"/>
      <c r="M813" s="8"/>
      <c r="N813" s="8"/>
      <c r="O813" s="8"/>
      <c r="P813" s="8"/>
      <c r="Q813" s="8"/>
      <c r="R813" s="8"/>
      <c r="S813" s="8"/>
      <c r="T813" s="8"/>
      <c r="U813" s="8"/>
      <c r="V813" s="8"/>
      <c r="W813" s="8"/>
      <c r="X813" s="8"/>
      <c r="Y813" s="8"/>
      <c r="Z813" s="8"/>
      <c r="AA813" s="8"/>
    </row>
    <row r="814" spans="1:27" ht="15">
      <c r="A814" s="15"/>
      <c r="B814" s="36"/>
      <c r="C814" s="15"/>
      <c r="D814" s="37"/>
      <c r="E814" s="15"/>
      <c r="F814" s="15"/>
      <c r="G814" s="15"/>
      <c r="H814" s="15"/>
      <c r="I814" s="15"/>
      <c r="J814" s="39"/>
      <c r="K814" s="40"/>
      <c r="L814" s="8"/>
      <c r="M814" s="8"/>
      <c r="N814" s="8"/>
      <c r="O814" s="8"/>
      <c r="P814" s="8"/>
      <c r="Q814" s="8"/>
      <c r="R814" s="8"/>
      <c r="S814" s="8"/>
      <c r="T814" s="8"/>
      <c r="U814" s="8"/>
      <c r="V814" s="8"/>
      <c r="W814" s="8"/>
      <c r="X814" s="8"/>
      <c r="Y814" s="8"/>
      <c r="Z814" s="8"/>
      <c r="AA814" s="8"/>
    </row>
    <row r="815" spans="1:27" ht="15">
      <c r="A815" s="15"/>
      <c r="B815" s="36"/>
      <c r="C815" s="15"/>
      <c r="D815" s="37"/>
      <c r="E815" s="15"/>
      <c r="F815" s="15"/>
      <c r="G815" s="15"/>
      <c r="H815" s="15"/>
      <c r="I815" s="15"/>
      <c r="J815" s="39"/>
      <c r="K815" s="40"/>
      <c r="L815" s="8"/>
      <c r="M815" s="8"/>
      <c r="N815" s="8"/>
      <c r="O815" s="8"/>
      <c r="P815" s="8"/>
      <c r="Q815" s="8"/>
      <c r="R815" s="8"/>
      <c r="S815" s="8"/>
      <c r="T815" s="8"/>
      <c r="U815" s="8"/>
      <c r="V815" s="8"/>
      <c r="W815" s="8"/>
      <c r="X815" s="8"/>
      <c r="Y815" s="8"/>
      <c r="Z815" s="8"/>
      <c r="AA815" s="8"/>
    </row>
    <row r="816" spans="1:27" ht="15">
      <c r="A816" s="15"/>
      <c r="B816" s="36"/>
      <c r="C816" s="15"/>
      <c r="D816" s="37"/>
      <c r="E816" s="15"/>
      <c r="F816" s="15"/>
      <c r="G816" s="15"/>
      <c r="H816" s="15"/>
      <c r="I816" s="15"/>
      <c r="J816" s="39"/>
      <c r="K816" s="40"/>
      <c r="L816" s="8"/>
      <c r="M816" s="8"/>
      <c r="N816" s="8"/>
      <c r="O816" s="8"/>
      <c r="P816" s="8"/>
      <c r="Q816" s="8"/>
      <c r="R816" s="8"/>
      <c r="S816" s="8"/>
      <c r="T816" s="8"/>
      <c r="U816" s="8"/>
      <c r="V816" s="8"/>
      <c r="W816" s="8"/>
      <c r="X816" s="8"/>
      <c r="Y816" s="8"/>
      <c r="Z816" s="8"/>
      <c r="AA816" s="8"/>
    </row>
    <row r="817" spans="1:27" ht="15">
      <c r="A817" s="15"/>
      <c r="B817" s="36"/>
      <c r="C817" s="15"/>
      <c r="D817" s="37"/>
      <c r="E817" s="15"/>
      <c r="F817" s="15"/>
      <c r="G817" s="15"/>
      <c r="H817" s="15"/>
      <c r="I817" s="15"/>
      <c r="J817" s="39"/>
      <c r="K817" s="40"/>
      <c r="L817" s="8"/>
      <c r="M817" s="8"/>
      <c r="N817" s="8"/>
      <c r="O817" s="8"/>
      <c r="P817" s="8"/>
      <c r="Q817" s="8"/>
      <c r="R817" s="8"/>
      <c r="S817" s="8"/>
      <c r="T817" s="8"/>
      <c r="U817" s="8"/>
      <c r="V817" s="8"/>
      <c r="W817" s="8"/>
      <c r="X817" s="8"/>
      <c r="Y817" s="8"/>
      <c r="Z817" s="8"/>
      <c r="AA817" s="8"/>
    </row>
    <row r="818" spans="1:27" ht="15">
      <c r="A818" s="15"/>
      <c r="B818" s="36"/>
      <c r="C818" s="15"/>
      <c r="D818" s="37"/>
      <c r="E818" s="15"/>
      <c r="F818" s="15"/>
      <c r="G818" s="15"/>
      <c r="H818" s="15"/>
      <c r="I818" s="15"/>
      <c r="J818" s="39"/>
      <c r="K818" s="40"/>
      <c r="L818" s="8"/>
      <c r="M818" s="8"/>
      <c r="N818" s="8"/>
      <c r="O818" s="8"/>
      <c r="P818" s="8"/>
      <c r="Q818" s="8"/>
      <c r="R818" s="8"/>
      <c r="S818" s="8"/>
      <c r="T818" s="8"/>
      <c r="U818" s="8"/>
      <c r="V818" s="8"/>
      <c r="W818" s="8"/>
      <c r="X818" s="8"/>
      <c r="Y818" s="8"/>
      <c r="Z818" s="8"/>
      <c r="AA818" s="8"/>
    </row>
    <row r="819" spans="1:27" ht="15">
      <c r="A819" s="15"/>
      <c r="B819" s="36"/>
      <c r="C819" s="15"/>
      <c r="D819" s="37"/>
      <c r="E819" s="15"/>
      <c r="F819" s="15"/>
      <c r="G819" s="15"/>
      <c r="H819" s="15"/>
      <c r="I819" s="15"/>
      <c r="J819" s="39"/>
      <c r="K819" s="40"/>
      <c r="L819" s="8"/>
      <c r="M819" s="8"/>
      <c r="N819" s="8"/>
      <c r="O819" s="8"/>
      <c r="P819" s="8"/>
      <c r="Q819" s="8"/>
      <c r="R819" s="8"/>
      <c r="S819" s="8"/>
      <c r="T819" s="8"/>
      <c r="U819" s="8"/>
      <c r="V819" s="8"/>
      <c r="W819" s="8"/>
      <c r="X819" s="8"/>
      <c r="Y819" s="8"/>
      <c r="Z819" s="8"/>
      <c r="AA819" s="8"/>
    </row>
    <row r="820" spans="1:27" ht="15">
      <c r="A820" s="15"/>
      <c r="B820" s="36"/>
      <c r="C820" s="15"/>
      <c r="D820" s="37"/>
      <c r="E820" s="15"/>
      <c r="F820" s="15"/>
      <c r="G820" s="15"/>
      <c r="H820" s="15"/>
      <c r="I820" s="15"/>
      <c r="J820" s="39"/>
      <c r="K820" s="40"/>
      <c r="L820" s="8"/>
      <c r="M820" s="8"/>
      <c r="N820" s="8"/>
      <c r="O820" s="8"/>
      <c r="P820" s="8"/>
      <c r="Q820" s="8"/>
      <c r="R820" s="8"/>
      <c r="S820" s="8"/>
      <c r="T820" s="8"/>
      <c r="U820" s="8"/>
      <c r="V820" s="8"/>
      <c r="W820" s="8"/>
      <c r="X820" s="8"/>
      <c r="Y820" s="8"/>
      <c r="Z820" s="8"/>
      <c r="AA820" s="8"/>
    </row>
    <row r="821" spans="1:27" ht="15">
      <c r="A821" s="15"/>
      <c r="B821" s="36"/>
      <c r="C821" s="15"/>
      <c r="D821" s="37"/>
      <c r="E821" s="15"/>
      <c r="F821" s="15"/>
      <c r="G821" s="15"/>
      <c r="H821" s="15"/>
      <c r="I821" s="15"/>
      <c r="J821" s="39"/>
      <c r="K821" s="40"/>
      <c r="L821" s="8"/>
      <c r="M821" s="8"/>
      <c r="N821" s="8"/>
      <c r="O821" s="8"/>
      <c r="P821" s="8"/>
      <c r="Q821" s="8"/>
      <c r="R821" s="8"/>
      <c r="S821" s="8"/>
      <c r="T821" s="8"/>
      <c r="U821" s="8"/>
      <c r="V821" s="8"/>
      <c r="W821" s="8"/>
      <c r="X821" s="8"/>
      <c r="Y821" s="8"/>
      <c r="Z821" s="8"/>
      <c r="AA821" s="8"/>
    </row>
    <row r="822" spans="1:27" ht="15">
      <c r="A822" s="15"/>
      <c r="B822" s="36"/>
      <c r="C822" s="15"/>
      <c r="D822" s="37"/>
      <c r="E822" s="15"/>
      <c r="F822" s="15"/>
      <c r="G822" s="15"/>
      <c r="H822" s="15"/>
      <c r="I822" s="15"/>
      <c r="J822" s="39"/>
      <c r="K822" s="40"/>
      <c r="L822" s="8"/>
      <c r="M822" s="8"/>
      <c r="N822" s="8"/>
      <c r="O822" s="8"/>
      <c r="P822" s="8"/>
      <c r="Q822" s="8"/>
      <c r="R822" s="8"/>
      <c r="S822" s="8"/>
      <c r="T822" s="8"/>
      <c r="U822" s="8"/>
      <c r="V822" s="8"/>
      <c r="W822" s="8"/>
      <c r="X822" s="8"/>
      <c r="Y822" s="8"/>
      <c r="Z822" s="8"/>
      <c r="AA822" s="8"/>
    </row>
    <row r="823" spans="1:27" ht="15">
      <c r="A823" s="15"/>
      <c r="B823" s="36"/>
      <c r="C823" s="15"/>
      <c r="D823" s="37"/>
      <c r="E823" s="15"/>
      <c r="F823" s="15"/>
      <c r="G823" s="15"/>
      <c r="H823" s="15"/>
      <c r="I823" s="15"/>
      <c r="J823" s="39"/>
      <c r="K823" s="40"/>
      <c r="L823" s="8"/>
      <c r="M823" s="8"/>
      <c r="N823" s="8"/>
      <c r="O823" s="8"/>
      <c r="P823" s="8"/>
      <c r="Q823" s="8"/>
      <c r="R823" s="8"/>
      <c r="S823" s="8"/>
      <c r="T823" s="8"/>
      <c r="U823" s="8"/>
      <c r="V823" s="8"/>
      <c r="W823" s="8"/>
      <c r="X823" s="8"/>
      <c r="Y823" s="8"/>
      <c r="Z823" s="8"/>
      <c r="AA823" s="8"/>
    </row>
    <row r="824" spans="1:27" ht="15">
      <c r="A824" s="15"/>
      <c r="B824" s="36"/>
      <c r="C824" s="15"/>
      <c r="D824" s="37"/>
      <c r="E824" s="15"/>
      <c r="F824" s="15"/>
      <c r="G824" s="15"/>
      <c r="H824" s="15"/>
      <c r="I824" s="15"/>
      <c r="J824" s="39"/>
      <c r="K824" s="40"/>
      <c r="L824" s="8"/>
      <c r="M824" s="8"/>
      <c r="N824" s="8"/>
      <c r="O824" s="8"/>
      <c r="P824" s="8"/>
      <c r="Q824" s="8"/>
      <c r="R824" s="8"/>
      <c r="S824" s="8"/>
      <c r="T824" s="8"/>
      <c r="U824" s="8"/>
      <c r="V824" s="8"/>
      <c r="W824" s="8"/>
      <c r="X824" s="8"/>
      <c r="Y824" s="8"/>
      <c r="Z824" s="8"/>
      <c r="AA824" s="8"/>
    </row>
    <row r="825" spans="1:27" ht="15">
      <c r="A825" s="15"/>
      <c r="B825" s="36"/>
      <c r="C825" s="15"/>
      <c r="D825" s="37"/>
      <c r="E825" s="15"/>
      <c r="F825" s="15"/>
      <c r="G825" s="15"/>
      <c r="H825" s="15"/>
      <c r="I825" s="15"/>
      <c r="J825" s="39"/>
      <c r="K825" s="40"/>
      <c r="L825" s="8"/>
      <c r="M825" s="8"/>
      <c r="N825" s="8"/>
      <c r="O825" s="8"/>
      <c r="P825" s="8"/>
      <c r="Q825" s="8"/>
      <c r="R825" s="8"/>
      <c r="S825" s="8"/>
      <c r="T825" s="8"/>
      <c r="U825" s="8"/>
      <c r="V825" s="8"/>
      <c r="W825" s="8"/>
      <c r="X825" s="8"/>
      <c r="Y825" s="8"/>
      <c r="Z825" s="8"/>
      <c r="AA825" s="8"/>
    </row>
    <row r="826" spans="1:27" ht="15">
      <c r="A826" s="15"/>
      <c r="B826" s="36"/>
      <c r="C826" s="15"/>
      <c r="D826" s="37"/>
      <c r="E826" s="15"/>
      <c r="F826" s="15"/>
      <c r="G826" s="15"/>
      <c r="H826" s="15"/>
      <c r="I826" s="15"/>
      <c r="J826" s="39"/>
      <c r="K826" s="40"/>
      <c r="L826" s="8"/>
      <c r="M826" s="8"/>
      <c r="N826" s="8"/>
      <c r="O826" s="8"/>
      <c r="P826" s="8"/>
      <c r="Q826" s="8"/>
      <c r="R826" s="8"/>
      <c r="S826" s="8"/>
      <c r="T826" s="8"/>
      <c r="U826" s="8"/>
      <c r="V826" s="8"/>
      <c r="W826" s="8"/>
      <c r="X826" s="8"/>
      <c r="Y826" s="8"/>
      <c r="Z826" s="8"/>
      <c r="AA826" s="8"/>
    </row>
    <row r="827" spans="1:27" ht="15">
      <c r="A827" s="15"/>
      <c r="B827" s="36"/>
      <c r="C827" s="15"/>
      <c r="D827" s="37"/>
      <c r="E827" s="15"/>
      <c r="F827" s="15"/>
      <c r="G827" s="15"/>
      <c r="H827" s="15"/>
      <c r="I827" s="15"/>
      <c r="J827" s="39"/>
      <c r="K827" s="40"/>
      <c r="L827" s="8"/>
      <c r="M827" s="8"/>
      <c r="N827" s="8"/>
      <c r="O827" s="8"/>
      <c r="P827" s="8"/>
      <c r="Q827" s="8"/>
      <c r="R827" s="8"/>
      <c r="S827" s="8"/>
      <c r="T827" s="8"/>
      <c r="U827" s="8"/>
      <c r="V827" s="8"/>
      <c r="W827" s="8"/>
      <c r="X827" s="8"/>
      <c r="Y827" s="8"/>
      <c r="Z827" s="8"/>
      <c r="AA827" s="8"/>
    </row>
    <row r="828" spans="1:27" ht="15">
      <c r="A828" s="15"/>
      <c r="B828" s="36"/>
      <c r="C828" s="15"/>
      <c r="D828" s="37"/>
      <c r="E828" s="15"/>
      <c r="F828" s="15"/>
      <c r="G828" s="15"/>
      <c r="H828" s="15"/>
      <c r="I828" s="15"/>
      <c r="J828" s="39"/>
      <c r="K828" s="40"/>
      <c r="L828" s="8"/>
      <c r="M828" s="8"/>
      <c r="N828" s="8"/>
      <c r="O828" s="8"/>
      <c r="P828" s="8"/>
      <c r="Q828" s="8"/>
      <c r="R828" s="8"/>
      <c r="S828" s="8"/>
      <c r="T828" s="8"/>
      <c r="U828" s="8"/>
      <c r="V828" s="8"/>
      <c r="W828" s="8"/>
      <c r="X828" s="8"/>
      <c r="Y828" s="8"/>
      <c r="Z828" s="8"/>
      <c r="AA828" s="8"/>
    </row>
    <row r="829" spans="1:27" ht="15">
      <c r="A829" s="15"/>
      <c r="B829" s="36"/>
      <c r="C829" s="15"/>
      <c r="D829" s="37"/>
      <c r="E829" s="15"/>
      <c r="F829" s="15"/>
      <c r="G829" s="15"/>
      <c r="H829" s="15"/>
      <c r="I829" s="15"/>
      <c r="J829" s="39"/>
      <c r="K829" s="40"/>
      <c r="L829" s="8"/>
      <c r="M829" s="8"/>
      <c r="N829" s="8"/>
      <c r="O829" s="8"/>
      <c r="P829" s="8"/>
      <c r="Q829" s="8"/>
      <c r="R829" s="8"/>
      <c r="S829" s="8"/>
      <c r="T829" s="8"/>
      <c r="U829" s="8"/>
      <c r="V829" s="8"/>
      <c r="W829" s="8"/>
      <c r="X829" s="8"/>
      <c r="Y829" s="8"/>
      <c r="Z829" s="8"/>
      <c r="AA829" s="8"/>
    </row>
    <row r="830" spans="1:27" ht="15">
      <c r="A830" s="15"/>
      <c r="B830" s="36"/>
      <c r="C830" s="15"/>
      <c r="D830" s="37"/>
      <c r="E830" s="15"/>
      <c r="F830" s="15"/>
      <c r="G830" s="15"/>
      <c r="H830" s="15"/>
      <c r="I830" s="15"/>
      <c r="J830" s="39"/>
      <c r="K830" s="40"/>
      <c r="L830" s="8"/>
      <c r="M830" s="8"/>
      <c r="N830" s="8"/>
      <c r="O830" s="8"/>
      <c r="P830" s="8"/>
      <c r="Q830" s="8"/>
      <c r="R830" s="8"/>
      <c r="S830" s="8"/>
      <c r="T830" s="8"/>
      <c r="U830" s="8"/>
      <c r="V830" s="8"/>
      <c r="W830" s="8"/>
      <c r="X830" s="8"/>
      <c r="Y830" s="8"/>
      <c r="Z830" s="8"/>
      <c r="AA830" s="8"/>
    </row>
    <row r="831" spans="1:27" ht="15">
      <c r="A831" s="15"/>
      <c r="B831" s="36"/>
      <c r="C831" s="15"/>
      <c r="D831" s="37"/>
      <c r="E831" s="15"/>
      <c r="F831" s="15"/>
      <c r="G831" s="15"/>
      <c r="H831" s="15"/>
      <c r="I831" s="15"/>
      <c r="J831" s="39"/>
      <c r="K831" s="40"/>
      <c r="L831" s="8"/>
      <c r="M831" s="8"/>
      <c r="N831" s="8"/>
      <c r="O831" s="8"/>
      <c r="P831" s="8"/>
      <c r="Q831" s="8"/>
      <c r="R831" s="8"/>
      <c r="S831" s="8"/>
      <c r="T831" s="8"/>
      <c r="U831" s="8"/>
      <c r="V831" s="8"/>
      <c r="W831" s="8"/>
      <c r="X831" s="8"/>
      <c r="Y831" s="8"/>
      <c r="Z831" s="8"/>
      <c r="AA831" s="8"/>
    </row>
    <row r="832" spans="1:27" ht="15">
      <c r="A832" s="15"/>
      <c r="B832" s="36"/>
      <c r="C832" s="15"/>
      <c r="D832" s="37"/>
      <c r="E832" s="15"/>
      <c r="F832" s="15"/>
      <c r="G832" s="15"/>
      <c r="H832" s="15"/>
      <c r="I832" s="15"/>
      <c r="J832" s="39"/>
      <c r="K832" s="40"/>
      <c r="L832" s="8"/>
      <c r="M832" s="8"/>
      <c r="N832" s="8"/>
      <c r="O832" s="8"/>
      <c r="P832" s="8"/>
      <c r="Q832" s="8"/>
      <c r="R832" s="8"/>
      <c r="S832" s="8"/>
      <c r="T832" s="8"/>
      <c r="U832" s="8"/>
      <c r="V832" s="8"/>
      <c r="W832" s="8"/>
      <c r="X832" s="8"/>
      <c r="Y832" s="8"/>
      <c r="Z832" s="8"/>
      <c r="AA832" s="8"/>
    </row>
    <row r="833" spans="1:27" ht="15">
      <c r="A833" s="15"/>
      <c r="B833" s="36"/>
      <c r="C833" s="15"/>
      <c r="D833" s="37"/>
      <c r="E833" s="15"/>
      <c r="F833" s="15"/>
      <c r="G833" s="15"/>
      <c r="H833" s="15"/>
      <c r="I833" s="15"/>
      <c r="J833" s="39"/>
      <c r="K833" s="40"/>
      <c r="L833" s="8"/>
      <c r="M833" s="8"/>
      <c r="N833" s="8"/>
      <c r="O833" s="8"/>
      <c r="P833" s="8"/>
      <c r="Q833" s="8"/>
      <c r="R833" s="8"/>
      <c r="S833" s="8"/>
      <c r="T833" s="8"/>
      <c r="U833" s="8"/>
      <c r="V833" s="8"/>
      <c r="W833" s="8"/>
      <c r="X833" s="8"/>
      <c r="Y833" s="8"/>
      <c r="Z833" s="8"/>
      <c r="AA833" s="8"/>
    </row>
    <row r="834" spans="1:27" ht="15">
      <c r="A834" s="15"/>
      <c r="B834" s="36"/>
      <c r="C834" s="15"/>
      <c r="D834" s="37"/>
      <c r="E834" s="15"/>
      <c r="F834" s="15"/>
      <c r="G834" s="15"/>
      <c r="H834" s="15"/>
      <c r="I834" s="15"/>
      <c r="J834" s="39"/>
      <c r="K834" s="40"/>
      <c r="L834" s="8"/>
      <c r="M834" s="8"/>
      <c r="N834" s="8"/>
      <c r="O834" s="8"/>
      <c r="P834" s="8"/>
      <c r="Q834" s="8"/>
      <c r="R834" s="8"/>
      <c r="S834" s="8"/>
      <c r="T834" s="8"/>
      <c r="U834" s="8"/>
      <c r="V834" s="8"/>
      <c r="W834" s="8"/>
      <c r="X834" s="8"/>
      <c r="Y834" s="8"/>
      <c r="Z834" s="8"/>
      <c r="AA834" s="8"/>
    </row>
    <row r="835" spans="1:27" ht="15">
      <c r="A835" s="15"/>
      <c r="B835" s="36"/>
      <c r="C835" s="15"/>
      <c r="D835" s="37"/>
      <c r="E835" s="15"/>
      <c r="F835" s="15"/>
      <c r="G835" s="15"/>
      <c r="H835" s="15"/>
      <c r="I835" s="15"/>
      <c r="J835" s="39"/>
      <c r="K835" s="40"/>
      <c r="L835" s="8"/>
      <c r="M835" s="8"/>
      <c r="N835" s="8"/>
      <c r="O835" s="8"/>
      <c r="P835" s="8"/>
      <c r="Q835" s="8"/>
      <c r="R835" s="8"/>
      <c r="S835" s="8"/>
      <c r="T835" s="8"/>
      <c r="U835" s="8"/>
      <c r="V835" s="8"/>
      <c r="W835" s="8"/>
      <c r="X835" s="8"/>
      <c r="Y835" s="8"/>
      <c r="Z835" s="8"/>
      <c r="AA835" s="8"/>
    </row>
    <row r="836" spans="1:27" ht="15">
      <c r="A836" s="15"/>
      <c r="B836" s="36"/>
      <c r="C836" s="15"/>
      <c r="D836" s="37"/>
      <c r="E836" s="15"/>
      <c r="F836" s="15"/>
      <c r="G836" s="15"/>
      <c r="H836" s="15"/>
      <c r="I836" s="15"/>
      <c r="J836" s="39"/>
      <c r="K836" s="40"/>
      <c r="L836" s="8"/>
      <c r="M836" s="8"/>
      <c r="N836" s="8"/>
      <c r="O836" s="8"/>
      <c r="P836" s="8"/>
      <c r="Q836" s="8"/>
      <c r="R836" s="8"/>
      <c r="S836" s="8"/>
      <c r="T836" s="8"/>
      <c r="U836" s="8"/>
      <c r="V836" s="8"/>
      <c r="W836" s="8"/>
      <c r="X836" s="8"/>
      <c r="Y836" s="8"/>
      <c r="Z836" s="8"/>
      <c r="AA836" s="8"/>
    </row>
    <row r="837" spans="1:27" ht="15">
      <c r="A837" s="15"/>
      <c r="B837" s="36"/>
      <c r="C837" s="15"/>
      <c r="D837" s="37"/>
      <c r="E837" s="15"/>
      <c r="F837" s="15"/>
      <c r="G837" s="15"/>
      <c r="H837" s="15"/>
      <c r="I837" s="15"/>
      <c r="J837" s="39"/>
      <c r="K837" s="40"/>
      <c r="L837" s="8"/>
      <c r="M837" s="8"/>
      <c r="N837" s="8"/>
      <c r="O837" s="8"/>
      <c r="P837" s="8"/>
      <c r="Q837" s="8"/>
      <c r="R837" s="8"/>
      <c r="S837" s="8"/>
      <c r="T837" s="8"/>
      <c r="U837" s="8"/>
      <c r="V837" s="8"/>
      <c r="W837" s="8"/>
      <c r="X837" s="8"/>
      <c r="Y837" s="8"/>
      <c r="Z837" s="8"/>
      <c r="AA837" s="8"/>
    </row>
    <row r="838" spans="1:27" ht="15">
      <c r="A838" s="15"/>
      <c r="B838" s="36"/>
      <c r="C838" s="15"/>
      <c r="D838" s="37"/>
      <c r="E838" s="15"/>
      <c r="F838" s="15"/>
      <c r="G838" s="15"/>
      <c r="H838" s="15"/>
      <c r="I838" s="15"/>
      <c r="J838" s="39"/>
      <c r="K838" s="40"/>
      <c r="L838" s="8"/>
      <c r="M838" s="8"/>
      <c r="N838" s="8"/>
      <c r="O838" s="8"/>
      <c r="P838" s="8"/>
      <c r="Q838" s="8"/>
      <c r="R838" s="8"/>
      <c r="S838" s="8"/>
      <c r="T838" s="8"/>
      <c r="U838" s="8"/>
      <c r="V838" s="8"/>
      <c r="W838" s="8"/>
      <c r="X838" s="8"/>
      <c r="Y838" s="8"/>
      <c r="Z838" s="8"/>
      <c r="AA838" s="8"/>
    </row>
    <row r="839" spans="1:27" ht="15">
      <c r="A839" s="15"/>
      <c r="B839" s="36"/>
      <c r="C839" s="15"/>
      <c r="D839" s="37"/>
      <c r="E839" s="15"/>
      <c r="F839" s="15"/>
      <c r="G839" s="15"/>
      <c r="H839" s="15"/>
      <c r="I839" s="15"/>
      <c r="J839" s="39"/>
      <c r="K839" s="40"/>
      <c r="L839" s="8"/>
      <c r="M839" s="8"/>
      <c r="N839" s="8"/>
      <c r="O839" s="8"/>
      <c r="P839" s="8"/>
      <c r="Q839" s="8"/>
      <c r="R839" s="8"/>
      <c r="S839" s="8"/>
      <c r="T839" s="8"/>
      <c r="U839" s="8"/>
      <c r="V839" s="8"/>
      <c r="W839" s="8"/>
      <c r="X839" s="8"/>
      <c r="Y839" s="8"/>
      <c r="Z839" s="8"/>
      <c r="AA839" s="8"/>
    </row>
    <row r="840" spans="1:27" ht="15">
      <c r="A840" s="15"/>
      <c r="B840" s="36"/>
      <c r="C840" s="15"/>
      <c r="D840" s="37"/>
      <c r="E840" s="15"/>
      <c r="F840" s="15"/>
      <c r="G840" s="15"/>
      <c r="H840" s="15"/>
      <c r="I840" s="15"/>
      <c r="J840" s="39"/>
      <c r="K840" s="40"/>
      <c r="L840" s="8"/>
      <c r="M840" s="8"/>
      <c r="N840" s="8"/>
      <c r="O840" s="8"/>
      <c r="P840" s="8"/>
      <c r="Q840" s="8"/>
      <c r="R840" s="8"/>
      <c r="S840" s="8"/>
      <c r="T840" s="8"/>
      <c r="U840" s="8"/>
      <c r="V840" s="8"/>
      <c r="W840" s="8"/>
      <c r="X840" s="8"/>
      <c r="Y840" s="8"/>
      <c r="Z840" s="8"/>
      <c r="AA840" s="8"/>
    </row>
    <row r="841" spans="1:27" ht="15">
      <c r="A841" s="15"/>
      <c r="B841" s="36"/>
      <c r="C841" s="15"/>
      <c r="D841" s="37"/>
      <c r="E841" s="15"/>
      <c r="F841" s="15"/>
      <c r="G841" s="15"/>
      <c r="H841" s="15"/>
      <c r="I841" s="15"/>
      <c r="J841" s="39"/>
      <c r="K841" s="40"/>
      <c r="L841" s="8"/>
      <c r="M841" s="8"/>
      <c r="N841" s="8"/>
      <c r="O841" s="8"/>
      <c r="P841" s="8"/>
      <c r="Q841" s="8"/>
      <c r="R841" s="8"/>
      <c r="S841" s="8"/>
      <c r="T841" s="8"/>
      <c r="U841" s="8"/>
      <c r="V841" s="8"/>
      <c r="W841" s="8"/>
      <c r="X841" s="8"/>
      <c r="Y841" s="8"/>
      <c r="Z841" s="8"/>
      <c r="AA841" s="8"/>
    </row>
    <row r="842" spans="1:27" ht="15">
      <c r="A842" s="15"/>
      <c r="B842" s="36"/>
      <c r="C842" s="15"/>
      <c r="D842" s="37"/>
      <c r="E842" s="15"/>
      <c r="F842" s="15"/>
      <c r="G842" s="15"/>
      <c r="H842" s="15"/>
      <c r="I842" s="15"/>
      <c r="J842" s="39"/>
      <c r="K842" s="40"/>
      <c r="L842" s="8"/>
      <c r="M842" s="8"/>
      <c r="N842" s="8"/>
      <c r="O842" s="8"/>
      <c r="P842" s="8"/>
      <c r="Q842" s="8"/>
      <c r="R842" s="8"/>
      <c r="S842" s="8"/>
      <c r="T842" s="8"/>
      <c r="U842" s="8"/>
      <c r="V842" s="8"/>
      <c r="W842" s="8"/>
      <c r="X842" s="8"/>
      <c r="Y842" s="8"/>
      <c r="Z842" s="8"/>
      <c r="AA842" s="8"/>
    </row>
    <row r="843" spans="1:27" ht="15">
      <c r="A843" s="15"/>
      <c r="B843" s="36"/>
      <c r="C843" s="15"/>
      <c r="D843" s="37"/>
      <c r="E843" s="15"/>
      <c r="F843" s="15"/>
      <c r="G843" s="15"/>
      <c r="H843" s="15"/>
      <c r="I843" s="15"/>
      <c r="J843" s="39"/>
      <c r="K843" s="40"/>
      <c r="L843" s="8"/>
      <c r="M843" s="8"/>
      <c r="N843" s="8"/>
      <c r="O843" s="8"/>
      <c r="P843" s="8"/>
      <c r="Q843" s="8"/>
      <c r="R843" s="8"/>
      <c r="S843" s="8"/>
      <c r="T843" s="8"/>
      <c r="U843" s="8"/>
      <c r="V843" s="8"/>
      <c r="W843" s="8"/>
      <c r="X843" s="8"/>
      <c r="Y843" s="8"/>
      <c r="Z843" s="8"/>
      <c r="AA843" s="8"/>
    </row>
    <row r="844" spans="1:27" ht="15">
      <c r="A844" s="15"/>
      <c r="B844" s="36"/>
      <c r="C844" s="15"/>
      <c r="D844" s="37"/>
      <c r="E844" s="15"/>
      <c r="F844" s="15"/>
      <c r="G844" s="15"/>
      <c r="H844" s="15"/>
      <c r="I844" s="15"/>
      <c r="J844" s="39"/>
      <c r="K844" s="40"/>
      <c r="L844" s="8"/>
      <c r="M844" s="8"/>
      <c r="N844" s="8"/>
      <c r="O844" s="8"/>
      <c r="P844" s="8"/>
      <c r="Q844" s="8"/>
      <c r="R844" s="8"/>
      <c r="S844" s="8"/>
      <c r="T844" s="8"/>
      <c r="U844" s="8"/>
      <c r="V844" s="8"/>
      <c r="W844" s="8"/>
      <c r="X844" s="8"/>
      <c r="Y844" s="8"/>
      <c r="Z844" s="8"/>
      <c r="AA844" s="8"/>
    </row>
    <row r="845" spans="1:27" ht="15">
      <c r="A845" s="15"/>
      <c r="B845" s="36"/>
      <c r="C845" s="15"/>
      <c r="D845" s="37"/>
      <c r="E845" s="15"/>
      <c r="F845" s="15"/>
      <c r="G845" s="15"/>
      <c r="H845" s="15"/>
      <c r="I845" s="15"/>
      <c r="J845" s="39"/>
      <c r="K845" s="40"/>
      <c r="L845" s="8"/>
      <c r="M845" s="8"/>
      <c r="N845" s="8"/>
      <c r="O845" s="8"/>
      <c r="P845" s="8"/>
      <c r="Q845" s="8"/>
      <c r="R845" s="8"/>
      <c r="S845" s="8"/>
      <c r="T845" s="8"/>
      <c r="U845" s="8"/>
      <c r="V845" s="8"/>
      <c r="W845" s="8"/>
      <c r="X845" s="8"/>
      <c r="Y845" s="8"/>
      <c r="Z845" s="8"/>
      <c r="AA845" s="8"/>
    </row>
    <row r="846" spans="1:27" ht="15">
      <c r="A846" s="15"/>
      <c r="B846" s="36"/>
      <c r="C846" s="15"/>
      <c r="D846" s="37"/>
      <c r="E846" s="15"/>
      <c r="F846" s="15"/>
      <c r="G846" s="15"/>
      <c r="H846" s="15"/>
      <c r="I846" s="15"/>
      <c r="J846" s="39"/>
      <c r="K846" s="40"/>
      <c r="L846" s="8"/>
      <c r="M846" s="8"/>
      <c r="N846" s="8"/>
      <c r="O846" s="8"/>
      <c r="P846" s="8"/>
      <c r="Q846" s="8"/>
      <c r="R846" s="8"/>
      <c r="S846" s="8"/>
      <c r="T846" s="8"/>
      <c r="U846" s="8"/>
      <c r="V846" s="8"/>
      <c r="W846" s="8"/>
      <c r="X846" s="8"/>
      <c r="Y846" s="8"/>
      <c r="Z846" s="8"/>
      <c r="AA846" s="8"/>
    </row>
    <row r="847" spans="1:27" ht="15">
      <c r="A847" s="15"/>
      <c r="B847" s="36"/>
      <c r="C847" s="15"/>
      <c r="D847" s="37"/>
      <c r="E847" s="15"/>
      <c r="F847" s="15"/>
      <c r="G847" s="15"/>
      <c r="H847" s="15"/>
      <c r="I847" s="15"/>
      <c r="J847" s="39"/>
      <c r="K847" s="40"/>
      <c r="L847" s="8"/>
      <c r="M847" s="8"/>
      <c r="N847" s="8"/>
      <c r="O847" s="8"/>
      <c r="P847" s="8"/>
      <c r="Q847" s="8"/>
      <c r="R847" s="8"/>
      <c r="S847" s="8"/>
      <c r="T847" s="8"/>
      <c r="U847" s="8"/>
      <c r="V847" s="8"/>
      <c r="W847" s="8"/>
      <c r="X847" s="8"/>
      <c r="Y847" s="8"/>
      <c r="Z847" s="8"/>
      <c r="AA847" s="8"/>
    </row>
    <row r="848" spans="1:27" ht="15">
      <c r="A848" s="15"/>
      <c r="B848" s="36"/>
      <c r="C848" s="15"/>
      <c r="D848" s="37"/>
      <c r="E848" s="15"/>
      <c r="F848" s="15"/>
      <c r="G848" s="15"/>
      <c r="H848" s="15"/>
      <c r="I848" s="15"/>
      <c r="J848" s="39"/>
      <c r="K848" s="40"/>
      <c r="L848" s="8"/>
      <c r="M848" s="8"/>
      <c r="N848" s="8"/>
      <c r="O848" s="8"/>
      <c r="P848" s="8"/>
      <c r="Q848" s="8"/>
      <c r="R848" s="8"/>
      <c r="S848" s="8"/>
      <c r="T848" s="8"/>
      <c r="U848" s="8"/>
      <c r="V848" s="8"/>
      <c r="W848" s="8"/>
      <c r="X848" s="8"/>
      <c r="Y848" s="8"/>
      <c r="Z848" s="8"/>
      <c r="AA848" s="8"/>
    </row>
    <row r="849" spans="1:27" ht="15">
      <c r="A849" s="15"/>
      <c r="B849" s="36"/>
      <c r="C849" s="15"/>
      <c r="D849" s="37"/>
      <c r="E849" s="15"/>
      <c r="F849" s="15"/>
      <c r="G849" s="15"/>
      <c r="H849" s="15"/>
      <c r="I849" s="15"/>
      <c r="J849" s="39"/>
      <c r="K849" s="40"/>
      <c r="L849" s="8"/>
      <c r="M849" s="8"/>
      <c r="N849" s="8"/>
      <c r="O849" s="8"/>
      <c r="P849" s="8"/>
      <c r="Q849" s="8"/>
      <c r="R849" s="8"/>
      <c r="S849" s="8"/>
      <c r="T849" s="8"/>
      <c r="U849" s="8"/>
      <c r="V849" s="8"/>
      <c r="W849" s="8"/>
      <c r="X849" s="8"/>
      <c r="Y849" s="8"/>
      <c r="Z849" s="8"/>
      <c r="AA849" s="8"/>
    </row>
    <row r="850" spans="1:27" ht="15">
      <c r="A850" s="15"/>
      <c r="B850" s="36"/>
      <c r="C850" s="15"/>
      <c r="D850" s="37"/>
      <c r="E850" s="15"/>
      <c r="F850" s="15"/>
      <c r="G850" s="15"/>
      <c r="H850" s="15"/>
      <c r="I850" s="15"/>
      <c r="J850" s="39"/>
      <c r="K850" s="40"/>
      <c r="L850" s="8"/>
      <c r="M850" s="8"/>
      <c r="N850" s="8"/>
      <c r="O850" s="8"/>
      <c r="P850" s="8"/>
      <c r="Q850" s="8"/>
      <c r="R850" s="8"/>
      <c r="S850" s="8"/>
      <c r="T850" s="8"/>
      <c r="U850" s="8"/>
      <c r="V850" s="8"/>
      <c r="W850" s="8"/>
      <c r="X850" s="8"/>
      <c r="Y850" s="8"/>
      <c r="Z850" s="8"/>
      <c r="AA850" s="8"/>
    </row>
    <row r="851" spans="1:27" ht="15">
      <c r="A851" s="15"/>
      <c r="B851" s="36"/>
      <c r="C851" s="15"/>
      <c r="D851" s="37"/>
      <c r="E851" s="15"/>
      <c r="F851" s="15"/>
      <c r="G851" s="15"/>
      <c r="H851" s="15"/>
      <c r="I851" s="15"/>
      <c r="J851" s="39"/>
      <c r="K851" s="40"/>
      <c r="L851" s="8"/>
      <c r="M851" s="8"/>
      <c r="N851" s="8"/>
      <c r="O851" s="8"/>
      <c r="P851" s="8"/>
      <c r="Q851" s="8"/>
      <c r="R851" s="8"/>
      <c r="S851" s="8"/>
      <c r="T851" s="8"/>
      <c r="U851" s="8"/>
      <c r="V851" s="8"/>
      <c r="W851" s="8"/>
      <c r="X851" s="8"/>
      <c r="Y851" s="8"/>
      <c r="Z851" s="8"/>
      <c r="AA851" s="8"/>
    </row>
    <row r="852" spans="1:27" ht="15">
      <c r="A852" s="15"/>
      <c r="B852" s="36"/>
      <c r="C852" s="15"/>
      <c r="D852" s="37"/>
      <c r="E852" s="15"/>
      <c r="F852" s="15"/>
      <c r="G852" s="15"/>
      <c r="H852" s="15"/>
      <c r="I852" s="15"/>
      <c r="J852" s="39"/>
      <c r="K852" s="40"/>
      <c r="L852" s="8"/>
      <c r="M852" s="8"/>
      <c r="N852" s="8"/>
      <c r="O852" s="8"/>
      <c r="P852" s="8"/>
      <c r="Q852" s="8"/>
      <c r="R852" s="8"/>
      <c r="S852" s="8"/>
      <c r="T852" s="8"/>
      <c r="U852" s="8"/>
      <c r="V852" s="8"/>
      <c r="W852" s="8"/>
      <c r="X852" s="8"/>
      <c r="Y852" s="8"/>
      <c r="Z852" s="8"/>
      <c r="AA852" s="8"/>
    </row>
    <row r="853" spans="1:27" ht="15">
      <c r="A853" s="15"/>
      <c r="B853" s="36"/>
      <c r="C853" s="15"/>
      <c r="D853" s="37"/>
      <c r="E853" s="15"/>
      <c r="F853" s="15"/>
      <c r="G853" s="15"/>
      <c r="H853" s="15"/>
      <c r="I853" s="15"/>
      <c r="J853" s="39"/>
      <c r="K853" s="40"/>
      <c r="L853" s="8"/>
      <c r="M853" s="8"/>
      <c r="N853" s="8"/>
      <c r="O853" s="8"/>
      <c r="P853" s="8"/>
      <c r="Q853" s="8"/>
      <c r="R853" s="8"/>
      <c r="S853" s="8"/>
      <c r="T853" s="8"/>
      <c r="U853" s="8"/>
      <c r="V853" s="8"/>
      <c r="W853" s="8"/>
      <c r="X853" s="8"/>
      <c r="Y853" s="8"/>
      <c r="Z853" s="8"/>
      <c r="AA853" s="8"/>
    </row>
    <row r="854" spans="1:27" ht="15">
      <c r="A854" s="15"/>
      <c r="B854" s="36"/>
      <c r="C854" s="15"/>
      <c r="D854" s="37"/>
      <c r="E854" s="15"/>
      <c r="F854" s="15"/>
      <c r="G854" s="15"/>
      <c r="H854" s="15"/>
      <c r="I854" s="15"/>
      <c r="J854" s="39"/>
      <c r="K854" s="40"/>
      <c r="L854" s="8"/>
      <c r="M854" s="8"/>
      <c r="N854" s="8"/>
      <c r="O854" s="8"/>
      <c r="P854" s="8"/>
      <c r="Q854" s="8"/>
      <c r="R854" s="8"/>
      <c r="S854" s="8"/>
      <c r="T854" s="8"/>
      <c r="U854" s="8"/>
      <c r="V854" s="8"/>
      <c r="W854" s="8"/>
      <c r="X854" s="8"/>
      <c r="Y854" s="8"/>
      <c r="Z854" s="8"/>
      <c r="AA854" s="8"/>
    </row>
    <row r="855" spans="1:27" ht="15">
      <c r="A855" s="15"/>
      <c r="B855" s="36"/>
      <c r="C855" s="15"/>
      <c r="D855" s="37"/>
      <c r="E855" s="15"/>
      <c r="F855" s="15"/>
      <c r="G855" s="15"/>
      <c r="H855" s="15"/>
      <c r="I855" s="15"/>
      <c r="J855" s="39"/>
      <c r="K855" s="40"/>
      <c r="L855" s="8"/>
      <c r="M855" s="8"/>
      <c r="N855" s="8"/>
      <c r="O855" s="8"/>
      <c r="P855" s="8"/>
      <c r="Q855" s="8"/>
      <c r="R855" s="8"/>
      <c r="S855" s="8"/>
      <c r="T855" s="8"/>
      <c r="U855" s="8"/>
      <c r="V855" s="8"/>
      <c r="W855" s="8"/>
      <c r="X855" s="8"/>
      <c r="Y855" s="8"/>
      <c r="Z855" s="8"/>
      <c r="AA855" s="8"/>
    </row>
    <row r="856" spans="1:27" ht="15">
      <c r="A856" s="15"/>
      <c r="B856" s="36"/>
      <c r="C856" s="15"/>
      <c r="D856" s="37"/>
      <c r="E856" s="15"/>
      <c r="F856" s="15"/>
      <c r="G856" s="15"/>
      <c r="H856" s="15"/>
      <c r="I856" s="15"/>
      <c r="J856" s="39"/>
      <c r="K856" s="40"/>
      <c r="L856" s="8"/>
      <c r="M856" s="8"/>
      <c r="N856" s="8"/>
      <c r="O856" s="8"/>
      <c r="P856" s="8"/>
      <c r="Q856" s="8"/>
      <c r="R856" s="8"/>
      <c r="S856" s="8"/>
      <c r="T856" s="8"/>
      <c r="U856" s="8"/>
      <c r="V856" s="8"/>
      <c r="W856" s="8"/>
      <c r="X856" s="8"/>
      <c r="Y856" s="8"/>
      <c r="Z856" s="8"/>
      <c r="AA856" s="8"/>
    </row>
    <row r="857" spans="1:27" ht="15">
      <c r="A857" s="15"/>
      <c r="B857" s="36"/>
      <c r="C857" s="15"/>
      <c r="D857" s="37"/>
      <c r="E857" s="15"/>
      <c r="F857" s="15"/>
      <c r="G857" s="15"/>
      <c r="H857" s="15"/>
      <c r="I857" s="15"/>
      <c r="J857" s="39"/>
      <c r="K857" s="40"/>
      <c r="L857" s="8"/>
      <c r="M857" s="8"/>
      <c r="N857" s="8"/>
      <c r="O857" s="8"/>
      <c r="P857" s="8"/>
      <c r="Q857" s="8"/>
      <c r="R857" s="8"/>
      <c r="S857" s="8"/>
      <c r="T857" s="8"/>
      <c r="U857" s="8"/>
      <c r="V857" s="8"/>
      <c r="W857" s="8"/>
      <c r="X857" s="8"/>
      <c r="Y857" s="8"/>
      <c r="Z857" s="8"/>
      <c r="AA857" s="8"/>
    </row>
    <row r="858" spans="1:27" ht="15">
      <c r="A858" s="15"/>
      <c r="B858" s="36"/>
      <c r="C858" s="15"/>
      <c r="D858" s="37"/>
      <c r="E858" s="15"/>
      <c r="F858" s="15"/>
      <c r="G858" s="15"/>
      <c r="H858" s="15"/>
      <c r="I858" s="15"/>
      <c r="J858" s="39"/>
      <c r="K858" s="40"/>
      <c r="L858" s="8"/>
      <c r="M858" s="8"/>
      <c r="N858" s="8"/>
      <c r="O858" s="8"/>
      <c r="P858" s="8"/>
      <c r="Q858" s="8"/>
      <c r="R858" s="8"/>
      <c r="S858" s="8"/>
      <c r="T858" s="8"/>
      <c r="U858" s="8"/>
      <c r="V858" s="8"/>
      <c r="W858" s="8"/>
      <c r="X858" s="8"/>
      <c r="Y858" s="8"/>
      <c r="Z858" s="8"/>
      <c r="AA858" s="8"/>
    </row>
    <row r="859" spans="1:27" ht="15">
      <c r="A859" s="15"/>
      <c r="B859" s="36"/>
      <c r="C859" s="15"/>
      <c r="D859" s="37"/>
      <c r="E859" s="15"/>
      <c r="F859" s="15"/>
      <c r="G859" s="15"/>
      <c r="H859" s="15"/>
      <c r="I859" s="15"/>
      <c r="J859" s="39"/>
      <c r="K859" s="40"/>
      <c r="L859" s="8"/>
      <c r="M859" s="8"/>
      <c r="N859" s="8"/>
      <c r="O859" s="8"/>
      <c r="P859" s="8"/>
      <c r="Q859" s="8"/>
      <c r="R859" s="8"/>
      <c r="S859" s="8"/>
      <c r="T859" s="8"/>
      <c r="U859" s="8"/>
      <c r="V859" s="8"/>
      <c r="W859" s="8"/>
      <c r="X859" s="8"/>
      <c r="Y859" s="8"/>
      <c r="Z859" s="8"/>
      <c r="AA859" s="8"/>
    </row>
    <row r="860" spans="1:27" ht="15">
      <c r="A860" s="15"/>
      <c r="B860" s="36"/>
      <c r="C860" s="15"/>
      <c r="D860" s="37"/>
      <c r="E860" s="15"/>
      <c r="F860" s="15"/>
      <c r="G860" s="15"/>
      <c r="H860" s="15"/>
      <c r="I860" s="15"/>
      <c r="J860" s="39"/>
      <c r="K860" s="40"/>
      <c r="L860" s="8"/>
      <c r="M860" s="8"/>
      <c r="N860" s="8"/>
      <c r="O860" s="8"/>
      <c r="P860" s="8"/>
      <c r="Q860" s="8"/>
      <c r="R860" s="8"/>
      <c r="S860" s="8"/>
      <c r="T860" s="8"/>
      <c r="U860" s="8"/>
      <c r="V860" s="8"/>
      <c r="W860" s="8"/>
      <c r="X860" s="8"/>
      <c r="Y860" s="8"/>
      <c r="Z860" s="8"/>
      <c r="AA860" s="8"/>
    </row>
    <row r="861" spans="1:27" ht="15">
      <c r="A861" s="15"/>
      <c r="B861" s="36"/>
      <c r="C861" s="15"/>
      <c r="D861" s="37"/>
      <c r="E861" s="15"/>
      <c r="F861" s="15"/>
      <c r="G861" s="15"/>
      <c r="H861" s="15"/>
      <c r="I861" s="15"/>
      <c r="J861" s="39"/>
      <c r="K861" s="40"/>
      <c r="L861" s="8"/>
      <c r="M861" s="8"/>
      <c r="N861" s="8"/>
      <c r="O861" s="8"/>
      <c r="P861" s="8"/>
      <c r="Q861" s="8"/>
      <c r="R861" s="8"/>
      <c r="S861" s="8"/>
      <c r="T861" s="8"/>
      <c r="U861" s="8"/>
      <c r="V861" s="8"/>
      <c r="W861" s="8"/>
      <c r="X861" s="8"/>
      <c r="Y861" s="8"/>
      <c r="Z861" s="8"/>
      <c r="AA861" s="8"/>
    </row>
    <row r="862" spans="1:27" ht="15">
      <c r="A862" s="15"/>
      <c r="B862" s="36"/>
      <c r="C862" s="15"/>
      <c r="D862" s="37"/>
      <c r="E862" s="15"/>
      <c r="F862" s="15"/>
      <c r="G862" s="15"/>
      <c r="H862" s="15"/>
      <c r="I862" s="15"/>
      <c r="J862" s="39"/>
      <c r="K862" s="40"/>
      <c r="L862" s="8"/>
      <c r="M862" s="8"/>
      <c r="N862" s="8"/>
      <c r="O862" s="8"/>
      <c r="P862" s="8"/>
      <c r="Q862" s="8"/>
      <c r="R862" s="8"/>
      <c r="S862" s="8"/>
      <c r="T862" s="8"/>
      <c r="U862" s="8"/>
      <c r="V862" s="8"/>
      <c r="W862" s="8"/>
      <c r="X862" s="8"/>
      <c r="Y862" s="8"/>
      <c r="Z862" s="8"/>
      <c r="AA862" s="8"/>
    </row>
    <row r="863" spans="1:27" ht="15">
      <c r="A863" s="15"/>
      <c r="B863" s="36"/>
      <c r="C863" s="15"/>
      <c r="D863" s="37"/>
      <c r="E863" s="15"/>
      <c r="F863" s="15"/>
      <c r="G863" s="15"/>
      <c r="H863" s="15"/>
      <c r="I863" s="15"/>
      <c r="J863" s="39"/>
      <c r="K863" s="40"/>
      <c r="L863" s="8"/>
      <c r="M863" s="8"/>
      <c r="N863" s="8"/>
      <c r="O863" s="8"/>
      <c r="P863" s="8"/>
      <c r="Q863" s="8"/>
      <c r="R863" s="8"/>
      <c r="S863" s="8"/>
      <c r="T863" s="8"/>
      <c r="U863" s="8"/>
      <c r="V863" s="8"/>
      <c r="W863" s="8"/>
      <c r="X863" s="8"/>
      <c r="Y863" s="8"/>
      <c r="Z863" s="8"/>
      <c r="AA863" s="8"/>
    </row>
    <row r="864" spans="1:27" ht="15">
      <c r="A864" s="15"/>
      <c r="B864" s="36"/>
      <c r="C864" s="15"/>
      <c r="D864" s="37"/>
      <c r="E864" s="15"/>
      <c r="F864" s="15"/>
      <c r="G864" s="15"/>
      <c r="H864" s="15"/>
      <c r="I864" s="15"/>
      <c r="J864" s="39"/>
      <c r="K864" s="40"/>
      <c r="L864" s="8"/>
      <c r="M864" s="8"/>
      <c r="N864" s="8"/>
      <c r="O864" s="8"/>
      <c r="P864" s="8"/>
      <c r="Q864" s="8"/>
      <c r="R864" s="8"/>
      <c r="S864" s="8"/>
      <c r="T864" s="8"/>
      <c r="U864" s="8"/>
      <c r="V864" s="8"/>
      <c r="W864" s="8"/>
      <c r="X864" s="8"/>
      <c r="Y864" s="8"/>
      <c r="Z864" s="8"/>
      <c r="AA864" s="8"/>
    </row>
    <row r="865" spans="1:27" ht="15">
      <c r="A865" s="15"/>
      <c r="B865" s="36"/>
      <c r="C865" s="15"/>
      <c r="D865" s="37"/>
      <c r="E865" s="15"/>
      <c r="F865" s="15"/>
      <c r="G865" s="15"/>
      <c r="H865" s="15"/>
      <c r="I865" s="15"/>
      <c r="J865" s="39"/>
      <c r="K865" s="40"/>
      <c r="L865" s="8"/>
      <c r="M865" s="8"/>
      <c r="N865" s="8"/>
      <c r="O865" s="8"/>
      <c r="P865" s="8"/>
      <c r="Q865" s="8"/>
      <c r="R865" s="8"/>
      <c r="S865" s="8"/>
      <c r="T865" s="8"/>
      <c r="U865" s="8"/>
      <c r="V865" s="8"/>
      <c r="W865" s="8"/>
      <c r="X865" s="8"/>
      <c r="Y865" s="8"/>
      <c r="Z865" s="8"/>
      <c r="AA865" s="8"/>
    </row>
    <row r="866" spans="1:27" ht="15">
      <c r="A866" s="15"/>
      <c r="B866" s="36"/>
      <c r="C866" s="15"/>
      <c r="D866" s="37"/>
      <c r="E866" s="15"/>
      <c r="F866" s="15"/>
      <c r="G866" s="15"/>
      <c r="H866" s="15"/>
      <c r="I866" s="15"/>
      <c r="J866" s="39"/>
      <c r="K866" s="40"/>
      <c r="L866" s="8"/>
      <c r="M866" s="8"/>
      <c r="N866" s="8"/>
      <c r="O866" s="8"/>
      <c r="P866" s="8"/>
      <c r="Q866" s="8"/>
      <c r="R866" s="8"/>
      <c r="S866" s="8"/>
      <c r="T866" s="8"/>
      <c r="U866" s="8"/>
      <c r="V866" s="8"/>
      <c r="W866" s="8"/>
      <c r="X866" s="8"/>
      <c r="Y866" s="8"/>
      <c r="Z866" s="8"/>
      <c r="AA866" s="8"/>
    </row>
    <row r="867" spans="1:27" ht="15">
      <c r="A867" s="15"/>
      <c r="B867" s="36"/>
      <c r="C867" s="15"/>
      <c r="D867" s="37"/>
      <c r="E867" s="15"/>
      <c r="F867" s="15"/>
      <c r="G867" s="15"/>
      <c r="H867" s="15"/>
      <c r="I867" s="15"/>
      <c r="J867" s="39"/>
      <c r="K867" s="40"/>
      <c r="L867" s="8"/>
      <c r="M867" s="8"/>
      <c r="N867" s="8"/>
      <c r="O867" s="8"/>
      <c r="P867" s="8"/>
      <c r="Q867" s="8"/>
      <c r="R867" s="8"/>
      <c r="S867" s="8"/>
      <c r="T867" s="8"/>
      <c r="U867" s="8"/>
      <c r="V867" s="8"/>
      <c r="W867" s="8"/>
      <c r="X867" s="8"/>
      <c r="Y867" s="8"/>
      <c r="Z867" s="8"/>
      <c r="AA867" s="8"/>
    </row>
    <row r="868" spans="1:27" ht="15">
      <c r="A868" s="15"/>
      <c r="B868" s="36"/>
      <c r="C868" s="15"/>
      <c r="D868" s="37"/>
      <c r="E868" s="15"/>
      <c r="F868" s="15"/>
      <c r="G868" s="15"/>
      <c r="H868" s="15"/>
      <c r="I868" s="15"/>
      <c r="J868" s="39"/>
      <c r="K868" s="40"/>
      <c r="L868" s="8"/>
      <c r="M868" s="8"/>
      <c r="N868" s="8"/>
      <c r="O868" s="8"/>
      <c r="P868" s="8"/>
      <c r="Q868" s="8"/>
      <c r="R868" s="8"/>
      <c r="S868" s="8"/>
      <c r="T868" s="8"/>
      <c r="U868" s="8"/>
      <c r="V868" s="8"/>
      <c r="W868" s="8"/>
      <c r="X868" s="8"/>
      <c r="Y868" s="8"/>
      <c r="Z868" s="8"/>
      <c r="AA868" s="8"/>
    </row>
    <row r="869" spans="1:27" ht="15">
      <c r="A869" s="15"/>
      <c r="B869" s="36"/>
      <c r="C869" s="15"/>
      <c r="D869" s="37"/>
      <c r="E869" s="15"/>
      <c r="F869" s="15"/>
      <c r="G869" s="15"/>
      <c r="H869" s="15"/>
      <c r="I869" s="15"/>
      <c r="J869" s="39"/>
      <c r="K869" s="40"/>
      <c r="L869" s="8"/>
      <c r="M869" s="8"/>
      <c r="N869" s="8"/>
      <c r="O869" s="8"/>
      <c r="P869" s="8"/>
      <c r="Q869" s="8"/>
      <c r="R869" s="8"/>
      <c r="S869" s="8"/>
      <c r="T869" s="8"/>
      <c r="U869" s="8"/>
      <c r="V869" s="8"/>
      <c r="W869" s="8"/>
      <c r="X869" s="8"/>
      <c r="Y869" s="8"/>
      <c r="Z869" s="8"/>
      <c r="AA869" s="8"/>
    </row>
    <row r="870" spans="1:27" ht="15">
      <c r="A870" s="15"/>
      <c r="B870" s="36"/>
      <c r="C870" s="15"/>
      <c r="D870" s="37"/>
      <c r="E870" s="15"/>
      <c r="F870" s="15"/>
      <c r="G870" s="15"/>
      <c r="H870" s="15"/>
      <c r="I870" s="15"/>
      <c r="J870" s="39"/>
      <c r="K870" s="40"/>
      <c r="L870" s="8"/>
      <c r="M870" s="8"/>
      <c r="N870" s="8"/>
      <c r="O870" s="8"/>
      <c r="P870" s="8"/>
      <c r="Q870" s="8"/>
      <c r="R870" s="8"/>
      <c r="S870" s="8"/>
      <c r="T870" s="8"/>
      <c r="U870" s="8"/>
      <c r="V870" s="8"/>
      <c r="W870" s="8"/>
      <c r="X870" s="8"/>
      <c r="Y870" s="8"/>
      <c r="Z870" s="8"/>
      <c r="AA870" s="8"/>
    </row>
    <row r="871" spans="1:27" ht="15">
      <c r="A871" s="15"/>
      <c r="B871" s="36"/>
      <c r="C871" s="15"/>
      <c r="D871" s="37"/>
      <c r="E871" s="15"/>
      <c r="F871" s="15"/>
      <c r="G871" s="15"/>
      <c r="H871" s="15"/>
      <c r="I871" s="15"/>
      <c r="J871" s="39"/>
      <c r="K871" s="40"/>
      <c r="L871" s="8"/>
      <c r="M871" s="8"/>
      <c r="N871" s="8"/>
      <c r="O871" s="8"/>
      <c r="P871" s="8"/>
      <c r="Q871" s="8"/>
      <c r="R871" s="8"/>
      <c r="S871" s="8"/>
      <c r="T871" s="8"/>
      <c r="U871" s="8"/>
      <c r="V871" s="8"/>
      <c r="W871" s="8"/>
      <c r="X871" s="8"/>
      <c r="Y871" s="8"/>
      <c r="Z871" s="8"/>
      <c r="AA871" s="8"/>
    </row>
    <row r="872" spans="1:27" ht="15">
      <c r="A872" s="15"/>
      <c r="B872" s="36"/>
      <c r="C872" s="15"/>
      <c r="D872" s="37"/>
      <c r="E872" s="15"/>
      <c r="F872" s="15"/>
      <c r="G872" s="15"/>
      <c r="H872" s="15"/>
      <c r="I872" s="15"/>
      <c r="J872" s="39"/>
      <c r="K872" s="40"/>
      <c r="L872" s="8"/>
      <c r="M872" s="8"/>
      <c r="N872" s="8"/>
      <c r="O872" s="8"/>
      <c r="P872" s="8"/>
      <c r="Q872" s="8"/>
      <c r="R872" s="8"/>
      <c r="S872" s="8"/>
      <c r="T872" s="8"/>
      <c r="U872" s="8"/>
      <c r="V872" s="8"/>
      <c r="W872" s="8"/>
      <c r="X872" s="8"/>
      <c r="Y872" s="8"/>
      <c r="Z872" s="8"/>
      <c r="AA872" s="8"/>
    </row>
    <row r="873" spans="1:27" ht="15">
      <c r="A873" s="15"/>
      <c r="B873" s="36"/>
      <c r="C873" s="15"/>
      <c r="D873" s="37"/>
      <c r="E873" s="15"/>
      <c r="F873" s="15"/>
      <c r="G873" s="15"/>
      <c r="H873" s="15"/>
      <c r="I873" s="15"/>
      <c r="J873" s="39"/>
      <c r="K873" s="40"/>
      <c r="L873" s="8"/>
      <c r="M873" s="8"/>
      <c r="N873" s="8"/>
      <c r="O873" s="8"/>
      <c r="P873" s="8"/>
      <c r="Q873" s="8"/>
      <c r="R873" s="8"/>
      <c r="S873" s="8"/>
      <c r="T873" s="8"/>
      <c r="U873" s="8"/>
      <c r="V873" s="8"/>
      <c r="W873" s="8"/>
      <c r="X873" s="8"/>
      <c r="Y873" s="8"/>
      <c r="Z873" s="8"/>
      <c r="AA873" s="8"/>
    </row>
    <row r="874" spans="1:27" ht="15">
      <c r="A874" s="15"/>
      <c r="B874" s="36"/>
      <c r="C874" s="15"/>
      <c r="D874" s="37"/>
      <c r="E874" s="15"/>
      <c r="F874" s="15"/>
      <c r="G874" s="15"/>
      <c r="H874" s="15"/>
      <c r="I874" s="15"/>
      <c r="J874" s="39"/>
      <c r="K874" s="40"/>
      <c r="L874" s="8"/>
      <c r="M874" s="8"/>
      <c r="N874" s="8"/>
      <c r="O874" s="8"/>
      <c r="P874" s="8"/>
      <c r="Q874" s="8"/>
      <c r="R874" s="8"/>
      <c r="S874" s="8"/>
      <c r="T874" s="8"/>
      <c r="U874" s="8"/>
      <c r="V874" s="8"/>
      <c r="W874" s="8"/>
      <c r="X874" s="8"/>
      <c r="Y874" s="8"/>
      <c r="Z874" s="8"/>
      <c r="AA874" s="8"/>
    </row>
    <row r="875" spans="1:27" ht="15">
      <c r="A875" s="15"/>
      <c r="B875" s="36"/>
      <c r="C875" s="15"/>
      <c r="D875" s="37"/>
      <c r="E875" s="15"/>
      <c r="F875" s="15"/>
      <c r="G875" s="15"/>
      <c r="H875" s="15"/>
      <c r="I875" s="15"/>
      <c r="J875" s="39"/>
      <c r="K875" s="40"/>
      <c r="L875" s="8"/>
      <c r="M875" s="8"/>
      <c r="N875" s="8"/>
      <c r="O875" s="8"/>
      <c r="P875" s="8"/>
      <c r="Q875" s="8"/>
      <c r="R875" s="8"/>
      <c r="S875" s="8"/>
      <c r="T875" s="8"/>
      <c r="U875" s="8"/>
      <c r="V875" s="8"/>
      <c r="W875" s="8"/>
      <c r="X875" s="8"/>
      <c r="Y875" s="8"/>
      <c r="Z875" s="8"/>
      <c r="AA875" s="8"/>
    </row>
    <row r="876" spans="1:27" ht="15">
      <c r="A876" s="15"/>
      <c r="B876" s="36"/>
      <c r="C876" s="15"/>
      <c r="D876" s="37"/>
      <c r="E876" s="15"/>
      <c r="F876" s="15"/>
      <c r="G876" s="15"/>
      <c r="H876" s="15"/>
      <c r="I876" s="15"/>
      <c r="J876" s="39"/>
      <c r="K876" s="40"/>
      <c r="L876" s="8"/>
      <c r="M876" s="8"/>
      <c r="N876" s="8"/>
      <c r="O876" s="8"/>
      <c r="P876" s="8"/>
      <c r="Q876" s="8"/>
      <c r="R876" s="8"/>
      <c r="S876" s="8"/>
      <c r="T876" s="8"/>
      <c r="U876" s="8"/>
      <c r="V876" s="8"/>
      <c r="W876" s="8"/>
      <c r="X876" s="8"/>
      <c r="Y876" s="8"/>
      <c r="Z876" s="8"/>
      <c r="AA876" s="8"/>
    </row>
    <row r="877" spans="1:27" ht="15">
      <c r="A877" s="15"/>
      <c r="B877" s="36"/>
      <c r="C877" s="15"/>
      <c r="D877" s="37"/>
      <c r="E877" s="15"/>
      <c r="F877" s="15"/>
      <c r="G877" s="15"/>
      <c r="H877" s="15"/>
      <c r="I877" s="15"/>
      <c r="J877" s="39"/>
      <c r="K877" s="40"/>
      <c r="L877" s="8"/>
      <c r="M877" s="8"/>
      <c r="N877" s="8"/>
      <c r="O877" s="8"/>
      <c r="P877" s="8"/>
      <c r="Q877" s="8"/>
      <c r="R877" s="8"/>
      <c r="S877" s="8"/>
      <c r="T877" s="8"/>
      <c r="U877" s="8"/>
      <c r="V877" s="8"/>
      <c r="W877" s="8"/>
      <c r="X877" s="8"/>
      <c r="Y877" s="8"/>
      <c r="Z877" s="8"/>
      <c r="AA877" s="8"/>
    </row>
    <row r="878" spans="1:27" ht="15">
      <c r="A878" s="15"/>
      <c r="B878" s="36"/>
      <c r="C878" s="15"/>
      <c r="D878" s="37"/>
      <c r="E878" s="15"/>
      <c r="F878" s="15"/>
      <c r="G878" s="15"/>
      <c r="H878" s="15"/>
      <c r="I878" s="15"/>
      <c r="J878" s="39"/>
      <c r="K878" s="40"/>
      <c r="L878" s="8"/>
      <c r="M878" s="8"/>
      <c r="N878" s="8"/>
      <c r="O878" s="8"/>
      <c r="P878" s="8"/>
      <c r="Q878" s="8"/>
      <c r="R878" s="8"/>
      <c r="S878" s="8"/>
      <c r="T878" s="8"/>
      <c r="U878" s="8"/>
      <c r="V878" s="8"/>
      <c r="W878" s="8"/>
      <c r="X878" s="8"/>
      <c r="Y878" s="8"/>
      <c r="Z878" s="8"/>
      <c r="AA878" s="8"/>
    </row>
    <row r="879" spans="1:27" ht="15">
      <c r="A879" s="15"/>
      <c r="B879" s="36"/>
      <c r="C879" s="15"/>
      <c r="D879" s="37"/>
      <c r="E879" s="15"/>
      <c r="F879" s="15"/>
      <c r="G879" s="15"/>
      <c r="H879" s="15"/>
      <c r="I879" s="15"/>
      <c r="J879" s="39"/>
      <c r="K879" s="40"/>
      <c r="L879" s="8"/>
      <c r="M879" s="8"/>
      <c r="N879" s="8"/>
      <c r="O879" s="8"/>
      <c r="P879" s="8"/>
      <c r="Q879" s="8"/>
      <c r="R879" s="8"/>
      <c r="S879" s="8"/>
      <c r="T879" s="8"/>
      <c r="U879" s="8"/>
      <c r="V879" s="8"/>
      <c r="W879" s="8"/>
      <c r="X879" s="8"/>
      <c r="Y879" s="8"/>
      <c r="Z879" s="8"/>
      <c r="AA879" s="8"/>
    </row>
    <row r="880" spans="1:27" ht="15">
      <c r="A880" s="15"/>
      <c r="B880" s="36"/>
      <c r="C880" s="15"/>
      <c r="D880" s="37"/>
      <c r="E880" s="15"/>
      <c r="F880" s="15"/>
      <c r="G880" s="15"/>
      <c r="H880" s="15"/>
      <c r="I880" s="15"/>
      <c r="J880" s="39"/>
      <c r="K880" s="40"/>
      <c r="L880" s="8"/>
      <c r="M880" s="8"/>
      <c r="N880" s="8"/>
      <c r="O880" s="8"/>
      <c r="P880" s="8"/>
      <c r="Q880" s="8"/>
      <c r="R880" s="8"/>
      <c r="S880" s="8"/>
      <c r="T880" s="8"/>
      <c r="U880" s="8"/>
      <c r="V880" s="8"/>
      <c r="W880" s="8"/>
      <c r="X880" s="8"/>
      <c r="Y880" s="8"/>
      <c r="Z880" s="8"/>
      <c r="AA880" s="8"/>
    </row>
    <row r="881" spans="1:27" ht="15">
      <c r="A881" s="15"/>
      <c r="B881" s="36"/>
      <c r="C881" s="15"/>
      <c r="D881" s="37"/>
      <c r="E881" s="15"/>
      <c r="F881" s="15"/>
      <c r="G881" s="15"/>
      <c r="H881" s="15"/>
      <c r="I881" s="15"/>
      <c r="J881" s="39"/>
      <c r="K881" s="40"/>
      <c r="L881" s="8"/>
      <c r="M881" s="8"/>
      <c r="N881" s="8"/>
      <c r="O881" s="8"/>
      <c r="P881" s="8"/>
      <c r="Q881" s="8"/>
      <c r="R881" s="8"/>
      <c r="S881" s="8"/>
      <c r="T881" s="8"/>
      <c r="U881" s="8"/>
      <c r="V881" s="8"/>
      <c r="W881" s="8"/>
      <c r="X881" s="8"/>
      <c r="Y881" s="8"/>
      <c r="Z881" s="8"/>
      <c r="AA881" s="8"/>
    </row>
    <row r="882" spans="1:27" ht="15">
      <c r="A882" s="15"/>
      <c r="B882" s="36"/>
      <c r="C882" s="15"/>
      <c r="D882" s="37"/>
      <c r="E882" s="15"/>
      <c r="F882" s="15"/>
      <c r="G882" s="15"/>
      <c r="H882" s="15"/>
      <c r="I882" s="15"/>
      <c r="J882" s="39"/>
      <c r="K882" s="40"/>
      <c r="L882" s="8"/>
      <c r="M882" s="8"/>
      <c r="N882" s="8"/>
      <c r="O882" s="8"/>
      <c r="P882" s="8"/>
      <c r="Q882" s="8"/>
      <c r="R882" s="8"/>
      <c r="S882" s="8"/>
      <c r="T882" s="8"/>
      <c r="U882" s="8"/>
      <c r="V882" s="8"/>
      <c r="W882" s="8"/>
      <c r="X882" s="8"/>
      <c r="Y882" s="8"/>
      <c r="Z882" s="8"/>
      <c r="AA882" s="8"/>
    </row>
    <row r="883" spans="1:27" ht="15">
      <c r="A883" s="15"/>
      <c r="B883" s="36"/>
      <c r="C883" s="15"/>
      <c r="D883" s="37"/>
      <c r="E883" s="15"/>
      <c r="F883" s="15"/>
      <c r="G883" s="15"/>
      <c r="H883" s="15"/>
      <c r="I883" s="15"/>
      <c r="J883" s="39"/>
      <c r="K883" s="40"/>
      <c r="L883" s="8"/>
      <c r="M883" s="8"/>
      <c r="N883" s="8"/>
      <c r="O883" s="8"/>
      <c r="P883" s="8"/>
      <c r="Q883" s="8"/>
      <c r="R883" s="8"/>
      <c r="S883" s="8"/>
      <c r="T883" s="8"/>
      <c r="U883" s="8"/>
      <c r="V883" s="8"/>
      <c r="W883" s="8"/>
      <c r="X883" s="8"/>
      <c r="Y883" s="8"/>
      <c r="Z883" s="8"/>
      <c r="AA883" s="8"/>
    </row>
    <row r="884" spans="1:27" ht="15">
      <c r="A884" s="15"/>
      <c r="B884" s="36"/>
      <c r="C884" s="15"/>
      <c r="D884" s="37"/>
      <c r="E884" s="15"/>
      <c r="F884" s="15"/>
      <c r="G884" s="15"/>
      <c r="H884" s="15"/>
      <c r="I884" s="15"/>
      <c r="J884" s="39"/>
      <c r="K884" s="40"/>
      <c r="L884" s="8"/>
      <c r="M884" s="8"/>
      <c r="N884" s="8"/>
      <c r="O884" s="8"/>
      <c r="P884" s="8"/>
      <c r="Q884" s="8"/>
      <c r="R884" s="8"/>
      <c r="S884" s="8"/>
      <c r="T884" s="8"/>
      <c r="U884" s="8"/>
      <c r="V884" s="8"/>
      <c r="W884" s="8"/>
      <c r="X884" s="8"/>
      <c r="Y884" s="8"/>
      <c r="Z884" s="8"/>
      <c r="AA884" s="8"/>
    </row>
    <row r="885" spans="1:27" ht="15">
      <c r="A885" s="15"/>
      <c r="B885" s="36"/>
      <c r="C885" s="15"/>
      <c r="D885" s="37"/>
      <c r="E885" s="15"/>
      <c r="F885" s="15"/>
      <c r="G885" s="15"/>
      <c r="H885" s="15"/>
      <c r="I885" s="15"/>
      <c r="J885" s="39"/>
      <c r="K885" s="40"/>
      <c r="L885" s="8"/>
      <c r="M885" s="8"/>
      <c r="N885" s="8"/>
      <c r="O885" s="8"/>
      <c r="P885" s="8"/>
      <c r="Q885" s="8"/>
      <c r="R885" s="8"/>
      <c r="S885" s="8"/>
      <c r="T885" s="8"/>
      <c r="U885" s="8"/>
      <c r="V885" s="8"/>
      <c r="W885" s="8"/>
      <c r="X885" s="8"/>
      <c r="Y885" s="8"/>
      <c r="Z885" s="8"/>
      <c r="AA885" s="8"/>
    </row>
    <row r="886" spans="1:27" ht="15">
      <c r="A886" s="15"/>
      <c r="B886" s="36"/>
      <c r="C886" s="15"/>
      <c r="D886" s="37"/>
      <c r="E886" s="15"/>
      <c r="F886" s="15"/>
      <c r="G886" s="15"/>
      <c r="H886" s="15"/>
      <c r="I886" s="15"/>
      <c r="J886" s="39"/>
      <c r="K886" s="40"/>
      <c r="L886" s="8"/>
      <c r="M886" s="8"/>
      <c r="N886" s="8"/>
      <c r="O886" s="8"/>
      <c r="P886" s="8"/>
      <c r="Q886" s="8"/>
      <c r="R886" s="8"/>
      <c r="S886" s="8"/>
      <c r="T886" s="8"/>
      <c r="U886" s="8"/>
      <c r="V886" s="8"/>
      <c r="W886" s="8"/>
      <c r="X886" s="8"/>
      <c r="Y886" s="8"/>
      <c r="Z886" s="8"/>
      <c r="AA886" s="8"/>
    </row>
    <row r="887" spans="1:27" ht="15">
      <c r="A887" s="15"/>
      <c r="B887" s="36"/>
      <c r="C887" s="15"/>
      <c r="D887" s="37"/>
      <c r="E887" s="15"/>
      <c r="F887" s="15"/>
      <c r="G887" s="15"/>
      <c r="H887" s="15"/>
      <c r="I887" s="15"/>
      <c r="J887" s="39"/>
      <c r="K887" s="40"/>
      <c r="L887" s="8"/>
      <c r="M887" s="8"/>
      <c r="N887" s="8"/>
      <c r="O887" s="8"/>
      <c r="P887" s="8"/>
      <c r="Q887" s="8"/>
      <c r="R887" s="8"/>
      <c r="S887" s="8"/>
      <c r="T887" s="8"/>
      <c r="U887" s="8"/>
      <c r="V887" s="8"/>
      <c r="W887" s="8"/>
      <c r="X887" s="8"/>
      <c r="Y887" s="8"/>
      <c r="Z887" s="8"/>
      <c r="AA887" s="8"/>
    </row>
    <row r="888" spans="1:27" ht="15">
      <c r="A888" s="15"/>
      <c r="B888" s="36"/>
      <c r="C888" s="15"/>
      <c r="D888" s="37"/>
      <c r="E888" s="15"/>
      <c r="F888" s="15"/>
      <c r="G888" s="15"/>
      <c r="H888" s="15"/>
      <c r="I888" s="15"/>
      <c r="J888" s="39"/>
      <c r="K888" s="40"/>
      <c r="L888" s="8"/>
      <c r="M888" s="8"/>
      <c r="N888" s="8"/>
      <c r="O888" s="8"/>
      <c r="P888" s="8"/>
      <c r="Q888" s="8"/>
      <c r="R888" s="8"/>
      <c r="S888" s="8"/>
      <c r="T888" s="8"/>
      <c r="U888" s="8"/>
      <c r="V888" s="8"/>
      <c r="W888" s="8"/>
      <c r="X888" s="8"/>
      <c r="Y888" s="8"/>
      <c r="Z888" s="8"/>
      <c r="AA888" s="8"/>
    </row>
    <row r="889" spans="1:27" ht="15">
      <c r="A889" s="15"/>
      <c r="B889" s="36"/>
      <c r="C889" s="15"/>
      <c r="D889" s="37"/>
      <c r="E889" s="15"/>
      <c r="F889" s="15"/>
      <c r="G889" s="15"/>
      <c r="H889" s="15"/>
      <c r="I889" s="15"/>
      <c r="J889" s="39"/>
      <c r="K889" s="40"/>
      <c r="L889" s="8"/>
      <c r="M889" s="8"/>
      <c r="N889" s="8"/>
      <c r="O889" s="8"/>
      <c r="P889" s="8"/>
      <c r="Q889" s="8"/>
      <c r="R889" s="8"/>
      <c r="S889" s="8"/>
      <c r="T889" s="8"/>
      <c r="U889" s="8"/>
      <c r="V889" s="8"/>
      <c r="W889" s="8"/>
      <c r="X889" s="8"/>
      <c r="Y889" s="8"/>
      <c r="Z889" s="8"/>
      <c r="AA889" s="8"/>
    </row>
    <row r="890" spans="1:27" ht="15">
      <c r="A890" s="15"/>
      <c r="B890" s="36"/>
      <c r="C890" s="15"/>
      <c r="D890" s="37"/>
      <c r="E890" s="15"/>
      <c r="F890" s="15"/>
      <c r="G890" s="15"/>
      <c r="H890" s="15"/>
      <c r="I890" s="15"/>
      <c r="J890" s="39"/>
      <c r="K890" s="40"/>
      <c r="L890" s="8"/>
      <c r="M890" s="8"/>
      <c r="N890" s="8"/>
      <c r="O890" s="8"/>
      <c r="P890" s="8"/>
      <c r="Q890" s="8"/>
      <c r="R890" s="8"/>
      <c r="S890" s="8"/>
      <c r="T890" s="8"/>
      <c r="U890" s="8"/>
      <c r="V890" s="8"/>
      <c r="W890" s="8"/>
      <c r="X890" s="8"/>
      <c r="Y890" s="8"/>
      <c r="Z890" s="8"/>
      <c r="AA890" s="8"/>
    </row>
    <row r="891" spans="1:27" ht="15">
      <c r="A891" s="15"/>
      <c r="B891" s="36"/>
      <c r="C891" s="15"/>
      <c r="D891" s="37"/>
      <c r="E891" s="15"/>
      <c r="F891" s="15"/>
      <c r="G891" s="15"/>
      <c r="H891" s="15"/>
      <c r="I891" s="15"/>
      <c r="J891" s="39"/>
      <c r="K891" s="40"/>
      <c r="L891" s="8"/>
      <c r="M891" s="8"/>
      <c r="N891" s="8"/>
      <c r="O891" s="8"/>
      <c r="P891" s="8"/>
      <c r="Q891" s="8"/>
      <c r="R891" s="8"/>
      <c r="S891" s="8"/>
      <c r="T891" s="8"/>
      <c r="U891" s="8"/>
      <c r="V891" s="8"/>
      <c r="W891" s="8"/>
      <c r="X891" s="8"/>
      <c r="Y891" s="8"/>
      <c r="Z891" s="8"/>
      <c r="AA891" s="8"/>
    </row>
    <row r="892" spans="1:27" ht="15">
      <c r="A892" s="15"/>
      <c r="B892" s="36"/>
      <c r="C892" s="15"/>
      <c r="D892" s="37"/>
      <c r="E892" s="15"/>
      <c r="F892" s="15"/>
      <c r="G892" s="15"/>
      <c r="H892" s="15"/>
      <c r="I892" s="15"/>
      <c r="J892" s="39"/>
      <c r="K892" s="40"/>
      <c r="L892" s="8"/>
      <c r="M892" s="8"/>
      <c r="N892" s="8"/>
      <c r="O892" s="8"/>
      <c r="P892" s="8"/>
      <c r="Q892" s="8"/>
      <c r="R892" s="8"/>
      <c r="S892" s="8"/>
      <c r="T892" s="8"/>
      <c r="U892" s="8"/>
      <c r="V892" s="8"/>
      <c r="W892" s="8"/>
      <c r="X892" s="8"/>
      <c r="Y892" s="8"/>
      <c r="Z892" s="8"/>
      <c r="AA892" s="8"/>
    </row>
    <row r="893" spans="1:27" ht="15">
      <c r="A893" s="15"/>
      <c r="B893" s="36"/>
      <c r="C893" s="15"/>
      <c r="D893" s="37"/>
      <c r="E893" s="15"/>
      <c r="F893" s="15"/>
      <c r="G893" s="15"/>
      <c r="H893" s="15"/>
      <c r="I893" s="15"/>
      <c r="J893" s="39"/>
      <c r="K893" s="40"/>
      <c r="L893" s="8"/>
      <c r="M893" s="8"/>
      <c r="N893" s="8"/>
      <c r="O893" s="8"/>
      <c r="P893" s="8"/>
      <c r="Q893" s="8"/>
      <c r="R893" s="8"/>
      <c r="S893" s="8"/>
      <c r="T893" s="8"/>
      <c r="U893" s="8"/>
      <c r="V893" s="8"/>
      <c r="W893" s="8"/>
      <c r="X893" s="8"/>
      <c r="Y893" s="8"/>
      <c r="Z893" s="8"/>
      <c r="AA893" s="8"/>
    </row>
    <row r="894" spans="1:27" ht="15">
      <c r="A894" s="15"/>
      <c r="B894" s="36"/>
      <c r="C894" s="15"/>
      <c r="D894" s="37"/>
      <c r="E894" s="15"/>
      <c r="F894" s="15"/>
      <c r="G894" s="15"/>
      <c r="H894" s="15"/>
      <c r="I894" s="15"/>
      <c r="J894" s="39"/>
      <c r="K894" s="40"/>
      <c r="L894" s="8"/>
      <c r="M894" s="8"/>
      <c r="N894" s="8"/>
      <c r="O894" s="8"/>
      <c r="P894" s="8"/>
      <c r="Q894" s="8"/>
      <c r="R894" s="8"/>
      <c r="S894" s="8"/>
      <c r="T894" s="8"/>
      <c r="U894" s="8"/>
      <c r="V894" s="8"/>
      <c r="W894" s="8"/>
      <c r="X894" s="8"/>
      <c r="Y894" s="8"/>
      <c r="Z894" s="8"/>
      <c r="AA894" s="8"/>
    </row>
    <row r="895" spans="1:27" ht="15">
      <c r="A895" s="15"/>
      <c r="B895" s="36"/>
      <c r="C895" s="15"/>
      <c r="D895" s="37"/>
      <c r="E895" s="15"/>
      <c r="F895" s="15"/>
      <c r="G895" s="15"/>
      <c r="H895" s="15"/>
      <c r="I895" s="15"/>
      <c r="J895" s="39"/>
      <c r="K895" s="40"/>
      <c r="L895" s="8"/>
      <c r="M895" s="8"/>
      <c r="N895" s="8"/>
      <c r="O895" s="8"/>
      <c r="P895" s="8"/>
      <c r="Q895" s="8"/>
      <c r="R895" s="8"/>
      <c r="S895" s="8"/>
      <c r="T895" s="8"/>
      <c r="U895" s="8"/>
      <c r="V895" s="8"/>
      <c r="W895" s="8"/>
      <c r="X895" s="8"/>
      <c r="Y895" s="8"/>
      <c r="Z895" s="8"/>
      <c r="AA895" s="8"/>
    </row>
    <row r="896" spans="1:27" ht="15">
      <c r="A896" s="15"/>
      <c r="B896" s="36"/>
      <c r="C896" s="15"/>
      <c r="D896" s="37"/>
      <c r="E896" s="15"/>
      <c r="F896" s="15"/>
      <c r="G896" s="15"/>
      <c r="H896" s="15"/>
      <c r="I896" s="15"/>
      <c r="J896" s="39"/>
      <c r="K896" s="40"/>
      <c r="L896" s="8"/>
      <c r="M896" s="8"/>
      <c r="N896" s="8"/>
      <c r="O896" s="8"/>
      <c r="P896" s="8"/>
      <c r="Q896" s="8"/>
      <c r="R896" s="8"/>
      <c r="S896" s="8"/>
      <c r="T896" s="8"/>
      <c r="U896" s="8"/>
      <c r="V896" s="8"/>
      <c r="W896" s="8"/>
      <c r="X896" s="8"/>
      <c r="Y896" s="8"/>
      <c r="Z896" s="8"/>
      <c r="AA896" s="8"/>
    </row>
    <row r="897" spans="1:27" ht="15">
      <c r="A897" s="15"/>
      <c r="B897" s="36"/>
      <c r="C897" s="15"/>
      <c r="D897" s="37"/>
      <c r="E897" s="15"/>
      <c r="F897" s="15"/>
      <c r="G897" s="15"/>
      <c r="H897" s="15"/>
      <c r="I897" s="15"/>
      <c r="J897" s="39"/>
      <c r="K897" s="40"/>
      <c r="L897" s="8"/>
      <c r="M897" s="8"/>
      <c r="N897" s="8"/>
      <c r="O897" s="8"/>
      <c r="P897" s="8"/>
      <c r="Q897" s="8"/>
      <c r="R897" s="8"/>
      <c r="S897" s="8"/>
      <c r="T897" s="8"/>
      <c r="U897" s="8"/>
      <c r="V897" s="8"/>
      <c r="W897" s="8"/>
      <c r="X897" s="8"/>
      <c r="Y897" s="8"/>
      <c r="Z897" s="8"/>
      <c r="AA897" s="8"/>
    </row>
    <row r="898" spans="1:27" ht="15">
      <c r="A898" s="15"/>
      <c r="B898" s="36"/>
      <c r="C898" s="15"/>
      <c r="D898" s="37"/>
      <c r="E898" s="15"/>
      <c r="F898" s="15"/>
      <c r="G898" s="15"/>
      <c r="H898" s="15"/>
      <c r="I898" s="15"/>
      <c r="J898" s="39"/>
      <c r="K898" s="40"/>
      <c r="L898" s="8"/>
      <c r="M898" s="8"/>
      <c r="N898" s="8"/>
      <c r="O898" s="8"/>
      <c r="P898" s="8"/>
      <c r="Q898" s="8"/>
      <c r="R898" s="8"/>
      <c r="S898" s="8"/>
      <c r="T898" s="8"/>
      <c r="U898" s="8"/>
      <c r="V898" s="8"/>
      <c r="W898" s="8"/>
      <c r="X898" s="8"/>
      <c r="Y898" s="8"/>
      <c r="Z898" s="8"/>
      <c r="AA898" s="8"/>
    </row>
    <row r="899" spans="1:27" ht="15">
      <c r="A899" s="15"/>
      <c r="B899" s="36"/>
      <c r="C899" s="15"/>
      <c r="D899" s="37"/>
      <c r="E899" s="15"/>
      <c r="F899" s="15"/>
      <c r="G899" s="15"/>
      <c r="H899" s="15"/>
      <c r="I899" s="15"/>
      <c r="J899" s="39"/>
      <c r="K899" s="40"/>
      <c r="L899" s="8"/>
      <c r="M899" s="8"/>
      <c r="N899" s="8"/>
      <c r="O899" s="8"/>
      <c r="P899" s="8"/>
      <c r="Q899" s="8"/>
      <c r="R899" s="8"/>
      <c r="S899" s="8"/>
      <c r="T899" s="8"/>
      <c r="U899" s="8"/>
      <c r="V899" s="8"/>
      <c r="W899" s="8"/>
      <c r="X899" s="8"/>
      <c r="Y899" s="8"/>
      <c r="Z899" s="8"/>
      <c r="AA899" s="8"/>
    </row>
    <row r="900" spans="1:27" ht="15">
      <c r="A900" s="15"/>
      <c r="B900" s="36"/>
      <c r="C900" s="15"/>
      <c r="D900" s="37"/>
      <c r="E900" s="15"/>
      <c r="F900" s="15"/>
      <c r="G900" s="15"/>
      <c r="H900" s="15"/>
      <c r="I900" s="15"/>
      <c r="J900" s="39"/>
      <c r="K900" s="40"/>
      <c r="L900" s="8"/>
      <c r="M900" s="8"/>
      <c r="N900" s="8"/>
      <c r="O900" s="8"/>
      <c r="P900" s="8"/>
      <c r="Q900" s="8"/>
      <c r="R900" s="8"/>
      <c r="S900" s="8"/>
      <c r="T900" s="8"/>
      <c r="U900" s="8"/>
      <c r="V900" s="8"/>
      <c r="W900" s="8"/>
      <c r="X900" s="8"/>
      <c r="Y900" s="8"/>
      <c r="Z900" s="8"/>
      <c r="AA900" s="8"/>
    </row>
    <row r="901" spans="1:27" ht="15">
      <c r="A901" s="15"/>
      <c r="B901" s="36"/>
      <c r="C901" s="15"/>
      <c r="D901" s="37"/>
      <c r="E901" s="15"/>
      <c r="F901" s="15"/>
      <c r="G901" s="15"/>
      <c r="H901" s="15"/>
      <c r="I901" s="15"/>
      <c r="J901" s="39"/>
      <c r="K901" s="40"/>
      <c r="L901" s="8"/>
      <c r="M901" s="8"/>
      <c r="N901" s="8"/>
      <c r="O901" s="8"/>
      <c r="P901" s="8"/>
      <c r="Q901" s="8"/>
      <c r="R901" s="8"/>
      <c r="S901" s="8"/>
      <c r="T901" s="8"/>
      <c r="U901" s="8"/>
      <c r="V901" s="8"/>
      <c r="W901" s="8"/>
      <c r="X901" s="8"/>
      <c r="Y901" s="8"/>
      <c r="Z901" s="8"/>
      <c r="AA901" s="8"/>
    </row>
    <row r="902" spans="1:27" ht="15">
      <c r="A902" s="15"/>
      <c r="B902" s="36"/>
      <c r="C902" s="15"/>
      <c r="D902" s="37"/>
      <c r="E902" s="15"/>
      <c r="F902" s="15"/>
      <c r="G902" s="15"/>
      <c r="H902" s="15"/>
      <c r="I902" s="15"/>
      <c r="J902" s="39"/>
      <c r="K902" s="40"/>
      <c r="L902" s="8"/>
      <c r="M902" s="8"/>
      <c r="N902" s="8"/>
      <c r="O902" s="8"/>
      <c r="P902" s="8"/>
      <c r="Q902" s="8"/>
      <c r="R902" s="8"/>
      <c r="S902" s="8"/>
      <c r="T902" s="8"/>
      <c r="U902" s="8"/>
      <c r="V902" s="8"/>
      <c r="W902" s="8"/>
      <c r="X902" s="8"/>
      <c r="Y902" s="8"/>
      <c r="Z902" s="8"/>
      <c r="AA902" s="8"/>
    </row>
    <row r="903" spans="1:27" ht="15">
      <c r="A903" s="15"/>
      <c r="B903" s="36"/>
      <c r="C903" s="15"/>
      <c r="D903" s="37"/>
      <c r="E903" s="15"/>
      <c r="F903" s="15"/>
      <c r="G903" s="15"/>
      <c r="H903" s="15"/>
      <c r="I903" s="15"/>
      <c r="J903" s="39"/>
      <c r="K903" s="40"/>
      <c r="L903" s="8"/>
      <c r="M903" s="8"/>
      <c r="N903" s="8"/>
      <c r="O903" s="8"/>
      <c r="P903" s="8"/>
      <c r="Q903" s="8"/>
      <c r="R903" s="8"/>
      <c r="S903" s="8"/>
      <c r="T903" s="8"/>
      <c r="U903" s="8"/>
      <c r="V903" s="8"/>
      <c r="W903" s="8"/>
      <c r="X903" s="8"/>
      <c r="Y903" s="8"/>
      <c r="Z903" s="8"/>
      <c r="AA903" s="8"/>
    </row>
    <row r="904" spans="1:27" ht="15">
      <c r="A904" s="15"/>
      <c r="B904" s="36"/>
      <c r="C904" s="15"/>
      <c r="D904" s="37"/>
      <c r="E904" s="15"/>
      <c r="F904" s="15"/>
      <c r="G904" s="15"/>
      <c r="H904" s="15"/>
      <c r="I904" s="15"/>
      <c r="J904" s="39"/>
      <c r="K904" s="40"/>
      <c r="L904" s="8"/>
      <c r="M904" s="8"/>
      <c r="N904" s="8"/>
      <c r="O904" s="8"/>
      <c r="P904" s="8"/>
      <c r="Q904" s="8"/>
      <c r="R904" s="8"/>
      <c r="S904" s="8"/>
      <c r="T904" s="8"/>
      <c r="U904" s="8"/>
      <c r="V904" s="8"/>
      <c r="W904" s="8"/>
      <c r="X904" s="8"/>
      <c r="Y904" s="8"/>
      <c r="Z904" s="8"/>
      <c r="AA904" s="8"/>
    </row>
    <row r="905" spans="1:27" ht="15">
      <c r="A905" s="15"/>
      <c r="B905" s="36"/>
      <c r="C905" s="15"/>
      <c r="D905" s="37"/>
      <c r="E905" s="15"/>
      <c r="F905" s="15"/>
      <c r="G905" s="15"/>
      <c r="H905" s="15"/>
      <c r="I905" s="15"/>
      <c r="J905" s="39"/>
      <c r="K905" s="40"/>
      <c r="L905" s="8"/>
      <c r="M905" s="8"/>
      <c r="N905" s="8"/>
      <c r="O905" s="8"/>
      <c r="P905" s="8"/>
      <c r="Q905" s="8"/>
      <c r="R905" s="8"/>
      <c r="S905" s="8"/>
      <c r="T905" s="8"/>
      <c r="U905" s="8"/>
      <c r="V905" s="8"/>
      <c r="W905" s="8"/>
      <c r="X905" s="8"/>
      <c r="Y905" s="8"/>
      <c r="Z905" s="8"/>
      <c r="AA905" s="8"/>
    </row>
    <row r="906" spans="1:27" ht="15">
      <c r="A906" s="15"/>
      <c r="B906" s="36"/>
      <c r="C906" s="15"/>
      <c r="D906" s="37"/>
      <c r="E906" s="15"/>
      <c r="F906" s="15"/>
      <c r="G906" s="15"/>
      <c r="H906" s="15"/>
      <c r="I906" s="15"/>
      <c r="J906" s="39"/>
      <c r="K906" s="40"/>
      <c r="L906" s="8"/>
      <c r="M906" s="8"/>
      <c r="N906" s="8"/>
      <c r="O906" s="8"/>
      <c r="P906" s="8"/>
      <c r="Q906" s="8"/>
      <c r="R906" s="8"/>
      <c r="S906" s="8"/>
      <c r="T906" s="8"/>
      <c r="U906" s="8"/>
      <c r="V906" s="8"/>
      <c r="W906" s="8"/>
      <c r="X906" s="8"/>
      <c r="Y906" s="8"/>
      <c r="Z906" s="8"/>
      <c r="AA906" s="8"/>
    </row>
    <row r="907" spans="1:27" ht="15">
      <c r="A907" s="15"/>
      <c r="B907" s="36"/>
      <c r="C907" s="15"/>
      <c r="D907" s="37"/>
      <c r="E907" s="15"/>
      <c r="F907" s="15"/>
      <c r="G907" s="15"/>
      <c r="H907" s="15"/>
      <c r="I907" s="15"/>
      <c r="J907" s="39"/>
      <c r="K907" s="40"/>
      <c r="L907" s="8"/>
      <c r="M907" s="8"/>
      <c r="N907" s="8"/>
      <c r="O907" s="8"/>
      <c r="P907" s="8"/>
      <c r="Q907" s="8"/>
      <c r="R907" s="8"/>
      <c r="S907" s="8"/>
      <c r="T907" s="8"/>
      <c r="U907" s="8"/>
      <c r="V907" s="8"/>
      <c r="W907" s="8"/>
      <c r="X907" s="8"/>
      <c r="Y907" s="8"/>
      <c r="Z907" s="8"/>
      <c r="AA907" s="8"/>
    </row>
    <row r="908" spans="1:27" ht="15">
      <c r="A908" s="15"/>
      <c r="B908" s="36"/>
      <c r="C908" s="15"/>
      <c r="D908" s="37"/>
      <c r="E908" s="15"/>
      <c r="F908" s="15"/>
      <c r="G908" s="15"/>
      <c r="H908" s="15"/>
      <c r="I908" s="15"/>
      <c r="J908" s="39"/>
      <c r="K908" s="40"/>
      <c r="L908" s="8"/>
      <c r="M908" s="8"/>
      <c r="N908" s="8"/>
      <c r="O908" s="8"/>
      <c r="P908" s="8"/>
      <c r="Q908" s="8"/>
      <c r="R908" s="8"/>
      <c r="S908" s="8"/>
      <c r="T908" s="8"/>
      <c r="U908" s="8"/>
      <c r="V908" s="8"/>
      <c r="W908" s="8"/>
      <c r="X908" s="8"/>
      <c r="Y908" s="8"/>
      <c r="Z908" s="8"/>
      <c r="AA908" s="8"/>
    </row>
    <row r="909" spans="1:27" ht="15">
      <c r="A909" s="15"/>
      <c r="B909" s="36"/>
      <c r="C909" s="15"/>
      <c r="D909" s="37"/>
      <c r="E909" s="15"/>
      <c r="F909" s="15"/>
      <c r="G909" s="15"/>
      <c r="H909" s="15"/>
      <c r="I909" s="15"/>
      <c r="J909" s="39"/>
      <c r="K909" s="40"/>
      <c r="L909" s="8"/>
      <c r="M909" s="8"/>
      <c r="N909" s="8"/>
      <c r="O909" s="8"/>
      <c r="P909" s="8"/>
      <c r="Q909" s="8"/>
      <c r="R909" s="8"/>
      <c r="S909" s="8"/>
      <c r="T909" s="8"/>
      <c r="U909" s="8"/>
      <c r="V909" s="8"/>
      <c r="W909" s="8"/>
      <c r="X909" s="8"/>
      <c r="Y909" s="8"/>
      <c r="Z909" s="8"/>
      <c r="AA909" s="8"/>
    </row>
    <row r="910" spans="1:27" ht="15">
      <c r="A910" s="15"/>
      <c r="B910" s="36"/>
      <c r="C910" s="15"/>
      <c r="D910" s="37"/>
      <c r="E910" s="15"/>
      <c r="F910" s="15"/>
      <c r="G910" s="15"/>
      <c r="H910" s="15"/>
      <c r="I910" s="15"/>
      <c r="J910" s="39"/>
      <c r="K910" s="40"/>
      <c r="L910" s="8"/>
      <c r="M910" s="8"/>
      <c r="N910" s="8"/>
      <c r="O910" s="8"/>
      <c r="P910" s="8"/>
      <c r="Q910" s="8"/>
      <c r="R910" s="8"/>
      <c r="S910" s="8"/>
      <c r="T910" s="8"/>
      <c r="U910" s="8"/>
      <c r="V910" s="8"/>
      <c r="W910" s="8"/>
      <c r="X910" s="8"/>
      <c r="Y910" s="8"/>
      <c r="Z910" s="8"/>
      <c r="AA910" s="8"/>
    </row>
    <row r="911" spans="1:27" ht="15">
      <c r="A911" s="15"/>
      <c r="B911" s="36"/>
      <c r="C911" s="15"/>
      <c r="D911" s="37"/>
      <c r="E911" s="15"/>
      <c r="F911" s="15"/>
      <c r="G911" s="15"/>
      <c r="H911" s="15"/>
      <c r="I911" s="15"/>
      <c r="J911" s="39"/>
      <c r="K911" s="40"/>
      <c r="L911" s="8"/>
      <c r="M911" s="8"/>
      <c r="N911" s="8"/>
      <c r="O911" s="8"/>
      <c r="P911" s="8"/>
      <c r="Q911" s="8"/>
      <c r="R911" s="8"/>
      <c r="S911" s="8"/>
      <c r="T911" s="8"/>
      <c r="U911" s="8"/>
      <c r="V911" s="8"/>
      <c r="W911" s="8"/>
      <c r="X911" s="8"/>
      <c r="Y911" s="8"/>
      <c r="Z911" s="8"/>
      <c r="AA911" s="8"/>
    </row>
    <row r="912" spans="1:27" ht="15">
      <c r="A912" s="15"/>
      <c r="B912" s="36"/>
      <c r="C912" s="15"/>
      <c r="D912" s="37"/>
      <c r="E912" s="15"/>
      <c r="F912" s="15"/>
      <c r="G912" s="15"/>
      <c r="H912" s="15"/>
      <c r="I912" s="15"/>
      <c r="J912" s="39"/>
      <c r="K912" s="40"/>
      <c r="L912" s="8"/>
      <c r="M912" s="8"/>
      <c r="N912" s="8"/>
      <c r="O912" s="8"/>
      <c r="P912" s="8"/>
      <c r="Q912" s="8"/>
      <c r="R912" s="8"/>
      <c r="S912" s="8"/>
      <c r="T912" s="8"/>
      <c r="U912" s="8"/>
      <c r="V912" s="8"/>
      <c r="W912" s="8"/>
      <c r="X912" s="8"/>
      <c r="Y912" s="8"/>
      <c r="Z912" s="8"/>
      <c r="AA912" s="8"/>
    </row>
    <row r="913" spans="1:27" ht="15">
      <c r="A913" s="15"/>
      <c r="B913" s="36"/>
      <c r="C913" s="15"/>
      <c r="D913" s="37"/>
      <c r="E913" s="15"/>
      <c r="F913" s="15"/>
      <c r="G913" s="15"/>
      <c r="H913" s="15"/>
      <c r="I913" s="15"/>
      <c r="J913" s="39"/>
      <c r="K913" s="40"/>
      <c r="L913" s="8"/>
      <c r="M913" s="8"/>
      <c r="N913" s="8"/>
      <c r="O913" s="8"/>
      <c r="P913" s="8"/>
      <c r="Q913" s="8"/>
      <c r="R913" s="8"/>
      <c r="S913" s="8"/>
      <c r="T913" s="8"/>
      <c r="U913" s="8"/>
      <c r="V913" s="8"/>
      <c r="W913" s="8"/>
      <c r="X913" s="8"/>
      <c r="Y913" s="8"/>
      <c r="Z913" s="8"/>
      <c r="AA913" s="8"/>
    </row>
    <row r="914" spans="1:27" ht="15">
      <c r="A914" s="15"/>
      <c r="B914" s="36"/>
      <c r="C914" s="15"/>
      <c r="D914" s="37"/>
      <c r="E914" s="15"/>
      <c r="F914" s="15"/>
      <c r="G914" s="15"/>
      <c r="H914" s="15"/>
      <c r="I914" s="15"/>
      <c r="J914" s="39"/>
      <c r="K914" s="40"/>
      <c r="L914" s="8"/>
      <c r="M914" s="8"/>
      <c r="N914" s="8"/>
      <c r="O914" s="8"/>
      <c r="P914" s="8"/>
      <c r="Q914" s="8"/>
      <c r="R914" s="8"/>
      <c r="S914" s="8"/>
      <c r="T914" s="8"/>
      <c r="U914" s="8"/>
      <c r="V914" s="8"/>
      <c r="W914" s="8"/>
      <c r="X914" s="8"/>
      <c r="Y914" s="8"/>
      <c r="Z914" s="8"/>
      <c r="AA914" s="8"/>
    </row>
    <row r="915" spans="1:27" ht="15">
      <c r="A915" s="15"/>
      <c r="B915" s="36"/>
      <c r="C915" s="15"/>
      <c r="D915" s="37"/>
      <c r="E915" s="15"/>
      <c r="F915" s="15"/>
      <c r="G915" s="15"/>
      <c r="H915" s="15"/>
      <c r="I915" s="15"/>
      <c r="J915" s="39"/>
      <c r="K915" s="40"/>
      <c r="L915" s="8"/>
      <c r="M915" s="8"/>
      <c r="N915" s="8"/>
      <c r="O915" s="8"/>
      <c r="P915" s="8"/>
      <c r="Q915" s="8"/>
      <c r="R915" s="8"/>
      <c r="S915" s="8"/>
      <c r="T915" s="8"/>
      <c r="U915" s="8"/>
      <c r="V915" s="8"/>
      <c r="W915" s="8"/>
      <c r="X915" s="8"/>
      <c r="Y915" s="8"/>
      <c r="Z915" s="8"/>
      <c r="AA915" s="8"/>
    </row>
    <row r="916" spans="1:27" ht="15">
      <c r="A916" s="15"/>
      <c r="B916" s="36"/>
      <c r="C916" s="15"/>
      <c r="D916" s="37"/>
      <c r="E916" s="15"/>
      <c r="F916" s="15"/>
      <c r="G916" s="15"/>
      <c r="H916" s="15"/>
      <c r="I916" s="15"/>
      <c r="J916" s="39"/>
      <c r="K916" s="40"/>
      <c r="L916" s="8"/>
      <c r="M916" s="8"/>
      <c r="N916" s="8"/>
      <c r="O916" s="8"/>
      <c r="P916" s="8"/>
      <c r="Q916" s="8"/>
      <c r="R916" s="8"/>
      <c r="S916" s="8"/>
      <c r="T916" s="8"/>
      <c r="U916" s="8"/>
      <c r="V916" s="8"/>
      <c r="W916" s="8"/>
      <c r="X916" s="8"/>
      <c r="Y916" s="8"/>
      <c r="Z916" s="8"/>
      <c r="AA916" s="8"/>
    </row>
    <row r="917" spans="1:27" ht="15">
      <c r="A917" s="15"/>
      <c r="B917" s="36"/>
      <c r="C917" s="15"/>
      <c r="D917" s="37"/>
      <c r="E917" s="15"/>
      <c r="F917" s="15"/>
      <c r="G917" s="15"/>
      <c r="H917" s="15"/>
      <c r="I917" s="15"/>
      <c r="J917" s="39"/>
      <c r="K917" s="40"/>
      <c r="L917" s="8"/>
      <c r="M917" s="8"/>
      <c r="N917" s="8"/>
      <c r="O917" s="8"/>
      <c r="P917" s="8"/>
      <c r="Q917" s="8"/>
      <c r="R917" s="8"/>
      <c r="S917" s="8"/>
      <c r="T917" s="8"/>
      <c r="U917" s="8"/>
      <c r="V917" s="8"/>
      <c r="W917" s="8"/>
      <c r="X917" s="8"/>
      <c r="Y917" s="8"/>
      <c r="Z917" s="8"/>
      <c r="AA917" s="8"/>
    </row>
    <row r="918" spans="1:27" ht="15">
      <c r="A918" s="15"/>
      <c r="B918" s="36"/>
      <c r="C918" s="15"/>
      <c r="D918" s="37"/>
      <c r="E918" s="15"/>
      <c r="F918" s="15"/>
      <c r="G918" s="15"/>
      <c r="H918" s="15"/>
      <c r="I918" s="15"/>
      <c r="J918" s="39"/>
      <c r="K918" s="40"/>
      <c r="L918" s="8"/>
      <c r="M918" s="8"/>
      <c r="N918" s="8"/>
      <c r="O918" s="8"/>
      <c r="P918" s="8"/>
      <c r="Q918" s="8"/>
      <c r="R918" s="8"/>
      <c r="S918" s="8"/>
      <c r="T918" s="8"/>
      <c r="U918" s="8"/>
      <c r="V918" s="8"/>
      <c r="W918" s="8"/>
      <c r="X918" s="8"/>
      <c r="Y918" s="8"/>
      <c r="Z918" s="8"/>
      <c r="AA918" s="8"/>
    </row>
    <row r="919" spans="1:27" ht="15">
      <c r="A919" s="15"/>
      <c r="B919" s="36"/>
      <c r="C919" s="15"/>
      <c r="D919" s="37"/>
      <c r="E919" s="15"/>
      <c r="F919" s="15"/>
      <c r="G919" s="15"/>
      <c r="H919" s="15"/>
      <c r="I919" s="15"/>
      <c r="J919" s="39"/>
      <c r="K919" s="40"/>
      <c r="L919" s="8"/>
      <c r="M919" s="8"/>
      <c r="N919" s="8"/>
      <c r="O919" s="8"/>
      <c r="P919" s="8"/>
      <c r="Q919" s="8"/>
      <c r="R919" s="8"/>
      <c r="S919" s="8"/>
      <c r="T919" s="8"/>
      <c r="U919" s="8"/>
      <c r="V919" s="8"/>
      <c r="W919" s="8"/>
      <c r="X919" s="8"/>
      <c r="Y919" s="8"/>
      <c r="Z919" s="8"/>
      <c r="AA919" s="8"/>
    </row>
    <row r="920" spans="1:27" ht="15">
      <c r="A920" s="15"/>
      <c r="B920" s="36"/>
      <c r="C920" s="15"/>
      <c r="D920" s="37"/>
      <c r="E920" s="15"/>
      <c r="F920" s="15"/>
      <c r="G920" s="15"/>
      <c r="H920" s="15"/>
      <c r="I920" s="15"/>
      <c r="J920" s="39"/>
      <c r="K920" s="40"/>
      <c r="L920" s="8"/>
      <c r="M920" s="8"/>
      <c r="N920" s="8"/>
      <c r="O920" s="8"/>
      <c r="P920" s="8"/>
      <c r="Q920" s="8"/>
      <c r="R920" s="8"/>
      <c r="S920" s="8"/>
      <c r="T920" s="8"/>
      <c r="U920" s="8"/>
      <c r="V920" s="8"/>
      <c r="W920" s="8"/>
      <c r="X920" s="8"/>
      <c r="Y920" s="8"/>
      <c r="Z920" s="8"/>
      <c r="AA920" s="8"/>
    </row>
    <row r="921" spans="1:27" ht="15">
      <c r="A921" s="15"/>
      <c r="B921" s="36"/>
      <c r="C921" s="15"/>
      <c r="D921" s="37"/>
      <c r="E921" s="15"/>
      <c r="F921" s="15"/>
      <c r="G921" s="15"/>
      <c r="H921" s="15"/>
      <c r="I921" s="15"/>
      <c r="J921" s="39"/>
      <c r="K921" s="40"/>
      <c r="L921" s="8"/>
      <c r="M921" s="8"/>
      <c r="N921" s="8"/>
      <c r="O921" s="8"/>
      <c r="P921" s="8"/>
      <c r="Q921" s="8"/>
      <c r="R921" s="8"/>
      <c r="S921" s="8"/>
      <c r="T921" s="8"/>
      <c r="U921" s="8"/>
      <c r="V921" s="8"/>
      <c r="W921" s="8"/>
      <c r="X921" s="8"/>
      <c r="Y921" s="8"/>
      <c r="Z921" s="8"/>
      <c r="AA921" s="8"/>
    </row>
    <row r="922" spans="1:27" ht="15">
      <c r="A922" s="15"/>
      <c r="B922" s="36"/>
      <c r="C922" s="15"/>
      <c r="D922" s="37"/>
      <c r="E922" s="15"/>
      <c r="F922" s="15"/>
      <c r="G922" s="15"/>
      <c r="H922" s="15"/>
      <c r="I922" s="15"/>
      <c r="J922" s="39"/>
      <c r="K922" s="40"/>
      <c r="L922" s="8"/>
      <c r="M922" s="8"/>
      <c r="N922" s="8"/>
      <c r="O922" s="8"/>
      <c r="P922" s="8"/>
      <c r="Q922" s="8"/>
      <c r="R922" s="8"/>
      <c r="S922" s="8"/>
      <c r="T922" s="8"/>
      <c r="U922" s="8"/>
      <c r="V922" s="8"/>
      <c r="W922" s="8"/>
      <c r="X922" s="8"/>
      <c r="Y922" s="8"/>
      <c r="Z922" s="8"/>
      <c r="AA922" s="8"/>
    </row>
    <row r="923" spans="1:27" ht="15">
      <c r="A923" s="15"/>
      <c r="B923" s="36"/>
      <c r="C923" s="15"/>
      <c r="D923" s="37"/>
      <c r="E923" s="15"/>
      <c r="F923" s="15"/>
      <c r="G923" s="15"/>
      <c r="H923" s="15"/>
      <c r="I923" s="15"/>
      <c r="J923" s="39"/>
      <c r="K923" s="40"/>
      <c r="L923" s="8"/>
      <c r="M923" s="8"/>
      <c r="N923" s="8"/>
      <c r="O923" s="8"/>
      <c r="P923" s="8"/>
      <c r="Q923" s="8"/>
      <c r="R923" s="8"/>
      <c r="S923" s="8"/>
      <c r="T923" s="8"/>
      <c r="U923" s="8"/>
      <c r="V923" s="8"/>
      <c r="W923" s="8"/>
      <c r="X923" s="8"/>
      <c r="Y923" s="8"/>
      <c r="Z923" s="8"/>
      <c r="AA923" s="8"/>
    </row>
    <row r="924" spans="1:27" ht="15">
      <c r="A924" s="15"/>
      <c r="B924" s="36"/>
      <c r="C924" s="15"/>
      <c r="D924" s="37"/>
      <c r="E924" s="15"/>
      <c r="F924" s="15"/>
      <c r="G924" s="15"/>
      <c r="H924" s="15"/>
      <c r="I924" s="15"/>
      <c r="J924" s="39"/>
      <c r="K924" s="40"/>
      <c r="L924" s="8"/>
      <c r="M924" s="8"/>
      <c r="N924" s="8"/>
      <c r="O924" s="8"/>
      <c r="P924" s="8"/>
      <c r="Q924" s="8"/>
      <c r="R924" s="8"/>
      <c r="S924" s="8"/>
      <c r="T924" s="8"/>
      <c r="U924" s="8"/>
      <c r="V924" s="8"/>
      <c r="W924" s="8"/>
      <c r="X924" s="8"/>
      <c r="Y924" s="8"/>
      <c r="Z924" s="8"/>
      <c r="AA924" s="8"/>
    </row>
    <row r="925" spans="1:27" ht="15">
      <c r="A925" s="15"/>
      <c r="B925" s="36"/>
      <c r="C925" s="15"/>
      <c r="D925" s="37"/>
      <c r="E925" s="15"/>
      <c r="F925" s="15"/>
      <c r="G925" s="15"/>
      <c r="H925" s="15"/>
      <c r="I925" s="15"/>
      <c r="J925" s="39"/>
      <c r="K925" s="40"/>
      <c r="L925" s="8"/>
      <c r="M925" s="8"/>
      <c r="N925" s="8"/>
      <c r="O925" s="8"/>
      <c r="P925" s="8"/>
      <c r="Q925" s="8"/>
      <c r="R925" s="8"/>
      <c r="S925" s="8"/>
      <c r="T925" s="8"/>
      <c r="U925" s="8"/>
      <c r="V925" s="8"/>
      <c r="W925" s="8"/>
      <c r="X925" s="8"/>
      <c r="Y925" s="8"/>
      <c r="Z925" s="8"/>
      <c r="AA925" s="8"/>
    </row>
    <row r="926" spans="1:27" ht="15">
      <c r="A926" s="15"/>
      <c r="B926" s="36"/>
      <c r="C926" s="15"/>
      <c r="D926" s="37"/>
      <c r="E926" s="15"/>
      <c r="F926" s="15"/>
      <c r="G926" s="15"/>
      <c r="H926" s="15"/>
      <c r="I926" s="15"/>
      <c r="J926" s="39"/>
      <c r="K926" s="40"/>
      <c r="L926" s="8"/>
      <c r="M926" s="8"/>
      <c r="N926" s="8"/>
      <c r="O926" s="8"/>
      <c r="P926" s="8"/>
      <c r="Q926" s="8"/>
      <c r="R926" s="8"/>
      <c r="S926" s="8"/>
      <c r="T926" s="8"/>
      <c r="U926" s="8"/>
      <c r="V926" s="8"/>
      <c r="W926" s="8"/>
      <c r="X926" s="8"/>
      <c r="Y926" s="8"/>
      <c r="Z926" s="8"/>
      <c r="AA926" s="8"/>
    </row>
    <row r="927" spans="1:27" ht="15">
      <c r="A927" s="15"/>
      <c r="B927" s="36"/>
      <c r="C927" s="15"/>
      <c r="D927" s="37"/>
      <c r="E927" s="15"/>
      <c r="F927" s="15"/>
      <c r="G927" s="15"/>
      <c r="H927" s="15"/>
      <c r="I927" s="15"/>
      <c r="J927" s="39"/>
      <c r="K927" s="40"/>
      <c r="L927" s="8"/>
      <c r="M927" s="8"/>
      <c r="N927" s="8"/>
      <c r="O927" s="8"/>
      <c r="P927" s="8"/>
      <c r="Q927" s="8"/>
      <c r="R927" s="8"/>
      <c r="S927" s="8"/>
      <c r="T927" s="8"/>
      <c r="U927" s="8"/>
      <c r="V927" s="8"/>
      <c r="W927" s="8"/>
      <c r="X927" s="8"/>
      <c r="Y927" s="8"/>
      <c r="Z927" s="8"/>
      <c r="AA927" s="8"/>
    </row>
    <row r="928" spans="1:27" ht="15">
      <c r="A928" s="15"/>
      <c r="B928" s="36"/>
      <c r="C928" s="15"/>
      <c r="D928" s="37"/>
      <c r="E928" s="15"/>
      <c r="F928" s="15"/>
      <c r="G928" s="15"/>
      <c r="H928" s="15"/>
      <c r="I928" s="15"/>
      <c r="J928" s="39"/>
      <c r="K928" s="40"/>
      <c r="L928" s="8"/>
      <c r="M928" s="8"/>
      <c r="N928" s="8"/>
      <c r="O928" s="8"/>
      <c r="P928" s="8"/>
      <c r="Q928" s="8"/>
      <c r="R928" s="8"/>
      <c r="S928" s="8"/>
      <c r="T928" s="8"/>
      <c r="U928" s="8"/>
      <c r="V928" s="8"/>
      <c r="W928" s="8"/>
      <c r="X928" s="8"/>
      <c r="Y928" s="8"/>
      <c r="Z928" s="8"/>
      <c r="AA928" s="8"/>
    </row>
    <row r="929" spans="1:27" ht="15">
      <c r="A929" s="15"/>
      <c r="B929" s="36"/>
      <c r="C929" s="15"/>
      <c r="D929" s="37"/>
      <c r="E929" s="15"/>
      <c r="F929" s="15"/>
      <c r="G929" s="15"/>
      <c r="H929" s="15"/>
      <c r="I929" s="15"/>
      <c r="J929" s="39"/>
      <c r="K929" s="40"/>
      <c r="L929" s="8"/>
      <c r="M929" s="8"/>
      <c r="N929" s="8"/>
      <c r="O929" s="8"/>
      <c r="P929" s="8"/>
      <c r="Q929" s="8"/>
      <c r="R929" s="8"/>
      <c r="S929" s="8"/>
      <c r="T929" s="8"/>
      <c r="U929" s="8"/>
      <c r="V929" s="8"/>
      <c r="W929" s="8"/>
      <c r="X929" s="8"/>
      <c r="Y929" s="8"/>
      <c r="Z929" s="8"/>
      <c r="AA929" s="8"/>
    </row>
    <row r="930" spans="1:27" ht="15">
      <c r="A930" s="15"/>
      <c r="B930" s="36"/>
      <c r="C930" s="15"/>
      <c r="D930" s="37"/>
      <c r="E930" s="15"/>
      <c r="F930" s="15"/>
      <c r="G930" s="15"/>
      <c r="H930" s="15"/>
      <c r="I930" s="15"/>
      <c r="J930" s="39"/>
      <c r="K930" s="40"/>
      <c r="L930" s="8"/>
      <c r="M930" s="8"/>
      <c r="N930" s="8"/>
      <c r="O930" s="8"/>
      <c r="P930" s="8"/>
      <c r="Q930" s="8"/>
      <c r="R930" s="8"/>
      <c r="S930" s="8"/>
      <c r="T930" s="8"/>
      <c r="U930" s="8"/>
      <c r="V930" s="8"/>
      <c r="W930" s="8"/>
      <c r="X930" s="8"/>
      <c r="Y930" s="8"/>
      <c r="Z930" s="8"/>
      <c r="AA930" s="8"/>
    </row>
    <row r="931" spans="1:27" ht="15">
      <c r="A931" s="15"/>
      <c r="B931" s="36"/>
      <c r="C931" s="15"/>
      <c r="D931" s="37"/>
      <c r="E931" s="15"/>
      <c r="F931" s="15"/>
      <c r="G931" s="15"/>
      <c r="H931" s="15"/>
      <c r="I931" s="15"/>
      <c r="J931" s="39"/>
      <c r="K931" s="40"/>
      <c r="L931" s="8"/>
      <c r="M931" s="8"/>
      <c r="N931" s="8"/>
      <c r="O931" s="8"/>
      <c r="P931" s="8"/>
      <c r="Q931" s="8"/>
      <c r="R931" s="8"/>
      <c r="S931" s="8"/>
      <c r="T931" s="8"/>
      <c r="U931" s="8"/>
      <c r="V931" s="8"/>
      <c r="W931" s="8"/>
      <c r="X931" s="8"/>
      <c r="Y931" s="8"/>
      <c r="Z931" s="8"/>
      <c r="AA931" s="8"/>
    </row>
    <row r="932" spans="1:27" ht="15">
      <c r="A932" s="15"/>
      <c r="B932" s="36"/>
      <c r="C932" s="15"/>
      <c r="D932" s="37"/>
      <c r="E932" s="15"/>
      <c r="F932" s="15"/>
      <c r="G932" s="15"/>
      <c r="H932" s="15"/>
      <c r="I932" s="15"/>
      <c r="J932" s="39"/>
      <c r="K932" s="40"/>
      <c r="L932" s="8"/>
      <c r="M932" s="8"/>
      <c r="N932" s="8"/>
      <c r="O932" s="8"/>
      <c r="P932" s="8"/>
      <c r="Q932" s="8"/>
      <c r="R932" s="8"/>
      <c r="S932" s="8"/>
      <c r="T932" s="8"/>
      <c r="U932" s="8"/>
      <c r="V932" s="8"/>
      <c r="W932" s="8"/>
      <c r="X932" s="8"/>
      <c r="Y932" s="8"/>
      <c r="Z932" s="8"/>
      <c r="AA932" s="8"/>
    </row>
    <row r="933" spans="1:27" ht="15">
      <c r="A933" s="15"/>
      <c r="B933" s="36"/>
      <c r="C933" s="15"/>
      <c r="D933" s="37"/>
      <c r="E933" s="15"/>
      <c r="F933" s="15"/>
      <c r="G933" s="15"/>
      <c r="H933" s="15"/>
      <c r="I933" s="15"/>
      <c r="J933" s="39"/>
      <c r="K933" s="40"/>
      <c r="L933" s="8"/>
      <c r="M933" s="8"/>
      <c r="N933" s="8"/>
      <c r="O933" s="8"/>
      <c r="P933" s="8"/>
      <c r="Q933" s="8"/>
      <c r="R933" s="8"/>
      <c r="S933" s="8"/>
      <c r="T933" s="8"/>
      <c r="U933" s="8"/>
      <c r="V933" s="8"/>
      <c r="W933" s="8"/>
      <c r="X933" s="8"/>
      <c r="Y933" s="8"/>
      <c r="Z933" s="8"/>
      <c r="AA933" s="8"/>
    </row>
    <row r="934" spans="1:27" ht="15">
      <c r="A934" s="15"/>
      <c r="B934" s="36"/>
      <c r="C934" s="15"/>
      <c r="D934" s="37"/>
      <c r="E934" s="15"/>
      <c r="F934" s="15"/>
      <c r="G934" s="15"/>
      <c r="H934" s="15"/>
      <c r="I934" s="15"/>
      <c r="J934" s="39"/>
      <c r="K934" s="40"/>
      <c r="L934" s="8"/>
      <c r="M934" s="8"/>
      <c r="N934" s="8"/>
      <c r="O934" s="8"/>
      <c r="P934" s="8"/>
      <c r="Q934" s="8"/>
      <c r="R934" s="8"/>
      <c r="S934" s="8"/>
      <c r="T934" s="8"/>
      <c r="U934" s="8"/>
      <c r="V934" s="8"/>
      <c r="W934" s="8"/>
      <c r="X934" s="8"/>
      <c r="Y934" s="8"/>
      <c r="Z934" s="8"/>
      <c r="AA934" s="8"/>
    </row>
    <row r="935" spans="1:27" ht="15">
      <c r="A935" s="15"/>
      <c r="B935" s="36"/>
      <c r="C935" s="15"/>
      <c r="D935" s="37"/>
      <c r="E935" s="15"/>
      <c r="F935" s="15"/>
      <c r="G935" s="15"/>
      <c r="H935" s="15"/>
      <c r="I935" s="15"/>
      <c r="J935" s="39"/>
      <c r="K935" s="40"/>
      <c r="L935" s="8"/>
      <c r="M935" s="8"/>
      <c r="N935" s="8"/>
      <c r="O935" s="8"/>
      <c r="P935" s="8"/>
      <c r="Q935" s="8"/>
      <c r="R935" s="8"/>
      <c r="S935" s="8"/>
      <c r="T935" s="8"/>
      <c r="U935" s="8"/>
      <c r="V935" s="8"/>
      <c r="W935" s="8"/>
      <c r="X935" s="8"/>
      <c r="Y935" s="8"/>
      <c r="Z935" s="8"/>
      <c r="AA935" s="8"/>
    </row>
    <row r="936" spans="1:27" ht="15">
      <c r="A936" s="15"/>
      <c r="B936" s="36"/>
      <c r="C936" s="15"/>
      <c r="D936" s="37"/>
      <c r="E936" s="15"/>
      <c r="F936" s="15"/>
      <c r="G936" s="15"/>
      <c r="H936" s="15"/>
      <c r="I936" s="15"/>
      <c r="J936" s="39"/>
      <c r="K936" s="40"/>
      <c r="L936" s="8"/>
      <c r="M936" s="8"/>
      <c r="N936" s="8"/>
      <c r="O936" s="8"/>
      <c r="P936" s="8"/>
      <c r="Q936" s="8"/>
      <c r="R936" s="8"/>
      <c r="S936" s="8"/>
      <c r="T936" s="8"/>
      <c r="U936" s="8"/>
      <c r="V936" s="8"/>
      <c r="W936" s="8"/>
      <c r="X936" s="8"/>
      <c r="Y936" s="8"/>
      <c r="Z936" s="8"/>
      <c r="AA936" s="8"/>
    </row>
    <row r="937" spans="1:27" ht="15">
      <c r="A937" s="15"/>
      <c r="B937" s="36"/>
      <c r="C937" s="15"/>
      <c r="D937" s="37"/>
      <c r="E937" s="15"/>
      <c r="F937" s="15"/>
      <c r="G937" s="15"/>
      <c r="H937" s="15"/>
      <c r="I937" s="15"/>
      <c r="J937" s="39"/>
      <c r="K937" s="40"/>
      <c r="L937" s="8"/>
      <c r="M937" s="8"/>
      <c r="N937" s="8"/>
      <c r="O937" s="8"/>
      <c r="P937" s="8"/>
      <c r="Q937" s="8"/>
      <c r="R937" s="8"/>
      <c r="S937" s="8"/>
      <c r="T937" s="8"/>
      <c r="U937" s="8"/>
      <c r="V937" s="8"/>
      <c r="W937" s="8"/>
      <c r="X937" s="8"/>
      <c r="Y937" s="8"/>
      <c r="Z937" s="8"/>
      <c r="AA937" s="8"/>
    </row>
    <row r="938" spans="1:27" ht="15">
      <c r="A938" s="15"/>
      <c r="B938" s="36"/>
      <c r="C938" s="15"/>
      <c r="D938" s="37"/>
      <c r="E938" s="15"/>
      <c r="F938" s="15"/>
      <c r="G938" s="15"/>
      <c r="H938" s="15"/>
      <c r="I938" s="15"/>
      <c r="J938" s="39"/>
      <c r="K938" s="40"/>
      <c r="L938" s="8"/>
      <c r="M938" s="8"/>
      <c r="N938" s="8"/>
      <c r="O938" s="8"/>
      <c r="P938" s="8"/>
      <c r="Q938" s="8"/>
      <c r="R938" s="8"/>
      <c r="S938" s="8"/>
      <c r="T938" s="8"/>
      <c r="U938" s="8"/>
      <c r="V938" s="8"/>
      <c r="W938" s="8"/>
      <c r="X938" s="8"/>
      <c r="Y938" s="8"/>
      <c r="Z938" s="8"/>
      <c r="AA938" s="8"/>
    </row>
    <row r="939" spans="1:27" ht="15">
      <c r="A939" s="15"/>
      <c r="B939" s="36"/>
      <c r="C939" s="15"/>
      <c r="D939" s="37"/>
      <c r="E939" s="15"/>
      <c r="F939" s="15"/>
      <c r="G939" s="15"/>
      <c r="H939" s="15"/>
      <c r="I939" s="15"/>
      <c r="J939" s="39"/>
      <c r="K939" s="40"/>
      <c r="L939" s="8"/>
      <c r="M939" s="8"/>
      <c r="N939" s="8"/>
      <c r="O939" s="8"/>
      <c r="P939" s="8"/>
      <c r="Q939" s="8"/>
      <c r="R939" s="8"/>
      <c r="S939" s="8"/>
      <c r="T939" s="8"/>
      <c r="U939" s="8"/>
      <c r="V939" s="8"/>
      <c r="W939" s="8"/>
      <c r="X939" s="8"/>
      <c r="Y939" s="8"/>
      <c r="Z939" s="8"/>
      <c r="AA939" s="8"/>
    </row>
    <row r="940" spans="1:27" ht="15">
      <c r="A940" s="15"/>
      <c r="B940" s="36"/>
      <c r="C940" s="15"/>
      <c r="D940" s="37"/>
      <c r="E940" s="15"/>
      <c r="F940" s="15"/>
      <c r="G940" s="15"/>
      <c r="H940" s="15"/>
      <c r="I940" s="15"/>
      <c r="J940" s="39"/>
      <c r="K940" s="40"/>
      <c r="L940" s="8"/>
      <c r="M940" s="8"/>
      <c r="N940" s="8"/>
      <c r="O940" s="8"/>
      <c r="P940" s="8"/>
      <c r="Q940" s="8"/>
      <c r="R940" s="8"/>
      <c r="S940" s="8"/>
      <c r="T940" s="8"/>
      <c r="U940" s="8"/>
      <c r="V940" s="8"/>
      <c r="W940" s="8"/>
      <c r="X940" s="8"/>
      <c r="Y940" s="8"/>
      <c r="Z940" s="8"/>
      <c r="AA940" s="8"/>
    </row>
    <row r="941" spans="1:27" ht="15">
      <c r="A941" s="15"/>
      <c r="B941" s="36"/>
      <c r="C941" s="15"/>
      <c r="D941" s="37"/>
      <c r="E941" s="15"/>
      <c r="F941" s="15"/>
      <c r="G941" s="15"/>
      <c r="H941" s="15"/>
      <c r="I941" s="15"/>
      <c r="J941" s="39"/>
      <c r="K941" s="40"/>
      <c r="L941" s="8"/>
      <c r="M941" s="8"/>
      <c r="N941" s="8"/>
      <c r="O941" s="8"/>
      <c r="P941" s="8"/>
      <c r="Q941" s="8"/>
      <c r="R941" s="8"/>
      <c r="S941" s="8"/>
      <c r="T941" s="8"/>
      <c r="U941" s="8"/>
      <c r="V941" s="8"/>
      <c r="W941" s="8"/>
      <c r="X941" s="8"/>
      <c r="Y941" s="8"/>
      <c r="Z941" s="8"/>
      <c r="AA941" s="8"/>
    </row>
    <row r="942" spans="1:27" ht="15">
      <c r="A942" s="15"/>
      <c r="B942" s="36"/>
      <c r="C942" s="15"/>
      <c r="D942" s="37"/>
      <c r="E942" s="15"/>
      <c r="F942" s="15"/>
      <c r="G942" s="15"/>
      <c r="H942" s="15"/>
      <c r="I942" s="15"/>
      <c r="J942" s="39"/>
      <c r="K942" s="40"/>
      <c r="L942" s="8"/>
      <c r="M942" s="8"/>
      <c r="N942" s="8"/>
      <c r="O942" s="8"/>
      <c r="P942" s="8"/>
      <c r="Q942" s="8"/>
      <c r="R942" s="8"/>
      <c r="S942" s="8"/>
      <c r="T942" s="8"/>
      <c r="U942" s="8"/>
      <c r="V942" s="8"/>
      <c r="W942" s="8"/>
      <c r="X942" s="8"/>
      <c r="Y942" s="8"/>
      <c r="Z942" s="8"/>
      <c r="AA942" s="8"/>
    </row>
    <row r="943" spans="1:27" ht="15">
      <c r="A943" s="15"/>
      <c r="B943" s="36"/>
      <c r="C943" s="15"/>
      <c r="D943" s="37"/>
      <c r="E943" s="15"/>
      <c r="F943" s="15"/>
      <c r="G943" s="15"/>
      <c r="H943" s="15"/>
      <c r="I943" s="15"/>
      <c r="J943" s="39"/>
      <c r="K943" s="40"/>
      <c r="L943" s="8"/>
      <c r="M943" s="8"/>
      <c r="N943" s="8"/>
      <c r="O943" s="8"/>
      <c r="P943" s="8"/>
      <c r="Q943" s="8"/>
      <c r="R943" s="8"/>
      <c r="S943" s="8"/>
      <c r="T943" s="8"/>
      <c r="U943" s="8"/>
      <c r="V943" s="8"/>
      <c r="W943" s="8"/>
      <c r="X943" s="8"/>
      <c r="Y943" s="8"/>
      <c r="Z943" s="8"/>
      <c r="AA943" s="8"/>
    </row>
    <row r="944" spans="1:27" ht="15">
      <c r="A944" s="15"/>
      <c r="B944" s="36"/>
      <c r="C944" s="15"/>
      <c r="D944" s="37"/>
      <c r="E944" s="15"/>
      <c r="F944" s="15"/>
      <c r="G944" s="15"/>
      <c r="H944" s="15"/>
      <c r="I944" s="15"/>
      <c r="J944" s="39"/>
      <c r="K944" s="40"/>
      <c r="L944" s="8"/>
      <c r="M944" s="8"/>
      <c r="N944" s="8"/>
      <c r="O944" s="8"/>
      <c r="P944" s="8"/>
      <c r="Q944" s="8"/>
      <c r="R944" s="8"/>
      <c r="S944" s="8"/>
      <c r="T944" s="8"/>
      <c r="U944" s="8"/>
      <c r="V944" s="8"/>
      <c r="W944" s="8"/>
      <c r="X944" s="8"/>
      <c r="Y944" s="8"/>
      <c r="Z944" s="8"/>
      <c r="AA944" s="8"/>
    </row>
    <row r="945" spans="1:27" ht="15">
      <c r="A945" s="15"/>
      <c r="B945" s="36"/>
      <c r="C945" s="15"/>
      <c r="D945" s="37"/>
      <c r="E945" s="15"/>
      <c r="F945" s="15"/>
      <c r="G945" s="15"/>
      <c r="H945" s="15"/>
      <c r="I945" s="15"/>
      <c r="J945" s="39"/>
      <c r="K945" s="40"/>
      <c r="L945" s="8"/>
      <c r="M945" s="8"/>
      <c r="N945" s="8"/>
      <c r="O945" s="8"/>
      <c r="P945" s="8"/>
      <c r="Q945" s="8"/>
      <c r="R945" s="8"/>
      <c r="S945" s="8"/>
      <c r="T945" s="8"/>
      <c r="U945" s="8"/>
      <c r="V945" s="8"/>
      <c r="W945" s="8"/>
      <c r="X945" s="8"/>
      <c r="Y945" s="8"/>
      <c r="Z945" s="8"/>
      <c r="AA945" s="8"/>
    </row>
    <row r="946" spans="1:27" ht="15">
      <c r="A946" s="15"/>
      <c r="B946" s="36"/>
      <c r="C946" s="15"/>
      <c r="D946" s="37"/>
      <c r="E946" s="15"/>
      <c r="F946" s="15"/>
      <c r="G946" s="15"/>
      <c r="H946" s="15"/>
      <c r="I946" s="15"/>
      <c r="J946" s="39"/>
      <c r="K946" s="40"/>
      <c r="L946" s="8"/>
      <c r="M946" s="8"/>
      <c r="N946" s="8"/>
      <c r="O946" s="8"/>
      <c r="P946" s="8"/>
      <c r="Q946" s="8"/>
      <c r="R946" s="8"/>
      <c r="S946" s="8"/>
      <c r="T946" s="8"/>
      <c r="U946" s="8"/>
      <c r="V946" s="8"/>
      <c r="W946" s="8"/>
      <c r="X946" s="8"/>
      <c r="Y946" s="8"/>
      <c r="Z946" s="8"/>
      <c r="AA946" s="8"/>
    </row>
    <row r="947" spans="1:27" ht="15">
      <c r="A947" s="15"/>
      <c r="B947" s="36"/>
      <c r="C947" s="15"/>
      <c r="D947" s="37"/>
      <c r="E947" s="15"/>
      <c r="F947" s="15"/>
      <c r="G947" s="15"/>
      <c r="H947" s="15"/>
      <c r="I947" s="15"/>
      <c r="J947" s="39"/>
      <c r="K947" s="40"/>
      <c r="L947" s="8"/>
      <c r="M947" s="8"/>
      <c r="N947" s="8"/>
      <c r="O947" s="8"/>
      <c r="P947" s="8"/>
      <c r="Q947" s="8"/>
      <c r="R947" s="8"/>
      <c r="S947" s="8"/>
      <c r="T947" s="8"/>
      <c r="U947" s="8"/>
      <c r="V947" s="8"/>
      <c r="W947" s="8"/>
      <c r="X947" s="8"/>
      <c r="Y947" s="8"/>
      <c r="Z947" s="8"/>
      <c r="AA947" s="8"/>
    </row>
    <row r="948" spans="1:27" ht="15">
      <c r="A948" s="15"/>
      <c r="B948" s="36"/>
      <c r="C948" s="15"/>
      <c r="D948" s="37"/>
      <c r="E948" s="15"/>
      <c r="F948" s="15"/>
      <c r="G948" s="15"/>
      <c r="H948" s="15"/>
      <c r="I948" s="15"/>
      <c r="J948" s="39"/>
      <c r="K948" s="40"/>
      <c r="L948" s="8"/>
      <c r="M948" s="8"/>
      <c r="N948" s="8"/>
      <c r="O948" s="8"/>
      <c r="P948" s="8"/>
      <c r="Q948" s="8"/>
      <c r="R948" s="8"/>
      <c r="S948" s="8"/>
      <c r="T948" s="8"/>
      <c r="U948" s="8"/>
      <c r="V948" s="8"/>
      <c r="W948" s="8"/>
      <c r="X948" s="8"/>
      <c r="Y948" s="8"/>
      <c r="Z948" s="8"/>
      <c r="AA948" s="8"/>
    </row>
    <row r="949" spans="1:27" ht="15">
      <c r="A949" s="15"/>
      <c r="B949" s="36"/>
      <c r="C949" s="15"/>
      <c r="D949" s="37"/>
      <c r="E949" s="15"/>
      <c r="F949" s="15"/>
      <c r="G949" s="15"/>
      <c r="H949" s="15"/>
      <c r="I949" s="15"/>
      <c r="J949" s="39"/>
      <c r="K949" s="40"/>
      <c r="L949" s="8"/>
      <c r="M949" s="8"/>
      <c r="N949" s="8"/>
      <c r="O949" s="8"/>
      <c r="P949" s="8"/>
      <c r="Q949" s="8"/>
      <c r="R949" s="8"/>
      <c r="S949" s="8"/>
      <c r="T949" s="8"/>
      <c r="U949" s="8"/>
      <c r="V949" s="8"/>
      <c r="W949" s="8"/>
      <c r="X949" s="8"/>
      <c r="Y949" s="8"/>
      <c r="Z949" s="8"/>
      <c r="AA949" s="8"/>
    </row>
    <row r="950" spans="1:27" ht="15">
      <c r="A950" s="15"/>
      <c r="B950" s="36"/>
      <c r="C950" s="15"/>
      <c r="D950" s="37"/>
      <c r="E950" s="15"/>
      <c r="F950" s="15"/>
      <c r="G950" s="15"/>
      <c r="H950" s="15"/>
      <c r="I950" s="15"/>
      <c r="J950" s="39"/>
      <c r="K950" s="40"/>
      <c r="L950" s="8"/>
      <c r="M950" s="8"/>
      <c r="N950" s="8"/>
      <c r="O950" s="8"/>
      <c r="P950" s="8"/>
      <c r="Q950" s="8"/>
      <c r="R950" s="8"/>
      <c r="S950" s="8"/>
      <c r="T950" s="8"/>
      <c r="U950" s="8"/>
      <c r="V950" s="8"/>
      <c r="W950" s="8"/>
      <c r="X950" s="8"/>
      <c r="Y950" s="8"/>
      <c r="Z950" s="8"/>
      <c r="AA950" s="8"/>
    </row>
    <row r="951" spans="1:27" ht="15">
      <c r="A951" s="15"/>
      <c r="B951" s="36"/>
      <c r="C951" s="15"/>
      <c r="D951" s="37"/>
      <c r="E951" s="15"/>
      <c r="F951" s="15"/>
      <c r="G951" s="15"/>
      <c r="H951" s="15"/>
      <c r="I951" s="15"/>
      <c r="J951" s="39"/>
      <c r="K951" s="40"/>
      <c r="L951" s="8"/>
      <c r="M951" s="8"/>
      <c r="N951" s="8"/>
      <c r="O951" s="8"/>
      <c r="P951" s="8"/>
      <c r="Q951" s="8"/>
      <c r="R951" s="8"/>
      <c r="S951" s="8"/>
      <c r="T951" s="8"/>
      <c r="U951" s="8"/>
      <c r="V951" s="8"/>
      <c r="W951" s="8"/>
      <c r="X951" s="8"/>
      <c r="Y951" s="8"/>
      <c r="Z951" s="8"/>
      <c r="AA951" s="8"/>
    </row>
    <row r="952" spans="1:27" ht="15">
      <c r="A952" s="15"/>
      <c r="B952" s="36"/>
      <c r="C952" s="15"/>
      <c r="D952" s="37"/>
      <c r="E952" s="15"/>
      <c r="F952" s="15"/>
      <c r="G952" s="15"/>
      <c r="H952" s="15"/>
      <c r="I952" s="15"/>
      <c r="J952" s="39"/>
      <c r="K952" s="40"/>
      <c r="L952" s="8"/>
      <c r="M952" s="8"/>
      <c r="N952" s="8"/>
      <c r="O952" s="8"/>
      <c r="P952" s="8"/>
      <c r="Q952" s="8"/>
      <c r="R952" s="8"/>
      <c r="S952" s="8"/>
      <c r="T952" s="8"/>
      <c r="U952" s="8"/>
      <c r="V952" s="8"/>
      <c r="W952" s="8"/>
      <c r="X952" s="8"/>
      <c r="Y952" s="8"/>
      <c r="Z952" s="8"/>
      <c r="AA952" s="8"/>
    </row>
    <row r="953" spans="1:27" ht="15">
      <c r="A953" s="15"/>
      <c r="B953" s="36"/>
      <c r="C953" s="15"/>
      <c r="D953" s="37"/>
      <c r="E953" s="15"/>
      <c r="F953" s="15"/>
      <c r="G953" s="15"/>
      <c r="H953" s="15"/>
      <c r="I953" s="15"/>
      <c r="J953" s="39"/>
      <c r="K953" s="40"/>
      <c r="L953" s="8"/>
      <c r="M953" s="8"/>
      <c r="N953" s="8"/>
      <c r="O953" s="8"/>
      <c r="P953" s="8"/>
      <c r="Q953" s="8"/>
      <c r="R953" s="8"/>
      <c r="S953" s="8"/>
      <c r="T953" s="8"/>
      <c r="U953" s="8"/>
      <c r="V953" s="8"/>
      <c r="W953" s="8"/>
      <c r="X953" s="8"/>
      <c r="Y953" s="8"/>
      <c r="Z953" s="8"/>
      <c r="AA953" s="8"/>
    </row>
    <row r="954" spans="1:27" ht="15">
      <c r="A954" s="15"/>
      <c r="B954" s="36"/>
      <c r="C954" s="15"/>
      <c r="D954" s="37"/>
      <c r="E954" s="15"/>
      <c r="F954" s="15"/>
      <c r="G954" s="15"/>
      <c r="H954" s="15"/>
      <c r="I954" s="15"/>
      <c r="J954" s="39"/>
      <c r="K954" s="40"/>
      <c r="L954" s="8"/>
      <c r="M954" s="8"/>
      <c r="N954" s="8"/>
      <c r="O954" s="8"/>
      <c r="P954" s="8"/>
      <c r="Q954" s="8"/>
      <c r="R954" s="8"/>
      <c r="S954" s="8"/>
      <c r="T954" s="8"/>
      <c r="U954" s="8"/>
      <c r="V954" s="8"/>
      <c r="W954" s="8"/>
      <c r="X954" s="8"/>
      <c r="Y954" s="8"/>
      <c r="Z954" s="8"/>
      <c r="AA954" s="8"/>
    </row>
    <row r="955" spans="1:27" ht="15">
      <c r="A955" s="15"/>
      <c r="B955" s="36"/>
      <c r="C955" s="15"/>
      <c r="D955" s="37"/>
      <c r="E955" s="15"/>
      <c r="F955" s="15"/>
      <c r="G955" s="15"/>
      <c r="H955" s="15"/>
      <c r="I955" s="15"/>
      <c r="J955" s="39"/>
      <c r="K955" s="40"/>
      <c r="L955" s="8"/>
      <c r="M955" s="8"/>
      <c r="N955" s="8"/>
      <c r="O955" s="8"/>
      <c r="P955" s="8"/>
      <c r="Q955" s="8"/>
      <c r="R955" s="8"/>
      <c r="S955" s="8"/>
      <c r="T955" s="8"/>
      <c r="U955" s="8"/>
      <c r="V955" s="8"/>
      <c r="W955" s="8"/>
      <c r="X955" s="8"/>
      <c r="Y955" s="8"/>
      <c r="Z955" s="8"/>
      <c r="AA955" s="8"/>
    </row>
    <row r="956" spans="1:27" ht="15">
      <c r="A956" s="15"/>
      <c r="B956" s="36"/>
      <c r="C956" s="15"/>
      <c r="D956" s="37"/>
      <c r="E956" s="15"/>
      <c r="F956" s="15"/>
      <c r="G956" s="15"/>
      <c r="H956" s="15"/>
      <c r="I956" s="15"/>
      <c r="J956" s="39"/>
      <c r="K956" s="40"/>
      <c r="L956" s="8"/>
      <c r="M956" s="8"/>
      <c r="N956" s="8"/>
      <c r="O956" s="8"/>
      <c r="P956" s="8"/>
      <c r="Q956" s="8"/>
      <c r="R956" s="8"/>
      <c r="S956" s="8"/>
      <c r="T956" s="8"/>
      <c r="U956" s="8"/>
      <c r="V956" s="8"/>
      <c r="W956" s="8"/>
      <c r="X956" s="8"/>
      <c r="Y956" s="8"/>
      <c r="Z956" s="8"/>
      <c r="AA956" s="8"/>
    </row>
    <row r="957" spans="1:27" ht="15">
      <c r="A957" s="15"/>
      <c r="B957" s="36"/>
      <c r="C957" s="15"/>
      <c r="D957" s="37"/>
      <c r="E957" s="15"/>
      <c r="F957" s="15"/>
      <c r="G957" s="15"/>
      <c r="H957" s="15"/>
      <c r="I957" s="15"/>
      <c r="J957" s="39"/>
      <c r="K957" s="40"/>
      <c r="L957" s="8"/>
      <c r="M957" s="8"/>
      <c r="N957" s="8"/>
      <c r="O957" s="8"/>
      <c r="P957" s="8"/>
      <c r="Q957" s="8"/>
      <c r="R957" s="8"/>
      <c r="S957" s="8"/>
      <c r="T957" s="8"/>
      <c r="U957" s="8"/>
      <c r="V957" s="8"/>
      <c r="W957" s="8"/>
      <c r="X957" s="8"/>
      <c r="Y957" s="8"/>
      <c r="Z957" s="8"/>
      <c r="AA957" s="8"/>
    </row>
    <row r="958" spans="1:27" ht="15">
      <c r="A958" s="15"/>
      <c r="B958" s="36"/>
      <c r="C958" s="15"/>
      <c r="D958" s="37"/>
      <c r="E958" s="15"/>
      <c r="F958" s="15"/>
      <c r="G958" s="15"/>
      <c r="H958" s="15"/>
      <c r="I958" s="15"/>
      <c r="J958" s="39"/>
      <c r="K958" s="40"/>
      <c r="L958" s="8"/>
      <c r="M958" s="8"/>
      <c r="N958" s="8"/>
      <c r="O958" s="8"/>
      <c r="P958" s="8"/>
      <c r="Q958" s="8"/>
      <c r="R958" s="8"/>
      <c r="S958" s="8"/>
      <c r="T958" s="8"/>
      <c r="U958" s="8"/>
      <c r="V958" s="8"/>
      <c r="W958" s="8"/>
      <c r="X958" s="8"/>
      <c r="Y958" s="8"/>
      <c r="Z958" s="8"/>
      <c r="AA958" s="8"/>
    </row>
    <row r="959" spans="1:27" ht="15">
      <c r="A959" s="15"/>
      <c r="B959" s="36"/>
      <c r="C959" s="15"/>
      <c r="D959" s="37"/>
      <c r="E959" s="15"/>
      <c r="F959" s="15"/>
      <c r="G959" s="15"/>
      <c r="H959" s="15"/>
      <c r="I959" s="15"/>
      <c r="J959" s="39"/>
      <c r="K959" s="40"/>
      <c r="L959" s="8"/>
      <c r="M959" s="8"/>
      <c r="N959" s="8"/>
      <c r="O959" s="8"/>
      <c r="P959" s="8"/>
      <c r="Q959" s="8"/>
      <c r="R959" s="8"/>
      <c r="S959" s="8"/>
      <c r="T959" s="8"/>
      <c r="U959" s="8"/>
      <c r="V959" s="8"/>
      <c r="W959" s="8"/>
      <c r="X959" s="8"/>
      <c r="Y959" s="8"/>
      <c r="Z959" s="8"/>
      <c r="AA959" s="8"/>
    </row>
    <row r="960" spans="1:27" ht="15">
      <c r="A960" s="15"/>
      <c r="B960" s="36"/>
      <c r="C960" s="15"/>
      <c r="D960" s="37"/>
      <c r="E960" s="15"/>
      <c r="F960" s="15"/>
      <c r="G960" s="15"/>
      <c r="H960" s="15"/>
      <c r="I960" s="15"/>
      <c r="J960" s="39"/>
      <c r="K960" s="40"/>
      <c r="L960" s="8"/>
      <c r="M960" s="8"/>
      <c r="N960" s="8"/>
      <c r="O960" s="8"/>
      <c r="P960" s="8"/>
      <c r="Q960" s="8"/>
      <c r="R960" s="8"/>
      <c r="S960" s="8"/>
      <c r="T960" s="8"/>
      <c r="U960" s="8"/>
      <c r="V960" s="8"/>
      <c r="W960" s="8"/>
      <c r="X960" s="8"/>
      <c r="Y960" s="8"/>
      <c r="Z960" s="8"/>
      <c r="AA960" s="8"/>
    </row>
    <row r="961" spans="1:27" ht="15">
      <c r="A961" s="15"/>
      <c r="B961" s="36"/>
      <c r="C961" s="15"/>
      <c r="D961" s="37"/>
      <c r="E961" s="15"/>
      <c r="F961" s="15"/>
      <c r="G961" s="15"/>
      <c r="H961" s="15"/>
      <c r="I961" s="15"/>
      <c r="J961" s="39"/>
      <c r="K961" s="40"/>
      <c r="L961" s="8"/>
      <c r="M961" s="8"/>
      <c r="N961" s="8"/>
      <c r="O961" s="8"/>
      <c r="P961" s="8"/>
      <c r="Q961" s="8"/>
      <c r="R961" s="8"/>
      <c r="S961" s="8"/>
      <c r="T961" s="8"/>
      <c r="U961" s="8"/>
      <c r="V961" s="8"/>
      <c r="W961" s="8"/>
      <c r="X961" s="8"/>
      <c r="Y961" s="8"/>
      <c r="Z961" s="8"/>
      <c r="AA961" s="8"/>
    </row>
    <row r="962" spans="1:27" ht="15">
      <c r="A962" s="15"/>
      <c r="B962" s="36"/>
      <c r="C962" s="15"/>
      <c r="D962" s="37"/>
      <c r="E962" s="15"/>
      <c r="F962" s="15"/>
      <c r="G962" s="15"/>
      <c r="H962" s="15"/>
      <c r="I962" s="15"/>
      <c r="J962" s="39"/>
      <c r="K962" s="40"/>
      <c r="L962" s="8"/>
      <c r="M962" s="8"/>
      <c r="N962" s="8"/>
      <c r="O962" s="8"/>
      <c r="P962" s="8"/>
      <c r="Q962" s="8"/>
      <c r="R962" s="8"/>
      <c r="S962" s="8"/>
      <c r="T962" s="8"/>
      <c r="U962" s="8"/>
      <c r="V962" s="8"/>
      <c r="W962" s="8"/>
      <c r="X962" s="8"/>
      <c r="Y962" s="8"/>
      <c r="Z962" s="8"/>
      <c r="AA962" s="8"/>
    </row>
    <row r="963" spans="1:27" ht="15">
      <c r="A963" s="15"/>
      <c r="B963" s="36"/>
      <c r="C963" s="15"/>
      <c r="D963" s="37"/>
      <c r="E963" s="15"/>
      <c r="F963" s="15"/>
      <c r="G963" s="15"/>
      <c r="H963" s="15"/>
      <c r="I963" s="15"/>
      <c r="J963" s="39"/>
      <c r="K963" s="40"/>
      <c r="L963" s="8"/>
      <c r="M963" s="8"/>
      <c r="N963" s="8"/>
      <c r="O963" s="8"/>
      <c r="P963" s="8"/>
      <c r="Q963" s="8"/>
      <c r="R963" s="8"/>
      <c r="S963" s="8"/>
      <c r="T963" s="8"/>
      <c r="U963" s="8"/>
      <c r="V963" s="8"/>
      <c r="W963" s="8"/>
      <c r="X963" s="8"/>
      <c r="Y963" s="8"/>
      <c r="Z963" s="8"/>
      <c r="AA963" s="8"/>
    </row>
    <row r="964" spans="1:27" ht="15">
      <c r="A964" s="15"/>
      <c r="B964" s="36"/>
      <c r="C964" s="15"/>
      <c r="D964" s="37"/>
      <c r="E964" s="15"/>
      <c r="F964" s="15"/>
      <c r="G964" s="15"/>
      <c r="H964" s="15"/>
      <c r="I964" s="15"/>
      <c r="J964" s="39"/>
      <c r="K964" s="40"/>
      <c r="L964" s="8"/>
      <c r="M964" s="8"/>
      <c r="N964" s="8"/>
      <c r="O964" s="8"/>
      <c r="P964" s="8"/>
      <c r="Q964" s="8"/>
      <c r="R964" s="8"/>
      <c r="S964" s="8"/>
      <c r="T964" s="8"/>
      <c r="U964" s="8"/>
      <c r="V964" s="8"/>
      <c r="W964" s="8"/>
      <c r="X964" s="8"/>
      <c r="Y964" s="8"/>
      <c r="Z964" s="8"/>
      <c r="AA964" s="8"/>
    </row>
    <row r="965" spans="1:27" ht="15">
      <c r="A965" s="15"/>
      <c r="B965" s="36"/>
      <c r="C965" s="15"/>
      <c r="D965" s="37"/>
      <c r="E965" s="15"/>
      <c r="F965" s="15"/>
      <c r="G965" s="15"/>
      <c r="H965" s="15"/>
      <c r="I965" s="15"/>
      <c r="J965" s="39"/>
      <c r="K965" s="40"/>
      <c r="L965" s="8"/>
      <c r="M965" s="8"/>
      <c r="N965" s="8"/>
      <c r="O965" s="8"/>
      <c r="P965" s="8"/>
      <c r="Q965" s="8"/>
      <c r="R965" s="8"/>
      <c r="S965" s="8"/>
      <c r="T965" s="8"/>
      <c r="U965" s="8"/>
      <c r="V965" s="8"/>
      <c r="W965" s="8"/>
      <c r="X965" s="8"/>
      <c r="Y965" s="8"/>
      <c r="Z965" s="8"/>
      <c r="AA965" s="8"/>
    </row>
    <row r="966" spans="1:27" ht="15">
      <c r="A966" s="15"/>
      <c r="B966" s="36"/>
      <c r="C966" s="15"/>
      <c r="D966" s="37"/>
      <c r="E966" s="15"/>
      <c r="F966" s="15"/>
      <c r="G966" s="15"/>
      <c r="H966" s="15"/>
      <c r="I966" s="15"/>
      <c r="J966" s="39"/>
      <c r="K966" s="40"/>
      <c r="L966" s="8"/>
      <c r="M966" s="8"/>
      <c r="N966" s="8"/>
      <c r="O966" s="8"/>
      <c r="P966" s="8"/>
      <c r="Q966" s="8"/>
      <c r="R966" s="8"/>
      <c r="S966" s="8"/>
      <c r="T966" s="8"/>
      <c r="U966" s="8"/>
      <c r="V966" s="8"/>
      <c r="W966" s="8"/>
      <c r="X966" s="8"/>
      <c r="Y966" s="8"/>
      <c r="Z966" s="8"/>
      <c r="AA966" s="8"/>
    </row>
    <row r="967" spans="1:27" ht="15">
      <c r="A967" s="15"/>
      <c r="B967" s="36"/>
      <c r="C967" s="15"/>
      <c r="D967" s="37"/>
      <c r="E967" s="15"/>
      <c r="F967" s="15"/>
      <c r="G967" s="15"/>
      <c r="H967" s="15"/>
      <c r="I967" s="15"/>
      <c r="J967" s="39"/>
      <c r="K967" s="40"/>
      <c r="L967" s="8"/>
      <c r="M967" s="8"/>
      <c r="N967" s="8"/>
      <c r="O967" s="8"/>
      <c r="P967" s="8"/>
      <c r="Q967" s="8"/>
      <c r="R967" s="8"/>
      <c r="S967" s="8"/>
      <c r="T967" s="8"/>
      <c r="U967" s="8"/>
      <c r="V967" s="8"/>
      <c r="W967" s="8"/>
      <c r="X967" s="8"/>
      <c r="Y967" s="8"/>
      <c r="Z967" s="8"/>
      <c r="AA967" s="8"/>
    </row>
    <row r="968" spans="1:27" ht="15">
      <c r="A968" s="15"/>
      <c r="B968" s="36"/>
      <c r="C968" s="15"/>
      <c r="D968" s="37"/>
      <c r="E968" s="15"/>
      <c r="F968" s="15"/>
      <c r="G968" s="15"/>
      <c r="H968" s="15"/>
      <c r="I968" s="15"/>
      <c r="J968" s="39"/>
      <c r="K968" s="40"/>
      <c r="L968" s="8"/>
      <c r="M968" s="8"/>
      <c r="N968" s="8"/>
      <c r="O968" s="8"/>
      <c r="P968" s="8"/>
      <c r="Q968" s="8"/>
      <c r="R968" s="8"/>
      <c r="S968" s="8"/>
      <c r="T968" s="8"/>
      <c r="U968" s="8"/>
      <c r="V968" s="8"/>
      <c r="W968" s="8"/>
      <c r="X968" s="8"/>
      <c r="Y968" s="8"/>
      <c r="Z968" s="8"/>
      <c r="AA968" s="8"/>
    </row>
    <row r="969" spans="1:27" ht="15">
      <c r="A969" s="15"/>
      <c r="B969" s="36"/>
      <c r="C969" s="15"/>
      <c r="D969" s="37"/>
      <c r="E969" s="15"/>
      <c r="F969" s="15"/>
      <c r="G969" s="15"/>
      <c r="H969" s="15"/>
      <c r="I969" s="15"/>
      <c r="J969" s="39"/>
      <c r="K969" s="40"/>
      <c r="L969" s="8"/>
      <c r="M969" s="8"/>
      <c r="N969" s="8"/>
      <c r="O969" s="8"/>
      <c r="P969" s="8"/>
      <c r="Q969" s="8"/>
      <c r="R969" s="8"/>
      <c r="S969" s="8"/>
      <c r="T969" s="8"/>
      <c r="U969" s="8"/>
      <c r="V969" s="8"/>
      <c r="W969" s="8"/>
      <c r="X969" s="8"/>
      <c r="Y969" s="8"/>
      <c r="Z969" s="8"/>
      <c r="AA969" s="8"/>
    </row>
    <row r="970" spans="1:27" ht="15">
      <c r="A970" s="15"/>
      <c r="B970" s="36"/>
      <c r="C970" s="15"/>
      <c r="D970" s="37"/>
      <c r="E970" s="15"/>
      <c r="F970" s="15"/>
      <c r="G970" s="15"/>
      <c r="H970" s="15"/>
      <c r="I970" s="15"/>
      <c r="J970" s="39"/>
      <c r="K970" s="40"/>
      <c r="L970" s="8"/>
      <c r="M970" s="8"/>
      <c r="N970" s="8"/>
      <c r="O970" s="8"/>
      <c r="P970" s="8"/>
      <c r="Q970" s="8"/>
      <c r="R970" s="8"/>
      <c r="S970" s="8"/>
      <c r="T970" s="8"/>
      <c r="U970" s="8"/>
      <c r="V970" s="8"/>
      <c r="W970" s="8"/>
      <c r="X970" s="8"/>
      <c r="Y970" s="8"/>
      <c r="Z970" s="8"/>
      <c r="AA970" s="8"/>
    </row>
    <row r="971" spans="1:27" ht="15">
      <c r="A971" s="15"/>
      <c r="B971" s="36"/>
      <c r="C971" s="15"/>
      <c r="D971" s="37"/>
      <c r="E971" s="15"/>
      <c r="F971" s="15"/>
      <c r="G971" s="15"/>
      <c r="H971" s="15"/>
      <c r="I971" s="15"/>
      <c r="J971" s="39"/>
      <c r="K971" s="40"/>
      <c r="L971" s="8"/>
      <c r="M971" s="8"/>
      <c r="N971" s="8"/>
      <c r="O971" s="8"/>
      <c r="P971" s="8"/>
      <c r="Q971" s="8"/>
      <c r="R971" s="8"/>
      <c r="S971" s="8"/>
      <c r="T971" s="8"/>
      <c r="U971" s="8"/>
      <c r="V971" s="8"/>
      <c r="W971" s="8"/>
      <c r="X971" s="8"/>
      <c r="Y971" s="8"/>
      <c r="Z971" s="8"/>
      <c r="AA971" s="8"/>
    </row>
    <row r="972" spans="1:27" ht="15">
      <c r="A972" s="15"/>
      <c r="B972" s="36"/>
      <c r="C972" s="15"/>
      <c r="D972" s="37"/>
      <c r="E972" s="15"/>
      <c r="F972" s="15"/>
      <c r="G972" s="15"/>
      <c r="H972" s="15"/>
      <c r="I972" s="15"/>
      <c r="J972" s="39"/>
      <c r="K972" s="40"/>
      <c r="L972" s="8"/>
      <c r="M972" s="8"/>
      <c r="N972" s="8"/>
      <c r="O972" s="8"/>
      <c r="P972" s="8"/>
      <c r="Q972" s="8"/>
      <c r="R972" s="8"/>
      <c r="S972" s="8"/>
      <c r="T972" s="8"/>
      <c r="U972" s="8"/>
      <c r="V972" s="8"/>
      <c r="W972" s="8"/>
      <c r="X972" s="8"/>
      <c r="Y972" s="8"/>
      <c r="Z972" s="8"/>
      <c r="AA972" s="8"/>
    </row>
    <row r="973" spans="1:27" ht="15">
      <c r="A973" s="15"/>
      <c r="B973" s="36"/>
      <c r="C973" s="15"/>
      <c r="D973" s="37"/>
      <c r="E973" s="15"/>
      <c r="F973" s="15"/>
      <c r="G973" s="15"/>
      <c r="H973" s="15"/>
      <c r="I973" s="15"/>
      <c r="J973" s="39"/>
      <c r="K973" s="40"/>
      <c r="L973" s="8"/>
      <c r="M973" s="8"/>
      <c r="N973" s="8"/>
      <c r="O973" s="8"/>
      <c r="P973" s="8"/>
      <c r="Q973" s="8"/>
      <c r="R973" s="8"/>
      <c r="S973" s="8"/>
      <c r="T973" s="8"/>
      <c r="U973" s="8"/>
      <c r="V973" s="8"/>
      <c r="W973" s="8"/>
      <c r="X973" s="8"/>
      <c r="Y973" s="8"/>
      <c r="Z973" s="8"/>
      <c r="AA973" s="8"/>
    </row>
    <row r="974" spans="1:27" ht="15">
      <c r="A974" s="15"/>
      <c r="B974" s="36"/>
      <c r="C974" s="15"/>
      <c r="D974" s="37"/>
      <c r="E974" s="15"/>
      <c r="F974" s="15"/>
      <c r="G974" s="15"/>
      <c r="H974" s="15"/>
      <c r="I974" s="15"/>
      <c r="J974" s="39"/>
      <c r="K974" s="40"/>
      <c r="L974" s="8"/>
      <c r="M974" s="8"/>
      <c r="N974" s="8"/>
      <c r="O974" s="8"/>
      <c r="P974" s="8"/>
      <c r="Q974" s="8"/>
      <c r="R974" s="8"/>
      <c r="S974" s="8"/>
      <c r="T974" s="8"/>
      <c r="U974" s="8"/>
      <c r="V974" s="8"/>
      <c r="W974" s="8"/>
      <c r="X974" s="8"/>
      <c r="Y974" s="8"/>
      <c r="Z974" s="8"/>
      <c r="AA974" s="8"/>
    </row>
    <row r="975" spans="1:27" ht="15">
      <c r="A975" s="15"/>
      <c r="B975" s="36"/>
      <c r="C975" s="15"/>
      <c r="D975" s="37"/>
      <c r="E975" s="15"/>
      <c r="F975" s="15"/>
      <c r="G975" s="15"/>
      <c r="H975" s="15"/>
      <c r="I975" s="15"/>
      <c r="J975" s="39"/>
      <c r="K975" s="40"/>
      <c r="L975" s="8"/>
      <c r="M975" s="8"/>
      <c r="N975" s="8"/>
      <c r="O975" s="8"/>
      <c r="P975" s="8"/>
      <c r="Q975" s="8"/>
      <c r="R975" s="8"/>
      <c r="S975" s="8"/>
      <c r="T975" s="8"/>
      <c r="U975" s="8"/>
      <c r="V975" s="8"/>
      <c r="W975" s="8"/>
      <c r="X975" s="8"/>
      <c r="Y975" s="8"/>
      <c r="Z975" s="8"/>
      <c r="AA975" s="8"/>
    </row>
    <row r="976" spans="1:27" ht="15">
      <c r="A976" s="15"/>
      <c r="B976" s="36"/>
      <c r="C976" s="15"/>
      <c r="D976" s="37"/>
      <c r="E976" s="15"/>
      <c r="F976" s="15"/>
      <c r="G976" s="15"/>
      <c r="H976" s="15"/>
      <c r="I976" s="15"/>
      <c r="J976" s="39"/>
      <c r="K976" s="40"/>
      <c r="L976" s="8"/>
      <c r="M976" s="8"/>
      <c r="N976" s="8"/>
      <c r="O976" s="8"/>
      <c r="P976" s="8"/>
      <c r="Q976" s="8"/>
      <c r="R976" s="8"/>
      <c r="S976" s="8"/>
      <c r="T976" s="8"/>
      <c r="U976" s="8"/>
      <c r="V976" s="8"/>
      <c r="W976" s="8"/>
      <c r="X976" s="8"/>
      <c r="Y976" s="8"/>
      <c r="Z976" s="8"/>
      <c r="AA976" s="8"/>
    </row>
    <row r="977" spans="1:27" ht="15">
      <c r="A977" s="15"/>
      <c r="B977" s="36"/>
      <c r="C977" s="15"/>
      <c r="D977" s="37"/>
      <c r="E977" s="15"/>
      <c r="F977" s="15"/>
      <c r="G977" s="15"/>
      <c r="H977" s="15"/>
      <c r="I977" s="15"/>
      <c r="J977" s="39"/>
      <c r="K977" s="40"/>
      <c r="L977" s="8"/>
      <c r="M977" s="8"/>
      <c r="N977" s="8"/>
      <c r="O977" s="8"/>
      <c r="P977" s="8"/>
      <c r="Q977" s="8"/>
      <c r="R977" s="8"/>
      <c r="S977" s="8"/>
      <c r="T977" s="8"/>
      <c r="U977" s="8"/>
      <c r="V977" s="8"/>
      <c r="W977" s="8"/>
      <c r="X977" s="8"/>
      <c r="Y977" s="8"/>
      <c r="Z977" s="8"/>
      <c r="AA977" s="8"/>
    </row>
    <row r="978" spans="1:27" ht="15">
      <c r="A978" s="15"/>
      <c r="B978" s="36"/>
      <c r="C978" s="15"/>
      <c r="D978" s="37"/>
      <c r="E978" s="15"/>
      <c r="F978" s="15"/>
      <c r="G978" s="15"/>
      <c r="H978" s="15"/>
      <c r="I978" s="15"/>
      <c r="J978" s="39"/>
      <c r="K978" s="40"/>
      <c r="L978" s="8"/>
      <c r="M978" s="8"/>
      <c r="N978" s="8"/>
      <c r="O978" s="8"/>
      <c r="P978" s="8"/>
      <c r="Q978" s="8"/>
      <c r="R978" s="8"/>
      <c r="S978" s="8"/>
      <c r="T978" s="8"/>
      <c r="U978" s="8"/>
      <c r="V978" s="8"/>
      <c r="W978" s="8"/>
      <c r="X978" s="8"/>
      <c r="Y978" s="8"/>
      <c r="Z978" s="8"/>
      <c r="AA978" s="8"/>
    </row>
    <row r="979" spans="1:27" ht="15">
      <c r="A979" s="15"/>
      <c r="B979" s="36"/>
      <c r="C979" s="15"/>
      <c r="D979" s="37"/>
      <c r="E979" s="15"/>
      <c r="F979" s="15"/>
      <c r="G979" s="15"/>
      <c r="H979" s="15"/>
      <c r="I979" s="15"/>
      <c r="J979" s="39"/>
      <c r="K979" s="40"/>
      <c r="L979" s="8"/>
      <c r="M979" s="8"/>
      <c r="N979" s="8"/>
      <c r="O979" s="8"/>
      <c r="P979" s="8"/>
      <c r="Q979" s="8"/>
      <c r="R979" s="8"/>
      <c r="S979" s="8"/>
      <c r="T979" s="8"/>
      <c r="U979" s="8"/>
      <c r="V979" s="8"/>
      <c r="W979" s="8"/>
      <c r="X979" s="8"/>
      <c r="Y979" s="8"/>
      <c r="Z979" s="8"/>
      <c r="AA979" s="8"/>
    </row>
    <row r="980" spans="1:27" ht="15">
      <c r="A980" s="15"/>
      <c r="B980" s="36"/>
      <c r="C980" s="15"/>
      <c r="D980" s="37"/>
      <c r="E980" s="15"/>
      <c r="F980" s="15"/>
      <c r="G980" s="15"/>
      <c r="H980" s="15"/>
      <c r="I980" s="15"/>
      <c r="J980" s="39"/>
      <c r="K980" s="40"/>
      <c r="L980" s="8"/>
      <c r="M980" s="8"/>
      <c r="N980" s="8"/>
      <c r="O980" s="8"/>
      <c r="P980" s="8"/>
      <c r="Q980" s="8"/>
      <c r="R980" s="8"/>
      <c r="S980" s="8"/>
      <c r="T980" s="8"/>
      <c r="U980" s="8"/>
      <c r="V980" s="8"/>
      <c r="W980" s="8"/>
      <c r="X980" s="8"/>
      <c r="Y980" s="8"/>
      <c r="Z980" s="8"/>
      <c r="AA980" s="8"/>
    </row>
    <row r="981" spans="1:27" ht="15">
      <c r="A981" s="15"/>
      <c r="B981" s="36"/>
      <c r="C981" s="15"/>
      <c r="D981" s="37"/>
      <c r="E981" s="15"/>
      <c r="F981" s="15"/>
      <c r="G981" s="15"/>
      <c r="H981" s="15"/>
      <c r="I981" s="15"/>
      <c r="J981" s="39"/>
      <c r="K981" s="40"/>
      <c r="L981" s="8"/>
      <c r="M981" s="8"/>
      <c r="N981" s="8"/>
      <c r="O981" s="8"/>
      <c r="P981" s="8"/>
      <c r="Q981" s="8"/>
      <c r="R981" s="8"/>
      <c r="S981" s="8"/>
      <c r="T981" s="8"/>
      <c r="U981" s="8"/>
      <c r="V981" s="8"/>
      <c r="W981" s="8"/>
      <c r="X981" s="8"/>
      <c r="Y981" s="8"/>
      <c r="Z981" s="8"/>
      <c r="AA981" s="8"/>
    </row>
    <row r="982" spans="1:27" ht="15">
      <c r="A982" s="15"/>
      <c r="B982" s="36"/>
      <c r="C982" s="15"/>
      <c r="D982" s="37"/>
      <c r="E982" s="15"/>
      <c r="F982" s="15"/>
      <c r="G982" s="15"/>
      <c r="H982" s="15"/>
      <c r="I982" s="15"/>
      <c r="J982" s="39"/>
      <c r="K982" s="40"/>
      <c r="L982" s="8"/>
      <c r="M982" s="8"/>
      <c r="N982" s="8"/>
      <c r="O982" s="8"/>
      <c r="P982" s="8"/>
      <c r="Q982" s="8"/>
      <c r="R982" s="8"/>
      <c r="S982" s="8"/>
      <c r="T982" s="8"/>
      <c r="U982" s="8"/>
      <c r="V982" s="8"/>
      <c r="W982" s="8"/>
      <c r="X982" s="8"/>
      <c r="Y982" s="8"/>
      <c r="Z982" s="8"/>
      <c r="AA982" s="8"/>
    </row>
    <row r="983" spans="1:27" ht="15">
      <c r="A983" s="15"/>
      <c r="B983" s="36"/>
      <c r="C983" s="15"/>
      <c r="D983" s="37"/>
      <c r="E983" s="15"/>
      <c r="F983" s="15"/>
      <c r="G983" s="15"/>
      <c r="H983" s="15"/>
      <c r="I983" s="15"/>
      <c r="J983" s="39"/>
      <c r="K983" s="40"/>
      <c r="L983" s="8"/>
      <c r="M983" s="8"/>
      <c r="N983" s="8"/>
      <c r="O983" s="8"/>
      <c r="P983" s="8"/>
      <c r="Q983" s="8"/>
      <c r="R983" s="8"/>
      <c r="S983" s="8"/>
      <c r="T983" s="8"/>
      <c r="U983" s="8"/>
      <c r="V983" s="8"/>
      <c r="W983" s="8"/>
      <c r="X983" s="8"/>
      <c r="Y983" s="8"/>
      <c r="Z983" s="8"/>
      <c r="AA983" s="8"/>
    </row>
    <row r="984" spans="1:27" ht="15">
      <c r="A984" s="15"/>
      <c r="B984" s="36"/>
      <c r="C984" s="15"/>
      <c r="D984" s="37"/>
      <c r="E984" s="15"/>
      <c r="F984" s="15"/>
      <c r="G984" s="15"/>
      <c r="H984" s="15"/>
      <c r="I984" s="15"/>
      <c r="J984" s="39"/>
      <c r="K984" s="40"/>
      <c r="L984" s="8"/>
      <c r="M984" s="8"/>
      <c r="N984" s="8"/>
      <c r="O984" s="8"/>
      <c r="P984" s="8"/>
      <c r="Q984" s="8"/>
      <c r="R984" s="8"/>
      <c r="S984" s="8"/>
      <c r="T984" s="8"/>
      <c r="U984" s="8"/>
      <c r="V984" s="8"/>
      <c r="W984" s="8"/>
      <c r="X984" s="8"/>
      <c r="Y984" s="8"/>
      <c r="Z984" s="8"/>
      <c r="AA984" s="8"/>
    </row>
    <row r="985" spans="1:27" ht="15">
      <c r="A985" s="15"/>
      <c r="B985" s="36"/>
      <c r="C985" s="15"/>
      <c r="D985" s="37"/>
      <c r="E985" s="15"/>
      <c r="F985" s="15"/>
      <c r="G985" s="15"/>
      <c r="H985" s="15"/>
      <c r="I985" s="15"/>
      <c r="J985" s="39"/>
      <c r="K985" s="40"/>
      <c r="L985" s="8"/>
      <c r="M985" s="8"/>
      <c r="N985" s="8"/>
      <c r="O985" s="8"/>
      <c r="P985" s="8"/>
      <c r="Q985" s="8"/>
      <c r="R985" s="8"/>
      <c r="S985" s="8"/>
      <c r="T985" s="8"/>
      <c r="U985" s="8"/>
      <c r="V985" s="8"/>
      <c r="W985" s="8"/>
      <c r="X985" s="8"/>
      <c r="Y985" s="8"/>
      <c r="Z985" s="8"/>
      <c r="AA985" s="8"/>
    </row>
  </sheetData>
  <mergeCells count="18">
    <mergeCell ref="I11:I12"/>
    <mergeCell ref="J11:J12"/>
    <mergeCell ref="K11:K12"/>
    <mergeCell ref="I76:J76"/>
    <mergeCell ref="B11:B12"/>
    <mergeCell ref="C11:C12"/>
    <mergeCell ref="D11:D12"/>
    <mergeCell ref="E11:E12"/>
    <mergeCell ref="F11:F12"/>
    <mergeCell ref="G11:G12"/>
    <mergeCell ref="H11:H12"/>
    <mergeCell ref="B6:K6"/>
    <mergeCell ref="J8:K8"/>
    <mergeCell ref="B9:C10"/>
    <mergeCell ref="D9:I9"/>
    <mergeCell ref="J9:J10"/>
    <mergeCell ref="K9:K10"/>
    <mergeCell ref="D10:I10"/>
  </mergeCells>
  <printOptions horizontalCentered="1" gridLines="1"/>
  <pageMargins left="0.7" right="0.7" top="0.75" bottom="0.75" header="0" footer="0"/>
  <pageSetup paperSize="14" fitToHeight="0" pageOrder="overThenDown" orientation="portrait" cellComments="atEnd"/>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00FF00"/>
    <outlinePr summaryBelow="0" summaryRight="0"/>
    <pageSetUpPr fitToPage="1"/>
  </sheetPr>
  <dimension ref="A1:Z994"/>
  <sheetViews>
    <sheetView showGridLines="0" workbookViewId="0"/>
  </sheetViews>
  <sheetFormatPr defaultColWidth="12.5703125" defaultRowHeight="15.75" customHeight="1"/>
  <cols>
    <col min="1" max="1" width="49.5703125" customWidth="1"/>
    <col min="2" max="2" width="31.85546875" customWidth="1"/>
    <col min="3" max="3" width="14.42578125" hidden="1" customWidth="1"/>
    <col min="4" max="4" width="7.85546875" hidden="1" customWidth="1"/>
    <col min="5" max="5" width="12.5703125" hidden="1"/>
    <col min="6" max="6" width="15.140625" hidden="1" customWidth="1"/>
    <col min="7" max="7" width="22.140625" hidden="1" customWidth="1"/>
    <col min="8" max="8" width="14.42578125" hidden="1" customWidth="1"/>
    <col min="9" max="9" width="9.140625" hidden="1" customWidth="1"/>
    <col min="10" max="11" width="16.42578125" hidden="1" customWidth="1"/>
    <col min="12" max="26" width="12.5703125" hidden="1"/>
  </cols>
  <sheetData>
    <row r="1" spans="1:26" ht="63">
      <c r="A1" s="1349" t="s">
        <v>89</v>
      </c>
      <c r="B1" s="1349" t="s">
        <v>90</v>
      </c>
      <c r="C1" s="1351" t="s">
        <v>91</v>
      </c>
      <c r="D1" s="41" t="s">
        <v>92</v>
      </c>
      <c r="E1" s="42" t="s">
        <v>93</v>
      </c>
      <c r="F1" s="43" t="s">
        <v>94</v>
      </c>
      <c r="G1" s="44" t="s">
        <v>95</v>
      </c>
      <c r="H1" s="45" t="s">
        <v>96</v>
      </c>
      <c r="I1" s="46" t="s">
        <v>97</v>
      </c>
      <c r="J1" s="47" t="s">
        <v>98</v>
      </c>
      <c r="K1" s="48" t="s">
        <v>99</v>
      </c>
      <c r="L1" s="49"/>
      <c r="M1" s="49"/>
      <c r="N1" s="49"/>
      <c r="O1" s="49"/>
      <c r="P1" s="49"/>
      <c r="Q1" s="49"/>
      <c r="R1" s="49"/>
      <c r="S1" s="49"/>
      <c r="T1" s="49"/>
      <c r="U1" s="49"/>
      <c r="V1" s="49"/>
      <c r="W1" s="49"/>
      <c r="X1" s="49"/>
      <c r="Y1" s="49"/>
      <c r="Z1" s="49"/>
    </row>
    <row r="2" spans="1:26">
      <c r="A2" s="1350" t="s">
        <v>100</v>
      </c>
      <c r="B2" s="1350" t="s">
        <v>101</v>
      </c>
      <c r="C2" s="1422"/>
      <c r="D2" s="52" t="s">
        <v>103</v>
      </c>
      <c r="E2" s="53">
        <v>80</v>
      </c>
      <c r="F2" s="53" t="e">
        <f t="shared" ref="F2:F146" si="0">B2*E2</f>
        <v>#VALUE!</v>
      </c>
      <c r="G2" s="54">
        <v>80</v>
      </c>
      <c r="H2" s="53">
        <f t="shared" ref="H2:H146" si="1">G2*E2</f>
        <v>6400</v>
      </c>
      <c r="I2" s="55"/>
      <c r="J2" s="52">
        <v>30</v>
      </c>
      <c r="K2" s="56">
        <f t="shared" ref="K2:K3" si="2">IF(E2="","",(J2*E2))</f>
        <v>2400</v>
      </c>
      <c r="L2" s="55"/>
      <c r="M2" s="55"/>
      <c r="N2" s="55"/>
      <c r="O2" s="55"/>
      <c r="P2" s="55"/>
      <c r="Q2" s="55"/>
      <c r="R2" s="55"/>
      <c r="S2" s="55"/>
      <c r="T2" s="55"/>
      <c r="U2" s="55"/>
      <c r="V2" s="55"/>
      <c r="W2" s="55"/>
      <c r="X2" s="55"/>
      <c r="Y2" s="55"/>
      <c r="Z2" s="55"/>
    </row>
    <row r="3" spans="1:26">
      <c r="A3" s="1350" t="s">
        <v>102</v>
      </c>
      <c r="B3" s="1350" t="s">
        <v>101</v>
      </c>
      <c r="C3" s="1422"/>
      <c r="D3" s="52" t="s">
        <v>103</v>
      </c>
      <c r="E3" s="53">
        <v>255</v>
      </c>
      <c r="F3" s="53" t="e">
        <f t="shared" si="0"/>
        <v>#VALUE!</v>
      </c>
      <c r="G3" s="54">
        <v>4</v>
      </c>
      <c r="H3" s="53">
        <f t="shared" si="1"/>
        <v>1020</v>
      </c>
      <c r="I3" s="55"/>
      <c r="J3" s="52">
        <v>2</v>
      </c>
      <c r="K3" s="56">
        <f t="shared" si="2"/>
        <v>510</v>
      </c>
      <c r="L3" s="55"/>
      <c r="M3" s="55"/>
      <c r="N3" s="55"/>
      <c r="O3" s="55"/>
      <c r="P3" s="55"/>
      <c r="Q3" s="55"/>
      <c r="R3" s="55"/>
      <c r="S3" s="55"/>
      <c r="T3" s="55"/>
      <c r="U3" s="55"/>
      <c r="V3" s="55"/>
      <c r="W3" s="55"/>
      <c r="X3" s="55"/>
      <c r="Y3" s="55"/>
      <c r="Z3" s="55"/>
    </row>
    <row r="4" spans="1:26" ht="12.75" hidden="1">
      <c r="A4" s="1350" t="s">
        <v>104</v>
      </c>
      <c r="B4" s="1350" t="s">
        <v>101</v>
      </c>
      <c r="C4" s="1422"/>
      <c r="D4" s="59" t="s">
        <v>103</v>
      </c>
      <c r="E4" s="8">
        <v>19927.7</v>
      </c>
      <c r="F4" s="60" t="e">
        <f t="shared" si="0"/>
        <v>#VALUE!</v>
      </c>
      <c r="G4" s="61">
        <v>20</v>
      </c>
      <c r="H4" s="62">
        <f t="shared" si="1"/>
        <v>398554</v>
      </c>
      <c r="J4" s="63">
        <v>0</v>
      </c>
      <c r="K4" s="64">
        <f>J4*E4</f>
        <v>0</v>
      </c>
    </row>
    <row r="5" spans="1:26">
      <c r="A5" s="1350" t="s">
        <v>105</v>
      </c>
      <c r="B5" s="1350" t="s">
        <v>101</v>
      </c>
      <c r="C5" s="1422"/>
      <c r="D5" s="52" t="s">
        <v>103</v>
      </c>
      <c r="E5" s="53">
        <v>229.5</v>
      </c>
      <c r="F5" s="53" t="e">
        <f t="shared" si="0"/>
        <v>#VALUE!</v>
      </c>
      <c r="G5" s="54">
        <v>30</v>
      </c>
      <c r="H5" s="53">
        <f t="shared" si="1"/>
        <v>6885</v>
      </c>
      <c r="I5" s="55"/>
      <c r="J5" s="52">
        <v>8</v>
      </c>
      <c r="K5" s="56">
        <f>IF(E5="","",(J5*E5))</f>
        <v>1836</v>
      </c>
      <c r="L5" s="55"/>
      <c r="M5" s="55"/>
      <c r="N5" s="55"/>
      <c r="O5" s="55"/>
      <c r="P5" s="55"/>
      <c r="Q5" s="55"/>
      <c r="R5" s="55"/>
      <c r="S5" s="55"/>
      <c r="T5" s="55"/>
      <c r="U5" s="55"/>
      <c r="V5" s="55"/>
      <c r="W5" s="55"/>
      <c r="X5" s="55"/>
      <c r="Y5" s="55"/>
      <c r="Z5" s="55"/>
    </row>
    <row r="6" spans="1:26" ht="12.75" hidden="1">
      <c r="A6" s="1350" t="s">
        <v>106</v>
      </c>
      <c r="B6" s="1350" t="s">
        <v>107</v>
      </c>
      <c r="C6" s="1422"/>
      <c r="D6" s="59" t="s">
        <v>103</v>
      </c>
      <c r="E6" s="8">
        <v>240</v>
      </c>
      <c r="F6" s="60" t="e">
        <f t="shared" si="0"/>
        <v>#VALUE!</v>
      </c>
      <c r="G6" s="61">
        <v>5</v>
      </c>
      <c r="H6" s="62">
        <f t="shared" si="1"/>
        <v>1200</v>
      </c>
      <c r="J6" s="63">
        <v>0</v>
      </c>
      <c r="K6" s="64">
        <f t="shared" ref="K6:K7" si="3">J6*E6</f>
        <v>0</v>
      </c>
    </row>
    <row r="7" spans="1:26" ht="12.75" hidden="1">
      <c r="A7" s="1352"/>
      <c r="B7" s="1354" t="s">
        <v>108</v>
      </c>
      <c r="C7" s="1423"/>
      <c r="D7" s="59"/>
      <c r="E7" s="8"/>
      <c r="F7" s="60" t="e">
        <f t="shared" si="0"/>
        <v>#VALUE!</v>
      </c>
      <c r="G7" s="61">
        <v>20</v>
      </c>
      <c r="H7" s="62">
        <f t="shared" si="1"/>
        <v>0</v>
      </c>
      <c r="J7" s="63">
        <v>0</v>
      </c>
      <c r="K7" s="64">
        <f t="shared" si="3"/>
        <v>0</v>
      </c>
    </row>
    <row r="8" spans="1:26" hidden="1">
      <c r="A8" s="1352"/>
      <c r="B8" s="1354" t="s">
        <v>109</v>
      </c>
      <c r="C8" s="1423"/>
      <c r="D8" s="52"/>
      <c r="E8" s="55"/>
      <c r="F8" s="53" t="e">
        <f t="shared" si="0"/>
        <v>#VALUE!</v>
      </c>
      <c r="G8" s="54">
        <v>5</v>
      </c>
      <c r="H8" s="53">
        <f t="shared" si="1"/>
        <v>0</v>
      </c>
      <c r="I8" s="55"/>
      <c r="J8" s="52" t="s">
        <v>11</v>
      </c>
      <c r="K8" s="65" t="str">
        <f t="shared" ref="K8:K19" si="4">IF(E8="","",(J8*E8))</f>
        <v/>
      </c>
      <c r="L8" s="55"/>
      <c r="M8" s="55"/>
      <c r="N8" s="55"/>
      <c r="O8" s="55"/>
      <c r="P8" s="55"/>
      <c r="Q8" s="55"/>
      <c r="R8" s="55"/>
      <c r="S8" s="55"/>
      <c r="T8" s="55"/>
      <c r="U8" s="55"/>
      <c r="V8" s="55"/>
      <c r="W8" s="55"/>
      <c r="X8" s="55"/>
      <c r="Y8" s="55"/>
      <c r="Z8" s="55"/>
    </row>
    <row r="9" spans="1:26" hidden="1">
      <c r="A9" s="1352"/>
      <c r="B9" s="1354" t="s">
        <v>110</v>
      </c>
      <c r="C9" s="1423"/>
      <c r="D9" s="52"/>
      <c r="E9" s="55"/>
      <c r="F9" s="53" t="e">
        <f t="shared" si="0"/>
        <v>#VALUE!</v>
      </c>
      <c r="G9" s="54">
        <v>1</v>
      </c>
      <c r="H9" s="53">
        <f t="shared" si="1"/>
        <v>0</v>
      </c>
      <c r="I9" s="55"/>
      <c r="J9" s="52" t="s">
        <v>11</v>
      </c>
      <c r="K9" s="65" t="str">
        <f t="shared" si="4"/>
        <v/>
      </c>
      <c r="L9" s="55"/>
      <c r="M9" s="55"/>
      <c r="N9" s="55"/>
      <c r="O9" s="55"/>
      <c r="P9" s="55"/>
      <c r="Q9" s="55"/>
      <c r="R9" s="55"/>
      <c r="S9" s="55"/>
      <c r="T9" s="55"/>
      <c r="U9" s="55"/>
      <c r="V9" s="55"/>
      <c r="W9" s="55"/>
      <c r="X9" s="55"/>
      <c r="Y9" s="55"/>
      <c r="Z9" s="55"/>
    </row>
    <row r="10" spans="1:26" hidden="1">
      <c r="A10" s="1350" t="s">
        <v>36</v>
      </c>
      <c r="B10" s="1350" t="s">
        <v>101</v>
      </c>
      <c r="C10" s="1422"/>
      <c r="D10" s="52" t="s">
        <v>103</v>
      </c>
      <c r="E10" s="55">
        <v>3900</v>
      </c>
      <c r="F10" s="53" t="e">
        <f t="shared" si="0"/>
        <v>#VALUE!</v>
      </c>
      <c r="G10" s="54">
        <v>7</v>
      </c>
      <c r="H10" s="53">
        <f t="shared" si="1"/>
        <v>27300</v>
      </c>
      <c r="I10" s="55"/>
      <c r="J10" s="52" t="s">
        <v>11</v>
      </c>
      <c r="K10" s="65" t="e">
        <f t="shared" si="4"/>
        <v>#VALUE!</v>
      </c>
      <c r="L10" s="55"/>
      <c r="M10" s="55"/>
      <c r="N10" s="55"/>
      <c r="O10" s="55"/>
      <c r="P10" s="55"/>
      <c r="Q10" s="55"/>
      <c r="R10" s="55"/>
      <c r="S10" s="55"/>
      <c r="T10" s="55"/>
      <c r="U10" s="55"/>
      <c r="V10" s="55"/>
      <c r="W10" s="55"/>
      <c r="X10" s="55"/>
      <c r="Y10" s="55"/>
      <c r="Z10" s="55"/>
    </row>
    <row r="11" spans="1:26" hidden="1">
      <c r="A11" s="1350" t="s">
        <v>111</v>
      </c>
      <c r="B11" s="1350" t="s">
        <v>112</v>
      </c>
      <c r="C11" s="1422"/>
      <c r="D11" s="52" t="s">
        <v>103</v>
      </c>
      <c r="E11" s="55">
        <v>4200</v>
      </c>
      <c r="F11" s="53" t="e">
        <f t="shared" si="0"/>
        <v>#VALUE!</v>
      </c>
      <c r="G11" s="54">
        <v>30</v>
      </c>
      <c r="H11" s="53">
        <f t="shared" si="1"/>
        <v>126000</v>
      </c>
      <c r="I11" s="55"/>
      <c r="J11" s="52" t="s">
        <v>11</v>
      </c>
      <c r="K11" s="65" t="e">
        <f t="shared" si="4"/>
        <v>#VALUE!</v>
      </c>
      <c r="L11" s="55"/>
      <c r="M11" s="55"/>
      <c r="N11" s="55"/>
      <c r="O11" s="55"/>
      <c r="P11" s="55"/>
      <c r="Q11" s="55"/>
      <c r="R11" s="55"/>
      <c r="S11" s="55"/>
      <c r="T11" s="55"/>
      <c r="U11" s="55"/>
      <c r="V11" s="55"/>
      <c r="W11" s="55"/>
      <c r="X11" s="55"/>
      <c r="Y11" s="55"/>
      <c r="Z11" s="55"/>
    </row>
    <row r="12" spans="1:26" hidden="1">
      <c r="A12" s="1352"/>
      <c r="B12" s="1354" t="s">
        <v>113</v>
      </c>
      <c r="C12" s="1423"/>
      <c r="D12" s="52"/>
      <c r="E12" s="55"/>
      <c r="F12" s="53" t="e">
        <f t="shared" si="0"/>
        <v>#VALUE!</v>
      </c>
      <c r="G12" s="54">
        <v>10</v>
      </c>
      <c r="H12" s="53">
        <f t="shared" si="1"/>
        <v>0</v>
      </c>
      <c r="I12" s="55"/>
      <c r="J12" s="52" t="s">
        <v>11</v>
      </c>
      <c r="K12" s="65" t="str">
        <f t="shared" si="4"/>
        <v/>
      </c>
      <c r="L12" s="55"/>
      <c r="M12" s="55"/>
      <c r="N12" s="55"/>
      <c r="O12" s="55"/>
      <c r="P12" s="55"/>
      <c r="Q12" s="55"/>
      <c r="R12" s="55"/>
      <c r="S12" s="55"/>
      <c r="T12" s="55"/>
      <c r="U12" s="55"/>
      <c r="V12" s="55"/>
      <c r="W12" s="55"/>
      <c r="X12" s="55"/>
      <c r="Y12" s="55"/>
      <c r="Z12" s="55"/>
    </row>
    <row r="13" spans="1:26" hidden="1">
      <c r="A13" s="1352"/>
      <c r="B13" s="1354" t="s">
        <v>114</v>
      </c>
      <c r="C13" s="1423"/>
      <c r="D13" s="52"/>
      <c r="E13" s="55"/>
      <c r="F13" s="53" t="e">
        <f t="shared" si="0"/>
        <v>#VALUE!</v>
      </c>
      <c r="G13" s="54">
        <v>8</v>
      </c>
      <c r="H13" s="53">
        <f t="shared" si="1"/>
        <v>0</v>
      </c>
      <c r="I13" s="55"/>
      <c r="J13" s="52" t="s">
        <v>11</v>
      </c>
      <c r="K13" s="65" t="str">
        <f t="shared" si="4"/>
        <v/>
      </c>
      <c r="L13" s="55"/>
      <c r="M13" s="55"/>
      <c r="N13" s="55"/>
      <c r="O13" s="55"/>
      <c r="P13" s="55"/>
      <c r="Q13" s="55"/>
      <c r="R13" s="55"/>
      <c r="S13" s="55"/>
      <c r="T13" s="55"/>
      <c r="U13" s="55"/>
      <c r="V13" s="55"/>
      <c r="W13" s="55"/>
      <c r="X13" s="55"/>
      <c r="Y13" s="55"/>
      <c r="Z13" s="55"/>
    </row>
    <row r="14" spans="1:26" hidden="1">
      <c r="A14" s="1352"/>
      <c r="B14" s="1354" t="s">
        <v>115</v>
      </c>
      <c r="C14" s="1423"/>
      <c r="D14" s="52"/>
      <c r="E14" s="55"/>
      <c r="F14" s="53" t="e">
        <f t="shared" si="0"/>
        <v>#VALUE!</v>
      </c>
      <c r="G14" s="54">
        <v>7</v>
      </c>
      <c r="H14" s="53">
        <f t="shared" si="1"/>
        <v>0</v>
      </c>
      <c r="I14" s="55"/>
      <c r="J14" s="52" t="s">
        <v>11</v>
      </c>
      <c r="K14" s="65" t="str">
        <f t="shared" si="4"/>
        <v/>
      </c>
      <c r="L14" s="55"/>
      <c r="M14" s="55"/>
      <c r="N14" s="55"/>
      <c r="O14" s="55"/>
      <c r="P14" s="55"/>
      <c r="Q14" s="55"/>
      <c r="R14" s="55"/>
      <c r="S14" s="55"/>
      <c r="T14" s="55"/>
      <c r="U14" s="55"/>
      <c r="V14" s="55"/>
      <c r="W14" s="55"/>
      <c r="X14" s="55"/>
      <c r="Y14" s="55"/>
      <c r="Z14" s="55"/>
    </row>
    <row r="15" spans="1:26" hidden="1">
      <c r="A15" s="1352"/>
      <c r="B15" s="1354" t="s">
        <v>116</v>
      </c>
      <c r="C15" s="1423"/>
      <c r="D15" s="52"/>
      <c r="E15" s="55"/>
      <c r="F15" s="53" t="e">
        <f t="shared" si="0"/>
        <v>#VALUE!</v>
      </c>
      <c r="G15" s="54">
        <v>10</v>
      </c>
      <c r="H15" s="53">
        <f t="shared" si="1"/>
        <v>0</v>
      </c>
      <c r="I15" s="55"/>
      <c r="J15" s="52" t="s">
        <v>11</v>
      </c>
      <c r="K15" s="65" t="str">
        <f t="shared" si="4"/>
        <v/>
      </c>
      <c r="L15" s="55"/>
      <c r="M15" s="55"/>
      <c r="N15" s="55"/>
      <c r="O15" s="55"/>
      <c r="P15" s="55"/>
      <c r="Q15" s="55"/>
      <c r="R15" s="55"/>
      <c r="S15" s="55"/>
      <c r="T15" s="55"/>
      <c r="U15" s="55"/>
      <c r="V15" s="55"/>
      <c r="W15" s="55"/>
      <c r="X15" s="55"/>
      <c r="Y15" s="55"/>
      <c r="Z15" s="55"/>
    </row>
    <row r="16" spans="1:26" hidden="1">
      <c r="A16" s="1352"/>
      <c r="B16" s="1354" t="s">
        <v>117</v>
      </c>
      <c r="C16" s="1423"/>
      <c r="D16" s="52"/>
      <c r="E16" s="55"/>
      <c r="F16" s="53" t="e">
        <f t="shared" si="0"/>
        <v>#VALUE!</v>
      </c>
      <c r="G16" s="54">
        <v>10</v>
      </c>
      <c r="H16" s="53">
        <f t="shared" si="1"/>
        <v>0</v>
      </c>
      <c r="I16" s="55"/>
      <c r="J16" s="52" t="s">
        <v>11</v>
      </c>
      <c r="K16" s="65" t="str">
        <f t="shared" si="4"/>
        <v/>
      </c>
      <c r="L16" s="55"/>
      <c r="M16" s="55"/>
      <c r="N16" s="55"/>
      <c r="O16" s="55"/>
      <c r="P16" s="55"/>
      <c r="Q16" s="55"/>
      <c r="R16" s="55"/>
      <c r="S16" s="55"/>
      <c r="T16" s="55"/>
      <c r="U16" s="55"/>
      <c r="V16" s="55"/>
      <c r="W16" s="55"/>
      <c r="X16" s="55"/>
      <c r="Y16" s="55"/>
      <c r="Z16" s="55"/>
    </row>
    <row r="17" spans="1:26" hidden="1">
      <c r="A17" s="1350" t="s">
        <v>21</v>
      </c>
      <c r="B17" s="1350" t="s">
        <v>101</v>
      </c>
      <c r="C17" s="1422"/>
      <c r="D17" s="52" t="s">
        <v>118</v>
      </c>
      <c r="E17" s="55">
        <v>375</v>
      </c>
      <c r="F17" s="53" t="e">
        <f t="shared" si="0"/>
        <v>#VALUE!</v>
      </c>
      <c r="G17" s="54">
        <v>60</v>
      </c>
      <c r="H17" s="53">
        <f t="shared" si="1"/>
        <v>22500</v>
      </c>
      <c r="I17" s="55"/>
      <c r="J17" s="52" t="s">
        <v>11</v>
      </c>
      <c r="K17" s="65" t="e">
        <f t="shared" si="4"/>
        <v>#VALUE!</v>
      </c>
      <c r="L17" s="55"/>
      <c r="M17" s="55"/>
      <c r="N17" s="55"/>
      <c r="O17" s="55"/>
      <c r="P17" s="55"/>
      <c r="Q17" s="55"/>
      <c r="R17" s="55"/>
      <c r="S17" s="55"/>
      <c r="T17" s="55"/>
      <c r="U17" s="55"/>
      <c r="V17" s="55"/>
      <c r="W17" s="55"/>
      <c r="X17" s="55"/>
      <c r="Y17" s="55"/>
      <c r="Z17" s="55"/>
    </row>
    <row r="18" spans="1:26" hidden="1">
      <c r="A18" s="1350" t="s">
        <v>119</v>
      </c>
      <c r="B18" s="1350" t="s">
        <v>101</v>
      </c>
      <c r="C18" s="1422"/>
      <c r="D18" s="52" t="s">
        <v>103</v>
      </c>
      <c r="E18" s="55">
        <v>300</v>
      </c>
      <c r="F18" s="53" t="e">
        <f t="shared" si="0"/>
        <v>#VALUE!</v>
      </c>
      <c r="G18" s="54">
        <v>20</v>
      </c>
      <c r="H18" s="53">
        <f t="shared" si="1"/>
        <v>6000</v>
      </c>
      <c r="I18" s="55"/>
      <c r="J18" s="52" t="s">
        <v>11</v>
      </c>
      <c r="K18" s="65" t="e">
        <f t="shared" si="4"/>
        <v>#VALUE!</v>
      </c>
      <c r="L18" s="55"/>
      <c r="M18" s="55"/>
      <c r="N18" s="55"/>
      <c r="O18" s="55"/>
      <c r="P18" s="55"/>
      <c r="Q18" s="55"/>
      <c r="R18" s="55"/>
      <c r="S18" s="55"/>
      <c r="T18" s="55"/>
      <c r="U18" s="55"/>
      <c r="V18" s="55"/>
      <c r="W18" s="55"/>
      <c r="X18" s="55"/>
      <c r="Y18" s="55"/>
      <c r="Z18" s="55"/>
    </row>
    <row r="19" spans="1:26" hidden="1">
      <c r="A19" s="1350" t="s">
        <v>120</v>
      </c>
      <c r="B19" s="1350" t="s">
        <v>101</v>
      </c>
      <c r="C19" s="1422"/>
      <c r="D19" s="52" t="s">
        <v>103</v>
      </c>
      <c r="E19" s="55">
        <v>8700</v>
      </c>
      <c r="F19" s="53" t="e">
        <f t="shared" si="0"/>
        <v>#VALUE!</v>
      </c>
      <c r="G19" s="54">
        <v>10</v>
      </c>
      <c r="H19" s="53">
        <f t="shared" si="1"/>
        <v>87000</v>
      </c>
      <c r="I19" s="55"/>
      <c r="J19" s="52" t="s">
        <v>11</v>
      </c>
      <c r="K19" s="65" t="e">
        <f t="shared" si="4"/>
        <v>#VALUE!</v>
      </c>
      <c r="L19" s="55"/>
      <c r="M19" s="55"/>
      <c r="N19" s="55"/>
      <c r="O19" s="55"/>
      <c r="P19" s="55"/>
      <c r="Q19" s="55"/>
      <c r="R19" s="55"/>
      <c r="S19" s="55"/>
      <c r="T19" s="55"/>
      <c r="U19" s="55"/>
      <c r="V19" s="55"/>
      <c r="W19" s="55"/>
      <c r="X19" s="55"/>
      <c r="Y19" s="55"/>
      <c r="Z19" s="55"/>
    </row>
    <row r="20" spans="1:26" ht="12.75" hidden="1">
      <c r="A20" s="1352"/>
      <c r="B20" s="1354" t="s">
        <v>121</v>
      </c>
      <c r="C20" s="1423"/>
      <c r="D20" s="59"/>
      <c r="E20" s="8"/>
      <c r="F20" s="60" t="e">
        <f t="shared" si="0"/>
        <v>#VALUE!</v>
      </c>
      <c r="G20" s="61">
        <v>20</v>
      </c>
      <c r="H20" s="62">
        <f t="shared" si="1"/>
        <v>0</v>
      </c>
      <c r="J20" s="63">
        <v>0</v>
      </c>
      <c r="K20" s="64">
        <f t="shared" ref="K20:K21" si="5">J20*E20</f>
        <v>0</v>
      </c>
    </row>
    <row r="21" spans="1:26" ht="12.75" hidden="1">
      <c r="A21" s="1352"/>
      <c r="B21" s="1354" t="s">
        <v>122</v>
      </c>
      <c r="C21" s="1423"/>
      <c r="D21" s="59"/>
      <c r="E21" s="8"/>
      <c r="F21" s="60" t="e">
        <f t="shared" si="0"/>
        <v>#VALUE!</v>
      </c>
      <c r="G21" s="61">
        <v>70</v>
      </c>
      <c r="H21" s="60">
        <f t="shared" si="1"/>
        <v>0</v>
      </c>
      <c r="I21" s="8"/>
      <c r="J21" s="66">
        <v>0</v>
      </c>
      <c r="K21" s="67">
        <f t="shared" si="5"/>
        <v>0</v>
      </c>
    </row>
    <row r="22" spans="1:26" hidden="1">
      <c r="A22" s="1352"/>
      <c r="B22" s="1354" t="s">
        <v>123</v>
      </c>
      <c r="C22" s="1423"/>
      <c r="D22" s="52"/>
      <c r="E22" s="55"/>
      <c r="F22" s="53" t="e">
        <f t="shared" si="0"/>
        <v>#VALUE!</v>
      </c>
      <c r="G22" s="54">
        <v>7</v>
      </c>
      <c r="H22" s="53">
        <f t="shared" si="1"/>
        <v>0</v>
      </c>
      <c r="I22" s="55"/>
      <c r="J22" s="52" t="s">
        <v>11</v>
      </c>
      <c r="K22" s="65" t="str">
        <f t="shared" ref="K22:K29" si="6">IF(E22="","",(J22*E22))</f>
        <v/>
      </c>
      <c r="L22" s="55"/>
      <c r="M22" s="55"/>
      <c r="N22" s="55"/>
      <c r="O22" s="55"/>
      <c r="P22" s="55"/>
      <c r="Q22" s="55"/>
      <c r="R22" s="55"/>
      <c r="S22" s="55"/>
      <c r="T22" s="55"/>
      <c r="U22" s="55"/>
      <c r="V22" s="55"/>
      <c r="W22" s="55"/>
      <c r="X22" s="55"/>
      <c r="Y22" s="55"/>
      <c r="Z22" s="55"/>
    </row>
    <row r="23" spans="1:26" hidden="1">
      <c r="A23" s="1352"/>
      <c r="B23" s="1354" t="s">
        <v>124</v>
      </c>
      <c r="C23" s="1423"/>
      <c r="D23" s="52"/>
      <c r="E23" s="55"/>
      <c r="F23" s="53" t="e">
        <f t="shared" si="0"/>
        <v>#VALUE!</v>
      </c>
      <c r="G23" s="54">
        <v>1</v>
      </c>
      <c r="H23" s="53">
        <f t="shared" si="1"/>
        <v>0</v>
      </c>
      <c r="I23" s="55"/>
      <c r="J23" s="52" t="s">
        <v>11</v>
      </c>
      <c r="K23" s="65" t="str">
        <f t="shared" si="6"/>
        <v/>
      </c>
      <c r="L23" s="55"/>
      <c r="M23" s="55"/>
      <c r="N23" s="55"/>
      <c r="O23" s="55"/>
      <c r="P23" s="55"/>
      <c r="Q23" s="55"/>
      <c r="R23" s="55"/>
      <c r="S23" s="55"/>
      <c r="T23" s="55"/>
      <c r="U23" s="55"/>
      <c r="V23" s="55"/>
      <c r="W23" s="55"/>
      <c r="X23" s="55"/>
      <c r="Y23" s="55"/>
      <c r="Z23" s="55"/>
    </row>
    <row r="24" spans="1:26" hidden="1">
      <c r="A24" s="1352"/>
      <c r="B24" s="1354" t="s">
        <v>125</v>
      </c>
      <c r="C24" s="1423"/>
      <c r="D24" s="52"/>
      <c r="E24" s="55"/>
      <c r="F24" s="53" t="e">
        <f t="shared" si="0"/>
        <v>#VALUE!</v>
      </c>
      <c r="G24" s="54">
        <v>2</v>
      </c>
      <c r="H24" s="53">
        <f t="shared" si="1"/>
        <v>0</v>
      </c>
      <c r="I24" s="55"/>
      <c r="J24" s="52" t="s">
        <v>11</v>
      </c>
      <c r="K24" s="65" t="str">
        <f t="shared" si="6"/>
        <v/>
      </c>
      <c r="L24" s="55"/>
      <c r="M24" s="55"/>
      <c r="N24" s="55"/>
      <c r="O24" s="55"/>
      <c r="P24" s="55"/>
      <c r="Q24" s="55"/>
      <c r="R24" s="55"/>
      <c r="S24" s="55"/>
      <c r="T24" s="55"/>
      <c r="U24" s="55"/>
      <c r="V24" s="55"/>
      <c r="W24" s="55"/>
      <c r="X24" s="55"/>
      <c r="Y24" s="55"/>
      <c r="Z24" s="55"/>
    </row>
    <row r="25" spans="1:26" hidden="1">
      <c r="A25" s="1352"/>
      <c r="B25" s="1354" t="s">
        <v>126</v>
      </c>
      <c r="C25" s="1423"/>
      <c r="D25" s="52"/>
      <c r="E25" s="55"/>
      <c r="F25" s="53" t="e">
        <f t="shared" si="0"/>
        <v>#VALUE!</v>
      </c>
      <c r="G25" s="54">
        <v>4</v>
      </c>
      <c r="H25" s="53">
        <f t="shared" si="1"/>
        <v>0</v>
      </c>
      <c r="I25" s="55"/>
      <c r="J25" s="52" t="s">
        <v>11</v>
      </c>
      <c r="K25" s="65" t="str">
        <f t="shared" si="6"/>
        <v/>
      </c>
      <c r="L25" s="55"/>
      <c r="M25" s="55"/>
      <c r="N25" s="55"/>
      <c r="O25" s="55"/>
      <c r="P25" s="55"/>
      <c r="Q25" s="55"/>
      <c r="R25" s="55"/>
      <c r="S25" s="55"/>
      <c r="T25" s="55"/>
      <c r="U25" s="55"/>
      <c r="V25" s="55"/>
      <c r="W25" s="55"/>
      <c r="X25" s="55"/>
      <c r="Y25" s="55"/>
      <c r="Z25" s="55"/>
    </row>
    <row r="26" spans="1:26" hidden="1">
      <c r="A26" s="1352"/>
      <c r="B26" s="1354" t="s">
        <v>127</v>
      </c>
      <c r="C26" s="1423"/>
      <c r="D26" s="52"/>
      <c r="E26" s="55"/>
      <c r="F26" s="53" t="e">
        <f t="shared" si="0"/>
        <v>#VALUE!</v>
      </c>
      <c r="G26" s="54">
        <v>0</v>
      </c>
      <c r="H26" s="53">
        <f t="shared" si="1"/>
        <v>0</v>
      </c>
      <c r="I26" s="55"/>
      <c r="J26" s="52" t="s">
        <v>11</v>
      </c>
      <c r="K26" s="65" t="str">
        <f t="shared" si="6"/>
        <v/>
      </c>
      <c r="L26" s="55"/>
      <c r="M26" s="55"/>
      <c r="N26" s="55"/>
      <c r="O26" s="55"/>
      <c r="P26" s="55"/>
      <c r="Q26" s="55"/>
      <c r="R26" s="55"/>
      <c r="S26" s="55"/>
      <c r="T26" s="55"/>
      <c r="U26" s="55"/>
      <c r="V26" s="55"/>
      <c r="W26" s="55"/>
      <c r="X26" s="55"/>
      <c r="Y26" s="55"/>
      <c r="Z26" s="55"/>
    </row>
    <row r="27" spans="1:26" hidden="1">
      <c r="A27" s="1352"/>
      <c r="B27" s="1354" t="s">
        <v>128</v>
      </c>
      <c r="C27" s="1423"/>
      <c r="D27" s="52"/>
      <c r="E27" s="55"/>
      <c r="F27" s="53" t="e">
        <f t="shared" si="0"/>
        <v>#VALUE!</v>
      </c>
      <c r="G27" s="54">
        <v>0</v>
      </c>
      <c r="H27" s="53">
        <f t="shared" si="1"/>
        <v>0</v>
      </c>
      <c r="I27" s="55"/>
      <c r="J27" s="52" t="s">
        <v>11</v>
      </c>
      <c r="K27" s="65" t="str">
        <f t="shared" si="6"/>
        <v/>
      </c>
      <c r="L27" s="55"/>
      <c r="M27" s="55"/>
      <c r="N27" s="55"/>
      <c r="O27" s="55"/>
      <c r="P27" s="55"/>
      <c r="Q27" s="55"/>
      <c r="R27" s="55"/>
      <c r="S27" s="55"/>
      <c r="T27" s="55"/>
      <c r="U27" s="55"/>
      <c r="V27" s="55"/>
      <c r="W27" s="55"/>
      <c r="X27" s="55"/>
      <c r="Y27" s="55"/>
      <c r="Z27" s="55"/>
    </row>
    <row r="28" spans="1:26" hidden="1">
      <c r="A28" s="1352"/>
      <c r="B28" s="1354" t="s">
        <v>129</v>
      </c>
      <c r="C28" s="1423"/>
      <c r="D28" s="52"/>
      <c r="E28" s="55"/>
      <c r="F28" s="53" t="e">
        <f t="shared" si="0"/>
        <v>#VALUE!</v>
      </c>
      <c r="G28" s="54">
        <v>2</v>
      </c>
      <c r="H28" s="53">
        <f t="shared" si="1"/>
        <v>0</v>
      </c>
      <c r="I28" s="55"/>
      <c r="J28" s="52" t="s">
        <v>11</v>
      </c>
      <c r="K28" s="65" t="str">
        <f t="shared" si="6"/>
        <v/>
      </c>
      <c r="L28" s="55"/>
      <c r="M28" s="55"/>
      <c r="N28" s="55"/>
      <c r="O28" s="55"/>
      <c r="P28" s="55"/>
      <c r="Q28" s="55"/>
      <c r="R28" s="55"/>
      <c r="S28" s="55"/>
      <c r="T28" s="55"/>
      <c r="U28" s="55"/>
      <c r="V28" s="55"/>
      <c r="W28" s="55"/>
      <c r="X28" s="55"/>
      <c r="Y28" s="55"/>
      <c r="Z28" s="55"/>
    </row>
    <row r="29" spans="1:26" hidden="1">
      <c r="A29" s="1352"/>
      <c r="B29" s="1354" t="s">
        <v>130</v>
      </c>
      <c r="C29" s="1423"/>
      <c r="D29" s="52"/>
      <c r="E29" s="55"/>
      <c r="F29" s="53" t="e">
        <f t="shared" si="0"/>
        <v>#VALUE!</v>
      </c>
      <c r="G29" s="54">
        <v>60</v>
      </c>
      <c r="H29" s="53">
        <f t="shared" si="1"/>
        <v>0</v>
      </c>
      <c r="I29" s="55"/>
      <c r="J29" s="52" t="s">
        <v>11</v>
      </c>
      <c r="K29" s="65" t="str">
        <f t="shared" si="6"/>
        <v/>
      </c>
      <c r="L29" s="55"/>
      <c r="M29" s="55"/>
      <c r="N29" s="55"/>
      <c r="O29" s="55"/>
      <c r="P29" s="55"/>
      <c r="Q29" s="55"/>
      <c r="R29" s="55"/>
      <c r="S29" s="55"/>
      <c r="T29" s="55"/>
      <c r="U29" s="55"/>
      <c r="V29" s="55"/>
      <c r="W29" s="55"/>
      <c r="X29" s="55"/>
      <c r="Y29" s="55"/>
      <c r="Z29" s="55"/>
    </row>
    <row r="30" spans="1:26" ht="12.75" hidden="1">
      <c r="A30" s="1350" t="s">
        <v>131</v>
      </c>
      <c r="B30" s="1350" t="s">
        <v>132</v>
      </c>
      <c r="C30" s="1422"/>
      <c r="D30" s="59" t="s">
        <v>103</v>
      </c>
      <c r="E30" s="8">
        <v>5700</v>
      </c>
      <c r="F30" s="60" t="e">
        <f t="shared" si="0"/>
        <v>#VALUE!</v>
      </c>
      <c r="G30" s="61">
        <v>40</v>
      </c>
      <c r="H30" s="60">
        <f t="shared" si="1"/>
        <v>228000</v>
      </c>
      <c r="I30" s="8"/>
      <c r="J30" s="66">
        <v>0</v>
      </c>
      <c r="K30" s="67">
        <f t="shared" ref="K30:K32" si="7">J30*E30</f>
        <v>0</v>
      </c>
    </row>
    <row r="31" spans="1:26" ht="12.75" hidden="1">
      <c r="A31" s="1352"/>
      <c r="B31" s="1354" t="s">
        <v>133</v>
      </c>
      <c r="C31" s="1423"/>
      <c r="D31" s="59"/>
      <c r="E31" s="8"/>
      <c r="F31" s="60" t="e">
        <f t="shared" si="0"/>
        <v>#VALUE!</v>
      </c>
      <c r="G31" s="61">
        <v>41</v>
      </c>
      <c r="H31" s="62">
        <f t="shared" si="1"/>
        <v>0</v>
      </c>
      <c r="J31" s="63">
        <v>0</v>
      </c>
      <c r="K31" s="64">
        <f t="shared" si="7"/>
        <v>0</v>
      </c>
    </row>
    <row r="32" spans="1:26" ht="12.75" hidden="1">
      <c r="A32" s="1352"/>
      <c r="B32" s="1354" t="s">
        <v>134</v>
      </c>
      <c r="C32" s="1423"/>
      <c r="D32" s="59"/>
      <c r="E32" s="8"/>
      <c r="F32" s="60" t="e">
        <f t="shared" si="0"/>
        <v>#VALUE!</v>
      </c>
      <c r="G32" s="61">
        <v>1</v>
      </c>
      <c r="H32" s="62">
        <f t="shared" si="1"/>
        <v>0</v>
      </c>
      <c r="J32" s="63">
        <v>0</v>
      </c>
      <c r="K32" s="64">
        <f t="shared" si="7"/>
        <v>0</v>
      </c>
    </row>
    <row r="33" spans="1:26" hidden="1">
      <c r="A33" s="1352"/>
      <c r="B33" s="1354" t="s">
        <v>4744</v>
      </c>
      <c r="C33" s="1423"/>
      <c r="D33" s="52"/>
      <c r="E33" s="55"/>
      <c r="F33" s="53" t="e">
        <f t="shared" si="0"/>
        <v>#VALUE!</v>
      </c>
      <c r="G33" s="54">
        <v>24</v>
      </c>
      <c r="H33" s="53">
        <f t="shared" si="1"/>
        <v>0</v>
      </c>
      <c r="I33" s="55"/>
      <c r="J33" s="52" t="s">
        <v>11</v>
      </c>
      <c r="K33" s="65" t="str">
        <f t="shared" ref="K33:K38" si="8">IF(E33="","",(J33*E33))</f>
        <v/>
      </c>
      <c r="L33" s="55"/>
      <c r="M33" s="55"/>
      <c r="N33" s="55"/>
      <c r="O33" s="55"/>
      <c r="P33" s="55"/>
      <c r="Q33" s="55"/>
      <c r="R33" s="55"/>
      <c r="S33" s="55"/>
      <c r="T33" s="55"/>
      <c r="U33" s="55"/>
      <c r="V33" s="55"/>
      <c r="W33" s="55"/>
      <c r="X33" s="55"/>
      <c r="Y33" s="55"/>
      <c r="Z33" s="55"/>
    </row>
    <row r="34" spans="1:26" hidden="1">
      <c r="A34" s="1350" t="s">
        <v>135</v>
      </c>
      <c r="B34" s="1350" t="s">
        <v>101</v>
      </c>
      <c r="C34" s="1422"/>
      <c r="D34" s="52" t="s">
        <v>103</v>
      </c>
      <c r="E34" s="55">
        <v>375</v>
      </c>
      <c r="F34" s="53" t="e">
        <f t="shared" si="0"/>
        <v>#VALUE!</v>
      </c>
      <c r="G34" s="54">
        <v>50</v>
      </c>
      <c r="H34" s="53">
        <f t="shared" si="1"/>
        <v>18750</v>
      </c>
      <c r="I34" s="55"/>
      <c r="J34" s="52" t="s">
        <v>11</v>
      </c>
      <c r="K34" s="65" t="e">
        <f t="shared" si="8"/>
        <v>#VALUE!</v>
      </c>
      <c r="L34" s="55"/>
      <c r="M34" s="55"/>
      <c r="N34" s="55"/>
      <c r="O34" s="55"/>
      <c r="P34" s="55"/>
      <c r="Q34" s="55"/>
      <c r="R34" s="55"/>
      <c r="S34" s="55"/>
      <c r="T34" s="55"/>
      <c r="U34" s="55"/>
      <c r="V34" s="55"/>
      <c r="W34" s="55"/>
      <c r="X34" s="55"/>
      <c r="Y34" s="55"/>
      <c r="Z34" s="55"/>
    </row>
    <row r="35" spans="1:26" hidden="1">
      <c r="A35" s="1350" t="s">
        <v>136</v>
      </c>
      <c r="B35" s="1350" t="s">
        <v>137</v>
      </c>
      <c r="C35" s="1422"/>
      <c r="D35" s="52" t="s">
        <v>103</v>
      </c>
      <c r="E35" s="55">
        <v>300</v>
      </c>
      <c r="F35" s="53" t="e">
        <f t="shared" si="0"/>
        <v>#VALUE!</v>
      </c>
      <c r="G35" s="54">
        <v>50</v>
      </c>
      <c r="H35" s="53">
        <f t="shared" si="1"/>
        <v>15000</v>
      </c>
      <c r="I35" s="55"/>
      <c r="J35" s="52" t="s">
        <v>11</v>
      </c>
      <c r="K35" s="65" t="e">
        <f t="shared" si="8"/>
        <v>#VALUE!</v>
      </c>
      <c r="L35" s="55"/>
      <c r="M35" s="55"/>
      <c r="N35" s="55"/>
      <c r="O35" s="55"/>
      <c r="P35" s="55"/>
      <c r="Q35" s="55"/>
      <c r="R35" s="55"/>
      <c r="S35" s="55"/>
      <c r="T35" s="55"/>
      <c r="U35" s="55"/>
      <c r="V35" s="55"/>
      <c r="W35" s="55"/>
      <c r="X35" s="55"/>
      <c r="Y35" s="55"/>
      <c r="Z35" s="55"/>
    </row>
    <row r="36" spans="1:26" hidden="1">
      <c r="A36" s="1352"/>
      <c r="B36" s="1354" t="s">
        <v>112</v>
      </c>
      <c r="C36" s="1423"/>
      <c r="D36" s="52"/>
      <c r="E36" s="55"/>
      <c r="F36" s="53" t="e">
        <f t="shared" si="0"/>
        <v>#VALUE!</v>
      </c>
      <c r="G36" s="54">
        <v>40</v>
      </c>
      <c r="H36" s="53">
        <f t="shared" si="1"/>
        <v>0</v>
      </c>
      <c r="I36" s="55"/>
      <c r="J36" s="52" t="s">
        <v>11</v>
      </c>
      <c r="K36" s="65" t="str">
        <f t="shared" si="8"/>
        <v/>
      </c>
      <c r="L36" s="55"/>
      <c r="M36" s="55"/>
      <c r="N36" s="55"/>
      <c r="O36" s="55"/>
      <c r="P36" s="55"/>
      <c r="Q36" s="55"/>
      <c r="R36" s="55"/>
      <c r="S36" s="55"/>
      <c r="T36" s="55"/>
      <c r="U36" s="55"/>
      <c r="V36" s="55"/>
      <c r="W36" s="55"/>
      <c r="X36" s="55"/>
      <c r="Y36" s="55"/>
      <c r="Z36" s="55"/>
    </row>
    <row r="37" spans="1:26" hidden="1">
      <c r="A37" s="1352"/>
      <c r="B37" s="1354" t="s">
        <v>138</v>
      </c>
      <c r="C37" s="1423"/>
      <c r="D37" s="52"/>
      <c r="E37" s="55"/>
      <c r="F37" s="53" t="e">
        <f t="shared" si="0"/>
        <v>#VALUE!</v>
      </c>
      <c r="G37" s="54">
        <v>40</v>
      </c>
      <c r="H37" s="53">
        <f t="shared" si="1"/>
        <v>0</v>
      </c>
      <c r="I37" s="55"/>
      <c r="J37" s="52" t="s">
        <v>11</v>
      </c>
      <c r="K37" s="65" t="str">
        <f t="shared" si="8"/>
        <v/>
      </c>
      <c r="L37" s="55"/>
      <c r="M37" s="55"/>
      <c r="N37" s="55"/>
      <c r="O37" s="55"/>
      <c r="P37" s="55"/>
      <c r="Q37" s="55"/>
      <c r="R37" s="55"/>
      <c r="S37" s="55"/>
      <c r="T37" s="55"/>
      <c r="U37" s="55"/>
      <c r="V37" s="55"/>
      <c r="W37" s="55"/>
      <c r="X37" s="55"/>
      <c r="Y37" s="55"/>
      <c r="Z37" s="55"/>
    </row>
    <row r="38" spans="1:26" hidden="1">
      <c r="A38" s="1352"/>
      <c r="B38" s="1354" t="s">
        <v>114</v>
      </c>
      <c r="C38" s="1423"/>
      <c r="D38" s="52"/>
      <c r="E38" s="55"/>
      <c r="F38" s="53" t="e">
        <f t="shared" si="0"/>
        <v>#VALUE!</v>
      </c>
      <c r="G38" s="54">
        <v>30</v>
      </c>
      <c r="H38" s="53">
        <f t="shared" si="1"/>
        <v>0</v>
      </c>
      <c r="I38" s="55"/>
      <c r="J38" s="52" t="s">
        <v>11</v>
      </c>
      <c r="K38" s="65" t="str">
        <f t="shared" si="8"/>
        <v/>
      </c>
      <c r="L38" s="55"/>
      <c r="M38" s="55"/>
      <c r="N38" s="55"/>
      <c r="O38" s="55"/>
      <c r="P38" s="55"/>
      <c r="Q38" s="55"/>
      <c r="R38" s="55"/>
      <c r="S38" s="55"/>
      <c r="T38" s="55"/>
      <c r="U38" s="55"/>
      <c r="V38" s="55"/>
      <c r="W38" s="55"/>
      <c r="X38" s="55"/>
      <c r="Y38" s="55"/>
      <c r="Z38" s="55"/>
    </row>
    <row r="39" spans="1:26" ht="12.75" hidden="1">
      <c r="A39" s="1352"/>
      <c r="B39" s="1354" t="s">
        <v>115</v>
      </c>
      <c r="C39" s="1423"/>
      <c r="D39" s="59"/>
      <c r="E39" s="8"/>
      <c r="F39" s="60" t="e">
        <f t="shared" si="0"/>
        <v>#VALUE!</v>
      </c>
      <c r="G39" s="61">
        <v>30</v>
      </c>
      <c r="H39" s="60">
        <f t="shared" si="1"/>
        <v>0</v>
      </c>
      <c r="I39" s="8"/>
      <c r="J39" s="66">
        <v>0</v>
      </c>
      <c r="K39" s="67">
        <f>J39*E39</f>
        <v>0</v>
      </c>
    </row>
    <row r="40" spans="1:26" hidden="1">
      <c r="A40" s="1352"/>
      <c r="B40" s="1354" t="s">
        <v>139</v>
      </c>
      <c r="C40" s="1423"/>
      <c r="D40" s="52"/>
      <c r="E40" s="55"/>
      <c r="F40" s="53" t="e">
        <f t="shared" si="0"/>
        <v>#VALUE!</v>
      </c>
      <c r="G40" s="54">
        <v>10</v>
      </c>
      <c r="H40" s="53">
        <f t="shared" si="1"/>
        <v>0</v>
      </c>
      <c r="I40" s="55"/>
      <c r="J40" s="52" t="s">
        <v>11</v>
      </c>
      <c r="K40" s="65" t="str">
        <f t="shared" ref="K40:K42" si="9">IF(E40="","",(J40*E40))</f>
        <v/>
      </c>
      <c r="L40" s="55"/>
      <c r="M40" s="55"/>
      <c r="N40" s="55"/>
      <c r="O40" s="55"/>
      <c r="P40" s="55"/>
      <c r="Q40" s="55"/>
      <c r="R40" s="55"/>
      <c r="S40" s="55"/>
      <c r="T40" s="55"/>
      <c r="U40" s="55"/>
      <c r="V40" s="55"/>
      <c r="W40" s="55"/>
      <c r="X40" s="55"/>
      <c r="Y40" s="55"/>
      <c r="Z40" s="55"/>
    </row>
    <row r="41" spans="1:26" hidden="1">
      <c r="A41" s="1352"/>
      <c r="B41" s="1354" t="s">
        <v>107</v>
      </c>
      <c r="C41" s="1423"/>
      <c r="D41" s="52"/>
      <c r="E41" s="55"/>
      <c r="F41" s="53" t="e">
        <f t="shared" si="0"/>
        <v>#VALUE!</v>
      </c>
      <c r="G41" s="54">
        <v>10</v>
      </c>
      <c r="H41" s="53">
        <f t="shared" si="1"/>
        <v>0</v>
      </c>
      <c r="I41" s="55"/>
      <c r="J41" s="52" t="s">
        <v>11</v>
      </c>
      <c r="K41" s="65" t="str">
        <f t="shared" si="9"/>
        <v/>
      </c>
      <c r="L41" s="55"/>
      <c r="M41" s="55"/>
      <c r="N41" s="55"/>
      <c r="O41" s="55"/>
      <c r="P41" s="55"/>
      <c r="Q41" s="55"/>
      <c r="R41" s="55"/>
      <c r="S41" s="55"/>
      <c r="T41" s="55"/>
      <c r="U41" s="55"/>
      <c r="V41" s="55"/>
      <c r="W41" s="55"/>
      <c r="X41" s="55"/>
      <c r="Y41" s="55"/>
      <c r="Z41" s="55"/>
    </row>
    <row r="42" spans="1:26" hidden="1">
      <c r="A42" s="1352"/>
      <c r="B42" s="1354" t="s">
        <v>133</v>
      </c>
      <c r="C42" s="1423"/>
      <c r="D42" s="52"/>
      <c r="E42" s="55"/>
      <c r="F42" s="53" t="e">
        <f t="shared" si="0"/>
        <v>#VALUE!</v>
      </c>
      <c r="G42" s="54">
        <v>10</v>
      </c>
      <c r="H42" s="53">
        <f t="shared" si="1"/>
        <v>0</v>
      </c>
      <c r="I42" s="55"/>
      <c r="J42" s="52" t="s">
        <v>11</v>
      </c>
      <c r="K42" s="65" t="str">
        <f t="shared" si="9"/>
        <v/>
      </c>
      <c r="L42" s="55"/>
      <c r="M42" s="55"/>
      <c r="N42" s="55"/>
      <c r="O42" s="55"/>
      <c r="P42" s="55"/>
      <c r="Q42" s="55"/>
      <c r="R42" s="55"/>
      <c r="S42" s="55"/>
      <c r="T42" s="55"/>
      <c r="U42" s="55"/>
      <c r="V42" s="55"/>
      <c r="W42" s="55"/>
      <c r="X42" s="55"/>
      <c r="Y42" s="55"/>
      <c r="Z42" s="55"/>
    </row>
    <row r="43" spans="1:26" ht="12.75" hidden="1">
      <c r="A43" s="1352"/>
      <c r="B43" s="1354" t="s">
        <v>108</v>
      </c>
      <c r="C43" s="1423"/>
      <c r="D43" s="59"/>
      <c r="E43" s="8"/>
      <c r="F43" s="60" t="e">
        <f t="shared" si="0"/>
        <v>#VALUE!</v>
      </c>
      <c r="G43" s="61">
        <v>75</v>
      </c>
      <c r="H43" s="60">
        <f t="shared" si="1"/>
        <v>0</v>
      </c>
      <c r="I43" s="8"/>
      <c r="J43" s="66">
        <v>0</v>
      </c>
      <c r="K43" s="67">
        <f t="shared" ref="K43:K44" si="10">J43*E43</f>
        <v>0</v>
      </c>
    </row>
    <row r="44" spans="1:26" ht="12.75" hidden="1">
      <c r="A44" s="1352"/>
      <c r="B44" s="1354" t="s">
        <v>109</v>
      </c>
      <c r="C44" s="1423"/>
      <c r="D44" s="59"/>
      <c r="E44" s="8"/>
      <c r="F44" s="60" t="e">
        <f t="shared" si="0"/>
        <v>#VALUE!</v>
      </c>
      <c r="G44" s="61">
        <v>30</v>
      </c>
      <c r="H44" s="62">
        <f t="shared" si="1"/>
        <v>0</v>
      </c>
      <c r="J44" s="63">
        <v>0</v>
      </c>
      <c r="K44" s="64">
        <f t="shared" si="10"/>
        <v>0</v>
      </c>
    </row>
    <row r="45" spans="1:26" hidden="1">
      <c r="A45" s="1352"/>
      <c r="B45" s="1354" t="s">
        <v>140</v>
      </c>
      <c r="C45" s="1423"/>
      <c r="D45" s="52"/>
      <c r="E45" s="55"/>
      <c r="F45" s="53" t="e">
        <f t="shared" si="0"/>
        <v>#VALUE!</v>
      </c>
      <c r="G45" s="54">
        <v>30</v>
      </c>
      <c r="H45" s="53">
        <f t="shared" si="1"/>
        <v>0</v>
      </c>
      <c r="I45" s="55"/>
      <c r="J45" s="52" t="s">
        <v>11</v>
      </c>
      <c r="K45" s="65" t="str">
        <f t="shared" ref="K45:K55" si="11">IF(E45="","",(J45*E45))</f>
        <v/>
      </c>
      <c r="L45" s="55"/>
      <c r="M45" s="55"/>
      <c r="N45" s="55"/>
      <c r="O45" s="55"/>
      <c r="P45" s="55"/>
      <c r="Q45" s="55"/>
      <c r="R45" s="55"/>
      <c r="S45" s="55"/>
      <c r="T45" s="55"/>
      <c r="U45" s="55"/>
      <c r="V45" s="55"/>
      <c r="W45" s="55"/>
      <c r="X45" s="55"/>
      <c r="Y45" s="55"/>
      <c r="Z45" s="55"/>
    </row>
    <row r="46" spans="1:26" hidden="1">
      <c r="A46" s="1350" t="s">
        <v>141</v>
      </c>
      <c r="B46" s="1350" t="s">
        <v>101</v>
      </c>
      <c r="C46" s="1422"/>
      <c r="D46" s="52" t="s">
        <v>103</v>
      </c>
      <c r="E46" s="55">
        <v>135</v>
      </c>
      <c r="F46" s="53" t="e">
        <f t="shared" si="0"/>
        <v>#VALUE!</v>
      </c>
      <c r="G46" s="54">
        <v>30</v>
      </c>
      <c r="H46" s="53">
        <f t="shared" si="1"/>
        <v>4050</v>
      </c>
      <c r="I46" s="55"/>
      <c r="J46" s="52" t="s">
        <v>11</v>
      </c>
      <c r="K46" s="65" t="e">
        <f t="shared" si="11"/>
        <v>#VALUE!</v>
      </c>
      <c r="L46" s="55"/>
      <c r="M46" s="55"/>
      <c r="N46" s="55"/>
      <c r="O46" s="55"/>
      <c r="P46" s="55"/>
      <c r="Q46" s="55"/>
      <c r="R46" s="55"/>
      <c r="S46" s="55"/>
      <c r="T46" s="55"/>
      <c r="U46" s="55"/>
      <c r="V46" s="55"/>
      <c r="W46" s="55"/>
      <c r="X46" s="55"/>
      <c r="Y46" s="55"/>
      <c r="Z46" s="55"/>
    </row>
    <row r="47" spans="1:26" hidden="1">
      <c r="A47" s="1350" t="s">
        <v>142</v>
      </c>
      <c r="B47" s="1350" t="s">
        <v>101</v>
      </c>
      <c r="C47" s="1422"/>
      <c r="D47" s="52" t="s">
        <v>103</v>
      </c>
      <c r="E47" s="55">
        <v>3750</v>
      </c>
      <c r="F47" s="53" t="e">
        <f t="shared" si="0"/>
        <v>#VALUE!</v>
      </c>
      <c r="G47" s="54">
        <v>30</v>
      </c>
      <c r="H47" s="53">
        <f t="shared" si="1"/>
        <v>112500</v>
      </c>
      <c r="I47" s="55"/>
      <c r="J47" s="52" t="s">
        <v>11</v>
      </c>
      <c r="K47" s="65" t="e">
        <f t="shared" si="11"/>
        <v>#VALUE!</v>
      </c>
      <c r="L47" s="55"/>
      <c r="M47" s="55"/>
      <c r="N47" s="55"/>
      <c r="O47" s="55"/>
      <c r="P47" s="55"/>
      <c r="Q47" s="55"/>
      <c r="R47" s="55"/>
      <c r="S47" s="55"/>
      <c r="T47" s="55"/>
      <c r="U47" s="55"/>
      <c r="V47" s="55"/>
      <c r="W47" s="55"/>
      <c r="X47" s="55"/>
      <c r="Y47" s="55"/>
      <c r="Z47" s="55"/>
    </row>
    <row r="48" spans="1:26" hidden="1">
      <c r="A48" s="1350" t="s">
        <v>143</v>
      </c>
      <c r="B48" s="1350" t="s">
        <v>101</v>
      </c>
      <c r="C48" s="1422"/>
      <c r="D48" s="52" t="s">
        <v>118</v>
      </c>
      <c r="E48" s="55">
        <v>6000</v>
      </c>
      <c r="F48" s="53" t="e">
        <f t="shared" si="0"/>
        <v>#VALUE!</v>
      </c>
      <c r="G48" s="54">
        <v>30</v>
      </c>
      <c r="H48" s="53">
        <f t="shared" si="1"/>
        <v>180000</v>
      </c>
      <c r="I48" s="55"/>
      <c r="J48" s="52" t="s">
        <v>11</v>
      </c>
      <c r="K48" s="65" t="e">
        <f t="shared" si="11"/>
        <v>#VALUE!</v>
      </c>
      <c r="L48" s="55"/>
      <c r="M48" s="55"/>
      <c r="N48" s="55"/>
      <c r="O48" s="55"/>
      <c r="P48" s="55"/>
      <c r="Q48" s="55"/>
      <c r="R48" s="55"/>
      <c r="S48" s="55"/>
      <c r="T48" s="55"/>
      <c r="U48" s="55"/>
      <c r="V48" s="55"/>
      <c r="W48" s="55"/>
      <c r="X48" s="55"/>
      <c r="Y48" s="55"/>
      <c r="Z48" s="55"/>
    </row>
    <row r="49" spans="1:26" hidden="1">
      <c r="A49" s="1350" t="s">
        <v>144</v>
      </c>
      <c r="B49" s="1350" t="s">
        <v>101</v>
      </c>
      <c r="C49" s="1422"/>
      <c r="D49" s="52" t="s">
        <v>103</v>
      </c>
      <c r="E49" s="55">
        <v>195</v>
      </c>
      <c r="F49" s="53" t="e">
        <f t="shared" si="0"/>
        <v>#VALUE!</v>
      </c>
      <c r="G49" s="54">
        <v>12</v>
      </c>
      <c r="H49" s="53">
        <f t="shared" si="1"/>
        <v>2340</v>
      </c>
      <c r="I49" s="55"/>
      <c r="J49" s="52" t="s">
        <v>11</v>
      </c>
      <c r="K49" s="65" t="e">
        <f t="shared" si="11"/>
        <v>#VALUE!</v>
      </c>
      <c r="L49" s="55"/>
      <c r="M49" s="55"/>
      <c r="N49" s="55"/>
      <c r="O49" s="55"/>
      <c r="P49" s="55"/>
      <c r="Q49" s="55"/>
      <c r="R49" s="55"/>
      <c r="S49" s="55"/>
      <c r="T49" s="55"/>
      <c r="U49" s="55"/>
      <c r="V49" s="55"/>
      <c r="W49" s="55"/>
      <c r="X49" s="55"/>
      <c r="Y49" s="55"/>
      <c r="Z49" s="55"/>
    </row>
    <row r="50" spans="1:26" hidden="1">
      <c r="A50" s="1350" t="s">
        <v>145</v>
      </c>
      <c r="B50" s="1350" t="s">
        <v>101</v>
      </c>
      <c r="C50" s="1422"/>
      <c r="D50" s="52" t="s">
        <v>103</v>
      </c>
      <c r="E50" s="55">
        <v>2250</v>
      </c>
      <c r="F50" s="53" t="e">
        <f t="shared" si="0"/>
        <v>#VALUE!</v>
      </c>
      <c r="G50" s="54">
        <v>1</v>
      </c>
      <c r="H50" s="53">
        <f t="shared" si="1"/>
        <v>2250</v>
      </c>
      <c r="I50" s="55"/>
      <c r="J50" s="52" t="s">
        <v>11</v>
      </c>
      <c r="K50" s="65" t="e">
        <f t="shared" si="11"/>
        <v>#VALUE!</v>
      </c>
      <c r="L50" s="55"/>
      <c r="M50" s="55"/>
      <c r="N50" s="55"/>
      <c r="O50" s="55"/>
      <c r="P50" s="55"/>
      <c r="Q50" s="55"/>
      <c r="R50" s="55"/>
      <c r="S50" s="55"/>
      <c r="T50" s="55"/>
      <c r="U50" s="55"/>
      <c r="V50" s="55"/>
      <c r="W50" s="55"/>
      <c r="X50" s="55"/>
      <c r="Y50" s="55"/>
      <c r="Z50" s="55"/>
    </row>
    <row r="51" spans="1:26" hidden="1">
      <c r="A51" s="1350" t="s">
        <v>146</v>
      </c>
      <c r="B51" s="1350" t="s">
        <v>147</v>
      </c>
      <c r="C51" s="1422"/>
      <c r="D51" s="52" t="s">
        <v>118</v>
      </c>
      <c r="E51" s="55">
        <v>195000</v>
      </c>
      <c r="F51" s="53" t="e">
        <f t="shared" si="0"/>
        <v>#VALUE!</v>
      </c>
      <c r="G51" s="54">
        <v>2</v>
      </c>
      <c r="H51" s="53">
        <f t="shared" si="1"/>
        <v>390000</v>
      </c>
      <c r="I51" s="55"/>
      <c r="J51" s="52" t="s">
        <v>11</v>
      </c>
      <c r="K51" s="65" t="e">
        <f t="shared" si="11"/>
        <v>#VALUE!</v>
      </c>
      <c r="L51" s="55"/>
      <c r="M51" s="55"/>
      <c r="N51" s="55"/>
      <c r="O51" s="55"/>
      <c r="P51" s="55"/>
      <c r="Q51" s="55"/>
      <c r="R51" s="55"/>
      <c r="S51" s="55"/>
      <c r="T51" s="55"/>
      <c r="U51" s="55"/>
      <c r="V51" s="55"/>
      <c r="W51" s="55"/>
      <c r="X51" s="55"/>
      <c r="Y51" s="55"/>
      <c r="Z51" s="55"/>
    </row>
    <row r="52" spans="1:26" hidden="1">
      <c r="A52" s="1350" t="s">
        <v>148</v>
      </c>
      <c r="B52" s="1350" t="s">
        <v>101</v>
      </c>
      <c r="C52" s="1422"/>
      <c r="D52" s="52" t="s">
        <v>103</v>
      </c>
      <c r="E52" s="55">
        <v>2100</v>
      </c>
      <c r="F52" s="53" t="e">
        <f t="shared" si="0"/>
        <v>#VALUE!</v>
      </c>
      <c r="G52" s="54">
        <v>40</v>
      </c>
      <c r="H52" s="53">
        <f t="shared" si="1"/>
        <v>84000</v>
      </c>
      <c r="I52" s="55"/>
      <c r="J52" s="52" t="s">
        <v>11</v>
      </c>
      <c r="K52" s="65" t="e">
        <f t="shared" si="11"/>
        <v>#VALUE!</v>
      </c>
      <c r="L52" s="55"/>
      <c r="M52" s="55"/>
      <c r="N52" s="55"/>
      <c r="O52" s="55"/>
      <c r="P52" s="55"/>
      <c r="Q52" s="55"/>
      <c r="R52" s="55"/>
      <c r="S52" s="55"/>
      <c r="T52" s="55"/>
      <c r="U52" s="55"/>
      <c r="V52" s="55"/>
      <c r="W52" s="55"/>
      <c r="X52" s="55"/>
      <c r="Y52" s="55"/>
      <c r="Z52" s="55"/>
    </row>
    <row r="53" spans="1:26" hidden="1">
      <c r="A53" s="1350" t="s">
        <v>149</v>
      </c>
      <c r="B53" s="1350" t="s">
        <v>101</v>
      </c>
      <c r="C53" s="1422"/>
      <c r="D53" s="52" t="s">
        <v>103</v>
      </c>
      <c r="E53" s="55">
        <v>3600</v>
      </c>
      <c r="F53" s="53" t="e">
        <f t="shared" si="0"/>
        <v>#VALUE!</v>
      </c>
      <c r="G53" s="54">
        <v>20</v>
      </c>
      <c r="H53" s="53">
        <f t="shared" si="1"/>
        <v>72000</v>
      </c>
      <c r="I53" s="55"/>
      <c r="J53" s="52" t="s">
        <v>11</v>
      </c>
      <c r="K53" s="65" t="e">
        <f t="shared" si="11"/>
        <v>#VALUE!</v>
      </c>
      <c r="L53" s="55"/>
      <c r="M53" s="55"/>
      <c r="N53" s="55"/>
      <c r="O53" s="55"/>
      <c r="P53" s="55"/>
      <c r="Q53" s="55"/>
      <c r="R53" s="55"/>
      <c r="S53" s="55"/>
      <c r="T53" s="55"/>
      <c r="U53" s="55"/>
      <c r="V53" s="55"/>
      <c r="W53" s="55"/>
      <c r="X53" s="55"/>
      <c r="Y53" s="55"/>
      <c r="Z53" s="55"/>
    </row>
    <row r="54" spans="1:26" hidden="1">
      <c r="A54" s="1350" t="s">
        <v>150</v>
      </c>
      <c r="B54" s="1350" t="s">
        <v>133</v>
      </c>
      <c r="C54" s="1422"/>
      <c r="D54" s="52" t="s">
        <v>103</v>
      </c>
      <c r="E54" s="55">
        <v>12000</v>
      </c>
      <c r="F54" s="53" t="e">
        <f t="shared" si="0"/>
        <v>#VALUE!</v>
      </c>
      <c r="G54" s="54">
        <v>20</v>
      </c>
      <c r="H54" s="53">
        <f t="shared" si="1"/>
        <v>240000</v>
      </c>
      <c r="I54" s="55"/>
      <c r="J54" s="52" t="s">
        <v>11</v>
      </c>
      <c r="K54" s="65" t="e">
        <f t="shared" si="11"/>
        <v>#VALUE!</v>
      </c>
      <c r="L54" s="55"/>
      <c r="M54" s="55"/>
      <c r="N54" s="55"/>
      <c r="O54" s="55"/>
      <c r="P54" s="55"/>
      <c r="Q54" s="55"/>
      <c r="R54" s="55"/>
      <c r="S54" s="55"/>
      <c r="T54" s="55"/>
      <c r="U54" s="55"/>
      <c r="V54" s="55"/>
      <c r="W54" s="55"/>
      <c r="X54" s="55"/>
      <c r="Y54" s="55"/>
      <c r="Z54" s="55"/>
    </row>
    <row r="55" spans="1:26" hidden="1">
      <c r="A55" s="1352"/>
      <c r="B55" s="1354" t="s">
        <v>151</v>
      </c>
      <c r="C55" s="1423"/>
      <c r="D55" s="52"/>
      <c r="E55" s="55"/>
      <c r="F55" s="53" t="e">
        <f t="shared" si="0"/>
        <v>#VALUE!</v>
      </c>
      <c r="G55" s="54">
        <v>20</v>
      </c>
      <c r="H55" s="53">
        <f t="shared" si="1"/>
        <v>0</v>
      </c>
      <c r="I55" s="55"/>
      <c r="J55" s="52" t="s">
        <v>11</v>
      </c>
      <c r="K55" s="65" t="str">
        <f t="shared" si="11"/>
        <v/>
      </c>
      <c r="L55" s="55"/>
      <c r="M55" s="55"/>
      <c r="N55" s="55"/>
      <c r="O55" s="55"/>
      <c r="P55" s="55"/>
      <c r="Q55" s="55"/>
      <c r="R55" s="55"/>
      <c r="S55" s="55"/>
      <c r="T55" s="55"/>
      <c r="U55" s="55"/>
      <c r="V55" s="55"/>
      <c r="W55" s="55"/>
      <c r="X55" s="55"/>
      <c r="Y55" s="55"/>
      <c r="Z55" s="55"/>
    </row>
    <row r="56" spans="1:26" ht="12.75" hidden="1">
      <c r="A56" s="1350" t="s">
        <v>152</v>
      </c>
      <c r="B56" s="1350" t="s">
        <v>153</v>
      </c>
      <c r="C56" s="1422"/>
      <c r="D56" s="59" t="s">
        <v>118</v>
      </c>
      <c r="E56" s="8">
        <v>52500</v>
      </c>
      <c r="F56" s="60" t="e">
        <f t="shared" si="0"/>
        <v>#VALUE!</v>
      </c>
      <c r="G56" s="61">
        <v>4</v>
      </c>
      <c r="H56" s="60">
        <f t="shared" si="1"/>
        <v>210000</v>
      </c>
      <c r="I56" s="8"/>
      <c r="J56" s="66">
        <v>0</v>
      </c>
      <c r="K56" s="67">
        <f>J56*E56</f>
        <v>0</v>
      </c>
    </row>
    <row r="57" spans="1:26">
      <c r="A57" s="1350" t="s">
        <v>154</v>
      </c>
      <c r="B57" s="1350" t="s">
        <v>101</v>
      </c>
      <c r="C57" s="1422"/>
      <c r="D57" s="52" t="s">
        <v>155</v>
      </c>
      <c r="E57" s="53">
        <v>165</v>
      </c>
      <c r="F57" s="53" t="e">
        <f t="shared" si="0"/>
        <v>#VALUE!</v>
      </c>
      <c r="G57" s="54">
        <v>2</v>
      </c>
      <c r="H57" s="53">
        <f t="shared" si="1"/>
        <v>330</v>
      </c>
      <c r="I57" s="55"/>
      <c r="J57" s="52">
        <v>25</v>
      </c>
      <c r="K57" s="56">
        <f t="shared" ref="K57:K58" si="12">IF(E57="","",(J57*E57))</f>
        <v>4125</v>
      </c>
      <c r="L57" s="55"/>
      <c r="M57" s="55"/>
      <c r="N57" s="55"/>
      <c r="O57" s="55"/>
      <c r="P57" s="55"/>
      <c r="Q57" s="55"/>
      <c r="R57" s="55"/>
      <c r="S57" s="55"/>
      <c r="T57" s="55"/>
      <c r="U57" s="55"/>
      <c r="V57" s="55"/>
      <c r="W57" s="55"/>
      <c r="X57" s="55"/>
      <c r="Y57" s="55"/>
      <c r="Z57" s="55"/>
    </row>
    <row r="58" spans="1:26">
      <c r="A58" s="1350" t="s">
        <v>156</v>
      </c>
      <c r="B58" s="1350" t="s">
        <v>101</v>
      </c>
      <c r="C58" s="1422"/>
      <c r="D58" s="52" t="s">
        <v>155</v>
      </c>
      <c r="E58" s="53">
        <v>180</v>
      </c>
      <c r="F58" s="53" t="e">
        <f t="shared" si="0"/>
        <v>#VALUE!</v>
      </c>
      <c r="G58" s="54">
        <v>150</v>
      </c>
      <c r="H58" s="53">
        <f t="shared" si="1"/>
        <v>27000</v>
      </c>
      <c r="I58" s="55"/>
      <c r="J58" s="52">
        <v>5</v>
      </c>
      <c r="K58" s="56">
        <f t="shared" si="12"/>
        <v>900</v>
      </c>
      <c r="L58" s="55"/>
      <c r="M58" s="55"/>
      <c r="N58" s="55"/>
      <c r="O58" s="55"/>
      <c r="P58" s="55"/>
      <c r="Q58" s="55"/>
      <c r="R58" s="55"/>
      <c r="S58" s="55"/>
      <c r="T58" s="55"/>
      <c r="U58" s="55"/>
      <c r="V58" s="55"/>
      <c r="W58" s="55"/>
      <c r="X58" s="55"/>
      <c r="Y58" s="55"/>
      <c r="Z58" s="55"/>
    </row>
    <row r="59" spans="1:26" ht="12.75" hidden="1">
      <c r="A59" s="1350" t="s">
        <v>157</v>
      </c>
      <c r="B59" s="1350" t="s">
        <v>101</v>
      </c>
      <c r="C59" s="1422"/>
      <c r="D59" s="59" t="s">
        <v>118</v>
      </c>
      <c r="E59" s="8">
        <v>27000</v>
      </c>
      <c r="F59" s="60" t="e">
        <f t="shared" si="0"/>
        <v>#VALUE!</v>
      </c>
      <c r="G59" s="61">
        <v>40</v>
      </c>
      <c r="H59" s="60">
        <f t="shared" si="1"/>
        <v>1080000</v>
      </c>
      <c r="I59" s="8"/>
      <c r="J59" s="66">
        <v>0</v>
      </c>
      <c r="K59" s="67">
        <f>J59*E59</f>
        <v>0</v>
      </c>
    </row>
    <row r="60" spans="1:26">
      <c r="A60" s="1350" t="s">
        <v>158</v>
      </c>
      <c r="B60" s="1350" t="s">
        <v>112</v>
      </c>
      <c r="C60" s="1422"/>
      <c r="D60" s="52" t="s">
        <v>118</v>
      </c>
      <c r="E60" s="53">
        <v>78000</v>
      </c>
      <c r="F60" s="53" t="e">
        <f t="shared" si="0"/>
        <v>#VALUE!</v>
      </c>
      <c r="G60" s="54">
        <v>2</v>
      </c>
      <c r="H60" s="53">
        <f t="shared" si="1"/>
        <v>156000</v>
      </c>
      <c r="I60" s="55"/>
      <c r="J60" s="52">
        <v>26</v>
      </c>
      <c r="K60" s="56">
        <f t="shared" ref="K60:K63" si="13">IF(E60="","",(J60*E60))</f>
        <v>2028000</v>
      </c>
      <c r="L60" s="55"/>
      <c r="M60" s="55"/>
      <c r="N60" s="55"/>
      <c r="O60" s="55"/>
      <c r="P60" s="55"/>
      <c r="Q60" s="55"/>
      <c r="R60" s="55"/>
      <c r="S60" s="55"/>
      <c r="T60" s="55"/>
      <c r="U60" s="55"/>
      <c r="V60" s="55"/>
      <c r="W60" s="55"/>
      <c r="X60" s="55"/>
      <c r="Y60" s="55"/>
      <c r="Z60" s="55"/>
    </row>
    <row r="61" spans="1:26">
      <c r="A61" s="1352"/>
      <c r="B61" s="1354" t="s">
        <v>107</v>
      </c>
      <c r="C61" s="1423"/>
      <c r="D61" s="52"/>
      <c r="E61" s="53"/>
      <c r="F61" s="53" t="e">
        <f t="shared" si="0"/>
        <v>#VALUE!</v>
      </c>
      <c r="G61" s="54">
        <v>5</v>
      </c>
      <c r="H61" s="53">
        <f t="shared" si="1"/>
        <v>0</v>
      </c>
      <c r="I61" s="55"/>
      <c r="J61" s="52"/>
      <c r="K61" s="56" t="str">
        <f t="shared" si="13"/>
        <v/>
      </c>
      <c r="L61" s="55"/>
      <c r="M61" s="55"/>
      <c r="N61" s="55"/>
      <c r="O61" s="55"/>
      <c r="P61" s="55"/>
      <c r="Q61" s="55"/>
      <c r="R61" s="55"/>
      <c r="S61" s="55"/>
      <c r="T61" s="55"/>
      <c r="U61" s="55"/>
      <c r="V61" s="55"/>
      <c r="W61" s="55"/>
      <c r="X61" s="55"/>
      <c r="Y61" s="55"/>
      <c r="Z61" s="55"/>
    </row>
    <row r="62" spans="1:26">
      <c r="A62" s="1352"/>
      <c r="B62" s="1354" t="s">
        <v>110</v>
      </c>
      <c r="C62" s="1423"/>
      <c r="D62" s="52"/>
      <c r="E62" s="53"/>
      <c r="F62" s="53" t="e">
        <f t="shared" si="0"/>
        <v>#VALUE!</v>
      </c>
      <c r="G62" s="54">
        <v>35</v>
      </c>
      <c r="H62" s="53">
        <f t="shared" si="1"/>
        <v>0</v>
      </c>
      <c r="I62" s="55"/>
      <c r="J62" s="52">
        <v>5</v>
      </c>
      <c r="K62" s="56" t="str">
        <f t="shared" si="13"/>
        <v/>
      </c>
      <c r="L62" s="55"/>
      <c r="M62" s="55"/>
      <c r="N62" s="55"/>
      <c r="O62" s="55"/>
      <c r="P62" s="55"/>
      <c r="Q62" s="55"/>
      <c r="R62" s="55"/>
      <c r="S62" s="55"/>
      <c r="T62" s="55"/>
      <c r="U62" s="55"/>
      <c r="V62" s="55"/>
      <c r="W62" s="55"/>
      <c r="X62" s="55"/>
      <c r="Y62" s="55"/>
      <c r="Z62" s="55"/>
    </row>
    <row r="63" spans="1:26">
      <c r="A63" s="1350" t="s">
        <v>159</v>
      </c>
      <c r="B63" s="1350" t="s">
        <v>101</v>
      </c>
      <c r="C63" s="1422"/>
      <c r="D63" s="52" t="s">
        <v>155</v>
      </c>
      <c r="E63" s="53">
        <v>67.5</v>
      </c>
      <c r="F63" s="53" t="e">
        <f t="shared" si="0"/>
        <v>#VALUE!</v>
      </c>
      <c r="G63" s="54">
        <v>6</v>
      </c>
      <c r="H63" s="53">
        <f t="shared" si="1"/>
        <v>405</v>
      </c>
      <c r="I63" s="55"/>
      <c r="J63" s="52">
        <v>1</v>
      </c>
      <c r="K63" s="56">
        <f t="shared" si="13"/>
        <v>67.5</v>
      </c>
      <c r="L63" s="55"/>
      <c r="M63" s="55"/>
      <c r="N63" s="55"/>
      <c r="O63" s="55"/>
      <c r="P63" s="55"/>
      <c r="Q63" s="55"/>
      <c r="R63" s="55"/>
      <c r="S63" s="55"/>
      <c r="T63" s="55"/>
      <c r="U63" s="55"/>
      <c r="V63" s="55"/>
      <c r="W63" s="55"/>
      <c r="X63" s="55"/>
      <c r="Y63" s="55"/>
      <c r="Z63" s="55"/>
    </row>
    <row r="64" spans="1:26" ht="12.75" hidden="1">
      <c r="A64" s="1350" t="s">
        <v>160</v>
      </c>
      <c r="B64" s="1350" t="s">
        <v>101</v>
      </c>
      <c r="C64" s="1422"/>
      <c r="D64" s="59" t="s">
        <v>155</v>
      </c>
      <c r="E64" s="8">
        <v>100.5</v>
      </c>
      <c r="F64" s="60" t="e">
        <f t="shared" si="0"/>
        <v>#VALUE!</v>
      </c>
      <c r="G64" s="61">
        <v>7</v>
      </c>
      <c r="H64" s="60">
        <f t="shared" si="1"/>
        <v>703.5</v>
      </c>
      <c r="I64" s="8"/>
      <c r="J64" s="66">
        <v>0</v>
      </c>
      <c r="K64" s="67">
        <f t="shared" ref="K64:K67" si="14">J64*E64</f>
        <v>0</v>
      </c>
    </row>
    <row r="65" spans="1:26" ht="12.75" hidden="1">
      <c r="A65" s="1350" t="s">
        <v>161</v>
      </c>
      <c r="B65" s="1350" t="s">
        <v>101</v>
      </c>
      <c r="C65" s="1422"/>
      <c r="D65" s="59" t="s">
        <v>155</v>
      </c>
      <c r="E65" s="8">
        <v>120</v>
      </c>
      <c r="F65" s="60" t="e">
        <f t="shared" si="0"/>
        <v>#VALUE!</v>
      </c>
      <c r="G65" s="61">
        <v>1</v>
      </c>
      <c r="H65" s="62">
        <f t="shared" si="1"/>
        <v>120</v>
      </c>
      <c r="J65" s="63">
        <v>0</v>
      </c>
      <c r="K65" s="64">
        <f t="shared" si="14"/>
        <v>0</v>
      </c>
    </row>
    <row r="66" spans="1:26" ht="12.75" hidden="1">
      <c r="A66" s="1350" t="s">
        <v>162</v>
      </c>
      <c r="B66" s="1350" t="s">
        <v>101</v>
      </c>
      <c r="C66" s="1422"/>
      <c r="D66" s="59" t="s">
        <v>155</v>
      </c>
      <c r="E66" s="8">
        <v>150</v>
      </c>
      <c r="F66" s="60" t="e">
        <f t="shared" si="0"/>
        <v>#VALUE!</v>
      </c>
      <c r="G66" s="61">
        <v>150</v>
      </c>
      <c r="H66" s="62">
        <f t="shared" si="1"/>
        <v>22500</v>
      </c>
      <c r="J66" s="63">
        <v>0</v>
      </c>
      <c r="K66" s="64">
        <f t="shared" si="14"/>
        <v>0</v>
      </c>
    </row>
    <row r="67" spans="1:26" ht="12.75" hidden="1">
      <c r="A67" s="1350" t="s">
        <v>163</v>
      </c>
      <c r="B67" s="1350" t="s">
        <v>101</v>
      </c>
      <c r="C67" s="1422"/>
      <c r="D67" s="59" t="s">
        <v>155</v>
      </c>
      <c r="E67" s="8">
        <v>243</v>
      </c>
      <c r="F67" s="60" t="e">
        <f t="shared" si="0"/>
        <v>#VALUE!</v>
      </c>
      <c r="G67" s="61">
        <v>150</v>
      </c>
      <c r="H67" s="62">
        <f t="shared" si="1"/>
        <v>36450</v>
      </c>
      <c r="J67" s="63">
        <v>0</v>
      </c>
      <c r="K67" s="64">
        <f t="shared" si="14"/>
        <v>0</v>
      </c>
    </row>
    <row r="68" spans="1:26" hidden="1">
      <c r="A68" s="1350" t="s">
        <v>164</v>
      </c>
      <c r="B68" s="1350" t="s">
        <v>101</v>
      </c>
      <c r="C68" s="1422"/>
      <c r="D68" s="52" t="s">
        <v>155</v>
      </c>
      <c r="E68" s="55">
        <v>240</v>
      </c>
      <c r="F68" s="53" t="e">
        <f t="shared" si="0"/>
        <v>#VALUE!</v>
      </c>
      <c r="G68" s="54">
        <v>150</v>
      </c>
      <c r="H68" s="53">
        <f t="shared" si="1"/>
        <v>36000</v>
      </c>
      <c r="I68" s="55"/>
      <c r="J68" s="52" t="s">
        <v>11</v>
      </c>
      <c r="K68" s="65" t="e">
        <f>IF(E68="","",(J68*E68))</f>
        <v>#VALUE!</v>
      </c>
      <c r="L68" s="55"/>
      <c r="M68" s="55"/>
      <c r="N68" s="55"/>
      <c r="O68" s="55"/>
      <c r="P68" s="55"/>
      <c r="Q68" s="55"/>
      <c r="R68" s="55"/>
      <c r="S68" s="55"/>
      <c r="T68" s="55"/>
      <c r="U68" s="55"/>
      <c r="V68" s="55"/>
      <c r="W68" s="55"/>
      <c r="X68" s="55"/>
      <c r="Y68" s="55"/>
      <c r="Z68" s="55"/>
    </row>
    <row r="69" spans="1:26" ht="12.75" hidden="1">
      <c r="A69" s="1350" t="s">
        <v>165</v>
      </c>
      <c r="B69" s="1350" t="s">
        <v>101</v>
      </c>
      <c r="C69" s="1422"/>
      <c r="D69" s="59" t="s">
        <v>155</v>
      </c>
      <c r="E69" s="8">
        <v>270</v>
      </c>
      <c r="F69" s="60" t="e">
        <f t="shared" si="0"/>
        <v>#VALUE!</v>
      </c>
      <c r="G69" s="61">
        <v>150</v>
      </c>
      <c r="H69" s="60">
        <f t="shared" si="1"/>
        <v>40500</v>
      </c>
      <c r="I69" s="8"/>
      <c r="J69" s="66">
        <v>0</v>
      </c>
      <c r="K69" s="67">
        <f>J69*E69</f>
        <v>0</v>
      </c>
    </row>
    <row r="70" spans="1:26">
      <c r="A70" s="1350" t="s">
        <v>166</v>
      </c>
      <c r="B70" s="1350" t="s">
        <v>101</v>
      </c>
      <c r="C70" s="1422"/>
      <c r="D70" s="52" t="s">
        <v>155</v>
      </c>
      <c r="E70" s="53">
        <v>345</v>
      </c>
      <c r="F70" s="53" t="e">
        <f t="shared" si="0"/>
        <v>#VALUE!</v>
      </c>
      <c r="G70" s="54">
        <v>150</v>
      </c>
      <c r="H70" s="53">
        <f t="shared" si="1"/>
        <v>51750</v>
      </c>
      <c r="I70" s="55"/>
      <c r="J70" s="52">
        <v>20</v>
      </c>
      <c r="K70" s="56">
        <f t="shared" ref="K70:K98" si="15">IF(E70="","",(J70*E70))</f>
        <v>6900</v>
      </c>
      <c r="L70" s="55"/>
      <c r="M70" s="55"/>
      <c r="N70" s="55"/>
      <c r="O70" s="55"/>
      <c r="P70" s="55"/>
      <c r="Q70" s="55"/>
      <c r="R70" s="55"/>
      <c r="S70" s="55"/>
      <c r="T70" s="55"/>
      <c r="U70" s="55"/>
      <c r="V70" s="55"/>
      <c r="W70" s="55"/>
      <c r="X70" s="55"/>
      <c r="Y70" s="55"/>
      <c r="Z70" s="55"/>
    </row>
    <row r="71" spans="1:26">
      <c r="A71" s="1350" t="s">
        <v>167</v>
      </c>
      <c r="B71" s="1350" t="s">
        <v>101</v>
      </c>
      <c r="C71" s="1422"/>
      <c r="D71" s="52" t="s">
        <v>155</v>
      </c>
      <c r="E71" s="53">
        <v>495</v>
      </c>
      <c r="F71" s="53" t="e">
        <f t="shared" si="0"/>
        <v>#VALUE!</v>
      </c>
      <c r="G71" s="54">
        <v>150</v>
      </c>
      <c r="H71" s="53">
        <f t="shared" si="1"/>
        <v>74250</v>
      </c>
      <c r="I71" s="55"/>
      <c r="J71" s="52">
        <v>20</v>
      </c>
      <c r="K71" s="56">
        <f t="shared" si="15"/>
        <v>9900</v>
      </c>
      <c r="L71" s="55"/>
      <c r="M71" s="55"/>
      <c r="N71" s="55"/>
      <c r="O71" s="55"/>
      <c r="P71" s="55"/>
      <c r="Q71" s="55"/>
      <c r="R71" s="55"/>
      <c r="S71" s="55"/>
      <c r="T71" s="55"/>
      <c r="U71" s="55"/>
      <c r="V71" s="55"/>
      <c r="W71" s="55"/>
      <c r="X71" s="55"/>
      <c r="Y71" s="55"/>
      <c r="Z71" s="55"/>
    </row>
    <row r="72" spans="1:26">
      <c r="A72" s="1350" t="s">
        <v>168</v>
      </c>
      <c r="B72" s="1350" t="s">
        <v>137</v>
      </c>
      <c r="C72" s="1422"/>
      <c r="D72" s="52" t="s">
        <v>118</v>
      </c>
      <c r="E72" s="53">
        <v>75000</v>
      </c>
      <c r="F72" s="53" t="e">
        <f t="shared" si="0"/>
        <v>#VALUE!</v>
      </c>
      <c r="G72" s="54">
        <v>150</v>
      </c>
      <c r="H72" s="53">
        <f t="shared" si="1"/>
        <v>11250000</v>
      </c>
      <c r="I72" s="55"/>
      <c r="J72" s="52">
        <v>32</v>
      </c>
      <c r="K72" s="56">
        <f t="shared" si="15"/>
        <v>2400000</v>
      </c>
      <c r="L72" s="55"/>
      <c r="M72" s="55"/>
      <c r="N72" s="55"/>
      <c r="O72" s="55"/>
      <c r="P72" s="55"/>
      <c r="Q72" s="55"/>
      <c r="R72" s="55"/>
      <c r="S72" s="55"/>
      <c r="T72" s="55"/>
      <c r="U72" s="55"/>
      <c r="V72" s="55"/>
      <c r="W72" s="55"/>
      <c r="X72" s="55"/>
      <c r="Y72" s="55"/>
      <c r="Z72" s="55"/>
    </row>
    <row r="73" spans="1:26">
      <c r="A73" s="1352"/>
      <c r="B73" s="1354" t="s">
        <v>112</v>
      </c>
      <c r="C73" s="1423"/>
      <c r="D73" s="52"/>
      <c r="E73" s="53"/>
      <c r="F73" s="53" t="e">
        <f t="shared" si="0"/>
        <v>#VALUE!</v>
      </c>
      <c r="G73" s="54">
        <v>150</v>
      </c>
      <c r="H73" s="53">
        <f t="shared" si="1"/>
        <v>0</v>
      </c>
      <c r="I73" s="55"/>
      <c r="J73" s="52"/>
      <c r="K73" s="56" t="str">
        <f t="shared" si="15"/>
        <v/>
      </c>
      <c r="L73" s="55"/>
      <c r="M73" s="55"/>
      <c r="N73" s="55"/>
      <c r="O73" s="55"/>
      <c r="P73" s="55"/>
      <c r="Q73" s="55"/>
      <c r="R73" s="55"/>
      <c r="S73" s="55"/>
      <c r="T73" s="55"/>
      <c r="U73" s="55"/>
      <c r="V73" s="55"/>
      <c r="W73" s="55"/>
      <c r="X73" s="55"/>
      <c r="Y73" s="55"/>
      <c r="Z73" s="55"/>
    </row>
    <row r="74" spans="1:26">
      <c r="A74" s="1352"/>
      <c r="B74" s="1354" t="s">
        <v>169</v>
      </c>
      <c r="C74" s="1423"/>
      <c r="D74" s="52"/>
      <c r="E74" s="53"/>
      <c r="F74" s="53" t="e">
        <f t="shared" si="0"/>
        <v>#VALUE!</v>
      </c>
      <c r="G74" s="54">
        <v>20</v>
      </c>
      <c r="H74" s="53">
        <f t="shared" si="1"/>
        <v>0</v>
      </c>
      <c r="I74" s="55"/>
      <c r="J74" s="52"/>
      <c r="K74" s="56" t="str">
        <f t="shared" si="15"/>
        <v/>
      </c>
      <c r="L74" s="55"/>
      <c r="M74" s="55"/>
      <c r="N74" s="55"/>
      <c r="O74" s="55"/>
      <c r="P74" s="55"/>
      <c r="Q74" s="55"/>
      <c r="R74" s="55"/>
      <c r="S74" s="55"/>
      <c r="T74" s="55"/>
      <c r="U74" s="55"/>
      <c r="V74" s="55"/>
      <c r="W74" s="55"/>
      <c r="X74" s="55"/>
      <c r="Y74" s="55"/>
      <c r="Z74" s="55"/>
    </row>
    <row r="75" spans="1:26">
      <c r="A75" s="1352"/>
      <c r="B75" s="1354" t="s">
        <v>115</v>
      </c>
      <c r="C75" s="1423"/>
      <c r="D75" s="52"/>
      <c r="E75" s="53"/>
      <c r="F75" s="53" t="e">
        <f t="shared" si="0"/>
        <v>#VALUE!</v>
      </c>
      <c r="G75" s="54">
        <v>200</v>
      </c>
      <c r="H75" s="53">
        <f t="shared" si="1"/>
        <v>0</v>
      </c>
      <c r="I75" s="55"/>
      <c r="J75" s="52"/>
      <c r="K75" s="56" t="str">
        <f t="shared" si="15"/>
        <v/>
      </c>
      <c r="L75" s="55"/>
      <c r="M75" s="55"/>
      <c r="N75" s="55"/>
      <c r="O75" s="55"/>
      <c r="P75" s="55"/>
      <c r="Q75" s="55"/>
      <c r="R75" s="55"/>
      <c r="S75" s="55"/>
      <c r="T75" s="55"/>
      <c r="U75" s="55"/>
      <c r="V75" s="55"/>
      <c r="W75" s="55"/>
      <c r="X75" s="55"/>
      <c r="Y75" s="55"/>
      <c r="Z75" s="55"/>
    </row>
    <row r="76" spans="1:26">
      <c r="A76" s="1352"/>
      <c r="B76" s="1354" t="s">
        <v>170</v>
      </c>
      <c r="C76" s="1423"/>
      <c r="D76" s="52"/>
      <c r="E76" s="53"/>
      <c r="F76" s="53" t="e">
        <f t="shared" si="0"/>
        <v>#VALUE!</v>
      </c>
      <c r="G76" s="54">
        <v>7</v>
      </c>
      <c r="H76" s="53">
        <f t="shared" si="1"/>
        <v>0</v>
      </c>
      <c r="I76" s="55"/>
      <c r="J76" s="52"/>
      <c r="K76" s="56" t="str">
        <f t="shared" si="15"/>
        <v/>
      </c>
      <c r="L76" s="55"/>
      <c r="M76" s="55"/>
      <c r="N76" s="55"/>
      <c r="O76" s="55"/>
      <c r="P76" s="55"/>
      <c r="Q76" s="55"/>
      <c r="R76" s="55"/>
      <c r="S76" s="55"/>
      <c r="T76" s="55"/>
      <c r="U76" s="55"/>
      <c r="V76" s="55"/>
      <c r="W76" s="55"/>
      <c r="X76" s="55"/>
      <c r="Y76" s="55"/>
      <c r="Z76" s="55"/>
    </row>
    <row r="77" spans="1:26">
      <c r="A77" s="1352"/>
      <c r="B77" s="1354" t="s">
        <v>132</v>
      </c>
      <c r="C77" s="1423"/>
      <c r="D77" s="52"/>
      <c r="E77" s="53"/>
      <c r="F77" s="53" t="e">
        <f t="shared" si="0"/>
        <v>#VALUE!</v>
      </c>
      <c r="G77" s="54">
        <v>24</v>
      </c>
      <c r="H77" s="53">
        <f t="shared" si="1"/>
        <v>0</v>
      </c>
      <c r="I77" s="55"/>
      <c r="J77" s="52"/>
      <c r="K77" s="56" t="str">
        <f t="shared" si="15"/>
        <v/>
      </c>
      <c r="L77" s="55"/>
      <c r="M77" s="55"/>
      <c r="N77" s="55"/>
      <c r="O77" s="55"/>
      <c r="P77" s="55"/>
      <c r="Q77" s="55"/>
      <c r="R77" s="55"/>
      <c r="S77" s="55"/>
      <c r="T77" s="55"/>
      <c r="U77" s="55"/>
      <c r="V77" s="55"/>
      <c r="W77" s="55"/>
      <c r="X77" s="55"/>
      <c r="Y77" s="55"/>
      <c r="Z77" s="55"/>
    </row>
    <row r="78" spans="1:26">
      <c r="A78" s="1352"/>
      <c r="B78" s="1354" t="s">
        <v>171</v>
      </c>
      <c r="C78" s="1423"/>
      <c r="D78" s="52"/>
      <c r="E78" s="53"/>
      <c r="F78" s="53" t="e">
        <f t="shared" si="0"/>
        <v>#VALUE!</v>
      </c>
      <c r="G78" s="54">
        <v>1</v>
      </c>
      <c r="H78" s="53">
        <f t="shared" si="1"/>
        <v>0</v>
      </c>
      <c r="I78" s="55"/>
      <c r="J78" s="52"/>
      <c r="K78" s="56" t="str">
        <f t="shared" si="15"/>
        <v/>
      </c>
      <c r="L78" s="55"/>
      <c r="M78" s="55"/>
      <c r="N78" s="55"/>
      <c r="O78" s="55"/>
      <c r="P78" s="55"/>
      <c r="Q78" s="55"/>
      <c r="R78" s="55"/>
      <c r="S78" s="55"/>
      <c r="T78" s="55"/>
      <c r="U78" s="55"/>
      <c r="V78" s="55"/>
      <c r="W78" s="55"/>
      <c r="X78" s="55"/>
      <c r="Y78" s="55"/>
      <c r="Z78" s="55"/>
    </row>
    <row r="79" spans="1:26">
      <c r="A79" s="1352"/>
      <c r="B79" s="1354" t="s">
        <v>172</v>
      </c>
      <c r="C79" s="1423"/>
      <c r="D79" s="52"/>
      <c r="E79" s="53"/>
      <c r="F79" s="53" t="e">
        <f t="shared" si="0"/>
        <v>#VALUE!</v>
      </c>
      <c r="G79" s="54">
        <v>2</v>
      </c>
      <c r="H79" s="53">
        <f t="shared" si="1"/>
        <v>0</v>
      </c>
      <c r="I79" s="55"/>
      <c r="J79" s="52"/>
      <c r="K79" s="56" t="str">
        <f t="shared" si="15"/>
        <v/>
      </c>
      <c r="L79" s="55"/>
      <c r="M79" s="55"/>
      <c r="N79" s="55"/>
      <c r="O79" s="55"/>
      <c r="P79" s="55"/>
      <c r="Q79" s="55"/>
      <c r="R79" s="55"/>
      <c r="S79" s="55"/>
      <c r="T79" s="55"/>
      <c r="U79" s="55"/>
      <c r="V79" s="55"/>
      <c r="W79" s="55"/>
      <c r="X79" s="55"/>
      <c r="Y79" s="55"/>
      <c r="Z79" s="55"/>
    </row>
    <row r="80" spans="1:26">
      <c r="A80" s="1352"/>
      <c r="B80" s="1354" t="s">
        <v>139</v>
      </c>
      <c r="C80" s="1423"/>
      <c r="D80" s="52"/>
      <c r="E80" s="53"/>
      <c r="F80" s="53" t="e">
        <f t="shared" si="0"/>
        <v>#VALUE!</v>
      </c>
      <c r="G80" s="54">
        <v>1</v>
      </c>
      <c r="H80" s="53">
        <f t="shared" si="1"/>
        <v>0</v>
      </c>
      <c r="I80" s="55"/>
      <c r="J80" s="52"/>
      <c r="K80" s="56" t="str">
        <f t="shared" si="15"/>
        <v/>
      </c>
      <c r="L80" s="55"/>
      <c r="M80" s="55"/>
      <c r="N80" s="55"/>
      <c r="O80" s="55"/>
      <c r="P80" s="55"/>
      <c r="Q80" s="55"/>
      <c r="R80" s="55"/>
      <c r="S80" s="55"/>
      <c r="T80" s="55"/>
      <c r="U80" s="55"/>
      <c r="V80" s="55"/>
      <c r="W80" s="55"/>
      <c r="X80" s="55"/>
      <c r="Y80" s="55"/>
      <c r="Z80" s="55"/>
    </row>
    <row r="81" spans="1:26">
      <c r="A81" s="1352"/>
      <c r="B81" s="1354" t="s">
        <v>107</v>
      </c>
      <c r="C81" s="1423"/>
      <c r="D81" s="52"/>
      <c r="E81" s="53"/>
      <c r="F81" s="53" t="e">
        <f t="shared" si="0"/>
        <v>#VALUE!</v>
      </c>
      <c r="G81" s="54">
        <v>20</v>
      </c>
      <c r="H81" s="53">
        <f t="shared" si="1"/>
        <v>0</v>
      </c>
      <c r="I81" s="55"/>
      <c r="J81" s="52"/>
      <c r="K81" s="56" t="str">
        <f t="shared" si="15"/>
        <v/>
      </c>
      <c r="L81" s="55"/>
      <c r="M81" s="55"/>
      <c r="N81" s="55"/>
      <c r="O81" s="55"/>
      <c r="P81" s="55"/>
      <c r="Q81" s="55"/>
      <c r="R81" s="55"/>
      <c r="S81" s="55"/>
      <c r="T81" s="55"/>
      <c r="U81" s="55"/>
      <c r="V81" s="55"/>
      <c r="W81" s="55"/>
      <c r="X81" s="55"/>
      <c r="Y81" s="55"/>
      <c r="Z81" s="55"/>
    </row>
    <row r="82" spans="1:26">
      <c r="A82" s="1352"/>
      <c r="B82" s="1354" t="s">
        <v>173</v>
      </c>
      <c r="C82" s="1423"/>
      <c r="D82" s="52"/>
      <c r="E82" s="53"/>
      <c r="F82" s="53" t="e">
        <f t="shared" si="0"/>
        <v>#VALUE!</v>
      </c>
      <c r="G82" s="54">
        <v>10</v>
      </c>
      <c r="H82" s="53">
        <f t="shared" si="1"/>
        <v>0</v>
      </c>
      <c r="I82" s="55"/>
      <c r="J82" s="52"/>
      <c r="K82" s="56" t="str">
        <f t="shared" si="15"/>
        <v/>
      </c>
      <c r="L82" s="55"/>
      <c r="M82" s="55"/>
      <c r="N82" s="55"/>
      <c r="O82" s="55"/>
      <c r="P82" s="55"/>
      <c r="Q82" s="55"/>
      <c r="R82" s="55"/>
      <c r="S82" s="55"/>
      <c r="T82" s="55"/>
      <c r="U82" s="55"/>
      <c r="V82" s="55"/>
      <c r="W82" s="55"/>
      <c r="X82" s="55"/>
      <c r="Y82" s="55"/>
      <c r="Z82" s="55"/>
    </row>
    <row r="83" spans="1:26">
      <c r="A83" s="1352"/>
      <c r="B83" s="1354" t="s">
        <v>134</v>
      </c>
      <c r="C83" s="1423"/>
      <c r="D83" s="52"/>
      <c r="E83" s="53"/>
      <c r="F83" s="53" t="e">
        <f t="shared" si="0"/>
        <v>#VALUE!</v>
      </c>
      <c r="G83" s="54">
        <v>20</v>
      </c>
      <c r="H83" s="53">
        <f t="shared" si="1"/>
        <v>0</v>
      </c>
      <c r="I83" s="55"/>
      <c r="J83" s="52"/>
      <c r="K83" s="56" t="str">
        <f t="shared" si="15"/>
        <v/>
      </c>
      <c r="L83" s="55"/>
      <c r="M83" s="55"/>
      <c r="N83" s="55"/>
      <c r="O83" s="55"/>
      <c r="P83" s="55"/>
      <c r="Q83" s="55"/>
      <c r="R83" s="55"/>
      <c r="S83" s="55"/>
      <c r="T83" s="55"/>
      <c r="U83" s="55"/>
      <c r="V83" s="55"/>
      <c r="W83" s="55"/>
      <c r="X83" s="55"/>
      <c r="Y83" s="55"/>
      <c r="Z83" s="55"/>
    </row>
    <row r="84" spans="1:26">
      <c r="A84" s="1352"/>
      <c r="B84" s="1354" t="s">
        <v>108</v>
      </c>
      <c r="C84" s="1423"/>
      <c r="D84" s="52"/>
      <c r="E84" s="53"/>
      <c r="F84" s="53" t="e">
        <f t="shared" si="0"/>
        <v>#VALUE!</v>
      </c>
      <c r="G84" s="54">
        <v>10</v>
      </c>
      <c r="H84" s="53">
        <f t="shared" si="1"/>
        <v>0</v>
      </c>
      <c r="I84" s="55"/>
      <c r="J84" s="52"/>
      <c r="K84" s="56" t="str">
        <f t="shared" si="15"/>
        <v/>
      </c>
      <c r="L84" s="55"/>
      <c r="M84" s="55"/>
      <c r="N84" s="55"/>
      <c r="O84" s="55"/>
      <c r="P84" s="55"/>
      <c r="Q84" s="55"/>
      <c r="R84" s="55"/>
      <c r="S84" s="55"/>
      <c r="T84" s="55"/>
      <c r="U84" s="55"/>
      <c r="V84" s="55"/>
      <c r="W84" s="55"/>
      <c r="X84" s="55"/>
      <c r="Y84" s="55"/>
      <c r="Z84" s="55"/>
    </row>
    <row r="85" spans="1:26">
      <c r="A85" s="1352"/>
      <c r="B85" s="1354" t="s">
        <v>174</v>
      </c>
      <c r="C85" s="1423"/>
      <c r="D85" s="52"/>
      <c r="E85" s="53"/>
      <c r="F85" s="53" t="e">
        <f t="shared" si="0"/>
        <v>#VALUE!</v>
      </c>
      <c r="G85" s="54">
        <v>11</v>
      </c>
      <c r="H85" s="53">
        <f t="shared" si="1"/>
        <v>0</v>
      </c>
      <c r="I85" s="55"/>
      <c r="J85" s="52"/>
      <c r="K85" s="56" t="str">
        <f t="shared" si="15"/>
        <v/>
      </c>
      <c r="L85" s="55"/>
      <c r="M85" s="55"/>
      <c r="N85" s="55"/>
      <c r="O85" s="55"/>
      <c r="P85" s="55"/>
      <c r="Q85" s="55"/>
      <c r="R85" s="55"/>
      <c r="S85" s="55"/>
      <c r="T85" s="55"/>
      <c r="U85" s="55"/>
      <c r="V85" s="55"/>
      <c r="W85" s="55"/>
      <c r="X85" s="55"/>
      <c r="Y85" s="55"/>
      <c r="Z85" s="55"/>
    </row>
    <row r="86" spans="1:26">
      <c r="A86" s="1352"/>
      <c r="B86" s="1354" t="s">
        <v>116</v>
      </c>
      <c r="C86" s="1423"/>
      <c r="D86" s="52"/>
      <c r="E86" s="53"/>
      <c r="F86" s="53" t="e">
        <f t="shared" si="0"/>
        <v>#VALUE!</v>
      </c>
      <c r="G86" s="54">
        <v>100</v>
      </c>
      <c r="H86" s="53">
        <f t="shared" si="1"/>
        <v>0</v>
      </c>
      <c r="I86" s="55"/>
      <c r="J86" s="52"/>
      <c r="K86" s="56" t="str">
        <f t="shared" si="15"/>
        <v/>
      </c>
      <c r="L86" s="55"/>
      <c r="M86" s="55"/>
      <c r="N86" s="55"/>
      <c r="O86" s="55"/>
      <c r="P86" s="55"/>
      <c r="Q86" s="55"/>
      <c r="R86" s="55"/>
      <c r="S86" s="55"/>
      <c r="T86" s="55"/>
      <c r="U86" s="55"/>
      <c r="V86" s="55"/>
      <c r="W86" s="55"/>
      <c r="X86" s="55"/>
      <c r="Y86" s="55"/>
      <c r="Z86" s="55"/>
    </row>
    <row r="87" spans="1:26">
      <c r="A87" s="1352"/>
      <c r="B87" s="1354" t="s">
        <v>109</v>
      </c>
      <c r="C87" s="1423"/>
      <c r="D87" s="52"/>
      <c r="E87" s="53"/>
      <c r="F87" s="53" t="e">
        <f t="shared" si="0"/>
        <v>#VALUE!</v>
      </c>
      <c r="G87" s="54">
        <v>100</v>
      </c>
      <c r="H87" s="53">
        <f t="shared" si="1"/>
        <v>0</v>
      </c>
      <c r="I87" s="55"/>
      <c r="J87" s="52"/>
      <c r="K87" s="56" t="str">
        <f t="shared" si="15"/>
        <v/>
      </c>
      <c r="L87" s="55"/>
      <c r="M87" s="55"/>
      <c r="N87" s="55"/>
      <c r="O87" s="55"/>
      <c r="P87" s="55"/>
      <c r="Q87" s="55"/>
      <c r="R87" s="55"/>
      <c r="S87" s="55"/>
      <c r="T87" s="55"/>
      <c r="U87" s="55"/>
      <c r="V87" s="55"/>
      <c r="W87" s="55"/>
      <c r="X87" s="55"/>
      <c r="Y87" s="55"/>
      <c r="Z87" s="55"/>
    </row>
    <row r="88" spans="1:26">
      <c r="A88" s="1352"/>
      <c r="B88" s="1354" t="s">
        <v>101</v>
      </c>
      <c r="C88" s="1423"/>
      <c r="D88" s="52"/>
      <c r="E88" s="53"/>
      <c r="F88" s="53" t="e">
        <f t="shared" si="0"/>
        <v>#VALUE!</v>
      </c>
      <c r="G88" s="54">
        <v>100</v>
      </c>
      <c r="H88" s="53">
        <f t="shared" si="1"/>
        <v>0</v>
      </c>
      <c r="I88" s="55"/>
      <c r="J88" s="52"/>
      <c r="K88" s="56" t="str">
        <f t="shared" si="15"/>
        <v/>
      </c>
      <c r="L88" s="55"/>
      <c r="M88" s="55"/>
      <c r="N88" s="55"/>
      <c r="O88" s="55"/>
      <c r="P88" s="55"/>
      <c r="Q88" s="55"/>
      <c r="R88" s="55"/>
      <c r="S88" s="55"/>
      <c r="T88" s="55"/>
      <c r="U88" s="55"/>
      <c r="V88" s="55"/>
      <c r="W88" s="55"/>
      <c r="X88" s="55"/>
      <c r="Y88" s="55"/>
      <c r="Z88" s="55"/>
    </row>
    <row r="89" spans="1:26">
      <c r="A89" s="1352"/>
      <c r="B89" s="1354" t="s">
        <v>175</v>
      </c>
      <c r="C89" s="1423"/>
      <c r="D89" s="52"/>
      <c r="E89" s="53"/>
      <c r="F89" s="53" t="e">
        <f t="shared" si="0"/>
        <v>#VALUE!</v>
      </c>
      <c r="G89" s="54">
        <v>100</v>
      </c>
      <c r="H89" s="53">
        <f t="shared" si="1"/>
        <v>0</v>
      </c>
      <c r="I89" s="55"/>
      <c r="J89" s="52"/>
      <c r="K89" s="56" t="str">
        <f t="shared" si="15"/>
        <v/>
      </c>
      <c r="L89" s="55"/>
      <c r="M89" s="55"/>
      <c r="N89" s="55"/>
      <c r="O89" s="55"/>
      <c r="P89" s="55"/>
      <c r="Q89" s="55"/>
      <c r="R89" s="55"/>
      <c r="S89" s="55"/>
      <c r="T89" s="55"/>
      <c r="U89" s="55"/>
      <c r="V89" s="55"/>
      <c r="W89" s="55"/>
      <c r="X89" s="55"/>
      <c r="Y89" s="55"/>
      <c r="Z89" s="55"/>
    </row>
    <row r="90" spans="1:26">
      <c r="A90" s="1352"/>
      <c r="B90" s="1354" t="s">
        <v>176</v>
      </c>
      <c r="C90" s="1423"/>
      <c r="D90" s="52"/>
      <c r="E90" s="53"/>
      <c r="F90" s="53" t="e">
        <f t="shared" si="0"/>
        <v>#VALUE!</v>
      </c>
      <c r="G90" s="54">
        <v>100</v>
      </c>
      <c r="H90" s="53">
        <f t="shared" si="1"/>
        <v>0</v>
      </c>
      <c r="I90" s="55"/>
      <c r="J90" s="52"/>
      <c r="K90" s="56" t="str">
        <f t="shared" si="15"/>
        <v/>
      </c>
      <c r="L90" s="55"/>
      <c r="M90" s="55"/>
      <c r="N90" s="55"/>
      <c r="O90" s="55"/>
      <c r="P90" s="55"/>
      <c r="Q90" s="55"/>
      <c r="R90" s="55"/>
      <c r="S90" s="55"/>
      <c r="T90" s="55"/>
      <c r="U90" s="55"/>
      <c r="V90" s="55"/>
      <c r="W90" s="55"/>
      <c r="X90" s="55"/>
      <c r="Y90" s="55"/>
      <c r="Z90" s="55"/>
    </row>
    <row r="91" spans="1:26">
      <c r="A91" s="1352"/>
      <c r="B91" s="1354" t="s">
        <v>140</v>
      </c>
      <c r="C91" s="1423"/>
      <c r="D91" s="52"/>
      <c r="E91" s="53"/>
      <c r="F91" s="53" t="e">
        <f t="shared" si="0"/>
        <v>#VALUE!</v>
      </c>
      <c r="G91" s="54">
        <v>50</v>
      </c>
      <c r="H91" s="53">
        <f t="shared" si="1"/>
        <v>0</v>
      </c>
      <c r="I91" s="55"/>
      <c r="J91" s="52"/>
      <c r="K91" s="56" t="str">
        <f t="shared" si="15"/>
        <v/>
      </c>
      <c r="L91" s="55"/>
      <c r="M91" s="55"/>
      <c r="N91" s="55"/>
      <c r="O91" s="55"/>
      <c r="P91" s="55"/>
      <c r="Q91" s="55"/>
      <c r="R91" s="55"/>
      <c r="S91" s="55"/>
      <c r="T91" s="55"/>
      <c r="U91" s="55"/>
      <c r="V91" s="55"/>
      <c r="W91" s="55"/>
      <c r="X91" s="55"/>
      <c r="Y91" s="55"/>
      <c r="Z91" s="55"/>
    </row>
    <row r="92" spans="1:26">
      <c r="A92" s="1352"/>
      <c r="B92" s="1354" t="s">
        <v>117</v>
      </c>
      <c r="C92" s="1423"/>
      <c r="D92" s="52"/>
      <c r="E92" s="53"/>
      <c r="F92" s="53" t="e">
        <f t="shared" si="0"/>
        <v>#VALUE!</v>
      </c>
      <c r="G92" s="54">
        <v>14</v>
      </c>
      <c r="H92" s="53">
        <f t="shared" si="1"/>
        <v>0</v>
      </c>
      <c r="I92" s="55"/>
      <c r="J92" s="52"/>
      <c r="K92" s="56" t="str">
        <f t="shared" si="15"/>
        <v/>
      </c>
      <c r="L92" s="55"/>
      <c r="M92" s="55"/>
      <c r="N92" s="55"/>
      <c r="O92" s="55"/>
      <c r="P92" s="55"/>
      <c r="Q92" s="55"/>
      <c r="R92" s="55"/>
      <c r="S92" s="55"/>
      <c r="T92" s="55"/>
      <c r="U92" s="55"/>
      <c r="V92" s="55"/>
      <c r="W92" s="55"/>
      <c r="X92" s="55"/>
      <c r="Y92" s="55"/>
      <c r="Z92" s="55"/>
    </row>
    <row r="93" spans="1:26">
      <c r="A93" s="1352"/>
      <c r="B93" s="1354" t="s">
        <v>177</v>
      </c>
      <c r="C93" s="1423"/>
      <c r="D93" s="52"/>
      <c r="E93" s="53"/>
      <c r="F93" s="53" t="e">
        <f t="shared" si="0"/>
        <v>#VALUE!</v>
      </c>
      <c r="G93" s="54">
        <v>10</v>
      </c>
      <c r="H93" s="53">
        <f t="shared" si="1"/>
        <v>0</v>
      </c>
      <c r="I93" s="55"/>
      <c r="J93" s="52"/>
      <c r="K93" s="56" t="str">
        <f t="shared" si="15"/>
        <v/>
      </c>
      <c r="L93" s="55"/>
      <c r="M93" s="55"/>
      <c r="N93" s="55"/>
      <c r="O93" s="55"/>
      <c r="P93" s="55"/>
      <c r="Q93" s="55"/>
      <c r="R93" s="55"/>
      <c r="S93" s="55"/>
      <c r="T93" s="55"/>
      <c r="U93" s="55"/>
      <c r="V93" s="55"/>
      <c r="W93" s="55"/>
      <c r="X93" s="55"/>
      <c r="Y93" s="55"/>
      <c r="Z93" s="55"/>
    </row>
    <row r="94" spans="1:26">
      <c r="A94" s="1352"/>
      <c r="B94" s="1354" t="s">
        <v>178</v>
      </c>
      <c r="C94" s="1423"/>
      <c r="D94" s="52"/>
      <c r="E94" s="53"/>
      <c r="F94" s="53" t="e">
        <f t="shared" si="0"/>
        <v>#VALUE!</v>
      </c>
      <c r="G94" s="54">
        <v>2</v>
      </c>
      <c r="H94" s="53">
        <f t="shared" si="1"/>
        <v>0</v>
      </c>
      <c r="I94" s="55"/>
      <c r="J94" s="52"/>
      <c r="K94" s="56" t="str">
        <f t="shared" si="15"/>
        <v/>
      </c>
      <c r="L94" s="55"/>
      <c r="M94" s="55"/>
      <c r="N94" s="55"/>
      <c r="O94" s="55"/>
      <c r="P94" s="55"/>
      <c r="Q94" s="55"/>
      <c r="R94" s="55"/>
      <c r="S94" s="55"/>
      <c r="T94" s="55"/>
      <c r="U94" s="55"/>
      <c r="V94" s="55"/>
      <c r="W94" s="55"/>
      <c r="X94" s="55"/>
      <c r="Y94" s="55"/>
      <c r="Z94" s="55"/>
    </row>
    <row r="95" spans="1:26">
      <c r="A95" s="1352"/>
      <c r="B95" s="1354" t="s">
        <v>179</v>
      </c>
      <c r="C95" s="1423"/>
      <c r="D95" s="52"/>
      <c r="E95" s="53"/>
      <c r="F95" s="53" t="e">
        <f t="shared" si="0"/>
        <v>#VALUE!</v>
      </c>
      <c r="G95" s="54">
        <v>24</v>
      </c>
      <c r="H95" s="53">
        <f t="shared" si="1"/>
        <v>0</v>
      </c>
      <c r="I95" s="55"/>
      <c r="J95" s="52"/>
      <c r="K95" s="56" t="str">
        <f t="shared" si="15"/>
        <v/>
      </c>
      <c r="L95" s="55"/>
      <c r="M95" s="55"/>
      <c r="N95" s="55"/>
      <c r="O95" s="55"/>
      <c r="P95" s="55"/>
      <c r="Q95" s="55"/>
      <c r="R95" s="55"/>
      <c r="S95" s="55"/>
      <c r="T95" s="55"/>
      <c r="U95" s="55"/>
      <c r="V95" s="55"/>
      <c r="W95" s="55"/>
      <c r="X95" s="55"/>
      <c r="Y95" s="55"/>
      <c r="Z95" s="55"/>
    </row>
    <row r="96" spans="1:26">
      <c r="A96" s="1352"/>
      <c r="B96" s="1354" t="s">
        <v>110</v>
      </c>
      <c r="C96" s="1423"/>
      <c r="D96" s="52"/>
      <c r="E96" s="53"/>
      <c r="F96" s="53" t="e">
        <f t="shared" si="0"/>
        <v>#VALUE!</v>
      </c>
      <c r="G96" s="54">
        <v>82</v>
      </c>
      <c r="H96" s="53">
        <f t="shared" si="1"/>
        <v>0</v>
      </c>
      <c r="I96" s="55"/>
      <c r="J96" s="52"/>
      <c r="K96" s="56" t="str">
        <f t="shared" si="15"/>
        <v/>
      </c>
      <c r="L96" s="55"/>
      <c r="M96" s="55"/>
      <c r="N96" s="55"/>
      <c r="O96" s="55"/>
      <c r="P96" s="55"/>
      <c r="Q96" s="55"/>
      <c r="R96" s="55"/>
      <c r="S96" s="55"/>
      <c r="T96" s="55"/>
      <c r="U96" s="55"/>
      <c r="V96" s="55"/>
      <c r="W96" s="55"/>
      <c r="X96" s="55"/>
      <c r="Y96" s="55"/>
      <c r="Z96" s="55"/>
    </row>
    <row r="97" spans="1:26">
      <c r="A97" s="1352"/>
      <c r="B97" s="1354" t="s">
        <v>151</v>
      </c>
      <c r="C97" s="1423"/>
      <c r="D97" s="52"/>
      <c r="E97" s="53"/>
      <c r="F97" s="53" t="e">
        <f t="shared" si="0"/>
        <v>#VALUE!</v>
      </c>
      <c r="G97" s="54">
        <v>6</v>
      </c>
      <c r="H97" s="53">
        <f t="shared" si="1"/>
        <v>0</v>
      </c>
      <c r="I97" s="55"/>
      <c r="J97" s="52">
        <v>1</v>
      </c>
      <c r="K97" s="56" t="str">
        <f t="shared" si="15"/>
        <v/>
      </c>
      <c r="L97" s="55"/>
      <c r="M97" s="55"/>
      <c r="N97" s="55"/>
      <c r="O97" s="55"/>
      <c r="P97" s="55"/>
      <c r="Q97" s="55"/>
      <c r="R97" s="55"/>
      <c r="S97" s="55"/>
      <c r="T97" s="55"/>
      <c r="U97" s="55"/>
      <c r="V97" s="55"/>
      <c r="W97" s="55"/>
      <c r="X97" s="55"/>
      <c r="Y97" s="55"/>
      <c r="Z97" s="55"/>
    </row>
    <row r="98" spans="1:26">
      <c r="A98" s="1352"/>
      <c r="B98" s="1354" t="s">
        <v>180</v>
      </c>
      <c r="C98" s="1423"/>
      <c r="D98" s="52"/>
      <c r="E98" s="53"/>
      <c r="F98" s="53" t="e">
        <f t="shared" si="0"/>
        <v>#VALUE!</v>
      </c>
      <c r="G98" s="54">
        <v>1</v>
      </c>
      <c r="H98" s="53">
        <f t="shared" si="1"/>
        <v>0</v>
      </c>
      <c r="I98" s="55"/>
      <c r="J98" s="52">
        <v>12</v>
      </c>
      <c r="K98" s="56" t="str">
        <f t="shared" si="15"/>
        <v/>
      </c>
      <c r="L98" s="55"/>
      <c r="M98" s="55"/>
      <c r="N98" s="55"/>
      <c r="O98" s="55"/>
      <c r="P98" s="55"/>
      <c r="Q98" s="55"/>
      <c r="R98" s="55"/>
      <c r="S98" s="55"/>
      <c r="T98" s="55"/>
      <c r="U98" s="55"/>
      <c r="V98" s="55"/>
      <c r="W98" s="55"/>
      <c r="X98" s="55"/>
      <c r="Y98" s="55"/>
      <c r="Z98" s="55"/>
    </row>
    <row r="99" spans="1:26" ht="12.75" hidden="1">
      <c r="A99" s="1352"/>
      <c r="B99" s="1354" t="s">
        <v>181</v>
      </c>
      <c r="C99" s="1423"/>
      <c r="D99" s="59"/>
      <c r="E99" s="8"/>
      <c r="F99" s="60" t="e">
        <f t="shared" si="0"/>
        <v>#VALUE!</v>
      </c>
      <c r="G99" s="61">
        <v>1</v>
      </c>
      <c r="H99" s="60">
        <f t="shared" si="1"/>
        <v>0</v>
      </c>
      <c r="I99" s="8"/>
      <c r="J99" s="66">
        <v>0</v>
      </c>
      <c r="K99" s="67">
        <f t="shared" ref="K99:K107" si="16">J99*E99</f>
        <v>0</v>
      </c>
    </row>
    <row r="100" spans="1:26" ht="12.75" hidden="1">
      <c r="A100" s="1350" t="s">
        <v>182</v>
      </c>
      <c r="B100" s="1350" t="s">
        <v>169</v>
      </c>
      <c r="C100" s="1422"/>
      <c r="D100" s="59" t="s">
        <v>118</v>
      </c>
      <c r="E100" s="8">
        <v>72000</v>
      </c>
      <c r="F100" s="60" t="e">
        <f t="shared" si="0"/>
        <v>#VALUE!</v>
      </c>
      <c r="G100" s="61">
        <v>2</v>
      </c>
      <c r="H100" s="62">
        <f t="shared" si="1"/>
        <v>144000</v>
      </c>
      <c r="J100" s="63">
        <v>0</v>
      </c>
      <c r="K100" s="64">
        <f t="shared" si="16"/>
        <v>0</v>
      </c>
    </row>
    <row r="101" spans="1:26" ht="12.75" hidden="1">
      <c r="A101" s="1352"/>
      <c r="B101" s="1354" t="s">
        <v>138</v>
      </c>
      <c r="C101" s="1423"/>
      <c r="D101" s="59"/>
      <c r="E101" s="8"/>
      <c r="F101" s="60" t="e">
        <f t="shared" si="0"/>
        <v>#VALUE!</v>
      </c>
      <c r="G101" s="61">
        <v>1</v>
      </c>
      <c r="H101" s="62">
        <f t="shared" si="1"/>
        <v>0</v>
      </c>
      <c r="J101" s="63">
        <v>0</v>
      </c>
      <c r="K101" s="64">
        <f t="shared" si="16"/>
        <v>0</v>
      </c>
    </row>
    <row r="102" spans="1:26" ht="12.75" hidden="1">
      <c r="A102" s="1352"/>
      <c r="B102" s="1354" t="s">
        <v>115</v>
      </c>
      <c r="C102" s="1423"/>
      <c r="D102" s="59"/>
      <c r="E102" s="8"/>
      <c r="F102" s="60" t="e">
        <f t="shared" si="0"/>
        <v>#VALUE!</v>
      </c>
      <c r="G102" s="61">
        <v>6</v>
      </c>
      <c r="H102" s="62">
        <f t="shared" si="1"/>
        <v>0</v>
      </c>
      <c r="J102" s="63">
        <v>0</v>
      </c>
      <c r="K102" s="64">
        <f t="shared" si="16"/>
        <v>0</v>
      </c>
    </row>
    <row r="103" spans="1:26" ht="12.75" hidden="1">
      <c r="A103" s="1352"/>
      <c r="B103" s="1354" t="s">
        <v>132</v>
      </c>
      <c r="C103" s="1423"/>
      <c r="D103" s="59"/>
      <c r="E103" s="8"/>
      <c r="F103" s="60" t="e">
        <f t="shared" si="0"/>
        <v>#VALUE!</v>
      </c>
      <c r="G103" s="61">
        <v>88</v>
      </c>
      <c r="H103" s="62">
        <f t="shared" si="1"/>
        <v>0</v>
      </c>
      <c r="J103" s="63">
        <v>0</v>
      </c>
      <c r="K103" s="64">
        <f t="shared" si="16"/>
        <v>0</v>
      </c>
    </row>
    <row r="104" spans="1:26" ht="12.75" hidden="1">
      <c r="A104" s="1352"/>
      <c r="B104" s="1354" t="s">
        <v>171</v>
      </c>
      <c r="C104" s="1423"/>
      <c r="D104" s="59"/>
      <c r="E104" s="8"/>
      <c r="F104" s="60" t="e">
        <f t="shared" si="0"/>
        <v>#VALUE!</v>
      </c>
      <c r="G104" s="61">
        <v>2</v>
      </c>
      <c r="H104" s="62">
        <f t="shared" si="1"/>
        <v>0</v>
      </c>
      <c r="J104" s="63">
        <v>0</v>
      </c>
      <c r="K104" s="64">
        <f t="shared" si="16"/>
        <v>0</v>
      </c>
    </row>
    <row r="105" spans="1:26" ht="12.75" hidden="1">
      <c r="A105" s="1352"/>
      <c r="B105" s="1354" t="s">
        <v>133</v>
      </c>
      <c r="C105" s="1423"/>
      <c r="D105" s="59"/>
      <c r="E105" s="8"/>
      <c r="F105" s="60" t="e">
        <f t="shared" si="0"/>
        <v>#VALUE!</v>
      </c>
      <c r="G105" s="61">
        <v>5</v>
      </c>
      <c r="H105" s="62">
        <f t="shared" si="1"/>
        <v>0</v>
      </c>
      <c r="J105" s="63">
        <v>0</v>
      </c>
      <c r="K105" s="64">
        <f t="shared" si="16"/>
        <v>0</v>
      </c>
    </row>
    <row r="106" spans="1:26" ht="12.75" hidden="1">
      <c r="A106" s="1352"/>
      <c r="B106" s="1354" t="s">
        <v>176</v>
      </c>
      <c r="C106" s="1423"/>
      <c r="D106" s="59"/>
      <c r="E106" s="8"/>
      <c r="F106" s="60" t="e">
        <f t="shared" si="0"/>
        <v>#VALUE!</v>
      </c>
      <c r="G106" s="61">
        <v>1</v>
      </c>
      <c r="H106" s="62">
        <f t="shared" si="1"/>
        <v>0</v>
      </c>
      <c r="J106" s="63">
        <v>0</v>
      </c>
      <c r="K106" s="64">
        <f t="shared" si="16"/>
        <v>0</v>
      </c>
    </row>
    <row r="107" spans="1:26" ht="12.75" hidden="1">
      <c r="A107" s="1352"/>
      <c r="B107" s="1354" t="s">
        <v>117</v>
      </c>
      <c r="C107" s="1423"/>
      <c r="D107" s="59"/>
      <c r="E107" s="8"/>
      <c r="F107" s="60" t="e">
        <f t="shared" si="0"/>
        <v>#VALUE!</v>
      </c>
      <c r="G107" s="61">
        <v>700</v>
      </c>
      <c r="H107" s="62">
        <f t="shared" si="1"/>
        <v>0</v>
      </c>
      <c r="J107" s="63">
        <v>0</v>
      </c>
      <c r="K107" s="64">
        <f t="shared" si="16"/>
        <v>0</v>
      </c>
    </row>
    <row r="108" spans="1:26">
      <c r="A108" s="1352"/>
      <c r="B108" s="1354" t="s">
        <v>179</v>
      </c>
      <c r="C108" s="1423"/>
      <c r="D108" s="52"/>
      <c r="E108" s="53"/>
      <c r="F108" s="53" t="e">
        <f t="shared" si="0"/>
        <v>#VALUE!</v>
      </c>
      <c r="G108" s="54">
        <v>2</v>
      </c>
      <c r="H108" s="53">
        <f t="shared" si="1"/>
        <v>0</v>
      </c>
      <c r="I108" s="55"/>
      <c r="J108" s="52">
        <v>6</v>
      </c>
      <c r="K108" s="56" t="str">
        <f t="shared" ref="K108:K183" si="17">IF(E108="","",(J108*E108))</f>
        <v/>
      </c>
      <c r="L108" s="55"/>
      <c r="M108" s="55"/>
      <c r="N108" s="55"/>
      <c r="O108" s="55"/>
      <c r="P108" s="55"/>
      <c r="Q108" s="55"/>
      <c r="R108" s="55"/>
      <c r="S108" s="55"/>
      <c r="T108" s="55"/>
      <c r="U108" s="55"/>
      <c r="V108" s="55"/>
      <c r="W108" s="55"/>
      <c r="X108" s="55"/>
      <c r="Y108" s="55"/>
      <c r="Z108" s="55"/>
    </row>
    <row r="109" spans="1:26">
      <c r="A109" s="1352"/>
      <c r="B109" s="1354" t="s">
        <v>110</v>
      </c>
      <c r="C109" s="1423"/>
      <c r="D109" s="52"/>
      <c r="E109" s="53"/>
      <c r="F109" s="53" t="e">
        <f t="shared" si="0"/>
        <v>#VALUE!</v>
      </c>
      <c r="G109" s="54">
        <v>3</v>
      </c>
      <c r="H109" s="53">
        <f t="shared" si="1"/>
        <v>0</v>
      </c>
      <c r="I109" s="55"/>
      <c r="J109" s="52"/>
      <c r="K109" s="56" t="str">
        <f t="shared" si="17"/>
        <v/>
      </c>
      <c r="L109" s="55"/>
      <c r="M109" s="55"/>
      <c r="N109" s="55"/>
      <c r="O109" s="55"/>
      <c r="P109" s="55"/>
      <c r="Q109" s="55"/>
      <c r="R109" s="55"/>
      <c r="S109" s="55"/>
      <c r="T109" s="55"/>
      <c r="U109" s="55"/>
      <c r="V109" s="55"/>
      <c r="W109" s="55"/>
      <c r="X109" s="55"/>
      <c r="Y109" s="55"/>
      <c r="Z109" s="55"/>
    </row>
    <row r="110" spans="1:26">
      <c r="A110" s="1352"/>
      <c r="B110" s="1354" t="s">
        <v>4744</v>
      </c>
      <c r="C110" s="1423"/>
      <c r="D110" s="52"/>
      <c r="E110" s="53"/>
      <c r="F110" s="53" t="e">
        <f t="shared" si="0"/>
        <v>#VALUE!</v>
      </c>
      <c r="G110" s="54">
        <v>400</v>
      </c>
      <c r="H110" s="53">
        <f t="shared" si="1"/>
        <v>0</v>
      </c>
      <c r="I110" s="55"/>
      <c r="J110" s="52"/>
      <c r="K110" s="56" t="str">
        <f t="shared" si="17"/>
        <v/>
      </c>
      <c r="L110" s="55"/>
      <c r="M110" s="55"/>
      <c r="N110" s="55"/>
      <c r="O110" s="55"/>
      <c r="P110" s="55"/>
      <c r="Q110" s="55"/>
      <c r="R110" s="55"/>
      <c r="S110" s="55"/>
      <c r="T110" s="55"/>
      <c r="U110" s="55"/>
      <c r="V110" s="55"/>
      <c r="W110" s="55"/>
      <c r="X110" s="55"/>
      <c r="Y110" s="55"/>
      <c r="Z110" s="55"/>
    </row>
    <row r="111" spans="1:26">
      <c r="A111" s="1350" t="s">
        <v>183</v>
      </c>
      <c r="B111" s="1350" t="s">
        <v>176</v>
      </c>
      <c r="C111" s="1422"/>
      <c r="D111" s="52" t="s">
        <v>103</v>
      </c>
      <c r="E111" s="53">
        <v>600</v>
      </c>
      <c r="F111" s="53" t="e">
        <f t="shared" si="0"/>
        <v>#VALUE!</v>
      </c>
      <c r="G111" s="54">
        <v>400</v>
      </c>
      <c r="H111" s="53">
        <f t="shared" si="1"/>
        <v>240000</v>
      </c>
      <c r="I111" s="55"/>
      <c r="J111" s="52"/>
      <c r="K111" s="56">
        <f t="shared" si="17"/>
        <v>0</v>
      </c>
      <c r="L111" s="55"/>
      <c r="M111" s="55"/>
      <c r="N111" s="55"/>
      <c r="O111" s="55"/>
      <c r="P111" s="55"/>
      <c r="Q111" s="55"/>
      <c r="R111" s="55"/>
      <c r="S111" s="55"/>
      <c r="T111" s="55"/>
      <c r="U111" s="55"/>
      <c r="V111" s="55"/>
      <c r="W111" s="55"/>
      <c r="X111" s="55"/>
      <c r="Y111" s="55"/>
      <c r="Z111" s="55"/>
    </row>
    <row r="112" spans="1:26">
      <c r="A112" s="1352"/>
      <c r="B112" s="1354" t="s">
        <v>184</v>
      </c>
      <c r="C112" s="1423"/>
      <c r="D112" s="52"/>
      <c r="E112" s="53"/>
      <c r="F112" s="53" t="e">
        <f t="shared" si="0"/>
        <v>#VALUE!</v>
      </c>
      <c r="G112" s="54">
        <v>1000</v>
      </c>
      <c r="H112" s="53">
        <f t="shared" si="1"/>
        <v>0</v>
      </c>
      <c r="I112" s="55"/>
      <c r="J112" s="52"/>
      <c r="K112" s="56" t="str">
        <f t="shared" si="17"/>
        <v/>
      </c>
      <c r="L112" s="55"/>
      <c r="M112" s="55"/>
      <c r="N112" s="55"/>
      <c r="O112" s="55"/>
      <c r="P112" s="55"/>
      <c r="Q112" s="55"/>
      <c r="R112" s="55"/>
      <c r="S112" s="55"/>
      <c r="T112" s="55"/>
      <c r="U112" s="55"/>
      <c r="V112" s="55"/>
      <c r="W112" s="55"/>
      <c r="X112" s="55"/>
      <c r="Y112" s="55"/>
      <c r="Z112" s="55"/>
    </row>
    <row r="113" spans="1:26">
      <c r="A113" s="1350" t="s">
        <v>185</v>
      </c>
      <c r="B113" s="1350" t="s">
        <v>176</v>
      </c>
      <c r="C113" s="1422"/>
      <c r="D113" s="52" t="s">
        <v>103</v>
      </c>
      <c r="E113" s="53">
        <v>600</v>
      </c>
      <c r="F113" s="53" t="e">
        <f t="shared" si="0"/>
        <v>#VALUE!</v>
      </c>
      <c r="G113" s="54">
        <v>5</v>
      </c>
      <c r="H113" s="53">
        <f t="shared" si="1"/>
        <v>3000</v>
      </c>
      <c r="I113" s="55"/>
      <c r="J113" s="52"/>
      <c r="K113" s="56">
        <f t="shared" si="17"/>
        <v>0</v>
      </c>
      <c r="L113" s="55"/>
      <c r="M113" s="55"/>
      <c r="N113" s="55"/>
      <c r="O113" s="55"/>
      <c r="P113" s="55"/>
      <c r="Q113" s="55"/>
      <c r="R113" s="55"/>
      <c r="S113" s="55"/>
      <c r="T113" s="55"/>
      <c r="U113" s="55"/>
      <c r="V113" s="55"/>
      <c r="W113" s="55"/>
      <c r="X113" s="55"/>
      <c r="Y113" s="55"/>
      <c r="Z113" s="55"/>
    </row>
    <row r="114" spans="1:26">
      <c r="A114" s="1352"/>
      <c r="B114" s="1354" t="s">
        <v>184</v>
      </c>
      <c r="C114" s="1423"/>
      <c r="D114" s="52"/>
      <c r="E114" s="53"/>
      <c r="F114" s="53" t="e">
        <f t="shared" si="0"/>
        <v>#VALUE!</v>
      </c>
      <c r="G114" s="54">
        <v>4</v>
      </c>
      <c r="H114" s="53">
        <f t="shared" si="1"/>
        <v>0</v>
      </c>
      <c r="I114" s="55"/>
      <c r="J114" s="52"/>
      <c r="K114" s="56" t="str">
        <f t="shared" si="17"/>
        <v/>
      </c>
      <c r="L114" s="55"/>
      <c r="M114" s="55"/>
      <c r="N114" s="55"/>
      <c r="O114" s="55"/>
      <c r="P114" s="55"/>
      <c r="Q114" s="55"/>
      <c r="R114" s="55"/>
      <c r="S114" s="55"/>
      <c r="T114" s="55"/>
      <c r="U114" s="55"/>
      <c r="V114" s="55"/>
      <c r="W114" s="55"/>
      <c r="X114" s="55"/>
      <c r="Y114" s="55"/>
      <c r="Z114" s="55"/>
    </row>
    <row r="115" spans="1:26">
      <c r="A115" s="1350" t="s">
        <v>186</v>
      </c>
      <c r="B115" s="1350" t="s">
        <v>176</v>
      </c>
      <c r="C115" s="1422"/>
      <c r="D115" s="52" t="s">
        <v>103</v>
      </c>
      <c r="E115" s="53">
        <v>600</v>
      </c>
      <c r="F115" s="53" t="e">
        <f t="shared" si="0"/>
        <v>#VALUE!</v>
      </c>
      <c r="G115" s="54">
        <v>10</v>
      </c>
      <c r="H115" s="53">
        <f t="shared" si="1"/>
        <v>6000</v>
      </c>
      <c r="I115" s="55"/>
      <c r="J115" s="52"/>
      <c r="K115" s="56">
        <f t="shared" si="17"/>
        <v>0</v>
      </c>
      <c r="L115" s="55"/>
      <c r="M115" s="55"/>
      <c r="N115" s="55"/>
      <c r="O115" s="55"/>
      <c r="P115" s="55"/>
      <c r="Q115" s="55"/>
      <c r="R115" s="55"/>
      <c r="S115" s="55"/>
      <c r="T115" s="55"/>
      <c r="U115" s="55"/>
      <c r="V115" s="55"/>
      <c r="W115" s="55"/>
      <c r="X115" s="55"/>
      <c r="Y115" s="55"/>
      <c r="Z115" s="55"/>
    </row>
    <row r="116" spans="1:26">
      <c r="A116" s="1352"/>
      <c r="B116" s="1354" t="s">
        <v>184</v>
      </c>
      <c r="C116" s="1423"/>
      <c r="D116" s="52"/>
      <c r="E116" s="53"/>
      <c r="F116" s="53" t="e">
        <f t="shared" si="0"/>
        <v>#VALUE!</v>
      </c>
      <c r="G116" s="54">
        <v>20</v>
      </c>
      <c r="H116" s="53">
        <f t="shared" si="1"/>
        <v>0</v>
      </c>
      <c r="I116" s="55"/>
      <c r="J116" s="52"/>
      <c r="K116" s="56" t="str">
        <f t="shared" si="17"/>
        <v/>
      </c>
      <c r="L116" s="55"/>
      <c r="M116" s="55"/>
      <c r="N116" s="55"/>
      <c r="O116" s="55"/>
      <c r="P116" s="55"/>
      <c r="Q116" s="55"/>
      <c r="R116" s="55"/>
      <c r="S116" s="55"/>
      <c r="T116" s="55"/>
      <c r="U116" s="55"/>
      <c r="V116" s="55"/>
      <c r="W116" s="55"/>
      <c r="X116" s="55"/>
      <c r="Y116" s="55"/>
      <c r="Z116" s="55"/>
    </row>
    <row r="117" spans="1:26">
      <c r="A117" s="1350" t="s">
        <v>187</v>
      </c>
      <c r="B117" s="1350" t="s">
        <v>184</v>
      </c>
      <c r="C117" s="1422"/>
      <c r="D117" s="52" t="s">
        <v>103</v>
      </c>
      <c r="E117" s="53">
        <v>600</v>
      </c>
      <c r="F117" s="53" t="e">
        <f t="shared" si="0"/>
        <v>#VALUE!</v>
      </c>
      <c r="G117" s="54">
        <v>2</v>
      </c>
      <c r="H117" s="53">
        <f t="shared" si="1"/>
        <v>1200</v>
      </c>
      <c r="I117" s="55"/>
      <c r="J117" s="52"/>
      <c r="K117" s="56">
        <f t="shared" si="17"/>
        <v>0</v>
      </c>
      <c r="L117" s="55"/>
      <c r="M117" s="55"/>
      <c r="N117" s="55"/>
      <c r="O117" s="55"/>
      <c r="P117" s="55"/>
      <c r="Q117" s="55"/>
      <c r="R117" s="55"/>
      <c r="S117" s="55"/>
      <c r="T117" s="55"/>
      <c r="U117" s="55"/>
      <c r="V117" s="55"/>
      <c r="W117" s="55"/>
      <c r="X117" s="55"/>
      <c r="Y117" s="55"/>
      <c r="Z117" s="55"/>
    </row>
    <row r="118" spans="1:26">
      <c r="A118" s="1350" t="s">
        <v>188</v>
      </c>
      <c r="B118" s="1350" t="s">
        <v>101</v>
      </c>
      <c r="C118" s="1422"/>
      <c r="D118" s="52" t="s">
        <v>189</v>
      </c>
      <c r="E118" s="53">
        <v>15750</v>
      </c>
      <c r="F118" s="53" t="e">
        <f t="shared" si="0"/>
        <v>#VALUE!</v>
      </c>
      <c r="G118" s="54">
        <v>70</v>
      </c>
      <c r="H118" s="53">
        <f t="shared" si="1"/>
        <v>1102500</v>
      </c>
      <c r="I118" s="55"/>
      <c r="J118" s="52"/>
      <c r="K118" s="56">
        <f t="shared" si="17"/>
        <v>0</v>
      </c>
      <c r="L118" s="55"/>
      <c r="M118" s="55"/>
      <c r="N118" s="55"/>
      <c r="O118" s="55"/>
      <c r="P118" s="55"/>
      <c r="Q118" s="55"/>
      <c r="R118" s="55"/>
      <c r="S118" s="55"/>
      <c r="T118" s="55"/>
      <c r="U118" s="55"/>
      <c r="V118" s="55"/>
      <c r="W118" s="55"/>
      <c r="X118" s="55"/>
      <c r="Y118" s="55"/>
      <c r="Z118" s="55"/>
    </row>
    <row r="119" spans="1:26">
      <c r="A119" s="1350" t="s">
        <v>190</v>
      </c>
      <c r="B119" s="1350" t="s">
        <v>101</v>
      </c>
      <c r="C119" s="1422"/>
      <c r="D119" s="52" t="s">
        <v>103</v>
      </c>
      <c r="E119" s="53">
        <v>195</v>
      </c>
      <c r="F119" s="53" t="e">
        <f t="shared" si="0"/>
        <v>#VALUE!</v>
      </c>
      <c r="G119" s="54">
        <v>1</v>
      </c>
      <c r="H119" s="53">
        <f t="shared" si="1"/>
        <v>195</v>
      </c>
      <c r="I119" s="55"/>
      <c r="J119" s="52"/>
      <c r="K119" s="56">
        <f t="shared" si="17"/>
        <v>0</v>
      </c>
      <c r="L119" s="55"/>
      <c r="M119" s="55"/>
      <c r="N119" s="55"/>
      <c r="O119" s="55"/>
      <c r="P119" s="55"/>
      <c r="Q119" s="55"/>
      <c r="R119" s="55"/>
      <c r="S119" s="55"/>
      <c r="T119" s="55"/>
      <c r="U119" s="55"/>
      <c r="V119" s="55"/>
      <c r="W119" s="55"/>
      <c r="X119" s="55"/>
      <c r="Y119" s="55"/>
      <c r="Z119" s="55"/>
    </row>
    <row r="120" spans="1:26">
      <c r="A120" s="1350" t="s">
        <v>191</v>
      </c>
      <c r="B120" s="1350" t="s">
        <v>101</v>
      </c>
      <c r="C120" s="1422"/>
      <c r="D120" s="52" t="s">
        <v>103</v>
      </c>
      <c r="E120" s="53">
        <v>105</v>
      </c>
      <c r="F120" s="53" t="e">
        <f t="shared" si="0"/>
        <v>#VALUE!</v>
      </c>
      <c r="G120" s="54">
        <v>2</v>
      </c>
      <c r="H120" s="53">
        <f t="shared" si="1"/>
        <v>210</v>
      </c>
      <c r="I120" s="55"/>
      <c r="J120" s="52"/>
      <c r="K120" s="56">
        <f t="shared" si="17"/>
        <v>0</v>
      </c>
      <c r="L120" s="55"/>
      <c r="M120" s="55"/>
      <c r="N120" s="55"/>
      <c r="O120" s="55"/>
      <c r="P120" s="55"/>
      <c r="Q120" s="55"/>
      <c r="R120" s="55"/>
      <c r="S120" s="55"/>
      <c r="T120" s="55"/>
      <c r="U120" s="55"/>
      <c r="V120" s="55"/>
      <c r="W120" s="55"/>
      <c r="X120" s="55"/>
      <c r="Y120" s="55"/>
      <c r="Z120" s="55"/>
    </row>
    <row r="121" spans="1:26">
      <c r="A121" s="1350" t="s">
        <v>192</v>
      </c>
      <c r="B121" s="1350" t="s">
        <v>101</v>
      </c>
      <c r="C121" s="1422"/>
      <c r="D121" s="52" t="s">
        <v>118</v>
      </c>
      <c r="E121" s="53">
        <v>2970</v>
      </c>
      <c r="F121" s="53" t="e">
        <f t="shared" si="0"/>
        <v>#VALUE!</v>
      </c>
      <c r="G121" s="54">
        <v>4</v>
      </c>
      <c r="H121" s="53">
        <f t="shared" si="1"/>
        <v>11880</v>
      </c>
      <c r="I121" s="55"/>
      <c r="J121" s="52"/>
      <c r="K121" s="56">
        <f t="shared" si="17"/>
        <v>0</v>
      </c>
      <c r="L121" s="55"/>
      <c r="M121" s="55"/>
      <c r="N121" s="55"/>
      <c r="O121" s="55"/>
      <c r="P121" s="55"/>
      <c r="Q121" s="55"/>
      <c r="R121" s="55"/>
      <c r="S121" s="55"/>
      <c r="T121" s="55"/>
      <c r="U121" s="55"/>
      <c r="V121" s="55"/>
      <c r="W121" s="55"/>
      <c r="X121" s="55"/>
      <c r="Y121" s="55"/>
      <c r="Z121" s="55"/>
    </row>
    <row r="122" spans="1:26">
      <c r="A122" s="1350" t="s">
        <v>193</v>
      </c>
      <c r="B122" s="1350" t="s">
        <v>174</v>
      </c>
      <c r="C122" s="1422"/>
      <c r="D122" s="52" t="s">
        <v>118</v>
      </c>
      <c r="E122" s="53">
        <v>67500</v>
      </c>
      <c r="F122" s="53" t="e">
        <f t="shared" si="0"/>
        <v>#VALUE!</v>
      </c>
      <c r="G122" s="54">
        <v>20</v>
      </c>
      <c r="H122" s="53">
        <f t="shared" si="1"/>
        <v>1350000</v>
      </c>
      <c r="I122" s="55"/>
      <c r="J122" s="52"/>
      <c r="K122" s="56">
        <f t="shared" si="17"/>
        <v>0</v>
      </c>
      <c r="L122" s="55"/>
      <c r="M122" s="55"/>
      <c r="N122" s="55"/>
      <c r="O122" s="55"/>
      <c r="P122" s="55"/>
      <c r="Q122" s="55"/>
      <c r="R122" s="55"/>
      <c r="S122" s="55"/>
      <c r="T122" s="55"/>
      <c r="U122" s="55"/>
      <c r="V122" s="55"/>
      <c r="W122" s="55"/>
      <c r="X122" s="55"/>
      <c r="Y122" s="55"/>
      <c r="Z122" s="55"/>
    </row>
    <row r="123" spans="1:26">
      <c r="A123" s="1352"/>
      <c r="B123" s="1354" t="s">
        <v>179</v>
      </c>
      <c r="C123" s="1423"/>
      <c r="D123" s="52"/>
      <c r="E123" s="53"/>
      <c r="F123" s="53" t="e">
        <f t="shared" si="0"/>
        <v>#VALUE!</v>
      </c>
      <c r="G123" s="54">
        <v>20</v>
      </c>
      <c r="H123" s="53">
        <f t="shared" si="1"/>
        <v>0</v>
      </c>
      <c r="I123" s="55"/>
      <c r="J123" s="52"/>
      <c r="K123" s="56" t="str">
        <f t="shared" si="17"/>
        <v/>
      </c>
      <c r="L123" s="55"/>
      <c r="M123" s="55"/>
      <c r="N123" s="55"/>
      <c r="O123" s="55"/>
      <c r="P123" s="55"/>
      <c r="Q123" s="55"/>
      <c r="R123" s="55"/>
      <c r="S123" s="55"/>
      <c r="T123" s="55"/>
      <c r="U123" s="55"/>
      <c r="V123" s="55"/>
      <c r="W123" s="55"/>
      <c r="X123" s="55"/>
      <c r="Y123" s="55"/>
      <c r="Z123" s="55"/>
    </row>
    <row r="124" spans="1:26">
      <c r="A124" s="1352"/>
      <c r="B124" s="1354" t="s">
        <v>194</v>
      </c>
      <c r="C124" s="1423"/>
      <c r="D124" s="52"/>
      <c r="E124" s="53"/>
      <c r="F124" s="53" t="e">
        <f t="shared" si="0"/>
        <v>#VALUE!</v>
      </c>
      <c r="G124" s="54">
        <v>10</v>
      </c>
      <c r="H124" s="53">
        <f t="shared" si="1"/>
        <v>0</v>
      </c>
      <c r="I124" s="55"/>
      <c r="J124" s="52"/>
      <c r="K124" s="56" t="str">
        <f t="shared" si="17"/>
        <v/>
      </c>
      <c r="L124" s="55"/>
      <c r="M124" s="55"/>
      <c r="N124" s="55"/>
      <c r="O124" s="55"/>
      <c r="P124" s="55"/>
      <c r="Q124" s="55"/>
      <c r="R124" s="55"/>
      <c r="S124" s="55"/>
      <c r="T124" s="55"/>
      <c r="U124" s="55"/>
      <c r="V124" s="55"/>
      <c r="W124" s="55"/>
      <c r="X124" s="55"/>
      <c r="Y124" s="55"/>
      <c r="Z124" s="55"/>
    </row>
    <row r="125" spans="1:26">
      <c r="A125" s="1350" t="s">
        <v>195</v>
      </c>
      <c r="B125" s="1350" t="s">
        <v>112</v>
      </c>
      <c r="C125" s="1422"/>
      <c r="D125" s="52" t="s">
        <v>103</v>
      </c>
      <c r="E125" s="53">
        <v>22500</v>
      </c>
      <c r="F125" s="53" t="e">
        <f t="shared" si="0"/>
        <v>#VALUE!</v>
      </c>
      <c r="G125" s="54">
        <v>8</v>
      </c>
      <c r="H125" s="53">
        <f t="shared" si="1"/>
        <v>180000</v>
      </c>
      <c r="I125" s="55"/>
      <c r="J125" s="52"/>
      <c r="K125" s="56">
        <f t="shared" si="17"/>
        <v>0</v>
      </c>
      <c r="L125" s="55"/>
      <c r="M125" s="55"/>
      <c r="N125" s="55"/>
      <c r="O125" s="55"/>
      <c r="P125" s="55"/>
      <c r="Q125" s="55"/>
      <c r="R125" s="55"/>
      <c r="S125" s="55"/>
      <c r="T125" s="55"/>
      <c r="U125" s="55"/>
      <c r="V125" s="55"/>
      <c r="W125" s="55"/>
      <c r="X125" s="55"/>
      <c r="Y125" s="55"/>
      <c r="Z125" s="55"/>
    </row>
    <row r="126" spans="1:26">
      <c r="A126" s="1352"/>
      <c r="B126" s="1354" t="s">
        <v>170</v>
      </c>
      <c r="C126" s="1423"/>
      <c r="D126" s="52"/>
      <c r="E126" s="53"/>
      <c r="F126" s="53" t="e">
        <f t="shared" si="0"/>
        <v>#VALUE!</v>
      </c>
      <c r="G126" s="54">
        <v>12</v>
      </c>
      <c r="H126" s="53">
        <f t="shared" si="1"/>
        <v>0</v>
      </c>
      <c r="I126" s="55"/>
      <c r="J126" s="52"/>
      <c r="K126" s="56" t="str">
        <f t="shared" si="17"/>
        <v/>
      </c>
      <c r="L126" s="55"/>
      <c r="M126" s="55"/>
      <c r="N126" s="55"/>
      <c r="O126" s="55"/>
      <c r="P126" s="55"/>
      <c r="Q126" s="55"/>
      <c r="R126" s="55"/>
      <c r="S126" s="55"/>
      <c r="T126" s="55"/>
      <c r="U126" s="55"/>
      <c r="V126" s="55"/>
      <c r="W126" s="55"/>
      <c r="X126" s="55"/>
      <c r="Y126" s="55"/>
      <c r="Z126" s="55"/>
    </row>
    <row r="127" spans="1:26">
      <c r="A127" s="1352"/>
      <c r="B127" s="1354" t="s">
        <v>196</v>
      </c>
      <c r="C127" s="1423"/>
      <c r="D127" s="52"/>
      <c r="E127" s="53"/>
      <c r="F127" s="53" t="e">
        <f t="shared" si="0"/>
        <v>#VALUE!</v>
      </c>
      <c r="G127" s="54">
        <v>24</v>
      </c>
      <c r="H127" s="53">
        <f t="shared" si="1"/>
        <v>0</v>
      </c>
      <c r="I127" s="55"/>
      <c r="J127" s="52"/>
      <c r="K127" s="56" t="str">
        <f t="shared" si="17"/>
        <v/>
      </c>
      <c r="L127" s="55"/>
      <c r="M127" s="55"/>
      <c r="N127" s="55"/>
      <c r="O127" s="55"/>
      <c r="P127" s="55"/>
      <c r="Q127" s="55"/>
      <c r="R127" s="55"/>
      <c r="S127" s="55"/>
      <c r="T127" s="55"/>
      <c r="U127" s="55"/>
      <c r="V127" s="55"/>
      <c r="W127" s="55"/>
      <c r="X127" s="55"/>
      <c r="Y127" s="55"/>
      <c r="Z127" s="55"/>
    </row>
    <row r="128" spans="1:26">
      <c r="A128" s="1352"/>
      <c r="B128" s="1354" t="s">
        <v>197</v>
      </c>
      <c r="C128" s="1423"/>
      <c r="D128" s="52"/>
      <c r="E128" s="53"/>
      <c r="F128" s="53" t="e">
        <f t="shared" si="0"/>
        <v>#VALUE!</v>
      </c>
      <c r="G128" s="54">
        <v>50</v>
      </c>
      <c r="H128" s="53">
        <f t="shared" si="1"/>
        <v>0</v>
      </c>
      <c r="I128" s="55"/>
      <c r="J128" s="52"/>
      <c r="K128" s="56" t="str">
        <f t="shared" si="17"/>
        <v/>
      </c>
      <c r="L128" s="55"/>
      <c r="M128" s="55"/>
      <c r="N128" s="55"/>
      <c r="O128" s="55"/>
      <c r="P128" s="55"/>
      <c r="Q128" s="55"/>
      <c r="R128" s="55"/>
      <c r="S128" s="55"/>
      <c r="T128" s="55"/>
      <c r="U128" s="55"/>
      <c r="V128" s="55"/>
      <c r="W128" s="55"/>
      <c r="X128" s="55"/>
      <c r="Y128" s="55"/>
      <c r="Z128" s="55"/>
    </row>
    <row r="129" spans="1:26">
      <c r="A129" s="1352"/>
      <c r="B129" s="1354" t="s">
        <v>173</v>
      </c>
      <c r="C129" s="1423"/>
      <c r="D129" s="52"/>
      <c r="E129" s="53"/>
      <c r="F129" s="53" t="e">
        <f t="shared" si="0"/>
        <v>#VALUE!</v>
      </c>
      <c r="G129" s="54">
        <v>8</v>
      </c>
      <c r="H129" s="53">
        <f t="shared" si="1"/>
        <v>0</v>
      </c>
      <c r="I129" s="55"/>
      <c r="J129" s="52"/>
      <c r="K129" s="56" t="str">
        <f t="shared" si="17"/>
        <v/>
      </c>
      <c r="L129" s="55"/>
      <c r="M129" s="55"/>
      <c r="N129" s="55"/>
      <c r="O129" s="55"/>
      <c r="P129" s="55"/>
      <c r="Q129" s="55"/>
      <c r="R129" s="55"/>
      <c r="S129" s="55"/>
      <c r="T129" s="55"/>
      <c r="U129" s="55"/>
      <c r="V129" s="55"/>
      <c r="W129" s="55"/>
      <c r="X129" s="55"/>
      <c r="Y129" s="55"/>
      <c r="Z129" s="55"/>
    </row>
    <row r="130" spans="1:26">
      <c r="A130" s="1352"/>
      <c r="B130" s="1354" t="s">
        <v>134</v>
      </c>
      <c r="C130" s="1423"/>
      <c r="D130" s="52"/>
      <c r="E130" s="53"/>
      <c r="F130" s="53" t="e">
        <f t="shared" si="0"/>
        <v>#VALUE!</v>
      </c>
      <c r="G130" s="54">
        <v>1</v>
      </c>
      <c r="H130" s="53">
        <f t="shared" si="1"/>
        <v>0</v>
      </c>
      <c r="I130" s="55"/>
      <c r="J130" s="52"/>
      <c r="K130" s="56" t="str">
        <f t="shared" si="17"/>
        <v/>
      </c>
      <c r="L130" s="55"/>
      <c r="M130" s="55"/>
      <c r="N130" s="55"/>
      <c r="O130" s="55"/>
      <c r="P130" s="55"/>
      <c r="Q130" s="55"/>
      <c r="R130" s="55"/>
      <c r="S130" s="55"/>
      <c r="T130" s="55"/>
      <c r="U130" s="55"/>
      <c r="V130" s="55"/>
      <c r="W130" s="55"/>
      <c r="X130" s="55"/>
      <c r="Y130" s="55"/>
      <c r="Z130" s="55"/>
    </row>
    <row r="131" spans="1:26">
      <c r="A131" s="1352"/>
      <c r="B131" s="1354" t="s">
        <v>198</v>
      </c>
      <c r="C131" s="1423"/>
      <c r="D131" s="52"/>
      <c r="E131" s="53"/>
      <c r="F131" s="53" t="e">
        <f t="shared" si="0"/>
        <v>#VALUE!</v>
      </c>
      <c r="G131" s="54">
        <v>2</v>
      </c>
      <c r="H131" s="53">
        <f t="shared" si="1"/>
        <v>0</v>
      </c>
      <c r="I131" s="55"/>
      <c r="J131" s="52"/>
      <c r="K131" s="56" t="str">
        <f t="shared" si="17"/>
        <v/>
      </c>
      <c r="L131" s="55"/>
      <c r="M131" s="55"/>
      <c r="N131" s="55"/>
      <c r="O131" s="55"/>
      <c r="P131" s="55"/>
      <c r="Q131" s="55"/>
      <c r="R131" s="55"/>
      <c r="S131" s="55"/>
      <c r="T131" s="55"/>
      <c r="U131" s="55"/>
      <c r="V131" s="55"/>
      <c r="W131" s="55"/>
      <c r="X131" s="55"/>
      <c r="Y131" s="55"/>
      <c r="Z131" s="55"/>
    </row>
    <row r="132" spans="1:26">
      <c r="A132" s="1352"/>
      <c r="B132" s="1354" t="s">
        <v>123</v>
      </c>
      <c r="C132" s="1423"/>
      <c r="D132" s="52"/>
      <c r="E132" s="53"/>
      <c r="F132" s="53" t="e">
        <f t="shared" si="0"/>
        <v>#VALUE!</v>
      </c>
      <c r="G132" s="54">
        <v>30</v>
      </c>
      <c r="H132" s="53">
        <f t="shared" si="1"/>
        <v>0</v>
      </c>
      <c r="I132" s="55"/>
      <c r="J132" s="52"/>
      <c r="K132" s="56" t="str">
        <f t="shared" si="17"/>
        <v/>
      </c>
      <c r="L132" s="55"/>
      <c r="M132" s="55"/>
      <c r="N132" s="55"/>
      <c r="O132" s="55"/>
      <c r="P132" s="55"/>
      <c r="Q132" s="55"/>
      <c r="R132" s="55"/>
      <c r="S132" s="55"/>
      <c r="T132" s="55"/>
      <c r="U132" s="55"/>
      <c r="V132" s="55"/>
      <c r="W132" s="55"/>
      <c r="X132" s="55"/>
      <c r="Y132" s="55"/>
      <c r="Z132" s="55"/>
    </row>
    <row r="133" spans="1:26">
      <c r="A133" s="1352"/>
      <c r="B133" s="1354" t="s">
        <v>124</v>
      </c>
      <c r="C133" s="1423"/>
      <c r="D133" s="52"/>
      <c r="E133" s="53"/>
      <c r="F133" s="53" t="e">
        <f t="shared" si="0"/>
        <v>#VALUE!</v>
      </c>
      <c r="G133" s="54">
        <v>4</v>
      </c>
      <c r="H133" s="53">
        <f t="shared" si="1"/>
        <v>0</v>
      </c>
      <c r="I133" s="55"/>
      <c r="J133" s="52"/>
      <c r="K133" s="56" t="str">
        <f t="shared" si="17"/>
        <v/>
      </c>
      <c r="L133" s="55"/>
      <c r="M133" s="55"/>
      <c r="N133" s="55"/>
      <c r="O133" s="55"/>
      <c r="P133" s="55"/>
      <c r="Q133" s="55"/>
      <c r="R133" s="55"/>
      <c r="S133" s="55"/>
      <c r="T133" s="55"/>
      <c r="U133" s="55"/>
      <c r="V133" s="55"/>
      <c r="W133" s="55"/>
      <c r="X133" s="55"/>
      <c r="Y133" s="55"/>
      <c r="Z133" s="55"/>
    </row>
    <row r="134" spans="1:26">
      <c r="A134" s="1352"/>
      <c r="B134" s="1354" t="s">
        <v>125</v>
      </c>
      <c r="C134" s="1423"/>
      <c r="D134" s="52"/>
      <c r="E134" s="53"/>
      <c r="F134" s="53" t="e">
        <f t="shared" si="0"/>
        <v>#VALUE!</v>
      </c>
      <c r="G134" s="54">
        <v>20</v>
      </c>
      <c r="H134" s="53">
        <f t="shared" si="1"/>
        <v>0</v>
      </c>
      <c r="I134" s="55"/>
      <c r="J134" s="52"/>
      <c r="K134" s="56" t="str">
        <f t="shared" si="17"/>
        <v/>
      </c>
      <c r="L134" s="55"/>
      <c r="M134" s="55"/>
      <c r="N134" s="55"/>
      <c r="O134" s="55"/>
      <c r="P134" s="55"/>
      <c r="Q134" s="55"/>
      <c r="R134" s="55"/>
      <c r="S134" s="55"/>
      <c r="T134" s="55"/>
      <c r="U134" s="55"/>
      <c r="V134" s="55"/>
      <c r="W134" s="55"/>
      <c r="X134" s="55"/>
      <c r="Y134" s="55"/>
      <c r="Z134" s="55"/>
    </row>
    <row r="135" spans="1:26">
      <c r="A135" s="1352"/>
      <c r="B135" s="1354" t="s">
        <v>126</v>
      </c>
      <c r="C135" s="1423"/>
      <c r="D135" s="52"/>
      <c r="E135" s="53"/>
      <c r="F135" s="53" t="e">
        <f t="shared" si="0"/>
        <v>#VALUE!</v>
      </c>
      <c r="G135" s="54">
        <v>50</v>
      </c>
      <c r="H135" s="53">
        <f t="shared" si="1"/>
        <v>0</v>
      </c>
      <c r="I135" s="55"/>
      <c r="J135" s="52"/>
      <c r="K135" s="56" t="str">
        <f t="shared" si="17"/>
        <v/>
      </c>
      <c r="L135" s="55"/>
      <c r="M135" s="55"/>
      <c r="N135" s="55"/>
      <c r="O135" s="55"/>
      <c r="P135" s="55"/>
      <c r="Q135" s="55"/>
      <c r="R135" s="55"/>
      <c r="S135" s="55"/>
      <c r="T135" s="55"/>
      <c r="U135" s="55"/>
      <c r="V135" s="55"/>
      <c r="W135" s="55"/>
      <c r="X135" s="55"/>
      <c r="Y135" s="55"/>
      <c r="Z135" s="55"/>
    </row>
    <row r="136" spans="1:26">
      <c r="A136" s="1352"/>
      <c r="B136" s="1354" t="s">
        <v>127</v>
      </c>
      <c r="C136" s="1423"/>
      <c r="D136" s="52"/>
      <c r="E136" s="53"/>
      <c r="F136" s="53" t="e">
        <f t="shared" si="0"/>
        <v>#VALUE!</v>
      </c>
      <c r="G136" s="54">
        <v>50</v>
      </c>
      <c r="H136" s="53">
        <f t="shared" si="1"/>
        <v>0</v>
      </c>
      <c r="I136" s="55"/>
      <c r="J136" s="52"/>
      <c r="K136" s="56" t="str">
        <f t="shared" si="17"/>
        <v/>
      </c>
      <c r="L136" s="55"/>
      <c r="M136" s="55"/>
      <c r="N136" s="55"/>
      <c r="O136" s="55"/>
      <c r="P136" s="55"/>
      <c r="Q136" s="55"/>
      <c r="R136" s="55"/>
      <c r="S136" s="55"/>
      <c r="T136" s="55"/>
      <c r="U136" s="55"/>
      <c r="V136" s="55"/>
      <c r="W136" s="55"/>
      <c r="X136" s="55"/>
      <c r="Y136" s="55"/>
      <c r="Z136" s="55"/>
    </row>
    <row r="137" spans="1:26">
      <c r="A137" s="1352"/>
      <c r="B137" s="1354" t="s">
        <v>128</v>
      </c>
      <c r="C137" s="1423"/>
      <c r="D137" s="52"/>
      <c r="E137" s="53"/>
      <c r="F137" s="53" t="e">
        <f t="shared" si="0"/>
        <v>#VALUE!</v>
      </c>
      <c r="G137" s="54">
        <v>40</v>
      </c>
      <c r="H137" s="53">
        <f t="shared" si="1"/>
        <v>0</v>
      </c>
      <c r="I137" s="55"/>
      <c r="J137" s="52"/>
      <c r="K137" s="56" t="str">
        <f t="shared" si="17"/>
        <v/>
      </c>
      <c r="L137" s="55"/>
      <c r="M137" s="55"/>
      <c r="N137" s="55"/>
      <c r="O137" s="55"/>
      <c r="P137" s="55"/>
      <c r="Q137" s="55"/>
      <c r="R137" s="55"/>
      <c r="S137" s="55"/>
      <c r="T137" s="55"/>
      <c r="U137" s="55"/>
      <c r="V137" s="55"/>
      <c r="W137" s="55"/>
      <c r="X137" s="55"/>
      <c r="Y137" s="55"/>
      <c r="Z137" s="55"/>
    </row>
    <row r="138" spans="1:26">
      <c r="A138" s="1352"/>
      <c r="B138" s="1354" t="s">
        <v>129</v>
      </c>
      <c r="C138" s="1423"/>
      <c r="D138" s="52"/>
      <c r="E138" s="53"/>
      <c r="F138" s="53" t="e">
        <f t="shared" si="0"/>
        <v>#VALUE!</v>
      </c>
      <c r="G138" s="54">
        <v>40</v>
      </c>
      <c r="H138" s="53">
        <f t="shared" si="1"/>
        <v>0</v>
      </c>
      <c r="I138" s="55"/>
      <c r="J138" s="52"/>
      <c r="K138" s="56" t="str">
        <f t="shared" si="17"/>
        <v/>
      </c>
      <c r="L138" s="55"/>
      <c r="M138" s="55"/>
      <c r="N138" s="55"/>
      <c r="O138" s="55"/>
      <c r="P138" s="55"/>
      <c r="Q138" s="55"/>
      <c r="R138" s="55"/>
      <c r="S138" s="55"/>
      <c r="T138" s="55"/>
      <c r="U138" s="55"/>
      <c r="V138" s="55"/>
      <c r="W138" s="55"/>
      <c r="X138" s="55"/>
      <c r="Y138" s="55"/>
      <c r="Z138" s="55"/>
    </row>
    <row r="139" spans="1:26">
      <c r="A139" s="1352"/>
      <c r="B139" s="1354" t="s">
        <v>181</v>
      </c>
      <c r="C139" s="1423"/>
      <c r="D139" s="52"/>
      <c r="E139" s="53"/>
      <c r="F139" s="53" t="e">
        <f t="shared" si="0"/>
        <v>#VALUE!</v>
      </c>
      <c r="G139" s="54">
        <v>30</v>
      </c>
      <c r="H139" s="53">
        <f t="shared" si="1"/>
        <v>0</v>
      </c>
      <c r="I139" s="55"/>
      <c r="J139" s="52"/>
      <c r="K139" s="56" t="str">
        <f t="shared" si="17"/>
        <v/>
      </c>
      <c r="L139" s="55"/>
      <c r="M139" s="55"/>
      <c r="N139" s="55"/>
      <c r="O139" s="55"/>
      <c r="P139" s="55"/>
      <c r="Q139" s="55"/>
      <c r="R139" s="55"/>
      <c r="S139" s="55"/>
      <c r="T139" s="55"/>
      <c r="U139" s="55"/>
      <c r="V139" s="55"/>
      <c r="W139" s="55"/>
      <c r="X139" s="55"/>
      <c r="Y139" s="55"/>
      <c r="Z139" s="55"/>
    </row>
    <row r="140" spans="1:26">
      <c r="A140" s="1352"/>
      <c r="B140" s="1354" t="s">
        <v>130</v>
      </c>
      <c r="C140" s="1423"/>
      <c r="D140" s="52"/>
      <c r="E140" s="53"/>
      <c r="F140" s="53" t="e">
        <f t="shared" si="0"/>
        <v>#VALUE!</v>
      </c>
      <c r="G140" s="54">
        <v>30</v>
      </c>
      <c r="H140" s="53">
        <f t="shared" si="1"/>
        <v>0</v>
      </c>
      <c r="I140" s="55"/>
      <c r="J140" s="52"/>
      <c r="K140" s="56" t="str">
        <f t="shared" si="17"/>
        <v/>
      </c>
      <c r="L140" s="55"/>
      <c r="M140" s="55"/>
      <c r="N140" s="55"/>
      <c r="O140" s="55"/>
      <c r="P140" s="55"/>
      <c r="Q140" s="55"/>
      <c r="R140" s="55"/>
      <c r="S140" s="55"/>
      <c r="T140" s="55"/>
      <c r="U140" s="55"/>
      <c r="V140" s="55"/>
      <c r="W140" s="55"/>
      <c r="X140" s="55"/>
      <c r="Y140" s="55"/>
      <c r="Z140" s="55"/>
    </row>
    <row r="141" spans="1:26">
      <c r="A141" s="1350" t="s">
        <v>199</v>
      </c>
      <c r="B141" s="1350" t="s">
        <v>137</v>
      </c>
      <c r="C141" s="1422"/>
      <c r="D141" s="52" t="s">
        <v>103</v>
      </c>
      <c r="E141" s="53">
        <v>435</v>
      </c>
      <c r="F141" s="53" t="e">
        <f t="shared" si="0"/>
        <v>#VALUE!</v>
      </c>
      <c r="G141" s="54">
        <v>10</v>
      </c>
      <c r="H141" s="53">
        <f t="shared" si="1"/>
        <v>4350</v>
      </c>
      <c r="I141" s="55"/>
      <c r="J141" s="52"/>
      <c r="K141" s="56">
        <f t="shared" si="17"/>
        <v>0</v>
      </c>
      <c r="L141" s="55"/>
      <c r="M141" s="55"/>
      <c r="N141" s="55"/>
      <c r="O141" s="55"/>
      <c r="P141" s="55"/>
      <c r="Q141" s="55"/>
      <c r="R141" s="55"/>
      <c r="S141" s="55"/>
      <c r="T141" s="55"/>
      <c r="U141" s="55"/>
      <c r="V141" s="55"/>
      <c r="W141" s="55"/>
      <c r="X141" s="55"/>
      <c r="Y141" s="55"/>
      <c r="Z141" s="55"/>
    </row>
    <row r="142" spans="1:26">
      <c r="A142" s="1352"/>
      <c r="B142" s="1354" t="s">
        <v>112</v>
      </c>
      <c r="C142" s="1423"/>
      <c r="D142" s="52"/>
      <c r="E142" s="53"/>
      <c r="F142" s="53" t="e">
        <f t="shared" si="0"/>
        <v>#VALUE!</v>
      </c>
      <c r="G142" s="54">
        <v>10</v>
      </c>
      <c r="H142" s="53">
        <f t="shared" si="1"/>
        <v>0</v>
      </c>
      <c r="I142" s="55"/>
      <c r="J142" s="52"/>
      <c r="K142" s="56" t="str">
        <f t="shared" si="17"/>
        <v/>
      </c>
      <c r="L142" s="55"/>
      <c r="M142" s="55"/>
      <c r="N142" s="55"/>
      <c r="O142" s="55"/>
      <c r="P142" s="55"/>
      <c r="Q142" s="55"/>
      <c r="R142" s="55"/>
      <c r="S142" s="55"/>
      <c r="T142" s="55"/>
      <c r="U142" s="55"/>
      <c r="V142" s="55"/>
      <c r="W142" s="55"/>
      <c r="X142" s="55"/>
      <c r="Y142" s="55"/>
      <c r="Z142" s="55"/>
    </row>
    <row r="143" spans="1:26">
      <c r="A143" s="1352"/>
      <c r="B143" s="1354" t="s">
        <v>200</v>
      </c>
      <c r="C143" s="1423"/>
      <c r="D143" s="52"/>
      <c r="E143" s="53"/>
      <c r="F143" s="53" t="e">
        <f t="shared" si="0"/>
        <v>#VALUE!</v>
      </c>
      <c r="G143" s="54">
        <v>10</v>
      </c>
      <c r="H143" s="53">
        <f t="shared" si="1"/>
        <v>0</v>
      </c>
      <c r="I143" s="55"/>
      <c r="J143" s="52"/>
      <c r="K143" s="56" t="str">
        <f t="shared" si="17"/>
        <v/>
      </c>
      <c r="L143" s="55"/>
      <c r="M143" s="55"/>
      <c r="N143" s="55"/>
      <c r="O143" s="55"/>
      <c r="P143" s="55"/>
      <c r="Q143" s="55"/>
      <c r="R143" s="55"/>
      <c r="S143" s="55"/>
      <c r="T143" s="55"/>
      <c r="U143" s="55"/>
      <c r="V143" s="55"/>
      <c r="W143" s="55"/>
      <c r="X143" s="55"/>
      <c r="Y143" s="55"/>
      <c r="Z143" s="55"/>
    </row>
    <row r="144" spans="1:26">
      <c r="A144" s="1352"/>
      <c r="B144" s="1354" t="s">
        <v>201</v>
      </c>
      <c r="C144" s="1423"/>
      <c r="D144" s="52"/>
      <c r="E144" s="53"/>
      <c r="F144" s="53" t="e">
        <f t="shared" si="0"/>
        <v>#VALUE!</v>
      </c>
      <c r="G144" s="54">
        <v>30</v>
      </c>
      <c r="H144" s="53">
        <f t="shared" si="1"/>
        <v>0</v>
      </c>
      <c r="I144" s="55"/>
      <c r="J144" s="52"/>
      <c r="K144" s="56" t="str">
        <f t="shared" si="17"/>
        <v/>
      </c>
      <c r="L144" s="55"/>
      <c r="M144" s="55"/>
      <c r="N144" s="55"/>
      <c r="O144" s="55"/>
      <c r="P144" s="55"/>
      <c r="Q144" s="55"/>
      <c r="R144" s="55"/>
      <c r="S144" s="55"/>
      <c r="T144" s="55"/>
      <c r="U144" s="55"/>
      <c r="V144" s="55"/>
      <c r="W144" s="55"/>
      <c r="X144" s="55"/>
      <c r="Y144" s="55"/>
      <c r="Z144" s="55"/>
    </row>
    <row r="145" spans="1:26">
      <c r="A145" s="1352"/>
      <c r="B145" s="1354" t="s">
        <v>107</v>
      </c>
      <c r="C145" s="1423"/>
      <c r="D145" s="52"/>
      <c r="E145" s="53"/>
      <c r="F145" s="53" t="e">
        <f t="shared" si="0"/>
        <v>#VALUE!</v>
      </c>
      <c r="G145" s="54">
        <v>20</v>
      </c>
      <c r="H145" s="53">
        <f t="shared" si="1"/>
        <v>0</v>
      </c>
      <c r="I145" s="55"/>
      <c r="J145" s="52"/>
      <c r="K145" s="56" t="str">
        <f t="shared" si="17"/>
        <v/>
      </c>
      <c r="L145" s="55"/>
      <c r="M145" s="55"/>
      <c r="N145" s="55"/>
      <c r="O145" s="55"/>
      <c r="P145" s="55"/>
      <c r="Q145" s="55"/>
      <c r="R145" s="55"/>
      <c r="S145" s="55"/>
      <c r="T145" s="55"/>
      <c r="U145" s="55"/>
      <c r="V145" s="55"/>
      <c r="W145" s="55"/>
      <c r="X145" s="55"/>
      <c r="Y145" s="55"/>
      <c r="Z145" s="55"/>
    </row>
    <row r="146" spans="1:26">
      <c r="A146" s="1352"/>
      <c r="B146" s="1354" t="s">
        <v>196</v>
      </c>
      <c r="C146" s="1423"/>
      <c r="D146" s="52"/>
      <c r="E146" s="53"/>
      <c r="F146" s="53" t="e">
        <f t="shared" si="0"/>
        <v>#VALUE!</v>
      </c>
      <c r="G146" s="54">
        <v>11</v>
      </c>
      <c r="H146" s="53">
        <f t="shared" si="1"/>
        <v>0</v>
      </c>
      <c r="I146" s="55"/>
      <c r="J146" s="52"/>
      <c r="K146" s="56" t="str">
        <f t="shared" si="17"/>
        <v/>
      </c>
      <c r="L146" s="55"/>
      <c r="M146" s="55"/>
      <c r="N146" s="55"/>
      <c r="O146" s="55"/>
      <c r="P146" s="55"/>
      <c r="Q146" s="55"/>
      <c r="R146" s="55"/>
      <c r="S146" s="55"/>
      <c r="T146" s="55"/>
      <c r="U146" s="55"/>
      <c r="V146" s="55"/>
      <c r="W146" s="55"/>
      <c r="X146" s="55"/>
      <c r="Y146" s="55"/>
      <c r="Z146" s="55"/>
    </row>
    <row r="147" spans="1:26">
      <c r="A147" s="1352"/>
      <c r="B147" s="1354" t="s">
        <v>197</v>
      </c>
      <c r="C147" s="1423"/>
      <c r="D147" s="52"/>
      <c r="E147" s="53"/>
      <c r="F147" s="68" t="e">
        <f>SUM(F3:F146)</f>
        <v>#VALUE!</v>
      </c>
      <c r="G147" s="69" t="s">
        <v>202</v>
      </c>
      <c r="H147" s="70">
        <f>SUM(H2:H146)</f>
        <v>18061092.5</v>
      </c>
      <c r="I147" s="55"/>
      <c r="J147" s="52"/>
      <c r="K147" s="56" t="str">
        <f t="shared" si="17"/>
        <v/>
      </c>
      <c r="L147" s="55"/>
      <c r="M147" s="55"/>
      <c r="N147" s="55"/>
      <c r="O147" s="55"/>
      <c r="P147" s="55"/>
      <c r="Q147" s="55"/>
      <c r="R147" s="55"/>
      <c r="S147" s="55"/>
      <c r="T147" s="55"/>
      <c r="U147" s="55"/>
      <c r="V147" s="55"/>
      <c r="W147" s="55"/>
      <c r="X147" s="55"/>
      <c r="Y147" s="55"/>
      <c r="Z147" s="55"/>
    </row>
    <row r="148" spans="1:26" ht="15">
      <c r="A148" s="1352"/>
      <c r="B148" s="1354" t="s">
        <v>203</v>
      </c>
      <c r="C148" s="1423"/>
      <c r="D148" s="52"/>
      <c r="E148" s="53"/>
      <c r="F148" s="53"/>
      <c r="G148" s="65"/>
      <c r="H148" s="53"/>
      <c r="I148" s="55"/>
      <c r="J148" s="52">
        <v>4</v>
      </c>
      <c r="K148" s="56" t="str">
        <f t="shared" si="17"/>
        <v/>
      </c>
      <c r="L148" s="55"/>
      <c r="M148" s="55"/>
      <c r="N148" s="55"/>
      <c r="O148" s="55"/>
      <c r="P148" s="55"/>
      <c r="Q148" s="55"/>
      <c r="R148" s="55"/>
      <c r="S148" s="55"/>
      <c r="T148" s="55"/>
      <c r="U148" s="55"/>
      <c r="V148" s="55"/>
      <c r="W148" s="55"/>
      <c r="X148" s="55"/>
      <c r="Y148" s="55"/>
      <c r="Z148" s="55"/>
    </row>
    <row r="149" spans="1:26" ht="15">
      <c r="A149" s="1352"/>
      <c r="B149" s="1354" t="s">
        <v>116</v>
      </c>
      <c r="C149" s="1423"/>
      <c r="D149" s="52"/>
      <c r="E149" s="53"/>
      <c r="F149" s="53"/>
      <c r="G149" s="65"/>
      <c r="H149" s="53"/>
      <c r="I149" s="55"/>
      <c r="J149" s="52"/>
      <c r="K149" s="56" t="str">
        <f t="shared" si="17"/>
        <v/>
      </c>
      <c r="L149" s="55"/>
      <c r="M149" s="55"/>
      <c r="N149" s="55"/>
      <c r="O149" s="55"/>
      <c r="P149" s="55"/>
      <c r="Q149" s="55"/>
      <c r="R149" s="55"/>
      <c r="S149" s="55"/>
      <c r="T149" s="55"/>
      <c r="U149" s="55"/>
      <c r="V149" s="55"/>
      <c r="W149" s="55"/>
      <c r="X149" s="55"/>
      <c r="Y149" s="55"/>
      <c r="Z149" s="55"/>
    </row>
    <row r="150" spans="1:26" ht="15">
      <c r="A150" s="1352"/>
      <c r="B150" s="1354" t="s">
        <v>204</v>
      </c>
      <c r="C150" s="1423"/>
      <c r="D150" s="52"/>
      <c r="E150" s="53"/>
      <c r="F150" s="53"/>
      <c r="G150" s="65"/>
      <c r="H150" s="53"/>
      <c r="I150" s="55"/>
      <c r="J150" s="52"/>
      <c r="K150" s="56" t="str">
        <f t="shared" si="17"/>
        <v/>
      </c>
      <c r="L150" s="55"/>
      <c r="M150" s="55"/>
      <c r="N150" s="55"/>
      <c r="O150" s="55"/>
      <c r="P150" s="55"/>
      <c r="Q150" s="55"/>
      <c r="R150" s="55"/>
      <c r="S150" s="55"/>
      <c r="T150" s="55"/>
      <c r="U150" s="55"/>
      <c r="V150" s="55"/>
      <c r="W150" s="55"/>
      <c r="X150" s="55"/>
      <c r="Y150" s="55"/>
      <c r="Z150" s="55"/>
    </row>
    <row r="151" spans="1:26" ht="15">
      <c r="A151" s="1352"/>
      <c r="B151" s="1354" t="s">
        <v>205</v>
      </c>
      <c r="C151" s="1423"/>
      <c r="D151" s="52"/>
      <c r="E151" s="53"/>
      <c r="F151" s="53"/>
      <c r="G151" s="65"/>
      <c r="H151" s="53"/>
      <c r="I151" s="55"/>
      <c r="J151" s="52"/>
      <c r="K151" s="56" t="str">
        <f t="shared" si="17"/>
        <v/>
      </c>
      <c r="L151" s="55"/>
      <c r="M151" s="55"/>
      <c r="N151" s="55"/>
      <c r="O151" s="55"/>
      <c r="P151" s="55"/>
      <c r="Q151" s="55"/>
      <c r="R151" s="55"/>
      <c r="S151" s="55"/>
      <c r="T151" s="55"/>
      <c r="U151" s="55"/>
      <c r="V151" s="55"/>
      <c r="W151" s="55"/>
      <c r="X151" s="55"/>
      <c r="Y151" s="55"/>
      <c r="Z151" s="55"/>
    </row>
    <row r="152" spans="1:26" ht="15">
      <c r="A152" s="1352"/>
      <c r="B152" s="1354" t="s">
        <v>206</v>
      </c>
      <c r="C152" s="1423"/>
      <c r="D152" s="52"/>
      <c r="E152" s="53"/>
      <c r="F152" s="53"/>
      <c r="G152" s="65"/>
      <c r="H152" s="53"/>
      <c r="I152" s="55"/>
      <c r="J152" s="52"/>
      <c r="K152" s="56" t="str">
        <f t="shared" si="17"/>
        <v/>
      </c>
      <c r="L152" s="55"/>
      <c r="M152" s="55"/>
      <c r="N152" s="55"/>
      <c r="O152" s="55"/>
      <c r="P152" s="55"/>
      <c r="Q152" s="55"/>
      <c r="R152" s="55"/>
      <c r="S152" s="55"/>
      <c r="T152" s="55"/>
      <c r="U152" s="55"/>
      <c r="V152" s="55"/>
      <c r="W152" s="55"/>
      <c r="X152" s="55"/>
      <c r="Y152" s="55"/>
      <c r="Z152" s="55"/>
    </row>
    <row r="153" spans="1:26" ht="15">
      <c r="A153" s="1352"/>
      <c r="B153" s="1354" t="s">
        <v>121</v>
      </c>
      <c r="C153" s="1423"/>
      <c r="D153" s="52"/>
      <c r="E153" s="53"/>
      <c r="F153" s="53"/>
      <c r="G153" s="65"/>
      <c r="H153" s="53"/>
      <c r="I153" s="55"/>
      <c r="J153" s="52"/>
      <c r="K153" s="56" t="str">
        <f t="shared" si="17"/>
        <v/>
      </c>
      <c r="L153" s="55"/>
      <c r="M153" s="55"/>
      <c r="N153" s="55"/>
      <c r="O153" s="55"/>
      <c r="P153" s="55"/>
      <c r="Q153" s="55"/>
      <c r="R153" s="55"/>
      <c r="S153" s="55"/>
      <c r="T153" s="55"/>
      <c r="U153" s="55"/>
      <c r="V153" s="55"/>
      <c r="W153" s="55"/>
      <c r="X153" s="55"/>
      <c r="Y153" s="55"/>
      <c r="Z153" s="55"/>
    </row>
    <row r="154" spans="1:26" ht="15">
      <c r="A154" s="1352"/>
      <c r="B154" s="1354" t="s">
        <v>122</v>
      </c>
      <c r="C154" s="1423"/>
      <c r="D154" s="52"/>
      <c r="E154" s="53"/>
      <c r="F154" s="53"/>
      <c r="G154" s="65"/>
      <c r="H154" s="53"/>
      <c r="I154" s="55"/>
      <c r="J154" s="52"/>
      <c r="K154" s="56" t="str">
        <f t="shared" si="17"/>
        <v/>
      </c>
      <c r="L154" s="55"/>
      <c r="M154" s="55"/>
      <c r="N154" s="55"/>
      <c r="O154" s="55"/>
      <c r="P154" s="55"/>
      <c r="Q154" s="55"/>
      <c r="R154" s="55"/>
      <c r="S154" s="55"/>
      <c r="T154" s="55"/>
      <c r="U154" s="55"/>
      <c r="V154" s="55"/>
      <c r="W154" s="55"/>
      <c r="X154" s="55"/>
      <c r="Y154" s="55"/>
      <c r="Z154" s="55"/>
    </row>
    <row r="155" spans="1:26" ht="15">
      <c r="A155" s="1352"/>
      <c r="B155" s="1354" t="s">
        <v>207</v>
      </c>
      <c r="C155" s="1423"/>
      <c r="D155" s="52"/>
      <c r="E155" s="53"/>
      <c r="F155" s="53"/>
      <c r="G155" s="65"/>
      <c r="H155" s="53"/>
      <c r="I155" s="55"/>
      <c r="J155" s="52"/>
      <c r="K155" s="56" t="str">
        <f t="shared" si="17"/>
        <v/>
      </c>
      <c r="L155" s="55"/>
      <c r="M155" s="55"/>
      <c r="N155" s="55"/>
      <c r="O155" s="55"/>
      <c r="P155" s="55"/>
      <c r="Q155" s="55"/>
      <c r="R155" s="55"/>
      <c r="S155" s="55"/>
      <c r="T155" s="55"/>
      <c r="U155" s="55"/>
      <c r="V155" s="55"/>
      <c r="W155" s="55"/>
      <c r="X155" s="55"/>
      <c r="Y155" s="55"/>
      <c r="Z155" s="55"/>
    </row>
    <row r="156" spans="1:26" ht="15">
      <c r="A156" s="1352"/>
      <c r="B156" s="1354" t="s">
        <v>176</v>
      </c>
      <c r="C156" s="1423"/>
      <c r="D156" s="52"/>
      <c r="E156" s="53"/>
      <c r="F156" s="53"/>
      <c r="G156" s="65"/>
      <c r="H156" s="53"/>
      <c r="I156" s="55"/>
      <c r="J156" s="52"/>
      <c r="K156" s="56" t="str">
        <f t="shared" si="17"/>
        <v/>
      </c>
      <c r="L156" s="55"/>
      <c r="M156" s="55"/>
      <c r="N156" s="55"/>
      <c r="O156" s="55"/>
      <c r="P156" s="55"/>
      <c r="Q156" s="55"/>
      <c r="R156" s="55"/>
      <c r="S156" s="55"/>
      <c r="T156" s="55"/>
      <c r="U156" s="55"/>
      <c r="V156" s="55"/>
      <c r="W156" s="55"/>
      <c r="X156" s="55"/>
      <c r="Y156" s="55"/>
      <c r="Z156" s="55"/>
    </row>
    <row r="157" spans="1:26" ht="15">
      <c r="A157" s="1352"/>
      <c r="B157" s="1354" t="s">
        <v>140</v>
      </c>
      <c r="C157" s="1423"/>
      <c r="D157" s="52"/>
      <c r="E157" s="53"/>
      <c r="F157" s="53"/>
      <c r="G157" s="65"/>
      <c r="H157" s="53"/>
      <c r="I157" s="55"/>
      <c r="J157" s="52"/>
      <c r="K157" s="56" t="str">
        <f t="shared" si="17"/>
        <v/>
      </c>
      <c r="L157" s="55"/>
      <c r="M157" s="55"/>
      <c r="N157" s="55"/>
      <c r="O157" s="55"/>
      <c r="P157" s="55"/>
      <c r="Q157" s="55"/>
      <c r="R157" s="55"/>
      <c r="S157" s="55"/>
      <c r="T157" s="55"/>
      <c r="U157" s="55"/>
      <c r="V157" s="55"/>
      <c r="W157" s="55"/>
      <c r="X157" s="55"/>
      <c r="Y157" s="55"/>
      <c r="Z157" s="55"/>
    </row>
    <row r="158" spans="1:26" ht="15">
      <c r="A158" s="1352"/>
      <c r="B158" s="1354" t="s">
        <v>179</v>
      </c>
      <c r="C158" s="1423"/>
      <c r="D158" s="52"/>
      <c r="E158" s="53"/>
      <c r="F158" s="53"/>
      <c r="G158" s="65"/>
      <c r="H158" s="53"/>
      <c r="I158" s="55"/>
      <c r="J158" s="52"/>
      <c r="K158" s="56" t="str">
        <f t="shared" si="17"/>
        <v/>
      </c>
      <c r="L158" s="55"/>
      <c r="M158" s="55"/>
      <c r="N158" s="55"/>
      <c r="O158" s="55"/>
      <c r="P158" s="55"/>
      <c r="Q158" s="55"/>
      <c r="R158" s="55"/>
      <c r="S158" s="55"/>
      <c r="T158" s="55"/>
      <c r="U158" s="55"/>
      <c r="V158" s="55"/>
      <c r="W158" s="55"/>
      <c r="X158" s="55"/>
      <c r="Y158" s="55"/>
      <c r="Z158" s="55"/>
    </row>
    <row r="159" spans="1:26" ht="15">
      <c r="A159" s="1352"/>
      <c r="B159" s="1354" t="s">
        <v>110</v>
      </c>
      <c r="C159" s="1423"/>
      <c r="D159" s="52"/>
      <c r="E159" s="53"/>
      <c r="F159" s="53"/>
      <c r="G159" s="65"/>
      <c r="H159" s="53"/>
      <c r="I159" s="55"/>
      <c r="J159" s="52"/>
      <c r="K159" s="56" t="str">
        <f t="shared" si="17"/>
        <v/>
      </c>
      <c r="L159" s="55"/>
      <c r="M159" s="55"/>
      <c r="N159" s="55"/>
      <c r="O159" s="55"/>
      <c r="P159" s="55"/>
      <c r="Q159" s="55"/>
      <c r="R159" s="55"/>
      <c r="S159" s="55"/>
      <c r="T159" s="55"/>
      <c r="U159" s="55"/>
      <c r="V159" s="55"/>
      <c r="W159" s="55"/>
      <c r="X159" s="55"/>
      <c r="Y159" s="55"/>
      <c r="Z159" s="55"/>
    </row>
    <row r="160" spans="1:26" ht="15">
      <c r="A160" s="1352"/>
      <c r="B160" s="1354" t="s">
        <v>208</v>
      </c>
      <c r="C160" s="1423"/>
      <c r="D160" s="52"/>
      <c r="E160" s="53"/>
      <c r="F160" s="53"/>
      <c r="G160" s="65"/>
      <c r="H160" s="53"/>
      <c r="I160" s="55"/>
      <c r="J160" s="52"/>
      <c r="K160" s="56" t="str">
        <f t="shared" si="17"/>
        <v/>
      </c>
      <c r="L160" s="55"/>
      <c r="M160" s="55"/>
      <c r="N160" s="55"/>
      <c r="O160" s="55"/>
      <c r="P160" s="55"/>
      <c r="Q160" s="55"/>
      <c r="R160" s="55"/>
      <c r="S160" s="55"/>
      <c r="T160" s="55"/>
      <c r="U160" s="55"/>
      <c r="V160" s="55"/>
      <c r="W160" s="55"/>
      <c r="X160" s="55"/>
      <c r="Y160" s="55"/>
      <c r="Z160" s="55"/>
    </row>
    <row r="161" spans="1:26" ht="15">
      <c r="A161" s="1352"/>
      <c r="B161" s="1354" t="s">
        <v>184</v>
      </c>
      <c r="C161" s="1423"/>
      <c r="D161" s="52"/>
      <c r="E161" s="53"/>
      <c r="F161" s="53"/>
      <c r="G161" s="65"/>
      <c r="H161" s="53"/>
      <c r="I161" s="55"/>
      <c r="J161" s="52"/>
      <c r="K161" s="56" t="str">
        <f t="shared" si="17"/>
        <v/>
      </c>
      <c r="L161" s="55"/>
      <c r="M161" s="55"/>
      <c r="N161" s="55"/>
      <c r="O161" s="55"/>
      <c r="P161" s="55"/>
      <c r="Q161" s="55"/>
      <c r="R161" s="55"/>
      <c r="S161" s="55"/>
      <c r="T161" s="55"/>
      <c r="U161" s="55"/>
      <c r="V161" s="55"/>
      <c r="W161" s="55"/>
      <c r="X161" s="55"/>
      <c r="Y161" s="55"/>
      <c r="Z161" s="55"/>
    </row>
    <row r="162" spans="1:26" ht="15">
      <c r="A162" s="1352"/>
      <c r="B162" s="1354" t="s">
        <v>180</v>
      </c>
      <c r="C162" s="1423"/>
      <c r="D162" s="52"/>
      <c r="E162" s="53"/>
      <c r="F162" s="53"/>
      <c r="G162" s="65"/>
      <c r="H162" s="53"/>
      <c r="I162" s="55"/>
      <c r="J162" s="52">
        <v>8</v>
      </c>
      <c r="K162" s="56" t="str">
        <f t="shared" si="17"/>
        <v/>
      </c>
      <c r="L162" s="55"/>
      <c r="M162" s="55"/>
      <c r="N162" s="55"/>
      <c r="O162" s="55"/>
      <c r="P162" s="55"/>
      <c r="Q162" s="55"/>
      <c r="R162" s="55"/>
      <c r="S162" s="55"/>
      <c r="T162" s="55"/>
      <c r="U162" s="55"/>
      <c r="V162" s="55"/>
      <c r="W162" s="55"/>
      <c r="X162" s="55"/>
      <c r="Y162" s="55"/>
      <c r="Z162" s="55"/>
    </row>
    <row r="163" spans="1:26" ht="15">
      <c r="A163" s="1352"/>
      <c r="B163" s="1354" t="s">
        <v>4744</v>
      </c>
      <c r="C163" s="1423"/>
      <c r="D163" s="52"/>
      <c r="E163" s="53"/>
      <c r="F163" s="53"/>
      <c r="G163" s="65"/>
      <c r="H163" s="53"/>
      <c r="I163" s="55"/>
      <c r="J163" s="52"/>
      <c r="K163" s="56" t="str">
        <f t="shared" si="17"/>
        <v/>
      </c>
      <c r="L163" s="55"/>
      <c r="M163" s="55"/>
      <c r="N163" s="55"/>
      <c r="O163" s="55"/>
      <c r="P163" s="55"/>
      <c r="Q163" s="55"/>
      <c r="R163" s="55"/>
      <c r="S163" s="55"/>
      <c r="T163" s="55"/>
      <c r="U163" s="55"/>
      <c r="V163" s="55"/>
      <c r="W163" s="55"/>
      <c r="X163" s="55"/>
      <c r="Y163" s="55"/>
      <c r="Z163" s="55"/>
    </row>
    <row r="164" spans="1:26" ht="15">
      <c r="A164" s="1350" t="s">
        <v>209</v>
      </c>
      <c r="B164" s="1350" t="s">
        <v>137</v>
      </c>
      <c r="C164" s="1422"/>
      <c r="D164" s="52" t="s">
        <v>103</v>
      </c>
      <c r="E164" s="53">
        <v>435</v>
      </c>
      <c r="F164" s="53"/>
      <c r="G164" s="65"/>
      <c r="H164" s="53"/>
      <c r="I164" s="55"/>
      <c r="J164" s="52"/>
      <c r="K164" s="56">
        <f t="shared" si="17"/>
        <v>0</v>
      </c>
      <c r="L164" s="55"/>
      <c r="M164" s="55"/>
      <c r="N164" s="55"/>
      <c r="O164" s="55"/>
      <c r="P164" s="55"/>
      <c r="Q164" s="55"/>
      <c r="R164" s="55"/>
      <c r="S164" s="55"/>
      <c r="T164" s="55"/>
      <c r="U164" s="55"/>
      <c r="V164" s="55"/>
      <c r="W164" s="55"/>
      <c r="X164" s="55"/>
      <c r="Y164" s="55"/>
      <c r="Z164" s="55"/>
    </row>
    <row r="165" spans="1:26" ht="15">
      <c r="A165" s="1352"/>
      <c r="B165" s="1354" t="s">
        <v>200</v>
      </c>
      <c r="C165" s="1423"/>
      <c r="D165" s="52"/>
      <c r="E165" s="53"/>
      <c r="F165" s="53"/>
      <c r="G165" s="65"/>
      <c r="H165" s="53"/>
      <c r="I165" s="55"/>
      <c r="J165" s="52">
        <v>8</v>
      </c>
      <c r="K165" s="56" t="str">
        <f t="shared" si="17"/>
        <v/>
      </c>
      <c r="L165" s="55"/>
      <c r="M165" s="55"/>
      <c r="N165" s="55"/>
      <c r="O165" s="55"/>
      <c r="P165" s="55"/>
      <c r="Q165" s="55"/>
      <c r="R165" s="55"/>
      <c r="S165" s="55"/>
      <c r="T165" s="55"/>
      <c r="U165" s="55"/>
      <c r="V165" s="55"/>
      <c r="W165" s="55"/>
      <c r="X165" s="55"/>
      <c r="Y165" s="55"/>
      <c r="Z165" s="55"/>
    </row>
    <row r="166" spans="1:26" ht="15">
      <c r="A166" s="1352"/>
      <c r="B166" s="1354" t="s">
        <v>201</v>
      </c>
      <c r="C166" s="1423"/>
      <c r="D166" s="52"/>
      <c r="E166" s="53"/>
      <c r="F166" s="53"/>
      <c r="G166" s="65"/>
      <c r="H166" s="53"/>
      <c r="I166" s="55"/>
      <c r="J166" s="52"/>
      <c r="K166" s="56" t="str">
        <f t="shared" si="17"/>
        <v/>
      </c>
      <c r="L166" s="55"/>
      <c r="M166" s="55"/>
      <c r="N166" s="55"/>
      <c r="O166" s="55"/>
      <c r="P166" s="55"/>
      <c r="Q166" s="55"/>
      <c r="R166" s="55"/>
      <c r="S166" s="55"/>
      <c r="T166" s="55"/>
      <c r="U166" s="55"/>
      <c r="V166" s="55"/>
      <c r="W166" s="55"/>
      <c r="X166" s="55"/>
      <c r="Y166" s="55"/>
      <c r="Z166" s="55"/>
    </row>
    <row r="167" spans="1:26" ht="15">
      <c r="A167" s="1352"/>
      <c r="B167" s="1354" t="s">
        <v>107</v>
      </c>
      <c r="C167" s="1423"/>
      <c r="D167" s="52"/>
      <c r="E167" s="53"/>
      <c r="F167" s="53"/>
      <c r="G167" s="65"/>
      <c r="H167" s="53"/>
      <c r="I167" s="55"/>
      <c r="J167" s="52"/>
      <c r="K167" s="56" t="str">
        <f t="shared" si="17"/>
        <v/>
      </c>
      <c r="L167" s="55"/>
      <c r="M167" s="55"/>
      <c r="N167" s="55"/>
      <c r="O167" s="55"/>
      <c r="P167" s="55"/>
      <c r="Q167" s="55"/>
      <c r="R167" s="55"/>
      <c r="S167" s="55"/>
      <c r="T167" s="55"/>
      <c r="U167" s="55"/>
      <c r="V167" s="55"/>
      <c r="W167" s="55"/>
      <c r="X167" s="55"/>
      <c r="Y167" s="55"/>
      <c r="Z167" s="55"/>
    </row>
    <row r="168" spans="1:26" ht="15">
      <c r="A168" s="1352"/>
      <c r="B168" s="1354" t="s">
        <v>196</v>
      </c>
      <c r="C168" s="1423"/>
      <c r="D168" s="52"/>
      <c r="E168" s="53"/>
      <c r="F168" s="53"/>
      <c r="G168" s="65"/>
      <c r="H168" s="53"/>
      <c r="I168" s="55"/>
      <c r="J168" s="52">
        <v>8</v>
      </c>
      <c r="K168" s="56" t="str">
        <f t="shared" si="17"/>
        <v/>
      </c>
      <c r="L168" s="55"/>
      <c r="M168" s="55"/>
      <c r="N168" s="55"/>
      <c r="O168" s="55"/>
      <c r="P168" s="55"/>
      <c r="Q168" s="55"/>
      <c r="R168" s="55"/>
      <c r="S168" s="55"/>
      <c r="T168" s="55"/>
      <c r="U168" s="55"/>
      <c r="V168" s="55"/>
      <c r="W168" s="55"/>
      <c r="X168" s="55"/>
      <c r="Y168" s="55"/>
      <c r="Z168" s="55"/>
    </row>
    <row r="169" spans="1:26" ht="15">
      <c r="A169" s="1352"/>
      <c r="B169" s="1354" t="s">
        <v>197</v>
      </c>
      <c r="C169" s="1423"/>
      <c r="D169" s="52"/>
      <c r="E169" s="53"/>
      <c r="F169" s="53"/>
      <c r="G169" s="65"/>
      <c r="H169" s="53"/>
      <c r="I169" s="55"/>
      <c r="J169" s="52"/>
      <c r="K169" s="56" t="str">
        <f t="shared" si="17"/>
        <v/>
      </c>
      <c r="L169" s="55"/>
      <c r="M169" s="55"/>
      <c r="N169" s="55"/>
      <c r="O169" s="55"/>
      <c r="P169" s="55"/>
      <c r="Q169" s="55"/>
      <c r="R169" s="55"/>
      <c r="S169" s="55"/>
      <c r="T169" s="55"/>
      <c r="U169" s="55"/>
      <c r="V169" s="55"/>
      <c r="W169" s="55"/>
      <c r="X169" s="55"/>
      <c r="Y169" s="55"/>
      <c r="Z169" s="55"/>
    </row>
    <row r="170" spans="1:26" ht="15">
      <c r="A170" s="1352"/>
      <c r="B170" s="1354" t="s">
        <v>203</v>
      </c>
      <c r="C170" s="1423"/>
      <c r="D170" s="52"/>
      <c r="E170" s="53"/>
      <c r="F170" s="53"/>
      <c r="G170" s="65"/>
      <c r="H170" s="53"/>
      <c r="I170" s="55"/>
      <c r="J170" s="52"/>
      <c r="K170" s="56" t="str">
        <f t="shared" si="17"/>
        <v/>
      </c>
      <c r="L170" s="55"/>
      <c r="M170" s="55"/>
      <c r="N170" s="55"/>
      <c r="O170" s="55"/>
      <c r="P170" s="55"/>
      <c r="Q170" s="55"/>
      <c r="R170" s="55"/>
      <c r="S170" s="55"/>
      <c r="T170" s="55"/>
      <c r="U170" s="55"/>
      <c r="V170" s="55"/>
      <c r="W170" s="55"/>
      <c r="X170" s="55"/>
      <c r="Y170" s="55"/>
      <c r="Z170" s="55"/>
    </row>
    <row r="171" spans="1:26" ht="15">
      <c r="A171" s="1352"/>
      <c r="B171" s="1354" t="s">
        <v>116</v>
      </c>
      <c r="C171" s="1423"/>
      <c r="D171" s="52"/>
      <c r="E171" s="53"/>
      <c r="F171" s="53"/>
      <c r="G171" s="65"/>
      <c r="H171" s="53"/>
      <c r="I171" s="55"/>
      <c r="J171" s="52">
        <v>8</v>
      </c>
      <c r="K171" s="56" t="str">
        <f t="shared" si="17"/>
        <v/>
      </c>
      <c r="L171" s="55"/>
      <c r="M171" s="55"/>
      <c r="N171" s="55"/>
      <c r="O171" s="55"/>
      <c r="P171" s="55"/>
      <c r="Q171" s="55"/>
      <c r="R171" s="55"/>
      <c r="S171" s="55"/>
      <c r="T171" s="55"/>
      <c r="U171" s="55"/>
      <c r="V171" s="55"/>
      <c r="W171" s="55"/>
      <c r="X171" s="55"/>
      <c r="Y171" s="55"/>
      <c r="Z171" s="55"/>
    </row>
    <row r="172" spans="1:26" ht="15">
      <c r="A172" s="1352"/>
      <c r="B172" s="1354" t="s">
        <v>204</v>
      </c>
      <c r="C172" s="1423"/>
      <c r="D172" s="52"/>
      <c r="E172" s="53"/>
      <c r="F172" s="53"/>
      <c r="G172" s="65"/>
      <c r="H172" s="53"/>
      <c r="I172" s="55"/>
      <c r="J172" s="52"/>
      <c r="K172" s="56" t="str">
        <f t="shared" si="17"/>
        <v/>
      </c>
      <c r="L172" s="55"/>
      <c r="M172" s="55"/>
      <c r="N172" s="55"/>
      <c r="O172" s="55"/>
      <c r="P172" s="55"/>
      <c r="Q172" s="55"/>
      <c r="R172" s="55"/>
      <c r="S172" s="55"/>
      <c r="T172" s="55"/>
      <c r="U172" s="55"/>
      <c r="V172" s="55"/>
      <c r="W172" s="55"/>
      <c r="X172" s="55"/>
      <c r="Y172" s="55"/>
      <c r="Z172" s="55"/>
    </row>
    <row r="173" spans="1:26" ht="15">
      <c r="A173" s="1352"/>
      <c r="B173" s="1354" t="s">
        <v>205</v>
      </c>
      <c r="C173" s="1423"/>
      <c r="D173" s="52"/>
      <c r="E173" s="53"/>
      <c r="F173" s="53"/>
      <c r="G173" s="65"/>
      <c r="H173" s="53"/>
      <c r="I173" s="55"/>
      <c r="J173" s="52"/>
      <c r="K173" s="56" t="str">
        <f t="shared" si="17"/>
        <v/>
      </c>
      <c r="L173" s="55"/>
      <c r="M173" s="55"/>
      <c r="N173" s="55"/>
      <c r="O173" s="55"/>
      <c r="P173" s="55"/>
      <c r="Q173" s="55"/>
      <c r="R173" s="55"/>
      <c r="S173" s="55"/>
      <c r="T173" s="55"/>
      <c r="U173" s="55"/>
      <c r="V173" s="55"/>
      <c r="W173" s="55"/>
      <c r="X173" s="55"/>
      <c r="Y173" s="55"/>
      <c r="Z173" s="55"/>
    </row>
    <row r="174" spans="1:26" ht="15">
      <c r="A174" s="1352"/>
      <c r="B174" s="1354" t="s">
        <v>206</v>
      </c>
      <c r="C174" s="1423"/>
      <c r="D174" s="52"/>
      <c r="E174" s="53"/>
      <c r="F174" s="53"/>
      <c r="G174" s="65"/>
      <c r="H174" s="53"/>
      <c r="I174" s="55"/>
      <c r="J174" s="52">
        <v>3</v>
      </c>
      <c r="K174" s="56" t="str">
        <f t="shared" si="17"/>
        <v/>
      </c>
      <c r="L174" s="55"/>
      <c r="M174" s="55"/>
      <c r="N174" s="55"/>
      <c r="O174" s="55"/>
      <c r="P174" s="55"/>
      <c r="Q174" s="55"/>
      <c r="R174" s="55"/>
      <c r="S174" s="55"/>
      <c r="T174" s="55"/>
      <c r="U174" s="55"/>
      <c r="V174" s="55"/>
      <c r="W174" s="55"/>
      <c r="X174" s="55"/>
      <c r="Y174" s="55"/>
      <c r="Z174" s="55"/>
    </row>
    <row r="175" spans="1:26" ht="15">
      <c r="A175" s="1352"/>
      <c r="B175" s="1354" t="s">
        <v>121</v>
      </c>
      <c r="C175" s="1423"/>
      <c r="D175" s="52"/>
      <c r="E175" s="53"/>
      <c r="F175" s="53"/>
      <c r="G175" s="65"/>
      <c r="H175" s="53"/>
      <c r="I175" s="55"/>
      <c r="J175" s="52"/>
      <c r="K175" s="56" t="str">
        <f t="shared" si="17"/>
        <v/>
      </c>
      <c r="L175" s="55"/>
      <c r="M175" s="55"/>
      <c r="N175" s="55"/>
      <c r="O175" s="55"/>
      <c r="P175" s="55"/>
      <c r="Q175" s="55"/>
      <c r="R175" s="55"/>
      <c r="S175" s="55"/>
      <c r="T175" s="55"/>
      <c r="U175" s="55"/>
      <c r="V175" s="55"/>
      <c r="W175" s="55"/>
      <c r="X175" s="55"/>
      <c r="Y175" s="55"/>
      <c r="Z175" s="55"/>
    </row>
    <row r="176" spans="1:26" ht="15">
      <c r="A176" s="1352"/>
      <c r="B176" s="1354" t="s">
        <v>122</v>
      </c>
      <c r="C176" s="1423"/>
      <c r="D176" s="52"/>
      <c r="E176" s="53"/>
      <c r="F176" s="53"/>
      <c r="G176" s="65"/>
      <c r="H176" s="53"/>
      <c r="I176" s="55"/>
      <c r="J176" s="52">
        <v>1</v>
      </c>
      <c r="K176" s="56" t="str">
        <f t="shared" si="17"/>
        <v/>
      </c>
      <c r="L176" s="55"/>
      <c r="M176" s="55"/>
      <c r="N176" s="55"/>
      <c r="O176" s="55"/>
      <c r="P176" s="55"/>
      <c r="Q176" s="55"/>
      <c r="R176" s="55"/>
      <c r="S176" s="55"/>
      <c r="T176" s="55"/>
      <c r="U176" s="55"/>
      <c r="V176" s="55"/>
      <c r="W176" s="55"/>
      <c r="X176" s="55"/>
      <c r="Y176" s="55"/>
      <c r="Z176" s="55"/>
    </row>
    <row r="177" spans="1:26" ht="15">
      <c r="A177" s="1352"/>
      <c r="B177" s="1354" t="s">
        <v>207</v>
      </c>
      <c r="C177" s="1423"/>
      <c r="D177" s="52"/>
      <c r="E177" s="53"/>
      <c r="F177" s="53"/>
      <c r="G177" s="65"/>
      <c r="H177" s="53"/>
      <c r="I177" s="55"/>
      <c r="J177" s="52">
        <v>1</v>
      </c>
      <c r="K177" s="56" t="str">
        <f t="shared" si="17"/>
        <v/>
      </c>
      <c r="L177" s="55"/>
      <c r="M177" s="55"/>
      <c r="N177" s="55"/>
      <c r="O177" s="55"/>
      <c r="P177" s="55"/>
      <c r="Q177" s="55"/>
      <c r="R177" s="55"/>
      <c r="S177" s="55"/>
      <c r="T177" s="55"/>
      <c r="U177" s="55"/>
      <c r="V177" s="55"/>
      <c r="W177" s="55"/>
      <c r="X177" s="55"/>
      <c r="Y177" s="55"/>
      <c r="Z177" s="55"/>
    </row>
    <row r="178" spans="1:26" ht="15">
      <c r="A178" s="1352"/>
      <c r="B178" s="1354" t="s">
        <v>176</v>
      </c>
      <c r="C178" s="1423"/>
      <c r="D178" s="52"/>
      <c r="E178" s="53"/>
      <c r="F178" s="53"/>
      <c r="G178" s="65"/>
      <c r="H178" s="53"/>
      <c r="I178" s="55"/>
      <c r="J178" s="52"/>
      <c r="K178" s="56" t="str">
        <f t="shared" si="17"/>
        <v/>
      </c>
      <c r="L178" s="55"/>
      <c r="M178" s="55"/>
      <c r="N178" s="55"/>
      <c r="O178" s="55"/>
      <c r="P178" s="55"/>
      <c r="Q178" s="55"/>
      <c r="R178" s="55"/>
      <c r="S178" s="55"/>
      <c r="T178" s="55"/>
      <c r="U178" s="55"/>
      <c r="V178" s="55"/>
      <c r="W178" s="55"/>
      <c r="X178" s="55"/>
      <c r="Y178" s="55"/>
      <c r="Z178" s="55"/>
    </row>
    <row r="179" spans="1:26" ht="15">
      <c r="A179" s="1352"/>
      <c r="B179" s="1354" t="s">
        <v>140</v>
      </c>
      <c r="C179" s="1423"/>
      <c r="D179" s="52"/>
      <c r="E179" s="53"/>
      <c r="F179" s="53"/>
      <c r="G179" s="65"/>
      <c r="H179" s="53"/>
      <c r="I179" s="55"/>
      <c r="J179" s="52">
        <v>8</v>
      </c>
      <c r="K179" s="56" t="str">
        <f t="shared" si="17"/>
        <v/>
      </c>
      <c r="L179" s="55"/>
      <c r="M179" s="55"/>
      <c r="N179" s="55"/>
      <c r="O179" s="55"/>
      <c r="P179" s="55"/>
      <c r="Q179" s="55"/>
      <c r="R179" s="55"/>
      <c r="S179" s="55"/>
      <c r="T179" s="55"/>
      <c r="U179" s="55"/>
      <c r="V179" s="55"/>
      <c r="W179" s="55"/>
      <c r="X179" s="55"/>
      <c r="Y179" s="55"/>
      <c r="Z179" s="55"/>
    </row>
    <row r="180" spans="1:26" ht="15">
      <c r="A180" s="1352"/>
      <c r="B180" s="1354" t="s">
        <v>179</v>
      </c>
      <c r="C180" s="1423"/>
      <c r="D180" s="52"/>
      <c r="E180" s="53"/>
      <c r="F180" s="53"/>
      <c r="G180" s="65"/>
      <c r="H180" s="53"/>
      <c r="I180" s="55"/>
      <c r="J180" s="52">
        <v>4</v>
      </c>
      <c r="K180" s="56" t="str">
        <f t="shared" si="17"/>
        <v/>
      </c>
      <c r="L180" s="55"/>
      <c r="M180" s="55"/>
      <c r="N180" s="55"/>
      <c r="O180" s="55"/>
      <c r="P180" s="55"/>
      <c r="Q180" s="55"/>
      <c r="R180" s="55"/>
      <c r="S180" s="55"/>
      <c r="T180" s="55"/>
      <c r="U180" s="55"/>
      <c r="V180" s="55"/>
      <c r="W180" s="55"/>
      <c r="X180" s="55"/>
      <c r="Y180" s="55"/>
      <c r="Z180" s="55"/>
    </row>
    <row r="181" spans="1:26" ht="15">
      <c r="A181" s="1352"/>
      <c r="B181" s="1354" t="s">
        <v>110</v>
      </c>
      <c r="C181" s="1423"/>
      <c r="D181" s="52"/>
      <c r="E181" s="53"/>
      <c r="F181" s="53"/>
      <c r="G181" s="65"/>
      <c r="H181" s="53"/>
      <c r="I181" s="55"/>
      <c r="J181" s="52">
        <v>4</v>
      </c>
      <c r="K181" s="56" t="str">
        <f t="shared" si="17"/>
        <v/>
      </c>
      <c r="L181" s="55"/>
      <c r="M181" s="55"/>
      <c r="N181" s="55"/>
      <c r="O181" s="55"/>
      <c r="P181" s="55"/>
      <c r="Q181" s="55"/>
      <c r="R181" s="55"/>
      <c r="S181" s="55"/>
      <c r="T181" s="55"/>
      <c r="U181" s="55"/>
      <c r="V181" s="55"/>
      <c r="W181" s="55"/>
      <c r="X181" s="55"/>
      <c r="Y181" s="55"/>
      <c r="Z181" s="55"/>
    </row>
    <row r="182" spans="1:26" ht="15">
      <c r="A182" s="1352"/>
      <c r="B182" s="1354" t="s">
        <v>208</v>
      </c>
      <c r="C182" s="1423"/>
      <c r="D182" s="52"/>
      <c r="E182" s="53"/>
      <c r="F182" s="53"/>
      <c r="G182" s="65"/>
      <c r="H182" s="53"/>
      <c r="I182" s="55"/>
      <c r="J182" s="52">
        <v>4</v>
      </c>
      <c r="K182" s="56" t="str">
        <f t="shared" si="17"/>
        <v/>
      </c>
      <c r="L182" s="55"/>
      <c r="M182" s="55"/>
      <c r="N182" s="55"/>
      <c r="O182" s="55"/>
      <c r="P182" s="55"/>
      <c r="Q182" s="55"/>
      <c r="R182" s="55"/>
      <c r="S182" s="55"/>
      <c r="T182" s="55"/>
      <c r="U182" s="55"/>
      <c r="V182" s="55"/>
      <c r="W182" s="55"/>
      <c r="X182" s="55"/>
      <c r="Y182" s="55"/>
      <c r="Z182" s="55"/>
    </row>
    <row r="183" spans="1:26" ht="15">
      <c r="A183" s="1352"/>
      <c r="B183" s="1354" t="s">
        <v>184</v>
      </c>
      <c r="C183" s="1423"/>
      <c r="D183" s="52"/>
      <c r="E183" s="53"/>
      <c r="F183" s="53"/>
      <c r="G183" s="65"/>
      <c r="H183" s="53"/>
      <c r="I183" s="55"/>
      <c r="J183" s="52">
        <v>2</v>
      </c>
      <c r="K183" s="56" t="str">
        <f t="shared" si="17"/>
        <v/>
      </c>
      <c r="L183" s="55"/>
      <c r="M183" s="55"/>
      <c r="N183" s="55"/>
      <c r="O183" s="55"/>
      <c r="P183" s="55"/>
      <c r="Q183" s="55"/>
      <c r="R183" s="55"/>
      <c r="S183" s="55"/>
      <c r="T183" s="55"/>
      <c r="U183" s="55"/>
      <c r="V183" s="55"/>
      <c r="W183" s="55"/>
      <c r="X183" s="55"/>
      <c r="Y183" s="55"/>
      <c r="Z183" s="55"/>
    </row>
    <row r="184" spans="1:26" ht="12.75" hidden="1">
      <c r="A184" s="1352"/>
      <c r="B184" s="1354" t="s">
        <v>180</v>
      </c>
      <c r="C184" s="1423"/>
      <c r="D184" s="59"/>
      <c r="E184" s="8"/>
      <c r="F184" s="60"/>
      <c r="G184" s="71"/>
      <c r="H184" s="60"/>
      <c r="I184" s="8"/>
      <c r="J184" s="66">
        <v>0</v>
      </c>
      <c r="K184" s="67">
        <f>J184*E184</f>
        <v>0</v>
      </c>
    </row>
    <row r="185" spans="1:26" ht="15">
      <c r="A185" s="1352"/>
      <c r="B185" s="1354" t="s">
        <v>4744</v>
      </c>
      <c r="C185" s="1423"/>
      <c r="D185" s="52"/>
      <c r="E185" s="53"/>
      <c r="F185" s="53"/>
      <c r="G185" s="65"/>
      <c r="H185" s="53"/>
      <c r="I185" s="55"/>
      <c r="J185" s="52">
        <v>10</v>
      </c>
      <c r="K185" s="56" t="str">
        <f t="shared" ref="K185:K186" si="18">IF(E185="","",(J185*E185))</f>
        <v/>
      </c>
      <c r="L185" s="55"/>
      <c r="M185" s="55"/>
      <c r="N185" s="55"/>
      <c r="O185" s="55"/>
      <c r="P185" s="55"/>
      <c r="Q185" s="55"/>
      <c r="R185" s="55"/>
      <c r="S185" s="55"/>
      <c r="T185" s="55"/>
      <c r="U185" s="55"/>
      <c r="V185" s="55"/>
      <c r="W185" s="55"/>
      <c r="X185" s="55"/>
      <c r="Y185" s="55"/>
      <c r="Z185" s="55"/>
    </row>
    <row r="186" spans="1:26" ht="15">
      <c r="A186" s="1350" t="s">
        <v>210</v>
      </c>
      <c r="B186" s="1350" t="s">
        <v>137</v>
      </c>
      <c r="C186" s="1422"/>
      <c r="D186" s="52" t="s">
        <v>103</v>
      </c>
      <c r="E186" s="53">
        <v>435</v>
      </c>
      <c r="F186" s="53"/>
      <c r="G186" s="65"/>
      <c r="H186" s="53"/>
      <c r="I186" s="55"/>
      <c r="J186" s="52">
        <v>10</v>
      </c>
      <c r="K186" s="56">
        <f t="shared" si="18"/>
        <v>4350</v>
      </c>
      <c r="L186" s="55"/>
      <c r="M186" s="55"/>
      <c r="N186" s="55"/>
      <c r="O186" s="55"/>
      <c r="P186" s="55"/>
      <c r="Q186" s="55"/>
      <c r="R186" s="55"/>
      <c r="S186" s="55"/>
      <c r="T186" s="55"/>
      <c r="U186" s="55"/>
      <c r="V186" s="55"/>
      <c r="W186" s="55"/>
      <c r="X186" s="55"/>
      <c r="Y186" s="55"/>
      <c r="Z186" s="55"/>
    </row>
    <row r="187" spans="1:26" ht="12.75" hidden="1">
      <c r="A187" s="1352"/>
      <c r="B187" s="1354" t="s">
        <v>200</v>
      </c>
      <c r="C187" s="1423"/>
      <c r="D187" s="59"/>
      <c r="E187" s="8"/>
      <c r="F187" s="60"/>
      <c r="G187" s="71"/>
      <c r="H187" s="60"/>
      <c r="I187" s="8"/>
      <c r="J187" s="66">
        <v>0</v>
      </c>
      <c r="K187" s="67">
        <f>J187*E187</f>
        <v>0</v>
      </c>
    </row>
    <row r="188" spans="1:26" ht="15">
      <c r="A188" s="1352"/>
      <c r="B188" s="1354" t="s">
        <v>201</v>
      </c>
      <c r="C188" s="1423"/>
      <c r="D188" s="52"/>
      <c r="E188" s="53"/>
      <c r="F188" s="53"/>
      <c r="G188" s="65"/>
      <c r="H188" s="53"/>
      <c r="I188" s="55"/>
      <c r="J188" s="52">
        <v>2</v>
      </c>
      <c r="K188" s="56" t="str">
        <f t="shared" ref="K188:K223" si="19">IF(E188="","",(J188*E188))</f>
        <v/>
      </c>
      <c r="L188" s="55"/>
      <c r="M188" s="55"/>
      <c r="N188" s="55"/>
      <c r="O188" s="55"/>
      <c r="P188" s="55"/>
      <c r="Q188" s="55"/>
      <c r="R188" s="55"/>
      <c r="S188" s="55"/>
      <c r="T188" s="55"/>
      <c r="U188" s="55"/>
      <c r="V188" s="55"/>
      <c r="W188" s="55"/>
      <c r="X188" s="55"/>
      <c r="Y188" s="55"/>
      <c r="Z188" s="55"/>
    </row>
    <row r="189" spans="1:26" ht="15">
      <c r="A189" s="1352"/>
      <c r="B189" s="1354" t="s">
        <v>107</v>
      </c>
      <c r="C189" s="1423"/>
      <c r="D189" s="52"/>
      <c r="E189" s="53"/>
      <c r="F189" s="53"/>
      <c r="G189" s="65"/>
      <c r="H189" s="53"/>
      <c r="I189" s="55"/>
      <c r="J189" s="52"/>
      <c r="K189" s="56" t="str">
        <f t="shared" si="19"/>
        <v/>
      </c>
      <c r="L189" s="55"/>
      <c r="M189" s="55"/>
      <c r="N189" s="55"/>
      <c r="O189" s="55"/>
      <c r="P189" s="55"/>
      <c r="Q189" s="55"/>
      <c r="R189" s="55"/>
      <c r="S189" s="55"/>
      <c r="T189" s="55"/>
      <c r="U189" s="55"/>
      <c r="V189" s="55"/>
      <c r="W189" s="55"/>
      <c r="X189" s="55"/>
      <c r="Y189" s="55"/>
      <c r="Z189" s="55"/>
    </row>
    <row r="190" spans="1:26" ht="15">
      <c r="A190" s="1352"/>
      <c r="B190" s="1354" t="s">
        <v>196</v>
      </c>
      <c r="C190" s="1423"/>
      <c r="D190" s="52"/>
      <c r="E190" s="53"/>
      <c r="F190" s="53"/>
      <c r="G190" s="65"/>
      <c r="H190" s="53"/>
      <c r="I190" s="55"/>
      <c r="J190" s="52">
        <v>10</v>
      </c>
      <c r="K190" s="56" t="str">
        <f t="shared" si="19"/>
        <v/>
      </c>
      <c r="L190" s="55"/>
      <c r="M190" s="55"/>
      <c r="N190" s="55"/>
      <c r="O190" s="55"/>
      <c r="P190" s="55"/>
      <c r="Q190" s="55"/>
      <c r="R190" s="55"/>
      <c r="S190" s="55"/>
      <c r="T190" s="55"/>
      <c r="U190" s="55"/>
      <c r="V190" s="55"/>
      <c r="W190" s="55"/>
      <c r="X190" s="55"/>
      <c r="Y190" s="55"/>
      <c r="Z190" s="55"/>
    </row>
    <row r="191" spans="1:26" ht="15">
      <c r="A191" s="1352"/>
      <c r="B191" s="1354" t="s">
        <v>197</v>
      </c>
      <c r="C191" s="1423"/>
      <c r="D191" s="52"/>
      <c r="E191" s="53"/>
      <c r="F191" s="53"/>
      <c r="G191" s="65"/>
      <c r="H191" s="53"/>
      <c r="I191" s="55"/>
      <c r="J191" s="52"/>
      <c r="K191" s="56" t="str">
        <f t="shared" si="19"/>
        <v/>
      </c>
      <c r="L191" s="55"/>
      <c r="M191" s="55"/>
      <c r="N191" s="55"/>
      <c r="O191" s="55"/>
      <c r="P191" s="55"/>
      <c r="Q191" s="55"/>
      <c r="R191" s="55"/>
      <c r="S191" s="55"/>
      <c r="T191" s="55"/>
      <c r="U191" s="55"/>
      <c r="V191" s="55"/>
      <c r="W191" s="55"/>
      <c r="X191" s="55"/>
      <c r="Y191" s="55"/>
      <c r="Z191" s="55"/>
    </row>
    <row r="192" spans="1:26" ht="15">
      <c r="A192" s="1352"/>
      <c r="B192" s="1354" t="s">
        <v>203</v>
      </c>
      <c r="C192" s="1423"/>
      <c r="D192" s="52"/>
      <c r="E192" s="53"/>
      <c r="F192" s="53"/>
      <c r="G192" s="65"/>
      <c r="H192" s="53"/>
      <c r="I192" s="55"/>
      <c r="J192" s="52"/>
      <c r="K192" s="56" t="str">
        <f t="shared" si="19"/>
        <v/>
      </c>
      <c r="L192" s="55"/>
      <c r="M192" s="55"/>
      <c r="N192" s="55"/>
      <c r="O192" s="55"/>
      <c r="P192" s="55"/>
      <c r="Q192" s="55"/>
      <c r="R192" s="55"/>
      <c r="S192" s="55"/>
      <c r="T192" s="55"/>
      <c r="U192" s="55"/>
      <c r="V192" s="55"/>
      <c r="W192" s="55"/>
      <c r="X192" s="55"/>
      <c r="Y192" s="55"/>
      <c r="Z192" s="55"/>
    </row>
    <row r="193" spans="1:26" ht="15">
      <c r="A193" s="1352"/>
      <c r="B193" s="1354" t="s">
        <v>116</v>
      </c>
      <c r="C193" s="1423"/>
      <c r="D193" s="52"/>
      <c r="E193" s="53"/>
      <c r="F193" s="53"/>
      <c r="G193" s="65"/>
      <c r="H193" s="53"/>
      <c r="I193" s="55"/>
      <c r="J193" s="52"/>
      <c r="K193" s="56" t="str">
        <f t="shared" si="19"/>
        <v/>
      </c>
      <c r="L193" s="55"/>
      <c r="M193" s="55"/>
      <c r="N193" s="55"/>
      <c r="O193" s="55"/>
      <c r="P193" s="55"/>
      <c r="Q193" s="55"/>
      <c r="R193" s="55"/>
      <c r="S193" s="55"/>
      <c r="T193" s="55"/>
      <c r="U193" s="55"/>
      <c r="V193" s="55"/>
      <c r="W193" s="55"/>
      <c r="X193" s="55"/>
      <c r="Y193" s="55"/>
      <c r="Z193" s="55"/>
    </row>
    <row r="194" spans="1:26" ht="15">
      <c r="A194" s="1352"/>
      <c r="B194" s="1354" t="s">
        <v>204</v>
      </c>
      <c r="C194" s="1423"/>
      <c r="D194" s="52"/>
      <c r="E194" s="53"/>
      <c r="F194" s="53"/>
      <c r="G194" s="65"/>
      <c r="H194" s="53"/>
      <c r="I194" s="55"/>
      <c r="J194" s="52"/>
      <c r="K194" s="56" t="str">
        <f t="shared" si="19"/>
        <v/>
      </c>
      <c r="L194" s="55"/>
      <c r="M194" s="55"/>
      <c r="N194" s="55"/>
      <c r="O194" s="55"/>
      <c r="P194" s="55"/>
      <c r="Q194" s="55"/>
      <c r="R194" s="55"/>
      <c r="S194" s="55"/>
      <c r="T194" s="55"/>
      <c r="U194" s="55"/>
      <c r="V194" s="55"/>
      <c r="W194" s="55"/>
      <c r="X194" s="55"/>
      <c r="Y194" s="55"/>
      <c r="Z194" s="55"/>
    </row>
    <row r="195" spans="1:26" ht="15">
      <c r="A195" s="1352"/>
      <c r="B195" s="1354" t="s">
        <v>205</v>
      </c>
      <c r="C195" s="1423"/>
      <c r="D195" s="52"/>
      <c r="E195" s="53"/>
      <c r="F195" s="53"/>
      <c r="G195" s="65"/>
      <c r="H195" s="53"/>
      <c r="I195" s="55"/>
      <c r="J195" s="52"/>
      <c r="K195" s="56" t="str">
        <f t="shared" si="19"/>
        <v/>
      </c>
      <c r="L195" s="55"/>
      <c r="M195" s="55"/>
      <c r="N195" s="55"/>
      <c r="O195" s="55"/>
      <c r="P195" s="55"/>
      <c r="Q195" s="55"/>
      <c r="R195" s="55"/>
      <c r="S195" s="55"/>
      <c r="T195" s="55"/>
      <c r="U195" s="55"/>
      <c r="V195" s="55"/>
      <c r="W195" s="55"/>
      <c r="X195" s="55"/>
      <c r="Y195" s="55"/>
      <c r="Z195" s="55"/>
    </row>
    <row r="196" spans="1:26" ht="15">
      <c r="A196" s="1352"/>
      <c r="B196" s="1354" t="s">
        <v>206</v>
      </c>
      <c r="C196" s="1423"/>
      <c r="D196" s="52"/>
      <c r="E196" s="53"/>
      <c r="F196" s="53"/>
      <c r="G196" s="65"/>
      <c r="H196" s="53"/>
      <c r="I196" s="55"/>
      <c r="J196" s="52"/>
      <c r="K196" s="56" t="str">
        <f t="shared" si="19"/>
        <v/>
      </c>
      <c r="L196" s="55"/>
      <c r="M196" s="55"/>
      <c r="N196" s="55"/>
      <c r="O196" s="55"/>
      <c r="P196" s="55"/>
      <c r="Q196" s="55"/>
      <c r="R196" s="55"/>
      <c r="S196" s="55"/>
      <c r="T196" s="55"/>
      <c r="U196" s="55"/>
      <c r="V196" s="55"/>
      <c r="W196" s="55"/>
      <c r="X196" s="55"/>
      <c r="Y196" s="55"/>
      <c r="Z196" s="55"/>
    </row>
    <row r="197" spans="1:26" ht="15">
      <c r="A197" s="1352"/>
      <c r="B197" s="1354" t="s">
        <v>121</v>
      </c>
      <c r="C197" s="1423"/>
      <c r="D197" s="52"/>
      <c r="E197" s="53"/>
      <c r="F197" s="53"/>
      <c r="G197" s="65"/>
      <c r="H197" s="53"/>
      <c r="I197" s="55"/>
      <c r="J197" s="52"/>
      <c r="K197" s="56" t="str">
        <f t="shared" si="19"/>
        <v/>
      </c>
      <c r="L197" s="55"/>
      <c r="M197" s="55"/>
      <c r="N197" s="55"/>
      <c r="O197" s="55"/>
      <c r="P197" s="55"/>
      <c r="Q197" s="55"/>
      <c r="R197" s="55"/>
      <c r="S197" s="55"/>
      <c r="T197" s="55"/>
      <c r="U197" s="55"/>
      <c r="V197" s="55"/>
      <c r="W197" s="55"/>
      <c r="X197" s="55"/>
      <c r="Y197" s="55"/>
      <c r="Z197" s="55"/>
    </row>
    <row r="198" spans="1:26" ht="15">
      <c r="A198" s="1352"/>
      <c r="B198" s="1354" t="s">
        <v>122</v>
      </c>
      <c r="C198" s="1423"/>
      <c r="D198" s="52"/>
      <c r="E198" s="53"/>
      <c r="F198" s="53"/>
      <c r="G198" s="65"/>
      <c r="H198" s="53"/>
      <c r="I198" s="55"/>
      <c r="J198" s="52"/>
      <c r="K198" s="56" t="str">
        <f t="shared" si="19"/>
        <v/>
      </c>
      <c r="L198" s="55"/>
      <c r="M198" s="55"/>
      <c r="N198" s="55"/>
      <c r="O198" s="55"/>
      <c r="P198" s="55"/>
      <c r="Q198" s="55"/>
      <c r="R198" s="55"/>
      <c r="S198" s="55"/>
      <c r="T198" s="55"/>
      <c r="U198" s="55"/>
      <c r="V198" s="55"/>
      <c r="W198" s="55"/>
      <c r="X198" s="55"/>
      <c r="Y198" s="55"/>
      <c r="Z198" s="55"/>
    </row>
    <row r="199" spans="1:26" ht="15">
      <c r="A199" s="1352"/>
      <c r="B199" s="1354" t="s">
        <v>207</v>
      </c>
      <c r="C199" s="1423"/>
      <c r="D199" s="52"/>
      <c r="E199" s="53"/>
      <c r="F199" s="53"/>
      <c r="G199" s="65"/>
      <c r="H199" s="53"/>
      <c r="I199" s="55"/>
      <c r="J199" s="52"/>
      <c r="K199" s="56" t="str">
        <f t="shared" si="19"/>
        <v/>
      </c>
      <c r="L199" s="55"/>
      <c r="M199" s="55"/>
      <c r="N199" s="55"/>
      <c r="O199" s="55"/>
      <c r="P199" s="55"/>
      <c r="Q199" s="55"/>
      <c r="R199" s="55"/>
      <c r="S199" s="55"/>
      <c r="T199" s="55"/>
      <c r="U199" s="55"/>
      <c r="V199" s="55"/>
      <c r="W199" s="55"/>
      <c r="X199" s="55"/>
      <c r="Y199" s="55"/>
      <c r="Z199" s="55"/>
    </row>
    <row r="200" spans="1:26" ht="15">
      <c r="A200" s="1352"/>
      <c r="B200" s="1354" t="s">
        <v>176</v>
      </c>
      <c r="C200" s="1423"/>
      <c r="D200" s="52"/>
      <c r="E200" s="53"/>
      <c r="F200" s="53"/>
      <c r="G200" s="65"/>
      <c r="H200" s="53"/>
      <c r="I200" s="55"/>
      <c r="J200" s="52"/>
      <c r="K200" s="56" t="str">
        <f t="shared" si="19"/>
        <v/>
      </c>
      <c r="L200" s="55"/>
      <c r="M200" s="55"/>
      <c r="N200" s="55"/>
      <c r="O200" s="55"/>
      <c r="P200" s="55"/>
      <c r="Q200" s="55"/>
      <c r="R200" s="55"/>
      <c r="S200" s="55"/>
      <c r="T200" s="55"/>
      <c r="U200" s="55"/>
      <c r="V200" s="55"/>
      <c r="W200" s="55"/>
      <c r="X200" s="55"/>
      <c r="Y200" s="55"/>
      <c r="Z200" s="55"/>
    </row>
    <row r="201" spans="1:26" ht="15">
      <c r="A201" s="1352"/>
      <c r="B201" s="1354" t="s">
        <v>140</v>
      </c>
      <c r="C201" s="1423"/>
      <c r="D201" s="52"/>
      <c r="E201" s="53"/>
      <c r="F201" s="53"/>
      <c r="G201" s="65"/>
      <c r="H201" s="53"/>
      <c r="I201" s="55"/>
      <c r="J201" s="52"/>
      <c r="K201" s="56" t="str">
        <f t="shared" si="19"/>
        <v/>
      </c>
      <c r="L201" s="55"/>
      <c r="M201" s="55"/>
      <c r="N201" s="55"/>
      <c r="O201" s="55"/>
      <c r="P201" s="55"/>
      <c r="Q201" s="55"/>
      <c r="R201" s="55"/>
      <c r="S201" s="55"/>
      <c r="T201" s="55"/>
      <c r="U201" s="55"/>
      <c r="V201" s="55"/>
      <c r="W201" s="55"/>
      <c r="X201" s="55"/>
      <c r="Y201" s="55"/>
      <c r="Z201" s="55"/>
    </row>
    <row r="202" spans="1:26" ht="15">
      <c r="A202" s="1352"/>
      <c r="B202" s="1354" t="s">
        <v>179</v>
      </c>
      <c r="C202" s="1423"/>
      <c r="D202" s="52"/>
      <c r="E202" s="53"/>
      <c r="F202" s="53"/>
      <c r="G202" s="65"/>
      <c r="H202" s="53"/>
      <c r="I202" s="55"/>
      <c r="J202" s="52"/>
      <c r="K202" s="56" t="str">
        <f t="shared" si="19"/>
        <v/>
      </c>
      <c r="L202" s="55"/>
      <c r="M202" s="55"/>
      <c r="N202" s="55"/>
      <c r="O202" s="55"/>
      <c r="P202" s="55"/>
      <c r="Q202" s="55"/>
      <c r="R202" s="55"/>
      <c r="S202" s="55"/>
      <c r="T202" s="55"/>
      <c r="U202" s="55"/>
      <c r="V202" s="55"/>
      <c r="W202" s="55"/>
      <c r="X202" s="55"/>
      <c r="Y202" s="55"/>
      <c r="Z202" s="55"/>
    </row>
    <row r="203" spans="1:26" ht="15">
      <c r="A203" s="1352"/>
      <c r="B203" s="1354" t="s">
        <v>110</v>
      </c>
      <c r="C203" s="1423"/>
      <c r="D203" s="52"/>
      <c r="E203" s="53"/>
      <c r="F203" s="53"/>
      <c r="G203" s="65"/>
      <c r="H203" s="53"/>
      <c r="I203" s="55"/>
      <c r="J203" s="52"/>
      <c r="K203" s="56" t="str">
        <f t="shared" si="19"/>
        <v/>
      </c>
      <c r="L203" s="55"/>
      <c r="M203" s="55"/>
      <c r="N203" s="55"/>
      <c r="O203" s="55"/>
      <c r="P203" s="55"/>
      <c r="Q203" s="55"/>
      <c r="R203" s="55"/>
      <c r="S203" s="55"/>
      <c r="T203" s="55"/>
      <c r="U203" s="55"/>
      <c r="V203" s="55"/>
      <c r="W203" s="55"/>
      <c r="X203" s="55"/>
      <c r="Y203" s="55"/>
      <c r="Z203" s="55"/>
    </row>
    <row r="204" spans="1:26" ht="15">
      <c r="A204" s="1352"/>
      <c r="B204" s="1354" t="s">
        <v>208</v>
      </c>
      <c r="C204" s="1423"/>
      <c r="D204" s="52"/>
      <c r="E204" s="53"/>
      <c r="F204" s="53"/>
      <c r="G204" s="65"/>
      <c r="H204" s="53"/>
      <c r="I204" s="55"/>
      <c r="J204" s="52"/>
      <c r="K204" s="56" t="str">
        <f t="shared" si="19"/>
        <v/>
      </c>
      <c r="L204" s="55"/>
      <c r="M204" s="55"/>
      <c r="N204" s="55"/>
      <c r="O204" s="55"/>
      <c r="P204" s="55"/>
      <c r="Q204" s="55"/>
      <c r="R204" s="55"/>
      <c r="S204" s="55"/>
      <c r="T204" s="55"/>
      <c r="U204" s="55"/>
      <c r="V204" s="55"/>
      <c r="W204" s="55"/>
      <c r="X204" s="55"/>
      <c r="Y204" s="55"/>
      <c r="Z204" s="55"/>
    </row>
    <row r="205" spans="1:26" ht="15">
      <c r="A205" s="1352"/>
      <c r="B205" s="1354" t="s">
        <v>184</v>
      </c>
      <c r="C205" s="1423"/>
      <c r="D205" s="52"/>
      <c r="E205" s="53"/>
      <c r="F205" s="53"/>
      <c r="G205" s="65"/>
      <c r="H205" s="53"/>
      <c r="I205" s="55"/>
      <c r="J205" s="52"/>
      <c r="K205" s="56" t="str">
        <f t="shared" si="19"/>
        <v/>
      </c>
      <c r="L205" s="55"/>
      <c r="M205" s="55"/>
      <c r="N205" s="55"/>
      <c r="O205" s="55"/>
      <c r="P205" s="55"/>
      <c r="Q205" s="55"/>
      <c r="R205" s="55"/>
      <c r="S205" s="55"/>
      <c r="T205" s="55"/>
      <c r="U205" s="55"/>
      <c r="V205" s="55"/>
      <c r="W205" s="55"/>
      <c r="X205" s="55"/>
      <c r="Y205" s="55"/>
      <c r="Z205" s="55"/>
    </row>
    <row r="206" spans="1:26" ht="15">
      <c r="A206" s="1352"/>
      <c r="B206" s="1354" t="s">
        <v>180</v>
      </c>
      <c r="C206" s="1423"/>
      <c r="D206" s="52"/>
      <c r="E206" s="53"/>
      <c r="F206" s="53"/>
      <c r="G206" s="65"/>
      <c r="H206" s="53"/>
      <c r="I206" s="55"/>
      <c r="J206" s="52"/>
      <c r="K206" s="56" t="str">
        <f t="shared" si="19"/>
        <v/>
      </c>
      <c r="L206" s="55"/>
      <c r="M206" s="55"/>
      <c r="N206" s="55"/>
      <c r="O206" s="55"/>
      <c r="P206" s="55"/>
      <c r="Q206" s="55"/>
      <c r="R206" s="55"/>
      <c r="S206" s="55"/>
      <c r="T206" s="55"/>
      <c r="U206" s="55"/>
      <c r="V206" s="55"/>
      <c r="W206" s="55"/>
      <c r="X206" s="55"/>
      <c r="Y206" s="55"/>
      <c r="Z206" s="55"/>
    </row>
    <row r="207" spans="1:26" ht="15">
      <c r="A207" s="1352"/>
      <c r="B207" s="1354" t="s">
        <v>4744</v>
      </c>
      <c r="C207" s="1423"/>
      <c r="D207" s="52"/>
      <c r="E207" s="53"/>
      <c r="F207" s="53"/>
      <c r="G207" s="65"/>
      <c r="H207" s="53"/>
      <c r="I207" s="55"/>
      <c r="J207" s="52"/>
      <c r="K207" s="56" t="str">
        <f t="shared" si="19"/>
        <v/>
      </c>
      <c r="L207" s="55"/>
      <c r="M207" s="55"/>
      <c r="N207" s="55"/>
      <c r="O207" s="55"/>
      <c r="P207" s="55"/>
      <c r="Q207" s="55"/>
      <c r="R207" s="55"/>
      <c r="S207" s="55"/>
      <c r="T207" s="55"/>
      <c r="U207" s="55"/>
      <c r="V207" s="55"/>
      <c r="W207" s="55"/>
      <c r="X207" s="55"/>
      <c r="Y207" s="55"/>
      <c r="Z207" s="55"/>
    </row>
    <row r="208" spans="1:26" ht="15">
      <c r="A208" s="1350" t="s">
        <v>211</v>
      </c>
      <c r="B208" s="1350" t="s">
        <v>137</v>
      </c>
      <c r="C208" s="1422"/>
      <c r="D208" s="52" t="s">
        <v>103</v>
      </c>
      <c r="E208" s="53">
        <v>435</v>
      </c>
      <c r="F208" s="53"/>
      <c r="G208" s="65"/>
      <c r="H208" s="53"/>
      <c r="I208" s="55"/>
      <c r="J208" s="52"/>
      <c r="K208" s="56">
        <f t="shared" si="19"/>
        <v>0</v>
      </c>
      <c r="L208" s="55"/>
      <c r="M208" s="55"/>
      <c r="N208" s="55"/>
      <c r="O208" s="55"/>
      <c r="P208" s="55"/>
      <c r="Q208" s="55"/>
      <c r="R208" s="55"/>
      <c r="S208" s="55"/>
      <c r="T208" s="55"/>
      <c r="U208" s="55"/>
      <c r="V208" s="55"/>
      <c r="W208" s="55"/>
      <c r="X208" s="55"/>
      <c r="Y208" s="55"/>
      <c r="Z208" s="55"/>
    </row>
    <row r="209" spans="1:26" ht="15">
      <c r="A209" s="1352"/>
      <c r="B209" s="1354" t="s">
        <v>200</v>
      </c>
      <c r="C209" s="1423"/>
      <c r="D209" s="52"/>
      <c r="E209" s="53"/>
      <c r="F209" s="53"/>
      <c r="G209" s="65"/>
      <c r="H209" s="53"/>
      <c r="I209" s="55"/>
      <c r="J209" s="52"/>
      <c r="K209" s="56" t="str">
        <f t="shared" si="19"/>
        <v/>
      </c>
      <c r="L209" s="55"/>
      <c r="M209" s="55"/>
      <c r="N209" s="55"/>
      <c r="O209" s="55"/>
      <c r="P209" s="55"/>
      <c r="Q209" s="55"/>
      <c r="R209" s="55"/>
      <c r="S209" s="55"/>
      <c r="T209" s="55"/>
      <c r="U209" s="55"/>
      <c r="V209" s="55"/>
      <c r="W209" s="55"/>
      <c r="X209" s="55"/>
      <c r="Y209" s="55"/>
      <c r="Z209" s="55"/>
    </row>
    <row r="210" spans="1:26" ht="15">
      <c r="A210" s="1352"/>
      <c r="B210" s="1354" t="s">
        <v>201</v>
      </c>
      <c r="C210" s="1423"/>
      <c r="D210" s="52"/>
      <c r="E210" s="53"/>
      <c r="F210" s="53"/>
      <c r="G210" s="65"/>
      <c r="H210" s="53"/>
      <c r="I210" s="55"/>
      <c r="J210" s="52"/>
      <c r="K210" s="56" t="str">
        <f t="shared" si="19"/>
        <v/>
      </c>
      <c r="L210" s="55"/>
      <c r="M210" s="55"/>
      <c r="N210" s="55"/>
      <c r="O210" s="55"/>
      <c r="P210" s="55"/>
      <c r="Q210" s="55"/>
      <c r="R210" s="55"/>
      <c r="S210" s="55"/>
      <c r="T210" s="55"/>
      <c r="U210" s="55"/>
      <c r="V210" s="55"/>
      <c r="W210" s="55"/>
      <c r="X210" s="55"/>
      <c r="Y210" s="55"/>
      <c r="Z210" s="55"/>
    </row>
    <row r="211" spans="1:26" ht="15">
      <c r="A211" s="1352"/>
      <c r="B211" s="1354" t="s">
        <v>107</v>
      </c>
      <c r="C211" s="1423"/>
      <c r="D211" s="52"/>
      <c r="E211" s="53"/>
      <c r="F211" s="53"/>
      <c r="G211" s="65"/>
      <c r="H211" s="53"/>
      <c r="I211" s="55"/>
      <c r="J211" s="52"/>
      <c r="K211" s="56" t="str">
        <f t="shared" si="19"/>
        <v/>
      </c>
      <c r="L211" s="55"/>
      <c r="M211" s="55"/>
      <c r="N211" s="55"/>
      <c r="O211" s="55"/>
      <c r="P211" s="55"/>
      <c r="Q211" s="55"/>
      <c r="R211" s="55"/>
      <c r="S211" s="55"/>
      <c r="T211" s="55"/>
      <c r="U211" s="55"/>
      <c r="V211" s="55"/>
      <c r="W211" s="55"/>
      <c r="X211" s="55"/>
      <c r="Y211" s="55"/>
      <c r="Z211" s="55"/>
    </row>
    <row r="212" spans="1:26" ht="15">
      <c r="A212" s="1352"/>
      <c r="B212" s="1354" t="s">
        <v>196</v>
      </c>
      <c r="C212" s="1423"/>
      <c r="D212" s="52"/>
      <c r="E212" s="53"/>
      <c r="F212" s="53"/>
      <c r="G212" s="65"/>
      <c r="H212" s="53"/>
      <c r="I212" s="55"/>
      <c r="J212" s="52"/>
      <c r="K212" s="56" t="str">
        <f t="shared" si="19"/>
        <v/>
      </c>
      <c r="L212" s="55"/>
      <c r="M212" s="55"/>
      <c r="N212" s="55"/>
      <c r="O212" s="55"/>
      <c r="P212" s="55"/>
      <c r="Q212" s="55"/>
      <c r="R212" s="55"/>
      <c r="S212" s="55"/>
      <c r="T212" s="55"/>
      <c r="U212" s="55"/>
      <c r="V212" s="55"/>
      <c r="W212" s="55"/>
      <c r="X212" s="55"/>
      <c r="Y212" s="55"/>
      <c r="Z212" s="55"/>
    </row>
    <row r="213" spans="1:26" ht="15">
      <c r="A213" s="1352"/>
      <c r="B213" s="1354" t="s">
        <v>197</v>
      </c>
      <c r="C213" s="1423"/>
      <c r="D213" s="52"/>
      <c r="E213" s="53"/>
      <c r="F213" s="53"/>
      <c r="G213" s="65"/>
      <c r="H213" s="53"/>
      <c r="I213" s="55"/>
      <c r="J213" s="52"/>
      <c r="K213" s="56" t="str">
        <f t="shared" si="19"/>
        <v/>
      </c>
      <c r="L213" s="55"/>
      <c r="M213" s="55"/>
      <c r="N213" s="55"/>
      <c r="O213" s="55"/>
      <c r="P213" s="55"/>
      <c r="Q213" s="55"/>
      <c r="R213" s="55"/>
      <c r="S213" s="55"/>
      <c r="T213" s="55"/>
      <c r="U213" s="55"/>
      <c r="V213" s="55"/>
      <c r="W213" s="55"/>
      <c r="X213" s="55"/>
      <c r="Y213" s="55"/>
      <c r="Z213" s="55"/>
    </row>
    <row r="214" spans="1:26" ht="15">
      <c r="A214" s="1352"/>
      <c r="B214" s="1354" t="s">
        <v>203</v>
      </c>
      <c r="C214" s="1423"/>
      <c r="D214" s="52"/>
      <c r="E214" s="53"/>
      <c r="F214" s="53"/>
      <c r="G214" s="65"/>
      <c r="H214" s="53"/>
      <c r="I214" s="55"/>
      <c r="J214" s="52"/>
      <c r="K214" s="56" t="str">
        <f t="shared" si="19"/>
        <v/>
      </c>
      <c r="L214" s="55"/>
      <c r="M214" s="55"/>
      <c r="N214" s="55"/>
      <c r="O214" s="55"/>
      <c r="P214" s="55"/>
      <c r="Q214" s="55"/>
      <c r="R214" s="55"/>
      <c r="S214" s="55"/>
      <c r="T214" s="55"/>
      <c r="U214" s="55"/>
      <c r="V214" s="55"/>
      <c r="W214" s="55"/>
      <c r="X214" s="55"/>
      <c r="Y214" s="55"/>
      <c r="Z214" s="55"/>
    </row>
    <row r="215" spans="1:26" ht="15">
      <c r="A215" s="1352"/>
      <c r="B215" s="1354" t="s">
        <v>116</v>
      </c>
      <c r="C215" s="1423"/>
      <c r="D215" s="52"/>
      <c r="E215" s="53"/>
      <c r="F215" s="53"/>
      <c r="G215" s="65"/>
      <c r="H215" s="53"/>
      <c r="I215" s="55"/>
      <c r="J215" s="52"/>
      <c r="K215" s="56" t="str">
        <f t="shared" si="19"/>
        <v/>
      </c>
      <c r="L215" s="55"/>
      <c r="M215" s="55"/>
      <c r="N215" s="55"/>
      <c r="O215" s="55"/>
      <c r="P215" s="55"/>
      <c r="Q215" s="55"/>
      <c r="R215" s="55"/>
      <c r="S215" s="55"/>
      <c r="T215" s="55"/>
      <c r="U215" s="55"/>
      <c r="V215" s="55"/>
      <c r="W215" s="55"/>
      <c r="X215" s="55"/>
      <c r="Y215" s="55"/>
      <c r="Z215" s="55"/>
    </row>
    <row r="216" spans="1:26" ht="15">
      <c r="A216" s="1352"/>
      <c r="B216" s="1354" t="s">
        <v>204</v>
      </c>
      <c r="C216" s="1423"/>
      <c r="D216" s="52"/>
      <c r="E216" s="53"/>
      <c r="F216" s="53"/>
      <c r="G216" s="65"/>
      <c r="H216" s="53"/>
      <c r="I216" s="55"/>
      <c r="J216" s="52"/>
      <c r="K216" s="56" t="str">
        <f t="shared" si="19"/>
        <v/>
      </c>
      <c r="L216" s="55"/>
      <c r="M216" s="55"/>
      <c r="N216" s="55"/>
      <c r="O216" s="55"/>
      <c r="P216" s="55"/>
      <c r="Q216" s="55"/>
      <c r="R216" s="55"/>
      <c r="S216" s="55"/>
      <c r="T216" s="55"/>
      <c r="U216" s="55"/>
      <c r="V216" s="55"/>
      <c r="W216" s="55"/>
      <c r="X216" s="55"/>
      <c r="Y216" s="55"/>
      <c r="Z216" s="55"/>
    </row>
    <row r="217" spans="1:26" ht="15">
      <c r="A217" s="1352"/>
      <c r="B217" s="1354" t="s">
        <v>205</v>
      </c>
      <c r="C217" s="1423"/>
      <c r="D217" s="52"/>
      <c r="E217" s="53"/>
      <c r="F217" s="53"/>
      <c r="G217" s="65"/>
      <c r="H217" s="53"/>
      <c r="I217" s="55"/>
      <c r="J217" s="52"/>
      <c r="K217" s="56" t="str">
        <f t="shared" si="19"/>
        <v/>
      </c>
      <c r="L217" s="55"/>
      <c r="M217" s="55"/>
      <c r="N217" s="55"/>
      <c r="O217" s="55"/>
      <c r="P217" s="55"/>
      <c r="Q217" s="55"/>
      <c r="R217" s="55"/>
      <c r="S217" s="55"/>
      <c r="T217" s="55"/>
      <c r="U217" s="55"/>
      <c r="V217" s="55"/>
      <c r="W217" s="55"/>
      <c r="X217" s="55"/>
      <c r="Y217" s="55"/>
      <c r="Z217" s="55"/>
    </row>
    <row r="218" spans="1:26" ht="15">
      <c r="A218" s="1352"/>
      <c r="B218" s="1354" t="s">
        <v>206</v>
      </c>
      <c r="C218" s="1423"/>
      <c r="D218" s="52"/>
      <c r="E218" s="53"/>
      <c r="F218" s="53"/>
      <c r="G218" s="65"/>
      <c r="H218" s="53"/>
      <c r="I218" s="55"/>
      <c r="J218" s="52"/>
      <c r="K218" s="56" t="str">
        <f t="shared" si="19"/>
        <v/>
      </c>
      <c r="L218" s="55"/>
      <c r="M218" s="55"/>
      <c r="N218" s="55"/>
      <c r="O218" s="55"/>
      <c r="P218" s="55"/>
      <c r="Q218" s="55"/>
      <c r="R218" s="55"/>
      <c r="S218" s="55"/>
      <c r="T218" s="55"/>
      <c r="U218" s="55"/>
      <c r="V218" s="55"/>
      <c r="W218" s="55"/>
      <c r="X218" s="55"/>
      <c r="Y218" s="55"/>
      <c r="Z218" s="55"/>
    </row>
    <row r="219" spans="1:26" ht="15">
      <c r="A219" s="1352"/>
      <c r="B219" s="1354" t="s">
        <v>121</v>
      </c>
      <c r="C219" s="1423"/>
      <c r="D219" s="52"/>
      <c r="E219" s="53"/>
      <c r="F219" s="53"/>
      <c r="G219" s="65"/>
      <c r="H219" s="53"/>
      <c r="I219" s="55"/>
      <c r="J219" s="52"/>
      <c r="K219" s="56" t="str">
        <f t="shared" si="19"/>
        <v/>
      </c>
      <c r="L219" s="55"/>
      <c r="M219" s="55"/>
      <c r="N219" s="55"/>
      <c r="O219" s="55"/>
      <c r="P219" s="55"/>
      <c r="Q219" s="55"/>
      <c r="R219" s="55"/>
      <c r="S219" s="55"/>
      <c r="T219" s="55"/>
      <c r="U219" s="55"/>
      <c r="V219" s="55"/>
      <c r="W219" s="55"/>
      <c r="X219" s="55"/>
      <c r="Y219" s="55"/>
      <c r="Z219" s="55"/>
    </row>
    <row r="220" spans="1:26" ht="15">
      <c r="A220" s="1352"/>
      <c r="B220" s="1354" t="s">
        <v>122</v>
      </c>
      <c r="C220" s="1423"/>
      <c r="D220" s="52"/>
      <c r="E220" s="53"/>
      <c r="F220" s="53"/>
      <c r="G220" s="65"/>
      <c r="H220" s="53"/>
      <c r="I220" s="55"/>
      <c r="J220" s="52"/>
      <c r="K220" s="56" t="str">
        <f t="shared" si="19"/>
        <v/>
      </c>
      <c r="L220" s="55"/>
      <c r="M220" s="55"/>
      <c r="N220" s="55"/>
      <c r="O220" s="55"/>
      <c r="P220" s="55"/>
      <c r="Q220" s="55"/>
      <c r="R220" s="55"/>
      <c r="S220" s="55"/>
      <c r="T220" s="55"/>
      <c r="U220" s="55"/>
      <c r="V220" s="55"/>
      <c r="W220" s="55"/>
      <c r="X220" s="55"/>
      <c r="Y220" s="55"/>
      <c r="Z220" s="55"/>
    </row>
    <row r="221" spans="1:26" ht="15">
      <c r="A221" s="1352"/>
      <c r="B221" s="1354" t="s">
        <v>207</v>
      </c>
      <c r="C221" s="1423"/>
      <c r="D221" s="52"/>
      <c r="E221" s="53"/>
      <c r="F221" s="53"/>
      <c r="G221" s="65"/>
      <c r="H221" s="53"/>
      <c r="I221" s="55"/>
      <c r="J221" s="52">
        <v>3</v>
      </c>
      <c r="K221" s="56" t="str">
        <f t="shared" si="19"/>
        <v/>
      </c>
      <c r="L221" s="55"/>
      <c r="M221" s="55"/>
      <c r="N221" s="55"/>
      <c r="O221" s="55"/>
      <c r="P221" s="55"/>
      <c r="Q221" s="55"/>
      <c r="R221" s="55"/>
      <c r="S221" s="55"/>
      <c r="T221" s="55"/>
      <c r="U221" s="55"/>
      <c r="V221" s="55"/>
      <c r="W221" s="55"/>
      <c r="X221" s="55"/>
      <c r="Y221" s="55"/>
      <c r="Z221" s="55"/>
    </row>
    <row r="222" spans="1:26" ht="15">
      <c r="A222" s="1352"/>
      <c r="B222" s="1354" t="s">
        <v>176</v>
      </c>
      <c r="C222" s="1423"/>
      <c r="D222" s="52"/>
      <c r="E222" s="53"/>
      <c r="F222" s="53"/>
      <c r="G222" s="65"/>
      <c r="H222" s="53"/>
      <c r="I222" s="55"/>
      <c r="J222" s="52">
        <v>2</v>
      </c>
      <c r="K222" s="56" t="str">
        <f t="shared" si="19"/>
        <v/>
      </c>
      <c r="L222" s="55"/>
      <c r="M222" s="55"/>
      <c r="N222" s="55"/>
      <c r="O222" s="55"/>
      <c r="P222" s="55"/>
      <c r="Q222" s="55"/>
      <c r="R222" s="55"/>
      <c r="S222" s="55"/>
      <c r="T222" s="55"/>
      <c r="U222" s="55"/>
      <c r="V222" s="55"/>
      <c r="W222" s="55"/>
      <c r="X222" s="55"/>
      <c r="Y222" s="55"/>
      <c r="Z222" s="55"/>
    </row>
    <row r="223" spans="1:26" ht="15">
      <c r="A223" s="1352"/>
      <c r="B223" s="1354" t="s">
        <v>140</v>
      </c>
      <c r="C223" s="1423"/>
      <c r="D223" s="52"/>
      <c r="E223" s="53"/>
      <c r="F223" s="53"/>
      <c r="G223" s="65"/>
      <c r="H223" s="53"/>
      <c r="I223" s="55"/>
      <c r="J223" s="52"/>
      <c r="K223" s="56" t="str">
        <f t="shared" si="19"/>
        <v/>
      </c>
      <c r="L223" s="55"/>
      <c r="M223" s="55"/>
      <c r="N223" s="55"/>
      <c r="O223" s="55"/>
      <c r="P223" s="55"/>
      <c r="Q223" s="55"/>
      <c r="R223" s="55"/>
      <c r="S223" s="55"/>
      <c r="T223" s="55"/>
      <c r="U223" s="55"/>
      <c r="V223" s="55"/>
      <c r="W223" s="55"/>
      <c r="X223" s="55"/>
      <c r="Y223" s="55"/>
      <c r="Z223" s="55"/>
    </row>
    <row r="224" spans="1:26" ht="12.75" hidden="1">
      <c r="A224" s="1352"/>
      <c r="B224" s="1354" t="s">
        <v>179</v>
      </c>
      <c r="C224" s="1423"/>
      <c r="D224" s="59"/>
      <c r="E224" s="8"/>
      <c r="F224" s="60"/>
      <c r="G224" s="71"/>
      <c r="H224" s="60"/>
      <c r="I224" s="8"/>
      <c r="J224" s="66">
        <v>0</v>
      </c>
      <c r="K224" s="67">
        <f>J224*E224</f>
        <v>0</v>
      </c>
    </row>
    <row r="225" spans="1:26" ht="15" hidden="1">
      <c r="A225" s="1352"/>
      <c r="B225" s="1354" t="s">
        <v>110</v>
      </c>
      <c r="C225" s="1423"/>
      <c r="D225" s="52"/>
      <c r="E225" s="55"/>
      <c r="F225" s="53"/>
      <c r="G225" s="65"/>
      <c r="H225" s="53"/>
      <c r="I225" s="55"/>
      <c r="J225" s="52" t="s">
        <v>11</v>
      </c>
      <c r="K225" s="65" t="str">
        <f t="shared" ref="K225:K432" si="20">IF(E225="","",(J225*E225))</f>
        <v/>
      </c>
      <c r="L225" s="55"/>
      <c r="M225" s="55"/>
      <c r="N225" s="55"/>
      <c r="O225" s="55"/>
      <c r="P225" s="55"/>
      <c r="Q225" s="55"/>
      <c r="R225" s="55"/>
      <c r="S225" s="55"/>
      <c r="T225" s="55"/>
      <c r="U225" s="55"/>
      <c r="V225" s="55"/>
      <c r="W225" s="55"/>
      <c r="X225" s="55"/>
      <c r="Y225" s="55"/>
      <c r="Z225" s="55"/>
    </row>
    <row r="226" spans="1:26" ht="15" hidden="1">
      <c r="A226" s="1352"/>
      <c r="B226" s="1354" t="s">
        <v>208</v>
      </c>
      <c r="C226" s="1423"/>
      <c r="D226" s="52"/>
      <c r="E226" s="55"/>
      <c r="F226" s="53"/>
      <c r="G226" s="65"/>
      <c r="H226" s="53"/>
      <c r="I226" s="55"/>
      <c r="J226" s="52" t="s">
        <v>11</v>
      </c>
      <c r="K226" s="65" t="str">
        <f t="shared" si="20"/>
        <v/>
      </c>
      <c r="L226" s="55"/>
      <c r="M226" s="55"/>
      <c r="N226" s="55"/>
      <c r="O226" s="55"/>
      <c r="P226" s="55"/>
      <c r="Q226" s="55"/>
      <c r="R226" s="55"/>
      <c r="S226" s="55"/>
      <c r="T226" s="55"/>
      <c r="U226" s="55"/>
      <c r="V226" s="55"/>
      <c r="W226" s="55"/>
      <c r="X226" s="55"/>
      <c r="Y226" s="55"/>
      <c r="Z226" s="55"/>
    </row>
    <row r="227" spans="1:26" ht="15" hidden="1">
      <c r="A227" s="1352"/>
      <c r="B227" s="1354" t="s">
        <v>184</v>
      </c>
      <c r="C227" s="1423"/>
      <c r="D227" s="52"/>
      <c r="E227" s="55"/>
      <c r="F227" s="53"/>
      <c r="G227" s="65"/>
      <c r="H227" s="53"/>
      <c r="I227" s="55"/>
      <c r="J227" s="52" t="s">
        <v>11</v>
      </c>
      <c r="K227" s="65" t="str">
        <f t="shared" si="20"/>
        <v/>
      </c>
      <c r="L227" s="55"/>
      <c r="M227" s="55"/>
      <c r="N227" s="55"/>
      <c r="O227" s="55"/>
      <c r="P227" s="55"/>
      <c r="Q227" s="55"/>
      <c r="R227" s="55"/>
      <c r="S227" s="55"/>
      <c r="T227" s="55"/>
      <c r="U227" s="55"/>
      <c r="V227" s="55"/>
      <c r="W227" s="55"/>
      <c r="X227" s="55"/>
      <c r="Y227" s="55"/>
      <c r="Z227" s="55"/>
    </row>
    <row r="228" spans="1:26" ht="15">
      <c r="A228" s="1352"/>
      <c r="B228" s="1354" t="s">
        <v>180</v>
      </c>
      <c r="C228" s="1423"/>
      <c r="D228" s="52"/>
      <c r="E228" s="53"/>
      <c r="F228" s="53"/>
      <c r="G228" s="65"/>
      <c r="H228" s="53"/>
      <c r="I228" s="55"/>
      <c r="J228" s="52">
        <v>12</v>
      </c>
      <c r="K228" s="56" t="str">
        <f t="shared" si="20"/>
        <v/>
      </c>
      <c r="L228" s="55"/>
      <c r="M228" s="55"/>
      <c r="N228" s="55"/>
      <c r="O228" s="55"/>
      <c r="P228" s="55"/>
      <c r="Q228" s="55"/>
      <c r="R228" s="55"/>
      <c r="S228" s="55"/>
      <c r="T228" s="55"/>
      <c r="U228" s="55"/>
      <c r="V228" s="55"/>
      <c r="W228" s="55"/>
      <c r="X228" s="55"/>
      <c r="Y228" s="55"/>
      <c r="Z228" s="55"/>
    </row>
    <row r="229" spans="1:26" ht="15">
      <c r="A229" s="1352"/>
      <c r="B229" s="1354" t="s">
        <v>4744</v>
      </c>
      <c r="C229" s="1423"/>
      <c r="D229" s="52"/>
      <c r="E229" s="53"/>
      <c r="F229" s="53"/>
      <c r="G229" s="65"/>
      <c r="H229" s="53"/>
      <c r="I229" s="55"/>
      <c r="J229" s="52"/>
      <c r="K229" s="56" t="str">
        <f t="shared" si="20"/>
        <v/>
      </c>
      <c r="L229" s="55"/>
      <c r="M229" s="55"/>
      <c r="N229" s="55"/>
      <c r="O229" s="55"/>
      <c r="P229" s="55"/>
      <c r="Q229" s="55"/>
      <c r="R229" s="55"/>
      <c r="S229" s="55"/>
      <c r="T229" s="55"/>
      <c r="U229" s="55"/>
      <c r="V229" s="55"/>
      <c r="W229" s="55"/>
      <c r="X229" s="55"/>
      <c r="Y229" s="55"/>
      <c r="Z229" s="55"/>
    </row>
    <row r="230" spans="1:26" ht="15">
      <c r="A230" s="1350" t="s">
        <v>212</v>
      </c>
      <c r="B230" s="1350" t="s">
        <v>137</v>
      </c>
      <c r="C230" s="1422"/>
      <c r="D230" s="52" t="s">
        <v>103</v>
      </c>
      <c r="E230" s="53">
        <v>450</v>
      </c>
      <c r="F230" s="53"/>
      <c r="G230" s="65"/>
      <c r="H230" s="53"/>
      <c r="I230" s="55"/>
      <c r="J230" s="52"/>
      <c r="K230" s="56">
        <f t="shared" si="20"/>
        <v>0</v>
      </c>
      <c r="L230" s="55"/>
      <c r="M230" s="55"/>
      <c r="N230" s="55"/>
      <c r="O230" s="55"/>
      <c r="P230" s="55"/>
      <c r="Q230" s="55"/>
      <c r="R230" s="55"/>
      <c r="S230" s="55"/>
      <c r="T230" s="55"/>
      <c r="U230" s="55"/>
      <c r="V230" s="55"/>
      <c r="W230" s="55"/>
      <c r="X230" s="55"/>
      <c r="Y230" s="55"/>
      <c r="Z230" s="55"/>
    </row>
    <row r="231" spans="1:26" ht="15">
      <c r="A231" s="1352"/>
      <c r="B231" s="1354" t="s">
        <v>213</v>
      </c>
      <c r="C231" s="1423"/>
      <c r="D231" s="52"/>
      <c r="E231" s="53"/>
      <c r="F231" s="53"/>
      <c r="G231" s="65"/>
      <c r="H231" s="53"/>
      <c r="I231" s="55"/>
      <c r="J231" s="52"/>
      <c r="K231" s="56" t="str">
        <f t="shared" si="20"/>
        <v/>
      </c>
      <c r="L231" s="55"/>
      <c r="M231" s="55"/>
      <c r="N231" s="55"/>
      <c r="O231" s="55"/>
      <c r="P231" s="55"/>
      <c r="Q231" s="55"/>
      <c r="R231" s="55"/>
      <c r="S231" s="55"/>
      <c r="T231" s="55"/>
      <c r="U231" s="55"/>
      <c r="V231" s="55"/>
      <c r="W231" s="55"/>
      <c r="X231" s="55"/>
      <c r="Y231" s="55"/>
      <c r="Z231" s="55"/>
    </row>
    <row r="232" spans="1:26" ht="15">
      <c r="A232" s="1352"/>
      <c r="B232" s="1354" t="s">
        <v>170</v>
      </c>
      <c r="C232" s="1423"/>
      <c r="D232" s="52"/>
      <c r="E232" s="53"/>
      <c r="F232" s="53"/>
      <c r="G232" s="65"/>
      <c r="H232" s="53"/>
      <c r="I232" s="55"/>
      <c r="J232" s="52"/>
      <c r="K232" s="56" t="str">
        <f t="shared" si="20"/>
        <v/>
      </c>
      <c r="L232" s="55"/>
      <c r="M232" s="55"/>
      <c r="N232" s="55"/>
      <c r="O232" s="55"/>
      <c r="P232" s="55"/>
      <c r="Q232" s="55"/>
      <c r="R232" s="55"/>
      <c r="S232" s="55"/>
      <c r="T232" s="55"/>
      <c r="U232" s="55"/>
      <c r="V232" s="55"/>
      <c r="W232" s="55"/>
      <c r="X232" s="55"/>
      <c r="Y232" s="55"/>
      <c r="Z232" s="55"/>
    </row>
    <row r="233" spans="1:26" ht="15">
      <c r="A233" s="1352"/>
      <c r="B233" s="1354" t="s">
        <v>171</v>
      </c>
      <c r="C233" s="1423"/>
      <c r="D233" s="52"/>
      <c r="E233" s="53"/>
      <c r="F233" s="53"/>
      <c r="G233" s="65"/>
      <c r="H233" s="53"/>
      <c r="I233" s="55"/>
      <c r="J233" s="52"/>
      <c r="K233" s="56" t="str">
        <f t="shared" si="20"/>
        <v/>
      </c>
      <c r="L233" s="55"/>
      <c r="M233" s="55"/>
      <c r="N233" s="55"/>
      <c r="O233" s="55"/>
      <c r="P233" s="55"/>
      <c r="Q233" s="55"/>
      <c r="R233" s="55"/>
      <c r="S233" s="55"/>
      <c r="T233" s="55"/>
      <c r="U233" s="55"/>
      <c r="V233" s="55"/>
      <c r="W233" s="55"/>
      <c r="X233" s="55"/>
      <c r="Y233" s="55"/>
      <c r="Z233" s="55"/>
    </row>
    <row r="234" spans="1:26" ht="15">
      <c r="A234" s="1352"/>
      <c r="B234" s="1354" t="s">
        <v>172</v>
      </c>
      <c r="C234" s="1423"/>
      <c r="D234" s="52"/>
      <c r="E234" s="53"/>
      <c r="F234" s="53"/>
      <c r="G234" s="65"/>
      <c r="H234" s="53"/>
      <c r="I234" s="55"/>
      <c r="J234" s="52"/>
      <c r="K234" s="56" t="str">
        <f t="shared" si="20"/>
        <v/>
      </c>
      <c r="L234" s="55"/>
      <c r="M234" s="55"/>
      <c r="N234" s="55"/>
      <c r="O234" s="55"/>
      <c r="P234" s="55"/>
      <c r="Q234" s="55"/>
      <c r="R234" s="55"/>
      <c r="S234" s="55"/>
      <c r="T234" s="55"/>
      <c r="U234" s="55"/>
      <c r="V234" s="55"/>
      <c r="W234" s="55"/>
      <c r="X234" s="55"/>
      <c r="Y234" s="55"/>
      <c r="Z234" s="55"/>
    </row>
    <row r="235" spans="1:26" ht="15">
      <c r="A235" s="1352"/>
      <c r="B235" s="1354" t="s">
        <v>201</v>
      </c>
      <c r="C235" s="1423"/>
      <c r="D235" s="52"/>
      <c r="E235" s="53"/>
      <c r="F235" s="53"/>
      <c r="G235" s="65"/>
      <c r="H235" s="53"/>
      <c r="I235" s="55"/>
      <c r="J235" s="52"/>
      <c r="K235" s="56" t="str">
        <f t="shared" si="20"/>
        <v/>
      </c>
      <c r="L235" s="55"/>
      <c r="M235" s="55"/>
      <c r="N235" s="55"/>
      <c r="O235" s="55"/>
      <c r="P235" s="55"/>
      <c r="Q235" s="55"/>
      <c r="R235" s="55"/>
      <c r="S235" s="55"/>
      <c r="T235" s="55"/>
      <c r="U235" s="55"/>
      <c r="V235" s="55"/>
      <c r="W235" s="55"/>
      <c r="X235" s="55"/>
      <c r="Y235" s="55"/>
      <c r="Z235" s="55"/>
    </row>
    <row r="236" spans="1:26" ht="15">
      <c r="A236" s="1352"/>
      <c r="B236" s="1354" t="s">
        <v>107</v>
      </c>
      <c r="C236" s="1423"/>
      <c r="D236" s="52"/>
      <c r="E236" s="53"/>
      <c r="F236" s="53"/>
      <c r="G236" s="65"/>
      <c r="H236" s="53"/>
      <c r="I236" s="55"/>
      <c r="J236" s="52"/>
      <c r="K236" s="56" t="str">
        <f t="shared" si="20"/>
        <v/>
      </c>
      <c r="L236" s="55"/>
      <c r="M236" s="55"/>
      <c r="N236" s="55"/>
      <c r="O236" s="55"/>
      <c r="P236" s="55"/>
      <c r="Q236" s="55"/>
      <c r="R236" s="55"/>
      <c r="S236" s="55"/>
      <c r="T236" s="55"/>
      <c r="U236" s="55"/>
      <c r="V236" s="55"/>
      <c r="W236" s="55"/>
      <c r="X236" s="55"/>
      <c r="Y236" s="55"/>
      <c r="Z236" s="55"/>
    </row>
    <row r="237" spans="1:26" ht="15">
      <c r="A237" s="1352"/>
      <c r="B237" s="1354" t="s">
        <v>133</v>
      </c>
      <c r="C237" s="1423"/>
      <c r="D237" s="52"/>
      <c r="E237" s="53"/>
      <c r="F237" s="53"/>
      <c r="G237" s="65"/>
      <c r="H237" s="53"/>
      <c r="I237" s="55"/>
      <c r="J237" s="52"/>
      <c r="K237" s="56" t="str">
        <f t="shared" si="20"/>
        <v/>
      </c>
      <c r="L237" s="55"/>
      <c r="M237" s="55"/>
      <c r="N237" s="55"/>
      <c r="O237" s="55"/>
      <c r="P237" s="55"/>
      <c r="Q237" s="55"/>
      <c r="R237" s="55"/>
      <c r="S237" s="55"/>
      <c r="T237" s="55"/>
      <c r="U237" s="55"/>
      <c r="V237" s="55"/>
      <c r="W237" s="55"/>
      <c r="X237" s="55"/>
      <c r="Y237" s="55"/>
      <c r="Z237" s="55"/>
    </row>
    <row r="238" spans="1:26" ht="15">
      <c r="A238" s="1352"/>
      <c r="B238" s="1354" t="s">
        <v>203</v>
      </c>
      <c r="C238" s="1423"/>
      <c r="D238" s="52"/>
      <c r="E238" s="53"/>
      <c r="F238" s="53"/>
      <c r="G238" s="65"/>
      <c r="H238" s="53"/>
      <c r="I238" s="55"/>
      <c r="J238" s="52"/>
      <c r="K238" s="56" t="str">
        <f t="shared" si="20"/>
        <v/>
      </c>
      <c r="L238" s="55"/>
      <c r="M238" s="55"/>
      <c r="N238" s="55"/>
      <c r="O238" s="55"/>
      <c r="P238" s="55"/>
      <c r="Q238" s="55"/>
      <c r="R238" s="55"/>
      <c r="S238" s="55"/>
      <c r="T238" s="55"/>
      <c r="U238" s="55"/>
      <c r="V238" s="55"/>
      <c r="W238" s="55"/>
      <c r="X238" s="55"/>
      <c r="Y238" s="55"/>
      <c r="Z238" s="55"/>
    </row>
    <row r="239" spans="1:26" ht="15">
      <c r="A239" s="1352"/>
      <c r="B239" s="1354" t="s">
        <v>116</v>
      </c>
      <c r="C239" s="1423"/>
      <c r="D239" s="52"/>
      <c r="E239" s="53"/>
      <c r="F239" s="53"/>
      <c r="G239" s="65"/>
      <c r="H239" s="53"/>
      <c r="I239" s="55"/>
      <c r="J239" s="52"/>
      <c r="K239" s="56" t="str">
        <f t="shared" si="20"/>
        <v/>
      </c>
      <c r="L239" s="55"/>
      <c r="M239" s="55"/>
      <c r="N239" s="55"/>
      <c r="O239" s="55"/>
      <c r="P239" s="55"/>
      <c r="Q239" s="55"/>
      <c r="R239" s="55"/>
      <c r="S239" s="55"/>
      <c r="T239" s="55"/>
      <c r="U239" s="55"/>
      <c r="V239" s="55"/>
      <c r="W239" s="55"/>
      <c r="X239" s="55"/>
      <c r="Y239" s="55"/>
      <c r="Z239" s="55"/>
    </row>
    <row r="240" spans="1:26" ht="15">
      <c r="A240" s="1352"/>
      <c r="B240" s="1354" t="s">
        <v>214</v>
      </c>
      <c r="C240" s="1423"/>
      <c r="D240" s="52"/>
      <c r="E240" s="53"/>
      <c r="F240" s="53"/>
      <c r="G240" s="65"/>
      <c r="H240" s="53"/>
      <c r="I240" s="55"/>
      <c r="J240" s="52"/>
      <c r="K240" s="56" t="str">
        <f t="shared" si="20"/>
        <v/>
      </c>
      <c r="L240" s="55"/>
      <c r="M240" s="55"/>
      <c r="N240" s="55"/>
      <c r="O240" s="55"/>
      <c r="P240" s="55"/>
      <c r="Q240" s="55"/>
      <c r="R240" s="55"/>
      <c r="S240" s="55"/>
      <c r="T240" s="55"/>
      <c r="U240" s="55"/>
      <c r="V240" s="55"/>
      <c r="W240" s="55"/>
      <c r="X240" s="55"/>
      <c r="Y240" s="55"/>
      <c r="Z240" s="55"/>
    </row>
    <row r="241" spans="1:26" ht="15">
      <c r="A241" s="1352"/>
      <c r="B241" s="1354" t="s">
        <v>175</v>
      </c>
      <c r="C241" s="1423"/>
      <c r="D241" s="52"/>
      <c r="E241" s="53"/>
      <c r="F241" s="53"/>
      <c r="G241" s="65"/>
      <c r="H241" s="53"/>
      <c r="I241" s="55"/>
      <c r="J241" s="52"/>
      <c r="K241" s="56" t="str">
        <f t="shared" si="20"/>
        <v/>
      </c>
      <c r="L241" s="55"/>
      <c r="M241" s="55"/>
      <c r="N241" s="55"/>
      <c r="O241" s="55"/>
      <c r="P241" s="55"/>
      <c r="Q241" s="55"/>
      <c r="R241" s="55"/>
      <c r="S241" s="55"/>
      <c r="T241" s="55"/>
      <c r="U241" s="55"/>
      <c r="V241" s="55"/>
      <c r="W241" s="55"/>
      <c r="X241" s="55"/>
      <c r="Y241" s="55"/>
      <c r="Z241" s="55"/>
    </row>
    <row r="242" spans="1:26" ht="15">
      <c r="A242" s="1352"/>
      <c r="B242" s="1354" t="s">
        <v>117</v>
      </c>
      <c r="C242" s="1423"/>
      <c r="D242" s="52"/>
      <c r="E242" s="53"/>
      <c r="F242" s="53"/>
      <c r="G242" s="65"/>
      <c r="H242" s="53"/>
      <c r="I242" s="55"/>
      <c r="J242" s="52"/>
      <c r="K242" s="56" t="str">
        <f t="shared" si="20"/>
        <v/>
      </c>
      <c r="L242" s="55"/>
      <c r="M242" s="55"/>
      <c r="N242" s="55"/>
      <c r="O242" s="55"/>
      <c r="P242" s="55"/>
      <c r="Q242" s="55"/>
      <c r="R242" s="55"/>
      <c r="S242" s="55"/>
      <c r="T242" s="55"/>
      <c r="U242" s="55"/>
      <c r="V242" s="55"/>
      <c r="W242" s="55"/>
      <c r="X242" s="55"/>
      <c r="Y242" s="55"/>
      <c r="Z242" s="55"/>
    </row>
    <row r="243" spans="1:26" ht="15">
      <c r="A243" s="1352"/>
      <c r="B243" s="1354" t="s">
        <v>110</v>
      </c>
      <c r="C243" s="1423"/>
      <c r="D243" s="52"/>
      <c r="E243" s="53"/>
      <c r="F243" s="53"/>
      <c r="G243" s="65"/>
      <c r="H243" s="53"/>
      <c r="I243" s="55"/>
      <c r="J243" s="52"/>
      <c r="K243" s="56" t="str">
        <f t="shared" si="20"/>
        <v/>
      </c>
      <c r="L243" s="55"/>
      <c r="M243" s="55"/>
      <c r="N243" s="55"/>
      <c r="O243" s="55"/>
      <c r="P243" s="55"/>
      <c r="Q243" s="55"/>
      <c r="R243" s="55"/>
      <c r="S243" s="55"/>
      <c r="T243" s="55"/>
      <c r="U243" s="55"/>
      <c r="V243" s="55"/>
      <c r="W243" s="55"/>
      <c r="X243" s="55"/>
      <c r="Y243" s="55"/>
      <c r="Z243" s="55"/>
    </row>
    <row r="244" spans="1:26" ht="15">
      <c r="A244" s="1352"/>
      <c r="B244" s="1354" t="s">
        <v>215</v>
      </c>
      <c r="C244" s="1423"/>
      <c r="D244" s="52"/>
      <c r="E244" s="53"/>
      <c r="F244" s="53"/>
      <c r="G244" s="65"/>
      <c r="H244" s="53"/>
      <c r="I244" s="55"/>
      <c r="J244" s="52"/>
      <c r="K244" s="56" t="str">
        <f t="shared" si="20"/>
        <v/>
      </c>
      <c r="L244" s="55"/>
      <c r="M244" s="55"/>
      <c r="N244" s="55"/>
      <c r="O244" s="55"/>
      <c r="P244" s="55"/>
      <c r="Q244" s="55"/>
      <c r="R244" s="55"/>
      <c r="S244" s="55"/>
      <c r="T244" s="55"/>
      <c r="U244" s="55"/>
      <c r="V244" s="55"/>
      <c r="W244" s="55"/>
      <c r="X244" s="55"/>
      <c r="Y244" s="55"/>
      <c r="Z244" s="55"/>
    </row>
    <row r="245" spans="1:26" ht="15">
      <c r="A245" s="1352"/>
      <c r="B245" s="1354" t="s">
        <v>184</v>
      </c>
      <c r="C245" s="1423"/>
      <c r="D245" s="52"/>
      <c r="E245" s="53"/>
      <c r="F245" s="53"/>
      <c r="G245" s="65"/>
      <c r="H245" s="53"/>
      <c r="I245" s="55"/>
      <c r="J245" s="52"/>
      <c r="K245" s="56" t="str">
        <f t="shared" si="20"/>
        <v/>
      </c>
      <c r="L245" s="55"/>
      <c r="M245" s="55"/>
      <c r="N245" s="55"/>
      <c r="O245" s="55"/>
      <c r="P245" s="55"/>
      <c r="Q245" s="55"/>
      <c r="R245" s="55"/>
      <c r="S245" s="55"/>
      <c r="T245" s="55"/>
      <c r="U245" s="55"/>
      <c r="V245" s="55"/>
      <c r="W245" s="55"/>
      <c r="X245" s="55"/>
      <c r="Y245" s="55"/>
      <c r="Z245" s="55"/>
    </row>
    <row r="246" spans="1:26" ht="15">
      <c r="A246" s="1350" t="s">
        <v>216</v>
      </c>
      <c r="B246" s="1350" t="s">
        <v>213</v>
      </c>
      <c r="C246" s="1422"/>
      <c r="D246" s="52" t="s">
        <v>103</v>
      </c>
      <c r="E246" s="53">
        <v>450</v>
      </c>
      <c r="F246" s="53"/>
      <c r="G246" s="65"/>
      <c r="H246" s="53"/>
      <c r="I246" s="55"/>
      <c r="J246" s="52"/>
      <c r="K246" s="56">
        <f t="shared" si="20"/>
        <v>0</v>
      </c>
      <c r="L246" s="55"/>
      <c r="M246" s="55"/>
      <c r="N246" s="55"/>
      <c r="O246" s="55"/>
      <c r="P246" s="55"/>
      <c r="Q246" s="55"/>
      <c r="R246" s="55"/>
      <c r="S246" s="55"/>
      <c r="T246" s="55"/>
      <c r="U246" s="55"/>
      <c r="V246" s="55"/>
      <c r="W246" s="55"/>
      <c r="X246" s="55"/>
      <c r="Y246" s="55"/>
      <c r="Z246" s="55"/>
    </row>
    <row r="247" spans="1:26" ht="15">
      <c r="A247" s="1352"/>
      <c r="B247" s="1354" t="s">
        <v>112</v>
      </c>
      <c r="C247" s="1423"/>
      <c r="D247" s="52"/>
      <c r="E247" s="53"/>
      <c r="F247" s="53"/>
      <c r="G247" s="65"/>
      <c r="H247" s="53"/>
      <c r="I247" s="55"/>
      <c r="J247" s="52"/>
      <c r="K247" s="56" t="str">
        <f t="shared" si="20"/>
        <v/>
      </c>
      <c r="L247" s="55"/>
      <c r="M247" s="55"/>
      <c r="N247" s="55"/>
      <c r="O247" s="55"/>
      <c r="P247" s="55"/>
      <c r="Q247" s="55"/>
      <c r="R247" s="55"/>
      <c r="S247" s="55"/>
      <c r="T247" s="55"/>
      <c r="U247" s="55"/>
      <c r="V247" s="55"/>
      <c r="W247" s="55"/>
      <c r="X247" s="55"/>
      <c r="Y247" s="55"/>
      <c r="Z247" s="55"/>
    </row>
    <row r="248" spans="1:26" ht="15">
      <c r="A248" s="1352"/>
      <c r="B248" s="1354" t="s">
        <v>170</v>
      </c>
      <c r="C248" s="1423"/>
      <c r="D248" s="52"/>
      <c r="E248" s="53"/>
      <c r="F248" s="53"/>
      <c r="G248" s="65"/>
      <c r="H248" s="53"/>
      <c r="I248" s="55"/>
      <c r="J248" s="52"/>
      <c r="K248" s="56" t="str">
        <f t="shared" si="20"/>
        <v/>
      </c>
      <c r="L248" s="55"/>
      <c r="M248" s="55"/>
      <c r="N248" s="55"/>
      <c r="O248" s="55"/>
      <c r="P248" s="55"/>
      <c r="Q248" s="55"/>
      <c r="R248" s="55"/>
      <c r="S248" s="55"/>
      <c r="T248" s="55"/>
      <c r="U248" s="55"/>
      <c r="V248" s="55"/>
      <c r="W248" s="55"/>
      <c r="X248" s="55"/>
      <c r="Y248" s="55"/>
      <c r="Z248" s="55"/>
    </row>
    <row r="249" spans="1:26" ht="15">
      <c r="A249" s="1352"/>
      <c r="B249" s="1354" t="s">
        <v>171</v>
      </c>
      <c r="C249" s="1423"/>
      <c r="D249" s="52"/>
      <c r="E249" s="53"/>
      <c r="F249" s="53"/>
      <c r="G249" s="65"/>
      <c r="H249" s="53"/>
      <c r="I249" s="55"/>
      <c r="J249" s="52"/>
      <c r="K249" s="56" t="str">
        <f t="shared" si="20"/>
        <v/>
      </c>
      <c r="L249" s="55"/>
      <c r="M249" s="55"/>
      <c r="N249" s="55"/>
      <c r="O249" s="55"/>
      <c r="P249" s="55"/>
      <c r="Q249" s="55"/>
      <c r="R249" s="55"/>
      <c r="S249" s="55"/>
      <c r="T249" s="55"/>
      <c r="U249" s="55"/>
      <c r="V249" s="55"/>
      <c r="W249" s="55"/>
      <c r="X249" s="55"/>
      <c r="Y249" s="55"/>
      <c r="Z249" s="55"/>
    </row>
    <row r="250" spans="1:26" ht="15">
      <c r="A250" s="1352"/>
      <c r="B250" s="1354" t="s">
        <v>172</v>
      </c>
      <c r="C250" s="1423"/>
      <c r="D250" s="52"/>
      <c r="E250" s="53"/>
      <c r="F250" s="53"/>
      <c r="G250" s="65"/>
      <c r="H250" s="53"/>
      <c r="I250" s="55"/>
      <c r="J250" s="52"/>
      <c r="K250" s="56" t="str">
        <f t="shared" si="20"/>
        <v/>
      </c>
      <c r="L250" s="55"/>
      <c r="M250" s="55"/>
      <c r="N250" s="55"/>
      <c r="O250" s="55"/>
      <c r="P250" s="55"/>
      <c r="Q250" s="55"/>
      <c r="R250" s="55"/>
      <c r="S250" s="55"/>
      <c r="T250" s="55"/>
      <c r="U250" s="55"/>
      <c r="V250" s="55"/>
      <c r="W250" s="55"/>
      <c r="X250" s="55"/>
      <c r="Y250" s="55"/>
      <c r="Z250" s="55"/>
    </row>
    <row r="251" spans="1:26" ht="15">
      <c r="A251" s="1352"/>
      <c r="B251" s="1354" t="s">
        <v>201</v>
      </c>
      <c r="C251" s="1423"/>
      <c r="D251" s="52"/>
      <c r="E251" s="53"/>
      <c r="F251" s="53"/>
      <c r="G251" s="65"/>
      <c r="H251" s="53"/>
      <c r="I251" s="55"/>
      <c r="J251" s="52"/>
      <c r="K251" s="56" t="str">
        <f t="shared" si="20"/>
        <v/>
      </c>
      <c r="L251" s="55"/>
      <c r="M251" s="55"/>
      <c r="N251" s="55"/>
      <c r="O251" s="55"/>
      <c r="P251" s="55"/>
      <c r="Q251" s="55"/>
      <c r="R251" s="55"/>
      <c r="S251" s="55"/>
      <c r="T251" s="55"/>
      <c r="U251" s="55"/>
      <c r="V251" s="55"/>
      <c r="W251" s="55"/>
      <c r="X251" s="55"/>
      <c r="Y251" s="55"/>
      <c r="Z251" s="55"/>
    </row>
    <row r="252" spans="1:26" ht="15">
      <c r="A252" s="1352"/>
      <c r="B252" s="1354" t="s">
        <v>107</v>
      </c>
      <c r="C252" s="1423"/>
      <c r="D252" s="52"/>
      <c r="E252" s="53"/>
      <c r="F252" s="53"/>
      <c r="G252" s="65"/>
      <c r="H252" s="53"/>
      <c r="I252" s="55"/>
      <c r="J252" s="52"/>
      <c r="K252" s="56" t="str">
        <f t="shared" si="20"/>
        <v/>
      </c>
      <c r="L252" s="55"/>
      <c r="M252" s="55"/>
      <c r="N252" s="55"/>
      <c r="O252" s="55"/>
      <c r="P252" s="55"/>
      <c r="Q252" s="55"/>
      <c r="R252" s="55"/>
      <c r="S252" s="55"/>
      <c r="T252" s="55"/>
      <c r="U252" s="55"/>
      <c r="V252" s="55"/>
      <c r="W252" s="55"/>
      <c r="X252" s="55"/>
      <c r="Y252" s="55"/>
      <c r="Z252" s="55"/>
    </row>
    <row r="253" spans="1:26" ht="15">
      <c r="A253" s="1352"/>
      <c r="B253" s="1354" t="s">
        <v>133</v>
      </c>
      <c r="C253" s="1423"/>
      <c r="D253" s="52"/>
      <c r="E253" s="53"/>
      <c r="F253" s="53"/>
      <c r="G253" s="65"/>
      <c r="H253" s="53"/>
      <c r="I253" s="55"/>
      <c r="J253" s="52"/>
      <c r="K253" s="56" t="str">
        <f t="shared" si="20"/>
        <v/>
      </c>
      <c r="L253" s="55"/>
      <c r="M253" s="55"/>
      <c r="N253" s="55"/>
      <c r="O253" s="55"/>
      <c r="P253" s="55"/>
      <c r="Q253" s="55"/>
      <c r="R253" s="55"/>
      <c r="S253" s="55"/>
      <c r="T253" s="55"/>
      <c r="U253" s="55"/>
      <c r="V253" s="55"/>
      <c r="W253" s="55"/>
      <c r="X253" s="55"/>
      <c r="Y253" s="55"/>
      <c r="Z253" s="55"/>
    </row>
    <row r="254" spans="1:26" ht="15">
      <c r="A254" s="1352"/>
      <c r="B254" s="1354" t="s">
        <v>203</v>
      </c>
      <c r="C254" s="1423"/>
      <c r="D254" s="52"/>
      <c r="E254" s="53"/>
      <c r="F254" s="53"/>
      <c r="G254" s="65"/>
      <c r="H254" s="53"/>
      <c r="I254" s="55"/>
      <c r="J254" s="52"/>
      <c r="K254" s="56" t="str">
        <f t="shared" si="20"/>
        <v/>
      </c>
      <c r="L254" s="55"/>
      <c r="M254" s="55"/>
      <c r="N254" s="55"/>
      <c r="O254" s="55"/>
      <c r="P254" s="55"/>
      <c r="Q254" s="55"/>
      <c r="R254" s="55"/>
      <c r="S254" s="55"/>
      <c r="T254" s="55"/>
      <c r="U254" s="55"/>
      <c r="V254" s="55"/>
      <c r="W254" s="55"/>
      <c r="X254" s="55"/>
      <c r="Y254" s="55"/>
      <c r="Z254" s="55"/>
    </row>
    <row r="255" spans="1:26" ht="15">
      <c r="A255" s="1352"/>
      <c r="B255" s="1354" t="s">
        <v>116</v>
      </c>
      <c r="C255" s="1423"/>
      <c r="D255" s="52"/>
      <c r="E255" s="53"/>
      <c r="F255" s="53"/>
      <c r="G255" s="65"/>
      <c r="H255" s="53"/>
      <c r="I255" s="55"/>
      <c r="J255" s="52">
        <v>12</v>
      </c>
      <c r="K255" s="56" t="str">
        <f t="shared" si="20"/>
        <v/>
      </c>
      <c r="L255" s="55"/>
      <c r="M255" s="55"/>
      <c r="N255" s="55"/>
      <c r="O255" s="55"/>
      <c r="P255" s="55"/>
      <c r="Q255" s="55"/>
      <c r="R255" s="55"/>
      <c r="S255" s="55"/>
      <c r="T255" s="55"/>
      <c r="U255" s="55"/>
      <c r="V255" s="55"/>
      <c r="W255" s="55"/>
      <c r="X255" s="55"/>
      <c r="Y255" s="55"/>
      <c r="Z255" s="55"/>
    </row>
    <row r="256" spans="1:26" ht="15">
      <c r="A256" s="1352"/>
      <c r="B256" s="1354" t="s">
        <v>214</v>
      </c>
      <c r="C256" s="1423"/>
      <c r="D256" s="52"/>
      <c r="E256" s="53"/>
      <c r="F256" s="53"/>
      <c r="G256" s="65"/>
      <c r="H256" s="53"/>
      <c r="I256" s="55"/>
      <c r="J256" s="52"/>
      <c r="K256" s="56" t="str">
        <f t="shared" si="20"/>
        <v/>
      </c>
      <c r="L256" s="55"/>
      <c r="M256" s="55"/>
      <c r="N256" s="55"/>
      <c r="O256" s="55"/>
      <c r="P256" s="55"/>
      <c r="Q256" s="55"/>
      <c r="R256" s="55"/>
      <c r="S256" s="55"/>
      <c r="T256" s="55"/>
      <c r="U256" s="55"/>
      <c r="V256" s="55"/>
      <c r="W256" s="55"/>
      <c r="X256" s="55"/>
      <c r="Y256" s="55"/>
      <c r="Z256" s="55"/>
    </row>
    <row r="257" spans="1:26" ht="15">
      <c r="A257" s="1352"/>
      <c r="B257" s="1354" t="s">
        <v>175</v>
      </c>
      <c r="C257" s="1423"/>
      <c r="D257" s="52"/>
      <c r="E257" s="53"/>
      <c r="F257" s="53"/>
      <c r="G257" s="65"/>
      <c r="H257" s="53"/>
      <c r="I257" s="55"/>
      <c r="J257" s="52"/>
      <c r="K257" s="56" t="str">
        <f t="shared" si="20"/>
        <v/>
      </c>
      <c r="L257" s="55"/>
      <c r="M257" s="55"/>
      <c r="N257" s="55"/>
      <c r="O257" s="55"/>
      <c r="P257" s="55"/>
      <c r="Q257" s="55"/>
      <c r="R257" s="55"/>
      <c r="S257" s="55"/>
      <c r="T257" s="55"/>
      <c r="U257" s="55"/>
      <c r="V257" s="55"/>
      <c r="W257" s="55"/>
      <c r="X257" s="55"/>
      <c r="Y257" s="55"/>
      <c r="Z257" s="55"/>
    </row>
    <row r="258" spans="1:26" ht="15">
      <c r="A258" s="1352"/>
      <c r="B258" s="1354" t="s">
        <v>117</v>
      </c>
      <c r="C258" s="1423"/>
      <c r="D258" s="52"/>
      <c r="E258" s="53"/>
      <c r="F258" s="53"/>
      <c r="G258" s="65"/>
      <c r="H258" s="53"/>
      <c r="I258" s="55"/>
      <c r="J258" s="52"/>
      <c r="K258" s="56" t="str">
        <f t="shared" si="20"/>
        <v/>
      </c>
      <c r="L258" s="55"/>
      <c r="M258" s="55"/>
      <c r="N258" s="55"/>
      <c r="O258" s="55"/>
      <c r="P258" s="55"/>
      <c r="Q258" s="55"/>
      <c r="R258" s="55"/>
      <c r="S258" s="55"/>
      <c r="T258" s="55"/>
      <c r="U258" s="55"/>
      <c r="V258" s="55"/>
      <c r="W258" s="55"/>
      <c r="X258" s="55"/>
      <c r="Y258" s="55"/>
      <c r="Z258" s="55"/>
    </row>
    <row r="259" spans="1:26" ht="15">
      <c r="A259" s="1352"/>
      <c r="B259" s="1354" t="s">
        <v>110</v>
      </c>
      <c r="C259" s="1423"/>
      <c r="D259" s="52"/>
      <c r="E259" s="53"/>
      <c r="F259" s="53"/>
      <c r="G259" s="65"/>
      <c r="H259" s="53"/>
      <c r="I259" s="55"/>
      <c r="J259" s="52"/>
      <c r="K259" s="56" t="str">
        <f t="shared" si="20"/>
        <v/>
      </c>
      <c r="L259" s="55"/>
      <c r="M259" s="55"/>
      <c r="N259" s="55"/>
      <c r="O259" s="55"/>
      <c r="P259" s="55"/>
      <c r="Q259" s="55"/>
      <c r="R259" s="55"/>
      <c r="S259" s="55"/>
      <c r="T259" s="55"/>
      <c r="U259" s="55"/>
      <c r="V259" s="55"/>
      <c r="W259" s="55"/>
      <c r="X259" s="55"/>
      <c r="Y259" s="55"/>
      <c r="Z259" s="55"/>
    </row>
    <row r="260" spans="1:26" ht="15">
      <c r="A260" s="1352"/>
      <c r="B260" s="1354" t="s">
        <v>215</v>
      </c>
      <c r="C260" s="1423"/>
      <c r="D260" s="52"/>
      <c r="E260" s="53"/>
      <c r="F260" s="53"/>
      <c r="G260" s="65"/>
      <c r="H260" s="53"/>
      <c r="I260" s="55"/>
      <c r="J260" s="52"/>
      <c r="K260" s="56" t="str">
        <f t="shared" si="20"/>
        <v/>
      </c>
      <c r="L260" s="55"/>
      <c r="M260" s="55"/>
      <c r="N260" s="55"/>
      <c r="O260" s="55"/>
      <c r="P260" s="55"/>
      <c r="Q260" s="55"/>
      <c r="R260" s="55"/>
      <c r="S260" s="55"/>
      <c r="T260" s="55"/>
      <c r="U260" s="55"/>
      <c r="V260" s="55"/>
      <c r="W260" s="55"/>
      <c r="X260" s="55"/>
      <c r="Y260" s="55"/>
      <c r="Z260" s="55"/>
    </row>
    <row r="261" spans="1:26" ht="15">
      <c r="A261" s="1352"/>
      <c r="B261" s="1354" t="s">
        <v>184</v>
      </c>
      <c r="C261" s="1423"/>
      <c r="D261" s="52"/>
      <c r="E261" s="53"/>
      <c r="F261" s="53"/>
      <c r="G261" s="65"/>
      <c r="H261" s="53"/>
      <c r="I261" s="55"/>
      <c r="J261" s="52"/>
      <c r="K261" s="56" t="str">
        <f t="shared" si="20"/>
        <v/>
      </c>
      <c r="L261" s="55"/>
      <c r="M261" s="55"/>
      <c r="N261" s="55"/>
      <c r="O261" s="55"/>
      <c r="P261" s="55"/>
      <c r="Q261" s="55"/>
      <c r="R261" s="55"/>
      <c r="S261" s="55"/>
      <c r="T261" s="55"/>
      <c r="U261" s="55"/>
      <c r="V261" s="55"/>
      <c r="W261" s="55"/>
      <c r="X261" s="55"/>
      <c r="Y261" s="55"/>
      <c r="Z261" s="55"/>
    </row>
    <row r="262" spans="1:26" ht="15">
      <c r="A262" s="1350" t="s">
        <v>217</v>
      </c>
      <c r="B262" s="1350" t="s">
        <v>213</v>
      </c>
      <c r="C262" s="1422"/>
      <c r="D262" s="52" t="s">
        <v>103</v>
      </c>
      <c r="E262" s="53">
        <v>450</v>
      </c>
      <c r="F262" s="53"/>
      <c r="G262" s="65"/>
      <c r="H262" s="53"/>
      <c r="I262" s="55"/>
      <c r="J262" s="52"/>
      <c r="K262" s="56">
        <f t="shared" si="20"/>
        <v>0</v>
      </c>
      <c r="L262" s="55"/>
      <c r="M262" s="55"/>
      <c r="N262" s="55"/>
      <c r="O262" s="55"/>
      <c r="P262" s="55"/>
      <c r="Q262" s="55"/>
      <c r="R262" s="55"/>
      <c r="S262" s="55"/>
      <c r="T262" s="55"/>
      <c r="U262" s="55"/>
      <c r="V262" s="55"/>
      <c r="W262" s="55"/>
      <c r="X262" s="55"/>
      <c r="Y262" s="55"/>
      <c r="Z262" s="55"/>
    </row>
    <row r="263" spans="1:26" ht="15">
      <c r="A263" s="1352"/>
      <c r="B263" s="1354" t="s">
        <v>112</v>
      </c>
      <c r="C263" s="1423"/>
      <c r="D263" s="52"/>
      <c r="E263" s="53"/>
      <c r="F263" s="53"/>
      <c r="G263" s="65"/>
      <c r="H263" s="53"/>
      <c r="I263" s="55"/>
      <c r="J263" s="52"/>
      <c r="K263" s="56" t="str">
        <f t="shared" si="20"/>
        <v/>
      </c>
      <c r="L263" s="55"/>
      <c r="M263" s="55"/>
      <c r="N263" s="55"/>
      <c r="O263" s="55"/>
      <c r="P263" s="55"/>
      <c r="Q263" s="55"/>
      <c r="R263" s="55"/>
      <c r="S263" s="55"/>
      <c r="T263" s="55"/>
      <c r="U263" s="55"/>
      <c r="V263" s="55"/>
      <c r="W263" s="55"/>
      <c r="X263" s="55"/>
      <c r="Y263" s="55"/>
      <c r="Z263" s="55"/>
    </row>
    <row r="264" spans="1:26" ht="15">
      <c r="A264" s="1352"/>
      <c r="B264" s="1354" t="s">
        <v>170</v>
      </c>
      <c r="C264" s="1423"/>
      <c r="D264" s="52"/>
      <c r="E264" s="53"/>
      <c r="F264" s="53"/>
      <c r="G264" s="65"/>
      <c r="H264" s="53"/>
      <c r="I264" s="55"/>
      <c r="J264" s="52"/>
      <c r="K264" s="56" t="str">
        <f t="shared" si="20"/>
        <v/>
      </c>
      <c r="L264" s="55"/>
      <c r="M264" s="55"/>
      <c r="N264" s="55"/>
      <c r="O264" s="55"/>
      <c r="P264" s="55"/>
      <c r="Q264" s="55"/>
      <c r="R264" s="55"/>
      <c r="S264" s="55"/>
      <c r="T264" s="55"/>
      <c r="U264" s="55"/>
      <c r="V264" s="55"/>
      <c r="W264" s="55"/>
      <c r="X264" s="55"/>
      <c r="Y264" s="55"/>
      <c r="Z264" s="55"/>
    </row>
    <row r="265" spans="1:26" ht="15">
      <c r="A265" s="1352"/>
      <c r="B265" s="1354" t="s">
        <v>171</v>
      </c>
      <c r="C265" s="1423"/>
      <c r="D265" s="52"/>
      <c r="E265" s="53"/>
      <c r="F265" s="53"/>
      <c r="G265" s="65"/>
      <c r="H265" s="53"/>
      <c r="I265" s="55"/>
      <c r="J265" s="52"/>
      <c r="K265" s="56" t="str">
        <f t="shared" si="20"/>
        <v/>
      </c>
      <c r="L265" s="55"/>
      <c r="M265" s="55"/>
      <c r="N265" s="55"/>
      <c r="O265" s="55"/>
      <c r="P265" s="55"/>
      <c r="Q265" s="55"/>
      <c r="R265" s="55"/>
      <c r="S265" s="55"/>
      <c r="T265" s="55"/>
      <c r="U265" s="55"/>
      <c r="V265" s="55"/>
      <c r="W265" s="55"/>
      <c r="X265" s="55"/>
      <c r="Y265" s="55"/>
      <c r="Z265" s="55"/>
    </row>
    <row r="266" spans="1:26" ht="15">
      <c r="A266" s="1352"/>
      <c r="B266" s="1354" t="s">
        <v>172</v>
      </c>
      <c r="C266" s="1423"/>
      <c r="D266" s="52"/>
      <c r="E266" s="53"/>
      <c r="F266" s="53"/>
      <c r="G266" s="65"/>
      <c r="H266" s="53"/>
      <c r="I266" s="55"/>
      <c r="J266" s="52"/>
      <c r="K266" s="56" t="str">
        <f t="shared" si="20"/>
        <v/>
      </c>
      <c r="L266" s="55"/>
      <c r="M266" s="55"/>
      <c r="N266" s="55"/>
      <c r="O266" s="55"/>
      <c r="P266" s="55"/>
      <c r="Q266" s="55"/>
      <c r="R266" s="55"/>
      <c r="S266" s="55"/>
      <c r="T266" s="55"/>
      <c r="U266" s="55"/>
      <c r="V266" s="55"/>
      <c r="W266" s="55"/>
      <c r="X266" s="55"/>
      <c r="Y266" s="55"/>
      <c r="Z266" s="55"/>
    </row>
    <row r="267" spans="1:26" ht="15">
      <c r="A267" s="1352"/>
      <c r="B267" s="1354" t="s">
        <v>201</v>
      </c>
      <c r="C267" s="1423"/>
      <c r="D267" s="52"/>
      <c r="E267" s="53"/>
      <c r="F267" s="53"/>
      <c r="G267" s="65"/>
      <c r="H267" s="53"/>
      <c r="I267" s="55"/>
      <c r="J267" s="52"/>
      <c r="K267" s="56" t="str">
        <f t="shared" si="20"/>
        <v/>
      </c>
      <c r="L267" s="55"/>
      <c r="M267" s="55"/>
      <c r="N267" s="55"/>
      <c r="O267" s="55"/>
      <c r="P267" s="55"/>
      <c r="Q267" s="55"/>
      <c r="R267" s="55"/>
      <c r="S267" s="55"/>
      <c r="T267" s="55"/>
      <c r="U267" s="55"/>
      <c r="V267" s="55"/>
      <c r="W267" s="55"/>
      <c r="X267" s="55"/>
      <c r="Y267" s="55"/>
      <c r="Z267" s="55"/>
    </row>
    <row r="268" spans="1:26" ht="15">
      <c r="A268" s="1352"/>
      <c r="B268" s="1354" t="s">
        <v>107</v>
      </c>
      <c r="C268" s="1423"/>
      <c r="D268" s="52"/>
      <c r="E268" s="53"/>
      <c r="F268" s="53"/>
      <c r="G268" s="65"/>
      <c r="H268" s="53"/>
      <c r="I268" s="55"/>
      <c r="J268" s="52"/>
      <c r="K268" s="56" t="str">
        <f t="shared" si="20"/>
        <v/>
      </c>
      <c r="L268" s="55"/>
      <c r="M268" s="55"/>
      <c r="N268" s="55"/>
      <c r="O268" s="55"/>
      <c r="P268" s="55"/>
      <c r="Q268" s="55"/>
      <c r="R268" s="55"/>
      <c r="S268" s="55"/>
      <c r="T268" s="55"/>
      <c r="U268" s="55"/>
      <c r="V268" s="55"/>
      <c r="W268" s="55"/>
      <c r="X268" s="55"/>
      <c r="Y268" s="55"/>
      <c r="Z268" s="55"/>
    </row>
    <row r="269" spans="1:26" ht="15">
      <c r="A269" s="1352"/>
      <c r="B269" s="1354" t="s">
        <v>133</v>
      </c>
      <c r="C269" s="1423"/>
      <c r="D269" s="52"/>
      <c r="E269" s="53"/>
      <c r="F269" s="53"/>
      <c r="G269" s="65"/>
      <c r="H269" s="53"/>
      <c r="I269" s="55"/>
      <c r="J269" s="52"/>
      <c r="K269" s="56" t="str">
        <f t="shared" si="20"/>
        <v/>
      </c>
      <c r="L269" s="55"/>
      <c r="M269" s="55"/>
      <c r="N269" s="55"/>
      <c r="O269" s="55"/>
      <c r="P269" s="55"/>
      <c r="Q269" s="55"/>
      <c r="R269" s="55"/>
      <c r="S269" s="55"/>
      <c r="T269" s="55"/>
      <c r="U269" s="55"/>
      <c r="V269" s="55"/>
      <c r="W269" s="55"/>
      <c r="X269" s="55"/>
      <c r="Y269" s="55"/>
      <c r="Z269" s="55"/>
    </row>
    <row r="270" spans="1:26" ht="15">
      <c r="A270" s="1352"/>
      <c r="B270" s="1354" t="s">
        <v>203</v>
      </c>
      <c r="C270" s="1423"/>
      <c r="D270" s="52"/>
      <c r="E270" s="53"/>
      <c r="F270" s="53"/>
      <c r="G270" s="65"/>
      <c r="H270" s="53"/>
      <c r="I270" s="55"/>
      <c r="J270" s="52"/>
      <c r="K270" s="56" t="str">
        <f t="shared" si="20"/>
        <v/>
      </c>
      <c r="L270" s="55"/>
      <c r="M270" s="55"/>
      <c r="N270" s="55"/>
      <c r="O270" s="55"/>
      <c r="P270" s="55"/>
      <c r="Q270" s="55"/>
      <c r="R270" s="55"/>
      <c r="S270" s="55"/>
      <c r="T270" s="55"/>
      <c r="U270" s="55"/>
      <c r="V270" s="55"/>
      <c r="W270" s="55"/>
      <c r="X270" s="55"/>
      <c r="Y270" s="55"/>
      <c r="Z270" s="55"/>
    </row>
    <row r="271" spans="1:26" ht="15">
      <c r="A271" s="1352"/>
      <c r="B271" s="1354" t="s">
        <v>116</v>
      </c>
      <c r="C271" s="1423"/>
      <c r="D271" s="52"/>
      <c r="E271" s="53"/>
      <c r="F271" s="53"/>
      <c r="G271" s="65"/>
      <c r="H271" s="53"/>
      <c r="I271" s="55"/>
      <c r="J271" s="52"/>
      <c r="K271" s="56" t="str">
        <f t="shared" si="20"/>
        <v/>
      </c>
      <c r="L271" s="55"/>
      <c r="M271" s="55"/>
      <c r="N271" s="55"/>
      <c r="O271" s="55"/>
      <c r="P271" s="55"/>
      <c r="Q271" s="55"/>
      <c r="R271" s="55"/>
      <c r="S271" s="55"/>
      <c r="T271" s="55"/>
      <c r="U271" s="55"/>
      <c r="V271" s="55"/>
      <c r="W271" s="55"/>
      <c r="X271" s="55"/>
      <c r="Y271" s="55"/>
      <c r="Z271" s="55"/>
    </row>
    <row r="272" spans="1:26" ht="15">
      <c r="A272" s="1352"/>
      <c r="B272" s="1354" t="s">
        <v>214</v>
      </c>
      <c r="C272" s="1423"/>
      <c r="D272" s="52"/>
      <c r="E272" s="53"/>
      <c r="F272" s="53"/>
      <c r="G272" s="65"/>
      <c r="H272" s="53"/>
      <c r="I272" s="55"/>
      <c r="J272" s="52"/>
      <c r="K272" s="56" t="str">
        <f t="shared" si="20"/>
        <v/>
      </c>
      <c r="L272" s="55"/>
      <c r="M272" s="55"/>
      <c r="N272" s="55"/>
      <c r="O272" s="55"/>
      <c r="P272" s="55"/>
      <c r="Q272" s="55"/>
      <c r="R272" s="55"/>
      <c r="S272" s="55"/>
      <c r="T272" s="55"/>
      <c r="U272" s="55"/>
      <c r="V272" s="55"/>
      <c r="W272" s="55"/>
      <c r="X272" s="55"/>
      <c r="Y272" s="55"/>
      <c r="Z272" s="55"/>
    </row>
    <row r="273" spans="1:26" ht="15">
      <c r="A273" s="1352"/>
      <c r="B273" s="1354" t="s">
        <v>175</v>
      </c>
      <c r="C273" s="1423"/>
      <c r="D273" s="52"/>
      <c r="E273" s="53"/>
      <c r="F273" s="53"/>
      <c r="G273" s="65"/>
      <c r="H273" s="53"/>
      <c r="I273" s="55"/>
      <c r="J273" s="52"/>
      <c r="K273" s="56" t="str">
        <f t="shared" si="20"/>
        <v/>
      </c>
      <c r="L273" s="55"/>
      <c r="M273" s="55"/>
      <c r="N273" s="55"/>
      <c r="O273" s="55"/>
      <c r="P273" s="55"/>
      <c r="Q273" s="55"/>
      <c r="R273" s="55"/>
      <c r="S273" s="55"/>
      <c r="T273" s="55"/>
      <c r="U273" s="55"/>
      <c r="V273" s="55"/>
      <c r="W273" s="55"/>
      <c r="X273" s="55"/>
      <c r="Y273" s="55"/>
      <c r="Z273" s="55"/>
    </row>
    <row r="274" spans="1:26" ht="15">
      <c r="A274" s="1352"/>
      <c r="B274" s="1354" t="s">
        <v>117</v>
      </c>
      <c r="C274" s="1423"/>
      <c r="D274" s="52"/>
      <c r="E274" s="53"/>
      <c r="F274" s="53"/>
      <c r="G274" s="65"/>
      <c r="H274" s="53"/>
      <c r="I274" s="55"/>
      <c r="J274" s="52"/>
      <c r="K274" s="56" t="str">
        <f t="shared" si="20"/>
        <v/>
      </c>
      <c r="L274" s="55"/>
      <c r="M274" s="55"/>
      <c r="N274" s="55"/>
      <c r="O274" s="55"/>
      <c r="P274" s="55"/>
      <c r="Q274" s="55"/>
      <c r="R274" s="55"/>
      <c r="S274" s="55"/>
      <c r="T274" s="55"/>
      <c r="U274" s="55"/>
      <c r="V274" s="55"/>
      <c r="W274" s="55"/>
      <c r="X274" s="55"/>
      <c r="Y274" s="55"/>
      <c r="Z274" s="55"/>
    </row>
    <row r="275" spans="1:26" ht="15">
      <c r="A275" s="1352"/>
      <c r="B275" s="1354" t="s">
        <v>110</v>
      </c>
      <c r="C275" s="1423"/>
      <c r="D275" s="52"/>
      <c r="E275" s="53"/>
      <c r="F275" s="53"/>
      <c r="G275" s="65"/>
      <c r="H275" s="53"/>
      <c r="I275" s="55"/>
      <c r="J275" s="52"/>
      <c r="K275" s="56" t="str">
        <f t="shared" si="20"/>
        <v/>
      </c>
      <c r="L275" s="55"/>
      <c r="M275" s="55"/>
      <c r="N275" s="55"/>
      <c r="O275" s="55"/>
      <c r="P275" s="55"/>
      <c r="Q275" s="55"/>
      <c r="R275" s="55"/>
      <c r="S275" s="55"/>
      <c r="T275" s="55"/>
      <c r="U275" s="55"/>
      <c r="V275" s="55"/>
      <c r="W275" s="55"/>
      <c r="X275" s="55"/>
      <c r="Y275" s="55"/>
      <c r="Z275" s="55"/>
    </row>
    <row r="276" spans="1:26" ht="15">
      <c r="A276" s="1352"/>
      <c r="B276" s="1354" t="s">
        <v>215</v>
      </c>
      <c r="C276" s="1423"/>
      <c r="D276" s="52"/>
      <c r="E276" s="53"/>
      <c r="F276" s="53"/>
      <c r="G276" s="65"/>
      <c r="H276" s="53"/>
      <c r="I276" s="55"/>
      <c r="J276" s="52"/>
      <c r="K276" s="56" t="str">
        <f t="shared" si="20"/>
        <v/>
      </c>
      <c r="L276" s="55"/>
      <c r="M276" s="55"/>
      <c r="N276" s="55"/>
      <c r="O276" s="55"/>
      <c r="P276" s="55"/>
      <c r="Q276" s="55"/>
      <c r="R276" s="55"/>
      <c r="S276" s="55"/>
      <c r="T276" s="55"/>
      <c r="U276" s="55"/>
      <c r="V276" s="55"/>
      <c r="W276" s="55"/>
      <c r="X276" s="55"/>
      <c r="Y276" s="55"/>
      <c r="Z276" s="55"/>
    </row>
    <row r="277" spans="1:26" ht="15">
      <c r="A277" s="1352"/>
      <c r="B277" s="1354" t="s">
        <v>184</v>
      </c>
      <c r="C277" s="1423"/>
      <c r="D277" s="52"/>
      <c r="E277" s="53"/>
      <c r="F277" s="53"/>
      <c r="G277" s="65"/>
      <c r="H277" s="53"/>
      <c r="I277" s="55"/>
      <c r="J277" s="52"/>
      <c r="K277" s="56" t="str">
        <f t="shared" si="20"/>
        <v/>
      </c>
      <c r="L277" s="55"/>
      <c r="M277" s="55"/>
      <c r="N277" s="55"/>
      <c r="O277" s="55"/>
      <c r="P277" s="55"/>
      <c r="Q277" s="55"/>
      <c r="R277" s="55"/>
      <c r="S277" s="55"/>
      <c r="T277" s="55"/>
      <c r="U277" s="55"/>
      <c r="V277" s="55"/>
      <c r="W277" s="55"/>
      <c r="X277" s="55"/>
      <c r="Y277" s="55"/>
      <c r="Z277" s="55"/>
    </row>
    <row r="278" spans="1:26" ht="15">
      <c r="A278" s="1350" t="s">
        <v>218</v>
      </c>
      <c r="B278" s="1350" t="s">
        <v>213</v>
      </c>
      <c r="C278" s="1422"/>
      <c r="D278" s="52" t="s">
        <v>103</v>
      </c>
      <c r="E278" s="53">
        <v>450</v>
      </c>
      <c r="F278" s="53"/>
      <c r="G278" s="65"/>
      <c r="H278" s="53"/>
      <c r="I278" s="55"/>
      <c r="J278" s="52"/>
      <c r="K278" s="56">
        <f t="shared" si="20"/>
        <v>0</v>
      </c>
      <c r="L278" s="55"/>
      <c r="M278" s="55"/>
      <c r="N278" s="55"/>
      <c r="O278" s="55"/>
      <c r="P278" s="55"/>
      <c r="Q278" s="55"/>
      <c r="R278" s="55"/>
      <c r="S278" s="55"/>
      <c r="T278" s="55"/>
      <c r="U278" s="55"/>
      <c r="V278" s="55"/>
      <c r="W278" s="55"/>
      <c r="X278" s="55"/>
      <c r="Y278" s="55"/>
      <c r="Z278" s="55"/>
    </row>
    <row r="279" spans="1:26" ht="15">
      <c r="A279" s="1352"/>
      <c r="B279" s="1354" t="s">
        <v>112</v>
      </c>
      <c r="C279" s="1423"/>
      <c r="D279" s="52"/>
      <c r="E279" s="53"/>
      <c r="F279" s="53"/>
      <c r="G279" s="65"/>
      <c r="H279" s="53"/>
      <c r="I279" s="55"/>
      <c r="J279" s="52"/>
      <c r="K279" s="56" t="str">
        <f t="shared" si="20"/>
        <v/>
      </c>
      <c r="L279" s="55"/>
      <c r="M279" s="55"/>
      <c r="N279" s="55"/>
      <c r="O279" s="55"/>
      <c r="P279" s="55"/>
      <c r="Q279" s="55"/>
      <c r="R279" s="55"/>
      <c r="S279" s="55"/>
      <c r="T279" s="55"/>
      <c r="U279" s="55"/>
      <c r="V279" s="55"/>
      <c r="W279" s="55"/>
      <c r="X279" s="55"/>
      <c r="Y279" s="55"/>
      <c r="Z279" s="55"/>
    </row>
    <row r="280" spans="1:26" ht="15">
      <c r="A280" s="1352"/>
      <c r="B280" s="1354" t="s">
        <v>170</v>
      </c>
      <c r="C280" s="1423"/>
      <c r="D280" s="52"/>
      <c r="E280" s="53"/>
      <c r="F280" s="53"/>
      <c r="G280" s="65"/>
      <c r="H280" s="53"/>
      <c r="I280" s="55"/>
      <c r="J280" s="52"/>
      <c r="K280" s="56" t="str">
        <f t="shared" si="20"/>
        <v/>
      </c>
      <c r="L280" s="55"/>
      <c r="M280" s="55"/>
      <c r="N280" s="55"/>
      <c r="O280" s="55"/>
      <c r="P280" s="55"/>
      <c r="Q280" s="55"/>
      <c r="R280" s="55"/>
      <c r="S280" s="55"/>
      <c r="T280" s="55"/>
      <c r="U280" s="55"/>
      <c r="V280" s="55"/>
      <c r="W280" s="55"/>
      <c r="X280" s="55"/>
      <c r="Y280" s="55"/>
      <c r="Z280" s="55"/>
    </row>
    <row r="281" spans="1:26" ht="15">
      <c r="A281" s="1352"/>
      <c r="B281" s="1354" t="s">
        <v>171</v>
      </c>
      <c r="C281" s="1423"/>
      <c r="D281" s="52"/>
      <c r="E281" s="53"/>
      <c r="F281" s="53"/>
      <c r="G281" s="65"/>
      <c r="H281" s="53"/>
      <c r="I281" s="55"/>
      <c r="J281" s="52"/>
      <c r="K281" s="56" t="str">
        <f t="shared" si="20"/>
        <v/>
      </c>
      <c r="L281" s="55"/>
      <c r="M281" s="55"/>
      <c r="N281" s="55"/>
      <c r="O281" s="55"/>
      <c r="P281" s="55"/>
      <c r="Q281" s="55"/>
      <c r="R281" s="55"/>
      <c r="S281" s="55"/>
      <c r="T281" s="55"/>
      <c r="U281" s="55"/>
      <c r="V281" s="55"/>
      <c r="W281" s="55"/>
      <c r="X281" s="55"/>
      <c r="Y281" s="55"/>
      <c r="Z281" s="55"/>
    </row>
    <row r="282" spans="1:26" ht="15">
      <c r="A282" s="1352"/>
      <c r="B282" s="1354" t="s">
        <v>172</v>
      </c>
      <c r="C282" s="1423"/>
      <c r="D282" s="52"/>
      <c r="E282" s="53"/>
      <c r="F282" s="53"/>
      <c r="G282" s="65"/>
      <c r="H282" s="53"/>
      <c r="I282" s="55"/>
      <c r="J282" s="52">
        <v>12</v>
      </c>
      <c r="K282" s="56" t="str">
        <f t="shared" si="20"/>
        <v/>
      </c>
      <c r="L282" s="55"/>
      <c r="M282" s="55"/>
      <c r="N282" s="55"/>
      <c r="O282" s="55"/>
      <c r="P282" s="55"/>
      <c r="Q282" s="55"/>
      <c r="R282" s="55"/>
      <c r="S282" s="55"/>
      <c r="T282" s="55"/>
      <c r="U282" s="55"/>
      <c r="V282" s="55"/>
      <c r="W282" s="55"/>
      <c r="X282" s="55"/>
      <c r="Y282" s="55"/>
      <c r="Z282" s="55"/>
    </row>
    <row r="283" spans="1:26" ht="15">
      <c r="A283" s="1352"/>
      <c r="B283" s="1354" t="s">
        <v>201</v>
      </c>
      <c r="C283" s="1423"/>
      <c r="D283" s="52"/>
      <c r="E283" s="53"/>
      <c r="F283" s="53"/>
      <c r="G283" s="65"/>
      <c r="H283" s="53"/>
      <c r="I283" s="55"/>
      <c r="J283" s="52"/>
      <c r="K283" s="56" t="str">
        <f t="shared" si="20"/>
        <v/>
      </c>
      <c r="L283" s="55"/>
      <c r="M283" s="55"/>
      <c r="N283" s="55"/>
      <c r="O283" s="55"/>
      <c r="P283" s="55"/>
      <c r="Q283" s="55"/>
      <c r="R283" s="55"/>
      <c r="S283" s="55"/>
      <c r="T283" s="55"/>
      <c r="U283" s="55"/>
      <c r="V283" s="55"/>
      <c r="W283" s="55"/>
      <c r="X283" s="55"/>
      <c r="Y283" s="55"/>
      <c r="Z283" s="55"/>
    </row>
    <row r="284" spans="1:26" ht="15">
      <c r="A284" s="1352"/>
      <c r="B284" s="1354" t="s">
        <v>107</v>
      </c>
      <c r="C284" s="1423"/>
      <c r="D284" s="52"/>
      <c r="E284" s="53"/>
      <c r="F284" s="53"/>
      <c r="G284" s="65"/>
      <c r="H284" s="53"/>
      <c r="I284" s="55"/>
      <c r="J284" s="52"/>
      <c r="K284" s="56" t="str">
        <f t="shared" si="20"/>
        <v/>
      </c>
      <c r="L284" s="55"/>
      <c r="M284" s="55"/>
      <c r="N284" s="55"/>
      <c r="O284" s="55"/>
      <c r="P284" s="55"/>
      <c r="Q284" s="55"/>
      <c r="R284" s="55"/>
      <c r="S284" s="55"/>
      <c r="T284" s="55"/>
      <c r="U284" s="55"/>
      <c r="V284" s="55"/>
      <c r="W284" s="55"/>
      <c r="X284" s="55"/>
      <c r="Y284" s="55"/>
      <c r="Z284" s="55"/>
    </row>
    <row r="285" spans="1:26" ht="15">
      <c r="A285" s="1352"/>
      <c r="B285" s="1354" t="s">
        <v>133</v>
      </c>
      <c r="C285" s="1423"/>
      <c r="D285" s="52"/>
      <c r="E285" s="53"/>
      <c r="F285" s="53"/>
      <c r="G285" s="65"/>
      <c r="H285" s="53"/>
      <c r="I285" s="55"/>
      <c r="J285" s="52"/>
      <c r="K285" s="56" t="str">
        <f t="shared" si="20"/>
        <v/>
      </c>
      <c r="L285" s="55"/>
      <c r="M285" s="55"/>
      <c r="N285" s="55"/>
      <c r="O285" s="55"/>
      <c r="P285" s="55"/>
      <c r="Q285" s="55"/>
      <c r="R285" s="55"/>
      <c r="S285" s="55"/>
      <c r="T285" s="55"/>
      <c r="U285" s="55"/>
      <c r="V285" s="55"/>
      <c r="W285" s="55"/>
      <c r="X285" s="55"/>
      <c r="Y285" s="55"/>
      <c r="Z285" s="55"/>
    </row>
    <row r="286" spans="1:26" ht="15">
      <c r="A286" s="1352"/>
      <c r="B286" s="1354" t="s">
        <v>203</v>
      </c>
      <c r="C286" s="1423"/>
      <c r="D286" s="52"/>
      <c r="E286" s="53"/>
      <c r="F286" s="53"/>
      <c r="G286" s="65"/>
      <c r="H286" s="53"/>
      <c r="I286" s="55"/>
      <c r="J286" s="52"/>
      <c r="K286" s="56" t="str">
        <f t="shared" si="20"/>
        <v/>
      </c>
      <c r="L286" s="55"/>
      <c r="M286" s="55"/>
      <c r="N286" s="55"/>
      <c r="O286" s="55"/>
      <c r="P286" s="55"/>
      <c r="Q286" s="55"/>
      <c r="R286" s="55"/>
      <c r="S286" s="55"/>
      <c r="T286" s="55"/>
      <c r="U286" s="55"/>
      <c r="V286" s="55"/>
      <c r="W286" s="55"/>
      <c r="X286" s="55"/>
      <c r="Y286" s="55"/>
      <c r="Z286" s="55"/>
    </row>
    <row r="287" spans="1:26" ht="15">
      <c r="A287" s="1352"/>
      <c r="B287" s="1354" t="s">
        <v>116</v>
      </c>
      <c r="C287" s="1423"/>
      <c r="D287" s="52"/>
      <c r="E287" s="53"/>
      <c r="F287" s="53"/>
      <c r="G287" s="65"/>
      <c r="H287" s="53"/>
      <c r="I287" s="55"/>
      <c r="J287" s="52"/>
      <c r="K287" s="56" t="str">
        <f t="shared" si="20"/>
        <v/>
      </c>
      <c r="L287" s="55"/>
      <c r="M287" s="55"/>
      <c r="N287" s="55"/>
      <c r="O287" s="55"/>
      <c r="P287" s="55"/>
      <c r="Q287" s="55"/>
      <c r="R287" s="55"/>
      <c r="S287" s="55"/>
      <c r="T287" s="55"/>
      <c r="U287" s="55"/>
      <c r="V287" s="55"/>
      <c r="W287" s="55"/>
      <c r="X287" s="55"/>
      <c r="Y287" s="55"/>
      <c r="Z287" s="55"/>
    </row>
    <row r="288" spans="1:26" ht="15">
      <c r="A288" s="1352"/>
      <c r="B288" s="1354" t="s">
        <v>214</v>
      </c>
      <c r="C288" s="1423"/>
      <c r="D288" s="52"/>
      <c r="E288" s="53"/>
      <c r="F288" s="53"/>
      <c r="G288" s="65"/>
      <c r="H288" s="53"/>
      <c r="I288" s="55"/>
      <c r="J288" s="52"/>
      <c r="K288" s="56" t="str">
        <f t="shared" si="20"/>
        <v/>
      </c>
      <c r="L288" s="55"/>
      <c r="M288" s="55"/>
      <c r="N288" s="55"/>
      <c r="O288" s="55"/>
      <c r="P288" s="55"/>
      <c r="Q288" s="55"/>
      <c r="R288" s="55"/>
      <c r="S288" s="55"/>
      <c r="T288" s="55"/>
      <c r="U288" s="55"/>
      <c r="V288" s="55"/>
      <c r="W288" s="55"/>
      <c r="X288" s="55"/>
      <c r="Y288" s="55"/>
      <c r="Z288" s="55"/>
    </row>
    <row r="289" spans="1:26" ht="15">
      <c r="A289" s="1352"/>
      <c r="B289" s="1354" t="s">
        <v>175</v>
      </c>
      <c r="C289" s="1423"/>
      <c r="D289" s="52"/>
      <c r="E289" s="53"/>
      <c r="F289" s="53"/>
      <c r="G289" s="65"/>
      <c r="H289" s="53"/>
      <c r="I289" s="55"/>
      <c r="J289" s="52"/>
      <c r="K289" s="56" t="str">
        <f t="shared" si="20"/>
        <v/>
      </c>
      <c r="L289" s="55"/>
      <c r="M289" s="55"/>
      <c r="N289" s="55"/>
      <c r="O289" s="55"/>
      <c r="P289" s="55"/>
      <c r="Q289" s="55"/>
      <c r="R289" s="55"/>
      <c r="S289" s="55"/>
      <c r="T289" s="55"/>
      <c r="U289" s="55"/>
      <c r="V289" s="55"/>
      <c r="W289" s="55"/>
      <c r="X289" s="55"/>
      <c r="Y289" s="55"/>
      <c r="Z289" s="55"/>
    </row>
    <row r="290" spans="1:26" ht="15">
      <c r="A290" s="1352"/>
      <c r="B290" s="1354" t="s">
        <v>117</v>
      </c>
      <c r="C290" s="1423"/>
      <c r="D290" s="52"/>
      <c r="E290" s="53"/>
      <c r="F290" s="53"/>
      <c r="G290" s="65"/>
      <c r="H290" s="53"/>
      <c r="I290" s="55"/>
      <c r="J290" s="52"/>
      <c r="K290" s="56" t="str">
        <f t="shared" si="20"/>
        <v/>
      </c>
      <c r="L290" s="55"/>
      <c r="M290" s="55"/>
      <c r="N290" s="55"/>
      <c r="O290" s="55"/>
      <c r="P290" s="55"/>
      <c r="Q290" s="55"/>
      <c r="R290" s="55"/>
      <c r="S290" s="55"/>
      <c r="T290" s="55"/>
      <c r="U290" s="55"/>
      <c r="V290" s="55"/>
      <c r="W290" s="55"/>
      <c r="X290" s="55"/>
      <c r="Y290" s="55"/>
      <c r="Z290" s="55"/>
    </row>
    <row r="291" spans="1:26" ht="15">
      <c r="A291" s="1352"/>
      <c r="B291" s="1354" t="s">
        <v>110</v>
      </c>
      <c r="C291" s="1423"/>
      <c r="D291" s="52"/>
      <c r="E291" s="53"/>
      <c r="F291" s="53"/>
      <c r="G291" s="65"/>
      <c r="H291" s="53"/>
      <c r="I291" s="55"/>
      <c r="J291" s="52"/>
      <c r="K291" s="56" t="str">
        <f t="shared" si="20"/>
        <v/>
      </c>
      <c r="L291" s="55"/>
      <c r="M291" s="55"/>
      <c r="N291" s="55"/>
      <c r="O291" s="55"/>
      <c r="P291" s="55"/>
      <c r="Q291" s="55"/>
      <c r="R291" s="55"/>
      <c r="S291" s="55"/>
      <c r="T291" s="55"/>
      <c r="U291" s="55"/>
      <c r="V291" s="55"/>
      <c r="W291" s="55"/>
      <c r="X291" s="55"/>
      <c r="Y291" s="55"/>
      <c r="Z291" s="55"/>
    </row>
    <row r="292" spans="1:26" ht="15">
      <c r="A292" s="1352"/>
      <c r="B292" s="1354" t="s">
        <v>215</v>
      </c>
      <c r="C292" s="1423"/>
      <c r="D292" s="52"/>
      <c r="E292" s="53"/>
      <c r="F292" s="53"/>
      <c r="G292" s="65"/>
      <c r="H292" s="53"/>
      <c r="I292" s="55"/>
      <c r="J292" s="52"/>
      <c r="K292" s="56" t="str">
        <f t="shared" si="20"/>
        <v/>
      </c>
      <c r="L292" s="55"/>
      <c r="M292" s="55"/>
      <c r="N292" s="55"/>
      <c r="O292" s="55"/>
      <c r="P292" s="55"/>
      <c r="Q292" s="55"/>
      <c r="R292" s="55"/>
      <c r="S292" s="55"/>
      <c r="T292" s="55"/>
      <c r="U292" s="55"/>
      <c r="V292" s="55"/>
      <c r="W292" s="55"/>
      <c r="X292" s="55"/>
      <c r="Y292" s="55"/>
      <c r="Z292" s="55"/>
    </row>
    <row r="293" spans="1:26" ht="15">
      <c r="A293" s="1352"/>
      <c r="B293" s="1354" t="s">
        <v>184</v>
      </c>
      <c r="C293" s="1423"/>
      <c r="D293" s="52"/>
      <c r="E293" s="53"/>
      <c r="F293" s="53"/>
      <c r="G293" s="65"/>
      <c r="H293" s="53"/>
      <c r="I293" s="55"/>
      <c r="J293" s="52"/>
      <c r="K293" s="56" t="str">
        <f t="shared" si="20"/>
        <v/>
      </c>
      <c r="L293" s="55"/>
      <c r="M293" s="55"/>
      <c r="N293" s="55"/>
      <c r="O293" s="55"/>
      <c r="P293" s="55"/>
      <c r="Q293" s="55"/>
      <c r="R293" s="55"/>
      <c r="S293" s="55"/>
      <c r="T293" s="55"/>
      <c r="U293" s="55"/>
      <c r="V293" s="55"/>
      <c r="W293" s="55"/>
      <c r="X293" s="55"/>
      <c r="Y293" s="55"/>
      <c r="Z293" s="55"/>
    </row>
    <row r="294" spans="1:26" ht="15">
      <c r="A294" s="1350" t="s">
        <v>69</v>
      </c>
      <c r="B294" s="1350" t="s">
        <v>101</v>
      </c>
      <c r="C294" s="1422"/>
      <c r="D294" s="52" t="s">
        <v>103</v>
      </c>
      <c r="E294" s="53">
        <v>570</v>
      </c>
      <c r="F294" s="53"/>
      <c r="G294" s="65"/>
      <c r="H294" s="53"/>
      <c r="I294" s="55"/>
      <c r="J294" s="52"/>
      <c r="K294" s="56">
        <f t="shared" si="20"/>
        <v>0</v>
      </c>
      <c r="L294" s="55"/>
      <c r="M294" s="55"/>
      <c r="N294" s="55"/>
      <c r="O294" s="55"/>
      <c r="P294" s="55"/>
      <c r="Q294" s="55"/>
      <c r="R294" s="55"/>
      <c r="S294" s="55"/>
      <c r="T294" s="55"/>
      <c r="U294" s="55"/>
      <c r="V294" s="55"/>
      <c r="W294" s="55"/>
      <c r="X294" s="55"/>
      <c r="Y294" s="55"/>
      <c r="Z294" s="55"/>
    </row>
    <row r="295" spans="1:26" ht="15">
      <c r="A295" s="1350" t="s">
        <v>219</v>
      </c>
      <c r="B295" s="1350" t="s">
        <v>112</v>
      </c>
      <c r="C295" s="1422"/>
      <c r="D295" s="52" t="s">
        <v>103</v>
      </c>
      <c r="E295" s="53">
        <v>255</v>
      </c>
      <c r="F295" s="53"/>
      <c r="G295" s="65"/>
      <c r="H295" s="53"/>
      <c r="I295" s="55"/>
      <c r="J295" s="52"/>
      <c r="K295" s="56">
        <f t="shared" si="20"/>
        <v>0</v>
      </c>
      <c r="L295" s="55"/>
      <c r="M295" s="55"/>
      <c r="N295" s="55"/>
      <c r="O295" s="55"/>
      <c r="P295" s="55"/>
      <c r="Q295" s="55"/>
      <c r="R295" s="55"/>
      <c r="S295" s="55"/>
      <c r="T295" s="55"/>
      <c r="U295" s="55"/>
      <c r="V295" s="55"/>
      <c r="W295" s="55"/>
      <c r="X295" s="55"/>
      <c r="Y295" s="55"/>
      <c r="Z295" s="55"/>
    </row>
    <row r="296" spans="1:26" ht="15">
      <c r="A296" s="1352"/>
      <c r="B296" s="1354" t="s">
        <v>173</v>
      </c>
      <c r="C296" s="1423"/>
      <c r="D296" s="52"/>
      <c r="E296" s="53"/>
      <c r="F296" s="53"/>
      <c r="G296" s="65"/>
      <c r="H296" s="53"/>
      <c r="I296" s="55"/>
      <c r="J296" s="52"/>
      <c r="K296" s="56" t="str">
        <f t="shared" si="20"/>
        <v/>
      </c>
      <c r="L296" s="55"/>
      <c r="M296" s="55"/>
      <c r="N296" s="55"/>
      <c r="O296" s="55"/>
      <c r="P296" s="55"/>
      <c r="Q296" s="55"/>
      <c r="R296" s="55"/>
      <c r="S296" s="55"/>
      <c r="T296" s="55"/>
      <c r="U296" s="55"/>
      <c r="V296" s="55"/>
      <c r="W296" s="55"/>
      <c r="X296" s="55"/>
      <c r="Y296" s="55"/>
      <c r="Z296" s="55"/>
    </row>
    <row r="297" spans="1:26" ht="15">
      <c r="A297" s="1352"/>
      <c r="B297" s="1354" t="s">
        <v>121</v>
      </c>
      <c r="C297" s="1423"/>
      <c r="D297" s="52"/>
      <c r="E297" s="53"/>
      <c r="F297" s="53"/>
      <c r="G297" s="65"/>
      <c r="H297" s="53"/>
      <c r="I297" s="55"/>
      <c r="J297" s="52"/>
      <c r="K297" s="56" t="str">
        <f t="shared" si="20"/>
        <v/>
      </c>
      <c r="L297" s="55"/>
      <c r="M297" s="55"/>
      <c r="N297" s="55"/>
      <c r="O297" s="55"/>
      <c r="P297" s="55"/>
      <c r="Q297" s="55"/>
      <c r="R297" s="55"/>
      <c r="S297" s="55"/>
      <c r="T297" s="55"/>
      <c r="U297" s="55"/>
      <c r="V297" s="55"/>
      <c r="W297" s="55"/>
      <c r="X297" s="55"/>
      <c r="Y297" s="55"/>
      <c r="Z297" s="55"/>
    </row>
    <row r="298" spans="1:26" ht="15">
      <c r="A298" s="1352"/>
      <c r="B298" s="1354" t="s">
        <v>122</v>
      </c>
      <c r="C298" s="1423"/>
      <c r="D298" s="52"/>
      <c r="E298" s="53"/>
      <c r="F298" s="53"/>
      <c r="G298" s="65"/>
      <c r="H298" s="53"/>
      <c r="I298" s="55"/>
      <c r="J298" s="52"/>
      <c r="K298" s="56" t="str">
        <f t="shared" si="20"/>
        <v/>
      </c>
      <c r="L298" s="55"/>
      <c r="M298" s="55"/>
      <c r="N298" s="55"/>
      <c r="O298" s="55"/>
      <c r="P298" s="55"/>
      <c r="Q298" s="55"/>
      <c r="R298" s="55"/>
      <c r="S298" s="55"/>
      <c r="T298" s="55"/>
      <c r="U298" s="55"/>
      <c r="V298" s="55"/>
      <c r="W298" s="55"/>
      <c r="X298" s="55"/>
      <c r="Y298" s="55"/>
      <c r="Z298" s="55"/>
    </row>
    <row r="299" spans="1:26" ht="15">
      <c r="A299" s="1352"/>
      <c r="B299" s="1354" t="s">
        <v>207</v>
      </c>
      <c r="C299" s="1423"/>
      <c r="D299" s="52"/>
      <c r="E299" s="53"/>
      <c r="F299" s="53"/>
      <c r="G299" s="65"/>
      <c r="H299" s="53"/>
      <c r="I299" s="55"/>
      <c r="J299" s="52"/>
      <c r="K299" s="56" t="str">
        <f t="shared" si="20"/>
        <v/>
      </c>
      <c r="L299" s="55"/>
      <c r="M299" s="55"/>
      <c r="N299" s="55"/>
      <c r="O299" s="55"/>
      <c r="P299" s="55"/>
      <c r="Q299" s="55"/>
      <c r="R299" s="55"/>
      <c r="S299" s="55"/>
      <c r="T299" s="55"/>
      <c r="U299" s="55"/>
      <c r="V299" s="55"/>
      <c r="W299" s="55"/>
      <c r="X299" s="55"/>
      <c r="Y299" s="55"/>
      <c r="Z299" s="55"/>
    </row>
    <row r="300" spans="1:26" ht="15">
      <c r="A300" s="1352"/>
      <c r="B300" s="1354" t="s">
        <v>140</v>
      </c>
      <c r="C300" s="1423"/>
      <c r="D300" s="52"/>
      <c r="E300" s="53"/>
      <c r="F300" s="53"/>
      <c r="G300" s="65"/>
      <c r="H300" s="53"/>
      <c r="I300" s="55"/>
      <c r="J300" s="52"/>
      <c r="K300" s="56" t="str">
        <f t="shared" si="20"/>
        <v/>
      </c>
      <c r="L300" s="55"/>
      <c r="M300" s="55"/>
      <c r="N300" s="55"/>
      <c r="O300" s="55"/>
      <c r="P300" s="55"/>
      <c r="Q300" s="55"/>
      <c r="R300" s="55"/>
      <c r="S300" s="55"/>
      <c r="T300" s="55"/>
      <c r="U300" s="55"/>
      <c r="V300" s="55"/>
      <c r="W300" s="55"/>
      <c r="X300" s="55"/>
      <c r="Y300" s="55"/>
      <c r="Z300" s="55"/>
    </row>
    <row r="301" spans="1:26" ht="15">
      <c r="A301" s="1352"/>
      <c r="B301" s="1354" t="s">
        <v>178</v>
      </c>
      <c r="C301" s="1423"/>
      <c r="D301" s="52"/>
      <c r="E301" s="53"/>
      <c r="F301" s="53"/>
      <c r="G301" s="65"/>
      <c r="H301" s="53"/>
      <c r="I301" s="55"/>
      <c r="J301" s="52"/>
      <c r="K301" s="56" t="str">
        <f t="shared" si="20"/>
        <v/>
      </c>
      <c r="L301" s="55"/>
      <c r="M301" s="55"/>
      <c r="N301" s="55"/>
      <c r="O301" s="55"/>
      <c r="P301" s="55"/>
      <c r="Q301" s="55"/>
      <c r="R301" s="55"/>
      <c r="S301" s="55"/>
      <c r="T301" s="55"/>
      <c r="U301" s="55"/>
      <c r="V301" s="55"/>
      <c r="W301" s="55"/>
      <c r="X301" s="55"/>
      <c r="Y301" s="55"/>
      <c r="Z301" s="55"/>
    </row>
    <row r="302" spans="1:26" ht="15">
      <c r="A302" s="1350" t="s">
        <v>220</v>
      </c>
      <c r="B302" s="1350" t="s">
        <v>101</v>
      </c>
      <c r="C302" s="1422"/>
      <c r="D302" s="52" t="s">
        <v>103</v>
      </c>
      <c r="E302" s="53">
        <v>1950</v>
      </c>
      <c r="F302" s="53"/>
      <c r="G302" s="65"/>
      <c r="H302" s="53"/>
      <c r="I302" s="55"/>
      <c r="J302" s="52"/>
      <c r="K302" s="56">
        <f t="shared" si="20"/>
        <v>0</v>
      </c>
      <c r="L302" s="55"/>
      <c r="M302" s="55"/>
      <c r="N302" s="55"/>
      <c r="O302" s="55"/>
      <c r="P302" s="55"/>
      <c r="Q302" s="55"/>
      <c r="R302" s="55"/>
      <c r="S302" s="55"/>
      <c r="T302" s="55"/>
      <c r="U302" s="55"/>
      <c r="V302" s="55"/>
      <c r="W302" s="55"/>
      <c r="X302" s="55"/>
      <c r="Y302" s="55"/>
      <c r="Z302" s="55"/>
    </row>
    <row r="303" spans="1:26" ht="15">
      <c r="A303" s="1350" t="s">
        <v>221</v>
      </c>
      <c r="B303" s="1350" t="s">
        <v>101</v>
      </c>
      <c r="C303" s="1422"/>
      <c r="D303" s="52" t="s">
        <v>103</v>
      </c>
      <c r="E303" s="53">
        <v>135</v>
      </c>
      <c r="F303" s="53"/>
      <c r="G303" s="65"/>
      <c r="H303" s="53"/>
      <c r="I303" s="55"/>
      <c r="J303" s="52"/>
      <c r="K303" s="56">
        <f t="shared" si="20"/>
        <v>0</v>
      </c>
      <c r="L303" s="55"/>
      <c r="M303" s="55"/>
      <c r="N303" s="55"/>
      <c r="O303" s="55"/>
      <c r="P303" s="55"/>
      <c r="Q303" s="55"/>
      <c r="R303" s="55"/>
      <c r="S303" s="55"/>
      <c r="T303" s="55"/>
      <c r="U303" s="55"/>
      <c r="V303" s="55"/>
      <c r="W303" s="55"/>
      <c r="X303" s="55"/>
      <c r="Y303" s="55"/>
      <c r="Z303" s="55"/>
    </row>
    <row r="304" spans="1:26" ht="15">
      <c r="A304" s="1350" t="s">
        <v>222</v>
      </c>
      <c r="B304" s="1350" t="s">
        <v>101</v>
      </c>
      <c r="C304" s="1422"/>
      <c r="D304" s="52" t="s">
        <v>103</v>
      </c>
      <c r="E304" s="53">
        <v>12900</v>
      </c>
      <c r="F304" s="53"/>
      <c r="G304" s="65"/>
      <c r="H304" s="53"/>
      <c r="I304" s="55"/>
      <c r="J304" s="52"/>
      <c r="K304" s="56">
        <f t="shared" si="20"/>
        <v>0</v>
      </c>
      <c r="L304" s="55"/>
      <c r="M304" s="55"/>
      <c r="N304" s="55"/>
      <c r="O304" s="55"/>
      <c r="P304" s="55"/>
      <c r="Q304" s="55"/>
      <c r="R304" s="55"/>
      <c r="S304" s="55"/>
      <c r="T304" s="55"/>
      <c r="U304" s="55"/>
      <c r="V304" s="55"/>
      <c r="W304" s="55"/>
      <c r="X304" s="55"/>
      <c r="Y304" s="55"/>
      <c r="Z304" s="55"/>
    </row>
    <row r="305" spans="1:26" ht="15">
      <c r="A305" s="1350" t="s">
        <v>223</v>
      </c>
      <c r="B305" s="1350" t="s">
        <v>101</v>
      </c>
      <c r="C305" s="1422"/>
      <c r="D305" s="52" t="s">
        <v>103</v>
      </c>
      <c r="E305" s="53">
        <v>3000</v>
      </c>
      <c r="F305" s="53"/>
      <c r="G305" s="65"/>
      <c r="H305" s="53"/>
      <c r="I305" s="55"/>
      <c r="J305" s="52"/>
      <c r="K305" s="56">
        <f t="shared" si="20"/>
        <v>0</v>
      </c>
      <c r="L305" s="55"/>
      <c r="M305" s="55"/>
      <c r="N305" s="55"/>
      <c r="O305" s="55"/>
      <c r="P305" s="55"/>
      <c r="Q305" s="55"/>
      <c r="R305" s="55"/>
      <c r="S305" s="55"/>
      <c r="T305" s="55"/>
      <c r="U305" s="55"/>
      <c r="V305" s="55"/>
      <c r="W305" s="55"/>
      <c r="X305" s="55"/>
      <c r="Y305" s="55"/>
      <c r="Z305" s="55"/>
    </row>
    <row r="306" spans="1:26" ht="15">
      <c r="A306" s="1350" t="s">
        <v>224</v>
      </c>
      <c r="B306" s="1350" t="s">
        <v>153</v>
      </c>
      <c r="C306" s="1422"/>
      <c r="D306" s="52" t="s">
        <v>118</v>
      </c>
      <c r="E306" s="53">
        <v>10500</v>
      </c>
      <c r="F306" s="53"/>
      <c r="G306" s="65"/>
      <c r="H306" s="53"/>
      <c r="I306" s="55"/>
      <c r="J306" s="52"/>
      <c r="K306" s="56">
        <f t="shared" si="20"/>
        <v>0</v>
      </c>
      <c r="L306" s="55"/>
      <c r="M306" s="55"/>
      <c r="N306" s="55"/>
      <c r="O306" s="55"/>
      <c r="P306" s="55"/>
      <c r="Q306" s="55"/>
      <c r="R306" s="55"/>
      <c r="S306" s="55"/>
      <c r="T306" s="55"/>
      <c r="U306" s="55"/>
      <c r="V306" s="55"/>
      <c r="W306" s="55"/>
      <c r="X306" s="55"/>
      <c r="Y306" s="55"/>
      <c r="Z306" s="55"/>
    </row>
    <row r="307" spans="1:26" ht="15">
      <c r="A307" s="1350" t="s">
        <v>225</v>
      </c>
      <c r="B307" s="1350" t="s">
        <v>101</v>
      </c>
      <c r="C307" s="1422"/>
      <c r="D307" s="52" t="s">
        <v>103</v>
      </c>
      <c r="E307" s="53">
        <v>2250</v>
      </c>
      <c r="F307" s="53"/>
      <c r="G307" s="65"/>
      <c r="H307" s="53"/>
      <c r="I307" s="55"/>
      <c r="J307" s="52"/>
      <c r="K307" s="56">
        <f t="shared" si="20"/>
        <v>0</v>
      </c>
      <c r="L307" s="55"/>
      <c r="M307" s="55"/>
      <c r="N307" s="55"/>
      <c r="O307" s="55"/>
      <c r="P307" s="55"/>
      <c r="Q307" s="55"/>
      <c r="R307" s="55"/>
      <c r="S307" s="55"/>
      <c r="T307" s="55"/>
      <c r="U307" s="55"/>
      <c r="V307" s="55"/>
      <c r="W307" s="55"/>
      <c r="X307" s="55"/>
      <c r="Y307" s="55"/>
      <c r="Z307" s="55"/>
    </row>
    <row r="308" spans="1:26" ht="15">
      <c r="A308" s="1350" t="s">
        <v>226</v>
      </c>
      <c r="B308" s="1350" t="s">
        <v>101</v>
      </c>
      <c r="C308" s="1422"/>
      <c r="D308" s="52" t="s">
        <v>103</v>
      </c>
      <c r="E308" s="53">
        <v>268.5</v>
      </c>
      <c r="F308" s="53"/>
      <c r="G308" s="65"/>
      <c r="H308" s="53"/>
      <c r="I308" s="55"/>
      <c r="J308" s="52"/>
      <c r="K308" s="56">
        <f t="shared" si="20"/>
        <v>0</v>
      </c>
      <c r="L308" s="55"/>
      <c r="M308" s="55"/>
      <c r="N308" s="55"/>
      <c r="O308" s="55"/>
      <c r="P308" s="55"/>
      <c r="Q308" s="55"/>
      <c r="R308" s="55"/>
      <c r="S308" s="55"/>
      <c r="T308" s="55"/>
      <c r="U308" s="55"/>
      <c r="V308" s="55"/>
      <c r="W308" s="55"/>
      <c r="X308" s="55"/>
      <c r="Y308" s="55"/>
      <c r="Z308" s="55"/>
    </row>
    <row r="309" spans="1:26" ht="15">
      <c r="A309" s="1350" t="s">
        <v>227</v>
      </c>
      <c r="B309" s="1350" t="s">
        <v>112</v>
      </c>
      <c r="C309" s="1422"/>
      <c r="D309" s="52" t="s">
        <v>103</v>
      </c>
      <c r="E309" s="53">
        <v>435</v>
      </c>
      <c r="F309" s="53"/>
      <c r="G309" s="65"/>
      <c r="H309" s="53"/>
      <c r="I309" s="55"/>
      <c r="J309" s="52">
        <v>12</v>
      </c>
      <c r="K309" s="56">
        <f t="shared" si="20"/>
        <v>5220</v>
      </c>
      <c r="L309" s="55"/>
      <c r="M309" s="55"/>
      <c r="N309" s="55"/>
      <c r="O309" s="55"/>
      <c r="P309" s="55"/>
      <c r="Q309" s="55"/>
      <c r="R309" s="55"/>
      <c r="S309" s="55"/>
      <c r="T309" s="55"/>
      <c r="U309" s="55"/>
      <c r="V309" s="55"/>
      <c r="W309" s="55"/>
      <c r="X309" s="55"/>
      <c r="Y309" s="55"/>
      <c r="Z309" s="55"/>
    </row>
    <row r="310" spans="1:26" ht="15">
      <c r="A310" s="1352"/>
      <c r="B310" s="1354" t="s">
        <v>113</v>
      </c>
      <c r="C310" s="1423"/>
      <c r="D310" s="52"/>
      <c r="E310" s="53"/>
      <c r="F310" s="53"/>
      <c r="G310" s="65"/>
      <c r="H310" s="53"/>
      <c r="I310" s="55"/>
      <c r="J310" s="52"/>
      <c r="K310" s="56" t="str">
        <f t="shared" si="20"/>
        <v/>
      </c>
      <c r="L310" s="55"/>
      <c r="M310" s="55"/>
      <c r="N310" s="55"/>
      <c r="O310" s="55"/>
      <c r="P310" s="55"/>
      <c r="Q310" s="55"/>
      <c r="R310" s="55"/>
      <c r="S310" s="55"/>
      <c r="T310" s="55"/>
      <c r="U310" s="55"/>
      <c r="V310" s="55"/>
      <c r="W310" s="55"/>
      <c r="X310" s="55"/>
      <c r="Y310" s="55"/>
      <c r="Z310" s="55"/>
    </row>
    <row r="311" spans="1:26" ht="15">
      <c r="A311" s="1352"/>
      <c r="B311" s="1354" t="s">
        <v>115</v>
      </c>
      <c r="C311" s="1423"/>
      <c r="D311" s="52"/>
      <c r="E311" s="53"/>
      <c r="F311" s="53"/>
      <c r="G311" s="65"/>
      <c r="H311" s="53"/>
      <c r="I311" s="55"/>
      <c r="J311" s="52"/>
      <c r="K311" s="56" t="str">
        <f t="shared" si="20"/>
        <v/>
      </c>
      <c r="L311" s="55"/>
      <c r="M311" s="55"/>
      <c r="N311" s="55"/>
      <c r="O311" s="55"/>
      <c r="P311" s="55"/>
      <c r="Q311" s="55"/>
      <c r="R311" s="55"/>
      <c r="S311" s="55"/>
      <c r="T311" s="55"/>
      <c r="U311" s="55"/>
      <c r="V311" s="55"/>
      <c r="W311" s="55"/>
      <c r="X311" s="55"/>
      <c r="Y311" s="55"/>
      <c r="Z311" s="55"/>
    </row>
    <row r="312" spans="1:26" ht="15">
      <c r="A312" s="1352"/>
      <c r="B312" s="1354" t="s">
        <v>170</v>
      </c>
      <c r="C312" s="1423"/>
      <c r="D312" s="52"/>
      <c r="E312" s="53"/>
      <c r="F312" s="53"/>
      <c r="G312" s="65"/>
      <c r="H312" s="53"/>
      <c r="I312" s="55"/>
      <c r="J312" s="52"/>
      <c r="K312" s="56" t="str">
        <f t="shared" si="20"/>
        <v/>
      </c>
      <c r="L312" s="55"/>
      <c r="M312" s="55"/>
      <c r="N312" s="55"/>
      <c r="O312" s="55"/>
      <c r="P312" s="55"/>
      <c r="Q312" s="55"/>
      <c r="R312" s="55"/>
      <c r="S312" s="55"/>
      <c r="T312" s="55"/>
      <c r="U312" s="55"/>
      <c r="V312" s="55"/>
      <c r="W312" s="55"/>
      <c r="X312" s="55"/>
      <c r="Y312" s="55"/>
      <c r="Z312" s="55"/>
    </row>
    <row r="313" spans="1:26" ht="15">
      <c r="A313" s="1352"/>
      <c r="B313" s="1354" t="s">
        <v>153</v>
      </c>
      <c r="C313" s="1423"/>
      <c r="D313" s="52"/>
      <c r="E313" s="53"/>
      <c r="F313" s="53"/>
      <c r="G313" s="65"/>
      <c r="H313" s="53"/>
      <c r="I313" s="55"/>
      <c r="J313" s="52"/>
      <c r="K313" s="56" t="str">
        <f t="shared" si="20"/>
        <v/>
      </c>
      <c r="L313" s="55"/>
      <c r="M313" s="55"/>
      <c r="N313" s="55"/>
      <c r="O313" s="55"/>
      <c r="P313" s="55"/>
      <c r="Q313" s="55"/>
      <c r="R313" s="55"/>
      <c r="S313" s="55"/>
      <c r="T313" s="55"/>
      <c r="U313" s="55"/>
      <c r="V313" s="55"/>
      <c r="W313" s="55"/>
      <c r="X313" s="55"/>
      <c r="Y313" s="55"/>
      <c r="Z313" s="55"/>
    </row>
    <row r="314" spans="1:26" ht="15">
      <c r="A314" s="1352"/>
      <c r="B314" s="1354" t="s">
        <v>108</v>
      </c>
      <c r="C314" s="1423"/>
      <c r="D314" s="52"/>
      <c r="E314" s="53"/>
      <c r="F314" s="53"/>
      <c r="G314" s="65"/>
      <c r="H314" s="53"/>
      <c r="I314" s="55"/>
      <c r="J314" s="52"/>
      <c r="K314" s="56" t="str">
        <f t="shared" si="20"/>
        <v/>
      </c>
      <c r="L314" s="55"/>
      <c r="M314" s="55"/>
      <c r="N314" s="55"/>
      <c r="O314" s="55"/>
      <c r="P314" s="55"/>
      <c r="Q314" s="55"/>
      <c r="R314" s="55"/>
      <c r="S314" s="55"/>
      <c r="T314" s="55"/>
      <c r="U314" s="55"/>
      <c r="V314" s="55"/>
      <c r="W314" s="55"/>
      <c r="X314" s="55"/>
      <c r="Y314" s="55"/>
      <c r="Z314" s="55"/>
    </row>
    <row r="315" spans="1:26" ht="15">
      <c r="A315" s="1352"/>
      <c r="B315" s="1354" t="s">
        <v>109</v>
      </c>
      <c r="C315" s="1423"/>
      <c r="D315" s="52"/>
      <c r="E315" s="53"/>
      <c r="F315" s="53"/>
      <c r="G315" s="65"/>
      <c r="H315" s="53"/>
      <c r="I315" s="55"/>
      <c r="J315" s="52"/>
      <c r="K315" s="56" t="str">
        <f t="shared" si="20"/>
        <v/>
      </c>
      <c r="L315" s="55"/>
      <c r="M315" s="55"/>
      <c r="N315" s="55"/>
      <c r="O315" s="55"/>
      <c r="P315" s="55"/>
      <c r="Q315" s="55"/>
      <c r="R315" s="55"/>
      <c r="S315" s="55"/>
      <c r="T315" s="55"/>
      <c r="U315" s="55"/>
      <c r="V315" s="55"/>
      <c r="W315" s="55"/>
      <c r="X315" s="55"/>
      <c r="Y315" s="55"/>
      <c r="Z315" s="55"/>
    </row>
    <row r="316" spans="1:26" ht="15">
      <c r="A316" s="1352"/>
      <c r="B316" s="1354" t="s">
        <v>205</v>
      </c>
      <c r="C316" s="1423"/>
      <c r="D316" s="52"/>
      <c r="E316" s="53"/>
      <c r="F316" s="53"/>
      <c r="G316" s="65"/>
      <c r="H316" s="53"/>
      <c r="I316" s="55"/>
      <c r="J316" s="52"/>
      <c r="K316" s="56" t="str">
        <f t="shared" si="20"/>
        <v/>
      </c>
      <c r="L316" s="55"/>
      <c r="M316" s="55"/>
      <c r="N316" s="55"/>
      <c r="O316" s="55"/>
      <c r="P316" s="55"/>
      <c r="Q316" s="55"/>
      <c r="R316" s="55"/>
      <c r="S316" s="55"/>
      <c r="T316" s="55"/>
      <c r="U316" s="55"/>
      <c r="V316" s="55"/>
      <c r="W316" s="55"/>
      <c r="X316" s="55"/>
      <c r="Y316" s="55"/>
      <c r="Z316" s="55"/>
    </row>
    <row r="317" spans="1:26" ht="15">
      <c r="A317" s="1352"/>
      <c r="B317" s="1354" t="s">
        <v>215</v>
      </c>
      <c r="C317" s="1423"/>
      <c r="D317" s="52"/>
      <c r="E317" s="53"/>
      <c r="F317" s="53"/>
      <c r="G317" s="65"/>
      <c r="H317" s="53"/>
      <c r="I317" s="55"/>
      <c r="J317" s="52"/>
      <c r="K317" s="56" t="str">
        <f t="shared" si="20"/>
        <v/>
      </c>
      <c r="L317" s="55"/>
      <c r="M317" s="55"/>
      <c r="N317" s="55"/>
      <c r="O317" s="55"/>
      <c r="P317" s="55"/>
      <c r="Q317" s="55"/>
      <c r="R317" s="55"/>
      <c r="S317" s="55"/>
      <c r="T317" s="55"/>
      <c r="U317" s="55"/>
      <c r="V317" s="55"/>
      <c r="W317" s="55"/>
      <c r="X317" s="55"/>
      <c r="Y317" s="55"/>
      <c r="Z317" s="55"/>
    </row>
    <row r="318" spans="1:26" ht="15">
      <c r="A318" s="1352"/>
      <c r="B318" s="1354" t="s">
        <v>184</v>
      </c>
      <c r="C318" s="1423"/>
      <c r="D318" s="52"/>
      <c r="E318" s="53"/>
      <c r="F318" s="53"/>
      <c r="G318" s="65"/>
      <c r="H318" s="53"/>
      <c r="I318" s="55"/>
      <c r="J318" s="52"/>
      <c r="K318" s="56" t="str">
        <f t="shared" si="20"/>
        <v/>
      </c>
      <c r="L318" s="55"/>
      <c r="M318" s="55"/>
      <c r="N318" s="55"/>
      <c r="O318" s="55"/>
      <c r="P318" s="55"/>
      <c r="Q318" s="55"/>
      <c r="R318" s="55"/>
      <c r="S318" s="55"/>
      <c r="T318" s="55"/>
      <c r="U318" s="55"/>
      <c r="V318" s="55"/>
      <c r="W318" s="55"/>
      <c r="X318" s="55"/>
      <c r="Y318" s="55"/>
      <c r="Z318" s="55"/>
    </row>
    <row r="319" spans="1:26" ht="15">
      <c r="A319" s="1352"/>
      <c r="B319" s="1354" t="s">
        <v>180</v>
      </c>
      <c r="C319" s="1423"/>
      <c r="D319" s="52"/>
      <c r="E319" s="53"/>
      <c r="F319" s="53"/>
      <c r="G319" s="65"/>
      <c r="H319" s="53"/>
      <c r="I319" s="55"/>
      <c r="J319" s="52"/>
      <c r="K319" s="56" t="str">
        <f t="shared" si="20"/>
        <v/>
      </c>
      <c r="L319" s="55"/>
      <c r="M319" s="55"/>
      <c r="N319" s="55"/>
      <c r="O319" s="55"/>
      <c r="P319" s="55"/>
      <c r="Q319" s="55"/>
      <c r="R319" s="55"/>
      <c r="S319" s="55"/>
      <c r="T319" s="55"/>
      <c r="U319" s="55"/>
      <c r="V319" s="55"/>
      <c r="W319" s="55"/>
      <c r="X319" s="55"/>
      <c r="Y319" s="55"/>
      <c r="Z319" s="55"/>
    </row>
    <row r="320" spans="1:26" ht="15">
      <c r="A320" s="1350" t="s">
        <v>228</v>
      </c>
      <c r="B320" s="1350" t="s">
        <v>112</v>
      </c>
      <c r="C320" s="1422"/>
      <c r="D320" s="52" t="s">
        <v>103</v>
      </c>
      <c r="E320" s="53">
        <v>435</v>
      </c>
      <c r="F320" s="53"/>
      <c r="G320" s="65"/>
      <c r="H320" s="53"/>
      <c r="I320" s="55"/>
      <c r="J320" s="52"/>
      <c r="K320" s="56">
        <f t="shared" si="20"/>
        <v>0</v>
      </c>
      <c r="L320" s="55"/>
      <c r="M320" s="55"/>
      <c r="N320" s="55"/>
      <c r="O320" s="55"/>
      <c r="P320" s="55"/>
      <c r="Q320" s="55"/>
      <c r="R320" s="55"/>
      <c r="S320" s="55"/>
      <c r="T320" s="55"/>
      <c r="U320" s="55"/>
      <c r="V320" s="55"/>
      <c r="W320" s="55"/>
      <c r="X320" s="55"/>
      <c r="Y320" s="55"/>
      <c r="Z320" s="55"/>
    </row>
    <row r="321" spans="1:26" ht="15">
      <c r="A321" s="1352"/>
      <c r="B321" s="1354" t="s">
        <v>113</v>
      </c>
      <c r="C321" s="1423"/>
      <c r="D321" s="52"/>
      <c r="E321" s="53"/>
      <c r="F321" s="53"/>
      <c r="G321" s="65"/>
      <c r="H321" s="53"/>
      <c r="I321" s="55"/>
      <c r="J321" s="52"/>
      <c r="K321" s="56" t="str">
        <f t="shared" si="20"/>
        <v/>
      </c>
      <c r="L321" s="55"/>
      <c r="M321" s="55"/>
      <c r="N321" s="55"/>
      <c r="O321" s="55"/>
      <c r="P321" s="55"/>
      <c r="Q321" s="55"/>
      <c r="R321" s="55"/>
      <c r="S321" s="55"/>
      <c r="T321" s="55"/>
      <c r="U321" s="55"/>
      <c r="V321" s="55"/>
      <c r="W321" s="55"/>
      <c r="X321" s="55"/>
      <c r="Y321" s="55"/>
      <c r="Z321" s="55"/>
    </row>
    <row r="322" spans="1:26" ht="15">
      <c r="A322" s="1352"/>
      <c r="B322" s="1354" t="s">
        <v>115</v>
      </c>
      <c r="C322" s="1423"/>
      <c r="D322" s="52"/>
      <c r="E322" s="53"/>
      <c r="F322" s="53"/>
      <c r="G322" s="65"/>
      <c r="H322" s="53"/>
      <c r="I322" s="55"/>
      <c r="J322" s="52"/>
      <c r="K322" s="56" t="str">
        <f t="shared" si="20"/>
        <v/>
      </c>
      <c r="L322" s="55"/>
      <c r="M322" s="55"/>
      <c r="N322" s="55"/>
      <c r="O322" s="55"/>
      <c r="P322" s="55"/>
      <c r="Q322" s="55"/>
      <c r="R322" s="55"/>
      <c r="S322" s="55"/>
      <c r="T322" s="55"/>
      <c r="U322" s="55"/>
      <c r="V322" s="55"/>
      <c r="W322" s="55"/>
      <c r="X322" s="55"/>
      <c r="Y322" s="55"/>
      <c r="Z322" s="55"/>
    </row>
    <row r="323" spans="1:26" ht="15">
      <c r="A323" s="1352"/>
      <c r="B323" s="1354" t="s">
        <v>170</v>
      </c>
      <c r="C323" s="1423"/>
      <c r="D323" s="52"/>
      <c r="E323" s="53"/>
      <c r="F323" s="53"/>
      <c r="G323" s="65"/>
      <c r="H323" s="53"/>
      <c r="I323" s="55"/>
      <c r="J323" s="52"/>
      <c r="K323" s="56" t="str">
        <f t="shared" si="20"/>
        <v/>
      </c>
      <c r="L323" s="55"/>
      <c r="M323" s="55"/>
      <c r="N323" s="55"/>
      <c r="O323" s="55"/>
      <c r="P323" s="55"/>
      <c r="Q323" s="55"/>
      <c r="R323" s="55"/>
      <c r="S323" s="55"/>
      <c r="T323" s="55"/>
      <c r="U323" s="55"/>
      <c r="V323" s="55"/>
      <c r="W323" s="55"/>
      <c r="X323" s="55"/>
      <c r="Y323" s="55"/>
      <c r="Z323" s="55"/>
    </row>
    <row r="324" spans="1:26" ht="15">
      <c r="A324" s="1352"/>
      <c r="B324" s="1354" t="s">
        <v>153</v>
      </c>
      <c r="C324" s="1423"/>
      <c r="D324" s="52"/>
      <c r="E324" s="53"/>
      <c r="F324" s="53"/>
      <c r="G324" s="65"/>
      <c r="H324" s="53"/>
      <c r="I324" s="55"/>
      <c r="J324" s="52"/>
      <c r="K324" s="56" t="str">
        <f t="shared" si="20"/>
        <v/>
      </c>
      <c r="L324" s="55"/>
      <c r="M324" s="55"/>
      <c r="N324" s="55"/>
      <c r="O324" s="55"/>
      <c r="P324" s="55"/>
      <c r="Q324" s="55"/>
      <c r="R324" s="55"/>
      <c r="S324" s="55"/>
      <c r="T324" s="55"/>
      <c r="U324" s="55"/>
      <c r="V324" s="55"/>
      <c r="W324" s="55"/>
      <c r="X324" s="55"/>
      <c r="Y324" s="55"/>
      <c r="Z324" s="55"/>
    </row>
    <row r="325" spans="1:26" ht="15">
      <c r="A325" s="1352"/>
      <c r="B325" s="1354" t="s">
        <v>108</v>
      </c>
      <c r="C325" s="1423"/>
      <c r="D325" s="52"/>
      <c r="E325" s="53"/>
      <c r="F325" s="53"/>
      <c r="G325" s="65"/>
      <c r="H325" s="53"/>
      <c r="I325" s="55"/>
      <c r="J325" s="52"/>
      <c r="K325" s="56" t="str">
        <f t="shared" si="20"/>
        <v/>
      </c>
      <c r="L325" s="55"/>
      <c r="M325" s="55"/>
      <c r="N325" s="55"/>
      <c r="O325" s="55"/>
      <c r="P325" s="55"/>
      <c r="Q325" s="55"/>
      <c r="R325" s="55"/>
      <c r="S325" s="55"/>
      <c r="T325" s="55"/>
      <c r="U325" s="55"/>
      <c r="V325" s="55"/>
      <c r="W325" s="55"/>
      <c r="X325" s="55"/>
      <c r="Y325" s="55"/>
      <c r="Z325" s="55"/>
    </row>
    <row r="326" spans="1:26" ht="15">
      <c r="A326" s="1352"/>
      <c r="B326" s="1354" t="s">
        <v>109</v>
      </c>
      <c r="C326" s="1423"/>
      <c r="D326" s="52"/>
      <c r="E326" s="53"/>
      <c r="F326" s="53"/>
      <c r="G326" s="65"/>
      <c r="H326" s="53"/>
      <c r="I326" s="55"/>
      <c r="J326" s="52"/>
      <c r="K326" s="56" t="str">
        <f t="shared" si="20"/>
        <v/>
      </c>
      <c r="L326" s="55"/>
      <c r="M326" s="55"/>
      <c r="N326" s="55"/>
      <c r="O326" s="55"/>
      <c r="P326" s="55"/>
      <c r="Q326" s="55"/>
      <c r="R326" s="55"/>
      <c r="S326" s="55"/>
      <c r="T326" s="55"/>
      <c r="U326" s="55"/>
      <c r="V326" s="55"/>
      <c r="W326" s="55"/>
      <c r="X326" s="55"/>
      <c r="Y326" s="55"/>
      <c r="Z326" s="55"/>
    </row>
    <row r="327" spans="1:26" ht="15">
      <c r="A327" s="1352"/>
      <c r="B327" s="1354" t="s">
        <v>205</v>
      </c>
      <c r="C327" s="1423"/>
      <c r="D327" s="52"/>
      <c r="E327" s="53"/>
      <c r="F327" s="53"/>
      <c r="G327" s="65"/>
      <c r="H327" s="53"/>
      <c r="I327" s="55"/>
      <c r="J327" s="52"/>
      <c r="K327" s="56" t="str">
        <f t="shared" si="20"/>
        <v/>
      </c>
      <c r="L327" s="55"/>
      <c r="M327" s="55"/>
      <c r="N327" s="55"/>
      <c r="O327" s="55"/>
      <c r="P327" s="55"/>
      <c r="Q327" s="55"/>
      <c r="R327" s="55"/>
      <c r="S327" s="55"/>
      <c r="T327" s="55"/>
      <c r="U327" s="55"/>
      <c r="V327" s="55"/>
      <c r="W327" s="55"/>
      <c r="X327" s="55"/>
      <c r="Y327" s="55"/>
      <c r="Z327" s="55"/>
    </row>
    <row r="328" spans="1:26" ht="15">
      <c r="A328" s="1352"/>
      <c r="B328" s="1354" t="s">
        <v>215</v>
      </c>
      <c r="C328" s="1423"/>
      <c r="D328" s="52"/>
      <c r="E328" s="53"/>
      <c r="F328" s="53"/>
      <c r="G328" s="65"/>
      <c r="H328" s="53"/>
      <c r="I328" s="55"/>
      <c r="J328" s="52"/>
      <c r="K328" s="56" t="str">
        <f t="shared" si="20"/>
        <v/>
      </c>
      <c r="L328" s="55"/>
      <c r="M328" s="55"/>
      <c r="N328" s="55"/>
      <c r="O328" s="55"/>
      <c r="P328" s="55"/>
      <c r="Q328" s="55"/>
      <c r="R328" s="55"/>
      <c r="S328" s="55"/>
      <c r="T328" s="55"/>
      <c r="U328" s="55"/>
      <c r="V328" s="55"/>
      <c r="W328" s="55"/>
      <c r="X328" s="55"/>
      <c r="Y328" s="55"/>
      <c r="Z328" s="55"/>
    </row>
    <row r="329" spans="1:26" ht="15">
      <c r="A329" s="1352"/>
      <c r="B329" s="1354" t="s">
        <v>184</v>
      </c>
      <c r="C329" s="1423"/>
      <c r="D329" s="52"/>
      <c r="E329" s="53"/>
      <c r="F329" s="53"/>
      <c r="G329" s="65"/>
      <c r="H329" s="53"/>
      <c r="I329" s="55"/>
      <c r="J329" s="52"/>
      <c r="K329" s="56" t="str">
        <f t="shared" si="20"/>
        <v/>
      </c>
      <c r="L329" s="55"/>
      <c r="M329" s="55"/>
      <c r="N329" s="55"/>
      <c r="O329" s="55"/>
      <c r="P329" s="55"/>
      <c r="Q329" s="55"/>
      <c r="R329" s="55"/>
      <c r="S329" s="55"/>
      <c r="T329" s="55"/>
      <c r="U329" s="55"/>
      <c r="V329" s="55"/>
      <c r="W329" s="55"/>
      <c r="X329" s="55"/>
      <c r="Y329" s="55"/>
      <c r="Z329" s="55"/>
    </row>
    <row r="330" spans="1:26" ht="15">
      <c r="A330" s="1352"/>
      <c r="B330" s="1354" t="s">
        <v>180</v>
      </c>
      <c r="C330" s="1423"/>
      <c r="D330" s="52"/>
      <c r="E330" s="53"/>
      <c r="F330" s="53"/>
      <c r="G330" s="65"/>
      <c r="H330" s="53"/>
      <c r="I330" s="55"/>
      <c r="J330" s="52"/>
      <c r="K330" s="56" t="str">
        <f t="shared" si="20"/>
        <v/>
      </c>
      <c r="L330" s="55"/>
      <c r="M330" s="55"/>
      <c r="N330" s="55"/>
      <c r="O330" s="55"/>
      <c r="P330" s="55"/>
      <c r="Q330" s="55"/>
      <c r="R330" s="55"/>
      <c r="S330" s="55"/>
      <c r="T330" s="55"/>
      <c r="U330" s="55"/>
      <c r="V330" s="55"/>
      <c r="W330" s="55"/>
      <c r="X330" s="55"/>
      <c r="Y330" s="55"/>
      <c r="Z330" s="55"/>
    </row>
    <row r="331" spans="1:26" ht="15">
      <c r="A331" s="1350" t="s">
        <v>229</v>
      </c>
      <c r="B331" s="1350" t="s">
        <v>112</v>
      </c>
      <c r="C331" s="1422"/>
      <c r="D331" s="52" t="s">
        <v>103</v>
      </c>
      <c r="E331" s="53">
        <v>435</v>
      </c>
      <c r="F331" s="53"/>
      <c r="G331" s="65"/>
      <c r="H331" s="53"/>
      <c r="I331" s="55"/>
      <c r="J331" s="52"/>
      <c r="K331" s="56">
        <f t="shared" si="20"/>
        <v>0</v>
      </c>
      <c r="L331" s="55"/>
      <c r="M331" s="55"/>
      <c r="N331" s="55"/>
      <c r="O331" s="55"/>
      <c r="P331" s="55"/>
      <c r="Q331" s="55"/>
      <c r="R331" s="55"/>
      <c r="S331" s="55"/>
      <c r="T331" s="55"/>
      <c r="U331" s="55"/>
      <c r="V331" s="55"/>
      <c r="W331" s="55"/>
      <c r="X331" s="55"/>
      <c r="Y331" s="55"/>
      <c r="Z331" s="55"/>
    </row>
    <row r="332" spans="1:26" ht="15">
      <c r="A332" s="1352"/>
      <c r="B332" s="1354" t="s">
        <v>113</v>
      </c>
      <c r="C332" s="1423"/>
      <c r="D332" s="52"/>
      <c r="E332" s="53"/>
      <c r="F332" s="53"/>
      <c r="G332" s="65"/>
      <c r="H332" s="53"/>
      <c r="I332" s="55"/>
      <c r="J332" s="52"/>
      <c r="K332" s="56" t="str">
        <f t="shared" si="20"/>
        <v/>
      </c>
      <c r="L332" s="55"/>
      <c r="M332" s="55"/>
      <c r="N332" s="55"/>
      <c r="O332" s="55"/>
      <c r="P332" s="55"/>
      <c r="Q332" s="55"/>
      <c r="R332" s="55"/>
      <c r="S332" s="55"/>
      <c r="T332" s="55"/>
      <c r="U332" s="55"/>
      <c r="V332" s="55"/>
      <c r="W332" s="55"/>
      <c r="X332" s="55"/>
      <c r="Y332" s="55"/>
      <c r="Z332" s="55"/>
    </row>
    <row r="333" spans="1:26" ht="15">
      <c r="A333" s="1352"/>
      <c r="B333" s="1354" t="s">
        <v>115</v>
      </c>
      <c r="C333" s="1423"/>
      <c r="D333" s="52"/>
      <c r="E333" s="53"/>
      <c r="F333" s="53"/>
      <c r="G333" s="65"/>
      <c r="H333" s="53"/>
      <c r="I333" s="55"/>
      <c r="J333" s="52"/>
      <c r="K333" s="56" t="str">
        <f t="shared" si="20"/>
        <v/>
      </c>
      <c r="L333" s="55"/>
      <c r="M333" s="55"/>
      <c r="N333" s="55"/>
      <c r="O333" s="55"/>
      <c r="P333" s="55"/>
      <c r="Q333" s="55"/>
      <c r="R333" s="55"/>
      <c r="S333" s="55"/>
      <c r="T333" s="55"/>
      <c r="U333" s="55"/>
      <c r="V333" s="55"/>
      <c r="W333" s="55"/>
      <c r="X333" s="55"/>
      <c r="Y333" s="55"/>
      <c r="Z333" s="55"/>
    </row>
    <row r="334" spans="1:26" ht="15">
      <c r="A334" s="1352"/>
      <c r="B334" s="1354" t="s">
        <v>170</v>
      </c>
      <c r="C334" s="1423"/>
      <c r="D334" s="52"/>
      <c r="E334" s="53"/>
      <c r="F334" s="53"/>
      <c r="G334" s="65"/>
      <c r="H334" s="53"/>
      <c r="I334" s="55"/>
      <c r="J334" s="52"/>
      <c r="K334" s="56" t="str">
        <f t="shared" si="20"/>
        <v/>
      </c>
      <c r="L334" s="55"/>
      <c r="M334" s="55"/>
      <c r="N334" s="55"/>
      <c r="O334" s="55"/>
      <c r="P334" s="55"/>
      <c r="Q334" s="55"/>
      <c r="R334" s="55"/>
      <c r="S334" s="55"/>
      <c r="T334" s="55"/>
      <c r="U334" s="55"/>
      <c r="V334" s="55"/>
      <c r="W334" s="55"/>
      <c r="X334" s="55"/>
      <c r="Y334" s="55"/>
      <c r="Z334" s="55"/>
    </row>
    <row r="335" spans="1:26" ht="15">
      <c r="A335" s="1352"/>
      <c r="B335" s="1354" t="s">
        <v>153</v>
      </c>
      <c r="C335" s="1423"/>
      <c r="D335" s="52"/>
      <c r="E335" s="53"/>
      <c r="F335" s="53"/>
      <c r="G335" s="65"/>
      <c r="H335" s="53"/>
      <c r="I335" s="55"/>
      <c r="J335" s="52"/>
      <c r="K335" s="56" t="str">
        <f t="shared" si="20"/>
        <v/>
      </c>
      <c r="L335" s="55"/>
      <c r="M335" s="55"/>
      <c r="N335" s="55"/>
      <c r="O335" s="55"/>
      <c r="P335" s="55"/>
      <c r="Q335" s="55"/>
      <c r="R335" s="55"/>
      <c r="S335" s="55"/>
      <c r="T335" s="55"/>
      <c r="U335" s="55"/>
      <c r="V335" s="55"/>
      <c r="W335" s="55"/>
      <c r="X335" s="55"/>
      <c r="Y335" s="55"/>
      <c r="Z335" s="55"/>
    </row>
    <row r="336" spans="1:26" ht="15">
      <c r="A336" s="1352"/>
      <c r="B336" s="1354" t="s">
        <v>108</v>
      </c>
      <c r="C336" s="1423"/>
      <c r="D336" s="52"/>
      <c r="E336" s="53"/>
      <c r="F336" s="53"/>
      <c r="G336" s="65"/>
      <c r="H336" s="53"/>
      <c r="I336" s="55"/>
      <c r="J336" s="52">
        <v>12</v>
      </c>
      <c r="K336" s="56" t="str">
        <f t="shared" si="20"/>
        <v/>
      </c>
      <c r="L336" s="55"/>
      <c r="M336" s="55"/>
      <c r="N336" s="55"/>
      <c r="O336" s="55"/>
      <c r="P336" s="55"/>
      <c r="Q336" s="55"/>
      <c r="R336" s="55"/>
      <c r="S336" s="55"/>
      <c r="T336" s="55"/>
      <c r="U336" s="55"/>
      <c r="V336" s="55"/>
      <c r="W336" s="55"/>
      <c r="X336" s="55"/>
      <c r="Y336" s="55"/>
      <c r="Z336" s="55"/>
    </row>
    <row r="337" spans="1:26" ht="15">
      <c r="A337" s="1352"/>
      <c r="B337" s="1354" t="s">
        <v>109</v>
      </c>
      <c r="C337" s="1423"/>
      <c r="D337" s="52"/>
      <c r="E337" s="53"/>
      <c r="F337" s="53"/>
      <c r="G337" s="65"/>
      <c r="H337" s="53"/>
      <c r="I337" s="55"/>
      <c r="J337" s="52"/>
      <c r="K337" s="56" t="str">
        <f t="shared" si="20"/>
        <v/>
      </c>
      <c r="L337" s="55"/>
      <c r="M337" s="55"/>
      <c r="N337" s="55"/>
      <c r="O337" s="55"/>
      <c r="P337" s="55"/>
      <c r="Q337" s="55"/>
      <c r="R337" s="55"/>
      <c r="S337" s="55"/>
      <c r="T337" s="55"/>
      <c r="U337" s="55"/>
      <c r="V337" s="55"/>
      <c r="W337" s="55"/>
      <c r="X337" s="55"/>
      <c r="Y337" s="55"/>
      <c r="Z337" s="55"/>
    </row>
    <row r="338" spans="1:26" ht="15">
      <c r="A338" s="1352"/>
      <c r="B338" s="1354" t="s">
        <v>205</v>
      </c>
      <c r="C338" s="1423"/>
      <c r="D338" s="52"/>
      <c r="E338" s="53"/>
      <c r="F338" s="53"/>
      <c r="G338" s="65"/>
      <c r="H338" s="53"/>
      <c r="I338" s="55"/>
      <c r="J338" s="52"/>
      <c r="K338" s="56" t="str">
        <f t="shared" si="20"/>
        <v/>
      </c>
      <c r="L338" s="55"/>
      <c r="M338" s="55"/>
      <c r="N338" s="55"/>
      <c r="O338" s="55"/>
      <c r="P338" s="55"/>
      <c r="Q338" s="55"/>
      <c r="R338" s="55"/>
      <c r="S338" s="55"/>
      <c r="T338" s="55"/>
      <c r="U338" s="55"/>
      <c r="V338" s="55"/>
      <c r="W338" s="55"/>
      <c r="X338" s="55"/>
      <c r="Y338" s="55"/>
      <c r="Z338" s="55"/>
    </row>
    <row r="339" spans="1:26" ht="15">
      <c r="A339" s="1352"/>
      <c r="B339" s="1354" t="s">
        <v>215</v>
      </c>
      <c r="C339" s="1423"/>
      <c r="D339" s="52"/>
      <c r="E339" s="53"/>
      <c r="F339" s="53"/>
      <c r="G339" s="65"/>
      <c r="H339" s="53"/>
      <c r="I339" s="55"/>
      <c r="J339" s="52"/>
      <c r="K339" s="56" t="str">
        <f t="shared" si="20"/>
        <v/>
      </c>
      <c r="L339" s="55"/>
      <c r="M339" s="55"/>
      <c r="N339" s="55"/>
      <c r="O339" s="55"/>
      <c r="P339" s="55"/>
      <c r="Q339" s="55"/>
      <c r="R339" s="55"/>
      <c r="S339" s="55"/>
      <c r="T339" s="55"/>
      <c r="U339" s="55"/>
      <c r="V339" s="55"/>
      <c r="W339" s="55"/>
      <c r="X339" s="55"/>
      <c r="Y339" s="55"/>
      <c r="Z339" s="55"/>
    </row>
    <row r="340" spans="1:26" ht="15">
      <c r="A340" s="1352"/>
      <c r="B340" s="1354" t="s">
        <v>184</v>
      </c>
      <c r="C340" s="1423"/>
      <c r="D340" s="52"/>
      <c r="E340" s="53"/>
      <c r="F340" s="53"/>
      <c r="G340" s="65"/>
      <c r="H340" s="53"/>
      <c r="I340" s="55"/>
      <c r="J340" s="52"/>
      <c r="K340" s="56" t="str">
        <f t="shared" si="20"/>
        <v/>
      </c>
      <c r="L340" s="55"/>
      <c r="M340" s="55"/>
      <c r="N340" s="55"/>
      <c r="O340" s="55"/>
      <c r="P340" s="55"/>
      <c r="Q340" s="55"/>
      <c r="R340" s="55"/>
      <c r="S340" s="55"/>
      <c r="T340" s="55"/>
      <c r="U340" s="55"/>
      <c r="V340" s="55"/>
      <c r="W340" s="55"/>
      <c r="X340" s="55"/>
      <c r="Y340" s="55"/>
      <c r="Z340" s="55"/>
    </row>
    <row r="341" spans="1:26" ht="15">
      <c r="A341" s="1352"/>
      <c r="B341" s="1354" t="s">
        <v>180</v>
      </c>
      <c r="C341" s="1423"/>
      <c r="D341" s="52"/>
      <c r="E341" s="53"/>
      <c r="F341" s="53"/>
      <c r="G341" s="65"/>
      <c r="H341" s="53"/>
      <c r="I341" s="55"/>
      <c r="J341" s="52"/>
      <c r="K341" s="56" t="str">
        <f t="shared" si="20"/>
        <v/>
      </c>
      <c r="L341" s="55"/>
      <c r="M341" s="55"/>
      <c r="N341" s="55"/>
      <c r="O341" s="55"/>
      <c r="P341" s="55"/>
      <c r="Q341" s="55"/>
      <c r="R341" s="55"/>
      <c r="S341" s="55"/>
      <c r="T341" s="55"/>
      <c r="U341" s="55"/>
      <c r="V341" s="55"/>
      <c r="W341" s="55"/>
      <c r="X341" s="55"/>
      <c r="Y341" s="55"/>
      <c r="Z341" s="55"/>
    </row>
    <row r="342" spans="1:26" ht="15">
      <c r="A342" s="1350" t="s">
        <v>230</v>
      </c>
      <c r="B342" s="1350" t="s">
        <v>112</v>
      </c>
      <c r="C342" s="1422"/>
      <c r="D342" s="52" t="s">
        <v>103</v>
      </c>
      <c r="E342" s="53">
        <v>435</v>
      </c>
      <c r="F342" s="53"/>
      <c r="G342" s="65"/>
      <c r="H342" s="53"/>
      <c r="I342" s="55"/>
      <c r="J342" s="52"/>
      <c r="K342" s="56">
        <f t="shared" si="20"/>
        <v>0</v>
      </c>
      <c r="L342" s="55"/>
      <c r="M342" s="55"/>
      <c r="N342" s="55"/>
      <c r="O342" s="55"/>
      <c r="P342" s="55"/>
      <c r="Q342" s="55"/>
      <c r="R342" s="55"/>
      <c r="S342" s="55"/>
      <c r="T342" s="55"/>
      <c r="U342" s="55"/>
      <c r="V342" s="55"/>
      <c r="W342" s="55"/>
      <c r="X342" s="55"/>
      <c r="Y342" s="55"/>
      <c r="Z342" s="55"/>
    </row>
    <row r="343" spans="1:26" ht="15">
      <c r="A343" s="1352"/>
      <c r="B343" s="1354" t="s">
        <v>113</v>
      </c>
      <c r="C343" s="1423"/>
      <c r="D343" s="52"/>
      <c r="E343" s="53"/>
      <c r="F343" s="53"/>
      <c r="G343" s="65"/>
      <c r="H343" s="53"/>
      <c r="I343" s="55"/>
      <c r="J343" s="52"/>
      <c r="K343" s="56" t="str">
        <f t="shared" si="20"/>
        <v/>
      </c>
      <c r="L343" s="55"/>
      <c r="M343" s="55"/>
      <c r="N343" s="55"/>
      <c r="O343" s="55"/>
      <c r="P343" s="55"/>
      <c r="Q343" s="55"/>
      <c r="R343" s="55"/>
      <c r="S343" s="55"/>
      <c r="T343" s="55"/>
      <c r="U343" s="55"/>
      <c r="V343" s="55"/>
      <c r="W343" s="55"/>
      <c r="X343" s="55"/>
      <c r="Y343" s="55"/>
      <c r="Z343" s="55"/>
    </row>
    <row r="344" spans="1:26" ht="15">
      <c r="A344" s="1352"/>
      <c r="B344" s="1354" t="s">
        <v>115</v>
      </c>
      <c r="C344" s="1423"/>
      <c r="D344" s="52"/>
      <c r="E344" s="53"/>
      <c r="F344" s="53"/>
      <c r="G344" s="65"/>
      <c r="H344" s="53"/>
      <c r="I344" s="55"/>
      <c r="J344" s="52"/>
      <c r="K344" s="56" t="str">
        <f t="shared" si="20"/>
        <v/>
      </c>
      <c r="L344" s="55"/>
      <c r="M344" s="55"/>
      <c r="N344" s="55"/>
      <c r="O344" s="55"/>
      <c r="P344" s="55"/>
      <c r="Q344" s="55"/>
      <c r="R344" s="55"/>
      <c r="S344" s="55"/>
      <c r="T344" s="55"/>
      <c r="U344" s="55"/>
      <c r="V344" s="55"/>
      <c r="W344" s="55"/>
      <c r="X344" s="55"/>
      <c r="Y344" s="55"/>
      <c r="Z344" s="55"/>
    </row>
    <row r="345" spans="1:26" ht="15">
      <c r="A345" s="1352"/>
      <c r="B345" s="1354" t="s">
        <v>170</v>
      </c>
      <c r="C345" s="1423"/>
      <c r="D345" s="52"/>
      <c r="E345" s="53"/>
      <c r="F345" s="53"/>
      <c r="G345" s="65"/>
      <c r="H345" s="53"/>
      <c r="I345" s="55"/>
      <c r="J345" s="52"/>
      <c r="K345" s="56" t="str">
        <f t="shared" si="20"/>
        <v/>
      </c>
      <c r="L345" s="55"/>
      <c r="M345" s="55"/>
      <c r="N345" s="55"/>
      <c r="O345" s="55"/>
      <c r="P345" s="55"/>
      <c r="Q345" s="55"/>
      <c r="R345" s="55"/>
      <c r="S345" s="55"/>
      <c r="T345" s="55"/>
      <c r="U345" s="55"/>
      <c r="V345" s="55"/>
      <c r="W345" s="55"/>
      <c r="X345" s="55"/>
      <c r="Y345" s="55"/>
      <c r="Z345" s="55"/>
    </row>
    <row r="346" spans="1:26" ht="15">
      <c r="A346" s="1352"/>
      <c r="B346" s="1354" t="s">
        <v>153</v>
      </c>
      <c r="C346" s="1423"/>
      <c r="D346" s="52"/>
      <c r="E346" s="53"/>
      <c r="F346" s="53"/>
      <c r="G346" s="65"/>
      <c r="H346" s="53"/>
      <c r="I346" s="55"/>
      <c r="J346" s="52"/>
      <c r="K346" s="56" t="str">
        <f t="shared" si="20"/>
        <v/>
      </c>
      <c r="L346" s="55"/>
      <c r="M346" s="55"/>
      <c r="N346" s="55"/>
      <c r="O346" s="55"/>
      <c r="P346" s="55"/>
      <c r="Q346" s="55"/>
      <c r="R346" s="55"/>
      <c r="S346" s="55"/>
      <c r="T346" s="55"/>
      <c r="U346" s="55"/>
      <c r="V346" s="55"/>
      <c r="W346" s="55"/>
      <c r="X346" s="55"/>
      <c r="Y346" s="55"/>
      <c r="Z346" s="55"/>
    </row>
    <row r="347" spans="1:26" ht="15">
      <c r="A347" s="1352"/>
      <c r="B347" s="1354" t="s">
        <v>108</v>
      </c>
      <c r="C347" s="1423"/>
      <c r="D347" s="52"/>
      <c r="E347" s="53"/>
      <c r="F347" s="53"/>
      <c r="G347" s="65"/>
      <c r="H347" s="53"/>
      <c r="I347" s="55"/>
      <c r="J347" s="52"/>
      <c r="K347" s="56" t="str">
        <f t="shared" si="20"/>
        <v/>
      </c>
      <c r="L347" s="55"/>
      <c r="M347" s="55"/>
      <c r="N347" s="55"/>
      <c r="O347" s="55"/>
      <c r="P347" s="55"/>
      <c r="Q347" s="55"/>
      <c r="R347" s="55"/>
      <c r="S347" s="55"/>
      <c r="T347" s="55"/>
      <c r="U347" s="55"/>
      <c r="V347" s="55"/>
      <c r="W347" s="55"/>
      <c r="X347" s="55"/>
      <c r="Y347" s="55"/>
      <c r="Z347" s="55"/>
    </row>
    <row r="348" spans="1:26" ht="15">
      <c r="A348" s="1352"/>
      <c r="B348" s="1354" t="s">
        <v>109</v>
      </c>
      <c r="C348" s="1423"/>
      <c r="D348" s="52"/>
      <c r="E348" s="53"/>
      <c r="F348" s="53"/>
      <c r="G348" s="65"/>
      <c r="H348" s="53"/>
      <c r="I348" s="55"/>
      <c r="J348" s="52"/>
      <c r="K348" s="56" t="str">
        <f t="shared" si="20"/>
        <v/>
      </c>
      <c r="L348" s="55"/>
      <c r="M348" s="55"/>
      <c r="N348" s="55"/>
      <c r="O348" s="55"/>
      <c r="P348" s="55"/>
      <c r="Q348" s="55"/>
      <c r="R348" s="55"/>
      <c r="S348" s="55"/>
      <c r="T348" s="55"/>
      <c r="U348" s="55"/>
      <c r="V348" s="55"/>
      <c r="W348" s="55"/>
      <c r="X348" s="55"/>
      <c r="Y348" s="55"/>
      <c r="Z348" s="55"/>
    </row>
    <row r="349" spans="1:26" ht="15">
      <c r="A349" s="1352"/>
      <c r="B349" s="1354" t="s">
        <v>205</v>
      </c>
      <c r="C349" s="1423"/>
      <c r="D349" s="52"/>
      <c r="E349" s="53"/>
      <c r="F349" s="53"/>
      <c r="G349" s="65"/>
      <c r="H349" s="53"/>
      <c r="I349" s="55"/>
      <c r="J349" s="52"/>
      <c r="K349" s="56" t="str">
        <f t="shared" si="20"/>
        <v/>
      </c>
      <c r="L349" s="55"/>
      <c r="M349" s="55"/>
      <c r="N349" s="55"/>
      <c r="O349" s="55"/>
      <c r="P349" s="55"/>
      <c r="Q349" s="55"/>
      <c r="R349" s="55"/>
      <c r="S349" s="55"/>
      <c r="T349" s="55"/>
      <c r="U349" s="55"/>
      <c r="V349" s="55"/>
      <c r="W349" s="55"/>
      <c r="X349" s="55"/>
      <c r="Y349" s="55"/>
      <c r="Z349" s="55"/>
    </row>
    <row r="350" spans="1:26" ht="15">
      <c r="A350" s="1352"/>
      <c r="B350" s="1354" t="s">
        <v>215</v>
      </c>
      <c r="C350" s="1423"/>
      <c r="D350" s="52"/>
      <c r="E350" s="53"/>
      <c r="F350" s="53"/>
      <c r="G350" s="65"/>
      <c r="H350" s="53"/>
      <c r="I350" s="55"/>
      <c r="J350" s="52"/>
      <c r="K350" s="56" t="str">
        <f t="shared" si="20"/>
        <v/>
      </c>
      <c r="L350" s="55"/>
      <c r="M350" s="55"/>
      <c r="N350" s="55"/>
      <c r="O350" s="55"/>
      <c r="P350" s="55"/>
      <c r="Q350" s="55"/>
      <c r="R350" s="55"/>
      <c r="S350" s="55"/>
      <c r="T350" s="55"/>
      <c r="U350" s="55"/>
      <c r="V350" s="55"/>
      <c r="W350" s="55"/>
      <c r="X350" s="55"/>
      <c r="Y350" s="55"/>
      <c r="Z350" s="55"/>
    </row>
    <row r="351" spans="1:26" ht="15">
      <c r="A351" s="1352"/>
      <c r="B351" s="1354" t="s">
        <v>184</v>
      </c>
      <c r="C351" s="1423"/>
      <c r="D351" s="52"/>
      <c r="E351" s="53"/>
      <c r="F351" s="53"/>
      <c r="G351" s="65"/>
      <c r="H351" s="53"/>
      <c r="I351" s="55"/>
      <c r="J351" s="52"/>
      <c r="K351" s="56" t="str">
        <f t="shared" si="20"/>
        <v/>
      </c>
      <c r="L351" s="55"/>
      <c r="M351" s="55"/>
      <c r="N351" s="55"/>
      <c r="O351" s="55"/>
      <c r="P351" s="55"/>
      <c r="Q351" s="55"/>
      <c r="R351" s="55"/>
      <c r="S351" s="55"/>
      <c r="T351" s="55"/>
      <c r="U351" s="55"/>
      <c r="V351" s="55"/>
      <c r="W351" s="55"/>
      <c r="X351" s="55"/>
      <c r="Y351" s="55"/>
      <c r="Z351" s="55"/>
    </row>
    <row r="352" spans="1:26" ht="15">
      <c r="A352" s="1352"/>
      <c r="B352" s="1354" t="s">
        <v>180</v>
      </c>
      <c r="C352" s="1423"/>
      <c r="D352" s="52"/>
      <c r="E352" s="53"/>
      <c r="F352" s="53"/>
      <c r="G352" s="65"/>
      <c r="H352" s="53"/>
      <c r="I352" s="55"/>
      <c r="J352" s="52"/>
      <c r="K352" s="56" t="str">
        <f t="shared" si="20"/>
        <v/>
      </c>
      <c r="L352" s="55"/>
      <c r="M352" s="55"/>
      <c r="N352" s="55"/>
      <c r="O352" s="55"/>
      <c r="P352" s="55"/>
      <c r="Q352" s="55"/>
      <c r="R352" s="55"/>
      <c r="S352" s="55"/>
      <c r="T352" s="55"/>
      <c r="U352" s="55"/>
      <c r="V352" s="55"/>
      <c r="W352" s="55"/>
      <c r="X352" s="55"/>
      <c r="Y352" s="55"/>
      <c r="Z352" s="55"/>
    </row>
    <row r="353" spans="1:26" ht="15">
      <c r="A353" s="1350" t="s">
        <v>231</v>
      </c>
      <c r="B353" s="1350" t="s">
        <v>101</v>
      </c>
      <c r="C353" s="1422"/>
      <c r="D353" s="52" t="s">
        <v>103</v>
      </c>
      <c r="E353" s="53">
        <v>1500</v>
      </c>
      <c r="F353" s="53"/>
      <c r="G353" s="65"/>
      <c r="H353" s="53"/>
      <c r="I353" s="55"/>
      <c r="J353" s="52"/>
      <c r="K353" s="56">
        <f t="shared" si="20"/>
        <v>0</v>
      </c>
      <c r="L353" s="55"/>
      <c r="M353" s="55"/>
      <c r="N353" s="55"/>
      <c r="O353" s="55"/>
      <c r="P353" s="55"/>
      <c r="Q353" s="55"/>
      <c r="R353" s="55"/>
      <c r="S353" s="55"/>
      <c r="T353" s="55"/>
      <c r="U353" s="55"/>
      <c r="V353" s="55"/>
      <c r="W353" s="55"/>
      <c r="X353" s="55"/>
      <c r="Y353" s="55"/>
      <c r="Z353" s="55"/>
    </row>
    <row r="354" spans="1:26" ht="15">
      <c r="A354" s="1352"/>
      <c r="B354" s="1354" t="s">
        <v>205</v>
      </c>
      <c r="C354" s="1423"/>
      <c r="D354" s="52"/>
      <c r="E354" s="53"/>
      <c r="F354" s="53"/>
      <c r="G354" s="65"/>
      <c r="H354" s="53"/>
      <c r="I354" s="55"/>
      <c r="J354" s="52"/>
      <c r="K354" s="56" t="str">
        <f t="shared" si="20"/>
        <v/>
      </c>
      <c r="L354" s="55"/>
      <c r="M354" s="55"/>
      <c r="N354" s="55"/>
      <c r="O354" s="55"/>
      <c r="P354" s="55"/>
      <c r="Q354" s="55"/>
      <c r="R354" s="55"/>
      <c r="S354" s="55"/>
      <c r="T354" s="55"/>
      <c r="U354" s="55"/>
      <c r="V354" s="55"/>
      <c r="W354" s="55"/>
      <c r="X354" s="55"/>
      <c r="Y354" s="55"/>
      <c r="Z354" s="55"/>
    </row>
    <row r="355" spans="1:26" ht="15">
      <c r="A355" s="1352"/>
      <c r="B355" s="1354" t="s">
        <v>151</v>
      </c>
      <c r="C355" s="1423"/>
      <c r="D355" s="52"/>
      <c r="E355" s="53"/>
      <c r="F355" s="53"/>
      <c r="G355" s="65"/>
      <c r="H355" s="53"/>
      <c r="I355" s="55"/>
      <c r="J355" s="52"/>
      <c r="K355" s="56" t="str">
        <f t="shared" si="20"/>
        <v/>
      </c>
      <c r="L355" s="55"/>
      <c r="M355" s="55"/>
      <c r="N355" s="55"/>
      <c r="O355" s="55"/>
      <c r="P355" s="55"/>
      <c r="Q355" s="55"/>
      <c r="R355" s="55"/>
      <c r="S355" s="55"/>
      <c r="T355" s="55"/>
      <c r="U355" s="55"/>
      <c r="V355" s="55"/>
      <c r="W355" s="55"/>
      <c r="X355" s="55"/>
      <c r="Y355" s="55"/>
      <c r="Z355" s="55"/>
    </row>
    <row r="356" spans="1:26" ht="15">
      <c r="A356" s="1352"/>
      <c r="B356" s="1354" t="s">
        <v>215</v>
      </c>
      <c r="C356" s="1423"/>
      <c r="D356" s="52"/>
      <c r="E356" s="53"/>
      <c r="F356" s="53"/>
      <c r="G356" s="65"/>
      <c r="H356" s="53"/>
      <c r="I356" s="55"/>
      <c r="J356" s="52"/>
      <c r="K356" s="56" t="str">
        <f t="shared" si="20"/>
        <v/>
      </c>
      <c r="L356" s="55"/>
      <c r="M356" s="55"/>
      <c r="N356" s="55"/>
      <c r="O356" s="55"/>
      <c r="P356" s="55"/>
      <c r="Q356" s="55"/>
      <c r="R356" s="55"/>
      <c r="S356" s="55"/>
      <c r="T356" s="55"/>
      <c r="U356" s="55"/>
      <c r="V356" s="55"/>
      <c r="W356" s="55"/>
      <c r="X356" s="55"/>
      <c r="Y356" s="55"/>
      <c r="Z356" s="55"/>
    </row>
    <row r="357" spans="1:26" ht="15">
      <c r="A357" s="1352"/>
      <c r="B357" s="1354" t="s">
        <v>184</v>
      </c>
      <c r="C357" s="1423"/>
      <c r="D357" s="52"/>
      <c r="E357" s="53"/>
      <c r="F357" s="53"/>
      <c r="G357" s="65"/>
      <c r="H357" s="53"/>
      <c r="I357" s="55"/>
      <c r="J357" s="52"/>
      <c r="K357" s="56" t="str">
        <f t="shared" si="20"/>
        <v/>
      </c>
      <c r="L357" s="55"/>
      <c r="M357" s="55"/>
      <c r="N357" s="55"/>
      <c r="O357" s="55"/>
      <c r="P357" s="55"/>
      <c r="Q357" s="55"/>
      <c r="R357" s="55"/>
      <c r="S357" s="55"/>
      <c r="T357" s="55"/>
      <c r="U357" s="55"/>
      <c r="V357" s="55"/>
      <c r="W357" s="55"/>
      <c r="X357" s="55"/>
      <c r="Y357" s="55"/>
      <c r="Z357" s="55"/>
    </row>
    <row r="358" spans="1:26" ht="15">
      <c r="A358" s="1350" t="s">
        <v>232</v>
      </c>
      <c r="B358" s="1350" t="s">
        <v>101</v>
      </c>
      <c r="C358" s="1422"/>
      <c r="D358" s="52" t="s">
        <v>103</v>
      </c>
      <c r="E358" s="53">
        <v>1500</v>
      </c>
      <c r="F358" s="53"/>
      <c r="G358" s="65"/>
      <c r="H358" s="53"/>
      <c r="I358" s="55"/>
      <c r="J358" s="52"/>
      <c r="K358" s="56">
        <f t="shared" si="20"/>
        <v>0</v>
      </c>
      <c r="L358" s="55"/>
      <c r="M358" s="55"/>
      <c r="N358" s="55"/>
      <c r="O358" s="55"/>
      <c r="P358" s="55"/>
      <c r="Q358" s="55"/>
      <c r="R358" s="55"/>
      <c r="S358" s="55"/>
      <c r="T358" s="55"/>
      <c r="U358" s="55"/>
      <c r="V358" s="55"/>
      <c r="W358" s="55"/>
      <c r="X358" s="55"/>
      <c r="Y358" s="55"/>
      <c r="Z358" s="55"/>
    </row>
    <row r="359" spans="1:26" ht="15">
      <c r="A359" s="1352"/>
      <c r="B359" s="1354" t="s">
        <v>205</v>
      </c>
      <c r="C359" s="1423"/>
      <c r="D359" s="52"/>
      <c r="E359" s="53"/>
      <c r="F359" s="53"/>
      <c r="G359" s="65"/>
      <c r="H359" s="53"/>
      <c r="I359" s="55"/>
      <c r="J359" s="52"/>
      <c r="K359" s="56" t="str">
        <f t="shared" si="20"/>
        <v/>
      </c>
      <c r="L359" s="55"/>
      <c r="M359" s="55"/>
      <c r="N359" s="55"/>
      <c r="O359" s="55"/>
      <c r="P359" s="55"/>
      <c r="Q359" s="55"/>
      <c r="R359" s="55"/>
      <c r="S359" s="55"/>
      <c r="T359" s="55"/>
      <c r="U359" s="55"/>
      <c r="V359" s="55"/>
      <c r="W359" s="55"/>
      <c r="X359" s="55"/>
      <c r="Y359" s="55"/>
      <c r="Z359" s="55"/>
    </row>
    <row r="360" spans="1:26" ht="15">
      <c r="A360" s="1352"/>
      <c r="B360" s="1354" t="s">
        <v>151</v>
      </c>
      <c r="C360" s="1423"/>
      <c r="D360" s="52"/>
      <c r="E360" s="53"/>
      <c r="F360" s="53"/>
      <c r="G360" s="65"/>
      <c r="H360" s="53"/>
      <c r="I360" s="55"/>
      <c r="J360" s="52">
        <v>12</v>
      </c>
      <c r="K360" s="56" t="str">
        <f t="shared" si="20"/>
        <v/>
      </c>
      <c r="L360" s="55"/>
      <c r="M360" s="55"/>
      <c r="N360" s="55"/>
      <c r="O360" s="55"/>
      <c r="P360" s="55"/>
      <c r="Q360" s="55"/>
      <c r="R360" s="55"/>
      <c r="S360" s="55"/>
      <c r="T360" s="55"/>
      <c r="U360" s="55"/>
      <c r="V360" s="55"/>
      <c r="W360" s="55"/>
      <c r="X360" s="55"/>
      <c r="Y360" s="55"/>
      <c r="Z360" s="55"/>
    </row>
    <row r="361" spans="1:26" ht="15">
      <c r="A361" s="1352"/>
      <c r="B361" s="1354" t="s">
        <v>215</v>
      </c>
      <c r="C361" s="1423"/>
      <c r="D361" s="52"/>
      <c r="E361" s="53"/>
      <c r="F361" s="53"/>
      <c r="G361" s="65"/>
      <c r="H361" s="53"/>
      <c r="I361" s="55"/>
      <c r="J361" s="52"/>
      <c r="K361" s="56" t="str">
        <f t="shared" si="20"/>
        <v/>
      </c>
      <c r="L361" s="55"/>
      <c r="M361" s="55"/>
      <c r="N361" s="55"/>
      <c r="O361" s="55"/>
      <c r="P361" s="55"/>
      <c r="Q361" s="55"/>
      <c r="R361" s="55"/>
      <c r="S361" s="55"/>
      <c r="T361" s="55"/>
      <c r="U361" s="55"/>
      <c r="V361" s="55"/>
      <c r="W361" s="55"/>
      <c r="X361" s="55"/>
      <c r="Y361" s="55"/>
      <c r="Z361" s="55"/>
    </row>
    <row r="362" spans="1:26" ht="15">
      <c r="A362" s="1352"/>
      <c r="B362" s="1354" t="s">
        <v>184</v>
      </c>
      <c r="C362" s="1423"/>
      <c r="D362" s="52"/>
      <c r="E362" s="53"/>
      <c r="F362" s="53"/>
      <c r="G362" s="65"/>
      <c r="H362" s="53"/>
      <c r="I362" s="55"/>
      <c r="J362" s="52"/>
      <c r="K362" s="56" t="str">
        <f t="shared" si="20"/>
        <v/>
      </c>
      <c r="L362" s="55"/>
      <c r="M362" s="55"/>
      <c r="N362" s="55"/>
      <c r="O362" s="55"/>
      <c r="P362" s="55"/>
      <c r="Q362" s="55"/>
      <c r="R362" s="55"/>
      <c r="S362" s="55"/>
      <c r="T362" s="55"/>
      <c r="U362" s="55"/>
      <c r="V362" s="55"/>
      <c r="W362" s="55"/>
      <c r="X362" s="55"/>
      <c r="Y362" s="55"/>
      <c r="Z362" s="55"/>
    </row>
    <row r="363" spans="1:26" ht="15">
      <c r="A363" s="1350" t="s">
        <v>233</v>
      </c>
      <c r="B363" s="1350" t="s">
        <v>116</v>
      </c>
      <c r="C363" s="1422"/>
      <c r="D363" s="52" t="s">
        <v>103</v>
      </c>
      <c r="E363" s="53">
        <v>8850</v>
      </c>
      <c r="F363" s="53"/>
      <c r="G363" s="65"/>
      <c r="H363" s="53"/>
      <c r="I363" s="55"/>
      <c r="J363" s="52"/>
      <c r="K363" s="56">
        <f t="shared" si="20"/>
        <v>0</v>
      </c>
      <c r="L363" s="55"/>
      <c r="M363" s="55"/>
      <c r="N363" s="55"/>
      <c r="O363" s="55"/>
      <c r="P363" s="55"/>
      <c r="Q363" s="55"/>
      <c r="R363" s="55"/>
      <c r="S363" s="55"/>
      <c r="T363" s="55"/>
      <c r="U363" s="55"/>
      <c r="V363" s="55"/>
      <c r="W363" s="55"/>
      <c r="X363" s="55"/>
      <c r="Y363" s="55"/>
      <c r="Z363" s="55"/>
    </row>
    <row r="364" spans="1:26" ht="15">
      <c r="A364" s="1350" t="s">
        <v>234</v>
      </c>
      <c r="B364" s="1350" t="s">
        <v>137</v>
      </c>
      <c r="C364" s="1422"/>
      <c r="D364" s="52" t="s">
        <v>103</v>
      </c>
      <c r="E364" s="53">
        <v>577.5</v>
      </c>
      <c r="F364" s="53"/>
      <c r="G364" s="65"/>
      <c r="H364" s="53"/>
      <c r="I364" s="55"/>
      <c r="J364" s="52"/>
      <c r="K364" s="56">
        <f t="shared" si="20"/>
        <v>0</v>
      </c>
      <c r="L364" s="55"/>
      <c r="M364" s="55"/>
      <c r="N364" s="55"/>
      <c r="O364" s="55"/>
      <c r="P364" s="55"/>
      <c r="Q364" s="55"/>
      <c r="R364" s="55"/>
      <c r="S364" s="55"/>
      <c r="T364" s="55"/>
      <c r="U364" s="55"/>
      <c r="V364" s="55"/>
      <c r="W364" s="55"/>
      <c r="X364" s="55"/>
      <c r="Y364" s="55"/>
      <c r="Z364" s="55"/>
    </row>
    <row r="365" spans="1:26" ht="15">
      <c r="A365" s="1352"/>
      <c r="B365" s="1354" t="s">
        <v>113</v>
      </c>
      <c r="C365" s="1423"/>
      <c r="D365" s="52"/>
      <c r="E365" s="53"/>
      <c r="F365" s="53"/>
      <c r="G365" s="65"/>
      <c r="H365" s="53"/>
      <c r="I365" s="55"/>
      <c r="J365" s="52"/>
      <c r="K365" s="56" t="str">
        <f t="shared" si="20"/>
        <v/>
      </c>
      <c r="L365" s="55"/>
      <c r="M365" s="55"/>
      <c r="N365" s="55"/>
      <c r="O365" s="55"/>
      <c r="P365" s="55"/>
      <c r="Q365" s="55"/>
      <c r="R365" s="55"/>
      <c r="S365" s="55"/>
      <c r="T365" s="55"/>
      <c r="U365" s="55"/>
      <c r="V365" s="55"/>
      <c r="W365" s="55"/>
      <c r="X365" s="55"/>
      <c r="Y365" s="55"/>
      <c r="Z365" s="55"/>
    </row>
    <row r="366" spans="1:26" ht="15">
      <c r="A366" s="1352"/>
      <c r="B366" s="1354" t="s">
        <v>115</v>
      </c>
      <c r="C366" s="1423"/>
      <c r="D366" s="52"/>
      <c r="E366" s="53"/>
      <c r="F366" s="53"/>
      <c r="G366" s="65"/>
      <c r="H366" s="53"/>
      <c r="I366" s="55"/>
      <c r="J366" s="52"/>
      <c r="K366" s="56" t="str">
        <f t="shared" si="20"/>
        <v/>
      </c>
      <c r="L366" s="55"/>
      <c r="M366" s="55"/>
      <c r="N366" s="55"/>
      <c r="O366" s="55"/>
      <c r="P366" s="55"/>
      <c r="Q366" s="55"/>
      <c r="R366" s="55"/>
      <c r="S366" s="55"/>
      <c r="T366" s="55"/>
      <c r="U366" s="55"/>
      <c r="V366" s="55"/>
      <c r="W366" s="55"/>
      <c r="X366" s="55"/>
      <c r="Y366" s="55"/>
      <c r="Z366" s="55"/>
    </row>
    <row r="367" spans="1:26" ht="15">
      <c r="A367" s="1352"/>
      <c r="B367" s="1354" t="s">
        <v>172</v>
      </c>
      <c r="C367" s="1423"/>
      <c r="D367" s="52"/>
      <c r="E367" s="53"/>
      <c r="F367" s="53"/>
      <c r="G367" s="65"/>
      <c r="H367" s="53"/>
      <c r="I367" s="55"/>
      <c r="J367" s="52"/>
      <c r="K367" s="56" t="str">
        <f t="shared" si="20"/>
        <v/>
      </c>
      <c r="L367" s="55"/>
      <c r="M367" s="55"/>
      <c r="N367" s="55"/>
      <c r="O367" s="55"/>
      <c r="P367" s="55"/>
      <c r="Q367" s="55"/>
      <c r="R367" s="55"/>
      <c r="S367" s="55"/>
      <c r="T367" s="55"/>
      <c r="U367" s="55"/>
      <c r="V367" s="55"/>
      <c r="W367" s="55"/>
      <c r="X367" s="55"/>
      <c r="Y367" s="55"/>
      <c r="Z367" s="55"/>
    </row>
    <row r="368" spans="1:26" ht="15">
      <c r="A368" s="1352"/>
      <c r="B368" s="1354" t="s">
        <v>139</v>
      </c>
      <c r="C368" s="1423"/>
      <c r="D368" s="52"/>
      <c r="E368" s="53"/>
      <c r="F368" s="53"/>
      <c r="G368" s="65"/>
      <c r="H368" s="53"/>
      <c r="I368" s="55"/>
      <c r="J368" s="52"/>
      <c r="K368" s="56" t="str">
        <f t="shared" si="20"/>
        <v/>
      </c>
      <c r="L368" s="55"/>
      <c r="M368" s="55"/>
      <c r="N368" s="55"/>
      <c r="O368" s="55"/>
      <c r="P368" s="55"/>
      <c r="Q368" s="55"/>
      <c r="R368" s="55"/>
      <c r="S368" s="55"/>
      <c r="T368" s="55"/>
      <c r="U368" s="55"/>
      <c r="V368" s="55"/>
      <c r="W368" s="55"/>
      <c r="X368" s="55"/>
      <c r="Y368" s="55"/>
      <c r="Z368" s="55"/>
    </row>
    <row r="369" spans="1:26" ht="15">
      <c r="A369" s="1352"/>
      <c r="B369" s="1354" t="s">
        <v>133</v>
      </c>
      <c r="C369" s="1423"/>
      <c r="D369" s="52"/>
      <c r="E369" s="53"/>
      <c r="F369" s="53"/>
      <c r="G369" s="65"/>
      <c r="H369" s="53"/>
      <c r="I369" s="55"/>
      <c r="J369" s="52"/>
      <c r="K369" s="56" t="str">
        <f t="shared" si="20"/>
        <v/>
      </c>
      <c r="L369" s="55"/>
      <c r="M369" s="55"/>
      <c r="N369" s="55"/>
      <c r="O369" s="55"/>
      <c r="P369" s="55"/>
      <c r="Q369" s="55"/>
      <c r="R369" s="55"/>
      <c r="S369" s="55"/>
      <c r="T369" s="55"/>
      <c r="U369" s="55"/>
      <c r="V369" s="55"/>
      <c r="W369" s="55"/>
      <c r="X369" s="55"/>
      <c r="Y369" s="55"/>
      <c r="Z369" s="55"/>
    </row>
    <row r="370" spans="1:26" ht="15">
      <c r="A370" s="1352"/>
      <c r="B370" s="1354" t="s">
        <v>196</v>
      </c>
      <c r="C370" s="1423"/>
      <c r="D370" s="52"/>
      <c r="E370" s="53"/>
      <c r="F370" s="53"/>
      <c r="G370" s="65"/>
      <c r="H370" s="53"/>
      <c r="I370" s="55"/>
      <c r="J370" s="52"/>
      <c r="K370" s="56" t="str">
        <f t="shared" si="20"/>
        <v/>
      </c>
      <c r="L370" s="55"/>
      <c r="M370" s="55"/>
      <c r="N370" s="55"/>
      <c r="O370" s="55"/>
      <c r="P370" s="55"/>
      <c r="Q370" s="55"/>
      <c r="R370" s="55"/>
      <c r="S370" s="55"/>
      <c r="T370" s="55"/>
      <c r="U370" s="55"/>
      <c r="V370" s="55"/>
      <c r="W370" s="55"/>
      <c r="X370" s="55"/>
      <c r="Y370" s="55"/>
      <c r="Z370" s="55"/>
    </row>
    <row r="371" spans="1:26" ht="15">
      <c r="A371" s="1352"/>
      <c r="B371" s="1354" t="s">
        <v>197</v>
      </c>
      <c r="C371" s="1423"/>
      <c r="D371" s="52"/>
      <c r="E371" s="53"/>
      <c r="F371" s="53"/>
      <c r="G371" s="65"/>
      <c r="H371" s="53"/>
      <c r="I371" s="55"/>
      <c r="J371" s="52"/>
      <c r="K371" s="56" t="str">
        <f t="shared" si="20"/>
        <v/>
      </c>
      <c r="L371" s="55"/>
      <c r="M371" s="55"/>
      <c r="N371" s="55"/>
      <c r="O371" s="55"/>
      <c r="P371" s="55"/>
      <c r="Q371" s="55"/>
      <c r="R371" s="55"/>
      <c r="S371" s="55"/>
      <c r="T371" s="55"/>
      <c r="U371" s="55"/>
      <c r="V371" s="55"/>
      <c r="W371" s="55"/>
      <c r="X371" s="55"/>
      <c r="Y371" s="55"/>
      <c r="Z371" s="55"/>
    </row>
    <row r="372" spans="1:26" ht="15">
      <c r="A372" s="1352"/>
      <c r="B372" s="1354" t="s">
        <v>108</v>
      </c>
      <c r="C372" s="1423"/>
      <c r="D372" s="52"/>
      <c r="E372" s="53"/>
      <c r="F372" s="53"/>
      <c r="G372" s="65"/>
      <c r="H372" s="53"/>
      <c r="I372" s="55"/>
      <c r="J372" s="52"/>
      <c r="K372" s="56" t="str">
        <f t="shared" si="20"/>
        <v/>
      </c>
      <c r="L372" s="55"/>
      <c r="M372" s="55"/>
      <c r="N372" s="55"/>
      <c r="O372" s="55"/>
      <c r="P372" s="55"/>
      <c r="Q372" s="55"/>
      <c r="R372" s="55"/>
      <c r="S372" s="55"/>
      <c r="T372" s="55"/>
      <c r="U372" s="55"/>
      <c r="V372" s="55"/>
      <c r="W372" s="55"/>
      <c r="X372" s="55"/>
      <c r="Y372" s="55"/>
      <c r="Z372" s="55"/>
    </row>
    <row r="373" spans="1:26" ht="15">
      <c r="A373" s="1352"/>
      <c r="B373" s="1354" t="s">
        <v>174</v>
      </c>
      <c r="C373" s="1423"/>
      <c r="D373" s="52"/>
      <c r="E373" s="53"/>
      <c r="F373" s="53"/>
      <c r="G373" s="65"/>
      <c r="H373" s="53"/>
      <c r="I373" s="55"/>
      <c r="J373" s="52"/>
      <c r="K373" s="56" t="str">
        <f t="shared" si="20"/>
        <v/>
      </c>
      <c r="L373" s="55"/>
      <c r="M373" s="55"/>
      <c r="N373" s="55"/>
      <c r="O373" s="55"/>
      <c r="P373" s="55"/>
      <c r="Q373" s="55"/>
      <c r="R373" s="55"/>
      <c r="S373" s="55"/>
      <c r="T373" s="55"/>
      <c r="U373" s="55"/>
      <c r="V373" s="55"/>
      <c r="W373" s="55"/>
      <c r="X373" s="55"/>
      <c r="Y373" s="55"/>
      <c r="Z373" s="55"/>
    </row>
    <row r="374" spans="1:26" ht="15">
      <c r="A374" s="1352"/>
      <c r="B374" s="1354" t="s">
        <v>116</v>
      </c>
      <c r="C374" s="1423"/>
      <c r="D374" s="52"/>
      <c r="E374" s="53"/>
      <c r="F374" s="53"/>
      <c r="G374" s="65"/>
      <c r="H374" s="53"/>
      <c r="I374" s="55"/>
      <c r="J374" s="52"/>
      <c r="K374" s="56" t="str">
        <f t="shared" si="20"/>
        <v/>
      </c>
      <c r="L374" s="55"/>
      <c r="M374" s="55"/>
      <c r="N374" s="55"/>
      <c r="O374" s="55"/>
      <c r="P374" s="55"/>
      <c r="Q374" s="55"/>
      <c r="R374" s="55"/>
      <c r="S374" s="55"/>
      <c r="T374" s="55"/>
      <c r="U374" s="55"/>
      <c r="V374" s="55"/>
      <c r="W374" s="55"/>
      <c r="X374" s="55"/>
      <c r="Y374" s="55"/>
      <c r="Z374" s="55"/>
    </row>
    <row r="375" spans="1:26" ht="15">
      <c r="A375" s="1352"/>
      <c r="B375" s="1354" t="s">
        <v>109</v>
      </c>
      <c r="C375" s="1423"/>
      <c r="D375" s="52"/>
      <c r="E375" s="53"/>
      <c r="F375" s="53"/>
      <c r="G375" s="65"/>
      <c r="H375" s="53"/>
      <c r="I375" s="55"/>
      <c r="J375" s="52"/>
      <c r="K375" s="56" t="str">
        <f t="shared" si="20"/>
        <v/>
      </c>
      <c r="L375" s="55"/>
      <c r="M375" s="55"/>
      <c r="N375" s="55"/>
      <c r="O375" s="55"/>
      <c r="P375" s="55"/>
      <c r="Q375" s="55"/>
      <c r="R375" s="55"/>
      <c r="S375" s="55"/>
      <c r="T375" s="55"/>
      <c r="U375" s="55"/>
      <c r="V375" s="55"/>
      <c r="W375" s="55"/>
      <c r="X375" s="55"/>
      <c r="Y375" s="55"/>
      <c r="Z375" s="55"/>
    </row>
    <row r="376" spans="1:26" ht="15">
      <c r="A376" s="1352"/>
      <c r="B376" s="1354" t="s">
        <v>204</v>
      </c>
      <c r="C376" s="1423"/>
      <c r="D376" s="52"/>
      <c r="E376" s="53"/>
      <c r="F376" s="53"/>
      <c r="G376" s="65"/>
      <c r="H376" s="53"/>
      <c r="I376" s="55"/>
      <c r="J376" s="52"/>
      <c r="K376" s="56" t="str">
        <f t="shared" si="20"/>
        <v/>
      </c>
      <c r="L376" s="55"/>
      <c r="M376" s="55"/>
      <c r="N376" s="55"/>
      <c r="O376" s="55"/>
      <c r="P376" s="55"/>
      <c r="Q376" s="55"/>
      <c r="R376" s="55"/>
      <c r="S376" s="55"/>
      <c r="T376" s="55"/>
      <c r="U376" s="55"/>
      <c r="V376" s="55"/>
      <c r="W376" s="55"/>
      <c r="X376" s="55"/>
      <c r="Y376" s="55"/>
      <c r="Z376" s="55"/>
    </row>
    <row r="377" spans="1:26" ht="15">
      <c r="A377" s="1352"/>
      <c r="B377" s="1354" t="s">
        <v>205</v>
      </c>
      <c r="C377" s="1423"/>
      <c r="D377" s="52"/>
      <c r="E377" s="53"/>
      <c r="F377" s="53"/>
      <c r="G377" s="65"/>
      <c r="H377" s="53"/>
      <c r="I377" s="55"/>
      <c r="J377" s="52"/>
      <c r="K377" s="56" t="str">
        <f t="shared" si="20"/>
        <v/>
      </c>
      <c r="L377" s="55"/>
      <c r="M377" s="55"/>
      <c r="N377" s="55"/>
      <c r="O377" s="55"/>
      <c r="P377" s="55"/>
      <c r="Q377" s="55"/>
      <c r="R377" s="55"/>
      <c r="S377" s="55"/>
      <c r="T377" s="55"/>
      <c r="U377" s="55"/>
      <c r="V377" s="55"/>
      <c r="W377" s="55"/>
      <c r="X377" s="55"/>
      <c r="Y377" s="55"/>
      <c r="Z377" s="55"/>
    </row>
    <row r="378" spans="1:26" ht="15">
      <c r="A378" s="1352"/>
      <c r="B378" s="1354" t="s">
        <v>206</v>
      </c>
      <c r="C378" s="1423"/>
      <c r="D378" s="52"/>
      <c r="E378" s="53"/>
      <c r="F378" s="53"/>
      <c r="G378" s="65"/>
      <c r="H378" s="53"/>
      <c r="I378" s="55"/>
      <c r="J378" s="52"/>
      <c r="K378" s="56" t="str">
        <f t="shared" si="20"/>
        <v/>
      </c>
      <c r="L378" s="55"/>
      <c r="M378" s="55"/>
      <c r="N378" s="55"/>
      <c r="O378" s="55"/>
      <c r="P378" s="55"/>
      <c r="Q378" s="55"/>
      <c r="R378" s="55"/>
      <c r="S378" s="55"/>
      <c r="T378" s="55"/>
      <c r="U378" s="55"/>
      <c r="V378" s="55"/>
      <c r="W378" s="55"/>
      <c r="X378" s="55"/>
      <c r="Y378" s="55"/>
      <c r="Z378" s="55"/>
    </row>
    <row r="379" spans="1:26" ht="15">
      <c r="A379" s="1352"/>
      <c r="B379" s="1354" t="s">
        <v>235</v>
      </c>
      <c r="C379" s="1423"/>
      <c r="D379" s="52"/>
      <c r="E379" s="53"/>
      <c r="F379" s="53"/>
      <c r="G379" s="65"/>
      <c r="H379" s="53"/>
      <c r="I379" s="55"/>
      <c r="J379" s="52"/>
      <c r="K379" s="56" t="str">
        <f t="shared" si="20"/>
        <v/>
      </c>
      <c r="L379" s="55"/>
      <c r="M379" s="55"/>
      <c r="N379" s="55"/>
      <c r="O379" s="55"/>
      <c r="P379" s="55"/>
      <c r="Q379" s="55"/>
      <c r="R379" s="55"/>
      <c r="S379" s="55"/>
      <c r="T379" s="55"/>
      <c r="U379" s="55"/>
      <c r="V379" s="55"/>
      <c r="W379" s="55"/>
      <c r="X379" s="55"/>
      <c r="Y379" s="55"/>
      <c r="Z379" s="55"/>
    </row>
    <row r="380" spans="1:26" ht="15">
      <c r="A380" s="1352"/>
      <c r="B380" s="1354" t="s">
        <v>121</v>
      </c>
      <c r="C380" s="1423"/>
      <c r="D380" s="52"/>
      <c r="E380" s="53"/>
      <c r="F380" s="53"/>
      <c r="G380" s="65"/>
      <c r="H380" s="53"/>
      <c r="I380" s="55"/>
      <c r="J380" s="52"/>
      <c r="K380" s="56" t="str">
        <f t="shared" si="20"/>
        <v/>
      </c>
      <c r="L380" s="55"/>
      <c r="M380" s="55"/>
      <c r="N380" s="55"/>
      <c r="O380" s="55"/>
      <c r="P380" s="55"/>
      <c r="Q380" s="55"/>
      <c r="R380" s="55"/>
      <c r="S380" s="55"/>
      <c r="T380" s="55"/>
      <c r="U380" s="55"/>
      <c r="V380" s="55"/>
      <c r="W380" s="55"/>
      <c r="X380" s="55"/>
      <c r="Y380" s="55"/>
      <c r="Z380" s="55"/>
    </row>
    <row r="381" spans="1:26" ht="15">
      <c r="A381" s="1352"/>
      <c r="B381" s="1354" t="s">
        <v>122</v>
      </c>
      <c r="C381" s="1423"/>
      <c r="D381" s="52"/>
      <c r="E381" s="53"/>
      <c r="F381" s="53"/>
      <c r="G381" s="65"/>
      <c r="H381" s="53"/>
      <c r="I381" s="55"/>
      <c r="J381" s="52"/>
      <c r="K381" s="56" t="str">
        <f t="shared" si="20"/>
        <v/>
      </c>
      <c r="L381" s="55"/>
      <c r="M381" s="55"/>
      <c r="N381" s="55"/>
      <c r="O381" s="55"/>
      <c r="P381" s="55"/>
      <c r="Q381" s="55"/>
      <c r="R381" s="55"/>
      <c r="S381" s="55"/>
      <c r="T381" s="55"/>
      <c r="U381" s="55"/>
      <c r="V381" s="55"/>
      <c r="W381" s="55"/>
      <c r="X381" s="55"/>
      <c r="Y381" s="55"/>
      <c r="Z381" s="55"/>
    </row>
    <row r="382" spans="1:26" ht="15">
      <c r="A382" s="1352"/>
      <c r="B382" s="1354" t="s">
        <v>198</v>
      </c>
      <c r="C382" s="1423"/>
      <c r="D382" s="52"/>
      <c r="E382" s="53"/>
      <c r="F382" s="53"/>
      <c r="G382" s="65"/>
      <c r="H382" s="53"/>
      <c r="I382" s="55"/>
      <c r="J382" s="52"/>
      <c r="K382" s="56" t="str">
        <f t="shared" si="20"/>
        <v/>
      </c>
      <c r="L382" s="55"/>
      <c r="M382" s="55"/>
      <c r="N382" s="55"/>
      <c r="O382" s="55"/>
      <c r="P382" s="55"/>
      <c r="Q382" s="55"/>
      <c r="R382" s="55"/>
      <c r="S382" s="55"/>
      <c r="T382" s="55"/>
      <c r="U382" s="55"/>
      <c r="V382" s="55"/>
      <c r="W382" s="55"/>
      <c r="X382" s="55"/>
      <c r="Y382" s="55"/>
      <c r="Z382" s="55"/>
    </row>
    <row r="383" spans="1:26" ht="15">
      <c r="A383" s="1352"/>
      <c r="B383" s="1354" t="s">
        <v>175</v>
      </c>
      <c r="C383" s="1423"/>
      <c r="D383" s="52"/>
      <c r="E383" s="53"/>
      <c r="F383" s="53"/>
      <c r="G383" s="65"/>
      <c r="H383" s="53"/>
      <c r="I383" s="55"/>
      <c r="J383" s="52"/>
      <c r="K383" s="56" t="str">
        <f t="shared" si="20"/>
        <v/>
      </c>
      <c r="L383" s="55"/>
      <c r="M383" s="55"/>
      <c r="N383" s="55"/>
      <c r="O383" s="55"/>
      <c r="P383" s="55"/>
      <c r="Q383" s="55"/>
      <c r="R383" s="55"/>
      <c r="S383" s="55"/>
      <c r="T383" s="55"/>
      <c r="U383" s="55"/>
      <c r="V383" s="55"/>
      <c r="W383" s="55"/>
      <c r="X383" s="55"/>
      <c r="Y383" s="55"/>
      <c r="Z383" s="55"/>
    </row>
    <row r="384" spans="1:26" ht="15">
      <c r="A384" s="1352"/>
      <c r="B384" s="1354" t="s">
        <v>236</v>
      </c>
      <c r="C384" s="1423"/>
      <c r="D384" s="52"/>
      <c r="E384" s="53"/>
      <c r="F384" s="53"/>
      <c r="G384" s="65"/>
      <c r="H384" s="53"/>
      <c r="I384" s="55"/>
      <c r="J384" s="52">
        <v>12</v>
      </c>
      <c r="K384" s="56" t="str">
        <f t="shared" si="20"/>
        <v/>
      </c>
      <c r="L384" s="55"/>
      <c r="M384" s="55"/>
      <c r="N384" s="55"/>
      <c r="O384" s="55"/>
      <c r="P384" s="55"/>
      <c r="Q384" s="55"/>
      <c r="R384" s="55"/>
      <c r="S384" s="55"/>
      <c r="T384" s="55"/>
      <c r="U384" s="55"/>
      <c r="V384" s="55"/>
      <c r="W384" s="55"/>
      <c r="X384" s="55"/>
      <c r="Y384" s="55"/>
      <c r="Z384" s="55"/>
    </row>
    <row r="385" spans="1:26" ht="15">
      <c r="A385" s="1352"/>
      <c r="B385" s="1354" t="s">
        <v>237</v>
      </c>
      <c r="C385" s="1423"/>
      <c r="D385" s="52"/>
      <c r="E385" s="53"/>
      <c r="F385" s="53"/>
      <c r="G385" s="65"/>
      <c r="H385" s="53"/>
      <c r="I385" s="55"/>
      <c r="J385" s="52"/>
      <c r="K385" s="56" t="str">
        <f t="shared" si="20"/>
        <v/>
      </c>
      <c r="L385" s="55"/>
      <c r="M385" s="55"/>
      <c r="N385" s="55"/>
      <c r="O385" s="55"/>
      <c r="P385" s="55"/>
      <c r="Q385" s="55"/>
      <c r="R385" s="55"/>
      <c r="S385" s="55"/>
      <c r="T385" s="55"/>
      <c r="U385" s="55"/>
      <c r="V385" s="55"/>
      <c r="W385" s="55"/>
      <c r="X385" s="55"/>
      <c r="Y385" s="55"/>
      <c r="Z385" s="55"/>
    </row>
    <row r="386" spans="1:26" ht="15">
      <c r="A386" s="1352"/>
      <c r="B386" s="1354" t="s">
        <v>123</v>
      </c>
      <c r="C386" s="1423"/>
      <c r="D386" s="52"/>
      <c r="E386" s="53"/>
      <c r="F386" s="53"/>
      <c r="G386" s="65"/>
      <c r="H386" s="53"/>
      <c r="I386" s="55"/>
      <c r="J386" s="52"/>
      <c r="K386" s="56" t="str">
        <f t="shared" si="20"/>
        <v/>
      </c>
      <c r="L386" s="55"/>
      <c r="M386" s="55"/>
      <c r="N386" s="55"/>
      <c r="O386" s="55"/>
      <c r="P386" s="55"/>
      <c r="Q386" s="55"/>
      <c r="R386" s="55"/>
      <c r="S386" s="55"/>
      <c r="T386" s="55"/>
      <c r="U386" s="55"/>
      <c r="V386" s="55"/>
      <c r="W386" s="55"/>
      <c r="X386" s="55"/>
      <c r="Y386" s="55"/>
      <c r="Z386" s="55"/>
    </row>
    <row r="387" spans="1:26" ht="15">
      <c r="A387" s="1352"/>
      <c r="B387" s="1354" t="s">
        <v>124</v>
      </c>
      <c r="C387" s="1423"/>
      <c r="D387" s="52"/>
      <c r="E387" s="53"/>
      <c r="F387" s="53"/>
      <c r="G387" s="65"/>
      <c r="H387" s="53"/>
      <c r="I387" s="55"/>
      <c r="J387" s="52"/>
      <c r="K387" s="56" t="str">
        <f t="shared" si="20"/>
        <v/>
      </c>
      <c r="L387" s="55"/>
      <c r="M387" s="55"/>
      <c r="N387" s="55"/>
      <c r="O387" s="55"/>
      <c r="P387" s="55"/>
      <c r="Q387" s="55"/>
      <c r="R387" s="55"/>
      <c r="S387" s="55"/>
      <c r="T387" s="55"/>
      <c r="U387" s="55"/>
      <c r="V387" s="55"/>
      <c r="W387" s="55"/>
      <c r="X387" s="55"/>
      <c r="Y387" s="55"/>
      <c r="Z387" s="55"/>
    </row>
    <row r="388" spans="1:26" ht="15">
      <c r="A388" s="1352"/>
      <c r="B388" s="1354" t="s">
        <v>125</v>
      </c>
      <c r="C388" s="1423"/>
      <c r="D388" s="52"/>
      <c r="E388" s="53"/>
      <c r="F388" s="53"/>
      <c r="G388" s="65"/>
      <c r="H388" s="53"/>
      <c r="I388" s="55"/>
      <c r="J388" s="52"/>
      <c r="K388" s="56" t="str">
        <f t="shared" si="20"/>
        <v/>
      </c>
      <c r="L388" s="55"/>
      <c r="M388" s="55"/>
      <c r="N388" s="55"/>
      <c r="O388" s="55"/>
      <c r="P388" s="55"/>
      <c r="Q388" s="55"/>
      <c r="R388" s="55"/>
      <c r="S388" s="55"/>
      <c r="T388" s="55"/>
      <c r="U388" s="55"/>
      <c r="V388" s="55"/>
      <c r="W388" s="55"/>
      <c r="X388" s="55"/>
      <c r="Y388" s="55"/>
      <c r="Z388" s="55"/>
    </row>
    <row r="389" spans="1:26" ht="15">
      <c r="A389" s="1352"/>
      <c r="B389" s="1354" t="s">
        <v>126</v>
      </c>
      <c r="C389" s="1423"/>
      <c r="D389" s="52"/>
      <c r="E389" s="53"/>
      <c r="F389" s="53"/>
      <c r="G389" s="65"/>
      <c r="H389" s="53"/>
      <c r="I389" s="55"/>
      <c r="J389" s="52"/>
      <c r="K389" s="56" t="str">
        <f t="shared" si="20"/>
        <v/>
      </c>
      <c r="L389" s="55"/>
      <c r="M389" s="55"/>
      <c r="N389" s="55"/>
      <c r="O389" s="55"/>
      <c r="P389" s="55"/>
      <c r="Q389" s="55"/>
      <c r="R389" s="55"/>
      <c r="S389" s="55"/>
      <c r="T389" s="55"/>
      <c r="U389" s="55"/>
      <c r="V389" s="55"/>
      <c r="W389" s="55"/>
      <c r="X389" s="55"/>
      <c r="Y389" s="55"/>
      <c r="Z389" s="55"/>
    </row>
    <row r="390" spans="1:26" ht="15">
      <c r="A390" s="1352"/>
      <c r="B390" s="1354" t="s">
        <v>127</v>
      </c>
      <c r="C390" s="1423"/>
      <c r="D390" s="52"/>
      <c r="E390" s="53"/>
      <c r="F390" s="53"/>
      <c r="G390" s="65"/>
      <c r="H390" s="53"/>
      <c r="I390" s="55"/>
      <c r="J390" s="52"/>
      <c r="K390" s="56" t="str">
        <f t="shared" si="20"/>
        <v/>
      </c>
      <c r="L390" s="55"/>
      <c r="M390" s="55"/>
      <c r="N390" s="55"/>
      <c r="O390" s="55"/>
      <c r="P390" s="55"/>
      <c r="Q390" s="55"/>
      <c r="R390" s="55"/>
      <c r="S390" s="55"/>
      <c r="T390" s="55"/>
      <c r="U390" s="55"/>
      <c r="V390" s="55"/>
      <c r="W390" s="55"/>
      <c r="X390" s="55"/>
      <c r="Y390" s="55"/>
      <c r="Z390" s="55"/>
    </row>
    <row r="391" spans="1:26" ht="15">
      <c r="A391" s="1352"/>
      <c r="B391" s="1354" t="s">
        <v>128</v>
      </c>
      <c r="C391" s="1423"/>
      <c r="D391" s="52"/>
      <c r="E391" s="53"/>
      <c r="F391" s="53"/>
      <c r="G391" s="65"/>
      <c r="H391" s="53"/>
      <c r="I391" s="55"/>
      <c r="J391" s="52"/>
      <c r="K391" s="56" t="str">
        <f t="shared" si="20"/>
        <v/>
      </c>
      <c r="L391" s="55"/>
      <c r="M391" s="55"/>
      <c r="N391" s="55"/>
      <c r="O391" s="55"/>
      <c r="P391" s="55"/>
      <c r="Q391" s="55"/>
      <c r="R391" s="55"/>
      <c r="S391" s="55"/>
      <c r="T391" s="55"/>
      <c r="U391" s="55"/>
      <c r="V391" s="55"/>
      <c r="W391" s="55"/>
      <c r="X391" s="55"/>
      <c r="Y391" s="55"/>
      <c r="Z391" s="55"/>
    </row>
    <row r="392" spans="1:26" ht="15">
      <c r="A392" s="1352"/>
      <c r="B392" s="1354" t="s">
        <v>129</v>
      </c>
      <c r="C392" s="1423"/>
      <c r="D392" s="52"/>
      <c r="E392" s="53"/>
      <c r="F392" s="53"/>
      <c r="G392" s="65"/>
      <c r="H392" s="53"/>
      <c r="I392" s="55"/>
      <c r="J392" s="52"/>
      <c r="K392" s="56" t="str">
        <f t="shared" si="20"/>
        <v/>
      </c>
      <c r="L392" s="55"/>
      <c r="M392" s="55"/>
      <c r="N392" s="55"/>
      <c r="O392" s="55"/>
      <c r="P392" s="55"/>
      <c r="Q392" s="55"/>
      <c r="R392" s="55"/>
      <c r="S392" s="55"/>
      <c r="T392" s="55"/>
      <c r="U392" s="55"/>
      <c r="V392" s="55"/>
      <c r="W392" s="55"/>
      <c r="X392" s="55"/>
      <c r="Y392" s="55"/>
      <c r="Z392" s="55"/>
    </row>
    <row r="393" spans="1:26" ht="15">
      <c r="A393" s="1352"/>
      <c r="B393" s="1354" t="s">
        <v>140</v>
      </c>
      <c r="C393" s="1423"/>
      <c r="D393" s="52"/>
      <c r="E393" s="53"/>
      <c r="F393" s="53"/>
      <c r="G393" s="65"/>
      <c r="H393" s="53"/>
      <c r="I393" s="55"/>
      <c r="J393" s="52"/>
      <c r="K393" s="56" t="str">
        <f t="shared" si="20"/>
        <v/>
      </c>
      <c r="L393" s="55"/>
      <c r="M393" s="55"/>
      <c r="N393" s="55"/>
      <c r="O393" s="55"/>
      <c r="P393" s="55"/>
      <c r="Q393" s="55"/>
      <c r="R393" s="55"/>
      <c r="S393" s="55"/>
      <c r="T393" s="55"/>
      <c r="U393" s="55"/>
      <c r="V393" s="55"/>
      <c r="W393" s="55"/>
      <c r="X393" s="55"/>
      <c r="Y393" s="55"/>
      <c r="Z393" s="55"/>
    </row>
    <row r="394" spans="1:26" ht="15">
      <c r="A394" s="1352"/>
      <c r="B394" s="1354" t="s">
        <v>177</v>
      </c>
      <c r="C394" s="1423"/>
      <c r="D394" s="52"/>
      <c r="E394" s="53"/>
      <c r="F394" s="53"/>
      <c r="G394" s="65"/>
      <c r="H394" s="53"/>
      <c r="I394" s="55"/>
      <c r="J394" s="52"/>
      <c r="K394" s="56" t="str">
        <f t="shared" si="20"/>
        <v/>
      </c>
      <c r="L394" s="55"/>
      <c r="M394" s="55"/>
      <c r="N394" s="55"/>
      <c r="O394" s="55"/>
      <c r="P394" s="55"/>
      <c r="Q394" s="55"/>
      <c r="R394" s="55"/>
      <c r="S394" s="55"/>
      <c r="T394" s="55"/>
      <c r="U394" s="55"/>
      <c r="V394" s="55"/>
      <c r="W394" s="55"/>
      <c r="X394" s="55"/>
      <c r="Y394" s="55"/>
      <c r="Z394" s="55"/>
    </row>
    <row r="395" spans="1:26" ht="15">
      <c r="A395" s="1352"/>
      <c r="B395" s="1354" t="s">
        <v>178</v>
      </c>
      <c r="C395" s="1423"/>
      <c r="D395" s="52"/>
      <c r="E395" s="53"/>
      <c r="F395" s="53"/>
      <c r="G395" s="65"/>
      <c r="H395" s="53"/>
      <c r="I395" s="55"/>
      <c r="J395" s="52"/>
      <c r="K395" s="56" t="str">
        <f t="shared" si="20"/>
        <v/>
      </c>
      <c r="L395" s="55"/>
      <c r="M395" s="55"/>
      <c r="N395" s="55"/>
      <c r="O395" s="55"/>
      <c r="P395" s="55"/>
      <c r="Q395" s="55"/>
      <c r="R395" s="55"/>
      <c r="S395" s="55"/>
      <c r="T395" s="55"/>
      <c r="U395" s="55"/>
      <c r="V395" s="55"/>
      <c r="W395" s="55"/>
      <c r="X395" s="55"/>
      <c r="Y395" s="55"/>
      <c r="Z395" s="55"/>
    </row>
    <row r="396" spans="1:26" ht="15">
      <c r="A396" s="1352"/>
      <c r="B396" s="1354" t="s">
        <v>110</v>
      </c>
      <c r="C396" s="1423"/>
      <c r="D396" s="52"/>
      <c r="E396" s="53"/>
      <c r="F396" s="53"/>
      <c r="G396" s="65"/>
      <c r="H396" s="53"/>
      <c r="I396" s="55"/>
      <c r="J396" s="52"/>
      <c r="K396" s="56" t="str">
        <f t="shared" si="20"/>
        <v/>
      </c>
      <c r="L396" s="55"/>
      <c r="M396" s="55"/>
      <c r="N396" s="55"/>
      <c r="O396" s="55"/>
      <c r="P396" s="55"/>
      <c r="Q396" s="55"/>
      <c r="R396" s="55"/>
      <c r="S396" s="55"/>
      <c r="T396" s="55"/>
      <c r="U396" s="55"/>
      <c r="V396" s="55"/>
      <c r="W396" s="55"/>
      <c r="X396" s="55"/>
      <c r="Y396" s="55"/>
      <c r="Z396" s="55"/>
    </row>
    <row r="397" spans="1:26" ht="15">
      <c r="A397" s="1352"/>
      <c r="B397" s="1354" t="s">
        <v>151</v>
      </c>
      <c r="C397" s="1423"/>
      <c r="D397" s="52"/>
      <c r="E397" s="53"/>
      <c r="F397" s="53"/>
      <c r="G397" s="65"/>
      <c r="H397" s="53"/>
      <c r="I397" s="55"/>
      <c r="J397" s="52"/>
      <c r="K397" s="56" t="str">
        <f t="shared" si="20"/>
        <v/>
      </c>
      <c r="L397" s="55"/>
      <c r="M397" s="55"/>
      <c r="N397" s="55"/>
      <c r="O397" s="55"/>
      <c r="P397" s="55"/>
      <c r="Q397" s="55"/>
      <c r="R397" s="55"/>
      <c r="S397" s="55"/>
      <c r="T397" s="55"/>
      <c r="U397" s="55"/>
      <c r="V397" s="55"/>
      <c r="W397" s="55"/>
      <c r="X397" s="55"/>
      <c r="Y397" s="55"/>
      <c r="Z397" s="55"/>
    </row>
    <row r="398" spans="1:26" ht="15">
      <c r="A398" s="1352"/>
      <c r="B398" s="1354" t="s">
        <v>215</v>
      </c>
      <c r="C398" s="1423"/>
      <c r="D398" s="52"/>
      <c r="E398" s="53"/>
      <c r="F398" s="53"/>
      <c r="G398" s="65"/>
      <c r="H398" s="53"/>
      <c r="I398" s="55"/>
      <c r="J398" s="52"/>
      <c r="K398" s="56" t="str">
        <f t="shared" si="20"/>
        <v/>
      </c>
      <c r="L398" s="55"/>
      <c r="M398" s="55"/>
      <c r="N398" s="55"/>
      <c r="O398" s="55"/>
      <c r="P398" s="55"/>
      <c r="Q398" s="55"/>
      <c r="R398" s="55"/>
      <c r="S398" s="55"/>
      <c r="T398" s="55"/>
      <c r="U398" s="55"/>
      <c r="V398" s="55"/>
      <c r="W398" s="55"/>
      <c r="X398" s="55"/>
      <c r="Y398" s="55"/>
      <c r="Z398" s="55"/>
    </row>
    <row r="399" spans="1:26" ht="15">
      <c r="A399" s="1352"/>
      <c r="B399" s="1354" t="s">
        <v>181</v>
      </c>
      <c r="C399" s="1423"/>
      <c r="D399" s="52"/>
      <c r="E399" s="53"/>
      <c r="F399" s="53"/>
      <c r="G399" s="65"/>
      <c r="H399" s="53"/>
      <c r="I399" s="55"/>
      <c r="J399" s="52"/>
      <c r="K399" s="56" t="str">
        <f t="shared" si="20"/>
        <v/>
      </c>
      <c r="L399" s="55"/>
      <c r="M399" s="55"/>
      <c r="N399" s="55"/>
      <c r="O399" s="55"/>
      <c r="P399" s="55"/>
      <c r="Q399" s="55"/>
      <c r="R399" s="55"/>
      <c r="S399" s="55"/>
      <c r="T399" s="55"/>
      <c r="U399" s="55"/>
      <c r="V399" s="55"/>
      <c r="W399" s="55"/>
      <c r="X399" s="55"/>
      <c r="Y399" s="55"/>
      <c r="Z399" s="55"/>
    </row>
    <row r="400" spans="1:26" ht="15">
      <c r="A400" s="1352"/>
      <c r="B400" s="1354" t="s">
        <v>130</v>
      </c>
      <c r="C400" s="1423"/>
      <c r="D400" s="52"/>
      <c r="E400" s="53"/>
      <c r="F400" s="53"/>
      <c r="G400" s="65"/>
      <c r="H400" s="53"/>
      <c r="I400" s="55"/>
      <c r="J400" s="52"/>
      <c r="K400" s="56" t="str">
        <f t="shared" si="20"/>
        <v/>
      </c>
      <c r="L400" s="55"/>
      <c r="M400" s="55"/>
      <c r="N400" s="55"/>
      <c r="O400" s="55"/>
      <c r="P400" s="55"/>
      <c r="Q400" s="55"/>
      <c r="R400" s="55"/>
      <c r="S400" s="55"/>
      <c r="T400" s="55"/>
      <c r="U400" s="55"/>
      <c r="V400" s="55"/>
      <c r="W400" s="55"/>
      <c r="X400" s="55"/>
      <c r="Y400" s="55"/>
      <c r="Z400" s="55"/>
    </row>
    <row r="401" spans="1:26" ht="15">
      <c r="A401" s="1350" t="s">
        <v>238</v>
      </c>
      <c r="B401" s="1350" t="s">
        <v>101</v>
      </c>
      <c r="C401" s="1422"/>
      <c r="D401" s="52" t="s">
        <v>155</v>
      </c>
      <c r="E401" s="53">
        <v>1740</v>
      </c>
      <c r="F401" s="53"/>
      <c r="G401" s="65"/>
      <c r="H401" s="53"/>
      <c r="I401" s="55"/>
      <c r="J401" s="52"/>
      <c r="K401" s="56">
        <f t="shared" si="20"/>
        <v>0</v>
      </c>
      <c r="L401" s="55"/>
      <c r="M401" s="55"/>
      <c r="N401" s="55"/>
      <c r="O401" s="55"/>
      <c r="P401" s="55"/>
      <c r="Q401" s="55"/>
      <c r="R401" s="55"/>
      <c r="S401" s="55"/>
      <c r="T401" s="55"/>
      <c r="U401" s="55"/>
      <c r="V401" s="55"/>
      <c r="W401" s="55"/>
      <c r="X401" s="55"/>
      <c r="Y401" s="55"/>
      <c r="Z401" s="55"/>
    </row>
    <row r="402" spans="1:26" ht="15">
      <c r="A402" s="1350" t="s">
        <v>239</v>
      </c>
      <c r="B402" s="1350" t="s">
        <v>113</v>
      </c>
      <c r="C402" s="1422"/>
      <c r="D402" s="52" t="s">
        <v>103</v>
      </c>
      <c r="E402" s="53">
        <v>270</v>
      </c>
      <c r="F402" s="53"/>
      <c r="G402" s="65"/>
      <c r="H402" s="53"/>
      <c r="I402" s="55"/>
      <c r="J402" s="52"/>
      <c r="K402" s="56">
        <f t="shared" si="20"/>
        <v>0</v>
      </c>
      <c r="L402" s="55"/>
      <c r="M402" s="55"/>
      <c r="N402" s="55"/>
      <c r="O402" s="55"/>
      <c r="P402" s="55"/>
      <c r="Q402" s="55"/>
      <c r="R402" s="55"/>
      <c r="S402" s="55"/>
      <c r="T402" s="55"/>
      <c r="U402" s="55"/>
      <c r="V402" s="55"/>
      <c r="W402" s="55"/>
      <c r="X402" s="55"/>
      <c r="Y402" s="55"/>
      <c r="Z402" s="55"/>
    </row>
    <row r="403" spans="1:26" ht="15">
      <c r="A403" s="1352"/>
      <c r="B403" s="1354" t="s">
        <v>115</v>
      </c>
      <c r="C403" s="1423"/>
      <c r="D403" s="52"/>
      <c r="E403" s="53"/>
      <c r="F403" s="53"/>
      <c r="G403" s="65"/>
      <c r="H403" s="53"/>
      <c r="I403" s="55"/>
      <c r="J403" s="52"/>
      <c r="K403" s="56" t="str">
        <f t="shared" si="20"/>
        <v/>
      </c>
      <c r="L403" s="55"/>
      <c r="M403" s="55"/>
      <c r="N403" s="55"/>
      <c r="O403" s="55"/>
      <c r="P403" s="55"/>
      <c r="Q403" s="55"/>
      <c r="R403" s="55"/>
      <c r="S403" s="55"/>
      <c r="T403" s="55"/>
      <c r="U403" s="55"/>
      <c r="V403" s="55"/>
      <c r="W403" s="55"/>
      <c r="X403" s="55"/>
      <c r="Y403" s="55"/>
      <c r="Z403" s="55"/>
    </row>
    <row r="404" spans="1:26" ht="15">
      <c r="A404" s="1352"/>
      <c r="B404" s="1354" t="s">
        <v>172</v>
      </c>
      <c r="C404" s="1423"/>
      <c r="D404" s="52"/>
      <c r="E404" s="53"/>
      <c r="F404" s="53"/>
      <c r="G404" s="65"/>
      <c r="H404" s="53"/>
      <c r="I404" s="55"/>
      <c r="J404" s="52"/>
      <c r="K404" s="56" t="str">
        <f t="shared" si="20"/>
        <v/>
      </c>
      <c r="L404" s="55"/>
      <c r="M404" s="55"/>
      <c r="N404" s="55"/>
      <c r="O404" s="55"/>
      <c r="P404" s="55"/>
      <c r="Q404" s="55"/>
      <c r="R404" s="55"/>
      <c r="S404" s="55"/>
      <c r="T404" s="55"/>
      <c r="U404" s="55"/>
      <c r="V404" s="55"/>
      <c r="W404" s="55"/>
      <c r="X404" s="55"/>
      <c r="Y404" s="55"/>
      <c r="Z404" s="55"/>
    </row>
    <row r="405" spans="1:26" ht="15">
      <c r="A405" s="1352"/>
      <c r="B405" s="1354" t="s">
        <v>139</v>
      </c>
      <c r="C405" s="1423"/>
      <c r="D405" s="52"/>
      <c r="E405" s="53"/>
      <c r="F405" s="53"/>
      <c r="G405" s="65"/>
      <c r="H405" s="53"/>
      <c r="I405" s="55"/>
      <c r="J405" s="52"/>
      <c r="K405" s="56" t="str">
        <f t="shared" si="20"/>
        <v/>
      </c>
      <c r="L405" s="55"/>
      <c r="M405" s="55"/>
      <c r="N405" s="55"/>
      <c r="O405" s="55"/>
      <c r="P405" s="55"/>
      <c r="Q405" s="55"/>
      <c r="R405" s="55"/>
      <c r="S405" s="55"/>
      <c r="T405" s="55"/>
      <c r="U405" s="55"/>
      <c r="V405" s="55"/>
      <c r="W405" s="55"/>
      <c r="X405" s="55"/>
      <c r="Y405" s="55"/>
      <c r="Z405" s="55"/>
    </row>
    <row r="406" spans="1:26" ht="15">
      <c r="A406" s="1352"/>
      <c r="B406" s="1354" t="s">
        <v>133</v>
      </c>
      <c r="C406" s="1423"/>
      <c r="D406" s="52"/>
      <c r="E406" s="53"/>
      <c r="F406" s="53"/>
      <c r="G406" s="65"/>
      <c r="H406" s="53"/>
      <c r="I406" s="55"/>
      <c r="J406" s="52"/>
      <c r="K406" s="56" t="str">
        <f t="shared" si="20"/>
        <v/>
      </c>
      <c r="L406" s="55"/>
      <c r="M406" s="55"/>
      <c r="N406" s="55"/>
      <c r="O406" s="55"/>
      <c r="P406" s="55"/>
      <c r="Q406" s="55"/>
      <c r="R406" s="55"/>
      <c r="S406" s="55"/>
      <c r="T406" s="55"/>
      <c r="U406" s="55"/>
      <c r="V406" s="55"/>
      <c r="W406" s="55"/>
      <c r="X406" s="55"/>
      <c r="Y406" s="55"/>
      <c r="Z406" s="55"/>
    </row>
    <row r="407" spans="1:26" ht="15">
      <c r="A407" s="1352"/>
      <c r="B407" s="1354" t="s">
        <v>196</v>
      </c>
      <c r="C407" s="1423"/>
      <c r="D407" s="52"/>
      <c r="E407" s="53"/>
      <c r="F407" s="53"/>
      <c r="G407" s="65"/>
      <c r="H407" s="53"/>
      <c r="I407" s="55"/>
      <c r="J407" s="52"/>
      <c r="K407" s="56" t="str">
        <f t="shared" si="20"/>
        <v/>
      </c>
      <c r="L407" s="55"/>
      <c r="M407" s="55"/>
      <c r="N407" s="55"/>
      <c r="O407" s="55"/>
      <c r="P407" s="55"/>
      <c r="Q407" s="55"/>
      <c r="R407" s="55"/>
      <c r="S407" s="55"/>
      <c r="T407" s="55"/>
      <c r="U407" s="55"/>
      <c r="V407" s="55"/>
      <c r="W407" s="55"/>
      <c r="X407" s="55"/>
      <c r="Y407" s="55"/>
      <c r="Z407" s="55"/>
    </row>
    <row r="408" spans="1:26" ht="15">
      <c r="A408" s="1352"/>
      <c r="B408" s="1354" t="s">
        <v>197</v>
      </c>
      <c r="C408" s="1423"/>
      <c r="D408" s="52"/>
      <c r="E408" s="53"/>
      <c r="F408" s="53"/>
      <c r="G408" s="65"/>
      <c r="H408" s="53"/>
      <c r="I408" s="55"/>
      <c r="J408" s="52">
        <v>12</v>
      </c>
      <c r="K408" s="56" t="str">
        <f t="shared" si="20"/>
        <v/>
      </c>
      <c r="L408" s="55"/>
      <c r="M408" s="55"/>
      <c r="N408" s="55"/>
      <c r="O408" s="55"/>
      <c r="P408" s="55"/>
      <c r="Q408" s="55"/>
      <c r="R408" s="55"/>
      <c r="S408" s="55"/>
      <c r="T408" s="55"/>
      <c r="U408" s="55"/>
      <c r="V408" s="55"/>
      <c r="W408" s="55"/>
      <c r="X408" s="55"/>
      <c r="Y408" s="55"/>
      <c r="Z408" s="55"/>
    </row>
    <row r="409" spans="1:26" ht="15">
      <c r="A409" s="1352"/>
      <c r="B409" s="1354" t="s">
        <v>108</v>
      </c>
      <c r="C409" s="1423"/>
      <c r="D409" s="52"/>
      <c r="E409" s="53"/>
      <c r="F409" s="53"/>
      <c r="G409" s="65"/>
      <c r="H409" s="53"/>
      <c r="I409" s="55"/>
      <c r="J409" s="52"/>
      <c r="K409" s="56" t="str">
        <f t="shared" si="20"/>
        <v/>
      </c>
      <c r="L409" s="55"/>
      <c r="M409" s="55"/>
      <c r="N409" s="55"/>
      <c r="O409" s="55"/>
      <c r="P409" s="55"/>
      <c r="Q409" s="55"/>
      <c r="R409" s="55"/>
      <c r="S409" s="55"/>
      <c r="T409" s="55"/>
      <c r="U409" s="55"/>
      <c r="V409" s="55"/>
      <c r="W409" s="55"/>
      <c r="X409" s="55"/>
      <c r="Y409" s="55"/>
      <c r="Z409" s="55"/>
    </row>
    <row r="410" spans="1:26" ht="15">
      <c r="A410" s="1352"/>
      <c r="B410" s="1354" t="s">
        <v>174</v>
      </c>
      <c r="C410" s="1423"/>
      <c r="D410" s="52"/>
      <c r="E410" s="53"/>
      <c r="F410" s="53"/>
      <c r="G410" s="65"/>
      <c r="H410" s="53"/>
      <c r="I410" s="55"/>
      <c r="J410" s="52"/>
      <c r="K410" s="56" t="str">
        <f t="shared" si="20"/>
        <v/>
      </c>
      <c r="L410" s="55"/>
      <c r="M410" s="55"/>
      <c r="N410" s="55"/>
      <c r="O410" s="55"/>
      <c r="P410" s="55"/>
      <c r="Q410" s="55"/>
      <c r="R410" s="55"/>
      <c r="S410" s="55"/>
      <c r="T410" s="55"/>
      <c r="U410" s="55"/>
      <c r="V410" s="55"/>
      <c r="W410" s="55"/>
      <c r="X410" s="55"/>
      <c r="Y410" s="55"/>
      <c r="Z410" s="55"/>
    </row>
    <row r="411" spans="1:26" ht="15">
      <c r="A411" s="1352"/>
      <c r="B411" s="1354" t="s">
        <v>116</v>
      </c>
      <c r="C411" s="1423"/>
      <c r="D411" s="52"/>
      <c r="E411" s="53"/>
      <c r="F411" s="53"/>
      <c r="G411" s="65"/>
      <c r="H411" s="53"/>
      <c r="I411" s="55"/>
      <c r="J411" s="52"/>
      <c r="K411" s="56" t="str">
        <f t="shared" si="20"/>
        <v/>
      </c>
      <c r="L411" s="55"/>
      <c r="M411" s="55"/>
      <c r="N411" s="55"/>
      <c r="O411" s="55"/>
      <c r="P411" s="55"/>
      <c r="Q411" s="55"/>
      <c r="R411" s="55"/>
      <c r="S411" s="55"/>
      <c r="T411" s="55"/>
      <c r="U411" s="55"/>
      <c r="V411" s="55"/>
      <c r="W411" s="55"/>
      <c r="X411" s="55"/>
      <c r="Y411" s="55"/>
      <c r="Z411" s="55"/>
    </row>
    <row r="412" spans="1:26" ht="15">
      <c r="A412" s="1352"/>
      <c r="B412" s="1354" t="s">
        <v>109</v>
      </c>
      <c r="C412" s="1423"/>
      <c r="D412" s="52"/>
      <c r="E412" s="53"/>
      <c r="F412" s="53"/>
      <c r="G412" s="65"/>
      <c r="H412" s="53"/>
      <c r="I412" s="55"/>
      <c r="J412" s="52"/>
      <c r="K412" s="56" t="str">
        <f t="shared" si="20"/>
        <v/>
      </c>
      <c r="L412" s="55"/>
      <c r="M412" s="55"/>
      <c r="N412" s="55"/>
      <c r="O412" s="55"/>
      <c r="P412" s="55"/>
      <c r="Q412" s="55"/>
      <c r="R412" s="55"/>
      <c r="S412" s="55"/>
      <c r="T412" s="55"/>
      <c r="U412" s="55"/>
      <c r="V412" s="55"/>
      <c r="W412" s="55"/>
      <c r="X412" s="55"/>
      <c r="Y412" s="55"/>
      <c r="Z412" s="55"/>
    </row>
    <row r="413" spans="1:26" ht="15">
      <c r="A413" s="1352"/>
      <c r="B413" s="1354" t="s">
        <v>204</v>
      </c>
      <c r="C413" s="1423"/>
      <c r="D413" s="52"/>
      <c r="E413" s="53"/>
      <c r="F413" s="53"/>
      <c r="G413" s="65"/>
      <c r="H413" s="53"/>
      <c r="I413" s="55"/>
      <c r="J413" s="52"/>
      <c r="K413" s="56" t="str">
        <f t="shared" si="20"/>
        <v/>
      </c>
      <c r="L413" s="55"/>
      <c r="M413" s="55"/>
      <c r="N413" s="55"/>
      <c r="O413" s="55"/>
      <c r="P413" s="55"/>
      <c r="Q413" s="55"/>
      <c r="R413" s="55"/>
      <c r="S413" s="55"/>
      <c r="T413" s="55"/>
      <c r="U413" s="55"/>
      <c r="V413" s="55"/>
      <c r="W413" s="55"/>
      <c r="X413" s="55"/>
      <c r="Y413" s="55"/>
      <c r="Z413" s="55"/>
    </row>
    <row r="414" spans="1:26" ht="15">
      <c r="A414" s="1352"/>
      <c r="B414" s="1354" t="s">
        <v>205</v>
      </c>
      <c r="C414" s="1423"/>
      <c r="D414" s="52"/>
      <c r="E414" s="53"/>
      <c r="F414" s="53"/>
      <c r="G414" s="65"/>
      <c r="H414" s="53"/>
      <c r="I414" s="55"/>
      <c r="J414" s="52"/>
      <c r="K414" s="56" t="str">
        <f t="shared" si="20"/>
        <v/>
      </c>
      <c r="L414" s="55"/>
      <c r="M414" s="55"/>
      <c r="N414" s="55"/>
      <c r="O414" s="55"/>
      <c r="P414" s="55"/>
      <c r="Q414" s="55"/>
      <c r="R414" s="55"/>
      <c r="S414" s="55"/>
      <c r="T414" s="55"/>
      <c r="U414" s="55"/>
      <c r="V414" s="55"/>
      <c r="W414" s="55"/>
      <c r="X414" s="55"/>
      <c r="Y414" s="55"/>
      <c r="Z414" s="55"/>
    </row>
    <row r="415" spans="1:26" ht="15">
      <c r="A415" s="1352"/>
      <c r="B415" s="1354" t="s">
        <v>206</v>
      </c>
      <c r="C415" s="1423"/>
      <c r="D415" s="52"/>
      <c r="E415" s="53"/>
      <c r="F415" s="53"/>
      <c r="G415" s="65"/>
      <c r="H415" s="53"/>
      <c r="I415" s="55"/>
      <c r="J415" s="52"/>
      <c r="K415" s="56" t="str">
        <f t="shared" si="20"/>
        <v/>
      </c>
      <c r="L415" s="55"/>
      <c r="M415" s="55"/>
      <c r="N415" s="55"/>
      <c r="O415" s="55"/>
      <c r="P415" s="55"/>
      <c r="Q415" s="55"/>
      <c r="R415" s="55"/>
      <c r="S415" s="55"/>
      <c r="T415" s="55"/>
      <c r="U415" s="55"/>
      <c r="V415" s="55"/>
      <c r="W415" s="55"/>
      <c r="X415" s="55"/>
      <c r="Y415" s="55"/>
      <c r="Z415" s="55"/>
    </row>
    <row r="416" spans="1:26" ht="15">
      <c r="A416" s="1352"/>
      <c r="B416" s="1354" t="s">
        <v>235</v>
      </c>
      <c r="C416" s="1423"/>
      <c r="D416" s="52"/>
      <c r="E416" s="53"/>
      <c r="F416" s="53"/>
      <c r="G416" s="65"/>
      <c r="H416" s="53"/>
      <c r="I416" s="55"/>
      <c r="J416" s="52"/>
      <c r="K416" s="56" t="str">
        <f t="shared" si="20"/>
        <v/>
      </c>
      <c r="L416" s="55"/>
      <c r="M416" s="55"/>
      <c r="N416" s="55"/>
      <c r="O416" s="55"/>
      <c r="P416" s="55"/>
      <c r="Q416" s="55"/>
      <c r="R416" s="55"/>
      <c r="S416" s="55"/>
      <c r="T416" s="55"/>
      <c r="U416" s="55"/>
      <c r="V416" s="55"/>
      <c r="W416" s="55"/>
      <c r="X416" s="55"/>
      <c r="Y416" s="55"/>
      <c r="Z416" s="55"/>
    </row>
    <row r="417" spans="1:26" ht="15">
      <c r="A417" s="1352"/>
      <c r="B417" s="1354" t="s">
        <v>121</v>
      </c>
      <c r="C417" s="1423"/>
      <c r="D417" s="52"/>
      <c r="E417" s="53"/>
      <c r="F417" s="53"/>
      <c r="G417" s="65"/>
      <c r="H417" s="53"/>
      <c r="I417" s="55"/>
      <c r="J417" s="52"/>
      <c r="K417" s="56" t="str">
        <f t="shared" si="20"/>
        <v/>
      </c>
      <c r="L417" s="55"/>
      <c r="M417" s="55"/>
      <c r="N417" s="55"/>
      <c r="O417" s="55"/>
      <c r="P417" s="55"/>
      <c r="Q417" s="55"/>
      <c r="R417" s="55"/>
      <c r="S417" s="55"/>
      <c r="T417" s="55"/>
      <c r="U417" s="55"/>
      <c r="V417" s="55"/>
      <c r="W417" s="55"/>
      <c r="X417" s="55"/>
      <c r="Y417" s="55"/>
      <c r="Z417" s="55"/>
    </row>
    <row r="418" spans="1:26" ht="15">
      <c r="A418" s="1352"/>
      <c r="B418" s="1354" t="s">
        <v>122</v>
      </c>
      <c r="C418" s="1423"/>
      <c r="D418" s="52"/>
      <c r="E418" s="53"/>
      <c r="F418" s="53"/>
      <c r="G418" s="65"/>
      <c r="H418" s="53"/>
      <c r="I418" s="55"/>
      <c r="J418" s="52"/>
      <c r="K418" s="56" t="str">
        <f t="shared" si="20"/>
        <v/>
      </c>
      <c r="L418" s="55"/>
      <c r="M418" s="55"/>
      <c r="N418" s="55"/>
      <c r="O418" s="55"/>
      <c r="P418" s="55"/>
      <c r="Q418" s="55"/>
      <c r="R418" s="55"/>
      <c r="S418" s="55"/>
      <c r="T418" s="55"/>
      <c r="U418" s="55"/>
      <c r="V418" s="55"/>
      <c r="W418" s="55"/>
      <c r="X418" s="55"/>
      <c r="Y418" s="55"/>
      <c r="Z418" s="55"/>
    </row>
    <row r="419" spans="1:26" ht="15">
      <c r="A419" s="1352"/>
      <c r="B419" s="1354" t="s">
        <v>198</v>
      </c>
      <c r="C419" s="1423"/>
      <c r="D419" s="52"/>
      <c r="E419" s="53"/>
      <c r="F419" s="53"/>
      <c r="G419" s="65"/>
      <c r="H419" s="53"/>
      <c r="I419" s="55"/>
      <c r="J419" s="52"/>
      <c r="K419" s="56" t="str">
        <f t="shared" si="20"/>
        <v/>
      </c>
      <c r="L419" s="55"/>
      <c r="M419" s="55"/>
      <c r="N419" s="55"/>
      <c r="O419" s="55"/>
      <c r="P419" s="55"/>
      <c r="Q419" s="55"/>
      <c r="R419" s="55"/>
      <c r="S419" s="55"/>
      <c r="T419" s="55"/>
      <c r="U419" s="55"/>
      <c r="V419" s="55"/>
      <c r="W419" s="55"/>
      <c r="X419" s="55"/>
      <c r="Y419" s="55"/>
      <c r="Z419" s="55"/>
    </row>
    <row r="420" spans="1:26" ht="15">
      <c r="A420" s="1352"/>
      <c r="B420" s="1354" t="s">
        <v>175</v>
      </c>
      <c r="C420" s="1423"/>
      <c r="D420" s="52"/>
      <c r="E420" s="53"/>
      <c r="F420" s="53"/>
      <c r="G420" s="65"/>
      <c r="H420" s="53"/>
      <c r="I420" s="55"/>
      <c r="J420" s="52"/>
      <c r="K420" s="56" t="str">
        <f t="shared" si="20"/>
        <v/>
      </c>
      <c r="L420" s="55"/>
      <c r="M420" s="55"/>
      <c r="N420" s="55"/>
      <c r="O420" s="55"/>
      <c r="P420" s="55"/>
      <c r="Q420" s="55"/>
      <c r="R420" s="55"/>
      <c r="S420" s="55"/>
      <c r="T420" s="55"/>
      <c r="U420" s="55"/>
      <c r="V420" s="55"/>
      <c r="W420" s="55"/>
      <c r="X420" s="55"/>
      <c r="Y420" s="55"/>
      <c r="Z420" s="55"/>
    </row>
    <row r="421" spans="1:26" ht="15">
      <c r="A421" s="1352"/>
      <c r="B421" s="1354" t="s">
        <v>236</v>
      </c>
      <c r="C421" s="1423"/>
      <c r="D421" s="52"/>
      <c r="E421" s="53"/>
      <c r="F421" s="53"/>
      <c r="G421" s="65"/>
      <c r="H421" s="53"/>
      <c r="I421" s="55"/>
      <c r="J421" s="52"/>
      <c r="K421" s="56" t="str">
        <f t="shared" si="20"/>
        <v/>
      </c>
      <c r="L421" s="55"/>
      <c r="M421" s="55"/>
      <c r="N421" s="55"/>
      <c r="O421" s="55"/>
      <c r="P421" s="55"/>
      <c r="Q421" s="55"/>
      <c r="R421" s="55"/>
      <c r="S421" s="55"/>
      <c r="T421" s="55"/>
      <c r="U421" s="55"/>
      <c r="V421" s="55"/>
      <c r="W421" s="55"/>
      <c r="X421" s="55"/>
      <c r="Y421" s="55"/>
      <c r="Z421" s="55"/>
    </row>
    <row r="422" spans="1:26" ht="15">
      <c r="A422" s="1352"/>
      <c r="B422" s="1354" t="s">
        <v>237</v>
      </c>
      <c r="C422" s="1423"/>
      <c r="D422" s="52"/>
      <c r="E422" s="53"/>
      <c r="F422" s="53"/>
      <c r="G422" s="65"/>
      <c r="H422" s="53"/>
      <c r="I422" s="55"/>
      <c r="J422" s="52"/>
      <c r="K422" s="56" t="str">
        <f t="shared" si="20"/>
        <v/>
      </c>
      <c r="L422" s="55"/>
      <c r="M422" s="55"/>
      <c r="N422" s="55"/>
      <c r="O422" s="55"/>
      <c r="P422" s="55"/>
      <c r="Q422" s="55"/>
      <c r="R422" s="55"/>
      <c r="S422" s="55"/>
      <c r="T422" s="55"/>
      <c r="U422" s="55"/>
      <c r="V422" s="55"/>
      <c r="W422" s="55"/>
      <c r="X422" s="55"/>
      <c r="Y422" s="55"/>
      <c r="Z422" s="55"/>
    </row>
    <row r="423" spans="1:26" ht="15">
      <c r="A423" s="1352"/>
      <c r="B423" s="1354" t="s">
        <v>123</v>
      </c>
      <c r="C423" s="1423"/>
      <c r="D423" s="52"/>
      <c r="E423" s="53"/>
      <c r="F423" s="53"/>
      <c r="G423" s="65"/>
      <c r="H423" s="53"/>
      <c r="I423" s="55"/>
      <c r="J423" s="52"/>
      <c r="K423" s="56" t="str">
        <f t="shared" si="20"/>
        <v/>
      </c>
      <c r="L423" s="55"/>
      <c r="M423" s="55"/>
      <c r="N423" s="55"/>
      <c r="O423" s="55"/>
      <c r="P423" s="55"/>
      <c r="Q423" s="55"/>
      <c r="R423" s="55"/>
      <c r="S423" s="55"/>
      <c r="T423" s="55"/>
      <c r="U423" s="55"/>
      <c r="V423" s="55"/>
      <c r="W423" s="55"/>
      <c r="X423" s="55"/>
      <c r="Y423" s="55"/>
      <c r="Z423" s="55"/>
    </row>
    <row r="424" spans="1:26" ht="15">
      <c r="A424" s="1352"/>
      <c r="B424" s="1354" t="s">
        <v>124</v>
      </c>
      <c r="C424" s="1423"/>
      <c r="D424" s="52"/>
      <c r="E424" s="53"/>
      <c r="F424" s="53"/>
      <c r="G424" s="65"/>
      <c r="H424" s="53"/>
      <c r="I424" s="55"/>
      <c r="J424" s="52"/>
      <c r="K424" s="56" t="str">
        <f t="shared" si="20"/>
        <v/>
      </c>
      <c r="L424" s="55"/>
      <c r="M424" s="55"/>
      <c r="N424" s="55"/>
      <c r="O424" s="55"/>
      <c r="P424" s="55"/>
      <c r="Q424" s="55"/>
      <c r="R424" s="55"/>
      <c r="S424" s="55"/>
      <c r="T424" s="55"/>
      <c r="U424" s="55"/>
      <c r="V424" s="55"/>
      <c r="W424" s="55"/>
      <c r="X424" s="55"/>
      <c r="Y424" s="55"/>
      <c r="Z424" s="55"/>
    </row>
    <row r="425" spans="1:26" ht="15">
      <c r="A425" s="1352"/>
      <c r="B425" s="1354" t="s">
        <v>125</v>
      </c>
      <c r="C425" s="1423"/>
      <c r="D425" s="52"/>
      <c r="E425" s="53"/>
      <c r="F425" s="53"/>
      <c r="G425" s="65"/>
      <c r="H425" s="53"/>
      <c r="I425" s="55"/>
      <c r="J425" s="52"/>
      <c r="K425" s="56" t="str">
        <f t="shared" si="20"/>
        <v/>
      </c>
      <c r="L425" s="55"/>
      <c r="M425" s="55"/>
      <c r="N425" s="55"/>
      <c r="O425" s="55"/>
      <c r="P425" s="55"/>
      <c r="Q425" s="55"/>
      <c r="R425" s="55"/>
      <c r="S425" s="55"/>
      <c r="T425" s="55"/>
      <c r="U425" s="55"/>
      <c r="V425" s="55"/>
      <c r="W425" s="55"/>
      <c r="X425" s="55"/>
      <c r="Y425" s="55"/>
      <c r="Z425" s="55"/>
    </row>
    <row r="426" spans="1:26" ht="15">
      <c r="A426" s="1352"/>
      <c r="B426" s="1354" t="s">
        <v>126</v>
      </c>
      <c r="C426" s="1423"/>
      <c r="D426" s="52"/>
      <c r="E426" s="53"/>
      <c r="F426" s="53"/>
      <c r="G426" s="65"/>
      <c r="H426" s="53"/>
      <c r="I426" s="55"/>
      <c r="J426" s="52"/>
      <c r="K426" s="56" t="str">
        <f t="shared" si="20"/>
        <v/>
      </c>
      <c r="L426" s="55"/>
      <c r="M426" s="55"/>
      <c r="N426" s="55"/>
      <c r="O426" s="55"/>
      <c r="P426" s="55"/>
      <c r="Q426" s="55"/>
      <c r="R426" s="55"/>
      <c r="S426" s="55"/>
      <c r="T426" s="55"/>
      <c r="U426" s="55"/>
      <c r="V426" s="55"/>
      <c r="W426" s="55"/>
      <c r="X426" s="55"/>
      <c r="Y426" s="55"/>
      <c r="Z426" s="55"/>
    </row>
    <row r="427" spans="1:26" ht="15">
      <c r="A427" s="1352"/>
      <c r="B427" s="1354" t="s">
        <v>127</v>
      </c>
      <c r="C427" s="1423"/>
      <c r="D427" s="52"/>
      <c r="E427" s="53"/>
      <c r="F427" s="53"/>
      <c r="G427" s="65"/>
      <c r="H427" s="53"/>
      <c r="I427" s="55"/>
      <c r="J427" s="52"/>
      <c r="K427" s="56" t="str">
        <f t="shared" si="20"/>
        <v/>
      </c>
      <c r="L427" s="55"/>
      <c r="M427" s="55"/>
      <c r="N427" s="55"/>
      <c r="O427" s="55"/>
      <c r="P427" s="55"/>
      <c r="Q427" s="55"/>
      <c r="R427" s="55"/>
      <c r="S427" s="55"/>
      <c r="T427" s="55"/>
      <c r="U427" s="55"/>
      <c r="V427" s="55"/>
      <c r="W427" s="55"/>
      <c r="X427" s="55"/>
      <c r="Y427" s="55"/>
      <c r="Z427" s="55"/>
    </row>
    <row r="428" spans="1:26" ht="15">
      <c r="A428" s="1352"/>
      <c r="B428" s="1354" t="s">
        <v>128</v>
      </c>
      <c r="C428" s="1423"/>
      <c r="D428" s="52"/>
      <c r="E428" s="53"/>
      <c r="F428" s="53"/>
      <c r="G428" s="65"/>
      <c r="H428" s="53"/>
      <c r="I428" s="55"/>
      <c r="J428" s="52"/>
      <c r="K428" s="56" t="str">
        <f t="shared" si="20"/>
        <v/>
      </c>
      <c r="L428" s="55"/>
      <c r="M428" s="55"/>
      <c r="N428" s="55"/>
      <c r="O428" s="55"/>
      <c r="P428" s="55"/>
      <c r="Q428" s="55"/>
      <c r="R428" s="55"/>
      <c r="S428" s="55"/>
      <c r="T428" s="55"/>
      <c r="U428" s="55"/>
      <c r="V428" s="55"/>
      <c r="W428" s="55"/>
      <c r="X428" s="55"/>
      <c r="Y428" s="55"/>
      <c r="Z428" s="55"/>
    </row>
    <row r="429" spans="1:26" ht="15">
      <c r="A429" s="1352"/>
      <c r="B429" s="1354" t="s">
        <v>129</v>
      </c>
      <c r="C429" s="1423"/>
      <c r="D429" s="52"/>
      <c r="E429" s="53"/>
      <c r="F429" s="53"/>
      <c r="G429" s="65"/>
      <c r="H429" s="53"/>
      <c r="I429" s="55"/>
      <c r="J429" s="52"/>
      <c r="K429" s="56" t="str">
        <f t="shared" si="20"/>
        <v/>
      </c>
      <c r="L429" s="55"/>
      <c r="M429" s="55"/>
      <c r="N429" s="55"/>
      <c r="O429" s="55"/>
      <c r="P429" s="55"/>
      <c r="Q429" s="55"/>
      <c r="R429" s="55"/>
      <c r="S429" s="55"/>
      <c r="T429" s="55"/>
      <c r="U429" s="55"/>
      <c r="V429" s="55"/>
      <c r="W429" s="55"/>
      <c r="X429" s="55"/>
      <c r="Y429" s="55"/>
      <c r="Z429" s="55"/>
    </row>
    <row r="430" spans="1:26" ht="15">
      <c r="A430" s="1352"/>
      <c r="B430" s="1354" t="s">
        <v>140</v>
      </c>
      <c r="C430" s="1423"/>
      <c r="D430" s="52"/>
      <c r="E430" s="53"/>
      <c r="F430" s="53"/>
      <c r="G430" s="65"/>
      <c r="H430" s="53"/>
      <c r="I430" s="55"/>
      <c r="J430" s="52"/>
      <c r="K430" s="56" t="str">
        <f t="shared" si="20"/>
        <v/>
      </c>
      <c r="L430" s="55"/>
      <c r="M430" s="55"/>
      <c r="N430" s="55"/>
      <c r="O430" s="55"/>
      <c r="P430" s="55"/>
      <c r="Q430" s="55"/>
      <c r="R430" s="55"/>
      <c r="S430" s="55"/>
      <c r="T430" s="55"/>
      <c r="U430" s="55"/>
      <c r="V430" s="55"/>
      <c r="W430" s="55"/>
      <c r="X430" s="55"/>
      <c r="Y430" s="55"/>
      <c r="Z430" s="55"/>
    </row>
    <row r="431" spans="1:26" ht="15">
      <c r="A431" s="1352"/>
      <c r="B431" s="1354" t="s">
        <v>117</v>
      </c>
      <c r="C431" s="1423"/>
      <c r="D431" s="52"/>
      <c r="E431" s="53"/>
      <c r="F431" s="53"/>
      <c r="G431" s="65"/>
      <c r="H431" s="53"/>
      <c r="I431" s="55"/>
      <c r="J431" s="52"/>
      <c r="K431" s="56" t="str">
        <f t="shared" si="20"/>
        <v/>
      </c>
      <c r="L431" s="55"/>
      <c r="M431" s="55"/>
      <c r="N431" s="55"/>
      <c r="O431" s="55"/>
      <c r="P431" s="55"/>
      <c r="Q431" s="55"/>
      <c r="R431" s="55"/>
      <c r="S431" s="55"/>
      <c r="T431" s="55"/>
      <c r="U431" s="55"/>
      <c r="V431" s="55"/>
      <c r="W431" s="55"/>
      <c r="X431" s="55"/>
      <c r="Y431" s="55"/>
      <c r="Z431" s="55"/>
    </row>
    <row r="432" spans="1:26" ht="15">
      <c r="A432" s="1352"/>
      <c r="B432" s="1354" t="s">
        <v>177</v>
      </c>
      <c r="C432" s="1423"/>
      <c r="D432" s="52"/>
      <c r="E432" s="53"/>
      <c r="F432" s="53"/>
      <c r="G432" s="65"/>
      <c r="H432" s="53"/>
      <c r="I432" s="55"/>
      <c r="J432" s="52">
        <v>5</v>
      </c>
      <c r="K432" s="56" t="str">
        <f t="shared" si="20"/>
        <v/>
      </c>
      <c r="L432" s="55"/>
      <c r="M432" s="55"/>
      <c r="N432" s="55"/>
      <c r="O432" s="55"/>
      <c r="P432" s="55"/>
      <c r="Q432" s="55"/>
      <c r="R432" s="55"/>
      <c r="S432" s="55"/>
      <c r="T432" s="55"/>
      <c r="U432" s="55"/>
      <c r="V432" s="55"/>
      <c r="W432" s="55"/>
      <c r="X432" s="55"/>
      <c r="Y432" s="55"/>
      <c r="Z432" s="55"/>
    </row>
    <row r="433" spans="1:26" ht="12.75" hidden="1">
      <c r="A433" s="1352"/>
      <c r="B433" s="1354" t="s">
        <v>178</v>
      </c>
      <c r="C433" s="1423"/>
      <c r="D433" s="59"/>
      <c r="E433" s="8"/>
      <c r="F433" s="60"/>
      <c r="G433" s="71"/>
      <c r="H433" s="60"/>
      <c r="I433" s="8"/>
      <c r="J433" s="66">
        <v>0</v>
      </c>
      <c r="K433" s="67">
        <f>J433*E433</f>
        <v>0</v>
      </c>
    </row>
    <row r="434" spans="1:26" ht="15" hidden="1">
      <c r="A434" s="1352"/>
      <c r="B434" s="1354" t="s">
        <v>110</v>
      </c>
      <c r="C434" s="1423"/>
      <c r="D434" s="52"/>
      <c r="E434" s="55"/>
      <c r="F434" s="53"/>
      <c r="G434" s="65"/>
      <c r="H434" s="53"/>
      <c r="I434" s="55"/>
      <c r="J434" s="52" t="s">
        <v>11</v>
      </c>
      <c r="K434" s="65" t="str">
        <f t="shared" ref="K434:K446" si="21">IF(E434="","",(J434*E434))</f>
        <v/>
      </c>
      <c r="L434" s="55"/>
      <c r="M434" s="55"/>
      <c r="N434" s="55"/>
      <c r="O434" s="55"/>
      <c r="P434" s="55"/>
      <c r="Q434" s="55"/>
      <c r="R434" s="55"/>
      <c r="S434" s="55"/>
      <c r="T434" s="55"/>
      <c r="U434" s="55"/>
      <c r="V434" s="55"/>
      <c r="W434" s="55"/>
      <c r="X434" s="55"/>
      <c r="Y434" s="55"/>
      <c r="Z434" s="55"/>
    </row>
    <row r="435" spans="1:26" ht="15" hidden="1">
      <c r="A435" s="1352"/>
      <c r="B435" s="1354" t="s">
        <v>208</v>
      </c>
      <c r="C435" s="1423"/>
      <c r="D435" s="52"/>
      <c r="E435" s="55"/>
      <c r="F435" s="53"/>
      <c r="G435" s="65"/>
      <c r="H435" s="53"/>
      <c r="I435" s="55"/>
      <c r="J435" s="52" t="s">
        <v>11</v>
      </c>
      <c r="K435" s="65" t="str">
        <f t="shared" si="21"/>
        <v/>
      </c>
      <c r="L435" s="55"/>
      <c r="M435" s="55"/>
      <c r="N435" s="55"/>
      <c r="O435" s="55"/>
      <c r="P435" s="55"/>
      <c r="Q435" s="55"/>
      <c r="R435" s="55"/>
      <c r="S435" s="55"/>
      <c r="T435" s="55"/>
      <c r="U435" s="55"/>
      <c r="V435" s="55"/>
      <c r="W435" s="55"/>
      <c r="X435" s="55"/>
      <c r="Y435" s="55"/>
      <c r="Z435" s="55"/>
    </row>
    <row r="436" spans="1:26" ht="15" hidden="1">
      <c r="A436" s="1352"/>
      <c r="B436" s="1354" t="s">
        <v>151</v>
      </c>
      <c r="C436" s="1423"/>
      <c r="D436" s="52"/>
      <c r="E436" s="55"/>
      <c r="F436" s="53"/>
      <c r="G436" s="65"/>
      <c r="H436" s="53"/>
      <c r="I436" s="55"/>
      <c r="J436" s="52" t="s">
        <v>11</v>
      </c>
      <c r="K436" s="65" t="str">
        <f t="shared" si="21"/>
        <v/>
      </c>
      <c r="L436" s="55"/>
      <c r="M436" s="55"/>
      <c r="N436" s="55"/>
      <c r="O436" s="55"/>
      <c r="P436" s="55"/>
      <c r="Q436" s="55"/>
      <c r="R436" s="55"/>
      <c r="S436" s="55"/>
      <c r="T436" s="55"/>
      <c r="U436" s="55"/>
      <c r="V436" s="55"/>
      <c r="W436" s="55"/>
      <c r="X436" s="55"/>
      <c r="Y436" s="55"/>
      <c r="Z436" s="55"/>
    </row>
    <row r="437" spans="1:26" ht="15" hidden="1">
      <c r="A437" s="1352"/>
      <c r="B437" s="1354" t="s">
        <v>194</v>
      </c>
      <c r="C437" s="1423"/>
      <c r="D437" s="52"/>
      <c r="E437" s="55"/>
      <c r="F437" s="53"/>
      <c r="G437" s="65"/>
      <c r="H437" s="53"/>
      <c r="I437" s="55"/>
      <c r="J437" s="52" t="s">
        <v>11</v>
      </c>
      <c r="K437" s="65" t="str">
        <f t="shared" si="21"/>
        <v/>
      </c>
      <c r="L437" s="55"/>
      <c r="M437" s="55"/>
      <c r="N437" s="55"/>
      <c r="O437" s="55"/>
      <c r="P437" s="55"/>
      <c r="Q437" s="55"/>
      <c r="R437" s="55"/>
      <c r="S437" s="55"/>
      <c r="T437" s="55"/>
      <c r="U437" s="55"/>
      <c r="V437" s="55"/>
      <c r="W437" s="55"/>
      <c r="X437" s="55"/>
      <c r="Y437" s="55"/>
      <c r="Z437" s="55"/>
    </row>
    <row r="438" spans="1:26" ht="15" hidden="1">
      <c r="A438" s="1352"/>
      <c r="B438" s="1354" t="s">
        <v>215</v>
      </c>
      <c r="C438" s="1423"/>
      <c r="D438" s="52"/>
      <c r="E438" s="55"/>
      <c r="F438" s="53"/>
      <c r="G438" s="65"/>
      <c r="H438" s="53"/>
      <c r="I438" s="55"/>
      <c r="J438" s="52" t="s">
        <v>11</v>
      </c>
      <c r="K438" s="65" t="str">
        <f t="shared" si="21"/>
        <v/>
      </c>
      <c r="L438" s="55"/>
      <c r="M438" s="55"/>
      <c r="N438" s="55"/>
      <c r="O438" s="55"/>
      <c r="P438" s="55"/>
      <c r="Q438" s="55"/>
      <c r="R438" s="55"/>
      <c r="S438" s="55"/>
      <c r="T438" s="55"/>
      <c r="U438" s="55"/>
      <c r="V438" s="55"/>
      <c r="W438" s="55"/>
      <c r="X438" s="55"/>
      <c r="Y438" s="55"/>
      <c r="Z438" s="55"/>
    </row>
    <row r="439" spans="1:26" ht="15" hidden="1">
      <c r="A439" s="1352"/>
      <c r="B439" s="1354" t="s">
        <v>181</v>
      </c>
      <c r="C439" s="1423"/>
      <c r="D439" s="52"/>
      <c r="E439" s="55"/>
      <c r="F439" s="53"/>
      <c r="G439" s="65"/>
      <c r="H439" s="53"/>
      <c r="I439" s="55"/>
      <c r="J439" s="52" t="s">
        <v>11</v>
      </c>
      <c r="K439" s="65" t="str">
        <f t="shared" si="21"/>
        <v/>
      </c>
      <c r="L439" s="55"/>
      <c r="M439" s="55"/>
      <c r="N439" s="55"/>
      <c r="O439" s="55"/>
      <c r="P439" s="55"/>
      <c r="Q439" s="55"/>
      <c r="R439" s="55"/>
      <c r="S439" s="55"/>
      <c r="T439" s="55"/>
      <c r="U439" s="55"/>
      <c r="V439" s="55"/>
      <c r="W439" s="55"/>
      <c r="X439" s="55"/>
      <c r="Y439" s="55"/>
      <c r="Z439" s="55"/>
    </row>
    <row r="440" spans="1:26" ht="15" hidden="1">
      <c r="A440" s="1352"/>
      <c r="B440" s="1354" t="s">
        <v>130</v>
      </c>
      <c r="C440" s="1423"/>
      <c r="D440" s="52"/>
      <c r="E440" s="55"/>
      <c r="F440" s="53"/>
      <c r="G440" s="65"/>
      <c r="H440" s="53"/>
      <c r="I440" s="55"/>
      <c r="J440" s="52" t="s">
        <v>11</v>
      </c>
      <c r="K440" s="65" t="str">
        <f t="shared" si="21"/>
        <v/>
      </c>
      <c r="L440" s="55"/>
      <c r="M440" s="55"/>
      <c r="N440" s="55"/>
      <c r="O440" s="55"/>
      <c r="P440" s="55"/>
      <c r="Q440" s="55"/>
      <c r="R440" s="55"/>
      <c r="S440" s="55"/>
      <c r="T440" s="55"/>
      <c r="U440" s="55"/>
      <c r="V440" s="55"/>
      <c r="W440" s="55"/>
      <c r="X440" s="55"/>
      <c r="Y440" s="55"/>
      <c r="Z440" s="55"/>
    </row>
    <row r="441" spans="1:26" ht="15" hidden="1">
      <c r="A441" s="1350" t="s">
        <v>240</v>
      </c>
      <c r="B441" s="1350" t="s">
        <v>101</v>
      </c>
      <c r="C441" s="1422"/>
      <c r="D441" s="52" t="s">
        <v>103</v>
      </c>
      <c r="E441" s="55">
        <v>1350</v>
      </c>
      <c r="F441" s="53"/>
      <c r="G441" s="65"/>
      <c r="H441" s="53"/>
      <c r="I441" s="55"/>
      <c r="J441" s="52" t="s">
        <v>11</v>
      </c>
      <c r="K441" s="65" t="e">
        <f t="shared" si="21"/>
        <v>#VALUE!</v>
      </c>
      <c r="L441" s="55"/>
      <c r="M441" s="55"/>
      <c r="N441" s="55"/>
      <c r="O441" s="55"/>
      <c r="P441" s="55"/>
      <c r="Q441" s="55"/>
      <c r="R441" s="55"/>
      <c r="S441" s="55"/>
      <c r="T441" s="55"/>
      <c r="U441" s="55"/>
      <c r="V441" s="55"/>
      <c r="W441" s="55"/>
      <c r="X441" s="55"/>
      <c r="Y441" s="55"/>
      <c r="Z441" s="55"/>
    </row>
    <row r="442" spans="1:26" ht="15" hidden="1">
      <c r="A442" s="1350" t="s">
        <v>241</v>
      </c>
      <c r="B442" s="1350" t="s">
        <v>101</v>
      </c>
      <c r="C442" s="1422"/>
      <c r="D442" s="52" t="s">
        <v>155</v>
      </c>
      <c r="E442" s="55">
        <v>330</v>
      </c>
      <c r="F442" s="53"/>
      <c r="G442" s="65"/>
      <c r="H442" s="53"/>
      <c r="I442" s="55"/>
      <c r="J442" s="52" t="s">
        <v>11</v>
      </c>
      <c r="K442" s="65" t="e">
        <f t="shared" si="21"/>
        <v>#VALUE!</v>
      </c>
      <c r="L442" s="55"/>
      <c r="M442" s="55"/>
      <c r="N442" s="55"/>
      <c r="O442" s="55"/>
      <c r="P442" s="55"/>
      <c r="Q442" s="55"/>
      <c r="R442" s="55"/>
      <c r="S442" s="55"/>
      <c r="T442" s="55"/>
      <c r="U442" s="55"/>
      <c r="V442" s="55"/>
      <c r="W442" s="55"/>
      <c r="X442" s="55"/>
      <c r="Y442" s="55"/>
      <c r="Z442" s="55"/>
    </row>
    <row r="443" spans="1:26" ht="15" hidden="1">
      <c r="A443" s="1350" t="s">
        <v>242</v>
      </c>
      <c r="B443" s="1350" t="s">
        <v>116</v>
      </c>
      <c r="C443" s="1422"/>
      <c r="D443" s="52" t="s">
        <v>103</v>
      </c>
      <c r="E443" s="55">
        <v>7.5</v>
      </c>
      <c r="F443" s="53"/>
      <c r="G443" s="65"/>
      <c r="H443" s="53"/>
      <c r="I443" s="55"/>
      <c r="J443" s="52" t="s">
        <v>11</v>
      </c>
      <c r="K443" s="65" t="e">
        <f t="shared" si="21"/>
        <v>#VALUE!</v>
      </c>
      <c r="L443" s="55"/>
      <c r="M443" s="55"/>
      <c r="N443" s="55"/>
      <c r="O443" s="55"/>
      <c r="P443" s="55"/>
      <c r="Q443" s="55"/>
      <c r="R443" s="55"/>
      <c r="S443" s="55"/>
      <c r="T443" s="55"/>
      <c r="U443" s="55"/>
      <c r="V443" s="55"/>
      <c r="W443" s="55"/>
      <c r="X443" s="55"/>
      <c r="Y443" s="55"/>
      <c r="Z443" s="55"/>
    </row>
    <row r="444" spans="1:26" ht="15" hidden="1">
      <c r="A444" s="1350" t="s">
        <v>243</v>
      </c>
      <c r="B444" s="1350" t="s">
        <v>138</v>
      </c>
      <c r="C444" s="1422"/>
      <c r="D444" s="52" t="s">
        <v>103</v>
      </c>
      <c r="E444" s="55">
        <v>4350</v>
      </c>
      <c r="F444" s="53"/>
      <c r="G444" s="65"/>
      <c r="H444" s="53"/>
      <c r="I444" s="55"/>
      <c r="J444" s="52" t="s">
        <v>11</v>
      </c>
      <c r="K444" s="65" t="e">
        <f t="shared" si="21"/>
        <v>#VALUE!</v>
      </c>
      <c r="L444" s="55"/>
      <c r="M444" s="55"/>
      <c r="N444" s="55"/>
      <c r="O444" s="55"/>
      <c r="P444" s="55"/>
      <c r="Q444" s="55"/>
      <c r="R444" s="55"/>
      <c r="S444" s="55"/>
      <c r="T444" s="55"/>
      <c r="U444" s="55"/>
      <c r="V444" s="55"/>
      <c r="W444" s="55"/>
      <c r="X444" s="55"/>
      <c r="Y444" s="55"/>
      <c r="Z444" s="55"/>
    </row>
    <row r="445" spans="1:26" ht="15" hidden="1">
      <c r="A445" s="1352"/>
      <c r="B445" s="1354" t="s">
        <v>114</v>
      </c>
      <c r="C445" s="1423"/>
      <c r="D445" s="52"/>
      <c r="E445" s="55"/>
      <c r="F445" s="53"/>
      <c r="G445" s="65"/>
      <c r="H445" s="53"/>
      <c r="I445" s="55"/>
      <c r="J445" s="52" t="s">
        <v>11</v>
      </c>
      <c r="K445" s="65" t="str">
        <f t="shared" si="21"/>
        <v/>
      </c>
      <c r="L445" s="55"/>
      <c r="M445" s="55"/>
      <c r="N445" s="55"/>
      <c r="O445" s="55"/>
      <c r="P445" s="55"/>
      <c r="Q445" s="55"/>
      <c r="R445" s="55"/>
      <c r="S445" s="55"/>
      <c r="T445" s="55"/>
      <c r="U445" s="55"/>
      <c r="V445" s="55"/>
      <c r="W445" s="55"/>
      <c r="X445" s="55"/>
      <c r="Y445" s="55"/>
      <c r="Z445" s="55"/>
    </row>
    <row r="446" spans="1:26" ht="15" hidden="1">
      <c r="A446" s="1352"/>
      <c r="B446" s="1354" t="s">
        <v>115</v>
      </c>
      <c r="C446" s="1423"/>
      <c r="D446" s="52"/>
      <c r="E446" s="55"/>
      <c r="F446" s="53"/>
      <c r="G446" s="65"/>
      <c r="H446" s="53"/>
      <c r="I446" s="55"/>
      <c r="J446" s="52" t="s">
        <v>11</v>
      </c>
      <c r="K446" s="65" t="str">
        <f t="shared" si="21"/>
        <v/>
      </c>
      <c r="L446" s="55"/>
      <c r="M446" s="55"/>
      <c r="N446" s="55"/>
      <c r="O446" s="55"/>
      <c r="P446" s="55"/>
      <c r="Q446" s="55"/>
      <c r="R446" s="55"/>
      <c r="S446" s="55"/>
      <c r="T446" s="55"/>
      <c r="U446" s="55"/>
      <c r="V446" s="55"/>
      <c r="W446" s="55"/>
      <c r="X446" s="55"/>
      <c r="Y446" s="55"/>
      <c r="Z446" s="55"/>
    </row>
    <row r="447" spans="1:26" ht="12.75" hidden="1">
      <c r="A447" s="1352"/>
      <c r="B447" s="1354" t="s">
        <v>179</v>
      </c>
      <c r="C447" s="1423"/>
      <c r="D447" s="59"/>
      <c r="E447" s="8"/>
      <c r="F447" s="60"/>
      <c r="G447" s="71"/>
      <c r="H447" s="60"/>
      <c r="I447" s="8"/>
      <c r="J447" s="66">
        <v>0</v>
      </c>
      <c r="K447" s="67">
        <f t="shared" ref="K447:K449" si="22">J447*E447</f>
        <v>0</v>
      </c>
    </row>
    <row r="448" spans="1:26" ht="12.75" hidden="1">
      <c r="A448" s="1350" t="s">
        <v>244</v>
      </c>
      <c r="B448" s="1350" t="s">
        <v>115</v>
      </c>
      <c r="C448" s="1422"/>
      <c r="D448" s="74" t="s">
        <v>103</v>
      </c>
      <c r="E448" s="1">
        <v>31500</v>
      </c>
      <c r="F448" s="62"/>
      <c r="G448" s="64"/>
      <c r="H448" s="62"/>
      <c r="J448" s="74">
        <v>0</v>
      </c>
      <c r="K448" s="64">
        <f t="shared" si="22"/>
        <v>0</v>
      </c>
    </row>
    <row r="449" spans="1:26" ht="12.75" hidden="1">
      <c r="A449" s="1352"/>
      <c r="B449" s="1354" t="s">
        <v>176</v>
      </c>
      <c r="C449" s="1423"/>
      <c r="D449" s="74"/>
      <c r="E449" s="1"/>
      <c r="F449" s="62"/>
      <c r="G449" s="64"/>
      <c r="H449" s="62"/>
      <c r="J449" s="74">
        <v>0</v>
      </c>
      <c r="K449" s="64">
        <f t="shared" si="22"/>
        <v>0</v>
      </c>
    </row>
    <row r="450" spans="1:26" ht="15">
      <c r="A450" s="1352"/>
      <c r="B450" s="1354" t="s">
        <v>4744</v>
      </c>
      <c r="C450" s="1423"/>
      <c r="D450" s="52"/>
      <c r="E450" s="53"/>
      <c r="F450" s="53"/>
      <c r="G450" s="65"/>
      <c r="H450" s="53"/>
      <c r="I450" s="55"/>
      <c r="J450" s="52">
        <v>1</v>
      </c>
      <c r="K450" s="56" t="str">
        <f t="shared" ref="K450:K451" si="23">IF(E450="","",(J450*E450))</f>
        <v/>
      </c>
      <c r="L450" s="55"/>
      <c r="M450" s="55"/>
      <c r="N450" s="55"/>
      <c r="O450" s="55"/>
      <c r="P450" s="55"/>
      <c r="Q450" s="55"/>
      <c r="R450" s="55"/>
      <c r="S450" s="55"/>
      <c r="T450" s="55"/>
      <c r="U450" s="55"/>
      <c r="V450" s="55"/>
      <c r="W450" s="55"/>
      <c r="X450" s="55"/>
      <c r="Y450" s="55"/>
      <c r="Z450" s="55"/>
    </row>
    <row r="451" spans="1:26" ht="15">
      <c r="A451" s="1350" t="s">
        <v>245</v>
      </c>
      <c r="B451" s="1350" t="s">
        <v>101</v>
      </c>
      <c r="C451" s="1422"/>
      <c r="D451" s="52" t="s">
        <v>103</v>
      </c>
      <c r="E451" s="53">
        <v>18</v>
      </c>
      <c r="F451" s="53"/>
      <c r="G451" s="65"/>
      <c r="H451" s="53"/>
      <c r="I451" s="55"/>
      <c r="J451" s="52">
        <v>1</v>
      </c>
      <c r="K451" s="56">
        <f t="shared" si="23"/>
        <v>18</v>
      </c>
      <c r="L451" s="55"/>
      <c r="M451" s="55"/>
      <c r="N451" s="55"/>
      <c r="O451" s="55"/>
      <c r="P451" s="55"/>
      <c r="Q451" s="55"/>
      <c r="R451" s="55"/>
      <c r="S451" s="55"/>
      <c r="T451" s="55"/>
      <c r="U451" s="55"/>
      <c r="V451" s="55"/>
      <c r="W451" s="55"/>
      <c r="X451" s="55"/>
      <c r="Y451" s="55"/>
      <c r="Z451" s="55"/>
    </row>
    <row r="452" spans="1:26" ht="12.75" hidden="1">
      <c r="A452" s="1350" t="s">
        <v>246</v>
      </c>
      <c r="B452" s="1350" t="s">
        <v>101</v>
      </c>
      <c r="C452" s="1422"/>
      <c r="D452" s="59" t="s">
        <v>155</v>
      </c>
      <c r="E452" s="8">
        <v>825</v>
      </c>
      <c r="F452" s="60"/>
      <c r="G452" s="71"/>
      <c r="H452" s="60"/>
      <c r="I452" s="8"/>
      <c r="J452" s="66">
        <v>0</v>
      </c>
      <c r="K452" s="67">
        <f>J452*E452</f>
        <v>0</v>
      </c>
    </row>
    <row r="453" spans="1:26" ht="15">
      <c r="A453" s="1350" t="s">
        <v>247</v>
      </c>
      <c r="B453" s="1350" t="s">
        <v>101</v>
      </c>
      <c r="C453" s="1422"/>
      <c r="D453" s="52" t="s">
        <v>155</v>
      </c>
      <c r="E453" s="53">
        <v>225</v>
      </c>
      <c r="F453" s="53"/>
      <c r="G453" s="65"/>
      <c r="H453" s="53"/>
      <c r="I453" s="55"/>
      <c r="J453" s="52">
        <v>2</v>
      </c>
      <c r="K453" s="56">
        <f t="shared" ref="K453:K596" si="24">IF(E453="","",(J453*E453))</f>
        <v>450</v>
      </c>
      <c r="L453" s="55"/>
      <c r="M453" s="55"/>
      <c r="N453" s="55"/>
      <c r="O453" s="55"/>
      <c r="P453" s="55"/>
      <c r="Q453" s="55"/>
      <c r="R453" s="55"/>
      <c r="S453" s="55"/>
      <c r="T453" s="55"/>
      <c r="U453" s="55"/>
      <c r="V453" s="55"/>
      <c r="W453" s="55"/>
      <c r="X453" s="55"/>
      <c r="Y453" s="55"/>
      <c r="Z453" s="55"/>
    </row>
    <row r="454" spans="1:26" ht="15">
      <c r="A454" s="1350" t="s">
        <v>248</v>
      </c>
      <c r="B454" s="1350" t="s">
        <v>101</v>
      </c>
      <c r="C454" s="1422"/>
      <c r="D454" s="52" t="s">
        <v>189</v>
      </c>
      <c r="E454" s="53">
        <v>675</v>
      </c>
      <c r="F454" s="53"/>
      <c r="G454" s="65"/>
      <c r="H454" s="53"/>
      <c r="I454" s="55"/>
      <c r="J454" s="52">
        <v>2</v>
      </c>
      <c r="K454" s="56">
        <f t="shared" si="24"/>
        <v>1350</v>
      </c>
      <c r="L454" s="55"/>
      <c r="M454" s="55"/>
      <c r="N454" s="55"/>
      <c r="O454" s="55"/>
      <c r="P454" s="55"/>
      <c r="Q454" s="55"/>
      <c r="R454" s="55"/>
      <c r="S454" s="55"/>
      <c r="T454" s="55"/>
      <c r="U454" s="55"/>
      <c r="V454" s="55"/>
      <c r="W454" s="55"/>
      <c r="X454" s="55"/>
      <c r="Y454" s="55"/>
      <c r="Z454" s="55"/>
    </row>
    <row r="455" spans="1:26" ht="15">
      <c r="A455" s="1350" t="s">
        <v>31</v>
      </c>
      <c r="B455" s="1350" t="s">
        <v>101</v>
      </c>
      <c r="C455" s="1422"/>
      <c r="D455" s="52" t="s">
        <v>103</v>
      </c>
      <c r="E455" s="53">
        <v>187.5</v>
      </c>
      <c r="F455" s="53"/>
      <c r="G455" s="65"/>
      <c r="H455" s="53"/>
      <c r="I455" s="55"/>
      <c r="J455" s="52">
        <v>2</v>
      </c>
      <c r="K455" s="56">
        <f t="shared" si="24"/>
        <v>375</v>
      </c>
      <c r="L455" s="55"/>
      <c r="M455" s="55"/>
      <c r="N455" s="55"/>
      <c r="O455" s="55"/>
      <c r="P455" s="55"/>
      <c r="Q455" s="55"/>
      <c r="R455" s="55"/>
      <c r="S455" s="55"/>
      <c r="T455" s="55"/>
      <c r="U455" s="55"/>
      <c r="V455" s="55"/>
      <c r="W455" s="55"/>
      <c r="X455" s="55"/>
      <c r="Y455" s="55"/>
      <c r="Z455" s="55"/>
    </row>
    <row r="456" spans="1:26" ht="15">
      <c r="A456" s="1350" t="s">
        <v>249</v>
      </c>
      <c r="B456" s="1350" t="s">
        <v>101</v>
      </c>
      <c r="C456" s="1422"/>
      <c r="D456" s="52" t="s">
        <v>189</v>
      </c>
      <c r="E456" s="53">
        <v>600</v>
      </c>
      <c r="F456" s="53"/>
      <c r="G456" s="65"/>
      <c r="H456" s="53"/>
      <c r="I456" s="55"/>
      <c r="J456" s="52">
        <v>2</v>
      </c>
      <c r="K456" s="56">
        <f t="shared" si="24"/>
        <v>1200</v>
      </c>
      <c r="L456" s="55"/>
      <c r="M456" s="55"/>
      <c r="N456" s="55"/>
      <c r="O456" s="55"/>
      <c r="P456" s="55"/>
      <c r="Q456" s="55"/>
      <c r="R456" s="55"/>
      <c r="S456" s="55"/>
      <c r="T456" s="55"/>
      <c r="U456" s="55"/>
      <c r="V456" s="55"/>
      <c r="W456" s="55"/>
      <c r="X456" s="55"/>
      <c r="Y456" s="55"/>
      <c r="Z456" s="55"/>
    </row>
    <row r="457" spans="1:26" ht="15">
      <c r="A457" s="1350" t="s">
        <v>250</v>
      </c>
      <c r="B457" s="1350" t="s">
        <v>115</v>
      </c>
      <c r="C457" s="1422"/>
      <c r="D457" s="52" t="s">
        <v>189</v>
      </c>
      <c r="E457" s="53">
        <v>1650</v>
      </c>
      <c r="F457" s="53"/>
      <c r="G457" s="65"/>
      <c r="H457" s="53"/>
      <c r="I457" s="55"/>
      <c r="J457" s="52"/>
      <c r="K457" s="56">
        <f t="shared" si="24"/>
        <v>0</v>
      </c>
      <c r="L457" s="55"/>
      <c r="M457" s="55"/>
      <c r="N457" s="55"/>
      <c r="O457" s="55"/>
      <c r="P457" s="55"/>
      <c r="Q457" s="55"/>
      <c r="R457" s="55"/>
      <c r="S457" s="55"/>
      <c r="T457" s="55"/>
      <c r="U457" s="55"/>
      <c r="V457" s="55"/>
      <c r="W457" s="55"/>
      <c r="X457" s="55"/>
      <c r="Y457" s="55"/>
      <c r="Z457" s="55"/>
    </row>
    <row r="458" spans="1:26" ht="15">
      <c r="A458" s="1352"/>
      <c r="B458" s="1354" t="s">
        <v>196</v>
      </c>
      <c r="C458" s="1423"/>
      <c r="D458" s="52"/>
      <c r="E458" s="53"/>
      <c r="F458" s="53"/>
      <c r="G458" s="65"/>
      <c r="H458" s="53"/>
      <c r="I458" s="55"/>
      <c r="J458" s="52">
        <v>15</v>
      </c>
      <c r="K458" s="56" t="str">
        <f t="shared" si="24"/>
        <v/>
      </c>
      <c r="L458" s="55"/>
      <c r="M458" s="55"/>
      <c r="N458" s="55"/>
      <c r="O458" s="55"/>
      <c r="P458" s="55"/>
      <c r="Q458" s="55"/>
      <c r="R458" s="55"/>
      <c r="S458" s="55"/>
      <c r="T458" s="55"/>
      <c r="U458" s="55"/>
      <c r="V458" s="55"/>
      <c r="W458" s="55"/>
      <c r="X458" s="55"/>
      <c r="Y458" s="55"/>
      <c r="Z458" s="55"/>
    </row>
    <row r="459" spans="1:26" ht="15">
      <c r="A459" s="1352"/>
      <c r="B459" s="1354" t="s">
        <v>197</v>
      </c>
      <c r="C459" s="1423"/>
      <c r="D459" s="52"/>
      <c r="E459" s="53"/>
      <c r="F459" s="53"/>
      <c r="G459" s="65"/>
      <c r="H459" s="53"/>
      <c r="I459" s="55"/>
      <c r="J459" s="52">
        <v>15</v>
      </c>
      <c r="K459" s="56" t="str">
        <f t="shared" si="24"/>
        <v/>
      </c>
      <c r="L459" s="55"/>
      <c r="M459" s="55"/>
      <c r="N459" s="55"/>
      <c r="O459" s="55"/>
      <c r="P459" s="55"/>
      <c r="Q459" s="55"/>
      <c r="R459" s="55"/>
      <c r="S459" s="55"/>
      <c r="T459" s="55"/>
      <c r="U459" s="55"/>
      <c r="V459" s="55"/>
      <c r="W459" s="55"/>
      <c r="X459" s="55"/>
      <c r="Y459" s="55"/>
      <c r="Z459" s="55"/>
    </row>
    <row r="460" spans="1:26" ht="15">
      <c r="A460" s="1352"/>
      <c r="B460" s="1354" t="s">
        <v>108</v>
      </c>
      <c r="C460" s="1423"/>
      <c r="D460" s="52"/>
      <c r="E460" s="53"/>
      <c r="F460" s="53"/>
      <c r="G460" s="65"/>
      <c r="H460" s="53"/>
      <c r="I460" s="55"/>
      <c r="J460" s="52"/>
      <c r="K460" s="56" t="str">
        <f t="shared" si="24"/>
        <v/>
      </c>
      <c r="L460" s="55"/>
      <c r="M460" s="55"/>
      <c r="N460" s="55"/>
      <c r="O460" s="55"/>
      <c r="P460" s="55"/>
      <c r="Q460" s="55"/>
      <c r="R460" s="55"/>
      <c r="S460" s="55"/>
      <c r="T460" s="55"/>
      <c r="U460" s="55"/>
      <c r="V460" s="55"/>
      <c r="W460" s="55"/>
      <c r="X460" s="55"/>
      <c r="Y460" s="55"/>
      <c r="Z460" s="55"/>
    </row>
    <row r="461" spans="1:26" ht="15">
      <c r="A461" s="1352"/>
      <c r="B461" s="1354" t="s">
        <v>109</v>
      </c>
      <c r="C461" s="1423"/>
      <c r="D461" s="52"/>
      <c r="E461" s="53"/>
      <c r="F461" s="53"/>
      <c r="G461" s="65"/>
      <c r="H461" s="53"/>
      <c r="I461" s="55"/>
      <c r="J461" s="52"/>
      <c r="K461" s="56" t="str">
        <f t="shared" si="24"/>
        <v/>
      </c>
      <c r="L461" s="55"/>
      <c r="M461" s="55"/>
      <c r="N461" s="55"/>
      <c r="O461" s="55"/>
      <c r="P461" s="55"/>
      <c r="Q461" s="55"/>
      <c r="R461" s="55"/>
      <c r="S461" s="55"/>
      <c r="T461" s="55"/>
      <c r="U461" s="55"/>
      <c r="V461" s="55"/>
      <c r="W461" s="55"/>
      <c r="X461" s="55"/>
      <c r="Y461" s="55"/>
      <c r="Z461" s="55"/>
    </row>
    <row r="462" spans="1:26" ht="15">
      <c r="A462" s="1352"/>
      <c r="B462" s="1354" t="s">
        <v>101</v>
      </c>
      <c r="C462" s="1423"/>
      <c r="D462" s="52"/>
      <c r="E462" s="53"/>
      <c r="F462" s="53"/>
      <c r="G462" s="65"/>
      <c r="H462" s="53"/>
      <c r="I462" s="55"/>
      <c r="J462" s="52"/>
      <c r="K462" s="56" t="str">
        <f t="shared" si="24"/>
        <v/>
      </c>
      <c r="L462" s="55"/>
      <c r="M462" s="55"/>
      <c r="N462" s="55"/>
      <c r="O462" s="55"/>
      <c r="P462" s="55"/>
      <c r="Q462" s="55"/>
      <c r="R462" s="55"/>
      <c r="S462" s="55"/>
      <c r="T462" s="55"/>
      <c r="U462" s="55"/>
      <c r="V462" s="55"/>
      <c r="W462" s="55"/>
      <c r="X462" s="55"/>
      <c r="Y462" s="55"/>
      <c r="Z462" s="55"/>
    </row>
    <row r="463" spans="1:26" ht="15">
      <c r="A463" s="1352"/>
      <c r="B463" s="1354" t="s">
        <v>204</v>
      </c>
      <c r="C463" s="1423"/>
      <c r="D463" s="52"/>
      <c r="E463" s="53"/>
      <c r="F463" s="53"/>
      <c r="G463" s="65"/>
      <c r="H463" s="53"/>
      <c r="I463" s="55"/>
      <c r="J463" s="52"/>
      <c r="K463" s="56" t="str">
        <f t="shared" si="24"/>
        <v/>
      </c>
      <c r="L463" s="55"/>
      <c r="M463" s="55"/>
      <c r="N463" s="55"/>
      <c r="O463" s="55"/>
      <c r="P463" s="55"/>
      <c r="Q463" s="55"/>
      <c r="R463" s="55"/>
      <c r="S463" s="55"/>
      <c r="T463" s="55"/>
      <c r="U463" s="55"/>
      <c r="V463" s="55"/>
      <c r="W463" s="55"/>
      <c r="X463" s="55"/>
      <c r="Y463" s="55"/>
      <c r="Z463" s="55"/>
    </row>
    <row r="464" spans="1:26" ht="15">
      <c r="A464" s="1352"/>
      <c r="B464" s="1354" t="s">
        <v>206</v>
      </c>
      <c r="C464" s="1423"/>
      <c r="D464" s="52"/>
      <c r="E464" s="53"/>
      <c r="F464" s="53"/>
      <c r="G464" s="65"/>
      <c r="H464" s="53"/>
      <c r="I464" s="55"/>
      <c r="J464" s="52"/>
      <c r="K464" s="56" t="str">
        <f t="shared" si="24"/>
        <v/>
      </c>
      <c r="L464" s="55"/>
      <c r="M464" s="55"/>
      <c r="N464" s="55"/>
      <c r="O464" s="55"/>
      <c r="P464" s="55"/>
      <c r="Q464" s="55"/>
      <c r="R464" s="55"/>
      <c r="S464" s="55"/>
      <c r="T464" s="55"/>
      <c r="U464" s="55"/>
      <c r="V464" s="55"/>
      <c r="W464" s="55"/>
      <c r="X464" s="55"/>
      <c r="Y464" s="55"/>
      <c r="Z464" s="55"/>
    </row>
    <row r="465" spans="1:26" ht="15">
      <c r="A465" s="1352"/>
      <c r="B465" s="1354" t="s">
        <v>235</v>
      </c>
      <c r="C465" s="1423"/>
      <c r="D465" s="52"/>
      <c r="E465" s="53"/>
      <c r="F465" s="53"/>
      <c r="G465" s="65"/>
      <c r="H465" s="53"/>
      <c r="I465" s="55"/>
      <c r="J465" s="52"/>
      <c r="K465" s="56" t="str">
        <f t="shared" si="24"/>
        <v/>
      </c>
      <c r="L465" s="55"/>
      <c r="M465" s="55"/>
      <c r="N465" s="55"/>
      <c r="O465" s="55"/>
      <c r="P465" s="55"/>
      <c r="Q465" s="55"/>
      <c r="R465" s="55"/>
      <c r="S465" s="55"/>
      <c r="T465" s="55"/>
      <c r="U465" s="55"/>
      <c r="V465" s="55"/>
      <c r="W465" s="55"/>
      <c r="X465" s="55"/>
      <c r="Y465" s="55"/>
      <c r="Z465" s="55"/>
    </row>
    <row r="466" spans="1:26" ht="15">
      <c r="A466" s="1352"/>
      <c r="B466" s="1354" t="s">
        <v>121</v>
      </c>
      <c r="C466" s="1423"/>
      <c r="D466" s="52"/>
      <c r="E466" s="53"/>
      <c r="F466" s="53"/>
      <c r="G466" s="65"/>
      <c r="H466" s="53"/>
      <c r="I466" s="55"/>
      <c r="J466" s="52"/>
      <c r="K466" s="56" t="str">
        <f t="shared" si="24"/>
        <v/>
      </c>
      <c r="L466" s="55"/>
      <c r="M466" s="55"/>
      <c r="N466" s="55"/>
      <c r="O466" s="55"/>
      <c r="P466" s="55"/>
      <c r="Q466" s="55"/>
      <c r="R466" s="55"/>
      <c r="S466" s="55"/>
      <c r="T466" s="55"/>
      <c r="U466" s="55"/>
      <c r="V466" s="55"/>
      <c r="W466" s="55"/>
      <c r="X466" s="55"/>
      <c r="Y466" s="55"/>
      <c r="Z466" s="55"/>
    </row>
    <row r="467" spans="1:26" ht="15">
      <c r="A467" s="1352"/>
      <c r="B467" s="1354" t="s">
        <v>122</v>
      </c>
      <c r="C467" s="1423"/>
      <c r="D467" s="52"/>
      <c r="E467" s="53"/>
      <c r="F467" s="53"/>
      <c r="G467" s="65"/>
      <c r="H467" s="53"/>
      <c r="I467" s="55"/>
      <c r="J467" s="52"/>
      <c r="K467" s="56" t="str">
        <f t="shared" si="24"/>
        <v/>
      </c>
      <c r="L467" s="55"/>
      <c r="M467" s="55"/>
      <c r="N467" s="55"/>
      <c r="O467" s="55"/>
      <c r="P467" s="55"/>
      <c r="Q467" s="55"/>
      <c r="R467" s="55"/>
      <c r="S467" s="55"/>
      <c r="T467" s="55"/>
      <c r="U467" s="55"/>
      <c r="V467" s="55"/>
      <c r="W467" s="55"/>
      <c r="X467" s="55"/>
      <c r="Y467" s="55"/>
      <c r="Z467" s="55"/>
    </row>
    <row r="468" spans="1:26" ht="15">
      <c r="A468" s="1352"/>
      <c r="B468" s="1354" t="s">
        <v>198</v>
      </c>
      <c r="C468" s="1423"/>
      <c r="D468" s="52"/>
      <c r="E468" s="53"/>
      <c r="F468" s="53"/>
      <c r="G468" s="65"/>
      <c r="H468" s="53"/>
      <c r="I468" s="55"/>
      <c r="J468" s="52"/>
      <c r="K468" s="56" t="str">
        <f t="shared" si="24"/>
        <v/>
      </c>
      <c r="L468" s="55"/>
      <c r="M468" s="55"/>
      <c r="N468" s="55"/>
      <c r="O468" s="55"/>
      <c r="P468" s="55"/>
      <c r="Q468" s="55"/>
      <c r="R468" s="55"/>
      <c r="S468" s="55"/>
      <c r="T468" s="55"/>
      <c r="U468" s="55"/>
      <c r="V468" s="55"/>
      <c r="W468" s="55"/>
      <c r="X468" s="55"/>
      <c r="Y468" s="55"/>
      <c r="Z468" s="55"/>
    </row>
    <row r="469" spans="1:26" ht="15">
      <c r="A469" s="1352"/>
      <c r="B469" s="1354" t="s">
        <v>176</v>
      </c>
      <c r="C469" s="1423"/>
      <c r="D469" s="52"/>
      <c r="E469" s="53"/>
      <c r="F469" s="53"/>
      <c r="G469" s="65"/>
      <c r="H469" s="53"/>
      <c r="I469" s="55"/>
      <c r="J469" s="52"/>
      <c r="K469" s="56" t="str">
        <f t="shared" si="24"/>
        <v/>
      </c>
      <c r="L469" s="55"/>
      <c r="M469" s="55"/>
      <c r="N469" s="55"/>
      <c r="O469" s="55"/>
      <c r="P469" s="55"/>
      <c r="Q469" s="55"/>
      <c r="R469" s="55"/>
      <c r="S469" s="55"/>
      <c r="T469" s="55"/>
      <c r="U469" s="55"/>
      <c r="V469" s="55"/>
      <c r="W469" s="55"/>
      <c r="X469" s="55"/>
      <c r="Y469" s="55"/>
      <c r="Z469" s="55"/>
    </row>
    <row r="470" spans="1:26" ht="15">
      <c r="A470" s="1352"/>
      <c r="B470" s="1354" t="s">
        <v>237</v>
      </c>
      <c r="C470" s="1423"/>
      <c r="D470" s="52"/>
      <c r="E470" s="53"/>
      <c r="F470" s="53"/>
      <c r="G470" s="65"/>
      <c r="H470" s="53"/>
      <c r="I470" s="55"/>
      <c r="J470" s="52"/>
      <c r="K470" s="56" t="str">
        <f t="shared" si="24"/>
        <v/>
      </c>
      <c r="L470" s="55"/>
      <c r="M470" s="55"/>
      <c r="N470" s="55"/>
      <c r="O470" s="55"/>
      <c r="P470" s="55"/>
      <c r="Q470" s="55"/>
      <c r="R470" s="55"/>
      <c r="S470" s="55"/>
      <c r="T470" s="55"/>
      <c r="U470" s="55"/>
      <c r="V470" s="55"/>
      <c r="W470" s="55"/>
      <c r="X470" s="55"/>
      <c r="Y470" s="55"/>
      <c r="Z470" s="55"/>
    </row>
    <row r="471" spans="1:26" ht="15">
      <c r="A471" s="1352"/>
      <c r="B471" s="1354" t="s">
        <v>123</v>
      </c>
      <c r="C471" s="1423"/>
      <c r="D471" s="52"/>
      <c r="E471" s="53"/>
      <c r="F471" s="53"/>
      <c r="G471" s="65"/>
      <c r="H471" s="53"/>
      <c r="I471" s="55"/>
      <c r="J471" s="52"/>
      <c r="K471" s="56" t="str">
        <f t="shared" si="24"/>
        <v/>
      </c>
      <c r="L471" s="55"/>
      <c r="M471" s="55"/>
      <c r="N471" s="55"/>
      <c r="O471" s="55"/>
      <c r="P471" s="55"/>
      <c r="Q471" s="55"/>
      <c r="R471" s="55"/>
      <c r="S471" s="55"/>
      <c r="T471" s="55"/>
      <c r="U471" s="55"/>
      <c r="V471" s="55"/>
      <c r="W471" s="55"/>
      <c r="X471" s="55"/>
      <c r="Y471" s="55"/>
      <c r="Z471" s="55"/>
    </row>
    <row r="472" spans="1:26" ht="15">
      <c r="A472" s="1352"/>
      <c r="B472" s="1354" t="s">
        <v>124</v>
      </c>
      <c r="C472" s="1423"/>
      <c r="D472" s="52"/>
      <c r="E472" s="53"/>
      <c r="F472" s="53"/>
      <c r="G472" s="65"/>
      <c r="H472" s="53"/>
      <c r="I472" s="55"/>
      <c r="J472" s="52">
        <v>15</v>
      </c>
      <c r="K472" s="56" t="str">
        <f t="shared" si="24"/>
        <v/>
      </c>
      <c r="L472" s="55"/>
      <c r="M472" s="55"/>
      <c r="N472" s="55"/>
      <c r="O472" s="55"/>
      <c r="P472" s="55"/>
      <c r="Q472" s="55"/>
      <c r="R472" s="55"/>
      <c r="S472" s="55"/>
      <c r="T472" s="55"/>
      <c r="U472" s="55"/>
      <c r="V472" s="55"/>
      <c r="W472" s="55"/>
      <c r="X472" s="55"/>
      <c r="Y472" s="55"/>
      <c r="Z472" s="55"/>
    </row>
    <row r="473" spans="1:26" ht="15">
      <c r="A473" s="1352"/>
      <c r="B473" s="1354" t="s">
        <v>125</v>
      </c>
      <c r="C473" s="1423"/>
      <c r="D473" s="52"/>
      <c r="E473" s="53"/>
      <c r="F473" s="53"/>
      <c r="G473" s="65"/>
      <c r="H473" s="53"/>
      <c r="I473" s="55"/>
      <c r="J473" s="52"/>
      <c r="K473" s="56" t="str">
        <f t="shared" si="24"/>
        <v/>
      </c>
      <c r="L473" s="55"/>
      <c r="M473" s="55"/>
      <c r="N473" s="55"/>
      <c r="O473" s="55"/>
      <c r="P473" s="55"/>
      <c r="Q473" s="55"/>
      <c r="R473" s="55"/>
      <c r="S473" s="55"/>
      <c r="T473" s="55"/>
      <c r="U473" s="55"/>
      <c r="V473" s="55"/>
      <c r="W473" s="55"/>
      <c r="X473" s="55"/>
      <c r="Y473" s="55"/>
      <c r="Z473" s="55"/>
    </row>
    <row r="474" spans="1:26" ht="15">
      <c r="A474" s="1352"/>
      <c r="B474" s="1354" t="s">
        <v>126</v>
      </c>
      <c r="C474" s="1423"/>
      <c r="D474" s="52"/>
      <c r="E474" s="53"/>
      <c r="F474" s="53"/>
      <c r="G474" s="65"/>
      <c r="H474" s="53"/>
      <c r="I474" s="55"/>
      <c r="J474" s="52"/>
      <c r="K474" s="56" t="str">
        <f t="shared" si="24"/>
        <v/>
      </c>
      <c r="L474" s="55"/>
      <c r="M474" s="55"/>
      <c r="N474" s="55"/>
      <c r="O474" s="55"/>
      <c r="P474" s="55"/>
      <c r="Q474" s="55"/>
      <c r="R474" s="55"/>
      <c r="S474" s="55"/>
      <c r="T474" s="55"/>
      <c r="U474" s="55"/>
      <c r="V474" s="55"/>
      <c r="W474" s="55"/>
      <c r="X474" s="55"/>
      <c r="Y474" s="55"/>
      <c r="Z474" s="55"/>
    </row>
    <row r="475" spans="1:26" ht="15">
      <c r="A475" s="1352"/>
      <c r="B475" s="1354" t="s">
        <v>127</v>
      </c>
      <c r="C475" s="1423"/>
      <c r="D475" s="52"/>
      <c r="E475" s="53"/>
      <c r="F475" s="53"/>
      <c r="G475" s="65"/>
      <c r="H475" s="53"/>
      <c r="I475" s="55"/>
      <c r="J475" s="52"/>
      <c r="K475" s="56" t="str">
        <f t="shared" si="24"/>
        <v/>
      </c>
      <c r="L475" s="55"/>
      <c r="M475" s="55"/>
      <c r="N475" s="55"/>
      <c r="O475" s="55"/>
      <c r="P475" s="55"/>
      <c r="Q475" s="55"/>
      <c r="R475" s="55"/>
      <c r="S475" s="55"/>
      <c r="T475" s="55"/>
      <c r="U475" s="55"/>
      <c r="V475" s="55"/>
      <c r="W475" s="55"/>
      <c r="X475" s="55"/>
      <c r="Y475" s="55"/>
      <c r="Z475" s="55"/>
    </row>
    <row r="476" spans="1:26" ht="15">
      <c r="A476" s="1352"/>
      <c r="B476" s="1354" t="s">
        <v>128</v>
      </c>
      <c r="C476" s="1423"/>
      <c r="D476" s="52"/>
      <c r="E476" s="53"/>
      <c r="F476" s="53"/>
      <c r="G476" s="65"/>
      <c r="H476" s="53"/>
      <c r="I476" s="55"/>
      <c r="J476" s="52"/>
      <c r="K476" s="56" t="str">
        <f t="shared" si="24"/>
        <v/>
      </c>
      <c r="L476" s="55"/>
      <c r="M476" s="55"/>
      <c r="N476" s="55"/>
      <c r="O476" s="55"/>
      <c r="P476" s="55"/>
      <c r="Q476" s="55"/>
      <c r="R476" s="55"/>
      <c r="S476" s="55"/>
      <c r="T476" s="55"/>
      <c r="U476" s="55"/>
      <c r="V476" s="55"/>
      <c r="W476" s="55"/>
      <c r="X476" s="55"/>
      <c r="Y476" s="55"/>
      <c r="Z476" s="55"/>
    </row>
    <row r="477" spans="1:26" ht="15">
      <c r="A477" s="1352"/>
      <c r="B477" s="1354" t="s">
        <v>129</v>
      </c>
      <c r="C477" s="1423"/>
      <c r="D477" s="52"/>
      <c r="E477" s="53"/>
      <c r="F477" s="53"/>
      <c r="G477" s="65"/>
      <c r="H477" s="53"/>
      <c r="I477" s="55"/>
      <c r="J477" s="52"/>
      <c r="K477" s="56" t="str">
        <f t="shared" si="24"/>
        <v/>
      </c>
      <c r="L477" s="55"/>
      <c r="M477" s="55"/>
      <c r="N477" s="55"/>
      <c r="O477" s="55"/>
      <c r="P477" s="55"/>
      <c r="Q477" s="55"/>
      <c r="R477" s="55"/>
      <c r="S477" s="55"/>
      <c r="T477" s="55"/>
      <c r="U477" s="55"/>
      <c r="V477" s="55"/>
      <c r="W477" s="55"/>
      <c r="X477" s="55"/>
      <c r="Y477" s="55"/>
      <c r="Z477" s="55"/>
    </row>
    <row r="478" spans="1:26" ht="15">
      <c r="A478" s="1352"/>
      <c r="B478" s="1354" t="s">
        <v>140</v>
      </c>
      <c r="C478" s="1423"/>
      <c r="D478" s="52"/>
      <c r="E478" s="53"/>
      <c r="F478" s="53"/>
      <c r="G478" s="65"/>
      <c r="H478" s="53"/>
      <c r="I478" s="55"/>
      <c r="J478" s="52"/>
      <c r="K478" s="56" t="str">
        <f t="shared" si="24"/>
        <v/>
      </c>
      <c r="L478" s="55"/>
      <c r="M478" s="55"/>
      <c r="N478" s="55"/>
      <c r="O478" s="55"/>
      <c r="P478" s="55"/>
      <c r="Q478" s="55"/>
      <c r="R478" s="55"/>
      <c r="S478" s="55"/>
      <c r="T478" s="55"/>
      <c r="U478" s="55"/>
      <c r="V478" s="55"/>
      <c r="W478" s="55"/>
      <c r="X478" s="55"/>
      <c r="Y478" s="55"/>
      <c r="Z478" s="55"/>
    </row>
    <row r="479" spans="1:26" ht="15">
      <c r="A479" s="1352"/>
      <c r="B479" s="1354" t="s">
        <v>180</v>
      </c>
      <c r="C479" s="1423"/>
      <c r="D479" s="52"/>
      <c r="E479" s="53"/>
      <c r="F479" s="53"/>
      <c r="G479" s="65"/>
      <c r="H479" s="53"/>
      <c r="I479" s="55"/>
      <c r="J479" s="52"/>
      <c r="K479" s="56" t="str">
        <f t="shared" si="24"/>
        <v/>
      </c>
      <c r="L479" s="55"/>
      <c r="M479" s="55"/>
      <c r="N479" s="55"/>
      <c r="O479" s="55"/>
      <c r="P479" s="55"/>
      <c r="Q479" s="55"/>
      <c r="R479" s="55"/>
      <c r="S479" s="55"/>
      <c r="T479" s="55"/>
      <c r="U479" s="55"/>
      <c r="V479" s="55"/>
      <c r="W479" s="55"/>
      <c r="X479" s="55"/>
      <c r="Y479" s="55"/>
      <c r="Z479" s="55"/>
    </row>
    <row r="480" spans="1:26" ht="15">
      <c r="A480" s="1352"/>
      <c r="B480" s="1354" t="s">
        <v>181</v>
      </c>
      <c r="C480" s="1423"/>
      <c r="D480" s="52"/>
      <c r="E480" s="53"/>
      <c r="F480" s="53"/>
      <c r="G480" s="65"/>
      <c r="H480" s="53"/>
      <c r="I480" s="55"/>
      <c r="J480" s="52"/>
      <c r="K480" s="56" t="str">
        <f t="shared" si="24"/>
        <v/>
      </c>
      <c r="L480" s="55"/>
      <c r="M480" s="55"/>
      <c r="N480" s="55"/>
      <c r="O480" s="55"/>
      <c r="P480" s="55"/>
      <c r="Q480" s="55"/>
      <c r="R480" s="55"/>
      <c r="S480" s="55"/>
      <c r="T480" s="55"/>
      <c r="U480" s="55"/>
      <c r="V480" s="55"/>
      <c r="W480" s="55"/>
      <c r="X480" s="55"/>
      <c r="Y480" s="55"/>
      <c r="Z480" s="55"/>
    </row>
    <row r="481" spans="1:26" ht="15">
      <c r="A481" s="1352"/>
      <c r="B481" s="1354" t="s">
        <v>130</v>
      </c>
      <c r="C481" s="1423"/>
      <c r="D481" s="52"/>
      <c r="E481" s="53"/>
      <c r="F481" s="53"/>
      <c r="G481" s="65"/>
      <c r="H481" s="53"/>
      <c r="I481" s="55"/>
      <c r="J481" s="52"/>
      <c r="K481" s="56" t="str">
        <f t="shared" si="24"/>
        <v/>
      </c>
      <c r="L481" s="55"/>
      <c r="M481" s="55"/>
      <c r="N481" s="55"/>
      <c r="O481" s="55"/>
      <c r="P481" s="55"/>
      <c r="Q481" s="55"/>
      <c r="R481" s="55"/>
      <c r="S481" s="55"/>
      <c r="T481" s="55"/>
      <c r="U481" s="55"/>
      <c r="V481" s="55"/>
      <c r="W481" s="55"/>
      <c r="X481" s="55"/>
      <c r="Y481" s="55"/>
      <c r="Z481" s="55"/>
    </row>
    <row r="482" spans="1:26" ht="15">
      <c r="A482" s="1350" t="s">
        <v>251</v>
      </c>
      <c r="B482" s="1350" t="s">
        <v>115</v>
      </c>
      <c r="C482" s="1422"/>
      <c r="D482" s="52" t="s">
        <v>103</v>
      </c>
      <c r="E482" s="53">
        <v>4702.5</v>
      </c>
      <c r="F482" s="53"/>
      <c r="G482" s="65"/>
      <c r="H482" s="53"/>
      <c r="I482" s="55"/>
      <c r="J482" s="52"/>
      <c r="K482" s="56">
        <f t="shared" si="24"/>
        <v>0</v>
      </c>
      <c r="L482" s="55"/>
      <c r="M482" s="55"/>
      <c r="N482" s="55"/>
      <c r="O482" s="55"/>
      <c r="P482" s="55"/>
      <c r="Q482" s="55"/>
      <c r="R482" s="55"/>
      <c r="S482" s="55"/>
      <c r="T482" s="55"/>
      <c r="U482" s="55"/>
      <c r="V482" s="55"/>
      <c r="W482" s="55"/>
      <c r="X482" s="55"/>
      <c r="Y482" s="55"/>
      <c r="Z482" s="55"/>
    </row>
    <row r="483" spans="1:26" ht="15">
      <c r="A483" s="1352"/>
      <c r="B483" s="1354" t="s">
        <v>110</v>
      </c>
      <c r="C483" s="1423"/>
      <c r="D483" s="52"/>
      <c r="E483" s="53"/>
      <c r="F483" s="53"/>
      <c r="G483" s="65"/>
      <c r="H483" s="53"/>
      <c r="I483" s="55"/>
      <c r="J483" s="52"/>
      <c r="K483" s="56" t="str">
        <f t="shared" si="24"/>
        <v/>
      </c>
      <c r="L483" s="55"/>
      <c r="M483" s="55"/>
      <c r="N483" s="55"/>
      <c r="O483" s="55"/>
      <c r="P483" s="55"/>
      <c r="Q483" s="55"/>
      <c r="R483" s="55"/>
      <c r="S483" s="55"/>
      <c r="T483" s="55"/>
      <c r="U483" s="55"/>
      <c r="V483" s="55"/>
      <c r="W483" s="55"/>
      <c r="X483" s="55"/>
      <c r="Y483" s="55"/>
      <c r="Z483" s="55"/>
    </row>
    <row r="484" spans="1:26" ht="15">
      <c r="A484" s="1350" t="s">
        <v>252</v>
      </c>
      <c r="B484" s="1350" t="s">
        <v>175</v>
      </c>
      <c r="C484" s="1422"/>
      <c r="D484" s="52" t="s">
        <v>103</v>
      </c>
      <c r="E484" s="53">
        <v>900</v>
      </c>
      <c r="F484" s="53"/>
      <c r="G484" s="65"/>
      <c r="H484" s="53"/>
      <c r="I484" s="55"/>
      <c r="J484" s="52"/>
      <c r="K484" s="56">
        <f t="shared" si="24"/>
        <v>0</v>
      </c>
      <c r="L484" s="55"/>
      <c r="M484" s="55"/>
      <c r="N484" s="55"/>
      <c r="O484" s="55"/>
      <c r="P484" s="55"/>
      <c r="Q484" s="55"/>
      <c r="R484" s="55"/>
      <c r="S484" s="55"/>
      <c r="T484" s="55"/>
      <c r="U484" s="55"/>
      <c r="V484" s="55"/>
      <c r="W484" s="55"/>
      <c r="X484" s="55"/>
      <c r="Y484" s="55"/>
      <c r="Z484" s="55"/>
    </row>
    <row r="485" spans="1:26" ht="15">
      <c r="A485" s="1352"/>
      <c r="B485" s="1354" t="s">
        <v>179</v>
      </c>
      <c r="C485" s="1423"/>
      <c r="D485" s="52"/>
      <c r="E485" s="53"/>
      <c r="F485" s="53"/>
      <c r="G485" s="65"/>
      <c r="H485" s="53"/>
      <c r="I485" s="55"/>
      <c r="J485" s="52">
        <v>15</v>
      </c>
      <c r="K485" s="56" t="str">
        <f t="shared" si="24"/>
        <v/>
      </c>
      <c r="L485" s="55"/>
      <c r="M485" s="55"/>
      <c r="N485" s="55"/>
      <c r="O485" s="55"/>
      <c r="P485" s="55"/>
      <c r="Q485" s="55"/>
      <c r="R485" s="55"/>
      <c r="S485" s="55"/>
      <c r="T485" s="55"/>
      <c r="U485" s="55"/>
      <c r="V485" s="55"/>
      <c r="W485" s="55"/>
      <c r="X485" s="55"/>
      <c r="Y485" s="55"/>
      <c r="Z485" s="55"/>
    </row>
    <row r="486" spans="1:26" ht="15">
      <c r="A486" s="1350" t="s">
        <v>253</v>
      </c>
      <c r="B486" s="1350" t="s">
        <v>101</v>
      </c>
      <c r="C486" s="1422"/>
      <c r="D486" s="52" t="s">
        <v>103</v>
      </c>
      <c r="E486" s="53">
        <v>750</v>
      </c>
      <c r="F486" s="53"/>
      <c r="G486" s="65"/>
      <c r="H486" s="53"/>
      <c r="I486" s="55"/>
      <c r="J486" s="52"/>
      <c r="K486" s="56">
        <f t="shared" si="24"/>
        <v>0</v>
      </c>
      <c r="L486" s="55"/>
      <c r="M486" s="55"/>
      <c r="N486" s="55"/>
      <c r="O486" s="55"/>
      <c r="P486" s="55"/>
      <c r="Q486" s="55"/>
      <c r="R486" s="55"/>
      <c r="S486" s="55"/>
      <c r="T486" s="55"/>
      <c r="U486" s="55"/>
      <c r="V486" s="55"/>
      <c r="W486" s="55"/>
      <c r="X486" s="55"/>
      <c r="Y486" s="55"/>
      <c r="Z486" s="55"/>
    </row>
    <row r="487" spans="1:26" ht="15">
      <c r="A487" s="1350" t="s">
        <v>254</v>
      </c>
      <c r="B487" s="1350" t="s">
        <v>101</v>
      </c>
      <c r="C487" s="1422"/>
      <c r="D487" s="52" t="s">
        <v>103</v>
      </c>
      <c r="E487" s="53">
        <v>900</v>
      </c>
      <c r="F487" s="53"/>
      <c r="G487" s="65"/>
      <c r="H487" s="53"/>
      <c r="I487" s="55"/>
      <c r="J487" s="52"/>
      <c r="K487" s="56">
        <f t="shared" si="24"/>
        <v>0</v>
      </c>
      <c r="L487" s="55"/>
      <c r="M487" s="55"/>
      <c r="N487" s="55"/>
      <c r="O487" s="55"/>
      <c r="P487" s="55"/>
      <c r="Q487" s="55"/>
      <c r="R487" s="55"/>
      <c r="S487" s="55"/>
      <c r="T487" s="55"/>
      <c r="U487" s="55"/>
      <c r="V487" s="55"/>
      <c r="W487" s="55"/>
      <c r="X487" s="55"/>
      <c r="Y487" s="55"/>
      <c r="Z487" s="55"/>
    </row>
    <row r="488" spans="1:26" ht="15">
      <c r="A488" s="1350" t="s">
        <v>255</v>
      </c>
      <c r="B488" s="1350" t="s">
        <v>101</v>
      </c>
      <c r="C488" s="1422"/>
      <c r="D488" s="52" t="s">
        <v>103</v>
      </c>
      <c r="E488" s="53">
        <v>60</v>
      </c>
      <c r="F488" s="53"/>
      <c r="G488" s="65"/>
      <c r="H488" s="53"/>
      <c r="I488" s="55"/>
      <c r="J488" s="52"/>
      <c r="K488" s="56">
        <f t="shared" si="24"/>
        <v>0</v>
      </c>
      <c r="L488" s="55"/>
      <c r="M488" s="55"/>
      <c r="N488" s="55"/>
      <c r="O488" s="55"/>
      <c r="P488" s="55"/>
      <c r="Q488" s="55"/>
      <c r="R488" s="55"/>
      <c r="S488" s="55"/>
      <c r="T488" s="55"/>
      <c r="U488" s="55"/>
      <c r="V488" s="55"/>
      <c r="W488" s="55"/>
      <c r="X488" s="55"/>
      <c r="Y488" s="55"/>
      <c r="Z488" s="55"/>
    </row>
    <row r="489" spans="1:26" ht="15">
      <c r="A489" s="1350" t="s">
        <v>256</v>
      </c>
      <c r="B489" s="1350" t="s">
        <v>174</v>
      </c>
      <c r="C489" s="1422"/>
      <c r="D489" s="52" t="s">
        <v>103</v>
      </c>
      <c r="E489" s="53">
        <v>20250</v>
      </c>
      <c r="F489" s="53"/>
      <c r="G489" s="65"/>
      <c r="H489" s="53"/>
      <c r="I489" s="55"/>
      <c r="J489" s="52"/>
      <c r="K489" s="56">
        <f t="shared" si="24"/>
        <v>0</v>
      </c>
      <c r="L489" s="55"/>
      <c r="M489" s="55"/>
      <c r="N489" s="55"/>
      <c r="O489" s="55"/>
      <c r="P489" s="55"/>
      <c r="Q489" s="55"/>
      <c r="R489" s="55"/>
      <c r="S489" s="55"/>
      <c r="T489" s="55"/>
      <c r="U489" s="55"/>
      <c r="V489" s="55"/>
      <c r="W489" s="55"/>
      <c r="X489" s="55"/>
      <c r="Y489" s="55"/>
      <c r="Z489" s="55"/>
    </row>
    <row r="490" spans="1:26" ht="15">
      <c r="A490" s="1352"/>
      <c r="B490" s="1354" t="s">
        <v>110</v>
      </c>
      <c r="C490" s="1423"/>
      <c r="D490" s="52"/>
      <c r="E490" s="53"/>
      <c r="F490" s="53"/>
      <c r="G490" s="65"/>
      <c r="H490" s="53"/>
      <c r="I490" s="55"/>
      <c r="J490" s="52"/>
      <c r="K490" s="56" t="str">
        <f t="shared" si="24"/>
        <v/>
      </c>
      <c r="L490" s="55"/>
      <c r="M490" s="55"/>
      <c r="N490" s="55"/>
      <c r="O490" s="55"/>
      <c r="P490" s="55"/>
      <c r="Q490" s="55"/>
      <c r="R490" s="55"/>
      <c r="S490" s="55"/>
      <c r="T490" s="55"/>
      <c r="U490" s="55"/>
      <c r="V490" s="55"/>
      <c r="W490" s="55"/>
      <c r="X490" s="55"/>
      <c r="Y490" s="55"/>
      <c r="Z490" s="55"/>
    </row>
    <row r="491" spans="1:26" ht="15">
      <c r="A491" s="1350" t="s">
        <v>257</v>
      </c>
      <c r="B491" s="1350" t="s">
        <v>101</v>
      </c>
      <c r="C491" s="1422"/>
      <c r="D491" s="52" t="s">
        <v>103</v>
      </c>
      <c r="E491" s="53">
        <v>7650</v>
      </c>
      <c r="F491" s="53"/>
      <c r="G491" s="65"/>
      <c r="H491" s="53"/>
      <c r="I491" s="55"/>
      <c r="J491" s="52"/>
      <c r="K491" s="56">
        <f t="shared" si="24"/>
        <v>0</v>
      </c>
      <c r="L491" s="55"/>
      <c r="M491" s="55"/>
      <c r="N491" s="55"/>
      <c r="O491" s="55"/>
      <c r="P491" s="55"/>
      <c r="Q491" s="55"/>
      <c r="R491" s="55"/>
      <c r="S491" s="55"/>
      <c r="T491" s="55"/>
      <c r="U491" s="55"/>
      <c r="V491" s="55"/>
      <c r="W491" s="55"/>
      <c r="X491" s="55"/>
      <c r="Y491" s="55"/>
      <c r="Z491" s="55"/>
    </row>
    <row r="492" spans="1:26" ht="15">
      <c r="A492" s="1350" t="s">
        <v>258</v>
      </c>
      <c r="B492" s="1350" t="s">
        <v>101</v>
      </c>
      <c r="C492" s="1422"/>
      <c r="D492" s="52" t="s">
        <v>103</v>
      </c>
      <c r="E492" s="53">
        <v>8850</v>
      </c>
      <c r="F492" s="53"/>
      <c r="G492" s="65"/>
      <c r="H492" s="53"/>
      <c r="I492" s="55"/>
      <c r="J492" s="52"/>
      <c r="K492" s="56">
        <f t="shared" si="24"/>
        <v>0</v>
      </c>
      <c r="L492" s="55"/>
      <c r="M492" s="55"/>
      <c r="N492" s="55"/>
      <c r="O492" s="55"/>
      <c r="P492" s="55"/>
      <c r="Q492" s="55"/>
      <c r="R492" s="55"/>
      <c r="S492" s="55"/>
      <c r="T492" s="55"/>
      <c r="U492" s="55"/>
      <c r="V492" s="55"/>
      <c r="W492" s="55"/>
      <c r="X492" s="55"/>
      <c r="Y492" s="55"/>
      <c r="Z492" s="55"/>
    </row>
    <row r="493" spans="1:26" ht="15">
      <c r="A493" s="1350" t="s">
        <v>259</v>
      </c>
      <c r="B493" s="1350" t="s">
        <v>137</v>
      </c>
      <c r="C493" s="1422"/>
      <c r="D493" s="52" t="s">
        <v>103</v>
      </c>
      <c r="E493" s="53">
        <v>3375</v>
      </c>
      <c r="F493" s="53"/>
      <c r="G493" s="65"/>
      <c r="H493" s="53"/>
      <c r="I493" s="55"/>
      <c r="J493" s="52"/>
      <c r="K493" s="56">
        <f t="shared" si="24"/>
        <v>0</v>
      </c>
      <c r="L493" s="55"/>
      <c r="M493" s="55"/>
      <c r="N493" s="55"/>
      <c r="O493" s="55"/>
      <c r="P493" s="55"/>
      <c r="Q493" s="55"/>
      <c r="R493" s="55"/>
      <c r="S493" s="55"/>
      <c r="T493" s="55"/>
      <c r="U493" s="55"/>
      <c r="V493" s="55"/>
      <c r="W493" s="55"/>
      <c r="X493" s="55"/>
      <c r="Y493" s="55"/>
      <c r="Z493" s="55"/>
    </row>
    <row r="494" spans="1:26" ht="15">
      <c r="A494" s="1352"/>
      <c r="B494" s="1354" t="s">
        <v>213</v>
      </c>
      <c r="C494" s="1423"/>
      <c r="D494" s="52"/>
      <c r="E494" s="53"/>
      <c r="F494" s="53"/>
      <c r="G494" s="65"/>
      <c r="H494" s="53"/>
      <c r="I494" s="55"/>
      <c r="J494" s="52"/>
      <c r="K494" s="56" t="str">
        <f t="shared" si="24"/>
        <v/>
      </c>
      <c r="L494" s="55"/>
      <c r="M494" s="55"/>
      <c r="N494" s="55"/>
      <c r="O494" s="55"/>
      <c r="P494" s="55"/>
      <c r="Q494" s="55"/>
      <c r="R494" s="55"/>
      <c r="S494" s="55"/>
      <c r="T494" s="55"/>
      <c r="U494" s="55"/>
      <c r="V494" s="55"/>
      <c r="W494" s="55"/>
      <c r="X494" s="55"/>
      <c r="Y494" s="55"/>
      <c r="Z494" s="55"/>
    </row>
    <row r="495" spans="1:26" ht="15">
      <c r="A495" s="1352"/>
      <c r="B495" s="1354" t="s">
        <v>112</v>
      </c>
      <c r="C495" s="1423"/>
      <c r="D495" s="52"/>
      <c r="E495" s="53"/>
      <c r="F495" s="53"/>
      <c r="G495" s="65"/>
      <c r="H495" s="53"/>
      <c r="I495" s="55"/>
      <c r="J495" s="52"/>
      <c r="K495" s="56" t="str">
        <f t="shared" si="24"/>
        <v/>
      </c>
      <c r="L495" s="55"/>
      <c r="M495" s="55"/>
      <c r="N495" s="55"/>
      <c r="O495" s="55"/>
      <c r="P495" s="55"/>
      <c r="Q495" s="55"/>
      <c r="R495" s="55"/>
      <c r="S495" s="55"/>
      <c r="T495" s="55"/>
      <c r="U495" s="55"/>
      <c r="V495" s="55"/>
      <c r="W495" s="55"/>
      <c r="X495" s="55"/>
      <c r="Y495" s="55"/>
      <c r="Z495" s="55"/>
    </row>
    <row r="496" spans="1:26" ht="15">
      <c r="A496" s="1352"/>
      <c r="B496" s="1354" t="s">
        <v>113</v>
      </c>
      <c r="C496" s="1423"/>
      <c r="D496" s="52"/>
      <c r="E496" s="53"/>
      <c r="F496" s="53"/>
      <c r="G496" s="65"/>
      <c r="H496" s="53"/>
      <c r="I496" s="55"/>
      <c r="J496" s="52"/>
      <c r="K496" s="56" t="str">
        <f t="shared" si="24"/>
        <v/>
      </c>
      <c r="L496" s="55"/>
      <c r="M496" s="55"/>
      <c r="N496" s="55"/>
      <c r="O496" s="55"/>
      <c r="P496" s="55"/>
      <c r="Q496" s="55"/>
      <c r="R496" s="55"/>
      <c r="S496" s="55"/>
      <c r="T496" s="55"/>
      <c r="U496" s="55"/>
      <c r="V496" s="55"/>
      <c r="W496" s="55"/>
      <c r="X496" s="55"/>
      <c r="Y496" s="55"/>
      <c r="Z496" s="55"/>
    </row>
    <row r="497" spans="1:26" ht="15">
      <c r="A497" s="1352"/>
      <c r="B497" s="1354" t="s">
        <v>138</v>
      </c>
      <c r="C497" s="1423"/>
      <c r="D497" s="52"/>
      <c r="E497" s="53"/>
      <c r="F497" s="53"/>
      <c r="G497" s="65"/>
      <c r="H497" s="53"/>
      <c r="I497" s="55"/>
      <c r="J497" s="52"/>
      <c r="K497" s="56" t="str">
        <f t="shared" si="24"/>
        <v/>
      </c>
      <c r="L497" s="55"/>
      <c r="M497" s="55"/>
      <c r="N497" s="55"/>
      <c r="O497" s="55"/>
      <c r="P497" s="55"/>
      <c r="Q497" s="55"/>
      <c r="R497" s="55"/>
      <c r="S497" s="55"/>
      <c r="T497" s="55"/>
      <c r="U497" s="55"/>
      <c r="V497" s="55"/>
      <c r="W497" s="55"/>
      <c r="X497" s="55"/>
      <c r="Y497" s="55"/>
      <c r="Z497" s="55"/>
    </row>
    <row r="498" spans="1:26" ht="15">
      <c r="A498" s="1352"/>
      <c r="B498" s="1354" t="s">
        <v>115</v>
      </c>
      <c r="C498" s="1423"/>
      <c r="D498" s="52"/>
      <c r="E498" s="53"/>
      <c r="F498" s="53"/>
      <c r="G498" s="65"/>
      <c r="H498" s="53"/>
      <c r="I498" s="55"/>
      <c r="J498" s="52">
        <v>15</v>
      </c>
      <c r="K498" s="56" t="str">
        <f t="shared" si="24"/>
        <v/>
      </c>
      <c r="L498" s="55"/>
      <c r="M498" s="55"/>
      <c r="N498" s="55"/>
      <c r="O498" s="55"/>
      <c r="P498" s="55"/>
      <c r="Q498" s="55"/>
      <c r="R498" s="55"/>
      <c r="S498" s="55"/>
      <c r="T498" s="55"/>
      <c r="U498" s="55"/>
      <c r="V498" s="55"/>
      <c r="W498" s="55"/>
      <c r="X498" s="55"/>
      <c r="Y498" s="55"/>
      <c r="Z498" s="55"/>
    </row>
    <row r="499" spans="1:26" ht="15">
      <c r="A499" s="1352"/>
      <c r="B499" s="1354" t="s">
        <v>139</v>
      </c>
      <c r="C499" s="1423"/>
      <c r="D499" s="52"/>
      <c r="E499" s="53"/>
      <c r="F499" s="53"/>
      <c r="G499" s="65"/>
      <c r="H499" s="53"/>
      <c r="I499" s="55"/>
      <c r="J499" s="52"/>
      <c r="K499" s="56" t="str">
        <f t="shared" si="24"/>
        <v/>
      </c>
      <c r="L499" s="55"/>
      <c r="M499" s="55"/>
      <c r="N499" s="55"/>
      <c r="O499" s="55"/>
      <c r="P499" s="55"/>
      <c r="Q499" s="55"/>
      <c r="R499" s="55"/>
      <c r="S499" s="55"/>
      <c r="T499" s="55"/>
      <c r="U499" s="55"/>
      <c r="V499" s="55"/>
      <c r="W499" s="55"/>
      <c r="X499" s="55"/>
      <c r="Y499" s="55"/>
      <c r="Z499" s="55"/>
    </row>
    <row r="500" spans="1:26" ht="15">
      <c r="A500" s="1352"/>
      <c r="B500" s="1354" t="s">
        <v>107</v>
      </c>
      <c r="C500" s="1423"/>
      <c r="D500" s="52"/>
      <c r="E500" s="53"/>
      <c r="F500" s="53"/>
      <c r="G500" s="65"/>
      <c r="H500" s="53"/>
      <c r="I500" s="55"/>
      <c r="J500" s="52"/>
      <c r="K500" s="56" t="str">
        <f t="shared" si="24"/>
        <v/>
      </c>
      <c r="L500" s="55"/>
      <c r="M500" s="55"/>
      <c r="N500" s="55"/>
      <c r="O500" s="55"/>
      <c r="P500" s="55"/>
      <c r="Q500" s="55"/>
      <c r="R500" s="55"/>
      <c r="S500" s="55"/>
      <c r="T500" s="55"/>
      <c r="U500" s="55"/>
      <c r="V500" s="55"/>
      <c r="W500" s="55"/>
      <c r="X500" s="55"/>
      <c r="Y500" s="55"/>
      <c r="Z500" s="55"/>
    </row>
    <row r="501" spans="1:26" ht="15">
      <c r="A501" s="1352"/>
      <c r="B501" s="1354" t="s">
        <v>196</v>
      </c>
      <c r="C501" s="1423"/>
      <c r="D501" s="52"/>
      <c r="E501" s="53"/>
      <c r="F501" s="53"/>
      <c r="G501" s="65"/>
      <c r="H501" s="53"/>
      <c r="I501" s="55"/>
      <c r="J501" s="52"/>
      <c r="K501" s="56" t="str">
        <f t="shared" si="24"/>
        <v/>
      </c>
      <c r="L501" s="55"/>
      <c r="M501" s="55"/>
      <c r="N501" s="55"/>
      <c r="O501" s="55"/>
      <c r="P501" s="55"/>
      <c r="Q501" s="55"/>
      <c r="R501" s="55"/>
      <c r="S501" s="55"/>
      <c r="T501" s="55"/>
      <c r="U501" s="55"/>
      <c r="V501" s="55"/>
      <c r="W501" s="55"/>
      <c r="X501" s="55"/>
      <c r="Y501" s="55"/>
      <c r="Z501" s="55"/>
    </row>
    <row r="502" spans="1:26" ht="15">
      <c r="A502" s="1352"/>
      <c r="B502" s="1354" t="s">
        <v>197</v>
      </c>
      <c r="C502" s="1423"/>
      <c r="D502" s="52"/>
      <c r="E502" s="53"/>
      <c r="F502" s="53"/>
      <c r="G502" s="65"/>
      <c r="H502" s="53"/>
      <c r="I502" s="55"/>
      <c r="J502" s="52"/>
      <c r="K502" s="56" t="str">
        <f t="shared" si="24"/>
        <v/>
      </c>
      <c r="L502" s="55"/>
      <c r="M502" s="55"/>
      <c r="N502" s="55"/>
      <c r="O502" s="55"/>
      <c r="P502" s="55"/>
      <c r="Q502" s="55"/>
      <c r="R502" s="55"/>
      <c r="S502" s="55"/>
      <c r="T502" s="55"/>
      <c r="U502" s="55"/>
      <c r="V502" s="55"/>
      <c r="W502" s="55"/>
      <c r="X502" s="55"/>
      <c r="Y502" s="55"/>
      <c r="Z502" s="55"/>
    </row>
    <row r="503" spans="1:26" ht="15">
      <c r="A503" s="1352"/>
      <c r="B503" s="1354" t="s">
        <v>173</v>
      </c>
      <c r="C503" s="1423"/>
      <c r="D503" s="52"/>
      <c r="E503" s="53"/>
      <c r="F503" s="53"/>
      <c r="G503" s="65"/>
      <c r="H503" s="53"/>
      <c r="I503" s="55"/>
      <c r="J503" s="52"/>
      <c r="K503" s="56" t="str">
        <f t="shared" si="24"/>
        <v/>
      </c>
      <c r="L503" s="55"/>
      <c r="M503" s="55"/>
      <c r="N503" s="55"/>
      <c r="O503" s="55"/>
      <c r="P503" s="55"/>
      <c r="Q503" s="55"/>
      <c r="R503" s="55"/>
      <c r="S503" s="55"/>
      <c r="T503" s="55"/>
      <c r="U503" s="55"/>
      <c r="V503" s="55"/>
      <c r="W503" s="55"/>
      <c r="X503" s="55"/>
      <c r="Y503" s="55"/>
      <c r="Z503" s="55"/>
    </row>
    <row r="504" spans="1:26" ht="15">
      <c r="A504" s="1352"/>
      <c r="B504" s="1354" t="s">
        <v>134</v>
      </c>
      <c r="C504" s="1423"/>
      <c r="D504" s="52"/>
      <c r="E504" s="53"/>
      <c r="F504" s="53"/>
      <c r="G504" s="65"/>
      <c r="H504" s="53"/>
      <c r="I504" s="55"/>
      <c r="J504" s="52"/>
      <c r="K504" s="56" t="str">
        <f t="shared" si="24"/>
        <v/>
      </c>
      <c r="L504" s="55"/>
      <c r="M504" s="55"/>
      <c r="N504" s="55"/>
      <c r="O504" s="55"/>
      <c r="P504" s="55"/>
      <c r="Q504" s="55"/>
      <c r="R504" s="55"/>
      <c r="S504" s="55"/>
      <c r="T504" s="55"/>
      <c r="U504" s="55"/>
      <c r="V504" s="55"/>
      <c r="W504" s="55"/>
      <c r="X504" s="55"/>
      <c r="Y504" s="55"/>
      <c r="Z504" s="55"/>
    </row>
    <row r="505" spans="1:26" ht="15">
      <c r="A505" s="1352"/>
      <c r="B505" s="1354" t="s">
        <v>108</v>
      </c>
      <c r="C505" s="1423"/>
      <c r="D505" s="52"/>
      <c r="E505" s="53"/>
      <c r="F505" s="53"/>
      <c r="G505" s="65"/>
      <c r="H505" s="53"/>
      <c r="I505" s="55"/>
      <c r="J505" s="52"/>
      <c r="K505" s="56" t="str">
        <f t="shared" si="24"/>
        <v/>
      </c>
      <c r="L505" s="55"/>
      <c r="M505" s="55"/>
      <c r="N505" s="55"/>
      <c r="O505" s="55"/>
      <c r="P505" s="55"/>
      <c r="Q505" s="55"/>
      <c r="R505" s="55"/>
      <c r="S505" s="55"/>
      <c r="T505" s="55"/>
      <c r="U505" s="55"/>
      <c r="V505" s="55"/>
      <c r="W505" s="55"/>
      <c r="X505" s="55"/>
      <c r="Y505" s="55"/>
      <c r="Z505" s="55"/>
    </row>
    <row r="506" spans="1:26" ht="15">
      <c r="A506" s="1352"/>
      <c r="B506" s="1354" t="s">
        <v>174</v>
      </c>
      <c r="C506" s="1423"/>
      <c r="D506" s="52"/>
      <c r="E506" s="53"/>
      <c r="F506" s="53"/>
      <c r="G506" s="65"/>
      <c r="H506" s="53"/>
      <c r="I506" s="55"/>
      <c r="J506" s="52"/>
      <c r="K506" s="56" t="str">
        <f t="shared" si="24"/>
        <v/>
      </c>
      <c r="L506" s="55"/>
      <c r="M506" s="55"/>
      <c r="N506" s="55"/>
      <c r="O506" s="55"/>
      <c r="P506" s="55"/>
      <c r="Q506" s="55"/>
      <c r="R506" s="55"/>
      <c r="S506" s="55"/>
      <c r="T506" s="55"/>
      <c r="U506" s="55"/>
      <c r="V506" s="55"/>
      <c r="W506" s="55"/>
      <c r="X506" s="55"/>
      <c r="Y506" s="55"/>
      <c r="Z506" s="55"/>
    </row>
    <row r="507" spans="1:26" ht="15">
      <c r="A507" s="1352"/>
      <c r="B507" s="1354" t="s">
        <v>116</v>
      </c>
      <c r="C507" s="1423"/>
      <c r="D507" s="52"/>
      <c r="E507" s="53"/>
      <c r="F507" s="53"/>
      <c r="G507" s="65"/>
      <c r="H507" s="53"/>
      <c r="I507" s="55"/>
      <c r="J507" s="52"/>
      <c r="K507" s="56" t="str">
        <f t="shared" si="24"/>
        <v/>
      </c>
      <c r="L507" s="55"/>
      <c r="M507" s="55"/>
      <c r="N507" s="55"/>
      <c r="O507" s="55"/>
      <c r="P507" s="55"/>
      <c r="Q507" s="55"/>
      <c r="R507" s="55"/>
      <c r="S507" s="55"/>
      <c r="T507" s="55"/>
      <c r="U507" s="55"/>
      <c r="V507" s="55"/>
      <c r="W507" s="55"/>
      <c r="X507" s="55"/>
      <c r="Y507" s="55"/>
      <c r="Z507" s="55"/>
    </row>
    <row r="508" spans="1:26" ht="15">
      <c r="A508" s="1352"/>
      <c r="B508" s="1354" t="s">
        <v>109</v>
      </c>
      <c r="C508" s="1423"/>
      <c r="D508" s="52"/>
      <c r="E508" s="53"/>
      <c r="F508" s="53"/>
      <c r="G508" s="65"/>
      <c r="H508" s="53"/>
      <c r="I508" s="55"/>
      <c r="J508" s="52"/>
      <c r="K508" s="56" t="str">
        <f t="shared" si="24"/>
        <v/>
      </c>
      <c r="L508" s="55"/>
      <c r="M508" s="55"/>
      <c r="N508" s="55"/>
      <c r="O508" s="55"/>
      <c r="P508" s="55"/>
      <c r="Q508" s="55"/>
      <c r="R508" s="55"/>
      <c r="S508" s="55"/>
      <c r="T508" s="55"/>
      <c r="U508" s="55"/>
      <c r="V508" s="55"/>
      <c r="W508" s="55"/>
      <c r="X508" s="55"/>
      <c r="Y508" s="55"/>
      <c r="Z508" s="55"/>
    </row>
    <row r="509" spans="1:26" ht="15">
      <c r="A509" s="1352"/>
      <c r="B509" s="1354" t="s">
        <v>205</v>
      </c>
      <c r="C509" s="1423"/>
      <c r="D509" s="52"/>
      <c r="E509" s="53"/>
      <c r="F509" s="53"/>
      <c r="G509" s="65"/>
      <c r="H509" s="53"/>
      <c r="I509" s="55"/>
      <c r="J509" s="52"/>
      <c r="K509" s="56" t="str">
        <f t="shared" si="24"/>
        <v/>
      </c>
      <c r="L509" s="55"/>
      <c r="M509" s="55"/>
      <c r="N509" s="55"/>
      <c r="O509" s="55"/>
      <c r="P509" s="55"/>
      <c r="Q509" s="55"/>
      <c r="R509" s="55"/>
      <c r="S509" s="55"/>
      <c r="T509" s="55"/>
      <c r="U509" s="55"/>
      <c r="V509" s="55"/>
      <c r="W509" s="55"/>
      <c r="X509" s="55"/>
      <c r="Y509" s="55"/>
      <c r="Z509" s="55"/>
    </row>
    <row r="510" spans="1:26" ht="15">
      <c r="A510" s="1352"/>
      <c r="B510" s="1354" t="s">
        <v>235</v>
      </c>
      <c r="C510" s="1423"/>
      <c r="D510" s="52"/>
      <c r="E510" s="53"/>
      <c r="F510" s="53"/>
      <c r="G510" s="65"/>
      <c r="H510" s="53"/>
      <c r="I510" s="55"/>
      <c r="J510" s="52"/>
      <c r="K510" s="56" t="str">
        <f t="shared" si="24"/>
        <v/>
      </c>
      <c r="L510" s="55"/>
      <c r="M510" s="55"/>
      <c r="N510" s="55"/>
      <c r="O510" s="55"/>
      <c r="P510" s="55"/>
      <c r="Q510" s="55"/>
      <c r="R510" s="55"/>
      <c r="S510" s="55"/>
      <c r="T510" s="55"/>
      <c r="U510" s="55"/>
      <c r="V510" s="55"/>
      <c r="W510" s="55"/>
      <c r="X510" s="55"/>
      <c r="Y510" s="55"/>
      <c r="Z510" s="55"/>
    </row>
    <row r="511" spans="1:26" ht="15">
      <c r="A511" s="1352"/>
      <c r="B511" s="1354" t="s">
        <v>198</v>
      </c>
      <c r="C511" s="1423"/>
      <c r="D511" s="52"/>
      <c r="E511" s="53"/>
      <c r="F511" s="53"/>
      <c r="G511" s="65"/>
      <c r="H511" s="53"/>
      <c r="I511" s="55"/>
      <c r="J511" s="52"/>
      <c r="K511" s="56" t="str">
        <f t="shared" si="24"/>
        <v/>
      </c>
      <c r="L511" s="55"/>
      <c r="M511" s="55"/>
      <c r="N511" s="55"/>
      <c r="O511" s="55"/>
      <c r="P511" s="55"/>
      <c r="Q511" s="55"/>
      <c r="R511" s="55"/>
      <c r="S511" s="55"/>
      <c r="T511" s="55"/>
      <c r="U511" s="55"/>
      <c r="V511" s="55"/>
      <c r="W511" s="55"/>
      <c r="X511" s="55"/>
      <c r="Y511" s="55"/>
      <c r="Z511" s="55"/>
    </row>
    <row r="512" spans="1:26" ht="15">
      <c r="A512" s="1352"/>
      <c r="B512" s="1354" t="s">
        <v>176</v>
      </c>
      <c r="C512" s="1423"/>
      <c r="D512" s="52"/>
      <c r="E512" s="53"/>
      <c r="F512" s="53"/>
      <c r="G512" s="65"/>
      <c r="H512" s="53"/>
      <c r="I512" s="55"/>
      <c r="J512" s="52">
        <v>8</v>
      </c>
      <c r="K512" s="56" t="str">
        <f t="shared" si="24"/>
        <v/>
      </c>
      <c r="L512" s="55"/>
      <c r="M512" s="55"/>
      <c r="N512" s="55"/>
      <c r="O512" s="55"/>
      <c r="P512" s="55"/>
      <c r="Q512" s="55"/>
      <c r="R512" s="55"/>
      <c r="S512" s="55"/>
      <c r="T512" s="55"/>
      <c r="U512" s="55"/>
      <c r="V512" s="55"/>
      <c r="W512" s="55"/>
      <c r="X512" s="55"/>
      <c r="Y512" s="55"/>
      <c r="Z512" s="55"/>
    </row>
    <row r="513" spans="1:26" ht="15">
      <c r="A513" s="1352"/>
      <c r="B513" s="1354" t="s">
        <v>237</v>
      </c>
      <c r="C513" s="1423"/>
      <c r="D513" s="52"/>
      <c r="E513" s="53"/>
      <c r="F513" s="53"/>
      <c r="G513" s="65"/>
      <c r="H513" s="53"/>
      <c r="I513" s="55"/>
      <c r="J513" s="52">
        <v>5</v>
      </c>
      <c r="K513" s="56" t="str">
        <f t="shared" si="24"/>
        <v/>
      </c>
      <c r="L513" s="55"/>
      <c r="M513" s="55"/>
      <c r="N513" s="55"/>
      <c r="O513" s="55"/>
      <c r="P513" s="55"/>
      <c r="Q513" s="55"/>
      <c r="R513" s="55"/>
      <c r="S513" s="55"/>
      <c r="T513" s="55"/>
      <c r="U513" s="55"/>
      <c r="V513" s="55"/>
      <c r="W513" s="55"/>
      <c r="X513" s="55"/>
      <c r="Y513" s="55"/>
      <c r="Z513" s="55"/>
    </row>
    <row r="514" spans="1:26" ht="15">
      <c r="A514" s="1352"/>
      <c r="B514" s="1354" t="s">
        <v>123</v>
      </c>
      <c r="C514" s="1423"/>
      <c r="D514" s="52"/>
      <c r="E514" s="53"/>
      <c r="F514" s="53"/>
      <c r="G514" s="65"/>
      <c r="H514" s="53"/>
      <c r="I514" s="55"/>
      <c r="J514" s="52"/>
      <c r="K514" s="56" t="str">
        <f t="shared" si="24"/>
        <v/>
      </c>
      <c r="L514" s="55"/>
      <c r="M514" s="55"/>
      <c r="N514" s="55"/>
      <c r="O514" s="55"/>
      <c r="P514" s="55"/>
      <c r="Q514" s="55"/>
      <c r="R514" s="55"/>
      <c r="S514" s="55"/>
      <c r="T514" s="55"/>
      <c r="U514" s="55"/>
      <c r="V514" s="55"/>
      <c r="W514" s="55"/>
      <c r="X514" s="55"/>
      <c r="Y514" s="55"/>
      <c r="Z514" s="55"/>
    </row>
    <row r="515" spans="1:26" ht="15">
      <c r="A515" s="1352"/>
      <c r="B515" s="1354" t="s">
        <v>124</v>
      </c>
      <c r="C515" s="1423"/>
      <c r="D515" s="52"/>
      <c r="E515" s="53"/>
      <c r="F515" s="53"/>
      <c r="G515" s="65"/>
      <c r="H515" s="53"/>
      <c r="I515" s="55"/>
      <c r="J515" s="52"/>
      <c r="K515" s="56" t="str">
        <f t="shared" si="24"/>
        <v/>
      </c>
      <c r="L515" s="55"/>
      <c r="M515" s="55"/>
      <c r="N515" s="55"/>
      <c r="O515" s="55"/>
      <c r="P515" s="55"/>
      <c r="Q515" s="55"/>
      <c r="R515" s="55"/>
      <c r="S515" s="55"/>
      <c r="T515" s="55"/>
      <c r="U515" s="55"/>
      <c r="V515" s="55"/>
      <c r="W515" s="55"/>
      <c r="X515" s="55"/>
      <c r="Y515" s="55"/>
      <c r="Z515" s="55"/>
    </row>
    <row r="516" spans="1:26" ht="15">
      <c r="A516" s="1352"/>
      <c r="B516" s="1354" t="s">
        <v>125</v>
      </c>
      <c r="C516" s="1423"/>
      <c r="D516" s="52"/>
      <c r="E516" s="53"/>
      <c r="F516" s="53"/>
      <c r="G516" s="65"/>
      <c r="H516" s="53"/>
      <c r="I516" s="55"/>
      <c r="J516" s="52"/>
      <c r="K516" s="56" t="str">
        <f t="shared" si="24"/>
        <v/>
      </c>
      <c r="L516" s="55"/>
      <c r="M516" s="55"/>
      <c r="N516" s="55"/>
      <c r="O516" s="55"/>
      <c r="P516" s="55"/>
      <c r="Q516" s="55"/>
      <c r="R516" s="55"/>
      <c r="S516" s="55"/>
      <c r="T516" s="55"/>
      <c r="U516" s="55"/>
      <c r="V516" s="55"/>
      <c r="W516" s="55"/>
      <c r="X516" s="55"/>
      <c r="Y516" s="55"/>
      <c r="Z516" s="55"/>
    </row>
    <row r="517" spans="1:26" ht="15">
      <c r="A517" s="1352"/>
      <c r="B517" s="1354" t="s">
        <v>126</v>
      </c>
      <c r="C517" s="1423"/>
      <c r="D517" s="52"/>
      <c r="E517" s="53"/>
      <c r="F517" s="53"/>
      <c r="G517" s="65"/>
      <c r="H517" s="53"/>
      <c r="I517" s="55"/>
      <c r="J517" s="52">
        <v>5</v>
      </c>
      <c r="K517" s="56" t="str">
        <f t="shared" si="24"/>
        <v/>
      </c>
      <c r="L517" s="55"/>
      <c r="M517" s="55"/>
      <c r="N517" s="55"/>
      <c r="O517" s="55"/>
      <c r="P517" s="55"/>
      <c r="Q517" s="55"/>
      <c r="R517" s="55"/>
      <c r="S517" s="55"/>
      <c r="T517" s="55"/>
      <c r="U517" s="55"/>
      <c r="V517" s="55"/>
      <c r="W517" s="55"/>
      <c r="X517" s="55"/>
      <c r="Y517" s="55"/>
      <c r="Z517" s="55"/>
    </row>
    <row r="518" spans="1:26" ht="15">
      <c r="A518" s="1352"/>
      <c r="B518" s="1354" t="s">
        <v>127</v>
      </c>
      <c r="C518" s="1423"/>
      <c r="D518" s="52"/>
      <c r="E518" s="53"/>
      <c r="F518" s="53"/>
      <c r="G518" s="65"/>
      <c r="H518" s="53"/>
      <c r="I518" s="55"/>
      <c r="J518" s="52"/>
      <c r="K518" s="56" t="str">
        <f t="shared" si="24"/>
        <v/>
      </c>
      <c r="L518" s="55"/>
      <c r="M518" s="55"/>
      <c r="N518" s="55"/>
      <c r="O518" s="55"/>
      <c r="P518" s="55"/>
      <c r="Q518" s="55"/>
      <c r="R518" s="55"/>
      <c r="S518" s="55"/>
      <c r="T518" s="55"/>
      <c r="U518" s="55"/>
      <c r="V518" s="55"/>
      <c r="W518" s="55"/>
      <c r="X518" s="55"/>
      <c r="Y518" s="55"/>
      <c r="Z518" s="55"/>
    </row>
    <row r="519" spans="1:26" ht="15">
      <c r="A519" s="1352"/>
      <c r="B519" s="1354" t="s">
        <v>128</v>
      </c>
      <c r="C519" s="1423"/>
      <c r="D519" s="52"/>
      <c r="E519" s="53"/>
      <c r="F519" s="53"/>
      <c r="G519" s="65"/>
      <c r="H519" s="53"/>
      <c r="I519" s="55"/>
      <c r="J519" s="52"/>
      <c r="K519" s="56" t="str">
        <f t="shared" si="24"/>
        <v/>
      </c>
      <c r="L519" s="55"/>
      <c r="M519" s="55"/>
      <c r="N519" s="55"/>
      <c r="O519" s="55"/>
      <c r="P519" s="55"/>
      <c r="Q519" s="55"/>
      <c r="R519" s="55"/>
      <c r="S519" s="55"/>
      <c r="T519" s="55"/>
      <c r="U519" s="55"/>
      <c r="V519" s="55"/>
      <c r="W519" s="55"/>
      <c r="X519" s="55"/>
      <c r="Y519" s="55"/>
      <c r="Z519" s="55"/>
    </row>
    <row r="520" spans="1:26" ht="15">
      <c r="A520" s="1352"/>
      <c r="B520" s="1354" t="s">
        <v>129</v>
      </c>
      <c r="C520" s="1423"/>
      <c r="D520" s="52"/>
      <c r="E520" s="53"/>
      <c r="F520" s="53"/>
      <c r="G520" s="65"/>
      <c r="H520" s="53"/>
      <c r="I520" s="55"/>
      <c r="J520" s="52">
        <v>1</v>
      </c>
      <c r="K520" s="56" t="str">
        <f t="shared" si="24"/>
        <v/>
      </c>
      <c r="L520" s="55"/>
      <c r="M520" s="55"/>
      <c r="N520" s="55"/>
      <c r="O520" s="55"/>
      <c r="P520" s="55"/>
      <c r="Q520" s="55"/>
      <c r="R520" s="55"/>
      <c r="S520" s="55"/>
      <c r="T520" s="55"/>
      <c r="U520" s="55"/>
      <c r="V520" s="55"/>
      <c r="W520" s="55"/>
      <c r="X520" s="55"/>
      <c r="Y520" s="55"/>
      <c r="Z520" s="55"/>
    </row>
    <row r="521" spans="1:26" ht="15">
      <c r="A521" s="1352"/>
      <c r="B521" s="1354" t="s">
        <v>140</v>
      </c>
      <c r="C521" s="1423"/>
      <c r="D521" s="52"/>
      <c r="E521" s="53"/>
      <c r="F521" s="53"/>
      <c r="G521" s="65"/>
      <c r="H521" s="53"/>
      <c r="I521" s="55"/>
      <c r="J521" s="52">
        <v>8</v>
      </c>
      <c r="K521" s="56" t="str">
        <f t="shared" si="24"/>
        <v/>
      </c>
      <c r="L521" s="55"/>
      <c r="M521" s="55"/>
      <c r="N521" s="55"/>
      <c r="O521" s="55"/>
      <c r="P521" s="55"/>
      <c r="Q521" s="55"/>
      <c r="R521" s="55"/>
      <c r="S521" s="55"/>
      <c r="T521" s="55"/>
      <c r="U521" s="55"/>
      <c r="V521" s="55"/>
      <c r="W521" s="55"/>
      <c r="X521" s="55"/>
      <c r="Y521" s="55"/>
      <c r="Z521" s="55"/>
    </row>
    <row r="522" spans="1:26" ht="15">
      <c r="A522" s="1352"/>
      <c r="B522" s="1354" t="s">
        <v>177</v>
      </c>
      <c r="C522" s="1423"/>
      <c r="D522" s="52"/>
      <c r="E522" s="53"/>
      <c r="F522" s="53"/>
      <c r="G522" s="65"/>
      <c r="H522" s="53"/>
      <c r="I522" s="55"/>
      <c r="J522" s="52">
        <v>10</v>
      </c>
      <c r="K522" s="56" t="str">
        <f t="shared" si="24"/>
        <v/>
      </c>
      <c r="L522" s="55"/>
      <c r="M522" s="55"/>
      <c r="N522" s="55"/>
      <c r="O522" s="55"/>
      <c r="P522" s="55"/>
      <c r="Q522" s="55"/>
      <c r="R522" s="55"/>
      <c r="S522" s="55"/>
      <c r="T522" s="55"/>
      <c r="U522" s="55"/>
      <c r="V522" s="55"/>
      <c r="W522" s="55"/>
      <c r="X522" s="55"/>
      <c r="Y522" s="55"/>
      <c r="Z522" s="55"/>
    </row>
    <row r="523" spans="1:26" ht="15">
      <c r="A523" s="1352"/>
      <c r="B523" s="1354" t="s">
        <v>178</v>
      </c>
      <c r="C523" s="1423"/>
      <c r="D523" s="52"/>
      <c r="E523" s="53"/>
      <c r="F523" s="53"/>
      <c r="G523" s="65"/>
      <c r="H523" s="53"/>
      <c r="I523" s="55"/>
      <c r="J523" s="52"/>
      <c r="K523" s="56" t="str">
        <f t="shared" si="24"/>
        <v/>
      </c>
      <c r="L523" s="55"/>
      <c r="M523" s="55"/>
      <c r="N523" s="55"/>
      <c r="O523" s="55"/>
      <c r="P523" s="55"/>
      <c r="Q523" s="55"/>
      <c r="R523" s="55"/>
      <c r="S523" s="55"/>
      <c r="T523" s="55"/>
      <c r="U523" s="55"/>
      <c r="V523" s="55"/>
      <c r="W523" s="55"/>
      <c r="X523" s="55"/>
      <c r="Y523" s="55"/>
      <c r="Z523" s="55"/>
    </row>
    <row r="524" spans="1:26" ht="15">
      <c r="A524" s="1352"/>
      <c r="B524" s="1354" t="s">
        <v>179</v>
      </c>
      <c r="C524" s="1423"/>
      <c r="D524" s="52"/>
      <c r="E524" s="53"/>
      <c r="F524" s="53"/>
      <c r="G524" s="65"/>
      <c r="H524" s="53"/>
      <c r="I524" s="55"/>
      <c r="J524" s="52"/>
      <c r="K524" s="56" t="str">
        <f t="shared" si="24"/>
        <v/>
      </c>
      <c r="L524" s="55"/>
      <c r="M524" s="55"/>
      <c r="N524" s="55"/>
      <c r="O524" s="55"/>
      <c r="P524" s="55"/>
      <c r="Q524" s="55"/>
      <c r="R524" s="55"/>
      <c r="S524" s="55"/>
      <c r="T524" s="55"/>
      <c r="U524" s="55"/>
      <c r="V524" s="55"/>
      <c r="W524" s="55"/>
      <c r="X524" s="55"/>
      <c r="Y524" s="55"/>
      <c r="Z524" s="55"/>
    </row>
    <row r="525" spans="1:26" ht="15">
      <c r="A525" s="1352"/>
      <c r="B525" s="1354" t="s">
        <v>110</v>
      </c>
      <c r="C525" s="1423"/>
      <c r="D525" s="52"/>
      <c r="E525" s="53"/>
      <c r="F525" s="53"/>
      <c r="G525" s="65"/>
      <c r="H525" s="53"/>
      <c r="I525" s="55"/>
      <c r="J525" s="52"/>
      <c r="K525" s="56" t="str">
        <f t="shared" si="24"/>
        <v/>
      </c>
      <c r="L525" s="55"/>
      <c r="M525" s="55"/>
      <c r="N525" s="55"/>
      <c r="O525" s="55"/>
      <c r="P525" s="55"/>
      <c r="Q525" s="55"/>
      <c r="R525" s="55"/>
      <c r="S525" s="55"/>
      <c r="T525" s="55"/>
      <c r="U525" s="55"/>
      <c r="V525" s="55"/>
      <c r="W525" s="55"/>
      <c r="X525" s="55"/>
      <c r="Y525" s="55"/>
      <c r="Z525" s="55"/>
    </row>
    <row r="526" spans="1:26" ht="15">
      <c r="A526" s="1352"/>
      <c r="B526" s="1354" t="s">
        <v>151</v>
      </c>
      <c r="C526" s="1423"/>
      <c r="D526" s="52"/>
      <c r="E526" s="53"/>
      <c r="F526" s="53"/>
      <c r="G526" s="65"/>
      <c r="H526" s="53"/>
      <c r="I526" s="55"/>
      <c r="J526" s="52"/>
      <c r="K526" s="56" t="str">
        <f t="shared" si="24"/>
        <v/>
      </c>
      <c r="L526" s="55"/>
      <c r="M526" s="55"/>
      <c r="N526" s="55"/>
      <c r="O526" s="55"/>
      <c r="P526" s="55"/>
      <c r="Q526" s="55"/>
      <c r="R526" s="55"/>
      <c r="S526" s="55"/>
      <c r="T526" s="55"/>
      <c r="U526" s="55"/>
      <c r="V526" s="55"/>
      <c r="W526" s="55"/>
      <c r="X526" s="55"/>
      <c r="Y526" s="55"/>
      <c r="Z526" s="55"/>
    </row>
    <row r="527" spans="1:26" ht="15">
      <c r="A527" s="1352"/>
      <c r="B527" s="1354" t="s">
        <v>194</v>
      </c>
      <c r="C527" s="1423"/>
      <c r="D527" s="52"/>
      <c r="E527" s="53"/>
      <c r="F527" s="53"/>
      <c r="G527" s="65"/>
      <c r="H527" s="53"/>
      <c r="I527" s="55"/>
      <c r="J527" s="52"/>
      <c r="K527" s="56" t="str">
        <f t="shared" si="24"/>
        <v/>
      </c>
      <c r="L527" s="55"/>
      <c r="M527" s="55"/>
      <c r="N527" s="55"/>
      <c r="O527" s="55"/>
      <c r="P527" s="55"/>
      <c r="Q527" s="55"/>
      <c r="R527" s="55"/>
      <c r="S527" s="55"/>
      <c r="T527" s="55"/>
      <c r="U527" s="55"/>
      <c r="V527" s="55"/>
      <c r="W527" s="55"/>
      <c r="X527" s="55"/>
      <c r="Y527" s="55"/>
      <c r="Z527" s="55"/>
    </row>
    <row r="528" spans="1:26" ht="15">
      <c r="A528" s="1352"/>
      <c r="B528" s="1354" t="s">
        <v>215</v>
      </c>
      <c r="C528" s="1423"/>
      <c r="D528" s="52"/>
      <c r="E528" s="53"/>
      <c r="F528" s="53"/>
      <c r="G528" s="65"/>
      <c r="H528" s="53"/>
      <c r="I528" s="55"/>
      <c r="J528" s="52"/>
      <c r="K528" s="56" t="str">
        <f t="shared" si="24"/>
        <v/>
      </c>
      <c r="L528" s="55"/>
      <c r="M528" s="55"/>
      <c r="N528" s="55"/>
      <c r="O528" s="55"/>
      <c r="P528" s="55"/>
      <c r="Q528" s="55"/>
      <c r="R528" s="55"/>
      <c r="S528" s="55"/>
      <c r="T528" s="55"/>
      <c r="U528" s="55"/>
      <c r="V528" s="55"/>
      <c r="W528" s="55"/>
      <c r="X528" s="55"/>
      <c r="Y528" s="55"/>
      <c r="Z528" s="55"/>
    </row>
    <row r="529" spans="1:26" ht="15">
      <c r="A529" s="1352"/>
      <c r="B529" s="1354" t="s">
        <v>181</v>
      </c>
      <c r="C529" s="1423"/>
      <c r="D529" s="52"/>
      <c r="E529" s="53"/>
      <c r="F529" s="53"/>
      <c r="G529" s="65"/>
      <c r="H529" s="53"/>
      <c r="I529" s="55"/>
      <c r="J529" s="52"/>
      <c r="K529" s="56" t="str">
        <f t="shared" si="24"/>
        <v/>
      </c>
      <c r="L529" s="55"/>
      <c r="M529" s="55"/>
      <c r="N529" s="55"/>
      <c r="O529" s="55"/>
      <c r="P529" s="55"/>
      <c r="Q529" s="55"/>
      <c r="R529" s="55"/>
      <c r="S529" s="55"/>
      <c r="T529" s="55"/>
      <c r="U529" s="55"/>
      <c r="V529" s="55"/>
      <c r="W529" s="55"/>
      <c r="X529" s="55"/>
      <c r="Y529" s="55"/>
      <c r="Z529" s="55"/>
    </row>
    <row r="530" spans="1:26" ht="15">
      <c r="A530" s="1352"/>
      <c r="B530" s="1354" t="s">
        <v>130</v>
      </c>
      <c r="C530" s="1423"/>
      <c r="D530" s="52"/>
      <c r="E530" s="53"/>
      <c r="F530" s="53"/>
      <c r="G530" s="65"/>
      <c r="H530" s="53"/>
      <c r="I530" s="55"/>
      <c r="J530" s="52"/>
      <c r="K530" s="56" t="str">
        <f t="shared" si="24"/>
        <v/>
      </c>
      <c r="L530" s="55"/>
      <c r="M530" s="55"/>
      <c r="N530" s="55"/>
      <c r="O530" s="55"/>
      <c r="P530" s="55"/>
      <c r="Q530" s="55"/>
      <c r="R530" s="55"/>
      <c r="S530" s="55"/>
      <c r="T530" s="55"/>
      <c r="U530" s="55"/>
      <c r="V530" s="55"/>
      <c r="W530" s="55"/>
      <c r="X530" s="55"/>
      <c r="Y530" s="55"/>
      <c r="Z530" s="55"/>
    </row>
    <row r="531" spans="1:26" ht="15">
      <c r="A531" s="1352"/>
      <c r="B531" s="1354" t="s">
        <v>4744</v>
      </c>
      <c r="C531" s="1423"/>
      <c r="D531" s="52"/>
      <c r="E531" s="53"/>
      <c r="F531" s="53"/>
      <c r="G531" s="65"/>
      <c r="H531" s="53"/>
      <c r="I531" s="55"/>
      <c r="J531" s="52"/>
      <c r="K531" s="56" t="str">
        <f t="shared" si="24"/>
        <v/>
      </c>
      <c r="L531" s="55"/>
      <c r="M531" s="55"/>
      <c r="N531" s="55"/>
      <c r="O531" s="55"/>
      <c r="P531" s="55"/>
      <c r="Q531" s="55"/>
      <c r="R531" s="55"/>
      <c r="S531" s="55"/>
      <c r="T531" s="55"/>
      <c r="U531" s="55"/>
      <c r="V531" s="55"/>
      <c r="W531" s="55"/>
      <c r="X531" s="55"/>
      <c r="Y531" s="55"/>
      <c r="Z531" s="55"/>
    </row>
    <row r="532" spans="1:26" ht="15">
      <c r="A532" s="1350" t="s">
        <v>260</v>
      </c>
      <c r="B532" s="1350" t="s">
        <v>173</v>
      </c>
      <c r="C532" s="1422"/>
      <c r="D532" s="52" t="s">
        <v>103</v>
      </c>
      <c r="E532" s="53">
        <v>3000</v>
      </c>
      <c r="F532" s="53"/>
      <c r="G532" s="65"/>
      <c r="H532" s="53"/>
      <c r="I532" s="55"/>
      <c r="J532" s="52"/>
      <c r="K532" s="56">
        <f t="shared" si="24"/>
        <v>0</v>
      </c>
      <c r="L532" s="55"/>
      <c r="M532" s="55"/>
      <c r="N532" s="55"/>
      <c r="O532" s="55"/>
      <c r="P532" s="55"/>
      <c r="Q532" s="55"/>
      <c r="R532" s="55"/>
      <c r="S532" s="55"/>
      <c r="T532" s="55"/>
      <c r="U532" s="55"/>
      <c r="V532" s="55"/>
      <c r="W532" s="55"/>
      <c r="X532" s="55"/>
      <c r="Y532" s="55"/>
      <c r="Z532" s="55"/>
    </row>
    <row r="533" spans="1:26" ht="15">
      <c r="A533" s="1352"/>
      <c r="B533" s="1354" t="s">
        <v>176</v>
      </c>
      <c r="C533" s="1423"/>
      <c r="D533" s="52"/>
      <c r="E533" s="53"/>
      <c r="F533" s="53"/>
      <c r="G533" s="65"/>
      <c r="H533" s="53"/>
      <c r="I533" s="55"/>
      <c r="J533" s="52"/>
      <c r="K533" s="56" t="str">
        <f t="shared" si="24"/>
        <v/>
      </c>
      <c r="L533" s="55"/>
      <c r="M533" s="55"/>
      <c r="N533" s="55"/>
      <c r="O533" s="55"/>
      <c r="P533" s="55"/>
      <c r="Q533" s="55"/>
      <c r="R533" s="55"/>
      <c r="S533" s="55"/>
      <c r="T533" s="55"/>
      <c r="U533" s="55"/>
      <c r="V533" s="55"/>
      <c r="W533" s="55"/>
      <c r="X533" s="55"/>
      <c r="Y533" s="55"/>
      <c r="Z533" s="55"/>
    </row>
    <row r="534" spans="1:26" ht="15">
      <c r="A534" s="1352"/>
      <c r="B534" s="1354" t="s">
        <v>179</v>
      </c>
      <c r="C534" s="1423"/>
      <c r="D534" s="52"/>
      <c r="E534" s="53"/>
      <c r="F534" s="53"/>
      <c r="G534" s="65"/>
      <c r="H534" s="53"/>
      <c r="I534" s="55"/>
      <c r="J534" s="52"/>
      <c r="K534" s="56" t="str">
        <f t="shared" si="24"/>
        <v/>
      </c>
      <c r="L534" s="55"/>
      <c r="M534" s="55"/>
      <c r="N534" s="55"/>
      <c r="O534" s="55"/>
      <c r="P534" s="55"/>
      <c r="Q534" s="55"/>
      <c r="R534" s="55"/>
      <c r="S534" s="55"/>
      <c r="T534" s="55"/>
      <c r="U534" s="55"/>
      <c r="V534" s="55"/>
      <c r="W534" s="55"/>
      <c r="X534" s="55"/>
      <c r="Y534" s="55"/>
      <c r="Z534" s="55"/>
    </row>
    <row r="535" spans="1:26" ht="15">
      <c r="A535" s="1352"/>
      <c r="B535" s="1354" t="s">
        <v>208</v>
      </c>
      <c r="C535" s="1423"/>
      <c r="D535" s="52"/>
      <c r="E535" s="53"/>
      <c r="F535" s="53"/>
      <c r="G535" s="65"/>
      <c r="H535" s="53"/>
      <c r="I535" s="55"/>
      <c r="J535" s="52"/>
      <c r="K535" s="56" t="str">
        <f t="shared" si="24"/>
        <v/>
      </c>
      <c r="L535" s="55"/>
      <c r="M535" s="55"/>
      <c r="N535" s="55"/>
      <c r="O535" s="55"/>
      <c r="P535" s="55"/>
      <c r="Q535" s="55"/>
      <c r="R535" s="55"/>
      <c r="S535" s="55"/>
      <c r="T535" s="55"/>
      <c r="U535" s="55"/>
      <c r="V535" s="55"/>
      <c r="W535" s="55"/>
      <c r="X535" s="55"/>
      <c r="Y535" s="55"/>
      <c r="Z535" s="55"/>
    </row>
    <row r="536" spans="1:26" ht="15">
      <c r="A536" s="1350" t="s">
        <v>261</v>
      </c>
      <c r="B536" s="1350" t="s">
        <v>101</v>
      </c>
      <c r="C536" s="1422"/>
      <c r="D536" s="52" t="s">
        <v>118</v>
      </c>
      <c r="E536" s="53">
        <v>750</v>
      </c>
      <c r="F536" s="53"/>
      <c r="G536" s="65"/>
      <c r="H536" s="53"/>
      <c r="I536" s="55"/>
      <c r="J536" s="52"/>
      <c r="K536" s="56">
        <f t="shared" si="24"/>
        <v>0</v>
      </c>
      <c r="L536" s="55"/>
      <c r="M536" s="55"/>
      <c r="N536" s="55"/>
      <c r="O536" s="55"/>
      <c r="P536" s="55"/>
      <c r="Q536" s="55"/>
      <c r="R536" s="55"/>
      <c r="S536" s="55"/>
      <c r="T536" s="55"/>
      <c r="U536" s="55"/>
      <c r="V536" s="55"/>
      <c r="W536" s="55"/>
      <c r="X536" s="55"/>
      <c r="Y536" s="55"/>
      <c r="Z536" s="55"/>
    </row>
    <row r="537" spans="1:26" ht="15">
      <c r="A537" s="1350" t="s">
        <v>262</v>
      </c>
      <c r="B537" s="1350" t="s">
        <v>101</v>
      </c>
      <c r="C537" s="1422"/>
      <c r="D537" s="52" t="s">
        <v>263</v>
      </c>
      <c r="E537" s="53">
        <v>225</v>
      </c>
      <c r="F537" s="53"/>
      <c r="G537" s="65"/>
      <c r="H537" s="53"/>
      <c r="I537" s="55"/>
      <c r="J537" s="52"/>
      <c r="K537" s="56">
        <f t="shared" si="24"/>
        <v>0</v>
      </c>
      <c r="L537" s="55"/>
      <c r="M537" s="55"/>
      <c r="N537" s="55"/>
      <c r="O537" s="55"/>
      <c r="P537" s="55"/>
      <c r="Q537" s="55"/>
      <c r="R537" s="55"/>
      <c r="S537" s="55"/>
      <c r="T537" s="55"/>
      <c r="U537" s="55"/>
      <c r="V537" s="55"/>
      <c r="W537" s="55"/>
      <c r="X537" s="55"/>
      <c r="Y537" s="55"/>
      <c r="Z537" s="55"/>
    </row>
    <row r="538" spans="1:26" ht="15">
      <c r="A538" s="1350" t="s">
        <v>264</v>
      </c>
      <c r="B538" s="1350" t="s">
        <v>176</v>
      </c>
      <c r="C538" s="1422"/>
      <c r="D538" s="52" t="s">
        <v>103</v>
      </c>
      <c r="E538" s="53">
        <v>1800</v>
      </c>
      <c r="F538" s="53"/>
      <c r="G538" s="65"/>
      <c r="H538" s="53"/>
      <c r="I538" s="55"/>
      <c r="J538" s="52"/>
      <c r="K538" s="56">
        <f t="shared" si="24"/>
        <v>0</v>
      </c>
      <c r="L538" s="55"/>
      <c r="M538" s="55"/>
      <c r="N538" s="55"/>
      <c r="O538" s="55"/>
      <c r="P538" s="55"/>
      <c r="Q538" s="55"/>
      <c r="R538" s="55"/>
      <c r="S538" s="55"/>
      <c r="T538" s="55"/>
      <c r="U538" s="55"/>
      <c r="V538" s="55"/>
      <c r="W538" s="55"/>
      <c r="X538" s="55"/>
      <c r="Y538" s="55"/>
      <c r="Z538" s="55"/>
    </row>
    <row r="539" spans="1:26" ht="15">
      <c r="A539" s="1352"/>
      <c r="B539" s="1354" t="s">
        <v>110</v>
      </c>
      <c r="C539" s="1423"/>
      <c r="D539" s="52"/>
      <c r="E539" s="53"/>
      <c r="F539" s="53"/>
      <c r="G539" s="65"/>
      <c r="H539" s="53"/>
      <c r="I539" s="55"/>
      <c r="J539" s="52"/>
      <c r="K539" s="56" t="str">
        <f t="shared" si="24"/>
        <v/>
      </c>
      <c r="L539" s="55"/>
      <c r="M539" s="55"/>
      <c r="N539" s="55"/>
      <c r="O539" s="55"/>
      <c r="P539" s="55"/>
      <c r="Q539" s="55"/>
      <c r="R539" s="55"/>
      <c r="S539" s="55"/>
      <c r="T539" s="55"/>
      <c r="U539" s="55"/>
      <c r="V539" s="55"/>
      <c r="W539" s="55"/>
      <c r="X539" s="55"/>
      <c r="Y539" s="55"/>
      <c r="Z539" s="55"/>
    </row>
    <row r="540" spans="1:26" ht="15">
      <c r="A540" s="1350" t="s">
        <v>265</v>
      </c>
      <c r="B540" s="1350" t="s">
        <v>113</v>
      </c>
      <c r="C540" s="1422"/>
      <c r="D540" s="52" t="s">
        <v>103</v>
      </c>
      <c r="E540" s="53">
        <v>7545</v>
      </c>
      <c r="F540" s="53"/>
      <c r="G540" s="65"/>
      <c r="H540" s="53"/>
      <c r="I540" s="55"/>
      <c r="J540" s="52"/>
      <c r="K540" s="56">
        <f t="shared" si="24"/>
        <v>0</v>
      </c>
      <c r="L540" s="55"/>
      <c r="M540" s="55"/>
      <c r="N540" s="55"/>
      <c r="O540" s="55"/>
      <c r="P540" s="55"/>
      <c r="Q540" s="55"/>
      <c r="R540" s="55"/>
      <c r="S540" s="55"/>
      <c r="T540" s="55"/>
      <c r="U540" s="55"/>
      <c r="V540" s="55"/>
      <c r="W540" s="55"/>
      <c r="X540" s="55"/>
      <c r="Y540" s="55"/>
      <c r="Z540" s="55"/>
    </row>
    <row r="541" spans="1:26" ht="15">
      <c r="A541" s="1352"/>
      <c r="B541" s="1354" t="s">
        <v>171</v>
      </c>
      <c r="C541" s="1423"/>
      <c r="D541" s="52"/>
      <c r="E541" s="53"/>
      <c r="F541" s="53"/>
      <c r="G541" s="65"/>
      <c r="H541" s="53"/>
      <c r="I541" s="55"/>
      <c r="J541" s="52"/>
      <c r="K541" s="56" t="str">
        <f t="shared" si="24"/>
        <v/>
      </c>
      <c r="L541" s="55"/>
      <c r="M541" s="55"/>
      <c r="N541" s="55"/>
      <c r="O541" s="55"/>
      <c r="P541" s="55"/>
      <c r="Q541" s="55"/>
      <c r="R541" s="55"/>
      <c r="S541" s="55"/>
      <c r="T541" s="55"/>
      <c r="U541" s="55"/>
      <c r="V541" s="55"/>
      <c r="W541" s="55"/>
      <c r="X541" s="55"/>
      <c r="Y541" s="55"/>
      <c r="Z541" s="55"/>
    </row>
    <row r="542" spans="1:26" ht="15">
      <c r="A542" s="1352"/>
      <c r="B542" s="1354" t="s">
        <v>153</v>
      </c>
      <c r="C542" s="1423"/>
      <c r="D542" s="52"/>
      <c r="E542" s="53"/>
      <c r="F542" s="53"/>
      <c r="G542" s="65"/>
      <c r="H542" s="53"/>
      <c r="I542" s="55"/>
      <c r="J542" s="52"/>
      <c r="K542" s="56" t="str">
        <f t="shared" si="24"/>
        <v/>
      </c>
      <c r="L542" s="55"/>
      <c r="M542" s="55"/>
      <c r="N542" s="55"/>
      <c r="O542" s="55"/>
      <c r="P542" s="55"/>
      <c r="Q542" s="55"/>
      <c r="R542" s="55"/>
      <c r="S542" s="55"/>
      <c r="T542" s="55"/>
      <c r="U542" s="55"/>
      <c r="V542" s="55"/>
      <c r="W542" s="55"/>
      <c r="X542" s="55"/>
      <c r="Y542" s="55"/>
      <c r="Z542" s="55"/>
    </row>
    <row r="543" spans="1:26" ht="15">
      <c r="A543" s="1352"/>
      <c r="B543" s="1354" t="s">
        <v>173</v>
      </c>
      <c r="C543" s="1423"/>
      <c r="D543" s="52"/>
      <c r="E543" s="53"/>
      <c r="F543" s="53"/>
      <c r="G543" s="65"/>
      <c r="H543" s="53"/>
      <c r="I543" s="55"/>
      <c r="J543" s="52"/>
      <c r="K543" s="56" t="str">
        <f t="shared" si="24"/>
        <v/>
      </c>
      <c r="L543" s="55"/>
      <c r="M543" s="55"/>
      <c r="N543" s="55"/>
      <c r="O543" s="55"/>
      <c r="P543" s="55"/>
      <c r="Q543" s="55"/>
      <c r="R543" s="55"/>
      <c r="S543" s="55"/>
      <c r="T543" s="55"/>
      <c r="U543" s="55"/>
      <c r="V543" s="55"/>
      <c r="W543" s="55"/>
      <c r="X543" s="55"/>
      <c r="Y543" s="55"/>
      <c r="Z543" s="55"/>
    </row>
    <row r="544" spans="1:26" ht="15">
      <c r="A544" s="1352"/>
      <c r="B544" s="1354" t="s">
        <v>101</v>
      </c>
      <c r="C544" s="1423"/>
      <c r="D544" s="52"/>
      <c r="E544" s="53"/>
      <c r="F544" s="53"/>
      <c r="G544" s="65"/>
      <c r="H544" s="53"/>
      <c r="I544" s="55"/>
      <c r="J544" s="52"/>
      <c r="K544" s="56" t="str">
        <f t="shared" si="24"/>
        <v/>
      </c>
      <c r="L544" s="55"/>
      <c r="M544" s="55"/>
      <c r="N544" s="55"/>
      <c r="O544" s="55"/>
      <c r="P544" s="55"/>
      <c r="Q544" s="55"/>
      <c r="R544" s="55"/>
      <c r="S544" s="55"/>
      <c r="T544" s="55"/>
      <c r="U544" s="55"/>
      <c r="V544" s="55"/>
      <c r="W544" s="55"/>
      <c r="X544" s="55"/>
      <c r="Y544" s="55"/>
      <c r="Z544" s="55"/>
    </row>
    <row r="545" spans="1:26" ht="15">
      <c r="A545" s="1352"/>
      <c r="B545" s="1354" t="s">
        <v>204</v>
      </c>
      <c r="C545" s="1423"/>
      <c r="D545" s="52"/>
      <c r="E545" s="53"/>
      <c r="F545" s="53"/>
      <c r="G545" s="65"/>
      <c r="H545" s="53"/>
      <c r="I545" s="55"/>
      <c r="J545" s="52"/>
      <c r="K545" s="56" t="str">
        <f t="shared" si="24"/>
        <v/>
      </c>
      <c r="L545" s="55"/>
      <c r="M545" s="55"/>
      <c r="N545" s="55"/>
      <c r="O545" s="55"/>
      <c r="P545" s="55"/>
      <c r="Q545" s="55"/>
      <c r="R545" s="55"/>
      <c r="S545" s="55"/>
      <c r="T545" s="55"/>
      <c r="U545" s="55"/>
      <c r="V545" s="55"/>
      <c r="W545" s="55"/>
      <c r="X545" s="55"/>
      <c r="Y545" s="55"/>
      <c r="Z545" s="55"/>
    </row>
    <row r="546" spans="1:26" ht="15">
      <c r="A546" s="1352"/>
      <c r="B546" s="1354" t="s">
        <v>206</v>
      </c>
      <c r="C546" s="1423"/>
      <c r="D546" s="52"/>
      <c r="E546" s="53"/>
      <c r="F546" s="53"/>
      <c r="G546" s="65"/>
      <c r="H546" s="53"/>
      <c r="I546" s="55"/>
      <c r="J546" s="52"/>
      <c r="K546" s="56" t="str">
        <f t="shared" si="24"/>
        <v/>
      </c>
      <c r="L546" s="55"/>
      <c r="M546" s="55"/>
      <c r="N546" s="55"/>
      <c r="O546" s="55"/>
      <c r="P546" s="55"/>
      <c r="Q546" s="55"/>
      <c r="R546" s="55"/>
      <c r="S546" s="55"/>
      <c r="T546" s="55"/>
      <c r="U546" s="55"/>
      <c r="V546" s="55"/>
      <c r="W546" s="55"/>
      <c r="X546" s="55"/>
      <c r="Y546" s="55"/>
      <c r="Z546" s="55"/>
    </row>
    <row r="547" spans="1:26" ht="15">
      <c r="A547" s="1352"/>
      <c r="B547" s="1354" t="s">
        <v>175</v>
      </c>
      <c r="C547" s="1423"/>
      <c r="D547" s="52"/>
      <c r="E547" s="53"/>
      <c r="F547" s="53"/>
      <c r="G547" s="65"/>
      <c r="H547" s="53"/>
      <c r="I547" s="55"/>
      <c r="J547" s="52"/>
      <c r="K547" s="56" t="str">
        <f t="shared" si="24"/>
        <v/>
      </c>
      <c r="L547" s="55"/>
      <c r="M547" s="55"/>
      <c r="N547" s="55"/>
      <c r="O547" s="55"/>
      <c r="P547" s="55"/>
      <c r="Q547" s="55"/>
      <c r="R547" s="55"/>
      <c r="S547" s="55"/>
      <c r="T547" s="55"/>
      <c r="U547" s="55"/>
      <c r="V547" s="55"/>
      <c r="W547" s="55"/>
      <c r="X547" s="55"/>
      <c r="Y547" s="55"/>
      <c r="Z547" s="55"/>
    </row>
    <row r="548" spans="1:26" ht="15">
      <c r="A548" s="1352"/>
      <c r="B548" s="1354" t="s">
        <v>176</v>
      </c>
      <c r="C548" s="1423"/>
      <c r="D548" s="52"/>
      <c r="E548" s="53"/>
      <c r="F548" s="53"/>
      <c r="G548" s="65"/>
      <c r="H548" s="53"/>
      <c r="I548" s="55"/>
      <c r="J548" s="52"/>
      <c r="K548" s="56" t="str">
        <f t="shared" si="24"/>
        <v/>
      </c>
      <c r="L548" s="55"/>
      <c r="M548" s="55"/>
      <c r="N548" s="55"/>
      <c r="O548" s="55"/>
      <c r="P548" s="55"/>
      <c r="Q548" s="55"/>
      <c r="R548" s="55"/>
      <c r="S548" s="55"/>
      <c r="T548" s="55"/>
      <c r="U548" s="55"/>
      <c r="V548" s="55"/>
      <c r="W548" s="55"/>
      <c r="X548" s="55"/>
      <c r="Y548" s="55"/>
      <c r="Z548" s="55"/>
    </row>
    <row r="549" spans="1:26" ht="15">
      <c r="A549" s="1352"/>
      <c r="B549" s="1354" t="s">
        <v>140</v>
      </c>
      <c r="C549" s="1423"/>
      <c r="D549" s="52"/>
      <c r="E549" s="53"/>
      <c r="F549" s="53"/>
      <c r="G549" s="65"/>
      <c r="H549" s="53"/>
      <c r="I549" s="55"/>
      <c r="J549" s="52"/>
      <c r="K549" s="56" t="str">
        <f t="shared" si="24"/>
        <v/>
      </c>
      <c r="L549" s="55"/>
      <c r="M549" s="55"/>
      <c r="N549" s="55"/>
      <c r="O549" s="55"/>
      <c r="P549" s="55"/>
      <c r="Q549" s="55"/>
      <c r="R549" s="55"/>
      <c r="S549" s="55"/>
      <c r="T549" s="55"/>
      <c r="U549" s="55"/>
      <c r="V549" s="55"/>
      <c r="W549" s="55"/>
      <c r="X549" s="55"/>
      <c r="Y549" s="55"/>
      <c r="Z549" s="55"/>
    </row>
    <row r="550" spans="1:26" ht="15">
      <c r="A550" s="1352"/>
      <c r="B550" s="1354" t="s">
        <v>177</v>
      </c>
      <c r="C550" s="1423"/>
      <c r="D550" s="52"/>
      <c r="E550" s="53"/>
      <c r="F550" s="53"/>
      <c r="G550" s="65"/>
      <c r="H550" s="53"/>
      <c r="I550" s="55"/>
      <c r="J550" s="52"/>
      <c r="K550" s="56" t="str">
        <f t="shared" si="24"/>
        <v/>
      </c>
      <c r="L550" s="55"/>
      <c r="M550" s="55"/>
      <c r="N550" s="55"/>
      <c r="O550" s="55"/>
      <c r="P550" s="55"/>
      <c r="Q550" s="55"/>
      <c r="R550" s="55"/>
      <c r="S550" s="55"/>
      <c r="T550" s="55"/>
      <c r="U550" s="55"/>
      <c r="V550" s="55"/>
      <c r="W550" s="55"/>
      <c r="X550" s="55"/>
      <c r="Y550" s="55"/>
      <c r="Z550" s="55"/>
    </row>
    <row r="551" spans="1:26" ht="15">
      <c r="A551" s="1352"/>
      <c r="B551" s="1354" t="s">
        <v>178</v>
      </c>
      <c r="C551" s="1423"/>
      <c r="D551" s="52"/>
      <c r="E551" s="53"/>
      <c r="F551" s="53"/>
      <c r="G551" s="65"/>
      <c r="H551" s="53"/>
      <c r="I551" s="55"/>
      <c r="J551" s="52"/>
      <c r="K551" s="56" t="str">
        <f t="shared" si="24"/>
        <v/>
      </c>
      <c r="L551" s="55"/>
      <c r="M551" s="55"/>
      <c r="N551" s="55"/>
      <c r="O551" s="55"/>
      <c r="P551" s="55"/>
      <c r="Q551" s="55"/>
      <c r="R551" s="55"/>
      <c r="S551" s="55"/>
      <c r="T551" s="55"/>
      <c r="U551" s="55"/>
      <c r="V551" s="55"/>
      <c r="W551" s="55"/>
      <c r="X551" s="55"/>
      <c r="Y551" s="55"/>
      <c r="Z551" s="55"/>
    </row>
    <row r="552" spans="1:26" ht="15">
      <c r="A552" s="1352"/>
      <c r="B552" s="1354" t="s">
        <v>179</v>
      </c>
      <c r="C552" s="1423"/>
      <c r="D552" s="52"/>
      <c r="E552" s="53"/>
      <c r="F552" s="53"/>
      <c r="G552" s="65"/>
      <c r="H552" s="53"/>
      <c r="I552" s="55"/>
      <c r="J552" s="52"/>
      <c r="K552" s="56" t="str">
        <f t="shared" si="24"/>
        <v/>
      </c>
      <c r="L552" s="55"/>
      <c r="M552" s="55"/>
      <c r="N552" s="55"/>
      <c r="O552" s="55"/>
      <c r="P552" s="55"/>
      <c r="Q552" s="55"/>
      <c r="R552" s="55"/>
      <c r="S552" s="55"/>
      <c r="T552" s="55"/>
      <c r="U552" s="55"/>
      <c r="V552" s="55"/>
      <c r="W552" s="55"/>
      <c r="X552" s="55"/>
      <c r="Y552" s="55"/>
      <c r="Z552" s="55"/>
    </row>
    <row r="553" spans="1:26" ht="15">
      <c r="A553" s="1352"/>
      <c r="B553" s="1354" t="s">
        <v>110</v>
      </c>
      <c r="C553" s="1423"/>
      <c r="D553" s="52"/>
      <c r="E553" s="53"/>
      <c r="F553" s="53"/>
      <c r="G553" s="65"/>
      <c r="H553" s="53"/>
      <c r="I553" s="55"/>
      <c r="J553" s="52"/>
      <c r="K553" s="56" t="str">
        <f t="shared" si="24"/>
        <v/>
      </c>
      <c r="L553" s="55"/>
      <c r="M553" s="55"/>
      <c r="N553" s="55"/>
      <c r="O553" s="55"/>
      <c r="P553" s="55"/>
      <c r="Q553" s="55"/>
      <c r="R553" s="55"/>
      <c r="S553" s="55"/>
      <c r="T553" s="55"/>
      <c r="U553" s="55"/>
      <c r="V553" s="55"/>
      <c r="W553" s="55"/>
      <c r="X553" s="55"/>
      <c r="Y553" s="55"/>
      <c r="Z553" s="55"/>
    </row>
    <row r="554" spans="1:26" ht="15">
      <c r="A554" s="1352"/>
      <c r="B554" s="1354" t="s">
        <v>208</v>
      </c>
      <c r="C554" s="1423"/>
      <c r="D554" s="52"/>
      <c r="E554" s="53"/>
      <c r="F554" s="53"/>
      <c r="G554" s="65"/>
      <c r="H554" s="53"/>
      <c r="I554" s="55"/>
      <c r="J554" s="52"/>
      <c r="K554" s="56" t="str">
        <f t="shared" si="24"/>
        <v/>
      </c>
      <c r="L554" s="55"/>
      <c r="M554" s="55"/>
      <c r="N554" s="55"/>
      <c r="O554" s="55"/>
      <c r="P554" s="55"/>
      <c r="Q554" s="55"/>
      <c r="R554" s="55"/>
      <c r="S554" s="55"/>
      <c r="T554" s="55"/>
      <c r="U554" s="55"/>
      <c r="V554" s="55"/>
      <c r="W554" s="55"/>
      <c r="X554" s="55"/>
      <c r="Y554" s="55"/>
      <c r="Z554" s="55"/>
    </row>
    <row r="555" spans="1:26" ht="15">
      <c r="A555" s="1352"/>
      <c r="B555" s="1354" t="s">
        <v>151</v>
      </c>
      <c r="C555" s="1423"/>
      <c r="D555" s="52"/>
      <c r="E555" s="53"/>
      <c r="F555" s="53"/>
      <c r="G555" s="65"/>
      <c r="H555" s="53"/>
      <c r="I555" s="55"/>
      <c r="J555" s="52"/>
      <c r="K555" s="56" t="str">
        <f t="shared" si="24"/>
        <v/>
      </c>
      <c r="L555" s="55"/>
      <c r="M555" s="55"/>
      <c r="N555" s="55"/>
      <c r="O555" s="55"/>
      <c r="P555" s="55"/>
      <c r="Q555" s="55"/>
      <c r="R555" s="55"/>
      <c r="S555" s="55"/>
      <c r="T555" s="55"/>
      <c r="U555" s="55"/>
      <c r="V555" s="55"/>
      <c r="W555" s="55"/>
      <c r="X555" s="55"/>
      <c r="Y555" s="55"/>
      <c r="Z555" s="55"/>
    </row>
    <row r="556" spans="1:26" ht="15">
      <c r="A556" s="1352"/>
      <c r="B556" s="1354" t="s">
        <v>215</v>
      </c>
      <c r="C556" s="1423"/>
      <c r="D556" s="52"/>
      <c r="E556" s="53"/>
      <c r="F556" s="53"/>
      <c r="G556" s="65"/>
      <c r="H556" s="53"/>
      <c r="I556" s="55"/>
      <c r="J556" s="52"/>
      <c r="K556" s="56" t="str">
        <f t="shared" si="24"/>
        <v/>
      </c>
      <c r="L556" s="55"/>
      <c r="M556" s="55"/>
      <c r="N556" s="55"/>
      <c r="O556" s="55"/>
      <c r="P556" s="55"/>
      <c r="Q556" s="55"/>
      <c r="R556" s="55"/>
      <c r="S556" s="55"/>
      <c r="T556" s="55"/>
      <c r="U556" s="55"/>
      <c r="V556" s="55"/>
      <c r="W556" s="55"/>
      <c r="X556" s="55"/>
      <c r="Y556" s="55"/>
      <c r="Z556" s="55"/>
    </row>
    <row r="557" spans="1:26" ht="15">
      <c r="A557" s="1350" t="s">
        <v>266</v>
      </c>
      <c r="B557" s="1350" t="s">
        <v>101</v>
      </c>
      <c r="C557" s="1422"/>
      <c r="D557" s="52" t="s">
        <v>155</v>
      </c>
      <c r="E557" s="53">
        <v>67.5</v>
      </c>
      <c r="F557" s="53"/>
      <c r="G557" s="65"/>
      <c r="H557" s="53"/>
      <c r="I557" s="55"/>
      <c r="J557" s="52"/>
      <c r="K557" s="56">
        <f t="shared" si="24"/>
        <v>0</v>
      </c>
      <c r="L557" s="55"/>
      <c r="M557" s="55"/>
      <c r="N557" s="55"/>
      <c r="O557" s="55"/>
      <c r="P557" s="55"/>
      <c r="Q557" s="55"/>
      <c r="R557" s="55"/>
      <c r="S557" s="55"/>
      <c r="T557" s="55"/>
      <c r="U557" s="55"/>
      <c r="V557" s="55"/>
      <c r="W557" s="55"/>
      <c r="X557" s="55"/>
      <c r="Y557" s="55"/>
      <c r="Z557" s="55"/>
    </row>
    <row r="558" spans="1:26" ht="15">
      <c r="A558" s="1350" t="s">
        <v>267</v>
      </c>
      <c r="B558" s="1350" t="s">
        <v>101</v>
      </c>
      <c r="C558" s="1422"/>
      <c r="D558" s="52" t="s">
        <v>155</v>
      </c>
      <c r="E558" s="53">
        <v>100.5</v>
      </c>
      <c r="F558" s="53"/>
      <c r="G558" s="65"/>
      <c r="H558" s="53"/>
      <c r="I558" s="55"/>
      <c r="J558" s="52"/>
      <c r="K558" s="56">
        <f t="shared" si="24"/>
        <v>0</v>
      </c>
      <c r="L558" s="55"/>
      <c r="M558" s="55"/>
      <c r="N558" s="55"/>
      <c r="O558" s="55"/>
      <c r="P558" s="55"/>
      <c r="Q558" s="55"/>
      <c r="R558" s="55"/>
      <c r="S558" s="55"/>
      <c r="T558" s="55"/>
      <c r="U558" s="55"/>
      <c r="V558" s="55"/>
      <c r="W558" s="55"/>
      <c r="X558" s="55"/>
      <c r="Y558" s="55"/>
      <c r="Z558" s="55"/>
    </row>
    <row r="559" spans="1:26" ht="15">
      <c r="A559" s="1350" t="s">
        <v>268</v>
      </c>
      <c r="B559" s="1350" t="s">
        <v>101</v>
      </c>
      <c r="C559" s="1422"/>
      <c r="D559" s="52" t="s">
        <v>155</v>
      </c>
      <c r="E559" s="53">
        <v>120</v>
      </c>
      <c r="F559" s="53"/>
      <c r="G559" s="65"/>
      <c r="H559" s="53"/>
      <c r="I559" s="55"/>
      <c r="J559" s="52">
        <v>1</v>
      </c>
      <c r="K559" s="56">
        <f t="shared" si="24"/>
        <v>120</v>
      </c>
      <c r="L559" s="55"/>
      <c r="M559" s="55"/>
      <c r="N559" s="55"/>
      <c r="O559" s="55"/>
      <c r="P559" s="55"/>
      <c r="Q559" s="55"/>
      <c r="R559" s="55"/>
      <c r="S559" s="55"/>
      <c r="T559" s="55"/>
      <c r="U559" s="55"/>
      <c r="V559" s="55"/>
      <c r="W559" s="55"/>
      <c r="X559" s="55"/>
      <c r="Y559" s="55"/>
      <c r="Z559" s="55"/>
    </row>
    <row r="560" spans="1:26" ht="15">
      <c r="A560" s="1350" t="s">
        <v>269</v>
      </c>
      <c r="B560" s="1350" t="s">
        <v>101</v>
      </c>
      <c r="C560" s="1422"/>
      <c r="D560" s="52" t="s">
        <v>155</v>
      </c>
      <c r="E560" s="53">
        <v>150</v>
      </c>
      <c r="F560" s="53"/>
      <c r="G560" s="65"/>
      <c r="H560" s="53"/>
      <c r="I560" s="55"/>
      <c r="J560" s="52">
        <v>1</v>
      </c>
      <c r="K560" s="56">
        <f t="shared" si="24"/>
        <v>150</v>
      </c>
      <c r="L560" s="55"/>
      <c r="M560" s="55"/>
      <c r="N560" s="55"/>
      <c r="O560" s="55"/>
      <c r="P560" s="55"/>
      <c r="Q560" s="55"/>
      <c r="R560" s="55"/>
      <c r="S560" s="55"/>
      <c r="T560" s="55"/>
      <c r="U560" s="55"/>
      <c r="V560" s="55"/>
      <c r="W560" s="55"/>
      <c r="X560" s="55"/>
      <c r="Y560" s="55"/>
      <c r="Z560" s="55"/>
    </row>
    <row r="561" spans="1:26" ht="15">
      <c r="A561" s="1350" t="s">
        <v>270</v>
      </c>
      <c r="B561" s="1350" t="s">
        <v>101</v>
      </c>
      <c r="C561" s="1422"/>
      <c r="D561" s="52" t="s">
        <v>155</v>
      </c>
      <c r="E561" s="53">
        <v>243</v>
      </c>
      <c r="F561" s="53"/>
      <c r="G561" s="65"/>
      <c r="H561" s="53"/>
      <c r="I561" s="55"/>
      <c r="J561" s="52">
        <v>1</v>
      </c>
      <c r="K561" s="56">
        <f t="shared" si="24"/>
        <v>243</v>
      </c>
      <c r="L561" s="55"/>
      <c r="M561" s="55"/>
      <c r="N561" s="55"/>
      <c r="O561" s="55"/>
      <c r="P561" s="55"/>
      <c r="Q561" s="55"/>
      <c r="R561" s="55"/>
      <c r="S561" s="55"/>
      <c r="T561" s="55"/>
      <c r="U561" s="55"/>
      <c r="V561" s="55"/>
      <c r="W561" s="55"/>
      <c r="X561" s="55"/>
      <c r="Y561" s="55"/>
      <c r="Z561" s="55"/>
    </row>
    <row r="562" spans="1:26" ht="15">
      <c r="A562" s="1350" t="s">
        <v>271</v>
      </c>
      <c r="B562" s="1350" t="s">
        <v>101</v>
      </c>
      <c r="C562" s="1422"/>
      <c r="D562" s="52" t="s">
        <v>155</v>
      </c>
      <c r="E562" s="53">
        <v>240</v>
      </c>
      <c r="F562" s="53"/>
      <c r="G562" s="65"/>
      <c r="H562" s="53"/>
      <c r="I562" s="55"/>
      <c r="J562" s="52">
        <v>1</v>
      </c>
      <c r="K562" s="56">
        <f t="shared" si="24"/>
        <v>240</v>
      </c>
      <c r="L562" s="55"/>
      <c r="M562" s="55"/>
      <c r="N562" s="55"/>
      <c r="O562" s="55"/>
      <c r="P562" s="55"/>
      <c r="Q562" s="55"/>
      <c r="R562" s="55"/>
      <c r="S562" s="55"/>
      <c r="T562" s="55"/>
      <c r="U562" s="55"/>
      <c r="V562" s="55"/>
      <c r="W562" s="55"/>
      <c r="X562" s="55"/>
      <c r="Y562" s="55"/>
      <c r="Z562" s="55"/>
    </row>
    <row r="563" spans="1:26" ht="15">
      <c r="A563" s="1350" t="s">
        <v>272</v>
      </c>
      <c r="B563" s="1350" t="s">
        <v>101</v>
      </c>
      <c r="C563" s="1422"/>
      <c r="D563" s="52" t="s">
        <v>155</v>
      </c>
      <c r="E563" s="53">
        <v>270</v>
      </c>
      <c r="F563" s="53"/>
      <c r="G563" s="65"/>
      <c r="H563" s="53"/>
      <c r="I563" s="55"/>
      <c r="J563" s="52">
        <v>2</v>
      </c>
      <c r="K563" s="56">
        <f t="shared" si="24"/>
        <v>540</v>
      </c>
      <c r="L563" s="55"/>
      <c r="M563" s="55"/>
      <c r="N563" s="55"/>
      <c r="O563" s="55"/>
      <c r="P563" s="55"/>
      <c r="Q563" s="55"/>
      <c r="R563" s="55"/>
      <c r="S563" s="55"/>
      <c r="T563" s="55"/>
      <c r="U563" s="55"/>
      <c r="V563" s="55"/>
      <c r="W563" s="55"/>
      <c r="X563" s="55"/>
      <c r="Y563" s="55"/>
      <c r="Z563" s="55"/>
    </row>
    <row r="564" spans="1:26" ht="15">
      <c r="A564" s="1350" t="s">
        <v>273</v>
      </c>
      <c r="B564" s="1350" t="s">
        <v>101</v>
      </c>
      <c r="C564" s="1422"/>
      <c r="D564" s="52" t="s">
        <v>155</v>
      </c>
      <c r="E564" s="53">
        <v>345</v>
      </c>
      <c r="F564" s="53"/>
      <c r="G564" s="65"/>
      <c r="H564" s="53"/>
      <c r="I564" s="55"/>
      <c r="J564" s="52">
        <v>10</v>
      </c>
      <c r="K564" s="56">
        <f t="shared" si="24"/>
        <v>3450</v>
      </c>
      <c r="L564" s="55"/>
      <c r="M564" s="55"/>
      <c r="N564" s="55"/>
      <c r="O564" s="55"/>
      <c r="P564" s="55"/>
      <c r="Q564" s="55"/>
      <c r="R564" s="55"/>
      <c r="S564" s="55"/>
      <c r="T564" s="55"/>
      <c r="U564" s="55"/>
      <c r="V564" s="55"/>
      <c r="W564" s="55"/>
      <c r="X564" s="55"/>
      <c r="Y564" s="55"/>
      <c r="Z564" s="55"/>
    </row>
    <row r="565" spans="1:26" ht="15">
      <c r="A565" s="1350" t="s">
        <v>274</v>
      </c>
      <c r="B565" s="1350" t="s">
        <v>101</v>
      </c>
      <c r="C565" s="1422"/>
      <c r="D565" s="52" t="s">
        <v>155</v>
      </c>
      <c r="E565" s="53">
        <v>495</v>
      </c>
      <c r="F565" s="53"/>
      <c r="G565" s="65"/>
      <c r="H565" s="53"/>
      <c r="I565" s="55"/>
      <c r="J565" s="52"/>
      <c r="K565" s="56">
        <f t="shared" si="24"/>
        <v>0</v>
      </c>
      <c r="L565" s="55"/>
      <c r="M565" s="55"/>
      <c r="N565" s="55"/>
      <c r="O565" s="55"/>
      <c r="P565" s="55"/>
      <c r="Q565" s="55"/>
      <c r="R565" s="55"/>
      <c r="S565" s="55"/>
      <c r="T565" s="55"/>
      <c r="U565" s="55"/>
      <c r="V565" s="55"/>
      <c r="W565" s="55"/>
      <c r="X565" s="55"/>
      <c r="Y565" s="55"/>
      <c r="Z565" s="55"/>
    </row>
    <row r="566" spans="1:26" ht="15">
      <c r="A566" s="1350" t="s">
        <v>275</v>
      </c>
      <c r="B566" s="1350" t="s">
        <v>101</v>
      </c>
      <c r="C566" s="1422"/>
      <c r="D566" s="52" t="s">
        <v>103</v>
      </c>
      <c r="E566" s="53">
        <v>15750</v>
      </c>
      <c r="F566" s="53"/>
      <c r="G566" s="65"/>
      <c r="H566" s="53"/>
      <c r="I566" s="55"/>
      <c r="J566" s="52"/>
      <c r="K566" s="56">
        <f t="shared" si="24"/>
        <v>0</v>
      </c>
      <c r="L566" s="55"/>
      <c r="M566" s="55"/>
      <c r="N566" s="55"/>
      <c r="O566" s="55"/>
      <c r="P566" s="55"/>
      <c r="Q566" s="55"/>
      <c r="R566" s="55"/>
      <c r="S566" s="55"/>
      <c r="T566" s="55"/>
      <c r="U566" s="55"/>
      <c r="V566" s="55"/>
      <c r="W566" s="55"/>
      <c r="X566" s="55"/>
      <c r="Y566" s="55"/>
      <c r="Z566" s="55"/>
    </row>
    <row r="567" spans="1:26" ht="15">
      <c r="A567" s="1353" t="s">
        <v>276</v>
      </c>
      <c r="B567" s="1353" t="s">
        <v>101</v>
      </c>
      <c r="C567" s="1425"/>
      <c r="D567" s="52" t="s">
        <v>103</v>
      </c>
      <c r="E567" s="53">
        <v>375</v>
      </c>
      <c r="F567" s="53"/>
      <c r="G567" s="65"/>
      <c r="H567" s="53"/>
      <c r="I567" s="55"/>
      <c r="J567" s="52"/>
      <c r="K567" s="56">
        <f t="shared" si="24"/>
        <v>0</v>
      </c>
      <c r="L567" s="55"/>
      <c r="M567" s="55"/>
      <c r="N567" s="55"/>
      <c r="O567" s="55"/>
      <c r="P567" s="55"/>
      <c r="Q567" s="55"/>
      <c r="R567" s="55"/>
      <c r="S567" s="55"/>
      <c r="T567" s="55"/>
      <c r="U567" s="55"/>
      <c r="V567" s="55"/>
      <c r="W567" s="55"/>
      <c r="X567" s="55"/>
      <c r="Y567" s="55"/>
      <c r="Z567" s="55"/>
    </row>
    <row r="568" spans="1:26" ht="15">
      <c r="A568" s="50"/>
      <c r="B568" s="51"/>
      <c r="C568" s="52"/>
      <c r="D568" s="52"/>
      <c r="E568" s="53"/>
      <c r="F568" s="53"/>
      <c r="G568" s="65"/>
      <c r="H568" s="53"/>
      <c r="I568" s="55"/>
      <c r="J568" s="52"/>
      <c r="K568" s="56" t="str">
        <f t="shared" si="24"/>
        <v/>
      </c>
      <c r="L568" s="55"/>
      <c r="M568" s="55"/>
      <c r="N568" s="55"/>
      <c r="O568" s="55"/>
      <c r="P568" s="55"/>
      <c r="Q568" s="55"/>
      <c r="R568" s="55"/>
      <c r="S568" s="55"/>
      <c r="T568" s="55"/>
      <c r="U568" s="55"/>
      <c r="V568" s="55"/>
      <c r="W568" s="55"/>
      <c r="X568" s="55"/>
      <c r="Y568" s="55"/>
      <c r="Z568" s="55"/>
    </row>
    <row r="569" spans="1:26" ht="15">
      <c r="A569" s="50"/>
      <c r="B569" s="51"/>
      <c r="C569" s="52"/>
      <c r="D569" s="52"/>
      <c r="E569" s="53"/>
      <c r="F569" s="53"/>
      <c r="G569" s="65"/>
      <c r="H569" s="53"/>
      <c r="I569" s="55"/>
      <c r="J569" s="52"/>
      <c r="K569" s="56" t="str">
        <f t="shared" si="24"/>
        <v/>
      </c>
      <c r="L569" s="55"/>
      <c r="M569" s="55"/>
      <c r="N569" s="55"/>
      <c r="O569" s="55"/>
      <c r="P569" s="55"/>
      <c r="Q569" s="55"/>
      <c r="R569" s="55"/>
      <c r="S569" s="55"/>
      <c r="T569" s="55"/>
      <c r="U569" s="55"/>
      <c r="V569" s="55"/>
      <c r="W569" s="55"/>
      <c r="X569" s="55"/>
      <c r="Y569" s="55"/>
      <c r="Z569" s="55"/>
    </row>
    <row r="570" spans="1:26" ht="15">
      <c r="A570" s="50"/>
      <c r="B570" s="51"/>
      <c r="C570" s="52"/>
      <c r="D570" s="52"/>
      <c r="E570" s="53"/>
      <c r="F570" s="53"/>
      <c r="G570" s="65"/>
      <c r="H570" s="53"/>
      <c r="I570" s="55"/>
      <c r="J570" s="52"/>
      <c r="K570" s="56" t="str">
        <f t="shared" si="24"/>
        <v/>
      </c>
      <c r="L570" s="55"/>
      <c r="M570" s="55"/>
      <c r="N570" s="55"/>
      <c r="O570" s="55"/>
      <c r="P570" s="55"/>
      <c r="Q570" s="55"/>
      <c r="R570" s="55"/>
      <c r="S570" s="55"/>
      <c r="T570" s="55"/>
      <c r="U570" s="55"/>
      <c r="V570" s="55"/>
      <c r="W570" s="55"/>
      <c r="X570" s="55"/>
      <c r="Y570" s="55"/>
      <c r="Z570" s="55"/>
    </row>
    <row r="571" spans="1:26" ht="15">
      <c r="A571" s="50"/>
      <c r="B571" s="51"/>
      <c r="C571" s="52"/>
      <c r="D571" s="52"/>
      <c r="E571" s="53"/>
      <c r="F571" s="53"/>
      <c r="G571" s="65"/>
      <c r="H571" s="53"/>
      <c r="I571" s="55"/>
      <c r="J571" s="52"/>
      <c r="K571" s="56" t="str">
        <f t="shared" si="24"/>
        <v/>
      </c>
      <c r="L571" s="55"/>
      <c r="M571" s="55"/>
      <c r="N571" s="55"/>
      <c r="O571" s="55"/>
      <c r="P571" s="55"/>
      <c r="Q571" s="55"/>
      <c r="R571" s="55"/>
      <c r="S571" s="55"/>
      <c r="T571" s="55"/>
      <c r="U571" s="55"/>
      <c r="V571" s="55"/>
      <c r="W571" s="55"/>
      <c r="X571" s="55"/>
      <c r="Y571" s="55"/>
      <c r="Z571" s="55"/>
    </row>
    <row r="572" spans="1:26" ht="15">
      <c r="A572" s="50"/>
      <c r="B572" s="51"/>
      <c r="C572" s="52"/>
      <c r="D572" s="52"/>
      <c r="E572" s="53"/>
      <c r="F572" s="53"/>
      <c r="G572" s="65"/>
      <c r="H572" s="53"/>
      <c r="I572" s="55"/>
      <c r="J572" s="52"/>
      <c r="K572" s="56" t="str">
        <f t="shared" si="24"/>
        <v/>
      </c>
      <c r="L572" s="55"/>
      <c r="M572" s="55"/>
      <c r="N572" s="55"/>
      <c r="O572" s="55"/>
      <c r="P572" s="55"/>
      <c r="Q572" s="55"/>
      <c r="R572" s="55"/>
      <c r="S572" s="55"/>
      <c r="T572" s="55"/>
      <c r="U572" s="55"/>
      <c r="V572" s="55"/>
      <c r="W572" s="55"/>
      <c r="X572" s="55"/>
      <c r="Y572" s="55"/>
      <c r="Z572" s="55"/>
    </row>
    <row r="573" spans="1:26" ht="15">
      <c r="A573" s="50"/>
      <c r="B573" s="51"/>
      <c r="C573" s="52"/>
      <c r="D573" s="52"/>
      <c r="E573" s="53"/>
      <c r="F573" s="53"/>
      <c r="G573" s="65"/>
      <c r="H573" s="53"/>
      <c r="I573" s="55"/>
      <c r="J573" s="52"/>
      <c r="K573" s="56" t="str">
        <f t="shared" si="24"/>
        <v/>
      </c>
      <c r="L573" s="55"/>
      <c r="M573" s="55"/>
      <c r="N573" s="55"/>
      <c r="O573" s="55"/>
      <c r="P573" s="55"/>
      <c r="Q573" s="55"/>
      <c r="R573" s="55"/>
      <c r="S573" s="55"/>
      <c r="T573" s="55"/>
      <c r="U573" s="55"/>
      <c r="V573" s="55"/>
      <c r="W573" s="55"/>
      <c r="X573" s="55"/>
      <c r="Y573" s="55"/>
      <c r="Z573" s="55"/>
    </row>
    <row r="574" spans="1:26" ht="15">
      <c r="A574" s="50"/>
      <c r="B574" s="51"/>
      <c r="C574" s="52"/>
      <c r="D574" s="52"/>
      <c r="E574" s="53"/>
      <c r="F574" s="53"/>
      <c r="G574" s="65"/>
      <c r="H574" s="53"/>
      <c r="I574" s="55"/>
      <c r="J574" s="52"/>
      <c r="K574" s="56" t="str">
        <f t="shared" si="24"/>
        <v/>
      </c>
      <c r="L574" s="55"/>
      <c r="M574" s="55"/>
      <c r="N574" s="55"/>
      <c r="O574" s="55"/>
      <c r="P574" s="55"/>
      <c r="Q574" s="55"/>
      <c r="R574" s="55"/>
      <c r="S574" s="55"/>
      <c r="T574" s="55"/>
      <c r="U574" s="55"/>
      <c r="V574" s="55"/>
      <c r="W574" s="55"/>
      <c r="X574" s="55"/>
      <c r="Y574" s="55"/>
      <c r="Z574" s="55"/>
    </row>
    <row r="575" spans="1:26" ht="15">
      <c r="A575" s="50"/>
      <c r="B575" s="51"/>
      <c r="C575" s="52"/>
      <c r="D575" s="52"/>
      <c r="E575" s="53"/>
      <c r="F575" s="53"/>
      <c r="G575" s="65"/>
      <c r="H575" s="53"/>
      <c r="I575" s="55"/>
      <c r="J575" s="52"/>
      <c r="K575" s="56" t="str">
        <f t="shared" si="24"/>
        <v/>
      </c>
      <c r="L575" s="55"/>
      <c r="M575" s="55"/>
      <c r="N575" s="55"/>
      <c r="O575" s="55"/>
      <c r="P575" s="55"/>
      <c r="Q575" s="55"/>
      <c r="R575" s="55"/>
      <c r="S575" s="55"/>
      <c r="T575" s="55"/>
      <c r="U575" s="55"/>
      <c r="V575" s="55"/>
      <c r="W575" s="55"/>
      <c r="X575" s="55"/>
      <c r="Y575" s="55"/>
      <c r="Z575" s="55"/>
    </row>
    <row r="576" spans="1:26" ht="15">
      <c r="A576" s="50"/>
      <c r="B576" s="51"/>
      <c r="C576" s="52"/>
      <c r="D576" s="52"/>
      <c r="E576" s="53"/>
      <c r="F576" s="53"/>
      <c r="G576" s="65"/>
      <c r="H576" s="53"/>
      <c r="I576" s="55"/>
      <c r="J576" s="52"/>
      <c r="K576" s="56" t="str">
        <f t="shared" si="24"/>
        <v/>
      </c>
      <c r="L576" s="55"/>
      <c r="M576" s="55"/>
      <c r="N576" s="55"/>
      <c r="O576" s="55"/>
      <c r="P576" s="55"/>
      <c r="Q576" s="55"/>
      <c r="R576" s="55"/>
      <c r="S576" s="55"/>
      <c r="T576" s="55"/>
      <c r="U576" s="55"/>
      <c r="V576" s="55"/>
      <c r="W576" s="55"/>
      <c r="X576" s="55"/>
      <c r="Y576" s="55"/>
      <c r="Z576" s="55"/>
    </row>
    <row r="577" spans="1:26" ht="15">
      <c r="A577" s="50"/>
      <c r="B577" s="51"/>
      <c r="C577" s="52"/>
      <c r="D577" s="52"/>
      <c r="E577" s="53"/>
      <c r="F577" s="53"/>
      <c r="G577" s="65"/>
      <c r="H577" s="53"/>
      <c r="I577" s="55"/>
      <c r="J577" s="52"/>
      <c r="K577" s="56" t="str">
        <f t="shared" si="24"/>
        <v/>
      </c>
      <c r="L577" s="55"/>
      <c r="M577" s="55"/>
      <c r="N577" s="55"/>
      <c r="O577" s="55"/>
      <c r="P577" s="55"/>
      <c r="Q577" s="55"/>
      <c r="R577" s="55"/>
      <c r="S577" s="55"/>
      <c r="T577" s="55"/>
      <c r="U577" s="55"/>
      <c r="V577" s="55"/>
      <c r="W577" s="55"/>
      <c r="X577" s="55"/>
      <c r="Y577" s="55"/>
      <c r="Z577" s="55"/>
    </row>
    <row r="578" spans="1:26" ht="15">
      <c r="A578" s="50"/>
      <c r="B578" s="51"/>
      <c r="C578" s="52"/>
      <c r="D578" s="52"/>
      <c r="E578" s="53"/>
      <c r="F578" s="53"/>
      <c r="G578" s="65"/>
      <c r="H578" s="53"/>
      <c r="I578" s="55"/>
      <c r="J578" s="52"/>
      <c r="K578" s="56" t="str">
        <f t="shared" si="24"/>
        <v/>
      </c>
      <c r="L578" s="55"/>
      <c r="M578" s="55"/>
      <c r="N578" s="55"/>
      <c r="O578" s="55"/>
      <c r="P578" s="55"/>
      <c r="Q578" s="55"/>
      <c r="R578" s="55"/>
      <c r="S578" s="55"/>
      <c r="T578" s="55"/>
      <c r="U578" s="55"/>
      <c r="V578" s="55"/>
      <c r="W578" s="55"/>
      <c r="X578" s="55"/>
      <c r="Y578" s="55"/>
      <c r="Z578" s="55"/>
    </row>
    <row r="579" spans="1:26" ht="15">
      <c r="A579" s="50"/>
      <c r="B579" s="51"/>
      <c r="C579" s="52"/>
      <c r="D579" s="52"/>
      <c r="E579" s="53"/>
      <c r="F579" s="53"/>
      <c r="G579" s="65"/>
      <c r="H579" s="53"/>
      <c r="I579" s="55"/>
      <c r="J579" s="52"/>
      <c r="K579" s="56" t="str">
        <f t="shared" si="24"/>
        <v/>
      </c>
      <c r="L579" s="55"/>
      <c r="M579" s="55"/>
      <c r="N579" s="55"/>
      <c r="O579" s="55"/>
      <c r="P579" s="55"/>
      <c r="Q579" s="55"/>
      <c r="R579" s="55"/>
      <c r="S579" s="55"/>
      <c r="T579" s="55"/>
      <c r="U579" s="55"/>
      <c r="V579" s="55"/>
      <c r="W579" s="55"/>
      <c r="X579" s="55"/>
      <c r="Y579" s="55"/>
      <c r="Z579" s="55"/>
    </row>
    <row r="580" spans="1:26" ht="15">
      <c r="A580" s="50"/>
      <c r="B580" s="51"/>
      <c r="C580" s="52"/>
      <c r="D580" s="52"/>
      <c r="E580" s="53"/>
      <c r="F580" s="53"/>
      <c r="G580" s="65"/>
      <c r="H580" s="53"/>
      <c r="I580" s="55"/>
      <c r="J580" s="52"/>
      <c r="K580" s="56" t="str">
        <f t="shared" si="24"/>
        <v/>
      </c>
      <c r="L580" s="55"/>
      <c r="M580" s="55"/>
      <c r="N580" s="55"/>
      <c r="O580" s="55"/>
      <c r="P580" s="55"/>
      <c r="Q580" s="55"/>
      <c r="R580" s="55"/>
      <c r="S580" s="55"/>
      <c r="T580" s="55"/>
      <c r="U580" s="55"/>
      <c r="V580" s="55"/>
      <c r="W580" s="55"/>
      <c r="X580" s="55"/>
      <c r="Y580" s="55"/>
      <c r="Z580" s="55"/>
    </row>
    <row r="581" spans="1:26" ht="15">
      <c r="A581" s="50"/>
      <c r="B581" s="51"/>
      <c r="C581" s="52"/>
      <c r="D581" s="52"/>
      <c r="E581" s="53"/>
      <c r="F581" s="53"/>
      <c r="G581" s="65"/>
      <c r="H581" s="53"/>
      <c r="I581" s="55"/>
      <c r="J581" s="52"/>
      <c r="K581" s="56" t="str">
        <f t="shared" si="24"/>
        <v/>
      </c>
      <c r="L581" s="55"/>
      <c r="M581" s="55"/>
      <c r="N581" s="55"/>
      <c r="O581" s="55"/>
      <c r="P581" s="55"/>
      <c r="Q581" s="55"/>
      <c r="R581" s="55"/>
      <c r="S581" s="55"/>
      <c r="T581" s="55"/>
      <c r="U581" s="55"/>
      <c r="V581" s="55"/>
      <c r="W581" s="55"/>
      <c r="X581" s="55"/>
      <c r="Y581" s="55"/>
      <c r="Z581" s="55"/>
    </row>
    <row r="582" spans="1:26" ht="15">
      <c r="A582" s="50"/>
      <c r="B582" s="51"/>
      <c r="C582" s="52"/>
      <c r="D582" s="52"/>
      <c r="E582" s="53"/>
      <c r="F582" s="53"/>
      <c r="G582" s="65"/>
      <c r="H582" s="53"/>
      <c r="I582" s="55"/>
      <c r="J582" s="52"/>
      <c r="K582" s="56" t="str">
        <f t="shared" si="24"/>
        <v/>
      </c>
      <c r="L582" s="55"/>
      <c r="M582" s="55"/>
      <c r="N582" s="55"/>
      <c r="O582" s="55"/>
      <c r="P582" s="55"/>
      <c r="Q582" s="55"/>
      <c r="R582" s="55"/>
      <c r="S582" s="55"/>
      <c r="T582" s="55"/>
      <c r="U582" s="55"/>
      <c r="V582" s="55"/>
      <c r="W582" s="55"/>
      <c r="X582" s="55"/>
      <c r="Y582" s="55"/>
      <c r="Z582" s="55"/>
    </row>
    <row r="583" spans="1:26" ht="15">
      <c r="A583" s="50"/>
      <c r="B583" s="51"/>
      <c r="C583" s="52"/>
      <c r="D583" s="52"/>
      <c r="E583" s="53"/>
      <c r="F583" s="53"/>
      <c r="G583" s="65"/>
      <c r="H583" s="53"/>
      <c r="I583" s="55"/>
      <c r="J583" s="52"/>
      <c r="K583" s="56" t="str">
        <f t="shared" si="24"/>
        <v/>
      </c>
      <c r="L583" s="55"/>
      <c r="M583" s="55"/>
      <c r="N583" s="55"/>
      <c r="O583" s="55"/>
      <c r="P583" s="55"/>
      <c r="Q583" s="55"/>
      <c r="R583" s="55"/>
      <c r="S583" s="55"/>
      <c r="T583" s="55"/>
      <c r="U583" s="55"/>
      <c r="V583" s="55"/>
      <c r="W583" s="55"/>
      <c r="X583" s="55"/>
      <c r="Y583" s="55"/>
      <c r="Z583" s="55"/>
    </row>
    <row r="584" spans="1:26" ht="15">
      <c r="A584" s="50"/>
      <c r="B584" s="51"/>
      <c r="C584" s="52"/>
      <c r="D584" s="52"/>
      <c r="E584" s="53"/>
      <c r="F584" s="53"/>
      <c r="G584" s="65"/>
      <c r="H584" s="53"/>
      <c r="I584" s="55"/>
      <c r="J584" s="52"/>
      <c r="K584" s="56" t="str">
        <f t="shared" si="24"/>
        <v/>
      </c>
      <c r="L584" s="55"/>
      <c r="M584" s="55"/>
      <c r="N584" s="55"/>
      <c r="O584" s="55"/>
      <c r="P584" s="55"/>
      <c r="Q584" s="55"/>
      <c r="R584" s="55"/>
      <c r="S584" s="55"/>
      <c r="T584" s="55"/>
      <c r="U584" s="55"/>
      <c r="V584" s="55"/>
      <c r="W584" s="55"/>
      <c r="X584" s="55"/>
      <c r="Y584" s="55"/>
      <c r="Z584" s="55"/>
    </row>
    <row r="585" spans="1:26" ht="15">
      <c r="A585" s="50"/>
      <c r="B585" s="51"/>
      <c r="C585" s="52"/>
      <c r="D585" s="52"/>
      <c r="E585" s="53"/>
      <c r="F585" s="53"/>
      <c r="G585" s="65"/>
      <c r="H585" s="53"/>
      <c r="I585" s="55"/>
      <c r="J585" s="52"/>
      <c r="K585" s="56" t="str">
        <f t="shared" si="24"/>
        <v/>
      </c>
      <c r="L585" s="55"/>
      <c r="M585" s="55"/>
      <c r="N585" s="55"/>
      <c r="O585" s="55"/>
      <c r="P585" s="55"/>
      <c r="Q585" s="55"/>
      <c r="R585" s="55"/>
      <c r="S585" s="55"/>
      <c r="T585" s="55"/>
      <c r="U585" s="55"/>
      <c r="V585" s="55"/>
      <c r="W585" s="55"/>
      <c r="X585" s="55"/>
      <c r="Y585" s="55"/>
      <c r="Z585" s="55"/>
    </row>
    <row r="586" spans="1:26" ht="15">
      <c r="A586" s="50"/>
      <c r="B586" s="51"/>
      <c r="C586" s="52"/>
      <c r="D586" s="52"/>
      <c r="E586" s="53"/>
      <c r="F586" s="53"/>
      <c r="G586" s="65"/>
      <c r="H586" s="53"/>
      <c r="I586" s="55"/>
      <c r="J586" s="52"/>
      <c r="K586" s="56" t="str">
        <f t="shared" si="24"/>
        <v/>
      </c>
      <c r="L586" s="55"/>
      <c r="M586" s="55"/>
      <c r="N586" s="55"/>
      <c r="O586" s="55"/>
      <c r="P586" s="55"/>
      <c r="Q586" s="55"/>
      <c r="R586" s="55"/>
      <c r="S586" s="55"/>
      <c r="T586" s="55"/>
      <c r="U586" s="55"/>
      <c r="V586" s="55"/>
      <c r="W586" s="55"/>
      <c r="X586" s="55"/>
      <c r="Y586" s="55"/>
      <c r="Z586" s="55"/>
    </row>
    <row r="587" spans="1:26" ht="15">
      <c r="A587" s="50"/>
      <c r="B587" s="51"/>
      <c r="C587" s="52"/>
      <c r="D587" s="52"/>
      <c r="E587" s="53"/>
      <c r="F587" s="53"/>
      <c r="G587" s="65"/>
      <c r="H587" s="53"/>
      <c r="I587" s="55"/>
      <c r="J587" s="52"/>
      <c r="K587" s="56" t="str">
        <f t="shared" si="24"/>
        <v/>
      </c>
      <c r="L587" s="55"/>
      <c r="M587" s="55"/>
      <c r="N587" s="55"/>
      <c r="O587" s="55"/>
      <c r="P587" s="55"/>
      <c r="Q587" s="55"/>
      <c r="R587" s="55"/>
      <c r="S587" s="55"/>
      <c r="T587" s="55"/>
      <c r="U587" s="55"/>
      <c r="V587" s="55"/>
      <c r="W587" s="55"/>
      <c r="X587" s="55"/>
      <c r="Y587" s="55"/>
      <c r="Z587" s="55"/>
    </row>
    <row r="588" spans="1:26" ht="15">
      <c r="A588" s="50"/>
      <c r="B588" s="51"/>
      <c r="C588" s="52"/>
      <c r="D588" s="52"/>
      <c r="E588" s="53"/>
      <c r="F588" s="53"/>
      <c r="G588" s="65"/>
      <c r="H588" s="53"/>
      <c r="I588" s="55"/>
      <c r="J588" s="52"/>
      <c r="K588" s="56" t="str">
        <f t="shared" si="24"/>
        <v/>
      </c>
      <c r="L588" s="55"/>
      <c r="M588" s="55"/>
      <c r="N588" s="55"/>
      <c r="O588" s="55"/>
      <c r="P588" s="55"/>
      <c r="Q588" s="55"/>
      <c r="R588" s="55"/>
      <c r="S588" s="55"/>
      <c r="T588" s="55"/>
      <c r="U588" s="55"/>
      <c r="V588" s="55"/>
      <c r="W588" s="55"/>
      <c r="X588" s="55"/>
      <c r="Y588" s="55"/>
      <c r="Z588" s="55"/>
    </row>
    <row r="589" spans="1:26" ht="15">
      <c r="A589" s="50"/>
      <c r="B589" s="51"/>
      <c r="C589" s="52"/>
      <c r="D589" s="52"/>
      <c r="E589" s="53"/>
      <c r="F589" s="53"/>
      <c r="G589" s="65"/>
      <c r="H589" s="53"/>
      <c r="I589" s="55"/>
      <c r="J589" s="52"/>
      <c r="K589" s="56" t="str">
        <f t="shared" si="24"/>
        <v/>
      </c>
      <c r="L589" s="55"/>
      <c r="M589" s="55"/>
      <c r="N589" s="55"/>
      <c r="O589" s="55"/>
      <c r="P589" s="55"/>
      <c r="Q589" s="55"/>
      <c r="R589" s="55"/>
      <c r="S589" s="55"/>
      <c r="T589" s="55"/>
      <c r="U589" s="55"/>
      <c r="V589" s="55"/>
      <c r="W589" s="55"/>
      <c r="X589" s="55"/>
      <c r="Y589" s="55"/>
      <c r="Z589" s="55"/>
    </row>
    <row r="590" spans="1:26" ht="15">
      <c r="A590" s="50"/>
      <c r="B590" s="51"/>
      <c r="C590" s="52"/>
      <c r="D590" s="52"/>
      <c r="E590" s="53"/>
      <c r="F590" s="53"/>
      <c r="G590" s="65"/>
      <c r="H590" s="53"/>
      <c r="I590" s="55"/>
      <c r="J590" s="52"/>
      <c r="K590" s="56" t="str">
        <f t="shared" si="24"/>
        <v/>
      </c>
      <c r="L590" s="55"/>
      <c r="M590" s="55"/>
      <c r="N590" s="55"/>
      <c r="O590" s="55"/>
      <c r="P590" s="55"/>
      <c r="Q590" s="55"/>
      <c r="R590" s="55"/>
      <c r="S590" s="55"/>
      <c r="T590" s="55"/>
      <c r="U590" s="55"/>
      <c r="V590" s="55"/>
      <c r="W590" s="55"/>
      <c r="X590" s="55"/>
      <c r="Y590" s="55"/>
      <c r="Z590" s="55"/>
    </row>
    <row r="591" spans="1:26" ht="15">
      <c r="A591" s="50"/>
      <c r="B591" s="51"/>
      <c r="C591" s="52"/>
      <c r="D591" s="52"/>
      <c r="E591" s="53"/>
      <c r="F591" s="53"/>
      <c r="G591" s="65"/>
      <c r="H591" s="53"/>
      <c r="I591" s="55"/>
      <c r="J591" s="52"/>
      <c r="K591" s="56" t="str">
        <f t="shared" si="24"/>
        <v/>
      </c>
      <c r="L591" s="55"/>
      <c r="M591" s="55"/>
      <c r="N591" s="55"/>
      <c r="O591" s="55"/>
      <c r="P591" s="55"/>
      <c r="Q591" s="55"/>
      <c r="R591" s="55"/>
      <c r="S591" s="55"/>
      <c r="T591" s="55"/>
      <c r="U591" s="55"/>
      <c r="V591" s="55"/>
      <c r="W591" s="55"/>
      <c r="X591" s="55"/>
      <c r="Y591" s="55"/>
      <c r="Z591" s="55"/>
    </row>
    <row r="592" spans="1:26" ht="15">
      <c r="A592" s="50"/>
      <c r="B592" s="51"/>
      <c r="C592" s="52"/>
      <c r="D592" s="52"/>
      <c r="E592" s="53"/>
      <c r="F592" s="53"/>
      <c r="G592" s="65"/>
      <c r="H592" s="53"/>
      <c r="I592" s="55"/>
      <c r="J592" s="52"/>
      <c r="K592" s="56" t="str">
        <f t="shared" si="24"/>
        <v/>
      </c>
      <c r="L592" s="55"/>
      <c r="M592" s="55"/>
      <c r="N592" s="55"/>
      <c r="O592" s="55"/>
      <c r="P592" s="55"/>
      <c r="Q592" s="55"/>
      <c r="R592" s="55"/>
      <c r="S592" s="55"/>
      <c r="T592" s="55"/>
      <c r="U592" s="55"/>
      <c r="V592" s="55"/>
      <c r="W592" s="55"/>
      <c r="X592" s="55"/>
      <c r="Y592" s="55"/>
      <c r="Z592" s="55"/>
    </row>
    <row r="593" spans="1:26" ht="15">
      <c r="A593" s="50"/>
      <c r="B593" s="51"/>
      <c r="C593" s="52"/>
      <c r="D593" s="52"/>
      <c r="E593" s="53"/>
      <c r="F593" s="53"/>
      <c r="G593" s="65"/>
      <c r="H593" s="53"/>
      <c r="I593" s="55"/>
      <c r="J593" s="52"/>
      <c r="K593" s="56" t="str">
        <f t="shared" si="24"/>
        <v/>
      </c>
      <c r="L593" s="55"/>
      <c r="M593" s="55"/>
      <c r="N593" s="55"/>
      <c r="O593" s="55"/>
      <c r="P593" s="55"/>
      <c r="Q593" s="55"/>
      <c r="R593" s="55"/>
      <c r="S593" s="55"/>
      <c r="T593" s="55"/>
      <c r="U593" s="55"/>
      <c r="V593" s="55"/>
      <c r="W593" s="55"/>
      <c r="X593" s="55"/>
      <c r="Y593" s="55"/>
      <c r="Z593" s="55"/>
    </row>
    <row r="594" spans="1:26" ht="15">
      <c r="A594" s="50"/>
      <c r="B594" s="51"/>
      <c r="C594" s="52"/>
      <c r="D594" s="52"/>
      <c r="E594" s="53"/>
      <c r="F594" s="53"/>
      <c r="G594" s="65"/>
      <c r="H594" s="53"/>
      <c r="I594" s="55"/>
      <c r="J594" s="52"/>
      <c r="K594" s="56" t="str">
        <f t="shared" si="24"/>
        <v/>
      </c>
      <c r="L594" s="55"/>
      <c r="M594" s="55"/>
      <c r="N594" s="55"/>
      <c r="O594" s="55"/>
      <c r="P594" s="55"/>
      <c r="Q594" s="55"/>
      <c r="R594" s="55"/>
      <c r="S594" s="55"/>
      <c r="T594" s="55"/>
      <c r="U594" s="55"/>
      <c r="V594" s="55"/>
      <c r="W594" s="55"/>
      <c r="X594" s="55"/>
      <c r="Y594" s="55"/>
      <c r="Z594" s="55"/>
    </row>
    <row r="595" spans="1:26" ht="15">
      <c r="A595" s="50"/>
      <c r="B595" s="51"/>
      <c r="C595" s="52"/>
      <c r="D595" s="52"/>
      <c r="E595" s="53"/>
      <c r="F595" s="53"/>
      <c r="G595" s="65"/>
      <c r="H595" s="53"/>
      <c r="I595" s="55"/>
      <c r="J595" s="52"/>
      <c r="K595" s="56" t="str">
        <f t="shared" si="24"/>
        <v/>
      </c>
      <c r="L595" s="55"/>
      <c r="M595" s="55"/>
      <c r="N595" s="55"/>
      <c r="O595" s="55"/>
      <c r="P595" s="55"/>
      <c r="Q595" s="55"/>
      <c r="R595" s="55"/>
      <c r="S595" s="55"/>
      <c r="T595" s="55"/>
      <c r="U595" s="55"/>
      <c r="V595" s="55"/>
      <c r="W595" s="55"/>
      <c r="X595" s="55"/>
      <c r="Y595" s="55"/>
      <c r="Z595" s="55"/>
    </row>
    <row r="596" spans="1:26" ht="15">
      <c r="A596" s="50"/>
      <c r="B596" s="51"/>
      <c r="C596" s="52"/>
      <c r="D596" s="52"/>
      <c r="E596" s="53"/>
      <c r="F596" s="53"/>
      <c r="G596" s="65"/>
      <c r="H596" s="53"/>
      <c r="I596" s="55"/>
      <c r="J596" s="52"/>
      <c r="K596" s="56" t="str">
        <f t="shared" si="24"/>
        <v/>
      </c>
      <c r="L596" s="55"/>
      <c r="M596" s="55"/>
      <c r="N596" s="55"/>
      <c r="O596" s="55"/>
      <c r="P596" s="55"/>
      <c r="Q596" s="55"/>
      <c r="R596" s="55"/>
      <c r="S596" s="55"/>
      <c r="T596" s="55"/>
      <c r="U596" s="55"/>
      <c r="V596" s="55"/>
      <c r="W596" s="55"/>
      <c r="X596" s="55"/>
      <c r="Y596" s="55"/>
      <c r="Z596" s="55"/>
    </row>
    <row r="597" spans="1:26" ht="12.75" hidden="1">
      <c r="A597" s="57"/>
      <c r="B597" s="58"/>
      <c r="C597" s="59"/>
      <c r="D597" s="59"/>
      <c r="E597" s="8"/>
      <c r="F597" s="60"/>
      <c r="G597" s="71"/>
      <c r="H597" s="60"/>
      <c r="I597" s="8"/>
      <c r="J597" s="66">
        <v>0</v>
      </c>
      <c r="K597" s="67">
        <f t="shared" ref="K597:K599" si="25">J597*E597</f>
        <v>0</v>
      </c>
    </row>
    <row r="598" spans="1:26" ht="12.75" hidden="1">
      <c r="A598" s="57"/>
      <c r="B598" s="58"/>
      <c r="C598" s="59"/>
      <c r="D598" s="59"/>
      <c r="E598" s="8"/>
      <c r="F598" s="60"/>
      <c r="G598" s="71"/>
      <c r="H598" s="60"/>
      <c r="I598" s="8"/>
      <c r="J598" s="66">
        <v>0</v>
      </c>
      <c r="K598" s="67">
        <f t="shared" si="25"/>
        <v>0</v>
      </c>
    </row>
    <row r="599" spans="1:26" ht="12.75" hidden="1">
      <c r="A599" s="72"/>
      <c r="B599" s="73"/>
      <c r="C599" s="74"/>
      <c r="D599" s="74"/>
      <c r="E599" s="1"/>
      <c r="F599" s="62"/>
      <c r="G599" s="64"/>
      <c r="H599" s="62"/>
      <c r="J599" s="74">
        <v>0</v>
      </c>
      <c r="K599" s="64">
        <f t="shared" si="25"/>
        <v>0</v>
      </c>
    </row>
    <row r="600" spans="1:26" ht="15">
      <c r="A600" s="50"/>
      <c r="B600" s="51"/>
      <c r="C600" s="52"/>
      <c r="D600" s="52"/>
      <c r="E600" s="53"/>
      <c r="F600" s="53"/>
      <c r="G600" s="65"/>
      <c r="H600" s="53"/>
      <c r="I600" s="55"/>
      <c r="J600" s="52">
        <v>300</v>
      </c>
      <c r="K600" s="56" t="str">
        <f>IF(E600="","",(J600*E600))</f>
        <v/>
      </c>
      <c r="L600" s="55"/>
      <c r="M600" s="55"/>
      <c r="N600" s="55"/>
      <c r="O600" s="55"/>
      <c r="P600" s="55"/>
      <c r="Q600" s="55"/>
      <c r="R600" s="55"/>
      <c r="S600" s="55"/>
      <c r="T600" s="55"/>
      <c r="U600" s="55"/>
      <c r="V600" s="55"/>
      <c r="W600" s="55"/>
      <c r="X600" s="55"/>
      <c r="Y600" s="55"/>
      <c r="Z600" s="55"/>
    </row>
    <row r="601" spans="1:26" ht="12.75" hidden="1">
      <c r="A601" s="72"/>
      <c r="B601" s="73"/>
      <c r="C601" s="74"/>
      <c r="D601" s="74"/>
      <c r="E601" s="1"/>
      <c r="F601" s="62"/>
      <c r="G601" s="64"/>
      <c r="H601" s="62"/>
      <c r="J601" s="74">
        <v>0</v>
      </c>
      <c r="K601" s="64">
        <f>J601*E601</f>
        <v>0</v>
      </c>
    </row>
    <row r="602" spans="1:26" ht="15" hidden="1">
      <c r="A602" s="50"/>
      <c r="B602" s="51"/>
      <c r="C602" s="52"/>
      <c r="D602" s="52"/>
      <c r="E602" s="55"/>
      <c r="F602" s="53"/>
      <c r="G602" s="65"/>
      <c r="H602" s="53"/>
      <c r="I602" s="55"/>
      <c r="J602" s="52" t="s">
        <v>11</v>
      </c>
      <c r="K602" s="65" t="str">
        <f t="shared" ref="K602:K603" si="26">IF(E602="","",(J602*E602))</f>
        <v/>
      </c>
      <c r="L602" s="55"/>
      <c r="M602" s="55"/>
      <c r="N602" s="55"/>
      <c r="O602" s="55"/>
      <c r="P602" s="55"/>
      <c r="Q602" s="55"/>
      <c r="R602" s="55"/>
      <c r="S602" s="55"/>
      <c r="T602" s="55"/>
      <c r="U602" s="55"/>
      <c r="V602" s="55"/>
      <c r="W602" s="55"/>
      <c r="X602" s="55"/>
      <c r="Y602" s="55"/>
      <c r="Z602" s="55"/>
    </row>
    <row r="603" spans="1:26" ht="15" hidden="1">
      <c r="A603" s="50"/>
      <c r="B603" s="51"/>
      <c r="C603" s="52"/>
      <c r="D603" s="52"/>
      <c r="E603" s="55"/>
      <c r="F603" s="53"/>
      <c r="G603" s="65"/>
      <c r="H603" s="53"/>
      <c r="I603" s="55"/>
      <c r="J603" s="52" t="s">
        <v>11</v>
      </c>
      <c r="K603" s="65" t="str">
        <f t="shared" si="26"/>
        <v/>
      </c>
      <c r="L603" s="55"/>
      <c r="M603" s="55"/>
      <c r="N603" s="55"/>
      <c r="O603" s="55"/>
      <c r="P603" s="55"/>
      <c r="Q603" s="55"/>
      <c r="R603" s="55"/>
      <c r="S603" s="55"/>
      <c r="T603" s="55"/>
      <c r="U603" s="55"/>
      <c r="V603" s="55"/>
      <c r="W603" s="55"/>
      <c r="X603" s="55"/>
      <c r="Y603" s="55"/>
      <c r="Z603" s="55"/>
    </row>
    <row r="604" spans="1:26" ht="12.75" hidden="1">
      <c r="A604" s="57"/>
      <c r="B604" s="58"/>
      <c r="C604" s="59"/>
      <c r="D604" s="59"/>
      <c r="E604" s="8"/>
      <c r="F604" s="60"/>
      <c r="G604" s="71"/>
      <c r="H604" s="60"/>
      <c r="I604" s="8"/>
      <c r="J604" s="66">
        <v>0</v>
      </c>
      <c r="K604" s="67">
        <f>J604*E604</f>
        <v>0</v>
      </c>
    </row>
    <row r="605" spans="1:26" ht="15" hidden="1">
      <c r="A605" s="50"/>
      <c r="B605" s="51"/>
      <c r="C605" s="52"/>
      <c r="D605" s="52"/>
      <c r="E605" s="55"/>
      <c r="F605" s="53"/>
      <c r="G605" s="65"/>
      <c r="H605" s="53"/>
      <c r="I605" s="55"/>
      <c r="J605" s="52" t="s">
        <v>11</v>
      </c>
      <c r="K605" s="65" t="str">
        <f t="shared" ref="K605:K607" si="27">IF(E605="","",(J605*E605))</f>
        <v/>
      </c>
      <c r="L605" s="55"/>
      <c r="M605" s="55"/>
      <c r="N605" s="55"/>
      <c r="O605" s="55"/>
      <c r="P605" s="55"/>
      <c r="Q605" s="55"/>
      <c r="R605" s="55"/>
      <c r="S605" s="55"/>
      <c r="T605" s="55"/>
      <c r="U605" s="55"/>
      <c r="V605" s="55"/>
      <c r="W605" s="55"/>
      <c r="X605" s="55"/>
      <c r="Y605" s="55"/>
      <c r="Z605" s="55"/>
    </row>
    <row r="606" spans="1:26" ht="15" hidden="1">
      <c r="A606" s="50"/>
      <c r="B606" s="51"/>
      <c r="C606" s="52"/>
      <c r="D606" s="52"/>
      <c r="E606" s="55"/>
      <c r="F606" s="53"/>
      <c r="G606" s="65"/>
      <c r="H606" s="53"/>
      <c r="I606" s="55"/>
      <c r="J606" s="52" t="s">
        <v>11</v>
      </c>
      <c r="K606" s="65" t="str">
        <f t="shared" si="27"/>
        <v/>
      </c>
      <c r="L606" s="55"/>
      <c r="M606" s="55"/>
      <c r="N606" s="55"/>
      <c r="O606" s="55"/>
      <c r="P606" s="55"/>
      <c r="Q606" s="55"/>
      <c r="R606" s="55"/>
      <c r="S606" s="55"/>
      <c r="T606" s="55"/>
      <c r="U606" s="55"/>
      <c r="V606" s="55"/>
      <c r="W606" s="55"/>
      <c r="X606" s="55"/>
      <c r="Y606" s="55"/>
      <c r="Z606" s="55"/>
    </row>
    <row r="607" spans="1:26" ht="15" hidden="1">
      <c r="A607" s="50"/>
      <c r="B607" s="51"/>
      <c r="C607" s="52"/>
      <c r="D607" s="52"/>
      <c r="E607" s="55"/>
      <c r="F607" s="53"/>
      <c r="G607" s="65"/>
      <c r="H607" s="53"/>
      <c r="I607" s="55"/>
      <c r="J607" s="52" t="s">
        <v>11</v>
      </c>
      <c r="K607" s="65" t="str">
        <f t="shared" si="27"/>
        <v/>
      </c>
      <c r="L607" s="55"/>
      <c r="M607" s="55"/>
      <c r="N607" s="55"/>
      <c r="O607" s="55"/>
      <c r="P607" s="55"/>
      <c r="Q607" s="55"/>
      <c r="R607" s="55"/>
      <c r="S607" s="55"/>
      <c r="T607" s="55"/>
      <c r="U607" s="55"/>
      <c r="V607" s="55"/>
      <c r="W607" s="55"/>
      <c r="X607" s="55"/>
      <c r="Y607" s="55"/>
      <c r="Z607" s="55"/>
    </row>
    <row r="608" spans="1:26" ht="12.75" hidden="1">
      <c r="A608" s="57"/>
      <c r="B608" s="58"/>
      <c r="C608" s="59"/>
      <c r="D608" s="59"/>
      <c r="E608" s="8"/>
      <c r="F608" s="60"/>
      <c r="G608" s="71"/>
      <c r="H608" s="60"/>
      <c r="I608" s="8"/>
      <c r="J608" s="66">
        <v>0</v>
      </c>
      <c r="K608" s="67">
        <f t="shared" ref="K608:K609" si="28">J608*E608</f>
        <v>0</v>
      </c>
    </row>
    <row r="609" spans="1:26" ht="12.75" hidden="1">
      <c r="A609" s="57"/>
      <c r="B609" s="58"/>
      <c r="C609" s="59"/>
      <c r="D609" s="59"/>
      <c r="E609" s="8"/>
      <c r="F609" s="60"/>
      <c r="G609" s="71"/>
      <c r="H609" s="60"/>
      <c r="I609" s="8"/>
      <c r="J609" s="66">
        <v>0</v>
      </c>
      <c r="K609" s="67">
        <f t="shared" si="28"/>
        <v>0</v>
      </c>
    </row>
    <row r="610" spans="1:26" ht="15">
      <c r="A610" s="50"/>
      <c r="B610" s="51"/>
      <c r="C610" s="52"/>
      <c r="D610" s="52"/>
      <c r="E610" s="53"/>
      <c r="F610" s="53"/>
      <c r="G610" s="65"/>
      <c r="H610" s="53"/>
      <c r="I610" s="55"/>
      <c r="J610" s="52">
        <v>100</v>
      </c>
      <c r="K610" s="56" t="str">
        <f t="shared" ref="K610:K613" si="29">IF(E610="","",(J610*E610))</f>
        <v/>
      </c>
      <c r="L610" s="55"/>
      <c r="M610" s="55"/>
      <c r="N610" s="55"/>
      <c r="O610" s="55"/>
      <c r="P610" s="55"/>
      <c r="Q610" s="55"/>
      <c r="R610" s="55"/>
      <c r="S610" s="55"/>
      <c r="T610" s="55"/>
      <c r="U610" s="55"/>
      <c r="V610" s="55"/>
      <c r="W610" s="55"/>
      <c r="X610" s="55"/>
      <c r="Y610" s="55"/>
      <c r="Z610" s="55"/>
    </row>
    <row r="611" spans="1:26" ht="15">
      <c r="A611" s="50"/>
      <c r="B611" s="51"/>
      <c r="C611" s="52"/>
      <c r="D611" s="52"/>
      <c r="E611" s="53"/>
      <c r="F611" s="53"/>
      <c r="G611" s="65"/>
      <c r="H611" s="53"/>
      <c r="I611" s="55"/>
      <c r="J611" s="52">
        <v>2</v>
      </c>
      <c r="K611" s="56" t="str">
        <f t="shared" si="29"/>
        <v/>
      </c>
      <c r="L611" s="55"/>
      <c r="M611" s="55"/>
      <c r="N611" s="55"/>
      <c r="O611" s="55"/>
      <c r="P611" s="55"/>
      <c r="Q611" s="55"/>
      <c r="R611" s="55"/>
      <c r="S611" s="55"/>
      <c r="T611" s="55"/>
      <c r="U611" s="55"/>
      <c r="V611" s="55"/>
      <c r="W611" s="55"/>
      <c r="X611" s="55"/>
      <c r="Y611" s="55"/>
      <c r="Z611" s="55"/>
    </row>
    <row r="612" spans="1:26" ht="15">
      <c r="A612" s="50"/>
      <c r="B612" s="51"/>
      <c r="C612" s="52"/>
      <c r="D612" s="52"/>
      <c r="E612" s="53"/>
      <c r="F612" s="53"/>
      <c r="G612" s="65"/>
      <c r="H612" s="53"/>
      <c r="I612" s="55"/>
      <c r="J612" s="52">
        <v>2</v>
      </c>
      <c r="K612" s="56" t="str">
        <f t="shared" si="29"/>
        <v/>
      </c>
      <c r="L612" s="55"/>
      <c r="M612" s="55"/>
      <c r="N612" s="55"/>
      <c r="O612" s="55"/>
      <c r="P612" s="55"/>
      <c r="Q612" s="55"/>
      <c r="R612" s="55"/>
      <c r="S612" s="55"/>
      <c r="T612" s="55"/>
      <c r="U612" s="55"/>
      <c r="V612" s="55"/>
      <c r="W612" s="55"/>
      <c r="X612" s="55"/>
      <c r="Y612" s="55"/>
      <c r="Z612" s="55"/>
    </row>
    <row r="613" spans="1:26" ht="15">
      <c r="A613" s="50"/>
      <c r="B613" s="51"/>
      <c r="C613" s="52"/>
      <c r="D613" s="52"/>
      <c r="E613" s="53"/>
      <c r="F613" s="53"/>
      <c r="G613" s="65"/>
      <c r="H613" s="53"/>
      <c r="I613" s="55"/>
      <c r="J613" s="52">
        <v>2</v>
      </c>
      <c r="K613" s="56" t="str">
        <f t="shared" si="29"/>
        <v/>
      </c>
      <c r="L613" s="55"/>
      <c r="M613" s="55"/>
      <c r="N613" s="55"/>
      <c r="O613" s="55"/>
      <c r="P613" s="55"/>
      <c r="Q613" s="55"/>
      <c r="R613" s="55"/>
      <c r="S613" s="55"/>
      <c r="T613" s="55"/>
      <c r="U613" s="55"/>
      <c r="V613" s="55"/>
      <c r="W613" s="55"/>
      <c r="X613" s="55"/>
      <c r="Y613" s="55"/>
      <c r="Z613" s="55"/>
    </row>
    <row r="614" spans="1:26" ht="12.75" hidden="1">
      <c r="A614" s="57"/>
      <c r="B614" s="58"/>
      <c r="C614" s="59"/>
      <c r="D614" s="59"/>
      <c r="E614" s="8"/>
      <c r="F614" s="60"/>
      <c r="G614" s="71"/>
      <c r="H614" s="60"/>
      <c r="I614" s="8"/>
      <c r="J614" s="66">
        <v>0</v>
      </c>
      <c r="K614" s="67">
        <f t="shared" ref="K614:K615" si="30">J614*E614</f>
        <v>0</v>
      </c>
    </row>
    <row r="615" spans="1:26" ht="12.75" hidden="1">
      <c r="A615" s="57"/>
      <c r="B615" s="58"/>
      <c r="C615" s="59"/>
      <c r="D615" s="59"/>
      <c r="E615" s="8"/>
      <c r="F615" s="60"/>
      <c r="G615" s="71"/>
      <c r="H615" s="60"/>
      <c r="I615" s="8"/>
      <c r="J615" s="66">
        <v>0</v>
      </c>
      <c r="K615" s="67">
        <f t="shared" si="30"/>
        <v>0</v>
      </c>
    </row>
    <row r="616" spans="1:26" ht="15">
      <c r="A616" s="50"/>
      <c r="B616" s="51"/>
      <c r="C616" s="52"/>
      <c r="D616" s="52"/>
      <c r="E616" s="53"/>
      <c r="F616" s="53"/>
      <c r="G616" s="65"/>
      <c r="H616" s="53"/>
      <c r="I616" s="55"/>
      <c r="J616" s="52">
        <v>15</v>
      </c>
      <c r="K616" s="56" t="str">
        <f t="shared" ref="K616:K635" si="31">IF(E616="","",(J616*E616))</f>
        <v/>
      </c>
      <c r="L616" s="55"/>
      <c r="M616" s="55"/>
      <c r="N616" s="55"/>
      <c r="O616" s="55"/>
      <c r="P616" s="55"/>
      <c r="Q616" s="55"/>
      <c r="R616" s="55"/>
      <c r="S616" s="55"/>
      <c r="T616" s="55"/>
      <c r="U616" s="55"/>
      <c r="V616" s="55"/>
      <c r="W616" s="55"/>
      <c r="X616" s="55"/>
      <c r="Y616" s="55"/>
      <c r="Z616" s="55"/>
    </row>
    <row r="617" spans="1:26" ht="15">
      <c r="A617" s="50"/>
      <c r="B617" s="51"/>
      <c r="C617" s="52"/>
      <c r="D617" s="52"/>
      <c r="E617" s="53"/>
      <c r="F617" s="53"/>
      <c r="G617" s="65"/>
      <c r="H617" s="53"/>
      <c r="I617" s="55"/>
      <c r="J617" s="52"/>
      <c r="K617" s="56" t="str">
        <f t="shared" si="31"/>
        <v/>
      </c>
      <c r="L617" s="55"/>
      <c r="M617" s="55"/>
      <c r="N617" s="55"/>
      <c r="O617" s="55"/>
      <c r="P617" s="55"/>
      <c r="Q617" s="55"/>
      <c r="R617" s="55"/>
      <c r="S617" s="55"/>
      <c r="T617" s="55"/>
      <c r="U617" s="55"/>
      <c r="V617" s="55"/>
      <c r="W617" s="55"/>
      <c r="X617" s="55"/>
      <c r="Y617" s="55"/>
      <c r="Z617" s="55"/>
    </row>
    <row r="618" spans="1:26" ht="15">
      <c r="A618" s="50"/>
      <c r="B618" s="51"/>
      <c r="C618" s="52"/>
      <c r="D618" s="52"/>
      <c r="E618" s="53"/>
      <c r="F618" s="53"/>
      <c r="G618" s="65"/>
      <c r="H618" s="53"/>
      <c r="I618" s="55"/>
      <c r="J618" s="52"/>
      <c r="K618" s="56" t="str">
        <f t="shared" si="31"/>
        <v/>
      </c>
      <c r="L618" s="55"/>
      <c r="M618" s="55"/>
      <c r="N618" s="55"/>
      <c r="O618" s="55"/>
      <c r="P618" s="55"/>
      <c r="Q618" s="55"/>
      <c r="R618" s="55"/>
      <c r="S618" s="55"/>
      <c r="T618" s="55"/>
      <c r="U618" s="55"/>
      <c r="V618" s="55"/>
      <c r="W618" s="55"/>
      <c r="X618" s="55"/>
      <c r="Y618" s="55"/>
      <c r="Z618" s="55"/>
    </row>
    <row r="619" spans="1:26" ht="15">
      <c r="A619" s="50"/>
      <c r="B619" s="51"/>
      <c r="C619" s="52"/>
      <c r="D619" s="52"/>
      <c r="E619" s="53"/>
      <c r="F619" s="53"/>
      <c r="G619" s="65"/>
      <c r="H619" s="53"/>
      <c r="I619" s="55"/>
      <c r="J619" s="52"/>
      <c r="K619" s="56" t="str">
        <f t="shared" si="31"/>
        <v/>
      </c>
      <c r="L619" s="55"/>
      <c r="M619" s="55"/>
      <c r="N619" s="55"/>
      <c r="O619" s="55"/>
      <c r="P619" s="55"/>
      <c r="Q619" s="55"/>
      <c r="R619" s="55"/>
      <c r="S619" s="55"/>
      <c r="T619" s="55"/>
      <c r="U619" s="55"/>
      <c r="V619" s="55"/>
      <c r="W619" s="55"/>
      <c r="X619" s="55"/>
      <c r="Y619" s="55"/>
      <c r="Z619" s="55"/>
    </row>
    <row r="620" spans="1:26" ht="15">
      <c r="A620" s="50"/>
      <c r="B620" s="51"/>
      <c r="C620" s="52"/>
      <c r="D620" s="52"/>
      <c r="E620" s="53"/>
      <c r="F620" s="53"/>
      <c r="G620" s="65"/>
      <c r="H620" s="53"/>
      <c r="I620" s="55"/>
      <c r="J620" s="52"/>
      <c r="K620" s="56" t="str">
        <f t="shared" si="31"/>
        <v/>
      </c>
      <c r="L620" s="55"/>
      <c r="M620" s="55"/>
      <c r="N620" s="55"/>
      <c r="O620" s="55"/>
      <c r="P620" s="55"/>
      <c r="Q620" s="55"/>
      <c r="R620" s="55"/>
      <c r="S620" s="55"/>
      <c r="T620" s="55"/>
      <c r="U620" s="55"/>
      <c r="V620" s="55"/>
      <c r="W620" s="55"/>
      <c r="X620" s="55"/>
      <c r="Y620" s="55"/>
      <c r="Z620" s="55"/>
    </row>
    <row r="621" spans="1:26" ht="15">
      <c r="A621" s="50"/>
      <c r="B621" s="51"/>
      <c r="C621" s="52"/>
      <c r="D621" s="52"/>
      <c r="E621" s="53"/>
      <c r="F621" s="53"/>
      <c r="G621" s="65"/>
      <c r="H621" s="53"/>
      <c r="I621" s="55"/>
      <c r="J621" s="52"/>
      <c r="K621" s="56" t="str">
        <f t="shared" si="31"/>
        <v/>
      </c>
      <c r="L621" s="55"/>
      <c r="M621" s="55"/>
      <c r="N621" s="55"/>
      <c r="O621" s="55"/>
      <c r="P621" s="55"/>
      <c r="Q621" s="55"/>
      <c r="R621" s="55"/>
      <c r="S621" s="55"/>
      <c r="T621" s="55"/>
      <c r="U621" s="55"/>
      <c r="V621" s="55"/>
      <c r="W621" s="55"/>
      <c r="X621" s="55"/>
      <c r="Y621" s="55"/>
      <c r="Z621" s="55"/>
    </row>
    <row r="622" spans="1:26" ht="15">
      <c r="A622" s="50"/>
      <c r="B622" s="51"/>
      <c r="C622" s="52"/>
      <c r="D622" s="52"/>
      <c r="E622" s="53"/>
      <c r="F622" s="53"/>
      <c r="G622" s="65"/>
      <c r="H622" s="53"/>
      <c r="I622" s="55"/>
      <c r="J622" s="52"/>
      <c r="K622" s="56" t="str">
        <f t="shared" si="31"/>
        <v/>
      </c>
      <c r="L622" s="55"/>
      <c r="M622" s="55"/>
      <c r="N622" s="55"/>
      <c r="O622" s="55"/>
      <c r="P622" s="55"/>
      <c r="Q622" s="55"/>
      <c r="R622" s="55"/>
      <c r="S622" s="55"/>
      <c r="T622" s="55"/>
      <c r="U622" s="55"/>
      <c r="V622" s="55"/>
      <c r="W622" s="55"/>
      <c r="X622" s="55"/>
      <c r="Y622" s="55"/>
      <c r="Z622" s="55"/>
    </row>
    <row r="623" spans="1:26" ht="15">
      <c r="A623" s="50"/>
      <c r="B623" s="51"/>
      <c r="C623" s="52"/>
      <c r="D623" s="52"/>
      <c r="E623" s="53"/>
      <c r="F623" s="53"/>
      <c r="G623" s="65"/>
      <c r="H623" s="53"/>
      <c r="I623" s="55"/>
      <c r="J623" s="52"/>
      <c r="K623" s="56" t="str">
        <f t="shared" si="31"/>
        <v/>
      </c>
      <c r="L623" s="55"/>
      <c r="M623" s="55"/>
      <c r="N623" s="55"/>
      <c r="O623" s="55"/>
      <c r="P623" s="55"/>
      <c r="Q623" s="55"/>
      <c r="R623" s="55"/>
      <c r="S623" s="55"/>
      <c r="T623" s="55"/>
      <c r="U623" s="55"/>
      <c r="V623" s="55"/>
      <c r="W623" s="55"/>
      <c r="X623" s="55"/>
      <c r="Y623" s="55"/>
      <c r="Z623" s="55"/>
    </row>
    <row r="624" spans="1:26" ht="15">
      <c r="A624" s="50"/>
      <c r="B624" s="51"/>
      <c r="C624" s="52"/>
      <c r="D624" s="52"/>
      <c r="E624" s="53"/>
      <c r="F624" s="53"/>
      <c r="G624" s="65"/>
      <c r="H624" s="53"/>
      <c r="I624" s="55"/>
      <c r="J624" s="52"/>
      <c r="K624" s="56" t="str">
        <f t="shared" si="31"/>
        <v/>
      </c>
      <c r="L624" s="55"/>
      <c r="M624" s="55"/>
      <c r="N624" s="55"/>
      <c r="O624" s="55"/>
      <c r="P624" s="55"/>
      <c r="Q624" s="55"/>
      <c r="R624" s="55"/>
      <c r="S624" s="55"/>
      <c r="T624" s="55"/>
      <c r="U624" s="55"/>
      <c r="V624" s="55"/>
      <c r="W624" s="55"/>
      <c r="X624" s="55"/>
      <c r="Y624" s="55"/>
      <c r="Z624" s="55"/>
    </row>
    <row r="625" spans="1:26" ht="15">
      <c r="A625" s="50"/>
      <c r="B625" s="51"/>
      <c r="C625" s="52"/>
      <c r="D625" s="52"/>
      <c r="E625" s="53"/>
      <c r="F625" s="53"/>
      <c r="G625" s="65"/>
      <c r="H625" s="53"/>
      <c r="I625" s="55"/>
      <c r="J625" s="52"/>
      <c r="K625" s="56" t="str">
        <f t="shared" si="31"/>
        <v/>
      </c>
      <c r="L625" s="55"/>
      <c r="M625" s="55"/>
      <c r="N625" s="55"/>
      <c r="O625" s="55"/>
      <c r="P625" s="55"/>
      <c r="Q625" s="55"/>
      <c r="R625" s="55"/>
      <c r="S625" s="55"/>
      <c r="T625" s="55"/>
      <c r="U625" s="55"/>
      <c r="V625" s="55"/>
      <c r="W625" s="55"/>
      <c r="X625" s="55"/>
      <c r="Y625" s="55"/>
      <c r="Z625" s="55"/>
    </row>
    <row r="626" spans="1:26" ht="15">
      <c r="A626" s="50"/>
      <c r="B626" s="51"/>
      <c r="C626" s="52"/>
      <c r="D626" s="52"/>
      <c r="E626" s="53"/>
      <c r="F626" s="53"/>
      <c r="G626" s="65"/>
      <c r="H626" s="53"/>
      <c r="I626" s="55"/>
      <c r="J626" s="52"/>
      <c r="K626" s="56" t="str">
        <f t="shared" si="31"/>
        <v/>
      </c>
      <c r="L626" s="55"/>
      <c r="M626" s="55"/>
      <c r="N626" s="55"/>
      <c r="O626" s="55"/>
      <c r="P626" s="55"/>
      <c r="Q626" s="55"/>
      <c r="R626" s="55"/>
      <c r="S626" s="55"/>
      <c r="T626" s="55"/>
      <c r="U626" s="55"/>
      <c r="V626" s="55"/>
      <c r="W626" s="55"/>
      <c r="X626" s="55"/>
      <c r="Y626" s="55"/>
      <c r="Z626" s="55"/>
    </row>
    <row r="627" spans="1:26" ht="15">
      <c r="A627" s="50"/>
      <c r="B627" s="51"/>
      <c r="C627" s="52"/>
      <c r="D627" s="52"/>
      <c r="E627" s="53"/>
      <c r="F627" s="53"/>
      <c r="G627" s="65"/>
      <c r="H627" s="53"/>
      <c r="I627" s="55"/>
      <c r="J627" s="52"/>
      <c r="K627" s="56" t="str">
        <f t="shared" si="31"/>
        <v/>
      </c>
      <c r="L627" s="55"/>
      <c r="M627" s="55"/>
      <c r="N627" s="55"/>
      <c r="O627" s="55"/>
      <c r="P627" s="55"/>
      <c r="Q627" s="55"/>
      <c r="R627" s="55"/>
      <c r="S627" s="55"/>
      <c r="T627" s="55"/>
      <c r="U627" s="55"/>
      <c r="V627" s="55"/>
      <c r="W627" s="55"/>
      <c r="X627" s="55"/>
      <c r="Y627" s="55"/>
      <c r="Z627" s="55"/>
    </row>
    <row r="628" spans="1:26" ht="15">
      <c r="A628" s="50"/>
      <c r="B628" s="51"/>
      <c r="C628" s="52"/>
      <c r="D628" s="52"/>
      <c r="E628" s="53"/>
      <c r="F628" s="53"/>
      <c r="G628" s="65"/>
      <c r="H628" s="53"/>
      <c r="I628" s="55"/>
      <c r="J628" s="52"/>
      <c r="K628" s="56" t="str">
        <f t="shared" si="31"/>
        <v/>
      </c>
      <c r="L628" s="55"/>
      <c r="M628" s="55"/>
      <c r="N628" s="55"/>
      <c r="O628" s="55"/>
      <c r="P628" s="55"/>
      <c r="Q628" s="55"/>
      <c r="R628" s="55"/>
      <c r="S628" s="55"/>
      <c r="T628" s="55"/>
      <c r="U628" s="55"/>
      <c r="V628" s="55"/>
      <c r="W628" s="55"/>
      <c r="X628" s="55"/>
      <c r="Y628" s="55"/>
      <c r="Z628" s="55"/>
    </row>
    <row r="629" spans="1:26" ht="15">
      <c r="A629" s="50"/>
      <c r="B629" s="51"/>
      <c r="C629" s="52"/>
      <c r="D629" s="52"/>
      <c r="E629" s="53"/>
      <c r="F629" s="53"/>
      <c r="G629" s="65"/>
      <c r="H629" s="53"/>
      <c r="I629" s="55"/>
      <c r="J629" s="52"/>
      <c r="K629" s="56" t="str">
        <f t="shared" si="31"/>
        <v/>
      </c>
      <c r="L629" s="55"/>
      <c r="M629" s="55"/>
      <c r="N629" s="55"/>
      <c r="O629" s="55"/>
      <c r="P629" s="55"/>
      <c r="Q629" s="55"/>
      <c r="R629" s="55"/>
      <c r="S629" s="55"/>
      <c r="T629" s="55"/>
      <c r="U629" s="55"/>
      <c r="V629" s="55"/>
      <c r="W629" s="55"/>
      <c r="X629" s="55"/>
      <c r="Y629" s="55"/>
      <c r="Z629" s="55"/>
    </row>
    <row r="630" spans="1:26" ht="15">
      <c r="A630" s="50"/>
      <c r="B630" s="51"/>
      <c r="C630" s="52"/>
      <c r="D630" s="52"/>
      <c r="E630" s="53"/>
      <c r="F630" s="53"/>
      <c r="G630" s="65"/>
      <c r="H630" s="53"/>
      <c r="I630" s="55"/>
      <c r="J630" s="52"/>
      <c r="K630" s="56" t="str">
        <f t="shared" si="31"/>
        <v/>
      </c>
      <c r="L630" s="55"/>
      <c r="M630" s="55"/>
      <c r="N630" s="55"/>
      <c r="O630" s="55"/>
      <c r="P630" s="55"/>
      <c r="Q630" s="55"/>
      <c r="R630" s="55"/>
      <c r="S630" s="55"/>
      <c r="T630" s="55"/>
      <c r="U630" s="55"/>
      <c r="V630" s="55"/>
      <c r="W630" s="55"/>
      <c r="X630" s="55"/>
      <c r="Y630" s="55"/>
      <c r="Z630" s="55"/>
    </row>
    <row r="631" spans="1:26" ht="15">
      <c r="A631" s="50"/>
      <c r="B631" s="51"/>
      <c r="C631" s="52"/>
      <c r="D631" s="52"/>
      <c r="E631" s="53"/>
      <c r="F631" s="53"/>
      <c r="G631" s="65"/>
      <c r="H631" s="53"/>
      <c r="I631" s="55"/>
      <c r="J631" s="52"/>
      <c r="K631" s="56" t="str">
        <f t="shared" si="31"/>
        <v/>
      </c>
      <c r="L631" s="55"/>
      <c r="M631" s="55"/>
      <c r="N631" s="55"/>
      <c r="O631" s="55"/>
      <c r="P631" s="55"/>
      <c r="Q631" s="55"/>
      <c r="R631" s="55"/>
      <c r="S631" s="55"/>
      <c r="T631" s="55"/>
      <c r="U631" s="55"/>
      <c r="V631" s="55"/>
      <c r="W631" s="55"/>
      <c r="X631" s="55"/>
      <c r="Y631" s="55"/>
      <c r="Z631" s="55"/>
    </row>
    <row r="632" spans="1:26" ht="15">
      <c r="A632" s="50"/>
      <c r="B632" s="51"/>
      <c r="C632" s="52"/>
      <c r="D632" s="52"/>
      <c r="E632" s="53"/>
      <c r="F632" s="53"/>
      <c r="G632" s="65"/>
      <c r="H632" s="53"/>
      <c r="I632" s="55"/>
      <c r="J632" s="52"/>
      <c r="K632" s="56" t="str">
        <f t="shared" si="31"/>
        <v/>
      </c>
      <c r="L632" s="55"/>
      <c r="M632" s="55"/>
      <c r="N632" s="55"/>
      <c r="O632" s="55"/>
      <c r="P632" s="55"/>
      <c r="Q632" s="55"/>
      <c r="R632" s="55"/>
      <c r="S632" s="55"/>
      <c r="T632" s="55"/>
      <c r="U632" s="55"/>
      <c r="V632" s="55"/>
      <c r="W632" s="55"/>
      <c r="X632" s="55"/>
      <c r="Y632" s="55"/>
      <c r="Z632" s="55"/>
    </row>
    <row r="633" spans="1:26" ht="15">
      <c r="A633" s="50"/>
      <c r="B633" s="51"/>
      <c r="C633" s="52"/>
      <c r="D633" s="52"/>
      <c r="E633" s="53"/>
      <c r="F633" s="53"/>
      <c r="G633" s="65"/>
      <c r="H633" s="53"/>
      <c r="I633" s="55"/>
      <c r="J633" s="52"/>
      <c r="K633" s="56" t="str">
        <f t="shared" si="31"/>
        <v/>
      </c>
      <c r="L633" s="55"/>
      <c r="M633" s="55"/>
      <c r="N633" s="55"/>
      <c r="O633" s="55"/>
      <c r="P633" s="55"/>
      <c r="Q633" s="55"/>
      <c r="R633" s="55"/>
      <c r="S633" s="55"/>
      <c r="T633" s="55"/>
      <c r="U633" s="55"/>
      <c r="V633" s="55"/>
      <c r="W633" s="55"/>
      <c r="X633" s="55"/>
      <c r="Y633" s="55"/>
      <c r="Z633" s="55"/>
    </row>
    <row r="634" spans="1:26" ht="15">
      <c r="A634" s="50"/>
      <c r="B634" s="51"/>
      <c r="C634" s="52"/>
      <c r="D634" s="52"/>
      <c r="E634" s="53"/>
      <c r="F634" s="53"/>
      <c r="G634" s="65"/>
      <c r="H634" s="53"/>
      <c r="I634" s="55"/>
      <c r="J634" s="52"/>
      <c r="K634" s="56" t="str">
        <f t="shared" si="31"/>
        <v/>
      </c>
      <c r="L634" s="55"/>
      <c r="M634" s="55"/>
      <c r="N634" s="55"/>
      <c r="O634" s="55"/>
      <c r="P634" s="55"/>
      <c r="Q634" s="55"/>
      <c r="R634" s="55"/>
      <c r="S634" s="55"/>
      <c r="T634" s="55"/>
      <c r="U634" s="55"/>
      <c r="V634" s="55"/>
      <c r="W634" s="55"/>
      <c r="X634" s="55"/>
      <c r="Y634" s="55"/>
      <c r="Z634" s="55"/>
    </row>
    <row r="635" spans="1:26" ht="15">
      <c r="A635" s="50"/>
      <c r="B635" s="51"/>
      <c r="C635" s="52"/>
      <c r="D635" s="52"/>
      <c r="E635" s="53"/>
      <c r="F635" s="53"/>
      <c r="G635" s="65"/>
      <c r="H635" s="53"/>
      <c r="I635" s="55"/>
      <c r="J635" s="52"/>
      <c r="K635" s="56" t="str">
        <f t="shared" si="31"/>
        <v/>
      </c>
      <c r="L635" s="55"/>
      <c r="M635" s="55"/>
      <c r="N635" s="55"/>
      <c r="O635" s="55"/>
      <c r="P635" s="55"/>
      <c r="Q635" s="55"/>
      <c r="R635" s="55"/>
      <c r="S635" s="55"/>
      <c r="T635" s="55"/>
      <c r="U635" s="55"/>
      <c r="V635" s="55"/>
      <c r="W635" s="55"/>
      <c r="X635" s="55"/>
      <c r="Y635" s="55"/>
      <c r="Z635" s="55"/>
    </row>
    <row r="636" spans="1:26" ht="12.75" hidden="1">
      <c r="A636" s="57"/>
      <c r="B636" s="58"/>
      <c r="C636" s="59"/>
      <c r="D636" s="59"/>
      <c r="E636" s="8"/>
      <c r="F636" s="60"/>
      <c r="G636" s="71"/>
      <c r="H636" s="60"/>
      <c r="I636" s="8"/>
      <c r="J636" s="66">
        <v>0</v>
      </c>
      <c r="K636" s="67">
        <f>J636*E636</f>
        <v>0</v>
      </c>
    </row>
    <row r="637" spans="1:26" ht="15" hidden="1">
      <c r="A637" s="50"/>
      <c r="B637" s="51"/>
      <c r="C637" s="52"/>
      <c r="D637" s="52"/>
      <c r="E637" s="55"/>
      <c r="F637" s="53"/>
      <c r="G637" s="65"/>
      <c r="H637" s="53"/>
      <c r="I637" s="55"/>
      <c r="J637" s="52" t="s">
        <v>11</v>
      </c>
      <c r="K637" s="65" t="str">
        <f>IF(E637="","",(J637*E637))</f>
        <v/>
      </c>
      <c r="L637" s="55"/>
      <c r="M637" s="55"/>
      <c r="N637" s="55"/>
      <c r="O637" s="55"/>
      <c r="P637" s="55"/>
      <c r="Q637" s="55"/>
      <c r="R637" s="55"/>
      <c r="S637" s="55"/>
      <c r="T637" s="55"/>
      <c r="U637" s="55"/>
      <c r="V637" s="55"/>
      <c r="W637" s="55"/>
      <c r="X637" s="55"/>
      <c r="Y637" s="55"/>
      <c r="Z637" s="55"/>
    </row>
    <row r="638" spans="1:26" ht="12.75" hidden="1">
      <c r="A638" s="57"/>
      <c r="B638" s="58"/>
      <c r="C638" s="59"/>
      <c r="D638" s="59"/>
      <c r="E638" s="8"/>
      <c r="F638" s="60"/>
      <c r="G638" s="71"/>
      <c r="H638" s="60"/>
      <c r="I638" s="8"/>
      <c r="J638" s="66">
        <v>0</v>
      </c>
      <c r="K638" s="67">
        <f>J638*E638</f>
        <v>0</v>
      </c>
    </row>
    <row r="639" spans="1:26" ht="15" hidden="1">
      <c r="A639" s="50"/>
      <c r="B639" s="51"/>
      <c r="C639" s="52"/>
      <c r="D639" s="52"/>
      <c r="E639" s="55"/>
      <c r="F639" s="53"/>
      <c r="G639" s="65"/>
      <c r="H639" s="53"/>
      <c r="I639" s="55"/>
      <c r="J639" s="52" t="s">
        <v>11</v>
      </c>
      <c r="K639" s="65" t="str">
        <f t="shared" ref="K639:K640" si="32">IF(E639="","",(J639*E639))</f>
        <v/>
      </c>
      <c r="L639" s="55"/>
      <c r="M639" s="55"/>
      <c r="N639" s="55"/>
      <c r="O639" s="55"/>
      <c r="P639" s="55"/>
      <c r="Q639" s="55"/>
      <c r="R639" s="55"/>
      <c r="S639" s="55"/>
      <c r="T639" s="55"/>
      <c r="U639" s="55"/>
      <c r="V639" s="55"/>
      <c r="W639" s="55"/>
      <c r="X639" s="55"/>
      <c r="Y639" s="55"/>
      <c r="Z639" s="55"/>
    </row>
    <row r="640" spans="1:26" ht="15" hidden="1">
      <c r="A640" s="50"/>
      <c r="B640" s="51"/>
      <c r="C640" s="52"/>
      <c r="D640" s="52"/>
      <c r="E640" s="55"/>
      <c r="F640" s="53"/>
      <c r="G640" s="65"/>
      <c r="H640" s="53"/>
      <c r="I640" s="55"/>
      <c r="J640" s="52" t="s">
        <v>11</v>
      </c>
      <c r="K640" s="65" t="str">
        <f t="shared" si="32"/>
        <v/>
      </c>
      <c r="L640" s="55"/>
      <c r="M640" s="55"/>
      <c r="N640" s="55"/>
      <c r="O640" s="55"/>
      <c r="P640" s="55"/>
      <c r="Q640" s="55"/>
      <c r="R640" s="55"/>
      <c r="S640" s="55"/>
      <c r="T640" s="55"/>
      <c r="U640" s="55"/>
      <c r="V640" s="55"/>
      <c r="W640" s="55"/>
      <c r="X640" s="55"/>
      <c r="Y640" s="55"/>
      <c r="Z640" s="55"/>
    </row>
    <row r="641" spans="1:26" ht="12.75" hidden="1">
      <c r="A641" s="72"/>
      <c r="B641" s="73"/>
      <c r="C641" s="74"/>
      <c r="D641" s="74"/>
      <c r="E641" s="1"/>
      <c r="F641" s="62"/>
      <c r="G641" s="64"/>
      <c r="H641" s="62"/>
      <c r="J641" s="74">
        <v>0</v>
      </c>
      <c r="K641" s="64">
        <f t="shared" ref="K641:K645" si="33">J641*E641</f>
        <v>0</v>
      </c>
    </row>
    <row r="642" spans="1:26" ht="12.75" hidden="1">
      <c r="A642" s="57"/>
      <c r="B642" s="58"/>
      <c r="C642" s="59"/>
      <c r="D642" s="59"/>
      <c r="E642" s="8"/>
      <c r="F642" s="60"/>
      <c r="G642" s="71"/>
      <c r="H642" s="60"/>
      <c r="I642" s="8"/>
      <c r="J642" s="66">
        <v>0</v>
      </c>
      <c r="K642" s="67">
        <f t="shared" si="33"/>
        <v>0</v>
      </c>
    </row>
    <row r="643" spans="1:26" ht="12.75" hidden="1">
      <c r="A643" s="57"/>
      <c r="B643" s="58"/>
      <c r="C643" s="59"/>
      <c r="D643" s="59"/>
      <c r="E643" s="8"/>
      <c r="F643" s="60"/>
      <c r="G643" s="71"/>
      <c r="H643" s="60"/>
      <c r="I643" s="8"/>
      <c r="J643" s="66">
        <v>0</v>
      </c>
      <c r="K643" s="67">
        <f t="shared" si="33"/>
        <v>0</v>
      </c>
    </row>
    <row r="644" spans="1:26" ht="12.75" hidden="1">
      <c r="A644" s="72"/>
      <c r="B644" s="73"/>
      <c r="C644" s="74"/>
      <c r="D644" s="74"/>
      <c r="E644" s="1"/>
      <c r="F644" s="62"/>
      <c r="G644" s="64"/>
      <c r="H644" s="62"/>
      <c r="J644" s="74">
        <v>0</v>
      </c>
      <c r="K644" s="64">
        <f t="shared" si="33"/>
        <v>0</v>
      </c>
    </row>
    <row r="645" spans="1:26" ht="12.75" hidden="1">
      <c r="A645" s="72"/>
      <c r="B645" s="73"/>
      <c r="C645" s="74"/>
      <c r="D645" s="74"/>
      <c r="E645" s="1"/>
      <c r="F645" s="62"/>
      <c r="G645" s="64"/>
      <c r="H645" s="62"/>
      <c r="J645" s="74">
        <v>0</v>
      </c>
      <c r="K645" s="64">
        <f t="shared" si="33"/>
        <v>0</v>
      </c>
    </row>
    <row r="646" spans="1:26" ht="15">
      <c r="A646" s="50"/>
      <c r="B646" s="51"/>
      <c r="C646" s="52"/>
      <c r="D646" s="52"/>
      <c r="E646" s="53"/>
      <c r="F646" s="53"/>
      <c r="G646" s="65"/>
      <c r="H646" s="53"/>
      <c r="I646" s="55"/>
      <c r="J646" s="52">
        <v>5</v>
      </c>
      <c r="K646" s="56" t="str">
        <f t="shared" ref="K646:K675" si="34">IF(E646="","",(J646*E646))</f>
        <v/>
      </c>
      <c r="L646" s="55"/>
      <c r="M646" s="55"/>
      <c r="N646" s="55"/>
      <c r="O646" s="55"/>
      <c r="P646" s="55"/>
      <c r="Q646" s="55"/>
      <c r="R646" s="55"/>
      <c r="S646" s="55"/>
      <c r="T646" s="55"/>
      <c r="U646" s="55"/>
      <c r="V646" s="55"/>
      <c r="W646" s="55"/>
      <c r="X646" s="55"/>
      <c r="Y646" s="55"/>
      <c r="Z646" s="55"/>
    </row>
    <row r="647" spans="1:26" ht="15">
      <c r="A647" s="50"/>
      <c r="B647" s="51"/>
      <c r="C647" s="52"/>
      <c r="D647" s="52"/>
      <c r="E647" s="53"/>
      <c r="F647" s="53"/>
      <c r="G647" s="65"/>
      <c r="H647" s="53"/>
      <c r="I647" s="55"/>
      <c r="J647" s="52">
        <v>10</v>
      </c>
      <c r="K647" s="56" t="str">
        <f t="shared" si="34"/>
        <v/>
      </c>
      <c r="L647" s="55"/>
      <c r="M647" s="55"/>
      <c r="N647" s="55"/>
      <c r="O647" s="55"/>
      <c r="P647" s="55"/>
      <c r="Q647" s="55"/>
      <c r="R647" s="55"/>
      <c r="S647" s="55"/>
      <c r="T647" s="55"/>
      <c r="U647" s="55"/>
      <c r="V647" s="55"/>
      <c r="W647" s="55"/>
      <c r="X647" s="55"/>
      <c r="Y647" s="55"/>
      <c r="Z647" s="55"/>
    </row>
    <row r="648" spans="1:26" ht="15">
      <c r="A648" s="50"/>
      <c r="B648" s="51"/>
      <c r="C648" s="52"/>
      <c r="D648" s="52"/>
      <c r="E648" s="53"/>
      <c r="F648" s="53"/>
      <c r="G648" s="65"/>
      <c r="H648" s="53"/>
      <c r="I648" s="55"/>
      <c r="J648" s="52"/>
      <c r="K648" s="56" t="str">
        <f t="shared" si="34"/>
        <v/>
      </c>
      <c r="L648" s="55"/>
      <c r="M648" s="55"/>
      <c r="N648" s="55"/>
      <c r="O648" s="55"/>
      <c r="P648" s="55"/>
      <c r="Q648" s="55"/>
      <c r="R648" s="55"/>
      <c r="S648" s="55"/>
      <c r="T648" s="55"/>
      <c r="U648" s="55"/>
      <c r="V648" s="55"/>
      <c r="W648" s="55"/>
      <c r="X648" s="55"/>
      <c r="Y648" s="55"/>
      <c r="Z648" s="55"/>
    </row>
    <row r="649" spans="1:26" ht="15">
      <c r="A649" s="50"/>
      <c r="B649" s="51"/>
      <c r="C649" s="52"/>
      <c r="D649" s="52"/>
      <c r="E649" s="53"/>
      <c r="F649" s="53"/>
      <c r="G649" s="65"/>
      <c r="H649" s="53"/>
      <c r="I649" s="55"/>
      <c r="J649" s="52"/>
      <c r="K649" s="56" t="str">
        <f t="shared" si="34"/>
        <v/>
      </c>
      <c r="L649" s="55"/>
      <c r="M649" s="55"/>
      <c r="N649" s="55"/>
      <c r="O649" s="55"/>
      <c r="P649" s="55"/>
      <c r="Q649" s="55"/>
      <c r="R649" s="55"/>
      <c r="S649" s="55"/>
      <c r="T649" s="55"/>
      <c r="U649" s="55"/>
      <c r="V649" s="55"/>
      <c r="W649" s="55"/>
      <c r="X649" s="55"/>
      <c r="Y649" s="55"/>
      <c r="Z649" s="55"/>
    </row>
    <row r="650" spans="1:26" ht="15">
      <c r="A650" s="50"/>
      <c r="B650" s="51"/>
      <c r="C650" s="52"/>
      <c r="D650" s="52"/>
      <c r="E650" s="53"/>
      <c r="F650" s="53"/>
      <c r="G650" s="65"/>
      <c r="H650" s="53"/>
      <c r="I650" s="55"/>
      <c r="J650" s="52"/>
      <c r="K650" s="56" t="str">
        <f t="shared" si="34"/>
        <v/>
      </c>
      <c r="L650" s="55"/>
      <c r="M650" s="55"/>
      <c r="N650" s="55"/>
      <c r="O650" s="55"/>
      <c r="P650" s="55"/>
      <c r="Q650" s="55"/>
      <c r="R650" s="55"/>
      <c r="S650" s="55"/>
      <c r="T650" s="55"/>
      <c r="U650" s="55"/>
      <c r="V650" s="55"/>
      <c r="W650" s="55"/>
      <c r="X650" s="55"/>
      <c r="Y650" s="55"/>
      <c r="Z650" s="55"/>
    </row>
    <row r="651" spans="1:26" ht="15">
      <c r="A651" s="50"/>
      <c r="B651" s="51"/>
      <c r="C651" s="52"/>
      <c r="D651" s="52"/>
      <c r="E651" s="53"/>
      <c r="F651" s="53"/>
      <c r="G651" s="65"/>
      <c r="H651" s="53"/>
      <c r="I651" s="55"/>
      <c r="J651" s="52"/>
      <c r="K651" s="56" t="str">
        <f t="shared" si="34"/>
        <v/>
      </c>
      <c r="L651" s="55"/>
      <c r="M651" s="55"/>
      <c r="N651" s="55"/>
      <c r="O651" s="55"/>
      <c r="P651" s="55"/>
      <c r="Q651" s="55"/>
      <c r="R651" s="55"/>
      <c r="S651" s="55"/>
      <c r="T651" s="55"/>
      <c r="U651" s="55"/>
      <c r="V651" s="55"/>
      <c r="W651" s="55"/>
      <c r="X651" s="55"/>
      <c r="Y651" s="55"/>
      <c r="Z651" s="55"/>
    </row>
    <row r="652" spans="1:26" ht="15">
      <c r="A652" s="50"/>
      <c r="B652" s="51"/>
      <c r="C652" s="52"/>
      <c r="D652" s="52"/>
      <c r="E652" s="53"/>
      <c r="F652" s="53"/>
      <c r="G652" s="65"/>
      <c r="H652" s="53"/>
      <c r="I652" s="55"/>
      <c r="J652" s="52"/>
      <c r="K652" s="56" t="str">
        <f t="shared" si="34"/>
        <v/>
      </c>
      <c r="L652" s="55"/>
      <c r="M652" s="55"/>
      <c r="N652" s="55"/>
      <c r="O652" s="55"/>
      <c r="P652" s="55"/>
      <c r="Q652" s="55"/>
      <c r="R652" s="55"/>
      <c r="S652" s="55"/>
      <c r="T652" s="55"/>
      <c r="U652" s="55"/>
      <c r="V652" s="55"/>
      <c r="W652" s="55"/>
      <c r="X652" s="55"/>
      <c r="Y652" s="55"/>
      <c r="Z652" s="55"/>
    </row>
    <row r="653" spans="1:26" ht="15">
      <c r="A653" s="50"/>
      <c r="B653" s="51"/>
      <c r="C653" s="52"/>
      <c r="D653" s="52"/>
      <c r="E653" s="53"/>
      <c r="F653" s="53"/>
      <c r="G653" s="65"/>
      <c r="H653" s="53"/>
      <c r="I653" s="55"/>
      <c r="J653" s="52"/>
      <c r="K653" s="56" t="str">
        <f t="shared" si="34"/>
        <v/>
      </c>
      <c r="L653" s="55"/>
      <c r="M653" s="55"/>
      <c r="N653" s="55"/>
      <c r="O653" s="55"/>
      <c r="P653" s="55"/>
      <c r="Q653" s="55"/>
      <c r="R653" s="55"/>
      <c r="S653" s="55"/>
      <c r="T653" s="55"/>
      <c r="U653" s="55"/>
      <c r="V653" s="55"/>
      <c r="W653" s="55"/>
      <c r="X653" s="55"/>
      <c r="Y653" s="55"/>
      <c r="Z653" s="55"/>
    </row>
    <row r="654" spans="1:26" ht="15">
      <c r="A654" s="50"/>
      <c r="B654" s="51"/>
      <c r="C654" s="52"/>
      <c r="D654" s="52"/>
      <c r="E654" s="53"/>
      <c r="F654" s="53"/>
      <c r="G654" s="65"/>
      <c r="H654" s="53"/>
      <c r="I654" s="55"/>
      <c r="J654" s="52"/>
      <c r="K654" s="56" t="str">
        <f t="shared" si="34"/>
        <v/>
      </c>
      <c r="L654" s="55"/>
      <c r="M654" s="55"/>
      <c r="N654" s="55"/>
      <c r="O654" s="55"/>
      <c r="P654" s="55"/>
      <c r="Q654" s="55"/>
      <c r="R654" s="55"/>
      <c r="S654" s="55"/>
      <c r="T654" s="55"/>
      <c r="U654" s="55"/>
      <c r="V654" s="55"/>
      <c r="W654" s="55"/>
      <c r="X654" s="55"/>
      <c r="Y654" s="55"/>
      <c r="Z654" s="55"/>
    </row>
    <row r="655" spans="1:26" ht="15">
      <c r="A655" s="50"/>
      <c r="B655" s="51"/>
      <c r="C655" s="52"/>
      <c r="D655" s="52"/>
      <c r="E655" s="53"/>
      <c r="F655" s="53"/>
      <c r="G655" s="65"/>
      <c r="H655" s="53"/>
      <c r="I655" s="55"/>
      <c r="J655" s="52"/>
      <c r="K655" s="56" t="str">
        <f t="shared" si="34"/>
        <v/>
      </c>
      <c r="L655" s="55"/>
      <c r="M655" s="55"/>
      <c r="N655" s="55"/>
      <c r="O655" s="55"/>
      <c r="P655" s="55"/>
      <c r="Q655" s="55"/>
      <c r="R655" s="55"/>
      <c r="S655" s="55"/>
      <c r="T655" s="55"/>
      <c r="U655" s="55"/>
      <c r="V655" s="55"/>
      <c r="W655" s="55"/>
      <c r="X655" s="55"/>
      <c r="Y655" s="55"/>
      <c r="Z655" s="55"/>
    </row>
    <row r="656" spans="1:26" ht="15">
      <c r="A656" s="50"/>
      <c r="B656" s="51"/>
      <c r="C656" s="52"/>
      <c r="D656" s="52"/>
      <c r="E656" s="53"/>
      <c r="F656" s="53"/>
      <c r="G656" s="65"/>
      <c r="H656" s="53"/>
      <c r="I656" s="55"/>
      <c r="J656" s="52"/>
      <c r="K656" s="56" t="str">
        <f t="shared" si="34"/>
        <v/>
      </c>
      <c r="L656" s="55"/>
      <c r="M656" s="55"/>
      <c r="N656" s="55"/>
      <c r="O656" s="55"/>
      <c r="P656" s="55"/>
      <c r="Q656" s="55"/>
      <c r="R656" s="55"/>
      <c r="S656" s="55"/>
      <c r="T656" s="55"/>
      <c r="U656" s="55"/>
      <c r="V656" s="55"/>
      <c r="W656" s="55"/>
      <c r="X656" s="55"/>
      <c r="Y656" s="55"/>
      <c r="Z656" s="55"/>
    </row>
    <row r="657" spans="1:26" ht="15">
      <c r="A657" s="50"/>
      <c r="B657" s="51"/>
      <c r="C657" s="52"/>
      <c r="D657" s="52"/>
      <c r="E657" s="53"/>
      <c r="F657" s="53"/>
      <c r="G657" s="65"/>
      <c r="H657" s="53"/>
      <c r="I657" s="55"/>
      <c r="J657" s="52"/>
      <c r="K657" s="56" t="str">
        <f t="shared" si="34"/>
        <v/>
      </c>
      <c r="L657" s="55"/>
      <c r="M657" s="55"/>
      <c r="N657" s="55"/>
      <c r="O657" s="55"/>
      <c r="P657" s="55"/>
      <c r="Q657" s="55"/>
      <c r="R657" s="55"/>
      <c r="S657" s="55"/>
      <c r="T657" s="55"/>
      <c r="U657" s="55"/>
      <c r="V657" s="55"/>
      <c r="W657" s="55"/>
      <c r="X657" s="55"/>
      <c r="Y657" s="55"/>
      <c r="Z657" s="55"/>
    </row>
    <row r="658" spans="1:26" ht="15">
      <c r="A658" s="50"/>
      <c r="B658" s="51"/>
      <c r="C658" s="52"/>
      <c r="D658" s="52"/>
      <c r="E658" s="53"/>
      <c r="F658" s="53"/>
      <c r="G658" s="65"/>
      <c r="H658" s="53"/>
      <c r="I658" s="55"/>
      <c r="J658" s="52"/>
      <c r="K658" s="56" t="str">
        <f t="shared" si="34"/>
        <v/>
      </c>
      <c r="L658" s="55"/>
      <c r="M658" s="55"/>
      <c r="N658" s="55"/>
      <c r="O658" s="55"/>
      <c r="P658" s="55"/>
      <c r="Q658" s="55"/>
      <c r="R658" s="55"/>
      <c r="S658" s="55"/>
      <c r="T658" s="55"/>
      <c r="U658" s="55"/>
      <c r="V658" s="55"/>
      <c r="W658" s="55"/>
      <c r="X658" s="55"/>
      <c r="Y658" s="55"/>
      <c r="Z658" s="55"/>
    </row>
    <row r="659" spans="1:26" ht="15">
      <c r="A659" s="50"/>
      <c r="B659" s="51"/>
      <c r="C659" s="52"/>
      <c r="D659" s="52"/>
      <c r="E659" s="53"/>
      <c r="F659" s="53"/>
      <c r="G659" s="65"/>
      <c r="H659" s="53"/>
      <c r="I659" s="55"/>
      <c r="J659" s="52"/>
      <c r="K659" s="56" t="str">
        <f t="shared" si="34"/>
        <v/>
      </c>
      <c r="L659" s="55"/>
      <c r="M659" s="55"/>
      <c r="N659" s="55"/>
      <c r="O659" s="55"/>
      <c r="P659" s="55"/>
      <c r="Q659" s="55"/>
      <c r="R659" s="55"/>
      <c r="S659" s="55"/>
      <c r="T659" s="55"/>
      <c r="U659" s="55"/>
      <c r="V659" s="55"/>
      <c r="W659" s="55"/>
      <c r="X659" s="55"/>
      <c r="Y659" s="55"/>
      <c r="Z659" s="55"/>
    </row>
    <row r="660" spans="1:26" ht="15">
      <c r="A660" s="50"/>
      <c r="B660" s="51"/>
      <c r="C660" s="52"/>
      <c r="D660" s="52"/>
      <c r="E660" s="53"/>
      <c r="F660" s="53"/>
      <c r="G660" s="65"/>
      <c r="H660" s="53"/>
      <c r="I660" s="55"/>
      <c r="J660" s="52"/>
      <c r="K660" s="56" t="str">
        <f t="shared" si="34"/>
        <v/>
      </c>
      <c r="L660" s="55"/>
      <c r="M660" s="55"/>
      <c r="N660" s="55"/>
      <c r="O660" s="55"/>
      <c r="P660" s="55"/>
      <c r="Q660" s="55"/>
      <c r="R660" s="55"/>
      <c r="S660" s="55"/>
      <c r="T660" s="55"/>
      <c r="U660" s="55"/>
      <c r="V660" s="55"/>
      <c r="W660" s="55"/>
      <c r="X660" s="55"/>
      <c r="Y660" s="55"/>
      <c r="Z660" s="55"/>
    </row>
    <row r="661" spans="1:26" ht="15">
      <c r="A661" s="50"/>
      <c r="B661" s="51"/>
      <c r="C661" s="52"/>
      <c r="D661" s="52"/>
      <c r="E661" s="53"/>
      <c r="F661" s="53"/>
      <c r="G661" s="65"/>
      <c r="H661" s="53"/>
      <c r="I661" s="55"/>
      <c r="J661" s="52"/>
      <c r="K661" s="56" t="str">
        <f t="shared" si="34"/>
        <v/>
      </c>
      <c r="L661" s="55"/>
      <c r="M661" s="55"/>
      <c r="N661" s="55"/>
      <c r="O661" s="55"/>
      <c r="P661" s="55"/>
      <c r="Q661" s="55"/>
      <c r="R661" s="55"/>
      <c r="S661" s="55"/>
      <c r="T661" s="55"/>
      <c r="U661" s="55"/>
      <c r="V661" s="55"/>
      <c r="W661" s="55"/>
      <c r="X661" s="55"/>
      <c r="Y661" s="55"/>
      <c r="Z661" s="55"/>
    </row>
    <row r="662" spans="1:26" ht="15">
      <c r="A662" s="50"/>
      <c r="B662" s="51"/>
      <c r="C662" s="52"/>
      <c r="D662" s="52"/>
      <c r="E662" s="53"/>
      <c r="F662" s="53"/>
      <c r="G662" s="65"/>
      <c r="H662" s="53"/>
      <c r="I662" s="55"/>
      <c r="J662" s="52"/>
      <c r="K662" s="56" t="str">
        <f t="shared" si="34"/>
        <v/>
      </c>
      <c r="L662" s="55"/>
      <c r="M662" s="55"/>
      <c r="N662" s="55"/>
      <c r="O662" s="55"/>
      <c r="P662" s="55"/>
      <c r="Q662" s="55"/>
      <c r="R662" s="55"/>
      <c r="S662" s="55"/>
      <c r="T662" s="55"/>
      <c r="U662" s="55"/>
      <c r="V662" s="55"/>
      <c r="W662" s="55"/>
      <c r="X662" s="55"/>
      <c r="Y662" s="55"/>
      <c r="Z662" s="55"/>
    </row>
    <row r="663" spans="1:26" ht="15">
      <c r="A663" s="50"/>
      <c r="B663" s="51"/>
      <c r="C663" s="52"/>
      <c r="D663" s="52"/>
      <c r="E663" s="53"/>
      <c r="F663" s="53"/>
      <c r="G663" s="65"/>
      <c r="H663" s="53"/>
      <c r="I663" s="55"/>
      <c r="J663" s="52"/>
      <c r="K663" s="56" t="str">
        <f t="shared" si="34"/>
        <v/>
      </c>
      <c r="L663" s="55"/>
      <c r="M663" s="55"/>
      <c r="N663" s="55"/>
      <c r="O663" s="55"/>
      <c r="P663" s="55"/>
      <c r="Q663" s="55"/>
      <c r="R663" s="55"/>
      <c r="S663" s="55"/>
      <c r="T663" s="55"/>
      <c r="U663" s="55"/>
      <c r="V663" s="55"/>
      <c r="W663" s="55"/>
      <c r="X663" s="55"/>
      <c r="Y663" s="55"/>
      <c r="Z663" s="55"/>
    </row>
    <row r="664" spans="1:26" ht="15">
      <c r="A664" s="50"/>
      <c r="B664" s="51"/>
      <c r="C664" s="52"/>
      <c r="D664" s="52"/>
      <c r="E664" s="53"/>
      <c r="F664" s="53"/>
      <c r="G664" s="65"/>
      <c r="H664" s="53"/>
      <c r="I664" s="55"/>
      <c r="J664" s="52"/>
      <c r="K664" s="56" t="str">
        <f t="shared" si="34"/>
        <v/>
      </c>
      <c r="L664" s="55"/>
      <c r="M664" s="55"/>
      <c r="N664" s="55"/>
      <c r="O664" s="55"/>
      <c r="P664" s="55"/>
      <c r="Q664" s="55"/>
      <c r="R664" s="55"/>
      <c r="S664" s="55"/>
      <c r="T664" s="55"/>
      <c r="U664" s="55"/>
      <c r="V664" s="55"/>
      <c r="W664" s="55"/>
      <c r="X664" s="55"/>
      <c r="Y664" s="55"/>
      <c r="Z664" s="55"/>
    </row>
    <row r="665" spans="1:26" ht="15">
      <c r="A665" s="50"/>
      <c r="B665" s="51"/>
      <c r="C665" s="52"/>
      <c r="D665" s="52"/>
      <c r="E665" s="53"/>
      <c r="F665" s="53"/>
      <c r="G665" s="65"/>
      <c r="H665" s="53"/>
      <c r="I665" s="55"/>
      <c r="J665" s="52"/>
      <c r="K665" s="56" t="str">
        <f t="shared" si="34"/>
        <v/>
      </c>
      <c r="L665" s="55"/>
      <c r="M665" s="55"/>
      <c r="N665" s="55"/>
      <c r="O665" s="55"/>
      <c r="P665" s="55"/>
      <c r="Q665" s="55"/>
      <c r="R665" s="55"/>
      <c r="S665" s="55"/>
      <c r="T665" s="55"/>
      <c r="U665" s="55"/>
      <c r="V665" s="55"/>
      <c r="W665" s="55"/>
      <c r="X665" s="55"/>
      <c r="Y665" s="55"/>
      <c r="Z665" s="55"/>
    </row>
    <row r="666" spans="1:26" ht="15">
      <c r="A666" s="50"/>
      <c r="B666" s="51"/>
      <c r="C666" s="52"/>
      <c r="D666" s="52"/>
      <c r="E666" s="53"/>
      <c r="F666" s="53"/>
      <c r="G666" s="65"/>
      <c r="H666" s="53"/>
      <c r="I666" s="55"/>
      <c r="J666" s="52"/>
      <c r="K666" s="56" t="str">
        <f t="shared" si="34"/>
        <v/>
      </c>
      <c r="L666" s="55"/>
      <c r="M666" s="55"/>
      <c r="N666" s="55"/>
      <c r="O666" s="55"/>
      <c r="P666" s="55"/>
      <c r="Q666" s="55"/>
      <c r="R666" s="55"/>
      <c r="S666" s="55"/>
      <c r="T666" s="55"/>
      <c r="U666" s="55"/>
      <c r="V666" s="55"/>
      <c r="W666" s="55"/>
      <c r="X666" s="55"/>
      <c r="Y666" s="55"/>
      <c r="Z666" s="55"/>
    </row>
    <row r="667" spans="1:26" ht="15">
      <c r="A667" s="50"/>
      <c r="B667" s="51"/>
      <c r="C667" s="52"/>
      <c r="D667" s="52"/>
      <c r="E667" s="53"/>
      <c r="F667" s="53"/>
      <c r="G667" s="65"/>
      <c r="H667" s="53"/>
      <c r="I667" s="55"/>
      <c r="J667" s="52"/>
      <c r="K667" s="56" t="str">
        <f t="shared" si="34"/>
        <v/>
      </c>
      <c r="L667" s="55"/>
      <c r="M667" s="55"/>
      <c r="N667" s="55"/>
      <c r="O667" s="55"/>
      <c r="P667" s="55"/>
      <c r="Q667" s="55"/>
      <c r="R667" s="55"/>
      <c r="S667" s="55"/>
      <c r="T667" s="55"/>
      <c r="U667" s="55"/>
      <c r="V667" s="55"/>
      <c r="W667" s="55"/>
      <c r="X667" s="55"/>
      <c r="Y667" s="55"/>
      <c r="Z667" s="55"/>
    </row>
    <row r="668" spans="1:26" ht="15">
      <c r="A668" s="50"/>
      <c r="B668" s="51"/>
      <c r="C668" s="52"/>
      <c r="D668" s="52"/>
      <c r="E668" s="53"/>
      <c r="F668" s="53"/>
      <c r="G668" s="65"/>
      <c r="H668" s="53"/>
      <c r="I668" s="55"/>
      <c r="J668" s="52"/>
      <c r="K668" s="56" t="str">
        <f t="shared" si="34"/>
        <v/>
      </c>
      <c r="L668" s="55"/>
      <c r="M668" s="55"/>
      <c r="N668" s="55"/>
      <c r="O668" s="55"/>
      <c r="P668" s="55"/>
      <c r="Q668" s="55"/>
      <c r="R668" s="55"/>
      <c r="S668" s="55"/>
      <c r="T668" s="55"/>
      <c r="U668" s="55"/>
      <c r="V668" s="55"/>
      <c r="W668" s="55"/>
      <c r="X668" s="55"/>
      <c r="Y668" s="55"/>
      <c r="Z668" s="55"/>
    </row>
    <row r="669" spans="1:26" ht="15">
      <c r="A669" s="50"/>
      <c r="B669" s="51"/>
      <c r="C669" s="52"/>
      <c r="D669" s="52"/>
      <c r="E669" s="53"/>
      <c r="F669" s="53"/>
      <c r="G669" s="65"/>
      <c r="H669" s="53"/>
      <c r="I669" s="55"/>
      <c r="J669" s="52"/>
      <c r="K669" s="56" t="str">
        <f t="shared" si="34"/>
        <v/>
      </c>
      <c r="L669" s="55"/>
      <c r="M669" s="55"/>
      <c r="N669" s="55"/>
      <c r="O669" s="55"/>
      <c r="P669" s="55"/>
      <c r="Q669" s="55"/>
      <c r="R669" s="55"/>
      <c r="S669" s="55"/>
      <c r="T669" s="55"/>
      <c r="U669" s="55"/>
      <c r="V669" s="55"/>
      <c r="W669" s="55"/>
      <c r="X669" s="55"/>
      <c r="Y669" s="55"/>
      <c r="Z669" s="55"/>
    </row>
    <row r="670" spans="1:26" ht="15">
      <c r="A670" s="50"/>
      <c r="B670" s="51"/>
      <c r="C670" s="52"/>
      <c r="D670" s="52"/>
      <c r="E670" s="53"/>
      <c r="F670" s="53"/>
      <c r="G670" s="65"/>
      <c r="H670" s="53"/>
      <c r="I670" s="55"/>
      <c r="J670" s="52"/>
      <c r="K670" s="56" t="str">
        <f t="shared" si="34"/>
        <v/>
      </c>
      <c r="L670" s="55"/>
      <c r="M670" s="55"/>
      <c r="N670" s="55"/>
      <c r="O670" s="55"/>
      <c r="P670" s="55"/>
      <c r="Q670" s="55"/>
      <c r="R670" s="55"/>
      <c r="S670" s="55"/>
      <c r="T670" s="55"/>
      <c r="U670" s="55"/>
      <c r="V670" s="55"/>
      <c r="W670" s="55"/>
      <c r="X670" s="55"/>
      <c r="Y670" s="55"/>
      <c r="Z670" s="55"/>
    </row>
    <row r="671" spans="1:26" ht="15">
      <c r="A671" s="50"/>
      <c r="B671" s="51"/>
      <c r="C671" s="52"/>
      <c r="D671" s="52"/>
      <c r="E671" s="53"/>
      <c r="F671" s="53"/>
      <c r="G671" s="65"/>
      <c r="H671" s="53"/>
      <c r="I671" s="55"/>
      <c r="J671" s="52"/>
      <c r="K671" s="56" t="str">
        <f t="shared" si="34"/>
        <v/>
      </c>
      <c r="L671" s="55"/>
      <c r="M671" s="55"/>
      <c r="N671" s="55"/>
      <c r="O671" s="55"/>
      <c r="P671" s="55"/>
      <c r="Q671" s="55"/>
      <c r="R671" s="55"/>
      <c r="S671" s="55"/>
      <c r="T671" s="55"/>
      <c r="U671" s="55"/>
      <c r="V671" s="55"/>
      <c r="W671" s="55"/>
      <c r="X671" s="55"/>
      <c r="Y671" s="55"/>
      <c r="Z671" s="55"/>
    </row>
    <row r="672" spans="1:26" ht="15">
      <c r="A672" s="50"/>
      <c r="B672" s="51"/>
      <c r="C672" s="52"/>
      <c r="D672" s="52"/>
      <c r="E672" s="53"/>
      <c r="F672" s="53"/>
      <c r="G672" s="65"/>
      <c r="H672" s="53"/>
      <c r="I672" s="55"/>
      <c r="J672" s="52"/>
      <c r="K672" s="56" t="str">
        <f t="shared" si="34"/>
        <v/>
      </c>
      <c r="L672" s="55"/>
      <c r="M672" s="55"/>
      <c r="N672" s="55"/>
      <c r="O672" s="55"/>
      <c r="P672" s="55"/>
      <c r="Q672" s="55"/>
      <c r="R672" s="55"/>
      <c r="S672" s="55"/>
      <c r="T672" s="55"/>
      <c r="U672" s="55"/>
      <c r="V672" s="55"/>
      <c r="W672" s="55"/>
      <c r="X672" s="55"/>
      <c r="Y672" s="55"/>
      <c r="Z672" s="55"/>
    </row>
    <row r="673" spans="1:26" ht="15">
      <c r="A673" s="50"/>
      <c r="B673" s="51"/>
      <c r="C673" s="52"/>
      <c r="D673" s="52"/>
      <c r="E673" s="53"/>
      <c r="F673" s="53"/>
      <c r="G673" s="65"/>
      <c r="H673" s="53"/>
      <c r="I673" s="55"/>
      <c r="J673" s="52"/>
      <c r="K673" s="56" t="str">
        <f t="shared" si="34"/>
        <v/>
      </c>
      <c r="L673" s="55"/>
      <c r="M673" s="55"/>
      <c r="N673" s="55"/>
      <c r="O673" s="55"/>
      <c r="P673" s="55"/>
      <c r="Q673" s="55"/>
      <c r="R673" s="55"/>
      <c r="S673" s="55"/>
      <c r="T673" s="55"/>
      <c r="U673" s="55"/>
      <c r="V673" s="55"/>
      <c r="W673" s="55"/>
      <c r="X673" s="55"/>
      <c r="Y673" s="55"/>
      <c r="Z673" s="55"/>
    </row>
    <row r="674" spans="1:26" ht="15">
      <c r="A674" s="50"/>
      <c r="B674" s="51"/>
      <c r="C674" s="52"/>
      <c r="D674" s="52"/>
      <c r="E674" s="53"/>
      <c r="F674" s="53"/>
      <c r="G674" s="65"/>
      <c r="H674" s="53"/>
      <c r="I674" s="55"/>
      <c r="J674" s="52"/>
      <c r="K674" s="56" t="str">
        <f t="shared" si="34"/>
        <v/>
      </c>
      <c r="L674" s="55"/>
      <c r="M674" s="55"/>
      <c r="N674" s="55"/>
      <c r="O674" s="55"/>
      <c r="P674" s="55"/>
      <c r="Q674" s="55"/>
      <c r="R674" s="55"/>
      <c r="S674" s="55"/>
      <c r="T674" s="55"/>
      <c r="U674" s="55"/>
      <c r="V674" s="55"/>
      <c r="W674" s="55"/>
      <c r="X674" s="55"/>
      <c r="Y674" s="55"/>
      <c r="Z674" s="55"/>
    </row>
    <row r="675" spans="1:26" ht="15">
      <c r="A675" s="50"/>
      <c r="B675" s="51"/>
      <c r="C675" s="52"/>
      <c r="D675" s="52"/>
      <c r="E675" s="53"/>
      <c r="F675" s="53"/>
      <c r="G675" s="65"/>
      <c r="H675" s="53"/>
      <c r="I675" s="55"/>
      <c r="J675" s="52"/>
      <c r="K675" s="56" t="str">
        <f t="shared" si="34"/>
        <v/>
      </c>
      <c r="L675" s="55"/>
      <c r="M675" s="55"/>
      <c r="N675" s="55"/>
      <c r="O675" s="55"/>
      <c r="P675" s="55"/>
      <c r="Q675" s="55"/>
      <c r="R675" s="55"/>
      <c r="S675" s="55"/>
      <c r="T675" s="55"/>
      <c r="U675" s="55"/>
      <c r="V675" s="55"/>
      <c r="W675" s="55"/>
      <c r="X675" s="55"/>
      <c r="Y675" s="55"/>
      <c r="Z675" s="55"/>
    </row>
    <row r="676" spans="1:26" ht="12.75" hidden="1">
      <c r="A676" s="57"/>
      <c r="B676" s="58"/>
      <c r="C676" s="59"/>
      <c r="D676" s="59"/>
      <c r="E676" s="8"/>
      <c r="F676" s="60"/>
      <c r="G676" s="71"/>
      <c r="H676" s="60"/>
      <c r="I676" s="8"/>
      <c r="J676" s="66">
        <v>0</v>
      </c>
      <c r="K676" s="67">
        <f>J676*E676</f>
        <v>0</v>
      </c>
    </row>
    <row r="677" spans="1:26" ht="15" hidden="1">
      <c r="A677" s="50"/>
      <c r="B677" s="51"/>
      <c r="C677" s="52"/>
      <c r="D677" s="52"/>
      <c r="E677" s="55"/>
      <c r="F677" s="53"/>
      <c r="G677" s="65"/>
      <c r="H677" s="53"/>
      <c r="I677" s="55"/>
      <c r="J677" s="52" t="s">
        <v>11</v>
      </c>
      <c r="K677" s="65" t="str">
        <f t="shared" ref="K677:K679" si="35">IF(E677="","",(J677*E677))</f>
        <v/>
      </c>
      <c r="L677" s="55"/>
      <c r="M677" s="55"/>
      <c r="N677" s="55"/>
      <c r="O677" s="55"/>
      <c r="P677" s="55"/>
      <c r="Q677" s="55"/>
      <c r="R677" s="55"/>
      <c r="S677" s="55"/>
      <c r="T677" s="55"/>
      <c r="U677" s="55"/>
      <c r="V677" s="55"/>
      <c r="W677" s="55"/>
      <c r="X677" s="55"/>
      <c r="Y677" s="55"/>
      <c r="Z677" s="55"/>
    </row>
    <row r="678" spans="1:26" ht="15" hidden="1">
      <c r="A678" s="50"/>
      <c r="B678" s="51"/>
      <c r="C678" s="52"/>
      <c r="D678" s="52"/>
      <c r="E678" s="55"/>
      <c r="F678" s="53"/>
      <c r="G678" s="65"/>
      <c r="H678" s="53"/>
      <c r="I678" s="55"/>
      <c r="J678" s="52" t="s">
        <v>11</v>
      </c>
      <c r="K678" s="65" t="str">
        <f t="shared" si="35"/>
        <v/>
      </c>
      <c r="L678" s="55"/>
      <c r="M678" s="55"/>
      <c r="N678" s="55"/>
      <c r="O678" s="55"/>
      <c r="P678" s="55"/>
      <c r="Q678" s="55"/>
      <c r="R678" s="55"/>
      <c r="S678" s="55"/>
      <c r="T678" s="55"/>
      <c r="U678" s="55"/>
      <c r="V678" s="55"/>
      <c r="W678" s="55"/>
      <c r="X678" s="55"/>
      <c r="Y678" s="55"/>
      <c r="Z678" s="55"/>
    </row>
    <row r="679" spans="1:26" ht="15" hidden="1">
      <c r="A679" s="50"/>
      <c r="B679" s="51"/>
      <c r="C679" s="52"/>
      <c r="D679" s="52"/>
      <c r="E679" s="55"/>
      <c r="F679" s="53"/>
      <c r="G679" s="65"/>
      <c r="H679" s="53"/>
      <c r="I679" s="55"/>
      <c r="J679" s="52" t="s">
        <v>11</v>
      </c>
      <c r="K679" s="65" t="str">
        <f t="shared" si="35"/>
        <v/>
      </c>
      <c r="L679" s="55"/>
      <c r="M679" s="55"/>
      <c r="N679" s="55"/>
      <c r="O679" s="55"/>
      <c r="P679" s="55"/>
      <c r="Q679" s="55"/>
      <c r="R679" s="55"/>
      <c r="S679" s="55"/>
      <c r="T679" s="55"/>
      <c r="U679" s="55"/>
      <c r="V679" s="55"/>
      <c r="W679" s="55"/>
      <c r="X679" s="55"/>
      <c r="Y679" s="55"/>
      <c r="Z679" s="55"/>
    </row>
    <row r="680" spans="1:26" ht="12.75" hidden="1">
      <c r="A680" s="57"/>
      <c r="B680" s="58"/>
      <c r="C680" s="59"/>
      <c r="D680" s="59"/>
      <c r="E680" s="8"/>
      <c r="F680" s="60"/>
      <c r="G680" s="71"/>
      <c r="H680" s="60"/>
      <c r="I680" s="8"/>
      <c r="J680" s="66">
        <v>0</v>
      </c>
      <c r="K680" s="67">
        <f t="shared" ref="K680:K684" si="36">J680*E680</f>
        <v>0</v>
      </c>
    </row>
    <row r="681" spans="1:26" ht="12.75" hidden="1">
      <c r="A681" s="57"/>
      <c r="B681" s="58"/>
      <c r="C681" s="59"/>
      <c r="D681" s="59"/>
      <c r="E681" s="8"/>
      <c r="F681" s="60"/>
      <c r="G681" s="71"/>
      <c r="H681" s="60"/>
      <c r="I681" s="8"/>
      <c r="J681" s="66">
        <v>0</v>
      </c>
      <c r="K681" s="67">
        <f t="shared" si="36"/>
        <v>0</v>
      </c>
    </row>
    <row r="682" spans="1:26" ht="12.75" hidden="1">
      <c r="A682" s="57"/>
      <c r="B682" s="58"/>
      <c r="C682" s="59"/>
      <c r="D682" s="59"/>
      <c r="E682" s="8"/>
      <c r="F682" s="60"/>
      <c r="G682" s="71"/>
      <c r="H682" s="60"/>
      <c r="I682" s="8"/>
      <c r="J682" s="66">
        <v>0</v>
      </c>
      <c r="K682" s="67">
        <f t="shared" si="36"/>
        <v>0</v>
      </c>
    </row>
    <row r="683" spans="1:26" ht="12.75" hidden="1">
      <c r="A683" s="72"/>
      <c r="B683" s="73"/>
      <c r="C683" s="74"/>
      <c r="D683" s="74"/>
      <c r="E683" s="1"/>
      <c r="F683" s="62"/>
      <c r="G683" s="64"/>
      <c r="H683" s="62"/>
      <c r="J683" s="74">
        <v>0</v>
      </c>
      <c r="K683" s="64">
        <f t="shared" si="36"/>
        <v>0</v>
      </c>
    </row>
    <row r="684" spans="1:26" ht="12.75" hidden="1">
      <c r="A684" s="72"/>
      <c r="B684" s="73"/>
      <c r="C684" s="74"/>
      <c r="D684" s="74"/>
      <c r="E684" s="1"/>
      <c r="F684" s="62"/>
      <c r="G684" s="64"/>
      <c r="H684" s="62"/>
      <c r="J684" s="74">
        <v>0</v>
      </c>
      <c r="K684" s="64">
        <f t="shared" si="36"/>
        <v>0</v>
      </c>
    </row>
    <row r="685" spans="1:26" ht="15" hidden="1">
      <c r="A685" s="50"/>
      <c r="B685" s="51"/>
      <c r="C685" s="52"/>
      <c r="D685" s="52"/>
      <c r="E685" s="55"/>
      <c r="F685" s="53"/>
      <c r="G685" s="65"/>
      <c r="H685" s="53"/>
      <c r="I685" s="55"/>
      <c r="J685" s="52" t="s">
        <v>11</v>
      </c>
      <c r="K685" s="65" t="str">
        <f t="shared" ref="K685:K703" si="37">IF(E685="","",(J685*E685))</f>
        <v/>
      </c>
      <c r="L685" s="55"/>
      <c r="M685" s="55"/>
      <c r="N685" s="55"/>
      <c r="O685" s="55"/>
      <c r="P685" s="55"/>
      <c r="Q685" s="55"/>
      <c r="R685" s="55"/>
      <c r="S685" s="55"/>
      <c r="T685" s="55"/>
      <c r="U685" s="55"/>
      <c r="V685" s="55"/>
      <c r="W685" s="55"/>
      <c r="X685" s="55"/>
      <c r="Y685" s="55"/>
      <c r="Z685" s="55"/>
    </row>
    <row r="686" spans="1:26" ht="15" hidden="1">
      <c r="A686" s="50"/>
      <c r="B686" s="51"/>
      <c r="C686" s="52"/>
      <c r="D686" s="52"/>
      <c r="E686" s="55"/>
      <c r="F686" s="53"/>
      <c r="G686" s="65"/>
      <c r="H686" s="53"/>
      <c r="I686" s="55"/>
      <c r="J686" s="52" t="s">
        <v>11</v>
      </c>
      <c r="K686" s="65" t="str">
        <f t="shared" si="37"/>
        <v/>
      </c>
      <c r="L686" s="55"/>
      <c r="M686" s="55"/>
      <c r="N686" s="55"/>
      <c r="O686" s="55"/>
      <c r="P686" s="55"/>
      <c r="Q686" s="55"/>
      <c r="R686" s="55"/>
      <c r="S686" s="55"/>
      <c r="T686" s="55"/>
      <c r="U686" s="55"/>
      <c r="V686" s="55"/>
      <c r="W686" s="55"/>
      <c r="X686" s="55"/>
      <c r="Y686" s="55"/>
      <c r="Z686" s="55"/>
    </row>
    <row r="687" spans="1:26" ht="15" hidden="1">
      <c r="A687" s="50"/>
      <c r="B687" s="51"/>
      <c r="C687" s="52"/>
      <c r="D687" s="52"/>
      <c r="E687" s="55"/>
      <c r="F687" s="53"/>
      <c r="G687" s="65"/>
      <c r="H687" s="53"/>
      <c r="I687" s="55"/>
      <c r="J687" s="52" t="s">
        <v>11</v>
      </c>
      <c r="K687" s="65" t="str">
        <f t="shared" si="37"/>
        <v/>
      </c>
      <c r="L687" s="55"/>
      <c r="M687" s="55"/>
      <c r="N687" s="55"/>
      <c r="O687" s="55"/>
      <c r="P687" s="55"/>
      <c r="Q687" s="55"/>
      <c r="R687" s="55"/>
      <c r="S687" s="55"/>
      <c r="T687" s="55"/>
      <c r="U687" s="55"/>
      <c r="V687" s="55"/>
      <c r="W687" s="55"/>
      <c r="X687" s="55"/>
      <c r="Y687" s="55"/>
      <c r="Z687" s="55"/>
    </row>
    <row r="688" spans="1:26" ht="15" hidden="1">
      <c r="A688" s="50"/>
      <c r="B688" s="51"/>
      <c r="C688" s="52"/>
      <c r="D688" s="52"/>
      <c r="E688" s="55"/>
      <c r="F688" s="53"/>
      <c r="G688" s="65"/>
      <c r="H688" s="53"/>
      <c r="I688" s="55"/>
      <c r="J688" s="52" t="s">
        <v>11</v>
      </c>
      <c r="K688" s="65" t="str">
        <f t="shared" si="37"/>
        <v/>
      </c>
      <c r="L688" s="55"/>
      <c r="M688" s="55"/>
      <c r="N688" s="55"/>
      <c r="O688" s="55"/>
      <c r="P688" s="55"/>
      <c r="Q688" s="55"/>
      <c r="R688" s="55"/>
      <c r="S688" s="55"/>
      <c r="T688" s="55"/>
      <c r="U688" s="55"/>
      <c r="V688" s="55"/>
      <c r="W688" s="55"/>
      <c r="X688" s="55"/>
      <c r="Y688" s="55"/>
      <c r="Z688" s="55"/>
    </row>
    <row r="689" spans="1:26" ht="15" hidden="1">
      <c r="A689" s="50"/>
      <c r="B689" s="51"/>
      <c r="C689" s="52"/>
      <c r="D689" s="52"/>
      <c r="E689" s="55"/>
      <c r="F689" s="53"/>
      <c r="G689" s="65"/>
      <c r="H689" s="53"/>
      <c r="I689" s="55"/>
      <c r="J689" s="52" t="s">
        <v>11</v>
      </c>
      <c r="K689" s="65" t="str">
        <f t="shared" si="37"/>
        <v/>
      </c>
      <c r="L689" s="55"/>
      <c r="M689" s="55"/>
      <c r="N689" s="55"/>
      <c r="O689" s="55"/>
      <c r="P689" s="55"/>
      <c r="Q689" s="55"/>
      <c r="R689" s="55"/>
      <c r="S689" s="55"/>
      <c r="T689" s="55"/>
      <c r="U689" s="55"/>
      <c r="V689" s="55"/>
      <c r="W689" s="55"/>
      <c r="X689" s="55"/>
      <c r="Y689" s="55"/>
      <c r="Z689" s="55"/>
    </row>
    <row r="690" spans="1:26" ht="15" hidden="1">
      <c r="A690" s="50"/>
      <c r="B690" s="51"/>
      <c r="C690" s="52"/>
      <c r="D690" s="52"/>
      <c r="E690" s="55"/>
      <c r="F690" s="53"/>
      <c r="G690" s="65"/>
      <c r="H690" s="53"/>
      <c r="I690" s="55"/>
      <c r="J690" s="52" t="s">
        <v>11</v>
      </c>
      <c r="K690" s="65" t="str">
        <f t="shared" si="37"/>
        <v/>
      </c>
      <c r="L690" s="55"/>
      <c r="M690" s="55"/>
      <c r="N690" s="55"/>
      <c r="O690" s="55"/>
      <c r="P690" s="55"/>
      <c r="Q690" s="55"/>
      <c r="R690" s="55"/>
      <c r="S690" s="55"/>
      <c r="T690" s="55"/>
      <c r="U690" s="55"/>
      <c r="V690" s="55"/>
      <c r="W690" s="55"/>
      <c r="X690" s="55"/>
      <c r="Y690" s="55"/>
      <c r="Z690" s="55"/>
    </row>
    <row r="691" spans="1:26" ht="15" hidden="1">
      <c r="A691" s="50"/>
      <c r="B691" s="51"/>
      <c r="C691" s="52"/>
      <c r="D691" s="52"/>
      <c r="E691" s="55"/>
      <c r="F691" s="53"/>
      <c r="G691" s="65"/>
      <c r="H691" s="53"/>
      <c r="I691" s="55"/>
      <c r="J691" s="52" t="s">
        <v>11</v>
      </c>
      <c r="K691" s="65" t="str">
        <f t="shared" si="37"/>
        <v/>
      </c>
      <c r="L691" s="55"/>
      <c r="M691" s="55"/>
      <c r="N691" s="55"/>
      <c r="O691" s="55"/>
      <c r="P691" s="55"/>
      <c r="Q691" s="55"/>
      <c r="R691" s="55"/>
      <c r="S691" s="55"/>
      <c r="T691" s="55"/>
      <c r="U691" s="55"/>
      <c r="V691" s="55"/>
      <c r="W691" s="55"/>
      <c r="X691" s="55"/>
      <c r="Y691" s="55"/>
      <c r="Z691" s="55"/>
    </row>
    <row r="692" spans="1:26" ht="15" hidden="1">
      <c r="A692" s="50"/>
      <c r="B692" s="51"/>
      <c r="C692" s="52"/>
      <c r="D692" s="52"/>
      <c r="E692" s="55"/>
      <c r="F692" s="53"/>
      <c r="G692" s="65"/>
      <c r="H692" s="53"/>
      <c r="I692" s="55"/>
      <c r="J692" s="52" t="s">
        <v>11</v>
      </c>
      <c r="K692" s="65" t="str">
        <f t="shared" si="37"/>
        <v/>
      </c>
      <c r="L692" s="55"/>
      <c r="M692" s="55"/>
      <c r="N692" s="55"/>
      <c r="O692" s="55"/>
      <c r="P692" s="55"/>
      <c r="Q692" s="55"/>
      <c r="R692" s="55"/>
      <c r="S692" s="55"/>
      <c r="T692" s="55"/>
      <c r="U692" s="55"/>
      <c r="V692" s="55"/>
      <c r="W692" s="55"/>
      <c r="X692" s="55"/>
      <c r="Y692" s="55"/>
      <c r="Z692" s="55"/>
    </row>
    <row r="693" spans="1:26" ht="15" hidden="1">
      <c r="A693" s="50"/>
      <c r="B693" s="51"/>
      <c r="C693" s="52"/>
      <c r="D693" s="52"/>
      <c r="E693" s="55"/>
      <c r="F693" s="53"/>
      <c r="G693" s="65"/>
      <c r="H693" s="53"/>
      <c r="I693" s="55"/>
      <c r="J693" s="52" t="s">
        <v>11</v>
      </c>
      <c r="K693" s="65" t="str">
        <f t="shared" si="37"/>
        <v/>
      </c>
      <c r="L693" s="55"/>
      <c r="M693" s="55"/>
      <c r="N693" s="55"/>
      <c r="O693" s="55"/>
      <c r="P693" s="55"/>
      <c r="Q693" s="55"/>
      <c r="R693" s="55"/>
      <c r="S693" s="55"/>
      <c r="T693" s="55"/>
      <c r="U693" s="55"/>
      <c r="V693" s="55"/>
      <c r="W693" s="55"/>
      <c r="X693" s="55"/>
      <c r="Y693" s="55"/>
      <c r="Z693" s="55"/>
    </row>
    <row r="694" spans="1:26" ht="15" hidden="1">
      <c r="A694" s="50"/>
      <c r="B694" s="51"/>
      <c r="C694" s="52"/>
      <c r="D694" s="52"/>
      <c r="E694" s="55"/>
      <c r="F694" s="53"/>
      <c r="G694" s="65"/>
      <c r="H694" s="53"/>
      <c r="I694" s="55"/>
      <c r="J694" s="52" t="s">
        <v>11</v>
      </c>
      <c r="K694" s="65" t="str">
        <f t="shared" si="37"/>
        <v/>
      </c>
      <c r="L694" s="55"/>
      <c r="M694" s="55"/>
      <c r="N694" s="55"/>
      <c r="O694" s="55"/>
      <c r="P694" s="55"/>
      <c r="Q694" s="55"/>
      <c r="R694" s="55"/>
      <c r="S694" s="55"/>
      <c r="T694" s="55"/>
      <c r="U694" s="55"/>
      <c r="V694" s="55"/>
      <c r="W694" s="55"/>
      <c r="X694" s="55"/>
      <c r="Y694" s="55"/>
      <c r="Z694" s="55"/>
    </row>
    <row r="695" spans="1:26" ht="15" hidden="1">
      <c r="A695" s="50"/>
      <c r="B695" s="51"/>
      <c r="C695" s="52"/>
      <c r="D695" s="52"/>
      <c r="E695" s="55"/>
      <c r="F695" s="53"/>
      <c r="G695" s="65"/>
      <c r="H695" s="53"/>
      <c r="I695" s="55"/>
      <c r="J695" s="52" t="s">
        <v>11</v>
      </c>
      <c r="K695" s="65" t="str">
        <f t="shared" si="37"/>
        <v/>
      </c>
      <c r="L695" s="55"/>
      <c r="M695" s="55"/>
      <c r="N695" s="55"/>
      <c r="O695" s="55"/>
      <c r="P695" s="55"/>
      <c r="Q695" s="55"/>
      <c r="R695" s="55"/>
      <c r="S695" s="55"/>
      <c r="T695" s="55"/>
      <c r="U695" s="55"/>
      <c r="V695" s="55"/>
      <c r="W695" s="55"/>
      <c r="X695" s="55"/>
      <c r="Y695" s="55"/>
      <c r="Z695" s="55"/>
    </row>
    <row r="696" spans="1:26" ht="15" hidden="1">
      <c r="A696" s="50"/>
      <c r="B696" s="51"/>
      <c r="C696" s="52"/>
      <c r="D696" s="52"/>
      <c r="E696" s="55"/>
      <c r="F696" s="53"/>
      <c r="G696" s="65"/>
      <c r="H696" s="53"/>
      <c r="I696" s="55"/>
      <c r="J696" s="52" t="s">
        <v>11</v>
      </c>
      <c r="K696" s="65" t="str">
        <f t="shared" si="37"/>
        <v/>
      </c>
      <c r="L696" s="55"/>
      <c r="M696" s="55"/>
      <c r="N696" s="55"/>
      <c r="O696" s="55"/>
      <c r="P696" s="55"/>
      <c r="Q696" s="55"/>
      <c r="R696" s="55"/>
      <c r="S696" s="55"/>
      <c r="T696" s="55"/>
      <c r="U696" s="55"/>
      <c r="V696" s="55"/>
      <c r="W696" s="55"/>
      <c r="X696" s="55"/>
      <c r="Y696" s="55"/>
      <c r="Z696" s="55"/>
    </row>
    <row r="697" spans="1:26" ht="15" hidden="1">
      <c r="A697" s="50"/>
      <c r="B697" s="51"/>
      <c r="C697" s="52"/>
      <c r="D697" s="52"/>
      <c r="E697" s="55"/>
      <c r="F697" s="53"/>
      <c r="G697" s="65"/>
      <c r="H697" s="53"/>
      <c r="I697" s="55"/>
      <c r="J697" s="52" t="s">
        <v>11</v>
      </c>
      <c r="K697" s="65" t="str">
        <f t="shared" si="37"/>
        <v/>
      </c>
      <c r="L697" s="55"/>
      <c r="M697" s="55"/>
      <c r="N697" s="55"/>
      <c r="O697" s="55"/>
      <c r="P697" s="55"/>
      <c r="Q697" s="55"/>
      <c r="R697" s="55"/>
      <c r="S697" s="55"/>
      <c r="T697" s="55"/>
      <c r="U697" s="55"/>
      <c r="V697" s="55"/>
      <c r="W697" s="55"/>
      <c r="X697" s="55"/>
      <c r="Y697" s="55"/>
      <c r="Z697" s="55"/>
    </row>
    <row r="698" spans="1:26" ht="15" hidden="1">
      <c r="A698" s="50"/>
      <c r="B698" s="51"/>
      <c r="C698" s="52"/>
      <c r="D698" s="52"/>
      <c r="E698" s="55"/>
      <c r="F698" s="53"/>
      <c r="G698" s="65"/>
      <c r="H698" s="53"/>
      <c r="I698" s="55"/>
      <c r="J698" s="52" t="s">
        <v>11</v>
      </c>
      <c r="K698" s="65" t="str">
        <f t="shared" si="37"/>
        <v/>
      </c>
      <c r="L698" s="55"/>
      <c r="M698" s="55"/>
      <c r="N698" s="55"/>
      <c r="O698" s="55"/>
      <c r="P698" s="55"/>
      <c r="Q698" s="55"/>
      <c r="R698" s="55"/>
      <c r="S698" s="55"/>
      <c r="T698" s="55"/>
      <c r="U698" s="55"/>
      <c r="V698" s="55"/>
      <c r="W698" s="55"/>
      <c r="X698" s="55"/>
      <c r="Y698" s="55"/>
      <c r="Z698" s="55"/>
    </row>
    <row r="699" spans="1:26" ht="15" hidden="1">
      <c r="A699" s="50"/>
      <c r="B699" s="51"/>
      <c r="C699" s="52"/>
      <c r="D699" s="52"/>
      <c r="E699" s="55"/>
      <c r="F699" s="53"/>
      <c r="G699" s="65"/>
      <c r="H699" s="53"/>
      <c r="I699" s="55"/>
      <c r="J699" s="52" t="s">
        <v>11</v>
      </c>
      <c r="K699" s="65" t="str">
        <f t="shared" si="37"/>
        <v/>
      </c>
      <c r="L699" s="55"/>
      <c r="M699" s="55"/>
      <c r="N699" s="55"/>
      <c r="O699" s="55"/>
      <c r="P699" s="55"/>
      <c r="Q699" s="55"/>
      <c r="R699" s="55"/>
      <c r="S699" s="55"/>
      <c r="T699" s="55"/>
      <c r="U699" s="55"/>
      <c r="V699" s="55"/>
      <c r="W699" s="55"/>
      <c r="X699" s="55"/>
      <c r="Y699" s="55"/>
      <c r="Z699" s="55"/>
    </row>
    <row r="700" spans="1:26" ht="15" hidden="1">
      <c r="A700" s="50"/>
      <c r="B700" s="51"/>
      <c r="C700" s="52"/>
      <c r="D700" s="52"/>
      <c r="E700" s="55"/>
      <c r="F700" s="53"/>
      <c r="G700" s="65"/>
      <c r="H700" s="53"/>
      <c r="I700" s="55"/>
      <c r="J700" s="52" t="s">
        <v>11</v>
      </c>
      <c r="K700" s="65" t="str">
        <f t="shared" si="37"/>
        <v/>
      </c>
      <c r="L700" s="55"/>
      <c r="M700" s="55"/>
      <c r="N700" s="55"/>
      <c r="O700" s="55"/>
      <c r="P700" s="55"/>
      <c r="Q700" s="55"/>
      <c r="R700" s="55"/>
      <c r="S700" s="55"/>
      <c r="T700" s="55"/>
      <c r="U700" s="55"/>
      <c r="V700" s="55"/>
      <c r="W700" s="55"/>
      <c r="X700" s="55"/>
      <c r="Y700" s="55"/>
      <c r="Z700" s="55"/>
    </row>
    <row r="701" spans="1:26" ht="15" hidden="1">
      <c r="A701" s="50"/>
      <c r="B701" s="51"/>
      <c r="C701" s="52"/>
      <c r="D701" s="52"/>
      <c r="E701" s="55"/>
      <c r="F701" s="53"/>
      <c r="G701" s="65"/>
      <c r="H701" s="53"/>
      <c r="I701" s="55"/>
      <c r="J701" s="52" t="s">
        <v>11</v>
      </c>
      <c r="K701" s="65" t="str">
        <f t="shared" si="37"/>
        <v/>
      </c>
      <c r="L701" s="55"/>
      <c r="M701" s="55"/>
      <c r="N701" s="55"/>
      <c r="O701" s="55"/>
      <c r="P701" s="55"/>
      <c r="Q701" s="55"/>
      <c r="R701" s="55"/>
      <c r="S701" s="55"/>
      <c r="T701" s="55"/>
      <c r="U701" s="55"/>
      <c r="V701" s="55"/>
      <c r="W701" s="55"/>
      <c r="X701" s="55"/>
      <c r="Y701" s="55"/>
      <c r="Z701" s="55"/>
    </row>
    <row r="702" spans="1:26" ht="15" hidden="1">
      <c r="A702" s="50"/>
      <c r="B702" s="51"/>
      <c r="C702" s="52"/>
      <c r="D702" s="52"/>
      <c r="E702" s="55"/>
      <c r="F702" s="53"/>
      <c r="G702" s="65"/>
      <c r="H702" s="53"/>
      <c r="I702" s="55"/>
      <c r="J702" s="52" t="s">
        <v>11</v>
      </c>
      <c r="K702" s="65" t="str">
        <f t="shared" si="37"/>
        <v/>
      </c>
      <c r="L702" s="55"/>
      <c r="M702" s="55"/>
      <c r="N702" s="55"/>
      <c r="O702" s="55"/>
      <c r="P702" s="55"/>
      <c r="Q702" s="55"/>
      <c r="R702" s="55"/>
      <c r="S702" s="55"/>
      <c r="T702" s="55"/>
      <c r="U702" s="55"/>
      <c r="V702" s="55"/>
      <c r="W702" s="55"/>
      <c r="X702" s="55"/>
      <c r="Y702" s="55"/>
      <c r="Z702" s="55"/>
    </row>
    <row r="703" spans="1:26" ht="15" hidden="1">
      <c r="A703" s="50"/>
      <c r="B703" s="51"/>
      <c r="C703" s="52"/>
      <c r="D703" s="52"/>
      <c r="E703" s="55"/>
      <c r="F703" s="53"/>
      <c r="G703" s="65"/>
      <c r="H703" s="53"/>
      <c r="I703" s="55"/>
      <c r="J703" s="52" t="s">
        <v>11</v>
      </c>
      <c r="K703" s="65" t="str">
        <f t="shared" si="37"/>
        <v/>
      </c>
      <c r="L703" s="55"/>
      <c r="M703" s="55"/>
      <c r="N703" s="55"/>
      <c r="O703" s="55"/>
      <c r="P703" s="55"/>
      <c r="Q703" s="55"/>
      <c r="R703" s="55"/>
      <c r="S703" s="55"/>
      <c r="T703" s="55"/>
      <c r="U703" s="55"/>
      <c r="V703" s="55"/>
      <c r="W703" s="55"/>
      <c r="X703" s="55"/>
      <c r="Y703" s="55"/>
      <c r="Z703" s="55"/>
    </row>
    <row r="704" spans="1:26" ht="12.75" hidden="1">
      <c r="A704" s="57"/>
      <c r="B704" s="58"/>
      <c r="C704" s="59"/>
      <c r="D704" s="59"/>
      <c r="E704" s="8"/>
      <c r="F704" s="60"/>
      <c r="G704" s="71"/>
      <c r="H704" s="60"/>
      <c r="I704" s="8"/>
      <c r="J704" s="66">
        <v>0</v>
      </c>
      <c r="K704" s="67">
        <f t="shared" ref="K704:K712" si="38">J704*E704</f>
        <v>0</v>
      </c>
    </row>
    <row r="705" spans="1:26" ht="12.75" hidden="1">
      <c r="A705" s="57"/>
      <c r="B705" s="58"/>
      <c r="C705" s="59"/>
      <c r="D705" s="59"/>
      <c r="E705" s="8"/>
      <c r="F705" s="60"/>
      <c r="G705" s="71"/>
      <c r="H705" s="60"/>
      <c r="I705" s="8"/>
      <c r="J705" s="66">
        <v>0</v>
      </c>
      <c r="K705" s="67">
        <f t="shared" si="38"/>
        <v>0</v>
      </c>
    </row>
    <row r="706" spans="1:26" ht="12.75" hidden="1">
      <c r="A706" s="57"/>
      <c r="B706" s="58"/>
      <c r="C706" s="59"/>
      <c r="D706" s="59"/>
      <c r="E706" s="8"/>
      <c r="F706" s="60"/>
      <c r="G706" s="71"/>
      <c r="H706" s="60"/>
      <c r="I706" s="8"/>
      <c r="J706" s="66">
        <v>0</v>
      </c>
      <c r="K706" s="67">
        <f t="shared" si="38"/>
        <v>0</v>
      </c>
    </row>
    <row r="707" spans="1:26" ht="12.75" hidden="1">
      <c r="A707" s="72"/>
      <c r="B707" s="73"/>
      <c r="C707" s="74"/>
      <c r="D707" s="74"/>
      <c r="E707" s="1"/>
      <c r="F707" s="62"/>
      <c r="G707" s="64"/>
      <c r="H707" s="62"/>
      <c r="J707" s="74">
        <v>0</v>
      </c>
      <c r="K707" s="64">
        <f t="shared" si="38"/>
        <v>0</v>
      </c>
    </row>
    <row r="708" spans="1:26" ht="12.75" hidden="1">
      <c r="A708" s="72"/>
      <c r="B708" s="73"/>
      <c r="C708" s="74"/>
      <c r="D708" s="74"/>
      <c r="E708" s="1"/>
      <c r="F708" s="62"/>
      <c r="G708" s="64"/>
      <c r="H708" s="62"/>
      <c r="J708" s="74">
        <v>0</v>
      </c>
      <c r="K708" s="64">
        <f t="shared" si="38"/>
        <v>0</v>
      </c>
    </row>
    <row r="709" spans="1:26" ht="12.75" hidden="1">
      <c r="A709" s="72"/>
      <c r="B709" s="73"/>
      <c r="C709" s="74"/>
      <c r="D709" s="74"/>
      <c r="E709" s="1"/>
      <c r="F709" s="62"/>
      <c r="G709" s="64"/>
      <c r="H709" s="62"/>
      <c r="J709" s="74">
        <v>0</v>
      </c>
      <c r="K709" s="64">
        <f t="shared" si="38"/>
        <v>0</v>
      </c>
    </row>
    <row r="710" spans="1:26" ht="12.75" hidden="1">
      <c r="A710" s="72"/>
      <c r="B710" s="73"/>
      <c r="C710" s="74"/>
      <c r="D710" s="74"/>
      <c r="E710" s="1"/>
      <c r="F710" s="62"/>
      <c r="G710" s="64"/>
      <c r="H710" s="62"/>
      <c r="J710" s="74">
        <v>0</v>
      </c>
      <c r="K710" s="64">
        <f t="shared" si="38"/>
        <v>0</v>
      </c>
    </row>
    <row r="711" spans="1:26" ht="12.75" hidden="1">
      <c r="A711" s="72"/>
      <c r="B711" s="73"/>
      <c r="C711" s="74"/>
      <c r="D711" s="74"/>
      <c r="E711" s="1"/>
      <c r="F711" s="62"/>
      <c r="G711" s="64"/>
      <c r="H711" s="62"/>
      <c r="J711" s="74">
        <v>0</v>
      </c>
      <c r="K711" s="64">
        <f t="shared" si="38"/>
        <v>0</v>
      </c>
    </row>
    <row r="712" spans="1:26" ht="12.75" hidden="1">
      <c r="A712" s="72"/>
      <c r="B712" s="73"/>
      <c r="C712" s="74"/>
      <c r="D712" s="74"/>
      <c r="E712" s="1"/>
      <c r="F712" s="62"/>
      <c r="G712" s="64"/>
      <c r="H712" s="62"/>
      <c r="J712" s="74">
        <v>0</v>
      </c>
      <c r="K712" s="64">
        <f t="shared" si="38"/>
        <v>0</v>
      </c>
    </row>
    <row r="713" spans="1:26" ht="15">
      <c r="A713" s="50"/>
      <c r="B713" s="51"/>
      <c r="C713" s="52"/>
      <c r="D713" s="52"/>
      <c r="E713" s="53"/>
      <c r="F713" s="53"/>
      <c r="G713" s="65"/>
      <c r="H713" s="53"/>
      <c r="I713" s="55"/>
      <c r="J713" s="52">
        <v>10</v>
      </c>
      <c r="K713" s="56" t="str">
        <f t="shared" ref="K713:K716" si="39">IF(E713="","",(J713*E713))</f>
        <v/>
      </c>
      <c r="L713" s="55"/>
      <c r="M713" s="55"/>
      <c r="N713" s="55"/>
      <c r="O713" s="55"/>
      <c r="P713" s="55"/>
      <c r="Q713" s="55"/>
      <c r="R713" s="55"/>
      <c r="S713" s="55"/>
      <c r="T713" s="55"/>
      <c r="U713" s="55"/>
      <c r="V713" s="55"/>
      <c r="W713" s="55"/>
      <c r="X713" s="55"/>
      <c r="Y713" s="55"/>
      <c r="Z713" s="55"/>
    </row>
    <row r="714" spans="1:26" ht="15">
      <c r="A714" s="50"/>
      <c r="B714" s="51"/>
      <c r="C714" s="52"/>
      <c r="D714" s="52"/>
      <c r="E714" s="53"/>
      <c r="F714" s="53"/>
      <c r="G714" s="65"/>
      <c r="H714" s="53"/>
      <c r="I714" s="55"/>
      <c r="J714" s="52">
        <v>5</v>
      </c>
      <c r="K714" s="56" t="str">
        <f t="shared" si="39"/>
        <v/>
      </c>
      <c r="L714" s="55"/>
      <c r="M714" s="55"/>
      <c r="N714" s="55"/>
      <c r="O714" s="55"/>
      <c r="P714" s="55"/>
      <c r="Q714" s="55"/>
      <c r="R714" s="55"/>
      <c r="S714" s="55"/>
      <c r="T714" s="55"/>
      <c r="U714" s="55"/>
      <c r="V714" s="55"/>
      <c r="W714" s="55"/>
      <c r="X714" s="55"/>
      <c r="Y714" s="55"/>
      <c r="Z714" s="55"/>
    </row>
    <row r="715" spans="1:26" ht="15">
      <c r="A715" s="50"/>
      <c r="B715" s="51"/>
      <c r="C715" s="52"/>
      <c r="D715" s="52"/>
      <c r="E715" s="53"/>
      <c r="F715" s="53"/>
      <c r="G715" s="65"/>
      <c r="H715" s="53"/>
      <c r="I715" s="55"/>
      <c r="J715" s="52">
        <v>5</v>
      </c>
      <c r="K715" s="56" t="str">
        <f t="shared" si="39"/>
        <v/>
      </c>
      <c r="L715" s="55"/>
      <c r="M715" s="55"/>
      <c r="N715" s="55"/>
      <c r="O715" s="55"/>
      <c r="P715" s="55"/>
      <c r="Q715" s="55"/>
      <c r="R715" s="55"/>
      <c r="S715" s="55"/>
      <c r="T715" s="55"/>
      <c r="U715" s="55"/>
      <c r="V715" s="55"/>
      <c r="W715" s="55"/>
      <c r="X715" s="55"/>
      <c r="Y715" s="55"/>
      <c r="Z715" s="55"/>
    </row>
    <row r="716" spans="1:26" ht="15">
      <c r="A716" s="50"/>
      <c r="B716" s="51"/>
      <c r="C716" s="52"/>
      <c r="D716" s="52"/>
      <c r="E716" s="53"/>
      <c r="F716" s="53"/>
      <c r="G716" s="65"/>
      <c r="H716" s="53"/>
      <c r="I716" s="55"/>
      <c r="J716" s="52"/>
      <c r="K716" s="56" t="str">
        <f t="shared" si="39"/>
        <v/>
      </c>
      <c r="L716" s="55"/>
      <c r="M716" s="55"/>
      <c r="N716" s="55"/>
      <c r="O716" s="55"/>
      <c r="P716" s="55"/>
      <c r="Q716" s="55"/>
      <c r="R716" s="55"/>
      <c r="S716" s="55"/>
      <c r="T716" s="55"/>
      <c r="U716" s="55"/>
      <c r="V716" s="55"/>
      <c r="W716" s="55"/>
      <c r="X716" s="55"/>
      <c r="Y716" s="55"/>
      <c r="Z716" s="55"/>
    </row>
    <row r="717" spans="1:26" ht="18">
      <c r="A717" s="50"/>
      <c r="B717" s="51"/>
      <c r="C717" s="52"/>
      <c r="D717" s="52"/>
      <c r="E717" s="53"/>
      <c r="F717" s="53"/>
      <c r="G717" s="65"/>
      <c r="H717" s="53"/>
      <c r="I717" s="55"/>
      <c r="J717" s="52"/>
      <c r="K717" s="75" t="e">
        <f>SUM(K2:K716)</f>
        <v>#VALUE!</v>
      </c>
      <c r="L717" s="76"/>
      <c r="M717" s="55"/>
      <c r="N717" s="55"/>
      <c r="O717" s="55"/>
      <c r="P717" s="55"/>
      <c r="Q717" s="55"/>
      <c r="R717" s="55"/>
      <c r="S717" s="55"/>
      <c r="T717" s="55"/>
      <c r="U717" s="55"/>
      <c r="V717" s="55"/>
      <c r="W717" s="55"/>
      <c r="X717" s="55"/>
      <c r="Y717" s="55"/>
      <c r="Z717" s="55"/>
    </row>
    <row r="718" spans="1:26" ht="15">
      <c r="A718" s="49"/>
      <c r="B718" s="77"/>
      <c r="C718" s="52"/>
      <c r="D718" s="52"/>
      <c r="E718" s="53"/>
      <c r="F718" s="53"/>
      <c r="G718" s="65"/>
      <c r="H718" s="53"/>
      <c r="I718" s="55"/>
      <c r="J718" s="52"/>
      <c r="K718" s="56"/>
      <c r="L718" s="55"/>
      <c r="M718" s="55"/>
      <c r="N718" s="55"/>
      <c r="O718" s="55"/>
      <c r="P718" s="55"/>
      <c r="Q718" s="55"/>
      <c r="R718" s="55"/>
      <c r="S718" s="55"/>
      <c r="T718" s="55"/>
      <c r="U718" s="55"/>
      <c r="V718" s="55"/>
      <c r="W718" s="55"/>
      <c r="X718" s="55"/>
      <c r="Y718" s="55"/>
      <c r="Z718" s="55"/>
    </row>
    <row r="719" spans="1:26" ht="15">
      <c r="A719" s="49"/>
      <c r="B719" s="77"/>
      <c r="C719" s="52"/>
      <c r="D719" s="52"/>
      <c r="E719" s="53"/>
      <c r="F719" s="53"/>
      <c r="G719" s="65"/>
      <c r="H719" s="53"/>
      <c r="I719" s="55"/>
      <c r="J719" s="52"/>
      <c r="K719" s="56"/>
      <c r="L719" s="55"/>
      <c r="M719" s="55"/>
      <c r="N719" s="55"/>
      <c r="O719" s="55"/>
      <c r="P719" s="55"/>
      <c r="Q719" s="55"/>
      <c r="R719" s="55"/>
      <c r="S719" s="55"/>
      <c r="T719" s="55"/>
      <c r="U719" s="55"/>
      <c r="V719" s="55"/>
      <c r="W719" s="55"/>
      <c r="X719" s="55"/>
      <c r="Y719" s="55"/>
      <c r="Z719" s="55"/>
    </row>
    <row r="720" spans="1:26" ht="15">
      <c r="A720" s="49"/>
      <c r="B720" s="77"/>
      <c r="C720" s="52"/>
      <c r="D720" s="52"/>
      <c r="E720" s="53"/>
      <c r="F720" s="53"/>
      <c r="G720" s="65"/>
      <c r="H720" s="53"/>
      <c r="I720" s="55"/>
      <c r="J720" s="52"/>
      <c r="K720" s="56"/>
      <c r="L720" s="55"/>
      <c r="M720" s="55"/>
      <c r="N720" s="55"/>
      <c r="O720" s="55"/>
      <c r="P720" s="55"/>
      <c r="Q720" s="55"/>
      <c r="R720" s="55"/>
      <c r="S720" s="55"/>
      <c r="T720" s="55"/>
      <c r="U720" s="55"/>
      <c r="V720" s="55"/>
      <c r="W720" s="55"/>
      <c r="X720" s="55"/>
      <c r="Y720" s="55"/>
      <c r="Z720" s="55"/>
    </row>
    <row r="721" spans="1:26" ht="15">
      <c r="A721" s="49"/>
      <c r="B721" s="77"/>
      <c r="C721" s="52"/>
      <c r="D721" s="52"/>
      <c r="E721" s="53"/>
      <c r="F721" s="53"/>
      <c r="G721" s="65"/>
      <c r="H721" s="53"/>
      <c r="I721" s="55"/>
      <c r="J721" s="52"/>
      <c r="K721" s="56"/>
      <c r="L721" s="55"/>
      <c r="M721" s="55"/>
      <c r="N721" s="55"/>
      <c r="O721" s="55"/>
      <c r="P721" s="55"/>
      <c r="Q721" s="55"/>
      <c r="R721" s="55"/>
      <c r="S721" s="55"/>
      <c r="T721" s="55"/>
      <c r="U721" s="55"/>
      <c r="V721" s="55"/>
      <c r="W721" s="55"/>
      <c r="X721" s="55"/>
      <c r="Y721" s="55"/>
      <c r="Z721" s="55"/>
    </row>
    <row r="722" spans="1:26" ht="15">
      <c r="A722" s="49"/>
      <c r="B722" s="77"/>
      <c r="C722" s="52"/>
      <c r="D722" s="52"/>
      <c r="E722" s="53"/>
      <c r="F722" s="53"/>
      <c r="G722" s="65"/>
      <c r="H722" s="53"/>
      <c r="I722" s="55"/>
      <c r="J722" s="52"/>
      <c r="K722" s="56"/>
      <c r="L722" s="55"/>
      <c r="M722" s="55"/>
      <c r="N722" s="55"/>
      <c r="O722" s="55"/>
      <c r="P722" s="55"/>
      <c r="Q722" s="55"/>
      <c r="R722" s="55"/>
      <c r="S722" s="55"/>
      <c r="T722" s="55"/>
      <c r="U722" s="55"/>
      <c r="V722" s="55"/>
      <c r="W722" s="55"/>
      <c r="X722" s="55"/>
      <c r="Y722" s="55"/>
      <c r="Z722" s="55"/>
    </row>
    <row r="723" spans="1:26" ht="15">
      <c r="A723" s="49"/>
      <c r="B723" s="77"/>
      <c r="C723" s="52"/>
      <c r="D723" s="52"/>
      <c r="E723" s="53"/>
      <c r="F723" s="53"/>
      <c r="G723" s="65"/>
      <c r="H723" s="53"/>
      <c r="I723" s="55"/>
      <c r="J723" s="52"/>
      <c r="K723" s="56"/>
      <c r="L723" s="55"/>
      <c r="M723" s="55"/>
      <c r="N723" s="55"/>
      <c r="O723" s="55"/>
      <c r="P723" s="55"/>
      <c r="Q723" s="55"/>
      <c r="R723" s="55"/>
      <c r="S723" s="55"/>
      <c r="T723" s="55"/>
      <c r="U723" s="55"/>
      <c r="V723" s="55"/>
      <c r="W723" s="55"/>
      <c r="X723" s="55"/>
      <c r="Y723" s="55"/>
      <c r="Z723" s="55"/>
    </row>
    <row r="724" spans="1:26" ht="15">
      <c r="A724" s="49"/>
      <c r="B724" s="77"/>
      <c r="C724" s="52"/>
      <c r="D724" s="52"/>
      <c r="E724" s="53"/>
      <c r="F724" s="53"/>
      <c r="G724" s="65"/>
      <c r="H724" s="53"/>
      <c r="I724" s="55"/>
      <c r="J724" s="52"/>
      <c r="K724" s="56"/>
      <c r="L724" s="55"/>
      <c r="M724" s="55"/>
      <c r="N724" s="55"/>
      <c r="O724" s="55"/>
      <c r="P724" s="55"/>
      <c r="Q724" s="55"/>
      <c r="R724" s="55"/>
      <c r="S724" s="55"/>
      <c r="T724" s="55"/>
      <c r="U724" s="55"/>
      <c r="V724" s="55"/>
      <c r="W724" s="55"/>
      <c r="X724" s="55"/>
      <c r="Y724" s="55"/>
      <c r="Z724" s="55"/>
    </row>
    <row r="725" spans="1:26" ht="15">
      <c r="A725" s="49"/>
      <c r="B725" s="77"/>
      <c r="C725" s="52"/>
      <c r="D725" s="52"/>
      <c r="E725" s="53"/>
      <c r="F725" s="53"/>
      <c r="G725" s="65"/>
      <c r="H725" s="53"/>
      <c r="I725" s="55"/>
      <c r="J725" s="52"/>
      <c r="K725" s="56"/>
      <c r="L725" s="55"/>
      <c r="M725" s="55"/>
      <c r="N725" s="55"/>
      <c r="O725" s="55"/>
      <c r="P725" s="55"/>
      <c r="Q725" s="55"/>
      <c r="R725" s="55"/>
      <c r="S725" s="55"/>
      <c r="T725" s="55"/>
      <c r="U725" s="55"/>
      <c r="V725" s="55"/>
      <c r="W725" s="55"/>
      <c r="X725" s="55"/>
      <c r="Y725" s="55"/>
      <c r="Z725" s="55"/>
    </row>
    <row r="726" spans="1:26" ht="15">
      <c r="A726" s="49"/>
      <c r="B726" s="77"/>
      <c r="C726" s="52"/>
      <c r="D726" s="52"/>
      <c r="E726" s="53"/>
      <c r="F726" s="53"/>
      <c r="G726" s="65"/>
      <c r="H726" s="53"/>
      <c r="I726" s="55"/>
      <c r="J726" s="52"/>
      <c r="K726" s="56"/>
      <c r="L726" s="55"/>
      <c r="M726" s="55"/>
      <c r="N726" s="55"/>
      <c r="O726" s="55"/>
      <c r="P726" s="55"/>
      <c r="Q726" s="55"/>
      <c r="R726" s="55"/>
      <c r="S726" s="55"/>
      <c r="T726" s="55"/>
      <c r="U726" s="55"/>
      <c r="V726" s="55"/>
      <c r="W726" s="55"/>
      <c r="X726" s="55"/>
      <c r="Y726" s="55"/>
      <c r="Z726" s="55"/>
    </row>
    <row r="727" spans="1:26" ht="15">
      <c r="A727" s="49"/>
      <c r="B727" s="77"/>
      <c r="C727" s="52"/>
      <c r="D727" s="52"/>
      <c r="E727" s="53"/>
      <c r="F727" s="53"/>
      <c r="G727" s="65"/>
      <c r="H727" s="53"/>
      <c r="I727" s="55"/>
      <c r="J727" s="52"/>
      <c r="K727" s="56"/>
      <c r="L727" s="55"/>
      <c r="M727" s="55"/>
      <c r="N727" s="55"/>
      <c r="O727" s="55"/>
      <c r="P727" s="55"/>
      <c r="Q727" s="55"/>
      <c r="R727" s="55"/>
      <c r="S727" s="55"/>
      <c r="T727" s="55"/>
      <c r="U727" s="55"/>
      <c r="V727" s="55"/>
      <c r="W727" s="55"/>
      <c r="X727" s="55"/>
      <c r="Y727" s="55"/>
      <c r="Z727" s="55"/>
    </row>
    <row r="728" spans="1:26" ht="15">
      <c r="A728" s="49"/>
      <c r="B728" s="77"/>
      <c r="C728" s="52"/>
      <c r="D728" s="52"/>
      <c r="E728" s="53"/>
      <c r="F728" s="53"/>
      <c r="G728" s="65"/>
      <c r="H728" s="53"/>
      <c r="I728" s="55"/>
      <c r="J728" s="52"/>
      <c r="K728" s="56"/>
      <c r="L728" s="55"/>
      <c r="M728" s="55"/>
      <c r="N728" s="55"/>
      <c r="O728" s="55"/>
      <c r="P728" s="55"/>
      <c r="Q728" s="55"/>
      <c r="R728" s="55"/>
      <c r="S728" s="55"/>
      <c r="T728" s="55"/>
      <c r="U728" s="55"/>
      <c r="V728" s="55"/>
      <c r="W728" s="55"/>
      <c r="X728" s="55"/>
      <c r="Y728" s="55"/>
      <c r="Z728" s="55"/>
    </row>
    <row r="729" spans="1:26" ht="15">
      <c r="A729" s="49"/>
      <c r="B729" s="77"/>
      <c r="C729" s="52"/>
      <c r="D729" s="52"/>
      <c r="E729" s="53"/>
      <c r="F729" s="53"/>
      <c r="G729" s="65"/>
      <c r="H729" s="53"/>
      <c r="I729" s="55"/>
      <c r="J729" s="52"/>
      <c r="K729" s="56"/>
      <c r="L729" s="55"/>
      <c r="M729" s="55"/>
      <c r="N729" s="55"/>
      <c r="O729" s="55"/>
      <c r="P729" s="55"/>
      <c r="Q729" s="55"/>
      <c r="R729" s="55"/>
      <c r="S729" s="55"/>
      <c r="T729" s="55"/>
      <c r="U729" s="55"/>
      <c r="V729" s="55"/>
      <c r="W729" s="55"/>
      <c r="X729" s="55"/>
      <c r="Y729" s="55"/>
      <c r="Z729" s="55"/>
    </row>
    <row r="730" spans="1:26" ht="15">
      <c r="A730" s="49"/>
      <c r="B730" s="77"/>
      <c r="C730" s="52"/>
      <c r="D730" s="52"/>
      <c r="E730" s="53"/>
      <c r="F730" s="53"/>
      <c r="G730" s="65"/>
      <c r="H730" s="53"/>
      <c r="I730" s="55"/>
      <c r="J730" s="52"/>
      <c r="K730" s="56"/>
      <c r="L730" s="55"/>
      <c r="M730" s="55"/>
      <c r="N730" s="55"/>
      <c r="O730" s="55"/>
      <c r="P730" s="55"/>
      <c r="Q730" s="55"/>
      <c r="R730" s="55"/>
      <c r="S730" s="55"/>
      <c r="T730" s="55"/>
      <c r="U730" s="55"/>
      <c r="V730" s="55"/>
      <c r="W730" s="55"/>
      <c r="X730" s="55"/>
      <c r="Y730" s="55"/>
      <c r="Z730" s="55"/>
    </row>
    <row r="731" spans="1:26" ht="15">
      <c r="A731" s="49"/>
      <c r="B731" s="77"/>
      <c r="C731" s="52"/>
      <c r="D731" s="52"/>
      <c r="E731" s="53"/>
      <c r="F731" s="53"/>
      <c r="G731" s="65"/>
      <c r="H731" s="53"/>
      <c r="I731" s="55"/>
      <c r="J731" s="52"/>
      <c r="K731" s="56"/>
      <c r="L731" s="55"/>
      <c r="M731" s="55"/>
      <c r="N731" s="55"/>
      <c r="O731" s="55"/>
      <c r="P731" s="55"/>
      <c r="Q731" s="55"/>
      <c r="R731" s="55"/>
      <c r="S731" s="55"/>
      <c r="T731" s="55"/>
      <c r="U731" s="55"/>
      <c r="V731" s="55"/>
      <c r="W731" s="55"/>
      <c r="X731" s="55"/>
      <c r="Y731" s="55"/>
      <c r="Z731" s="55"/>
    </row>
    <row r="732" spans="1:26" ht="15">
      <c r="A732" s="49"/>
      <c r="B732" s="77"/>
      <c r="C732" s="52"/>
      <c r="D732" s="52"/>
      <c r="E732" s="53"/>
      <c r="F732" s="53"/>
      <c r="G732" s="65"/>
      <c r="H732" s="53"/>
      <c r="I732" s="55"/>
      <c r="J732" s="52"/>
      <c r="K732" s="56"/>
      <c r="L732" s="55"/>
      <c r="M732" s="55"/>
      <c r="N732" s="55"/>
      <c r="O732" s="55"/>
      <c r="P732" s="55"/>
      <c r="Q732" s="55"/>
      <c r="R732" s="55"/>
      <c r="S732" s="55"/>
      <c r="T732" s="55"/>
      <c r="U732" s="55"/>
      <c r="V732" s="55"/>
      <c r="W732" s="55"/>
      <c r="X732" s="55"/>
      <c r="Y732" s="55"/>
      <c r="Z732" s="55"/>
    </row>
    <row r="733" spans="1:26" ht="15">
      <c r="A733" s="49"/>
      <c r="B733" s="77"/>
      <c r="C733" s="52"/>
      <c r="D733" s="52"/>
      <c r="E733" s="53"/>
      <c r="F733" s="53"/>
      <c r="G733" s="65"/>
      <c r="H733" s="53"/>
      <c r="I733" s="55"/>
      <c r="J733" s="52"/>
      <c r="K733" s="56"/>
      <c r="L733" s="55"/>
      <c r="M733" s="55"/>
      <c r="N733" s="55"/>
      <c r="O733" s="55"/>
      <c r="P733" s="55"/>
      <c r="Q733" s="55"/>
      <c r="R733" s="55"/>
      <c r="S733" s="55"/>
      <c r="T733" s="55"/>
      <c r="U733" s="55"/>
      <c r="V733" s="55"/>
      <c r="W733" s="55"/>
      <c r="X733" s="55"/>
      <c r="Y733" s="55"/>
      <c r="Z733" s="55"/>
    </row>
    <row r="734" spans="1:26" ht="15">
      <c r="A734" s="49"/>
      <c r="B734" s="77"/>
      <c r="C734" s="52"/>
      <c r="D734" s="52"/>
      <c r="E734" s="53"/>
      <c r="F734" s="53"/>
      <c r="G734" s="65"/>
      <c r="H734" s="53"/>
      <c r="I734" s="55"/>
      <c r="J734" s="52"/>
      <c r="K734" s="56"/>
      <c r="L734" s="55"/>
      <c r="M734" s="55"/>
      <c r="N734" s="55"/>
      <c r="O734" s="55"/>
      <c r="P734" s="55"/>
      <c r="Q734" s="55"/>
      <c r="R734" s="55"/>
      <c r="S734" s="55"/>
      <c r="T734" s="55"/>
      <c r="U734" s="55"/>
      <c r="V734" s="55"/>
      <c r="W734" s="55"/>
      <c r="X734" s="55"/>
      <c r="Y734" s="55"/>
      <c r="Z734" s="55"/>
    </row>
    <row r="735" spans="1:26" ht="15">
      <c r="A735" s="49"/>
      <c r="B735" s="77"/>
      <c r="C735" s="52"/>
      <c r="D735" s="52"/>
      <c r="E735" s="53"/>
      <c r="F735" s="53"/>
      <c r="G735" s="65"/>
      <c r="H735" s="53"/>
      <c r="I735" s="55"/>
      <c r="J735" s="52"/>
      <c r="K735" s="56"/>
      <c r="L735" s="55"/>
      <c r="M735" s="55"/>
      <c r="N735" s="55"/>
      <c r="O735" s="55"/>
      <c r="P735" s="55"/>
      <c r="Q735" s="55"/>
      <c r="R735" s="55"/>
      <c r="S735" s="55"/>
      <c r="T735" s="55"/>
      <c r="U735" s="55"/>
      <c r="V735" s="55"/>
      <c r="W735" s="55"/>
      <c r="X735" s="55"/>
      <c r="Y735" s="55"/>
      <c r="Z735" s="55"/>
    </row>
    <row r="736" spans="1:26" ht="15">
      <c r="A736" s="49"/>
      <c r="B736" s="77"/>
      <c r="C736" s="52"/>
      <c r="D736" s="52"/>
      <c r="E736" s="53"/>
      <c r="F736" s="53"/>
      <c r="G736" s="65"/>
      <c r="H736" s="53"/>
      <c r="I736" s="55"/>
      <c r="J736" s="52"/>
      <c r="K736" s="56"/>
      <c r="L736" s="55"/>
      <c r="M736" s="55"/>
      <c r="N736" s="55"/>
      <c r="O736" s="55"/>
      <c r="P736" s="55"/>
      <c r="Q736" s="55"/>
      <c r="R736" s="55"/>
      <c r="S736" s="55"/>
      <c r="T736" s="55"/>
      <c r="U736" s="55"/>
      <c r="V736" s="55"/>
      <c r="W736" s="55"/>
      <c r="X736" s="55"/>
      <c r="Y736" s="55"/>
      <c r="Z736" s="55"/>
    </row>
    <row r="737" spans="1:26" ht="15">
      <c r="A737" s="49"/>
      <c r="B737" s="77"/>
      <c r="C737" s="52"/>
      <c r="D737" s="52"/>
      <c r="E737" s="53"/>
      <c r="F737" s="53"/>
      <c r="G737" s="65"/>
      <c r="H737" s="53"/>
      <c r="I737" s="55"/>
      <c r="J737" s="52"/>
      <c r="K737" s="56"/>
      <c r="L737" s="55"/>
      <c r="M737" s="55"/>
      <c r="N737" s="55"/>
      <c r="O737" s="55"/>
      <c r="P737" s="55"/>
      <c r="Q737" s="55"/>
      <c r="R737" s="55"/>
      <c r="S737" s="55"/>
      <c r="T737" s="55"/>
      <c r="U737" s="55"/>
      <c r="V737" s="55"/>
      <c r="W737" s="55"/>
      <c r="X737" s="55"/>
      <c r="Y737" s="55"/>
      <c r="Z737" s="55"/>
    </row>
    <row r="738" spans="1:26" ht="15">
      <c r="A738" s="49"/>
      <c r="B738" s="77"/>
      <c r="C738" s="52"/>
      <c r="D738" s="52"/>
      <c r="E738" s="53"/>
      <c r="F738" s="53"/>
      <c r="G738" s="65"/>
      <c r="H738" s="53"/>
      <c r="I738" s="55"/>
      <c r="J738" s="52"/>
      <c r="K738" s="56"/>
      <c r="L738" s="55"/>
      <c r="M738" s="55"/>
      <c r="N738" s="55"/>
      <c r="O738" s="55"/>
      <c r="P738" s="55"/>
      <c r="Q738" s="55"/>
      <c r="R738" s="55"/>
      <c r="S738" s="55"/>
      <c r="T738" s="55"/>
      <c r="U738" s="55"/>
      <c r="V738" s="55"/>
      <c r="W738" s="55"/>
      <c r="X738" s="55"/>
      <c r="Y738" s="55"/>
      <c r="Z738" s="55"/>
    </row>
    <row r="739" spans="1:26" ht="15">
      <c r="A739" s="49"/>
      <c r="B739" s="77"/>
      <c r="C739" s="52"/>
      <c r="D739" s="52"/>
      <c r="E739" s="53"/>
      <c r="F739" s="53"/>
      <c r="G739" s="65"/>
      <c r="H739" s="53"/>
      <c r="I739" s="55"/>
      <c r="J739" s="52"/>
      <c r="K739" s="56"/>
      <c r="L739" s="55"/>
      <c r="M739" s="55"/>
      <c r="N739" s="55"/>
      <c r="O739" s="55"/>
      <c r="P739" s="55"/>
      <c r="Q739" s="55"/>
      <c r="R739" s="55"/>
      <c r="S739" s="55"/>
      <c r="T739" s="55"/>
      <c r="U739" s="55"/>
      <c r="V739" s="55"/>
      <c r="W739" s="55"/>
      <c r="X739" s="55"/>
      <c r="Y739" s="55"/>
      <c r="Z739" s="55"/>
    </row>
    <row r="740" spans="1:26" ht="15">
      <c r="A740" s="49"/>
      <c r="B740" s="77"/>
      <c r="C740" s="52"/>
      <c r="D740" s="52"/>
      <c r="E740" s="53"/>
      <c r="F740" s="53"/>
      <c r="G740" s="65"/>
      <c r="H740" s="53"/>
      <c r="I740" s="55"/>
      <c r="J740" s="52"/>
      <c r="K740" s="56"/>
      <c r="L740" s="55"/>
      <c r="M740" s="55"/>
      <c r="N740" s="55"/>
      <c r="O740" s="55"/>
      <c r="P740" s="55"/>
      <c r="Q740" s="55"/>
      <c r="R740" s="55"/>
      <c r="S740" s="55"/>
      <c r="T740" s="55"/>
      <c r="U740" s="55"/>
      <c r="V740" s="55"/>
      <c r="W740" s="55"/>
      <c r="X740" s="55"/>
      <c r="Y740" s="55"/>
      <c r="Z740" s="55"/>
    </row>
    <row r="741" spans="1:26" ht="15">
      <c r="A741" s="49"/>
      <c r="B741" s="77"/>
      <c r="C741" s="52"/>
      <c r="D741" s="52"/>
      <c r="E741" s="53"/>
      <c r="F741" s="53"/>
      <c r="G741" s="65"/>
      <c r="H741" s="53"/>
      <c r="I741" s="55"/>
      <c r="J741" s="52"/>
      <c r="K741" s="56"/>
      <c r="L741" s="55"/>
      <c r="M741" s="55"/>
      <c r="N741" s="55"/>
      <c r="O741" s="55"/>
      <c r="P741" s="55"/>
      <c r="Q741" s="55"/>
      <c r="R741" s="55"/>
      <c r="S741" s="55"/>
      <c r="T741" s="55"/>
      <c r="U741" s="55"/>
      <c r="V741" s="55"/>
      <c r="W741" s="55"/>
      <c r="X741" s="55"/>
      <c r="Y741" s="55"/>
      <c r="Z741" s="55"/>
    </row>
    <row r="742" spans="1:26" ht="15">
      <c r="A742" s="49"/>
      <c r="B742" s="77"/>
      <c r="C742" s="52"/>
      <c r="D742" s="52"/>
      <c r="E742" s="53"/>
      <c r="F742" s="53"/>
      <c r="G742" s="65"/>
      <c r="H742" s="53"/>
      <c r="I742" s="55"/>
      <c r="J742" s="52"/>
      <c r="K742" s="56"/>
      <c r="L742" s="55"/>
      <c r="M742" s="55"/>
      <c r="N742" s="55"/>
      <c r="O742" s="55"/>
      <c r="P742" s="55"/>
      <c r="Q742" s="55"/>
      <c r="R742" s="55"/>
      <c r="S742" s="55"/>
      <c r="T742" s="55"/>
      <c r="U742" s="55"/>
      <c r="V742" s="55"/>
      <c r="W742" s="55"/>
      <c r="X742" s="55"/>
      <c r="Y742" s="55"/>
      <c r="Z742" s="55"/>
    </row>
    <row r="743" spans="1:26" ht="15">
      <c r="A743" s="49"/>
      <c r="B743" s="77"/>
      <c r="C743" s="52"/>
      <c r="D743" s="52"/>
      <c r="E743" s="53"/>
      <c r="F743" s="53"/>
      <c r="G743" s="65"/>
      <c r="H743" s="53"/>
      <c r="I743" s="55"/>
      <c r="J743" s="52"/>
      <c r="K743" s="56"/>
      <c r="L743" s="55"/>
      <c r="M743" s="55"/>
      <c r="N743" s="55"/>
      <c r="O743" s="55"/>
      <c r="P743" s="55"/>
      <c r="Q743" s="55"/>
      <c r="R743" s="55"/>
      <c r="S743" s="55"/>
      <c r="T743" s="55"/>
      <c r="U743" s="55"/>
      <c r="V743" s="55"/>
      <c r="W743" s="55"/>
      <c r="X743" s="55"/>
      <c r="Y743" s="55"/>
      <c r="Z743" s="55"/>
    </row>
    <row r="744" spans="1:26" ht="15">
      <c r="A744" s="49"/>
      <c r="B744" s="77"/>
      <c r="C744" s="52"/>
      <c r="D744" s="52"/>
      <c r="E744" s="53"/>
      <c r="F744" s="53"/>
      <c r="G744" s="65"/>
      <c r="H744" s="53"/>
      <c r="I744" s="55"/>
      <c r="J744" s="52"/>
      <c r="K744" s="56"/>
      <c r="L744" s="55"/>
      <c r="M744" s="55"/>
      <c r="N744" s="55"/>
      <c r="O744" s="55"/>
      <c r="P744" s="55"/>
      <c r="Q744" s="55"/>
      <c r="R744" s="55"/>
      <c r="S744" s="55"/>
      <c r="T744" s="55"/>
      <c r="U744" s="55"/>
      <c r="V744" s="55"/>
      <c r="W744" s="55"/>
      <c r="X744" s="55"/>
      <c r="Y744" s="55"/>
      <c r="Z744" s="55"/>
    </row>
    <row r="745" spans="1:26" ht="15">
      <c r="A745" s="49"/>
      <c r="B745" s="77"/>
      <c r="C745" s="52"/>
      <c r="D745" s="52"/>
      <c r="E745" s="53"/>
      <c r="F745" s="53"/>
      <c r="G745" s="65"/>
      <c r="H745" s="53"/>
      <c r="I745" s="55"/>
      <c r="J745" s="52"/>
      <c r="K745" s="56"/>
      <c r="L745" s="55"/>
      <c r="M745" s="55"/>
      <c r="N745" s="55"/>
      <c r="O745" s="55"/>
      <c r="P745" s="55"/>
      <c r="Q745" s="55"/>
      <c r="R745" s="55"/>
      <c r="S745" s="55"/>
      <c r="T745" s="55"/>
      <c r="U745" s="55"/>
      <c r="V745" s="55"/>
      <c r="W745" s="55"/>
      <c r="X745" s="55"/>
      <c r="Y745" s="55"/>
      <c r="Z745" s="55"/>
    </row>
    <row r="746" spans="1:26" ht="15">
      <c r="A746" s="49"/>
      <c r="B746" s="77"/>
      <c r="C746" s="52"/>
      <c r="D746" s="52"/>
      <c r="E746" s="53"/>
      <c r="F746" s="53"/>
      <c r="G746" s="65"/>
      <c r="H746" s="53"/>
      <c r="I746" s="55"/>
      <c r="J746" s="52"/>
      <c r="K746" s="56"/>
      <c r="L746" s="55"/>
      <c r="M746" s="55"/>
      <c r="N746" s="55"/>
      <c r="O746" s="55"/>
      <c r="P746" s="55"/>
      <c r="Q746" s="55"/>
      <c r="R746" s="55"/>
      <c r="S746" s="55"/>
      <c r="T746" s="55"/>
      <c r="U746" s="55"/>
      <c r="V746" s="55"/>
      <c r="W746" s="55"/>
      <c r="X746" s="55"/>
      <c r="Y746" s="55"/>
      <c r="Z746" s="55"/>
    </row>
    <row r="747" spans="1:26" ht="15">
      <c r="A747" s="49"/>
      <c r="B747" s="77"/>
      <c r="C747" s="52"/>
      <c r="D747" s="52"/>
      <c r="E747" s="53"/>
      <c r="F747" s="53"/>
      <c r="G747" s="65"/>
      <c r="H747" s="53"/>
      <c r="I747" s="55"/>
      <c r="J747" s="52"/>
      <c r="K747" s="56"/>
      <c r="L747" s="55"/>
      <c r="M747" s="55"/>
      <c r="N747" s="55"/>
      <c r="O747" s="55"/>
      <c r="P747" s="55"/>
      <c r="Q747" s="55"/>
      <c r="R747" s="55"/>
      <c r="S747" s="55"/>
      <c r="T747" s="55"/>
      <c r="U747" s="55"/>
      <c r="V747" s="55"/>
      <c r="W747" s="55"/>
      <c r="X747" s="55"/>
      <c r="Y747" s="55"/>
      <c r="Z747" s="55"/>
    </row>
    <row r="748" spans="1:26" ht="15">
      <c r="A748" s="49"/>
      <c r="B748" s="77"/>
      <c r="C748" s="52"/>
      <c r="D748" s="52"/>
      <c r="E748" s="53"/>
      <c r="F748" s="53"/>
      <c r="G748" s="65"/>
      <c r="H748" s="53"/>
      <c r="I748" s="55"/>
      <c r="J748" s="52"/>
      <c r="K748" s="56"/>
      <c r="L748" s="55"/>
      <c r="M748" s="55"/>
      <c r="N748" s="55"/>
      <c r="O748" s="55"/>
      <c r="P748" s="55"/>
      <c r="Q748" s="55"/>
      <c r="R748" s="55"/>
      <c r="S748" s="55"/>
      <c r="T748" s="55"/>
      <c r="U748" s="55"/>
      <c r="V748" s="55"/>
      <c r="W748" s="55"/>
      <c r="X748" s="55"/>
      <c r="Y748" s="55"/>
      <c r="Z748" s="55"/>
    </row>
    <row r="749" spans="1:26" ht="15">
      <c r="A749" s="49"/>
      <c r="B749" s="77"/>
      <c r="C749" s="52"/>
      <c r="D749" s="52"/>
      <c r="E749" s="53"/>
      <c r="F749" s="53"/>
      <c r="G749" s="65"/>
      <c r="H749" s="53"/>
      <c r="I749" s="55"/>
      <c r="J749" s="52"/>
      <c r="K749" s="56"/>
      <c r="L749" s="55"/>
      <c r="M749" s="55"/>
      <c r="N749" s="55"/>
      <c r="O749" s="55"/>
      <c r="P749" s="55"/>
      <c r="Q749" s="55"/>
      <c r="R749" s="55"/>
      <c r="S749" s="55"/>
      <c r="T749" s="55"/>
      <c r="U749" s="55"/>
      <c r="V749" s="55"/>
      <c r="W749" s="55"/>
      <c r="X749" s="55"/>
      <c r="Y749" s="55"/>
      <c r="Z749" s="55"/>
    </row>
    <row r="750" spans="1:26" ht="15">
      <c r="A750" s="49"/>
      <c r="B750" s="77"/>
      <c r="C750" s="52"/>
      <c r="D750" s="52"/>
      <c r="E750" s="53"/>
      <c r="F750" s="53"/>
      <c r="G750" s="65"/>
      <c r="H750" s="53"/>
      <c r="I750" s="55"/>
      <c r="J750" s="52"/>
      <c r="K750" s="56"/>
      <c r="L750" s="55"/>
      <c r="M750" s="55"/>
      <c r="N750" s="55"/>
      <c r="O750" s="55"/>
      <c r="P750" s="55"/>
      <c r="Q750" s="55"/>
      <c r="R750" s="55"/>
      <c r="S750" s="55"/>
      <c r="T750" s="55"/>
      <c r="U750" s="55"/>
      <c r="V750" s="55"/>
      <c r="W750" s="55"/>
      <c r="X750" s="55"/>
      <c r="Y750" s="55"/>
      <c r="Z750" s="55"/>
    </row>
    <row r="751" spans="1:26" ht="15">
      <c r="A751" s="49"/>
      <c r="B751" s="77"/>
      <c r="C751" s="52"/>
      <c r="D751" s="52"/>
      <c r="E751" s="53"/>
      <c r="F751" s="53"/>
      <c r="G751" s="65"/>
      <c r="H751" s="53"/>
      <c r="I751" s="55"/>
      <c r="J751" s="52"/>
      <c r="K751" s="56"/>
      <c r="L751" s="55"/>
      <c r="M751" s="55"/>
      <c r="N751" s="55"/>
      <c r="O751" s="55"/>
      <c r="P751" s="55"/>
      <c r="Q751" s="55"/>
      <c r="R751" s="55"/>
      <c r="S751" s="55"/>
      <c r="T751" s="55"/>
      <c r="U751" s="55"/>
      <c r="V751" s="55"/>
      <c r="W751" s="55"/>
      <c r="X751" s="55"/>
      <c r="Y751" s="55"/>
      <c r="Z751" s="55"/>
    </row>
    <row r="752" spans="1:26" ht="15">
      <c r="A752" s="49"/>
      <c r="B752" s="77"/>
      <c r="C752" s="52"/>
      <c r="D752" s="52"/>
      <c r="E752" s="53"/>
      <c r="F752" s="53"/>
      <c r="G752" s="65"/>
      <c r="H752" s="53"/>
      <c r="I752" s="55"/>
      <c r="J752" s="52"/>
      <c r="K752" s="56"/>
      <c r="L752" s="55"/>
      <c r="M752" s="55"/>
      <c r="N752" s="55"/>
      <c r="O752" s="55"/>
      <c r="P752" s="55"/>
      <c r="Q752" s="55"/>
      <c r="R752" s="55"/>
      <c r="S752" s="55"/>
      <c r="T752" s="55"/>
      <c r="U752" s="55"/>
      <c r="V752" s="55"/>
      <c r="W752" s="55"/>
      <c r="X752" s="55"/>
      <c r="Y752" s="55"/>
      <c r="Z752" s="55"/>
    </row>
    <row r="753" spans="1:26" ht="15">
      <c r="A753" s="49"/>
      <c r="B753" s="77"/>
      <c r="C753" s="52"/>
      <c r="D753" s="52"/>
      <c r="E753" s="53"/>
      <c r="F753" s="53"/>
      <c r="G753" s="65"/>
      <c r="H753" s="53"/>
      <c r="I753" s="55"/>
      <c r="J753" s="52"/>
      <c r="K753" s="56"/>
      <c r="L753" s="55"/>
      <c r="M753" s="55"/>
      <c r="N753" s="55"/>
      <c r="O753" s="55"/>
      <c r="P753" s="55"/>
      <c r="Q753" s="55"/>
      <c r="R753" s="55"/>
      <c r="S753" s="55"/>
      <c r="T753" s="55"/>
      <c r="U753" s="55"/>
      <c r="V753" s="55"/>
      <c r="W753" s="55"/>
      <c r="X753" s="55"/>
      <c r="Y753" s="55"/>
      <c r="Z753" s="55"/>
    </row>
    <row r="754" spans="1:26" ht="15">
      <c r="A754" s="49"/>
      <c r="B754" s="77"/>
      <c r="C754" s="52"/>
      <c r="D754" s="52"/>
      <c r="E754" s="53"/>
      <c r="F754" s="53"/>
      <c r="G754" s="65"/>
      <c r="H754" s="53"/>
      <c r="I754" s="55"/>
      <c r="J754" s="52"/>
      <c r="K754" s="56"/>
      <c r="L754" s="55"/>
      <c r="M754" s="55"/>
      <c r="N754" s="55"/>
      <c r="O754" s="55"/>
      <c r="P754" s="55"/>
      <c r="Q754" s="55"/>
      <c r="R754" s="55"/>
      <c r="S754" s="55"/>
      <c r="T754" s="55"/>
      <c r="U754" s="55"/>
      <c r="V754" s="55"/>
      <c r="W754" s="55"/>
      <c r="X754" s="55"/>
      <c r="Y754" s="55"/>
      <c r="Z754" s="55"/>
    </row>
    <row r="755" spans="1:26" ht="15">
      <c r="A755" s="49"/>
      <c r="B755" s="77"/>
      <c r="C755" s="52"/>
      <c r="D755" s="52"/>
      <c r="E755" s="53"/>
      <c r="F755" s="53"/>
      <c r="G755" s="65"/>
      <c r="H755" s="53"/>
      <c r="I755" s="55"/>
      <c r="J755" s="52"/>
      <c r="K755" s="56"/>
      <c r="L755" s="55"/>
      <c r="M755" s="55"/>
      <c r="N755" s="55"/>
      <c r="O755" s="55"/>
      <c r="P755" s="55"/>
      <c r="Q755" s="55"/>
      <c r="R755" s="55"/>
      <c r="S755" s="55"/>
      <c r="T755" s="55"/>
      <c r="U755" s="55"/>
      <c r="V755" s="55"/>
      <c r="W755" s="55"/>
      <c r="X755" s="55"/>
      <c r="Y755" s="55"/>
      <c r="Z755" s="55"/>
    </row>
    <row r="756" spans="1:26" ht="15">
      <c r="A756" s="49"/>
      <c r="B756" s="77"/>
      <c r="C756" s="52"/>
      <c r="D756" s="52"/>
      <c r="E756" s="53"/>
      <c r="F756" s="53"/>
      <c r="G756" s="65"/>
      <c r="H756" s="53"/>
      <c r="I756" s="55"/>
      <c r="J756" s="52"/>
      <c r="K756" s="56"/>
      <c r="L756" s="55"/>
      <c r="M756" s="55"/>
      <c r="N756" s="55"/>
      <c r="O756" s="55"/>
      <c r="P756" s="55"/>
      <c r="Q756" s="55"/>
      <c r="R756" s="55"/>
      <c r="S756" s="55"/>
      <c r="T756" s="55"/>
      <c r="U756" s="55"/>
      <c r="V756" s="55"/>
      <c r="W756" s="55"/>
      <c r="X756" s="55"/>
      <c r="Y756" s="55"/>
      <c r="Z756" s="55"/>
    </row>
    <row r="757" spans="1:26" ht="15">
      <c r="A757" s="49"/>
      <c r="B757" s="77"/>
      <c r="C757" s="52"/>
      <c r="D757" s="52"/>
      <c r="E757" s="53"/>
      <c r="F757" s="53"/>
      <c r="G757" s="65"/>
      <c r="H757" s="53"/>
      <c r="I757" s="55"/>
      <c r="J757" s="52"/>
      <c r="K757" s="56"/>
      <c r="L757" s="55"/>
      <c r="M757" s="55"/>
      <c r="N757" s="55"/>
      <c r="O757" s="55"/>
      <c r="P757" s="55"/>
      <c r="Q757" s="55"/>
      <c r="R757" s="55"/>
      <c r="S757" s="55"/>
      <c r="T757" s="55"/>
      <c r="U757" s="55"/>
      <c r="V757" s="55"/>
      <c r="W757" s="55"/>
      <c r="X757" s="55"/>
      <c r="Y757" s="55"/>
      <c r="Z757" s="55"/>
    </row>
    <row r="758" spans="1:26" ht="15">
      <c r="A758" s="49"/>
      <c r="B758" s="77"/>
      <c r="C758" s="52"/>
      <c r="D758" s="52"/>
      <c r="E758" s="53"/>
      <c r="F758" s="53"/>
      <c r="G758" s="65"/>
      <c r="H758" s="53"/>
      <c r="I758" s="55"/>
      <c r="J758" s="52"/>
      <c r="K758" s="56"/>
      <c r="L758" s="55"/>
      <c r="M758" s="55"/>
      <c r="N758" s="55"/>
      <c r="O758" s="55"/>
      <c r="P758" s="55"/>
      <c r="Q758" s="55"/>
      <c r="R758" s="55"/>
      <c r="S758" s="55"/>
      <c r="T758" s="55"/>
      <c r="U758" s="55"/>
      <c r="V758" s="55"/>
      <c r="W758" s="55"/>
      <c r="X758" s="55"/>
      <c r="Y758" s="55"/>
      <c r="Z758" s="55"/>
    </row>
    <row r="759" spans="1:26" ht="15">
      <c r="A759" s="49"/>
      <c r="B759" s="77"/>
      <c r="C759" s="52"/>
      <c r="D759" s="52"/>
      <c r="E759" s="53"/>
      <c r="F759" s="53"/>
      <c r="G759" s="65"/>
      <c r="H759" s="53"/>
      <c r="I759" s="55"/>
      <c r="J759" s="52"/>
      <c r="K759" s="56"/>
      <c r="L759" s="55"/>
      <c r="M759" s="55"/>
      <c r="N759" s="55"/>
      <c r="O759" s="55"/>
      <c r="P759" s="55"/>
      <c r="Q759" s="55"/>
      <c r="R759" s="55"/>
      <c r="S759" s="55"/>
      <c r="T759" s="55"/>
      <c r="U759" s="55"/>
      <c r="V759" s="55"/>
      <c r="W759" s="55"/>
      <c r="X759" s="55"/>
      <c r="Y759" s="55"/>
      <c r="Z759" s="55"/>
    </row>
    <row r="760" spans="1:26" ht="15">
      <c r="A760" s="49"/>
      <c r="B760" s="77"/>
      <c r="C760" s="52"/>
      <c r="D760" s="52"/>
      <c r="E760" s="53"/>
      <c r="F760" s="53"/>
      <c r="G760" s="65"/>
      <c r="H760" s="53"/>
      <c r="I760" s="55"/>
      <c r="J760" s="52"/>
      <c r="K760" s="56"/>
      <c r="L760" s="55"/>
      <c r="M760" s="55"/>
      <c r="N760" s="55"/>
      <c r="O760" s="55"/>
      <c r="P760" s="55"/>
      <c r="Q760" s="55"/>
      <c r="R760" s="55"/>
      <c r="S760" s="55"/>
      <c r="T760" s="55"/>
      <c r="U760" s="55"/>
      <c r="V760" s="55"/>
      <c r="W760" s="55"/>
      <c r="X760" s="55"/>
      <c r="Y760" s="55"/>
      <c r="Z760" s="55"/>
    </row>
    <row r="761" spans="1:26" ht="15">
      <c r="A761" s="49"/>
      <c r="B761" s="77"/>
      <c r="C761" s="52"/>
      <c r="D761" s="52"/>
      <c r="E761" s="53"/>
      <c r="F761" s="53"/>
      <c r="G761" s="65"/>
      <c r="H761" s="53"/>
      <c r="I761" s="55"/>
      <c r="J761" s="52"/>
      <c r="K761" s="56"/>
      <c r="L761" s="55"/>
      <c r="M761" s="55"/>
      <c r="N761" s="55"/>
      <c r="O761" s="55"/>
      <c r="P761" s="55"/>
      <c r="Q761" s="55"/>
      <c r="R761" s="55"/>
      <c r="S761" s="55"/>
      <c r="T761" s="55"/>
      <c r="U761" s="55"/>
      <c r="V761" s="55"/>
      <c r="W761" s="55"/>
      <c r="X761" s="55"/>
      <c r="Y761" s="55"/>
      <c r="Z761" s="55"/>
    </row>
    <row r="762" spans="1:26" ht="15">
      <c r="A762" s="49"/>
      <c r="B762" s="77"/>
      <c r="C762" s="52"/>
      <c r="D762" s="52"/>
      <c r="E762" s="53"/>
      <c r="F762" s="53"/>
      <c r="G762" s="65"/>
      <c r="H762" s="53"/>
      <c r="I762" s="55"/>
      <c r="J762" s="52"/>
      <c r="K762" s="56"/>
      <c r="L762" s="55"/>
      <c r="M762" s="55"/>
      <c r="N762" s="55"/>
      <c r="O762" s="55"/>
      <c r="P762" s="55"/>
      <c r="Q762" s="55"/>
      <c r="R762" s="55"/>
      <c r="S762" s="55"/>
      <c r="T762" s="55"/>
      <c r="U762" s="55"/>
      <c r="V762" s="55"/>
      <c r="W762" s="55"/>
      <c r="X762" s="55"/>
      <c r="Y762" s="55"/>
      <c r="Z762" s="55"/>
    </row>
    <row r="763" spans="1:26" ht="15">
      <c r="A763" s="49"/>
      <c r="B763" s="77"/>
      <c r="C763" s="52"/>
      <c r="D763" s="52"/>
      <c r="E763" s="53"/>
      <c r="F763" s="53"/>
      <c r="G763" s="65"/>
      <c r="H763" s="53"/>
      <c r="I763" s="55"/>
      <c r="J763" s="52"/>
      <c r="K763" s="56"/>
      <c r="L763" s="55"/>
      <c r="M763" s="55"/>
      <c r="N763" s="55"/>
      <c r="O763" s="55"/>
      <c r="P763" s="55"/>
      <c r="Q763" s="55"/>
      <c r="R763" s="55"/>
      <c r="S763" s="55"/>
      <c r="T763" s="55"/>
      <c r="U763" s="55"/>
      <c r="V763" s="55"/>
      <c r="W763" s="55"/>
      <c r="X763" s="55"/>
      <c r="Y763" s="55"/>
      <c r="Z763" s="55"/>
    </row>
    <row r="764" spans="1:26" ht="15">
      <c r="A764" s="49"/>
      <c r="B764" s="77"/>
      <c r="C764" s="52"/>
      <c r="D764" s="52"/>
      <c r="E764" s="53"/>
      <c r="F764" s="53"/>
      <c r="G764" s="65"/>
      <c r="H764" s="53"/>
      <c r="I764" s="55"/>
      <c r="J764" s="52"/>
      <c r="K764" s="56"/>
      <c r="L764" s="55"/>
      <c r="M764" s="55"/>
      <c r="N764" s="55"/>
      <c r="O764" s="55"/>
      <c r="P764" s="55"/>
      <c r="Q764" s="55"/>
      <c r="R764" s="55"/>
      <c r="S764" s="55"/>
      <c r="T764" s="55"/>
      <c r="U764" s="55"/>
      <c r="V764" s="55"/>
      <c r="W764" s="55"/>
      <c r="X764" s="55"/>
      <c r="Y764" s="55"/>
      <c r="Z764" s="55"/>
    </row>
    <row r="765" spans="1:26" ht="15">
      <c r="A765" s="49"/>
      <c r="B765" s="77"/>
      <c r="C765" s="52"/>
      <c r="D765" s="52"/>
      <c r="E765" s="53"/>
      <c r="F765" s="53"/>
      <c r="G765" s="65"/>
      <c r="H765" s="53"/>
      <c r="I765" s="55"/>
      <c r="J765" s="52"/>
      <c r="K765" s="56"/>
      <c r="L765" s="55"/>
      <c r="M765" s="55"/>
      <c r="N765" s="55"/>
      <c r="O765" s="55"/>
      <c r="P765" s="55"/>
      <c r="Q765" s="55"/>
      <c r="R765" s="55"/>
      <c r="S765" s="55"/>
      <c r="T765" s="55"/>
      <c r="U765" s="55"/>
      <c r="V765" s="55"/>
      <c r="W765" s="55"/>
      <c r="X765" s="55"/>
      <c r="Y765" s="55"/>
      <c r="Z765" s="55"/>
    </row>
    <row r="766" spans="1:26" ht="15">
      <c r="A766" s="49"/>
      <c r="B766" s="77"/>
      <c r="C766" s="52"/>
      <c r="D766" s="52"/>
      <c r="E766" s="53"/>
      <c r="F766" s="53"/>
      <c r="G766" s="65"/>
      <c r="H766" s="53"/>
      <c r="I766" s="55"/>
      <c r="J766" s="52"/>
      <c r="K766" s="56"/>
      <c r="L766" s="55"/>
      <c r="M766" s="55"/>
      <c r="N766" s="55"/>
      <c r="O766" s="55"/>
      <c r="P766" s="55"/>
      <c r="Q766" s="55"/>
      <c r="R766" s="55"/>
      <c r="S766" s="55"/>
      <c r="T766" s="55"/>
      <c r="U766" s="55"/>
      <c r="V766" s="55"/>
      <c r="W766" s="55"/>
      <c r="X766" s="55"/>
      <c r="Y766" s="55"/>
      <c r="Z766" s="55"/>
    </row>
    <row r="767" spans="1:26" ht="15">
      <c r="A767" s="49"/>
      <c r="B767" s="77"/>
      <c r="C767" s="52"/>
      <c r="D767" s="52"/>
      <c r="E767" s="53"/>
      <c r="F767" s="53"/>
      <c r="G767" s="65"/>
      <c r="H767" s="53"/>
      <c r="I767" s="55"/>
      <c r="J767" s="52"/>
      <c r="K767" s="56"/>
      <c r="L767" s="55"/>
      <c r="M767" s="55"/>
      <c r="N767" s="55"/>
      <c r="O767" s="55"/>
      <c r="P767" s="55"/>
      <c r="Q767" s="55"/>
      <c r="R767" s="55"/>
      <c r="S767" s="55"/>
      <c r="T767" s="55"/>
      <c r="U767" s="55"/>
      <c r="V767" s="55"/>
      <c r="W767" s="55"/>
      <c r="X767" s="55"/>
      <c r="Y767" s="55"/>
      <c r="Z767" s="55"/>
    </row>
    <row r="768" spans="1:26" ht="15">
      <c r="A768" s="49"/>
      <c r="B768" s="77"/>
      <c r="C768" s="52"/>
      <c r="D768" s="52"/>
      <c r="E768" s="53"/>
      <c r="F768" s="53"/>
      <c r="G768" s="65"/>
      <c r="H768" s="53"/>
      <c r="I768" s="55"/>
      <c r="J768" s="52"/>
      <c r="K768" s="56"/>
      <c r="L768" s="55"/>
      <c r="M768" s="55"/>
      <c r="N768" s="55"/>
      <c r="O768" s="55"/>
      <c r="P768" s="55"/>
      <c r="Q768" s="55"/>
      <c r="R768" s="55"/>
      <c r="S768" s="55"/>
      <c r="T768" s="55"/>
      <c r="U768" s="55"/>
      <c r="V768" s="55"/>
      <c r="W768" s="55"/>
      <c r="X768" s="55"/>
      <c r="Y768" s="55"/>
      <c r="Z768" s="55"/>
    </row>
    <row r="769" spans="1:26" ht="15">
      <c r="A769" s="49"/>
      <c r="B769" s="77"/>
      <c r="C769" s="52"/>
      <c r="D769" s="52"/>
      <c r="E769" s="53"/>
      <c r="F769" s="53"/>
      <c r="G769" s="65"/>
      <c r="H769" s="53"/>
      <c r="I769" s="55"/>
      <c r="J769" s="52"/>
      <c r="K769" s="56"/>
      <c r="L769" s="55"/>
      <c r="M769" s="55"/>
      <c r="N769" s="55"/>
      <c r="O769" s="55"/>
      <c r="P769" s="55"/>
      <c r="Q769" s="55"/>
      <c r="R769" s="55"/>
      <c r="S769" s="55"/>
      <c r="T769" s="55"/>
      <c r="U769" s="55"/>
      <c r="V769" s="55"/>
      <c r="W769" s="55"/>
      <c r="X769" s="55"/>
      <c r="Y769" s="55"/>
      <c r="Z769" s="55"/>
    </row>
    <row r="770" spans="1:26" ht="15">
      <c r="A770" s="49"/>
      <c r="B770" s="77"/>
      <c r="C770" s="52"/>
      <c r="D770" s="52"/>
      <c r="E770" s="53"/>
      <c r="F770" s="53"/>
      <c r="G770" s="65"/>
      <c r="H770" s="53"/>
      <c r="I770" s="55"/>
      <c r="J770" s="52"/>
      <c r="K770" s="56"/>
      <c r="L770" s="55"/>
      <c r="M770" s="55"/>
      <c r="N770" s="55"/>
      <c r="O770" s="55"/>
      <c r="P770" s="55"/>
      <c r="Q770" s="55"/>
      <c r="R770" s="55"/>
      <c r="S770" s="55"/>
      <c r="T770" s="55"/>
      <c r="U770" s="55"/>
      <c r="V770" s="55"/>
      <c r="W770" s="55"/>
      <c r="X770" s="55"/>
      <c r="Y770" s="55"/>
      <c r="Z770" s="55"/>
    </row>
    <row r="771" spans="1:26" ht="15">
      <c r="A771" s="49"/>
      <c r="B771" s="77"/>
      <c r="C771" s="52"/>
      <c r="D771" s="52"/>
      <c r="E771" s="53"/>
      <c r="F771" s="53"/>
      <c r="G771" s="65"/>
      <c r="H771" s="53"/>
      <c r="I771" s="55"/>
      <c r="J771" s="52"/>
      <c r="K771" s="56"/>
      <c r="L771" s="55"/>
      <c r="M771" s="55"/>
      <c r="N771" s="55"/>
      <c r="O771" s="55"/>
      <c r="P771" s="55"/>
      <c r="Q771" s="55"/>
      <c r="R771" s="55"/>
      <c r="S771" s="55"/>
      <c r="T771" s="55"/>
      <c r="U771" s="55"/>
      <c r="V771" s="55"/>
      <c r="W771" s="55"/>
      <c r="X771" s="55"/>
      <c r="Y771" s="55"/>
      <c r="Z771" s="55"/>
    </row>
    <row r="772" spans="1:26" ht="15">
      <c r="A772" s="49"/>
      <c r="B772" s="77"/>
      <c r="C772" s="52"/>
      <c r="D772" s="52"/>
      <c r="E772" s="53"/>
      <c r="F772" s="53"/>
      <c r="G772" s="65"/>
      <c r="H772" s="53"/>
      <c r="I772" s="55"/>
      <c r="J772" s="52"/>
      <c r="K772" s="56"/>
      <c r="L772" s="55"/>
      <c r="M772" s="55"/>
      <c r="N772" s="55"/>
      <c r="O772" s="55"/>
      <c r="P772" s="55"/>
      <c r="Q772" s="55"/>
      <c r="R772" s="55"/>
      <c r="S772" s="55"/>
      <c r="T772" s="55"/>
      <c r="U772" s="55"/>
      <c r="V772" s="55"/>
      <c r="W772" s="55"/>
      <c r="X772" s="55"/>
      <c r="Y772" s="55"/>
      <c r="Z772" s="55"/>
    </row>
    <row r="773" spans="1:26" ht="15">
      <c r="A773" s="49"/>
      <c r="B773" s="77"/>
      <c r="C773" s="52"/>
      <c r="D773" s="52"/>
      <c r="E773" s="53"/>
      <c r="F773" s="53"/>
      <c r="G773" s="65"/>
      <c r="H773" s="53"/>
      <c r="I773" s="55"/>
      <c r="J773" s="52"/>
      <c r="K773" s="56"/>
      <c r="L773" s="55"/>
      <c r="M773" s="55"/>
      <c r="N773" s="55"/>
      <c r="O773" s="55"/>
      <c r="P773" s="55"/>
      <c r="Q773" s="55"/>
      <c r="R773" s="55"/>
      <c r="S773" s="55"/>
      <c r="T773" s="55"/>
      <c r="U773" s="55"/>
      <c r="V773" s="55"/>
      <c r="W773" s="55"/>
      <c r="X773" s="55"/>
      <c r="Y773" s="55"/>
      <c r="Z773" s="55"/>
    </row>
    <row r="774" spans="1:26" ht="15">
      <c r="A774" s="49"/>
      <c r="B774" s="77"/>
      <c r="C774" s="52"/>
      <c r="D774" s="52"/>
      <c r="E774" s="53"/>
      <c r="F774" s="53"/>
      <c r="G774" s="65"/>
      <c r="H774" s="53"/>
      <c r="I774" s="55"/>
      <c r="J774" s="52"/>
      <c r="K774" s="56"/>
      <c r="L774" s="55"/>
      <c r="M774" s="55"/>
      <c r="N774" s="55"/>
      <c r="O774" s="55"/>
      <c r="P774" s="55"/>
      <c r="Q774" s="55"/>
      <c r="R774" s="55"/>
      <c r="S774" s="55"/>
      <c r="T774" s="55"/>
      <c r="U774" s="55"/>
      <c r="V774" s="55"/>
      <c r="W774" s="55"/>
      <c r="X774" s="55"/>
      <c r="Y774" s="55"/>
      <c r="Z774" s="55"/>
    </row>
    <row r="775" spans="1:26" ht="15">
      <c r="A775" s="49"/>
      <c r="B775" s="77"/>
      <c r="C775" s="52"/>
      <c r="D775" s="52"/>
      <c r="E775" s="53"/>
      <c r="F775" s="53"/>
      <c r="G775" s="65"/>
      <c r="H775" s="53"/>
      <c r="I775" s="55"/>
      <c r="J775" s="52"/>
      <c r="K775" s="56"/>
      <c r="L775" s="55"/>
      <c r="M775" s="55"/>
      <c r="N775" s="55"/>
      <c r="O775" s="55"/>
      <c r="P775" s="55"/>
      <c r="Q775" s="55"/>
      <c r="R775" s="55"/>
      <c r="S775" s="55"/>
      <c r="T775" s="55"/>
      <c r="U775" s="55"/>
      <c r="V775" s="55"/>
      <c r="W775" s="55"/>
      <c r="X775" s="55"/>
      <c r="Y775" s="55"/>
      <c r="Z775" s="55"/>
    </row>
    <row r="776" spans="1:26" ht="15">
      <c r="A776" s="49"/>
      <c r="B776" s="77"/>
      <c r="C776" s="52"/>
      <c r="D776" s="52"/>
      <c r="E776" s="53"/>
      <c r="F776" s="53"/>
      <c r="G776" s="65"/>
      <c r="H776" s="53"/>
      <c r="I776" s="55"/>
      <c r="J776" s="52"/>
      <c r="K776" s="56"/>
      <c r="L776" s="55"/>
      <c r="M776" s="55"/>
      <c r="N776" s="55"/>
      <c r="O776" s="55"/>
      <c r="P776" s="55"/>
      <c r="Q776" s="55"/>
      <c r="R776" s="55"/>
      <c r="S776" s="55"/>
      <c r="T776" s="55"/>
      <c r="U776" s="55"/>
      <c r="V776" s="55"/>
      <c r="W776" s="55"/>
      <c r="X776" s="55"/>
      <c r="Y776" s="55"/>
      <c r="Z776" s="55"/>
    </row>
    <row r="777" spans="1:26" ht="15">
      <c r="A777" s="49"/>
      <c r="B777" s="77"/>
      <c r="C777" s="52"/>
      <c r="D777" s="52"/>
      <c r="E777" s="53"/>
      <c r="F777" s="53"/>
      <c r="G777" s="65"/>
      <c r="H777" s="53"/>
      <c r="I777" s="55"/>
      <c r="J777" s="52"/>
      <c r="K777" s="56"/>
      <c r="L777" s="55"/>
      <c r="M777" s="55"/>
      <c r="N777" s="55"/>
      <c r="O777" s="55"/>
      <c r="P777" s="55"/>
      <c r="Q777" s="55"/>
      <c r="R777" s="55"/>
      <c r="S777" s="55"/>
      <c r="T777" s="55"/>
      <c r="U777" s="55"/>
      <c r="V777" s="55"/>
      <c r="W777" s="55"/>
      <c r="X777" s="55"/>
      <c r="Y777" s="55"/>
      <c r="Z777" s="55"/>
    </row>
    <row r="778" spans="1:26" ht="15">
      <c r="A778" s="49"/>
      <c r="B778" s="77"/>
      <c r="C778" s="52"/>
      <c r="D778" s="52"/>
      <c r="E778" s="53"/>
      <c r="F778" s="53"/>
      <c r="G778" s="65"/>
      <c r="H778" s="53"/>
      <c r="I778" s="55"/>
      <c r="J778" s="52"/>
      <c r="K778" s="56"/>
      <c r="L778" s="55"/>
      <c r="M778" s="55"/>
      <c r="N778" s="55"/>
      <c r="O778" s="55"/>
      <c r="P778" s="55"/>
      <c r="Q778" s="55"/>
      <c r="R778" s="55"/>
      <c r="S778" s="55"/>
      <c r="T778" s="55"/>
      <c r="U778" s="55"/>
      <c r="V778" s="55"/>
      <c r="W778" s="55"/>
      <c r="X778" s="55"/>
      <c r="Y778" s="55"/>
      <c r="Z778" s="55"/>
    </row>
    <row r="779" spans="1:26" ht="15">
      <c r="A779" s="49"/>
      <c r="B779" s="77"/>
      <c r="C779" s="52"/>
      <c r="D779" s="52"/>
      <c r="E779" s="53"/>
      <c r="F779" s="53"/>
      <c r="G779" s="65"/>
      <c r="H779" s="53"/>
      <c r="I779" s="55"/>
      <c r="J779" s="52"/>
      <c r="K779" s="56"/>
      <c r="L779" s="55"/>
      <c r="M779" s="55"/>
      <c r="N779" s="55"/>
      <c r="O779" s="55"/>
      <c r="P779" s="55"/>
      <c r="Q779" s="55"/>
      <c r="R779" s="55"/>
      <c r="S779" s="55"/>
      <c r="T779" s="55"/>
      <c r="U779" s="55"/>
      <c r="V779" s="55"/>
      <c r="W779" s="55"/>
      <c r="X779" s="55"/>
      <c r="Y779" s="55"/>
      <c r="Z779" s="55"/>
    </row>
    <row r="780" spans="1:26" ht="15">
      <c r="A780" s="49"/>
      <c r="B780" s="77"/>
      <c r="C780" s="52"/>
      <c r="D780" s="52"/>
      <c r="E780" s="53"/>
      <c r="F780" s="53"/>
      <c r="G780" s="65"/>
      <c r="H780" s="53"/>
      <c r="I780" s="55"/>
      <c r="J780" s="52"/>
      <c r="K780" s="56"/>
      <c r="L780" s="55"/>
      <c r="M780" s="55"/>
      <c r="N780" s="55"/>
      <c r="O780" s="55"/>
      <c r="P780" s="55"/>
      <c r="Q780" s="55"/>
      <c r="R780" s="55"/>
      <c r="S780" s="55"/>
      <c r="T780" s="55"/>
      <c r="U780" s="55"/>
      <c r="V780" s="55"/>
      <c r="W780" s="55"/>
      <c r="X780" s="55"/>
      <c r="Y780" s="55"/>
      <c r="Z780" s="55"/>
    </row>
    <row r="781" spans="1:26" ht="15">
      <c r="A781" s="49"/>
      <c r="B781" s="77"/>
      <c r="C781" s="52"/>
      <c r="D781" s="52"/>
      <c r="E781" s="53"/>
      <c r="F781" s="53"/>
      <c r="G781" s="65"/>
      <c r="H781" s="53"/>
      <c r="I781" s="55"/>
      <c r="J781" s="52"/>
      <c r="K781" s="56"/>
      <c r="L781" s="55"/>
      <c r="M781" s="55"/>
      <c r="N781" s="55"/>
      <c r="O781" s="55"/>
      <c r="P781" s="55"/>
      <c r="Q781" s="55"/>
      <c r="R781" s="55"/>
      <c r="S781" s="55"/>
      <c r="T781" s="55"/>
      <c r="U781" s="55"/>
      <c r="V781" s="55"/>
      <c r="W781" s="55"/>
      <c r="X781" s="55"/>
      <c r="Y781" s="55"/>
      <c r="Z781" s="55"/>
    </row>
    <row r="782" spans="1:26" ht="15">
      <c r="A782" s="49"/>
      <c r="B782" s="77"/>
      <c r="C782" s="52"/>
      <c r="D782" s="52"/>
      <c r="E782" s="53"/>
      <c r="F782" s="53"/>
      <c r="G782" s="65"/>
      <c r="H782" s="53"/>
      <c r="I782" s="55"/>
      <c r="J782" s="52"/>
      <c r="K782" s="56"/>
      <c r="L782" s="55"/>
      <c r="M782" s="55"/>
      <c r="N782" s="55"/>
      <c r="O782" s="55"/>
      <c r="P782" s="55"/>
      <c r="Q782" s="55"/>
      <c r="R782" s="55"/>
      <c r="S782" s="55"/>
      <c r="T782" s="55"/>
      <c r="U782" s="55"/>
      <c r="V782" s="55"/>
      <c r="W782" s="55"/>
      <c r="X782" s="55"/>
      <c r="Y782" s="55"/>
      <c r="Z782" s="55"/>
    </row>
    <row r="783" spans="1:26" ht="15">
      <c r="A783" s="49"/>
      <c r="B783" s="77"/>
      <c r="C783" s="52"/>
      <c r="D783" s="52"/>
      <c r="E783" s="53"/>
      <c r="F783" s="53"/>
      <c r="G783" s="65"/>
      <c r="H783" s="53"/>
      <c r="I783" s="55"/>
      <c r="J783" s="52"/>
      <c r="K783" s="56"/>
      <c r="L783" s="55"/>
      <c r="M783" s="55"/>
      <c r="N783" s="55"/>
      <c r="O783" s="55"/>
      <c r="P783" s="55"/>
      <c r="Q783" s="55"/>
      <c r="R783" s="55"/>
      <c r="S783" s="55"/>
      <c r="T783" s="55"/>
      <c r="U783" s="55"/>
      <c r="V783" s="55"/>
      <c r="W783" s="55"/>
      <c r="X783" s="55"/>
      <c r="Y783" s="55"/>
      <c r="Z783" s="55"/>
    </row>
    <row r="784" spans="1:26" ht="15">
      <c r="A784" s="49"/>
      <c r="B784" s="77"/>
      <c r="C784" s="52"/>
      <c r="D784" s="52"/>
      <c r="E784" s="53"/>
      <c r="F784" s="53"/>
      <c r="G784" s="65"/>
      <c r="H784" s="53"/>
      <c r="I784" s="55"/>
      <c r="J784" s="52"/>
      <c r="K784" s="56"/>
      <c r="L784" s="55"/>
      <c r="M784" s="55"/>
      <c r="N784" s="55"/>
      <c r="O784" s="55"/>
      <c r="P784" s="55"/>
      <c r="Q784" s="55"/>
      <c r="R784" s="55"/>
      <c r="S784" s="55"/>
      <c r="T784" s="55"/>
      <c r="U784" s="55"/>
      <c r="V784" s="55"/>
      <c r="W784" s="55"/>
      <c r="X784" s="55"/>
      <c r="Y784" s="55"/>
      <c r="Z784" s="55"/>
    </row>
    <row r="785" spans="1:26" ht="15">
      <c r="A785" s="49"/>
      <c r="B785" s="77"/>
      <c r="C785" s="52"/>
      <c r="D785" s="52"/>
      <c r="E785" s="53"/>
      <c r="F785" s="53"/>
      <c r="G785" s="65"/>
      <c r="H785" s="53"/>
      <c r="I785" s="55"/>
      <c r="J785" s="52"/>
      <c r="K785" s="56"/>
      <c r="L785" s="55"/>
      <c r="M785" s="55"/>
      <c r="N785" s="55"/>
      <c r="O785" s="55"/>
      <c r="P785" s="55"/>
      <c r="Q785" s="55"/>
      <c r="R785" s="55"/>
      <c r="S785" s="55"/>
      <c r="T785" s="55"/>
      <c r="U785" s="55"/>
      <c r="V785" s="55"/>
      <c r="W785" s="55"/>
      <c r="X785" s="55"/>
      <c r="Y785" s="55"/>
      <c r="Z785" s="55"/>
    </row>
    <row r="786" spans="1:26" ht="15">
      <c r="A786" s="49"/>
      <c r="B786" s="77"/>
      <c r="C786" s="52"/>
      <c r="D786" s="52"/>
      <c r="E786" s="53"/>
      <c r="F786" s="53"/>
      <c r="G786" s="65"/>
      <c r="H786" s="53"/>
      <c r="I786" s="55"/>
      <c r="J786" s="52"/>
      <c r="K786" s="56"/>
      <c r="L786" s="55"/>
      <c r="M786" s="55"/>
      <c r="N786" s="55"/>
      <c r="O786" s="55"/>
      <c r="P786" s="55"/>
      <c r="Q786" s="55"/>
      <c r="R786" s="55"/>
      <c r="S786" s="55"/>
      <c r="T786" s="55"/>
      <c r="U786" s="55"/>
      <c r="V786" s="55"/>
      <c r="W786" s="55"/>
      <c r="X786" s="55"/>
      <c r="Y786" s="55"/>
      <c r="Z786" s="55"/>
    </row>
    <row r="787" spans="1:26" ht="15">
      <c r="A787" s="49"/>
      <c r="B787" s="77"/>
      <c r="C787" s="52"/>
      <c r="D787" s="52"/>
      <c r="E787" s="53"/>
      <c r="F787" s="53"/>
      <c r="G787" s="65"/>
      <c r="H787" s="53"/>
      <c r="I787" s="55"/>
      <c r="J787" s="52"/>
      <c r="K787" s="56"/>
      <c r="L787" s="55"/>
      <c r="M787" s="55"/>
      <c r="N787" s="55"/>
      <c r="O787" s="55"/>
      <c r="P787" s="55"/>
      <c r="Q787" s="55"/>
      <c r="R787" s="55"/>
      <c r="S787" s="55"/>
      <c r="T787" s="55"/>
      <c r="U787" s="55"/>
      <c r="V787" s="55"/>
      <c r="W787" s="55"/>
      <c r="X787" s="55"/>
      <c r="Y787" s="55"/>
      <c r="Z787" s="55"/>
    </row>
    <row r="788" spans="1:26" ht="15">
      <c r="A788" s="49"/>
      <c r="B788" s="77"/>
      <c r="C788" s="52"/>
      <c r="D788" s="52"/>
      <c r="E788" s="53"/>
      <c r="F788" s="53"/>
      <c r="G788" s="65"/>
      <c r="H788" s="53"/>
      <c r="I788" s="55"/>
      <c r="J788" s="52"/>
      <c r="K788" s="56"/>
      <c r="L788" s="55"/>
      <c r="M788" s="55"/>
      <c r="N788" s="55"/>
      <c r="O788" s="55"/>
      <c r="P788" s="55"/>
      <c r="Q788" s="55"/>
      <c r="R788" s="55"/>
      <c r="S788" s="55"/>
      <c r="T788" s="55"/>
      <c r="U788" s="55"/>
      <c r="V788" s="55"/>
      <c r="W788" s="55"/>
      <c r="X788" s="55"/>
      <c r="Y788" s="55"/>
      <c r="Z788" s="55"/>
    </row>
    <row r="789" spans="1:26" ht="15">
      <c r="A789" s="49"/>
      <c r="B789" s="77"/>
      <c r="C789" s="52"/>
      <c r="D789" s="52"/>
      <c r="E789" s="53"/>
      <c r="F789" s="53"/>
      <c r="G789" s="65"/>
      <c r="H789" s="53"/>
      <c r="I789" s="55"/>
      <c r="J789" s="52"/>
      <c r="K789" s="56"/>
      <c r="L789" s="55"/>
      <c r="M789" s="55"/>
      <c r="N789" s="55"/>
      <c r="O789" s="55"/>
      <c r="P789" s="55"/>
      <c r="Q789" s="55"/>
      <c r="R789" s="55"/>
      <c r="S789" s="55"/>
      <c r="T789" s="55"/>
      <c r="U789" s="55"/>
      <c r="V789" s="55"/>
      <c r="W789" s="55"/>
      <c r="X789" s="55"/>
      <c r="Y789" s="55"/>
      <c r="Z789" s="55"/>
    </row>
    <row r="790" spans="1:26" ht="15">
      <c r="A790" s="49"/>
      <c r="B790" s="77"/>
      <c r="C790" s="52"/>
      <c r="D790" s="52"/>
      <c r="E790" s="53"/>
      <c r="F790" s="53"/>
      <c r="G790" s="65"/>
      <c r="H790" s="53"/>
      <c r="I790" s="55"/>
      <c r="J790" s="52"/>
      <c r="K790" s="56"/>
      <c r="L790" s="55"/>
      <c r="M790" s="55"/>
      <c r="N790" s="55"/>
      <c r="O790" s="55"/>
      <c r="P790" s="55"/>
      <c r="Q790" s="55"/>
      <c r="R790" s="55"/>
      <c r="S790" s="55"/>
      <c r="T790" s="55"/>
      <c r="U790" s="55"/>
      <c r="V790" s="55"/>
      <c r="W790" s="55"/>
      <c r="X790" s="55"/>
      <c r="Y790" s="55"/>
      <c r="Z790" s="55"/>
    </row>
    <row r="791" spans="1:26" ht="15">
      <c r="A791" s="49"/>
      <c r="B791" s="77"/>
      <c r="C791" s="52"/>
      <c r="D791" s="52"/>
      <c r="E791" s="53"/>
      <c r="F791" s="53"/>
      <c r="G791" s="65"/>
      <c r="H791" s="53"/>
      <c r="I791" s="55"/>
      <c r="J791" s="52"/>
      <c r="K791" s="56"/>
      <c r="L791" s="55"/>
      <c r="M791" s="55"/>
      <c r="N791" s="55"/>
      <c r="O791" s="55"/>
      <c r="P791" s="55"/>
      <c r="Q791" s="55"/>
      <c r="R791" s="55"/>
      <c r="S791" s="55"/>
      <c r="T791" s="55"/>
      <c r="U791" s="55"/>
      <c r="V791" s="55"/>
      <c r="W791" s="55"/>
      <c r="X791" s="55"/>
      <c r="Y791" s="55"/>
      <c r="Z791" s="55"/>
    </row>
    <row r="792" spans="1:26" ht="15">
      <c r="A792" s="49"/>
      <c r="B792" s="77"/>
      <c r="C792" s="52"/>
      <c r="D792" s="52"/>
      <c r="E792" s="53"/>
      <c r="F792" s="53"/>
      <c r="G792" s="65"/>
      <c r="H792" s="53"/>
      <c r="I792" s="55"/>
      <c r="J792" s="52"/>
      <c r="K792" s="56"/>
      <c r="L792" s="55"/>
      <c r="M792" s="55"/>
      <c r="N792" s="55"/>
      <c r="O792" s="55"/>
      <c r="P792" s="55"/>
      <c r="Q792" s="55"/>
      <c r="R792" s="55"/>
      <c r="S792" s="55"/>
      <c r="T792" s="55"/>
      <c r="U792" s="55"/>
      <c r="V792" s="55"/>
      <c r="W792" s="55"/>
      <c r="X792" s="55"/>
      <c r="Y792" s="55"/>
      <c r="Z792" s="55"/>
    </row>
    <row r="793" spans="1:26" ht="15">
      <c r="A793" s="49"/>
      <c r="B793" s="77"/>
      <c r="C793" s="52"/>
      <c r="D793" s="52"/>
      <c r="E793" s="53"/>
      <c r="F793" s="53"/>
      <c r="G793" s="65"/>
      <c r="H793" s="53"/>
      <c r="I793" s="55"/>
      <c r="J793" s="52"/>
      <c r="K793" s="56"/>
      <c r="L793" s="55"/>
      <c r="M793" s="55"/>
      <c r="N793" s="55"/>
      <c r="O793" s="55"/>
      <c r="P793" s="55"/>
      <c r="Q793" s="55"/>
      <c r="R793" s="55"/>
      <c r="S793" s="55"/>
      <c r="T793" s="55"/>
      <c r="U793" s="55"/>
      <c r="V793" s="55"/>
      <c r="W793" s="55"/>
      <c r="X793" s="55"/>
      <c r="Y793" s="55"/>
      <c r="Z793" s="55"/>
    </row>
    <row r="794" spans="1:26" ht="15">
      <c r="A794" s="49"/>
      <c r="B794" s="77"/>
      <c r="C794" s="52"/>
      <c r="D794" s="52"/>
      <c r="E794" s="53"/>
      <c r="F794" s="53"/>
      <c r="G794" s="65"/>
      <c r="H794" s="53"/>
      <c r="I794" s="55"/>
      <c r="J794" s="52"/>
      <c r="K794" s="56"/>
      <c r="L794" s="55"/>
      <c r="M794" s="55"/>
      <c r="N794" s="55"/>
      <c r="O794" s="55"/>
      <c r="P794" s="55"/>
      <c r="Q794" s="55"/>
      <c r="R794" s="55"/>
      <c r="S794" s="55"/>
      <c r="T794" s="55"/>
      <c r="U794" s="55"/>
      <c r="V794" s="55"/>
      <c r="W794" s="55"/>
      <c r="X794" s="55"/>
      <c r="Y794" s="55"/>
      <c r="Z794" s="55"/>
    </row>
    <row r="795" spans="1:26" ht="15">
      <c r="A795" s="49"/>
      <c r="B795" s="77"/>
      <c r="C795" s="52"/>
      <c r="D795" s="52"/>
      <c r="E795" s="53"/>
      <c r="F795" s="53"/>
      <c r="G795" s="65"/>
      <c r="H795" s="53"/>
      <c r="I795" s="55"/>
      <c r="J795" s="52"/>
      <c r="K795" s="56"/>
      <c r="L795" s="55"/>
      <c r="M795" s="55"/>
      <c r="N795" s="55"/>
      <c r="O795" s="55"/>
      <c r="P795" s="55"/>
      <c r="Q795" s="55"/>
      <c r="R795" s="55"/>
      <c r="S795" s="55"/>
      <c r="T795" s="55"/>
      <c r="U795" s="55"/>
      <c r="V795" s="55"/>
      <c r="W795" s="55"/>
      <c r="X795" s="55"/>
      <c r="Y795" s="55"/>
      <c r="Z795" s="55"/>
    </row>
    <row r="796" spans="1:26" ht="15">
      <c r="A796" s="49"/>
      <c r="B796" s="77"/>
      <c r="C796" s="52"/>
      <c r="D796" s="52"/>
      <c r="E796" s="53"/>
      <c r="F796" s="53"/>
      <c r="G796" s="65"/>
      <c r="H796" s="53"/>
      <c r="I796" s="55"/>
      <c r="J796" s="52"/>
      <c r="K796" s="56"/>
      <c r="L796" s="55"/>
      <c r="M796" s="55"/>
      <c r="N796" s="55"/>
      <c r="O796" s="55"/>
      <c r="P796" s="55"/>
      <c r="Q796" s="55"/>
      <c r="R796" s="55"/>
      <c r="S796" s="55"/>
      <c r="T796" s="55"/>
      <c r="U796" s="55"/>
      <c r="V796" s="55"/>
      <c r="W796" s="55"/>
      <c r="X796" s="55"/>
      <c r="Y796" s="55"/>
      <c r="Z796" s="55"/>
    </row>
    <row r="797" spans="1:26" ht="15">
      <c r="A797" s="49"/>
      <c r="B797" s="77"/>
      <c r="C797" s="52"/>
      <c r="D797" s="52"/>
      <c r="E797" s="53"/>
      <c r="F797" s="53"/>
      <c r="G797" s="65"/>
      <c r="H797" s="53"/>
      <c r="I797" s="55"/>
      <c r="J797" s="52"/>
      <c r="K797" s="56"/>
      <c r="L797" s="55"/>
      <c r="M797" s="55"/>
      <c r="N797" s="55"/>
      <c r="O797" s="55"/>
      <c r="P797" s="55"/>
      <c r="Q797" s="55"/>
      <c r="R797" s="55"/>
      <c r="S797" s="55"/>
      <c r="T797" s="55"/>
      <c r="U797" s="55"/>
      <c r="V797" s="55"/>
      <c r="W797" s="55"/>
      <c r="X797" s="55"/>
      <c r="Y797" s="55"/>
      <c r="Z797" s="55"/>
    </row>
    <row r="798" spans="1:26" ht="15">
      <c r="A798" s="49"/>
      <c r="B798" s="77"/>
      <c r="C798" s="52"/>
      <c r="D798" s="52"/>
      <c r="E798" s="53"/>
      <c r="F798" s="53"/>
      <c r="G798" s="65"/>
      <c r="H798" s="53"/>
      <c r="I798" s="55"/>
      <c r="J798" s="52"/>
      <c r="K798" s="56"/>
      <c r="L798" s="55"/>
      <c r="M798" s="55"/>
      <c r="N798" s="55"/>
      <c r="O798" s="55"/>
      <c r="P798" s="55"/>
      <c r="Q798" s="55"/>
      <c r="R798" s="55"/>
      <c r="S798" s="55"/>
      <c r="T798" s="55"/>
      <c r="U798" s="55"/>
      <c r="V798" s="55"/>
      <c r="W798" s="55"/>
      <c r="X798" s="55"/>
      <c r="Y798" s="55"/>
      <c r="Z798" s="55"/>
    </row>
    <row r="799" spans="1:26" ht="15">
      <c r="A799" s="49"/>
      <c r="B799" s="77"/>
      <c r="C799" s="52"/>
      <c r="D799" s="52"/>
      <c r="E799" s="53"/>
      <c r="F799" s="53"/>
      <c r="G799" s="65"/>
      <c r="H799" s="53"/>
      <c r="I799" s="55"/>
      <c r="J799" s="52"/>
      <c r="K799" s="56"/>
      <c r="L799" s="55"/>
      <c r="M799" s="55"/>
      <c r="N799" s="55"/>
      <c r="O799" s="55"/>
      <c r="P799" s="55"/>
      <c r="Q799" s="55"/>
      <c r="R799" s="55"/>
      <c r="S799" s="55"/>
      <c r="T799" s="55"/>
      <c r="U799" s="55"/>
      <c r="V799" s="55"/>
      <c r="W799" s="55"/>
      <c r="X799" s="55"/>
      <c r="Y799" s="55"/>
      <c r="Z799" s="55"/>
    </row>
    <row r="800" spans="1:26" ht="15">
      <c r="A800" s="49"/>
      <c r="B800" s="77"/>
      <c r="C800" s="52"/>
      <c r="D800" s="52"/>
      <c r="E800" s="53"/>
      <c r="F800" s="53"/>
      <c r="G800" s="65"/>
      <c r="H800" s="53"/>
      <c r="I800" s="55"/>
      <c r="J800" s="52"/>
      <c r="K800" s="56"/>
      <c r="L800" s="55"/>
      <c r="M800" s="55"/>
      <c r="N800" s="55"/>
      <c r="O800" s="55"/>
      <c r="P800" s="55"/>
      <c r="Q800" s="55"/>
      <c r="R800" s="55"/>
      <c r="S800" s="55"/>
      <c r="T800" s="55"/>
      <c r="U800" s="55"/>
      <c r="V800" s="55"/>
      <c r="W800" s="55"/>
      <c r="X800" s="55"/>
      <c r="Y800" s="55"/>
      <c r="Z800" s="55"/>
    </row>
    <row r="801" spans="1:26" ht="15">
      <c r="A801" s="49"/>
      <c r="B801" s="77"/>
      <c r="C801" s="52"/>
      <c r="D801" s="52"/>
      <c r="E801" s="53"/>
      <c r="F801" s="53"/>
      <c r="G801" s="65"/>
      <c r="H801" s="53"/>
      <c r="I801" s="55"/>
      <c r="J801" s="52"/>
      <c r="K801" s="56"/>
      <c r="L801" s="55"/>
      <c r="M801" s="55"/>
      <c r="N801" s="55"/>
      <c r="O801" s="55"/>
      <c r="P801" s="55"/>
      <c r="Q801" s="55"/>
      <c r="R801" s="55"/>
      <c r="S801" s="55"/>
      <c r="T801" s="55"/>
      <c r="U801" s="55"/>
      <c r="V801" s="55"/>
      <c r="W801" s="55"/>
      <c r="X801" s="55"/>
      <c r="Y801" s="55"/>
      <c r="Z801" s="55"/>
    </row>
    <row r="802" spans="1:26" ht="15">
      <c r="A802" s="49"/>
      <c r="B802" s="77"/>
      <c r="C802" s="52"/>
      <c r="D802" s="52"/>
      <c r="E802" s="53"/>
      <c r="F802" s="53"/>
      <c r="G802" s="65"/>
      <c r="H802" s="53"/>
      <c r="I802" s="55"/>
      <c r="J802" s="52"/>
      <c r="K802" s="56"/>
      <c r="L802" s="55"/>
      <c r="M802" s="55"/>
      <c r="N802" s="55"/>
      <c r="O802" s="55"/>
      <c r="P802" s="55"/>
      <c r="Q802" s="55"/>
      <c r="R802" s="55"/>
      <c r="S802" s="55"/>
      <c r="T802" s="55"/>
      <c r="U802" s="55"/>
      <c r="V802" s="55"/>
      <c r="W802" s="55"/>
      <c r="X802" s="55"/>
      <c r="Y802" s="55"/>
      <c r="Z802" s="55"/>
    </row>
    <row r="803" spans="1:26" ht="15">
      <c r="A803" s="49"/>
      <c r="B803" s="77"/>
      <c r="C803" s="52"/>
      <c r="D803" s="52"/>
      <c r="E803" s="53"/>
      <c r="F803" s="53"/>
      <c r="G803" s="65"/>
      <c r="H803" s="53"/>
      <c r="I803" s="55"/>
      <c r="J803" s="52"/>
      <c r="K803" s="56"/>
      <c r="L803" s="55"/>
      <c r="M803" s="55"/>
      <c r="N803" s="55"/>
      <c r="O803" s="55"/>
      <c r="P803" s="55"/>
      <c r="Q803" s="55"/>
      <c r="R803" s="55"/>
      <c r="S803" s="55"/>
      <c r="T803" s="55"/>
      <c r="U803" s="55"/>
      <c r="V803" s="55"/>
      <c r="W803" s="55"/>
      <c r="X803" s="55"/>
      <c r="Y803" s="55"/>
      <c r="Z803" s="55"/>
    </row>
    <row r="804" spans="1:26" ht="15">
      <c r="A804" s="49"/>
      <c r="B804" s="77"/>
      <c r="C804" s="52"/>
      <c r="D804" s="52"/>
      <c r="E804" s="53"/>
      <c r="F804" s="53"/>
      <c r="G804" s="65"/>
      <c r="H804" s="53"/>
      <c r="I804" s="55"/>
      <c r="J804" s="52"/>
      <c r="K804" s="56"/>
      <c r="L804" s="55"/>
      <c r="M804" s="55"/>
      <c r="N804" s="55"/>
      <c r="O804" s="55"/>
      <c r="P804" s="55"/>
      <c r="Q804" s="55"/>
      <c r="R804" s="55"/>
      <c r="S804" s="55"/>
      <c r="T804" s="55"/>
      <c r="U804" s="55"/>
      <c r="V804" s="55"/>
      <c r="W804" s="55"/>
      <c r="X804" s="55"/>
      <c r="Y804" s="55"/>
      <c r="Z804" s="55"/>
    </row>
    <row r="805" spans="1:26" ht="15">
      <c r="A805" s="49"/>
      <c r="B805" s="77"/>
      <c r="C805" s="52"/>
      <c r="D805" s="52"/>
      <c r="E805" s="53"/>
      <c r="F805" s="53"/>
      <c r="G805" s="65"/>
      <c r="H805" s="53"/>
      <c r="I805" s="55"/>
      <c r="J805" s="52"/>
      <c r="K805" s="56"/>
      <c r="L805" s="55"/>
      <c r="M805" s="55"/>
      <c r="N805" s="55"/>
      <c r="O805" s="55"/>
      <c r="P805" s="55"/>
      <c r="Q805" s="55"/>
      <c r="R805" s="55"/>
      <c r="S805" s="55"/>
      <c r="T805" s="55"/>
      <c r="U805" s="55"/>
      <c r="V805" s="55"/>
      <c r="W805" s="55"/>
      <c r="X805" s="55"/>
      <c r="Y805" s="55"/>
      <c r="Z805" s="55"/>
    </row>
    <row r="806" spans="1:26" ht="15">
      <c r="A806" s="49"/>
      <c r="B806" s="77"/>
      <c r="C806" s="52"/>
      <c r="D806" s="52"/>
      <c r="E806" s="53"/>
      <c r="F806" s="53"/>
      <c r="G806" s="65"/>
      <c r="H806" s="53"/>
      <c r="I806" s="55"/>
      <c r="J806" s="52"/>
      <c r="K806" s="56"/>
      <c r="L806" s="55"/>
      <c r="M806" s="55"/>
      <c r="N806" s="55"/>
      <c r="O806" s="55"/>
      <c r="P806" s="55"/>
      <c r="Q806" s="55"/>
      <c r="R806" s="55"/>
      <c r="S806" s="55"/>
      <c r="T806" s="55"/>
      <c r="U806" s="55"/>
      <c r="V806" s="55"/>
      <c r="W806" s="55"/>
      <c r="X806" s="55"/>
      <c r="Y806" s="55"/>
      <c r="Z806" s="55"/>
    </row>
    <row r="807" spans="1:26" ht="15">
      <c r="A807" s="49"/>
      <c r="B807" s="77"/>
      <c r="C807" s="52"/>
      <c r="D807" s="52"/>
      <c r="E807" s="53"/>
      <c r="F807" s="53"/>
      <c r="G807" s="65"/>
      <c r="H807" s="53"/>
      <c r="I807" s="55"/>
      <c r="J807" s="52"/>
      <c r="K807" s="56"/>
      <c r="L807" s="55"/>
      <c r="M807" s="55"/>
      <c r="N807" s="55"/>
      <c r="O807" s="55"/>
      <c r="P807" s="55"/>
      <c r="Q807" s="55"/>
      <c r="R807" s="55"/>
      <c r="S807" s="55"/>
      <c r="T807" s="55"/>
      <c r="U807" s="55"/>
      <c r="V807" s="55"/>
      <c r="W807" s="55"/>
      <c r="X807" s="55"/>
      <c r="Y807" s="55"/>
      <c r="Z807" s="55"/>
    </row>
    <row r="808" spans="1:26" ht="15">
      <c r="A808" s="49"/>
      <c r="B808" s="77"/>
      <c r="C808" s="52"/>
      <c r="D808" s="52"/>
      <c r="E808" s="53"/>
      <c r="F808" s="53"/>
      <c r="G808" s="65"/>
      <c r="H808" s="53"/>
      <c r="I808" s="55"/>
      <c r="J808" s="52"/>
      <c r="K808" s="56"/>
      <c r="L808" s="55"/>
      <c r="M808" s="55"/>
      <c r="N808" s="55"/>
      <c r="O808" s="55"/>
      <c r="P808" s="55"/>
      <c r="Q808" s="55"/>
      <c r="R808" s="55"/>
      <c r="S808" s="55"/>
      <c r="T808" s="55"/>
      <c r="U808" s="55"/>
      <c r="V808" s="55"/>
      <c r="W808" s="55"/>
      <c r="X808" s="55"/>
      <c r="Y808" s="55"/>
      <c r="Z808" s="55"/>
    </row>
    <row r="809" spans="1:26" ht="15">
      <c r="A809" s="49"/>
      <c r="B809" s="77"/>
      <c r="C809" s="52"/>
      <c r="D809" s="52"/>
      <c r="E809" s="53"/>
      <c r="F809" s="53"/>
      <c r="G809" s="65"/>
      <c r="H809" s="53"/>
      <c r="I809" s="55"/>
      <c r="J809" s="52"/>
      <c r="K809" s="56"/>
      <c r="L809" s="55"/>
      <c r="M809" s="55"/>
      <c r="N809" s="55"/>
      <c r="O809" s="55"/>
      <c r="P809" s="55"/>
      <c r="Q809" s="55"/>
      <c r="R809" s="55"/>
      <c r="S809" s="55"/>
      <c r="T809" s="55"/>
      <c r="U809" s="55"/>
      <c r="V809" s="55"/>
      <c r="W809" s="55"/>
      <c r="X809" s="55"/>
      <c r="Y809" s="55"/>
      <c r="Z809" s="55"/>
    </row>
    <row r="810" spans="1:26" ht="15">
      <c r="A810" s="49"/>
      <c r="B810" s="77"/>
      <c r="C810" s="52"/>
      <c r="D810" s="52"/>
      <c r="E810" s="53"/>
      <c r="F810" s="53"/>
      <c r="G810" s="65"/>
      <c r="H810" s="53"/>
      <c r="I810" s="55"/>
      <c r="J810" s="52"/>
      <c r="K810" s="56"/>
      <c r="L810" s="55"/>
      <c r="M810" s="55"/>
      <c r="N810" s="55"/>
      <c r="O810" s="55"/>
      <c r="P810" s="55"/>
      <c r="Q810" s="55"/>
      <c r="R810" s="55"/>
      <c r="S810" s="55"/>
      <c r="T810" s="55"/>
      <c r="U810" s="55"/>
      <c r="V810" s="55"/>
      <c r="W810" s="55"/>
      <c r="X810" s="55"/>
      <c r="Y810" s="55"/>
      <c r="Z810" s="55"/>
    </row>
    <row r="811" spans="1:26" ht="15">
      <c r="A811" s="49"/>
      <c r="B811" s="77"/>
      <c r="C811" s="52"/>
      <c r="D811" s="52"/>
      <c r="E811" s="53"/>
      <c r="F811" s="53"/>
      <c r="G811" s="65"/>
      <c r="H811" s="53"/>
      <c r="I811" s="55"/>
      <c r="J811" s="52"/>
      <c r="K811" s="56"/>
      <c r="L811" s="55"/>
      <c r="M811" s="55"/>
      <c r="N811" s="55"/>
      <c r="O811" s="55"/>
      <c r="P811" s="55"/>
      <c r="Q811" s="55"/>
      <c r="R811" s="55"/>
      <c r="S811" s="55"/>
      <c r="T811" s="55"/>
      <c r="U811" s="55"/>
      <c r="V811" s="55"/>
      <c r="W811" s="55"/>
      <c r="X811" s="55"/>
      <c r="Y811" s="55"/>
      <c r="Z811" s="55"/>
    </row>
    <row r="812" spans="1:26" ht="15">
      <c r="A812" s="49"/>
      <c r="B812" s="77"/>
      <c r="C812" s="52"/>
      <c r="D812" s="52"/>
      <c r="E812" s="53"/>
      <c r="F812" s="53"/>
      <c r="G812" s="65"/>
      <c r="H812" s="53"/>
      <c r="I812" s="55"/>
      <c r="J812" s="52"/>
      <c r="K812" s="56"/>
      <c r="L812" s="55"/>
      <c r="M812" s="55"/>
      <c r="N812" s="55"/>
      <c r="O812" s="55"/>
      <c r="P812" s="55"/>
      <c r="Q812" s="55"/>
      <c r="R812" s="55"/>
      <c r="S812" s="55"/>
      <c r="T812" s="55"/>
      <c r="U812" s="55"/>
      <c r="V812" s="55"/>
      <c r="W812" s="55"/>
      <c r="X812" s="55"/>
      <c r="Y812" s="55"/>
      <c r="Z812" s="55"/>
    </row>
    <row r="813" spans="1:26" ht="15">
      <c r="A813" s="49"/>
      <c r="B813" s="77"/>
      <c r="C813" s="52"/>
      <c r="D813" s="52"/>
      <c r="E813" s="53"/>
      <c r="F813" s="53"/>
      <c r="G813" s="65"/>
      <c r="H813" s="53"/>
      <c r="I813" s="55"/>
      <c r="J813" s="52"/>
      <c r="K813" s="56"/>
      <c r="L813" s="55"/>
      <c r="M813" s="55"/>
      <c r="N813" s="55"/>
      <c r="O813" s="55"/>
      <c r="P813" s="55"/>
      <c r="Q813" s="55"/>
      <c r="R813" s="55"/>
      <c r="S813" s="55"/>
      <c r="T813" s="55"/>
      <c r="U813" s="55"/>
      <c r="V813" s="55"/>
      <c r="W813" s="55"/>
      <c r="X813" s="55"/>
      <c r="Y813" s="55"/>
      <c r="Z813" s="55"/>
    </row>
    <row r="814" spans="1:26" ht="15">
      <c r="A814" s="49"/>
      <c r="B814" s="77"/>
      <c r="C814" s="52"/>
      <c r="D814" s="52"/>
      <c r="E814" s="53"/>
      <c r="F814" s="53"/>
      <c r="G814" s="65"/>
      <c r="H814" s="53"/>
      <c r="I814" s="55"/>
      <c r="J814" s="52"/>
      <c r="K814" s="56"/>
      <c r="L814" s="55"/>
      <c r="M814" s="55"/>
      <c r="N814" s="55"/>
      <c r="O814" s="55"/>
      <c r="P814" s="55"/>
      <c r="Q814" s="55"/>
      <c r="R814" s="55"/>
      <c r="S814" s="55"/>
      <c r="T814" s="55"/>
      <c r="U814" s="55"/>
      <c r="V814" s="55"/>
      <c r="W814" s="55"/>
      <c r="X814" s="55"/>
      <c r="Y814" s="55"/>
      <c r="Z814" s="55"/>
    </row>
    <row r="815" spans="1:26" ht="15">
      <c r="A815" s="49"/>
      <c r="B815" s="77"/>
      <c r="C815" s="52"/>
      <c r="D815" s="52"/>
      <c r="E815" s="53"/>
      <c r="F815" s="53"/>
      <c r="G815" s="65"/>
      <c r="H815" s="53"/>
      <c r="I815" s="55"/>
      <c r="J815" s="52"/>
      <c r="K815" s="56"/>
      <c r="L815" s="55"/>
      <c r="M815" s="55"/>
      <c r="N815" s="55"/>
      <c r="O815" s="55"/>
      <c r="P815" s="55"/>
      <c r="Q815" s="55"/>
      <c r="R815" s="55"/>
      <c r="S815" s="55"/>
      <c r="T815" s="55"/>
      <c r="U815" s="55"/>
      <c r="V815" s="55"/>
      <c r="W815" s="55"/>
      <c r="X815" s="55"/>
      <c r="Y815" s="55"/>
      <c r="Z815" s="55"/>
    </row>
    <row r="816" spans="1:26" ht="15">
      <c r="A816" s="49"/>
      <c r="B816" s="77"/>
      <c r="C816" s="52"/>
      <c r="D816" s="52"/>
      <c r="E816" s="53"/>
      <c r="F816" s="53"/>
      <c r="G816" s="65"/>
      <c r="H816" s="53"/>
      <c r="I816" s="55"/>
      <c r="J816" s="52"/>
      <c r="K816" s="56"/>
      <c r="L816" s="55"/>
      <c r="M816" s="55"/>
      <c r="N816" s="55"/>
      <c r="O816" s="55"/>
      <c r="P816" s="55"/>
      <c r="Q816" s="55"/>
      <c r="R816" s="55"/>
      <c r="S816" s="55"/>
      <c r="T816" s="55"/>
      <c r="U816" s="55"/>
      <c r="V816" s="55"/>
      <c r="W816" s="55"/>
      <c r="X816" s="55"/>
      <c r="Y816" s="55"/>
      <c r="Z816" s="55"/>
    </row>
    <row r="817" spans="1:26" ht="15">
      <c r="A817" s="49"/>
      <c r="B817" s="77"/>
      <c r="C817" s="52"/>
      <c r="D817" s="52"/>
      <c r="E817" s="53"/>
      <c r="F817" s="53"/>
      <c r="G817" s="65"/>
      <c r="H817" s="53"/>
      <c r="I817" s="55"/>
      <c r="J817" s="52"/>
      <c r="K817" s="56"/>
      <c r="L817" s="55"/>
      <c r="M817" s="55"/>
      <c r="N817" s="55"/>
      <c r="O817" s="55"/>
      <c r="P817" s="55"/>
      <c r="Q817" s="55"/>
      <c r="R817" s="55"/>
      <c r="S817" s="55"/>
      <c r="T817" s="55"/>
      <c r="U817" s="55"/>
      <c r="V817" s="55"/>
      <c r="W817" s="55"/>
      <c r="X817" s="55"/>
      <c r="Y817" s="55"/>
      <c r="Z817" s="55"/>
    </row>
    <row r="818" spans="1:26" ht="15">
      <c r="A818" s="49"/>
      <c r="B818" s="77"/>
      <c r="C818" s="52"/>
      <c r="D818" s="52"/>
      <c r="E818" s="53"/>
      <c r="F818" s="53"/>
      <c r="G818" s="65"/>
      <c r="H818" s="53"/>
      <c r="I818" s="55"/>
      <c r="J818" s="52"/>
      <c r="K818" s="56"/>
      <c r="L818" s="55"/>
      <c r="M818" s="55"/>
      <c r="N818" s="55"/>
      <c r="O818" s="55"/>
      <c r="P818" s="55"/>
      <c r="Q818" s="55"/>
      <c r="R818" s="55"/>
      <c r="S818" s="55"/>
      <c r="T818" s="55"/>
      <c r="U818" s="55"/>
      <c r="V818" s="55"/>
      <c r="W818" s="55"/>
      <c r="X818" s="55"/>
      <c r="Y818" s="55"/>
      <c r="Z818" s="55"/>
    </row>
    <row r="819" spans="1:26" ht="15">
      <c r="A819" s="49"/>
      <c r="B819" s="77"/>
      <c r="C819" s="52"/>
      <c r="D819" s="52"/>
      <c r="E819" s="53"/>
      <c r="F819" s="53"/>
      <c r="G819" s="65"/>
      <c r="H819" s="53"/>
      <c r="I819" s="55"/>
      <c r="J819" s="52"/>
      <c r="K819" s="56"/>
      <c r="L819" s="55"/>
      <c r="M819" s="55"/>
      <c r="N819" s="55"/>
      <c r="O819" s="55"/>
      <c r="P819" s="55"/>
      <c r="Q819" s="55"/>
      <c r="R819" s="55"/>
      <c r="S819" s="55"/>
      <c r="T819" s="55"/>
      <c r="U819" s="55"/>
      <c r="V819" s="55"/>
      <c r="W819" s="55"/>
      <c r="X819" s="55"/>
      <c r="Y819" s="55"/>
      <c r="Z819" s="55"/>
    </row>
    <row r="820" spans="1:26" ht="15">
      <c r="A820" s="49"/>
      <c r="B820" s="77"/>
      <c r="C820" s="52"/>
      <c r="D820" s="52"/>
      <c r="E820" s="53"/>
      <c r="F820" s="53"/>
      <c r="G820" s="65"/>
      <c r="H820" s="53"/>
      <c r="I820" s="55"/>
      <c r="J820" s="52"/>
      <c r="K820" s="56"/>
      <c r="L820" s="55"/>
      <c r="M820" s="55"/>
      <c r="N820" s="55"/>
      <c r="O820" s="55"/>
      <c r="P820" s="55"/>
      <c r="Q820" s="55"/>
      <c r="R820" s="55"/>
      <c r="S820" s="55"/>
      <c r="T820" s="55"/>
      <c r="U820" s="55"/>
      <c r="V820" s="55"/>
      <c r="W820" s="55"/>
      <c r="X820" s="55"/>
      <c r="Y820" s="55"/>
      <c r="Z820" s="55"/>
    </row>
    <row r="821" spans="1:26" ht="15">
      <c r="A821" s="49"/>
      <c r="B821" s="77"/>
      <c r="C821" s="52"/>
      <c r="D821" s="52"/>
      <c r="E821" s="53"/>
      <c r="F821" s="53"/>
      <c r="G821" s="65"/>
      <c r="H821" s="53"/>
      <c r="I821" s="55"/>
      <c r="J821" s="52"/>
      <c r="K821" s="56"/>
      <c r="L821" s="55"/>
      <c r="M821" s="55"/>
      <c r="N821" s="55"/>
      <c r="O821" s="55"/>
      <c r="P821" s="55"/>
      <c r="Q821" s="55"/>
      <c r="R821" s="55"/>
      <c r="S821" s="55"/>
      <c r="T821" s="55"/>
      <c r="U821" s="55"/>
      <c r="V821" s="55"/>
      <c r="W821" s="55"/>
      <c r="X821" s="55"/>
      <c r="Y821" s="55"/>
      <c r="Z821" s="55"/>
    </row>
    <row r="822" spans="1:26" ht="15">
      <c r="A822" s="49"/>
      <c r="B822" s="77"/>
      <c r="C822" s="52"/>
      <c r="D822" s="52"/>
      <c r="E822" s="53"/>
      <c r="F822" s="53"/>
      <c r="G822" s="65"/>
      <c r="H822" s="53"/>
      <c r="I822" s="55"/>
      <c r="J822" s="52"/>
      <c r="K822" s="56"/>
      <c r="L822" s="55"/>
      <c r="M822" s="55"/>
      <c r="N822" s="55"/>
      <c r="O822" s="55"/>
      <c r="P822" s="55"/>
      <c r="Q822" s="55"/>
      <c r="R822" s="55"/>
      <c r="S822" s="55"/>
      <c r="T822" s="55"/>
      <c r="U822" s="55"/>
      <c r="V822" s="55"/>
      <c r="W822" s="55"/>
      <c r="X822" s="55"/>
      <c r="Y822" s="55"/>
      <c r="Z822" s="55"/>
    </row>
    <row r="823" spans="1:26" ht="15">
      <c r="A823" s="49"/>
      <c r="B823" s="77"/>
      <c r="C823" s="52"/>
      <c r="D823" s="52"/>
      <c r="E823" s="53"/>
      <c r="F823" s="53"/>
      <c r="G823" s="65"/>
      <c r="H823" s="53"/>
      <c r="I823" s="55"/>
      <c r="J823" s="52"/>
      <c r="K823" s="56"/>
      <c r="L823" s="55"/>
      <c r="M823" s="55"/>
      <c r="N823" s="55"/>
      <c r="O823" s="55"/>
      <c r="P823" s="55"/>
      <c r="Q823" s="55"/>
      <c r="R823" s="55"/>
      <c r="S823" s="55"/>
      <c r="T823" s="55"/>
      <c r="U823" s="55"/>
      <c r="V823" s="55"/>
      <c r="W823" s="55"/>
      <c r="X823" s="55"/>
      <c r="Y823" s="55"/>
      <c r="Z823" s="55"/>
    </row>
    <row r="824" spans="1:26" ht="15">
      <c r="A824" s="49"/>
      <c r="B824" s="77"/>
      <c r="C824" s="52"/>
      <c r="D824" s="52"/>
      <c r="E824" s="53"/>
      <c r="F824" s="53"/>
      <c r="G824" s="65"/>
      <c r="H824" s="53"/>
      <c r="I824" s="55"/>
      <c r="J824" s="52"/>
      <c r="K824" s="56"/>
      <c r="L824" s="55"/>
      <c r="M824" s="55"/>
      <c r="N824" s="55"/>
      <c r="O824" s="55"/>
      <c r="P824" s="55"/>
      <c r="Q824" s="55"/>
      <c r="R824" s="55"/>
      <c r="S824" s="55"/>
      <c r="T824" s="55"/>
      <c r="U824" s="55"/>
      <c r="V824" s="55"/>
      <c r="W824" s="55"/>
      <c r="X824" s="55"/>
      <c r="Y824" s="55"/>
      <c r="Z824" s="55"/>
    </row>
    <row r="825" spans="1:26" ht="15">
      <c r="A825" s="49"/>
      <c r="B825" s="77"/>
      <c r="C825" s="52"/>
      <c r="D825" s="52"/>
      <c r="E825" s="53"/>
      <c r="F825" s="53"/>
      <c r="G825" s="65"/>
      <c r="H825" s="53"/>
      <c r="I825" s="55"/>
      <c r="J825" s="52"/>
      <c r="K825" s="56"/>
      <c r="L825" s="55"/>
      <c r="M825" s="55"/>
      <c r="N825" s="55"/>
      <c r="O825" s="55"/>
      <c r="P825" s="55"/>
      <c r="Q825" s="55"/>
      <c r="R825" s="55"/>
      <c r="S825" s="55"/>
      <c r="T825" s="55"/>
      <c r="U825" s="55"/>
      <c r="V825" s="55"/>
      <c r="W825" s="55"/>
      <c r="X825" s="55"/>
      <c r="Y825" s="55"/>
      <c r="Z825" s="55"/>
    </row>
    <row r="826" spans="1:26" ht="15">
      <c r="A826" s="49"/>
      <c r="B826" s="77"/>
      <c r="C826" s="52"/>
      <c r="D826" s="52"/>
      <c r="E826" s="53"/>
      <c r="F826" s="53"/>
      <c r="G826" s="65"/>
      <c r="H826" s="53"/>
      <c r="I826" s="55"/>
      <c r="J826" s="52"/>
      <c r="K826" s="56"/>
      <c r="L826" s="55"/>
      <c r="M826" s="55"/>
      <c r="N826" s="55"/>
      <c r="O826" s="55"/>
      <c r="P826" s="55"/>
      <c r="Q826" s="55"/>
      <c r="R826" s="55"/>
      <c r="S826" s="55"/>
      <c r="T826" s="55"/>
      <c r="U826" s="55"/>
      <c r="V826" s="55"/>
      <c r="W826" s="55"/>
      <c r="X826" s="55"/>
      <c r="Y826" s="55"/>
      <c r="Z826" s="55"/>
    </row>
    <row r="827" spans="1:26" ht="15">
      <c r="A827" s="49"/>
      <c r="B827" s="77"/>
      <c r="C827" s="52"/>
      <c r="D827" s="52"/>
      <c r="E827" s="53"/>
      <c r="F827" s="53"/>
      <c r="G827" s="65"/>
      <c r="H827" s="53"/>
      <c r="I827" s="55"/>
      <c r="J827" s="52"/>
      <c r="K827" s="56"/>
      <c r="L827" s="55"/>
      <c r="M827" s="55"/>
      <c r="N827" s="55"/>
      <c r="O827" s="55"/>
      <c r="P827" s="55"/>
      <c r="Q827" s="55"/>
      <c r="R827" s="55"/>
      <c r="S827" s="55"/>
      <c r="T827" s="55"/>
      <c r="U827" s="55"/>
      <c r="V827" s="55"/>
      <c r="W827" s="55"/>
      <c r="X827" s="55"/>
      <c r="Y827" s="55"/>
      <c r="Z827" s="55"/>
    </row>
    <row r="828" spans="1:26" ht="15">
      <c r="A828" s="49"/>
      <c r="B828" s="77"/>
      <c r="C828" s="52"/>
      <c r="D828" s="52"/>
      <c r="E828" s="53"/>
      <c r="F828" s="53"/>
      <c r="G828" s="65"/>
      <c r="H828" s="53"/>
      <c r="I828" s="55"/>
      <c r="J828" s="52"/>
      <c r="K828" s="56"/>
      <c r="L828" s="55"/>
      <c r="M828" s="55"/>
      <c r="N828" s="55"/>
      <c r="O828" s="55"/>
      <c r="P828" s="55"/>
      <c r="Q828" s="55"/>
      <c r="R828" s="55"/>
      <c r="S828" s="55"/>
      <c r="T828" s="55"/>
      <c r="U828" s="55"/>
      <c r="V828" s="55"/>
      <c r="W828" s="55"/>
      <c r="X828" s="55"/>
      <c r="Y828" s="55"/>
      <c r="Z828" s="55"/>
    </row>
    <row r="829" spans="1:26" ht="15">
      <c r="A829" s="49"/>
      <c r="B829" s="77"/>
      <c r="C829" s="52"/>
      <c r="D829" s="52"/>
      <c r="E829" s="53"/>
      <c r="F829" s="53"/>
      <c r="G829" s="65"/>
      <c r="H829" s="53"/>
      <c r="I829" s="55"/>
      <c r="J829" s="52"/>
      <c r="K829" s="56"/>
      <c r="L829" s="55"/>
      <c r="M829" s="55"/>
      <c r="N829" s="55"/>
      <c r="O829" s="55"/>
      <c r="P829" s="55"/>
      <c r="Q829" s="55"/>
      <c r="R829" s="55"/>
      <c r="S829" s="55"/>
      <c r="T829" s="55"/>
      <c r="U829" s="55"/>
      <c r="V829" s="55"/>
      <c r="W829" s="55"/>
      <c r="X829" s="55"/>
      <c r="Y829" s="55"/>
      <c r="Z829" s="55"/>
    </row>
    <row r="830" spans="1:26" ht="15">
      <c r="A830" s="49"/>
      <c r="B830" s="77"/>
      <c r="C830" s="52"/>
      <c r="D830" s="52"/>
      <c r="E830" s="53"/>
      <c r="F830" s="53"/>
      <c r="G830" s="65"/>
      <c r="H830" s="53"/>
      <c r="I830" s="55"/>
      <c r="J830" s="52"/>
      <c r="K830" s="56"/>
      <c r="L830" s="55"/>
      <c r="M830" s="55"/>
      <c r="N830" s="55"/>
      <c r="O830" s="55"/>
      <c r="P830" s="55"/>
      <c r="Q830" s="55"/>
      <c r="R830" s="55"/>
      <c r="S830" s="55"/>
      <c r="T830" s="55"/>
      <c r="U830" s="55"/>
      <c r="V830" s="55"/>
      <c r="W830" s="55"/>
      <c r="X830" s="55"/>
      <c r="Y830" s="55"/>
      <c r="Z830" s="55"/>
    </row>
    <row r="831" spans="1:26" ht="15">
      <c r="A831" s="49"/>
      <c r="B831" s="77"/>
      <c r="C831" s="52"/>
      <c r="D831" s="52"/>
      <c r="E831" s="53"/>
      <c r="F831" s="53"/>
      <c r="G831" s="65"/>
      <c r="H831" s="53"/>
      <c r="I831" s="55"/>
      <c r="J831" s="52"/>
      <c r="K831" s="56"/>
      <c r="L831" s="55"/>
      <c r="M831" s="55"/>
      <c r="N831" s="55"/>
      <c r="O831" s="55"/>
      <c r="P831" s="55"/>
      <c r="Q831" s="55"/>
      <c r="R831" s="55"/>
      <c r="S831" s="55"/>
      <c r="T831" s="55"/>
      <c r="U831" s="55"/>
      <c r="V831" s="55"/>
      <c r="W831" s="55"/>
      <c r="X831" s="55"/>
      <c r="Y831" s="55"/>
      <c r="Z831" s="55"/>
    </row>
    <row r="832" spans="1:26" ht="15">
      <c r="A832" s="49"/>
      <c r="B832" s="77"/>
      <c r="C832" s="52"/>
      <c r="D832" s="52"/>
      <c r="E832" s="53"/>
      <c r="F832" s="53"/>
      <c r="G832" s="65"/>
      <c r="H832" s="53"/>
      <c r="I832" s="55"/>
      <c r="J832" s="52"/>
      <c r="K832" s="56"/>
      <c r="L832" s="55"/>
      <c r="M832" s="55"/>
      <c r="N832" s="55"/>
      <c r="O832" s="55"/>
      <c r="P832" s="55"/>
      <c r="Q832" s="55"/>
      <c r="R832" s="55"/>
      <c r="S832" s="55"/>
      <c r="T832" s="55"/>
      <c r="U832" s="55"/>
      <c r="V832" s="55"/>
      <c r="W832" s="55"/>
      <c r="X832" s="55"/>
      <c r="Y832" s="55"/>
      <c r="Z832" s="55"/>
    </row>
    <row r="833" spans="1:26" ht="15">
      <c r="A833" s="49"/>
      <c r="B833" s="77"/>
      <c r="C833" s="52"/>
      <c r="D833" s="52"/>
      <c r="E833" s="53"/>
      <c r="F833" s="53"/>
      <c r="G833" s="65"/>
      <c r="H833" s="53"/>
      <c r="I833" s="55"/>
      <c r="J833" s="52"/>
      <c r="K833" s="56"/>
      <c r="L833" s="55"/>
      <c r="M833" s="55"/>
      <c r="N833" s="55"/>
      <c r="O833" s="55"/>
      <c r="P833" s="55"/>
      <c r="Q833" s="55"/>
      <c r="R833" s="55"/>
      <c r="S833" s="55"/>
      <c r="T833" s="55"/>
      <c r="U833" s="55"/>
      <c r="V833" s="55"/>
      <c r="W833" s="55"/>
      <c r="X833" s="55"/>
      <c r="Y833" s="55"/>
      <c r="Z833" s="55"/>
    </row>
    <row r="834" spans="1:26" ht="15">
      <c r="A834" s="49"/>
      <c r="B834" s="77"/>
      <c r="C834" s="52"/>
      <c r="D834" s="52"/>
      <c r="E834" s="53"/>
      <c r="F834" s="53"/>
      <c r="G834" s="65"/>
      <c r="H834" s="53"/>
      <c r="I834" s="55"/>
      <c r="J834" s="52"/>
      <c r="K834" s="56"/>
      <c r="L834" s="55"/>
      <c r="M834" s="55"/>
      <c r="N834" s="55"/>
      <c r="O834" s="55"/>
      <c r="P834" s="55"/>
      <c r="Q834" s="55"/>
      <c r="R834" s="55"/>
      <c r="S834" s="55"/>
      <c r="T834" s="55"/>
      <c r="U834" s="55"/>
      <c r="V834" s="55"/>
      <c r="W834" s="55"/>
      <c r="X834" s="55"/>
      <c r="Y834" s="55"/>
      <c r="Z834" s="55"/>
    </row>
    <row r="835" spans="1:26" ht="15">
      <c r="A835" s="49"/>
      <c r="B835" s="77"/>
      <c r="C835" s="52"/>
      <c r="D835" s="52"/>
      <c r="E835" s="53"/>
      <c r="F835" s="53"/>
      <c r="G835" s="65"/>
      <c r="H835" s="53"/>
      <c r="I835" s="55"/>
      <c r="J835" s="52"/>
      <c r="K835" s="56"/>
      <c r="L835" s="55"/>
      <c r="M835" s="55"/>
      <c r="N835" s="55"/>
      <c r="O835" s="55"/>
      <c r="P835" s="55"/>
      <c r="Q835" s="55"/>
      <c r="R835" s="55"/>
      <c r="S835" s="55"/>
      <c r="T835" s="55"/>
      <c r="U835" s="55"/>
      <c r="V835" s="55"/>
      <c r="W835" s="55"/>
      <c r="X835" s="55"/>
      <c r="Y835" s="55"/>
      <c r="Z835" s="55"/>
    </row>
    <row r="836" spans="1:26" ht="15">
      <c r="A836" s="49"/>
      <c r="B836" s="77"/>
      <c r="C836" s="52"/>
      <c r="D836" s="52"/>
      <c r="E836" s="53"/>
      <c r="F836" s="53"/>
      <c r="G836" s="65"/>
      <c r="H836" s="53"/>
      <c r="I836" s="55"/>
      <c r="J836" s="52"/>
      <c r="K836" s="56"/>
      <c r="L836" s="55"/>
      <c r="M836" s="55"/>
      <c r="N836" s="55"/>
      <c r="O836" s="55"/>
      <c r="P836" s="55"/>
      <c r="Q836" s="55"/>
      <c r="R836" s="55"/>
      <c r="S836" s="55"/>
      <c r="T836" s="55"/>
      <c r="U836" s="55"/>
      <c r="V836" s="55"/>
      <c r="W836" s="55"/>
      <c r="X836" s="55"/>
      <c r="Y836" s="55"/>
      <c r="Z836" s="55"/>
    </row>
    <row r="837" spans="1:26" ht="15">
      <c r="A837" s="49"/>
      <c r="B837" s="77"/>
      <c r="C837" s="52"/>
      <c r="D837" s="52"/>
      <c r="E837" s="53"/>
      <c r="F837" s="53"/>
      <c r="G837" s="65"/>
      <c r="H837" s="53"/>
      <c r="I837" s="55"/>
      <c r="J837" s="52"/>
      <c r="K837" s="56"/>
      <c r="L837" s="55"/>
      <c r="M837" s="55"/>
      <c r="N837" s="55"/>
      <c r="O837" s="55"/>
      <c r="P837" s="55"/>
      <c r="Q837" s="55"/>
      <c r="R837" s="55"/>
      <c r="S837" s="55"/>
      <c r="T837" s="55"/>
      <c r="U837" s="55"/>
      <c r="V837" s="55"/>
      <c r="W837" s="55"/>
      <c r="X837" s="55"/>
      <c r="Y837" s="55"/>
      <c r="Z837" s="55"/>
    </row>
    <row r="838" spans="1:26" ht="15">
      <c r="A838" s="49"/>
      <c r="B838" s="77"/>
      <c r="C838" s="52"/>
      <c r="D838" s="52"/>
      <c r="E838" s="53"/>
      <c r="F838" s="53"/>
      <c r="G838" s="65"/>
      <c r="H838" s="53"/>
      <c r="I838" s="55"/>
      <c r="J838" s="52"/>
      <c r="K838" s="56"/>
      <c r="L838" s="55"/>
      <c r="M838" s="55"/>
      <c r="N838" s="55"/>
      <c r="O838" s="55"/>
      <c r="P838" s="55"/>
      <c r="Q838" s="55"/>
      <c r="R838" s="55"/>
      <c r="S838" s="55"/>
      <c r="T838" s="55"/>
      <c r="U838" s="55"/>
      <c r="V838" s="55"/>
      <c r="W838" s="55"/>
      <c r="X838" s="55"/>
      <c r="Y838" s="55"/>
      <c r="Z838" s="55"/>
    </row>
    <row r="839" spans="1:26" ht="15">
      <c r="A839" s="49"/>
      <c r="B839" s="77"/>
      <c r="C839" s="52"/>
      <c r="D839" s="52"/>
      <c r="E839" s="53"/>
      <c r="F839" s="53"/>
      <c r="G839" s="65"/>
      <c r="H839" s="53"/>
      <c r="I839" s="55"/>
      <c r="J839" s="52"/>
      <c r="K839" s="56"/>
      <c r="L839" s="55"/>
      <c r="M839" s="55"/>
      <c r="N839" s="55"/>
      <c r="O839" s="55"/>
      <c r="P839" s="55"/>
      <c r="Q839" s="55"/>
      <c r="R839" s="55"/>
      <c r="S839" s="55"/>
      <c r="T839" s="55"/>
      <c r="U839" s="55"/>
      <c r="V839" s="55"/>
      <c r="W839" s="55"/>
      <c r="X839" s="55"/>
      <c r="Y839" s="55"/>
      <c r="Z839" s="55"/>
    </row>
    <row r="840" spans="1:26" ht="15">
      <c r="A840" s="49"/>
      <c r="B840" s="77"/>
      <c r="C840" s="52"/>
      <c r="D840" s="52"/>
      <c r="E840" s="53"/>
      <c r="F840" s="53"/>
      <c r="G840" s="65"/>
      <c r="H840" s="53"/>
      <c r="I840" s="55"/>
      <c r="J840" s="52"/>
      <c r="K840" s="56"/>
      <c r="L840" s="55"/>
      <c r="M840" s="55"/>
      <c r="N840" s="55"/>
      <c r="O840" s="55"/>
      <c r="P840" s="55"/>
      <c r="Q840" s="55"/>
      <c r="R840" s="55"/>
      <c r="S840" s="55"/>
      <c r="T840" s="55"/>
      <c r="U840" s="55"/>
      <c r="V840" s="55"/>
      <c r="W840" s="55"/>
      <c r="X840" s="55"/>
      <c r="Y840" s="55"/>
      <c r="Z840" s="55"/>
    </row>
    <row r="841" spans="1:26" ht="15">
      <c r="A841" s="49"/>
      <c r="B841" s="77"/>
      <c r="C841" s="52"/>
      <c r="D841" s="52"/>
      <c r="E841" s="53"/>
      <c r="F841" s="53"/>
      <c r="G841" s="65"/>
      <c r="H841" s="53"/>
      <c r="I841" s="55"/>
      <c r="J841" s="52"/>
      <c r="K841" s="56"/>
      <c r="L841" s="55"/>
      <c r="M841" s="55"/>
      <c r="N841" s="55"/>
      <c r="O841" s="55"/>
      <c r="P841" s="55"/>
      <c r="Q841" s="55"/>
      <c r="R841" s="55"/>
      <c r="S841" s="55"/>
      <c r="T841" s="55"/>
      <c r="U841" s="55"/>
      <c r="V841" s="55"/>
      <c r="W841" s="55"/>
      <c r="X841" s="55"/>
      <c r="Y841" s="55"/>
      <c r="Z841" s="55"/>
    </row>
    <row r="842" spans="1:26" ht="15">
      <c r="A842" s="49"/>
      <c r="B842" s="77"/>
      <c r="C842" s="52"/>
      <c r="D842" s="52"/>
      <c r="E842" s="53"/>
      <c r="F842" s="53"/>
      <c r="G842" s="65"/>
      <c r="H842" s="53"/>
      <c r="I842" s="55"/>
      <c r="J842" s="52"/>
      <c r="K842" s="56"/>
      <c r="L842" s="55"/>
      <c r="M842" s="55"/>
      <c r="N842" s="55"/>
      <c r="O842" s="55"/>
      <c r="P842" s="55"/>
      <c r="Q842" s="55"/>
      <c r="R842" s="55"/>
      <c r="S842" s="55"/>
      <c r="T842" s="55"/>
      <c r="U842" s="55"/>
      <c r="V842" s="55"/>
      <c r="W842" s="55"/>
      <c r="X842" s="55"/>
      <c r="Y842" s="55"/>
      <c r="Z842" s="55"/>
    </row>
    <row r="843" spans="1:26" ht="15">
      <c r="A843" s="49"/>
      <c r="B843" s="77"/>
      <c r="C843" s="52"/>
      <c r="D843" s="52"/>
      <c r="E843" s="53"/>
      <c r="F843" s="53"/>
      <c r="G843" s="65"/>
      <c r="H843" s="53"/>
      <c r="I843" s="55"/>
      <c r="J843" s="52"/>
      <c r="K843" s="56"/>
      <c r="L843" s="55"/>
      <c r="M843" s="55"/>
      <c r="N843" s="55"/>
      <c r="O843" s="55"/>
      <c r="P843" s="55"/>
      <c r="Q843" s="55"/>
      <c r="R843" s="55"/>
      <c r="S843" s="55"/>
      <c r="T843" s="55"/>
      <c r="U843" s="55"/>
      <c r="V843" s="55"/>
      <c r="W843" s="55"/>
      <c r="X843" s="55"/>
      <c r="Y843" s="55"/>
      <c r="Z843" s="55"/>
    </row>
    <row r="844" spans="1:26" ht="15">
      <c r="A844" s="49"/>
      <c r="B844" s="77"/>
      <c r="C844" s="52"/>
      <c r="D844" s="52"/>
      <c r="E844" s="53"/>
      <c r="F844" s="53"/>
      <c r="G844" s="65"/>
      <c r="H844" s="53"/>
      <c r="I844" s="55"/>
      <c r="J844" s="52"/>
      <c r="K844" s="56"/>
      <c r="L844" s="55"/>
      <c r="M844" s="55"/>
      <c r="N844" s="55"/>
      <c r="O844" s="55"/>
      <c r="P844" s="55"/>
      <c r="Q844" s="55"/>
      <c r="R844" s="55"/>
      <c r="S844" s="55"/>
      <c r="T844" s="55"/>
      <c r="U844" s="55"/>
      <c r="V844" s="55"/>
      <c r="W844" s="55"/>
      <c r="X844" s="55"/>
      <c r="Y844" s="55"/>
      <c r="Z844" s="55"/>
    </row>
    <row r="845" spans="1:26" ht="15">
      <c r="A845" s="49"/>
      <c r="B845" s="77"/>
      <c r="C845" s="52"/>
      <c r="D845" s="52"/>
      <c r="E845" s="53"/>
      <c r="F845" s="53"/>
      <c r="G845" s="65"/>
      <c r="H845" s="53"/>
      <c r="I845" s="55"/>
      <c r="J845" s="52"/>
      <c r="K845" s="56"/>
      <c r="L845" s="55"/>
      <c r="M845" s="55"/>
      <c r="N845" s="55"/>
      <c r="O845" s="55"/>
      <c r="P845" s="55"/>
      <c r="Q845" s="55"/>
      <c r="R845" s="55"/>
      <c r="S845" s="55"/>
      <c r="T845" s="55"/>
      <c r="U845" s="55"/>
      <c r="V845" s="55"/>
      <c r="W845" s="55"/>
      <c r="X845" s="55"/>
      <c r="Y845" s="55"/>
      <c r="Z845" s="55"/>
    </row>
    <row r="846" spans="1:26" ht="15">
      <c r="A846" s="49"/>
      <c r="B846" s="77"/>
      <c r="C846" s="52"/>
      <c r="D846" s="52"/>
      <c r="E846" s="53"/>
      <c r="F846" s="53"/>
      <c r="G846" s="65"/>
      <c r="H846" s="53"/>
      <c r="I846" s="55"/>
      <c r="J846" s="52"/>
      <c r="K846" s="56"/>
      <c r="L846" s="55"/>
      <c r="M846" s="55"/>
      <c r="N846" s="55"/>
      <c r="O846" s="55"/>
      <c r="P846" s="55"/>
      <c r="Q846" s="55"/>
      <c r="R846" s="55"/>
      <c r="S846" s="55"/>
      <c r="T846" s="55"/>
      <c r="U846" s="55"/>
      <c r="V846" s="55"/>
      <c r="W846" s="55"/>
      <c r="X846" s="55"/>
      <c r="Y846" s="55"/>
      <c r="Z846" s="55"/>
    </row>
    <row r="847" spans="1:26" ht="15">
      <c r="A847" s="49"/>
      <c r="B847" s="77"/>
      <c r="C847" s="52"/>
      <c r="D847" s="52"/>
      <c r="E847" s="53"/>
      <c r="F847" s="53"/>
      <c r="G847" s="65"/>
      <c r="H847" s="53"/>
      <c r="I847" s="55"/>
      <c r="J847" s="52"/>
      <c r="K847" s="56"/>
      <c r="L847" s="55"/>
      <c r="M847" s="55"/>
      <c r="N847" s="55"/>
      <c r="O847" s="55"/>
      <c r="P847" s="55"/>
      <c r="Q847" s="55"/>
      <c r="R847" s="55"/>
      <c r="S847" s="55"/>
      <c r="T847" s="55"/>
      <c r="U847" s="55"/>
      <c r="V847" s="55"/>
      <c r="W847" s="55"/>
      <c r="X847" s="55"/>
      <c r="Y847" s="55"/>
      <c r="Z847" s="55"/>
    </row>
    <row r="848" spans="1:26" ht="15">
      <c r="A848" s="49"/>
      <c r="B848" s="77"/>
      <c r="C848" s="52"/>
      <c r="D848" s="52"/>
      <c r="E848" s="53"/>
      <c r="F848" s="53"/>
      <c r="G848" s="65"/>
      <c r="H848" s="53"/>
      <c r="I848" s="55"/>
      <c r="J848" s="52"/>
      <c r="K848" s="56"/>
      <c r="L848" s="55"/>
      <c r="M848" s="55"/>
      <c r="N848" s="55"/>
      <c r="O848" s="55"/>
      <c r="P848" s="55"/>
      <c r="Q848" s="55"/>
      <c r="R848" s="55"/>
      <c r="S848" s="55"/>
      <c r="T848" s="55"/>
      <c r="U848" s="55"/>
      <c r="V848" s="55"/>
      <c r="W848" s="55"/>
      <c r="X848" s="55"/>
      <c r="Y848" s="55"/>
      <c r="Z848" s="55"/>
    </row>
    <row r="849" spans="1:26" ht="15">
      <c r="A849" s="49"/>
      <c r="B849" s="77"/>
      <c r="C849" s="52"/>
      <c r="D849" s="52"/>
      <c r="E849" s="53"/>
      <c r="F849" s="53"/>
      <c r="G849" s="65"/>
      <c r="H849" s="53"/>
      <c r="I849" s="55"/>
      <c r="J849" s="52"/>
      <c r="K849" s="56"/>
      <c r="L849" s="55"/>
      <c r="M849" s="55"/>
      <c r="N849" s="55"/>
      <c r="O849" s="55"/>
      <c r="P849" s="55"/>
      <c r="Q849" s="55"/>
      <c r="R849" s="55"/>
      <c r="S849" s="55"/>
      <c r="T849" s="55"/>
      <c r="U849" s="55"/>
      <c r="V849" s="55"/>
      <c r="W849" s="55"/>
      <c r="X849" s="55"/>
      <c r="Y849" s="55"/>
      <c r="Z849" s="55"/>
    </row>
    <row r="850" spans="1:26" ht="15">
      <c r="A850" s="49"/>
      <c r="B850" s="77"/>
      <c r="C850" s="52"/>
      <c r="D850" s="52"/>
      <c r="E850" s="53"/>
      <c r="F850" s="53"/>
      <c r="G850" s="65"/>
      <c r="H850" s="53"/>
      <c r="I850" s="55"/>
      <c r="J850" s="52"/>
      <c r="K850" s="56"/>
      <c r="L850" s="55"/>
      <c r="M850" s="55"/>
      <c r="N850" s="55"/>
      <c r="O850" s="55"/>
      <c r="P850" s="55"/>
      <c r="Q850" s="55"/>
      <c r="R850" s="55"/>
      <c r="S850" s="55"/>
      <c r="T850" s="55"/>
      <c r="U850" s="55"/>
      <c r="V850" s="55"/>
      <c r="W850" s="55"/>
      <c r="X850" s="55"/>
      <c r="Y850" s="55"/>
      <c r="Z850" s="55"/>
    </row>
    <row r="851" spans="1:26" ht="15">
      <c r="A851" s="49"/>
      <c r="B851" s="77"/>
      <c r="C851" s="52"/>
      <c r="D851" s="52"/>
      <c r="E851" s="53"/>
      <c r="F851" s="53"/>
      <c r="G851" s="65"/>
      <c r="H851" s="53"/>
      <c r="I851" s="55"/>
      <c r="J851" s="52"/>
      <c r="K851" s="56"/>
      <c r="L851" s="55"/>
      <c r="M851" s="55"/>
      <c r="N851" s="55"/>
      <c r="O851" s="55"/>
      <c r="P851" s="55"/>
      <c r="Q851" s="55"/>
      <c r="R851" s="55"/>
      <c r="S851" s="55"/>
      <c r="T851" s="55"/>
      <c r="U851" s="55"/>
      <c r="V851" s="55"/>
      <c r="W851" s="55"/>
      <c r="X851" s="55"/>
      <c r="Y851" s="55"/>
      <c r="Z851" s="55"/>
    </row>
    <row r="852" spans="1:26" ht="15">
      <c r="A852" s="49"/>
      <c r="B852" s="77"/>
      <c r="C852" s="52"/>
      <c r="D852" s="52"/>
      <c r="E852" s="53"/>
      <c r="F852" s="53"/>
      <c r="G852" s="65"/>
      <c r="H852" s="53"/>
      <c r="I852" s="55"/>
      <c r="J852" s="52"/>
      <c r="K852" s="56"/>
      <c r="L852" s="55"/>
      <c r="M852" s="55"/>
      <c r="N852" s="55"/>
      <c r="O852" s="55"/>
      <c r="P852" s="55"/>
      <c r="Q852" s="55"/>
      <c r="R852" s="55"/>
      <c r="S852" s="55"/>
      <c r="T852" s="55"/>
      <c r="U852" s="55"/>
      <c r="V852" s="55"/>
      <c r="W852" s="55"/>
      <c r="X852" s="55"/>
      <c r="Y852" s="55"/>
      <c r="Z852" s="55"/>
    </row>
    <row r="853" spans="1:26" ht="15">
      <c r="A853" s="49"/>
      <c r="B853" s="77"/>
      <c r="C853" s="52"/>
      <c r="D853" s="52"/>
      <c r="E853" s="53"/>
      <c r="F853" s="53"/>
      <c r="G853" s="65"/>
      <c r="H853" s="53"/>
      <c r="I853" s="55"/>
      <c r="J853" s="52"/>
      <c r="K853" s="56"/>
      <c r="L853" s="55"/>
      <c r="M853" s="55"/>
      <c r="N853" s="55"/>
      <c r="O853" s="55"/>
      <c r="P853" s="55"/>
      <c r="Q853" s="55"/>
      <c r="R853" s="55"/>
      <c r="S853" s="55"/>
      <c r="T853" s="55"/>
      <c r="U853" s="55"/>
      <c r="V853" s="55"/>
      <c r="W853" s="55"/>
      <c r="X853" s="55"/>
      <c r="Y853" s="55"/>
      <c r="Z853" s="55"/>
    </row>
    <row r="854" spans="1:26" ht="15">
      <c r="A854" s="49"/>
      <c r="B854" s="77"/>
      <c r="C854" s="52"/>
      <c r="D854" s="52"/>
      <c r="E854" s="53"/>
      <c r="F854" s="53"/>
      <c r="G854" s="65"/>
      <c r="H854" s="53"/>
      <c r="I854" s="55"/>
      <c r="J854" s="52"/>
      <c r="K854" s="56"/>
      <c r="L854" s="55"/>
      <c r="M854" s="55"/>
      <c r="N854" s="55"/>
      <c r="O854" s="55"/>
      <c r="P854" s="55"/>
      <c r="Q854" s="55"/>
      <c r="R854" s="55"/>
      <c r="S854" s="55"/>
      <c r="T854" s="55"/>
      <c r="U854" s="55"/>
      <c r="V854" s="55"/>
      <c r="W854" s="55"/>
      <c r="X854" s="55"/>
      <c r="Y854" s="55"/>
      <c r="Z854" s="55"/>
    </row>
    <row r="855" spans="1:26" ht="15">
      <c r="A855" s="49"/>
      <c r="B855" s="77"/>
      <c r="C855" s="52"/>
      <c r="D855" s="52"/>
      <c r="E855" s="53"/>
      <c r="F855" s="53"/>
      <c r="G855" s="65"/>
      <c r="H855" s="53"/>
      <c r="I855" s="55"/>
      <c r="J855" s="52"/>
      <c r="K855" s="56"/>
      <c r="L855" s="55"/>
      <c r="M855" s="55"/>
      <c r="N855" s="55"/>
      <c r="O855" s="55"/>
      <c r="P855" s="55"/>
      <c r="Q855" s="55"/>
      <c r="R855" s="55"/>
      <c r="S855" s="55"/>
      <c r="T855" s="55"/>
      <c r="U855" s="55"/>
      <c r="V855" s="55"/>
      <c r="W855" s="55"/>
      <c r="X855" s="55"/>
      <c r="Y855" s="55"/>
      <c r="Z855" s="55"/>
    </row>
    <row r="856" spans="1:26" ht="15">
      <c r="A856" s="49"/>
      <c r="B856" s="77"/>
      <c r="C856" s="52"/>
      <c r="D856" s="52"/>
      <c r="E856" s="53"/>
      <c r="F856" s="53"/>
      <c r="G856" s="65"/>
      <c r="H856" s="53"/>
      <c r="I856" s="55"/>
      <c r="J856" s="52"/>
      <c r="K856" s="56"/>
      <c r="L856" s="55"/>
      <c r="M856" s="55"/>
      <c r="N856" s="55"/>
      <c r="O856" s="55"/>
      <c r="P856" s="55"/>
      <c r="Q856" s="55"/>
      <c r="R856" s="55"/>
      <c r="S856" s="55"/>
      <c r="T856" s="55"/>
      <c r="U856" s="55"/>
      <c r="V856" s="55"/>
      <c r="W856" s="55"/>
      <c r="X856" s="55"/>
      <c r="Y856" s="55"/>
      <c r="Z856" s="55"/>
    </row>
    <row r="857" spans="1:26" ht="15">
      <c r="A857" s="49"/>
      <c r="B857" s="77"/>
      <c r="C857" s="52"/>
      <c r="D857" s="52"/>
      <c r="E857" s="53"/>
      <c r="F857" s="53"/>
      <c r="G857" s="65"/>
      <c r="H857" s="53"/>
      <c r="I857" s="55"/>
      <c r="J857" s="52"/>
      <c r="K857" s="56"/>
      <c r="L857" s="55"/>
      <c r="M857" s="55"/>
      <c r="N857" s="55"/>
      <c r="O857" s="55"/>
      <c r="P857" s="55"/>
      <c r="Q857" s="55"/>
      <c r="R857" s="55"/>
      <c r="S857" s="55"/>
      <c r="T857" s="55"/>
      <c r="U857" s="55"/>
      <c r="V857" s="55"/>
      <c r="W857" s="55"/>
      <c r="X857" s="55"/>
      <c r="Y857" s="55"/>
      <c r="Z857" s="55"/>
    </row>
    <row r="858" spans="1:26" ht="15">
      <c r="A858" s="49"/>
      <c r="B858" s="77"/>
      <c r="C858" s="52"/>
      <c r="D858" s="52"/>
      <c r="E858" s="53"/>
      <c r="F858" s="53"/>
      <c r="G858" s="65"/>
      <c r="H858" s="53"/>
      <c r="I858" s="55"/>
      <c r="J858" s="52"/>
      <c r="K858" s="56"/>
      <c r="L858" s="55"/>
      <c r="M858" s="55"/>
      <c r="N858" s="55"/>
      <c r="O858" s="55"/>
      <c r="P858" s="55"/>
      <c r="Q858" s="55"/>
      <c r="R858" s="55"/>
      <c r="S858" s="55"/>
      <c r="T858" s="55"/>
      <c r="U858" s="55"/>
      <c r="V858" s="55"/>
      <c r="W858" s="55"/>
      <c r="X858" s="55"/>
      <c r="Y858" s="55"/>
      <c r="Z858" s="55"/>
    </row>
    <row r="859" spans="1:26" ht="15">
      <c r="A859" s="49"/>
      <c r="B859" s="77"/>
      <c r="C859" s="52"/>
      <c r="D859" s="52"/>
      <c r="E859" s="53"/>
      <c r="F859" s="53"/>
      <c r="G859" s="65"/>
      <c r="H859" s="53"/>
      <c r="I859" s="55"/>
      <c r="J859" s="52"/>
      <c r="K859" s="56"/>
      <c r="L859" s="55"/>
      <c r="M859" s="55"/>
      <c r="N859" s="55"/>
      <c r="O859" s="55"/>
      <c r="P859" s="55"/>
      <c r="Q859" s="55"/>
      <c r="R859" s="55"/>
      <c r="S859" s="55"/>
      <c r="T859" s="55"/>
      <c r="U859" s="55"/>
      <c r="V859" s="55"/>
      <c r="W859" s="55"/>
      <c r="X859" s="55"/>
      <c r="Y859" s="55"/>
      <c r="Z859" s="55"/>
    </row>
    <row r="860" spans="1:26" ht="15">
      <c r="A860" s="49"/>
      <c r="B860" s="77"/>
      <c r="C860" s="52"/>
      <c r="D860" s="52"/>
      <c r="E860" s="53"/>
      <c r="F860" s="53"/>
      <c r="G860" s="65"/>
      <c r="H860" s="53"/>
      <c r="I860" s="55"/>
      <c r="J860" s="52"/>
      <c r="K860" s="56"/>
      <c r="L860" s="55"/>
      <c r="M860" s="55"/>
      <c r="N860" s="55"/>
      <c r="O860" s="55"/>
      <c r="P860" s="55"/>
      <c r="Q860" s="55"/>
      <c r="R860" s="55"/>
      <c r="S860" s="55"/>
      <c r="T860" s="55"/>
      <c r="U860" s="55"/>
      <c r="V860" s="55"/>
      <c r="W860" s="55"/>
      <c r="X860" s="55"/>
      <c r="Y860" s="55"/>
      <c r="Z860" s="55"/>
    </row>
    <row r="861" spans="1:26" ht="15">
      <c r="A861" s="49"/>
      <c r="B861" s="77"/>
      <c r="C861" s="52"/>
      <c r="D861" s="52"/>
      <c r="E861" s="53"/>
      <c r="F861" s="53"/>
      <c r="G861" s="65"/>
      <c r="H861" s="53"/>
      <c r="I861" s="55"/>
      <c r="J861" s="52"/>
      <c r="K861" s="56"/>
      <c r="L861" s="55"/>
      <c r="M861" s="55"/>
      <c r="N861" s="55"/>
      <c r="O861" s="55"/>
      <c r="P861" s="55"/>
      <c r="Q861" s="55"/>
      <c r="R861" s="55"/>
      <c r="S861" s="55"/>
      <c r="T861" s="55"/>
      <c r="U861" s="55"/>
      <c r="V861" s="55"/>
      <c r="W861" s="55"/>
      <c r="X861" s="55"/>
      <c r="Y861" s="55"/>
      <c r="Z861" s="55"/>
    </row>
    <row r="862" spans="1:26" ht="15">
      <c r="A862" s="49"/>
      <c r="B862" s="77"/>
      <c r="C862" s="52"/>
      <c r="D862" s="52"/>
      <c r="E862" s="53"/>
      <c r="F862" s="53"/>
      <c r="G862" s="65"/>
      <c r="H862" s="53"/>
      <c r="I862" s="55"/>
      <c r="J862" s="52"/>
      <c r="K862" s="56"/>
      <c r="L862" s="55"/>
      <c r="M862" s="55"/>
      <c r="N862" s="55"/>
      <c r="O862" s="55"/>
      <c r="P862" s="55"/>
      <c r="Q862" s="55"/>
      <c r="R862" s="55"/>
      <c r="S862" s="55"/>
      <c r="T862" s="55"/>
      <c r="U862" s="55"/>
      <c r="V862" s="55"/>
      <c r="W862" s="55"/>
      <c r="X862" s="55"/>
      <c r="Y862" s="55"/>
      <c r="Z862" s="55"/>
    </row>
    <row r="863" spans="1:26" ht="15">
      <c r="A863" s="49"/>
      <c r="B863" s="77"/>
      <c r="C863" s="52"/>
      <c r="D863" s="52"/>
      <c r="E863" s="53"/>
      <c r="F863" s="53"/>
      <c r="G863" s="65"/>
      <c r="H863" s="53"/>
      <c r="I863" s="55"/>
      <c r="J863" s="52"/>
      <c r="K863" s="56"/>
      <c r="L863" s="55"/>
      <c r="M863" s="55"/>
      <c r="N863" s="55"/>
      <c r="O863" s="55"/>
      <c r="P863" s="55"/>
      <c r="Q863" s="55"/>
      <c r="R863" s="55"/>
      <c r="S863" s="55"/>
      <c r="T863" s="55"/>
      <c r="U863" s="55"/>
      <c r="V863" s="55"/>
      <c r="W863" s="55"/>
      <c r="X863" s="55"/>
      <c r="Y863" s="55"/>
      <c r="Z863" s="55"/>
    </row>
    <row r="864" spans="1:26" ht="15">
      <c r="A864" s="49"/>
      <c r="B864" s="77"/>
      <c r="C864" s="52"/>
      <c r="D864" s="52"/>
      <c r="E864" s="53"/>
      <c r="F864" s="53"/>
      <c r="G864" s="65"/>
      <c r="H864" s="53"/>
      <c r="I864" s="55"/>
      <c r="J864" s="52"/>
      <c r="K864" s="56"/>
      <c r="L864" s="55"/>
      <c r="M864" s="55"/>
      <c r="N864" s="55"/>
      <c r="O864" s="55"/>
      <c r="P864" s="55"/>
      <c r="Q864" s="55"/>
      <c r="R864" s="55"/>
      <c r="S864" s="55"/>
      <c r="T864" s="55"/>
      <c r="U864" s="55"/>
      <c r="V864" s="55"/>
      <c r="W864" s="55"/>
      <c r="X864" s="55"/>
      <c r="Y864" s="55"/>
      <c r="Z864" s="55"/>
    </row>
    <row r="865" spans="1:26" ht="15">
      <c r="A865" s="49"/>
      <c r="B865" s="77"/>
      <c r="C865" s="52"/>
      <c r="D865" s="52"/>
      <c r="E865" s="53"/>
      <c r="F865" s="53"/>
      <c r="G865" s="65"/>
      <c r="H865" s="53"/>
      <c r="I865" s="55"/>
      <c r="J865" s="52"/>
      <c r="K865" s="56"/>
      <c r="L865" s="55"/>
      <c r="M865" s="55"/>
      <c r="N865" s="55"/>
      <c r="O865" s="55"/>
      <c r="P865" s="55"/>
      <c r="Q865" s="55"/>
      <c r="R865" s="55"/>
      <c r="S865" s="55"/>
      <c r="T865" s="55"/>
      <c r="U865" s="55"/>
      <c r="V865" s="55"/>
      <c r="W865" s="55"/>
      <c r="X865" s="55"/>
      <c r="Y865" s="55"/>
      <c r="Z865" s="55"/>
    </row>
    <row r="866" spans="1:26" ht="15">
      <c r="A866" s="49"/>
      <c r="B866" s="77"/>
      <c r="C866" s="52"/>
      <c r="D866" s="52"/>
      <c r="E866" s="53"/>
      <c r="F866" s="53"/>
      <c r="G866" s="65"/>
      <c r="H866" s="53"/>
      <c r="I866" s="55"/>
      <c r="J866" s="52"/>
      <c r="K866" s="56"/>
      <c r="L866" s="55"/>
      <c r="M866" s="55"/>
      <c r="N866" s="55"/>
      <c r="O866" s="55"/>
      <c r="P866" s="55"/>
      <c r="Q866" s="55"/>
      <c r="R866" s="55"/>
      <c r="S866" s="55"/>
      <c r="T866" s="55"/>
      <c r="U866" s="55"/>
      <c r="V866" s="55"/>
      <c r="W866" s="55"/>
      <c r="X866" s="55"/>
      <c r="Y866" s="55"/>
      <c r="Z866" s="55"/>
    </row>
    <row r="867" spans="1:26" ht="15">
      <c r="A867" s="49"/>
      <c r="B867" s="77"/>
      <c r="C867" s="52"/>
      <c r="D867" s="52"/>
      <c r="E867" s="53"/>
      <c r="F867" s="53"/>
      <c r="G867" s="65"/>
      <c r="H867" s="53"/>
      <c r="I867" s="55"/>
      <c r="J867" s="52"/>
      <c r="K867" s="56"/>
      <c r="L867" s="55"/>
      <c r="M867" s="55"/>
      <c r="N867" s="55"/>
      <c r="O867" s="55"/>
      <c r="P867" s="55"/>
      <c r="Q867" s="55"/>
      <c r="R867" s="55"/>
      <c r="S867" s="55"/>
      <c r="T867" s="55"/>
      <c r="U867" s="55"/>
      <c r="V867" s="55"/>
      <c r="W867" s="55"/>
      <c r="X867" s="55"/>
      <c r="Y867" s="55"/>
      <c r="Z867" s="55"/>
    </row>
    <row r="868" spans="1:26" ht="15">
      <c r="A868" s="49"/>
      <c r="B868" s="77"/>
      <c r="C868" s="52"/>
      <c r="D868" s="52"/>
      <c r="E868" s="53"/>
      <c r="F868" s="53"/>
      <c r="G868" s="65"/>
      <c r="H868" s="53"/>
      <c r="I868" s="55"/>
      <c r="J868" s="52"/>
      <c r="K868" s="56"/>
      <c r="L868" s="55"/>
      <c r="M868" s="55"/>
      <c r="N868" s="55"/>
      <c r="O868" s="55"/>
      <c r="P868" s="55"/>
      <c r="Q868" s="55"/>
      <c r="R868" s="55"/>
      <c r="S868" s="55"/>
      <c r="T868" s="55"/>
      <c r="U868" s="55"/>
      <c r="V868" s="55"/>
      <c r="W868" s="55"/>
      <c r="X868" s="55"/>
      <c r="Y868" s="55"/>
      <c r="Z868" s="55"/>
    </row>
    <row r="869" spans="1:26" ht="15">
      <c r="A869" s="49"/>
      <c r="B869" s="77"/>
      <c r="C869" s="52"/>
      <c r="D869" s="52"/>
      <c r="E869" s="53"/>
      <c r="F869" s="53"/>
      <c r="G869" s="65"/>
      <c r="H869" s="53"/>
      <c r="I869" s="55"/>
      <c r="J869" s="52"/>
      <c r="K869" s="56"/>
      <c r="L869" s="55"/>
      <c r="M869" s="55"/>
      <c r="N869" s="55"/>
      <c r="O869" s="55"/>
      <c r="P869" s="55"/>
      <c r="Q869" s="55"/>
      <c r="R869" s="55"/>
      <c r="S869" s="55"/>
      <c r="T869" s="55"/>
      <c r="U869" s="55"/>
      <c r="V869" s="55"/>
      <c r="W869" s="55"/>
      <c r="X869" s="55"/>
      <c r="Y869" s="55"/>
      <c r="Z869" s="55"/>
    </row>
    <row r="870" spans="1:26" ht="15">
      <c r="A870" s="49"/>
      <c r="B870" s="77"/>
      <c r="C870" s="52"/>
      <c r="D870" s="52"/>
      <c r="E870" s="53"/>
      <c r="F870" s="53"/>
      <c r="G870" s="65"/>
      <c r="H870" s="53"/>
      <c r="I870" s="55"/>
      <c r="J870" s="52"/>
      <c r="K870" s="56"/>
      <c r="L870" s="55"/>
      <c r="M870" s="55"/>
      <c r="N870" s="55"/>
      <c r="O870" s="55"/>
      <c r="P870" s="55"/>
      <c r="Q870" s="55"/>
      <c r="R870" s="55"/>
      <c r="S870" s="55"/>
      <c r="T870" s="55"/>
      <c r="U870" s="55"/>
      <c r="V870" s="55"/>
      <c r="W870" s="55"/>
      <c r="X870" s="55"/>
      <c r="Y870" s="55"/>
      <c r="Z870" s="55"/>
    </row>
    <row r="871" spans="1:26" ht="15">
      <c r="A871" s="49"/>
      <c r="B871" s="77"/>
      <c r="C871" s="52"/>
      <c r="D871" s="52"/>
      <c r="E871" s="53"/>
      <c r="F871" s="53"/>
      <c r="G871" s="65"/>
      <c r="H871" s="53"/>
      <c r="I871" s="55"/>
      <c r="J871" s="52"/>
      <c r="K871" s="56"/>
      <c r="L871" s="55"/>
      <c r="M871" s="55"/>
      <c r="N871" s="55"/>
      <c r="O871" s="55"/>
      <c r="P871" s="55"/>
      <c r="Q871" s="55"/>
      <c r="R871" s="55"/>
      <c r="S871" s="55"/>
      <c r="T871" s="55"/>
      <c r="U871" s="55"/>
      <c r="V871" s="55"/>
      <c r="W871" s="55"/>
      <c r="X871" s="55"/>
      <c r="Y871" s="55"/>
      <c r="Z871" s="55"/>
    </row>
    <row r="872" spans="1:26" ht="15">
      <c r="A872" s="49"/>
      <c r="B872" s="77"/>
      <c r="C872" s="52"/>
      <c r="D872" s="52"/>
      <c r="E872" s="53"/>
      <c r="F872" s="53"/>
      <c r="G872" s="65"/>
      <c r="H872" s="53"/>
      <c r="I872" s="55"/>
      <c r="J872" s="52"/>
      <c r="K872" s="56"/>
      <c r="L872" s="55"/>
      <c r="M872" s="55"/>
      <c r="N872" s="55"/>
      <c r="O872" s="55"/>
      <c r="P872" s="55"/>
      <c r="Q872" s="55"/>
      <c r="R872" s="55"/>
      <c r="S872" s="55"/>
      <c r="T872" s="55"/>
      <c r="U872" s="55"/>
      <c r="V872" s="55"/>
      <c r="W872" s="55"/>
      <c r="X872" s="55"/>
      <c r="Y872" s="55"/>
      <c r="Z872" s="55"/>
    </row>
    <row r="873" spans="1:26" ht="15">
      <c r="A873" s="49"/>
      <c r="B873" s="77"/>
      <c r="C873" s="52"/>
      <c r="D873" s="52"/>
      <c r="E873" s="53"/>
      <c r="F873" s="53"/>
      <c r="G873" s="65"/>
      <c r="H873" s="53"/>
      <c r="I873" s="55"/>
      <c r="J873" s="52"/>
      <c r="K873" s="56"/>
      <c r="L873" s="55"/>
      <c r="M873" s="55"/>
      <c r="N873" s="55"/>
      <c r="O873" s="55"/>
      <c r="P873" s="55"/>
      <c r="Q873" s="55"/>
      <c r="R873" s="55"/>
      <c r="S873" s="55"/>
      <c r="T873" s="55"/>
      <c r="U873" s="55"/>
      <c r="V873" s="55"/>
      <c r="W873" s="55"/>
      <c r="X873" s="55"/>
      <c r="Y873" s="55"/>
      <c r="Z873" s="55"/>
    </row>
    <row r="874" spans="1:26" ht="15">
      <c r="A874" s="49"/>
      <c r="B874" s="77"/>
      <c r="C874" s="52"/>
      <c r="D874" s="52"/>
      <c r="E874" s="53"/>
      <c r="F874" s="53"/>
      <c r="G874" s="65"/>
      <c r="H874" s="53"/>
      <c r="I874" s="55"/>
      <c r="J874" s="52"/>
      <c r="K874" s="56"/>
      <c r="L874" s="55"/>
      <c r="M874" s="55"/>
      <c r="N874" s="55"/>
      <c r="O874" s="55"/>
      <c r="P874" s="55"/>
      <c r="Q874" s="55"/>
      <c r="R874" s="55"/>
      <c r="S874" s="55"/>
      <c r="T874" s="55"/>
      <c r="U874" s="55"/>
      <c r="V874" s="55"/>
      <c r="W874" s="55"/>
      <c r="X874" s="55"/>
      <c r="Y874" s="55"/>
      <c r="Z874" s="55"/>
    </row>
    <row r="875" spans="1:26" ht="15">
      <c r="A875" s="49"/>
      <c r="B875" s="77"/>
      <c r="C875" s="52"/>
      <c r="D875" s="52"/>
      <c r="E875" s="53"/>
      <c r="F875" s="53"/>
      <c r="G875" s="65"/>
      <c r="H875" s="53"/>
      <c r="I875" s="55"/>
      <c r="J875" s="52"/>
      <c r="K875" s="56"/>
      <c r="L875" s="55"/>
      <c r="M875" s="55"/>
      <c r="N875" s="55"/>
      <c r="O875" s="55"/>
      <c r="P875" s="55"/>
      <c r="Q875" s="55"/>
      <c r="R875" s="55"/>
      <c r="S875" s="55"/>
      <c r="T875" s="55"/>
      <c r="U875" s="55"/>
      <c r="V875" s="55"/>
      <c r="W875" s="55"/>
      <c r="X875" s="55"/>
      <c r="Y875" s="55"/>
      <c r="Z875" s="55"/>
    </row>
    <row r="876" spans="1:26" ht="15">
      <c r="A876" s="49"/>
      <c r="B876" s="77"/>
      <c r="C876" s="52"/>
      <c r="D876" s="52"/>
      <c r="E876" s="53"/>
      <c r="F876" s="53"/>
      <c r="G876" s="65"/>
      <c r="H876" s="53"/>
      <c r="I876" s="55"/>
      <c r="J876" s="52"/>
      <c r="K876" s="56"/>
      <c r="L876" s="55"/>
      <c r="M876" s="55"/>
      <c r="N876" s="55"/>
      <c r="O876" s="55"/>
      <c r="P876" s="55"/>
      <c r="Q876" s="55"/>
      <c r="R876" s="55"/>
      <c r="S876" s="55"/>
      <c r="T876" s="55"/>
      <c r="U876" s="55"/>
      <c r="V876" s="55"/>
      <c r="W876" s="55"/>
      <c r="X876" s="55"/>
      <c r="Y876" s="55"/>
      <c r="Z876" s="55"/>
    </row>
    <row r="877" spans="1:26" ht="15">
      <c r="A877" s="49"/>
      <c r="B877" s="77"/>
      <c r="C877" s="52"/>
      <c r="D877" s="52"/>
      <c r="E877" s="53"/>
      <c r="F877" s="53"/>
      <c r="G877" s="65"/>
      <c r="H877" s="53"/>
      <c r="I877" s="55"/>
      <c r="J877" s="52"/>
      <c r="K877" s="56"/>
      <c r="L877" s="55"/>
      <c r="M877" s="55"/>
      <c r="N877" s="55"/>
      <c r="O877" s="55"/>
      <c r="P877" s="55"/>
      <c r="Q877" s="55"/>
      <c r="R877" s="55"/>
      <c r="S877" s="55"/>
      <c r="T877" s="55"/>
      <c r="U877" s="55"/>
      <c r="V877" s="55"/>
      <c r="W877" s="55"/>
      <c r="X877" s="55"/>
      <c r="Y877" s="55"/>
      <c r="Z877" s="55"/>
    </row>
    <row r="878" spans="1:26" ht="15">
      <c r="A878" s="49"/>
      <c r="B878" s="77"/>
      <c r="C878" s="52"/>
      <c r="D878" s="52"/>
      <c r="E878" s="53"/>
      <c r="F878" s="53"/>
      <c r="G878" s="65"/>
      <c r="H878" s="53"/>
      <c r="I878" s="55"/>
      <c r="J878" s="52"/>
      <c r="K878" s="56"/>
      <c r="L878" s="55"/>
      <c r="M878" s="55"/>
      <c r="N878" s="55"/>
      <c r="O878" s="55"/>
      <c r="P878" s="55"/>
      <c r="Q878" s="55"/>
      <c r="R878" s="55"/>
      <c r="S878" s="55"/>
      <c r="T878" s="55"/>
      <c r="U878" s="55"/>
      <c r="V878" s="55"/>
      <c r="W878" s="55"/>
      <c r="X878" s="55"/>
      <c r="Y878" s="55"/>
      <c r="Z878" s="55"/>
    </row>
    <row r="879" spans="1:26" ht="15">
      <c r="A879" s="49"/>
      <c r="B879" s="77"/>
      <c r="C879" s="52"/>
      <c r="D879" s="52"/>
      <c r="E879" s="53"/>
      <c r="F879" s="53"/>
      <c r="G879" s="65"/>
      <c r="H879" s="53"/>
      <c r="I879" s="55"/>
      <c r="J879" s="52"/>
      <c r="K879" s="56"/>
      <c r="L879" s="55"/>
      <c r="M879" s="55"/>
      <c r="N879" s="55"/>
      <c r="O879" s="55"/>
      <c r="P879" s="55"/>
      <c r="Q879" s="55"/>
      <c r="R879" s="55"/>
      <c r="S879" s="55"/>
      <c r="T879" s="55"/>
      <c r="U879" s="55"/>
      <c r="V879" s="55"/>
      <c r="W879" s="55"/>
      <c r="X879" s="55"/>
      <c r="Y879" s="55"/>
      <c r="Z879" s="55"/>
    </row>
    <row r="880" spans="1:26" ht="15">
      <c r="A880" s="49"/>
      <c r="B880" s="77"/>
      <c r="C880" s="52"/>
      <c r="D880" s="52"/>
      <c r="E880" s="53"/>
      <c r="F880" s="53"/>
      <c r="G880" s="65"/>
      <c r="H880" s="53"/>
      <c r="I880" s="55"/>
      <c r="J880" s="52"/>
      <c r="K880" s="56"/>
      <c r="L880" s="55"/>
      <c r="M880" s="55"/>
      <c r="N880" s="55"/>
      <c r="O880" s="55"/>
      <c r="P880" s="55"/>
      <c r="Q880" s="55"/>
      <c r="R880" s="55"/>
      <c r="S880" s="55"/>
      <c r="T880" s="55"/>
      <c r="U880" s="55"/>
      <c r="V880" s="55"/>
      <c r="W880" s="55"/>
      <c r="X880" s="55"/>
      <c r="Y880" s="55"/>
      <c r="Z880" s="55"/>
    </row>
    <row r="881" spans="1:26" ht="15">
      <c r="A881" s="49"/>
      <c r="B881" s="77"/>
      <c r="C881" s="52"/>
      <c r="D881" s="52"/>
      <c r="E881" s="53"/>
      <c r="F881" s="53"/>
      <c r="G881" s="65"/>
      <c r="H881" s="53"/>
      <c r="I881" s="55"/>
      <c r="J881" s="52"/>
      <c r="K881" s="56"/>
      <c r="L881" s="55"/>
      <c r="M881" s="55"/>
      <c r="N881" s="55"/>
      <c r="O881" s="55"/>
      <c r="P881" s="55"/>
      <c r="Q881" s="55"/>
      <c r="R881" s="55"/>
      <c r="S881" s="55"/>
      <c r="T881" s="55"/>
      <c r="U881" s="55"/>
      <c r="V881" s="55"/>
      <c r="W881" s="55"/>
      <c r="X881" s="55"/>
      <c r="Y881" s="55"/>
      <c r="Z881" s="55"/>
    </row>
    <row r="882" spans="1:26" ht="15">
      <c r="A882" s="49"/>
      <c r="B882" s="77"/>
      <c r="C882" s="52"/>
      <c r="D882" s="52"/>
      <c r="E882" s="53"/>
      <c r="F882" s="53"/>
      <c r="G882" s="65"/>
      <c r="H882" s="53"/>
      <c r="I882" s="55"/>
      <c r="J882" s="52"/>
      <c r="K882" s="56"/>
      <c r="L882" s="55"/>
      <c r="M882" s="55"/>
      <c r="N882" s="55"/>
      <c r="O882" s="55"/>
      <c r="P882" s="55"/>
      <c r="Q882" s="55"/>
      <c r="R882" s="55"/>
      <c r="S882" s="55"/>
      <c r="T882" s="55"/>
      <c r="U882" s="55"/>
      <c r="V882" s="55"/>
      <c r="W882" s="55"/>
      <c r="X882" s="55"/>
      <c r="Y882" s="55"/>
      <c r="Z882" s="55"/>
    </row>
    <row r="883" spans="1:26" ht="15">
      <c r="A883" s="49"/>
      <c r="B883" s="77"/>
      <c r="C883" s="52"/>
      <c r="D883" s="52"/>
      <c r="E883" s="53"/>
      <c r="F883" s="53"/>
      <c r="G883" s="65"/>
      <c r="H883" s="53"/>
      <c r="I883" s="55"/>
      <c r="J883" s="52"/>
      <c r="K883" s="56"/>
      <c r="L883" s="55"/>
      <c r="M883" s="55"/>
      <c r="N883" s="55"/>
      <c r="O883" s="55"/>
      <c r="P883" s="55"/>
      <c r="Q883" s="55"/>
      <c r="R883" s="55"/>
      <c r="S883" s="55"/>
      <c r="T883" s="55"/>
      <c r="U883" s="55"/>
      <c r="V883" s="55"/>
      <c r="W883" s="55"/>
      <c r="X883" s="55"/>
      <c r="Y883" s="55"/>
      <c r="Z883" s="55"/>
    </row>
    <row r="884" spans="1:26" ht="15">
      <c r="A884" s="49"/>
      <c r="B884" s="77"/>
      <c r="C884" s="52"/>
      <c r="D884" s="52"/>
      <c r="E884" s="53"/>
      <c r="F884" s="53"/>
      <c r="G884" s="65"/>
      <c r="H884" s="53"/>
      <c r="I884" s="55"/>
      <c r="J884" s="52"/>
      <c r="K884" s="56"/>
      <c r="L884" s="55"/>
      <c r="M884" s="55"/>
      <c r="N884" s="55"/>
      <c r="O884" s="55"/>
      <c r="P884" s="55"/>
      <c r="Q884" s="55"/>
      <c r="R884" s="55"/>
      <c r="S884" s="55"/>
      <c r="T884" s="55"/>
      <c r="U884" s="55"/>
      <c r="V884" s="55"/>
      <c r="W884" s="55"/>
      <c r="X884" s="55"/>
      <c r="Y884" s="55"/>
      <c r="Z884" s="55"/>
    </row>
    <row r="885" spans="1:26" ht="15">
      <c r="A885" s="49"/>
      <c r="B885" s="77"/>
      <c r="C885" s="52"/>
      <c r="D885" s="52"/>
      <c r="E885" s="53"/>
      <c r="F885" s="53"/>
      <c r="G885" s="65"/>
      <c r="H885" s="53"/>
      <c r="I885" s="55"/>
      <c r="J885" s="52"/>
      <c r="K885" s="56"/>
      <c r="L885" s="55"/>
      <c r="M885" s="55"/>
      <c r="N885" s="55"/>
      <c r="O885" s="55"/>
      <c r="P885" s="55"/>
      <c r="Q885" s="55"/>
      <c r="R885" s="55"/>
      <c r="S885" s="55"/>
      <c r="T885" s="55"/>
      <c r="U885" s="55"/>
      <c r="V885" s="55"/>
      <c r="W885" s="55"/>
      <c r="X885" s="55"/>
      <c r="Y885" s="55"/>
      <c r="Z885" s="55"/>
    </row>
    <row r="886" spans="1:26" ht="15">
      <c r="A886" s="49"/>
      <c r="B886" s="77"/>
      <c r="C886" s="52"/>
      <c r="D886" s="52"/>
      <c r="E886" s="53"/>
      <c r="F886" s="53"/>
      <c r="G886" s="65"/>
      <c r="H886" s="53"/>
      <c r="I886" s="55"/>
      <c r="J886" s="52"/>
      <c r="K886" s="56"/>
      <c r="L886" s="55"/>
      <c r="M886" s="55"/>
      <c r="N886" s="55"/>
      <c r="O886" s="55"/>
      <c r="P886" s="55"/>
      <c r="Q886" s="55"/>
      <c r="R886" s="55"/>
      <c r="S886" s="55"/>
      <c r="T886" s="55"/>
      <c r="U886" s="55"/>
      <c r="V886" s="55"/>
      <c r="W886" s="55"/>
      <c r="X886" s="55"/>
      <c r="Y886" s="55"/>
      <c r="Z886" s="55"/>
    </row>
    <row r="887" spans="1:26" ht="15">
      <c r="A887" s="49"/>
      <c r="B887" s="77"/>
      <c r="C887" s="52"/>
      <c r="D887" s="52"/>
      <c r="E887" s="53"/>
      <c r="F887" s="53"/>
      <c r="G887" s="65"/>
      <c r="H887" s="53"/>
      <c r="I887" s="55"/>
      <c r="J887" s="52"/>
      <c r="K887" s="56"/>
      <c r="L887" s="55"/>
      <c r="M887" s="55"/>
      <c r="N887" s="55"/>
      <c r="O887" s="55"/>
      <c r="P887" s="55"/>
      <c r="Q887" s="55"/>
      <c r="R887" s="55"/>
      <c r="S887" s="55"/>
      <c r="T887" s="55"/>
      <c r="U887" s="55"/>
      <c r="V887" s="55"/>
      <c r="W887" s="55"/>
      <c r="X887" s="55"/>
      <c r="Y887" s="55"/>
      <c r="Z887" s="55"/>
    </row>
    <row r="888" spans="1:26" ht="15">
      <c r="A888" s="49"/>
      <c r="B888" s="77"/>
      <c r="C888" s="52"/>
      <c r="D888" s="52"/>
      <c r="E888" s="53"/>
      <c r="F888" s="53"/>
      <c r="G888" s="65"/>
      <c r="H888" s="53"/>
      <c r="I888" s="55"/>
      <c r="J888" s="52"/>
      <c r="K888" s="56"/>
      <c r="L888" s="55"/>
      <c r="M888" s="55"/>
      <c r="N888" s="55"/>
      <c r="O888" s="55"/>
      <c r="P888" s="55"/>
      <c r="Q888" s="55"/>
      <c r="R888" s="55"/>
      <c r="S888" s="55"/>
      <c r="T888" s="55"/>
      <c r="U888" s="55"/>
      <c r="V888" s="55"/>
      <c r="W888" s="55"/>
      <c r="X888" s="55"/>
      <c r="Y888" s="55"/>
      <c r="Z888" s="55"/>
    </row>
    <row r="889" spans="1:26" ht="15">
      <c r="A889" s="49"/>
      <c r="B889" s="77"/>
      <c r="C889" s="52"/>
      <c r="D889" s="52"/>
      <c r="E889" s="53"/>
      <c r="F889" s="53"/>
      <c r="G889" s="65"/>
      <c r="H889" s="53"/>
      <c r="I889" s="55"/>
      <c r="J889" s="52"/>
      <c r="K889" s="56"/>
      <c r="L889" s="55"/>
      <c r="M889" s="55"/>
      <c r="N889" s="55"/>
      <c r="O889" s="55"/>
      <c r="P889" s="55"/>
      <c r="Q889" s="55"/>
      <c r="R889" s="55"/>
      <c r="S889" s="55"/>
      <c r="T889" s="55"/>
      <c r="U889" s="55"/>
      <c r="V889" s="55"/>
      <c r="W889" s="55"/>
      <c r="X889" s="55"/>
      <c r="Y889" s="55"/>
      <c r="Z889" s="55"/>
    </row>
    <row r="890" spans="1:26" ht="15">
      <c r="A890" s="49"/>
      <c r="B890" s="77"/>
      <c r="C890" s="52"/>
      <c r="D890" s="52"/>
      <c r="E890" s="53"/>
      <c r="F890" s="53"/>
      <c r="G890" s="65"/>
      <c r="H890" s="53"/>
      <c r="I890" s="55"/>
      <c r="J890" s="52"/>
      <c r="K890" s="56"/>
      <c r="L890" s="55"/>
      <c r="M890" s="55"/>
      <c r="N890" s="55"/>
      <c r="O890" s="55"/>
      <c r="P890" s="55"/>
      <c r="Q890" s="55"/>
      <c r="R890" s="55"/>
      <c r="S890" s="55"/>
      <c r="T890" s="55"/>
      <c r="U890" s="55"/>
      <c r="V890" s="55"/>
      <c r="W890" s="55"/>
      <c r="X890" s="55"/>
      <c r="Y890" s="55"/>
      <c r="Z890" s="55"/>
    </row>
    <row r="891" spans="1:26" ht="15">
      <c r="A891" s="49"/>
      <c r="B891" s="77"/>
      <c r="C891" s="52"/>
      <c r="D891" s="52"/>
      <c r="E891" s="53"/>
      <c r="F891" s="53"/>
      <c r="G891" s="65"/>
      <c r="H891" s="53"/>
      <c r="I891" s="55"/>
      <c r="J891" s="52"/>
      <c r="K891" s="56"/>
      <c r="L891" s="55"/>
      <c r="M891" s="55"/>
      <c r="N891" s="55"/>
      <c r="O891" s="55"/>
      <c r="P891" s="55"/>
      <c r="Q891" s="55"/>
      <c r="R891" s="55"/>
      <c r="S891" s="55"/>
      <c r="T891" s="55"/>
      <c r="U891" s="55"/>
      <c r="V891" s="55"/>
      <c r="W891" s="55"/>
      <c r="X891" s="55"/>
      <c r="Y891" s="55"/>
      <c r="Z891" s="55"/>
    </row>
    <row r="892" spans="1:26" ht="15">
      <c r="A892" s="49"/>
      <c r="B892" s="77"/>
      <c r="C892" s="52"/>
      <c r="D892" s="52"/>
      <c r="E892" s="53"/>
      <c r="F892" s="53"/>
      <c r="G892" s="65"/>
      <c r="H892" s="53"/>
      <c r="I892" s="55"/>
      <c r="J892" s="52"/>
      <c r="K892" s="56"/>
      <c r="L892" s="55"/>
      <c r="M892" s="55"/>
      <c r="N892" s="55"/>
      <c r="O892" s="55"/>
      <c r="P892" s="55"/>
      <c r="Q892" s="55"/>
      <c r="R892" s="55"/>
      <c r="S892" s="55"/>
      <c r="T892" s="55"/>
      <c r="U892" s="55"/>
      <c r="V892" s="55"/>
      <c r="W892" s="55"/>
      <c r="X892" s="55"/>
      <c r="Y892" s="55"/>
      <c r="Z892" s="55"/>
    </row>
    <row r="893" spans="1:26" ht="15">
      <c r="A893" s="49"/>
      <c r="B893" s="77"/>
      <c r="C893" s="52"/>
      <c r="D893" s="52"/>
      <c r="E893" s="53"/>
      <c r="F893" s="53"/>
      <c r="G893" s="65"/>
      <c r="H893" s="53"/>
      <c r="I893" s="55"/>
      <c r="J893" s="52"/>
      <c r="K893" s="56"/>
      <c r="L893" s="55"/>
      <c r="M893" s="55"/>
      <c r="N893" s="55"/>
      <c r="O893" s="55"/>
      <c r="P893" s="55"/>
      <c r="Q893" s="55"/>
      <c r="R893" s="55"/>
      <c r="S893" s="55"/>
      <c r="T893" s="55"/>
      <c r="U893" s="55"/>
      <c r="V893" s="55"/>
      <c r="W893" s="55"/>
      <c r="X893" s="55"/>
      <c r="Y893" s="55"/>
      <c r="Z893" s="55"/>
    </row>
    <row r="894" spans="1:26" ht="15">
      <c r="A894" s="49"/>
      <c r="B894" s="77"/>
      <c r="C894" s="52"/>
      <c r="D894" s="52"/>
      <c r="E894" s="53"/>
      <c r="F894" s="53"/>
      <c r="G894" s="65"/>
      <c r="H894" s="53"/>
      <c r="I894" s="55"/>
      <c r="J894" s="52"/>
      <c r="K894" s="56"/>
      <c r="L894" s="55"/>
      <c r="M894" s="55"/>
      <c r="N894" s="55"/>
      <c r="O894" s="55"/>
      <c r="P894" s="55"/>
      <c r="Q894" s="55"/>
      <c r="R894" s="55"/>
      <c r="S894" s="55"/>
      <c r="T894" s="55"/>
      <c r="U894" s="55"/>
      <c r="V894" s="55"/>
      <c r="W894" s="55"/>
      <c r="X894" s="55"/>
      <c r="Y894" s="55"/>
      <c r="Z894" s="55"/>
    </row>
    <row r="895" spans="1:26" ht="15">
      <c r="A895" s="49"/>
      <c r="B895" s="77"/>
      <c r="C895" s="52"/>
      <c r="D895" s="52"/>
      <c r="E895" s="53"/>
      <c r="F895" s="53"/>
      <c r="G895" s="65"/>
      <c r="H895" s="53"/>
      <c r="I895" s="55"/>
      <c r="J895" s="52"/>
      <c r="K895" s="56"/>
      <c r="L895" s="55"/>
      <c r="M895" s="55"/>
      <c r="N895" s="55"/>
      <c r="O895" s="55"/>
      <c r="P895" s="55"/>
      <c r="Q895" s="55"/>
      <c r="R895" s="55"/>
      <c r="S895" s="55"/>
      <c r="T895" s="55"/>
      <c r="U895" s="55"/>
      <c r="V895" s="55"/>
      <c r="W895" s="55"/>
      <c r="X895" s="55"/>
      <c r="Y895" s="55"/>
      <c r="Z895" s="55"/>
    </row>
    <row r="896" spans="1:26" ht="15">
      <c r="A896" s="49"/>
      <c r="B896" s="77"/>
      <c r="C896" s="52"/>
      <c r="D896" s="52"/>
      <c r="E896" s="53"/>
      <c r="F896" s="53"/>
      <c r="G896" s="65"/>
      <c r="H896" s="53"/>
      <c r="I896" s="55"/>
      <c r="J896" s="52"/>
      <c r="K896" s="56"/>
      <c r="L896" s="55"/>
      <c r="M896" s="55"/>
      <c r="N896" s="55"/>
      <c r="O896" s="55"/>
      <c r="P896" s="55"/>
      <c r="Q896" s="55"/>
      <c r="R896" s="55"/>
      <c r="S896" s="55"/>
      <c r="T896" s="55"/>
      <c r="U896" s="55"/>
      <c r="V896" s="55"/>
      <c r="W896" s="55"/>
      <c r="X896" s="55"/>
      <c r="Y896" s="55"/>
      <c r="Z896" s="55"/>
    </row>
    <row r="897" spans="1:26" ht="15">
      <c r="A897" s="49"/>
      <c r="B897" s="77"/>
      <c r="C897" s="52"/>
      <c r="D897" s="52"/>
      <c r="E897" s="53"/>
      <c r="F897" s="53"/>
      <c r="G897" s="65"/>
      <c r="H897" s="53"/>
      <c r="I897" s="55"/>
      <c r="J897" s="52"/>
      <c r="K897" s="56"/>
      <c r="L897" s="55"/>
      <c r="M897" s="55"/>
      <c r="N897" s="55"/>
      <c r="O897" s="55"/>
      <c r="P897" s="55"/>
      <c r="Q897" s="55"/>
      <c r="R897" s="55"/>
      <c r="S897" s="55"/>
      <c r="T897" s="55"/>
      <c r="U897" s="55"/>
      <c r="V897" s="55"/>
      <c r="W897" s="55"/>
      <c r="X897" s="55"/>
      <c r="Y897" s="55"/>
      <c r="Z897" s="55"/>
    </row>
    <row r="898" spans="1:26" ht="15">
      <c r="A898" s="49"/>
      <c r="B898" s="77"/>
      <c r="C898" s="52"/>
      <c r="D898" s="52"/>
      <c r="E898" s="53"/>
      <c r="F898" s="53"/>
      <c r="G898" s="65"/>
      <c r="H898" s="53"/>
      <c r="I898" s="55"/>
      <c r="J898" s="52"/>
      <c r="K898" s="56"/>
      <c r="L898" s="55"/>
      <c r="M898" s="55"/>
      <c r="N898" s="55"/>
      <c r="O898" s="55"/>
      <c r="P898" s="55"/>
      <c r="Q898" s="55"/>
      <c r="R898" s="55"/>
      <c r="S898" s="55"/>
      <c r="T898" s="55"/>
      <c r="U898" s="55"/>
      <c r="V898" s="55"/>
      <c r="W898" s="55"/>
      <c r="X898" s="55"/>
      <c r="Y898" s="55"/>
      <c r="Z898" s="55"/>
    </row>
    <row r="899" spans="1:26" ht="15">
      <c r="A899" s="49"/>
      <c r="B899" s="77"/>
      <c r="C899" s="52"/>
      <c r="D899" s="52"/>
      <c r="E899" s="53"/>
      <c r="F899" s="53"/>
      <c r="G899" s="65"/>
      <c r="H899" s="53"/>
      <c r="I899" s="55"/>
      <c r="J899" s="52"/>
      <c r="K899" s="56"/>
      <c r="L899" s="55"/>
      <c r="M899" s="55"/>
      <c r="N899" s="55"/>
      <c r="O899" s="55"/>
      <c r="P899" s="55"/>
      <c r="Q899" s="55"/>
      <c r="R899" s="55"/>
      <c r="S899" s="55"/>
      <c r="T899" s="55"/>
      <c r="U899" s="55"/>
      <c r="V899" s="55"/>
      <c r="W899" s="55"/>
      <c r="X899" s="55"/>
      <c r="Y899" s="55"/>
      <c r="Z899" s="55"/>
    </row>
    <row r="900" spans="1:26" ht="15">
      <c r="A900" s="49"/>
      <c r="B900" s="77"/>
      <c r="C900" s="52"/>
      <c r="D900" s="52"/>
      <c r="E900" s="53"/>
      <c r="F900" s="53"/>
      <c r="G900" s="65"/>
      <c r="H900" s="53"/>
      <c r="I900" s="55"/>
      <c r="J900" s="52"/>
      <c r="K900" s="56"/>
      <c r="L900" s="55"/>
      <c r="M900" s="55"/>
      <c r="N900" s="55"/>
      <c r="O900" s="55"/>
      <c r="P900" s="55"/>
      <c r="Q900" s="55"/>
      <c r="R900" s="55"/>
      <c r="S900" s="55"/>
      <c r="T900" s="55"/>
      <c r="U900" s="55"/>
      <c r="V900" s="55"/>
      <c r="W900" s="55"/>
      <c r="X900" s="55"/>
      <c r="Y900" s="55"/>
      <c r="Z900" s="55"/>
    </row>
    <row r="901" spans="1:26" ht="15">
      <c r="A901" s="49"/>
      <c r="B901" s="77"/>
      <c r="C901" s="52"/>
      <c r="D901" s="52"/>
      <c r="E901" s="53"/>
      <c r="F901" s="53"/>
      <c r="G901" s="65"/>
      <c r="H901" s="53"/>
      <c r="I901" s="55"/>
      <c r="J901" s="52"/>
      <c r="K901" s="56"/>
      <c r="L901" s="55"/>
      <c r="M901" s="55"/>
      <c r="N901" s="55"/>
      <c r="O901" s="55"/>
      <c r="P901" s="55"/>
      <c r="Q901" s="55"/>
      <c r="R901" s="55"/>
      <c r="S901" s="55"/>
      <c r="T901" s="55"/>
      <c r="U901" s="55"/>
      <c r="V901" s="55"/>
      <c r="W901" s="55"/>
      <c r="X901" s="55"/>
      <c r="Y901" s="55"/>
      <c r="Z901" s="55"/>
    </row>
    <row r="902" spans="1:26" ht="15">
      <c r="A902" s="49"/>
      <c r="B902" s="77"/>
      <c r="C902" s="52"/>
      <c r="D902" s="52"/>
      <c r="E902" s="53"/>
      <c r="F902" s="53"/>
      <c r="G902" s="65"/>
      <c r="H902" s="53"/>
      <c r="I902" s="55"/>
      <c r="J902" s="52"/>
      <c r="K902" s="56"/>
      <c r="L902" s="55"/>
      <c r="M902" s="55"/>
      <c r="N902" s="55"/>
      <c r="O902" s="55"/>
      <c r="P902" s="55"/>
      <c r="Q902" s="55"/>
      <c r="R902" s="55"/>
      <c r="S902" s="55"/>
      <c r="T902" s="55"/>
      <c r="U902" s="55"/>
      <c r="V902" s="55"/>
      <c r="W902" s="55"/>
      <c r="X902" s="55"/>
      <c r="Y902" s="55"/>
      <c r="Z902" s="55"/>
    </row>
    <row r="903" spans="1:26" ht="15">
      <c r="A903" s="49"/>
      <c r="B903" s="77"/>
      <c r="C903" s="52"/>
      <c r="D903" s="52"/>
      <c r="E903" s="53"/>
      <c r="F903" s="53"/>
      <c r="G903" s="65"/>
      <c r="H903" s="53"/>
      <c r="I903" s="55"/>
      <c r="J903" s="52"/>
      <c r="K903" s="56"/>
      <c r="L903" s="55"/>
      <c r="M903" s="55"/>
      <c r="N903" s="55"/>
      <c r="O903" s="55"/>
      <c r="P903" s="55"/>
      <c r="Q903" s="55"/>
      <c r="R903" s="55"/>
      <c r="S903" s="55"/>
      <c r="T903" s="55"/>
      <c r="U903" s="55"/>
      <c r="V903" s="55"/>
      <c r="W903" s="55"/>
      <c r="X903" s="55"/>
      <c r="Y903" s="55"/>
      <c r="Z903" s="55"/>
    </row>
    <row r="904" spans="1:26" ht="15">
      <c r="A904" s="49"/>
      <c r="B904" s="77"/>
      <c r="C904" s="52"/>
      <c r="D904" s="52"/>
      <c r="E904" s="53"/>
      <c r="F904" s="53"/>
      <c r="G904" s="65"/>
      <c r="H904" s="53"/>
      <c r="I904" s="55"/>
      <c r="J904" s="52"/>
      <c r="K904" s="56"/>
      <c r="L904" s="55"/>
      <c r="M904" s="55"/>
      <c r="N904" s="55"/>
      <c r="O904" s="55"/>
      <c r="P904" s="55"/>
      <c r="Q904" s="55"/>
      <c r="R904" s="55"/>
      <c r="S904" s="55"/>
      <c r="T904" s="55"/>
      <c r="U904" s="55"/>
      <c r="V904" s="55"/>
      <c r="W904" s="55"/>
      <c r="X904" s="55"/>
      <c r="Y904" s="55"/>
      <c r="Z904" s="55"/>
    </row>
    <row r="905" spans="1:26" ht="15">
      <c r="A905" s="49"/>
      <c r="B905" s="77"/>
      <c r="C905" s="52"/>
      <c r="D905" s="52"/>
      <c r="E905" s="53"/>
      <c r="F905" s="53"/>
      <c r="G905" s="65"/>
      <c r="H905" s="53"/>
      <c r="I905" s="55"/>
      <c r="J905" s="52"/>
      <c r="K905" s="56"/>
      <c r="L905" s="55"/>
      <c r="M905" s="55"/>
      <c r="N905" s="55"/>
      <c r="O905" s="55"/>
      <c r="P905" s="55"/>
      <c r="Q905" s="55"/>
      <c r="R905" s="55"/>
      <c r="S905" s="55"/>
      <c r="T905" s="55"/>
      <c r="U905" s="55"/>
      <c r="V905" s="55"/>
      <c r="W905" s="55"/>
      <c r="X905" s="55"/>
      <c r="Y905" s="55"/>
      <c r="Z905" s="55"/>
    </row>
    <row r="906" spans="1:26" ht="15">
      <c r="A906" s="49"/>
      <c r="B906" s="77"/>
      <c r="C906" s="52"/>
      <c r="D906" s="52"/>
      <c r="E906" s="53"/>
      <c r="F906" s="53"/>
      <c r="G906" s="65"/>
      <c r="H906" s="53"/>
      <c r="I906" s="55"/>
      <c r="J906" s="52"/>
      <c r="K906" s="56"/>
      <c r="L906" s="55"/>
      <c r="M906" s="55"/>
      <c r="N906" s="55"/>
      <c r="O906" s="55"/>
      <c r="P906" s="55"/>
      <c r="Q906" s="55"/>
      <c r="R906" s="55"/>
      <c r="S906" s="55"/>
      <c r="T906" s="55"/>
      <c r="U906" s="55"/>
      <c r="V906" s="55"/>
      <c r="W906" s="55"/>
      <c r="X906" s="55"/>
      <c r="Y906" s="55"/>
      <c r="Z906" s="55"/>
    </row>
    <row r="907" spans="1:26" ht="15">
      <c r="A907" s="49"/>
      <c r="B907" s="77"/>
      <c r="C907" s="52"/>
      <c r="D907" s="52"/>
      <c r="E907" s="53"/>
      <c r="F907" s="53"/>
      <c r="G907" s="65"/>
      <c r="H907" s="53"/>
      <c r="I907" s="55"/>
      <c r="J907" s="52"/>
      <c r="K907" s="56"/>
      <c r="L907" s="55"/>
      <c r="M907" s="55"/>
      <c r="N907" s="55"/>
      <c r="O907" s="55"/>
      <c r="P907" s="55"/>
      <c r="Q907" s="55"/>
      <c r="R907" s="55"/>
      <c r="S907" s="55"/>
      <c r="T907" s="55"/>
      <c r="U907" s="55"/>
      <c r="V907" s="55"/>
      <c r="W907" s="55"/>
      <c r="X907" s="55"/>
      <c r="Y907" s="55"/>
      <c r="Z907" s="55"/>
    </row>
    <row r="908" spans="1:26" ht="15">
      <c r="A908" s="49"/>
      <c r="B908" s="77"/>
      <c r="C908" s="52"/>
      <c r="D908" s="52"/>
      <c r="E908" s="53"/>
      <c r="F908" s="53"/>
      <c r="G908" s="65"/>
      <c r="H908" s="53"/>
      <c r="I908" s="55"/>
      <c r="J908" s="52"/>
      <c r="K908" s="56"/>
      <c r="L908" s="55"/>
      <c r="M908" s="55"/>
      <c r="N908" s="55"/>
      <c r="O908" s="55"/>
      <c r="P908" s="55"/>
      <c r="Q908" s="55"/>
      <c r="R908" s="55"/>
      <c r="S908" s="55"/>
      <c r="T908" s="55"/>
      <c r="U908" s="55"/>
      <c r="V908" s="55"/>
      <c r="W908" s="55"/>
      <c r="X908" s="55"/>
      <c r="Y908" s="55"/>
      <c r="Z908" s="55"/>
    </row>
    <row r="909" spans="1:26" ht="15">
      <c r="A909" s="49"/>
      <c r="B909" s="77"/>
      <c r="C909" s="52"/>
      <c r="D909" s="52"/>
      <c r="E909" s="53"/>
      <c r="F909" s="53"/>
      <c r="G909" s="65"/>
      <c r="H909" s="53"/>
      <c r="I909" s="55"/>
      <c r="J909" s="52"/>
      <c r="K909" s="56"/>
      <c r="L909" s="55"/>
      <c r="M909" s="55"/>
      <c r="N909" s="55"/>
      <c r="O909" s="55"/>
      <c r="P909" s="55"/>
      <c r="Q909" s="55"/>
      <c r="R909" s="55"/>
      <c r="S909" s="55"/>
      <c r="T909" s="55"/>
      <c r="U909" s="55"/>
      <c r="V909" s="55"/>
      <c r="W909" s="55"/>
      <c r="X909" s="55"/>
      <c r="Y909" s="55"/>
      <c r="Z909" s="55"/>
    </row>
    <row r="910" spans="1:26" ht="15">
      <c r="A910" s="49"/>
      <c r="B910" s="77"/>
      <c r="C910" s="52"/>
      <c r="D910" s="52"/>
      <c r="E910" s="53"/>
      <c r="F910" s="53"/>
      <c r="G910" s="65"/>
      <c r="H910" s="53"/>
      <c r="I910" s="55"/>
      <c r="J910" s="52"/>
      <c r="K910" s="56"/>
      <c r="L910" s="55"/>
      <c r="M910" s="55"/>
      <c r="N910" s="55"/>
      <c r="O910" s="55"/>
      <c r="P910" s="55"/>
      <c r="Q910" s="55"/>
      <c r="R910" s="55"/>
      <c r="S910" s="55"/>
      <c r="T910" s="55"/>
      <c r="U910" s="55"/>
      <c r="V910" s="55"/>
      <c r="W910" s="55"/>
      <c r="X910" s="55"/>
      <c r="Y910" s="55"/>
      <c r="Z910" s="55"/>
    </row>
    <row r="911" spans="1:26" ht="15">
      <c r="A911" s="49"/>
      <c r="B911" s="77"/>
      <c r="C911" s="52"/>
      <c r="D911" s="52"/>
      <c r="E911" s="53"/>
      <c r="F911" s="53"/>
      <c r="G911" s="65"/>
      <c r="H911" s="53"/>
      <c r="I911" s="55"/>
      <c r="J911" s="52"/>
      <c r="K911" s="56"/>
      <c r="L911" s="55"/>
      <c r="M911" s="55"/>
      <c r="N911" s="55"/>
      <c r="O911" s="55"/>
      <c r="P911" s="55"/>
      <c r="Q911" s="55"/>
      <c r="R911" s="55"/>
      <c r="S911" s="55"/>
      <c r="T911" s="55"/>
      <c r="U911" s="55"/>
      <c r="V911" s="55"/>
      <c r="W911" s="55"/>
      <c r="X911" s="55"/>
      <c r="Y911" s="55"/>
      <c r="Z911" s="55"/>
    </row>
    <row r="912" spans="1:26" ht="15">
      <c r="A912" s="49"/>
      <c r="B912" s="77"/>
      <c r="C912" s="52"/>
      <c r="D912" s="52"/>
      <c r="E912" s="53"/>
      <c r="F912" s="53"/>
      <c r="G912" s="65"/>
      <c r="H912" s="53"/>
      <c r="I912" s="55"/>
      <c r="J912" s="52"/>
      <c r="K912" s="56"/>
      <c r="L912" s="55"/>
      <c r="M912" s="55"/>
      <c r="N912" s="55"/>
      <c r="O912" s="55"/>
      <c r="P912" s="55"/>
      <c r="Q912" s="55"/>
      <c r="R912" s="55"/>
      <c r="S912" s="55"/>
      <c r="T912" s="55"/>
      <c r="U912" s="55"/>
      <c r="V912" s="55"/>
      <c r="W912" s="55"/>
      <c r="X912" s="55"/>
      <c r="Y912" s="55"/>
      <c r="Z912" s="55"/>
    </row>
    <row r="913" spans="1:26" ht="15">
      <c r="A913" s="49"/>
      <c r="B913" s="77"/>
      <c r="C913" s="52"/>
      <c r="D913" s="52"/>
      <c r="E913" s="53"/>
      <c r="F913" s="53"/>
      <c r="G913" s="65"/>
      <c r="H913" s="53"/>
      <c r="I913" s="55"/>
      <c r="J913" s="52"/>
      <c r="K913" s="56"/>
      <c r="L913" s="55"/>
      <c r="M913" s="55"/>
      <c r="N913" s="55"/>
      <c r="O913" s="55"/>
      <c r="P913" s="55"/>
      <c r="Q913" s="55"/>
      <c r="R913" s="55"/>
      <c r="S913" s="55"/>
      <c r="T913" s="55"/>
      <c r="U913" s="55"/>
      <c r="V913" s="55"/>
      <c r="W913" s="55"/>
      <c r="X913" s="55"/>
      <c r="Y913" s="55"/>
      <c r="Z913" s="55"/>
    </row>
    <row r="914" spans="1:26" ht="15">
      <c r="A914" s="49"/>
      <c r="B914" s="77"/>
      <c r="C914" s="52"/>
      <c r="D914" s="52"/>
      <c r="E914" s="53"/>
      <c r="F914" s="53"/>
      <c r="G914" s="65"/>
      <c r="H914" s="53"/>
      <c r="I914" s="55"/>
      <c r="J914" s="52"/>
      <c r="K914" s="56"/>
      <c r="L914" s="55"/>
      <c r="M914" s="55"/>
      <c r="N914" s="55"/>
      <c r="O914" s="55"/>
      <c r="P914" s="55"/>
      <c r="Q914" s="55"/>
      <c r="R914" s="55"/>
      <c r="S914" s="55"/>
      <c r="T914" s="55"/>
      <c r="U914" s="55"/>
      <c r="V914" s="55"/>
      <c r="W914" s="55"/>
      <c r="X914" s="55"/>
      <c r="Y914" s="55"/>
      <c r="Z914" s="55"/>
    </row>
    <row r="915" spans="1:26" ht="15">
      <c r="A915" s="49"/>
      <c r="B915" s="77"/>
      <c r="C915" s="52"/>
      <c r="D915" s="52"/>
      <c r="E915" s="53"/>
      <c r="F915" s="53"/>
      <c r="G915" s="65"/>
      <c r="H915" s="53"/>
      <c r="I915" s="55"/>
      <c r="J915" s="52"/>
      <c r="K915" s="56"/>
      <c r="L915" s="55"/>
      <c r="M915" s="55"/>
      <c r="N915" s="55"/>
      <c r="O915" s="55"/>
      <c r="P915" s="55"/>
      <c r="Q915" s="55"/>
      <c r="R915" s="55"/>
      <c r="S915" s="55"/>
      <c r="T915" s="55"/>
      <c r="U915" s="55"/>
      <c r="V915" s="55"/>
      <c r="W915" s="55"/>
      <c r="X915" s="55"/>
      <c r="Y915" s="55"/>
      <c r="Z915" s="55"/>
    </row>
    <row r="916" spans="1:26" ht="15">
      <c r="A916" s="49"/>
      <c r="B916" s="77"/>
      <c r="C916" s="52"/>
      <c r="D916" s="52"/>
      <c r="E916" s="53"/>
      <c r="F916" s="53"/>
      <c r="G916" s="65"/>
      <c r="H916" s="53"/>
      <c r="I916" s="55"/>
      <c r="J916" s="52"/>
      <c r="K916" s="56"/>
      <c r="L916" s="55"/>
      <c r="M916" s="55"/>
      <c r="N916" s="55"/>
      <c r="O916" s="55"/>
      <c r="P916" s="55"/>
      <c r="Q916" s="55"/>
      <c r="R916" s="55"/>
      <c r="S916" s="55"/>
      <c r="T916" s="55"/>
      <c r="U916" s="55"/>
      <c r="V916" s="55"/>
      <c r="W916" s="55"/>
      <c r="X916" s="55"/>
      <c r="Y916" s="55"/>
      <c r="Z916" s="55"/>
    </row>
    <row r="917" spans="1:26" ht="15">
      <c r="A917" s="49"/>
      <c r="B917" s="77"/>
      <c r="C917" s="52"/>
      <c r="D917" s="52"/>
      <c r="E917" s="53"/>
      <c r="F917" s="53"/>
      <c r="G917" s="65"/>
      <c r="H917" s="53"/>
      <c r="I917" s="55"/>
      <c r="J917" s="52"/>
      <c r="K917" s="56"/>
      <c r="L917" s="55"/>
      <c r="M917" s="55"/>
      <c r="N917" s="55"/>
      <c r="O917" s="55"/>
      <c r="P917" s="55"/>
      <c r="Q917" s="55"/>
      <c r="R917" s="55"/>
      <c r="S917" s="55"/>
      <c r="T917" s="55"/>
      <c r="U917" s="55"/>
      <c r="V917" s="55"/>
      <c r="W917" s="55"/>
      <c r="X917" s="55"/>
      <c r="Y917" s="55"/>
      <c r="Z917" s="55"/>
    </row>
    <row r="918" spans="1:26" ht="15">
      <c r="A918" s="49"/>
      <c r="B918" s="77"/>
      <c r="C918" s="52"/>
      <c r="D918" s="52"/>
      <c r="E918" s="53"/>
      <c r="F918" s="53"/>
      <c r="G918" s="65"/>
      <c r="H918" s="53"/>
      <c r="I918" s="55"/>
      <c r="J918" s="52"/>
      <c r="K918" s="56"/>
      <c r="L918" s="55"/>
      <c r="M918" s="55"/>
      <c r="N918" s="55"/>
      <c r="O918" s="55"/>
      <c r="P918" s="55"/>
      <c r="Q918" s="55"/>
      <c r="R918" s="55"/>
      <c r="S918" s="55"/>
      <c r="T918" s="55"/>
      <c r="U918" s="55"/>
      <c r="V918" s="55"/>
      <c r="W918" s="55"/>
      <c r="X918" s="55"/>
      <c r="Y918" s="55"/>
      <c r="Z918" s="55"/>
    </row>
    <row r="919" spans="1:26" ht="15">
      <c r="A919" s="49"/>
      <c r="B919" s="77"/>
      <c r="C919" s="52"/>
      <c r="D919" s="52"/>
      <c r="E919" s="53"/>
      <c r="F919" s="53"/>
      <c r="G919" s="65"/>
      <c r="H919" s="53"/>
      <c r="I919" s="55"/>
      <c r="J919" s="52"/>
      <c r="K919" s="56"/>
      <c r="L919" s="55"/>
      <c r="M919" s="55"/>
      <c r="N919" s="55"/>
      <c r="O919" s="55"/>
      <c r="P919" s="55"/>
      <c r="Q919" s="55"/>
      <c r="R919" s="55"/>
      <c r="S919" s="55"/>
      <c r="T919" s="55"/>
      <c r="U919" s="55"/>
      <c r="V919" s="55"/>
      <c r="W919" s="55"/>
      <c r="X919" s="55"/>
      <c r="Y919" s="55"/>
      <c r="Z919" s="55"/>
    </row>
    <row r="920" spans="1:26" ht="15">
      <c r="A920" s="49"/>
      <c r="B920" s="77"/>
      <c r="C920" s="52"/>
      <c r="D920" s="52"/>
      <c r="E920" s="53"/>
      <c r="F920" s="53"/>
      <c r="G920" s="65"/>
      <c r="H920" s="53"/>
      <c r="I920" s="55"/>
      <c r="J920" s="52"/>
      <c r="K920" s="56"/>
      <c r="L920" s="55"/>
      <c r="M920" s="55"/>
      <c r="N920" s="55"/>
      <c r="O920" s="55"/>
      <c r="P920" s="55"/>
      <c r="Q920" s="55"/>
      <c r="R920" s="55"/>
      <c r="S920" s="55"/>
      <c r="T920" s="55"/>
      <c r="U920" s="55"/>
      <c r="V920" s="55"/>
      <c r="W920" s="55"/>
      <c r="X920" s="55"/>
      <c r="Y920" s="55"/>
      <c r="Z920" s="55"/>
    </row>
    <row r="921" spans="1:26" ht="15">
      <c r="A921" s="49"/>
      <c r="B921" s="77"/>
      <c r="C921" s="52"/>
      <c r="D921" s="52"/>
      <c r="E921" s="53"/>
      <c r="F921" s="53"/>
      <c r="G921" s="65"/>
      <c r="H921" s="53"/>
      <c r="I921" s="55"/>
      <c r="J921" s="52"/>
      <c r="K921" s="56"/>
      <c r="L921" s="55"/>
      <c r="M921" s="55"/>
      <c r="N921" s="55"/>
      <c r="O921" s="55"/>
      <c r="P921" s="55"/>
      <c r="Q921" s="55"/>
      <c r="R921" s="55"/>
      <c r="S921" s="55"/>
      <c r="T921" s="55"/>
      <c r="U921" s="55"/>
      <c r="V921" s="55"/>
      <c r="W921" s="55"/>
      <c r="X921" s="55"/>
      <c r="Y921" s="55"/>
      <c r="Z921" s="55"/>
    </row>
    <row r="922" spans="1:26" ht="15">
      <c r="A922" s="49"/>
      <c r="B922" s="77"/>
      <c r="C922" s="52"/>
      <c r="D922" s="52"/>
      <c r="E922" s="53"/>
      <c r="F922" s="53"/>
      <c r="G922" s="65"/>
      <c r="H922" s="53"/>
      <c r="I922" s="55"/>
      <c r="J922" s="52"/>
      <c r="K922" s="56"/>
      <c r="L922" s="55"/>
      <c r="M922" s="55"/>
      <c r="N922" s="55"/>
      <c r="O922" s="55"/>
      <c r="P922" s="55"/>
      <c r="Q922" s="55"/>
      <c r="R922" s="55"/>
      <c r="S922" s="55"/>
      <c r="T922" s="55"/>
      <c r="U922" s="55"/>
      <c r="V922" s="55"/>
      <c r="W922" s="55"/>
      <c r="X922" s="55"/>
      <c r="Y922" s="55"/>
      <c r="Z922" s="55"/>
    </row>
    <row r="923" spans="1:26" ht="15">
      <c r="A923" s="49"/>
      <c r="B923" s="77"/>
      <c r="C923" s="52"/>
      <c r="D923" s="52"/>
      <c r="E923" s="53"/>
      <c r="F923" s="53"/>
      <c r="G923" s="65"/>
      <c r="H923" s="53"/>
      <c r="I923" s="55"/>
      <c r="J923" s="52"/>
      <c r="K923" s="56"/>
      <c r="L923" s="55"/>
      <c r="M923" s="55"/>
      <c r="N923" s="55"/>
      <c r="O923" s="55"/>
      <c r="P923" s="55"/>
      <c r="Q923" s="55"/>
      <c r="R923" s="55"/>
      <c r="S923" s="55"/>
      <c r="T923" s="55"/>
      <c r="U923" s="55"/>
      <c r="V923" s="55"/>
      <c r="W923" s="55"/>
      <c r="X923" s="55"/>
      <c r="Y923" s="55"/>
      <c r="Z923" s="55"/>
    </row>
    <row r="924" spans="1:26" ht="15">
      <c r="A924" s="49"/>
      <c r="B924" s="77"/>
      <c r="C924" s="52"/>
      <c r="D924" s="52"/>
      <c r="E924" s="53"/>
      <c r="F924" s="53"/>
      <c r="G924" s="65"/>
      <c r="H924" s="53"/>
      <c r="I924" s="55"/>
      <c r="J924" s="52"/>
      <c r="K924" s="56"/>
      <c r="L924" s="55"/>
      <c r="M924" s="55"/>
      <c r="N924" s="55"/>
      <c r="O924" s="55"/>
      <c r="P924" s="55"/>
      <c r="Q924" s="55"/>
      <c r="R924" s="55"/>
      <c r="S924" s="55"/>
      <c r="T924" s="55"/>
      <c r="U924" s="55"/>
      <c r="V924" s="55"/>
      <c r="W924" s="55"/>
      <c r="X924" s="55"/>
      <c r="Y924" s="55"/>
      <c r="Z924" s="55"/>
    </row>
    <row r="925" spans="1:26" ht="15">
      <c r="A925" s="49"/>
      <c r="B925" s="77"/>
      <c r="C925" s="52"/>
      <c r="D925" s="52"/>
      <c r="E925" s="53"/>
      <c r="F925" s="53"/>
      <c r="G925" s="65"/>
      <c r="H925" s="53"/>
      <c r="I925" s="55"/>
      <c r="J925" s="52"/>
      <c r="K925" s="56"/>
      <c r="L925" s="55"/>
      <c r="M925" s="55"/>
      <c r="N925" s="55"/>
      <c r="O925" s="55"/>
      <c r="P925" s="55"/>
      <c r="Q925" s="55"/>
      <c r="R925" s="55"/>
      <c r="S925" s="55"/>
      <c r="T925" s="55"/>
      <c r="U925" s="55"/>
      <c r="V925" s="55"/>
      <c r="W925" s="55"/>
      <c r="X925" s="55"/>
      <c r="Y925" s="55"/>
      <c r="Z925" s="55"/>
    </row>
    <row r="926" spans="1:26" ht="15">
      <c r="A926" s="49"/>
      <c r="B926" s="77"/>
      <c r="C926" s="52"/>
      <c r="D926" s="52"/>
      <c r="E926" s="53"/>
      <c r="F926" s="53"/>
      <c r="G926" s="65"/>
      <c r="H926" s="53"/>
      <c r="I926" s="55"/>
      <c r="J926" s="52"/>
      <c r="K926" s="56"/>
      <c r="L926" s="55"/>
      <c r="M926" s="55"/>
      <c r="N926" s="55"/>
      <c r="O926" s="55"/>
      <c r="P926" s="55"/>
      <c r="Q926" s="55"/>
      <c r="R926" s="55"/>
      <c r="S926" s="55"/>
      <c r="T926" s="55"/>
      <c r="U926" s="55"/>
      <c r="V926" s="55"/>
      <c r="W926" s="55"/>
      <c r="X926" s="55"/>
      <c r="Y926" s="55"/>
      <c r="Z926" s="55"/>
    </row>
    <row r="927" spans="1:26" ht="15">
      <c r="A927" s="49"/>
      <c r="B927" s="77"/>
      <c r="C927" s="52"/>
      <c r="D927" s="52"/>
      <c r="E927" s="53"/>
      <c r="F927" s="53"/>
      <c r="G927" s="65"/>
      <c r="H927" s="53"/>
      <c r="I927" s="55"/>
      <c r="J927" s="52"/>
      <c r="K927" s="56"/>
      <c r="L927" s="55"/>
      <c r="M927" s="55"/>
      <c r="N927" s="55"/>
      <c r="O927" s="55"/>
      <c r="P927" s="55"/>
      <c r="Q927" s="55"/>
      <c r="R927" s="55"/>
      <c r="S927" s="55"/>
      <c r="T927" s="55"/>
      <c r="U927" s="55"/>
      <c r="V927" s="55"/>
      <c r="W927" s="55"/>
      <c r="X927" s="55"/>
      <c r="Y927" s="55"/>
      <c r="Z927" s="55"/>
    </row>
    <row r="928" spans="1:26" ht="15">
      <c r="A928" s="49"/>
      <c r="B928" s="77"/>
      <c r="C928" s="52"/>
      <c r="D928" s="52"/>
      <c r="E928" s="53"/>
      <c r="F928" s="53"/>
      <c r="G928" s="65"/>
      <c r="H928" s="53"/>
      <c r="I928" s="55"/>
      <c r="J928" s="52"/>
      <c r="K928" s="56"/>
      <c r="L928" s="55"/>
      <c r="M928" s="55"/>
      <c r="N928" s="55"/>
      <c r="O928" s="55"/>
      <c r="P928" s="55"/>
      <c r="Q928" s="55"/>
      <c r="R928" s="55"/>
      <c r="S928" s="55"/>
      <c r="T928" s="55"/>
      <c r="U928" s="55"/>
      <c r="V928" s="55"/>
      <c r="W928" s="55"/>
      <c r="X928" s="55"/>
      <c r="Y928" s="55"/>
      <c r="Z928" s="55"/>
    </row>
    <row r="929" spans="1:26" ht="15">
      <c r="A929" s="49"/>
      <c r="B929" s="77"/>
      <c r="C929" s="52"/>
      <c r="D929" s="52"/>
      <c r="E929" s="53"/>
      <c r="F929" s="53"/>
      <c r="G929" s="65"/>
      <c r="H929" s="53"/>
      <c r="I929" s="55"/>
      <c r="J929" s="52"/>
      <c r="K929" s="56"/>
      <c r="L929" s="55"/>
      <c r="M929" s="55"/>
      <c r="N929" s="55"/>
      <c r="O929" s="55"/>
      <c r="P929" s="55"/>
      <c r="Q929" s="55"/>
      <c r="R929" s="55"/>
      <c r="S929" s="55"/>
      <c r="T929" s="55"/>
      <c r="U929" s="55"/>
      <c r="V929" s="55"/>
      <c r="W929" s="55"/>
      <c r="X929" s="55"/>
      <c r="Y929" s="55"/>
      <c r="Z929" s="55"/>
    </row>
    <row r="930" spans="1:26" ht="15">
      <c r="A930" s="49"/>
      <c r="B930" s="77"/>
      <c r="C930" s="52"/>
      <c r="D930" s="52"/>
      <c r="E930" s="53"/>
      <c r="F930" s="53"/>
      <c r="G930" s="65"/>
      <c r="H930" s="53"/>
      <c r="I930" s="55"/>
      <c r="J930" s="52"/>
      <c r="K930" s="56"/>
      <c r="L930" s="55"/>
      <c r="M930" s="55"/>
      <c r="N930" s="55"/>
      <c r="O930" s="55"/>
      <c r="P930" s="55"/>
      <c r="Q930" s="55"/>
      <c r="R930" s="55"/>
      <c r="S930" s="55"/>
      <c r="T930" s="55"/>
      <c r="U930" s="55"/>
      <c r="V930" s="55"/>
      <c r="W930" s="55"/>
      <c r="X930" s="55"/>
      <c r="Y930" s="55"/>
      <c r="Z930" s="55"/>
    </row>
    <row r="931" spans="1:26" ht="15">
      <c r="A931" s="49"/>
      <c r="B931" s="77"/>
      <c r="C931" s="52"/>
      <c r="D931" s="52"/>
      <c r="E931" s="53"/>
      <c r="F931" s="53"/>
      <c r="G931" s="65"/>
      <c r="H931" s="53"/>
      <c r="I931" s="55"/>
      <c r="J931" s="52"/>
      <c r="K931" s="56"/>
      <c r="L931" s="55"/>
      <c r="M931" s="55"/>
      <c r="N931" s="55"/>
      <c r="O931" s="55"/>
      <c r="P931" s="55"/>
      <c r="Q931" s="55"/>
      <c r="R931" s="55"/>
      <c r="S931" s="55"/>
      <c r="T931" s="55"/>
      <c r="U931" s="55"/>
      <c r="V931" s="55"/>
      <c r="W931" s="55"/>
      <c r="X931" s="55"/>
      <c r="Y931" s="55"/>
      <c r="Z931" s="55"/>
    </row>
    <row r="932" spans="1:26" ht="15">
      <c r="A932" s="49"/>
      <c r="B932" s="77"/>
      <c r="C932" s="52"/>
      <c r="D932" s="52"/>
      <c r="E932" s="53"/>
      <c r="F932" s="53"/>
      <c r="G932" s="65"/>
      <c r="H932" s="53"/>
      <c r="I932" s="55"/>
      <c r="J932" s="52"/>
      <c r="K932" s="56"/>
      <c r="L932" s="55"/>
      <c r="M932" s="55"/>
      <c r="N932" s="55"/>
      <c r="O932" s="55"/>
      <c r="P932" s="55"/>
      <c r="Q932" s="55"/>
      <c r="R932" s="55"/>
      <c r="S932" s="55"/>
      <c r="T932" s="55"/>
      <c r="U932" s="55"/>
      <c r="V932" s="55"/>
      <c r="W932" s="55"/>
      <c r="X932" s="55"/>
      <c r="Y932" s="55"/>
      <c r="Z932" s="55"/>
    </row>
    <row r="933" spans="1:26" ht="15">
      <c r="A933" s="49"/>
      <c r="B933" s="77"/>
      <c r="C933" s="52"/>
      <c r="D933" s="52"/>
      <c r="E933" s="53"/>
      <c r="F933" s="53"/>
      <c r="G933" s="65"/>
      <c r="H933" s="53"/>
      <c r="I933" s="55"/>
      <c r="J933" s="52"/>
      <c r="K933" s="56"/>
      <c r="L933" s="55"/>
      <c r="M933" s="55"/>
      <c r="N933" s="55"/>
      <c r="O933" s="55"/>
      <c r="P933" s="55"/>
      <c r="Q933" s="55"/>
      <c r="R933" s="55"/>
      <c r="S933" s="55"/>
      <c r="T933" s="55"/>
      <c r="U933" s="55"/>
      <c r="V933" s="55"/>
      <c r="W933" s="55"/>
      <c r="X933" s="55"/>
      <c r="Y933" s="55"/>
      <c r="Z933" s="55"/>
    </row>
    <row r="934" spans="1:26" ht="15">
      <c r="A934" s="49"/>
      <c r="B934" s="77"/>
      <c r="C934" s="52"/>
      <c r="D934" s="52"/>
      <c r="E934" s="53"/>
      <c r="F934" s="53"/>
      <c r="G934" s="65"/>
      <c r="H934" s="53"/>
      <c r="I934" s="55"/>
      <c r="J934" s="52"/>
      <c r="K934" s="56"/>
      <c r="L934" s="55"/>
      <c r="M934" s="55"/>
      <c r="N934" s="55"/>
      <c r="O934" s="55"/>
      <c r="P934" s="55"/>
      <c r="Q934" s="55"/>
      <c r="R934" s="55"/>
      <c r="S934" s="55"/>
      <c r="T934" s="55"/>
      <c r="U934" s="55"/>
      <c r="V934" s="55"/>
      <c r="W934" s="55"/>
      <c r="X934" s="55"/>
      <c r="Y934" s="55"/>
      <c r="Z934" s="55"/>
    </row>
    <row r="935" spans="1:26" ht="15">
      <c r="A935" s="49"/>
      <c r="B935" s="77"/>
      <c r="C935" s="52"/>
      <c r="D935" s="52"/>
      <c r="E935" s="53"/>
      <c r="F935" s="53"/>
      <c r="G935" s="65"/>
      <c r="H935" s="53"/>
      <c r="I935" s="55"/>
      <c r="J935" s="52"/>
      <c r="K935" s="56"/>
      <c r="L935" s="55"/>
      <c r="M935" s="55"/>
      <c r="N935" s="55"/>
      <c r="O935" s="55"/>
      <c r="P935" s="55"/>
      <c r="Q935" s="55"/>
      <c r="R935" s="55"/>
      <c r="S935" s="55"/>
      <c r="T935" s="55"/>
      <c r="U935" s="55"/>
      <c r="V935" s="55"/>
      <c r="W935" s="55"/>
      <c r="X935" s="55"/>
      <c r="Y935" s="55"/>
      <c r="Z935" s="55"/>
    </row>
    <row r="936" spans="1:26" ht="15">
      <c r="A936" s="49"/>
      <c r="B936" s="77"/>
      <c r="C936" s="52"/>
      <c r="D936" s="52"/>
      <c r="E936" s="53"/>
      <c r="F936" s="53"/>
      <c r="G936" s="65"/>
      <c r="H936" s="53"/>
      <c r="I936" s="55"/>
      <c r="J936" s="52"/>
      <c r="K936" s="56"/>
      <c r="L936" s="55"/>
      <c r="M936" s="55"/>
      <c r="N936" s="55"/>
      <c r="O936" s="55"/>
      <c r="P936" s="55"/>
      <c r="Q936" s="55"/>
      <c r="R936" s="55"/>
      <c r="S936" s="55"/>
      <c r="T936" s="55"/>
      <c r="U936" s="55"/>
      <c r="V936" s="55"/>
      <c r="W936" s="55"/>
      <c r="X936" s="55"/>
      <c r="Y936" s="55"/>
      <c r="Z936" s="55"/>
    </row>
    <row r="937" spans="1:26" ht="15">
      <c r="A937" s="49"/>
      <c r="B937" s="77"/>
      <c r="C937" s="52"/>
      <c r="D937" s="52"/>
      <c r="E937" s="53"/>
      <c r="F937" s="53"/>
      <c r="G937" s="65"/>
      <c r="H937" s="53"/>
      <c r="I937" s="55"/>
      <c r="J937" s="52"/>
      <c r="K937" s="56"/>
      <c r="L937" s="55"/>
      <c r="M937" s="55"/>
      <c r="N937" s="55"/>
      <c r="O937" s="55"/>
      <c r="P937" s="55"/>
      <c r="Q937" s="55"/>
      <c r="R937" s="55"/>
      <c r="S937" s="55"/>
      <c r="T937" s="55"/>
      <c r="U937" s="55"/>
      <c r="V937" s="55"/>
      <c r="W937" s="55"/>
      <c r="X937" s="55"/>
      <c r="Y937" s="55"/>
      <c r="Z937" s="55"/>
    </row>
    <row r="938" spans="1:26" ht="15">
      <c r="A938" s="49"/>
      <c r="B938" s="77"/>
      <c r="C938" s="52"/>
      <c r="D938" s="52"/>
      <c r="E938" s="53"/>
      <c r="F938" s="53"/>
      <c r="G938" s="65"/>
      <c r="H938" s="53"/>
      <c r="I938" s="55"/>
      <c r="J938" s="52"/>
      <c r="K938" s="56"/>
      <c r="L938" s="55"/>
      <c r="M938" s="55"/>
      <c r="N938" s="55"/>
      <c r="O938" s="55"/>
      <c r="P938" s="55"/>
      <c r="Q938" s="55"/>
      <c r="R938" s="55"/>
      <c r="S938" s="55"/>
      <c r="T938" s="55"/>
      <c r="U938" s="55"/>
      <c r="V938" s="55"/>
      <c r="W938" s="55"/>
      <c r="X938" s="55"/>
      <c r="Y938" s="55"/>
      <c r="Z938" s="55"/>
    </row>
    <row r="939" spans="1:26" ht="15">
      <c r="A939" s="49"/>
      <c r="B939" s="77"/>
      <c r="C939" s="52"/>
      <c r="D939" s="52"/>
      <c r="E939" s="53"/>
      <c r="F939" s="53"/>
      <c r="G939" s="65"/>
      <c r="H939" s="53"/>
      <c r="I939" s="55"/>
      <c r="J939" s="52"/>
      <c r="K939" s="56"/>
      <c r="L939" s="55"/>
      <c r="M939" s="55"/>
      <c r="N939" s="55"/>
      <c r="O939" s="55"/>
      <c r="P939" s="55"/>
      <c r="Q939" s="55"/>
      <c r="R939" s="55"/>
      <c r="S939" s="55"/>
      <c r="T939" s="55"/>
      <c r="U939" s="55"/>
      <c r="V939" s="55"/>
      <c r="W939" s="55"/>
      <c r="X939" s="55"/>
      <c r="Y939" s="55"/>
      <c r="Z939" s="55"/>
    </row>
    <row r="940" spans="1:26" ht="15">
      <c r="A940" s="49"/>
      <c r="B940" s="77"/>
      <c r="C940" s="52"/>
      <c r="D940" s="52"/>
      <c r="E940" s="53"/>
      <c r="F940" s="53"/>
      <c r="G940" s="65"/>
      <c r="H940" s="53"/>
      <c r="I940" s="55"/>
      <c r="J940" s="52"/>
      <c r="K940" s="56"/>
      <c r="L940" s="55"/>
      <c r="M940" s="55"/>
      <c r="N940" s="55"/>
      <c r="O940" s="55"/>
      <c r="P940" s="55"/>
      <c r="Q940" s="55"/>
      <c r="R940" s="55"/>
      <c r="S940" s="55"/>
      <c r="T940" s="55"/>
      <c r="U940" s="55"/>
      <c r="V940" s="55"/>
      <c r="W940" s="55"/>
      <c r="X940" s="55"/>
      <c r="Y940" s="55"/>
      <c r="Z940" s="55"/>
    </row>
    <row r="941" spans="1:26" ht="15">
      <c r="A941" s="49"/>
      <c r="B941" s="77"/>
      <c r="C941" s="52"/>
      <c r="D941" s="52"/>
      <c r="E941" s="53"/>
      <c r="F941" s="53"/>
      <c r="G941" s="65"/>
      <c r="H941" s="53"/>
      <c r="I941" s="55"/>
      <c r="J941" s="52"/>
      <c r="K941" s="56"/>
      <c r="L941" s="55"/>
      <c r="M941" s="55"/>
      <c r="N941" s="55"/>
      <c r="O941" s="55"/>
      <c r="P941" s="55"/>
      <c r="Q941" s="55"/>
      <c r="R941" s="55"/>
      <c r="S941" s="55"/>
      <c r="T941" s="55"/>
      <c r="U941" s="55"/>
      <c r="V941" s="55"/>
      <c r="W941" s="55"/>
      <c r="X941" s="55"/>
      <c r="Y941" s="55"/>
      <c r="Z941" s="55"/>
    </row>
    <row r="942" spans="1:26" ht="15">
      <c r="A942" s="49"/>
      <c r="B942" s="77"/>
      <c r="C942" s="52"/>
      <c r="D942" s="52"/>
      <c r="E942" s="53"/>
      <c r="F942" s="53"/>
      <c r="G942" s="65"/>
      <c r="H942" s="53"/>
      <c r="I942" s="55"/>
      <c r="J942" s="52"/>
      <c r="K942" s="56"/>
      <c r="L942" s="55"/>
      <c r="M942" s="55"/>
      <c r="N942" s="55"/>
      <c r="O942" s="55"/>
      <c r="P942" s="55"/>
      <c r="Q942" s="55"/>
      <c r="R942" s="55"/>
      <c r="S942" s="55"/>
      <c r="T942" s="55"/>
      <c r="U942" s="55"/>
      <c r="V942" s="55"/>
      <c r="W942" s="55"/>
      <c r="X942" s="55"/>
      <c r="Y942" s="55"/>
      <c r="Z942" s="55"/>
    </row>
    <row r="943" spans="1:26" ht="15">
      <c r="A943" s="49"/>
      <c r="B943" s="77"/>
      <c r="C943" s="52"/>
      <c r="D943" s="52"/>
      <c r="E943" s="53"/>
      <c r="F943" s="53"/>
      <c r="G943" s="65"/>
      <c r="H943" s="53"/>
      <c r="I943" s="55"/>
      <c r="J943" s="52"/>
      <c r="K943" s="56"/>
      <c r="L943" s="55"/>
      <c r="M943" s="55"/>
      <c r="N943" s="55"/>
      <c r="O943" s="55"/>
      <c r="P943" s="55"/>
      <c r="Q943" s="55"/>
      <c r="R943" s="55"/>
      <c r="S943" s="55"/>
      <c r="T943" s="55"/>
      <c r="U943" s="55"/>
      <c r="V943" s="55"/>
      <c r="W943" s="55"/>
      <c r="X943" s="55"/>
      <c r="Y943" s="55"/>
      <c r="Z943" s="55"/>
    </row>
    <row r="944" spans="1:26" ht="15">
      <c r="A944" s="49"/>
      <c r="B944" s="77"/>
      <c r="C944" s="52"/>
      <c r="D944" s="52"/>
      <c r="E944" s="53"/>
      <c r="F944" s="53"/>
      <c r="G944" s="65"/>
      <c r="H944" s="53"/>
      <c r="I944" s="55"/>
      <c r="J944" s="52"/>
      <c r="K944" s="56"/>
      <c r="L944" s="55"/>
      <c r="M944" s="55"/>
      <c r="N944" s="55"/>
      <c r="O944" s="55"/>
      <c r="P944" s="55"/>
      <c r="Q944" s="55"/>
      <c r="R944" s="55"/>
      <c r="S944" s="55"/>
      <c r="T944" s="55"/>
      <c r="U944" s="55"/>
      <c r="V944" s="55"/>
      <c r="W944" s="55"/>
      <c r="X944" s="55"/>
      <c r="Y944" s="55"/>
      <c r="Z944" s="55"/>
    </row>
    <row r="945" spans="1:26" ht="15">
      <c r="A945" s="49"/>
      <c r="B945" s="77"/>
      <c r="C945" s="52"/>
      <c r="D945" s="52"/>
      <c r="E945" s="53"/>
      <c r="F945" s="53"/>
      <c r="G945" s="65"/>
      <c r="H945" s="53"/>
      <c r="I945" s="55"/>
      <c r="J945" s="52"/>
      <c r="K945" s="56"/>
      <c r="L945" s="55"/>
      <c r="M945" s="55"/>
      <c r="N945" s="55"/>
      <c r="O945" s="55"/>
      <c r="P945" s="55"/>
      <c r="Q945" s="55"/>
      <c r="R945" s="55"/>
      <c r="S945" s="55"/>
      <c r="T945" s="55"/>
      <c r="U945" s="55"/>
      <c r="V945" s="55"/>
      <c r="W945" s="55"/>
      <c r="X945" s="55"/>
      <c r="Y945" s="55"/>
      <c r="Z945" s="55"/>
    </row>
    <row r="946" spans="1:26" ht="15">
      <c r="A946" s="49"/>
      <c r="B946" s="77"/>
      <c r="C946" s="52"/>
      <c r="D946" s="52"/>
      <c r="E946" s="53"/>
      <c r="F946" s="53"/>
      <c r="G946" s="65"/>
      <c r="H946" s="53"/>
      <c r="I946" s="55"/>
      <c r="J946" s="52"/>
      <c r="K946" s="56"/>
      <c r="L946" s="55"/>
      <c r="M946" s="55"/>
      <c r="N946" s="55"/>
      <c r="O946" s="55"/>
      <c r="P946" s="55"/>
      <c r="Q946" s="55"/>
      <c r="R946" s="55"/>
      <c r="S946" s="55"/>
      <c r="T946" s="55"/>
      <c r="U946" s="55"/>
      <c r="V946" s="55"/>
      <c r="W946" s="55"/>
      <c r="X946" s="55"/>
      <c r="Y946" s="55"/>
      <c r="Z946" s="55"/>
    </row>
    <row r="947" spans="1:26" ht="15">
      <c r="A947" s="49"/>
      <c r="B947" s="77"/>
      <c r="C947" s="52"/>
      <c r="D947" s="52"/>
      <c r="E947" s="53"/>
      <c r="F947" s="53"/>
      <c r="G947" s="65"/>
      <c r="H947" s="53"/>
      <c r="I947" s="55"/>
      <c r="J947" s="52"/>
      <c r="K947" s="56"/>
      <c r="L947" s="55"/>
      <c r="M947" s="55"/>
      <c r="N947" s="55"/>
      <c r="O947" s="55"/>
      <c r="P947" s="55"/>
      <c r="Q947" s="55"/>
      <c r="R947" s="55"/>
      <c r="S947" s="55"/>
      <c r="T947" s="55"/>
      <c r="U947" s="55"/>
      <c r="V947" s="55"/>
      <c r="W947" s="55"/>
      <c r="X947" s="55"/>
      <c r="Y947" s="55"/>
      <c r="Z947" s="55"/>
    </row>
    <row r="948" spans="1:26" ht="15">
      <c r="A948" s="49"/>
      <c r="B948" s="77"/>
      <c r="C948" s="52"/>
      <c r="D948" s="52"/>
      <c r="E948" s="53"/>
      <c r="F948" s="53"/>
      <c r="G948" s="65"/>
      <c r="H948" s="53"/>
      <c r="I948" s="55"/>
      <c r="J948" s="52"/>
      <c r="K948" s="56"/>
      <c r="L948" s="55"/>
      <c r="M948" s="55"/>
      <c r="N948" s="55"/>
      <c r="O948" s="55"/>
      <c r="P948" s="55"/>
      <c r="Q948" s="55"/>
      <c r="R948" s="55"/>
      <c r="S948" s="55"/>
      <c r="T948" s="55"/>
      <c r="U948" s="55"/>
      <c r="V948" s="55"/>
      <c r="W948" s="55"/>
      <c r="X948" s="55"/>
      <c r="Y948" s="55"/>
      <c r="Z948" s="55"/>
    </row>
    <row r="949" spans="1:26" ht="15">
      <c r="A949" s="49"/>
      <c r="B949" s="77"/>
      <c r="C949" s="52"/>
      <c r="D949" s="52"/>
      <c r="E949" s="53"/>
      <c r="F949" s="53"/>
      <c r="G949" s="65"/>
      <c r="H949" s="53"/>
      <c r="I949" s="55"/>
      <c r="J949" s="52"/>
      <c r="K949" s="56"/>
      <c r="L949" s="55"/>
      <c r="M949" s="55"/>
      <c r="N949" s="55"/>
      <c r="O949" s="55"/>
      <c r="P949" s="55"/>
      <c r="Q949" s="55"/>
      <c r="R949" s="55"/>
      <c r="S949" s="55"/>
      <c r="T949" s="55"/>
      <c r="U949" s="55"/>
      <c r="V949" s="55"/>
      <c r="W949" s="55"/>
      <c r="X949" s="55"/>
      <c r="Y949" s="55"/>
      <c r="Z949" s="55"/>
    </row>
    <row r="950" spans="1:26" ht="15">
      <c r="A950" s="49"/>
      <c r="B950" s="77"/>
      <c r="C950" s="52"/>
      <c r="D950" s="52"/>
      <c r="E950" s="53"/>
      <c r="F950" s="53"/>
      <c r="G950" s="65"/>
      <c r="H950" s="53"/>
      <c r="I950" s="55"/>
      <c r="J950" s="52"/>
      <c r="K950" s="56"/>
      <c r="L950" s="55"/>
      <c r="M950" s="55"/>
      <c r="N950" s="55"/>
      <c r="O950" s="55"/>
      <c r="P950" s="55"/>
      <c r="Q950" s="55"/>
      <c r="R950" s="55"/>
      <c r="S950" s="55"/>
      <c r="T950" s="55"/>
      <c r="U950" s="55"/>
      <c r="V950" s="55"/>
      <c r="W950" s="55"/>
      <c r="X950" s="55"/>
      <c r="Y950" s="55"/>
      <c r="Z950" s="55"/>
    </row>
    <row r="951" spans="1:26" ht="15">
      <c r="A951" s="49"/>
      <c r="B951" s="77"/>
      <c r="C951" s="52"/>
      <c r="D951" s="52"/>
      <c r="E951" s="53"/>
      <c r="F951" s="53"/>
      <c r="G951" s="65"/>
      <c r="H951" s="53"/>
      <c r="I951" s="55"/>
      <c r="J951" s="52"/>
      <c r="K951" s="56"/>
      <c r="L951" s="55"/>
      <c r="M951" s="55"/>
      <c r="N951" s="55"/>
      <c r="O951" s="55"/>
      <c r="P951" s="55"/>
      <c r="Q951" s="55"/>
      <c r="R951" s="55"/>
      <c r="S951" s="55"/>
      <c r="T951" s="55"/>
      <c r="U951" s="55"/>
      <c r="V951" s="55"/>
      <c r="W951" s="55"/>
      <c r="X951" s="55"/>
      <c r="Y951" s="55"/>
      <c r="Z951" s="55"/>
    </row>
    <row r="952" spans="1:26" ht="15">
      <c r="A952" s="49"/>
      <c r="B952" s="77"/>
      <c r="C952" s="52"/>
      <c r="D952" s="52"/>
      <c r="E952" s="53"/>
      <c r="F952" s="53"/>
      <c r="G952" s="65"/>
      <c r="H952" s="53"/>
      <c r="I952" s="55"/>
      <c r="J952" s="52"/>
      <c r="K952" s="56"/>
      <c r="L952" s="55"/>
      <c r="M952" s="55"/>
      <c r="N952" s="55"/>
      <c r="O952" s="55"/>
      <c r="P952" s="55"/>
      <c r="Q952" s="55"/>
      <c r="R952" s="55"/>
      <c r="S952" s="55"/>
      <c r="T952" s="55"/>
      <c r="U952" s="55"/>
      <c r="V952" s="55"/>
      <c r="W952" s="55"/>
      <c r="X952" s="55"/>
      <c r="Y952" s="55"/>
      <c r="Z952" s="55"/>
    </row>
    <row r="953" spans="1:26" ht="15">
      <c r="A953" s="49"/>
      <c r="B953" s="77"/>
      <c r="C953" s="52"/>
      <c r="D953" s="52"/>
      <c r="E953" s="53"/>
      <c r="F953" s="53"/>
      <c r="G953" s="65"/>
      <c r="H953" s="53"/>
      <c r="I953" s="55"/>
      <c r="J953" s="52"/>
      <c r="K953" s="56"/>
      <c r="L953" s="55"/>
      <c r="M953" s="55"/>
      <c r="N953" s="55"/>
      <c r="O953" s="55"/>
      <c r="P953" s="55"/>
      <c r="Q953" s="55"/>
      <c r="R953" s="55"/>
      <c r="S953" s="55"/>
      <c r="T953" s="55"/>
      <c r="U953" s="55"/>
      <c r="V953" s="55"/>
      <c r="W953" s="55"/>
      <c r="X953" s="55"/>
      <c r="Y953" s="55"/>
      <c r="Z953" s="55"/>
    </row>
    <row r="954" spans="1:26" ht="15">
      <c r="A954" s="49"/>
      <c r="B954" s="77"/>
      <c r="C954" s="52"/>
      <c r="D954" s="52"/>
      <c r="E954" s="53"/>
      <c r="F954" s="53"/>
      <c r="G954" s="65"/>
      <c r="H954" s="53"/>
      <c r="I954" s="55"/>
      <c r="J954" s="52"/>
      <c r="K954" s="56"/>
      <c r="L954" s="55"/>
      <c r="M954" s="55"/>
      <c r="N954" s="55"/>
      <c r="O954" s="55"/>
      <c r="P954" s="55"/>
      <c r="Q954" s="55"/>
      <c r="R954" s="55"/>
      <c r="S954" s="55"/>
      <c r="T954" s="55"/>
      <c r="U954" s="55"/>
      <c r="V954" s="55"/>
      <c r="W954" s="55"/>
      <c r="X954" s="55"/>
      <c r="Y954" s="55"/>
      <c r="Z954" s="55"/>
    </row>
    <row r="955" spans="1:26" ht="15">
      <c r="A955" s="49"/>
      <c r="B955" s="77"/>
      <c r="C955" s="52"/>
      <c r="D955" s="52"/>
      <c r="E955" s="53"/>
      <c r="F955" s="53"/>
      <c r="G955" s="65"/>
      <c r="H955" s="53"/>
      <c r="I955" s="55"/>
      <c r="J955" s="52"/>
      <c r="K955" s="56"/>
      <c r="L955" s="55"/>
      <c r="M955" s="55"/>
      <c r="N955" s="55"/>
      <c r="O955" s="55"/>
      <c r="P955" s="55"/>
      <c r="Q955" s="55"/>
      <c r="R955" s="55"/>
      <c r="S955" s="55"/>
      <c r="T955" s="55"/>
      <c r="U955" s="55"/>
      <c r="V955" s="55"/>
      <c r="W955" s="55"/>
      <c r="X955" s="55"/>
      <c r="Y955" s="55"/>
      <c r="Z955" s="55"/>
    </row>
    <row r="956" spans="1:26" ht="15">
      <c r="A956" s="49"/>
      <c r="B956" s="77"/>
      <c r="C956" s="52"/>
      <c r="D956" s="52"/>
      <c r="E956" s="53"/>
      <c r="F956" s="53"/>
      <c r="G956" s="65"/>
      <c r="H956" s="53"/>
      <c r="I956" s="55"/>
      <c r="J956" s="52"/>
      <c r="K956" s="56"/>
      <c r="L956" s="55"/>
      <c r="M956" s="55"/>
      <c r="N956" s="55"/>
      <c r="O956" s="55"/>
      <c r="P956" s="55"/>
      <c r="Q956" s="55"/>
      <c r="R956" s="55"/>
      <c r="S956" s="55"/>
      <c r="T956" s="55"/>
      <c r="U956" s="55"/>
      <c r="V956" s="55"/>
      <c r="W956" s="55"/>
      <c r="X956" s="55"/>
      <c r="Y956" s="55"/>
      <c r="Z956" s="55"/>
    </row>
    <row r="957" spans="1:26" ht="15">
      <c r="A957" s="49"/>
      <c r="B957" s="77"/>
      <c r="C957" s="52"/>
      <c r="D957" s="52"/>
      <c r="E957" s="53"/>
      <c r="F957" s="53"/>
      <c r="G957" s="65"/>
      <c r="H957" s="53"/>
      <c r="I957" s="55"/>
      <c r="J957" s="52"/>
      <c r="K957" s="56"/>
      <c r="L957" s="55"/>
      <c r="M957" s="55"/>
      <c r="N957" s="55"/>
      <c r="O957" s="55"/>
      <c r="P957" s="55"/>
      <c r="Q957" s="55"/>
      <c r="R957" s="55"/>
      <c r="S957" s="55"/>
      <c r="T957" s="55"/>
      <c r="U957" s="55"/>
      <c r="V957" s="55"/>
      <c r="W957" s="55"/>
      <c r="X957" s="55"/>
      <c r="Y957" s="55"/>
      <c r="Z957" s="55"/>
    </row>
    <row r="958" spans="1:26" ht="15">
      <c r="A958" s="49"/>
      <c r="B958" s="77"/>
      <c r="C958" s="52"/>
      <c r="D958" s="52"/>
      <c r="E958" s="53"/>
      <c r="F958" s="53"/>
      <c r="G958" s="65"/>
      <c r="H958" s="53"/>
      <c r="I958" s="55"/>
      <c r="J958" s="52"/>
      <c r="K958" s="56"/>
      <c r="L958" s="55"/>
      <c r="M958" s="55"/>
      <c r="N958" s="55"/>
      <c r="O958" s="55"/>
      <c r="P958" s="55"/>
      <c r="Q958" s="55"/>
      <c r="R958" s="55"/>
      <c r="S958" s="55"/>
      <c r="T958" s="55"/>
      <c r="U958" s="55"/>
      <c r="V958" s="55"/>
      <c r="W958" s="55"/>
      <c r="X958" s="55"/>
      <c r="Y958" s="55"/>
      <c r="Z958" s="55"/>
    </row>
    <row r="959" spans="1:26" ht="15">
      <c r="A959" s="49"/>
      <c r="B959" s="77"/>
      <c r="C959" s="52"/>
      <c r="D959" s="52"/>
      <c r="E959" s="53"/>
      <c r="F959" s="53"/>
      <c r="G959" s="65"/>
      <c r="H959" s="53"/>
      <c r="I959" s="55"/>
      <c r="J959" s="52"/>
      <c r="K959" s="56"/>
      <c r="L959" s="55"/>
      <c r="M959" s="55"/>
      <c r="N959" s="55"/>
      <c r="O959" s="55"/>
      <c r="P959" s="55"/>
      <c r="Q959" s="55"/>
      <c r="R959" s="55"/>
      <c r="S959" s="55"/>
      <c r="T959" s="55"/>
      <c r="U959" s="55"/>
      <c r="V959" s="55"/>
      <c r="W959" s="55"/>
      <c r="X959" s="55"/>
      <c r="Y959" s="55"/>
      <c r="Z959" s="55"/>
    </row>
    <row r="960" spans="1:26" ht="15">
      <c r="A960" s="49"/>
      <c r="B960" s="77"/>
      <c r="C960" s="52"/>
      <c r="D960" s="52"/>
      <c r="E960" s="53"/>
      <c r="F960" s="53"/>
      <c r="G960" s="65"/>
      <c r="H960" s="53"/>
      <c r="I960" s="55"/>
      <c r="J960" s="52"/>
      <c r="K960" s="56"/>
      <c r="L960" s="55"/>
      <c r="M960" s="55"/>
      <c r="N960" s="55"/>
      <c r="O960" s="55"/>
      <c r="P960" s="55"/>
      <c r="Q960" s="55"/>
      <c r="R960" s="55"/>
      <c r="S960" s="55"/>
      <c r="T960" s="55"/>
      <c r="U960" s="55"/>
      <c r="V960" s="55"/>
      <c r="W960" s="55"/>
      <c r="X960" s="55"/>
      <c r="Y960" s="55"/>
      <c r="Z960" s="55"/>
    </row>
    <row r="961" spans="1:26" ht="15">
      <c r="A961" s="49"/>
      <c r="B961" s="77"/>
      <c r="C961" s="52"/>
      <c r="D961" s="52"/>
      <c r="E961" s="53"/>
      <c r="F961" s="53"/>
      <c r="G961" s="65"/>
      <c r="H961" s="53"/>
      <c r="I961" s="55"/>
      <c r="J961" s="52"/>
      <c r="K961" s="56"/>
      <c r="L961" s="55"/>
      <c r="M961" s="55"/>
      <c r="N961" s="55"/>
      <c r="O961" s="55"/>
      <c r="P961" s="55"/>
      <c r="Q961" s="55"/>
      <c r="R961" s="55"/>
      <c r="S961" s="55"/>
      <c r="T961" s="55"/>
      <c r="U961" s="55"/>
      <c r="V961" s="55"/>
      <c r="W961" s="55"/>
      <c r="X961" s="55"/>
      <c r="Y961" s="55"/>
      <c r="Z961" s="55"/>
    </row>
    <row r="962" spans="1:26" ht="15">
      <c r="A962" s="49"/>
      <c r="B962" s="77"/>
      <c r="C962" s="52"/>
      <c r="D962" s="52"/>
      <c r="E962" s="53"/>
      <c r="F962" s="53"/>
      <c r="G962" s="65"/>
      <c r="H962" s="53"/>
      <c r="I962" s="55"/>
      <c r="J962" s="52"/>
      <c r="K962" s="56"/>
      <c r="L962" s="55"/>
      <c r="M962" s="55"/>
      <c r="N962" s="55"/>
      <c r="O962" s="55"/>
      <c r="P962" s="55"/>
      <c r="Q962" s="55"/>
      <c r="R962" s="55"/>
      <c r="S962" s="55"/>
      <c r="T962" s="55"/>
      <c r="U962" s="55"/>
      <c r="V962" s="55"/>
      <c r="W962" s="55"/>
      <c r="X962" s="55"/>
      <c r="Y962" s="55"/>
      <c r="Z962" s="55"/>
    </row>
    <row r="963" spans="1:26" ht="15">
      <c r="A963" s="49"/>
      <c r="B963" s="77"/>
      <c r="C963" s="52"/>
      <c r="D963" s="52"/>
      <c r="E963" s="53"/>
      <c r="F963" s="53"/>
      <c r="G963" s="65"/>
      <c r="H963" s="53"/>
      <c r="I963" s="55"/>
      <c r="J963" s="52"/>
      <c r="K963" s="56"/>
      <c r="L963" s="55"/>
      <c r="M963" s="55"/>
      <c r="N963" s="55"/>
      <c r="O963" s="55"/>
      <c r="P963" s="55"/>
      <c r="Q963" s="55"/>
      <c r="R963" s="55"/>
      <c r="S963" s="55"/>
      <c r="T963" s="55"/>
      <c r="U963" s="55"/>
      <c r="V963" s="55"/>
      <c r="W963" s="55"/>
      <c r="X963" s="55"/>
      <c r="Y963" s="55"/>
      <c r="Z963" s="55"/>
    </row>
    <row r="964" spans="1:26" ht="15">
      <c r="A964" s="49"/>
      <c r="B964" s="77"/>
      <c r="C964" s="52"/>
      <c r="D964" s="52"/>
      <c r="E964" s="53"/>
      <c r="F964" s="53"/>
      <c r="G964" s="65"/>
      <c r="H964" s="53"/>
      <c r="I964" s="55"/>
      <c r="J964" s="52"/>
      <c r="K964" s="56"/>
      <c r="L964" s="55"/>
      <c r="M964" s="55"/>
      <c r="N964" s="55"/>
      <c r="O964" s="55"/>
      <c r="P964" s="55"/>
      <c r="Q964" s="55"/>
      <c r="R964" s="55"/>
      <c r="S964" s="55"/>
      <c r="T964" s="55"/>
      <c r="U964" s="55"/>
      <c r="V964" s="55"/>
      <c r="W964" s="55"/>
      <c r="X964" s="55"/>
      <c r="Y964" s="55"/>
      <c r="Z964" s="55"/>
    </row>
    <row r="965" spans="1:26" ht="15">
      <c r="A965" s="49"/>
      <c r="B965" s="77"/>
      <c r="C965" s="52"/>
      <c r="D965" s="52"/>
      <c r="E965" s="53"/>
      <c r="F965" s="53"/>
      <c r="G965" s="65"/>
      <c r="H965" s="53"/>
      <c r="I965" s="55"/>
      <c r="J965" s="52"/>
      <c r="K965" s="56"/>
      <c r="L965" s="55"/>
      <c r="M965" s="55"/>
      <c r="N965" s="55"/>
      <c r="O965" s="55"/>
      <c r="P965" s="55"/>
      <c r="Q965" s="55"/>
      <c r="R965" s="55"/>
      <c r="S965" s="55"/>
      <c r="T965" s="55"/>
      <c r="U965" s="55"/>
      <c r="V965" s="55"/>
      <c r="W965" s="55"/>
      <c r="X965" s="55"/>
      <c r="Y965" s="55"/>
      <c r="Z965" s="55"/>
    </row>
    <row r="966" spans="1:26" ht="15">
      <c r="A966" s="49"/>
      <c r="B966" s="77"/>
      <c r="C966" s="52"/>
      <c r="D966" s="52"/>
      <c r="E966" s="53"/>
      <c r="F966" s="53"/>
      <c r="G966" s="65"/>
      <c r="H966" s="53"/>
      <c r="I966" s="55"/>
      <c r="J966" s="52"/>
      <c r="K966" s="56"/>
      <c r="L966" s="55"/>
      <c r="M966" s="55"/>
      <c r="N966" s="55"/>
      <c r="O966" s="55"/>
      <c r="P966" s="55"/>
      <c r="Q966" s="55"/>
      <c r="R966" s="55"/>
      <c r="S966" s="55"/>
      <c r="T966" s="55"/>
      <c r="U966" s="55"/>
      <c r="V966" s="55"/>
      <c r="W966" s="55"/>
      <c r="X966" s="55"/>
      <c r="Y966" s="55"/>
      <c r="Z966" s="55"/>
    </row>
    <row r="967" spans="1:26" ht="15">
      <c r="A967" s="49"/>
      <c r="B967" s="77"/>
      <c r="C967" s="52"/>
      <c r="D967" s="52"/>
      <c r="E967" s="53"/>
      <c r="F967" s="53"/>
      <c r="G967" s="65"/>
      <c r="H967" s="53"/>
      <c r="I967" s="55"/>
      <c r="J967" s="52"/>
      <c r="K967" s="56"/>
      <c r="L967" s="55"/>
      <c r="M967" s="55"/>
      <c r="N967" s="55"/>
      <c r="O967" s="55"/>
      <c r="P967" s="55"/>
      <c r="Q967" s="55"/>
      <c r="R967" s="55"/>
      <c r="S967" s="55"/>
      <c r="T967" s="55"/>
      <c r="U967" s="55"/>
      <c r="V967" s="55"/>
      <c r="W967" s="55"/>
      <c r="X967" s="55"/>
      <c r="Y967" s="55"/>
      <c r="Z967" s="55"/>
    </row>
    <row r="968" spans="1:26" ht="15">
      <c r="A968" s="49"/>
      <c r="B968" s="77"/>
      <c r="C968" s="52"/>
      <c r="D968" s="52"/>
      <c r="E968" s="53"/>
      <c r="F968" s="53"/>
      <c r="G968" s="65"/>
      <c r="H968" s="53"/>
      <c r="I968" s="55"/>
      <c r="J968" s="52"/>
      <c r="K968" s="56"/>
      <c r="L968" s="55"/>
      <c r="M968" s="55"/>
      <c r="N968" s="55"/>
      <c r="O968" s="55"/>
      <c r="P968" s="55"/>
      <c r="Q968" s="55"/>
      <c r="R968" s="55"/>
      <c r="S968" s="55"/>
      <c r="T968" s="55"/>
      <c r="U968" s="55"/>
      <c r="V968" s="55"/>
      <c r="W968" s="55"/>
      <c r="X968" s="55"/>
      <c r="Y968" s="55"/>
      <c r="Z968" s="55"/>
    </row>
    <row r="969" spans="1:26" ht="15">
      <c r="A969" s="49"/>
      <c r="B969" s="77"/>
      <c r="C969" s="52"/>
      <c r="D969" s="52"/>
      <c r="E969" s="53"/>
      <c r="F969" s="53"/>
      <c r="G969" s="65"/>
      <c r="H969" s="53"/>
      <c r="I969" s="55"/>
      <c r="J969" s="52"/>
      <c r="K969" s="56"/>
      <c r="L969" s="55"/>
      <c r="M969" s="55"/>
      <c r="N969" s="55"/>
      <c r="O969" s="55"/>
      <c r="P969" s="55"/>
      <c r="Q969" s="55"/>
      <c r="R969" s="55"/>
      <c r="S969" s="55"/>
      <c r="T969" s="55"/>
      <c r="U969" s="55"/>
      <c r="V969" s="55"/>
      <c r="W969" s="55"/>
      <c r="X969" s="55"/>
      <c r="Y969" s="55"/>
      <c r="Z969" s="55"/>
    </row>
    <row r="970" spans="1:26" ht="15">
      <c r="A970" s="49"/>
      <c r="B970" s="77"/>
      <c r="C970" s="52"/>
      <c r="D970" s="52"/>
      <c r="E970" s="53"/>
      <c r="F970" s="53"/>
      <c r="G970" s="65"/>
      <c r="H970" s="53"/>
      <c r="I970" s="55"/>
      <c r="J970" s="52"/>
      <c r="K970" s="56"/>
      <c r="L970" s="55"/>
      <c r="M970" s="55"/>
      <c r="N970" s="55"/>
      <c r="O970" s="55"/>
      <c r="P970" s="55"/>
      <c r="Q970" s="55"/>
      <c r="R970" s="55"/>
      <c r="S970" s="55"/>
      <c r="T970" s="55"/>
      <c r="U970" s="55"/>
      <c r="V970" s="55"/>
      <c r="W970" s="55"/>
      <c r="X970" s="55"/>
      <c r="Y970" s="55"/>
      <c r="Z970" s="55"/>
    </row>
    <row r="971" spans="1:26" ht="15">
      <c r="A971" s="49"/>
      <c r="B971" s="77"/>
      <c r="C971" s="52"/>
      <c r="D971" s="52"/>
      <c r="E971" s="53"/>
      <c r="F971" s="53"/>
      <c r="G971" s="65"/>
      <c r="H971" s="53"/>
      <c r="I971" s="55"/>
      <c r="J971" s="52"/>
      <c r="K971" s="56"/>
      <c r="L971" s="55"/>
      <c r="M971" s="55"/>
      <c r="N971" s="55"/>
      <c r="O971" s="55"/>
      <c r="P971" s="55"/>
      <c r="Q971" s="55"/>
      <c r="R971" s="55"/>
      <c r="S971" s="55"/>
      <c r="T971" s="55"/>
      <c r="U971" s="55"/>
      <c r="V971" s="55"/>
      <c r="W971" s="55"/>
      <c r="X971" s="55"/>
      <c r="Y971" s="55"/>
      <c r="Z971" s="55"/>
    </row>
    <row r="972" spans="1:26" ht="15">
      <c r="A972" s="49"/>
      <c r="B972" s="77"/>
      <c r="C972" s="52"/>
      <c r="D972" s="52"/>
      <c r="E972" s="53"/>
      <c r="F972" s="53"/>
      <c r="G972" s="65"/>
      <c r="H972" s="53"/>
      <c r="I972" s="55"/>
      <c r="J972" s="52"/>
      <c r="K972" s="56"/>
      <c r="L972" s="55"/>
      <c r="M972" s="55"/>
      <c r="N972" s="55"/>
      <c r="O972" s="55"/>
      <c r="P972" s="55"/>
      <c r="Q972" s="55"/>
      <c r="R972" s="55"/>
      <c r="S972" s="55"/>
      <c r="T972" s="55"/>
      <c r="U972" s="55"/>
      <c r="V972" s="55"/>
      <c r="W972" s="55"/>
      <c r="X972" s="55"/>
      <c r="Y972" s="55"/>
      <c r="Z972" s="55"/>
    </row>
    <row r="973" spans="1:26" ht="15">
      <c r="A973" s="49"/>
      <c r="B973" s="77"/>
      <c r="C973" s="52"/>
      <c r="D973" s="52"/>
      <c r="E973" s="53"/>
      <c r="F973" s="53"/>
      <c r="G973" s="65"/>
      <c r="H973" s="53"/>
      <c r="I973" s="55"/>
      <c r="J973" s="52"/>
      <c r="K973" s="56"/>
      <c r="L973" s="55"/>
      <c r="M973" s="55"/>
      <c r="N973" s="55"/>
      <c r="O973" s="55"/>
      <c r="P973" s="55"/>
      <c r="Q973" s="55"/>
      <c r="R973" s="55"/>
      <c r="S973" s="55"/>
      <c r="T973" s="55"/>
      <c r="U973" s="55"/>
      <c r="V973" s="55"/>
      <c r="W973" s="55"/>
      <c r="X973" s="55"/>
      <c r="Y973" s="55"/>
      <c r="Z973" s="55"/>
    </row>
    <row r="974" spans="1:26" ht="15">
      <c r="A974" s="49"/>
      <c r="B974" s="77"/>
      <c r="C974" s="52"/>
      <c r="D974" s="52"/>
      <c r="E974" s="53"/>
      <c r="F974" s="53"/>
      <c r="G974" s="65"/>
      <c r="H974" s="53"/>
      <c r="I974" s="55"/>
      <c r="J974" s="52"/>
      <c r="K974" s="56"/>
      <c r="L974" s="55"/>
      <c r="M974" s="55"/>
      <c r="N974" s="55"/>
      <c r="O974" s="55"/>
      <c r="P974" s="55"/>
      <c r="Q974" s="55"/>
      <c r="R974" s="55"/>
      <c r="S974" s="55"/>
      <c r="T974" s="55"/>
      <c r="U974" s="55"/>
      <c r="V974" s="55"/>
      <c r="W974" s="55"/>
      <c r="X974" s="55"/>
      <c r="Y974" s="55"/>
      <c r="Z974" s="55"/>
    </row>
    <row r="975" spans="1:26" ht="15">
      <c r="A975" s="49"/>
      <c r="B975" s="77"/>
      <c r="C975" s="52"/>
      <c r="D975" s="52"/>
      <c r="E975" s="53"/>
      <c r="F975" s="53"/>
      <c r="G975" s="65"/>
      <c r="H975" s="53"/>
      <c r="I975" s="55"/>
      <c r="J975" s="52"/>
      <c r="K975" s="56"/>
      <c r="L975" s="55"/>
      <c r="M975" s="55"/>
      <c r="N975" s="55"/>
      <c r="O975" s="55"/>
      <c r="P975" s="55"/>
      <c r="Q975" s="55"/>
      <c r="R975" s="55"/>
      <c r="S975" s="55"/>
      <c r="T975" s="55"/>
      <c r="U975" s="55"/>
      <c r="V975" s="55"/>
      <c r="W975" s="55"/>
      <c r="X975" s="55"/>
      <c r="Y975" s="55"/>
      <c r="Z975" s="55"/>
    </row>
    <row r="976" spans="1:26" ht="15">
      <c r="A976" s="49"/>
      <c r="B976" s="77"/>
      <c r="C976" s="52"/>
      <c r="D976" s="52"/>
      <c r="E976" s="53"/>
      <c r="F976" s="53"/>
      <c r="G976" s="65"/>
      <c r="H976" s="53"/>
      <c r="I976" s="55"/>
      <c r="J976" s="52"/>
      <c r="K976" s="56"/>
      <c r="L976" s="55"/>
      <c r="M976" s="55"/>
      <c r="N976" s="55"/>
      <c r="O976" s="55"/>
      <c r="P976" s="55"/>
      <c r="Q976" s="55"/>
      <c r="R976" s="55"/>
      <c r="S976" s="55"/>
      <c r="T976" s="55"/>
      <c r="U976" s="55"/>
      <c r="V976" s="55"/>
      <c r="W976" s="55"/>
      <c r="X976" s="55"/>
      <c r="Y976" s="55"/>
      <c r="Z976" s="55"/>
    </row>
    <row r="977" spans="1:26" ht="15">
      <c r="A977" s="49"/>
      <c r="B977" s="77"/>
      <c r="C977" s="52"/>
      <c r="D977" s="52"/>
      <c r="E977" s="53"/>
      <c r="F977" s="53"/>
      <c r="G977" s="65"/>
      <c r="H977" s="53"/>
      <c r="I977" s="55"/>
      <c r="J977" s="52"/>
      <c r="K977" s="56"/>
      <c r="L977" s="55"/>
      <c r="M977" s="55"/>
      <c r="N977" s="55"/>
      <c r="O977" s="55"/>
      <c r="P977" s="55"/>
      <c r="Q977" s="55"/>
      <c r="R977" s="55"/>
      <c r="S977" s="55"/>
      <c r="T977" s="55"/>
      <c r="U977" s="55"/>
      <c r="V977" s="55"/>
      <c r="W977" s="55"/>
      <c r="X977" s="55"/>
      <c r="Y977" s="55"/>
      <c r="Z977" s="55"/>
    </row>
    <row r="978" spans="1:26" ht="15">
      <c r="A978" s="49"/>
      <c r="B978" s="77"/>
      <c r="C978" s="52"/>
      <c r="D978" s="52"/>
      <c r="E978" s="53"/>
      <c r="F978" s="53"/>
      <c r="G978" s="65"/>
      <c r="H978" s="53"/>
      <c r="I978" s="55"/>
      <c r="J978" s="52"/>
      <c r="K978" s="56"/>
      <c r="L978" s="55"/>
      <c r="M978" s="55"/>
      <c r="N978" s="55"/>
      <c r="O978" s="55"/>
      <c r="P978" s="55"/>
      <c r="Q978" s="55"/>
      <c r="R978" s="55"/>
      <c r="S978" s="55"/>
      <c r="T978" s="55"/>
      <c r="U978" s="55"/>
      <c r="V978" s="55"/>
      <c r="W978" s="55"/>
      <c r="X978" s="55"/>
      <c r="Y978" s="55"/>
      <c r="Z978" s="55"/>
    </row>
    <row r="979" spans="1:26" ht="15">
      <c r="A979" s="49"/>
      <c r="B979" s="77"/>
      <c r="C979" s="52"/>
      <c r="D979" s="52"/>
      <c r="E979" s="53"/>
      <c r="F979" s="53"/>
      <c r="G979" s="65"/>
      <c r="H979" s="53"/>
      <c r="I979" s="55"/>
      <c r="J979" s="52"/>
      <c r="K979" s="56"/>
      <c r="L979" s="55"/>
      <c r="M979" s="55"/>
      <c r="N979" s="55"/>
      <c r="O979" s="55"/>
      <c r="P979" s="55"/>
      <c r="Q979" s="55"/>
      <c r="R979" s="55"/>
      <c r="S979" s="55"/>
      <c r="T979" s="55"/>
      <c r="U979" s="55"/>
      <c r="V979" s="55"/>
      <c r="W979" s="55"/>
      <c r="X979" s="55"/>
      <c r="Y979" s="55"/>
      <c r="Z979" s="55"/>
    </row>
    <row r="980" spans="1:26" ht="15">
      <c r="A980" s="49"/>
      <c r="B980" s="77"/>
      <c r="C980" s="52"/>
      <c r="D980" s="52"/>
      <c r="E980" s="53"/>
      <c r="F980" s="53"/>
      <c r="G980" s="65"/>
      <c r="H980" s="53"/>
      <c r="I980" s="55"/>
      <c r="J980" s="52"/>
      <c r="K980" s="56"/>
      <c r="L980" s="55"/>
      <c r="M980" s="55"/>
      <c r="N980" s="55"/>
      <c r="O980" s="55"/>
      <c r="P980" s="55"/>
      <c r="Q980" s="55"/>
      <c r="R980" s="55"/>
      <c r="S980" s="55"/>
      <c r="T980" s="55"/>
      <c r="U980" s="55"/>
      <c r="V980" s="55"/>
      <c r="W980" s="55"/>
      <c r="X980" s="55"/>
      <c r="Y980" s="55"/>
      <c r="Z980" s="55"/>
    </row>
    <row r="981" spans="1:26" ht="15">
      <c r="A981" s="49"/>
      <c r="B981" s="77"/>
      <c r="C981" s="52"/>
      <c r="D981" s="52"/>
      <c r="E981" s="53"/>
      <c r="F981" s="53"/>
      <c r="G981" s="65"/>
      <c r="H981" s="53"/>
      <c r="I981" s="55"/>
      <c r="J981" s="52"/>
      <c r="K981" s="56"/>
      <c r="L981" s="55"/>
      <c r="M981" s="55"/>
      <c r="N981" s="55"/>
      <c r="O981" s="55"/>
      <c r="P981" s="55"/>
      <c r="Q981" s="55"/>
      <c r="R981" s="55"/>
      <c r="S981" s="55"/>
      <c r="T981" s="55"/>
      <c r="U981" s="55"/>
      <c r="V981" s="55"/>
      <c r="W981" s="55"/>
      <c r="X981" s="55"/>
      <c r="Y981" s="55"/>
      <c r="Z981" s="55"/>
    </row>
    <row r="982" spans="1:26" ht="15">
      <c r="A982" s="49"/>
      <c r="B982" s="77"/>
      <c r="C982" s="52"/>
      <c r="D982" s="52"/>
      <c r="E982" s="53"/>
      <c r="F982" s="53"/>
      <c r="G982" s="65"/>
      <c r="H982" s="53"/>
      <c r="I982" s="55"/>
      <c r="J982" s="52"/>
      <c r="K982" s="56"/>
      <c r="L982" s="55"/>
      <c r="M982" s="55"/>
      <c r="N982" s="55"/>
      <c r="O982" s="55"/>
      <c r="P982" s="55"/>
      <c r="Q982" s="55"/>
      <c r="R982" s="55"/>
      <c r="S982" s="55"/>
      <c r="T982" s="55"/>
      <c r="U982" s="55"/>
      <c r="V982" s="55"/>
      <c r="W982" s="55"/>
      <c r="X982" s="55"/>
      <c r="Y982" s="55"/>
      <c r="Z982" s="55"/>
    </row>
    <row r="983" spans="1:26" ht="15">
      <c r="A983" s="49"/>
      <c r="B983" s="77"/>
      <c r="C983" s="52"/>
      <c r="D983" s="52"/>
      <c r="E983" s="53"/>
      <c r="F983" s="53"/>
      <c r="G983" s="65"/>
      <c r="H983" s="53"/>
      <c r="I983" s="55"/>
      <c r="J983" s="52"/>
      <c r="K983" s="56"/>
      <c r="L983" s="55"/>
      <c r="M983" s="55"/>
      <c r="N983" s="55"/>
      <c r="O983" s="55"/>
      <c r="P983" s="55"/>
      <c r="Q983" s="55"/>
      <c r="R983" s="55"/>
      <c r="S983" s="55"/>
      <c r="T983" s="55"/>
      <c r="U983" s="55"/>
      <c r="V983" s="55"/>
      <c r="W983" s="55"/>
      <c r="X983" s="55"/>
      <c r="Y983" s="55"/>
      <c r="Z983" s="55"/>
    </row>
    <row r="984" spans="1:26" ht="15">
      <c r="A984" s="49"/>
      <c r="B984" s="77"/>
      <c r="C984" s="52"/>
      <c r="D984" s="52"/>
      <c r="E984" s="53"/>
      <c r="F984" s="53"/>
      <c r="G984" s="65"/>
      <c r="H984" s="53"/>
      <c r="I984" s="55"/>
      <c r="J984" s="52"/>
      <c r="K984" s="56"/>
      <c r="L984" s="55"/>
      <c r="M984" s="55"/>
      <c r="N984" s="55"/>
      <c r="O984" s="55"/>
      <c r="P984" s="55"/>
      <c r="Q984" s="55"/>
      <c r="R984" s="55"/>
      <c r="S984" s="55"/>
      <c r="T984" s="55"/>
      <c r="U984" s="55"/>
      <c r="V984" s="55"/>
      <c r="W984" s="55"/>
      <c r="X984" s="55"/>
      <c r="Y984" s="55"/>
      <c r="Z984" s="55"/>
    </row>
    <row r="985" spans="1:26" ht="15">
      <c r="A985" s="49"/>
      <c r="B985" s="77"/>
      <c r="C985" s="52"/>
      <c r="D985" s="52"/>
      <c r="E985" s="53"/>
      <c r="F985" s="53"/>
      <c r="G985" s="65"/>
      <c r="H985" s="53"/>
      <c r="I985" s="55"/>
      <c r="J985" s="52"/>
      <c r="K985" s="56"/>
      <c r="L985" s="55"/>
      <c r="M985" s="55"/>
      <c r="N985" s="55"/>
      <c r="O985" s="55"/>
      <c r="P985" s="55"/>
      <c r="Q985" s="55"/>
      <c r="R985" s="55"/>
      <c r="S985" s="55"/>
      <c r="T985" s="55"/>
      <c r="U985" s="55"/>
      <c r="V985" s="55"/>
      <c r="W985" s="55"/>
      <c r="X985" s="55"/>
      <c r="Y985" s="55"/>
      <c r="Z985" s="55"/>
    </row>
    <row r="986" spans="1:26" ht="15">
      <c r="A986" s="49"/>
      <c r="B986" s="77"/>
      <c r="C986" s="52"/>
      <c r="D986" s="52"/>
      <c r="E986" s="53"/>
      <c r="F986" s="53"/>
      <c r="G986" s="65"/>
      <c r="H986" s="53"/>
      <c r="I986" s="55"/>
      <c r="J986" s="52"/>
      <c r="K986" s="56"/>
      <c r="L986" s="55"/>
      <c r="M986" s="55"/>
      <c r="N986" s="55"/>
      <c r="O986" s="55"/>
      <c r="P986" s="55"/>
      <c r="Q986" s="55"/>
      <c r="R986" s="55"/>
      <c r="S986" s="55"/>
      <c r="T986" s="55"/>
      <c r="U986" s="55"/>
      <c r="V986" s="55"/>
      <c r="W986" s="55"/>
      <c r="X986" s="55"/>
      <c r="Y986" s="55"/>
      <c r="Z986" s="55"/>
    </row>
    <row r="987" spans="1:26" ht="15">
      <c r="A987" s="49"/>
      <c r="B987" s="77"/>
      <c r="C987" s="52"/>
      <c r="D987" s="52"/>
      <c r="E987" s="53"/>
      <c r="F987" s="53"/>
      <c r="G987" s="65"/>
      <c r="H987" s="53"/>
      <c r="I987" s="55"/>
      <c r="J987" s="52"/>
      <c r="K987" s="56"/>
      <c r="L987" s="55"/>
      <c r="M987" s="55"/>
      <c r="N987" s="55"/>
      <c r="O987" s="55"/>
      <c r="P987" s="55"/>
      <c r="Q987" s="55"/>
      <c r="R987" s="55"/>
      <c r="S987" s="55"/>
      <c r="T987" s="55"/>
      <c r="U987" s="55"/>
      <c r="V987" s="55"/>
      <c r="W987" s="55"/>
      <c r="X987" s="55"/>
      <c r="Y987" s="55"/>
      <c r="Z987" s="55"/>
    </row>
    <row r="988" spans="1:26" ht="15">
      <c r="A988" s="49"/>
      <c r="B988" s="77"/>
      <c r="C988" s="52"/>
      <c r="D988" s="52"/>
      <c r="E988" s="53"/>
      <c r="F988" s="53"/>
      <c r="G988" s="65"/>
      <c r="H988" s="53"/>
      <c r="I988" s="55"/>
      <c r="J988" s="52"/>
      <c r="K988" s="56"/>
      <c r="L988" s="55"/>
      <c r="M988" s="55"/>
      <c r="N988" s="55"/>
      <c r="O988" s="55"/>
      <c r="P988" s="55"/>
      <c r="Q988" s="55"/>
      <c r="R988" s="55"/>
      <c r="S988" s="55"/>
      <c r="T988" s="55"/>
      <c r="U988" s="55"/>
      <c r="V988" s="55"/>
      <c r="W988" s="55"/>
      <c r="X988" s="55"/>
      <c r="Y988" s="55"/>
      <c r="Z988" s="55"/>
    </row>
    <row r="989" spans="1:26" ht="15">
      <c r="A989" s="49"/>
      <c r="B989" s="77"/>
      <c r="C989" s="52"/>
      <c r="D989" s="52"/>
      <c r="E989" s="53"/>
      <c r="F989" s="53"/>
      <c r="G989" s="65"/>
      <c r="H989" s="53"/>
      <c r="I989" s="55"/>
      <c r="J989" s="52"/>
      <c r="K989" s="56"/>
      <c r="L989" s="55"/>
      <c r="M989" s="55"/>
      <c r="N989" s="55"/>
      <c r="O989" s="55"/>
      <c r="P989" s="55"/>
      <c r="Q989" s="55"/>
      <c r="R989" s="55"/>
      <c r="S989" s="55"/>
      <c r="T989" s="55"/>
      <c r="U989" s="55"/>
      <c r="V989" s="55"/>
      <c r="W989" s="55"/>
      <c r="X989" s="55"/>
      <c r="Y989" s="55"/>
      <c r="Z989" s="55"/>
    </row>
    <row r="990" spans="1:26" ht="15">
      <c r="A990" s="49"/>
      <c r="B990" s="77"/>
      <c r="C990" s="52"/>
      <c r="D990" s="52"/>
      <c r="E990" s="53"/>
      <c r="F990" s="53"/>
      <c r="G990" s="65"/>
      <c r="H990" s="53"/>
      <c r="I990" s="55"/>
      <c r="J990" s="52"/>
      <c r="K990" s="56"/>
      <c r="L990" s="55"/>
      <c r="M990" s="55"/>
      <c r="N990" s="55"/>
      <c r="O990" s="55"/>
      <c r="P990" s="55"/>
      <c r="Q990" s="55"/>
      <c r="R990" s="55"/>
      <c r="S990" s="55"/>
      <c r="T990" s="55"/>
      <c r="U990" s="55"/>
      <c r="V990" s="55"/>
      <c r="W990" s="55"/>
      <c r="X990" s="55"/>
      <c r="Y990" s="55"/>
      <c r="Z990" s="55"/>
    </row>
    <row r="991" spans="1:26" ht="15">
      <c r="A991" s="49"/>
      <c r="B991" s="77"/>
      <c r="C991" s="52"/>
      <c r="D991" s="52"/>
      <c r="E991" s="53"/>
      <c r="F991" s="53"/>
      <c r="G991" s="65"/>
      <c r="H991" s="53"/>
      <c r="I991" s="55"/>
      <c r="J991" s="52"/>
      <c r="K991" s="56"/>
      <c r="L991" s="55"/>
      <c r="M991" s="55"/>
      <c r="N991" s="55"/>
      <c r="O991" s="55"/>
      <c r="P991" s="55"/>
      <c r="Q991" s="55"/>
      <c r="R991" s="55"/>
      <c r="S991" s="55"/>
      <c r="T991" s="55"/>
      <c r="U991" s="55"/>
      <c r="V991" s="55"/>
      <c r="W991" s="55"/>
      <c r="X991" s="55"/>
      <c r="Y991" s="55"/>
      <c r="Z991" s="55"/>
    </row>
    <row r="992" spans="1:26" ht="15">
      <c r="A992" s="49"/>
      <c r="B992" s="77"/>
      <c r="C992" s="52"/>
      <c r="D992" s="52"/>
      <c r="E992" s="53"/>
      <c r="F992" s="53"/>
      <c r="G992" s="65"/>
      <c r="H992" s="53"/>
      <c r="I992" s="55"/>
      <c r="J992" s="52"/>
      <c r="K992" s="56"/>
      <c r="L992" s="55"/>
      <c r="M992" s="55"/>
      <c r="N992" s="55"/>
      <c r="O992" s="55"/>
      <c r="P992" s="55"/>
      <c r="Q992" s="55"/>
      <c r="R992" s="55"/>
      <c r="S992" s="55"/>
      <c r="T992" s="55"/>
      <c r="U992" s="55"/>
      <c r="V992" s="55"/>
      <c r="W992" s="55"/>
      <c r="X992" s="55"/>
      <c r="Y992" s="55"/>
      <c r="Z992" s="55"/>
    </row>
    <row r="993" spans="1:26" ht="15">
      <c r="A993" s="49"/>
      <c r="B993" s="77"/>
      <c r="C993" s="52"/>
      <c r="D993" s="52"/>
      <c r="E993" s="53"/>
      <c r="F993" s="53"/>
      <c r="G993" s="65"/>
      <c r="H993" s="53"/>
      <c r="I993" s="55"/>
      <c r="J993" s="52"/>
      <c r="K993" s="56"/>
      <c r="L993" s="55"/>
      <c r="M993" s="55"/>
      <c r="N993" s="55"/>
      <c r="O993" s="55"/>
      <c r="P993" s="55"/>
      <c r="Q993" s="55"/>
      <c r="R993" s="55"/>
      <c r="S993" s="55"/>
      <c r="T993" s="55"/>
      <c r="U993" s="55"/>
      <c r="V993" s="55"/>
      <c r="W993" s="55"/>
      <c r="X993" s="55"/>
      <c r="Y993" s="55"/>
      <c r="Z993" s="55"/>
    </row>
    <row r="994" spans="1:26" ht="15">
      <c r="A994" s="49"/>
      <c r="B994" s="77"/>
      <c r="C994" s="52"/>
      <c r="D994" s="52"/>
      <c r="E994" s="53"/>
      <c r="F994" s="53"/>
      <c r="G994" s="65"/>
      <c r="H994" s="53"/>
      <c r="I994" s="55"/>
      <c r="J994" s="52"/>
      <c r="K994" s="56"/>
      <c r="L994" s="55"/>
      <c r="M994" s="55"/>
      <c r="N994" s="55"/>
      <c r="O994" s="55"/>
      <c r="P994" s="55"/>
      <c r="Q994" s="55"/>
      <c r="R994" s="55"/>
      <c r="S994" s="55"/>
      <c r="T994" s="55"/>
      <c r="U994" s="55"/>
      <c r="V994" s="55"/>
      <c r="W994" s="55"/>
      <c r="X994" s="55"/>
      <c r="Y994" s="55"/>
      <c r="Z994" s="55"/>
    </row>
  </sheetData>
  <autoFilter ref="A1:K717">
    <filterColumn colId="9">
      <filters blank="1">
        <filter val="1"/>
        <filter val="10"/>
        <filter val="100"/>
        <filter val="12"/>
        <filter val="15"/>
        <filter val="2"/>
        <filter val="20"/>
        <filter val="25"/>
        <filter val="26"/>
        <filter val="3"/>
        <filter val="30"/>
        <filter val="300"/>
        <filter val="32"/>
        <filter val="4"/>
        <filter val="5"/>
        <filter val="6"/>
        <filter val="8"/>
      </filters>
    </filterColumn>
  </autoFilter>
  <printOptions horizontalCentered="1" gridLines="1"/>
  <pageMargins left="0.7" right="0.7" top="0.75" bottom="0.75" header="0" footer="0"/>
  <pageSetup paperSize="14" fitToHeight="0" pageOrder="overThenDown" orientation="portrait" cellComments="atEnd"/>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A992"/>
  <sheetViews>
    <sheetView workbookViewId="0"/>
  </sheetViews>
  <sheetFormatPr defaultColWidth="12.5703125" defaultRowHeight="15.75" customHeight="1"/>
  <cols>
    <col min="1" max="1" width="12.85546875" customWidth="1"/>
    <col min="2" max="2" width="56.5703125" customWidth="1"/>
    <col min="3" max="3" width="7.85546875" customWidth="1"/>
  </cols>
  <sheetData>
    <row r="1" spans="1:27" ht="12.75">
      <c r="A1" s="78" t="s">
        <v>277</v>
      </c>
      <c r="B1" s="79">
        <v>45467</v>
      </c>
      <c r="C1" s="59"/>
      <c r="D1" s="59"/>
      <c r="E1" s="80">
        <f>SUM(E3:E992)</f>
        <v>225650</v>
      </c>
      <c r="F1" s="8"/>
      <c r="G1" s="8"/>
      <c r="H1" s="8"/>
      <c r="I1" s="8"/>
      <c r="J1" s="8"/>
      <c r="K1" s="8"/>
      <c r="L1" s="8"/>
      <c r="M1" s="8"/>
      <c r="N1" s="8"/>
      <c r="O1" s="8"/>
      <c r="P1" s="8"/>
      <c r="Q1" s="8"/>
      <c r="R1" s="8"/>
      <c r="S1" s="8"/>
      <c r="T1" s="8"/>
      <c r="U1" s="8"/>
      <c r="V1" s="8"/>
      <c r="W1" s="8"/>
      <c r="X1" s="8"/>
      <c r="Y1" s="8"/>
      <c r="Z1" s="8"/>
      <c r="AA1" s="8"/>
    </row>
    <row r="2" spans="1:27" ht="12.75">
      <c r="A2" s="8"/>
      <c r="B2" s="81" t="s">
        <v>80</v>
      </c>
      <c r="C2" s="81" t="s">
        <v>278</v>
      </c>
      <c r="D2" s="81" t="s">
        <v>86</v>
      </c>
      <c r="E2" s="81" t="s">
        <v>279</v>
      </c>
      <c r="F2" s="8" t="s">
        <v>280</v>
      </c>
      <c r="G2" s="8"/>
      <c r="H2" s="8"/>
      <c r="I2" s="8"/>
      <c r="J2" s="8"/>
      <c r="K2" s="8"/>
      <c r="L2" s="8"/>
      <c r="M2" s="8"/>
      <c r="N2" s="8"/>
      <c r="O2" s="8"/>
      <c r="P2" s="8"/>
      <c r="Q2" s="8"/>
      <c r="R2" s="8"/>
      <c r="S2" s="8"/>
      <c r="T2" s="8"/>
      <c r="U2" s="8"/>
      <c r="V2" s="8"/>
      <c r="W2" s="8"/>
      <c r="X2" s="8"/>
      <c r="Y2" s="8"/>
      <c r="Z2" s="8"/>
      <c r="AA2" s="8"/>
    </row>
    <row r="3" spans="1:27" ht="12.75">
      <c r="A3" s="8">
        <v>1</v>
      </c>
      <c r="B3" s="82" t="s">
        <v>281</v>
      </c>
      <c r="C3" s="59">
        <v>10</v>
      </c>
      <c r="D3" s="59">
        <v>15750</v>
      </c>
      <c r="E3" s="59">
        <f t="shared" ref="E3:E50" si="0">C3*D3</f>
        <v>157500</v>
      </c>
      <c r="F3" s="8" t="s">
        <v>282</v>
      </c>
      <c r="G3" s="8"/>
      <c r="H3" s="8"/>
      <c r="I3" s="8"/>
      <c r="J3" s="8"/>
      <c r="K3" s="8"/>
      <c r="L3" s="8"/>
      <c r="M3" s="8"/>
      <c r="N3" s="8"/>
      <c r="O3" s="8"/>
      <c r="P3" s="8"/>
      <c r="Q3" s="8"/>
      <c r="R3" s="8"/>
      <c r="S3" s="8"/>
      <c r="T3" s="8"/>
      <c r="U3" s="8"/>
      <c r="V3" s="8"/>
      <c r="W3" s="8"/>
      <c r="X3" s="8"/>
      <c r="Y3" s="8"/>
      <c r="Z3" s="8"/>
      <c r="AA3" s="8"/>
    </row>
    <row r="4" spans="1:27" ht="12.75">
      <c r="A4" s="8">
        <v>2</v>
      </c>
      <c r="B4" s="82" t="s">
        <v>283</v>
      </c>
      <c r="C4" s="59">
        <v>6</v>
      </c>
      <c r="D4" s="59">
        <v>7500</v>
      </c>
      <c r="E4" s="59">
        <f t="shared" si="0"/>
        <v>45000</v>
      </c>
      <c r="F4" s="8" t="s">
        <v>282</v>
      </c>
      <c r="G4" s="8"/>
      <c r="H4" s="8"/>
      <c r="I4" s="8"/>
      <c r="J4" s="8"/>
      <c r="K4" s="8"/>
      <c r="L4" s="8"/>
      <c r="M4" s="8"/>
      <c r="N4" s="8"/>
      <c r="O4" s="8"/>
      <c r="P4" s="8"/>
      <c r="Q4" s="8"/>
      <c r="R4" s="8"/>
      <c r="S4" s="8"/>
      <c r="T4" s="8"/>
      <c r="U4" s="8"/>
      <c r="V4" s="8"/>
      <c r="W4" s="8"/>
      <c r="X4" s="8"/>
      <c r="Y4" s="8"/>
      <c r="Z4" s="8"/>
      <c r="AA4" s="8"/>
    </row>
    <row r="5" spans="1:27" ht="12.75">
      <c r="A5" s="8">
        <v>3</v>
      </c>
      <c r="B5" s="82" t="s">
        <v>284</v>
      </c>
      <c r="C5" s="59">
        <v>2</v>
      </c>
      <c r="D5" s="59">
        <v>3200</v>
      </c>
      <c r="E5" s="59">
        <f t="shared" si="0"/>
        <v>6400</v>
      </c>
      <c r="F5" s="8" t="s">
        <v>282</v>
      </c>
      <c r="G5" s="8"/>
      <c r="H5" s="8"/>
      <c r="I5" s="8"/>
      <c r="J5" s="8"/>
      <c r="K5" s="8"/>
      <c r="L5" s="8"/>
      <c r="M5" s="8"/>
      <c r="N5" s="8"/>
      <c r="O5" s="8"/>
      <c r="P5" s="8"/>
      <c r="Q5" s="8"/>
      <c r="R5" s="8"/>
      <c r="S5" s="8"/>
      <c r="T5" s="8"/>
      <c r="U5" s="8"/>
      <c r="V5" s="8"/>
      <c r="W5" s="8"/>
      <c r="X5" s="8"/>
      <c r="Y5" s="8"/>
      <c r="Z5" s="8"/>
      <c r="AA5" s="8"/>
    </row>
    <row r="6" spans="1:27" ht="41.25" customHeight="1">
      <c r="A6" s="8">
        <v>4</v>
      </c>
      <c r="B6" s="83" t="s">
        <v>285</v>
      </c>
      <c r="C6" s="59">
        <v>100</v>
      </c>
      <c r="D6" s="59">
        <v>70</v>
      </c>
      <c r="E6" s="59">
        <f t="shared" si="0"/>
        <v>7000</v>
      </c>
      <c r="F6" s="8" t="s">
        <v>282</v>
      </c>
      <c r="G6" s="8"/>
      <c r="H6" s="8"/>
      <c r="I6" s="8"/>
      <c r="J6" s="8"/>
      <c r="K6" s="8"/>
      <c r="L6" s="8"/>
      <c r="M6" s="8"/>
      <c r="N6" s="8"/>
      <c r="O6" s="8"/>
      <c r="P6" s="8"/>
      <c r="Q6" s="8"/>
      <c r="R6" s="8"/>
      <c r="S6" s="8"/>
      <c r="T6" s="8"/>
      <c r="U6" s="8"/>
      <c r="V6" s="8"/>
      <c r="W6" s="8"/>
      <c r="X6" s="8"/>
      <c r="Y6" s="8"/>
      <c r="Z6" s="8"/>
      <c r="AA6" s="8"/>
    </row>
    <row r="7" spans="1:27" ht="63.75">
      <c r="A7" s="8">
        <v>5</v>
      </c>
      <c r="B7" s="83" t="s">
        <v>286</v>
      </c>
      <c r="C7" s="59">
        <v>195</v>
      </c>
      <c r="D7" s="59">
        <v>50</v>
      </c>
      <c r="E7" s="59">
        <f t="shared" si="0"/>
        <v>9750</v>
      </c>
      <c r="F7" s="8" t="s">
        <v>282</v>
      </c>
      <c r="G7" s="8"/>
      <c r="H7" s="8"/>
      <c r="I7" s="8"/>
      <c r="J7" s="8"/>
      <c r="K7" s="8"/>
      <c r="L7" s="8"/>
      <c r="M7" s="8"/>
      <c r="N7" s="8"/>
      <c r="O7" s="8"/>
      <c r="P7" s="8"/>
      <c r="Q7" s="8"/>
      <c r="R7" s="8"/>
      <c r="S7" s="8"/>
      <c r="T7" s="8"/>
      <c r="U7" s="8"/>
      <c r="V7" s="8"/>
      <c r="W7" s="8"/>
      <c r="X7" s="8"/>
      <c r="Y7" s="8"/>
      <c r="Z7" s="8"/>
      <c r="AA7" s="8"/>
    </row>
    <row r="8" spans="1:27" ht="12.75">
      <c r="A8" s="8">
        <v>6</v>
      </c>
      <c r="B8" s="83"/>
      <c r="C8" s="59"/>
      <c r="D8" s="59"/>
      <c r="E8" s="59">
        <f t="shared" si="0"/>
        <v>0</v>
      </c>
      <c r="F8" s="8"/>
      <c r="G8" s="8"/>
      <c r="H8" s="8"/>
      <c r="I8" s="8"/>
      <c r="J8" s="8"/>
      <c r="K8" s="8"/>
      <c r="L8" s="8"/>
      <c r="M8" s="8"/>
      <c r="N8" s="8"/>
      <c r="O8" s="8"/>
      <c r="P8" s="8"/>
      <c r="Q8" s="8"/>
      <c r="R8" s="8"/>
      <c r="S8" s="8"/>
      <c r="T8" s="8"/>
      <c r="U8" s="8"/>
      <c r="V8" s="8"/>
      <c r="W8" s="8"/>
      <c r="X8" s="8"/>
      <c r="Y8" s="8"/>
      <c r="Z8" s="8"/>
      <c r="AA8" s="8"/>
    </row>
    <row r="9" spans="1:27" ht="12.75">
      <c r="A9" s="8">
        <v>7</v>
      </c>
      <c r="B9" s="84"/>
      <c r="C9" s="59"/>
      <c r="D9" s="59"/>
      <c r="E9" s="59">
        <f t="shared" si="0"/>
        <v>0</v>
      </c>
      <c r="F9" s="8"/>
      <c r="G9" s="8"/>
      <c r="H9" s="8"/>
      <c r="I9" s="8"/>
      <c r="J9" s="8"/>
      <c r="K9" s="8"/>
      <c r="L9" s="8"/>
      <c r="M9" s="8"/>
      <c r="N9" s="8"/>
      <c r="O9" s="8"/>
      <c r="P9" s="8"/>
      <c r="Q9" s="8"/>
      <c r="R9" s="8"/>
      <c r="S9" s="8"/>
      <c r="T9" s="8"/>
      <c r="U9" s="8"/>
      <c r="V9" s="8"/>
      <c r="W9" s="8"/>
      <c r="X9" s="8"/>
      <c r="Y9" s="8"/>
      <c r="Z9" s="8"/>
      <c r="AA9" s="8"/>
    </row>
    <row r="10" spans="1:27" ht="12.75">
      <c r="A10" s="8">
        <v>8</v>
      </c>
      <c r="B10" s="84"/>
      <c r="C10" s="59"/>
      <c r="D10" s="59"/>
      <c r="E10" s="59">
        <f t="shared" si="0"/>
        <v>0</v>
      </c>
      <c r="F10" s="8"/>
      <c r="G10" s="8"/>
      <c r="H10" s="8"/>
      <c r="I10" s="8"/>
      <c r="J10" s="8"/>
      <c r="K10" s="8"/>
      <c r="L10" s="8"/>
      <c r="M10" s="8"/>
      <c r="N10" s="8"/>
      <c r="O10" s="8"/>
      <c r="P10" s="8"/>
      <c r="Q10" s="8"/>
      <c r="R10" s="8"/>
      <c r="S10" s="8"/>
      <c r="T10" s="8"/>
      <c r="U10" s="8"/>
      <c r="V10" s="8"/>
      <c r="W10" s="8"/>
      <c r="X10" s="8"/>
      <c r="Y10" s="8"/>
      <c r="Z10" s="8"/>
      <c r="AA10" s="8"/>
    </row>
    <row r="11" spans="1:27" ht="12.75">
      <c r="A11" s="8">
        <v>9</v>
      </c>
      <c r="B11" s="84"/>
      <c r="C11" s="59"/>
      <c r="D11" s="59"/>
      <c r="E11" s="59">
        <f t="shared" si="0"/>
        <v>0</v>
      </c>
      <c r="F11" s="8"/>
      <c r="G11" s="8"/>
      <c r="H11" s="8"/>
      <c r="I11" s="8"/>
      <c r="J11" s="8"/>
      <c r="K11" s="8"/>
      <c r="L11" s="8"/>
      <c r="M11" s="8"/>
      <c r="N11" s="8"/>
      <c r="O11" s="8"/>
      <c r="P11" s="8"/>
      <c r="Q11" s="8"/>
      <c r="R11" s="8"/>
      <c r="S11" s="8"/>
      <c r="T11" s="8"/>
      <c r="U11" s="8"/>
      <c r="V11" s="8"/>
      <c r="W11" s="8"/>
      <c r="X11" s="8"/>
      <c r="Y11" s="8"/>
      <c r="Z11" s="8"/>
      <c r="AA11" s="8"/>
    </row>
    <row r="12" spans="1:27" ht="12.75">
      <c r="A12" s="8">
        <v>10</v>
      </c>
      <c r="B12" s="84"/>
      <c r="C12" s="59"/>
      <c r="D12" s="59"/>
      <c r="E12" s="59">
        <f t="shared" si="0"/>
        <v>0</v>
      </c>
      <c r="F12" s="8"/>
      <c r="G12" s="8"/>
      <c r="H12" s="8"/>
      <c r="I12" s="8"/>
      <c r="J12" s="8"/>
      <c r="K12" s="8"/>
      <c r="L12" s="8"/>
      <c r="M12" s="8"/>
      <c r="N12" s="8"/>
      <c r="O12" s="8"/>
      <c r="P12" s="8"/>
      <c r="Q12" s="8"/>
      <c r="R12" s="8"/>
      <c r="S12" s="8"/>
      <c r="T12" s="8"/>
      <c r="U12" s="8"/>
      <c r="V12" s="8"/>
      <c r="W12" s="8"/>
      <c r="X12" s="8"/>
      <c r="Y12" s="8"/>
      <c r="Z12" s="8"/>
      <c r="AA12" s="8"/>
    </row>
    <row r="13" spans="1:27" ht="12.75">
      <c r="A13" s="8">
        <v>11</v>
      </c>
      <c r="B13" s="84"/>
      <c r="C13" s="59"/>
      <c r="D13" s="59"/>
      <c r="E13" s="59">
        <f t="shared" si="0"/>
        <v>0</v>
      </c>
      <c r="F13" s="8"/>
      <c r="G13" s="8"/>
      <c r="H13" s="8"/>
      <c r="I13" s="8"/>
      <c r="J13" s="8"/>
      <c r="K13" s="8"/>
      <c r="L13" s="8"/>
      <c r="M13" s="8"/>
      <c r="N13" s="8"/>
      <c r="O13" s="8"/>
      <c r="P13" s="8"/>
      <c r="Q13" s="8"/>
      <c r="R13" s="8"/>
      <c r="S13" s="8"/>
      <c r="T13" s="8"/>
      <c r="U13" s="8"/>
      <c r="V13" s="8"/>
      <c r="W13" s="8"/>
      <c r="X13" s="8"/>
      <c r="Y13" s="8"/>
      <c r="Z13" s="8"/>
      <c r="AA13" s="8"/>
    </row>
    <row r="14" spans="1:27" ht="12.75">
      <c r="A14" s="8">
        <v>12</v>
      </c>
      <c r="B14" s="84"/>
      <c r="C14" s="59"/>
      <c r="D14" s="59"/>
      <c r="E14" s="59">
        <f t="shared" si="0"/>
        <v>0</v>
      </c>
      <c r="F14" s="8"/>
      <c r="G14" s="8"/>
      <c r="H14" s="8"/>
      <c r="I14" s="8"/>
      <c r="J14" s="8"/>
      <c r="K14" s="8"/>
      <c r="L14" s="8"/>
      <c r="M14" s="8"/>
      <c r="N14" s="8"/>
      <c r="O14" s="8"/>
      <c r="P14" s="8"/>
      <c r="Q14" s="8"/>
      <c r="R14" s="8"/>
      <c r="S14" s="8"/>
      <c r="T14" s="8"/>
      <c r="U14" s="8"/>
      <c r="V14" s="8"/>
      <c r="W14" s="8"/>
      <c r="X14" s="8"/>
      <c r="Y14" s="8"/>
      <c r="Z14" s="8"/>
      <c r="AA14" s="8"/>
    </row>
    <row r="15" spans="1:27" ht="12.75">
      <c r="A15" s="8">
        <v>13</v>
      </c>
      <c r="C15" s="59"/>
      <c r="D15" s="59"/>
      <c r="E15" s="59">
        <f t="shared" si="0"/>
        <v>0</v>
      </c>
      <c r="F15" s="8"/>
      <c r="G15" s="8"/>
      <c r="H15" s="8"/>
      <c r="I15" s="8"/>
      <c r="J15" s="8"/>
      <c r="K15" s="8"/>
      <c r="L15" s="8"/>
      <c r="M15" s="8"/>
      <c r="N15" s="8"/>
      <c r="O15" s="8"/>
      <c r="P15" s="8"/>
      <c r="Q15" s="8"/>
      <c r="R15" s="8"/>
      <c r="S15" s="8"/>
      <c r="T15" s="8"/>
      <c r="U15" s="8"/>
      <c r="V15" s="8"/>
      <c r="W15" s="8"/>
      <c r="X15" s="8"/>
      <c r="Y15" s="8"/>
      <c r="Z15" s="8"/>
      <c r="AA15" s="8"/>
    </row>
    <row r="16" spans="1:27" ht="12.75">
      <c r="A16" s="8">
        <v>14</v>
      </c>
      <c r="B16" s="84"/>
      <c r="C16" s="59"/>
      <c r="D16" s="59"/>
      <c r="E16" s="59">
        <f t="shared" si="0"/>
        <v>0</v>
      </c>
      <c r="F16" s="8"/>
      <c r="G16" s="8"/>
      <c r="H16" s="8"/>
      <c r="I16" s="8"/>
      <c r="J16" s="8"/>
      <c r="K16" s="8"/>
      <c r="L16" s="8"/>
      <c r="M16" s="8"/>
      <c r="N16" s="8"/>
      <c r="O16" s="8"/>
      <c r="P16" s="8"/>
      <c r="Q16" s="8"/>
      <c r="R16" s="8"/>
      <c r="S16" s="8"/>
      <c r="T16" s="8"/>
      <c r="U16" s="8"/>
      <c r="V16" s="8"/>
      <c r="W16" s="8"/>
      <c r="X16" s="8"/>
      <c r="Y16" s="8"/>
      <c r="Z16" s="8"/>
      <c r="AA16" s="8"/>
    </row>
    <row r="17" spans="1:27" ht="12.75">
      <c r="A17" s="8">
        <v>15</v>
      </c>
      <c r="B17" s="84"/>
      <c r="C17" s="59"/>
      <c r="D17" s="59"/>
      <c r="E17" s="59">
        <f t="shared" si="0"/>
        <v>0</v>
      </c>
      <c r="F17" s="8"/>
      <c r="G17" s="8"/>
      <c r="H17" s="8"/>
      <c r="I17" s="8"/>
      <c r="J17" s="8"/>
      <c r="K17" s="8"/>
      <c r="L17" s="8"/>
      <c r="M17" s="8"/>
      <c r="N17" s="8"/>
      <c r="O17" s="8"/>
      <c r="P17" s="8"/>
      <c r="Q17" s="8"/>
      <c r="R17" s="8"/>
      <c r="S17" s="8"/>
      <c r="T17" s="8"/>
      <c r="U17" s="8"/>
      <c r="V17" s="8"/>
      <c r="W17" s="8"/>
      <c r="X17" s="8"/>
      <c r="Y17" s="8"/>
      <c r="Z17" s="8"/>
      <c r="AA17" s="8"/>
    </row>
    <row r="18" spans="1:27" ht="12.75">
      <c r="A18" s="8">
        <v>16</v>
      </c>
      <c r="B18" s="85"/>
      <c r="C18" s="59"/>
      <c r="D18" s="86"/>
      <c r="E18" s="59">
        <f t="shared" si="0"/>
        <v>0</v>
      </c>
      <c r="F18" s="8"/>
      <c r="G18" s="8"/>
      <c r="H18" s="8"/>
      <c r="I18" s="8"/>
      <c r="J18" s="8"/>
      <c r="K18" s="8"/>
      <c r="L18" s="8"/>
      <c r="M18" s="8"/>
      <c r="N18" s="8"/>
      <c r="O18" s="8"/>
      <c r="P18" s="8"/>
      <c r="Q18" s="8"/>
      <c r="R18" s="8"/>
      <c r="S18" s="8"/>
      <c r="T18" s="8"/>
      <c r="U18" s="8"/>
      <c r="V18" s="8"/>
      <c r="W18" s="8"/>
      <c r="X18" s="8"/>
      <c r="Y18" s="8"/>
      <c r="Z18" s="8"/>
      <c r="AA18" s="8"/>
    </row>
    <row r="19" spans="1:27" ht="12.75">
      <c r="A19" s="8">
        <v>17</v>
      </c>
      <c r="B19" s="85"/>
      <c r="C19" s="59"/>
      <c r="D19" s="86"/>
      <c r="E19" s="59">
        <f t="shared" si="0"/>
        <v>0</v>
      </c>
      <c r="F19" s="8"/>
      <c r="G19" s="8"/>
      <c r="H19" s="8"/>
      <c r="I19" s="8"/>
      <c r="J19" s="8"/>
      <c r="K19" s="8"/>
      <c r="L19" s="8"/>
      <c r="M19" s="8"/>
      <c r="N19" s="8"/>
      <c r="O19" s="8"/>
      <c r="P19" s="8"/>
      <c r="Q19" s="8"/>
      <c r="R19" s="8"/>
      <c r="S19" s="8"/>
      <c r="T19" s="8"/>
      <c r="U19" s="8"/>
      <c r="V19" s="8"/>
      <c r="W19" s="8"/>
      <c r="X19" s="8"/>
      <c r="Y19" s="8"/>
      <c r="Z19" s="8"/>
      <c r="AA19" s="8"/>
    </row>
    <row r="20" spans="1:27" ht="12.75">
      <c r="A20" s="8">
        <v>18</v>
      </c>
      <c r="B20" s="85"/>
      <c r="C20" s="59"/>
      <c r="D20" s="86"/>
      <c r="E20" s="59">
        <f t="shared" si="0"/>
        <v>0</v>
      </c>
      <c r="F20" s="8"/>
      <c r="G20" s="8"/>
      <c r="H20" s="8"/>
      <c r="I20" s="8"/>
      <c r="J20" s="8"/>
      <c r="K20" s="8"/>
      <c r="L20" s="8"/>
      <c r="M20" s="8"/>
      <c r="N20" s="8"/>
      <c r="O20" s="8"/>
      <c r="P20" s="8"/>
      <c r="Q20" s="8"/>
      <c r="R20" s="8"/>
      <c r="S20" s="8"/>
      <c r="T20" s="8"/>
      <c r="U20" s="8"/>
      <c r="V20" s="8"/>
      <c r="W20" s="8"/>
      <c r="X20" s="8"/>
      <c r="Y20" s="8"/>
      <c r="Z20" s="8"/>
      <c r="AA20" s="8"/>
    </row>
    <row r="21" spans="1:27" ht="12.75">
      <c r="A21" s="8">
        <v>19</v>
      </c>
      <c r="B21" s="85"/>
      <c r="C21" s="59"/>
      <c r="D21" s="86"/>
      <c r="E21" s="59">
        <f t="shared" si="0"/>
        <v>0</v>
      </c>
      <c r="F21" s="8"/>
      <c r="G21" s="8"/>
      <c r="H21" s="8"/>
      <c r="I21" s="8"/>
      <c r="J21" s="8"/>
      <c r="K21" s="8"/>
      <c r="L21" s="8"/>
      <c r="M21" s="8"/>
      <c r="N21" s="8"/>
      <c r="O21" s="8"/>
      <c r="P21" s="8"/>
      <c r="Q21" s="8"/>
      <c r="R21" s="8"/>
      <c r="S21" s="8"/>
      <c r="T21" s="8"/>
      <c r="U21" s="8"/>
      <c r="V21" s="8"/>
      <c r="W21" s="8"/>
      <c r="X21" s="8"/>
      <c r="Y21" s="8"/>
      <c r="Z21" s="8"/>
      <c r="AA21" s="8"/>
    </row>
    <row r="22" spans="1:27" ht="12.75">
      <c r="A22" s="8">
        <v>20</v>
      </c>
      <c r="B22" s="85"/>
      <c r="C22" s="59"/>
      <c r="D22" s="86"/>
      <c r="E22" s="59">
        <f t="shared" si="0"/>
        <v>0</v>
      </c>
      <c r="F22" s="8"/>
      <c r="G22" s="8"/>
      <c r="H22" s="8"/>
      <c r="I22" s="8"/>
      <c r="J22" s="8"/>
      <c r="K22" s="8"/>
      <c r="L22" s="8"/>
      <c r="M22" s="8"/>
      <c r="N22" s="8"/>
      <c r="O22" s="8"/>
      <c r="P22" s="8"/>
      <c r="Q22" s="8"/>
      <c r="R22" s="8"/>
      <c r="S22" s="8"/>
      <c r="T22" s="8"/>
      <c r="U22" s="8"/>
      <c r="V22" s="8"/>
      <c r="W22" s="8"/>
      <c r="X22" s="8"/>
      <c r="Y22" s="8"/>
      <c r="Z22" s="8"/>
      <c r="AA22" s="8"/>
    </row>
    <row r="23" spans="1:27" ht="12.75">
      <c r="A23" s="8">
        <v>21</v>
      </c>
      <c r="B23" s="85"/>
      <c r="C23" s="59"/>
      <c r="D23" s="86"/>
      <c r="E23" s="59">
        <f t="shared" si="0"/>
        <v>0</v>
      </c>
      <c r="F23" s="8"/>
      <c r="G23" s="8"/>
      <c r="H23" s="8"/>
      <c r="I23" s="8"/>
      <c r="J23" s="8"/>
      <c r="K23" s="8"/>
      <c r="L23" s="8"/>
      <c r="M23" s="8"/>
      <c r="N23" s="8"/>
      <c r="O23" s="8"/>
      <c r="P23" s="8"/>
      <c r="Q23" s="8"/>
      <c r="R23" s="8"/>
      <c r="S23" s="8"/>
      <c r="T23" s="8"/>
      <c r="U23" s="8"/>
      <c r="V23" s="8"/>
      <c r="W23" s="8"/>
      <c r="X23" s="8"/>
      <c r="Y23" s="8"/>
      <c r="Z23" s="8"/>
      <c r="AA23" s="8"/>
    </row>
    <row r="24" spans="1:27" ht="12.75">
      <c r="A24" s="8">
        <v>22</v>
      </c>
      <c r="B24" s="85"/>
      <c r="C24" s="59"/>
      <c r="D24" s="86"/>
      <c r="E24" s="59">
        <f t="shared" si="0"/>
        <v>0</v>
      </c>
      <c r="F24" s="8"/>
      <c r="G24" s="8"/>
      <c r="H24" s="8"/>
      <c r="I24" s="8"/>
      <c r="J24" s="8"/>
      <c r="K24" s="8"/>
      <c r="L24" s="8"/>
      <c r="M24" s="8"/>
      <c r="N24" s="8"/>
      <c r="O24" s="8"/>
      <c r="P24" s="8"/>
      <c r="Q24" s="8"/>
      <c r="R24" s="8"/>
      <c r="S24" s="8"/>
      <c r="T24" s="8"/>
      <c r="U24" s="8"/>
      <c r="V24" s="8"/>
      <c r="W24" s="8"/>
      <c r="X24" s="8"/>
      <c r="Y24" s="8"/>
      <c r="Z24" s="8"/>
      <c r="AA24" s="8"/>
    </row>
    <row r="25" spans="1:27" ht="12.75">
      <c r="A25" s="8">
        <v>23</v>
      </c>
      <c r="B25" s="85"/>
      <c r="C25" s="59"/>
      <c r="D25" s="86"/>
      <c r="E25" s="59">
        <f t="shared" si="0"/>
        <v>0</v>
      </c>
      <c r="F25" s="8"/>
      <c r="G25" s="8"/>
      <c r="H25" s="8"/>
      <c r="I25" s="8"/>
      <c r="J25" s="8"/>
      <c r="K25" s="8"/>
      <c r="L25" s="8"/>
      <c r="M25" s="8"/>
      <c r="N25" s="8"/>
      <c r="O25" s="8"/>
      <c r="P25" s="8"/>
      <c r="Q25" s="8"/>
      <c r="R25" s="8"/>
      <c r="S25" s="8"/>
      <c r="T25" s="8"/>
      <c r="U25" s="8"/>
      <c r="V25" s="8"/>
      <c r="W25" s="8"/>
      <c r="X25" s="8"/>
      <c r="Y25" s="8"/>
      <c r="Z25" s="8"/>
      <c r="AA25" s="8"/>
    </row>
    <row r="26" spans="1:27" ht="12.75">
      <c r="A26" s="8">
        <v>24</v>
      </c>
      <c r="B26" s="85"/>
      <c r="C26" s="59"/>
      <c r="D26" s="86"/>
      <c r="E26" s="59">
        <f t="shared" si="0"/>
        <v>0</v>
      </c>
      <c r="F26" s="8"/>
      <c r="G26" s="8"/>
      <c r="H26" s="8"/>
      <c r="I26" s="8"/>
      <c r="J26" s="8"/>
      <c r="K26" s="8"/>
      <c r="L26" s="8"/>
      <c r="M26" s="8"/>
      <c r="N26" s="8"/>
      <c r="O26" s="8"/>
      <c r="P26" s="8"/>
      <c r="Q26" s="8"/>
      <c r="R26" s="8"/>
      <c r="S26" s="8"/>
      <c r="T26" s="8"/>
      <c r="U26" s="8"/>
      <c r="V26" s="8"/>
      <c r="W26" s="8"/>
      <c r="X26" s="8"/>
      <c r="Y26" s="8"/>
      <c r="Z26" s="8"/>
      <c r="AA26" s="8"/>
    </row>
    <row r="27" spans="1:27" ht="12.75">
      <c r="A27" s="8">
        <v>25</v>
      </c>
      <c r="B27" s="82"/>
      <c r="C27" s="59"/>
      <c r="D27" s="86"/>
      <c r="E27" s="59">
        <f t="shared" si="0"/>
        <v>0</v>
      </c>
      <c r="F27" s="8"/>
      <c r="G27" s="8"/>
      <c r="H27" s="8"/>
      <c r="I27" s="8"/>
      <c r="J27" s="8"/>
      <c r="K27" s="8"/>
      <c r="L27" s="8"/>
      <c r="M27" s="8"/>
      <c r="N27" s="8"/>
      <c r="O27" s="8"/>
      <c r="P27" s="8"/>
      <c r="Q27" s="8"/>
      <c r="R27" s="8"/>
      <c r="S27" s="8"/>
      <c r="T27" s="8"/>
      <c r="U27" s="8"/>
      <c r="V27" s="8"/>
      <c r="W27" s="8"/>
      <c r="X27" s="8"/>
      <c r="Y27" s="8"/>
      <c r="Z27" s="8"/>
      <c r="AA27" s="8"/>
    </row>
    <row r="28" spans="1:27" ht="12.75">
      <c r="A28" s="8">
        <v>26</v>
      </c>
      <c r="B28" s="82"/>
      <c r="C28" s="59"/>
      <c r="D28" s="86"/>
      <c r="E28" s="59">
        <f t="shared" si="0"/>
        <v>0</v>
      </c>
      <c r="F28" s="8"/>
      <c r="G28" s="8"/>
      <c r="H28" s="8"/>
      <c r="I28" s="8"/>
      <c r="J28" s="8"/>
      <c r="K28" s="8"/>
      <c r="L28" s="8"/>
      <c r="M28" s="8"/>
      <c r="N28" s="8"/>
      <c r="O28" s="8"/>
      <c r="P28" s="8"/>
      <c r="Q28" s="8"/>
      <c r="R28" s="8"/>
      <c r="S28" s="8"/>
      <c r="T28" s="8"/>
      <c r="U28" s="8"/>
      <c r="V28" s="8"/>
      <c r="W28" s="8"/>
      <c r="X28" s="8"/>
      <c r="Y28" s="8"/>
      <c r="Z28" s="8"/>
      <c r="AA28" s="8"/>
    </row>
    <row r="29" spans="1:27" ht="12.75">
      <c r="A29" s="8">
        <v>27</v>
      </c>
      <c r="B29" s="82"/>
      <c r="C29" s="59"/>
      <c r="D29" s="86"/>
      <c r="E29" s="59">
        <f t="shared" si="0"/>
        <v>0</v>
      </c>
      <c r="F29" s="8"/>
      <c r="G29" s="8"/>
      <c r="H29" s="8"/>
      <c r="I29" s="8"/>
      <c r="J29" s="8"/>
      <c r="K29" s="8"/>
      <c r="L29" s="8"/>
      <c r="M29" s="8"/>
      <c r="N29" s="8"/>
      <c r="O29" s="8"/>
      <c r="P29" s="8"/>
      <c r="Q29" s="8"/>
      <c r="R29" s="8"/>
      <c r="S29" s="8"/>
      <c r="T29" s="8"/>
      <c r="U29" s="8"/>
      <c r="V29" s="8"/>
      <c r="W29" s="8"/>
      <c r="X29" s="8"/>
      <c r="Y29" s="8"/>
      <c r="Z29" s="8"/>
      <c r="AA29" s="8"/>
    </row>
    <row r="30" spans="1:27" ht="12.75">
      <c r="A30" s="8">
        <v>28</v>
      </c>
      <c r="B30" s="82"/>
      <c r="C30" s="59"/>
      <c r="D30" s="86"/>
      <c r="E30" s="59">
        <f t="shared" si="0"/>
        <v>0</v>
      </c>
      <c r="F30" s="8"/>
      <c r="G30" s="8"/>
      <c r="H30" s="8"/>
      <c r="I30" s="8"/>
      <c r="J30" s="8"/>
      <c r="K30" s="8"/>
      <c r="L30" s="8"/>
      <c r="M30" s="8"/>
      <c r="N30" s="8"/>
      <c r="O30" s="8"/>
      <c r="P30" s="8"/>
      <c r="Q30" s="8"/>
      <c r="R30" s="8"/>
      <c r="S30" s="8"/>
      <c r="T30" s="8"/>
      <c r="U30" s="8"/>
      <c r="V30" s="8"/>
      <c r="W30" s="8"/>
      <c r="X30" s="8"/>
      <c r="Y30" s="8"/>
      <c r="Z30" s="8"/>
      <c r="AA30" s="8"/>
    </row>
    <row r="31" spans="1:27" ht="12.75">
      <c r="A31" s="8">
        <v>29</v>
      </c>
      <c r="B31" s="82"/>
      <c r="C31" s="59"/>
      <c r="D31" s="86"/>
      <c r="E31" s="59">
        <f t="shared" si="0"/>
        <v>0</v>
      </c>
      <c r="F31" s="8"/>
      <c r="G31" s="8"/>
      <c r="H31" s="8"/>
      <c r="I31" s="8"/>
      <c r="J31" s="8"/>
      <c r="K31" s="8"/>
      <c r="L31" s="8"/>
      <c r="M31" s="8"/>
      <c r="N31" s="8"/>
      <c r="O31" s="8"/>
      <c r="P31" s="8"/>
      <c r="Q31" s="8"/>
      <c r="R31" s="8"/>
      <c r="S31" s="8"/>
      <c r="T31" s="8"/>
      <c r="U31" s="8"/>
      <c r="V31" s="8"/>
      <c r="W31" s="8"/>
      <c r="X31" s="8"/>
      <c r="Y31" s="8"/>
      <c r="Z31" s="8"/>
      <c r="AA31" s="8"/>
    </row>
    <row r="32" spans="1:27" ht="12.75">
      <c r="A32" s="8">
        <v>30</v>
      </c>
      <c r="B32" s="82"/>
      <c r="C32" s="59"/>
      <c r="D32" s="86"/>
      <c r="E32" s="59">
        <f t="shared" si="0"/>
        <v>0</v>
      </c>
      <c r="F32" s="8"/>
      <c r="G32" s="8"/>
      <c r="H32" s="8"/>
      <c r="I32" s="8"/>
      <c r="J32" s="8"/>
      <c r="K32" s="8"/>
      <c r="L32" s="8"/>
      <c r="M32" s="8"/>
      <c r="N32" s="8"/>
      <c r="O32" s="8"/>
      <c r="P32" s="8"/>
      <c r="Q32" s="8"/>
      <c r="R32" s="8"/>
      <c r="S32" s="8"/>
      <c r="T32" s="8"/>
      <c r="U32" s="8"/>
      <c r="V32" s="8"/>
      <c r="W32" s="8"/>
      <c r="X32" s="8"/>
      <c r="Y32" s="8"/>
      <c r="Z32" s="8"/>
      <c r="AA32" s="8"/>
    </row>
    <row r="33" spans="1:27" ht="12.75">
      <c r="A33" s="8">
        <v>31</v>
      </c>
      <c r="B33" s="82"/>
      <c r="C33" s="59"/>
      <c r="D33" s="86"/>
      <c r="E33" s="59">
        <f t="shared" si="0"/>
        <v>0</v>
      </c>
      <c r="F33" s="8"/>
      <c r="G33" s="8"/>
      <c r="H33" s="8"/>
      <c r="I33" s="8"/>
      <c r="J33" s="8"/>
      <c r="K33" s="8"/>
      <c r="L33" s="8"/>
      <c r="M33" s="8"/>
      <c r="N33" s="8"/>
      <c r="O33" s="8"/>
      <c r="P33" s="8"/>
      <c r="Q33" s="8"/>
      <c r="R33" s="8"/>
      <c r="S33" s="8"/>
      <c r="T33" s="8"/>
      <c r="U33" s="8"/>
      <c r="V33" s="8"/>
      <c r="W33" s="8"/>
      <c r="X33" s="8"/>
      <c r="Y33" s="8"/>
      <c r="Z33" s="8"/>
      <c r="AA33" s="8"/>
    </row>
    <row r="34" spans="1:27" ht="12.75">
      <c r="A34" s="8">
        <v>32</v>
      </c>
      <c r="B34" s="82"/>
      <c r="C34" s="59"/>
      <c r="D34" s="86"/>
      <c r="E34" s="59">
        <f t="shared" si="0"/>
        <v>0</v>
      </c>
      <c r="F34" s="8"/>
      <c r="G34" s="8"/>
      <c r="H34" s="8"/>
      <c r="I34" s="8"/>
      <c r="J34" s="8"/>
      <c r="K34" s="8"/>
      <c r="L34" s="8"/>
      <c r="M34" s="8"/>
      <c r="N34" s="8"/>
      <c r="O34" s="8"/>
      <c r="P34" s="8"/>
      <c r="Q34" s="8"/>
      <c r="R34" s="8"/>
      <c r="S34" s="8"/>
      <c r="T34" s="8"/>
      <c r="U34" s="8"/>
      <c r="V34" s="8"/>
      <c r="W34" s="8"/>
      <c r="X34" s="8"/>
      <c r="Y34" s="8"/>
      <c r="Z34" s="8"/>
      <c r="AA34" s="8"/>
    </row>
    <row r="35" spans="1:27" ht="12.75">
      <c r="A35" s="8">
        <v>33</v>
      </c>
      <c r="B35" s="82"/>
      <c r="C35" s="59"/>
      <c r="D35" s="86"/>
      <c r="E35" s="59">
        <f t="shared" si="0"/>
        <v>0</v>
      </c>
      <c r="F35" s="8"/>
      <c r="G35" s="8"/>
      <c r="H35" s="8"/>
      <c r="I35" s="8"/>
      <c r="J35" s="8"/>
      <c r="K35" s="8"/>
      <c r="L35" s="8"/>
      <c r="M35" s="8"/>
      <c r="N35" s="8"/>
      <c r="O35" s="8"/>
      <c r="P35" s="8"/>
      <c r="Q35" s="8"/>
      <c r="R35" s="8"/>
      <c r="S35" s="8"/>
      <c r="T35" s="8"/>
      <c r="U35" s="8"/>
      <c r="V35" s="8"/>
      <c r="W35" s="8"/>
      <c r="X35" s="8"/>
      <c r="Y35" s="8"/>
      <c r="Z35" s="8"/>
      <c r="AA35" s="8"/>
    </row>
    <row r="36" spans="1:27" ht="12.75">
      <c r="A36" s="8">
        <v>34</v>
      </c>
      <c r="B36" s="82"/>
      <c r="C36" s="59"/>
      <c r="D36" s="59"/>
      <c r="E36" s="59">
        <f t="shared" si="0"/>
        <v>0</v>
      </c>
      <c r="F36" s="8"/>
      <c r="G36" s="8"/>
      <c r="H36" s="8"/>
      <c r="I36" s="8"/>
      <c r="J36" s="8"/>
      <c r="K36" s="8"/>
      <c r="L36" s="8"/>
      <c r="M36" s="8"/>
      <c r="N36" s="8"/>
      <c r="O36" s="8"/>
      <c r="P36" s="8"/>
      <c r="Q36" s="8"/>
      <c r="R36" s="8"/>
      <c r="S36" s="8"/>
      <c r="T36" s="8"/>
      <c r="U36" s="8"/>
      <c r="V36" s="8"/>
      <c r="W36" s="8"/>
      <c r="X36" s="8"/>
      <c r="Y36" s="8"/>
      <c r="Z36" s="8"/>
      <c r="AA36" s="8"/>
    </row>
    <row r="37" spans="1:27" ht="12.75">
      <c r="A37" s="8">
        <v>35</v>
      </c>
      <c r="B37" s="82"/>
      <c r="C37" s="59"/>
      <c r="D37" s="59"/>
      <c r="E37" s="59">
        <f t="shared" si="0"/>
        <v>0</v>
      </c>
      <c r="F37" s="8"/>
      <c r="G37" s="8"/>
      <c r="H37" s="8"/>
      <c r="I37" s="8"/>
      <c r="J37" s="8"/>
      <c r="K37" s="8"/>
      <c r="L37" s="8"/>
      <c r="M37" s="8"/>
      <c r="N37" s="8"/>
      <c r="O37" s="8"/>
      <c r="P37" s="8"/>
      <c r="Q37" s="8"/>
      <c r="R37" s="8"/>
      <c r="S37" s="8"/>
      <c r="T37" s="8"/>
      <c r="U37" s="8"/>
      <c r="V37" s="8"/>
      <c r="W37" s="8"/>
      <c r="X37" s="8"/>
      <c r="Y37" s="8"/>
      <c r="Z37" s="8"/>
      <c r="AA37" s="8"/>
    </row>
    <row r="38" spans="1:27" ht="12.75">
      <c r="A38" s="8">
        <v>36</v>
      </c>
      <c r="B38" s="82"/>
      <c r="C38" s="59"/>
      <c r="D38" s="59"/>
      <c r="E38" s="59">
        <f t="shared" si="0"/>
        <v>0</v>
      </c>
      <c r="F38" s="8"/>
      <c r="G38" s="8"/>
      <c r="H38" s="8"/>
      <c r="I38" s="8"/>
      <c r="J38" s="8"/>
      <c r="K38" s="8"/>
      <c r="L38" s="8"/>
      <c r="M38" s="8"/>
      <c r="N38" s="8"/>
      <c r="O38" s="8"/>
      <c r="P38" s="8"/>
      <c r="Q38" s="8"/>
      <c r="R38" s="8"/>
      <c r="S38" s="8"/>
      <c r="T38" s="8"/>
      <c r="U38" s="8"/>
      <c r="V38" s="8"/>
      <c r="W38" s="8"/>
      <c r="X38" s="8"/>
      <c r="Y38" s="8"/>
      <c r="Z38" s="8"/>
      <c r="AA38" s="8"/>
    </row>
    <row r="39" spans="1:27" ht="12.75">
      <c r="A39" s="8">
        <v>37</v>
      </c>
      <c r="B39" s="82"/>
      <c r="C39" s="59"/>
      <c r="D39" s="59"/>
      <c r="E39" s="59">
        <f t="shared" si="0"/>
        <v>0</v>
      </c>
      <c r="F39" s="8"/>
      <c r="G39" s="8"/>
      <c r="H39" s="8"/>
      <c r="I39" s="8"/>
      <c r="J39" s="8"/>
      <c r="K39" s="8"/>
      <c r="L39" s="8"/>
      <c r="M39" s="8"/>
      <c r="N39" s="8"/>
      <c r="O39" s="8"/>
      <c r="P39" s="8"/>
      <c r="Q39" s="8"/>
      <c r="R39" s="8"/>
      <c r="S39" s="8"/>
      <c r="T39" s="8"/>
      <c r="U39" s="8"/>
      <c r="V39" s="8"/>
      <c r="W39" s="8"/>
      <c r="X39" s="8"/>
      <c r="Y39" s="8"/>
      <c r="Z39" s="8"/>
      <c r="AA39" s="8"/>
    </row>
    <row r="40" spans="1:27" ht="12.75">
      <c r="A40" s="8">
        <v>38</v>
      </c>
      <c r="B40" s="82"/>
      <c r="C40" s="59"/>
      <c r="D40" s="59"/>
      <c r="E40" s="59">
        <f t="shared" si="0"/>
        <v>0</v>
      </c>
      <c r="F40" s="8"/>
      <c r="G40" s="8"/>
      <c r="H40" s="8"/>
      <c r="I40" s="8"/>
      <c r="J40" s="8"/>
      <c r="K40" s="8"/>
      <c r="L40" s="8"/>
      <c r="M40" s="8"/>
      <c r="N40" s="8"/>
      <c r="O40" s="8"/>
      <c r="P40" s="8"/>
      <c r="Q40" s="8"/>
      <c r="R40" s="8"/>
      <c r="S40" s="8"/>
      <c r="T40" s="8"/>
      <c r="U40" s="8"/>
      <c r="V40" s="8"/>
      <c r="W40" s="8"/>
      <c r="X40" s="8"/>
      <c r="Y40" s="8"/>
      <c r="Z40" s="8"/>
      <c r="AA40" s="8"/>
    </row>
    <row r="41" spans="1:27" ht="12.75">
      <c r="A41" s="8">
        <v>39</v>
      </c>
      <c r="B41" s="82"/>
      <c r="C41" s="59"/>
      <c r="D41" s="59"/>
      <c r="E41" s="59">
        <f t="shared" si="0"/>
        <v>0</v>
      </c>
      <c r="F41" s="8"/>
      <c r="G41" s="8"/>
      <c r="H41" s="8"/>
      <c r="I41" s="8"/>
      <c r="J41" s="8"/>
      <c r="K41" s="8"/>
      <c r="L41" s="8"/>
      <c r="M41" s="8"/>
      <c r="N41" s="8"/>
      <c r="O41" s="8"/>
      <c r="P41" s="8"/>
      <c r="Q41" s="8"/>
      <c r="R41" s="8"/>
      <c r="S41" s="8"/>
      <c r="T41" s="8"/>
      <c r="U41" s="8"/>
      <c r="V41" s="8"/>
      <c r="W41" s="8"/>
      <c r="X41" s="8"/>
      <c r="Y41" s="8"/>
      <c r="Z41" s="8"/>
      <c r="AA41" s="8"/>
    </row>
    <row r="42" spans="1:27" ht="12.75">
      <c r="A42" s="8">
        <v>40</v>
      </c>
      <c r="B42" s="82"/>
      <c r="C42" s="59"/>
      <c r="D42" s="59"/>
      <c r="E42" s="59">
        <f t="shared" si="0"/>
        <v>0</v>
      </c>
      <c r="F42" s="8"/>
      <c r="G42" s="8"/>
      <c r="H42" s="8"/>
      <c r="I42" s="8"/>
      <c r="J42" s="8"/>
      <c r="K42" s="8"/>
      <c r="L42" s="8"/>
      <c r="M42" s="8"/>
      <c r="N42" s="8"/>
      <c r="O42" s="8"/>
      <c r="P42" s="8"/>
      <c r="Q42" s="8"/>
      <c r="R42" s="8"/>
      <c r="S42" s="8"/>
      <c r="T42" s="8"/>
      <c r="U42" s="8"/>
      <c r="V42" s="8"/>
      <c r="W42" s="8"/>
      <c r="X42" s="8"/>
      <c r="Y42" s="8"/>
      <c r="Z42" s="8"/>
      <c r="AA42" s="8"/>
    </row>
    <row r="43" spans="1:27" ht="12.75">
      <c r="A43" s="8">
        <v>41</v>
      </c>
      <c r="B43" s="82"/>
      <c r="C43" s="59"/>
      <c r="D43" s="59"/>
      <c r="E43" s="59">
        <f t="shared" si="0"/>
        <v>0</v>
      </c>
      <c r="F43" s="8"/>
      <c r="G43" s="8"/>
      <c r="H43" s="8"/>
      <c r="I43" s="8"/>
      <c r="J43" s="8"/>
      <c r="K43" s="8"/>
      <c r="L43" s="8"/>
      <c r="M43" s="8"/>
      <c r="N43" s="8"/>
      <c r="O43" s="8"/>
      <c r="P43" s="8"/>
      <c r="Q43" s="8"/>
      <c r="R43" s="8"/>
      <c r="S43" s="8"/>
      <c r="T43" s="8"/>
      <c r="U43" s="8"/>
      <c r="V43" s="8"/>
      <c r="W43" s="8"/>
      <c r="X43" s="8"/>
      <c r="Y43" s="8"/>
      <c r="Z43" s="8"/>
      <c r="AA43" s="8"/>
    </row>
    <row r="44" spans="1:27" ht="12.75">
      <c r="A44" s="8">
        <v>42</v>
      </c>
      <c r="B44" s="83"/>
      <c r="C44" s="59"/>
      <c r="D44" s="59"/>
      <c r="E44" s="59">
        <f t="shared" si="0"/>
        <v>0</v>
      </c>
      <c r="F44" s="8"/>
      <c r="G44" s="8"/>
      <c r="H44" s="8"/>
      <c r="I44" s="8"/>
      <c r="J44" s="8"/>
      <c r="K44" s="8"/>
      <c r="L44" s="8"/>
      <c r="M44" s="8"/>
      <c r="N44" s="8"/>
      <c r="O44" s="8"/>
      <c r="P44" s="8"/>
      <c r="Q44" s="8"/>
      <c r="R44" s="8"/>
      <c r="S44" s="8"/>
      <c r="T44" s="8"/>
      <c r="U44" s="8"/>
      <c r="V44" s="8"/>
      <c r="W44" s="8"/>
      <c r="X44" s="8"/>
      <c r="Y44" s="8"/>
      <c r="Z44" s="8"/>
      <c r="AA44" s="8"/>
    </row>
    <row r="45" spans="1:27" ht="12.75">
      <c r="A45" s="8">
        <v>43</v>
      </c>
      <c r="B45" s="83"/>
      <c r="C45" s="59"/>
      <c r="D45" s="59"/>
      <c r="E45" s="59">
        <f t="shared" si="0"/>
        <v>0</v>
      </c>
      <c r="F45" s="8"/>
      <c r="G45" s="8"/>
      <c r="H45" s="8"/>
      <c r="I45" s="8"/>
      <c r="J45" s="8"/>
      <c r="K45" s="8"/>
      <c r="L45" s="8"/>
      <c r="M45" s="8"/>
      <c r="N45" s="8"/>
      <c r="O45" s="8"/>
      <c r="P45" s="8"/>
      <c r="Q45" s="8"/>
      <c r="R45" s="8"/>
      <c r="S45" s="8"/>
      <c r="T45" s="8"/>
      <c r="U45" s="8"/>
      <c r="V45" s="8"/>
      <c r="W45" s="8"/>
      <c r="X45" s="8"/>
      <c r="Y45" s="8"/>
      <c r="Z45" s="8"/>
      <c r="AA45" s="8"/>
    </row>
    <row r="46" spans="1:27" ht="12.75">
      <c r="A46" s="8">
        <v>44</v>
      </c>
      <c r="B46" s="82"/>
      <c r="C46" s="59"/>
      <c r="D46" s="59"/>
      <c r="E46" s="59">
        <f t="shared" si="0"/>
        <v>0</v>
      </c>
      <c r="F46" s="8"/>
      <c r="G46" s="8"/>
      <c r="H46" s="8"/>
      <c r="I46" s="8"/>
      <c r="J46" s="8"/>
      <c r="K46" s="8"/>
      <c r="L46" s="8"/>
      <c r="M46" s="8"/>
      <c r="N46" s="8"/>
      <c r="O46" s="8"/>
      <c r="P46" s="8"/>
      <c r="Q46" s="8"/>
      <c r="R46" s="8"/>
      <c r="S46" s="8"/>
      <c r="T46" s="8"/>
      <c r="U46" s="8"/>
      <c r="V46" s="8"/>
      <c r="W46" s="8"/>
      <c r="X46" s="8"/>
      <c r="Y46" s="8"/>
      <c r="Z46" s="8"/>
      <c r="AA46" s="8"/>
    </row>
    <row r="47" spans="1:27" ht="12.75">
      <c r="A47" s="8">
        <v>45</v>
      </c>
      <c r="B47" s="82"/>
      <c r="C47" s="59"/>
      <c r="D47" s="59"/>
      <c r="E47" s="59">
        <f t="shared" si="0"/>
        <v>0</v>
      </c>
      <c r="F47" s="8"/>
      <c r="G47" s="8"/>
      <c r="H47" s="8"/>
      <c r="I47" s="8"/>
      <c r="J47" s="8"/>
      <c r="K47" s="8"/>
      <c r="L47" s="8"/>
      <c r="M47" s="8"/>
      <c r="N47" s="8"/>
      <c r="O47" s="8"/>
      <c r="P47" s="8"/>
      <c r="Q47" s="8"/>
      <c r="R47" s="8"/>
      <c r="S47" s="8"/>
      <c r="T47" s="8"/>
      <c r="U47" s="8"/>
      <c r="V47" s="8"/>
      <c r="W47" s="8"/>
      <c r="X47" s="8"/>
      <c r="Y47" s="8"/>
      <c r="Z47" s="8"/>
      <c r="AA47" s="8"/>
    </row>
    <row r="48" spans="1:27" ht="12.75">
      <c r="A48" s="8">
        <v>46</v>
      </c>
      <c r="B48" s="82"/>
      <c r="C48" s="59"/>
      <c r="D48" s="59"/>
      <c r="E48" s="59">
        <f t="shared" si="0"/>
        <v>0</v>
      </c>
      <c r="F48" s="8"/>
      <c r="G48" s="8"/>
      <c r="H48" s="8"/>
      <c r="I48" s="8"/>
      <c r="J48" s="8"/>
      <c r="K48" s="8"/>
      <c r="L48" s="8"/>
      <c r="M48" s="8"/>
      <c r="N48" s="8"/>
      <c r="O48" s="8"/>
      <c r="P48" s="8"/>
      <c r="Q48" s="8"/>
      <c r="R48" s="8"/>
      <c r="S48" s="8"/>
      <c r="T48" s="8"/>
      <c r="U48" s="8"/>
      <c r="V48" s="8"/>
      <c r="W48" s="8"/>
      <c r="X48" s="8"/>
      <c r="Y48" s="8"/>
      <c r="Z48" s="8"/>
      <c r="AA48" s="8"/>
    </row>
    <row r="49" spans="1:27" ht="12.75">
      <c r="A49" s="8">
        <v>47</v>
      </c>
      <c r="B49" s="82"/>
      <c r="C49" s="59"/>
      <c r="D49" s="59"/>
      <c r="E49" s="59">
        <f t="shared" si="0"/>
        <v>0</v>
      </c>
      <c r="F49" s="8"/>
      <c r="G49" s="8"/>
      <c r="H49" s="8"/>
      <c r="I49" s="8"/>
      <c r="J49" s="8"/>
      <c r="K49" s="8"/>
      <c r="L49" s="8"/>
      <c r="M49" s="8"/>
      <c r="N49" s="8"/>
      <c r="O49" s="8"/>
      <c r="P49" s="8"/>
      <c r="Q49" s="8"/>
      <c r="R49" s="8"/>
      <c r="S49" s="8"/>
      <c r="T49" s="8"/>
      <c r="U49" s="8"/>
      <c r="V49" s="8"/>
      <c r="W49" s="8"/>
      <c r="X49" s="8"/>
      <c r="Y49" s="8"/>
      <c r="Z49" s="8"/>
      <c r="AA49" s="8"/>
    </row>
    <row r="50" spans="1:27" ht="12.75">
      <c r="A50" s="8">
        <v>48</v>
      </c>
      <c r="B50" s="82"/>
      <c r="C50" s="59"/>
      <c r="D50" s="59"/>
      <c r="E50" s="59">
        <f t="shared" si="0"/>
        <v>0</v>
      </c>
      <c r="F50" s="8"/>
      <c r="G50" s="8"/>
      <c r="H50" s="8"/>
      <c r="I50" s="8"/>
      <c r="J50" s="8"/>
      <c r="K50" s="8"/>
      <c r="L50" s="8"/>
      <c r="M50" s="8"/>
      <c r="N50" s="8"/>
      <c r="O50" s="8"/>
      <c r="P50" s="8"/>
      <c r="Q50" s="8"/>
      <c r="R50" s="8"/>
      <c r="S50" s="8"/>
      <c r="T50" s="8"/>
      <c r="U50" s="8"/>
      <c r="V50" s="8"/>
      <c r="W50" s="8"/>
      <c r="X50" s="8"/>
      <c r="Y50" s="8"/>
      <c r="Z50" s="8"/>
      <c r="AA50" s="8"/>
    </row>
    <row r="51" spans="1:27" ht="12.75">
      <c r="A51" s="8"/>
      <c r="B51" s="59"/>
      <c r="C51" s="59"/>
      <c r="D51" s="59"/>
      <c r="E51" s="59"/>
      <c r="F51" s="8"/>
      <c r="G51" s="8"/>
      <c r="H51" s="8"/>
      <c r="I51" s="8"/>
      <c r="J51" s="8"/>
      <c r="K51" s="8"/>
      <c r="L51" s="8"/>
      <c r="M51" s="8"/>
      <c r="N51" s="8"/>
      <c r="O51" s="8"/>
      <c r="P51" s="8"/>
      <c r="Q51" s="8"/>
      <c r="R51" s="8"/>
      <c r="S51" s="8"/>
      <c r="T51" s="8"/>
      <c r="U51" s="8"/>
      <c r="V51" s="8"/>
      <c r="W51" s="8"/>
      <c r="X51" s="8"/>
      <c r="Y51" s="8"/>
      <c r="Z51" s="8"/>
      <c r="AA51" s="8"/>
    </row>
    <row r="52" spans="1:27" ht="12.75">
      <c r="A52" s="8"/>
      <c r="B52" s="59"/>
      <c r="C52" s="59"/>
      <c r="D52" s="59"/>
      <c r="E52" s="59"/>
      <c r="F52" s="8"/>
      <c r="G52" s="8"/>
      <c r="H52" s="8"/>
      <c r="I52" s="8"/>
      <c r="J52" s="8"/>
      <c r="K52" s="8"/>
      <c r="L52" s="8"/>
      <c r="M52" s="8"/>
      <c r="N52" s="8"/>
      <c r="O52" s="8"/>
      <c r="P52" s="8"/>
      <c r="Q52" s="8"/>
      <c r="R52" s="8"/>
      <c r="S52" s="8"/>
      <c r="T52" s="8"/>
      <c r="U52" s="8"/>
      <c r="V52" s="8"/>
      <c r="W52" s="8"/>
      <c r="X52" s="8"/>
      <c r="Y52" s="8"/>
      <c r="Z52" s="8"/>
      <c r="AA52" s="8"/>
    </row>
    <row r="53" spans="1:27" ht="12.75">
      <c r="A53" s="8"/>
      <c r="B53" s="59"/>
      <c r="C53" s="59"/>
      <c r="D53" s="59"/>
      <c r="E53" s="59"/>
      <c r="F53" s="8"/>
      <c r="G53" s="8"/>
      <c r="H53" s="8"/>
      <c r="I53" s="8"/>
      <c r="J53" s="8"/>
      <c r="K53" s="8"/>
      <c r="L53" s="8"/>
      <c r="M53" s="8"/>
      <c r="N53" s="8"/>
      <c r="O53" s="8"/>
      <c r="P53" s="8"/>
      <c r="Q53" s="8"/>
      <c r="R53" s="8"/>
      <c r="S53" s="8"/>
      <c r="T53" s="8"/>
      <c r="U53" s="8"/>
      <c r="V53" s="8"/>
      <c r="W53" s="8"/>
      <c r="X53" s="8"/>
      <c r="Y53" s="8"/>
      <c r="Z53" s="8"/>
      <c r="AA53" s="8"/>
    </row>
    <row r="54" spans="1:27" ht="12.75">
      <c r="A54" s="8"/>
      <c r="B54" s="59"/>
      <c r="C54" s="59"/>
      <c r="D54" s="59"/>
      <c r="E54" s="59"/>
      <c r="F54" s="8"/>
      <c r="G54" s="8"/>
      <c r="H54" s="8"/>
      <c r="I54" s="8"/>
      <c r="J54" s="8"/>
      <c r="K54" s="8"/>
      <c r="L54" s="8"/>
      <c r="M54" s="8"/>
      <c r="N54" s="8"/>
      <c r="O54" s="8"/>
      <c r="P54" s="8"/>
      <c r="Q54" s="8"/>
      <c r="R54" s="8"/>
      <c r="S54" s="8"/>
      <c r="T54" s="8"/>
      <c r="U54" s="8"/>
      <c r="V54" s="8"/>
      <c r="W54" s="8"/>
      <c r="X54" s="8"/>
      <c r="Y54" s="8"/>
      <c r="Z54" s="8"/>
      <c r="AA54" s="8"/>
    </row>
    <row r="55" spans="1:27" ht="12.75">
      <c r="A55" s="8"/>
      <c r="B55" s="59"/>
      <c r="C55" s="59"/>
      <c r="D55" s="59"/>
      <c r="E55" s="59"/>
      <c r="F55" s="8"/>
      <c r="G55" s="8"/>
      <c r="H55" s="8"/>
      <c r="I55" s="8"/>
      <c r="J55" s="8"/>
      <c r="K55" s="8"/>
      <c r="L55" s="8"/>
      <c r="M55" s="8"/>
      <c r="N55" s="8"/>
      <c r="O55" s="8"/>
      <c r="P55" s="8"/>
      <c r="Q55" s="8"/>
      <c r="R55" s="8"/>
      <c r="S55" s="8"/>
      <c r="T55" s="8"/>
      <c r="U55" s="8"/>
      <c r="V55" s="8"/>
      <c r="W55" s="8"/>
      <c r="X55" s="8"/>
      <c r="Y55" s="8"/>
      <c r="Z55" s="8"/>
      <c r="AA55" s="8"/>
    </row>
    <row r="56" spans="1:27" ht="12.75">
      <c r="A56" s="8"/>
      <c r="B56" s="59"/>
      <c r="C56" s="59"/>
      <c r="D56" s="59"/>
      <c r="E56" s="59"/>
      <c r="F56" s="8"/>
      <c r="G56" s="8"/>
      <c r="H56" s="8"/>
      <c r="I56" s="8"/>
      <c r="J56" s="8"/>
      <c r="K56" s="8"/>
      <c r="L56" s="8"/>
      <c r="M56" s="8"/>
      <c r="N56" s="8"/>
      <c r="O56" s="8"/>
      <c r="P56" s="8"/>
      <c r="Q56" s="8"/>
      <c r="R56" s="8"/>
      <c r="S56" s="8"/>
      <c r="T56" s="8"/>
      <c r="U56" s="8"/>
      <c r="V56" s="8"/>
      <c r="W56" s="8"/>
      <c r="X56" s="8"/>
      <c r="Y56" s="8"/>
      <c r="Z56" s="8"/>
      <c r="AA56" s="8"/>
    </row>
    <row r="57" spans="1:27" ht="12.75">
      <c r="A57" s="8"/>
      <c r="B57" s="59"/>
      <c r="C57" s="59"/>
      <c r="D57" s="59"/>
      <c r="E57" s="59"/>
      <c r="F57" s="8"/>
      <c r="G57" s="8"/>
      <c r="H57" s="8"/>
      <c r="I57" s="8"/>
      <c r="J57" s="8"/>
      <c r="K57" s="8"/>
      <c r="L57" s="8"/>
      <c r="M57" s="8"/>
      <c r="N57" s="8"/>
      <c r="O57" s="8"/>
      <c r="P57" s="8"/>
      <c r="Q57" s="8"/>
      <c r="R57" s="8"/>
      <c r="S57" s="8"/>
      <c r="T57" s="8"/>
      <c r="U57" s="8"/>
      <c r="V57" s="8"/>
      <c r="W57" s="8"/>
      <c r="X57" s="8"/>
      <c r="Y57" s="8"/>
      <c r="Z57" s="8"/>
      <c r="AA57" s="8"/>
    </row>
    <row r="58" spans="1:27" ht="12.75">
      <c r="A58" s="8"/>
      <c r="B58" s="59"/>
      <c r="C58" s="59"/>
      <c r="D58" s="59"/>
      <c r="E58" s="59"/>
      <c r="F58" s="8"/>
      <c r="G58" s="8"/>
      <c r="H58" s="8"/>
      <c r="I58" s="8"/>
      <c r="J58" s="8"/>
      <c r="K58" s="8"/>
      <c r="L58" s="8"/>
      <c r="M58" s="8"/>
      <c r="N58" s="8"/>
      <c r="O58" s="8"/>
      <c r="P58" s="8"/>
      <c r="Q58" s="8"/>
      <c r="R58" s="8"/>
      <c r="S58" s="8"/>
      <c r="T58" s="8"/>
      <c r="U58" s="8"/>
      <c r="V58" s="8"/>
      <c r="W58" s="8"/>
      <c r="X58" s="8"/>
      <c r="Y58" s="8"/>
      <c r="Z58" s="8"/>
      <c r="AA58" s="8"/>
    </row>
    <row r="59" spans="1:27" ht="12.75">
      <c r="A59" s="8"/>
      <c r="B59" s="59"/>
      <c r="C59" s="59"/>
      <c r="D59" s="59"/>
      <c r="E59" s="59"/>
      <c r="F59" s="8"/>
      <c r="G59" s="8"/>
      <c r="H59" s="8"/>
      <c r="I59" s="8"/>
      <c r="J59" s="8"/>
      <c r="K59" s="8"/>
      <c r="L59" s="8"/>
      <c r="M59" s="8"/>
      <c r="N59" s="8"/>
      <c r="O59" s="8"/>
      <c r="P59" s="8"/>
      <c r="Q59" s="8"/>
      <c r="R59" s="8"/>
      <c r="S59" s="8"/>
      <c r="T59" s="8"/>
      <c r="U59" s="8"/>
      <c r="V59" s="8"/>
      <c r="W59" s="8"/>
      <c r="X59" s="8"/>
      <c r="Y59" s="8"/>
      <c r="Z59" s="8"/>
      <c r="AA59" s="8"/>
    </row>
    <row r="60" spans="1:27" ht="12.75">
      <c r="A60" s="8"/>
      <c r="B60" s="59"/>
      <c r="C60" s="59"/>
      <c r="D60" s="59"/>
      <c r="E60" s="59"/>
      <c r="F60" s="8"/>
      <c r="G60" s="8"/>
      <c r="H60" s="8"/>
      <c r="I60" s="8"/>
      <c r="J60" s="8"/>
      <c r="K60" s="8"/>
      <c r="L60" s="8"/>
      <c r="M60" s="8"/>
      <c r="N60" s="8"/>
      <c r="O60" s="8"/>
      <c r="P60" s="8"/>
      <c r="Q60" s="8"/>
      <c r="R60" s="8"/>
      <c r="S60" s="8"/>
      <c r="T60" s="8"/>
      <c r="U60" s="8"/>
      <c r="V60" s="8"/>
      <c r="W60" s="8"/>
      <c r="X60" s="8"/>
      <c r="Y60" s="8"/>
      <c r="Z60" s="8"/>
      <c r="AA60" s="8"/>
    </row>
    <row r="61" spans="1:27" ht="12.75">
      <c r="A61" s="8"/>
      <c r="B61" s="59"/>
      <c r="C61" s="59"/>
      <c r="D61" s="59"/>
      <c r="E61" s="59"/>
      <c r="F61" s="8"/>
      <c r="G61" s="8"/>
      <c r="H61" s="8"/>
      <c r="I61" s="8"/>
      <c r="J61" s="8"/>
      <c r="K61" s="8"/>
      <c r="L61" s="8"/>
      <c r="M61" s="8"/>
      <c r="N61" s="8"/>
      <c r="O61" s="8"/>
      <c r="P61" s="8"/>
      <c r="Q61" s="8"/>
      <c r="R61" s="8"/>
      <c r="S61" s="8"/>
      <c r="T61" s="8"/>
      <c r="U61" s="8"/>
      <c r="V61" s="8"/>
      <c r="W61" s="8"/>
      <c r="X61" s="8"/>
      <c r="Y61" s="8"/>
      <c r="Z61" s="8"/>
      <c r="AA61" s="8"/>
    </row>
    <row r="62" spans="1:27" ht="12.75">
      <c r="A62" s="8"/>
      <c r="B62" s="59"/>
      <c r="C62" s="59"/>
      <c r="D62" s="59"/>
      <c r="E62" s="59"/>
      <c r="F62" s="8"/>
      <c r="G62" s="8"/>
      <c r="H62" s="8"/>
      <c r="I62" s="8"/>
      <c r="J62" s="8"/>
      <c r="K62" s="8"/>
      <c r="L62" s="8"/>
      <c r="M62" s="8"/>
      <c r="N62" s="8"/>
      <c r="O62" s="8"/>
      <c r="P62" s="8"/>
      <c r="Q62" s="8"/>
      <c r="R62" s="8"/>
      <c r="S62" s="8"/>
      <c r="T62" s="8"/>
      <c r="U62" s="8"/>
      <c r="V62" s="8"/>
      <c r="W62" s="8"/>
      <c r="X62" s="8"/>
      <c r="Y62" s="8"/>
      <c r="Z62" s="8"/>
      <c r="AA62" s="8"/>
    </row>
    <row r="63" spans="1:27" ht="12.75">
      <c r="A63" s="8"/>
      <c r="B63" s="59"/>
      <c r="C63" s="59"/>
      <c r="D63" s="59"/>
      <c r="E63" s="59"/>
      <c r="F63" s="8"/>
      <c r="G63" s="8"/>
      <c r="H63" s="8"/>
      <c r="I63" s="8"/>
      <c r="J63" s="8"/>
      <c r="K63" s="8"/>
      <c r="L63" s="8"/>
      <c r="M63" s="8"/>
      <c r="N63" s="8"/>
      <c r="O63" s="8"/>
      <c r="P63" s="8"/>
      <c r="Q63" s="8"/>
      <c r="R63" s="8"/>
      <c r="S63" s="8"/>
      <c r="T63" s="8"/>
      <c r="U63" s="8"/>
      <c r="V63" s="8"/>
      <c r="W63" s="8"/>
      <c r="X63" s="8"/>
      <c r="Y63" s="8"/>
      <c r="Z63" s="8"/>
      <c r="AA63" s="8"/>
    </row>
    <row r="64" spans="1:27" ht="12.75">
      <c r="A64" s="8"/>
      <c r="B64" s="59"/>
      <c r="C64" s="59"/>
      <c r="D64" s="59"/>
      <c r="E64" s="59"/>
      <c r="F64" s="8"/>
      <c r="G64" s="8"/>
      <c r="H64" s="8"/>
      <c r="I64" s="8"/>
      <c r="J64" s="8"/>
      <c r="K64" s="8"/>
      <c r="L64" s="8"/>
      <c r="M64" s="8"/>
      <c r="N64" s="8"/>
      <c r="O64" s="8"/>
      <c r="P64" s="8"/>
      <c r="Q64" s="8"/>
      <c r="R64" s="8"/>
      <c r="S64" s="8"/>
      <c r="T64" s="8"/>
      <c r="U64" s="8"/>
      <c r="V64" s="8"/>
      <c r="W64" s="8"/>
      <c r="X64" s="8"/>
      <c r="Y64" s="8"/>
      <c r="Z64" s="8"/>
      <c r="AA64" s="8"/>
    </row>
    <row r="65" spans="1:27" ht="12.75">
      <c r="A65" s="8"/>
      <c r="B65" s="59"/>
      <c r="C65" s="59"/>
      <c r="D65" s="59"/>
      <c r="E65" s="59"/>
      <c r="F65" s="8"/>
      <c r="G65" s="8"/>
      <c r="H65" s="8"/>
      <c r="I65" s="8"/>
      <c r="J65" s="8"/>
      <c r="K65" s="8"/>
      <c r="L65" s="8"/>
      <c r="M65" s="8"/>
      <c r="N65" s="8"/>
      <c r="O65" s="8"/>
      <c r="P65" s="8"/>
      <c r="Q65" s="8"/>
      <c r="R65" s="8"/>
      <c r="S65" s="8"/>
      <c r="T65" s="8"/>
      <c r="U65" s="8"/>
      <c r="V65" s="8"/>
      <c r="W65" s="8"/>
      <c r="X65" s="8"/>
      <c r="Y65" s="8"/>
      <c r="Z65" s="8"/>
      <c r="AA65" s="8"/>
    </row>
    <row r="66" spans="1:27" ht="12.75">
      <c r="A66" s="8"/>
      <c r="B66" s="59"/>
      <c r="C66" s="59"/>
      <c r="D66" s="59"/>
      <c r="E66" s="59"/>
      <c r="F66" s="8"/>
      <c r="G66" s="8"/>
      <c r="H66" s="8"/>
      <c r="I66" s="8"/>
      <c r="J66" s="8"/>
      <c r="K66" s="8"/>
      <c r="L66" s="8"/>
      <c r="M66" s="8"/>
      <c r="N66" s="8"/>
      <c r="O66" s="8"/>
      <c r="P66" s="8"/>
      <c r="Q66" s="8"/>
      <c r="R66" s="8"/>
      <c r="S66" s="8"/>
      <c r="T66" s="8"/>
      <c r="U66" s="8"/>
      <c r="V66" s="8"/>
      <c r="W66" s="8"/>
      <c r="X66" s="8"/>
      <c r="Y66" s="8"/>
      <c r="Z66" s="8"/>
      <c r="AA66" s="8"/>
    </row>
    <row r="67" spans="1:27" ht="12.75">
      <c r="A67" s="8"/>
      <c r="B67" s="59"/>
      <c r="C67" s="59"/>
      <c r="D67" s="59"/>
      <c r="E67" s="59"/>
      <c r="F67" s="8"/>
      <c r="G67" s="8"/>
      <c r="H67" s="8"/>
      <c r="I67" s="8"/>
      <c r="J67" s="8"/>
      <c r="K67" s="8"/>
      <c r="L67" s="8"/>
      <c r="M67" s="8"/>
      <c r="N67" s="8"/>
      <c r="O67" s="8"/>
      <c r="P67" s="8"/>
      <c r="Q67" s="8"/>
      <c r="R67" s="8"/>
      <c r="S67" s="8"/>
      <c r="T67" s="8"/>
      <c r="U67" s="8"/>
      <c r="V67" s="8"/>
      <c r="W67" s="8"/>
      <c r="X67" s="8"/>
      <c r="Y67" s="8"/>
      <c r="Z67" s="8"/>
      <c r="AA67" s="8"/>
    </row>
    <row r="68" spans="1:27" ht="12.75">
      <c r="A68" s="8"/>
      <c r="B68" s="59"/>
      <c r="C68" s="59"/>
      <c r="D68" s="59"/>
      <c r="E68" s="59"/>
      <c r="F68" s="8"/>
      <c r="G68" s="8"/>
      <c r="H68" s="8"/>
      <c r="I68" s="8"/>
      <c r="J68" s="8"/>
      <c r="K68" s="8"/>
      <c r="L68" s="8"/>
      <c r="M68" s="8"/>
      <c r="N68" s="8"/>
      <c r="O68" s="8"/>
      <c r="P68" s="8"/>
      <c r="Q68" s="8"/>
      <c r="R68" s="8"/>
      <c r="S68" s="8"/>
      <c r="T68" s="8"/>
      <c r="U68" s="8"/>
      <c r="V68" s="8"/>
      <c r="W68" s="8"/>
      <c r="X68" s="8"/>
      <c r="Y68" s="8"/>
      <c r="Z68" s="8"/>
      <c r="AA68" s="8"/>
    </row>
    <row r="69" spans="1:27" ht="12.75">
      <c r="A69" s="8"/>
      <c r="B69" s="59"/>
      <c r="C69" s="59"/>
      <c r="D69" s="59"/>
      <c r="E69" s="59"/>
      <c r="F69" s="8"/>
      <c r="G69" s="8"/>
      <c r="H69" s="8"/>
      <c r="I69" s="8"/>
      <c r="J69" s="8"/>
      <c r="K69" s="8"/>
      <c r="L69" s="8"/>
      <c r="M69" s="8"/>
      <c r="N69" s="8"/>
      <c r="O69" s="8"/>
      <c r="P69" s="8"/>
      <c r="Q69" s="8"/>
      <c r="R69" s="8"/>
      <c r="S69" s="8"/>
      <c r="T69" s="8"/>
      <c r="U69" s="8"/>
      <c r="V69" s="8"/>
      <c r="W69" s="8"/>
      <c r="X69" s="8"/>
      <c r="Y69" s="8"/>
      <c r="Z69" s="8"/>
      <c r="AA69" s="8"/>
    </row>
    <row r="70" spans="1:27" ht="12.75">
      <c r="A70" s="8"/>
      <c r="B70" s="59"/>
      <c r="C70" s="59"/>
      <c r="D70" s="59"/>
      <c r="E70" s="59"/>
      <c r="F70" s="8"/>
      <c r="G70" s="8"/>
      <c r="H70" s="8"/>
      <c r="I70" s="8"/>
      <c r="J70" s="8"/>
      <c r="K70" s="8"/>
      <c r="L70" s="8"/>
      <c r="M70" s="8"/>
      <c r="N70" s="8"/>
      <c r="O70" s="8"/>
      <c r="P70" s="8"/>
      <c r="Q70" s="8"/>
      <c r="R70" s="8"/>
      <c r="S70" s="8"/>
      <c r="T70" s="8"/>
      <c r="U70" s="8"/>
      <c r="V70" s="8"/>
      <c r="W70" s="8"/>
      <c r="X70" s="8"/>
      <c r="Y70" s="8"/>
      <c r="Z70" s="8"/>
      <c r="AA70" s="8"/>
    </row>
    <row r="71" spans="1:27" ht="12.75">
      <c r="A71" s="8"/>
      <c r="B71" s="59"/>
      <c r="C71" s="59"/>
      <c r="D71" s="59"/>
      <c r="E71" s="59"/>
      <c r="F71" s="8"/>
      <c r="G71" s="8"/>
      <c r="H71" s="8"/>
      <c r="I71" s="8"/>
      <c r="J71" s="8"/>
      <c r="K71" s="8"/>
      <c r="L71" s="8"/>
      <c r="M71" s="8"/>
      <c r="N71" s="8"/>
      <c r="O71" s="8"/>
      <c r="P71" s="8"/>
      <c r="Q71" s="8"/>
      <c r="R71" s="8"/>
      <c r="S71" s="8"/>
      <c r="T71" s="8"/>
      <c r="U71" s="8"/>
      <c r="V71" s="8"/>
      <c r="W71" s="8"/>
      <c r="X71" s="8"/>
      <c r="Y71" s="8"/>
      <c r="Z71" s="8"/>
      <c r="AA71" s="8"/>
    </row>
    <row r="72" spans="1:27" ht="12.75">
      <c r="A72" s="8"/>
      <c r="B72" s="59"/>
      <c r="C72" s="59"/>
      <c r="D72" s="59"/>
      <c r="E72" s="59"/>
      <c r="F72" s="8"/>
      <c r="G72" s="8"/>
      <c r="H72" s="8"/>
      <c r="I72" s="8"/>
      <c r="J72" s="8"/>
      <c r="K72" s="8"/>
      <c r="L72" s="8"/>
      <c r="M72" s="8"/>
      <c r="N72" s="8"/>
      <c r="O72" s="8"/>
      <c r="P72" s="8"/>
      <c r="Q72" s="8"/>
      <c r="R72" s="8"/>
      <c r="S72" s="8"/>
      <c r="T72" s="8"/>
      <c r="U72" s="8"/>
      <c r="V72" s="8"/>
      <c r="W72" s="8"/>
      <c r="X72" s="8"/>
      <c r="Y72" s="8"/>
      <c r="Z72" s="8"/>
      <c r="AA72" s="8"/>
    </row>
    <row r="73" spans="1:27" ht="12.75">
      <c r="A73" s="8"/>
      <c r="B73" s="59"/>
      <c r="C73" s="59"/>
      <c r="D73" s="59"/>
      <c r="E73" s="59"/>
      <c r="F73" s="8"/>
      <c r="G73" s="8"/>
      <c r="H73" s="8"/>
      <c r="I73" s="8"/>
      <c r="J73" s="8"/>
      <c r="K73" s="8"/>
      <c r="L73" s="8"/>
      <c r="M73" s="8"/>
      <c r="N73" s="8"/>
      <c r="O73" s="8"/>
      <c r="P73" s="8"/>
      <c r="Q73" s="8"/>
      <c r="R73" s="8"/>
      <c r="S73" s="8"/>
      <c r="T73" s="8"/>
      <c r="U73" s="8"/>
      <c r="V73" s="8"/>
      <c r="W73" s="8"/>
      <c r="X73" s="8"/>
      <c r="Y73" s="8"/>
      <c r="Z73" s="8"/>
      <c r="AA73" s="8"/>
    </row>
    <row r="74" spans="1:27" ht="12.75">
      <c r="A74" s="8"/>
      <c r="B74" s="59"/>
      <c r="C74" s="59"/>
      <c r="D74" s="59"/>
      <c r="E74" s="59"/>
      <c r="F74" s="8"/>
      <c r="G74" s="8"/>
      <c r="H74" s="8"/>
      <c r="I74" s="8"/>
      <c r="J74" s="8"/>
      <c r="K74" s="8"/>
      <c r="L74" s="8"/>
      <c r="M74" s="8"/>
      <c r="N74" s="8"/>
      <c r="O74" s="8"/>
      <c r="P74" s="8"/>
      <c r="Q74" s="8"/>
      <c r="R74" s="8"/>
      <c r="S74" s="8"/>
      <c r="T74" s="8"/>
      <c r="U74" s="8"/>
      <c r="V74" s="8"/>
      <c r="W74" s="8"/>
      <c r="X74" s="8"/>
      <c r="Y74" s="8"/>
      <c r="Z74" s="8"/>
      <c r="AA74" s="8"/>
    </row>
    <row r="75" spans="1:27" ht="12.75">
      <c r="A75" s="8"/>
      <c r="B75" s="59"/>
      <c r="C75" s="59"/>
      <c r="D75" s="59"/>
      <c r="E75" s="59"/>
      <c r="F75" s="8"/>
      <c r="G75" s="8"/>
      <c r="H75" s="8"/>
      <c r="I75" s="8"/>
      <c r="J75" s="8"/>
      <c r="K75" s="8"/>
      <c r="L75" s="8"/>
      <c r="M75" s="8"/>
      <c r="N75" s="8"/>
      <c r="O75" s="8"/>
      <c r="P75" s="8"/>
      <c r="Q75" s="8"/>
      <c r="R75" s="8"/>
      <c r="S75" s="8"/>
      <c r="T75" s="8"/>
      <c r="U75" s="8"/>
      <c r="V75" s="8"/>
      <c r="W75" s="8"/>
      <c r="X75" s="8"/>
      <c r="Y75" s="8"/>
      <c r="Z75" s="8"/>
      <c r="AA75" s="8"/>
    </row>
    <row r="76" spans="1:27" ht="12.75">
      <c r="A76" s="8"/>
      <c r="B76" s="59"/>
      <c r="C76" s="59"/>
      <c r="D76" s="59"/>
      <c r="E76" s="59"/>
      <c r="F76" s="8"/>
      <c r="G76" s="8"/>
      <c r="H76" s="8"/>
      <c r="I76" s="8"/>
      <c r="J76" s="8"/>
      <c r="K76" s="8"/>
      <c r="L76" s="8"/>
      <c r="M76" s="8"/>
      <c r="N76" s="8"/>
      <c r="O76" s="8"/>
      <c r="P76" s="8"/>
      <c r="Q76" s="8"/>
      <c r="R76" s="8"/>
      <c r="S76" s="8"/>
      <c r="T76" s="8"/>
      <c r="U76" s="8"/>
      <c r="V76" s="8"/>
      <c r="W76" s="8"/>
      <c r="X76" s="8"/>
      <c r="Y76" s="8"/>
      <c r="Z76" s="8"/>
      <c r="AA76" s="8"/>
    </row>
    <row r="77" spans="1:27" ht="12.75">
      <c r="A77" s="8"/>
      <c r="B77" s="59"/>
      <c r="C77" s="59"/>
      <c r="D77" s="59"/>
      <c r="E77" s="59"/>
      <c r="F77" s="8"/>
      <c r="G77" s="8"/>
      <c r="H77" s="8"/>
      <c r="I77" s="8"/>
      <c r="J77" s="8"/>
      <c r="K77" s="8"/>
      <c r="L77" s="8"/>
      <c r="M77" s="8"/>
      <c r="N77" s="8"/>
      <c r="O77" s="8"/>
      <c r="P77" s="8"/>
      <c r="Q77" s="8"/>
      <c r="R77" s="8"/>
      <c r="S77" s="8"/>
      <c r="T77" s="8"/>
      <c r="U77" s="8"/>
      <c r="V77" s="8"/>
      <c r="W77" s="8"/>
      <c r="X77" s="8"/>
      <c r="Y77" s="8"/>
      <c r="Z77" s="8"/>
      <c r="AA77" s="8"/>
    </row>
    <row r="78" spans="1:27" ht="12.75">
      <c r="A78" s="8"/>
      <c r="B78" s="59"/>
      <c r="C78" s="59"/>
      <c r="D78" s="59"/>
      <c r="E78" s="59"/>
      <c r="F78" s="8"/>
      <c r="G78" s="8"/>
      <c r="H78" s="8"/>
      <c r="I78" s="8"/>
      <c r="J78" s="8"/>
      <c r="K78" s="8"/>
      <c r="L78" s="8"/>
      <c r="M78" s="8"/>
      <c r="N78" s="8"/>
      <c r="O78" s="8"/>
      <c r="P78" s="8"/>
      <c r="Q78" s="8"/>
      <c r="R78" s="8"/>
      <c r="S78" s="8"/>
      <c r="T78" s="8"/>
      <c r="U78" s="8"/>
      <c r="V78" s="8"/>
      <c r="W78" s="8"/>
      <c r="X78" s="8"/>
      <c r="Y78" s="8"/>
      <c r="Z78" s="8"/>
      <c r="AA78" s="8"/>
    </row>
    <row r="79" spans="1:27" ht="12.75">
      <c r="A79" s="8"/>
      <c r="B79" s="59"/>
      <c r="C79" s="59"/>
      <c r="D79" s="59"/>
      <c r="E79" s="59"/>
      <c r="F79" s="8"/>
      <c r="G79" s="8"/>
      <c r="H79" s="8"/>
      <c r="I79" s="8"/>
      <c r="J79" s="8"/>
      <c r="K79" s="8"/>
      <c r="L79" s="8"/>
      <c r="M79" s="8"/>
      <c r="N79" s="8"/>
      <c r="O79" s="8"/>
      <c r="P79" s="8"/>
      <c r="Q79" s="8"/>
      <c r="R79" s="8"/>
      <c r="S79" s="8"/>
      <c r="T79" s="8"/>
      <c r="U79" s="8"/>
      <c r="V79" s="8"/>
      <c r="W79" s="8"/>
      <c r="X79" s="8"/>
      <c r="Y79" s="8"/>
      <c r="Z79" s="8"/>
      <c r="AA79" s="8"/>
    </row>
    <row r="80" spans="1:27" ht="12.75">
      <c r="A80" s="8"/>
      <c r="B80" s="59"/>
      <c r="C80" s="59"/>
      <c r="D80" s="59"/>
      <c r="E80" s="59"/>
      <c r="F80" s="8"/>
      <c r="G80" s="8"/>
      <c r="H80" s="8"/>
      <c r="I80" s="8"/>
      <c r="J80" s="8"/>
      <c r="K80" s="8"/>
      <c r="L80" s="8"/>
      <c r="M80" s="8"/>
      <c r="N80" s="8"/>
      <c r="O80" s="8"/>
      <c r="P80" s="8"/>
      <c r="Q80" s="8"/>
      <c r="R80" s="8"/>
      <c r="S80" s="8"/>
      <c r="T80" s="8"/>
      <c r="U80" s="8"/>
      <c r="V80" s="8"/>
      <c r="W80" s="8"/>
      <c r="X80" s="8"/>
      <c r="Y80" s="8"/>
      <c r="Z80" s="8"/>
      <c r="AA80" s="8"/>
    </row>
    <row r="81" spans="1:27" ht="12.75">
      <c r="A81" s="8"/>
      <c r="B81" s="59"/>
      <c r="C81" s="59"/>
      <c r="D81" s="59"/>
      <c r="E81" s="59"/>
      <c r="F81" s="8"/>
      <c r="G81" s="8"/>
      <c r="H81" s="8"/>
      <c r="I81" s="8"/>
      <c r="J81" s="8"/>
      <c r="K81" s="8"/>
      <c r="L81" s="8"/>
      <c r="M81" s="8"/>
      <c r="N81" s="8"/>
      <c r="O81" s="8"/>
      <c r="P81" s="8"/>
      <c r="Q81" s="8"/>
      <c r="R81" s="8"/>
      <c r="S81" s="8"/>
      <c r="T81" s="8"/>
      <c r="U81" s="8"/>
      <c r="V81" s="8"/>
      <c r="W81" s="8"/>
      <c r="X81" s="8"/>
      <c r="Y81" s="8"/>
      <c r="Z81" s="8"/>
      <c r="AA81" s="8"/>
    </row>
    <row r="82" spans="1:27" ht="12.75">
      <c r="A82" s="8"/>
      <c r="B82" s="59"/>
      <c r="C82" s="59"/>
      <c r="D82" s="59"/>
      <c r="E82" s="59"/>
      <c r="F82" s="8"/>
      <c r="G82" s="8"/>
      <c r="H82" s="8"/>
      <c r="I82" s="8"/>
      <c r="J82" s="8"/>
      <c r="K82" s="8"/>
      <c r="L82" s="8"/>
      <c r="M82" s="8"/>
      <c r="N82" s="8"/>
      <c r="O82" s="8"/>
      <c r="P82" s="8"/>
      <c r="Q82" s="8"/>
      <c r="R82" s="8"/>
      <c r="S82" s="8"/>
      <c r="T82" s="8"/>
      <c r="U82" s="8"/>
      <c r="V82" s="8"/>
      <c r="W82" s="8"/>
      <c r="X82" s="8"/>
      <c r="Y82" s="8"/>
      <c r="Z82" s="8"/>
      <c r="AA82" s="8"/>
    </row>
    <row r="83" spans="1:27" ht="12.75">
      <c r="A83" s="8"/>
      <c r="B83" s="59"/>
      <c r="C83" s="59"/>
      <c r="D83" s="59"/>
      <c r="E83" s="59"/>
      <c r="F83" s="8"/>
      <c r="G83" s="8"/>
      <c r="H83" s="8"/>
      <c r="I83" s="8"/>
      <c r="J83" s="8"/>
      <c r="K83" s="8"/>
      <c r="L83" s="8"/>
      <c r="M83" s="8"/>
      <c r="N83" s="8"/>
      <c r="O83" s="8"/>
      <c r="P83" s="8"/>
      <c r="Q83" s="8"/>
      <c r="R83" s="8"/>
      <c r="S83" s="8"/>
      <c r="T83" s="8"/>
      <c r="U83" s="8"/>
      <c r="V83" s="8"/>
      <c r="W83" s="8"/>
      <c r="X83" s="8"/>
      <c r="Y83" s="8"/>
      <c r="Z83" s="8"/>
      <c r="AA83" s="8"/>
    </row>
    <row r="84" spans="1:27" ht="12.75">
      <c r="A84" s="8"/>
      <c r="B84" s="59"/>
      <c r="C84" s="59"/>
      <c r="D84" s="59"/>
      <c r="E84" s="59"/>
      <c r="F84" s="8"/>
      <c r="G84" s="8"/>
      <c r="H84" s="8"/>
      <c r="I84" s="8"/>
      <c r="J84" s="8"/>
      <c r="K84" s="8"/>
      <c r="L84" s="8"/>
      <c r="M84" s="8"/>
      <c r="N84" s="8"/>
      <c r="O84" s="8"/>
      <c r="P84" s="8"/>
      <c r="Q84" s="8"/>
      <c r="R84" s="8"/>
      <c r="S84" s="8"/>
      <c r="T84" s="8"/>
      <c r="U84" s="8"/>
      <c r="V84" s="8"/>
      <c r="W84" s="8"/>
      <c r="X84" s="8"/>
      <c r="Y84" s="8"/>
      <c r="Z84" s="8"/>
      <c r="AA84" s="8"/>
    </row>
    <row r="85" spans="1:27" ht="12.75">
      <c r="A85" s="8"/>
      <c r="B85" s="59"/>
      <c r="C85" s="59"/>
      <c r="D85" s="59"/>
      <c r="E85" s="59"/>
      <c r="F85" s="8"/>
      <c r="G85" s="8"/>
      <c r="H85" s="8"/>
      <c r="I85" s="8"/>
      <c r="J85" s="8"/>
      <c r="K85" s="8"/>
      <c r="L85" s="8"/>
      <c r="M85" s="8"/>
      <c r="N85" s="8"/>
      <c r="O85" s="8"/>
      <c r="P85" s="8"/>
      <c r="Q85" s="8"/>
      <c r="R85" s="8"/>
      <c r="S85" s="8"/>
      <c r="T85" s="8"/>
      <c r="U85" s="8"/>
      <c r="V85" s="8"/>
      <c r="W85" s="8"/>
      <c r="X85" s="8"/>
      <c r="Y85" s="8"/>
      <c r="Z85" s="8"/>
      <c r="AA85" s="8"/>
    </row>
    <row r="86" spans="1:27" ht="12.75">
      <c r="A86" s="8"/>
      <c r="B86" s="59"/>
      <c r="C86" s="59"/>
      <c r="D86" s="59"/>
      <c r="E86" s="59"/>
      <c r="F86" s="8"/>
      <c r="G86" s="8"/>
      <c r="H86" s="8"/>
      <c r="I86" s="8"/>
      <c r="J86" s="8"/>
      <c r="K86" s="8"/>
      <c r="L86" s="8"/>
      <c r="M86" s="8"/>
      <c r="N86" s="8"/>
      <c r="O86" s="8"/>
      <c r="P86" s="8"/>
      <c r="Q86" s="8"/>
      <c r="R86" s="8"/>
      <c r="S86" s="8"/>
      <c r="T86" s="8"/>
      <c r="U86" s="8"/>
      <c r="V86" s="8"/>
      <c r="W86" s="8"/>
      <c r="X86" s="8"/>
      <c r="Y86" s="8"/>
      <c r="Z86" s="8"/>
      <c r="AA86" s="8"/>
    </row>
    <row r="87" spans="1:27" ht="12.75">
      <c r="A87" s="8"/>
      <c r="B87" s="59"/>
      <c r="C87" s="59"/>
      <c r="D87" s="59"/>
      <c r="E87" s="59"/>
      <c r="F87" s="8"/>
      <c r="G87" s="8"/>
      <c r="H87" s="8"/>
      <c r="I87" s="8"/>
      <c r="J87" s="8"/>
      <c r="K87" s="8"/>
      <c r="L87" s="8"/>
      <c r="M87" s="8"/>
      <c r="N87" s="8"/>
      <c r="O87" s="8"/>
      <c r="P87" s="8"/>
      <c r="Q87" s="8"/>
      <c r="R87" s="8"/>
      <c r="S87" s="8"/>
      <c r="T87" s="8"/>
      <c r="U87" s="8"/>
      <c r="V87" s="8"/>
      <c r="W87" s="8"/>
      <c r="X87" s="8"/>
      <c r="Y87" s="8"/>
      <c r="Z87" s="8"/>
      <c r="AA87" s="8"/>
    </row>
    <row r="88" spans="1:27" ht="12.75">
      <c r="A88" s="8"/>
      <c r="B88" s="59"/>
      <c r="C88" s="59"/>
      <c r="D88" s="59"/>
      <c r="E88" s="59"/>
      <c r="F88" s="8"/>
      <c r="G88" s="8"/>
      <c r="H88" s="8"/>
      <c r="I88" s="8"/>
      <c r="J88" s="8"/>
      <c r="K88" s="8"/>
      <c r="L88" s="8"/>
      <c r="M88" s="8"/>
      <c r="N88" s="8"/>
      <c r="O88" s="8"/>
      <c r="P88" s="8"/>
      <c r="Q88" s="8"/>
      <c r="R88" s="8"/>
      <c r="S88" s="8"/>
      <c r="T88" s="8"/>
      <c r="U88" s="8"/>
      <c r="V88" s="8"/>
      <c r="W88" s="8"/>
      <c r="X88" s="8"/>
      <c r="Y88" s="8"/>
      <c r="Z88" s="8"/>
      <c r="AA88" s="8"/>
    </row>
    <row r="89" spans="1:27" ht="12.75">
      <c r="A89" s="8"/>
      <c r="B89" s="59"/>
      <c r="C89" s="59"/>
      <c r="D89" s="59"/>
      <c r="E89" s="59"/>
      <c r="F89" s="8"/>
      <c r="G89" s="8"/>
      <c r="H89" s="8"/>
      <c r="I89" s="8"/>
      <c r="J89" s="8"/>
      <c r="K89" s="8"/>
      <c r="L89" s="8"/>
      <c r="M89" s="8"/>
      <c r="N89" s="8"/>
      <c r="O89" s="8"/>
      <c r="P89" s="8"/>
      <c r="Q89" s="8"/>
      <c r="R89" s="8"/>
      <c r="S89" s="8"/>
      <c r="T89" s="8"/>
      <c r="U89" s="8"/>
      <c r="V89" s="8"/>
      <c r="W89" s="8"/>
      <c r="X89" s="8"/>
      <c r="Y89" s="8"/>
      <c r="Z89" s="8"/>
      <c r="AA89" s="8"/>
    </row>
    <row r="90" spans="1:27" ht="12.75">
      <c r="A90" s="8"/>
      <c r="B90" s="59"/>
      <c r="C90" s="59"/>
      <c r="D90" s="59"/>
      <c r="E90" s="59"/>
      <c r="F90" s="8"/>
      <c r="G90" s="8"/>
      <c r="H90" s="8"/>
      <c r="I90" s="8"/>
      <c r="J90" s="8"/>
      <c r="K90" s="8"/>
      <c r="L90" s="8"/>
      <c r="M90" s="8"/>
      <c r="N90" s="8"/>
      <c r="O90" s="8"/>
      <c r="P90" s="8"/>
      <c r="Q90" s="8"/>
      <c r="R90" s="8"/>
      <c r="S90" s="8"/>
      <c r="T90" s="8"/>
      <c r="U90" s="8"/>
      <c r="V90" s="8"/>
      <c r="W90" s="8"/>
      <c r="X90" s="8"/>
      <c r="Y90" s="8"/>
      <c r="Z90" s="8"/>
      <c r="AA90" s="8"/>
    </row>
    <row r="91" spans="1:27" ht="12.75">
      <c r="A91" s="8"/>
      <c r="B91" s="59"/>
      <c r="C91" s="59"/>
      <c r="D91" s="59"/>
      <c r="E91" s="59"/>
      <c r="F91" s="8"/>
      <c r="G91" s="8"/>
      <c r="H91" s="8"/>
      <c r="I91" s="8"/>
      <c r="J91" s="8"/>
      <c r="K91" s="8"/>
      <c r="L91" s="8"/>
      <c r="M91" s="8"/>
      <c r="N91" s="8"/>
      <c r="O91" s="8"/>
      <c r="P91" s="8"/>
      <c r="Q91" s="8"/>
      <c r="R91" s="8"/>
      <c r="S91" s="8"/>
      <c r="T91" s="8"/>
      <c r="U91" s="8"/>
      <c r="V91" s="8"/>
      <c r="W91" s="8"/>
      <c r="X91" s="8"/>
      <c r="Y91" s="8"/>
      <c r="Z91" s="8"/>
      <c r="AA91" s="8"/>
    </row>
    <row r="92" spans="1:27" ht="12.75">
      <c r="A92" s="8"/>
      <c r="B92" s="59"/>
      <c r="C92" s="59"/>
      <c r="D92" s="59"/>
      <c r="E92" s="59"/>
      <c r="F92" s="8"/>
      <c r="G92" s="8"/>
      <c r="H92" s="8"/>
      <c r="I92" s="8"/>
      <c r="J92" s="8"/>
      <c r="K92" s="8"/>
      <c r="L92" s="8"/>
      <c r="M92" s="8"/>
      <c r="N92" s="8"/>
      <c r="O92" s="8"/>
      <c r="P92" s="8"/>
      <c r="Q92" s="8"/>
      <c r="R92" s="8"/>
      <c r="S92" s="8"/>
      <c r="T92" s="8"/>
      <c r="U92" s="8"/>
      <c r="V92" s="8"/>
      <c r="W92" s="8"/>
      <c r="X92" s="8"/>
      <c r="Y92" s="8"/>
      <c r="Z92" s="8"/>
      <c r="AA92" s="8"/>
    </row>
    <row r="93" spans="1:27" ht="12.75">
      <c r="A93" s="8"/>
      <c r="B93" s="59"/>
      <c r="C93" s="59"/>
      <c r="D93" s="59"/>
      <c r="E93" s="59"/>
      <c r="F93" s="8"/>
      <c r="G93" s="8"/>
      <c r="H93" s="8"/>
      <c r="I93" s="8"/>
      <c r="J93" s="8"/>
      <c r="K93" s="8"/>
      <c r="L93" s="8"/>
      <c r="M93" s="8"/>
      <c r="N93" s="8"/>
      <c r="O93" s="8"/>
      <c r="P93" s="8"/>
      <c r="Q93" s="8"/>
      <c r="R93" s="8"/>
      <c r="S93" s="8"/>
      <c r="T93" s="8"/>
      <c r="U93" s="8"/>
      <c r="V93" s="8"/>
      <c r="W93" s="8"/>
      <c r="X93" s="8"/>
      <c r="Y93" s="8"/>
      <c r="Z93" s="8"/>
      <c r="AA93" s="8"/>
    </row>
    <row r="94" spans="1:27" ht="12.75">
      <c r="A94" s="8"/>
      <c r="B94" s="59"/>
      <c r="C94" s="59"/>
      <c r="D94" s="59"/>
      <c r="E94" s="59"/>
      <c r="F94" s="8"/>
      <c r="G94" s="8"/>
      <c r="H94" s="8"/>
      <c r="I94" s="8"/>
      <c r="J94" s="8"/>
      <c r="K94" s="8"/>
      <c r="L94" s="8"/>
      <c r="M94" s="8"/>
      <c r="N94" s="8"/>
      <c r="O94" s="8"/>
      <c r="P94" s="8"/>
      <c r="Q94" s="8"/>
      <c r="R94" s="8"/>
      <c r="S94" s="8"/>
      <c r="T94" s="8"/>
      <c r="U94" s="8"/>
      <c r="V94" s="8"/>
      <c r="W94" s="8"/>
      <c r="X94" s="8"/>
      <c r="Y94" s="8"/>
      <c r="Z94" s="8"/>
      <c r="AA94" s="8"/>
    </row>
    <row r="95" spans="1:27" ht="12.75">
      <c r="A95" s="8"/>
      <c r="B95" s="59"/>
      <c r="C95" s="59"/>
      <c r="D95" s="59"/>
      <c r="E95" s="59"/>
      <c r="F95" s="8"/>
      <c r="G95" s="8"/>
      <c r="H95" s="8"/>
      <c r="I95" s="8"/>
      <c r="J95" s="8"/>
      <c r="K95" s="8"/>
      <c r="L95" s="8"/>
      <c r="M95" s="8"/>
      <c r="N95" s="8"/>
      <c r="O95" s="8"/>
      <c r="P95" s="8"/>
      <c r="Q95" s="8"/>
      <c r="R95" s="8"/>
      <c r="S95" s="8"/>
      <c r="T95" s="8"/>
      <c r="U95" s="8"/>
      <c r="V95" s="8"/>
      <c r="W95" s="8"/>
      <c r="X95" s="8"/>
      <c r="Y95" s="8"/>
      <c r="Z95" s="8"/>
      <c r="AA95" s="8"/>
    </row>
    <row r="96" spans="1:27" ht="12.75">
      <c r="A96" s="8"/>
      <c r="B96" s="59"/>
      <c r="C96" s="59"/>
      <c r="D96" s="59"/>
      <c r="E96" s="59"/>
      <c r="F96" s="8"/>
      <c r="G96" s="8"/>
      <c r="H96" s="8"/>
      <c r="I96" s="8"/>
      <c r="J96" s="8"/>
      <c r="K96" s="8"/>
      <c r="L96" s="8"/>
      <c r="M96" s="8"/>
      <c r="N96" s="8"/>
      <c r="O96" s="8"/>
      <c r="P96" s="8"/>
      <c r="Q96" s="8"/>
      <c r="R96" s="8"/>
      <c r="S96" s="8"/>
      <c r="T96" s="8"/>
      <c r="U96" s="8"/>
      <c r="V96" s="8"/>
      <c r="W96" s="8"/>
      <c r="X96" s="8"/>
      <c r="Y96" s="8"/>
      <c r="Z96" s="8"/>
      <c r="AA96" s="8"/>
    </row>
    <row r="97" spans="1:27" ht="12.75">
      <c r="A97" s="8"/>
      <c r="B97" s="59"/>
      <c r="C97" s="59"/>
      <c r="D97" s="59"/>
      <c r="E97" s="59"/>
      <c r="F97" s="8"/>
      <c r="G97" s="8"/>
      <c r="H97" s="8"/>
      <c r="I97" s="8"/>
      <c r="J97" s="8"/>
      <c r="K97" s="8"/>
      <c r="L97" s="8"/>
      <c r="M97" s="8"/>
      <c r="N97" s="8"/>
      <c r="O97" s="8"/>
      <c r="P97" s="8"/>
      <c r="Q97" s="8"/>
      <c r="R97" s="8"/>
      <c r="S97" s="8"/>
      <c r="T97" s="8"/>
      <c r="U97" s="8"/>
      <c r="V97" s="8"/>
      <c r="W97" s="8"/>
      <c r="X97" s="8"/>
      <c r="Y97" s="8"/>
      <c r="Z97" s="8"/>
      <c r="AA97" s="8"/>
    </row>
    <row r="98" spans="1:27" ht="12.75">
      <c r="A98" s="8"/>
      <c r="B98" s="59"/>
      <c r="C98" s="59"/>
      <c r="D98" s="59"/>
      <c r="E98" s="59"/>
      <c r="F98" s="8"/>
      <c r="G98" s="8"/>
      <c r="H98" s="8"/>
      <c r="I98" s="8"/>
      <c r="J98" s="8"/>
      <c r="K98" s="8"/>
      <c r="L98" s="8"/>
      <c r="M98" s="8"/>
      <c r="N98" s="8"/>
      <c r="O98" s="8"/>
      <c r="P98" s="8"/>
      <c r="Q98" s="8"/>
      <c r="R98" s="8"/>
      <c r="S98" s="8"/>
      <c r="T98" s="8"/>
      <c r="U98" s="8"/>
      <c r="V98" s="8"/>
      <c r="W98" s="8"/>
      <c r="X98" s="8"/>
      <c r="Y98" s="8"/>
      <c r="Z98" s="8"/>
      <c r="AA98" s="8"/>
    </row>
    <row r="99" spans="1:27" ht="12.75">
      <c r="A99" s="8"/>
      <c r="B99" s="59"/>
      <c r="C99" s="59"/>
      <c r="D99" s="59"/>
      <c r="E99" s="59"/>
      <c r="F99" s="8"/>
      <c r="G99" s="8"/>
      <c r="H99" s="8"/>
      <c r="I99" s="8"/>
      <c r="J99" s="8"/>
      <c r="K99" s="8"/>
      <c r="L99" s="8"/>
      <c r="M99" s="8"/>
      <c r="N99" s="8"/>
      <c r="O99" s="8"/>
      <c r="P99" s="8"/>
      <c r="Q99" s="8"/>
      <c r="R99" s="8"/>
      <c r="S99" s="8"/>
      <c r="T99" s="8"/>
      <c r="U99" s="8"/>
      <c r="V99" s="8"/>
      <c r="W99" s="8"/>
      <c r="X99" s="8"/>
      <c r="Y99" s="8"/>
      <c r="Z99" s="8"/>
      <c r="AA99" s="8"/>
    </row>
    <row r="100" spans="1:27" ht="12.75">
      <c r="A100" s="8"/>
      <c r="B100" s="59"/>
      <c r="C100" s="59"/>
      <c r="D100" s="59"/>
      <c r="E100" s="59"/>
      <c r="F100" s="8"/>
      <c r="G100" s="8"/>
      <c r="H100" s="8"/>
      <c r="I100" s="8"/>
      <c r="J100" s="8"/>
      <c r="K100" s="8"/>
      <c r="L100" s="8"/>
      <c r="M100" s="8"/>
      <c r="N100" s="8"/>
      <c r="O100" s="8"/>
      <c r="P100" s="8"/>
      <c r="Q100" s="8"/>
      <c r="R100" s="8"/>
      <c r="S100" s="8"/>
      <c r="T100" s="8"/>
      <c r="U100" s="8"/>
      <c r="V100" s="8"/>
      <c r="W100" s="8"/>
      <c r="X100" s="8"/>
      <c r="Y100" s="8"/>
      <c r="Z100" s="8"/>
      <c r="AA100" s="8"/>
    </row>
    <row r="101" spans="1:27" ht="12.75">
      <c r="A101" s="8"/>
      <c r="B101" s="59"/>
      <c r="C101" s="59"/>
      <c r="D101" s="59"/>
      <c r="E101" s="59"/>
      <c r="F101" s="8"/>
      <c r="G101" s="8"/>
      <c r="H101" s="8"/>
      <c r="I101" s="8"/>
      <c r="J101" s="8"/>
      <c r="K101" s="8"/>
      <c r="L101" s="8"/>
      <c r="M101" s="8"/>
      <c r="N101" s="8"/>
      <c r="O101" s="8"/>
      <c r="P101" s="8"/>
      <c r="Q101" s="8"/>
      <c r="R101" s="8"/>
      <c r="S101" s="8"/>
      <c r="T101" s="8"/>
      <c r="U101" s="8"/>
      <c r="V101" s="8"/>
      <c r="W101" s="8"/>
      <c r="X101" s="8"/>
      <c r="Y101" s="8"/>
      <c r="Z101" s="8"/>
      <c r="AA101" s="8"/>
    </row>
    <row r="102" spans="1:27" ht="12.75">
      <c r="A102" s="8"/>
      <c r="B102" s="59"/>
      <c r="C102" s="59"/>
      <c r="D102" s="59"/>
      <c r="E102" s="59"/>
      <c r="F102" s="8"/>
      <c r="G102" s="8"/>
      <c r="H102" s="8"/>
      <c r="I102" s="8"/>
      <c r="J102" s="8"/>
      <c r="K102" s="8"/>
      <c r="L102" s="8"/>
      <c r="M102" s="8"/>
      <c r="N102" s="8"/>
      <c r="O102" s="8"/>
      <c r="P102" s="8"/>
      <c r="Q102" s="8"/>
      <c r="R102" s="8"/>
      <c r="S102" s="8"/>
      <c r="T102" s="8"/>
      <c r="U102" s="8"/>
      <c r="V102" s="8"/>
      <c r="W102" s="8"/>
      <c r="X102" s="8"/>
      <c r="Y102" s="8"/>
      <c r="Z102" s="8"/>
      <c r="AA102" s="8"/>
    </row>
    <row r="103" spans="1:27" ht="12.75">
      <c r="A103" s="8"/>
      <c r="B103" s="59"/>
      <c r="C103" s="59"/>
      <c r="D103" s="59"/>
      <c r="E103" s="59"/>
      <c r="F103" s="8"/>
      <c r="G103" s="8"/>
      <c r="H103" s="8"/>
      <c r="I103" s="8"/>
      <c r="J103" s="8"/>
      <c r="K103" s="8"/>
      <c r="L103" s="8"/>
      <c r="M103" s="8"/>
      <c r="N103" s="8"/>
      <c r="O103" s="8"/>
      <c r="P103" s="8"/>
      <c r="Q103" s="8"/>
      <c r="R103" s="8"/>
      <c r="S103" s="8"/>
      <c r="T103" s="8"/>
      <c r="U103" s="8"/>
      <c r="V103" s="8"/>
      <c r="W103" s="8"/>
      <c r="X103" s="8"/>
      <c r="Y103" s="8"/>
      <c r="Z103" s="8"/>
      <c r="AA103" s="8"/>
    </row>
    <row r="104" spans="1:27" ht="12.75">
      <c r="A104" s="8"/>
      <c r="B104" s="59"/>
      <c r="C104" s="59"/>
      <c r="D104" s="59"/>
      <c r="E104" s="59"/>
      <c r="F104" s="8"/>
      <c r="G104" s="8"/>
      <c r="H104" s="8"/>
      <c r="I104" s="8"/>
      <c r="J104" s="8"/>
      <c r="K104" s="8"/>
      <c r="L104" s="8"/>
      <c r="M104" s="8"/>
      <c r="N104" s="8"/>
      <c r="O104" s="8"/>
      <c r="P104" s="8"/>
      <c r="Q104" s="8"/>
      <c r="R104" s="8"/>
      <c r="S104" s="8"/>
      <c r="T104" s="8"/>
      <c r="U104" s="8"/>
      <c r="V104" s="8"/>
      <c r="W104" s="8"/>
      <c r="X104" s="8"/>
      <c r="Y104" s="8"/>
      <c r="Z104" s="8"/>
      <c r="AA104" s="8"/>
    </row>
    <row r="105" spans="1:27" ht="12.75">
      <c r="A105" s="8"/>
      <c r="B105" s="59"/>
      <c r="C105" s="59"/>
      <c r="D105" s="59"/>
      <c r="E105" s="59"/>
      <c r="F105" s="8"/>
      <c r="G105" s="8"/>
      <c r="H105" s="8"/>
      <c r="I105" s="8"/>
      <c r="J105" s="8"/>
      <c r="K105" s="8"/>
      <c r="L105" s="8"/>
      <c r="M105" s="8"/>
      <c r="N105" s="8"/>
      <c r="O105" s="8"/>
      <c r="P105" s="8"/>
      <c r="Q105" s="8"/>
      <c r="R105" s="8"/>
      <c r="S105" s="8"/>
      <c r="T105" s="8"/>
      <c r="U105" s="8"/>
      <c r="V105" s="8"/>
      <c r="W105" s="8"/>
      <c r="X105" s="8"/>
      <c r="Y105" s="8"/>
      <c r="Z105" s="8"/>
      <c r="AA105" s="8"/>
    </row>
    <row r="106" spans="1:27" ht="12.75">
      <c r="A106" s="8"/>
      <c r="B106" s="59"/>
      <c r="C106" s="59"/>
      <c r="D106" s="59"/>
      <c r="E106" s="59"/>
      <c r="F106" s="8"/>
      <c r="G106" s="8"/>
      <c r="H106" s="8"/>
      <c r="I106" s="8"/>
      <c r="J106" s="8"/>
      <c r="K106" s="8"/>
      <c r="L106" s="8"/>
      <c r="M106" s="8"/>
      <c r="N106" s="8"/>
      <c r="O106" s="8"/>
      <c r="P106" s="8"/>
      <c r="Q106" s="8"/>
      <c r="R106" s="8"/>
      <c r="S106" s="8"/>
      <c r="T106" s="8"/>
      <c r="U106" s="8"/>
      <c r="V106" s="8"/>
      <c r="W106" s="8"/>
      <c r="X106" s="8"/>
      <c r="Y106" s="8"/>
      <c r="Z106" s="8"/>
      <c r="AA106" s="8"/>
    </row>
    <row r="107" spans="1:27" ht="12.75">
      <c r="A107" s="8"/>
      <c r="B107" s="59"/>
      <c r="C107" s="59"/>
      <c r="D107" s="59"/>
      <c r="E107" s="59"/>
      <c r="F107" s="8"/>
      <c r="G107" s="8"/>
      <c r="H107" s="8"/>
      <c r="I107" s="8"/>
      <c r="J107" s="8"/>
      <c r="K107" s="8"/>
      <c r="L107" s="8"/>
      <c r="M107" s="8"/>
      <c r="N107" s="8"/>
      <c r="O107" s="8"/>
      <c r="P107" s="8"/>
      <c r="Q107" s="8"/>
      <c r="R107" s="8"/>
      <c r="S107" s="8"/>
      <c r="T107" s="8"/>
      <c r="U107" s="8"/>
      <c r="V107" s="8"/>
      <c r="W107" s="8"/>
      <c r="X107" s="8"/>
      <c r="Y107" s="8"/>
      <c r="Z107" s="8"/>
      <c r="AA107" s="8"/>
    </row>
    <row r="108" spans="1:27" ht="12.75">
      <c r="A108" s="8"/>
      <c r="B108" s="59"/>
      <c r="C108" s="59"/>
      <c r="D108" s="59"/>
      <c r="E108" s="59"/>
      <c r="F108" s="8"/>
      <c r="G108" s="8"/>
      <c r="H108" s="8"/>
      <c r="I108" s="8"/>
      <c r="J108" s="8"/>
      <c r="K108" s="8"/>
      <c r="L108" s="8"/>
      <c r="M108" s="8"/>
      <c r="N108" s="8"/>
      <c r="O108" s="8"/>
      <c r="P108" s="8"/>
      <c r="Q108" s="8"/>
      <c r="R108" s="8"/>
      <c r="S108" s="8"/>
      <c r="T108" s="8"/>
      <c r="U108" s="8"/>
      <c r="V108" s="8"/>
      <c r="W108" s="8"/>
      <c r="X108" s="8"/>
      <c r="Y108" s="8"/>
      <c r="Z108" s="8"/>
      <c r="AA108" s="8"/>
    </row>
    <row r="109" spans="1:27" ht="12.75">
      <c r="A109" s="8"/>
      <c r="B109" s="59"/>
      <c r="C109" s="59"/>
      <c r="D109" s="59"/>
      <c r="E109" s="59"/>
      <c r="F109" s="8"/>
      <c r="G109" s="8"/>
      <c r="H109" s="8"/>
      <c r="I109" s="8"/>
      <c r="J109" s="8"/>
      <c r="K109" s="8"/>
      <c r="L109" s="8"/>
      <c r="M109" s="8"/>
      <c r="N109" s="8"/>
      <c r="O109" s="8"/>
      <c r="P109" s="8"/>
      <c r="Q109" s="8"/>
      <c r="R109" s="8"/>
      <c r="S109" s="8"/>
      <c r="T109" s="8"/>
      <c r="U109" s="8"/>
      <c r="V109" s="8"/>
      <c r="W109" s="8"/>
      <c r="X109" s="8"/>
      <c r="Y109" s="8"/>
      <c r="Z109" s="8"/>
      <c r="AA109" s="8"/>
    </row>
    <row r="110" spans="1:27" ht="12.75">
      <c r="A110" s="8"/>
      <c r="B110" s="59"/>
      <c r="C110" s="59"/>
      <c r="D110" s="59"/>
      <c r="E110" s="59"/>
      <c r="F110" s="8"/>
      <c r="G110" s="8"/>
      <c r="H110" s="8"/>
      <c r="I110" s="8"/>
      <c r="J110" s="8"/>
      <c r="K110" s="8"/>
      <c r="L110" s="8"/>
      <c r="M110" s="8"/>
      <c r="N110" s="8"/>
      <c r="O110" s="8"/>
      <c r="P110" s="8"/>
      <c r="Q110" s="8"/>
      <c r="R110" s="8"/>
      <c r="S110" s="8"/>
      <c r="T110" s="8"/>
      <c r="U110" s="8"/>
      <c r="V110" s="8"/>
      <c r="W110" s="8"/>
      <c r="X110" s="8"/>
      <c r="Y110" s="8"/>
      <c r="Z110" s="8"/>
      <c r="AA110" s="8"/>
    </row>
    <row r="111" spans="1:27" ht="12.75">
      <c r="A111" s="8"/>
      <c r="B111" s="59"/>
      <c r="C111" s="59"/>
      <c r="D111" s="59"/>
      <c r="E111" s="59"/>
      <c r="F111" s="8"/>
      <c r="G111" s="8"/>
      <c r="H111" s="8"/>
      <c r="I111" s="8"/>
      <c r="J111" s="8"/>
      <c r="K111" s="8"/>
      <c r="L111" s="8"/>
      <c r="M111" s="8"/>
      <c r="N111" s="8"/>
      <c r="O111" s="8"/>
      <c r="P111" s="8"/>
      <c r="Q111" s="8"/>
      <c r="R111" s="8"/>
      <c r="S111" s="8"/>
      <c r="T111" s="8"/>
      <c r="U111" s="8"/>
      <c r="V111" s="8"/>
      <c r="W111" s="8"/>
      <c r="X111" s="8"/>
      <c r="Y111" s="8"/>
      <c r="Z111" s="8"/>
      <c r="AA111" s="8"/>
    </row>
    <row r="112" spans="1:27" ht="12.75">
      <c r="A112" s="8"/>
      <c r="B112" s="59"/>
      <c r="C112" s="59"/>
      <c r="D112" s="59"/>
      <c r="E112" s="59"/>
      <c r="F112" s="8"/>
      <c r="G112" s="8"/>
      <c r="H112" s="8"/>
      <c r="I112" s="8"/>
      <c r="J112" s="8"/>
      <c r="K112" s="8"/>
      <c r="L112" s="8"/>
      <c r="M112" s="8"/>
      <c r="N112" s="8"/>
      <c r="O112" s="8"/>
      <c r="P112" s="8"/>
      <c r="Q112" s="8"/>
      <c r="R112" s="8"/>
      <c r="S112" s="8"/>
      <c r="T112" s="8"/>
      <c r="U112" s="8"/>
      <c r="V112" s="8"/>
      <c r="W112" s="8"/>
      <c r="X112" s="8"/>
      <c r="Y112" s="8"/>
      <c r="Z112" s="8"/>
      <c r="AA112" s="8"/>
    </row>
    <row r="113" spans="1:27" ht="12.75">
      <c r="A113" s="8"/>
      <c r="B113" s="59"/>
      <c r="C113" s="59"/>
      <c r="D113" s="59"/>
      <c r="E113" s="59"/>
      <c r="F113" s="8"/>
      <c r="G113" s="8"/>
      <c r="H113" s="8"/>
      <c r="I113" s="8"/>
      <c r="J113" s="8"/>
      <c r="K113" s="8"/>
      <c r="L113" s="8"/>
      <c r="M113" s="8"/>
      <c r="N113" s="8"/>
      <c r="O113" s="8"/>
      <c r="P113" s="8"/>
      <c r="Q113" s="8"/>
      <c r="R113" s="8"/>
      <c r="S113" s="8"/>
      <c r="T113" s="8"/>
      <c r="U113" s="8"/>
      <c r="V113" s="8"/>
      <c r="W113" s="8"/>
      <c r="X113" s="8"/>
      <c r="Y113" s="8"/>
      <c r="Z113" s="8"/>
      <c r="AA113" s="8"/>
    </row>
    <row r="114" spans="1:27" ht="12.75">
      <c r="A114" s="8"/>
      <c r="B114" s="59"/>
      <c r="C114" s="59"/>
      <c r="D114" s="59"/>
      <c r="E114" s="59"/>
      <c r="F114" s="8"/>
      <c r="G114" s="8"/>
      <c r="H114" s="8"/>
      <c r="I114" s="8"/>
      <c r="J114" s="8"/>
      <c r="K114" s="8"/>
      <c r="L114" s="8"/>
      <c r="M114" s="8"/>
      <c r="N114" s="8"/>
      <c r="O114" s="8"/>
      <c r="P114" s="8"/>
      <c r="Q114" s="8"/>
      <c r="R114" s="8"/>
      <c r="S114" s="8"/>
      <c r="T114" s="8"/>
      <c r="U114" s="8"/>
      <c r="V114" s="8"/>
      <c r="W114" s="8"/>
      <c r="X114" s="8"/>
      <c r="Y114" s="8"/>
      <c r="Z114" s="8"/>
      <c r="AA114" s="8"/>
    </row>
    <row r="115" spans="1:27" ht="12.75">
      <c r="A115" s="8"/>
      <c r="B115" s="59"/>
      <c r="C115" s="59"/>
      <c r="D115" s="59"/>
      <c r="E115" s="59"/>
      <c r="F115" s="8"/>
      <c r="G115" s="8"/>
      <c r="H115" s="8"/>
      <c r="I115" s="8"/>
      <c r="J115" s="8"/>
      <c r="K115" s="8"/>
      <c r="L115" s="8"/>
      <c r="M115" s="8"/>
      <c r="N115" s="8"/>
      <c r="O115" s="8"/>
      <c r="P115" s="8"/>
      <c r="Q115" s="8"/>
      <c r="R115" s="8"/>
      <c r="S115" s="8"/>
      <c r="T115" s="8"/>
      <c r="U115" s="8"/>
      <c r="V115" s="8"/>
      <c r="W115" s="8"/>
      <c r="X115" s="8"/>
      <c r="Y115" s="8"/>
      <c r="Z115" s="8"/>
      <c r="AA115" s="8"/>
    </row>
    <row r="116" spans="1:27" ht="12.75">
      <c r="A116" s="8"/>
      <c r="B116" s="59"/>
      <c r="C116" s="59"/>
      <c r="D116" s="59"/>
      <c r="E116" s="59"/>
      <c r="F116" s="8"/>
      <c r="G116" s="8"/>
      <c r="H116" s="8"/>
      <c r="I116" s="8"/>
      <c r="J116" s="8"/>
      <c r="K116" s="8"/>
      <c r="L116" s="8"/>
      <c r="M116" s="8"/>
      <c r="N116" s="8"/>
      <c r="O116" s="8"/>
      <c r="P116" s="8"/>
      <c r="Q116" s="8"/>
      <c r="R116" s="8"/>
      <c r="S116" s="8"/>
      <c r="T116" s="8"/>
      <c r="U116" s="8"/>
      <c r="V116" s="8"/>
      <c r="W116" s="8"/>
      <c r="X116" s="8"/>
      <c r="Y116" s="8"/>
      <c r="Z116" s="8"/>
      <c r="AA116" s="8"/>
    </row>
    <row r="117" spans="1:27" ht="12.75">
      <c r="A117" s="8"/>
      <c r="B117" s="59"/>
      <c r="C117" s="59"/>
      <c r="D117" s="59"/>
      <c r="E117" s="59"/>
      <c r="F117" s="8"/>
      <c r="G117" s="8"/>
      <c r="H117" s="8"/>
      <c r="I117" s="8"/>
      <c r="J117" s="8"/>
      <c r="K117" s="8"/>
      <c r="L117" s="8"/>
      <c r="M117" s="8"/>
      <c r="N117" s="8"/>
      <c r="O117" s="8"/>
      <c r="P117" s="8"/>
      <c r="Q117" s="8"/>
      <c r="R117" s="8"/>
      <c r="S117" s="8"/>
      <c r="T117" s="8"/>
      <c r="U117" s="8"/>
      <c r="V117" s="8"/>
      <c r="W117" s="8"/>
      <c r="X117" s="8"/>
      <c r="Y117" s="8"/>
      <c r="Z117" s="8"/>
      <c r="AA117" s="8"/>
    </row>
    <row r="118" spans="1:27" ht="12.75">
      <c r="A118" s="8"/>
      <c r="B118" s="59"/>
      <c r="C118" s="59"/>
      <c r="D118" s="59"/>
      <c r="E118" s="59"/>
      <c r="F118" s="8"/>
      <c r="G118" s="8"/>
      <c r="H118" s="8"/>
      <c r="I118" s="8"/>
      <c r="J118" s="8"/>
      <c r="K118" s="8"/>
      <c r="L118" s="8"/>
      <c r="M118" s="8"/>
      <c r="N118" s="8"/>
      <c r="O118" s="8"/>
      <c r="P118" s="8"/>
      <c r="Q118" s="8"/>
      <c r="R118" s="8"/>
      <c r="S118" s="8"/>
      <c r="T118" s="8"/>
      <c r="U118" s="8"/>
      <c r="V118" s="8"/>
      <c r="W118" s="8"/>
      <c r="X118" s="8"/>
      <c r="Y118" s="8"/>
      <c r="Z118" s="8"/>
      <c r="AA118" s="8"/>
    </row>
    <row r="119" spans="1:27" ht="12.75">
      <c r="A119" s="8"/>
      <c r="B119" s="59"/>
      <c r="C119" s="59"/>
      <c r="D119" s="59"/>
      <c r="E119" s="59"/>
      <c r="F119" s="8"/>
      <c r="G119" s="8"/>
      <c r="H119" s="8"/>
      <c r="I119" s="8"/>
      <c r="J119" s="8"/>
      <c r="K119" s="8"/>
      <c r="L119" s="8"/>
      <c r="M119" s="8"/>
      <c r="N119" s="8"/>
      <c r="O119" s="8"/>
      <c r="P119" s="8"/>
      <c r="Q119" s="8"/>
      <c r="R119" s="8"/>
      <c r="S119" s="8"/>
      <c r="T119" s="8"/>
      <c r="U119" s="8"/>
      <c r="V119" s="8"/>
      <c r="W119" s="8"/>
      <c r="X119" s="8"/>
      <c r="Y119" s="8"/>
      <c r="Z119" s="8"/>
      <c r="AA119" s="8"/>
    </row>
    <row r="120" spans="1:27" ht="12.75">
      <c r="A120" s="8"/>
      <c r="B120" s="59"/>
      <c r="C120" s="59"/>
      <c r="D120" s="59"/>
      <c r="E120" s="59"/>
      <c r="F120" s="8"/>
      <c r="G120" s="8"/>
      <c r="H120" s="8"/>
      <c r="I120" s="8"/>
      <c r="J120" s="8"/>
      <c r="K120" s="8"/>
      <c r="L120" s="8"/>
      <c r="M120" s="8"/>
      <c r="N120" s="8"/>
      <c r="O120" s="8"/>
      <c r="P120" s="8"/>
      <c r="Q120" s="8"/>
      <c r="R120" s="8"/>
      <c r="S120" s="8"/>
      <c r="T120" s="8"/>
      <c r="U120" s="8"/>
      <c r="V120" s="8"/>
      <c r="W120" s="8"/>
      <c r="X120" s="8"/>
      <c r="Y120" s="8"/>
      <c r="Z120" s="8"/>
      <c r="AA120" s="8"/>
    </row>
    <row r="121" spans="1:27" ht="12.75">
      <c r="A121" s="8"/>
      <c r="B121" s="59"/>
      <c r="C121" s="59"/>
      <c r="D121" s="59"/>
      <c r="E121" s="59"/>
      <c r="F121" s="8"/>
      <c r="G121" s="8"/>
      <c r="H121" s="8"/>
      <c r="I121" s="8"/>
      <c r="J121" s="8"/>
      <c r="K121" s="8"/>
      <c r="L121" s="8"/>
      <c r="M121" s="8"/>
      <c r="N121" s="8"/>
      <c r="O121" s="8"/>
      <c r="P121" s="8"/>
      <c r="Q121" s="8"/>
      <c r="R121" s="8"/>
      <c r="S121" s="8"/>
      <c r="T121" s="8"/>
      <c r="U121" s="8"/>
      <c r="V121" s="8"/>
      <c r="W121" s="8"/>
      <c r="X121" s="8"/>
      <c r="Y121" s="8"/>
      <c r="Z121" s="8"/>
      <c r="AA121" s="8"/>
    </row>
    <row r="122" spans="1:27" ht="12.75">
      <c r="A122" s="8"/>
      <c r="B122" s="59"/>
      <c r="C122" s="59"/>
      <c r="D122" s="59"/>
      <c r="E122" s="59"/>
      <c r="F122" s="8"/>
      <c r="G122" s="8"/>
      <c r="H122" s="8"/>
      <c r="I122" s="8"/>
      <c r="J122" s="8"/>
      <c r="K122" s="8"/>
      <c r="L122" s="8"/>
      <c r="M122" s="8"/>
      <c r="N122" s="8"/>
      <c r="O122" s="8"/>
      <c r="P122" s="8"/>
      <c r="Q122" s="8"/>
      <c r="R122" s="8"/>
      <c r="S122" s="8"/>
      <c r="T122" s="8"/>
      <c r="U122" s="8"/>
      <c r="V122" s="8"/>
      <c r="W122" s="8"/>
      <c r="X122" s="8"/>
      <c r="Y122" s="8"/>
      <c r="Z122" s="8"/>
      <c r="AA122" s="8"/>
    </row>
    <row r="123" spans="1:27" ht="12.75">
      <c r="A123" s="8"/>
      <c r="B123" s="59"/>
      <c r="C123" s="59"/>
      <c r="D123" s="59"/>
      <c r="E123" s="59"/>
      <c r="F123" s="8"/>
      <c r="G123" s="8"/>
      <c r="H123" s="8"/>
      <c r="I123" s="8"/>
      <c r="J123" s="8"/>
      <c r="K123" s="8"/>
      <c r="L123" s="8"/>
      <c r="M123" s="8"/>
      <c r="N123" s="8"/>
      <c r="O123" s="8"/>
      <c r="P123" s="8"/>
      <c r="Q123" s="8"/>
      <c r="R123" s="8"/>
      <c r="S123" s="8"/>
      <c r="T123" s="8"/>
      <c r="U123" s="8"/>
      <c r="V123" s="8"/>
      <c r="W123" s="8"/>
      <c r="X123" s="8"/>
      <c r="Y123" s="8"/>
      <c r="Z123" s="8"/>
      <c r="AA123" s="8"/>
    </row>
    <row r="124" spans="1:27" ht="12.75">
      <c r="A124" s="8"/>
      <c r="B124" s="59"/>
      <c r="C124" s="59"/>
      <c r="D124" s="59"/>
      <c r="E124" s="59"/>
      <c r="F124" s="8"/>
      <c r="G124" s="8"/>
      <c r="H124" s="8"/>
      <c r="I124" s="8"/>
      <c r="J124" s="8"/>
      <c r="K124" s="8"/>
      <c r="L124" s="8"/>
      <c r="M124" s="8"/>
      <c r="N124" s="8"/>
      <c r="O124" s="8"/>
      <c r="P124" s="8"/>
      <c r="Q124" s="8"/>
      <c r="R124" s="8"/>
      <c r="S124" s="8"/>
      <c r="T124" s="8"/>
      <c r="U124" s="8"/>
      <c r="V124" s="8"/>
      <c r="W124" s="8"/>
      <c r="X124" s="8"/>
      <c r="Y124" s="8"/>
      <c r="Z124" s="8"/>
      <c r="AA124" s="8"/>
    </row>
    <row r="125" spans="1:27" ht="12.75">
      <c r="A125" s="8"/>
      <c r="B125" s="59"/>
      <c r="C125" s="59"/>
      <c r="D125" s="59"/>
      <c r="E125" s="59"/>
      <c r="F125" s="8"/>
      <c r="G125" s="8"/>
      <c r="H125" s="8"/>
      <c r="I125" s="8"/>
      <c r="J125" s="8"/>
      <c r="K125" s="8"/>
      <c r="L125" s="8"/>
      <c r="M125" s="8"/>
      <c r="N125" s="8"/>
      <c r="O125" s="8"/>
      <c r="P125" s="8"/>
      <c r="Q125" s="8"/>
      <c r="R125" s="8"/>
      <c r="S125" s="8"/>
      <c r="T125" s="8"/>
      <c r="U125" s="8"/>
      <c r="V125" s="8"/>
      <c r="W125" s="8"/>
      <c r="X125" s="8"/>
      <c r="Y125" s="8"/>
      <c r="Z125" s="8"/>
      <c r="AA125" s="8"/>
    </row>
    <row r="126" spans="1:27" ht="12.75">
      <c r="A126" s="8"/>
      <c r="B126" s="59"/>
      <c r="C126" s="59"/>
      <c r="D126" s="59"/>
      <c r="E126" s="59"/>
      <c r="F126" s="8"/>
      <c r="G126" s="8"/>
      <c r="H126" s="8"/>
      <c r="I126" s="8"/>
      <c r="J126" s="8"/>
      <c r="K126" s="8"/>
      <c r="L126" s="8"/>
      <c r="M126" s="8"/>
      <c r="N126" s="8"/>
      <c r="O126" s="8"/>
      <c r="P126" s="8"/>
      <c r="Q126" s="8"/>
      <c r="R126" s="8"/>
      <c r="S126" s="8"/>
      <c r="T126" s="8"/>
      <c r="U126" s="8"/>
      <c r="V126" s="8"/>
      <c r="W126" s="8"/>
      <c r="X126" s="8"/>
      <c r="Y126" s="8"/>
      <c r="Z126" s="8"/>
      <c r="AA126" s="8"/>
    </row>
    <row r="127" spans="1:27" ht="12.75">
      <c r="A127" s="8"/>
      <c r="B127" s="59"/>
      <c r="C127" s="59"/>
      <c r="D127" s="59"/>
      <c r="E127" s="59"/>
      <c r="F127" s="8"/>
      <c r="G127" s="8"/>
      <c r="H127" s="8"/>
      <c r="I127" s="8"/>
      <c r="J127" s="8"/>
      <c r="K127" s="8"/>
      <c r="L127" s="8"/>
      <c r="M127" s="8"/>
      <c r="N127" s="8"/>
      <c r="O127" s="8"/>
      <c r="P127" s="8"/>
      <c r="Q127" s="8"/>
      <c r="R127" s="8"/>
      <c r="S127" s="8"/>
      <c r="T127" s="8"/>
      <c r="U127" s="8"/>
      <c r="V127" s="8"/>
      <c r="W127" s="8"/>
      <c r="X127" s="8"/>
      <c r="Y127" s="8"/>
      <c r="Z127" s="8"/>
      <c r="AA127" s="8"/>
    </row>
    <row r="128" spans="1:27" ht="12.75">
      <c r="A128" s="8"/>
      <c r="B128" s="59"/>
      <c r="C128" s="59"/>
      <c r="D128" s="59"/>
      <c r="E128" s="59"/>
      <c r="F128" s="8"/>
      <c r="G128" s="8"/>
      <c r="H128" s="8"/>
      <c r="I128" s="8"/>
      <c r="J128" s="8"/>
      <c r="K128" s="8"/>
      <c r="L128" s="8"/>
      <c r="M128" s="8"/>
      <c r="N128" s="8"/>
      <c r="O128" s="8"/>
      <c r="P128" s="8"/>
      <c r="Q128" s="8"/>
      <c r="R128" s="8"/>
      <c r="S128" s="8"/>
      <c r="T128" s="8"/>
      <c r="U128" s="8"/>
      <c r="V128" s="8"/>
      <c r="W128" s="8"/>
      <c r="X128" s="8"/>
      <c r="Y128" s="8"/>
      <c r="Z128" s="8"/>
      <c r="AA128" s="8"/>
    </row>
    <row r="129" spans="1:27" ht="12.75">
      <c r="A129" s="8"/>
      <c r="B129" s="59"/>
      <c r="C129" s="59"/>
      <c r="D129" s="59"/>
      <c r="E129" s="59"/>
      <c r="F129" s="8"/>
      <c r="G129" s="8"/>
      <c r="H129" s="8"/>
      <c r="I129" s="8"/>
      <c r="J129" s="8"/>
      <c r="K129" s="8"/>
      <c r="L129" s="8"/>
      <c r="M129" s="8"/>
      <c r="N129" s="8"/>
      <c r="O129" s="8"/>
      <c r="P129" s="8"/>
      <c r="Q129" s="8"/>
      <c r="R129" s="8"/>
      <c r="S129" s="8"/>
      <c r="T129" s="8"/>
      <c r="U129" s="8"/>
      <c r="V129" s="8"/>
      <c r="W129" s="8"/>
      <c r="X129" s="8"/>
      <c r="Y129" s="8"/>
      <c r="Z129" s="8"/>
      <c r="AA129" s="8"/>
    </row>
    <row r="130" spans="1:27" ht="12.75">
      <c r="A130" s="8"/>
      <c r="B130" s="59"/>
      <c r="C130" s="59"/>
      <c r="D130" s="59"/>
      <c r="E130" s="59"/>
      <c r="F130" s="8"/>
      <c r="G130" s="8"/>
      <c r="H130" s="8"/>
      <c r="I130" s="8"/>
      <c r="J130" s="8"/>
      <c r="K130" s="8"/>
      <c r="L130" s="8"/>
      <c r="M130" s="8"/>
      <c r="N130" s="8"/>
      <c r="O130" s="8"/>
      <c r="P130" s="8"/>
      <c r="Q130" s="8"/>
      <c r="R130" s="8"/>
      <c r="S130" s="8"/>
      <c r="T130" s="8"/>
      <c r="U130" s="8"/>
      <c r="V130" s="8"/>
      <c r="W130" s="8"/>
      <c r="X130" s="8"/>
      <c r="Y130" s="8"/>
      <c r="Z130" s="8"/>
      <c r="AA130" s="8"/>
    </row>
    <row r="131" spans="1:27" ht="12.75">
      <c r="A131" s="8"/>
      <c r="B131" s="59"/>
      <c r="C131" s="59"/>
      <c r="D131" s="59"/>
      <c r="E131" s="59"/>
      <c r="F131" s="8"/>
      <c r="G131" s="8"/>
      <c r="H131" s="8"/>
      <c r="I131" s="8"/>
      <c r="J131" s="8"/>
      <c r="K131" s="8"/>
      <c r="L131" s="8"/>
      <c r="M131" s="8"/>
      <c r="N131" s="8"/>
      <c r="O131" s="8"/>
      <c r="P131" s="8"/>
      <c r="Q131" s="8"/>
      <c r="R131" s="8"/>
      <c r="S131" s="8"/>
      <c r="T131" s="8"/>
      <c r="U131" s="8"/>
      <c r="V131" s="8"/>
      <c r="W131" s="8"/>
      <c r="X131" s="8"/>
      <c r="Y131" s="8"/>
      <c r="Z131" s="8"/>
      <c r="AA131" s="8"/>
    </row>
    <row r="132" spans="1:27" ht="12.75">
      <c r="A132" s="8"/>
      <c r="B132" s="59"/>
      <c r="C132" s="59"/>
      <c r="D132" s="59"/>
      <c r="E132" s="59"/>
      <c r="F132" s="8"/>
      <c r="G132" s="8"/>
      <c r="H132" s="8"/>
      <c r="I132" s="8"/>
      <c r="J132" s="8"/>
      <c r="K132" s="8"/>
      <c r="L132" s="8"/>
      <c r="M132" s="8"/>
      <c r="N132" s="8"/>
      <c r="O132" s="8"/>
      <c r="P132" s="8"/>
      <c r="Q132" s="8"/>
      <c r="R132" s="8"/>
      <c r="S132" s="8"/>
      <c r="T132" s="8"/>
      <c r="U132" s="8"/>
      <c r="V132" s="8"/>
      <c r="W132" s="8"/>
      <c r="X132" s="8"/>
      <c r="Y132" s="8"/>
      <c r="Z132" s="8"/>
      <c r="AA132" s="8"/>
    </row>
    <row r="133" spans="1:27" ht="12.75">
      <c r="A133" s="8"/>
      <c r="B133" s="59"/>
      <c r="C133" s="59"/>
      <c r="D133" s="59"/>
      <c r="E133" s="59"/>
      <c r="F133" s="8"/>
      <c r="G133" s="8"/>
      <c r="H133" s="8"/>
      <c r="I133" s="8"/>
      <c r="J133" s="8"/>
      <c r="K133" s="8"/>
      <c r="L133" s="8"/>
      <c r="M133" s="8"/>
      <c r="N133" s="8"/>
      <c r="O133" s="8"/>
      <c r="P133" s="8"/>
      <c r="Q133" s="8"/>
      <c r="R133" s="8"/>
      <c r="S133" s="8"/>
      <c r="T133" s="8"/>
      <c r="U133" s="8"/>
      <c r="V133" s="8"/>
      <c r="W133" s="8"/>
      <c r="X133" s="8"/>
      <c r="Y133" s="8"/>
      <c r="Z133" s="8"/>
      <c r="AA133" s="8"/>
    </row>
    <row r="134" spans="1:27" ht="12.75">
      <c r="A134" s="8"/>
      <c r="B134" s="59"/>
      <c r="C134" s="59"/>
      <c r="D134" s="59"/>
      <c r="E134" s="59"/>
      <c r="F134" s="8"/>
      <c r="G134" s="8"/>
      <c r="H134" s="8"/>
      <c r="I134" s="8"/>
      <c r="J134" s="8"/>
      <c r="K134" s="8"/>
      <c r="L134" s="8"/>
      <c r="M134" s="8"/>
      <c r="N134" s="8"/>
      <c r="O134" s="8"/>
      <c r="P134" s="8"/>
      <c r="Q134" s="8"/>
      <c r="R134" s="8"/>
      <c r="S134" s="8"/>
      <c r="T134" s="8"/>
      <c r="U134" s="8"/>
      <c r="V134" s="8"/>
      <c r="W134" s="8"/>
      <c r="X134" s="8"/>
      <c r="Y134" s="8"/>
      <c r="Z134" s="8"/>
      <c r="AA134" s="8"/>
    </row>
    <row r="135" spans="1:27" ht="12.75">
      <c r="A135" s="8"/>
      <c r="B135" s="59"/>
      <c r="C135" s="59"/>
      <c r="D135" s="59"/>
      <c r="E135" s="59"/>
      <c r="F135" s="8"/>
      <c r="G135" s="8"/>
      <c r="H135" s="8"/>
      <c r="I135" s="8"/>
      <c r="J135" s="8"/>
      <c r="K135" s="8"/>
      <c r="L135" s="8"/>
      <c r="M135" s="8"/>
      <c r="N135" s="8"/>
      <c r="O135" s="8"/>
      <c r="P135" s="8"/>
      <c r="Q135" s="8"/>
      <c r="R135" s="8"/>
      <c r="S135" s="8"/>
      <c r="T135" s="8"/>
      <c r="U135" s="8"/>
      <c r="V135" s="8"/>
      <c r="W135" s="8"/>
      <c r="X135" s="8"/>
      <c r="Y135" s="8"/>
      <c r="Z135" s="8"/>
      <c r="AA135" s="8"/>
    </row>
    <row r="136" spans="1:27" ht="12.75">
      <c r="A136" s="8"/>
      <c r="B136" s="59"/>
      <c r="C136" s="59"/>
      <c r="D136" s="59"/>
      <c r="E136" s="59"/>
      <c r="F136" s="8"/>
      <c r="G136" s="8"/>
      <c r="H136" s="8"/>
      <c r="I136" s="8"/>
      <c r="J136" s="8"/>
      <c r="K136" s="8"/>
      <c r="L136" s="8"/>
      <c r="M136" s="8"/>
      <c r="N136" s="8"/>
      <c r="O136" s="8"/>
      <c r="P136" s="8"/>
      <c r="Q136" s="8"/>
      <c r="R136" s="8"/>
      <c r="S136" s="8"/>
      <c r="T136" s="8"/>
      <c r="U136" s="8"/>
      <c r="V136" s="8"/>
      <c r="W136" s="8"/>
      <c r="X136" s="8"/>
      <c r="Y136" s="8"/>
      <c r="Z136" s="8"/>
      <c r="AA136" s="8"/>
    </row>
    <row r="137" spans="1:27" ht="12.75">
      <c r="A137" s="8"/>
      <c r="B137" s="59"/>
      <c r="C137" s="59"/>
      <c r="D137" s="59"/>
      <c r="E137" s="59"/>
      <c r="F137" s="8"/>
      <c r="G137" s="8"/>
      <c r="H137" s="8"/>
      <c r="I137" s="8"/>
      <c r="J137" s="8"/>
      <c r="K137" s="8"/>
      <c r="L137" s="8"/>
      <c r="M137" s="8"/>
      <c r="N137" s="8"/>
      <c r="O137" s="8"/>
      <c r="P137" s="8"/>
      <c r="Q137" s="8"/>
      <c r="R137" s="8"/>
      <c r="S137" s="8"/>
      <c r="T137" s="8"/>
      <c r="U137" s="8"/>
      <c r="V137" s="8"/>
      <c r="W137" s="8"/>
      <c r="X137" s="8"/>
      <c r="Y137" s="8"/>
      <c r="Z137" s="8"/>
      <c r="AA137" s="8"/>
    </row>
    <row r="138" spans="1:27" ht="12.75">
      <c r="A138" s="8"/>
      <c r="B138" s="59"/>
      <c r="C138" s="59"/>
      <c r="D138" s="59"/>
      <c r="E138" s="59"/>
      <c r="F138" s="8"/>
      <c r="G138" s="8"/>
      <c r="H138" s="8"/>
      <c r="I138" s="8"/>
      <c r="J138" s="8"/>
      <c r="K138" s="8"/>
      <c r="L138" s="8"/>
      <c r="M138" s="8"/>
      <c r="N138" s="8"/>
      <c r="O138" s="8"/>
      <c r="P138" s="8"/>
      <c r="Q138" s="8"/>
      <c r="R138" s="8"/>
      <c r="S138" s="8"/>
      <c r="T138" s="8"/>
      <c r="U138" s="8"/>
      <c r="V138" s="8"/>
      <c r="W138" s="8"/>
      <c r="X138" s="8"/>
      <c r="Y138" s="8"/>
      <c r="Z138" s="8"/>
      <c r="AA138" s="8"/>
    </row>
    <row r="139" spans="1:27" ht="12.75">
      <c r="A139" s="8"/>
      <c r="B139" s="59"/>
      <c r="C139" s="59"/>
      <c r="D139" s="59"/>
      <c r="E139" s="59"/>
      <c r="F139" s="8"/>
      <c r="G139" s="8"/>
      <c r="H139" s="8"/>
      <c r="I139" s="8"/>
      <c r="J139" s="8"/>
      <c r="K139" s="8"/>
      <c r="L139" s="8"/>
      <c r="M139" s="8"/>
      <c r="N139" s="8"/>
      <c r="O139" s="8"/>
      <c r="P139" s="8"/>
      <c r="Q139" s="8"/>
      <c r="R139" s="8"/>
      <c r="S139" s="8"/>
      <c r="T139" s="8"/>
      <c r="U139" s="8"/>
      <c r="V139" s="8"/>
      <c r="W139" s="8"/>
      <c r="X139" s="8"/>
      <c r="Y139" s="8"/>
      <c r="Z139" s="8"/>
      <c r="AA139" s="8"/>
    </row>
    <row r="140" spans="1:27" ht="12.75">
      <c r="A140" s="8"/>
      <c r="B140" s="59"/>
      <c r="C140" s="59"/>
      <c r="D140" s="59"/>
      <c r="E140" s="59"/>
      <c r="F140" s="8"/>
      <c r="G140" s="8"/>
      <c r="H140" s="8"/>
      <c r="I140" s="8"/>
      <c r="J140" s="8"/>
      <c r="K140" s="8"/>
      <c r="L140" s="8"/>
      <c r="M140" s="8"/>
      <c r="N140" s="8"/>
      <c r="O140" s="8"/>
      <c r="P140" s="8"/>
      <c r="Q140" s="8"/>
      <c r="R140" s="8"/>
      <c r="S140" s="8"/>
      <c r="T140" s="8"/>
      <c r="U140" s="8"/>
      <c r="V140" s="8"/>
      <c r="W140" s="8"/>
      <c r="X140" s="8"/>
      <c r="Y140" s="8"/>
      <c r="Z140" s="8"/>
      <c r="AA140" s="8"/>
    </row>
    <row r="141" spans="1:27" ht="12.75">
      <c r="A141" s="8"/>
      <c r="B141" s="59"/>
      <c r="C141" s="59"/>
      <c r="D141" s="59"/>
      <c r="E141" s="59"/>
      <c r="F141" s="8"/>
      <c r="G141" s="8"/>
      <c r="H141" s="8"/>
      <c r="I141" s="8"/>
      <c r="J141" s="8"/>
      <c r="K141" s="8"/>
      <c r="L141" s="8"/>
      <c r="M141" s="8"/>
      <c r="N141" s="8"/>
      <c r="O141" s="8"/>
      <c r="P141" s="8"/>
      <c r="Q141" s="8"/>
      <c r="R141" s="8"/>
      <c r="S141" s="8"/>
      <c r="T141" s="8"/>
      <c r="U141" s="8"/>
      <c r="V141" s="8"/>
      <c r="W141" s="8"/>
      <c r="X141" s="8"/>
      <c r="Y141" s="8"/>
      <c r="Z141" s="8"/>
      <c r="AA141" s="8"/>
    </row>
    <row r="142" spans="1:27" ht="12.75">
      <c r="A142" s="8"/>
      <c r="B142" s="59"/>
      <c r="C142" s="59"/>
      <c r="D142" s="59"/>
      <c r="E142" s="59"/>
      <c r="F142" s="8"/>
      <c r="G142" s="8"/>
      <c r="H142" s="8"/>
      <c r="I142" s="8"/>
      <c r="J142" s="8"/>
      <c r="K142" s="8"/>
      <c r="L142" s="8"/>
      <c r="M142" s="8"/>
      <c r="N142" s="8"/>
      <c r="O142" s="8"/>
      <c r="P142" s="8"/>
      <c r="Q142" s="8"/>
      <c r="R142" s="8"/>
      <c r="S142" s="8"/>
      <c r="T142" s="8"/>
      <c r="U142" s="8"/>
      <c r="V142" s="8"/>
      <c r="W142" s="8"/>
      <c r="X142" s="8"/>
      <c r="Y142" s="8"/>
      <c r="Z142" s="8"/>
      <c r="AA142" s="8"/>
    </row>
    <row r="143" spans="1:27" ht="12.75">
      <c r="A143" s="8"/>
      <c r="B143" s="59"/>
      <c r="C143" s="59"/>
      <c r="D143" s="59"/>
      <c r="E143" s="59"/>
      <c r="F143" s="8"/>
      <c r="G143" s="8"/>
      <c r="H143" s="8"/>
      <c r="I143" s="8"/>
      <c r="J143" s="8"/>
      <c r="K143" s="8"/>
      <c r="L143" s="8"/>
      <c r="M143" s="8"/>
      <c r="N143" s="8"/>
      <c r="O143" s="8"/>
      <c r="P143" s="8"/>
      <c r="Q143" s="8"/>
      <c r="R143" s="8"/>
      <c r="S143" s="8"/>
      <c r="T143" s="8"/>
      <c r="U143" s="8"/>
      <c r="V143" s="8"/>
      <c r="W143" s="8"/>
      <c r="X143" s="8"/>
      <c r="Y143" s="8"/>
      <c r="Z143" s="8"/>
      <c r="AA143" s="8"/>
    </row>
    <row r="144" spans="1:27" ht="12.75">
      <c r="A144" s="8"/>
      <c r="B144" s="59"/>
      <c r="C144" s="59"/>
      <c r="D144" s="59"/>
      <c r="E144" s="59"/>
      <c r="F144" s="8"/>
      <c r="G144" s="8"/>
      <c r="H144" s="8"/>
      <c r="I144" s="8"/>
      <c r="J144" s="8"/>
      <c r="K144" s="8"/>
      <c r="L144" s="8"/>
      <c r="M144" s="8"/>
      <c r="N144" s="8"/>
      <c r="O144" s="8"/>
      <c r="P144" s="8"/>
      <c r="Q144" s="8"/>
      <c r="R144" s="8"/>
      <c r="S144" s="8"/>
      <c r="T144" s="8"/>
      <c r="U144" s="8"/>
      <c r="V144" s="8"/>
      <c r="W144" s="8"/>
      <c r="X144" s="8"/>
      <c r="Y144" s="8"/>
      <c r="Z144" s="8"/>
      <c r="AA144" s="8"/>
    </row>
    <row r="145" spans="1:27" ht="12.75">
      <c r="A145" s="8"/>
      <c r="B145" s="59"/>
      <c r="C145" s="59"/>
      <c r="D145" s="59"/>
      <c r="E145" s="59"/>
      <c r="F145" s="8"/>
      <c r="G145" s="8"/>
      <c r="H145" s="8"/>
      <c r="I145" s="8"/>
      <c r="J145" s="8"/>
      <c r="K145" s="8"/>
      <c r="L145" s="8"/>
      <c r="M145" s="8"/>
      <c r="N145" s="8"/>
      <c r="O145" s="8"/>
      <c r="P145" s="8"/>
      <c r="Q145" s="8"/>
      <c r="R145" s="8"/>
      <c r="S145" s="8"/>
      <c r="T145" s="8"/>
      <c r="U145" s="8"/>
      <c r="V145" s="8"/>
      <c r="W145" s="8"/>
      <c r="X145" s="8"/>
      <c r="Y145" s="8"/>
      <c r="Z145" s="8"/>
      <c r="AA145" s="8"/>
    </row>
    <row r="146" spans="1:27" ht="12.75">
      <c r="A146" s="8"/>
      <c r="B146" s="59"/>
      <c r="C146" s="59"/>
      <c r="D146" s="59"/>
      <c r="E146" s="59"/>
      <c r="F146" s="8"/>
      <c r="G146" s="8"/>
      <c r="H146" s="8"/>
      <c r="I146" s="8"/>
      <c r="J146" s="8"/>
      <c r="K146" s="8"/>
      <c r="L146" s="8"/>
      <c r="M146" s="8"/>
      <c r="N146" s="8"/>
      <c r="O146" s="8"/>
      <c r="P146" s="8"/>
      <c r="Q146" s="8"/>
      <c r="R146" s="8"/>
      <c r="S146" s="8"/>
      <c r="T146" s="8"/>
      <c r="U146" s="8"/>
      <c r="V146" s="8"/>
      <c r="W146" s="8"/>
      <c r="X146" s="8"/>
      <c r="Y146" s="8"/>
      <c r="Z146" s="8"/>
      <c r="AA146" s="8"/>
    </row>
    <row r="147" spans="1:27" ht="12.75">
      <c r="A147" s="8"/>
      <c r="B147" s="59"/>
      <c r="C147" s="59"/>
      <c r="D147" s="59"/>
      <c r="E147" s="59"/>
      <c r="F147" s="8"/>
      <c r="G147" s="8"/>
      <c r="H147" s="8"/>
      <c r="I147" s="8"/>
      <c r="J147" s="8"/>
      <c r="K147" s="8"/>
      <c r="L147" s="8"/>
      <c r="M147" s="8"/>
      <c r="N147" s="8"/>
      <c r="O147" s="8"/>
      <c r="P147" s="8"/>
      <c r="Q147" s="8"/>
      <c r="R147" s="8"/>
      <c r="S147" s="8"/>
      <c r="T147" s="8"/>
      <c r="U147" s="8"/>
      <c r="V147" s="8"/>
      <c r="W147" s="8"/>
      <c r="X147" s="8"/>
      <c r="Y147" s="8"/>
      <c r="Z147" s="8"/>
      <c r="AA147" s="8"/>
    </row>
    <row r="148" spans="1:27" ht="12.75">
      <c r="A148" s="8"/>
      <c r="B148" s="59"/>
      <c r="C148" s="59"/>
      <c r="D148" s="59"/>
      <c r="E148" s="59"/>
      <c r="F148" s="8"/>
      <c r="G148" s="8"/>
      <c r="H148" s="8"/>
      <c r="I148" s="8"/>
      <c r="J148" s="8"/>
      <c r="K148" s="8"/>
      <c r="L148" s="8"/>
      <c r="M148" s="8"/>
      <c r="N148" s="8"/>
      <c r="O148" s="8"/>
      <c r="P148" s="8"/>
      <c r="Q148" s="8"/>
      <c r="R148" s="8"/>
      <c r="S148" s="8"/>
      <c r="T148" s="8"/>
      <c r="U148" s="8"/>
      <c r="V148" s="8"/>
      <c r="W148" s="8"/>
      <c r="X148" s="8"/>
      <c r="Y148" s="8"/>
      <c r="Z148" s="8"/>
      <c r="AA148" s="8"/>
    </row>
    <row r="149" spans="1:27" ht="12.75">
      <c r="A149" s="8"/>
      <c r="B149" s="59"/>
      <c r="C149" s="59"/>
      <c r="D149" s="59"/>
      <c r="E149" s="59"/>
      <c r="F149" s="8"/>
      <c r="G149" s="8"/>
      <c r="H149" s="8"/>
      <c r="I149" s="8"/>
      <c r="J149" s="8"/>
      <c r="K149" s="8"/>
      <c r="L149" s="8"/>
      <c r="M149" s="8"/>
      <c r="N149" s="8"/>
      <c r="O149" s="8"/>
      <c r="P149" s="8"/>
      <c r="Q149" s="8"/>
      <c r="R149" s="8"/>
      <c r="S149" s="8"/>
      <c r="T149" s="8"/>
      <c r="U149" s="8"/>
      <c r="V149" s="8"/>
      <c r="W149" s="8"/>
      <c r="X149" s="8"/>
      <c r="Y149" s="8"/>
      <c r="Z149" s="8"/>
      <c r="AA149" s="8"/>
    </row>
    <row r="150" spans="1:27" ht="12.75">
      <c r="A150" s="8"/>
      <c r="B150" s="59"/>
      <c r="C150" s="59"/>
      <c r="D150" s="59"/>
      <c r="E150" s="59"/>
      <c r="F150" s="8"/>
      <c r="G150" s="8"/>
      <c r="H150" s="8"/>
      <c r="I150" s="8"/>
      <c r="J150" s="8"/>
      <c r="K150" s="8"/>
      <c r="L150" s="8"/>
      <c r="M150" s="8"/>
      <c r="N150" s="8"/>
      <c r="O150" s="8"/>
      <c r="P150" s="8"/>
      <c r="Q150" s="8"/>
      <c r="R150" s="8"/>
      <c r="S150" s="8"/>
      <c r="T150" s="8"/>
      <c r="U150" s="8"/>
      <c r="V150" s="8"/>
      <c r="W150" s="8"/>
      <c r="X150" s="8"/>
      <c r="Y150" s="8"/>
      <c r="Z150" s="8"/>
      <c r="AA150" s="8"/>
    </row>
    <row r="151" spans="1:27" ht="12.75">
      <c r="A151" s="8"/>
      <c r="B151" s="59"/>
      <c r="C151" s="59"/>
      <c r="D151" s="59"/>
      <c r="E151" s="59"/>
      <c r="F151" s="8"/>
      <c r="G151" s="8"/>
      <c r="H151" s="8"/>
      <c r="I151" s="8"/>
      <c r="J151" s="8"/>
      <c r="K151" s="8"/>
      <c r="L151" s="8"/>
      <c r="M151" s="8"/>
      <c r="N151" s="8"/>
      <c r="O151" s="8"/>
      <c r="P151" s="8"/>
      <c r="Q151" s="8"/>
      <c r="R151" s="8"/>
      <c r="S151" s="8"/>
      <c r="T151" s="8"/>
      <c r="U151" s="8"/>
      <c r="V151" s="8"/>
      <c r="W151" s="8"/>
      <c r="X151" s="8"/>
      <c r="Y151" s="8"/>
      <c r="Z151" s="8"/>
      <c r="AA151" s="8"/>
    </row>
    <row r="152" spans="1:27" ht="12.75">
      <c r="A152" s="8"/>
      <c r="B152" s="59"/>
      <c r="C152" s="59"/>
      <c r="D152" s="59"/>
      <c r="E152" s="59"/>
      <c r="F152" s="8"/>
      <c r="G152" s="8"/>
      <c r="H152" s="8"/>
      <c r="I152" s="8"/>
      <c r="J152" s="8"/>
      <c r="K152" s="8"/>
      <c r="L152" s="8"/>
      <c r="M152" s="8"/>
      <c r="N152" s="8"/>
      <c r="O152" s="8"/>
      <c r="P152" s="8"/>
      <c r="Q152" s="8"/>
      <c r="R152" s="8"/>
      <c r="S152" s="8"/>
      <c r="T152" s="8"/>
      <c r="U152" s="8"/>
      <c r="V152" s="8"/>
      <c r="W152" s="8"/>
      <c r="X152" s="8"/>
      <c r="Y152" s="8"/>
      <c r="Z152" s="8"/>
      <c r="AA152" s="8"/>
    </row>
    <row r="153" spans="1:27" ht="12.75">
      <c r="A153" s="8"/>
      <c r="B153" s="59"/>
      <c r="C153" s="59"/>
      <c r="D153" s="59"/>
      <c r="E153" s="59"/>
      <c r="F153" s="8"/>
      <c r="G153" s="8"/>
      <c r="H153" s="8"/>
      <c r="I153" s="8"/>
      <c r="J153" s="8"/>
      <c r="K153" s="8"/>
      <c r="L153" s="8"/>
      <c r="M153" s="8"/>
      <c r="N153" s="8"/>
      <c r="O153" s="8"/>
      <c r="P153" s="8"/>
      <c r="Q153" s="8"/>
      <c r="R153" s="8"/>
      <c r="S153" s="8"/>
      <c r="T153" s="8"/>
      <c r="U153" s="8"/>
      <c r="V153" s="8"/>
      <c r="W153" s="8"/>
      <c r="X153" s="8"/>
      <c r="Y153" s="8"/>
      <c r="Z153" s="8"/>
      <c r="AA153" s="8"/>
    </row>
    <row r="154" spans="1:27" ht="12.75">
      <c r="A154" s="8"/>
      <c r="B154" s="59"/>
      <c r="C154" s="59"/>
      <c r="D154" s="59"/>
      <c r="E154" s="59"/>
      <c r="F154" s="8"/>
      <c r="G154" s="8"/>
      <c r="H154" s="8"/>
      <c r="I154" s="8"/>
      <c r="J154" s="8"/>
      <c r="K154" s="8"/>
      <c r="L154" s="8"/>
      <c r="M154" s="8"/>
      <c r="N154" s="8"/>
      <c r="O154" s="8"/>
      <c r="P154" s="8"/>
      <c r="Q154" s="8"/>
      <c r="R154" s="8"/>
      <c r="S154" s="8"/>
      <c r="T154" s="8"/>
      <c r="U154" s="8"/>
      <c r="V154" s="8"/>
      <c r="W154" s="8"/>
      <c r="X154" s="8"/>
      <c r="Y154" s="8"/>
      <c r="Z154" s="8"/>
      <c r="AA154" s="8"/>
    </row>
    <row r="155" spans="1:27" ht="12.75">
      <c r="A155" s="8"/>
      <c r="B155" s="59"/>
      <c r="C155" s="59"/>
      <c r="D155" s="59"/>
      <c r="E155" s="59"/>
      <c r="F155" s="8"/>
      <c r="G155" s="8"/>
      <c r="H155" s="8"/>
      <c r="I155" s="8"/>
      <c r="J155" s="8"/>
      <c r="K155" s="8"/>
      <c r="L155" s="8"/>
      <c r="M155" s="8"/>
      <c r="N155" s="8"/>
      <c r="O155" s="8"/>
      <c r="P155" s="8"/>
      <c r="Q155" s="8"/>
      <c r="R155" s="8"/>
      <c r="S155" s="8"/>
      <c r="T155" s="8"/>
      <c r="U155" s="8"/>
      <c r="V155" s="8"/>
      <c r="W155" s="8"/>
      <c r="X155" s="8"/>
      <c r="Y155" s="8"/>
      <c r="Z155" s="8"/>
      <c r="AA155" s="8"/>
    </row>
    <row r="156" spans="1:27" ht="12.75">
      <c r="A156" s="8"/>
      <c r="B156" s="59"/>
      <c r="C156" s="59"/>
      <c r="D156" s="59"/>
      <c r="E156" s="59"/>
      <c r="F156" s="8"/>
      <c r="G156" s="8"/>
      <c r="H156" s="8"/>
      <c r="I156" s="8"/>
      <c r="J156" s="8"/>
      <c r="K156" s="8"/>
      <c r="L156" s="8"/>
      <c r="M156" s="8"/>
      <c r="N156" s="8"/>
      <c r="O156" s="8"/>
      <c r="P156" s="8"/>
      <c r="Q156" s="8"/>
      <c r="R156" s="8"/>
      <c r="S156" s="8"/>
      <c r="T156" s="8"/>
      <c r="U156" s="8"/>
      <c r="V156" s="8"/>
      <c r="W156" s="8"/>
      <c r="X156" s="8"/>
      <c r="Y156" s="8"/>
      <c r="Z156" s="8"/>
      <c r="AA156" s="8"/>
    </row>
    <row r="157" spans="1:27" ht="12.75">
      <c r="A157" s="8"/>
      <c r="B157" s="59"/>
      <c r="C157" s="59"/>
      <c r="D157" s="59"/>
      <c r="E157" s="59"/>
      <c r="F157" s="8"/>
      <c r="G157" s="8"/>
      <c r="H157" s="8"/>
      <c r="I157" s="8"/>
      <c r="J157" s="8"/>
      <c r="K157" s="8"/>
      <c r="L157" s="8"/>
      <c r="M157" s="8"/>
      <c r="N157" s="8"/>
      <c r="O157" s="8"/>
      <c r="P157" s="8"/>
      <c r="Q157" s="8"/>
      <c r="R157" s="8"/>
      <c r="S157" s="8"/>
      <c r="T157" s="8"/>
      <c r="U157" s="8"/>
      <c r="V157" s="8"/>
      <c r="W157" s="8"/>
      <c r="X157" s="8"/>
      <c r="Y157" s="8"/>
      <c r="Z157" s="8"/>
      <c r="AA157" s="8"/>
    </row>
    <row r="158" spans="1:27" ht="12.75">
      <c r="A158" s="8"/>
      <c r="B158" s="59"/>
      <c r="C158" s="59"/>
      <c r="D158" s="59"/>
      <c r="E158" s="59"/>
      <c r="F158" s="8"/>
      <c r="G158" s="8"/>
      <c r="H158" s="8"/>
      <c r="I158" s="8"/>
      <c r="J158" s="8"/>
      <c r="K158" s="8"/>
      <c r="L158" s="8"/>
      <c r="M158" s="8"/>
      <c r="N158" s="8"/>
      <c r="O158" s="8"/>
      <c r="P158" s="8"/>
      <c r="Q158" s="8"/>
      <c r="R158" s="8"/>
      <c r="S158" s="8"/>
      <c r="T158" s="8"/>
      <c r="U158" s="8"/>
      <c r="V158" s="8"/>
      <c r="W158" s="8"/>
      <c r="X158" s="8"/>
      <c r="Y158" s="8"/>
      <c r="Z158" s="8"/>
      <c r="AA158" s="8"/>
    </row>
    <row r="159" spans="1:27" ht="12.75">
      <c r="A159" s="8"/>
      <c r="B159" s="59"/>
      <c r="C159" s="59"/>
      <c r="D159" s="59"/>
      <c r="E159" s="59"/>
      <c r="F159" s="8"/>
      <c r="G159" s="8"/>
      <c r="H159" s="8"/>
      <c r="I159" s="8"/>
      <c r="J159" s="8"/>
      <c r="K159" s="8"/>
      <c r="L159" s="8"/>
      <c r="M159" s="8"/>
      <c r="N159" s="8"/>
      <c r="O159" s="8"/>
      <c r="P159" s="8"/>
      <c r="Q159" s="8"/>
      <c r="R159" s="8"/>
      <c r="S159" s="8"/>
      <c r="T159" s="8"/>
      <c r="U159" s="8"/>
      <c r="V159" s="8"/>
      <c r="W159" s="8"/>
      <c r="X159" s="8"/>
      <c r="Y159" s="8"/>
      <c r="Z159" s="8"/>
      <c r="AA159" s="8"/>
    </row>
    <row r="160" spans="1:27" ht="12.75">
      <c r="A160" s="8"/>
      <c r="B160" s="59"/>
      <c r="C160" s="59"/>
      <c r="D160" s="59"/>
      <c r="E160" s="59"/>
      <c r="F160" s="8"/>
      <c r="G160" s="8"/>
      <c r="H160" s="8"/>
      <c r="I160" s="8"/>
      <c r="J160" s="8"/>
      <c r="K160" s="8"/>
      <c r="L160" s="8"/>
      <c r="M160" s="8"/>
      <c r="N160" s="8"/>
      <c r="O160" s="8"/>
      <c r="P160" s="8"/>
      <c r="Q160" s="8"/>
      <c r="R160" s="8"/>
      <c r="S160" s="8"/>
      <c r="T160" s="8"/>
      <c r="U160" s="8"/>
      <c r="V160" s="8"/>
      <c r="W160" s="8"/>
      <c r="X160" s="8"/>
      <c r="Y160" s="8"/>
      <c r="Z160" s="8"/>
      <c r="AA160" s="8"/>
    </row>
    <row r="161" spans="1:27" ht="12.75">
      <c r="A161" s="8"/>
      <c r="B161" s="59"/>
      <c r="C161" s="59"/>
      <c r="D161" s="59"/>
      <c r="E161" s="59"/>
      <c r="F161" s="8"/>
      <c r="G161" s="8"/>
      <c r="H161" s="8"/>
      <c r="I161" s="8"/>
      <c r="J161" s="8"/>
      <c r="K161" s="8"/>
      <c r="L161" s="8"/>
      <c r="M161" s="8"/>
      <c r="N161" s="8"/>
      <c r="O161" s="8"/>
      <c r="P161" s="8"/>
      <c r="Q161" s="8"/>
      <c r="R161" s="8"/>
      <c r="S161" s="8"/>
      <c r="T161" s="8"/>
      <c r="U161" s="8"/>
      <c r="V161" s="8"/>
      <c r="W161" s="8"/>
      <c r="X161" s="8"/>
      <c r="Y161" s="8"/>
      <c r="Z161" s="8"/>
      <c r="AA161" s="8"/>
    </row>
    <row r="162" spans="1:27" ht="12.75">
      <c r="A162" s="8"/>
      <c r="B162" s="59"/>
      <c r="C162" s="59"/>
      <c r="D162" s="59"/>
      <c r="E162" s="59"/>
      <c r="F162" s="8"/>
      <c r="G162" s="8"/>
      <c r="H162" s="8"/>
      <c r="I162" s="8"/>
      <c r="J162" s="8"/>
      <c r="K162" s="8"/>
      <c r="L162" s="8"/>
      <c r="M162" s="8"/>
      <c r="N162" s="8"/>
      <c r="O162" s="8"/>
      <c r="P162" s="8"/>
      <c r="Q162" s="8"/>
      <c r="R162" s="8"/>
      <c r="S162" s="8"/>
      <c r="T162" s="8"/>
      <c r="U162" s="8"/>
      <c r="V162" s="8"/>
      <c r="W162" s="8"/>
      <c r="X162" s="8"/>
      <c r="Y162" s="8"/>
      <c r="Z162" s="8"/>
      <c r="AA162" s="8"/>
    </row>
    <row r="163" spans="1:27" ht="12.75">
      <c r="A163" s="8"/>
      <c r="B163" s="59"/>
      <c r="C163" s="59"/>
      <c r="D163" s="59"/>
      <c r="E163" s="59"/>
      <c r="F163" s="8"/>
      <c r="G163" s="8"/>
      <c r="H163" s="8"/>
      <c r="I163" s="8"/>
      <c r="J163" s="8"/>
      <c r="K163" s="8"/>
      <c r="L163" s="8"/>
      <c r="M163" s="8"/>
      <c r="N163" s="8"/>
      <c r="O163" s="8"/>
      <c r="P163" s="8"/>
      <c r="Q163" s="8"/>
      <c r="R163" s="8"/>
      <c r="S163" s="8"/>
      <c r="T163" s="8"/>
      <c r="U163" s="8"/>
      <c r="V163" s="8"/>
      <c r="W163" s="8"/>
      <c r="X163" s="8"/>
      <c r="Y163" s="8"/>
      <c r="Z163" s="8"/>
      <c r="AA163" s="8"/>
    </row>
    <row r="164" spans="1:27" ht="12.75">
      <c r="A164" s="8"/>
      <c r="B164" s="59"/>
      <c r="C164" s="59"/>
      <c r="D164" s="59"/>
      <c r="E164" s="59"/>
      <c r="F164" s="8"/>
      <c r="G164" s="8"/>
      <c r="H164" s="8"/>
      <c r="I164" s="8"/>
      <c r="J164" s="8"/>
      <c r="K164" s="8"/>
      <c r="L164" s="8"/>
      <c r="M164" s="8"/>
      <c r="N164" s="8"/>
      <c r="O164" s="8"/>
      <c r="P164" s="8"/>
      <c r="Q164" s="8"/>
      <c r="R164" s="8"/>
      <c r="S164" s="8"/>
      <c r="T164" s="8"/>
      <c r="U164" s="8"/>
      <c r="V164" s="8"/>
      <c r="W164" s="8"/>
      <c r="X164" s="8"/>
      <c r="Y164" s="8"/>
      <c r="Z164" s="8"/>
      <c r="AA164" s="8"/>
    </row>
    <row r="165" spans="1:27" ht="12.75">
      <c r="A165" s="8"/>
      <c r="B165" s="59"/>
      <c r="C165" s="59"/>
      <c r="D165" s="59"/>
      <c r="E165" s="59"/>
      <c r="F165" s="8"/>
      <c r="G165" s="8"/>
      <c r="H165" s="8"/>
      <c r="I165" s="8"/>
      <c r="J165" s="8"/>
      <c r="K165" s="8"/>
      <c r="L165" s="8"/>
      <c r="M165" s="8"/>
      <c r="N165" s="8"/>
      <c r="O165" s="8"/>
      <c r="P165" s="8"/>
      <c r="Q165" s="8"/>
      <c r="R165" s="8"/>
      <c r="S165" s="8"/>
      <c r="T165" s="8"/>
      <c r="U165" s="8"/>
      <c r="V165" s="8"/>
      <c r="W165" s="8"/>
      <c r="X165" s="8"/>
      <c r="Y165" s="8"/>
      <c r="Z165" s="8"/>
      <c r="AA165" s="8"/>
    </row>
    <row r="166" spans="1:27" ht="12.75">
      <c r="A166" s="8"/>
      <c r="B166" s="59"/>
      <c r="C166" s="59"/>
      <c r="D166" s="59"/>
      <c r="E166" s="59"/>
      <c r="F166" s="8"/>
      <c r="G166" s="8"/>
      <c r="H166" s="8"/>
      <c r="I166" s="8"/>
      <c r="J166" s="8"/>
      <c r="K166" s="8"/>
      <c r="L166" s="8"/>
      <c r="M166" s="8"/>
      <c r="N166" s="8"/>
      <c r="O166" s="8"/>
      <c r="P166" s="8"/>
      <c r="Q166" s="8"/>
      <c r="R166" s="8"/>
      <c r="S166" s="8"/>
      <c r="T166" s="8"/>
      <c r="U166" s="8"/>
      <c r="V166" s="8"/>
      <c r="W166" s="8"/>
      <c r="X166" s="8"/>
      <c r="Y166" s="8"/>
      <c r="Z166" s="8"/>
      <c r="AA166" s="8"/>
    </row>
    <row r="167" spans="1:27" ht="12.75">
      <c r="A167" s="8"/>
      <c r="B167" s="59"/>
      <c r="C167" s="59"/>
      <c r="D167" s="59"/>
      <c r="E167" s="59"/>
      <c r="F167" s="8"/>
      <c r="G167" s="8"/>
      <c r="H167" s="8"/>
      <c r="I167" s="8"/>
      <c r="J167" s="8"/>
      <c r="K167" s="8"/>
      <c r="L167" s="8"/>
      <c r="M167" s="8"/>
      <c r="N167" s="8"/>
      <c r="O167" s="8"/>
      <c r="P167" s="8"/>
      <c r="Q167" s="8"/>
      <c r="R167" s="8"/>
      <c r="S167" s="8"/>
      <c r="T167" s="8"/>
      <c r="U167" s="8"/>
      <c r="V167" s="8"/>
      <c r="W167" s="8"/>
      <c r="X167" s="8"/>
      <c r="Y167" s="8"/>
      <c r="Z167" s="8"/>
      <c r="AA167" s="8"/>
    </row>
    <row r="168" spans="1:27" ht="12.75">
      <c r="A168" s="8"/>
      <c r="B168" s="59"/>
      <c r="C168" s="59"/>
      <c r="D168" s="59"/>
      <c r="E168" s="59"/>
      <c r="F168" s="8"/>
      <c r="G168" s="8"/>
      <c r="H168" s="8"/>
      <c r="I168" s="8"/>
      <c r="J168" s="8"/>
      <c r="K168" s="8"/>
      <c r="L168" s="8"/>
      <c r="M168" s="8"/>
      <c r="N168" s="8"/>
      <c r="O168" s="8"/>
      <c r="P168" s="8"/>
      <c r="Q168" s="8"/>
      <c r="R168" s="8"/>
      <c r="S168" s="8"/>
      <c r="T168" s="8"/>
      <c r="U168" s="8"/>
      <c r="V168" s="8"/>
      <c r="W168" s="8"/>
      <c r="X168" s="8"/>
      <c r="Y168" s="8"/>
      <c r="Z168" s="8"/>
      <c r="AA168" s="8"/>
    </row>
    <row r="169" spans="1:27" ht="12.75">
      <c r="A169" s="8"/>
      <c r="B169" s="59"/>
      <c r="C169" s="59"/>
      <c r="D169" s="59"/>
      <c r="E169" s="59"/>
      <c r="F169" s="8"/>
      <c r="G169" s="8"/>
      <c r="H169" s="8"/>
      <c r="I169" s="8"/>
      <c r="J169" s="8"/>
      <c r="K169" s="8"/>
      <c r="L169" s="8"/>
      <c r="M169" s="8"/>
      <c r="N169" s="8"/>
      <c r="O169" s="8"/>
      <c r="P169" s="8"/>
      <c r="Q169" s="8"/>
      <c r="R169" s="8"/>
      <c r="S169" s="8"/>
      <c r="T169" s="8"/>
      <c r="U169" s="8"/>
      <c r="V169" s="8"/>
      <c r="W169" s="8"/>
      <c r="X169" s="8"/>
      <c r="Y169" s="8"/>
      <c r="Z169" s="8"/>
      <c r="AA169" s="8"/>
    </row>
    <row r="170" spans="1:27" ht="12.75">
      <c r="A170" s="8"/>
      <c r="B170" s="59"/>
      <c r="C170" s="59"/>
      <c r="D170" s="59"/>
      <c r="E170" s="59"/>
      <c r="F170" s="8"/>
      <c r="G170" s="8"/>
      <c r="H170" s="8"/>
      <c r="I170" s="8"/>
      <c r="J170" s="8"/>
      <c r="K170" s="8"/>
      <c r="L170" s="8"/>
      <c r="M170" s="8"/>
      <c r="N170" s="8"/>
      <c r="O170" s="8"/>
      <c r="P170" s="8"/>
      <c r="Q170" s="8"/>
      <c r="R170" s="8"/>
      <c r="S170" s="8"/>
      <c r="T170" s="8"/>
      <c r="U170" s="8"/>
      <c r="V170" s="8"/>
      <c r="W170" s="8"/>
      <c r="X170" s="8"/>
      <c r="Y170" s="8"/>
      <c r="Z170" s="8"/>
      <c r="AA170" s="8"/>
    </row>
    <row r="171" spans="1:27" ht="12.75">
      <c r="A171" s="8"/>
      <c r="B171" s="59"/>
      <c r="C171" s="59"/>
      <c r="D171" s="59"/>
      <c r="E171" s="59"/>
      <c r="F171" s="8"/>
      <c r="G171" s="8"/>
      <c r="H171" s="8"/>
      <c r="I171" s="8"/>
      <c r="J171" s="8"/>
      <c r="K171" s="8"/>
      <c r="L171" s="8"/>
      <c r="M171" s="8"/>
      <c r="N171" s="8"/>
      <c r="O171" s="8"/>
      <c r="P171" s="8"/>
      <c r="Q171" s="8"/>
      <c r="R171" s="8"/>
      <c r="S171" s="8"/>
      <c r="T171" s="8"/>
      <c r="U171" s="8"/>
      <c r="V171" s="8"/>
      <c r="W171" s="8"/>
      <c r="X171" s="8"/>
      <c r="Y171" s="8"/>
      <c r="Z171" s="8"/>
      <c r="AA171" s="8"/>
    </row>
    <row r="172" spans="1:27" ht="12.75">
      <c r="A172" s="8"/>
      <c r="B172" s="59"/>
      <c r="C172" s="59"/>
      <c r="D172" s="59"/>
      <c r="E172" s="59"/>
      <c r="F172" s="8"/>
      <c r="G172" s="8"/>
      <c r="H172" s="8"/>
      <c r="I172" s="8"/>
      <c r="J172" s="8"/>
      <c r="K172" s="8"/>
      <c r="L172" s="8"/>
      <c r="M172" s="8"/>
      <c r="N172" s="8"/>
      <c r="O172" s="8"/>
      <c r="P172" s="8"/>
      <c r="Q172" s="8"/>
      <c r="R172" s="8"/>
      <c r="S172" s="8"/>
      <c r="T172" s="8"/>
      <c r="U172" s="8"/>
      <c r="V172" s="8"/>
      <c r="W172" s="8"/>
      <c r="X172" s="8"/>
      <c r="Y172" s="8"/>
      <c r="Z172" s="8"/>
      <c r="AA172" s="8"/>
    </row>
    <row r="173" spans="1:27" ht="12.75">
      <c r="A173" s="8"/>
      <c r="B173" s="59"/>
      <c r="C173" s="59"/>
      <c r="D173" s="59"/>
      <c r="E173" s="59"/>
      <c r="F173" s="8"/>
      <c r="G173" s="8"/>
      <c r="H173" s="8"/>
      <c r="I173" s="8"/>
      <c r="J173" s="8"/>
      <c r="K173" s="8"/>
      <c r="L173" s="8"/>
      <c r="M173" s="8"/>
      <c r="N173" s="8"/>
      <c r="O173" s="8"/>
      <c r="P173" s="8"/>
      <c r="Q173" s="8"/>
      <c r="R173" s="8"/>
      <c r="S173" s="8"/>
      <c r="T173" s="8"/>
      <c r="U173" s="8"/>
      <c r="V173" s="8"/>
      <c r="W173" s="8"/>
      <c r="X173" s="8"/>
      <c r="Y173" s="8"/>
      <c r="Z173" s="8"/>
      <c r="AA173" s="8"/>
    </row>
    <row r="174" spans="1:27" ht="12.75">
      <c r="A174" s="8"/>
      <c r="B174" s="59"/>
      <c r="C174" s="59"/>
      <c r="D174" s="59"/>
      <c r="E174" s="59"/>
      <c r="F174" s="8"/>
      <c r="G174" s="8"/>
      <c r="H174" s="8"/>
      <c r="I174" s="8"/>
      <c r="J174" s="8"/>
      <c r="K174" s="8"/>
      <c r="L174" s="8"/>
      <c r="M174" s="8"/>
      <c r="N174" s="8"/>
      <c r="O174" s="8"/>
      <c r="P174" s="8"/>
      <c r="Q174" s="8"/>
      <c r="R174" s="8"/>
      <c r="S174" s="8"/>
      <c r="T174" s="8"/>
      <c r="U174" s="8"/>
      <c r="V174" s="8"/>
      <c r="W174" s="8"/>
      <c r="X174" s="8"/>
      <c r="Y174" s="8"/>
      <c r="Z174" s="8"/>
      <c r="AA174" s="8"/>
    </row>
    <row r="175" spans="1:27" ht="12.75">
      <c r="A175" s="8"/>
      <c r="B175" s="59"/>
      <c r="C175" s="59"/>
      <c r="D175" s="59"/>
      <c r="E175" s="59"/>
      <c r="F175" s="8"/>
      <c r="G175" s="8"/>
      <c r="H175" s="8"/>
      <c r="I175" s="8"/>
      <c r="J175" s="8"/>
      <c r="K175" s="8"/>
      <c r="L175" s="8"/>
      <c r="M175" s="8"/>
      <c r="N175" s="8"/>
      <c r="O175" s="8"/>
      <c r="P175" s="8"/>
      <c r="Q175" s="8"/>
      <c r="R175" s="8"/>
      <c r="S175" s="8"/>
      <c r="T175" s="8"/>
      <c r="U175" s="8"/>
      <c r="V175" s="8"/>
      <c r="W175" s="8"/>
      <c r="X175" s="8"/>
      <c r="Y175" s="8"/>
      <c r="Z175" s="8"/>
      <c r="AA175" s="8"/>
    </row>
    <row r="176" spans="1:27" ht="12.75">
      <c r="A176" s="8"/>
      <c r="B176" s="59"/>
      <c r="C176" s="59"/>
      <c r="D176" s="59"/>
      <c r="E176" s="59"/>
      <c r="F176" s="8"/>
      <c r="G176" s="8"/>
      <c r="H176" s="8"/>
      <c r="I176" s="8"/>
      <c r="J176" s="8"/>
      <c r="K176" s="8"/>
      <c r="L176" s="8"/>
      <c r="M176" s="8"/>
      <c r="N176" s="8"/>
      <c r="O176" s="8"/>
      <c r="P176" s="8"/>
      <c r="Q176" s="8"/>
      <c r="R176" s="8"/>
      <c r="S176" s="8"/>
      <c r="T176" s="8"/>
      <c r="U176" s="8"/>
      <c r="V176" s="8"/>
      <c r="W176" s="8"/>
      <c r="X176" s="8"/>
      <c r="Y176" s="8"/>
      <c r="Z176" s="8"/>
      <c r="AA176" s="8"/>
    </row>
    <row r="177" spans="1:27" ht="12.75">
      <c r="A177" s="8"/>
      <c r="B177" s="59"/>
      <c r="C177" s="59"/>
      <c r="D177" s="59"/>
      <c r="E177" s="59"/>
      <c r="F177" s="8"/>
      <c r="G177" s="8"/>
      <c r="H177" s="8"/>
      <c r="I177" s="8"/>
      <c r="J177" s="8"/>
      <c r="K177" s="8"/>
      <c r="L177" s="8"/>
      <c r="M177" s="8"/>
      <c r="N177" s="8"/>
      <c r="O177" s="8"/>
      <c r="P177" s="8"/>
      <c r="Q177" s="8"/>
      <c r="R177" s="8"/>
      <c r="S177" s="8"/>
      <c r="T177" s="8"/>
      <c r="U177" s="8"/>
      <c r="V177" s="8"/>
      <c r="W177" s="8"/>
      <c r="X177" s="8"/>
      <c r="Y177" s="8"/>
      <c r="Z177" s="8"/>
      <c r="AA177" s="8"/>
    </row>
    <row r="178" spans="1:27" ht="12.75">
      <c r="A178" s="8"/>
      <c r="B178" s="59"/>
      <c r="C178" s="59"/>
      <c r="D178" s="59"/>
      <c r="E178" s="59"/>
      <c r="F178" s="8"/>
      <c r="G178" s="8"/>
      <c r="H178" s="8"/>
      <c r="I178" s="8"/>
      <c r="J178" s="8"/>
      <c r="K178" s="8"/>
      <c r="L178" s="8"/>
      <c r="M178" s="8"/>
      <c r="N178" s="8"/>
      <c r="O178" s="8"/>
      <c r="P178" s="8"/>
      <c r="Q178" s="8"/>
      <c r="R178" s="8"/>
      <c r="S178" s="8"/>
      <c r="T178" s="8"/>
      <c r="U178" s="8"/>
      <c r="V178" s="8"/>
      <c r="W178" s="8"/>
      <c r="X178" s="8"/>
      <c r="Y178" s="8"/>
      <c r="Z178" s="8"/>
      <c r="AA178" s="8"/>
    </row>
    <row r="179" spans="1:27" ht="12.75">
      <c r="A179" s="8"/>
      <c r="B179" s="59"/>
      <c r="C179" s="59"/>
      <c r="D179" s="59"/>
      <c r="E179" s="59"/>
      <c r="F179" s="8"/>
      <c r="G179" s="8"/>
      <c r="H179" s="8"/>
      <c r="I179" s="8"/>
      <c r="J179" s="8"/>
      <c r="K179" s="8"/>
      <c r="L179" s="8"/>
      <c r="M179" s="8"/>
      <c r="N179" s="8"/>
      <c r="O179" s="8"/>
      <c r="P179" s="8"/>
      <c r="Q179" s="8"/>
      <c r="R179" s="8"/>
      <c r="S179" s="8"/>
      <c r="T179" s="8"/>
      <c r="U179" s="8"/>
      <c r="V179" s="8"/>
      <c r="W179" s="8"/>
      <c r="X179" s="8"/>
      <c r="Y179" s="8"/>
      <c r="Z179" s="8"/>
      <c r="AA179" s="8"/>
    </row>
    <row r="180" spans="1:27" ht="12.75">
      <c r="A180" s="8"/>
      <c r="B180" s="59"/>
      <c r="C180" s="59"/>
      <c r="D180" s="59"/>
      <c r="E180" s="59"/>
      <c r="F180" s="8"/>
      <c r="G180" s="8"/>
      <c r="H180" s="8"/>
      <c r="I180" s="8"/>
      <c r="J180" s="8"/>
      <c r="K180" s="8"/>
      <c r="L180" s="8"/>
      <c r="M180" s="8"/>
      <c r="N180" s="8"/>
      <c r="O180" s="8"/>
      <c r="P180" s="8"/>
      <c r="Q180" s="8"/>
      <c r="R180" s="8"/>
      <c r="S180" s="8"/>
      <c r="T180" s="8"/>
      <c r="U180" s="8"/>
      <c r="V180" s="8"/>
      <c r="W180" s="8"/>
      <c r="X180" s="8"/>
      <c r="Y180" s="8"/>
      <c r="Z180" s="8"/>
      <c r="AA180" s="8"/>
    </row>
    <row r="181" spans="1:27" ht="12.75">
      <c r="A181" s="8"/>
      <c r="B181" s="59"/>
      <c r="C181" s="59"/>
      <c r="D181" s="59"/>
      <c r="E181" s="59"/>
      <c r="F181" s="8"/>
      <c r="G181" s="8"/>
      <c r="H181" s="8"/>
      <c r="I181" s="8"/>
      <c r="J181" s="8"/>
      <c r="K181" s="8"/>
      <c r="L181" s="8"/>
      <c r="M181" s="8"/>
      <c r="N181" s="8"/>
      <c r="O181" s="8"/>
      <c r="P181" s="8"/>
      <c r="Q181" s="8"/>
      <c r="R181" s="8"/>
      <c r="S181" s="8"/>
      <c r="T181" s="8"/>
      <c r="U181" s="8"/>
      <c r="V181" s="8"/>
      <c r="W181" s="8"/>
      <c r="X181" s="8"/>
      <c r="Y181" s="8"/>
      <c r="Z181" s="8"/>
      <c r="AA181" s="8"/>
    </row>
    <row r="182" spans="1:27" ht="12.75">
      <c r="A182" s="8"/>
      <c r="B182" s="59"/>
      <c r="C182" s="59"/>
      <c r="D182" s="59"/>
      <c r="E182" s="59"/>
      <c r="F182" s="8"/>
      <c r="G182" s="8"/>
      <c r="H182" s="8"/>
      <c r="I182" s="8"/>
      <c r="J182" s="8"/>
      <c r="K182" s="8"/>
      <c r="L182" s="8"/>
      <c r="M182" s="8"/>
      <c r="N182" s="8"/>
      <c r="O182" s="8"/>
      <c r="P182" s="8"/>
      <c r="Q182" s="8"/>
      <c r="R182" s="8"/>
      <c r="S182" s="8"/>
      <c r="T182" s="8"/>
      <c r="U182" s="8"/>
      <c r="V182" s="8"/>
      <c r="W182" s="8"/>
      <c r="X182" s="8"/>
      <c r="Y182" s="8"/>
      <c r="Z182" s="8"/>
      <c r="AA182" s="8"/>
    </row>
    <row r="183" spans="1:27" ht="12.75">
      <c r="A183" s="8"/>
      <c r="B183" s="59"/>
      <c r="C183" s="59"/>
      <c r="D183" s="59"/>
      <c r="E183" s="59"/>
      <c r="F183" s="8"/>
      <c r="G183" s="8"/>
      <c r="H183" s="8"/>
      <c r="I183" s="8"/>
      <c r="J183" s="8"/>
      <c r="K183" s="8"/>
      <c r="L183" s="8"/>
      <c r="M183" s="8"/>
      <c r="N183" s="8"/>
      <c r="O183" s="8"/>
      <c r="P183" s="8"/>
      <c r="Q183" s="8"/>
      <c r="R183" s="8"/>
      <c r="S183" s="8"/>
      <c r="T183" s="8"/>
      <c r="U183" s="8"/>
      <c r="V183" s="8"/>
      <c r="W183" s="8"/>
      <c r="X183" s="8"/>
      <c r="Y183" s="8"/>
      <c r="Z183" s="8"/>
      <c r="AA183" s="8"/>
    </row>
    <row r="184" spans="1:27" ht="12.75">
      <c r="A184" s="8"/>
      <c r="B184" s="59"/>
      <c r="C184" s="59"/>
      <c r="D184" s="59"/>
      <c r="E184" s="59"/>
      <c r="F184" s="8"/>
      <c r="G184" s="8"/>
      <c r="H184" s="8"/>
      <c r="I184" s="8"/>
      <c r="J184" s="8"/>
      <c r="K184" s="8"/>
      <c r="L184" s="8"/>
      <c r="M184" s="8"/>
      <c r="N184" s="8"/>
      <c r="O184" s="8"/>
      <c r="P184" s="8"/>
      <c r="Q184" s="8"/>
      <c r="R184" s="8"/>
      <c r="S184" s="8"/>
      <c r="T184" s="8"/>
      <c r="U184" s="8"/>
      <c r="V184" s="8"/>
      <c r="W184" s="8"/>
      <c r="X184" s="8"/>
      <c r="Y184" s="8"/>
      <c r="Z184" s="8"/>
      <c r="AA184" s="8"/>
    </row>
    <row r="185" spans="1:27" ht="12.75">
      <c r="A185" s="8"/>
      <c r="B185" s="59"/>
      <c r="C185" s="59"/>
      <c r="D185" s="59"/>
      <c r="E185" s="59"/>
      <c r="F185" s="8"/>
      <c r="G185" s="8"/>
      <c r="H185" s="8"/>
      <c r="I185" s="8"/>
      <c r="J185" s="8"/>
      <c r="K185" s="8"/>
      <c r="L185" s="8"/>
      <c r="M185" s="8"/>
      <c r="N185" s="8"/>
      <c r="O185" s="8"/>
      <c r="P185" s="8"/>
      <c r="Q185" s="8"/>
      <c r="R185" s="8"/>
      <c r="S185" s="8"/>
      <c r="T185" s="8"/>
      <c r="U185" s="8"/>
      <c r="V185" s="8"/>
      <c r="W185" s="8"/>
      <c r="X185" s="8"/>
      <c r="Y185" s="8"/>
      <c r="Z185" s="8"/>
      <c r="AA185" s="8"/>
    </row>
    <row r="186" spans="1:27" ht="12.75">
      <c r="A186" s="8"/>
      <c r="B186" s="59"/>
      <c r="C186" s="59"/>
      <c r="D186" s="59"/>
      <c r="E186" s="59"/>
      <c r="F186" s="8"/>
      <c r="G186" s="8"/>
      <c r="H186" s="8"/>
      <c r="I186" s="8"/>
      <c r="J186" s="8"/>
      <c r="K186" s="8"/>
      <c r="L186" s="8"/>
      <c r="M186" s="8"/>
      <c r="N186" s="8"/>
      <c r="O186" s="8"/>
      <c r="P186" s="8"/>
      <c r="Q186" s="8"/>
      <c r="R186" s="8"/>
      <c r="S186" s="8"/>
      <c r="T186" s="8"/>
      <c r="U186" s="8"/>
      <c r="V186" s="8"/>
      <c r="W186" s="8"/>
      <c r="X186" s="8"/>
      <c r="Y186" s="8"/>
      <c r="Z186" s="8"/>
      <c r="AA186" s="8"/>
    </row>
    <row r="187" spans="1:27" ht="12.75">
      <c r="A187" s="8"/>
      <c r="B187" s="59"/>
      <c r="C187" s="59"/>
      <c r="D187" s="59"/>
      <c r="E187" s="59"/>
      <c r="F187" s="8"/>
      <c r="G187" s="8"/>
      <c r="H187" s="8"/>
      <c r="I187" s="8"/>
      <c r="J187" s="8"/>
      <c r="K187" s="8"/>
      <c r="L187" s="8"/>
      <c r="M187" s="8"/>
      <c r="N187" s="8"/>
      <c r="O187" s="8"/>
      <c r="P187" s="8"/>
      <c r="Q187" s="8"/>
      <c r="R187" s="8"/>
      <c r="S187" s="8"/>
      <c r="T187" s="8"/>
      <c r="U187" s="8"/>
      <c r="V187" s="8"/>
      <c r="W187" s="8"/>
      <c r="X187" s="8"/>
      <c r="Y187" s="8"/>
      <c r="Z187" s="8"/>
      <c r="AA187" s="8"/>
    </row>
    <row r="188" spans="1:27" ht="12.75">
      <c r="A188" s="8"/>
      <c r="B188" s="59"/>
      <c r="C188" s="59"/>
      <c r="D188" s="59"/>
      <c r="E188" s="59"/>
      <c r="F188" s="8"/>
      <c r="G188" s="8"/>
      <c r="H188" s="8"/>
      <c r="I188" s="8"/>
      <c r="J188" s="8"/>
      <c r="K188" s="8"/>
      <c r="L188" s="8"/>
      <c r="M188" s="8"/>
      <c r="N188" s="8"/>
      <c r="O188" s="8"/>
      <c r="P188" s="8"/>
      <c r="Q188" s="8"/>
      <c r="R188" s="8"/>
      <c r="S188" s="8"/>
      <c r="T188" s="8"/>
      <c r="U188" s="8"/>
      <c r="V188" s="8"/>
      <c r="W188" s="8"/>
      <c r="X188" s="8"/>
      <c r="Y188" s="8"/>
      <c r="Z188" s="8"/>
      <c r="AA188" s="8"/>
    </row>
    <row r="189" spans="1:27" ht="12.75">
      <c r="A189" s="8"/>
      <c r="B189" s="59"/>
      <c r="C189" s="59"/>
      <c r="D189" s="59"/>
      <c r="E189" s="59"/>
      <c r="F189" s="8"/>
      <c r="G189" s="8"/>
      <c r="H189" s="8"/>
      <c r="I189" s="8"/>
      <c r="J189" s="8"/>
      <c r="K189" s="8"/>
      <c r="L189" s="8"/>
      <c r="M189" s="8"/>
      <c r="N189" s="8"/>
      <c r="O189" s="8"/>
      <c r="P189" s="8"/>
      <c r="Q189" s="8"/>
      <c r="R189" s="8"/>
      <c r="S189" s="8"/>
      <c r="T189" s="8"/>
      <c r="U189" s="8"/>
      <c r="V189" s="8"/>
      <c r="W189" s="8"/>
      <c r="X189" s="8"/>
      <c r="Y189" s="8"/>
      <c r="Z189" s="8"/>
      <c r="AA189" s="8"/>
    </row>
    <row r="190" spans="1:27" ht="12.75">
      <c r="A190" s="8"/>
      <c r="B190" s="59"/>
      <c r="C190" s="59"/>
      <c r="D190" s="59"/>
      <c r="E190" s="59"/>
      <c r="F190" s="8"/>
      <c r="G190" s="8"/>
      <c r="H190" s="8"/>
      <c r="I190" s="8"/>
      <c r="J190" s="8"/>
      <c r="K190" s="8"/>
      <c r="L190" s="8"/>
      <c r="M190" s="8"/>
      <c r="N190" s="8"/>
      <c r="O190" s="8"/>
      <c r="P190" s="8"/>
      <c r="Q190" s="8"/>
      <c r="R190" s="8"/>
      <c r="S190" s="8"/>
      <c r="T190" s="8"/>
      <c r="U190" s="8"/>
      <c r="V190" s="8"/>
      <c r="W190" s="8"/>
      <c r="X190" s="8"/>
      <c r="Y190" s="8"/>
      <c r="Z190" s="8"/>
      <c r="AA190" s="8"/>
    </row>
    <row r="191" spans="1:27" ht="12.75">
      <c r="A191" s="8"/>
      <c r="B191" s="59"/>
      <c r="C191" s="59"/>
      <c r="D191" s="59"/>
      <c r="E191" s="59"/>
      <c r="F191" s="8"/>
      <c r="G191" s="8"/>
      <c r="H191" s="8"/>
      <c r="I191" s="8"/>
      <c r="J191" s="8"/>
      <c r="K191" s="8"/>
      <c r="L191" s="8"/>
      <c r="M191" s="8"/>
      <c r="N191" s="8"/>
      <c r="O191" s="8"/>
      <c r="P191" s="8"/>
      <c r="Q191" s="8"/>
      <c r="R191" s="8"/>
      <c r="S191" s="8"/>
      <c r="T191" s="8"/>
      <c r="U191" s="8"/>
      <c r="V191" s="8"/>
      <c r="W191" s="8"/>
      <c r="X191" s="8"/>
      <c r="Y191" s="8"/>
      <c r="Z191" s="8"/>
      <c r="AA191" s="8"/>
    </row>
    <row r="192" spans="1:27" ht="12.75">
      <c r="A192" s="8"/>
      <c r="B192" s="59"/>
      <c r="C192" s="59"/>
      <c r="D192" s="59"/>
      <c r="E192" s="59"/>
      <c r="F192" s="8"/>
      <c r="G192" s="8"/>
      <c r="H192" s="8"/>
      <c r="I192" s="8"/>
      <c r="J192" s="8"/>
      <c r="K192" s="8"/>
      <c r="L192" s="8"/>
      <c r="M192" s="8"/>
      <c r="N192" s="8"/>
      <c r="O192" s="8"/>
      <c r="P192" s="8"/>
      <c r="Q192" s="8"/>
      <c r="R192" s="8"/>
      <c r="S192" s="8"/>
      <c r="T192" s="8"/>
      <c r="U192" s="8"/>
      <c r="V192" s="8"/>
      <c r="W192" s="8"/>
      <c r="X192" s="8"/>
      <c r="Y192" s="8"/>
      <c r="Z192" s="8"/>
      <c r="AA192" s="8"/>
    </row>
    <row r="193" spans="1:27" ht="12.75">
      <c r="A193" s="8"/>
      <c r="B193" s="59"/>
      <c r="C193" s="59"/>
      <c r="D193" s="59"/>
      <c r="E193" s="59"/>
      <c r="F193" s="8"/>
      <c r="G193" s="8"/>
      <c r="H193" s="8"/>
      <c r="I193" s="8"/>
      <c r="J193" s="8"/>
      <c r="K193" s="8"/>
      <c r="L193" s="8"/>
      <c r="M193" s="8"/>
      <c r="N193" s="8"/>
      <c r="O193" s="8"/>
      <c r="P193" s="8"/>
      <c r="Q193" s="8"/>
      <c r="R193" s="8"/>
      <c r="S193" s="8"/>
      <c r="T193" s="8"/>
      <c r="U193" s="8"/>
      <c r="V193" s="8"/>
      <c r="W193" s="8"/>
      <c r="X193" s="8"/>
      <c r="Y193" s="8"/>
      <c r="Z193" s="8"/>
      <c r="AA193" s="8"/>
    </row>
    <row r="194" spans="1:27" ht="12.75">
      <c r="A194" s="8"/>
      <c r="B194" s="59"/>
      <c r="C194" s="59"/>
      <c r="D194" s="59"/>
      <c r="E194" s="59"/>
      <c r="F194" s="8"/>
      <c r="G194" s="8"/>
      <c r="H194" s="8"/>
      <c r="I194" s="8"/>
      <c r="J194" s="8"/>
      <c r="K194" s="8"/>
      <c r="L194" s="8"/>
      <c r="M194" s="8"/>
      <c r="N194" s="8"/>
      <c r="O194" s="8"/>
      <c r="P194" s="8"/>
      <c r="Q194" s="8"/>
      <c r="R194" s="8"/>
      <c r="S194" s="8"/>
      <c r="T194" s="8"/>
      <c r="U194" s="8"/>
      <c r="V194" s="8"/>
      <c r="W194" s="8"/>
      <c r="X194" s="8"/>
      <c r="Y194" s="8"/>
      <c r="Z194" s="8"/>
      <c r="AA194" s="8"/>
    </row>
    <row r="195" spans="1:27" ht="12.75">
      <c r="A195" s="8"/>
      <c r="B195" s="59"/>
      <c r="C195" s="59"/>
      <c r="D195" s="59"/>
      <c r="E195" s="59"/>
      <c r="F195" s="8"/>
      <c r="G195" s="8"/>
      <c r="H195" s="8"/>
      <c r="I195" s="8"/>
      <c r="J195" s="8"/>
      <c r="K195" s="8"/>
      <c r="L195" s="8"/>
      <c r="M195" s="8"/>
      <c r="N195" s="8"/>
      <c r="O195" s="8"/>
      <c r="P195" s="8"/>
      <c r="Q195" s="8"/>
      <c r="R195" s="8"/>
      <c r="S195" s="8"/>
      <c r="T195" s="8"/>
      <c r="U195" s="8"/>
      <c r="V195" s="8"/>
      <c r="W195" s="8"/>
      <c r="X195" s="8"/>
      <c r="Y195" s="8"/>
      <c r="Z195" s="8"/>
      <c r="AA195" s="8"/>
    </row>
    <row r="196" spans="1:27" ht="12.75">
      <c r="A196" s="8"/>
      <c r="B196" s="59"/>
      <c r="C196" s="59"/>
      <c r="D196" s="59"/>
      <c r="E196" s="59"/>
      <c r="F196" s="8"/>
      <c r="G196" s="8"/>
      <c r="H196" s="8"/>
      <c r="I196" s="8"/>
      <c r="J196" s="8"/>
      <c r="K196" s="8"/>
      <c r="L196" s="8"/>
      <c r="M196" s="8"/>
      <c r="N196" s="8"/>
      <c r="O196" s="8"/>
      <c r="P196" s="8"/>
      <c r="Q196" s="8"/>
      <c r="R196" s="8"/>
      <c r="S196" s="8"/>
      <c r="T196" s="8"/>
      <c r="U196" s="8"/>
      <c r="V196" s="8"/>
      <c r="W196" s="8"/>
      <c r="X196" s="8"/>
      <c r="Y196" s="8"/>
      <c r="Z196" s="8"/>
      <c r="AA196" s="8"/>
    </row>
    <row r="197" spans="1:27" ht="12.75">
      <c r="A197" s="8"/>
      <c r="B197" s="59"/>
      <c r="C197" s="59"/>
      <c r="D197" s="59"/>
      <c r="E197" s="59"/>
      <c r="F197" s="8"/>
      <c r="G197" s="8"/>
      <c r="H197" s="8"/>
      <c r="I197" s="8"/>
      <c r="J197" s="8"/>
      <c r="K197" s="8"/>
      <c r="L197" s="8"/>
      <c r="M197" s="8"/>
      <c r="N197" s="8"/>
      <c r="O197" s="8"/>
      <c r="P197" s="8"/>
      <c r="Q197" s="8"/>
      <c r="R197" s="8"/>
      <c r="S197" s="8"/>
      <c r="T197" s="8"/>
      <c r="U197" s="8"/>
      <c r="V197" s="8"/>
      <c r="W197" s="8"/>
      <c r="X197" s="8"/>
      <c r="Y197" s="8"/>
      <c r="Z197" s="8"/>
      <c r="AA197" s="8"/>
    </row>
    <row r="198" spans="1:27" ht="12.75">
      <c r="A198" s="8"/>
      <c r="B198" s="59"/>
      <c r="C198" s="59"/>
      <c r="D198" s="59"/>
      <c r="E198" s="59"/>
      <c r="F198" s="8"/>
      <c r="G198" s="8"/>
      <c r="H198" s="8"/>
      <c r="I198" s="8"/>
      <c r="J198" s="8"/>
      <c r="K198" s="8"/>
      <c r="L198" s="8"/>
      <c r="M198" s="8"/>
      <c r="N198" s="8"/>
      <c r="O198" s="8"/>
      <c r="P198" s="8"/>
      <c r="Q198" s="8"/>
      <c r="R198" s="8"/>
      <c r="S198" s="8"/>
      <c r="T198" s="8"/>
      <c r="U198" s="8"/>
      <c r="V198" s="8"/>
      <c r="W198" s="8"/>
      <c r="X198" s="8"/>
      <c r="Y198" s="8"/>
      <c r="Z198" s="8"/>
      <c r="AA198" s="8"/>
    </row>
    <row r="199" spans="1:27" ht="12.75">
      <c r="A199" s="8"/>
      <c r="B199" s="59"/>
      <c r="C199" s="59"/>
      <c r="D199" s="59"/>
      <c r="E199" s="59"/>
      <c r="F199" s="8"/>
      <c r="G199" s="8"/>
      <c r="H199" s="8"/>
      <c r="I199" s="8"/>
      <c r="J199" s="8"/>
      <c r="K199" s="8"/>
      <c r="L199" s="8"/>
      <c r="M199" s="8"/>
      <c r="N199" s="8"/>
      <c r="O199" s="8"/>
      <c r="P199" s="8"/>
      <c r="Q199" s="8"/>
      <c r="R199" s="8"/>
      <c r="S199" s="8"/>
      <c r="T199" s="8"/>
      <c r="U199" s="8"/>
      <c r="V199" s="8"/>
      <c r="W199" s="8"/>
      <c r="X199" s="8"/>
      <c r="Y199" s="8"/>
      <c r="Z199" s="8"/>
      <c r="AA199" s="8"/>
    </row>
    <row r="200" spans="1:27" ht="12.75">
      <c r="A200" s="8"/>
      <c r="B200" s="59"/>
      <c r="C200" s="59"/>
      <c r="D200" s="59"/>
      <c r="E200" s="59"/>
      <c r="F200" s="8"/>
      <c r="G200" s="8"/>
      <c r="H200" s="8"/>
      <c r="I200" s="8"/>
      <c r="J200" s="8"/>
      <c r="K200" s="8"/>
      <c r="L200" s="8"/>
      <c r="M200" s="8"/>
      <c r="N200" s="8"/>
      <c r="O200" s="8"/>
      <c r="P200" s="8"/>
      <c r="Q200" s="8"/>
      <c r="R200" s="8"/>
      <c r="S200" s="8"/>
      <c r="T200" s="8"/>
      <c r="U200" s="8"/>
      <c r="V200" s="8"/>
      <c r="W200" s="8"/>
      <c r="X200" s="8"/>
      <c r="Y200" s="8"/>
      <c r="Z200" s="8"/>
      <c r="AA200" s="8"/>
    </row>
    <row r="201" spans="1:27" ht="12.75">
      <c r="A201" s="8"/>
      <c r="B201" s="59"/>
      <c r="C201" s="59"/>
      <c r="D201" s="59"/>
      <c r="E201" s="59"/>
      <c r="F201" s="8"/>
      <c r="G201" s="8"/>
      <c r="H201" s="8"/>
      <c r="I201" s="8"/>
      <c r="J201" s="8"/>
      <c r="K201" s="8"/>
      <c r="L201" s="8"/>
      <c r="M201" s="8"/>
      <c r="N201" s="8"/>
      <c r="O201" s="8"/>
      <c r="P201" s="8"/>
      <c r="Q201" s="8"/>
      <c r="R201" s="8"/>
      <c r="S201" s="8"/>
      <c r="T201" s="8"/>
      <c r="U201" s="8"/>
      <c r="V201" s="8"/>
      <c r="W201" s="8"/>
      <c r="X201" s="8"/>
      <c r="Y201" s="8"/>
      <c r="Z201" s="8"/>
      <c r="AA201" s="8"/>
    </row>
    <row r="202" spans="1:27" ht="12.75">
      <c r="A202" s="8"/>
      <c r="B202" s="59"/>
      <c r="C202" s="59"/>
      <c r="D202" s="59"/>
      <c r="E202" s="59"/>
      <c r="F202" s="8"/>
      <c r="G202" s="8"/>
      <c r="H202" s="8"/>
      <c r="I202" s="8"/>
      <c r="J202" s="8"/>
      <c r="K202" s="8"/>
      <c r="L202" s="8"/>
      <c r="M202" s="8"/>
      <c r="N202" s="8"/>
      <c r="O202" s="8"/>
      <c r="P202" s="8"/>
      <c r="Q202" s="8"/>
      <c r="R202" s="8"/>
      <c r="S202" s="8"/>
      <c r="T202" s="8"/>
      <c r="U202" s="8"/>
      <c r="V202" s="8"/>
      <c r="W202" s="8"/>
      <c r="X202" s="8"/>
      <c r="Y202" s="8"/>
      <c r="Z202" s="8"/>
      <c r="AA202" s="8"/>
    </row>
    <row r="203" spans="1:27" ht="12.75">
      <c r="A203" s="8"/>
      <c r="B203" s="59"/>
      <c r="C203" s="59"/>
      <c r="D203" s="59"/>
      <c r="E203" s="59"/>
      <c r="F203" s="8"/>
      <c r="G203" s="8"/>
      <c r="H203" s="8"/>
      <c r="I203" s="8"/>
      <c r="J203" s="8"/>
      <c r="K203" s="8"/>
      <c r="L203" s="8"/>
      <c r="M203" s="8"/>
      <c r="N203" s="8"/>
      <c r="O203" s="8"/>
      <c r="P203" s="8"/>
      <c r="Q203" s="8"/>
      <c r="R203" s="8"/>
      <c r="S203" s="8"/>
      <c r="T203" s="8"/>
      <c r="U203" s="8"/>
      <c r="V203" s="8"/>
      <c r="W203" s="8"/>
      <c r="X203" s="8"/>
      <c r="Y203" s="8"/>
      <c r="Z203" s="8"/>
      <c r="AA203" s="8"/>
    </row>
    <row r="204" spans="1:27" ht="12.75">
      <c r="A204" s="8"/>
      <c r="B204" s="59"/>
      <c r="C204" s="59"/>
      <c r="D204" s="59"/>
      <c r="E204" s="59"/>
      <c r="F204" s="8"/>
      <c r="G204" s="8"/>
      <c r="H204" s="8"/>
      <c r="I204" s="8"/>
      <c r="J204" s="8"/>
      <c r="K204" s="8"/>
      <c r="L204" s="8"/>
      <c r="M204" s="8"/>
      <c r="N204" s="8"/>
      <c r="O204" s="8"/>
      <c r="P204" s="8"/>
      <c r="Q204" s="8"/>
      <c r="R204" s="8"/>
      <c r="S204" s="8"/>
      <c r="T204" s="8"/>
      <c r="U204" s="8"/>
      <c r="V204" s="8"/>
      <c r="W204" s="8"/>
      <c r="X204" s="8"/>
      <c r="Y204" s="8"/>
      <c r="Z204" s="8"/>
      <c r="AA204" s="8"/>
    </row>
    <row r="205" spans="1:27" ht="12.75">
      <c r="A205" s="8"/>
      <c r="B205" s="59"/>
      <c r="C205" s="59"/>
      <c r="D205" s="59"/>
      <c r="E205" s="59"/>
      <c r="F205" s="8"/>
      <c r="G205" s="8"/>
      <c r="H205" s="8"/>
      <c r="I205" s="8"/>
      <c r="J205" s="8"/>
      <c r="K205" s="8"/>
      <c r="L205" s="8"/>
      <c r="M205" s="8"/>
      <c r="N205" s="8"/>
      <c r="O205" s="8"/>
      <c r="P205" s="8"/>
      <c r="Q205" s="8"/>
      <c r="R205" s="8"/>
      <c r="S205" s="8"/>
      <c r="T205" s="8"/>
      <c r="U205" s="8"/>
      <c r="V205" s="8"/>
      <c r="W205" s="8"/>
      <c r="X205" s="8"/>
      <c r="Y205" s="8"/>
      <c r="Z205" s="8"/>
      <c r="AA205" s="8"/>
    </row>
    <row r="206" spans="1:27" ht="12.75">
      <c r="A206" s="8"/>
      <c r="B206" s="59"/>
      <c r="C206" s="59"/>
      <c r="D206" s="59"/>
      <c r="E206" s="59"/>
      <c r="F206" s="8"/>
      <c r="G206" s="8"/>
      <c r="H206" s="8"/>
      <c r="I206" s="8"/>
      <c r="J206" s="8"/>
      <c r="K206" s="8"/>
      <c r="L206" s="8"/>
      <c r="M206" s="8"/>
      <c r="N206" s="8"/>
      <c r="O206" s="8"/>
      <c r="P206" s="8"/>
      <c r="Q206" s="8"/>
      <c r="R206" s="8"/>
      <c r="S206" s="8"/>
      <c r="T206" s="8"/>
      <c r="U206" s="8"/>
      <c r="V206" s="8"/>
      <c r="W206" s="8"/>
      <c r="X206" s="8"/>
      <c r="Y206" s="8"/>
      <c r="Z206" s="8"/>
      <c r="AA206" s="8"/>
    </row>
    <row r="207" spans="1:27" ht="12.75">
      <c r="A207" s="8"/>
      <c r="B207" s="59"/>
      <c r="C207" s="59"/>
      <c r="D207" s="59"/>
      <c r="E207" s="59"/>
      <c r="F207" s="8"/>
      <c r="G207" s="8"/>
      <c r="H207" s="8"/>
      <c r="I207" s="8"/>
      <c r="J207" s="8"/>
      <c r="K207" s="8"/>
      <c r="L207" s="8"/>
      <c r="M207" s="8"/>
      <c r="N207" s="8"/>
      <c r="O207" s="8"/>
      <c r="P207" s="8"/>
      <c r="Q207" s="8"/>
      <c r="R207" s="8"/>
      <c r="S207" s="8"/>
      <c r="T207" s="8"/>
      <c r="U207" s="8"/>
      <c r="V207" s="8"/>
      <c r="W207" s="8"/>
      <c r="X207" s="8"/>
      <c r="Y207" s="8"/>
      <c r="Z207" s="8"/>
      <c r="AA207" s="8"/>
    </row>
    <row r="208" spans="1:27" ht="12.75">
      <c r="A208" s="8"/>
      <c r="B208" s="59"/>
      <c r="C208" s="59"/>
      <c r="D208" s="59"/>
      <c r="E208" s="59"/>
      <c r="F208" s="8"/>
      <c r="G208" s="8"/>
      <c r="H208" s="8"/>
      <c r="I208" s="8"/>
      <c r="J208" s="8"/>
      <c r="K208" s="8"/>
      <c r="L208" s="8"/>
      <c r="M208" s="8"/>
      <c r="N208" s="8"/>
      <c r="O208" s="8"/>
      <c r="P208" s="8"/>
      <c r="Q208" s="8"/>
      <c r="R208" s="8"/>
      <c r="S208" s="8"/>
      <c r="T208" s="8"/>
      <c r="U208" s="8"/>
      <c r="V208" s="8"/>
      <c r="W208" s="8"/>
      <c r="X208" s="8"/>
      <c r="Y208" s="8"/>
      <c r="Z208" s="8"/>
      <c r="AA208" s="8"/>
    </row>
    <row r="209" spans="1:27" ht="12.75">
      <c r="A209" s="8"/>
      <c r="B209" s="59"/>
      <c r="C209" s="59"/>
      <c r="D209" s="59"/>
      <c r="E209" s="59"/>
      <c r="F209" s="8"/>
      <c r="G209" s="8"/>
      <c r="H209" s="8"/>
      <c r="I209" s="8"/>
      <c r="J209" s="8"/>
      <c r="K209" s="8"/>
      <c r="L209" s="8"/>
      <c r="M209" s="8"/>
      <c r="N209" s="8"/>
      <c r="O209" s="8"/>
      <c r="P209" s="8"/>
      <c r="Q209" s="8"/>
      <c r="R209" s="8"/>
      <c r="S209" s="8"/>
      <c r="T209" s="8"/>
      <c r="U209" s="8"/>
      <c r="V209" s="8"/>
      <c r="W209" s="8"/>
      <c r="X209" s="8"/>
      <c r="Y209" s="8"/>
      <c r="Z209" s="8"/>
      <c r="AA209" s="8"/>
    </row>
    <row r="210" spans="1:27" ht="12.75">
      <c r="A210" s="8"/>
      <c r="B210" s="59"/>
      <c r="C210" s="59"/>
      <c r="D210" s="59"/>
      <c r="E210" s="59"/>
      <c r="F210" s="8"/>
      <c r="G210" s="8"/>
      <c r="H210" s="8"/>
      <c r="I210" s="8"/>
      <c r="J210" s="8"/>
      <c r="K210" s="8"/>
      <c r="L210" s="8"/>
      <c r="M210" s="8"/>
      <c r="N210" s="8"/>
      <c r="O210" s="8"/>
      <c r="P210" s="8"/>
      <c r="Q210" s="8"/>
      <c r="R210" s="8"/>
      <c r="S210" s="8"/>
      <c r="T210" s="8"/>
      <c r="U210" s="8"/>
      <c r="V210" s="8"/>
      <c r="W210" s="8"/>
      <c r="X210" s="8"/>
      <c r="Y210" s="8"/>
      <c r="Z210" s="8"/>
      <c r="AA210" s="8"/>
    </row>
    <row r="211" spans="1:27" ht="12.75">
      <c r="A211" s="8"/>
      <c r="B211" s="59"/>
      <c r="C211" s="59"/>
      <c r="D211" s="59"/>
      <c r="E211" s="59"/>
      <c r="F211" s="8"/>
      <c r="G211" s="8"/>
      <c r="H211" s="8"/>
      <c r="I211" s="8"/>
      <c r="J211" s="8"/>
      <c r="K211" s="8"/>
      <c r="L211" s="8"/>
      <c r="M211" s="8"/>
      <c r="N211" s="8"/>
      <c r="O211" s="8"/>
      <c r="P211" s="8"/>
      <c r="Q211" s="8"/>
      <c r="R211" s="8"/>
      <c r="S211" s="8"/>
      <c r="T211" s="8"/>
      <c r="U211" s="8"/>
      <c r="V211" s="8"/>
      <c r="W211" s="8"/>
      <c r="X211" s="8"/>
      <c r="Y211" s="8"/>
      <c r="Z211" s="8"/>
      <c r="AA211" s="8"/>
    </row>
    <row r="212" spans="1:27" ht="12.75">
      <c r="A212" s="8"/>
      <c r="B212" s="59"/>
      <c r="C212" s="59"/>
      <c r="D212" s="59"/>
      <c r="E212" s="59"/>
      <c r="F212" s="8"/>
      <c r="G212" s="8"/>
      <c r="H212" s="8"/>
      <c r="I212" s="8"/>
      <c r="J212" s="8"/>
      <c r="K212" s="8"/>
      <c r="L212" s="8"/>
      <c r="M212" s="8"/>
      <c r="N212" s="8"/>
      <c r="O212" s="8"/>
      <c r="P212" s="8"/>
      <c r="Q212" s="8"/>
      <c r="R212" s="8"/>
      <c r="S212" s="8"/>
      <c r="T212" s="8"/>
      <c r="U212" s="8"/>
      <c r="V212" s="8"/>
      <c r="W212" s="8"/>
      <c r="X212" s="8"/>
      <c r="Y212" s="8"/>
      <c r="Z212" s="8"/>
      <c r="AA212" s="8"/>
    </row>
    <row r="213" spans="1:27" ht="12.75">
      <c r="A213" s="8"/>
      <c r="B213" s="59"/>
      <c r="C213" s="59"/>
      <c r="D213" s="59"/>
      <c r="E213" s="59"/>
      <c r="F213" s="8"/>
      <c r="G213" s="8"/>
      <c r="H213" s="8"/>
      <c r="I213" s="8"/>
      <c r="J213" s="8"/>
      <c r="K213" s="8"/>
      <c r="L213" s="8"/>
      <c r="M213" s="8"/>
      <c r="N213" s="8"/>
      <c r="O213" s="8"/>
      <c r="P213" s="8"/>
      <c r="Q213" s="8"/>
      <c r="R213" s="8"/>
      <c r="S213" s="8"/>
      <c r="T213" s="8"/>
      <c r="U213" s="8"/>
      <c r="V213" s="8"/>
      <c r="W213" s="8"/>
      <c r="X213" s="8"/>
      <c r="Y213" s="8"/>
      <c r="Z213" s="8"/>
      <c r="AA213" s="8"/>
    </row>
    <row r="214" spans="1:27" ht="12.75">
      <c r="A214" s="8"/>
      <c r="B214" s="59"/>
      <c r="C214" s="59"/>
      <c r="D214" s="59"/>
      <c r="E214" s="59"/>
      <c r="F214" s="8"/>
      <c r="G214" s="8"/>
      <c r="H214" s="8"/>
      <c r="I214" s="8"/>
      <c r="J214" s="8"/>
      <c r="K214" s="8"/>
      <c r="L214" s="8"/>
      <c r="M214" s="8"/>
      <c r="N214" s="8"/>
      <c r="O214" s="8"/>
      <c r="P214" s="8"/>
      <c r="Q214" s="8"/>
      <c r="R214" s="8"/>
      <c r="S214" s="8"/>
      <c r="T214" s="8"/>
      <c r="U214" s="8"/>
      <c r="V214" s="8"/>
      <c r="W214" s="8"/>
      <c r="X214" s="8"/>
      <c r="Y214" s="8"/>
      <c r="Z214" s="8"/>
      <c r="AA214" s="8"/>
    </row>
    <row r="215" spans="1:27" ht="12.75">
      <c r="A215" s="8"/>
      <c r="B215" s="59"/>
      <c r="C215" s="59"/>
      <c r="D215" s="59"/>
      <c r="E215" s="59"/>
      <c r="F215" s="8"/>
      <c r="G215" s="8"/>
      <c r="H215" s="8"/>
      <c r="I215" s="8"/>
      <c r="J215" s="8"/>
      <c r="K215" s="8"/>
      <c r="L215" s="8"/>
      <c r="M215" s="8"/>
      <c r="N215" s="8"/>
      <c r="O215" s="8"/>
      <c r="P215" s="8"/>
      <c r="Q215" s="8"/>
      <c r="R215" s="8"/>
      <c r="S215" s="8"/>
      <c r="T215" s="8"/>
      <c r="U215" s="8"/>
      <c r="V215" s="8"/>
      <c r="W215" s="8"/>
      <c r="X215" s="8"/>
      <c r="Y215" s="8"/>
      <c r="Z215" s="8"/>
      <c r="AA215" s="8"/>
    </row>
    <row r="216" spans="1:27" ht="12.75">
      <c r="A216" s="8"/>
      <c r="B216" s="59"/>
      <c r="C216" s="59"/>
      <c r="D216" s="59"/>
      <c r="E216" s="59"/>
      <c r="F216" s="8"/>
      <c r="G216" s="8"/>
      <c r="H216" s="8"/>
      <c r="I216" s="8"/>
      <c r="J216" s="8"/>
      <c r="K216" s="8"/>
      <c r="L216" s="8"/>
      <c r="M216" s="8"/>
      <c r="N216" s="8"/>
      <c r="O216" s="8"/>
      <c r="P216" s="8"/>
      <c r="Q216" s="8"/>
      <c r="R216" s="8"/>
      <c r="S216" s="8"/>
      <c r="T216" s="8"/>
      <c r="U216" s="8"/>
      <c r="V216" s="8"/>
      <c r="W216" s="8"/>
      <c r="X216" s="8"/>
      <c r="Y216" s="8"/>
      <c r="Z216" s="8"/>
      <c r="AA216" s="8"/>
    </row>
    <row r="217" spans="1:27" ht="12.75">
      <c r="A217" s="8"/>
      <c r="B217" s="59"/>
      <c r="C217" s="59"/>
      <c r="D217" s="59"/>
      <c r="E217" s="59"/>
      <c r="F217" s="8"/>
      <c r="G217" s="8"/>
      <c r="H217" s="8"/>
      <c r="I217" s="8"/>
      <c r="J217" s="8"/>
      <c r="K217" s="8"/>
      <c r="L217" s="8"/>
      <c r="M217" s="8"/>
      <c r="N217" s="8"/>
      <c r="O217" s="8"/>
      <c r="P217" s="8"/>
      <c r="Q217" s="8"/>
      <c r="R217" s="8"/>
      <c r="S217" s="8"/>
      <c r="T217" s="8"/>
      <c r="U217" s="8"/>
      <c r="V217" s="8"/>
      <c r="W217" s="8"/>
      <c r="X217" s="8"/>
      <c r="Y217" s="8"/>
      <c r="Z217" s="8"/>
      <c r="AA217" s="8"/>
    </row>
    <row r="218" spans="1:27" ht="12.75">
      <c r="A218" s="8"/>
      <c r="B218" s="59"/>
      <c r="C218" s="59"/>
      <c r="D218" s="59"/>
      <c r="E218" s="59"/>
      <c r="F218" s="8"/>
      <c r="G218" s="8"/>
      <c r="H218" s="8"/>
      <c r="I218" s="8"/>
      <c r="J218" s="8"/>
      <c r="K218" s="8"/>
      <c r="L218" s="8"/>
      <c r="M218" s="8"/>
      <c r="N218" s="8"/>
      <c r="O218" s="8"/>
      <c r="P218" s="8"/>
      <c r="Q218" s="8"/>
      <c r="R218" s="8"/>
      <c r="S218" s="8"/>
      <c r="T218" s="8"/>
      <c r="U218" s="8"/>
      <c r="V218" s="8"/>
      <c r="W218" s="8"/>
      <c r="X218" s="8"/>
      <c r="Y218" s="8"/>
      <c r="Z218" s="8"/>
      <c r="AA218" s="8"/>
    </row>
    <row r="219" spans="1:27" ht="12.75">
      <c r="A219" s="8"/>
      <c r="B219" s="59"/>
      <c r="C219" s="59"/>
      <c r="D219" s="59"/>
      <c r="E219" s="59"/>
      <c r="F219" s="8"/>
      <c r="G219" s="8"/>
      <c r="H219" s="8"/>
      <c r="I219" s="8"/>
      <c r="J219" s="8"/>
      <c r="K219" s="8"/>
      <c r="L219" s="8"/>
      <c r="M219" s="8"/>
      <c r="N219" s="8"/>
      <c r="O219" s="8"/>
      <c r="P219" s="8"/>
      <c r="Q219" s="8"/>
      <c r="R219" s="8"/>
      <c r="S219" s="8"/>
      <c r="T219" s="8"/>
      <c r="U219" s="8"/>
      <c r="V219" s="8"/>
      <c r="W219" s="8"/>
      <c r="X219" s="8"/>
      <c r="Y219" s="8"/>
      <c r="Z219" s="8"/>
      <c r="AA219" s="8"/>
    </row>
    <row r="220" spans="1:27" ht="12.75">
      <c r="A220" s="8"/>
      <c r="B220" s="59"/>
      <c r="C220" s="59"/>
      <c r="D220" s="59"/>
      <c r="E220" s="59"/>
      <c r="F220" s="8"/>
      <c r="G220" s="8"/>
      <c r="H220" s="8"/>
      <c r="I220" s="8"/>
      <c r="J220" s="8"/>
      <c r="K220" s="8"/>
      <c r="L220" s="8"/>
      <c r="M220" s="8"/>
      <c r="N220" s="8"/>
      <c r="O220" s="8"/>
      <c r="P220" s="8"/>
      <c r="Q220" s="8"/>
      <c r="R220" s="8"/>
      <c r="S220" s="8"/>
      <c r="T220" s="8"/>
      <c r="U220" s="8"/>
      <c r="V220" s="8"/>
      <c r="W220" s="8"/>
      <c r="X220" s="8"/>
      <c r="Y220" s="8"/>
      <c r="Z220" s="8"/>
      <c r="AA220" s="8"/>
    </row>
    <row r="221" spans="1:27" ht="12.75">
      <c r="A221" s="8"/>
      <c r="B221" s="59"/>
      <c r="C221" s="59"/>
      <c r="D221" s="59"/>
      <c r="E221" s="59"/>
      <c r="F221" s="8"/>
      <c r="G221" s="8"/>
      <c r="H221" s="8"/>
      <c r="I221" s="8"/>
      <c r="J221" s="8"/>
      <c r="K221" s="8"/>
      <c r="L221" s="8"/>
      <c r="M221" s="8"/>
      <c r="N221" s="8"/>
      <c r="O221" s="8"/>
      <c r="P221" s="8"/>
      <c r="Q221" s="8"/>
      <c r="R221" s="8"/>
      <c r="S221" s="8"/>
      <c r="T221" s="8"/>
      <c r="U221" s="8"/>
      <c r="V221" s="8"/>
      <c r="W221" s="8"/>
      <c r="X221" s="8"/>
      <c r="Y221" s="8"/>
      <c r="Z221" s="8"/>
      <c r="AA221" s="8"/>
    </row>
    <row r="222" spans="1:27" ht="12.75">
      <c r="A222" s="8"/>
      <c r="B222" s="59"/>
      <c r="C222" s="59"/>
      <c r="D222" s="59"/>
      <c r="E222" s="59"/>
      <c r="F222" s="8"/>
      <c r="G222" s="8"/>
      <c r="H222" s="8"/>
      <c r="I222" s="8"/>
      <c r="J222" s="8"/>
      <c r="K222" s="8"/>
      <c r="L222" s="8"/>
      <c r="M222" s="8"/>
      <c r="N222" s="8"/>
      <c r="O222" s="8"/>
      <c r="P222" s="8"/>
      <c r="Q222" s="8"/>
      <c r="R222" s="8"/>
      <c r="S222" s="8"/>
      <c r="T222" s="8"/>
      <c r="U222" s="8"/>
      <c r="V222" s="8"/>
      <c r="W222" s="8"/>
      <c r="X222" s="8"/>
      <c r="Y222" s="8"/>
      <c r="Z222" s="8"/>
      <c r="AA222" s="8"/>
    </row>
    <row r="223" spans="1:27" ht="12.75">
      <c r="A223" s="8"/>
      <c r="B223" s="59"/>
      <c r="C223" s="59"/>
      <c r="D223" s="59"/>
      <c r="E223" s="59"/>
      <c r="F223" s="8"/>
      <c r="G223" s="8"/>
      <c r="H223" s="8"/>
      <c r="I223" s="8"/>
      <c r="J223" s="8"/>
      <c r="K223" s="8"/>
      <c r="L223" s="8"/>
      <c r="M223" s="8"/>
      <c r="N223" s="8"/>
      <c r="O223" s="8"/>
      <c r="P223" s="8"/>
      <c r="Q223" s="8"/>
      <c r="R223" s="8"/>
      <c r="S223" s="8"/>
      <c r="T223" s="8"/>
      <c r="U223" s="8"/>
      <c r="V223" s="8"/>
      <c r="W223" s="8"/>
      <c r="X223" s="8"/>
      <c r="Y223" s="8"/>
      <c r="Z223" s="8"/>
      <c r="AA223" s="8"/>
    </row>
    <row r="224" spans="1:27" ht="12.75">
      <c r="A224" s="8"/>
      <c r="B224" s="59"/>
      <c r="C224" s="59"/>
      <c r="D224" s="59"/>
      <c r="E224" s="59"/>
      <c r="F224" s="8"/>
      <c r="G224" s="8"/>
      <c r="H224" s="8"/>
      <c r="I224" s="8"/>
      <c r="J224" s="8"/>
      <c r="K224" s="8"/>
      <c r="L224" s="8"/>
      <c r="M224" s="8"/>
      <c r="N224" s="8"/>
      <c r="O224" s="8"/>
      <c r="P224" s="8"/>
      <c r="Q224" s="8"/>
      <c r="R224" s="8"/>
      <c r="S224" s="8"/>
      <c r="T224" s="8"/>
      <c r="U224" s="8"/>
      <c r="V224" s="8"/>
      <c r="W224" s="8"/>
      <c r="X224" s="8"/>
      <c r="Y224" s="8"/>
      <c r="Z224" s="8"/>
      <c r="AA224" s="8"/>
    </row>
    <row r="225" spans="1:27" ht="12.75">
      <c r="A225" s="8"/>
      <c r="B225" s="59"/>
      <c r="C225" s="59"/>
      <c r="D225" s="59"/>
      <c r="E225" s="59"/>
      <c r="F225" s="8"/>
      <c r="G225" s="8"/>
      <c r="H225" s="8"/>
      <c r="I225" s="8"/>
      <c r="J225" s="8"/>
      <c r="K225" s="8"/>
      <c r="L225" s="8"/>
      <c r="M225" s="8"/>
      <c r="N225" s="8"/>
      <c r="O225" s="8"/>
      <c r="P225" s="8"/>
      <c r="Q225" s="8"/>
      <c r="R225" s="8"/>
      <c r="S225" s="8"/>
      <c r="T225" s="8"/>
      <c r="U225" s="8"/>
      <c r="V225" s="8"/>
      <c r="W225" s="8"/>
      <c r="X225" s="8"/>
      <c r="Y225" s="8"/>
      <c r="Z225" s="8"/>
      <c r="AA225" s="8"/>
    </row>
    <row r="226" spans="1:27" ht="12.75">
      <c r="A226" s="8"/>
      <c r="B226" s="59"/>
      <c r="C226" s="59"/>
      <c r="D226" s="59"/>
      <c r="E226" s="59"/>
      <c r="F226" s="8"/>
      <c r="G226" s="8"/>
      <c r="H226" s="8"/>
      <c r="I226" s="8"/>
      <c r="J226" s="8"/>
      <c r="K226" s="8"/>
      <c r="L226" s="8"/>
      <c r="M226" s="8"/>
      <c r="N226" s="8"/>
      <c r="O226" s="8"/>
      <c r="P226" s="8"/>
      <c r="Q226" s="8"/>
      <c r="R226" s="8"/>
      <c r="S226" s="8"/>
      <c r="T226" s="8"/>
      <c r="U226" s="8"/>
      <c r="V226" s="8"/>
      <c r="W226" s="8"/>
      <c r="X226" s="8"/>
      <c r="Y226" s="8"/>
      <c r="Z226" s="8"/>
      <c r="AA226" s="8"/>
    </row>
    <row r="227" spans="1:27" ht="12.75">
      <c r="A227" s="8"/>
      <c r="B227" s="59"/>
      <c r="C227" s="59"/>
      <c r="D227" s="59"/>
      <c r="E227" s="59"/>
      <c r="F227" s="8"/>
      <c r="G227" s="8"/>
      <c r="H227" s="8"/>
      <c r="I227" s="8"/>
      <c r="J227" s="8"/>
      <c r="K227" s="8"/>
      <c r="L227" s="8"/>
      <c r="M227" s="8"/>
      <c r="N227" s="8"/>
      <c r="O227" s="8"/>
      <c r="P227" s="8"/>
      <c r="Q227" s="8"/>
      <c r="R227" s="8"/>
      <c r="S227" s="8"/>
      <c r="T227" s="8"/>
      <c r="U227" s="8"/>
      <c r="V227" s="8"/>
      <c r="W227" s="8"/>
      <c r="X227" s="8"/>
      <c r="Y227" s="8"/>
      <c r="Z227" s="8"/>
      <c r="AA227" s="8"/>
    </row>
    <row r="228" spans="1:27" ht="12.75">
      <c r="A228" s="8"/>
      <c r="B228" s="59"/>
      <c r="C228" s="59"/>
      <c r="D228" s="59"/>
      <c r="E228" s="59"/>
      <c r="F228" s="8"/>
      <c r="G228" s="8"/>
      <c r="H228" s="8"/>
      <c r="I228" s="8"/>
      <c r="J228" s="8"/>
      <c r="K228" s="8"/>
      <c r="L228" s="8"/>
      <c r="M228" s="8"/>
      <c r="N228" s="8"/>
      <c r="O228" s="8"/>
      <c r="P228" s="8"/>
      <c r="Q228" s="8"/>
      <c r="R228" s="8"/>
      <c r="S228" s="8"/>
      <c r="T228" s="8"/>
      <c r="U228" s="8"/>
      <c r="V228" s="8"/>
      <c r="W228" s="8"/>
      <c r="X228" s="8"/>
      <c r="Y228" s="8"/>
      <c r="Z228" s="8"/>
      <c r="AA228" s="8"/>
    </row>
    <row r="229" spans="1:27" ht="12.75">
      <c r="A229" s="8"/>
      <c r="B229" s="59"/>
      <c r="C229" s="59"/>
      <c r="D229" s="59"/>
      <c r="E229" s="59"/>
      <c r="F229" s="8"/>
      <c r="G229" s="8"/>
      <c r="H229" s="8"/>
      <c r="I229" s="8"/>
      <c r="J229" s="8"/>
      <c r="K229" s="8"/>
      <c r="L229" s="8"/>
      <c r="M229" s="8"/>
      <c r="N229" s="8"/>
      <c r="O229" s="8"/>
      <c r="P229" s="8"/>
      <c r="Q229" s="8"/>
      <c r="R229" s="8"/>
      <c r="S229" s="8"/>
      <c r="T229" s="8"/>
      <c r="U229" s="8"/>
      <c r="V229" s="8"/>
      <c r="W229" s="8"/>
      <c r="X229" s="8"/>
      <c r="Y229" s="8"/>
      <c r="Z229" s="8"/>
      <c r="AA229" s="8"/>
    </row>
    <row r="230" spans="1:27" ht="12.75">
      <c r="A230" s="8"/>
      <c r="B230" s="59"/>
      <c r="C230" s="59"/>
      <c r="D230" s="59"/>
      <c r="E230" s="59"/>
      <c r="F230" s="8"/>
      <c r="G230" s="8"/>
      <c r="H230" s="8"/>
      <c r="I230" s="8"/>
      <c r="J230" s="8"/>
      <c r="K230" s="8"/>
      <c r="L230" s="8"/>
      <c r="M230" s="8"/>
      <c r="N230" s="8"/>
      <c r="O230" s="8"/>
      <c r="P230" s="8"/>
      <c r="Q230" s="8"/>
      <c r="R230" s="8"/>
      <c r="S230" s="8"/>
      <c r="T230" s="8"/>
      <c r="U230" s="8"/>
      <c r="V230" s="8"/>
      <c r="W230" s="8"/>
      <c r="X230" s="8"/>
      <c r="Y230" s="8"/>
      <c r="Z230" s="8"/>
      <c r="AA230" s="8"/>
    </row>
    <row r="231" spans="1:27" ht="12.75">
      <c r="A231" s="8"/>
      <c r="B231" s="59"/>
      <c r="C231" s="59"/>
      <c r="D231" s="59"/>
      <c r="E231" s="59"/>
      <c r="F231" s="8"/>
      <c r="G231" s="8"/>
      <c r="H231" s="8"/>
      <c r="I231" s="8"/>
      <c r="J231" s="8"/>
      <c r="K231" s="8"/>
      <c r="L231" s="8"/>
      <c r="M231" s="8"/>
      <c r="N231" s="8"/>
      <c r="O231" s="8"/>
      <c r="P231" s="8"/>
      <c r="Q231" s="8"/>
      <c r="R231" s="8"/>
      <c r="S231" s="8"/>
      <c r="T231" s="8"/>
      <c r="U231" s="8"/>
      <c r="V231" s="8"/>
      <c r="W231" s="8"/>
      <c r="X231" s="8"/>
      <c r="Y231" s="8"/>
      <c r="Z231" s="8"/>
      <c r="AA231" s="8"/>
    </row>
    <row r="232" spans="1:27" ht="12.75">
      <c r="A232" s="8"/>
      <c r="B232" s="59"/>
      <c r="C232" s="59"/>
      <c r="D232" s="59"/>
      <c r="E232" s="59"/>
      <c r="F232" s="8"/>
      <c r="G232" s="8"/>
      <c r="H232" s="8"/>
      <c r="I232" s="8"/>
      <c r="J232" s="8"/>
      <c r="K232" s="8"/>
      <c r="L232" s="8"/>
      <c r="M232" s="8"/>
      <c r="N232" s="8"/>
      <c r="O232" s="8"/>
      <c r="P232" s="8"/>
      <c r="Q232" s="8"/>
      <c r="R232" s="8"/>
      <c r="S232" s="8"/>
      <c r="T232" s="8"/>
      <c r="U232" s="8"/>
      <c r="V232" s="8"/>
      <c r="W232" s="8"/>
      <c r="X232" s="8"/>
      <c r="Y232" s="8"/>
      <c r="Z232" s="8"/>
      <c r="AA232" s="8"/>
    </row>
    <row r="233" spans="1:27" ht="12.75">
      <c r="A233" s="8"/>
      <c r="B233" s="59"/>
      <c r="C233" s="59"/>
      <c r="D233" s="59"/>
      <c r="E233" s="59"/>
      <c r="F233" s="8"/>
      <c r="G233" s="8"/>
      <c r="H233" s="8"/>
      <c r="I233" s="8"/>
      <c r="J233" s="8"/>
      <c r="K233" s="8"/>
      <c r="L233" s="8"/>
      <c r="M233" s="8"/>
      <c r="N233" s="8"/>
      <c r="O233" s="8"/>
      <c r="P233" s="8"/>
      <c r="Q233" s="8"/>
      <c r="R233" s="8"/>
      <c r="S233" s="8"/>
      <c r="T233" s="8"/>
      <c r="U233" s="8"/>
      <c r="V233" s="8"/>
      <c r="W233" s="8"/>
      <c r="X233" s="8"/>
      <c r="Y233" s="8"/>
      <c r="Z233" s="8"/>
      <c r="AA233" s="8"/>
    </row>
    <row r="234" spans="1:27" ht="12.75">
      <c r="A234" s="8"/>
      <c r="B234" s="59"/>
      <c r="C234" s="59"/>
      <c r="D234" s="59"/>
      <c r="E234" s="59"/>
      <c r="F234" s="8"/>
      <c r="G234" s="8"/>
      <c r="H234" s="8"/>
      <c r="I234" s="8"/>
      <c r="J234" s="8"/>
      <c r="K234" s="8"/>
      <c r="L234" s="8"/>
      <c r="M234" s="8"/>
      <c r="N234" s="8"/>
      <c r="O234" s="8"/>
      <c r="P234" s="8"/>
      <c r="Q234" s="8"/>
      <c r="R234" s="8"/>
      <c r="S234" s="8"/>
      <c r="T234" s="8"/>
      <c r="U234" s="8"/>
      <c r="V234" s="8"/>
      <c r="W234" s="8"/>
      <c r="X234" s="8"/>
      <c r="Y234" s="8"/>
      <c r="Z234" s="8"/>
      <c r="AA234" s="8"/>
    </row>
    <row r="235" spans="1:27" ht="12.75">
      <c r="A235" s="8"/>
      <c r="B235" s="59"/>
      <c r="C235" s="59"/>
      <c r="D235" s="59"/>
      <c r="E235" s="59"/>
      <c r="F235" s="8"/>
      <c r="G235" s="8"/>
      <c r="H235" s="8"/>
      <c r="I235" s="8"/>
      <c r="J235" s="8"/>
      <c r="K235" s="8"/>
      <c r="L235" s="8"/>
      <c r="M235" s="8"/>
      <c r="N235" s="8"/>
      <c r="O235" s="8"/>
      <c r="P235" s="8"/>
      <c r="Q235" s="8"/>
      <c r="R235" s="8"/>
      <c r="S235" s="8"/>
      <c r="T235" s="8"/>
      <c r="U235" s="8"/>
      <c r="V235" s="8"/>
      <c r="W235" s="8"/>
      <c r="X235" s="8"/>
      <c r="Y235" s="8"/>
      <c r="Z235" s="8"/>
      <c r="AA235" s="8"/>
    </row>
    <row r="236" spans="1:27" ht="12.75">
      <c r="A236" s="8"/>
      <c r="B236" s="59"/>
      <c r="C236" s="59"/>
      <c r="D236" s="59"/>
      <c r="E236" s="59"/>
      <c r="F236" s="8"/>
      <c r="G236" s="8"/>
      <c r="H236" s="8"/>
      <c r="I236" s="8"/>
      <c r="J236" s="8"/>
      <c r="K236" s="8"/>
      <c r="L236" s="8"/>
      <c r="M236" s="8"/>
      <c r="N236" s="8"/>
      <c r="O236" s="8"/>
      <c r="P236" s="8"/>
      <c r="Q236" s="8"/>
      <c r="R236" s="8"/>
      <c r="S236" s="8"/>
      <c r="T236" s="8"/>
      <c r="U236" s="8"/>
      <c r="V236" s="8"/>
      <c r="W236" s="8"/>
      <c r="X236" s="8"/>
      <c r="Y236" s="8"/>
      <c r="Z236" s="8"/>
      <c r="AA236" s="8"/>
    </row>
    <row r="237" spans="1:27" ht="12.75">
      <c r="A237" s="8"/>
      <c r="B237" s="59"/>
      <c r="C237" s="59"/>
      <c r="D237" s="59"/>
      <c r="E237" s="59"/>
      <c r="F237" s="8"/>
      <c r="G237" s="8"/>
      <c r="H237" s="8"/>
      <c r="I237" s="8"/>
      <c r="J237" s="8"/>
      <c r="K237" s="8"/>
      <c r="L237" s="8"/>
      <c r="M237" s="8"/>
      <c r="N237" s="8"/>
      <c r="O237" s="8"/>
      <c r="P237" s="8"/>
      <c r="Q237" s="8"/>
      <c r="R237" s="8"/>
      <c r="S237" s="8"/>
      <c r="T237" s="8"/>
      <c r="U237" s="8"/>
      <c r="V237" s="8"/>
      <c r="W237" s="8"/>
      <c r="X237" s="8"/>
      <c r="Y237" s="8"/>
      <c r="Z237" s="8"/>
      <c r="AA237" s="8"/>
    </row>
    <row r="238" spans="1:27" ht="12.75">
      <c r="A238" s="8"/>
      <c r="B238" s="59"/>
      <c r="C238" s="59"/>
      <c r="D238" s="59"/>
      <c r="E238" s="59"/>
      <c r="F238" s="8"/>
      <c r="G238" s="8"/>
      <c r="H238" s="8"/>
      <c r="I238" s="8"/>
      <c r="J238" s="8"/>
      <c r="K238" s="8"/>
      <c r="L238" s="8"/>
      <c r="M238" s="8"/>
      <c r="N238" s="8"/>
      <c r="O238" s="8"/>
      <c r="P238" s="8"/>
      <c r="Q238" s="8"/>
      <c r="R238" s="8"/>
      <c r="S238" s="8"/>
      <c r="T238" s="8"/>
      <c r="U238" s="8"/>
      <c r="V238" s="8"/>
      <c r="W238" s="8"/>
      <c r="X238" s="8"/>
      <c r="Y238" s="8"/>
      <c r="Z238" s="8"/>
      <c r="AA238" s="8"/>
    </row>
    <row r="239" spans="1:27" ht="12.75">
      <c r="A239" s="8"/>
      <c r="B239" s="59"/>
      <c r="C239" s="59"/>
      <c r="D239" s="59"/>
      <c r="E239" s="59"/>
      <c r="F239" s="8"/>
      <c r="G239" s="8"/>
      <c r="H239" s="8"/>
      <c r="I239" s="8"/>
      <c r="J239" s="8"/>
      <c r="K239" s="8"/>
      <c r="L239" s="8"/>
      <c r="M239" s="8"/>
      <c r="N239" s="8"/>
      <c r="O239" s="8"/>
      <c r="P239" s="8"/>
      <c r="Q239" s="8"/>
      <c r="R239" s="8"/>
      <c r="S239" s="8"/>
      <c r="T239" s="8"/>
      <c r="U239" s="8"/>
      <c r="V239" s="8"/>
      <c r="W239" s="8"/>
      <c r="X239" s="8"/>
      <c r="Y239" s="8"/>
      <c r="Z239" s="8"/>
      <c r="AA239" s="8"/>
    </row>
    <row r="240" spans="1:27" ht="12.75">
      <c r="A240" s="8"/>
      <c r="B240" s="59"/>
      <c r="C240" s="59"/>
      <c r="D240" s="59"/>
      <c r="E240" s="59"/>
      <c r="F240" s="8"/>
      <c r="G240" s="8"/>
      <c r="H240" s="8"/>
      <c r="I240" s="8"/>
      <c r="J240" s="8"/>
      <c r="K240" s="8"/>
      <c r="L240" s="8"/>
      <c r="M240" s="8"/>
      <c r="N240" s="8"/>
      <c r="O240" s="8"/>
      <c r="P240" s="8"/>
      <c r="Q240" s="8"/>
      <c r="R240" s="8"/>
      <c r="S240" s="8"/>
      <c r="T240" s="8"/>
      <c r="U240" s="8"/>
      <c r="V240" s="8"/>
      <c r="W240" s="8"/>
      <c r="X240" s="8"/>
      <c r="Y240" s="8"/>
      <c r="Z240" s="8"/>
      <c r="AA240" s="8"/>
    </row>
    <row r="241" spans="1:27" ht="12.75">
      <c r="A241" s="8"/>
      <c r="B241" s="59"/>
      <c r="C241" s="59"/>
      <c r="D241" s="59"/>
      <c r="E241" s="59"/>
      <c r="F241" s="8"/>
      <c r="G241" s="8"/>
      <c r="H241" s="8"/>
      <c r="I241" s="8"/>
      <c r="J241" s="8"/>
      <c r="K241" s="8"/>
      <c r="L241" s="8"/>
      <c r="M241" s="8"/>
      <c r="N241" s="8"/>
      <c r="O241" s="8"/>
      <c r="P241" s="8"/>
      <c r="Q241" s="8"/>
      <c r="R241" s="8"/>
      <c r="S241" s="8"/>
      <c r="T241" s="8"/>
      <c r="U241" s="8"/>
      <c r="V241" s="8"/>
      <c r="W241" s="8"/>
      <c r="X241" s="8"/>
      <c r="Y241" s="8"/>
      <c r="Z241" s="8"/>
      <c r="AA241" s="8"/>
    </row>
    <row r="242" spans="1:27" ht="12.75">
      <c r="A242" s="8"/>
      <c r="B242" s="59"/>
      <c r="C242" s="59"/>
      <c r="D242" s="59"/>
      <c r="E242" s="59"/>
      <c r="F242" s="8"/>
      <c r="G242" s="8"/>
      <c r="H242" s="8"/>
      <c r="I242" s="8"/>
      <c r="J242" s="8"/>
      <c r="K242" s="8"/>
      <c r="L242" s="8"/>
      <c r="M242" s="8"/>
      <c r="N242" s="8"/>
      <c r="O242" s="8"/>
      <c r="P242" s="8"/>
      <c r="Q242" s="8"/>
      <c r="R242" s="8"/>
      <c r="S242" s="8"/>
      <c r="T242" s="8"/>
      <c r="U242" s="8"/>
      <c r="V242" s="8"/>
      <c r="W242" s="8"/>
      <c r="X242" s="8"/>
      <c r="Y242" s="8"/>
      <c r="Z242" s="8"/>
      <c r="AA242" s="8"/>
    </row>
    <row r="243" spans="1:27" ht="12.75">
      <c r="A243" s="8"/>
      <c r="B243" s="59"/>
      <c r="C243" s="59"/>
      <c r="D243" s="59"/>
      <c r="E243" s="59"/>
      <c r="F243" s="8"/>
      <c r="G243" s="8"/>
      <c r="H243" s="8"/>
      <c r="I243" s="8"/>
      <c r="J243" s="8"/>
      <c r="K243" s="8"/>
      <c r="L243" s="8"/>
      <c r="M243" s="8"/>
      <c r="N243" s="8"/>
      <c r="O243" s="8"/>
      <c r="P243" s="8"/>
      <c r="Q243" s="8"/>
      <c r="R243" s="8"/>
      <c r="S243" s="8"/>
      <c r="T243" s="8"/>
      <c r="U243" s="8"/>
      <c r="V243" s="8"/>
      <c r="W243" s="8"/>
      <c r="X243" s="8"/>
      <c r="Y243" s="8"/>
      <c r="Z243" s="8"/>
      <c r="AA243" s="8"/>
    </row>
    <row r="244" spans="1:27" ht="12.75">
      <c r="A244" s="8"/>
      <c r="B244" s="59"/>
      <c r="C244" s="59"/>
      <c r="D244" s="59"/>
      <c r="E244" s="59"/>
      <c r="F244" s="8"/>
      <c r="G244" s="8"/>
      <c r="H244" s="8"/>
      <c r="I244" s="8"/>
      <c r="J244" s="8"/>
      <c r="K244" s="8"/>
      <c r="L244" s="8"/>
      <c r="M244" s="8"/>
      <c r="N244" s="8"/>
      <c r="O244" s="8"/>
      <c r="P244" s="8"/>
      <c r="Q244" s="8"/>
      <c r="R244" s="8"/>
      <c r="S244" s="8"/>
      <c r="T244" s="8"/>
      <c r="U244" s="8"/>
      <c r="V244" s="8"/>
      <c r="W244" s="8"/>
      <c r="X244" s="8"/>
      <c r="Y244" s="8"/>
      <c r="Z244" s="8"/>
      <c r="AA244" s="8"/>
    </row>
    <row r="245" spans="1:27" ht="12.75">
      <c r="A245" s="8"/>
      <c r="B245" s="59"/>
      <c r="C245" s="59"/>
      <c r="D245" s="59"/>
      <c r="E245" s="59"/>
      <c r="F245" s="8"/>
      <c r="G245" s="8"/>
      <c r="H245" s="8"/>
      <c r="I245" s="8"/>
      <c r="J245" s="8"/>
      <c r="K245" s="8"/>
      <c r="L245" s="8"/>
      <c r="M245" s="8"/>
      <c r="N245" s="8"/>
      <c r="O245" s="8"/>
      <c r="P245" s="8"/>
      <c r="Q245" s="8"/>
      <c r="R245" s="8"/>
      <c r="S245" s="8"/>
      <c r="T245" s="8"/>
      <c r="U245" s="8"/>
      <c r="V245" s="8"/>
      <c r="W245" s="8"/>
      <c r="X245" s="8"/>
      <c r="Y245" s="8"/>
      <c r="Z245" s="8"/>
      <c r="AA245" s="8"/>
    </row>
    <row r="246" spans="1:27" ht="12.75">
      <c r="A246" s="8"/>
      <c r="B246" s="59"/>
      <c r="C246" s="59"/>
      <c r="D246" s="59"/>
      <c r="E246" s="59"/>
      <c r="F246" s="8"/>
      <c r="G246" s="8"/>
      <c r="H246" s="8"/>
      <c r="I246" s="8"/>
      <c r="J246" s="8"/>
      <c r="K246" s="8"/>
      <c r="L246" s="8"/>
      <c r="M246" s="8"/>
      <c r="N246" s="8"/>
      <c r="O246" s="8"/>
      <c r="P246" s="8"/>
      <c r="Q246" s="8"/>
      <c r="R246" s="8"/>
      <c r="S246" s="8"/>
      <c r="T246" s="8"/>
      <c r="U246" s="8"/>
      <c r="V246" s="8"/>
      <c r="W246" s="8"/>
      <c r="X246" s="8"/>
      <c r="Y246" s="8"/>
      <c r="Z246" s="8"/>
      <c r="AA246" s="8"/>
    </row>
    <row r="247" spans="1:27" ht="12.75">
      <c r="A247" s="8"/>
      <c r="B247" s="59"/>
      <c r="C247" s="59"/>
      <c r="D247" s="59"/>
      <c r="E247" s="59"/>
      <c r="F247" s="8"/>
      <c r="G247" s="8"/>
      <c r="H247" s="8"/>
      <c r="I247" s="8"/>
      <c r="J247" s="8"/>
      <c r="K247" s="8"/>
      <c r="L247" s="8"/>
      <c r="M247" s="8"/>
      <c r="N247" s="8"/>
      <c r="O247" s="8"/>
      <c r="P247" s="8"/>
      <c r="Q247" s="8"/>
      <c r="R247" s="8"/>
      <c r="S247" s="8"/>
      <c r="T247" s="8"/>
      <c r="U247" s="8"/>
      <c r="V247" s="8"/>
      <c r="W247" s="8"/>
      <c r="X247" s="8"/>
      <c r="Y247" s="8"/>
      <c r="Z247" s="8"/>
      <c r="AA247" s="8"/>
    </row>
    <row r="248" spans="1:27" ht="12.75">
      <c r="A248" s="8"/>
      <c r="B248" s="59"/>
      <c r="C248" s="59"/>
      <c r="D248" s="59"/>
      <c r="E248" s="59"/>
      <c r="F248" s="8"/>
      <c r="G248" s="8"/>
      <c r="H248" s="8"/>
      <c r="I248" s="8"/>
      <c r="J248" s="8"/>
      <c r="K248" s="8"/>
      <c r="L248" s="8"/>
      <c r="M248" s="8"/>
      <c r="N248" s="8"/>
      <c r="O248" s="8"/>
      <c r="P248" s="8"/>
      <c r="Q248" s="8"/>
      <c r="R248" s="8"/>
      <c r="S248" s="8"/>
      <c r="T248" s="8"/>
      <c r="U248" s="8"/>
      <c r="V248" s="8"/>
      <c r="W248" s="8"/>
      <c r="X248" s="8"/>
      <c r="Y248" s="8"/>
      <c r="Z248" s="8"/>
      <c r="AA248" s="8"/>
    </row>
    <row r="249" spans="1:27" ht="12.75">
      <c r="A249" s="8"/>
      <c r="B249" s="59"/>
      <c r="C249" s="59"/>
      <c r="D249" s="59"/>
      <c r="E249" s="59"/>
      <c r="F249" s="8"/>
      <c r="G249" s="8"/>
      <c r="H249" s="8"/>
      <c r="I249" s="8"/>
      <c r="J249" s="8"/>
      <c r="K249" s="8"/>
      <c r="L249" s="8"/>
      <c r="M249" s="8"/>
      <c r="N249" s="8"/>
      <c r="O249" s="8"/>
      <c r="P249" s="8"/>
      <c r="Q249" s="8"/>
      <c r="R249" s="8"/>
      <c r="S249" s="8"/>
      <c r="T249" s="8"/>
      <c r="U249" s="8"/>
      <c r="V249" s="8"/>
      <c r="W249" s="8"/>
      <c r="X249" s="8"/>
      <c r="Y249" s="8"/>
      <c r="Z249" s="8"/>
      <c r="AA249" s="8"/>
    </row>
    <row r="250" spans="1:27" ht="12.75">
      <c r="A250" s="8"/>
      <c r="B250" s="59"/>
      <c r="C250" s="59"/>
      <c r="D250" s="59"/>
      <c r="E250" s="59"/>
      <c r="F250" s="8"/>
      <c r="G250" s="8"/>
      <c r="H250" s="8"/>
      <c r="I250" s="8"/>
      <c r="J250" s="8"/>
      <c r="K250" s="8"/>
      <c r="L250" s="8"/>
      <c r="M250" s="8"/>
      <c r="N250" s="8"/>
      <c r="O250" s="8"/>
      <c r="P250" s="8"/>
      <c r="Q250" s="8"/>
      <c r="R250" s="8"/>
      <c r="S250" s="8"/>
      <c r="T250" s="8"/>
      <c r="U250" s="8"/>
      <c r="V250" s="8"/>
      <c r="W250" s="8"/>
      <c r="X250" s="8"/>
      <c r="Y250" s="8"/>
      <c r="Z250" s="8"/>
      <c r="AA250" s="8"/>
    </row>
    <row r="251" spans="1:27" ht="12.75">
      <c r="A251" s="8"/>
      <c r="B251" s="59"/>
      <c r="C251" s="59"/>
      <c r="D251" s="59"/>
      <c r="E251" s="59"/>
      <c r="F251" s="8"/>
      <c r="G251" s="8"/>
      <c r="H251" s="8"/>
      <c r="I251" s="8"/>
      <c r="J251" s="8"/>
      <c r="K251" s="8"/>
      <c r="L251" s="8"/>
      <c r="M251" s="8"/>
      <c r="N251" s="8"/>
      <c r="O251" s="8"/>
      <c r="P251" s="8"/>
      <c r="Q251" s="8"/>
      <c r="R251" s="8"/>
      <c r="S251" s="8"/>
      <c r="T251" s="8"/>
      <c r="U251" s="8"/>
      <c r="V251" s="8"/>
      <c r="W251" s="8"/>
      <c r="X251" s="8"/>
      <c r="Y251" s="8"/>
      <c r="Z251" s="8"/>
      <c r="AA251" s="8"/>
    </row>
    <row r="252" spans="1:27" ht="12.75">
      <c r="A252" s="8"/>
      <c r="B252" s="59"/>
      <c r="C252" s="59"/>
      <c r="D252" s="59"/>
      <c r="E252" s="59"/>
      <c r="F252" s="8"/>
      <c r="G252" s="8"/>
      <c r="H252" s="8"/>
      <c r="I252" s="8"/>
      <c r="J252" s="8"/>
      <c r="K252" s="8"/>
      <c r="L252" s="8"/>
      <c r="M252" s="8"/>
      <c r="N252" s="8"/>
      <c r="O252" s="8"/>
      <c r="P252" s="8"/>
      <c r="Q252" s="8"/>
      <c r="R252" s="8"/>
      <c r="S252" s="8"/>
      <c r="T252" s="8"/>
      <c r="U252" s="8"/>
      <c r="V252" s="8"/>
      <c r="W252" s="8"/>
      <c r="X252" s="8"/>
      <c r="Y252" s="8"/>
      <c r="Z252" s="8"/>
      <c r="AA252" s="8"/>
    </row>
    <row r="253" spans="1:27" ht="12.75">
      <c r="A253" s="8"/>
      <c r="B253" s="59"/>
      <c r="C253" s="59"/>
      <c r="D253" s="59"/>
      <c r="E253" s="59"/>
      <c r="F253" s="8"/>
      <c r="G253" s="8"/>
      <c r="H253" s="8"/>
      <c r="I253" s="8"/>
      <c r="J253" s="8"/>
      <c r="K253" s="8"/>
      <c r="L253" s="8"/>
      <c r="M253" s="8"/>
      <c r="N253" s="8"/>
      <c r="O253" s="8"/>
      <c r="P253" s="8"/>
      <c r="Q253" s="8"/>
      <c r="R253" s="8"/>
      <c r="S253" s="8"/>
      <c r="T253" s="8"/>
      <c r="U253" s="8"/>
      <c r="V253" s="8"/>
      <c r="W253" s="8"/>
      <c r="X253" s="8"/>
      <c r="Y253" s="8"/>
      <c r="Z253" s="8"/>
      <c r="AA253" s="8"/>
    </row>
    <row r="254" spans="1:27" ht="12.75">
      <c r="A254" s="8"/>
      <c r="B254" s="59"/>
      <c r="C254" s="59"/>
      <c r="D254" s="59"/>
      <c r="E254" s="59"/>
      <c r="F254" s="8"/>
      <c r="G254" s="8"/>
      <c r="H254" s="8"/>
      <c r="I254" s="8"/>
      <c r="J254" s="8"/>
      <c r="K254" s="8"/>
      <c r="L254" s="8"/>
      <c r="M254" s="8"/>
      <c r="N254" s="8"/>
      <c r="O254" s="8"/>
      <c r="P254" s="8"/>
      <c r="Q254" s="8"/>
      <c r="R254" s="8"/>
      <c r="S254" s="8"/>
      <c r="T254" s="8"/>
      <c r="U254" s="8"/>
      <c r="V254" s="8"/>
      <c r="W254" s="8"/>
      <c r="X254" s="8"/>
      <c r="Y254" s="8"/>
      <c r="Z254" s="8"/>
      <c r="AA254" s="8"/>
    </row>
    <row r="255" spans="1:27" ht="12.75">
      <c r="A255" s="8"/>
      <c r="B255" s="59"/>
      <c r="C255" s="59"/>
      <c r="D255" s="59"/>
      <c r="E255" s="59"/>
      <c r="F255" s="8"/>
      <c r="G255" s="8"/>
      <c r="H255" s="8"/>
      <c r="I255" s="8"/>
      <c r="J255" s="8"/>
      <c r="K255" s="8"/>
      <c r="L255" s="8"/>
      <c r="M255" s="8"/>
      <c r="N255" s="8"/>
      <c r="O255" s="8"/>
      <c r="P255" s="8"/>
      <c r="Q255" s="8"/>
      <c r="R255" s="8"/>
      <c r="S255" s="8"/>
      <c r="T255" s="8"/>
      <c r="U255" s="8"/>
      <c r="V255" s="8"/>
      <c r="W255" s="8"/>
      <c r="X255" s="8"/>
      <c r="Y255" s="8"/>
      <c r="Z255" s="8"/>
      <c r="AA255" s="8"/>
    </row>
    <row r="256" spans="1:27" ht="12.75">
      <c r="A256" s="8"/>
      <c r="B256" s="59"/>
      <c r="C256" s="59"/>
      <c r="D256" s="59"/>
      <c r="E256" s="59"/>
      <c r="F256" s="8"/>
      <c r="G256" s="8"/>
      <c r="H256" s="8"/>
      <c r="I256" s="8"/>
      <c r="J256" s="8"/>
      <c r="K256" s="8"/>
      <c r="L256" s="8"/>
      <c r="M256" s="8"/>
      <c r="N256" s="8"/>
      <c r="O256" s="8"/>
      <c r="P256" s="8"/>
      <c r="Q256" s="8"/>
      <c r="R256" s="8"/>
      <c r="S256" s="8"/>
      <c r="T256" s="8"/>
      <c r="U256" s="8"/>
      <c r="V256" s="8"/>
      <c r="W256" s="8"/>
      <c r="X256" s="8"/>
      <c r="Y256" s="8"/>
      <c r="Z256" s="8"/>
      <c r="AA256" s="8"/>
    </row>
    <row r="257" spans="1:27" ht="12.75">
      <c r="A257" s="8"/>
      <c r="B257" s="59"/>
      <c r="C257" s="59"/>
      <c r="D257" s="59"/>
      <c r="E257" s="59"/>
      <c r="F257" s="8"/>
      <c r="G257" s="8"/>
      <c r="H257" s="8"/>
      <c r="I257" s="8"/>
      <c r="J257" s="8"/>
      <c r="K257" s="8"/>
      <c r="L257" s="8"/>
      <c r="M257" s="8"/>
      <c r="N257" s="8"/>
      <c r="O257" s="8"/>
      <c r="P257" s="8"/>
      <c r="Q257" s="8"/>
      <c r="R257" s="8"/>
      <c r="S257" s="8"/>
      <c r="T257" s="8"/>
      <c r="U257" s="8"/>
      <c r="V257" s="8"/>
      <c r="W257" s="8"/>
      <c r="X257" s="8"/>
      <c r="Y257" s="8"/>
      <c r="Z257" s="8"/>
      <c r="AA257" s="8"/>
    </row>
    <row r="258" spans="1:27" ht="12.75">
      <c r="A258" s="8"/>
      <c r="B258" s="59"/>
      <c r="C258" s="59"/>
      <c r="D258" s="59"/>
      <c r="E258" s="59"/>
      <c r="F258" s="8"/>
      <c r="G258" s="8"/>
      <c r="H258" s="8"/>
      <c r="I258" s="8"/>
      <c r="J258" s="8"/>
      <c r="K258" s="8"/>
      <c r="L258" s="8"/>
      <c r="M258" s="8"/>
      <c r="N258" s="8"/>
      <c r="O258" s="8"/>
      <c r="P258" s="8"/>
      <c r="Q258" s="8"/>
      <c r="R258" s="8"/>
      <c r="S258" s="8"/>
      <c r="T258" s="8"/>
      <c r="U258" s="8"/>
      <c r="V258" s="8"/>
      <c r="W258" s="8"/>
      <c r="X258" s="8"/>
      <c r="Y258" s="8"/>
      <c r="Z258" s="8"/>
      <c r="AA258" s="8"/>
    </row>
    <row r="259" spans="1:27" ht="12.75">
      <c r="A259" s="8"/>
      <c r="B259" s="59"/>
      <c r="C259" s="59"/>
      <c r="D259" s="59"/>
      <c r="E259" s="59"/>
      <c r="F259" s="8"/>
      <c r="G259" s="8"/>
      <c r="H259" s="8"/>
      <c r="I259" s="8"/>
      <c r="J259" s="8"/>
      <c r="K259" s="8"/>
      <c r="L259" s="8"/>
      <c r="M259" s="8"/>
      <c r="N259" s="8"/>
      <c r="O259" s="8"/>
      <c r="P259" s="8"/>
      <c r="Q259" s="8"/>
      <c r="R259" s="8"/>
      <c r="S259" s="8"/>
      <c r="T259" s="8"/>
      <c r="U259" s="8"/>
      <c r="V259" s="8"/>
      <c r="W259" s="8"/>
      <c r="X259" s="8"/>
      <c r="Y259" s="8"/>
      <c r="Z259" s="8"/>
      <c r="AA259" s="8"/>
    </row>
    <row r="260" spans="1:27" ht="12.75">
      <c r="A260" s="8"/>
      <c r="B260" s="59"/>
      <c r="C260" s="59"/>
      <c r="D260" s="59"/>
      <c r="E260" s="59"/>
      <c r="F260" s="8"/>
      <c r="G260" s="8"/>
      <c r="H260" s="8"/>
      <c r="I260" s="8"/>
      <c r="J260" s="8"/>
      <c r="K260" s="8"/>
      <c r="L260" s="8"/>
      <c r="M260" s="8"/>
      <c r="N260" s="8"/>
      <c r="O260" s="8"/>
      <c r="P260" s="8"/>
      <c r="Q260" s="8"/>
      <c r="R260" s="8"/>
      <c r="S260" s="8"/>
      <c r="T260" s="8"/>
      <c r="U260" s="8"/>
      <c r="V260" s="8"/>
      <c r="W260" s="8"/>
      <c r="X260" s="8"/>
      <c r="Y260" s="8"/>
      <c r="Z260" s="8"/>
      <c r="AA260" s="8"/>
    </row>
    <row r="261" spans="1:27" ht="12.75">
      <c r="A261" s="8"/>
      <c r="B261" s="59"/>
      <c r="C261" s="59"/>
      <c r="D261" s="59"/>
      <c r="E261" s="59"/>
      <c r="F261" s="8"/>
      <c r="G261" s="8"/>
      <c r="H261" s="8"/>
      <c r="I261" s="8"/>
      <c r="J261" s="8"/>
      <c r="K261" s="8"/>
      <c r="L261" s="8"/>
      <c r="M261" s="8"/>
      <c r="N261" s="8"/>
      <c r="O261" s="8"/>
      <c r="P261" s="8"/>
      <c r="Q261" s="8"/>
      <c r="R261" s="8"/>
      <c r="S261" s="8"/>
      <c r="T261" s="8"/>
      <c r="U261" s="8"/>
      <c r="V261" s="8"/>
      <c r="W261" s="8"/>
      <c r="X261" s="8"/>
      <c r="Y261" s="8"/>
      <c r="Z261" s="8"/>
      <c r="AA261" s="8"/>
    </row>
    <row r="262" spans="1:27" ht="12.75">
      <c r="A262" s="8"/>
      <c r="B262" s="59"/>
      <c r="C262" s="59"/>
      <c r="D262" s="59"/>
      <c r="E262" s="59"/>
      <c r="F262" s="8"/>
      <c r="G262" s="8"/>
      <c r="H262" s="8"/>
      <c r="I262" s="8"/>
      <c r="J262" s="8"/>
      <c r="K262" s="8"/>
      <c r="L262" s="8"/>
      <c r="M262" s="8"/>
      <c r="N262" s="8"/>
      <c r="O262" s="8"/>
      <c r="P262" s="8"/>
      <c r="Q262" s="8"/>
      <c r="R262" s="8"/>
      <c r="S262" s="8"/>
      <c r="T262" s="8"/>
      <c r="U262" s="8"/>
      <c r="V262" s="8"/>
      <c r="W262" s="8"/>
      <c r="X262" s="8"/>
      <c r="Y262" s="8"/>
      <c r="Z262" s="8"/>
      <c r="AA262" s="8"/>
    </row>
    <row r="263" spans="1:27" ht="12.75">
      <c r="A263" s="8"/>
      <c r="B263" s="59"/>
      <c r="C263" s="59"/>
      <c r="D263" s="59"/>
      <c r="E263" s="59"/>
      <c r="F263" s="8"/>
      <c r="G263" s="8"/>
      <c r="H263" s="8"/>
      <c r="I263" s="8"/>
      <c r="J263" s="8"/>
      <c r="K263" s="8"/>
      <c r="L263" s="8"/>
      <c r="M263" s="8"/>
      <c r="N263" s="8"/>
      <c r="O263" s="8"/>
      <c r="P263" s="8"/>
      <c r="Q263" s="8"/>
      <c r="R263" s="8"/>
      <c r="S263" s="8"/>
      <c r="T263" s="8"/>
      <c r="U263" s="8"/>
      <c r="V263" s="8"/>
      <c r="W263" s="8"/>
      <c r="X263" s="8"/>
      <c r="Y263" s="8"/>
      <c r="Z263" s="8"/>
      <c r="AA263" s="8"/>
    </row>
    <row r="264" spans="1:27" ht="12.75">
      <c r="A264" s="8"/>
      <c r="B264" s="59"/>
      <c r="C264" s="59"/>
      <c r="D264" s="59"/>
      <c r="E264" s="59"/>
      <c r="F264" s="8"/>
      <c r="G264" s="8"/>
      <c r="H264" s="8"/>
      <c r="I264" s="8"/>
      <c r="J264" s="8"/>
      <c r="K264" s="8"/>
      <c r="L264" s="8"/>
      <c r="M264" s="8"/>
      <c r="N264" s="8"/>
      <c r="O264" s="8"/>
      <c r="P264" s="8"/>
      <c r="Q264" s="8"/>
      <c r="R264" s="8"/>
      <c r="S264" s="8"/>
      <c r="T264" s="8"/>
      <c r="U264" s="8"/>
      <c r="V264" s="8"/>
      <c r="W264" s="8"/>
      <c r="X264" s="8"/>
      <c r="Y264" s="8"/>
      <c r="Z264" s="8"/>
      <c r="AA264" s="8"/>
    </row>
    <row r="265" spans="1:27" ht="12.75">
      <c r="A265" s="8"/>
      <c r="B265" s="59"/>
      <c r="C265" s="59"/>
      <c r="D265" s="59"/>
      <c r="E265" s="59"/>
      <c r="F265" s="8"/>
      <c r="G265" s="8"/>
      <c r="H265" s="8"/>
      <c r="I265" s="8"/>
      <c r="J265" s="8"/>
      <c r="K265" s="8"/>
      <c r="L265" s="8"/>
      <c r="M265" s="8"/>
      <c r="N265" s="8"/>
      <c r="O265" s="8"/>
      <c r="P265" s="8"/>
      <c r="Q265" s="8"/>
      <c r="R265" s="8"/>
      <c r="S265" s="8"/>
      <c r="T265" s="8"/>
      <c r="U265" s="8"/>
      <c r="V265" s="8"/>
      <c r="W265" s="8"/>
      <c r="X265" s="8"/>
      <c r="Y265" s="8"/>
      <c r="Z265" s="8"/>
      <c r="AA265" s="8"/>
    </row>
    <row r="266" spans="1:27" ht="12.75">
      <c r="A266" s="8"/>
      <c r="B266" s="59"/>
      <c r="C266" s="59"/>
      <c r="D266" s="59"/>
      <c r="E266" s="59"/>
      <c r="F266" s="8"/>
      <c r="G266" s="8"/>
      <c r="H266" s="8"/>
      <c r="I266" s="8"/>
      <c r="J266" s="8"/>
      <c r="K266" s="8"/>
      <c r="L266" s="8"/>
      <c r="M266" s="8"/>
      <c r="N266" s="8"/>
      <c r="O266" s="8"/>
      <c r="P266" s="8"/>
      <c r="Q266" s="8"/>
      <c r="R266" s="8"/>
      <c r="S266" s="8"/>
      <c r="T266" s="8"/>
      <c r="U266" s="8"/>
      <c r="V266" s="8"/>
      <c r="W266" s="8"/>
      <c r="X266" s="8"/>
      <c r="Y266" s="8"/>
      <c r="Z266" s="8"/>
      <c r="AA266" s="8"/>
    </row>
    <row r="267" spans="1:27" ht="12.75">
      <c r="A267" s="8"/>
      <c r="B267" s="59"/>
      <c r="C267" s="59"/>
      <c r="D267" s="59"/>
      <c r="E267" s="59"/>
      <c r="F267" s="8"/>
      <c r="G267" s="8"/>
      <c r="H267" s="8"/>
      <c r="I267" s="8"/>
      <c r="J267" s="8"/>
      <c r="K267" s="8"/>
      <c r="L267" s="8"/>
      <c r="M267" s="8"/>
      <c r="N267" s="8"/>
      <c r="O267" s="8"/>
      <c r="P267" s="8"/>
      <c r="Q267" s="8"/>
      <c r="R267" s="8"/>
      <c r="S267" s="8"/>
      <c r="T267" s="8"/>
      <c r="U267" s="8"/>
      <c r="V267" s="8"/>
      <c r="W267" s="8"/>
      <c r="X267" s="8"/>
      <c r="Y267" s="8"/>
      <c r="Z267" s="8"/>
      <c r="AA267" s="8"/>
    </row>
    <row r="268" spans="1:27" ht="12.75">
      <c r="A268" s="8"/>
      <c r="B268" s="59"/>
      <c r="C268" s="59"/>
      <c r="D268" s="59"/>
      <c r="E268" s="59"/>
      <c r="F268" s="8"/>
      <c r="G268" s="8"/>
      <c r="H268" s="8"/>
      <c r="I268" s="8"/>
      <c r="J268" s="8"/>
      <c r="K268" s="8"/>
      <c r="L268" s="8"/>
      <c r="M268" s="8"/>
      <c r="N268" s="8"/>
      <c r="O268" s="8"/>
      <c r="P268" s="8"/>
      <c r="Q268" s="8"/>
      <c r="R268" s="8"/>
      <c r="S268" s="8"/>
      <c r="T268" s="8"/>
      <c r="U268" s="8"/>
      <c r="V268" s="8"/>
      <c r="W268" s="8"/>
      <c r="X268" s="8"/>
      <c r="Y268" s="8"/>
      <c r="Z268" s="8"/>
      <c r="AA268" s="8"/>
    </row>
    <row r="269" spans="1:27" ht="12.75">
      <c r="A269" s="8"/>
      <c r="B269" s="59"/>
      <c r="C269" s="59"/>
      <c r="D269" s="59"/>
      <c r="E269" s="59"/>
      <c r="F269" s="8"/>
      <c r="G269" s="8"/>
      <c r="H269" s="8"/>
      <c r="I269" s="8"/>
      <c r="J269" s="8"/>
      <c r="K269" s="8"/>
      <c r="L269" s="8"/>
      <c r="M269" s="8"/>
      <c r="N269" s="8"/>
      <c r="O269" s="8"/>
      <c r="P269" s="8"/>
      <c r="Q269" s="8"/>
      <c r="R269" s="8"/>
      <c r="S269" s="8"/>
      <c r="T269" s="8"/>
      <c r="U269" s="8"/>
      <c r="V269" s="8"/>
      <c r="W269" s="8"/>
      <c r="X269" s="8"/>
      <c r="Y269" s="8"/>
      <c r="Z269" s="8"/>
      <c r="AA269" s="8"/>
    </row>
    <row r="270" spans="1:27" ht="12.75">
      <c r="A270" s="8"/>
      <c r="B270" s="59"/>
      <c r="C270" s="59"/>
      <c r="D270" s="59"/>
      <c r="E270" s="59"/>
      <c r="F270" s="8"/>
      <c r="G270" s="8"/>
      <c r="H270" s="8"/>
      <c r="I270" s="8"/>
      <c r="J270" s="8"/>
      <c r="K270" s="8"/>
      <c r="L270" s="8"/>
      <c r="M270" s="8"/>
      <c r="N270" s="8"/>
      <c r="O270" s="8"/>
      <c r="P270" s="8"/>
      <c r="Q270" s="8"/>
      <c r="R270" s="8"/>
      <c r="S270" s="8"/>
      <c r="T270" s="8"/>
      <c r="U270" s="8"/>
      <c r="V270" s="8"/>
      <c r="W270" s="8"/>
      <c r="X270" s="8"/>
      <c r="Y270" s="8"/>
      <c r="Z270" s="8"/>
      <c r="AA270" s="8"/>
    </row>
    <row r="271" spans="1:27" ht="12.75">
      <c r="A271" s="8"/>
      <c r="B271" s="59"/>
      <c r="C271" s="59"/>
      <c r="D271" s="59"/>
      <c r="E271" s="59"/>
      <c r="F271" s="8"/>
      <c r="G271" s="8"/>
      <c r="H271" s="8"/>
      <c r="I271" s="8"/>
      <c r="J271" s="8"/>
      <c r="K271" s="8"/>
      <c r="L271" s="8"/>
      <c r="M271" s="8"/>
      <c r="N271" s="8"/>
      <c r="O271" s="8"/>
      <c r="P271" s="8"/>
      <c r="Q271" s="8"/>
      <c r="R271" s="8"/>
      <c r="S271" s="8"/>
      <c r="T271" s="8"/>
      <c r="U271" s="8"/>
      <c r="V271" s="8"/>
      <c r="W271" s="8"/>
      <c r="X271" s="8"/>
      <c r="Y271" s="8"/>
      <c r="Z271" s="8"/>
      <c r="AA271" s="8"/>
    </row>
    <row r="272" spans="1:27" ht="12.75">
      <c r="A272" s="8"/>
      <c r="B272" s="59"/>
      <c r="C272" s="59"/>
      <c r="D272" s="59"/>
      <c r="E272" s="59"/>
      <c r="F272" s="8"/>
      <c r="G272" s="8"/>
      <c r="H272" s="8"/>
      <c r="I272" s="8"/>
      <c r="J272" s="8"/>
      <c r="K272" s="8"/>
      <c r="L272" s="8"/>
      <c r="M272" s="8"/>
      <c r="N272" s="8"/>
      <c r="O272" s="8"/>
      <c r="P272" s="8"/>
      <c r="Q272" s="8"/>
      <c r="R272" s="8"/>
      <c r="S272" s="8"/>
      <c r="T272" s="8"/>
      <c r="U272" s="8"/>
      <c r="V272" s="8"/>
      <c r="W272" s="8"/>
      <c r="X272" s="8"/>
      <c r="Y272" s="8"/>
      <c r="Z272" s="8"/>
      <c r="AA272" s="8"/>
    </row>
    <row r="273" spans="1:27" ht="12.75">
      <c r="A273" s="8"/>
      <c r="B273" s="59"/>
      <c r="C273" s="59"/>
      <c r="D273" s="59"/>
      <c r="E273" s="59"/>
      <c r="F273" s="8"/>
      <c r="G273" s="8"/>
      <c r="H273" s="8"/>
      <c r="I273" s="8"/>
      <c r="J273" s="8"/>
      <c r="K273" s="8"/>
      <c r="L273" s="8"/>
      <c r="M273" s="8"/>
      <c r="N273" s="8"/>
      <c r="O273" s="8"/>
      <c r="P273" s="8"/>
      <c r="Q273" s="8"/>
      <c r="R273" s="8"/>
      <c r="S273" s="8"/>
      <c r="T273" s="8"/>
      <c r="U273" s="8"/>
      <c r="V273" s="8"/>
      <c r="W273" s="8"/>
      <c r="X273" s="8"/>
      <c r="Y273" s="8"/>
      <c r="Z273" s="8"/>
      <c r="AA273" s="8"/>
    </row>
    <row r="274" spans="1:27" ht="12.75">
      <c r="A274" s="8"/>
      <c r="B274" s="59"/>
      <c r="C274" s="59"/>
      <c r="D274" s="59"/>
      <c r="E274" s="59"/>
      <c r="F274" s="8"/>
      <c r="G274" s="8"/>
      <c r="H274" s="8"/>
      <c r="I274" s="8"/>
      <c r="J274" s="8"/>
      <c r="K274" s="8"/>
      <c r="L274" s="8"/>
      <c r="M274" s="8"/>
      <c r="N274" s="8"/>
      <c r="O274" s="8"/>
      <c r="P274" s="8"/>
      <c r="Q274" s="8"/>
      <c r="R274" s="8"/>
      <c r="S274" s="8"/>
      <c r="T274" s="8"/>
      <c r="U274" s="8"/>
      <c r="V274" s="8"/>
      <c r="W274" s="8"/>
      <c r="X274" s="8"/>
      <c r="Y274" s="8"/>
      <c r="Z274" s="8"/>
      <c r="AA274" s="8"/>
    </row>
    <row r="275" spans="1:27" ht="12.75">
      <c r="A275" s="8"/>
      <c r="B275" s="59"/>
      <c r="C275" s="59"/>
      <c r="D275" s="59"/>
      <c r="E275" s="59"/>
      <c r="F275" s="8"/>
      <c r="G275" s="8"/>
      <c r="H275" s="8"/>
      <c r="I275" s="8"/>
      <c r="J275" s="8"/>
      <c r="K275" s="8"/>
      <c r="L275" s="8"/>
      <c r="M275" s="8"/>
      <c r="N275" s="8"/>
      <c r="O275" s="8"/>
      <c r="P275" s="8"/>
      <c r="Q275" s="8"/>
      <c r="R275" s="8"/>
      <c r="S275" s="8"/>
      <c r="T275" s="8"/>
      <c r="U275" s="8"/>
      <c r="V275" s="8"/>
      <c r="W275" s="8"/>
      <c r="X275" s="8"/>
      <c r="Y275" s="8"/>
      <c r="Z275" s="8"/>
      <c r="AA275" s="8"/>
    </row>
    <row r="276" spans="1:27" ht="12.75">
      <c r="A276" s="8"/>
      <c r="B276" s="59"/>
      <c r="C276" s="59"/>
      <c r="D276" s="59"/>
      <c r="E276" s="59"/>
      <c r="F276" s="8"/>
      <c r="G276" s="8"/>
      <c r="H276" s="8"/>
      <c r="I276" s="8"/>
      <c r="J276" s="8"/>
      <c r="K276" s="8"/>
      <c r="L276" s="8"/>
      <c r="M276" s="8"/>
      <c r="N276" s="8"/>
      <c r="O276" s="8"/>
      <c r="P276" s="8"/>
      <c r="Q276" s="8"/>
      <c r="R276" s="8"/>
      <c r="S276" s="8"/>
      <c r="T276" s="8"/>
      <c r="U276" s="8"/>
      <c r="V276" s="8"/>
      <c r="W276" s="8"/>
      <c r="X276" s="8"/>
      <c r="Y276" s="8"/>
      <c r="Z276" s="8"/>
      <c r="AA276" s="8"/>
    </row>
    <row r="277" spans="1:27" ht="12.75">
      <c r="A277" s="8"/>
      <c r="B277" s="59"/>
      <c r="C277" s="59"/>
      <c r="D277" s="59"/>
      <c r="E277" s="59"/>
      <c r="F277" s="8"/>
      <c r="G277" s="8"/>
      <c r="H277" s="8"/>
      <c r="I277" s="8"/>
      <c r="J277" s="8"/>
      <c r="K277" s="8"/>
      <c r="L277" s="8"/>
      <c r="M277" s="8"/>
      <c r="N277" s="8"/>
      <c r="O277" s="8"/>
      <c r="P277" s="8"/>
      <c r="Q277" s="8"/>
      <c r="R277" s="8"/>
      <c r="S277" s="8"/>
      <c r="T277" s="8"/>
      <c r="U277" s="8"/>
      <c r="V277" s="8"/>
      <c r="W277" s="8"/>
      <c r="X277" s="8"/>
      <c r="Y277" s="8"/>
      <c r="Z277" s="8"/>
      <c r="AA277" s="8"/>
    </row>
    <row r="278" spans="1:27" ht="12.75">
      <c r="A278" s="8"/>
      <c r="B278" s="59"/>
      <c r="C278" s="59"/>
      <c r="D278" s="59"/>
      <c r="E278" s="59"/>
      <c r="F278" s="8"/>
      <c r="G278" s="8"/>
      <c r="H278" s="8"/>
      <c r="I278" s="8"/>
      <c r="J278" s="8"/>
      <c r="K278" s="8"/>
      <c r="L278" s="8"/>
      <c r="M278" s="8"/>
      <c r="N278" s="8"/>
      <c r="O278" s="8"/>
      <c r="P278" s="8"/>
      <c r="Q278" s="8"/>
      <c r="R278" s="8"/>
      <c r="S278" s="8"/>
      <c r="T278" s="8"/>
      <c r="U278" s="8"/>
      <c r="V278" s="8"/>
      <c r="W278" s="8"/>
      <c r="X278" s="8"/>
      <c r="Y278" s="8"/>
      <c r="Z278" s="8"/>
      <c r="AA278" s="8"/>
    </row>
    <row r="279" spans="1:27" ht="12.75">
      <c r="A279" s="8"/>
      <c r="B279" s="59"/>
      <c r="C279" s="59"/>
      <c r="D279" s="59"/>
      <c r="E279" s="59"/>
      <c r="F279" s="8"/>
      <c r="G279" s="8"/>
      <c r="H279" s="8"/>
      <c r="I279" s="8"/>
      <c r="J279" s="8"/>
      <c r="K279" s="8"/>
      <c r="L279" s="8"/>
      <c r="M279" s="8"/>
      <c r="N279" s="8"/>
      <c r="O279" s="8"/>
      <c r="P279" s="8"/>
      <c r="Q279" s="8"/>
      <c r="R279" s="8"/>
      <c r="S279" s="8"/>
      <c r="T279" s="8"/>
      <c r="U279" s="8"/>
      <c r="V279" s="8"/>
      <c r="W279" s="8"/>
      <c r="X279" s="8"/>
      <c r="Y279" s="8"/>
      <c r="Z279" s="8"/>
      <c r="AA279" s="8"/>
    </row>
    <row r="280" spans="1:27" ht="12.75">
      <c r="A280" s="8"/>
      <c r="B280" s="59"/>
      <c r="C280" s="59"/>
      <c r="D280" s="59"/>
      <c r="E280" s="59"/>
      <c r="F280" s="8"/>
      <c r="G280" s="8"/>
      <c r="H280" s="8"/>
      <c r="I280" s="8"/>
      <c r="J280" s="8"/>
      <c r="K280" s="8"/>
      <c r="L280" s="8"/>
      <c r="M280" s="8"/>
      <c r="N280" s="8"/>
      <c r="O280" s="8"/>
      <c r="P280" s="8"/>
      <c r="Q280" s="8"/>
      <c r="R280" s="8"/>
      <c r="S280" s="8"/>
      <c r="T280" s="8"/>
      <c r="U280" s="8"/>
      <c r="V280" s="8"/>
      <c r="W280" s="8"/>
      <c r="X280" s="8"/>
      <c r="Y280" s="8"/>
      <c r="Z280" s="8"/>
      <c r="AA280" s="8"/>
    </row>
    <row r="281" spans="1:27" ht="12.75">
      <c r="A281" s="8"/>
      <c r="B281" s="59"/>
      <c r="C281" s="59"/>
      <c r="D281" s="59"/>
      <c r="E281" s="59"/>
      <c r="F281" s="8"/>
      <c r="G281" s="8"/>
      <c r="H281" s="8"/>
      <c r="I281" s="8"/>
      <c r="J281" s="8"/>
      <c r="K281" s="8"/>
      <c r="L281" s="8"/>
      <c r="M281" s="8"/>
      <c r="N281" s="8"/>
      <c r="O281" s="8"/>
      <c r="P281" s="8"/>
      <c r="Q281" s="8"/>
      <c r="R281" s="8"/>
      <c r="S281" s="8"/>
      <c r="T281" s="8"/>
      <c r="U281" s="8"/>
      <c r="V281" s="8"/>
      <c r="W281" s="8"/>
      <c r="X281" s="8"/>
      <c r="Y281" s="8"/>
      <c r="Z281" s="8"/>
      <c r="AA281" s="8"/>
    </row>
    <row r="282" spans="1:27" ht="12.75">
      <c r="A282" s="8"/>
      <c r="B282" s="59"/>
      <c r="C282" s="59"/>
      <c r="D282" s="59"/>
      <c r="E282" s="59"/>
      <c r="F282" s="8"/>
      <c r="G282" s="8"/>
      <c r="H282" s="8"/>
      <c r="I282" s="8"/>
      <c r="J282" s="8"/>
      <c r="K282" s="8"/>
      <c r="L282" s="8"/>
      <c r="M282" s="8"/>
      <c r="N282" s="8"/>
      <c r="O282" s="8"/>
      <c r="P282" s="8"/>
      <c r="Q282" s="8"/>
      <c r="R282" s="8"/>
      <c r="S282" s="8"/>
      <c r="T282" s="8"/>
      <c r="U282" s="8"/>
      <c r="V282" s="8"/>
      <c r="W282" s="8"/>
      <c r="X282" s="8"/>
      <c r="Y282" s="8"/>
      <c r="Z282" s="8"/>
      <c r="AA282" s="8"/>
    </row>
    <row r="283" spans="1:27" ht="12.75">
      <c r="A283" s="8"/>
      <c r="B283" s="59"/>
      <c r="C283" s="59"/>
      <c r="D283" s="59"/>
      <c r="E283" s="59"/>
      <c r="F283" s="8"/>
      <c r="G283" s="8"/>
      <c r="H283" s="8"/>
      <c r="I283" s="8"/>
      <c r="J283" s="8"/>
      <c r="K283" s="8"/>
      <c r="L283" s="8"/>
      <c r="M283" s="8"/>
      <c r="N283" s="8"/>
      <c r="O283" s="8"/>
      <c r="P283" s="8"/>
      <c r="Q283" s="8"/>
      <c r="R283" s="8"/>
      <c r="S283" s="8"/>
      <c r="T283" s="8"/>
      <c r="U283" s="8"/>
      <c r="V283" s="8"/>
      <c r="W283" s="8"/>
      <c r="X283" s="8"/>
      <c r="Y283" s="8"/>
      <c r="Z283" s="8"/>
      <c r="AA283" s="8"/>
    </row>
    <row r="284" spans="1:27" ht="12.75">
      <c r="A284" s="8"/>
      <c r="B284" s="59"/>
      <c r="C284" s="59"/>
      <c r="D284" s="59"/>
      <c r="E284" s="59"/>
      <c r="F284" s="8"/>
      <c r="G284" s="8"/>
      <c r="H284" s="8"/>
      <c r="I284" s="8"/>
      <c r="J284" s="8"/>
      <c r="K284" s="8"/>
      <c r="L284" s="8"/>
      <c r="M284" s="8"/>
      <c r="N284" s="8"/>
      <c r="O284" s="8"/>
      <c r="P284" s="8"/>
      <c r="Q284" s="8"/>
      <c r="R284" s="8"/>
      <c r="S284" s="8"/>
      <c r="T284" s="8"/>
      <c r="U284" s="8"/>
      <c r="V284" s="8"/>
      <c r="W284" s="8"/>
      <c r="X284" s="8"/>
      <c r="Y284" s="8"/>
      <c r="Z284" s="8"/>
      <c r="AA284" s="8"/>
    </row>
    <row r="285" spans="1:27" ht="12.75">
      <c r="A285" s="8"/>
      <c r="B285" s="59"/>
      <c r="C285" s="59"/>
      <c r="D285" s="59"/>
      <c r="E285" s="59"/>
      <c r="F285" s="8"/>
      <c r="G285" s="8"/>
      <c r="H285" s="8"/>
      <c r="I285" s="8"/>
      <c r="J285" s="8"/>
      <c r="K285" s="8"/>
      <c r="L285" s="8"/>
      <c r="M285" s="8"/>
      <c r="N285" s="8"/>
      <c r="O285" s="8"/>
      <c r="P285" s="8"/>
      <c r="Q285" s="8"/>
      <c r="R285" s="8"/>
      <c r="S285" s="8"/>
      <c r="T285" s="8"/>
      <c r="U285" s="8"/>
      <c r="V285" s="8"/>
      <c r="W285" s="8"/>
      <c r="X285" s="8"/>
      <c r="Y285" s="8"/>
      <c r="Z285" s="8"/>
      <c r="AA285" s="8"/>
    </row>
    <row r="286" spans="1:27" ht="12.75">
      <c r="A286" s="8"/>
      <c r="B286" s="59"/>
      <c r="C286" s="59"/>
      <c r="D286" s="59"/>
      <c r="E286" s="59"/>
      <c r="F286" s="8"/>
      <c r="G286" s="8"/>
      <c r="H286" s="8"/>
      <c r="I286" s="8"/>
      <c r="J286" s="8"/>
      <c r="K286" s="8"/>
      <c r="L286" s="8"/>
      <c r="M286" s="8"/>
      <c r="N286" s="8"/>
      <c r="O286" s="8"/>
      <c r="P286" s="8"/>
      <c r="Q286" s="8"/>
      <c r="R286" s="8"/>
      <c r="S286" s="8"/>
      <c r="T286" s="8"/>
      <c r="U286" s="8"/>
      <c r="V286" s="8"/>
      <c r="W286" s="8"/>
      <c r="X286" s="8"/>
      <c r="Y286" s="8"/>
      <c r="Z286" s="8"/>
      <c r="AA286" s="8"/>
    </row>
    <row r="287" spans="1:27" ht="12.75">
      <c r="A287" s="8"/>
      <c r="B287" s="59"/>
      <c r="C287" s="59"/>
      <c r="D287" s="59"/>
      <c r="E287" s="59"/>
      <c r="F287" s="8"/>
      <c r="G287" s="8"/>
      <c r="H287" s="8"/>
      <c r="I287" s="8"/>
      <c r="J287" s="8"/>
      <c r="K287" s="8"/>
      <c r="L287" s="8"/>
      <c r="M287" s="8"/>
      <c r="N287" s="8"/>
      <c r="O287" s="8"/>
      <c r="P287" s="8"/>
      <c r="Q287" s="8"/>
      <c r="R287" s="8"/>
      <c r="S287" s="8"/>
      <c r="T287" s="8"/>
      <c r="U287" s="8"/>
      <c r="V287" s="8"/>
      <c r="W287" s="8"/>
      <c r="X287" s="8"/>
      <c r="Y287" s="8"/>
      <c r="Z287" s="8"/>
      <c r="AA287" s="8"/>
    </row>
    <row r="288" spans="1:27" ht="12.75">
      <c r="A288" s="8"/>
      <c r="B288" s="59"/>
      <c r="C288" s="59"/>
      <c r="D288" s="59"/>
      <c r="E288" s="59"/>
      <c r="F288" s="8"/>
      <c r="G288" s="8"/>
      <c r="H288" s="8"/>
      <c r="I288" s="8"/>
      <c r="J288" s="8"/>
      <c r="K288" s="8"/>
      <c r="L288" s="8"/>
      <c r="M288" s="8"/>
      <c r="N288" s="8"/>
      <c r="O288" s="8"/>
      <c r="P288" s="8"/>
      <c r="Q288" s="8"/>
      <c r="R288" s="8"/>
      <c r="S288" s="8"/>
      <c r="T288" s="8"/>
      <c r="U288" s="8"/>
      <c r="V288" s="8"/>
      <c r="W288" s="8"/>
      <c r="X288" s="8"/>
      <c r="Y288" s="8"/>
      <c r="Z288" s="8"/>
      <c r="AA288" s="8"/>
    </row>
    <row r="289" spans="1:27" ht="12.75">
      <c r="A289" s="8"/>
      <c r="B289" s="59"/>
      <c r="C289" s="59"/>
      <c r="D289" s="59"/>
      <c r="E289" s="59"/>
      <c r="F289" s="8"/>
      <c r="G289" s="8"/>
      <c r="H289" s="8"/>
      <c r="I289" s="8"/>
      <c r="J289" s="8"/>
      <c r="K289" s="8"/>
      <c r="L289" s="8"/>
      <c r="M289" s="8"/>
      <c r="N289" s="8"/>
      <c r="O289" s="8"/>
      <c r="P289" s="8"/>
      <c r="Q289" s="8"/>
      <c r="R289" s="8"/>
      <c r="S289" s="8"/>
      <c r="T289" s="8"/>
      <c r="U289" s="8"/>
      <c r="V289" s="8"/>
      <c r="W289" s="8"/>
      <c r="X289" s="8"/>
      <c r="Y289" s="8"/>
      <c r="Z289" s="8"/>
      <c r="AA289" s="8"/>
    </row>
    <row r="290" spans="1:27" ht="12.75">
      <c r="A290" s="8"/>
      <c r="B290" s="59"/>
      <c r="C290" s="59"/>
      <c r="D290" s="59"/>
      <c r="E290" s="59"/>
      <c r="F290" s="8"/>
      <c r="G290" s="8"/>
      <c r="H290" s="8"/>
      <c r="I290" s="8"/>
      <c r="J290" s="8"/>
      <c r="K290" s="8"/>
      <c r="L290" s="8"/>
      <c r="M290" s="8"/>
      <c r="N290" s="8"/>
      <c r="O290" s="8"/>
      <c r="P290" s="8"/>
      <c r="Q290" s="8"/>
      <c r="R290" s="8"/>
      <c r="S290" s="8"/>
      <c r="T290" s="8"/>
      <c r="U290" s="8"/>
      <c r="V290" s="8"/>
      <c r="W290" s="8"/>
      <c r="X290" s="8"/>
      <c r="Y290" s="8"/>
      <c r="Z290" s="8"/>
      <c r="AA290" s="8"/>
    </row>
    <row r="291" spans="1:27" ht="12.75">
      <c r="A291" s="8"/>
      <c r="B291" s="59"/>
      <c r="C291" s="59"/>
      <c r="D291" s="59"/>
      <c r="E291" s="59"/>
      <c r="F291" s="8"/>
      <c r="G291" s="8"/>
      <c r="H291" s="8"/>
      <c r="I291" s="8"/>
      <c r="J291" s="8"/>
      <c r="K291" s="8"/>
      <c r="L291" s="8"/>
      <c r="M291" s="8"/>
      <c r="N291" s="8"/>
      <c r="O291" s="8"/>
      <c r="P291" s="8"/>
      <c r="Q291" s="8"/>
      <c r="R291" s="8"/>
      <c r="S291" s="8"/>
      <c r="T291" s="8"/>
      <c r="U291" s="8"/>
      <c r="V291" s="8"/>
      <c r="W291" s="8"/>
      <c r="X291" s="8"/>
      <c r="Y291" s="8"/>
      <c r="Z291" s="8"/>
      <c r="AA291" s="8"/>
    </row>
    <row r="292" spans="1:27" ht="12.75">
      <c r="A292" s="8"/>
      <c r="B292" s="59"/>
      <c r="C292" s="59"/>
      <c r="D292" s="59"/>
      <c r="E292" s="59"/>
      <c r="F292" s="8"/>
      <c r="G292" s="8"/>
      <c r="H292" s="8"/>
      <c r="I292" s="8"/>
      <c r="J292" s="8"/>
      <c r="K292" s="8"/>
      <c r="L292" s="8"/>
      <c r="M292" s="8"/>
      <c r="N292" s="8"/>
      <c r="O292" s="8"/>
      <c r="P292" s="8"/>
      <c r="Q292" s="8"/>
      <c r="R292" s="8"/>
      <c r="S292" s="8"/>
      <c r="T292" s="8"/>
      <c r="U292" s="8"/>
      <c r="V292" s="8"/>
      <c r="W292" s="8"/>
      <c r="X292" s="8"/>
      <c r="Y292" s="8"/>
      <c r="Z292" s="8"/>
      <c r="AA292" s="8"/>
    </row>
    <row r="293" spans="1:27" ht="12.75">
      <c r="A293" s="8"/>
      <c r="B293" s="59"/>
      <c r="C293" s="59"/>
      <c r="D293" s="59"/>
      <c r="E293" s="59"/>
      <c r="F293" s="8"/>
      <c r="G293" s="8"/>
      <c r="H293" s="8"/>
      <c r="I293" s="8"/>
      <c r="J293" s="8"/>
      <c r="K293" s="8"/>
      <c r="L293" s="8"/>
      <c r="M293" s="8"/>
      <c r="N293" s="8"/>
      <c r="O293" s="8"/>
      <c r="P293" s="8"/>
      <c r="Q293" s="8"/>
      <c r="R293" s="8"/>
      <c r="S293" s="8"/>
      <c r="T293" s="8"/>
      <c r="U293" s="8"/>
      <c r="V293" s="8"/>
      <c r="W293" s="8"/>
      <c r="X293" s="8"/>
      <c r="Y293" s="8"/>
      <c r="Z293" s="8"/>
      <c r="AA293" s="8"/>
    </row>
    <row r="294" spans="1:27" ht="12.75">
      <c r="A294" s="8"/>
      <c r="B294" s="59"/>
      <c r="C294" s="59"/>
      <c r="D294" s="59"/>
      <c r="E294" s="59"/>
      <c r="F294" s="8"/>
      <c r="G294" s="8"/>
      <c r="H294" s="8"/>
      <c r="I294" s="8"/>
      <c r="J294" s="8"/>
      <c r="K294" s="8"/>
      <c r="L294" s="8"/>
      <c r="M294" s="8"/>
      <c r="N294" s="8"/>
      <c r="O294" s="8"/>
      <c r="P294" s="8"/>
      <c r="Q294" s="8"/>
      <c r="R294" s="8"/>
      <c r="S294" s="8"/>
      <c r="T294" s="8"/>
      <c r="U294" s="8"/>
      <c r="V294" s="8"/>
      <c r="W294" s="8"/>
      <c r="X294" s="8"/>
      <c r="Y294" s="8"/>
      <c r="Z294" s="8"/>
      <c r="AA294" s="8"/>
    </row>
    <row r="295" spans="1:27" ht="12.75">
      <c r="A295" s="8"/>
      <c r="B295" s="59"/>
      <c r="C295" s="59"/>
      <c r="D295" s="59"/>
      <c r="E295" s="59"/>
      <c r="F295" s="8"/>
      <c r="G295" s="8"/>
      <c r="H295" s="8"/>
      <c r="I295" s="8"/>
      <c r="J295" s="8"/>
      <c r="K295" s="8"/>
      <c r="L295" s="8"/>
      <c r="M295" s="8"/>
      <c r="N295" s="8"/>
      <c r="O295" s="8"/>
      <c r="P295" s="8"/>
      <c r="Q295" s="8"/>
      <c r="R295" s="8"/>
      <c r="S295" s="8"/>
      <c r="T295" s="8"/>
      <c r="U295" s="8"/>
      <c r="V295" s="8"/>
      <c r="W295" s="8"/>
      <c r="X295" s="8"/>
      <c r="Y295" s="8"/>
      <c r="Z295" s="8"/>
      <c r="AA295" s="8"/>
    </row>
    <row r="296" spans="1:27" ht="12.75">
      <c r="A296" s="8"/>
      <c r="B296" s="59"/>
      <c r="C296" s="59"/>
      <c r="D296" s="59"/>
      <c r="E296" s="59"/>
      <c r="F296" s="8"/>
      <c r="G296" s="8"/>
      <c r="H296" s="8"/>
      <c r="I296" s="8"/>
      <c r="J296" s="8"/>
      <c r="K296" s="8"/>
      <c r="L296" s="8"/>
      <c r="M296" s="8"/>
      <c r="N296" s="8"/>
      <c r="O296" s="8"/>
      <c r="P296" s="8"/>
      <c r="Q296" s="8"/>
      <c r="R296" s="8"/>
      <c r="S296" s="8"/>
      <c r="T296" s="8"/>
      <c r="U296" s="8"/>
      <c r="V296" s="8"/>
      <c r="W296" s="8"/>
      <c r="X296" s="8"/>
      <c r="Y296" s="8"/>
      <c r="Z296" s="8"/>
      <c r="AA296" s="8"/>
    </row>
    <row r="297" spans="1:27" ht="12.75">
      <c r="A297" s="8"/>
      <c r="B297" s="59"/>
      <c r="C297" s="59"/>
      <c r="D297" s="59"/>
      <c r="E297" s="59"/>
      <c r="F297" s="8"/>
      <c r="G297" s="8"/>
      <c r="H297" s="8"/>
      <c r="I297" s="8"/>
      <c r="J297" s="8"/>
      <c r="K297" s="8"/>
      <c r="L297" s="8"/>
      <c r="M297" s="8"/>
      <c r="N297" s="8"/>
      <c r="O297" s="8"/>
      <c r="P297" s="8"/>
      <c r="Q297" s="8"/>
      <c r="R297" s="8"/>
      <c r="S297" s="8"/>
      <c r="T297" s="8"/>
      <c r="U297" s="8"/>
      <c r="V297" s="8"/>
      <c r="W297" s="8"/>
      <c r="X297" s="8"/>
      <c r="Y297" s="8"/>
      <c r="Z297" s="8"/>
      <c r="AA297" s="8"/>
    </row>
    <row r="298" spans="1:27" ht="12.75">
      <c r="A298" s="8"/>
      <c r="B298" s="59"/>
      <c r="C298" s="59"/>
      <c r="D298" s="59"/>
      <c r="E298" s="59"/>
      <c r="F298" s="8"/>
      <c r="G298" s="8"/>
      <c r="H298" s="8"/>
      <c r="I298" s="8"/>
      <c r="J298" s="8"/>
      <c r="K298" s="8"/>
      <c r="L298" s="8"/>
      <c r="M298" s="8"/>
      <c r="N298" s="8"/>
      <c r="O298" s="8"/>
      <c r="P298" s="8"/>
      <c r="Q298" s="8"/>
      <c r="R298" s="8"/>
      <c r="S298" s="8"/>
      <c r="T298" s="8"/>
      <c r="U298" s="8"/>
      <c r="V298" s="8"/>
      <c r="W298" s="8"/>
      <c r="X298" s="8"/>
      <c r="Y298" s="8"/>
      <c r="Z298" s="8"/>
      <c r="AA298" s="8"/>
    </row>
    <row r="299" spans="1:27" ht="12.75">
      <c r="A299" s="8"/>
      <c r="B299" s="59"/>
      <c r="C299" s="59"/>
      <c r="D299" s="59"/>
      <c r="E299" s="59"/>
      <c r="F299" s="8"/>
      <c r="G299" s="8"/>
      <c r="H299" s="8"/>
      <c r="I299" s="8"/>
      <c r="J299" s="8"/>
      <c r="K299" s="8"/>
      <c r="L299" s="8"/>
      <c r="M299" s="8"/>
      <c r="N299" s="8"/>
      <c r="O299" s="8"/>
      <c r="P299" s="8"/>
      <c r="Q299" s="8"/>
      <c r="R299" s="8"/>
      <c r="S299" s="8"/>
      <c r="T299" s="8"/>
      <c r="U299" s="8"/>
      <c r="V299" s="8"/>
      <c r="W299" s="8"/>
      <c r="X299" s="8"/>
      <c r="Y299" s="8"/>
      <c r="Z299" s="8"/>
      <c r="AA299" s="8"/>
    </row>
    <row r="300" spans="1:27" ht="12.75">
      <c r="A300" s="8"/>
      <c r="B300" s="59"/>
      <c r="C300" s="59"/>
      <c r="D300" s="59"/>
      <c r="E300" s="59"/>
      <c r="F300" s="8"/>
      <c r="G300" s="8"/>
      <c r="H300" s="8"/>
      <c r="I300" s="8"/>
      <c r="J300" s="8"/>
      <c r="K300" s="8"/>
      <c r="L300" s="8"/>
      <c r="M300" s="8"/>
      <c r="N300" s="8"/>
      <c r="O300" s="8"/>
      <c r="P300" s="8"/>
      <c r="Q300" s="8"/>
      <c r="R300" s="8"/>
      <c r="S300" s="8"/>
      <c r="T300" s="8"/>
      <c r="U300" s="8"/>
      <c r="V300" s="8"/>
      <c r="W300" s="8"/>
      <c r="X300" s="8"/>
      <c r="Y300" s="8"/>
      <c r="Z300" s="8"/>
      <c r="AA300" s="8"/>
    </row>
    <row r="301" spans="1:27" ht="12.75">
      <c r="A301" s="8"/>
      <c r="B301" s="59"/>
      <c r="C301" s="59"/>
      <c r="D301" s="59"/>
      <c r="E301" s="59"/>
      <c r="F301" s="8"/>
      <c r="G301" s="8"/>
      <c r="H301" s="8"/>
      <c r="I301" s="8"/>
      <c r="J301" s="8"/>
      <c r="K301" s="8"/>
      <c r="L301" s="8"/>
      <c r="M301" s="8"/>
      <c r="N301" s="8"/>
      <c r="O301" s="8"/>
      <c r="P301" s="8"/>
      <c r="Q301" s="8"/>
      <c r="R301" s="8"/>
      <c r="S301" s="8"/>
      <c r="T301" s="8"/>
      <c r="U301" s="8"/>
      <c r="V301" s="8"/>
      <c r="W301" s="8"/>
      <c r="X301" s="8"/>
      <c r="Y301" s="8"/>
      <c r="Z301" s="8"/>
      <c r="AA301" s="8"/>
    </row>
    <row r="302" spans="1:27" ht="12.75">
      <c r="A302" s="8"/>
      <c r="B302" s="59"/>
      <c r="C302" s="59"/>
      <c r="D302" s="59"/>
      <c r="E302" s="59"/>
      <c r="F302" s="8"/>
      <c r="G302" s="8"/>
      <c r="H302" s="8"/>
      <c r="I302" s="8"/>
      <c r="J302" s="8"/>
      <c r="K302" s="8"/>
      <c r="L302" s="8"/>
      <c r="M302" s="8"/>
      <c r="N302" s="8"/>
      <c r="O302" s="8"/>
      <c r="P302" s="8"/>
      <c r="Q302" s="8"/>
      <c r="R302" s="8"/>
      <c r="S302" s="8"/>
      <c r="T302" s="8"/>
      <c r="U302" s="8"/>
      <c r="V302" s="8"/>
      <c r="W302" s="8"/>
      <c r="X302" s="8"/>
      <c r="Y302" s="8"/>
      <c r="Z302" s="8"/>
      <c r="AA302" s="8"/>
    </row>
    <row r="303" spans="1:27" ht="12.75">
      <c r="A303" s="8"/>
      <c r="B303" s="59"/>
      <c r="C303" s="59"/>
      <c r="D303" s="59"/>
      <c r="E303" s="59"/>
      <c r="F303" s="8"/>
      <c r="G303" s="8"/>
      <c r="H303" s="8"/>
      <c r="I303" s="8"/>
      <c r="J303" s="8"/>
      <c r="K303" s="8"/>
      <c r="L303" s="8"/>
      <c r="M303" s="8"/>
      <c r="N303" s="8"/>
      <c r="O303" s="8"/>
      <c r="P303" s="8"/>
      <c r="Q303" s="8"/>
      <c r="R303" s="8"/>
      <c r="S303" s="8"/>
      <c r="T303" s="8"/>
      <c r="U303" s="8"/>
      <c r="V303" s="8"/>
      <c r="W303" s="8"/>
      <c r="X303" s="8"/>
      <c r="Y303" s="8"/>
      <c r="Z303" s="8"/>
      <c r="AA303" s="8"/>
    </row>
    <row r="304" spans="1:27" ht="12.75">
      <c r="A304" s="8"/>
      <c r="B304" s="59"/>
      <c r="C304" s="59"/>
      <c r="D304" s="59"/>
      <c r="E304" s="59"/>
      <c r="F304" s="8"/>
      <c r="G304" s="8"/>
      <c r="H304" s="8"/>
      <c r="I304" s="8"/>
      <c r="J304" s="8"/>
      <c r="K304" s="8"/>
      <c r="L304" s="8"/>
      <c r="M304" s="8"/>
      <c r="N304" s="8"/>
      <c r="O304" s="8"/>
      <c r="P304" s="8"/>
      <c r="Q304" s="8"/>
      <c r="R304" s="8"/>
      <c r="S304" s="8"/>
      <c r="T304" s="8"/>
      <c r="U304" s="8"/>
      <c r="V304" s="8"/>
      <c r="W304" s="8"/>
      <c r="X304" s="8"/>
      <c r="Y304" s="8"/>
      <c r="Z304" s="8"/>
      <c r="AA304" s="8"/>
    </row>
    <row r="305" spans="1:27" ht="12.75">
      <c r="A305" s="8"/>
      <c r="B305" s="59"/>
      <c r="C305" s="59"/>
      <c r="D305" s="59"/>
      <c r="E305" s="59"/>
      <c r="F305" s="8"/>
      <c r="G305" s="8"/>
      <c r="H305" s="8"/>
      <c r="I305" s="8"/>
      <c r="J305" s="8"/>
      <c r="K305" s="8"/>
      <c r="L305" s="8"/>
      <c r="M305" s="8"/>
      <c r="N305" s="8"/>
      <c r="O305" s="8"/>
      <c r="P305" s="8"/>
      <c r="Q305" s="8"/>
      <c r="R305" s="8"/>
      <c r="S305" s="8"/>
      <c r="T305" s="8"/>
      <c r="U305" s="8"/>
      <c r="V305" s="8"/>
      <c r="W305" s="8"/>
      <c r="X305" s="8"/>
      <c r="Y305" s="8"/>
      <c r="Z305" s="8"/>
      <c r="AA305" s="8"/>
    </row>
    <row r="306" spans="1:27" ht="12.75">
      <c r="A306" s="8"/>
      <c r="B306" s="59"/>
      <c r="C306" s="59"/>
      <c r="D306" s="59"/>
      <c r="E306" s="59"/>
      <c r="F306" s="8"/>
      <c r="G306" s="8"/>
      <c r="H306" s="8"/>
      <c r="I306" s="8"/>
      <c r="J306" s="8"/>
      <c r="K306" s="8"/>
      <c r="L306" s="8"/>
      <c r="M306" s="8"/>
      <c r="N306" s="8"/>
      <c r="O306" s="8"/>
      <c r="P306" s="8"/>
      <c r="Q306" s="8"/>
      <c r="R306" s="8"/>
      <c r="S306" s="8"/>
      <c r="T306" s="8"/>
      <c r="U306" s="8"/>
      <c r="V306" s="8"/>
      <c r="W306" s="8"/>
      <c r="X306" s="8"/>
      <c r="Y306" s="8"/>
      <c r="Z306" s="8"/>
      <c r="AA306" s="8"/>
    </row>
    <row r="307" spans="1:27" ht="12.75">
      <c r="A307" s="8"/>
      <c r="B307" s="59"/>
      <c r="C307" s="59"/>
      <c r="D307" s="59"/>
      <c r="E307" s="59"/>
      <c r="F307" s="8"/>
      <c r="G307" s="8"/>
      <c r="H307" s="8"/>
      <c r="I307" s="8"/>
      <c r="J307" s="8"/>
      <c r="K307" s="8"/>
      <c r="L307" s="8"/>
      <c r="M307" s="8"/>
      <c r="N307" s="8"/>
      <c r="O307" s="8"/>
      <c r="P307" s="8"/>
      <c r="Q307" s="8"/>
      <c r="R307" s="8"/>
      <c r="S307" s="8"/>
      <c r="T307" s="8"/>
      <c r="U307" s="8"/>
      <c r="V307" s="8"/>
      <c r="W307" s="8"/>
      <c r="X307" s="8"/>
      <c r="Y307" s="8"/>
      <c r="Z307" s="8"/>
      <c r="AA307" s="8"/>
    </row>
    <row r="308" spans="1:27" ht="12.75">
      <c r="A308" s="8"/>
      <c r="B308" s="59"/>
      <c r="C308" s="59"/>
      <c r="D308" s="59"/>
      <c r="E308" s="59"/>
      <c r="F308" s="8"/>
      <c r="G308" s="8"/>
      <c r="H308" s="8"/>
      <c r="I308" s="8"/>
      <c r="J308" s="8"/>
      <c r="K308" s="8"/>
      <c r="L308" s="8"/>
      <c r="M308" s="8"/>
      <c r="N308" s="8"/>
      <c r="O308" s="8"/>
      <c r="P308" s="8"/>
      <c r="Q308" s="8"/>
      <c r="R308" s="8"/>
      <c r="S308" s="8"/>
      <c r="T308" s="8"/>
      <c r="U308" s="8"/>
      <c r="V308" s="8"/>
      <c r="W308" s="8"/>
      <c r="X308" s="8"/>
      <c r="Y308" s="8"/>
      <c r="Z308" s="8"/>
      <c r="AA308" s="8"/>
    </row>
    <row r="309" spans="1:27" ht="12.75">
      <c r="A309" s="8"/>
      <c r="B309" s="59"/>
      <c r="C309" s="59"/>
      <c r="D309" s="59"/>
      <c r="E309" s="59"/>
      <c r="F309" s="8"/>
      <c r="G309" s="8"/>
      <c r="H309" s="8"/>
      <c r="I309" s="8"/>
      <c r="J309" s="8"/>
      <c r="K309" s="8"/>
      <c r="L309" s="8"/>
      <c r="M309" s="8"/>
      <c r="N309" s="8"/>
      <c r="O309" s="8"/>
      <c r="P309" s="8"/>
      <c r="Q309" s="8"/>
      <c r="R309" s="8"/>
      <c r="S309" s="8"/>
      <c r="T309" s="8"/>
      <c r="U309" s="8"/>
      <c r="V309" s="8"/>
      <c r="W309" s="8"/>
      <c r="X309" s="8"/>
      <c r="Y309" s="8"/>
      <c r="Z309" s="8"/>
      <c r="AA309" s="8"/>
    </row>
    <row r="310" spans="1:27" ht="12.75">
      <c r="A310" s="8"/>
      <c r="B310" s="59"/>
      <c r="C310" s="59"/>
      <c r="D310" s="59"/>
      <c r="E310" s="59"/>
      <c r="F310" s="8"/>
      <c r="G310" s="8"/>
      <c r="H310" s="8"/>
      <c r="I310" s="8"/>
      <c r="J310" s="8"/>
      <c r="K310" s="8"/>
      <c r="L310" s="8"/>
      <c r="M310" s="8"/>
      <c r="N310" s="8"/>
      <c r="O310" s="8"/>
      <c r="P310" s="8"/>
      <c r="Q310" s="8"/>
      <c r="R310" s="8"/>
      <c r="S310" s="8"/>
      <c r="T310" s="8"/>
      <c r="U310" s="8"/>
      <c r="V310" s="8"/>
      <c r="W310" s="8"/>
      <c r="X310" s="8"/>
      <c r="Y310" s="8"/>
      <c r="Z310" s="8"/>
      <c r="AA310" s="8"/>
    </row>
    <row r="311" spans="1:27" ht="12.75">
      <c r="A311" s="8"/>
      <c r="B311" s="59"/>
      <c r="C311" s="59"/>
      <c r="D311" s="59"/>
      <c r="E311" s="59"/>
      <c r="F311" s="8"/>
      <c r="G311" s="8"/>
      <c r="H311" s="8"/>
      <c r="I311" s="8"/>
      <c r="J311" s="8"/>
      <c r="K311" s="8"/>
      <c r="L311" s="8"/>
      <c r="M311" s="8"/>
      <c r="N311" s="8"/>
      <c r="O311" s="8"/>
      <c r="P311" s="8"/>
      <c r="Q311" s="8"/>
      <c r="R311" s="8"/>
      <c r="S311" s="8"/>
      <c r="T311" s="8"/>
      <c r="U311" s="8"/>
      <c r="V311" s="8"/>
      <c r="W311" s="8"/>
      <c r="X311" s="8"/>
      <c r="Y311" s="8"/>
      <c r="Z311" s="8"/>
      <c r="AA311" s="8"/>
    </row>
    <row r="312" spans="1:27" ht="12.75">
      <c r="A312" s="8"/>
      <c r="B312" s="59"/>
      <c r="C312" s="59"/>
      <c r="D312" s="59"/>
      <c r="E312" s="59"/>
      <c r="F312" s="8"/>
      <c r="G312" s="8"/>
      <c r="H312" s="8"/>
      <c r="I312" s="8"/>
      <c r="J312" s="8"/>
      <c r="K312" s="8"/>
      <c r="L312" s="8"/>
      <c r="M312" s="8"/>
      <c r="N312" s="8"/>
      <c r="O312" s="8"/>
      <c r="P312" s="8"/>
      <c r="Q312" s="8"/>
      <c r="R312" s="8"/>
      <c r="S312" s="8"/>
      <c r="T312" s="8"/>
      <c r="U312" s="8"/>
      <c r="V312" s="8"/>
      <c r="W312" s="8"/>
      <c r="X312" s="8"/>
      <c r="Y312" s="8"/>
      <c r="Z312" s="8"/>
      <c r="AA312" s="8"/>
    </row>
    <row r="313" spans="1:27" ht="12.75">
      <c r="A313" s="8"/>
      <c r="B313" s="59"/>
      <c r="C313" s="59"/>
      <c r="D313" s="59"/>
      <c r="E313" s="59"/>
      <c r="F313" s="8"/>
      <c r="G313" s="8"/>
      <c r="H313" s="8"/>
      <c r="I313" s="8"/>
      <c r="J313" s="8"/>
      <c r="K313" s="8"/>
      <c r="L313" s="8"/>
      <c r="M313" s="8"/>
      <c r="N313" s="8"/>
      <c r="O313" s="8"/>
      <c r="P313" s="8"/>
      <c r="Q313" s="8"/>
      <c r="R313" s="8"/>
      <c r="S313" s="8"/>
      <c r="T313" s="8"/>
      <c r="U313" s="8"/>
      <c r="V313" s="8"/>
      <c r="W313" s="8"/>
      <c r="X313" s="8"/>
      <c r="Y313" s="8"/>
      <c r="Z313" s="8"/>
      <c r="AA313" s="8"/>
    </row>
    <row r="314" spans="1:27" ht="12.75">
      <c r="A314" s="8"/>
      <c r="B314" s="59"/>
      <c r="C314" s="59"/>
      <c r="D314" s="59"/>
      <c r="E314" s="59"/>
      <c r="F314" s="8"/>
      <c r="G314" s="8"/>
      <c r="H314" s="8"/>
      <c r="I314" s="8"/>
      <c r="J314" s="8"/>
      <c r="K314" s="8"/>
      <c r="L314" s="8"/>
      <c r="M314" s="8"/>
      <c r="N314" s="8"/>
      <c r="O314" s="8"/>
      <c r="P314" s="8"/>
      <c r="Q314" s="8"/>
      <c r="R314" s="8"/>
      <c r="S314" s="8"/>
      <c r="T314" s="8"/>
      <c r="U314" s="8"/>
      <c r="V314" s="8"/>
      <c r="W314" s="8"/>
      <c r="X314" s="8"/>
      <c r="Y314" s="8"/>
      <c r="Z314" s="8"/>
      <c r="AA314" s="8"/>
    </row>
    <row r="315" spans="1:27" ht="12.75">
      <c r="A315" s="8"/>
      <c r="B315" s="59"/>
      <c r="C315" s="59"/>
      <c r="D315" s="59"/>
      <c r="E315" s="59"/>
      <c r="F315" s="8"/>
      <c r="G315" s="8"/>
      <c r="H315" s="8"/>
      <c r="I315" s="8"/>
      <c r="J315" s="8"/>
      <c r="K315" s="8"/>
      <c r="L315" s="8"/>
      <c r="M315" s="8"/>
      <c r="N315" s="8"/>
      <c r="O315" s="8"/>
      <c r="P315" s="8"/>
      <c r="Q315" s="8"/>
      <c r="R315" s="8"/>
      <c r="S315" s="8"/>
      <c r="T315" s="8"/>
      <c r="U315" s="8"/>
      <c r="V315" s="8"/>
      <c r="W315" s="8"/>
      <c r="X315" s="8"/>
      <c r="Y315" s="8"/>
      <c r="Z315" s="8"/>
      <c r="AA315" s="8"/>
    </row>
    <row r="316" spans="1:27" ht="12.75">
      <c r="A316" s="8"/>
      <c r="B316" s="59"/>
      <c r="C316" s="59"/>
      <c r="D316" s="59"/>
      <c r="E316" s="59"/>
      <c r="F316" s="8"/>
      <c r="G316" s="8"/>
      <c r="H316" s="8"/>
      <c r="I316" s="8"/>
      <c r="J316" s="8"/>
      <c r="K316" s="8"/>
      <c r="L316" s="8"/>
      <c r="M316" s="8"/>
      <c r="N316" s="8"/>
      <c r="O316" s="8"/>
      <c r="P316" s="8"/>
      <c r="Q316" s="8"/>
      <c r="R316" s="8"/>
      <c r="S316" s="8"/>
      <c r="T316" s="8"/>
      <c r="U316" s="8"/>
      <c r="V316" s="8"/>
      <c r="W316" s="8"/>
      <c r="X316" s="8"/>
      <c r="Y316" s="8"/>
      <c r="Z316" s="8"/>
      <c r="AA316" s="8"/>
    </row>
    <row r="317" spans="1:27" ht="12.75">
      <c r="A317" s="8"/>
      <c r="B317" s="59"/>
      <c r="C317" s="59"/>
      <c r="D317" s="59"/>
      <c r="E317" s="59"/>
      <c r="F317" s="8"/>
      <c r="G317" s="8"/>
      <c r="H317" s="8"/>
      <c r="I317" s="8"/>
      <c r="J317" s="8"/>
      <c r="K317" s="8"/>
      <c r="L317" s="8"/>
      <c r="M317" s="8"/>
      <c r="N317" s="8"/>
      <c r="O317" s="8"/>
      <c r="P317" s="8"/>
      <c r="Q317" s="8"/>
      <c r="R317" s="8"/>
      <c r="S317" s="8"/>
      <c r="T317" s="8"/>
      <c r="U317" s="8"/>
      <c r="V317" s="8"/>
      <c r="W317" s="8"/>
      <c r="X317" s="8"/>
      <c r="Y317" s="8"/>
      <c r="Z317" s="8"/>
      <c r="AA317" s="8"/>
    </row>
    <row r="318" spans="1:27" ht="12.75">
      <c r="A318" s="8"/>
      <c r="B318" s="59"/>
      <c r="C318" s="59"/>
      <c r="D318" s="59"/>
      <c r="E318" s="59"/>
      <c r="F318" s="8"/>
      <c r="G318" s="8"/>
      <c r="H318" s="8"/>
      <c r="I318" s="8"/>
      <c r="J318" s="8"/>
      <c r="K318" s="8"/>
      <c r="L318" s="8"/>
      <c r="M318" s="8"/>
      <c r="N318" s="8"/>
      <c r="O318" s="8"/>
      <c r="P318" s="8"/>
      <c r="Q318" s="8"/>
      <c r="R318" s="8"/>
      <c r="S318" s="8"/>
      <c r="T318" s="8"/>
      <c r="U318" s="8"/>
      <c r="V318" s="8"/>
      <c r="W318" s="8"/>
      <c r="X318" s="8"/>
      <c r="Y318" s="8"/>
      <c r="Z318" s="8"/>
      <c r="AA318" s="8"/>
    </row>
    <row r="319" spans="1:27" ht="12.75">
      <c r="A319" s="8"/>
      <c r="B319" s="59"/>
      <c r="C319" s="59"/>
      <c r="D319" s="59"/>
      <c r="E319" s="59"/>
      <c r="F319" s="8"/>
      <c r="G319" s="8"/>
      <c r="H319" s="8"/>
      <c r="I319" s="8"/>
      <c r="J319" s="8"/>
      <c r="K319" s="8"/>
      <c r="L319" s="8"/>
      <c r="M319" s="8"/>
      <c r="N319" s="8"/>
      <c r="O319" s="8"/>
      <c r="P319" s="8"/>
      <c r="Q319" s="8"/>
      <c r="R319" s="8"/>
      <c r="S319" s="8"/>
      <c r="T319" s="8"/>
      <c r="U319" s="8"/>
      <c r="V319" s="8"/>
      <c r="W319" s="8"/>
      <c r="X319" s="8"/>
      <c r="Y319" s="8"/>
      <c r="Z319" s="8"/>
      <c r="AA319" s="8"/>
    </row>
    <row r="320" spans="1:27" ht="12.75">
      <c r="A320" s="8"/>
      <c r="B320" s="59"/>
      <c r="C320" s="59"/>
      <c r="D320" s="59"/>
      <c r="E320" s="59"/>
      <c r="F320" s="8"/>
      <c r="G320" s="8"/>
      <c r="H320" s="8"/>
      <c r="I320" s="8"/>
      <c r="J320" s="8"/>
      <c r="K320" s="8"/>
      <c r="L320" s="8"/>
      <c r="M320" s="8"/>
      <c r="N320" s="8"/>
      <c r="O320" s="8"/>
      <c r="P320" s="8"/>
      <c r="Q320" s="8"/>
      <c r="R320" s="8"/>
      <c r="S320" s="8"/>
      <c r="T320" s="8"/>
      <c r="U320" s="8"/>
      <c r="V320" s="8"/>
      <c r="W320" s="8"/>
      <c r="X320" s="8"/>
      <c r="Y320" s="8"/>
      <c r="Z320" s="8"/>
      <c r="AA320" s="8"/>
    </row>
    <row r="321" spans="1:27" ht="12.75">
      <c r="A321" s="8"/>
      <c r="B321" s="59"/>
      <c r="C321" s="59"/>
      <c r="D321" s="59"/>
      <c r="E321" s="59"/>
      <c r="F321" s="8"/>
      <c r="G321" s="8"/>
      <c r="H321" s="8"/>
      <c r="I321" s="8"/>
      <c r="J321" s="8"/>
      <c r="K321" s="8"/>
      <c r="L321" s="8"/>
      <c r="M321" s="8"/>
      <c r="N321" s="8"/>
      <c r="O321" s="8"/>
      <c r="P321" s="8"/>
      <c r="Q321" s="8"/>
      <c r="R321" s="8"/>
      <c r="S321" s="8"/>
      <c r="T321" s="8"/>
      <c r="U321" s="8"/>
      <c r="V321" s="8"/>
      <c r="W321" s="8"/>
      <c r="X321" s="8"/>
      <c r="Y321" s="8"/>
      <c r="Z321" s="8"/>
      <c r="AA321" s="8"/>
    </row>
    <row r="322" spans="1:27" ht="12.75">
      <c r="A322" s="8"/>
      <c r="B322" s="59"/>
      <c r="C322" s="59"/>
      <c r="D322" s="59"/>
      <c r="E322" s="59"/>
      <c r="F322" s="8"/>
      <c r="G322" s="8"/>
      <c r="H322" s="8"/>
      <c r="I322" s="8"/>
      <c r="J322" s="8"/>
      <c r="K322" s="8"/>
      <c r="L322" s="8"/>
      <c r="M322" s="8"/>
      <c r="N322" s="8"/>
      <c r="O322" s="8"/>
      <c r="P322" s="8"/>
      <c r="Q322" s="8"/>
      <c r="R322" s="8"/>
      <c r="S322" s="8"/>
      <c r="T322" s="8"/>
      <c r="U322" s="8"/>
      <c r="V322" s="8"/>
      <c r="W322" s="8"/>
      <c r="X322" s="8"/>
      <c r="Y322" s="8"/>
      <c r="Z322" s="8"/>
      <c r="AA322" s="8"/>
    </row>
    <row r="323" spans="1:27" ht="12.75">
      <c r="A323" s="8"/>
      <c r="B323" s="59"/>
      <c r="C323" s="59"/>
      <c r="D323" s="59"/>
      <c r="E323" s="59"/>
      <c r="F323" s="8"/>
      <c r="G323" s="8"/>
      <c r="H323" s="8"/>
      <c r="I323" s="8"/>
      <c r="J323" s="8"/>
      <c r="K323" s="8"/>
      <c r="L323" s="8"/>
      <c r="M323" s="8"/>
      <c r="N323" s="8"/>
      <c r="O323" s="8"/>
      <c r="P323" s="8"/>
      <c r="Q323" s="8"/>
      <c r="R323" s="8"/>
      <c r="S323" s="8"/>
      <c r="T323" s="8"/>
      <c r="U323" s="8"/>
      <c r="V323" s="8"/>
      <c r="W323" s="8"/>
      <c r="X323" s="8"/>
      <c r="Y323" s="8"/>
      <c r="Z323" s="8"/>
      <c r="AA323" s="8"/>
    </row>
    <row r="324" spans="1:27" ht="12.75">
      <c r="A324" s="8"/>
      <c r="B324" s="59"/>
      <c r="C324" s="59"/>
      <c r="D324" s="59"/>
      <c r="E324" s="59"/>
      <c r="F324" s="8"/>
      <c r="G324" s="8"/>
      <c r="H324" s="8"/>
      <c r="I324" s="8"/>
      <c r="J324" s="8"/>
      <c r="K324" s="8"/>
      <c r="L324" s="8"/>
      <c r="M324" s="8"/>
      <c r="N324" s="8"/>
      <c r="O324" s="8"/>
      <c r="P324" s="8"/>
      <c r="Q324" s="8"/>
      <c r="R324" s="8"/>
      <c r="S324" s="8"/>
      <c r="T324" s="8"/>
      <c r="U324" s="8"/>
      <c r="V324" s="8"/>
      <c r="W324" s="8"/>
      <c r="X324" s="8"/>
      <c r="Y324" s="8"/>
      <c r="Z324" s="8"/>
      <c r="AA324" s="8"/>
    </row>
    <row r="325" spans="1:27" ht="12.75">
      <c r="A325" s="8"/>
      <c r="B325" s="59"/>
      <c r="C325" s="59"/>
      <c r="D325" s="59"/>
      <c r="E325" s="59"/>
      <c r="F325" s="8"/>
      <c r="G325" s="8"/>
      <c r="H325" s="8"/>
      <c r="I325" s="8"/>
      <c r="J325" s="8"/>
      <c r="K325" s="8"/>
      <c r="L325" s="8"/>
      <c r="M325" s="8"/>
      <c r="N325" s="8"/>
      <c r="O325" s="8"/>
      <c r="P325" s="8"/>
      <c r="Q325" s="8"/>
      <c r="R325" s="8"/>
      <c r="S325" s="8"/>
      <c r="T325" s="8"/>
      <c r="U325" s="8"/>
      <c r="V325" s="8"/>
      <c r="W325" s="8"/>
      <c r="X325" s="8"/>
      <c r="Y325" s="8"/>
      <c r="Z325" s="8"/>
      <c r="AA325" s="8"/>
    </row>
    <row r="326" spans="1:27" ht="12.75">
      <c r="A326" s="8"/>
      <c r="B326" s="59"/>
      <c r="C326" s="59"/>
      <c r="D326" s="59"/>
      <c r="E326" s="59"/>
      <c r="F326" s="8"/>
      <c r="G326" s="8"/>
      <c r="H326" s="8"/>
      <c r="I326" s="8"/>
      <c r="J326" s="8"/>
      <c r="K326" s="8"/>
      <c r="L326" s="8"/>
      <c r="M326" s="8"/>
      <c r="N326" s="8"/>
      <c r="O326" s="8"/>
      <c r="P326" s="8"/>
      <c r="Q326" s="8"/>
      <c r="R326" s="8"/>
      <c r="S326" s="8"/>
      <c r="T326" s="8"/>
      <c r="U326" s="8"/>
      <c r="V326" s="8"/>
      <c r="W326" s="8"/>
      <c r="X326" s="8"/>
      <c r="Y326" s="8"/>
      <c r="Z326" s="8"/>
      <c r="AA326" s="8"/>
    </row>
    <row r="327" spans="1:27" ht="12.75">
      <c r="A327" s="8"/>
      <c r="B327" s="59"/>
      <c r="C327" s="59"/>
      <c r="D327" s="59"/>
      <c r="E327" s="59"/>
      <c r="F327" s="8"/>
      <c r="G327" s="8"/>
      <c r="H327" s="8"/>
      <c r="I327" s="8"/>
      <c r="J327" s="8"/>
      <c r="K327" s="8"/>
      <c r="L327" s="8"/>
      <c r="M327" s="8"/>
      <c r="N327" s="8"/>
      <c r="O327" s="8"/>
      <c r="P327" s="8"/>
      <c r="Q327" s="8"/>
      <c r="R327" s="8"/>
      <c r="S327" s="8"/>
      <c r="T327" s="8"/>
      <c r="U327" s="8"/>
      <c r="V327" s="8"/>
      <c r="W327" s="8"/>
      <c r="X327" s="8"/>
      <c r="Y327" s="8"/>
      <c r="Z327" s="8"/>
      <c r="AA327" s="8"/>
    </row>
    <row r="328" spans="1:27" ht="12.75">
      <c r="A328" s="8"/>
      <c r="B328" s="59"/>
      <c r="C328" s="59"/>
      <c r="D328" s="59"/>
      <c r="E328" s="59"/>
      <c r="F328" s="8"/>
      <c r="G328" s="8"/>
      <c r="H328" s="8"/>
      <c r="I328" s="8"/>
      <c r="J328" s="8"/>
      <c r="K328" s="8"/>
      <c r="L328" s="8"/>
      <c r="M328" s="8"/>
      <c r="N328" s="8"/>
      <c r="O328" s="8"/>
      <c r="P328" s="8"/>
      <c r="Q328" s="8"/>
      <c r="R328" s="8"/>
      <c r="S328" s="8"/>
      <c r="T328" s="8"/>
      <c r="U328" s="8"/>
      <c r="V328" s="8"/>
      <c r="W328" s="8"/>
      <c r="X328" s="8"/>
      <c r="Y328" s="8"/>
      <c r="Z328" s="8"/>
      <c r="AA328" s="8"/>
    </row>
    <row r="329" spans="1:27" ht="12.75">
      <c r="A329" s="8"/>
      <c r="B329" s="59"/>
      <c r="C329" s="59"/>
      <c r="D329" s="59"/>
      <c r="E329" s="59"/>
      <c r="F329" s="8"/>
      <c r="G329" s="8"/>
      <c r="H329" s="8"/>
      <c r="I329" s="8"/>
      <c r="J329" s="8"/>
      <c r="K329" s="8"/>
      <c r="L329" s="8"/>
      <c r="M329" s="8"/>
      <c r="N329" s="8"/>
      <c r="O329" s="8"/>
      <c r="P329" s="8"/>
      <c r="Q329" s="8"/>
      <c r="R329" s="8"/>
      <c r="S329" s="8"/>
      <c r="T329" s="8"/>
      <c r="U329" s="8"/>
      <c r="V329" s="8"/>
      <c r="W329" s="8"/>
      <c r="X329" s="8"/>
      <c r="Y329" s="8"/>
      <c r="Z329" s="8"/>
      <c r="AA329" s="8"/>
    </row>
    <row r="330" spans="1:27" ht="12.75">
      <c r="A330" s="8"/>
      <c r="B330" s="59"/>
      <c r="C330" s="59"/>
      <c r="D330" s="59"/>
      <c r="E330" s="59"/>
      <c r="F330" s="8"/>
      <c r="G330" s="8"/>
      <c r="H330" s="8"/>
      <c r="I330" s="8"/>
      <c r="J330" s="8"/>
      <c r="K330" s="8"/>
      <c r="L330" s="8"/>
      <c r="M330" s="8"/>
      <c r="N330" s="8"/>
      <c r="O330" s="8"/>
      <c r="P330" s="8"/>
      <c r="Q330" s="8"/>
      <c r="R330" s="8"/>
      <c r="S330" s="8"/>
      <c r="T330" s="8"/>
      <c r="U330" s="8"/>
      <c r="V330" s="8"/>
      <c r="W330" s="8"/>
      <c r="X330" s="8"/>
      <c r="Y330" s="8"/>
      <c r="Z330" s="8"/>
      <c r="AA330" s="8"/>
    </row>
    <row r="331" spans="1:27" ht="12.75">
      <c r="A331" s="8"/>
      <c r="B331" s="59"/>
      <c r="C331" s="59"/>
      <c r="D331" s="59"/>
      <c r="E331" s="59"/>
      <c r="F331" s="8"/>
      <c r="G331" s="8"/>
      <c r="H331" s="8"/>
      <c r="I331" s="8"/>
      <c r="J331" s="8"/>
      <c r="K331" s="8"/>
      <c r="L331" s="8"/>
      <c r="M331" s="8"/>
      <c r="N331" s="8"/>
      <c r="O331" s="8"/>
      <c r="P331" s="8"/>
      <c r="Q331" s="8"/>
      <c r="R331" s="8"/>
      <c r="S331" s="8"/>
      <c r="T331" s="8"/>
      <c r="U331" s="8"/>
      <c r="V331" s="8"/>
      <c r="W331" s="8"/>
      <c r="X331" s="8"/>
      <c r="Y331" s="8"/>
      <c r="Z331" s="8"/>
      <c r="AA331" s="8"/>
    </row>
    <row r="332" spans="1:27" ht="12.75">
      <c r="A332" s="8"/>
      <c r="B332" s="59"/>
      <c r="C332" s="59"/>
      <c r="D332" s="59"/>
      <c r="E332" s="59"/>
      <c r="F332" s="8"/>
      <c r="G332" s="8"/>
      <c r="H332" s="8"/>
      <c r="I332" s="8"/>
      <c r="J332" s="8"/>
      <c r="K332" s="8"/>
      <c r="L332" s="8"/>
      <c r="M332" s="8"/>
      <c r="N332" s="8"/>
      <c r="O332" s="8"/>
      <c r="P332" s="8"/>
      <c r="Q332" s="8"/>
      <c r="R332" s="8"/>
      <c r="S332" s="8"/>
      <c r="T332" s="8"/>
      <c r="U332" s="8"/>
      <c r="V332" s="8"/>
      <c r="W332" s="8"/>
      <c r="X332" s="8"/>
      <c r="Y332" s="8"/>
      <c r="Z332" s="8"/>
      <c r="AA332" s="8"/>
    </row>
    <row r="333" spans="1:27" ht="12.75">
      <c r="A333" s="8"/>
      <c r="B333" s="59"/>
      <c r="C333" s="59"/>
      <c r="D333" s="59"/>
      <c r="E333" s="59"/>
      <c r="F333" s="8"/>
      <c r="G333" s="8"/>
      <c r="H333" s="8"/>
      <c r="I333" s="8"/>
      <c r="J333" s="8"/>
      <c r="K333" s="8"/>
      <c r="L333" s="8"/>
      <c r="M333" s="8"/>
      <c r="N333" s="8"/>
      <c r="O333" s="8"/>
      <c r="P333" s="8"/>
      <c r="Q333" s="8"/>
      <c r="R333" s="8"/>
      <c r="S333" s="8"/>
      <c r="T333" s="8"/>
      <c r="U333" s="8"/>
      <c r="V333" s="8"/>
      <c r="W333" s="8"/>
      <c r="X333" s="8"/>
      <c r="Y333" s="8"/>
      <c r="Z333" s="8"/>
      <c r="AA333" s="8"/>
    </row>
    <row r="334" spans="1:27" ht="12.75">
      <c r="A334" s="8"/>
      <c r="B334" s="59"/>
      <c r="C334" s="59"/>
      <c r="D334" s="59"/>
      <c r="E334" s="59"/>
      <c r="F334" s="8"/>
      <c r="G334" s="8"/>
      <c r="H334" s="8"/>
      <c r="I334" s="8"/>
      <c r="J334" s="8"/>
      <c r="K334" s="8"/>
      <c r="L334" s="8"/>
      <c r="M334" s="8"/>
      <c r="N334" s="8"/>
      <c r="O334" s="8"/>
      <c r="P334" s="8"/>
      <c r="Q334" s="8"/>
      <c r="R334" s="8"/>
      <c r="S334" s="8"/>
      <c r="T334" s="8"/>
      <c r="U334" s="8"/>
      <c r="V334" s="8"/>
      <c r="W334" s="8"/>
      <c r="X334" s="8"/>
      <c r="Y334" s="8"/>
      <c r="Z334" s="8"/>
      <c r="AA334" s="8"/>
    </row>
    <row r="335" spans="1:27" ht="12.75">
      <c r="A335" s="8"/>
      <c r="B335" s="59"/>
      <c r="C335" s="59"/>
      <c r="D335" s="59"/>
      <c r="E335" s="59"/>
      <c r="F335" s="8"/>
      <c r="G335" s="8"/>
      <c r="H335" s="8"/>
      <c r="I335" s="8"/>
      <c r="J335" s="8"/>
      <c r="K335" s="8"/>
      <c r="L335" s="8"/>
      <c r="M335" s="8"/>
      <c r="N335" s="8"/>
      <c r="O335" s="8"/>
      <c r="P335" s="8"/>
      <c r="Q335" s="8"/>
      <c r="R335" s="8"/>
      <c r="S335" s="8"/>
      <c r="T335" s="8"/>
      <c r="U335" s="8"/>
      <c r="V335" s="8"/>
      <c r="W335" s="8"/>
      <c r="X335" s="8"/>
      <c r="Y335" s="8"/>
      <c r="Z335" s="8"/>
      <c r="AA335" s="8"/>
    </row>
    <row r="336" spans="1:27" ht="12.75">
      <c r="A336" s="8"/>
      <c r="B336" s="59"/>
      <c r="C336" s="59"/>
      <c r="D336" s="59"/>
      <c r="E336" s="59"/>
      <c r="F336" s="8"/>
      <c r="G336" s="8"/>
      <c r="H336" s="8"/>
      <c r="I336" s="8"/>
      <c r="J336" s="8"/>
      <c r="K336" s="8"/>
      <c r="L336" s="8"/>
      <c r="M336" s="8"/>
      <c r="N336" s="8"/>
      <c r="O336" s="8"/>
      <c r="P336" s="8"/>
      <c r="Q336" s="8"/>
      <c r="R336" s="8"/>
      <c r="S336" s="8"/>
      <c r="T336" s="8"/>
      <c r="U336" s="8"/>
      <c r="V336" s="8"/>
      <c r="W336" s="8"/>
      <c r="X336" s="8"/>
      <c r="Y336" s="8"/>
      <c r="Z336" s="8"/>
      <c r="AA336" s="8"/>
    </row>
    <row r="337" spans="1:27" ht="12.75">
      <c r="A337" s="8"/>
      <c r="B337" s="59"/>
      <c r="C337" s="59"/>
      <c r="D337" s="59"/>
      <c r="E337" s="59"/>
      <c r="F337" s="8"/>
      <c r="G337" s="8"/>
      <c r="H337" s="8"/>
      <c r="I337" s="8"/>
      <c r="J337" s="8"/>
      <c r="K337" s="8"/>
      <c r="L337" s="8"/>
      <c r="M337" s="8"/>
      <c r="N337" s="8"/>
      <c r="O337" s="8"/>
      <c r="P337" s="8"/>
      <c r="Q337" s="8"/>
      <c r="R337" s="8"/>
      <c r="S337" s="8"/>
      <c r="T337" s="8"/>
      <c r="U337" s="8"/>
      <c r="V337" s="8"/>
      <c r="W337" s="8"/>
      <c r="X337" s="8"/>
      <c r="Y337" s="8"/>
      <c r="Z337" s="8"/>
      <c r="AA337" s="8"/>
    </row>
    <row r="338" spans="1:27" ht="12.75">
      <c r="A338" s="8"/>
      <c r="B338" s="59"/>
      <c r="C338" s="59"/>
      <c r="D338" s="59"/>
      <c r="E338" s="59"/>
      <c r="F338" s="8"/>
      <c r="G338" s="8"/>
      <c r="H338" s="8"/>
      <c r="I338" s="8"/>
      <c r="J338" s="8"/>
      <c r="K338" s="8"/>
      <c r="L338" s="8"/>
      <c r="M338" s="8"/>
      <c r="N338" s="8"/>
      <c r="O338" s="8"/>
      <c r="P338" s="8"/>
      <c r="Q338" s="8"/>
      <c r="R338" s="8"/>
      <c r="S338" s="8"/>
      <c r="T338" s="8"/>
      <c r="U338" s="8"/>
      <c r="V338" s="8"/>
      <c r="W338" s="8"/>
      <c r="X338" s="8"/>
      <c r="Y338" s="8"/>
      <c r="Z338" s="8"/>
      <c r="AA338" s="8"/>
    </row>
    <row r="339" spans="1:27" ht="12.75">
      <c r="A339" s="8"/>
      <c r="B339" s="59"/>
      <c r="C339" s="59"/>
      <c r="D339" s="59"/>
      <c r="E339" s="59"/>
      <c r="F339" s="8"/>
      <c r="G339" s="8"/>
      <c r="H339" s="8"/>
      <c r="I339" s="8"/>
      <c r="J339" s="8"/>
      <c r="K339" s="8"/>
      <c r="L339" s="8"/>
      <c r="M339" s="8"/>
      <c r="N339" s="8"/>
      <c r="O339" s="8"/>
      <c r="P339" s="8"/>
      <c r="Q339" s="8"/>
      <c r="R339" s="8"/>
      <c r="S339" s="8"/>
      <c r="T339" s="8"/>
      <c r="U339" s="8"/>
      <c r="V339" s="8"/>
      <c r="W339" s="8"/>
      <c r="X339" s="8"/>
      <c r="Y339" s="8"/>
      <c r="Z339" s="8"/>
      <c r="AA339" s="8"/>
    </row>
    <row r="340" spans="1:27" ht="12.75">
      <c r="A340" s="8"/>
      <c r="B340" s="59"/>
      <c r="C340" s="59"/>
      <c r="D340" s="59"/>
      <c r="E340" s="59"/>
      <c r="F340" s="8"/>
      <c r="G340" s="8"/>
      <c r="H340" s="8"/>
      <c r="I340" s="8"/>
      <c r="J340" s="8"/>
      <c r="K340" s="8"/>
      <c r="L340" s="8"/>
      <c r="M340" s="8"/>
      <c r="N340" s="8"/>
      <c r="O340" s="8"/>
      <c r="P340" s="8"/>
      <c r="Q340" s="8"/>
      <c r="R340" s="8"/>
      <c r="S340" s="8"/>
      <c r="T340" s="8"/>
      <c r="U340" s="8"/>
      <c r="V340" s="8"/>
      <c r="W340" s="8"/>
      <c r="X340" s="8"/>
      <c r="Y340" s="8"/>
      <c r="Z340" s="8"/>
      <c r="AA340" s="8"/>
    </row>
    <row r="341" spans="1:27" ht="12.75">
      <c r="A341" s="8"/>
      <c r="B341" s="59"/>
      <c r="C341" s="59"/>
      <c r="D341" s="59"/>
      <c r="E341" s="59"/>
      <c r="F341" s="8"/>
      <c r="G341" s="8"/>
      <c r="H341" s="8"/>
      <c r="I341" s="8"/>
      <c r="J341" s="8"/>
      <c r="K341" s="8"/>
      <c r="L341" s="8"/>
      <c r="M341" s="8"/>
      <c r="N341" s="8"/>
      <c r="O341" s="8"/>
      <c r="P341" s="8"/>
      <c r="Q341" s="8"/>
      <c r="R341" s="8"/>
      <c r="S341" s="8"/>
      <c r="T341" s="8"/>
      <c r="U341" s="8"/>
      <c r="V341" s="8"/>
      <c r="W341" s="8"/>
      <c r="X341" s="8"/>
      <c r="Y341" s="8"/>
      <c r="Z341" s="8"/>
      <c r="AA341" s="8"/>
    </row>
    <row r="342" spans="1:27" ht="12.75">
      <c r="A342" s="8"/>
      <c r="B342" s="59"/>
      <c r="C342" s="59"/>
      <c r="D342" s="59"/>
      <c r="E342" s="59"/>
      <c r="F342" s="8"/>
      <c r="G342" s="8"/>
      <c r="H342" s="8"/>
      <c r="I342" s="8"/>
      <c r="J342" s="8"/>
      <c r="K342" s="8"/>
      <c r="L342" s="8"/>
      <c r="M342" s="8"/>
      <c r="N342" s="8"/>
      <c r="O342" s="8"/>
      <c r="P342" s="8"/>
      <c r="Q342" s="8"/>
      <c r="R342" s="8"/>
      <c r="S342" s="8"/>
      <c r="T342" s="8"/>
      <c r="U342" s="8"/>
      <c r="V342" s="8"/>
      <c r="W342" s="8"/>
      <c r="X342" s="8"/>
      <c r="Y342" s="8"/>
      <c r="Z342" s="8"/>
      <c r="AA342" s="8"/>
    </row>
    <row r="343" spans="1:27" ht="12.75">
      <c r="A343" s="8"/>
      <c r="B343" s="59"/>
      <c r="C343" s="59"/>
      <c r="D343" s="59"/>
      <c r="E343" s="59"/>
      <c r="F343" s="8"/>
      <c r="G343" s="8"/>
      <c r="H343" s="8"/>
      <c r="I343" s="8"/>
      <c r="J343" s="8"/>
      <c r="K343" s="8"/>
      <c r="L343" s="8"/>
      <c r="M343" s="8"/>
      <c r="N343" s="8"/>
      <c r="O343" s="8"/>
      <c r="P343" s="8"/>
      <c r="Q343" s="8"/>
      <c r="R343" s="8"/>
      <c r="S343" s="8"/>
      <c r="T343" s="8"/>
      <c r="U343" s="8"/>
      <c r="V343" s="8"/>
      <c r="W343" s="8"/>
      <c r="X343" s="8"/>
      <c r="Y343" s="8"/>
      <c r="Z343" s="8"/>
      <c r="AA343" s="8"/>
    </row>
    <row r="344" spans="1:27" ht="12.75">
      <c r="A344" s="8"/>
      <c r="B344" s="59"/>
      <c r="C344" s="59"/>
      <c r="D344" s="59"/>
      <c r="E344" s="59"/>
      <c r="F344" s="8"/>
      <c r="G344" s="8"/>
      <c r="H344" s="8"/>
      <c r="I344" s="8"/>
      <c r="J344" s="8"/>
      <c r="K344" s="8"/>
      <c r="L344" s="8"/>
      <c r="M344" s="8"/>
      <c r="N344" s="8"/>
      <c r="O344" s="8"/>
      <c r="P344" s="8"/>
      <c r="Q344" s="8"/>
      <c r="R344" s="8"/>
      <c r="S344" s="8"/>
      <c r="T344" s="8"/>
      <c r="U344" s="8"/>
      <c r="V344" s="8"/>
      <c r="W344" s="8"/>
      <c r="X344" s="8"/>
      <c r="Y344" s="8"/>
      <c r="Z344" s="8"/>
      <c r="AA344" s="8"/>
    </row>
    <row r="345" spans="1:27" ht="12.75">
      <c r="A345" s="8"/>
      <c r="B345" s="59"/>
      <c r="C345" s="59"/>
      <c r="D345" s="59"/>
      <c r="E345" s="59"/>
      <c r="F345" s="8"/>
      <c r="G345" s="8"/>
      <c r="H345" s="8"/>
      <c r="I345" s="8"/>
      <c r="J345" s="8"/>
      <c r="K345" s="8"/>
      <c r="L345" s="8"/>
      <c r="M345" s="8"/>
      <c r="N345" s="8"/>
      <c r="O345" s="8"/>
      <c r="P345" s="8"/>
      <c r="Q345" s="8"/>
      <c r="R345" s="8"/>
      <c r="S345" s="8"/>
      <c r="T345" s="8"/>
      <c r="U345" s="8"/>
      <c r="V345" s="8"/>
      <c r="W345" s="8"/>
      <c r="X345" s="8"/>
      <c r="Y345" s="8"/>
      <c r="Z345" s="8"/>
      <c r="AA345" s="8"/>
    </row>
    <row r="346" spans="1:27" ht="12.75">
      <c r="A346" s="8"/>
      <c r="B346" s="59"/>
      <c r="C346" s="59"/>
      <c r="D346" s="59"/>
      <c r="E346" s="59"/>
      <c r="F346" s="8"/>
      <c r="G346" s="8"/>
      <c r="H346" s="8"/>
      <c r="I346" s="8"/>
      <c r="J346" s="8"/>
      <c r="K346" s="8"/>
      <c r="L346" s="8"/>
      <c r="M346" s="8"/>
      <c r="N346" s="8"/>
      <c r="O346" s="8"/>
      <c r="P346" s="8"/>
      <c r="Q346" s="8"/>
      <c r="R346" s="8"/>
      <c r="S346" s="8"/>
      <c r="T346" s="8"/>
      <c r="U346" s="8"/>
      <c r="V346" s="8"/>
      <c r="W346" s="8"/>
      <c r="X346" s="8"/>
      <c r="Y346" s="8"/>
      <c r="Z346" s="8"/>
      <c r="AA346" s="8"/>
    </row>
    <row r="347" spans="1:27" ht="12.75">
      <c r="A347" s="8"/>
      <c r="B347" s="59"/>
      <c r="C347" s="59"/>
      <c r="D347" s="59"/>
      <c r="E347" s="59"/>
      <c r="F347" s="8"/>
      <c r="G347" s="8"/>
      <c r="H347" s="8"/>
      <c r="I347" s="8"/>
      <c r="J347" s="8"/>
      <c r="K347" s="8"/>
      <c r="L347" s="8"/>
      <c r="M347" s="8"/>
      <c r="N347" s="8"/>
      <c r="O347" s="8"/>
      <c r="P347" s="8"/>
      <c r="Q347" s="8"/>
      <c r="R347" s="8"/>
      <c r="S347" s="8"/>
      <c r="T347" s="8"/>
      <c r="U347" s="8"/>
      <c r="V347" s="8"/>
      <c r="W347" s="8"/>
      <c r="X347" s="8"/>
      <c r="Y347" s="8"/>
      <c r="Z347" s="8"/>
      <c r="AA347" s="8"/>
    </row>
    <row r="348" spans="1:27" ht="12.75">
      <c r="A348" s="8"/>
      <c r="B348" s="59"/>
      <c r="C348" s="59"/>
      <c r="D348" s="59"/>
      <c r="E348" s="59"/>
      <c r="F348" s="8"/>
      <c r="G348" s="8"/>
      <c r="H348" s="8"/>
      <c r="I348" s="8"/>
      <c r="J348" s="8"/>
      <c r="K348" s="8"/>
      <c r="L348" s="8"/>
      <c r="M348" s="8"/>
      <c r="N348" s="8"/>
      <c r="O348" s="8"/>
      <c r="P348" s="8"/>
      <c r="Q348" s="8"/>
      <c r="R348" s="8"/>
      <c r="S348" s="8"/>
      <c r="T348" s="8"/>
      <c r="U348" s="8"/>
      <c r="V348" s="8"/>
      <c r="W348" s="8"/>
      <c r="X348" s="8"/>
      <c r="Y348" s="8"/>
      <c r="Z348" s="8"/>
      <c r="AA348" s="8"/>
    </row>
    <row r="349" spans="1:27" ht="12.75">
      <c r="A349" s="8"/>
      <c r="B349" s="59"/>
      <c r="C349" s="59"/>
      <c r="D349" s="59"/>
      <c r="E349" s="59"/>
      <c r="F349" s="8"/>
      <c r="G349" s="8"/>
      <c r="H349" s="8"/>
      <c r="I349" s="8"/>
      <c r="J349" s="8"/>
      <c r="K349" s="8"/>
      <c r="L349" s="8"/>
      <c r="M349" s="8"/>
      <c r="N349" s="8"/>
      <c r="O349" s="8"/>
      <c r="P349" s="8"/>
      <c r="Q349" s="8"/>
      <c r="R349" s="8"/>
      <c r="S349" s="8"/>
      <c r="T349" s="8"/>
      <c r="U349" s="8"/>
      <c r="V349" s="8"/>
      <c r="W349" s="8"/>
      <c r="X349" s="8"/>
      <c r="Y349" s="8"/>
      <c r="Z349" s="8"/>
      <c r="AA349" s="8"/>
    </row>
    <row r="350" spans="1:27" ht="12.75">
      <c r="A350" s="8"/>
      <c r="B350" s="59"/>
      <c r="C350" s="59"/>
      <c r="D350" s="59"/>
      <c r="E350" s="59"/>
      <c r="F350" s="8"/>
      <c r="G350" s="8"/>
      <c r="H350" s="8"/>
      <c r="I350" s="8"/>
      <c r="J350" s="8"/>
      <c r="K350" s="8"/>
      <c r="L350" s="8"/>
      <c r="M350" s="8"/>
      <c r="N350" s="8"/>
      <c r="O350" s="8"/>
      <c r="P350" s="8"/>
      <c r="Q350" s="8"/>
      <c r="R350" s="8"/>
      <c r="S350" s="8"/>
      <c r="T350" s="8"/>
      <c r="U350" s="8"/>
      <c r="V350" s="8"/>
      <c r="W350" s="8"/>
      <c r="X350" s="8"/>
      <c r="Y350" s="8"/>
      <c r="Z350" s="8"/>
      <c r="AA350" s="8"/>
    </row>
    <row r="351" spans="1:27" ht="12.75">
      <c r="A351" s="8"/>
      <c r="B351" s="59"/>
      <c r="C351" s="59"/>
      <c r="D351" s="59"/>
      <c r="E351" s="59"/>
      <c r="F351" s="8"/>
      <c r="G351" s="8"/>
      <c r="H351" s="8"/>
      <c r="I351" s="8"/>
      <c r="J351" s="8"/>
      <c r="K351" s="8"/>
      <c r="L351" s="8"/>
      <c r="M351" s="8"/>
      <c r="N351" s="8"/>
      <c r="O351" s="8"/>
      <c r="P351" s="8"/>
      <c r="Q351" s="8"/>
      <c r="R351" s="8"/>
      <c r="S351" s="8"/>
      <c r="T351" s="8"/>
      <c r="U351" s="8"/>
      <c r="V351" s="8"/>
      <c r="W351" s="8"/>
      <c r="X351" s="8"/>
      <c r="Y351" s="8"/>
      <c r="Z351" s="8"/>
      <c r="AA351" s="8"/>
    </row>
    <row r="352" spans="1:27" ht="12.75">
      <c r="A352" s="8"/>
      <c r="B352" s="59"/>
      <c r="C352" s="59"/>
      <c r="D352" s="59"/>
      <c r="E352" s="59"/>
      <c r="F352" s="8"/>
      <c r="G352" s="8"/>
      <c r="H352" s="8"/>
      <c r="I352" s="8"/>
      <c r="J352" s="8"/>
      <c r="K352" s="8"/>
      <c r="L352" s="8"/>
      <c r="M352" s="8"/>
      <c r="N352" s="8"/>
      <c r="O352" s="8"/>
      <c r="P352" s="8"/>
      <c r="Q352" s="8"/>
      <c r="R352" s="8"/>
      <c r="S352" s="8"/>
      <c r="T352" s="8"/>
      <c r="U352" s="8"/>
      <c r="V352" s="8"/>
      <c r="W352" s="8"/>
      <c r="X352" s="8"/>
      <c r="Y352" s="8"/>
      <c r="Z352" s="8"/>
      <c r="AA352" s="8"/>
    </row>
    <row r="353" spans="1:27" ht="12.75">
      <c r="A353" s="8"/>
      <c r="B353" s="59"/>
      <c r="C353" s="59"/>
      <c r="D353" s="59"/>
      <c r="E353" s="59"/>
      <c r="F353" s="8"/>
      <c r="G353" s="8"/>
      <c r="H353" s="8"/>
      <c r="I353" s="8"/>
      <c r="J353" s="8"/>
      <c r="K353" s="8"/>
      <c r="L353" s="8"/>
      <c r="M353" s="8"/>
      <c r="N353" s="8"/>
      <c r="O353" s="8"/>
      <c r="P353" s="8"/>
      <c r="Q353" s="8"/>
      <c r="R353" s="8"/>
      <c r="S353" s="8"/>
      <c r="T353" s="8"/>
      <c r="U353" s="8"/>
      <c r="V353" s="8"/>
      <c r="W353" s="8"/>
      <c r="X353" s="8"/>
      <c r="Y353" s="8"/>
      <c r="Z353" s="8"/>
      <c r="AA353" s="8"/>
    </row>
    <row r="354" spans="1:27" ht="12.75">
      <c r="A354" s="8"/>
      <c r="B354" s="59"/>
      <c r="C354" s="59"/>
      <c r="D354" s="59"/>
      <c r="E354" s="59"/>
      <c r="F354" s="8"/>
      <c r="G354" s="8"/>
      <c r="H354" s="8"/>
      <c r="I354" s="8"/>
      <c r="J354" s="8"/>
      <c r="K354" s="8"/>
      <c r="L354" s="8"/>
      <c r="M354" s="8"/>
      <c r="N354" s="8"/>
      <c r="O354" s="8"/>
      <c r="P354" s="8"/>
      <c r="Q354" s="8"/>
      <c r="R354" s="8"/>
      <c r="S354" s="8"/>
      <c r="T354" s="8"/>
      <c r="U354" s="8"/>
      <c r="V354" s="8"/>
      <c r="W354" s="8"/>
      <c r="X354" s="8"/>
      <c r="Y354" s="8"/>
      <c r="Z354" s="8"/>
      <c r="AA354" s="8"/>
    </row>
    <row r="355" spans="1:27" ht="12.75">
      <c r="A355" s="8"/>
      <c r="B355" s="59"/>
      <c r="C355" s="59"/>
      <c r="D355" s="59"/>
      <c r="E355" s="59"/>
      <c r="F355" s="8"/>
      <c r="G355" s="8"/>
      <c r="H355" s="8"/>
      <c r="I355" s="8"/>
      <c r="J355" s="8"/>
      <c r="K355" s="8"/>
      <c r="L355" s="8"/>
      <c r="M355" s="8"/>
      <c r="N355" s="8"/>
      <c r="O355" s="8"/>
      <c r="P355" s="8"/>
      <c r="Q355" s="8"/>
      <c r="R355" s="8"/>
      <c r="S355" s="8"/>
      <c r="T355" s="8"/>
      <c r="U355" s="8"/>
      <c r="V355" s="8"/>
      <c r="W355" s="8"/>
      <c r="X355" s="8"/>
      <c r="Y355" s="8"/>
      <c r="Z355" s="8"/>
      <c r="AA355" s="8"/>
    </row>
    <row r="356" spans="1:27" ht="12.75">
      <c r="A356" s="8"/>
      <c r="B356" s="59"/>
      <c r="C356" s="59"/>
      <c r="D356" s="59"/>
      <c r="E356" s="59"/>
      <c r="F356" s="8"/>
      <c r="G356" s="8"/>
      <c r="H356" s="8"/>
      <c r="I356" s="8"/>
      <c r="J356" s="8"/>
      <c r="K356" s="8"/>
      <c r="L356" s="8"/>
      <c r="M356" s="8"/>
      <c r="N356" s="8"/>
      <c r="O356" s="8"/>
      <c r="P356" s="8"/>
      <c r="Q356" s="8"/>
      <c r="R356" s="8"/>
      <c r="S356" s="8"/>
      <c r="T356" s="8"/>
      <c r="U356" s="8"/>
      <c r="V356" s="8"/>
      <c r="W356" s="8"/>
      <c r="X356" s="8"/>
      <c r="Y356" s="8"/>
      <c r="Z356" s="8"/>
      <c r="AA356" s="8"/>
    </row>
    <row r="357" spans="1:27" ht="12.75">
      <c r="A357" s="8"/>
      <c r="B357" s="59"/>
      <c r="C357" s="59"/>
      <c r="D357" s="59"/>
      <c r="E357" s="59"/>
      <c r="F357" s="8"/>
      <c r="G357" s="8"/>
      <c r="H357" s="8"/>
      <c r="I357" s="8"/>
      <c r="J357" s="8"/>
      <c r="K357" s="8"/>
      <c r="L357" s="8"/>
      <c r="M357" s="8"/>
      <c r="N357" s="8"/>
      <c r="O357" s="8"/>
      <c r="P357" s="8"/>
      <c r="Q357" s="8"/>
      <c r="R357" s="8"/>
      <c r="S357" s="8"/>
      <c r="T357" s="8"/>
      <c r="U357" s="8"/>
      <c r="V357" s="8"/>
      <c r="W357" s="8"/>
      <c r="X357" s="8"/>
      <c r="Y357" s="8"/>
      <c r="Z357" s="8"/>
      <c r="AA357" s="8"/>
    </row>
    <row r="358" spans="1:27" ht="12.75">
      <c r="A358" s="8"/>
      <c r="B358" s="59"/>
      <c r="C358" s="59"/>
      <c r="D358" s="59"/>
      <c r="E358" s="59"/>
      <c r="F358" s="8"/>
      <c r="G358" s="8"/>
      <c r="H358" s="8"/>
      <c r="I358" s="8"/>
      <c r="J358" s="8"/>
      <c r="K358" s="8"/>
      <c r="L358" s="8"/>
      <c r="M358" s="8"/>
      <c r="N358" s="8"/>
      <c r="O358" s="8"/>
      <c r="P358" s="8"/>
      <c r="Q358" s="8"/>
      <c r="R358" s="8"/>
      <c r="S358" s="8"/>
      <c r="T358" s="8"/>
      <c r="U358" s="8"/>
      <c r="V358" s="8"/>
      <c r="W358" s="8"/>
      <c r="X358" s="8"/>
      <c r="Y358" s="8"/>
      <c r="Z358" s="8"/>
      <c r="AA358" s="8"/>
    </row>
    <row r="359" spans="1:27" ht="12.75">
      <c r="A359" s="8"/>
      <c r="B359" s="59"/>
      <c r="C359" s="59"/>
      <c r="D359" s="59"/>
      <c r="E359" s="59"/>
      <c r="F359" s="8"/>
      <c r="G359" s="8"/>
      <c r="H359" s="8"/>
      <c r="I359" s="8"/>
      <c r="J359" s="8"/>
      <c r="K359" s="8"/>
      <c r="L359" s="8"/>
      <c r="M359" s="8"/>
      <c r="N359" s="8"/>
      <c r="O359" s="8"/>
      <c r="P359" s="8"/>
      <c r="Q359" s="8"/>
      <c r="R359" s="8"/>
      <c r="S359" s="8"/>
      <c r="T359" s="8"/>
      <c r="U359" s="8"/>
      <c r="V359" s="8"/>
      <c r="W359" s="8"/>
      <c r="X359" s="8"/>
      <c r="Y359" s="8"/>
      <c r="Z359" s="8"/>
      <c r="AA359" s="8"/>
    </row>
    <row r="360" spans="1:27" ht="12.75">
      <c r="A360" s="8"/>
      <c r="B360" s="59"/>
      <c r="C360" s="59"/>
      <c r="D360" s="59"/>
      <c r="E360" s="59"/>
      <c r="F360" s="8"/>
      <c r="G360" s="8"/>
      <c r="H360" s="8"/>
      <c r="I360" s="8"/>
      <c r="J360" s="8"/>
      <c r="K360" s="8"/>
      <c r="L360" s="8"/>
      <c r="M360" s="8"/>
      <c r="N360" s="8"/>
      <c r="O360" s="8"/>
      <c r="P360" s="8"/>
      <c r="Q360" s="8"/>
      <c r="R360" s="8"/>
      <c r="S360" s="8"/>
      <c r="T360" s="8"/>
      <c r="U360" s="8"/>
      <c r="V360" s="8"/>
      <c r="W360" s="8"/>
      <c r="X360" s="8"/>
      <c r="Y360" s="8"/>
      <c r="Z360" s="8"/>
      <c r="AA360" s="8"/>
    </row>
    <row r="361" spans="1:27" ht="12.75">
      <c r="A361" s="8"/>
      <c r="B361" s="59"/>
      <c r="C361" s="59"/>
      <c r="D361" s="59"/>
      <c r="E361" s="59"/>
      <c r="F361" s="8"/>
      <c r="G361" s="8"/>
      <c r="H361" s="8"/>
      <c r="I361" s="8"/>
      <c r="J361" s="8"/>
      <c r="K361" s="8"/>
      <c r="L361" s="8"/>
      <c r="M361" s="8"/>
      <c r="N361" s="8"/>
      <c r="O361" s="8"/>
      <c r="P361" s="8"/>
      <c r="Q361" s="8"/>
      <c r="R361" s="8"/>
      <c r="S361" s="8"/>
      <c r="T361" s="8"/>
      <c r="U361" s="8"/>
      <c r="V361" s="8"/>
      <c r="W361" s="8"/>
      <c r="X361" s="8"/>
      <c r="Y361" s="8"/>
      <c r="Z361" s="8"/>
      <c r="AA361" s="8"/>
    </row>
    <row r="362" spans="1:27" ht="12.75">
      <c r="A362" s="8"/>
      <c r="B362" s="59"/>
      <c r="C362" s="59"/>
      <c r="D362" s="59"/>
      <c r="E362" s="59"/>
      <c r="F362" s="8"/>
      <c r="G362" s="8"/>
      <c r="H362" s="8"/>
      <c r="I362" s="8"/>
      <c r="J362" s="8"/>
      <c r="K362" s="8"/>
      <c r="L362" s="8"/>
      <c r="M362" s="8"/>
      <c r="N362" s="8"/>
      <c r="O362" s="8"/>
      <c r="P362" s="8"/>
      <c r="Q362" s="8"/>
      <c r="R362" s="8"/>
      <c r="S362" s="8"/>
      <c r="T362" s="8"/>
      <c r="U362" s="8"/>
      <c r="V362" s="8"/>
      <c r="W362" s="8"/>
      <c r="X362" s="8"/>
      <c r="Y362" s="8"/>
      <c r="Z362" s="8"/>
      <c r="AA362" s="8"/>
    </row>
    <row r="363" spans="1:27" ht="12.75">
      <c r="A363" s="8"/>
      <c r="B363" s="59"/>
      <c r="C363" s="59"/>
      <c r="D363" s="59"/>
      <c r="E363" s="59"/>
      <c r="F363" s="8"/>
      <c r="G363" s="8"/>
      <c r="H363" s="8"/>
      <c r="I363" s="8"/>
      <c r="J363" s="8"/>
      <c r="K363" s="8"/>
      <c r="L363" s="8"/>
      <c r="M363" s="8"/>
      <c r="N363" s="8"/>
      <c r="O363" s="8"/>
      <c r="P363" s="8"/>
      <c r="Q363" s="8"/>
      <c r="R363" s="8"/>
      <c r="S363" s="8"/>
      <c r="T363" s="8"/>
      <c r="U363" s="8"/>
      <c r="V363" s="8"/>
      <c r="W363" s="8"/>
      <c r="X363" s="8"/>
      <c r="Y363" s="8"/>
      <c r="Z363" s="8"/>
      <c r="AA363" s="8"/>
    </row>
    <row r="364" spans="1:27" ht="12.75">
      <c r="A364" s="8"/>
      <c r="B364" s="59"/>
      <c r="C364" s="59"/>
      <c r="D364" s="59"/>
      <c r="E364" s="59"/>
      <c r="F364" s="8"/>
      <c r="G364" s="8"/>
      <c r="H364" s="8"/>
      <c r="I364" s="8"/>
      <c r="J364" s="8"/>
      <c r="K364" s="8"/>
      <c r="L364" s="8"/>
      <c r="M364" s="8"/>
      <c r="N364" s="8"/>
      <c r="O364" s="8"/>
      <c r="P364" s="8"/>
      <c r="Q364" s="8"/>
      <c r="R364" s="8"/>
      <c r="S364" s="8"/>
      <c r="T364" s="8"/>
      <c r="U364" s="8"/>
      <c r="V364" s="8"/>
      <c r="W364" s="8"/>
      <c r="X364" s="8"/>
      <c r="Y364" s="8"/>
      <c r="Z364" s="8"/>
      <c r="AA364" s="8"/>
    </row>
    <row r="365" spans="1:27" ht="12.75">
      <c r="A365" s="8"/>
      <c r="B365" s="59"/>
      <c r="C365" s="59"/>
      <c r="D365" s="59"/>
      <c r="E365" s="59"/>
      <c r="F365" s="8"/>
      <c r="G365" s="8"/>
      <c r="H365" s="8"/>
      <c r="I365" s="8"/>
      <c r="J365" s="8"/>
      <c r="K365" s="8"/>
      <c r="L365" s="8"/>
      <c r="M365" s="8"/>
      <c r="N365" s="8"/>
      <c r="O365" s="8"/>
      <c r="P365" s="8"/>
      <c r="Q365" s="8"/>
      <c r="R365" s="8"/>
      <c r="S365" s="8"/>
      <c r="T365" s="8"/>
      <c r="U365" s="8"/>
      <c r="V365" s="8"/>
      <c r="W365" s="8"/>
      <c r="X365" s="8"/>
      <c r="Y365" s="8"/>
      <c r="Z365" s="8"/>
      <c r="AA365" s="8"/>
    </row>
    <row r="366" spans="1:27" ht="12.75">
      <c r="A366" s="8"/>
      <c r="B366" s="59"/>
      <c r="C366" s="59"/>
      <c r="D366" s="59"/>
      <c r="E366" s="59"/>
      <c r="F366" s="8"/>
      <c r="G366" s="8"/>
      <c r="H366" s="8"/>
      <c r="I366" s="8"/>
      <c r="J366" s="8"/>
      <c r="K366" s="8"/>
      <c r="L366" s="8"/>
      <c r="M366" s="8"/>
      <c r="N366" s="8"/>
      <c r="O366" s="8"/>
      <c r="P366" s="8"/>
      <c r="Q366" s="8"/>
      <c r="R366" s="8"/>
      <c r="S366" s="8"/>
      <c r="T366" s="8"/>
      <c r="U366" s="8"/>
      <c r="V366" s="8"/>
      <c r="W366" s="8"/>
      <c r="X366" s="8"/>
      <c r="Y366" s="8"/>
      <c r="Z366" s="8"/>
      <c r="AA366" s="8"/>
    </row>
    <row r="367" spans="1:27" ht="12.75">
      <c r="A367" s="8"/>
      <c r="B367" s="59"/>
      <c r="C367" s="59"/>
      <c r="D367" s="59"/>
      <c r="E367" s="59"/>
      <c r="F367" s="8"/>
      <c r="G367" s="8"/>
      <c r="H367" s="8"/>
      <c r="I367" s="8"/>
      <c r="J367" s="8"/>
      <c r="K367" s="8"/>
      <c r="L367" s="8"/>
      <c r="M367" s="8"/>
      <c r="N367" s="8"/>
      <c r="O367" s="8"/>
      <c r="P367" s="8"/>
      <c r="Q367" s="8"/>
      <c r="R367" s="8"/>
      <c r="S367" s="8"/>
      <c r="T367" s="8"/>
      <c r="U367" s="8"/>
      <c r="V367" s="8"/>
      <c r="W367" s="8"/>
      <c r="X367" s="8"/>
      <c r="Y367" s="8"/>
      <c r="Z367" s="8"/>
      <c r="AA367" s="8"/>
    </row>
    <row r="368" spans="1:27" ht="12.75">
      <c r="A368" s="8"/>
      <c r="B368" s="59"/>
      <c r="C368" s="59"/>
      <c r="D368" s="59"/>
      <c r="E368" s="59"/>
      <c r="F368" s="8"/>
      <c r="G368" s="8"/>
      <c r="H368" s="8"/>
      <c r="I368" s="8"/>
      <c r="J368" s="8"/>
      <c r="K368" s="8"/>
      <c r="L368" s="8"/>
      <c r="M368" s="8"/>
      <c r="N368" s="8"/>
      <c r="O368" s="8"/>
      <c r="P368" s="8"/>
      <c r="Q368" s="8"/>
      <c r="R368" s="8"/>
      <c r="S368" s="8"/>
      <c r="T368" s="8"/>
      <c r="U368" s="8"/>
      <c r="V368" s="8"/>
      <c r="W368" s="8"/>
      <c r="X368" s="8"/>
      <c r="Y368" s="8"/>
      <c r="Z368" s="8"/>
      <c r="AA368" s="8"/>
    </row>
    <row r="369" spans="1:27" ht="12.75">
      <c r="A369" s="8"/>
      <c r="B369" s="59"/>
      <c r="C369" s="59"/>
      <c r="D369" s="59"/>
      <c r="E369" s="59"/>
      <c r="F369" s="8"/>
      <c r="G369" s="8"/>
      <c r="H369" s="8"/>
      <c r="I369" s="8"/>
      <c r="J369" s="8"/>
      <c r="K369" s="8"/>
      <c r="L369" s="8"/>
      <c r="M369" s="8"/>
      <c r="N369" s="8"/>
      <c r="O369" s="8"/>
      <c r="P369" s="8"/>
      <c r="Q369" s="8"/>
      <c r="R369" s="8"/>
      <c r="S369" s="8"/>
      <c r="T369" s="8"/>
      <c r="U369" s="8"/>
      <c r="V369" s="8"/>
      <c r="W369" s="8"/>
      <c r="X369" s="8"/>
      <c r="Y369" s="8"/>
      <c r="Z369" s="8"/>
      <c r="AA369" s="8"/>
    </row>
    <row r="370" spans="1:27" ht="12.75">
      <c r="A370" s="8"/>
      <c r="B370" s="59"/>
      <c r="C370" s="59"/>
      <c r="D370" s="59"/>
      <c r="E370" s="59"/>
      <c r="F370" s="8"/>
      <c r="G370" s="8"/>
      <c r="H370" s="8"/>
      <c r="I370" s="8"/>
      <c r="J370" s="8"/>
      <c r="K370" s="8"/>
      <c r="L370" s="8"/>
      <c r="M370" s="8"/>
      <c r="N370" s="8"/>
      <c r="O370" s="8"/>
      <c r="P370" s="8"/>
      <c r="Q370" s="8"/>
      <c r="R370" s="8"/>
      <c r="S370" s="8"/>
      <c r="T370" s="8"/>
      <c r="U370" s="8"/>
      <c r="V370" s="8"/>
      <c r="W370" s="8"/>
      <c r="X370" s="8"/>
      <c r="Y370" s="8"/>
      <c r="Z370" s="8"/>
      <c r="AA370" s="8"/>
    </row>
    <row r="371" spans="1:27" ht="12.75">
      <c r="A371" s="8"/>
      <c r="B371" s="59"/>
      <c r="C371" s="59"/>
      <c r="D371" s="59"/>
      <c r="E371" s="59"/>
      <c r="F371" s="8"/>
      <c r="G371" s="8"/>
      <c r="H371" s="8"/>
      <c r="I371" s="8"/>
      <c r="J371" s="8"/>
      <c r="K371" s="8"/>
      <c r="L371" s="8"/>
      <c r="M371" s="8"/>
      <c r="N371" s="8"/>
      <c r="O371" s="8"/>
      <c r="P371" s="8"/>
      <c r="Q371" s="8"/>
      <c r="R371" s="8"/>
      <c r="S371" s="8"/>
      <c r="T371" s="8"/>
      <c r="U371" s="8"/>
      <c r="V371" s="8"/>
      <c r="W371" s="8"/>
      <c r="X371" s="8"/>
      <c r="Y371" s="8"/>
      <c r="Z371" s="8"/>
      <c r="AA371" s="8"/>
    </row>
    <row r="372" spans="1:27" ht="12.75">
      <c r="A372" s="8"/>
      <c r="B372" s="59"/>
      <c r="C372" s="59"/>
      <c r="D372" s="59"/>
      <c r="E372" s="59"/>
      <c r="F372" s="8"/>
      <c r="G372" s="8"/>
      <c r="H372" s="8"/>
      <c r="I372" s="8"/>
      <c r="J372" s="8"/>
      <c r="K372" s="8"/>
      <c r="L372" s="8"/>
      <c r="M372" s="8"/>
      <c r="N372" s="8"/>
      <c r="O372" s="8"/>
      <c r="P372" s="8"/>
      <c r="Q372" s="8"/>
      <c r="R372" s="8"/>
      <c r="S372" s="8"/>
      <c r="T372" s="8"/>
      <c r="U372" s="8"/>
      <c r="V372" s="8"/>
      <c r="W372" s="8"/>
      <c r="X372" s="8"/>
      <c r="Y372" s="8"/>
      <c r="Z372" s="8"/>
      <c r="AA372" s="8"/>
    </row>
    <row r="373" spans="1:27" ht="12.75">
      <c r="A373" s="8"/>
      <c r="B373" s="59"/>
      <c r="C373" s="59"/>
      <c r="D373" s="59"/>
      <c r="E373" s="59"/>
      <c r="F373" s="8"/>
      <c r="G373" s="8"/>
      <c r="H373" s="8"/>
      <c r="I373" s="8"/>
      <c r="J373" s="8"/>
      <c r="K373" s="8"/>
      <c r="L373" s="8"/>
      <c r="M373" s="8"/>
      <c r="N373" s="8"/>
      <c r="O373" s="8"/>
      <c r="P373" s="8"/>
      <c r="Q373" s="8"/>
      <c r="R373" s="8"/>
      <c r="S373" s="8"/>
      <c r="T373" s="8"/>
      <c r="U373" s="8"/>
      <c r="V373" s="8"/>
      <c r="W373" s="8"/>
      <c r="X373" s="8"/>
      <c r="Y373" s="8"/>
      <c r="Z373" s="8"/>
      <c r="AA373" s="8"/>
    </row>
    <row r="374" spans="1:27" ht="12.75">
      <c r="A374" s="8"/>
      <c r="B374" s="59"/>
      <c r="C374" s="59"/>
      <c r="D374" s="59"/>
      <c r="E374" s="59"/>
      <c r="F374" s="8"/>
      <c r="G374" s="8"/>
      <c r="H374" s="8"/>
      <c r="I374" s="8"/>
      <c r="J374" s="8"/>
      <c r="K374" s="8"/>
      <c r="L374" s="8"/>
      <c r="M374" s="8"/>
      <c r="N374" s="8"/>
      <c r="O374" s="8"/>
      <c r="P374" s="8"/>
      <c r="Q374" s="8"/>
      <c r="R374" s="8"/>
      <c r="S374" s="8"/>
      <c r="T374" s="8"/>
      <c r="U374" s="8"/>
      <c r="V374" s="8"/>
      <c r="W374" s="8"/>
      <c r="X374" s="8"/>
      <c r="Y374" s="8"/>
      <c r="Z374" s="8"/>
      <c r="AA374" s="8"/>
    </row>
    <row r="375" spans="1:27" ht="12.75">
      <c r="A375" s="8"/>
      <c r="B375" s="59"/>
      <c r="C375" s="59"/>
      <c r="D375" s="59"/>
      <c r="E375" s="59"/>
      <c r="F375" s="8"/>
      <c r="G375" s="8"/>
      <c r="H375" s="8"/>
      <c r="I375" s="8"/>
      <c r="J375" s="8"/>
      <c r="K375" s="8"/>
      <c r="L375" s="8"/>
      <c r="M375" s="8"/>
      <c r="N375" s="8"/>
      <c r="O375" s="8"/>
      <c r="P375" s="8"/>
      <c r="Q375" s="8"/>
      <c r="R375" s="8"/>
      <c r="S375" s="8"/>
      <c r="T375" s="8"/>
      <c r="U375" s="8"/>
      <c r="V375" s="8"/>
      <c r="W375" s="8"/>
      <c r="X375" s="8"/>
      <c r="Y375" s="8"/>
      <c r="Z375" s="8"/>
      <c r="AA375" s="8"/>
    </row>
    <row r="376" spans="1:27" ht="12.75">
      <c r="A376" s="8"/>
      <c r="B376" s="59"/>
      <c r="C376" s="59"/>
      <c r="D376" s="59"/>
      <c r="E376" s="59"/>
      <c r="F376" s="8"/>
      <c r="G376" s="8"/>
      <c r="H376" s="8"/>
      <c r="I376" s="8"/>
      <c r="J376" s="8"/>
      <c r="K376" s="8"/>
      <c r="L376" s="8"/>
      <c r="M376" s="8"/>
      <c r="N376" s="8"/>
      <c r="O376" s="8"/>
      <c r="P376" s="8"/>
      <c r="Q376" s="8"/>
      <c r="R376" s="8"/>
      <c r="S376" s="8"/>
      <c r="T376" s="8"/>
      <c r="U376" s="8"/>
      <c r="V376" s="8"/>
      <c r="W376" s="8"/>
      <c r="X376" s="8"/>
      <c r="Y376" s="8"/>
      <c r="Z376" s="8"/>
      <c r="AA376" s="8"/>
    </row>
    <row r="377" spans="1:27" ht="12.75">
      <c r="A377" s="8"/>
      <c r="B377" s="59"/>
      <c r="C377" s="59"/>
      <c r="D377" s="59"/>
      <c r="E377" s="59"/>
      <c r="F377" s="8"/>
      <c r="G377" s="8"/>
      <c r="H377" s="8"/>
      <c r="I377" s="8"/>
      <c r="J377" s="8"/>
      <c r="K377" s="8"/>
      <c r="L377" s="8"/>
      <c r="M377" s="8"/>
      <c r="N377" s="8"/>
      <c r="O377" s="8"/>
      <c r="P377" s="8"/>
      <c r="Q377" s="8"/>
      <c r="R377" s="8"/>
      <c r="S377" s="8"/>
      <c r="T377" s="8"/>
      <c r="U377" s="8"/>
      <c r="V377" s="8"/>
      <c r="W377" s="8"/>
      <c r="X377" s="8"/>
      <c r="Y377" s="8"/>
      <c r="Z377" s="8"/>
      <c r="AA377" s="8"/>
    </row>
    <row r="378" spans="1:27" ht="12.75">
      <c r="A378" s="8"/>
      <c r="B378" s="59"/>
      <c r="C378" s="59"/>
      <c r="D378" s="59"/>
      <c r="E378" s="59"/>
      <c r="F378" s="8"/>
      <c r="G378" s="8"/>
      <c r="H378" s="8"/>
      <c r="I378" s="8"/>
      <c r="J378" s="8"/>
      <c r="K378" s="8"/>
      <c r="L378" s="8"/>
      <c r="M378" s="8"/>
      <c r="N378" s="8"/>
      <c r="O378" s="8"/>
      <c r="P378" s="8"/>
      <c r="Q378" s="8"/>
      <c r="R378" s="8"/>
      <c r="S378" s="8"/>
      <c r="T378" s="8"/>
      <c r="U378" s="8"/>
      <c r="V378" s="8"/>
      <c r="W378" s="8"/>
      <c r="X378" s="8"/>
      <c r="Y378" s="8"/>
      <c r="Z378" s="8"/>
      <c r="AA378" s="8"/>
    </row>
    <row r="379" spans="1:27" ht="12.75">
      <c r="A379" s="8"/>
      <c r="B379" s="59"/>
      <c r="C379" s="59"/>
      <c r="D379" s="59"/>
      <c r="E379" s="59"/>
      <c r="F379" s="8"/>
      <c r="G379" s="8"/>
      <c r="H379" s="8"/>
      <c r="I379" s="8"/>
      <c r="J379" s="8"/>
      <c r="K379" s="8"/>
      <c r="L379" s="8"/>
      <c r="M379" s="8"/>
      <c r="N379" s="8"/>
      <c r="O379" s="8"/>
      <c r="P379" s="8"/>
      <c r="Q379" s="8"/>
      <c r="R379" s="8"/>
      <c r="S379" s="8"/>
      <c r="T379" s="8"/>
      <c r="U379" s="8"/>
      <c r="V379" s="8"/>
      <c r="W379" s="8"/>
      <c r="X379" s="8"/>
      <c r="Y379" s="8"/>
      <c r="Z379" s="8"/>
      <c r="AA379" s="8"/>
    </row>
    <row r="380" spans="1:27" ht="12.75">
      <c r="A380" s="8"/>
      <c r="B380" s="59"/>
      <c r="C380" s="59"/>
      <c r="D380" s="59"/>
      <c r="E380" s="59"/>
      <c r="F380" s="8"/>
      <c r="G380" s="8"/>
      <c r="H380" s="8"/>
      <c r="I380" s="8"/>
      <c r="J380" s="8"/>
      <c r="K380" s="8"/>
      <c r="L380" s="8"/>
      <c r="M380" s="8"/>
      <c r="N380" s="8"/>
      <c r="O380" s="8"/>
      <c r="P380" s="8"/>
      <c r="Q380" s="8"/>
      <c r="R380" s="8"/>
      <c r="S380" s="8"/>
      <c r="T380" s="8"/>
      <c r="U380" s="8"/>
      <c r="V380" s="8"/>
      <c r="W380" s="8"/>
      <c r="X380" s="8"/>
      <c r="Y380" s="8"/>
      <c r="Z380" s="8"/>
      <c r="AA380" s="8"/>
    </row>
    <row r="381" spans="1:27" ht="12.75">
      <c r="A381" s="8"/>
      <c r="B381" s="59"/>
      <c r="C381" s="59"/>
      <c r="D381" s="59"/>
      <c r="E381" s="59"/>
      <c r="F381" s="8"/>
      <c r="G381" s="8"/>
      <c r="H381" s="8"/>
      <c r="I381" s="8"/>
      <c r="J381" s="8"/>
      <c r="K381" s="8"/>
      <c r="L381" s="8"/>
      <c r="M381" s="8"/>
      <c r="N381" s="8"/>
      <c r="O381" s="8"/>
      <c r="P381" s="8"/>
      <c r="Q381" s="8"/>
      <c r="R381" s="8"/>
      <c r="S381" s="8"/>
      <c r="T381" s="8"/>
      <c r="U381" s="8"/>
      <c r="V381" s="8"/>
      <c r="W381" s="8"/>
      <c r="X381" s="8"/>
      <c r="Y381" s="8"/>
      <c r="Z381" s="8"/>
      <c r="AA381" s="8"/>
    </row>
    <row r="382" spans="1:27" ht="12.75">
      <c r="A382" s="8"/>
      <c r="B382" s="59"/>
      <c r="C382" s="59"/>
      <c r="D382" s="59"/>
      <c r="E382" s="59"/>
      <c r="F382" s="8"/>
      <c r="G382" s="8"/>
      <c r="H382" s="8"/>
      <c r="I382" s="8"/>
      <c r="J382" s="8"/>
      <c r="K382" s="8"/>
      <c r="L382" s="8"/>
      <c r="M382" s="8"/>
      <c r="N382" s="8"/>
      <c r="O382" s="8"/>
      <c r="P382" s="8"/>
      <c r="Q382" s="8"/>
      <c r="R382" s="8"/>
      <c r="S382" s="8"/>
      <c r="T382" s="8"/>
      <c r="U382" s="8"/>
      <c r="V382" s="8"/>
      <c r="W382" s="8"/>
      <c r="X382" s="8"/>
      <c r="Y382" s="8"/>
      <c r="Z382" s="8"/>
      <c r="AA382" s="8"/>
    </row>
    <row r="383" spans="1:27" ht="12.75">
      <c r="A383" s="8"/>
      <c r="B383" s="59"/>
      <c r="C383" s="59"/>
      <c r="D383" s="59"/>
      <c r="E383" s="59"/>
      <c r="F383" s="8"/>
      <c r="G383" s="8"/>
      <c r="H383" s="8"/>
      <c r="I383" s="8"/>
      <c r="J383" s="8"/>
      <c r="K383" s="8"/>
      <c r="L383" s="8"/>
      <c r="M383" s="8"/>
      <c r="N383" s="8"/>
      <c r="O383" s="8"/>
      <c r="P383" s="8"/>
      <c r="Q383" s="8"/>
      <c r="R383" s="8"/>
      <c r="S383" s="8"/>
      <c r="T383" s="8"/>
      <c r="U383" s="8"/>
      <c r="V383" s="8"/>
      <c r="W383" s="8"/>
      <c r="X383" s="8"/>
      <c r="Y383" s="8"/>
      <c r="Z383" s="8"/>
      <c r="AA383" s="8"/>
    </row>
    <row r="384" spans="1:27" ht="12.75">
      <c r="A384" s="8"/>
      <c r="B384" s="59"/>
      <c r="C384" s="59"/>
      <c r="D384" s="59"/>
      <c r="E384" s="59"/>
      <c r="F384" s="8"/>
      <c r="G384" s="8"/>
      <c r="H384" s="8"/>
      <c r="I384" s="8"/>
      <c r="J384" s="8"/>
      <c r="K384" s="8"/>
      <c r="L384" s="8"/>
      <c r="M384" s="8"/>
      <c r="N384" s="8"/>
      <c r="O384" s="8"/>
      <c r="P384" s="8"/>
      <c r="Q384" s="8"/>
      <c r="R384" s="8"/>
      <c r="S384" s="8"/>
      <c r="T384" s="8"/>
      <c r="U384" s="8"/>
      <c r="V384" s="8"/>
      <c r="W384" s="8"/>
      <c r="X384" s="8"/>
      <c r="Y384" s="8"/>
      <c r="Z384" s="8"/>
      <c r="AA384" s="8"/>
    </row>
    <row r="385" spans="1:27" ht="12.75">
      <c r="A385" s="8"/>
      <c r="B385" s="59"/>
      <c r="C385" s="59"/>
      <c r="D385" s="59"/>
      <c r="E385" s="59"/>
      <c r="F385" s="8"/>
      <c r="G385" s="8"/>
      <c r="H385" s="8"/>
      <c r="I385" s="8"/>
      <c r="J385" s="8"/>
      <c r="K385" s="8"/>
      <c r="L385" s="8"/>
      <c r="M385" s="8"/>
      <c r="N385" s="8"/>
      <c r="O385" s="8"/>
      <c r="P385" s="8"/>
      <c r="Q385" s="8"/>
      <c r="R385" s="8"/>
      <c r="S385" s="8"/>
      <c r="T385" s="8"/>
      <c r="U385" s="8"/>
      <c r="V385" s="8"/>
      <c r="W385" s="8"/>
      <c r="X385" s="8"/>
      <c r="Y385" s="8"/>
      <c r="Z385" s="8"/>
      <c r="AA385" s="8"/>
    </row>
    <row r="386" spans="1:27" ht="12.75">
      <c r="A386" s="8"/>
      <c r="B386" s="59"/>
      <c r="C386" s="59"/>
      <c r="D386" s="59"/>
      <c r="E386" s="59"/>
      <c r="F386" s="8"/>
      <c r="G386" s="8"/>
      <c r="H386" s="8"/>
      <c r="I386" s="8"/>
      <c r="J386" s="8"/>
      <c r="K386" s="8"/>
      <c r="L386" s="8"/>
      <c r="M386" s="8"/>
      <c r="N386" s="8"/>
      <c r="O386" s="8"/>
      <c r="P386" s="8"/>
      <c r="Q386" s="8"/>
      <c r="R386" s="8"/>
      <c r="S386" s="8"/>
      <c r="T386" s="8"/>
      <c r="U386" s="8"/>
      <c r="V386" s="8"/>
      <c r="W386" s="8"/>
      <c r="X386" s="8"/>
      <c r="Y386" s="8"/>
      <c r="Z386" s="8"/>
      <c r="AA386" s="8"/>
    </row>
    <row r="387" spans="1:27" ht="12.75">
      <c r="A387" s="8"/>
      <c r="B387" s="59"/>
      <c r="C387" s="59"/>
      <c r="D387" s="59"/>
      <c r="E387" s="59"/>
      <c r="F387" s="8"/>
      <c r="G387" s="8"/>
      <c r="H387" s="8"/>
      <c r="I387" s="8"/>
      <c r="J387" s="8"/>
      <c r="K387" s="8"/>
      <c r="L387" s="8"/>
      <c r="M387" s="8"/>
      <c r="N387" s="8"/>
      <c r="O387" s="8"/>
      <c r="P387" s="8"/>
      <c r="Q387" s="8"/>
      <c r="R387" s="8"/>
      <c r="S387" s="8"/>
      <c r="T387" s="8"/>
      <c r="U387" s="8"/>
      <c r="V387" s="8"/>
      <c r="W387" s="8"/>
      <c r="X387" s="8"/>
      <c r="Y387" s="8"/>
      <c r="Z387" s="8"/>
      <c r="AA387" s="8"/>
    </row>
    <row r="388" spans="1:27" ht="12.75">
      <c r="A388" s="8"/>
      <c r="B388" s="59"/>
      <c r="C388" s="59"/>
      <c r="D388" s="59"/>
      <c r="E388" s="59"/>
      <c r="F388" s="8"/>
      <c r="G388" s="8"/>
      <c r="H388" s="8"/>
      <c r="I388" s="8"/>
      <c r="J388" s="8"/>
      <c r="K388" s="8"/>
      <c r="L388" s="8"/>
      <c r="M388" s="8"/>
      <c r="N388" s="8"/>
      <c r="O388" s="8"/>
      <c r="P388" s="8"/>
      <c r="Q388" s="8"/>
      <c r="R388" s="8"/>
      <c r="S388" s="8"/>
      <c r="T388" s="8"/>
      <c r="U388" s="8"/>
      <c r="V388" s="8"/>
      <c r="W388" s="8"/>
      <c r="X388" s="8"/>
      <c r="Y388" s="8"/>
      <c r="Z388" s="8"/>
      <c r="AA388" s="8"/>
    </row>
    <row r="389" spans="1:27" ht="12.75">
      <c r="A389" s="8"/>
      <c r="B389" s="59"/>
      <c r="C389" s="59"/>
      <c r="D389" s="59"/>
      <c r="E389" s="59"/>
      <c r="F389" s="8"/>
      <c r="G389" s="8"/>
      <c r="H389" s="8"/>
      <c r="I389" s="8"/>
      <c r="J389" s="8"/>
      <c r="K389" s="8"/>
      <c r="L389" s="8"/>
      <c r="M389" s="8"/>
      <c r="N389" s="8"/>
      <c r="O389" s="8"/>
      <c r="P389" s="8"/>
      <c r="Q389" s="8"/>
      <c r="R389" s="8"/>
      <c r="S389" s="8"/>
      <c r="T389" s="8"/>
      <c r="U389" s="8"/>
      <c r="V389" s="8"/>
      <c r="W389" s="8"/>
      <c r="X389" s="8"/>
      <c r="Y389" s="8"/>
      <c r="Z389" s="8"/>
      <c r="AA389" s="8"/>
    </row>
    <row r="390" spans="1:27" ht="12.75">
      <c r="A390" s="8"/>
      <c r="B390" s="59"/>
      <c r="C390" s="59"/>
      <c r="D390" s="59"/>
      <c r="E390" s="59"/>
      <c r="F390" s="8"/>
      <c r="G390" s="8"/>
      <c r="H390" s="8"/>
      <c r="I390" s="8"/>
      <c r="J390" s="8"/>
      <c r="K390" s="8"/>
      <c r="L390" s="8"/>
      <c r="M390" s="8"/>
      <c r="N390" s="8"/>
      <c r="O390" s="8"/>
      <c r="P390" s="8"/>
      <c r="Q390" s="8"/>
      <c r="R390" s="8"/>
      <c r="S390" s="8"/>
      <c r="T390" s="8"/>
      <c r="U390" s="8"/>
      <c r="V390" s="8"/>
      <c r="W390" s="8"/>
      <c r="X390" s="8"/>
      <c r="Y390" s="8"/>
      <c r="Z390" s="8"/>
      <c r="AA390" s="8"/>
    </row>
    <row r="391" spans="1:27" ht="12.75">
      <c r="A391" s="8"/>
      <c r="B391" s="59"/>
      <c r="C391" s="59"/>
      <c r="D391" s="59"/>
      <c r="E391" s="59"/>
      <c r="F391" s="8"/>
      <c r="G391" s="8"/>
      <c r="H391" s="8"/>
      <c r="I391" s="8"/>
      <c r="J391" s="8"/>
      <c r="K391" s="8"/>
      <c r="L391" s="8"/>
      <c r="M391" s="8"/>
      <c r="N391" s="8"/>
      <c r="O391" s="8"/>
      <c r="P391" s="8"/>
      <c r="Q391" s="8"/>
      <c r="R391" s="8"/>
      <c r="S391" s="8"/>
      <c r="T391" s="8"/>
      <c r="U391" s="8"/>
      <c r="V391" s="8"/>
      <c r="W391" s="8"/>
      <c r="X391" s="8"/>
      <c r="Y391" s="8"/>
      <c r="Z391" s="8"/>
      <c r="AA391" s="8"/>
    </row>
    <row r="392" spans="1:27" ht="12.75">
      <c r="A392" s="8"/>
      <c r="B392" s="59"/>
      <c r="C392" s="59"/>
      <c r="D392" s="59"/>
      <c r="E392" s="59"/>
      <c r="F392" s="8"/>
      <c r="G392" s="8"/>
      <c r="H392" s="8"/>
      <c r="I392" s="8"/>
      <c r="J392" s="8"/>
      <c r="K392" s="8"/>
      <c r="L392" s="8"/>
      <c r="M392" s="8"/>
      <c r="N392" s="8"/>
      <c r="O392" s="8"/>
      <c r="P392" s="8"/>
      <c r="Q392" s="8"/>
      <c r="R392" s="8"/>
      <c r="S392" s="8"/>
      <c r="T392" s="8"/>
      <c r="U392" s="8"/>
      <c r="V392" s="8"/>
      <c r="W392" s="8"/>
      <c r="X392" s="8"/>
      <c r="Y392" s="8"/>
      <c r="Z392" s="8"/>
      <c r="AA392" s="8"/>
    </row>
    <row r="393" spans="1:27" ht="12.75">
      <c r="A393" s="8"/>
      <c r="B393" s="59"/>
      <c r="C393" s="59"/>
      <c r="D393" s="59"/>
      <c r="E393" s="59"/>
      <c r="F393" s="8"/>
      <c r="G393" s="8"/>
      <c r="H393" s="8"/>
      <c r="I393" s="8"/>
      <c r="J393" s="8"/>
      <c r="K393" s="8"/>
      <c r="L393" s="8"/>
      <c r="M393" s="8"/>
      <c r="N393" s="8"/>
      <c r="O393" s="8"/>
      <c r="P393" s="8"/>
      <c r="Q393" s="8"/>
      <c r="R393" s="8"/>
      <c r="S393" s="8"/>
      <c r="T393" s="8"/>
      <c r="U393" s="8"/>
      <c r="V393" s="8"/>
      <c r="W393" s="8"/>
      <c r="X393" s="8"/>
      <c r="Y393" s="8"/>
      <c r="Z393" s="8"/>
      <c r="AA393" s="8"/>
    </row>
    <row r="394" spans="1:27" ht="12.75">
      <c r="A394" s="8"/>
      <c r="B394" s="59"/>
      <c r="C394" s="59"/>
      <c r="D394" s="59"/>
      <c r="E394" s="59"/>
      <c r="F394" s="8"/>
      <c r="G394" s="8"/>
      <c r="H394" s="8"/>
      <c r="I394" s="8"/>
      <c r="J394" s="8"/>
      <c r="K394" s="8"/>
      <c r="L394" s="8"/>
      <c r="M394" s="8"/>
      <c r="N394" s="8"/>
      <c r="O394" s="8"/>
      <c r="P394" s="8"/>
      <c r="Q394" s="8"/>
      <c r="R394" s="8"/>
      <c r="S394" s="8"/>
      <c r="T394" s="8"/>
      <c r="U394" s="8"/>
      <c r="V394" s="8"/>
      <c r="W394" s="8"/>
      <c r="X394" s="8"/>
      <c r="Y394" s="8"/>
      <c r="Z394" s="8"/>
      <c r="AA394" s="8"/>
    </row>
    <row r="395" spans="1:27" ht="12.75">
      <c r="A395" s="8"/>
      <c r="B395" s="59"/>
      <c r="C395" s="59"/>
      <c r="D395" s="59"/>
      <c r="E395" s="59"/>
      <c r="F395" s="8"/>
      <c r="G395" s="8"/>
      <c r="H395" s="8"/>
      <c r="I395" s="8"/>
      <c r="J395" s="8"/>
      <c r="K395" s="8"/>
      <c r="L395" s="8"/>
      <c r="M395" s="8"/>
      <c r="N395" s="8"/>
      <c r="O395" s="8"/>
      <c r="P395" s="8"/>
      <c r="Q395" s="8"/>
      <c r="R395" s="8"/>
      <c r="S395" s="8"/>
      <c r="T395" s="8"/>
      <c r="U395" s="8"/>
      <c r="V395" s="8"/>
      <c r="W395" s="8"/>
      <c r="X395" s="8"/>
      <c r="Y395" s="8"/>
      <c r="Z395" s="8"/>
      <c r="AA395" s="8"/>
    </row>
    <row r="396" spans="1:27" ht="12.75">
      <c r="A396" s="8"/>
      <c r="B396" s="59"/>
      <c r="C396" s="59"/>
      <c r="D396" s="59"/>
      <c r="E396" s="59"/>
      <c r="F396" s="8"/>
      <c r="G396" s="8"/>
      <c r="H396" s="8"/>
      <c r="I396" s="8"/>
      <c r="J396" s="8"/>
      <c r="K396" s="8"/>
      <c r="L396" s="8"/>
      <c r="M396" s="8"/>
      <c r="N396" s="8"/>
      <c r="O396" s="8"/>
      <c r="P396" s="8"/>
      <c r="Q396" s="8"/>
      <c r="R396" s="8"/>
      <c r="S396" s="8"/>
      <c r="T396" s="8"/>
      <c r="U396" s="8"/>
      <c r="V396" s="8"/>
      <c r="W396" s="8"/>
      <c r="X396" s="8"/>
      <c r="Y396" s="8"/>
      <c r="Z396" s="8"/>
      <c r="AA396" s="8"/>
    </row>
    <row r="397" spans="1:27" ht="12.75">
      <c r="A397" s="8"/>
      <c r="B397" s="59"/>
      <c r="C397" s="59"/>
      <c r="D397" s="59"/>
      <c r="E397" s="59"/>
      <c r="F397" s="8"/>
      <c r="G397" s="8"/>
      <c r="H397" s="8"/>
      <c r="I397" s="8"/>
      <c r="J397" s="8"/>
      <c r="K397" s="8"/>
      <c r="L397" s="8"/>
      <c r="M397" s="8"/>
      <c r="N397" s="8"/>
      <c r="O397" s="8"/>
      <c r="P397" s="8"/>
      <c r="Q397" s="8"/>
      <c r="R397" s="8"/>
      <c r="S397" s="8"/>
      <c r="T397" s="8"/>
      <c r="U397" s="8"/>
      <c r="V397" s="8"/>
      <c r="W397" s="8"/>
      <c r="X397" s="8"/>
      <c r="Y397" s="8"/>
      <c r="Z397" s="8"/>
      <c r="AA397" s="8"/>
    </row>
    <row r="398" spans="1:27" ht="12.75">
      <c r="A398" s="8"/>
      <c r="B398" s="59"/>
      <c r="C398" s="59"/>
      <c r="D398" s="59"/>
      <c r="E398" s="59"/>
      <c r="F398" s="8"/>
      <c r="G398" s="8"/>
      <c r="H398" s="8"/>
      <c r="I398" s="8"/>
      <c r="J398" s="8"/>
      <c r="K398" s="8"/>
      <c r="L398" s="8"/>
      <c r="M398" s="8"/>
      <c r="N398" s="8"/>
      <c r="O398" s="8"/>
      <c r="P398" s="8"/>
      <c r="Q398" s="8"/>
      <c r="R398" s="8"/>
      <c r="S398" s="8"/>
      <c r="T398" s="8"/>
      <c r="U398" s="8"/>
      <c r="V398" s="8"/>
      <c r="W398" s="8"/>
      <c r="X398" s="8"/>
      <c r="Y398" s="8"/>
      <c r="Z398" s="8"/>
      <c r="AA398" s="8"/>
    </row>
    <row r="399" spans="1:27" ht="12.75">
      <c r="A399" s="8"/>
      <c r="B399" s="59"/>
      <c r="C399" s="59"/>
      <c r="D399" s="59"/>
      <c r="E399" s="59"/>
      <c r="F399" s="8"/>
      <c r="G399" s="8"/>
      <c r="H399" s="8"/>
      <c r="I399" s="8"/>
      <c r="J399" s="8"/>
      <c r="K399" s="8"/>
      <c r="L399" s="8"/>
      <c r="M399" s="8"/>
      <c r="N399" s="8"/>
      <c r="O399" s="8"/>
      <c r="P399" s="8"/>
      <c r="Q399" s="8"/>
      <c r="R399" s="8"/>
      <c r="S399" s="8"/>
      <c r="T399" s="8"/>
      <c r="U399" s="8"/>
      <c r="V399" s="8"/>
      <c r="W399" s="8"/>
      <c r="X399" s="8"/>
      <c r="Y399" s="8"/>
      <c r="Z399" s="8"/>
      <c r="AA399" s="8"/>
    </row>
    <row r="400" spans="1:27" ht="12.75">
      <c r="A400" s="8"/>
      <c r="B400" s="59"/>
      <c r="C400" s="59"/>
      <c r="D400" s="59"/>
      <c r="E400" s="59"/>
      <c r="F400" s="8"/>
      <c r="G400" s="8"/>
      <c r="H400" s="8"/>
      <c r="I400" s="8"/>
      <c r="J400" s="8"/>
      <c r="K400" s="8"/>
      <c r="L400" s="8"/>
      <c r="M400" s="8"/>
      <c r="N400" s="8"/>
      <c r="O400" s="8"/>
      <c r="P400" s="8"/>
      <c r="Q400" s="8"/>
      <c r="R400" s="8"/>
      <c r="S400" s="8"/>
      <c r="T400" s="8"/>
      <c r="U400" s="8"/>
      <c r="V400" s="8"/>
      <c r="W400" s="8"/>
      <c r="X400" s="8"/>
      <c r="Y400" s="8"/>
      <c r="Z400" s="8"/>
      <c r="AA400" s="8"/>
    </row>
    <row r="401" spans="1:27" ht="12.75">
      <c r="A401" s="8"/>
      <c r="B401" s="59"/>
      <c r="C401" s="59"/>
      <c r="D401" s="59"/>
      <c r="E401" s="59"/>
      <c r="F401" s="8"/>
      <c r="G401" s="8"/>
      <c r="H401" s="8"/>
      <c r="I401" s="8"/>
      <c r="J401" s="8"/>
      <c r="K401" s="8"/>
      <c r="L401" s="8"/>
      <c r="M401" s="8"/>
      <c r="N401" s="8"/>
      <c r="O401" s="8"/>
      <c r="P401" s="8"/>
      <c r="Q401" s="8"/>
      <c r="R401" s="8"/>
      <c r="S401" s="8"/>
      <c r="T401" s="8"/>
      <c r="U401" s="8"/>
      <c r="V401" s="8"/>
      <c r="W401" s="8"/>
      <c r="X401" s="8"/>
      <c r="Y401" s="8"/>
      <c r="Z401" s="8"/>
      <c r="AA401" s="8"/>
    </row>
    <row r="402" spans="1:27" ht="12.75">
      <c r="A402" s="8"/>
      <c r="B402" s="59"/>
      <c r="C402" s="59"/>
      <c r="D402" s="59"/>
      <c r="E402" s="59"/>
      <c r="F402" s="8"/>
      <c r="G402" s="8"/>
      <c r="H402" s="8"/>
      <c r="I402" s="8"/>
      <c r="J402" s="8"/>
      <c r="K402" s="8"/>
      <c r="L402" s="8"/>
      <c r="M402" s="8"/>
      <c r="N402" s="8"/>
      <c r="O402" s="8"/>
      <c r="P402" s="8"/>
      <c r="Q402" s="8"/>
      <c r="R402" s="8"/>
      <c r="S402" s="8"/>
      <c r="T402" s="8"/>
      <c r="U402" s="8"/>
      <c r="V402" s="8"/>
      <c r="W402" s="8"/>
      <c r="X402" s="8"/>
      <c r="Y402" s="8"/>
      <c r="Z402" s="8"/>
      <c r="AA402" s="8"/>
    </row>
    <row r="403" spans="1:27" ht="12.75">
      <c r="A403" s="8"/>
      <c r="B403" s="59"/>
      <c r="C403" s="59"/>
      <c r="D403" s="59"/>
      <c r="E403" s="59"/>
      <c r="F403" s="8"/>
      <c r="G403" s="8"/>
      <c r="H403" s="8"/>
      <c r="I403" s="8"/>
      <c r="J403" s="8"/>
      <c r="K403" s="8"/>
      <c r="L403" s="8"/>
      <c r="M403" s="8"/>
      <c r="N403" s="8"/>
      <c r="O403" s="8"/>
      <c r="P403" s="8"/>
      <c r="Q403" s="8"/>
      <c r="R403" s="8"/>
      <c r="S403" s="8"/>
      <c r="T403" s="8"/>
      <c r="U403" s="8"/>
      <c r="V403" s="8"/>
      <c r="W403" s="8"/>
      <c r="X403" s="8"/>
      <c r="Y403" s="8"/>
      <c r="Z403" s="8"/>
      <c r="AA403" s="8"/>
    </row>
    <row r="404" spans="1:27" ht="12.75">
      <c r="A404" s="8"/>
      <c r="B404" s="59"/>
      <c r="C404" s="59"/>
      <c r="D404" s="59"/>
      <c r="E404" s="59"/>
      <c r="F404" s="8"/>
      <c r="G404" s="8"/>
      <c r="H404" s="8"/>
      <c r="I404" s="8"/>
      <c r="J404" s="8"/>
      <c r="K404" s="8"/>
      <c r="L404" s="8"/>
      <c r="M404" s="8"/>
      <c r="N404" s="8"/>
      <c r="O404" s="8"/>
      <c r="P404" s="8"/>
      <c r="Q404" s="8"/>
      <c r="R404" s="8"/>
      <c r="S404" s="8"/>
      <c r="T404" s="8"/>
      <c r="U404" s="8"/>
      <c r="V404" s="8"/>
      <c r="W404" s="8"/>
      <c r="X404" s="8"/>
      <c r="Y404" s="8"/>
      <c r="Z404" s="8"/>
      <c r="AA404" s="8"/>
    </row>
    <row r="405" spans="1:27" ht="12.75">
      <c r="A405" s="8"/>
      <c r="B405" s="59"/>
      <c r="C405" s="59"/>
      <c r="D405" s="59"/>
      <c r="E405" s="59"/>
      <c r="F405" s="8"/>
      <c r="G405" s="8"/>
      <c r="H405" s="8"/>
      <c r="I405" s="8"/>
      <c r="J405" s="8"/>
      <c r="K405" s="8"/>
      <c r="L405" s="8"/>
      <c r="M405" s="8"/>
      <c r="N405" s="8"/>
      <c r="O405" s="8"/>
      <c r="P405" s="8"/>
      <c r="Q405" s="8"/>
      <c r="R405" s="8"/>
      <c r="S405" s="8"/>
      <c r="T405" s="8"/>
      <c r="U405" s="8"/>
      <c r="V405" s="8"/>
      <c r="W405" s="8"/>
      <c r="X405" s="8"/>
      <c r="Y405" s="8"/>
      <c r="Z405" s="8"/>
      <c r="AA405" s="8"/>
    </row>
    <row r="406" spans="1:27" ht="12.75">
      <c r="A406" s="8"/>
      <c r="B406" s="59"/>
      <c r="C406" s="59"/>
      <c r="D406" s="59"/>
      <c r="E406" s="59"/>
      <c r="F406" s="8"/>
      <c r="G406" s="8"/>
      <c r="H406" s="8"/>
      <c r="I406" s="8"/>
      <c r="J406" s="8"/>
      <c r="K406" s="8"/>
      <c r="L406" s="8"/>
      <c r="M406" s="8"/>
      <c r="N406" s="8"/>
      <c r="O406" s="8"/>
      <c r="P406" s="8"/>
      <c r="Q406" s="8"/>
      <c r="R406" s="8"/>
      <c r="S406" s="8"/>
      <c r="T406" s="8"/>
      <c r="U406" s="8"/>
      <c r="V406" s="8"/>
      <c r="W406" s="8"/>
      <c r="X406" s="8"/>
      <c r="Y406" s="8"/>
      <c r="Z406" s="8"/>
      <c r="AA406" s="8"/>
    </row>
    <row r="407" spans="1:27" ht="12.75">
      <c r="A407" s="8"/>
      <c r="B407" s="59"/>
      <c r="C407" s="59"/>
      <c r="D407" s="59"/>
      <c r="E407" s="59"/>
      <c r="F407" s="8"/>
      <c r="G407" s="8"/>
      <c r="H407" s="8"/>
      <c r="I407" s="8"/>
      <c r="J407" s="8"/>
      <c r="K407" s="8"/>
      <c r="L407" s="8"/>
      <c r="M407" s="8"/>
      <c r="N407" s="8"/>
      <c r="O407" s="8"/>
      <c r="P407" s="8"/>
      <c r="Q407" s="8"/>
      <c r="R407" s="8"/>
      <c r="S407" s="8"/>
      <c r="T407" s="8"/>
      <c r="U407" s="8"/>
      <c r="V407" s="8"/>
      <c r="W407" s="8"/>
      <c r="X407" s="8"/>
      <c r="Y407" s="8"/>
      <c r="Z407" s="8"/>
      <c r="AA407" s="8"/>
    </row>
    <row r="408" spans="1:27" ht="12.75">
      <c r="A408" s="8"/>
      <c r="B408" s="59"/>
      <c r="C408" s="59"/>
      <c r="D408" s="59"/>
      <c r="E408" s="59"/>
      <c r="F408" s="8"/>
      <c r="G408" s="8"/>
      <c r="H408" s="8"/>
      <c r="I408" s="8"/>
      <c r="J408" s="8"/>
      <c r="K408" s="8"/>
      <c r="L408" s="8"/>
      <c r="M408" s="8"/>
      <c r="N408" s="8"/>
      <c r="O408" s="8"/>
      <c r="P408" s="8"/>
      <c r="Q408" s="8"/>
      <c r="R408" s="8"/>
      <c r="S408" s="8"/>
      <c r="T408" s="8"/>
      <c r="U408" s="8"/>
      <c r="V408" s="8"/>
      <c r="W408" s="8"/>
      <c r="X408" s="8"/>
      <c r="Y408" s="8"/>
      <c r="Z408" s="8"/>
      <c r="AA408" s="8"/>
    </row>
    <row r="409" spans="1:27" ht="12.75">
      <c r="A409" s="8"/>
      <c r="B409" s="59"/>
      <c r="C409" s="59"/>
      <c r="D409" s="59"/>
      <c r="E409" s="59"/>
      <c r="F409" s="8"/>
      <c r="G409" s="8"/>
      <c r="H409" s="8"/>
      <c r="I409" s="8"/>
      <c r="J409" s="8"/>
      <c r="K409" s="8"/>
      <c r="L409" s="8"/>
      <c r="M409" s="8"/>
      <c r="N409" s="8"/>
      <c r="O409" s="8"/>
      <c r="P409" s="8"/>
      <c r="Q409" s="8"/>
      <c r="R409" s="8"/>
      <c r="S409" s="8"/>
      <c r="T409" s="8"/>
      <c r="U409" s="8"/>
      <c r="V409" s="8"/>
      <c r="W409" s="8"/>
      <c r="X409" s="8"/>
      <c r="Y409" s="8"/>
      <c r="Z409" s="8"/>
      <c r="AA409" s="8"/>
    </row>
    <row r="410" spans="1:27" ht="12.75">
      <c r="A410" s="8"/>
      <c r="B410" s="59"/>
      <c r="C410" s="59"/>
      <c r="D410" s="59"/>
      <c r="E410" s="59"/>
      <c r="F410" s="8"/>
      <c r="G410" s="8"/>
      <c r="H410" s="8"/>
      <c r="I410" s="8"/>
      <c r="J410" s="8"/>
      <c r="K410" s="8"/>
      <c r="L410" s="8"/>
      <c r="M410" s="8"/>
      <c r="N410" s="8"/>
      <c r="O410" s="8"/>
      <c r="P410" s="8"/>
      <c r="Q410" s="8"/>
      <c r="R410" s="8"/>
      <c r="S410" s="8"/>
      <c r="T410" s="8"/>
      <c r="U410" s="8"/>
      <c r="V410" s="8"/>
      <c r="W410" s="8"/>
      <c r="X410" s="8"/>
      <c r="Y410" s="8"/>
      <c r="Z410" s="8"/>
      <c r="AA410" s="8"/>
    </row>
    <row r="411" spans="1:27" ht="12.75">
      <c r="A411" s="8"/>
      <c r="B411" s="59"/>
      <c r="C411" s="59"/>
      <c r="D411" s="59"/>
      <c r="E411" s="59"/>
      <c r="F411" s="8"/>
      <c r="G411" s="8"/>
      <c r="H411" s="8"/>
      <c r="I411" s="8"/>
      <c r="J411" s="8"/>
      <c r="K411" s="8"/>
      <c r="L411" s="8"/>
      <c r="M411" s="8"/>
      <c r="N411" s="8"/>
      <c r="O411" s="8"/>
      <c r="P411" s="8"/>
      <c r="Q411" s="8"/>
      <c r="R411" s="8"/>
      <c r="S411" s="8"/>
      <c r="T411" s="8"/>
      <c r="U411" s="8"/>
      <c r="V411" s="8"/>
      <c r="W411" s="8"/>
      <c r="X411" s="8"/>
      <c r="Y411" s="8"/>
      <c r="Z411" s="8"/>
      <c r="AA411" s="8"/>
    </row>
    <row r="412" spans="1:27" ht="12.75">
      <c r="A412" s="8"/>
      <c r="B412" s="59"/>
      <c r="C412" s="59"/>
      <c r="D412" s="59"/>
      <c r="E412" s="59"/>
      <c r="F412" s="8"/>
      <c r="G412" s="8"/>
      <c r="H412" s="8"/>
      <c r="I412" s="8"/>
      <c r="J412" s="8"/>
      <c r="K412" s="8"/>
      <c r="L412" s="8"/>
      <c r="M412" s="8"/>
      <c r="N412" s="8"/>
      <c r="O412" s="8"/>
      <c r="P412" s="8"/>
      <c r="Q412" s="8"/>
      <c r="R412" s="8"/>
      <c r="S412" s="8"/>
      <c r="T412" s="8"/>
      <c r="U412" s="8"/>
      <c r="V412" s="8"/>
      <c r="W412" s="8"/>
      <c r="X412" s="8"/>
      <c r="Y412" s="8"/>
      <c r="Z412" s="8"/>
      <c r="AA412" s="8"/>
    </row>
    <row r="413" spans="1:27" ht="12.75">
      <c r="A413" s="8"/>
      <c r="B413" s="59"/>
      <c r="C413" s="59"/>
      <c r="D413" s="59"/>
      <c r="E413" s="59"/>
      <c r="F413" s="8"/>
      <c r="G413" s="8"/>
      <c r="H413" s="8"/>
      <c r="I413" s="8"/>
      <c r="J413" s="8"/>
      <c r="K413" s="8"/>
      <c r="L413" s="8"/>
      <c r="M413" s="8"/>
      <c r="N413" s="8"/>
      <c r="O413" s="8"/>
      <c r="P413" s="8"/>
      <c r="Q413" s="8"/>
      <c r="R413" s="8"/>
      <c r="S413" s="8"/>
      <c r="T413" s="8"/>
      <c r="U413" s="8"/>
      <c r="V413" s="8"/>
      <c r="W413" s="8"/>
      <c r="X413" s="8"/>
      <c r="Y413" s="8"/>
      <c r="Z413" s="8"/>
      <c r="AA413" s="8"/>
    </row>
    <row r="414" spans="1:27" ht="12.75">
      <c r="A414" s="8"/>
      <c r="B414" s="59"/>
      <c r="C414" s="59"/>
      <c r="D414" s="59"/>
      <c r="E414" s="59"/>
      <c r="F414" s="8"/>
      <c r="G414" s="8"/>
      <c r="H414" s="8"/>
      <c r="I414" s="8"/>
      <c r="J414" s="8"/>
      <c r="K414" s="8"/>
      <c r="L414" s="8"/>
      <c r="M414" s="8"/>
      <c r="N414" s="8"/>
      <c r="O414" s="8"/>
      <c r="P414" s="8"/>
      <c r="Q414" s="8"/>
      <c r="R414" s="8"/>
      <c r="S414" s="8"/>
      <c r="T414" s="8"/>
      <c r="U414" s="8"/>
      <c r="V414" s="8"/>
      <c r="W414" s="8"/>
      <c r="X414" s="8"/>
      <c r="Y414" s="8"/>
      <c r="Z414" s="8"/>
      <c r="AA414" s="8"/>
    </row>
    <row r="415" spans="1:27" ht="12.75">
      <c r="A415" s="8"/>
      <c r="B415" s="59"/>
      <c r="C415" s="59"/>
      <c r="D415" s="59"/>
      <c r="E415" s="59"/>
      <c r="F415" s="8"/>
      <c r="G415" s="8"/>
      <c r="H415" s="8"/>
      <c r="I415" s="8"/>
      <c r="J415" s="8"/>
      <c r="K415" s="8"/>
      <c r="L415" s="8"/>
      <c r="M415" s="8"/>
      <c r="N415" s="8"/>
      <c r="O415" s="8"/>
      <c r="P415" s="8"/>
      <c r="Q415" s="8"/>
      <c r="R415" s="8"/>
      <c r="S415" s="8"/>
      <c r="T415" s="8"/>
      <c r="U415" s="8"/>
      <c r="V415" s="8"/>
      <c r="W415" s="8"/>
      <c r="X415" s="8"/>
      <c r="Y415" s="8"/>
      <c r="Z415" s="8"/>
      <c r="AA415" s="8"/>
    </row>
    <row r="416" spans="1:27" ht="12.75">
      <c r="A416" s="8"/>
      <c r="B416" s="59"/>
      <c r="C416" s="59"/>
      <c r="D416" s="59"/>
      <c r="E416" s="59"/>
      <c r="F416" s="8"/>
      <c r="G416" s="8"/>
      <c r="H416" s="8"/>
      <c r="I416" s="8"/>
      <c r="J416" s="8"/>
      <c r="K416" s="8"/>
      <c r="L416" s="8"/>
      <c r="M416" s="8"/>
      <c r="N416" s="8"/>
      <c r="O416" s="8"/>
      <c r="P416" s="8"/>
      <c r="Q416" s="8"/>
      <c r="R416" s="8"/>
      <c r="S416" s="8"/>
      <c r="T416" s="8"/>
      <c r="U416" s="8"/>
      <c r="V416" s="8"/>
      <c r="W416" s="8"/>
      <c r="X416" s="8"/>
      <c r="Y416" s="8"/>
      <c r="Z416" s="8"/>
      <c r="AA416" s="8"/>
    </row>
    <row r="417" spans="1:27" ht="12.75">
      <c r="A417" s="8"/>
      <c r="B417" s="59"/>
      <c r="C417" s="59"/>
      <c r="D417" s="59"/>
      <c r="E417" s="59"/>
      <c r="F417" s="8"/>
      <c r="G417" s="8"/>
      <c r="H417" s="8"/>
      <c r="I417" s="8"/>
      <c r="J417" s="8"/>
      <c r="K417" s="8"/>
      <c r="L417" s="8"/>
      <c r="M417" s="8"/>
      <c r="N417" s="8"/>
      <c r="O417" s="8"/>
      <c r="P417" s="8"/>
      <c r="Q417" s="8"/>
      <c r="R417" s="8"/>
      <c r="S417" s="8"/>
      <c r="T417" s="8"/>
      <c r="U417" s="8"/>
      <c r="V417" s="8"/>
      <c r="W417" s="8"/>
      <c r="X417" s="8"/>
      <c r="Y417" s="8"/>
      <c r="Z417" s="8"/>
      <c r="AA417" s="8"/>
    </row>
    <row r="418" spans="1:27" ht="12.75">
      <c r="A418" s="8"/>
      <c r="B418" s="59"/>
      <c r="C418" s="59"/>
      <c r="D418" s="59"/>
      <c r="E418" s="59"/>
      <c r="F418" s="8"/>
      <c r="G418" s="8"/>
      <c r="H418" s="8"/>
      <c r="I418" s="8"/>
      <c r="J418" s="8"/>
      <c r="K418" s="8"/>
      <c r="L418" s="8"/>
      <c r="M418" s="8"/>
      <c r="N418" s="8"/>
      <c r="O418" s="8"/>
      <c r="P418" s="8"/>
      <c r="Q418" s="8"/>
      <c r="R418" s="8"/>
      <c r="S418" s="8"/>
      <c r="T418" s="8"/>
      <c r="U418" s="8"/>
      <c r="V418" s="8"/>
      <c r="W418" s="8"/>
      <c r="X418" s="8"/>
      <c r="Y418" s="8"/>
      <c r="Z418" s="8"/>
      <c r="AA418" s="8"/>
    </row>
    <row r="419" spans="1:27" ht="12.75">
      <c r="A419" s="8"/>
      <c r="B419" s="59"/>
      <c r="C419" s="59"/>
      <c r="D419" s="59"/>
      <c r="E419" s="59"/>
      <c r="F419" s="8"/>
      <c r="G419" s="8"/>
      <c r="H419" s="8"/>
      <c r="I419" s="8"/>
      <c r="J419" s="8"/>
      <c r="K419" s="8"/>
      <c r="L419" s="8"/>
      <c r="M419" s="8"/>
      <c r="N419" s="8"/>
      <c r="O419" s="8"/>
      <c r="P419" s="8"/>
      <c r="Q419" s="8"/>
      <c r="R419" s="8"/>
      <c r="S419" s="8"/>
      <c r="T419" s="8"/>
      <c r="U419" s="8"/>
      <c r="V419" s="8"/>
      <c r="W419" s="8"/>
      <c r="X419" s="8"/>
      <c r="Y419" s="8"/>
      <c r="Z419" s="8"/>
      <c r="AA419" s="8"/>
    </row>
    <row r="420" spans="1:27" ht="12.75">
      <c r="A420" s="8"/>
      <c r="B420" s="59"/>
      <c r="C420" s="59"/>
      <c r="D420" s="59"/>
      <c r="E420" s="59"/>
      <c r="F420" s="8"/>
      <c r="G420" s="8"/>
      <c r="H420" s="8"/>
      <c r="I420" s="8"/>
      <c r="J420" s="8"/>
      <c r="K420" s="8"/>
      <c r="L420" s="8"/>
      <c r="M420" s="8"/>
      <c r="N420" s="8"/>
      <c r="O420" s="8"/>
      <c r="P420" s="8"/>
      <c r="Q420" s="8"/>
      <c r="R420" s="8"/>
      <c r="S420" s="8"/>
      <c r="T420" s="8"/>
      <c r="U420" s="8"/>
      <c r="V420" s="8"/>
      <c r="W420" s="8"/>
      <c r="X420" s="8"/>
      <c r="Y420" s="8"/>
      <c r="Z420" s="8"/>
      <c r="AA420" s="8"/>
    </row>
    <row r="421" spans="1:27" ht="12.75">
      <c r="A421" s="8"/>
      <c r="B421" s="59"/>
      <c r="C421" s="59"/>
      <c r="D421" s="59"/>
      <c r="E421" s="59"/>
      <c r="F421" s="8"/>
      <c r="G421" s="8"/>
      <c r="H421" s="8"/>
      <c r="I421" s="8"/>
      <c r="J421" s="8"/>
      <c r="K421" s="8"/>
      <c r="L421" s="8"/>
      <c r="M421" s="8"/>
      <c r="N421" s="8"/>
      <c r="O421" s="8"/>
      <c r="P421" s="8"/>
      <c r="Q421" s="8"/>
      <c r="R421" s="8"/>
      <c r="S421" s="8"/>
      <c r="T421" s="8"/>
      <c r="U421" s="8"/>
      <c r="V421" s="8"/>
      <c r="W421" s="8"/>
      <c r="X421" s="8"/>
      <c r="Y421" s="8"/>
      <c r="Z421" s="8"/>
      <c r="AA421" s="8"/>
    </row>
    <row r="422" spans="1:27" ht="12.75">
      <c r="A422" s="8"/>
      <c r="B422" s="59"/>
      <c r="C422" s="59"/>
      <c r="D422" s="59"/>
      <c r="E422" s="59"/>
      <c r="F422" s="8"/>
      <c r="G422" s="8"/>
      <c r="H422" s="8"/>
      <c r="I422" s="8"/>
      <c r="J422" s="8"/>
      <c r="K422" s="8"/>
      <c r="L422" s="8"/>
      <c r="M422" s="8"/>
      <c r="N422" s="8"/>
      <c r="O422" s="8"/>
      <c r="P422" s="8"/>
      <c r="Q422" s="8"/>
      <c r="R422" s="8"/>
      <c r="S422" s="8"/>
      <c r="T422" s="8"/>
      <c r="U422" s="8"/>
      <c r="V422" s="8"/>
      <c r="W422" s="8"/>
      <c r="X422" s="8"/>
      <c r="Y422" s="8"/>
      <c r="Z422" s="8"/>
      <c r="AA422" s="8"/>
    </row>
    <row r="423" spans="1:27" ht="12.75">
      <c r="A423" s="8"/>
      <c r="B423" s="59"/>
      <c r="C423" s="59"/>
      <c r="D423" s="59"/>
      <c r="E423" s="59"/>
      <c r="F423" s="8"/>
      <c r="G423" s="8"/>
      <c r="H423" s="8"/>
      <c r="I423" s="8"/>
      <c r="J423" s="8"/>
      <c r="K423" s="8"/>
      <c r="L423" s="8"/>
      <c r="M423" s="8"/>
      <c r="N423" s="8"/>
      <c r="O423" s="8"/>
      <c r="P423" s="8"/>
      <c r="Q423" s="8"/>
      <c r="R423" s="8"/>
      <c r="S423" s="8"/>
      <c r="T423" s="8"/>
      <c r="U423" s="8"/>
      <c r="V423" s="8"/>
      <c r="W423" s="8"/>
      <c r="X423" s="8"/>
      <c r="Y423" s="8"/>
      <c r="Z423" s="8"/>
      <c r="AA423" s="8"/>
    </row>
    <row r="424" spans="1:27" ht="12.75">
      <c r="A424" s="8"/>
      <c r="B424" s="59"/>
      <c r="C424" s="59"/>
      <c r="D424" s="59"/>
      <c r="E424" s="59"/>
      <c r="F424" s="8"/>
      <c r="G424" s="8"/>
      <c r="H424" s="8"/>
      <c r="I424" s="8"/>
      <c r="J424" s="8"/>
      <c r="K424" s="8"/>
      <c r="L424" s="8"/>
      <c r="M424" s="8"/>
      <c r="N424" s="8"/>
      <c r="O424" s="8"/>
      <c r="P424" s="8"/>
      <c r="Q424" s="8"/>
      <c r="R424" s="8"/>
      <c r="S424" s="8"/>
      <c r="T424" s="8"/>
      <c r="U424" s="8"/>
      <c r="V424" s="8"/>
      <c r="W424" s="8"/>
      <c r="X424" s="8"/>
      <c r="Y424" s="8"/>
      <c r="Z424" s="8"/>
      <c r="AA424" s="8"/>
    </row>
    <row r="425" spans="1:27" ht="12.75">
      <c r="A425" s="8"/>
      <c r="B425" s="59"/>
      <c r="C425" s="59"/>
      <c r="D425" s="59"/>
      <c r="E425" s="59"/>
      <c r="F425" s="8"/>
      <c r="G425" s="8"/>
      <c r="H425" s="8"/>
      <c r="I425" s="8"/>
      <c r="J425" s="8"/>
      <c r="K425" s="8"/>
      <c r="L425" s="8"/>
      <c r="M425" s="8"/>
      <c r="N425" s="8"/>
      <c r="O425" s="8"/>
      <c r="P425" s="8"/>
      <c r="Q425" s="8"/>
      <c r="R425" s="8"/>
      <c r="S425" s="8"/>
      <c r="T425" s="8"/>
      <c r="U425" s="8"/>
      <c r="V425" s="8"/>
      <c r="W425" s="8"/>
      <c r="X425" s="8"/>
      <c r="Y425" s="8"/>
      <c r="Z425" s="8"/>
      <c r="AA425" s="8"/>
    </row>
    <row r="426" spans="1:27" ht="12.75">
      <c r="A426" s="8"/>
      <c r="B426" s="59"/>
      <c r="C426" s="59"/>
      <c r="D426" s="59"/>
      <c r="E426" s="59"/>
      <c r="F426" s="8"/>
      <c r="G426" s="8"/>
      <c r="H426" s="8"/>
      <c r="I426" s="8"/>
      <c r="J426" s="8"/>
      <c r="K426" s="8"/>
      <c r="L426" s="8"/>
      <c r="M426" s="8"/>
      <c r="N426" s="8"/>
      <c r="O426" s="8"/>
      <c r="P426" s="8"/>
      <c r="Q426" s="8"/>
      <c r="R426" s="8"/>
      <c r="S426" s="8"/>
      <c r="T426" s="8"/>
      <c r="U426" s="8"/>
      <c r="V426" s="8"/>
      <c r="W426" s="8"/>
      <c r="X426" s="8"/>
      <c r="Y426" s="8"/>
      <c r="Z426" s="8"/>
      <c r="AA426" s="8"/>
    </row>
    <row r="427" spans="1:27" ht="12.75">
      <c r="A427" s="8"/>
      <c r="B427" s="59"/>
      <c r="C427" s="59"/>
      <c r="D427" s="59"/>
      <c r="E427" s="59"/>
      <c r="F427" s="8"/>
      <c r="G427" s="8"/>
      <c r="H427" s="8"/>
      <c r="I427" s="8"/>
      <c r="J427" s="8"/>
      <c r="K427" s="8"/>
      <c r="L427" s="8"/>
      <c r="M427" s="8"/>
      <c r="N427" s="8"/>
      <c r="O427" s="8"/>
      <c r="P427" s="8"/>
      <c r="Q427" s="8"/>
      <c r="R427" s="8"/>
      <c r="S427" s="8"/>
      <c r="T427" s="8"/>
      <c r="U427" s="8"/>
      <c r="V427" s="8"/>
      <c r="W427" s="8"/>
      <c r="X427" s="8"/>
      <c r="Y427" s="8"/>
      <c r="Z427" s="8"/>
      <c r="AA427" s="8"/>
    </row>
    <row r="428" spans="1:27" ht="12.75">
      <c r="A428" s="8"/>
      <c r="B428" s="59"/>
      <c r="C428" s="59"/>
      <c r="D428" s="59"/>
      <c r="E428" s="59"/>
      <c r="F428" s="8"/>
      <c r="G428" s="8"/>
      <c r="H428" s="8"/>
      <c r="I428" s="8"/>
      <c r="J428" s="8"/>
      <c r="K428" s="8"/>
      <c r="L428" s="8"/>
      <c r="M428" s="8"/>
      <c r="N428" s="8"/>
      <c r="O428" s="8"/>
      <c r="P428" s="8"/>
      <c r="Q428" s="8"/>
      <c r="R428" s="8"/>
      <c r="S428" s="8"/>
      <c r="T428" s="8"/>
      <c r="U428" s="8"/>
      <c r="V428" s="8"/>
      <c r="W428" s="8"/>
      <c r="X428" s="8"/>
      <c r="Y428" s="8"/>
      <c r="Z428" s="8"/>
      <c r="AA428" s="8"/>
    </row>
    <row r="429" spans="1:27" ht="12.75">
      <c r="A429" s="8"/>
      <c r="B429" s="59"/>
      <c r="C429" s="59"/>
      <c r="D429" s="59"/>
      <c r="E429" s="59"/>
      <c r="F429" s="8"/>
      <c r="G429" s="8"/>
      <c r="H429" s="8"/>
      <c r="I429" s="8"/>
      <c r="J429" s="8"/>
      <c r="K429" s="8"/>
      <c r="L429" s="8"/>
      <c r="M429" s="8"/>
      <c r="N429" s="8"/>
      <c r="O429" s="8"/>
      <c r="P429" s="8"/>
      <c r="Q429" s="8"/>
      <c r="R429" s="8"/>
      <c r="S429" s="8"/>
      <c r="T429" s="8"/>
      <c r="U429" s="8"/>
      <c r="V429" s="8"/>
      <c r="W429" s="8"/>
      <c r="X429" s="8"/>
      <c r="Y429" s="8"/>
      <c r="Z429" s="8"/>
      <c r="AA429" s="8"/>
    </row>
    <row r="430" spans="1:27" ht="12.75">
      <c r="A430" s="8"/>
      <c r="B430" s="59"/>
      <c r="C430" s="59"/>
      <c r="D430" s="59"/>
      <c r="E430" s="59"/>
      <c r="F430" s="8"/>
      <c r="G430" s="8"/>
      <c r="H430" s="8"/>
      <c r="I430" s="8"/>
      <c r="J430" s="8"/>
      <c r="K430" s="8"/>
      <c r="L430" s="8"/>
      <c r="M430" s="8"/>
      <c r="N430" s="8"/>
      <c r="O430" s="8"/>
      <c r="P430" s="8"/>
      <c r="Q430" s="8"/>
      <c r="R430" s="8"/>
      <c r="S430" s="8"/>
      <c r="T430" s="8"/>
      <c r="U430" s="8"/>
      <c r="V430" s="8"/>
      <c r="W430" s="8"/>
      <c r="X430" s="8"/>
      <c r="Y430" s="8"/>
      <c r="Z430" s="8"/>
      <c r="AA430" s="8"/>
    </row>
    <row r="431" spans="1:27" ht="12.75">
      <c r="A431" s="8"/>
      <c r="B431" s="59"/>
      <c r="C431" s="59"/>
      <c r="D431" s="59"/>
      <c r="E431" s="59"/>
      <c r="F431" s="8"/>
      <c r="G431" s="8"/>
      <c r="H431" s="8"/>
      <c r="I431" s="8"/>
      <c r="J431" s="8"/>
      <c r="K431" s="8"/>
      <c r="L431" s="8"/>
      <c r="M431" s="8"/>
      <c r="N431" s="8"/>
      <c r="O431" s="8"/>
      <c r="P431" s="8"/>
      <c r="Q431" s="8"/>
      <c r="R431" s="8"/>
      <c r="S431" s="8"/>
      <c r="T431" s="8"/>
      <c r="U431" s="8"/>
      <c r="V431" s="8"/>
      <c r="W431" s="8"/>
      <c r="X431" s="8"/>
      <c r="Y431" s="8"/>
      <c r="Z431" s="8"/>
      <c r="AA431" s="8"/>
    </row>
    <row r="432" spans="1:27" ht="12.75">
      <c r="A432" s="8"/>
      <c r="B432" s="59"/>
      <c r="C432" s="59"/>
      <c r="D432" s="59"/>
      <c r="E432" s="59"/>
      <c r="F432" s="8"/>
      <c r="G432" s="8"/>
      <c r="H432" s="8"/>
      <c r="I432" s="8"/>
      <c r="J432" s="8"/>
      <c r="K432" s="8"/>
      <c r="L432" s="8"/>
      <c r="M432" s="8"/>
      <c r="N432" s="8"/>
      <c r="O432" s="8"/>
      <c r="P432" s="8"/>
      <c r="Q432" s="8"/>
      <c r="R432" s="8"/>
      <c r="S432" s="8"/>
      <c r="T432" s="8"/>
      <c r="U432" s="8"/>
      <c r="V432" s="8"/>
      <c r="W432" s="8"/>
      <c r="X432" s="8"/>
      <c r="Y432" s="8"/>
      <c r="Z432" s="8"/>
      <c r="AA432" s="8"/>
    </row>
    <row r="433" spans="1:27" ht="12.75">
      <c r="A433" s="8"/>
      <c r="B433" s="59"/>
      <c r="C433" s="59"/>
      <c r="D433" s="59"/>
      <c r="E433" s="59"/>
      <c r="F433" s="8"/>
      <c r="G433" s="8"/>
      <c r="H433" s="8"/>
      <c r="I433" s="8"/>
      <c r="J433" s="8"/>
      <c r="K433" s="8"/>
      <c r="L433" s="8"/>
      <c r="M433" s="8"/>
      <c r="N433" s="8"/>
      <c r="O433" s="8"/>
      <c r="P433" s="8"/>
      <c r="Q433" s="8"/>
      <c r="R433" s="8"/>
      <c r="S433" s="8"/>
      <c r="T433" s="8"/>
      <c r="U433" s="8"/>
      <c r="V433" s="8"/>
      <c r="W433" s="8"/>
      <c r="X433" s="8"/>
      <c r="Y433" s="8"/>
      <c r="Z433" s="8"/>
      <c r="AA433" s="8"/>
    </row>
    <row r="434" spans="1:27" ht="12.75">
      <c r="A434" s="8"/>
      <c r="B434" s="59"/>
      <c r="C434" s="59"/>
      <c r="D434" s="59"/>
      <c r="E434" s="59"/>
      <c r="F434" s="8"/>
      <c r="G434" s="8"/>
      <c r="H434" s="8"/>
      <c r="I434" s="8"/>
      <c r="J434" s="8"/>
      <c r="K434" s="8"/>
      <c r="L434" s="8"/>
      <c r="M434" s="8"/>
      <c r="N434" s="8"/>
      <c r="O434" s="8"/>
      <c r="P434" s="8"/>
      <c r="Q434" s="8"/>
      <c r="R434" s="8"/>
      <c r="S434" s="8"/>
      <c r="T434" s="8"/>
      <c r="U434" s="8"/>
      <c r="V434" s="8"/>
      <c r="W434" s="8"/>
      <c r="X434" s="8"/>
      <c r="Y434" s="8"/>
      <c r="Z434" s="8"/>
      <c r="AA434" s="8"/>
    </row>
    <row r="435" spans="1:27" ht="12.75">
      <c r="A435" s="8"/>
      <c r="B435" s="59"/>
      <c r="C435" s="59"/>
      <c r="D435" s="59"/>
      <c r="E435" s="59"/>
      <c r="F435" s="8"/>
      <c r="G435" s="8"/>
      <c r="H435" s="8"/>
      <c r="I435" s="8"/>
      <c r="J435" s="8"/>
      <c r="K435" s="8"/>
      <c r="L435" s="8"/>
      <c r="M435" s="8"/>
      <c r="N435" s="8"/>
      <c r="O435" s="8"/>
      <c r="P435" s="8"/>
      <c r="Q435" s="8"/>
      <c r="R435" s="8"/>
      <c r="S435" s="8"/>
      <c r="T435" s="8"/>
      <c r="U435" s="8"/>
      <c r="V435" s="8"/>
      <c r="W435" s="8"/>
      <c r="X435" s="8"/>
      <c r="Y435" s="8"/>
      <c r="Z435" s="8"/>
      <c r="AA435" s="8"/>
    </row>
    <row r="436" spans="1:27" ht="12.75">
      <c r="A436" s="8"/>
      <c r="B436" s="59"/>
      <c r="C436" s="59"/>
      <c r="D436" s="59"/>
      <c r="E436" s="59"/>
      <c r="F436" s="8"/>
      <c r="G436" s="8"/>
      <c r="H436" s="8"/>
      <c r="I436" s="8"/>
      <c r="J436" s="8"/>
      <c r="K436" s="8"/>
      <c r="L436" s="8"/>
      <c r="M436" s="8"/>
      <c r="N436" s="8"/>
      <c r="O436" s="8"/>
      <c r="P436" s="8"/>
      <c r="Q436" s="8"/>
      <c r="R436" s="8"/>
      <c r="S436" s="8"/>
      <c r="T436" s="8"/>
      <c r="U436" s="8"/>
      <c r="V436" s="8"/>
      <c r="W436" s="8"/>
      <c r="X436" s="8"/>
      <c r="Y436" s="8"/>
      <c r="Z436" s="8"/>
      <c r="AA436" s="8"/>
    </row>
    <row r="437" spans="1:27" ht="12.75">
      <c r="A437" s="8"/>
      <c r="B437" s="59"/>
      <c r="C437" s="59"/>
      <c r="D437" s="59"/>
      <c r="E437" s="59"/>
      <c r="F437" s="8"/>
      <c r="G437" s="8"/>
      <c r="H437" s="8"/>
      <c r="I437" s="8"/>
      <c r="J437" s="8"/>
      <c r="K437" s="8"/>
      <c r="L437" s="8"/>
      <c r="M437" s="8"/>
      <c r="N437" s="8"/>
      <c r="O437" s="8"/>
      <c r="P437" s="8"/>
      <c r="Q437" s="8"/>
      <c r="R437" s="8"/>
      <c r="S437" s="8"/>
      <c r="T437" s="8"/>
      <c r="U437" s="8"/>
      <c r="V437" s="8"/>
      <c r="W437" s="8"/>
      <c r="X437" s="8"/>
      <c r="Y437" s="8"/>
      <c r="Z437" s="8"/>
      <c r="AA437" s="8"/>
    </row>
    <row r="438" spans="1:27" ht="12.75">
      <c r="A438" s="8"/>
      <c r="B438" s="59"/>
      <c r="C438" s="59"/>
      <c r="D438" s="59"/>
      <c r="E438" s="59"/>
      <c r="F438" s="8"/>
      <c r="G438" s="8"/>
      <c r="H438" s="8"/>
      <c r="I438" s="8"/>
      <c r="J438" s="8"/>
      <c r="K438" s="8"/>
      <c r="L438" s="8"/>
      <c r="M438" s="8"/>
      <c r="N438" s="8"/>
      <c r="O438" s="8"/>
      <c r="P438" s="8"/>
      <c r="Q438" s="8"/>
      <c r="R438" s="8"/>
      <c r="S438" s="8"/>
      <c r="T438" s="8"/>
      <c r="U438" s="8"/>
      <c r="V438" s="8"/>
      <c r="W438" s="8"/>
      <c r="X438" s="8"/>
      <c r="Y438" s="8"/>
      <c r="Z438" s="8"/>
      <c r="AA438" s="8"/>
    </row>
    <row r="439" spans="1:27" ht="12.75">
      <c r="A439" s="8"/>
      <c r="B439" s="59"/>
      <c r="C439" s="59"/>
      <c r="D439" s="59"/>
      <c r="E439" s="59"/>
      <c r="F439" s="8"/>
      <c r="G439" s="8"/>
      <c r="H439" s="8"/>
      <c r="I439" s="8"/>
      <c r="J439" s="8"/>
      <c r="K439" s="8"/>
      <c r="L439" s="8"/>
      <c r="M439" s="8"/>
      <c r="N439" s="8"/>
      <c r="O439" s="8"/>
      <c r="P439" s="8"/>
      <c r="Q439" s="8"/>
      <c r="R439" s="8"/>
      <c r="S439" s="8"/>
      <c r="T439" s="8"/>
      <c r="U439" s="8"/>
      <c r="V439" s="8"/>
      <c r="W439" s="8"/>
      <c r="X439" s="8"/>
      <c r="Y439" s="8"/>
      <c r="Z439" s="8"/>
      <c r="AA439" s="8"/>
    </row>
    <row r="440" spans="1:27" ht="12.75">
      <c r="A440" s="8"/>
      <c r="B440" s="59"/>
      <c r="C440" s="59"/>
      <c r="D440" s="59"/>
      <c r="E440" s="59"/>
      <c r="F440" s="8"/>
      <c r="G440" s="8"/>
      <c r="H440" s="8"/>
      <c r="I440" s="8"/>
      <c r="J440" s="8"/>
      <c r="K440" s="8"/>
      <c r="L440" s="8"/>
      <c r="M440" s="8"/>
      <c r="N440" s="8"/>
      <c r="O440" s="8"/>
      <c r="P440" s="8"/>
      <c r="Q440" s="8"/>
      <c r="R440" s="8"/>
      <c r="S440" s="8"/>
      <c r="T440" s="8"/>
      <c r="U440" s="8"/>
      <c r="V440" s="8"/>
      <c r="W440" s="8"/>
      <c r="X440" s="8"/>
      <c r="Y440" s="8"/>
      <c r="Z440" s="8"/>
      <c r="AA440" s="8"/>
    </row>
    <row r="441" spans="1:27" ht="12.75">
      <c r="A441" s="8"/>
      <c r="B441" s="59"/>
      <c r="C441" s="59"/>
      <c r="D441" s="59"/>
      <c r="E441" s="59"/>
      <c r="F441" s="8"/>
      <c r="G441" s="8"/>
      <c r="H441" s="8"/>
      <c r="I441" s="8"/>
      <c r="J441" s="8"/>
      <c r="K441" s="8"/>
      <c r="L441" s="8"/>
      <c r="M441" s="8"/>
      <c r="N441" s="8"/>
      <c r="O441" s="8"/>
      <c r="P441" s="8"/>
      <c r="Q441" s="8"/>
      <c r="R441" s="8"/>
      <c r="S441" s="8"/>
      <c r="T441" s="8"/>
      <c r="U441" s="8"/>
      <c r="V441" s="8"/>
      <c r="W441" s="8"/>
      <c r="X441" s="8"/>
      <c r="Y441" s="8"/>
      <c r="Z441" s="8"/>
      <c r="AA441" s="8"/>
    </row>
    <row r="442" spans="1:27" ht="12.75">
      <c r="A442" s="8"/>
      <c r="B442" s="59"/>
      <c r="C442" s="59"/>
      <c r="D442" s="59"/>
      <c r="E442" s="59"/>
      <c r="F442" s="8"/>
      <c r="G442" s="8"/>
      <c r="H442" s="8"/>
      <c r="I442" s="8"/>
      <c r="J442" s="8"/>
      <c r="K442" s="8"/>
      <c r="L442" s="8"/>
      <c r="M442" s="8"/>
      <c r="N442" s="8"/>
      <c r="O442" s="8"/>
      <c r="P442" s="8"/>
      <c r="Q442" s="8"/>
      <c r="R442" s="8"/>
      <c r="S442" s="8"/>
      <c r="T442" s="8"/>
      <c r="U442" s="8"/>
      <c r="V442" s="8"/>
      <c r="W442" s="8"/>
      <c r="X442" s="8"/>
      <c r="Y442" s="8"/>
      <c r="Z442" s="8"/>
      <c r="AA442" s="8"/>
    </row>
    <row r="443" spans="1:27" ht="12.75">
      <c r="A443" s="8"/>
      <c r="B443" s="59"/>
      <c r="C443" s="59"/>
      <c r="D443" s="59"/>
      <c r="E443" s="59"/>
      <c r="F443" s="8"/>
      <c r="G443" s="8"/>
      <c r="H443" s="8"/>
      <c r="I443" s="8"/>
      <c r="J443" s="8"/>
      <c r="K443" s="8"/>
      <c r="L443" s="8"/>
      <c r="M443" s="8"/>
      <c r="N443" s="8"/>
      <c r="O443" s="8"/>
      <c r="P443" s="8"/>
      <c r="Q443" s="8"/>
      <c r="R443" s="8"/>
      <c r="S443" s="8"/>
      <c r="T443" s="8"/>
      <c r="U443" s="8"/>
      <c r="V443" s="8"/>
      <c r="W443" s="8"/>
      <c r="X443" s="8"/>
      <c r="Y443" s="8"/>
      <c r="Z443" s="8"/>
      <c r="AA443" s="8"/>
    </row>
    <row r="444" spans="1:27" ht="12.75">
      <c r="A444" s="8"/>
      <c r="B444" s="59"/>
      <c r="C444" s="59"/>
      <c r="D444" s="59"/>
      <c r="E444" s="59"/>
      <c r="F444" s="8"/>
      <c r="G444" s="8"/>
      <c r="H444" s="8"/>
      <c r="I444" s="8"/>
      <c r="J444" s="8"/>
      <c r="K444" s="8"/>
      <c r="L444" s="8"/>
      <c r="M444" s="8"/>
      <c r="N444" s="8"/>
      <c r="O444" s="8"/>
      <c r="P444" s="8"/>
      <c r="Q444" s="8"/>
      <c r="R444" s="8"/>
      <c r="S444" s="8"/>
      <c r="T444" s="8"/>
      <c r="U444" s="8"/>
      <c r="V444" s="8"/>
      <c r="W444" s="8"/>
      <c r="X444" s="8"/>
      <c r="Y444" s="8"/>
      <c r="Z444" s="8"/>
      <c r="AA444" s="8"/>
    </row>
    <row r="445" spans="1:27" ht="12.75">
      <c r="A445" s="8"/>
      <c r="B445" s="59"/>
      <c r="C445" s="59"/>
      <c r="D445" s="59"/>
      <c r="E445" s="59"/>
      <c r="F445" s="8"/>
      <c r="G445" s="8"/>
      <c r="H445" s="8"/>
      <c r="I445" s="8"/>
      <c r="J445" s="8"/>
      <c r="K445" s="8"/>
      <c r="L445" s="8"/>
      <c r="M445" s="8"/>
      <c r="N445" s="8"/>
      <c r="O445" s="8"/>
      <c r="P445" s="8"/>
      <c r="Q445" s="8"/>
      <c r="R445" s="8"/>
      <c r="S445" s="8"/>
      <c r="T445" s="8"/>
      <c r="U445" s="8"/>
      <c r="V445" s="8"/>
      <c r="W445" s="8"/>
      <c r="X445" s="8"/>
      <c r="Y445" s="8"/>
      <c r="Z445" s="8"/>
      <c r="AA445" s="8"/>
    </row>
    <row r="446" spans="1:27" ht="12.75">
      <c r="A446" s="8"/>
      <c r="B446" s="59"/>
      <c r="C446" s="59"/>
      <c r="D446" s="59"/>
      <c r="E446" s="59"/>
      <c r="F446" s="8"/>
      <c r="G446" s="8"/>
      <c r="H446" s="8"/>
      <c r="I446" s="8"/>
      <c r="J446" s="8"/>
      <c r="K446" s="8"/>
      <c r="L446" s="8"/>
      <c r="M446" s="8"/>
      <c r="N446" s="8"/>
      <c r="O446" s="8"/>
      <c r="P446" s="8"/>
      <c r="Q446" s="8"/>
      <c r="R446" s="8"/>
      <c r="S446" s="8"/>
      <c r="T446" s="8"/>
      <c r="U446" s="8"/>
      <c r="V446" s="8"/>
      <c r="W446" s="8"/>
      <c r="X446" s="8"/>
      <c r="Y446" s="8"/>
      <c r="Z446" s="8"/>
      <c r="AA446" s="8"/>
    </row>
    <row r="447" spans="1:27" ht="12.75">
      <c r="A447" s="8"/>
      <c r="B447" s="59"/>
      <c r="C447" s="59"/>
      <c r="D447" s="59"/>
      <c r="E447" s="59"/>
      <c r="F447" s="8"/>
      <c r="G447" s="8"/>
      <c r="H447" s="8"/>
      <c r="I447" s="8"/>
      <c r="J447" s="8"/>
      <c r="K447" s="8"/>
      <c r="L447" s="8"/>
      <c r="M447" s="8"/>
      <c r="N447" s="8"/>
      <c r="O447" s="8"/>
      <c r="P447" s="8"/>
      <c r="Q447" s="8"/>
      <c r="R447" s="8"/>
      <c r="S447" s="8"/>
      <c r="T447" s="8"/>
      <c r="U447" s="8"/>
      <c r="V447" s="8"/>
      <c r="W447" s="8"/>
      <c r="X447" s="8"/>
      <c r="Y447" s="8"/>
      <c r="Z447" s="8"/>
      <c r="AA447" s="8"/>
    </row>
    <row r="448" spans="1:27" ht="12.75">
      <c r="A448" s="8"/>
      <c r="B448" s="59"/>
      <c r="C448" s="59"/>
      <c r="D448" s="59"/>
      <c r="E448" s="59"/>
      <c r="F448" s="8"/>
      <c r="G448" s="8"/>
      <c r="H448" s="8"/>
      <c r="I448" s="8"/>
      <c r="J448" s="8"/>
      <c r="K448" s="8"/>
      <c r="L448" s="8"/>
      <c r="M448" s="8"/>
      <c r="N448" s="8"/>
      <c r="O448" s="8"/>
      <c r="P448" s="8"/>
      <c r="Q448" s="8"/>
      <c r="R448" s="8"/>
      <c r="S448" s="8"/>
      <c r="T448" s="8"/>
      <c r="U448" s="8"/>
      <c r="V448" s="8"/>
      <c r="W448" s="8"/>
      <c r="X448" s="8"/>
      <c r="Y448" s="8"/>
      <c r="Z448" s="8"/>
      <c r="AA448" s="8"/>
    </row>
    <row r="449" spans="1:27" ht="12.75">
      <c r="A449" s="8"/>
      <c r="B449" s="59"/>
      <c r="C449" s="59"/>
      <c r="D449" s="59"/>
      <c r="E449" s="59"/>
      <c r="F449" s="8"/>
      <c r="G449" s="8"/>
      <c r="H449" s="8"/>
      <c r="I449" s="8"/>
      <c r="J449" s="8"/>
      <c r="K449" s="8"/>
      <c r="L449" s="8"/>
      <c r="M449" s="8"/>
      <c r="N449" s="8"/>
      <c r="O449" s="8"/>
      <c r="P449" s="8"/>
      <c r="Q449" s="8"/>
      <c r="R449" s="8"/>
      <c r="S449" s="8"/>
      <c r="T449" s="8"/>
      <c r="U449" s="8"/>
      <c r="V449" s="8"/>
      <c r="W449" s="8"/>
      <c r="X449" s="8"/>
      <c r="Y449" s="8"/>
      <c r="Z449" s="8"/>
      <c r="AA449" s="8"/>
    </row>
    <row r="450" spans="1:27" ht="12.75">
      <c r="A450" s="8"/>
      <c r="B450" s="59"/>
      <c r="C450" s="59"/>
      <c r="D450" s="59"/>
      <c r="E450" s="59"/>
      <c r="F450" s="8"/>
      <c r="G450" s="8"/>
      <c r="H450" s="8"/>
      <c r="I450" s="8"/>
      <c r="J450" s="8"/>
      <c r="K450" s="8"/>
      <c r="L450" s="8"/>
      <c r="M450" s="8"/>
      <c r="N450" s="8"/>
      <c r="O450" s="8"/>
      <c r="P450" s="8"/>
      <c r="Q450" s="8"/>
      <c r="R450" s="8"/>
      <c r="S450" s="8"/>
      <c r="T450" s="8"/>
      <c r="U450" s="8"/>
      <c r="V450" s="8"/>
      <c r="W450" s="8"/>
      <c r="X450" s="8"/>
      <c r="Y450" s="8"/>
      <c r="Z450" s="8"/>
      <c r="AA450" s="8"/>
    </row>
    <row r="451" spans="1:27" ht="12.75">
      <c r="A451" s="8"/>
      <c r="B451" s="59"/>
      <c r="C451" s="59"/>
      <c r="D451" s="59"/>
      <c r="E451" s="59"/>
      <c r="F451" s="8"/>
      <c r="G451" s="8"/>
      <c r="H451" s="8"/>
      <c r="I451" s="8"/>
      <c r="J451" s="8"/>
      <c r="K451" s="8"/>
      <c r="L451" s="8"/>
      <c r="M451" s="8"/>
      <c r="N451" s="8"/>
      <c r="O451" s="8"/>
      <c r="P451" s="8"/>
      <c r="Q451" s="8"/>
      <c r="R451" s="8"/>
      <c r="S451" s="8"/>
      <c r="T451" s="8"/>
      <c r="U451" s="8"/>
      <c r="V451" s="8"/>
      <c r="W451" s="8"/>
      <c r="X451" s="8"/>
      <c r="Y451" s="8"/>
      <c r="Z451" s="8"/>
      <c r="AA451" s="8"/>
    </row>
    <row r="452" spans="1:27" ht="12.75">
      <c r="A452" s="8"/>
      <c r="B452" s="59"/>
      <c r="C452" s="59"/>
      <c r="D452" s="59"/>
      <c r="E452" s="59"/>
      <c r="F452" s="8"/>
      <c r="G452" s="8"/>
      <c r="H452" s="8"/>
      <c r="I452" s="8"/>
      <c r="J452" s="8"/>
      <c r="K452" s="8"/>
      <c r="L452" s="8"/>
      <c r="M452" s="8"/>
      <c r="N452" s="8"/>
      <c r="O452" s="8"/>
      <c r="P452" s="8"/>
      <c r="Q452" s="8"/>
      <c r="R452" s="8"/>
      <c r="S452" s="8"/>
      <c r="T452" s="8"/>
      <c r="U452" s="8"/>
      <c r="V452" s="8"/>
      <c r="W452" s="8"/>
      <c r="X452" s="8"/>
      <c r="Y452" s="8"/>
      <c r="Z452" s="8"/>
      <c r="AA452" s="8"/>
    </row>
    <row r="453" spans="1:27" ht="12.75">
      <c r="A453" s="8"/>
      <c r="B453" s="59"/>
      <c r="C453" s="59"/>
      <c r="D453" s="59"/>
      <c r="E453" s="59"/>
      <c r="F453" s="8"/>
      <c r="G453" s="8"/>
      <c r="H453" s="8"/>
      <c r="I453" s="8"/>
      <c r="J453" s="8"/>
      <c r="K453" s="8"/>
      <c r="L453" s="8"/>
      <c r="M453" s="8"/>
      <c r="N453" s="8"/>
      <c r="O453" s="8"/>
      <c r="P453" s="8"/>
      <c r="Q453" s="8"/>
      <c r="R453" s="8"/>
      <c r="S453" s="8"/>
      <c r="T453" s="8"/>
      <c r="U453" s="8"/>
      <c r="V453" s="8"/>
      <c r="W453" s="8"/>
      <c r="X453" s="8"/>
      <c r="Y453" s="8"/>
      <c r="Z453" s="8"/>
      <c r="AA453" s="8"/>
    </row>
    <row r="454" spans="1:27" ht="12.75">
      <c r="A454" s="8"/>
      <c r="B454" s="59"/>
      <c r="C454" s="59"/>
      <c r="D454" s="59"/>
      <c r="E454" s="59"/>
      <c r="F454" s="8"/>
      <c r="G454" s="8"/>
      <c r="H454" s="8"/>
      <c r="I454" s="8"/>
      <c r="J454" s="8"/>
      <c r="K454" s="8"/>
      <c r="L454" s="8"/>
      <c r="M454" s="8"/>
      <c r="N454" s="8"/>
      <c r="O454" s="8"/>
      <c r="P454" s="8"/>
      <c r="Q454" s="8"/>
      <c r="R454" s="8"/>
      <c r="S454" s="8"/>
      <c r="T454" s="8"/>
      <c r="U454" s="8"/>
      <c r="V454" s="8"/>
      <c r="W454" s="8"/>
      <c r="X454" s="8"/>
      <c r="Y454" s="8"/>
      <c r="Z454" s="8"/>
      <c r="AA454" s="8"/>
    </row>
    <row r="455" spans="1:27" ht="12.75">
      <c r="A455" s="8"/>
      <c r="B455" s="59"/>
      <c r="C455" s="59"/>
      <c r="D455" s="59"/>
      <c r="E455" s="59"/>
      <c r="F455" s="8"/>
      <c r="G455" s="8"/>
      <c r="H455" s="8"/>
      <c r="I455" s="8"/>
      <c r="J455" s="8"/>
      <c r="K455" s="8"/>
      <c r="L455" s="8"/>
      <c r="M455" s="8"/>
      <c r="N455" s="8"/>
      <c r="O455" s="8"/>
      <c r="P455" s="8"/>
      <c r="Q455" s="8"/>
      <c r="R455" s="8"/>
      <c r="S455" s="8"/>
      <c r="T455" s="8"/>
      <c r="U455" s="8"/>
      <c r="V455" s="8"/>
      <c r="W455" s="8"/>
      <c r="X455" s="8"/>
      <c r="Y455" s="8"/>
      <c r="Z455" s="8"/>
      <c r="AA455" s="8"/>
    </row>
    <row r="456" spans="1:27" ht="12.75">
      <c r="A456" s="8"/>
      <c r="B456" s="59"/>
      <c r="C456" s="59"/>
      <c r="D456" s="59"/>
      <c r="E456" s="59"/>
      <c r="F456" s="8"/>
      <c r="G456" s="8"/>
      <c r="H456" s="8"/>
      <c r="I456" s="8"/>
      <c r="J456" s="8"/>
      <c r="K456" s="8"/>
      <c r="L456" s="8"/>
      <c r="M456" s="8"/>
      <c r="N456" s="8"/>
      <c r="O456" s="8"/>
      <c r="P456" s="8"/>
      <c r="Q456" s="8"/>
      <c r="R456" s="8"/>
      <c r="S456" s="8"/>
      <c r="T456" s="8"/>
      <c r="U456" s="8"/>
      <c r="V456" s="8"/>
      <c r="W456" s="8"/>
      <c r="X456" s="8"/>
      <c r="Y456" s="8"/>
      <c r="Z456" s="8"/>
      <c r="AA456" s="8"/>
    </row>
    <row r="457" spans="1:27" ht="12.75">
      <c r="A457" s="8"/>
      <c r="B457" s="59"/>
      <c r="C457" s="59"/>
      <c r="D457" s="59"/>
      <c r="E457" s="59"/>
      <c r="F457" s="8"/>
      <c r="G457" s="8"/>
      <c r="H457" s="8"/>
      <c r="I457" s="8"/>
      <c r="J457" s="8"/>
      <c r="K457" s="8"/>
      <c r="L457" s="8"/>
      <c r="M457" s="8"/>
      <c r="N457" s="8"/>
      <c r="O457" s="8"/>
      <c r="P457" s="8"/>
      <c r="Q457" s="8"/>
      <c r="R457" s="8"/>
      <c r="S457" s="8"/>
      <c r="T457" s="8"/>
      <c r="U457" s="8"/>
      <c r="V457" s="8"/>
      <c r="W457" s="8"/>
      <c r="X457" s="8"/>
      <c r="Y457" s="8"/>
      <c r="Z457" s="8"/>
      <c r="AA457" s="8"/>
    </row>
    <row r="458" spans="1:27" ht="12.75">
      <c r="A458" s="8"/>
      <c r="B458" s="59"/>
      <c r="C458" s="59"/>
      <c r="D458" s="59"/>
      <c r="E458" s="59"/>
      <c r="F458" s="8"/>
      <c r="G458" s="8"/>
      <c r="H458" s="8"/>
      <c r="I458" s="8"/>
      <c r="J458" s="8"/>
      <c r="K458" s="8"/>
      <c r="L458" s="8"/>
      <c r="M458" s="8"/>
      <c r="N458" s="8"/>
      <c r="O458" s="8"/>
      <c r="P458" s="8"/>
      <c r="Q458" s="8"/>
      <c r="R458" s="8"/>
      <c r="S458" s="8"/>
      <c r="T458" s="8"/>
      <c r="U458" s="8"/>
      <c r="V458" s="8"/>
      <c r="W458" s="8"/>
      <c r="X458" s="8"/>
      <c r="Y458" s="8"/>
      <c r="Z458" s="8"/>
      <c r="AA458" s="8"/>
    </row>
    <row r="459" spans="1:27" ht="12.75">
      <c r="A459" s="8"/>
      <c r="B459" s="59"/>
      <c r="C459" s="59"/>
      <c r="D459" s="59"/>
      <c r="E459" s="59"/>
      <c r="F459" s="8"/>
      <c r="G459" s="8"/>
      <c r="H459" s="8"/>
      <c r="I459" s="8"/>
      <c r="J459" s="8"/>
      <c r="K459" s="8"/>
      <c r="L459" s="8"/>
      <c r="M459" s="8"/>
      <c r="N459" s="8"/>
      <c r="O459" s="8"/>
      <c r="P459" s="8"/>
      <c r="Q459" s="8"/>
      <c r="R459" s="8"/>
      <c r="S459" s="8"/>
      <c r="T459" s="8"/>
      <c r="U459" s="8"/>
      <c r="V459" s="8"/>
      <c r="W459" s="8"/>
      <c r="X459" s="8"/>
      <c r="Y459" s="8"/>
      <c r="Z459" s="8"/>
      <c r="AA459" s="8"/>
    </row>
    <row r="460" spans="1:27" ht="12.75">
      <c r="A460" s="8"/>
      <c r="B460" s="59"/>
      <c r="C460" s="59"/>
      <c r="D460" s="59"/>
      <c r="E460" s="59"/>
      <c r="F460" s="8"/>
      <c r="G460" s="8"/>
      <c r="H460" s="8"/>
      <c r="I460" s="8"/>
      <c r="J460" s="8"/>
      <c r="K460" s="8"/>
      <c r="L460" s="8"/>
      <c r="M460" s="8"/>
      <c r="N460" s="8"/>
      <c r="O460" s="8"/>
      <c r="P460" s="8"/>
      <c r="Q460" s="8"/>
      <c r="R460" s="8"/>
      <c r="S460" s="8"/>
      <c r="T460" s="8"/>
      <c r="U460" s="8"/>
      <c r="V460" s="8"/>
      <c r="W460" s="8"/>
      <c r="X460" s="8"/>
      <c r="Y460" s="8"/>
      <c r="Z460" s="8"/>
      <c r="AA460" s="8"/>
    </row>
    <row r="461" spans="1:27" ht="12.75">
      <c r="A461" s="8"/>
      <c r="B461" s="59"/>
      <c r="C461" s="59"/>
      <c r="D461" s="59"/>
      <c r="E461" s="59"/>
      <c r="F461" s="8"/>
      <c r="G461" s="8"/>
      <c r="H461" s="8"/>
      <c r="I461" s="8"/>
      <c r="J461" s="8"/>
      <c r="K461" s="8"/>
      <c r="L461" s="8"/>
      <c r="M461" s="8"/>
      <c r="N461" s="8"/>
      <c r="O461" s="8"/>
      <c r="P461" s="8"/>
      <c r="Q461" s="8"/>
      <c r="R461" s="8"/>
      <c r="S461" s="8"/>
      <c r="T461" s="8"/>
      <c r="U461" s="8"/>
      <c r="V461" s="8"/>
      <c r="W461" s="8"/>
      <c r="X461" s="8"/>
      <c r="Y461" s="8"/>
      <c r="Z461" s="8"/>
      <c r="AA461" s="8"/>
    </row>
    <row r="462" spans="1:27" ht="12.75">
      <c r="A462" s="8"/>
      <c r="B462" s="59"/>
      <c r="C462" s="59"/>
      <c r="D462" s="59"/>
      <c r="E462" s="59"/>
      <c r="F462" s="8"/>
      <c r="G462" s="8"/>
      <c r="H462" s="8"/>
      <c r="I462" s="8"/>
      <c r="J462" s="8"/>
      <c r="K462" s="8"/>
      <c r="L462" s="8"/>
      <c r="M462" s="8"/>
      <c r="N462" s="8"/>
      <c r="O462" s="8"/>
      <c r="P462" s="8"/>
      <c r="Q462" s="8"/>
      <c r="R462" s="8"/>
      <c r="S462" s="8"/>
      <c r="T462" s="8"/>
      <c r="U462" s="8"/>
      <c r="V462" s="8"/>
      <c r="W462" s="8"/>
      <c r="X462" s="8"/>
      <c r="Y462" s="8"/>
      <c r="Z462" s="8"/>
      <c r="AA462" s="8"/>
    </row>
    <row r="463" spans="1:27" ht="12.75">
      <c r="A463" s="8"/>
      <c r="B463" s="59"/>
      <c r="C463" s="59"/>
      <c r="D463" s="59"/>
      <c r="E463" s="59"/>
      <c r="F463" s="8"/>
      <c r="G463" s="8"/>
      <c r="H463" s="8"/>
      <c r="I463" s="8"/>
      <c r="J463" s="8"/>
      <c r="K463" s="8"/>
      <c r="L463" s="8"/>
      <c r="M463" s="8"/>
      <c r="N463" s="8"/>
      <c r="O463" s="8"/>
      <c r="P463" s="8"/>
      <c r="Q463" s="8"/>
      <c r="R463" s="8"/>
      <c r="S463" s="8"/>
      <c r="T463" s="8"/>
      <c r="U463" s="8"/>
      <c r="V463" s="8"/>
      <c r="W463" s="8"/>
      <c r="X463" s="8"/>
      <c r="Y463" s="8"/>
      <c r="Z463" s="8"/>
      <c r="AA463" s="8"/>
    </row>
    <row r="464" spans="1:27" ht="12.75">
      <c r="A464" s="8"/>
      <c r="B464" s="59"/>
      <c r="C464" s="59"/>
      <c r="D464" s="59"/>
      <c r="E464" s="59"/>
      <c r="F464" s="8"/>
      <c r="G464" s="8"/>
      <c r="H464" s="8"/>
      <c r="I464" s="8"/>
      <c r="J464" s="8"/>
      <c r="K464" s="8"/>
      <c r="L464" s="8"/>
      <c r="M464" s="8"/>
      <c r="N464" s="8"/>
      <c r="O464" s="8"/>
      <c r="P464" s="8"/>
      <c r="Q464" s="8"/>
      <c r="R464" s="8"/>
      <c r="S464" s="8"/>
      <c r="T464" s="8"/>
      <c r="U464" s="8"/>
      <c r="V464" s="8"/>
      <c r="W464" s="8"/>
      <c r="X464" s="8"/>
      <c r="Y464" s="8"/>
      <c r="Z464" s="8"/>
      <c r="AA464" s="8"/>
    </row>
    <row r="465" spans="1:27" ht="12.75">
      <c r="A465" s="8"/>
      <c r="B465" s="59"/>
      <c r="C465" s="59"/>
      <c r="D465" s="59"/>
      <c r="E465" s="59"/>
      <c r="F465" s="8"/>
      <c r="G465" s="8"/>
      <c r="H465" s="8"/>
      <c r="I465" s="8"/>
      <c r="J465" s="8"/>
      <c r="K465" s="8"/>
      <c r="L465" s="8"/>
      <c r="M465" s="8"/>
      <c r="N465" s="8"/>
      <c r="O465" s="8"/>
      <c r="P465" s="8"/>
      <c r="Q465" s="8"/>
      <c r="R465" s="8"/>
      <c r="S465" s="8"/>
      <c r="T465" s="8"/>
      <c r="U465" s="8"/>
      <c r="V465" s="8"/>
      <c r="W465" s="8"/>
      <c r="X465" s="8"/>
      <c r="Y465" s="8"/>
      <c r="Z465" s="8"/>
      <c r="AA465" s="8"/>
    </row>
    <row r="466" spans="1:27" ht="12.75">
      <c r="A466" s="8"/>
      <c r="B466" s="59"/>
      <c r="C466" s="59"/>
      <c r="D466" s="59"/>
      <c r="E466" s="59"/>
      <c r="F466" s="8"/>
      <c r="G466" s="8"/>
      <c r="H466" s="8"/>
      <c r="I466" s="8"/>
      <c r="J466" s="8"/>
      <c r="K466" s="8"/>
      <c r="L466" s="8"/>
      <c r="M466" s="8"/>
      <c r="N466" s="8"/>
      <c r="O466" s="8"/>
      <c r="P466" s="8"/>
      <c r="Q466" s="8"/>
      <c r="R466" s="8"/>
      <c r="S466" s="8"/>
      <c r="T466" s="8"/>
      <c r="U466" s="8"/>
      <c r="V466" s="8"/>
      <c r="W466" s="8"/>
      <c r="X466" s="8"/>
      <c r="Y466" s="8"/>
      <c r="Z466" s="8"/>
      <c r="AA466" s="8"/>
    </row>
    <row r="467" spans="1:27" ht="12.75">
      <c r="A467" s="8"/>
      <c r="B467" s="59"/>
      <c r="C467" s="59"/>
      <c r="D467" s="59"/>
      <c r="E467" s="59"/>
      <c r="F467" s="8"/>
      <c r="G467" s="8"/>
      <c r="H467" s="8"/>
      <c r="I467" s="8"/>
      <c r="J467" s="8"/>
      <c r="K467" s="8"/>
      <c r="L467" s="8"/>
      <c r="M467" s="8"/>
      <c r="N467" s="8"/>
      <c r="O467" s="8"/>
      <c r="P467" s="8"/>
      <c r="Q467" s="8"/>
      <c r="R467" s="8"/>
      <c r="S467" s="8"/>
      <c r="T467" s="8"/>
      <c r="U467" s="8"/>
      <c r="V467" s="8"/>
      <c r="W467" s="8"/>
      <c r="X467" s="8"/>
      <c r="Y467" s="8"/>
      <c r="Z467" s="8"/>
      <c r="AA467" s="8"/>
    </row>
    <row r="468" spans="1:27" ht="12.75">
      <c r="A468" s="8"/>
      <c r="B468" s="59"/>
      <c r="C468" s="59"/>
      <c r="D468" s="59"/>
      <c r="E468" s="59"/>
      <c r="F468" s="8"/>
      <c r="G468" s="8"/>
      <c r="H468" s="8"/>
      <c r="I468" s="8"/>
      <c r="J468" s="8"/>
      <c r="K468" s="8"/>
      <c r="L468" s="8"/>
      <c r="M468" s="8"/>
      <c r="N468" s="8"/>
      <c r="O468" s="8"/>
      <c r="P468" s="8"/>
      <c r="Q468" s="8"/>
      <c r="R468" s="8"/>
      <c r="S468" s="8"/>
      <c r="T468" s="8"/>
      <c r="U468" s="8"/>
      <c r="V468" s="8"/>
      <c r="W468" s="8"/>
      <c r="X468" s="8"/>
      <c r="Y468" s="8"/>
      <c r="Z468" s="8"/>
      <c r="AA468" s="8"/>
    </row>
    <row r="469" spans="1:27" ht="12.75">
      <c r="A469" s="8"/>
      <c r="B469" s="59"/>
      <c r="C469" s="59"/>
      <c r="D469" s="59"/>
      <c r="E469" s="59"/>
      <c r="F469" s="8"/>
      <c r="G469" s="8"/>
      <c r="H469" s="8"/>
      <c r="I469" s="8"/>
      <c r="J469" s="8"/>
      <c r="K469" s="8"/>
      <c r="L469" s="8"/>
      <c r="M469" s="8"/>
      <c r="N469" s="8"/>
      <c r="O469" s="8"/>
      <c r="P469" s="8"/>
      <c r="Q469" s="8"/>
      <c r="R469" s="8"/>
      <c r="S469" s="8"/>
      <c r="T469" s="8"/>
      <c r="U469" s="8"/>
      <c r="V469" s="8"/>
      <c r="W469" s="8"/>
      <c r="X469" s="8"/>
      <c r="Y469" s="8"/>
      <c r="Z469" s="8"/>
      <c r="AA469" s="8"/>
    </row>
    <row r="470" spans="1:27" ht="12.75">
      <c r="A470" s="8"/>
      <c r="B470" s="59"/>
      <c r="C470" s="59"/>
      <c r="D470" s="59"/>
      <c r="E470" s="59"/>
      <c r="F470" s="8"/>
      <c r="G470" s="8"/>
      <c r="H470" s="8"/>
      <c r="I470" s="8"/>
      <c r="J470" s="8"/>
      <c r="K470" s="8"/>
      <c r="L470" s="8"/>
      <c r="M470" s="8"/>
      <c r="N470" s="8"/>
      <c r="O470" s="8"/>
      <c r="P470" s="8"/>
      <c r="Q470" s="8"/>
      <c r="R470" s="8"/>
      <c r="S470" s="8"/>
      <c r="T470" s="8"/>
      <c r="U470" s="8"/>
      <c r="V470" s="8"/>
      <c r="W470" s="8"/>
      <c r="X470" s="8"/>
      <c r="Y470" s="8"/>
      <c r="Z470" s="8"/>
      <c r="AA470" s="8"/>
    </row>
    <row r="471" spans="1:27" ht="12.75">
      <c r="A471" s="8"/>
      <c r="B471" s="59"/>
      <c r="C471" s="59"/>
      <c r="D471" s="59"/>
      <c r="E471" s="59"/>
      <c r="F471" s="8"/>
      <c r="G471" s="8"/>
      <c r="H471" s="8"/>
      <c r="I471" s="8"/>
      <c r="J471" s="8"/>
      <c r="K471" s="8"/>
      <c r="L471" s="8"/>
      <c r="M471" s="8"/>
      <c r="N471" s="8"/>
      <c r="O471" s="8"/>
      <c r="P471" s="8"/>
      <c r="Q471" s="8"/>
      <c r="R471" s="8"/>
      <c r="S471" s="8"/>
      <c r="T471" s="8"/>
      <c r="U471" s="8"/>
      <c r="V471" s="8"/>
      <c r="W471" s="8"/>
      <c r="X471" s="8"/>
      <c r="Y471" s="8"/>
      <c r="Z471" s="8"/>
      <c r="AA471" s="8"/>
    </row>
    <row r="472" spans="1:27" ht="12.75">
      <c r="A472" s="8"/>
      <c r="B472" s="59"/>
      <c r="C472" s="59"/>
      <c r="D472" s="59"/>
      <c r="E472" s="59"/>
      <c r="F472" s="8"/>
      <c r="G472" s="8"/>
      <c r="H472" s="8"/>
      <c r="I472" s="8"/>
      <c r="J472" s="8"/>
      <c r="K472" s="8"/>
      <c r="L472" s="8"/>
      <c r="M472" s="8"/>
      <c r="N472" s="8"/>
      <c r="O472" s="8"/>
      <c r="P472" s="8"/>
      <c r="Q472" s="8"/>
      <c r="R472" s="8"/>
      <c r="S472" s="8"/>
      <c r="T472" s="8"/>
      <c r="U472" s="8"/>
      <c r="V472" s="8"/>
      <c r="W472" s="8"/>
      <c r="X472" s="8"/>
      <c r="Y472" s="8"/>
      <c r="Z472" s="8"/>
      <c r="AA472" s="8"/>
    </row>
    <row r="473" spans="1:27" ht="12.75">
      <c r="A473" s="8"/>
      <c r="B473" s="59"/>
      <c r="C473" s="59"/>
      <c r="D473" s="59"/>
      <c r="E473" s="59"/>
      <c r="F473" s="8"/>
      <c r="G473" s="8"/>
      <c r="H473" s="8"/>
      <c r="I473" s="8"/>
      <c r="J473" s="8"/>
      <c r="K473" s="8"/>
      <c r="L473" s="8"/>
      <c r="M473" s="8"/>
      <c r="N473" s="8"/>
      <c r="O473" s="8"/>
      <c r="P473" s="8"/>
      <c r="Q473" s="8"/>
      <c r="R473" s="8"/>
      <c r="S473" s="8"/>
      <c r="T473" s="8"/>
      <c r="U473" s="8"/>
      <c r="V473" s="8"/>
      <c r="W473" s="8"/>
      <c r="X473" s="8"/>
      <c r="Y473" s="8"/>
      <c r="Z473" s="8"/>
      <c r="AA473" s="8"/>
    </row>
    <row r="474" spans="1:27" ht="12.75">
      <c r="A474" s="8"/>
      <c r="B474" s="59"/>
      <c r="C474" s="59"/>
      <c r="D474" s="59"/>
      <c r="E474" s="59"/>
      <c r="F474" s="8"/>
      <c r="G474" s="8"/>
      <c r="H474" s="8"/>
      <c r="I474" s="8"/>
      <c r="J474" s="8"/>
      <c r="K474" s="8"/>
      <c r="L474" s="8"/>
      <c r="M474" s="8"/>
      <c r="N474" s="8"/>
      <c r="O474" s="8"/>
      <c r="P474" s="8"/>
      <c r="Q474" s="8"/>
      <c r="R474" s="8"/>
      <c r="S474" s="8"/>
      <c r="T474" s="8"/>
      <c r="U474" s="8"/>
      <c r="V474" s="8"/>
      <c r="W474" s="8"/>
      <c r="X474" s="8"/>
      <c r="Y474" s="8"/>
      <c r="Z474" s="8"/>
      <c r="AA474" s="8"/>
    </row>
    <row r="475" spans="1:27" ht="12.75">
      <c r="A475" s="8"/>
      <c r="B475" s="59"/>
      <c r="C475" s="59"/>
      <c r="D475" s="59"/>
      <c r="E475" s="59"/>
      <c r="F475" s="8"/>
      <c r="G475" s="8"/>
      <c r="H475" s="8"/>
      <c r="I475" s="8"/>
      <c r="J475" s="8"/>
      <c r="K475" s="8"/>
      <c r="L475" s="8"/>
      <c r="M475" s="8"/>
      <c r="N475" s="8"/>
      <c r="O475" s="8"/>
      <c r="P475" s="8"/>
      <c r="Q475" s="8"/>
      <c r="R475" s="8"/>
      <c r="S475" s="8"/>
      <c r="T475" s="8"/>
      <c r="U475" s="8"/>
      <c r="V475" s="8"/>
      <c r="W475" s="8"/>
      <c r="X475" s="8"/>
      <c r="Y475" s="8"/>
      <c r="Z475" s="8"/>
      <c r="AA475" s="8"/>
    </row>
    <row r="476" spans="1:27" ht="12.75">
      <c r="A476" s="8"/>
      <c r="B476" s="59"/>
      <c r="C476" s="59"/>
      <c r="D476" s="59"/>
      <c r="E476" s="59"/>
      <c r="F476" s="8"/>
      <c r="G476" s="8"/>
      <c r="H476" s="8"/>
      <c r="I476" s="8"/>
      <c r="J476" s="8"/>
      <c r="K476" s="8"/>
      <c r="L476" s="8"/>
      <c r="M476" s="8"/>
      <c r="N476" s="8"/>
      <c r="O476" s="8"/>
      <c r="P476" s="8"/>
      <c r="Q476" s="8"/>
      <c r="R476" s="8"/>
      <c r="S476" s="8"/>
      <c r="T476" s="8"/>
      <c r="U476" s="8"/>
      <c r="V476" s="8"/>
      <c r="W476" s="8"/>
      <c r="X476" s="8"/>
      <c r="Y476" s="8"/>
      <c r="Z476" s="8"/>
      <c r="AA476" s="8"/>
    </row>
    <row r="477" spans="1:27" ht="12.75">
      <c r="A477" s="8"/>
      <c r="B477" s="59"/>
      <c r="C477" s="59"/>
      <c r="D477" s="59"/>
      <c r="E477" s="59"/>
      <c r="F477" s="8"/>
      <c r="G477" s="8"/>
      <c r="H477" s="8"/>
      <c r="I477" s="8"/>
      <c r="J477" s="8"/>
      <c r="K477" s="8"/>
      <c r="L477" s="8"/>
      <c r="M477" s="8"/>
      <c r="N477" s="8"/>
      <c r="O477" s="8"/>
      <c r="P477" s="8"/>
      <c r="Q477" s="8"/>
      <c r="R477" s="8"/>
      <c r="S477" s="8"/>
      <c r="T477" s="8"/>
      <c r="U477" s="8"/>
      <c r="V477" s="8"/>
      <c r="W477" s="8"/>
      <c r="X477" s="8"/>
      <c r="Y477" s="8"/>
      <c r="Z477" s="8"/>
      <c r="AA477" s="8"/>
    </row>
    <row r="478" spans="1:27" ht="12.75">
      <c r="A478" s="8"/>
      <c r="B478" s="59"/>
      <c r="C478" s="59"/>
      <c r="D478" s="59"/>
      <c r="E478" s="59"/>
      <c r="F478" s="8"/>
      <c r="G478" s="8"/>
      <c r="H478" s="8"/>
      <c r="I478" s="8"/>
      <c r="J478" s="8"/>
      <c r="K478" s="8"/>
      <c r="L478" s="8"/>
      <c r="M478" s="8"/>
      <c r="N478" s="8"/>
      <c r="O478" s="8"/>
      <c r="P478" s="8"/>
      <c r="Q478" s="8"/>
      <c r="R478" s="8"/>
      <c r="S478" s="8"/>
      <c r="T478" s="8"/>
      <c r="U478" s="8"/>
      <c r="V478" s="8"/>
      <c r="W478" s="8"/>
      <c r="X478" s="8"/>
      <c r="Y478" s="8"/>
      <c r="Z478" s="8"/>
      <c r="AA478" s="8"/>
    </row>
    <row r="479" spans="1:27" ht="12.75">
      <c r="A479" s="8"/>
      <c r="B479" s="59"/>
      <c r="C479" s="59"/>
      <c r="D479" s="59"/>
      <c r="E479" s="59"/>
      <c r="F479" s="8"/>
      <c r="G479" s="8"/>
      <c r="H479" s="8"/>
      <c r="I479" s="8"/>
      <c r="J479" s="8"/>
      <c r="K479" s="8"/>
      <c r="L479" s="8"/>
      <c r="M479" s="8"/>
      <c r="N479" s="8"/>
      <c r="O479" s="8"/>
      <c r="P479" s="8"/>
      <c r="Q479" s="8"/>
      <c r="R479" s="8"/>
      <c r="S479" s="8"/>
      <c r="T479" s="8"/>
      <c r="U479" s="8"/>
      <c r="V479" s="8"/>
      <c r="W479" s="8"/>
      <c r="X479" s="8"/>
      <c r="Y479" s="8"/>
      <c r="Z479" s="8"/>
      <c r="AA479" s="8"/>
    </row>
    <row r="480" spans="1:27" ht="12.75">
      <c r="A480" s="8"/>
      <c r="B480" s="59"/>
      <c r="C480" s="59"/>
      <c r="D480" s="59"/>
      <c r="E480" s="59"/>
      <c r="F480" s="8"/>
      <c r="G480" s="8"/>
      <c r="H480" s="8"/>
      <c r="I480" s="8"/>
      <c r="J480" s="8"/>
      <c r="K480" s="8"/>
      <c r="L480" s="8"/>
      <c r="M480" s="8"/>
      <c r="N480" s="8"/>
      <c r="O480" s="8"/>
      <c r="P480" s="8"/>
      <c r="Q480" s="8"/>
      <c r="R480" s="8"/>
      <c r="S480" s="8"/>
      <c r="T480" s="8"/>
      <c r="U480" s="8"/>
      <c r="V480" s="8"/>
      <c r="W480" s="8"/>
      <c r="X480" s="8"/>
      <c r="Y480" s="8"/>
      <c r="Z480" s="8"/>
      <c r="AA480" s="8"/>
    </row>
    <row r="481" spans="1:27" ht="12.75">
      <c r="A481" s="8"/>
      <c r="B481" s="59"/>
      <c r="C481" s="59"/>
      <c r="D481" s="59"/>
      <c r="E481" s="59"/>
      <c r="F481" s="8"/>
      <c r="G481" s="8"/>
      <c r="H481" s="8"/>
      <c r="I481" s="8"/>
      <c r="J481" s="8"/>
      <c r="K481" s="8"/>
      <c r="L481" s="8"/>
      <c r="M481" s="8"/>
      <c r="N481" s="8"/>
      <c r="O481" s="8"/>
      <c r="P481" s="8"/>
      <c r="Q481" s="8"/>
      <c r="R481" s="8"/>
      <c r="S481" s="8"/>
      <c r="T481" s="8"/>
      <c r="U481" s="8"/>
      <c r="V481" s="8"/>
      <c r="W481" s="8"/>
      <c r="X481" s="8"/>
      <c r="Y481" s="8"/>
      <c r="Z481" s="8"/>
      <c r="AA481" s="8"/>
    </row>
    <row r="482" spans="1:27" ht="12.75">
      <c r="A482" s="8"/>
      <c r="B482" s="59"/>
      <c r="C482" s="59"/>
      <c r="D482" s="59"/>
      <c r="E482" s="59"/>
      <c r="F482" s="8"/>
      <c r="G482" s="8"/>
      <c r="H482" s="8"/>
      <c r="I482" s="8"/>
      <c r="J482" s="8"/>
      <c r="K482" s="8"/>
      <c r="L482" s="8"/>
      <c r="M482" s="8"/>
      <c r="N482" s="8"/>
      <c r="O482" s="8"/>
      <c r="P482" s="8"/>
      <c r="Q482" s="8"/>
      <c r="R482" s="8"/>
      <c r="S482" s="8"/>
      <c r="T482" s="8"/>
      <c r="U482" s="8"/>
      <c r="V482" s="8"/>
      <c r="W482" s="8"/>
      <c r="X482" s="8"/>
      <c r="Y482" s="8"/>
      <c r="Z482" s="8"/>
      <c r="AA482" s="8"/>
    </row>
    <row r="483" spans="1:27" ht="12.75">
      <c r="A483" s="8"/>
      <c r="B483" s="59"/>
      <c r="C483" s="59"/>
      <c r="D483" s="59"/>
      <c r="E483" s="59"/>
      <c r="F483" s="8"/>
      <c r="G483" s="8"/>
      <c r="H483" s="8"/>
      <c r="I483" s="8"/>
      <c r="J483" s="8"/>
      <c r="K483" s="8"/>
      <c r="L483" s="8"/>
      <c r="M483" s="8"/>
      <c r="N483" s="8"/>
      <c r="O483" s="8"/>
      <c r="P483" s="8"/>
      <c r="Q483" s="8"/>
      <c r="R483" s="8"/>
      <c r="S483" s="8"/>
      <c r="T483" s="8"/>
      <c r="U483" s="8"/>
      <c r="V483" s="8"/>
      <c r="W483" s="8"/>
      <c r="X483" s="8"/>
      <c r="Y483" s="8"/>
      <c r="Z483" s="8"/>
      <c r="AA483" s="8"/>
    </row>
    <row r="484" spans="1:27" ht="12.75">
      <c r="A484" s="8"/>
      <c r="B484" s="59"/>
      <c r="C484" s="59"/>
      <c r="D484" s="59"/>
      <c r="E484" s="59"/>
      <c r="F484" s="8"/>
      <c r="G484" s="8"/>
      <c r="H484" s="8"/>
      <c r="I484" s="8"/>
      <c r="J484" s="8"/>
      <c r="K484" s="8"/>
      <c r="L484" s="8"/>
      <c r="M484" s="8"/>
      <c r="N484" s="8"/>
      <c r="O484" s="8"/>
      <c r="P484" s="8"/>
      <c r="Q484" s="8"/>
      <c r="R484" s="8"/>
      <c r="S484" s="8"/>
      <c r="T484" s="8"/>
      <c r="U484" s="8"/>
      <c r="V484" s="8"/>
      <c r="W484" s="8"/>
      <c r="X484" s="8"/>
      <c r="Y484" s="8"/>
      <c r="Z484" s="8"/>
      <c r="AA484" s="8"/>
    </row>
    <row r="485" spans="1:27" ht="12.75">
      <c r="A485" s="8"/>
      <c r="B485" s="59"/>
      <c r="C485" s="59"/>
      <c r="D485" s="59"/>
      <c r="E485" s="59"/>
      <c r="F485" s="8"/>
      <c r="G485" s="8"/>
      <c r="H485" s="8"/>
      <c r="I485" s="8"/>
      <c r="J485" s="8"/>
      <c r="K485" s="8"/>
      <c r="L485" s="8"/>
      <c r="M485" s="8"/>
      <c r="N485" s="8"/>
      <c r="O485" s="8"/>
      <c r="P485" s="8"/>
      <c r="Q485" s="8"/>
      <c r="R485" s="8"/>
      <c r="S485" s="8"/>
      <c r="T485" s="8"/>
      <c r="U485" s="8"/>
      <c r="V485" s="8"/>
      <c r="W485" s="8"/>
      <c r="X485" s="8"/>
      <c r="Y485" s="8"/>
      <c r="Z485" s="8"/>
      <c r="AA485" s="8"/>
    </row>
    <row r="486" spans="1:27" ht="12.75">
      <c r="A486" s="8"/>
      <c r="B486" s="59"/>
      <c r="C486" s="59"/>
      <c r="D486" s="59"/>
      <c r="E486" s="59"/>
      <c r="F486" s="8"/>
      <c r="G486" s="8"/>
      <c r="H486" s="8"/>
      <c r="I486" s="8"/>
      <c r="J486" s="8"/>
      <c r="K486" s="8"/>
      <c r="L486" s="8"/>
      <c r="M486" s="8"/>
      <c r="N486" s="8"/>
      <c r="O486" s="8"/>
      <c r="P486" s="8"/>
      <c r="Q486" s="8"/>
      <c r="R486" s="8"/>
      <c r="S486" s="8"/>
      <c r="T486" s="8"/>
      <c r="U486" s="8"/>
      <c r="V486" s="8"/>
      <c r="W486" s="8"/>
      <c r="X486" s="8"/>
      <c r="Y486" s="8"/>
      <c r="Z486" s="8"/>
      <c r="AA486" s="8"/>
    </row>
    <row r="487" spans="1:27" ht="12.75">
      <c r="A487" s="8"/>
      <c r="B487" s="59"/>
      <c r="C487" s="59"/>
      <c r="D487" s="59"/>
      <c r="E487" s="59"/>
      <c r="F487" s="8"/>
      <c r="G487" s="8"/>
      <c r="H487" s="8"/>
      <c r="I487" s="8"/>
      <c r="J487" s="8"/>
      <c r="K487" s="8"/>
      <c r="L487" s="8"/>
      <c r="M487" s="8"/>
      <c r="N487" s="8"/>
      <c r="O487" s="8"/>
      <c r="P487" s="8"/>
      <c r="Q487" s="8"/>
      <c r="R487" s="8"/>
      <c r="S487" s="8"/>
      <c r="T487" s="8"/>
      <c r="U487" s="8"/>
      <c r="V487" s="8"/>
      <c r="W487" s="8"/>
      <c r="X487" s="8"/>
      <c r="Y487" s="8"/>
      <c r="Z487" s="8"/>
      <c r="AA487" s="8"/>
    </row>
    <row r="488" spans="1:27" ht="12.75">
      <c r="A488" s="8"/>
      <c r="B488" s="59"/>
      <c r="C488" s="59"/>
      <c r="D488" s="59"/>
      <c r="E488" s="59"/>
      <c r="F488" s="8"/>
      <c r="G488" s="8"/>
      <c r="H488" s="8"/>
      <c r="I488" s="8"/>
      <c r="J488" s="8"/>
      <c r="K488" s="8"/>
      <c r="L488" s="8"/>
      <c r="M488" s="8"/>
      <c r="N488" s="8"/>
      <c r="O488" s="8"/>
      <c r="P488" s="8"/>
      <c r="Q488" s="8"/>
      <c r="R488" s="8"/>
      <c r="S488" s="8"/>
      <c r="T488" s="8"/>
      <c r="U488" s="8"/>
      <c r="V488" s="8"/>
      <c r="W488" s="8"/>
      <c r="X488" s="8"/>
      <c r="Y488" s="8"/>
      <c r="Z488" s="8"/>
      <c r="AA488" s="8"/>
    </row>
    <row r="489" spans="1:27" ht="12.75">
      <c r="A489" s="8"/>
      <c r="B489" s="59"/>
      <c r="C489" s="59"/>
      <c r="D489" s="59"/>
      <c r="E489" s="59"/>
      <c r="F489" s="8"/>
      <c r="G489" s="8"/>
      <c r="H489" s="8"/>
      <c r="I489" s="8"/>
      <c r="J489" s="8"/>
      <c r="K489" s="8"/>
      <c r="L489" s="8"/>
      <c r="M489" s="8"/>
      <c r="N489" s="8"/>
      <c r="O489" s="8"/>
      <c r="P489" s="8"/>
      <c r="Q489" s="8"/>
      <c r="R489" s="8"/>
      <c r="S489" s="8"/>
      <c r="T489" s="8"/>
      <c r="U489" s="8"/>
      <c r="V489" s="8"/>
      <c r="W489" s="8"/>
      <c r="X489" s="8"/>
      <c r="Y489" s="8"/>
      <c r="Z489" s="8"/>
      <c r="AA489" s="8"/>
    </row>
    <row r="490" spans="1:27" ht="12.75">
      <c r="A490" s="8"/>
      <c r="B490" s="59"/>
      <c r="C490" s="59"/>
      <c r="D490" s="59"/>
      <c r="E490" s="59"/>
      <c r="F490" s="8"/>
      <c r="G490" s="8"/>
      <c r="H490" s="8"/>
      <c r="I490" s="8"/>
      <c r="J490" s="8"/>
      <c r="K490" s="8"/>
      <c r="L490" s="8"/>
      <c r="M490" s="8"/>
      <c r="N490" s="8"/>
      <c r="O490" s="8"/>
      <c r="P490" s="8"/>
      <c r="Q490" s="8"/>
      <c r="R490" s="8"/>
      <c r="S490" s="8"/>
      <c r="T490" s="8"/>
      <c r="U490" s="8"/>
      <c r="V490" s="8"/>
      <c r="W490" s="8"/>
      <c r="X490" s="8"/>
      <c r="Y490" s="8"/>
      <c r="Z490" s="8"/>
      <c r="AA490" s="8"/>
    </row>
    <row r="491" spans="1:27" ht="12.75">
      <c r="A491" s="8"/>
      <c r="B491" s="59"/>
      <c r="C491" s="59"/>
      <c r="D491" s="59"/>
      <c r="E491" s="59"/>
      <c r="F491" s="8"/>
      <c r="G491" s="8"/>
      <c r="H491" s="8"/>
      <c r="I491" s="8"/>
      <c r="J491" s="8"/>
      <c r="K491" s="8"/>
      <c r="L491" s="8"/>
      <c r="M491" s="8"/>
      <c r="N491" s="8"/>
      <c r="O491" s="8"/>
      <c r="P491" s="8"/>
      <c r="Q491" s="8"/>
      <c r="R491" s="8"/>
      <c r="S491" s="8"/>
      <c r="T491" s="8"/>
      <c r="U491" s="8"/>
      <c r="V491" s="8"/>
      <c r="W491" s="8"/>
      <c r="X491" s="8"/>
      <c r="Y491" s="8"/>
      <c r="Z491" s="8"/>
      <c r="AA491" s="8"/>
    </row>
    <row r="492" spans="1:27" ht="12.75">
      <c r="A492" s="8"/>
      <c r="B492" s="59"/>
      <c r="C492" s="59"/>
      <c r="D492" s="59"/>
      <c r="E492" s="59"/>
      <c r="F492" s="8"/>
      <c r="G492" s="8"/>
      <c r="H492" s="8"/>
      <c r="I492" s="8"/>
      <c r="J492" s="8"/>
      <c r="K492" s="8"/>
      <c r="L492" s="8"/>
      <c r="M492" s="8"/>
      <c r="N492" s="8"/>
      <c r="O492" s="8"/>
      <c r="P492" s="8"/>
      <c r="Q492" s="8"/>
      <c r="R492" s="8"/>
      <c r="S492" s="8"/>
      <c r="T492" s="8"/>
      <c r="U492" s="8"/>
      <c r="V492" s="8"/>
      <c r="W492" s="8"/>
      <c r="X492" s="8"/>
      <c r="Y492" s="8"/>
      <c r="Z492" s="8"/>
      <c r="AA492" s="8"/>
    </row>
    <row r="493" spans="1:27" ht="12.75">
      <c r="A493" s="8"/>
      <c r="B493" s="59"/>
      <c r="C493" s="59"/>
      <c r="D493" s="59"/>
      <c r="E493" s="59"/>
      <c r="F493" s="8"/>
      <c r="G493" s="8"/>
      <c r="H493" s="8"/>
      <c r="I493" s="8"/>
      <c r="J493" s="8"/>
      <c r="K493" s="8"/>
      <c r="L493" s="8"/>
      <c r="M493" s="8"/>
      <c r="N493" s="8"/>
      <c r="O493" s="8"/>
      <c r="P493" s="8"/>
      <c r="Q493" s="8"/>
      <c r="R493" s="8"/>
      <c r="S493" s="8"/>
      <c r="T493" s="8"/>
      <c r="U493" s="8"/>
      <c r="V493" s="8"/>
      <c r="W493" s="8"/>
      <c r="X493" s="8"/>
      <c r="Y493" s="8"/>
      <c r="Z493" s="8"/>
      <c r="AA493" s="8"/>
    </row>
    <row r="494" spans="1:27" ht="12.75">
      <c r="A494" s="8"/>
      <c r="B494" s="59"/>
      <c r="C494" s="59"/>
      <c r="D494" s="59"/>
      <c r="E494" s="59"/>
      <c r="F494" s="8"/>
      <c r="G494" s="8"/>
      <c r="H494" s="8"/>
      <c r="I494" s="8"/>
      <c r="J494" s="8"/>
      <c r="K494" s="8"/>
      <c r="L494" s="8"/>
      <c r="M494" s="8"/>
      <c r="N494" s="8"/>
      <c r="O494" s="8"/>
      <c r="P494" s="8"/>
      <c r="Q494" s="8"/>
      <c r="R494" s="8"/>
      <c r="S494" s="8"/>
      <c r="T494" s="8"/>
      <c r="U494" s="8"/>
      <c r="V494" s="8"/>
      <c r="W494" s="8"/>
      <c r="X494" s="8"/>
      <c r="Y494" s="8"/>
      <c r="Z494" s="8"/>
      <c r="AA494" s="8"/>
    </row>
    <row r="495" spans="1:27" ht="12.75">
      <c r="A495" s="8"/>
      <c r="B495" s="59"/>
      <c r="C495" s="59"/>
      <c r="D495" s="59"/>
      <c r="E495" s="59"/>
      <c r="F495" s="8"/>
      <c r="G495" s="8"/>
      <c r="H495" s="8"/>
      <c r="I495" s="8"/>
      <c r="J495" s="8"/>
      <c r="K495" s="8"/>
      <c r="L495" s="8"/>
      <c r="M495" s="8"/>
      <c r="N495" s="8"/>
      <c r="O495" s="8"/>
      <c r="P495" s="8"/>
      <c r="Q495" s="8"/>
      <c r="R495" s="8"/>
      <c r="S495" s="8"/>
      <c r="T495" s="8"/>
      <c r="U495" s="8"/>
      <c r="V495" s="8"/>
      <c r="W495" s="8"/>
      <c r="X495" s="8"/>
      <c r="Y495" s="8"/>
      <c r="Z495" s="8"/>
      <c r="AA495" s="8"/>
    </row>
    <row r="496" spans="1:27" ht="12.75">
      <c r="A496" s="8"/>
      <c r="B496" s="59"/>
      <c r="C496" s="59"/>
      <c r="D496" s="59"/>
      <c r="E496" s="59"/>
      <c r="F496" s="8"/>
      <c r="G496" s="8"/>
      <c r="H496" s="8"/>
      <c r="I496" s="8"/>
      <c r="J496" s="8"/>
      <c r="K496" s="8"/>
      <c r="L496" s="8"/>
      <c r="M496" s="8"/>
      <c r="N496" s="8"/>
      <c r="O496" s="8"/>
      <c r="P496" s="8"/>
      <c r="Q496" s="8"/>
      <c r="R496" s="8"/>
      <c r="S496" s="8"/>
      <c r="T496" s="8"/>
      <c r="U496" s="8"/>
      <c r="V496" s="8"/>
      <c r="W496" s="8"/>
      <c r="X496" s="8"/>
      <c r="Y496" s="8"/>
      <c r="Z496" s="8"/>
      <c r="AA496" s="8"/>
    </row>
    <row r="497" spans="1:27" ht="12.75">
      <c r="A497" s="8"/>
      <c r="B497" s="59"/>
      <c r="C497" s="59"/>
      <c r="D497" s="59"/>
      <c r="E497" s="59"/>
      <c r="F497" s="8"/>
      <c r="G497" s="8"/>
      <c r="H497" s="8"/>
      <c r="I497" s="8"/>
      <c r="J497" s="8"/>
      <c r="K497" s="8"/>
      <c r="L497" s="8"/>
      <c r="M497" s="8"/>
      <c r="N497" s="8"/>
      <c r="O497" s="8"/>
      <c r="P497" s="8"/>
      <c r="Q497" s="8"/>
      <c r="R497" s="8"/>
      <c r="S497" s="8"/>
      <c r="T497" s="8"/>
      <c r="U497" s="8"/>
      <c r="V497" s="8"/>
      <c r="W497" s="8"/>
      <c r="X497" s="8"/>
      <c r="Y497" s="8"/>
      <c r="Z497" s="8"/>
      <c r="AA497" s="8"/>
    </row>
    <row r="498" spans="1:27" ht="12.75">
      <c r="A498" s="8"/>
      <c r="B498" s="59"/>
      <c r="C498" s="59"/>
      <c r="D498" s="59"/>
      <c r="E498" s="59"/>
      <c r="F498" s="8"/>
      <c r="G498" s="8"/>
      <c r="H498" s="8"/>
      <c r="I498" s="8"/>
      <c r="J498" s="8"/>
      <c r="K498" s="8"/>
      <c r="L498" s="8"/>
      <c r="M498" s="8"/>
      <c r="N498" s="8"/>
      <c r="O498" s="8"/>
      <c r="P498" s="8"/>
      <c r="Q498" s="8"/>
      <c r="R498" s="8"/>
      <c r="S498" s="8"/>
      <c r="T498" s="8"/>
      <c r="U498" s="8"/>
      <c r="V498" s="8"/>
      <c r="W498" s="8"/>
      <c r="X498" s="8"/>
      <c r="Y498" s="8"/>
      <c r="Z498" s="8"/>
      <c r="AA498" s="8"/>
    </row>
    <row r="499" spans="1:27" ht="12.75">
      <c r="A499" s="8"/>
      <c r="B499" s="59"/>
      <c r="C499" s="59"/>
      <c r="D499" s="59"/>
      <c r="E499" s="59"/>
      <c r="F499" s="8"/>
      <c r="G499" s="8"/>
      <c r="H499" s="8"/>
      <c r="I499" s="8"/>
      <c r="J499" s="8"/>
      <c r="K499" s="8"/>
      <c r="L499" s="8"/>
      <c r="M499" s="8"/>
      <c r="N499" s="8"/>
      <c r="O499" s="8"/>
      <c r="P499" s="8"/>
      <c r="Q499" s="8"/>
      <c r="R499" s="8"/>
      <c r="S499" s="8"/>
      <c r="T499" s="8"/>
      <c r="U499" s="8"/>
      <c r="V499" s="8"/>
      <c r="W499" s="8"/>
      <c r="X499" s="8"/>
      <c r="Y499" s="8"/>
      <c r="Z499" s="8"/>
      <c r="AA499" s="8"/>
    </row>
    <row r="500" spans="1:27" ht="12.75">
      <c r="A500" s="8"/>
      <c r="B500" s="59"/>
      <c r="C500" s="59"/>
      <c r="D500" s="59"/>
      <c r="E500" s="59"/>
      <c r="F500" s="8"/>
      <c r="G500" s="8"/>
      <c r="H500" s="8"/>
      <c r="I500" s="8"/>
      <c r="J500" s="8"/>
      <c r="K500" s="8"/>
      <c r="L500" s="8"/>
      <c r="M500" s="8"/>
      <c r="N500" s="8"/>
      <c r="O500" s="8"/>
      <c r="P500" s="8"/>
      <c r="Q500" s="8"/>
      <c r="R500" s="8"/>
      <c r="S500" s="8"/>
      <c r="T500" s="8"/>
      <c r="U500" s="8"/>
      <c r="V500" s="8"/>
      <c r="W500" s="8"/>
      <c r="X500" s="8"/>
      <c r="Y500" s="8"/>
      <c r="Z500" s="8"/>
      <c r="AA500" s="8"/>
    </row>
    <row r="501" spans="1:27" ht="12.75">
      <c r="A501" s="8"/>
      <c r="B501" s="59"/>
      <c r="C501" s="59"/>
      <c r="D501" s="59"/>
      <c r="E501" s="59"/>
      <c r="F501" s="8"/>
      <c r="G501" s="8"/>
      <c r="H501" s="8"/>
      <c r="I501" s="8"/>
      <c r="J501" s="8"/>
      <c r="K501" s="8"/>
      <c r="L501" s="8"/>
      <c r="M501" s="8"/>
      <c r="N501" s="8"/>
      <c r="O501" s="8"/>
      <c r="P501" s="8"/>
      <c r="Q501" s="8"/>
      <c r="R501" s="8"/>
      <c r="S501" s="8"/>
      <c r="T501" s="8"/>
      <c r="U501" s="8"/>
      <c r="V501" s="8"/>
      <c r="W501" s="8"/>
      <c r="X501" s="8"/>
      <c r="Y501" s="8"/>
      <c r="Z501" s="8"/>
      <c r="AA501" s="8"/>
    </row>
    <row r="502" spans="1:27" ht="12.75">
      <c r="A502" s="8"/>
      <c r="B502" s="59"/>
      <c r="C502" s="59"/>
      <c r="D502" s="59"/>
      <c r="E502" s="59"/>
      <c r="F502" s="8"/>
      <c r="G502" s="8"/>
      <c r="H502" s="8"/>
      <c r="I502" s="8"/>
      <c r="J502" s="8"/>
      <c r="K502" s="8"/>
      <c r="L502" s="8"/>
      <c r="M502" s="8"/>
      <c r="N502" s="8"/>
      <c r="O502" s="8"/>
      <c r="P502" s="8"/>
      <c r="Q502" s="8"/>
      <c r="R502" s="8"/>
      <c r="S502" s="8"/>
      <c r="T502" s="8"/>
      <c r="U502" s="8"/>
      <c r="V502" s="8"/>
      <c r="W502" s="8"/>
      <c r="X502" s="8"/>
      <c r="Y502" s="8"/>
      <c r="Z502" s="8"/>
      <c r="AA502" s="8"/>
    </row>
    <row r="503" spans="1:27" ht="12.75">
      <c r="A503" s="8"/>
      <c r="B503" s="59"/>
      <c r="C503" s="59"/>
      <c r="D503" s="59"/>
      <c r="E503" s="59"/>
      <c r="F503" s="8"/>
      <c r="G503" s="8"/>
      <c r="H503" s="8"/>
      <c r="I503" s="8"/>
      <c r="J503" s="8"/>
      <c r="K503" s="8"/>
      <c r="L503" s="8"/>
      <c r="M503" s="8"/>
      <c r="N503" s="8"/>
      <c r="O503" s="8"/>
      <c r="P503" s="8"/>
      <c r="Q503" s="8"/>
      <c r="R503" s="8"/>
      <c r="S503" s="8"/>
      <c r="T503" s="8"/>
      <c r="U503" s="8"/>
      <c r="V503" s="8"/>
      <c r="W503" s="8"/>
      <c r="X503" s="8"/>
      <c r="Y503" s="8"/>
      <c r="Z503" s="8"/>
      <c r="AA503" s="8"/>
    </row>
    <row r="504" spans="1:27" ht="12.75">
      <c r="A504" s="8"/>
      <c r="B504" s="59"/>
      <c r="C504" s="59"/>
      <c r="D504" s="59"/>
      <c r="E504" s="59"/>
      <c r="F504" s="8"/>
      <c r="G504" s="8"/>
      <c r="H504" s="8"/>
      <c r="I504" s="8"/>
      <c r="J504" s="8"/>
      <c r="K504" s="8"/>
      <c r="L504" s="8"/>
      <c r="M504" s="8"/>
      <c r="N504" s="8"/>
      <c r="O504" s="8"/>
      <c r="P504" s="8"/>
      <c r="Q504" s="8"/>
      <c r="R504" s="8"/>
      <c r="S504" s="8"/>
      <c r="T504" s="8"/>
      <c r="U504" s="8"/>
      <c r="V504" s="8"/>
      <c r="W504" s="8"/>
      <c r="X504" s="8"/>
      <c r="Y504" s="8"/>
      <c r="Z504" s="8"/>
      <c r="AA504" s="8"/>
    </row>
    <row r="505" spans="1:27" ht="12.75">
      <c r="A505" s="8"/>
      <c r="B505" s="59"/>
      <c r="C505" s="59"/>
      <c r="D505" s="59"/>
      <c r="E505" s="59"/>
      <c r="F505" s="8"/>
      <c r="G505" s="8"/>
      <c r="H505" s="8"/>
      <c r="I505" s="8"/>
      <c r="J505" s="8"/>
      <c r="K505" s="8"/>
      <c r="L505" s="8"/>
      <c r="M505" s="8"/>
      <c r="N505" s="8"/>
      <c r="O505" s="8"/>
      <c r="P505" s="8"/>
      <c r="Q505" s="8"/>
      <c r="R505" s="8"/>
      <c r="S505" s="8"/>
      <c r="T505" s="8"/>
      <c r="U505" s="8"/>
      <c r="V505" s="8"/>
      <c r="W505" s="8"/>
      <c r="X505" s="8"/>
      <c r="Y505" s="8"/>
      <c r="Z505" s="8"/>
      <c r="AA505" s="8"/>
    </row>
    <row r="506" spans="1:27" ht="12.75">
      <c r="A506" s="8"/>
      <c r="B506" s="59"/>
      <c r="C506" s="59"/>
      <c r="D506" s="59"/>
      <c r="E506" s="59"/>
      <c r="F506" s="8"/>
      <c r="G506" s="8"/>
      <c r="H506" s="8"/>
      <c r="I506" s="8"/>
      <c r="J506" s="8"/>
      <c r="K506" s="8"/>
      <c r="L506" s="8"/>
      <c r="M506" s="8"/>
      <c r="N506" s="8"/>
      <c r="O506" s="8"/>
      <c r="P506" s="8"/>
      <c r="Q506" s="8"/>
      <c r="R506" s="8"/>
      <c r="S506" s="8"/>
      <c r="T506" s="8"/>
      <c r="U506" s="8"/>
      <c r="V506" s="8"/>
      <c r="W506" s="8"/>
      <c r="X506" s="8"/>
      <c r="Y506" s="8"/>
      <c r="Z506" s="8"/>
      <c r="AA506" s="8"/>
    </row>
    <row r="507" spans="1:27" ht="12.75">
      <c r="A507" s="8"/>
      <c r="B507" s="59"/>
      <c r="C507" s="59"/>
      <c r="D507" s="59"/>
      <c r="E507" s="59"/>
      <c r="F507" s="8"/>
      <c r="G507" s="8"/>
      <c r="H507" s="8"/>
      <c r="I507" s="8"/>
      <c r="J507" s="8"/>
      <c r="K507" s="8"/>
      <c r="L507" s="8"/>
      <c r="M507" s="8"/>
      <c r="N507" s="8"/>
      <c r="O507" s="8"/>
      <c r="P507" s="8"/>
      <c r="Q507" s="8"/>
      <c r="R507" s="8"/>
      <c r="S507" s="8"/>
      <c r="T507" s="8"/>
      <c r="U507" s="8"/>
      <c r="V507" s="8"/>
      <c r="W507" s="8"/>
      <c r="X507" s="8"/>
      <c r="Y507" s="8"/>
      <c r="Z507" s="8"/>
      <c r="AA507" s="8"/>
    </row>
    <row r="508" spans="1:27" ht="12.75">
      <c r="A508" s="8"/>
      <c r="B508" s="59"/>
      <c r="C508" s="59"/>
      <c r="D508" s="59"/>
      <c r="E508" s="59"/>
      <c r="F508" s="8"/>
      <c r="G508" s="8"/>
      <c r="H508" s="8"/>
      <c r="I508" s="8"/>
      <c r="J508" s="8"/>
      <c r="K508" s="8"/>
      <c r="L508" s="8"/>
      <c r="M508" s="8"/>
      <c r="N508" s="8"/>
      <c r="O508" s="8"/>
      <c r="P508" s="8"/>
      <c r="Q508" s="8"/>
      <c r="R508" s="8"/>
      <c r="S508" s="8"/>
      <c r="T508" s="8"/>
      <c r="U508" s="8"/>
      <c r="V508" s="8"/>
      <c r="W508" s="8"/>
      <c r="X508" s="8"/>
      <c r="Y508" s="8"/>
      <c r="Z508" s="8"/>
      <c r="AA508" s="8"/>
    </row>
    <row r="509" spans="1:27" ht="12.75">
      <c r="A509" s="8"/>
      <c r="B509" s="59"/>
      <c r="C509" s="59"/>
      <c r="D509" s="59"/>
      <c r="E509" s="59"/>
      <c r="F509" s="8"/>
      <c r="G509" s="8"/>
      <c r="H509" s="8"/>
      <c r="I509" s="8"/>
      <c r="J509" s="8"/>
      <c r="K509" s="8"/>
      <c r="L509" s="8"/>
      <c r="M509" s="8"/>
      <c r="N509" s="8"/>
      <c r="O509" s="8"/>
      <c r="P509" s="8"/>
      <c r="Q509" s="8"/>
      <c r="R509" s="8"/>
      <c r="S509" s="8"/>
      <c r="T509" s="8"/>
      <c r="U509" s="8"/>
      <c r="V509" s="8"/>
      <c r="W509" s="8"/>
      <c r="X509" s="8"/>
      <c r="Y509" s="8"/>
      <c r="Z509" s="8"/>
      <c r="AA509" s="8"/>
    </row>
    <row r="510" spans="1:27" ht="12.75">
      <c r="A510" s="8"/>
      <c r="B510" s="59"/>
      <c r="C510" s="59"/>
      <c r="D510" s="59"/>
      <c r="E510" s="59"/>
      <c r="F510" s="8"/>
      <c r="G510" s="8"/>
      <c r="H510" s="8"/>
      <c r="I510" s="8"/>
      <c r="J510" s="8"/>
      <c r="K510" s="8"/>
      <c r="L510" s="8"/>
      <c r="M510" s="8"/>
      <c r="N510" s="8"/>
      <c r="O510" s="8"/>
      <c r="P510" s="8"/>
      <c r="Q510" s="8"/>
      <c r="R510" s="8"/>
      <c r="S510" s="8"/>
      <c r="T510" s="8"/>
      <c r="U510" s="8"/>
      <c r="V510" s="8"/>
      <c r="W510" s="8"/>
      <c r="X510" s="8"/>
      <c r="Y510" s="8"/>
      <c r="Z510" s="8"/>
      <c r="AA510" s="8"/>
    </row>
    <row r="511" spans="1:27" ht="12.75">
      <c r="A511" s="8"/>
      <c r="B511" s="59"/>
      <c r="C511" s="59"/>
      <c r="D511" s="59"/>
      <c r="E511" s="59"/>
      <c r="F511" s="8"/>
      <c r="G511" s="8"/>
      <c r="H511" s="8"/>
      <c r="I511" s="8"/>
      <c r="J511" s="8"/>
      <c r="K511" s="8"/>
      <c r="L511" s="8"/>
      <c r="M511" s="8"/>
      <c r="N511" s="8"/>
      <c r="O511" s="8"/>
      <c r="P511" s="8"/>
      <c r="Q511" s="8"/>
      <c r="R511" s="8"/>
      <c r="S511" s="8"/>
      <c r="T511" s="8"/>
      <c r="U511" s="8"/>
      <c r="V511" s="8"/>
      <c r="W511" s="8"/>
      <c r="X511" s="8"/>
      <c r="Y511" s="8"/>
      <c r="Z511" s="8"/>
      <c r="AA511" s="8"/>
    </row>
    <row r="512" spans="1:27" ht="12.75">
      <c r="A512" s="8"/>
      <c r="B512" s="59"/>
      <c r="C512" s="59"/>
      <c r="D512" s="59"/>
      <c r="E512" s="59"/>
      <c r="F512" s="8"/>
      <c r="G512" s="8"/>
      <c r="H512" s="8"/>
      <c r="I512" s="8"/>
      <c r="J512" s="8"/>
      <c r="K512" s="8"/>
      <c r="L512" s="8"/>
      <c r="M512" s="8"/>
      <c r="N512" s="8"/>
      <c r="O512" s="8"/>
      <c r="P512" s="8"/>
      <c r="Q512" s="8"/>
      <c r="R512" s="8"/>
      <c r="S512" s="8"/>
      <c r="T512" s="8"/>
      <c r="U512" s="8"/>
      <c r="V512" s="8"/>
      <c r="W512" s="8"/>
      <c r="X512" s="8"/>
      <c r="Y512" s="8"/>
      <c r="Z512" s="8"/>
      <c r="AA512" s="8"/>
    </row>
    <row r="513" spans="1:27" ht="12.75">
      <c r="A513" s="8"/>
      <c r="B513" s="59"/>
      <c r="C513" s="59"/>
      <c r="D513" s="59"/>
      <c r="E513" s="59"/>
      <c r="F513" s="8"/>
      <c r="G513" s="8"/>
      <c r="H513" s="8"/>
      <c r="I513" s="8"/>
      <c r="J513" s="8"/>
      <c r="K513" s="8"/>
      <c r="L513" s="8"/>
      <c r="M513" s="8"/>
      <c r="N513" s="8"/>
      <c r="O513" s="8"/>
      <c r="P513" s="8"/>
      <c r="Q513" s="8"/>
      <c r="R513" s="8"/>
      <c r="S513" s="8"/>
      <c r="T513" s="8"/>
      <c r="U513" s="8"/>
      <c r="V513" s="8"/>
      <c r="W513" s="8"/>
      <c r="X513" s="8"/>
      <c r="Y513" s="8"/>
      <c r="Z513" s="8"/>
      <c r="AA513" s="8"/>
    </row>
    <row r="514" spans="1:27" ht="12.75">
      <c r="A514" s="8"/>
      <c r="B514" s="59"/>
      <c r="C514" s="59"/>
      <c r="D514" s="59"/>
      <c r="E514" s="59"/>
      <c r="F514" s="8"/>
      <c r="G514" s="8"/>
      <c r="H514" s="8"/>
      <c r="I514" s="8"/>
      <c r="J514" s="8"/>
      <c r="K514" s="8"/>
      <c r="L514" s="8"/>
      <c r="M514" s="8"/>
      <c r="N514" s="8"/>
      <c r="O514" s="8"/>
      <c r="P514" s="8"/>
      <c r="Q514" s="8"/>
      <c r="R514" s="8"/>
      <c r="S514" s="8"/>
      <c r="T514" s="8"/>
      <c r="U514" s="8"/>
      <c r="V514" s="8"/>
      <c r="W514" s="8"/>
      <c r="X514" s="8"/>
      <c r="Y514" s="8"/>
      <c r="Z514" s="8"/>
      <c r="AA514" s="8"/>
    </row>
    <row r="515" spans="1:27" ht="12.75">
      <c r="A515" s="8"/>
      <c r="B515" s="59"/>
      <c r="C515" s="59"/>
      <c r="D515" s="59"/>
      <c r="E515" s="59"/>
      <c r="F515" s="8"/>
      <c r="G515" s="8"/>
      <c r="H515" s="8"/>
      <c r="I515" s="8"/>
      <c r="J515" s="8"/>
      <c r="K515" s="8"/>
      <c r="L515" s="8"/>
      <c r="M515" s="8"/>
      <c r="N515" s="8"/>
      <c r="O515" s="8"/>
      <c r="P515" s="8"/>
      <c r="Q515" s="8"/>
      <c r="R515" s="8"/>
      <c r="S515" s="8"/>
      <c r="T515" s="8"/>
      <c r="U515" s="8"/>
      <c r="V515" s="8"/>
      <c r="W515" s="8"/>
      <c r="X515" s="8"/>
      <c r="Y515" s="8"/>
      <c r="Z515" s="8"/>
      <c r="AA515" s="8"/>
    </row>
    <row r="516" spans="1:27" ht="12.75">
      <c r="A516" s="8"/>
      <c r="B516" s="59"/>
      <c r="C516" s="59"/>
      <c r="D516" s="59"/>
      <c r="E516" s="59"/>
      <c r="F516" s="8"/>
      <c r="G516" s="8"/>
      <c r="H516" s="8"/>
      <c r="I516" s="8"/>
      <c r="J516" s="8"/>
      <c r="K516" s="8"/>
      <c r="L516" s="8"/>
      <c r="M516" s="8"/>
      <c r="N516" s="8"/>
      <c r="O516" s="8"/>
      <c r="P516" s="8"/>
      <c r="Q516" s="8"/>
      <c r="R516" s="8"/>
      <c r="S516" s="8"/>
      <c r="T516" s="8"/>
      <c r="U516" s="8"/>
      <c r="V516" s="8"/>
      <c r="W516" s="8"/>
      <c r="X516" s="8"/>
      <c r="Y516" s="8"/>
      <c r="Z516" s="8"/>
      <c r="AA516" s="8"/>
    </row>
    <row r="517" spans="1:27" ht="12.75">
      <c r="A517" s="8"/>
      <c r="B517" s="59"/>
      <c r="C517" s="59"/>
      <c r="D517" s="59"/>
      <c r="E517" s="59"/>
      <c r="F517" s="8"/>
      <c r="G517" s="8"/>
      <c r="H517" s="8"/>
      <c r="I517" s="8"/>
      <c r="J517" s="8"/>
      <c r="K517" s="8"/>
      <c r="L517" s="8"/>
      <c r="M517" s="8"/>
      <c r="N517" s="8"/>
      <c r="O517" s="8"/>
      <c r="P517" s="8"/>
      <c r="Q517" s="8"/>
      <c r="R517" s="8"/>
      <c r="S517" s="8"/>
      <c r="T517" s="8"/>
      <c r="U517" s="8"/>
      <c r="V517" s="8"/>
      <c r="W517" s="8"/>
      <c r="X517" s="8"/>
      <c r="Y517" s="8"/>
      <c r="Z517" s="8"/>
      <c r="AA517" s="8"/>
    </row>
    <row r="518" spans="1:27" ht="12.75">
      <c r="A518" s="8"/>
      <c r="B518" s="59"/>
      <c r="C518" s="59"/>
      <c r="D518" s="59"/>
      <c r="E518" s="59"/>
      <c r="F518" s="8"/>
      <c r="G518" s="8"/>
      <c r="H518" s="8"/>
      <c r="I518" s="8"/>
      <c r="J518" s="8"/>
      <c r="K518" s="8"/>
      <c r="L518" s="8"/>
      <c r="M518" s="8"/>
      <c r="N518" s="8"/>
      <c r="O518" s="8"/>
      <c r="P518" s="8"/>
      <c r="Q518" s="8"/>
      <c r="R518" s="8"/>
      <c r="S518" s="8"/>
      <c r="T518" s="8"/>
      <c r="U518" s="8"/>
      <c r="V518" s="8"/>
      <c r="W518" s="8"/>
      <c r="X518" s="8"/>
      <c r="Y518" s="8"/>
      <c r="Z518" s="8"/>
      <c r="AA518" s="8"/>
    </row>
    <row r="519" spans="1:27" ht="12.75">
      <c r="A519" s="8"/>
      <c r="B519" s="59"/>
      <c r="C519" s="59"/>
      <c r="D519" s="59"/>
      <c r="E519" s="59"/>
      <c r="F519" s="8"/>
      <c r="G519" s="8"/>
      <c r="H519" s="8"/>
      <c r="I519" s="8"/>
      <c r="J519" s="8"/>
      <c r="K519" s="8"/>
      <c r="L519" s="8"/>
      <c r="M519" s="8"/>
      <c r="N519" s="8"/>
      <c r="O519" s="8"/>
      <c r="P519" s="8"/>
      <c r="Q519" s="8"/>
      <c r="R519" s="8"/>
      <c r="S519" s="8"/>
      <c r="T519" s="8"/>
      <c r="U519" s="8"/>
      <c r="V519" s="8"/>
      <c r="W519" s="8"/>
      <c r="X519" s="8"/>
      <c r="Y519" s="8"/>
      <c r="Z519" s="8"/>
      <c r="AA519" s="8"/>
    </row>
    <row r="520" spans="1:27" ht="12.75">
      <c r="A520" s="8"/>
      <c r="B520" s="59"/>
      <c r="C520" s="59"/>
      <c r="D520" s="59"/>
      <c r="E520" s="59"/>
      <c r="F520" s="8"/>
      <c r="G520" s="8"/>
      <c r="H520" s="8"/>
      <c r="I520" s="8"/>
      <c r="J520" s="8"/>
      <c r="K520" s="8"/>
      <c r="L520" s="8"/>
      <c r="M520" s="8"/>
      <c r="N520" s="8"/>
      <c r="O520" s="8"/>
      <c r="P520" s="8"/>
      <c r="Q520" s="8"/>
      <c r="R520" s="8"/>
      <c r="S520" s="8"/>
      <c r="T520" s="8"/>
      <c r="U520" s="8"/>
      <c r="V520" s="8"/>
      <c r="W520" s="8"/>
      <c r="X520" s="8"/>
      <c r="Y520" s="8"/>
      <c r="Z520" s="8"/>
      <c r="AA520" s="8"/>
    </row>
    <row r="521" spans="1:27" ht="12.75">
      <c r="A521" s="8"/>
      <c r="B521" s="59"/>
      <c r="C521" s="59"/>
      <c r="D521" s="59"/>
      <c r="E521" s="59"/>
      <c r="F521" s="8"/>
      <c r="G521" s="8"/>
      <c r="H521" s="8"/>
      <c r="I521" s="8"/>
      <c r="J521" s="8"/>
      <c r="K521" s="8"/>
      <c r="L521" s="8"/>
      <c r="M521" s="8"/>
      <c r="N521" s="8"/>
      <c r="O521" s="8"/>
      <c r="P521" s="8"/>
      <c r="Q521" s="8"/>
      <c r="R521" s="8"/>
      <c r="S521" s="8"/>
      <c r="T521" s="8"/>
      <c r="U521" s="8"/>
      <c r="V521" s="8"/>
      <c r="W521" s="8"/>
      <c r="X521" s="8"/>
      <c r="Y521" s="8"/>
      <c r="Z521" s="8"/>
      <c r="AA521" s="8"/>
    </row>
    <row r="522" spans="1:27" ht="12.75">
      <c r="A522" s="8"/>
      <c r="B522" s="59"/>
      <c r="C522" s="59"/>
      <c r="D522" s="59"/>
      <c r="E522" s="59"/>
      <c r="F522" s="8"/>
      <c r="G522" s="8"/>
      <c r="H522" s="8"/>
      <c r="I522" s="8"/>
      <c r="J522" s="8"/>
      <c r="K522" s="8"/>
      <c r="L522" s="8"/>
      <c r="M522" s="8"/>
      <c r="N522" s="8"/>
      <c r="O522" s="8"/>
      <c r="P522" s="8"/>
      <c r="Q522" s="8"/>
      <c r="R522" s="8"/>
      <c r="S522" s="8"/>
      <c r="T522" s="8"/>
      <c r="U522" s="8"/>
      <c r="V522" s="8"/>
      <c r="W522" s="8"/>
      <c r="X522" s="8"/>
      <c r="Y522" s="8"/>
      <c r="Z522" s="8"/>
      <c r="AA522" s="8"/>
    </row>
    <row r="523" spans="1:27" ht="12.75">
      <c r="A523" s="8"/>
      <c r="B523" s="59"/>
      <c r="C523" s="59"/>
      <c r="D523" s="59"/>
      <c r="E523" s="59"/>
      <c r="F523" s="8"/>
      <c r="G523" s="8"/>
      <c r="H523" s="8"/>
      <c r="I523" s="8"/>
      <c r="J523" s="8"/>
      <c r="K523" s="8"/>
      <c r="L523" s="8"/>
      <c r="M523" s="8"/>
      <c r="N523" s="8"/>
      <c r="O523" s="8"/>
      <c r="P523" s="8"/>
      <c r="Q523" s="8"/>
      <c r="R523" s="8"/>
      <c r="S523" s="8"/>
      <c r="T523" s="8"/>
      <c r="U523" s="8"/>
      <c r="V523" s="8"/>
      <c r="W523" s="8"/>
      <c r="X523" s="8"/>
      <c r="Y523" s="8"/>
      <c r="Z523" s="8"/>
      <c r="AA523" s="8"/>
    </row>
    <row r="524" spans="1:27" ht="12.75">
      <c r="A524" s="8"/>
      <c r="B524" s="59"/>
      <c r="C524" s="59"/>
      <c r="D524" s="59"/>
      <c r="E524" s="59"/>
      <c r="F524" s="8"/>
      <c r="G524" s="8"/>
      <c r="H524" s="8"/>
      <c r="I524" s="8"/>
      <c r="J524" s="8"/>
      <c r="K524" s="8"/>
      <c r="L524" s="8"/>
      <c r="M524" s="8"/>
      <c r="N524" s="8"/>
      <c r="O524" s="8"/>
      <c r="P524" s="8"/>
      <c r="Q524" s="8"/>
      <c r="R524" s="8"/>
      <c r="S524" s="8"/>
      <c r="T524" s="8"/>
      <c r="U524" s="8"/>
      <c r="V524" s="8"/>
      <c r="W524" s="8"/>
      <c r="X524" s="8"/>
      <c r="Y524" s="8"/>
      <c r="Z524" s="8"/>
      <c r="AA524" s="8"/>
    </row>
    <row r="525" spans="1:27" ht="12.75">
      <c r="A525" s="8"/>
      <c r="B525" s="59"/>
      <c r="C525" s="59"/>
      <c r="D525" s="59"/>
      <c r="E525" s="59"/>
      <c r="F525" s="8"/>
      <c r="G525" s="8"/>
      <c r="H525" s="8"/>
      <c r="I525" s="8"/>
      <c r="J525" s="8"/>
      <c r="K525" s="8"/>
      <c r="L525" s="8"/>
      <c r="M525" s="8"/>
      <c r="N525" s="8"/>
      <c r="O525" s="8"/>
      <c r="P525" s="8"/>
      <c r="Q525" s="8"/>
      <c r="R525" s="8"/>
      <c r="S525" s="8"/>
      <c r="T525" s="8"/>
      <c r="U525" s="8"/>
      <c r="V525" s="8"/>
      <c r="W525" s="8"/>
      <c r="X525" s="8"/>
      <c r="Y525" s="8"/>
      <c r="Z525" s="8"/>
      <c r="AA525" s="8"/>
    </row>
    <row r="526" spans="1:27" ht="12.75">
      <c r="A526" s="8"/>
      <c r="B526" s="59"/>
      <c r="C526" s="59"/>
      <c r="D526" s="59"/>
      <c r="E526" s="59"/>
      <c r="F526" s="8"/>
      <c r="G526" s="8"/>
      <c r="H526" s="8"/>
      <c r="I526" s="8"/>
      <c r="J526" s="8"/>
      <c r="K526" s="8"/>
      <c r="L526" s="8"/>
      <c r="M526" s="8"/>
      <c r="N526" s="8"/>
      <c r="O526" s="8"/>
      <c r="P526" s="8"/>
      <c r="Q526" s="8"/>
      <c r="R526" s="8"/>
      <c r="S526" s="8"/>
      <c r="T526" s="8"/>
      <c r="U526" s="8"/>
      <c r="V526" s="8"/>
      <c r="W526" s="8"/>
      <c r="X526" s="8"/>
      <c r="Y526" s="8"/>
      <c r="Z526" s="8"/>
      <c r="AA526" s="8"/>
    </row>
    <row r="527" spans="1:27" ht="12.75">
      <c r="A527" s="8"/>
      <c r="B527" s="59"/>
      <c r="C527" s="59"/>
      <c r="D527" s="59"/>
      <c r="E527" s="59"/>
      <c r="F527" s="8"/>
      <c r="G527" s="8"/>
      <c r="H527" s="8"/>
      <c r="I527" s="8"/>
      <c r="J527" s="8"/>
      <c r="K527" s="8"/>
      <c r="L527" s="8"/>
      <c r="M527" s="8"/>
      <c r="N527" s="8"/>
      <c r="O527" s="8"/>
      <c r="P527" s="8"/>
      <c r="Q527" s="8"/>
      <c r="R527" s="8"/>
      <c r="S527" s="8"/>
      <c r="T527" s="8"/>
      <c r="U527" s="8"/>
      <c r="V527" s="8"/>
      <c r="W527" s="8"/>
      <c r="X527" s="8"/>
      <c r="Y527" s="8"/>
      <c r="Z527" s="8"/>
      <c r="AA527" s="8"/>
    </row>
    <row r="528" spans="1:27" ht="12.75">
      <c r="A528" s="8"/>
      <c r="B528" s="59"/>
      <c r="C528" s="59"/>
      <c r="D528" s="59"/>
      <c r="E528" s="59"/>
      <c r="F528" s="8"/>
      <c r="G528" s="8"/>
      <c r="H528" s="8"/>
      <c r="I528" s="8"/>
      <c r="J528" s="8"/>
      <c r="K528" s="8"/>
      <c r="L528" s="8"/>
      <c r="M528" s="8"/>
      <c r="N528" s="8"/>
      <c r="O528" s="8"/>
      <c r="P528" s="8"/>
      <c r="Q528" s="8"/>
      <c r="R528" s="8"/>
      <c r="S528" s="8"/>
      <c r="T528" s="8"/>
      <c r="U528" s="8"/>
      <c r="V528" s="8"/>
      <c r="W528" s="8"/>
      <c r="X528" s="8"/>
      <c r="Y528" s="8"/>
      <c r="Z528" s="8"/>
      <c r="AA528" s="8"/>
    </row>
    <row r="529" spans="1:27" ht="12.75">
      <c r="A529" s="8"/>
      <c r="B529" s="59"/>
      <c r="C529" s="59"/>
      <c r="D529" s="59"/>
      <c r="E529" s="59"/>
      <c r="F529" s="8"/>
      <c r="G529" s="8"/>
      <c r="H529" s="8"/>
      <c r="I529" s="8"/>
      <c r="J529" s="8"/>
      <c r="K529" s="8"/>
      <c r="L529" s="8"/>
      <c r="M529" s="8"/>
      <c r="N529" s="8"/>
      <c r="O529" s="8"/>
      <c r="P529" s="8"/>
      <c r="Q529" s="8"/>
      <c r="R529" s="8"/>
      <c r="S529" s="8"/>
      <c r="T529" s="8"/>
      <c r="U529" s="8"/>
      <c r="V529" s="8"/>
      <c r="W529" s="8"/>
      <c r="X529" s="8"/>
      <c r="Y529" s="8"/>
      <c r="Z529" s="8"/>
      <c r="AA529" s="8"/>
    </row>
    <row r="530" spans="1:27" ht="12.75">
      <c r="A530" s="8"/>
      <c r="B530" s="59"/>
      <c r="C530" s="59"/>
      <c r="D530" s="59"/>
      <c r="E530" s="59"/>
      <c r="F530" s="8"/>
      <c r="G530" s="8"/>
      <c r="H530" s="8"/>
      <c r="I530" s="8"/>
      <c r="J530" s="8"/>
      <c r="K530" s="8"/>
      <c r="L530" s="8"/>
      <c r="M530" s="8"/>
      <c r="N530" s="8"/>
      <c r="O530" s="8"/>
      <c r="P530" s="8"/>
      <c r="Q530" s="8"/>
      <c r="R530" s="8"/>
      <c r="S530" s="8"/>
      <c r="T530" s="8"/>
      <c r="U530" s="8"/>
      <c r="V530" s="8"/>
      <c r="W530" s="8"/>
      <c r="X530" s="8"/>
      <c r="Y530" s="8"/>
      <c r="Z530" s="8"/>
      <c r="AA530" s="8"/>
    </row>
    <row r="531" spans="1:27" ht="12.75">
      <c r="A531" s="8"/>
      <c r="B531" s="59"/>
      <c r="C531" s="59"/>
      <c r="D531" s="59"/>
      <c r="E531" s="59"/>
      <c r="F531" s="8"/>
      <c r="G531" s="8"/>
      <c r="H531" s="8"/>
      <c r="I531" s="8"/>
      <c r="J531" s="8"/>
      <c r="K531" s="8"/>
      <c r="L531" s="8"/>
      <c r="M531" s="8"/>
      <c r="N531" s="8"/>
      <c r="O531" s="8"/>
      <c r="P531" s="8"/>
      <c r="Q531" s="8"/>
      <c r="R531" s="8"/>
      <c r="S531" s="8"/>
      <c r="T531" s="8"/>
      <c r="U531" s="8"/>
      <c r="V531" s="8"/>
      <c r="W531" s="8"/>
      <c r="X531" s="8"/>
      <c r="Y531" s="8"/>
      <c r="Z531" s="8"/>
      <c r="AA531" s="8"/>
    </row>
    <row r="532" spans="1:27" ht="12.75">
      <c r="A532" s="8"/>
      <c r="B532" s="59"/>
      <c r="C532" s="59"/>
      <c r="D532" s="59"/>
      <c r="E532" s="59"/>
      <c r="F532" s="8"/>
      <c r="G532" s="8"/>
      <c r="H532" s="8"/>
      <c r="I532" s="8"/>
      <c r="J532" s="8"/>
      <c r="K532" s="8"/>
      <c r="L532" s="8"/>
      <c r="M532" s="8"/>
      <c r="N532" s="8"/>
      <c r="O532" s="8"/>
      <c r="P532" s="8"/>
      <c r="Q532" s="8"/>
      <c r="R532" s="8"/>
      <c r="S532" s="8"/>
      <c r="T532" s="8"/>
      <c r="U532" s="8"/>
      <c r="V532" s="8"/>
      <c r="W532" s="8"/>
      <c r="X532" s="8"/>
      <c r="Y532" s="8"/>
      <c r="Z532" s="8"/>
      <c r="AA532" s="8"/>
    </row>
    <row r="533" spans="1:27" ht="12.75">
      <c r="A533" s="8"/>
      <c r="B533" s="59"/>
      <c r="C533" s="59"/>
      <c r="D533" s="59"/>
      <c r="E533" s="59"/>
      <c r="F533" s="8"/>
      <c r="G533" s="8"/>
      <c r="H533" s="8"/>
      <c r="I533" s="8"/>
      <c r="J533" s="8"/>
      <c r="K533" s="8"/>
      <c r="L533" s="8"/>
      <c r="M533" s="8"/>
      <c r="N533" s="8"/>
      <c r="O533" s="8"/>
      <c r="P533" s="8"/>
      <c r="Q533" s="8"/>
      <c r="R533" s="8"/>
      <c r="S533" s="8"/>
      <c r="T533" s="8"/>
      <c r="U533" s="8"/>
      <c r="V533" s="8"/>
      <c r="W533" s="8"/>
      <c r="X533" s="8"/>
      <c r="Y533" s="8"/>
      <c r="Z533" s="8"/>
      <c r="AA533" s="8"/>
    </row>
    <row r="534" spans="1:27" ht="12.75">
      <c r="A534" s="8"/>
      <c r="B534" s="59"/>
      <c r="C534" s="59"/>
      <c r="D534" s="59"/>
      <c r="E534" s="59"/>
      <c r="F534" s="8"/>
      <c r="G534" s="8"/>
      <c r="H534" s="8"/>
      <c r="I534" s="8"/>
      <c r="J534" s="8"/>
      <c r="K534" s="8"/>
      <c r="L534" s="8"/>
      <c r="M534" s="8"/>
      <c r="N534" s="8"/>
      <c r="O534" s="8"/>
      <c r="P534" s="8"/>
      <c r="Q534" s="8"/>
      <c r="R534" s="8"/>
      <c r="S534" s="8"/>
      <c r="T534" s="8"/>
      <c r="U534" s="8"/>
      <c r="V534" s="8"/>
      <c r="W534" s="8"/>
      <c r="X534" s="8"/>
      <c r="Y534" s="8"/>
      <c r="Z534" s="8"/>
      <c r="AA534" s="8"/>
    </row>
    <row r="535" spans="1:27" ht="12.75">
      <c r="A535" s="8"/>
      <c r="B535" s="59"/>
      <c r="C535" s="59"/>
      <c r="D535" s="59"/>
      <c r="E535" s="59"/>
      <c r="F535" s="8"/>
      <c r="G535" s="8"/>
      <c r="H535" s="8"/>
      <c r="I535" s="8"/>
      <c r="J535" s="8"/>
      <c r="K535" s="8"/>
      <c r="L535" s="8"/>
      <c r="M535" s="8"/>
      <c r="N535" s="8"/>
      <c r="O535" s="8"/>
      <c r="P535" s="8"/>
      <c r="Q535" s="8"/>
      <c r="R535" s="8"/>
      <c r="S535" s="8"/>
      <c r="T535" s="8"/>
      <c r="U535" s="8"/>
      <c r="V535" s="8"/>
      <c r="W535" s="8"/>
      <c r="X535" s="8"/>
      <c r="Y535" s="8"/>
      <c r="Z535" s="8"/>
      <c r="AA535" s="8"/>
    </row>
    <row r="536" spans="1:27" ht="12.75">
      <c r="A536" s="8"/>
      <c r="B536" s="59"/>
      <c r="C536" s="59"/>
      <c r="D536" s="59"/>
      <c r="E536" s="59"/>
      <c r="F536" s="8"/>
      <c r="G536" s="8"/>
      <c r="H536" s="8"/>
      <c r="I536" s="8"/>
      <c r="J536" s="8"/>
      <c r="K536" s="8"/>
      <c r="L536" s="8"/>
      <c r="M536" s="8"/>
      <c r="N536" s="8"/>
      <c r="O536" s="8"/>
      <c r="P536" s="8"/>
      <c r="Q536" s="8"/>
      <c r="R536" s="8"/>
      <c r="S536" s="8"/>
      <c r="T536" s="8"/>
      <c r="U536" s="8"/>
      <c r="V536" s="8"/>
      <c r="W536" s="8"/>
      <c r="X536" s="8"/>
      <c r="Y536" s="8"/>
      <c r="Z536" s="8"/>
      <c r="AA536" s="8"/>
    </row>
    <row r="537" spans="1:27" ht="12.75">
      <c r="A537" s="8"/>
      <c r="B537" s="59"/>
      <c r="C537" s="59"/>
      <c r="D537" s="59"/>
      <c r="E537" s="59"/>
      <c r="F537" s="8"/>
      <c r="G537" s="8"/>
      <c r="H537" s="8"/>
      <c r="I537" s="8"/>
      <c r="J537" s="8"/>
      <c r="K537" s="8"/>
      <c r="L537" s="8"/>
      <c r="M537" s="8"/>
      <c r="N537" s="8"/>
      <c r="O537" s="8"/>
      <c r="P537" s="8"/>
      <c r="Q537" s="8"/>
      <c r="R537" s="8"/>
      <c r="S537" s="8"/>
      <c r="T537" s="8"/>
      <c r="U537" s="8"/>
      <c r="V537" s="8"/>
      <c r="W537" s="8"/>
      <c r="X537" s="8"/>
      <c r="Y537" s="8"/>
      <c r="Z537" s="8"/>
      <c r="AA537" s="8"/>
    </row>
    <row r="538" spans="1:27" ht="12.75">
      <c r="A538" s="8"/>
      <c r="B538" s="59"/>
      <c r="C538" s="59"/>
      <c r="D538" s="59"/>
      <c r="E538" s="59"/>
      <c r="F538" s="8"/>
      <c r="G538" s="8"/>
      <c r="H538" s="8"/>
      <c r="I538" s="8"/>
      <c r="J538" s="8"/>
      <c r="K538" s="8"/>
      <c r="L538" s="8"/>
      <c r="M538" s="8"/>
      <c r="N538" s="8"/>
      <c r="O538" s="8"/>
      <c r="P538" s="8"/>
      <c r="Q538" s="8"/>
      <c r="R538" s="8"/>
      <c r="S538" s="8"/>
      <c r="T538" s="8"/>
      <c r="U538" s="8"/>
      <c r="V538" s="8"/>
      <c r="W538" s="8"/>
      <c r="X538" s="8"/>
      <c r="Y538" s="8"/>
      <c r="Z538" s="8"/>
      <c r="AA538" s="8"/>
    </row>
    <row r="539" spans="1:27" ht="12.75">
      <c r="A539" s="8"/>
      <c r="B539" s="59"/>
      <c r="C539" s="59"/>
      <c r="D539" s="59"/>
      <c r="E539" s="59"/>
      <c r="F539" s="8"/>
      <c r="G539" s="8"/>
      <c r="H539" s="8"/>
      <c r="I539" s="8"/>
      <c r="J539" s="8"/>
      <c r="K539" s="8"/>
      <c r="L539" s="8"/>
      <c r="M539" s="8"/>
      <c r="N539" s="8"/>
      <c r="O539" s="8"/>
      <c r="P539" s="8"/>
      <c r="Q539" s="8"/>
      <c r="R539" s="8"/>
      <c r="S539" s="8"/>
      <c r="T539" s="8"/>
      <c r="U539" s="8"/>
      <c r="V539" s="8"/>
      <c r="W539" s="8"/>
      <c r="X539" s="8"/>
      <c r="Y539" s="8"/>
      <c r="Z539" s="8"/>
      <c r="AA539" s="8"/>
    </row>
    <row r="540" spans="1:27" ht="12.75">
      <c r="A540" s="8"/>
      <c r="B540" s="59"/>
      <c r="C540" s="59"/>
      <c r="D540" s="59"/>
      <c r="E540" s="59"/>
      <c r="F540" s="8"/>
      <c r="G540" s="8"/>
      <c r="H540" s="8"/>
      <c r="I540" s="8"/>
      <c r="J540" s="8"/>
      <c r="K540" s="8"/>
      <c r="L540" s="8"/>
      <c r="M540" s="8"/>
      <c r="N540" s="8"/>
      <c r="O540" s="8"/>
      <c r="P540" s="8"/>
      <c r="Q540" s="8"/>
      <c r="R540" s="8"/>
      <c r="S540" s="8"/>
      <c r="T540" s="8"/>
      <c r="U540" s="8"/>
      <c r="V540" s="8"/>
      <c r="W540" s="8"/>
      <c r="X540" s="8"/>
      <c r="Y540" s="8"/>
      <c r="Z540" s="8"/>
      <c r="AA540" s="8"/>
    </row>
    <row r="541" spans="1:27" ht="12.75">
      <c r="A541" s="8"/>
      <c r="B541" s="59"/>
      <c r="C541" s="59"/>
      <c r="D541" s="59"/>
      <c r="E541" s="59"/>
      <c r="F541" s="8"/>
      <c r="G541" s="8"/>
      <c r="H541" s="8"/>
      <c r="I541" s="8"/>
      <c r="J541" s="8"/>
      <c r="K541" s="8"/>
      <c r="L541" s="8"/>
      <c r="M541" s="8"/>
      <c r="N541" s="8"/>
      <c r="O541" s="8"/>
      <c r="P541" s="8"/>
      <c r="Q541" s="8"/>
      <c r="R541" s="8"/>
      <c r="S541" s="8"/>
      <c r="T541" s="8"/>
      <c r="U541" s="8"/>
      <c r="V541" s="8"/>
      <c r="W541" s="8"/>
      <c r="X541" s="8"/>
      <c r="Y541" s="8"/>
      <c r="Z541" s="8"/>
      <c r="AA541" s="8"/>
    </row>
    <row r="542" spans="1:27" ht="12.75">
      <c r="A542" s="8"/>
      <c r="B542" s="59"/>
      <c r="C542" s="59"/>
      <c r="D542" s="59"/>
      <c r="E542" s="59"/>
      <c r="F542" s="8"/>
      <c r="G542" s="8"/>
      <c r="H542" s="8"/>
      <c r="I542" s="8"/>
      <c r="J542" s="8"/>
      <c r="K542" s="8"/>
      <c r="L542" s="8"/>
      <c r="M542" s="8"/>
      <c r="N542" s="8"/>
      <c r="O542" s="8"/>
      <c r="P542" s="8"/>
      <c r="Q542" s="8"/>
      <c r="R542" s="8"/>
      <c r="S542" s="8"/>
      <c r="T542" s="8"/>
      <c r="U542" s="8"/>
      <c r="V542" s="8"/>
      <c r="W542" s="8"/>
      <c r="X542" s="8"/>
      <c r="Y542" s="8"/>
      <c r="Z542" s="8"/>
      <c r="AA542" s="8"/>
    </row>
    <row r="543" spans="1:27" ht="12.75">
      <c r="A543" s="8"/>
      <c r="B543" s="59"/>
      <c r="C543" s="59"/>
      <c r="D543" s="59"/>
      <c r="E543" s="59"/>
      <c r="F543" s="8"/>
      <c r="G543" s="8"/>
      <c r="H543" s="8"/>
      <c r="I543" s="8"/>
      <c r="J543" s="8"/>
      <c r="K543" s="8"/>
      <c r="L543" s="8"/>
      <c r="M543" s="8"/>
      <c r="N543" s="8"/>
      <c r="O543" s="8"/>
      <c r="P543" s="8"/>
      <c r="Q543" s="8"/>
      <c r="R543" s="8"/>
      <c r="S543" s="8"/>
      <c r="T543" s="8"/>
      <c r="U543" s="8"/>
      <c r="V543" s="8"/>
      <c r="W543" s="8"/>
      <c r="X543" s="8"/>
      <c r="Y543" s="8"/>
      <c r="Z543" s="8"/>
      <c r="AA543" s="8"/>
    </row>
    <row r="544" spans="1:27" ht="12.75">
      <c r="A544" s="8"/>
      <c r="B544" s="59"/>
      <c r="C544" s="59"/>
      <c r="D544" s="59"/>
      <c r="E544" s="59"/>
      <c r="F544" s="8"/>
      <c r="G544" s="8"/>
      <c r="H544" s="8"/>
      <c r="I544" s="8"/>
      <c r="J544" s="8"/>
      <c r="K544" s="8"/>
      <c r="L544" s="8"/>
      <c r="M544" s="8"/>
      <c r="N544" s="8"/>
      <c r="O544" s="8"/>
      <c r="P544" s="8"/>
      <c r="Q544" s="8"/>
      <c r="R544" s="8"/>
      <c r="S544" s="8"/>
      <c r="T544" s="8"/>
      <c r="U544" s="8"/>
      <c r="V544" s="8"/>
      <c r="W544" s="8"/>
      <c r="X544" s="8"/>
      <c r="Y544" s="8"/>
      <c r="Z544" s="8"/>
      <c r="AA544" s="8"/>
    </row>
    <row r="545" spans="1:27" ht="12.75">
      <c r="A545" s="8"/>
      <c r="B545" s="59"/>
      <c r="C545" s="59"/>
      <c r="D545" s="59"/>
      <c r="E545" s="59"/>
      <c r="F545" s="8"/>
      <c r="G545" s="8"/>
      <c r="H545" s="8"/>
      <c r="I545" s="8"/>
      <c r="J545" s="8"/>
      <c r="K545" s="8"/>
      <c r="L545" s="8"/>
      <c r="M545" s="8"/>
      <c r="N545" s="8"/>
      <c r="O545" s="8"/>
      <c r="P545" s="8"/>
      <c r="Q545" s="8"/>
      <c r="R545" s="8"/>
      <c r="S545" s="8"/>
      <c r="T545" s="8"/>
      <c r="U545" s="8"/>
      <c r="V545" s="8"/>
      <c r="W545" s="8"/>
      <c r="X545" s="8"/>
      <c r="Y545" s="8"/>
      <c r="Z545" s="8"/>
      <c r="AA545" s="8"/>
    </row>
    <row r="546" spans="1:27" ht="12.75">
      <c r="A546" s="8"/>
      <c r="B546" s="59"/>
      <c r="C546" s="59"/>
      <c r="D546" s="59"/>
      <c r="E546" s="59"/>
      <c r="F546" s="8"/>
      <c r="G546" s="8"/>
      <c r="H546" s="8"/>
      <c r="I546" s="8"/>
      <c r="J546" s="8"/>
      <c r="K546" s="8"/>
      <c r="L546" s="8"/>
      <c r="M546" s="8"/>
      <c r="N546" s="8"/>
      <c r="O546" s="8"/>
      <c r="P546" s="8"/>
      <c r="Q546" s="8"/>
      <c r="R546" s="8"/>
      <c r="S546" s="8"/>
      <c r="T546" s="8"/>
      <c r="U546" s="8"/>
      <c r="V546" s="8"/>
      <c r="W546" s="8"/>
      <c r="X546" s="8"/>
      <c r="Y546" s="8"/>
      <c r="Z546" s="8"/>
      <c r="AA546" s="8"/>
    </row>
    <row r="547" spans="1:27" ht="12.75">
      <c r="A547" s="8"/>
      <c r="B547" s="59"/>
      <c r="C547" s="59"/>
      <c r="D547" s="59"/>
      <c r="E547" s="59"/>
      <c r="F547" s="8"/>
      <c r="G547" s="8"/>
      <c r="H547" s="8"/>
      <c r="I547" s="8"/>
      <c r="J547" s="8"/>
      <c r="K547" s="8"/>
      <c r="L547" s="8"/>
      <c r="M547" s="8"/>
      <c r="N547" s="8"/>
      <c r="O547" s="8"/>
      <c r="P547" s="8"/>
      <c r="Q547" s="8"/>
      <c r="R547" s="8"/>
      <c r="S547" s="8"/>
      <c r="T547" s="8"/>
      <c r="U547" s="8"/>
      <c r="V547" s="8"/>
      <c r="W547" s="8"/>
      <c r="X547" s="8"/>
      <c r="Y547" s="8"/>
      <c r="Z547" s="8"/>
      <c r="AA547" s="8"/>
    </row>
    <row r="548" spans="1:27" ht="12.75">
      <c r="A548" s="8"/>
      <c r="B548" s="59"/>
      <c r="C548" s="59"/>
      <c r="D548" s="59"/>
      <c r="E548" s="59"/>
      <c r="F548" s="8"/>
      <c r="G548" s="8"/>
      <c r="H548" s="8"/>
      <c r="I548" s="8"/>
      <c r="J548" s="8"/>
      <c r="K548" s="8"/>
      <c r="L548" s="8"/>
      <c r="M548" s="8"/>
      <c r="N548" s="8"/>
      <c r="O548" s="8"/>
      <c r="P548" s="8"/>
      <c r="Q548" s="8"/>
      <c r="R548" s="8"/>
      <c r="S548" s="8"/>
      <c r="T548" s="8"/>
      <c r="U548" s="8"/>
      <c r="V548" s="8"/>
      <c r="W548" s="8"/>
      <c r="X548" s="8"/>
      <c r="Y548" s="8"/>
      <c r="Z548" s="8"/>
      <c r="AA548" s="8"/>
    </row>
    <row r="549" spans="1:27" ht="12.75">
      <c r="A549" s="8"/>
      <c r="B549" s="59"/>
      <c r="C549" s="59"/>
      <c r="D549" s="59"/>
      <c r="E549" s="59"/>
      <c r="F549" s="8"/>
      <c r="G549" s="8"/>
      <c r="H549" s="8"/>
      <c r="I549" s="8"/>
      <c r="J549" s="8"/>
      <c r="K549" s="8"/>
      <c r="L549" s="8"/>
      <c r="M549" s="8"/>
      <c r="N549" s="8"/>
      <c r="O549" s="8"/>
      <c r="P549" s="8"/>
      <c r="Q549" s="8"/>
      <c r="R549" s="8"/>
      <c r="S549" s="8"/>
      <c r="T549" s="8"/>
      <c r="U549" s="8"/>
      <c r="V549" s="8"/>
      <c r="W549" s="8"/>
      <c r="X549" s="8"/>
      <c r="Y549" s="8"/>
      <c r="Z549" s="8"/>
      <c r="AA549" s="8"/>
    </row>
    <row r="550" spans="1:27" ht="12.75">
      <c r="A550" s="8"/>
      <c r="B550" s="59"/>
      <c r="C550" s="59"/>
      <c r="D550" s="59"/>
      <c r="E550" s="59"/>
      <c r="F550" s="8"/>
      <c r="G550" s="8"/>
      <c r="H550" s="8"/>
      <c r="I550" s="8"/>
      <c r="J550" s="8"/>
      <c r="K550" s="8"/>
      <c r="L550" s="8"/>
      <c r="M550" s="8"/>
      <c r="N550" s="8"/>
      <c r="O550" s="8"/>
      <c r="P550" s="8"/>
      <c r="Q550" s="8"/>
      <c r="R550" s="8"/>
      <c r="S550" s="8"/>
      <c r="T550" s="8"/>
      <c r="U550" s="8"/>
      <c r="V550" s="8"/>
      <c r="W550" s="8"/>
      <c r="X550" s="8"/>
      <c r="Y550" s="8"/>
      <c r="Z550" s="8"/>
      <c r="AA550" s="8"/>
    </row>
    <row r="551" spans="1:27" ht="12.75">
      <c r="A551" s="8"/>
      <c r="B551" s="59"/>
      <c r="C551" s="59"/>
      <c r="D551" s="59"/>
      <c r="E551" s="59"/>
      <c r="F551" s="8"/>
      <c r="G551" s="8"/>
      <c r="H551" s="8"/>
      <c r="I551" s="8"/>
      <c r="J551" s="8"/>
      <c r="K551" s="8"/>
      <c r="L551" s="8"/>
      <c r="M551" s="8"/>
      <c r="N551" s="8"/>
      <c r="O551" s="8"/>
      <c r="P551" s="8"/>
      <c r="Q551" s="8"/>
      <c r="R551" s="8"/>
      <c r="S551" s="8"/>
      <c r="T551" s="8"/>
      <c r="U551" s="8"/>
      <c r="V551" s="8"/>
      <c r="W551" s="8"/>
      <c r="X551" s="8"/>
      <c r="Y551" s="8"/>
      <c r="Z551" s="8"/>
      <c r="AA551" s="8"/>
    </row>
    <row r="552" spans="1:27" ht="12.75">
      <c r="A552" s="8"/>
      <c r="B552" s="59"/>
      <c r="C552" s="59"/>
      <c r="D552" s="59"/>
      <c r="E552" s="59"/>
      <c r="F552" s="8"/>
      <c r="G552" s="8"/>
      <c r="H552" s="8"/>
      <c r="I552" s="8"/>
      <c r="J552" s="8"/>
      <c r="K552" s="8"/>
      <c r="L552" s="8"/>
      <c r="M552" s="8"/>
      <c r="N552" s="8"/>
      <c r="O552" s="8"/>
      <c r="P552" s="8"/>
      <c r="Q552" s="8"/>
      <c r="R552" s="8"/>
      <c r="S552" s="8"/>
      <c r="T552" s="8"/>
      <c r="U552" s="8"/>
      <c r="V552" s="8"/>
      <c r="W552" s="8"/>
      <c r="X552" s="8"/>
      <c r="Y552" s="8"/>
      <c r="Z552" s="8"/>
      <c r="AA552" s="8"/>
    </row>
    <row r="553" spans="1:27" ht="12.75">
      <c r="A553" s="8"/>
      <c r="B553" s="59"/>
      <c r="C553" s="59"/>
      <c r="D553" s="59"/>
      <c r="E553" s="59"/>
      <c r="F553" s="8"/>
      <c r="G553" s="8"/>
      <c r="H553" s="8"/>
      <c r="I553" s="8"/>
      <c r="J553" s="8"/>
      <c r="K553" s="8"/>
      <c r="L553" s="8"/>
      <c r="M553" s="8"/>
      <c r="N553" s="8"/>
      <c r="O553" s="8"/>
      <c r="P553" s="8"/>
      <c r="Q553" s="8"/>
      <c r="R553" s="8"/>
      <c r="S553" s="8"/>
      <c r="T553" s="8"/>
      <c r="U553" s="8"/>
      <c r="V553" s="8"/>
      <c r="W553" s="8"/>
      <c r="X553" s="8"/>
      <c r="Y553" s="8"/>
      <c r="Z553" s="8"/>
      <c r="AA553" s="8"/>
    </row>
    <row r="554" spans="1:27" ht="12.75">
      <c r="A554" s="8"/>
      <c r="B554" s="59"/>
      <c r="C554" s="59"/>
      <c r="D554" s="59"/>
      <c r="E554" s="59"/>
      <c r="F554" s="8"/>
      <c r="G554" s="8"/>
      <c r="H554" s="8"/>
      <c r="I554" s="8"/>
      <c r="J554" s="8"/>
      <c r="K554" s="8"/>
      <c r="L554" s="8"/>
      <c r="M554" s="8"/>
      <c r="N554" s="8"/>
      <c r="O554" s="8"/>
      <c r="P554" s="8"/>
      <c r="Q554" s="8"/>
      <c r="R554" s="8"/>
      <c r="S554" s="8"/>
      <c r="T554" s="8"/>
      <c r="U554" s="8"/>
      <c r="V554" s="8"/>
      <c r="W554" s="8"/>
      <c r="X554" s="8"/>
      <c r="Y554" s="8"/>
      <c r="Z554" s="8"/>
      <c r="AA554" s="8"/>
    </row>
    <row r="555" spans="1:27" ht="12.75">
      <c r="A555" s="8"/>
      <c r="B555" s="59"/>
      <c r="C555" s="59"/>
      <c r="D555" s="59"/>
      <c r="E555" s="59"/>
      <c r="F555" s="8"/>
      <c r="G555" s="8"/>
      <c r="H555" s="8"/>
      <c r="I555" s="8"/>
      <c r="J555" s="8"/>
      <c r="K555" s="8"/>
      <c r="L555" s="8"/>
      <c r="M555" s="8"/>
      <c r="N555" s="8"/>
      <c r="O555" s="8"/>
      <c r="P555" s="8"/>
      <c r="Q555" s="8"/>
      <c r="R555" s="8"/>
      <c r="S555" s="8"/>
      <c r="T555" s="8"/>
      <c r="U555" s="8"/>
      <c r="V555" s="8"/>
      <c r="W555" s="8"/>
      <c r="X555" s="8"/>
      <c r="Y555" s="8"/>
      <c r="Z555" s="8"/>
      <c r="AA555" s="8"/>
    </row>
    <row r="556" spans="1:27" ht="12.75">
      <c r="A556" s="8"/>
      <c r="B556" s="59"/>
      <c r="C556" s="59"/>
      <c r="D556" s="59"/>
      <c r="E556" s="59"/>
      <c r="F556" s="8"/>
      <c r="G556" s="8"/>
      <c r="H556" s="8"/>
      <c r="I556" s="8"/>
      <c r="J556" s="8"/>
      <c r="K556" s="8"/>
      <c r="L556" s="8"/>
      <c r="M556" s="8"/>
      <c r="N556" s="8"/>
      <c r="O556" s="8"/>
      <c r="P556" s="8"/>
      <c r="Q556" s="8"/>
      <c r="R556" s="8"/>
      <c r="S556" s="8"/>
      <c r="T556" s="8"/>
      <c r="U556" s="8"/>
      <c r="V556" s="8"/>
      <c r="W556" s="8"/>
      <c r="X556" s="8"/>
      <c r="Y556" s="8"/>
      <c r="Z556" s="8"/>
      <c r="AA556" s="8"/>
    </row>
    <row r="557" spans="1:27" ht="12.75">
      <c r="A557" s="8"/>
      <c r="B557" s="59"/>
      <c r="C557" s="59"/>
      <c r="D557" s="59"/>
      <c r="E557" s="59"/>
      <c r="F557" s="8"/>
      <c r="G557" s="8"/>
      <c r="H557" s="8"/>
      <c r="I557" s="8"/>
      <c r="J557" s="8"/>
      <c r="K557" s="8"/>
      <c r="L557" s="8"/>
      <c r="M557" s="8"/>
      <c r="N557" s="8"/>
      <c r="O557" s="8"/>
      <c r="P557" s="8"/>
      <c r="Q557" s="8"/>
      <c r="R557" s="8"/>
      <c r="S557" s="8"/>
      <c r="T557" s="8"/>
      <c r="U557" s="8"/>
      <c r="V557" s="8"/>
      <c r="W557" s="8"/>
      <c r="X557" s="8"/>
      <c r="Y557" s="8"/>
      <c r="Z557" s="8"/>
      <c r="AA557" s="8"/>
    </row>
    <row r="558" spans="1:27" ht="12.75">
      <c r="A558" s="8"/>
      <c r="B558" s="59"/>
      <c r="C558" s="59"/>
      <c r="D558" s="59"/>
      <c r="E558" s="59"/>
      <c r="F558" s="8"/>
      <c r="G558" s="8"/>
      <c r="H558" s="8"/>
      <c r="I558" s="8"/>
      <c r="J558" s="8"/>
      <c r="K558" s="8"/>
      <c r="L558" s="8"/>
      <c r="M558" s="8"/>
      <c r="N558" s="8"/>
      <c r="O558" s="8"/>
      <c r="P558" s="8"/>
      <c r="Q558" s="8"/>
      <c r="R558" s="8"/>
      <c r="S558" s="8"/>
      <c r="T558" s="8"/>
      <c r="U558" s="8"/>
      <c r="V558" s="8"/>
      <c r="W558" s="8"/>
      <c r="X558" s="8"/>
      <c r="Y558" s="8"/>
      <c r="Z558" s="8"/>
      <c r="AA558" s="8"/>
    </row>
    <row r="559" spans="1:27" ht="12.75">
      <c r="A559" s="8"/>
      <c r="B559" s="59"/>
      <c r="C559" s="59"/>
      <c r="D559" s="59"/>
      <c r="E559" s="59"/>
      <c r="F559" s="8"/>
      <c r="G559" s="8"/>
      <c r="H559" s="8"/>
      <c r="I559" s="8"/>
      <c r="J559" s="8"/>
      <c r="K559" s="8"/>
      <c r="L559" s="8"/>
      <c r="M559" s="8"/>
      <c r="N559" s="8"/>
      <c r="O559" s="8"/>
      <c r="P559" s="8"/>
      <c r="Q559" s="8"/>
      <c r="R559" s="8"/>
      <c r="S559" s="8"/>
      <c r="T559" s="8"/>
      <c r="U559" s="8"/>
      <c r="V559" s="8"/>
      <c r="W559" s="8"/>
      <c r="X559" s="8"/>
      <c r="Y559" s="8"/>
      <c r="Z559" s="8"/>
      <c r="AA559" s="8"/>
    </row>
    <row r="560" spans="1:27" ht="12.75">
      <c r="A560" s="8"/>
      <c r="B560" s="59"/>
      <c r="C560" s="59"/>
      <c r="D560" s="59"/>
      <c r="E560" s="59"/>
      <c r="F560" s="8"/>
      <c r="G560" s="8"/>
      <c r="H560" s="8"/>
      <c r="I560" s="8"/>
      <c r="J560" s="8"/>
      <c r="K560" s="8"/>
      <c r="L560" s="8"/>
      <c r="M560" s="8"/>
      <c r="N560" s="8"/>
      <c r="O560" s="8"/>
      <c r="P560" s="8"/>
      <c r="Q560" s="8"/>
      <c r="R560" s="8"/>
      <c r="S560" s="8"/>
      <c r="T560" s="8"/>
      <c r="U560" s="8"/>
      <c r="V560" s="8"/>
      <c r="W560" s="8"/>
      <c r="X560" s="8"/>
      <c r="Y560" s="8"/>
      <c r="Z560" s="8"/>
      <c r="AA560" s="8"/>
    </row>
    <row r="561" spans="1:27" ht="12.75">
      <c r="A561" s="8"/>
      <c r="B561" s="59"/>
      <c r="C561" s="59"/>
      <c r="D561" s="59"/>
      <c r="E561" s="59"/>
      <c r="F561" s="8"/>
      <c r="G561" s="8"/>
      <c r="H561" s="8"/>
      <c r="I561" s="8"/>
      <c r="J561" s="8"/>
      <c r="K561" s="8"/>
      <c r="L561" s="8"/>
      <c r="M561" s="8"/>
      <c r="N561" s="8"/>
      <c r="O561" s="8"/>
      <c r="P561" s="8"/>
      <c r="Q561" s="8"/>
      <c r="R561" s="8"/>
      <c r="S561" s="8"/>
      <c r="T561" s="8"/>
      <c r="U561" s="8"/>
      <c r="V561" s="8"/>
      <c r="W561" s="8"/>
      <c r="X561" s="8"/>
      <c r="Y561" s="8"/>
      <c r="Z561" s="8"/>
      <c r="AA561" s="8"/>
    </row>
    <row r="562" spans="1:27" ht="12.75">
      <c r="A562" s="8"/>
      <c r="B562" s="59"/>
      <c r="C562" s="59"/>
      <c r="D562" s="59"/>
      <c r="E562" s="59"/>
      <c r="F562" s="8"/>
      <c r="G562" s="8"/>
      <c r="H562" s="8"/>
      <c r="I562" s="8"/>
      <c r="J562" s="8"/>
      <c r="K562" s="8"/>
      <c r="L562" s="8"/>
      <c r="M562" s="8"/>
      <c r="N562" s="8"/>
      <c r="O562" s="8"/>
      <c r="P562" s="8"/>
      <c r="Q562" s="8"/>
      <c r="R562" s="8"/>
      <c r="S562" s="8"/>
      <c r="T562" s="8"/>
      <c r="U562" s="8"/>
      <c r="V562" s="8"/>
      <c r="W562" s="8"/>
      <c r="X562" s="8"/>
      <c r="Y562" s="8"/>
      <c r="Z562" s="8"/>
      <c r="AA562" s="8"/>
    </row>
    <row r="563" spans="1:27" ht="12.75">
      <c r="A563" s="8"/>
      <c r="B563" s="59"/>
      <c r="C563" s="59"/>
      <c r="D563" s="59"/>
      <c r="E563" s="59"/>
      <c r="F563" s="8"/>
      <c r="G563" s="8"/>
      <c r="H563" s="8"/>
      <c r="I563" s="8"/>
      <c r="J563" s="8"/>
      <c r="K563" s="8"/>
      <c r="L563" s="8"/>
      <c r="M563" s="8"/>
      <c r="N563" s="8"/>
      <c r="O563" s="8"/>
      <c r="P563" s="8"/>
      <c r="Q563" s="8"/>
      <c r="R563" s="8"/>
      <c r="S563" s="8"/>
      <c r="T563" s="8"/>
      <c r="U563" s="8"/>
      <c r="V563" s="8"/>
      <c r="W563" s="8"/>
      <c r="X563" s="8"/>
      <c r="Y563" s="8"/>
      <c r="Z563" s="8"/>
      <c r="AA563" s="8"/>
    </row>
    <row r="564" spans="1:27" ht="12.75">
      <c r="A564" s="8"/>
      <c r="B564" s="59"/>
      <c r="C564" s="59"/>
      <c r="D564" s="59"/>
      <c r="E564" s="59"/>
      <c r="F564" s="8"/>
      <c r="G564" s="8"/>
      <c r="H564" s="8"/>
      <c r="I564" s="8"/>
      <c r="J564" s="8"/>
      <c r="K564" s="8"/>
      <c r="L564" s="8"/>
      <c r="M564" s="8"/>
      <c r="N564" s="8"/>
      <c r="O564" s="8"/>
      <c r="P564" s="8"/>
      <c r="Q564" s="8"/>
      <c r="R564" s="8"/>
      <c r="S564" s="8"/>
      <c r="T564" s="8"/>
      <c r="U564" s="8"/>
      <c r="V564" s="8"/>
      <c r="W564" s="8"/>
      <c r="X564" s="8"/>
      <c r="Y564" s="8"/>
      <c r="Z564" s="8"/>
      <c r="AA564" s="8"/>
    </row>
    <row r="565" spans="1:27" ht="12.75">
      <c r="A565" s="8"/>
      <c r="B565" s="59"/>
      <c r="C565" s="59"/>
      <c r="D565" s="59"/>
      <c r="E565" s="59"/>
      <c r="F565" s="8"/>
      <c r="G565" s="8"/>
      <c r="H565" s="8"/>
      <c r="I565" s="8"/>
      <c r="J565" s="8"/>
      <c r="K565" s="8"/>
      <c r="L565" s="8"/>
      <c r="M565" s="8"/>
      <c r="N565" s="8"/>
      <c r="O565" s="8"/>
      <c r="P565" s="8"/>
      <c r="Q565" s="8"/>
      <c r="R565" s="8"/>
      <c r="S565" s="8"/>
      <c r="T565" s="8"/>
      <c r="U565" s="8"/>
      <c r="V565" s="8"/>
      <c r="W565" s="8"/>
      <c r="X565" s="8"/>
      <c r="Y565" s="8"/>
      <c r="Z565" s="8"/>
      <c r="AA565" s="8"/>
    </row>
    <row r="566" spans="1:27" ht="12.75">
      <c r="A566" s="8"/>
      <c r="B566" s="59"/>
      <c r="C566" s="59"/>
      <c r="D566" s="59"/>
      <c r="E566" s="59"/>
      <c r="F566" s="8"/>
      <c r="G566" s="8"/>
      <c r="H566" s="8"/>
      <c r="I566" s="8"/>
      <c r="J566" s="8"/>
      <c r="K566" s="8"/>
      <c r="L566" s="8"/>
      <c r="M566" s="8"/>
      <c r="N566" s="8"/>
      <c r="O566" s="8"/>
      <c r="P566" s="8"/>
      <c r="Q566" s="8"/>
      <c r="R566" s="8"/>
      <c r="S566" s="8"/>
      <c r="T566" s="8"/>
      <c r="U566" s="8"/>
      <c r="V566" s="8"/>
      <c r="W566" s="8"/>
      <c r="X566" s="8"/>
      <c r="Y566" s="8"/>
      <c r="Z566" s="8"/>
      <c r="AA566" s="8"/>
    </row>
    <row r="567" spans="1:27" ht="12.75">
      <c r="A567" s="8"/>
      <c r="B567" s="59"/>
      <c r="C567" s="59"/>
      <c r="D567" s="59"/>
      <c r="E567" s="59"/>
      <c r="F567" s="8"/>
      <c r="G567" s="8"/>
      <c r="H567" s="8"/>
      <c r="I567" s="8"/>
      <c r="J567" s="8"/>
      <c r="K567" s="8"/>
      <c r="L567" s="8"/>
      <c r="M567" s="8"/>
      <c r="N567" s="8"/>
      <c r="O567" s="8"/>
      <c r="P567" s="8"/>
      <c r="Q567" s="8"/>
      <c r="R567" s="8"/>
      <c r="S567" s="8"/>
      <c r="T567" s="8"/>
      <c r="U567" s="8"/>
      <c r="V567" s="8"/>
      <c r="W567" s="8"/>
      <c r="X567" s="8"/>
      <c r="Y567" s="8"/>
      <c r="Z567" s="8"/>
      <c r="AA567" s="8"/>
    </row>
    <row r="568" spans="1:27" ht="12.75">
      <c r="A568" s="8"/>
      <c r="B568" s="59"/>
      <c r="C568" s="59"/>
      <c r="D568" s="59"/>
      <c r="E568" s="59"/>
      <c r="F568" s="8"/>
      <c r="G568" s="8"/>
      <c r="H568" s="8"/>
      <c r="I568" s="8"/>
      <c r="J568" s="8"/>
      <c r="K568" s="8"/>
      <c r="L568" s="8"/>
      <c r="M568" s="8"/>
      <c r="N568" s="8"/>
      <c r="O568" s="8"/>
      <c r="P568" s="8"/>
      <c r="Q568" s="8"/>
      <c r="R568" s="8"/>
      <c r="S568" s="8"/>
      <c r="T568" s="8"/>
      <c r="U568" s="8"/>
      <c r="V568" s="8"/>
      <c r="W568" s="8"/>
      <c r="X568" s="8"/>
      <c r="Y568" s="8"/>
      <c r="Z568" s="8"/>
      <c r="AA568" s="8"/>
    </row>
    <row r="569" spans="1:27" ht="12.75">
      <c r="A569" s="8"/>
      <c r="B569" s="59"/>
      <c r="C569" s="59"/>
      <c r="D569" s="59"/>
      <c r="E569" s="59"/>
      <c r="F569" s="8"/>
      <c r="G569" s="8"/>
      <c r="H569" s="8"/>
      <c r="I569" s="8"/>
      <c r="J569" s="8"/>
      <c r="K569" s="8"/>
      <c r="L569" s="8"/>
      <c r="M569" s="8"/>
      <c r="N569" s="8"/>
      <c r="O569" s="8"/>
      <c r="P569" s="8"/>
      <c r="Q569" s="8"/>
      <c r="R569" s="8"/>
      <c r="S569" s="8"/>
      <c r="T569" s="8"/>
      <c r="U569" s="8"/>
      <c r="V569" s="8"/>
      <c r="W569" s="8"/>
      <c r="X569" s="8"/>
      <c r="Y569" s="8"/>
      <c r="Z569" s="8"/>
      <c r="AA569" s="8"/>
    </row>
    <row r="570" spans="1:27" ht="12.75">
      <c r="A570" s="8"/>
      <c r="B570" s="59"/>
      <c r="C570" s="59"/>
      <c r="D570" s="59"/>
      <c r="E570" s="59"/>
      <c r="F570" s="8"/>
      <c r="G570" s="8"/>
      <c r="H570" s="8"/>
      <c r="I570" s="8"/>
      <c r="J570" s="8"/>
      <c r="K570" s="8"/>
      <c r="L570" s="8"/>
      <c r="M570" s="8"/>
      <c r="N570" s="8"/>
      <c r="O570" s="8"/>
      <c r="P570" s="8"/>
      <c r="Q570" s="8"/>
      <c r="R570" s="8"/>
      <c r="S570" s="8"/>
      <c r="T570" s="8"/>
      <c r="U570" s="8"/>
      <c r="V570" s="8"/>
      <c r="W570" s="8"/>
      <c r="X570" s="8"/>
      <c r="Y570" s="8"/>
      <c r="Z570" s="8"/>
      <c r="AA570" s="8"/>
    </row>
    <row r="571" spans="1:27" ht="12.75">
      <c r="A571" s="8"/>
      <c r="B571" s="59"/>
      <c r="C571" s="59"/>
      <c r="D571" s="59"/>
      <c r="E571" s="59"/>
      <c r="F571" s="8"/>
      <c r="G571" s="8"/>
      <c r="H571" s="8"/>
      <c r="I571" s="8"/>
      <c r="J571" s="8"/>
      <c r="K571" s="8"/>
      <c r="L571" s="8"/>
      <c r="M571" s="8"/>
      <c r="N571" s="8"/>
      <c r="O571" s="8"/>
      <c r="P571" s="8"/>
      <c r="Q571" s="8"/>
      <c r="R571" s="8"/>
      <c r="S571" s="8"/>
      <c r="T571" s="8"/>
      <c r="U571" s="8"/>
      <c r="V571" s="8"/>
      <c r="W571" s="8"/>
      <c r="X571" s="8"/>
      <c r="Y571" s="8"/>
      <c r="Z571" s="8"/>
      <c r="AA571" s="8"/>
    </row>
    <row r="572" spans="1:27" ht="12.75">
      <c r="A572" s="8"/>
      <c r="B572" s="59"/>
      <c r="C572" s="59"/>
      <c r="D572" s="59"/>
      <c r="E572" s="59"/>
      <c r="F572" s="8"/>
      <c r="G572" s="8"/>
      <c r="H572" s="8"/>
      <c r="I572" s="8"/>
      <c r="J572" s="8"/>
      <c r="K572" s="8"/>
      <c r="L572" s="8"/>
      <c r="M572" s="8"/>
      <c r="N572" s="8"/>
      <c r="O572" s="8"/>
      <c r="P572" s="8"/>
      <c r="Q572" s="8"/>
      <c r="R572" s="8"/>
      <c r="S572" s="8"/>
      <c r="T572" s="8"/>
      <c r="U572" s="8"/>
      <c r="V572" s="8"/>
      <c r="W572" s="8"/>
      <c r="X572" s="8"/>
      <c r="Y572" s="8"/>
      <c r="Z572" s="8"/>
      <c r="AA572" s="8"/>
    </row>
    <row r="573" spans="1:27" ht="12.75">
      <c r="A573" s="8"/>
      <c r="B573" s="59"/>
      <c r="C573" s="59"/>
      <c r="D573" s="59"/>
      <c r="E573" s="59"/>
      <c r="F573" s="8"/>
      <c r="G573" s="8"/>
      <c r="H573" s="8"/>
      <c r="I573" s="8"/>
      <c r="J573" s="8"/>
      <c r="K573" s="8"/>
      <c r="L573" s="8"/>
      <c r="M573" s="8"/>
      <c r="N573" s="8"/>
      <c r="O573" s="8"/>
      <c r="P573" s="8"/>
      <c r="Q573" s="8"/>
      <c r="R573" s="8"/>
      <c r="S573" s="8"/>
      <c r="T573" s="8"/>
      <c r="U573" s="8"/>
      <c r="V573" s="8"/>
      <c r="W573" s="8"/>
      <c r="X573" s="8"/>
      <c r="Y573" s="8"/>
      <c r="Z573" s="8"/>
      <c r="AA573" s="8"/>
    </row>
    <row r="574" spans="1:27" ht="12.75">
      <c r="A574" s="8"/>
      <c r="B574" s="59"/>
      <c r="C574" s="59"/>
      <c r="D574" s="59"/>
      <c r="E574" s="59"/>
      <c r="F574" s="8"/>
      <c r="G574" s="8"/>
      <c r="H574" s="8"/>
      <c r="I574" s="8"/>
      <c r="J574" s="8"/>
      <c r="K574" s="8"/>
      <c r="L574" s="8"/>
      <c r="M574" s="8"/>
      <c r="N574" s="8"/>
      <c r="O574" s="8"/>
      <c r="P574" s="8"/>
      <c r="Q574" s="8"/>
      <c r="R574" s="8"/>
      <c r="S574" s="8"/>
      <c r="T574" s="8"/>
      <c r="U574" s="8"/>
      <c r="V574" s="8"/>
      <c r="W574" s="8"/>
      <c r="X574" s="8"/>
      <c r="Y574" s="8"/>
      <c r="Z574" s="8"/>
      <c r="AA574" s="8"/>
    </row>
    <row r="575" spans="1:27" ht="12.75">
      <c r="A575" s="8"/>
      <c r="B575" s="59"/>
      <c r="C575" s="59"/>
      <c r="D575" s="59"/>
      <c r="E575" s="59"/>
      <c r="F575" s="8"/>
      <c r="G575" s="8"/>
      <c r="H575" s="8"/>
      <c r="I575" s="8"/>
      <c r="J575" s="8"/>
      <c r="K575" s="8"/>
      <c r="L575" s="8"/>
      <c r="M575" s="8"/>
      <c r="N575" s="8"/>
      <c r="O575" s="8"/>
      <c r="P575" s="8"/>
      <c r="Q575" s="8"/>
      <c r="R575" s="8"/>
      <c r="S575" s="8"/>
      <c r="T575" s="8"/>
      <c r="U575" s="8"/>
      <c r="V575" s="8"/>
      <c r="W575" s="8"/>
      <c r="X575" s="8"/>
      <c r="Y575" s="8"/>
      <c r="Z575" s="8"/>
      <c r="AA575" s="8"/>
    </row>
    <row r="576" spans="1:27" ht="12.75">
      <c r="A576" s="8"/>
      <c r="B576" s="59"/>
      <c r="C576" s="59"/>
      <c r="D576" s="59"/>
      <c r="E576" s="59"/>
      <c r="F576" s="8"/>
      <c r="G576" s="8"/>
      <c r="H576" s="8"/>
      <c r="I576" s="8"/>
      <c r="J576" s="8"/>
      <c r="K576" s="8"/>
      <c r="L576" s="8"/>
      <c r="M576" s="8"/>
      <c r="N576" s="8"/>
      <c r="O576" s="8"/>
      <c r="P576" s="8"/>
      <c r="Q576" s="8"/>
      <c r="R576" s="8"/>
      <c r="S576" s="8"/>
      <c r="T576" s="8"/>
      <c r="U576" s="8"/>
      <c r="V576" s="8"/>
      <c r="W576" s="8"/>
      <c r="X576" s="8"/>
      <c r="Y576" s="8"/>
      <c r="Z576" s="8"/>
      <c r="AA576" s="8"/>
    </row>
    <row r="577" spans="1:27" ht="12.75">
      <c r="A577" s="8"/>
      <c r="B577" s="59"/>
      <c r="C577" s="59"/>
      <c r="D577" s="59"/>
      <c r="E577" s="59"/>
      <c r="F577" s="8"/>
      <c r="G577" s="8"/>
      <c r="H577" s="8"/>
      <c r="I577" s="8"/>
      <c r="J577" s="8"/>
      <c r="K577" s="8"/>
      <c r="L577" s="8"/>
      <c r="M577" s="8"/>
      <c r="N577" s="8"/>
      <c r="O577" s="8"/>
      <c r="P577" s="8"/>
      <c r="Q577" s="8"/>
      <c r="R577" s="8"/>
      <c r="S577" s="8"/>
      <c r="T577" s="8"/>
      <c r="U577" s="8"/>
      <c r="V577" s="8"/>
      <c r="W577" s="8"/>
      <c r="X577" s="8"/>
      <c r="Y577" s="8"/>
      <c r="Z577" s="8"/>
      <c r="AA577" s="8"/>
    </row>
    <row r="578" spans="1:27" ht="12.75">
      <c r="A578" s="8"/>
      <c r="B578" s="59"/>
      <c r="C578" s="59"/>
      <c r="D578" s="59"/>
      <c r="E578" s="59"/>
      <c r="F578" s="8"/>
      <c r="G578" s="8"/>
      <c r="H578" s="8"/>
      <c r="I578" s="8"/>
      <c r="J578" s="8"/>
      <c r="K578" s="8"/>
      <c r="L578" s="8"/>
      <c r="M578" s="8"/>
      <c r="N578" s="8"/>
      <c r="O578" s="8"/>
      <c r="P578" s="8"/>
      <c r="Q578" s="8"/>
      <c r="R578" s="8"/>
      <c r="S578" s="8"/>
      <c r="T578" s="8"/>
      <c r="U578" s="8"/>
      <c r="V578" s="8"/>
      <c r="W578" s="8"/>
      <c r="X578" s="8"/>
      <c r="Y578" s="8"/>
      <c r="Z578" s="8"/>
      <c r="AA578" s="8"/>
    </row>
    <row r="579" spans="1:27" ht="12.75">
      <c r="A579" s="8"/>
      <c r="B579" s="59"/>
      <c r="C579" s="59"/>
      <c r="D579" s="59"/>
      <c r="E579" s="59"/>
      <c r="F579" s="8"/>
      <c r="G579" s="8"/>
      <c r="H579" s="8"/>
      <c r="I579" s="8"/>
      <c r="J579" s="8"/>
      <c r="K579" s="8"/>
      <c r="L579" s="8"/>
      <c r="M579" s="8"/>
      <c r="N579" s="8"/>
      <c r="O579" s="8"/>
      <c r="P579" s="8"/>
      <c r="Q579" s="8"/>
      <c r="R579" s="8"/>
      <c r="S579" s="8"/>
      <c r="T579" s="8"/>
      <c r="U579" s="8"/>
      <c r="V579" s="8"/>
      <c r="W579" s="8"/>
      <c r="X579" s="8"/>
      <c r="Y579" s="8"/>
      <c r="Z579" s="8"/>
      <c r="AA579" s="8"/>
    </row>
    <row r="580" spans="1:27" ht="12.75">
      <c r="A580" s="8"/>
      <c r="B580" s="59"/>
      <c r="C580" s="59"/>
      <c r="D580" s="59"/>
      <c r="E580" s="59"/>
      <c r="F580" s="8"/>
      <c r="G580" s="8"/>
      <c r="H580" s="8"/>
      <c r="I580" s="8"/>
      <c r="J580" s="8"/>
      <c r="K580" s="8"/>
      <c r="L580" s="8"/>
      <c r="M580" s="8"/>
      <c r="N580" s="8"/>
      <c r="O580" s="8"/>
      <c r="P580" s="8"/>
      <c r="Q580" s="8"/>
      <c r="R580" s="8"/>
      <c r="S580" s="8"/>
      <c r="T580" s="8"/>
      <c r="U580" s="8"/>
      <c r="V580" s="8"/>
      <c r="W580" s="8"/>
      <c r="X580" s="8"/>
      <c r="Y580" s="8"/>
      <c r="Z580" s="8"/>
      <c r="AA580" s="8"/>
    </row>
    <row r="581" spans="1:27" ht="12.75">
      <c r="A581" s="8"/>
      <c r="B581" s="59"/>
      <c r="C581" s="59"/>
      <c r="D581" s="59"/>
      <c r="E581" s="59"/>
      <c r="F581" s="8"/>
      <c r="G581" s="8"/>
      <c r="H581" s="8"/>
      <c r="I581" s="8"/>
      <c r="J581" s="8"/>
      <c r="K581" s="8"/>
      <c r="L581" s="8"/>
      <c r="M581" s="8"/>
      <c r="N581" s="8"/>
      <c r="O581" s="8"/>
      <c r="P581" s="8"/>
      <c r="Q581" s="8"/>
      <c r="R581" s="8"/>
      <c r="S581" s="8"/>
      <c r="T581" s="8"/>
      <c r="U581" s="8"/>
      <c r="V581" s="8"/>
      <c r="W581" s="8"/>
      <c r="X581" s="8"/>
      <c r="Y581" s="8"/>
      <c r="Z581" s="8"/>
      <c r="AA581" s="8"/>
    </row>
    <row r="582" spans="1:27" ht="12.75">
      <c r="A582" s="8"/>
      <c r="B582" s="59"/>
      <c r="C582" s="59"/>
      <c r="D582" s="59"/>
      <c r="E582" s="59"/>
      <c r="F582" s="8"/>
      <c r="G582" s="8"/>
      <c r="H582" s="8"/>
      <c r="I582" s="8"/>
      <c r="J582" s="8"/>
      <c r="K582" s="8"/>
      <c r="L582" s="8"/>
      <c r="M582" s="8"/>
      <c r="N582" s="8"/>
      <c r="O582" s="8"/>
      <c r="P582" s="8"/>
      <c r="Q582" s="8"/>
      <c r="R582" s="8"/>
      <c r="S582" s="8"/>
      <c r="T582" s="8"/>
      <c r="U582" s="8"/>
      <c r="V582" s="8"/>
      <c r="W582" s="8"/>
      <c r="X582" s="8"/>
      <c r="Y582" s="8"/>
      <c r="Z582" s="8"/>
      <c r="AA582" s="8"/>
    </row>
    <row r="583" spans="1:27" ht="12.75">
      <c r="A583" s="8"/>
      <c r="B583" s="59"/>
      <c r="C583" s="59"/>
      <c r="D583" s="59"/>
      <c r="E583" s="59"/>
      <c r="F583" s="8"/>
      <c r="G583" s="8"/>
      <c r="H583" s="8"/>
      <c r="I583" s="8"/>
      <c r="J583" s="8"/>
      <c r="K583" s="8"/>
      <c r="L583" s="8"/>
      <c r="M583" s="8"/>
      <c r="N583" s="8"/>
      <c r="O583" s="8"/>
      <c r="P583" s="8"/>
      <c r="Q583" s="8"/>
      <c r="R583" s="8"/>
      <c r="S583" s="8"/>
      <c r="T583" s="8"/>
      <c r="U583" s="8"/>
      <c r="V583" s="8"/>
      <c r="W583" s="8"/>
      <c r="X583" s="8"/>
      <c r="Y583" s="8"/>
      <c r="Z583" s="8"/>
      <c r="AA583" s="8"/>
    </row>
    <row r="584" spans="1:27" ht="12.75">
      <c r="A584" s="8"/>
      <c r="B584" s="59"/>
      <c r="C584" s="59"/>
      <c r="D584" s="59"/>
      <c r="E584" s="59"/>
      <c r="F584" s="8"/>
      <c r="G584" s="8"/>
      <c r="H584" s="8"/>
      <c r="I584" s="8"/>
      <c r="J584" s="8"/>
      <c r="K584" s="8"/>
      <c r="L584" s="8"/>
      <c r="M584" s="8"/>
      <c r="N584" s="8"/>
      <c r="O584" s="8"/>
      <c r="P584" s="8"/>
      <c r="Q584" s="8"/>
      <c r="R584" s="8"/>
      <c r="S584" s="8"/>
      <c r="T584" s="8"/>
      <c r="U584" s="8"/>
      <c r="V584" s="8"/>
      <c r="W584" s="8"/>
      <c r="X584" s="8"/>
      <c r="Y584" s="8"/>
      <c r="Z584" s="8"/>
      <c r="AA584" s="8"/>
    </row>
    <row r="585" spans="1:27" ht="12.75">
      <c r="A585" s="8"/>
      <c r="B585" s="59"/>
      <c r="C585" s="59"/>
      <c r="D585" s="59"/>
      <c r="E585" s="59"/>
      <c r="F585" s="8"/>
      <c r="G585" s="8"/>
      <c r="H585" s="8"/>
      <c r="I585" s="8"/>
      <c r="J585" s="8"/>
      <c r="K585" s="8"/>
      <c r="L585" s="8"/>
      <c r="M585" s="8"/>
      <c r="N585" s="8"/>
      <c r="O585" s="8"/>
      <c r="P585" s="8"/>
      <c r="Q585" s="8"/>
      <c r="R585" s="8"/>
      <c r="S585" s="8"/>
      <c r="T585" s="8"/>
      <c r="U585" s="8"/>
      <c r="V585" s="8"/>
      <c r="W585" s="8"/>
      <c r="X585" s="8"/>
      <c r="Y585" s="8"/>
      <c r="Z585" s="8"/>
      <c r="AA585" s="8"/>
    </row>
    <row r="586" spans="1:27" ht="12.75">
      <c r="A586" s="8"/>
      <c r="B586" s="59"/>
      <c r="C586" s="59"/>
      <c r="D586" s="59"/>
      <c r="E586" s="59"/>
      <c r="F586" s="8"/>
      <c r="G586" s="8"/>
      <c r="H586" s="8"/>
      <c r="I586" s="8"/>
      <c r="J586" s="8"/>
      <c r="K586" s="8"/>
      <c r="L586" s="8"/>
      <c r="M586" s="8"/>
      <c r="N586" s="8"/>
      <c r="O586" s="8"/>
      <c r="P586" s="8"/>
      <c r="Q586" s="8"/>
      <c r="R586" s="8"/>
      <c r="S586" s="8"/>
      <c r="T586" s="8"/>
      <c r="U586" s="8"/>
      <c r="V586" s="8"/>
      <c r="W586" s="8"/>
      <c r="X586" s="8"/>
      <c r="Y586" s="8"/>
      <c r="Z586" s="8"/>
      <c r="AA586" s="8"/>
    </row>
    <row r="587" spans="1:27" ht="12.75">
      <c r="A587" s="8"/>
      <c r="B587" s="59"/>
      <c r="C587" s="59"/>
      <c r="D587" s="59"/>
      <c r="E587" s="59"/>
      <c r="F587" s="8"/>
      <c r="G587" s="8"/>
      <c r="H587" s="8"/>
      <c r="I587" s="8"/>
      <c r="J587" s="8"/>
      <c r="K587" s="8"/>
      <c r="L587" s="8"/>
      <c r="M587" s="8"/>
      <c r="N587" s="8"/>
      <c r="O587" s="8"/>
      <c r="P587" s="8"/>
      <c r="Q587" s="8"/>
      <c r="R587" s="8"/>
      <c r="S587" s="8"/>
      <c r="T587" s="8"/>
      <c r="U587" s="8"/>
      <c r="V587" s="8"/>
      <c r="W587" s="8"/>
      <c r="X587" s="8"/>
      <c r="Y587" s="8"/>
      <c r="Z587" s="8"/>
      <c r="AA587" s="8"/>
    </row>
    <row r="588" spans="1:27" ht="12.75">
      <c r="A588" s="8"/>
      <c r="B588" s="59"/>
      <c r="C588" s="59"/>
      <c r="D588" s="59"/>
      <c r="E588" s="59"/>
      <c r="F588" s="8"/>
      <c r="G588" s="8"/>
      <c r="H588" s="8"/>
      <c r="I588" s="8"/>
      <c r="J588" s="8"/>
      <c r="K588" s="8"/>
      <c r="L588" s="8"/>
      <c r="M588" s="8"/>
      <c r="N588" s="8"/>
      <c r="O588" s="8"/>
      <c r="P588" s="8"/>
      <c r="Q588" s="8"/>
      <c r="R588" s="8"/>
      <c r="S588" s="8"/>
      <c r="T588" s="8"/>
      <c r="U588" s="8"/>
      <c r="V588" s="8"/>
      <c r="W588" s="8"/>
      <c r="X588" s="8"/>
      <c r="Y588" s="8"/>
      <c r="Z588" s="8"/>
      <c r="AA588" s="8"/>
    </row>
    <row r="589" spans="1:27" ht="12.75">
      <c r="A589" s="8"/>
      <c r="B589" s="59"/>
      <c r="C589" s="59"/>
      <c r="D589" s="59"/>
      <c r="E589" s="59"/>
      <c r="F589" s="8"/>
      <c r="G589" s="8"/>
      <c r="H589" s="8"/>
      <c r="I589" s="8"/>
      <c r="J589" s="8"/>
      <c r="K589" s="8"/>
      <c r="L589" s="8"/>
      <c r="M589" s="8"/>
      <c r="N589" s="8"/>
      <c r="O589" s="8"/>
      <c r="P589" s="8"/>
      <c r="Q589" s="8"/>
      <c r="R589" s="8"/>
      <c r="S589" s="8"/>
      <c r="T589" s="8"/>
      <c r="U589" s="8"/>
      <c r="V589" s="8"/>
      <c r="W589" s="8"/>
      <c r="X589" s="8"/>
      <c r="Y589" s="8"/>
      <c r="Z589" s="8"/>
      <c r="AA589" s="8"/>
    </row>
    <row r="590" spans="1:27" ht="12.75">
      <c r="A590" s="8"/>
      <c r="B590" s="59"/>
      <c r="C590" s="59"/>
      <c r="D590" s="59"/>
      <c r="E590" s="59"/>
      <c r="F590" s="8"/>
      <c r="G590" s="8"/>
      <c r="H590" s="8"/>
      <c r="I590" s="8"/>
      <c r="J590" s="8"/>
      <c r="K590" s="8"/>
      <c r="L590" s="8"/>
      <c r="M590" s="8"/>
      <c r="N590" s="8"/>
      <c r="O590" s="8"/>
      <c r="P590" s="8"/>
      <c r="Q590" s="8"/>
      <c r="R590" s="8"/>
      <c r="S590" s="8"/>
      <c r="T590" s="8"/>
      <c r="U590" s="8"/>
      <c r="V590" s="8"/>
      <c r="W590" s="8"/>
      <c r="X590" s="8"/>
      <c r="Y590" s="8"/>
      <c r="Z590" s="8"/>
      <c r="AA590" s="8"/>
    </row>
    <row r="591" spans="1:27" ht="12.75">
      <c r="A591" s="8"/>
      <c r="B591" s="59"/>
      <c r="C591" s="59"/>
      <c r="D591" s="59"/>
      <c r="E591" s="59"/>
      <c r="F591" s="8"/>
      <c r="G591" s="8"/>
      <c r="H591" s="8"/>
      <c r="I591" s="8"/>
      <c r="J591" s="8"/>
      <c r="K591" s="8"/>
      <c r="L591" s="8"/>
      <c r="M591" s="8"/>
      <c r="N591" s="8"/>
      <c r="O591" s="8"/>
      <c r="P591" s="8"/>
      <c r="Q591" s="8"/>
      <c r="R591" s="8"/>
      <c r="S591" s="8"/>
      <c r="T591" s="8"/>
      <c r="U591" s="8"/>
      <c r="V591" s="8"/>
      <c r="W591" s="8"/>
      <c r="X591" s="8"/>
      <c r="Y591" s="8"/>
      <c r="Z591" s="8"/>
      <c r="AA591" s="8"/>
    </row>
    <row r="592" spans="1:27" ht="12.75">
      <c r="A592" s="8"/>
      <c r="B592" s="59"/>
      <c r="C592" s="59"/>
      <c r="D592" s="59"/>
      <c r="E592" s="59"/>
      <c r="F592" s="8"/>
      <c r="G592" s="8"/>
      <c r="H592" s="8"/>
      <c r="I592" s="8"/>
      <c r="J592" s="8"/>
      <c r="K592" s="8"/>
      <c r="L592" s="8"/>
      <c r="M592" s="8"/>
      <c r="N592" s="8"/>
      <c r="O592" s="8"/>
      <c r="P592" s="8"/>
      <c r="Q592" s="8"/>
      <c r="R592" s="8"/>
      <c r="S592" s="8"/>
      <c r="T592" s="8"/>
      <c r="U592" s="8"/>
      <c r="V592" s="8"/>
      <c r="W592" s="8"/>
      <c r="X592" s="8"/>
      <c r="Y592" s="8"/>
      <c r="Z592" s="8"/>
      <c r="AA592" s="8"/>
    </row>
    <row r="593" spans="1:27" ht="12.75">
      <c r="A593" s="8"/>
      <c r="B593" s="59"/>
      <c r="C593" s="59"/>
      <c r="D593" s="59"/>
      <c r="E593" s="59"/>
      <c r="F593" s="8"/>
      <c r="G593" s="8"/>
      <c r="H593" s="8"/>
      <c r="I593" s="8"/>
      <c r="J593" s="8"/>
      <c r="K593" s="8"/>
      <c r="L593" s="8"/>
      <c r="M593" s="8"/>
      <c r="N593" s="8"/>
      <c r="O593" s="8"/>
      <c r="P593" s="8"/>
      <c r="Q593" s="8"/>
      <c r="R593" s="8"/>
      <c r="S593" s="8"/>
      <c r="T593" s="8"/>
      <c r="U593" s="8"/>
      <c r="V593" s="8"/>
      <c r="W593" s="8"/>
      <c r="X593" s="8"/>
      <c r="Y593" s="8"/>
      <c r="Z593" s="8"/>
      <c r="AA593" s="8"/>
    </row>
    <row r="594" spans="1:27" ht="12.75">
      <c r="A594" s="8"/>
      <c r="B594" s="59"/>
      <c r="C594" s="59"/>
      <c r="D594" s="59"/>
      <c r="E594" s="59"/>
      <c r="F594" s="8"/>
      <c r="G594" s="8"/>
      <c r="H594" s="8"/>
      <c r="I594" s="8"/>
      <c r="J594" s="8"/>
      <c r="K594" s="8"/>
      <c r="L594" s="8"/>
      <c r="M594" s="8"/>
      <c r="N594" s="8"/>
      <c r="O594" s="8"/>
      <c r="P594" s="8"/>
      <c r="Q594" s="8"/>
      <c r="R594" s="8"/>
      <c r="S594" s="8"/>
      <c r="T594" s="8"/>
      <c r="U594" s="8"/>
      <c r="V594" s="8"/>
      <c r="W594" s="8"/>
      <c r="X594" s="8"/>
      <c r="Y594" s="8"/>
      <c r="Z594" s="8"/>
      <c r="AA594" s="8"/>
    </row>
    <row r="595" spans="1:27" ht="12.75">
      <c r="A595" s="8"/>
      <c r="B595" s="59"/>
      <c r="C595" s="59"/>
      <c r="D595" s="59"/>
      <c r="E595" s="59"/>
      <c r="F595" s="8"/>
      <c r="G595" s="8"/>
      <c r="H595" s="8"/>
      <c r="I595" s="8"/>
      <c r="J595" s="8"/>
      <c r="K595" s="8"/>
      <c r="L595" s="8"/>
      <c r="M595" s="8"/>
      <c r="N595" s="8"/>
      <c r="O595" s="8"/>
      <c r="P595" s="8"/>
      <c r="Q595" s="8"/>
      <c r="R595" s="8"/>
      <c r="S595" s="8"/>
      <c r="T595" s="8"/>
      <c r="U595" s="8"/>
      <c r="V595" s="8"/>
      <c r="W595" s="8"/>
      <c r="X595" s="8"/>
      <c r="Y595" s="8"/>
      <c r="Z595" s="8"/>
      <c r="AA595" s="8"/>
    </row>
    <row r="596" spans="1:27" ht="12.75">
      <c r="A596" s="8"/>
      <c r="B596" s="59"/>
      <c r="C596" s="59"/>
      <c r="D596" s="59"/>
      <c r="E596" s="59"/>
      <c r="F596" s="8"/>
      <c r="G596" s="8"/>
      <c r="H596" s="8"/>
      <c r="I596" s="8"/>
      <c r="J596" s="8"/>
      <c r="K596" s="8"/>
      <c r="L596" s="8"/>
      <c r="M596" s="8"/>
      <c r="N596" s="8"/>
      <c r="O596" s="8"/>
      <c r="P596" s="8"/>
      <c r="Q596" s="8"/>
      <c r="R596" s="8"/>
      <c r="S596" s="8"/>
      <c r="T596" s="8"/>
      <c r="U596" s="8"/>
      <c r="V596" s="8"/>
      <c r="W596" s="8"/>
      <c r="X596" s="8"/>
      <c r="Y596" s="8"/>
      <c r="Z596" s="8"/>
      <c r="AA596" s="8"/>
    </row>
    <row r="597" spans="1:27" ht="12.75">
      <c r="A597" s="8"/>
      <c r="B597" s="59"/>
      <c r="C597" s="59"/>
      <c r="D597" s="59"/>
      <c r="E597" s="59"/>
      <c r="F597" s="8"/>
      <c r="G597" s="8"/>
      <c r="H597" s="8"/>
      <c r="I597" s="8"/>
      <c r="J597" s="8"/>
      <c r="K597" s="8"/>
      <c r="L597" s="8"/>
      <c r="M597" s="8"/>
      <c r="N597" s="8"/>
      <c r="O597" s="8"/>
      <c r="P597" s="8"/>
      <c r="Q597" s="8"/>
      <c r="R597" s="8"/>
      <c r="S597" s="8"/>
      <c r="T597" s="8"/>
      <c r="U597" s="8"/>
      <c r="V597" s="8"/>
      <c r="W597" s="8"/>
      <c r="X597" s="8"/>
      <c r="Y597" s="8"/>
      <c r="Z597" s="8"/>
      <c r="AA597" s="8"/>
    </row>
    <row r="598" spans="1:27" ht="12.75">
      <c r="A598" s="8"/>
      <c r="B598" s="59"/>
      <c r="C598" s="59"/>
      <c r="D598" s="59"/>
      <c r="E598" s="59"/>
      <c r="F598" s="8"/>
      <c r="G598" s="8"/>
      <c r="H598" s="8"/>
      <c r="I598" s="8"/>
      <c r="J598" s="8"/>
      <c r="K598" s="8"/>
      <c r="L598" s="8"/>
      <c r="M598" s="8"/>
      <c r="N598" s="8"/>
      <c r="O598" s="8"/>
      <c r="P598" s="8"/>
      <c r="Q598" s="8"/>
      <c r="R598" s="8"/>
      <c r="S598" s="8"/>
      <c r="T598" s="8"/>
      <c r="U598" s="8"/>
      <c r="V598" s="8"/>
      <c r="W598" s="8"/>
      <c r="X598" s="8"/>
      <c r="Y598" s="8"/>
      <c r="Z598" s="8"/>
      <c r="AA598" s="8"/>
    </row>
    <row r="599" spans="1:27" ht="12.75">
      <c r="A599" s="8"/>
      <c r="B599" s="59"/>
      <c r="C599" s="59"/>
      <c r="D599" s="59"/>
      <c r="E599" s="59"/>
      <c r="F599" s="8"/>
      <c r="G599" s="8"/>
      <c r="H599" s="8"/>
      <c r="I599" s="8"/>
      <c r="J599" s="8"/>
      <c r="K599" s="8"/>
      <c r="L599" s="8"/>
      <c r="M599" s="8"/>
      <c r="N599" s="8"/>
      <c r="O599" s="8"/>
      <c r="P599" s="8"/>
      <c r="Q599" s="8"/>
      <c r="R599" s="8"/>
      <c r="S599" s="8"/>
      <c r="T599" s="8"/>
      <c r="U599" s="8"/>
      <c r="V599" s="8"/>
      <c r="W599" s="8"/>
      <c r="X599" s="8"/>
      <c r="Y599" s="8"/>
      <c r="Z599" s="8"/>
      <c r="AA599" s="8"/>
    </row>
    <row r="600" spans="1:27" ht="12.75">
      <c r="A600" s="8"/>
      <c r="B600" s="59"/>
      <c r="C600" s="59"/>
      <c r="D600" s="59"/>
      <c r="E600" s="59"/>
      <c r="F600" s="8"/>
      <c r="G600" s="8"/>
      <c r="H600" s="8"/>
      <c r="I600" s="8"/>
      <c r="J600" s="8"/>
      <c r="K600" s="8"/>
      <c r="L600" s="8"/>
      <c r="M600" s="8"/>
      <c r="N600" s="8"/>
      <c r="O600" s="8"/>
      <c r="P600" s="8"/>
      <c r="Q600" s="8"/>
      <c r="R600" s="8"/>
      <c r="S600" s="8"/>
      <c r="T600" s="8"/>
      <c r="U600" s="8"/>
      <c r="V600" s="8"/>
      <c r="W600" s="8"/>
      <c r="X600" s="8"/>
      <c r="Y600" s="8"/>
      <c r="Z600" s="8"/>
      <c r="AA600" s="8"/>
    </row>
    <row r="601" spans="1:27" ht="12.75">
      <c r="A601" s="8"/>
      <c r="B601" s="59"/>
      <c r="C601" s="59"/>
      <c r="D601" s="59"/>
      <c r="E601" s="59"/>
      <c r="F601" s="8"/>
      <c r="G601" s="8"/>
      <c r="H601" s="8"/>
      <c r="I601" s="8"/>
      <c r="J601" s="8"/>
      <c r="K601" s="8"/>
      <c r="L601" s="8"/>
      <c r="M601" s="8"/>
      <c r="N601" s="8"/>
      <c r="O601" s="8"/>
      <c r="P601" s="8"/>
      <c r="Q601" s="8"/>
      <c r="R601" s="8"/>
      <c r="S601" s="8"/>
      <c r="T601" s="8"/>
      <c r="U601" s="8"/>
      <c r="V601" s="8"/>
      <c r="W601" s="8"/>
      <c r="X601" s="8"/>
      <c r="Y601" s="8"/>
      <c r="Z601" s="8"/>
      <c r="AA601" s="8"/>
    </row>
    <row r="602" spans="1:27" ht="12.75">
      <c r="A602" s="8"/>
      <c r="B602" s="59"/>
      <c r="C602" s="59"/>
      <c r="D602" s="59"/>
      <c r="E602" s="59"/>
      <c r="F602" s="8"/>
      <c r="G602" s="8"/>
      <c r="H602" s="8"/>
      <c r="I602" s="8"/>
      <c r="J602" s="8"/>
      <c r="K602" s="8"/>
      <c r="L602" s="8"/>
      <c r="M602" s="8"/>
      <c r="N602" s="8"/>
      <c r="O602" s="8"/>
      <c r="P602" s="8"/>
      <c r="Q602" s="8"/>
      <c r="R602" s="8"/>
      <c r="S602" s="8"/>
      <c r="T602" s="8"/>
      <c r="U602" s="8"/>
      <c r="V602" s="8"/>
      <c r="W602" s="8"/>
      <c r="X602" s="8"/>
      <c r="Y602" s="8"/>
      <c r="Z602" s="8"/>
      <c r="AA602" s="8"/>
    </row>
    <row r="603" spans="1:27" ht="12.75">
      <c r="A603" s="8"/>
      <c r="B603" s="59"/>
      <c r="C603" s="59"/>
      <c r="D603" s="59"/>
      <c r="E603" s="59"/>
      <c r="F603" s="8"/>
      <c r="G603" s="8"/>
      <c r="H603" s="8"/>
      <c r="I603" s="8"/>
      <c r="J603" s="8"/>
      <c r="K603" s="8"/>
      <c r="L603" s="8"/>
      <c r="M603" s="8"/>
      <c r="N603" s="8"/>
      <c r="O603" s="8"/>
      <c r="P603" s="8"/>
      <c r="Q603" s="8"/>
      <c r="R603" s="8"/>
      <c r="S603" s="8"/>
      <c r="T603" s="8"/>
      <c r="U603" s="8"/>
      <c r="V603" s="8"/>
      <c r="W603" s="8"/>
      <c r="X603" s="8"/>
      <c r="Y603" s="8"/>
      <c r="Z603" s="8"/>
      <c r="AA603" s="8"/>
    </row>
    <row r="604" spans="1:27" ht="12.75">
      <c r="A604" s="8"/>
      <c r="B604" s="59"/>
      <c r="C604" s="59"/>
      <c r="D604" s="59"/>
      <c r="E604" s="59"/>
      <c r="F604" s="8"/>
      <c r="G604" s="8"/>
      <c r="H604" s="8"/>
      <c r="I604" s="8"/>
      <c r="J604" s="8"/>
      <c r="K604" s="8"/>
      <c r="L604" s="8"/>
      <c r="M604" s="8"/>
      <c r="N604" s="8"/>
      <c r="O604" s="8"/>
      <c r="P604" s="8"/>
      <c r="Q604" s="8"/>
      <c r="R604" s="8"/>
      <c r="S604" s="8"/>
      <c r="T604" s="8"/>
      <c r="U604" s="8"/>
      <c r="V604" s="8"/>
      <c r="W604" s="8"/>
      <c r="X604" s="8"/>
      <c r="Y604" s="8"/>
      <c r="Z604" s="8"/>
      <c r="AA604" s="8"/>
    </row>
    <row r="605" spans="1:27" ht="12.75">
      <c r="A605" s="8"/>
      <c r="B605" s="59"/>
      <c r="C605" s="59"/>
      <c r="D605" s="59"/>
      <c r="E605" s="59"/>
      <c r="F605" s="8"/>
      <c r="G605" s="8"/>
      <c r="H605" s="8"/>
      <c r="I605" s="8"/>
      <c r="J605" s="8"/>
      <c r="K605" s="8"/>
      <c r="L605" s="8"/>
      <c r="M605" s="8"/>
      <c r="N605" s="8"/>
      <c r="O605" s="8"/>
      <c r="P605" s="8"/>
      <c r="Q605" s="8"/>
      <c r="R605" s="8"/>
      <c r="S605" s="8"/>
      <c r="T605" s="8"/>
      <c r="U605" s="8"/>
      <c r="V605" s="8"/>
      <c r="W605" s="8"/>
      <c r="X605" s="8"/>
      <c r="Y605" s="8"/>
      <c r="Z605" s="8"/>
      <c r="AA605" s="8"/>
    </row>
    <row r="606" spans="1:27" ht="12.75">
      <c r="A606" s="8"/>
      <c r="B606" s="59"/>
      <c r="C606" s="59"/>
      <c r="D606" s="59"/>
      <c r="E606" s="59"/>
      <c r="F606" s="8"/>
      <c r="G606" s="8"/>
      <c r="H606" s="8"/>
      <c r="I606" s="8"/>
      <c r="J606" s="8"/>
      <c r="K606" s="8"/>
      <c r="L606" s="8"/>
      <c r="M606" s="8"/>
      <c r="N606" s="8"/>
      <c r="O606" s="8"/>
      <c r="P606" s="8"/>
      <c r="Q606" s="8"/>
      <c r="R606" s="8"/>
      <c r="S606" s="8"/>
      <c r="T606" s="8"/>
      <c r="U606" s="8"/>
      <c r="V606" s="8"/>
      <c r="W606" s="8"/>
      <c r="X606" s="8"/>
      <c r="Y606" s="8"/>
      <c r="Z606" s="8"/>
      <c r="AA606" s="8"/>
    </row>
    <row r="607" spans="1:27" ht="12.75">
      <c r="A607" s="8"/>
      <c r="B607" s="59"/>
      <c r="C607" s="59"/>
      <c r="D607" s="59"/>
      <c r="E607" s="59"/>
      <c r="F607" s="8"/>
      <c r="G607" s="8"/>
      <c r="H607" s="8"/>
      <c r="I607" s="8"/>
      <c r="J607" s="8"/>
      <c r="K607" s="8"/>
      <c r="L607" s="8"/>
      <c r="M607" s="8"/>
      <c r="N607" s="8"/>
      <c r="O607" s="8"/>
      <c r="P607" s="8"/>
      <c r="Q607" s="8"/>
      <c r="R607" s="8"/>
      <c r="S607" s="8"/>
      <c r="T607" s="8"/>
      <c r="U607" s="8"/>
      <c r="V607" s="8"/>
      <c r="W607" s="8"/>
      <c r="X607" s="8"/>
      <c r="Y607" s="8"/>
      <c r="Z607" s="8"/>
      <c r="AA607" s="8"/>
    </row>
    <row r="608" spans="1:27" ht="12.75">
      <c r="A608" s="8"/>
      <c r="B608" s="59"/>
      <c r="C608" s="59"/>
      <c r="D608" s="59"/>
      <c r="E608" s="59"/>
      <c r="F608" s="8"/>
      <c r="G608" s="8"/>
      <c r="H608" s="8"/>
      <c r="I608" s="8"/>
      <c r="J608" s="8"/>
      <c r="K608" s="8"/>
      <c r="L608" s="8"/>
      <c r="M608" s="8"/>
      <c r="N608" s="8"/>
      <c r="O608" s="8"/>
      <c r="P608" s="8"/>
      <c r="Q608" s="8"/>
      <c r="R608" s="8"/>
      <c r="S608" s="8"/>
      <c r="T608" s="8"/>
      <c r="U608" s="8"/>
      <c r="V608" s="8"/>
      <c r="W608" s="8"/>
      <c r="X608" s="8"/>
      <c r="Y608" s="8"/>
      <c r="Z608" s="8"/>
      <c r="AA608" s="8"/>
    </row>
    <row r="609" spans="1:27" ht="12.75">
      <c r="A609" s="8"/>
      <c r="B609" s="59"/>
      <c r="C609" s="59"/>
      <c r="D609" s="59"/>
      <c r="E609" s="59"/>
      <c r="F609" s="8"/>
      <c r="G609" s="8"/>
      <c r="H609" s="8"/>
      <c r="I609" s="8"/>
      <c r="J609" s="8"/>
      <c r="K609" s="8"/>
      <c r="L609" s="8"/>
      <c r="M609" s="8"/>
      <c r="N609" s="8"/>
      <c r="O609" s="8"/>
      <c r="P609" s="8"/>
      <c r="Q609" s="8"/>
      <c r="R609" s="8"/>
      <c r="S609" s="8"/>
      <c r="T609" s="8"/>
      <c r="U609" s="8"/>
      <c r="V609" s="8"/>
      <c r="W609" s="8"/>
      <c r="X609" s="8"/>
      <c r="Y609" s="8"/>
      <c r="Z609" s="8"/>
      <c r="AA609" s="8"/>
    </row>
    <row r="610" spans="1:27" ht="12.75">
      <c r="A610" s="8"/>
      <c r="B610" s="59"/>
      <c r="C610" s="59"/>
      <c r="D610" s="59"/>
      <c r="E610" s="59"/>
      <c r="F610" s="8"/>
      <c r="G610" s="8"/>
      <c r="H610" s="8"/>
      <c r="I610" s="8"/>
      <c r="J610" s="8"/>
      <c r="K610" s="8"/>
      <c r="L610" s="8"/>
      <c r="M610" s="8"/>
      <c r="N610" s="8"/>
      <c r="O610" s="8"/>
      <c r="P610" s="8"/>
      <c r="Q610" s="8"/>
      <c r="R610" s="8"/>
      <c r="S610" s="8"/>
      <c r="T610" s="8"/>
      <c r="U610" s="8"/>
      <c r="V610" s="8"/>
      <c r="W610" s="8"/>
      <c r="X610" s="8"/>
      <c r="Y610" s="8"/>
      <c r="Z610" s="8"/>
      <c r="AA610" s="8"/>
    </row>
    <row r="611" spans="1:27" ht="12.75">
      <c r="A611" s="8"/>
      <c r="B611" s="59"/>
      <c r="C611" s="59"/>
      <c r="D611" s="59"/>
      <c r="E611" s="59"/>
      <c r="F611" s="8"/>
      <c r="G611" s="8"/>
      <c r="H611" s="8"/>
      <c r="I611" s="8"/>
      <c r="J611" s="8"/>
      <c r="K611" s="8"/>
      <c r="L611" s="8"/>
      <c r="M611" s="8"/>
      <c r="N611" s="8"/>
      <c r="O611" s="8"/>
      <c r="P611" s="8"/>
      <c r="Q611" s="8"/>
      <c r="R611" s="8"/>
      <c r="S611" s="8"/>
      <c r="T611" s="8"/>
      <c r="U611" s="8"/>
      <c r="V611" s="8"/>
      <c r="W611" s="8"/>
      <c r="X611" s="8"/>
      <c r="Y611" s="8"/>
      <c r="Z611" s="8"/>
      <c r="AA611" s="8"/>
    </row>
    <row r="612" spans="1:27" ht="12.75">
      <c r="A612" s="8"/>
      <c r="B612" s="59"/>
      <c r="C612" s="59"/>
      <c r="D612" s="59"/>
      <c r="E612" s="59"/>
      <c r="F612" s="8"/>
      <c r="G612" s="8"/>
      <c r="H612" s="8"/>
      <c r="I612" s="8"/>
      <c r="J612" s="8"/>
      <c r="K612" s="8"/>
      <c r="L612" s="8"/>
      <c r="M612" s="8"/>
      <c r="N612" s="8"/>
      <c r="O612" s="8"/>
      <c r="P612" s="8"/>
      <c r="Q612" s="8"/>
      <c r="R612" s="8"/>
      <c r="S612" s="8"/>
      <c r="T612" s="8"/>
      <c r="U612" s="8"/>
      <c r="V612" s="8"/>
      <c r="W612" s="8"/>
      <c r="X612" s="8"/>
      <c r="Y612" s="8"/>
      <c r="Z612" s="8"/>
      <c r="AA612" s="8"/>
    </row>
    <row r="613" spans="1:27" ht="12.75">
      <c r="A613" s="8"/>
      <c r="B613" s="59"/>
      <c r="C613" s="59"/>
      <c r="D613" s="59"/>
      <c r="E613" s="59"/>
      <c r="F613" s="8"/>
      <c r="G613" s="8"/>
      <c r="H613" s="8"/>
      <c r="I613" s="8"/>
      <c r="J613" s="8"/>
      <c r="K613" s="8"/>
      <c r="L613" s="8"/>
      <c r="M613" s="8"/>
      <c r="N613" s="8"/>
      <c r="O613" s="8"/>
      <c r="P613" s="8"/>
      <c r="Q613" s="8"/>
      <c r="R613" s="8"/>
      <c r="S613" s="8"/>
      <c r="T613" s="8"/>
      <c r="U613" s="8"/>
      <c r="V613" s="8"/>
      <c r="W613" s="8"/>
      <c r="X613" s="8"/>
      <c r="Y613" s="8"/>
      <c r="Z613" s="8"/>
      <c r="AA613" s="8"/>
    </row>
    <row r="614" spans="1:27" ht="12.75">
      <c r="A614" s="8"/>
      <c r="B614" s="59"/>
      <c r="C614" s="59"/>
      <c r="D614" s="59"/>
      <c r="E614" s="59"/>
      <c r="F614" s="8"/>
      <c r="G614" s="8"/>
      <c r="H614" s="8"/>
      <c r="I614" s="8"/>
      <c r="J614" s="8"/>
      <c r="K614" s="8"/>
      <c r="L614" s="8"/>
      <c r="M614" s="8"/>
      <c r="N614" s="8"/>
      <c r="O614" s="8"/>
      <c r="P614" s="8"/>
      <c r="Q614" s="8"/>
      <c r="R614" s="8"/>
      <c r="S614" s="8"/>
      <c r="T614" s="8"/>
      <c r="U614" s="8"/>
      <c r="V614" s="8"/>
      <c r="W614" s="8"/>
      <c r="X614" s="8"/>
      <c r="Y614" s="8"/>
      <c r="Z614" s="8"/>
      <c r="AA614" s="8"/>
    </row>
    <row r="615" spans="1:27" ht="12.75">
      <c r="A615" s="8"/>
      <c r="B615" s="59"/>
      <c r="C615" s="59"/>
      <c r="D615" s="59"/>
      <c r="E615" s="59"/>
      <c r="F615" s="8"/>
      <c r="G615" s="8"/>
      <c r="H615" s="8"/>
      <c r="I615" s="8"/>
      <c r="J615" s="8"/>
      <c r="K615" s="8"/>
      <c r="L615" s="8"/>
      <c r="M615" s="8"/>
      <c r="N615" s="8"/>
      <c r="O615" s="8"/>
      <c r="P615" s="8"/>
      <c r="Q615" s="8"/>
      <c r="R615" s="8"/>
      <c r="S615" s="8"/>
      <c r="T615" s="8"/>
      <c r="U615" s="8"/>
      <c r="V615" s="8"/>
      <c r="W615" s="8"/>
      <c r="X615" s="8"/>
      <c r="Y615" s="8"/>
      <c r="Z615" s="8"/>
      <c r="AA615" s="8"/>
    </row>
    <row r="616" spans="1:27" ht="12.75">
      <c r="A616" s="8"/>
      <c r="B616" s="59"/>
      <c r="C616" s="59"/>
      <c r="D616" s="59"/>
      <c r="E616" s="59"/>
      <c r="F616" s="8"/>
      <c r="G616" s="8"/>
      <c r="H616" s="8"/>
      <c r="I616" s="8"/>
      <c r="J616" s="8"/>
      <c r="K616" s="8"/>
      <c r="L616" s="8"/>
      <c r="M616" s="8"/>
      <c r="N616" s="8"/>
      <c r="O616" s="8"/>
      <c r="P616" s="8"/>
      <c r="Q616" s="8"/>
      <c r="R616" s="8"/>
      <c r="S616" s="8"/>
      <c r="T616" s="8"/>
      <c r="U616" s="8"/>
      <c r="V616" s="8"/>
      <c r="W616" s="8"/>
      <c r="X616" s="8"/>
      <c r="Y616" s="8"/>
      <c r="Z616" s="8"/>
      <c r="AA616" s="8"/>
    </row>
    <row r="617" spans="1:27" ht="12.75">
      <c r="A617" s="8"/>
      <c r="B617" s="59"/>
      <c r="C617" s="59"/>
      <c r="D617" s="59"/>
      <c r="E617" s="59"/>
      <c r="F617" s="8"/>
      <c r="G617" s="8"/>
      <c r="H617" s="8"/>
      <c r="I617" s="8"/>
      <c r="J617" s="8"/>
      <c r="K617" s="8"/>
      <c r="L617" s="8"/>
      <c r="M617" s="8"/>
      <c r="N617" s="8"/>
      <c r="O617" s="8"/>
      <c r="P617" s="8"/>
      <c r="Q617" s="8"/>
      <c r="R617" s="8"/>
      <c r="S617" s="8"/>
      <c r="T617" s="8"/>
      <c r="U617" s="8"/>
      <c r="V617" s="8"/>
      <c r="W617" s="8"/>
      <c r="X617" s="8"/>
      <c r="Y617" s="8"/>
      <c r="Z617" s="8"/>
      <c r="AA617" s="8"/>
    </row>
    <row r="618" spans="1:27" ht="12.75">
      <c r="A618" s="8"/>
      <c r="B618" s="59"/>
      <c r="C618" s="59"/>
      <c r="D618" s="59"/>
      <c r="E618" s="59"/>
      <c r="F618" s="8"/>
      <c r="G618" s="8"/>
      <c r="H618" s="8"/>
      <c r="I618" s="8"/>
      <c r="J618" s="8"/>
      <c r="K618" s="8"/>
      <c r="L618" s="8"/>
      <c r="M618" s="8"/>
      <c r="N618" s="8"/>
      <c r="O618" s="8"/>
      <c r="P618" s="8"/>
      <c r="Q618" s="8"/>
      <c r="R618" s="8"/>
      <c r="S618" s="8"/>
      <c r="T618" s="8"/>
      <c r="U618" s="8"/>
      <c r="V618" s="8"/>
      <c r="W618" s="8"/>
      <c r="X618" s="8"/>
      <c r="Y618" s="8"/>
      <c r="Z618" s="8"/>
      <c r="AA618" s="8"/>
    </row>
    <row r="619" spans="1:27" ht="12.75">
      <c r="A619" s="8"/>
      <c r="B619" s="59"/>
      <c r="C619" s="59"/>
      <c r="D619" s="59"/>
      <c r="E619" s="59"/>
      <c r="F619" s="8"/>
      <c r="G619" s="8"/>
      <c r="H619" s="8"/>
      <c r="I619" s="8"/>
      <c r="J619" s="8"/>
      <c r="K619" s="8"/>
      <c r="L619" s="8"/>
      <c r="M619" s="8"/>
      <c r="N619" s="8"/>
      <c r="O619" s="8"/>
      <c r="P619" s="8"/>
      <c r="Q619" s="8"/>
      <c r="R619" s="8"/>
      <c r="S619" s="8"/>
      <c r="T619" s="8"/>
      <c r="U619" s="8"/>
      <c r="V619" s="8"/>
      <c r="W619" s="8"/>
      <c r="X619" s="8"/>
      <c r="Y619" s="8"/>
      <c r="Z619" s="8"/>
      <c r="AA619" s="8"/>
    </row>
    <row r="620" spans="1:27" ht="12.75">
      <c r="A620" s="8"/>
      <c r="B620" s="59"/>
      <c r="C620" s="59"/>
      <c r="D620" s="59"/>
      <c r="E620" s="59"/>
      <c r="F620" s="8"/>
      <c r="G620" s="8"/>
      <c r="H620" s="8"/>
      <c r="I620" s="8"/>
      <c r="J620" s="8"/>
      <c r="K620" s="8"/>
      <c r="L620" s="8"/>
      <c r="M620" s="8"/>
      <c r="N620" s="8"/>
      <c r="O620" s="8"/>
      <c r="P620" s="8"/>
      <c r="Q620" s="8"/>
      <c r="R620" s="8"/>
      <c r="S620" s="8"/>
      <c r="T620" s="8"/>
      <c r="U620" s="8"/>
      <c r="V620" s="8"/>
      <c r="W620" s="8"/>
      <c r="X620" s="8"/>
      <c r="Y620" s="8"/>
      <c r="Z620" s="8"/>
      <c r="AA620" s="8"/>
    </row>
    <row r="621" spans="1:27" ht="12.75">
      <c r="A621" s="8"/>
      <c r="B621" s="59"/>
      <c r="C621" s="59"/>
      <c r="D621" s="59"/>
      <c r="E621" s="59"/>
      <c r="F621" s="8"/>
      <c r="G621" s="8"/>
      <c r="H621" s="8"/>
      <c r="I621" s="8"/>
      <c r="J621" s="8"/>
      <c r="K621" s="8"/>
      <c r="L621" s="8"/>
      <c r="M621" s="8"/>
      <c r="N621" s="8"/>
      <c r="O621" s="8"/>
      <c r="P621" s="8"/>
      <c r="Q621" s="8"/>
      <c r="R621" s="8"/>
      <c r="S621" s="8"/>
      <c r="T621" s="8"/>
      <c r="U621" s="8"/>
      <c r="V621" s="8"/>
      <c r="W621" s="8"/>
      <c r="X621" s="8"/>
      <c r="Y621" s="8"/>
      <c r="Z621" s="8"/>
      <c r="AA621" s="8"/>
    </row>
    <row r="622" spans="1:27" ht="12.75">
      <c r="A622" s="8"/>
      <c r="B622" s="59"/>
      <c r="C622" s="59"/>
      <c r="D622" s="59"/>
      <c r="E622" s="59"/>
      <c r="F622" s="8"/>
      <c r="G622" s="8"/>
      <c r="H622" s="8"/>
      <c r="I622" s="8"/>
      <c r="J622" s="8"/>
      <c r="K622" s="8"/>
      <c r="L622" s="8"/>
      <c r="M622" s="8"/>
      <c r="N622" s="8"/>
      <c r="O622" s="8"/>
      <c r="P622" s="8"/>
      <c r="Q622" s="8"/>
      <c r="R622" s="8"/>
      <c r="S622" s="8"/>
      <c r="T622" s="8"/>
      <c r="U622" s="8"/>
      <c r="V622" s="8"/>
      <c r="W622" s="8"/>
      <c r="X622" s="8"/>
      <c r="Y622" s="8"/>
      <c r="Z622" s="8"/>
      <c r="AA622" s="8"/>
    </row>
    <row r="623" spans="1:27" ht="12.75">
      <c r="A623" s="8"/>
      <c r="B623" s="59"/>
      <c r="C623" s="59"/>
      <c r="D623" s="59"/>
      <c r="E623" s="59"/>
      <c r="F623" s="8"/>
      <c r="G623" s="8"/>
      <c r="H623" s="8"/>
      <c r="I623" s="8"/>
      <c r="J623" s="8"/>
      <c r="K623" s="8"/>
      <c r="L623" s="8"/>
      <c r="M623" s="8"/>
      <c r="N623" s="8"/>
      <c r="O623" s="8"/>
      <c r="P623" s="8"/>
      <c r="Q623" s="8"/>
      <c r="R623" s="8"/>
      <c r="S623" s="8"/>
      <c r="T623" s="8"/>
      <c r="U623" s="8"/>
      <c r="V623" s="8"/>
      <c r="W623" s="8"/>
      <c r="X623" s="8"/>
      <c r="Y623" s="8"/>
      <c r="Z623" s="8"/>
      <c r="AA623" s="8"/>
    </row>
    <row r="624" spans="1:27" ht="12.75">
      <c r="A624" s="8"/>
      <c r="B624" s="59"/>
      <c r="C624" s="59"/>
      <c r="D624" s="59"/>
      <c r="E624" s="59"/>
      <c r="F624" s="8"/>
      <c r="G624" s="8"/>
      <c r="H624" s="8"/>
      <c r="I624" s="8"/>
      <c r="J624" s="8"/>
      <c r="K624" s="8"/>
      <c r="L624" s="8"/>
      <c r="M624" s="8"/>
      <c r="N624" s="8"/>
      <c r="O624" s="8"/>
      <c r="P624" s="8"/>
      <c r="Q624" s="8"/>
      <c r="R624" s="8"/>
      <c r="S624" s="8"/>
      <c r="T624" s="8"/>
      <c r="U624" s="8"/>
      <c r="V624" s="8"/>
      <c r="W624" s="8"/>
      <c r="X624" s="8"/>
      <c r="Y624" s="8"/>
      <c r="Z624" s="8"/>
      <c r="AA624" s="8"/>
    </row>
    <row r="625" spans="1:27" ht="12.75">
      <c r="A625" s="8"/>
      <c r="B625" s="59"/>
      <c r="C625" s="59"/>
      <c r="D625" s="59"/>
      <c r="E625" s="59"/>
      <c r="F625" s="8"/>
      <c r="G625" s="8"/>
      <c r="H625" s="8"/>
      <c r="I625" s="8"/>
      <c r="J625" s="8"/>
      <c r="K625" s="8"/>
      <c r="L625" s="8"/>
      <c r="M625" s="8"/>
      <c r="N625" s="8"/>
      <c r="O625" s="8"/>
      <c r="P625" s="8"/>
      <c r="Q625" s="8"/>
      <c r="R625" s="8"/>
      <c r="S625" s="8"/>
      <c r="T625" s="8"/>
      <c r="U625" s="8"/>
      <c r="V625" s="8"/>
      <c r="W625" s="8"/>
      <c r="X625" s="8"/>
      <c r="Y625" s="8"/>
      <c r="Z625" s="8"/>
      <c r="AA625" s="8"/>
    </row>
    <row r="626" spans="1:27" ht="12.75">
      <c r="A626" s="8"/>
      <c r="B626" s="59"/>
      <c r="C626" s="59"/>
      <c r="D626" s="59"/>
      <c r="E626" s="59"/>
      <c r="F626" s="8"/>
      <c r="G626" s="8"/>
      <c r="H626" s="8"/>
      <c r="I626" s="8"/>
      <c r="J626" s="8"/>
      <c r="K626" s="8"/>
      <c r="L626" s="8"/>
      <c r="M626" s="8"/>
      <c r="N626" s="8"/>
      <c r="O626" s="8"/>
      <c r="P626" s="8"/>
      <c r="Q626" s="8"/>
      <c r="R626" s="8"/>
      <c r="S626" s="8"/>
      <c r="T626" s="8"/>
      <c r="U626" s="8"/>
      <c r="V626" s="8"/>
      <c r="W626" s="8"/>
      <c r="X626" s="8"/>
      <c r="Y626" s="8"/>
      <c r="Z626" s="8"/>
      <c r="AA626" s="8"/>
    </row>
    <row r="627" spans="1:27" ht="12.75">
      <c r="A627" s="8"/>
      <c r="B627" s="59"/>
      <c r="C627" s="59"/>
      <c r="D627" s="59"/>
      <c r="E627" s="59"/>
      <c r="F627" s="8"/>
      <c r="G627" s="8"/>
      <c r="H627" s="8"/>
      <c r="I627" s="8"/>
      <c r="J627" s="8"/>
      <c r="K627" s="8"/>
      <c r="L627" s="8"/>
      <c r="M627" s="8"/>
      <c r="N627" s="8"/>
      <c r="O627" s="8"/>
      <c r="P627" s="8"/>
      <c r="Q627" s="8"/>
      <c r="R627" s="8"/>
      <c r="S627" s="8"/>
      <c r="T627" s="8"/>
      <c r="U627" s="8"/>
      <c r="V627" s="8"/>
      <c r="W627" s="8"/>
      <c r="X627" s="8"/>
      <c r="Y627" s="8"/>
      <c r="Z627" s="8"/>
      <c r="AA627" s="8"/>
    </row>
    <row r="628" spans="1:27" ht="12.75">
      <c r="A628" s="8"/>
      <c r="B628" s="59"/>
      <c r="C628" s="59"/>
      <c r="D628" s="59"/>
      <c r="E628" s="59"/>
      <c r="F628" s="8"/>
      <c r="G628" s="8"/>
      <c r="H628" s="8"/>
      <c r="I628" s="8"/>
      <c r="J628" s="8"/>
      <c r="K628" s="8"/>
      <c r="L628" s="8"/>
      <c r="M628" s="8"/>
      <c r="N628" s="8"/>
      <c r="O628" s="8"/>
      <c r="P628" s="8"/>
      <c r="Q628" s="8"/>
      <c r="R628" s="8"/>
      <c r="S628" s="8"/>
      <c r="T628" s="8"/>
      <c r="U628" s="8"/>
      <c r="V628" s="8"/>
      <c r="W628" s="8"/>
      <c r="X628" s="8"/>
      <c r="Y628" s="8"/>
      <c r="Z628" s="8"/>
      <c r="AA628" s="8"/>
    </row>
    <row r="629" spans="1:27" ht="12.75">
      <c r="A629" s="8"/>
      <c r="B629" s="59"/>
      <c r="C629" s="59"/>
      <c r="D629" s="59"/>
      <c r="E629" s="59"/>
      <c r="F629" s="8"/>
      <c r="G629" s="8"/>
      <c r="H629" s="8"/>
      <c r="I629" s="8"/>
      <c r="J629" s="8"/>
      <c r="K629" s="8"/>
      <c r="L629" s="8"/>
      <c r="M629" s="8"/>
      <c r="N629" s="8"/>
      <c r="O629" s="8"/>
      <c r="P629" s="8"/>
      <c r="Q629" s="8"/>
      <c r="R629" s="8"/>
      <c r="S629" s="8"/>
      <c r="T629" s="8"/>
      <c r="U629" s="8"/>
      <c r="V629" s="8"/>
      <c r="W629" s="8"/>
      <c r="X629" s="8"/>
      <c r="Y629" s="8"/>
      <c r="Z629" s="8"/>
      <c r="AA629" s="8"/>
    </row>
    <row r="630" spans="1:27" ht="12.75">
      <c r="A630" s="8"/>
      <c r="B630" s="59"/>
      <c r="C630" s="59"/>
      <c r="D630" s="59"/>
      <c r="E630" s="59"/>
      <c r="F630" s="8"/>
      <c r="G630" s="8"/>
      <c r="H630" s="8"/>
      <c r="I630" s="8"/>
      <c r="J630" s="8"/>
      <c r="K630" s="8"/>
      <c r="L630" s="8"/>
      <c r="M630" s="8"/>
      <c r="N630" s="8"/>
      <c r="O630" s="8"/>
      <c r="P630" s="8"/>
      <c r="Q630" s="8"/>
      <c r="R630" s="8"/>
      <c r="S630" s="8"/>
      <c r="T630" s="8"/>
      <c r="U630" s="8"/>
      <c r="V630" s="8"/>
      <c r="W630" s="8"/>
      <c r="X630" s="8"/>
      <c r="Y630" s="8"/>
      <c r="Z630" s="8"/>
      <c r="AA630" s="8"/>
    </row>
    <row r="631" spans="1:27" ht="12.75">
      <c r="A631" s="8"/>
      <c r="B631" s="59"/>
      <c r="C631" s="59"/>
      <c r="D631" s="59"/>
      <c r="E631" s="59"/>
      <c r="F631" s="8"/>
      <c r="G631" s="8"/>
      <c r="H631" s="8"/>
      <c r="I631" s="8"/>
      <c r="J631" s="8"/>
      <c r="K631" s="8"/>
      <c r="L631" s="8"/>
      <c r="M631" s="8"/>
      <c r="N631" s="8"/>
      <c r="O631" s="8"/>
      <c r="P631" s="8"/>
      <c r="Q631" s="8"/>
      <c r="R631" s="8"/>
      <c r="S631" s="8"/>
      <c r="T631" s="8"/>
      <c r="U631" s="8"/>
      <c r="V631" s="8"/>
      <c r="W631" s="8"/>
      <c r="X631" s="8"/>
      <c r="Y631" s="8"/>
      <c r="Z631" s="8"/>
      <c r="AA631" s="8"/>
    </row>
    <row r="632" spans="1:27" ht="12.75">
      <c r="A632" s="8"/>
      <c r="B632" s="59"/>
      <c r="C632" s="59"/>
      <c r="D632" s="59"/>
      <c r="E632" s="59"/>
      <c r="F632" s="8"/>
      <c r="G632" s="8"/>
      <c r="H632" s="8"/>
      <c r="I632" s="8"/>
      <c r="J632" s="8"/>
      <c r="K632" s="8"/>
      <c r="L632" s="8"/>
      <c r="M632" s="8"/>
      <c r="N632" s="8"/>
      <c r="O632" s="8"/>
      <c r="P632" s="8"/>
      <c r="Q632" s="8"/>
      <c r="R632" s="8"/>
      <c r="S632" s="8"/>
      <c r="T632" s="8"/>
      <c r="U632" s="8"/>
      <c r="V632" s="8"/>
      <c r="W632" s="8"/>
      <c r="X632" s="8"/>
      <c r="Y632" s="8"/>
      <c r="Z632" s="8"/>
      <c r="AA632" s="8"/>
    </row>
    <row r="633" spans="1:27" ht="12.75">
      <c r="A633" s="8"/>
      <c r="B633" s="59"/>
      <c r="C633" s="59"/>
      <c r="D633" s="59"/>
      <c r="E633" s="59"/>
      <c r="F633" s="8"/>
      <c r="G633" s="8"/>
      <c r="H633" s="8"/>
      <c r="I633" s="8"/>
      <c r="J633" s="8"/>
      <c r="K633" s="8"/>
      <c r="L633" s="8"/>
      <c r="M633" s="8"/>
      <c r="N633" s="8"/>
      <c r="O633" s="8"/>
      <c r="P633" s="8"/>
      <c r="Q633" s="8"/>
      <c r="R633" s="8"/>
      <c r="S633" s="8"/>
      <c r="T633" s="8"/>
      <c r="U633" s="8"/>
      <c r="V633" s="8"/>
      <c r="W633" s="8"/>
      <c r="X633" s="8"/>
      <c r="Y633" s="8"/>
      <c r="Z633" s="8"/>
      <c r="AA633" s="8"/>
    </row>
    <row r="634" spans="1:27" ht="12.75">
      <c r="A634" s="8"/>
      <c r="B634" s="59"/>
      <c r="C634" s="59"/>
      <c r="D634" s="59"/>
      <c r="E634" s="59"/>
      <c r="F634" s="8"/>
      <c r="G634" s="8"/>
      <c r="H634" s="8"/>
      <c r="I634" s="8"/>
      <c r="J634" s="8"/>
      <c r="K634" s="8"/>
      <c r="L634" s="8"/>
      <c r="M634" s="8"/>
      <c r="N634" s="8"/>
      <c r="O634" s="8"/>
      <c r="P634" s="8"/>
      <c r="Q634" s="8"/>
      <c r="R634" s="8"/>
      <c r="S634" s="8"/>
      <c r="T634" s="8"/>
      <c r="U634" s="8"/>
      <c r="V634" s="8"/>
      <c r="W634" s="8"/>
      <c r="X634" s="8"/>
      <c r="Y634" s="8"/>
      <c r="Z634" s="8"/>
      <c r="AA634" s="8"/>
    </row>
    <row r="635" spans="1:27" ht="12.75">
      <c r="A635" s="8"/>
      <c r="B635" s="59"/>
      <c r="C635" s="59"/>
      <c r="D635" s="59"/>
      <c r="E635" s="59"/>
      <c r="F635" s="8"/>
      <c r="G635" s="8"/>
      <c r="H635" s="8"/>
      <c r="I635" s="8"/>
      <c r="J635" s="8"/>
      <c r="K635" s="8"/>
      <c r="L635" s="8"/>
      <c r="M635" s="8"/>
      <c r="N635" s="8"/>
      <c r="O635" s="8"/>
      <c r="P635" s="8"/>
      <c r="Q635" s="8"/>
      <c r="R635" s="8"/>
      <c r="S635" s="8"/>
      <c r="T635" s="8"/>
      <c r="U635" s="8"/>
      <c r="V635" s="8"/>
      <c r="W635" s="8"/>
      <c r="X635" s="8"/>
      <c r="Y635" s="8"/>
      <c r="Z635" s="8"/>
      <c r="AA635" s="8"/>
    </row>
    <row r="636" spans="1:27" ht="12.75">
      <c r="A636" s="8"/>
      <c r="B636" s="59"/>
      <c r="C636" s="59"/>
      <c r="D636" s="59"/>
      <c r="E636" s="59"/>
      <c r="F636" s="8"/>
      <c r="G636" s="8"/>
      <c r="H636" s="8"/>
      <c r="I636" s="8"/>
      <c r="J636" s="8"/>
      <c r="K636" s="8"/>
      <c r="L636" s="8"/>
      <c r="M636" s="8"/>
      <c r="N636" s="8"/>
      <c r="O636" s="8"/>
      <c r="P636" s="8"/>
      <c r="Q636" s="8"/>
      <c r="R636" s="8"/>
      <c r="S636" s="8"/>
      <c r="T636" s="8"/>
      <c r="U636" s="8"/>
      <c r="V636" s="8"/>
      <c r="W636" s="8"/>
      <c r="X636" s="8"/>
      <c r="Y636" s="8"/>
      <c r="Z636" s="8"/>
      <c r="AA636" s="8"/>
    </row>
    <row r="637" spans="1:27" ht="12.75">
      <c r="A637" s="8"/>
      <c r="B637" s="59"/>
      <c r="C637" s="59"/>
      <c r="D637" s="59"/>
      <c r="E637" s="59"/>
      <c r="F637" s="8"/>
      <c r="G637" s="8"/>
      <c r="H637" s="8"/>
      <c r="I637" s="8"/>
      <c r="J637" s="8"/>
      <c r="K637" s="8"/>
      <c r="L637" s="8"/>
      <c r="M637" s="8"/>
      <c r="N637" s="8"/>
      <c r="O637" s="8"/>
      <c r="P637" s="8"/>
      <c r="Q637" s="8"/>
      <c r="R637" s="8"/>
      <c r="S637" s="8"/>
      <c r="T637" s="8"/>
      <c r="U637" s="8"/>
      <c r="V637" s="8"/>
      <c r="W637" s="8"/>
      <c r="X637" s="8"/>
      <c r="Y637" s="8"/>
      <c r="Z637" s="8"/>
      <c r="AA637" s="8"/>
    </row>
    <row r="638" spans="1:27" ht="12.75">
      <c r="A638" s="8"/>
      <c r="B638" s="59"/>
      <c r="C638" s="59"/>
      <c r="D638" s="59"/>
      <c r="E638" s="59"/>
      <c r="F638" s="8"/>
      <c r="G638" s="8"/>
      <c r="H638" s="8"/>
      <c r="I638" s="8"/>
      <c r="J638" s="8"/>
      <c r="K638" s="8"/>
      <c r="L638" s="8"/>
      <c r="M638" s="8"/>
      <c r="N638" s="8"/>
      <c r="O638" s="8"/>
      <c r="P638" s="8"/>
      <c r="Q638" s="8"/>
      <c r="R638" s="8"/>
      <c r="S638" s="8"/>
      <c r="T638" s="8"/>
      <c r="U638" s="8"/>
      <c r="V638" s="8"/>
      <c r="W638" s="8"/>
      <c r="X638" s="8"/>
      <c r="Y638" s="8"/>
      <c r="Z638" s="8"/>
      <c r="AA638" s="8"/>
    </row>
    <row r="639" spans="1:27" ht="12.75">
      <c r="A639" s="8"/>
      <c r="B639" s="59"/>
      <c r="C639" s="59"/>
      <c r="D639" s="59"/>
      <c r="E639" s="59"/>
      <c r="F639" s="8"/>
      <c r="G639" s="8"/>
      <c r="H639" s="8"/>
      <c r="I639" s="8"/>
      <c r="J639" s="8"/>
      <c r="K639" s="8"/>
      <c r="L639" s="8"/>
      <c r="M639" s="8"/>
      <c r="N639" s="8"/>
      <c r="O639" s="8"/>
      <c r="P639" s="8"/>
      <c r="Q639" s="8"/>
      <c r="R639" s="8"/>
      <c r="S639" s="8"/>
      <c r="T639" s="8"/>
      <c r="U639" s="8"/>
      <c r="V639" s="8"/>
      <c r="W639" s="8"/>
      <c r="X639" s="8"/>
      <c r="Y639" s="8"/>
      <c r="Z639" s="8"/>
      <c r="AA639" s="8"/>
    </row>
    <row r="640" spans="1:27" ht="12.75">
      <c r="A640" s="8"/>
      <c r="B640" s="59"/>
      <c r="C640" s="59"/>
      <c r="D640" s="59"/>
      <c r="E640" s="59"/>
      <c r="F640" s="8"/>
      <c r="G640" s="8"/>
      <c r="H640" s="8"/>
      <c r="I640" s="8"/>
      <c r="J640" s="8"/>
      <c r="K640" s="8"/>
      <c r="L640" s="8"/>
      <c r="M640" s="8"/>
      <c r="N640" s="8"/>
      <c r="O640" s="8"/>
      <c r="P640" s="8"/>
      <c r="Q640" s="8"/>
      <c r="R640" s="8"/>
      <c r="S640" s="8"/>
      <c r="T640" s="8"/>
      <c r="U640" s="8"/>
      <c r="V640" s="8"/>
      <c r="W640" s="8"/>
      <c r="X640" s="8"/>
      <c r="Y640" s="8"/>
      <c r="Z640" s="8"/>
      <c r="AA640" s="8"/>
    </row>
    <row r="641" spans="1:27" ht="12.75">
      <c r="A641" s="8"/>
      <c r="B641" s="59"/>
      <c r="C641" s="59"/>
      <c r="D641" s="59"/>
      <c r="E641" s="59"/>
      <c r="F641" s="8"/>
      <c r="G641" s="8"/>
      <c r="H641" s="8"/>
      <c r="I641" s="8"/>
      <c r="J641" s="8"/>
      <c r="K641" s="8"/>
      <c r="L641" s="8"/>
      <c r="M641" s="8"/>
      <c r="N641" s="8"/>
      <c r="O641" s="8"/>
      <c r="P641" s="8"/>
      <c r="Q641" s="8"/>
      <c r="R641" s="8"/>
      <c r="S641" s="8"/>
      <c r="T641" s="8"/>
      <c r="U641" s="8"/>
      <c r="V641" s="8"/>
      <c r="W641" s="8"/>
      <c r="X641" s="8"/>
      <c r="Y641" s="8"/>
      <c r="Z641" s="8"/>
      <c r="AA641" s="8"/>
    </row>
    <row r="642" spans="1:27" ht="12.75">
      <c r="A642" s="8"/>
      <c r="B642" s="59"/>
      <c r="C642" s="59"/>
      <c r="D642" s="59"/>
      <c r="E642" s="59"/>
      <c r="F642" s="8"/>
      <c r="G642" s="8"/>
      <c r="H642" s="8"/>
      <c r="I642" s="8"/>
      <c r="J642" s="8"/>
      <c r="K642" s="8"/>
      <c r="L642" s="8"/>
      <c r="M642" s="8"/>
      <c r="N642" s="8"/>
      <c r="O642" s="8"/>
      <c r="P642" s="8"/>
      <c r="Q642" s="8"/>
      <c r="R642" s="8"/>
      <c r="S642" s="8"/>
      <c r="T642" s="8"/>
      <c r="U642" s="8"/>
      <c r="V642" s="8"/>
      <c r="W642" s="8"/>
      <c r="X642" s="8"/>
      <c r="Y642" s="8"/>
      <c r="Z642" s="8"/>
      <c r="AA642" s="8"/>
    </row>
    <row r="643" spans="1:27" ht="12.75">
      <c r="A643" s="8"/>
      <c r="B643" s="59"/>
      <c r="C643" s="59"/>
      <c r="D643" s="59"/>
      <c r="E643" s="59"/>
      <c r="F643" s="8"/>
      <c r="G643" s="8"/>
      <c r="H643" s="8"/>
      <c r="I643" s="8"/>
      <c r="J643" s="8"/>
      <c r="K643" s="8"/>
      <c r="L643" s="8"/>
      <c r="M643" s="8"/>
      <c r="N643" s="8"/>
      <c r="O643" s="8"/>
      <c r="P643" s="8"/>
      <c r="Q643" s="8"/>
      <c r="R643" s="8"/>
      <c r="S643" s="8"/>
      <c r="T643" s="8"/>
      <c r="U643" s="8"/>
      <c r="V643" s="8"/>
      <c r="W643" s="8"/>
      <c r="X643" s="8"/>
      <c r="Y643" s="8"/>
      <c r="Z643" s="8"/>
      <c r="AA643" s="8"/>
    </row>
    <row r="644" spans="1:27" ht="12.75">
      <c r="A644" s="8"/>
      <c r="B644" s="59"/>
      <c r="C644" s="59"/>
      <c r="D644" s="59"/>
      <c r="E644" s="59"/>
      <c r="F644" s="8"/>
      <c r="G644" s="8"/>
      <c r="H644" s="8"/>
      <c r="I644" s="8"/>
      <c r="J644" s="8"/>
      <c r="K644" s="8"/>
      <c r="L644" s="8"/>
      <c r="M644" s="8"/>
      <c r="N644" s="8"/>
      <c r="O644" s="8"/>
      <c r="P644" s="8"/>
      <c r="Q644" s="8"/>
      <c r="R644" s="8"/>
      <c r="S644" s="8"/>
      <c r="T644" s="8"/>
      <c r="U644" s="8"/>
      <c r="V644" s="8"/>
      <c r="W644" s="8"/>
      <c r="X644" s="8"/>
      <c r="Y644" s="8"/>
      <c r="Z644" s="8"/>
      <c r="AA644" s="8"/>
    </row>
    <row r="645" spans="1:27" ht="12.75">
      <c r="A645" s="8"/>
      <c r="B645" s="59"/>
      <c r="C645" s="59"/>
      <c r="D645" s="59"/>
      <c r="E645" s="59"/>
      <c r="F645" s="8"/>
      <c r="G645" s="8"/>
      <c r="H645" s="8"/>
      <c r="I645" s="8"/>
      <c r="J645" s="8"/>
      <c r="K645" s="8"/>
      <c r="L645" s="8"/>
      <c r="M645" s="8"/>
      <c r="N645" s="8"/>
      <c r="O645" s="8"/>
      <c r="P645" s="8"/>
      <c r="Q645" s="8"/>
      <c r="R645" s="8"/>
      <c r="S645" s="8"/>
      <c r="T645" s="8"/>
      <c r="U645" s="8"/>
      <c r="V645" s="8"/>
      <c r="W645" s="8"/>
      <c r="X645" s="8"/>
      <c r="Y645" s="8"/>
      <c r="Z645" s="8"/>
      <c r="AA645" s="8"/>
    </row>
    <row r="646" spans="1:27" ht="12.75">
      <c r="A646" s="8"/>
      <c r="B646" s="59"/>
      <c r="C646" s="59"/>
      <c r="D646" s="59"/>
      <c r="E646" s="59"/>
      <c r="F646" s="8"/>
      <c r="G646" s="8"/>
      <c r="H646" s="8"/>
      <c r="I646" s="8"/>
      <c r="J646" s="8"/>
      <c r="K646" s="8"/>
      <c r="L646" s="8"/>
      <c r="M646" s="8"/>
      <c r="N646" s="8"/>
      <c r="O646" s="8"/>
      <c r="P646" s="8"/>
      <c r="Q646" s="8"/>
      <c r="R646" s="8"/>
      <c r="S646" s="8"/>
      <c r="T646" s="8"/>
      <c r="U646" s="8"/>
      <c r="V646" s="8"/>
      <c r="W646" s="8"/>
      <c r="X646" s="8"/>
      <c r="Y646" s="8"/>
      <c r="Z646" s="8"/>
      <c r="AA646" s="8"/>
    </row>
    <row r="647" spans="1:27" ht="12.75">
      <c r="A647" s="8"/>
      <c r="B647" s="59"/>
      <c r="C647" s="59"/>
      <c r="D647" s="59"/>
      <c r="E647" s="59"/>
      <c r="F647" s="8"/>
      <c r="G647" s="8"/>
      <c r="H647" s="8"/>
      <c r="I647" s="8"/>
      <c r="J647" s="8"/>
      <c r="K647" s="8"/>
      <c r="L647" s="8"/>
      <c r="M647" s="8"/>
      <c r="N647" s="8"/>
      <c r="O647" s="8"/>
      <c r="P647" s="8"/>
      <c r="Q647" s="8"/>
      <c r="R647" s="8"/>
      <c r="S647" s="8"/>
      <c r="T647" s="8"/>
      <c r="U647" s="8"/>
      <c r="V647" s="8"/>
      <c r="W647" s="8"/>
      <c r="X647" s="8"/>
      <c r="Y647" s="8"/>
      <c r="Z647" s="8"/>
      <c r="AA647" s="8"/>
    </row>
    <row r="648" spans="1:27" ht="12.75">
      <c r="A648" s="8"/>
      <c r="B648" s="59"/>
      <c r="C648" s="59"/>
      <c r="D648" s="59"/>
      <c r="E648" s="59"/>
      <c r="F648" s="8"/>
      <c r="G648" s="8"/>
      <c r="H648" s="8"/>
      <c r="I648" s="8"/>
      <c r="J648" s="8"/>
      <c r="K648" s="8"/>
      <c r="L648" s="8"/>
      <c r="M648" s="8"/>
      <c r="N648" s="8"/>
      <c r="O648" s="8"/>
      <c r="P648" s="8"/>
      <c r="Q648" s="8"/>
      <c r="R648" s="8"/>
      <c r="S648" s="8"/>
      <c r="T648" s="8"/>
      <c r="U648" s="8"/>
      <c r="V648" s="8"/>
      <c r="W648" s="8"/>
      <c r="X648" s="8"/>
      <c r="Y648" s="8"/>
      <c r="Z648" s="8"/>
      <c r="AA648" s="8"/>
    </row>
    <row r="649" spans="1:27" ht="12.75">
      <c r="A649" s="8"/>
      <c r="B649" s="59"/>
      <c r="C649" s="59"/>
      <c r="D649" s="59"/>
      <c r="E649" s="59"/>
      <c r="F649" s="8"/>
      <c r="G649" s="8"/>
      <c r="H649" s="8"/>
      <c r="I649" s="8"/>
      <c r="J649" s="8"/>
      <c r="K649" s="8"/>
      <c r="L649" s="8"/>
      <c r="M649" s="8"/>
      <c r="N649" s="8"/>
      <c r="O649" s="8"/>
      <c r="P649" s="8"/>
      <c r="Q649" s="8"/>
      <c r="R649" s="8"/>
      <c r="S649" s="8"/>
      <c r="T649" s="8"/>
      <c r="U649" s="8"/>
      <c r="V649" s="8"/>
      <c r="W649" s="8"/>
      <c r="X649" s="8"/>
      <c r="Y649" s="8"/>
      <c r="Z649" s="8"/>
      <c r="AA649" s="8"/>
    </row>
    <row r="650" spans="1:27" ht="12.75">
      <c r="A650" s="8"/>
      <c r="B650" s="59"/>
      <c r="C650" s="59"/>
      <c r="D650" s="59"/>
      <c r="E650" s="59"/>
      <c r="F650" s="8"/>
      <c r="G650" s="8"/>
      <c r="H650" s="8"/>
      <c r="I650" s="8"/>
      <c r="J650" s="8"/>
      <c r="K650" s="8"/>
      <c r="L650" s="8"/>
      <c r="M650" s="8"/>
      <c r="N650" s="8"/>
      <c r="O650" s="8"/>
      <c r="P650" s="8"/>
      <c r="Q650" s="8"/>
      <c r="R650" s="8"/>
      <c r="S650" s="8"/>
      <c r="T650" s="8"/>
      <c r="U650" s="8"/>
      <c r="V650" s="8"/>
      <c r="W650" s="8"/>
      <c r="X650" s="8"/>
      <c r="Y650" s="8"/>
      <c r="Z650" s="8"/>
      <c r="AA650" s="8"/>
    </row>
    <row r="651" spans="1:27" ht="12.75">
      <c r="A651" s="8"/>
      <c r="B651" s="59"/>
      <c r="C651" s="59"/>
      <c r="D651" s="59"/>
      <c r="E651" s="59"/>
      <c r="F651" s="8"/>
      <c r="G651" s="8"/>
      <c r="H651" s="8"/>
      <c r="I651" s="8"/>
      <c r="J651" s="8"/>
      <c r="K651" s="8"/>
      <c r="L651" s="8"/>
      <c r="M651" s="8"/>
      <c r="N651" s="8"/>
      <c r="O651" s="8"/>
      <c r="P651" s="8"/>
      <c r="Q651" s="8"/>
      <c r="R651" s="8"/>
      <c r="S651" s="8"/>
      <c r="T651" s="8"/>
      <c r="U651" s="8"/>
      <c r="V651" s="8"/>
      <c r="W651" s="8"/>
      <c r="X651" s="8"/>
      <c r="Y651" s="8"/>
      <c r="Z651" s="8"/>
      <c r="AA651" s="8"/>
    </row>
    <row r="652" spans="1:27" ht="12.75">
      <c r="A652" s="8"/>
      <c r="B652" s="59"/>
      <c r="C652" s="59"/>
      <c r="D652" s="59"/>
      <c r="E652" s="59"/>
      <c r="F652" s="8"/>
      <c r="G652" s="8"/>
      <c r="H652" s="8"/>
      <c r="I652" s="8"/>
      <c r="J652" s="8"/>
      <c r="K652" s="8"/>
      <c r="L652" s="8"/>
      <c r="M652" s="8"/>
      <c r="N652" s="8"/>
      <c r="O652" s="8"/>
      <c r="P652" s="8"/>
      <c r="Q652" s="8"/>
      <c r="R652" s="8"/>
      <c r="S652" s="8"/>
      <c r="T652" s="8"/>
      <c r="U652" s="8"/>
      <c r="V652" s="8"/>
      <c r="W652" s="8"/>
      <c r="X652" s="8"/>
      <c r="Y652" s="8"/>
      <c r="Z652" s="8"/>
      <c r="AA652" s="8"/>
    </row>
    <row r="653" spans="1:27" ht="12.75">
      <c r="A653" s="8"/>
      <c r="B653" s="59"/>
      <c r="C653" s="59"/>
      <c r="D653" s="59"/>
      <c r="E653" s="59"/>
      <c r="F653" s="8"/>
      <c r="G653" s="8"/>
      <c r="H653" s="8"/>
      <c r="I653" s="8"/>
      <c r="J653" s="8"/>
      <c r="K653" s="8"/>
      <c r="L653" s="8"/>
      <c r="M653" s="8"/>
      <c r="N653" s="8"/>
      <c r="O653" s="8"/>
      <c r="P653" s="8"/>
      <c r="Q653" s="8"/>
      <c r="R653" s="8"/>
      <c r="S653" s="8"/>
      <c r="T653" s="8"/>
      <c r="U653" s="8"/>
      <c r="V653" s="8"/>
      <c r="W653" s="8"/>
      <c r="X653" s="8"/>
      <c r="Y653" s="8"/>
      <c r="Z653" s="8"/>
      <c r="AA653" s="8"/>
    </row>
    <row r="654" spans="1:27" ht="12.75">
      <c r="A654" s="8"/>
      <c r="B654" s="59"/>
      <c r="C654" s="59"/>
      <c r="D654" s="59"/>
      <c r="E654" s="59"/>
      <c r="F654" s="8"/>
      <c r="G654" s="8"/>
      <c r="H654" s="8"/>
      <c r="I654" s="8"/>
      <c r="J654" s="8"/>
      <c r="K654" s="8"/>
      <c r="L654" s="8"/>
      <c r="M654" s="8"/>
      <c r="N654" s="8"/>
      <c r="O654" s="8"/>
      <c r="P654" s="8"/>
      <c r="Q654" s="8"/>
      <c r="R654" s="8"/>
      <c r="S654" s="8"/>
      <c r="T654" s="8"/>
      <c r="U654" s="8"/>
      <c r="V654" s="8"/>
      <c r="W654" s="8"/>
      <c r="X654" s="8"/>
      <c r="Y654" s="8"/>
      <c r="Z654" s="8"/>
      <c r="AA654" s="8"/>
    </row>
    <row r="655" spans="1:27" ht="12.75">
      <c r="A655" s="8"/>
      <c r="B655" s="59"/>
      <c r="C655" s="59"/>
      <c r="D655" s="59"/>
      <c r="E655" s="59"/>
      <c r="F655" s="8"/>
      <c r="G655" s="8"/>
      <c r="H655" s="8"/>
      <c r="I655" s="8"/>
      <c r="J655" s="8"/>
      <c r="K655" s="8"/>
      <c r="L655" s="8"/>
      <c r="M655" s="8"/>
      <c r="N655" s="8"/>
      <c r="O655" s="8"/>
      <c r="P655" s="8"/>
      <c r="Q655" s="8"/>
      <c r="R655" s="8"/>
      <c r="S655" s="8"/>
      <c r="T655" s="8"/>
      <c r="U655" s="8"/>
      <c r="V655" s="8"/>
      <c r="W655" s="8"/>
      <c r="X655" s="8"/>
      <c r="Y655" s="8"/>
      <c r="Z655" s="8"/>
      <c r="AA655" s="8"/>
    </row>
    <row r="656" spans="1:27" ht="12.75">
      <c r="A656" s="8"/>
      <c r="B656" s="59"/>
      <c r="C656" s="59"/>
      <c r="D656" s="59"/>
      <c r="E656" s="59"/>
      <c r="F656" s="8"/>
      <c r="G656" s="8"/>
      <c r="H656" s="8"/>
      <c r="I656" s="8"/>
      <c r="J656" s="8"/>
      <c r="K656" s="8"/>
      <c r="L656" s="8"/>
      <c r="M656" s="8"/>
      <c r="N656" s="8"/>
      <c r="O656" s="8"/>
      <c r="P656" s="8"/>
      <c r="Q656" s="8"/>
      <c r="R656" s="8"/>
      <c r="S656" s="8"/>
      <c r="T656" s="8"/>
      <c r="U656" s="8"/>
      <c r="V656" s="8"/>
      <c r="W656" s="8"/>
      <c r="X656" s="8"/>
      <c r="Y656" s="8"/>
      <c r="Z656" s="8"/>
      <c r="AA656" s="8"/>
    </row>
    <row r="657" spans="1:27" ht="12.75">
      <c r="A657" s="8"/>
      <c r="B657" s="59"/>
      <c r="C657" s="59"/>
      <c r="D657" s="59"/>
      <c r="E657" s="59"/>
      <c r="F657" s="8"/>
      <c r="G657" s="8"/>
      <c r="H657" s="8"/>
      <c r="I657" s="8"/>
      <c r="J657" s="8"/>
      <c r="K657" s="8"/>
      <c r="L657" s="8"/>
      <c r="M657" s="8"/>
      <c r="N657" s="8"/>
      <c r="O657" s="8"/>
      <c r="P657" s="8"/>
      <c r="Q657" s="8"/>
      <c r="R657" s="8"/>
      <c r="S657" s="8"/>
      <c r="T657" s="8"/>
      <c r="U657" s="8"/>
      <c r="V657" s="8"/>
      <c r="W657" s="8"/>
      <c r="X657" s="8"/>
      <c r="Y657" s="8"/>
      <c r="Z657" s="8"/>
      <c r="AA657" s="8"/>
    </row>
    <row r="658" spans="1:27" ht="12.75">
      <c r="A658" s="8"/>
      <c r="B658" s="59"/>
      <c r="C658" s="59"/>
      <c r="D658" s="59"/>
      <c r="E658" s="59"/>
      <c r="F658" s="8"/>
      <c r="G658" s="8"/>
      <c r="H658" s="8"/>
      <c r="I658" s="8"/>
      <c r="J658" s="8"/>
      <c r="K658" s="8"/>
      <c r="L658" s="8"/>
      <c r="M658" s="8"/>
      <c r="N658" s="8"/>
      <c r="O658" s="8"/>
      <c r="P658" s="8"/>
      <c r="Q658" s="8"/>
      <c r="R658" s="8"/>
      <c r="S658" s="8"/>
      <c r="T658" s="8"/>
      <c r="U658" s="8"/>
      <c r="V658" s="8"/>
      <c r="W658" s="8"/>
      <c r="X658" s="8"/>
      <c r="Y658" s="8"/>
      <c r="Z658" s="8"/>
      <c r="AA658" s="8"/>
    </row>
    <row r="659" spans="1:27" ht="12.75">
      <c r="A659" s="8"/>
      <c r="B659" s="59"/>
      <c r="C659" s="59"/>
      <c r="D659" s="59"/>
      <c r="E659" s="59"/>
      <c r="F659" s="8"/>
      <c r="G659" s="8"/>
      <c r="H659" s="8"/>
      <c r="I659" s="8"/>
      <c r="J659" s="8"/>
      <c r="K659" s="8"/>
      <c r="L659" s="8"/>
      <c r="M659" s="8"/>
      <c r="N659" s="8"/>
      <c r="O659" s="8"/>
      <c r="P659" s="8"/>
      <c r="Q659" s="8"/>
      <c r="R659" s="8"/>
      <c r="S659" s="8"/>
      <c r="T659" s="8"/>
      <c r="U659" s="8"/>
      <c r="V659" s="8"/>
      <c r="W659" s="8"/>
      <c r="X659" s="8"/>
      <c r="Y659" s="8"/>
      <c r="Z659" s="8"/>
      <c r="AA659" s="8"/>
    </row>
    <row r="660" spans="1:27" ht="12.75">
      <c r="A660" s="8"/>
      <c r="B660" s="59"/>
      <c r="C660" s="59"/>
      <c r="D660" s="59"/>
      <c r="E660" s="59"/>
      <c r="F660" s="8"/>
      <c r="G660" s="8"/>
      <c r="H660" s="8"/>
      <c r="I660" s="8"/>
      <c r="J660" s="8"/>
      <c r="K660" s="8"/>
      <c r="L660" s="8"/>
      <c r="M660" s="8"/>
      <c r="N660" s="8"/>
      <c r="O660" s="8"/>
      <c r="P660" s="8"/>
      <c r="Q660" s="8"/>
      <c r="R660" s="8"/>
      <c r="S660" s="8"/>
      <c r="T660" s="8"/>
      <c r="U660" s="8"/>
      <c r="V660" s="8"/>
      <c r="W660" s="8"/>
      <c r="X660" s="8"/>
      <c r="Y660" s="8"/>
      <c r="Z660" s="8"/>
      <c r="AA660" s="8"/>
    </row>
    <row r="661" spans="1:27" ht="12.75">
      <c r="A661" s="8"/>
      <c r="B661" s="59"/>
      <c r="C661" s="59"/>
      <c r="D661" s="59"/>
      <c r="E661" s="59"/>
      <c r="F661" s="8"/>
      <c r="G661" s="8"/>
      <c r="H661" s="8"/>
      <c r="I661" s="8"/>
      <c r="J661" s="8"/>
      <c r="K661" s="8"/>
      <c r="L661" s="8"/>
      <c r="M661" s="8"/>
      <c r="N661" s="8"/>
      <c r="O661" s="8"/>
      <c r="P661" s="8"/>
      <c r="Q661" s="8"/>
      <c r="R661" s="8"/>
      <c r="S661" s="8"/>
      <c r="T661" s="8"/>
      <c r="U661" s="8"/>
      <c r="V661" s="8"/>
      <c r="W661" s="8"/>
      <c r="X661" s="8"/>
      <c r="Y661" s="8"/>
      <c r="Z661" s="8"/>
      <c r="AA661" s="8"/>
    </row>
    <row r="662" spans="1:27" ht="12.75">
      <c r="A662" s="8"/>
      <c r="B662" s="59"/>
      <c r="C662" s="59"/>
      <c r="D662" s="59"/>
      <c r="E662" s="59"/>
      <c r="F662" s="8"/>
      <c r="G662" s="8"/>
      <c r="H662" s="8"/>
      <c r="I662" s="8"/>
      <c r="J662" s="8"/>
      <c r="K662" s="8"/>
      <c r="L662" s="8"/>
      <c r="M662" s="8"/>
      <c r="N662" s="8"/>
      <c r="O662" s="8"/>
      <c r="P662" s="8"/>
      <c r="Q662" s="8"/>
      <c r="R662" s="8"/>
      <c r="S662" s="8"/>
      <c r="T662" s="8"/>
      <c r="U662" s="8"/>
      <c r="V662" s="8"/>
      <c r="W662" s="8"/>
      <c r="X662" s="8"/>
      <c r="Y662" s="8"/>
      <c r="Z662" s="8"/>
      <c r="AA662" s="8"/>
    </row>
    <row r="663" spans="1:27" ht="12.75">
      <c r="A663" s="8"/>
      <c r="B663" s="59"/>
      <c r="C663" s="59"/>
      <c r="D663" s="59"/>
      <c r="E663" s="59"/>
      <c r="F663" s="8"/>
      <c r="G663" s="8"/>
      <c r="H663" s="8"/>
      <c r="I663" s="8"/>
      <c r="J663" s="8"/>
      <c r="K663" s="8"/>
      <c r="L663" s="8"/>
      <c r="M663" s="8"/>
      <c r="N663" s="8"/>
      <c r="O663" s="8"/>
      <c r="P663" s="8"/>
      <c r="Q663" s="8"/>
      <c r="R663" s="8"/>
      <c r="S663" s="8"/>
      <c r="T663" s="8"/>
      <c r="U663" s="8"/>
      <c r="V663" s="8"/>
      <c r="W663" s="8"/>
      <c r="X663" s="8"/>
      <c r="Y663" s="8"/>
      <c r="Z663" s="8"/>
      <c r="AA663" s="8"/>
    </row>
    <row r="664" spans="1:27" ht="12.75">
      <c r="A664" s="8"/>
      <c r="B664" s="59"/>
      <c r="C664" s="59"/>
      <c r="D664" s="59"/>
      <c r="E664" s="59"/>
      <c r="F664" s="8"/>
      <c r="G664" s="8"/>
      <c r="H664" s="8"/>
      <c r="I664" s="8"/>
      <c r="J664" s="8"/>
      <c r="K664" s="8"/>
      <c r="L664" s="8"/>
      <c r="M664" s="8"/>
      <c r="N664" s="8"/>
      <c r="O664" s="8"/>
      <c r="P664" s="8"/>
      <c r="Q664" s="8"/>
      <c r="R664" s="8"/>
      <c r="S664" s="8"/>
      <c r="T664" s="8"/>
      <c r="U664" s="8"/>
      <c r="V664" s="8"/>
      <c r="W664" s="8"/>
      <c r="X664" s="8"/>
      <c r="Y664" s="8"/>
      <c r="Z664" s="8"/>
      <c r="AA664" s="8"/>
    </row>
    <row r="665" spans="1:27" ht="12.75">
      <c r="A665" s="8"/>
      <c r="B665" s="59"/>
      <c r="C665" s="59"/>
      <c r="D665" s="59"/>
      <c r="E665" s="59"/>
      <c r="F665" s="8"/>
      <c r="G665" s="8"/>
      <c r="H665" s="8"/>
      <c r="I665" s="8"/>
      <c r="J665" s="8"/>
      <c r="K665" s="8"/>
      <c r="L665" s="8"/>
      <c r="M665" s="8"/>
      <c r="N665" s="8"/>
      <c r="O665" s="8"/>
      <c r="P665" s="8"/>
      <c r="Q665" s="8"/>
      <c r="R665" s="8"/>
      <c r="S665" s="8"/>
      <c r="T665" s="8"/>
      <c r="U665" s="8"/>
      <c r="V665" s="8"/>
      <c r="W665" s="8"/>
      <c r="X665" s="8"/>
      <c r="Y665" s="8"/>
      <c r="Z665" s="8"/>
      <c r="AA665" s="8"/>
    </row>
    <row r="666" spans="1:27" ht="12.75">
      <c r="A666" s="8"/>
      <c r="B666" s="59"/>
      <c r="C666" s="59"/>
      <c r="D666" s="59"/>
      <c r="E666" s="59"/>
      <c r="F666" s="8"/>
      <c r="G666" s="8"/>
      <c r="H666" s="8"/>
      <c r="I666" s="8"/>
      <c r="J666" s="8"/>
      <c r="K666" s="8"/>
      <c r="L666" s="8"/>
      <c r="M666" s="8"/>
      <c r="N666" s="8"/>
      <c r="O666" s="8"/>
      <c r="P666" s="8"/>
      <c r="Q666" s="8"/>
      <c r="R666" s="8"/>
      <c r="S666" s="8"/>
      <c r="T666" s="8"/>
      <c r="U666" s="8"/>
      <c r="V666" s="8"/>
      <c r="W666" s="8"/>
      <c r="X666" s="8"/>
      <c r="Y666" s="8"/>
      <c r="Z666" s="8"/>
      <c r="AA666" s="8"/>
    </row>
    <row r="667" spans="1:27" ht="12.75">
      <c r="A667" s="8"/>
      <c r="B667" s="59"/>
      <c r="C667" s="59"/>
      <c r="D667" s="59"/>
      <c r="E667" s="59"/>
      <c r="F667" s="8"/>
      <c r="G667" s="8"/>
      <c r="H667" s="8"/>
      <c r="I667" s="8"/>
      <c r="J667" s="8"/>
      <c r="K667" s="8"/>
      <c r="L667" s="8"/>
      <c r="M667" s="8"/>
      <c r="N667" s="8"/>
      <c r="O667" s="8"/>
      <c r="P667" s="8"/>
      <c r="Q667" s="8"/>
      <c r="R667" s="8"/>
      <c r="S667" s="8"/>
      <c r="T667" s="8"/>
      <c r="U667" s="8"/>
      <c r="V667" s="8"/>
      <c r="W667" s="8"/>
      <c r="X667" s="8"/>
      <c r="Y667" s="8"/>
      <c r="Z667" s="8"/>
      <c r="AA667" s="8"/>
    </row>
    <row r="668" spans="1:27" ht="12.75">
      <c r="A668" s="8"/>
      <c r="B668" s="59"/>
      <c r="C668" s="59"/>
      <c r="D668" s="59"/>
      <c r="E668" s="59"/>
      <c r="F668" s="8"/>
      <c r="G668" s="8"/>
      <c r="H668" s="8"/>
      <c r="I668" s="8"/>
      <c r="J668" s="8"/>
      <c r="K668" s="8"/>
      <c r="L668" s="8"/>
      <c r="M668" s="8"/>
      <c r="N668" s="8"/>
      <c r="O668" s="8"/>
      <c r="P668" s="8"/>
      <c r="Q668" s="8"/>
      <c r="R668" s="8"/>
      <c r="S668" s="8"/>
      <c r="T668" s="8"/>
      <c r="U668" s="8"/>
      <c r="V668" s="8"/>
      <c r="W668" s="8"/>
      <c r="X668" s="8"/>
      <c r="Y668" s="8"/>
      <c r="Z668" s="8"/>
      <c r="AA668" s="8"/>
    </row>
    <row r="669" spans="1:27" ht="12.75">
      <c r="A669" s="8"/>
      <c r="B669" s="59"/>
      <c r="C669" s="59"/>
      <c r="D669" s="59"/>
      <c r="E669" s="59"/>
      <c r="F669" s="8"/>
      <c r="G669" s="8"/>
      <c r="H669" s="8"/>
      <c r="I669" s="8"/>
      <c r="J669" s="8"/>
      <c r="K669" s="8"/>
      <c r="L669" s="8"/>
      <c r="M669" s="8"/>
      <c r="N669" s="8"/>
      <c r="O669" s="8"/>
      <c r="P669" s="8"/>
      <c r="Q669" s="8"/>
      <c r="R669" s="8"/>
      <c r="S669" s="8"/>
      <c r="T669" s="8"/>
      <c r="U669" s="8"/>
      <c r="V669" s="8"/>
      <c r="W669" s="8"/>
      <c r="X669" s="8"/>
      <c r="Y669" s="8"/>
      <c r="Z669" s="8"/>
      <c r="AA669" s="8"/>
    </row>
    <row r="670" spans="1:27" ht="12.75">
      <c r="A670" s="8"/>
      <c r="B670" s="59"/>
      <c r="C670" s="59"/>
      <c r="D670" s="59"/>
      <c r="E670" s="59"/>
      <c r="F670" s="8"/>
      <c r="G670" s="8"/>
      <c r="H670" s="8"/>
      <c r="I670" s="8"/>
      <c r="J670" s="8"/>
      <c r="K670" s="8"/>
      <c r="L670" s="8"/>
      <c r="M670" s="8"/>
      <c r="N670" s="8"/>
      <c r="O670" s="8"/>
      <c r="P670" s="8"/>
      <c r="Q670" s="8"/>
      <c r="R670" s="8"/>
      <c r="S670" s="8"/>
      <c r="T670" s="8"/>
      <c r="U670" s="8"/>
      <c r="V670" s="8"/>
      <c r="W670" s="8"/>
      <c r="X670" s="8"/>
      <c r="Y670" s="8"/>
      <c r="Z670" s="8"/>
      <c r="AA670" s="8"/>
    </row>
    <row r="671" spans="1:27" ht="12.75">
      <c r="A671" s="8"/>
      <c r="B671" s="59"/>
      <c r="C671" s="59"/>
      <c r="D671" s="59"/>
      <c r="E671" s="59"/>
      <c r="F671" s="8"/>
      <c r="G671" s="8"/>
      <c r="H671" s="8"/>
      <c r="I671" s="8"/>
      <c r="J671" s="8"/>
      <c r="K671" s="8"/>
      <c r="L671" s="8"/>
      <c r="M671" s="8"/>
      <c r="N671" s="8"/>
      <c r="O671" s="8"/>
      <c r="P671" s="8"/>
      <c r="Q671" s="8"/>
      <c r="R671" s="8"/>
      <c r="S671" s="8"/>
      <c r="T671" s="8"/>
      <c r="U671" s="8"/>
      <c r="V671" s="8"/>
      <c r="W671" s="8"/>
      <c r="X671" s="8"/>
      <c r="Y671" s="8"/>
      <c r="Z671" s="8"/>
      <c r="AA671" s="8"/>
    </row>
    <row r="672" spans="1:27" ht="12.75">
      <c r="A672" s="8"/>
      <c r="B672" s="59"/>
      <c r="C672" s="59"/>
      <c r="D672" s="59"/>
      <c r="E672" s="59"/>
      <c r="F672" s="8"/>
      <c r="G672" s="8"/>
      <c r="H672" s="8"/>
      <c r="I672" s="8"/>
      <c r="J672" s="8"/>
      <c r="K672" s="8"/>
      <c r="L672" s="8"/>
      <c r="M672" s="8"/>
      <c r="N672" s="8"/>
      <c r="O672" s="8"/>
      <c r="P672" s="8"/>
      <c r="Q672" s="8"/>
      <c r="R672" s="8"/>
      <c r="S672" s="8"/>
      <c r="T672" s="8"/>
      <c r="U672" s="8"/>
      <c r="V672" s="8"/>
      <c r="W672" s="8"/>
      <c r="X672" s="8"/>
      <c r="Y672" s="8"/>
      <c r="Z672" s="8"/>
      <c r="AA672" s="8"/>
    </row>
    <row r="673" spans="1:27" ht="12.75">
      <c r="A673" s="8"/>
      <c r="B673" s="59"/>
      <c r="C673" s="59"/>
      <c r="D673" s="59"/>
      <c r="E673" s="59"/>
      <c r="F673" s="8"/>
      <c r="G673" s="8"/>
      <c r="H673" s="8"/>
      <c r="I673" s="8"/>
      <c r="J673" s="8"/>
      <c r="K673" s="8"/>
      <c r="L673" s="8"/>
      <c r="M673" s="8"/>
      <c r="N673" s="8"/>
      <c r="O673" s="8"/>
      <c r="P673" s="8"/>
      <c r="Q673" s="8"/>
      <c r="R673" s="8"/>
      <c r="S673" s="8"/>
      <c r="T673" s="8"/>
      <c r="U673" s="8"/>
      <c r="V673" s="8"/>
      <c r="W673" s="8"/>
      <c r="X673" s="8"/>
      <c r="Y673" s="8"/>
      <c r="Z673" s="8"/>
      <c r="AA673" s="8"/>
    </row>
    <row r="674" spans="1:27" ht="12.75">
      <c r="A674" s="8"/>
      <c r="B674" s="59"/>
      <c r="C674" s="59"/>
      <c r="D674" s="59"/>
      <c r="E674" s="59"/>
      <c r="F674" s="8"/>
      <c r="G674" s="8"/>
      <c r="H674" s="8"/>
      <c r="I674" s="8"/>
      <c r="J674" s="8"/>
      <c r="K674" s="8"/>
      <c r="L674" s="8"/>
      <c r="M674" s="8"/>
      <c r="N674" s="8"/>
      <c r="O674" s="8"/>
      <c r="P674" s="8"/>
      <c r="Q674" s="8"/>
      <c r="R674" s="8"/>
      <c r="S674" s="8"/>
      <c r="T674" s="8"/>
      <c r="U674" s="8"/>
      <c r="V674" s="8"/>
      <c r="W674" s="8"/>
      <c r="X674" s="8"/>
      <c r="Y674" s="8"/>
      <c r="Z674" s="8"/>
      <c r="AA674" s="8"/>
    </row>
    <row r="675" spans="1:27" ht="12.75">
      <c r="A675" s="8"/>
      <c r="B675" s="59"/>
      <c r="C675" s="59"/>
      <c r="D675" s="59"/>
      <c r="E675" s="59"/>
      <c r="F675" s="8"/>
      <c r="G675" s="8"/>
      <c r="H675" s="8"/>
      <c r="I675" s="8"/>
      <c r="J675" s="8"/>
      <c r="K675" s="8"/>
      <c r="L675" s="8"/>
      <c r="M675" s="8"/>
      <c r="N675" s="8"/>
      <c r="O675" s="8"/>
      <c r="P675" s="8"/>
      <c r="Q675" s="8"/>
      <c r="R675" s="8"/>
      <c r="S675" s="8"/>
      <c r="T675" s="8"/>
      <c r="U675" s="8"/>
      <c r="V675" s="8"/>
      <c r="W675" s="8"/>
      <c r="X675" s="8"/>
      <c r="Y675" s="8"/>
      <c r="Z675" s="8"/>
      <c r="AA675" s="8"/>
    </row>
    <row r="676" spans="1:27" ht="12.75">
      <c r="A676" s="8"/>
      <c r="B676" s="59"/>
      <c r="C676" s="59"/>
      <c r="D676" s="59"/>
      <c r="E676" s="59"/>
      <c r="F676" s="8"/>
      <c r="G676" s="8"/>
      <c r="H676" s="8"/>
      <c r="I676" s="8"/>
      <c r="J676" s="8"/>
      <c r="K676" s="8"/>
      <c r="L676" s="8"/>
      <c r="M676" s="8"/>
      <c r="N676" s="8"/>
      <c r="O676" s="8"/>
      <c r="P676" s="8"/>
      <c r="Q676" s="8"/>
      <c r="R676" s="8"/>
      <c r="S676" s="8"/>
      <c r="T676" s="8"/>
      <c r="U676" s="8"/>
      <c r="V676" s="8"/>
      <c r="W676" s="8"/>
      <c r="X676" s="8"/>
      <c r="Y676" s="8"/>
      <c r="Z676" s="8"/>
      <c r="AA676" s="8"/>
    </row>
    <row r="677" spans="1:27" ht="12.75">
      <c r="A677" s="8"/>
      <c r="B677" s="59"/>
      <c r="C677" s="59"/>
      <c r="D677" s="59"/>
      <c r="E677" s="59"/>
      <c r="F677" s="8"/>
      <c r="G677" s="8"/>
      <c r="H677" s="8"/>
      <c r="I677" s="8"/>
      <c r="J677" s="8"/>
      <c r="K677" s="8"/>
      <c r="L677" s="8"/>
      <c r="M677" s="8"/>
      <c r="N677" s="8"/>
      <c r="O677" s="8"/>
      <c r="P677" s="8"/>
      <c r="Q677" s="8"/>
      <c r="R677" s="8"/>
      <c r="S677" s="8"/>
      <c r="T677" s="8"/>
      <c r="U677" s="8"/>
      <c r="V677" s="8"/>
      <c r="W677" s="8"/>
      <c r="X677" s="8"/>
      <c r="Y677" s="8"/>
      <c r="Z677" s="8"/>
      <c r="AA677" s="8"/>
    </row>
    <row r="678" spans="1:27" ht="12.75">
      <c r="A678" s="8"/>
      <c r="B678" s="59"/>
      <c r="C678" s="59"/>
      <c r="D678" s="59"/>
      <c r="E678" s="59"/>
      <c r="F678" s="8"/>
      <c r="G678" s="8"/>
      <c r="H678" s="8"/>
      <c r="I678" s="8"/>
      <c r="J678" s="8"/>
      <c r="K678" s="8"/>
      <c r="L678" s="8"/>
      <c r="M678" s="8"/>
      <c r="N678" s="8"/>
      <c r="O678" s="8"/>
      <c r="P678" s="8"/>
      <c r="Q678" s="8"/>
      <c r="R678" s="8"/>
      <c r="S678" s="8"/>
      <c r="T678" s="8"/>
      <c r="U678" s="8"/>
      <c r="V678" s="8"/>
      <c r="W678" s="8"/>
      <c r="X678" s="8"/>
      <c r="Y678" s="8"/>
      <c r="Z678" s="8"/>
      <c r="AA678" s="8"/>
    </row>
    <row r="679" spans="1:27" ht="12.75">
      <c r="A679" s="8"/>
      <c r="B679" s="59"/>
      <c r="C679" s="59"/>
      <c r="D679" s="59"/>
      <c r="E679" s="59"/>
      <c r="F679" s="8"/>
      <c r="G679" s="8"/>
      <c r="H679" s="8"/>
      <c r="I679" s="8"/>
      <c r="J679" s="8"/>
      <c r="K679" s="8"/>
      <c r="L679" s="8"/>
      <c r="M679" s="8"/>
      <c r="N679" s="8"/>
      <c r="O679" s="8"/>
      <c r="P679" s="8"/>
      <c r="Q679" s="8"/>
      <c r="R679" s="8"/>
      <c r="S679" s="8"/>
      <c r="T679" s="8"/>
      <c r="U679" s="8"/>
      <c r="V679" s="8"/>
      <c r="W679" s="8"/>
      <c r="X679" s="8"/>
      <c r="Y679" s="8"/>
      <c r="Z679" s="8"/>
      <c r="AA679" s="8"/>
    </row>
    <row r="680" spans="1:27" ht="12.75">
      <c r="A680" s="8"/>
      <c r="B680" s="59"/>
      <c r="C680" s="59"/>
      <c r="D680" s="59"/>
      <c r="E680" s="59"/>
      <c r="F680" s="8"/>
      <c r="G680" s="8"/>
      <c r="H680" s="8"/>
      <c r="I680" s="8"/>
      <c r="J680" s="8"/>
      <c r="K680" s="8"/>
      <c r="L680" s="8"/>
      <c r="M680" s="8"/>
      <c r="N680" s="8"/>
      <c r="O680" s="8"/>
      <c r="P680" s="8"/>
      <c r="Q680" s="8"/>
      <c r="R680" s="8"/>
      <c r="S680" s="8"/>
      <c r="T680" s="8"/>
      <c r="U680" s="8"/>
      <c r="V680" s="8"/>
      <c r="W680" s="8"/>
      <c r="X680" s="8"/>
      <c r="Y680" s="8"/>
      <c r="Z680" s="8"/>
      <c r="AA680" s="8"/>
    </row>
    <row r="681" spans="1:27" ht="12.75">
      <c r="A681" s="8"/>
      <c r="B681" s="59"/>
      <c r="C681" s="59"/>
      <c r="D681" s="59"/>
      <c r="E681" s="59"/>
      <c r="F681" s="8"/>
      <c r="G681" s="8"/>
      <c r="H681" s="8"/>
      <c r="I681" s="8"/>
      <c r="J681" s="8"/>
      <c r="K681" s="8"/>
      <c r="L681" s="8"/>
      <c r="M681" s="8"/>
      <c r="N681" s="8"/>
      <c r="O681" s="8"/>
      <c r="P681" s="8"/>
      <c r="Q681" s="8"/>
      <c r="R681" s="8"/>
      <c r="S681" s="8"/>
      <c r="T681" s="8"/>
      <c r="U681" s="8"/>
      <c r="V681" s="8"/>
      <c r="W681" s="8"/>
      <c r="X681" s="8"/>
      <c r="Y681" s="8"/>
      <c r="Z681" s="8"/>
      <c r="AA681" s="8"/>
    </row>
    <row r="682" spans="1:27" ht="12.75">
      <c r="A682" s="8"/>
      <c r="B682" s="59"/>
      <c r="C682" s="59"/>
      <c r="D682" s="59"/>
      <c r="E682" s="59"/>
      <c r="F682" s="8"/>
      <c r="G682" s="8"/>
      <c r="H682" s="8"/>
      <c r="I682" s="8"/>
      <c r="J682" s="8"/>
      <c r="K682" s="8"/>
      <c r="L682" s="8"/>
      <c r="M682" s="8"/>
      <c r="N682" s="8"/>
      <c r="O682" s="8"/>
      <c r="P682" s="8"/>
      <c r="Q682" s="8"/>
      <c r="R682" s="8"/>
      <c r="S682" s="8"/>
      <c r="T682" s="8"/>
      <c r="U682" s="8"/>
      <c r="V682" s="8"/>
      <c r="W682" s="8"/>
      <c r="X682" s="8"/>
      <c r="Y682" s="8"/>
      <c r="Z682" s="8"/>
      <c r="AA682" s="8"/>
    </row>
    <row r="683" spans="1:27" ht="12.75">
      <c r="A683" s="8"/>
      <c r="B683" s="59"/>
      <c r="C683" s="59"/>
      <c r="D683" s="59"/>
      <c r="E683" s="59"/>
      <c r="F683" s="8"/>
      <c r="G683" s="8"/>
      <c r="H683" s="8"/>
      <c r="I683" s="8"/>
      <c r="J683" s="8"/>
      <c r="K683" s="8"/>
      <c r="L683" s="8"/>
      <c r="M683" s="8"/>
      <c r="N683" s="8"/>
      <c r="O683" s="8"/>
      <c r="P683" s="8"/>
      <c r="Q683" s="8"/>
      <c r="R683" s="8"/>
      <c r="S683" s="8"/>
      <c r="T683" s="8"/>
      <c r="U683" s="8"/>
      <c r="V683" s="8"/>
      <c r="W683" s="8"/>
      <c r="X683" s="8"/>
      <c r="Y683" s="8"/>
      <c r="Z683" s="8"/>
      <c r="AA683" s="8"/>
    </row>
    <row r="684" spans="1:27" ht="12.75">
      <c r="A684" s="8"/>
      <c r="B684" s="59"/>
      <c r="C684" s="59"/>
      <c r="D684" s="59"/>
      <c r="E684" s="59"/>
      <c r="F684" s="8"/>
      <c r="G684" s="8"/>
      <c r="H684" s="8"/>
      <c r="I684" s="8"/>
      <c r="J684" s="8"/>
      <c r="K684" s="8"/>
      <c r="L684" s="8"/>
      <c r="M684" s="8"/>
      <c r="N684" s="8"/>
      <c r="O684" s="8"/>
      <c r="P684" s="8"/>
      <c r="Q684" s="8"/>
      <c r="R684" s="8"/>
      <c r="S684" s="8"/>
      <c r="T684" s="8"/>
      <c r="U684" s="8"/>
      <c r="V684" s="8"/>
      <c r="W684" s="8"/>
      <c r="X684" s="8"/>
      <c r="Y684" s="8"/>
      <c r="Z684" s="8"/>
      <c r="AA684" s="8"/>
    </row>
    <row r="685" spans="1:27" ht="12.75">
      <c r="A685" s="8"/>
      <c r="B685" s="59"/>
      <c r="C685" s="59"/>
      <c r="D685" s="59"/>
      <c r="E685" s="59"/>
      <c r="F685" s="8"/>
      <c r="G685" s="8"/>
      <c r="H685" s="8"/>
      <c r="I685" s="8"/>
      <c r="J685" s="8"/>
      <c r="K685" s="8"/>
      <c r="L685" s="8"/>
      <c r="M685" s="8"/>
      <c r="N685" s="8"/>
      <c r="O685" s="8"/>
      <c r="P685" s="8"/>
      <c r="Q685" s="8"/>
      <c r="R685" s="8"/>
      <c r="S685" s="8"/>
      <c r="T685" s="8"/>
      <c r="U685" s="8"/>
      <c r="V685" s="8"/>
      <c r="W685" s="8"/>
      <c r="X685" s="8"/>
      <c r="Y685" s="8"/>
      <c r="Z685" s="8"/>
      <c r="AA685" s="8"/>
    </row>
    <row r="686" spans="1:27" ht="12.75">
      <c r="A686" s="8"/>
      <c r="B686" s="59"/>
      <c r="C686" s="59"/>
      <c r="D686" s="59"/>
      <c r="E686" s="59"/>
      <c r="F686" s="8"/>
      <c r="G686" s="8"/>
      <c r="H686" s="8"/>
      <c r="I686" s="8"/>
      <c r="J686" s="8"/>
      <c r="K686" s="8"/>
      <c r="L686" s="8"/>
      <c r="M686" s="8"/>
      <c r="N686" s="8"/>
      <c r="O686" s="8"/>
      <c r="P686" s="8"/>
      <c r="Q686" s="8"/>
      <c r="R686" s="8"/>
      <c r="S686" s="8"/>
      <c r="T686" s="8"/>
      <c r="U686" s="8"/>
      <c r="V686" s="8"/>
      <c r="W686" s="8"/>
      <c r="X686" s="8"/>
      <c r="Y686" s="8"/>
      <c r="Z686" s="8"/>
      <c r="AA686" s="8"/>
    </row>
    <row r="687" spans="1:27" ht="12.75">
      <c r="A687" s="8"/>
      <c r="B687" s="59"/>
      <c r="C687" s="59"/>
      <c r="D687" s="59"/>
      <c r="E687" s="59"/>
      <c r="F687" s="8"/>
      <c r="G687" s="8"/>
      <c r="H687" s="8"/>
      <c r="I687" s="8"/>
      <c r="J687" s="8"/>
      <c r="K687" s="8"/>
      <c r="L687" s="8"/>
      <c r="M687" s="8"/>
      <c r="N687" s="8"/>
      <c r="O687" s="8"/>
      <c r="P687" s="8"/>
      <c r="Q687" s="8"/>
      <c r="R687" s="8"/>
      <c r="S687" s="8"/>
      <c r="T687" s="8"/>
      <c r="U687" s="8"/>
      <c r="V687" s="8"/>
      <c r="W687" s="8"/>
      <c r="X687" s="8"/>
      <c r="Y687" s="8"/>
      <c r="Z687" s="8"/>
      <c r="AA687" s="8"/>
    </row>
    <row r="688" spans="1:27" ht="12.75">
      <c r="A688" s="8"/>
      <c r="B688" s="59"/>
      <c r="C688" s="59"/>
      <c r="D688" s="59"/>
      <c r="E688" s="59"/>
      <c r="F688" s="8"/>
      <c r="G688" s="8"/>
      <c r="H688" s="8"/>
      <c r="I688" s="8"/>
      <c r="J688" s="8"/>
      <c r="K688" s="8"/>
      <c r="L688" s="8"/>
      <c r="M688" s="8"/>
      <c r="N688" s="8"/>
      <c r="O688" s="8"/>
      <c r="P688" s="8"/>
      <c r="Q688" s="8"/>
      <c r="R688" s="8"/>
      <c r="S688" s="8"/>
      <c r="T688" s="8"/>
      <c r="U688" s="8"/>
      <c r="V688" s="8"/>
      <c r="W688" s="8"/>
      <c r="X688" s="8"/>
      <c r="Y688" s="8"/>
      <c r="Z688" s="8"/>
      <c r="AA688" s="8"/>
    </row>
    <row r="689" spans="1:27" ht="12.75">
      <c r="A689" s="8"/>
      <c r="B689" s="59"/>
      <c r="C689" s="59"/>
      <c r="D689" s="59"/>
      <c r="E689" s="59"/>
      <c r="F689" s="8"/>
      <c r="G689" s="8"/>
      <c r="H689" s="8"/>
      <c r="I689" s="8"/>
      <c r="J689" s="8"/>
      <c r="K689" s="8"/>
      <c r="L689" s="8"/>
      <c r="M689" s="8"/>
      <c r="N689" s="8"/>
      <c r="O689" s="8"/>
      <c r="P689" s="8"/>
      <c r="Q689" s="8"/>
      <c r="R689" s="8"/>
      <c r="S689" s="8"/>
      <c r="T689" s="8"/>
      <c r="U689" s="8"/>
      <c r="V689" s="8"/>
      <c r="W689" s="8"/>
      <c r="X689" s="8"/>
      <c r="Y689" s="8"/>
      <c r="Z689" s="8"/>
      <c r="AA689" s="8"/>
    </row>
    <row r="690" spans="1:27" ht="12.75">
      <c r="A690" s="8"/>
      <c r="B690" s="59"/>
      <c r="C690" s="59"/>
      <c r="D690" s="59"/>
      <c r="E690" s="59"/>
      <c r="F690" s="8"/>
      <c r="G690" s="8"/>
      <c r="H690" s="8"/>
      <c r="I690" s="8"/>
      <c r="J690" s="8"/>
      <c r="K690" s="8"/>
      <c r="L690" s="8"/>
      <c r="M690" s="8"/>
      <c r="N690" s="8"/>
      <c r="O690" s="8"/>
      <c r="P690" s="8"/>
      <c r="Q690" s="8"/>
      <c r="R690" s="8"/>
      <c r="S690" s="8"/>
      <c r="T690" s="8"/>
      <c r="U690" s="8"/>
      <c r="V690" s="8"/>
      <c r="W690" s="8"/>
      <c r="X690" s="8"/>
      <c r="Y690" s="8"/>
      <c r="Z690" s="8"/>
      <c r="AA690" s="8"/>
    </row>
    <row r="691" spans="1:27" ht="12.75">
      <c r="A691" s="8"/>
      <c r="B691" s="59"/>
      <c r="C691" s="59"/>
      <c r="D691" s="59"/>
      <c r="E691" s="59"/>
      <c r="F691" s="8"/>
      <c r="G691" s="8"/>
      <c r="H691" s="8"/>
      <c r="I691" s="8"/>
      <c r="J691" s="8"/>
      <c r="K691" s="8"/>
      <c r="L691" s="8"/>
      <c r="M691" s="8"/>
      <c r="N691" s="8"/>
      <c r="O691" s="8"/>
      <c r="P691" s="8"/>
      <c r="Q691" s="8"/>
      <c r="R691" s="8"/>
      <c r="S691" s="8"/>
      <c r="T691" s="8"/>
      <c r="U691" s="8"/>
      <c r="V691" s="8"/>
      <c r="W691" s="8"/>
      <c r="X691" s="8"/>
      <c r="Y691" s="8"/>
      <c r="Z691" s="8"/>
      <c r="AA691" s="8"/>
    </row>
    <row r="692" spans="1:27" ht="12.75">
      <c r="A692" s="8"/>
      <c r="B692" s="59"/>
      <c r="C692" s="59"/>
      <c r="D692" s="59"/>
      <c r="E692" s="59"/>
      <c r="F692" s="8"/>
      <c r="G692" s="8"/>
      <c r="H692" s="8"/>
      <c r="I692" s="8"/>
      <c r="J692" s="8"/>
      <c r="K692" s="8"/>
      <c r="L692" s="8"/>
      <c r="M692" s="8"/>
      <c r="N692" s="8"/>
      <c r="O692" s="8"/>
      <c r="P692" s="8"/>
      <c r="Q692" s="8"/>
      <c r="R692" s="8"/>
      <c r="S692" s="8"/>
      <c r="T692" s="8"/>
      <c r="U692" s="8"/>
      <c r="V692" s="8"/>
      <c r="W692" s="8"/>
      <c r="X692" s="8"/>
      <c r="Y692" s="8"/>
      <c r="Z692" s="8"/>
      <c r="AA692" s="8"/>
    </row>
    <row r="693" spans="1:27" ht="12.75">
      <c r="A693" s="8"/>
      <c r="B693" s="59"/>
      <c r="C693" s="59"/>
      <c r="D693" s="59"/>
      <c r="E693" s="59"/>
      <c r="F693" s="8"/>
      <c r="G693" s="8"/>
      <c r="H693" s="8"/>
      <c r="I693" s="8"/>
      <c r="J693" s="8"/>
      <c r="K693" s="8"/>
      <c r="L693" s="8"/>
      <c r="M693" s="8"/>
      <c r="N693" s="8"/>
      <c r="O693" s="8"/>
      <c r="P693" s="8"/>
      <c r="Q693" s="8"/>
      <c r="R693" s="8"/>
      <c r="S693" s="8"/>
      <c r="T693" s="8"/>
      <c r="U693" s="8"/>
      <c r="V693" s="8"/>
      <c r="W693" s="8"/>
      <c r="X693" s="8"/>
      <c r="Y693" s="8"/>
      <c r="Z693" s="8"/>
      <c r="AA693" s="8"/>
    </row>
    <row r="694" spans="1:27" ht="12.75">
      <c r="A694" s="8"/>
      <c r="B694" s="59"/>
      <c r="C694" s="59"/>
      <c r="D694" s="59"/>
      <c r="E694" s="59"/>
      <c r="F694" s="8"/>
      <c r="G694" s="8"/>
      <c r="H694" s="8"/>
      <c r="I694" s="8"/>
      <c r="J694" s="8"/>
      <c r="K694" s="8"/>
      <c r="L694" s="8"/>
      <c r="M694" s="8"/>
      <c r="N694" s="8"/>
      <c r="O694" s="8"/>
      <c r="P694" s="8"/>
      <c r="Q694" s="8"/>
      <c r="R694" s="8"/>
      <c r="S694" s="8"/>
      <c r="T694" s="8"/>
      <c r="U694" s="8"/>
      <c r="V694" s="8"/>
      <c r="W694" s="8"/>
      <c r="X694" s="8"/>
      <c r="Y694" s="8"/>
      <c r="Z694" s="8"/>
      <c r="AA694" s="8"/>
    </row>
    <row r="695" spans="1:27" ht="12.75">
      <c r="A695" s="8"/>
      <c r="B695" s="59"/>
      <c r="C695" s="59"/>
      <c r="D695" s="59"/>
      <c r="E695" s="59"/>
      <c r="F695" s="8"/>
      <c r="G695" s="8"/>
      <c r="H695" s="8"/>
      <c r="I695" s="8"/>
      <c r="J695" s="8"/>
      <c r="K695" s="8"/>
      <c r="L695" s="8"/>
      <c r="M695" s="8"/>
      <c r="N695" s="8"/>
      <c r="O695" s="8"/>
      <c r="P695" s="8"/>
      <c r="Q695" s="8"/>
      <c r="R695" s="8"/>
      <c r="S695" s="8"/>
      <c r="T695" s="8"/>
      <c r="U695" s="8"/>
      <c r="V695" s="8"/>
      <c r="W695" s="8"/>
      <c r="X695" s="8"/>
      <c r="Y695" s="8"/>
      <c r="Z695" s="8"/>
      <c r="AA695" s="8"/>
    </row>
    <row r="696" spans="1:27" ht="12.75">
      <c r="A696" s="8"/>
      <c r="B696" s="59"/>
      <c r="C696" s="59"/>
      <c r="D696" s="59"/>
      <c r="E696" s="59"/>
      <c r="F696" s="8"/>
      <c r="G696" s="8"/>
      <c r="H696" s="8"/>
      <c r="I696" s="8"/>
      <c r="J696" s="8"/>
      <c r="K696" s="8"/>
      <c r="L696" s="8"/>
      <c r="M696" s="8"/>
      <c r="N696" s="8"/>
      <c r="O696" s="8"/>
      <c r="P696" s="8"/>
      <c r="Q696" s="8"/>
      <c r="R696" s="8"/>
      <c r="S696" s="8"/>
      <c r="T696" s="8"/>
      <c r="U696" s="8"/>
      <c r="V696" s="8"/>
      <c r="W696" s="8"/>
      <c r="X696" s="8"/>
      <c r="Y696" s="8"/>
      <c r="Z696" s="8"/>
      <c r="AA696" s="8"/>
    </row>
    <row r="697" spans="1:27" ht="12.75">
      <c r="A697" s="8"/>
      <c r="B697" s="59"/>
      <c r="C697" s="59"/>
      <c r="D697" s="59"/>
      <c r="E697" s="59"/>
      <c r="F697" s="8"/>
      <c r="G697" s="8"/>
      <c r="H697" s="8"/>
      <c r="I697" s="8"/>
      <c r="J697" s="8"/>
      <c r="K697" s="8"/>
      <c r="L697" s="8"/>
      <c r="M697" s="8"/>
      <c r="N697" s="8"/>
      <c r="O697" s="8"/>
      <c r="P697" s="8"/>
      <c r="Q697" s="8"/>
      <c r="R697" s="8"/>
      <c r="S697" s="8"/>
      <c r="T697" s="8"/>
      <c r="U697" s="8"/>
      <c r="V697" s="8"/>
      <c r="W697" s="8"/>
      <c r="X697" s="8"/>
      <c r="Y697" s="8"/>
      <c r="Z697" s="8"/>
      <c r="AA697" s="8"/>
    </row>
    <row r="698" spans="1:27" ht="12.75">
      <c r="A698" s="8"/>
      <c r="B698" s="59"/>
      <c r="C698" s="59"/>
      <c r="D698" s="59"/>
      <c r="E698" s="59"/>
      <c r="F698" s="8"/>
      <c r="G698" s="8"/>
      <c r="H698" s="8"/>
      <c r="I698" s="8"/>
      <c r="J698" s="8"/>
      <c r="K698" s="8"/>
      <c r="L698" s="8"/>
      <c r="M698" s="8"/>
      <c r="N698" s="8"/>
      <c r="O698" s="8"/>
      <c r="P698" s="8"/>
      <c r="Q698" s="8"/>
      <c r="R698" s="8"/>
      <c r="S698" s="8"/>
      <c r="T698" s="8"/>
      <c r="U698" s="8"/>
      <c r="V698" s="8"/>
      <c r="W698" s="8"/>
      <c r="X698" s="8"/>
      <c r="Y698" s="8"/>
      <c r="Z698" s="8"/>
      <c r="AA698" s="8"/>
    </row>
    <row r="699" spans="1:27" ht="12.75">
      <c r="A699" s="8"/>
      <c r="B699" s="59"/>
      <c r="C699" s="59"/>
      <c r="D699" s="59"/>
      <c r="E699" s="59"/>
      <c r="F699" s="8"/>
      <c r="G699" s="8"/>
      <c r="H699" s="8"/>
      <c r="I699" s="8"/>
      <c r="J699" s="8"/>
      <c r="K699" s="8"/>
      <c r="L699" s="8"/>
      <c r="M699" s="8"/>
      <c r="N699" s="8"/>
      <c r="O699" s="8"/>
      <c r="P699" s="8"/>
      <c r="Q699" s="8"/>
      <c r="R699" s="8"/>
      <c r="S699" s="8"/>
      <c r="T699" s="8"/>
      <c r="U699" s="8"/>
      <c r="V699" s="8"/>
      <c r="W699" s="8"/>
      <c r="X699" s="8"/>
      <c r="Y699" s="8"/>
      <c r="Z699" s="8"/>
      <c r="AA699" s="8"/>
    </row>
    <row r="700" spans="1:27" ht="12.75">
      <c r="A700" s="8"/>
      <c r="B700" s="59"/>
      <c r="C700" s="59"/>
      <c r="D700" s="59"/>
      <c r="E700" s="59"/>
      <c r="F700" s="8"/>
      <c r="G700" s="8"/>
      <c r="H700" s="8"/>
      <c r="I700" s="8"/>
      <c r="J700" s="8"/>
      <c r="K700" s="8"/>
      <c r="L700" s="8"/>
      <c r="M700" s="8"/>
      <c r="N700" s="8"/>
      <c r="O700" s="8"/>
      <c r="P700" s="8"/>
      <c r="Q700" s="8"/>
      <c r="R700" s="8"/>
      <c r="S700" s="8"/>
      <c r="T700" s="8"/>
      <c r="U700" s="8"/>
      <c r="V700" s="8"/>
      <c r="W700" s="8"/>
      <c r="X700" s="8"/>
      <c r="Y700" s="8"/>
      <c r="Z700" s="8"/>
      <c r="AA700" s="8"/>
    </row>
    <row r="701" spans="1:27" ht="12.75">
      <c r="A701" s="8"/>
      <c r="B701" s="59"/>
      <c r="C701" s="59"/>
      <c r="D701" s="59"/>
      <c r="E701" s="59"/>
      <c r="F701" s="8"/>
      <c r="G701" s="8"/>
      <c r="H701" s="8"/>
      <c r="I701" s="8"/>
      <c r="J701" s="8"/>
      <c r="K701" s="8"/>
      <c r="L701" s="8"/>
      <c r="M701" s="8"/>
      <c r="N701" s="8"/>
      <c r="O701" s="8"/>
      <c r="P701" s="8"/>
      <c r="Q701" s="8"/>
      <c r="R701" s="8"/>
      <c r="S701" s="8"/>
      <c r="T701" s="8"/>
      <c r="U701" s="8"/>
      <c r="V701" s="8"/>
      <c r="W701" s="8"/>
      <c r="X701" s="8"/>
      <c r="Y701" s="8"/>
      <c r="Z701" s="8"/>
      <c r="AA701" s="8"/>
    </row>
    <row r="702" spans="1:27" ht="12.75">
      <c r="A702" s="8"/>
      <c r="B702" s="59"/>
      <c r="C702" s="59"/>
      <c r="D702" s="59"/>
      <c r="E702" s="59"/>
      <c r="F702" s="8"/>
      <c r="G702" s="8"/>
      <c r="H702" s="8"/>
      <c r="I702" s="8"/>
      <c r="J702" s="8"/>
      <c r="K702" s="8"/>
      <c r="L702" s="8"/>
      <c r="M702" s="8"/>
      <c r="N702" s="8"/>
      <c r="O702" s="8"/>
      <c r="P702" s="8"/>
      <c r="Q702" s="8"/>
      <c r="R702" s="8"/>
      <c r="S702" s="8"/>
      <c r="T702" s="8"/>
      <c r="U702" s="8"/>
      <c r="V702" s="8"/>
      <c r="W702" s="8"/>
      <c r="X702" s="8"/>
      <c r="Y702" s="8"/>
      <c r="Z702" s="8"/>
      <c r="AA702" s="8"/>
    </row>
    <row r="703" spans="1:27" ht="12.75">
      <c r="A703" s="8"/>
      <c r="B703" s="59"/>
      <c r="C703" s="59"/>
      <c r="D703" s="59"/>
      <c r="E703" s="59"/>
      <c r="F703" s="8"/>
      <c r="G703" s="8"/>
      <c r="H703" s="8"/>
      <c r="I703" s="8"/>
      <c r="J703" s="8"/>
      <c r="K703" s="8"/>
      <c r="L703" s="8"/>
      <c r="M703" s="8"/>
      <c r="N703" s="8"/>
      <c r="O703" s="8"/>
      <c r="P703" s="8"/>
      <c r="Q703" s="8"/>
      <c r="R703" s="8"/>
      <c r="S703" s="8"/>
      <c r="T703" s="8"/>
      <c r="U703" s="8"/>
      <c r="V703" s="8"/>
      <c r="W703" s="8"/>
      <c r="X703" s="8"/>
      <c r="Y703" s="8"/>
      <c r="Z703" s="8"/>
      <c r="AA703" s="8"/>
    </row>
    <row r="704" spans="1:27" ht="12.75">
      <c r="A704" s="8"/>
      <c r="B704" s="59"/>
      <c r="C704" s="59"/>
      <c r="D704" s="59"/>
      <c r="E704" s="59"/>
      <c r="F704" s="8"/>
      <c r="G704" s="8"/>
      <c r="H704" s="8"/>
      <c r="I704" s="8"/>
      <c r="J704" s="8"/>
      <c r="K704" s="8"/>
      <c r="L704" s="8"/>
      <c r="M704" s="8"/>
      <c r="N704" s="8"/>
      <c r="O704" s="8"/>
      <c r="P704" s="8"/>
      <c r="Q704" s="8"/>
      <c r="R704" s="8"/>
      <c r="S704" s="8"/>
      <c r="T704" s="8"/>
      <c r="U704" s="8"/>
      <c r="V704" s="8"/>
      <c r="W704" s="8"/>
      <c r="X704" s="8"/>
      <c r="Y704" s="8"/>
      <c r="Z704" s="8"/>
      <c r="AA704" s="8"/>
    </row>
    <row r="705" spans="1:27" ht="12.75">
      <c r="A705" s="8"/>
      <c r="B705" s="59"/>
      <c r="C705" s="59"/>
      <c r="D705" s="59"/>
      <c r="E705" s="59"/>
      <c r="F705" s="8"/>
      <c r="G705" s="8"/>
      <c r="H705" s="8"/>
      <c r="I705" s="8"/>
      <c r="J705" s="8"/>
      <c r="K705" s="8"/>
      <c r="L705" s="8"/>
      <c r="M705" s="8"/>
      <c r="N705" s="8"/>
      <c r="O705" s="8"/>
      <c r="P705" s="8"/>
      <c r="Q705" s="8"/>
      <c r="R705" s="8"/>
      <c r="S705" s="8"/>
      <c r="T705" s="8"/>
      <c r="U705" s="8"/>
      <c r="V705" s="8"/>
      <c r="W705" s="8"/>
      <c r="X705" s="8"/>
      <c r="Y705" s="8"/>
      <c r="Z705" s="8"/>
      <c r="AA705" s="8"/>
    </row>
    <row r="706" spans="1:27" ht="12.75">
      <c r="A706" s="8"/>
      <c r="B706" s="59"/>
      <c r="C706" s="59"/>
      <c r="D706" s="59"/>
      <c r="E706" s="59"/>
      <c r="F706" s="8"/>
      <c r="G706" s="8"/>
      <c r="H706" s="8"/>
      <c r="I706" s="8"/>
      <c r="J706" s="8"/>
      <c r="K706" s="8"/>
      <c r="L706" s="8"/>
      <c r="M706" s="8"/>
      <c r="N706" s="8"/>
      <c r="O706" s="8"/>
      <c r="P706" s="8"/>
      <c r="Q706" s="8"/>
      <c r="R706" s="8"/>
      <c r="S706" s="8"/>
      <c r="T706" s="8"/>
      <c r="U706" s="8"/>
      <c r="V706" s="8"/>
      <c r="W706" s="8"/>
      <c r="X706" s="8"/>
      <c r="Y706" s="8"/>
      <c r="Z706" s="8"/>
      <c r="AA706" s="8"/>
    </row>
    <row r="707" spans="1:27" ht="12.75">
      <c r="A707" s="8"/>
      <c r="B707" s="59"/>
      <c r="C707" s="59"/>
      <c r="D707" s="59"/>
      <c r="E707" s="59"/>
      <c r="F707" s="8"/>
      <c r="G707" s="8"/>
      <c r="H707" s="8"/>
      <c r="I707" s="8"/>
      <c r="J707" s="8"/>
      <c r="K707" s="8"/>
      <c r="L707" s="8"/>
      <c r="M707" s="8"/>
      <c r="N707" s="8"/>
      <c r="O707" s="8"/>
      <c r="P707" s="8"/>
      <c r="Q707" s="8"/>
      <c r="R707" s="8"/>
      <c r="S707" s="8"/>
      <c r="T707" s="8"/>
      <c r="U707" s="8"/>
      <c r="V707" s="8"/>
      <c r="W707" s="8"/>
      <c r="X707" s="8"/>
      <c r="Y707" s="8"/>
      <c r="Z707" s="8"/>
      <c r="AA707" s="8"/>
    </row>
    <row r="708" spans="1:27" ht="12.75">
      <c r="A708" s="8"/>
      <c r="B708" s="59"/>
      <c r="C708" s="59"/>
      <c r="D708" s="59"/>
      <c r="E708" s="59"/>
      <c r="F708" s="8"/>
      <c r="G708" s="8"/>
      <c r="H708" s="8"/>
      <c r="I708" s="8"/>
      <c r="J708" s="8"/>
      <c r="K708" s="8"/>
      <c r="L708" s="8"/>
      <c r="M708" s="8"/>
      <c r="N708" s="8"/>
      <c r="O708" s="8"/>
      <c r="P708" s="8"/>
      <c r="Q708" s="8"/>
      <c r="R708" s="8"/>
      <c r="S708" s="8"/>
      <c r="T708" s="8"/>
      <c r="U708" s="8"/>
      <c r="V708" s="8"/>
      <c r="W708" s="8"/>
      <c r="X708" s="8"/>
      <c r="Y708" s="8"/>
      <c r="Z708" s="8"/>
      <c r="AA708" s="8"/>
    </row>
    <row r="709" spans="1:27" ht="12.75">
      <c r="A709" s="8"/>
      <c r="B709" s="59"/>
      <c r="C709" s="59"/>
      <c r="D709" s="59"/>
      <c r="E709" s="59"/>
      <c r="F709" s="8"/>
      <c r="G709" s="8"/>
      <c r="H709" s="8"/>
      <c r="I709" s="8"/>
      <c r="J709" s="8"/>
      <c r="K709" s="8"/>
      <c r="L709" s="8"/>
      <c r="M709" s="8"/>
      <c r="N709" s="8"/>
      <c r="O709" s="8"/>
      <c r="P709" s="8"/>
      <c r="Q709" s="8"/>
      <c r="R709" s="8"/>
      <c r="S709" s="8"/>
      <c r="T709" s="8"/>
      <c r="U709" s="8"/>
      <c r="V709" s="8"/>
      <c r="W709" s="8"/>
      <c r="X709" s="8"/>
      <c r="Y709" s="8"/>
      <c r="Z709" s="8"/>
      <c r="AA709" s="8"/>
    </row>
    <row r="710" spans="1:27" ht="12.75">
      <c r="A710" s="8"/>
      <c r="B710" s="59"/>
      <c r="C710" s="59"/>
      <c r="D710" s="59"/>
      <c r="E710" s="59"/>
      <c r="F710" s="8"/>
      <c r="G710" s="8"/>
      <c r="H710" s="8"/>
      <c r="I710" s="8"/>
      <c r="J710" s="8"/>
      <c r="K710" s="8"/>
      <c r="L710" s="8"/>
      <c r="M710" s="8"/>
      <c r="N710" s="8"/>
      <c r="O710" s="8"/>
      <c r="P710" s="8"/>
      <c r="Q710" s="8"/>
      <c r="R710" s="8"/>
      <c r="S710" s="8"/>
      <c r="T710" s="8"/>
      <c r="U710" s="8"/>
      <c r="V710" s="8"/>
      <c r="W710" s="8"/>
      <c r="X710" s="8"/>
      <c r="Y710" s="8"/>
      <c r="Z710" s="8"/>
      <c r="AA710" s="8"/>
    </row>
    <row r="711" spans="1:27" ht="12.75">
      <c r="A711" s="8"/>
      <c r="B711" s="59"/>
      <c r="C711" s="59"/>
      <c r="D711" s="59"/>
      <c r="E711" s="59"/>
      <c r="F711" s="8"/>
      <c r="G711" s="8"/>
      <c r="H711" s="8"/>
      <c r="I711" s="8"/>
      <c r="J711" s="8"/>
      <c r="K711" s="8"/>
      <c r="L711" s="8"/>
      <c r="M711" s="8"/>
      <c r="N711" s="8"/>
      <c r="O711" s="8"/>
      <c r="P711" s="8"/>
      <c r="Q711" s="8"/>
      <c r="R711" s="8"/>
      <c r="S711" s="8"/>
      <c r="T711" s="8"/>
      <c r="U711" s="8"/>
      <c r="V711" s="8"/>
      <c r="W711" s="8"/>
      <c r="X711" s="8"/>
      <c r="Y711" s="8"/>
      <c r="Z711" s="8"/>
      <c r="AA711" s="8"/>
    </row>
    <row r="712" spans="1:27" ht="12.75">
      <c r="A712" s="8"/>
      <c r="B712" s="59"/>
      <c r="C712" s="59"/>
      <c r="D712" s="59"/>
      <c r="E712" s="59"/>
      <c r="F712" s="8"/>
      <c r="G712" s="8"/>
      <c r="H712" s="8"/>
      <c r="I712" s="8"/>
      <c r="J712" s="8"/>
      <c r="K712" s="8"/>
      <c r="L712" s="8"/>
      <c r="M712" s="8"/>
      <c r="N712" s="8"/>
      <c r="O712" s="8"/>
      <c r="P712" s="8"/>
      <c r="Q712" s="8"/>
      <c r="R712" s="8"/>
      <c r="S712" s="8"/>
      <c r="T712" s="8"/>
      <c r="U712" s="8"/>
      <c r="V712" s="8"/>
      <c r="W712" s="8"/>
      <c r="X712" s="8"/>
      <c r="Y712" s="8"/>
      <c r="Z712" s="8"/>
      <c r="AA712" s="8"/>
    </row>
    <row r="713" spans="1:27" ht="12.75">
      <c r="A713" s="8"/>
      <c r="B713" s="59"/>
      <c r="C713" s="59"/>
      <c r="D713" s="59"/>
      <c r="E713" s="59"/>
      <c r="F713" s="8"/>
      <c r="G713" s="8"/>
      <c r="H713" s="8"/>
      <c r="I713" s="8"/>
      <c r="J713" s="8"/>
      <c r="K713" s="8"/>
      <c r="L713" s="8"/>
      <c r="M713" s="8"/>
      <c r="N713" s="8"/>
      <c r="O713" s="8"/>
      <c r="P713" s="8"/>
      <c r="Q713" s="8"/>
      <c r="R713" s="8"/>
      <c r="S713" s="8"/>
      <c r="T713" s="8"/>
      <c r="U713" s="8"/>
      <c r="V713" s="8"/>
      <c r="W713" s="8"/>
      <c r="X713" s="8"/>
      <c r="Y713" s="8"/>
      <c r="Z713" s="8"/>
      <c r="AA713" s="8"/>
    </row>
    <row r="714" spans="1:27" ht="12.75">
      <c r="A714" s="8"/>
      <c r="B714" s="59"/>
      <c r="C714" s="59"/>
      <c r="D714" s="59"/>
      <c r="E714" s="59"/>
      <c r="F714" s="8"/>
      <c r="G714" s="8"/>
      <c r="H714" s="8"/>
      <c r="I714" s="8"/>
      <c r="J714" s="8"/>
      <c r="K714" s="8"/>
      <c r="L714" s="8"/>
      <c r="M714" s="8"/>
      <c r="N714" s="8"/>
      <c r="O714" s="8"/>
      <c r="P714" s="8"/>
      <c r="Q714" s="8"/>
      <c r="R714" s="8"/>
      <c r="S714" s="8"/>
      <c r="T714" s="8"/>
      <c r="U714" s="8"/>
      <c r="V714" s="8"/>
      <c r="W714" s="8"/>
      <c r="X714" s="8"/>
      <c r="Y714" s="8"/>
      <c r="Z714" s="8"/>
      <c r="AA714" s="8"/>
    </row>
    <row r="715" spans="1:27" ht="12.75">
      <c r="A715" s="8"/>
      <c r="B715" s="59"/>
      <c r="C715" s="59"/>
      <c r="D715" s="59"/>
      <c r="E715" s="59"/>
      <c r="F715" s="8"/>
      <c r="G715" s="8"/>
      <c r="H715" s="8"/>
      <c r="I715" s="8"/>
      <c r="J715" s="8"/>
      <c r="K715" s="8"/>
      <c r="L715" s="8"/>
      <c r="M715" s="8"/>
      <c r="N715" s="8"/>
      <c r="O715" s="8"/>
      <c r="P715" s="8"/>
      <c r="Q715" s="8"/>
      <c r="R715" s="8"/>
      <c r="S715" s="8"/>
      <c r="T715" s="8"/>
      <c r="U715" s="8"/>
      <c r="V715" s="8"/>
      <c r="W715" s="8"/>
      <c r="X715" s="8"/>
      <c r="Y715" s="8"/>
      <c r="Z715" s="8"/>
      <c r="AA715" s="8"/>
    </row>
    <row r="716" spans="1:27" ht="12.75">
      <c r="A716" s="8"/>
      <c r="B716" s="59"/>
      <c r="C716" s="59"/>
      <c r="D716" s="59"/>
      <c r="E716" s="59"/>
      <c r="F716" s="8"/>
      <c r="G716" s="8"/>
      <c r="H716" s="8"/>
      <c r="I716" s="8"/>
      <c r="J716" s="8"/>
      <c r="K716" s="8"/>
      <c r="L716" s="8"/>
      <c r="M716" s="8"/>
      <c r="N716" s="8"/>
      <c r="O716" s="8"/>
      <c r="P716" s="8"/>
      <c r="Q716" s="8"/>
      <c r="R716" s="8"/>
      <c r="S716" s="8"/>
      <c r="T716" s="8"/>
      <c r="U716" s="8"/>
      <c r="V716" s="8"/>
      <c r="W716" s="8"/>
      <c r="X716" s="8"/>
      <c r="Y716" s="8"/>
      <c r="Z716" s="8"/>
      <c r="AA716" s="8"/>
    </row>
    <row r="717" spans="1:27" ht="12.75">
      <c r="A717" s="8"/>
      <c r="B717" s="59"/>
      <c r="C717" s="59"/>
      <c r="D717" s="59"/>
      <c r="E717" s="59"/>
      <c r="F717" s="8"/>
      <c r="G717" s="8"/>
      <c r="H717" s="8"/>
      <c r="I717" s="8"/>
      <c r="J717" s="8"/>
      <c r="K717" s="8"/>
      <c r="L717" s="8"/>
      <c r="M717" s="8"/>
      <c r="N717" s="8"/>
      <c r="O717" s="8"/>
      <c r="P717" s="8"/>
      <c r="Q717" s="8"/>
      <c r="R717" s="8"/>
      <c r="S717" s="8"/>
      <c r="T717" s="8"/>
      <c r="U717" s="8"/>
      <c r="V717" s="8"/>
      <c r="W717" s="8"/>
      <c r="X717" s="8"/>
      <c r="Y717" s="8"/>
      <c r="Z717" s="8"/>
      <c r="AA717" s="8"/>
    </row>
    <row r="718" spans="1:27" ht="12.75">
      <c r="A718" s="8"/>
      <c r="B718" s="59"/>
      <c r="C718" s="59"/>
      <c r="D718" s="59"/>
      <c r="E718" s="59"/>
      <c r="F718" s="8"/>
      <c r="G718" s="8"/>
      <c r="H718" s="8"/>
      <c r="I718" s="8"/>
      <c r="J718" s="8"/>
      <c r="K718" s="8"/>
      <c r="L718" s="8"/>
      <c r="M718" s="8"/>
      <c r="N718" s="8"/>
      <c r="O718" s="8"/>
      <c r="P718" s="8"/>
      <c r="Q718" s="8"/>
      <c r="R718" s="8"/>
      <c r="S718" s="8"/>
      <c r="T718" s="8"/>
      <c r="U718" s="8"/>
      <c r="V718" s="8"/>
      <c r="W718" s="8"/>
      <c r="X718" s="8"/>
      <c r="Y718" s="8"/>
      <c r="Z718" s="8"/>
      <c r="AA718" s="8"/>
    </row>
    <row r="719" spans="1:27" ht="12.75">
      <c r="A719" s="8"/>
      <c r="B719" s="59"/>
      <c r="C719" s="59"/>
      <c r="D719" s="59"/>
      <c r="E719" s="59"/>
      <c r="F719" s="8"/>
      <c r="G719" s="8"/>
      <c r="H719" s="8"/>
      <c r="I719" s="8"/>
      <c r="J719" s="8"/>
      <c r="K719" s="8"/>
      <c r="L719" s="8"/>
      <c r="M719" s="8"/>
      <c r="N719" s="8"/>
      <c r="O719" s="8"/>
      <c r="P719" s="8"/>
      <c r="Q719" s="8"/>
      <c r="R719" s="8"/>
      <c r="S719" s="8"/>
      <c r="T719" s="8"/>
      <c r="U719" s="8"/>
      <c r="V719" s="8"/>
      <c r="W719" s="8"/>
      <c r="X719" s="8"/>
      <c r="Y719" s="8"/>
      <c r="Z719" s="8"/>
      <c r="AA719" s="8"/>
    </row>
    <row r="720" spans="1:27" ht="12.75">
      <c r="A720" s="8"/>
      <c r="B720" s="59"/>
      <c r="C720" s="59"/>
      <c r="D720" s="59"/>
      <c r="E720" s="59"/>
      <c r="F720" s="8"/>
      <c r="G720" s="8"/>
      <c r="H720" s="8"/>
      <c r="I720" s="8"/>
      <c r="J720" s="8"/>
      <c r="K720" s="8"/>
      <c r="L720" s="8"/>
      <c r="M720" s="8"/>
      <c r="N720" s="8"/>
      <c r="O720" s="8"/>
      <c r="P720" s="8"/>
      <c r="Q720" s="8"/>
      <c r="R720" s="8"/>
      <c r="S720" s="8"/>
      <c r="T720" s="8"/>
      <c r="U720" s="8"/>
      <c r="V720" s="8"/>
      <c r="W720" s="8"/>
      <c r="X720" s="8"/>
      <c r="Y720" s="8"/>
      <c r="Z720" s="8"/>
      <c r="AA720" s="8"/>
    </row>
    <row r="721" spans="1:27" ht="12.75">
      <c r="A721" s="8"/>
      <c r="B721" s="59"/>
      <c r="C721" s="59"/>
      <c r="D721" s="59"/>
      <c r="E721" s="59"/>
      <c r="F721" s="8"/>
      <c r="G721" s="8"/>
      <c r="H721" s="8"/>
      <c r="I721" s="8"/>
      <c r="J721" s="8"/>
      <c r="K721" s="8"/>
      <c r="L721" s="8"/>
      <c r="M721" s="8"/>
      <c r="N721" s="8"/>
      <c r="O721" s="8"/>
      <c r="P721" s="8"/>
      <c r="Q721" s="8"/>
      <c r="R721" s="8"/>
      <c r="S721" s="8"/>
      <c r="T721" s="8"/>
      <c r="U721" s="8"/>
      <c r="V721" s="8"/>
      <c r="W721" s="8"/>
      <c r="X721" s="8"/>
      <c r="Y721" s="8"/>
      <c r="Z721" s="8"/>
      <c r="AA721" s="8"/>
    </row>
    <row r="722" spans="1:27" ht="12.75">
      <c r="A722" s="8"/>
      <c r="B722" s="59"/>
      <c r="C722" s="59"/>
      <c r="D722" s="59"/>
      <c r="E722" s="59"/>
      <c r="F722" s="8"/>
      <c r="G722" s="8"/>
      <c r="H722" s="8"/>
      <c r="I722" s="8"/>
      <c r="J722" s="8"/>
      <c r="K722" s="8"/>
      <c r="L722" s="8"/>
      <c r="M722" s="8"/>
      <c r="N722" s="8"/>
      <c r="O722" s="8"/>
      <c r="P722" s="8"/>
      <c r="Q722" s="8"/>
      <c r="R722" s="8"/>
      <c r="S722" s="8"/>
      <c r="T722" s="8"/>
      <c r="U722" s="8"/>
      <c r="V722" s="8"/>
      <c r="W722" s="8"/>
      <c r="X722" s="8"/>
      <c r="Y722" s="8"/>
      <c r="Z722" s="8"/>
      <c r="AA722" s="8"/>
    </row>
    <row r="723" spans="1:27" ht="12.75">
      <c r="A723" s="8"/>
      <c r="B723" s="59"/>
      <c r="C723" s="59"/>
      <c r="D723" s="59"/>
      <c r="E723" s="59"/>
      <c r="F723" s="8"/>
      <c r="G723" s="8"/>
      <c r="H723" s="8"/>
      <c r="I723" s="8"/>
      <c r="J723" s="8"/>
      <c r="K723" s="8"/>
      <c r="L723" s="8"/>
      <c r="M723" s="8"/>
      <c r="N723" s="8"/>
      <c r="O723" s="8"/>
      <c r="P723" s="8"/>
      <c r="Q723" s="8"/>
      <c r="R723" s="8"/>
      <c r="S723" s="8"/>
      <c r="T723" s="8"/>
      <c r="U723" s="8"/>
      <c r="V723" s="8"/>
      <c r="W723" s="8"/>
      <c r="X723" s="8"/>
      <c r="Y723" s="8"/>
      <c r="Z723" s="8"/>
      <c r="AA723" s="8"/>
    </row>
    <row r="724" spans="1:27" ht="12.75">
      <c r="A724" s="8"/>
      <c r="B724" s="59"/>
      <c r="C724" s="59"/>
      <c r="D724" s="59"/>
      <c r="E724" s="59"/>
      <c r="F724" s="8"/>
      <c r="G724" s="8"/>
      <c r="H724" s="8"/>
      <c r="I724" s="8"/>
      <c r="J724" s="8"/>
      <c r="K724" s="8"/>
      <c r="L724" s="8"/>
      <c r="M724" s="8"/>
      <c r="N724" s="8"/>
      <c r="O724" s="8"/>
      <c r="P724" s="8"/>
      <c r="Q724" s="8"/>
      <c r="R724" s="8"/>
      <c r="S724" s="8"/>
      <c r="T724" s="8"/>
      <c r="U724" s="8"/>
      <c r="V724" s="8"/>
      <c r="W724" s="8"/>
      <c r="X724" s="8"/>
      <c r="Y724" s="8"/>
      <c r="Z724" s="8"/>
      <c r="AA724" s="8"/>
    </row>
    <row r="725" spans="1:27" ht="12.75">
      <c r="A725" s="8"/>
      <c r="B725" s="59"/>
      <c r="C725" s="59"/>
      <c r="D725" s="59"/>
      <c r="E725" s="59"/>
      <c r="F725" s="8"/>
      <c r="G725" s="8"/>
      <c r="H725" s="8"/>
      <c r="I725" s="8"/>
      <c r="J725" s="8"/>
      <c r="K725" s="8"/>
      <c r="L725" s="8"/>
      <c r="M725" s="8"/>
      <c r="N725" s="8"/>
      <c r="O725" s="8"/>
      <c r="P725" s="8"/>
      <c r="Q725" s="8"/>
      <c r="R725" s="8"/>
      <c r="S725" s="8"/>
      <c r="T725" s="8"/>
      <c r="U725" s="8"/>
      <c r="V725" s="8"/>
      <c r="W725" s="8"/>
      <c r="X725" s="8"/>
      <c r="Y725" s="8"/>
      <c r="Z725" s="8"/>
      <c r="AA725" s="8"/>
    </row>
    <row r="726" spans="1:27" ht="12.75">
      <c r="A726" s="8"/>
      <c r="B726" s="59"/>
      <c r="C726" s="59"/>
      <c r="D726" s="59"/>
      <c r="E726" s="59"/>
      <c r="F726" s="8"/>
      <c r="G726" s="8"/>
      <c r="H726" s="8"/>
      <c r="I726" s="8"/>
      <c r="J726" s="8"/>
      <c r="K726" s="8"/>
      <c r="L726" s="8"/>
      <c r="M726" s="8"/>
      <c r="N726" s="8"/>
      <c r="O726" s="8"/>
      <c r="P726" s="8"/>
      <c r="Q726" s="8"/>
      <c r="R726" s="8"/>
      <c r="S726" s="8"/>
      <c r="T726" s="8"/>
      <c r="U726" s="8"/>
      <c r="V726" s="8"/>
      <c r="W726" s="8"/>
      <c r="X726" s="8"/>
      <c r="Y726" s="8"/>
      <c r="Z726" s="8"/>
      <c r="AA726" s="8"/>
    </row>
    <row r="727" spans="1:27" ht="12.75">
      <c r="A727" s="8"/>
      <c r="B727" s="59"/>
      <c r="C727" s="59"/>
      <c r="D727" s="59"/>
      <c r="E727" s="59"/>
      <c r="F727" s="8"/>
      <c r="G727" s="8"/>
      <c r="H727" s="8"/>
      <c r="I727" s="8"/>
      <c r="J727" s="8"/>
      <c r="K727" s="8"/>
      <c r="L727" s="8"/>
      <c r="M727" s="8"/>
      <c r="N727" s="8"/>
      <c r="O727" s="8"/>
      <c r="P727" s="8"/>
      <c r="Q727" s="8"/>
      <c r="R727" s="8"/>
      <c r="S727" s="8"/>
      <c r="T727" s="8"/>
      <c r="U727" s="8"/>
      <c r="V727" s="8"/>
      <c r="W727" s="8"/>
      <c r="X727" s="8"/>
      <c r="Y727" s="8"/>
      <c r="Z727" s="8"/>
      <c r="AA727" s="8"/>
    </row>
    <row r="728" spans="1:27" ht="12.75">
      <c r="A728" s="8"/>
      <c r="B728" s="59"/>
      <c r="C728" s="59"/>
      <c r="D728" s="59"/>
      <c r="E728" s="59"/>
      <c r="F728" s="8"/>
      <c r="G728" s="8"/>
      <c r="H728" s="8"/>
      <c r="I728" s="8"/>
      <c r="J728" s="8"/>
      <c r="K728" s="8"/>
      <c r="L728" s="8"/>
      <c r="M728" s="8"/>
      <c r="N728" s="8"/>
      <c r="O728" s="8"/>
      <c r="P728" s="8"/>
      <c r="Q728" s="8"/>
      <c r="R728" s="8"/>
      <c r="S728" s="8"/>
      <c r="T728" s="8"/>
      <c r="U728" s="8"/>
      <c r="V728" s="8"/>
      <c r="W728" s="8"/>
      <c r="X728" s="8"/>
      <c r="Y728" s="8"/>
      <c r="Z728" s="8"/>
      <c r="AA728" s="8"/>
    </row>
    <row r="729" spans="1:27" ht="12.75">
      <c r="A729" s="8"/>
      <c r="B729" s="59"/>
      <c r="C729" s="59"/>
      <c r="D729" s="59"/>
      <c r="E729" s="59"/>
      <c r="F729" s="8"/>
      <c r="G729" s="8"/>
      <c r="H729" s="8"/>
      <c r="I729" s="8"/>
      <c r="J729" s="8"/>
      <c r="K729" s="8"/>
      <c r="L729" s="8"/>
      <c r="M729" s="8"/>
      <c r="N729" s="8"/>
      <c r="O729" s="8"/>
      <c r="P729" s="8"/>
      <c r="Q729" s="8"/>
      <c r="R729" s="8"/>
      <c r="S729" s="8"/>
      <c r="T729" s="8"/>
      <c r="U729" s="8"/>
      <c r="V729" s="8"/>
      <c r="W729" s="8"/>
      <c r="X729" s="8"/>
      <c r="Y729" s="8"/>
      <c r="Z729" s="8"/>
      <c r="AA729" s="8"/>
    </row>
    <row r="730" spans="1:27" ht="12.75">
      <c r="A730" s="8"/>
      <c r="B730" s="59"/>
      <c r="C730" s="59"/>
      <c r="D730" s="59"/>
      <c r="E730" s="59"/>
      <c r="F730" s="8"/>
      <c r="G730" s="8"/>
      <c r="H730" s="8"/>
      <c r="I730" s="8"/>
      <c r="J730" s="8"/>
      <c r="K730" s="8"/>
      <c r="L730" s="8"/>
      <c r="M730" s="8"/>
      <c r="N730" s="8"/>
      <c r="O730" s="8"/>
      <c r="P730" s="8"/>
      <c r="Q730" s="8"/>
      <c r="R730" s="8"/>
      <c r="S730" s="8"/>
      <c r="T730" s="8"/>
      <c r="U730" s="8"/>
      <c r="V730" s="8"/>
      <c r="W730" s="8"/>
      <c r="X730" s="8"/>
      <c r="Y730" s="8"/>
      <c r="Z730" s="8"/>
      <c r="AA730" s="8"/>
    </row>
    <row r="731" spans="1:27" ht="12.75">
      <c r="A731" s="8"/>
      <c r="B731" s="59"/>
      <c r="C731" s="59"/>
      <c r="D731" s="59"/>
      <c r="E731" s="59"/>
      <c r="F731" s="8"/>
      <c r="G731" s="8"/>
      <c r="H731" s="8"/>
      <c r="I731" s="8"/>
      <c r="J731" s="8"/>
      <c r="K731" s="8"/>
      <c r="L731" s="8"/>
      <c r="M731" s="8"/>
      <c r="N731" s="8"/>
      <c r="O731" s="8"/>
      <c r="P731" s="8"/>
      <c r="Q731" s="8"/>
      <c r="R731" s="8"/>
      <c r="S731" s="8"/>
      <c r="T731" s="8"/>
      <c r="U731" s="8"/>
      <c r="V731" s="8"/>
      <c r="W731" s="8"/>
      <c r="X731" s="8"/>
      <c r="Y731" s="8"/>
      <c r="Z731" s="8"/>
      <c r="AA731" s="8"/>
    </row>
    <row r="732" spans="1:27" ht="12.75">
      <c r="A732" s="8"/>
      <c r="B732" s="59"/>
      <c r="C732" s="59"/>
      <c r="D732" s="59"/>
      <c r="E732" s="59"/>
      <c r="F732" s="8"/>
      <c r="G732" s="8"/>
      <c r="H732" s="8"/>
      <c r="I732" s="8"/>
      <c r="J732" s="8"/>
      <c r="K732" s="8"/>
      <c r="L732" s="8"/>
      <c r="M732" s="8"/>
      <c r="N732" s="8"/>
      <c r="O732" s="8"/>
      <c r="P732" s="8"/>
      <c r="Q732" s="8"/>
      <c r="R732" s="8"/>
      <c r="S732" s="8"/>
      <c r="T732" s="8"/>
      <c r="U732" s="8"/>
      <c r="V732" s="8"/>
      <c r="W732" s="8"/>
      <c r="X732" s="8"/>
      <c r="Y732" s="8"/>
      <c r="Z732" s="8"/>
      <c r="AA732" s="8"/>
    </row>
    <row r="733" spans="1:27" ht="12.75">
      <c r="A733" s="8"/>
      <c r="B733" s="59"/>
      <c r="C733" s="59"/>
      <c r="D733" s="59"/>
      <c r="E733" s="59"/>
      <c r="F733" s="8"/>
      <c r="G733" s="8"/>
      <c r="H733" s="8"/>
      <c r="I733" s="8"/>
      <c r="J733" s="8"/>
      <c r="K733" s="8"/>
      <c r="L733" s="8"/>
      <c r="M733" s="8"/>
      <c r="N733" s="8"/>
      <c r="O733" s="8"/>
      <c r="P733" s="8"/>
      <c r="Q733" s="8"/>
      <c r="R733" s="8"/>
      <c r="S733" s="8"/>
      <c r="T733" s="8"/>
      <c r="U733" s="8"/>
      <c r="V733" s="8"/>
      <c r="W733" s="8"/>
      <c r="X733" s="8"/>
      <c r="Y733" s="8"/>
      <c r="Z733" s="8"/>
      <c r="AA733" s="8"/>
    </row>
    <row r="734" spans="1:27" ht="12.75">
      <c r="A734" s="8"/>
      <c r="B734" s="59"/>
      <c r="C734" s="59"/>
      <c r="D734" s="59"/>
      <c r="E734" s="59"/>
      <c r="F734" s="8"/>
      <c r="G734" s="8"/>
      <c r="H734" s="8"/>
      <c r="I734" s="8"/>
      <c r="J734" s="8"/>
      <c r="K734" s="8"/>
      <c r="L734" s="8"/>
      <c r="M734" s="8"/>
      <c r="N734" s="8"/>
      <c r="O734" s="8"/>
      <c r="P734" s="8"/>
      <c r="Q734" s="8"/>
      <c r="R734" s="8"/>
      <c r="S734" s="8"/>
      <c r="T734" s="8"/>
      <c r="U734" s="8"/>
      <c r="V734" s="8"/>
      <c r="W734" s="8"/>
      <c r="X734" s="8"/>
      <c r="Y734" s="8"/>
      <c r="Z734" s="8"/>
      <c r="AA734" s="8"/>
    </row>
    <row r="735" spans="1:27" ht="12.75">
      <c r="A735" s="8"/>
      <c r="B735" s="59"/>
      <c r="C735" s="59"/>
      <c r="D735" s="59"/>
      <c r="E735" s="59"/>
      <c r="F735" s="8"/>
      <c r="G735" s="8"/>
      <c r="H735" s="8"/>
      <c r="I735" s="8"/>
      <c r="J735" s="8"/>
      <c r="K735" s="8"/>
      <c r="L735" s="8"/>
      <c r="M735" s="8"/>
      <c r="N735" s="8"/>
      <c r="O735" s="8"/>
      <c r="P735" s="8"/>
      <c r="Q735" s="8"/>
      <c r="R735" s="8"/>
      <c r="S735" s="8"/>
      <c r="T735" s="8"/>
      <c r="U735" s="8"/>
      <c r="V735" s="8"/>
      <c r="W735" s="8"/>
      <c r="X735" s="8"/>
      <c r="Y735" s="8"/>
      <c r="Z735" s="8"/>
      <c r="AA735" s="8"/>
    </row>
    <row r="736" spans="1:27" ht="12.75">
      <c r="A736" s="8"/>
      <c r="B736" s="59"/>
      <c r="C736" s="59"/>
      <c r="D736" s="59"/>
      <c r="E736" s="59"/>
      <c r="F736" s="8"/>
      <c r="G736" s="8"/>
      <c r="H736" s="8"/>
      <c r="I736" s="8"/>
      <c r="J736" s="8"/>
      <c r="K736" s="8"/>
      <c r="L736" s="8"/>
      <c r="M736" s="8"/>
      <c r="N736" s="8"/>
      <c r="O736" s="8"/>
      <c r="P736" s="8"/>
      <c r="Q736" s="8"/>
      <c r="R736" s="8"/>
      <c r="S736" s="8"/>
      <c r="T736" s="8"/>
      <c r="U736" s="8"/>
      <c r="V736" s="8"/>
      <c r="W736" s="8"/>
      <c r="X736" s="8"/>
      <c r="Y736" s="8"/>
      <c r="Z736" s="8"/>
      <c r="AA736" s="8"/>
    </row>
    <row r="737" spans="1:27" ht="12.75">
      <c r="A737" s="8"/>
      <c r="B737" s="59"/>
      <c r="C737" s="59"/>
      <c r="D737" s="59"/>
      <c r="E737" s="59"/>
      <c r="F737" s="8"/>
      <c r="G737" s="8"/>
      <c r="H737" s="8"/>
      <c r="I737" s="8"/>
      <c r="J737" s="8"/>
      <c r="K737" s="8"/>
      <c r="L737" s="8"/>
      <c r="M737" s="8"/>
      <c r="N737" s="8"/>
      <c r="O737" s="8"/>
      <c r="P737" s="8"/>
      <c r="Q737" s="8"/>
      <c r="R737" s="8"/>
      <c r="S737" s="8"/>
      <c r="T737" s="8"/>
      <c r="U737" s="8"/>
      <c r="V737" s="8"/>
      <c r="W737" s="8"/>
      <c r="X737" s="8"/>
      <c r="Y737" s="8"/>
      <c r="Z737" s="8"/>
      <c r="AA737" s="8"/>
    </row>
    <row r="738" spans="1:27" ht="12.75">
      <c r="A738" s="8"/>
      <c r="B738" s="59"/>
      <c r="C738" s="59"/>
      <c r="D738" s="59"/>
      <c r="E738" s="59"/>
      <c r="F738" s="8"/>
      <c r="G738" s="8"/>
      <c r="H738" s="8"/>
      <c r="I738" s="8"/>
      <c r="J738" s="8"/>
      <c r="K738" s="8"/>
      <c r="L738" s="8"/>
      <c r="M738" s="8"/>
      <c r="N738" s="8"/>
      <c r="O738" s="8"/>
      <c r="P738" s="8"/>
      <c r="Q738" s="8"/>
      <c r="R738" s="8"/>
      <c r="S738" s="8"/>
      <c r="T738" s="8"/>
      <c r="U738" s="8"/>
      <c r="V738" s="8"/>
      <c r="W738" s="8"/>
      <c r="X738" s="8"/>
      <c r="Y738" s="8"/>
      <c r="Z738" s="8"/>
      <c r="AA738" s="8"/>
    </row>
    <row r="739" spans="1:27" ht="12.75">
      <c r="A739" s="8"/>
      <c r="B739" s="59"/>
      <c r="C739" s="59"/>
      <c r="D739" s="59"/>
      <c r="E739" s="59"/>
      <c r="F739" s="8"/>
      <c r="G739" s="8"/>
      <c r="H739" s="8"/>
      <c r="I739" s="8"/>
      <c r="J739" s="8"/>
      <c r="K739" s="8"/>
      <c r="L739" s="8"/>
      <c r="M739" s="8"/>
      <c r="N739" s="8"/>
      <c r="O739" s="8"/>
      <c r="P739" s="8"/>
      <c r="Q739" s="8"/>
      <c r="R739" s="8"/>
      <c r="S739" s="8"/>
      <c r="T739" s="8"/>
      <c r="U739" s="8"/>
      <c r="V739" s="8"/>
      <c r="W739" s="8"/>
      <c r="X739" s="8"/>
      <c r="Y739" s="8"/>
      <c r="Z739" s="8"/>
      <c r="AA739" s="8"/>
    </row>
    <row r="740" spans="1:27" ht="12.75">
      <c r="A740" s="8"/>
      <c r="B740" s="59"/>
      <c r="C740" s="59"/>
      <c r="D740" s="59"/>
      <c r="E740" s="59"/>
      <c r="F740" s="8"/>
      <c r="G740" s="8"/>
      <c r="H740" s="8"/>
      <c r="I740" s="8"/>
      <c r="J740" s="8"/>
      <c r="K740" s="8"/>
      <c r="L740" s="8"/>
      <c r="M740" s="8"/>
      <c r="N740" s="8"/>
      <c r="O740" s="8"/>
      <c r="P740" s="8"/>
      <c r="Q740" s="8"/>
      <c r="R740" s="8"/>
      <c r="S740" s="8"/>
      <c r="T740" s="8"/>
      <c r="U740" s="8"/>
      <c r="V740" s="8"/>
      <c r="W740" s="8"/>
      <c r="X740" s="8"/>
      <c r="Y740" s="8"/>
      <c r="Z740" s="8"/>
      <c r="AA740" s="8"/>
    </row>
    <row r="741" spans="1:27" ht="12.75">
      <c r="A741" s="8"/>
      <c r="B741" s="59"/>
      <c r="C741" s="59"/>
      <c r="D741" s="59"/>
      <c r="E741" s="59"/>
      <c r="F741" s="8"/>
      <c r="G741" s="8"/>
      <c r="H741" s="8"/>
      <c r="I741" s="8"/>
      <c r="J741" s="8"/>
      <c r="K741" s="8"/>
      <c r="L741" s="8"/>
      <c r="M741" s="8"/>
      <c r="N741" s="8"/>
      <c r="O741" s="8"/>
      <c r="P741" s="8"/>
      <c r="Q741" s="8"/>
      <c r="R741" s="8"/>
      <c r="S741" s="8"/>
      <c r="T741" s="8"/>
      <c r="U741" s="8"/>
      <c r="V741" s="8"/>
      <c r="W741" s="8"/>
      <c r="X741" s="8"/>
      <c r="Y741" s="8"/>
      <c r="Z741" s="8"/>
      <c r="AA741" s="8"/>
    </row>
    <row r="742" spans="1:27" ht="12.75">
      <c r="A742" s="8"/>
      <c r="B742" s="59"/>
      <c r="C742" s="59"/>
      <c r="D742" s="59"/>
      <c r="E742" s="59"/>
      <c r="F742" s="8"/>
      <c r="G742" s="8"/>
      <c r="H742" s="8"/>
      <c r="I742" s="8"/>
      <c r="J742" s="8"/>
      <c r="K742" s="8"/>
      <c r="L742" s="8"/>
      <c r="M742" s="8"/>
      <c r="N742" s="8"/>
      <c r="O742" s="8"/>
      <c r="P742" s="8"/>
      <c r="Q742" s="8"/>
      <c r="R742" s="8"/>
      <c r="S742" s="8"/>
      <c r="T742" s="8"/>
      <c r="U742" s="8"/>
      <c r="V742" s="8"/>
      <c r="W742" s="8"/>
      <c r="X742" s="8"/>
      <c r="Y742" s="8"/>
      <c r="Z742" s="8"/>
      <c r="AA742" s="8"/>
    </row>
    <row r="743" spans="1:27" ht="12.75">
      <c r="A743" s="8"/>
      <c r="B743" s="59"/>
      <c r="C743" s="59"/>
      <c r="D743" s="59"/>
      <c r="E743" s="59"/>
      <c r="F743" s="8"/>
      <c r="G743" s="8"/>
      <c r="H743" s="8"/>
      <c r="I743" s="8"/>
      <c r="J743" s="8"/>
      <c r="K743" s="8"/>
      <c r="L743" s="8"/>
      <c r="M743" s="8"/>
      <c r="N743" s="8"/>
      <c r="O743" s="8"/>
      <c r="P743" s="8"/>
      <c r="Q743" s="8"/>
      <c r="R743" s="8"/>
      <c r="S743" s="8"/>
      <c r="T743" s="8"/>
      <c r="U743" s="8"/>
      <c r="V743" s="8"/>
      <c r="W743" s="8"/>
      <c r="X743" s="8"/>
      <c r="Y743" s="8"/>
      <c r="Z743" s="8"/>
      <c r="AA743" s="8"/>
    </row>
    <row r="744" spans="1:27" ht="12.75">
      <c r="A744" s="8"/>
      <c r="B744" s="59"/>
      <c r="C744" s="59"/>
      <c r="D744" s="59"/>
      <c r="E744" s="59"/>
      <c r="F744" s="8"/>
      <c r="G744" s="8"/>
      <c r="H744" s="8"/>
      <c r="I744" s="8"/>
      <c r="J744" s="8"/>
      <c r="K744" s="8"/>
      <c r="L744" s="8"/>
      <c r="M744" s="8"/>
      <c r="N744" s="8"/>
      <c r="O744" s="8"/>
      <c r="P744" s="8"/>
      <c r="Q744" s="8"/>
      <c r="R744" s="8"/>
      <c r="S744" s="8"/>
      <c r="T744" s="8"/>
      <c r="U744" s="8"/>
      <c r="V744" s="8"/>
      <c r="W744" s="8"/>
      <c r="X744" s="8"/>
      <c r="Y744" s="8"/>
      <c r="Z744" s="8"/>
      <c r="AA744" s="8"/>
    </row>
    <row r="745" spans="1:27" ht="12.75">
      <c r="A745" s="8"/>
      <c r="B745" s="59"/>
      <c r="C745" s="59"/>
      <c r="D745" s="59"/>
      <c r="E745" s="59"/>
      <c r="F745" s="8"/>
      <c r="G745" s="8"/>
      <c r="H745" s="8"/>
      <c r="I745" s="8"/>
      <c r="J745" s="8"/>
      <c r="K745" s="8"/>
      <c r="L745" s="8"/>
      <c r="M745" s="8"/>
      <c r="N745" s="8"/>
      <c r="O745" s="8"/>
      <c r="P745" s="8"/>
      <c r="Q745" s="8"/>
      <c r="R745" s="8"/>
      <c r="S745" s="8"/>
      <c r="T745" s="8"/>
      <c r="U745" s="8"/>
      <c r="V745" s="8"/>
      <c r="W745" s="8"/>
      <c r="X745" s="8"/>
      <c r="Y745" s="8"/>
      <c r="Z745" s="8"/>
      <c r="AA745" s="8"/>
    </row>
    <row r="746" spans="1:27" ht="12.75">
      <c r="A746" s="8"/>
      <c r="B746" s="59"/>
      <c r="C746" s="59"/>
      <c r="D746" s="59"/>
      <c r="E746" s="59"/>
      <c r="F746" s="8"/>
      <c r="G746" s="8"/>
      <c r="H746" s="8"/>
      <c r="I746" s="8"/>
      <c r="J746" s="8"/>
      <c r="K746" s="8"/>
      <c r="L746" s="8"/>
      <c r="M746" s="8"/>
      <c r="N746" s="8"/>
      <c r="O746" s="8"/>
      <c r="P746" s="8"/>
      <c r="Q746" s="8"/>
      <c r="R746" s="8"/>
      <c r="S746" s="8"/>
      <c r="T746" s="8"/>
      <c r="U746" s="8"/>
      <c r="V746" s="8"/>
      <c r="W746" s="8"/>
      <c r="X746" s="8"/>
      <c r="Y746" s="8"/>
      <c r="Z746" s="8"/>
      <c r="AA746" s="8"/>
    </row>
    <row r="747" spans="1:27" ht="12.75">
      <c r="A747" s="8"/>
      <c r="B747" s="59"/>
      <c r="C747" s="59"/>
      <c r="D747" s="59"/>
      <c r="E747" s="59"/>
      <c r="F747" s="8"/>
      <c r="G747" s="8"/>
      <c r="H747" s="8"/>
      <c r="I747" s="8"/>
      <c r="J747" s="8"/>
      <c r="K747" s="8"/>
      <c r="L747" s="8"/>
      <c r="M747" s="8"/>
      <c r="N747" s="8"/>
      <c r="O747" s="8"/>
      <c r="P747" s="8"/>
      <c r="Q747" s="8"/>
      <c r="R747" s="8"/>
      <c r="S747" s="8"/>
      <c r="T747" s="8"/>
      <c r="U747" s="8"/>
      <c r="V747" s="8"/>
      <c r="W747" s="8"/>
      <c r="X747" s="8"/>
      <c r="Y747" s="8"/>
      <c r="Z747" s="8"/>
      <c r="AA747" s="8"/>
    </row>
    <row r="748" spans="1:27" ht="12.75">
      <c r="A748" s="8"/>
      <c r="B748" s="59"/>
      <c r="C748" s="59"/>
      <c r="D748" s="59"/>
      <c r="E748" s="59"/>
      <c r="F748" s="8"/>
      <c r="G748" s="8"/>
      <c r="H748" s="8"/>
      <c r="I748" s="8"/>
      <c r="J748" s="8"/>
      <c r="K748" s="8"/>
      <c r="L748" s="8"/>
      <c r="M748" s="8"/>
      <c r="N748" s="8"/>
      <c r="O748" s="8"/>
      <c r="P748" s="8"/>
      <c r="Q748" s="8"/>
      <c r="R748" s="8"/>
      <c r="S748" s="8"/>
      <c r="T748" s="8"/>
      <c r="U748" s="8"/>
      <c r="V748" s="8"/>
      <c r="W748" s="8"/>
      <c r="X748" s="8"/>
      <c r="Y748" s="8"/>
      <c r="Z748" s="8"/>
      <c r="AA748" s="8"/>
    </row>
    <row r="749" spans="1:27" ht="12.75">
      <c r="A749" s="8"/>
      <c r="B749" s="59"/>
      <c r="C749" s="59"/>
      <c r="D749" s="59"/>
      <c r="E749" s="59"/>
      <c r="F749" s="8"/>
      <c r="G749" s="8"/>
      <c r="H749" s="8"/>
      <c r="I749" s="8"/>
      <c r="J749" s="8"/>
      <c r="K749" s="8"/>
      <c r="L749" s="8"/>
      <c r="M749" s="8"/>
      <c r="N749" s="8"/>
      <c r="O749" s="8"/>
      <c r="P749" s="8"/>
      <c r="Q749" s="8"/>
      <c r="R749" s="8"/>
      <c r="S749" s="8"/>
      <c r="T749" s="8"/>
      <c r="U749" s="8"/>
      <c r="V749" s="8"/>
      <c r="W749" s="8"/>
      <c r="X749" s="8"/>
      <c r="Y749" s="8"/>
      <c r="Z749" s="8"/>
      <c r="AA749" s="8"/>
    </row>
    <row r="750" spans="1:27" ht="12.75">
      <c r="A750" s="8"/>
      <c r="B750" s="59"/>
      <c r="C750" s="59"/>
      <c r="D750" s="59"/>
      <c r="E750" s="59"/>
      <c r="F750" s="8"/>
      <c r="G750" s="8"/>
      <c r="H750" s="8"/>
      <c r="I750" s="8"/>
      <c r="J750" s="8"/>
      <c r="K750" s="8"/>
      <c r="L750" s="8"/>
      <c r="M750" s="8"/>
      <c r="N750" s="8"/>
      <c r="O750" s="8"/>
      <c r="P750" s="8"/>
      <c r="Q750" s="8"/>
      <c r="R750" s="8"/>
      <c r="S750" s="8"/>
      <c r="T750" s="8"/>
      <c r="U750" s="8"/>
      <c r="V750" s="8"/>
      <c r="W750" s="8"/>
      <c r="X750" s="8"/>
      <c r="Y750" s="8"/>
      <c r="Z750" s="8"/>
      <c r="AA750" s="8"/>
    </row>
    <row r="751" spans="1:27" ht="12.75">
      <c r="A751" s="8"/>
      <c r="B751" s="59"/>
      <c r="C751" s="59"/>
      <c r="D751" s="59"/>
      <c r="E751" s="59"/>
      <c r="F751" s="8"/>
      <c r="G751" s="8"/>
      <c r="H751" s="8"/>
      <c r="I751" s="8"/>
      <c r="J751" s="8"/>
      <c r="K751" s="8"/>
      <c r="L751" s="8"/>
      <c r="M751" s="8"/>
      <c r="N751" s="8"/>
      <c r="O751" s="8"/>
      <c r="P751" s="8"/>
      <c r="Q751" s="8"/>
      <c r="R751" s="8"/>
      <c r="S751" s="8"/>
      <c r="T751" s="8"/>
      <c r="U751" s="8"/>
      <c r="V751" s="8"/>
      <c r="W751" s="8"/>
      <c r="X751" s="8"/>
      <c r="Y751" s="8"/>
      <c r="Z751" s="8"/>
      <c r="AA751" s="8"/>
    </row>
    <row r="752" spans="1:27" ht="12.75">
      <c r="A752" s="8"/>
      <c r="B752" s="59"/>
      <c r="C752" s="59"/>
      <c r="D752" s="59"/>
      <c r="E752" s="59"/>
      <c r="F752" s="8"/>
      <c r="G752" s="8"/>
      <c r="H752" s="8"/>
      <c r="I752" s="8"/>
      <c r="J752" s="8"/>
      <c r="K752" s="8"/>
      <c r="L752" s="8"/>
      <c r="M752" s="8"/>
      <c r="N752" s="8"/>
      <c r="O752" s="8"/>
      <c r="P752" s="8"/>
      <c r="Q752" s="8"/>
      <c r="R752" s="8"/>
      <c r="S752" s="8"/>
      <c r="T752" s="8"/>
      <c r="U752" s="8"/>
      <c r="V752" s="8"/>
      <c r="W752" s="8"/>
      <c r="X752" s="8"/>
      <c r="Y752" s="8"/>
      <c r="Z752" s="8"/>
      <c r="AA752" s="8"/>
    </row>
    <row r="753" spans="1:27" ht="12.75">
      <c r="A753" s="8"/>
      <c r="B753" s="59"/>
      <c r="C753" s="59"/>
      <c r="D753" s="59"/>
      <c r="E753" s="59"/>
      <c r="F753" s="8"/>
      <c r="G753" s="8"/>
      <c r="H753" s="8"/>
      <c r="I753" s="8"/>
      <c r="J753" s="8"/>
      <c r="K753" s="8"/>
      <c r="L753" s="8"/>
      <c r="M753" s="8"/>
      <c r="N753" s="8"/>
      <c r="O753" s="8"/>
      <c r="P753" s="8"/>
      <c r="Q753" s="8"/>
      <c r="R753" s="8"/>
      <c r="S753" s="8"/>
      <c r="T753" s="8"/>
      <c r="U753" s="8"/>
      <c r="V753" s="8"/>
      <c r="W753" s="8"/>
      <c r="X753" s="8"/>
      <c r="Y753" s="8"/>
      <c r="Z753" s="8"/>
      <c r="AA753" s="8"/>
    </row>
    <row r="754" spans="1:27" ht="12.75">
      <c r="A754" s="8"/>
      <c r="B754" s="59"/>
      <c r="C754" s="59"/>
      <c r="D754" s="59"/>
      <c r="E754" s="59"/>
      <c r="F754" s="8"/>
      <c r="G754" s="8"/>
      <c r="H754" s="8"/>
      <c r="I754" s="8"/>
      <c r="J754" s="8"/>
      <c r="K754" s="8"/>
      <c r="L754" s="8"/>
      <c r="M754" s="8"/>
      <c r="N754" s="8"/>
      <c r="O754" s="8"/>
      <c r="P754" s="8"/>
      <c r="Q754" s="8"/>
      <c r="R754" s="8"/>
      <c r="S754" s="8"/>
      <c r="T754" s="8"/>
      <c r="U754" s="8"/>
      <c r="V754" s="8"/>
      <c r="W754" s="8"/>
      <c r="X754" s="8"/>
      <c r="Y754" s="8"/>
      <c r="Z754" s="8"/>
      <c r="AA754" s="8"/>
    </row>
    <row r="755" spans="1:27" ht="12.75">
      <c r="A755" s="8"/>
      <c r="B755" s="59"/>
      <c r="C755" s="59"/>
      <c r="D755" s="59"/>
      <c r="E755" s="59"/>
      <c r="F755" s="8"/>
      <c r="G755" s="8"/>
      <c r="H755" s="8"/>
      <c r="I755" s="8"/>
      <c r="J755" s="8"/>
      <c r="K755" s="8"/>
      <c r="L755" s="8"/>
      <c r="M755" s="8"/>
      <c r="N755" s="8"/>
      <c r="O755" s="8"/>
      <c r="P755" s="8"/>
      <c r="Q755" s="8"/>
      <c r="R755" s="8"/>
      <c r="S755" s="8"/>
      <c r="T755" s="8"/>
      <c r="U755" s="8"/>
      <c r="V755" s="8"/>
      <c r="W755" s="8"/>
      <c r="X755" s="8"/>
      <c r="Y755" s="8"/>
      <c r="Z755" s="8"/>
      <c r="AA755" s="8"/>
    </row>
    <row r="756" spans="1:27" ht="12.75">
      <c r="A756" s="8"/>
      <c r="B756" s="59"/>
      <c r="C756" s="59"/>
      <c r="D756" s="59"/>
      <c r="E756" s="59"/>
      <c r="F756" s="8"/>
      <c r="G756" s="8"/>
      <c r="H756" s="8"/>
      <c r="I756" s="8"/>
      <c r="J756" s="8"/>
      <c r="K756" s="8"/>
      <c r="L756" s="8"/>
      <c r="M756" s="8"/>
      <c r="N756" s="8"/>
      <c r="O756" s="8"/>
      <c r="P756" s="8"/>
      <c r="Q756" s="8"/>
      <c r="R756" s="8"/>
      <c r="S756" s="8"/>
      <c r="T756" s="8"/>
      <c r="U756" s="8"/>
      <c r="V756" s="8"/>
      <c r="W756" s="8"/>
      <c r="X756" s="8"/>
      <c r="Y756" s="8"/>
      <c r="Z756" s="8"/>
      <c r="AA756" s="8"/>
    </row>
    <row r="757" spans="1:27" ht="12.75">
      <c r="A757" s="8"/>
      <c r="B757" s="59"/>
      <c r="C757" s="59"/>
      <c r="D757" s="59"/>
      <c r="E757" s="59"/>
      <c r="F757" s="8"/>
      <c r="G757" s="8"/>
      <c r="H757" s="8"/>
      <c r="I757" s="8"/>
      <c r="J757" s="8"/>
      <c r="K757" s="8"/>
      <c r="L757" s="8"/>
      <c r="M757" s="8"/>
      <c r="N757" s="8"/>
      <c r="O757" s="8"/>
      <c r="P757" s="8"/>
      <c r="Q757" s="8"/>
      <c r="R757" s="8"/>
      <c r="S757" s="8"/>
      <c r="T757" s="8"/>
      <c r="U757" s="8"/>
      <c r="V757" s="8"/>
      <c r="W757" s="8"/>
      <c r="X757" s="8"/>
      <c r="Y757" s="8"/>
      <c r="Z757" s="8"/>
      <c r="AA757" s="8"/>
    </row>
    <row r="758" spans="1:27" ht="12.75">
      <c r="A758" s="8"/>
      <c r="B758" s="59"/>
      <c r="C758" s="59"/>
      <c r="D758" s="59"/>
      <c r="E758" s="59"/>
      <c r="F758" s="8"/>
      <c r="G758" s="8"/>
      <c r="H758" s="8"/>
      <c r="I758" s="8"/>
      <c r="J758" s="8"/>
      <c r="K758" s="8"/>
      <c r="L758" s="8"/>
      <c r="M758" s="8"/>
      <c r="N758" s="8"/>
      <c r="O758" s="8"/>
      <c r="P758" s="8"/>
      <c r="Q758" s="8"/>
      <c r="R758" s="8"/>
      <c r="S758" s="8"/>
      <c r="T758" s="8"/>
      <c r="U758" s="8"/>
      <c r="V758" s="8"/>
      <c r="W758" s="8"/>
      <c r="X758" s="8"/>
      <c r="Y758" s="8"/>
      <c r="Z758" s="8"/>
      <c r="AA758" s="8"/>
    </row>
    <row r="759" spans="1:27" ht="12.75">
      <c r="A759" s="8"/>
      <c r="B759" s="59"/>
      <c r="C759" s="59"/>
      <c r="D759" s="59"/>
      <c r="E759" s="59"/>
      <c r="F759" s="8"/>
      <c r="G759" s="8"/>
      <c r="H759" s="8"/>
      <c r="I759" s="8"/>
      <c r="J759" s="8"/>
      <c r="K759" s="8"/>
      <c r="L759" s="8"/>
      <c r="M759" s="8"/>
      <c r="N759" s="8"/>
      <c r="O759" s="8"/>
      <c r="P759" s="8"/>
      <c r="Q759" s="8"/>
      <c r="R759" s="8"/>
      <c r="S759" s="8"/>
      <c r="T759" s="8"/>
      <c r="U759" s="8"/>
      <c r="V759" s="8"/>
      <c r="W759" s="8"/>
      <c r="X759" s="8"/>
      <c r="Y759" s="8"/>
      <c r="Z759" s="8"/>
      <c r="AA759" s="8"/>
    </row>
    <row r="760" spans="1:27" ht="12.75">
      <c r="A760" s="8"/>
      <c r="B760" s="59"/>
      <c r="C760" s="59"/>
      <c r="D760" s="59"/>
      <c r="E760" s="59"/>
      <c r="F760" s="8"/>
      <c r="G760" s="8"/>
      <c r="H760" s="8"/>
      <c r="I760" s="8"/>
      <c r="J760" s="8"/>
      <c r="K760" s="8"/>
      <c r="L760" s="8"/>
      <c r="M760" s="8"/>
      <c r="N760" s="8"/>
      <c r="O760" s="8"/>
      <c r="P760" s="8"/>
      <c r="Q760" s="8"/>
      <c r="R760" s="8"/>
      <c r="S760" s="8"/>
      <c r="T760" s="8"/>
      <c r="U760" s="8"/>
      <c r="V760" s="8"/>
      <c r="W760" s="8"/>
      <c r="X760" s="8"/>
      <c r="Y760" s="8"/>
      <c r="Z760" s="8"/>
      <c r="AA760" s="8"/>
    </row>
    <row r="761" spans="1:27" ht="12.75">
      <c r="A761" s="8"/>
      <c r="B761" s="59"/>
      <c r="C761" s="59"/>
      <c r="D761" s="59"/>
      <c r="E761" s="59"/>
      <c r="F761" s="8"/>
      <c r="G761" s="8"/>
      <c r="H761" s="8"/>
      <c r="I761" s="8"/>
      <c r="J761" s="8"/>
      <c r="K761" s="8"/>
      <c r="L761" s="8"/>
      <c r="M761" s="8"/>
      <c r="N761" s="8"/>
      <c r="O761" s="8"/>
      <c r="P761" s="8"/>
      <c r="Q761" s="8"/>
      <c r="R761" s="8"/>
      <c r="S761" s="8"/>
      <c r="T761" s="8"/>
      <c r="U761" s="8"/>
      <c r="V761" s="8"/>
      <c r="W761" s="8"/>
      <c r="X761" s="8"/>
      <c r="Y761" s="8"/>
      <c r="Z761" s="8"/>
      <c r="AA761" s="8"/>
    </row>
    <row r="762" spans="1:27" ht="12.75">
      <c r="A762" s="8"/>
      <c r="B762" s="59"/>
      <c r="C762" s="59"/>
      <c r="D762" s="59"/>
      <c r="E762" s="59"/>
      <c r="F762" s="8"/>
      <c r="G762" s="8"/>
      <c r="H762" s="8"/>
      <c r="I762" s="8"/>
      <c r="J762" s="8"/>
      <c r="K762" s="8"/>
      <c r="L762" s="8"/>
      <c r="M762" s="8"/>
      <c r="N762" s="8"/>
      <c r="O762" s="8"/>
      <c r="P762" s="8"/>
      <c r="Q762" s="8"/>
      <c r="R762" s="8"/>
      <c r="S762" s="8"/>
      <c r="T762" s="8"/>
      <c r="U762" s="8"/>
      <c r="V762" s="8"/>
      <c r="W762" s="8"/>
      <c r="X762" s="8"/>
      <c r="Y762" s="8"/>
      <c r="Z762" s="8"/>
      <c r="AA762" s="8"/>
    </row>
    <row r="763" spans="1:27" ht="12.75">
      <c r="A763" s="8"/>
      <c r="B763" s="59"/>
      <c r="C763" s="59"/>
      <c r="D763" s="59"/>
      <c r="E763" s="59"/>
      <c r="F763" s="8"/>
      <c r="G763" s="8"/>
      <c r="H763" s="8"/>
      <c r="I763" s="8"/>
      <c r="J763" s="8"/>
      <c r="K763" s="8"/>
      <c r="L763" s="8"/>
      <c r="M763" s="8"/>
      <c r="N763" s="8"/>
      <c r="O763" s="8"/>
      <c r="P763" s="8"/>
      <c r="Q763" s="8"/>
      <c r="R763" s="8"/>
      <c r="S763" s="8"/>
      <c r="T763" s="8"/>
      <c r="U763" s="8"/>
      <c r="V763" s="8"/>
      <c r="W763" s="8"/>
      <c r="X763" s="8"/>
      <c r="Y763" s="8"/>
      <c r="Z763" s="8"/>
      <c r="AA763" s="8"/>
    </row>
    <row r="764" spans="1:27" ht="12.75">
      <c r="A764" s="8"/>
      <c r="B764" s="59"/>
      <c r="C764" s="59"/>
      <c r="D764" s="59"/>
      <c r="E764" s="59"/>
      <c r="F764" s="8"/>
      <c r="G764" s="8"/>
      <c r="H764" s="8"/>
      <c r="I764" s="8"/>
      <c r="J764" s="8"/>
      <c r="K764" s="8"/>
      <c r="L764" s="8"/>
      <c r="M764" s="8"/>
      <c r="N764" s="8"/>
      <c r="O764" s="8"/>
      <c r="P764" s="8"/>
      <c r="Q764" s="8"/>
      <c r="R764" s="8"/>
      <c r="S764" s="8"/>
      <c r="T764" s="8"/>
      <c r="U764" s="8"/>
      <c r="V764" s="8"/>
      <c r="W764" s="8"/>
      <c r="X764" s="8"/>
      <c r="Y764" s="8"/>
      <c r="Z764" s="8"/>
      <c r="AA764" s="8"/>
    </row>
    <row r="765" spans="1:27" ht="12.75">
      <c r="A765" s="8"/>
      <c r="B765" s="59"/>
      <c r="C765" s="59"/>
      <c r="D765" s="59"/>
      <c r="E765" s="59"/>
      <c r="F765" s="8"/>
      <c r="G765" s="8"/>
      <c r="H765" s="8"/>
      <c r="I765" s="8"/>
      <c r="J765" s="8"/>
      <c r="K765" s="8"/>
      <c r="L765" s="8"/>
      <c r="M765" s="8"/>
      <c r="N765" s="8"/>
      <c r="O765" s="8"/>
      <c r="P765" s="8"/>
      <c r="Q765" s="8"/>
      <c r="R765" s="8"/>
      <c r="S765" s="8"/>
      <c r="T765" s="8"/>
      <c r="U765" s="8"/>
      <c r="V765" s="8"/>
      <c r="W765" s="8"/>
      <c r="X765" s="8"/>
      <c r="Y765" s="8"/>
      <c r="Z765" s="8"/>
      <c r="AA765" s="8"/>
    </row>
    <row r="766" spans="1:27" ht="12.75">
      <c r="A766" s="8"/>
      <c r="B766" s="59"/>
      <c r="C766" s="59"/>
      <c r="D766" s="59"/>
      <c r="E766" s="59"/>
      <c r="F766" s="8"/>
      <c r="G766" s="8"/>
      <c r="H766" s="8"/>
      <c r="I766" s="8"/>
      <c r="J766" s="8"/>
      <c r="K766" s="8"/>
      <c r="L766" s="8"/>
      <c r="M766" s="8"/>
      <c r="N766" s="8"/>
      <c r="O766" s="8"/>
      <c r="P766" s="8"/>
      <c r="Q766" s="8"/>
      <c r="R766" s="8"/>
      <c r="S766" s="8"/>
      <c r="T766" s="8"/>
      <c r="U766" s="8"/>
      <c r="V766" s="8"/>
      <c r="W766" s="8"/>
      <c r="X766" s="8"/>
      <c r="Y766" s="8"/>
      <c r="Z766" s="8"/>
      <c r="AA766" s="8"/>
    </row>
    <row r="767" spans="1:27" ht="12.75">
      <c r="A767" s="8"/>
      <c r="B767" s="59"/>
      <c r="C767" s="59"/>
      <c r="D767" s="59"/>
      <c r="E767" s="59"/>
      <c r="F767" s="8"/>
      <c r="G767" s="8"/>
      <c r="H767" s="8"/>
      <c r="I767" s="8"/>
      <c r="J767" s="8"/>
      <c r="K767" s="8"/>
      <c r="L767" s="8"/>
      <c r="M767" s="8"/>
      <c r="N767" s="8"/>
      <c r="O767" s="8"/>
      <c r="P767" s="8"/>
      <c r="Q767" s="8"/>
      <c r="R767" s="8"/>
      <c r="S767" s="8"/>
      <c r="T767" s="8"/>
      <c r="U767" s="8"/>
      <c r="V767" s="8"/>
      <c r="W767" s="8"/>
      <c r="X767" s="8"/>
      <c r="Y767" s="8"/>
      <c r="Z767" s="8"/>
      <c r="AA767" s="8"/>
    </row>
    <row r="768" spans="1:27" ht="12.75">
      <c r="A768" s="8"/>
      <c r="B768" s="59"/>
      <c r="C768" s="59"/>
      <c r="D768" s="59"/>
      <c r="E768" s="59"/>
      <c r="F768" s="8"/>
      <c r="G768" s="8"/>
      <c r="H768" s="8"/>
      <c r="I768" s="8"/>
      <c r="J768" s="8"/>
      <c r="K768" s="8"/>
      <c r="L768" s="8"/>
      <c r="M768" s="8"/>
      <c r="N768" s="8"/>
      <c r="O768" s="8"/>
      <c r="P768" s="8"/>
      <c r="Q768" s="8"/>
      <c r="R768" s="8"/>
      <c r="S768" s="8"/>
      <c r="T768" s="8"/>
      <c r="U768" s="8"/>
      <c r="V768" s="8"/>
      <c r="W768" s="8"/>
      <c r="X768" s="8"/>
      <c r="Y768" s="8"/>
      <c r="Z768" s="8"/>
      <c r="AA768" s="8"/>
    </row>
    <row r="769" spans="1:27" ht="12.75">
      <c r="A769" s="8"/>
      <c r="B769" s="59"/>
      <c r="C769" s="59"/>
      <c r="D769" s="59"/>
      <c r="E769" s="59"/>
      <c r="F769" s="8"/>
      <c r="G769" s="8"/>
      <c r="H769" s="8"/>
      <c r="I769" s="8"/>
      <c r="J769" s="8"/>
      <c r="K769" s="8"/>
      <c r="L769" s="8"/>
      <c r="M769" s="8"/>
      <c r="N769" s="8"/>
      <c r="O769" s="8"/>
      <c r="P769" s="8"/>
      <c r="Q769" s="8"/>
      <c r="R769" s="8"/>
      <c r="S769" s="8"/>
      <c r="T769" s="8"/>
      <c r="U769" s="8"/>
      <c r="V769" s="8"/>
      <c r="W769" s="8"/>
      <c r="X769" s="8"/>
      <c r="Y769" s="8"/>
      <c r="Z769" s="8"/>
      <c r="AA769" s="8"/>
    </row>
    <row r="770" spans="1:27" ht="12.75">
      <c r="A770" s="8"/>
      <c r="B770" s="59"/>
      <c r="C770" s="59"/>
      <c r="D770" s="59"/>
      <c r="E770" s="59"/>
      <c r="F770" s="8"/>
      <c r="G770" s="8"/>
      <c r="H770" s="8"/>
      <c r="I770" s="8"/>
      <c r="J770" s="8"/>
      <c r="K770" s="8"/>
      <c r="L770" s="8"/>
      <c r="M770" s="8"/>
      <c r="N770" s="8"/>
      <c r="O770" s="8"/>
      <c r="P770" s="8"/>
      <c r="Q770" s="8"/>
      <c r="R770" s="8"/>
      <c r="S770" s="8"/>
      <c r="T770" s="8"/>
      <c r="U770" s="8"/>
      <c r="V770" s="8"/>
      <c r="W770" s="8"/>
      <c r="X770" s="8"/>
      <c r="Y770" s="8"/>
      <c r="Z770" s="8"/>
      <c r="AA770" s="8"/>
    </row>
    <row r="771" spans="1:27" ht="12.75">
      <c r="A771" s="8"/>
      <c r="B771" s="59"/>
      <c r="C771" s="59"/>
      <c r="D771" s="59"/>
      <c r="E771" s="59"/>
      <c r="F771" s="8"/>
      <c r="G771" s="8"/>
      <c r="H771" s="8"/>
      <c r="I771" s="8"/>
      <c r="J771" s="8"/>
      <c r="K771" s="8"/>
      <c r="L771" s="8"/>
      <c r="M771" s="8"/>
      <c r="N771" s="8"/>
      <c r="O771" s="8"/>
      <c r="P771" s="8"/>
      <c r="Q771" s="8"/>
      <c r="R771" s="8"/>
      <c r="S771" s="8"/>
      <c r="T771" s="8"/>
      <c r="U771" s="8"/>
      <c r="V771" s="8"/>
      <c r="W771" s="8"/>
      <c r="X771" s="8"/>
      <c r="Y771" s="8"/>
      <c r="Z771" s="8"/>
      <c r="AA771" s="8"/>
    </row>
    <row r="772" spans="1:27" ht="12.75">
      <c r="A772" s="8"/>
      <c r="B772" s="59"/>
      <c r="C772" s="59"/>
      <c r="D772" s="59"/>
      <c r="E772" s="59"/>
      <c r="F772" s="8"/>
      <c r="G772" s="8"/>
      <c r="H772" s="8"/>
      <c r="I772" s="8"/>
      <c r="J772" s="8"/>
      <c r="K772" s="8"/>
      <c r="L772" s="8"/>
      <c r="M772" s="8"/>
      <c r="N772" s="8"/>
      <c r="O772" s="8"/>
      <c r="P772" s="8"/>
      <c r="Q772" s="8"/>
      <c r="R772" s="8"/>
      <c r="S772" s="8"/>
      <c r="T772" s="8"/>
      <c r="U772" s="8"/>
      <c r="V772" s="8"/>
      <c r="W772" s="8"/>
      <c r="X772" s="8"/>
      <c r="Y772" s="8"/>
      <c r="Z772" s="8"/>
      <c r="AA772" s="8"/>
    </row>
    <row r="773" spans="1:27" ht="12.75">
      <c r="A773" s="8"/>
      <c r="B773" s="59"/>
      <c r="C773" s="59"/>
      <c r="D773" s="59"/>
      <c r="E773" s="59"/>
      <c r="F773" s="8"/>
      <c r="G773" s="8"/>
      <c r="H773" s="8"/>
      <c r="I773" s="8"/>
      <c r="J773" s="8"/>
      <c r="K773" s="8"/>
      <c r="L773" s="8"/>
      <c r="M773" s="8"/>
      <c r="N773" s="8"/>
      <c r="O773" s="8"/>
      <c r="P773" s="8"/>
      <c r="Q773" s="8"/>
      <c r="R773" s="8"/>
      <c r="S773" s="8"/>
      <c r="T773" s="8"/>
      <c r="U773" s="8"/>
      <c r="V773" s="8"/>
      <c r="W773" s="8"/>
      <c r="X773" s="8"/>
      <c r="Y773" s="8"/>
      <c r="Z773" s="8"/>
      <c r="AA773" s="8"/>
    </row>
    <row r="774" spans="1:27" ht="12.75">
      <c r="A774" s="8"/>
      <c r="B774" s="59"/>
      <c r="C774" s="59"/>
      <c r="D774" s="59"/>
      <c r="E774" s="59"/>
      <c r="F774" s="8"/>
      <c r="G774" s="8"/>
      <c r="H774" s="8"/>
      <c r="I774" s="8"/>
      <c r="J774" s="8"/>
      <c r="K774" s="8"/>
      <c r="L774" s="8"/>
      <c r="M774" s="8"/>
      <c r="N774" s="8"/>
      <c r="O774" s="8"/>
      <c r="P774" s="8"/>
      <c r="Q774" s="8"/>
      <c r="R774" s="8"/>
      <c r="S774" s="8"/>
      <c r="T774" s="8"/>
      <c r="U774" s="8"/>
      <c r="V774" s="8"/>
      <c r="W774" s="8"/>
      <c r="X774" s="8"/>
      <c r="Y774" s="8"/>
      <c r="Z774" s="8"/>
      <c r="AA774" s="8"/>
    </row>
    <row r="775" spans="1:27" ht="12.75">
      <c r="A775" s="8"/>
      <c r="B775" s="59"/>
      <c r="C775" s="59"/>
      <c r="D775" s="59"/>
      <c r="E775" s="59"/>
      <c r="F775" s="8"/>
      <c r="G775" s="8"/>
      <c r="H775" s="8"/>
      <c r="I775" s="8"/>
      <c r="J775" s="8"/>
      <c r="K775" s="8"/>
      <c r="L775" s="8"/>
      <c r="M775" s="8"/>
      <c r="N775" s="8"/>
      <c r="O775" s="8"/>
      <c r="P775" s="8"/>
      <c r="Q775" s="8"/>
      <c r="R775" s="8"/>
      <c r="S775" s="8"/>
      <c r="T775" s="8"/>
      <c r="U775" s="8"/>
      <c r="V775" s="8"/>
      <c r="W775" s="8"/>
      <c r="X775" s="8"/>
      <c r="Y775" s="8"/>
      <c r="Z775" s="8"/>
      <c r="AA775" s="8"/>
    </row>
    <row r="776" spans="1:27" ht="12.75">
      <c r="A776" s="8"/>
      <c r="B776" s="59"/>
      <c r="C776" s="59"/>
      <c r="D776" s="59"/>
      <c r="E776" s="59"/>
      <c r="F776" s="8"/>
      <c r="G776" s="8"/>
      <c r="H776" s="8"/>
      <c r="I776" s="8"/>
      <c r="J776" s="8"/>
      <c r="K776" s="8"/>
      <c r="L776" s="8"/>
      <c r="M776" s="8"/>
      <c r="N776" s="8"/>
      <c r="O776" s="8"/>
      <c r="P776" s="8"/>
      <c r="Q776" s="8"/>
      <c r="R776" s="8"/>
      <c r="S776" s="8"/>
      <c r="T776" s="8"/>
      <c r="U776" s="8"/>
      <c r="V776" s="8"/>
      <c r="W776" s="8"/>
      <c r="X776" s="8"/>
      <c r="Y776" s="8"/>
      <c r="Z776" s="8"/>
      <c r="AA776" s="8"/>
    </row>
    <row r="777" spans="1:27" ht="12.75">
      <c r="A777" s="8"/>
      <c r="B777" s="59"/>
      <c r="C777" s="59"/>
      <c r="D777" s="59"/>
      <c r="E777" s="59"/>
      <c r="F777" s="8"/>
      <c r="G777" s="8"/>
      <c r="H777" s="8"/>
      <c r="I777" s="8"/>
      <c r="J777" s="8"/>
      <c r="K777" s="8"/>
      <c r="L777" s="8"/>
      <c r="M777" s="8"/>
      <c r="N777" s="8"/>
      <c r="O777" s="8"/>
      <c r="P777" s="8"/>
      <c r="Q777" s="8"/>
      <c r="R777" s="8"/>
      <c r="S777" s="8"/>
      <c r="T777" s="8"/>
      <c r="U777" s="8"/>
      <c r="V777" s="8"/>
      <c r="W777" s="8"/>
      <c r="X777" s="8"/>
      <c r="Y777" s="8"/>
      <c r="Z777" s="8"/>
      <c r="AA777" s="8"/>
    </row>
    <row r="778" spans="1:27" ht="12.75">
      <c r="A778" s="8"/>
      <c r="B778" s="59"/>
      <c r="C778" s="59"/>
      <c r="D778" s="59"/>
      <c r="E778" s="59"/>
      <c r="F778" s="8"/>
      <c r="G778" s="8"/>
      <c r="H778" s="8"/>
      <c r="I778" s="8"/>
      <c r="J778" s="8"/>
      <c r="K778" s="8"/>
      <c r="L778" s="8"/>
      <c r="M778" s="8"/>
      <c r="N778" s="8"/>
      <c r="O778" s="8"/>
      <c r="P778" s="8"/>
      <c r="Q778" s="8"/>
      <c r="R778" s="8"/>
      <c r="S778" s="8"/>
      <c r="T778" s="8"/>
      <c r="U778" s="8"/>
      <c r="V778" s="8"/>
      <c r="W778" s="8"/>
      <c r="X778" s="8"/>
      <c r="Y778" s="8"/>
      <c r="Z778" s="8"/>
      <c r="AA778" s="8"/>
    </row>
    <row r="779" spans="1:27" ht="12.75">
      <c r="A779" s="8"/>
      <c r="B779" s="59"/>
      <c r="C779" s="59"/>
      <c r="D779" s="59"/>
      <c r="E779" s="59"/>
      <c r="F779" s="8"/>
      <c r="G779" s="8"/>
      <c r="H779" s="8"/>
      <c r="I779" s="8"/>
      <c r="J779" s="8"/>
      <c r="K779" s="8"/>
      <c r="L779" s="8"/>
      <c r="M779" s="8"/>
      <c r="N779" s="8"/>
      <c r="O779" s="8"/>
      <c r="P779" s="8"/>
      <c r="Q779" s="8"/>
      <c r="R779" s="8"/>
      <c r="S779" s="8"/>
      <c r="T779" s="8"/>
      <c r="U779" s="8"/>
      <c r="V779" s="8"/>
      <c r="W779" s="8"/>
      <c r="X779" s="8"/>
      <c r="Y779" s="8"/>
      <c r="Z779" s="8"/>
      <c r="AA779" s="8"/>
    </row>
    <row r="780" spans="1:27" ht="12.75">
      <c r="A780" s="8"/>
      <c r="B780" s="59"/>
      <c r="C780" s="59"/>
      <c r="D780" s="59"/>
      <c r="E780" s="59"/>
      <c r="F780" s="8"/>
      <c r="G780" s="8"/>
      <c r="H780" s="8"/>
      <c r="I780" s="8"/>
      <c r="J780" s="8"/>
      <c r="K780" s="8"/>
      <c r="L780" s="8"/>
      <c r="M780" s="8"/>
      <c r="N780" s="8"/>
      <c r="O780" s="8"/>
      <c r="P780" s="8"/>
      <c r="Q780" s="8"/>
      <c r="R780" s="8"/>
      <c r="S780" s="8"/>
      <c r="T780" s="8"/>
      <c r="U780" s="8"/>
      <c r="V780" s="8"/>
      <c r="W780" s="8"/>
      <c r="X780" s="8"/>
      <c r="Y780" s="8"/>
      <c r="Z780" s="8"/>
      <c r="AA780" s="8"/>
    </row>
    <row r="781" spans="1:27" ht="12.75">
      <c r="A781" s="8"/>
      <c r="B781" s="59"/>
      <c r="C781" s="59"/>
      <c r="D781" s="59"/>
      <c r="E781" s="59"/>
      <c r="F781" s="8"/>
      <c r="G781" s="8"/>
      <c r="H781" s="8"/>
      <c r="I781" s="8"/>
      <c r="J781" s="8"/>
      <c r="K781" s="8"/>
      <c r="L781" s="8"/>
      <c r="M781" s="8"/>
      <c r="N781" s="8"/>
      <c r="O781" s="8"/>
      <c r="P781" s="8"/>
      <c r="Q781" s="8"/>
      <c r="R781" s="8"/>
      <c r="S781" s="8"/>
      <c r="T781" s="8"/>
      <c r="U781" s="8"/>
      <c r="V781" s="8"/>
      <c r="W781" s="8"/>
      <c r="X781" s="8"/>
      <c r="Y781" s="8"/>
      <c r="Z781" s="8"/>
      <c r="AA781" s="8"/>
    </row>
    <row r="782" spans="1:27" ht="12.75">
      <c r="A782" s="8"/>
      <c r="B782" s="59"/>
      <c r="C782" s="59"/>
      <c r="D782" s="59"/>
      <c r="E782" s="59"/>
      <c r="F782" s="8"/>
      <c r="G782" s="8"/>
      <c r="H782" s="8"/>
      <c r="I782" s="8"/>
      <c r="J782" s="8"/>
      <c r="K782" s="8"/>
      <c r="L782" s="8"/>
      <c r="M782" s="8"/>
      <c r="N782" s="8"/>
      <c r="O782" s="8"/>
      <c r="P782" s="8"/>
      <c r="Q782" s="8"/>
      <c r="R782" s="8"/>
      <c r="S782" s="8"/>
      <c r="T782" s="8"/>
      <c r="U782" s="8"/>
      <c r="V782" s="8"/>
      <c r="W782" s="8"/>
      <c r="X782" s="8"/>
      <c r="Y782" s="8"/>
      <c r="Z782" s="8"/>
      <c r="AA782" s="8"/>
    </row>
    <row r="783" spans="1:27" ht="12.75">
      <c r="A783" s="8"/>
      <c r="B783" s="59"/>
      <c r="C783" s="59"/>
      <c r="D783" s="59"/>
      <c r="E783" s="59"/>
      <c r="F783" s="8"/>
      <c r="G783" s="8"/>
      <c r="H783" s="8"/>
      <c r="I783" s="8"/>
      <c r="J783" s="8"/>
      <c r="K783" s="8"/>
      <c r="L783" s="8"/>
      <c r="M783" s="8"/>
      <c r="N783" s="8"/>
      <c r="O783" s="8"/>
      <c r="P783" s="8"/>
      <c r="Q783" s="8"/>
      <c r="R783" s="8"/>
      <c r="S783" s="8"/>
      <c r="T783" s="8"/>
      <c r="U783" s="8"/>
      <c r="V783" s="8"/>
      <c r="W783" s="8"/>
      <c r="X783" s="8"/>
      <c r="Y783" s="8"/>
      <c r="Z783" s="8"/>
      <c r="AA783" s="8"/>
    </row>
    <row r="784" spans="1:27" ht="12.75">
      <c r="A784" s="8"/>
      <c r="B784" s="59"/>
      <c r="C784" s="59"/>
      <c r="D784" s="59"/>
      <c r="E784" s="59"/>
      <c r="F784" s="8"/>
      <c r="G784" s="8"/>
      <c r="H784" s="8"/>
      <c r="I784" s="8"/>
      <c r="J784" s="8"/>
      <c r="K784" s="8"/>
      <c r="L784" s="8"/>
      <c r="M784" s="8"/>
      <c r="N784" s="8"/>
      <c r="O784" s="8"/>
      <c r="P784" s="8"/>
      <c r="Q784" s="8"/>
      <c r="R784" s="8"/>
      <c r="S784" s="8"/>
      <c r="T784" s="8"/>
      <c r="U784" s="8"/>
      <c r="V784" s="8"/>
      <c r="W784" s="8"/>
      <c r="X784" s="8"/>
      <c r="Y784" s="8"/>
      <c r="Z784" s="8"/>
      <c r="AA784" s="8"/>
    </row>
    <row r="785" spans="1:27" ht="12.75">
      <c r="A785" s="8"/>
      <c r="B785" s="59"/>
      <c r="C785" s="59"/>
      <c r="D785" s="59"/>
      <c r="E785" s="59"/>
      <c r="F785" s="8"/>
      <c r="G785" s="8"/>
      <c r="H785" s="8"/>
      <c r="I785" s="8"/>
      <c r="J785" s="8"/>
      <c r="K785" s="8"/>
      <c r="L785" s="8"/>
      <c r="M785" s="8"/>
      <c r="N785" s="8"/>
      <c r="O785" s="8"/>
      <c r="P785" s="8"/>
      <c r="Q785" s="8"/>
      <c r="R785" s="8"/>
      <c r="S785" s="8"/>
      <c r="T785" s="8"/>
      <c r="U785" s="8"/>
      <c r="V785" s="8"/>
      <c r="W785" s="8"/>
      <c r="X785" s="8"/>
      <c r="Y785" s="8"/>
      <c r="Z785" s="8"/>
      <c r="AA785" s="8"/>
    </row>
    <row r="786" spans="1:27" ht="12.75">
      <c r="A786" s="8"/>
      <c r="B786" s="59"/>
      <c r="C786" s="59"/>
      <c r="D786" s="59"/>
      <c r="E786" s="59"/>
      <c r="F786" s="8"/>
      <c r="G786" s="8"/>
      <c r="H786" s="8"/>
      <c r="I786" s="8"/>
      <c r="J786" s="8"/>
      <c r="K786" s="8"/>
      <c r="L786" s="8"/>
      <c r="M786" s="8"/>
      <c r="N786" s="8"/>
      <c r="O786" s="8"/>
      <c r="P786" s="8"/>
      <c r="Q786" s="8"/>
      <c r="R786" s="8"/>
      <c r="S786" s="8"/>
      <c r="T786" s="8"/>
      <c r="U786" s="8"/>
      <c r="V786" s="8"/>
      <c r="W786" s="8"/>
      <c r="X786" s="8"/>
      <c r="Y786" s="8"/>
      <c r="Z786" s="8"/>
      <c r="AA786" s="8"/>
    </row>
    <row r="787" spans="1:27" ht="12.75">
      <c r="A787" s="8"/>
      <c r="B787" s="59"/>
      <c r="C787" s="59"/>
      <c r="D787" s="59"/>
      <c r="E787" s="59"/>
      <c r="F787" s="8"/>
      <c r="G787" s="8"/>
      <c r="H787" s="8"/>
      <c r="I787" s="8"/>
      <c r="J787" s="8"/>
      <c r="K787" s="8"/>
      <c r="L787" s="8"/>
      <c r="M787" s="8"/>
      <c r="N787" s="8"/>
      <c r="O787" s="8"/>
      <c r="P787" s="8"/>
      <c r="Q787" s="8"/>
      <c r="R787" s="8"/>
      <c r="S787" s="8"/>
      <c r="T787" s="8"/>
      <c r="U787" s="8"/>
      <c r="V787" s="8"/>
      <c r="W787" s="8"/>
      <c r="X787" s="8"/>
      <c r="Y787" s="8"/>
      <c r="Z787" s="8"/>
      <c r="AA787" s="8"/>
    </row>
    <row r="788" spans="1:27" ht="12.75">
      <c r="A788" s="8"/>
      <c r="B788" s="59"/>
      <c r="C788" s="59"/>
      <c r="D788" s="59"/>
      <c r="E788" s="59"/>
      <c r="F788" s="8"/>
      <c r="G788" s="8"/>
      <c r="H788" s="8"/>
      <c r="I788" s="8"/>
      <c r="J788" s="8"/>
      <c r="K788" s="8"/>
      <c r="L788" s="8"/>
      <c r="M788" s="8"/>
      <c r="N788" s="8"/>
      <c r="O788" s="8"/>
      <c r="P788" s="8"/>
      <c r="Q788" s="8"/>
      <c r="R788" s="8"/>
      <c r="S788" s="8"/>
      <c r="T788" s="8"/>
      <c r="U788" s="8"/>
      <c r="V788" s="8"/>
      <c r="W788" s="8"/>
      <c r="X788" s="8"/>
      <c r="Y788" s="8"/>
      <c r="Z788" s="8"/>
      <c r="AA788" s="8"/>
    </row>
    <row r="789" spans="1:27" ht="12.75">
      <c r="A789" s="8"/>
      <c r="B789" s="59"/>
      <c r="C789" s="59"/>
      <c r="D789" s="59"/>
      <c r="E789" s="59"/>
      <c r="F789" s="8"/>
      <c r="G789" s="8"/>
      <c r="H789" s="8"/>
      <c r="I789" s="8"/>
      <c r="J789" s="8"/>
      <c r="K789" s="8"/>
      <c r="L789" s="8"/>
      <c r="M789" s="8"/>
      <c r="N789" s="8"/>
      <c r="O789" s="8"/>
      <c r="P789" s="8"/>
      <c r="Q789" s="8"/>
      <c r="R789" s="8"/>
      <c r="S789" s="8"/>
      <c r="T789" s="8"/>
      <c r="U789" s="8"/>
      <c r="V789" s="8"/>
      <c r="W789" s="8"/>
      <c r="X789" s="8"/>
      <c r="Y789" s="8"/>
      <c r="Z789" s="8"/>
      <c r="AA789" s="8"/>
    </row>
    <row r="790" spans="1:27" ht="12.75">
      <c r="A790" s="8"/>
      <c r="B790" s="59"/>
      <c r="C790" s="59"/>
      <c r="D790" s="59"/>
      <c r="E790" s="59"/>
      <c r="F790" s="8"/>
      <c r="G790" s="8"/>
      <c r="H790" s="8"/>
      <c r="I790" s="8"/>
      <c r="J790" s="8"/>
      <c r="K790" s="8"/>
      <c r="L790" s="8"/>
      <c r="M790" s="8"/>
      <c r="N790" s="8"/>
      <c r="O790" s="8"/>
      <c r="P790" s="8"/>
      <c r="Q790" s="8"/>
      <c r="R790" s="8"/>
      <c r="S790" s="8"/>
      <c r="T790" s="8"/>
      <c r="U790" s="8"/>
      <c r="V790" s="8"/>
      <c r="W790" s="8"/>
      <c r="X790" s="8"/>
      <c r="Y790" s="8"/>
      <c r="Z790" s="8"/>
      <c r="AA790" s="8"/>
    </row>
    <row r="791" spans="1:27" ht="12.75">
      <c r="A791" s="8"/>
      <c r="B791" s="59"/>
      <c r="C791" s="59"/>
      <c r="D791" s="59"/>
      <c r="E791" s="59"/>
      <c r="F791" s="8"/>
      <c r="G791" s="8"/>
      <c r="H791" s="8"/>
      <c r="I791" s="8"/>
      <c r="J791" s="8"/>
      <c r="K791" s="8"/>
      <c r="L791" s="8"/>
      <c r="M791" s="8"/>
      <c r="N791" s="8"/>
      <c r="O791" s="8"/>
      <c r="P791" s="8"/>
      <c r="Q791" s="8"/>
      <c r="R791" s="8"/>
      <c r="S791" s="8"/>
      <c r="T791" s="8"/>
      <c r="U791" s="8"/>
      <c r="V791" s="8"/>
      <c r="W791" s="8"/>
      <c r="X791" s="8"/>
      <c r="Y791" s="8"/>
      <c r="Z791" s="8"/>
      <c r="AA791" s="8"/>
    </row>
    <row r="792" spans="1:27" ht="12.75">
      <c r="A792" s="8"/>
      <c r="B792" s="59"/>
      <c r="C792" s="59"/>
      <c r="D792" s="59"/>
      <c r="E792" s="59"/>
      <c r="F792" s="8"/>
      <c r="G792" s="8"/>
      <c r="H792" s="8"/>
      <c r="I792" s="8"/>
      <c r="J792" s="8"/>
      <c r="K792" s="8"/>
      <c r="L792" s="8"/>
      <c r="M792" s="8"/>
      <c r="N792" s="8"/>
      <c r="O792" s="8"/>
      <c r="P792" s="8"/>
      <c r="Q792" s="8"/>
      <c r="R792" s="8"/>
      <c r="S792" s="8"/>
      <c r="T792" s="8"/>
      <c r="U792" s="8"/>
      <c r="V792" s="8"/>
      <c r="W792" s="8"/>
      <c r="X792" s="8"/>
      <c r="Y792" s="8"/>
      <c r="Z792" s="8"/>
      <c r="AA792" s="8"/>
    </row>
    <row r="793" spans="1:27" ht="12.75">
      <c r="A793" s="8"/>
      <c r="B793" s="59"/>
      <c r="C793" s="59"/>
      <c r="D793" s="59"/>
      <c r="E793" s="59"/>
      <c r="F793" s="8"/>
      <c r="G793" s="8"/>
      <c r="H793" s="8"/>
      <c r="I793" s="8"/>
      <c r="J793" s="8"/>
      <c r="K793" s="8"/>
      <c r="L793" s="8"/>
      <c r="M793" s="8"/>
      <c r="N793" s="8"/>
      <c r="O793" s="8"/>
      <c r="P793" s="8"/>
      <c r="Q793" s="8"/>
      <c r="R793" s="8"/>
      <c r="S793" s="8"/>
      <c r="T793" s="8"/>
      <c r="U793" s="8"/>
      <c r="V793" s="8"/>
      <c r="W793" s="8"/>
      <c r="X793" s="8"/>
      <c r="Y793" s="8"/>
      <c r="Z793" s="8"/>
      <c r="AA793" s="8"/>
    </row>
    <row r="794" spans="1:27" ht="12.75">
      <c r="A794" s="8"/>
      <c r="B794" s="59"/>
      <c r="C794" s="59"/>
      <c r="D794" s="59"/>
      <c r="E794" s="59"/>
      <c r="F794" s="8"/>
      <c r="G794" s="8"/>
      <c r="H794" s="8"/>
      <c r="I794" s="8"/>
      <c r="J794" s="8"/>
      <c r="K794" s="8"/>
      <c r="L794" s="8"/>
      <c r="M794" s="8"/>
      <c r="N794" s="8"/>
      <c r="O794" s="8"/>
      <c r="P794" s="8"/>
      <c r="Q794" s="8"/>
      <c r="R794" s="8"/>
      <c r="S794" s="8"/>
      <c r="T794" s="8"/>
      <c r="U794" s="8"/>
      <c r="V794" s="8"/>
      <c r="W794" s="8"/>
      <c r="X794" s="8"/>
      <c r="Y794" s="8"/>
      <c r="Z794" s="8"/>
      <c r="AA794" s="8"/>
    </row>
    <row r="795" spans="1:27" ht="12.75">
      <c r="A795" s="8"/>
      <c r="B795" s="59"/>
      <c r="C795" s="59"/>
      <c r="D795" s="59"/>
      <c r="E795" s="59"/>
      <c r="F795" s="8"/>
      <c r="G795" s="8"/>
      <c r="H795" s="8"/>
      <c r="I795" s="8"/>
      <c r="J795" s="8"/>
      <c r="K795" s="8"/>
      <c r="L795" s="8"/>
      <c r="M795" s="8"/>
      <c r="N795" s="8"/>
      <c r="O795" s="8"/>
      <c r="P795" s="8"/>
      <c r="Q795" s="8"/>
      <c r="R795" s="8"/>
      <c r="S795" s="8"/>
      <c r="T795" s="8"/>
      <c r="U795" s="8"/>
      <c r="V795" s="8"/>
      <c r="W795" s="8"/>
      <c r="X795" s="8"/>
      <c r="Y795" s="8"/>
      <c r="Z795" s="8"/>
      <c r="AA795" s="8"/>
    </row>
    <row r="796" spans="1:27" ht="12.75">
      <c r="A796" s="8"/>
      <c r="B796" s="59"/>
      <c r="C796" s="59"/>
      <c r="D796" s="59"/>
      <c r="E796" s="59"/>
      <c r="F796" s="8"/>
      <c r="G796" s="8"/>
      <c r="H796" s="8"/>
      <c r="I796" s="8"/>
      <c r="J796" s="8"/>
      <c r="K796" s="8"/>
      <c r="L796" s="8"/>
      <c r="M796" s="8"/>
      <c r="N796" s="8"/>
      <c r="O796" s="8"/>
      <c r="P796" s="8"/>
      <c r="Q796" s="8"/>
      <c r="R796" s="8"/>
      <c r="S796" s="8"/>
      <c r="T796" s="8"/>
      <c r="U796" s="8"/>
      <c r="V796" s="8"/>
      <c r="W796" s="8"/>
      <c r="X796" s="8"/>
      <c r="Y796" s="8"/>
      <c r="Z796" s="8"/>
      <c r="AA796" s="8"/>
    </row>
    <row r="797" spans="1:27" ht="12.75">
      <c r="A797" s="8"/>
      <c r="B797" s="59"/>
      <c r="C797" s="59"/>
      <c r="D797" s="59"/>
      <c r="E797" s="59"/>
      <c r="F797" s="8"/>
      <c r="G797" s="8"/>
      <c r="H797" s="8"/>
      <c r="I797" s="8"/>
      <c r="J797" s="8"/>
      <c r="K797" s="8"/>
      <c r="L797" s="8"/>
      <c r="M797" s="8"/>
      <c r="N797" s="8"/>
      <c r="O797" s="8"/>
      <c r="P797" s="8"/>
      <c r="Q797" s="8"/>
      <c r="R797" s="8"/>
      <c r="S797" s="8"/>
      <c r="T797" s="8"/>
      <c r="U797" s="8"/>
      <c r="V797" s="8"/>
      <c r="W797" s="8"/>
      <c r="X797" s="8"/>
      <c r="Y797" s="8"/>
      <c r="Z797" s="8"/>
      <c r="AA797" s="8"/>
    </row>
    <row r="798" spans="1:27" ht="12.75">
      <c r="A798" s="8"/>
      <c r="B798" s="59"/>
      <c r="C798" s="59"/>
      <c r="D798" s="59"/>
      <c r="E798" s="59"/>
      <c r="F798" s="8"/>
      <c r="G798" s="8"/>
      <c r="H798" s="8"/>
      <c r="I798" s="8"/>
      <c r="J798" s="8"/>
      <c r="K798" s="8"/>
      <c r="L798" s="8"/>
      <c r="M798" s="8"/>
      <c r="N798" s="8"/>
      <c r="O798" s="8"/>
      <c r="P798" s="8"/>
      <c r="Q798" s="8"/>
      <c r="R798" s="8"/>
      <c r="S798" s="8"/>
      <c r="T798" s="8"/>
      <c r="U798" s="8"/>
      <c r="V798" s="8"/>
      <c r="W798" s="8"/>
      <c r="X798" s="8"/>
      <c r="Y798" s="8"/>
      <c r="Z798" s="8"/>
      <c r="AA798" s="8"/>
    </row>
    <row r="799" spans="1:27" ht="12.75">
      <c r="A799" s="8"/>
      <c r="B799" s="59"/>
      <c r="C799" s="59"/>
      <c r="D799" s="59"/>
      <c r="E799" s="59"/>
      <c r="F799" s="8"/>
      <c r="G799" s="8"/>
      <c r="H799" s="8"/>
      <c r="I799" s="8"/>
      <c r="J799" s="8"/>
      <c r="K799" s="8"/>
      <c r="L799" s="8"/>
      <c r="M799" s="8"/>
      <c r="N799" s="8"/>
      <c r="O799" s="8"/>
      <c r="P799" s="8"/>
      <c r="Q799" s="8"/>
      <c r="R799" s="8"/>
      <c r="S799" s="8"/>
      <c r="T799" s="8"/>
      <c r="U799" s="8"/>
      <c r="V799" s="8"/>
      <c r="W799" s="8"/>
      <c r="X799" s="8"/>
      <c r="Y799" s="8"/>
      <c r="Z799" s="8"/>
      <c r="AA799" s="8"/>
    </row>
    <row r="800" spans="1:27" ht="12.75">
      <c r="A800" s="8"/>
      <c r="B800" s="59"/>
      <c r="C800" s="59"/>
      <c r="D800" s="59"/>
      <c r="E800" s="59"/>
      <c r="F800" s="8"/>
      <c r="G800" s="8"/>
      <c r="H800" s="8"/>
      <c r="I800" s="8"/>
      <c r="J800" s="8"/>
      <c r="K800" s="8"/>
      <c r="L800" s="8"/>
      <c r="M800" s="8"/>
      <c r="N800" s="8"/>
      <c r="O800" s="8"/>
      <c r="P800" s="8"/>
      <c r="Q800" s="8"/>
      <c r="R800" s="8"/>
      <c r="S800" s="8"/>
      <c r="T800" s="8"/>
      <c r="U800" s="8"/>
      <c r="V800" s="8"/>
      <c r="W800" s="8"/>
      <c r="X800" s="8"/>
      <c r="Y800" s="8"/>
      <c r="Z800" s="8"/>
      <c r="AA800" s="8"/>
    </row>
    <row r="801" spans="1:27" ht="12.75">
      <c r="A801" s="8"/>
      <c r="B801" s="59"/>
      <c r="C801" s="59"/>
      <c r="D801" s="59"/>
      <c r="E801" s="59"/>
      <c r="F801" s="8"/>
      <c r="G801" s="8"/>
      <c r="H801" s="8"/>
      <c r="I801" s="8"/>
      <c r="J801" s="8"/>
      <c r="K801" s="8"/>
      <c r="L801" s="8"/>
      <c r="M801" s="8"/>
      <c r="N801" s="8"/>
      <c r="O801" s="8"/>
      <c r="P801" s="8"/>
      <c r="Q801" s="8"/>
      <c r="R801" s="8"/>
      <c r="S801" s="8"/>
      <c r="T801" s="8"/>
      <c r="U801" s="8"/>
      <c r="V801" s="8"/>
      <c r="W801" s="8"/>
      <c r="X801" s="8"/>
      <c r="Y801" s="8"/>
      <c r="Z801" s="8"/>
      <c r="AA801" s="8"/>
    </row>
    <row r="802" spans="1:27" ht="12.75">
      <c r="A802" s="8"/>
      <c r="B802" s="59"/>
      <c r="C802" s="59"/>
      <c r="D802" s="59"/>
      <c r="E802" s="59"/>
      <c r="F802" s="8"/>
      <c r="G802" s="8"/>
      <c r="H802" s="8"/>
      <c r="I802" s="8"/>
      <c r="J802" s="8"/>
      <c r="K802" s="8"/>
      <c r="L802" s="8"/>
      <c r="M802" s="8"/>
      <c r="N802" s="8"/>
      <c r="O802" s="8"/>
      <c r="P802" s="8"/>
      <c r="Q802" s="8"/>
      <c r="R802" s="8"/>
      <c r="S802" s="8"/>
      <c r="T802" s="8"/>
      <c r="U802" s="8"/>
      <c r="V802" s="8"/>
      <c r="W802" s="8"/>
      <c r="X802" s="8"/>
      <c r="Y802" s="8"/>
      <c r="Z802" s="8"/>
      <c r="AA802" s="8"/>
    </row>
    <row r="803" spans="1:27" ht="12.75">
      <c r="A803" s="8"/>
      <c r="B803" s="59"/>
      <c r="C803" s="59"/>
      <c r="D803" s="59"/>
      <c r="E803" s="59"/>
      <c r="F803" s="8"/>
      <c r="G803" s="8"/>
      <c r="H803" s="8"/>
      <c r="I803" s="8"/>
      <c r="J803" s="8"/>
      <c r="K803" s="8"/>
      <c r="L803" s="8"/>
      <c r="M803" s="8"/>
      <c r="N803" s="8"/>
      <c r="O803" s="8"/>
      <c r="P803" s="8"/>
      <c r="Q803" s="8"/>
      <c r="R803" s="8"/>
      <c r="S803" s="8"/>
      <c r="T803" s="8"/>
      <c r="U803" s="8"/>
      <c r="V803" s="8"/>
      <c r="W803" s="8"/>
      <c r="X803" s="8"/>
      <c r="Y803" s="8"/>
      <c r="Z803" s="8"/>
      <c r="AA803" s="8"/>
    </row>
    <row r="804" spans="1:27" ht="12.75">
      <c r="A804" s="8"/>
      <c r="B804" s="59"/>
      <c r="C804" s="59"/>
      <c r="D804" s="59"/>
      <c r="E804" s="59"/>
      <c r="F804" s="8"/>
      <c r="G804" s="8"/>
      <c r="H804" s="8"/>
      <c r="I804" s="8"/>
      <c r="J804" s="8"/>
      <c r="K804" s="8"/>
      <c r="L804" s="8"/>
      <c r="M804" s="8"/>
      <c r="N804" s="8"/>
      <c r="O804" s="8"/>
      <c r="P804" s="8"/>
      <c r="Q804" s="8"/>
      <c r="R804" s="8"/>
      <c r="S804" s="8"/>
      <c r="T804" s="8"/>
      <c r="U804" s="8"/>
      <c r="V804" s="8"/>
      <c r="W804" s="8"/>
      <c r="X804" s="8"/>
      <c r="Y804" s="8"/>
      <c r="Z804" s="8"/>
      <c r="AA804" s="8"/>
    </row>
    <row r="805" spans="1:27" ht="12.75">
      <c r="A805" s="8"/>
      <c r="B805" s="59"/>
      <c r="C805" s="59"/>
      <c r="D805" s="59"/>
      <c r="E805" s="59"/>
      <c r="F805" s="8"/>
      <c r="G805" s="8"/>
      <c r="H805" s="8"/>
      <c r="I805" s="8"/>
      <c r="J805" s="8"/>
      <c r="K805" s="8"/>
      <c r="L805" s="8"/>
      <c r="M805" s="8"/>
      <c r="N805" s="8"/>
      <c r="O805" s="8"/>
      <c r="P805" s="8"/>
      <c r="Q805" s="8"/>
      <c r="R805" s="8"/>
      <c r="S805" s="8"/>
      <c r="T805" s="8"/>
      <c r="U805" s="8"/>
      <c r="V805" s="8"/>
      <c r="W805" s="8"/>
      <c r="X805" s="8"/>
      <c r="Y805" s="8"/>
      <c r="Z805" s="8"/>
      <c r="AA805" s="8"/>
    </row>
    <row r="806" spans="1:27" ht="12.75">
      <c r="A806" s="8"/>
      <c r="B806" s="59"/>
      <c r="C806" s="59"/>
      <c r="D806" s="59"/>
      <c r="E806" s="59"/>
      <c r="F806" s="8"/>
      <c r="G806" s="8"/>
      <c r="H806" s="8"/>
      <c r="I806" s="8"/>
      <c r="J806" s="8"/>
      <c r="K806" s="8"/>
      <c r="L806" s="8"/>
      <c r="M806" s="8"/>
      <c r="N806" s="8"/>
      <c r="O806" s="8"/>
      <c r="P806" s="8"/>
      <c r="Q806" s="8"/>
      <c r="R806" s="8"/>
      <c r="S806" s="8"/>
      <c r="T806" s="8"/>
      <c r="U806" s="8"/>
      <c r="V806" s="8"/>
      <c r="W806" s="8"/>
      <c r="X806" s="8"/>
      <c r="Y806" s="8"/>
      <c r="Z806" s="8"/>
      <c r="AA806" s="8"/>
    </row>
    <row r="807" spans="1:27" ht="12.75">
      <c r="A807" s="8"/>
      <c r="B807" s="59"/>
      <c r="C807" s="59"/>
      <c r="D807" s="59"/>
      <c r="E807" s="59"/>
      <c r="F807" s="8"/>
      <c r="G807" s="8"/>
      <c r="H807" s="8"/>
      <c r="I807" s="8"/>
      <c r="J807" s="8"/>
      <c r="K807" s="8"/>
      <c r="L807" s="8"/>
      <c r="M807" s="8"/>
      <c r="N807" s="8"/>
      <c r="O807" s="8"/>
      <c r="P807" s="8"/>
      <c r="Q807" s="8"/>
      <c r="R807" s="8"/>
      <c r="S807" s="8"/>
      <c r="T807" s="8"/>
      <c r="U807" s="8"/>
      <c r="V807" s="8"/>
      <c r="W807" s="8"/>
      <c r="X807" s="8"/>
      <c r="Y807" s="8"/>
      <c r="Z807" s="8"/>
      <c r="AA807" s="8"/>
    </row>
    <row r="808" spans="1:27" ht="12.75">
      <c r="A808" s="8"/>
      <c r="B808" s="59"/>
      <c r="C808" s="59"/>
      <c r="D808" s="59"/>
      <c r="E808" s="59"/>
      <c r="F808" s="8"/>
      <c r="G808" s="8"/>
      <c r="H808" s="8"/>
      <c r="I808" s="8"/>
      <c r="J808" s="8"/>
      <c r="K808" s="8"/>
      <c r="L808" s="8"/>
      <c r="M808" s="8"/>
      <c r="N808" s="8"/>
      <c r="O808" s="8"/>
      <c r="P808" s="8"/>
      <c r="Q808" s="8"/>
      <c r="R808" s="8"/>
      <c r="S808" s="8"/>
      <c r="T808" s="8"/>
      <c r="U808" s="8"/>
      <c r="V808" s="8"/>
      <c r="W808" s="8"/>
      <c r="X808" s="8"/>
      <c r="Y808" s="8"/>
      <c r="Z808" s="8"/>
      <c r="AA808" s="8"/>
    </row>
    <row r="809" spans="1:27" ht="12.75">
      <c r="A809" s="8"/>
      <c r="B809" s="59"/>
      <c r="C809" s="59"/>
      <c r="D809" s="59"/>
      <c r="E809" s="59"/>
      <c r="F809" s="8"/>
      <c r="G809" s="8"/>
      <c r="H809" s="8"/>
      <c r="I809" s="8"/>
      <c r="J809" s="8"/>
      <c r="K809" s="8"/>
      <c r="L809" s="8"/>
      <c r="M809" s="8"/>
      <c r="N809" s="8"/>
      <c r="O809" s="8"/>
      <c r="P809" s="8"/>
      <c r="Q809" s="8"/>
      <c r="R809" s="8"/>
      <c r="S809" s="8"/>
      <c r="T809" s="8"/>
      <c r="U809" s="8"/>
      <c r="V809" s="8"/>
      <c r="W809" s="8"/>
      <c r="X809" s="8"/>
      <c r="Y809" s="8"/>
      <c r="Z809" s="8"/>
      <c r="AA809" s="8"/>
    </row>
    <row r="810" spans="1:27" ht="12.75">
      <c r="A810" s="8"/>
      <c r="B810" s="59"/>
      <c r="C810" s="59"/>
      <c r="D810" s="59"/>
      <c r="E810" s="59"/>
      <c r="F810" s="8"/>
      <c r="G810" s="8"/>
      <c r="H810" s="8"/>
      <c r="I810" s="8"/>
      <c r="J810" s="8"/>
      <c r="K810" s="8"/>
      <c r="L810" s="8"/>
      <c r="M810" s="8"/>
      <c r="N810" s="8"/>
      <c r="O810" s="8"/>
      <c r="P810" s="8"/>
      <c r="Q810" s="8"/>
      <c r="R810" s="8"/>
      <c r="S810" s="8"/>
      <c r="T810" s="8"/>
      <c r="U810" s="8"/>
      <c r="V810" s="8"/>
      <c r="W810" s="8"/>
      <c r="X810" s="8"/>
      <c r="Y810" s="8"/>
      <c r="Z810" s="8"/>
      <c r="AA810" s="8"/>
    </row>
    <row r="811" spans="1:27" ht="12.75">
      <c r="A811" s="8"/>
      <c r="B811" s="59"/>
      <c r="C811" s="59"/>
      <c r="D811" s="59"/>
      <c r="E811" s="59"/>
      <c r="F811" s="8"/>
      <c r="G811" s="8"/>
      <c r="H811" s="8"/>
      <c r="I811" s="8"/>
      <c r="J811" s="8"/>
      <c r="K811" s="8"/>
      <c r="L811" s="8"/>
      <c r="M811" s="8"/>
      <c r="N811" s="8"/>
      <c r="O811" s="8"/>
      <c r="P811" s="8"/>
      <c r="Q811" s="8"/>
      <c r="R811" s="8"/>
      <c r="S811" s="8"/>
      <c r="T811" s="8"/>
      <c r="U811" s="8"/>
      <c r="V811" s="8"/>
      <c r="W811" s="8"/>
      <c r="X811" s="8"/>
      <c r="Y811" s="8"/>
      <c r="Z811" s="8"/>
      <c r="AA811" s="8"/>
    </row>
    <row r="812" spans="1:27" ht="12.75">
      <c r="A812" s="8"/>
      <c r="B812" s="59"/>
      <c r="C812" s="59"/>
      <c r="D812" s="59"/>
      <c r="E812" s="59"/>
      <c r="F812" s="8"/>
      <c r="G812" s="8"/>
      <c r="H812" s="8"/>
      <c r="I812" s="8"/>
      <c r="J812" s="8"/>
      <c r="K812" s="8"/>
      <c r="L812" s="8"/>
      <c r="M812" s="8"/>
      <c r="N812" s="8"/>
      <c r="O812" s="8"/>
      <c r="P812" s="8"/>
      <c r="Q812" s="8"/>
      <c r="R812" s="8"/>
      <c r="S812" s="8"/>
      <c r="T812" s="8"/>
      <c r="U812" s="8"/>
      <c r="V812" s="8"/>
      <c r="W812" s="8"/>
      <c r="X812" s="8"/>
      <c r="Y812" s="8"/>
      <c r="Z812" s="8"/>
      <c r="AA812" s="8"/>
    </row>
    <row r="813" spans="1:27" ht="12.75">
      <c r="A813" s="8"/>
      <c r="B813" s="59"/>
      <c r="C813" s="59"/>
      <c r="D813" s="59"/>
      <c r="E813" s="59"/>
      <c r="F813" s="8"/>
      <c r="G813" s="8"/>
      <c r="H813" s="8"/>
      <c r="I813" s="8"/>
      <c r="J813" s="8"/>
      <c r="K813" s="8"/>
      <c r="L813" s="8"/>
      <c r="M813" s="8"/>
      <c r="N813" s="8"/>
      <c r="O813" s="8"/>
      <c r="P813" s="8"/>
      <c r="Q813" s="8"/>
      <c r="R813" s="8"/>
      <c r="S813" s="8"/>
      <c r="T813" s="8"/>
      <c r="U813" s="8"/>
      <c r="V813" s="8"/>
      <c r="W813" s="8"/>
      <c r="X813" s="8"/>
      <c r="Y813" s="8"/>
      <c r="Z813" s="8"/>
      <c r="AA813" s="8"/>
    </row>
    <row r="814" spans="1:27" ht="12.75">
      <c r="A814" s="8"/>
      <c r="B814" s="59"/>
      <c r="C814" s="59"/>
      <c r="D814" s="59"/>
      <c r="E814" s="59"/>
      <c r="F814" s="8"/>
      <c r="G814" s="8"/>
      <c r="H814" s="8"/>
      <c r="I814" s="8"/>
      <c r="J814" s="8"/>
      <c r="K814" s="8"/>
      <c r="L814" s="8"/>
      <c r="M814" s="8"/>
      <c r="N814" s="8"/>
      <c r="O814" s="8"/>
      <c r="P814" s="8"/>
      <c r="Q814" s="8"/>
      <c r="R814" s="8"/>
      <c r="S814" s="8"/>
      <c r="T814" s="8"/>
      <c r="U814" s="8"/>
      <c r="V814" s="8"/>
      <c r="W814" s="8"/>
      <c r="X814" s="8"/>
      <c r="Y814" s="8"/>
      <c r="Z814" s="8"/>
      <c r="AA814" s="8"/>
    </row>
    <row r="815" spans="1:27" ht="12.75">
      <c r="A815" s="8"/>
      <c r="B815" s="59"/>
      <c r="C815" s="59"/>
      <c r="D815" s="59"/>
      <c r="E815" s="59"/>
      <c r="F815" s="8"/>
      <c r="G815" s="8"/>
      <c r="H815" s="8"/>
      <c r="I815" s="8"/>
      <c r="J815" s="8"/>
      <c r="K815" s="8"/>
      <c r="L815" s="8"/>
      <c r="M815" s="8"/>
      <c r="N815" s="8"/>
      <c r="O815" s="8"/>
      <c r="P815" s="8"/>
      <c r="Q815" s="8"/>
      <c r="R815" s="8"/>
      <c r="S815" s="8"/>
      <c r="T815" s="8"/>
      <c r="U815" s="8"/>
      <c r="V815" s="8"/>
      <c r="W815" s="8"/>
      <c r="X815" s="8"/>
      <c r="Y815" s="8"/>
      <c r="Z815" s="8"/>
      <c r="AA815" s="8"/>
    </row>
    <row r="816" spans="1:27" ht="12.75">
      <c r="A816" s="8"/>
      <c r="B816" s="59"/>
      <c r="C816" s="59"/>
      <c r="D816" s="59"/>
      <c r="E816" s="59"/>
      <c r="F816" s="8"/>
      <c r="G816" s="8"/>
      <c r="H816" s="8"/>
      <c r="I816" s="8"/>
      <c r="J816" s="8"/>
      <c r="K816" s="8"/>
      <c r="L816" s="8"/>
      <c r="M816" s="8"/>
      <c r="N816" s="8"/>
      <c r="O816" s="8"/>
      <c r="P816" s="8"/>
      <c r="Q816" s="8"/>
      <c r="R816" s="8"/>
      <c r="S816" s="8"/>
      <c r="T816" s="8"/>
      <c r="U816" s="8"/>
      <c r="V816" s="8"/>
      <c r="W816" s="8"/>
      <c r="X816" s="8"/>
      <c r="Y816" s="8"/>
      <c r="Z816" s="8"/>
      <c r="AA816" s="8"/>
    </row>
    <row r="817" spans="1:27" ht="12.75">
      <c r="A817" s="8"/>
      <c r="B817" s="59"/>
      <c r="C817" s="59"/>
      <c r="D817" s="59"/>
      <c r="E817" s="59"/>
      <c r="F817" s="8"/>
      <c r="G817" s="8"/>
      <c r="H817" s="8"/>
      <c r="I817" s="8"/>
      <c r="J817" s="8"/>
      <c r="K817" s="8"/>
      <c r="L817" s="8"/>
      <c r="M817" s="8"/>
      <c r="N817" s="8"/>
      <c r="O817" s="8"/>
      <c r="P817" s="8"/>
      <c r="Q817" s="8"/>
      <c r="R817" s="8"/>
      <c r="S817" s="8"/>
      <c r="T817" s="8"/>
      <c r="U817" s="8"/>
      <c r="V817" s="8"/>
      <c r="W817" s="8"/>
      <c r="X817" s="8"/>
      <c r="Y817" s="8"/>
      <c r="Z817" s="8"/>
      <c r="AA817" s="8"/>
    </row>
    <row r="818" spans="1:27" ht="12.75">
      <c r="A818" s="8"/>
      <c r="B818" s="59"/>
      <c r="C818" s="59"/>
      <c r="D818" s="59"/>
      <c r="E818" s="59"/>
      <c r="F818" s="8"/>
      <c r="G818" s="8"/>
      <c r="H818" s="8"/>
      <c r="I818" s="8"/>
      <c r="J818" s="8"/>
      <c r="K818" s="8"/>
      <c r="L818" s="8"/>
      <c r="M818" s="8"/>
      <c r="N818" s="8"/>
      <c r="O818" s="8"/>
      <c r="P818" s="8"/>
      <c r="Q818" s="8"/>
      <c r="R818" s="8"/>
      <c r="S818" s="8"/>
      <c r="T818" s="8"/>
      <c r="U818" s="8"/>
      <c r="V818" s="8"/>
      <c r="W818" s="8"/>
      <c r="X818" s="8"/>
      <c r="Y818" s="8"/>
      <c r="Z818" s="8"/>
      <c r="AA818" s="8"/>
    </row>
    <row r="819" spans="1:27" ht="12.75">
      <c r="A819" s="8"/>
      <c r="B819" s="59"/>
      <c r="C819" s="59"/>
      <c r="D819" s="59"/>
      <c r="E819" s="59"/>
      <c r="F819" s="8"/>
      <c r="G819" s="8"/>
      <c r="H819" s="8"/>
      <c r="I819" s="8"/>
      <c r="J819" s="8"/>
      <c r="K819" s="8"/>
      <c r="L819" s="8"/>
      <c r="M819" s="8"/>
      <c r="N819" s="8"/>
      <c r="O819" s="8"/>
      <c r="P819" s="8"/>
      <c r="Q819" s="8"/>
      <c r="R819" s="8"/>
      <c r="S819" s="8"/>
      <c r="T819" s="8"/>
      <c r="U819" s="8"/>
      <c r="V819" s="8"/>
      <c r="W819" s="8"/>
      <c r="X819" s="8"/>
      <c r="Y819" s="8"/>
      <c r="Z819" s="8"/>
      <c r="AA819" s="8"/>
    </row>
    <row r="820" spans="1:27" ht="12.75">
      <c r="A820" s="8"/>
      <c r="B820" s="59"/>
      <c r="C820" s="59"/>
      <c r="D820" s="59"/>
      <c r="E820" s="59"/>
      <c r="F820" s="8"/>
      <c r="G820" s="8"/>
      <c r="H820" s="8"/>
      <c r="I820" s="8"/>
      <c r="J820" s="8"/>
      <c r="K820" s="8"/>
      <c r="L820" s="8"/>
      <c r="M820" s="8"/>
      <c r="N820" s="8"/>
      <c r="O820" s="8"/>
      <c r="P820" s="8"/>
      <c r="Q820" s="8"/>
      <c r="R820" s="8"/>
      <c r="S820" s="8"/>
      <c r="T820" s="8"/>
      <c r="U820" s="8"/>
      <c r="V820" s="8"/>
      <c r="W820" s="8"/>
      <c r="X820" s="8"/>
      <c r="Y820" s="8"/>
      <c r="Z820" s="8"/>
      <c r="AA820" s="8"/>
    </row>
    <row r="821" spans="1:27" ht="12.75">
      <c r="A821" s="8"/>
      <c r="B821" s="59"/>
      <c r="C821" s="59"/>
      <c r="D821" s="59"/>
      <c r="E821" s="59"/>
      <c r="F821" s="8"/>
      <c r="G821" s="8"/>
      <c r="H821" s="8"/>
      <c r="I821" s="8"/>
      <c r="J821" s="8"/>
      <c r="K821" s="8"/>
      <c r="L821" s="8"/>
      <c r="M821" s="8"/>
      <c r="N821" s="8"/>
      <c r="O821" s="8"/>
      <c r="P821" s="8"/>
      <c r="Q821" s="8"/>
      <c r="R821" s="8"/>
      <c r="S821" s="8"/>
      <c r="T821" s="8"/>
      <c r="U821" s="8"/>
      <c r="V821" s="8"/>
      <c r="W821" s="8"/>
      <c r="X821" s="8"/>
      <c r="Y821" s="8"/>
      <c r="Z821" s="8"/>
      <c r="AA821" s="8"/>
    </row>
    <row r="822" spans="1:27" ht="12.75">
      <c r="A822" s="8"/>
      <c r="B822" s="59"/>
      <c r="C822" s="59"/>
      <c r="D822" s="59"/>
      <c r="E822" s="59"/>
      <c r="F822" s="8"/>
      <c r="G822" s="8"/>
      <c r="H822" s="8"/>
      <c r="I822" s="8"/>
      <c r="J822" s="8"/>
      <c r="K822" s="8"/>
      <c r="L822" s="8"/>
      <c r="M822" s="8"/>
      <c r="N822" s="8"/>
      <c r="O822" s="8"/>
      <c r="P822" s="8"/>
      <c r="Q822" s="8"/>
      <c r="R822" s="8"/>
      <c r="S822" s="8"/>
      <c r="T822" s="8"/>
      <c r="U822" s="8"/>
      <c r="V822" s="8"/>
      <c r="W822" s="8"/>
      <c r="X822" s="8"/>
      <c r="Y822" s="8"/>
      <c r="Z822" s="8"/>
      <c r="AA822" s="8"/>
    </row>
    <row r="823" spans="1:27" ht="12.75">
      <c r="A823" s="8"/>
      <c r="B823" s="59"/>
      <c r="C823" s="59"/>
      <c r="D823" s="59"/>
      <c r="E823" s="59"/>
      <c r="F823" s="8"/>
      <c r="G823" s="8"/>
      <c r="H823" s="8"/>
      <c r="I823" s="8"/>
      <c r="J823" s="8"/>
      <c r="K823" s="8"/>
      <c r="L823" s="8"/>
      <c r="M823" s="8"/>
      <c r="N823" s="8"/>
      <c r="O823" s="8"/>
      <c r="P823" s="8"/>
      <c r="Q823" s="8"/>
      <c r="R823" s="8"/>
      <c r="S823" s="8"/>
      <c r="T823" s="8"/>
      <c r="U823" s="8"/>
      <c r="V823" s="8"/>
      <c r="W823" s="8"/>
      <c r="X823" s="8"/>
      <c r="Y823" s="8"/>
      <c r="Z823" s="8"/>
      <c r="AA823" s="8"/>
    </row>
    <row r="824" spans="1:27" ht="12.75">
      <c r="A824" s="8"/>
      <c r="B824" s="59"/>
      <c r="C824" s="59"/>
      <c r="D824" s="59"/>
      <c r="E824" s="59"/>
      <c r="F824" s="8"/>
      <c r="G824" s="8"/>
      <c r="H824" s="8"/>
      <c r="I824" s="8"/>
      <c r="J824" s="8"/>
      <c r="K824" s="8"/>
      <c r="L824" s="8"/>
      <c r="M824" s="8"/>
      <c r="N824" s="8"/>
      <c r="O824" s="8"/>
      <c r="P824" s="8"/>
      <c r="Q824" s="8"/>
      <c r="R824" s="8"/>
      <c r="S824" s="8"/>
      <c r="T824" s="8"/>
      <c r="U824" s="8"/>
      <c r="V824" s="8"/>
      <c r="W824" s="8"/>
      <c r="X824" s="8"/>
      <c r="Y824" s="8"/>
      <c r="Z824" s="8"/>
      <c r="AA824" s="8"/>
    </row>
    <row r="825" spans="1:27" ht="12.75">
      <c r="A825" s="8"/>
      <c r="B825" s="59"/>
      <c r="C825" s="59"/>
      <c r="D825" s="59"/>
      <c r="E825" s="59"/>
      <c r="F825" s="8"/>
      <c r="G825" s="8"/>
      <c r="H825" s="8"/>
      <c r="I825" s="8"/>
      <c r="J825" s="8"/>
      <c r="K825" s="8"/>
      <c r="L825" s="8"/>
      <c r="M825" s="8"/>
      <c r="N825" s="8"/>
      <c r="O825" s="8"/>
      <c r="P825" s="8"/>
      <c r="Q825" s="8"/>
      <c r="R825" s="8"/>
      <c r="S825" s="8"/>
      <c r="T825" s="8"/>
      <c r="U825" s="8"/>
      <c r="V825" s="8"/>
      <c r="W825" s="8"/>
      <c r="X825" s="8"/>
      <c r="Y825" s="8"/>
      <c r="Z825" s="8"/>
      <c r="AA825" s="8"/>
    </row>
    <row r="826" spans="1:27" ht="12.75">
      <c r="A826" s="8"/>
      <c r="B826" s="59"/>
      <c r="C826" s="59"/>
      <c r="D826" s="59"/>
      <c r="E826" s="59"/>
      <c r="F826" s="8"/>
      <c r="G826" s="8"/>
      <c r="H826" s="8"/>
      <c r="I826" s="8"/>
      <c r="J826" s="8"/>
      <c r="K826" s="8"/>
      <c r="L826" s="8"/>
      <c r="M826" s="8"/>
      <c r="N826" s="8"/>
      <c r="O826" s="8"/>
      <c r="P826" s="8"/>
      <c r="Q826" s="8"/>
      <c r="R826" s="8"/>
      <c r="S826" s="8"/>
      <c r="T826" s="8"/>
      <c r="U826" s="8"/>
      <c r="V826" s="8"/>
      <c r="W826" s="8"/>
      <c r="X826" s="8"/>
      <c r="Y826" s="8"/>
      <c r="Z826" s="8"/>
      <c r="AA826" s="8"/>
    </row>
    <row r="827" spans="1:27" ht="12.75">
      <c r="A827" s="8"/>
      <c r="B827" s="59"/>
      <c r="C827" s="59"/>
      <c r="D827" s="59"/>
      <c r="E827" s="59"/>
      <c r="F827" s="8"/>
      <c r="G827" s="8"/>
      <c r="H827" s="8"/>
      <c r="I827" s="8"/>
      <c r="J827" s="8"/>
      <c r="K827" s="8"/>
      <c r="L827" s="8"/>
      <c r="M827" s="8"/>
      <c r="N827" s="8"/>
      <c r="O827" s="8"/>
      <c r="P827" s="8"/>
      <c r="Q827" s="8"/>
      <c r="R827" s="8"/>
      <c r="S827" s="8"/>
      <c r="T827" s="8"/>
      <c r="U827" s="8"/>
      <c r="V827" s="8"/>
      <c r="W827" s="8"/>
      <c r="X827" s="8"/>
      <c r="Y827" s="8"/>
      <c r="Z827" s="8"/>
      <c r="AA827" s="8"/>
    </row>
    <row r="828" spans="1:27" ht="12.75">
      <c r="A828" s="8"/>
      <c r="B828" s="59"/>
      <c r="C828" s="59"/>
      <c r="D828" s="59"/>
      <c r="E828" s="59"/>
      <c r="F828" s="8"/>
      <c r="G828" s="8"/>
      <c r="H828" s="8"/>
      <c r="I828" s="8"/>
      <c r="J828" s="8"/>
      <c r="K828" s="8"/>
      <c r="L828" s="8"/>
      <c r="M828" s="8"/>
      <c r="N828" s="8"/>
      <c r="O828" s="8"/>
      <c r="P828" s="8"/>
      <c r="Q828" s="8"/>
      <c r="R828" s="8"/>
      <c r="S828" s="8"/>
      <c r="T828" s="8"/>
      <c r="U828" s="8"/>
      <c r="V828" s="8"/>
      <c r="W828" s="8"/>
      <c r="X828" s="8"/>
      <c r="Y828" s="8"/>
      <c r="Z828" s="8"/>
      <c r="AA828" s="8"/>
    </row>
    <row r="829" spans="1:27" ht="12.75">
      <c r="A829" s="8"/>
      <c r="B829" s="59"/>
      <c r="C829" s="59"/>
      <c r="D829" s="59"/>
      <c r="E829" s="59"/>
      <c r="F829" s="8"/>
      <c r="G829" s="8"/>
      <c r="H829" s="8"/>
      <c r="I829" s="8"/>
      <c r="J829" s="8"/>
      <c r="K829" s="8"/>
      <c r="L829" s="8"/>
      <c r="M829" s="8"/>
      <c r="N829" s="8"/>
      <c r="O829" s="8"/>
      <c r="P829" s="8"/>
      <c r="Q829" s="8"/>
      <c r="R829" s="8"/>
      <c r="S829" s="8"/>
      <c r="T829" s="8"/>
      <c r="U829" s="8"/>
      <c r="V829" s="8"/>
      <c r="W829" s="8"/>
      <c r="X829" s="8"/>
      <c r="Y829" s="8"/>
      <c r="Z829" s="8"/>
      <c r="AA829" s="8"/>
    </row>
    <row r="830" spans="1:27" ht="12.75">
      <c r="A830" s="8"/>
      <c r="B830" s="59"/>
      <c r="C830" s="59"/>
      <c r="D830" s="59"/>
      <c r="E830" s="59"/>
      <c r="F830" s="8"/>
      <c r="G830" s="8"/>
      <c r="H830" s="8"/>
      <c r="I830" s="8"/>
      <c r="J830" s="8"/>
      <c r="K830" s="8"/>
      <c r="L830" s="8"/>
      <c r="M830" s="8"/>
      <c r="N830" s="8"/>
      <c r="O830" s="8"/>
      <c r="P830" s="8"/>
      <c r="Q830" s="8"/>
      <c r="R830" s="8"/>
      <c r="S830" s="8"/>
      <c r="T830" s="8"/>
      <c r="U830" s="8"/>
      <c r="V830" s="8"/>
      <c r="W830" s="8"/>
      <c r="X830" s="8"/>
      <c r="Y830" s="8"/>
      <c r="Z830" s="8"/>
      <c r="AA830" s="8"/>
    </row>
    <row r="831" spans="1:27" ht="12.75">
      <c r="A831" s="8"/>
      <c r="B831" s="59"/>
      <c r="C831" s="59"/>
      <c r="D831" s="59"/>
      <c r="E831" s="59"/>
      <c r="F831" s="8"/>
      <c r="G831" s="8"/>
      <c r="H831" s="8"/>
      <c r="I831" s="8"/>
      <c r="J831" s="8"/>
      <c r="K831" s="8"/>
      <c r="L831" s="8"/>
      <c r="M831" s="8"/>
      <c r="N831" s="8"/>
      <c r="O831" s="8"/>
      <c r="P831" s="8"/>
      <c r="Q831" s="8"/>
      <c r="R831" s="8"/>
      <c r="S831" s="8"/>
      <c r="T831" s="8"/>
      <c r="U831" s="8"/>
      <c r="V831" s="8"/>
      <c r="W831" s="8"/>
      <c r="X831" s="8"/>
      <c r="Y831" s="8"/>
      <c r="Z831" s="8"/>
      <c r="AA831" s="8"/>
    </row>
    <row r="832" spans="1:27" ht="12.75">
      <c r="A832" s="8"/>
      <c r="B832" s="59"/>
      <c r="C832" s="59"/>
      <c r="D832" s="59"/>
      <c r="E832" s="59"/>
      <c r="F832" s="8"/>
      <c r="G832" s="8"/>
      <c r="H832" s="8"/>
      <c r="I832" s="8"/>
      <c r="J832" s="8"/>
      <c r="K832" s="8"/>
      <c r="L832" s="8"/>
      <c r="M832" s="8"/>
      <c r="N832" s="8"/>
      <c r="O832" s="8"/>
      <c r="P832" s="8"/>
      <c r="Q832" s="8"/>
      <c r="R832" s="8"/>
      <c r="S832" s="8"/>
      <c r="T832" s="8"/>
      <c r="U832" s="8"/>
      <c r="V832" s="8"/>
      <c r="W832" s="8"/>
      <c r="X832" s="8"/>
      <c r="Y832" s="8"/>
      <c r="Z832" s="8"/>
      <c r="AA832" s="8"/>
    </row>
    <row r="833" spans="1:27" ht="12.75">
      <c r="A833" s="8"/>
      <c r="B833" s="59"/>
      <c r="C833" s="59"/>
      <c r="D833" s="59"/>
      <c r="E833" s="59"/>
      <c r="F833" s="8"/>
      <c r="G833" s="8"/>
      <c r="H833" s="8"/>
      <c r="I833" s="8"/>
      <c r="J833" s="8"/>
      <c r="K833" s="8"/>
      <c r="L833" s="8"/>
      <c r="M833" s="8"/>
      <c r="N833" s="8"/>
      <c r="O833" s="8"/>
      <c r="P833" s="8"/>
      <c r="Q833" s="8"/>
      <c r="R833" s="8"/>
      <c r="S833" s="8"/>
      <c r="T833" s="8"/>
      <c r="U833" s="8"/>
      <c r="V833" s="8"/>
      <c r="W833" s="8"/>
      <c r="X833" s="8"/>
      <c r="Y833" s="8"/>
      <c r="Z833" s="8"/>
      <c r="AA833" s="8"/>
    </row>
    <row r="834" spans="1:27" ht="12.75">
      <c r="A834" s="8"/>
      <c r="B834" s="59"/>
      <c r="C834" s="59"/>
      <c r="D834" s="59"/>
      <c r="E834" s="59"/>
      <c r="F834" s="8"/>
      <c r="G834" s="8"/>
      <c r="H834" s="8"/>
      <c r="I834" s="8"/>
      <c r="J834" s="8"/>
      <c r="K834" s="8"/>
      <c r="L834" s="8"/>
      <c r="M834" s="8"/>
      <c r="N834" s="8"/>
      <c r="O834" s="8"/>
      <c r="P834" s="8"/>
      <c r="Q834" s="8"/>
      <c r="R834" s="8"/>
      <c r="S834" s="8"/>
      <c r="T834" s="8"/>
      <c r="U834" s="8"/>
      <c r="V834" s="8"/>
      <c r="W834" s="8"/>
      <c r="X834" s="8"/>
      <c r="Y834" s="8"/>
      <c r="Z834" s="8"/>
      <c r="AA834" s="8"/>
    </row>
    <row r="835" spans="1:27" ht="12.75">
      <c r="A835" s="8"/>
      <c r="B835" s="59"/>
      <c r="C835" s="59"/>
      <c r="D835" s="59"/>
      <c r="E835" s="59"/>
      <c r="F835" s="8"/>
      <c r="G835" s="8"/>
      <c r="H835" s="8"/>
      <c r="I835" s="8"/>
      <c r="J835" s="8"/>
      <c r="K835" s="8"/>
      <c r="L835" s="8"/>
      <c r="M835" s="8"/>
      <c r="N835" s="8"/>
      <c r="O835" s="8"/>
      <c r="P835" s="8"/>
      <c r="Q835" s="8"/>
      <c r="R835" s="8"/>
      <c r="S835" s="8"/>
      <c r="T835" s="8"/>
      <c r="U835" s="8"/>
      <c r="V835" s="8"/>
      <c r="W835" s="8"/>
      <c r="X835" s="8"/>
      <c r="Y835" s="8"/>
      <c r="Z835" s="8"/>
      <c r="AA835" s="8"/>
    </row>
    <row r="836" spans="1:27" ht="12.75">
      <c r="A836" s="8"/>
      <c r="B836" s="59"/>
      <c r="C836" s="59"/>
      <c r="D836" s="59"/>
      <c r="E836" s="59"/>
      <c r="F836" s="8"/>
      <c r="G836" s="8"/>
      <c r="H836" s="8"/>
      <c r="I836" s="8"/>
      <c r="J836" s="8"/>
      <c r="K836" s="8"/>
      <c r="L836" s="8"/>
      <c r="M836" s="8"/>
      <c r="N836" s="8"/>
      <c r="O836" s="8"/>
      <c r="P836" s="8"/>
      <c r="Q836" s="8"/>
      <c r="R836" s="8"/>
      <c r="S836" s="8"/>
      <c r="T836" s="8"/>
      <c r="U836" s="8"/>
      <c r="V836" s="8"/>
      <c r="W836" s="8"/>
      <c r="X836" s="8"/>
      <c r="Y836" s="8"/>
      <c r="Z836" s="8"/>
      <c r="AA836" s="8"/>
    </row>
    <row r="837" spans="1:27" ht="12.75">
      <c r="A837" s="8"/>
      <c r="B837" s="59"/>
      <c r="C837" s="59"/>
      <c r="D837" s="59"/>
      <c r="E837" s="59"/>
      <c r="F837" s="8"/>
      <c r="G837" s="8"/>
      <c r="H837" s="8"/>
      <c r="I837" s="8"/>
      <c r="J837" s="8"/>
      <c r="K837" s="8"/>
      <c r="L837" s="8"/>
      <c r="M837" s="8"/>
      <c r="N837" s="8"/>
      <c r="O837" s="8"/>
      <c r="P837" s="8"/>
      <c r="Q837" s="8"/>
      <c r="R837" s="8"/>
      <c r="S837" s="8"/>
      <c r="T837" s="8"/>
      <c r="U837" s="8"/>
      <c r="V837" s="8"/>
      <c r="W837" s="8"/>
      <c r="X837" s="8"/>
      <c r="Y837" s="8"/>
      <c r="Z837" s="8"/>
      <c r="AA837" s="8"/>
    </row>
    <row r="838" spans="1:27" ht="12.75">
      <c r="A838" s="8"/>
      <c r="B838" s="59"/>
      <c r="C838" s="59"/>
      <c r="D838" s="59"/>
      <c r="E838" s="59"/>
      <c r="F838" s="8"/>
      <c r="G838" s="8"/>
      <c r="H838" s="8"/>
      <c r="I838" s="8"/>
      <c r="J838" s="8"/>
      <c r="K838" s="8"/>
      <c r="L838" s="8"/>
      <c r="M838" s="8"/>
      <c r="N838" s="8"/>
      <c r="O838" s="8"/>
      <c r="P838" s="8"/>
      <c r="Q838" s="8"/>
      <c r="R838" s="8"/>
      <c r="S838" s="8"/>
      <c r="T838" s="8"/>
      <c r="U838" s="8"/>
      <c r="V838" s="8"/>
      <c r="W838" s="8"/>
      <c r="X838" s="8"/>
      <c r="Y838" s="8"/>
      <c r="Z838" s="8"/>
      <c r="AA838" s="8"/>
    </row>
    <row r="839" spans="1:27" ht="12.75">
      <c r="A839" s="8"/>
      <c r="B839" s="59"/>
      <c r="C839" s="59"/>
      <c r="D839" s="59"/>
      <c r="E839" s="59"/>
      <c r="F839" s="8"/>
      <c r="G839" s="8"/>
      <c r="H839" s="8"/>
      <c r="I839" s="8"/>
      <c r="J839" s="8"/>
      <c r="K839" s="8"/>
      <c r="L839" s="8"/>
      <c r="M839" s="8"/>
      <c r="N839" s="8"/>
      <c r="O839" s="8"/>
      <c r="P839" s="8"/>
      <c r="Q839" s="8"/>
      <c r="R839" s="8"/>
      <c r="S839" s="8"/>
      <c r="T839" s="8"/>
      <c r="U839" s="8"/>
      <c r="V839" s="8"/>
      <c r="W839" s="8"/>
      <c r="X839" s="8"/>
      <c r="Y839" s="8"/>
      <c r="Z839" s="8"/>
      <c r="AA839" s="8"/>
    </row>
    <row r="840" spans="1:27" ht="12.75">
      <c r="A840" s="8"/>
      <c r="B840" s="59"/>
      <c r="C840" s="59"/>
      <c r="D840" s="59"/>
      <c r="E840" s="59"/>
      <c r="F840" s="8"/>
      <c r="G840" s="8"/>
      <c r="H840" s="8"/>
      <c r="I840" s="8"/>
      <c r="J840" s="8"/>
      <c r="K840" s="8"/>
      <c r="L840" s="8"/>
      <c r="M840" s="8"/>
      <c r="N840" s="8"/>
      <c r="O840" s="8"/>
      <c r="P840" s="8"/>
      <c r="Q840" s="8"/>
      <c r="R840" s="8"/>
      <c r="S840" s="8"/>
      <c r="T840" s="8"/>
      <c r="U840" s="8"/>
      <c r="V840" s="8"/>
      <c r="W840" s="8"/>
      <c r="X840" s="8"/>
      <c r="Y840" s="8"/>
      <c r="Z840" s="8"/>
      <c r="AA840" s="8"/>
    </row>
    <row r="841" spans="1:27" ht="12.75">
      <c r="A841" s="8"/>
      <c r="B841" s="59"/>
      <c r="C841" s="59"/>
      <c r="D841" s="59"/>
      <c r="E841" s="59"/>
      <c r="F841" s="8"/>
      <c r="G841" s="8"/>
      <c r="H841" s="8"/>
      <c r="I841" s="8"/>
      <c r="J841" s="8"/>
      <c r="K841" s="8"/>
      <c r="L841" s="8"/>
      <c r="M841" s="8"/>
      <c r="N841" s="8"/>
      <c r="O841" s="8"/>
      <c r="P841" s="8"/>
      <c r="Q841" s="8"/>
      <c r="R841" s="8"/>
      <c r="S841" s="8"/>
      <c r="T841" s="8"/>
      <c r="U841" s="8"/>
      <c r="V841" s="8"/>
      <c r="W841" s="8"/>
      <c r="X841" s="8"/>
      <c r="Y841" s="8"/>
      <c r="Z841" s="8"/>
      <c r="AA841" s="8"/>
    </row>
    <row r="842" spans="1:27" ht="12.75">
      <c r="A842" s="8"/>
      <c r="B842" s="59"/>
      <c r="C842" s="59"/>
      <c r="D842" s="59"/>
      <c r="E842" s="59"/>
      <c r="F842" s="8"/>
      <c r="G842" s="8"/>
      <c r="H842" s="8"/>
      <c r="I842" s="8"/>
      <c r="J842" s="8"/>
      <c r="K842" s="8"/>
      <c r="L842" s="8"/>
      <c r="M842" s="8"/>
      <c r="N842" s="8"/>
      <c r="O842" s="8"/>
      <c r="P842" s="8"/>
      <c r="Q842" s="8"/>
      <c r="R842" s="8"/>
      <c r="S842" s="8"/>
      <c r="T842" s="8"/>
      <c r="U842" s="8"/>
      <c r="V842" s="8"/>
      <c r="W842" s="8"/>
      <c r="X842" s="8"/>
      <c r="Y842" s="8"/>
      <c r="Z842" s="8"/>
      <c r="AA842" s="8"/>
    </row>
    <row r="843" spans="1:27" ht="12.75">
      <c r="A843" s="8"/>
      <c r="B843" s="59"/>
      <c r="C843" s="59"/>
      <c r="D843" s="59"/>
      <c r="E843" s="59"/>
      <c r="F843" s="8"/>
      <c r="G843" s="8"/>
      <c r="H843" s="8"/>
      <c r="I843" s="8"/>
      <c r="J843" s="8"/>
      <c r="K843" s="8"/>
      <c r="L843" s="8"/>
      <c r="M843" s="8"/>
      <c r="N843" s="8"/>
      <c r="O843" s="8"/>
      <c r="P843" s="8"/>
      <c r="Q843" s="8"/>
      <c r="R843" s="8"/>
      <c r="S843" s="8"/>
      <c r="T843" s="8"/>
      <c r="U843" s="8"/>
      <c r="V843" s="8"/>
      <c r="W843" s="8"/>
      <c r="X843" s="8"/>
      <c r="Y843" s="8"/>
      <c r="Z843" s="8"/>
      <c r="AA843" s="8"/>
    </row>
    <row r="844" spans="1:27" ht="12.75">
      <c r="A844" s="8"/>
      <c r="B844" s="59"/>
      <c r="C844" s="59"/>
      <c r="D844" s="59"/>
      <c r="E844" s="59"/>
      <c r="F844" s="8"/>
      <c r="G844" s="8"/>
      <c r="H844" s="8"/>
      <c r="I844" s="8"/>
      <c r="J844" s="8"/>
      <c r="K844" s="8"/>
      <c r="L844" s="8"/>
      <c r="M844" s="8"/>
      <c r="N844" s="8"/>
      <c r="O844" s="8"/>
      <c r="P844" s="8"/>
      <c r="Q844" s="8"/>
      <c r="R844" s="8"/>
      <c r="S844" s="8"/>
      <c r="T844" s="8"/>
      <c r="U844" s="8"/>
      <c r="V844" s="8"/>
      <c r="W844" s="8"/>
      <c r="X844" s="8"/>
      <c r="Y844" s="8"/>
      <c r="Z844" s="8"/>
      <c r="AA844" s="8"/>
    </row>
    <row r="845" spans="1:27" ht="12.75">
      <c r="A845" s="8"/>
      <c r="B845" s="59"/>
      <c r="C845" s="59"/>
      <c r="D845" s="59"/>
      <c r="E845" s="59"/>
      <c r="F845" s="8"/>
      <c r="G845" s="8"/>
      <c r="H845" s="8"/>
      <c r="I845" s="8"/>
      <c r="J845" s="8"/>
      <c r="K845" s="8"/>
      <c r="L845" s="8"/>
      <c r="M845" s="8"/>
      <c r="N845" s="8"/>
      <c r="O845" s="8"/>
      <c r="P845" s="8"/>
      <c r="Q845" s="8"/>
      <c r="R845" s="8"/>
      <c r="S845" s="8"/>
      <c r="T845" s="8"/>
      <c r="U845" s="8"/>
      <c r="V845" s="8"/>
      <c r="W845" s="8"/>
      <c r="X845" s="8"/>
      <c r="Y845" s="8"/>
      <c r="Z845" s="8"/>
      <c r="AA845" s="8"/>
    </row>
    <row r="846" spans="1:27" ht="12.75">
      <c r="A846" s="8"/>
      <c r="B846" s="59"/>
      <c r="C846" s="59"/>
      <c r="D846" s="59"/>
      <c r="E846" s="59"/>
      <c r="F846" s="8"/>
      <c r="G846" s="8"/>
      <c r="H846" s="8"/>
      <c r="I846" s="8"/>
      <c r="J846" s="8"/>
      <c r="K846" s="8"/>
      <c r="L846" s="8"/>
      <c r="M846" s="8"/>
      <c r="N846" s="8"/>
      <c r="O846" s="8"/>
      <c r="P846" s="8"/>
      <c r="Q846" s="8"/>
      <c r="R846" s="8"/>
      <c r="S846" s="8"/>
      <c r="T846" s="8"/>
      <c r="U846" s="8"/>
      <c r="V846" s="8"/>
      <c r="W846" s="8"/>
      <c r="X846" s="8"/>
      <c r="Y846" s="8"/>
      <c r="Z846" s="8"/>
      <c r="AA846" s="8"/>
    </row>
    <row r="847" spans="1:27" ht="12.75">
      <c r="A847" s="8"/>
      <c r="B847" s="59"/>
      <c r="C847" s="59"/>
      <c r="D847" s="59"/>
      <c r="E847" s="59"/>
      <c r="F847" s="8"/>
      <c r="G847" s="8"/>
      <c r="H847" s="8"/>
      <c r="I847" s="8"/>
      <c r="J847" s="8"/>
      <c r="K847" s="8"/>
      <c r="L847" s="8"/>
      <c r="M847" s="8"/>
      <c r="N847" s="8"/>
      <c r="O847" s="8"/>
      <c r="P847" s="8"/>
      <c r="Q847" s="8"/>
      <c r="R847" s="8"/>
      <c r="S847" s="8"/>
      <c r="T847" s="8"/>
      <c r="U847" s="8"/>
      <c r="V847" s="8"/>
      <c r="W847" s="8"/>
      <c r="X847" s="8"/>
      <c r="Y847" s="8"/>
      <c r="Z847" s="8"/>
      <c r="AA847" s="8"/>
    </row>
    <row r="848" spans="1:27" ht="12.75">
      <c r="A848" s="8"/>
      <c r="B848" s="59"/>
      <c r="C848" s="59"/>
      <c r="D848" s="59"/>
      <c r="E848" s="59"/>
      <c r="F848" s="8"/>
      <c r="G848" s="8"/>
      <c r="H848" s="8"/>
      <c r="I848" s="8"/>
      <c r="J848" s="8"/>
      <c r="K848" s="8"/>
      <c r="L848" s="8"/>
      <c r="M848" s="8"/>
      <c r="N848" s="8"/>
      <c r="O848" s="8"/>
      <c r="P848" s="8"/>
      <c r="Q848" s="8"/>
      <c r="R848" s="8"/>
      <c r="S848" s="8"/>
      <c r="T848" s="8"/>
      <c r="U848" s="8"/>
      <c r="V848" s="8"/>
      <c r="W848" s="8"/>
      <c r="X848" s="8"/>
      <c r="Y848" s="8"/>
      <c r="Z848" s="8"/>
      <c r="AA848" s="8"/>
    </row>
    <row r="849" spans="1:27" ht="12.75">
      <c r="A849" s="8"/>
      <c r="B849" s="59"/>
      <c r="C849" s="59"/>
      <c r="D849" s="59"/>
      <c r="E849" s="59"/>
      <c r="F849" s="8"/>
      <c r="G849" s="8"/>
      <c r="H849" s="8"/>
      <c r="I849" s="8"/>
      <c r="J849" s="8"/>
      <c r="K849" s="8"/>
      <c r="L849" s="8"/>
      <c r="M849" s="8"/>
      <c r="N849" s="8"/>
      <c r="O849" s="8"/>
      <c r="P849" s="8"/>
      <c r="Q849" s="8"/>
      <c r="R849" s="8"/>
      <c r="S849" s="8"/>
      <c r="T849" s="8"/>
      <c r="U849" s="8"/>
      <c r="V849" s="8"/>
      <c r="W849" s="8"/>
      <c r="X849" s="8"/>
      <c r="Y849" s="8"/>
      <c r="Z849" s="8"/>
      <c r="AA849" s="8"/>
    </row>
    <row r="850" spans="1:27" ht="12.75">
      <c r="A850" s="8"/>
      <c r="B850" s="59"/>
      <c r="C850" s="59"/>
      <c r="D850" s="59"/>
      <c r="E850" s="59"/>
      <c r="F850" s="8"/>
      <c r="G850" s="8"/>
      <c r="H850" s="8"/>
      <c r="I850" s="8"/>
      <c r="J850" s="8"/>
      <c r="K850" s="8"/>
      <c r="L850" s="8"/>
      <c r="M850" s="8"/>
      <c r="N850" s="8"/>
      <c r="O850" s="8"/>
      <c r="P850" s="8"/>
      <c r="Q850" s="8"/>
      <c r="R850" s="8"/>
      <c r="S850" s="8"/>
      <c r="T850" s="8"/>
      <c r="U850" s="8"/>
      <c r="V850" s="8"/>
      <c r="W850" s="8"/>
      <c r="X850" s="8"/>
      <c r="Y850" s="8"/>
      <c r="Z850" s="8"/>
      <c r="AA850" s="8"/>
    </row>
    <row r="851" spans="1:27" ht="12.75">
      <c r="A851" s="8"/>
      <c r="B851" s="59"/>
      <c r="C851" s="59"/>
      <c r="D851" s="59"/>
      <c r="E851" s="59"/>
      <c r="F851" s="8"/>
      <c r="G851" s="8"/>
      <c r="H851" s="8"/>
      <c r="I851" s="8"/>
      <c r="J851" s="8"/>
      <c r="K851" s="8"/>
      <c r="L851" s="8"/>
      <c r="M851" s="8"/>
      <c r="N851" s="8"/>
      <c r="O851" s="8"/>
      <c r="P851" s="8"/>
      <c r="Q851" s="8"/>
      <c r="R851" s="8"/>
      <c r="S851" s="8"/>
      <c r="T851" s="8"/>
      <c r="U851" s="8"/>
      <c r="V851" s="8"/>
      <c r="W851" s="8"/>
      <c r="X851" s="8"/>
      <c r="Y851" s="8"/>
      <c r="Z851" s="8"/>
      <c r="AA851" s="8"/>
    </row>
    <row r="852" spans="1:27" ht="12.75">
      <c r="A852" s="8"/>
      <c r="B852" s="59"/>
      <c r="C852" s="59"/>
      <c r="D852" s="59"/>
      <c r="E852" s="59"/>
      <c r="F852" s="8"/>
      <c r="G852" s="8"/>
      <c r="H852" s="8"/>
      <c r="I852" s="8"/>
      <c r="J852" s="8"/>
      <c r="K852" s="8"/>
      <c r="L852" s="8"/>
      <c r="M852" s="8"/>
      <c r="N852" s="8"/>
      <c r="O852" s="8"/>
      <c r="P852" s="8"/>
      <c r="Q852" s="8"/>
      <c r="R852" s="8"/>
      <c r="S852" s="8"/>
      <c r="T852" s="8"/>
      <c r="U852" s="8"/>
      <c r="V852" s="8"/>
      <c r="W852" s="8"/>
      <c r="X852" s="8"/>
      <c r="Y852" s="8"/>
      <c r="Z852" s="8"/>
      <c r="AA852" s="8"/>
    </row>
    <row r="853" spans="1:27" ht="12.75">
      <c r="A853" s="8"/>
      <c r="B853" s="59"/>
      <c r="C853" s="59"/>
      <c r="D853" s="59"/>
      <c r="E853" s="59"/>
      <c r="F853" s="8"/>
      <c r="G853" s="8"/>
      <c r="H853" s="8"/>
      <c r="I853" s="8"/>
      <c r="J853" s="8"/>
      <c r="K853" s="8"/>
      <c r="L853" s="8"/>
      <c r="M853" s="8"/>
      <c r="N853" s="8"/>
      <c r="O853" s="8"/>
      <c r="P853" s="8"/>
      <c r="Q853" s="8"/>
      <c r="R853" s="8"/>
      <c r="S853" s="8"/>
      <c r="T853" s="8"/>
      <c r="U853" s="8"/>
      <c r="V853" s="8"/>
      <c r="W853" s="8"/>
      <c r="X853" s="8"/>
      <c r="Y853" s="8"/>
      <c r="Z853" s="8"/>
      <c r="AA853" s="8"/>
    </row>
    <row r="854" spans="1:27" ht="12.75">
      <c r="A854" s="8"/>
      <c r="B854" s="59"/>
      <c r="C854" s="59"/>
      <c r="D854" s="59"/>
      <c r="E854" s="59"/>
      <c r="F854" s="8"/>
      <c r="G854" s="8"/>
      <c r="H854" s="8"/>
      <c r="I854" s="8"/>
      <c r="J854" s="8"/>
      <c r="K854" s="8"/>
      <c r="L854" s="8"/>
      <c r="M854" s="8"/>
      <c r="N854" s="8"/>
      <c r="O854" s="8"/>
      <c r="P854" s="8"/>
      <c r="Q854" s="8"/>
      <c r="R854" s="8"/>
      <c r="S854" s="8"/>
      <c r="T854" s="8"/>
      <c r="U854" s="8"/>
      <c r="V854" s="8"/>
      <c r="W854" s="8"/>
      <c r="X854" s="8"/>
      <c r="Y854" s="8"/>
      <c r="Z854" s="8"/>
      <c r="AA854" s="8"/>
    </row>
    <row r="855" spans="1:27" ht="12.75">
      <c r="A855" s="8"/>
      <c r="B855" s="59"/>
      <c r="C855" s="59"/>
      <c r="D855" s="59"/>
      <c r="E855" s="59"/>
      <c r="F855" s="8"/>
      <c r="G855" s="8"/>
      <c r="H855" s="8"/>
      <c r="I855" s="8"/>
      <c r="J855" s="8"/>
      <c r="K855" s="8"/>
      <c r="L855" s="8"/>
      <c r="M855" s="8"/>
      <c r="N855" s="8"/>
      <c r="O855" s="8"/>
      <c r="P855" s="8"/>
      <c r="Q855" s="8"/>
      <c r="R855" s="8"/>
      <c r="S855" s="8"/>
      <c r="T855" s="8"/>
      <c r="U855" s="8"/>
      <c r="V855" s="8"/>
      <c r="W855" s="8"/>
      <c r="X855" s="8"/>
      <c r="Y855" s="8"/>
      <c r="Z855" s="8"/>
      <c r="AA855" s="8"/>
    </row>
    <row r="856" spans="1:27" ht="12.75">
      <c r="A856" s="8"/>
      <c r="B856" s="59"/>
      <c r="C856" s="59"/>
      <c r="D856" s="59"/>
      <c r="E856" s="59"/>
      <c r="F856" s="8"/>
      <c r="G856" s="8"/>
      <c r="H856" s="8"/>
      <c r="I856" s="8"/>
      <c r="J856" s="8"/>
      <c r="K856" s="8"/>
      <c r="L856" s="8"/>
      <c r="M856" s="8"/>
      <c r="N856" s="8"/>
      <c r="O856" s="8"/>
      <c r="P856" s="8"/>
      <c r="Q856" s="8"/>
      <c r="R856" s="8"/>
      <c r="S856" s="8"/>
      <c r="T856" s="8"/>
      <c r="U856" s="8"/>
      <c r="V856" s="8"/>
      <c r="W856" s="8"/>
      <c r="X856" s="8"/>
      <c r="Y856" s="8"/>
      <c r="Z856" s="8"/>
      <c r="AA856" s="8"/>
    </row>
    <row r="857" spans="1:27" ht="12.75">
      <c r="A857" s="8"/>
      <c r="B857" s="59"/>
      <c r="C857" s="59"/>
      <c r="D857" s="59"/>
      <c r="E857" s="59"/>
      <c r="F857" s="8"/>
      <c r="G857" s="8"/>
      <c r="H857" s="8"/>
      <c r="I857" s="8"/>
      <c r="J857" s="8"/>
      <c r="K857" s="8"/>
      <c r="L857" s="8"/>
      <c r="M857" s="8"/>
      <c r="N857" s="8"/>
      <c r="O857" s="8"/>
      <c r="P857" s="8"/>
      <c r="Q857" s="8"/>
      <c r="R857" s="8"/>
      <c r="S857" s="8"/>
      <c r="T857" s="8"/>
      <c r="U857" s="8"/>
      <c r="V857" s="8"/>
      <c r="W857" s="8"/>
      <c r="X857" s="8"/>
      <c r="Y857" s="8"/>
      <c r="Z857" s="8"/>
      <c r="AA857" s="8"/>
    </row>
    <row r="858" spans="1:27" ht="12.75">
      <c r="A858" s="8"/>
      <c r="B858" s="59"/>
      <c r="C858" s="59"/>
      <c r="D858" s="59"/>
      <c r="E858" s="59"/>
      <c r="F858" s="8"/>
      <c r="G858" s="8"/>
      <c r="H858" s="8"/>
      <c r="I858" s="8"/>
      <c r="J858" s="8"/>
      <c r="K858" s="8"/>
      <c r="L858" s="8"/>
      <c r="M858" s="8"/>
      <c r="N858" s="8"/>
      <c r="O858" s="8"/>
      <c r="P858" s="8"/>
      <c r="Q858" s="8"/>
      <c r="R858" s="8"/>
      <c r="S858" s="8"/>
      <c r="T858" s="8"/>
      <c r="U858" s="8"/>
      <c r="V858" s="8"/>
      <c r="W858" s="8"/>
      <c r="X858" s="8"/>
      <c r="Y858" s="8"/>
      <c r="Z858" s="8"/>
      <c r="AA858" s="8"/>
    </row>
    <row r="859" spans="1:27" ht="12.75">
      <c r="A859" s="8"/>
      <c r="B859" s="59"/>
      <c r="C859" s="59"/>
      <c r="D859" s="59"/>
      <c r="E859" s="59"/>
      <c r="F859" s="8"/>
      <c r="G859" s="8"/>
      <c r="H859" s="8"/>
      <c r="I859" s="8"/>
      <c r="J859" s="8"/>
      <c r="K859" s="8"/>
      <c r="L859" s="8"/>
      <c r="M859" s="8"/>
      <c r="N859" s="8"/>
      <c r="O859" s="8"/>
      <c r="P859" s="8"/>
      <c r="Q859" s="8"/>
      <c r="R859" s="8"/>
      <c r="S859" s="8"/>
      <c r="T859" s="8"/>
      <c r="U859" s="8"/>
      <c r="V859" s="8"/>
      <c r="W859" s="8"/>
      <c r="X859" s="8"/>
      <c r="Y859" s="8"/>
      <c r="Z859" s="8"/>
      <c r="AA859" s="8"/>
    </row>
    <row r="860" spans="1:27" ht="12.75">
      <c r="A860" s="8"/>
      <c r="B860" s="59"/>
      <c r="C860" s="59"/>
      <c r="D860" s="59"/>
      <c r="E860" s="59"/>
      <c r="F860" s="8"/>
      <c r="G860" s="8"/>
      <c r="H860" s="8"/>
      <c r="I860" s="8"/>
      <c r="J860" s="8"/>
      <c r="K860" s="8"/>
      <c r="L860" s="8"/>
      <c r="M860" s="8"/>
      <c r="N860" s="8"/>
      <c r="O860" s="8"/>
      <c r="P860" s="8"/>
      <c r="Q860" s="8"/>
      <c r="R860" s="8"/>
      <c r="S860" s="8"/>
      <c r="T860" s="8"/>
      <c r="U860" s="8"/>
      <c r="V860" s="8"/>
      <c r="W860" s="8"/>
      <c r="X860" s="8"/>
      <c r="Y860" s="8"/>
      <c r="Z860" s="8"/>
      <c r="AA860" s="8"/>
    </row>
    <row r="861" spans="1:27" ht="12.75">
      <c r="A861" s="8"/>
      <c r="B861" s="59"/>
      <c r="C861" s="59"/>
      <c r="D861" s="59"/>
      <c r="E861" s="59"/>
      <c r="F861" s="8"/>
      <c r="G861" s="8"/>
      <c r="H861" s="8"/>
      <c r="I861" s="8"/>
      <c r="J861" s="8"/>
      <c r="K861" s="8"/>
      <c r="L861" s="8"/>
      <c r="M861" s="8"/>
      <c r="N861" s="8"/>
      <c r="O861" s="8"/>
      <c r="P861" s="8"/>
      <c r="Q861" s="8"/>
      <c r="R861" s="8"/>
      <c r="S861" s="8"/>
      <c r="T861" s="8"/>
      <c r="U861" s="8"/>
      <c r="V861" s="8"/>
      <c r="W861" s="8"/>
      <c r="X861" s="8"/>
      <c r="Y861" s="8"/>
      <c r="Z861" s="8"/>
      <c r="AA861" s="8"/>
    </row>
    <row r="862" spans="1:27" ht="12.75">
      <c r="A862" s="8"/>
      <c r="B862" s="59"/>
      <c r="C862" s="59"/>
      <c r="D862" s="59"/>
      <c r="E862" s="59"/>
      <c r="F862" s="8"/>
      <c r="G862" s="8"/>
      <c r="H862" s="8"/>
      <c r="I862" s="8"/>
      <c r="J862" s="8"/>
      <c r="K862" s="8"/>
      <c r="L862" s="8"/>
      <c r="M862" s="8"/>
      <c r="N862" s="8"/>
      <c r="O862" s="8"/>
      <c r="P862" s="8"/>
      <c r="Q862" s="8"/>
      <c r="R862" s="8"/>
      <c r="S862" s="8"/>
      <c r="T862" s="8"/>
      <c r="U862" s="8"/>
      <c r="V862" s="8"/>
      <c r="W862" s="8"/>
      <c r="X862" s="8"/>
      <c r="Y862" s="8"/>
      <c r="Z862" s="8"/>
      <c r="AA862" s="8"/>
    </row>
    <row r="863" spans="1:27" ht="12.75">
      <c r="A863" s="8"/>
      <c r="B863" s="59"/>
      <c r="C863" s="59"/>
      <c r="D863" s="59"/>
      <c r="E863" s="59"/>
      <c r="F863" s="8"/>
      <c r="G863" s="8"/>
      <c r="H863" s="8"/>
      <c r="I863" s="8"/>
      <c r="J863" s="8"/>
      <c r="K863" s="8"/>
      <c r="L863" s="8"/>
      <c r="M863" s="8"/>
      <c r="N863" s="8"/>
      <c r="O863" s="8"/>
      <c r="P863" s="8"/>
      <c r="Q863" s="8"/>
      <c r="R863" s="8"/>
      <c r="S863" s="8"/>
      <c r="T863" s="8"/>
      <c r="U863" s="8"/>
      <c r="V863" s="8"/>
      <c r="W863" s="8"/>
      <c r="X863" s="8"/>
      <c r="Y863" s="8"/>
      <c r="Z863" s="8"/>
      <c r="AA863" s="8"/>
    </row>
    <row r="864" spans="1:27" ht="12.75">
      <c r="A864" s="8"/>
      <c r="B864" s="59"/>
      <c r="C864" s="59"/>
      <c r="D864" s="59"/>
      <c r="E864" s="59"/>
      <c r="F864" s="8"/>
      <c r="G864" s="8"/>
      <c r="H864" s="8"/>
      <c r="I864" s="8"/>
      <c r="J864" s="8"/>
      <c r="K864" s="8"/>
      <c r="L864" s="8"/>
      <c r="M864" s="8"/>
      <c r="N864" s="8"/>
      <c r="O864" s="8"/>
      <c r="P864" s="8"/>
      <c r="Q864" s="8"/>
      <c r="R864" s="8"/>
      <c r="S864" s="8"/>
      <c r="T864" s="8"/>
      <c r="U864" s="8"/>
      <c r="V864" s="8"/>
      <c r="W864" s="8"/>
      <c r="X864" s="8"/>
      <c r="Y864" s="8"/>
      <c r="Z864" s="8"/>
      <c r="AA864" s="8"/>
    </row>
    <row r="865" spans="1:27" ht="12.75">
      <c r="A865" s="8"/>
      <c r="B865" s="59"/>
      <c r="C865" s="59"/>
      <c r="D865" s="59"/>
      <c r="E865" s="59"/>
      <c r="F865" s="8"/>
      <c r="G865" s="8"/>
      <c r="H865" s="8"/>
      <c r="I865" s="8"/>
      <c r="J865" s="8"/>
      <c r="K865" s="8"/>
      <c r="L865" s="8"/>
      <c r="M865" s="8"/>
      <c r="N865" s="8"/>
      <c r="O865" s="8"/>
      <c r="P865" s="8"/>
      <c r="Q865" s="8"/>
      <c r="R865" s="8"/>
      <c r="S865" s="8"/>
      <c r="T865" s="8"/>
      <c r="U865" s="8"/>
      <c r="V865" s="8"/>
      <c r="W865" s="8"/>
      <c r="X865" s="8"/>
      <c r="Y865" s="8"/>
      <c r="Z865" s="8"/>
      <c r="AA865" s="8"/>
    </row>
    <row r="866" spans="1:27" ht="12.75">
      <c r="A866" s="8"/>
      <c r="B866" s="59"/>
      <c r="C866" s="59"/>
      <c r="D866" s="59"/>
      <c r="E866" s="59"/>
      <c r="F866" s="8"/>
      <c r="G866" s="8"/>
      <c r="H866" s="8"/>
      <c r="I866" s="8"/>
      <c r="J866" s="8"/>
      <c r="K866" s="8"/>
      <c r="L866" s="8"/>
      <c r="M866" s="8"/>
      <c r="N866" s="8"/>
      <c r="O866" s="8"/>
      <c r="P866" s="8"/>
      <c r="Q866" s="8"/>
      <c r="R866" s="8"/>
      <c r="S866" s="8"/>
      <c r="T866" s="8"/>
      <c r="U866" s="8"/>
      <c r="V866" s="8"/>
      <c r="W866" s="8"/>
      <c r="X866" s="8"/>
      <c r="Y866" s="8"/>
      <c r="Z866" s="8"/>
      <c r="AA866" s="8"/>
    </row>
    <row r="867" spans="1:27" ht="12.75">
      <c r="A867" s="8"/>
      <c r="B867" s="59"/>
      <c r="C867" s="59"/>
      <c r="D867" s="59"/>
      <c r="E867" s="59"/>
      <c r="F867" s="8"/>
      <c r="G867" s="8"/>
      <c r="H867" s="8"/>
      <c r="I867" s="8"/>
      <c r="J867" s="8"/>
      <c r="K867" s="8"/>
      <c r="L867" s="8"/>
      <c r="M867" s="8"/>
      <c r="N867" s="8"/>
      <c r="O867" s="8"/>
      <c r="P867" s="8"/>
      <c r="Q867" s="8"/>
      <c r="R867" s="8"/>
      <c r="S867" s="8"/>
      <c r="T867" s="8"/>
      <c r="U867" s="8"/>
      <c r="V867" s="8"/>
      <c r="W867" s="8"/>
      <c r="X867" s="8"/>
      <c r="Y867" s="8"/>
      <c r="Z867" s="8"/>
      <c r="AA867" s="8"/>
    </row>
    <row r="868" spans="1:27" ht="12.75">
      <c r="A868" s="8"/>
      <c r="B868" s="59"/>
      <c r="C868" s="59"/>
      <c r="D868" s="59"/>
      <c r="E868" s="59"/>
      <c r="F868" s="8"/>
      <c r="G868" s="8"/>
      <c r="H868" s="8"/>
      <c r="I868" s="8"/>
      <c r="J868" s="8"/>
      <c r="K868" s="8"/>
      <c r="L868" s="8"/>
      <c r="M868" s="8"/>
      <c r="N868" s="8"/>
      <c r="O868" s="8"/>
      <c r="P868" s="8"/>
      <c r="Q868" s="8"/>
      <c r="R868" s="8"/>
      <c r="S868" s="8"/>
      <c r="T868" s="8"/>
      <c r="U868" s="8"/>
      <c r="V868" s="8"/>
      <c r="W868" s="8"/>
      <c r="X868" s="8"/>
      <c r="Y868" s="8"/>
      <c r="Z868" s="8"/>
      <c r="AA868" s="8"/>
    </row>
    <row r="869" spans="1:27" ht="12.75">
      <c r="A869" s="8"/>
      <c r="B869" s="59"/>
      <c r="C869" s="59"/>
      <c r="D869" s="59"/>
      <c r="E869" s="59"/>
      <c r="F869" s="8"/>
      <c r="G869" s="8"/>
      <c r="H869" s="8"/>
      <c r="I869" s="8"/>
      <c r="J869" s="8"/>
      <c r="K869" s="8"/>
      <c r="L869" s="8"/>
      <c r="M869" s="8"/>
      <c r="N869" s="8"/>
      <c r="O869" s="8"/>
      <c r="P869" s="8"/>
      <c r="Q869" s="8"/>
      <c r="R869" s="8"/>
      <c r="S869" s="8"/>
      <c r="T869" s="8"/>
      <c r="U869" s="8"/>
      <c r="V869" s="8"/>
      <c r="W869" s="8"/>
      <c r="X869" s="8"/>
      <c r="Y869" s="8"/>
      <c r="Z869" s="8"/>
      <c r="AA869" s="8"/>
    </row>
    <row r="870" spans="1:27" ht="12.75">
      <c r="A870" s="8"/>
      <c r="B870" s="59"/>
      <c r="C870" s="59"/>
      <c r="D870" s="59"/>
      <c r="E870" s="59"/>
      <c r="F870" s="8"/>
      <c r="G870" s="8"/>
      <c r="H870" s="8"/>
      <c r="I870" s="8"/>
      <c r="J870" s="8"/>
      <c r="K870" s="8"/>
      <c r="L870" s="8"/>
      <c r="M870" s="8"/>
      <c r="N870" s="8"/>
      <c r="O870" s="8"/>
      <c r="P870" s="8"/>
      <c r="Q870" s="8"/>
      <c r="R870" s="8"/>
      <c r="S870" s="8"/>
      <c r="T870" s="8"/>
      <c r="U870" s="8"/>
      <c r="V870" s="8"/>
      <c r="W870" s="8"/>
      <c r="X870" s="8"/>
      <c r="Y870" s="8"/>
      <c r="Z870" s="8"/>
      <c r="AA870" s="8"/>
    </row>
    <row r="871" spans="1:27" ht="12.75">
      <c r="A871" s="8"/>
      <c r="B871" s="59"/>
      <c r="C871" s="59"/>
      <c r="D871" s="59"/>
      <c r="E871" s="59"/>
      <c r="F871" s="8"/>
      <c r="G871" s="8"/>
      <c r="H871" s="8"/>
      <c r="I871" s="8"/>
      <c r="J871" s="8"/>
      <c r="K871" s="8"/>
      <c r="L871" s="8"/>
      <c r="M871" s="8"/>
      <c r="N871" s="8"/>
      <c r="O871" s="8"/>
      <c r="P871" s="8"/>
      <c r="Q871" s="8"/>
      <c r="R871" s="8"/>
      <c r="S871" s="8"/>
      <c r="T871" s="8"/>
      <c r="U871" s="8"/>
      <c r="V871" s="8"/>
      <c r="W871" s="8"/>
      <c r="X871" s="8"/>
      <c r="Y871" s="8"/>
      <c r="Z871" s="8"/>
      <c r="AA871" s="8"/>
    </row>
    <row r="872" spans="1:27" ht="12.75">
      <c r="A872" s="8"/>
      <c r="B872" s="59"/>
      <c r="C872" s="59"/>
      <c r="D872" s="59"/>
      <c r="E872" s="59"/>
      <c r="F872" s="8"/>
      <c r="G872" s="8"/>
      <c r="H872" s="8"/>
      <c r="I872" s="8"/>
      <c r="J872" s="8"/>
      <c r="K872" s="8"/>
      <c r="L872" s="8"/>
      <c r="M872" s="8"/>
      <c r="N872" s="8"/>
      <c r="O872" s="8"/>
      <c r="P872" s="8"/>
      <c r="Q872" s="8"/>
      <c r="R872" s="8"/>
      <c r="S872" s="8"/>
      <c r="T872" s="8"/>
      <c r="U872" s="8"/>
      <c r="V872" s="8"/>
      <c r="W872" s="8"/>
      <c r="X872" s="8"/>
      <c r="Y872" s="8"/>
      <c r="Z872" s="8"/>
      <c r="AA872" s="8"/>
    </row>
    <row r="873" spans="1:27" ht="12.75">
      <c r="A873" s="8"/>
      <c r="B873" s="59"/>
      <c r="C873" s="59"/>
      <c r="D873" s="59"/>
      <c r="E873" s="59"/>
      <c r="F873" s="8"/>
      <c r="G873" s="8"/>
      <c r="H873" s="8"/>
      <c r="I873" s="8"/>
      <c r="J873" s="8"/>
      <c r="K873" s="8"/>
      <c r="L873" s="8"/>
      <c r="M873" s="8"/>
      <c r="N873" s="8"/>
      <c r="O873" s="8"/>
      <c r="P873" s="8"/>
      <c r="Q873" s="8"/>
      <c r="R873" s="8"/>
      <c r="S873" s="8"/>
      <c r="T873" s="8"/>
      <c r="U873" s="8"/>
      <c r="V873" s="8"/>
      <c r="W873" s="8"/>
      <c r="X873" s="8"/>
      <c r="Y873" s="8"/>
      <c r="Z873" s="8"/>
      <c r="AA873" s="8"/>
    </row>
    <row r="874" spans="1:27" ht="12.75">
      <c r="A874" s="8"/>
      <c r="B874" s="59"/>
      <c r="C874" s="59"/>
      <c r="D874" s="59"/>
      <c r="E874" s="59"/>
      <c r="F874" s="8"/>
      <c r="G874" s="8"/>
      <c r="H874" s="8"/>
      <c r="I874" s="8"/>
      <c r="J874" s="8"/>
      <c r="K874" s="8"/>
      <c r="L874" s="8"/>
      <c r="M874" s="8"/>
      <c r="N874" s="8"/>
      <c r="O874" s="8"/>
      <c r="P874" s="8"/>
      <c r="Q874" s="8"/>
      <c r="R874" s="8"/>
      <c r="S874" s="8"/>
      <c r="T874" s="8"/>
      <c r="U874" s="8"/>
      <c r="V874" s="8"/>
      <c r="W874" s="8"/>
      <c r="X874" s="8"/>
      <c r="Y874" s="8"/>
      <c r="Z874" s="8"/>
      <c r="AA874" s="8"/>
    </row>
    <row r="875" spans="1:27" ht="12.75">
      <c r="A875" s="8"/>
      <c r="B875" s="59"/>
      <c r="C875" s="59"/>
      <c r="D875" s="59"/>
      <c r="E875" s="59"/>
      <c r="F875" s="8"/>
      <c r="G875" s="8"/>
      <c r="H875" s="8"/>
      <c r="I875" s="8"/>
      <c r="J875" s="8"/>
      <c r="K875" s="8"/>
      <c r="L875" s="8"/>
      <c r="M875" s="8"/>
      <c r="N875" s="8"/>
      <c r="O875" s="8"/>
      <c r="P875" s="8"/>
      <c r="Q875" s="8"/>
      <c r="R875" s="8"/>
      <c r="S875" s="8"/>
      <c r="T875" s="8"/>
      <c r="U875" s="8"/>
      <c r="V875" s="8"/>
      <c r="W875" s="8"/>
      <c r="X875" s="8"/>
      <c r="Y875" s="8"/>
      <c r="Z875" s="8"/>
      <c r="AA875" s="8"/>
    </row>
    <row r="876" spans="1:27" ht="12.75">
      <c r="A876" s="8"/>
      <c r="B876" s="59"/>
      <c r="C876" s="59"/>
      <c r="D876" s="59"/>
      <c r="E876" s="59"/>
      <c r="F876" s="8"/>
      <c r="G876" s="8"/>
      <c r="H876" s="8"/>
      <c r="I876" s="8"/>
      <c r="J876" s="8"/>
      <c r="K876" s="8"/>
      <c r="L876" s="8"/>
      <c r="M876" s="8"/>
      <c r="N876" s="8"/>
      <c r="O876" s="8"/>
      <c r="P876" s="8"/>
      <c r="Q876" s="8"/>
      <c r="R876" s="8"/>
      <c r="S876" s="8"/>
      <c r="T876" s="8"/>
      <c r="U876" s="8"/>
      <c r="V876" s="8"/>
      <c r="W876" s="8"/>
      <c r="X876" s="8"/>
      <c r="Y876" s="8"/>
      <c r="Z876" s="8"/>
      <c r="AA876" s="8"/>
    </row>
    <row r="877" spans="1:27" ht="12.75">
      <c r="A877" s="8"/>
      <c r="B877" s="59"/>
      <c r="C877" s="59"/>
      <c r="D877" s="59"/>
      <c r="E877" s="59"/>
      <c r="F877" s="8"/>
      <c r="G877" s="8"/>
      <c r="H877" s="8"/>
      <c r="I877" s="8"/>
      <c r="J877" s="8"/>
      <c r="K877" s="8"/>
      <c r="L877" s="8"/>
      <c r="M877" s="8"/>
      <c r="N877" s="8"/>
      <c r="O877" s="8"/>
      <c r="P877" s="8"/>
      <c r="Q877" s="8"/>
      <c r="R877" s="8"/>
      <c r="S877" s="8"/>
      <c r="T877" s="8"/>
      <c r="U877" s="8"/>
      <c r="V877" s="8"/>
      <c r="W877" s="8"/>
      <c r="X877" s="8"/>
      <c r="Y877" s="8"/>
      <c r="Z877" s="8"/>
      <c r="AA877" s="8"/>
    </row>
    <row r="878" spans="1:27" ht="12.75">
      <c r="A878" s="8"/>
      <c r="B878" s="59"/>
      <c r="C878" s="59"/>
      <c r="D878" s="59"/>
      <c r="E878" s="59"/>
      <c r="F878" s="8"/>
      <c r="G878" s="8"/>
      <c r="H878" s="8"/>
      <c r="I878" s="8"/>
      <c r="J878" s="8"/>
      <c r="K878" s="8"/>
      <c r="L878" s="8"/>
      <c r="M878" s="8"/>
      <c r="N878" s="8"/>
      <c r="O878" s="8"/>
      <c r="P878" s="8"/>
      <c r="Q878" s="8"/>
      <c r="R878" s="8"/>
      <c r="S878" s="8"/>
      <c r="T878" s="8"/>
      <c r="U878" s="8"/>
      <c r="V878" s="8"/>
      <c r="W878" s="8"/>
      <c r="X878" s="8"/>
      <c r="Y878" s="8"/>
      <c r="Z878" s="8"/>
      <c r="AA878" s="8"/>
    </row>
    <row r="879" spans="1:27" ht="12.75">
      <c r="A879" s="8"/>
      <c r="B879" s="59"/>
      <c r="C879" s="59"/>
      <c r="D879" s="59"/>
      <c r="E879" s="59"/>
      <c r="F879" s="8"/>
      <c r="G879" s="8"/>
      <c r="H879" s="8"/>
      <c r="I879" s="8"/>
      <c r="J879" s="8"/>
      <c r="K879" s="8"/>
      <c r="L879" s="8"/>
      <c r="M879" s="8"/>
      <c r="N879" s="8"/>
      <c r="O879" s="8"/>
      <c r="P879" s="8"/>
      <c r="Q879" s="8"/>
      <c r="R879" s="8"/>
      <c r="S879" s="8"/>
      <c r="T879" s="8"/>
      <c r="U879" s="8"/>
      <c r="V879" s="8"/>
      <c r="W879" s="8"/>
      <c r="X879" s="8"/>
      <c r="Y879" s="8"/>
      <c r="Z879" s="8"/>
      <c r="AA879" s="8"/>
    </row>
    <row r="880" spans="1:27" ht="12.75">
      <c r="A880" s="8"/>
      <c r="B880" s="59"/>
      <c r="C880" s="59"/>
      <c r="D880" s="59"/>
      <c r="E880" s="59"/>
      <c r="F880" s="8"/>
      <c r="G880" s="8"/>
      <c r="H880" s="8"/>
      <c r="I880" s="8"/>
      <c r="J880" s="8"/>
      <c r="K880" s="8"/>
      <c r="L880" s="8"/>
      <c r="M880" s="8"/>
      <c r="N880" s="8"/>
      <c r="O880" s="8"/>
      <c r="P880" s="8"/>
      <c r="Q880" s="8"/>
      <c r="R880" s="8"/>
      <c r="S880" s="8"/>
      <c r="T880" s="8"/>
      <c r="U880" s="8"/>
      <c r="V880" s="8"/>
      <c r="W880" s="8"/>
      <c r="X880" s="8"/>
      <c r="Y880" s="8"/>
      <c r="Z880" s="8"/>
      <c r="AA880" s="8"/>
    </row>
    <row r="881" spans="1:27" ht="12.75">
      <c r="A881" s="8"/>
      <c r="B881" s="59"/>
      <c r="C881" s="59"/>
      <c r="D881" s="59"/>
      <c r="E881" s="59"/>
      <c r="F881" s="8"/>
      <c r="G881" s="8"/>
      <c r="H881" s="8"/>
      <c r="I881" s="8"/>
      <c r="J881" s="8"/>
      <c r="K881" s="8"/>
      <c r="L881" s="8"/>
      <c r="M881" s="8"/>
      <c r="N881" s="8"/>
      <c r="O881" s="8"/>
      <c r="P881" s="8"/>
      <c r="Q881" s="8"/>
      <c r="R881" s="8"/>
      <c r="S881" s="8"/>
      <c r="T881" s="8"/>
      <c r="U881" s="8"/>
      <c r="V881" s="8"/>
      <c r="W881" s="8"/>
      <c r="X881" s="8"/>
      <c r="Y881" s="8"/>
      <c r="Z881" s="8"/>
      <c r="AA881" s="8"/>
    </row>
    <row r="882" spans="1:27" ht="12.75">
      <c r="A882" s="8"/>
      <c r="B882" s="59"/>
      <c r="C882" s="59"/>
      <c r="D882" s="59"/>
      <c r="E882" s="59"/>
      <c r="F882" s="8"/>
      <c r="G882" s="8"/>
      <c r="H882" s="8"/>
      <c r="I882" s="8"/>
      <c r="J882" s="8"/>
      <c r="K882" s="8"/>
      <c r="L882" s="8"/>
      <c r="M882" s="8"/>
      <c r="N882" s="8"/>
      <c r="O882" s="8"/>
      <c r="P882" s="8"/>
      <c r="Q882" s="8"/>
      <c r="R882" s="8"/>
      <c r="S882" s="8"/>
      <c r="T882" s="8"/>
      <c r="U882" s="8"/>
      <c r="V882" s="8"/>
      <c r="W882" s="8"/>
      <c r="X882" s="8"/>
      <c r="Y882" s="8"/>
      <c r="Z882" s="8"/>
      <c r="AA882" s="8"/>
    </row>
    <row r="883" spans="1:27" ht="12.75">
      <c r="A883" s="8"/>
      <c r="B883" s="59"/>
      <c r="C883" s="59"/>
      <c r="D883" s="59"/>
      <c r="E883" s="59"/>
      <c r="F883" s="8"/>
      <c r="G883" s="8"/>
      <c r="H883" s="8"/>
      <c r="I883" s="8"/>
      <c r="J883" s="8"/>
      <c r="K883" s="8"/>
      <c r="L883" s="8"/>
      <c r="M883" s="8"/>
      <c r="N883" s="8"/>
      <c r="O883" s="8"/>
      <c r="P883" s="8"/>
      <c r="Q883" s="8"/>
      <c r="R883" s="8"/>
      <c r="S883" s="8"/>
      <c r="T883" s="8"/>
      <c r="U883" s="8"/>
      <c r="V883" s="8"/>
      <c r="W883" s="8"/>
      <c r="X883" s="8"/>
      <c r="Y883" s="8"/>
      <c r="Z883" s="8"/>
      <c r="AA883" s="8"/>
    </row>
    <row r="884" spans="1:27" ht="12.75">
      <c r="A884" s="8"/>
      <c r="B884" s="59"/>
      <c r="C884" s="59"/>
      <c r="D884" s="59"/>
      <c r="E884" s="59"/>
      <c r="F884" s="8"/>
      <c r="G884" s="8"/>
      <c r="H884" s="8"/>
      <c r="I884" s="8"/>
      <c r="J884" s="8"/>
      <c r="K884" s="8"/>
      <c r="L884" s="8"/>
      <c r="M884" s="8"/>
      <c r="N884" s="8"/>
      <c r="O884" s="8"/>
      <c r="P884" s="8"/>
      <c r="Q884" s="8"/>
      <c r="R884" s="8"/>
      <c r="S884" s="8"/>
      <c r="T884" s="8"/>
      <c r="U884" s="8"/>
      <c r="V884" s="8"/>
      <c r="W884" s="8"/>
      <c r="X884" s="8"/>
      <c r="Y884" s="8"/>
      <c r="Z884" s="8"/>
      <c r="AA884" s="8"/>
    </row>
    <row r="885" spans="1:27" ht="12.75">
      <c r="A885" s="8"/>
      <c r="B885" s="59"/>
      <c r="C885" s="59"/>
      <c r="D885" s="59"/>
      <c r="E885" s="59"/>
      <c r="F885" s="8"/>
      <c r="G885" s="8"/>
      <c r="H885" s="8"/>
      <c r="I885" s="8"/>
      <c r="J885" s="8"/>
      <c r="K885" s="8"/>
      <c r="L885" s="8"/>
      <c r="M885" s="8"/>
      <c r="N885" s="8"/>
      <c r="O885" s="8"/>
      <c r="P885" s="8"/>
      <c r="Q885" s="8"/>
      <c r="R885" s="8"/>
      <c r="S885" s="8"/>
      <c r="T885" s="8"/>
      <c r="U885" s="8"/>
      <c r="V885" s="8"/>
      <c r="W885" s="8"/>
      <c r="X885" s="8"/>
      <c r="Y885" s="8"/>
      <c r="Z885" s="8"/>
      <c r="AA885" s="8"/>
    </row>
    <row r="886" spans="1:27" ht="12.75">
      <c r="A886" s="8"/>
      <c r="B886" s="59"/>
      <c r="C886" s="59"/>
      <c r="D886" s="59"/>
      <c r="E886" s="59"/>
      <c r="F886" s="8"/>
      <c r="G886" s="8"/>
      <c r="H886" s="8"/>
      <c r="I886" s="8"/>
      <c r="J886" s="8"/>
      <c r="K886" s="8"/>
      <c r="L886" s="8"/>
      <c r="M886" s="8"/>
      <c r="N886" s="8"/>
      <c r="O886" s="8"/>
      <c r="P886" s="8"/>
      <c r="Q886" s="8"/>
      <c r="R886" s="8"/>
      <c r="S886" s="8"/>
      <c r="T886" s="8"/>
      <c r="U886" s="8"/>
      <c r="V886" s="8"/>
      <c r="W886" s="8"/>
      <c r="X886" s="8"/>
      <c r="Y886" s="8"/>
      <c r="Z886" s="8"/>
      <c r="AA886" s="8"/>
    </row>
    <row r="887" spans="1:27" ht="12.75">
      <c r="A887" s="8"/>
      <c r="B887" s="59"/>
      <c r="C887" s="59"/>
      <c r="D887" s="59"/>
      <c r="E887" s="59"/>
      <c r="F887" s="8"/>
      <c r="G887" s="8"/>
      <c r="H887" s="8"/>
      <c r="I887" s="8"/>
      <c r="J887" s="8"/>
      <c r="K887" s="8"/>
      <c r="L887" s="8"/>
      <c r="M887" s="8"/>
      <c r="N887" s="8"/>
      <c r="O887" s="8"/>
      <c r="P887" s="8"/>
      <c r="Q887" s="8"/>
      <c r="R887" s="8"/>
      <c r="S887" s="8"/>
      <c r="T887" s="8"/>
      <c r="U887" s="8"/>
      <c r="V887" s="8"/>
      <c r="W887" s="8"/>
      <c r="X887" s="8"/>
      <c r="Y887" s="8"/>
      <c r="Z887" s="8"/>
      <c r="AA887" s="8"/>
    </row>
    <row r="888" spans="1:27" ht="12.75">
      <c r="A888" s="8"/>
      <c r="B888" s="59"/>
      <c r="C888" s="59"/>
      <c r="D888" s="59"/>
      <c r="E888" s="59"/>
      <c r="F888" s="8"/>
      <c r="G888" s="8"/>
      <c r="H888" s="8"/>
      <c r="I888" s="8"/>
      <c r="J888" s="8"/>
      <c r="K888" s="8"/>
      <c r="L888" s="8"/>
      <c r="M888" s="8"/>
      <c r="N888" s="8"/>
      <c r="O888" s="8"/>
      <c r="P888" s="8"/>
      <c r="Q888" s="8"/>
      <c r="R888" s="8"/>
      <c r="S888" s="8"/>
      <c r="T888" s="8"/>
      <c r="U888" s="8"/>
      <c r="V888" s="8"/>
      <c r="W888" s="8"/>
      <c r="X888" s="8"/>
      <c r="Y888" s="8"/>
      <c r="Z888" s="8"/>
      <c r="AA888" s="8"/>
    </row>
    <row r="889" spans="1:27" ht="12.75">
      <c r="A889" s="8"/>
      <c r="B889" s="59"/>
      <c r="C889" s="59"/>
      <c r="D889" s="59"/>
      <c r="E889" s="59"/>
      <c r="F889" s="8"/>
      <c r="G889" s="8"/>
      <c r="H889" s="8"/>
      <c r="I889" s="8"/>
      <c r="J889" s="8"/>
      <c r="K889" s="8"/>
      <c r="L889" s="8"/>
      <c r="M889" s="8"/>
      <c r="N889" s="8"/>
      <c r="O889" s="8"/>
      <c r="P889" s="8"/>
      <c r="Q889" s="8"/>
      <c r="R889" s="8"/>
      <c r="S889" s="8"/>
      <c r="T889" s="8"/>
      <c r="U889" s="8"/>
      <c r="V889" s="8"/>
      <c r="W889" s="8"/>
      <c r="X889" s="8"/>
      <c r="Y889" s="8"/>
      <c r="Z889" s="8"/>
      <c r="AA889" s="8"/>
    </row>
    <row r="890" spans="1:27" ht="12.75">
      <c r="A890" s="8"/>
      <c r="B890" s="59"/>
      <c r="C890" s="59"/>
      <c r="D890" s="59"/>
      <c r="E890" s="59"/>
      <c r="F890" s="8"/>
      <c r="G890" s="8"/>
      <c r="H890" s="8"/>
      <c r="I890" s="8"/>
      <c r="J890" s="8"/>
      <c r="K890" s="8"/>
      <c r="L890" s="8"/>
      <c r="M890" s="8"/>
      <c r="N890" s="8"/>
      <c r="O890" s="8"/>
      <c r="P890" s="8"/>
      <c r="Q890" s="8"/>
      <c r="R890" s="8"/>
      <c r="S890" s="8"/>
      <c r="T890" s="8"/>
      <c r="U890" s="8"/>
      <c r="V890" s="8"/>
      <c r="W890" s="8"/>
      <c r="X890" s="8"/>
      <c r="Y890" s="8"/>
      <c r="Z890" s="8"/>
      <c r="AA890" s="8"/>
    </row>
    <row r="891" spans="1:27" ht="12.75">
      <c r="A891" s="8"/>
      <c r="B891" s="59"/>
      <c r="C891" s="59"/>
      <c r="D891" s="59"/>
      <c r="E891" s="59"/>
      <c r="F891" s="8"/>
      <c r="G891" s="8"/>
      <c r="H891" s="8"/>
      <c r="I891" s="8"/>
      <c r="J891" s="8"/>
      <c r="K891" s="8"/>
      <c r="L891" s="8"/>
      <c r="M891" s="8"/>
      <c r="N891" s="8"/>
      <c r="O891" s="8"/>
      <c r="P891" s="8"/>
      <c r="Q891" s="8"/>
      <c r="R891" s="8"/>
      <c r="S891" s="8"/>
      <c r="T891" s="8"/>
      <c r="U891" s="8"/>
      <c r="V891" s="8"/>
      <c r="W891" s="8"/>
      <c r="X891" s="8"/>
      <c r="Y891" s="8"/>
      <c r="Z891" s="8"/>
      <c r="AA891" s="8"/>
    </row>
    <row r="892" spans="1:27" ht="12.75">
      <c r="A892" s="8"/>
      <c r="B892" s="59"/>
      <c r="C892" s="59"/>
      <c r="D892" s="59"/>
      <c r="E892" s="59"/>
      <c r="F892" s="8"/>
      <c r="G892" s="8"/>
      <c r="H892" s="8"/>
      <c r="I892" s="8"/>
      <c r="J892" s="8"/>
      <c r="K892" s="8"/>
      <c r="L892" s="8"/>
      <c r="M892" s="8"/>
      <c r="N892" s="8"/>
      <c r="O892" s="8"/>
      <c r="P892" s="8"/>
      <c r="Q892" s="8"/>
      <c r="R892" s="8"/>
      <c r="S892" s="8"/>
      <c r="T892" s="8"/>
      <c r="U892" s="8"/>
      <c r="V892" s="8"/>
      <c r="W892" s="8"/>
      <c r="X892" s="8"/>
      <c r="Y892" s="8"/>
      <c r="Z892" s="8"/>
      <c r="AA892" s="8"/>
    </row>
    <row r="893" spans="1:27" ht="12.75">
      <c r="A893" s="8"/>
      <c r="B893" s="59"/>
      <c r="C893" s="59"/>
      <c r="D893" s="59"/>
      <c r="E893" s="59"/>
      <c r="F893" s="8"/>
      <c r="G893" s="8"/>
      <c r="H893" s="8"/>
      <c r="I893" s="8"/>
      <c r="J893" s="8"/>
      <c r="K893" s="8"/>
      <c r="L893" s="8"/>
      <c r="M893" s="8"/>
      <c r="N893" s="8"/>
      <c r="O893" s="8"/>
      <c r="P893" s="8"/>
      <c r="Q893" s="8"/>
      <c r="R893" s="8"/>
      <c r="S893" s="8"/>
      <c r="T893" s="8"/>
      <c r="U893" s="8"/>
      <c r="V893" s="8"/>
      <c r="W893" s="8"/>
      <c r="X893" s="8"/>
      <c r="Y893" s="8"/>
      <c r="Z893" s="8"/>
      <c r="AA893" s="8"/>
    </row>
    <row r="894" spans="1:27" ht="12.75">
      <c r="A894" s="8"/>
      <c r="B894" s="59"/>
      <c r="C894" s="59"/>
      <c r="D894" s="59"/>
      <c r="E894" s="59"/>
      <c r="F894" s="8"/>
      <c r="G894" s="8"/>
      <c r="H894" s="8"/>
      <c r="I894" s="8"/>
      <c r="J894" s="8"/>
      <c r="K894" s="8"/>
      <c r="L894" s="8"/>
      <c r="M894" s="8"/>
      <c r="N894" s="8"/>
      <c r="O894" s="8"/>
      <c r="P894" s="8"/>
      <c r="Q894" s="8"/>
      <c r="R894" s="8"/>
      <c r="S894" s="8"/>
      <c r="T894" s="8"/>
      <c r="U894" s="8"/>
      <c r="V894" s="8"/>
      <c r="W894" s="8"/>
      <c r="X894" s="8"/>
      <c r="Y894" s="8"/>
      <c r="Z894" s="8"/>
      <c r="AA894" s="8"/>
    </row>
    <row r="895" spans="1:27" ht="12.75">
      <c r="A895" s="8"/>
      <c r="B895" s="59"/>
      <c r="C895" s="59"/>
      <c r="D895" s="59"/>
      <c r="E895" s="59"/>
      <c r="F895" s="8"/>
      <c r="G895" s="8"/>
      <c r="H895" s="8"/>
      <c r="I895" s="8"/>
      <c r="J895" s="8"/>
      <c r="K895" s="8"/>
      <c r="L895" s="8"/>
      <c r="M895" s="8"/>
      <c r="N895" s="8"/>
      <c r="O895" s="8"/>
      <c r="P895" s="8"/>
      <c r="Q895" s="8"/>
      <c r="R895" s="8"/>
      <c r="S895" s="8"/>
      <c r="T895" s="8"/>
      <c r="U895" s="8"/>
      <c r="V895" s="8"/>
      <c r="W895" s="8"/>
      <c r="X895" s="8"/>
      <c r="Y895" s="8"/>
      <c r="Z895" s="8"/>
      <c r="AA895" s="8"/>
    </row>
    <row r="896" spans="1:27" ht="12.75">
      <c r="A896" s="8"/>
      <c r="B896" s="59"/>
      <c r="C896" s="59"/>
      <c r="D896" s="59"/>
      <c r="E896" s="59"/>
      <c r="F896" s="8"/>
      <c r="G896" s="8"/>
      <c r="H896" s="8"/>
      <c r="I896" s="8"/>
      <c r="J896" s="8"/>
      <c r="K896" s="8"/>
      <c r="L896" s="8"/>
      <c r="M896" s="8"/>
      <c r="N896" s="8"/>
      <c r="O896" s="8"/>
      <c r="P896" s="8"/>
      <c r="Q896" s="8"/>
      <c r="R896" s="8"/>
      <c r="S896" s="8"/>
      <c r="T896" s="8"/>
      <c r="U896" s="8"/>
      <c r="V896" s="8"/>
      <c r="W896" s="8"/>
      <c r="X896" s="8"/>
      <c r="Y896" s="8"/>
      <c r="Z896" s="8"/>
      <c r="AA896" s="8"/>
    </row>
    <row r="897" spans="1:27" ht="12.75">
      <c r="A897" s="8"/>
      <c r="B897" s="59"/>
      <c r="C897" s="59"/>
      <c r="D897" s="59"/>
      <c r="E897" s="59"/>
      <c r="F897" s="8"/>
      <c r="G897" s="8"/>
      <c r="H897" s="8"/>
      <c r="I897" s="8"/>
      <c r="J897" s="8"/>
      <c r="K897" s="8"/>
      <c r="L897" s="8"/>
      <c r="M897" s="8"/>
      <c r="N897" s="8"/>
      <c r="O897" s="8"/>
      <c r="P897" s="8"/>
      <c r="Q897" s="8"/>
      <c r="R897" s="8"/>
      <c r="S897" s="8"/>
      <c r="T897" s="8"/>
      <c r="U897" s="8"/>
      <c r="V897" s="8"/>
      <c r="W897" s="8"/>
      <c r="X897" s="8"/>
      <c r="Y897" s="8"/>
      <c r="Z897" s="8"/>
      <c r="AA897" s="8"/>
    </row>
    <row r="898" spans="1:27" ht="12.75">
      <c r="A898" s="8"/>
      <c r="B898" s="59"/>
      <c r="C898" s="59"/>
      <c r="D898" s="59"/>
      <c r="E898" s="59"/>
      <c r="F898" s="8"/>
      <c r="G898" s="8"/>
      <c r="H898" s="8"/>
      <c r="I898" s="8"/>
      <c r="J898" s="8"/>
      <c r="K898" s="8"/>
      <c r="L898" s="8"/>
      <c r="M898" s="8"/>
      <c r="N898" s="8"/>
      <c r="O898" s="8"/>
      <c r="P898" s="8"/>
      <c r="Q898" s="8"/>
      <c r="R898" s="8"/>
      <c r="S898" s="8"/>
      <c r="T898" s="8"/>
      <c r="U898" s="8"/>
      <c r="V898" s="8"/>
      <c r="W898" s="8"/>
      <c r="X898" s="8"/>
      <c r="Y898" s="8"/>
      <c r="Z898" s="8"/>
      <c r="AA898" s="8"/>
    </row>
    <row r="899" spans="1:27" ht="12.75">
      <c r="A899" s="8"/>
      <c r="B899" s="59"/>
      <c r="C899" s="59"/>
      <c r="D899" s="59"/>
      <c r="E899" s="59"/>
      <c r="F899" s="8"/>
      <c r="G899" s="8"/>
      <c r="H899" s="8"/>
      <c r="I899" s="8"/>
      <c r="J899" s="8"/>
      <c r="K899" s="8"/>
      <c r="L899" s="8"/>
      <c r="M899" s="8"/>
      <c r="N899" s="8"/>
      <c r="O899" s="8"/>
      <c r="P899" s="8"/>
      <c r="Q899" s="8"/>
      <c r="R899" s="8"/>
      <c r="S899" s="8"/>
      <c r="T899" s="8"/>
      <c r="U899" s="8"/>
      <c r="V899" s="8"/>
      <c r="W899" s="8"/>
      <c r="X899" s="8"/>
      <c r="Y899" s="8"/>
      <c r="Z899" s="8"/>
      <c r="AA899" s="8"/>
    </row>
    <row r="900" spans="1:27" ht="12.75">
      <c r="A900" s="8"/>
      <c r="B900" s="59"/>
      <c r="C900" s="59"/>
      <c r="D900" s="59"/>
      <c r="E900" s="59"/>
      <c r="F900" s="8"/>
      <c r="G900" s="8"/>
      <c r="H900" s="8"/>
      <c r="I900" s="8"/>
      <c r="J900" s="8"/>
      <c r="K900" s="8"/>
      <c r="L900" s="8"/>
      <c r="M900" s="8"/>
      <c r="N900" s="8"/>
      <c r="O900" s="8"/>
      <c r="P900" s="8"/>
      <c r="Q900" s="8"/>
      <c r="R900" s="8"/>
      <c r="S900" s="8"/>
      <c r="T900" s="8"/>
      <c r="U900" s="8"/>
      <c r="V900" s="8"/>
      <c r="W900" s="8"/>
      <c r="X900" s="8"/>
      <c r="Y900" s="8"/>
      <c r="Z900" s="8"/>
      <c r="AA900" s="8"/>
    </row>
    <row r="901" spans="1:27" ht="12.75">
      <c r="A901" s="8"/>
      <c r="B901" s="59"/>
      <c r="C901" s="59"/>
      <c r="D901" s="59"/>
      <c r="E901" s="59"/>
      <c r="F901" s="8"/>
      <c r="G901" s="8"/>
      <c r="H901" s="8"/>
      <c r="I901" s="8"/>
      <c r="J901" s="8"/>
      <c r="K901" s="8"/>
      <c r="L901" s="8"/>
      <c r="M901" s="8"/>
      <c r="N901" s="8"/>
      <c r="O901" s="8"/>
      <c r="P901" s="8"/>
      <c r="Q901" s="8"/>
      <c r="R901" s="8"/>
      <c r="S901" s="8"/>
      <c r="T901" s="8"/>
      <c r="U901" s="8"/>
      <c r="V901" s="8"/>
      <c r="W901" s="8"/>
      <c r="X901" s="8"/>
      <c r="Y901" s="8"/>
      <c r="Z901" s="8"/>
      <c r="AA901" s="8"/>
    </row>
    <row r="902" spans="1:27" ht="12.75">
      <c r="A902" s="8"/>
      <c r="B902" s="59"/>
      <c r="C902" s="59"/>
      <c r="D902" s="59"/>
      <c r="E902" s="59"/>
      <c r="F902" s="8"/>
      <c r="G902" s="8"/>
      <c r="H902" s="8"/>
      <c r="I902" s="8"/>
      <c r="J902" s="8"/>
      <c r="K902" s="8"/>
      <c r="L902" s="8"/>
      <c r="M902" s="8"/>
      <c r="N902" s="8"/>
      <c r="O902" s="8"/>
      <c r="P902" s="8"/>
      <c r="Q902" s="8"/>
      <c r="R902" s="8"/>
      <c r="S902" s="8"/>
      <c r="T902" s="8"/>
      <c r="U902" s="8"/>
      <c r="V902" s="8"/>
      <c r="W902" s="8"/>
      <c r="X902" s="8"/>
      <c r="Y902" s="8"/>
      <c r="Z902" s="8"/>
      <c r="AA902" s="8"/>
    </row>
    <row r="903" spans="1:27" ht="12.75">
      <c r="A903" s="8"/>
      <c r="B903" s="59"/>
      <c r="C903" s="59"/>
      <c r="D903" s="59"/>
      <c r="E903" s="59"/>
      <c r="F903" s="8"/>
      <c r="G903" s="8"/>
      <c r="H903" s="8"/>
      <c r="I903" s="8"/>
      <c r="J903" s="8"/>
      <c r="K903" s="8"/>
      <c r="L903" s="8"/>
      <c r="M903" s="8"/>
      <c r="N903" s="8"/>
      <c r="O903" s="8"/>
      <c r="P903" s="8"/>
      <c r="Q903" s="8"/>
      <c r="R903" s="8"/>
      <c r="S903" s="8"/>
      <c r="T903" s="8"/>
      <c r="U903" s="8"/>
      <c r="V903" s="8"/>
      <c r="W903" s="8"/>
      <c r="X903" s="8"/>
      <c r="Y903" s="8"/>
      <c r="Z903" s="8"/>
      <c r="AA903" s="8"/>
    </row>
    <row r="904" spans="1:27" ht="12.75">
      <c r="A904" s="8"/>
      <c r="B904" s="59"/>
      <c r="C904" s="59"/>
      <c r="D904" s="59"/>
      <c r="E904" s="59"/>
      <c r="F904" s="8"/>
      <c r="G904" s="8"/>
      <c r="H904" s="8"/>
      <c r="I904" s="8"/>
      <c r="J904" s="8"/>
      <c r="K904" s="8"/>
      <c r="L904" s="8"/>
      <c r="M904" s="8"/>
      <c r="N904" s="8"/>
      <c r="O904" s="8"/>
      <c r="P904" s="8"/>
      <c r="Q904" s="8"/>
      <c r="R904" s="8"/>
      <c r="S904" s="8"/>
      <c r="T904" s="8"/>
      <c r="U904" s="8"/>
      <c r="V904" s="8"/>
      <c r="W904" s="8"/>
      <c r="X904" s="8"/>
      <c r="Y904" s="8"/>
      <c r="Z904" s="8"/>
      <c r="AA904" s="8"/>
    </row>
    <row r="905" spans="1:27" ht="12.75">
      <c r="A905" s="8"/>
      <c r="B905" s="59"/>
      <c r="C905" s="59"/>
      <c r="D905" s="59"/>
      <c r="E905" s="59"/>
      <c r="F905" s="8"/>
      <c r="G905" s="8"/>
      <c r="H905" s="8"/>
      <c r="I905" s="8"/>
      <c r="J905" s="8"/>
      <c r="K905" s="8"/>
      <c r="L905" s="8"/>
      <c r="M905" s="8"/>
      <c r="N905" s="8"/>
      <c r="O905" s="8"/>
      <c r="P905" s="8"/>
      <c r="Q905" s="8"/>
      <c r="R905" s="8"/>
      <c r="S905" s="8"/>
      <c r="T905" s="8"/>
      <c r="U905" s="8"/>
      <c r="V905" s="8"/>
      <c r="W905" s="8"/>
      <c r="X905" s="8"/>
      <c r="Y905" s="8"/>
      <c r="Z905" s="8"/>
      <c r="AA905" s="8"/>
    </row>
    <row r="906" spans="1:27" ht="12.75">
      <c r="A906" s="8"/>
      <c r="B906" s="59"/>
      <c r="C906" s="59"/>
      <c r="D906" s="59"/>
      <c r="E906" s="59"/>
      <c r="F906" s="8"/>
      <c r="G906" s="8"/>
      <c r="H906" s="8"/>
      <c r="I906" s="8"/>
      <c r="J906" s="8"/>
      <c r="K906" s="8"/>
      <c r="L906" s="8"/>
      <c r="M906" s="8"/>
      <c r="N906" s="8"/>
      <c r="O906" s="8"/>
      <c r="P906" s="8"/>
      <c r="Q906" s="8"/>
      <c r="R906" s="8"/>
      <c r="S906" s="8"/>
      <c r="T906" s="8"/>
      <c r="U906" s="8"/>
      <c r="V906" s="8"/>
      <c r="W906" s="8"/>
      <c r="X906" s="8"/>
      <c r="Y906" s="8"/>
      <c r="Z906" s="8"/>
      <c r="AA906" s="8"/>
    </row>
    <row r="907" spans="1:27" ht="12.75">
      <c r="A907" s="8"/>
      <c r="B907" s="59"/>
      <c r="C907" s="59"/>
      <c r="D907" s="59"/>
      <c r="E907" s="59"/>
      <c r="F907" s="8"/>
      <c r="G907" s="8"/>
      <c r="H907" s="8"/>
      <c r="I907" s="8"/>
      <c r="J907" s="8"/>
      <c r="K907" s="8"/>
      <c r="L907" s="8"/>
      <c r="M907" s="8"/>
      <c r="N907" s="8"/>
      <c r="O907" s="8"/>
      <c r="P907" s="8"/>
      <c r="Q907" s="8"/>
      <c r="R907" s="8"/>
      <c r="S907" s="8"/>
      <c r="T907" s="8"/>
      <c r="U907" s="8"/>
      <c r="V907" s="8"/>
      <c r="W907" s="8"/>
      <c r="X907" s="8"/>
      <c r="Y907" s="8"/>
      <c r="Z907" s="8"/>
      <c r="AA907" s="8"/>
    </row>
    <row r="908" spans="1:27" ht="12.75">
      <c r="A908" s="8"/>
      <c r="B908" s="59"/>
      <c r="C908" s="59"/>
      <c r="D908" s="59"/>
      <c r="E908" s="59"/>
      <c r="F908" s="8"/>
      <c r="G908" s="8"/>
      <c r="H908" s="8"/>
      <c r="I908" s="8"/>
      <c r="J908" s="8"/>
      <c r="K908" s="8"/>
      <c r="L908" s="8"/>
      <c r="M908" s="8"/>
      <c r="N908" s="8"/>
      <c r="O908" s="8"/>
      <c r="P908" s="8"/>
      <c r="Q908" s="8"/>
      <c r="R908" s="8"/>
      <c r="S908" s="8"/>
      <c r="T908" s="8"/>
      <c r="U908" s="8"/>
      <c r="V908" s="8"/>
      <c r="W908" s="8"/>
      <c r="X908" s="8"/>
      <c r="Y908" s="8"/>
      <c r="Z908" s="8"/>
      <c r="AA908" s="8"/>
    </row>
    <row r="909" spans="1:27" ht="12.75">
      <c r="A909" s="8"/>
      <c r="B909" s="59"/>
      <c r="C909" s="59"/>
      <c r="D909" s="59"/>
      <c r="E909" s="59"/>
      <c r="F909" s="8"/>
      <c r="G909" s="8"/>
      <c r="H909" s="8"/>
      <c r="I909" s="8"/>
      <c r="J909" s="8"/>
      <c r="K909" s="8"/>
      <c r="L909" s="8"/>
      <c r="M909" s="8"/>
      <c r="N909" s="8"/>
      <c r="O909" s="8"/>
      <c r="P909" s="8"/>
      <c r="Q909" s="8"/>
      <c r="R909" s="8"/>
      <c r="S909" s="8"/>
      <c r="T909" s="8"/>
      <c r="U909" s="8"/>
      <c r="V909" s="8"/>
      <c r="W909" s="8"/>
      <c r="X909" s="8"/>
      <c r="Y909" s="8"/>
      <c r="Z909" s="8"/>
      <c r="AA909" s="8"/>
    </row>
    <row r="910" spans="1:27" ht="12.75">
      <c r="A910" s="8"/>
      <c r="B910" s="59"/>
      <c r="C910" s="59"/>
      <c r="D910" s="59"/>
      <c r="E910" s="59"/>
      <c r="F910" s="8"/>
      <c r="G910" s="8"/>
      <c r="H910" s="8"/>
      <c r="I910" s="8"/>
      <c r="J910" s="8"/>
      <c r="K910" s="8"/>
      <c r="L910" s="8"/>
      <c r="M910" s="8"/>
      <c r="N910" s="8"/>
      <c r="O910" s="8"/>
      <c r="P910" s="8"/>
      <c r="Q910" s="8"/>
      <c r="R910" s="8"/>
      <c r="S910" s="8"/>
      <c r="T910" s="8"/>
      <c r="U910" s="8"/>
      <c r="V910" s="8"/>
      <c r="W910" s="8"/>
      <c r="X910" s="8"/>
      <c r="Y910" s="8"/>
      <c r="Z910" s="8"/>
      <c r="AA910" s="8"/>
    </row>
    <row r="911" spans="1:27" ht="12.75">
      <c r="A911" s="8"/>
      <c r="B911" s="59"/>
      <c r="C911" s="59"/>
      <c r="D911" s="59"/>
      <c r="E911" s="59"/>
      <c r="F911" s="8"/>
      <c r="G911" s="8"/>
      <c r="H911" s="8"/>
      <c r="I911" s="8"/>
      <c r="J911" s="8"/>
      <c r="K911" s="8"/>
      <c r="L911" s="8"/>
      <c r="M911" s="8"/>
      <c r="N911" s="8"/>
      <c r="O911" s="8"/>
      <c r="P911" s="8"/>
      <c r="Q911" s="8"/>
      <c r="R911" s="8"/>
      <c r="S911" s="8"/>
      <c r="T911" s="8"/>
      <c r="U911" s="8"/>
      <c r="V911" s="8"/>
      <c r="W911" s="8"/>
      <c r="X911" s="8"/>
      <c r="Y911" s="8"/>
      <c r="Z911" s="8"/>
      <c r="AA911" s="8"/>
    </row>
    <row r="912" spans="1:27" ht="12.75">
      <c r="A912" s="8"/>
      <c r="B912" s="59"/>
      <c r="C912" s="59"/>
      <c r="D912" s="59"/>
      <c r="E912" s="59"/>
      <c r="F912" s="8"/>
      <c r="G912" s="8"/>
      <c r="H912" s="8"/>
      <c r="I912" s="8"/>
      <c r="J912" s="8"/>
      <c r="K912" s="8"/>
      <c r="L912" s="8"/>
      <c r="M912" s="8"/>
      <c r="N912" s="8"/>
      <c r="O912" s="8"/>
      <c r="P912" s="8"/>
      <c r="Q912" s="8"/>
      <c r="R912" s="8"/>
      <c r="S912" s="8"/>
      <c r="T912" s="8"/>
      <c r="U912" s="8"/>
      <c r="V912" s="8"/>
      <c r="W912" s="8"/>
      <c r="X912" s="8"/>
      <c r="Y912" s="8"/>
      <c r="Z912" s="8"/>
      <c r="AA912" s="8"/>
    </row>
    <row r="913" spans="1:27" ht="12.75">
      <c r="A913" s="8"/>
      <c r="B913" s="59"/>
      <c r="C913" s="59"/>
      <c r="D913" s="59"/>
      <c r="E913" s="59"/>
      <c r="F913" s="8"/>
      <c r="G913" s="8"/>
      <c r="H913" s="8"/>
      <c r="I913" s="8"/>
      <c r="J913" s="8"/>
      <c r="K913" s="8"/>
      <c r="L913" s="8"/>
      <c r="M913" s="8"/>
      <c r="N913" s="8"/>
      <c r="O913" s="8"/>
      <c r="P913" s="8"/>
      <c r="Q913" s="8"/>
      <c r="R913" s="8"/>
      <c r="S913" s="8"/>
      <c r="T913" s="8"/>
      <c r="U913" s="8"/>
      <c r="V913" s="8"/>
      <c r="W913" s="8"/>
      <c r="X913" s="8"/>
      <c r="Y913" s="8"/>
      <c r="Z913" s="8"/>
      <c r="AA913" s="8"/>
    </row>
    <row r="914" spans="1:27" ht="12.75">
      <c r="A914" s="8"/>
      <c r="B914" s="59"/>
      <c r="C914" s="59"/>
      <c r="D914" s="59"/>
      <c r="E914" s="59"/>
      <c r="F914" s="8"/>
      <c r="G914" s="8"/>
      <c r="H914" s="8"/>
      <c r="I914" s="8"/>
      <c r="J914" s="8"/>
      <c r="K914" s="8"/>
      <c r="L914" s="8"/>
      <c r="M914" s="8"/>
      <c r="N914" s="8"/>
      <c r="O914" s="8"/>
      <c r="P914" s="8"/>
      <c r="Q914" s="8"/>
      <c r="R914" s="8"/>
      <c r="S914" s="8"/>
      <c r="T914" s="8"/>
      <c r="U914" s="8"/>
      <c r="V914" s="8"/>
      <c r="W914" s="8"/>
      <c r="X914" s="8"/>
      <c r="Y914" s="8"/>
      <c r="Z914" s="8"/>
      <c r="AA914" s="8"/>
    </row>
    <row r="915" spans="1:27" ht="12.75">
      <c r="A915" s="8"/>
      <c r="B915" s="59"/>
      <c r="C915" s="59"/>
      <c r="D915" s="59"/>
      <c r="E915" s="59"/>
      <c r="F915" s="8"/>
      <c r="G915" s="8"/>
      <c r="H915" s="8"/>
      <c r="I915" s="8"/>
      <c r="J915" s="8"/>
      <c r="K915" s="8"/>
      <c r="L915" s="8"/>
      <c r="M915" s="8"/>
      <c r="N915" s="8"/>
      <c r="O915" s="8"/>
      <c r="P915" s="8"/>
      <c r="Q915" s="8"/>
      <c r="R915" s="8"/>
      <c r="S915" s="8"/>
      <c r="T915" s="8"/>
      <c r="U915" s="8"/>
      <c r="V915" s="8"/>
      <c r="W915" s="8"/>
      <c r="X915" s="8"/>
      <c r="Y915" s="8"/>
      <c r="Z915" s="8"/>
      <c r="AA915" s="8"/>
    </row>
    <row r="916" spans="1:27" ht="12.75">
      <c r="A916" s="8"/>
      <c r="B916" s="59"/>
      <c r="C916" s="59"/>
      <c r="D916" s="59"/>
      <c r="E916" s="59"/>
      <c r="F916" s="8"/>
      <c r="G916" s="8"/>
      <c r="H916" s="8"/>
      <c r="I916" s="8"/>
      <c r="J916" s="8"/>
      <c r="K916" s="8"/>
      <c r="L916" s="8"/>
      <c r="M916" s="8"/>
      <c r="N916" s="8"/>
      <c r="O916" s="8"/>
      <c r="P916" s="8"/>
      <c r="Q916" s="8"/>
      <c r="R916" s="8"/>
      <c r="S916" s="8"/>
      <c r="T916" s="8"/>
      <c r="U916" s="8"/>
      <c r="V916" s="8"/>
      <c r="W916" s="8"/>
      <c r="X916" s="8"/>
      <c r="Y916" s="8"/>
      <c r="Z916" s="8"/>
      <c r="AA916" s="8"/>
    </row>
    <row r="917" spans="1:27" ht="12.75">
      <c r="A917" s="8"/>
      <c r="B917" s="59"/>
      <c r="C917" s="59"/>
      <c r="D917" s="59"/>
      <c r="E917" s="59"/>
      <c r="F917" s="8"/>
      <c r="G917" s="8"/>
      <c r="H917" s="8"/>
      <c r="I917" s="8"/>
      <c r="J917" s="8"/>
      <c r="K917" s="8"/>
      <c r="L917" s="8"/>
      <c r="M917" s="8"/>
      <c r="N917" s="8"/>
      <c r="O917" s="8"/>
      <c r="P917" s="8"/>
      <c r="Q917" s="8"/>
      <c r="R917" s="8"/>
      <c r="S917" s="8"/>
      <c r="T917" s="8"/>
      <c r="U917" s="8"/>
      <c r="V917" s="8"/>
      <c r="W917" s="8"/>
      <c r="X917" s="8"/>
      <c r="Y917" s="8"/>
      <c r="Z917" s="8"/>
      <c r="AA917" s="8"/>
    </row>
    <row r="918" spans="1:27" ht="12.75">
      <c r="A918" s="8"/>
      <c r="B918" s="59"/>
      <c r="C918" s="59"/>
      <c r="D918" s="59"/>
      <c r="E918" s="59"/>
      <c r="F918" s="8"/>
      <c r="G918" s="8"/>
      <c r="H918" s="8"/>
      <c r="I918" s="8"/>
      <c r="J918" s="8"/>
      <c r="K918" s="8"/>
      <c r="L918" s="8"/>
      <c r="M918" s="8"/>
      <c r="N918" s="8"/>
      <c r="O918" s="8"/>
      <c r="P918" s="8"/>
      <c r="Q918" s="8"/>
      <c r="R918" s="8"/>
      <c r="S918" s="8"/>
      <c r="T918" s="8"/>
      <c r="U918" s="8"/>
      <c r="V918" s="8"/>
      <c r="W918" s="8"/>
      <c r="X918" s="8"/>
      <c r="Y918" s="8"/>
      <c r="Z918" s="8"/>
      <c r="AA918" s="8"/>
    </row>
    <row r="919" spans="1:27" ht="12.75">
      <c r="A919" s="8"/>
      <c r="B919" s="59"/>
      <c r="C919" s="59"/>
      <c r="D919" s="59"/>
      <c r="E919" s="59"/>
      <c r="F919" s="8"/>
      <c r="G919" s="8"/>
      <c r="H919" s="8"/>
      <c r="I919" s="8"/>
      <c r="J919" s="8"/>
      <c r="K919" s="8"/>
      <c r="L919" s="8"/>
      <c r="M919" s="8"/>
      <c r="N919" s="8"/>
      <c r="O919" s="8"/>
      <c r="P919" s="8"/>
      <c r="Q919" s="8"/>
      <c r="R919" s="8"/>
      <c r="S919" s="8"/>
      <c r="T919" s="8"/>
      <c r="U919" s="8"/>
      <c r="V919" s="8"/>
      <c r="W919" s="8"/>
      <c r="X919" s="8"/>
      <c r="Y919" s="8"/>
      <c r="Z919" s="8"/>
      <c r="AA919" s="8"/>
    </row>
    <row r="920" spans="1:27" ht="12.75">
      <c r="A920" s="8"/>
      <c r="B920" s="59"/>
      <c r="C920" s="59"/>
      <c r="D920" s="59"/>
      <c r="E920" s="59"/>
      <c r="F920" s="8"/>
      <c r="G920" s="8"/>
      <c r="H920" s="8"/>
      <c r="I920" s="8"/>
      <c r="J920" s="8"/>
      <c r="K920" s="8"/>
      <c r="L920" s="8"/>
      <c r="M920" s="8"/>
      <c r="N920" s="8"/>
      <c r="O920" s="8"/>
      <c r="P920" s="8"/>
      <c r="Q920" s="8"/>
      <c r="R920" s="8"/>
      <c r="S920" s="8"/>
      <c r="T920" s="8"/>
      <c r="U920" s="8"/>
      <c r="V920" s="8"/>
      <c r="W920" s="8"/>
      <c r="X920" s="8"/>
      <c r="Y920" s="8"/>
      <c r="Z920" s="8"/>
      <c r="AA920" s="8"/>
    </row>
    <row r="921" spans="1:27" ht="12.75">
      <c r="A921" s="8"/>
      <c r="B921" s="59"/>
      <c r="C921" s="59"/>
      <c r="D921" s="59"/>
      <c r="E921" s="59"/>
      <c r="F921" s="8"/>
      <c r="G921" s="8"/>
      <c r="H921" s="8"/>
      <c r="I921" s="8"/>
      <c r="J921" s="8"/>
      <c r="K921" s="8"/>
      <c r="L921" s="8"/>
      <c r="M921" s="8"/>
      <c r="N921" s="8"/>
      <c r="O921" s="8"/>
      <c r="P921" s="8"/>
      <c r="Q921" s="8"/>
      <c r="R921" s="8"/>
      <c r="S921" s="8"/>
      <c r="T921" s="8"/>
      <c r="U921" s="8"/>
      <c r="V921" s="8"/>
      <c r="W921" s="8"/>
      <c r="X921" s="8"/>
      <c r="Y921" s="8"/>
      <c r="Z921" s="8"/>
      <c r="AA921" s="8"/>
    </row>
    <row r="922" spans="1:27" ht="12.75">
      <c r="A922" s="8"/>
      <c r="B922" s="59"/>
      <c r="C922" s="59"/>
      <c r="D922" s="59"/>
      <c r="E922" s="59"/>
      <c r="F922" s="8"/>
      <c r="G922" s="8"/>
      <c r="H922" s="8"/>
      <c r="I922" s="8"/>
      <c r="J922" s="8"/>
      <c r="K922" s="8"/>
      <c r="L922" s="8"/>
      <c r="M922" s="8"/>
      <c r="N922" s="8"/>
      <c r="O922" s="8"/>
      <c r="P922" s="8"/>
      <c r="Q922" s="8"/>
      <c r="R922" s="8"/>
      <c r="S922" s="8"/>
      <c r="T922" s="8"/>
      <c r="U922" s="8"/>
      <c r="V922" s="8"/>
      <c r="W922" s="8"/>
      <c r="X922" s="8"/>
      <c r="Y922" s="8"/>
      <c r="Z922" s="8"/>
      <c r="AA922" s="8"/>
    </row>
    <row r="923" spans="1:27" ht="12.75">
      <c r="A923" s="8"/>
      <c r="B923" s="59"/>
      <c r="C923" s="59"/>
      <c r="D923" s="59"/>
      <c r="E923" s="59"/>
      <c r="F923" s="8"/>
      <c r="G923" s="8"/>
      <c r="H923" s="8"/>
      <c r="I923" s="8"/>
      <c r="J923" s="8"/>
      <c r="K923" s="8"/>
      <c r="L923" s="8"/>
      <c r="M923" s="8"/>
      <c r="N923" s="8"/>
      <c r="O923" s="8"/>
      <c r="P923" s="8"/>
      <c r="Q923" s="8"/>
      <c r="R923" s="8"/>
      <c r="S923" s="8"/>
      <c r="T923" s="8"/>
      <c r="U923" s="8"/>
      <c r="V923" s="8"/>
      <c r="W923" s="8"/>
      <c r="X923" s="8"/>
      <c r="Y923" s="8"/>
      <c r="Z923" s="8"/>
      <c r="AA923" s="8"/>
    </row>
    <row r="924" spans="1:27" ht="12.75">
      <c r="A924" s="8"/>
      <c r="B924" s="59"/>
      <c r="C924" s="59"/>
      <c r="D924" s="59"/>
      <c r="E924" s="59"/>
      <c r="F924" s="8"/>
      <c r="G924" s="8"/>
      <c r="H924" s="8"/>
      <c r="I924" s="8"/>
      <c r="J924" s="8"/>
      <c r="K924" s="8"/>
      <c r="L924" s="8"/>
      <c r="M924" s="8"/>
      <c r="N924" s="8"/>
      <c r="O924" s="8"/>
      <c r="P924" s="8"/>
      <c r="Q924" s="8"/>
      <c r="R924" s="8"/>
      <c r="S924" s="8"/>
      <c r="T924" s="8"/>
      <c r="U924" s="8"/>
      <c r="V924" s="8"/>
      <c r="W924" s="8"/>
      <c r="X924" s="8"/>
      <c r="Y924" s="8"/>
      <c r="Z924" s="8"/>
      <c r="AA924" s="8"/>
    </row>
    <row r="925" spans="1:27" ht="12.75">
      <c r="A925" s="8"/>
      <c r="B925" s="59"/>
      <c r="C925" s="59"/>
      <c r="D925" s="59"/>
      <c r="E925" s="59"/>
      <c r="F925" s="8"/>
      <c r="G925" s="8"/>
      <c r="H925" s="8"/>
      <c r="I925" s="8"/>
      <c r="J925" s="8"/>
      <c r="K925" s="8"/>
      <c r="L925" s="8"/>
      <c r="M925" s="8"/>
      <c r="N925" s="8"/>
      <c r="O925" s="8"/>
      <c r="P925" s="8"/>
      <c r="Q925" s="8"/>
      <c r="R925" s="8"/>
      <c r="S925" s="8"/>
      <c r="T925" s="8"/>
      <c r="U925" s="8"/>
      <c r="V925" s="8"/>
      <c r="W925" s="8"/>
      <c r="X925" s="8"/>
      <c r="Y925" s="8"/>
      <c r="Z925" s="8"/>
      <c r="AA925" s="8"/>
    </row>
    <row r="926" spans="1:27" ht="12.75">
      <c r="A926" s="8"/>
      <c r="B926" s="59"/>
      <c r="C926" s="59"/>
      <c r="D926" s="59"/>
      <c r="E926" s="59"/>
      <c r="F926" s="8"/>
      <c r="G926" s="8"/>
      <c r="H926" s="8"/>
      <c r="I926" s="8"/>
      <c r="J926" s="8"/>
      <c r="K926" s="8"/>
      <c r="L926" s="8"/>
      <c r="M926" s="8"/>
      <c r="N926" s="8"/>
      <c r="O926" s="8"/>
      <c r="P926" s="8"/>
      <c r="Q926" s="8"/>
      <c r="R926" s="8"/>
      <c r="S926" s="8"/>
      <c r="T926" s="8"/>
      <c r="U926" s="8"/>
      <c r="V926" s="8"/>
      <c r="W926" s="8"/>
      <c r="X926" s="8"/>
      <c r="Y926" s="8"/>
      <c r="Z926" s="8"/>
      <c r="AA926" s="8"/>
    </row>
    <row r="927" spans="1:27" ht="12.75">
      <c r="A927" s="8"/>
      <c r="B927" s="59"/>
      <c r="C927" s="59"/>
      <c r="D927" s="59"/>
      <c r="E927" s="59"/>
      <c r="F927" s="8"/>
      <c r="G927" s="8"/>
      <c r="H927" s="8"/>
      <c r="I927" s="8"/>
      <c r="J927" s="8"/>
      <c r="K927" s="8"/>
      <c r="L927" s="8"/>
      <c r="M927" s="8"/>
      <c r="N927" s="8"/>
      <c r="O927" s="8"/>
      <c r="P927" s="8"/>
      <c r="Q927" s="8"/>
      <c r="R927" s="8"/>
      <c r="S927" s="8"/>
      <c r="T927" s="8"/>
      <c r="U927" s="8"/>
      <c r="V927" s="8"/>
      <c r="W927" s="8"/>
      <c r="X927" s="8"/>
      <c r="Y927" s="8"/>
      <c r="Z927" s="8"/>
      <c r="AA927" s="8"/>
    </row>
    <row r="928" spans="1:27" ht="12.75">
      <c r="A928" s="8"/>
      <c r="B928" s="59"/>
      <c r="C928" s="59"/>
      <c r="D928" s="59"/>
      <c r="E928" s="59"/>
      <c r="F928" s="8"/>
      <c r="G928" s="8"/>
      <c r="H928" s="8"/>
      <c r="I928" s="8"/>
      <c r="J928" s="8"/>
      <c r="K928" s="8"/>
      <c r="L928" s="8"/>
      <c r="M928" s="8"/>
      <c r="N928" s="8"/>
      <c r="O928" s="8"/>
      <c r="P928" s="8"/>
      <c r="Q928" s="8"/>
      <c r="R928" s="8"/>
      <c r="S928" s="8"/>
      <c r="T928" s="8"/>
      <c r="U928" s="8"/>
      <c r="V928" s="8"/>
      <c r="W928" s="8"/>
      <c r="X928" s="8"/>
      <c r="Y928" s="8"/>
      <c r="Z928" s="8"/>
      <c r="AA928" s="8"/>
    </row>
    <row r="929" spans="1:27" ht="12.75">
      <c r="A929" s="8"/>
      <c r="B929" s="59"/>
      <c r="C929" s="59"/>
      <c r="D929" s="59"/>
      <c r="E929" s="59"/>
      <c r="F929" s="8"/>
      <c r="G929" s="8"/>
      <c r="H929" s="8"/>
      <c r="I929" s="8"/>
      <c r="J929" s="8"/>
      <c r="K929" s="8"/>
      <c r="L929" s="8"/>
      <c r="M929" s="8"/>
      <c r="N929" s="8"/>
      <c r="O929" s="8"/>
      <c r="P929" s="8"/>
      <c r="Q929" s="8"/>
      <c r="R929" s="8"/>
      <c r="S929" s="8"/>
      <c r="T929" s="8"/>
      <c r="U929" s="8"/>
      <c r="V929" s="8"/>
      <c r="W929" s="8"/>
      <c r="X929" s="8"/>
      <c r="Y929" s="8"/>
      <c r="Z929" s="8"/>
      <c r="AA929" s="8"/>
    </row>
    <row r="930" spans="1:27" ht="12.75">
      <c r="A930" s="8"/>
      <c r="B930" s="59"/>
      <c r="C930" s="59"/>
      <c r="D930" s="59"/>
      <c r="E930" s="59"/>
      <c r="F930" s="8"/>
      <c r="G930" s="8"/>
      <c r="H930" s="8"/>
      <c r="I930" s="8"/>
      <c r="J930" s="8"/>
      <c r="K930" s="8"/>
      <c r="L930" s="8"/>
      <c r="M930" s="8"/>
      <c r="N930" s="8"/>
      <c r="O930" s="8"/>
      <c r="P930" s="8"/>
      <c r="Q930" s="8"/>
      <c r="R930" s="8"/>
      <c r="S930" s="8"/>
      <c r="T930" s="8"/>
      <c r="U930" s="8"/>
      <c r="V930" s="8"/>
      <c r="W930" s="8"/>
      <c r="X930" s="8"/>
      <c r="Y930" s="8"/>
      <c r="Z930" s="8"/>
      <c r="AA930" s="8"/>
    </row>
    <row r="931" spans="1:27" ht="12.75">
      <c r="A931" s="8"/>
      <c r="B931" s="59"/>
      <c r="C931" s="59"/>
      <c r="D931" s="59"/>
      <c r="E931" s="59"/>
      <c r="F931" s="8"/>
      <c r="G931" s="8"/>
      <c r="H931" s="8"/>
      <c r="I931" s="8"/>
      <c r="J931" s="8"/>
      <c r="K931" s="8"/>
      <c r="L931" s="8"/>
      <c r="M931" s="8"/>
      <c r="N931" s="8"/>
      <c r="O931" s="8"/>
      <c r="P931" s="8"/>
      <c r="Q931" s="8"/>
      <c r="R931" s="8"/>
      <c r="S931" s="8"/>
      <c r="T931" s="8"/>
      <c r="U931" s="8"/>
      <c r="V931" s="8"/>
      <c r="W931" s="8"/>
      <c r="X931" s="8"/>
      <c r="Y931" s="8"/>
      <c r="Z931" s="8"/>
      <c r="AA931" s="8"/>
    </row>
    <row r="932" spans="1:27" ht="12.75">
      <c r="A932" s="8"/>
      <c r="B932" s="59"/>
      <c r="C932" s="59"/>
      <c r="D932" s="59"/>
      <c r="E932" s="59"/>
      <c r="F932" s="8"/>
      <c r="G932" s="8"/>
      <c r="H932" s="8"/>
      <c r="I932" s="8"/>
      <c r="J932" s="8"/>
      <c r="K932" s="8"/>
      <c r="L932" s="8"/>
      <c r="M932" s="8"/>
      <c r="N932" s="8"/>
      <c r="O932" s="8"/>
      <c r="P932" s="8"/>
      <c r="Q932" s="8"/>
      <c r="R932" s="8"/>
      <c r="S932" s="8"/>
      <c r="T932" s="8"/>
      <c r="U932" s="8"/>
      <c r="V932" s="8"/>
      <c r="W932" s="8"/>
      <c r="X932" s="8"/>
      <c r="Y932" s="8"/>
      <c r="Z932" s="8"/>
      <c r="AA932" s="8"/>
    </row>
    <row r="933" spans="1:27" ht="12.75">
      <c r="A933" s="8"/>
      <c r="B933" s="59"/>
      <c r="C933" s="59"/>
      <c r="D933" s="59"/>
      <c r="E933" s="59"/>
      <c r="F933" s="8"/>
      <c r="G933" s="8"/>
      <c r="H933" s="8"/>
      <c r="I933" s="8"/>
      <c r="J933" s="8"/>
      <c r="K933" s="8"/>
      <c r="L933" s="8"/>
      <c r="M933" s="8"/>
      <c r="N933" s="8"/>
      <c r="O933" s="8"/>
      <c r="P933" s="8"/>
      <c r="Q933" s="8"/>
      <c r="R933" s="8"/>
      <c r="S933" s="8"/>
      <c r="T933" s="8"/>
      <c r="U933" s="8"/>
      <c r="V933" s="8"/>
      <c r="W933" s="8"/>
      <c r="X933" s="8"/>
      <c r="Y933" s="8"/>
      <c r="Z933" s="8"/>
      <c r="AA933" s="8"/>
    </row>
    <row r="934" spans="1:27" ht="12.75">
      <c r="A934" s="8"/>
      <c r="B934" s="59"/>
      <c r="C934" s="59"/>
      <c r="D934" s="59"/>
      <c r="E934" s="59"/>
      <c r="F934" s="8"/>
      <c r="G934" s="8"/>
      <c r="H934" s="8"/>
      <c r="I934" s="8"/>
      <c r="J934" s="8"/>
      <c r="K934" s="8"/>
      <c r="L934" s="8"/>
      <c r="M934" s="8"/>
      <c r="N934" s="8"/>
      <c r="O934" s="8"/>
      <c r="P934" s="8"/>
      <c r="Q934" s="8"/>
      <c r="R934" s="8"/>
      <c r="S934" s="8"/>
      <c r="T934" s="8"/>
      <c r="U934" s="8"/>
      <c r="V934" s="8"/>
      <c r="W934" s="8"/>
      <c r="X934" s="8"/>
      <c r="Y934" s="8"/>
      <c r="Z934" s="8"/>
      <c r="AA934" s="8"/>
    </row>
    <row r="935" spans="1:27" ht="12.75">
      <c r="A935" s="8"/>
      <c r="B935" s="59"/>
      <c r="C935" s="59"/>
      <c r="D935" s="59"/>
      <c r="E935" s="59"/>
      <c r="F935" s="8"/>
      <c r="G935" s="8"/>
      <c r="H935" s="8"/>
      <c r="I935" s="8"/>
      <c r="J935" s="8"/>
      <c r="K935" s="8"/>
      <c r="L935" s="8"/>
      <c r="M935" s="8"/>
      <c r="N935" s="8"/>
      <c r="O935" s="8"/>
      <c r="P935" s="8"/>
      <c r="Q935" s="8"/>
      <c r="R935" s="8"/>
      <c r="S935" s="8"/>
      <c r="T935" s="8"/>
      <c r="U935" s="8"/>
      <c r="V935" s="8"/>
      <c r="W935" s="8"/>
      <c r="X935" s="8"/>
      <c r="Y935" s="8"/>
      <c r="Z935" s="8"/>
      <c r="AA935" s="8"/>
    </row>
    <row r="936" spans="1:27" ht="12.75">
      <c r="A936" s="8"/>
      <c r="B936" s="59"/>
      <c r="C936" s="59"/>
      <c r="D936" s="59"/>
      <c r="E936" s="59"/>
      <c r="F936" s="8"/>
      <c r="G936" s="8"/>
      <c r="H936" s="8"/>
      <c r="I936" s="8"/>
      <c r="J936" s="8"/>
      <c r="K936" s="8"/>
      <c r="L936" s="8"/>
      <c r="M936" s="8"/>
      <c r="N936" s="8"/>
      <c r="O936" s="8"/>
      <c r="P936" s="8"/>
      <c r="Q936" s="8"/>
      <c r="R936" s="8"/>
      <c r="S936" s="8"/>
      <c r="T936" s="8"/>
      <c r="U936" s="8"/>
      <c r="V936" s="8"/>
      <c r="W936" s="8"/>
      <c r="X936" s="8"/>
      <c r="Y936" s="8"/>
      <c r="Z936" s="8"/>
      <c r="AA936" s="8"/>
    </row>
    <row r="937" spans="1:27" ht="12.75">
      <c r="A937" s="8"/>
      <c r="B937" s="59"/>
      <c r="C937" s="59"/>
      <c r="D937" s="59"/>
      <c r="E937" s="59"/>
      <c r="F937" s="8"/>
      <c r="G937" s="8"/>
      <c r="H937" s="8"/>
      <c r="I937" s="8"/>
      <c r="J937" s="8"/>
      <c r="K937" s="8"/>
      <c r="L937" s="8"/>
      <c r="M937" s="8"/>
      <c r="N937" s="8"/>
      <c r="O937" s="8"/>
      <c r="P937" s="8"/>
      <c r="Q937" s="8"/>
      <c r="R937" s="8"/>
      <c r="S937" s="8"/>
      <c r="T937" s="8"/>
      <c r="U937" s="8"/>
      <c r="V937" s="8"/>
      <c r="W937" s="8"/>
      <c r="X937" s="8"/>
      <c r="Y937" s="8"/>
      <c r="Z937" s="8"/>
      <c r="AA937" s="8"/>
    </row>
    <row r="938" spans="1:27" ht="12.75">
      <c r="A938" s="8"/>
      <c r="B938" s="59"/>
      <c r="C938" s="59"/>
      <c r="D938" s="59"/>
      <c r="E938" s="59"/>
      <c r="F938" s="8"/>
      <c r="G938" s="8"/>
      <c r="H938" s="8"/>
      <c r="I938" s="8"/>
      <c r="J938" s="8"/>
      <c r="K938" s="8"/>
      <c r="L938" s="8"/>
      <c r="M938" s="8"/>
      <c r="N938" s="8"/>
      <c r="O938" s="8"/>
      <c r="P938" s="8"/>
      <c r="Q938" s="8"/>
      <c r="R938" s="8"/>
      <c r="S938" s="8"/>
      <c r="T938" s="8"/>
      <c r="U938" s="8"/>
      <c r="V938" s="8"/>
      <c r="W938" s="8"/>
      <c r="X938" s="8"/>
      <c r="Y938" s="8"/>
      <c r="Z938" s="8"/>
      <c r="AA938" s="8"/>
    </row>
    <row r="939" spans="1:27" ht="12.75">
      <c r="A939" s="8"/>
      <c r="B939" s="59"/>
      <c r="C939" s="59"/>
      <c r="D939" s="59"/>
      <c r="E939" s="59"/>
      <c r="F939" s="8"/>
      <c r="G939" s="8"/>
      <c r="H939" s="8"/>
      <c r="I939" s="8"/>
      <c r="J939" s="8"/>
      <c r="K939" s="8"/>
      <c r="L939" s="8"/>
      <c r="M939" s="8"/>
      <c r="N939" s="8"/>
      <c r="O939" s="8"/>
      <c r="P939" s="8"/>
      <c r="Q939" s="8"/>
      <c r="R939" s="8"/>
      <c r="S939" s="8"/>
      <c r="T939" s="8"/>
      <c r="U939" s="8"/>
      <c r="V939" s="8"/>
      <c r="W939" s="8"/>
      <c r="X939" s="8"/>
      <c r="Y939" s="8"/>
      <c r="Z939" s="8"/>
      <c r="AA939" s="8"/>
    </row>
    <row r="940" spans="1:27" ht="12.75">
      <c r="A940" s="8"/>
      <c r="B940" s="59"/>
      <c r="C940" s="59"/>
      <c r="D940" s="59"/>
      <c r="E940" s="59"/>
      <c r="F940" s="8"/>
      <c r="G940" s="8"/>
      <c r="H940" s="8"/>
      <c r="I940" s="8"/>
      <c r="J940" s="8"/>
      <c r="K940" s="8"/>
      <c r="L940" s="8"/>
      <c r="M940" s="8"/>
      <c r="N940" s="8"/>
      <c r="O940" s="8"/>
      <c r="P940" s="8"/>
      <c r="Q940" s="8"/>
      <c r="R940" s="8"/>
      <c r="S940" s="8"/>
      <c r="T940" s="8"/>
      <c r="U940" s="8"/>
      <c r="V940" s="8"/>
      <c r="W940" s="8"/>
      <c r="X940" s="8"/>
      <c r="Y940" s="8"/>
      <c r="Z940" s="8"/>
      <c r="AA940" s="8"/>
    </row>
    <row r="941" spans="1:27" ht="12.75">
      <c r="A941" s="8"/>
      <c r="B941" s="59"/>
      <c r="C941" s="59"/>
      <c r="D941" s="59"/>
      <c r="E941" s="59"/>
      <c r="F941" s="8"/>
      <c r="G941" s="8"/>
      <c r="H941" s="8"/>
      <c r="I941" s="8"/>
      <c r="J941" s="8"/>
      <c r="K941" s="8"/>
      <c r="L941" s="8"/>
      <c r="M941" s="8"/>
      <c r="N941" s="8"/>
      <c r="O941" s="8"/>
      <c r="P941" s="8"/>
      <c r="Q941" s="8"/>
      <c r="R941" s="8"/>
      <c r="S941" s="8"/>
      <c r="T941" s="8"/>
      <c r="U941" s="8"/>
      <c r="V941" s="8"/>
      <c r="W941" s="8"/>
      <c r="X941" s="8"/>
      <c r="Y941" s="8"/>
      <c r="Z941" s="8"/>
      <c r="AA941" s="8"/>
    </row>
    <row r="942" spans="1:27" ht="12.75">
      <c r="A942" s="8"/>
      <c r="B942" s="59"/>
      <c r="C942" s="59"/>
      <c r="D942" s="59"/>
      <c r="E942" s="59"/>
      <c r="F942" s="8"/>
      <c r="G942" s="8"/>
      <c r="H942" s="8"/>
      <c r="I942" s="8"/>
      <c r="J942" s="8"/>
      <c r="K942" s="8"/>
      <c r="L942" s="8"/>
      <c r="M942" s="8"/>
      <c r="N942" s="8"/>
      <c r="O942" s="8"/>
      <c r="P942" s="8"/>
      <c r="Q942" s="8"/>
      <c r="R942" s="8"/>
      <c r="S942" s="8"/>
      <c r="T942" s="8"/>
      <c r="U942" s="8"/>
      <c r="V942" s="8"/>
      <c r="W942" s="8"/>
      <c r="X942" s="8"/>
      <c r="Y942" s="8"/>
      <c r="Z942" s="8"/>
      <c r="AA942" s="8"/>
    </row>
    <row r="943" spans="1:27" ht="12.75">
      <c r="A943" s="8"/>
      <c r="B943" s="59"/>
      <c r="C943" s="59"/>
      <c r="D943" s="59"/>
      <c r="E943" s="59"/>
      <c r="F943" s="8"/>
      <c r="G943" s="8"/>
      <c r="H943" s="8"/>
      <c r="I943" s="8"/>
      <c r="J943" s="8"/>
      <c r="K943" s="8"/>
      <c r="L943" s="8"/>
      <c r="M943" s="8"/>
      <c r="N943" s="8"/>
      <c r="O943" s="8"/>
      <c r="P943" s="8"/>
      <c r="Q943" s="8"/>
      <c r="R943" s="8"/>
      <c r="S943" s="8"/>
      <c r="T943" s="8"/>
      <c r="U943" s="8"/>
      <c r="V943" s="8"/>
      <c r="W943" s="8"/>
      <c r="X943" s="8"/>
      <c r="Y943" s="8"/>
      <c r="Z943" s="8"/>
      <c r="AA943" s="8"/>
    </row>
    <row r="944" spans="1:27" ht="12.75">
      <c r="A944" s="8"/>
      <c r="B944" s="59"/>
      <c r="C944" s="59"/>
      <c r="D944" s="59"/>
      <c r="E944" s="59"/>
      <c r="F944" s="8"/>
      <c r="G944" s="8"/>
      <c r="H944" s="8"/>
      <c r="I944" s="8"/>
      <c r="J944" s="8"/>
      <c r="K944" s="8"/>
      <c r="L944" s="8"/>
      <c r="M944" s="8"/>
      <c r="N944" s="8"/>
      <c r="O944" s="8"/>
      <c r="P944" s="8"/>
      <c r="Q944" s="8"/>
      <c r="R944" s="8"/>
      <c r="S944" s="8"/>
      <c r="T944" s="8"/>
      <c r="U944" s="8"/>
      <c r="V944" s="8"/>
      <c r="W944" s="8"/>
      <c r="X944" s="8"/>
      <c r="Y944" s="8"/>
      <c r="Z944" s="8"/>
      <c r="AA944" s="8"/>
    </row>
    <row r="945" spans="1:27" ht="12.75">
      <c r="A945" s="8"/>
      <c r="B945" s="59"/>
      <c r="C945" s="59"/>
      <c r="D945" s="59"/>
      <c r="E945" s="59"/>
      <c r="F945" s="8"/>
      <c r="G945" s="8"/>
      <c r="H945" s="8"/>
      <c r="I945" s="8"/>
      <c r="J945" s="8"/>
      <c r="K945" s="8"/>
      <c r="L945" s="8"/>
      <c r="M945" s="8"/>
      <c r="N945" s="8"/>
      <c r="O945" s="8"/>
      <c r="P945" s="8"/>
      <c r="Q945" s="8"/>
      <c r="R945" s="8"/>
      <c r="S945" s="8"/>
      <c r="T945" s="8"/>
      <c r="U945" s="8"/>
      <c r="V945" s="8"/>
      <c r="W945" s="8"/>
      <c r="X945" s="8"/>
      <c r="Y945" s="8"/>
      <c r="Z945" s="8"/>
      <c r="AA945" s="8"/>
    </row>
    <row r="946" spans="1:27" ht="12.75">
      <c r="A946" s="8"/>
      <c r="B946" s="59"/>
      <c r="C946" s="59"/>
      <c r="D946" s="59"/>
      <c r="E946" s="59"/>
      <c r="F946" s="8"/>
      <c r="G946" s="8"/>
      <c r="H946" s="8"/>
      <c r="I946" s="8"/>
      <c r="J946" s="8"/>
      <c r="K946" s="8"/>
      <c r="L946" s="8"/>
      <c r="M946" s="8"/>
      <c r="N946" s="8"/>
      <c r="O946" s="8"/>
      <c r="P946" s="8"/>
      <c r="Q946" s="8"/>
      <c r="R946" s="8"/>
      <c r="S946" s="8"/>
      <c r="T946" s="8"/>
      <c r="U946" s="8"/>
      <c r="V946" s="8"/>
      <c r="W946" s="8"/>
      <c r="X946" s="8"/>
      <c r="Y946" s="8"/>
      <c r="Z946" s="8"/>
      <c r="AA946" s="8"/>
    </row>
    <row r="947" spans="1:27" ht="12.75">
      <c r="A947" s="8"/>
      <c r="B947" s="59"/>
      <c r="C947" s="59"/>
      <c r="D947" s="59"/>
      <c r="E947" s="59"/>
      <c r="F947" s="8"/>
      <c r="G947" s="8"/>
      <c r="H947" s="8"/>
      <c r="I947" s="8"/>
      <c r="J947" s="8"/>
      <c r="K947" s="8"/>
      <c r="L947" s="8"/>
      <c r="M947" s="8"/>
      <c r="N947" s="8"/>
      <c r="O947" s="8"/>
      <c r="P947" s="8"/>
      <c r="Q947" s="8"/>
      <c r="R947" s="8"/>
      <c r="S947" s="8"/>
      <c r="T947" s="8"/>
      <c r="U947" s="8"/>
      <c r="V947" s="8"/>
      <c r="W947" s="8"/>
      <c r="X947" s="8"/>
      <c r="Y947" s="8"/>
      <c r="Z947" s="8"/>
      <c r="AA947" s="8"/>
    </row>
    <row r="948" spans="1:27" ht="12.75">
      <c r="A948" s="8"/>
      <c r="B948" s="59"/>
      <c r="C948" s="59"/>
      <c r="D948" s="59"/>
      <c r="E948" s="59"/>
      <c r="F948" s="8"/>
      <c r="G948" s="8"/>
      <c r="H948" s="8"/>
      <c r="I948" s="8"/>
      <c r="J948" s="8"/>
      <c r="K948" s="8"/>
      <c r="L948" s="8"/>
      <c r="M948" s="8"/>
      <c r="N948" s="8"/>
      <c r="O948" s="8"/>
      <c r="P948" s="8"/>
      <c r="Q948" s="8"/>
      <c r="R948" s="8"/>
      <c r="S948" s="8"/>
      <c r="T948" s="8"/>
      <c r="U948" s="8"/>
      <c r="V948" s="8"/>
      <c r="W948" s="8"/>
      <c r="X948" s="8"/>
      <c r="Y948" s="8"/>
      <c r="Z948" s="8"/>
      <c r="AA948" s="8"/>
    </row>
    <row r="949" spans="1:27" ht="12.75">
      <c r="A949" s="8"/>
      <c r="B949" s="59"/>
      <c r="C949" s="59"/>
      <c r="D949" s="59"/>
      <c r="E949" s="59"/>
      <c r="F949" s="8"/>
      <c r="G949" s="8"/>
      <c r="H949" s="8"/>
      <c r="I949" s="8"/>
      <c r="J949" s="8"/>
      <c r="K949" s="8"/>
      <c r="L949" s="8"/>
      <c r="M949" s="8"/>
      <c r="N949" s="8"/>
      <c r="O949" s="8"/>
      <c r="P949" s="8"/>
      <c r="Q949" s="8"/>
      <c r="R949" s="8"/>
      <c r="S949" s="8"/>
      <c r="T949" s="8"/>
      <c r="U949" s="8"/>
      <c r="V949" s="8"/>
      <c r="W949" s="8"/>
      <c r="X949" s="8"/>
      <c r="Y949" s="8"/>
      <c r="Z949" s="8"/>
      <c r="AA949" s="8"/>
    </row>
    <row r="950" spans="1:27" ht="12.75">
      <c r="A950" s="8"/>
      <c r="B950" s="59"/>
      <c r="C950" s="59"/>
      <c r="D950" s="59"/>
      <c r="E950" s="59"/>
      <c r="F950" s="8"/>
      <c r="G950" s="8"/>
      <c r="H950" s="8"/>
      <c r="I950" s="8"/>
      <c r="J950" s="8"/>
      <c r="K950" s="8"/>
      <c r="L950" s="8"/>
      <c r="M950" s="8"/>
      <c r="N950" s="8"/>
      <c r="O950" s="8"/>
      <c r="P950" s="8"/>
      <c r="Q950" s="8"/>
      <c r="R950" s="8"/>
      <c r="S950" s="8"/>
      <c r="T950" s="8"/>
      <c r="U950" s="8"/>
      <c r="V950" s="8"/>
      <c r="W950" s="8"/>
      <c r="X950" s="8"/>
      <c r="Y950" s="8"/>
      <c r="Z950" s="8"/>
      <c r="AA950" s="8"/>
    </row>
    <row r="951" spans="1:27" ht="12.75">
      <c r="A951" s="8"/>
      <c r="B951" s="59"/>
      <c r="C951" s="59"/>
      <c r="D951" s="59"/>
      <c r="E951" s="59"/>
      <c r="F951" s="8"/>
      <c r="G951" s="8"/>
      <c r="H951" s="8"/>
      <c r="I951" s="8"/>
      <c r="J951" s="8"/>
      <c r="K951" s="8"/>
      <c r="L951" s="8"/>
      <c r="M951" s="8"/>
      <c r="N951" s="8"/>
      <c r="O951" s="8"/>
      <c r="P951" s="8"/>
      <c r="Q951" s="8"/>
      <c r="R951" s="8"/>
      <c r="S951" s="8"/>
      <c r="T951" s="8"/>
      <c r="U951" s="8"/>
      <c r="V951" s="8"/>
      <c r="W951" s="8"/>
      <c r="X951" s="8"/>
      <c r="Y951" s="8"/>
      <c r="Z951" s="8"/>
      <c r="AA951" s="8"/>
    </row>
    <row r="952" spans="1:27" ht="12.75">
      <c r="A952" s="8"/>
      <c r="B952" s="59"/>
      <c r="C952" s="59"/>
      <c r="D952" s="59"/>
      <c r="E952" s="59"/>
      <c r="F952" s="8"/>
      <c r="G952" s="8"/>
      <c r="H952" s="8"/>
      <c r="I952" s="8"/>
      <c r="J952" s="8"/>
      <c r="K952" s="8"/>
      <c r="L952" s="8"/>
      <c r="M952" s="8"/>
      <c r="N952" s="8"/>
      <c r="O952" s="8"/>
      <c r="P952" s="8"/>
      <c r="Q952" s="8"/>
      <c r="R952" s="8"/>
      <c r="S952" s="8"/>
      <c r="T952" s="8"/>
      <c r="U952" s="8"/>
      <c r="V952" s="8"/>
      <c r="W952" s="8"/>
      <c r="X952" s="8"/>
      <c r="Y952" s="8"/>
      <c r="Z952" s="8"/>
      <c r="AA952" s="8"/>
    </row>
    <row r="953" spans="1:27" ht="12.75">
      <c r="A953" s="8"/>
      <c r="B953" s="59"/>
      <c r="C953" s="59"/>
      <c r="D953" s="59"/>
      <c r="E953" s="59"/>
      <c r="F953" s="8"/>
      <c r="G953" s="8"/>
      <c r="H953" s="8"/>
      <c r="I953" s="8"/>
      <c r="J953" s="8"/>
      <c r="K953" s="8"/>
      <c r="L953" s="8"/>
      <c r="M953" s="8"/>
      <c r="N953" s="8"/>
      <c r="O953" s="8"/>
      <c r="P953" s="8"/>
      <c r="Q953" s="8"/>
      <c r="R953" s="8"/>
      <c r="S953" s="8"/>
      <c r="T953" s="8"/>
      <c r="U953" s="8"/>
      <c r="V953" s="8"/>
      <c r="W953" s="8"/>
      <c r="X953" s="8"/>
      <c r="Y953" s="8"/>
      <c r="Z953" s="8"/>
      <c r="AA953" s="8"/>
    </row>
    <row r="954" spans="1:27" ht="12.75">
      <c r="A954" s="8"/>
      <c r="B954" s="59"/>
      <c r="C954" s="59"/>
      <c r="D954" s="59"/>
      <c r="E954" s="59"/>
      <c r="F954" s="8"/>
      <c r="G954" s="8"/>
      <c r="H954" s="8"/>
      <c r="I954" s="8"/>
      <c r="J954" s="8"/>
      <c r="K954" s="8"/>
      <c r="L954" s="8"/>
      <c r="M954" s="8"/>
      <c r="N954" s="8"/>
      <c r="O954" s="8"/>
      <c r="P954" s="8"/>
      <c r="Q954" s="8"/>
      <c r="R954" s="8"/>
      <c r="S954" s="8"/>
      <c r="T954" s="8"/>
      <c r="U954" s="8"/>
      <c r="V954" s="8"/>
      <c r="W954" s="8"/>
      <c r="X954" s="8"/>
      <c r="Y954" s="8"/>
      <c r="Z954" s="8"/>
      <c r="AA954" s="8"/>
    </row>
    <row r="955" spans="1:27" ht="12.75">
      <c r="A955" s="8"/>
      <c r="B955" s="59"/>
      <c r="C955" s="59"/>
      <c r="D955" s="59"/>
      <c r="E955" s="59"/>
      <c r="F955" s="8"/>
      <c r="G955" s="8"/>
      <c r="H955" s="8"/>
      <c r="I955" s="8"/>
      <c r="J955" s="8"/>
      <c r="K955" s="8"/>
      <c r="L955" s="8"/>
      <c r="M955" s="8"/>
      <c r="N955" s="8"/>
      <c r="O955" s="8"/>
      <c r="P955" s="8"/>
      <c r="Q955" s="8"/>
      <c r="R955" s="8"/>
      <c r="S955" s="8"/>
      <c r="T955" s="8"/>
      <c r="U955" s="8"/>
      <c r="V955" s="8"/>
      <c r="W955" s="8"/>
      <c r="X955" s="8"/>
      <c r="Y955" s="8"/>
      <c r="Z955" s="8"/>
      <c r="AA955" s="8"/>
    </row>
    <row r="956" spans="1:27" ht="12.75">
      <c r="A956" s="8"/>
      <c r="B956" s="59"/>
      <c r="C956" s="59"/>
      <c r="D956" s="59"/>
      <c r="E956" s="59"/>
      <c r="F956" s="8"/>
      <c r="G956" s="8"/>
      <c r="H956" s="8"/>
      <c r="I956" s="8"/>
      <c r="J956" s="8"/>
      <c r="K956" s="8"/>
      <c r="L956" s="8"/>
      <c r="M956" s="8"/>
      <c r="N956" s="8"/>
      <c r="O956" s="8"/>
      <c r="P956" s="8"/>
      <c r="Q956" s="8"/>
      <c r="R956" s="8"/>
      <c r="S956" s="8"/>
      <c r="T956" s="8"/>
      <c r="U956" s="8"/>
      <c r="V956" s="8"/>
      <c r="W956" s="8"/>
      <c r="X956" s="8"/>
      <c r="Y956" s="8"/>
      <c r="Z956" s="8"/>
      <c r="AA956" s="8"/>
    </row>
    <row r="957" spans="1:27" ht="12.75">
      <c r="A957" s="8"/>
      <c r="B957" s="59"/>
      <c r="C957" s="59"/>
      <c r="D957" s="59"/>
      <c r="E957" s="59"/>
      <c r="F957" s="8"/>
      <c r="G957" s="8"/>
      <c r="H957" s="8"/>
      <c r="I957" s="8"/>
      <c r="J957" s="8"/>
      <c r="K957" s="8"/>
      <c r="L957" s="8"/>
      <c r="M957" s="8"/>
      <c r="N957" s="8"/>
      <c r="O957" s="8"/>
      <c r="P957" s="8"/>
      <c r="Q957" s="8"/>
      <c r="R957" s="8"/>
      <c r="S957" s="8"/>
      <c r="T957" s="8"/>
      <c r="U957" s="8"/>
      <c r="V957" s="8"/>
      <c r="W957" s="8"/>
      <c r="X957" s="8"/>
      <c r="Y957" s="8"/>
      <c r="Z957" s="8"/>
      <c r="AA957" s="8"/>
    </row>
    <row r="958" spans="1:27" ht="12.75">
      <c r="A958" s="8"/>
      <c r="B958" s="59"/>
      <c r="C958" s="59"/>
      <c r="D958" s="59"/>
      <c r="E958" s="59"/>
      <c r="F958" s="8"/>
      <c r="G958" s="8"/>
      <c r="H958" s="8"/>
      <c r="I958" s="8"/>
      <c r="J958" s="8"/>
      <c r="K958" s="8"/>
      <c r="L958" s="8"/>
      <c r="M958" s="8"/>
      <c r="N958" s="8"/>
      <c r="O958" s="8"/>
      <c r="P958" s="8"/>
      <c r="Q958" s="8"/>
      <c r="R958" s="8"/>
      <c r="S958" s="8"/>
      <c r="T958" s="8"/>
      <c r="U958" s="8"/>
      <c r="V958" s="8"/>
      <c r="W958" s="8"/>
      <c r="X958" s="8"/>
      <c r="Y958" s="8"/>
      <c r="Z958" s="8"/>
      <c r="AA958" s="8"/>
    </row>
    <row r="959" spans="1:27" ht="12.75">
      <c r="A959" s="8"/>
      <c r="B959" s="59"/>
      <c r="C959" s="59"/>
      <c r="D959" s="59"/>
      <c r="E959" s="59"/>
      <c r="F959" s="8"/>
      <c r="G959" s="8"/>
      <c r="H959" s="8"/>
      <c r="I959" s="8"/>
      <c r="J959" s="8"/>
      <c r="K959" s="8"/>
      <c r="L959" s="8"/>
      <c r="M959" s="8"/>
      <c r="N959" s="8"/>
      <c r="O959" s="8"/>
      <c r="P959" s="8"/>
      <c r="Q959" s="8"/>
      <c r="R959" s="8"/>
      <c r="S959" s="8"/>
      <c r="T959" s="8"/>
      <c r="U959" s="8"/>
      <c r="V959" s="8"/>
      <c r="W959" s="8"/>
      <c r="X959" s="8"/>
      <c r="Y959" s="8"/>
      <c r="Z959" s="8"/>
      <c r="AA959" s="8"/>
    </row>
    <row r="960" spans="1:27" ht="12.75">
      <c r="A960" s="8"/>
      <c r="B960" s="59"/>
      <c r="C960" s="59"/>
      <c r="D960" s="59"/>
      <c r="E960" s="59"/>
      <c r="F960" s="8"/>
      <c r="G960" s="8"/>
      <c r="H960" s="8"/>
      <c r="I960" s="8"/>
      <c r="J960" s="8"/>
      <c r="K960" s="8"/>
      <c r="L960" s="8"/>
      <c r="M960" s="8"/>
      <c r="N960" s="8"/>
      <c r="O960" s="8"/>
      <c r="P960" s="8"/>
      <c r="Q960" s="8"/>
      <c r="R960" s="8"/>
      <c r="S960" s="8"/>
      <c r="T960" s="8"/>
      <c r="U960" s="8"/>
      <c r="V960" s="8"/>
      <c r="W960" s="8"/>
      <c r="X960" s="8"/>
      <c r="Y960" s="8"/>
      <c r="Z960" s="8"/>
      <c r="AA960" s="8"/>
    </row>
    <row r="961" spans="1:27" ht="12.75">
      <c r="A961" s="8"/>
      <c r="B961" s="59"/>
      <c r="C961" s="59"/>
      <c r="D961" s="59"/>
      <c r="E961" s="59"/>
      <c r="F961" s="8"/>
      <c r="G961" s="8"/>
      <c r="H961" s="8"/>
      <c r="I961" s="8"/>
      <c r="J961" s="8"/>
      <c r="K961" s="8"/>
      <c r="L961" s="8"/>
      <c r="M961" s="8"/>
      <c r="N961" s="8"/>
      <c r="O961" s="8"/>
      <c r="P961" s="8"/>
      <c r="Q961" s="8"/>
      <c r="R961" s="8"/>
      <c r="S961" s="8"/>
      <c r="T961" s="8"/>
      <c r="U961" s="8"/>
      <c r="V961" s="8"/>
      <c r="W961" s="8"/>
      <c r="X961" s="8"/>
      <c r="Y961" s="8"/>
      <c r="Z961" s="8"/>
      <c r="AA961" s="8"/>
    </row>
    <row r="962" spans="1:27" ht="12.75">
      <c r="A962" s="8"/>
      <c r="B962" s="59"/>
      <c r="C962" s="59"/>
      <c r="D962" s="59"/>
      <c r="E962" s="59"/>
      <c r="F962" s="8"/>
      <c r="G962" s="8"/>
      <c r="H962" s="8"/>
      <c r="I962" s="8"/>
      <c r="J962" s="8"/>
      <c r="K962" s="8"/>
      <c r="L962" s="8"/>
      <c r="M962" s="8"/>
      <c r="N962" s="8"/>
      <c r="O962" s="8"/>
      <c r="P962" s="8"/>
      <c r="Q962" s="8"/>
      <c r="R962" s="8"/>
      <c r="S962" s="8"/>
      <c r="T962" s="8"/>
      <c r="U962" s="8"/>
      <c r="V962" s="8"/>
      <c r="W962" s="8"/>
      <c r="X962" s="8"/>
      <c r="Y962" s="8"/>
      <c r="Z962" s="8"/>
      <c r="AA962" s="8"/>
    </row>
    <row r="963" spans="1:27" ht="12.75">
      <c r="A963" s="8"/>
      <c r="B963" s="59"/>
      <c r="C963" s="59"/>
      <c r="D963" s="59"/>
      <c r="E963" s="59"/>
      <c r="F963" s="8"/>
      <c r="G963" s="8"/>
      <c r="H963" s="8"/>
      <c r="I963" s="8"/>
      <c r="J963" s="8"/>
      <c r="K963" s="8"/>
      <c r="L963" s="8"/>
      <c r="M963" s="8"/>
      <c r="N963" s="8"/>
      <c r="O963" s="8"/>
      <c r="P963" s="8"/>
      <c r="Q963" s="8"/>
      <c r="R963" s="8"/>
      <c r="S963" s="8"/>
      <c r="T963" s="8"/>
      <c r="U963" s="8"/>
      <c r="V963" s="8"/>
      <c r="W963" s="8"/>
      <c r="X963" s="8"/>
      <c r="Y963" s="8"/>
      <c r="Z963" s="8"/>
      <c r="AA963" s="8"/>
    </row>
    <row r="964" spans="1:27" ht="12.75">
      <c r="A964" s="8"/>
      <c r="B964" s="59"/>
      <c r="C964" s="59"/>
      <c r="D964" s="59"/>
      <c r="E964" s="59"/>
      <c r="F964" s="8"/>
      <c r="G964" s="8"/>
      <c r="H964" s="8"/>
      <c r="I964" s="8"/>
      <c r="J964" s="8"/>
      <c r="K964" s="8"/>
      <c r="L964" s="8"/>
      <c r="M964" s="8"/>
      <c r="N964" s="8"/>
      <c r="O964" s="8"/>
      <c r="P964" s="8"/>
      <c r="Q964" s="8"/>
      <c r="R964" s="8"/>
      <c r="S964" s="8"/>
      <c r="T964" s="8"/>
      <c r="U964" s="8"/>
      <c r="V964" s="8"/>
      <c r="W964" s="8"/>
      <c r="X964" s="8"/>
      <c r="Y964" s="8"/>
      <c r="Z964" s="8"/>
      <c r="AA964" s="8"/>
    </row>
    <row r="965" spans="1:27" ht="12.75">
      <c r="A965" s="8"/>
      <c r="B965" s="59"/>
      <c r="C965" s="59"/>
      <c r="D965" s="59"/>
      <c r="E965" s="59"/>
      <c r="F965" s="8"/>
      <c r="G965" s="8"/>
      <c r="H965" s="8"/>
      <c r="I965" s="8"/>
      <c r="J965" s="8"/>
      <c r="K965" s="8"/>
      <c r="L965" s="8"/>
      <c r="M965" s="8"/>
      <c r="N965" s="8"/>
      <c r="O965" s="8"/>
      <c r="P965" s="8"/>
      <c r="Q965" s="8"/>
      <c r="R965" s="8"/>
      <c r="S965" s="8"/>
      <c r="T965" s="8"/>
      <c r="U965" s="8"/>
      <c r="V965" s="8"/>
      <c r="W965" s="8"/>
      <c r="X965" s="8"/>
      <c r="Y965" s="8"/>
      <c r="Z965" s="8"/>
      <c r="AA965" s="8"/>
    </row>
    <row r="966" spans="1:27" ht="12.75">
      <c r="A966" s="8"/>
      <c r="B966" s="59"/>
      <c r="C966" s="59"/>
      <c r="D966" s="59"/>
      <c r="E966" s="59"/>
      <c r="F966" s="8"/>
      <c r="G966" s="8"/>
      <c r="H966" s="8"/>
      <c r="I966" s="8"/>
      <c r="J966" s="8"/>
      <c r="K966" s="8"/>
      <c r="L966" s="8"/>
      <c r="M966" s="8"/>
      <c r="N966" s="8"/>
      <c r="O966" s="8"/>
      <c r="P966" s="8"/>
      <c r="Q966" s="8"/>
      <c r="R966" s="8"/>
      <c r="S966" s="8"/>
      <c r="T966" s="8"/>
      <c r="U966" s="8"/>
      <c r="V966" s="8"/>
      <c r="W966" s="8"/>
      <c r="X966" s="8"/>
      <c r="Y966" s="8"/>
      <c r="Z966" s="8"/>
      <c r="AA966" s="8"/>
    </row>
    <row r="967" spans="1:27" ht="12.75">
      <c r="A967" s="8"/>
      <c r="B967" s="59"/>
      <c r="C967" s="59"/>
      <c r="D967" s="59"/>
      <c r="E967" s="59"/>
      <c r="F967" s="8"/>
      <c r="G967" s="8"/>
      <c r="H967" s="8"/>
      <c r="I967" s="8"/>
      <c r="J967" s="8"/>
      <c r="K967" s="8"/>
      <c r="L967" s="8"/>
      <c r="M967" s="8"/>
      <c r="N967" s="8"/>
      <c r="O967" s="8"/>
      <c r="P967" s="8"/>
      <c r="Q967" s="8"/>
      <c r="R967" s="8"/>
      <c r="S967" s="8"/>
      <c r="T967" s="8"/>
      <c r="U967" s="8"/>
      <c r="V967" s="8"/>
      <c r="W967" s="8"/>
      <c r="X967" s="8"/>
      <c r="Y967" s="8"/>
      <c r="Z967" s="8"/>
      <c r="AA967" s="8"/>
    </row>
    <row r="968" spans="1:27" ht="12.75">
      <c r="A968" s="8"/>
      <c r="B968" s="59"/>
      <c r="C968" s="59"/>
      <c r="D968" s="59"/>
      <c r="E968" s="59"/>
      <c r="F968" s="8"/>
      <c r="G968" s="8"/>
      <c r="H968" s="8"/>
      <c r="I968" s="8"/>
      <c r="J968" s="8"/>
      <c r="K968" s="8"/>
      <c r="L968" s="8"/>
      <c r="M968" s="8"/>
      <c r="N968" s="8"/>
      <c r="O968" s="8"/>
      <c r="P968" s="8"/>
      <c r="Q968" s="8"/>
      <c r="R968" s="8"/>
      <c r="S968" s="8"/>
      <c r="T968" s="8"/>
      <c r="U968" s="8"/>
      <c r="V968" s="8"/>
      <c r="W968" s="8"/>
      <c r="X968" s="8"/>
      <c r="Y968" s="8"/>
      <c r="Z968" s="8"/>
      <c r="AA968" s="8"/>
    </row>
    <row r="969" spans="1:27" ht="12.75">
      <c r="A969" s="8"/>
      <c r="B969" s="59"/>
      <c r="C969" s="59"/>
      <c r="D969" s="59"/>
      <c r="E969" s="59"/>
      <c r="F969" s="8"/>
      <c r="G969" s="8"/>
      <c r="H969" s="8"/>
      <c r="I969" s="8"/>
      <c r="J969" s="8"/>
      <c r="K969" s="8"/>
      <c r="L969" s="8"/>
      <c r="M969" s="8"/>
      <c r="N969" s="8"/>
      <c r="O969" s="8"/>
      <c r="P969" s="8"/>
      <c r="Q969" s="8"/>
      <c r="R969" s="8"/>
      <c r="S969" s="8"/>
      <c r="T969" s="8"/>
      <c r="U969" s="8"/>
      <c r="V969" s="8"/>
      <c r="W969" s="8"/>
      <c r="X969" s="8"/>
      <c r="Y969" s="8"/>
      <c r="Z969" s="8"/>
      <c r="AA969" s="8"/>
    </row>
    <row r="970" spans="1:27" ht="12.75">
      <c r="A970" s="8"/>
      <c r="B970" s="59"/>
      <c r="C970" s="59"/>
      <c r="D970" s="59"/>
      <c r="E970" s="59"/>
      <c r="F970" s="8"/>
      <c r="G970" s="8"/>
      <c r="H970" s="8"/>
      <c r="I970" s="8"/>
      <c r="J970" s="8"/>
      <c r="K970" s="8"/>
      <c r="L970" s="8"/>
      <c r="M970" s="8"/>
      <c r="N970" s="8"/>
      <c r="O970" s="8"/>
      <c r="P970" s="8"/>
      <c r="Q970" s="8"/>
      <c r="R970" s="8"/>
      <c r="S970" s="8"/>
      <c r="T970" s="8"/>
      <c r="U970" s="8"/>
      <c r="V970" s="8"/>
      <c r="W970" s="8"/>
      <c r="X970" s="8"/>
      <c r="Y970" s="8"/>
      <c r="Z970" s="8"/>
      <c r="AA970" s="8"/>
    </row>
    <row r="971" spans="1:27" ht="12.75">
      <c r="A971" s="8"/>
      <c r="B971" s="59"/>
      <c r="C971" s="59"/>
      <c r="D971" s="59"/>
      <c r="E971" s="59"/>
      <c r="F971" s="8"/>
      <c r="G971" s="8"/>
      <c r="H971" s="8"/>
      <c r="I971" s="8"/>
      <c r="J971" s="8"/>
      <c r="K971" s="8"/>
      <c r="L971" s="8"/>
      <c r="M971" s="8"/>
      <c r="N971" s="8"/>
      <c r="O971" s="8"/>
      <c r="P971" s="8"/>
      <c r="Q971" s="8"/>
      <c r="R971" s="8"/>
      <c r="S971" s="8"/>
      <c r="T971" s="8"/>
      <c r="U971" s="8"/>
      <c r="V971" s="8"/>
      <c r="W971" s="8"/>
      <c r="X971" s="8"/>
      <c r="Y971" s="8"/>
      <c r="Z971" s="8"/>
      <c r="AA971" s="8"/>
    </row>
    <row r="972" spans="1:27" ht="12.75">
      <c r="A972" s="8"/>
      <c r="B972" s="59"/>
      <c r="C972" s="59"/>
      <c r="D972" s="59"/>
      <c r="E972" s="59"/>
      <c r="F972" s="8"/>
      <c r="G972" s="8"/>
      <c r="H972" s="8"/>
      <c r="I972" s="8"/>
      <c r="J972" s="8"/>
      <c r="K972" s="8"/>
      <c r="L972" s="8"/>
      <c r="M972" s="8"/>
      <c r="N972" s="8"/>
      <c r="O972" s="8"/>
      <c r="P972" s="8"/>
      <c r="Q972" s="8"/>
      <c r="R972" s="8"/>
      <c r="S972" s="8"/>
      <c r="T972" s="8"/>
      <c r="U972" s="8"/>
      <c r="V972" s="8"/>
      <c r="W972" s="8"/>
      <c r="X972" s="8"/>
      <c r="Y972" s="8"/>
      <c r="Z972" s="8"/>
      <c r="AA972" s="8"/>
    </row>
    <row r="973" spans="1:27" ht="12.75">
      <c r="A973" s="8"/>
      <c r="B973" s="59"/>
      <c r="C973" s="59"/>
      <c r="D973" s="59"/>
      <c r="E973" s="59"/>
      <c r="F973" s="8"/>
      <c r="G973" s="8"/>
      <c r="H973" s="8"/>
      <c r="I973" s="8"/>
      <c r="J973" s="8"/>
      <c r="K973" s="8"/>
      <c r="L973" s="8"/>
      <c r="M973" s="8"/>
      <c r="N973" s="8"/>
      <c r="O973" s="8"/>
      <c r="P973" s="8"/>
      <c r="Q973" s="8"/>
      <c r="R973" s="8"/>
      <c r="S973" s="8"/>
      <c r="T973" s="8"/>
      <c r="U973" s="8"/>
      <c r="V973" s="8"/>
      <c r="W973" s="8"/>
      <c r="X973" s="8"/>
      <c r="Y973" s="8"/>
      <c r="Z973" s="8"/>
      <c r="AA973" s="8"/>
    </row>
    <row r="974" spans="1:27" ht="12.75">
      <c r="A974" s="8"/>
      <c r="B974" s="59"/>
      <c r="C974" s="59"/>
      <c r="D974" s="59"/>
      <c r="E974" s="59"/>
      <c r="F974" s="8"/>
      <c r="G974" s="8"/>
      <c r="H974" s="8"/>
      <c r="I974" s="8"/>
      <c r="J974" s="8"/>
      <c r="K974" s="8"/>
      <c r="L974" s="8"/>
      <c r="M974" s="8"/>
      <c r="N974" s="8"/>
      <c r="O974" s="8"/>
      <c r="P974" s="8"/>
      <c r="Q974" s="8"/>
      <c r="R974" s="8"/>
      <c r="S974" s="8"/>
      <c r="T974" s="8"/>
      <c r="U974" s="8"/>
      <c r="V974" s="8"/>
      <c r="W974" s="8"/>
      <c r="X974" s="8"/>
      <c r="Y974" s="8"/>
      <c r="Z974" s="8"/>
      <c r="AA974" s="8"/>
    </row>
    <row r="975" spans="1:27" ht="12.75">
      <c r="A975" s="8"/>
      <c r="B975" s="59"/>
      <c r="C975" s="59"/>
      <c r="D975" s="59"/>
      <c r="E975" s="59"/>
      <c r="F975" s="8"/>
      <c r="G975" s="8"/>
      <c r="H975" s="8"/>
      <c r="I975" s="8"/>
      <c r="J975" s="8"/>
      <c r="K975" s="8"/>
      <c r="L975" s="8"/>
      <c r="M975" s="8"/>
      <c r="N975" s="8"/>
      <c r="O975" s="8"/>
      <c r="P975" s="8"/>
      <c r="Q975" s="8"/>
      <c r="R975" s="8"/>
      <c r="S975" s="8"/>
      <c r="T975" s="8"/>
      <c r="U975" s="8"/>
      <c r="V975" s="8"/>
      <c r="W975" s="8"/>
      <c r="X975" s="8"/>
      <c r="Y975" s="8"/>
      <c r="Z975" s="8"/>
      <c r="AA975" s="8"/>
    </row>
    <row r="976" spans="1:27" ht="12.75">
      <c r="A976" s="8"/>
      <c r="B976" s="59"/>
      <c r="C976" s="59"/>
      <c r="D976" s="59"/>
      <c r="E976" s="59"/>
      <c r="F976" s="8"/>
      <c r="G976" s="8"/>
      <c r="H976" s="8"/>
      <c r="I976" s="8"/>
      <c r="J976" s="8"/>
      <c r="K976" s="8"/>
      <c r="L976" s="8"/>
      <c r="M976" s="8"/>
      <c r="N976" s="8"/>
      <c r="O976" s="8"/>
      <c r="P976" s="8"/>
      <c r="Q976" s="8"/>
      <c r="R976" s="8"/>
      <c r="S976" s="8"/>
      <c r="T976" s="8"/>
      <c r="U976" s="8"/>
      <c r="V976" s="8"/>
      <c r="W976" s="8"/>
      <c r="X976" s="8"/>
      <c r="Y976" s="8"/>
      <c r="Z976" s="8"/>
      <c r="AA976" s="8"/>
    </row>
    <row r="977" spans="1:27" ht="12.75">
      <c r="A977" s="8"/>
      <c r="B977" s="59"/>
      <c r="C977" s="59"/>
      <c r="D977" s="59"/>
      <c r="E977" s="59"/>
      <c r="F977" s="8"/>
      <c r="G977" s="8"/>
      <c r="H977" s="8"/>
      <c r="I977" s="8"/>
      <c r="J977" s="8"/>
      <c r="K977" s="8"/>
      <c r="L977" s="8"/>
      <c r="M977" s="8"/>
      <c r="N977" s="8"/>
      <c r="O977" s="8"/>
      <c r="P977" s="8"/>
      <c r="Q977" s="8"/>
      <c r="R977" s="8"/>
      <c r="S977" s="8"/>
      <c r="T977" s="8"/>
      <c r="U977" s="8"/>
      <c r="V977" s="8"/>
      <c r="W977" s="8"/>
      <c r="X977" s="8"/>
      <c r="Y977" s="8"/>
      <c r="Z977" s="8"/>
      <c r="AA977" s="8"/>
    </row>
    <row r="978" spans="1:27" ht="12.75">
      <c r="A978" s="8"/>
      <c r="B978" s="59"/>
      <c r="C978" s="59"/>
      <c r="D978" s="59"/>
      <c r="E978" s="59"/>
      <c r="F978" s="8"/>
      <c r="G978" s="8"/>
      <c r="H978" s="8"/>
      <c r="I978" s="8"/>
      <c r="J978" s="8"/>
      <c r="K978" s="8"/>
      <c r="L978" s="8"/>
      <c r="M978" s="8"/>
      <c r="N978" s="8"/>
      <c r="O978" s="8"/>
      <c r="P978" s="8"/>
      <c r="Q978" s="8"/>
      <c r="R978" s="8"/>
      <c r="S978" s="8"/>
      <c r="T978" s="8"/>
      <c r="U978" s="8"/>
      <c r="V978" s="8"/>
      <c r="W978" s="8"/>
      <c r="X978" s="8"/>
      <c r="Y978" s="8"/>
      <c r="Z978" s="8"/>
      <c r="AA978" s="8"/>
    </row>
    <row r="979" spans="1:27" ht="12.75">
      <c r="A979" s="8"/>
      <c r="B979" s="59"/>
      <c r="C979" s="59"/>
      <c r="D979" s="59"/>
      <c r="E979" s="59"/>
      <c r="F979" s="8"/>
      <c r="G979" s="8"/>
      <c r="H979" s="8"/>
      <c r="I979" s="8"/>
      <c r="J979" s="8"/>
      <c r="K979" s="8"/>
      <c r="L979" s="8"/>
      <c r="M979" s="8"/>
      <c r="N979" s="8"/>
      <c r="O979" s="8"/>
      <c r="P979" s="8"/>
      <c r="Q979" s="8"/>
      <c r="R979" s="8"/>
      <c r="S979" s="8"/>
      <c r="T979" s="8"/>
      <c r="U979" s="8"/>
      <c r="V979" s="8"/>
      <c r="W979" s="8"/>
      <c r="X979" s="8"/>
      <c r="Y979" s="8"/>
      <c r="Z979" s="8"/>
      <c r="AA979" s="8"/>
    </row>
    <row r="980" spans="1:27" ht="12.75">
      <c r="A980" s="8"/>
      <c r="B980" s="59"/>
      <c r="C980" s="59"/>
      <c r="D980" s="59"/>
      <c r="E980" s="59"/>
      <c r="F980" s="8"/>
      <c r="G980" s="8"/>
      <c r="H980" s="8"/>
      <c r="I980" s="8"/>
      <c r="J980" s="8"/>
      <c r="K980" s="8"/>
      <c r="L980" s="8"/>
      <c r="M980" s="8"/>
      <c r="N980" s="8"/>
      <c r="O980" s="8"/>
      <c r="P980" s="8"/>
      <c r="Q980" s="8"/>
      <c r="R980" s="8"/>
      <c r="S980" s="8"/>
      <c r="T980" s="8"/>
      <c r="U980" s="8"/>
      <c r="V980" s="8"/>
      <c r="W980" s="8"/>
      <c r="X980" s="8"/>
      <c r="Y980" s="8"/>
      <c r="Z980" s="8"/>
      <c r="AA980" s="8"/>
    </row>
    <row r="981" spans="1:27" ht="12.75">
      <c r="A981" s="8"/>
      <c r="B981" s="59"/>
      <c r="C981" s="59"/>
      <c r="D981" s="59"/>
      <c r="E981" s="59"/>
      <c r="F981" s="8"/>
      <c r="G981" s="8"/>
      <c r="H981" s="8"/>
      <c r="I981" s="8"/>
      <c r="J981" s="8"/>
      <c r="K981" s="8"/>
      <c r="L981" s="8"/>
      <c r="M981" s="8"/>
      <c r="N981" s="8"/>
      <c r="O981" s="8"/>
      <c r="P981" s="8"/>
      <c r="Q981" s="8"/>
      <c r="R981" s="8"/>
      <c r="S981" s="8"/>
      <c r="T981" s="8"/>
      <c r="U981" s="8"/>
      <c r="V981" s="8"/>
      <c r="W981" s="8"/>
      <c r="X981" s="8"/>
      <c r="Y981" s="8"/>
      <c r="Z981" s="8"/>
      <c r="AA981" s="8"/>
    </row>
    <row r="982" spans="1:27" ht="12.75">
      <c r="A982" s="8"/>
      <c r="B982" s="59"/>
      <c r="C982" s="59"/>
      <c r="D982" s="59"/>
      <c r="E982" s="59"/>
      <c r="F982" s="8"/>
      <c r="G982" s="8"/>
      <c r="H982" s="8"/>
      <c r="I982" s="8"/>
      <c r="J982" s="8"/>
      <c r="K982" s="8"/>
      <c r="L982" s="8"/>
      <c r="M982" s="8"/>
      <c r="N982" s="8"/>
      <c r="O982" s="8"/>
      <c r="P982" s="8"/>
      <c r="Q982" s="8"/>
      <c r="R982" s="8"/>
      <c r="S982" s="8"/>
      <c r="T982" s="8"/>
      <c r="U982" s="8"/>
      <c r="V982" s="8"/>
      <c r="W982" s="8"/>
      <c r="X982" s="8"/>
      <c r="Y982" s="8"/>
      <c r="Z982" s="8"/>
      <c r="AA982" s="8"/>
    </row>
    <row r="983" spans="1:27" ht="12.75">
      <c r="A983" s="8"/>
      <c r="B983" s="59"/>
      <c r="C983" s="59"/>
      <c r="D983" s="59"/>
      <c r="E983" s="59"/>
      <c r="F983" s="8"/>
      <c r="G983" s="8"/>
      <c r="H983" s="8"/>
      <c r="I983" s="8"/>
      <c r="J983" s="8"/>
      <c r="K983" s="8"/>
      <c r="L983" s="8"/>
      <c r="M983" s="8"/>
      <c r="N983" s="8"/>
      <c r="O983" s="8"/>
      <c r="P983" s="8"/>
      <c r="Q983" s="8"/>
      <c r="R983" s="8"/>
      <c r="S983" s="8"/>
      <c r="T983" s="8"/>
      <c r="U983" s="8"/>
      <c r="V983" s="8"/>
      <c r="W983" s="8"/>
      <c r="X983" s="8"/>
      <c r="Y983" s="8"/>
      <c r="Z983" s="8"/>
      <c r="AA983" s="8"/>
    </row>
    <row r="984" spans="1:27" ht="12.75">
      <c r="A984" s="8"/>
      <c r="B984" s="59"/>
      <c r="C984" s="59"/>
      <c r="D984" s="59"/>
      <c r="E984" s="59"/>
      <c r="F984" s="8"/>
      <c r="G984" s="8"/>
      <c r="H984" s="8"/>
      <c r="I984" s="8"/>
      <c r="J984" s="8"/>
      <c r="K984" s="8"/>
      <c r="L984" s="8"/>
      <c r="M984" s="8"/>
      <c r="N984" s="8"/>
      <c r="O984" s="8"/>
      <c r="P984" s="8"/>
      <c r="Q984" s="8"/>
      <c r="R984" s="8"/>
      <c r="S984" s="8"/>
      <c r="T984" s="8"/>
      <c r="U984" s="8"/>
      <c r="V984" s="8"/>
      <c r="W984" s="8"/>
      <c r="X984" s="8"/>
      <c r="Y984" s="8"/>
      <c r="Z984" s="8"/>
      <c r="AA984" s="8"/>
    </row>
    <row r="985" spans="1:27" ht="12.75">
      <c r="A985" s="8"/>
      <c r="B985" s="59"/>
      <c r="C985" s="59"/>
      <c r="D985" s="59"/>
      <c r="E985" s="59"/>
      <c r="F985" s="8"/>
      <c r="G985" s="8"/>
      <c r="H985" s="8"/>
      <c r="I985" s="8"/>
      <c r="J985" s="8"/>
      <c r="K985" s="8"/>
      <c r="L985" s="8"/>
      <c r="M985" s="8"/>
      <c r="N985" s="8"/>
      <c r="O985" s="8"/>
      <c r="P985" s="8"/>
      <c r="Q985" s="8"/>
      <c r="R985" s="8"/>
      <c r="S985" s="8"/>
      <c r="T985" s="8"/>
      <c r="U985" s="8"/>
      <c r="V985" s="8"/>
      <c r="W985" s="8"/>
      <c r="X985" s="8"/>
      <c r="Y985" s="8"/>
      <c r="Z985" s="8"/>
      <c r="AA985" s="8"/>
    </row>
    <row r="986" spans="1:27" ht="12.75">
      <c r="A986" s="8"/>
      <c r="B986" s="59"/>
      <c r="C986" s="59"/>
      <c r="D986" s="59"/>
      <c r="E986" s="59"/>
      <c r="F986" s="8"/>
      <c r="G986" s="8"/>
      <c r="H986" s="8"/>
      <c r="I986" s="8"/>
      <c r="J986" s="8"/>
      <c r="K986" s="8"/>
      <c r="L986" s="8"/>
      <c r="M986" s="8"/>
      <c r="N986" s="8"/>
      <c r="O986" s="8"/>
      <c r="P986" s="8"/>
      <c r="Q986" s="8"/>
      <c r="R986" s="8"/>
      <c r="S986" s="8"/>
      <c r="T986" s="8"/>
      <c r="U986" s="8"/>
      <c r="V986" s="8"/>
      <c r="W986" s="8"/>
      <c r="X986" s="8"/>
      <c r="Y986" s="8"/>
      <c r="Z986" s="8"/>
      <c r="AA986" s="8"/>
    </row>
    <row r="987" spans="1:27" ht="12.75">
      <c r="A987" s="8"/>
      <c r="B987" s="59"/>
      <c r="C987" s="59"/>
      <c r="D987" s="59"/>
      <c r="E987" s="59"/>
      <c r="F987" s="8"/>
      <c r="G987" s="8"/>
      <c r="H987" s="8"/>
      <c r="I987" s="8"/>
      <c r="J987" s="8"/>
      <c r="K987" s="8"/>
      <c r="L987" s="8"/>
      <c r="M987" s="8"/>
      <c r="N987" s="8"/>
      <c r="O987" s="8"/>
      <c r="P987" s="8"/>
      <c r="Q987" s="8"/>
      <c r="R987" s="8"/>
      <c r="S987" s="8"/>
      <c r="T987" s="8"/>
      <c r="U987" s="8"/>
      <c r="V987" s="8"/>
      <c r="W987" s="8"/>
      <c r="X987" s="8"/>
      <c r="Y987" s="8"/>
      <c r="Z987" s="8"/>
      <c r="AA987" s="8"/>
    </row>
    <row r="988" spans="1:27" ht="12.75">
      <c r="A988" s="8"/>
      <c r="B988" s="59"/>
      <c r="C988" s="59"/>
      <c r="D988" s="59"/>
      <c r="E988" s="59"/>
      <c r="F988" s="8"/>
      <c r="G988" s="8"/>
      <c r="H988" s="8"/>
      <c r="I988" s="8"/>
      <c r="J988" s="8"/>
      <c r="K988" s="8"/>
      <c r="L988" s="8"/>
      <c r="M988" s="8"/>
      <c r="N988" s="8"/>
      <c r="O988" s="8"/>
      <c r="P988" s="8"/>
      <c r="Q988" s="8"/>
      <c r="R988" s="8"/>
      <c r="S988" s="8"/>
      <c r="T988" s="8"/>
      <c r="U988" s="8"/>
      <c r="V988" s="8"/>
      <c r="W988" s="8"/>
      <c r="X988" s="8"/>
      <c r="Y988" s="8"/>
      <c r="Z988" s="8"/>
      <c r="AA988" s="8"/>
    </row>
    <row r="989" spans="1:27" ht="12.75">
      <c r="A989" s="8"/>
      <c r="B989" s="59"/>
      <c r="C989" s="59"/>
      <c r="D989" s="59"/>
      <c r="E989" s="59"/>
      <c r="F989" s="8"/>
      <c r="G989" s="8"/>
      <c r="H989" s="8"/>
      <c r="I989" s="8"/>
      <c r="J989" s="8"/>
      <c r="K989" s="8"/>
      <c r="L989" s="8"/>
      <c r="M989" s="8"/>
      <c r="N989" s="8"/>
      <c r="O989" s="8"/>
      <c r="P989" s="8"/>
      <c r="Q989" s="8"/>
      <c r="R989" s="8"/>
      <c r="S989" s="8"/>
      <c r="T989" s="8"/>
      <c r="U989" s="8"/>
      <c r="V989" s="8"/>
      <c r="W989" s="8"/>
      <c r="X989" s="8"/>
      <c r="Y989" s="8"/>
      <c r="Z989" s="8"/>
      <c r="AA989" s="8"/>
    </row>
    <row r="990" spans="1:27" ht="12.75">
      <c r="A990" s="8"/>
      <c r="B990" s="59"/>
      <c r="C990" s="59"/>
      <c r="D990" s="59"/>
      <c r="E990" s="59"/>
      <c r="F990" s="8"/>
      <c r="G990" s="8"/>
      <c r="H990" s="8"/>
      <c r="I990" s="8"/>
      <c r="J990" s="8"/>
      <c r="K990" s="8"/>
      <c r="L990" s="8"/>
      <c r="M990" s="8"/>
      <c r="N990" s="8"/>
      <c r="O990" s="8"/>
      <c r="P990" s="8"/>
      <c r="Q990" s="8"/>
      <c r="R990" s="8"/>
      <c r="S990" s="8"/>
      <c r="T990" s="8"/>
      <c r="U990" s="8"/>
      <c r="V990" s="8"/>
      <c r="W990" s="8"/>
      <c r="X990" s="8"/>
      <c r="Y990" s="8"/>
      <c r="Z990" s="8"/>
      <c r="AA990" s="8"/>
    </row>
    <row r="991" spans="1:27" ht="12.75">
      <c r="A991" s="8"/>
      <c r="B991" s="59"/>
      <c r="C991" s="59"/>
      <c r="D991" s="59"/>
      <c r="E991" s="59"/>
      <c r="F991" s="8"/>
      <c r="G991" s="8"/>
      <c r="H991" s="8"/>
      <c r="I991" s="8"/>
      <c r="J991" s="8"/>
      <c r="K991" s="8"/>
      <c r="L991" s="8"/>
      <c r="M991" s="8"/>
      <c r="N991" s="8"/>
      <c r="O991" s="8"/>
      <c r="P991" s="8"/>
      <c r="Q991" s="8"/>
      <c r="R991" s="8"/>
      <c r="S991" s="8"/>
      <c r="T991" s="8"/>
      <c r="U991" s="8"/>
      <c r="V991" s="8"/>
      <c r="W991" s="8"/>
      <c r="X991" s="8"/>
      <c r="Y991" s="8"/>
      <c r="Z991" s="8"/>
      <c r="AA991" s="8"/>
    </row>
    <row r="992" spans="1:27" ht="12.75">
      <c r="A992" s="8"/>
      <c r="B992" s="59"/>
      <c r="C992" s="59"/>
      <c r="D992" s="59"/>
      <c r="E992" s="59"/>
      <c r="F992" s="8"/>
      <c r="G992" s="8"/>
      <c r="H992" s="8"/>
      <c r="I992" s="8"/>
      <c r="J992" s="8"/>
      <c r="K992" s="8"/>
      <c r="L992" s="8"/>
      <c r="M992" s="8"/>
      <c r="N992" s="8"/>
      <c r="O992" s="8"/>
      <c r="P992" s="8"/>
      <c r="Q992" s="8"/>
      <c r="R992" s="8"/>
      <c r="S992" s="8"/>
      <c r="T992" s="8"/>
      <c r="U992" s="8"/>
      <c r="V992" s="8"/>
      <c r="W992" s="8"/>
      <c r="X992" s="8"/>
      <c r="Y992" s="8"/>
      <c r="Z992" s="8"/>
      <c r="AA992" s="8"/>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A992"/>
  <sheetViews>
    <sheetView workbookViewId="0"/>
  </sheetViews>
  <sheetFormatPr defaultColWidth="12.5703125" defaultRowHeight="15.75" customHeight="1"/>
  <cols>
    <col min="1" max="1" width="12.85546875" customWidth="1"/>
    <col min="2" max="2" width="56.5703125" customWidth="1"/>
    <col min="3" max="3" width="7.85546875" customWidth="1"/>
  </cols>
  <sheetData>
    <row r="1" spans="1:27" ht="12.75">
      <c r="A1" s="78" t="s">
        <v>277</v>
      </c>
      <c r="B1" s="8"/>
      <c r="C1" s="59"/>
      <c r="D1" s="59"/>
      <c r="E1" s="80">
        <f>SUM(E3:E992)</f>
        <v>490640</v>
      </c>
      <c r="F1" s="8"/>
      <c r="G1" s="8"/>
      <c r="H1" s="8"/>
      <c r="I1" s="8"/>
      <c r="J1" s="8"/>
      <c r="K1" s="8"/>
      <c r="L1" s="8"/>
      <c r="M1" s="8"/>
      <c r="N1" s="8"/>
      <c r="O1" s="8"/>
      <c r="P1" s="8"/>
      <c r="Q1" s="8"/>
      <c r="R1" s="8"/>
      <c r="S1" s="8"/>
      <c r="T1" s="8"/>
      <c r="U1" s="8"/>
      <c r="V1" s="8"/>
      <c r="W1" s="8"/>
      <c r="X1" s="8"/>
      <c r="Y1" s="8"/>
      <c r="Z1" s="8"/>
      <c r="AA1" s="8"/>
    </row>
    <row r="2" spans="1:27" ht="12.75">
      <c r="A2" s="8"/>
      <c r="B2" s="81" t="s">
        <v>80</v>
      </c>
      <c r="C2" s="81" t="s">
        <v>278</v>
      </c>
      <c r="D2" s="81" t="s">
        <v>86</v>
      </c>
      <c r="E2" s="81" t="s">
        <v>279</v>
      </c>
      <c r="F2" s="8" t="s">
        <v>280</v>
      </c>
      <c r="G2" s="8"/>
      <c r="H2" s="8"/>
      <c r="I2" s="8"/>
      <c r="J2" s="8"/>
      <c r="K2" s="8"/>
      <c r="L2" s="8"/>
      <c r="M2" s="8"/>
      <c r="N2" s="8"/>
      <c r="O2" s="8"/>
      <c r="P2" s="8"/>
      <c r="Q2" s="8"/>
      <c r="R2" s="8"/>
      <c r="S2" s="8"/>
      <c r="T2" s="8"/>
      <c r="U2" s="8"/>
      <c r="V2" s="8"/>
      <c r="W2" s="8"/>
      <c r="X2" s="8"/>
      <c r="Y2" s="8"/>
      <c r="Z2" s="8"/>
      <c r="AA2" s="8"/>
    </row>
    <row r="3" spans="1:27" ht="12.75">
      <c r="A3" s="8">
        <v>1</v>
      </c>
      <c r="B3" s="82" t="s">
        <v>287</v>
      </c>
      <c r="C3" s="59">
        <v>10</v>
      </c>
      <c r="D3" s="59">
        <v>8850</v>
      </c>
      <c r="E3" s="59">
        <f t="shared" ref="E3:E50" si="0">C3*D3</f>
        <v>88500</v>
      </c>
      <c r="F3" s="8" t="s">
        <v>282</v>
      </c>
      <c r="G3" s="8"/>
      <c r="H3" s="8"/>
      <c r="I3" s="8"/>
      <c r="J3" s="8"/>
      <c r="K3" s="8"/>
      <c r="L3" s="8"/>
      <c r="M3" s="8"/>
      <c r="N3" s="8"/>
      <c r="O3" s="8"/>
      <c r="P3" s="8"/>
      <c r="Q3" s="8"/>
      <c r="R3" s="8"/>
      <c r="S3" s="8"/>
      <c r="T3" s="8"/>
      <c r="U3" s="8"/>
      <c r="V3" s="8"/>
      <c r="W3" s="8"/>
      <c r="X3" s="8"/>
      <c r="Y3" s="8"/>
      <c r="Z3" s="8"/>
      <c r="AA3" s="8"/>
    </row>
    <row r="4" spans="1:27" ht="12.75">
      <c r="A4" s="8">
        <v>2</v>
      </c>
      <c r="B4" s="82" t="s">
        <v>288</v>
      </c>
      <c r="C4" s="59">
        <v>20</v>
      </c>
      <c r="D4" s="59">
        <v>4650</v>
      </c>
      <c r="E4" s="59">
        <f t="shared" si="0"/>
        <v>93000</v>
      </c>
      <c r="F4" s="8" t="s">
        <v>282</v>
      </c>
      <c r="G4" s="8"/>
      <c r="H4" s="8"/>
      <c r="I4" s="8"/>
      <c r="J4" s="8"/>
      <c r="K4" s="8"/>
      <c r="L4" s="8"/>
      <c r="M4" s="8"/>
      <c r="N4" s="8"/>
      <c r="O4" s="8"/>
      <c r="P4" s="8"/>
      <c r="Q4" s="8"/>
      <c r="R4" s="8"/>
      <c r="S4" s="8"/>
      <c r="T4" s="8"/>
      <c r="U4" s="8"/>
      <c r="V4" s="8"/>
      <c r="W4" s="8"/>
      <c r="X4" s="8"/>
      <c r="Y4" s="8"/>
      <c r="Z4" s="8"/>
      <c r="AA4" s="8"/>
    </row>
    <row r="5" spans="1:27" ht="12.75">
      <c r="A5" s="8">
        <v>3</v>
      </c>
      <c r="B5" s="82" t="s">
        <v>289</v>
      </c>
      <c r="C5" s="59">
        <v>8</v>
      </c>
      <c r="D5" s="59">
        <v>8850</v>
      </c>
      <c r="E5" s="59">
        <f t="shared" si="0"/>
        <v>70800</v>
      </c>
      <c r="F5" s="8" t="s">
        <v>282</v>
      </c>
      <c r="G5" s="8"/>
      <c r="H5" s="8"/>
      <c r="I5" s="8"/>
      <c r="J5" s="8"/>
      <c r="K5" s="8"/>
      <c r="L5" s="8"/>
      <c r="M5" s="8"/>
      <c r="N5" s="8"/>
      <c r="O5" s="8"/>
      <c r="P5" s="8"/>
      <c r="Q5" s="8"/>
      <c r="R5" s="8"/>
      <c r="S5" s="8"/>
      <c r="T5" s="8"/>
      <c r="U5" s="8"/>
      <c r="V5" s="8"/>
      <c r="W5" s="8"/>
      <c r="X5" s="8"/>
      <c r="Y5" s="8"/>
      <c r="Z5" s="8"/>
      <c r="AA5" s="8"/>
    </row>
    <row r="6" spans="1:27" ht="41.25" customHeight="1">
      <c r="A6" s="8">
        <v>4</v>
      </c>
      <c r="B6" s="83" t="s">
        <v>290</v>
      </c>
      <c r="C6" s="59">
        <v>6</v>
      </c>
      <c r="D6" s="59">
        <v>6000</v>
      </c>
      <c r="E6" s="59">
        <f t="shared" si="0"/>
        <v>36000</v>
      </c>
      <c r="F6" s="8" t="s">
        <v>282</v>
      </c>
      <c r="G6" s="8"/>
      <c r="H6" s="8"/>
      <c r="I6" s="8"/>
      <c r="J6" s="8"/>
      <c r="K6" s="8"/>
      <c r="L6" s="8"/>
      <c r="M6" s="8"/>
      <c r="N6" s="8"/>
      <c r="O6" s="8"/>
      <c r="P6" s="8"/>
      <c r="Q6" s="8"/>
      <c r="R6" s="8"/>
      <c r="S6" s="8"/>
      <c r="T6" s="8"/>
      <c r="U6" s="8"/>
      <c r="V6" s="8"/>
      <c r="W6" s="8"/>
      <c r="X6" s="8"/>
      <c r="Y6" s="8"/>
      <c r="Z6" s="8"/>
      <c r="AA6" s="8"/>
    </row>
    <row r="7" spans="1:27" ht="25.5">
      <c r="A7" s="8">
        <v>5</v>
      </c>
      <c r="B7" s="83" t="s">
        <v>291</v>
      </c>
      <c r="C7" s="59">
        <v>1</v>
      </c>
      <c r="D7" s="59">
        <v>1500</v>
      </c>
      <c r="E7" s="59">
        <f t="shared" si="0"/>
        <v>1500</v>
      </c>
      <c r="F7" s="8" t="s">
        <v>282</v>
      </c>
      <c r="G7" s="8"/>
      <c r="H7" s="8"/>
      <c r="I7" s="8"/>
      <c r="J7" s="8"/>
      <c r="K7" s="8"/>
      <c r="L7" s="8"/>
      <c r="M7" s="8"/>
      <c r="N7" s="8"/>
      <c r="O7" s="8"/>
      <c r="P7" s="8"/>
      <c r="Q7" s="8"/>
      <c r="R7" s="8"/>
      <c r="S7" s="8"/>
      <c r="T7" s="8"/>
      <c r="U7" s="8"/>
      <c r="V7" s="8"/>
      <c r="W7" s="8"/>
      <c r="X7" s="8"/>
      <c r="Y7" s="8"/>
      <c r="Z7" s="8"/>
      <c r="AA7" s="8"/>
    </row>
    <row r="8" spans="1:27" ht="25.5">
      <c r="A8" s="8">
        <v>6</v>
      </c>
      <c r="B8" s="83" t="s">
        <v>292</v>
      </c>
      <c r="C8" s="59">
        <v>40</v>
      </c>
      <c r="D8" s="59">
        <v>630</v>
      </c>
      <c r="E8" s="59">
        <f t="shared" si="0"/>
        <v>25200</v>
      </c>
      <c r="F8" s="8" t="s">
        <v>282</v>
      </c>
      <c r="G8" s="8"/>
      <c r="H8" s="8"/>
      <c r="I8" s="8"/>
      <c r="J8" s="8"/>
      <c r="K8" s="8"/>
      <c r="L8" s="8"/>
      <c r="M8" s="8"/>
      <c r="N8" s="8"/>
      <c r="O8" s="8"/>
      <c r="P8" s="8"/>
      <c r="Q8" s="8"/>
      <c r="R8" s="8"/>
      <c r="S8" s="8"/>
      <c r="T8" s="8"/>
      <c r="U8" s="8"/>
      <c r="V8" s="8"/>
      <c r="W8" s="8"/>
      <c r="X8" s="8"/>
      <c r="Y8" s="8"/>
      <c r="Z8" s="8"/>
      <c r="AA8" s="8"/>
    </row>
    <row r="9" spans="1:27" ht="12.75">
      <c r="A9" s="8">
        <v>7</v>
      </c>
      <c r="B9" s="84" t="s">
        <v>293</v>
      </c>
      <c r="C9" s="59">
        <v>5</v>
      </c>
      <c r="D9" s="59">
        <v>425</v>
      </c>
      <c r="E9" s="59">
        <f t="shared" si="0"/>
        <v>2125</v>
      </c>
      <c r="F9" s="8" t="s">
        <v>282</v>
      </c>
      <c r="G9" s="8"/>
      <c r="H9" s="8"/>
      <c r="I9" s="8"/>
      <c r="J9" s="8"/>
      <c r="K9" s="8"/>
      <c r="L9" s="8"/>
      <c r="M9" s="8"/>
      <c r="N9" s="8"/>
      <c r="O9" s="8"/>
      <c r="P9" s="8"/>
      <c r="Q9" s="8"/>
      <c r="R9" s="8"/>
      <c r="S9" s="8"/>
      <c r="T9" s="8"/>
      <c r="U9" s="8"/>
      <c r="V9" s="8"/>
      <c r="W9" s="8"/>
      <c r="X9" s="8"/>
      <c r="Y9" s="8"/>
      <c r="Z9" s="8"/>
      <c r="AA9" s="8"/>
    </row>
    <row r="10" spans="1:27" ht="25.5">
      <c r="A10" s="8">
        <v>8</v>
      </c>
      <c r="B10" s="84" t="s">
        <v>294</v>
      </c>
      <c r="C10" s="59">
        <v>10</v>
      </c>
      <c r="D10" s="59">
        <v>225</v>
      </c>
      <c r="E10" s="59">
        <f t="shared" si="0"/>
        <v>2250</v>
      </c>
      <c r="F10" s="8" t="s">
        <v>282</v>
      </c>
      <c r="G10" s="8"/>
      <c r="H10" s="8"/>
      <c r="I10" s="8"/>
      <c r="J10" s="8"/>
      <c r="K10" s="8"/>
      <c r="L10" s="8"/>
      <c r="M10" s="8"/>
      <c r="N10" s="8"/>
      <c r="O10" s="8"/>
      <c r="P10" s="8"/>
      <c r="Q10" s="8"/>
      <c r="R10" s="8"/>
      <c r="S10" s="8"/>
      <c r="T10" s="8"/>
      <c r="U10" s="8"/>
      <c r="V10" s="8"/>
      <c r="W10" s="8"/>
      <c r="X10" s="8"/>
      <c r="Y10" s="8"/>
      <c r="Z10" s="8"/>
      <c r="AA10" s="8"/>
    </row>
    <row r="11" spans="1:27" ht="12.75">
      <c r="A11" s="8">
        <v>9</v>
      </c>
      <c r="B11" s="84" t="s">
        <v>295</v>
      </c>
      <c r="C11" s="59">
        <v>10</v>
      </c>
      <c r="D11" s="59">
        <v>225</v>
      </c>
      <c r="E11" s="59">
        <f t="shared" si="0"/>
        <v>2250</v>
      </c>
      <c r="F11" s="8" t="s">
        <v>282</v>
      </c>
      <c r="G11" s="8"/>
      <c r="H11" s="8"/>
      <c r="I11" s="8"/>
      <c r="J11" s="8"/>
      <c r="K11" s="8"/>
      <c r="L11" s="8"/>
      <c r="M11" s="8"/>
      <c r="N11" s="8"/>
      <c r="O11" s="8"/>
      <c r="P11" s="8"/>
      <c r="Q11" s="8"/>
      <c r="R11" s="8"/>
      <c r="S11" s="8"/>
      <c r="T11" s="8"/>
      <c r="U11" s="8"/>
      <c r="V11" s="8"/>
      <c r="W11" s="8"/>
      <c r="X11" s="8"/>
      <c r="Y11" s="8"/>
      <c r="Z11" s="8"/>
      <c r="AA11" s="8"/>
    </row>
    <row r="12" spans="1:27" ht="25.5">
      <c r="A12" s="8">
        <v>10</v>
      </c>
      <c r="B12" s="84" t="s">
        <v>296</v>
      </c>
      <c r="C12" s="59">
        <v>20</v>
      </c>
      <c r="D12" s="59">
        <v>195</v>
      </c>
      <c r="E12" s="59">
        <f t="shared" si="0"/>
        <v>3900</v>
      </c>
      <c r="F12" s="8" t="s">
        <v>282</v>
      </c>
      <c r="G12" s="8"/>
      <c r="H12" s="8"/>
      <c r="I12" s="8"/>
      <c r="J12" s="8"/>
      <c r="K12" s="8"/>
      <c r="L12" s="8"/>
      <c r="M12" s="8"/>
      <c r="N12" s="8"/>
      <c r="O12" s="8"/>
      <c r="P12" s="8"/>
      <c r="Q12" s="8"/>
      <c r="R12" s="8"/>
      <c r="S12" s="8"/>
      <c r="T12" s="8"/>
      <c r="U12" s="8"/>
      <c r="V12" s="8"/>
      <c r="W12" s="8"/>
      <c r="X12" s="8"/>
      <c r="Y12" s="8"/>
      <c r="Z12" s="8"/>
      <c r="AA12" s="8"/>
    </row>
    <row r="13" spans="1:27" ht="12.75">
      <c r="A13" s="8">
        <v>11</v>
      </c>
      <c r="B13" s="84" t="s">
        <v>297</v>
      </c>
      <c r="C13" s="59">
        <v>50</v>
      </c>
      <c r="D13" s="59">
        <v>15</v>
      </c>
      <c r="E13" s="59">
        <f t="shared" si="0"/>
        <v>750</v>
      </c>
      <c r="F13" s="8" t="s">
        <v>282</v>
      </c>
      <c r="G13" s="8"/>
      <c r="H13" s="8"/>
      <c r="I13" s="8"/>
      <c r="J13" s="8"/>
      <c r="K13" s="8"/>
      <c r="L13" s="8"/>
      <c r="M13" s="8"/>
      <c r="N13" s="8"/>
      <c r="O13" s="8"/>
      <c r="P13" s="8"/>
      <c r="Q13" s="8"/>
      <c r="R13" s="8"/>
      <c r="S13" s="8"/>
      <c r="T13" s="8"/>
      <c r="U13" s="8"/>
      <c r="V13" s="8"/>
      <c r="W13" s="8"/>
      <c r="X13" s="8"/>
      <c r="Y13" s="8"/>
      <c r="Z13" s="8"/>
      <c r="AA13" s="8"/>
    </row>
    <row r="14" spans="1:27" ht="12.75">
      <c r="A14" s="8">
        <v>12</v>
      </c>
      <c r="B14" s="84" t="s">
        <v>298</v>
      </c>
      <c r="C14" s="59">
        <v>50</v>
      </c>
      <c r="D14" s="59">
        <v>10</v>
      </c>
      <c r="E14" s="59">
        <f t="shared" si="0"/>
        <v>500</v>
      </c>
      <c r="F14" s="8" t="s">
        <v>282</v>
      </c>
      <c r="G14" s="8"/>
      <c r="H14" s="8"/>
      <c r="I14" s="8"/>
      <c r="J14" s="8"/>
      <c r="K14" s="8"/>
      <c r="L14" s="8"/>
      <c r="M14" s="8"/>
      <c r="N14" s="8"/>
      <c r="O14" s="8"/>
      <c r="P14" s="8"/>
      <c r="Q14" s="8"/>
      <c r="R14" s="8"/>
      <c r="S14" s="8"/>
      <c r="T14" s="8"/>
      <c r="U14" s="8"/>
      <c r="V14" s="8"/>
      <c r="W14" s="8"/>
      <c r="X14" s="8"/>
      <c r="Y14" s="8"/>
      <c r="Z14" s="8"/>
      <c r="AA14" s="8"/>
    </row>
    <row r="15" spans="1:27" ht="12.75">
      <c r="A15" s="8">
        <v>13</v>
      </c>
      <c r="B15" s="1" t="s">
        <v>299</v>
      </c>
      <c r="C15" s="59">
        <v>10</v>
      </c>
      <c r="D15" s="59">
        <v>50</v>
      </c>
      <c r="E15" s="59">
        <f t="shared" si="0"/>
        <v>500</v>
      </c>
      <c r="F15" s="8" t="s">
        <v>282</v>
      </c>
      <c r="G15" s="8"/>
      <c r="H15" s="8"/>
      <c r="I15" s="8"/>
      <c r="J15" s="8"/>
      <c r="K15" s="8"/>
      <c r="L15" s="8"/>
      <c r="M15" s="8"/>
      <c r="N15" s="8"/>
      <c r="O15" s="8"/>
      <c r="P15" s="8"/>
      <c r="Q15" s="8"/>
      <c r="R15" s="8"/>
      <c r="S15" s="8"/>
      <c r="T15" s="8"/>
      <c r="U15" s="8"/>
      <c r="V15" s="8"/>
      <c r="W15" s="8"/>
      <c r="X15" s="8"/>
      <c r="Y15" s="8"/>
      <c r="Z15" s="8"/>
      <c r="AA15" s="8"/>
    </row>
    <row r="16" spans="1:27" ht="102">
      <c r="A16" s="8">
        <v>14</v>
      </c>
      <c r="B16" s="84" t="s">
        <v>300</v>
      </c>
      <c r="C16" s="59">
        <v>5</v>
      </c>
      <c r="D16" s="59">
        <v>945</v>
      </c>
      <c r="E16" s="59">
        <f t="shared" si="0"/>
        <v>4725</v>
      </c>
      <c r="F16" s="8" t="s">
        <v>282</v>
      </c>
      <c r="G16" s="8"/>
      <c r="H16" s="8"/>
      <c r="I16" s="8"/>
      <c r="J16" s="8"/>
      <c r="K16" s="8"/>
      <c r="L16" s="8"/>
      <c r="M16" s="8"/>
      <c r="N16" s="8"/>
      <c r="O16" s="8"/>
      <c r="P16" s="8"/>
      <c r="Q16" s="8"/>
      <c r="R16" s="8"/>
      <c r="S16" s="8"/>
      <c r="T16" s="8"/>
      <c r="U16" s="8"/>
      <c r="V16" s="8"/>
      <c r="W16" s="8"/>
      <c r="X16" s="8"/>
      <c r="Y16" s="8"/>
      <c r="Z16" s="8"/>
      <c r="AA16" s="8"/>
    </row>
    <row r="17" spans="1:27" ht="25.5">
      <c r="A17" s="8">
        <v>15</v>
      </c>
      <c r="B17" s="84" t="s">
        <v>301</v>
      </c>
      <c r="C17" s="59">
        <v>10</v>
      </c>
      <c r="D17" s="59">
        <v>990</v>
      </c>
      <c r="E17" s="59">
        <f t="shared" si="0"/>
        <v>9900</v>
      </c>
      <c r="F17" s="8" t="s">
        <v>282</v>
      </c>
      <c r="G17" s="8"/>
      <c r="H17" s="8"/>
      <c r="I17" s="8"/>
      <c r="J17" s="8"/>
      <c r="K17" s="8"/>
      <c r="L17" s="8"/>
      <c r="M17" s="8"/>
      <c r="N17" s="8"/>
      <c r="O17" s="8"/>
      <c r="P17" s="8"/>
      <c r="Q17" s="8"/>
      <c r="R17" s="8"/>
      <c r="S17" s="8"/>
      <c r="T17" s="8"/>
      <c r="U17" s="8"/>
      <c r="V17" s="8"/>
      <c r="W17" s="8"/>
      <c r="X17" s="8"/>
      <c r="Y17" s="8"/>
      <c r="Z17" s="8"/>
      <c r="AA17" s="8"/>
    </row>
    <row r="18" spans="1:27" ht="12.75">
      <c r="A18" s="8">
        <v>16</v>
      </c>
      <c r="B18" s="85" t="s">
        <v>159</v>
      </c>
      <c r="C18" s="59">
        <v>25</v>
      </c>
      <c r="D18" s="86">
        <v>67.5</v>
      </c>
      <c r="E18" s="59">
        <f t="shared" si="0"/>
        <v>1687.5</v>
      </c>
      <c r="F18" s="8" t="s">
        <v>282</v>
      </c>
      <c r="G18" s="8"/>
      <c r="H18" s="8"/>
      <c r="I18" s="8"/>
      <c r="J18" s="8"/>
      <c r="K18" s="8"/>
      <c r="L18" s="8"/>
      <c r="M18" s="8"/>
      <c r="N18" s="8"/>
      <c r="O18" s="8"/>
      <c r="P18" s="8"/>
      <c r="Q18" s="8"/>
      <c r="R18" s="8"/>
      <c r="S18" s="8"/>
      <c r="T18" s="8"/>
      <c r="U18" s="8"/>
      <c r="V18" s="8"/>
      <c r="W18" s="8"/>
      <c r="X18" s="8"/>
      <c r="Y18" s="8"/>
      <c r="Z18" s="8"/>
      <c r="AA18" s="8"/>
    </row>
    <row r="19" spans="1:27" ht="12.75">
      <c r="A19" s="8">
        <v>17</v>
      </c>
      <c r="B19" s="85" t="s">
        <v>160</v>
      </c>
      <c r="C19" s="59">
        <v>25</v>
      </c>
      <c r="D19" s="86">
        <v>100.5</v>
      </c>
      <c r="E19" s="59">
        <f t="shared" si="0"/>
        <v>2512.5</v>
      </c>
      <c r="F19" s="8" t="s">
        <v>282</v>
      </c>
      <c r="G19" s="8"/>
      <c r="H19" s="8"/>
      <c r="I19" s="8"/>
      <c r="J19" s="8"/>
      <c r="K19" s="8"/>
      <c r="L19" s="8"/>
      <c r="M19" s="8"/>
      <c r="N19" s="8"/>
      <c r="O19" s="8"/>
      <c r="P19" s="8"/>
      <c r="Q19" s="8"/>
      <c r="R19" s="8"/>
      <c r="S19" s="8"/>
      <c r="T19" s="8"/>
      <c r="U19" s="8"/>
      <c r="V19" s="8"/>
      <c r="W19" s="8"/>
      <c r="X19" s="8"/>
      <c r="Y19" s="8"/>
      <c r="Z19" s="8"/>
      <c r="AA19" s="8"/>
    </row>
    <row r="20" spans="1:27" ht="12.75">
      <c r="A20" s="8">
        <v>18</v>
      </c>
      <c r="B20" s="85" t="s">
        <v>161</v>
      </c>
      <c r="C20" s="59">
        <v>20</v>
      </c>
      <c r="D20" s="86">
        <v>120</v>
      </c>
      <c r="E20" s="59">
        <f t="shared" si="0"/>
        <v>2400</v>
      </c>
      <c r="F20" s="8" t="s">
        <v>282</v>
      </c>
      <c r="G20" s="8"/>
      <c r="H20" s="8"/>
      <c r="I20" s="8"/>
      <c r="J20" s="8"/>
      <c r="K20" s="8"/>
      <c r="L20" s="8"/>
      <c r="M20" s="8"/>
      <c r="N20" s="8"/>
      <c r="O20" s="8"/>
      <c r="P20" s="8"/>
      <c r="Q20" s="8"/>
      <c r="R20" s="8"/>
      <c r="S20" s="8"/>
      <c r="T20" s="8"/>
      <c r="U20" s="8"/>
      <c r="V20" s="8"/>
      <c r="W20" s="8"/>
      <c r="X20" s="8"/>
      <c r="Y20" s="8"/>
      <c r="Z20" s="8"/>
      <c r="AA20" s="8"/>
    </row>
    <row r="21" spans="1:27" ht="12.75">
      <c r="A21" s="8">
        <v>19</v>
      </c>
      <c r="B21" s="85" t="s">
        <v>162</v>
      </c>
      <c r="C21" s="59">
        <v>20</v>
      </c>
      <c r="D21" s="86">
        <v>150</v>
      </c>
      <c r="E21" s="59">
        <f t="shared" si="0"/>
        <v>3000</v>
      </c>
      <c r="F21" s="8" t="s">
        <v>282</v>
      </c>
      <c r="G21" s="8"/>
      <c r="H21" s="8"/>
      <c r="I21" s="8"/>
      <c r="J21" s="8"/>
      <c r="K21" s="8"/>
      <c r="L21" s="8"/>
      <c r="M21" s="8"/>
      <c r="N21" s="8"/>
      <c r="O21" s="8"/>
      <c r="P21" s="8"/>
      <c r="Q21" s="8"/>
      <c r="R21" s="8"/>
      <c r="S21" s="8"/>
      <c r="T21" s="8"/>
      <c r="U21" s="8"/>
      <c r="V21" s="8"/>
      <c r="W21" s="8"/>
      <c r="X21" s="8"/>
      <c r="Y21" s="8"/>
      <c r="Z21" s="8"/>
      <c r="AA21" s="8"/>
    </row>
    <row r="22" spans="1:27" ht="12.75">
      <c r="A22" s="8">
        <v>20</v>
      </c>
      <c r="B22" s="85" t="s">
        <v>163</v>
      </c>
      <c r="C22" s="59">
        <v>15</v>
      </c>
      <c r="D22" s="86">
        <v>243</v>
      </c>
      <c r="E22" s="59">
        <f t="shared" si="0"/>
        <v>3645</v>
      </c>
      <c r="F22" s="8" t="s">
        <v>282</v>
      </c>
      <c r="G22" s="8"/>
      <c r="H22" s="8"/>
      <c r="I22" s="8"/>
      <c r="J22" s="8"/>
      <c r="K22" s="8"/>
      <c r="L22" s="8"/>
      <c r="M22" s="8"/>
      <c r="N22" s="8"/>
      <c r="O22" s="8"/>
      <c r="P22" s="8"/>
      <c r="Q22" s="8"/>
      <c r="R22" s="8"/>
      <c r="S22" s="8"/>
      <c r="T22" s="8"/>
      <c r="U22" s="8"/>
      <c r="V22" s="8"/>
      <c r="W22" s="8"/>
      <c r="X22" s="8"/>
      <c r="Y22" s="8"/>
      <c r="Z22" s="8"/>
      <c r="AA22" s="8"/>
    </row>
    <row r="23" spans="1:27" ht="12.75">
      <c r="A23" s="8">
        <v>21</v>
      </c>
      <c r="B23" s="85" t="s">
        <v>164</v>
      </c>
      <c r="C23" s="59">
        <v>15</v>
      </c>
      <c r="D23" s="86">
        <v>240</v>
      </c>
      <c r="E23" s="59">
        <f t="shared" si="0"/>
        <v>3600</v>
      </c>
      <c r="F23" s="8" t="s">
        <v>282</v>
      </c>
      <c r="G23" s="8"/>
      <c r="H23" s="8"/>
      <c r="I23" s="8"/>
      <c r="J23" s="8"/>
      <c r="K23" s="8"/>
      <c r="L23" s="8"/>
      <c r="M23" s="8"/>
      <c r="N23" s="8"/>
      <c r="O23" s="8"/>
      <c r="P23" s="8"/>
      <c r="Q23" s="8"/>
      <c r="R23" s="8"/>
      <c r="S23" s="8"/>
      <c r="T23" s="8"/>
      <c r="U23" s="8"/>
      <c r="V23" s="8"/>
      <c r="W23" s="8"/>
      <c r="X23" s="8"/>
      <c r="Y23" s="8"/>
      <c r="Z23" s="8"/>
      <c r="AA23" s="8"/>
    </row>
    <row r="24" spans="1:27" ht="12.75">
      <c r="A24" s="8">
        <v>22</v>
      </c>
      <c r="B24" s="85" t="s">
        <v>165</v>
      </c>
      <c r="C24" s="59">
        <v>5</v>
      </c>
      <c r="D24" s="86">
        <v>270</v>
      </c>
      <c r="E24" s="59">
        <f t="shared" si="0"/>
        <v>1350</v>
      </c>
      <c r="F24" s="8" t="s">
        <v>282</v>
      </c>
      <c r="G24" s="8"/>
      <c r="H24" s="8"/>
      <c r="I24" s="8"/>
      <c r="J24" s="8"/>
      <c r="K24" s="8"/>
      <c r="L24" s="8"/>
      <c r="M24" s="8"/>
      <c r="N24" s="8"/>
      <c r="O24" s="8"/>
      <c r="P24" s="8"/>
      <c r="Q24" s="8"/>
      <c r="R24" s="8"/>
      <c r="S24" s="8"/>
      <c r="T24" s="8"/>
      <c r="U24" s="8"/>
      <c r="V24" s="8"/>
      <c r="W24" s="8"/>
      <c r="X24" s="8"/>
      <c r="Y24" s="8"/>
      <c r="Z24" s="8"/>
      <c r="AA24" s="8"/>
    </row>
    <row r="25" spans="1:27" ht="12.75">
      <c r="A25" s="8">
        <v>23</v>
      </c>
      <c r="B25" s="85" t="s">
        <v>166</v>
      </c>
      <c r="C25" s="59">
        <v>5</v>
      </c>
      <c r="D25" s="86">
        <v>345</v>
      </c>
      <c r="E25" s="59">
        <f t="shared" si="0"/>
        <v>1725</v>
      </c>
      <c r="F25" s="8" t="s">
        <v>282</v>
      </c>
      <c r="G25" s="8"/>
      <c r="H25" s="8"/>
      <c r="I25" s="8"/>
      <c r="J25" s="8"/>
      <c r="K25" s="8"/>
      <c r="L25" s="8"/>
      <c r="M25" s="8"/>
      <c r="N25" s="8"/>
      <c r="O25" s="8"/>
      <c r="P25" s="8"/>
      <c r="Q25" s="8"/>
      <c r="R25" s="8"/>
      <c r="S25" s="8"/>
      <c r="T25" s="8"/>
      <c r="U25" s="8"/>
      <c r="V25" s="8"/>
      <c r="W25" s="8"/>
      <c r="X25" s="8"/>
      <c r="Y25" s="8"/>
      <c r="Z25" s="8"/>
      <c r="AA25" s="8"/>
    </row>
    <row r="26" spans="1:27" ht="12.75">
      <c r="A26" s="8">
        <v>24</v>
      </c>
      <c r="B26" s="85" t="s">
        <v>167</v>
      </c>
      <c r="C26" s="59">
        <v>5</v>
      </c>
      <c r="D26" s="86">
        <v>495</v>
      </c>
      <c r="E26" s="59">
        <f t="shared" si="0"/>
        <v>2475</v>
      </c>
      <c r="F26" s="8" t="s">
        <v>282</v>
      </c>
      <c r="G26" s="8"/>
      <c r="H26" s="8"/>
      <c r="I26" s="8"/>
      <c r="J26" s="8"/>
      <c r="K26" s="8"/>
      <c r="L26" s="8"/>
      <c r="M26" s="8"/>
      <c r="N26" s="8"/>
      <c r="O26" s="8"/>
      <c r="P26" s="8"/>
      <c r="Q26" s="8"/>
      <c r="R26" s="8"/>
      <c r="S26" s="8"/>
      <c r="T26" s="8"/>
      <c r="U26" s="8"/>
      <c r="V26" s="8"/>
      <c r="W26" s="8"/>
      <c r="X26" s="8"/>
      <c r="Y26" s="8"/>
      <c r="Z26" s="8"/>
      <c r="AA26" s="8"/>
    </row>
    <row r="27" spans="1:27" ht="12.75">
      <c r="A27" s="8">
        <v>25</v>
      </c>
      <c r="B27" s="82" t="s">
        <v>159</v>
      </c>
      <c r="C27" s="59">
        <v>25</v>
      </c>
      <c r="D27" s="86">
        <v>67.5</v>
      </c>
      <c r="E27" s="59">
        <f t="shared" si="0"/>
        <v>1687.5</v>
      </c>
      <c r="F27" s="8" t="s">
        <v>282</v>
      </c>
      <c r="G27" s="8"/>
      <c r="H27" s="8"/>
      <c r="I27" s="8"/>
      <c r="J27" s="8"/>
      <c r="K27" s="8"/>
      <c r="L27" s="8"/>
      <c r="M27" s="8"/>
      <c r="N27" s="8"/>
      <c r="O27" s="8"/>
      <c r="P27" s="8"/>
      <c r="Q27" s="8"/>
      <c r="R27" s="8"/>
      <c r="S27" s="8"/>
      <c r="T27" s="8"/>
      <c r="U27" s="8"/>
      <c r="V27" s="8"/>
      <c r="W27" s="8"/>
      <c r="X27" s="8"/>
      <c r="Y27" s="8"/>
      <c r="Z27" s="8"/>
      <c r="AA27" s="8"/>
    </row>
    <row r="28" spans="1:27" ht="12.75">
      <c r="A28" s="8">
        <v>26</v>
      </c>
      <c r="B28" s="82" t="s">
        <v>160</v>
      </c>
      <c r="C28" s="59">
        <v>25</v>
      </c>
      <c r="D28" s="86">
        <v>100.5</v>
      </c>
      <c r="E28" s="59">
        <f t="shared" si="0"/>
        <v>2512.5</v>
      </c>
      <c r="F28" s="8" t="s">
        <v>282</v>
      </c>
      <c r="G28" s="8"/>
      <c r="H28" s="8"/>
      <c r="I28" s="8"/>
      <c r="J28" s="8"/>
      <c r="K28" s="8"/>
      <c r="L28" s="8"/>
      <c r="M28" s="8"/>
      <c r="N28" s="8"/>
      <c r="O28" s="8"/>
      <c r="P28" s="8"/>
      <c r="Q28" s="8"/>
      <c r="R28" s="8"/>
      <c r="S28" s="8"/>
      <c r="T28" s="8"/>
      <c r="U28" s="8"/>
      <c r="V28" s="8"/>
      <c r="W28" s="8"/>
      <c r="X28" s="8"/>
      <c r="Y28" s="8"/>
      <c r="Z28" s="8"/>
      <c r="AA28" s="8"/>
    </row>
    <row r="29" spans="1:27" ht="12.75">
      <c r="A29" s="8">
        <v>27</v>
      </c>
      <c r="B29" s="82" t="s">
        <v>161</v>
      </c>
      <c r="C29" s="59">
        <v>20</v>
      </c>
      <c r="D29" s="86">
        <v>120</v>
      </c>
      <c r="E29" s="59">
        <f t="shared" si="0"/>
        <v>2400</v>
      </c>
      <c r="F29" s="8" t="s">
        <v>282</v>
      </c>
      <c r="G29" s="8"/>
      <c r="H29" s="8"/>
      <c r="I29" s="8"/>
      <c r="J29" s="8"/>
      <c r="K29" s="8"/>
      <c r="L29" s="8"/>
      <c r="M29" s="8"/>
      <c r="N29" s="8"/>
      <c r="O29" s="8"/>
      <c r="P29" s="8"/>
      <c r="Q29" s="8"/>
      <c r="R29" s="8"/>
      <c r="S29" s="8"/>
      <c r="T29" s="8"/>
      <c r="U29" s="8"/>
      <c r="V29" s="8"/>
      <c r="W29" s="8"/>
      <c r="X29" s="8"/>
      <c r="Y29" s="8"/>
      <c r="Z29" s="8"/>
      <c r="AA29" s="8"/>
    </row>
    <row r="30" spans="1:27" ht="12.75">
      <c r="A30" s="8">
        <v>28</v>
      </c>
      <c r="B30" s="82" t="s">
        <v>162</v>
      </c>
      <c r="C30" s="59">
        <v>20</v>
      </c>
      <c r="D30" s="86">
        <v>150</v>
      </c>
      <c r="E30" s="59">
        <f t="shared" si="0"/>
        <v>3000</v>
      </c>
      <c r="F30" s="8" t="s">
        <v>282</v>
      </c>
      <c r="G30" s="8"/>
      <c r="H30" s="8"/>
      <c r="I30" s="8"/>
      <c r="J30" s="8"/>
      <c r="K30" s="8"/>
      <c r="L30" s="8"/>
      <c r="M30" s="8"/>
      <c r="N30" s="8"/>
      <c r="O30" s="8"/>
      <c r="P30" s="8"/>
      <c r="Q30" s="8"/>
      <c r="R30" s="8"/>
      <c r="S30" s="8"/>
      <c r="T30" s="8"/>
      <c r="U30" s="8"/>
      <c r="V30" s="8"/>
      <c r="W30" s="8"/>
      <c r="X30" s="8"/>
      <c r="Y30" s="8"/>
      <c r="Z30" s="8"/>
      <c r="AA30" s="8"/>
    </row>
    <row r="31" spans="1:27" ht="12.75">
      <c r="A31" s="8">
        <v>29</v>
      </c>
      <c r="B31" s="82" t="s">
        <v>163</v>
      </c>
      <c r="C31" s="59">
        <v>15</v>
      </c>
      <c r="D31" s="86">
        <v>243</v>
      </c>
      <c r="E31" s="59">
        <f t="shared" si="0"/>
        <v>3645</v>
      </c>
      <c r="F31" s="8" t="s">
        <v>282</v>
      </c>
      <c r="G31" s="8"/>
      <c r="H31" s="8"/>
      <c r="I31" s="8"/>
      <c r="J31" s="8"/>
      <c r="K31" s="8"/>
      <c r="L31" s="8"/>
      <c r="M31" s="8"/>
      <c r="N31" s="8"/>
      <c r="O31" s="8"/>
      <c r="P31" s="8"/>
      <c r="Q31" s="8"/>
      <c r="R31" s="8"/>
      <c r="S31" s="8"/>
      <c r="T31" s="8"/>
      <c r="U31" s="8"/>
      <c r="V31" s="8"/>
      <c r="W31" s="8"/>
      <c r="X31" s="8"/>
      <c r="Y31" s="8"/>
      <c r="Z31" s="8"/>
      <c r="AA31" s="8"/>
    </row>
    <row r="32" spans="1:27" ht="12.75">
      <c r="A32" s="8">
        <v>30</v>
      </c>
      <c r="B32" s="82" t="s">
        <v>164</v>
      </c>
      <c r="C32" s="59">
        <v>15</v>
      </c>
      <c r="D32" s="86">
        <v>240</v>
      </c>
      <c r="E32" s="59">
        <f t="shared" si="0"/>
        <v>3600</v>
      </c>
      <c r="F32" s="8" t="s">
        <v>282</v>
      </c>
      <c r="G32" s="8"/>
      <c r="H32" s="8"/>
      <c r="I32" s="8"/>
      <c r="J32" s="8"/>
      <c r="K32" s="8"/>
      <c r="L32" s="8"/>
      <c r="M32" s="8"/>
      <c r="N32" s="8"/>
      <c r="O32" s="8"/>
      <c r="P32" s="8"/>
      <c r="Q32" s="8"/>
      <c r="R32" s="8"/>
      <c r="S32" s="8"/>
      <c r="T32" s="8"/>
      <c r="U32" s="8"/>
      <c r="V32" s="8"/>
      <c r="W32" s="8"/>
      <c r="X32" s="8"/>
      <c r="Y32" s="8"/>
      <c r="Z32" s="8"/>
      <c r="AA32" s="8"/>
    </row>
    <row r="33" spans="1:27" ht="12.75">
      <c r="A33" s="8">
        <v>31</v>
      </c>
      <c r="B33" s="82" t="s">
        <v>165</v>
      </c>
      <c r="C33" s="59">
        <v>5</v>
      </c>
      <c r="D33" s="86">
        <v>270</v>
      </c>
      <c r="E33" s="59">
        <f t="shared" si="0"/>
        <v>1350</v>
      </c>
      <c r="F33" s="8" t="s">
        <v>282</v>
      </c>
      <c r="G33" s="8"/>
      <c r="H33" s="8"/>
      <c r="I33" s="8"/>
      <c r="J33" s="8"/>
      <c r="K33" s="8"/>
      <c r="L33" s="8"/>
      <c r="M33" s="8"/>
      <c r="N33" s="8"/>
      <c r="O33" s="8"/>
      <c r="P33" s="8"/>
      <c r="Q33" s="8"/>
      <c r="R33" s="8"/>
      <c r="S33" s="8"/>
      <c r="T33" s="8"/>
      <c r="U33" s="8"/>
      <c r="V33" s="8"/>
      <c r="W33" s="8"/>
      <c r="X33" s="8"/>
      <c r="Y33" s="8"/>
      <c r="Z33" s="8"/>
      <c r="AA33" s="8"/>
    </row>
    <row r="34" spans="1:27" ht="12.75">
      <c r="A34" s="8">
        <v>32</v>
      </c>
      <c r="B34" s="82" t="s">
        <v>166</v>
      </c>
      <c r="C34" s="59">
        <v>5</v>
      </c>
      <c r="D34" s="86">
        <v>345</v>
      </c>
      <c r="E34" s="59">
        <f t="shared" si="0"/>
        <v>1725</v>
      </c>
      <c r="F34" s="8" t="s">
        <v>282</v>
      </c>
      <c r="G34" s="8"/>
      <c r="H34" s="8"/>
      <c r="I34" s="8"/>
      <c r="J34" s="8"/>
      <c r="K34" s="8"/>
      <c r="L34" s="8"/>
      <c r="M34" s="8"/>
      <c r="N34" s="8"/>
      <c r="O34" s="8"/>
      <c r="P34" s="8"/>
      <c r="Q34" s="8"/>
      <c r="R34" s="8"/>
      <c r="S34" s="8"/>
      <c r="T34" s="8"/>
      <c r="U34" s="8"/>
      <c r="V34" s="8"/>
      <c r="W34" s="8"/>
      <c r="X34" s="8"/>
      <c r="Y34" s="8"/>
      <c r="Z34" s="8"/>
      <c r="AA34" s="8"/>
    </row>
    <row r="35" spans="1:27" ht="12.75">
      <c r="A35" s="8">
        <v>33</v>
      </c>
      <c r="B35" s="82" t="s">
        <v>167</v>
      </c>
      <c r="C35" s="59">
        <v>5</v>
      </c>
      <c r="D35" s="86">
        <v>495</v>
      </c>
      <c r="E35" s="59">
        <f t="shared" si="0"/>
        <v>2475</v>
      </c>
      <c r="F35" s="8" t="s">
        <v>282</v>
      </c>
      <c r="G35" s="8"/>
      <c r="H35" s="8"/>
      <c r="I35" s="8"/>
      <c r="J35" s="8"/>
      <c r="K35" s="8"/>
      <c r="L35" s="8"/>
      <c r="M35" s="8"/>
      <c r="N35" s="8"/>
      <c r="O35" s="8"/>
      <c r="P35" s="8"/>
      <c r="Q35" s="8"/>
      <c r="R35" s="8"/>
      <c r="S35" s="8"/>
      <c r="T35" s="8"/>
      <c r="U35" s="8"/>
      <c r="V35" s="8"/>
      <c r="W35" s="8"/>
      <c r="X35" s="8"/>
      <c r="Y35" s="8"/>
      <c r="Z35" s="8"/>
      <c r="AA35" s="8"/>
    </row>
    <row r="36" spans="1:27" ht="12.75">
      <c r="A36" s="8">
        <v>34</v>
      </c>
      <c r="B36" s="82" t="s">
        <v>302</v>
      </c>
      <c r="C36" s="59">
        <v>1</v>
      </c>
      <c r="D36" s="59">
        <v>12900</v>
      </c>
      <c r="E36" s="59">
        <f t="shared" si="0"/>
        <v>12900</v>
      </c>
      <c r="F36" s="8" t="s">
        <v>282</v>
      </c>
      <c r="G36" s="8"/>
      <c r="H36" s="8"/>
      <c r="I36" s="8"/>
      <c r="J36" s="8"/>
      <c r="K36" s="8"/>
      <c r="L36" s="8"/>
      <c r="M36" s="8"/>
      <c r="N36" s="8"/>
      <c r="O36" s="8"/>
      <c r="P36" s="8"/>
      <c r="Q36" s="8"/>
      <c r="R36" s="8"/>
      <c r="S36" s="8"/>
      <c r="T36" s="8"/>
      <c r="U36" s="8"/>
      <c r="V36" s="8"/>
      <c r="W36" s="8"/>
      <c r="X36" s="8"/>
      <c r="Y36" s="8"/>
      <c r="Z36" s="8"/>
      <c r="AA36" s="8"/>
    </row>
    <row r="37" spans="1:27" ht="12.75">
      <c r="A37" s="8">
        <v>35</v>
      </c>
      <c r="B37" s="82" t="s">
        <v>303</v>
      </c>
      <c r="C37" s="59">
        <v>2</v>
      </c>
      <c r="D37" s="59">
        <v>600</v>
      </c>
      <c r="E37" s="59">
        <f t="shared" si="0"/>
        <v>1200</v>
      </c>
      <c r="F37" s="8" t="s">
        <v>282</v>
      </c>
      <c r="G37" s="8"/>
      <c r="H37" s="8"/>
      <c r="I37" s="8"/>
      <c r="J37" s="8"/>
      <c r="K37" s="8"/>
      <c r="L37" s="8"/>
      <c r="M37" s="8"/>
      <c r="N37" s="8"/>
      <c r="O37" s="8"/>
      <c r="P37" s="8"/>
      <c r="Q37" s="8"/>
      <c r="R37" s="8"/>
      <c r="S37" s="8"/>
      <c r="T37" s="8"/>
      <c r="U37" s="8"/>
      <c r="V37" s="8"/>
      <c r="W37" s="8"/>
      <c r="X37" s="8"/>
      <c r="Y37" s="8"/>
      <c r="Z37" s="8"/>
      <c r="AA37" s="8"/>
    </row>
    <row r="38" spans="1:27" ht="12.75">
      <c r="A38" s="8">
        <v>36</v>
      </c>
      <c r="B38" s="82" t="s">
        <v>304</v>
      </c>
      <c r="C38" s="59">
        <v>10</v>
      </c>
      <c r="D38" s="59">
        <v>750</v>
      </c>
      <c r="E38" s="59">
        <f t="shared" si="0"/>
        <v>7500</v>
      </c>
      <c r="F38" s="8" t="s">
        <v>282</v>
      </c>
      <c r="G38" s="8"/>
      <c r="H38" s="8"/>
      <c r="I38" s="8"/>
      <c r="J38" s="8"/>
      <c r="K38" s="8"/>
      <c r="L38" s="8"/>
      <c r="M38" s="8"/>
      <c r="N38" s="8"/>
      <c r="O38" s="8"/>
      <c r="P38" s="8"/>
      <c r="Q38" s="8"/>
      <c r="R38" s="8"/>
      <c r="S38" s="8"/>
      <c r="T38" s="8"/>
      <c r="U38" s="8"/>
      <c r="V38" s="8"/>
      <c r="W38" s="8"/>
      <c r="X38" s="8"/>
      <c r="Y38" s="8"/>
      <c r="Z38" s="8"/>
      <c r="AA38" s="8"/>
    </row>
    <row r="39" spans="1:27" ht="12.75">
      <c r="A39" s="8">
        <v>37</v>
      </c>
      <c r="B39" s="82" t="s">
        <v>305</v>
      </c>
      <c r="C39" s="59">
        <v>10</v>
      </c>
      <c r="D39" s="59">
        <v>900</v>
      </c>
      <c r="E39" s="59">
        <f t="shared" si="0"/>
        <v>9000</v>
      </c>
      <c r="F39" s="8" t="s">
        <v>282</v>
      </c>
      <c r="G39" s="8"/>
      <c r="H39" s="8"/>
      <c r="I39" s="8"/>
      <c r="J39" s="8"/>
      <c r="K39" s="8"/>
      <c r="L39" s="8"/>
      <c r="M39" s="8"/>
      <c r="N39" s="8"/>
      <c r="O39" s="8"/>
      <c r="P39" s="8"/>
      <c r="Q39" s="8"/>
      <c r="R39" s="8"/>
      <c r="S39" s="8"/>
      <c r="T39" s="8"/>
      <c r="U39" s="8"/>
      <c r="V39" s="8"/>
      <c r="W39" s="8"/>
      <c r="X39" s="8"/>
      <c r="Y39" s="8"/>
      <c r="Z39" s="8"/>
      <c r="AA39" s="8"/>
    </row>
    <row r="40" spans="1:27" ht="12.75">
      <c r="A40" s="8">
        <v>38</v>
      </c>
      <c r="B40" s="82" t="s">
        <v>306</v>
      </c>
      <c r="C40" s="59">
        <v>10</v>
      </c>
      <c r="D40" s="59">
        <v>60</v>
      </c>
      <c r="E40" s="59">
        <f t="shared" si="0"/>
        <v>600</v>
      </c>
      <c r="F40" s="8" t="s">
        <v>282</v>
      </c>
      <c r="G40" s="8"/>
      <c r="H40" s="8"/>
      <c r="I40" s="8"/>
      <c r="J40" s="8"/>
      <c r="K40" s="8"/>
      <c r="L40" s="8"/>
      <c r="M40" s="8"/>
      <c r="N40" s="8"/>
      <c r="O40" s="8"/>
      <c r="P40" s="8"/>
      <c r="Q40" s="8"/>
      <c r="R40" s="8"/>
      <c r="S40" s="8"/>
      <c r="T40" s="8"/>
      <c r="U40" s="8"/>
      <c r="V40" s="8"/>
      <c r="W40" s="8"/>
      <c r="X40" s="8"/>
      <c r="Y40" s="8"/>
      <c r="Z40" s="8"/>
      <c r="AA40" s="8"/>
    </row>
    <row r="41" spans="1:27" ht="12.75">
      <c r="A41" s="8">
        <v>39</v>
      </c>
      <c r="B41" s="82" t="s">
        <v>307</v>
      </c>
      <c r="C41" s="59">
        <v>20</v>
      </c>
      <c r="D41" s="59">
        <v>225</v>
      </c>
      <c r="E41" s="59">
        <f t="shared" si="0"/>
        <v>4500</v>
      </c>
      <c r="F41" s="8" t="s">
        <v>282</v>
      </c>
      <c r="G41" s="8"/>
      <c r="H41" s="8"/>
      <c r="I41" s="8"/>
      <c r="J41" s="8"/>
      <c r="K41" s="8"/>
      <c r="L41" s="8"/>
      <c r="M41" s="8"/>
      <c r="N41" s="8"/>
      <c r="O41" s="8"/>
      <c r="P41" s="8"/>
      <c r="Q41" s="8"/>
      <c r="R41" s="8"/>
      <c r="S41" s="8"/>
      <c r="T41" s="8"/>
      <c r="U41" s="8"/>
      <c r="V41" s="8"/>
      <c r="W41" s="8"/>
      <c r="X41" s="8"/>
      <c r="Y41" s="8"/>
      <c r="Z41" s="8"/>
      <c r="AA41" s="8"/>
    </row>
    <row r="42" spans="1:27" ht="12.75">
      <c r="A42" s="8">
        <v>40</v>
      </c>
      <c r="B42" s="82" t="s">
        <v>308</v>
      </c>
      <c r="C42" s="59">
        <v>30</v>
      </c>
      <c r="D42" s="59">
        <v>255</v>
      </c>
      <c r="E42" s="59">
        <f t="shared" si="0"/>
        <v>7650</v>
      </c>
      <c r="F42" s="8" t="s">
        <v>282</v>
      </c>
      <c r="G42" s="8"/>
      <c r="H42" s="8"/>
      <c r="I42" s="8"/>
      <c r="J42" s="8"/>
      <c r="K42" s="8"/>
      <c r="L42" s="8"/>
      <c r="M42" s="8"/>
      <c r="N42" s="8"/>
      <c r="O42" s="8"/>
      <c r="P42" s="8"/>
      <c r="Q42" s="8"/>
      <c r="R42" s="8"/>
      <c r="S42" s="8"/>
      <c r="T42" s="8"/>
      <c r="U42" s="8"/>
      <c r="V42" s="8"/>
      <c r="W42" s="8"/>
      <c r="X42" s="8"/>
      <c r="Y42" s="8"/>
      <c r="Z42" s="8"/>
      <c r="AA42" s="8"/>
    </row>
    <row r="43" spans="1:27" ht="12.75">
      <c r="A43" s="8">
        <v>41</v>
      </c>
      <c r="B43" s="82" t="s">
        <v>309</v>
      </c>
      <c r="C43" s="59">
        <v>15</v>
      </c>
      <c r="D43" s="59">
        <v>230</v>
      </c>
      <c r="E43" s="59">
        <f t="shared" si="0"/>
        <v>3450</v>
      </c>
      <c r="F43" s="8" t="s">
        <v>282</v>
      </c>
      <c r="G43" s="8"/>
      <c r="H43" s="8"/>
      <c r="I43" s="8"/>
      <c r="J43" s="8"/>
      <c r="K43" s="8"/>
      <c r="L43" s="8"/>
      <c r="M43" s="8"/>
      <c r="N43" s="8"/>
      <c r="O43" s="8"/>
      <c r="P43" s="8"/>
      <c r="Q43" s="8"/>
      <c r="R43" s="8"/>
      <c r="S43" s="8"/>
      <c r="T43" s="8"/>
      <c r="U43" s="8"/>
      <c r="V43" s="8"/>
      <c r="W43" s="8"/>
      <c r="X43" s="8"/>
      <c r="Y43" s="8"/>
      <c r="Z43" s="8"/>
      <c r="AA43" s="8"/>
    </row>
    <row r="44" spans="1:27" ht="38.25">
      <c r="A44" s="8">
        <v>42</v>
      </c>
      <c r="B44" s="83" t="s">
        <v>310</v>
      </c>
      <c r="C44" s="59">
        <v>50</v>
      </c>
      <c r="D44" s="59">
        <v>375</v>
      </c>
      <c r="E44" s="59">
        <f t="shared" si="0"/>
        <v>18750</v>
      </c>
      <c r="F44" s="8" t="s">
        <v>282</v>
      </c>
      <c r="G44" s="8"/>
      <c r="H44" s="8"/>
      <c r="I44" s="8"/>
      <c r="J44" s="8"/>
      <c r="K44" s="8"/>
      <c r="L44" s="8"/>
      <c r="M44" s="8"/>
      <c r="N44" s="8"/>
      <c r="O44" s="8"/>
      <c r="P44" s="8"/>
      <c r="Q44" s="8"/>
      <c r="R44" s="8"/>
      <c r="S44" s="8"/>
      <c r="T44" s="8"/>
      <c r="U44" s="8"/>
      <c r="V44" s="8"/>
      <c r="W44" s="8"/>
      <c r="X44" s="8"/>
      <c r="Y44" s="8"/>
      <c r="Z44" s="8"/>
      <c r="AA44" s="8"/>
    </row>
    <row r="45" spans="1:27" ht="63.75">
      <c r="A45" s="8">
        <v>43</v>
      </c>
      <c r="B45" s="83" t="s">
        <v>311</v>
      </c>
      <c r="C45" s="59">
        <v>10</v>
      </c>
      <c r="D45" s="59">
        <v>300</v>
      </c>
      <c r="E45" s="59">
        <f t="shared" si="0"/>
        <v>3000</v>
      </c>
      <c r="F45" s="8" t="s">
        <v>282</v>
      </c>
      <c r="G45" s="8"/>
      <c r="H45" s="8"/>
      <c r="I45" s="8"/>
      <c r="J45" s="8"/>
      <c r="K45" s="8"/>
      <c r="L45" s="8"/>
      <c r="M45" s="8"/>
      <c r="N45" s="8"/>
      <c r="O45" s="8"/>
      <c r="P45" s="8"/>
      <c r="Q45" s="8"/>
      <c r="R45" s="8"/>
      <c r="S45" s="8"/>
      <c r="T45" s="8"/>
      <c r="U45" s="8"/>
      <c r="V45" s="8"/>
      <c r="W45" s="8"/>
      <c r="X45" s="8"/>
      <c r="Y45" s="8"/>
      <c r="Z45" s="8"/>
      <c r="AA45" s="8"/>
    </row>
    <row r="46" spans="1:27" ht="12.75">
      <c r="A46" s="8">
        <v>44</v>
      </c>
      <c r="B46" s="82" t="s">
        <v>312</v>
      </c>
      <c r="C46" s="59">
        <v>70</v>
      </c>
      <c r="D46" s="59">
        <v>135</v>
      </c>
      <c r="E46" s="59">
        <f t="shared" si="0"/>
        <v>9450</v>
      </c>
      <c r="F46" s="8" t="s">
        <v>282</v>
      </c>
      <c r="G46" s="8"/>
      <c r="H46" s="8"/>
      <c r="I46" s="8"/>
      <c r="J46" s="8"/>
      <c r="K46" s="8"/>
      <c r="L46" s="8"/>
      <c r="M46" s="8"/>
      <c r="N46" s="8"/>
      <c r="O46" s="8"/>
      <c r="P46" s="8"/>
      <c r="Q46" s="8"/>
      <c r="R46" s="8"/>
      <c r="S46" s="8"/>
      <c r="T46" s="8"/>
      <c r="U46" s="8"/>
      <c r="V46" s="8"/>
      <c r="W46" s="8"/>
      <c r="X46" s="8"/>
      <c r="Y46" s="8"/>
      <c r="Z46" s="8"/>
      <c r="AA46" s="8"/>
    </row>
    <row r="47" spans="1:27" ht="12.75">
      <c r="A47" s="8">
        <v>45</v>
      </c>
      <c r="B47" s="82" t="s">
        <v>313</v>
      </c>
      <c r="C47" s="59">
        <v>50</v>
      </c>
      <c r="D47" s="59">
        <v>195</v>
      </c>
      <c r="E47" s="59">
        <f t="shared" si="0"/>
        <v>9750</v>
      </c>
      <c r="F47" s="8" t="s">
        <v>282</v>
      </c>
      <c r="G47" s="8"/>
      <c r="H47" s="8"/>
      <c r="I47" s="8"/>
      <c r="J47" s="8"/>
      <c r="K47" s="8"/>
      <c r="L47" s="8"/>
      <c r="M47" s="8"/>
      <c r="N47" s="8"/>
      <c r="O47" s="8"/>
      <c r="P47" s="8"/>
      <c r="Q47" s="8"/>
      <c r="R47" s="8"/>
      <c r="S47" s="8"/>
      <c r="T47" s="8"/>
      <c r="U47" s="8"/>
      <c r="V47" s="8"/>
      <c r="W47" s="8"/>
      <c r="X47" s="8"/>
      <c r="Y47" s="8"/>
      <c r="Z47" s="8"/>
      <c r="AA47" s="8"/>
    </row>
    <row r="48" spans="1:27" ht="12.75">
      <c r="A48" s="8">
        <v>46</v>
      </c>
      <c r="B48" s="82" t="s">
        <v>314</v>
      </c>
      <c r="C48" s="59">
        <v>1</v>
      </c>
      <c r="D48" s="59">
        <v>2100</v>
      </c>
      <c r="E48" s="59">
        <f t="shared" si="0"/>
        <v>2100</v>
      </c>
      <c r="F48" s="8" t="s">
        <v>282</v>
      </c>
      <c r="G48" s="8"/>
      <c r="H48" s="8"/>
      <c r="I48" s="8"/>
      <c r="J48" s="8"/>
      <c r="K48" s="8"/>
      <c r="L48" s="8"/>
      <c r="M48" s="8"/>
      <c r="N48" s="8"/>
      <c r="O48" s="8"/>
      <c r="P48" s="8"/>
      <c r="Q48" s="8"/>
      <c r="R48" s="8"/>
      <c r="S48" s="8"/>
      <c r="T48" s="8"/>
      <c r="U48" s="8"/>
      <c r="V48" s="8"/>
      <c r="W48" s="8"/>
      <c r="X48" s="8"/>
      <c r="Y48" s="8"/>
      <c r="Z48" s="8"/>
      <c r="AA48" s="8"/>
    </row>
    <row r="49" spans="1:27" ht="12.75">
      <c r="A49" s="8">
        <v>47</v>
      </c>
      <c r="B49" s="82" t="s">
        <v>315</v>
      </c>
      <c r="C49" s="59">
        <v>1</v>
      </c>
      <c r="D49" s="59">
        <v>3600</v>
      </c>
      <c r="E49" s="59">
        <f t="shared" si="0"/>
        <v>3600</v>
      </c>
      <c r="F49" s="8" t="s">
        <v>282</v>
      </c>
      <c r="G49" s="8"/>
      <c r="H49" s="8"/>
      <c r="I49" s="8"/>
      <c r="J49" s="8"/>
      <c r="K49" s="8"/>
      <c r="L49" s="8"/>
      <c r="M49" s="8"/>
      <c r="N49" s="8"/>
      <c r="O49" s="8"/>
      <c r="P49" s="8"/>
      <c r="Q49" s="8"/>
      <c r="R49" s="8"/>
      <c r="S49" s="8"/>
      <c r="T49" s="8"/>
      <c r="U49" s="8"/>
      <c r="V49" s="8"/>
      <c r="W49" s="8"/>
      <c r="X49" s="8"/>
      <c r="Y49" s="8"/>
      <c r="Z49" s="8"/>
      <c r="AA49" s="8"/>
    </row>
    <row r="50" spans="1:27" ht="12.75">
      <c r="A50" s="8">
        <v>48</v>
      </c>
      <c r="B50" s="82" t="s">
        <v>316</v>
      </c>
      <c r="C50" s="59">
        <v>100</v>
      </c>
      <c r="D50" s="59">
        <v>105</v>
      </c>
      <c r="E50" s="59">
        <f t="shared" si="0"/>
        <v>10500</v>
      </c>
      <c r="F50" s="8" t="s">
        <v>282</v>
      </c>
      <c r="G50" s="8"/>
      <c r="H50" s="8"/>
      <c r="I50" s="8"/>
      <c r="J50" s="8"/>
      <c r="K50" s="8"/>
      <c r="L50" s="8"/>
      <c r="M50" s="8"/>
      <c r="N50" s="8"/>
      <c r="O50" s="8"/>
      <c r="P50" s="8"/>
      <c r="Q50" s="8"/>
      <c r="R50" s="8"/>
      <c r="S50" s="8"/>
      <c r="T50" s="8"/>
      <c r="U50" s="8"/>
      <c r="V50" s="8"/>
      <c r="W50" s="8"/>
      <c r="X50" s="8"/>
      <c r="Y50" s="8"/>
      <c r="Z50" s="8"/>
      <c r="AA50" s="8"/>
    </row>
    <row r="51" spans="1:27" ht="12.75">
      <c r="A51" s="8"/>
      <c r="B51" s="59"/>
      <c r="C51" s="59"/>
      <c r="D51" s="59"/>
      <c r="E51" s="59"/>
      <c r="F51" s="8"/>
      <c r="G51" s="8"/>
      <c r="H51" s="8"/>
      <c r="I51" s="8"/>
      <c r="J51" s="8"/>
      <c r="K51" s="8"/>
      <c r="L51" s="8"/>
      <c r="M51" s="8"/>
      <c r="N51" s="8"/>
      <c r="O51" s="8"/>
      <c r="P51" s="8"/>
      <c r="Q51" s="8"/>
      <c r="R51" s="8"/>
      <c r="S51" s="8"/>
      <c r="T51" s="8"/>
      <c r="U51" s="8"/>
      <c r="V51" s="8"/>
      <c r="W51" s="8"/>
      <c r="X51" s="8"/>
      <c r="Y51" s="8"/>
      <c r="Z51" s="8"/>
      <c r="AA51" s="8"/>
    </row>
    <row r="52" spans="1:27" ht="12.75">
      <c r="A52" s="8"/>
      <c r="B52" s="59"/>
      <c r="C52" s="59"/>
      <c r="D52" s="59"/>
      <c r="E52" s="59"/>
      <c r="F52" s="8"/>
      <c r="G52" s="8"/>
      <c r="H52" s="8"/>
      <c r="I52" s="8"/>
      <c r="J52" s="8"/>
      <c r="K52" s="8"/>
      <c r="L52" s="8"/>
      <c r="M52" s="8"/>
      <c r="N52" s="8"/>
      <c r="O52" s="8"/>
      <c r="P52" s="8"/>
      <c r="Q52" s="8"/>
      <c r="R52" s="8"/>
      <c r="S52" s="8"/>
      <c r="T52" s="8"/>
      <c r="U52" s="8"/>
      <c r="V52" s="8"/>
      <c r="W52" s="8"/>
      <c r="X52" s="8"/>
      <c r="Y52" s="8"/>
      <c r="Z52" s="8"/>
      <c r="AA52" s="8"/>
    </row>
    <row r="53" spans="1:27" ht="12.75">
      <c r="A53" s="8"/>
      <c r="B53" s="59"/>
      <c r="C53" s="59"/>
      <c r="D53" s="59"/>
      <c r="E53" s="59"/>
      <c r="F53" s="8"/>
      <c r="G53" s="8"/>
      <c r="H53" s="8"/>
      <c r="I53" s="8"/>
      <c r="J53" s="8"/>
      <c r="K53" s="8"/>
      <c r="L53" s="8"/>
      <c r="M53" s="8"/>
      <c r="N53" s="8"/>
      <c r="O53" s="8"/>
      <c r="P53" s="8"/>
      <c r="Q53" s="8"/>
      <c r="R53" s="8"/>
      <c r="S53" s="8"/>
      <c r="T53" s="8"/>
      <c r="U53" s="8"/>
      <c r="V53" s="8"/>
      <c r="W53" s="8"/>
      <c r="X53" s="8"/>
      <c r="Y53" s="8"/>
      <c r="Z53" s="8"/>
      <c r="AA53" s="8"/>
    </row>
    <row r="54" spans="1:27" ht="12.75">
      <c r="A54" s="8"/>
      <c r="B54" s="59"/>
      <c r="C54" s="59"/>
      <c r="D54" s="59"/>
      <c r="E54" s="59"/>
      <c r="F54" s="8"/>
      <c r="G54" s="8"/>
      <c r="H54" s="8"/>
      <c r="I54" s="8"/>
      <c r="J54" s="8"/>
      <c r="K54" s="8"/>
      <c r="L54" s="8"/>
      <c r="M54" s="8"/>
      <c r="N54" s="8"/>
      <c r="O54" s="8"/>
      <c r="P54" s="8"/>
      <c r="Q54" s="8"/>
      <c r="R54" s="8"/>
      <c r="S54" s="8"/>
      <c r="T54" s="8"/>
      <c r="U54" s="8"/>
      <c r="V54" s="8"/>
      <c r="W54" s="8"/>
      <c r="X54" s="8"/>
      <c r="Y54" s="8"/>
      <c r="Z54" s="8"/>
      <c r="AA54" s="8"/>
    </row>
    <row r="55" spans="1:27" ht="12.75">
      <c r="A55" s="8"/>
      <c r="B55" s="59"/>
      <c r="C55" s="59"/>
      <c r="D55" s="59"/>
      <c r="E55" s="59"/>
      <c r="F55" s="8"/>
      <c r="G55" s="8"/>
      <c r="H55" s="8"/>
      <c r="I55" s="8"/>
      <c r="J55" s="8"/>
      <c r="K55" s="8"/>
      <c r="L55" s="8"/>
      <c r="M55" s="8"/>
      <c r="N55" s="8"/>
      <c r="O55" s="8"/>
      <c r="P55" s="8"/>
      <c r="Q55" s="8"/>
      <c r="R55" s="8"/>
      <c r="S55" s="8"/>
      <c r="T55" s="8"/>
      <c r="U55" s="8"/>
      <c r="V55" s="8"/>
      <c r="W55" s="8"/>
      <c r="X55" s="8"/>
      <c r="Y55" s="8"/>
      <c r="Z55" s="8"/>
      <c r="AA55" s="8"/>
    </row>
    <row r="56" spans="1:27" ht="12.75">
      <c r="A56" s="8"/>
      <c r="B56" s="59"/>
      <c r="C56" s="59"/>
      <c r="D56" s="59"/>
      <c r="E56" s="59"/>
      <c r="F56" s="8"/>
      <c r="G56" s="8"/>
      <c r="H56" s="8"/>
      <c r="I56" s="8"/>
      <c r="J56" s="8"/>
      <c r="K56" s="8"/>
      <c r="L56" s="8"/>
      <c r="M56" s="8"/>
      <c r="N56" s="8"/>
      <c r="O56" s="8"/>
      <c r="P56" s="8"/>
      <c r="Q56" s="8"/>
      <c r="R56" s="8"/>
      <c r="S56" s="8"/>
      <c r="T56" s="8"/>
      <c r="U56" s="8"/>
      <c r="V56" s="8"/>
      <c r="W56" s="8"/>
      <c r="X56" s="8"/>
      <c r="Y56" s="8"/>
      <c r="Z56" s="8"/>
      <c r="AA56" s="8"/>
    </row>
    <row r="57" spans="1:27" ht="12.75">
      <c r="A57" s="8"/>
      <c r="B57" s="59"/>
      <c r="C57" s="59"/>
      <c r="D57" s="59"/>
      <c r="E57" s="59"/>
      <c r="F57" s="8"/>
      <c r="G57" s="8"/>
      <c r="H57" s="8"/>
      <c r="I57" s="8"/>
      <c r="J57" s="8"/>
      <c r="K57" s="8"/>
      <c r="L57" s="8"/>
      <c r="M57" s="8"/>
      <c r="N57" s="8"/>
      <c r="O57" s="8"/>
      <c r="P57" s="8"/>
      <c r="Q57" s="8"/>
      <c r="R57" s="8"/>
      <c r="S57" s="8"/>
      <c r="T57" s="8"/>
      <c r="U57" s="8"/>
      <c r="V57" s="8"/>
      <c r="W57" s="8"/>
      <c r="X57" s="8"/>
      <c r="Y57" s="8"/>
      <c r="Z57" s="8"/>
      <c r="AA57" s="8"/>
    </row>
    <row r="58" spans="1:27" ht="12.75">
      <c r="A58" s="8"/>
      <c r="B58" s="59"/>
      <c r="C58" s="59"/>
      <c r="D58" s="59"/>
      <c r="E58" s="59"/>
      <c r="F58" s="8"/>
      <c r="G58" s="8"/>
      <c r="H58" s="8"/>
      <c r="I58" s="8"/>
      <c r="J58" s="8"/>
      <c r="K58" s="8"/>
      <c r="L58" s="8"/>
      <c r="M58" s="8"/>
      <c r="N58" s="8"/>
      <c r="O58" s="8"/>
      <c r="P58" s="8"/>
      <c r="Q58" s="8"/>
      <c r="R58" s="8"/>
      <c r="S58" s="8"/>
      <c r="T58" s="8"/>
      <c r="U58" s="8"/>
      <c r="V58" s="8"/>
      <c r="W58" s="8"/>
      <c r="X58" s="8"/>
      <c r="Y58" s="8"/>
      <c r="Z58" s="8"/>
      <c r="AA58" s="8"/>
    </row>
    <row r="59" spans="1:27" ht="12.75">
      <c r="A59" s="8"/>
      <c r="B59" s="59"/>
      <c r="C59" s="59"/>
      <c r="D59" s="59"/>
      <c r="E59" s="59"/>
      <c r="F59" s="8"/>
      <c r="G59" s="8"/>
      <c r="H59" s="8"/>
      <c r="I59" s="8"/>
      <c r="J59" s="8"/>
      <c r="K59" s="8"/>
      <c r="L59" s="8"/>
      <c r="M59" s="8"/>
      <c r="N59" s="8"/>
      <c r="O59" s="8"/>
      <c r="P59" s="8"/>
      <c r="Q59" s="8"/>
      <c r="R59" s="8"/>
      <c r="S59" s="8"/>
      <c r="T59" s="8"/>
      <c r="U59" s="8"/>
      <c r="V59" s="8"/>
      <c r="W59" s="8"/>
      <c r="X59" s="8"/>
      <c r="Y59" s="8"/>
      <c r="Z59" s="8"/>
      <c r="AA59" s="8"/>
    </row>
    <row r="60" spans="1:27" ht="12.75">
      <c r="A60" s="8"/>
      <c r="B60" s="59"/>
      <c r="C60" s="59"/>
      <c r="D60" s="59"/>
      <c r="E60" s="59"/>
      <c r="F60" s="8"/>
      <c r="G60" s="8"/>
      <c r="H60" s="8"/>
      <c r="I60" s="8"/>
      <c r="J60" s="8"/>
      <c r="K60" s="8"/>
      <c r="L60" s="8"/>
      <c r="M60" s="8"/>
      <c r="N60" s="8"/>
      <c r="O60" s="8"/>
      <c r="P60" s="8"/>
      <c r="Q60" s="8"/>
      <c r="R60" s="8"/>
      <c r="S60" s="8"/>
      <c r="T60" s="8"/>
      <c r="U60" s="8"/>
      <c r="V60" s="8"/>
      <c r="W60" s="8"/>
      <c r="X60" s="8"/>
      <c r="Y60" s="8"/>
      <c r="Z60" s="8"/>
      <c r="AA60" s="8"/>
    </row>
    <row r="61" spans="1:27" ht="12.75">
      <c r="A61" s="8"/>
      <c r="B61" s="59"/>
      <c r="C61" s="59"/>
      <c r="D61" s="59"/>
      <c r="E61" s="59"/>
      <c r="F61" s="8"/>
      <c r="G61" s="8"/>
      <c r="H61" s="8"/>
      <c r="I61" s="8"/>
      <c r="J61" s="8"/>
      <c r="K61" s="8"/>
      <c r="L61" s="8"/>
      <c r="M61" s="8"/>
      <c r="N61" s="8"/>
      <c r="O61" s="8"/>
      <c r="P61" s="8"/>
      <c r="Q61" s="8"/>
      <c r="R61" s="8"/>
      <c r="S61" s="8"/>
      <c r="T61" s="8"/>
      <c r="U61" s="8"/>
      <c r="V61" s="8"/>
      <c r="W61" s="8"/>
      <c r="X61" s="8"/>
      <c r="Y61" s="8"/>
      <c r="Z61" s="8"/>
      <c r="AA61" s="8"/>
    </row>
    <row r="62" spans="1:27" ht="12.75">
      <c r="A62" s="8"/>
      <c r="B62" s="59"/>
      <c r="C62" s="59"/>
      <c r="D62" s="59"/>
      <c r="E62" s="59"/>
      <c r="F62" s="8"/>
      <c r="G62" s="8"/>
      <c r="H62" s="8"/>
      <c r="I62" s="8"/>
      <c r="J62" s="8"/>
      <c r="K62" s="8"/>
      <c r="L62" s="8"/>
      <c r="M62" s="8"/>
      <c r="N62" s="8"/>
      <c r="O62" s="8"/>
      <c r="P62" s="8"/>
      <c r="Q62" s="8"/>
      <c r="R62" s="8"/>
      <c r="S62" s="8"/>
      <c r="T62" s="8"/>
      <c r="U62" s="8"/>
      <c r="V62" s="8"/>
      <c r="W62" s="8"/>
      <c r="X62" s="8"/>
      <c r="Y62" s="8"/>
      <c r="Z62" s="8"/>
      <c r="AA62" s="8"/>
    </row>
    <row r="63" spans="1:27" ht="12.75">
      <c r="A63" s="8"/>
      <c r="B63" s="59"/>
      <c r="C63" s="59"/>
      <c r="D63" s="59"/>
      <c r="E63" s="59"/>
      <c r="F63" s="8"/>
      <c r="G63" s="8"/>
      <c r="H63" s="8"/>
      <c r="I63" s="8"/>
      <c r="J63" s="8"/>
      <c r="K63" s="8"/>
      <c r="L63" s="8"/>
      <c r="M63" s="8"/>
      <c r="N63" s="8"/>
      <c r="O63" s="8"/>
      <c r="P63" s="8"/>
      <c r="Q63" s="8"/>
      <c r="R63" s="8"/>
      <c r="S63" s="8"/>
      <c r="T63" s="8"/>
      <c r="U63" s="8"/>
      <c r="V63" s="8"/>
      <c r="W63" s="8"/>
      <c r="X63" s="8"/>
      <c r="Y63" s="8"/>
      <c r="Z63" s="8"/>
      <c r="AA63" s="8"/>
    </row>
    <row r="64" spans="1:27" ht="12.75">
      <c r="A64" s="8"/>
      <c r="B64" s="59"/>
      <c r="C64" s="59"/>
      <c r="D64" s="59"/>
      <c r="E64" s="59"/>
      <c r="F64" s="8"/>
      <c r="G64" s="8"/>
      <c r="H64" s="8"/>
      <c r="I64" s="8"/>
      <c r="J64" s="8"/>
      <c r="K64" s="8"/>
      <c r="L64" s="8"/>
      <c r="M64" s="8"/>
      <c r="N64" s="8"/>
      <c r="O64" s="8"/>
      <c r="P64" s="8"/>
      <c r="Q64" s="8"/>
      <c r="R64" s="8"/>
      <c r="S64" s="8"/>
      <c r="T64" s="8"/>
      <c r="U64" s="8"/>
      <c r="V64" s="8"/>
      <c r="W64" s="8"/>
      <c r="X64" s="8"/>
      <c r="Y64" s="8"/>
      <c r="Z64" s="8"/>
      <c r="AA64" s="8"/>
    </row>
    <row r="65" spans="1:27" ht="12.75">
      <c r="A65" s="8"/>
      <c r="B65" s="59"/>
      <c r="C65" s="59"/>
      <c r="D65" s="59"/>
      <c r="E65" s="59"/>
      <c r="F65" s="8"/>
      <c r="G65" s="8"/>
      <c r="H65" s="8"/>
      <c r="I65" s="8"/>
      <c r="J65" s="8"/>
      <c r="K65" s="8"/>
      <c r="L65" s="8"/>
      <c r="M65" s="8"/>
      <c r="N65" s="8"/>
      <c r="O65" s="8"/>
      <c r="P65" s="8"/>
      <c r="Q65" s="8"/>
      <c r="R65" s="8"/>
      <c r="S65" s="8"/>
      <c r="T65" s="8"/>
      <c r="U65" s="8"/>
      <c r="V65" s="8"/>
      <c r="W65" s="8"/>
      <c r="X65" s="8"/>
      <c r="Y65" s="8"/>
      <c r="Z65" s="8"/>
      <c r="AA65" s="8"/>
    </row>
    <row r="66" spans="1:27" ht="12.75">
      <c r="A66" s="8"/>
      <c r="B66" s="59"/>
      <c r="C66" s="59"/>
      <c r="D66" s="59"/>
      <c r="E66" s="59"/>
      <c r="F66" s="8"/>
      <c r="G66" s="8"/>
      <c r="H66" s="8"/>
      <c r="I66" s="8"/>
      <c r="J66" s="8"/>
      <c r="K66" s="8"/>
      <c r="L66" s="8"/>
      <c r="M66" s="8"/>
      <c r="N66" s="8"/>
      <c r="O66" s="8"/>
      <c r="P66" s="8"/>
      <c r="Q66" s="8"/>
      <c r="R66" s="8"/>
      <c r="S66" s="8"/>
      <c r="T66" s="8"/>
      <c r="U66" s="8"/>
      <c r="V66" s="8"/>
      <c r="W66" s="8"/>
      <c r="X66" s="8"/>
      <c r="Y66" s="8"/>
      <c r="Z66" s="8"/>
      <c r="AA66" s="8"/>
    </row>
    <row r="67" spans="1:27" ht="12.75">
      <c r="A67" s="8"/>
      <c r="B67" s="59"/>
      <c r="C67" s="59"/>
      <c r="D67" s="59"/>
      <c r="E67" s="59"/>
      <c r="F67" s="8"/>
      <c r="G67" s="8"/>
      <c r="H67" s="8"/>
      <c r="I67" s="8"/>
      <c r="J67" s="8"/>
      <c r="K67" s="8"/>
      <c r="L67" s="8"/>
      <c r="M67" s="8"/>
      <c r="N67" s="8"/>
      <c r="O67" s="8"/>
      <c r="P67" s="8"/>
      <c r="Q67" s="8"/>
      <c r="R67" s="8"/>
      <c r="S67" s="8"/>
      <c r="T67" s="8"/>
      <c r="U67" s="8"/>
      <c r="V67" s="8"/>
      <c r="W67" s="8"/>
      <c r="X67" s="8"/>
      <c r="Y67" s="8"/>
      <c r="Z67" s="8"/>
      <c r="AA67" s="8"/>
    </row>
    <row r="68" spans="1:27" ht="12.75">
      <c r="A68" s="8"/>
      <c r="B68" s="59"/>
      <c r="C68" s="59"/>
      <c r="D68" s="59"/>
      <c r="E68" s="59"/>
      <c r="F68" s="8"/>
      <c r="G68" s="8"/>
      <c r="H68" s="8"/>
      <c r="I68" s="8"/>
      <c r="J68" s="8"/>
      <c r="K68" s="8"/>
      <c r="L68" s="8"/>
      <c r="M68" s="8"/>
      <c r="N68" s="8"/>
      <c r="O68" s="8"/>
      <c r="P68" s="8"/>
      <c r="Q68" s="8"/>
      <c r="R68" s="8"/>
      <c r="S68" s="8"/>
      <c r="T68" s="8"/>
      <c r="U68" s="8"/>
      <c r="V68" s="8"/>
      <c r="W68" s="8"/>
      <c r="X68" s="8"/>
      <c r="Y68" s="8"/>
      <c r="Z68" s="8"/>
      <c r="AA68" s="8"/>
    </row>
    <row r="69" spans="1:27" ht="12.75">
      <c r="A69" s="8"/>
      <c r="B69" s="59"/>
      <c r="C69" s="59"/>
      <c r="D69" s="59"/>
      <c r="E69" s="59"/>
      <c r="F69" s="8"/>
      <c r="G69" s="8"/>
      <c r="H69" s="8"/>
      <c r="I69" s="8"/>
      <c r="J69" s="8"/>
      <c r="K69" s="8"/>
      <c r="L69" s="8"/>
      <c r="M69" s="8"/>
      <c r="N69" s="8"/>
      <c r="O69" s="8"/>
      <c r="P69" s="8"/>
      <c r="Q69" s="8"/>
      <c r="R69" s="8"/>
      <c r="S69" s="8"/>
      <c r="T69" s="8"/>
      <c r="U69" s="8"/>
      <c r="V69" s="8"/>
      <c r="W69" s="8"/>
      <c r="X69" s="8"/>
      <c r="Y69" s="8"/>
      <c r="Z69" s="8"/>
      <c r="AA69" s="8"/>
    </row>
    <row r="70" spans="1:27" ht="12.75">
      <c r="A70" s="8"/>
      <c r="B70" s="59"/>
      <c r="C70" s="59"/>
      <c r="D70" s="59"/>
      <c r="E70" s="59"/>
      <c r="F70" s="8"/>
      <c r="G70" s="8"/>
      <c r="H70" s="8"/>
      <c r="I70" s="8"/>
      <c r="J70" s="8"/>
      <c r="K70" s="8"/>
      <c r="L70" s="8"/>
      <c r="M70" s="8"/>
      <c r="N70" s="8"/>
      <c r="O70" s="8"/>
      <c r="P70" s="8"/>
      <c r="Q70" s="8"/>
      <c r="R70" s="8"/>
      <c r="S70" s="8"/>
      <c r="T70" s="8"/>
      <c r="U70" s="8"/>
      <c r="V70" s="8"/>
      <c r="W70" s="8"/>
      <c r="X70" s="8"/>
      <c r="Y70" s="8"/>
      <c r="Z70" s="8"/>
      <c r="AA70" s="8"/>
    </row>
    <row r="71" spans="1:27" ht="12.75">
      <c r="A71" s="8"/>
      <c r="B71" s="59"/>
      <c r="C71" s="59"/>
      <c r="D71" s="59"/>
      <c r="E71" s="59"/>
      <c r="F71" s="8"/>
      <c r="G71" s="8"/>
      <c r="H71" s="8"/>
      <c r="I71" s="8"/>
      <c r="J71" s="8"/>
      <c r="K71" s="8"/>
      <c r="L71" s="8"/>
      <c r="M71" s="8"/>
      <c r="N71" s="8"/>
      <c r="O71" s="8"/>
      <c r="P71" s="8"/>
      <c r="Q71" s="8"/>
      <c r="R71" s="8"/>
      <c r="S71" s="8"/>
      <c r="T71" s="8"/>
      <c r="U71" s="8"/>
      <c r="V71" s="8"/>
      <c r="W71" s="8"/>
      <c r="X71" s="8"/>
      <c r="Y71" s="8"/>
      <c r="Z71" s="8"/>
      <c r="AA71" s="8"/>
    </row>
    <row r="72" spans="1:27" ht="12.75">
      <c r="A72" s="8"/>
      <c r="B72" s="59"/>
      <c r="C72" s="59"/>
      <c r="D72" s="59"/>
      <c r="E72" s="59"/>
      <c r="F72" s="8"/>
      <c r="G72" s="8"/>
      <c r="H72" s="8"/>
      <c r="I72" s="8"/>
      <c r="J72" s="8"/>
      <c r="K72" s="8"/>
      <c r="L72" s="8"/>
      <c r="M72" s="8"/>
      <c r="N72" s="8"/>
      <c r="O72" s="8"/>
      <c r="P72" s="8"/>
      <c r="Q72" s="8"/>
      <c r="R72" s="8"/>
      <c r="S72" s="8"/>
      <c r="T72" s="8"/>
      <c r="U72" s="8"/>
      <c r="V72" s="8"/>
      <c r="W72" s="8"/>
      <c r="X72" s="8"/>
      <c r="Y72" s="8"/>
      <c r="Z72" s="8"/>
      <c r="AA72" s="8"/>
    </row>
    <row r="73" spans="1:27" ht="12.75">
      <c r="A73" s="8"/>
      <c r="B73" s="59"/>
      <c r="C73" s="59"/>
      <c r="D73" s="59"/>
      <c r="E73" s="59"/>
      <c r="F73" s="8"/>
      <c r="G73" s="8"/>
      <c r="H73" s="8"/>
      <c r="I73" s="8"/>
      <c r="J73" s="8"/>
      <c r="K73" s="8"/>
      <c r="L73" s="8"/>
      <c r="M73" s="8"/>
      <c r="N73" s="8"/>
      <c r="O73" s="8"/>
      <c r="P73" s="8"/>
      <c r="Q73" s="8"/>
      <c r="R73" s="8"/>
      <c r="S73" s="8"/>
      <c r="T73" s="8"/>
      <c r="U73" s="8"/>
      <c r="V73" s="8"/>
      <c r="W73" s="8"/>
      <c r="X73" s="8"/>
      <c r="Y73" s="8"/>
      <c r="Z73" s="8"/>
      <c r="AA73" s="8"/>
    </row>
    <row r="74" spans="1:27" ht="12.75">
      <c r="A74" s="8"/>
      <c r="B74" s="59"/>
      <c r="C74" s="59"/>
      <c r="D74" s="59"/>
      <c r="E74" s="59"/>
      <c r="F74" s="8"/>
      <c r="G74" s="8"/>
      <c r="H74" s="8"/>
      <c r="I74" s="8"/>
      <c r="J74" s="8"/>
      <c r="K74" s="8"/>
      <c r="L74" s="8"/>
      <c r="M74" s="8"/>
      <c r="N74" s="8"/>
      <c r="O74" s="8"/>
      <c r="P74" s="8"/>
      <c r="Q74" s="8"/>
      <c r="R74" s="8"/>
      <c r="S74" s="8"/>
      <c r="T74" s="8"/>
      <c r="U74" s="8"/>
      <c r="V74" s="8"/>
      <c r="W74" s="8"/>
      <c r="X74" s="8"/>
      <c r="Y74" s="8"/>
      <c r="Z74" s="8"/>
      <c r="AA74" s="8"/>
    </row>
    <row r="75" spans="1:27" ht="12.75">
      <c r="A75" s="8"/>
      <c r="B75" s="59"/>
      <c r="C75" s="59"/>
      <c r="D75" s="59"/>
      <c r="E75" s="59"/>
      <c r="F75" s="8"/>
      <c r="G75" s="8"/>
      <c r="H75" s="8"/>
      <c r="I75" s="8"/>
      <c r="J75" s="8"/>
      <c r="K75" s="8"/>
      <c r="L75" s="8"/>
      <c r="M75" s="8"/>
      <c r="N75" s="8"/>
      <c r="O75" s="8"/>
      <c r="P75" s="8"/>
      <c r="Q75" s="8"/>
      <c r="R75" s="8"/>
      <c r="S75" s="8"/>
      <c r="T75" s="8"/>
      <c r="U75" s="8"/>
      <c r="V75" s="8"/>
      <c r="W75" s="8"/>
      <c r="X75" s="8"/>
      <c r="Y75" s="8"/>
      <c r="Z75" s="8"/>
      <c r="AA75" s="8"/>
    </row>
    <row r="76" spans="1:27" ht="12.75">
      <c r="A76" s="8"/>
      <c r="B76" s="59"/>
      <c r="C76" s="59"/>
      <c r="D76" s="59"/>
      <c r="E76" s="59"/>
      <c r="F76" s="8"/>
      <c r="G76" s="8"/>
      <c r="H76" s="8"/>
      <c r="I76" s="8"/>
      <c r="J76" s="8"/>
      <c r="K76" s="8"/>
      <c r="L76" s="8"/>
      <c r="M76" s="8"/>
      <c r="N76" s="8"/>
      <c r="O76" s="8"/>
      <c r="P76" s="8"/>
      <c r="Q76" s="8"/>
      <c r="R76" s="8"/>
      <c r="S76" s="8"/>
      <c r="T76" s="8"/>
      <c r="U76" s="8"/>
      <c r="V76" s="8"/>
      <c r="W76" s="8"/>
      <c r="X76" s="8"/>
      <c r="Y76" s="8"/>
      <c r="Z76" s="8"/>
      <c r="AA76" s="8"/>
    </row>
    <row r="77" spans="1:27" ht="12.75">
      <c r="A77" s="8"/>
      <c r="B77" s="59"/>
      <c r="C77" s="59"/>
      <c r="D77" s="59"/>
      <c r="E77" s="59"/>
      <c r="F77" s="8"/>
      <c r="G77" s="8"/>
      <c r="H77" s="8"/>
      <c r="I77" s="8"/>
      <c r="J77" s="8"/>
      <c r="K77" s="8"/>
      <c r="L77" s="8"/>
      <c r="M77" s="8"/>
      <c r="N77" s="8"/>
      <c r="O77" s="8"/>
      <c r="P77" s="8"/>
      <c r="Q77" s="8"/>
      <c r="R77" s="8"/>
      <c r="S77" s="8"/>
      <c r="T77" s="8"/>
      <c r="U77" s="8"/>
      <c r="V77" s="8"/>
      <c r="W77" s="8"/>
      <c r="X77" s="8"/>
      <c r="Y77" s="8"/>
      <c r="Z77" s="8"/>
      <c r="AA77" s="8"/>
    </row>
    <row r="78" spans="1:27" ht="12.75">
      <c r="A78" s="8"/>
      <c r="B78" s="59"/>
      <c r="C78" s="59"/>
      <c r="D78" s="59"/>
      <c r="E78" s="59"/>
      <c r="F78" s="8"/>
      <c r="G78" s="8"/>
      <c r="H78" s="8"/>
      <c r="I78" s="8"/>
      <c r="J78" s="8"/>
      <c r="K78" s="8"/>
      <c r="L78" s="8"/>
      <c r="M78" s="8"/>
      <c r="N78" s="8"/>
      <c r="O78" s="8"/>
      <c r="P78" s="8"/>
      <c r="Q78" s="8"/>
      <c r="R78" s="8"/>
      <c r="S78" s="8"/>
      <c r="T78" s="8"/>
      <c r="U78" s="8"/>
      <c r="V78" s="8"/>
      <c r="W78" s="8"/>
      <c r="X78" s="8"/>
      <c r="Y78" s="8"/>
      <c r="Z78" s="8"/>
      <c r="AA78" s="8"/>
    </row>
    <row r="79" spans="1:27" ht="12.75">
      <c r="A79" s="8"/>
      <c r="B79" s="59"/>
      <c r="C79" s="59"/>
      <c r="D79" s="59"/>
      <c r="E79" s="59"/>
      <c r="F79" s="8"/>
      <c r="G79" s="8"/>
      <c r="H79" s="8"/>
      <c r="I79" s="8"/>
      <c r="J79" s="8"/>
      <c r="K79" s="8"/>
      <c r="L79" s="8"/>
      <c r="M79" s="8"/>
      <c r="N79" s="8"/>
      <c r="O79" s="8"/>
      <c r="P79" s="8"/>
      <c r="Q79" s="8"/>
      <c r="R79" s="8"/>
      <c r="S79" s="8"/>
      <c r="T79" s="8"/>
      <c r="U79" s="8"/>
      <c r="V79" s="8"/>
      <c r="W79" s="8"/>
      <c r="X79" s="8"/>
      <c r="Y79" s="8"/>
      <c r="Z79" s="8"/>
      <c r="AA79" s="8"/>
    </row>
    <row r="80" spans="1:27" ht="12.75">
      <c r="A80" s="8"/>
      <c r="B80" s="59"/>
      <c r="C80" s="59"/>
      <c r="D80" s="59"/>
      <c r="E80" s="59"/>
      <c r="F80" s="8"/>
      <c r="G80" s="8"/>
      <c r="H80" s="8"/>
      <c r="I80" s="8"/>
      <c r="J80" s="8"/>
      <c r="K80" s="8"/>
      <c r="L80" s="8"/>
      <c r="M80" s="8"/>
      <c r="N80" s="8"/>
      <c r="O80" s="8"/>
      <c r="P80" s="8"/>
      <c r="Q80" s="8"/>
      <c r="R80" s="8"/>
      <c r="S80" s="8"/>
      <c r="T80" s="8"/>
      <c r="U80" s="8"/>
      <c r="V80" s="8"/>
      <c r="W80" s="8"/>
      <c r="X80" s="8"/>
      <c r="Y80" s="8"/>
      <c r="Z80" s="8"/>
      <c r="AA80" s="8"/>
    </row>
    <row r="81" spans="1:27" ht="12.75">
      <c r="A81" s="8"/>
      <c r="B81" s="59"/>
      <c r="C81" s="59"/>
      <c r="D81" s="59"/>
      <c r="E81" s="59"/>
      <c r="F81" s="8"/>
      <c r="G81" s="8"/>
      <c r="H81" s="8"/>
      <c r="I81" s="8"/>
      <c r="J81" s="8"/>
      <c r="K81" s="8"/>
      <c r="L81" s="8"/>
      <c r="M81" s="8"/>
      <c r="N81" s="8"/>
      <c r="O81" s="8"/>
      <c r="P81" s="8"/>
      <c r="Q81" s="8"/>
      <c r="R81" s="8"/>
      <c r="S81" s="8"/>
      <c r="T81" s="8"/>
      <c r="U81" s="8"/>
      <c r="V81" s="8"/>
      <c r="W81" s="8"/>
      <c r="X81" s="8"/>
      <c r="Y81" s="8"/>
      <c r="Z81" s="8"/>
      <c r="AA81" s="8"/>
    </row>
    <row r="82" spans="1:27" ht="12.75">
      <c r="A82" s="8"/>
      <c r="B82" s="59"/>
      <c r="C82" s="59"/>
      <c r="D82" s="59"/>
      <c r="E82" s="59"/>
      <c r="F82" s="8"/>
      <c r="G82" s="8"/>
      <c r="H82" s="8"/>
      <c r="I82" s="8"/>
      <c r="J82" s="8"/>
      <c r="K82" s="8"/>
      <c r="L82" s="8"/>
      <c r="M82" s="8"/>
      <c r="N82" s="8"/>
      <c r="O82" s="8"/>
      <c r="P82" s="8"/>
      <c r="Q82" s="8"/>
      <c r="R82" s="8"/>
      <c r="S82" s="8"/>
      <c r="T82" s="8"/>
      <c r="U82" s="8"/>
      <c r="V82" s="8"/>
      <c r="W82" s="8"/>
      <c r="X82" s="8"/>
      <c r="Y82" s="8"/>
      <c r="Z82" s="8"/>
      <c r="AA82" s="8"/>
    </row>
    <row r="83" spans="1:27" ht="12.75">
      <c r="A83" s="8"/>
      <c r="B83" s="59"/>
      <c r="C83" s="59"/>
      <c r="D83" s="59"/>
      <c r="E83" s="59"/>
      <c r="F83" s="8"/>
      <c r="G83" s="8"/>
      <c r="H83" s="8"/>
      <c r="I83" s="8"/>
      <c r="J83" s="8"/>
      <c r="K83" s="8"/>
      <c r="L83" s="8"/>
      <c r="M83" s="8"/>
      <c r="N83" s="8"/>
      <c r="O83" s="8"/>
      <c r="P83" s="8"/>
      <c r="Q83" s="8"/>
      <c r="R83" s="8"/>
      <c r="S83" s="8"/>
      <c r="T83" s="8"/>
      <c r="U83" s="8"/>
      <c r="V83" s="8"/>
      <c r="W83" s="8"/>
      <c r="X83" s="8"/>
      <c r="Y83" s="8"/>
      <c r="Z83" s="8"/>
      <c r="AA83" s="8"/>
    </row>
    <row r="84" spans="1:27" ht="12.75">
      <c r="A84" s="8"/>
      <c r="B84" s="59"/>
      <c r="C84" s="59"/>
      <c r="D84" s="59"/>
      <c r="E84" s="59"/>
      <c r="F84" s="8"/>
      <c r="G84" s="8"/>
      <c r="H84" s="8"/>
      <c r="I84" s="8"/>
      <c r="J84" s="8"/>
      <c r="K84" s="8"/>
      <c r="L84" s="8"/>
      <c r="M84" s="8"/>
      <c r="N84" s="8"/>
      <c r="O84" s="8"/>
      <c r="P84" s="8"/>
      <c r="Q84" s="8"/>
      <c r="R84" s="8"/>
      <c r="S84" s="8"/>
      <c r="T84" s="8"/>
      <c r="U84" s="8"/>
      <c r="V84" s="8"/>
      <c r="W84" s="8"/>
      <c r="X84" s="8"/>
      <c r="Y84" s="8"/>
      <c r="Z84" s="8"/>
      <c r="AA84" s="8"/>
    </row>
    <row r="85" spans="1:27" ht="12.75">
      <c r="A85" s="8"/>
      <c r="B85" s="59"/>
      <c r="C85" s="59"/>
      <c r="D85" s="59"/>
      <c r="E85" s="59"/>
      <c r="F85" s="8"/>
      <c r="G85" s="8"/>
      <c r="H85" s="8"/>
      <c r="I85" s="8"/>
      <c r="J85" s="8"/>
      <c r="K85" s="8"/>
      <c r="L85" s="8"/>
      <c r="M85" s="8"/>
      <c r="N85" s="8"/>
      <c r="O85" s="8"/>
      <c r="P85" s="8"/>
      <c r="Q85" s="8"/>
      <c r="R85" s="8"/>
      <c r="S85" s="8"/>
      <c r="T85" s="8"/>
      <c r="U85" s="8"/>
      <c r="V85" s="8"/>
      <c r="W85" s="8"/>
      <c r="X85" s="8"/>
      <c r="Y85" s="8"/>
      <c r="Z85" s="8"/>
      <c r="AA85" s="8"/>
    </row>
    <row r="86" spans="1:27" ht="12.75">
      <c r="A86" s="8"/>
      <c r="B86" s="59"/>
      <c r="C86" s="59"/>
      <c r="D86" s="59"/>
      <c r="E86" s="59"/>
      <c r="F86" s="8"/>
      <c r="G86" s="8"/>
      <c r="H86" s="8"/>
      <c r="I86" s="8"/>
      <c r="J86" s="8"/>
      <c r="K86" s="8"/>
      <c r="L86" s="8"/>
      <c r="M86" s="8"/>
      <c r="N86" s="8"/>
      <c r="O86" s="8"/>
      <c r="P86" s="8"/>
      <c r="Q86" s="8"/>
      <c r="R86" s="8"/>
      <c r="S86" s="8"/>
      <c r="T86" s="8"/>
      <c r="U86" s="8"/>
      <c r="V86" s="8"/>
      <c r="W86" s="8"/>
      <c r="X86" s="8"/>
      <c r="Y86" s="8"/>
      <c r="Z86" s="8"/>
      <c r="AA86" s="8"/>
    </row>
    <row r="87" spans="1:27" ht="12.75">
      <c r="A87" s="8"/>
      <c r="B87" s="59"/>
      <c r="C87" s="59"/>
      <c r="D87" s="59"/>
      <c r="E87" s="59"/>
      <c r="F87" s="8"/>
      <c r="G87" s="8"/>
      <c r="H87" s="8"/>
      <c r="I87" s="8"/>
      <c r="J87" s="8"/>
      <c r="K87" s="8"/>
      <c r="L87" s="8"/>
      <c r="M87" s="8"/>
      <c r="N87" s="8"/>
      <c r="O87" s="8"/>
      <c r="P87" s="8"/>
      <c r="Q87" s="8"/>
      <c r="R87" s="8"/>
      <c r="S87" s="8"/>
      <c r="T87" s="8"/>
      <c r="U87" s="8"/>
      <c r="V87" s="8"/>
      <c r="W87" s="8"/>
      <c r="X87" s="8"/>
      <c r="Y87" s="8"/>
      <c r="Z87" s="8"/>
      <c r="AA87" s="8"/>
    </row>
    <row r="88" spans="1:27" ht="12.75">
      <c r="A88" s="8"/>
      <c r="B88" s="59"/>
      <c r="C88" s="59"/>
      <c r="D88" s="59"/>
      <c r="E88" s="59"/>
      <c r="F88" s="8"/>
      <c r="G88" s="8"/>
      <c r="H88" s="8"/>
      <c r="I88" s="8"/>
      <c r="J88" s="8"/>
      <c r="K88" s="8"/>
      <c r="L88" s="8"/>
      <c r="M88" s="8"/>
      <c r="N88" s="8"/>
      <c r="O88" s="8"/>
      <c r="P88" s="8"/>
      <c r="Q88" s="8"/>
      <c r="R88" s="8"/>
      <c r="S88" s="8"/>
      <c r="T88" s="8"/>
      <c r="U88" s="8"/>
      <c r="V88" s="8"/>
      <c r="W88" s="8"/>
      <c r="X88" s="8"/>
      <c r="Y88" s="8"/>
      <c r="Z88" s="8"/>
      <c r="AA88" s="8"/>
    </row>
    <row r="89" spans="1:27" ht="12.75">
      <c r="A89" s="8"/>
      <c r="B89" s="59"/>
      <c r="C89" s="59"/>
      <c r="D89" s="59"/>
      <c r="E89" s="59"/>
      <c r="F89" s="8"/>
      <c r="G89" s="8"/>
      <c r="H89" s="8"/>
      <c r="I89" s="8"/>
      <c r="J89" s="8"/>
      <c r="K89" s="8"/>
      <c r="L89" s="8"/>
      <c r="M89" s="8"/>
      <c r="N89" s="8"/>
      <c r="O89" s="8"/>
      <c r="P89" s="8"/>
      <c r="Q89" s="8"/>
      <c r="R89" s="8"/>
      <c r="S89" s="8"/>
      <c r="T89" s="8"/>
      <c r="U89" s="8"/>
      <c r="V89" s="8"/>
      <c r="W89" s="8"/>
      <c r="X89" s="8"/>
      <c r="Y89" s="8"/>
      <c r="Z89" s="8"/>
      <c r="AA89" s="8"/>
    </row>
    <row r="90" spans="1:27" ht="12.75">
      <c r="A90" s="8"/>
      <c r="B90" s="59"/>
      <c r="C90" s="59"/>
      <c r="D90" s="59"/>
      <c r="E90" s="59"/>
      <c r="F90" s="8"/>
      <c r="G90" s="8"/>
      <c r="H90" s="8"/>
      <c r="I90" s="8"/>
      <c r="J90" s="8"/>
      <c r="K90" s="8"/>
      <c r="L90" s="8"/>
      <c r="M90" s="8"/>
      <c r="N90" s="8"/>
      <c r="O90" s="8"/>
      <c r="P90" s="8"/>
      <c r="Q90" s="8"/>
      <c r="R90" s="8"/>
      <c r="S90" s="8"/>
      <c r="T90" s="8"/>
      <c r="U90" s="8"/>
      <c r="V90" s="8"/>
      <c r="W90" s="8"/>
      <c r="X90" s="8"/>
      <c r="Y90" s="8"/>
      <c r="Z90" s="8"/>
      <c r="AA90" s="8"/>
    </row>
    <row r="91" spans="1:27" ht="12.75">
      <c r="A91" s="8"/>
      <c r="B91" s="59"/>
      <c r="C91" s="59"/>
      <c r="D91" s="59"/>
      <c r="E91" s="59"/>
      <c r="F91" s="8"/>
      <c r="G91" s="8"/>
      <c r="H91" s="8"/>
      <c r="I91" s="8"/>
      <c r="J91" s="8"/>
      <c r="K91" s="8"/>
      <c r="L91" s="8"/>
      <c r="M91" s="8"/>
      <c r="N91" s="8"/>
      <c r="O91" s="8"/>
      <c r="P91" s="8"/>
      <c r="Q91" s="8"/>
      <c r="R91" s="8"/>
      <c r="S91" s="8"/>
      <c r="T91" s="8"/>
      <c r="U91" s="8"/>
      <c r="V91" s="8"/>
      <c r="W91" s="8"/>
      <c r="X91" s="8"/>
      <c r="Y91" s="8"/>
      <c r="Z91" s="8"/>
      <c r="AA91" s="8"/>
    </row>
    <row r="92" spans="1:27" ht="12.75">
      <c r="A92" s="8"/>
      <c r="B92" s="59"/>
      <c r="C92" s="59"/>
      <c r="D92" s="59"/>
      <c r="E92" s="59"/>
      <c r="F92" s="8"/>
      <c r="G92" s="8"/>
      <c r="H92" s="8"/>
      <c r="I92" s="8"/>
      <c r="J92" s="8"/>
      <c r="K92" s="8"/>
      <c r="L92" s="8"/>
      <c r="M92" s="8"/>
      <c r="N92" s="8"/>
      <c r="O92" s="8"/>
      <c r="P92" s="8"/>
      <c r="Q92" s="8"/>
      <c r="R92" s="8"/>
      <c r="S92" s="8"/>
      <c r="T92" s="8"/>
      <c r="U92" s="8"/>
      <c r="V92" s="8"/>
      <c r="W92" s="8"/>
      <c r="X92" s="8"/>
      <c r="Y92" s="8"/>
      <c r="Z92" s="8"/>
      <c r="AA92" s="8"/>
    </row>
    <row r="93" spans="1:27" ht="12.75">
      <c r="A93" s="8"/>
      <c r="B93" s="59"/>
      <c r="C93" s="59"/>
      <c r="D93" s="59"/>
      <c r="E93" s="59"/>
      <c r="F93" s="8"/>
      <c r="G93" s="8"/>
      <c r="H93" s="8"/>
      <c r="I93" s="8"/>
      <c r="J93" s="8"/>
      <c r="K93" s="8"/>
      <c r="L93" s="8"/>
      <c r="M93" s="8"/>
      <c r="N93" s="8"/>
      <c r="O93" s="8"/>
      <c r="P93" s="8"/>
      <c r="Q93" s="8"/>
      <c r="R93" s="8"/>
      <c r="S93" s="8"/>
      <c r="T93" s="8"/>
      <c r="U93" s="8"/>
      <c r="V93" s="8"/>
      <c r="W93" s="8"/>
      <c r="X93" s="8"/>
      <c r="Y93" s="8"/>
      <c r="Z93" s="8"/>
      <c r="AA93" s="8"/>
    </row>
    <row r="94" spans="1:27" ht="12.75">
      <c r="A94" s="8"/>
      <c r="B94" s="59"/>
      <c r="C94" s="59"/>
      <c r="D94" s="59"/>
      <c r="E94" s="59"/>
      <c r="F94" s="8"/>
      <c r="G94" s="8"/>
      <c r="H94" s="8"/>
      <c r="I94" s="8"/>
      <c r="J94" s="8"/>
      <c r="K94" s="8"/>
      <c r="L94" s="8"/>
      <c r="M94" s="8"/>
      <c r="N94" s="8"/>
      <c r="O94" s="8"/>
      <c r="P94" s="8"/>
      <c r="Q94" s="8"/>
      <c r="R94" s="8"/>
      <c r="S94" s="8"/>
      <c r="T94" s="8"/>
      <c r="U94" s="8"/>
      <c r="V94" s="8"/>
      <c r="W94" s="8"/>
      <c r="X94" s="8"/>
      <c r="Y94" s="8"/>
      <c r="Z94" s="8"/>
      <c r="AA94" s="8"/>
    </row>
    <row r="95" spans="1:27" ht="12.75">
      <c r="A95" s="8"/>
      <c r="B95" s="59"/>
      <c r="C95" s="59"/>
      <c r="D95" s="59"/>
      <c r="E95" s="59"/>
      <c r="F95" s="8"/>
      <c r="G95" s="8"/>
      <c r="H95" s="8"/>
      <c r="I95" s="8"/>
      <c r="J95" s="8"/>
      <c r="K95" s="8"/>
      <c r="L95" s="8"/>
      <c r="M95" s="8"/>
      <c r="N95" s="8"/>
      <c r="O95" s="8"/>
      <c r="P95" s="8"/>
      <c r="Q95" s="8"/>
      <c r="R95" s="8"/>
      <c r="S95" s="8"/>
      <c r="T95" s="8"/>
      <c r="U95" s="8"/>
      <c r="V95" s="8"/>
      <c r="W95" s="8"/>
      <c r="X95" s="8"/>
      <c r="Y95" s="8"/>
      <c r="Z95" s="8"/>
      <c r="AA95" s="8"/>
    </row>
    <row r="96" spans="1:27" ht="12.75">
      <c r="A96" s="8"/>
      <c r="B96" s="59"/>
      <c r="C96" s="59"/>
      <c r="D96" s="59"/>
      <c r="E96" s="59"/>
      <c r="F96" s="8"/>
      <c r="G96" s="8"/>
      <c r="H96" s="8"/>
      <c r="I96" s="8"/>
      <c r="J96" s="8"/>
      <c r="K96" s="8"/>
      <c r="L96" s="8"/>
      <c r="M96" s="8"/>
      <c r="N96" s="8"/>
      <c r="O96" s="8"/>
      <c r="P96" s="8"/>
      <c r="Q96" s="8"/>
      <c r="R96" s="8"/>
      <c r="S96" s="8"/>
      <c r="T96" s="8"/>
      <c r="U96" s="8"/>
      <c r="V96" s="8"/>
      <c r="W96" s="8"/>
      <c r="X96" s="8"/>
      <c r="Y96" s="8"/>
      <c r="Z96" s="8"/>
      <c r="AA96" s="8"/>
    </row>
    <row r="97" spans="1:27" ht="12.75">
      <c r="A97" s="8"/>
      <c r="B97" s="59"/>
      <c r="C97" s="59"/>
      <c r="D97" s="59"/>
      <c r="E97" s="59"/>
      <c r="F97" s="8"/>
      <c r="G97" s="8"/>
      <c r="H97" s="8"/>
      <c r="I97" s="8"/>
      <c r="J97" s="8"/>
      <c r="K97" s="8"/>
      <c r="L97" s="8"/>
      <c r="M97" s="8"/>
      <c r="N97" s="8"/>
      <c r="O97" s="8"/>
      <c r="P97" s="8"/>
      <c r="Q97" s="8"/>
      <c r="R97" s="8"/>
      <c r="S97" s="8"/>
      <c r="T97" s="8"/>
      <c r="U97" s="8"/>
      <c r="V97" s="8"/>
      <c r="W97" s="8"/>
      <c r="X97" s="8"/>
      <c r="Y97" s="8"/>
      <c r="Z97" s="8"/>
      <c r="AA97" s="8"/>
    </row>
    <row r="98" spans="1:27" ht="12.75">
      <c r="A98" s="8"/>
      <c r="B98" s="59"/>
      <c r="C98" s="59"/>
      <c r="D98" s="59"/>
      <c r="E98" s="59"/>
      <c r="F98" s="8"/>
      <c r="G98" s="8"/>
      <c r="H98" s="8"/>
      <c r="I98" s="8"/>
      <c r="J98" s="8"/>
      <c r="K98" s="8"/>
      <c r="L98" s="8"/>
      <c r="M98" s="8"/>
      <c r="N98" s="8"/>
      <c r="O98" s="8"/>
      <c r="P98" s="8"/>
      <c r="Q98" s="8"/>
      <c r="R98" s="8"/>
      <c r="S98" s="8"/>
      <c r="T98" s="8"/>
      <c r="U98" s="8"/>
      <c r="V98" s="8"/>
      <c r="W98" s="8"/>
      <c r="X98" s="8"/>
      <c r="Y98" s="8"/>
      <c r="Z98" s="8"/>
      <c r="AA98" s="8"/>
    </row>
    <row r="99" spans="1:27" ht="12.75">
      <c r="A99" s="8"/>
      <c r="B99" s="59"/>
      <c r="C99" s="59"/>
      <c r="D99" s="59"/>
      <c r="E99" s="59"/>
      <c r="F99" s="8"/>
      <c r="G99" s="8"/>
      <c r="H99" s="8"/>
      <c r="I99" s="8"/>
      <c r="J99" s="8"/>
      <c r="K99" s="8"/>
      <c r="L99" s="8"/>
      <c r="M99" s="8"/>
      <c r="N99" s="8"/>
      <c r="O99" s="8"/>
      <c r="P99" s="8"/>
      <c r="Q99" s="8"/>
      <c r="R99" s="8"/>
      <c r="S99" s="8"/>
      <c r="T99" s="8"/>
      <c r="U99" s="8"/>
      <c r="V99" s="8"/>
      <c r="W99" s="8"/>
      <c r="X99" s="8"/>
      <c r="Y99" s="8"/>
      <c r="Z99" s="8"/>
      <c r="AA99" s="8"/>
    </row>
    <row r="100" spans="1:27" ht="12.75">
      <c r="A100" s="8"/>
      <c r="B100" s="59"/>
      <c r="C100" s="59"/>
      <c r="D100" s="59"/>
      <c r="E100" s="59"/>
      <c r="F100" s="8"/>
      <c r="G100" s="8"/>
      <c r="H100" s="8"/>
      <c r="I100" s="8"/>
      <c r="J100" s="8"/>
      <c r="K100" s="8"/>
      <c r="L100" s="8"/>
      <c r="M100" s="8"/>
      <c r="N100" s="8"/>
      <c r="O100" s="8"/>
      <c r="P100" s="8"/>
      <c r="Q100" s="8"/>
      <c r="R100" s="8"/>
      <c r="S100" s="8"/>
      <c r="T100" s="8"/>
      <c r="U100" s="8"/>
      <c r="V100" s="8"/>
      <c r="W100" s="8"/>
      <c r="X100" s="8"/>
      <c r="Y100" s="8"/>
      <c r="Z100" s="8"/>
      <c r="AA100" s="8"/>
    </row>
    <row r="101" spans="1:27" ht="12.75">
      <c r="A101" s="8"/>
      <c r="B101" s="59"/>
      <c r="C101" s="59"/>
      <c r="D101" s="59"/>
      <c r="E101" s="59"/>
      <c r="F101" s="8"/>
      <c r="G101" s="8"/>
      <c r="H101" s="8"/>
      <c r="I101" s="8"/>
      <c r="J101" s="8"/>
      <c r="K101" s="8"/>
      <c r="L101" s="8"/>
      <c r="M101" s="8"/>
      <c r="N101" s="8"/>
      <c r="O101" s="8"/>
      <c r="P101" s="8"/>
      <c r="Q101" s="8"/>
      <c r="R101" s="8"/>
      <c r="S101" s="8"/>
      <c r="T101" s="8"/>
      <c r="U101" s="8"/>
      <c r="V101" s="8"/>
      <c r="W101" s="8"/>
      <c r="X101" s="8"/>
      <c r="Y101" s="8"/>
      <c r="Z101" s="8"/>
      <c r="AA101" s="8"/>
    </row>
    <row r="102" spans="1:27" ht="12.75">
      <c r="A102" s="8"/>
      <c r="B102" s="59"/>
      <c r="C102" s="59"/>
      <c r="D102" s="59"/>
      <c r="E102" s="59"/>
      <c r="F102" s="8"/>
      <c r="G102" s="8"/>
      <c r="H102" s="8"/>
      <c r="I102" s="8"/>
      <c r="J102" s="8"/>
      <c r="K102" s="8"/>
      <c r="L102" s="8"/>
      <c r="M102" s="8"/>
      <c r="N102" s="8"/>
      <c r="O102" s="8"/>
      <c r="P102" s="8"/>
      <c r="Q102" s="8"/>
      <c r="R102" s="8"/>
      <c r="S102" s="8"/>
      <c r="T102" s="8"/>
      <c r="U102" s="8"/>
      <c r="V102" s="8"/>
      <c r="W102" s="8"/>
      <c r="X102" s="8"/>
      <c r="Y102" s="8"/>
      <c r="Z102" s="8"/>
      <c r="AA102" s="8"/>
    </row>
    <row r="103" spans="1:27" ht="12.75">
      <c r="A103" s="8"/>
      <c r="B103" s="59"/>
      <c r="C103" s="59"/>
      <c r="D103" s="59"/>
      <c r="E103" s="59"/>
      <c r="F103" s="8"/>
      <c r="G103" s="8"/>
      <c r="H103" s="8"/>
      <c r="I103" s="8"/>
      <c r="J103" s="8"/>
      <c r="K103" s="8"/>
      <c r="L103" s="8"/>
      <c r="M103" s="8"/>
      <c r="N103" s="8"/>
      <c r="O103" s="8"/>
      <c r="P103" s="8"/>
      <c r="Q103" s="8"/>
      <c r="R103" s="8"/>
      <c r="S103" s="8"/>
      <c r="T103" s="8"/>
      <c r="U103" s="8"/>
      <c r="V103" s="8"/>
      <c r="W103" s="8"/>
      <c r="X103" s="8"/>
      <c r="Y103" s="8"/>
      <c r="Z103" s="8"/>
      <c r="AA103" s="8"/>
    </row>
    <row r="104" spans="1:27" ht="12.75">
      <c r="A104" s="8"/>
      <c r="B104" s="59"/>
      <c r="C104" s="59"/>
      <c r="D104" s="59"/>
      <c r="E104" s="59"/>
      <c r="F104" s="8"/>
      <c r="G104" s="8"/>
      <c r="H104" s="8"/>
      <c r="I104" s="8"/>
      <c r="J104" s="8"/>
      <c r="K104" s="8"/>
      <c r="L104" s="8"/>
      <c r="M104" s="8"/>
      <c r="N104" s="8"/>
      <c r="O104" s="8"/>
      <c r="P104" s="8"/>
      <c r="Q104" s="8"/>
      <c r="R104" s="8"/>
      <c r="S104" s="8"/>
      <c r="T104" s="8"/>
      <c r="U104" s="8"/>
      <c r="V104" s="8"/>
      <c r="W104" s="8"/>
      <c r="X104" s="8"/>
      <c r="Y104" s="8"/>
      <c r="Z104" s="8"/>
      <c r="AA104" s="8"/>
    </row>
    <row r="105" spans="1:27" ht="12.75">
      <c r="A105" s="8"/>
      <c r="B105" s="59"/>
      <c r="C105" s="59"/>
      <c r="D105" s="59"/>
      <c r="E105" s="59"/>
      <c r="F105" s="8"/>
      <c r="G105" s="8"/>
      <c r="H105" s="8"/>
      <c r="I105" s="8"/>
      <c r="J105" s="8"/>
      <c r="K105" s="8"/>
      <c r="L105" s="8"/>
      <c r="M105" s="8"/>
      <c r="N105" s="8"/>
      <c r="O105" s="8"/>
      <c r="P105" s="8"/>
      <c r="Q105" s="8"/>
      <c r="R105" s="8"/>
      <c r="S105" s="8"/>
      <c r="T105" s="8"/>
      <c r="U105" s="8"/>
      <c r="V105" s="8"/>
      <c r="W105" s="8"/>
      <c r="X105" s="8"/>
      <c r="Y105" s="8"/>
      <c r="Z105" s="8"/>
      <c r="AA105" s="8"/>
    </row>
    <row r="106" spans="1:27" ht="12.75">
      <c r="A106" s="8"/>
      <c r="B106" s="59"/>
      <c r="C106" s="59"/>
      <c r="D106" s="59"/>
      <c r="E106" s="59"/>
      <c r="F106" s="8"/>
      <c r="G106" s="8"/>
      <c r="H106" s="8"/>
      <c r="I106" s="8"/>
      <c r="J106" s="8"/>
      <c r="K106" s="8"/>
      <c r="L106" s="8"/>
      <c r="M106" s="8"/>
      <c r="N106" s="8"/>
      <c r="O106" s="8"/>
      <c r="P106" s="8"/>
      <c r="Q106" s="8"/>
      <c r="R106" s="8"/>
      <c r="S106" s="8"/>
      <c r="T106" s="8"/>
      <c r="U106" s="8"/>
      <c r="V106" s="8"/>
      <c r="W106" s="8"/>
      <c r="X106" s="8"/>
      <c r="Y106" s="8"/>
      <c r="Z106" s="8"/>
      <c r="AA106" s="8"/>
    </row>
    <row r="107" spans="1:27" ht="12.75">
      <c r="A107" s="8"/>
      <c r="B107" s="59"/>
      <c r="C107" s="59"/>
      <c r="D107" s="59"/>
      <c r="E107" s="59"/>
      <c r="F107" s="8"/>
      <c r="G107" s="8"/>
      <c r="H107" s="8"/>
      <c r="I107" s="8"/>
      <c r="J107" s="8"/>
      <c r="K107" s="8"/>
      <c r="L107" s="8"/>
      <c r="M107" s="8"/>
      <c r="N107" s="8"/>
      <c r="O107" s="8"/>
      <c r="P107" s="8"/>
      <c r="Q107" s="8"/>
      <c r="R107" s="8"/>
      <c r="S107" s="8"/>
      <c r="T107" s="8"/>
      <c r="U107" s="8"/>
      <c r="V107" s="8"/>
      <c r="W107" s="8"/>
      <c r="X107" s="8"/>
      <c r="Y107" s="8"/>
      <c r="Z107" s="8"/>
      <c r="AA107" s="8"/>
    </row>
    <row r="108" spans="1:27" ht="12.75">
      <c r="A108" s="8"/>
      <c r="B108" s="59"/>
      <c r="C108" s="59"/>
      <c r="D108" s="59"/>
      <c r="E108" s="59"/>
      <c r="F108" s="8"/>
      <c r="G108" s="8"/>
      <c r="H108" s="8"/>
      <c r="I108" s="8"/>
      <c r="J108" s="8"/>
      <c r="K108" s="8"/>
      <c r="L108" s="8"/>
      <c r="M108" s="8"/>
      <c r="N108" s="8"/>
      <c r="O108" s="8"/>
      <c r="P108" s="8"/>
      <c r="Q108" s="8"/>
      <c r="R108" s="8"/>
      <c r="S108" s="8"/>
      <c r="T108" s="8"/>
      <c r="U108" s="8"/>
      <c r="V108" s="8"/>
      <c r="W108" s="8"/>
      <c r="X108" s="8"/>
      <c r="Y108" s="8"/>
      <c r="Z108" s="8"/>
      <c r="AA108" s="8"/>
    </row>
    <row r="109" spans="1:27" ht="12.75">
      <c r="A109" s="8"/>
      <c r="B109" s="59"/>
      <c r="C109" s="59"/>
      <c r="D109" s="59"/>
      <c r="E109" s="59"/>
      <c r="F109" s="8"/>
      <c r="G109" s="8"/>
      <c r="H109" s="8"/>
      <c r="I109" s="8"/>
      <c r="J109" s="8"/>
      <c r="K109" s="8"/>
      <c r="L109" s="8"/>
      <c r="M109" s="8"/>
      <c r="N109" s="8"/>
      <c r="O109" s="8"/>
      <c r="P109" s="8"/>
      <c r="Q109" s="8"/>
      <c r="R109" s="8"/>
      <c r="S109" s="8"/>
      <c r="T109" s="8"/>
      <c r="U109" s="8"/>
      <c r="V109" s="8"/>
      <c r="W109" s="8"/>
      <c r="X109" s="8"/>
      <c r="Y109" s="8"/>
      <c r="Z109" s="8"/>
      <c r="AA109" s="8"/>
    </row>
    <row r="110" spans="1:27" ht="12.75">
      <c r="A110" s="8"/>
      <c r="B110" s="59"/>
      <c r="C110" s="59"/>
      <c r="D110" s="59"/>
      <c r="E110" s="59"/>
      <c r="F110" s="8"/>
      <c r="G110" s="8"/>
      <c r="H110" s="8"/>
      <c r="I110" s="8"/>
      <c r="J110" s="8"/>
      <c r="K110" s="8"/>
      <c r="L110" s="8"/>
      <c r="M110" s="8"/>
      <c r="N110" s="8"/>
      <c r="O110" s="8"/>
      <c r="P110" s="8"/>
      <c r="Q110" s="8"/>
      <c r="R110" s="8"/>
      <c r="S110" s="8"/>
      <c r="T110" s="8"/>
      <c r="U110" s="8"/>
      <c r="V110" s="8"/>
      <c r="W110" s="8"/>
      <c r="X110" s="8"/>
      <c r="Y110" s="8"/>
      <c r="Z110" s="8"/>
      <c r="AA110" s="8"/>
    </row>
    <row r="111" spans="1:27" ht="12.75">
      <c r="A111" s="8"/>
      <c r="B111" s="59"/>
      <c r="C111" s="59"/>
      <c r="D111" s="59"/>
      <c r="E111" s="59"/>
      <c r="F111" s="8"/>
      <c r="G111" s="8"/>
      <c r="H111" s="8"/>
      <c r="I111" s="8"/>
      <c r="J111" s="8"/>
      <c r="K111" s="8"/>
      <c r="L111" s="8"/>
      <c r="M111" s="8"/>
      <c r="N111" s="8"/>
      <c r="O111" s="8"/>
      <c r="P111" s="8"/>
      <c r="Q111" s="8"/>
      <c r="R111" s="8"/>
      <c r="S111" s="8"/>
      <c r="T111" s="8"/>
      <c r="U111" s="8"/>
      <c r="V111" s="8"/>
      <c r="W111" s="8"/>
      <c r="X111" s="8"/>
      <c r="Y111" s="8"/>
      <c r="Z111" s="8"/>
      <c r="AA111" s="8"/>
    </row>
    <row r="112" spans="1:27" ht="12.75">
      <c r="A112" s="8"/>
      <c r="B112" s="59"/>
      <c r="C112" s="59"/>
      <c r="D112" s="59"/>
      <c r="E112" s="59"/>
      <c r="F112" s="8"/>
      <c r="G112" s="8"/>
      <c r="H112" s="8"/>
      <c r="I112" s="8"/>
      <c r="J112" s="8"/>
      <c r="K112" s="8"/>
      <c r="L112" s="8"/>
      <c r="M112" s="8"/>
      <c r="N112" s="8"/>
      <c r="O112" s="8"/>
      <c r="P112" s="8"/>
      <c r="Q112" s="8"/>
      <c r="R112" s="8"/>
      <c r="S112" s="8"/>
      <c r="T112" s="8"/>
      <c r="U112" s="8"/>
      <c r="V112" s="8"/>
      <c r="W112" s="8"/>
      <c r="X112" s="8"/>
      <c r="Y112" s="8"/>
      <c r="Z112" s="8"/>
      <c r="AA112" s="8"/>
    </row>
    <row r="113" spans="1:27" ht="12.75">
      <c r="A113" s="8"/>
      <c r="B113" s="59"/>
      <c r="C113" s="59"/>
      <c r="D113" s="59"/>
      <c r="E113" s="59"/>
      <c r="F113" s="8"/>
      <c r="G113" s="8"/>
      <c r="H113" s="8"/>
      <c r="I113" s="8"/>
      <c r="J113" s="8"/>
      <c r="K113" s="8"/>
      <c r="L113" s="8"/>
      <c r="M113" s="8"/>
      <c r="N113" s="8"/>
      <c r="O113" s="8"/>
      <c r="P113" s="8"/>
      <c r="Q113" s="8"/>
      <c r="R113" s="8"/>
      <c r="S113" s="8"/>
      <c r="T113" s="8"/>
      <c r="U113" s="8"/>
      <c r="V113" s="8"/>
      <c r="W113" s="8"/>
      <c r="X113" s="8"/>
      <c r="Y113" s="8"/>
      <c r="Z113" s="8"/>
      <c r="AA113" s="8"/>
    </row>
    <row r="114" spans="1:27" ht="12.75">
      <c r="A114" s="8"/>
      <c r="B114" s="59"/>
      <c r="C114" s="59"/>
      <c r="D114" s="59"/>
      <c r="E114" s="59"/>
      <c r="F114" s="8"/>
      <c r="G114" s="8"/>
      <c r="H114" s="8"/>
      <c r="I114" s="8"/>
      <c r="J114" s="8"/>
      <c r="K114" s="8"/>
      <c r="L114" s="8"/>
      <c r="M114" s="8"/>
      <c r="N114" s="8"/>
      <c r="O114" s="8"/>
      <c r="P114" s="8"/>
      <c r="Q114" s="8"/>
      <c r="R114" s="8"/>
      <c r="S114" s="8"/>
      <c r="T114" s="8"/>
      <c r="U114" s="8"/>
      <c r="V114" s="8"/>
      <c r="W114" s="8"/>
      <c r="X114" s="8"/>
      <c r="Y114" s="8"/>
      <c r="Z114" s="8"/>
      <c r="AA114" s="8"/>
    </row>
    <row r="115" spans="1:27" ht="12.75">
      <c r="A115" s="8"/>
      <c r="B115" s="59"/>
      <c r="C115" s="59"/>
      <c r="D115" s="59"/>
      <c r="E115" s="59"/>
      <c r="F115" s="8"/>
      <c r="G115" s="8"/>
      <c r="H115" s="8"/>
      <c r="I115" s="8"/>
      <c r="J115" s="8"/>
      <c r="K115" s="8"/>
      <c r="L115" s="8"/>
      <c r="M115" s="8"/>
      <c r="N115" s="8"/>
      <c r="O115" s="8"/>
      <c r="P115" s="8"/>
      <c r="Q115" s="8"/>
      <c r="R115" s="8"/>
      <c r="S115" s="8"/>
      <c r="T115" s="8"/>
      <c r="U115" s="8"/>
      <c r="V115" s="8"/>
      <c r="W115" s="8"/>
      <c r="X115" s="8"/>
      <c r="Y115" s="8"/>
      <c r="Z115" s="8"/>
      <c r="AA115" s="8"/>
    </row>
    <row r="116" spans="1:27" ht="12.75">
      <c r="A116" s="8"/>
      <c r="B116" s="59"/>
      <c r="C116" s="59"/>
      <c r="D116" s="59"/>
      <c r="E116" s="59"/>
      <c r="F116" s="8"/>
      <c r="G116" s="8"/>
      <c r="H116" s="8"/>
      <c r="I116" s="8"/>
      <c r="J116" s="8"/>
      <c r="K116" s="8"/>
      <c r="L116" s="8"/>
      <c r="M116" s="8"/>
      <c r="N116" s="8"/>
      <c r="O116" s="8"/>
      <c r="P116" s="8"/>
      <c r="Q116" s="8"/>
      <c r="R116" s="8"/>
      <c r="S116" s="8"/>
      <c r="T116" s="8"/>
      <c r="U116" s="8"/>
      <c r="V116" s="8"/>
      <c r="W116" s="8"/>
      <c r="X116" s="8"/>
      <c r="Y116" s="8"/>
      <c r="Z116" s="8"/>
      <c r="AA116" s="8"/>
    </row>
    <row r="117" spans="1:27" ht="12.75">
      <c r="A117" s="8"/>
      <c r="B117" s="59"/>
      <c r="C117" s="59"/>
      <c r="D117" s="59"/>
      <c r="E117" s="59"/>
      <c r="F117" s="8"/>
      <c r="G117" s="8"/>
      <c r="H117" s="8"/>
      <c r="I117" s="8"/>
      <c r="J117" s="8"/>
      <c r="K117" s="8"/>
      <c r="L117" s="8"/>
      <c r="M117" s="8"/>
      <c r="N117" s="8"/>
      <c r="O117" s="8"/>
      <c r="P117" s="8"/>
      <c r="Q117" s="8"/>
      <c r="R117" s="8"/>
      <c r="S117" s="8"/>
      <c r="T117" s="8"/>
      <c r="U117" s="8"/>
      <c r="V117" s="8"/>
      <c r="W117" s="8"/>
      <c r="X117" s="8"/>
      <c r="Y117" s="8"/>
      <c r="Z117" s="8"/>
      <c r="AA117" s="8"/>
    </row>
    <row r="118" spans="1:27" ht="12.75">
      <c r="A118" s="8"/>
      <c r="B118" s="59"/>
      <c r="C118" s="59"/>
      <c r="D118" s="59"/>
      <c r="E118" s="59"/>
      <c r="F118" s="8"/>
      <c r="G118" s="8"/>
      <c r="H118" s="8"/>
      <c r="I118" s="8"/>
      <c r="J118" s="8"/>
      <c r="K118" s="8"/>
      <c r="L118" s="8"/>
      <c r="M118" s="8"/>
      <c r="N118" s="8"/>
      <c r="O118" s="8"/>
      <c r="P118" s="8"/>
      <c r="Q118" s="8"/>
      <c r="R118" s="8"/>
      <c r="S118" s="8"/>
      <c r="T118" s="8"/>
      <c r="U118" s="8"/>
      <c r="V118" s="8"/>
      <c r="W118" s="8"/>
      <c r="X118" s="8"/>
      <c r="Y118" s="8"/>
      <c r="Z118" s="8"/>
      <c r="AA118" s="8"/>
    </row>
    <row r="119" spans="1:27" ht="12.75">
      <c r="A119" s="8"/>
      <c r="B119" s="59"/>
      <c r="C119" s="59"/>
      <c r="D119" s="59"/>
      <c r="E119" s="59"/>
      <c r="F119" s="8"/>
      <c r="G119" s="8"/>
      <c r="H119" s="8"/>
      <c r="I119" s="8"/>
      <c r="J119" s="8"/>
      <c r="K119" s="8"/>
      <c r="L119" s="8"/>
      <c r="M119" s="8"/>
      <c r="N119" s="8"/>
      <c r="O119" s="8"/>
      <c r="P119" s="8"/>
      <c r="Q119" s="8"/>
      <c r="R119" s="8"/>
      <c r="S119" s="8"/>
      <c r="T119" s="8"/>
      <c r="U119" s="8"/>
      <c r="V119" s="8"/>
      <c r="W119" s="8"/>
      <c r="X119" s="8"/>
      <c r="Y119" s="8"/>
      <c r="Z119" s="8"/>
      <c r="AA119" s="8"/>
    </row>
    <row r="120" spans="1:27" ht="12.75">
      <c r="A120" s="8"/>
      <c r="B120" s="59"/>
      <c r="C120" s="59"/>
      <c r="D120" s="59"/>
      <c r="E120" s="59"/>
      <c r="F120" s="8"/>
      <c r="G120" s="8"/>
      <c r="H120" s="8"/>
      <c r="I120" s="8"/>
      <c r="J120" s="8"/>
      <c r="K120" s="8"/>
      <c r="L120" s="8"/>
      <c r="M120" s="8"/>
      <c r="N120" s="8"/>
      <c r="O120" s="8"/>
      <c r="P120" s="8"/>
      <c r="Q120" s="8"/>
      <c r="R120" s="8"/>
      <c r="S120" s="8"/>
      <c r="T120" s="8"/>
      <c r="U120" s="8"/>
      <c r="V120" s="8"/>
      <c r="W120" s="8"/>
      <c r="X120" s="8"/>
      <c r="Y120" s="8"/>
      <c r="Z120" s="8"/>
      <c r="AA120" s="8"/>
    </row>
    <row r="121" spans="1:27" ht="12.75">
      <c r="A121" s="8"/>
      <c r="B121" s="59"/>
      <c r="C121" s="59"/>
      <c r="D121" s="59"/>
      <c r="E121" s="59"/>
      <c r="F121" s="8"/>
      <c r="G121" s="8"/>
      <c r="H121" s="8"/>
      <c r="I121" s="8"/>
      <c r="J121" s="8"/>
      <c r="K121" s="8"/>
      <c r="L121" s="8"/>
      <c r="M121" s="8"/>
      <c r="N121" s="8"/>
      <c r="O121" s="8"/>
      <c r="P121" s="8"/>
      <c r="Q121" s="8"/>
      <c r="R121" s="8"/>
      <c r="S121" s="8"/>
      <c r="T121" s="8"/>
      <c r="U121" s="8"/>
      <c r="V121" s="8"/>
      <c r="W121" s="8"/>
      <c r="X121" s="8"/>
      <c r="Y121" s="8"/>
      <c r="Z121" s="8"/>
      <c r="AA121" s="8"/>
    </row>
    <row r="122" spans="1:27" ht="12.75">
      <c r="A122" s="8"/>
      <c r="B122" s="59"/>
      <c r="C122" s="59"/>
      <c r="D122" s="59"/>
      <c r="E122" s="59"/>
      <c r="F122" s="8"/>
      <c r="G122" s="8"/>
      <c r="H122" s="8"/>
      <c r="I122" s="8"/>
      <c r="J122" s="8"/>
      <c r="K122" s="8"/>
      <c r="L122" s="8"/>
      <c r="M122" s="8"/>
      <c r="N122" s="8"/>
      <c r="O122" s="8"/>
      <c r="P122" s="8"/>
      <c r="Q122" s="8"/>
      <c r="R122" s="8"/>
      <c r="S122" s="8"/>
      <c r="T122" s="8"/>
      <c r="U122" s="8"/>
      <c r="V122" s="8"/>
      <c r="W122" s="8"/>
      <c r="X122" s="8"/>
      <c r="Y122" s="8"/>
      <c r="Z122" s="8"/>
      <c r="AA122" s="8"/>
    </row>
    <row r="123" spans="1:27" ht="12.75">
      <c r="A123" s="8"/>
      <c r="B123" s="59"/>
      <c r="C123" s="59"/>
      <c r="D123" s="59"/>
      <c r="E123" s="59"/>
      <c r="F123" s="8"/>
      <c r="G123" s="8"/>
      <c r="H123" s="8"/>
      <c r="I123" s="8"/>
      <c r="J123" s="8"/>
      <c r="K123" s="8"/>
      <c r="L123" s="8"/>
      <c r="M123" s="8"/>
      <c r="N123" s="8"/>
      <c r="O123" s="8"/>
      <c r="P123" s="8"/>
      <c r="Q123" s="8"/>
      <c r="R123" s="8"/>
      <c r="S123" s="8"/>
      <c r="T123" s="8"/>
      <c r="U123" s="8"/>
      <c r="V123" s="8"/>
      <c r="W123" s="8"/>
      <c r="X123" s="8"/>
      <c r="Y123" s="8"/>
      <c r="Z123" s="8"/>
      <c r="AA123" s="8"/>
    </row>
    <row r="124" spans="1:27" ht="12.75">
      <c r="A124" s="8"/>
      <c r="B124" s="59"/>
      <c r="C124" s="59"/>
      <c r="D124" s="59"/>
      <c r="E124" s="59"/>
      <c r="F124" s="8"/>
      <c r="G124" s="8"/>
      <c r="H124" s="8"/>
      <c r="I124" s="8"/>
      <c r="J124" s="8"/>
      <c r="K124" s="8"/>
      <c r="L124" s="8"/>
      <c r="M124" s="8"/>
      <c r="N124" s="8"/>
      <c r="O124" s="8"/>
      <c r="P124" s="8"/>
      <c r="Q124" s="8"/>
      <c r="R124" s="8"/>
      <c r="S124" s="8"/>
      <c r="T124" s="8"/>
      <c r="U124" s="8"/>
      <c r="V124" s="8"/>
      <c r="W124" s="8"/>
      <c r="X124" s="8"/>
      <c r="Y124" s="8"/>
      <c r="Z124" s="8"/>
      <c r="AA124" s="8"/>
    </row>
    <row r="125" spans="1:27" ht="12.75">
      <c r="A125" s="8"/>
      <c r="B125" s="59"/>
      <c r="C125" s="59"/>
      <c r="D125" s="59"/>
      <c r="E125" s="59"/>
      <c r="F125" s="8"/>
      <c r="G125" s="8"/>
      <c r="H125" s="8"/>
      <c r="I125" s="8"/>
      <c r="J125" s="8"/>
      <c r="K125" s="8"/>
      <c r="L125" s="8"/>
      <c r="M125" s="8"/>
      <c r="N125" s="8"/>
      <c r="O125" s="8"/>
      <c r="P125" s="8"/>
      <c r="Q125" s="8"/>
      <c r="R125" s="8"/>
      <c r="S125" s="8"/>
      <c r="T125" s="8"/>
      <c r="U125" s="8"/>
      <c r="V125" s="8"/>
      <c r="W125" s="8"/>
      <c r="X125" s="8"/>
      <c r="Y125" s="8"/>
      <c r="Z125" s="8"/>
      <c r="AA125" s="8"/>
    </row>
    <row r="126" spans="1:27" ht="12.75">
      <c r="A126" s="8"/>
      <c r="B126" s="59"/>
      <c r="C126" s="59"/>
      <c r="D126" s="59"/>
      <c r="E126" s="59"/>
      <c r="F126" s="8"/>
      <c r="G126" s="8"/>
      <c r="H126" s="8"/>
      <c r="I126" s="8"/>
      <c r="J126" s="8"/>
      <c r="K126" s="8"/>
      <c r="L126" s="8"/>
      <c r="M126" s="8"/>
      <c r="N126" s="8"/>
      <c r="O126" s="8"/>
      <c r="P126" s="8"/>
      <c r="Q126" s="8"/>
      <c r="R126" s="8"/>
      <c r="S126" s="8"/>
      <c r="T126" s="8"/>
      <c r="U126" s="8"/>
      <c r="V126" s="8"/>
      <c r="W126" s="8"/>
      <c r="X126" s="8"/>
      <c r="Y126" s="8"/>
      <c r="Z126" s="8"/>
      <c r="AA126" s="8"/>
    </row>
    <row r="127" spans="1:27" ht="12.75">
      <c r="A127" s="8"/>
      <c r="B127" s="59"/>
      <c r="C127" s="59"/>
      <c r="D127" s="59"/>
      <c r="E127" s="59"/>
      <c r="F127" s="8"/>
      <c r="G127" s="8"/>
      <c r="H127" s="8"/>
      <c r="I127" s="8"/>
      <c r="J127" s="8"/>
      <c r="K127" s="8"/>
      <c r="L127" s="8"/>
      <c r="M127" s="8"/>
      <c r="N127" s="8"/>
      <c r="O127" s="8"/>
      <c r="P127" s="8"/>
      <c r="Q127" s="8"/>
      <c r="R127" s="8"/>
      <c r="S127" s="8"/>
      <c r="T127" s="8"/>
      <c r="U127" s="8"/>
      <c r="V127" s="8"/>
      <c r="W127" s="8"/>
      <c r="X127" s="8"/>
      <c r="Y127" s="8"/>
      <c r="Z127" s="8"/>
      <c r="AA127" s="8"/>
    </row>
    <row r="128" spans="1:27" ht="12.75">
      <c r="A128" s="8"/>
      <c r="B128" s="59"/>
      <c r="C128" s="59"/>
      <c r="D128" s="59"/>
      <c r="E128" s="59"/>
      <c r="F128" s="8"/>
      <c r="G128" s="8"/>
      <c r="H128" s="8"/>
      <c r="I128" s="8"/>
      <c r="J128" s="8"/>
      <c r="K128" s="8"/>
      <c r="L128" s="8"/>
      <c r="M128" s="8"/>
      <c r="N128" s="8"/>
      <c r="O128" s="8"/>
      <c r="P128" s="8"/>
      <c r="Q128" s="8"/>
      <c r="R128" s="8"/>
      <c r="S128" s="8"/>
      <c r="T128" s="8"/>
      <c r="U128" s="8"/>
      <c r="V128" s="8"/>
      <c r="W128" s="8"/>
      <c r="X128" s="8"/>
      <c r="Y128" s="8"/>
      <c r="Z128" s="8"/>
      <c r="AA128" s="8"/>
    </row>
    <row r="129" spans="1:27" ht="12.75">
      <c r="A129" s="8"/>
      <c r="B129" s="59"/>
      <c r="C129" s="59"/>
      <c r="D129" s="59"/>
      <c r="E129" s="59"/>
      <c r="F129" s="8"/>
      <c r="G129" s="8"/>
      <c r="H129" s="8"/>
      <c r="I129" s="8"/>
      <c r="J129" s="8"/>
      <c r="K129" s="8"/>
      <c r="L129" s="8"/>
      <c r="M129" s="8"/>
      <c r="N129" s="8"/>
      <c r="O129" s="8"/>
      <c r="P129" s="8"/>
      <c r="Q129" s="8"/>
      <c r="R129" s="8"/>
      <c r="S129" s="8"/>
      <c r="T129" s="8"/>
      <c r="U129" s="8"/>
      <c r="V129" s="8"/>
      <c r="W129" s="8"/>
      <c r="X129" s="8"/>
      <c r="Y129" s="8"/>
      <c r="Z129" s="8"/>
      <c r="AA129" s="8"/>
    </row>
    <row r="130" spans="1:27" ht="12.75">
      <c r="A130" s="8"/>
      <c r="B130" s="59"/>
      <c r="C130" s="59"/>
      <c r="D130" s="59"/>
      <c r="E130" s="59"/>
      <c r="F130" s="8"/>
      <c r="G130" s="8"/>
      <c r="H130" s="8"/>
      <c r="I130" s="8"/>
      <c r="J130" s="8"/>
      <c r="K130" s="8"/>
      <c r="L130" s="8"/>
      <c r="M130" s="8"/>
      <c r="N130" s="8"/>
      <c r="O130" s="8"/>
      <c r="P130" s="8"/>
      <c r="Q130" s="8"/>
      <c r="R130" s="8"/>
      <c r="S130" s="8"/>
      <c r="T130" s="8"/>
      <c r="U130" s="8"/>
      <c r="V130" s="8"/>
      <c r="W130" s="8"/>
      <c r="X130" s="8"/>
      <c r="Y130" s="8"/>
      <c r="Z130" s="8"/>
      <c r="AA130" s="8"/>
    </row>
    <row r="131" spans="1:27" ht="12.75">
      <c r="A131" s="8"/>
      <c r="B131" s="59"/>
      <c r="C131" s="59"/>
      <c r="D131" s="59"/>
      <c r="E131" s="59"/>
      <c r="F131" s="8"/>
      <c r="G131" s="8"/>
      <c r="H131" s="8"/>
      <c r="I131" s="8"/>
      <c r="J131" s="8"/>
      <c r="K131" s="8"/>
      <c r="L131" s="8"/>
      <c r="M131" s="8"/>
      <c r="N131" s="8"/>
      <c r="O131" s="8"/>
      <c r="P131" s="8"/>
      <c r="Q131" s="8"/>
      <c r="R131" s="8"/>
      <c r="S131" s="8"/>
      <c r="T131" s="8"/>
      <c r="U131" s="8"/>
      <c r="V131" s="8"/>
      <c r="W131" s="8"/>
      <c r="X131" s="8"/>
      <c r="Y131" s="8"/>
      <c r="Z131" s="8"/>
      <c r="AA131" s="8"/>
    </row>
    <row r="132" spans="1:27" ht="12.75">
      <c r="A132" s="8"/>
      <c r="B132" s="59"/>
      <c r="C132" s="59"/>
      <c r="D132" s="59"/>
      <c r="E132" s="59"/>
      <c r="F132" s="8"/>
      <c r="G132" s="8"/>
      <c r="H132" s="8"/>
      <c r="I132" s="8"/>
      <c r="J132" s="8"/>
      <c r="K132" s="8"/>
      <c r="L132" s="8"/>
      <c r="M132" s="8"/>
      <c r="N132" s="8"/>
      <c r="O132" s="8"/>
      <c r="P132" s="8"/>
      <c r="Q132" s="8"/>
      <c r="R132" s="8"/>
      <c r="S132" s="8"/>
      <c r="T132" s="8"/>
      <c r="U132" s="8"/>
      <c r="V132" s="8"/>
      <c r="W132" s="8"/>
      <c r="X132" s="8"/>
      <c r="Y132" s="8"/>
      <c r="Z132" s="8"/>
      <c r="AA132" s="8"/>
    </row>
    <row r="133" spans="1:27" ht="12.75">
      <c r="A133" s="8"/>
      <c r="B133" s="59"/>
      <c r="C133" s="59"/>
      <c r="D133" s="59"/>
      <c r="E133" s="59"/>
      <c r="F133" s="8"/>
      <c r="G133" s="8"/>
      <c r="H133" s="8"/>
      <c r="I133" s="8"/>
      <c r="J133" s="8"/>
      <c r="K133" s="8"/>
      <c r="L133" s="8"/>
      <c r="M133" s="8"/>
      <c r="N133" s="8"/>
      <c r="O133" s="8"/>
      <c r="P133" s="8"/>
      <c r="Q133" s="8"/>
      <c r="R133" s="8"/>
      <c r="S133" s="8"/>
      <c r="T133" s="8"/>
      <c r="U133" s="8"/>
      <c r="V133" s="8"/>
      <c r="W133" s="8"/>
      <c r="X133" s="8"/>
      <c r="Y133" s="8"/>
      <c r="Z133" s="8"/>
      <c r="AA133" s="8"/>
    </row>
    <row r="134" spans="1:27" ht="12.75">
      <c r="A134" s="8"/>
      <c r="B134" s="59"/>
      <c r="C134" s="59"/>
      <c r="D134" s="59"/>
      <c r="E134" s="59"/>
      <c r="F134" s="8"/>
      <c r="G134" s="8"/>
      <c r="H134" s="8"/>
      <c r="I134" s="8"/>
      <c r="J134" s="8"/>
      <c r="K134" s="8"/>
      <c r="L134" s="8"/>
      <c r="M134" s="8"/>
      <c r="N134" s="8"/>
      <c r="O134" s="8"/>
      <c r="P134" s="8"/>
      <c r="Q134" s="8"/>
      <c r="R134" s="8"/>
      <c r="S134" s="8"/>
      <c r="T134" s="8"/>
      <c r="U134" s="8"/>
      <c r="V134" s="8"/>
      <c r="W134" s="8"/>
      <c r="X134" s="8"/>
      <c r="Y134" s="8"/>
      <c r="Z134" s="8"/>
      <c r="AA134" s="8"/>
    </row>
    <row r="135" spans="1:27" ht="12.75">
      <c r="A135" s="8"/>
      <c r="B135" s="59"/>
      <c r="C135" s="59"/>
      <c r="D135" s="59"/>
      <c r="E135" s="59"/>
      <c r="F135" s="8"/>
      <c r="G135" s="8"/>
      <c r="H135" s="8"/>
      <c r="I135" s="8"/>
      <c r="J135" s="8"/>
      <c r="K135" s="8"/>
      <c r="L135" s="8"/>
      <c r="M135" s="8"/>
      <c r="N135" s="8"/>
      <c r="O135" s="8"/>
      <c r="P135" s="8"/>
      <c r="Q135" s="8"/>
      <c r="R135" s="8"/>
      <c r="S135" s="8"/>
      <c r="T135" s="8"/>
      <c r="U135" s="8"/>
      <c r="V135" s="8"/>
      <c r="W135" s="8"/>
      <c r="X135" s="8"/>
      <c r="Y135" s="8"/>
      <c r="Z135" s="8"/>
      <c r="AA135" s="8"/>
    </row>
    <row r="136" spans="1:27" ht="12.75">
      <c r="A136" s="8"/>
      <c r="B136" s="59"/>
      <c r="C136" s="59"/>
      <c r="D136" s="59"/>
      <c r="E136" s="59"/>
      <c r="F136" s="8"/>
      <c r="G136" s="8"/>
      <c r="H136" s="8"/>
      <c r="I136" s="8"/>
      <c r="J136" s="8"/>
      <c r="K136" s="8"/>
      <c r="L136" s="8"/>
      <c r="M136" s="8"/>
      <c r="N136" s="8"/>
      <c r="O136" s="8"/>
      <c r="P136" s="8"/>
      <c r="Q136" s="8"/>
      <c r="R136" s="8"/>
      <c r="S136" s="8"/>
      <c r="T136" s="8"/>
      <c r="U136" s="8"/>
      <c r="V136" s="8"/>
      <c r="W136" s="8"/>
      <c r="X136" s="8"/>
      <c r="Y136" s="8"/>
      <c r="Z136" s="8"/>
      <c r="AA136" s="8"/>
    </row>
    <row r="137" spans="1:27" ht="12.75">
      <c r="A137" s="8"/>
      <c r="B137" s="59"/>
      <c r="C137" s="59"/>
      <c r="D137" s="59"/>
      <c r="E137" s="59"/>
      <c r="F137" s="8"/>
      <c r="G137" s="8"/>
      <c r="H137" s="8"/>
      <c r="I137" s="8"/>
      <c r="J137" s="8"/>
      <c r="K137" s="8"/>
      <c r="L137" s="8"/>
      <c r="M137" s="8"/>
      <c r="N137" s="8"/>
      <c r="O137" s="8"/>
      <c r="P137" s="8"/>
      <c r="Q137" s="8"/>
      <c r="R137" s="8"/>
      <c r="S137" s="8"/>
      <c r="T137" s="8"/>
      <c r="U137" s="8"/>
      <c r="V137" s="8"/>
      <c r="W137" s="8"/>
      <c r="X137" s="8"/>
      <c r="Y137" s="8"/>
      <c r="Z137" s="8"/>
      <c r="AA137" s="8"/>
    </row>
    <row r="138" spans="1:27" ht="12.75">
      <c r="A138" s="8"/>
      <c r="B138" s="59"/>
      <c r="C138" s="59"/>
      <c r="D138" s="59"/>
      <c r="E138" s="59"/>
      <c r="F138" s="8"/>
      <c r="G138" s="8"/>
      <c r="H138" s="8"/>
      <c r="I138" s="8"/>
      <c r="J138" s="8"/>
      <c r="K138" s="8"/>
      <c r="L138" s="8"/>
      <c r="M138" s="8"/>
      <c r="N138" s="8"/>
      <c r="O138" s="8"/>
      <c r="P138" s="8"/>
      <c r="Q138" s="8"/>
      <c r="R138" s="8"/>
      <c r="S138" s="8"/>
      <c r="T138" s="8"/>
      <c r="U138" s="8"/>
      <c r="V138" s="8"/>
      <c r="W138" s="8"/>
      <c r="X138" s="8"/>
      <c r="Y138" s="8"/>
      <c r="Z138" s="8"/>
      <c r="AA138" s="8"/>
    </row>
    <row r="139" spans="1:27" ht="12.75">
      <c r="A139" s="8"/>
      <c r="B139" s="59"/>
      <c r="C139" s="59"/>
      <c r="D139" s="59"/>
      <c r="E139" s="59"/>
      <c r="F139" s="8"/>
      <c r="G139" s="8"/>
      <c r="H139" s="8"/>
      <c r="I139" s="8"/>
      <c r="J139" s="8"/>
      <c r="K139" s="8"/>
      <c r="L139" s="8"/>
      <c r="M139" s="8"/>
      <c r="N139" s="8"/>
      <c r="O139" s="8"/>
      <c r="P139" s="8"/>
      <c r="Q139" s="8"/>
      <c r="R139" s="8"/>
      <c r="S139" s="8"/>
      <c r="T139" s="8"/>
      <c r="U139" s="8"/>
      <c r="V139" s="8"/>
      <c r="W139" s="8"/>
      <c r="X139" s="8"/>
      <c r="Y139" s="8"/>
      <c r="Z139" s="8"/>
      <c r="AA139" s="8"/>
    </row>
    <row r="140" spans="1:27" ht="12.75">
      <c r="A140" s="8"/>
      <c r="B140" s="59"/>
      <c r="C140" s="59"/>
      <c r="D140" s="59"/>
      <c r="E140" s="59"/>
      <c r="F140" s="8"/>
      <c r="G140" s="8"/>
      <c r="H140" s="8"/>
      <c r="I140" s="8"/>
      <c r="J140" s="8"/>
      <c r="K140" s="8"/>
      <c r="L140" s="8"/>
      <c r="M140" s="8"/>
      <c r="N140" s="8"/>
      <c r="O140" s="8"/>
      <c r="P140" s="8"/>
      <c r="Q140" s="8"/>
      <c r="R140" s="8"/>
      <c r="S140" s="8"/>
      <c r="T140" s="8"/>
      <c r="U140" s="8"/>
      <c r="V140" s="8"/>
      <c r="W140" s="8"/>
      <c r="X140" s="8"/>
      <c r="Y140" s="8"/>
      <c r="Z140" s="8"/>
      <c r="AA140" s="8"/>
    </row>
    <row r="141" spans="1:27" ht="12.75">
      <c r="A141" s="8"/>
      <c r="B141" s="59"/>
      <c r="C141" s="59"/>
      <c r="D141" s="59"/>
      <c r="E141" s="59"/>
      <c r="F141" s="8"/>
      <c r="G141" s="8"/>
      <c r="H141" s="8"/>
      <c r="I141" s="8"/>
      <c r="J141" s="8"/>
      <c r="K141" s="8"/>
      <c r="L141" s="8"/>
      <c r="M141" s="8"/>
      <c r="N141" s="8"/>
      <c r="O141" s="8"/>
      <c r="P141" s="8"/>
      <c r="Q141" s="8"/>
      <c r="R141" s="8"/>
      <c r="S141" s="8"/>
      <c r="T141" s="8"/>
      <c r="U141" s="8"/>
      <c r="V141" s="8"/>
      <c r="W141" s="8"/>
      <c r="X141" s="8"/>
      <c r="Y141" s="8"/>
      <c r="Z141" s="8"/>
      <c r="AA141" s="8"/>
    </row>
    <row r="142" spans="1:27" ht="12.75">
      <c r="A142" s="8"/>
      <c r="B142" s="59"/>
      <c r="C142" s="59"/>
      <c r="D142" s="59"/>
      <c r="E142" s="59"/>
      <c r="F142" s="8"/>
      <c r="G142" s="8"/>
      <c r="H142" s="8"/>
      <c r="I142" s="8"/>
      <c r="J142" s="8"/>
      <c r="K142" s="8"/>
      <c r="L142" s="8"/>
      <c r="M142" s="8"/>
      <c r="N142" s="8"/>
      <c r="O142" s="8"/>
      <c r="P142" s="8"/>
      <c r="Q142" s="8"/>
      <c r="R142" s="8"/>
      <c r="S142" s="8"/>
      <c r="T142" s="8"/>
      <c r="U142" s="8"/>
      <c r="V142" s="8"/>
      <c r="W142" s="8"/>
      <c r="X142" s="8"/>
      <c r="Y142" s="8"/>
      <c r="Z142" s="8"/>
      <c r="AA142" s="8"/>
    </row>
    <row r="143" spans="1:27" ht="12.75">
      <c r="A143" s="8"/>
      <c r="B143" s="59"/>
      <c r="C143" s="59"/>
      <c r="D143" s="59"/>
      <c r="E143" s="59"/>
      <c r="F143" s="8"/>
      <c r="G143" s="8"/>
      <c r="H143" s="8"/>
      <c r="I143" s="8"/>
      <c r="J143" s="8"/>
      <c r="K143" s="8"/>
      <c r="L143" s="8"/>
      <c r="M143" s="8"/>
      <c r="N143" s="8"/>
      <c r="O143" s="8"/>
      <c r="P143" s="8"/>
      <c r="Q143" s="8"/>
      <c r="R143" s="8"/>
      <c r="S143" s="8"/>
      <c r="T143" s="8"/>
      <c r="U143" s="8"/>
      <c r="V143" s="8"/>
      <c r="W143" s="8"/>
      <c r="X143" s="8"/>
      <c r="Y143" s="8"/>
      <c r="Z143" s="8"/>
      <c r="AA143" s="8"/>
    </row>
    <row r="144" spans="1:27" ht="12.75">
      <c r="A144" s="8"/>
      <c r="B144" s="59"/>
      <c r="C144" s="59"/>
      <c r="D144" s="59"/>
      <c r="E144" s="59"/>
      <c r="F144" s="8"/>
      <c r="G144" s="8"/>
      <c r="H144" s="8"/>
      <c r="I144" s="8"/>
      <c r="J144" s="8"/>
      <c r="K144" s="8"/>
      <c r="L144" s="8"/>
      <c r="M144" s="8"/>
      <c r="N144" s="8"/>
      <c r="O144" s="8"/>
      <c r="P144" s="8"/>
      <c r="Q144" s="8"/>
      <c r="R144" s="8"/>
      <c r="S144" s="8"/>
      <c r="T144" s="8"/>
      <c r="U144" s="8"/>
      <c r="V144" s="8"/>
      <c r="W144" s="8"/>
      <c r="X144" s="8"/>
      <c r="Y144" s="8"/>
      <c r="Z144" s="8"/>
      <c r="AA144" s="8"/>
    </row>
    <row r="145" spans="1:27" ht="12.75">
      <c r="A145" s="8"/>
      <c r="B145" s="59"/>
      <c r="C145" s="59"/>
      <c r="D145" s="59"/>
      <c r="E145" s="59"/>
      <c r="F145" s="8"/>
      <c r="G145" s="8"/>
      <c r="H145" s="8"/>
      <c r="I145" s="8"/>
      <c r="J145" s="8"/>
      <c r="K145" s="8"/>
      <c r="L145" s="8"/>
      <c r="M145" s="8"/>
      <c r="N145" s="8"/>
      <c r="O145" s="8"/>
      <c r="P145" s="8"/>
      <c r="Q145" s="8"/>
      <c r="R145" s="8"/>
      <c r="S145" s="8"/>
      <c r="T145" s="8"/>
      <c r="U145" s="8"/>
      <c r="V145" s="8"/>
      <c r="W145" s="8"/>
      <c r="X145" s="8"/>
      <c r="Y145" s="8"/>
      <c r="Z145" s="8"/>
      <c r="AA145" s="8"/>
    </row>
    <row r="146" spans="1:27" ht="12.75">
      <c r="A146" s="8"/>
      <c r="B146" s="59"/>
      <c r="C146" s="59"/>
      <c r="D146" s="59"/>
      <c r="E146" s="59"/>
      <c r="F146" s="8"/>
      <c r="G146" s="8"/>
      <c r="H146" s="8"/>
      <c r="I146" s="8"/>
      <c r="J146" s="8"/>
      <c r="K146" s="8"/>
      <c r="L146" s="8"/>
      <c r="M146" s="8"/>
      <c r="N146" s="8"/>
      <c r="O146" s="8"/>
      <c r="P146" s="8"/>
      <c r="Q146" s="8"/>
      <c r="R146" s="8"/>
      <c r="S146" s="8"/>
      <c r="T146" s="8"/>
      <c r="U146" s="8"/>
      <c r="V146" s="8"/>
      <c r="W146" s="8"/>
      <c r="X146" s="8"/>
      <c r="Y146" s="8"/>
      <c r="Z146" s="8"/>
      <c r="AA146" s="8"/>
    </row>
    <row r="147" spans="1:27" ht="12.75">
      <c r="A147" s="8"/>
      <c r="B147" s="59"/>
      <c r="C147" s="59"/>
      <c r="D147" s="59"/>
      <c r="E147" s="59"/>
      <c r="F147" s="8"/>
      <c r="G147" s="8"/>
      <c r="H147" s="8"/>
      <c r="I147" s="8"/>
      <c r="J147" s="8"/>
      <c r="K147" s="8"/>
      <c r="L147" s="8"/>
      <c r="M147" s="8"/>
      <c r="N147" s="8"/>
      <c r="O147" s="8"/>
      <c r="P147" s="8"/>
      <c r="Q147" s="8"/>
      <c r="R147" s="8"/>
      <c r="S147" s="8"/>
      <c r="T147" s="8"/>
      <c r="U147" s="8"/>
      <c r="V147" s="8"/>
      <c r="W147" s="8"/>
      <c r="X147" s="8"/>
      <c r="Y147" s="8"/>
      <c r="Z147" s="8"/>
      <c r="AA147" s="8"/>
    </row>
    <row r="148" spans="1:27" ht="12.75">
      <c r="A148" s="8"/>
      <c r="B148" s="59"/>
      <c r="C148" s="59"/>
      <c r="D148" s="59"/>
      <c r="E148" s="59"/>
      <c r="F148" s="8"/>
      <c r="G148" s="8"/>
      <c r="H148" s="8"/>
      <c r="I148" s="8"/>
      <c r="J148" s="8"/>
      <c r="K148" s="8"/>
      <c r="L148" s="8"/>
      <c r="M148" s="8"/>
      <c r="N148" s="8"/>
      <c r="O148" s="8"/>
      <c r="P148" s="8"/>
      <c r="Q148" s="8"/>
      <c r="R148" s="8"/>
      <c r="S148" s="8"/>
      <c r="T148" s="8"/>
      <c r="U148" s="8"/>
      <c r="V148" s="8"/>
      <c r="W148" s="8"/>
      <c r="X148" s="8"/>
      <c r="Y148" s="8"/>
      <c r="Z148" s="8"/>
      <c r="AA148" s="8"/>
    </row>
    <row r="149" spans="1:27" ht="12.75">
      <c r="A149" s="8"/>
      <c r="B149" s="59"/>
      <c r="C149" s="59"/>
      <c r="D149" s="59"/>
      <c r="E149" s="59"/>
      <c r="F149" s="8"/>
      <c r="G149" s="8"/>
      <c r="H149" s="8"/>
      <c r="I149" s="8"/>
      <c r="J149" s="8"/>
      <c r="K149" s="8"/>
      <c r="L149" s="8"/>
      <c r="M149" s="8"/>
      <c r="N149" s="8"/>
      <c r="O149" s="8"/>
      <c r="P149" s="8"/>
      <c r="Q149" s="8"/>
      <c r="R149" s="8"/>
      <c r="S149" s="8"/>
      <c r="T149" s="8"/>
      <c r="U149" s="8"/>
      <c r="V149" s="8"/>
      <c r="W149" s="8"/>
      <c r="X149" s="8"/>
      <c r="Y149" s="8"/>
      <c r="Z149" s="8"/>
      <c r="AA149" s="8"/>
    </row>
    <row r="150" spans="1:27" ht="12.75">
      <c r="A150" s="8"/>
      <c r="B150" s="59"/>
      <c r="C150" s="59"/>
      <c r="D150" s="59"/>
      <c r="E150" s="59"/>
      <c r="F150" s="8"/>
      <c r="G150" s="8"/>
      <c r="H150" s="8"/>
      <c r="I150" s="8"/>
      <c r="J150" s="8"/>
      <c r="K150" s="8"/>
      <c r="L150" s="8"/>
      <c r="M150" s="8"/>
      <c r="N150" s="8"/>
      <c r="O150" s="8"/>
      <c r="P150" s="8"/>
      <c r="Q150" s="8"/>
      <c r="R150" s="8"/>
      <c r="S150" s="8"/>
      <c r="T150" s="8"/>
      <c r="U150" s="8"/>
      <c r="V150" s="8"/>
      <c r="W150" s="8"/>
      <c r="X150" s="8"/>
      <c r="Y150" s="8"/>
      <c r="Z150" s="8"/>
      <c r="AA150" s="8"/>
    </row>
    <row r="151" spans="1:27" ht="12.75">
      <c r="A151" s="8"/>
      <c r="B151" s="59"/>
      <c r="C151" s="59"/>
      <c r="D151" s="59"/>
      <c r="E151" s="59"/>
      <c r="F151" s="8"/>
      <c r="G151" s="8"/>
      <c r="H151" s="8"/>
      <c r="I151" s="8"/>
      <c r="J151" s="8"/>
      <c r="K151" s="8"/>
      <c r="L151" s="8"/>
      <c r="M151" s="8"/>
      <c r="N151" s="8"/>
      <c r="O151" s="8"/>
      <c r="P151" s="8"/>
      <c r="Q151" s="8"/>
      <c r="R151" s="8"/>
      <c r="S151" s="8"/>
      <c r="T151" s="8"/>
      <c r="U151" s="8"/>
      <c r="V151" s="8"/>
      <c r="W151" s="8"/>
      <c r="X151" s="8"/>
      <c r="Y151" s="8"/>
      <c r="Z151" s="8"/>
      <c r="AA151" s="8"/>
    </row>
    <row r="152" spans="1:27" ht="12.75">
      <c r="A152" s="8"/>
      <c r="B152" s="59"/>
      <c r="C152" s="59"/>
      <c r="D152" s="59"/>
      <c r="E152" s="59"/>
      <c r="F152" s="8"/>
      <c r="G152" s="8"/>
      <c r="H152" s="8"/>
      <c r="I152" s="8"/>
      <c r="J152" s="8"/>
      <c r="K152" s="8"/>
      <c r="L152" s="8"/>
      <c r="M152" s="8"/>
      <c r="N152" s="8"/>
      <c r="O152" s="8"/>
      <c r="P152" s="8"/>
      <c r="Q152" s="8"/>
      <c r="R152" s="8"/>
      <c r="S152" s="8"/>
      <c r="T152" s="8"/>
      <c r="U152" s="8"/>
      <c r="V152" s="8"/>
      <c r="W152" s="8"/>
      <c r="X152" s="8"/>
      <c r="Y152" s="8"/>
      <c r="Z152" s="8"/>
      <c r="AA152" s="8"/>
    </row>
    <row r="153" spans="1:27" ht="12.75">
      <c r="A153" s="8"/>
      <c r="B153" s="59"/>
      <c r="C153" s="59"/>
      <c r="D153" s="59"/>
      <c r="E153" s="59"/>
      <c r="F153" s="8"/>
      <c r="G153" s="8"/>
      <c r="H153" s="8"/>
      <c r="I153" s="8"/>
      <c r="J153" s="8"/>
      <c r="K153" s="8"/>
      <c r="L153" s="8"/>
      <c r="M153" s="8"/>
      <c r="N153" s="8"/>
      <c r="O153" s="8"/>
      <c r="P153" s="8"/>
      <c r="Q153" s="8"/>
      <c r="R153" s="8"/>
      <c r="S153" s="8"/>
      <c r="T153" s="8"/>
      <c r="U153" s="8"/>
      <c r="V153" s="8"/>
      <c r="W153" s="8"/>
      <c r="X153" s="8"/>
      <c r="Y153" s="8"/>
      <c r="Z153" s="8"/>
      <c r="AA153" s="8"/>
    </row>
    <row r="154" spans="1:27" ht="12.75">
      <c r="A154" s="8"/>
      <c r="B154" s="59"/>
      <c r="C154" s="59"/>
      <c r="D154" s="59"/>
      <c r="E154" s="59"/>
      <c r="F154" s="8"/>
      <c r="G154" s="8"/>
      <c r="H154" s="8"/>
      <c r="I154" s="8"/>
      <c r="J154" s="8"/>
      <c r="K154" s="8"/>
      <c r="L154" s="8"/>
      <c r="M154" s="8"/>
      <c r="N154" s="8"/>
      <c r="O154" s="8"/>
      <c r="P154" s="8"/>
      <c r="Q154" s="8"/>
      <c r="R154" s="8"/>
      <c r="S154" s="8"/>
      <c r="T154" s="8"/>
      <c r="U154" s="8"/>
      <c r="V154" s="8"/>
      <c r="W154" s="8"/>
      <c r="X154" s="8"/>
      <c r="Y154" s="8"/>
      <c r="Z154" s="8"/>
      <c r="AA154" s="8"/>
    </row>
    <row r="155" spans="1:27" ht="12.75">
      <c r="A155" s="8"/>
      <c r="B155" s="59"/>
      <c r="C155" s="59"/>
      <c r="D155" s="59"/>
      <c r="E155" s="59"/>
      <c r="F155" s="8"/>
      <c r="G155" s="8"/>
      <c r="H155" s="8"/>
      <c r="I155" s="8"/>
      <c r="J155" s="8"/>
      <c r="K155" s="8"/>
      <c r="L155" s="8"/>
      <c r="M155" s="8"/>
      <c r="N155" s="8"/>
      <c r="O155" s="8"/>
      <c r="P155" s="8"/>
      <c r="Q155" s="8"/>
      <c r="R155" s="8"/>
      <c r="S155" s="8"/>
      <c r="T155" s="8"/>
      <c r="U155" s="8"/>
      <c r="V155" s="8"/>
      <c r="W155" s="8"/>
      <c r="X155" s="8"/>
      <c r="Y155" s="8"/>
      <c r="Z155" s="8"/>
      <c r="AA155" s="8"/>
    </row>
    <row r="156" spans="1:27" ht="12.75">
      <c r="A156" s="8"/>
      <c r="B156" s="59"/>
      <c r="C156" s="59"/>
      <c r="D156" s="59"/>
      <c r="E156" s="59"/>
      <c r="F156" s="8"/>
      <c r="G156" s="8"/>
      <c r="H156" s="8"/>
      <c r="I156" s="8"/>
      <c r="J156" s="8"/>
      <c r="K156" s="8"/>
      <c r="L156" s="8"/>
      <c r="M156" s="8"/>
      <c r="N156" s="8"/>
      <c r="O156" s="8"/>
      <c r="P156" s="8"/>
      <c r="Q156" s="8"/>
      <c r="R156" s="8"/>
      <c r="S156" s="8"/>
      <c r="T156" s="8"/>
      <c r="U156" s="8"/>
      <c r="V156" s="8"/>
      <c r="W156" s="8"/>
      <c r="X156" s="8"/>
      <c r="Y156" s="8"/>
      <c r="Z156" s="8"/>
      <c r="AA156" s="8"/>
    </row>
    <row r="157" spans="1:27" ht="12.75">
      <c r="A157" s="8"/>
      <c r="B157" s="59"/>
      <c r="C157" s="59"/>
      <c r="D157" s="59"/>
      <c r="E157" s="59"/>
      <c r="F157" s="8"/>
      <c r="G157" s="8"/>
      <c r="H157" s="8"/>
      <c r="I157" s="8"/>
      <c r="J157" s="8"/>
      <c r="K157" s="8"/>
      <c r="L157" s="8"/>
      <c r="M157" s="8"/>
      <c r="N157" s="8"/>
      <c r="O157" s="8"/>
      <c r="P157" s="8"/>
      <c r="Q157" s="8"/>
      <c r="R157" s="8"/>
      <c r="S157" s="8"/>
      <c r="T157" s="8"/>
      <c r="U157" s="8"/>
      <c r="V157" s="8"/>
      <c r="W157" s="8"/>
      <c r="X157" s="8"/>
      <c r="Y157" s="8"/>
      <c r="Z157" s="8"/>
      <c r="AA157" s="8"/>
    </row>
    <row r="158" spans="1:27" ht="12.75">
      <c r="A158" s="8"/>
      <c r="B158" s="59"/>
      <c r="C158" s="59"/>
      <c r="D158" s="59"/>
      <c r="E158" s="59"/>
      <c r="F158" s="8"/>
      <c r="G158" s="8"/>
      <c r="H158" s="8"/>
      <c r="I158" s="8"/>
      <c r="J158" s="8"/>
      <c r="K158" s="8"/>
      <c r="L158" s="8"/>
      <c r="M158" s="8"/>
      <c r="N158" s="8"/>
      <c r="O158" s="8"/>
      <c r="P158" s="8"/>
      <c r="Q158" s="8"/>
      <c r="R158" s="8"/>
      <c r="S158" s="8"/>
      <c r="T158" s="8"/>
      <c r="U158" s="8"/>
      <c r="V158" s="8"/>
      <c r="W158" s="8"/>
      <c r="X158" s="8"/>
      <c r="Y158" s="8"/>
      <c r="Z158" s="8"/>
      <c r="AA158" s="8"/>
    </row>
    <row r="159" spans="1:27" ht="12.75">
      <c r="A159" s="8"/>
      <c r="B159" s="59"/>
      <c r="C159" s="59"/>
      <c r="D159" s="59"/>
      <c r="E159" s="59"/>
      <c r="F159" s="8"/>
      <c r="G159" s="8"/>
      <c r="H159" s="8"/>
      <c r="I159" s="8"/>
      <c r="J159" s="8"/>
      <c r="K159" s="8"/>
      <c r="L159" s="8"/>
      <c r="M159" s="8"/>
      <c r="N159" s="8"/>
      <c r="O159" s="8"/>
      <c r="P159" s="8"/>
      <c r="Q159" s="8"/>
      <c r="R159" s="8"/>
      <c r="S159" s="8"/>
      <c r="T159" s="8"/>
      <c r="U159" s="8"/>
      <c r="V159" s="8"/>
      <c r="W159" s="8"/>
      <c r="X159" s="8"/>
      <c r="Y159" s="8"/>
      <c r="Z159" s="8"/>
      <c r="AA159" s="8"/>
    </row>
    <row r="160" spans="1:27" ht="12.75">
      <c r="A160" s="8"/>
      <c r="B160" s="59"/>
      <c r="C160" s="59"/>
      <c r="D160" s="59"/>
      <c r="E160" s="59"/>
      <c r="F160" s="8"/>
      <c r="G160" s="8"/>
      <c r="H160" s="8"/>
      <c r="I160" s="8"/>
      <c r="J160" s="8"/>
      <c r="K160" s="8"/>
      <c r="L160" s="8"/>
      <c r="M160" s="8"/>
      <c r="N160" s="8"/>
      <c r="O160" s="8"/>
      <c r="P160" s="8"/>
      <c r="Q160" s="8"/>
      <c r="R160" s="8"/>
      <c r="S160" s="8"/>
      <c r="T160" s="8"/>
      <c r="U160" s="8"/>
      <c r="V160" s="8"/>
      <c r="W160" s="8"/>
      <c r="X160" s="8"/>
      <c r="Y160" s="8"/>
      <c r="Z160" s="8"/>
      <c r="AA160" s="8"/>
    </row>
    <row r="161" spans="1:27" ht="12.75">
      <c r="A161" s="8"/>
      <c r="B161" s="59"/>
      <c r="C161" s="59"/>
      <c r="D161" s="59"/>
      <c r="E161" s="59"/>
      <c r="F161" s="8"/>
      <c r="G161" s="8"/>
      <c r="H161" s="8"/>
      <c r="I161" s="8"/>
      <c r="J161" s="8"/>
      <c r="K161" s="8"/>
      <c r="L161" s="8"/>
      <c r="M161" s="8"/>
      <c r="N161" s="8"/>
      <c r="O161" s="8"/>
      <c r="P161" s="8"/>
      <c r="Q161" s="8"/>
      <c r="R161" s="8"/>
      <c r="S161" s="8"/>
      <c r="T161" s="8"/>
      <c r="U161" s="8"/>
      <c r="V161" s="8"/>
      <c r="W161" s="8"/>
      <c r="X161" s="8"/>
      <c r="Y161" s="8"/>
      <c r="Z161" s="8"/>
      <c r="AA161" s="8"/>
    </row>
    <row r="162" spans="1:27" ht="12.75">
      <c r="A162" s="8"/>
      <c r="B162" s="59"/>
      <c r="C162" s="59"/>
      <c r="D162" s="59"/>
      <c r="E162" s="59"/>
      <c r="F162" s="8"/>
      <c r="G162" s="8"/>
      <c r="H162" s="8"/>
      <c r="I162" s="8"/>
      <c r="J162" s="8"/>
      <c r="K162" s="8"/>
      <c r="L162" s="8"/>
      <c r="M162" s="8"/>
      <c r="N162" s="8"/>
      <c r="O162" s="8"/>
      <c r="P162" s="8"/>
      <c r="Q162" s="8"/>
      <c r="R162" s="8"/>
      <c r="S162" s="8"/>
      <c r="T162" s="8"/>
      <c r="U162" s="8"/>
      <c r="V162" s="8"/>
      <c r="W162" s="8"/>
      <c r="X162" s="8"/>
      <c r="Y162" s="8"/>
      <c r="Z162" s="8"/>
      <c r="AA162" s="8"/>
    </row>
    <row r="163" spans="1:27" ht="12.75">
      <c r="A163" s="8"/>
      <c r="B163" s="59"/>
      <c r="C163" s="59"/>
      <c r="D163" s="59"/>
      <c r="E163" s="59"/>
      <c r="F163" s="8"/>
      <c r="G163" s="8"/>
      <c r="H163" s="8"/>
      <c r="I163" s="8"/>
      <c r="J163" s="8"/>
      <c r="K163" s="8"/>
      <c r="L163" s="8"/>
      <c r="M163" s="8"/>
      <c r="N163" s="8"/>
      <c r="O163" s="8"/>
      <c r="P163" s="8"/>
      <c r="Q163" s="8"/>
      <c r="R163" s="8"/>
      <c r="S163" s="8"/>
      <c r="T163" s="8"/>
      <c r="U163" s="8"/>
      <c r="V163" s="8"/>
      <c r="W163" s="8"/>
      <c r="X163" s="8"/>
      <c r="Y163" s="8"/>
      <c r="Z163" s="8"/>
      <c r="AA163" s="8"/>
    </row>
    <row r="164" spans="1:27" ht="12.75">
      <c r="A164" s="8"/>
      <c r="B164" s="59"/>
      <c r="C164" s="59"/>
      <c r="D164" s="59"/>
      <c r="E164" s="59"/>
      <c r="F164" s="8"/>
      <c r="G164" s="8"/>
      <c r="H164" s="8"/>
      <c r="I164" s="8"/>
      <c r="J164" s="8"/>
      <c r="K164" s="8"/>
      <c r="L164" s="8"/>
      <c r="M164" s="8"/>
      <c r="N164" s="8"/>
      <c r="O164" s="8"/>
      <c r="P164" s="8"/>
      <c r="Q164" s="8"/>
      <c r="R164" s="8"/>
      <c r="S164" s="8"/>
      <c r="T164" s="8"/>
      <c r="U164" s="8"/>
      <c r="V164" s="8"/>
      <c r="W164" s="8"/>
      <c r="X164" s="8"/>
      <c r="Y164" s="8"/>
      <c r="Z164" s="8"/>
      <c r="AA164" s="8"/>
    </row>
    <row r="165" spans="1:27" ht="12.75">
      <c r="A165" s="8"/>
      <c r="B165" s="59"/>
      <c r="C165" s="59"/>
      <c r="D165" s="59"/>
      <c r="E165" s="59"/>
      <c r="F165" s="8"/>
      <c r="G165" s="8"/>
      <c r="H165" s="8"/>
      <c r="I165" s="8"/>
      <c r="J165" s="8"/>
      <c r="K165" s="8"/>
      <c r="L165" s="8"/>
      <c r="M165" s="8"/>
      <c r="N165" s="8"/>
      <c r="O165" s="8"/>
      <c r="P165" s="8"/>
      <c r="Q165" s="8"/>
      <c r="R165" s="8"/>
      <c r="S165" s="8"/>
      <c r="T165" s="8"/>
      <c r="U165" s="8"/>
      <c r="V165" s="8"/>
      <c r="W165" s="8"/>
      <c r="X165" s="8"/>
      <c r="Y165" s="8"/>
      <c r="Z165" s="8"/>
      <c r="AA165" s="8"/>
    </row>
    <row r="166" spans="1:27" ht="12.75">
      <c r="A166" s="8"/>
      <c r="B166" s="59"/>
      <c r="C166" s="59"/>
      <c r="D166" s="59"/>
      <c r="E166" s="59"/>
      <c r="F166" s="8"/>
      <c r="G166" s="8"/>
      <c r="H166" s="8"/>
      <c r="I166" s="8"/>
      <c r="J166" s="8"/>
      <c r="K166" s="8"/>
      <c r="L166" s="8"/>
      <c r="M166" s="8"/>
      <c r="N166" s="8"/>
      <c r="O166" s="8"/>
      <c r="P166" s="8"/>
      <c r="Q166" s="8"/>
      <c r="R166" s="8"/>
      <c r="S166" s="8"/>
      <c r="T166" s="8"/>
      <c r="U166" s="8"/>
      <c r="V166" s="8"/>
      <c r="W166" s="8"/>
      <c r="X166" s="8"/>
      <c r="Y166" s="8"/>
      <c r="Z166" s="8"/>
      <c r="AA166" s="8"/>
    </row>
    <row r="167" spans="1:27" ht="12.75">
      <c r="A167" s="8"/>
      <c r="B167" s="59"/>
      <c r="C167" s="59"/>
      <c r="D167" s="59"/>
      <c r="E167" s="59"/>
      <c r="F167" s="8"/>
      <c r="G167" s="8"/>
      <c r="H167" s="8"/>
      <c r="I167" s="8"/>
      <c r="J167" s="8"/>
      <c r="K167" s="8"/>
      <c r="L167" s="8"/>
      <c r="M167" s="8"/>
      <c r="N167" s="8"/>
      <c r="O167" s="8"/>
      <c r="P167" s="8"/>
      <c r="Q167" s="8"/>
      <c r="R167" s="8"/>
      <c r="S167" s="8"/>
      <c r="T167" s="8"/>
      <c r="U167" s="8"/>
      <c r="V167" s="8"/>
      <c r="W167" s="8"/>
      <c r="X167" s="8"/>
      <c r="Y167" s="8"/>
      <c r="Z167" s="8"/>
      <c r="AA167" s="8"/>
    </row>
    <row r="168" spans="1:27" ht="12.75">
      <c r="A168" s="8"/>
      <c r="B168" s="59"/>
      <c r="C168" s="59"/>
      <c r="D168" s="59"/>
      <c r="E168" s="59"/>
      <c r="F168" s="8"/>
      <c r="G168" s="8"/>
      <c r="H168" s="8"/>
      <c r="I168" s="8"/>
      <c r="J168" s="8"/>
      <c r="K168" s="8"/>
      <c r="L168" s="8"/>
      <c r="M168" s="8"/>
      <c r="N168" s="8"/>
      <c r="O168" s="8"/>
      <c r="P168" s="8"/>
      <c r="Q168" s="8"/>
      <c r="R168" s="8"/>
      <c r="S168" s="8"/>
      <c r="T168" s="8"/>
      <c r="U168" s="8"/>
      <c r="V168" s="8"/>
      <c r="W168" s="8"/>
      <c r="X168" s="8"/>
      <c r="Y168" s="8"/>
      <c r="Z168" s="8"/>
      <c r="AA168" s="8"/>
    </row>
    <row r="169" spans="1:27" ht="12.75">
      <c r="A169" s="8"/>
      <c r="B169" s="59"/>
      <c r="C169" s="59"/>
      <c r="D169" s="59"/>
      <c r="E169" s="59"/>
      <c r="F169" s="8"/>
      <c r="G169" s="8"/>
      <c r="H169" s="8"/>
      <c r="I169" s="8"/>
      <c r="J169" s="8"/>
      <c r="K169" s="8"/>
      <c r="L169" s="8"/>
      <c r="M169" s="8"/>
      <c r="N169" s="8"/>
      <c r="O169" s="8"/>
      <c r="P169" s="8"/>
      <c r="Q169" s="8"/>
      <c r="R169" s="8"/>
      <c r="S169" s="8"/>
      <c r="T169" s="8"/>
      <c r="U169" s="8"/>
      <c r="V169" s="8"/>
      <c r="W169" s="8"/>
      <c r="X169" s="8"/>
      <c r="Y169" s="8"/>
      <c r="Z169" s="8"/>
      <c r="AA169" s="8"/>
    </row>
    <row r="170" spans="1:27" ht="12.75">
      <c r="A170" s="8"/>
      <c r="B170" s="59"/>
      <c r="C170" s="59"/>
      <c r="D170" s="59"/>
      <c r="E170" s="59"/>
      <c r="F170" s="8"/>
      <c r="G170" s="8"/>
      <c r="H170" s="8"/>
      <c r="I170" s="8"/>
      <c r="J170" s="8"/>
      <c r="K170" s="8"/>
      <c r="L170" s="8"/>
      <c r="M170" s="8"/>
      <c r="N170" s="8"/>
      <c r="O170" s="8"/>
      <c r="P170" s="8"/>
      <c r="Q170" s="8"/>
      <c r="R170" s="8"/>
      <c r="S170" s="8"/>
      <c r="T170" s="8"/>
      <c r="U170" s="8"/>
      <c r="V170" s="8"/>
      <c r="W170" s="8"/>
      <c r="X170" s="8"/>
      <c r="Y170" s="8"/>
      <c r="Z170" s="8"/>
      <c r="AA170" s="8"/>
    </row>
    <row r="171" spans="1:27" ht="12.75">
      <c r="A171" s="8"/>
      <c r="B171" s="59"/>
      <c r="C171" s="59"/>
      <c r="D171" s="59"/>
      <c r="E171" s="59"/>
      <c r="F171" s="8"/>
      <c r="G171" s="8"/>
      <c r="H171" s="8"/>
      <c r="I171" s="8"/>
      <c r="J171" s="8"/>
      <c r="K171" s="8"/>
      <c r="L171" s="8"/>
      <c r="M171" s="8"/>
      <c r="N171" s="8"/>
      <c r="O171" s="8"/>
      <c r="P171" s="8"/>
      <c r="Q171" s="8"/>
      <c r="R171" s="8"/>
      <c r="S171" s="8"/>
      <c r="T171" s="8"/>
      <c r="U171" s="8"/>
      <c r="V171" s="8"/>
      <c r="W171" s="8"/>
      <c r="X171" s="8"/>
      <c r="Y171" s="8"/>
      <c r="Z171" s="8"/>
      <c r="AA171" s="8"/>
    </row>
    <row r="172" spans="1:27" ht="12.75">
      <c r="A172" s="8"/>
      <c r="B172" s="59"/>
      <c r="C172" s="59"/>
      <c r="D172" s="59"/>
      <c r="E172" s="59"/>
      <c r="F172" s="8"/>
      <c r="G172" s="8"/>
      <c r="H172" s="8"/>
      <c r="I172" s="8"/>
      <c r="J172" s="8"/>
      <c r="K172" s="8"/>
      <c r="L172" s="8"/>
      <c r="M172" s="8"/>
      <c r="N172" s="8"/>
      <c r="O172" s="8"/>
      <c r="P172" s="8"/>
      <c r="Q172" s="8"/>
      <c r="R172" s="8"/>
      <c r="S172" s="8"/>
      <c r="T172" s="8"/>
      <c r="U172" s="8"/>
      <c r="V172" s="8"/>
      <c r="W172" s="8"/>
      <c r="X172" s="8"/>
      <c r="Y172" s="8"/>
      <c r="Z172" s="8"/>
      <c r="AA172" s="8"/>
    </row>
    <row r="173" spans="1:27" ht="12.75">
      <c r="A173" s="8"/>
      <c r="B173" s="59"/>
      <c r="C173" s="59"/>
      <c r="D173" s="59"/>
      <c r="E173" s="59"/>
      <c r="F173" s="8"/>
      <c r="G173" s="8"/>
      <c r="H173" s="8"/>
      <c r="I173" s="8"/>
      <c r="J173" s="8"/>
      <c r="K173" s="8"/>
      <c r="L173" s="8"/>
      <c r="M173" s="8"/>
      <c r="N173" s="8"/>
      <c r="O173" s="8"/>
      <c r="P173" s="8"/>
      <c r="Q173" s="8"/>
      <c r="R173" s="8"/>
      <c r="S173" s="8"/>
      <c r="T173" s="8"/>
      <c r="U173" s="8"/>
      <c r="V173" s="8"/>
      <c r="W173" s="8"/>
      <c r="X173" s="8"/>
      <c r="Y173" s="8"/>
      <c r="Z173" s="8"/>
      <c r="AA173" s="8"/>
    </row>
    <row r="174" spans="1:27" ht="12.75">
      <c r="A174" s="8"/>
      <c r="B174" s="59"/>
      <c r="C174" s="59"/>
      <c r="D174" s="59"/>
      <c r="E174" s="59"/>
      <c r="F174" s="8"/>
      <c r="G174" s="8"/>
      <c r="H174" s="8"/>
      <c r="I174" s="8"/>
      <c r="J174" s="8"/>
      <c r="K174" s="8"/>
      <c r="L174" s="8"/>
      <c r="M174" s="8"/>
      <c r="N174" s="8"/>
      <c r="O174" s="8"/>
      <c r="P174" s="8"/>
      <c r="Q174" s="8"/>
      <c r="R174" s="8"/>
      <c r="S174" s="8"/>
      <c r="T174" s="8"/>
      <c r="U174" s="8"/>
      <c r="V174" s="8"/>
      <c r="W174" s="8"/>
      <c r="X174" s="8"/>
      <c r="Y174" s="8"/>
      <c r="Z174" s="8"/>
      <c r="AA174" s="8"/>
    </row>
    <row r="175" spans="1:27" ht="12.75">
      <c r="A175" s="8"/>
      <c r="B175" s="59"/>
      <c r="C175" s="59"/>
      <c r="D175" s="59"/>
      <c r="E175" s="59"/>
      <c r="F175" s="8"/>
      <c r="G175" s="8"/>
      <c r="H175" s="8"/>
      <c r="I175" s="8"/>
      <c r="J175" s="8"/>
      <c r="K175" s="8"/>
      <c r="L175" s="8"/>
      <c r="M175" s="8"/>
      <c r="N175" s="8"/>
      <c r="O175" s="8"/>
      <c r="P175" s="8"/>
      <c r="Q175" s="8"/>
      <c r="R175" s="8"/>
      <c r="S175" s="8"/>
      <c r="T175" s="8"/>
      <c r="U175" s="8"/>
      <c r="V175" s="8"/>
      <c r="W175" s="8"/>
      <c r="X175" s="8"/>
      <c r="Y175" s="8"/>
      <c r="Z175" s="8"/>
      <c r="AA175" s="8"/>
    </row>
    <row r="176" spans="1:27" ht="12.75">
      <c r="A176" s="8"/>
      <c r="B176" s="59"/>
      <c r="C176" s="59"/>
      <c r="D176" s="59"/>
      <c r="E176" s="59"/>
      <c r="F176" s="8"/>
      <c r="G176" s="8"/>
      <c r="H176" s="8"/>
      <c r="I176" s="8"/>
      <c r="J176" s="8"/>
      <c r="K176" s="8"/>
      <c r="L176" s="8"/>
      <c r="M176" s="8"/>
      <c r="N176" s="8"/>
      <c r="O176" s="8"/>
      <c r="P176" s="8"/>
      <c r="Q176" s="8"/>
      <c r="R176" s="8"/>
      <c r="S176" s="8"/>
      <c r="T176" s="8"/>
      <c r="U176" s="8"/>
      <c r="V176" s="8"/>
      <c r="W176" s="8"/>
      <c r="X176" s="8"/>
      <c r="Y176" s="8"/>
      <c r="Z176" s="8"/>
      <c r="AA176" s="8"/>
    </row>
    <row r="177" spans="1:27" ht="12.75">
      <c r="A177" s="8"/>
      <c r="B177" s="59"/>
      <c r="C177" s="59"/>
      <c r="D177" s="59"/>
      <c r="E177" s="59"/>
      <c r="F177" s="8"/>
      <c r="G177" s="8"/>
      <c r="H177" s="8"/>
      <c r="I177" s="8"/>
      <c r="J177" s="8"/>
      <c r="K177" s="8"/>
      <c r="L177" s="8"/>
      <c r="M177" s="8"/>
      <c r="N177" s="8"/>
      <c r="O177" s="8"/>
      <c r="P177" s="8"/>
      <c r="Q177" s="8"/>
      <c r="R177" s="8"/>
      <c r="S177" s="8"/>
      <c r="T177" s="8"/>
      <c r="U177" s="8"/>
      <c r="V177" s="8"/>
      <c r="W177" s="8"/>
      <c r="X177" s="8"/>
      <c r="Y177" s="8"/>
      <c r="Z177" s="8"/>
      <c r="AA177" s="8"/>
    </row>
    <row r="178" spans="1:27" ht="12.75">
      <c r="A178" s="8"/>
      <c r="B178" s="59"/>
      <c r="C178" s="59"/>
      <c r="D178" s="59"/>
      <c r="E178" s="59"/>
      <c r="F178" s="8"/>
      <c r="G178" s="8"/>
      <c r="H178" s="8"/>
      <c r="I178" s="8"/>
      <c r="J178" s="8"/>
      <c r="K178" s="8"/>
      <c r="L178" s="8"/>
      <c r="M178" s="8"/>
      <c r="N178" s="8"/>
      <c r="O178" s="8"/>
      <c r="P178" s="8"/>
      <c r="Q178" s="8"/>
      <c r="R178" s="8"/>
      <c r="S178" s="8"/>
      <c r="T178" s="8"/>
      <c r="U178" s="8"/>
      <c r="V178" s="8"/>
      <c r="W178" s="8"/>
      <c r="X178" s="8"/>
      <c r="Y178" s="8"/>
      <c r="Z178" s="8"/>
      <c r="AA178" s="8"/>
    </row>
    <row r="179" spans="1:27" ht="12.75">
      <c r="A179" s="8"/>
      <c r="B179" s="59"/>
      <c r="C179" s="59"/>
      <c r="D179" s="59"/>
      <c r="E179" s="59"/>
      <c r="F179" s="8"/>
      <c r="G179" s="8"/>
      <c r="H179" s="8"/>
      <c r="I179" s="8"/>
      <c r="J179" s="8"/>
      <c r="K179" s="8"/>
      <c r="L179" s="8"/>
      <c r="M179" s="8"/>
      <c r="N179" s="8"/>
      <c r="O179" s="8"/>
      <c r="P179" s="8"/>
      <c r="Q179" s="8"/>
      <c r="R179" s="8"/>
      <c r="S179" s="8"/>
      <c r="T179" s="8"/>
      <c r="U179" s="8"/>
      <c r="V179" s="8"/>
      <c r="W179" s="8"/>
      <c r="X179" s="8"/>
      <c r="Y179" s="8"/>
      <c r="Z179" s="8"/>
      <c r="AA179" s="8"/>
    </row>
    <row r="180" spans="1:27" ht="12.75">
      <c r="A180" s="8"/>
      <c r="B180" s="59"/>
      <c r="C180" s="59"/>
      <c r="D180" s="59"/>
      <c r="E180" s="59"/>
      <c r="F180" s="8"/>
      <c r="G180" s="8"/>
      <c r="H180" s="8"/>
      <c r="I180" s="8"/>
      <c r="J180" s="8"/>
      <c r="K180" s="8"/>
      <c r="L180" s="8"/>
      <c r="M180" s="8"/>
      <c r="N180" s="8"/>
      <c r="O180" s="8"/>
      <c r="P180" s="8"/>
      <c r="Q180" s="8"/>
      <c r="R180" s="8"/>
      <c r="S180" s="8"/>
      <c r="T180" s="8"/>
      <c r="U180" s="8"/>
      <c r="V180" s="8"/>
      <c r="W180" s="8"/>
      <c r="X180" s="8"/>
      <c r="Y180" s="8"/>
      <c r="Z180" s="8"/>
      <c r="AA180" s="8"/>
    </row>
    <row r="181" spans="1:27" ht="12.75">
      <c r="A181" s="8"/>
      <c r="B181" s="59"/>
      <c r="C181" s="59"/>
      <c r="D181" s="59"/>
      <c r="E181" s="59"/>
      <c r="F181" s="8"/>
      <c r="G181" s="8"/>
      <c r="H181" s="8"/>
      <c r="I181" s="8"/>
      <c r="J181" s="8"/>
      <c r="K181" s="8"/>
      <c r="L181" s="8"/>
      <c r="M181" s="8"/>
      <c r="N181" s="8"/>
      <c r="O181" s="8"/>
      <c r="P181" s="8"/>
      <c r="Q181" s="8"/>
      <c r="R181" s="8"/>
      <c r="S181" s="8"/>
      <c r="T181" s="8"/>
      <c r="U181" s="8"/>
      <c r="V181" s="8"/>
      <c r="W181" s="8"/>
      <c r="X181" s="8"/>
      <c r="Y181" s="8"/>
      <c r="Z181" s="8"/>
      <c r="AA181" s="8"/>
    </row>
    <row r="182" spans="1:27" ht="12.75">
      <c r="A182" s="8"/>
      <c r="B182" s="59"/>
      <c r="C182" s="59"/>
      <c r="D182" s="59"/>
      <c r="E182" s="59"/>
      <c r="F182" s="8"/>
      <c r="G182" s="8"/>
      <c r="H182" s="8"/>
      <c r="I182" s="8"/>
      <c r="J182" s="8"/>
      <c r="K182" s="8"/>
      <c r="L182" s="8"/>
      <c r="M182" s="8"/>
      <c r="N182" s="8"/>
      <c r="O182" s="8"/>
      <c r="P182" s="8"/>
      <c r="Q182" s="8"/>
      <c r="R182" s="8"/>
      <c r="S182" s="8"/>
      <c r="T182" s="8"/>
      <c r="U182" s="8"/>
      <c r="V182" s="8"/>
      <c r="W182" s="8"/>
      <c r="X182" s="8"/>
      <c r="Y182" s="8"/>
      <c r="Z182" s="8"/>
      <c r="AA182" s="8"/>
    </row>
    <row r="183" spans="1:27" ht="12.75">
      <c r="A183" s="8"/>
      <c r="B183" s="59"/>
      <c r="C183" s="59"/>
      <c r="D183" s="59"/>
      <c r="E183" s="59"/>
      <c r="F183" s="8"/>
      <c r="G183" s="8"/>
      <c r="H183" s="8"/>
      <c r="I183" s="8"/>
      <c r="J183" s="8"/>
      <c r="K183" s="8"/>
      <c r="L183" s="8"/>
      <c r="M183" s="8"/>
      <c r="N183" s="8"/>
      <c r="O183" s="8"/>
      <c r="P183" s="8"/>
      <c r="Q183" s="8"/>
      <c r="R183" s="8"/>
      <c r="S183" s="8"/>
      <c r="T183" s="8"/>
      <c r="U183" s="8"/>
      <c r="V183" s="8"/>
      <c r="W183" s="8"/>
      <c r="X183" s="8"/>
      <c r="Y183" s="8"/>
      <c r="Z183" s="8"/>
      <c r="AA183" s="8"/>
    </row>
    <row r="184" spans="1:27" ht="12.75">
      <c r="A184" s="8"/>
      <c r="B184" s="59"/>
      <c r="C184" s="59"/>
      <c r="D184" s="59"/>
      <c r="E184" s="59"/>
      <c r="F184" s="8"/>
      <c r="G184" s="8"/>
      <c r="H184" s="8"/>
      <c r="I184" s="8"/>
      <c r="J184" s="8"/>
      <c r="K184" s="8"/>
      <c r="L184" s="8"/>
      <c r="M184" s="8"/>
      <c r="N184" s="8"/>
      <c r="O184" s="8"/>
      <c r="P184" s="8"/>
      <c r="Q184" s="8"/>
      <c r="R184" s="8"/>
      <c r="S184" s="8"/>
      <c r="T184" s="8"/>
      <c r="U184" s="8"/>
      <c r="V184" s="8"/>
      <c r="W184" s="8"/>
      <c r="X184" s="8"/>
      <c r="Y184" s="8"/>
      <c r="Z184" s="8"/>
      <c r="AA184" s="8"/>
    </row>
    <row r="185" spans="1:27" ht="12.75">
      <c r="A185" s="8"/>
      <c r="B185" s="59"/>
      <c r="C185" s="59"/>
      <c r="D185" s="59"/>
      <c r="E185" s="59"/>
      <c r="F185" s="8"/>
      <c r="G185" s="8"/>
      <c r="H185" s="8"/>
      <c r="I185" s="8"/>
      <c r="J185" s="8"/>
      <c r="K185" s="8"/>
      <c r="L185" s="8"/>
      <c r="M185" s="8"/>
      <c r="N185" s="8"/>
      <c r="O185" s="8"/>
      <c r="P185" s="8"/>
      <c r="Q185" s="8"/>
      <c r="R185" s="8"/>
      <c r="S185" s="8"/>
      <c r="T185" s="8"/>
      <c r="U185" s="8"/>
      <c r="V185" s="8"/>
      <c r="W185" s="8"/>
      <c r="X185" s="8"/>
      <c r="Y185" s="8"/>
      <c r="Z185" s="8"/>
      <c r="AA185" s="8"/>
    </row>
    <row r="186" spans="1:27" ht="12.75">
      <c r="A186" s="8"/>
      <c r="B186" s="59"/>
      <c r="C186" s="59"/>
      <c r="D186" s="59"/>
      <c r="E186" s="59"/>
      <c r="F186" s="8"/>
      <c r="G186" s="8"/>
      <c r="H186" s="8"/>
      <c r="I186" s="8"/>
      <c r="J186" s="8"/>
      <c r="K186" s="8"/>
      <c r="L186" s="8"/>
      <c r="M186" s="8"/>
      <c r="N186" s="8"/>
      <c r="O186" s="8"/>
      <c r="P186" s="8"/>
      <c r="Q186" s="8"/>
      <c r="R186" s="8"/>
      <c r="S186" s="8"/>
      <c r="T186" s="8"/>
      <c r="U186" s="8"/>
      <c r="V186" s="8"/>
      <c r="W186" s="8"/>
      <c r="X186" s="8"/>
      <c r="Y186" s="8"/>
      <c r="Z186" s="8"/>
      <c r="AA186" s="8"/>
    </row>
    <row r="187" spans="1:27" ht="12.75">
      <c r="A187" s="8"/>
      <c r="B187" s="59"/>
      <c r="C187" s="59"/>
      <c r="D187" s="59"/>
      <c r="E187" s="59"/>
      <c r="F187" s="8"/>
      <c r="G187" s="8"/>
      <c r="H187" s="8"/>
      <c r="I187" s="8"/>
      <c r="J187" s="8"/>
      <c r="K187" s="8"/>
      <c r="L187" s="8"/>
      <c r="M187" s="8"/>
      <c r="N187" s="8"/>
      <c r="O187" s="8"/>
      <c r="P187" s="8"/>
      <c r="Q187" s="8"/>
      <c r="R187" s="8"/>
      <c r="S187" s="8"/>
      <c r="T187" s="8"/>
      <c r="U187" s="8"/>
      <c r="V187" s="8"/>
      <c r="W187" s="8"/>
      <c r="X187" s="8"/>
      <c r="Y187" s="8"/>
      <c r="Z187" s="8"/>
      <c r="AA187" s="8"/>
    </row>
    <row r="188" spans="1:27" ht="12.75">
      <c r="A188" s="8"/>
      <c r="B188" s="59"/>
      <c r="C188" s="59"/>
      <c r="D188" s="59"/>
      <c r="E188" s="59"/>
      <c r="F188" s="8"/>
      <c r="G188" s="8"/>
      <c r="H188" s="8"/>
      <c r="I188" s="8"/>
      <c r="J188" s="8"/>
      <c r="K188" s="8"/>
      <c r="L188" s="8"/>
      <c r="M188" s="8"/>
      <c r="N188" s="8"/>
      <c r="O188" s="8"/>
      <c r="P188" s="8"/>
      <c r="Q188" s="8"/>
      <c r="R188" s="8"/>
      <c r="S188" s="8"/>
      <c r="T188" s="8"/>
      <c r="U188" s="8"/>
      <c r="V188" s="8"/>
      <c r="W188" s="8"/>
      <c r="X188" s="8"/>
      <c r="Y188" s="8"/>
      <c r="Z188" s="8"/>
      <c r="AA188" s="8"/>
    </row>
    <row r="189" spans="1:27" ht="12.75">
      <c r="A189" s="8"/>
      <c r="B189" s="59"/>
      <c r="C189" s="59"/>
      <c r="D189" s="59"/>
      <c r="E189" s="59"/>
      <c r="F189" s="8"/>
      <c r="G189" s="8"/>
      <c r="H189" s="8"/>
      <c r="I189" s="8"/>
      <c r="J189" s="8"/>
      <c r="K189" s="8"/>
      <c r="L189" s="8"/>
      <c r="M189" s="8"/>
      <c r="N189" s="8"/>
      <c r="O189" s="8"/>
      <c r="P189" s="8"/>
      <c r="Q189" s="8"/>
      <c r="R189" s="8"/>
      <c r="S189" s="8"/>
      <c r="T189" s="8"/>
      <c r="U189" s="8"/>
      <c r="V189" s="8"/>
      <c r="W189" s="8"/>
      <c r="X189" s="8"/>
      <c r="Y189" s="8"/>
      <c r="Z189" s="8"/>
      <c r="AA189" s="8"/>
    </row>
    <row r="190" spans="1:27" ht="12.75">
      <c r="A190" s="8"/>
      <c r="B190" s="59"/>
      <c r="C190" s="59"/>
      <c r="D190" s="59"/>
      <c r="E190" s="59"/>
      <c r="F190" s="8"/>
      <c r="G190" s="8"/>
      <c r="H190" s="8"/>
      <c r="I190" s="8"/>
      <c r="J190" s="8"/>
      <c r="K190" s="8"/>
      <c r="L190" s="8"/>
      <c r="M190" s="8"/>
      <c r="N190" s="8"/>
      <c r="O190" s="8"/>
      <c r="P190" s="8"/>
      <c r="Q190" s="8"/>
      <c r="R190" s="8"/>
      <c r="S190" s="8"/>
      <c r="T190" s="8"/>
      <c r="U190" s="8"/>
      <c r="V190" s="8"/>
      <c r="W190" s="8"/>
      <c r="X190" s="8"/>
      <c r="Y190" s="8"/>
      <c r="Z190" s="8"/>
      <c r="AA190" s="8"/>
    </row>
    <row r="191" spans="1:27" ht="12.75">
      <c r="A191" s="8"/>
      <c r="B191" s="59"/>
      <c r="C191" s="59"/>
      <c r="D191" s="59"/>
      <c r="E191" s="59"/>
      <c r="F191" s="8"/>
      <c r="G191" s="8"/>
      <c r="H191" s="8"/>
      <c r="I191" s="8"/>
      <c r="J191" s="8"/>
      <c r="K191" s="8"/>
      <c r="L191" s="8"/>
      <c r="M191" s="8"/>
      <c r="N191" s="8"/>
      <c r="O191" s="8"/>
      <c r="P191" s="8"/>
      <c r="Q191" s="8"/>
      <c r="R191" s="8"/>
      <c r="S191" s="8"/>
      <c r="T191" s="8"/>
      <c r="U191" s="8"/>
      <c r="V191" s="8"/>
      <c r="W191" s="8"/>
      <c r="X191" s="8"/>
      <c r="Y191" s="8"/>
      <c r="Z191" s="8"/>
      <c r="AA191" s="8"/>
    </row>
    <row r="192" spans="1:27" ht="12.75">
      <c r="A192" s="8"/>
      <c r="B192" s="59"/>
      <c r="C192" s="59"/>
      <c r="D192" s="59"/>
      <c r="E192" s="59"/>
      <c r="F192" s="8"/>
      <c r="G192" s="8"/>
      <c r="H192" s="8"/>
      <c r="I192" s="8"/>
      <c r="J192" s="8"/>
      <c r="K192" s="8"/>
      <c r="L192" s="8"/>
      <c r="M192" s="8"/>
      <c r="N192" s="8"/>
      <c r="O192" s="8"/>
      <c r="P192" s="8"/>
      <c r="Q192" s="8"/>
      <c r="R192" s="8"/>
      <c r="S192" s="8"/>
      <c r="T192" s="8"/>
      <c r="U192" s="8"/>
      <c r="V192" s="8"/>
      <c r="W192" s="8"/>
      <c r="X192" s="8"/>
      <c r="Y192" s="8"/>
      <c r="Z192" s="8"/>
      <c r="AA192" s="8"/>
    </row>
    <row r="193" spans="1:27" ht="12.75">
      <c r="A193" s="8"/>
      <c r="B193" s="59"/>
      <c r="C193" s="59"/>
      <c r="D193" s="59"/>
      <c r="E193" s="59"/>
      <c r="F193" s="8"/>
      <c r="G193" s="8"/>
      <c r="H193" s="8"/>
      <c r="I193" s="8"/>
      <c r="J193" s="8"/>
      <c r="K193" s="8"/>
      <c r="L193" s="8"/>
      <c r="M193" s="8"/>
      <c r="N193" s="8"/>
      <c r="O193" s="8"/>
      <c r="P193" s="8"/>
      <c r="Q193" s="8"/>
      <c r="R193" s="8"/>
      <c r="S193" s="8"/>
      <c r="T193" s="8"/>
      <c r="U193" s="8"/>
      <c r="V193" s="8"/>
      <c r="W193" s="8"/>
      <c r="X193" s="8"/>
      <c r="Y193" s="8"/>
      <c r="Z193" s="8"/>
      <c r="AA193" s="8"/>
    </row>
    <row r="194" spans="1:27" ht="12.75">
      <c r="A194" s="8"/>
      <c r="B194" s="59"/>
      <c r="C194" s="59"/>
      <c r="D194" s="59"/>
      <c r="E194" s="59"/>
      <c r="F194" s="8"/>
      <c r="G194" s="8"/>
      <c r="H194" s="8"/>
      <c r="I194" s="8"/>
      <c r="J194" s="8"/>
      <c r="K194" s="8"/>
      <c r="L194" s="8"/>
      <c r="M194" s="8"/>
      <c r="N194" s="8"/>
      <c r="O194" s="8"/>
      <c r="P194" s="8"/>
      <c r="Q194" s="8"/>
      <c r="R194" s="8"/>
      <c r="S194" s="8"/>
      <c r="T194" s="8"/>
      <c r="U194" s="8"/>
      <c r="V194" s="8"/>
      <c r="W194" s="8"/>
      <c r="X194" s="8"/>
      <c r="Y194" s="8"/>
      <c r="Z194" s="8"/>
      <c r="AA194" s="8"/>
    </row>
    <row r="195" spans="1:27" ht="12.75">
      <c r="A195" s="8"/>
      <c r="B195" s="59"/>
      <c r="C195" s="59"/>
      <c r="D195" s="59"/>
      <c r="E195" s="59"/>
      <c r="F195" s="8"/>
      <c r="G195" s="8"/>
      <c r="H195" s="8"/>
      <c r="I195" s="8"/>
      <c r="J195" s="8"/>
      <c r="K195" s="8"/>
      <c r="L195" s="8"/>
      <c r="M195" s="8"/>
      <c r="N195" s="8"/>
      <c r="O195" s="8"/>
      <c r="P195" s="8"/>
      <c r="Q195" s="8"/>
      <c r="R195" s="8"/>
      <c r="S195" s="8"/>
      <c r="T195" s="8"/>
      <c r="U195" s="8"/>
      <c r="V195" s="8"/>
      <c r="W195" s="8"/>
      <c r="X195" s="8"/>
      <c r="Y195" s="8"/>
      <c r="Z195" s="8"/>
      <c r="AA195" s="8"/>
    </row>
    <row r="196" spans="1:27" ht="12.75">
      <c r="A196" s="8"/>
      <c r="B196" s="59"/>
      <c r="C196" s="59"/>
      <c r="D196" s="59"/>
      <c r="E196" s="59"/>
      <c r="F196" s="8"/>
      <c r="G196" s="8"/>
      <c r="H196" s="8"/>
      <c r="I196" s="8"/>
      <c r="J196" s="8"/>
      <c r="K196" s="8"/>
      <c r="L196" s="8"/>
      <c r="M196" s="8"/>
      <c r="N196" s="8"/>
      <c r="O196" s="8"/>
      <c r="P196" s="8"/>
      <c r="Q196" s="8"/>
      <c r="R196" s="8"/>
      <c r="S196" s="8"/>
      <c r="T196" s="8"/>
      <c r="U196" s="8"/>
      <c r="V196" s="8"/>
      <c r="W196" s="8"/>
      <c r="X196" s="8"/>
      <c r="Y196" s="8"/>
      <c r="Z196" s="8"/>
      <c r="AA196" s="8"/>
    </row>
    <row r="197" spans="1:27" ht="12.75">
      <c r="A197" s="8"/>
      <c r="B197" s="59"/>
      <c r="C197" s="59"/>
      <c r="D197" s="59"/>
      <c r="E197" s="59"/>
      <c r="F197" s="8"/>
      <c r="G197" s="8"/>
      <c r="H197" s="8"/>
      <c r="I197" s="8"/>
      <c r="J197" s="8"/>
      <c r="K197" s="8"/>
      <c r="L197" s="8"/>
      <c r="M197" s="8"/>
      <c r="N197" s="8"/>
      <c r="O197" s="8"/>
      <c r="P197" s="8"/>
      <c r="Q197" s="8"/>
      <c r="R197" s="8"/>
      <c r="S197" s="8"/>
      <c r="T197" s="8"/>
      <c r="U197" s="8"/>
      <c r="V197" s="8"/>
      <c r="W197" s="8"/>
      <c r="X197" s="8"/>
      <c r="Y197" s="8"/>
      <c r="Z197" s="8"/>
      <c r="AA197" s="8"/>
    </row>
    <row r="198" spans="1:27" ht="12.75">
      <c r="A198" s="8"/>
      <c r="B198" s="59"/>
      <c r="C198" s="59"/>
      <c r="D198" s="59"/>
      <c r="E198" s="59"/>
      <c r="F198" s="8"/>
      <c r="G198" s="8"/>
      <c r="H198" s="8"/>
      <c r="I198" s="8"/>
      <c r="J198" s="8"/>
      <c r="K198" s="8"/>
      <c r="L198" s="8"/>
      <c r="M198" s="8"/>
      <c r="N198" s="8"/>
      <c r="O198" s="8"/>
      <c r="P198" s="8"/>
      <c r="Q198" s="8"/>
      <c r="R198" s="8"/>
      <c r="S198" s="8"/>
      <c r="T198" s="8"/>
      <c r="U198" s="8"/>
      <c r="V198" s="8"/>
      <c r="W198" s="8"/>
      <c r="X198" s="8"/>
      <c r="Y198" s="8"/>
      <c r="Z198" s="8"/>
      <c r="AA198" s="8"/>
    </row>
    <row r="199" spans="1:27" ht="12.75">
      <c r="A199" s="8"/>
      <c r="B199" s="59"/>
      <c r="C199" s="59"/>
      <c r="D199" s="59"/>
      <c r="E199" s="59"/>
      <c r="F199" s="8"/>
      <c r="G199" s="8"/>
      <c r="H199" s="8"/>
      <c r="I199" s="8"/>
      <c r="J199" s="8"/>
      <c r="K199" s="8"/>
      <c r="L199" s="8"/>
      <c r="M199" s="8"/>
      <c r="N199" s="8"/>
      <c r="O199" s="8"/>
      <c r="P199" s="8"/>
      <c r="Q199" s="8"/>
      <c r="R199" s="8"/>
      <c r="S199" s="8"/>
      <c r="T199" s="8"/>
      <c r="U199" s="8"/>
      <c r="V199" s="8"/>
      <c r="W199" s="8"/>
      <c r="X199" s="8"/>
      <c r="Y199" s="8"/>
      <c r="Z199" s="8"/>
      <c r="AA199" s="8"/>
    </row>
    <row r="200" spans="1:27" ht="12.75">
      <c r="A200" s="8"/>
      <c r="B200" s="59"/>
      <c r="C200" s="59"/>
      <c r="D200" s="59"/>
      <c r="E200" s="59"/>
      <c r="F200" s="8"/>
      <c r="G200" s="8"/>
      <c r="H200" s="8"/>
      <c r="I200" s="8"/>
      <c r="J200" s="8"/>
      <c r="K200" s="8"/>
      <c r="L200" s="8"/>
      <c r="M200" s="8"/>
      <c r="N200" s="8"/>
      <c r="O200" s="8"/>
      <c r="P200" s="8"/>
      <c r="Q200" s="8"/>
      <c r="R200" s="8"/>
      <c r="S200" s="8"/>
      <c r="T200" s="8"/>
      <c r="U200" s="8"/>
      <c r="V200" s="8"/>
      <c r="W200" s="8"/>
      <c r="X200" s="8"/>
      <c r="Y200" s="8"/>
      <c r="Z200" s="8"/>
      <c r="AA200" s="8"/>
    </row>
    <row r="201" spans="1:27" ht="12.75">
      <c r="A201" s="8"/>
      <c r="B201" s="59"/>
      <c r="C201" s="59"/>
      <c r="D201" s="59"/>
      <c r="E201" s="59"/>
      <c r="F201" s="8"/>
      <c r="G201" s="8"/>
      <c r="H201" s="8"/>
      <c r="I201" s="8"/>
      <c r="J201" s="8"/>
      <c r="K201" s="8"/>
      <c r="L201" s="8"/>
      <c r="M201" s="8"/>
      <c r="N201" s="8"/>
      <c r="O201" s="8"/>
      <c r="P201" s="8"/>
      <c r="Q201" s="8"/>
      <c r="R201" s="8"/>
      <c r="S201" s="8"/>
      <c r="T201" s="8"/>
      <c r="U201" s="8"/>
      <c r="V201" s="8"/>
      <c r="W201" s="8"/>
      <c r="X201" s="8"/>
      <c r="Y201" s="8"/>
      <c r="Z201" s="8"/>
      <c r="AA201" s="8"/>
    </row>
    <row r="202" spans="1:27" ht="12.75">
      <c r="A202" s="8"/>
      <c r="B202" s="59"/>
      <c r="C202" s="59"/>
      <c r="D202" s="59"/>
      <c r="E202" s="59"/>
      <c r="F202" s="8"/>
      <c r="G202" s="8"/>
      <c r="H202" s="8"/>
      <c r="I202" s="8"/>
      <c r="J202" s="8"/>
      <c r="K202" s="8"/>
      <c r="L202" s="8"/>
      <c r="M202" s="8"/>
      <c r="N202" s="8"/>
      <c r="O202" s="8"/>
      <c r="P202" s="8"/>
      <c r="Q202" s="8"/>
      <c r="R202" s="8"/>
      <c r="S202" s="8"/>
      <c r="T202" s="8"/>
      <c r="U202" s="8"/>
      <c r="V202" s="8"/>
      <c r="W202" s="8"/>
      <c r="X202" s="8"/>
      <c r="Y202" s="8"/>
      <c r="Z202" s="8"/>
      <c r="AA202" s="8"/>
    </row>
    <row r="203" spans="1:27" ht="12.75">
      <c r="A203" s="8"/>
      <c r="B203" s="59"/>
      <c r="C203" s="59"/>
      <c r="D203" s="59"/>
      <c r="E203" s="59"/>
      <c r="F203" s="8"/>
      <c r="G203" s="8"/>
      <c r="H203" s="8"/>
      <c r="I203" s="8"/>
      <c r="J203" s="8"/>
      <c r="K203" s="8"/>
      <c r="L203" s="8"/>
      <c r="M203" s="8"/>
      <c r="N203" s="8"/>
      <c r="O203" s="8"/>
      <c r="P203" s="8"/>
      <c r="Q203" s="8"/>
      <c r="R203" s="8"/>
      <c r="S203" s="8"/>
      <c r="T203" s="8"/>
      <c r="U203" s="8"/>
      <c r="V203" s="8"/>
      <c r="W203" s="8"/>
      <c r="X203" s="8"/>
      <c r="Y203" s="8"/>
      <c r="Z203" s="8"/>
      <c r="AA203" s="8"/>
    </row>
    <row r="204" spans="1:27" ht="12.75">
      <c r="A204" s="8"/>
      <c r="B204" s="59"/>
      <c r="C204" s="59"/>
      <c r="D204" s="59"/>
      <c r="E204" s="59"/>
      <c r="F204" s="8"/>
      <c r="G204" s="8"/>
      <c r="H204" s="8"/>
      <c r="I204" s="8"/>
      <c r="J204" s="8"/>
      <c r="K204" s="8"/>
      <c r="L204" s="8"/>
      <c r="M204" s="8"/>
      <c r="N204" s="8"/>
      <c r="O204" s="8"/>
      <c r="P204" s="8"/>
      <c r="Q204" s="8"/>
      <c r="R204" s="8"/>
      <c r="S204" s="8"/>
      <c r="T204" s="8"/>
      <c r="U204" s="8"/>
      <c r="V204" s="8"/>
      <c r="W204" s="8"/>
      <c r="X204" s="8"/>
      <c r="Y204" s="8"/>
      <c r="Z204" s="8"/>
      <c r="AA204" s="8"/>
    </row>
    <row r="205" spans="1:27" ht="12.75">
      <c r="A205" s="8"/>
      <c r="B205" s="59"/>
      <c r="C205" s="59"/>
      <c r="D205" s="59"/>
      <c r="E205" s="59"/>
      <c r="F205" s="8"/>
      <c r="G205" s="8"/>
      <c r="H205" s="8"/>
      <c r="I205" s="8"/>
      <c r="J205" s="8"/>
      <c r="K205" s="8"/>
      <c r="L205" s="8"/>
      <c r="M205" s="8"/>
      <c r="N205" s="8"/>
      <c r="O205" s="8"/>
      <c r="P205" s="8"/>
      <c r="Q205" s="8"/>
      <c r="R205" s="8"/>
      <c r="S205" s="8"/>
      <c r="T205" s="8"/>
      <c r="U205" s="8"/>
      <c r="V205" s="8"/>
      <c r="W205" s="8"/>
      <c r="X205" s="8"/>
      <c r="Y205" s="8"/>
      <c r="Z205" s="8"/>
      <c r="AA205" s="8"/>
    </row>
    <row r="206" spans="1:27" ht="12.75">
      <c r="A206" s="8"/>
      <c r="B206" s="59"/>
      <c r="C206" s="59"/>
      <c r="D206" s="59"/>
      <c r="E206" s="59"/>
      <c r="F206" s="8"/>
      <c r="G206" s="8"/>
      <c r="H206" s="8"/>
      <c r="I206" s="8"/>
      <c r="J206" s="8"/>
      <c r="K206" s="8"/>
      <c r="L206" s="8"/>
      <c r="M206" s="8"/>
      <c r="N206" s="8"/>
      <c r="O206" s="8"/>
      <c r="P206" s="8"/>
      <c r="Q206" s="8"/>
      <c r="R206" s="8"/>
      <c r="S206" s="8"/>
      <c r="T206" s="8"/>
      <c r="U206" s="8"/>
      <c r="V206" s="8"/>
      <c r="W206" s="8"/>
      <c r="X206" s="8"/>
      <c r="Y206" s="8"/>
      <c r="Z206" s="8"/>
      <c r="AA206" s="8"/>
    </row>
    <row r="207" spans="1:27" ht="12.75">
      <c r="A207" s="8"/>
      <c r="B207" s="59"/>
      <c r="C207" s="59"/>
      <c r="D207" s="59"/>
      <c r="E207" s="59"/>
      <c r="F207" s="8"/>
      <c r="G207" s="8"/>
      <c r="H207" s="8"/>
      <c r="I207" s="8"/>
      <c r="J207" s="8"/>
      <c r="K207" s="8"/>
      <c r="L207" s="8"/>
      <c r="M207" s="8"/>
      <c r="N207" s="8"/>
      <c r="O207" s="8"/>
      <c r="P207" s="8"/>
      <c r="Q207" s="8"/>
      <c r="R207" s="8"/>
      <c r="S207" s="8"/>
      <c r="T207" s="8"/>
      <c r="U207" s="8"/>
      <c r="V207" s="8"/>
      <c r="W207" s="8"/>
      <c r="X207" s="8"/>
      <c r="Y207" s="8"/>
      <c r="Z207" s="8"/>
      <c r="AA207" s="8"/>
    </row>
    <row r="208" spans="1:27" ht="12.75">
      <c r="A208" s="8"/>
      <c r="B208" s="59"/>
      <c r="C208" s="59"/>
      <c r="D208" s="59"/>
      <c r="E208" s="59"/>
      <c r="F208" s="8"/>
      <c r="G208" s="8"/>
      <c r="H208" s="8"/>
      <c r="I208" s="8"/>
      <c r="J208" s="8"/>
      <c r="K208" s="8"/>
      <c r="L208" s="8"/>
      <c r="M208" s="8"/>
      <c r="N208" s="8"/>
      <c r="O208" s="8"/>
      <c r="P208" s="8"/>
      <c r="Q208" s="8"/>
      <c r="R208" s="8"/>
      <c r="S208" s="8"/>
      <c r="T208" s="8"/>
      <c r="U208" s="8"/>
      <c r="V208" s="8"/>
      <c r="W208" s="8"/>
      <c r="X208" s="8"/>
      <c r="Y208" s="8"/>
      <c r="Z208" s="8"/>
      <c r="AA208" s="8"/>
    </row>
    <row r="209" spans="1:27" ht="12.75">
      <c r="A209" s="8"/>
      <c r="B209" s="59"/>
      <c r="C209" s="59"/>
      <c r="D209" s="59"/>
      <c r="E209" s="59"/>
      <c r="F209" s="8"/>
      <c r="G209" s="8"/>
      <c r="H209" s="8"/>
      <c r="I209" s="8"/>
      <c r="J209" s="8"/>
      <c r="K209" s="8"/>
      <c r="L209" s="8"/>
      <c r="M209" s="8"/>
      <c r="N209" s="8"/>
      <c r="O209" s="8"/>
      <c r="P209" s="8"/>
      <c r="Q209" s="8"/>
      <c r="R209" s="8"/>
      <c r="S209" s="8"/>
      <c r="T209" s="8"/>
      <c r="U209" s="8"/>
      <c r="V209" s="8"/>
      <c r="W209" s="8"/>
      <c r="X209" s="8"/>
      <c r="Y209" s="8"/>
      <c r="Z209" s="8"/>
      <c r="AA209" s="8"/>
    </row>
    <row r="210" spans="1:27" ht="12.75">
      <c r="A210" s="8"/>
      <c r="B210" s="59"/>
      <c r="C210" s="59"/>
      <c r="D210" s="59"/>
      <c r="E210" s="59"/>
      <c r="F210" s="8"/>
      <c r="G210" s="8"/>
      <c r="H210" s="8"/>
      <c r="I210" s="8"/>
      <c r="J210" s="8"/>
      <c r="K210" s="8"/>
      <c r="L210" s="8"/>
      <c r="M210" s="8"/>
      <c r="N210" s="8"/>
      <c r="O210" s="8"/>
      <c r="P210" s="8"/>
      <c r="Q210" s="8"/>
      <c r="R210" s="8"/>
      <c r="S210" s="8"/>
      <c r="T210" s="8"/>
      <c r="U210" s="8"/>
      <c r="V210" s="8"/>
      <c r="W210" s="8"/>
      <c r="X210" s="8"/>
      <c r="Y210" s="8"/>
      <c r="Z210" s="8"/>
      <c r="AA210" s="8"/>
    </row>
    <row r="211" spans="1:27" ht="12.75">
      <c r="A211" s="8"/>
      <c r="B211" s="59"/>
      <c r="C211" s="59"/>
      <c r="D211" s="59"/>
      <c r="E211" s="59"/>
      <c r="F211" s="8"/>
      <c r="G211" s="8"/>
      <c r="H211" s="8"/>
      <c r="I211" s="8"/>
      <c r="J211" s="8"/>
      <c r="K211" s="8"/>
      <c r="L211" s="8"/>
      <c r="M211" s="8"/>
      <c r="N211" s="8"/>
      <c r="O211" s="8"/>
      <c r="P211" s="8"/>
      <c r="Q211" s="8"/>
      <c r="R211" s="8"/>
      <c r="S211" s="8"/>
      <c r="T211" s="8"/>
      <c r="U211" s="8"/>
      <c r="V211" s="8"/>
      <c r="W211" s="8"/>
      <c r="X211" s="8"/>
      <c r="Y211" s="8"/>
      <c r="Z211" s="8"/>
      <c r="AA211" s="8"/>
    </row>
    <row r="212" spans="1:27" ht="12.75">
      <c r="A212" s="8"/>
      <c r="B212" s="59"/>
      <c r="C212" s="59"/>
      <c r="D212" s="59"/>
      <c r="E212" s="59"/>
      <c r="F212" s="8"/>
      <c r="G212" s="8"/>
      <c r="H212" s="8"/>
      <c r="I212" s="8"/>
      <c r="J212" s="8"/>
      <c r="K212" s="8"/>
      <c r="L212" s="8"/>
      <c r="M212" s="8"/>
      <c r="N212" s="8"/>
      <c r="O212" s="8"/>
      <c r="P212" s="8"/>
      <c r="Q212" s="8"/>
      <c r="R212" s="8"/>
      <c r="S212" s="8"/>
      <c r="T212" s="8"/>
      <c r="U212" s="8"/>
      <c r="V212" s="8"/>
      <c r="W212" s="8"/>
      <c r="X212" s="8"/>
      <c r="Y212" s="8"/>
      <c r="Z212" s="8"/>
      <c r="AA212" s="8"/>
    </row>
    <row r="213" spans="1:27" ht="12.75">
      <c r="A213" s="8"/>
      <c r="B213" s="59"/>
      <c r="C213" s="59"/>
      <c r="D213" s="59"/>
      <c r="E213" s="59"/>
      <c r="F213" s="8"/>
      <c r="G213" s="8"/>
      <c r="H213" s="8"/>
      <c r="I213" s="8"/>
      <c r="J213" s="8"/>
      <c r="K213" s="8"/>
      <c r="L213" s="8"/>
      <c r="M213" s="8"/>
      <c r="N213" s="8"/>
      <c r="O213" s="8"/>
      <c r="P213" s="8"/>
      <c r="Q213" s="8"/>
      <c r="R213" s="8"/>
      <c r="S213" s="8"/>
      <c r="T213" s="8"/>
      <c r="U213" s="8"/>
      <c r="V213" s="8"/>
      <c r="W213" s="8"/>
      <c r="X213" s="8"/>
      <c r="Y213" s="8"/>
      <c r="Z213" s="8"/>
      <c r="AA213" s="8"/>
    </row>
    <row r="214" spans="1:27" ht="12.75">
      <c r="A214" s="8"/>
      <c r="B214" s="59"/>
      <c r="C214" s="59"/>
      <c r="D214" s="59"/>
      <c r="E214" s="59"/>
      <c r="F214" s="8"/>
      <c r="G214" s="8"/>
      <c r="H214" s="8"/>
      <c r="I214" s="8"/>
      <c r="J214" s="8"/>
      <c r="K214" s="8"/>
      <c r="L214" s="8"/>
      <c r="M214" s="8"/>
      <c r="N214" s="8"/>
      <c r="O214" s="8"/>
      <c r="P214" s="8"/>
      <c r="Q214" s="8"/>
      <c r="R214" s="8"/>
      <c r="S214" s="8"/>
      <c r="T214" s="8"/>
      <c r="U214" s="8"/>
      <c r="V214" s="8"/>
      <c r="W214" s="8"/>
      <c r="X214" s="8"/>
      <c r="Y214" s="8"/>
      <c r="Z214" s="8"/>
      <c r="AA214" s="8"/>
    </row>
    <row r="215" spans="1:27" ht="12.75">
      <c r="A215" s="8"/>
      <c r="B215" s="59"/>
      <c r="C215" s="59"/>
      <c r="D215" s="59"/>
      <c r="E215" s="59"/>
      <c r="F215" s="8"/>
      <c r="G215" s="8"/>
      <c r="H215" s="8"/>
      <c r="I215" s="8"/>
      <c r="J215" s="8"/>
      <c r="K215" s="8"/>
      <c r="L215" s="8"/>
      <c r="M215" s="8"/>
      <c r="N215" s="8"/>
      <c r="O215" s="8"/>
      <c r="P215" s="8"/>
      <c r="Q215" s="8"/>
      <c r="R215" s="8"/>
      <c r="S215" s="8"/>
      <c r="T215" s="8"/>
      <c r="U215" s="8"/>
      <c r="V215" s="8"/>
      <c r="W215" s="8"/>
      <c r="X215" s="8"/>
      <c r="Y215" s="8"/>
      <c r="Z215" s="8"/>
      <c r="AA215" s="8"/>
    </row>
    <row r="216" spans="1:27" ht="12.75">
      <c r="A216" s="8"/>
      <c r="B216" s="59"/>
      <c r="C216" s="59"/>
      <c r="D216" s="59"/>
      <c r="E216" s="59"/>
      <c r="F216" s="8"/>
      <c r="G216" s="8"/>
      <c r="H216" s="8"/>
      <c r="I216" s="8"/>
      <c r="J216" s="8"/>
      <c r="K216" s="8"/>
      <c r="L216" s="8"/>
      <c r="M216" s="8"/>
      <c r="N216" s="8"/>
      <c r="O216" s="8"/>
      <c r="P216" s="8"/>
      <c r="Q216" s="8"/>
      <c r="R216" s="8"/>
      <c r="S216" s="8"/>
      <c r="T216" s="8"/>
      <c r="U216" s="8"/>
      <c r="V216" s="8"/>
      <c r="W216" s="8"/>
      <c r="X216" s="8"/>
      <c r="Y216" s="8"/>
      <c r="Z216" s="8"/>
      <c r="AA216" s="8"/>
    </row>
    <row r="217" spans="1:27" ht="12.75">
      <c r="A217" s="8"/>
      <c r="B217" s="59"/>
      <c r="C217" s="59"/>
      <c r="D217" s="59"/>
      <c r="E217" s="59"/>
      <c r="F217" s="8"/>
      <c r="G217" s="8"/>
      <c r="H217" s="8"/>
      <c r="I217" s="8"/>
      <c r="J217" s="8"/>
      <c r="K217" s="8"/>
      <c r="L217" s="8"/>
      <c r="M217" s="8"/>
      <c r="N217" s="8"/>
      <c r="O217" s="8"/>
      <c r="P217" s="8"/>
      <c r="Q217" s="8"/>
      <c r="R217" s="8"/>
      <c r="S217" s="8"/>
      <c r="T217" s="8"/>
      <c r="U217" s="8"/>
      <c r="V217" s="8"/>
      <c r="W217" s="8"/>
      <c r="X217" s="8"/>
      <c r="Y217" s="8"/>
      <c r="Z217" s="8"/>
      <c r="AA217" s="8"/>
    </row>
    <row r="218" spans="1:27" ht="12.75">
      <c r="A218" s="8"/>
      <c r="B218" s="59"/>
      <c r="C218" s="59"/>
      <c r="D218" s="59"/>
      <c r="E218" s="59"/>
      <c r="F218" s="8"/>
      <c r="G218" s="8"/>
      <c r="H218" s="8"/>
      <c r="I218" s="8"/>
      <c r="J218" s="8"/>
      <c r="K218" s="8"/>
      <c r="L218" s="8"/>
      <c r="M218" s="8"/>
      <c r="N218" s="8"/>
      <c r="O218" s="8"/>
      <c r="P218" s="8"/>
      <c r="Q218" s="8"/>
      <c r="R218" s="8"/>
      <c r="S218" s="8"/>
      <c r="T218" s="8"/>
      <c r="U218" s="8"/>
      <c r="V218" s="8"/>
      <c r="W218" s="8"/>
      <c r="X218" s="8"/>
      <c r="Y218" s="8"/>
      <c r="Z218" s="8"/>
      <c r="AA218" s="8"/>
    </row>
    <row r="219" spans="1:27" ht="12.75">
      <c r="A219" s="8"/>
      <c r="B219" s="59"/>
      <c r="C219" s="59"/>
      <c r="D219" s="59"/>
      <c r="E219" s="59"/>
      <c r="F219" s="8"/>
      <c r="G219" s="8"/>
      <c r="H219" s="8"/>
      <c r="I219" s="8"/>
      <c r="J219" s="8"/>
      <c r="K219" s="8"/>
      <c r="L219" s="8"/>
      <c r="M219" s="8"/>
      <c r="N219" s="8"/>
      <c r="O219" s="8"/>
      <c r="P219" s="8"/>
      <c r="Q219" s="8"/>
      <c r="R219" s="8"/>
      <c r="S219" s="8"/>
      <c r="T219" s="8"/>
      <c r="U219" s="8"/>
      <c r="V219" s="8"/>
      <c r="W219" s="8"/>
      <c r="X219" s="8"/>
      <c r="Y219" s="8"/>
      <c r="Z219" s="8"/>
      <c r="AA219" s="8"/>
    </row>
    <row r="220" spans="1:27" ht="12.75">
      <c r="A220" s="8"/>
      <c r="B220" s="59"/>
      <c r="C220" s="59"/>
      <c r="D220" s="59"/>
      <c r="E220" s="59"/>
      <c r="F220" s="8"/>
      <c r="G220" s="8"/>
      <c r="H220" s="8"/>
      <c r="I220" s="8"/>
      <c r="J220" s="8"/>
      <c r="K220" s="8"/>
      <c r="L220" s="8"/>
      <c r="M220" s="8"/>
      <c r="N220" s="8"/>
      <c r="O220" s="8"/>
      <c r="P220" s="8"/>
      <c r="Q220" s="8"/>
      <c r="R220" s="8"/>
      <c r="S220" s="8"/>
      <c r="T220" s="8"/>
      <c r="U220" s="8"/>
      <c r="V220" s="8"/>
      <c r="W220" s="8"/>
      <c r="X220" s="8"/>
      <c r="Y220" s="8"/>
      <c r="Z220" s="8"/>
      <c r="AA220" s="8"/>
    </row>
    <row r="221" spans="1:27" ht="12.75">
      <c r="A221" s="8"/>
      <c r="B221" s="59"/>
      <c r="C221" s="59"/>
      <c r="D221" s="59"/>
      <c r="E221" s="59"/>
      <c r="F221" s="8"/>
      <c r="G221" s="8"/>
      <c r="H221" s="8"/>
      <c r="I221" s="8"/>
      <c r="J221" s="8"/>
      <c r="K221" s="8"/>
      <c r="L221" s="8"/>
      <c r="M221" s="8"/>
      <c r="N221" s="8"/>
      <c r="O221" s="8"/>
      <c r="P221" s="8"/>
      <c r="Q221" s="8"/>
      <c r="R221" s="8"/>
      <c r="S221" s="8"/>
      <c r="T221" s="8"/>
      <c r="U221" s="8"/>
      <c r="V221" s="8"/>
      <c r="W221" s="8"/>
      <c r="X221" s="8"/>
      <c r="Y221" s="8"/>
      <c r="Z221" s="8"/>
      <c r="AA221" s="8"/>
    </row>
    <row r="222" spans="1:27" ht="12.75">
      <c r="A222" s="8"/>
      <c r="B222" s="59"/>
      <c r="C222" s="59"/>
      <c r="D222" s="59"/>
      <c r="E222" s="59"/>
      <c r="F222" s="8"/>
      <c r="G222" s="8"/>
      <c r="H222" s="8"/>
      <c r="I222" s="8"/>
      <c r="J222" s="8"/>
      <c r="K222" s="8"/>
      <c r="L222" s="8"/>
      <c r="M222" s="8"/>
      <c r="N222" s="8"/>
      <c r="O222" s="8"/>
      <c r="P222" s="8"/>
      <c r="Q222" s="8"/>
      <c r="R222" s="8"/>
      <c r="S222" s="8"/>
      <c r="T222" s="8"/>
      <c r="U222" s="8"/>
      <c r="V222" s="8"/>
      <c r="W222" s="8"/>
      <c r="X222" s="8"/>
      <c r="Y222" s="8"/>
      <c r="Z222" s="8"/>
      <c r="AA222" s="8"/>
    </row>
    <row r="223" spans="1:27" ht="12.75">
      <c r="A223" s="8"/>
      <c r="B223" s="59"/>
      <c r="C223" s="59"/>
      <c r="D223" s="59"/>
      <c r="E223" s="59"/>
      <c r="F223" s="8"/>
      <c r="G223" s="8"/>
      <c r="H223" s="8"/>
      <c r="I223" s="8"/>
      <c r="J223" s="8"/>
      <c r="K223" s="8"/>
      <c r="L223" s="8"/>
      <c r="M223" s="8"/>
      <c r="N223" s="8"/>
      <c r="O223" s="8"/>
      <c r="P223" s="8"/>
      <c r="Q223" s="8"/>
      <c r="R223" s="8"/>
      <c r="S223" s="8"/>
      <c r="T223" s="8"/>
      <c r="U223" s="8"/>
      <c r="V223" s="8"/>
      <c r="W223" s="8"/>
      <c r="X223" s="8"/>
      <c r="Y223" s="8"/>
      <c r="Z223" s="8"/>
      <c r="AA223" s="8"/>
    </row>
    <row r="224" spans="1:27" ht="12.75">
      <c r="A224" s="8"/>
      <c r="B224" s="59"/>
      <c r="C224" s="59"/>
      <c r="D224" s="59"/>
      <c r="E224" s="59"/>
      <c r="F224" s="8"/>
      <c r="G224" s="8"/>
      <c r="H224" s="8"/>
      <c r="I224" s="8"/>
      <c r="J224" s="8"/>
      <c r="K224" s="8"/>
      <c r="L224" s="8"/>
      <c r="M224" s="8"/>
      <c r="N224" s="8"/>
      <c r="O224" s="8"/>
      <c r="P224" s="8"/>
      <c r="Q224" s="8"/>
      <c r="R224" s="8"/>
      <c r="S224" s="8"/>
      <c r="T224" s="8"/>
      <c r="U224" s="8"/>
      <c r="V224" s="8"/>
      <c r="W224" s="8"/>
      <c r="X224" s="8"/>
      <c r="Y224" s="8"/>
      <c r="Z224" s="8"/>
      <c r="AA224" s="8"/>
    </row>
    <row r="225" spans="1:27" ht="12.75">
      <c r="A225" s="8"/>
      <c r="B225" s="59"/>
      <c r="C225" s="59"/>
      <c r="D225" s="59"/>
      <c r="E225" s="59"/>
      <c r="F225" s="8"/>
      <c r="G225" s="8"/>
      <c r="H225" s="8"/>
      <c r="I225" s="8"/>
      <c r="J225" s="8"/>
      <c r="K225" s="8"/>
      <c r="L225" s="8"/>
      <c r="M225" s="8"/>
      <c r="N225" s="8"/>
      <c r="O225" s="8"/>
      <c r="P225" s="8"/>
      <c r="Q225" s="8"/>
      <c r="R225" s="8"/>
      <c r="S225" s="8"/>
      <c r="T225" s="8"/>
      <c r="U225" s="8"/>
      <c r="V225" s="8"/>
      <c r="W225" s="8"/>
      <c r="X225" s="8"/>
      <c r="Y225" s="8"/>
      <c r="Z225" s="8"/>
      <c r="AA225" s="8"/>
    </row>
    <row r="226" spans="1:27" ht="12.75">
      <c r="A226" s="8"/>
      <c r="B226" s="59"/>
      <c r="C226" s="59"/>
      <c r="D226" s="59"/>
      <c r="E226" s="59"/>
      <c r="F226" s="8"/>
      <c r="G226" s="8"/>
      <c r="H226" s="8"/>
      <c r="I226" s="8"/>
      <c r="J226" s="8"/>
      <c r="K226" s="8"/>
      <c r="L226" s="8"/>
      <c r="M226" s="8"/>
      <c r="N226" s="8"/>
      <c r="O226" s="8"/>
      <c r="P226" s="8"/>
      <c r="Q226" s="8"/>
      <c r="R226" s="8"/>
      <c r="S226" s="8"/>
      <c r="T226" s="8"/>
      <c r="U226" s="8"/>
      <c r="V226" s="8"/>
      <c r="W226" s="8"/>
      <c r="X226" s="8"/>
      <c r="Y226" s="8"/>
      <c r="Z226" s="8"/>
      <c r="AA226" s="8"/>
    </row>
    <row r="227" spans="1:27" ht="12.75">
      <c r="A227" s="8"/>
      <c r="B227" s="59"/>
      <c r="C227" s="59"/>
      <c r="D227" s="59"/>
      <c r="E227" s="59"/>
      <c r="F227" s="8"/>
      <c r="G227" s="8"/>
      <c r="H227" s="8"/>
      <c r="I227" s="8"/>
      <c r="J227" s="8"/>
      <c r="K227" s="8"/>
      <c r="L227" s="8"/>
      <c r="M227" s="8"/>
      <c r="N227" s="8"/>
      <c r="O227" s="8"/>
      <c r="P227" s="8"/>
      <c r="Q227" s="8"/>
      <c r="R227" s="8"/>
      <c r="S227" s="8"/>
      <c r="T227" s="8"/>
      <c r="U227" s="8"/>
      <c r="V227" s="8"/>
      <c r="W227" s="8"/>
      <c r="X227" s="8"/>
      <c r="Y227" s="8"/>
      <c r="Z227" s="8"/>
      <c r="AA227" s="8"/>
    </row>
    <row r="228" spans="1:27" ht="12.75">
      <c r="A228" s="8"/>
      <c r="B228" s="59"/>
      <c r="C228" s="59"/>
      <c r="D228" s="59"/>
      <c r="E228" s="59"/>
      <c r="F228" s="8"/>
      <c r="G228" s="8"/>
      <c r="H228" s="8"/>
      <c r="I228" s="8"/>
      <c r="J228" s="8"/>
      <c r="K228" s="8"/>
      <c r="L228" s="8"/>
      <c r="M228" s="8"/>
      <c r="N228" s="8"/>
      <c r="O228" s="8"/>
      <c r="P228" s="8"/>
      <c r="Q228" s="8"/>
      <c r="R228" s="8"/>
      <c r="S228" s="8"/>
      <c r="T228" s="8"/>
      <c r="U228" s="8"/>
      <c r="V228" s="8"/>
      <c r="W228" s="8"/>
      <c r="X228" s="8"/>
      <c r="Y228" s="8"/>
      <c r="Z228" s="8"/>
      <c r="AA228" s="8"/>
    </row>
    <row r="229" spans="1:27" ht="12.75">
      <c r="A229" s="8"/>
      <c r="B229" s="59"/>
      <c r="C229" s="59"/>
      <c r="D229" s="59"/>
      <c r="E229" s="59"/>
      <c r="F229" s="8"/>
      <c r="G229" s="8"/>
      <c r="H229" s="8"/>
      <c r="I229" s="8"/>
      <c r="J229" s="8"/>
      <c r="K229" s="8"/>
      <c r="L229" s="8"/>
      <c r="M229" s="8"/>
      <c r="N229" s="8"/>
      <c r="O229" s="8"/>
      <c r="P229" s="8"/>
      <c r="Q229" s="8"/>
      <c r="R229" s="8"/>
      <c r="S229" s="8"/>
      <c r="T229" s="8"/>
      <c r="U229" s="8"/>
      <c r="V229" s="8"/>
      <c r="W229" s="8"/>
      <c r="X229" s="8"/>
      <c r="Y229" s="8"/>
      <c r="Z229" s="8"/>
      <c r="AA229" s="8"/>
    </row>
    <row r="230" spans="1:27" ht="12.75">
      <c r="A230" s="8"/>
      <c r="B230" s="59"/>
      <c r="C230" s="59"/>
      <c r="D230" s="59"/>
      <c r="E230" s="59"/>
      <c r="F230" s="8"/>
      <c r="G230" s="8"/>
      <c r="H230" s="8"/>
      <c r="I230" s="8"/>
      <c r="J230" s="8"/>
      <c r="K230" s="8"/>
      <c r="L230" s="8"/>
      <c r="M230" s="8"/>
      <c r="N230" s="8"/>
      <c r="O230" s="8"/>
      <c r="P230" s="8"/>
      <c r="Q230" s="8"/>
      <c r="R230" s="8"/>
      <c r="S230" s="8"/>
      <c r="T230" s="8"/>
      <c r="U230" s="8"/>
      <c r="V230" s="8"/>
      <c r="W230" s="8"/>
      <c r="X230" s="8"/>
      <c r="Y230" s="8"/>
      <c r="Z230" s="8"/>
      <c r="AA230" s="8"/>
    </row>
    <row r="231" spans="1:27" ht="12.75">
      <c r="A231" s="8"/>
      <c r="B231" s="59"/>
      <c r="C231" s="59"/>
      <c r="D231" s="59"/>
      <c r="E231" s="59"/>
      <c r="F231" s="8"/>
      <c r="G231" s="8"/>
      <c r="H231" s="8"/>
      <c r="I231" s="8"/>
      <c r="J231" s="8"/>
      <c r="K231" s="8"/>
      <c r="L231" s="8"/>
      <c r="M231" s="8"/>
      <c r="N231" s="8"/>
      <c r="O231" s="8"/>
      <c r="P231" s="8"/>
      <c r="Q231" s="8"/>
      <c r="R231" s="8"/>
      <c r="S231" s="8"/>
      <c r="T231" s="8"/>
      <c r="U231" s="8"/>
      <c r="V231" s="8"/>
      <c r="W231" s="8"/>
      <c r="X231" s="8"/>
      <c r="Y231" s="8"/>
      <c r="Z231" s="8"/>
      <c r="AA231" s="8"/>
    </row>
    <row r="232" spans="1:27" ht="12.75">
      <c r="A232" s="8"/>
      <c r="B232" s="59"/>
      <c r="C232" s="59"/>
      <c r="D232" s="59"/>
      <c r="E232" s="59"/>
      <c r="F232" s="8"/>
      <c r="G232" s="8"/>
      <c r="H232" s="8"/>
      <c r="I232" s="8"/>
      <c r="J232" s="8"/>
      <c r="K232" s="8"/>
      <c r="L232" s="8"/>
      <c r="M232" s="8"/>
      <c r="N232" s="8"/>
      <c r="O232" s="8"/>
      <c r="P232" s="8"/>
      <c r="Q232" s="8"/>
      <c r="R232" s="8"/>
      <c r="S232" s="8"/>
      <c r="T232" s="8"/>
      <c r="U232" s="8"/>
      <c r="V232" s="8"/>
      <c r="W232" s="8"/>
      <c r="X232" s="8"/>
      <c r="Y232" s="8"/>
      <c r="Z232" s="8"/>
      <c r="AA232" s="8"/>
    </row>
    <row r="233" spans="1:27" ht="12.75">
      <c r="A233" s="8"/>
      <c r="B233" s="59"/>
      <c r="C233" s="59"/>
      <c r="D233" s="59"/>
      <c r="E233" s="59"/>
      <c r="F233" s="8"/>
      <c r="G233" s="8"/>
      <c r="H233" s="8"/>
      <c r="I233" s="8"/>
      <c r="J233" s="8"/>
      <c r="K233" s="8"/>
      <c r="L233" s="8"/>
      <c r="M233" s="8"/>
      <c r="N233" s="8"/>
      <c r="O233" s="8"/>
      <c r="P233" s="8"/>
      <c r="Q233" s="8"/>
      <c r="R233" s="8"/>
      <c r="S233" s="8"/>
      <c r="T233" s="8"/>
      <c r="U233" s="8"/>
      <c r="V233" s="8"/>
      <c r="W233" s="8"/>
      <c r="X233" s="8"/>
      <c r="Y233" s="8"/>
      <c r="Z233" s="8"/>
      <c r="AA233" s="8"/>
    </row>
    <row r="234" spans="1:27" ht="12.75">
      <c r="A234" s="8"/>
      <c r="B234" s="59"/>
      <c r="C234" s="59"/>
      <c r="D234" s="59"/>
      <c r="E234" s="59"/>
      <c r="F234" s="8"/>
      <c r="G234" s="8"/>
      <c r="H234" s="8"/>
      <c r="I234" s="8"/>
      <c r="J234" s="8"/>
      <c r="K234" s="8"/>
      <c r="L234" s="8"/>
      <c r="M234" s="8"/>
      <c r="N234" s="8"/>
      <c r="O234" s="8"/>
      <c r="P234" s="8"/>
      <c r="Q234" s="8"/>
      <c r="R234" s="8"/>
      <c r="S234" s="8"/>
      <c r="T234" s="8"/>
      <c r="U234" s="8"/>
      <c r="V234" s="8"/>
      <c r="W234" s="8"/>
      <c r="X234" s="8"/>
      <c r="Y234" s="8"/>
      <c r="Z234" s="8"/>
      <c r="AA234" s="8"/>
    </row>
    <row r="235" spans="1:27" ht="12.75">
      <c r="A235" s="8"/>
      <c r="B235" s="59"/>
      <c r="C235" s="59"/>
      <c r="D235" s="59"/>
      <c r="E235" s="59"/>
      <c r="F235" s="8"/>
      <c r="G235" s="8"/>
      <c r="H235" s="8"/>
      <c r="I235" s="8"/>
      <c r="J235" s="8"/>
      <c r="K235" s="8"/>
      <c r="L235" s="8"/>
      <c r="M235" s="8"/>
      <c r="N235" s="8"/>
      <c r="O235" s="8"/>
      <c r="P235" s="8"/>
      <c r="Q235" s="8"/>
      <c r="R235" s="8"/>
      <c r="S235" s="8"/>
      <c r="T235" s="8"/>
      <c r="U235" s="8"/>
      <c r="V235" s="8"/>
      <c r="W235" s="8"/>
      <c r="X235" s="8"/>
      <c r="Y235" s="8"/>
      <c r="Z235" s="8"/>
      <c r="AA235" s="8"/>
    </row>
    <row r="236" spans="1:27" ht="12.75">
      <c r="A236" s="8"/>
      <c r="B236" s="59"/>
      <c r="C236" s="59"/>
      <c r="D236" s="59"/>
      <c r="E236" s="59"/>
      <c r="F236" s="8"/>
      <c r="G236" s="8"/>
      <c r="H236" s="8"/>
      <c r="I236" s="8"/>
      <c r="J236" s="8"/>
      <c r="K236" s="8"/>
      <c r="L236" s="8"/>
      <c r="M236" s="8"/>
      <c r="N236" s="8"/>
      <c r="O236" s="8"/>
      <c r="P236" s="8"/>
      <c r="Q236" s="8"/>
      <c r="R236" s="8"/>
      <c r="S236" s="8"/>
      <c r="T236" s="8"/>
      <c r="U236" s="8"/>
      <c r="V236" s="8"/>
      <c r="W236" s="8"/>
      <c r="X236" s="8"/>
      <c r="Y236" s="8"/>
      <c r="Z236" s="8"/>
      <c r="AA236" s="8"/>
    </row>
    <row r="237" spans="1:27" ht="12.75">
      <c r="A237" s="8"/>
      <c r="B237" s="59"/>
      <c r="C237" s="59"/>
      <c r="D237" s="59"/>
      <c r="E237" s="59"/>
      <c r="F237" s="8"/>
      <c r="G237" s="8"/>
      <c r="H237" s="8"/>
      <c r="I237" s="8"/>
      <c r="J237" s="8"/>
      <c r="K237" s="8"/>
      <c r="L237" s="8"/>
      <c r="M237" s="8"/>
      <c r="N237" s="8"/>
      <c r="O237" s="8"/>
      <c r="P237" s="8"/>
      <c r="Q237" s="8"/>
      <c r="R237" s="8"/>
      <c r="S237" s="8"/>
      <c r="T237" s="8"/>
      <c r="U237" s="8"/>
      <c r="V237" s="8"/>
      <c r="W237" s="8"/>
      <c r="X237" s="8"/>
      <c r="Y237" s="8"/>
      <c r="Z237" s="8"/>
      <c r="AA237" s="8"/>
    </row>
    <row r="238" spans="1:27" ht="12.75">
      <c r="A238" s="8"/>
      <c r="B238" s="59"/>
      <c r="C238" s="59"/>
      <c r="D238" s="59"/>
      <c r="E238" s="59"/>
      <c r="F238" s="8"/>
      <c r="G238" s="8"/>
      <c r="H238" s="8"/>
      <c r="I238" s="8"/>
      <c r="J238" s="8"/>
      <c r="K238" s="8"/>
      <c r="L238" s="8"/>
      <c r="M238" s="8"/>
      <c r="N238" s="8"/>
      <c r="O238" s="8"/>
      <c r="P238" s="8"/>
      <c r="Q238" s="8"/>
      <c r="R238" s="8"/>
      <c r="S238" s="8"/>
      <c r="T238" s="8"/>
      <c r="U238" s="8"/>
      <c r="V238" s="8"/>
      <c r="W238" s="8"/>
      <c r="X238" s="8"/>
      <c r="Y238" s="8"/>
      <c r="Z238" s="8"/>
      <c r="AA238" s="8"/>
    </row>
    <row r="239" spans="1:27" ht="12.75">
      <c r="A239" s="8"/>
      <c r="B239" s="59"/>
      <c r="C239" s="59"/>
      <c r="D239" s="59"/>
      <c r="E239" s="59"/>
      <c r="F239" s="8"/>
      <c r="G239" s="8"/>
      <c r="H239" s="8"/>
      <c r="I239" s="8"/>
      <c r="J239" s="8"/>
      <c r="K239" s="8"/>
      <c r="L239" s="8"/>
      <c r="M239" s="8"/>
      <c r="N239" s="8"/>
      <c r="O239" s="8"/>
      <c r="P239" s="8"/>
      <c r="Q239" s="8"/>
      <c r="R239" s="8"/>
      <c r="S239" s="8"/>
      <c r="T239" s="8"/>
      <c r="U239" s="8"/>
      <c r="V239" s="8"/>
      <c r="W239" s="8"/>
      <c r="X239" s="8"/>
      <c r="Y239" s="8"/>
      <c r="Z239" s="8"/>
      <c r="AA239" s="8"/>
    </row>
    <row r="240" spans="1:27" ht="12.75">
      <c r="A240" s="8"/>
      <c r="B240" s="59"/>
      <c r="C240" s="59"/>
      <c r="D240" s="59"/>
      <c r="E240" s="59"/>
      <c r="F240" s="8"/>
      <c r="G240" s="8"/>
      <c r="H240" s="8"/>
      <c r="I240" s="8"/>
      <c r="J240" s="8"/>
      <c r="K240" s="8"/>
      <c r="L240" s="8"/>
      <c r="M240" s="8"/>
      <c r="N240" s="8"/>
      <c r="O240" s="8"/>
      <c r="P240" s="8"/>
      <c r="Q240" s="8"/>
      <c r="R240" s="8"/>
      <c r="S240" s="8"/>
      <c r="T240" s="8"/>
      <c r="U240" s="8"/>
      <c r="V240" s="8"/>
      <c r="W240" s="8"/>
      <c r="X240" s="8"/>
      <c r="Y240" s="8"/>
      <c r="Z240" s="8"/>
      <c r="AA240" s="8"/>
    </row>
    <row r="241" spans="1:27" ht="12.75">
      <c r="A241" s="8"/>
      <c r="B241" s="59"/>
      <c r="C241" s="59"/>
      <c r="D241" s="59"/>
      <c r="E241" s="59"/>
      <c r="F241" s="8"/>
      <c r="G241" s="8"/>
      <c r="H241" s="8"/>
      <c r="I241" s="8"/>
      <c r="J241" s="8"/>
      <c r="K241" s="8"/>
      <c r="L241" s="8"/>
      <c r="M241" s="8"/>
      <c r="N241" s="8"/>
      <c r="O241" s="8"/>
      <c r="P241" s="8"/>
      <c r="Q241" s="8"/>
      <c r="R241" s="8"/>
      <c r="S241" s="8"/>
      <c r="T241" s="8"/>
      <c r="U241" s="8"/>
      <c r="V241" s="8"/>
      <c r="W241" s="8"/>
      <c r="X241" s="8"/>
      <c r="Y241" s="8"/>
      <c r="Z241" s="8"/>
      <c r="AA241" s="8"/>
    </row>
    <row r="242" spans="1:27" ht="12.75">
      <c r="A242" s="8"/>
      <c r="B242" s="59"/>
      <c r="C242" s="59"/>
      <c r="D242" s="59"/>
      <c r="E242" s="59"/>
      <c r="F242" s="8"/>
      <c r="G242" s="8"/>
      <c r="H242" s="8"/>
      <c r="I242" s="8"/>
      <c r="J242" s="8"/>
      <c r="K242" s="8"/>
      <c r="L242" s="8"/>
      <c r="M242" s="8"/>
      <c r="N242" s="8"/>
      <c r="O242" s="8"/>
      <c r="P242" s="8"/>
      <c r="Q242" s="8"/>
      <c r="R242" s="8"/>
      <c r="S242" s="8"/>
      <c r="T242" s="8"/>
      <c r="U242" s="8"/>
      <c r="V242" s="8"/>
      <c r="W242" s="8"/>
      <c r="X242" s="8"/>
      <c r="Y242" s="8"/>
      <c r="Z242" s="8"/>
      <c r="AA242" s="8"/>
    </row>
    <row r="243" spans="1:27" ht="12.75">
      <c r="A243" s="8"/>
      <c r="B243" s="59"/>
      <c r="C243" s="59"/>
      <c r="D243" s="59"/>
      <c r="E243" s="59"/>
      <c r="F243" s="8"/>
      <c r="G243" s="8"/>
      <c r="H243" s="8"/>
      <c r="I243" s="8"/>
      <c r="J243" s="8"/>
      <c r="K243" s="8"/>
      <c r="L243" s="8"/>
      <c r="M243" s="8"/>
      <c r="N243" s="8"/>
      <c r="O243" s="8"/>
      <c r="P243" s="8"/>
      <c r="Q243" s="8"/>
      <c r="R243" s="8"/>
      <c r="S243" s="8"/>
      <c r="T243" s="8"/>
      <c r="U243" s="8"/>
      <c r="V243" s="8"/>
      <c r="W243" s="8"/>
      <c r="X243" s="8"/>
      <c r="Y243" s="8"/>
      <c r="Z243" s="8"/>
      <c r="AA243" s="8"/>
    </row>
    <row r="244" spans="1:27" ht="12.75">
      <c r="A244" s="8"/>
      <c r="B244" s="59"/>
      <c r="C244" s="59"/>
      <c r="D244" s="59"/>
      <c r="E244" s="59"/>
      <c r="F244" s="8"/>
      <c r="G244" s="8"/>
      <c r="H244" s="8"/>
      <c r="I244" s="8"/>
      <c r="J244" s="8"/>
      <c r="K244" s="8"/>
      <c r="L244" s="8"/>
      <c r="M244" s="8"/>
      <c r="N244" s="8"/>
      <c r="O244" s="8"/>
      <c r="P244" s="8"/>
      <c r="Q244" s="8"/>
      <c r="R244" s="8"/>
      <c r="S244" s="8"/>
      <c r="T244" s="8"/>
      <c r="U244" s="8"/>
      <c r="V244" s="8"/>
      <c r="W244" s="8"/>
      <c r="X244" s="8"/>
      <c r="Y244" s="8"/>
      <c r="Z244" s="8"/>
      <c r="AA244" s="8"/>
    </row>
    <row r="245" spans="1:27" ht="12.75">
      <c r="A245" s="8"/>
      <c r="B245" s="59"/>
      <c r="C245" s="59"/>
      <c r="D245" s="59"/>
      <c r="E245" s="59"/>
      <c r="F245" s="8"/>
      <c r="G245" s="8"/>
      <c r="H245" s="8"/>
      <c r="I245" s="8"/>
      <c r="J245" s="8"/>
      <c r="K245" s="8"/>
      <c r="L245" s="8"/>
      <c r="M245" s="8"/>
      <c r="N245" s="8"/>
      <c r="O245" s="8"/>
      <c r="P245" s="8"/>
      <c r="Q245" s="8"/>
      <c r="R245" s="8"/>
      <c r="S245" s="8"/>
      <c r="T245" s="8"/>
      <c r="U245" s="8"/>
      <c r="V245" s="8"/>
      <c r="W245" s="8"/>
      <c r="X245" s="8"/>
      <c r="Y245" s="8"/>
      <c r="Z245" s="8"/>
      <c r="AA245" s="8"/>
    </row>
    <row r="246" spans="1:27" ht="12.75">
      <c r="A246" s="8"/>
      <c r="B246" s="59"/>
      <c r="C246" s="59"/>
      <c r="D246" s="59"/>
      <c r="E246" s="59"/>
      <c r="F246" s="8"/>
      <c r="G246" s="8"/>
      <c r="H246" s="8"/>
      <c r="I246" s="8"/>
      <c r="J246" s="8"/>
      <c r="K246" s="8"/>
      <c r="L246" s="8"/>
      <c r="M246" s="8"/>
      <c r="N246" s="8"/>
      <c r="O246" s="8"/>
      <c r="P246" s="8"/>
      <c r="Q246" s="8"/>
      <c r="R246" s="8"/>
      <c r="S246" s="8"/>
      <c r="T246" s="8"/>
      <c r="U246" s="8"/>
      <c r="V246" s="8"/>
      <c r="W246" s="8"/>
      <c r="X246" s="8"/>
      <c r="Y246" s="8"/>
      <c r="Z246" s="8"/>
      <c r="AA246" s="8"/>
    </row>
    <row r="247" spans="1:27" ht="12.75">
      <c r="A247" s="8"/>
      <c r="B247" s="59"/>
      <c r="C247" s="59"/>
      <c r="D247" s="59"/>
      <c r="E247" s="59"/>
      <c r="F247" s="8"/>
      <c r="G247" s="8"/>
      <c r="H247" s="8"/>
      <c r="I247" s="8"/>
      <c r="J247" s="8"/>
      <c r="K247" s="8"/>
      <c r="L247" s="8"/>
      <c r="M247" s="8"/>
      <c r="N247" s="8"/>
      <c r="O247" s="8"/>
      <c r="P247" s="8"/>
      <c r="Q247" s="8"/>
      <c r="R247" s="8"/>
      <c r="S247" s="8"/>
      <c r="T247" s="8"/>
      <c r="U247" s="8"/>
      <c r="V247" s="8"/>
      <c r="W247" s="8"/>
      <c r="X247" s="8"/>
      <c r="Y247" s="8"/>
      <c r="Z247" s="8"/>
      <c r="AA247" s="8"/>
    </row>
    <row r="248" spans="1:27" ht="12.75">
      <c r="A248" s="8"/>
      <c r="B248" s="59"/>
      <c r="C248" s="59"/>
      <c r="D248" s="59"/>
      <c r="E248" s="59"/>
      <c r="F248" s="8"/>
      <c r="G248" s="8"/>
      <c r="H248" s="8"/>
      <c r="I248" s="8"/>
      <c r="J248" s="8"/>
      <c r="K248" s="8"/>
      <c r="L248" s="8"/>
      <c r="M248" s="8"/>
      <c r="N248" s="8"/>
      <c r="O248" s="8"/>
      <c r="P248" s="8"/>
      <c r="Q248" s="8"/>
      <c r="R248" s="8"/>
      <c r="S248" s="8"/>
      <c r="T248" s="8"/>
      <c r="U248" s="8"/>
      <c r="V248" s="8"/>
      <c r="W248" s="8"/>
      <c r="X248" s="8"/>
      <c r="Y248" s="8"/>
      <c r="Z248" s="8"/>
      <c r="AA248" s="8"/>
    </row>
    <row r="249" spans="1:27" ht="12.75">
      <c r="A249" s="8"/>
      <c r="B249" s="59"/>
      <c r="C249" s="59"/>
      <c r="D249" s="59"/>
      <c r="E249" s="59"/>
      <c r="F249" s="8"/>
      <c r="G249" s="8"/>
      <c r="H249" s="8"/>
      <c r="I249" s="8"/>
      <c r="J249" s="8"/>
      <c r="K249" s="8"/>
      <c r="L249" s="8"/>
      <c r="M249" s="8"/>
      <c r="N249" s="8"/>
      <c r="O249" s="8"/>
      <c r="P249" s="8"/>
      <c r="Q249" s="8"/>
      <c r="R249" s="8"/>
      <c r="S249" s="8"/>
      <c r="T249" s="8"/>
      <c r="U249" s="8"/>
      <c r="V249" s="8"/>
      <c r="W249" s="8"/>
      <c r="X249" s="8"/>
      <c r="Y249" s="8"/>
      <c r="Z249" s="8"/>
      <c r="AA249" s="8"/>
    </row>
    <row r="250" spans="1:27" ht="12.75">
      <c r="A250" s="8"/>
      <c r="B250" s="59"/>
      <c r="C250" s="59"/>
      <c r="D250" s="59"/>
      <c r="E250" s="59"/>
      <c r="F250" s="8"/>
      <c r="G250" s="8"/>
      <c r="H250" s="8"/>
      <c r="I250" s="8"/>
      <c r="J250" s="8"/>
      <c r="K250" s="8"/>
      <c r="L250" s="8"/>
      <c r="M250" s="8"/>
      <c r="N250" s="8"/>
      <c r="O250" s="8"/>
      <c r="P250" s="8"/>
      <c r="Q250" s="8"/>
      <c r="R250" s="8"/>
      <c r="S250" s="8"/>
      <c r="T250" s="8"/>
      <c r="U250" s="8"/>
      <c r="V250" s="8"/>
      <c r="W250" s="8"/>
      <c r="X250" s="8"/>
      <c r="Y250" s="8"/>
      <c r="Z250" s="8"/>
      <c r="AA250" s="8"/>
    </row>
    <row r="251" spans="1:27" ht="12.75">
      <c r="A251" s="8"/>
      <c r="B251" s="59"/>
      <c r="C251" s="59"/>
      <c r="D251" s="59"/>
      <c r="E251" s="59"/>
      <c r="F251" s="8"/>
      <c r="G251" s="8"/>
      <c r="H251" s="8"/>
      <c r="I251" s="8"/>
      <c r="J251" s="8"/>
      <c r="K251" s="8"/>
      <c r="L251" s="8"/>
      <c r="M251" s="8"/>
      <c r="N251" s="8"/>
      <c r="O251" s="8"/>
      <c r="P251" s="8"/>
      <c r="Q251" s="8"/>
      <c r="R251" s="8"/>
      <c r="S251" s="8"/>
      <c r="T251" s="8"/>
      <c r="U251" s="8"/>
      <c r="V251" s="8"/>
      <c r="W251" s="8"/>
      <c r="X251" s="8"/>
      <c r="Y251" s="8"/>
      <c r="Z251" s="8"/>
      <c r="AA251" s="8"/>
    </row>
    <row r="252" spans="1:27" ht="12.75">
      <c r="A252" s="8"/>
      <c r="B252" s="59"/>
      <c r="C252" s="59"/>
      <c r="D252" s="59"/>
      <c r="E252" s="59"/>
      <c r="F252" s="8"/>
      <c r="G252" s="8"/>
      <c r="H252" s="8"/>
      <c r="I252" s="8"/>
      <c r="J252" s="8"/>
      <c r="K252" s="8"/>
      <c r="L252" s="8"/>
      <c r="M252" s="8"/>
      <c r="N252" s="8"/>
      <c r="O252" s="8"/>
      <c r="P252" s="8"/>
      <c r="Q252" s="8"/>
      <c r="R252" s="8"/>
      <c r="S252" s="8"/>
      <c r="T252" s="8"/>
      <c r="U252" s="8"/>
      <c r="V252" s="8"/>
      <c r="W252" s="8"/>
      <c r="X252" s="8"/>
      <c r="Y252" s="8"/>
      <c r="Z252" s="8"/>
      <c r="AA252" s="8"/>
    </row>
    <row r="253" spans="1:27" ht="12.75">
      <c r="A253" s="8"/>
      <c r="B253" s="59"/>
      <c r="C253" s="59"/>
      <c r="D253" s="59"/>
      <c r="E253" s="59"/>
      <c r="F253" s="8"/>
      <c r="G253" s="8"/>
      <c r="H253" s="8"/>
      <c r="I253" s="8"/>
      <c r="J253" s="8"/>
      <c r="K253" s="8"/>
      <c r="L253" s="8"/>
      <c r="M253" s="8"/>
      <c r="N253" s="8"/>
      <c r="O253" s="8"/>
      <c r="P253" s="8"/>
      <c r="Q253" s="8"/>
      <c r="R253" s="8"/>
      <c r="S253" s="8"/>
      <c r="T253" s="8"/>
      <c r="U253" s="8"/>
      <c r="V253" s="8"/>
      <c r="W253" s="8"/>
      <c r="X253" s="8"/>
      <c r="Y253" s="8"/>
      <c r="Z253" s="8"/>
      <c r="AA253" s="8"/>
    </row>
    <row r="254" spans="1:27" ht="12.75">
      <c r="A254" s="8"/>
      <c r="B254" s="59"/>
      <c r="C254" s="59"/>
      <c r="D254" s="59"/>
      <c r="E254" s="59"/>
      <c r="F254" s="8"/>
      <c r="G254" s="8"/>
      <c r="H254" s="8"/>
      <c r="I254" s="8"/>
      <c r="J254" s="8"/>
      <c r="K254" s="8"/>
      <c r="L254" s="8"/>
      <c r="M254" s="8"/>
      <c r="N254" s="8"/>
      <c r="O254" s="8"/>
      <c r="P254" s="8"/>
      <c r="Q254" s="8"/>
      <c r="R254" s="8"/>
      <c r="S254" s="8"/>
      <c r="T254" s="8"/>
      <c r="U254" s="8"/>
      <c r="V254" s="8"/>
      <c r="W254" s="8"/>
      <c r="X254" s="8"/>
      <c r="Y254" s="8"/>
      <c r="Z254" s="8"/>
      <c r="AA254" s="8"/>
    </row>
    <row r="255" spans="1:27" ht="12.75">
      <c r="A255" s="8"/>
      <c r="B255" s="59"/>
      <c r="C255" s="59"/>
      <c r="D255" s="59"/>
      <c r="E255" s="59"/>
      <c r="F255" s="8"/>
      <c r="G255" s="8"/>
      <c r="H255" s="8"/>
      <c r="I255" s="8"/>
      <c r="J255" s="8"/>
      <c r="K255" s="8"/>
      <c r="L255" s="8"/>
      <c r="M255" s="8"/>
      <c r="N255" s="8"/>
      <c r="O255" s="8"/>
      <c r="P255" s="8"/>
      <c r="Q255" s="8"/>
      <c r="R255" s="8"/>
      <c r="S255" s="8"/>
      <c r="T255" s="8"/>
      <c r="U255" s="8"/>
      <c r="V255" s="8"/>
      <c r="W255" s="8"/>
      <c r="X255" s="8"/>
      <c r="Y255" s="8"/>
      <c r="Z255" s="8"/>
      <c r="AA255" s="8"/>
    </row>
    <row r="256" spans="1:27" ht="12.75">
      <c r="A256" s="8"/>
      <c r="B256" s="59"/>
      <c r="C256" s="59"/>
      <c r="D256" s="59"/>
      <c r="E256" s="59"/>
      <c r="F256" s="8"/>
      <c r="G256" s="8"/>
      <c r="H256" s="8"/>
      <c r="I256" s="8"/>
      <c r="J256" s="8"/>
      <c r="K256" s="8"/>
      <c r="L256" s="8"/>
      <c r="M256" s="8"/>
      <c r="N256" s="8"/>
      <c r="O256" s="8"/>
      <c r="P256" s="8"/>
      <c r="Q256" s="8"/>
      <c r="R256" s="8"/>
      <c r="S256" s="8"/>
      <c r="T256" s="8"/>
      <c r="U256" s="8"/>
      <c r="V256" s="8"/>
      <c r="W256" s="8"/>
      <c r="X256" s="8"/>
      <c r="Y256" s="8"/>
      <c r="Z256" s="8"/>
      <c r="AA256" s="8"/>
    </row>
    <row r="257" spans="1:27" ht="12.75">
      <c r="A257" s="8"/>
      <c r="B257" s="59"/>
      <c r="C257" s="59"/>
      <c r="D257" s="59"/>
      <c r="E257" s="59"/>
      <c r="F257" s="8"/>
      <c r="G257" s="8"/>
      <c r="H257" s="8"/>
      <c r="I257" s="8"/>
      <c r="J257" s="8"/>
      <c r="K257" s="8"/>
      <c r="L257" s="8"/>
      <c r="M257" s="8"/>
      <c r="N257" s="8"/>
      <c r="O257" s="8"/>
      <c r="P257" s="8"/>
      <c r="Q257" s="8"/>
      <c r="R257" s="8"/>
      <c r="S257" s="8"/>
      <c r="T257" s="8"/>
      <c r="U257" s="8"/>
      <c r="V257" s="8"/>
      <c r="W257" s="8"/>
      <c r="X257" s="8"/>
      <c r="Y257" s="8"/>
      <c r="Z257" s="8"/>
      <c r="AA257" s="8"/>
    </row>
    <row r="258" spans="1:27" ht="12.75">
      <c r="A258" s="8"/>
      <c r="B258" s="59"/>
      <c r="C258" s="59"/>
      <c r="D258" s="59"/>
      <c r="E258" s="59"/>
      <c r="F258" s="8"/>
      <c r="G258" s="8"/>
      <c r="H258" s="8"/>
      <c r="I258" s="8"/>
      <c r="J258" s="8"/>
      <c r="K258" s="8"/>
      <c r="L258" s="8"/>
      <c r="M258" s="8"/>
      <c r="N258" s="8"/>
      <c r="O258" s="8"/>
      <c r="P258" s="8"/>
      <c r="Q258" s="8"/>
      <c r="R258" s="8"/>
      <c r="S258" s="8"/>
      <c r="T258" s="8"/>
      <c r="U258" s="8"/>
      <c r="V258" s="8"/>
      <c r="W258" s="8"/>
      <c r="X258" s="8"/>
      <c r="Y258" s="8"/>
      <c r="Z258" s="8"/>
      <c r="AA258" s="8"/>
    </row>
    <row r="259" spans="1:27" ht="12.75">
      <c r="A259" s="8"/>
      <c r="B259" s="59"/>
      <c r="C259" s="59"/>
      <c r="D259" s="59"/>
      <c r="E259" s="59"/>
      <c r="F259" s="8"/>
      <c r="G259" s="8"/>
      <c r="H259" s="8"/>
      <c r="I259" s="8"/>
      <c r="J259" s="8"/>
      <c r="K259" s="8"/>
      <c r="L259" s="8"/>
      <c r="M259" s="8"/>
      <c r="N259" s="8"/>
      <c r="O259" s="8"/>
      <c r="P259" s="8"/>
      <c r="Q259" s="8"/>
      <c r="R259" s="8"/>
      <c r="S259" s="8"/>
      <c r="T259" s="8"/>
      <c r="U259" s="8"/>
      <c r="V259" s="8"/>
      <c r="W259" s="8"/>
      <c r="X259" s="8"/>
      <c r="Y259" s="8"/>
      <c r="Z259" s="8"/>
      <c r="AA259" s="8"/>
    </row>
    <row r="260" spans="1:27" ht="12.75">
      <c r="A260" s="8"/>
      <c r="B260" s="59"/>
      <c r="C260" s="59"/>
      <c r="D260" s="59"/>
      <c r="E260" s="59"/>
      <c r="F260" s="8"/>
      <c r="G260" s="8"/>
      <c r="H260" s="8"/>
      <c r="I260" s="8"/>
      <c r="J260" s="8"/>
      <c r="K260" s="8"/>
      <c r="L260" s="8"/>
      <c r="M260" s="8"/>
      <c r="N260" s="8"/>
      <c r="O260" s="8"/>
      <c r="P260" s="8"/>
      <c r="Q260" s="8"/>
      <c r="R260" s="8"/>
      <c r="S260" s="8"/>
      <c r="T260" s="8"/>
      <c r="U260" s="8"/>
      <c r="V260" s="8"/>
      <c r="W260" s="8"/>
      <c r="X260" s="8"/>
      <c r="Y260" s="8"/>
      <c r="Z260" s="8"/>
      <c r="AA260" s="8"/>
    </row>
    <row r="261" spans="1:27" ht="12.75">
      <c r="A261" s="8"/>
      <c r="B261" s="59"/>
      <c r="C261" s="59"/>
      <c r="D261" s="59"/>
      <c r="E261" s="59"/>
      <c r="F261" s="8"/>
      <c r="G261" s="8"/>
      <c r="H261" s="8"/>
      <c r="I261" s="8"/>
      <c r="J261" s="8"/>
      <c r="K261" s="8"/>
      <c r="L261" s="8"/>
      <c r="M261" s="8"/>
      <c r="N261" s="8"/>
      <c r="O261" s="8"/>
      <c r="P261" s="8"/>
      <c r="Q261" s="8"/>
      <c r="R261" s="8"/>
      <c r="S261" s="8"/>
      <c r="T261" s="8"/>
      <c r="U261" s="8"/>
      <c r="V261" s="8"/>
      <c r="W261" s="8"/>
      <c r="X261" s="8"/>
      <c r="Y261" s="8"/>
      <c r="Z261" s="8"/>
      <c r="AA261" s="8"/>
    </row>
    <row r="262" spans="1:27" ht="12.75">
      <c r="A262" s="8"/>
      <c r="B262" s="59"/>
      <c r="C262" s="59"/>
      <c r="D262" s="59"/>
      <c r="E262" s="59"/>
      <c r="F262" s="8"/>
      <c r="G262" s="8"/>
      <c r="H262" s="8"/>
      <c r="I262" s="8"/>
      <c r="J262" s="8"/>
      <c r="K262" s="8"/>
      <c r="L262" s="8"/>
      <c r="M262" s="8"/>
      <c r="N262" s="8"/>
      <c r="O262" s="8"/>
      <c r="P262" s="8"/>
      <c r="Q262" s="8"/>
      <c r="R262" s="8"/>
      <c r="S262" s="8"/>
      <c r="T262" s="8"/>
      <c r="U262" s="8"/>
      <c r="V262" s="8"/>
      <c r="W262" s="8"/>
      <c r="X262" s="8"/>
      <c r="Y262" s="8"/>
      <c r="Z262" s="8"/>
      <c r="AA262" s="8"/>
    </row>
    <row r="263" spans="1:27" ht="12.75">
      <c r="A263" s="8"/>
      <c r="B263" s="59"/>
      <c r="C263" s="59"/>
      <c r="D263" s="59"/>
      <c r="E263" s="59"/>
      <c r="F263" s="8"/>
      <c r="G263" s="8"/>
      <c r="H263" s="8"/>
      <c r="I263" s="8"/>
      <c r="J263" s="8"/>
      <c r="K263" s="8"/>
      <c r="L263" s="8"/>
      <c r="M263" s="8"/>
      <c r="N263" s="8"/>
      <c r="O263" s="8"/>
      <c r="P263" s="8"/>
      <c r="Q263" s="8"/>
      <c r="R263" s="8"/>
      <c r="S263" s="8"/>
      <c r="T263" s="8"/>
      <c r="U263" s="8"/>
      <c r="V263" s="8"/>
      <c r="W263" s="8"/>
      <c r="X263" s="8"/>
      <c r="Y263" s="8"/>
      <c r="Z263" s="8"/>
      <c r="AA263" s="8"/>
    </row>
    <row r="264" spans="1:27" ht="12.75">
      <c r="A264" s="8"/>
      <c r="B264" s="59"/>
      <c r="C264" s="59"/>
      <c r="D264" s="59"/>
      <c r="E264" s="59"/>
      <c r="F264" s="8"/>
      <c r="G264" s="8"/>
      <c r="H264" s="8"/>
      <c r="I264" s="8"/>
      <c r="J264" s="8"/>
      <c r="K264" s="8"/>
      <c r="L264" s="8"/>
      <c r="M264" s="8"/>
      <c r="N264" s="8"/>
      <c r="O264" s="8"/>
      <c r="P264" s="8"/>
      <c r="Q264" s="8"/>
      <c r="R264" s="8"/>
      <c r="S264" s="8"/>
      <c r="T264" s="8"/>
      <c r="U264" s="8"/>
      <c r="V264" s="8"/>
      <c r="W264" s="8"/>
      <c r="X264" s="8"/>
      <c r="Y264" s="8"/>
      <c r="Z264" s="8"/>
      <c r="AA264" s="8"/>
    </row>
    <row r="265" spans="1:27" ht="12.75">
      <c r="A265" s="8"/>
      <c r="B265" s="59"/>
      <c r="C265" s="59"/>
      <c r="D265" s="59"/>
      <c r="E265" s="59"/>
      <c r="F265" s="8"/>
      <c r="G265" s="8"/>
      <c r="H265" s="8"/>
      <c r="I265" s="8"/>
      <c r="J265" s="8"/>
      <c r="K265" s="8"/>
      <c r="L265" s="8"/>
      <c r="M265" s="8"/>
      <c r="N265" s="8"/>
      <c r="O265" s="8"/>
      <c r="P265" s="8"/>
      <c r="Q265" s="8"/>
      <c r="R265" s="8"/>
      <c r="S265" s="8"/>
      <c r="T265" s="8"/>
      <c r="U265" s="8"/>
      <c r="V265" s="8"/>
      <c r="W265" s="8"/>
      <c r="X265" s="8"/>
      <c r="Y265" s="8"/>
      <c r="Z265" s="8"/>
      <c r="AA265" s="8"/>
    </row>
    <row r="266" spans="1:27" ht="12.75">
      <c r="A266" s="8"/>
      <c r="B266" s="59"/>
      <c r="C266" s="59"/>
      <c r="D266" s="59"/>
      <c r="E266" s="59"/>
      <c r="F266" s="8"/>
      <c r="G266" s="8"/>
      <c r="H266" s="8"/>
      <c r="I266" s="8"/>
      <c r="J266" s="8"/>
      <c r="K266" s="8"/>
      <c r="L266" s="8"/>
      <c r="M266" s="8"/>
      <c r="N266" s="8"/>
      <c r="O266" s="8"/>
      <c r="P266" s="8"/>
      <c r="Q266" s="8"/>
      <c r="R266" s="8"/>
      <c r="S266" s="8"/>
      <c r="T266" s="8"/>
      <c r="U266" s="8"/>
      <c r="V266" s="8"/>
      <c r="W266" s="8"/>
      <c r="X266" s="8"/>
      <c r="Y266" s="8"/>
      <c r="Z266" s="8"/>
      <c r="AA266" s="8"/>
    </row>
    <row r="267" spans="1:27" ht="12.75">
      <c r="A267" s="8"/>
      <c r="B267" s="59"/>
      <c r="C267" s="59"/>
      <c r="D267" s="59"/>
      <c r="E267" s="59"/>
      <c r="F267" s="8"/>
      <c r="G267" s="8"/>
      <c r="H267" s="8"/>
      <c r="I267" s="8"/>
      <c r="J267" s="8"/>
      <c r="K267" s="8"/>
      <c r="L267" s="8"/>
      <c r="M267" s="8"/>
      <c r="N267" s="8"/>
      <c r="O267" s="8"/>
      <c r="P267" s="8"/>
      <c r="Q267" s="8"/>
      <c r="R267" s="8"/>
      <c r="S267" s="8"/>
      <c r="T267" s="8"/>
      <c r="U267" s="8"/>
      <c r="V267" s="8"/>
      <c r="W267" s="8"/>
      <c r="X267" s="8"/>
      <c r="Y267" s="8"/>
      <c r="Z267" s="8"/>
      <c r="AA267" s="8"/>
    </row>
    <row r="268" spans="1:27" ht="12.75">
      <c r="A268" s="8"/>
      <c r="B268" s="59"/>
      <c r="C268" s="59"/>
      <c r="D268" s="59"/>
      <c r="E268" s="59"/>
      <c r="F268" s="8"/>
      <c r="G268" s="8"/>
      <c r="H268" s="8"/>
      <c r="I268" s="8"/>
      <c r="J268" s="8"/>
      <c r="K268" s="8"/>
      <c r="L268" s="8"/>
      <c r="M268" s="8"/>
      <c r="N268" s="8"/>
      <c r="O268" s="8"/>
      <c r="P268" s="8"/>
      <c r="Q268" s="8"/>
      <c r="R268" s="8"/>
      <c r="S268" s="8"/>
      <c r="T268" s="8"/>
      <c r="U268" s="8"/>
      <c r="V268" s="8"/>
      <c r="W268" s="8"/>
      <c r="X268" s="8"/>
      <c r="Y268" s="8"/>
      <c r="Z268" s="8"/>
      <c r="AA268" s="8"/>
    </row>
    <row r="269" spans="1:27" ht="12.75">
      <c r="A269" s="8"/>
      <c r="B269" s="59"/>
      <c r="C269" s="59"/>
      <c r="D269" s="59"/>
      <c r="E269" s="59"/>
      <c r="F269" s="8"/>
      <c r="G269" s="8"/>
      <c r="H269" s="8"/>
      <c r="I269" s="8"/>
      <c r="J269" s="8"/>
      <c r="K269" s="8"/>
      <c r="L269" s="8"/>
      <c r="M269" s="8"/>
      <c r="N269" s="8"/>
      <c r="O269" s="8"/>
      <c r="P269" s="8"/>
      <c r="Q269" s="8"/>
      <c r="R269" s="8"/>
      <c r="S269" s="8"/>
      <c r="T269" s="8"/>
      <c r="U269" s="8"/>
      <c r="V269" s="8"/>
      <c r="W269" s="8"/>
      <c r="X269" s="8"/>
      <c r="Y269" s="8"/>
      <c r="Z269" s="8"/>
      <c r="AA269" s="8"/>
    </row>
    <row r="270" spans="1:27" ht="12.75">
      <c r="A270" s="8"/>
      <c r="B270" s="59"/>
      <c r="C270" s="59"/>
      <c r="D270" s="59"/>
      <c r="E270" s="59"/>
      <c r="F270" s="8"/>
      <c r="G270" s="8"/>
      <c r="H270" s="8"/>
      <c r="I270" s="8"/>
      <c r="J270" s="8"/>
      <c r="K270" s="8"/>
      <c r="L270" s="8"/>
      <c r="M270" s="8"/>
      <c r="N270" s="8"/>
      <c r="O270" s="8"/>
      <c r="P270" s="8"/>
      <c r="Q270" s="8"/>
      <c r="R270" s="8"/>
      <c r="S270" s="8"/>
      <c r="T270" s="8"/>
      <c r="U270" s="8"/>
      <c r="V270" s="8"/>
      <c r="W270" s="8"/>
      <c r="X270" s="8"/>
      <c r="Y270" s="8"/>
      <c r="Z270" s="8"/>
      <c r="AA270" s="8"/>
    </row>
    <row r="271" spans="1:27" ht="12.75">
      <c r="A271" s="8"/>
      <c r="B271" s="59"/>
      <c r="C271" s="59"/>
      <c r="D271" s="59"/>
      <c r="E271" s="59"/>
      <c r="F271" s="8"/>
      <c r="G271" s="8"/>
      <c r="H271" s="8"/>
      <c r="I271" s="8"/>
      <c r="J271" s="8"/>
      <c r="K271" s="8"/>
      <c r="L271" s="8"/>
      <c r="M271" s="8"/>
      <c r="N271" s="8"/>
      <c r="O271" s="8"/>
      <c r="P271" s="8"/>
      <c r="Q271" s="8"/>
      <c r="R271" s="8"/>
      <c r="S271" s="8"/>
      <c r="T271" s="8"/>
      <c r="U271" s="8"/>
      <c r="V271" s="8"/>
      <c r="W271" s="8"/>
      <c r="X271" s="8"/>
      <c r="Y271" s="8"/>
      <c r="Z271" s="8"/>
      <c r="AA271" s="8"/>
    </row>
    <row r="272" spans="1:27" ht="12.75">
      <c r="A272" s="8"/>
      <c r="B272" s="59"/>
      <c r="C272" s="59"/>
      <c r="D272" s="59"/>
      <c r="E272" s="59"/>
      <c r="F272" s="8"/>
      <c r="G272" s="8"/>
      <c r="H272" s="8"/>
      <c r="I272" s="8"/>
      <c r="J272" s="8"/>
      <c r="K272" s="8"/>
      <c r="L272" s="8"/>
      <c r="M272" s="8"/>
      <c r="N272" s="8"/>
      <c r="O272" s="8"/>
      <c r="P272" s="8"/>
      <c r="Q272" s="8"/>
      <c r="R272" s="8"/>
      <c r="S272" s="8"/>
      <c r="T272" s="8"/>
      <c r="U272" s="8"/>
      <c r="V272" s="8"/>
      <c r="W272" s="8"/>
      <c r="X272" s="8"/>
      <c r="Y272" s="8"/>
      <c r="Z272" s="8"/>
      <c r="AA272" s="8"/>
    </row>
    <row r="273" spans="1:27" ht="12.75">
      <c r="A273" s="8"/>
      <c r="B273" s="59"/>
      <c r="C273" s="59"/>
      <c r="D273" s="59"/>
      <c r="E273" s="59"/>
      <c r="F273" s="8"/>
      <c r="G273" s="8"/>
      <c r="H273" s="8"/>
      <c r="I273" s="8"/>
      <c r="J273" s="8"/>
      <c r="K273" s="8"/>
      <c r="L273" s="8"/>
      <c r="M273" s="8"/>
      <c r="N273" s="8"/>
      <c r="O273" s="8"/>
      <c r="P273" s="8"/>
      <c r="Q273" s="8"/>
      <c r="R273" s="8"/>
      <c r="S273" s="8"/>
      <c r="T273" s="8"/>
      <c r="U273" s="8"/>
      <c r="V273" s="8"/>
      <c r="W273" s="8"/>
      <c r="X273" s="8"/>
      <c r="Y273" s="8"/>
      <c r="Z273" s="8"/>
      <c r="AA273" s="8"/>
    </row>
    <row r="274" spans="1:27" ht="12.75">
      <c r="A274" s="8"/>
      <c r="B274" s="59"/>
      <c r="C274" s="59"/>
      <c r="D274" s="59"/>
      <c r="E274" s="59"/>
      <c r="F274" s="8"/>
      <c r="G274" s="8"/>
      <c r="H274" s="8"/>
      <c r="I274" s="8"/>
      <c r="J274" s="8"/>
      <c r="K274" s="8"/>
      <c r="L274" s="8"/>
      <c r="M274" s="8"/>
      <c r="N274" s="8"/>
      <c r="O274" s="8"/>
      <c r="P274" s="8"/>
      <c r="Q274" s="8"/>
      <c r="R274" s="8"/>
      <c r="S274" s="8"/>
      <c r="T274" s="8"/>
      <c r="U274" s="8"/>
      <c r="V274" s="8"/>
      <c r="W274" s="8"/>
      <c r="X274" s="8"/>
      <c r="Y274" s="8"/>
      <c r="Z274" s="8"/>
      <c r="AA274" s="8"/>
    </row>
    <row r="275" spans="1:27" ht="12.75">
      <c r="A275" s="8"/>
      <c r="B275" s="59"/>
      <c r="C275" s="59"/>
      <c r="D275" s="59"/>
      <c r="E275" s="59"/>
      <c r="F275" s="8"/>
      <c r="G275" s="8"/>
      <c r="H275" s="8"/>
      <c r="I275" s="8"/>
      <c r="J275" s="8"/>
      <c r="K275" s="8"/>
      <c r="L275" s="8"/>
      <c r="M275" s="8"/>
      <c r="N275" s="8"/>
      <c r="O275" s="8"/>
      <c r="P275" s="8"/>
      <c r="Q275" s="8"/>
      <c r="R275" s="8"/>
      <c r="S275" s="8"/>
      <c r="T275" s="8"/>
      <c r="U275" s="8"/>
      <c r="V275" s="8"/>
      <c r="W275" s="8"/>
      <c r="X275" s="8"/>
      <c r="Y275" s="8"/>
      <c r="Z275" s="8"/>
      <c r="AA275" s="8"/>
    </row>
    <row r="276" spans="1:27" ht="12.75">
      <c r="A276" s="8"/>
      <c r="B276" s="59"/>
      <c r="C276" s="59"/>
      <c r="D276" s="59"/>
      <c r="E276" s="59"/>
      <c r="F276" s="8"/>
      <c r="G276" s="8"/>
      <c r="H276" s="8"/>
      <c r="I276" s="8"/>
      <c r="J276" s="8"/>
      <c r="K276" s="8"/>
      <c r="L276" s="8"/>
      <c r="M276" s="8"/>
      <c r="N276" s="8"/>
      <c r="O276" s="8"/>
      <c r="P276" s="8"/>
      <c r="Q276" s="8"/>
      <c r="R276" s="8"/>
      <c r="S276" s="8"/>
      <c r="T276" s="8"/>
      <c r="U276" s="8"/>
      <c r="V276" s="8"/>
      <c r="W276" s="8"/>
      <c r="X276" s="8"/>
      <c r="Y276" s="8"/>
      <c r="Z276" s="8"/>
      <c r="AA276" s="8"/>
    </row>
    <row r="277" spans="1:27" ht="12.75">
      <c r="A277" s="8"/>
      <c r="B277" s="59"/>
      <c r="C277" s="59"/>
      <c r="D277" s="59"/>
      <c r="E277" s="59"/>
      <c r="F277" s="8"/>
      <c r="G277" s="8"/>
      <c r="H277" s="8"/>
      <c r="I277" s="8"/>
      <c r="J277" s="8"/>
      <c r="K277" s="8"/>
      <c r="L277" s="8"/>
      <c r="M277" s="8"/>
      <c r="N277" s="8"/>
      <c r="O277" s="8"/>
      <c r="P277" s="8"/>
      <c r="Q277" s="8"/>
      <c r="R277" s="8"/>
      <c r="S277" s="8"/>
      <c r="T277" s="8"/>
      <c r="U277" s="8"/>
      <c r="V277" s="8"/>
      <c r="W277" s="8"/>
      <c r="X277" s="8"/>
      <c r="Y277" s="8"/>
      <c r="Z277" s="8"/>
      <c r="AA277" s="8"/>
    </row>
    <row r="278" spans="1:27" ht="12.75">
      <c r="A278" s="8"/>
      <c r="B278" s="59"/>
      <c r="C278" s="59"/>
      <c r="D278" s="59"/>
      <c r="E278" s="59"/>
      <c r="F278" s="8"/>
      <c r="G278" s="8"/>
      <c r="H278" s="8"/>
      <c r="I278" s="8"/>
      <c r="J278" s="8"/>
      <c r="K278" s="8"/>
      <c r="L278" s="8"/>
      <c r="M278" s="8"/>
      <c r="N278" s="8"/>
      <c r="O278" s="8"/>
      <c r="P278" s="8"/>
      <c r="Q278" s="8"/>
      <c r="R278" s="8"/>
      <c r="S278" s="8"/>
      <c r="T278" s="8"/>
      <c r="U278" s="8"/>
      <c r="V278" s="8"/>
      <c r="W278" s="8"/>
      <c r="X278" s="8"/>
      <c r="Y278" s="8"/>
      <c r="Z278" s="8"/>
      <c r="AA278" s="8"/>
    </row>
    <row r="279" spans="1:27" ht="12.75">
      <c r="A279" s="8"/>
      <c r="B279" s="59"/>
      <c r="C279" s="59"/>
      <c r="D279" s="59"/>
      <c r="E279" s="59"/>
      <c r="F279" s="8"/>
      <c r="G279" s="8"/>
      <c r="H279" s="8"/>
      <c r="I279" s="8"/>
      <c r="J279" s="8"/>
      <c r="K279" s="8"/>
      <c r="L279" s="8"/>
      <c r="M279" s="8"/>
      <c r="N279" s="8"/>
      <c r="O279" s="8"/>
      <c r="P279" s="8"/>
      <c r="Q279" s="8"/>
      <c r="R279" s="8"/>
      <c r="S279" s="8"/>
      <c r="T279" s="8"/>
      <c r="U279" s="8"/>
      <c r="V279" s="8"/>
      <c r="W279" s="8"/>
      <c r="X279" s="8"/>
      <c r="Y279" s="8"/>
      <c r="Z279" s="8"/>
      <c r="AA279" s="8"/>
    </row>
    <row r="280" spans="1:27" ht="12.75">
      <c r="A280" s="8"/>
      <c r="B280" s="59"/>
      <c r="C280" s="59"/>
      <c r="D280" s="59"/>
      <c r="E280" s="59"/>
      <c r="F280" s="8"/>
      <c r="G280" s="8"/>
      <c r="H280" s="8"/>
      <c r="I280" s="8"/>
      <c r="J280" s="8"/>
      <c r="K280" s="8"/>
      <c r="L280" s="8"/>
      <c r="M280" s="8"/>
      <c r="N280" s="8"/>
      <c r="O280" s="8"/>
      <c r="P280" s="8"/>
      <c r="Q280" s="8"/>
      <c r="R280" s="8"/>
      <c r="S280" s="8"/>
      <c r="T280" s="8"/>
      <c r="U280" s="8"/>
      <c r="V280" s="8"/>
      <c r="W280" s="8"/>
      <c r="X280" s="8"/>
      <c r="Y280" s="8"/>
      <c r="Z280" s="8"/>
      <c r="AA280" s="8"/>
    </row>
    <row r="281" spans="1:27" ht="12.75">
      <c r="A281" s="8"/>
      <c r="B281" s="59"/>
      <c r="C281" s="59"/>
      <c r="D281" s="59"/>
      <c r="E281" s="59"/>
      <c r="F281" s="8"/>
      <c r="G281" s="8"/>
      <c r="H281" s="8"/>
      <c r="I281" s="8"/>
      <c r="J281" s="8"/>
      <c r="K281" s="8"/>
      <c r="L281" s="8"/>
      <c r="M281" s="8"/>
      <c r="N281" s="8"/>
      <c r="O281" s="8"/>
      <c r="P281" s="8"/>
      <c r="Q281" s="8"/>
      <c r="R281" s="8"/>
      <c r="S281" s="8"/>
      <c r="T281" s="8"/>
      <c r="U281" s="8"/>
      <c r="V281" s="8"/>
      <c r="W281" s="8"/>
      <c r="X281" s="8"/>
      <c r="Y281" s="8"/>
      <c r="Z281" s="8"/>
      <c r="AA281" s="8"/>
    </row>
    <row r="282" spans="1:27" ht="12.75">
      <c r="A282" s="8"/>
      <c r="B282" s="59"/>
      <c r="C282" s="59"/>
      <c r="D282" s="59"/>
      <c r="E282" s="59"/>
      <c r="F282" s="8"/>
      <c r="G282" s="8"/>
      <c r="H282" s="8"/>
      <c r="I282" s="8"/>
      <c r="J282" s="8"/>
      <c r="K282" s="8"/>
      <c r="L282" s="8"/>
      <c r="M282" s="8"/>
      <c r="N282" s="8"/>
      <c r="O282" s="8"/>
      <c r="P282" s="8"/>
      <c r="Q282" s="8"/>
      <c r="R282" s="8"/>
      <c r="S282" s="8"/>
      <c r="T282" s="8"/>
      <c r="U282" s="8"/>
      <c r="V282" s="8"/>
      <c r="W282" s="8"/>
      <c r="X282" s="8"/>
      <c r="Y282" s="8"/>
      <c r="Z282" s="8"/>
      <c r="AA282" s="8"/>
    </row>
    <row r="283" spans="1:27" ht="12.75">
      <c r="A283" s="8"/>
      <c r="B283" s="59"/>
      <c r="C283" s="59"/>
      <c r="D283" s="59"/>
      <c r="E283" s="59"/>
      <c r="F283" s="8"/>
      <c r="G283" s="8"/>
      <c r="H283" s="8"/>
      <c r="I283" s="8"/>
      <c r="J283" s="8"/>
      <c r="K283" s="8"/>
      <c r="L283" s="8"/>
      <c r="M283" s="8"/>
      <c r="N283" s="8"/>
      <c r="O283" s="8"/>
      <c r="P283" s="8"/>
      <c r="Q283" s="8"/>
      <c r="R283" s="8"/>
      <c r="S283" s="8"/>
      <c r="T283" s="8"/>
      <c r="U283" s="8"/>
      <c r="V283" s="8"/>
      <c r="W283" s="8"/>
      <c r="X283" s="8"/>
      <c r="Y283" s="8"/>
      <c r="Z283" s="8"/>
      <c r="AA283" s="8"/>
    </row>
    <row r="284" spans="1:27" ht="12.75">
      <c r="A284" s="8"/>
      <c r="B284" s="59"/>
      <c r="C284" s="59"/>
      <c r="D284" s="59"/>
      <c r="E284" s="59"/>
      <c r="F284" s="8"/>
      <c r="G284" s="8"/>
      <c r="H284" s="8"/>
      <c r="I284" s="8"/>
      <c r="J284" s="8"/>
      <c r="K284" s="8"/>
      <c r="L284" s="8"/>
      <c r="M284" s="8"/>
      <c r="N284" s="8"/>
      <c r="O284" s="8"/>
      <c r="P284" s="8"/>
      <c r="Q284" s="8"/>
      <c r="R284" s="8"/>
      <c r="S284" s="8"/>
      <c r="T284" s="8"/>
      <c r="U284" s="8"/>
      <c r="V284" s="8"/>
      <c r="W284" s="8"/>
      <c r="X284" s="8"/>
      <c r="Y284" s="8"/>
      <c r="Z284" s="8"/>
      <c r="AA284" s="8"/>
    </row>
    <row r="285" spans="1:27" ht="12.75">
      <c r="A285" s="8"/>
      <c r="B285" s="59"/>
      <c r="C285" s="59"/>
      <c r="D285" s="59"/>
      <c r="E285" s="59"/>
      <c r="F285" s="8"/>
      <c r="G285" s="8"/>
      <c r="H285" s="8"/>
      <c r="I285" s="8"/>
      <c r="J285" s="8"/>
      <c r="K285" s="8"/>
      <c r="L285" s="8"/>
      <c r="M285" s="8"/>
      <c r="N285" s="8"/>
      <c r="O285" s="8"/>
      <c r="P285" s="8"/>
      <c r="Q285" s="8"/>
      <c r="R285" s="8"/>
      <c r="S285" s="8"/>
      <c r="T285" s="8"/>
      <c r="U285" s="8"/>
      <c r="V285" s="8"/>
      <c r="W285" s="8"/>
      <c r="X285" s="8"/>
      <c r="Y285" s="8"/>
      <c r="Z285" s="8"/>
      <c r="AA285" s="8"/>
    </row>
    <row r="286" spans="1:27" ht="12.75">
      <c r="A286" s="8"/>
      <c r="B286" s="59"/>
      <c r="C286" s="59"/>
      <c r="D286" s="59"/>
      <c r="E286" s="59"/>
      <c r="F286" s="8"/>
      <c r="G286" s="8"/>
      <c r="H286" s="8"/>
      <c r="I286" s="8"/>
      <c r="J286" s="8"/>
      <c r="K286" s="8"/>
      <c r="L286" s="8"/>
      <c r="M286" s="8"/>
      <c r="N286" s="8"/>
      <c r="O286" s="8"/>
      <c r="P286" s="8"/>
      <c r="Q286" s="8"/>
      <c r="R286" s="8"/>
      <c r="S286" s="8"/>
      <c r="T286" s="8"/>
      <c r="U286" s="8"/>
      <c r="V286" s="8"/>
      <c r="W286" s="8"/>
      <c r="X286" s="8"/>
      <c r="Y286" s="8"/>
      <c r="Z286" s="8"/>
      <c r="AA286" s="8"/>
    </row>
    <row r="287" spans="1:27" ht="12.75">
      <c r="A287" s="8"/>
      <c r="B287" s="59"/>
      <c r="C287" s="59"/>
      <c r="D287" s="59"/>
      <c r="E287" s="59"/>
      <c r="F287" s="8"/>
      <c r="G287" s="8"/>
      <c r="H287" s="8"/>
      <c r="I287" s="8"/>
      <c r="J287" s="8"/>
      <c r="K287" s="8"/>
      <c r="L287" s="8"/>
      <c r="M287" s="8"/>
      <c r="N287" s="8"/>
      <c r="O287" s="8"/>
      <c r="P287" s="8"/>
      <c r="Q287" s="8"/>
      <c r="R287" s="8"/>
      <c r="S287" s="8"/>
      <c r="T287" s="8"/>
      <c r="U287" s="8"/>
      <c r="V287" s="8"/>
      <c r="W287" s="8"/>
      <c r="X287" s="8"/>
      <c r="Y287" s="8"/>
      <c r="Z287" s="8"/>
      <c r="AA287" s="8"/>
    </row>
    <row r="288" spans="1:27" ht="12.75">
      <c r="A288" s="8"/>
      <c r="B288" s="59"/>
      <c r="C288" s="59"/>
      <c r="D288" s="59"/>
      <c r="E288" s="59"/>
      <c r="F288" s="8"/>
      <c r="G288" s="8"/>
      <c r="H288" s="8"/>
      <c r="I288" s="8"/>
      <c r="J288" s="8"/>
      <c r="K288" s="8"/>
      <c r="L288" s="8"/>
      <c r="M288" s="8"/>
      <c r="N288" s="8"/>
      <c r="O288" s="8"/>
      <c r="P288" s="8"/>
      <c r="Q288" s="8"/>
      <c r="R288" s="8"/>
      <c r="S288" s="8"/>
      <c r="T288" s="8"/>
      <c r="U288" s="8"/>
      <c r="V288" s="8"/>
      <c r="W288" s="8"/>
      <c r="X288" s="8"/>
      <c r="Y288" s="8"/>
      <c r="Z288" s="8"/>
      <c r="AA288" s="8"/>
    </row>
    <row r="289" spans="1:27" ht="12.75">
      <c r="A289" s="8"/>
      <c r="B289" s="59"/>
      <c r="C289" s="59"/>
      <c r="D289" s="59"/>
      <c r="E289" s="59"/>
      <c r="F289" s="8"/>
      <c r="G289" s="8"/>
      <c r="H289" s="8"/>
      <c r="I289" s="8"/>
      <c r="J289" s="8"/>
      <c r="K289" s="8"/>
      <c r="L289" s="8"/>
      <c r="M289" s="8"/>
      <c r="N289" s="8"/>
      <c r="O289" s="8"/>
      <c r="P289" s="8"/>
      <c r="Q289" s="8"/>
      <c r="R289" s="8"/>
      <c r="S289" s="8"/>
      <c r="T289" s="8"/>
      <c r="U289" s="8"/>
      <c r="V289" s="8"/>
      <c r="W289" s="8"/>
      <c r="X289" s="8"/>
      <c r="Y289" s="8"/>
      <c r="Z289" s="8"/>
      <c r="AA289" s="8"/>
    </row>
    <row r="290" spans="1:27" ht="12.75">
      <c r="A290" s="8"/>
      <c r="B290" s="59"/>
      <c r="C290" s="59"/>
      <c r="D290" s="59"/>
      <c r="E290" s="59"/>
      <c r="F290" s="8"/>
      <c r="G290" s="8"/>
      <c r="H290" s="8"/>
      <c r="I290" s="8"/>
      <c r="J290" s="8"/>
      <c r="K290" s="8"/>
      <c r="L290" s="8"/>
      <c r="M290" s="8"/>
      <c r="N290" s="8"/>
      <c r="O290" s="8"/>
      <c r="P290" s="8"/>
      <c r="Q290" s="8"/>
      <c r="R290" s="8"/>
      <c r="S290" s="8"/>
      <c r="T290" s="8"/>
      <c r="U290" s="8"/>
      <c r="V290" s="8"/>
      <c r="W290" s="8"/>
      <c r="X290" s="8"/>
      <c r="Y290" s="8"/>
      <c r="Z290" s="8"/>
      <c r="AA290" s="8"/>
    </row>
    <row r="291" spans="1:27" ht="12.75">
      <c r="A291" s="8"/>
      <c r="B291" s="59"/>
      <c r="C291" s="59"/>
      <c r="D291" s="59"/>
      <c r="E291" s="59"/>
      <c r="F291" s="8"/>
      <c r="G291" s="8"/>
      <c r="H291" s="8"/>
      <c r="I291" s="8"/>
      <c r="J291" s="8"/>
      <c r="K291" s="8"/>
      <c r="L291" s="8"/>
      <c r="M291" s="8"/>
      <c r="N291" s="8"/>
      <c r="O291" s="8"/>
      <c r="P291" s="8"/>
      <c r="Q291" s="8"/>
      <c r="R291" s="8"/>
      <c r="S291" s="8"/>
      <c r="T291" s="8"/>
      <c r="U291" s="8"/>
      <c r="V291" s="8"/>
      <c r="W291" s="8"/>
      <c r="X291" s="8"/>
      <c r="Y291" s="8"/>
      <c r="Z291" s="8"/>
      <c r="AA291" s="8"/>
    </row>
    <row r="292" spans="1:27" ht="12.75">
      <c r="A292" s="8"/>
      <c r="B292" s="59"/>
      <c r="C292" s="59"/>
      <c r="D292" s="59"/>
      <c r="E292" s="59"/>
      <c r="F292" s="8"/>
      <c r="G292" s="8"/>
      <c r="H292" s="8"/>
      <c r="I292" s="8"/>
      <c r="J292" s="8"/>
      <c r="K292" s="8"/>
      <c r="L292" s="8"/>
      <c r="M292" s="8"/>
      <c r="N292" s="8"/>
      <c r="O292" s="8"/>
      <c r="P292" s="8"/>
      <c r="Q292" s="8"/>
      <c r="R292" s="8"/>
      <c r="S292" s="8"/>
      <c r="T292" s="8"/>
      <c r="U292" s="8"/>
      <c r="V292" s="8"/>
      <c r="W292" s="8"/>
      <c r="X292" s="8"/>
      <c r="Y292" s="8"/>
      <c r="Z292" s="8"/>
      <c r="AA292" s="8"/>
    </row>
    <row r="293" spans="1:27" ht="12.75">
      <c r="A293" s="8"/>
      <c r="B293" s="59"/>
      <c r="C293" s="59"/>
      <c r="D293" s="59"/>
      <c r="E293" s="59"/>
      <c r="F293" s="8"/>
      <c r="G293" s="8"/>
      <c r="H293" s="8"/>
      <c r="I293" s="8"/>
      <c r="J293" s="8"/>
      <c r="K293" s="8"/>
      <c r="L293" s="8"/>
      <c r="M293" s="8"/>
      <c r="N293" s="8"/>
      <c r="O293" s="8"/>
      <c r="P293" s="8"/>
      <c r="Q293" s="8"/>
      <c r="R293" s="8"/>
      <c r="S293" s="8"/>
      <c r="T293" s="8"/>
      <c r="U293" s="8"/>
      <c r="V293" s="8"/>
      <c r="W293" s="8"/>
      <c r="X293" s="8"/>
      <c r="Y293" s="8"/>
      <c r="Z293" s="8"/>
      <c r="AA293" s="8"/>
    </row>
    <row r="294" spans="1:27" ht="12.75">
      <c r="A294" s="8"/>
      <c r="B294" s="59"/>
      <c r="C294" s="59"/>
      <c r="D294" s="59"/>
      <c r="E294" s="59"/>
      <c r="F294" s="8"/>
      <c r="G294" s="8"/>
      <c r="H294" s="8"/>
      <c r="I294" s="8"/>
      <c r="J294" s="8"/>
      <c r="K294" s="8"/>
      <c r="L294" s="8"/>
      <c r="M294" s="8"/>
      <c r="N294" s="8"/>
      <c r="O294" s="8"/>
      <c r="P294" s="8"/>
      <c r="Q294" s="8"/>
      <c r="R294" s="8"/>
      <c r="S294" s="8"/>
      <c r="T294" s="8"/>
      <c r="U294" s="8"/>
      <c r="V294" s="8"/>
      <c r="W294" s="8"/>
      <c r="X294" s="8"/>
      <c r="Y294" s="8"/>
      <c r="Z294" s="8"/>
      <c r="AA294" s="8"/>
    </row>
    <row r="295" spans="1:27" ht="12.75">
      <c r="A295" s="8"/>
      <c r="B295" s="59"/>
      <c r="C295" s="59"/>
      <c r="D295" s="59"/>
      <c r="E295" s="59"/>
      <c r="F295" s="8"/>
      <c r="G295" s="8"/>
      <c r="H295" s="8"/>
      <c r="I295" s="8"/>
      <c r="J295" s="8"/>
      <c r="K295" s="8"/>
      <c r="L295" s="8"/>
      <c r="M295" s="8"/>
      <c r="N295" s="8"/>
      <c r="O295" s="8"/>
      <c r="P295" s="8"/>
      <c r="Q295" s="8"/>
      <c r="R295" s="8"/>
      <c r="S295" s="8"/>
      <c r="T295" s="8"/>
      <c r="U295" s="8"/>
      <c r="V295" s="8"/>
      <c r="W295" s="8"/>
      <c r="X295" s="8"/>
      <c r="Y295" s="8"/>
      <c r="Z295" s="8"/>
      <c r="AA295" s="8"/>
    </row>
    <row r="296" spans="1:27" ht="12.75">
      <c r="A296" s="8"/>
      <c r="B296" s="59"/>
      <c r="C296" s="59"/>
      <c r="D296" s="59"/>
      <c r="E296" s="59"/>
      <c r="F296" s="8"/>
      <c r="G296" s="8"/>
      <c r="H296" s="8"/>
      <c r="I296" s="8"/>
      <c r="J296" s="8"/>
      <c r="K296" s="8"/>
      <c r="L296" s="8"/>
      <c r="M296" s="8"/>
      <c r="N296" s="8"/>
      <c r="O296" s="8"/>
      <c r="P296" s="8"/>
      <c r="Q296" s="8"/>
      <c r="R296" s="8"/>
      <c r="S296" s="8"/>
      <c r="T296" s="8"/>
      <c r="U296" s="8"/>
      <c r="V296" s="8"/>
      <c r="W296" s="8"/>
      <c r="X296" s="8"/>
      <c r="Y296" s="8"/>
      <c r="Z296" s="8"/>
      <c r="AA296" s="8"/>
    </row>
    <row r="297" spans="1:27" ht="12.75">
      <c r="A297" s="8"/>
      <c r="B297" s="59"/>
      <c r="C297" s="59"/>
      <c r="D297" s="59"/>
      <c r="E297" s="59"/>
      <c r="F297" s="8"/>
      <c r="G297" s="8"/>
      <c r="H297" s="8"/>
      <c r="I297" s="8"/>
      <c r="J297" s="8"/>
      <c r="K297" s="8"/>
      <c r="L297" s="8"/>
      <c r="M297" s="8"/>
      <c r="N297" s="8"/>
      <c r="O297" s="8"/>
      <c r="P297" s="8"/>
      <c r="Q297" s="8"/>
      <c r="R297" s="8"/>
      <c r="S297" s="8"/>
      <c r="T297" s="8"/>
      <c r="U297" s="8"/>
      <c r="V297" s="8"/>
      <c r="W297" s="8"/>
      <c r="X297" s="8"/>
      <c r="Y297" s="8"/>
      <c r="Z297" s="8"/>
      <c r="AA297" s="8"/>
    </row>
    <row r="298" spans="1:27" ht="12.75">
      <c r="A298" s="8"/>
      <c r="B298" s="59"/>
      <c r="C298" s="59"/>
      <c r="D298" s="59"/>
      <c r="E298" s="59"/>
      <c r="F298" s="8"/>
      <c r="G298" s="8"/>
      <c r="H298" s="8"/>
      <c r="I298" s="8"/>
      <c r="J298" s="8"/>
      <c r="K298" s="8"/>
      <c r="L298" s="8"/>
      <c r="M298" s="8"/>
      <c r="N298" s="8"/>
      <c r="O298" s="8"/>
      <c r="P298" s="8"/>
      <c r="Q298" s="8"/>
      <c r="R298" s="8"/>
      <c r="S298" s="8"/>
      <c r="T298" s="8"/>
      <c r="U298" s="8"/>
      <c r="V298" s="8"/>
      <c r="W298" s="8"/>
      <c r="X298" s="8"/>
      <c r="Y298" s="8"/>
      <c r="Z298" s="8"/>
      <c r="AA298" s="8"/>
    </row>
    <row r="299" spans="1:27" ht="12.75">
      <c r="A299" s="8"/>
      <c r="B299" s="59"/>
      <c r="C299" s="59"/>
      <c r="D299" s="59"/>
      <c r="E299" s="59"/>
      <c r="F299" s="8"/>
      <c r="G299" s="8"/>
      <c r="H299" s="8"/>
      <c r="I299" s="8"/>
      <c r="J299" s="8"/>
      <c r="K299" s="8"/>
      <c r="L299" s="8"/>
      <c r="M299" s="8"/>
      <c r="N299" s="8"/>
      <c r="O299" s="8"/>
      <c r="P299" s="8"/>
      <c r="Q299" s="8"/>
      <c r="R299" s="8"/>
      <c r="S299" s="8"/>
      <c r="T299" s="8"/>
      <c r="U299" s="8"/>
      <c r="V299" s="8"/>
      <c r="W299" s="8"/>
      <c r="X299" s="8"/>
      <c r="Y299" s="8"/>
      <c r="Z299" s="8"/>
      <c r="AA299" s="8"/>
    </row>
    <row r="300" spans="1:27" ht="12.75">
      <c r="A300" s="8"/>
      <c r="B300" s="59"/>
      <c r="C300" s="59"/>
      <c r="D300" s="59"/>
      <c r="E300" s="59"/>
      <c r="F300" s="8"/>
      <c r="G300" s="8"/>
      <c r="H300" s="8"/>
      <c r="I300" s="8"/>
      <c r="J300" s="8"/>
      <c r="K300" s="8"/>
      <c r="L300" s="8"/>
      <c r="M300" s="8"/>
      <c r="N300" s="8"/>
      <c r="O300" s="8"/>
      <c r="P300" s="8"/>
      <c r="Q300" s="8"/>
      <c r="R300" s="8"/>
      <c r="S300" s="8"/>
      <c r="T300" s="8"/>
      <c r="U300" s="8"/>
      <c r="V300" s="8"/>
      <c r="W300" s="8"/>
      <c r="X300" s="8"/>
      <c r="Y300" s="8"/>
      <c r="Z300" s="8"/>
      <c r="AA300" s="8"/>
    </row>
    <row r="301" spans="1:27" ht="12.75">
      <c r="A301" s="8"/>
      <c r="B301" s="59"/>
      <c r="C301" s="59"/>
      <c r="D301" s="59"/>
      <c r="E301" s="59"/>
      <c r="F301" s="8"/>
      <c r="G301" s="8"/>
      <c r="H301" s="8"/>
      <c r="I301" s="8"/>
      <c r="J301" s="8"/>
      <c r="K301" s="8"/>
      <c r="L301" s="8"/>
      <c r="M301" s="8"/>
      <c r="N301" s="8"/>
      <c r="O301" s="8"/>
      <c r="P301" s="8"/>
      <c r="Q301" s="8"/>
      <c r="R301" s="8"/>
      <c r="S301" s="8"/>
      <c r="T301" s="8"/>
      <c r="U301" s="8"/>
      <c r="V301" s="8"/>
      <c r="W301" s="8"/>
      <c r="X301" s="8"/>
      <c r="Y301" s="8"/>
      <c r="Z301" s="8"/>
      <c r="AA301" s="8"/>
    </row>
    <row r="302" spans="1:27" ht="12.75">
      <c r="A302" s="8"/>
      <c r="B302" s="59"/>
      <c r="C302" s="59"/>
      <c r="D302" s="59"/>
      <c r="E302" s="59"/>
      <c r="F302" s="8"/>
      <c r="G302" s="8"/>
      <c r="H302" s="8"/>
      <c r="I302" s="8"/>
      <c r="J302" s="8"/>
      <c r="K302" s="8"/>
      <c r="L302" s="8"/>
      <c r="M302" s="8"/>
      <c r="N302" s="8"/>
      <c r="O302" s="8"/>
      <c r="P302" s="8"/>
      <c r="Q302" s="8"/>
      <c r="R302" s="8"/>
      <c r="S302" s="8"/>
      <c r="T302" s="8"/>
      <c r="U302" s="8"/>
      <c r="V302" s="8"/>
      <c r="W302" s="8"/>
      <c r="X302" s="8"/>
      <c r="Y302" s="8"/>
      <c r="Z302" s="8"/>
      <c r="AA302" s="8"/>
    </row>
    <row r="303" spans="1:27" ht="12.75">
      <c r="A303" s="8"/>
      <c r="B303" s="59"/>
      <c r="C303" s="59"/>
      <c r="D303" s="59"/>
      <c r="E303" s="59"/>
      <c r="F303" s="8"/>
      <c r="G303" s="8"/>
      <c r="H303" s="8"/>
      <c r="I303" s="8"/>
      <c r="J303" s="8"/>
      <c r="K303" s="8"/>
      <c r="L303" s="8"/>
      <c r="M303" s="8"/>
      <c r="N303" s="8"/>
      <c r="O303" s="8"/>
      <c r="P303" s="8"/>
      <c r="Q303" s="8"/>
      <c r="R303" s="8"/>
      <c r="S303" s="8"/>
      <c r="T303" s="8"/>
      <c r="U303" s="8"/>
      <c r="V303" s="8"/>
      <c r="W303" s="8"/>
      <c r="X303" s="8"/>
      <c r="Y303" s="8"/>
      <c r="Z303" s="8"/>
      <c r="AA303" s="8"/>
    </row>
    <row r="304" spans="1:27" ht="12.75">
      <c r="A304" s="8"/>
      <c r="B304" s="59"/>
      <c r="C304" s="59"/>
      <c r="D304" s="59"/>
      <c r="E304" s="59"/>
      <c r="F304" s="8"/>
      <c r="G304" s="8"/>
      <c r="H304" s="8"/>
      <c r="I304" s="8"/>
      <c r="J304" s="8"/>
      <c r="K304" s="8"/>
      <c r="L304" s="8"/>
      <c r="M304" s="8"/>
      <c r="N304" s="8"/>
      <c r="O304" s="8"/>
      <c r="P304" s="8"/>
      <c r="Q304" s="8"/>
      <c r="R304" s="8"/>
      <c r="S304" s="8"/>
      <c r="T304" s="8"/>
      <c r="U304" s="8"/>
      <c r="V304" s="8"/>
      <c r="W304" s="8"/>
      <c r="X304" s="8"/>
      <c r="Y304" s="8"/>
      <c r="Z304" s="8"/>
      <c r="AA304" s="8"/>
    </row>
    <row r="305" spans="1:27" ht="12.75">
      <c r="A305" s="8"/>
      <c r="B305" s="59"/>
      <c r="C305" s="59"/>
      <c r="D305" s="59"/>
      <c r="E305" s="59"/>
      <c r="F305" s="8"/>
      <c r="G305" s="8"/>
      <c r="H305" s="8"/>
      <c r="I305" s="8"/>
      <c r="J305" s="8"/>
      <c r="K305" s="8"/>
      <c r="L305" s="8"/>
      <c r="M305" s="8"/>
      <c r="N305" s="8"/>
      <c r="O305" s="8"/>
      <c r="P305" s="8"/>
      <c r="Q305" s="8"/>
      <c r="R305" s="8"/>
      <c r="S305" s="8"/>
      <c r="T305" s="8"/>
      <c r="U305" s="8"/>
      <c r="V305" s="8"/>
      <c r="W305" s="8"/>
      <c r="X305" s="8"/>
      <c r="Y305" s="8"/>
      <c r="Z305" s="8"/>
      <c r="AA305" s="8"/>
    </row>
    <row r="306" spans="1:27" ht="12.75">
      <c r="A306" s="8"/>
      <c r="B306" s="59"/>
      <c r="C306" s="59"/>
      <c r="D306" s="59"/>
      <c r="E306" s="59"/>
      <c r="F306" s="8"/>
      <c r="G306" s="8"/>
      <c r="H306" s="8"/>
      <c r="I306" s="8"/>
      <c r="J306" s="8"/>
      <c r="K306" s="8"/>
      <c r="L306" s="8"/>
      <c r="M306" s="8"/>
      <c r="N306" s="8"/>
      <c r="O306" s="8"/>
      <c r="P306" s="8"/>
      <c r="Q306" s="8"/>
      <c r="R306" s="8"/>
      <c r="S306" s="8"/>
      <c r="T306" s="8"/>
      <c r="U306" s="8"/>
      <c r="V306" s="8"/>
      <c r="W306" s="8"/>
      <c r="X306" s="8"/>
      <c r="Y306" s="8"/>
      <c r="Z306" s="8"/>
      <c r="AA306" s="8"/>
    </row>
    <row r="307" spans="1:27" ht="12.75">
      <c r="A307" s="8"/>
      <c r="B307" s="59"/>
      <c r="C307" s="59"/>
      <c r="D307" s="59"/>
      <c r="E307" s="59"/>
      <c r="F307" s="8"/>
      <c r="G307" s="8"/>
      <c r="H307" s="8"/>
      <c r="I307" s="8"/>
      <c r="J307" s="8"/>
      <c r="K307" s="8"/>
      <c r="L307" s="8"/>
      <c r="M307" s="8"/>
      <c r="N307" s="8"/>
      <c r="O307" s="8"/>
      <c r="P307" s="8"/>
      <c r="Q307" s="8"/>
      <c r="R307" s="8"/>
      <c r="S307" s="8"/>
      <c r="T307" s="8"/>
      <c r="U307" s="8"/>
      <c r="V307" s="8"/>
      <c r="W307" s="8"/>
      <c r="X307" s="8"/>
      <c r="Y307" s="8"/>
      <c r="Z307" s="8"/>
      <c r="AA307" s="8"/>
    </row>
    <row r="308" spans="1:27" ht="12.75">
      <c r="A308" s="8"/>
      <c r="B308" s="59"/>
      <c r="C308" s="59"/>
      <c r="D308" s="59"/>
      <c r="E308" s="59"/>
      <c r="F308" s="8"/>
      <c r="G308" s="8"/>
      <c r="H308" s="8"/>
      <c r="I308" s="8"/>
      <c r="J308" s="8"/>
      <c r="K308" s="8"/>
      <c r="L308" s="8"/>
      <c r="M308" s="8"/>
      <c r="N308" s="8"/>
      <c r="O308" s="8"/>
      <c r="P308" s="8"/>
      <c r="Q308" s="8"/>
      <c r="R308" s="8"/>
      <c r="S308" s="8"/>
      <c r="T308" s="8"/>
      <c r="U308" s="8"/>
      <c r="V308" s="8"/>
      <c r="W308" s="8"/>
      <c r="X308" s="8"/>
      <c r="Y308" s="8"/>
      <c r="Z308" s="8"/>
      <c r="AA308" s="8"/>
    </row>
    <row r="309" spans="1:27" ht="12.75">
      <c r="A309" s="8"/>
      <c r="B309" s="59"/>
      <c r="C309" s="59"/>
      <c r="D309" s="59"/>
      <c r="E309" s="59"/>
      <c r="F309" s="8"/>
      <c r="G309" s="8"/>
      <c r="H309" s="8"/>
      <c r="I309" s="8"/>
      <c r="J309" s="8"/>
      <c r="K309" s="8"/>
      <c r="L309" s="8"/>
      <c r="M309" s="8"/>
      <c r="N309" s="8"/>
      <c r="O309" s="8"/>
      <c r="P309" s="8"/>
      <c r="Q309" s="8"/>
      <c r="R309" s="8"/>
      <c r="S309" s="8"/>
      <c r="T309" s="8"/>
      <c r="U309" s="8"/>
      <c r="V309" s="8"/>
      <c r="W309" s="8"/>
      <c r="X309" s="8"/>
      <c r="Y309" s="8"/>
      <c r="Z309" s="8"/>
      <c r="AA309" s="8"/>
    </row>
    <row r="310" spans="1:27" ht="12.75">
      <c r="A310" s="8"/>
      <c r="B310" s="59"/>
      <c r="C310" s="59"/>
      <c r="D310" s="59"/>
      <c r="E310" s="59"/>
      <c r="F310" s="8"/>
      <c r="G310" s="8"/>
      <c r="H310" s="8"/>
      <c r="I310" s="8"/>
      <c r="J310" s="8"/>
      <c r="K310" s="8"/>
      <c r="L310" s="8"/>
      <c r="M310" s="8"/>
      <c r="N310" s="8"/>
      <c r="O310" s="8"/>
      <c r="P310" s="8"/>
      <c r="Q310" s="8"/>
      <c r="R310" s="8"/>
      <c r="S310" s="8"/>
      <c r="T310" s="8"/>
      <c r="U310" s="8"/>
      <c r="V310" s="8"/>
      <c r="W310" s="8"/>
      <c r="X310" s="8"/>
      <c r="Y310" s="8"/>
      <c r="Z310" s="8"/>
      <c r="AA310" s="8"/>
    </row>
    <row r="311" spans="1:27" ht="12.75">
      <c r="A311" s="8"/>
      <c r="B311" s="59"/>
      <c r="C311" s="59"/>
      <c r="D311" s="59"/>
      <c r="E311" s="59"/>
      <c r="F311" s="8"/>
      <c r="G311" s="8"/>
      <c r="H311" s="8"/>
      <c r="I311" s="8"/>
      <c r="J311" s="8"/>
      <c r="K311" s="8"/>
      <c r="L311" s="8"/>
      <c r="M311" s="8"/>
      <c r="N311" s="8"/>
      <c r="O311" s="8"/>
      <c r="P311" s="8"/>
      <c r="Q311" s="8"/>
      <c r="R311" s="8"/>
      <c r="S311" s="8"/>
      <c r="T311" s="8"/>
      <c r="U311" s="8"/>
      <c r="V311" s="8"/>
      <c r="W311" s="8"/>
      <c r="X311" s="8"/>
      <c r="Y311" s="8"/>
      <c r="Z311" s="8"/>
      <c r="AA311" s="8"/>
    </row>
    <row r="312" spans="1:27" ht="12.75">
      <c r="A312" s="8"/>
      <c r="B312" s="59"/>
      <c r="C312" s="59"/>
      <c r="D312" s="59"/>
      <c r="E312" s="59"/>
      <c r="F312" s="8"/>
      <c r="G312" s="8"/>
      <c r="H312" s="8"/>
      <c r="I312" s="8"/>
      <c r="J312" s="8"/>
      <c r="K312" s="8"/>
      <c r="L312" s="8"/>
      <c r="M312" s="8"/>
      <c r="N312" s="8"/>
      <c r="O312" s="8"/>
      <c r="P312" s="8"/>
      <c r="Q312" s="8"/>
      <c r="R312" s="8"/>
      <c r="S312" s="8"/>
      <c r="T312" s="8"/>
      <c r="U312" s="8"/>
      <c r="V312" s="8"/>
      <c r="W312" s="8"/>
      <c r="X312" s="8"/>
      <c r="Y312" s="8"/>
      <c r="Z312" s="8"/>
      <c r="AA312" s="8"/>
    </row>
    <row r="313" spans="1:27" ht="12.75">
      <c r="A313" s="8"/>
      <c r="B313" s="59"/>
      <c r="C313" s="59"/>
      <c r="D313" s="59"/>
      <c r="E313" s="59"/>
      <c r="F313" s="8"/>
      <c r="G313" s="8"/>
      <c r="H313" s="8"/>
      <c r="I313" s="8"/>
      <c r="J313" s="8"/>
      <c r="K313" s="8"/>
      <c r="L313" s="8"/>
      <c r="M313" s="8"/>
      <c r="N313" s="8"/>
      <c r="O313" s="8"/>
      <c r="P313" s="8"/>
      <c r="Q313" s="8"/>
      <c r="R313" s="8"/>
      <c r="S313" s="8"/>
      <c r="T313" s="8"/>
      <c r="U313" s="8"/>
      <c r="V313" s="8"/>
      <c r="W313" s="8"/>
      <c r="X313" s="8"/>
      <c r="Y313" s="8"/>
      <c r="Z313" s="8"/>
      <c r="AA313" s="8"/>
    </row>
    <row r="314" spans="1:27" ht="12.75">
      <c r="A314" s="8"/>
      <c r="B314" s="59"/>
      <c r="C314" s="59"/>
      <c r="D314" s="59"/>
      <c r="E314" s="59"/>
      <c r="F314" s="8"/>
      <c r="G314" s="8"/>
      <c r="H314" s="8"/>
      <c r="I314" s="8"/>
      <c r="J314" s="8"/>
      <c r="K314" s="8"/>
      <c r="L314" s="8"/>
      <c r="M314" s="8"/>
      <c r="N314" s="8"/>
      <c r="O314" s="8"/>
      <c r="P314" s="8"/>
      <c r="Q314" s="8"/>
      <c r="R314" s="8"/>
      <c r="S314" s="8"/>
      <c r="T314" s="8"/>
      <c r="U314" s="8"/>
      <c r="V314" s="8"/>
      <c r="W314" s="8"/>
      <c r="X314" s="8"/>
      <c r="Y314" s="8"/>
      <c r="Z314" s="8"/>
      <c r="AA314" s="8"/>
    </row>
    <row r="315" spans="1:27" ht="12.75">
      <c r="A315" s="8"/>
      <c r="B315" s="59"/>
      <c r="C315" s="59"/>
      <c r="D315" s="59"/>
      <c r="E315" s="59"/>
      <c r="F315" s="8"/>
      <c r="G315" s="8"/>
      <c r="H315" s="8"/>
      <c r="I315" s="8"/>
      <c r="J315" s="8"/>
      <c r="K315" s="8"/>
      <c r="L315" s="8"/>
      <c r="M315" s="8"/>
      <c r="N315" s="8"/>
      <c r="O315" s="8"/>
      <c r="P315" s="8"/>
      <c r="Q315" s="8"/>
      <c r="R315" s="8"/>
      <c r="S315" s="8"/>
      <c r="T315" s="8"/>
      <c r="U315" s="8"/>
      <c r="V315" s="8"/>
      <c r="W315" s="8"/>
      <c r="X315" s="8"/>
      <c r="Y315" s="8"/>
      <c r="Z315" s="8"/>
      <c r="AA315" s="8"/>
    </row>
    <row r="316" spans="1:27" ht="12.75">
      <c r="A316" s="8"/>
      <c r="B316" s="59"/>
      <c r="C316" s="59"/>
      <c r="D316" s="59"/>
      <c r="E316" s="59"/>
      <c r="F316" s="8"/>
      <c r="G316" s="8"/>
      <c r="H316" s="8"/>
      <c r="I316" s="8"/>
      <c r="J316" s="8"/>
      <c r="K316" s="8"/>
      <c r="L316" s="8"/>
      <c r="M316" s="8"/>
      <c r="N316" s="8"/>
      <c r="O316" s="8"/>
      <c r="P316" s="8"/>
      <c r="Q316" s="8"/>
      <c r="R316" s="8"/>
      <c r="S316" s="8"/>
      <c r="T316" s="8"/>
      <c r="U316" s="8"/>
      <c r="V316" s="8"/>
      <c r="W316" s="8"/>
      <c r="X316" s="8"/>
      <c r="Y316" s="8"/>
      <c r="Z316" s="8"/>
      <c r="AA316" s="8"/>
    </row>
    <row r="317" spans="1:27" ht="12.75">
      <c r="A317" s="8"/>
      <c r="B317" s="59"/>
      <c r="C317" s="59"/>
      <c r="D317" s="59"/>
      <c r="E317" s="59"/>
      <c r="F317" s="8"/>
      <c r="G317" s="8"/>
      <c r="H317" s="8"/>
      <c r="I317" s="8"/>
      <c r="J317" s="8"/>
      <c r="K317" s="8"/>
      <c r="L317" s="8"/>
      <c r="M317" s="8"/>
      <c r="N317" s="8"/>
      <c r="O317" s="8"/>
      <c r="P317" s="8"/>
      <c r="Q317" s="8"/>
      <c r="R317" s="8"/>
      <c r="S317" s="8"/>
      <c r="T317" s="8"/>
      <c r="U317" s="8"/>
      <c r="V317" s="8"/>
      <c r="W317" s="8"/>
      <c r="X317" s="8"/>
      <c r="Y317" s="8"/>
      <c r="Z317" s="8"/>
      <c r="AA317" s="8"/>
    </row>
    <row r="318" spans="1:27" ht="12.75">
      <c r="A318" s="8"/>
      <c r="B318" s="59"/>
      <c r="C318" s="59"/>
      <c r="D318" s="59"/>
      <c r="E318" s="59"/>
      <c r="F318" s="8"/>
      <c r="G318" s="8"/>
      <c r="H318" s="8"/>
      <c r="I318" s="8"/>
      <c r="J318" s="8"/>
      <c r="K318" s="8"/>
      <c r="L318" s="8"/>
      <c r="M318" s="8"/>
      <c r="N318" s="8"/>
      <c r="O318" s="8"/>
      <c r="P318" s="8"/>
      <c r="Q318" s="8"/>
      <c r="R318" s="8"/>
      <c r="S318" s="8"/>
      <c r="T318" s="8"/>
      <c r="U318" s="8"/>
      <c r="V318" s="8"/>
      <c r="W318" s="8"/>
      <c r="X318" s="8"/>
      <c r="Y318" s="8"/>
      <c r="Z318" s="8"/>
      <c r="AA318" s="8"/>
    </row>
    <row r="319" spans="1:27" ht="12.75">
      <c r="A319" s="8"/>
      <c r="B319" s="59"/>
      <c r="C319" s="59"/>
      <c r="D319" s="59"/>
      <c r="E319" s="59"/>
      <c r="F319" s="8"/>
      <c r="G319" s="8"/>
      <c r="H319" s="8"/>
      <c r="I319" s="8"/>
      <c r="J319" s="8"/>
      <c r="K319" s="8"/>
      <c r="L319" s="8"/>
      <c r="M319" s="8"/>
      <c r="N319" s="8"/>
      <c r="O319" s="8"/>
      <c r="P319" s="8"/>
      <c r="Q319" s="8"/>
      <c r="R319" s="8"/>
      <c r="S319" s="8"/>
      <c r="T319" s="8"/>
      <c r="U319" s="8"/>
      <c r="V319" s="8"/>
      <c r="W319" s="8"/>
      <c r="X319" s="8"/>
      <c r="Y319" s="8"/>
      <c r="Z319" s="8"/>
      <c r="AA319" s="8"/>
    </row>
    <row r="320" spans="1:27" ht="12.75">
      <c r="A320" s="8"/>
      <c r="B320" s="59"/>
      <c r="C320" s="59"/>
      <c r="D320" s="59"/>
      <c r="E320" s="59"/>
      <c r="F320" s="8"/>
      <c r="G320" s="8"/>
      <c r="H320" s="8"/>
      <c r="I320" s="8"/>
      <c r="J320" s="8"/>
      <c r="K320" s="8"/>
      <c r="L320" s="8"/>
      <c r="M320" s="8"/>
      <c r="N320" s="8"/>
      <c r="O320" s="8"/>
      <c r="P320" s="8"/>
      <c r="Q320" s="8"/>
      <c r="R320" s="8"/>
      <c r="S320" s="8"/>
      <c r="T320" s="8"/>
      <c r="U320" s="8"/>
      <c r="V320" s="8"/>
      <c r="W320" s="8"/>
      <c r="X320" s="8"/>
      <c r="Y320" s="8"/>
      <c r="Z320" s="8"/>
      <c r="AA320" s="8"/>
    </row>
    <row r="321" spans="1:27" ht="12.75">
      <c r="A321" s="8"/>
      <c r="B321" s="59"/>
      <c r="C321" s="59"/>
      <c r="D321" s="59"/>
      <c r="E321" s="59"/>
      <c r="F321" s="8"/>
      <c r="G321" s="8"/>
      <c r="H321" s="8"/>
      <c r="I321" s="8"/>
      <c r="J321" s="8"/>
      <c r="K321" s="8"/>
      <c r="L321" s="8"/>
      <c r="M321" s="8"/>
      <c r="N321" s="8"/>
      <c r="O321" s="8"/>
      <c r="P321" s="8"/>
      <c r="Q321" s="8"/>
      <c r="R321" s="8"/>
      <c r="S321" s="8"/>
      <c r="T321" s="8"/>
      <c r="U321" s="8"/>
      <c r="V321" s="8"/>
      <c r="W321" s="8"/>
      <c r="X321" s="8"/>
      <c r="Y321" s="8"/>
      <c r="Z321" s="8"/>
      <c r="AA321" s="8"/>
    </row>
    <row r="322" spans="1:27" ht="12.75">
      <c r="A322" s="8"/>
      <c r="B322" s="59"/>
      <c r="C322" s="59"/>
      <c r="D322" s="59"/>
      <c r="E322" s="59"/>
      <c r="F322" s="8"/>
      <c r="G322" s="8"/>
      <c r="H322" s="8"/>
      <c r="I322" s="8"/>
      <c r="J322" s="8"/>
      <c r="K322" s="8"/>
      <c r="L322" s="8"/>
      <c r="M322" s="8"/>
      <c r="N322" s="8"/>
      <c r="O322" s="8"/>
      <c r="P322" s="8"/>
      <c r="Q322" s="8"/>
      <c r="R322" s="8"/>
      <c r="S322" s="8"/>
      <c r="T322" s="8"/>
      <c r="U322" s="8"/>
      <c r="V322" s="8"/>
      <c r="W322" s="8"/>
      <c r="X322" s="8"/>
      <c r="Y322" s="8"/>
      <c r="Z322" s="8"/>
      <c r="AA322" s="8"/>
    </row>
    <row r="323" spans="1:27" ht="12.75">
      <c r="A323" s="8"/>
      <c r="B323" s="59"/>
      <c r="C323" s="59"/>
      <c r="D323" s="59"/>
      <c r="E323" s="59"/>
      <c r="F323" s="8"/>
      <c r="G323" s="8"/>
      <c r="H323" s="8"/>
      <c r="I323" s="8"/>
      <c r="J323" s="8"/>
      <c r="K323" s="8"/>
      <c r="L323" s="8"/>
      <c r="M323" s="8"/>
      <c r="N323" s="8"/>
      <c r="O323" s="8"/>
      <c r="P323" s="8"/>
      <c r="Q323" s="8"/>
      <c r="R323" s="8"/>
      <c r="S323" s="8"/>
      <c r="T323" s="8"/>
      <c r="U323" s="8"/>
      <c r="V323" s="8"/>
      <c r="W323" s="8"/>
      <c r="X323" s="8"/>
      <c r="Y323" s="8"/>
      <c r="Z323" s="8"/>
      <c r="AA323" s="8"/>
    </row>
    <row r="324" spans="1:27" ht="12.75">
      <c r="A324" s="8"/>
      <c r="B324" s="59"/>
      <c r="C324" s="59"/>
      <c r="D324" s="59"/>
      <c r="E324" s="59"/>
      <c r="F324" s="8"/>
      <c r="G324" s="8"/>
      <c r="H324" s="8"/>
      <c r="I324" s="8"/>
      <c r="J324" s="8"/>
      <c r="K324" s="8"/>
      <c r="L324" s="8"/>
      <c r="M324" s="8"/>
      <c r="N324" s="8"/>
      <c r="O324" s="8"/>
      <c r="P324" s="8"/>
      <c r="Q324" s="8"/>
      <c r="R324" s="8"/>
      <c r="S324" s="8"/>
      <c r="T324" s="8"/>
      <c r="U324" s="8"/>
      <c r="V324" s="8"/>
      <c r="W324" s="8"/>
      <c r="X324" s="8"/>
      <c r="Y324" s="8"/>
      <c r="Z324" s="8"/>
      <c r="AA324" s="8"/>
    </row>
    <row r="325" spans="1:27" ht="12.75">
      <c r="A325" s="8"/>
      <c r="B325" s="59"/>
      <c r="C325" s="59"/>
      <c r="D325" s="59"/>
      <c r="E325" s="59"/>
      <c r="F325" s="8"/>
      <c r="G325" s="8"/>
      <c r="H325" s="8"/>
      <c r="I325" s="8"/>
      <c r="J325" s="8"/>
      <c r="K325" s="8"/>
      <c r="L325" s="8"/>
      <c r="M325" s="8"/>
      <c r="N325" s="8"/>
      <c r="O325" s="8"/>
      <c r="P325" s="8"/>
      <c r="Q325" s="8"/>
      <c r="R325" s="8"/>
      <c r="S325" s="8"/>
      <c r="T325" s="8"/>
      <c r="U325" s="8"/>
      <c r="V325" s="8"/>
      <c r="W325" s="8"/>
      <c r="X325" s="8"/>
      <c r="Y325" s="8"/>
      <c r="Z325" s="8"/>
      <c r="AA325" s="8"/>
    </row>
    <row r="326" spans="1:27" ht="12.75">
      <c r="A326" s="8"/>
      <c r="B326" s="59"/>
      <c r="C326" s="59"/>
      <c r="D326" s="59"/>
      <c r="E326" s="59"/>
      <c r="F326" s="8"/>
      <c r="G326" s="8"/>
      <c r="H326" s="8"/>
      <c r="I326" s="8"/>
      <c r="J326" s="8"/>
      <c r="K326" s="8"/>
      <c r="L326" s="8"/>
      <c r="M326" s="8"/>
      <c r="N326" s="8"/>
      <c r="O326" s="8"/>
      <c r="P326" s="8"/>
      <c r="Q326" s="8"/>
      <c r="R326" s="8"/>
      <c r="S326" s="8"/>
      <c r="T326" s="8"/>
      <c r="U326" s="8"/>
      <c r="V326" s="8"/>
      <c r="W326" s="8"/>
      <c r="X326" s="8"/>
      <c r="Y326" s="8"/>
      <c r="Z326" s="8"/>
      <c r="AA326" s="8"/>
    </row>
    <row r="327" spans="1:27" ht="12.75">
      <c r="A327" s="8"/>
      <c r="B327" s="59"/>
      <c r="C327" s="59"/>
      <c r="D327" s="59"/>
      <c r="E327" s="59"/>
      <c r="F327" s="8"/>
      <c r="G327" s="8"/>
      <c r="H327" s="8"/>
      <c r="I327" s="8"/>
      <c r="J327" s="8"/>
      <c r="K327" s="8"/>
      <c r="L327" s="8"/>
      <c r="M327" s="8"/>
      <c r="N327" s="8"/>
      <c r="O327" s="8"/>
      <c r="P327" s="8"/>
      <c r="Q327" s="8"/>
      <c r="R327" s="8"/>
      <c r="S327" s="8"/>
      <c r="T327" s="8"/>
      <c r="U327" s="8"/>
      <c r="V327" s="8"/>
      <c r="W327" s="8"/>
      <c r="X327" s="8"/>
      <c r="Y327" s="8"/>
      <c r="Z327" s="8"/>
      <c r="AA327" s="8"/>
    </row>
    <row r="328" spans="1:27" ht="12.75">
      <c r="A328" s="8"/>
      <c r="B328" s="59"/>
      <c r="C328" s="59"/>
      <c r="D328" s="59"/>
      <c r="E328" s="59"/>
      <c r="F328" s="8"/>
      <c r="G328" s="8"/>
      <c r="H328" s="8"/>
      <c r="I328" s="8"/>
      <c r="J328" s="8"/>
      <c r="K328" s="8"/>
      <c r="L328" s="8"/>
      <c r="M328" s="8"/>
      <c r="N328" s="8"/>
      <c r="O328" s="8"/>
      <c r="P328" s="8"/>
      <c r="Q328" s="8"/>
      <c r="R328" s="8"/>
      <c r="S328" s="8"/>
      <c r="T328" s="8"/>
      <c r="U328" s="8"/>
      <c r="V328" s="8"/>
      <c r="W328" s="8"/>
      <c r="X328" s="8"/>
      <c r="Y328" s="8"/>
      <c r="Z328" s="8"/>
      <c r="AA328" s="8"/>
    </row>
    <row r="329" spans="1:27" ht="12.75">
      <c r="A329" s="8"/>
      <c r="B329" s="59"/>
      <c r="C329" s="59"/>
      <c r="D329" s="59"/>
      <c r="E329" s="59"/>
      <c r="F329" s="8"/>
      <c r="G329" s="8"/>
      <c r="H329" s="8"/>
      <c r="I329" s="8"/>
      <c r="J329" s="8"/>
      <c r="K329" s="8"/>
      <c r="L329" s="8"/>
      <c r="M329" s="8"/>
      <c r="N329" s="8"/>
      <c r="O329" s="8"/>
      <c r="P329" s="8"/>
      <c r="Q329" s="8"/>
      <c r="R329" s="8"/>
      <c r="S329" s="8"/>
      <c r="T329" s="8"/>
      <c r="U329" s="8"/>
      <c r="V329" s="8"/>
      <c r="W329" s="8"/>
      <c r="X329" s="8"/>
      <c r="Y329" s="8"/>
      <c r="Z329" s="8"/>
      <c r="AA329" s="8"/>
    </row>
    <row r="330" spans="1:27" ht="12.75">
      <c r="A330" s="8"/>
      <c r="B330" s="59"/>
      <c r="C330" s="59"/>
      <c r="D330" s="59"/>
      <c r="E330" s="59"/>
      <c r="F330" s="8"/>
      <c r="G330" s="8"/>
      <c r="H330" s="8"/>
      <c r="I330" s="8"/>
      <c r="J330" s="8"/>
      <c r="K330" s="8"/>
      <c r="L330" s="8"/>
      <c r="M330" s="8"/>
      <c r="N330" s="8"/>
      <c r="O330" s="8"/>
      <c r="P330" s="8"/>
      <c r="Q330" s="8"/>
      <c r="R330" s="8"/>
      <c r="S330" s="8"/>
      <c r="T330" s="8"/>
      <c r="U330" s="8"/>
      <c r="V330" s="8"/>
      <c r="W330" s="8"/>
      <c r="X330" s="8"/>
      <c r="Y330" s="8"/>
      <c r="Z330" s="8"/>
      <c r="AA330" s="8"/>
    </row>
    <row r="331" spans="1:27" ht="12.75">
      <c r="A331" s="8"/>
      <c r="B331" s="59"/>
      <c r="C331" s="59"/>
      <c r="D331" s="59"/>
      <c r="E331" s="59"/>
      <c r="F331" s="8"/>
      <c r="G331" s="8"/>
      <c r="H331" s="8"/>
      <c r="I331" s="8"/>
      <c r="J331" s="8"/>
      <c r="K331" s="8"/>
      <c r="L331" s="8"/>
      <c r="M331" s="8"/>
      <c r="N331" s="8"/>
      <c r="O331" s="8"/>
      <c r="P331" s="8"/>
      <c r="Q331" s="8"/>
      <c r="R331" s="8"/>
      <c r="S331" s="8"/>
      <c r="T331" s="8"/>
      <c r="U331" s="8"/>
      <c r="V331" s="8"/>
      <c r="W331" s="8"/>
      <c r="X331" s="8"/>
      <c r="Y331" s="8"/>
      <c r="Z331" s="8"/>
      <c r="AA331" s="8"/>
    </row>
    <row r="332" spans="1:27" ht="12.75">
      <c r="A332" s="8"/>
      <c r="B332" s="59"/>
      <c r="C332" s="59"/>
      <c r="D332" s="59"/>
      <c r="E332" s="59"/>
      <c r="F332" s="8"/>
      <c r="G332" s="8"/>
      <c r="H332" s="8"/>
      <c r="I332" s="8"/>
      <c r="J332" s="8"/>
      <c r="K332" s="8"/>
      <c r="L332" s="8"/>
      <c r="M332" s="8"/>
      <c r="N332" s="8"/>
      <c r="O332" s="8"/>
      <c r="P332" s="8"/>
      <c r="Q332" s="8"/>
      <c r="R332" s="8"/>
      <c r="S332" s="8"/>
      <c r="T332" s="8"/>
      <c r="U332" s="8"/>
      <c r="V332" s="8"/>
      <c r="W332" s="8"/>
      <c r="X332" s="8"/>
      <c r="Y332" s="8"/>
      <c r="Z332" s="8"/>
      <c r="AA332" s="8"/>
    </row>
    <row r="333" spans="1:27" ht="12.75">
      <c r="A333" s="8"/>
      <c r="B333" s="59"/>
      <c r="C333" s="59"/>
      <c r="D333" s="59"/>
      <c r="E333" s="59"/>
      <c r="F333" s="8"/>
      <c r="G333" s="8"/>
      <c r="H333" s="8"/>
      <c r="I333" s="8"/>
      <c r="J333" s="8"/>
      <c r="K333" s="8"/>
      <c r="L333" s="8"/>
      <c r="M333" s="8"/>
      <c r="N333" s="8"/>
      <c r="O333" s="8"/>
      <c r="P333" s="8"/>
      <c r="Q333" s="8"/>
      <c r="R333" s="8"/>
      <c r="S333" s="8"/>
      <c r="T333" s="8"/>
      <c r="U333" s="8"/>
      <c r="V333" s="8"/>
      <c r="W333" s="8"/>
      <c r="X333" s="8"/>
      <c r="Y333" s="8"/>
      <c r="Z333" s="8"/>
      <c r="AA333" s="8"/>
    </row>
    <row r="334" spans="1:27" ht="12.75">
      <c r="A334" s="8"/>
      <c r="B334" s="59"/>
      <c r="C334" s="59"/>
      <c r="D334" s="59"/>
      <c r="E334" s="59"/>
      <c r="F334" s="8"/>
      <c r="G334" s="8"/>
      <c r="H334" s="8"/>
      <c r="I334" s="8"/>
      <c r="J334" s="8"/>
      <c r="K334" s="8"/>
      <c r="L334" s="8"/>
      <c r="M334" s="8"/>
      <c r="N334" s="8"/>
      <c r="O334" s="8"/>
      <c r="P334" s="8"/>
      <c r="Q334" s="8"/>
      <c r="R334" s="8"/>
      <c r="S334" s="8"/>
      <c r="T334" s="8"/>
      <c r="U334" s="8"/>
      <c r="V334" s="8"/>
      <c r="W334" s="8"/>
      <c r="X334" s="8"/>
      <c r="Y334" s="8"/>
      <c r="Z334" s="8"/>
      <c r="AA334" s="8"/>
    </row>
    <row r="335" spans="1:27" ht="12.75">
      <c r="A335" s="8"/>
      <c r="B335" s="59"/>
      <c r="C335" s="59"/>
      <c r="D335" s="59"/>
      <c r="E335" s="59"/>
      <c r="F335" s="8"/>
      <c r="G335" s="8"/>
      <c r="H335" s="8"/>
      <c r="I335" s="8"/>
      <c r="J335" s="8"/>
      <c r="K335" s="8"/>
      <c r="L335" s="8"/>
      <c r="M335" s="8"/>
      <c r="N335" s="8"/>
      <c r="O335" s="8"/>
      <c r="P335" s="8"/>
      <c r="Q335" s="8"/>
      <c r="R335" s="8"/>
      <c r="S335" s="8"/>
      <c r="T335" s="8"/>
      <c r="U335" s="8"/>
      <c r="V335" s="8"/>
      <c r="W335" s="8"/>
      <c r="X335" s="8"/>
      <c r="Y335" s="8"/>
      <c r="Z335" s="8"/>
      <c r="AA335" s="8"/>
    </row>
    <row r="336" spans="1:27" ht="12.75">
      <c r="A336" s="8"/>
      <c r="B336" s="59"/>
      <c r="C336" s="59"/>
      <c r="D336" s="59"/>
      <c r="E336" s="59"/>
      <c r="F336" s="8"/>
      <c r="G336" s="8"/>
      <c r="H336" s="8"/>
      <c r="I336" s="8"/>
      <c r="J336" s="8"/>
      <c r="K336" s="8"/>
      <c r="L336" s="8"/>
      <c r="M336" s="8"/>
      <c r="N336" s="8"/>
      <c r="O336" s="8"/>
      <c r="P336" s="8"/>
      <c r="Q336" s="8"/>
      <c r="R336" s="8"/>
      <c r="S336" s="8"/>
      <c r="T336" s="8"/>
      <c r="U336" s="8"/>
      <c r="V336" s="8"/>
      <c r="W336" s="8"/>
      <c r="X336" s="8"/>
      <c r="Y336" s="8"/>
      <c r="Z336" s="8"/>
      <c r="AA336" s="8"/>
    </row>
    <row r="337" spans="1:27" ht="12.75">
      <c r="A337" s="8"/>
      <c r="B337" s="59"/>
      <c r="C337" s="59"/>
      <c r="D337" s="59"/>
      <c r="E337" s="59"/>
      <c r="F337" s="8"/>
      <c r="G337" s="8"/>
      <c r="H337" s="8"/>
      <c r="I337" s="8"/>
      <c r="J337" s="8"/>
      <c r="K337" s="8"/>
      <c r="L337" s="8"/>
      <c r="M337" s="8"/>
      <c r="N337" s="8"/>
      <c r="O337" s="8"/>
      <c r="P337" s="8"/>
      <c r="Q337" s="8"/>
      <c r="R337" s="8"/>
      <c r="S337" s="8"/>
      <c r="T337" s="8"/>
      <c r="U337" s="8"/>
      <c r="V337" s="8"/>
      <c r="W337" s="8"/>
      <c r="X337" s="8"/>
      <c r="Y337" s="8"/>
      <c r="Z337" s="8"/>
      <c r="AA337" s="8"/>
    </row>
    <row r="338" spans="1:27" ht="12.75">
      <c r="A338" s="8"/>
      <c r="B338" s="59"/>
      <c r="C338" s="59"/>
      <c r="D338" s="59"/>
      <c r="E338" s="59"/>
      <c r="F338" s="8"/>
      <c r="G338" s="8"/>
      <c r="H338" s="8"/>
      <c r="I338" s="8"/>
      <c r="J338" s="8"/>
      <c r="K338" s="8"/>
      <c r="L338" s="8"/>
      <c r="M338" s="8"/>
      <c r="N338" s="8"/>
      <c r="O338" s="8"/>
      <c r="P338" s="8"/>
      <c r="Q338" s="8"/>
      <c r="R338" s="8"/>
      <c r="S338" s="8"/>
      <c r="T338" s="8"/>
      <c r="U338" s="8"/>
      <c r="V338" s="8"/>
      <c r="W338" s="8"/>
      <c r="X338" s="8"/>
      <c r="Y338" s="8"/>
      <c r="Z338" s="8"/>
      <c r="AA338" s="8"/>
    </row>
    <row r="339" spans="1:27" ht="12.75">
      <c r="A339" s="8"/>
      <c r="B339" s="59"/>
      <c r="C339" s="59"/>
      <c r="D339" s="59"/>
      <c r="E339" s="59"/>
      <c r="F339" s="8"/>
      <c r="G339" s="8"/>
      <c r="H339" s="8"/>
      <c r="I339" s="8"/>
      <c r="J339" s="8"/>
      <c r="K339" s="8"/>
      <c r="L339" s="8"/>
      <c r="M339" s="8"/>
      <c r="N339" s="8"/>
      <c r="O339" s="8"/>
      <c r="P339" s="8"/>
      <c r="Q339" s="8"/>
      <c r="R339" s="8"/>
      <c r="S339" s="8"/>
      <c r="T339" s="8"/>
      <c r="U339" s="8"/>
      <c r="V339" s="8"/>
      <c r="W339" s="8"/>
      <c r="X339" s="8"/>
      <c r="Y339" s="8"/>
      <c r="Z339" s="8"/>
      <c r="AA339" s="8"/>
    </row>
    <row r="340" spans="1:27" ht="12.75">
      <c r="A340" s="8"/>
      <c r="B340" s="59"/>
      <c r="C340" s="59"/>
      <c r="D340" s="59"/>
      <c r="E340" s="59"/>
      <c r="F340" s="8"/>
      <c r="G340" s="8"/>
      <c r="H340" s="8"/>
      <c r="I340" s="8"/>
      <c r="J340" s="8"/>
      <c r="K340" s="8"/>
      <c r="L340" s="8"/>
      <c r="M340" s="8"/>
      <c r="N340" s="8"/>
      <c r="O340" s="8"/>
      <c r="P340" s="8"/>
      <c r="Q340" s="8"/>
      <c r="R340" s="8"/>
      <c r="S340" s="8"/>
      <c r="T340" s="8"/>
      <c r="U340" s="8"/>
      <c r="V340" s="8"/>
      <c r="W340" s="8"/>
      <c r="X340" s="8"/>
      <c r="Y340" s="8"/>
      <c r="Z340" s="8"/>
      <c r="AA340" s="8"/>
    </row>
    <row r="341" spans="1:27" ht="12.75">
      <c r="A341" s="8"/>
      <c r="B341" s="59"/>
      <c r="C341" s="59"/>
      <c r="D341" s="59"/>
      <c r="E341" s="59"/>
      <c r="F341" s="8"/>
      <c r="G341" s="8"/>
      <c r="H341" s="8"/>
      <c r="I341" s="8"/>
      <c r="J341" s="8"/>
      <c r="K341" s="8"/>
      <c r="L341" s="8"/>
      <c r="M341" s="8"/>
      <c r="N341" s="8"/>
      <c r="O341" s="8"/>
      <c r="P341" s="8"/>
      <c r="Q341" s="8"/>
      <c r="R341" s="8"/>
      <c r="S341" s="8"/>
      <c r="T341" s="8"/>
      <c r="U341" s="8"/>
      <c r="V341" s="8"/>
      <c r="W341" s="8"/>
      <c r="X341" s="8"/>
      <c r="Y341" s="8"/>
      <c r="Z341" s="8"/>
      <c r="AA341" s="8"/>
    </row>
    <row r="342" spans="1:27" ht="12.75">
      <c r="A342" s="8"/>
      <c r="B342" s="59"/>
      <c r="C342" s="59"/>
      <c r="D342" s="59"/>
      <c r="E342" s="59"/>
      <c r="F342" s="8"/>
      <c r="G342" s="8"/>
      <c r="H342" s="8"/>
      <c r="I342" s="8"/>
      <c r="J342" s="8"/>
      <c r="K342" s="8"/>
      <c r="L342" s="8"/>
      <c r="M342" s="8"/>
      <c r="N342" s="8"/>
      <c r="O342" s="8"/>
      <c r="P342" s="8"/>
      <c r="Q342" s="8"/>
      <c r="R342" s="8"/>
      <c r="S342" s="8"/>
      <c r="T342" s="8"/>
      <c r="U342" s="8"/>
      <c r="V342" s="8"/>
      <c r="W342" s="8"/>
      <c r="X342" s="8"/>
      <c r="Y342" s="8"/>
      <c r="Z342" s="8"/>
      <c r="AA342" s="8"/>
    </row>
    <row r="343" spans="1:27" ht="12.75">
      <c r="A343" s="8"/>
      <c r="B343" s="59"/>
      <c r="C343" s="59"/>
      <c r="D343" s="59"/>
      <c r="E343" s="59"/>
      <c r="F343" s="8"/>
      <c r="G343" s="8"/>
      <c r="H343" s="8"/>
      <c r="I343" s="8"/>
      <c r="J343" s="8"/>
      <c r="K343" s="8"/>
      <c r="L343" s="8"/>
      <c r="M343" s="8"/>
      <c r="N343" s="8"/>
      <c r="O343" s="8"/>
      <c r="P343" s="8"/>
      <c r="Q343" s="8"/>
      <c r="R343" s="8"/>
      <c r="S343" s="8"/>
      <c r="T343" s="8"/>
      <c r="U343" s="8"/>
      <c r="V343" s="8"/>
      <c r="W343" s="8"/>
      <c r="X343" s="8"/>
      <c r="Y343" s="8"/>
      <c r="Z343" s="8"/>
      <c r="AA343" s="8"/>
    </row>
    <row r="344" spans="1:27" ht="12.75">
      <c r="A344" s="8"/>
      <c r="B344" s="59"/>
      <c r="C344" s="59"/>
      <c r="D344" s="59"/>
      <c r="E344" s="59"/>
      <c r="F344" s="8"/>
      <c r="G344" s="8"/>
      <c r="H344" s="8"/>
      <c r="I344" s="8"/>
      <c r="J344" s="8"/>
      <c r="K344" s="8"/>
      <c r="L344" s="8"/>
      <c r="M344" s="8"/>
      <c r="N344" s="8"/>
      <c r="O344" s="8"/>
      <c r="P344" s="8"/>
      <c r="Q344" s="8"/>
      <c r="R344" s="8"/>
      <c r="S344" s="8"/>
      <c r="T344" s="8"/>
      <c r="U344" s="8"/>
      <c r="V344" s="8"/>
      <c r="W344" s="8"/>
      <c r="X344" s="8"/>
      <c r="Y344" s="8"/>
      <c r="Z344" s="8"/>
      <c r="AA344" s="8"/>
    </row>
    <row r="345" spans="1:27" ht="12.75">
      <c r="A345" s="8"/>
      <c r="B345" s="59"/>
      <c r="C345" s="59"/>
      <c r="D345" s="59"/>
      <c r="E345" s="59"/>
      <c r="F345" s="8"/>
      <c r="G345" s="8"/>
      <c r="H345" s="8"/>
      <c r="I345" s="8"/>
      <c r="J345" s="8"/>
      <c r="K345" s="8"/>
      <c r="L345" s="8"/>
      <c r="M345" s="8"/>
      <c r="N345" s="8"/>
      <c r="O345" s="8"/>
      <c r="P345" s="8"/>
      <c r="Q345" s="8"/>
      <c r="R345" s="8"/>
      <c r="S345" s="8"/>
      <c r="T345" s="8"/>
      <c r="U345" s="8"/>
      <c r="V345" s="8"/>
      <c r="W345" s="8"/>
      <c r="X345" s="8"/>
      <c r="Y345" s="8"/>
      <c r="Z345" s="8"/>
      <c r="AA345" s="8"/>
    </row>
    <row r="346" spans="1:27" ht="12.75">
      <c r="A346" s="8"/>
      <c r="B346" s="59"/>
      <c r="C346" s="59"/>
      <c r="D346" s="59"/>
      <c r="E346" s="59"/>
      <c r="F346" s="8"/>
      <c r="G346" s="8"/>
      <c r="H346" s="8"/>
      <c r="I346" s="8"/>
      <c r="J346" s="8"/>
      <c r="K346" s="8"/>
      <c r="L346" s="8"/>
      <c r="M346" s="8"/>
      <c r="N346" s="8"/>
      <c r="O346" s="8"/>
      <c r="P346" s="8"/>
      <c r="Q346" s="8"/>
      <c r="R346" s="8"/>
      <c r="S346" s="8"/>
      <c r="T346" s="8"/>
      <c r="U346" s="8"/>
      <c r="V346" s="8"/>
      <c r="W346" s="8"/>
      <c r="X346" s="8"/>
      <c r="Y346" s="8"/>
      <c r="Z346" s="8"/>
      <c r="AA346" s="8"/>
    </row>
    <row r="347" spans="1:27" ht="12.75">
      <c r="A347" s="8"/>
      <c r="B347" s="59"/>
      <c r="C347" s="59"/>
      <c r="D347" s="59"/>
      <c r="E347" s="59"/>
      <c r="F347" s="8"/>
      <c r="G347" s="8"/>
      <c r="H347" s="8"/>
      <c r="I347" s="8"/>
      <c r="J347" s="8"/>
      <c r="K347" s="8"/>
      <c r="L347" s="8"/>
      <c r="M347" s="8"/>
      <c r="N347" s="8"/>
      <c r="O347" s="8"/>
      <c r="P347" s="8"/>
      <c r="Q347" s="8"/>
      <c r="R347" s="8"/>
      <c r="S347" s="8"/>
      <c r="T347" s="8"/>
      <c r="U347" s="8"/>
      <c r="V347" s="8"/>
      <c r="W347" s="8"/>
      <c r="X347" s="8"/>
      <c r="Y347" s="8"/>
      <c r="Z347" s="8"/>
      <c r="AA347" s="8"/>
    </row>
    <row r="348" spans="1:27" ht="12.75">
      <c r="A348" s="8"/>
      <c r="B348" s="59"/>
      <c r="C348" s="59"/>
      <c r="D348" s="59"/>
      <c r="E348" s="59"/>
      <c r="F348" s="8"/>
      <c r="G348" s="8"/>
      <c r="H348" s="8"/>
      <c r="I348" s="8"/>
      <c r="J348" s="8"/>
      <c r="K348" s="8"/>
      <c r="L348" s="8"/>
      <c r="M348" s="8"/>
      <c r="N348" s="8"/>
      <c r="O348" s="8"/>
      <c r="P348" s="8"/>
      <c r="Q348" s="8"/>
      <c r="R348" s="8"/>
      <c r="S348" s="8"/>
      <c r="T348" s="8"/>
      <c r="U348" s="8"/>
      <c r="V348" s="8"/>
      <c r="W348" s="8"/>
      <c r="X348" s="8"/>
      <c r="Y348" s="8"/>
      <c r="Z348" s="8"/>
      <c r="AA348" s="8"/>
    </row>
    <row r="349" spans="1:27" ht="12.75">
      <c r="A349" s="8"/>
      <c r="B349" s="59"/>
      <c r="C349" s="59"/>
      <c r="D349" s="59"/>
      <c r="E349" s="59"/>
      <c r="F349" s="8"/>
      <c r="G349" s="8"/>
      <c r="H349" s="8"/>
      <c r="I349" s="8"/>
      <c r="J349" s="8"/>
      <c r="K349" s="8"/>
      <c r="L349" s="8"/>
      <c r="M349" s="8"/>
      <c r="N349" s="8"/>
      <c r="O349" s="8"/>
      <c r="P349" s="8"/>
      <c r="Q349" s="8"/>
      <c r="R349" s="8"/>
      <c r="S349" s="8"/>
      <c r="T349" s="8"/>
      <c r="U349" s="8"/>
      <c r="V349" s="8"/>
      <c r="W349" s="8"/>
      <c r="X349" s="8"/>
      <c r="Y349" s="8"/>
      <c r="Z349" s="8"/>
      <c r="AA349" s="8"/>
    </row>
    <row r="350" spans="1:27" ht="12.75">
      <c r="A350" s="8"/>
      <c r="B350" s="59"/>
      <c r="C350" s="59"/>
      <c r="D350" s="59"/>
      <c r="E350" s="59"/>
      <c r="F350" s="8"/>
      <c r="G350" s="8"/>
      <c r="H350" s="8"/>
      <c r="I350" s="8"/>
      <c r="J350" s="8"/>
      <c r="K350" s="8"/>
      <c r="L350" s="8"/>
      <c r="M350" s="8"/>
      <c r="N350" s="8"/>
      <c r="O350" s="8"/>
      <c r="P350" s="8"/>
      <c r="Q350" s="8"/>
      <c r="R350" s="8"/>
      <c r="S350" s="8"/>
      <c r="T350" s="8"/>
      <c r="U350" s="8"/>
      <c r="V350" s="8"/>
      <c r="W350" s="8"/>
      <c r="X350" s="8"/>
      <c r="Y350" s="8"/>
      <c r="Z350" s="8"/>
      <c r="AA350" s="8"/>
    </row>
    <row r="351" spans="1:27" ht="12.75">
      <c r="A351" s="8"/>
      <c r="B351" s="59"/>
      <c r="C351" s="59"/>
      <c r="D351" s="59"/>
      <c r="E351" s="59"/>
      <c r="F351" s="8"/>
      <c r="G351" s="8"/>
      <c r="H351" s="8"/>
      <c r="I351" s="8"/>
      <c r="J351" s="8"/>
      <c r="K351" s="8"/>
      <c r="L351" s="8"/>
      <c r="M351" s="8"/>
      <c r="N351" s="8"/>
      <c r="O351" s="8"/>
      <c r="P351" s="8"/>
      <c r="Q351" s="8"/>
      <c r="R351" s="8"/>
      <c r="S351" s="8"/>
      <c r="T351" s="8"/>
      <c r="U351" s="8"/>
      <c r="V351" s="8"/>
      <c r="W351" s="8"/>
      <c r="X351" s="8"/>
      <c r="Y351" s="8"/>
      <c r="Z351" s="8"/>
      <c r="AA351" s="8"/>
    </row>
    <row r="352" spans="1:27" ht="12.75">
      <c r="A352" s="8"/>
      <c r="B352" s="59"/>
      <c r="C352" s="59"/>
      <c r="D352" s="59"/>
      <c r="E352" s="59"/>
      <c r="F352" s="8"/>
      <c r="G352" s="8"/>
      <c r="H352" s="8"/>
      <c r="I352" s="8"/>
      <c r="J352" s="8"/>
      <c r="K352" s="8"/>
      <c r="L352" s="8"/>
      <c r="M352" s="8"/>
      <c r="N352" s="8"/>
      <c r="O352" s="8"/>
      <c r="P352" s="8"/>
      <c r="Q352" s="8"/>
      <c r="R352" s="8"/>
      <c r="S352" s="8"/>
      <c r="T352" s="8"/>
      <c r="U352" s="8"/>
      <c r="V352" s="8"/>
      <c r="W352" s="8"/>
      <c r="X352" s="8"/>
      <c r="Y352" s="8"/>
      <c r="Z352" s="8"/>
      <c r="AA352" s="8"/>
    </row>
    <row r="353" spans="1:27" ht="12.75">
      <c r="A353" s="8"/>
      <c r="B353" s="59"/>
      <c r="C353" s="59"/>
      <c r="D353" s="59"/>
      <c r="E353" s="59"/>
      <c r="F353" s="8"/>
      <c r="G353" s="8"/>
      <c r="H353" s="8"/>
      <c r="I353" s="8"/>
      <c r="J353" s="8"/>
      <c r="K353" s="8"/>
      <c r="L353" s="8"/>
      <c r="M353" s="8"/>
      <c r="N353" s="8"/>
      <c r="O353" s="8"/>
      <c r="P353" s="8"/>
      <c r="Q353" s="8"/>
      <c r="R353" s="8"/>
      <c r="S353" s="8"/>
      <c r="T353" s="8"/>
      <c r="U353" s="8"/>
      <c r="V353" s="8"/>
      <c r="W353" s="8"/>
      <c r="X353" s="8"/>
      <c r="Y353" s="8"/>
      <c r="Z353" s="8"/>
      <c r="AA353" s="8"/>
    </row>
    <row r="354" spans="1:27" ht="12.75">
      <c r="A354" s="8"/>
      <c r="B354" s="59"/>
      <c r="C354" s="59"/>
      <c r="D354" s="59"/>
      <c r="E354" s="59"/>
      <c r="F354" s="8"/>
      <c r="G354" s="8"/>
      <c r="H354" s="8"/>
      <c r="I354" s="8"/>
      <c r="J354" s="8"/>
      <c r="K354" s="8"/>
      <c r="L354" s="8"/>
      <c r="M354" s="8"/>
      <c r="N354" s="8"/>
      <c r="O354" s="8"/>
      <c r="P354" s="8"/>
      <c r="Q354" s="8"/>
      <c r="R354" s="8"/>
      <c r="S354" s="8"/>
      <c r="T354" s="8"/>
      <c r="U354" s="8"/>
      <c r="V354" s="8"/>
      <c r="W354" s="8"/>
      <c r="X354" s="8"/>
      <c r="Y354" s="8"/>
      <c r="Z354" s="8"/>
      <c r="AA354" s="8"/>
    </row>
    <row r="355" spans="1:27" ht="12.75">
      <c r="A355" s="8"/>
      <c r="B355" s="59"/>
      <c r="C355" s="59"/>
      <c r="D355" s="59"/>
      <c r="E355" s="59"/>
      <c r="F355" s="8"/>
      <c r="G355" s="8"/>
      <c r="H355" s="8"/>
      <c r="I355" s="8"/>
      <c r="J355" s="8"/>
      <c r="K355" s="8"/>
      <c r="L355" s="8"/>
      <c r="M355" s="8"/>
      <c r="N355" s="8"/>
      <c r="O355" s="8"/>
      <c r="P355" s="8"/>
      <c r="Q355" s="8"/>
      <c r="R355" s="8"/>
      <c r="S355" s="8"/>
      <c r="T355" s="8"/>
      <c r="U355" s="8"/>
      <c r="V355" s="8"/>
      <c r="W355" s="8"/>
      <c r="X355" s="8"/>
      <c r="Y355" s="8"/>
      <c r="Z355" s="8"/>
      <c r="AA355" s="8"/>
    </row>
    <row r="356" spans="1:27" ht="12.75">
      <c r="A356" s="8"/>
      <c r="B356" s="59"/>
      <c r="C356" s="59"/>
      <c r="D356" s="59"/>
      <c r="E356" s="59"/>
      <c r="F356" s="8"/>
      <c r="G356" s="8"/>
      <c r="H356" s="8"/>
      <c r="I356" s="8"/>
      <c r="J356" s="8"/>
      <c r="K356" s="8"/>
      <c r="L356" s="8"/>
      <c r="M356" s="8"/>
      <c r="N356" s="8"/>
      <c r="O356" s="8"/>
      <c r="P356" s="8"/>
      <c r="Q356" s="8"/>
      <c r="R356" s="8"/>
      <c r="S356" s="8"/>
      <c r="T356" s="8"/>
      <c r="U356" s="8"/>
      <c r="V356" s="8"/>
      <c r="W356" s="8"/>
      <c r="X356" s="8"/>
      <c r="Y356" s="8"/>
      <c r="Z356" s="8"/>
      <c r="AA356" s="8"/>
    </row>
    <row r="357" spans="1:27" ht="12.75">
      <c r="A357" s="8"/>
      <c r="B357" s="59"/>
      <c r="C357" s="59"/>
      <c r="D357" s="59"/>
      <c r="E357" s="59"/>
      <c r="F357" s="8"/>
      <c r="G357" s="8"/>
      <c r="H357" s="8"/>
      <c r="I357" s="8"/>
      <c r="J357" s="8"/>
      <c r="K357" s="8"/>
      <c r="L357" s="8"/>
      <c r="M357" s="8"/>
      <c r="N357" s="8"/>
      <c r="O357" s="8"/>
      <c r="P357" s="8"/>
      <c r="Q357" s="8"/>
      <c r="R357" s="8"/>
      <c r="S357" s="8"/>
      <c r="T357" s="8"/>
      <c r="U357" s="8"/>
      <c r="V357" s="8"/>
      <c r="W357" s="8"/>
      <c r="X357" s="8"/>
      <c r="Y357" s="8"/>
      <c r="Z357" s="8"/>
      <c r="AA357" s="8"/>
    </row>
    <row r="358" spans="1:27" ht="12.75">
      <c r="A358" s="8"/>
      <c r="B358" s="59"/>
      <c r="C358" s="59"/>
      <c r="D358" s="59"/>
      <c r="E358" s="59"/>
      <c r="F358" s="8"/>
      <c r="G358" s="8"/>
      <c r="H358" s="8"/>
      <c r="I358" s="8"/>
      <c r="J358" s="8"/>
      <c r="K358" s="8"/>
      <c r="L358" s="8"/>
      <c r="M358" s="8"/>
      <c r="N358" s="8"/>
      <c r="O358" s="8"/>
      <c r="P358" s="8"/>
      <c r="Q358" s="8"/>
      <c r="R358" s="8"/>
      <c r="S358" s="8"/>
      <c r="T358" s="8"/>
      <c r="U358" s="8"/>
      <c r="V358" s="8"/>
      <c r="W358" s="8"/>
      <c r="X358" s="8"/>
      <c r="Y358" s="8"/>
      <c r="Z358" s="8"/>
      <c r="AA358" s="8"/>
    </row>
    <row r="359" spans="1:27" ht="12.75">
      <c r="A359" s="8"/>
      <c r="B359" s="59"/>
      <c r="C359" s="59"/>
      <c r="D359" s="59"/>
      <c r="E359" s="59"/>
      <c r="F359" s="8"/>
      <c r="G359" s="8"/>
      <c r="H359" s="8"/>
      <c r="I359" s="8"/>
      <c r="J359" s="8"/>
      <c r="K359" s="8"/>
      <c r="L359" s="8"/>
      <c r="M359" s="8"/>
      <c r="N359" s="8"/>
      <c r="O359" s="8"/>
      <c r="P359" s="8"/>
      <c r="Q359" s="8"/>
      <c r="R359" s="8"/>
      <c r="S359" s="8"/>
      <c r="T359" s="8"/>
      <c r="U359" s="8"/>
      <c r="V359" s="8"/>
      <c r="W359" s="8"/>
      <c r="X359" s="8"/>
      <c r="Y359" s="8"/>
      <c r="Z359" s="8"/>
      <c r="AA359" s="8"/>
    </row>
    <row r="360" spans="1:27" ht="12.75">
      <c r="A360" s="8"/>
      <c r="B360" s="59"/>
      <c r="C360" s="59"/>
      <c r="D360" s="59"/>
      <c r="E360" s="59"/>
      <c r="F360" s="8"/>
      <c r="G360" s="8"/>
      <c r="H360" s="8"/>
      <c r="I360" s="8"/>
      <c r="J360" s="8"/>
      <c r="K360" s="8"/>
      <c r="L360" s="8"/>
      <c r="M360" s="8"/>
      <c r="N360" s="8"/>
      <c r="O360" s="8"/>
      <c r="P360" s="8"/>
      <c r="Q360" s="8"/>
      <c r="R360" s="8"/>
      <c r="S360" s="8"/>
      <c r="T360" s="8"/>
      <c r="U360" s="8"/>
      <c r="V360" s="8"/>
      <c r="W360" s="8"/>
      <c r="X360" s="8"/>
      <c r="Y360" s="8"/>
      <c r="Z360" s="8"/>
      <c r="AA360" s="8"/>
    </row>
    <row r="361" spans="1:27" ht="12.75">
      <c r="A361" s="8"/>
      <c r="B361" s="59"/>
      <c r="C361" s="59"/>
      <c r="D361" s="59"/>
      <c r="E361" s="59"/>
      <c r="F361" s="8"/>
      <c r="G361" s="8"/>
      <c r="H361" s="8"/>
      <c r="I361" s="8"/>
      <c r="J361" s="8"/>
      <c r="K361" s="8"/>
      <c r="L361" s="8"/>
      <c r="M361" s="8"/>
      <c r="N361" s="8"/>
      <c r="O361" s="8"/>
      <c r="P361" s="8"/>
      <c r="Q361" s="8"/>
      <c r="R361" s="8"/>
      <c r="S361" s="8"/>
      <c r="T361" s="8"/>
      <c r="U361" s="8"/>
      <c r="V361" s="8"/>
      <c r="W361" s="8"/>
      <c r="X361" s="8"/>
      <c r="Y361" s="8"/>
      <c r="Z361" s="8"/>
      <c r="AA361" s="8"/>
    </row>
    <row r="362" spans="1:27" ht="12.75">
      <c r="A362" s="8"/>
      <c r="B362" s="59"/>
      <c r="C362" s="59"/>
      <c r="D362" s="59"/>
      <c r="E362" s="59"/>
      <c r="F362" s="8"/>
      <c r="G362" s="8"/>
      <c r="H362" s="8"/>
      <c r="I362" s="8"/>
      <c r="J362" s="8"/>
      <c r="K362" s="8"/>
      <c r="L362" s="8"/>
      <c r="M362" s="8"/>
      <c r="N362" s="8"/>
      <c r="O362" s="8"/>
      <c r="P362" s="8"/>
      <c r="Q362" s="8"/>
      <c r="R362" s="8"/>
      <c r="S362" s="8"/>
      <c r="T362" s="8"/>
      <c r="U362" s="8"/>
      <c r="V362" s="8"/>
      <c r="W362" s="8"/>
      <c r="X362" s="8"/>
      <c r="Y362" s="8"/>
      <c r="Z362" s="8"/>
      <c r="AA362" s="8"/>
    </row>
    <row r="363" spans="1:27" ht="12.75">
      <c r="A363" s="8"/>
      <c r="B363" s="59"/>
      <c r="C363" s="59"/>
      <c r="D363" s="59"/>
      <c r="E363" s="59"/>
      <c r="F363" s="8"/>
      <c r="G363" s="8"/>
      <c r="H363" s="8"/>
      <c r="I363" s="8"/>
      <c r="J363" s="8"/>
      <c r="K363" s="8"/>
      <c r="L363" s="8"/>
      <c r="M363" s="8"/>
      <c r="N363" s="8"/>
      <c r="O363" s="8"/>
      <c r="P363" s="8"/>
      <c r="Q363" s="8"/>
      <c r="R363" s="8"/>
      <c r="S363" s="8"/>
      <c r="T363" s="8"/>
      <c r="U363" s="8"/>
      <c r="V363" s="8"/>
      <c r="W363" s="8"/>
      <c r="X363" s="8"/>
      <c r="Y363" s="8"/>
      <c r="Z363" s="8"/>
      <c r="AA363" s="8"/>
    </row>
    <row r="364" spans="1:27" ht="12.75">
      <c r="A364" s="8"/>
      <c r="B364" s="59"/>
      <c r="C364" s="59"/>
      <c r="D364" s="59"/>
      <c r="E364" s="59"/>
      <c r="F364" s="8"/>
      <c r="G364" s="8"/>
      <c r="H364" s="8"/>
      <c r="I364" s="8"/>
      <c r="J364" s="8"/>
      <c r="K364" s="8"/>
      <c r="L364" s="8"/>
      <c r="M364" s="8"/>
      <c r="N364" s="8"/>
      <c r="O364" s="8"/>
      <c r="P364" s="8"/>
      <c r="Q364" s="8"/>
      <c r="R364" s="8"/>
      <c r="S364" s="8"/>
      <c r="T364" s="8"/>
      <c r="U364" s="8"/>
      <c r="V364" s="8"/>
      <c r="W364" s="8"/>
      <c r="X364" s="8"/>
      <c r="Y364" s="8"/>
      <c r="Z364" s="8"/>
      <c r="AA364" s="8"/>
    </row>
    <row r="365" spans="1:27" ht="12.75">
      <c r="A365" s="8"/>
      <c r="B365" s="59"/>
      <c r="C365" s="59"/>
      <c r="D365" s="59"/>
      <c r="E365" s="59"/>
      <c r="F365" s="8"/>
      <c r="G365" s="8"/>
      <c r="H365" s="8"/>
      <c r="I365" s="8"/>
      <c r="J365" s="8"/>
      <c r="K365" s="8"/>
      <c r="L365" s="8"/>
      <c r="M365" s="8"/>
      <c r="N365" s="8"/>
      <c r="O365" s="8"/>
      <c r="P365" s="8"/>
      <c r="Q365" s="8"/>
      <c r="R365" s="8"/>
      <c r="S365" s="8"/>
      <c r="T365" s="8"/>
      <c r="U365" s="8"/>
      <c r="V365" s="8"/>
      <c r="W365" s="8"/>
      <c r="X365" s="8"/>
      <c r="Y365" s="8"/>
      <c r="Z365" s="8"/>
      <c r="AA365" s="8"/>
    </row>
    <row r="366" spans="1:27" ht="12.75">
      <c r="A366" s="8"/>
      <c r="B366" s="59"/>
      <c r="C366" s="59"/>
      <c r="D366" s="59"/>
      <c r="E366" s="59"/>
      <c r="F366" s="8"/>
      <c r="G366" s="8"/>
      <c r="H366" s="8"/>
      <c r="I366" s="8"/>
      <c r="J366" s="8"/>
      <c r="K366" s="8"/>
      <c r="L366" s="8"/>
      <c r="M366" s="8"/>
      <c r="N366" s="8"/>
      <c r="O366" s="8"/>
      <c r="P366" s="8"/>
      <c r="Q366" s="8"/>
      <c r="R366" s="8"/>
      <c r="S366" s="8"/>
      <c r="T366" s="8"/>
      <c r="U366" s="8"/>
      <c r="V366" s="8"/>
      <c r="W366" s="8"/>
      <c r="X366" s="8"/>
      <c r="Y366" s="8"/>
      <c r="Z366" s="8"/>
      <c r="AA366" s="8"/>
    </row>
    <row r="367" spans="1:27" ht="12.75">
      <c r="A367" s="8"/>
      <c r="B367" s="59"/>
      <c r="C367" s="59"/>
      <c r="D367" s="59"/>
      <c r="E367" s="59"/>
      <c r="F367" s="8"/>
      <c r="G367" s="8"/>
      <c r="H367" s="8"/>
      <c r="I367" s="8"/>
      <c r="J367" s="8"/>
      <c r="K367" s="8"/>
      <c r="L367" s="8"/>
      <c r="M367" s="8"/>
      <c r="N367" s="8"/>
      <c r="O367" s="8"/>
      <c r="P367" s="8"/>
      <c r="Q367" s="8"/>
      <c r="R367" s="8"/>
      <c r="S367" s="8"/>
      <c r="T367" s="8"/>
      <c r="U367" s="8"/>
      <c r="V367" s="8"/>
      <c r="W367" s="8"/>
      <c r="X367" s="8"/>
      <c r="Y367" s="8"/>
      <c r="Z367" s="8"/>
      <c r="AA367" s="8"/>
    </row>
    <row r="368" spans="1:27" ht="12.75">
      <c r="A368" s="8"/>
      <c r="B368" s="59"/>
      <c r="C368" s="59"/>
      <c r="D368" s="59"/>
      <c r="E368" s="59"/>
      <c r="F368" s="8"/>
      <c r="G368" s="8"/>
      <c r="H368" s="8"/>
      <c r="I368" s="8"/>
      <c r="J368" s="8"/>
      <c r="K368" s="8"/>
      <c r="L368" s="8"/>
      <c r="M368" s="8"/>
      <c r="N368" s="8"/>
      <c r="O368" s="8"/>
      <c r="P368" s="8"/>
      <c r="Q368" s="8"/>
      <c r="R368" s="8"/>
      <c r="S368" s="8"/>
      <c r="T368" s="8"/>
      <c r="U368" s="8"/>
      <c r="V368" s="8"/>
      <c r="W368" s="8"/>
      <c r="X368" s="8"/>
      <c r="Y368" s="8"/>
      <c r="Z368" s="8"/>
      <c r="AA368" s="8"/>
    </row>
    <row r="369" spans="1:27" ht="12.75">
      <c r="A369" s="8"/>
      <c r="B369" s="59"/>
      <c r="C369" s="59"/>
      <c r="D369" s="59"/>
      <c r="E369" s="59"/>
      <c r="F369" s="8"/>
      <c r="G369" s="8"/>
      <c r="H369" s="8"/>
      <c r="I369" s="8"/>
      <c r="J369" s="8"/>
      <c r="K369" s="8"/>
      <c r="L369" s="8"/>
      <c r="M369" s="8"/>
      <c r="N369" s="8"/>
      <c r="O369" s="8"/>
      <c r="P369" s="8"/>
      <c r="Q369" s="8"/>
      <c r="R369" s="8"/>
      <c r="S369" s="8"/>
      <c r="T369" s="8"/>
      <c r="U369" s="8"/>
      <c r="V369" s="8"/>
      <c r="W369" s="8"/>
      <c r="X369" s="8"/>
      <c r="Y369" s="8"/>
      <c r="Z369" s="8"/>
      <c r="AA369" s="8"/>
    </row>
    <row r="370" spans="1:27" ht="12.75">
      <c r="A370" s="8"/>
      <c r="B370" s="59"/>
      <c r="C370" s="59"/>
      <c r="D370" s="59"/>
      <c r="E370" s="59"/>
      <c r="F370" s="8"/>
      <c r="G370" s="8"/>
      <c r="H370" s="8"/>
      <c r="I370" s="8"/>
      <c r="J370" s="8"/>
      <c r="K370" s="8"/>
      <c r="L370" s="8"/>
      <c r="M370" s="8"/>
      <c r="N370" s="8"/>
      <c r="O370" s="8"/>
      <c r="P370" s="8"/>
      <c r="Q370" s="8"/>
      <c r="R370" s="8"/>
      <c r="S370" s="8"/>
      <c r="T370" s="8"/>
      <c r="U370" s="8"/>
      <c r="V370" s="8"/>
      <c r="W370" s="8"/>
      <c r="X370" s="8"/>
      <c r="Y370" s="8"/>
      <c r="Z370" s="8"/>
      <c r="AA370" s="8"/>
    </row>
    <row r="371" spans="1:27" ht="12.75">
      <c r="A371" s="8"/>
      <c r="B371" s="59"/>
      <c r="C371" s="59"/>
      <c r="D371" s="59"/>
      <c r="E371" s="59"/>
      <c r="F371" s="8"/>
      <c r="G371" s="8"/>
      <c r="H371" s="8"/>
      <c r="I371" s="8"/>
      <c r="J371" s="8"/>
      <c r="K371" s="8"/>
      <c r="L371" s="8"/>
      <c r="M371" s="8"/>
      <c r="N371" s="8"/>
      <c r="O371" s="8"/>
      <c r="P371" s="8"/>
      <c r="Q371" s="8"/>
      <c r="R371" s="8"/>
      <c r="S371" s="8"/>
      <c r="T371" s="8"/>
      <c r="U371" s="8"/>
      <c r="V371" s="8"/>
      <c r="W371" s="8"/>
      <c r="X371" s="8"/>
      <c r="Y371" s="8"/>
      <c r="Z371" s="8"/>
      <c r="AA371" s="8"/>
    </row>
    <row r="372" spans="1:27" ht="12.75">
      <c r="A372" s="8"/>
      <c r="B372" s="59"/>
      <c r="C372" s="59"/>
      <c r="D372" s="59"/>
      <c r="E372" s="59"/>
      <c r="F372" s="8"/>
      <c r="G372" s="8"/>
      <c r="H372" s="8"/>
      <c r="I372" s="8"/>
      <c r="J372" s="8"/>
      <c r="K372" s="8"/>
      <c r="L372" s="8"/>
      <c r="M372" s="8"/>
      <c r="N372" s="8"/>
      <c r="O372" s="8"/>
      <c r="P372" s="8"/>
      <c r="Q372" s="8"/>
      <c r="R372" s="8"/>
      <c r="S372" s="8"/>
      <c r="T372" s="8"/>
      <c r="U372" s="8"/>
      <c r="V372" s="8"/>
      <c r="W372" s="8"/>
      <c r="X372" s="8"/>
      <c r="Y372" s="8"/>
      <c r="Z372" s="8"/>
      <c r="AA372" s="8"/>
    </row>
    <row r="373" spans="1:27" ht="12.75">
      <c r="A373" s="8"/>
      <c r="B373" s="59"/>
      <c r="C373" s="59"/>
      <c r="D373" s="59"/>
      <c r="E373" s="59"/>
      <c r="F373" s="8"/>
      <c r="G373" s="8"/>
      <c r="H373" s="8"/>
      <c r="I373" s="8"/>
      <c r="J373" s="8"/>
      <c r="K373" s="8"/>
      <c r="L373" s="8"/>
      <c r="M373" s="8"/>
      <c r="N373" s="8"/>
      <c r="O373" s="8"/>
      <c r="P373" s="8"/>
      <c r="Q373" s="8"/>
      <c r="R373" s="8"/>
      <c r="S373" s="8"/>
      <c r="T373" s="8"/>
      <c r="U373" s="8"/>
      <c r="V373" s="8"/>
      <c r="W373" s="8"/>
      <c r="X373" s="8"/>
      <c r="Y373" s="8"/>
      <c r="Z373" s="8"/>
      <c r="AA373" s="8"/>
    </row>
    <row r="374" spans="1:27" ht="12.75">
      <c r="A374" s="8"/>
      <c r="B374" s="59"/>
      <c r="C374" s="59"/>
      <c r="D374" s="59"/>
      <c r="E374" s="59"/>
      <c r="F374" s="8"/>
      <c r="G374" s="8"/>
      <c r="H374" s="8"/>
      <c r="I374" s="8"/>
      <c r="J374" s="8"/>
      <c r="K374" s="8"/>
      <c r="L374" s="8"/>
      <c r="M374" s="8"/>
      <c r="N374" s="8"/>
      <c r="O374" s="8"/>
      <c r="P374" s="8"/>
      <c r="Q374" s="8"/>
      <c r="R374" s="8"/>
      <c r="S374" s="8"/>
      <c r="T374" s="8"/>
      <c r="U374" s="8"/>
      <c r="V374" s="8"/>
      <c r="W374" s="8"/>
      <c r="X374" s="8"/>
      <c r="Y374" s="8"/>
      <c r="Z374" s="8"/>
      <c r="AA374" s="8"/>
    </row>
    <row r="375" spans="1:27" ht="12.75">
      <c r="A375" s="8"/>
      <c r="B375" s="59"/>
      <c r="C375" s="59"/>
      <c r="D375" s="59"/>
      <c r="E375" s="59"/>
      <c r="F375" s="8"/>
      <c r="G375" s="8"/>
      <c r="H375" s="8"/>
      <c r="I375" s="8"/>
      <c r="J375" s="8"/>
      <c r="K375" s="8"/>
      <c r="L375" s="8"/>
      <c r="M375" s="8"/>
      <c r="N375" s="8"/>
      <c r="O375" s="8"/>
      <c r="P375" s="8"/>
      <c r="Q375" s="8"/>
      <c r="R375" s="8"/>
      <c r="S375" s="8"/>
      <c r="T375" s="8"/>
      <c r="U375" s="8"/>
      <c r="V375" s="8"/>
      <c r="W375" s="8"/>
      <c r="X375" s="8"/>
      <c r="Y375" s="8"/>
      <c r="Z375" s="8"/>
      <c r="AA375" s="8"/>
    </row>
    <row r="376" spans="1:27" ht="12.75">
      <c r="A376" s="8"/>
      <c r="B376" s="59"/>
      <c r="C376" s="59"/>
      <c r="D376" s="59"/>
      <c r="E376" s="59"/>
      <c r="F376" s="8"/>
      <c r="G376" s="8"/>
      <c r="H376" s="8"/>
      <c r="I376" s="8"/>
      <c r="J376" s="8"/>
      <c r="K376" s="8"/>
      <c r="L376" s="8"/>
      <c r="M376" s="8"/>
      <c r="N376" s="8"/>
      <c r="O376" s="8"/>
      <c r="P376" s="8"/>
      <c r="Q376" s="8"/>
      <c r="R376" s="8"/>
      <c r="S376" s="8"/>
      <c r="T376" s="8"/>
      <c r="U376" s="8"/>
      <c r="V376" s="8"/>
      <c r="W376" s="8"/>
      <c r="X376" s="8"/>
      <c r="Y376" s="8"/>
      <c r="Z376" s="8"/>
      <c r="AA376" s="8"/>
    </row>
    <row r="377" spans="1:27" ht="12.75">
      <c r="A377" s="8"/>
      <c r="B377" s="59"/>
      <c r="C377" s="59"/>
      <c r="D377" s="59"/>
      <c r="E377" s="59"/>
      <c r="F377" s="8"/>
      <c r="G377" s="8"/>
      <c r="H377" s="8"/>
      <c r="I377" s="8"/>
      <c r="J377" s="8"/>
      <c r="K377" s="8"/>
      <c r="L377" s="8"/>
      <c r="M377" s="8"/>
      <c r="N377" s="8"/>
      <c r="O377" s="8"/>
      <c r="P377" s="8"/>
      <c r="Q377" s="8"/>
      <c r="R377" s="8"/>
      <c r="S377" s="8"/>
      <c r="T377" s="8"/>
      <c r="U377" s="8"/>
      <c r="V377" s="8"/>
      <c r="W377" s="8"/>
      <c r="X377" s="8"/>
      <c r="Y377" s="8"/>
      <c r="Z377" s="8"/>
      <c r="AA377" s="8"/>
    </row>
    <row r="378" spans="1:27" ht="12.75">
      <c r="A378" s="8"/>
      <c r="B378" s="59"/>
      <c r="C378" s="59"/>
      <c r="D378" s="59"/>
      <c r="E378" s="59"/>
      <c r="F378" s="8"/>
      <c r="G378" s="8"/>
      <c r="H378" s="8"/>
      <c r="I378" s="8"/>
      <c r="J378" s="8"/>
      <c r="K378" s="8"/>
      <c r="L378" s="8"/>
      <c r="M378" s="8"/>
      <c r="N378" s="8"/>
      <c r="O378" s="8"/>
      <c r="P378" s="8"/>
      <c r="Q378" s="8"/>
      <c r="R378" s="8"/>
      <c r="S378" s="8"/>
      <c r="T378" s="8"/>
      <c r="U378" s="8"/>
      <c r="V378" s="8"/>
      <c r="W378" s="8"/>
      <c r="X378" s="8"/>
      <c r="Y378" s="8"/>
      <c r="Z378" s="8"/>
      <c r="AA378" s="8"/>
    </row>
    <row r="379" spans="1:27" ht="12.75">
      <c r="A379" s="8"/>
      <c r="B379" s="59"/>
      <c r="C379" s="59"/>
      <c r="D379" s="59"/>
      <c r="E379" s="59"/>
      <c r="F379" s="8"/>
      <c r="G379" s="8"/>
      <c r="H379" s="8"/>
      <c r="I379" s="8"/>
      <c r="J379" s="8"/>
      <c r="K379" s="8"/>
      <c r="L379" s="8"/>
      <c r="M379" s="8"/>
      <c r="N379" s="8"/>
      <c r="O379" s="8"/>
      <c r="P379" s="8"/>
      <c r="Q379" s="8"/>
      <c r="R379" s="8"/>
      <c r="S379" s="8"/>
      <c r="T379" s="8"/>
      <c r="U379" s="8"/>
      <c r="V379" s="8"/>
      <c r="W379" s="8"/>
      <c r="X379" s="8"/>
      <c r="Y379" s="8"/>
      <c r="Z379" s="8"/>
      <c r="AA379" s="8"/>
    </row>
    <row r="380" spans="1:27" ht="12.75">
      <c r="A380" s="8"/>
      <c r="B380" s="59"/>
      <c r="C380" s="59"/>
      <c r="D380" s="59"/>
      <c r="E380" s="59"/>
      <c r="F380" s="8"/>
      <c r="G380" s="8"/>
      <c r="H380" s="8"/>
      <c r="I380" s="8"/>
      <c r="J380" s="8"/>
      <c r="K380" s="8"/>
      <c r="L380" s="8"/>
      <c r="M380" s="8"/>
      <c r="N380" s="8"/>
      <c r="O380" s="8"/>
      <c r="P380" s="8"/>
      <c r="Q380" s="8"/>
      <c r="R380" s="8"/>
      <c r="S380" s="8"/>
      <c r="T380" s="8"/>
      <c r="U380" s="8"/>
      <c r="V380" s="8"/>
      <c r="W380" s="8"/>
      <c r="X380" s="8"/>
      <c r="Y380" s="8"/>
      <c r="Z380" s="8"/>
      <c r="AA380" s="8"/>
    </row>
    <row r="381" spans="1:27" ht="12.75">
      <c r="A381" s="8"/>
      <c r="B381" s="59"/>
      <c r="C381" s="59"/>
      <c r="D381" s="59"/>
      <c r="E381" s="59"/>
      <c r="F381" s="8"/>
      <c r="G381" s="8"/>
      <c r="H381" s="8"/>
      <c r="I381" s="8"/>
      <c r="J381" s="8"/>
      <c r="K381" s="8"/>
      <c r="L381" s="8"/>
      <c r="M381" s="8"/>
      <c r="N381" s="8"/>
      <c r="O381" s="8"/>
      <c r="P381" s="8"/>
      <c r="Q381" s="8"/>
      <c r="R381" s="8"/>
      <c r="S381" s="8"/>
      <c r="T381" s="8"/>
      <c r="U381" s="8"/>
      <c r="V381" s="8"/>
      <c r="W381" s="8"/>
      <c r="X381" s="8"/>
      <c r="Y381" s="8"/>
      <c r="Z381" s="8"/>
      <c r="AA381" s="8"/>
    </row>
    <row r="382" spans="1:27" ht="12.75">
      <c r="A382" s="8"/>
      <c r="B382" s="59"/>
      <c r="C382" s="59"/>
      <c r="D382" s="59"/>
      <c r="E382" s="59"/>
      <c r="F382" s="8"/>
      <c r="G382" s="8"/>
      <c r="H382" s="8"/>
      <c r="I382" s="8"/>
      <c r="J382" s="8"/>
      <c r="K382" s="8"/>
      <c r="L382" s="8"/>
      <c r="M382" s="8"/>
      <c r="N382" s="8"/>
      <c r="O382" s="8"/>
      <c r="P382" s="8"/>
      <c r="Q382" s="8"/>
      <c r="R382" s="8"/>
      <c r="S382" s="8"/>
      <c r="T382" s="8"/>
      <c r="U382" s="8"/>
      <c r="V382" s="8"/>
      <c r="W382" s="8"/>
      <c r="X382" s="8"/>
      <c r="Y382" s="8"/>
      <c r="Z382" s="8"/>
      <c r="AA382" s="8"/>
    </row>
    <row r="383" spans="1:27" ht="12.75">
      <c r="A383" s="8"/>
      <c r="B383" s="59"/>
      <c r="C383" s="59"/>
      <c r="D383" s="59"/>
      <c r="E383" s="59"/>
      <c r="F383" s="8"/>
      <c r="G383" s="8"/>
      <c r="H383" s="8"/>
      <c r="I383" s="8"/>
      <c r="J383" s="8"/>
      <c r="K383" s="8"/>
      <c r="L383" s="8"/>
      <c r="M383" s="8"/>
      <c r="N383" s="8"/>
      <c r="O383" s="8"/>
      <c r="P383" s="8"/>
      <c r="Q383" s="8"/>
      <c r="R383" s="8"/>
      <c r="S383" s="8"/>
      <c r="T383" s="8"/>
      <c r="U383" s="8"/>
      <c r="V383" s="8"/>
      <c r="W383" s="8"/>
      <c r="X383" s="8"/>
      <c r="Y383" s="8"/>
      <c r="Z383" s="8"/>
      <c r="AA383" s="8"/>
    </row>
    <row r="384" spans="1:27" ht="12.75">
      <c r="A384" s="8"/>
      <c r="B384" s="59"/>
      <c r="C384" s="59"/>
      <c r="D384" s="59"/>
      <c r="E384" s="59"/>
      <c r="F384" s="8"/>
      <c r="G384" s="8"/>
      <c r="H384" s="8"/>
      <c r="I384" s="8"/>
      <c r="J384" s="8"/>
      <c r="K384" s="8"/>
      <c r="L384" s="8"/>
      <c r="M384" s="8"/>
      <c r="N384" s="8"/>
      <c r="O384" s="8"/>
      <c r="P384" s="8"/>
      <c r="Q384" s="8"/>
      <c r="R384" s="8"/>
      <c r="S384" s="8"/>
      <c r="T384" s="8"/>
      <c r="U384" s="8"/>
      <c r="V384" s="8"/>
      <c r="W384" s="8"/>
      <c r="X384" s="8"/>
      <c r="Y384" s="8"/>
      <c r="Z384" s="8"/>
      <c r="AA384" s="8"/>
    </row>
    <row r="385" spans="1:27" ht="12.75">
      <c r="A385" s="8"/>
      <c r="B385" s="59"/>
      <c r="C385" s="59"/>
      <c r="D385" s="59"/>
      <c r="E385" s="59"/>
      <c r="F385" s="8"/>
      <c r="G385" s="8"/>
      <c r="H385" s="8"/>
      <c r="I385" s="8"/>
      <c r="J385" s="8"/>
      <c r="K385" s="8"/>
      <c r="L385" s="8"/>
      <c r="M385" s="8"/>
      <c r="N385" s="8"/>
      <c r="O385" s="8"/>
      <c r="P385" s="8"/>
      <c r="Q385" s="8"/>
      <c r="R385" s="8"/>
      <c r="S385" s="8"/>
      <c r="T385" s="8"/>
      <c r="U385" s="8"/>
      <c r="V385" s="8"/>
      <c r="W385" s="8"/>
      <c r="X385" s="8"/>
      <c r="Y385" s="8"/>
      <c r="Z385" s="8"/>
      <c r="AA385" s="8"/>
    </row>
    <row r="386" spans="1:27" ht="12.75">
      <c r="A386" s="8"/>
      <c r="B386" s="59"/>
      <c r="C386" s="59"/>
      <c r="D386" s="59"/>
      <c r="E386" s="59"/>
      <c r="F386" s="8"/>
      <c r="G386" s="8"/>
      <c r="H386" s="8"/>
      <c r="I386" s="8"/>
      <c r="J386" s="8"/>
      <c r="K386" s="8"/>
      <c r="L386" s="8"/>
      <c r="M386" s="8"/>
      <c r="N386" s="8"/>
      <c r="O386" s="8"/>
      <c r="P386" s="8"/>
      <c r="Q386" s="8"/>
      <c r="R386" s="8"/>
      <c r="S386" s="8"/>
      <c r="T386" s="8"/>
      <c r="U386" s="8"/>
      <c r="V386" s="8"/>
      <c r="W386" s="8"/>
      <c r="X386" s="8"/>
      <c r="Y386" s="8"/>
      <c r="Z386" s="8"/>
      <c r="AA386" s="8"/>
    </row>
    <row r="387" spans="1:27" ht="12.75">
      <c r="A387" s="8"/>
      <c r="B387" s="59"/>
      <c r="C387" s="59"/>
      <c r="D387" s="59"/>
      <c r="E387" s="59"/>
      <c r="F387" s="8"/>
      <c r="G387" s="8"/>
      <c r="H387" s="8"/>
      <c r="I387" s="8"/>
      <c r="J387" s="8"/>
      <c r="K387" s="8"/>
      <c r="L387" s="8"/>
      <c r="M387" s="8"/>
      <c r="N387" s="8"/>
      <c r="O387" s="8"/>
      <c r="P387" s="8"/>
      <c r="Q387" s="8"/>
      <c r="R387" s="8"/>
      <c r="S387" s="8"/>
      <c r="T387" s="8"/>
      <c r="U387" s="8"/>
      <c r="V387" s="8"/>
      <c r="W387" s="8"/>
      <c r="X387" s="8"/>
      <c r="Y387" s="8"/>
      <c r="Z387" s="8"/>
      <c r="AA387" s="8"/>
    </row>
    <row r="388" spans="1:27" ht="12.75">
      <c r="A388" s="8"/>
      <c r="B388" s="59"/>
      <c r="C388" s="59"/>
      <c r="D388" s="59"/>
      <c r="E388" s="59"/>
      <c r="F388" s="8"/>
      <c r="G388" s="8"/>
      <c r="H388" s="8"/>
      <c r="I388" s="8"/>
      <c r="J388" s="8"/>
      <c r="K388" s="8"/>
      <c r="L388" s="8"/>
      <c r="M388" s="8"/>
      <c r="N388" s="8"/>
      <c r="O388" s="8"/>
      <c r="P388" s="8"/>
      <c r="Q388" s="8"/>
      <c r="R388" s="8"/>
      <c r="S388" s="8"/>
      <c r="T388" s="8"/>
      <c r="U388" s="8"/>
      <c r="V388" s="8"/>
      <c r="W388" s="8"/>
      <c r="X388" s="8"/>
      <c r="Y388" s="8"/>
      <c r="Z388" s="8"/>
      <c r="AA388" s="8"/>
    </row>
    <row r="389" spans="1:27" ht="12.75">
      <c r="A389" s="8"/>
      <c r="B389" s="59"/>
      <c r="C389" s="59"/>
      <c r="D389" s="59"/>
      <c r="E389" s="59"/>
      <c r="F389" s="8"/>
      <c r="G389" s="8"/>
      <c r="H389" s="8"/>
      <c r="I389" s="8"/>
      <c r="J389" s="8"/>
      <c r="K389" s="8"/>
      <c r="L389" s="8"/>
      <c r="M389" s="8"/>
      <c r="N389" s="8"/>
      <c r="O389" s="8"/>
      <c r="P389" s="8"/>
      <c r="Q389" s="8"/>
      <c r="R389" s="8"/>
      <c r="S389" s="8"/>
      <c r="T389" s="8"/>
      <c r="U389" s="8"/>
      <c r="V389" s="8"/>
      <c r="W389" s="8"/>
      <c r="X389" s="8"/>
      <c r="Y389" s="8"/>
      <c r="Z389" s="8"/>
      <c r="AA389" s="8"/>
    </row>
    <row r="390" spans="1:27" ht="12.75">
      <c r="A390" s="8"/>
      <c r="B390" s="59"/>
      <c r="C390" s="59"/>
      <c r="D390" s="59"/>
      <c r="E390" s="59"/>
      <c r="F390" s="8"/>
      <c r="G390" s="8"/>
      <c r="H390" s="8"/>
      <c r="I390" s="8"/>
      <c r="J390" s="8"/>
      <c r="K390" s="8"/>
      <c r="L390" s="8"/>
      <c r="M390" s="8"/>
      <c r="N390" s="8"/>
      <c r="O390" s="8"/>
      <c r="P390" s="8"/>
      <c r="Q390" s="8"/>
      <c r="R390" s="8"/>
      <c r="S390" s="8"/>
      <c r="T390" s="8"/>
      <c r="U390" s="8"/>
      <c r="V390" s="8"/>
      <c r="W390" s="8"/>
      <c r="X390" s="8"/>
      <c r="Y390" s="8"/>
      <c r="Z390" s="8"/>
      <c r="AA390" s="8"/>
    </row>
    <row r="391" spans="1:27" ht="12.75">
      <c r="A391" s="8"/>
      <c r="B391" s="59"/>
      <c r="C391" s="59"/>
      <c r="D391" s="59"/>
      <c r="E391" s="59"/>
      <c r="F391" s="8"/>
      <c r="G391" s="8"/>
      <c r="H391" s="8"/>
      <c r="I391" s="8"/>
      <c r="J391" s="8"/>
      <c r="K391" s="8"/>
      <c r="L391" s="8"/>
      <c r="M391" s="8"/>
      <c r="N391" s="8"/>
      <c r="O391" s="8"/>
      <c r="P391" s="8"/>
      <c r="Q391" s="8"/>
      <c r="R391" s="8"/>
      <c r="S391" s="8"/>
      <c r="T391" s="8"/>
      <c r="U391" s="8"/>
      <c r="V391" s="8"/>
      <c r="W391" s="8"/>
      <c r="X391" s="8"/>
      <c r="Y391" s="8"/>
      <c r="Z391" s="8"/>
      <c r="AA391" s="8"/>
    </row>
    <row r="392" spans="1:27" ht="12.75">
      <c r="A392" s="8"/>
      <c r="B392" s="59"/>
      <c r="C392" s="59"/>
      <c r="D392" s="59"/>
      <c r="E392" s="59"/>
      <c r="F392" s="8"/>
      <c r="G392" s="8"/>
      <c r="H392" s="8"/>
      <c r="I392" s="8"/>
      <c r="J392" s="8"/>
      <c r="K392" s="8"/>
      <c r="L392" s="8"/>
      <c r="M392" s="8"/>
      <c r="N392" s="8"/>
      <c r="O392" s="8"/>
      <c r="P392" s="8"/>
      <c r="Q392" s="8"/>
      <c r="R392" s="8"/>
      <c r="S392" s="8"/>
      <c r="T392" s="8"/>
      <c r="U392" s="8"/>
      <c r="V392" s="8"/>
      <c r="W392" s="8"/>
      <c r="X392" s="8"/>
      <c r="Y392" s="8"/>
      <c r="Z392" s="8"/>
      <c r="AA392" s="8"/>
    </row>
    <row r="393" spans="1:27" ht="12.75">
      <c r="A393" s="8"/>
      <c r="B393" s="59"/>
      <c r="C393" s="59"/>
      <c r="D393" s="59"/>
      <c r="E393" s="59"/>
      <c r="F393" s="8"/>
      <c r="G393" s="8"/>
      <c r="H393" s="8"/>
      <c r="I393" s="8"/>
      <c r="J393" s="8"/>
      <c r="K393" s="8"/>
      <c r="L393" s="8"/>
      <c r="M393" s="8"/>
      <c r="N393" s="8"/>
      <c r="O393" s="8"/>
      <c r="P393" s="8"/>
      <c r="Q393" s="8"/>
      <c r="R393" s="8"/>
      <c r="S393" s="8"/>
      <c r="T393" s="8"/>
      <c r="U393" s="8"/>
      <c r="V393" s="8"/>
      <c r="W393" s="8"/>
      <c r="X393" s="8"/>
      <c r="Y393" s="8"/>
      <c r="Z393" s="8"/>
      <c r="AA393" s="8"/>
    </row>
    <row r="394" spans="1:27" ht="12.75">
      <c r="A394" s="8"/>
      <c r="B394" s="59"/>
      <c r="C394" s="59"/>
      <c r="D394" s="59"/>
      <c r="E394" s="59"/>
      <c r="F394" s="8"/>
      <c r="G394" s="8"/>
      <c r="H394" s="8"/>
      <c r="I394" s="8"/>
      <c r="J394" s="8"/>
      <c r="K394" s="8"/>
      <c r="L394" s="8"/>
      <c r="M394" s="8"/>
      <c r="N394" s="8"/>
      <c r="O394" s="8"/>
      <c r="P394" s="8"/>
      <c r="Q394" s="8"/>
      <c r="R394" s="8"/>
      <c r="S394" s="8"/>
      <c r="T394" s="8"/>
      <c r="U394" s="8"/>
      <c r="V394" s="8"/>
      <c r="W394" s="8"/>
      <c r="X394" s="8"/>
      <c r="Y394" s="8"/>
      <c r="Z394" s="8"/>
      <c r="AA394" s="8"/>
    </row>
    <row r="395" spans="1:27" ht="12.75">
      <c r="A395" s="8"/>
      <c r="B395" s="59"/>
      <c r="C395" s="59"/>
      <c r="D395" s="59"/>
      <c r="E395" s="59"/>
      <c r="F395" s="8"/>
      <c r="G395" s="8"/>
      <c r="H395" s="8"/>
      <c r="I395" s="8"/>
      <c r="J395" s="8"/>
      <c r="K395" s="8"/>
      <c r="L395" s="8"/>
      <c r="M395" s="8"/>
      <c r="N395" s="8"/>
      <c r="O395" s="8"/>
      <c r="P395" s="8"/>
      <c r="Q395" s="8"/>
      <c r="R395" s="8"/>
      <c r="S395" s="8"/>
      <c r="T395" s="8"/>
      <c r="U395" s="8"/>
      <c r="V395" s="8"/>
      <c r="W395" s="8"/>
      <c r="X395" s="8"/>
      <c r="Y395" s="8"/>
      <c r="Z395" s="8"/>
      <c r="AA395" s="8"/>
    </row>
    <row r="396" spans="1:27" ht="12.75">
      <c r="A396" s="8"/>
      <c r="B396" s="59"/>
      <c r="C396" s="59"/>
      <c r="D396" s="59"/>
      <c r="E396" s="59"/>
      <c r="F396" s="8"/>
      <c r="G396" s="8"/>
      <c r="H396" s="8"/>
      <c r="I396" s="8"/>
      <c r="J396" s="8"/>
      <c r="K396" s="8"/>
      <c r="L396" s="8"/>
      <c r="M396" s="8"/>
      <c r="N396" s="8"/>
      <c r="O396" s="8"/>
      <c r="P396" s="8"/>
      <c r="Q396" s="8"/>
      <c r="R396" s="8"/>
      <c r="S396" s="8"/>
      <c r="T396" s="8"/>
      <c r="U396" s="8"/>
      <c r="V396" s="8"/>
      <c r="W396" s="8"/>
      <c r="X396" s="8"/>
      <c r="Y396" s="8"/>
      <c r="Z396" s="8"/>
      <c r="AA396" s="8"/>
    </row>
    <row r="397" spans="1:27" ht="12.75">
      <c r="A397" s="8"/>
      <c r="B397" s="59"/>
      <c r="C397" s="59"/>
      <c r="D397" s="59"/>
      <c r="E397" s="59"/>
      <c r="F397" s="8"/>
      <c r="G397" s="8"/>
      <c r="H397" s="8"/>
      <c r="I397" s="8"/>
      <c r="J397" s="8"/>
      <c r="K397" s="8"/>
      <c r="L397" s="8"/>
      <c r="M397" s="8"/>
      <c r="N397" s="8"/>
      <c r="O397" s="8"/>
      <c r="P397" s="8"/>
      <c r="Q397" s="8"/>
      <c r="R397" s="8"/>
      <c r="S397" s="8"/>
      <c r="T397" s="8"/>
      <c r="U397" s="8"/>
      <c r="V397" s="8"/>
      <c r="W397" s="8"/>
      <c r="X397" s="8"/>
      <c r="Y397" s="8"/>
      <c r="Z397" s="8"/>
      <c r="AA397" s="8"/>
    </row>
    <row r="398" spans="1:27" ht="12.75">
      <c r="A398" s="8"/>
      <c r="B398" s="59"/>
      <c r="C398" s="59"/>
      <c r="D398" s="59"/>
      <c r="E398" s="59"/>
      <c r="F398" s="8"/>
      <c r="G398" s="8"/>
      <c r="H398" s="8"/>
      <c r="I398" s="8"/>
      <c r="J398" s="8"/>
      <c r="K398" s="8"/>
      <c r="L398" s="8"/>
      <c r="M398" s="8"/>
      <c r="N398" s="8"/>
      <c r="O398" s="8"/>
      <c r="P398" s="8"/>
      <c r="Q398" s="8"/>
      <c r="R398" s="8"/>
      <c r="S398" s="8"/>
      <c r="T398" s="8"/>
      <c r="U398" s="8"/>
      <c r="V398" s="8"/>
      <c r="W398" s="8"/>
      <c r="X398" s="8"/>
      <c r="Y398" s="8"/>
      <c r="Z398" s="8"/>
      <c r="AA398" s="8"/>
    </row>
    <row r="399" spans="1:27" ht="12.75">
      <c r="A399" s="8"/>
      <c r="B399" s="59"/>
      <c r="C399" s="59"/>
      <c r="D399" s="59"/>
      <c r="E399" s="59"/>
      <c r="F399" s="8"/>
      <c r="G399" s="8"/>
      <c r="H399" s="8"/>
      <c r="I399" s="8"/>
      <c r="J399" s="8"/>
      <c r="K399" s="8"/>
      <c r="L399" s="8"/>
      <c r="M399" s="8"/>
      <c r="N399" s="8"/>
      <c r="O399" s="8"/>
      <c r="P399" s="8"/>
      <c r="Q399" s="8"/>
      <c r="R399" s="8"/>
      <c r="S399" s="8"/>
      <c r="T399" s="8"/>
      <c r="U399" s="8"/>
      <c r="V399" s="8"/>
      <c r="W399" s="8"/>
      <c r="X399" s="8"/>
      <c r="Y399" s="8"/>
      <c r="Z399" s="8"/>
      <c r="AA399" s="8"/>
    </row>
    <row r="400" spans="1:27" ht="12.75">
      <c r="A400" s="8"/>
      <c r="B400" s="59"/>
      <c r="C400" s="59"/>
      <c r="D400" s="59"/>
      <c r="E400" s="59"/>
      <c r="F400" s="8"/>
      <c r="G400" s="8"/>
      <c r="H400" s="8"/>
      <c r="I400" s="8"/>
      <c r="J400" s="8"/>
      <c r="K400" s="8"/>
      <c r="L400" s="8"/>
      <c r="M400" s="8"/>
      <c r="N400" s="8"/>
      <c r="O400" s="8"/>
      <c r="P400" s="8"/>
      <c r="Q400" s="8"/>
      <c r="R400" s="8"/>
      <c r="S400" s="8"/>
      <c r="T400" s="8"/>
      <c r="U400" s="8"/>
      <c r="V400" s="8"/>
      <c r="W400" s="8"/>
      <c r="X400" s="8"/>
      <c r="Y400" s="8"/>
      <c r="Z400" s="8"/>
      <c r="AA400" s="8"/>
    </row>
    <row r="401" spans="1:27" ht="12.75">
      <c r="A401" s="8"/>
      <c r="B401" s="59"/>
      <c r="C401" s="59"/>
      <c r="D401" s="59"/>
      <c r="E401" s="59"/>
      <c r="F401" s="8"/>
      <c r="G401" s="8"/>
      <c r="H401" s="8"/>
      <c r="I401" s="8"/>
      <c r="J401" s="8"/>
      <c r="K401" s="8"/>
      <c r="L401" s="8"/>
      <c r="M401" s="8"/>
      <c r="N401" s="8"/>
      <c r="O401" s="8"/>
      <c r="P401" s="8"/>
      <c r="Q401" s="8"/>
      <c r="R401" s="8"/>
      <c r="S401" s="8"/>
      <c r="T401" s="8"/>
      <c r="U401" s="8"/>
      <c r="V401" s="8"/>
      <c r="W401" s="8"/>
      <c r="X401" s="8"/>
      <c r="Y401" s="8"/>
      <c r="Z401" s="8"/>
      <c r="AA401" s="8"/>
    </row>
    <row r="402" spans="1:27" ht="12.75">
      <c r="A402" s="8"/>
      <c r="B402" s="59"/>
      <c r="C402" s="59"/>
      <c r="D402" s="59"/>
      <c r="E402" s="59"/>
      <c r="F402" s="8"/>
      <c r="G402" s="8"/>
      <c r="H402" s="8"/>
      <c r="I402" s="8"/>
      <c r="J402" s="8"/>
      <c r="K402" s="8"/>
      <c r="L402" s="8"/>
      <c r="M402" s="8"/>
      <c r="N402" s="8"/>
      <c r="O402" s="8"/>
      <c r="P402" s="8"/>
      <c r="Q402" s="8"/>
      <c r="R402" s="8"/>
      <c r="S402" s="8"/>
      <c r="T402" s="8"/>
      <c r="U402" s="8"/>
      <c r="V402" s="8"/>
      <c r="W402" s="8"/>
      <c r="X402" s="8"/>
      <c r="Y402" s="8"/>
      <c r="Z402" s="8"/>
      <c r="AA402" s="8"/>
    </row>
    <row r="403" spans="1:27" ht="12.75">
      <c r="A403" s="8"/>
      <c r="B403" s="59"/>
      <c r="C403" s="59"/>
      <c r="D403" s="59"/>
      <c r="E403" s="59"/>
      <c r="F403" s="8"/>
      <c r="G403" s="8"/>
      <c r="H403" s="8"/>
      <c r="I403" s="8"/>
      <c r="J403" s="8"/>
      <c r="K403" s="8"/>
      <c r="L403" s="8"/>
      <c r="M403" s="8"/>
      <c r="N403" s="8"/>
      <c r="O403" s="8"/>
      <c r="P403" s="8"/>
      <c r="Q403" s="8"/>
      <c r="R403" s="8"/>
      <c r="S403" s="8"/>
      <c r="T403" s="8"/>
      <c r="U403" s="8"/>
      <c r="V403" s="8"/>
      <c r="W403" s="8"/>
      <c r="X403" s="8"/>
      <c r="Y403" s="8"/>
      <c r="Z403" s="8"/>
      <c r="AA403" s="8"/>
    </row>
    <row r="404" spans="1:27" ht="12.75">
      <c r="A404" s="8"/>
      <c r="B404" s="59"/>
      <c r="C404" s="59"/>
      <c r="D404" s="59"/>
      <c r="E404" s="59"/>
      <c r="F404" s="8"/>
      <c r="G404" s="8"/>
      <c r="H404" s="8"/>
      <c r="I404" s="8"/>
      <c r="J404" s="8"/>
      <c r="K404" s="8"/>
      <c r="L404" s="8"/>
      <c r="M404" s="8"/>
      <c r="N404" s="8"/>
      <c r="O404" s="8"/>
      <c r="P404" s="8"/>
      <c r="Q404" s="8"/>
      <c r="R404" s="8"/>
      <c r="S404" s="8"/>
      <c r="T404" s="8"/>
      <c r="U404" s="8"/>
      <c r="V404" s="8"/>
      <c r="W404" s="8"/>
      <c r="X404" s="8"/>
      <c r="Y404" s="8"/>
      <c r="Z404" s="8"/>
      <c r="AA404" s="8"/>
    </row>
    <row r="405" spans="1:27" ht="12.75">
      <c r="A405" s="8"/>
      <c r="B405" s="59"/>
      <c r="C405" s="59"/>
      <c r="D405" s="59"/>
      <c r="E405" s="59"/>
      <c r="F405" s="8"/>
      <c r="G405" s="8"/>
      <c r="H405" s="8"/>
      <c r="I405" s="8"/>
      <c r="J405" s="8"/>
      <c r="K405" s="8"/>
      <c r="L405" s="8"/>
      <c r="M405" s="8"/>
      <c r="N405" s="8"/>
      <c r="O405" s="8"/>
      <c r="P405" s="8"/>
      <c r="Q405" s="8"/>
      <c r="R405" s="8"/>
      <c r="S405" s="8"/>
      <c r="T405" s="8"/>
      <c r="U405" s="8"/>
      <c r="V405" s="8"/>
      <c r="W405" s="8"/>
      <c r="X405" s="8"/>
      <c r="Y405" s="8"/>
      <c r="Z405" s="8"/>
      <c r="AA405" s="8"/>
    </row>
    <row r="406" spans="1:27" ht="12.75">
      <c r="A406" s="8"/>
      <c r="B406" s="59"/>
      <c r="C406" s="59"/>
      <c r="D406" s="59"/>
      <c r="E406" s="59"/>
      <c r="F406" s="8"/>
      <c r="G406" s="8"/>
      <c r="H406" s="8"/>
      <c r="I406" s="8"/>
      <c r="J406" s="8"/>
      <c r="K406" s="8"/>
      <c r="L406" s="8"/>
      <c r="M406" s="8"/>
      <c r="N406" s="8"/>
      <c r="O406" s="8"/>
      <c r="P406" s="8"/>
      <c r="Q406" s="8"/>
      <c r="R406" s="8"/>
      <c r="S406" s="8"/>
      <c r="T406" s="8"/>
      <c r="U406" s="8"/>
      <c r="V406" s="8"/>
      <c r="W406" s="8"/>
      <c r="X406" s="8"/>
      <c r="Y406" s="8"/>
      <c r="Z406" s="8"/>
      <c r="AA406" s="8"/>
    </row>
    <row r="407" spans="1:27" ht="12.75">
      <c r="A407" s="8"/>
      <c r="B407" s="59"/>
      <c r="C407" s="59"/>
      <c r="D407" s="59"/>
      <c r="E407" s="59"/>
      <c r="F407" s="8"/>
      <c r="G407" s="8"/>
      <c r="H407" s="8"/>
      <c r="I407" s="8"/>
      <c r="J407" s="8"/>
      <c r="K407" s="8"/>
      <c r="L407" s="8"/>
      <c r="M407" s="8"/>
      <c r="N407" s="8"/>
      <c r="O407" s="8"/>
      <c r="P407" s="8"/>
      <c r="Q407" s="8"/>
      <c r="R407" s="8"/>
      <c r="S407" s="8"/>
      <c r="T407" s="8"/>
      <c r="U407" s="8"/>
      <c r="V407" s="8"/>
      <c r="W407" s="8"/>
      <c r="X407" s="8"/>
      <c r="Y407" s="8"/>
      <c r="Z407" s="8"/>
      <c r="AA407" s="8"/>
    </row>
    <row r="408" spans="1:27" ht="12.75">
      <c r="A408" s="8"/>
      <c r="B408" s="59"/>
      <c r="C408" s="59"/>
      <c r="D408" s="59"/>
      <c r="E408" s="59"/>
      <c r="F408" s="8"/>
      <c r="G408" s="8"/>
      <c r="H408" s="8"/>
      <c r="I408" s="8"/>
      <c r="J408" s="8"/>
      <c r="K408" s="8"/>
      <c r="L408" s="8"/>
      <c r="M408" s="8"/>
      <c r="N408" s="8"/>
      <c r="O408" s="8"/>
      <c r="P408" s="8"/>
      <c r="Q408" s="8"/>
      <c r="R408" s="8"/>
      <c r="S408" s="8"/>
      <c r="T408" s="8"/>
      <c r="U408" s="8"/>
      <c r="V408" s="8"/>
      <c r="W408" s="8"/>
      <c r="X408" s="8"/>
      <c r="Y408" s="8"/>
      <c r="Z408" s="8"/>
      <c r="AA408" s="8"/>
    </row>
    <row r="409" spans="1:27" ht="12.75">
      <c r="A409" s="8"/>
      <c r="B409" s="59"/>
      <c r="C409" s="59"/>
      <c r="D409" s="59"/>
      <c r="E409" s="59"/>
      <c r="F409" s="8"/>
      <c r="G409" s="8"/>
      <c r="H409" s="8"/>
      <c r="I409" s="8"/>
      <c r="J409" s="8"/>
      <c r="K409" s="8"/>
      <c r="L409" s="8"/>
      <c r="M409" s="8"/>
      <c r="N409" s="8"/>
      <c r="O409" s="8"/>
      <c r="P409" s="8"/>
      <c r="Q409" s="8"/>
      <c r="R409" s="8"/>
      <c r="S409" s="8"/>
      <c r="T409" s="8"/>
      <c r="U409" s="8"/>
      <c r="V409" s="8"/>
      <c r="W409" s="8"/>
      <c r="X409" s="8"/>
      <c r="Y409" s="8"/>
      <c r="Z409" s="8"/>
      <c r="AA409" s="8"/>
    </row>
    <row r="410" spans="1:27" ht="12.75">
      <c r="A410" s="8"/>
      <c r="B410" s="59"/>
      <c r="C410" s="59"/>
      <c r="D410" s="59"/>
      <c r="E410" s="59"/>
      <c r="F410" s="8"/>
      <c r="G410" s="8"/>
      <c r="H410" s="8"/>
      <c r="I410" s="8"/>
      <c r="J410" s="8"/>
      <c r="K410" s="8"/>
      <c r="L410" s="8"/>
      <c r="M410" s="8"/>
      <c r="N410" s="8"/>
      <c r="O410" s="8"/>
      <c r="P410" s="8"/>
      <c r="Q410" s="8"/>
      <c r="R410" s="8"/>
      <c r="S410" s="8"/>
      <c r="T410" s="8"/>
      <c r="U410" s="8"/>
      <c r="V410" s="8"/>
      <c r="W410" s="8"/>
      <c r="X410" s="8"/>
      <c r="Y410" s="8"/>
      <c r="Z410" s="8"/>
      <c r="AA410" s="8"/>
    </row>
    <row r="411" spans="1:27" ht="12.75">
      <c r="A411" s="8"/>
      <c r="B411" s="59"/>
      <c r="C411" s="59"/>
      <c r="D411" s="59"/>
      <c r="E411" s="59"/>
      <c r="F411" s="8"/>
      <c r="G411" s="8"/>
      <c r="H411" s="8"/>
      <c r="I411" s="8"/>
      <c r="J411" s="8"/>
      <c r="K411" s="8"/>
      <c r="L411" s="8"/>
      <c r="M411" s="8"/>
      <c r="N411" s="8"/>
      <c r="O411" s="8"/>
      <c r="P411" s="8"/>
      <c r="Q411" s="8"/>
      <c r="R411" s="8"/>
      <c r="S411" s="8"/>
      <c r="T411" s="8"/>
      <c r="U411" s="8"/>
      <c r="V411" s="8"/>
      <c r="W411" s="8"/>
      <c r="X411" s="8"/>
      <c r="Y411" s="8"/>
      <c r="Z411" s="8"/>
      <c r="AA411" s="8"/>
    </row>
    <row r="412" spans="1:27" ht="12.75">
      <c r="A412" s="8"/>
      <c r="B412" s="59"/>
      <c r="C412" s="59"/>
      <c r="D412" s="59"/>
      <c r="E412" s="59"/>
      <c r="F412" s="8"/>
      <c r="G412" s="8"/>
      <c r="H412" s="8"/>
      <c r="I412" s="8"/>
      <c r="J412" s="8"/>
      <c r="K412" s="8"/>
      <c r="L412" s="8"/>
      <c r="M412" s="8"/>
      <c r="N412" s="8"/>
      <c r="O412" s="8"/>
      <c r="P412" s="8"/>
      <c r="Q412" s="8"/>
      <c r="R412" s="8"/>
      <c r="S412" s="8"/>
      <c r="T412" s="8"/>
      <c r="U412" s="8"/>
      <c r="V412" s="8"/>
      <c r="W412" s="8"/>
      <c r="X412" s="8"/>
      <c r="Y412" s="8"/>
      <c r="Z412" s="8"/>
      <c r="AA412" s="8"/>
    </row>
    <row r="413" spans="1:27" ht="12.75">
      <c r="A413" s="8"/>
      <c r="B413" s="59"/>
      <c r="C413" s="59"/>
      <c r="D413" s="59"/>
      <c r="E413" s="59"/>
      <c r="F413" s="8"/>
      <c r="G413" s="8"/>
      <c r="H413" s="8"/>
      <c r="I413" s="8"/>
      <c r="J413" s="8"/>
      <c r="K413" s="8"/>
      <c r="L413" s="8"/>
      <c r="M413" s="8"/>
      <c r="N413" s="8"/>
      <c r="O413" s="8"/>
      <c r="P413" s="8"/>
      <c r="Q413" s="8"/>
      <c r="R413" s="8"/>
      <c r="S413" s="8"/>
      <c r="T413" s="8"/>
      <c r="U413" s="8"/>
      <c r="V413" s="8"/>
      <c r="W413" s="8"/>
      <c r="X413" s="8"/>
      <c r="Y413" s="8"/>
      <c r="Z413" s="8"/>
      <c r="AA413" s="8"/>
    </row>
    <row r="414" spans="1:27" ht="12.75">
      <c r="A414" s="8"/>
      <c r="B414" s="59"/>
      <c r="C414" s="59"/>
      <c r="D414" s="59"/>
      <c r="E414" s="59"/>
      <c r="F414" s="8"/>
      <c r="G414" s="8"/>
      <c r="H414" s="8"/>
      <c r="I414" s="8"/>
      <c r="J414" s="8"/>
      <c r="K414" s="8"/>
      <c r="L414" s="8"/>
      <c r="M414" s="8"/>
      <c r="N414" s="8"/>
      <c r="O414" s="8"/>
      <c r="P414" s="8"/>
      <c r="Q414" s="8"/>
      <c r="R414" s="8"/>
      <c r="S414" s="8"/>
      <c r="T414" s="8"/>
      <c r="U414" s="8"/>
      <c r="V414" s="8"/>
      <c r="W414" s="8"/>
      <c r="X414" s="8"/>
      <c r="Y414" s="8"/>
      <c r="Z414" s="8"/>
      <c r="AA414" s="8"/>
    </row>
    <row r="415" spans="1:27" ht="12.75">
      <c r="A415" s="8"/>
      <c r="B415" s="59"/>
      <c r="C415" s="59"/>
      <c r="D415" s="59"/>
      <c r="E415" s="59"/>
      <c r="F415" s="8"/>
      <c r="G415" s="8"/>
      <c r="H415" s="8"/>
      <c r="I415" s="8"/>
      <c r="J415" s="8"/>
      <c r="K415" s="8"/>
      <c r="L415" s="8"/>
      <c r="M415" s="8"/>
      <c r="N415" s="8"/>
      <c r="O415" s="8"/>
      <c r="P415" s="8"/>
      <c r="Q415" s="8"/>
      <c r="R415" s="8"/>
      <c r="S415" s="8"/>
      <c r="T415" s="8"/>
      <c r="U415" s="8"/>
      <c r="V415" s="8"/>
      <c r="W415" s="8"/>
      <c r="X415" s="8"/>
      <c r="Y415" s="8"/>
      <c r="Z415" s="8"/>
      <c r="AA415" s="8"/>
    </row>
    <row r="416" spans="1:27" ht="12.75">
      <c r="A416" s="8"/>
      <c r="B416" s="59"/>
      <c r="C416" s="59"/>
      <c r="D416" s="59"/>
      <c r="E416" s="59"/>
      <c r="F416" s="8"/>
      <c r="G416" s="8"/>
      <c r="H416" s="8"/>
      <c r="I416" s="8"/>
      <c r="J416" s="8"/>
      <c r="K416" s="8"/>
      <c r="L416" s="8"/>
      <c r="M416" s="8"/>
      <c r="N416" s="8"/>
      <c r="O416" s="8"/>
      <c r="P416" s="8"/>
      <c r="Q416" s="8"/>
      <c r="R416" s="8"/>
      <c r="S416" s="8"/>
      <c r="T416" s="8"/>
      <c r="U416" s="8"/>
      <c r="V416" s="8"/>
      <c r="W416" s="8"/>
      <c r="X416" s="8"/>
      <c r="Y416" s="8"/>
      <c r="Z416" s="8"/>
      <c r="AA416" s="8"/>
    </row>
    <row r="417" spans="1:27" ht="12.75">
      <c r="A417" s="8"/>
      <c r="B417" s="59"/>
      <c r="C417" s="59"/>
      <c r="D417" s="59"/>
      <c r="E417" s="59"/>
      <c r="F417" s="8"/>
      <c r="G417" s="8"/>
      <c r="H417" s="8"/>
      <c r="I417" s="8"/>
      <c r="J417" s="8"/>
      <c r="K417" s="8"/>
      <c r="L417" s="8"/>
      <c r="M417" s="8"/>
      <c r="N417" s="8"/>
      <c r="O417" s="8"/>
      <c r="P417" s="8"/>
      <c r="Q417" s="8"/>
      <c r="R417" s="8"/>
      <c r="S417" s="8"/>
      <c r="T417" s="8"/>
      <c r="U417" s="8"/>
      <c r="V417" s="8"/>
      <c r="W417" s="8"/>
      <c r="X417" s="8"/>
      <c r="Y417" s="8"/>
      <c r="Z417" s="8"/>
      <c r="AA417" s="8"/>
    </row>
    <row r="418" spans="1:27" ht="12.75">
      <c r="A418" s="8"/>
      <c r="B418" s="59"/>
      <c r="C418" s="59"/>
      <c r="D418" s="59"/>
      <c r="E418" s="59"/>
      <c r="F418" s="8"/>
      <c r="G418" s="8"/>
      <c r="H418" s="8"/>
      <c r="I418" s="8"/>
      <c r="J418" s="8"/>
      <c r="K418" s="8"/>
      <c r="L418" s="8"/>
      <c r="M418" s="8"/>
      <c r="N418" s="8"/>
      <c r="O418" s="8"/>
      <c r="P418" s="8"/>
      <c r="Q418" s="8"/>
      <c r="R418" s="8"/>
      <c r="S418" s="8"/>
      <c r="T418" s="8"/>
      <c r="U418" s="8"/>
      <c r="V418" s="8"/>
      <c r="W418" s="8"/>
      <c r="X418" s="8"/>
      <c r="Y418" s="8"/>
      <c r="Z418" s="8"/>
      <c r="AA418" s="8"/>
    </row>
    <row r="419" spans="1:27" ht="12.75">
      <c r="A419" s="8"/>
      <c r="B419" s="59"/>
      <c r="C419" s="59"/>
      <c r="D419" s="59"/>
      <c r="E419" s="59"/>
      <c r="F419" s="8"/>
      <c r="G419" s="8"/>
      <c r="H419" s="8"/>
      <c r="I419" s="8"/>
      <c r="J419" s="8"/>
      <c r="K419" s="8"/>
      <c r="L419" s="8"/>
      <c r="M419" s="8"/>
      <c r="N419" s="8"/>
      <c r="O419" s="8"/>
      <c r="P419" s="8"/>
      <c r="Q419" s="8"/>
      <c r="R419" s="8"/>
      <c r="S419" s="8"/>
      <c r="T419" s="8"/>
      <c r="U419" s="8"/>
      <c r="V419" s="8"/>
      <c r="W419" s="8"/>
      <c r="X419" s="8"/>
      <c r="Y419" s="8"/>
      <c r="Z419" s="8"/>
      <c r="AA419" s="8"/>
    </row>
    <row r="420" spans="1:27" ht="12.75">
      <c r="A420" s="8"/>
      <c r="B420" s="59"/>
      <c r="C420" s="59"/>
      <c r="D420" s="59"/>
      <c r="E420" s="59"/>
      <c r="F420" s="8"/>
      <c r="G420" s="8"/>
      <c r="H420" s="8"/>
      <c r="I420" s="8"/>
      <c r="J420" s="8"/>
      <c r="K420" s="8"/>
      <c r="L420" s="8"/>
      <c r="M420" s="8"/>
      <c r="N420" s="8"/>
      <c r="O420" s="8"/>
      <c r="P420" s="8"/>
      <c r="Q420" s="8"/>
      <c r="R420" s="8"/>
      <c r="S420" s="8"/>
      <c r="T420" s="8"/>
      <c r="U420" s="8"/>
      <c r="V420" s="8"/>
      <c r="W420" s="8"/>
      <c r="X420" s="8"/>
      <c r="Y420" s="8"/>
      <c r="Z420" s="8"/>
      <c r="AA420" s="8"/>
    </row>
    <row r="421" spans="1:27" ht="12.75">
      <c r="A421" s="8"/>
      <c r="B421" s="59"/>
      <c r="C421" s="59"/>
      <c r="D421" s="59"/>
      <c r="E421" s="59"/>
      <c r="F421" s="8"/>
      <c r="G421" s="8"/>
      <c r="H421" s="8"/>
      <c r="I421" s="8"/>
      <c r="J421" s="8"/>
      <c r="K421" s="8"/>
      <c r="L421" s="8"/>
      <c r="M421" s="8"/>
      <c r="N421" s="8"/>
      <c r="O421" s="8"/>
      <c r="P421" s="8"/>
      <c r="Q421" s="8"/>
      <c r="R421" s="8"/>
      <c r="S421" s="8"/>
      <c r="T421" s="8"/>
      <c r="U421" s="8"/>
      <c r="V421" s="8"/>
      <c r="W421" s="8"/>
      <c r="X421" s="8"/>
      <c r="Y421" s="8"/>
      <c r="Z421" s="8"/>
      <c r="AA421" s="8"/>
    </row>
    <row r="422" spans="1:27" ht="12.75">
      <c r="A422" s="8"/>
      <c r="B422" s="59"/>
      <c r="C422" s="59"/>
      <c r="D422" s="59"/>
      <c r="E422" s="59"/>
      <c r="F422" s="8"/>
      <c r="G422" s="8"/>
      <c r="H422" s="8"/>
      <c r="I422" s="8"/>
      <c r="J422" s="8"/>
      <c r="K422" s="8"/>
      <c r="L422" s="8"/>
      <c r="M422" s="8"/>
      <c r="N422" s="8"/>
      <c r="O422" s="8"/>
      <c r="P422" s="8"/>
      <c r="Q422" s="8"/>
      <c r="R422" s="8"/>
      <c r="S422" s="8"/>
      <c r="T422" s="8"/>
      <c r="U422" s="8"/>
      <c r="V422" s="8"/>
      <c r="W422" s="8"/>
      <c r="X422" s="8"/>
      <c r="Y422" s="8"/>
      <c r="Z422" s="8"/>
      <c r="AA422" s="8"/>
    </row>
    <row r="423" spans="1:27" ht="12.75">
      <c r="A423" s="8"/>
      <c r="B423" s="59"/>
      <c r="C423" s="59"/>
      <c r="D423" s="59"/>
      <c r="E423" s="59"/>
      <c r="F423" s="8"/>
      <c r="G423" s="8"/>
      <c r="H423" s="8"/>
      <c r="I423" s="8"/>
      <c r="J423" s="8"/>
      <c r="K423" s="8"/>
      <c r="L423" s="8"/>
      <c r="M423" s="8"/>
      <c r="N423" s="8"/>
      <c r="O423" s="8"/>
      <c r="P423" s="8"/>
      <c r="Q423" s="8"/>
      <c r="R423" s="8"/>
      <c r="S423" s="8"/>
      <c r="T423" s="8"/>
      <c r="U423" s="8"/>
      <c r="V423" s="8"/>
      <c r="W423" s="8"/>
      <c r="X423" s="8"/>
      <c r="Y423" s="8"/>
      <c r="Z423" s="8"/>
      <c r="AA423" s="8"/>
    </row>
    <row r="424" spans="1:27" ht="12.75">
      <c r="A424" s="8"/>
      <c r="B424" s="59"/>
      <c r="C424" s="59"/>
      <c r="D424" s="59"/>
      <c r="E424" s="59"/>
      <c r="F424" s="8"/>
      <c r="G424" s="8"/>
      <c r="H424" s="8"/>
      <c r="I424" s="8"/>
      <c r="J424" s="8"/>
      <c r="K424" s="8"/>
      <c r="L424" s="8"/>
      <c r="M424" s="8"/>
      <c r="N424" s="8"/>
      <c r="O424" s="8"/>
      <c r="P424" s="8"/>
      <c r="Q424" s="8"/>
      <c r="R424" s="8"/>
      <c r="S424" s="8"/>
      <c r="T424" s="8"/>
      <c r="U424" s="8"/>
      <c r="V424" s="8"/>
      <c r="W424" s="8"/>
      <c r="X424" s="8"/>
      <c r="Y424" s="8"/>
      <c r="Z424" s="8"/>
      <c r="AA424" s="8"/>
    </row>
    <row r="425" spans="1:27" ht="12.75">
      <c r="A425" s="8"/>
      <c r="B425" s="59"/>
      <c r="C425" s="59"/>
      <c r="D425" s="59"/>
      <c r="E425" s="59"/>
      <c r="F425" s="8"/>
      <c r="G425" s="8"/>
      <c r="H425" s="8"/>
      <c r="I425" s="8"/>
      <c r="J425" s="8"/>
      <c r="K425" s="8"/>
      <c r="L425" s="8"/>
      <c r="M425" s="8"/>
      <c r="N425" s="8"/>
      <c r="O425" s="8"/>
      <c r="P425" s="8"/>
      <c r="Q425" s="8"/>
      <c r="R425" s="8"/>
      <c r="S425" s="8"/>
      <c r="T425" s="8"/>
      <c r="U425" s="8"/>
      <c r="V425" s="8"/>
      <c r="W425" s="8"/>
      <c r="X425" s="8"/>
      <c r="Y425" s="8"/>
      <c r="Z425" s="8"/>
      <c r="AA425" s="8"/>
    </row>
    <row r="426" spans="1:27" ht="12.75">
      <c r="A426" s="8"/>
      <c r="B426" s="59"/>
      <c r="C426" s="59"/>
      <c r="D426" s="59"/>
      <c r="E426" s="59"/>
      <c r="F426" s="8"/>
      <c r="G426" s="8"/>
      <c r="H426" s="8"/>
      <c r="I426" s="8"/>
      <c r="J426" s="8"/>
      <c r="K426" s="8"/>
      <c r="L426" s="8"/>
      <c r="M426" s="8"/>
      <c r="N426" s="8"/>
      <c r="O426" s="8"/>
      <c r="P426" s="8"/>
      <c r="Q426" s="8"/>
      <c r="R426" s="8"/>
      <c r="S426" s="8"/>
      <c r="T426" s="8"/>
      <c r="U426" s="8"/>
      <c r="V426" s="8"/>
      <c r="W426" s="8"/>
      <c r="X426" s="8"/>
      <c r="Y426" s="8"/>
      <c r="Z426" s="8"/>
      <c r="AA426" s="8"/>
    </row>
    <row r="427" spans="1:27" ht="12.75">
      <c r="A427" s="8"/>
      <c r="B427" s="59"/>
      <c r="C427" s="59"/>
      <c r="D427" s="59"/>
      <c r="E427" s="59"/>
      <c r="F427" s="8"/>
      <c r="G427" s="8"/>
      <c r="H427" s="8"/>
      <c r="I427" s="8"/>
      <c r="J427" s="8"/>
      <c r="K427" s="8"/>
      <c r="L427" s="8"/>
      <c r="M427" s="8"/>
      <c r="N427" s="8"/>
      <c r="O427" s="8"/>
      <c r="P427" s="8"/>
      <c r="Q427" s="8"/>
      <c r="R427" s="8"/>
      <c r="S427" s="8"/>
      <c r="T427" s="8"/>
      <c r="U427" s="8"/>
      <c r="V427" s="8"/>
      <c r="W427" s="8"/>
      <c r="X427" s="8"/>
      <c r="Y427" s="8"/>
      <c r="Z427" s="8"/>
      <c r="AA427" s="8"/>
    </row>
    <row r="428" spans="1:27" ht="12.75">
      <c r="A428" s="8"/>
      <c r="B428" s="59"/>
      <c r="C428" s="59"/>
      <c r="D428" s="59"/>
      <c r="E428" s="59"/>
      <c r="F428" s="8"/>
      <c r="G428" s="8"/>
      <c r="H428" s="8"/>
      <c r="I428" s="8"/>
      <c r="J428" s="8"/>
      <c r="K428" s="8"/>
      <c r="L428" s="8"/>
      <c r="M428" s="8"/>
      <c r="N428" s="8"/>
      <c r="O428" s="8"/>
      <c r="P428" s="8"/>
      <c r="Q428" s="8"/>
      <c r="R428" s="8"/>
      <c r="S428" s="8"/>
      <c r="T428" s="8"/>
      <c r="U428" s="8"/>
      <c r="V428" s="8"/>
      <c r="W428" s="8"/>
      <c r="X428" s="8"/>
      <c r="Y428" s="8"/>
      <c r="Z428" s="8"/>
      <c r="AA428" s="8"/>
    </row>
    <row r="429" spans="1:27" ht="12.75">
      <c r="A429" s="8"/>
      <c r="B429" s="59"/>
      <c r="C429" s="59"/>
      <c r="D429" s="59"/>
      <c r="E429" s="59"/>
      <c r="F429" s="8"/>
      <c r="G429" s="8"/>
      <c r="H429" s="8"/>
      <c r="I429" s="8"/>
      <c r="J429" s="8"/>
      <c r="K429" s="8"/>
      <c r="L429" s="8"/>
      <c r="M429" s="8"/>
      <c r="N429" s="8"/>
      <c r="O429" s="8"/>
      <c r="P429" s="8"/>
      <c r="Q429" s="8"/>
      <c r="R429" s="8"/>
      <c r="S429" s="8"/>
      <c r="T429" s="8"/>
      <c r="U429" s="8"/>
      <c r="V429" s="8"/>
      <c r="W429" s="8"/>
      <c r="X429" s="8"/>
      <c r="Y429" s="8"/>
      <c r="Z429" s="8"/>
      <c r="AA429" s="8"/>
    </row>
    <row r="430" spans="1:27" ht="12.75">
      <c r="A430" s="8"/>
      <c r="B430" s="59"/>
      <c r="C430" s="59"/>
      <c r="D430" s="59"/>
      <c r="E430" s="59"/>
      <c r="F430" s="8"/>
      <c r="G430" s="8"/>
      <c r="H430" s="8"/>
      <c r="I430" s="8"/>
      <c r="J430" s="8"/>
      <c r="K430" s="8"/>
      <c r="L430" s="8"/>
      <c r="M430" s="8"/>
      <c r="N430" s="8"/>
      <c r="O430" s="8"/>
      <c r="P430" s="8"/>
      <c r="Q430" s="8"/>
      <c r="R430" s="8"/>
      <c r="S430" s="8"/>
      <c r="T430" s="8"/>
      <c r="U430" s="8"/>
      <c r="V430" s="8"/>
      <c r="W430" s="8"/>
      <c r="X430" s="8"/>
      <c r="Y430" s="8"/>
      <c r="Z430" s="8"/>
      <c r="AA430" s="8"/>
    </row>
    <row r="431" spans="1:27" ht="12.75">
      <c r="A431" s="8"/>
      <c r="B431" s="59"/>
      <c r="C431" s="59"/>
      <c r="D431" s="59"/>
      <c r="E431" s="59"/>
      <c r="F431" s="8"/>
      <c r="G431" s="8"/>
      <c r="H431" s="8"/>
      <c r="I431" s="8"/>
      <c r="J431" s="8"/>
      <c r="K431" s="8"/>
      <c r="L431" s="8"/>
      <c r="M431" s="8"/>
      <c r="N431" s="8"/>
      <c r="O431" s="8"/>
      <c r="P431" s="8"/>
      <c r="Q431" s="8"/>
      <c r="R431" s="8"/>
      <c r="S431" s="8"/>
      <c r="T431" s="8"/>
      <c r="U431" s="8"/>
      <c r="V431" s="8"/>
      <c r="W431" s="8"/>
      <c r="X431" s="8"/>
      <c r="Y431" s="8"/>
      <c r="Z431" s="8"/>
      <c r="AA431" s="8"/>
    </row>
    <row r="432" spans="1:27" ht="12.75">
      <c r="A432" s="8"/>
      <c r="B432" s="59"/>
      <c r="C432" s="59"/>
      <c r="D432" s="59"/>
      <c r="E432" s="59"/>
      <c r="F432" s="8"/>
      <c r="G432" s="8"/>
      <c r="H432" s="8"/>
      <c r="I432" s="8"/>
      <c r="J432" s="8"/>
      <c r="K432" s="8"/>
      <c r="L432" s="8"/>
      <c r="M432" s="8"/>
      <c r="N432" s="8"/>
      <c r="O432" s="8"/>
      <c r="P432" s="8"/>
      <c r="Q432" s="8"/>
      <c r="R432" s="8"/>
      <c r="S432" s="8"/>
      <c r="T432" s="8"/>
      <c r="U432" s="8"/>
      <c r="V432" s="8"/>
      <c r="W432" s="8"/>
      <c r="X432" s="8"/>
      <c r="Y432" s="8"/>
      <c r="Z432" s="8"/>
      <c r="AA432" s="8"/>
    </row>
    <row r="433" spans="1:27" ht="12.75">
      <c r="A433" s="8"/>
      <c r="B433" s="59"/>
      <c r="C433" s="59"/>
      <c r="D433" s="59"/>
      <c r="E433" s="59"/>
      <c r="F433" s="8"/>
      <c r="G433" s="8"/>
      <c r="H433" s="8"/>
      <c r="I433" s="8"/>
      <c r="J433" s="8"/>
      <c r="K433" s="8"/>
      <c r="L433" s="8"/>
      <c r="M433" s="8"/>
      <c r="N433" s="8"/>
      <c r="O433" s="8"/>
      <c r="P433" s="8"/>
      <c r="Q433" s="8"/>
      <c r="R433" s="8"/>
      <c r="S433" s="8"/>
      <c r="T433" s="8"/>
      <c r="U433" s="8"/>
      <c r="V433" s="8"/>
      <c r="W433" s="8"/>
      <c r="X433" s="8"/>
      <c r="Y433" s="8"/>
      <c r="Z433" s="8"/>
      <c r="AA433" s="8"/>
    </row>
    <row r="434" spans="1:27" ht="12.75">
      <c r="A434" s="8"/>
      <c r="B434" s="59"/>
      <c r="C434" s="59"/>
      <c r="D434" s="59"/>
      <c r="E434" s="59"/>
      <c r="F434" s="8"/>
      <c r="G434" s="8"/>
      <c r="H434" s="8"/>
      <c r="I434" s="8"/>
      <c r="J434" s="8"/>
      <c r="K434" s="8"/>
      <c r="L434" s="8"/>
      <c r="M434" s="8"/>
      <c r="N434" s="8"/>
      <c r="O434" s="8"/>
      <c r="P434" s="8"/>
      <c r="Q434" s="8"/>
      <c r="R434" s="8"/>
      <c r="S434" s="8"/>
      <c r="T434" s="8"/>
      <c r="U434" s="8"/>
      <c r="V434" s="8"/>
      <c r="W434" s="8"/>
      <c r="X434" s="8"/>
      <c r="Y434" s="8"/>
      <c r="Z434" s="8"/>
      <c r="AA434" s="8"/>
    </row>
    <row r="435" spans="1:27" ht="12.75">
      <c r="A435" s="8"/>
      <c r="B435" s="59"/>
      <c r="C435" s="59"/>
      <c r="D435" s="59"/>
      <c r="E435" s="59"/>
      <c r="F435" s="8"/>
      <c r="G435" s="8"/>
      <c r="H435" s="8"/>
      <c r="I435" s="8"/>
      <c r="J435" s="8"/>
      <c r="K435" s="8"/>
      <c r="L435" s="8"/>
      <c r="M435" s="8"/>
      <c r="N435" s="8"/>
      <c r="O435" s="8"/>
      <c r="P435" s="8"/>
      <c r="Q435" s="8"/>
      <c r="R435" s="8"/>
      <c r="S435" s="8"/>
      <c r="T435" s="8"/>
      <c r="U435" s="8"/>
      <c r="V435" s="8"/>
      <c r="W435" s="8"/>
      <c r="X435" s="8"/>
      <c r="Y435" s="8"/>
      <c r="Z435" s="8"/>
      <c r="AA435" s="8"/>
    </row>
    <row r="436" spans="1:27" ht="12.75">
      <c r="A436" s="8"/>
      <c r="B436" s="59"/>
      <c r="C436" s="59"/>
      <c r="D436" s="59"/>
      <c r="E436" s="59"/>
      <c r="F436" s="8"/>
      <c r="G436" s="8"/>
      <c r="H436" s="8"/>
      <c r="I436" s="8"/>
      <c r="J436" s="8"/>
      <c r="K436" s="8"/>
      <c r="L436" s="8"/>
      <c r="M436" s="8"/>
      <c r="N436" s="8"/>
      <c r="O436" s="8"/>
      <c r="P436" s="8"/>
      <c r="Q436" s="8"/>
      <c r="R436" s="8"/>
      <c r="S436" s="8"/>
      <c r="T436" s="8"/>
      <c r="U436" s="8"/>
      <c r="V436" s="8"/>
      <c r="W436" s="8"/>
      <c r="X436" s="8"/>
      <c r="Y436" s="8"/>
      <c r="Z436" s="8"/>
      <c r="AA436" s="8"/>
    </row>
    <row r="437" spans="1:27" ht="12.75">
      <c r="A437" s="8"/>
      <c r="B437" s="59"/>
      <c r="C437" s="59"/>
      <c r="D437" s="59"/>
      <c r="E437" s="59"/>
      <c r="F437" s="8"/>
      <c r="G437" s="8"/>
      <c r="H437" s="8"/>
      <c r="I437" s="8"/>
      <c r="J437" s="8"/>
      <c r="K437" s="8"/>
      <c r="L437" s="8"/>
      <c r="M437" s="8"/>
      <c r="N437" s="8"/>
      <c r="O437" s="8"/>
      <c r="P437" s="8"/>
      <c r="Q437" s="8"/>
      <c r="R437" s="8"/>
      <c r="S437" s="8"/>
      <c r="T437" s="8"/>
      <c r="U437" s="8"/>
      <c r="V437" s="8"/>
      <c r="W437" s="8"/>
      <c r="X437" s="8"/>
      <c r="Y437" s="8"/>
      <c r="Z437" s="8"/>
      <c r="AA437" s="8"/>
    </row>
    <row r="438" spans="1:27" ht="12.75">
      <c r="A438" s="8"/>
      <c r="B438" s="59"/>
      <c r="C438" s="59"/>
      <c r="D438" s="59"/>
      <c r="E438" s="59"/>
      <c r="F438" s="8"/>
      <c r="G438" s="8"/>
      <c r="H438" s="8"/>
      <c r="I438" s="8"/>
      <c r="J438" s="8"/>
      <c r="K438" s="8"/>
      <c r="L438" s="8"/>
      <c r="M438" s="8"/>
      <c r="N438" s="8"/>
      <c r="O438" s="8"/>
      <c r="P438" s="8"/>
      <c r="Q438" s="8"/>
      <c r="R438" s="8"/>
      <c r="S438" s="8"/>
      <c r="T438" s="8"/>
      <c r="U438" s="8"/>
      <c r="V438" s="8"/>
      <c r="W438" s="8"/>
      <c r="X438" s="8"/>
      <c r="Y438" s="8"/>
      <c r="Z438" s="8"/>
      <c r="AA438" s="8"/>
    </row>
    <row r="439" spans="1:27" ht="12.75">
      <c r="A439" s="8"/>
      <c r="B439" s="59"/>
      <c r="C439" s="59"/>
      <c r="D439" s="59"/>
      <c r="E439" s="59"/>
      <c r="F439" s="8"/>
      <c r="G439" s="8"/>
      <c r="H439" s="8"/>
      <c r="I439" s="8"/>
      <c r="J439" s="8"/>
      <c r="K439" s="8"/>
      <c r="L439" s="8"/>
      <c r="M439" s="8"/>
      <c r="N439" s="8"/>
      <c r="O439" s="8"/>
      <c r="P439" s="8"/>
      <c r="Q439" s="8"/>
      <c r="R439" s="8"/>
      <c r="S439" s="8"/>
      <c r="T439" s="8"/>
      <c r="U439" s="8"/>
      <c r="V439" s="8"/>
      <c r="W439" s="8"/>
      <c r="X439" s="8"/>
      <c r="Y439" s="8"/>
      <c r="Z439" s="8"/>
      <c r="AA439" s="8"/>
    </row>
    <row r="440" spans="1:27" ht="12.75">
      <c r="A440" s="8"/>
      <c r="B440" s="59"/>
      <c r="C440" s="59"/>
      <c r="D440" s="59"/>
      <c r="E440" s="59"/>
      <c r="F440" s="8"/>
      <c r="G440" s="8"/>
      <c r="H440" s="8"/>
      <c r="I440" s="8"/>
      <c r="J440" s="8"/>
      <c r="K440" s="8"/>
      <c r="L440" s="8"/>
      <c r="M440" s="8"/>
      <c r="N440" s="8"/>
      <c r="O440" s="8"/>
      <c r="P440" s="8"/>
      <c r="Q440" s="8"/>
      <c r="R440" s="8"/>
      <c r="S440" s="8"/>
      <c r="T440" s="8"/>
      <c r="U440" s="8"/>
      <c r="V440" s="8"/>
      <c r="W440" s="8"/>
      <c r="X440" s="8"/>
      <c r="Y440" s="8"/>
      <c r="Z440" s="8"/>
      <c r="AA440" s="8"/>
    </row>
    <row r="441" spans="1:27" ht="12.75">
      <c r="A441" s="8"/>
      <c r="B441" s="59"/>
      <c r="C441" s="59"/>
      <c r="D441" s="59"/>
      <c r="E441" s="59"/>
      <c r="F441" s="8"/>
      <c r="G441" s="8"/>
      <c r="H441" s="8"/>
      <c r="I441" s="8"/>
      <c r="J441" s="8"/>
      <c r="K441" s="8"/>
      <c r="L441" s="8"/>
      <c r="M441" s="8"/>
      <c r="N441" s="8"/>
      <c r="O441" s="8"/>
      <c r="P441" s="8"/>
      <c r="Q441" s="8"/>
      <c r="R441" s="8"/>
      <c r="S441" s="8"/>
      <c r="T441" s="8"/>
      <c r="U441" s="8"/>
      <c r="V441" s="8"/>
      <c r="W441" s="8"/>
      <c r="X441" s="8"/>
      <c r="Y441" s="8"/>
      <c r="Z441" s="8"/>
      <c r="AA441" s="8"/>
    </row>
    <row r="442" spans="1:27" ht="12.75">
      <c r="A442" s="8"/>
      <c r="B442" s="59"/>
      <c r="C442" s="59"/>
      <c r="D442" s="59"/>
      <c r="E442" s="59"/>
      <c r="F442" s="8"/>
      <c r="G442" s="8"/>
      <c r="H442" s="8"/>
      <c r="I442" s="8"/>
      <c r="J442" s="8"/>
      <c r="K442" s="8"/>
      <c r="L442" s="8"/>
      <c r="M442" s="8"/>
      <c r="N442" s="8"/>
      <c r="O442" s="8"/>
      <c r="P442" s="8"/>
      <c r="Q442" s="8"/>
      <c r="R442" s="8"/>
      <c r="S442" s="8"/>
      <c r="T442" s="8"/>
      <c r="U442" s="8"/>
      <c r="V442" s="8"/>
      <c r="W442" s="8"/>
      <c r="X442" s="8"/>
      <c r="Y442" s="8"/>
      <c r="Z442" s="8"/>
      <c r="AA442" s="8"/>
    </row>
    <row r="443" spans="1:27" ht="12.75">
      <c r="A443" s="8"/>
      <c r="B443" s="59"/>
      <c r="C443" s="59"/>
      <c r="D443" s="59"/>
      <c r="E443" s="59"/>
      <c r="F443" s="8"/>
      <c r="G443" s="8"/>
      <c r="H443" s="8"/>
      <c r="I443" s="8"/>
      <c r="J443" s="8"/>
      <c r="K443" s="8"/>
      <c r="L443" s="8"/>
      <c r="M443" s="8"/>
      <c r="N443" s="8"/>
      <c r="O443" s="8"/>
      <c r="P443" s="8"/>
      <c r="Q443" s="8"/>
      <c r="R443" s="8"/>
      <c r="S443" s="8"/>
      <c r="T443" s="8"/>
      <c r="U443" s="8"/>
      <c r="V443" s="8"/>
      <c r="W443" s="8"/>
      <c r="X443" s="8"/>
      <c r="Y443" s="8"/>
      <c r="Z443" s="8"/>
      <c r="AA443" s="8"/>
    </row>
    <row r="444" spans="1:27" ht="12.75">
      <c r="A444" s="8"/>
      <c r="B444" s="59"/>
      <c r="C444" s="59"/>
      <c r="D444" s="59"/>
      <c r="E444" s="59"/>
      <c r="F444" s="8"/>
      <c r="G444" s="8"/>
      <c r="H444" s="8"/>
      <c r="I444" s="8"/>
      <c r="J444" s="8"/>
      <c r="K444" s="8"/>
      <c r="L444" s="8"/>
      <c r="M444" s="8"/>
      <c r="N444" s="8"/>
      <c r="O444" s="8"/>
      <c r="P444" s="8"/>
      <c r="Q444" s="8"/>
      <c r="R444" s="8"/>
      <c r="S444" s="8"/>
      <c r="T444" s="8"/>
      <c r="U444" s="8"/>
      <c r="V444" s="8"/>
      <c r="W444" s="8"/>
      <c r="X444" s="8"/>
      <c r="Y444" s="8"/>
      <c r="Z444" s="8"/>
      <c r="AA444" s="8"/>
    </row>
    <row r="445" spans="1:27" ht="12.75">
      <c r="A445" s="8"/>
      <c r="B445" s="59"/>
      <c r="C445" s="59"/>
      <c r="D445" s="59"/>
      <c r="E445" s="59"/>
      <c r="F445" s="8"/>
      <c r="G445" s="8"/>
      <c r="H445" s="8"/>
      <c r="I445" s="8"/>
      <c r="J445" s="8"/>
      <c r="K445" s="8"/>
      <c r="L445" s="8"/>
      <c r="M445" s="8"/>
      <c r="N445" s="8"/>
      <c r="O445" s="8"/>
      <c r="P445" s="8"/>
      <c r="Q445" s="8"/>
      <c r="R445" s="8"/>
      <c r="S445" s="8"/>
      <c r="T445" s="8"/>
      <c r="U445" s="8"/>
      <c r="V445" s="8"/>
      <c r="W445" s="8"/>
      <c r="X445" s="8"/>
      <c r="Y445" s="8"/>
      <c r="Z445" s="8"/>
      <c r="AA445" s="8"/>
    </row>
    <row r="446" spans="1:27" ht="12.75">
      <c r="A446" s="8"/>
      <c r="B446" s="59"/>
      <c r="C446" s="59"/>
      <c r="D446" s="59"/>
      <c r="E446" s="59"/>
      <c r="F446" s="8"/>
      <c r="G446" s="8"/>
      <c r="H446" s="8"/>
      <c r="I446" s="8"/>
      <c r="J446" s="8"/>
      <c r="K446" s="8"/>
      <c r="L446" s="8"/>
      <c r="M446" s="8"/>
      <c r="N446" s="8"/>
      <c r="O446" s="8"/>
      <c r="P446" s="8"/>
      <c r="Q446" s="8"/>
      <c r="R446" s="8"/>
      <c r="S446" s="8"/>
      <c r="T446" s="8"/>
      <c r="U446" s="8"/>
      <c r="V446" s="8"/>
      <c r="W446" s="8"/>
      <c r="X446" s="8"/>
      <c r="Y446" s="8"/>
      <c r="Z446" s="8"/>
      <c r="AA446" s="8"/>
    </row>
    <row r="447" spans="1:27" ht="12.75">
      <c r="A447" s="8"/>
      <c r="B447" s="59"/>
      <c r="C447" s="59"/>
      <c r="D447" s="59"/>
      <c r="E447" s="59"/>
      <c r="F447" s="8"/>
      <c r="G447" s="8"/>
      <c r="H447" s="8"/>
      <c r="I447" s="8"/>
      <c r="J447" s="8"/>
      <c r="K447" s="8"/>
      <c r="L447" s="8"/>
      <c r="M447" s="8"/>
      <c r="N447" s="8"/>
      <c r="O447" s="8"/>
      <c r="P447" s="8"/>
      <c r="Q447" s="8"/>
      <c r="R447" s="8"/>
      <c r="S447" s="8"/>
      <c r="T447" s="8"/>
      <c r="U447" s="8"/>
      <c r="V447" s="8"/>
      <c r="W447" s="8"/>
      <c r="X447" s="8"/>
      <c r="Y447" s="8"/>
      <c r="Z447" s="8"/>
      <c r="AA447" s="8"/>
    </row>
    <row r="448" spans="1:27" ht="12.75">
      <c r="A448" s="8"/>
      <c r="B448" s="59"/>
      <c r="C448" s="59"/>
      <c r="D448" s="59"/>
      <c r="E448" s="59"/>
      <c r="F448" s="8"/>
      <c r="G448" s="8"/>
      <c r="H448" s="8"/>
      <c r="I448" s="8"/>
      <c r="J448" s="8"/>
      <c r="K448" s="8"/>
      <c r="L448" s="8"/>
      <c r="M448" s="8"/>
      <c r="N448" s="8"/>
      <c r="O448" s="8"/>
      <c r="P448" s="8"/>
      <c r="Q448" s="8"/>
      <c r="R448" s="8"/>
      <c r="S448" s="8"/>
      <c r="T448" s="8"/>
      <c r="U448" s="8"/>
      <c r="V448" s="8"/>
      <c r="W448" s="8"/>
      <c r="X448" s="8"/>
      <c r="Y448" s="8"/>
      <c r="Z448" s="8"/>
      <c r="AA448" s="8"/>
    </row>
    <row r="449" spans="1:27" ht="12.75">
      <c r="A449" s="8"/>
      <c r="B449" s="59"/>
      <c r="C449" s="59"/>
      <c r="D449" s="59"/>
      <c r="E449" s="59"/>
      <c r="F449" s="8"/>
      <c r="G449" s="8"/>
      <c r="H449" s="8"/>
      <c r="I449" s="8"/>
      <c r="J449" s="8"/>
      <c r="K449" s="8"/>
      <c r="L449" s="8"/>
      <c r="M449" s="8"/>
      <c r="N449" s="8"/>
      <c r="O449" s="8"/>
      <c r="P449" s="8"/>
      <c r="Q449" s="8"/>
      <c r="R449" s="8"/>
      <c r="S449" s="8"/>
      <c r="T449" s="8"/>
      <c r="U449" s="8"/>
      <c r="V449" s="8"/>
      <c r="W449" s="8"/>
      <c r="X449" s="8"/>
      <c r="Y449" s="8"/>
      <c r="Z449" s="8"/>
      <c r="AA449" s="8"/>
    </row>
    <row r="450" spans="1:27" ht="12.75">
      <c r="A450" s="8"/>
      <c r="B450" s="59"/>
      <c r="C450" s="59"/>
      <c r="D450" s="59"/>
      <c r="E450" s="59"/>
      <c r="F450" s="8"/>
      <c r="G450" s="8"/>
      <c r="H450" s="8"/>
      <c r="I450" s="8"/>
      <c r="J450" s="8"/>
      <c r="K450" s="8"/>
      <c r="L450" s="8"/>
      <c r="M450" s="8"/>
      <c r="N450" s="8"/>
      <c r="O450" s="8"/>
      <c r="P450" s="8"/>
      <c r="Q450" s="8"/>
      <c r="R450" s="8"/>
      <c r="S450" s="8"/>
      <c r="T450" s="8"/>
      <c r="U450" s="8"/>
      <c r="V450" s="8"/>
      <c r="W450" s="8"/>
      <c r="X450" s="8"/>
      <c r="Y450" s="8"/>
      <c r="Z450" s="8"/>
      <c r="AA450" s="8"/>
    </row>
    <row r="451" spans="1:27" ht="12.75">
      <c r="A451" s="8"/>
      <c r="B451" s="59"/>
      <c r="C451" s="59"/>
      <c r="D451" s="59"/>
      <c r="E451" s="59"/>
      <c r="F451" s="8"/>
      <c r="G451" s="8"/>
      <c r="H451" s="8"/>
      <c r="I451" s="8"/>
      <c r="J451" s="8"/>
      <c r="K451" s="8"/>
      <c r="L451" s="8"/>
      <c r="M451" s="8"/>
      <c r="N451" s="8"/>
      <c r="O451" s="8"/>
      <c r="P451" s="8"/>
      <c r="Q451" s="8"/>
      <c r="R451" s="8"/>
      <c r="S451" s="8"/>
      <c r="T451" s="8"/>
      <c r="U451" s="8"/>
      <c r="V451" s="8"/>
      <c r="W451" s="8"/>
      <c r="X451" s="8"/>
      <c r="Y451" s="8"/>
      <c r="Z451" s="8"/>
      <c r="AA451" s="8"/>
    </row>
    <row r="452" spans="1:27" ht="12.75">
      <c r="A452" s="8"/>
      <c r="B452" s="59"/>
      <c r="C452" s="59"/>
      <c r="D452" s="59"/>
      <c r="E452" s="59"/>
      <c r="F452" s="8"/>
      <c r="G452" s="8"/>
      <c r="H452" s="8"/>
      <c r="I452" s="8"/>
      <c r="J452" s="8"/>
      <c r="K452" s="8"/>
      <c r="L452" s="8"/>
      <c r="M452" s="8"/>
      <c r="N452" s="8"/>
      <c r="O452" s="8"/>
      <c r="P452" s="8"/>
      <c r="Q452" s="8"/>
      <c r="R452" s="8"/>
      <c r="S452" s="8"/>
      <c r="T452" s="8"/>
      <c r="U452" s="8"/>
      <c r="V452" s="8"/>
      <c r="W452" s="8"/>
      <c r="X452" s="8"/>
      <c r="Y452" s="8"/>
      <c r="Z452" s="8"/>
      <c r="AA452" s="8"/>
    </row>
    <row r="453" spans="1:27" ht="12.75">
      <c r="A453" s="8"/>
      <c r="B453" s="59"/>
      <c r="C453" s="59"/>
      <c r="D453" s="59"/>
      <c r="E453" s="59"/>
      <c r="F453" s="8"/>
      <c r="G453" s="8"/>
      <c r="H453" s="8"/>
      <c r="I453" s="8"/>
      <c r="J453" s="8"/>
      <c r="K453" s="8"/>
      <c r="L453" s="8"/>
      <c r="M453" s="8"/>
      <c r="N453" s="8"/>
      <c r="O453" s="8"/>
      <c r="P453" s="8"/>
      <c r="Q453" s="8"/>
      <c r="R453" s="8"/>
      <c r="S453" s="8"/>
      <c r="T453" s="8"/>
      <c r="U453" s="8"/>
      <c r="V453" s="8"/>
      <c r="W453" s="8"/>
      <c r="X453" s="8"/>
      <c r="Y453" s="8"/>
      <c r="Z453" s="8"/>
      <c r="AA453" s="8"/>
    </row>
    <row r="454" spans="1:27" ht="12.75">
      <c r="A454" s="8"/>
      <c r="B454" s="59"/>
      <c r="C454" s="59"/>
      <c r="D454" s="59"/>
      <c r="E454" s="59"/>
      <c r="F454" s="8"/>
      <c r="G454" s="8"/>
      <c r="H454" s="8"/>
      <c r="I454" s="8"/>
      <c r="J454" s="8"/>
      <c r="K454" s="8"/>
      <c r="L454" s="8"/>
      <c r="M454" s="8"/>
      <c r="N454" s="8"/>
      <c r="O454" s="8"/>
      <c r="P454" s="8"/>
      <c r="Q454" s="8"/>
      <c r="R454" s="8"/>
      <c r="S454" s="8"/>
      <c r="T454" s="8"/>
      <c r="U454" s="8"/>
      <c r="V454" s="8"/>
      <c r="W454" s="8"/>
      <c r="X454" s="8"/>
      <c r="Y454" s="8"/>
      <c r="Z454" s="8"/>
      <c r="AA454" s="8"/>
    </row>
    <row r="455" spans="1:27" ht="12.75">
      <c r="A455" s="8"/>
      <c r="B455" s="59"/>
      <c r="C455" s="59"/>
      <c r="D455" s="59"/>
      <c r="E455" s="59"/>
      <c r="F455" s="8"/>
      <c r="G455" s="8"/>
      <c r="H455" s="8"/>
      <c r="I455" s="8"/>
      <c r="J455" s="8"/>
      <c r="K455" s="8"/>
      <c r="L455" s="8"/>
      <c r="M455" s="8"/>
      <c r="N455" s="8"/>
      <c r="O455" s="8"/>
      <c r="P455" s="8"/>
      <c r="Q455" s="8"/>
      <c r="R455" s="8"/>
      <c r="S455" s="8"/>
      <c r="T455" s="8"/>
      <c r="U455" s="8"/>
      <c r="V455" s="8"/>
      <c r="W455" s="8"/>
      <c r="X455" s="8"/>
      <c r="Y455" s="8"/>
      <c r="Z455" s="8"/>
      <c r="AA455" s="8"/>
    </row>
    <row r="456" spans="1:27" ht="12.75">
      <c r="A456" s="8"/>
      <c r="B456" s="59"/>
      <c r="C456" s="59"/>
      <c r="D456" s="59"/>
      <c r="E456" s="59"/>
      <c r="F456" s="8"/>
      <c r="G456" s="8"/>
      <c r="H456" s="8"/>
      <c r="I456" s="8"/>
      <c r="J456" s="8"/>
      <c r="K456" s="8"/>
      <c r="L456" s="8"/>
      <c r="M456" s="8"/>
      <c r="N456" s="8"/>
      <c r="O456" s="8"/>
      <c r="P456" s="8"/>
      <c r="Q456" s="8"/>
      <c r="R456" s="8"/>
      <c r="S456" s="8"/>
      <c r="T456" s="8"/>
      <c r="U456" s="8"/>
      <c r="V456" s="8"/>
      <c r="W456" s="8"/>
      <c r="X456" s="8"/>
      <c r="Y456" s="8"/>
      <c r="Z456" s="8"/>
      <c r="AA456" s="8"/>
    </row>
    <row r="457" spans="1:27" ht="12.75">
      <c r="A457" s="8"/>
      <c r="B457" s="59"/>
      <c r="C457" s="59"/>
      <c r="D457" s="59"/>
      <c r="E457" s="59"/>
      <c r="F457" s="8"/>
      <c r="G457" s="8"/>
      <c r="H457" s="8"/>
      <c r="I457" s="8"/>
      <c r="J457" s="8"/>
      <c r="K457" s="8"/>
      <c r="L457" s="8"/>
      <c r="M457" s="8"/>
      <c r="N457" s="8"/>
      <c r="O457" s="8"/>
      <c r="P457" s="8"/>
      <c r="Q457" s="8"/>
      <c r="R457" s="8"/>
      <c r="S457" s="8"/>
      <c r="T457" s="8"/>
      <c r="U457" s="8"/>
      <c r="V457" s="8"/>
      <c r="W457" s="8"/>
      <c r="X457" s="8"/>
      <c r="Y457" s="8"/>
      <c r="Z457" s="8"/>
      <c r="AA457" s="8"/>
    </row>
    <row r="458" spans="1:27" ht="12.75">
      <c r="A458" s="8"/>
      <c r="B458" s="59"/>
      <c r="C458" s="59"/>
      <c r="D458" s="59"/>
      <c r="E458" s="59"/>
      <c r="F458" s="8"/>
      <c r="G458" s="8"/>
      <c r="H458" s="8"/>
      <c r="I458" s="8"/>
      <c r="J458" s="8"/>
      <c r="K458" s="8"/>
      <c r="L458" s="8"/>
      <c r="M458" s="8"/>
      <c r="N458" s="8"/>
      <c r="O458" s="8"/>
      <c r="P458" s="8"/>
      <c r="Q458" s="8"/>
      <c r="R458" s="8"/>
      <c r="S458" s="8"/>
      <c r="T458" s="8"/>
      <c r="U458" s="8"/>
      <c r="V458" s="8"/>
      <c r="W458" s="8"/>
      <c r="X458" s="8"/>
      <c r="Y458" s="8"/>
      <c r="Z458" s="8"/>
      <c r="AA458" s="8"/>
    </row>
    <row r="459" spans="1:27" ht="12.75">
      <c r="A459" s="8"/>
      <c r="B459" s="59"/>
      <c r="C459" s="59"/>
      <c r="D459" s="59"/>
      <c r="E459" s="59"/>
      <c r="F459" s="8"/>
      <c r="G459" s="8"/>
      <c r="H459" s="8"/>
      <c r="I459" s="8"/>
      <c r="J459" s="8"/>
      <c r="K459" s="8"/>
      <c r="L459" s="8"/>
      <c r="M459" s="8"/>
      <c r="N459" s="8"/>
      <c r="O459" s="8"/>
      <c r="P459" s="8"/>
      <c r="Q459" s="8"/>
      <c r="R459" s="8"/>
      <c r="S459" s="8"/>
      <c r="T459" s="8"/>
      <c r="U459" s="8"/>
      <c r="V459" s="8"/>
      <c r="W459" s="8"/>
      <c r="X459" s="8"/>
      <c r="Y459" s="8"/>
      <c r="Z459" s="8"/>
      <c r="AA459" s="8"/>
    </row>
    <row r="460" spans="1:27" ht="12.75">
      <c r="A460" s="8"/>
      <c r="B460" s="59"/>
      <c r="C460" s="59"/>
      <c r="D460" s="59"/>
      <c r="E460" s="59"/>
      <c r="F460" s="8"/>
      <c r="G460" s="8"/>
      <c r="H460" s="8"/>
      <c r="I460" s="8"/>
      <c r="J460" s="8"/>
      <c r="K460" s="8"/>
      <c r="L460" s="8"/>
      <c r="M460" s="8"/>
      <c r="N460" s="8"/>
      <c r="O460" s="8"/>
      <c r="P460" s="8"/>
      <c r="Q460" s="8"/>
      <c r="R460" s="8"/>
      <c r="S460" s="8"/>
      <c r="T460" s="8"/>
      <c r="U460" s="8"/>
      <c r="V460" s="8"/>
      <c r="W460" s="8"/>
      <c r="X460" s="8"/>
      <c r="Y460" s="8"/>
      <c r="Z460" s="8"/>
      <c r="AA460" s="8"/>
    </row>
    <row r="461" spans="1:27" ht="12.75">
      <c r="A461" s="8"/>
      <c r="B461" s="59"/>
      <c r="C461" s="59"/>
      <c r="D461" s="59"/>
      <c r="E461" s="59"/>
      <c r="F461" s="8"/>
      <c r="G461" s="8"/>
      <c r="H461" s="8"/>
      <c r="I461" s="8"/>
      <c r="J461" s="8"/>
      <c r="K461" s="8"/>
      <c r="L461" s="8"/>
      <c r="M461" s="8"/>
      <c r="N461" s="8"/>
      <c r="O461" s="8"/>
      <c r="P461" s="8"/>
      <c r="Q461" s="8"/>
      <c r="R461" s="8"/>
      <c r="S461" s="8"/>
      <c r="T461" s="8"/>
      <c r="U461" s="8"/>
      <c r="V461" s="8"/>
      <c r="W461" s="8"/>
      <c r="X461" s="8"/>
      <c r="Y461" s="8"/>
      <c r="Z461" s="8"/>
      <c r="AA461" s="8"/>
    </row>
    <row r="462" spans="1:27" ht="12.75">
      <c r="A462" s="8"/>
      <c r="B462" s="59"/>
      <c r="C462" s="59"/>
      <c r="D462" s="59"/>
      <c r="E462" s="59"/>
      <c r="F462" s="8"/>
      <c r="G462" s="8"/>
      <c r="H462" s="8"/>
      <c r="I462" s="8"/>
      <c r="J462" s="8"/>
      <c r="K462" s="8"/>
      <c r="L462" s="8"/>
      <c r="M462" s="8"/>
      <c r="N462" s="8"/>
      <c r="O462" s="8"/>
      <c r="P462" s="8"/>
      <c r="Q462" s="8"/>
      <c r="R462" s="8"/>
      <c r="S462" s="8"/>
      <c r="T462" s="8"/>
      <c r="U462" s="8"/>
      <c r="V462" s="8"/>
      <c r="W462" s="8"/>
      <c r="X462" s="8"/>
      <c r="Y462" s="8"/>
      <c r="Z462" s="8"/>
      <c r="AA462" s="8"/>
    </row>
    <row r="463" spans="1:27" ht="12.75">
      <c r="A463" s="8"/>
      <c r="B463" s="59"/>
      <c r="C463" s="59"/>
      <c r="D463" s="59"/>
      <c r="E463" s="59"/>
      <c r="F463" s="8"/>
      <c r="G463" s="8"/>
      <c r="H463" s="8"/>
      <c r="I463" s="8"/>
      <c r="J463" s="8"/>
      <c r="K463" s="8"/>
      <c r="L463" s="8"/>
      <c r="M463" s="8"/>
      <c r="N463" s="8"/>
      <c r="O463" s="8"/>
      <c r="P463" s="8"/>
      <c r="Q463" s="8"/>
      <c r="R463" s="8"/>
      <c r="S463" s="8"/>
      <c r="T463" s="8"/>
      <c r="U463" s="8"/>
      <c r="V463" s="8"/>
      <c r="W463" s="8"/>
      <c r="X463" s="8"/>
      <c r="Y463" s="8"/>
      <c r="Z463" s="8"/>
      <c r="AA463" s="8"/>
    </row>
    <row r="464" spans="1:27" ht="12.75">
      <c r="A464" s="8"/>
      <c r="B464" s="59"/>
      <c r="C464" s="59"/>
      <c r="D464" s="59"/>
      <c r="E464" s="59"/>
      <c r="F464" s="8"/>
      <c r="G464" s="8"/>
      <c r="H464" s="8"/>
      <c r="I464" s="8"/>
      <c r="J464" s="8"/>
      <c r="K464" s="8"/>
      <c r="L464" s="8"/>
      <c r="M464" s="8"/>
      <c r="N464" s="8"/>
      <c r="O464" s="8"/>
      <c r="P464" s="8"/>
      <c r="Q464" s="8"/>
      <c r="R464" s="8"/>
      <c r="S464" s="8"/>
      <c r="T464" s="8"/>
      <c r="U464" s="8"/>
      <c r="V464" s="8"/>
      <c r="W464" s="8"/>
      <c r="X464" s="8"/>
      <c r="Y464" s="8"/>
      <c r="Z464" s="8"/>
      <c r="AA464" s="8"/>
    </row>
    <row r="465" spans="1:27" ht="12.75">
      <c r="A465" s="8"/>
      <c r="B465" s="59"/>
      <c r="C465" s="59"/>
      <c r="D465" s="59"/>
      <c r="E465" s="59"/>
      <c r="F465" s="8"/>
      <c r="G465" s="8"/>
      <c r="H465" s="8"/>
      <c r="I465" s="8"/>
      <c r="J465" s="8"/>
      <c r="K465" s="8"/>
      <c r="L465" s="8"/>
      <c r="M465" s="8"/>
      <c r="N465" s="8"/>
      <c r="O465" s="8"/>
      <c r="P465" s="8"/>
      <c r="Q465" s="8"/>
      <c r="R465" s="8"/>
      <c r="S465" s="8"/>
      <c r="T465" s="8"/>
      <c r="U465" s="8"/>
      <c r="V465" s="8"/>
      <c r="W465" s="8"/>
      <c r="X465" s="8"/>
      <c r="Y465" s="8"/>
      <c r="Z465" s="8"/>
      <c r="AA465" s="8"/>
    </row>
    <row r="466" spans="1:27" ht="12.75">
      <c r="A466" s="8"/>
      <c r="B466" s="59"/>
      <c r="C466" s="59"/>
      <c r="D466" s="59"/>
      <c r="E466" s="59"/>
      <c r="F466" s="8"/>
      <c r="G466" s="8"/>
      <c r="H466" s="8"/>
      <c r="I466" s="8"/>
      <c r="J466" s="8"/>
      <c r="K466" s="8"/>
      <c r="L466" s="8"/>
      <c r="M466" s="8"/>
      <c r="N466" s="8"/>
      <c r="O466" s="8"/>
      <c r="P466" s="8"/>
      <c r="Q466" s="8"/>
      <c r="R466" s="8"/>
      <c r="S466" s="8"/>
      <c r="T466" s="8"/>
      <c r="U466" s="8"/>
      <c r="V466" s="8"/>
      <c r="W466" s="8"/>
      <c r="X466" s="8"/>
      <c r="Y466" s="8"/>
      <c r="Z466" s="8"/>
      <c r="AA466" s="8"/>
    </row>
    <row r="467" spans="1:27" ht="12.75">
      <c r="A467" s="8"/>
      <c r="B467" s="59"/>
      <c r="C467" s="59"/>
      <c r="D467" s="59"/>
      <c r="E467" s="59"/>
      <c r="F467" s="8"/>
      <c r="G467" s="8"/>
      <c r="H467" s="8"/>
      <c r="I467" s="8"/>
      <c r="J467" s="8"/>
      <c r="K467" s="8"/>
      <c r="L467" s="8"/>
      <c r="M467" s="8"/>
      <c r="N467" s="8"/>
      <c r="O467" s="8"/>
      <c r="P467" s="8"/>
      <c r="Q467" s="8"/>
      <c r="R467" s="8"/>
      <c r="S467" s="8"/>
      <c r="T467" s="8"/>
      <c r="U467" s="8"/>
      <c r="V467" s="8"/>
      <c r="W467" s="8"/>
      <c r="X467" s="8"/>
      <c r="Y467" s="8"/>
      <c r="Z467" s="8"/>
      <c r="AA467" s="8"/>
    </row>
    <row r="468" spans="1:27" ht="12.75">
      <c r="A468" s="8"/>
      <c r="B468" s="59"/>
      <c r="C468" s="59"/>
      <c r="D468" s="59"/>
      <c r="E468" s="59"/>
      <c r="F468" s="8"/>
      <c r="G468" s="8"/>
      <c r="H468" s="8"/>
      <c r="I468" s="8"/>
      <c r="J468" s="8"/>
      <c r="K468" s="8"/>
      <c r="L468" s="8"/>
      <c r="M468" s="8"/>
      <c r="N468" s="8"/>
      <c r="O468" s="8"/>
      <c r="P468" s="8"/>
      <c r="Q468" s="8"/>
      <c r="R468" s="8"/>
      <c r="S468" s="8"/>
      <c r="T468" s="8"/>
      <c r="U468" s="8"/>
      <c r="V468" s="8"/>
      <c r="W468" s="8"/>
      <c r="X468" s="8"/>
      <c r="Y468" s="8"/>
      <c r="Z468" s="8"/>
      <c r="AA468" s="8"/>
    </row>
    <row r="469" spans="1:27" ht="12.75">
      <c r="A469" s="8"/>
      <c r="B469" s="59"/>
      <c r="C469" s="59"/>
      <c r="D469" s="59"/>
      <c r="E469" s="59"/>
      <c r="F469" s="8"/>
      <c r="G469" s="8"/>
      <c r="H469" s="8"/>
      <c r="I469" s="8"/>
      <c r="J469" s="8"/>
      <c r="K469" s="8"/>
      <c r="L469" s="8"/>
      <c r="M469" s="8"/>
      <c r="N469" s="8"/>
      <c r="O469" s="8"/>
      <c r="P469" s="8"/>
      <c r="Q469" s="8"/>
      <c r="R469" s="8"/>
      <c r="S469" s="8"/>
      <c r="T469" s="8"/>
      <c r="U469" s="8"/>
      <c r="V469" s="8"/>
      <c r="W469" s="8"/>
      <c r="X469" s="8"/>
      <c r="Y469" s="8"/>
      <c r="Z469" s="8"/>
      <c r="AA469" s="8"/>
    </row>
    <row r="470" spans="1:27" ht="12.75">
      <c r="A470" s="8"/>
      <c r="B470" s="59"/>
      <c r="C470" s="59"/>
      <c r="D470" s="59"/>
      <c r="E470" s="59"/>
      <c r="F470" s="8"/>
      <c r="G470" s="8"/>
      <c r="H470" s="8"/>
      <c r="I470" s="8"/>
      <c r="J470" s="8"/>
      <c r="K470" s="8"/>
      <c r="L470" s="8"/>
      <c r="M470" s="8"/>
      <c r="N470" s="8"/>
      <c r="O470" s="8"/>
      <c r="P470" s="8"/>
      <c r="Q470" s="8"/>
      <c r="R470" s="8"/>
      <c r="S470" s="8"/>
      <c r="T470" s="8"/>
      <c r="U470" s="8"/>
      <c r="V470" s="8"/>
      <c r="W470" s="8"/>
      <c r="X470" s="8"/>
      <c r="Y470" s="8"/>
      <c r="Z470" s="8"/>
      <c r="AA470" s="8"/>
    </row>
    <row r="471" spans="1:27" ht="12.75">
      <c r="A471" s="8"/>
      <c r="B471" s="59"/>
      <c r="C471" s="59"/>
      <c r="D471" s="59"/>
      <c r="E471" s="59"/>
      <c r="F471" s="8"/>
      <c r="G471" s="8"/>
      <c r="H471" s="8"/>
      <c r="I471" s="8"/>
      <c r="J471" s="8"/>
      <c r="K471" s="8"/>
      <c r="L471" s="8"/>
      <c r="M471" s="8"/>
      <c r="N471" s="8"/>
      <c r="O471" s="8"/>
      <c r="P471" s="8"/>
      <c r="Q471" s="8"/>
      <c r="R471" s="8"/>
      <c r="S471" s="8"/>
      <c r="T471" s="8"/>
      <c r="U471" s="8"/>
      <c r="V471" s="8"/>
      <c r="W471" s="8"/>
      <c r="X471" s="8"/>
      <c r="Y471" s="8"/>
      <c r="Z471" s="8"/>
      <c r="AA471" s="8"/>
    </row>
    <row r="472" spans="1:27" ht="12.75">
      <c r="A472" s="8"/>
      <c r="B472" s="59"/>
      <c r="C472" s="59"/>
      <c r="D472" s="59"/>
      <c r="E472" s="59"/>
      <c r="F472" s="8"/>
      <c r="G472" s="8"/>
      <c r="H472" s="8"/>
      <c r="I472" s="8"/>
      <c r="J472" s="8"/>
      <c r="K472" s="8"/>
      <c r="L472" s="8"/>
      <c r="M472" s="8"/>
      <c r="N472" s="8"/>
      <c r="O472" s="8"/>
      <c r="P472" s="8"/>
      <c r="Q472" s="8"/>
      <c r="R472" s="8"/>
      <c r="S472" s="8"/>
      <c r="T472" s="8"/>
      <c r="U472" s="8"/>
      <c r="V472" s="8"/>
      <c r="W472" s="8"/>
      <c r="X472" s="8"/>
      <c r="Y472" s="8"/>
      <c r="Z472" s="8"/>
      <c r="AA472" s="8"/>
    </row>
    <row r="473" spans="1:27" ht="12.75">
      <c r="A473" s="8"/>
      <c r="B473" s="59"/>
      <c r="C473" s="59"/>
      <c r="D473" s="59"/>
      <c r="E473" s="59"/>
      <c r="F473" s="8"/>
      <c r="G473" s="8"/>
      <c r="H473" s="8"/>
      <c r="I473" s="8"/>
      <c r="J473" s="8"/>
      <c r="K473" s="8"/>
      <c r="L473" s="8"/>
      <c r="M473" s="8"/>
      <c r="N473" s="8"/>
      <c r="O473" s="8"/>
      <c r="P473" s="8"/>
      <c r="Q473" s="8"/>
      <c r="R473" s="8"/>
      <c r="S473" s="8"/>
      <c r="T473" s="8"/>
      <c r="U473" s="8"/>
      <c r="V473" s="8"/>
      <c r="W473" s="8"/>
      <c r="X473" s="8"/>
      <c r="Y473" s="8"/>
      <c r="Z473" s="8"/>
      <c r="AA473" s="8"/>
    </row>
    <row r="474" spans="1:27" ht="12.75">
      <c r="A474" s="8"/>
      <c r="B474" s="59"/>
      <c r="C474" s="59"/>
      <c r="D474" s="59"/>
      <c r="E474" s="59"/>
      <c r="F474" s="8"/>
      <c r="G474" s="8"/>
      <c r="H474" s="8"/>
      <c r="I474" s="8"/>
      <c r="J474" s="8"/>
      <c r="K474" s="8"/>
      <c r="L474" s="8"/>
      <c r="M474" s="8"/>
      <c r="N474" s="8"/>
      <c r="O474" s="8"/>
      <c r="P474" s="8"/>
      <c r="Q474" s="8"/>
      <c r="R474" s="8"/>
      <c r="S474" s="8"/>
      <c r="T474" s="8"/>
      <c r="U474" s="8"/>
      <c r="V474" s="8"/>
      <c r="W474" s="8"/>
      <c r="X474" s="8"/>
      <c r="Y474" s="8"/>
      <c r="Z474" s="8"/>
      <c r="AA474" s="8"/>
    </row>
    <row r="475" spans="1:27" ht="12.75">
      <c r="A475" s="8"/>
      <c r="B475" s="59"/>
      <c r="C475" s="59"/>
      <c r="D475" s="59"/>
      <c r="E475" s="59"/>
      <c r="F475" s="8"/>
      <c r="G475" s="8"/>
      <c r="H475" s="8"/>
      <c r="I475" s="8"/>
      <c r="J475" s="8"/>
      <c r="K475" s="8"/>
      <c r="L475" s="8"/>
      <c r="M475" s="8"/>
      <c r="N475" s="8"/>
      <c r="O475" s="8"/>
      <c r="P475" s="8"/>
      <c r="Q475" s="8"/>
      <c r="R475" s="8"/>
      <c r="S475" s="8"/>
      <c r="T475" s="8"/>
      <c r="U475" s="8"/>
      <c r="V475" s="8"/>
      <c r="W475" s="8"/>
      <c r="X475" s="8"/>
      <c r="Y475" s="8"/>
      <c r="Z475" s="8"/>
      <c r="AA475" s="8"/>
    </row>
    <row r="476" spans="1:27" ht="12.75">
      <c r="A476" s="8"/>
      <c r="B476" s="59"/>
      <c r="C476" s="59"/>
      <c r="D476" s="59"/>
      <c r="E476" s="59"/>
      <c r="F476" s="8"/>
      <c r="G476" s="8"/>
      <c r="H476" s="8"/>
      <c r="I476" s="8"/>
      <c r="J476" s="8"/>
      <c r="K476" s="8"/>
      <c r="L476" s="8"/>
      <c r="M476" s="8"/>
      <c r="N476" s="8"/>
      <c r="O476" s="8"/>
      <c r="P476" s="8"/>
      <c r="Q476" s="8"/>
      <c r="R476" s="8"/>
      <c r="S476" s="8"/>
      <c r="T476" s="8"/>
      <c r="U476" s="8"/>
      <c r="V476" s="8"/>
      <c r="W476" s="8"/>
      <c r="X476" s="8"/>
      <c r="Y476" s="8"/>
      <c r="Z476" s="8"/>
      <c r="AA476" s="8"/>
    </row>
    <row r="477" spans="1:27" ht="12.75">
      <c r="A477" s="8"/>
      <c r="B477" s="59"/>
      <c r="C477" s="59"/>
      <c r="D477" s="59"/>
      <c r="E477" s="59"/>
      <c r="F477" s="8"/>
      <c r="G477" s="8"/>
      <c r="H477" s="8"/>
      <c r="I477" s="8"/>
      <c r="J477" s="8"/>
      <c r="K477" s="8"/>
      <c r="L477" s="8"/>
      <c r="M477" s="8"/>
      <c r="N477" s="8"/>
      <c r="O477" s="8"/>
      <c r="P477" s="8"/>
      <c r="Q477" s="8"/>
      <c r="R477" s="8"/>
      <c r="S477" s="8"/>
      <c r="T477" s="8"/>
      <c r="U477" s="8"/>
      <c r="V477" s="8"/>
      <c r="W477" s="8"/>
      <c r="X477" s="8"/>
      <c r="Y477" s="8"/>
      <c r="Z477" s="8"/>
      <c r="AA477" s="8"/>
    </row>
    <row r="478" spans="1:27" ht="12.75">
      <c r="A478" s="8"/>
      <c r="B478" s="59"/>
      <c r="C478" s="59"/>
      <c r="D478" s="59"/>
      <c r="E478" s="59"/>
      <c r="F478" s="8"/>
      <c r="G478" s="8"/>
      <c r="H478" s="8"/>
      <c r="I478" s="8"/>
      <c r="J478" s="8"/>
      <c r="K478" s="8"/>
      <c r="L478" s="8"/>
      <c r="M478" s="8"/>
      <c r="N478" s="8"/>
      <c r="O478" s="8"/>
      <c r="P478" s="8"/>
      <c r="Q478" s="8"/>
      <c r="R478" s="8"/>
      <c r="S478" s="8"/>
      <c r="T478" s="8"/>
      <c r="U478" s="8"/>
      <c r="V478" s="8"/>
      <c r="W478" s="8"/>
      <c r="X478" s="8"/>
      <c r="Y478" s="8"/>
      <c r="Z478" s="8"/>
      <c r="AA478" s="8"/>
    </row>
    <row r="479" spans="1:27" ht="12.75">
      <c r="A479" s="8"/>
      <c r="B479" s="59"/>
      <c r="C479" s="59"/>
      <c r="D479" s="59"/>
      <c r="E479" s="59"/>
      <c r="F479" s="8"/>
      <c r="G479" s="8"/>
      <c r="H479" s="8"/>
      <c r="I479" s="8"/>
      <c r="J479" s="8"/>
      <c r="K479" s="8"/>
      <c r="L479" s="8"/>
      <c r="M479" s="8"/>
      <c r="N479" s="8"/>
      <c r="O479" s="8"/>
      <c r="P479" s="8"/>
      <c r="Q479" s="8"/>
      <c r="R479" s="8"/>
      <c r="S479" s="8"/>
      <c r="T479" s="8"/>
      <c r="U479" s="8"/>
      <c r="V479" s="8"/>
      <c r="W479" s="8"/>
      <c r="X479" s="8"/>
      <c r="Y479" s="8"/>
      <c r="Z479" s="8"/>
      <c r="AA479" s="8"/>
    </row>
    <row r="480" spans="1:27" ht="12.75">
      <c r="A480" s="8"/>
      <c r="B480" s="59"/>
      <c r="C480" s="59"/>
      <c r="D480" s="59"/>
      <c r="E480" s="59"/>
      <c r="F480" s="8"/>
      <c r="G480" s="8"/>
      <c r="H480" s="8"/>
      <c r="I480" s="8"/>
      <c r="J480" s="8"/>
      <c r="K480" s="8"/>
      <c r="L480" s="8"/>
      <c r="M480" s="8"/>
      <c r="N480" s="8"/>
      <c r="O480" s="8"/>
      <c r="P480" s="8"/>
      <c r="Q480" s="8"/>
      <c r="R480" s="8"/>
      <c r="S480" s="8"/>
      <c r="T480" s="8"/>
      <c r="U480" s="8"/>
      <c r="V480" s="8"/>
      <c r="W480" s="8"/>
      <c r="X480" s="8"/>
      <c r="Y480" s="8"/>
      <c r="Z480" s="8"/>
      <c r="AA480" s="8"/>
    </row>
    <row r="481" spans="1:27" ht="12.75">
      <c r="A481" s="8"/>
      <c r="B481" s="59"/>
      <c r="C481" s="59"/>
      <c r="D481" s="59"/>
      <c r="E481" s="59"/>
      <c r="F481" s="8"/>
      <c r="G481" s="8"/>
      <c r="H481" s="8"/>
      <c r="I481" s="8"/>
      <c r="J481" s="8"/>
      <c r="K481" s="8"/>
      <c r="L481" s="8"/>
      <c r="M481" s="8"/>
      <c r="N481" s="8"/>
      <c r="O481" s="8"/>
      <c r="P481" s="8"/>
      <c r="Q481" s="8"/>
      <c r="R481" s="8"/>
      <c r="S481" s="8"/>
      <c r="T481" s="8"/>
      <c r="U481" s="8"/>
      <c r="V481" s="8"/>
      <c r="W481" s="8"/>
      <c r="X481" s="8"/>
      <c r="Y481" s="8"/>
      <c r="Z481" s="8"/>
      <c r="AA481" s="8"/>
    </row>
    <row r="482" spans="1:27" ht="12.75">
      <c r="A482" s="8"/>
      <c r="B482" s="59"/>
      <c r="C482" s="59"/>
      <c r="D482" s="59"/>
      <c r="E482" s="59"/>
      <c r="F482" s="8"/>
      <c r="G482" s="8"/>
      <c r="H482" s="8"/>
      <c r="I482" s="8"/>
      <c r="J482" s="8"/>
      <c r="K482" s="8"/>
      <c r="L482" s="8"/>
      <c r="M482" s="8"/>
      <c r="N482" s="8"/>
      <c r="O482" s="8"/>
      <c r="P482" s="8"/>
      <c r="Q482" s="8"/>
      <c r="R482" s="8"/>
      <c r="S482" s="8"/>
      <c r="T482" s="8"/>
      <c r="U482" s="8"/>
      <c r="V482" s="8"/>
      <c r="W482" s="8"/>
      <c r="X482" s="8"/>
      <c r="Y482" s="8"/>
      <c r="Z482" s="8"/>
      <c r="AA482" s="8"/>
    </row>
    <row r="483" spans="1:27" ht="12.75">
      <c r="A483" s="8"/>
      <c r="B483" s="59"/>
      <c r="C483" s="59"/>
      <c r="D483" s="59"/>
      <c r="E483" s="59"/>
      <c r="F483" s="8"/>
      <c r="G483" s="8"/>
      <c r="H483" s="8"/>
      <c r="I483" s="8"/>
      <c r="J483" s="8"/>
      <c r="K483" s="8"/>
      <c r="L483" s="8"/>
      <c r="M483" s="8"/>
      <c r="N483" s="8"/>
      <c r="O483" s="8"/>
      <c r="P483" s="8"/>
      <c r="Q483" s="8"/>
      <c r="R483" s="8"/>
      <c r="S483" s="8"/>
      <c r="T483" s="8"/>
      <c r="U483" s="8"/>
      <c r="V483" s="8"/>
      <c r="W483" s="8"/>
      <c r="X483" s="8"/>
      <c r="Y483" s="8"/>
      <c r="Z483" s="8"/>
      <c r="AA483" s="8"/>
    </row>
    <row r="484" spans="1:27" ht="12.75">
      <c r="A484" s="8"/>
      <c r="B484" s="59"/>
      <c r="C484" s="59"/>
      <c r="D484" s="59"/>
      <c r="E484" s="59"/>
      <c r="F484" s="8"/>
      <c r="G484" s="8"/>
      <c r="H484" s="8"/>
      <c r="I484" s="8"/>
      <c r="J484" s="8"/>
      <c r="K484" s="8"/>
      <c r="L484" s="8"/>
      <c r="M484" s="8"/>
      <c r="N484" s="8"/>
      <c r="O484" s="8"/>
      <c r="P484" s="8"/>
      <c r="Q484" s="8"/>
      <c r="R484" s="8"/>
      <c r="S484" s="8"/>
      <c r="T484" s="8"/>
      <c r="U484" s="8"/>
      <c r="V484" s="8"/>
      <c r="W484" s="8"/>
      <c r="X484" s="8"/>
      <c r="Y484" s="8"/>
      <c r="Z484" s="8"/>
      <c r="AA484" s="8"/>
    </row>
    <row r="485" spans="1:27" ht="12.75">
      <c r="A485" s="8"/>
      <c r="B485" s="59"/>
      <c r="C485" s="59"/>
      <c r="D485" s="59"/>
      <c r="E485" s="59"/>
      <c r="F485" s="8"/>
      <c r="G485" s="8"/>
      <c r="H485" s="8"/>
      <c r="I485" s="8"/>
      <c r="J485" s="8"/>
      <c r="K485" s="8"/>
      <c r="L485" s="8"/>
      <c r="M485" s="8"/>
      <c r="N485" s="8"/>
      <c r="O485" s="8"/>
      <c r="P485" s="8"/>
      <c r="Q485" s="8"/>
      <c r="R485" s="8"/>
      <c r="S485" s="8"/>
      <c r="T485" s="8"/>
      <c r="U485" s="8"/>
      <c r="V485" s="8"/>
      <c r="W485" s="8"/>
      <c r="X485" s="8"/>
      <c r="Y485" s="8"/>
      <c r="Z485" s="8"/>
      <c r="AA485" s="8"/>
    </row>
    <row r="486" spans="1:27" ht="12.75">
      <c r="A486" s="8"/>
      <c r="B486" s="59"/>
      <c r="C486" s="59"/>
      <c r="D486" s="59"/>
      <c r="E486" s="59"/>
      <c r="F486" s="8"/>
      <c r="G486" s="8"/>
      <c r="H486" s="8"/>
      <c r="I486" s="8"/>
      <c r="J486" s="8"/>
      <c r="K486" s="8"/>
      <c r="L486" s="8"/>
      <c r="M486" s="8"/>
      <c r="N486" s="8"/>
      <c r="O486" s="8"/>
      <c r="P486" s="8"/>
      <c r="Q486" s="8"/>
      <c r="R486" s="8"/>
      <c r="S486" s="8"/>
      <c r="T486" s="8"/>
      <c r="U486" s="8"/>
      <c r="V486" s="8"/>
      <c r="W486" s="8"/>
      <c r="X486" s="8"/>
      <c r="Y486" s="8"/>
      <c r="Z486" s="8"/>
      <c r="AA486" s="8"/>
    </row>
    <row r="487" spans="1:27" ht="12.75">
      <c r="A487" s="8"/>
      <c r="B487" s="59"/>
      <c r="C487" s="59"/>
      <c r="D487" s="59"/>
      <c r="E487" s="59"/>
      <c r="F487" s="8"/>
      <c r="G487" s="8"/>
      <c r="H487" s="8"/>
      <c r="I487" s="8"/>
      <c r="J487" s="8"/>
      <c r="K487" s="8"/>
      <c r="L487" s="8"/>
      <c r="M487" s="8"/>
      <c r="N487" s="8"/>
      <c r="O487" s="8"/>
      <c r="P487" s="8"/>
      <c r="Q487" s="8"/>
      <c r="R487" s="8"/>
      <c r="S487" s="8"/>
      <c r="T487" s="8"/>
      <c r="U487" s="8"/>
      <c r="V487" s="8"/>
      <c r="W487" s="8"/>
      <c r="X487" s="8"/>
      <c r="Y487" s="8"/>
      <c r="Z487" s="8"/>
      <c r="AA487" s="8"/>
    </row>
    <row r="488" spans="1:27" ht="12.75">
      <c r="A488" s="8"/>
      <c r="B488" s="59"/>
      <c r="C488" s="59"/>
      <c r="D488" s="59"/>
      <c r="E488" s="59"/>
      <c r="F488" s="8"/>
      <c r="G488" s="8"/>
      <c r="H488" s="8"/>
      <c r="I488" s="8"/>
      <c r="J488" s="8"/>
      <c r="K488" s="8"/>
      <c r="L488" s="8"/>
      <c r="M488" s="8"/>
      <c r="N488" s="8"/>
      <c r="O488" s="8"/>
      <c r="P488" s="8"/>
      <c r="Q488" s="8"/>
      <c r="R488" s="8"/>
      <c r="S488" s="8"/>
      <c r="T488" s="8"/>
      <c r="U488" s="8"/>
      <c r="V488" s="8"/>
      <c r="W488" s="8"/>
      <c r="X488" s="8"/>
      <c r="Y488" s="8"/>
      <c r="Z488" s="8"/>
      <c r="AA488" s="8"/>
    </row>
    <row r="489" spans="1:27" ht="12.75">
      <c r="A489" s="8"/>
      <c r="B489" s="59"/>
      <c r="C489" s="59"/>
      <c r="D489" s="59"/>
      <c r="E489" s="59"/>
      <c r="F489" s="8"/>
      <c r="G489" s="8"/>
      <c r="H489" s="8"/>
      <c r="I489" s="8"/>
      <c r="J489" s="8"/>
      <c r="K489" s="8"/>
      <c r="L489" s="8"/>
      <c r="M489" s="8"/>
      <c r="N489" s="8"/>
      <c r="O489" s="8"/>
      <c r="P489" s="8"/>
      <c r="Q489" s="8"/>
      <c r="R489" s="8"/>
      <c r="S489" s="8"/>
      <c r="T489" s="8"/>
      <c r="U489" s="8"/>
      <c r="V489" s="8"/>
      <c r="W489" s="8"/>
      <c r="X489" s="8"/>
      <c r="Y489" s="8"/>
      <c r="Z489" s="8"/>
      <c r="AA489" s="8"/>
    </row>
    <row r="490" spans="1:27" ht="12.75">
      <c r="A490" s="8"/>
      <c r="B490" s="59"/>
      <c r="C490" s="59"/>
      <c r="D490" s="59"/>
      <c r="E490" s="59"/>
      <c r="F490" s="8"/>
      <c r="G490" s="8"/>
      <c r="H490" s="8"/>
      <c r="I490" s="8"/>
      <c r="J490" s="8"/>
      <c r="K490" s="8"/>
      <c r="L490" s="8"/>
      <c r="M490" s="8"/>
      <c r="N490" s="8"/>
      <c r="O490" s="8"/>
      <c r="P490" s="8"/>
      <c r="Q490" s="8"/>
      <c r="R490" s="8"/>
      <c r="S490" s="8"/>
      <c r="T490" s="8"/>
      <c r="U490" s="8"/>
      <c r="V490" s="8"/>
      <c r="W490" s="8"/>
      <c r="X490" s="8"/>
      <c r="Y490" s="8"/>
      <c r="Z490" s="8"/>
      <c r="AA490" s="8"/>
    </row>
    <row r="491" spans="1:27" ht="12.75">
      <c r="A491" s="8"/>
      <c r="B491" s="59"/>
      <c r="C491" s="59"/>
      <c r="D491" s="59"/>
      <c r="E491" s="59"/>
      <c r="F491" s="8"/>
      <c r="G491" s="8"/>
      <c r="H491" s="8"/>
      <c r="I491" s="8"/>
      <c r="J491" s="8"/>
      <c r="K491" s="8"/>
      <c r="L491" s="8"/>
      <c r="M491" s="8"/>
      <c r="N491" s="8"/>
      <c r="O491" s="8"/>
      <c r="P491" s="8"/>
      <c r="Q491" s="8"/>
      <c r="R491" s="8"/>
      <c r="S491" s="8"/>
      <c r="T491" s="8"/>
      <c r="U491" s="8"/>
      <c r="V491" s="8"/>
      <c r="W491" s="8"/>
      <c r="X491" s="8"/>
      <c r="Y491" s="8"/>
      <c r="Z491" s="8"/>
      <c r="AA491" s="8"/>
    </row>
    <row r="492" spans="1:27" ht="12.75">
      <c r="A492" s="8"/>
      <c r="B492" s="59"/>
      <c r="C492" s="59"/>
      <c r="D492" s="59"/>
      <c r="E492" s="59"/>
      <c r="F492" s="8"/>
      <c r="G492" s="8"/>
      <c r="H492" s="8"/>
      <c r="I492" s="8"/>
      <c r="J492" s="8"/>
      <c r="K492" s="8"/>
      <c r="L492" s="8"/>
      <c r="M492" s="8"/>
      <c r="N492" s="8"/>
      <c r="O492" s="8"/>
      <c r="P492" s="8"/>
      <c r="Q492" s="8"/>
      <c r="R492" s="8"/>
      <c r="S492" s="8"/>
      <c r="T492" s="8"/>
      <c r="U492" s="8"/>
      <c r="V492" s="8"/>
      <c r="W492" s="8"/>
      <c r="X492" s="8"/>
      <c r="Y492" s="8"/>
      <c r="Z492" s="8"/>
      <c r="AA492" s="8"/>
    </row>
    <row r="493" spans="1:27" ht="12.75">
      <c r="A493" s="8"/>
      <c r="B493" s="59"/>
      <c r="C493" s="59"/>
      <c r="D493" s="59"/>
      <c r="E493" s="59"/>
      <c r="F493" s="8"/>
      <c r="G493" s="8"/>
      <c r="H493" s="8"/>
      <c r="I493" s="8"/>
      <c r="J493" s="8"/>
      <c r="K493" s="8"/>
      <c r="L493" s="8"/>
      <c r="M493" s="8"/>
      <c r="N493" s="8"/>
      <c r="O493" s="8"/>
      <c r="P493" s="8"/>
      <c r="Q493" s="8"/>
      <c r="R493" s="8"/>
      <c r="S493" s="8"/>
      <c r="T493" s="8"/>
      <c r="U493" s="8"/>
      <c r="V493" s="8"/>
      <c r="W493" s="8"/>
      <c r="X493" s="8"/>
      <c r="Y493" s="8"/>
      <c r="Z493" s="8"/>
      <c r="AA493" s="8"/>
    </row>
    <row r="494" spans="1:27" ht="12.75">
      <c r="A494" s="8"/>
      <c r="B494" s="59"/>
      <c r="C494" s="59"/>
      <c r="D494" s="59"/>
      <c r="E494" s="59"/>
      <c r="F494" s="8"/>
      <c r="G494" s="8"/>
      <c r="H494" s="8"/>
      <c r="I494" s="8"/>
      <c r="J494" s="8"/>
      <c r="K494" s="8"/>
      <c r="L494" s="8"/>
      <c r="M494" s="8"/>
      <c r="N494" s="8"/>
      <c r="O494" s="8"/>
      <c r="P494" s="8"/>
      <c r="Q494" s="8"/>
      <c r="R494" s="8"/>
      <c r="S494" s="8"/>
      <c r="T494" s="8"/>
      <c r="U494" s="8"/>
      <c r="V494" s="8"/>
      <c r="W494" s="8"/>
      <c r="X494" s="8"/>
      <c r="Y494" s="8"/>
      <c r="Z494" s="8"/>
      <c r="AA494" s="8"/>
    </row>
    <row r="495" spans="1:27" ht="12.75">
      <c r="A495" s="8"/>
      <c r="B495" s="59"/>
      <c r="C495" s="59"/>
      <c r="D495" s="59"/>
      <c r="E495" s="59"/>
      <c r="F495" s="8"/>
      <c r="G495" s="8"/>
      <c r="H495" s="8"/>
      <c r="I495" s="8"/>
      <c r="J495" s="8"/>
      <c r="K495" s="8"/>
      <c r="L495" s="8"/>
      <c r="M495" s="8"/>
      <c r="N495" s="8"/>
      <c r="O495" s="8"/>
      <c r="P495" s="8"/>
      <c r="Q495" s="8"/>
      <c r="R495" s="8"/>
      <c r="S495" s="8"/>
      <c r="T495" s="8"/>
      <c r="U495" s="8"/>
      <c r="V495" s="8"/>
      <c r="W495" s="8"/>
      <c r="X495" s="8"/>
      <c r="Y495" s="8"/>
      <c r="Z495" s="8"/>
      <c r="AA495" s="8"/>
    </row>
    <row r="496" spans="1:27" ht="12.75">
      <c r="A496" s="8"/>
      <c r="B496" s="59"/>
      <c r="C496" s="59"/>
      <c r="D496" s="59"/>
      <c r="E496" s="59"/>
      <c r="F496" s="8"/>
      <c r="G496" s="8"/>
      <c r="H496" s="8"/>
      <c r="I496" s="8"/>
      <c r="J496" s="8"/>
      <c r="K496" s="8"/>
      <c r="L496" s="8"/>
      <c r="M496" s="8"/>
      <c r="N496" s="8"/>
      <c r="O496" s="8"/>
      <c r="P496" s="8"/>
      <c r="Q496" s="8"/>
      <c r="R496" s="8"/>
      <c r="S496" s="8"/>
      <c r="T496" s="8"/>
      <c r="U496" s="8"/>
      <c r="V496" s="8"/>
      <c r="W496" s="8"/>
      <c r="X496" s="8"/>
      <c r="Y496" s="8"/>
      <c r="Z496" s="8"/>
      <c r="AA496" s="8"/>
    </row>
    <row r="497" spans="1:27" ht="12.75">
      <c r="A497" s="8"/>
      <c r="B497" s="59"/>
      <c r="C497" s="59"/>
      <c r="D497" s="59"/>
      <c r="E497" s="59"/>
      <c r="F497" s="8"/>
      <c r="G497" s="8"/>
      <c r="H497" s="8"/>
      <c r="I497" s="8"/>
      <c r="J497" s="8"/>
      <c r="K497" s="8"/>
      <c r="L497" s="8"/>
      <c r="M497" s="8"/>
      <c r="N497" s="8"/>
      <c r="O497" s="8"/>
      <c r="P497" s="8"/>
      <c r="Q497" s="8"/>
      <c r="R497" s="8"/>
      <c r="S497" s="8"/>
      <c r="T497" s="8"/>
      <c r="U497" s="8"/>
      <c r="V497" s="8"/>
      <c r="W497" s="8"/>
      <c r="X497" s="8"/>
      <c r="Y497" s="8"/>
      <c r="Z497" s="8"/>
      <c r="AA497" s="8"/>
    </row>
    <row r="498" spans="1:27" ht="12.75">
      <c r="A498" s="8"/>
      <c r="B498" s="59"/>
      <c r="C498" s="59"/>
      <c r="D498" s="59"/>
      <c r="E498" s="59"/>
      <c r="F498" s="8"/>
      <c r="G498" s="8"/>
      <c r="H498" s="8"/>
      <c r="I498" s="8"/>
      <c r="J498" s="8"/>
      <c r="K498" s="8"/>
      <c r="L498" s="8"/>
      <c r="M498" s="8"/>
      <c r="N498" s="8"/>
      <c r="O498" s="8"/>
      <c r="P498" s="8"/>
      <c r="Q498" s="8"/>
      <c r="R498" s="8"/>
      <c r="S498" s="8"/>
      <c r="T498" s="8"/>
      <c r="U498" s="8"/>
      <c r="V498" s="8"/>
      <c r="W498" s="8"/>
      <c r="X498" s="8"/>
      <c r="Y498" s="8"/>
      <c r="Z498" s="8"/>
      <c r="AA498" s="8"/>
    </row>
    <row r="499" spans="1:27" ht="12.75">
      <c r="A499" s="8"/>
      <c r="B499" s="59"/>
      <c r="C499" s="59"/>
      <c r="D499" s="59"/>
      <c r="E499" s="59"/>
      <c r="F499" s="8"/>
      <c r="G499" s="8"/>
      <c r="H499" s="8"/>
      <c r="I499" s="8"/>
      <c r="J499" s="8"/>
      <c r="K499" s="8"/>
      <c r="L499" s="8"/>
      <c r="M499" s="8"/>
      <c r="N499" s="8"/>
      <c r="O499" s="8"/>
      <c r="P499" s="8"/>
      <c r="Q499" s="8"/>
      <c r="R499" s="8"/>
      <c r="S499" s="8"/>
      <c r="T499" s="8"/>
      <c r="U499" s="8"/>
      <c r="V499" s="8"/>
      <c r="W499" s="8"/>
      <c r="X499" s="8"/>
      <c r="Y499" s="8"/>
      <c r="Z499" s="8"/>
      <c r="AA499" s="8"/>
    </row>
    <row r="500" spans="1:27" ht="12.75">
      <c r="A500" s="8"/>
      <c r="B500" s="59"/>
      <c r="C500" s="59"/>
      <c r="D500" s="59"/>
      <c r="E500" s="59"/>
      <c r="F500" s="8"/>
      <c r="G500" s="8"/>
      <c r="H500" s="8"/>
      <c r="I500" s="8"/>
      <c r="J500" s="8"/>
      <c r="K500" s="8"/>
      <c r="L500" s="8"/>
      <c r="M500" s="8"/>
      <c r="N500" s="8"/>
      <c r="O500" s="8"/>
      <c r="P500" s="8"/>
      <c r="Q500" s="8"/>
      <c r="R500" s="8"/>
      <c r="S500" s="8"/>
      <c r="T500" s="8"/>
      <c r="U500" s="8"/>
      <c r="V500" s="8"/>
      <c r="W500" s="8"/>
      <c r="X500" s="8"/>
      <c r="Y500" s="8"/>
      <c r="Z500" s="8"/>
      <c r="AA500" s="8"/>
    </row>
    <row r="501" spans="1:27" ht="12.75">
      <c r="A501" s="8"/>
      <c r="B501" s="59"/>
      <c r="C501" s="59"/>
      <c r="D501" s="59"/>
      <c r="E501" s="59"/>
      <c r="F501" s="8"/>
      <c r="G501" s="8"/>
      <c r="H501" s="8"/>
      <c r="I501" s="8"/>
      <c r="J501" s="8"/>
      <c r="K501" s="8"/>
      <c r="L501" s="8"/>
      <c r="M501" s="8"/>
      <c r="N501" s="8"/>
      <c r="O501" s="8"/>
      <c r="P501" s="8"/>
      <c r="Q501" s="8"/>
      <c r="R501" s="8"/>
      <c r="S501" s="8"/>
      <c r="T501" s="8"/>
      <c r="U501" s="8"/>
      <c r="V501" s="8"/>
      <c r="W501" s="8"/>
      <c r="X501" s="8"/>
      <c r="Y501" s="8"/>
      <c r="Z501" s="8"/>
      <c r="AA501" s="8"/>
    </row>
    <row r="502" spans="1:27" ht="12.75">
      <c r="A502" s="8"/>
      <c r="B502" s="59"/>
      <c r="C502" s="59"/>
      <c r="D502" s="59"/>
      <c r="E502" s="59"/>
      <c r="F502" s="8"/>
      <c r="G502" s="8"/>
      <c r="H502" s="8"/>
      <c r="I502" s="8"/>
      <c r="J502" s="8"/>
      <c r="K502" s="8"/>
      <c r="L502" s="8"/>
      <c r="M502" s="8"/>
      <c r="N502" s="8"/>
      <c r="O502" s="8"/>
      <c r="P502" s="8"/>
      <c r="Q502" s="8"/>
      <c r="R502" s="8"/>
      <c r="S502" s="8"/>
      <c r="T502" s="8"/>
      <c r="U502" s="8"/>
      <c r="V502" s="8"/>
      <c r="W502" s="8"/>
      <c r="X502" s="8"/>
      <c r="Y502" s="8"/>
      <c r="Z502" s="8"/>
      <c r="AA502" s="8"/>
    </row>
    <row r="503" spans="1:27" ht="12.75">
      <c r="A503" s="8"/>
      <c r="B503" s="59"/>
      <c r="C503" s="59"/>
      <c r="D503" s="59"/>
      <c r="E503" s="59"/>
      <c r="F503" s="8"/>
      <c r="G503" s="8"/>
      <c r="H503" s="8"/>
      <c r="I503" s="8"/>
      <c r="J503" s="8"/>
      <c r="K503" s="8"/>
      <c r="L503" s="8"/>
      <c r="M503" s="8"/>
      <c r="N503" s="8"/>
      <c r="O503" s="8"/>
      <c r="P503" s="8"/>
      <c r="Q503" s="8"/>
      <c r="R503" s="8"/>
      <c r="S503" s="8"/>
      <c r="T503" s="8"/>
      <c r="U503" s="8"/>
      <c r="V503" s="8"/>
      <c r="W503" s="8"/>
      <c r="X503" s="8"/>
      <c r="Y503" s="8"/>
      <c r="Z503" s="8"/>
      <c r="AA503" s="8"/>
    </row>
    <row r="504" spans="1:27" ht="12.75">
      <c r="A504" s="8"/>
      <c r="B504" s="59"/>
      <c r="C504" s="59"/>
      <c r="D504" s="59"/>
      <c r="E504" s="59"/>
      <c r="F504" s="8"/>
      <c r="G504" s="8"/>
      <c r="H504" s="8"/>
      <c r="I504" s="8"/>
      <c r="J504" s="8"/>
      <c r="K504" s="8"/>
      <c r="L504" s="8"/>
      <c r="M504" s="8"/>
      <c r="N504" s="8"/>
      <c r="O504" s="8"/>
      <c r="P504" s="8"/>
      <c r="Q504" s="8"/>
      <c r="R504" s="8"/>
      <c r="S504" s="8"/>
      <c r="T504" s="8"/>
      <c r="U504" s="8"/>
      <c r="V504" s="8"/>
      <c r="W504" s="8"/>
      <c r="X504" s="8"/>
      <c r="Y504" s="8"/>
      <c r="Z504" s="8"/>
      <c r="AA504" s="8"/>
    </row>
    <row r="505" spans="1:27" ht="12.75">
      <c r="A505" s="8"/>
      <c r="B505" s="59"/>
      <c r="C505" s="59"/>
      <c r="D505" s="59"/>
      <c r="E505" s="59"/>
      <c r="F505" s="8"/>
      <c r="G505" s="8"/>
      <c r="H505" s="8"/>
      <c r="I505" s="8"/>
      <c r="J505" s="8"/>
      <c r="K505" s="8"/>
      <c r="L505" s="8"/>
      <c r="M505" s="8"/>
      <c r="N505" s="8"/>
      <c r="O505" s="8"/>
      <c r="P505" s="8"/>
      <c r="Q505" s="8"/>
      <c r="R505" s="8"/>
      <c r="S505" s="8"/>
      <c r="T505" s="8"/>
      <c r="U505" s="8"/>
      <c r="V505" s="8"/>
      <c r="W505" s="8"/>
      <c r="X505" s="8"/>
      <c r="Y505" s="8"/>
      <c r="Z505" s="8"/>
      <c r="AA505" s="8"/>
    </row>
    <row r="506" spans="1:27" ht="12.75">
      <c r="A506" s="8"/>
      <c r="B506" s="59"/>
      <c r="C506" s="59"/>
      <c r="D506" s="59"/>
      <c r="E506" s="59"/>
      <c r="F506" s="8"/>
      <c r="G506" s="8"/>
      <c r="H506" s="8"/>
      <c r="I506" s="8"/>
      <c r="J506" s="8"/>
      <c r="K506" s="8"/>
      <c r="L506" s="8"/>
      <c r="M506" s="8"/>
      <c r="N506" s="8"/>
      <c r="O506" s="8"/>
      <c r="P506" s="8"/>
      <c r="Q506" s="8"/>
      <c r="R506" s="8"/>
      <c r="S506" s="8"/>
      <c r="T506" s="8"/>
      <c r="U506" s="8"/>
      <c r="V506" s="8"/>
      <c r="W506" s="8"/>
      <c r="X506" s="8"/>
      <c r="Y506" s="8"/>
      <c r="Z506" s="8"/>
      <c r="AA506" s="8"/>
    </row>
    <row r="507" spans="1:27" ht="12.75">
      <c r="A507" s="8"/>
      <c r="B507" s="59"/>
      <c r="C507" s="59"/>
      <c r="D507" s="59"/>
      <c r="E507" s="59"/>
      <c r="F507" s="8"/>
      <c r="G507" s="8"/>
      <c r="H507" s="8"/>
      <c r="I507" s="8"/>
      <c r="J507" s="8"/>
      <c r="K507" s="8"/>
      <c r="L507" s="8"/>
      <c r="M507" s="8"/>
      <c r="N507" s="8"/>
      <c r="O507" s="8"/>
      <c r="P507" s="8"/>
      <c r="Q507" s="8"/>
      <c r="R507" s="8"/>
      <c r="S507" s="8"/>
      <c r="T507" s="8"/>
      <c r="U507" s="8"/>
      <c r="V507" s="8"/>
      <c r="W507" s="8"/>
      <c r="X507" s="8"/>
      <c r="Y507" s="8"/>
      <c r="Z507" s="8"/>
      <c r="AA507" s="8"/>
    </row>
    <row r="508" spans="1:27" ht="12.75">
      <c r="A508" s="8"/>
      <c r="B508" s="59"/>
      <c r="C508" s="59"/>
      <c r="D508" s="59"/>
      <c r="E508" s="59"/>
      <c r="F508" s="8"/>
      <c r="G508" s="8"/>
      <c r="H508" s="8"/>
      <c r="I508" s="8"/>
      <c r="J508" s="8"/>
      <c r="K508" s="8"/>
      <c r="L508" s="8"/>
      <c r="M508" s="8"/>
      <c r="N508" s="8"/>
      <c r="O508" s="8"/>
      <c r="P508" s="8"/>
      <c r="Q508" s="8"/>
      <c r="R508" s="8"/>
      <c r="S508" s="8"/>
      <c r="T508" s="8"/>
      <c r="U508" s="8"/>
      <c r="V508" s="8"/>
      <c r="W508" s="8"/>
      <c r="X508" s="8"/>
      <c r="Y508" s="8"/>
      <c r="Z508" s="8"/>
      <c r="AA508" s="8"/>
    </row>
    <row r="509" spans="1:27" ht="12.75">
      <c r="A509" s="8"/>
      <c r="B509" s="59"/>
      <c r="C509" s="59"/>
      <c r="D509" s="59"/>
      <c r="E509" s="59"/>
      <c r="F509" s="8"/>
      <c r="G509" s="8"/>
      <c r="H509" s="8"/>
      <c r="I509" s="8"/>
      <c r="J509" s="8"/>
      <c r="K509" s="8"/>
      <c r="L509" s="8"/>
      <c r="M509" s="8"/>
      <c r="N509" s="8"/>
      <c r="O509" s="8"/>
      <c r="P509" s="8"/>
      <c r="Q509" s="8"/>
      <c r="R509" s="8"/>
      <c r="S509" s="8"/>
      <c r="T509" s="8"/>
      <c r="U509" s="8"/>
      <c r="V509" s="8"/>
      <c r="W509" s="8"/>
      <c r="X509" s="8"/>
      <c r="Y509" s="8"/>
      <c r="Z509" s="8"/>
      <c r="AA509" s="8"/>
    </row>
    <row r="510" spans="1:27" ht="12.75">
      <c r="A510" s="8"/>
      <c r="B510" s="59"/>
      <c r="C510" s="59"/>
      <c r="D510" s="59"/>
      <c r="E510" s="59"/>
      <c r="F510" s="8"/>
      <c r="G510" s="8"/>
      <c r="H510" s="8"/>
      <c r="I510" s="8"/>
      <c r="J510" s="8"/>
      <c r="K510" s="8"/>
      <c r="L510" s="8"/>
      <c r="M510" s="8"/>
      <c r="N510" s="8"/>
      <c r="O510" s="8"/>
      <c r="P510" s="8"/>
      <c r="Q510" s="8"/>
      <c r="R510" s="8"/>
      <c r="S510" s="8"/>
      <c r="T510" s="8"/>
      <c r="U510" s="8"/>
      <c r="V510" s="8"/>
      <c r="W510" s="8"/>
      <c r="X510" s="8"/>
      <c r="Y510" s="8"/>
      <c r="Z510" s="8"/>
      <c r="AA510" s="8"/>
    </row>
    <row r="511" spans="1:27" ht="12.75">
      <c r="A511" s="8"/>
      <c r="B511" s="59"/>
      <c r="C511" s="59"/>
      <c r="D511" s="59"/>
      <c r="E511" s="59"/>
      <c r="F511" s="8"/>
      <c r="G511" s="8"/>
      <c r="H511" s="8"/>
      <c r="I511" s="8"/>
      <c r="J511" s="8"/>
      <c r="K511" s="8"/>
      <c r="L511" s="8"/>
      <c r="M511" s="8"/>
      <c r="N511" s="8"/>
      <c r="O511" s="8"/>
      <c r="P511" s="8"/>
      <c r="Q511" s="8"/>
      <c r="R511" s="8"/>
      <c r="S511" s="8"/>
      <c r="T511" s="8"/>
      <c r="U511" s="8"/>
      <c r="V511" s="8"/>
      <c r="W511" s="8"/>
      <c r="X511" s="8"/>
      <c r="Y511" s="8"/>
      <c r="Z511" s="8"/>
      <c r="AA511" s="8"/>
    </row>
    <row r="512" spans="1:27" ht="12.75">
      <c r="A512" s="8"/>
      <c r="B512" s="59"/>
      <c r="C512" s="59"/>
      <c r="D512" s="59"/>
      <c r="E512" s="59"/>
      <c r="F512" s="8"/>
      <c r="G512" s="8"/>
      <c r="H512" s="8"/>
      <c r="I512" s="8"/>
      <c r="J512" s="8"/>
      <c r="K512" s="8"/>
      <c r="L512" s="8"/>
      <c r="M512" s="8"/>
      <c r="N512" s="8"/>
      <c r="O512" s="8"/>
      <c r="P512" s="8"/>
      <c r="Q512" s="8"/>
      <c r="R512" s="8"/>
      <c r="S512" s="8"/>
      <c r="T512" s="8"/>
      <c r="U512" s="8"/>
      <c r="V512" s="8"/>
      <c r="W512" s="8"/>
      <c r="X512" s="8"/>
      <c r="Y512" s="8"/>
      <c r="Z512" s="8"/>
      <c r="AA512" s="8"/>
    </row>
    <row r="513" spans="1:27" ht="12.75">
      <c r="A513" s="8"/>
      <c r="B513" s="59"/>
      <c r="C513" s="59"/>
      <c r="D513" s="59"/>
      <c r="E513" s="59"/>
      <c r="F513" s="8"/>
      <c r="G513" s="8"/>
      <c r="H513" s="8"/>
      <c r="I513" s="8"/>
      <c r="J513" s="8"/>
      <c r="K513" s="8"/>
      <c r="L513" s="8"/>
      <c r="M513" s="8"/>
      <c r="N513" s="8"/>
      <c r="O513" s="8"/>
      <c r="P513" s="8"/>
      <c r="Q513" s="8"/>
      <c r="R513" s="8"/>
      <c r="S513" s="8"/>
      <c r="T513" s="8"/>
      <c r="U513" s="8"/>
      <c r="V513" s="8"/>
      <c r="W513" s="8"/>
      <c r="X513" s="8"/>
      <c r="Y513" s="8"/>
      <c r="Z513" s="8"/>
      <c r="AA513" s="8"/>
    </row>
    <row r="514" spans="1:27" ht="12.75">
      <c r="A514" s="8"/>
      <c r="B514" s="59"/>
      <c r="C514" s="59"/>
      <c r="D514" s="59"/>
      <c r="E514" s="59"/>
      <c r="F514" s="8"/>
      <c r="G514" s="8"/>
      <c r="H514" s="8"/>
      <c r="I514" s="8"/>
      <c r="J514" s="8"/>
      <c r="K514" s="8"/>
      <c r="L514" s="8"/>
      <c r="M514" s="8"/>
      <c r="N514" s="8"/>
      <c r="O514" s="8"/>
      <c r="P514" s="8"/>
      <c r="Q514" s="8"/>
      <c r="R514" s="8"/>
      <c r="S514" s="8"/>
      <c r="T514" s="8"/>
      <c r="U514" s="8"/>
      <c r="V514" s="8"/>
      <c r="W514" s="8"/>
      <c r="X514" s="8"/>
      <c r="Y514" s="8"/>
      <c r="Z514" s="8"/>
      <c r="AA514" s="8"/>
    </row>
    <row r="515" spans="1:27" ht="12.75">
      <c r="A515" s="8"/>
      <c r="B515" s="59"/>
      <c r="C515" s="59"/>
      <c r="D515" s="59"/>
      <c r="E515" s="59"/>
      <c r="F515" s="8"/>
      <c r="G515" s="8"/>
      <c r="H515" s="8"/>
      <c r="I515" s="8"/>
      <c r="J515" s="8"/>
      <c r="K515" s="8"/>
      <c r="L515" s="8"/>
      <c r="M515" s="8"/>
      <c r="N515" s="8"/>
      <c r="O515" s="8"/>
      <c r="P515" s="8"/>
      <c r="Q515" s="8"/>
      <c r="R515" s="8"/>
      <c r="S515" s="8"/>
      <c r="T515" s="8"/>
      <c r="U515" s="8"/>
      <c r="V515" s="8"/>
      <c r="W515" s="8"/>
      <c r="X515" s="8"/>
      <c r="Y515" s="8"/>
      <c r="Z515" s="8"/>
      <c r="AA515" s="8"/>
    </row>
    <row r="516" spans="1:27" ht="12.75">
      <c r="A516" s="8"/>
      <c r="B516" s="59"/>
      <c r="C516" s="59"/>
      <c r="D516" s="59"/>
      <c r="E516" s="59"/>
      <c r="F516" s="8"/>
      <c r="G516" s="8"/>
      <c r="H516" s="8"/>
      <c r="I516" s="8"/>
      <c r="J516" s="8"/>
      <c r="K516" s="8"/>
      <c r="L516" s="8"/>
      <c r="M516" s="8"/>
      <c r="N516" s="8"/>
      <c r="O516" s="8"/>
      <c r="P516" s="8"/>
      <c r="Q516" s="8"/>
      <c r="R516" s="8"/>
      <c r="S516" s="8"/>
      <c r="T516" s="8"/>
      <c r="U516" s="8"/>
      <c r="V516" s="8"/>
      <c r="W516" s="8"/>
      <c r="X516" s="8"/>
      <c r="Y516" s="8"/>
      <c r="Z516" s="8"/>
      <c r="AA516" s="8"/>
    </row>
    <row r="517" spans="1:27" ht="12.75">
      <c r="A517" s="8"/>
      <c r="B517" s="59"/>
      <c r="C517" s="59"/>
      <c r="D517" s="59"/>
      <c r="E517" s="59"/>
      <c r="F517" s="8"/>
      <c r="G517" s="8"/>
      <c r="H517" s="8"/>
      <c r="I517" s="8"/>
      <c r="J517" s="8"/>
      <c r="K517" s="8"/>
      <c r="L517" s="8"/>
      <c r="M517" s="8"/>
      <c r="N517" s="8"/>
      <c r="O517" s="8"/>
      <c r="P517" s="8"/>
      <c r="Q517" s="8"/>
      <c r="R517" s="8"/>
      <c r="S517" s="8"/>
      <c r="T517" s="8"/>
      <c r="U517" s="8"/>
      <c r="V517" s="8"/>
      <c r="W517" s="8"/>
      <c r="X517" s="8"/>
      <c r="Y517" s="8"/>
      <c r="Z517" s="8"/>
      <c r="AA517" s="8"/>
    </row>
    <row r="518" spans="1:27" ht="12.75">
      <c r="A518" s="8"/>
      <c r="B518" s="59"/>
      <c r="C518" s="59"/>
      <c r="D518" s="59"/>
      <c r="E518" s="59"/>
      <c r="F518" s="8"/>
      <c r="G518" s="8"/>
      <c r="H518" s="8"/>
      <c r="I518" s="8"/>
      <c r="J518" s="8"/>
      <c r="K518" s="8"/>
      <c r="L518" s="8"/>
      <c r="M518" s="8"/>
      <c r="N518" s="8"/>
      <c r="O518" s="8"/>
      <c r="P518" s="8"/>
      <c r="Q518" s="8"/>
      <c r="R518" s="8"/>
      <c r="S518" s="8"/>
      <c r="T518" s="8"/>
      <c r="U518" s="8"/>
      <c r="V518" s="8"/>
      <c r="W518" s="8"/>
      <c r="X518" s="8"/>
      <c r="Y518" s="8"/>
      <c r="Z518" s="8"/>
      <c r="AA518" s="8"/>
    </row>
    <row r="519" spans="1:27" ht="12.75">
      <c r="A519" s="8"/>
      <c r="B519" s="59"/>
      <c r="C519" s="59"/>
      <c r="D519" s="59"/>
      <c r="E519" s="59"/>
      <c r="F519" s="8"/>
      <c r="G519" s="8"/>
      <c r="H519" s="8"/>
      <c r="I519" s="8"/>
      <c r="J519" s="8"/>
      <c r="K519" s="8"/>
      <c r="L519" s="8"/>
      <c r="M519" s="8"/>
      <c r="N519" s="8"/>
      <c r="O519" s="8"/>
      <c r="P519" s="8"/>
      <c r="Q519" s="8"/>
      <c r="R519" s="8"/>
      <c r="S519" s="8"/>
      <c r="T519" s="8"/>
      <c r="U519" s="8"/>
      <c r="V519" s="8"/>
      <c r="W519" s="8"/>
      <c r="X519" s="8"/>
      <c r="Y519" s="8"/>
      <c r="Z519" s="8"/>
      <c r="AA519" s="8"/>
    </row>
    <row r="520" spans="1:27" ht="12.75">
      <c r="A520" s="8"/>
      <c r="B520" s="59"/>
      <c r="C520" s="59"/>
      <c r="D520" s="59"/>
      <c r="E520" s="59"/>
      <c r="F520" s="8"/>
      <c r="G520" s="8"/>
      <c r="H520" s="8"/>
      <c r="I520" s="8"/>
      <c r="J520" s="8"/>
      <c r="K520" s="8"/>
      <c r="L520" s="8"/>
      <c r="M520" s="8"/>
      <c r="N520" s="8"/>
      <c r="O520" s="8"/>
      <c r="P520" s="8"/>
      <c r="Q520" s="8"/>
      <c r="R520" s="8"/>
      <c r="S520" s="8"/>
      <c r="T520" s="8"/>
      <c r="U520" s="8"/>
      <c r="V520" s="8"/>
      <c r="W520" s="8"/>
      <c r="X520" s="8"/>
      <c r="Y520" s="8"/>
      <c r="Z520" s="8"/>
      <c r="AA520" s="8"/>
    </row>
    <row r="521" spans="1:27" ht="12.75">
      <c r="A521" s="8"/>
      <c r="B521" s="59"/>
      <c r="C521" s="59"/>
      <c r="D521" s="59"/>
      <c r="E521" s="59"/>
      <c r="F521" s="8"/>
      <c r="G521" s="8"/>
      <c r="H521" s="8"/>
      <c r="I521" s="8"/>
      <c r="J521" s="8"/>
      <c r="K521" s="8"/>
      <c r="L521" s="8"/>
      <c r="M521" s="8"/>
      <c r="N521" s="8"/>
      <c r="O521" s="8"/>
      <c r="P521" s="8"/>
      <c r="Q521" s="8"/>
      <c r="R521" s="8"/>
      <c r="S521" s="8"/>
      <c r="T521" s="8"/>
      <c r="U521" s="8"/>
      <c r="V521" s="8"/>
      <c r="W521" s="8"/>
      <c r="X521" s="8"/>
      <c r="Y521" s="8"/>
      <c r="Z521" s="8"/>
      <c r="AA521" s="8"/>
    </row>
    <row r="522" spans="1:27" ht="12.75">
      <c r="A522" s="8"/>
      <c r="B522" s="59"/>
      <c r="C522" s="59"/>
      <c r="D522" s="59"/>
      <c r="E522" s="59"/>
      <c r="F522" s="8"/>
      <c r="G522" s="8"/>
      <c r="H522" s="8"/>
      <c r="I522" s="8"/>
      <c r="J522" s="8"/>
      <c r="K522" s="8"/>
      <c r="L522" s="8"/>
      <c r="M522" s="8"/>
      <c r="N522" s="8"/>
      <c r="O522" s="8"/>
      <c r="P522" s="8"/>
      <c r="Q522" s="8"/>
      <c r="R522" s="8"/>
      <c r="S522" s="8"/>
      <c r="T522" s="8"/>
      <c r="U522" s="8"/>
      <c r="V522" s="8"/>
      <c r="W522" s="8"/>
      <c r="X522" s="8"/>
      <c r="Y522" s="8"/>
      <c r="Z522" s="8"/>
      <c r="AA522" s="8"/>
    </row>
    <row r="523" spans="1:27" ht="12.75">
      <c r="A523" s="8"/>
      <c r="B523" s="59"/>
      <c r="C523" s="59"/>
      <c r="D523" s="59"/>
      <c r="E523" s="59"/>
      <c r="F523" s="8"/>
      <c r="G523" s="8"/>
      <c r="H523" s="8"/>
      <c r="I523" s="8"/>
      <c r="J523" s="8"/>
      <c r="K523" s="8"/>
      <c r="L523" s="8"/>
      <c r="M523" s="8"/>
      <c r="N523" s="8"/>
      <c r="O523" s="8"/>
      <c r="P523" s="8"/>
      <c r="Q523" s="8"/>
      <c r="R523" s="8"/>
      <c r="S523" s="8"/>
      <c r="T523" s="8"/>
      <c r="U523" s="8"/>
      <c r="V523" s="8"/>
      <c r="W523" s="8"/>
      <c r="X523" s="8"/>
      <c r="Y523" s="8"/>
      <c r="Z523" s="8"/>
      <c r="AA523" s="8"/>
    </row>
    <row r="524" spans="1:27" ht="12.75">
      <c r="A524" s="8"/>
      <c r="B524" s="59"/>
      <c r="C524" s="59"/>
      <c r="D524" s="59"/>
      <c r="E524" s="59"/>
      <c r="F524" s="8"/>
      <c r="G524" s="8"/>
      <c r="H524" s="8"/>
      <c r="I524" s="8"/>
      <c r="J524" s="8"/>
      <c r="K524" s="8"/>
      <c r="L524" s="8"/>
      <c r="M524" s="8"/>
      <c r="N524" s="8"/>
      <c r="O524" s="8"/>
      <c r="P524" s="8"/>
      <c r="Q524" s="8"/>
      <c r="R524" s="8"/>
      <c r="S524" s="8"/>
      <c r="T524" s="8"/>
      <c r="U524" s="8"/>
      <c r="V524" s="8"/>
      <c r="W524" s="8"/>
      <c r="X524" s="8"/>
      <c r="Y524" s="8"/>
      <c r="Z524" s="8"/>
      <c r="AA524" s="8"/>
    </row>
    <row r="525" spans="1:27" ht="12.75">
      <c r="A525" s="8"/>
      <c r="B525" s="59"/>
      <c r="C525" s="59"/>
      <c r="D525" s="59"/>
      <c r="E525" s="59"/>
      <c r="F525" s="8"/>
      <c r="G525" s="8"/>
      <c r="H525" s="8"/>
      <c r="I525" s="8"/>
      <c r="J525" s="8"/>
      <c r="K525" s="8"/>
      <c r="L525" s="8"/>
      <c r="M525" s="8"/>
      <c r="N525" s="8"/>
      <c r="O525" s="8"/>
      <c r="P525" s="8"/>
      <c r="Q525" s="8"/>
      <c r="R525" s="8"/>
      <c r="S525" s="8"/>
      <c r="T525" s="8"/>
      <c r="U525" s="8"/>
      <c r="V525" s="8"/>
      <c r="W525" s="8"/>
      <c r="X525" s="8"/>
      <c r="Y525" s="8"/>
      <c r="Z525" s="8"/>
      <c r="AA525" s="8"/>
    </row>
    <row r="526" spans="1:27" ht="12.75">
      <c r="A526" s="8"/>
      <c r="B526" s="59"/>
      <c r="C526" s="59"/>
      <c r="D526" s="59"/>
      <c r="E526" s="59"/>
      <c r="F526" s="8"/>
      <c r="G526" s="8"/>
      <c r="H526" s="8"/>
      <c r="I526" s="8"/>
      <c r="J526" s="8"/>
      <c r="K526" s="8"/>
      <c r="L526" s="8"/>
      <c r="M526" s="8"/>
      <c r="N526" s="8"/>
      <c r="O526" s="8"/>
      <c r="P526" s="8"/>
      <c r="Q526" s="8"/>
      <c r="R526" s="8"/>
      <c r="S526" s="8"/>
      <c r="T526" s="8"/>
      <c r="U526" s="8"/>
      <c r="V526" s="8"/>
      <c r="W526" s="8"/>
      <c r="X526" s="8"/>
      <c r="Y526" s="8"/>
      <c r="Z526" s="8"/>
      <c r="AA526" s="8"/>
    </row>
    <row r="527" spans="1:27" ht="12.75">
      <c r="A527" s="8"/>
      <c r="B527" s="59"/>
      <c r="C527" s="59"/>
      <c r="D527" s="59"/>
      <c r="E527" s="59"/>
      <c r="F527" s="8"/>
      <c r="G527" s="8"/>
      <c r="H527" s="8"/>
      <c r="I527" s="8"/>
      <c r="J527" s="8"/>
      <c r="K527" s="8"/>
      <c r="L527" s="8"/>
      <c r="M527" s="8"/>
      <c r="N527" s="8"/>
      <c r="O527" s="8"/>
      <c r="P527" s="8"/>
      <c r="Q527" s="8"/>
      <c r="R527" s="8"/>
      <c r="S527" s="8"/>
      <c r="T527" s="8"/>
      <c r="U527" s="8"/>
      <c r="V527" s="8"/>
      <c r="W527" s="8"/>
      <c r="X527" s="8"/>
      <c r="Y527" s="8"/>
      <c r="Z527" s="8"/>
      <c r="AA527" s="8"/>
    </row>
    <row r="528" spans="1:27" ht="12.75">
      <c r="A528" s="8"/>
      <c r="B528" s="59"/>
      <c r="C528" s="59"/>
      <c r="D528" s="59"/>
      <c r="E528" s="59"/>
      <c r="F528" s="8"/>
      <c r="G528" s="8"/>
      <c r="H528" s="8"/>
      <c r="I528" s="8"/>
      <c r="J528" s="8"/>
      <c r="K528" s="8"/>
      <c r="L528" s="8"/>
      <c r="M528" s="8"/>
      <c r="N528" s="8"/>
      <c r="O528" s="8"/>
      <c r="P528" s="8"/>
      <c r="Q528" s="8"/>
      <c r="R528" s="8"/>
      <c r="S528" s="8"/>
      <c r="T528" s="8"/>
      <c r="U528" s="8"/>
      <c r="V528" s="8"/>
      <c r="W528" s="8"/>
      <c r="X528" s="8"/>
      <c r="Y528" s="8"/>
      <c r="Z528" s="8"/>
      <c r="AA528" s="8"/>
    </row>
    <row r="529" spans="1:27" ht="12.75">
      <c r="A529" s="8"/>
      <c r="B529" s="59"/>
      <c r="C529" s="59"/>
      <c r="D529" s="59"/>
      <c r="E529" s="59"/>
      <c r="F529" s="8"/>
      <c r="G529" s="8"/>
      <c r="H529" s="8"/>
      <c r="I529" s="8"/>
      <c r="J529" s="8"/>
      <c r="K529" s="8"/>
      <c r="L529" s="8"/>
      <c r="M529" s="8"/>
      <c r="N529" s="8"/>
      <c r="O529" s="8"/>
      <c r="P529" s="8"/>
      <c r="Q529" s="8"/>
      <c r="R529" s="8"/>
      <c r="S529" s="8"/>
      <c r="T529" s="8"/>
      <c r="U529" s="8"/>
      <c r="V529" s="8"/>
      <c r="W529" s="8"/>
      <c r="X529" s="8"/>
      <c r="Y529" s="8"/>
      <c r="Z529" s="8"/>
      <c r="AA529" s="8"/>
    </row>
    <row r="530" spans="1:27" ht="12.75">
      <c r="A530" s="8"/>
      <c r="B530" s="59"/>
      <c r="C530" s="59"/>
      <c r="D530" s="59"/>
      <c r="E530" s="59"/>
      <c r="F530" s="8"/>
      <c r="G530" s="8"/>
      <c r="H530" s="8"/>
      <c r="I530" s="8"/>
      <c r="J530" s="8"/>
      <c r="K530" s="8"/>
      <c r="L530" s="8"/>
      <c r="M530" s="8"/>
      <c r="N530" s="8"/>
      <c r="O530" s="8"/>
      <c r="P530" s="8"/>
      <c r="Q530" s="8"/>
      <c r="R530" s="8"/>
      <c r="S530" s="8"/>
      <c r="T530" s="8"/>
      <c r="U530" s="8"/>
      <c r="V530" s="8"/>
      <c r="W530" s="8"/>
      <c r="X530" s="8"/>
      <c r="Y530" s="8"/>
      <c r="Z530" s="8"/>
      <c r="AA530" s="8"/>
    </row>
    <row r="531" spans="1:27" ht="12.75">
      <c r="A531" s="8"/>
      <c r="B531" s="59"/>
      <c r="C531" s="59"/>
      <c r="D531" s="59"/>
      <c r="E531" s="59"/>
      <c r="F531" s="8"/>
      <c r="G531" s="8"/>
      <c r="H531" s="8"/>
      <c r="I531" s="8"/>
      <c r="J531" s="8"/>
      <c r="K531" s="8"/>
      <c r="L531" s="8"/>
      <c r="M531" s="8"/>
      <c r="N531" s="8"/>
      <c r="O531" s="8"/>
      <c r="P531" s="8"/>
      <c r="Q531" s="8"/>
      <c r="R531" s="8"/>
      <c r="S531" s="8"/>
      <c r="T531" s="8"/>
      <c r="U531" s="8"/>
      <c r="V531" s="8"/>
      <c r="W531" s="8"/>
      <c r="X531" s="8"/>
      <c r="Y531" s="8"/>
      <c r="Z531" s="8"/>
      <c r="AA531" s="8"/>
    </row>
    <row r="532" spans="1:27" ht="12.75">
      <c r="A532" s="8"/>
      <c r="B532" s="59"/>
      <c r="C532" s="59"/>
      <c r="D532" s="59"/>
      <c r="E532" s="59"/>
      <c r="F532" s="8"/>
      <c r="G532" s="8"/>
      <c r="H532" s="8"/>
      <c r="I532" s="8"/>
      <c r="J532" s="8"/>
      <c r="K532" s="8"/>
      <c r="L532" s="8"/>
      <c r="M532" s="8"/>
      <c r="N532" s="8"/>
      <c r="O532" s="8"/>
      <c r="P532" s="8"/>
      <c r="Q532" s="8"/>
      <c r="R532" s="8"/>
      <c r="S532" s="8"/>
      <c r="T532" s="8"/>
      <c r="U532" s="8"/>
      <c r="V532" s="8"/>
      <c r="W532" s="8"/>
      <c r="X532" s="8"/>
      <c r="Y532" s="8"/>
      <c r="Z532" s="8"/>
      <c r="AA532" s="8"/>
    </row>
    <row r="533" spans="1:27" ht="12.75">
      <c r="A533" s="8"/>
      <c r="B533" s="59"/>
      <c r="C533" s="59"/>
      <c r="D533" s="59"/>
      <c r="E533" s="59"/>
      <c r="F533" s="8"/>
      <c r="G533" s="8"/>
      <c r="H533" s="8"/>
      <c r="I533" s="8"/>
      <c r="J533" s="8"/>
      <c r="K533" s="8"/>
      <c r="L533" s="8"/>
      <c r="M533" s="8"/>
      <c r="N533" s="8"/>
      <c r="O533" s="8"/>
      <c r="P533" s="8"/>
      <c r="Q533" s="8"/>
      <c r="R533" s="8"/>
      <c r="S533" s="8"/>
      <c r="T533" s="8"/>
      <c r="U533" s="8"/>
      <c r="V533" s="8"/>
      <c r="W533" s="8"/>
      <c r="X533" s="8"/>
      <c r="Y533" s="8"/>
      <c r="Z533" s="8"/>
      <c r="AA533" s="8"/>
    </row>
    <row r="534" spans="1:27" ht="12.75">
      <c r="A534" s="8"/>
      <c r="B534" s="59"/>
      <c r="C534" s="59"/>
      <c r="D534" s="59"/>
      <c r="E534" s="59"/>
      <c r="F534" s="8"/>
      <c r="G534" s="8"/>
      <c r="H534" s="8"/>
      <c r="I534" s="8"/>
      <c r="J534" s="8"/>
      <c r="K534" s="8"/>
      <c r="L534" s="8"/>
      <c r="M534" s="8"/>
      <c r="N534" s="8"/>
      <c r="O534" s="8"/>
      <c r="P534" s="8"/>
      <c r="Q534" s="8"/>
      <c r="R534" s="8"/>
      <c r="S534" s="8"/>
      <c r="T534" s="8"/>
      <c r="U534" s="8"/>
      <c r="V534" s="8"/>
      <c r="W534" s="8"/>
      <c r="X534" s="8"/>
      <c r="Y534" s="8"/>
      <c r="Z534" s="8"/>
      <c r="AA534" s="8"/>
    </row>
    <row r="535" spans="1:27" ht="12.75">
      <c r="A535" s="8"/>
      <c r="B535" s="59"/>
      <c r="C535" s="59"/>
      <c r="D535" s="59"/>
      <c r="E535" s="59"/>
      <c r="F535" s="8"/>
      <c r="G535" s="8"/>
      <c r="H535" s="8"/>
      <c r="I535" s="8"/>
      <c r="J535" s="8"/>
      <c r="K535" s="8"/>
      <c r="L535" s="8"/>
      <c r="M535" s="8"/>
      <c r="N535" s="8"/>
      <c r="O535" s="8"/>
      <c r="P535" s="8"/>
      <c r="Q535" s="8"/>
      <c r="R535" s="8"/>
      <c r="S535" s="8"/>
      <c r="T535" s="8"/>
      <c r="U535" s="8"/>
      <c r="V535" s="8"/>
      <c r="W535" s="8"/>
      <c r="X535" s="8"/>
      <c r="Y535" s="8"/>
      <c r="Z535" s="8"/>
      <c r="AA535" s="8"/>
    </row>
    <row r="536" spans="1:27" ht="12.75">
      <c r="A536" s="8"/>
      <c r="B536" s="59"/>
      <c r="C536" s="59"/>
      <c r="D536" s="59"/>
      <c r="E536" s="59"/>
      <c r="F536" s="8"/>
      <c r="G536" s="8"/>
      <c r="H536" s="8"/>
      <c r="I536" s="8"/>
      <c r="J536" s="8"/>
      <c r="K536" s="8"/>
      <c r="L536" s="8"/>
      <c r="M536" s="8"/>
      <c r="N536" s="8"/>
      <c r="O536" s="8"/>
      <c r="P536" s="8"/>
      <c r="Q536" s="8"/>
      <c r="R536" s="8"/>
      <c r="S536" s="8"/>
      <c r="T536" s="8"/>
      <c r="U536" s="8"/>
      <c r="V536" s="8"/>
      <c r="W536" s="8"/>
      <c r="X536" s="8"/>
      <c r="Y536" s="8"/>
      <c r="Z536" s="8"/>
      <c r="AA536" s="8"/>
    </row>
    <row r="537" spans="1:27" ht="12.75">
      <c r="A537" s="8"/>
      <c r="B537" s="59"/>
      <c r="C537" s="59"/>
      <c r="D537" s="59"/>
      <c r="E537" s="59"/>
      <c r="F537" s="8"/>
      <c r="G537" s="8"/>
      <c r="H537" s="8"/>
      <c r="I537" s="8"/>
      <c r="J537" s="8"/>
      <c r="K537" s="8"/>
      <c r="L537" s="8"/>
      <c r="M537" s="8"/>
      <c r="N537" s="8"/>
      <c r="O537" s="8"/>
      <c r="P537" s="8"/>
      <c r="Q537" s="8"/>
      <c r="R537" s="8"/>
      <c r="S537" s="8"/>
      <c r="T537" s="8"/>
      <c r="U537" s="8"/>
      <c r="V537" s="8"/>
      <c r="W537" s="8"/>
      <c r="X537" s="8"/>
      <c r="Y537" s="8"/>
      <c r="Z537" s="8"/>
      <c r="AA537" s="8"/>
    </row>
    <row r="538" spans="1:27" ht="12.75">
      <c r="A538" s="8"/>
      <c r="B538" s="59"/>
      <c r="C538" s="59"/>
      <c r="D538" s="59"/>
      <c r="E538" s="59"/>
      <c r="F538" s="8"/>
      <c r="G538" s="8"/>
      <c r="H538" s="8"/>
      <c r="I538" s="8"/>
      <c r="J538" s="8"/>
      <c r="K538" s="8"/>
      <c r="L538" s="8"/>
      <c r="M538" s="8"/>
      <c r="N538" s="8"/>
      <c r="O538" s="8"/>
      <c r="P538" s="8"/>
      <c r="Q538" s="8"/>
      <c r="R538" s="8"/>
      <c r="S538" s="8"/>
      <c r="T538" s="8"/>
      <c r="U538" s="8"/>
      <c r="V538" s="8"/>
      <c r="W538" s="8"/>
      <c r="X538" s="8"/>
      <c r="Y538" s="8"/>
      <c r="Z538" s="8"/>
      <c r="AA538" s="8"/>
    </row>
    <row r="539" spans="1:27" ht="12.75">
      <c r="A539" s="8"/>
      <c r="B539" s="59"/>
      <c r="C539" s="59"/>
      <c r="D539" s="59"/>
      <c r="E539" s="59"/>
      <c r="F539" s="8"/>
      <c r="G539" s="8"/>
      <c r="H539" s="8"/>
      <c r="I539" s="8"/>
      <c r="J539" s="8"/>
      <c r="K539" s="8"/>
      <c r="L539" s="8"/>
      <c r="M539" s="8"/>
      <c r="N539" s="8"/>
      <c r="O539" s="8"/>
      <c r="P539" s="8"/>
      <c r="Q539" s="8"/>
      <c r="R539" s="8"/>
      <c r="S539" s="8"/>
      <c r="T539" s="8"/>
      <c r="U539" s="8"/>
      <c r="V539" s="8"/>
      <c r="W539" s="8"/>
      <c r="X539" s="8"/>
      <c r="Y539" s="8"/>
      <c r="Z539" s="8"/>
      <c r="AA539" s="8"/>
    </row>
    <row r="540" spans="1:27" ht="12.75">
      <c r="A540" s="8"/>
      <c r="B540" s="59"/>
      <c r="C540" s="59"/>
      <c r="D540" s="59"/>
      <c r="E540" s="59"/>
      <c r="F540" s="8"/>
      <c r="G540" s="8"/>
      <c r="H540" s="8"/>
      <c r="I540" s="8"/>
      <c r="J540" s="8"/>
      <c r="K540" s="8"/>
      <c r="L540" s="8"/>
      <c r="M540" s="8"/>
      <c r="N540" s="8"/>
      <c r="O540" s="8"/>
      <c r="P540" s="8"/>
      <c r="Q540" s="8"/>
      <c r="R540" s="8"/>
      <c r="S540" s="8"/>
      <c r="T540" s="8"/>
      <c r="U540" s="8"/>
      <c r="V540" s="8"/>
      <c r="W540" s="8"/>
      <c r="X540" s="8"/>
      <c r="Y540" s="8"/>
      <c r="Z540" s="8"/>
      <c r="AA540" s="8"/>
    </row>
    <row r="541" spans="1:27" ht="12.75">
      <c r="A541" s="8"/>
      <c r="B541" s="59"/>
      <c r="C541" s="59"/>
      <c r="D541" s="59"/>
      <c r="E541" s="59"/>
      <c r="F541" s="8"/>
      <c r="G541" s="8"/>
      <c r="H541" s="8"/>
      <c r="I541" s="8"/>
      <c r="J541" s="8"/>
      <c r="K541" s="8"/>
      <c r="L541" s="8"/>
      <c r="M541" s="8"/>
      <c r="N541" s="8"/>
      <c r="O541" s="8"/>
      <c r="P541" s="8"/>
      <c r="Q541" s="8"/>
      <c r="R541" s="8"/>
      <c r="S541" s="8"/>
      <c r="T541" s="8"/>
      <c r="U541" s="8"/>
      <c r="V541" s="8"/>
      <c r="W541" s="8"/>
      <c r="X541" s="8"/>
      <c r="Y541" s="8"/>
      <c r="Z541" s="8"/>
      <c r="AA541" s="8"/>
    </row>
    <row r="542" spans="1:27" ht="12.75">
      <c r="A542" s="8"/>
      <c r="B542" s="59"/>
      <c r="C542" s="59"/>
      <c r="D542" s="59"/>
      <c r="E542" s="59"/>
      <c r="F542" s="8"/>
      <c r="G542" s="8"/>
      <c r="H542" s="8"/>
      <c r="I542" s="8"/>
      <c r="J542" s="8"/>
      <c r="K542" s="8"/>
      <c r="L542" s="8"/>
      <c r="M542" s="8"/>
      <c r="N542" s="8"/>
      <c r="O542" s="8"/>
      <c r="P542" s="8"/>
      <c r="Q542" s="8"/>
      <c r="R542" s="8"/>
      <c r="S542" s="8"/>
      <c r="T542" s="8"/>
      <c r="U542" s="8"/>
      <c r="V542" s="8"/>
      <c r="W542" s="8"/>
      <c r="X542" s="8"/>
      <c r="Y542" s="8"/>
      <c r="Z542" s="8"/>
      <c r="AA542" s="8"/>
    </row>
    <row r="543" spans="1:27" ht="12.75">
      <c r="A543" s="8"/>
      <c r="B543" s="59"/>
      <c r="C543" s="59"/>
      <c r="D543" s="59"/>
      <c r="E543" s="59"/>
      <c r="F543" s="8"/>
      <c r="G543" s="8"/>
      <c r="H543" s="8"/>
      <c r="I543" s="8"/>
      <c r="J543" s="8"/>
      <c r="K543" s="8"/>
      <c r="L543" s="8"/>
      <c r="M543" s="8"/>
      <c r="N543" s="8"/>
      <c r="O543" s="8"/>
      <c r="P543" s="8"/>
      <c r="Q543" s="8"/>
      <c r="R543" s="8"/>
      <c r="S543" s="8"/>
      <c r="T543" s="8"/>
      <c r="U543" s="8"/>
      <c r="V543" s="8"/>
      <c r="W543" s="8"/>
      <c r="X543" s="8"/>
      <c r="Y543" s="8"/>
      <c r="Z543" s="8"/>
      <c r="AA543" s="8"/>
    </row>
    <row r="544" spans="1:27" ht="12.75">
      <c r="A544" s="8"/>
      <c r="B544" s="59"/>
      <c r="C544" s="59"/>
      <c r="D544" s="59"/>
      <c r="E544" s="59"/>
      <c r="F544" s="8"/>
      <c r="G544" s="8"/>
      <c r="H544" s="8"/>
      <c r="I544" s="8"/>
      <c r="J544" s="8"/>
      <c r="K544" s="8"/>
      <c r="L544" s="8"/>
      <c r="M544" s="8"/>
      <c r="N544" s="8"/>
      <c r="O544" s="8"/>
      <c r="P544" s="8"/>
      <c r="Q544" s="8"/>
      <c r="R544" s="8"/>
      <c r="S544" s="8"/>
      <c r="T544" s="8"/>
      <c r="U544" s="8"/>
      <c r="V544" s="8"/>
      <c r="W544" s="8"/>
      <c r="X544" s="8"/>
      <c r="Y544" s="8"/>
      <c r="Z544" s="8"/>
      <c r="AA544" s="8"/>
    </row>
    <row r="545" spans="1:27" ht="12.75">
      <c r="A545" s="8"/>
      <c r="B545" s="59"/>
      <c r="C545" s="59"/>
      <c r="D545" s="59"/>
      <c r="E545" s="59"/>
      <c r="F545" s="8"/>
      <c r="G545" s="8"/>
      <c r="H545" s="8"/>
      <c r="I545" s="8"/>
      <c r="J545" s="8"/>
      <c r="K545" s="8"/>
      <c r="L545" s="8"/>
      <c r="M545" s="8"/>
      <c r="N545" s="8"/>
      <c r="O545" s="8"/>
      <c r="P545" s="8"/>
      <c r="Q545" s="8"/>
      <c r="R545" s="8"/>
      <c r="S545" s="8"/>
      <c r="T545" s="8"/>
      <c r="U545" s="8"/>
      <c r="V545" s="8"/>
      <c r="W545" s="8"/>
      <c r="X545" s="8"/>
      <c r="Y545" s="8"/>
      <c r="Z545" s="8"/>
      <c r="AA545" s="8"/>
    </row>
    <row r="546" spans="1:27" ht="12.75">
      <c r="A546" s="8"/>
      <c r="B546" s="59"/>
      <c r="C546" s="59"/>
      <c r="D546" s="59"/>
      <c r="E546" s="59"/>
      <c r="F546" s="8"/>
      <c r="G546" s="8"/>
      <c r="H546" s="8"/>
      <c r="I546" s="8"/>
      <c r="J546" s="8"/>
      <c r="K546" s="8"/>
      <c r="L546" s="8"/>
      <c r="M546" s="8"/>
      <c r="N546" s="8"/>
      <c r="O546" s="8"/>
      <c r="P546" s="8"/>
      <c r="Q546" s="8"/>
      <c r="R546" s="8"/>
      <c r="S546" s="8"/>
      <c r="T546" s="8"/>
      <c r="U546" s="8"/>
      <c r="V546" s="8"/>
      <c r="W546" s="8"/>
      <c r="X546" s="8"/>
      <c r="Y546" s="8"/>
      <c r="Z546" s="8"/>
      <c r="AA546" s="8"/>
    </row>
    <row r="547" spans="1:27" ht="12.75">
      <c r="A547" s="8"/>
      <c r="B547" s="59"/>
      <c r="C547" s="59"/>
      <c r="D547" s="59"/>
      <c r="E547" s="59"/>
      <c r="F547" s="8"/>
      <c r="G547" s="8"/>
      <c r="H547" s="8"/>
      <c r="I547" s="8"/>
      <c r="J547" s="8"/>
      <c r="K547" s="8"/>
      <c r="L547" s="8"/>
      <c r="M547" s="8"/>
      <c r="N547" s="8"/>
      <c r="O547" s="8"/>
      <c r="P547" s="8"/>
      <c r="Q547" s="8"/>
      <c r="R547" s="8"/>
      <c r="S547" s="8"/>
      <c r="T547" s="8"/>
      <c r="U547" s="8"/>
      <c r="V547" s="8"/>
      <c r="W547" s="8"/>
      <c r="X547" s="8"/>
      <c r="Y547" s="8"/>
      <c r="Z547" s="8"/>
      <c r="AA547" s="8"/>
    </row>
    <row r="548" spans="1:27" ht="12.75">
      <c r="A548" s="8"/>
      <c r="B548" s="59"/>
      <c r="C548" s="59"/>
      <c r="D548" s="59"/>
      <c r="E548" s="59"/>
      <c r="F548" s="8"/>
      <c r="G548" s="8"/>
      <c r="H548" s="8"/>
      <c r="I548" s="8"/>
      <c r="J548" s="8"/>
      <c r="K548" s="8"/>
      <c r="L548" s="8"/>
      <c r="M548" s="8"/>
      <c r="N548" s="8"/>
      <c r="O548" s="8"/>
      <c r="P548" s="8"/>
      <c r="Q548" s="8"/>
      <c r="R548" s="8"/>
      <c r="S548" s="8"/>
      <c r="T548" s="8"/>
      <c r="U548" s="8"/>
      <c r="V548" s="8"/>
      <c r="W548" s="8"/>
      <c r="X548" s="8"/>
      <c r="Y548" s="8"/>
      <c r="Z548" s="8"/>
      <c r="AA548" s="8"/>
    </row>
    <row r="549" spans="1:27" ht="12.75">
      <c r="A549" s="8"/>
      <c r="B549" s="59"/>
      <c r="C549" s="59"/>
      <c r="D549" s="59"/>
      <c r="E549" s="59"/>
      <c r="F549" s="8"/>
      <c r="G549" s="8"/>
      <c r="H549" s="8"/>
      <c r="I549" s="8"/>
      <c r="J549" s="8"/>
      <c r="K549" s="8"/>
      <c r="L549" s="8"/>
      <c r="M549" s="8"/>
      <c r="N549" s="8"/>
      <c r="O549" s="8"/>
      <c r="P549" s="8"/>
      <c r="Q549" s="8"/>
      <c r="R549" s="8"/>
      <c r="S549" s="8"/>
      <c r="T549" s="8"/>
      <c r="U549" s="8"/>
      <c r="V549" s="8"/>
      <c r="W549" s="8"/>
      <c r="X549" s="8"/>
      <c r="Y549" s="8"/>
      <c r="Z549" s="8"/>
      <c r="AA549" s="8"/>
    </row>
    <row r="550" spans="1:27" ht="12.75">
      <c r="A550" s="8"/>
      <c r="B550" s="59"/>
      <c r="C550" s="59"/>
      <c r="D550" s="59"/>
      <c r="E550" s="59"/>
      <c r="F550" s="8"/>
      <c r="G550" s="8"/>
      <c r="H550" s="8"/>
      <c r="I550" s="8"/>
      <c r="J550" s="8"/>
      <c r="K550" s="8"/>
      <c r="L550" s="8"/>
      <c r="M550" s="8"/>
      <c r="N550" s="8"/>
      <c r="O550" s="8"/>
      <c r="P550" s="8"/>
      <c r="Q550" s="8"/>
      <c r="R550" s="8"/>
      <c r="S550" s="8"/>
      <c r="T550" s="8"/>
      <c r="U550" s="8"/>
      <c r="V550" s="8"/>
      <c r="W550" s="8"/>
      <c r="X550" s="8"/>
      <c r="Y550" s="8"/>
      <c r="Z550" s="8"/>
      <c r="AA550" s="8"/>
    </row>
    <row r="551" spans="1:27" ht="12.75">
      <c r="A551" s="8"/>
      <c r="B551" s="59"/>
      <c r="C551" s="59"/>
      <c r="D551" s="59"/>
      <c r="E551" s="59"/>
      <c r="F551" s="8"/>
      <c r="G551" s="8"/>
      <c r="H551" s="8"/>
      <c r="I551" s="8"/>
      <c r="J551" s="8"/>
      <c r="K551" s="8"/>
      <c r="L551" s="8"/>
      <c r="M551" s="8"/>
      <c r="N551" s="8"/>
      <c r="O551" s="8"/>
      <c r="P551" s="8"/>
      <c r="Q551" s="8"/>
      <c r="R551" s="8"/>
      <c r="S551" s="8"/>
      <c r="T551" s="8"/>
      <c r="U551" s="8"/>
      <c r="V551" s="8"/>
      <c r="W551" s="8"/>
      <c r="X551" s="8"/>
      <c r="Y551" s="8"/>
      <c r="Z551" s="8"/>
      <c r="AA551" s="8"/>
    </row>
    <row r="552" spans="1:27" ht="12.75">
      <c r="A552" s="8"/>
      <c r="B552" s="59"/>
      <c r="C552" s="59"/>
      <c r="D552" s="59"/>
      <c r="E552" s="59"/>
      <c r="F552" s="8"/>
      <c r="G552" s="8"/>
      <c r="H552" s="8"/>
      <c r="I552" s="8"/>
      <c r="J552" s="8"/>
      <c r="K552" s="8"/>
      <c r="L552" s="8"/>
      <c r="M552" s="8"/>
      <c r="N552" s="8"/>
      <c r="O552" s="8"/>
      <c r="P552" s="8"/>
      <c r="Q552" s="8"/>
      <c r="R552" s="8"/>
      <c r="S552" s="8"/>
      <c r="T552" s="8"/>
      <c r="U552" s="8"/>
      <c r="V552" s="8"/>
      <c r="W552" s="8"/>
      <c r="X552" s="8"/>
      <c r="Y552" s="8"/>
      <c r="Z552" s="8"/>
      <c r="AA552" s="8"/>
    </row>
    <row r="553" spans="1:27" ht="12.75">
      <c r="A553" s="8"/>
      <c r="B553" s="59"/>
      <c r="C553" s="59"/>
      <c r="D553" s="59"/>
      <c r="E553" s="59"/>
      <c r="F553" s="8"/>
      <c r="G553" s="8"/>
      <c r="H553" s="8"/>
      <c r="I553" s="8"/>
      <c r="J553" s="8"/>
      <c r="K553" s="8"/>
      <c r="L553" s="8"/>
      <c r="M553" s="8"/>
      <c r="N553" s="8"/>
      <c r="O553" s="8"/>
      <c r="P553" s="8"/>
      <c r="Q553" s="8"/>
      <c r="R553" s="8"/>
      <c r="S553" s="8"/>
      <c r="T553" s="8"/>
      <c r="U553" s="8"/>
      <c r="V553" s="8"/>
      <c r="W553" s="8"/>
      <c r="X553" s="8"/>
      <c r="Y553" s="8"/>
      <c r="Z553" s="8"/>
      <c r="AA553" s="8"/>
    </row>
    <row r="554" spans="1:27" ht="12.75">
      <c r="A554" s="8"/>
      <c r="B554" s="59"/>
      <c r="C554" s="59"/>
      <c r="D554" s="59"/>
      <c r="E554" s="59"/>
      <c r="F554" s="8"/>
      <c r="G554" s="8"/>
      <c r="H554" s="8"/>
      <c r="I554" s="8"/>
      <c r="J554" s="8"/>
      <c r="K554" s="8"/>
      <c r="L554" s="8"/>
      <c r="M554" s="8"/>
      <c r="N554" s="8"/>
      <c r="O554" s="8"/>
      <c r="P554" s="8"/>
      <c r="Q554" s="8"/>
      <c r="R554" s="8"/>
      <c r="S554" s="8"/>
      <c r="T554" s="8"/>
      <c r="U554" s="8"/>
      <c r="V554" s="8"/>
      <c r="W554" s="8"/>
      <c r="X554" s="8"/>
      <c r="Y554" s="8"/>
      <c r="Z554" s="8"/>
      <c r="AA554" s="8"/>
    </row>
    <row r="555" spans="1:27" ht="12.75">
      <c r="A555" s="8"/>
      <c r="B555" s="59"/>
      <c r="C555" s="59"/>
      <c r="D555" s="59"/>
      <c r="E555" s="59"/>
      <c r="F555" s="8"/>
      <c r="G555" s="8"/>
      <c r="H555" s="8"/>
      <c r="I555" s="8"/>
      <c r="J555" s="8"/>
      <c r="K555" s="8"/>
      <c r="L555" s="8"/>
      <c r="M555" s="8"/>
      <c r="N555" s="8"/>
      <c r="O555" s="8"/>
      <c r="P555" s="8"/>
      <c r="Q555" s="8"/>
      <c r="R555" s="8"/>
      <c r="S555" s="8"/>
      <c r="T555" s="8"/>
      <c r="U555" s="8"/>
      <c r="V555" s="8"/>
      <c r="W555" s="8"/>
      <c r="X555" s="8"/>
      <c r="Y555" s="8"/>
      <c r="Z555" s="8"/>
      <c r="AA555" s="8"/>
    </row>
    <row r="556" spans="1:27" ht="12.75">
      <c r="A556" s="8"/>
      <c r="B556" s="59"/>
      <c r="C556" s="59"/>
      <c r="D556" s="59"/>
      <c r="E556" s="59"/>
      <c r="F556" s="8"/>
      <c r="G556" s="8"/>
      <c r="H556" s="8"/>
      <c r="I556" s="8"/>
      <c r="J556" s="8"/>
      <c r="K556" s="8"/>
      <c r="L556" s="8"/>
      <c r="M556" s="8"/>
      <c r="N556" s="8"/>
      <c r="O556" s="8"/>
      <c r="P556" s="8"/>
      <c r="Q556" s="8"/>
      <c r="R556" s="8"/>
      <c r="S556" s="8"/>
      <c r="T556" s="8"/>
      <c r="U556" s="8"/>
      <c r="V556" s="8"/>
      <c r="W556" s="8"/>
      <c r="X556" s="8"/>
      <c r="Y556" s="8"/>
      <c r="Z556" s="8"/>
      <c r="AA556" s="8"/>
    </row>
    <row r="557" spans="1:27" ht="12.75">
      <c r="A557" s="8"/>
      <c r="B557" s="59"/>
      <c r="C557" s="59"/>
      <c r="D557" s="59"/>
      <c r="E557" s="59"/>
      <c r="F557" s="8"/>
      <c r="G557" s="8"/>
      <c r="H557" s="8"/>
      <c r="I557" s="8"/>
      <c r="J557" s="8"/>
      <c r="K557" s="8"/>
      <c r="L557" s="8"/>
      <c r="M557" s="8"/>
      <c r="N557" s="8"/>
      <c r="O557" s="8"/>
      <c r="P557" s="8"/>
      <c r="Q557" s="8"/>
      <c r="R557" s="8"/>
      <c r="S557" s="8"/>
      <c r="T557" s="8"/>
      <c r="U557" s="8"/>
      <c r="V557" s="8"/>
      <c r="W557" s="8"/>
      <c r="X557" s="8"/>
      <c r="Y557" s="8"/>
      <c r="Z557" s="8"/>
      <c r="AA557" s="8"/>
    </row>
    <row r="558" spans="1:27" ht="12.75">
      <c r="A558" s="8"/>
      <c r="B558" s="59"/>
      <c r="C558" s="59"/>
      <c r="D558" s="59"/>
      <c r="E558" s="59"/>
      <c r="F558" s="8"/>
      <c r="G558" s="8"/>
      <c r="H558" s="8"/>
      <c r="I558" s="8"/>
      <c r="J558" s="8"/>
      <c r="K558" s="8"/>
      <c r="L558" s="8"/>
      <c r="M558" s="8"/>
      <c r="N558" s="8"/>
      <c r="O558" s="8"/>
      <c r="P558" s="8"/>
      <c r="Q558" s="8"/>
      <c r="R558" s="8"/>
      <c r="S558" s="8"/>
      <c r="T558" s="8"/>
      <c r="U558" s="8"/>
      <c r="V558" s="8"/>
      <c r="W558" s="8"/>
      <c r="X558" s="8"/>
      <c r="Y558" s="8"/>
      <c r="Z558" s="8"/>
      <c r="AA558" s="8"/>
    </row>
    <row r="559" spans="1:27" ht="12.75">
      <c r="A559" s="8"/>
      <c r="B559" s="59"/>
      <c r="C559" s="59"/>
      <c r="D559" s="59"/>
      <c r="E559" s="59"/>
      <c r="F559" s="8"/>
      <c r="G559" s="8"/>
      <c r="H559" s="8"/>
      <c r="I559" s="8"/>
      <c r="J559" s="8"/>
      <c r="K559" s="8"/>
      <c r="L559" s="8"/>
      <c r="M559" s="8"/>
      <c r="N559" s="8"/>
      <c r="O559" s="8"/>
      <c r="P559" s="8"/>
      <c r="Q559" s="8"/>
      <c r="R559" s="8"/>
      <c r="S559" s="8"/>
      <c r="T559" s="8"/>
      <c r="U559" s="8"/>
      <c r="V559" s="8"/>
      <c r="W559" s="8"/>
      <c r="X559" s="8"/>
      <c r="Y559" s="8"/>
      <c r="Z559" s="8"/>
      <c r="AA559" s="8"/>
    </row>
    <row r="560" spans="1:27" ht="12.75">
      <c r="A560" s="8"/>
      <c r="B560" s="59"/>
      <c r="C560" s="59"/>
      <c r="D560" s="59"/>
      <c r="E560" s="59"/>
      <c r="F560" s="8"/>
      <c r="G560" s="8"/>
      <c r="H560" s="8"/>
      <c r="I560" s="8"/>
      <c r="J560" s="8"/>
      <c r="K560" s="8"/>
      <c r="L560" s="8"/>
      <c r="M560" s="8"/>
      <c r="N560" s="8"/>
      <c r="O560" s="8"/>
      <c r="P560" s="8"/>
      <c r="Q560" s="8"/>
      <c r="R560" s="8"/>
      <c r="S560" s="8"/>
      <c r="T560" s="8"/>
      <c r="U560" s="8"/>
      <c r="V560" s="8"/>
      <c r="W560" s="8"/>
      <c r="X560" s="8"/>
      <c r="Y560" s="8"/>
      <c r="Z560" s="8"/>
      <c r="AA560" s="8"/>
    </row>
    <row r="561" spans="1:27" ht="12.75">
      <c r="A561" s="8"/>
      <c r="B561" s="59"/>
      <c r="C561" s="59"/>
      <c r="D561" s="59"/>
      <c r="E561" s="59"/>
      <c r="F561" s="8"/>
      <c r="G561" s="8"/>
      <c r="H561" s="8"/>
      <c r="I561" s="8"/>
      <c r="J561" s="8"/>
      <c r="K561" s="8"/>
      <c r="L561" s="8"/>
      <c r="M561" s="8"/>
      <c r="N561" s="8"/>
      <c r="O561" s="8"/>
      <c r="P561" s="8"/>
      <c r="Q561" s="8"/>
      <c r="R561" s="8"/>
      <c r="S561" s="8"/>
      <c r="T561" s="8"/>
      <c r="U561" s="8"/>
      <c r="V561" s="8"/>
      <c r="W561" s="8"/>
      <c r="X561" s="8"/>
      <c r="Y561" s="8"/>
      <c r="Z561" s="8"/>
      <c r="AA561" s="8"/>
    </row>
    <row r="562" spans="1:27" ht="12.75">
      <c r="A562" s="8"/>
      <c r="B562" s="59"/>
      <c r="C562" s="59"/>
      <c r="D562" s="59"/>
      <c r="E562" s="59"/>
      <c r="F562" s="8"/>
      <c r="G562" s="8"/>
      <c r="H562" s="8"/>
      <c r="I562" s="8"/>
      <c r="J562" s="8"/>
      <c r="K562" s="8"/>
      <c r="L562" s="8"/>
      <c r="M562" s="8"/>
      <c r="N562" s="8"/>
      <c r="O562" s="8"/>
      <c r="P562" s="8"/>
      <c r="Q562" s="8"/>
      <c r="R562" s="8"/>
      <c r="S562" s="8"/>
      <c r="T562" s="8"/>
      <c r="U562" s="8"/>
      <c r="V562" s="8"/>
      <c r="W562" s="8"/>
      <c r="X562" s="8"/>
      <c r="Y562" s="8"/>
      <c r="Z562" s="8"/>
      <c r="AA562" s="8"/>
    </row>
    <row r="563" spans="1:27" ht="12.75">
      <c r="A563" s="8"/>
      <c r="B563" s="59"/>
      <c r="C563" s="59"/>
      <c r="D563" s="59"/>
      <c r="E563" s="59"/>
      <c r="F563" s="8"/>
      <c r="G563" s="8"/>
      <c r="H563" s="8"/>
      <c r="I563" s="8"/>
      <c r="J563" s="8"/>
      <c r="K563" s="8"/>
      <c r="L563" s="8"/>
      <c r="M563" s="8"/>
      <c r="N563" s="8"/>
      <c r="O563" s="8"/>
      <c r="P563" s="8"/>
      <c r="Q563" s="8"/>
      <c r="R563" s="8"/>
      <c r="S563" s="8"/>
      <c r="T563" s="8"/>
      <c r="U563" s="8"/>
      <c r="V563" s="8"/>
      <c r="W563" s="8"/>
      <c r="X563" s="8"/>
      <c r="Y563" s="8"/>
      <c r="Z563" s="8"/>
      <c r="AA563" s="8"/>
    </row>
    <row r="564" spans="1:27" ht="12.75">
      <c r="A564" s="8"/>
      <c r="B564" s="59"/>
      <c r="C564" s="59"/>
      <c r="D564" s="59"/>
      <c r="E564" s="59"/>
      <c r="F564" s="8"/>
      <c r="G564" s="8"/>
      <c r="H564" s="8"/>
      <c r="I564" s="8"/>
      <c r="J564" s="8"/>
      <c r="K564" s="8"/>
      <c r="L564" s="8"/>
      <c r="M564" s="8"/>
      <c r="N564" s="8"/>
      <c r="O564" s="8"/>
      <c r="P564" s="8"/>
      <c r="Q564" s="8"/>
      <c r="R564" s="8"/>
      <c r="S564" s="8"/>
      <c r="T564" s="8"/>
      <c r="U564" s="8"/>
      <c r="V564" s="8"/>
      <c r="W564" s="8"/>
      <c r="X564" s="8"/>
      <c r="Y564" s="8"/>
      <c r="Z564" s="8"/>
      <c r="AA564" s="8"/>
    </row>
    <row r="565" spans="1:27" ht="12.75">
      <c r="A565" s="8"/>
      <c r="B565" s="59"/>
      <c r="C565" s="59"/>
      <c r="D565" s="59"/>
      <c r="E565" s="59"/>
      <c r="F565" s="8"/>
      <c r="G565" s="8"/>
      <c r="H565" s="8"/>
      <c r="I565" s="8"/>
      <c r="J565" s="8"/>
      <c r="K565" s="8"/>
      <c r="L565" s="8"/>
      <c r="M565" s="8"/>
      <c r="N565" s="8"/>
      <c r="O565" s="8"/>
      <c r="P565" s="8"/>
      <c r="Q565" s="8"/>
      <c r="R565" s="8"/>
      <c r="S565" s="8"/>
      <c r="T565" s="8"/>
      <c r="U565" s="8"/>
      <c r="V565" s="8"/>
      <c r="W565" s="8"/>
      <c r="X565" s="8"/>
      <c r="Y565" s="8"/>
      <c r="Z565" s="8"/>
      <c r="AA565" s="8"/>
    </row>
    <row r="566" spans="1:27" ht="12.75">
      <c r="A566" s="8"/>
      <c r="B566" s="59"/>
      <c r="C566" s="59"/>
      <c r="D566" s="59"/>
      <c r="E566" s="59"/>
      <c r="F566" s="8"/>
      <c r="G566" s="8"/>
      <c r="H566" s="8"/>
      <c r="I566" s="8"/>
      <c r="J566" s="8"/>
      <c r="K566" s="8"/>
      <c r="L566" s="8"/>
      <c r="M566" s="8"/>
      <c r="N566" s="8"/>
      <c r="O566" s="8"/>
      <c r="P566" s="8"/>
      <c r="Q566" s="8"/>
      <c r="R566" s="8"/>
      <c r="S566" s="8"/>
      <c r="T566" s="8"/>
      <c r="U566" s="8"/>
      <c r="V566" s="8"/>
      <c r="W566" s="8"/>
      <c r="X566" s="8"/>
      <c r="Y566" s="8"/>
      <c r="Z566" s="8"/>
      <c r="AA566" s="8"/>
    </row>
    <row r="567" spans="1:27" ht="12.75">
      <c r="A567" s="8"/>
      <c r="B567" s="59"/>
      <c r="C567" s="59"/>
      <c r="D567" s="59"/>
      <c r="E567" s="59"/>
      <c r="F567" s="8"/>
      <c r="G567" s="8"/>
      <c r="H567" s="8"/>
      <c r="I567" s="8"/>
      <c r="J567" s="8"/>
      <c r="K567" s="8"/>
      <c r="L567" s="8"/>
      <c r="M567" s="8"/>
      <c r="N567" s="8"/>
      <c r="O567" s="8"/>
      <c r="P567" s="8"/>
      <c r="Q567" s="8"/>
      <c r="R567" s="8"/>
      <c r="S567" s="8"/>
      <c r="T567" s="8"/>
      <c r="U567" s="8"/>
      <c r="V567" s="8"/>
      <c r="W567" s="8"/>
      <c r="X567" s="8"/>
      <c r="Y567" s="8"/>
      <c r="Z567" s="8"/>
      <c r="AA567" s="8"/>
    </row>
    <row r="568" spans="1:27" ht="12.75">
      <c r="A568" s="8"/>
      <c r="B568" s="59"/>
      <c r="C568" s="59"/>
      <c r="D568" s="59"/>
      <c r="E568" s="59"/>
      <c r="F568" s="8"/>
      <c r="G568" s="8"/>
      <c r="H568" s="8"/>
      <c r="I568" s="8"/>
      <c r="J568" s="8"/>
      <c r="K568" s="8"/>
      <c r="L568" s="8"/>
      <c r="M568" s="8"/>
      <c r="N568" s="8"/>
      <c r="O568" s="8"/>
      <c r="P568" s="8"/>
      <c r="Q568" s="8"/>
      <c r="R568" s="8"/>
      <c r="S568" s="8"/>
      <c r="T568" s="8"/>
      <c r="U568" s="8"/>
      <c r="V568" s="8"/>
      <c r="W568" s="8"/>
      <c r="X568" s="8"/>
      <c r="Y568" s="8"/>
      <c r="Z568" s="8"/>
      <c r="AA568" s="8"/>
    </row>
    <row r="569" spans="1:27" ht="12.75">
      <c r="A569" s="8"/>
      <c r="B569" s="59"/>
      <c r="C569" s="59"/>
      <c r="D569" s="59"/>
      <c r="E569" s="59"/>
      <c r="F569" s="8"/>
      <c r="G569" s="8"/>
      <c r="H569" s="8"/>
      <c r="I569" s="8"/>
      <c r="J569" s="8"/>
      <c r="K569" s="8"/>
      <c r="L569" s="8"/>
      <c r="M569" s="8"/>
      <c r="N569" s="8"/>
      <c r="O569" s="8"/>
      <c r="P569" s="8"/>
      <c r="Q569" s="8"/>
      <c r="R569" s="8"/>
      <c r="S569" s="8"/>
      <c r="T569" s="8"/>
      <c r="U569" s="8"/>
      <c r="V569" s="8"/>
      <c r="W569" s="8"/>
      <c r="X569" s="8"/>
      <c r="Y569" s="8"/>
      <c r="Z569" s="8"/>
      <c r="AA569" s="8"/>
    </row>
    <row r="570" spans="1:27" ht="12.75">
      <c r="A570" s="8"/>
      <c r="B570" s="59"/>
      <c r="C570" s="59"/>
      <c r="D570" s="59"/>
      <c r="E570" s="59"/>
      <c r="F570" s="8"/>
      <c r="G570" s="8"/>
      <c r="H570" s="8"/>
      <c r="I570" s="8"/>
      <c r="J570" s="8"/>
      <c r="K570" s="8"/>
      <c r="L570" s="8"/>
      <c r="M570" s="8"/>
      <c r="N570" s="8"/>
      <c r="O570" s="8"/>
      <c r="P570" s="8"/>
      <c r="Q570" s="8"/>
      <c r="R570" s="8"/>
      <c r="S570" s="8"/>
      <c r="T570" s="8"/>
      <c r="U570" s="8"/>
      <c r="V570" s="8"/>
      <c r="W570" s="8"/>
      <c r="X570" s="8"/>
      <c r="Y570" s="8"/>
      <c r="Z570" s="8"/>
      <c r="AA570" s="8"/>
    </row>
    <row r="571" spans="1:27" ht="12.75">
      <c r="A571" s="8"/>
      <c r="B571" s="59"/>
      <c r="C571" s="59"/>
      <c r="D571" s="59"/>
      <c r="E571" s="59"/>
      <c r="F571" s="8"/>
      <c r="G571" s="8"/>
      <c r="H571" s="8"/>
      <c r="I571" s="8"/>
      <c r="J571" s="8"/>
      <c r="K571" s="8"/>
      <c r="L571" s="8"/>
      <c r="M571" s="8"/>
      <c r="N571" s="8"/>
      <c r="O571" s="8"/>
      <c r="P571" s="8"/>
      <c r="Q571" s="8"/>
      <c r="R571" s="8"/>
      <c r="S571" s="8"/>
      <c r="T571" s="8"/>
      <c r="U571" s="8"/>
      <c r="V571" s="8"/>
      <c r="W571" s="8"/>
      <c r="X571" s="8"/>
      <c r="Y571" s="8"/>
      <c r="Z571" s="8"/>
      <c r="AA571" s="8"/>
    </row>
    <row r="572" spans="1:27" ht="12.75">
      <c r="A572" s="8"/>
      <c r="B572" s="59"/>
      <c r="C572" s="59"/>
      <c r="D572" s="59"/>
      <c r="E572" s="59"/>
      <c r="F572" s="8"/>
      <c r="G572" s="8"/>
      <c r="H572" s="8"/>
      <c r="I572" s="8"/>
      <c r="J572" s="8"/>
      <c r="K572" s="8"/>
      <c r="L572" s="8"/>
      <c r="M572" s="8"/>
      <c r="N572" s="8"/>
      <c r="O572" s="8"/>
      <c r="P572" s="8"/>
      <c r="Q572" s="8"/>
      <c r="R572" s="8"/>
      <c r="S572" s="8"/>
      <c r="T572" s="8"/>
      <c r="U572" s="8"/>
      <c r="V572" s="8"/>
      <c r="W572" s="8"/>
      <c r="X572" s="8"/>
      <c r="Y572" s="8"/>
      <c r="Z572" s="8"/>
      <c r="AA572" s="8"/>
    </row>
    <row r="573" spans="1:27" ht="12.75">
      <c r="A573" s="8"/>
      <c r="B573" s="59"/>
      <c r="C573" s="59"/>
      <c r="D573" s="59"/>
      <c r="E573" s="59"/>
      <c r="F573" s="8"/>
      <c r="G573" s="8"/>
      <c r="H573" s="8"/>
      <c r="I573" s="8"/>
      <c r="J573" s="8"/>
      <c r="K573" s="8"/>
      <c r="L573" s="8"/>
      <c r="M573" s="8"/>
      <c r="N573" s="8"/>
      <c r="O573" s="8"/>
      <c r="P573" s="8"/>
      <c r="Q573" s="8"/>
      <c r="R573" s="8"/>
      <c r="S573" s="8"/>
      <c r="T573" s="8"/>
      <c r="U573" s="8"/>
      <c r="V573" s="8"/>
      <c r="W573" s="8"/>
      <c r="X573" s="8"/>
      <c r="Y573" s="8"/>
      <c r="Z573" s="8"/>
      <c r="AA573" s="8"/>
    </row>
    <row r="574" spans="1:27" ht="12.75">
      <c r="A574" s="8"/>
      <c r="B574" s="59"/>
      <c r="C574" s="59"/>
      <c r="D574" s="59"/>
      <c r="E574" s="59"/>
      <c r="F574" s="8"/>
      <c r="G574" s="8"/>
      <c r="H574" s="8"/>
      <c r="I574" s="8"/>
      <c r="J574" s="8"/>
      <c r="K574" s="8"/>
      <c r="L574" s="8"/>
      <c r="M574" s="8"/>
      <c r="N574" s="8"/>
      <c r="O574" s="8"/>
      <c r="P574" s="8"/>
      <c r="Q574" s="8"/>
      <c r="R574" s="8"/>
      <c r="S574" s="8"/>
      <c r="T574" s="8"/>
      <c r="U574" s="8"/>
      <c r="V574" s="8"/>
      <c r="W574" s="8"/>
      <c r="X574" s="8"/>
      <c r="Y574" s="8"/>
      <c r="Z574" s="8"/>
      <c r="AA574" s="8"/>
    </row>
    <row r="575" spans="1:27" ht="12.75">
      <c r="A575" s="8"/>
      <c r="B575" s="59"/>
      <c r="C575" s="59"/>
      <c r="D575" s="59"/>
      <c r="E575" s="59"/>
      <c r="F575" s="8"/>
      <c r="G575" s="8"/>
      <c r="H575" s="8"/>
      <c r="I575" s="8"/>
      <c r="J575" s="8"/>
      <c r="K575" s="8"/>
      <c r="L575" s="8"/>
      <c r="M575" s="8"/>
      <c r="N575" s="8"/>
      <c r="O575" s="8"/>
      <c r="P575" s="8"/>
      <c r="Q575" s="8"/>
      <c r="R575" s="8"/>
      <c r="S575" s="8"/>
      <c r="T575" s="8"/>
      <c r="U575" s="8"/>
      <c r="V575" s="8"/>
      <c r="W575" s="8"/>
      <c r="X575" s="8"/>
      <c r="Y575" s="8"/>
      <c r="Z575" s="8"/>
      <c r="AA575" s="8"/>
    </row>
    <row r="576" spans="1:27" ht="12.75">
      <c r="A576" s="8"/>
      <c r="B576" s="59"/>
      <c r="C576" s="59"/>
      <c r="D576" s="59"/>
      <c r="E576" s="59"/>
      <c r="F576" s="8"/>
      <c r="G576" s="8"/>
      <c r="H576" s="8"/>
      <c r="I576" s="8"/>
      <c r="J576" s="8"/>
      <c r="K576" s="8"/>
      <c r="L576" s="8"/>
      <c r="M576" s="8"/>
      <c r="N576" s="8"/>
      <c r="O576" s="8"/>
      <c r="P576" s="8"/>
      <c r="Q576" s="8"/>
      <c r="R576" s="8"/>
      <c r="S576" s="8"/>
      <c r="T576" s="8"/>
      <c r="U576" s="8"/>
      <c r="V576" s="8"/>
      <c r="W576" s="8"/>
      <c r="X576" s="8"/>
      <c r="Y576" s="8"/>
      <c r="Z576" s="8"/>
      <c r="AA576" s="8"/>
    </row>
    <row r="577" spans="1:27" ht="12.75">
      <c r="A577" s="8"/>
      <c r="B577" s="59"/>
      <c r="C577" s="59"/>
      <c r="D577" s="59"/>
      <c r="E577" s="59"/>
      <c r="F577" s="8"/>
      <c r="G577" s="8"/>
      <c r="H577" s="8"/>
      <c r="I577" s="8"/>
      <c r="J577" s="8"/>
      <c r="K577" s="8"/>
      <c r="L577" s="8"/>
      <c r="M577" s="8"/>
      <c r="N577" s="8"/>
      <c r="O577" s="8"/>
      <c r="P577" s="8"/>
      <c r="Q577" s="8"/>
      <c r="R577" s="8"/>
      <c r="S577" s="8"/>
      <c r="T577" s="8"/>
      <c r="U577" s="8"/>
      <c r="V577" s="8"/>
      <c r="W577" s="8"/>
      <c r="X577" s="8"/>
      <c r="Y577" s="8"/>
      <c r="Z577" s="8"/>
      <c r="AA577" s="8"/>
    </row>
    <row r="578" spans="1:27" ht="12.75">
      <c r="A578" s="8"/>
      <c r="B578" s="59"/>
      <c r="C578" s="59"/>
      <c r="D578" s="59"/>
      <c r="E578" s="59"/>
      <c r="F578" s="8"/>
      <c r="G578" s="8"/>
      <c r="H578" s="8"/>
      <c r="I578" s="8"/>
      <c r="J578" s="8"/>
      <c r="K578" s="8"/>
      <c r="L578" s="8"/>
      <c r="M578" s="8"/>
      <c r="N578" s="8"/>
      <c r="O578" s="8"/>
      <c r="P578" s="8"/>
      <c r="Q578" s="8"/>
      <c r="R578" s="8"/>
      <c r="S578" s="8"/>
      <c r="T578" s="8"/>
      <c r="U578" s="8"/>
      <c r="V578" s="8"/>
      <c r="W578" s="8"/>
      <c r="X578" s="8"/>
      <c r="Y578" s="8"/>
      <c r="Z578" s="8"/>
      <c r="AA578" s="8"/>
    </row>
    <row r="579" spans="1:27" ht="12.75">
      <c r="A579" s="8"/>
      <c r="B579" s="59"/>
      <c r="C579" s="59"/>
      <c r="D579" s="59"/>
      <c r="E579" s="59"/>
      <c r="F579" s="8"/>
      <c r="G579" s="8"/>
      <c r="H579" s="8"/>
      <c r="I579" s="8"/>
      <c r="J579" s="8"/>
      <c r="K579" s="8"/>
      <c r="L579" s="8"/>
      <c r="M579" s="8"/>
      <c r="N579" s="8"/>
      <c r="O579" s="8"/>
      <c r="P579" s="8"/>
      <c r="Q579" s="8"/>
      <c r="R579" s="8"/>
      <c r="S579" s="8"/>
      <c r="T579" s="8"/>
      <c r="U579" s="8"/>
      <c r="V579" s="8"/>
      <c r="W579" s="8"/>
      <c r="X579" s="8"/>
      <c r="Y579" s="8"/>
      <c r="Z579" s="8"/>
      <c r="AA579" s="8"/>
    </row>
    <row r="580" spans="1:27" ht="12.75">
      <c r="A580" s="8"/>
      <c r="B580" s="59"/>
      <c r="C580" s="59"/>
      <c r="D580" s="59"/>
      <c r="E580" s="59"/>
      <c r="F580" s="8"/>
      <c r="G580" s="8"/>
      <c r="H580" s="8"/>
      <c r="I580" s="8"/>
      <c r="J580" s="8"/>
      <c r="K580" s="8"/>
      <c r="L580" s="8"/>
      <c r="M580" s="8"/>
      <c r="N580" s="8"/>
      <c r="O580" s="8"/>
      <c r="P580" s="8"/>
      <c r="Q580" s="8"/>
      <c r="R580" s="8"/>
      <c r="S580" s="8"/>
      <c r="T580" s="8"/>
      <c r="U580" s="8"/>
      <c r="V580" s="8"/>
      <c r="W580" s="8"/>
      <c r="X580" s="8"/>
      <c r="Y580" s="8"/>
      <c r="Z580" s="8"/>
      <c r="AA580" s="8"/>
    </row>
    <row r="581" spans="1:27" ht="12.75">
      <c r="A581" s="8"/>
      <c r="B581" s="59"/>
      <c r="C581" s="59"/>
      <c r="D581" s="59"/>
      <c r="E581" s="59"/>
      <c r="F581" s="8"/>
      <c r="G581" s="8"/>
      <c r="H581" s="8"/>
      <c r="I581" s="8"/>
      <c r="J581" s="8"/>
      <c r="K581" s="8"/>
      <c r="L581" s="8"/>
      <c r="M581" s="8"/>
      <c r="N581" s="8"/>
      <c r="O581" s="8"/>
      <c r="P581" s="8"/>
      <c r="Q581" s="8"/>
      <c r="R581" s="8"/>
      <c r="S581" s="8"/>
      <c r="T581" s="8"/>
      <c r="U581" s="8"/>
      <c r="V581" s="8"/>
      <c r="W581" s="8"/>
      <c r="X581" s="8"/>
      <c r="Y581" s="8"/>
      <c r="Z581" s="8"/>
      <c r="AA581" s="8"/>
    </row>
    <row r="582" spans="1:27" ht="12.75">
      <c r="A582" s="8"/>
      <c r="B582" s="59"/>
      <c r="C582" s="59"/>
      <c r="D582" s="59"/>
      <c r="E582" s="59"/>
      <c r="F582" s="8"/>
      <c r="G582" s="8"/>
      <c r="H582" s="8"/>
      <c r="I582" s="8"/>
      <c r="J582" s="8"/>
      <c r="K582" s="8"/>
      <c r="L582" s="8"/>
      <c r="M582" s="8"/>
      <c r="N582" s="8"/>
      <c r="O582" s="8"/>
      <c r="P582" s="8"/>
      <c r="Q582" s="8"/>
      <c r="R582" s="8"/>
      <c r="S582" s="8"/>
      <c r="T582" s="8"/>
      <c r="U582" s="8"/>
      <c r="V582" s="8"/>
      <c r="W582" s="8"/>
      <c r="X582" s="8"/>
      <c r="Y582" s="8"/>
      <c r="Z582" s="8"/>
      <c r="AA582" s="8"/>
    </row>
    <row r="583" spans="1:27" ht="12.75">
      <c r="A583" s="8"/>
      <c r="B583" s="59"/>
      <c r="C583" s="59"/>
      <c r="D583" s="59"/>
      <c r="E583" s="59"/>
      <c r="F583" s="8"/>
      <c r="G583" s="8"/>
      <c r="H583" s="8"/>
      <c r="I583" s="8"/>
      <c r="J583" s="8"/>
      <c r="K583" s="8"/>
      <c r="L583" s="8"/>
      <c r="M583" s="8"/>
      <c r="N583" s="8"/>
      <c r="O583" s="8"/>
      <c r="P583" s="8"/>
      <c r="Q583" s="8"/>
      <c r="R583" s="8"/>
      <c r="S583" s="8"/>
      <c r="T583" s="8"/>
      <c r="U583" s="8"/>
      <c r="V583" s="8"/>
      <c r="W583" s="8"/>
      <c r="X583" s="8"/>
      <c r="Y583" s="8"/>
      <c r="Z583" s="8"/>
      <c r="AA583" s="8"/>
    </row>
    <row r="584" spans="1:27" ht="12.75">
      <c r="A584" s="8"/>
      <c r="B584" s="59"/>
      <c r="C584" s="59"/>
      <c r="D584" s="59"/>
      <c r="E584" s="59"/>
      <c r="F584" s="8"/>
      <c r="G584" s="8"/>
      <c r="H584" s="8"/>
      <c r="I584" s="8"/>
      <c r="J584" s="8"/>
      <c r="K584" s="8"/>
      <c r="L584" s="8"/>
      <c r="M584" s="8"/>
      <c r="N584" s="8"/>
      <c r="O584" s="8"/>
      <c r="P584" s="8"/>
      <c r="Q584" s="8"/>
      <c r="R584" s="8"/>
      <c r="S584" s="8"/>
      <c r="T584" s="8"/>
      <c r="U584" s="8"/>
      <c r="V584" s="8"/>
      <c r="W584" s="8"/>
      <c r="X584" s="8"/>
      <c r="Y584" s="8"/>
      <c r="Z584" s="8"/>
      <c r="AA584" s="8"/>
    </row>
    <row r="585" spans="1:27" ht="12.75">
      <c r="A585" s="8"/>
      <c r="B585" s="59"/>
      <c r="C585" s="59"/>
      <c r="D585" s="59"/>
      <c r="E585" s="59"/>
      <c r="F585" s="8"/>
      <c r="G585" s="8"/>
      <c r="H585" s="8"/>
      <c r="I585" s="8"/>
      <c r="J585" s="8"/>
      <c r="K585" s="8"/>
      <c r="L585" s="8"/>
      <c r="M585" s="8"/>
      <c r="N585" s="8"/>
      <c r="O585" s="8"/>
      <c r="P585" s="8"/>
      <c r="Q585" s="8"/>
      <c r="R585" s="8"/>
      <c r="S585" s="8"/>
      <c r="T585" s="8"/>
      <c r="U585" s="8"/>
      <c r="V585" s="8"/>
      <c r="W585" s="8"/>
      <c r="X585" s="8"/>
      <c r="Y585" s="8"/>
      <c r="Z585" s="8"/>
      <c r="AA585" s="8"/>
    </row>
    <row r="586" spans="1:27" ht="12.75">
      <c r="A586" s="8"/>
      <c r="B586" s="59"/>
      <c r="C586" s="59"/>
      <c r="D586" s="59"/>
      <c r="E586" s="59"/>
      <c r="F586" s="8"/>
      <c r="G586" s="8"/>
      <c r="H586" s="8"/>
      <c r="I586" s="8"/>
      <c r="J586" s="8"/>
      <c r="K586" s="8"/>
      <c r="L586" s="8"/>
      <c r="M586" s="8"/>
      <c r="N586" s="8"/>
      <c r="O586" s="8"/>
      <c r="P586" s="8"/>
      <c r="Q586" s="8"/>
      <c r="R586" s="8"/>
      <c r="S586" s="8"/>
      <c r="T586" s="8"/>
      <c r="U586" s="8"/>
      <c r="V586" s="8"/>
      <c r="W586" s="8"/>
      <c r="X586" s="8"/>
      <c r="Y586" s="8"/>
      <c r="Z586" s="8"/>
      <c r="AA586" s="8"/>
    </row>
    <row r="587" spans="1:27" ht="12.75">
      <c r="A587" s="8"/>
      <c r="B587" s="59"/>
      <c r="C587" s="59"/>
      <c r="D587" s="59"/>
      <c r="E587" s="59"/>
      <c r="F587" s="8"/>
      <c r="G587" s="8"/>
      <c r="H587" s="8"/>
      <c r="I587" s="8"/>
      <c r="J587" s="8"/>
      <c r="K587" s="8"/>
      <c r="L587" s="8"/>
      <c r="M587" s="8"/>
      <c r="N587" s="8"/>
      <c r="O587" s="8"/>
      <c r="P587" s="8"/>
      <c r="Q587" s="8"/>
      <c r="R587" s="8"/>
      <c r="S587" s="8"/>
      <c r="T587" s="8"/>
      <c r="U587" s="8"/>
      <c r="V587" s="8"/>
      <c r="W587" s="8"/>
      <c r="X587" s="8"/>
      <c r="Y587" s="8"/>
      <c r="Z587" s="8"/>
      <c r="AA587" s="8"/>
    </row>
    <row r="588" spans="1:27" ht="12.75">
      <c r="A588" s="8"/>
      <c r="B588" s="59"/>
      <c r="C588" s="59"/>
      <c r="D588" s="59"/>
      <c r="E588" s="59"/>
      <c r="F588" s="8"/>
      <c r="G588" s="8"/>
      <c r="H588" s="8"/>
      <c r="I588" s="8"/>
      <c r="J588" s="8"/>
      <c r="K588" s="8"/>
      <c r="L588" s="8"/>
      <c r="M588" s="8"/>
      <c r="N588" s="8"/>
      <c r="O588" s="8"/>
      <c r="P588" s="8"/>
      <c r="Q588" s="8"/>
      <c r="R588" s="8"/>
      <c r="S588" s="8"/>
      <c r="T588" s="8"/>
      <c r="U588" s="8"/>
      <c r="V588" s="8"/>
      <c r="W588" s="8"/>
      <c r="X588" s="8"/>
      <c r="Y588" s="8"/>
      <c r="Z588" s="8"/>
      <c r="AA588" s="8"/>
    </row>
    <row r="589" spans="1:27" ht="12.75">
      <c r="A589" s="8"/>
      <c r="B589" s="59"/>
      <c r="C589" s="59"/>
      <c r="D589" s="59"/>
      <c r="E589" s="59"/>
      <c r="F589" s="8"/>
      <c r="G589" s="8"/>
      <c r="H589" s="8"/>
      <c r="I589" s="8"/>
      <c r="J589" s="8"/>
      <c r="K589" s="8"/>
      <c r="L589" s="8"/>
      <c r="M589" s="8"/>
      <c r="N589" s="8"/>
      <c r="O589" s="8"/>
      <c r="P589" s="8"/>
      <c r="Q589" s="8"/>
      <c r="R589" s="8"/>
      <c r="S589" s="8"/>
      <c r="T589" s="8"/>
      <c r="U589" s="8"/>
      <c r="V589" s="8"/>
      <c r="W589" s="8"/>
      <c r="X589" s="8"/>
      <c r="Y589" s="8"/>
      <c r="Z589" s="8"/>
      <c r="AA589" s="8"/>
    </row>
    <row r="590" spans="1:27" ht="12.75">
      <c r="A590" s="8"/>
      <c r="B590" s="59"/>
      <c r="C590" s="59"/>
      <c r="D590" s="59"/>
      <c r="E590" s="59"/>
      <c r="F590" s="8"/>
      <c r="G590" s="8"/>
      <c r="H590" s="8"/>
      <c r="I590" s="8"/>
      <c r="J590" s="8"/>
      <c r="K590" s="8"/>
      <c r="L590" s="8"/>
      <c r="M590" s="8"/>
      <c r="N590" s="8"/>
      <c r="O590" s="8"/>
      <c r="P590" s="8"/>
      <c r="Q590" s="8"/>
      <c r="R590" s="8"/>
      <c r="S590" s="8"/>
      <c r="T590" s="8"/>
      <c r="U590" s="8"/>
      <c r="V590" s="8"/>
      <c r="W590" s="8"/>
      <c r="X590" s="8"/>
      <c r="Y590" s="8"/>
      <c r="Z590" s="8"/>
      <c r="AA590" s="8"/>
    </row>
    <row r="591" spans="1:27" ht="12.75">
      <c r="A591" s="8"/>
      <c r="B591" s="59"/>
      <c r="C591" s="59"/>
      <c r="D591" s="59"/>
      <c r="E591" s="59"/>
      <c r="F591" s="8"/>
      <c r="G591" s="8"/>
      <c r="H591" s="8"/>
      <c r="I591" s="8"/>
      <c r="J591" s="8"/>
      <c r="K591" s="8"/>
      <c r="L591" s="8"/>
      <c r="M591" s="8"/>
      <c r="N591" s="8"/>
      <c r="O591" s="8"/>
      <c r="P591" s="8"/>
      <c r="Q591" s="8"/>
      <c r="R591" s="8"/>
      <c r="S591" s="8"/>
      <c r="T591" s="8"/>
      <c r="U591" s="8"/>
      <c r="V591" s="8"/>
      <c r="W591" s="8"/>
      <c r="X591" s="8"/>
      <c r="Y591" s="8"/>
      <c r="Z591" s="8"/>
      <c r="AA591" s="8"/>
    </row>
    <row r="592" spans="1:27" ht="12.75">
      <c r="A592" s="8"/>
      <c r="B592" s="59"/>
      <c r="C592" s="59"/>
      <c r="D592" s="59"/>
      <c r="E592" s="59"/>
      <c r="F592" s="8"/>
      <c r="G592" s="8"/>
      <c r="H592" s="8"/>
      <c r="I592" s="8"/>
      <c r="J592" s="8"/>
      <c r="K592" s="8"/>
      <c r="L592" s="8"/>
      <c r="M592" s="8"/>
      <c r="N592" s="8"/>
      <c r="O592" s="8"/>
      <c r="P592" s="8"/>
      <c r="Q592" s="8"/>
      <c r="R592" s="8"/>
      <c r="S592" s="8"/>
      <c r="T592" s="8"/>
      <c r="U592" s="8"/>
      <c r="V592" s="8"/>
      <c r="W592" s="8"/>
      <c r="X592" s="8"/>
      <c r="Y592" s="8"/>
      <c r="Z592" s="8"/>
      <c r="AA592" s="8"/>
    </row>
    <row r="593" spans="1:27" ht="12.75">
      <c r="A593" s="8"/>
      <c r="B593" s="59"/>
      <c r="C593" s="59"/>
      <c r="D593" s="59"/>
      <c r="E593" s="59"/>
      <c r="F593" s="8"/>
      <c r="G593" s="8"/>
      <c r="H593" s="8"/>
      <c r="I593" s="8"/>
      <c r="J593" s="8"/>
      <c r="K593" s="8"/>
      <c r="L593" s="8"/>
      <c r="M593" s="8"/>
      <c r="N593" s="8"/>
      <c r="O593" s="8"/>
      <c r="P593" s="8"/>
      <c r="Q593" s="8"/>
      <c r="R593" s="8"/>
      <c r="S593" s="8"/>
      <c r="T593" s="8"/>
      <c r="U593" s="8"/>
      <c r="V593" s="8"/>
      <c r="W593" s="8"/>
      <c r="X593" s="8"/>
      <c r="Y593" s="8"/>
      <c r="Z593" s="8"/>
      <c r="AA593" s="8"/>
    </row>
    <row r="594" spans="1:27" ht="12.75">
      <c r="A594" s="8"/>
      <c r="B594" s="59"/>
      <c r="C594" s="59"/>
      <c r="D594" s="59"/>
      <c r="E594" s="59"/>
      <c r="F594" s="8"/>
      <c r="G594" s="8"/>
      <c r="H594" s="8"/>
      <c r="I594" s="8"/>
      <c r="J594" s="8"/>
      <c r="K594" s="8"/>
      <c r="L594" s="8"/>
      <c r="M594" s="8"/>
      <c r="N594" s="8"/>
      <c r="O594" s="8"/>
      <c r="P594" s="8"/>
      <c r="Q594" s="8"/>
      <c r="R594" s="8"/>
      <c r="S594" s="8"/>
      <c r="T594" s="8"/>
      <c r="U594" s="8"/>
      <c r="V594" s="8"/>
      <c r="W594" s="8"/>
      <c r="X594" s="8"/>
      <c r="Y594" s="8"/>
      <c r="Z594" s="8"/>
      <c r="AA594" s="8"/>
    </row>
    <row r="595" spans="1:27" ht="12.75">
      <c r="A595" s="8"/>
      <c r="B595" s="59"/>
      <c r="C595" s="59"/>
      <c r="D595" s="59"/>
      <c r="E595" s="59"/>
      <c r="F595" s="8"/>
      <c r="G595" s="8"/>
      <c r="H595" s="8"/>
      <c r="I595" s="8"/>
      <c r="J595" s="8"/>
      <c r="K595" s="8"/>
      <c r="L595" s="8"/>
      <c r="M595" s="8"/>
      <c r="N595" s="8"/>
      <c r="O595" s="8"/>
      <c r="P595" s="8"/>
      <c r="Q595" s="8"/>
      <c r="R595" s="8"/>
      <c r="S595" s="8"/>
      <c r="T595" s="8"/>
      <c r="U595" s="8"/>
      <c r="V595" s="8"/>
      <c r="W595" s="8"/>
      <c r="X595" s="8"/>
      <c r="Y595" s="8"/>
      <c r="Z595" s="8"/>
      <c r="AA595" s="8"/>
    </row>
    <row r="596" spans="1:27" ht="12.75">
      <c r="A596" s="8"/>
      <c r="B596" s="59"/>
      <c r="C596" s="59"/>
      <c r="D596" s="59"/>
      <c r="E596" s="59"/>
      <c r="F596" s="8"/>
      <c r="G596" s="8"/>
      <c r="H596" s="8"/>
      <c r="I596" s="8"/>
      <c r="J596" s="8"/>
      <c r="K596" s="8"/>
      <c r="L596" s="8"/>
      <c r="M596" s="8"/>
      <c r="N596" s="8"/>
      <c r="O596" s="8"/>
      <c r="P596" s="8"/>
      <c r="Q596" s="8"/>
      <c r="R596" s="8"/>
      <c r="S596" s="8"/>
      <c r="T596" s="8"/>
      <c r="U596" s="8"/>
      <c r="V596" s="8"/>
      <c r="W596" s="8"/>
      <c r="X596" s="8"/>
      <c r="Y596" s="8"/>
      <c r="Z596" s="8"/>
      <c r="AA596" s="8"/>
    </row>
    <row r="597" spans="1:27" ht="12.75">
      <c r="A597" s="8"/>
      <c r="B597" s="59"/>
      <c r="C597" s="59"/>
      <c r="D597" s="59"/>
      <c r="E597" s="59"/>
      <c r="F597" s="8"/>
      <c r="G597" s="8"/>
      <c r="H597" s="8"/>
      <c r="I597" s="8"/>
      <c r="J597" s="8"/>
      <c r="K597" s="8"/>
      <c r="L597" s="8"/>
      <c r="M597" s="8"/>
      <c r="N597" s="8"/>
      <c r="O597" s="8"/>
      <c r="P597" s="8"/>
      <c r="Q597" s="8"/>
      <c r="R597" s="8"/>
      <c r="S597" s="8"/>
      <c r="T597" s="8"/>
      <c r="U597" s="8"/>
      <c r="V597" s="8"/>
      <c r="W597" s="8"/>
      <c r="X597" s="8"/>
      <c r="Y597" s="8"/>
      <c r="Z597" s="8"/>
      <c r="AA597" s="8"/>
    </row>
    <row r="598" spans="1:27" ht="12.75">
      <c r="A598" s="8"/>
      <c r="B598" s="59"/>
      <c r="C598" s="59"/>
      <c r="D598" s="59"/>
      <c r="E598" s="59"/>
      <c r="F598" s="8"/>
      <c r="G598" s="8"/>
      <c r="H598" s="8"/>
      <c r="I598" s="8"/>
      <c r="J598" s="8"/>
      <c r="K598" s="8"/>
      <c r="L598" s="8"/>
      <c r="M598" s="8"/>
      <c r="N598" s="8"/>
      <c r="O598" s="8"/>
      <c r="P598" s="8"/>
      <c r="Q598" s="8"/>
      <c r="R598" s="8"/>
      <c r="S598" s="8"/>
      <c r="T598" s="8"/>
      <c r="U598" s="8"/>
      <c r="V598" s="8"/>
      <c r="W598" s="8"/>
      <c r="X598" s="8"/>
      <c r="Y598" s="8"/>
      <c r="Z598" s="8"/>
      <c r="AA598" s="8"/>
    </row>
    <row r="599" spans="1:27" ht="12.75">
      <c r="A599" s="8"/>
      <c r="B599" s="59"/>
      <c r="C599" s="59"/>
      <c r="D599" s="59"/>
      <c r="E599" s="59"/>
      <c r="F599" s="8"/>
      <c r="G599" s="8"/>
      <c r="H599" s="8"/>
      <c r="I599" s="8"/>
      <c r="J599" s="8"/>
      <c r="K599" s="8"/>
      <c r="L599" s="8"/>
      <c r="M599" s="8"/>
      <c r="N599" s="8"/>
      <c r="O599" s="8"/>
      <c r="P599" s="8"/>
      <c r="Q599" s="8"/>
      <c r="R599" s="8"/>
      <c r="S599" s="8"/>
      <c r="T599" s="8"/>
      <c r="U599" s="8"/>
      <c r="V599" s="8"/>
      <c r="W599" s="8"/>
      <c r="X599" s="8"/>
      <c r="Y599" s="8"/>
      <c r="Z599" s="8"/>
      <c r="AA599" s="8"/>
    </row>
    <row r="600" spans="1:27" ht="12.75">
      <c r="A600" s="8"/>
      <c r="B600" s="59"/>
      <c r="C600" s="59"/>
      <c r="D600" s="59"/>
      <c r="E600" s="59"/>
      <c r="F600" s="8"/>
      <c r="G600" s="8"/>
      <c r="H600" s="8"/>
      <c r="I600" s="8"/>
      <c r="J600" s="8"/>
      <c r="K600" s="8"/>
      <c r="L600" s="8"/>
      <c r="M600" s="8"/>
      <c r="N600" s="8"/>
      <c r="O600" s="8"/>
      <c r="P600" s="8"/>
      <c r="Q600" s="8"/>
      <c r="R600" s="8"/>
      <c r="S600" s="8"/>
      <c r="T600" s="8"/>
      <c r="U600" s="8"/>
      <c r="V600" s="8"/>
      <c r="W600" s="8"/>
      <c r="X600" s="8"/>
      <c r="Y600" s="8"/>
      <c r="Z600" s="8"/>
      <c r="AA600" s="8"/>
    </row>
    <row r="601" spans="1:27" ht="12.75">
      <c r="A601" s="8"/>
      <c r="B601" s="59"/>
      <c r="C601" s="59"/>
      <c r="D601" s="59"/>
      <c r="E601" s="59"/>
      <c r="F601" s="8"/>
      <c r="G601" s="8"/>
      <c r="H601" s="8"/>
      <c r="I601" s="8"/>
      <c r="J601" s="8"/>
      <c r="K601" s="8"/>
      <c r="L601" s="8"/>
      <c r="M601" s="8"/>
      <c r="N601" s="8"/>
      <c r="O601" s="8"/>
      <c r="P601" s="8"/>
      <c r="Q601" s="8"/>
      <c r="R601" s="8"/>
      <c r="S601" s="8"/>
      <c r="T601" s="8"/>
      <c r="U601" s="8"/>
      <c r="V601" s="8"/>
      <c r="W601" s="8"/>
      <c r="X601" s="8"/>
      <c r="Y601" s="8"/>
      <c r="Z601" s="8"/>
      <c r="AA601" s="8"/>
    </row>
    <row r="602" spans="1:27" ht="12.75">
      <c r="A602" s="8"/>
      <c r="B602" s="59"/>
      <c r="C602" s="59"/>
      <c r="D602" s="59"/>
      <c r="E602" s="59"/>
      <c r="F602" s="8"/>
      <c r="G602" s="8"/>
      <c r="H602" s="8"/>
      <c r="I602" s="8"/>
      <c r="J602" s="8"/>
      <c r="K602" s="8"/>
      <c r="L602" s="8"/>
      <c r="M602" s="8"/>
      <c r="N602" s="8"/>
      <c r="O602" s="8"/>
      <c r="P602" s="8"/>
      <c r="Q602" s="8"/>
      <c r="R602" s="8"/>
      <c r="S602" s="8"/>
      <c r="T602" s="8"/>
      <c r="U602" s="8"/>
      <c r="V602" s="8"/>
      <c r="W602" s="8"/>
      <c r="X602" s="8"/>
      <c r="Y602" s="8"/>
      <c r="Z602" s="8"/>
      <c r="AA602" s="8"/>
    </row>
    <row r="603" spans="1:27" ht="12.75">
      <c r="A603" s="8"/>
      <c r="B603" s="59"/>
      <c r="C603" s="59"/>
      <c r="D603" s="59"/>
      <c r="E603" s="59"/>
      <c r="F603" s="8"/>
      <c r="G603" s="8"/>
      <c r="H603" s="8"/>
      <c r="I603" s="8"/>
      <c r="J603" s="8"/>
      <c r="K603" s="8"/>
      <c r="L603" s="8"/>
      <c r="M603" s="8"/>
      <c r="N603" s="8"/>
      <c r="O603" s="8"/>
      <c r="P603" s="8"/>
      <c r="Q603" s="8"/>
      <c r="R603" s="8"/>
      <c r="S603" s="8"/>
      <c r="T603" s="8"/>
      <c r="U603" s="8"/>
      <c r="V603" s="8"/>
      <c r="W603" s="8"/>
      <c r="X603" s="8"/>
      <c r="Y603" s="8"/>
      <c r="Z603" s="8"/>
      <c r="AA603" s="8"/>
    </row>
    <row r="604" spans="1:27" ht="12.75">
      <c r="A604" s="8"/>
      <c r="B604" s="59"/>
      <c r="C604" s="59"/>
      <c r="D604" s="59"/>
      <c r="E604" s="59"/>
      <c r="F604" s="8"/>
      <c r="G604" s="8"/>
      <c r="H604" s="8"/>
      <c r="I604" s="8"/>
      <c r="J604" s="8"/>
      <c r="K604" s="8"/>
      <c r="L604" s="8"/>
      <c r="M604" s="8"/>
      <c r="N604" s="8"/>
      <c r="O604" s="8"/>
      <c r="P604" s="8"/>
      <c r="Q604" s="8"/>
      <c r="R604" s="8"/>
      <c r="S604" s="8"/>
      <c r="T604" s="8"/>
      <c r="U604" s="8"/>
      <c r="V604" s="8"/>
      <c r="W604" s="8"/>
      <c r="X604" s="8"/>
      <c r="Y604" s="8"/>
      <c r="Z604" s="8"/>
      <c r="AA604" s="8"/>
    </row>
    <row r="605" spans="1:27" ht="12.75">
      <c r="A605" s="8"/>
      <c r="B605" s="59"/>
      <c r="C605" s="59"/>
      <c r="D605" s="59"/>
      <c r="E605" s="59"/>
      <c r="F605" s="8"/>
      <c r="G605" s="8"/>
      <c r="H605" s="8"/>
      <c r="I605" s="8"/>
      <c r="J605" s="8"/>
      <c r="K605" s="8"/>
      <c r="L605" s="8"/>
      <c r="M605" s="8"/>
      <c r="N605" s="8"/>
      <c r="O605" s="8"/>
      <c r="P605" s="8"/>
      <c r="Q605" s="8"/>
      <c r="R605" s="8"/>
      <c r="S605" s="8"/>
      <c r="T605" s="8"/>
      <c r="U605" s="8"/>
      <c r="V605" s="8"/>
      <c r="W605" s="8"/>
      <c r="X605" s="8"/>
      <c r="Y605" s="8"/>
      <c r="Z605" s="8"/>
      <c r="AA605" s="8"/>
    </row>
    <row r="606" spans="1:27" ht="12.75">
      <c r="A606" s="8"/>
      <c r="B606" s="59"/>
      <c r="C606" s="59"/>
      <c r="D606" s="59"/>
      <c r="E606" s="59"/>
      <c r="F606" s="8"/>
      <c r="G606" s="8"/>
      <c r="H606" s="8"/>
      <c r="I606" s="8"/>
      <c r="J606" s="8"/>
      <c r="K606" s="8"/>
      <c r="L606" s="8"/>
      <c r="M606" s="8"/>
      <c r="N606" s="8"/>
      <c r="O606" s="8"/>
      <c r="P606" s="8"/>
      <c r="Q606" s="8"/>
      <c r="R606" s="8"/>
      <c r="S606" s="8"/>
      <c r="T606" s="8"/>
      <c r="U606" s="8"/>
      <c r="V606" s="8"/>
      <c r="W606" s="8"/>
      <c r="X606" s="8"/>
      <c r="Y606" s="8"/>
      <c r="Z606" s="8"/>
      <c r="AA606" s="8"/>
    </row>
    <row r="607" spans="1:27" ht="12.75">
      <c r="A607" s="8"/>
      <c r="B607" s="59"/>
      <c r="C607" s="59"/>
      <c r="D607" s="59"/>
      <c r="E607" s="59"/>
      <c r="F607" s="8"/>
      <c r="G607" s="8"/>
      <c r="H607" s="8"/>
      <c r="I607" s="8"/>
      <c r="J607" s="8"/>
      <c r="K607" s="8"/>
      <c r="L607" s="8"/>
      <c r="M607" s="8"/>
      <c r="N607" s="8"/>
      <c r="O607" s="8"/>
      <c r="P607" s="8"/>
      <c r="Q607" s="8"/>
      <c r="R607" s="8"/>
      <c r="S607" s="8"/>
      <c r="T607" s="8"/>
      <c r="U607" s="8"/>
      <c r="V607" s="8"/>
      <c r="W607" s="8"/>
      <c r="X607" s="8"/>
      <c r="Y607" s="8"/>
      <c r="Z607" s="8"/>
      <c r="AA607" s="8"/>
    </row>
    <row r="608" spans="1:27" ht="12.75">
      <c r="A608" s="8"/>
      <c r="B608" s="59"/>
      <c r="C608" s="59"/>
      <c r="D608" s="59"/>
      <c r="E608" s="59"/>
      <c r="F608" s="8"/>
      <c r="G608" s="8"/>
      <c r="H608" s="8"/>
      <c r="I608" s="8"/>
      <c r="J608" s="8"/>
      <c r="K608" s="8"/>
      <c r="L608" s="8"/>
      <c r="M608" s="8"/>
      <c r="N608" s="8"/>
      <c r="O608" s="8"/>
      <c r="P608" s="8"/>
      <c r="Q608" s="8"/>
      <c r="R608" s="8"/>
      <c r="S608" s="8"/>
      <c r="T608" s="8"/>
      <c r="U608" s="8"/>
      <c r="V608" s="8"/>
      <c r="W608" s="8"/>
      <c r="X608" s="8"/>
      <c r="Y608" s="8"/>
      <c r="Z608" s="8"/>
      <c r="AA608" s="8"/>
    </row>
    <row r="609" spans="1:27" ht="12.75">
      <c r="A609" s="8"/>
      <c r="B609" s="59"/>
      <c r="C609" s="59"/>
      <c r="D609" s="59"/>
      <c r="E609" s="59"/>
      <c r="F609" s="8"/>
      <c r="G609" s="8"/>
      <c r="H609" s="8"/>
      <c r="I609" s="8"/>
      <c r="J609" s="8"/>
      <c r="K609" s="8"/>
      <c r="L609" s="8"/>
      <c r="M609" s="8"/>
      <c r="N609" s="8"/>
      <c r="O609" s="8"/>
      <c r="P609" s="8"/>
      <c r="Q609" s="8"/>
      <c r="R609" s="8"/>
      <c r="S609" s="8"/>
      <c r="T609" s="8"/>
      <c r="U609" s="8"/>
      <c r="V609" s="8"/>
      <c r="W609" s="8"/>
      <c r="X609" s="8"/>
      <c r="Y609" s="8"/>
      <c r="Z609" s="8"/>
      <c r="AA609" s="8"/>
    </row>
    <row r="610" spans="1:27" ht="12.75">
      <c r="A610" s="8"/>
      <c r="B610" s="59"/>
      <c r="C610" s="59"/>
      <c r="D610" s="59"/>
      <c r="E610" s="59"/>
      <c r="F610" s="8"/>
      <c r="G610" s="8"/>
      <c r="H610" s="8"/>
      <c r="I610" s="8"/>
      <c r="J610" s="8"/>
      <c r="K610" s="8"/>
      <c r="L610" s="8"/>
      <c r="M610" s="8"/>
      <c r="N610" s="8"/>
      <c r="O610" s="8"/>
      <c r="P610" s="8"/>
      <c r="Q610" s="8"/>
      <c r="R610" s="8"/>
      <c r="S610" s="8"/>
      <c r="T610" s="8"/>
      <c r="U610" s="8"/>
      <c r="V610" s="8"/>
      <c r="W610" s="8"/>
      <c r="X610" s="8"/>
      <c r="Y610" s="8"/>
      <c r="Z610" s="8"/>
      <c r="AA610" s="8"/>
    </row>
    <row r="611" spans="1:27" ht="12.75">
      <c r="A611" s="8"/>
      <c r="B611" s="59"/>
      <c r="C611" s="59"/>
      <c r="D611" s="59"/>
      <c r="E611" s="59"/>
      <c r="F611" s="8"/>
      <c r="G611" s="8"/>
      <c r="H611" s="8"/>
      <c r="I611" s="8"/>
      <c r="J611" s="8"/>
      <c r="K611" s="8"/>
      <c r="L611" s="8"/>
      <c r="M611" s="8"/>
      <c r="N611" s="8"/>
      <c r="O611" s="8"/>
      <c r="P611" s="8"/>
      <c r="Q611" s="8"/>
      <c r="R611" s="8"/>
      <c r="S611" s="8"/>
      <c r="T611" s="8"/>
      <c r="U611" s="8"/>
      <c r="V611" s="8"/>
      <c r="W611" s="8"/>
      <c r="X611" s="8"/>
      <c r="Y611" s="8"/>
      <c r="Z611" s="8"/>
      <c r="AA611" s="8"/>
    </row>
    <row r="612" spans="1:27" ht="12.75">
      <c r="A612" s="8"/>
      <c r="B612" s="59"/>
      <c r="C612" s="59"/>
      <c r="D612" s="59"/>
      <c r="E612" s="59"/>
      <c r="F612" s="8"/>
      <c r="G612" s="8"/>
      <c r="H612" s="8"/>
      <c r="I612" s="8"/>
      <c r="J612" s="8"/>
      <c r="K612" s="8"/>
      <c r="L612" s="8"/>
      <c r="M612" s="8"/>
      <c r="N612" s="8"/>
      <c r="O612" s="8"/>
      <c r="P612" s="8"/>
      <c r="Q612" s="8"/>
      <c r="R612" s="8"/>
      <c r="S612" s="8"/>
      <c r="T612" s="8"/>
      <c r="U612" s="8"/>
      <c r="V612" s="8"/>
      <c r="W612" s="8"/>
      <c r="X612" s="8"/>
      <c r="Y612" s="8"/>
      <c r="Z612" s="8"/>
      <c r="AA612" s="8"/>
    </row>
    <row r="613" spans="1:27" ht="12.75">
      <c r="A613" s="8"/>
      <c r="B613" s="59"/>
      <c r="C613" s="59"/>
      <c r="D613" s="59"/>
      <c r="E613" s="59"/>
      <c r="F613" s="8"/>
      <c r="G613" s="8"/>
      <c r="H613" s="8"/>
      <c r="I613" s="8"/>
      <c r="J613" s="8"/>
      <c r="K613" s="8"/>
      <c r="L613" s="8"/>
      <c r="M613" s="8"/>
      <c r="N613" s="8"/>
      <c r="O613" s="8"/>
      <c r="P613" s="8"/>
      <c r="Q613" s="8"/>
      <c r="R613" s="8"/>
      <c r="S613" s="8"/>
      <c r="T613" s="8"/>
      <c r="U613" s="8"/>
      <c r="V613" s="8"/>
      <c r="W613" s="8"/>
      <c r="X613" s="8"/>
      <c r="Y613" s="8"/>
      <c r="Z613" s="8"/>
      <c r="AA613" s="8"/>
    </row>
    <row r="614" spans="1:27" ht="12.75">
      <c r="A614" s="8"/>
      <c r="B614" s="59"/>
      <c r="C614" s="59"/>
      <c r="D614" s="59"/>
      <c r="E614" s="59"/>
      <c r="F614" s="8"/>
      <c r="G614" s="8"/>
      <c r="H614" s="8"/>
      <c r="I614" s="8"/>
      <c r="J614" s="8"/>
      <c r="K614" s="8"/>
      <c r="L614" s="8"/>
      <c r="M614" s="8"/>
      <c r="N614" s="8"/>
      <c r="O614" s="8"/>
      <c r="P614" s="8"/>
      <c r="Q614" s="8"/>
      <c r="R614" s="8"/>
      <c r="S614" s="8"/>
      <c r="T614" s="8"/>
      <c r="U614" s="8"/>
      <c r="V614" s="8"/>
      <c r="W614" s="8"/>
      <c r="X614" s="8"/>
      <c r="Y614" s="8"/>
      <c r="Z614" s="8"/>
      <c r="AA614" s="8"/>
    </row>
    <row r="615" spans="1:27" ht="12.75">
      <c r="A615" s="8"/>
      <c r="B615" s="59"/>
      <c r="C615" s="59"/>
      <c r="D615" s="59"/>
      <c r="E615" s="59"/>
      <c r="F615" s="8"/>
      <c r="G615" s="8"/>
      <c r="H615" s="8"/>
      <c r="I615" s="8"/>
      <c r="J615" s="8"/>
      <c r="K615" s="8"/>
      <c r="L615" s="8"/>
      <c r="M615" s="8"/>
      <c r="N615" s="8"/>
      <c r="O615" s="8"/>
      <c r="P615" s="8"/>
      <c r="Q615" s="8"/>
      <c r="R615" s="8"/>
      <c r="S615" s="8"/>
      <c r="T615" s="8"/>
      <c r="U615" s="8"/>
      <c r="V615" s="8"/>
      <c r="W615" s="8"/>
      <c r="X615" s="8"/>
      <c r="Y615" s="8"/>
      <c r="Z615" s="8"/>
      <c r="AA615" s="8"/>
    </row>
    <row r="616" spans="1:27" ht="12.75">
      <c r="A616" s="8"/>
      <c r="B616" s="59"/>
      <c r="C616" s="59"/>
      <c r="D616" s="59"/>
      <c r="E616" s="59"/>
      <c r="F616" s="8"/>
      <c r="G616" s="8"/>
      <c r="H616" s="8"/>
      <c r="I616" s="8"/>
      <c r="J616" s="8"/>
      <c r="K616" s="8"/>
      <c r="L616" s="8"/>
      <c r="M616" s="8"/>
      <c r="N616" s="8"/>
      <c r="O616" s="8"/>
      <c r="P616" s="8"/>
      <c r="Q616" s="8"/>
      <c r="R616" s="8"/>
      <c r="S616" s="8"/>
      <c r="T616" s="8"/>
      <c r="U616" s="8"/>
      <c r="V616" s="8"/>
      <c r="W616" s="8"/>
      <c r="X616" s="8"/>
      <c r="Y616" s="8"/>
      <c r="Z616" s="8"/>
      <c r="AA616" s="8"/>
    </row>
    <row r="617" spans="1:27" ht="12.75">
      <c r="A617" s="8"/>
      <c r="B617" s="59"/>
      <c r="C617" s="59"/>
      <c r="D617" s="59"/>
      <c r="E617" s="59"/>
      <c r="F617" s="8"/>
      <c r="G617" s="8"/>
      <c r="H617" s="8"/>
      <c r="I617" s="8"/>
      <c r="J617" s="8"/>
      <c r="K617" s="8"/>
      <c r="L617" s="8"/>
      <c r="M617" s="8"/>
      <c r="N617" s="8"/>
      <c r="O617" s="8"/>
      <c r="P617" s="8"/>
      <c r="Q617" s="8"/>
      <c r="R617" s="8"/>
      <c r="S617" s="8"/>
      <c r="T617" s="8"/>
      <c r="U617" s="8"/>
      <c r="V617" s="8"/>
      <c r="W617" s="8"/>
      <c r="X617" s="8"/>
      <c r="Y617" s="8"/>
      <c r="Z617" s="8"/>
      <c r="AA617" s="8"/>
    </row>
    <row r="618" spans="1:27" ht="12.75">
      <c r="A618" s="8"/>
      <c r="B618" s="59"/>
      <c r="C618" s="59"/>
      <c r="D618" s="59"/>
      <c r="E618" s="59"/>
      <c r="F618" s="8"/>
      <c r="G618" s="8"/>
      <c r="H618" s="8"/>
      <c r="I618" s="8"/>
      <c r="J618" s="8"/>
      <c r="K618" s="8"/>
      <c r="L618" s="8"/>
      <c r="M618" s="8"/>
      <c r="N618" s="8"/>
      <c r="O618" s="8"/>
      <c r="P618" s="8"/>
      <c r="Q618" s="8"/>
      <c r="R618" s="8"/>
      <c r="S618" s="8"/>
      <c r="T618" s="8"/>
      <c r="U618" s="8"/>
      <c r="V618" s="8"/>
      <c r="W618" s="8"/>
      <c r="X618" s="8"/>
      <c r="Y618" s="8"/>
      <c r="Z618" s="8"/>
      <c r="AA618" s="8"/>
    </row>
    <row r="619" spans="1:27" ht="12.75">
      <c r="A619" s="8"/>
      <c r="B619" s="59"/>
      <c r="C619" s="59"/>
      <c r="D619" s="59"/>
      <c r="E619" s="59"/>
      <c r="F619" s="8"/>
      <c r="G619" s="8"/>
      <c r="H619" s="8"/>
      <c r="I619" s="8"/>
      <c r="J619" s="8"/>
      <c r="K619" s="8"/>
      <c r="L619" s="8"/>
      <c r="M619" s="8"/>
      <c r="N619" s="8"/>
      <c r="O619" s="8"/>
      <c r="P619" s="8"/>
      <c r="Q619" s="8"/>
      <c r="R619" s="8"/>
      <c r="S619" s="8"/>
      <c r="T619" s="8"/>
      <c r="U619" s="8"/>
      <c r="V619" s="8"/>
      <c r="W619" s="8"/>
      <c r="X619" s="8"/>
      <c r="Y619" s="8"/>
      <c r="Z619" s="8"/>
      <c r="AA619" s="8"/>
    </row>
    <row r="620" spans="1:27" ht="12.75">
      <c r="A620" s="8"/>
      <c r="B620" s="59"/>
      <c r="C620" s="59"/>
      <c r="D620" s="59"/>
      <c r="E620" s="59"/>
      <c r="F620" s="8"/>
      <c r="G620" s="8"/>
      <c r="H620" s="8"/>
      <c r="I620" s="8"/>
      <c r="J620" s="8"/>
      <c r="K620" s="8"/>
      <c r="L620" s="8"/>
      <c r="M620" s="8"/>
      <c r="N620" s="8"/>
      <c r="O620" s="8"/>
      <c r="P620" s="8"/>
      <c r="Q620" s="8"/>
      <c r="R620" s="8"/>
      <c r="S620" s="8"/>
      <c r="T620" s="8"/>
      <c r="U620" s="8"/>
      <c r="V620" s="8"/>
      <c r="W620" s="8"/>
      <c r="X620" s="8"/>
      <c r="Y620" s="8"/>
      <c r="Z620" s="8"/>
      <c r="AA620" s="8"/>
    </row>
    <row r="621" spans="1:27" ht="12.75">
      <c r="A621" s="8"/>
      <c r="B621" s="59"/>
      <c r="C621" s="59"/>
      <c r="D621" s="59"/>
      <c r="E621" s="59"/>
      <c r="F621" s="8"/>
      <c r="G621" s="8"/>
      <c r="H621" s="8"/>
      <c r="I621" s="8"/>
      <c r="J621" s="8"/>
      <c r="K621" s="8"/>
      <c r="L621" s="8"/>
      <c r="M621" s="8"/>
      <c r="N621" s="8"/>
      <c r="O621" s="8"/>
      <c r="P621" s="8"/>
      <c r="Q621" s="8"/>
      <c r="R621" s="8"/>
      <c r="S621" s="8"/>
      <c r="T621" s="8"/>
      <c r="U621" s="8"/>
      <c r="V621" s="8"/>
      <c r="W621" s="8"/>
      <c r="X621" s="8"/>
      <c r="Y621" s="8"/>
      <c r="Z621" s="8"/>
      <c r="AA621" s="8"/>
    </row>
    <row r="622" spans="1:27" ht="12.75">
      <c r="A622" s="8"/>
      <c r="B622" s="59"/>
      <c r="C622" s="59"/>
      <c r="D622" s="59"/>
      <c r="E622" s="59"/>
      <c r="F622" s="8"/>
      <c r="G622" s="8"/>
      <c r="H622" s="8"/>
      <c r="I622" s="8"/>
      <c r="J622" s="8"/>
      <c r="K622" s="8"/>
      <c r="L622" s="8"/>
      <c r="M622" s="8"/>
      <c r="N622" s="8"/>
      <c r="O622" s="8"/>
      <c r="P622" s="8"/>
      <c r="Q622" s="8"/>
      <c r="R622" s="8"/>
      <c r="S622" s="8"/>
      <c r="T622" s="8"/>
      <c r="U622" s="8"/>
      <c r="V622" s="8"/>
      <c r="W622" s="8"/>
      <c r="X622" s="8"/>
      <c r="Y622" s="8"/>
      <c r="Z622" s="8"/>
      <c r="AA622" s="8"/>
    </row>
    <row r="623" spans="1:27" ht="12.75">
      <c r="A623" s="8"/>
      <c r="B623" s="59"/>
      <c r="C623" s="59"/>
      <c r="D623" s="59"/>
      <c r="E623" s="59"/>
      <c r="F623" s="8"/>
      <c r="G623" s="8"/>
      <c r="H623" s="8"/>
      <c r="I623" s="8"/>
      <c r="J623" s="8"/>
      <c r="K623" s="8"/>
      <c r="L623" s="8"/>
      <c r="M623" s="8"/>
      <c r="N623" s="8"/>
      <c r="O623" s="8"/>
      <c r="P623" s="8"/>
      <c r="Q623" s="8"/>
      <c r="R623" s="8"/>
      <c r="S623" s="8"/>
      <c r="T623" s="8"/>
      <c r="U623" s="8"/>
      <c r="V623" s="8"/>
      <c r="W623" s="8"/>
      <c r="X623" s="8"/>
      <c r="Y623" s="8"/>
      <c r="Z623" s="8"/>
      <c r="AA623" s="8"/>
    </row>
    <row r="624" spans="1:27" ht="12.75">
      <c r="A624" s="8"/>
      <c r="B624" s="59"/>
      <c r="C624" s="59"/>
      <c r="D624" s="59"/>
      <c r="E624" s="59"/>
      <c r="F624" s="8"/>
      <c r="G624" s="8"/>
      <c r="H624" s="8"/>
      <c r="I624" s="8"/>
      <c r="J624" s="8"/>
      <c r="K624" s="8"/>
      <c r="L624" s="8"/>
      <c r="M624" s="8"/>
      <c r="N624" s="8"/>
      <c r="O624" s="8"/>
      <c r="P624" s="8"/>
      <c r="Q624" s="8"/>
      <c r="R624" s="8"/>
      <c r="S624" s="8"/>
      <c r="T624" s="8"/>
      <c r="U624" s="8"/>
      <c r="V624" s="8"/>
      <c r="W624" s="8"/>
      <c r="X624" s="8"/>
      <c r="Y624" s="8"/>
      <c r="Z624" s="8"/>
      <c r="AA624" s="8"/>
    </row>
    <row r="625" spans="1:27" ht="12.75">
      <c r="A625" s="8"/>
      <c r="B625" s="59"/>
      <c r="C625" s="59"/>
      <c r="D625" s="59"/>
      <c r="E625" s="59"/>
      <c r="F625" s="8"/>
      <c r="G625" s="8"/>
      <c r="H625" s="8"/>
      <c r="I625" s="8"/>
      <c r="J625" s="8"/>
      <c r="K625" s="8"/>
      <c r="L625" s="8"/>
      <c r="M625" s="8"/>
      <c r="N625" s="8"/>
      <c r="O625" s="8"/>
      <c r="P625" s="8"/>
      <c r="Q625" s="8"/>
      <c r="R625" s="8"/>
      <c r="S625" s="8"/>
      <c r="T625" s="8"/>
      <c r="U625" s="8"/>
      <c r="V625" s="8"/>
      <c r="W625" s="8"/>
      <c r="X625" s="8"/>
      <c r="Y625" s="8"/>
      <c r="Z625" s="8"/>
      <c r="AA625" s="8"/>
    </row>
    <row r="626" spans="1:27" ht="12.75">
      <c r="A626" s="8"/>
      <c r="B626" s="59"/>
      <c r="C626" s="59"/>
      <c r="D626" s="59"/>
      <c r="E626" s="59"/>
      <c r="F626" s="8"/>
      <c r="G626" s="8"/>
      <c r="H626" s="8"/>
      <c r="I626" s="8"/>
      <c r="J626" s="8"/>
      <c r="K626" s="8"/>
      <c r="L626" s="8"/>
      <c r="M626" s="8"/>
      <c r="N626" s="8"/>
      <c r="O626" s="8"/>
      <c r="P626" s="8"/>
      <c r="Q626" s="8"/>
      <c r="R626" s="8"/>
      <c r="S626" s="8"/>
      <c r="T626" s="8"/>
      <c r="U626" s="8"/>
      <c r="V626" s="8"/>
      <c r="W626" s="8"/>
      <c r="X626" s="8"/>
      <c r="Y626" s="8"/>
      <c r="Z626" s="8"/>
      <c r="AA626" s="8"/>
    </row>
    <row r="627" spans="1:27" ht="12.75">
      <c r="A627" s="8"/>
      <c r="B627" s="59"/>
      <c r="C627" s="59"/>
      <c r="D627" s="59"/>
      <c r="E627" s="59"/>
      <c r="F627" s="8"/>
      <c r="G627" s="8"/>
      <c r="H627" s="8"/>
      <c r="I627" s="8"/>
      <c r="J627" s="8"/>
      <c r="K627" s="8"/>
      <c r="L627" s="8"/>
      <c r="M627" s="8"/>
      <c r="N627" s="8"/>
      <c r="O627" s="8"/>
      <c r="P627" s="8"/>
      <c r="Q627" s="8"/>
      <c r="R627" s="8"/>
      <c r="S627" s="8"/>
      <c r="T627" s="8"/>
      <c r="U627" s="8"/>
      <c r="V627" s="8"/>
      <c r="W627" s="8"/>
      <c r="X627" s="8"/>
      <c r="Y627" s="8"/>
      <c r="Z627" s="8"/>
      <c r="AA627" s="8"/>
    </row>
    <row r="628" spans="1:27" ht="12.75">
      <c r="A628" s="8"/>
      <c r="B628" s="59"/>
      <c r="C628" s="59"/>
      <c r="D628" s="59"/>
      <c r="E628" s="59"/>
      <c r="F628" s="8"/>
      <c r="G628" s="8"/>
      <c r="H628" s="8"/>
      <c r="I628" s="8"/>
      <c r="J628" s="8"/>
      <c r="K628" s="8"/>
      <c r="L628" s="8"/>
      <c r="M628" s="8"/>
      <c r="N628" s="8"/>
      <c r="O628" s="8"/>
      <c r="P628" s="8"/>
      <c r="Q628" s="8"/>
      <c r="R628" s="8"/>
      <c r="S628" s="8"/>
      <c r="T628" s="8"/>
      <c r="U628" s="8"/>
      <c r="V628" s="8"/>
      <c r="W628" s="8"/>
      <c r="X628" s="8"/>
      <c r="Y628" s="8"/>
      <c r="Z628" s="8"/>
      <c r="AA628" s="8"/>
    </row>
    <row r="629" spans="1:27" ht="12.75">
      <c r="A629" s="8"/>
      <c r="B629" s="59"/>
      <c r="C629" s="59"/>
      <c r="D629" s="59"/>
      <c r="E629" s="59"/>
      <c r="F629" s="8"/>
      <c r="G629" s="8"/>
      <c r="H629" s="8"/>
      <c r="I629" s="8"/>
      <c r="J629" s="8"/>
      <c r="K629" s="8"/>
      <c r="L629" s="8"/>
      <c r="M629" s="8"/>
      <c r="N629" s="8"/>
      <c r="O629" s="8"/>
      <c r="P629" s="8"/>
      <c r="Q629" s="8"/>
      <c r="R629" s="8"/>
      <c r="S629" s="8"/>
      <c r="T629" s="8"/>
      <c r="U629" s="8"/>
      <c r="V629" s="8"/>
      <c r="W629" s="8"/>
      <c r="X629" s="8"/>
      <c r="Y629" s="8"/>
      <c r="Z629" s="8"/>
      <c r="AA629" s="8"/>
    </row>
    <row r="630" spans="1:27" ht="12.75">
      <c r="A630" s="8"/>
      <c r="B630" s="59"/>
      <c r="C630" s="59"/>
      <c r="D630" s="59"/>
      <c r="E630" s="59"/>
      <c r="F630" s="8"/>
      <c r="G630" s="8"/>
      <c r="H630" s="8"/>
      <c r="I630" s="8"/>
      <c r="J630" s="8"/>
      <c r="K630" s="8"/>
      <c r="L630" s="8"/>
      <c r="M630" s="8"/>
      <c r="N630" s="8"/>
      <c r="O630" s="8"/>
      <c r="P630" s="8"/>
      <c r="Q630" s="8"/>
      <c r="R630" s="8"/>
      <c r="S630" s="8"/>
      <c r="T630" s="8"/>
      <c r="U630" s="8"/>
      <c r="V630" s="8"/>
      <c r="W630" s="8"/>
      <c r="X630" s="8"/>
      <c r="Y630" s="8"/>
      <c r="Z630" s="8"/>
      <c r="AA630" s="8"/>
    </row>
    <row r="631" spans="1:27" ht="12.75">
      <c r="A631" s="8"/>
      <c r="B631" s="59"/>
      <c r="C631" s="59"/>
      <c r="D631" s="59"/>
      <c r="E631" s="59"/>
      <c r="F631" s="8"/>
      <c r="G631" s="8"/>
      <c r="H631" s="8"/>
      <c r="I631" s="8"/>
      <c r="J631" s="8"/>
      <c r="K631" s="8"/>
      <c r="L631" s="8"/>
      <c r="M631" s="8"/>
      <c r="N631" s="8"/>
      <c r="O631" s="8"/>
      <c r="P631" s="8"/>
      <c r="Q631" s="8"/>
      <c r="R631" s="8"/>
      <c r="S631" s="8"/>
      <c r="T631" s="8"/>
      <c r="U631" s="8"/>
      <c r="V631" s="8"/>
      <c r="W631" s="8"/>
      <c r="X631" s="8"/>
      <c r="Y631" s="8"/>
      <c r="Z631" s="8"/>
      <c r="AA631" s="8"/>
    </row>
    <row r="632" spans="1:27" ht="12.75">
      <c r="A632" s="8"/>
      <c r="B632" s="59"/>
      <c r="C632" s="59"/>
      <c r="D632" s="59"/>
      <c r="E632" s="59"/>
      <c r="F632" s="8"/>
      <c r="G632" s="8"/>
      <c r="H632" s="8"/>
      <c r="I632" s="8"/>
      <c r="J632" s="8"/>
      <c r="K632" s="8"/>
      <c r="L632" s="8"/>
      <c r="M632" s="8"/>
      <c r="N632" s="8"/>
      <c r="O632" s="8"/>
      <c r="P632" s="8"/>
      <c r="Q632" s="8"/>
      <c r="R632" s="8"/>
      <c r="S632" s="8"/>
      <c r="T632" s="8"/>
      <c r="U632" s="8"/>
      <c r="V632" s="8"/>
      <c r="W632" s="8"/>
      <c r="X632" s="8"/>
      <c r="Y632" s="8"/>
      <c r="Z632" s="8"/>
      <c r="AA632" s="8"/>
    </row>
    <row r="633" spans="1:27" ht="12.75">
      <c r="A633" s="8"/>
      <c r="B633" s="59"/>
      <c r="C633" s="59"/>
      <c r="D633" s="59"/>
      <c r="E633" s="59"/>
      <c r="F633" s="8"/>
      <c r="G633" s="8"/>
      <c r="H633" s="8"/>
      <c r="I633" s="8"/>
      <c r="J633" s="8"/>
      <c r="K633" s="8"/>
      <c r="L633" s="8"/>
      <c r="M633" s="8"/>
      <c r="N633" s="8"/>
      <c r="O633" s="8"/>
      <c r="P633" s="8"/>
      <c r="Q633" s="8"/>
      <c r="R633" s="8"/>
      <c r="S633" s="8"/>
      <c r="T633" s="8"/>
      <c r="U633" s="8"/>
      <c r="V633" s="8"/>
      <c r="W633" s="8"/>
      <c r="X633" s="8"/>
      <c r="Y633" s="8"/>
      <c r="Z633" s="8"/>
      <c r="AA633" s="8"/>
    </row>
    <row r="634" spans="1:27" ht="12.75">
      <c r="A634" s="8"/>
      <c r="B634" s="59"/>
      <c r="C634" s="59"/>
      <c r="D634" s="59"/>
      <c r="E634" s="59"/>
      <c r="F634" s="8"/>
      <c r="G634" s="8"/>
      <c r="H634" s="8"/>
      <c r="I634" s="8"/>
      <c r="J634" s="8"/>
      <c r="K634" s="8"/>
      <c r="L634" s="8"/>
      <c r="M634" s="8"/>
      <c r="N634" s="8"/>
      <c r="O634" s="8"/>
      <c r="P634" s="8"/>
      <c r="Q634" s="8"/>
      <c r="R634" s="8"/>
      <c r="S634" s="8"/>
      <c r="T634" s="8"/>
      <c r="U634" s="8"/>
      <c r="V634" s="8"/>
      <c r="W634" s="8"/>
      <c r="X634" s="8"/>
      <c r="Y634" s="8"/>
      <c r="Z634" s="8"/>
      <c r="AA634" s="8"/>
    </row>
    <row r="635" spans="1:27" ht="12.75">
      <c r="A635" s="8"/>
      <c r="B635" s="59"/>
      <c r="C635" s="59"/>
      <c r="D635" s="59"/>
      <c r="E635" s="59"/>
      <c r="F635" s="8"/>
      <c r="G635" s="8"/>
      <c r="H635" s="8"/>
      <c r="I635" s="8"/>
      <c r="J635" s="8"/>
      <c r="K635" s="8"/>
      <c r="L635" s="8"/>
      <c r="M635" s="8"/>
      <c r="N635" s="8"/>
      <c r="O635" s="8"/>
      <c r="P635" s="8"/>
      <c r="Q635" s="8"/>
      <c r="R635" s="8"/>
      <c r="S635" s="8"/>
      <c r="T635" s="8"/>
      <c r="U635" s="8"/>
      <c r="V635" s="8"/>
      <c r="W635" s="8"/>
      <c r="X635" s="8"/>
      <c r="Y635" s="8"/>
      <c r="Z635" s="8"/>
      <c r="AA635" s="8"/>
    </row>
    <row r="636" spans="1:27" ht="12.75">
      <c r="A636" s="8"/>
      <c r="B636" s="59"/>
      <c r="C636" s="59"/>
      <c r="D636" s="59"/>
      <c r="E636" s="59"/>
      <c r="F636" s="8"/>
      <c r="G636" s="8"/>
      <c r="H636" s="8"/>
      <c r="I636" s="8"/>
      <c r="J636" s="8"/>
      <c r="K636" s="8"/>
      <c r="L636" s="8"/>
      <c r="M636" s="8"/>
      <c r="N636" s="8"/>
      <c r="O636" s="8"/>
      <c r="P636" s="8"/>
      <c r="Q636" s="8"/>
      <c r="R636" s="8"/>
      <c r="S636" s="8"/>
      <c r="T636" s="8"/>
      <c r="U636" s="8"/>
      <c r="V636" s="8"/>
      <c r="W636" s="8"/>
      <c r="X636" s="8"/>
      <c r="Y636" s="8"/>
      <c r="Z636" s="8"/>
      <c r="AA636" s="8"/>
    </row>
    <row r="637" spans="1:27" ht="12.75">
      <c r="A637" s="8"/>
      <c r="B637" s="59"/>
      <c r="C637" s="59"/>
      <c r="D637" s="59"/>
      <c r="E637" s="59"/>
      <c r="F637" s="8"/>
      <c r="G637" s="8"/>
      <c r="H637" s="8"/>
      <c r="I637" s="8"/>
      <c r="J637" s="8"/>
      <c r="K637" s="8"/>
      <c r="L637" s="8"/>
      <c r="M637" s="8"/>
      <c r="N637" s="8"/>
      <c r="O637" s="8"/>
      <c r="P637" s="8"/>
      <c r="Q637" s="8"/>
      <c r="R637" s="8"/>
      <c r="S637" s="8"/>
      <c r="T637" s="8"/>
      <c r="U637" s="8"/>
      <c r="V637" s="8"/>
      <c r="W637" s="8"/>
      <c r="X637" s="8"/>
      <c r="Y637" s="8"/>
      <c r="Z637" s="8"/>
      <c r="AA637" s="8"/>
    </row>
    <row r="638" spans="1:27" ht="12.75">
      <c r="A638" s="8"/>
      <c r="B638" s="59"/>
      <c r="C638" s="59"/>
      <c r="D638" s="59"/>
      <c r="E638" s="59"/>
      <c r="F638" s="8"/>
      <c r="G638" s="8"/>
      <c r="H638" s="8"/>
      <c r="I638" s="8"/>
      <c r="J638" s="8"/>
      <c r="K638" s="8"/>
      <c r="L638" s="8"/>
      <c r="M638" s="8"/>
      <c r="N638" s="8"/>
      <c r="O638" s="8"/>
      <c r="P638" s="8"/>
      <c r="Q638" s="8"/>
      <c r="R638" s="8"/>
      <c r="S638" s="8"/>
      <c r="T638" s="8"/>
      <c r="U638" s="8"/>
      <c r="V638" s="8"/>
      <c r="W638" s="8"/>
      <c r="X638" s="8"/>
      <c r="Y638" s="8"/>
      <c r="Z638" s="8"/>
      <c r="AA638" s="8"/>
    </row>
    <row r="639" spans="1:27" ht="12.75">
      <c r="A639" s="8"/>
      <c r="B639" s="59"/>
      <c r="C639" s="59"/>
      <c r="D639" s="59"/>
      <c r="E639" s="59"/>
      <c r="F639" s="8"/>
      <c r="G639" s="8"/>
      <c r="H639" s="8"/>
      <c r="I639" s="8"/>
      <c r="J639" s="8"/>
      <c r="K639" s="8"/>
      <c r="L639" s="8"/>
      <c r="M639" s="8"/>
      <c r="N639" s="8"/>
      <c r="O639" s="8"/>
      <c r="P639" s="8"/>
      <c r="Q639" s="8"/>
      <c r="R639" s="8"/>
      <c r="S639" s="8"/>
      <c r="T639" s="8"/>
      <c r="U639" s="8"/>
      <c r="V639" s="8"/>
      <c r="W639" s="8"/>
      <c r="X639" s="8"/>
      <c r="Y639" s="8"/>
      <c r="Z639" s="8"/>
      <c r="AA639" s="8"/>
    </row>
    <row r="640" spans="1:27" ht="12.75">
      <c r="A640" s="8"/>
      <c r="B640" s="59"/>
      <c r="C640" s="59"/>
      <c r="D640" s="59"/>
      <c r="E640" s="59"/>
      <c r="F640" s="8"/>
      <c r="G640" s="8"/>
      <c r="H640" s="8"/>
      <c r="I640" s="8"/>
      <c r="J640" s="8"/>
      <c r="K640" s="8"/>
      <c r="L640" s="8"/>
      <c r="M640" s="8"/>
      <c r="N640" s="8"/>
      <c r="O640" s="8"/>
      <c r="P640" s="8"/>
      <c r="Q640" s="8"/>
      <c r="R640" s="8"/>
      <c r="S640" s="8"/>
      <c r="T640" s="8"/>
      <c r="U640" s="8"/>
      <c r="V640" s="8"/>
      <c r="W640" s="8"/>
      <c r="X640" s="8"/>
      <c r="Y640" s="8"/>
      <c r="Z640" s="8"/>
      <c r="AA640" s="8"/>
    </row>
    <row r="641" spans="1:27" ht="12.75">
      <c r="A641" s="8"/>
      <c r="B641" s="59"/>
      <c r="C641" s="59"/>
      <c r="D641" s="59"/>
      <c r="E641" s="59"/>
      <c r="F641" s="8"/>
      <c r="G641" s="8"/>
      <c r="H641" s="8"/>
      <c r="I641" s="8"/>
      <c r="J641" s="8"/>
      <c r="K641" s="8"/>
      <c r="L641" s="8"/>
      <c r="M641" s="8"/>
      <c r="N641" s="8"/>
      <c r="O641" s="8"/>
      <c r="P641" s="8"/>
      <c r="Q641" s="8"/>
      <c r="R641" s="8"/>
      <c r="S641" s="8"/>
      <c r="T641" s="8"/>
      <c r="U641" s="8"/>
      <c r="V641" s="8"/>
      <c r="W641" s="8"/>
      <c r="X641" s="8"/>
      <c r="Y641" s="8"/>
      <c r="Z641" s="8"/>
      <c r="AA641" s="8"/>
    </row>
    <row r="642" spans="1:27" ht="12.75">
      <c r="A642" s="8"/>
      <c r="B642" s="59"/>
      <c r="C642" s="59"/>
      <c r="D642" s="59"/>
      <c r="E642" s="59"/>
      <c r="F642" s="8"/>
      <c r="G642" s="8"/>
      <c r="H642" s="8"/>
      <c r="I642" s="8"/>
      <c r="J642" s="8"/>
      <c r="K642" s="8"/>
      <c r="L642" s="8"/>
      <c r="M642" s="8"/>
      <c r="N642" s="8"/>
      <c r="O642" s="8"/>
      <c r="P642" s="8"/>
      <c r="Q642" s="8"/>
      <c r="R642" s="8"/>
      <c r="S642" s="8"/>
      <c r="T642" s="8"/>
      <c r="U642" s="8"/>
      <c r="V642" s="8"/>
      <c r="W642" s="8"/>
      <c r="X642" s="8"/>
      <c r="Y642" s="8"/>
      <c r="Z642" s="8"/>
      <c r="AA642" s="8"/>
    </row>
    <row r="643" spans="1:27" ht="12.75">
      <c r="A643" s="8"/>
      <c r="B643" s="59"/>
      <c r="C643" s="59"/>
      <c r="D643" s="59"/>
      <c r="E643" s="59"/>
      <c r="F643" s="8"/>
      <c r="G643" s="8"/>
      <c r="H643" s="8"/>
      <c r="I643" s="8"/>
      <c r="J643" s="8"/>
      <c r="K643" s="8"/>
      <c r="L643" s="8"/>
      <c r="M643" s="8"/>
      <c r="N643" s="8"/>
      <c r="O643" s="8"/>
      <c r="P643" s="8"/>
      <c r="Q643" s="8"/>
      <c r="R643" s="8"/>
      <c r="S643" s="8"/>
      <c r="T643" s="8"/>
      <c r="U643" s="8"/>
      <c r="V643" s="8"/>
      <c r="W643" s="8"/>
      <c r="X643" s="8"/>
      <c r="Y643" s="8"/>
      <c r="Z643" s="8"/>
      <c r="AA643" s="8"/>
    </row>
    <row r="644" spans="1:27" ht="12.75">
      <c r="A644" s="8"/>
      <c r="B644" s="59"/>
      <c r="C644" s="59"/>
      <c r="D644" s="59"/>
      <c r="E644" s="59"/>
      <c r="F644" s="8"/>
      <c r="G644" s="8"/>
      <c r="H644" s="8"/>
      <c r="I644" s="8"/>
      <c r="J644" s="8"/>
      <c r="K644" s="8"/>
      <c r="L644" s="8"/>
      <c r="M644" s="8"/>
      <c r="N644" s="8"/>
      <c r="O644" s="8"/>
      <c r="P644" s="8"/>
      <c r="Q644" s="8"/>
      <c r="R644" s="8"/>
      <c r="S644" s="8"/>
      <c r="T644" s="8"/>
      <c r="U644" s="8"/>
      <c r="V644" s="8"/>
      <c r="W644" s="8"/>
      <c r="X644" s="8"/>
      <c r="Y644" s="8"/>
      <c r="Z644" s="8"/>
      <c r="AA644" s="8"/>
    </row>
    <row r="645" spans="1:27" ht="12.75">
      <c r="A645" s="8"/>
      <c r="B645" s="59"/>
      <c r="C645" s="59"/>
      <c r="D645" s="59"/>
      <c r="E645" s="59"/>
      <c r="F645" s="8"/>
      <c r="G645" s="8"/>
      <c r="H645" s="8"/>
      <c r="I645" s="8"/>
      <c r="J645" s="8"/>
      <c r="K645" s="8"/>
      <c r="L645" s="8"/>
      <c r="M645" s="8"/>
      <c r="N645" s="8"/>
      <c r="O645" s="8"/>
      <c r="P645" s="8"/>
      <c r="Q645" s="8"/>
      <c r="R645" s="8"/>
      <c r="S645" s="8"/>
      <c r="T645" s="8"/>
      <c r="U645" s="8"/>
      <c r="V645" s="8"/>
      <c r="W645" s="8"/>
      <c r="X645" s="8"/>
      <c r="Y645" s="8"/>
      <c r="Z645" s="8"/>
      <c r="AA645" s="8"/>
    </row>
    <row r="646" spans="1:27" ht="12.75">
      <c r="A646" s="8"/>
      <c r="B646" s="59"/>
      <c r="C646" s="59"/>
      <c r="D646" s="59"/>
      <c r="E646" s="59"/>
      <c r="F646" s="8"/>
      <c r="G646" s="8"/>
      <c r="H646" s="8"/>
      <c r="I646" s="8"/>
      <c r="J646" s="8"/>
      <c r="K646" s="8"/>
      <c r="L646" s="8"/>
      <c r="M646" s="8"/>
      <c r="N646" s="8"/>
      <c r="O646" s="8"/>
      <c r="P646" s="8"/>
      <c r="Q646" s="8"/>
      <c r="R646" s="8"/>
      <c r="S646" s="8"/>
      <c r="T646" s="8"/>
      <c r="U646" s="8"/>
      <c r="V646" s="8"/>
      <c r="W646" s="8"/>
      <c r="X646" s="8"/>
      <c r="Y646" s="8"/>
      <c r="Z646" s="8"/>
      <c r="AA646" s="8"/>
    </row>
    <row r="647" spans="1:27" ht="12.75">
      <c r="A647" s="8"/>
      <c r="B647" s="59"/>
      <c r="C647" s="59"/>
      <c r="D647" s="59"/>
      <c r="E647" s="59"/>
      <c r="F647" s="8"/>
      <c r="G647" s="8"/>
      <c r="H647" s="8"/>
      <c r="I647" s="8"/>
      <c r="J647" s="8"/>
      <c r="K647" s="8"/>
      <c r="L647" s="8"/>
      <c r="M647" s="8"/>
      <c r="N647" s="8"/>
      <c r="O647" s="8"/>
      <c r="P647" s="8"/>
      <c r="Q647" s="8"/>
      <c r="R647" s="8"/>
      <c r="S647" s="8"/>
      <c r="T647" s="8"/>
      <c r="U647" s="8"/>
      <c r="V647" s="8"/>
      <c r="W647" s="8"/>
      <c r="X647" s="8"/>
      <c r="Y647" s="8"/>
      <c r="Z647" s="8"/>
      <c r="AA647" s="8"/>
    </row>
    <row r="648" spans="1:27" ht="12.75">
      <c r="A648" s="8"/>
      <c r="B648" s="59"/>
      <c r="C648" s="59"/>
      <c r="D648" s="59"/>
      <c r="E648" s="59"/>
      <c r="F648" s="8"/>
      <c r="G648" s="8"/>
      <c r="H648" s="8"/>
      <c r="I648" s="8"/>
      <c r="J648" s="8"/>
      <c r="K648" s="8"/>
      <c r="L648" s="8"/>
      <c r="M648" s="8"/>
      <c r="N648" s="8"/>
      <c r="O648" s="8"/>
      <c r="P648" s="8"/>
      <c r="Q648" s="8"/>
      <c r="R648" s="8"/>
      <c r="S648" s="8"/>
      <c r="T648" s="8"/>
      <c r="U648" s="8"/>
      <c r="V648" s="8"/>
      <c r="W648" s="8"/>
      <c r="X648" s="8"/>
      <c r="Y648" s="8"/>
      <c r="Z648" s="8"/>
      <c r="AA648" s="8"/>
    </row>
    <row r="649" spans="1:27" ht="12.75">
      <c r="A649" s="8"/>
      <c r="B649" s="59"/>
      <c r="C649" s="59"/>
      <c r="D649" s="59"/>
      <c r="E649" s="59"/>
      <c r="F649" s="8"/>
      <c r="G649" s="8"/>
      <c r="H649" s="8"/>
      <c r="I649" s="8"/>
      <c r="J649" s="8"/>
      <c r="K649" s="8"/>
      <c r="L649" s="8"/>
      <c r="M649" s="8"/>
      <c r="N649" s="8"/>
      <c r="O649" s="8"/>
      <c r="P649" s="8"/>
      <c r="Q649" s="8"/>
      <c r="R649" s="8"/>
      <c r="S649" s="8"/>
      <c r="T649" s="8"/>
      <c r="U649" s="8"/>
      <c r="V649" s="8"/>
      <c r="W649" s="8"/>
      <c r="X649" s="8"/>
      <c r="Y649" s="8"/>
      <c r="Z649" s="8"/>
      <c r="AA649" s="8"/>
    </row>
    <row r="650" spans="1:27" ht="12.75">
      <c r="A650" s="8"/>
      <c r="B650" s="59"/>
      <c r="C650" s="59"/>
      <c r="D650" s="59"/>
      <c r="E650" s="59"/>
      <c r="F650" s="8"/>
      <c r="G650" s="8"/>
      <c r="H650" s="8"/>
      <c r="I650" s="8"/>
      <c r="J650" s="8"/>
      <c r="K650" s="8"/>
      <c r="L650" s="8"/>
      <c r="M650" s="8"/>
      <c r="N650" s="8"/>
      <c r="O650" s="8"/>
      <c r="P650" s="8"/>
      <c r="Q650" s="8"/>
      <c r="R650" s="8"/>
      <c r="S650" s="8"/>
      <c r="T650" s="8"/>
      <c r="U650" s="8"/>
      <c r="V650" s="8"/>
      <c r="W650" s="8"/>
      <c r="X650" s="8"/>
      <c r="Y650" s="8"/>
      <c r="Z650" s="8"/>
      <c r="AA650" s="8"/>
    </row>
    <row r="651" spans="1:27" ht="12.75">
      <c r="A651" s="8"/>
      <c r="B651" s="59"/>
      <c r="C651" s="59"/>
      <c r="D651" s="59"/>
      <c r="E651" s="59"/>
      <c r="F651" s="8"/>
      <c r="G651" s="8"/>
      <c r="H651" s="8"/>
      <c r="I651" s="8"/>
      <c r="J651" s="8"/>
      <c r="K651" s="8"/>
      <c r="L651" s="8"/>
      <c r="M651" s="8"/>
      <c r="N651" s="8"/>
      <c r="O651" s="8"/>
      <c r="P651" s="8"/>
      <c r="Q651" s="8"/>
      <c r="R651" s="8"/>
      <c r="S651" s="8"/>
      <c r="T651" s="8"/>
      <c r="U651" s="8"/>
      <c r="V651" s="8"/>
      <c r="W651" s="8"/>
      <c r="X651" s="8"/>
      <c r="Y651" s="8"/>
      <c r="Z651" s="8"/>
      <c r="AA651" s="8"/>
    </row>
    <row r="652" spans="1:27" ht="12.75">
      <c r="A652" s="8"/>
      <c r="B652" s="59"/>
      <c r="C652" s="59"/>
      <c r="D652" s="59"/>
      <c r="E652" s="59"/>
      <c r="F652" s="8"/>
      <c r="G652" s="8"/>
      <c r="H652" s="8"/>
      <c r="I652" s="8"/>
      <c r="J652" s="8"/>
      <c r="K652" s="8"/>
      <c r="L652" s="8"/>
      <c r="M652" s="8"/>
      <c r="N652" s="8"/>
      <c r="O652" s="8"/>
      <c r="P652" s="8"/>
      <c r="Q652" s="8"/>
      <c r="R652" s="8"/>
      <c r="S652" s="8"/>
      <c r="T652" s="8"/>
      <c r="U652" s="8"/>
      <c r="V652" s="8"/>
      <c r="W652" s="8"/>
      <c r="X652" s="8"/>
      <c r="Y652" s="8"/>
      <c r="Z652" s="8"/>
      <c r="AA652" s="8"/>
    </row>
    <row r="653" spans="1:27" ht="12.75">
      <c r="A653" s="8"/>
      <c r="B653" s="59"/>
      <c r="C653" s="59"/>
      <c r="D653" s="59"/>
      <c r="E653" s="59"/>
      <c r="F653" s="8"/>
      <c r="G653" s="8"/>
      <c r="H653" s="8"/>
      <c r="I653" s="8"/>
      <c r="J653" s="8"/>
      <c r="K653" s="8"/>
      <c r="L653" s="8"/>
      <c r="M653" s="8"/>
      <c r="N653" s="8"/>
      <c r="O653" s="8"/>
      <c r="P653" s="8"/>
      <c r="Q653" s="8"/>
      <c r="R653" s="8"/>
      <c r="S653" s="8"/>
      <c r="T653" s="8"/>
      <c r="U653" s="8"/>
      <c r="V653" s="8"/>
      <c r="W653" s="8"/>
      <c r="X653" s="8"/>
      <c r="Y653" s="8"/>
      <c r="Z653" s="8"/>
      <c r="AA653" s="8"/>
    </row>
    <row r="654" spans="1:27" ht="12.75">
      <c r="A654" s="8"/>
      <c r="B654" s="59"/>
      <c r="C654" s="59"/>
      <c r="D654" s="59"/>
      <c r="E654" s="59"/>
      <c r="F654" s="8"/>
      <c r="G654" s="8"/>
      <c r="H654" s="8"/>
      <c r="I654" s="8"/>
      <c r="J654" s="8"/>
      <c r="K654" s="8"/>
      <c r="L654" s="8"/>
      <c r="M654" s="8"/>
      <c r="N654" s="8"/>
      <c r="O654" s="8"/>
      <c r="P654" s="8"/>
      <c r="Q654" s="8"/>
      <c r="R654" s="8"/>
      <c r="S654" s="8"/>
      <c r="T654" s="8"/>
      <c r="U654" s="8"/>
      <c r="V654" s="8"/>
      <c r="W654" s="8"/>
      <c r="X654" s="8"/>
      <c r="Y654" s="8"/>
      <c r="Z654" s="8"/>
      <c r="AA654" s="8"/>
    </row>
    <row r="655" spans="1:27" ht="12.75">
      <c r="A655" s="8"/>
      <c r="B655" s="59"/>
      <c r="C655" s="59"/>
      <c r="D655" s="59"/>
      <c r="E655" s="59"/>
      <c r="F655" s="8"/>
      <c r="G655" s="8"/>
      <c r="H655" s="8"/>
      <c r="I655" s="8"/>
      <c r="J655" s="8"/>
      <c r="K655" s="8"/>
      <c r="L655" s="8"/>
      <c r="M655" s="8"/>
      <c r="N655" s="8"/>
      <c r="O655" s="8"/>
      <c r="P655" s="8"/>
      <c r="Q655" s="8"/>
      <c r="R655" s="8"/>
      <c r="S655" s="8"/>
      <c r="T655" s="8"/>
      <c r="U655" s="8"/>
      <c r="V655" s="8"/>
      <c r="W655" s="8"/>
      <c r="X655" s="8"/>
      <c r="Y655" s="8"/>
      <c r="Z655" s="8"/>
      <c r="AA655" s="8"/>
    </row>
    <row r="656" spans="1:27" ht="12.75">
      <c r="A656" s="8"/>
      <c r="B656" s="59"/>
      <c r="C656" s="59"/>
      <c r="D656" s="59"/>
      <c r="E656" s="59"/>
      <c r="F656" s="8"/>
      <c r="G656" s="8"/>
      <c r="H656" s="8"/>
      <c r="I656" s="8"/>
      <c r="J656" s="8"/>
      <c r="K656" s="8"/>
      <c r="L656" s="8"/>
      <c r="M656" s="8"/>
      <c r="N656" s="8"/>
      <c r="O656" s="8"/>
      <c r="P656" s="8"/>
      <c r="Q656" s="8"/>
      <c r="R656" s="8"/>
      <c r="S656" s="8"/>
      <c r="T656" s="8"/>
      <c r="U656" s="8"/>
      <c r="V656" s="8"/>
      <c r="W656" s="8"/>
      <c r="X656" s="8"/>
      <c r="Y656" s="8"/>
      <c r="Z656" s="8"/>
      <c r="AA656" s="8"/>
    </row>
    <row r="657" spans="1:27" ht="12.75">
      <c r="A657" s="8"/>
      <c r="B657" s="59"/>
      <c r="C657" s="59"/>
      <c r="D657" s="59"/>
      <c r="E657" s="59"/>
      <c r="F657" s="8"/>
      <c r="G657" s="8"/>
      <c r="H657" s="8"/>
      <c r="I657" s="8"/>
      <c r="J657" s="8"/>
      <c r="K657" s="8"/>
      <c r="L657" s="8"/>
      <c r="M657" s="8"/>
      <c r="N657" s="8"/>
      <c r="O657" s="8"/>
      <c r="P657" s="8"/>
      <c r="Q657" s="8"/>
      <c r="R657" s="8"/>
      <c r="S657" s="8"/>
      <c r="T657" s="8"/>
      <c r="U657" s="8"/>
      <c r="V657" s="8"/>
      <c r="W657" s="8"/>
      <c r="X657" s="8"/>
      <c r="Y657" s="8"/>
      <c r="Z657" s="8"/>
      <c r="AA657" s="8"/>
    </row>
    <row r="658" spans="1:27" ht="12.75">
      <c r="A658" s="8"/>
      <c r="B658" s="59"/>
      <c r="C658" s="59"/>
      <c r="D658" s="59"/>
      <c r="E658" s="59"/>
      <c r="F658" s="8"/>
      <c r="G658" s="8"/>
      <c r="H658" s="8"/>
      <c r="I658" s="8"/>
      <c r="J658" s="8"/>
      <c r="K658" s="8"/>
      <c r="L658" s="8"/>
      <c r="M658" s="8"/>
      <c r="N658" s="8"/>
      <c r="O658" s="8"/>
      <c r="P658" s="8"/>
      <c r="Q658" s="8"/>
      <c r="R658" s="8"/>
      <c r="S658" s="8"/>
      <c r="T658" s="8"/>
      <c r="U658" s="8"/>
      <c r="V658" s="8"/>
      <c r="W658" s="8"/>
      <c r="X658" s="8"/>
      <c r="Y658" s="8"/>
      <c r="Z658" s="8"/>
      <c r="AA658" s="8"/>
    </row>
    <row r="659" spans="1:27" ht="12.75">
      <c r="A659" s="8"/>
      <c r="B659" s="59"/>
      <c r="C659" s="59"/>
      <c r="D659" s="59"/>
      <c r="E659" s="59"/>
      <c r="F659" s="8"/>
      <c r="G659" s="8"/>
      <c r="H659" s="8"/>
      <c r="I659" s="8"/>
      <c r="J659" s="8"/>
      <c r="K659" s="8"/>
      <c r="L659" s="8"/>
      <c r="M659" s="8"/>
      <c r="N659" s="8"/>
      <c r="O659" s="8"/>
      <c r="P659" s="8"/>
      <c r="Q659" s="8"/>
      <c r="R659" s="8"/>
      <c r="S659" s="8"/>
      <c r="T659" s="8"/>
      <c r="U659" s="8"/>
      <c r="V659" s="8"/>
      <c r="W659" s="8"/>
      <c r="X659" s="8"/>
      <c r="Y659" s="8"/>
      <c r="Z659" s="8"/>
      <c r="AA659" s="8"/>
    </row>
    <row r="660" spans="1:27" ht="12.75">
      <c r="A660" s="8"/>
      <c r="B660" s="59"/>
      <c r="C660" s="59"/>
      <c r="D660" s="59"/>
      <c r="E660" s="59"/>
      <c r="F660" s="8"/>
      <c r="G660" s="8"/>
      <c r="H660" s="8"/>
      <c r="I660" s="8"/>
      <c r="J660" s="8"/>
      <c r="K660" s="8"/>
      <c r="L660" s="8"/>
      <c r="M660" s="8"/>
      <c r="N660" s="8"/>
      <c r="O660" s="8"/>
      <c r="P660" s="8"/>
      <c r="Q660" s="8"/>
      <c r="R660" s="8"/>
      <c r="S660" s="8"/>
      <c r="T660" s="8"/>
      <c r="U660" s="8"/>
      <c r="V660" s="8"/>
      <c r="W660" s="8"/>
      <c r="X660" s="8"/>
      <c r="Y660" s="8"/>
      <c r="Z660" s="8"/>
      <c r="AA660" s="8"/>
    </row>
    <row r="661" spans="1:27" ht="12.75">
      <c r="A661" s="8"/>
      <c r="B661" s="59"/>
      <c r="C661" s="59"/>
      <c r="D661" s="59"/>
      <c r="E661" s="59"/>
      <c r="F661" s="8"/>
      <c r="G661" s="8"/>
      <c r="H661" s="8"/>
      <c r="I661" s="8"/>
      <c r="J661" s="8"/>
      <c r="K661" s="8"/>
      <c r="L661" s="8"/>
      <c r="M661" s="8"/>
      <c r="N661" s="8"/>
      <c r="O661" s="8"/>
      <c r="P661" s="8"/>
      <c r="Q661" s="8"/>
      <c r="R661" s="8"/>
      <c r="S661" s="8"/>
      <c r="T661" s="8"/>
      <c r="U661" s="8"/>
      <c r="V661" s="8"/>
      <c r="W661" s="8"/>
      <c r="X661" s="8"/>
      <c r="Y661" s="8"/>
      <c r="Z661" s="8"/>
      <c r="AA661" s="8"/>
    </row>
    <row r="662" spans="1:27" ht="12.75">
      <c r="A662" s="8"/>
      <c r="B662" s="59"/>
      <c r="C662" s="59"/>
      <c r="D662" s="59"/>
      <c r="E662" s="59"/>
      <c r="F662" s="8"/>
      <c r="G662" s="8"/>
      <c r="H662" s="8"/>
      <c r="I662" s="8"/>
      <c r="J662" s="8"/>
      <c r="K662" s="8"/>
      <c r="L662" s="8"/>
      <c r="M662" s="8"/>
      <c r="N662" s="8"/>
      <c r="O662" s="8"/>
      <c r="P662" s="8"/>
      <c r="Q662" s="8"/>
      <c r="R662" s="8"/>
      <c r="S662" s="8"/>
      <c r="T662" s="8"/>
      <c r="U662" s="8"/>
      <c r="V662" s="8"/>
      <c r="W662" s="8"/>
      <c r="X662" s="8"/>
      <c r="Y662" s="8"/>
      <c r="Z662" s="8"/>
      <c r="AA662" s="8"/>
    </row>
    <row r="663" spans="1:27" ht="12.75">
      <c r="A663" s="8"/>
      <c r="B663" s="59"/>
      <c r="C663" s="59"/>
      <c r="D663" s="59"/>
      <c r="E663" s="59"/>
      <c r="F663" s="8"/>
      <c r="G663" s="8"/>
      <c r="H663" s="8"/>
      <c r="I663" s="8"/>
      <c r="J663" s="8"/>
      <c r="K663" s="8"/>
      <c r="L663" s="8"/>
      <c r="M663" s="8"/>
      <c r="N663" s="8"/>
      <c r="O663" s="8"/>
      <c r="P663" s="8"/>
      <c r="Q663" s="8"/>
      <c r="R663" s="8"/>
      <c r="S663" s="8"/>
      <c r="T663" s="8"/>
      <c r="U663" s="8"/>
      <c r="V663" s="8"/>
      <c r="W663" s="8"/>
      <c r="X663" s="8"/>
      <c r="Y663" s="8"/>
      <c r="Z663" s="8"/>
      <c r="AA663" s="8"/>
    </row>
    <row r="664" spans="1:27" ht="12.75">
      <c r="A664" s="8"/>
      <c r="B664" s="59"/>
      <c r="C664" s="59"/>
      <c r="D664" s="59"/>
      <c r="E664" s="59"/>
      <c r="F664" s="8"/>
      <c r="G664" s="8"/>
      <c r="H664" s="8"/>
      <c r="I664" s="8"/>
      <c r="J664" s="8"/>
      <c r="K664" s="8"/>
      <c r="L664" s="8"/>
      <c r="M664" s="8"/>
      <c r="N664" s="8"/>
      <c r="O664" s="8"/>
      <c r="P664" s="8"/>
      <c r="Q664" s="8"/>
      <c r="R664" s="8"/>
      <c r="S664" s="8"/>
      <c r="T664" s="8"/>
      <c r="U664" s="8"/>
      <c r="V664" s="8"/>
      <c r="W664" s="8"/>
      <c r="X664" s="8"/>
      <c r="Y664" s="8"/>
      <c r="Z664" s="8"/>
      <c r="AA664" s="8"/>
    </row>
    <row r="665" spans="1:27" ht="12.75">
      <c r="A665" s="8"/>
      <c r="B665" s="59"/>
      <c r="C665" s="59"/>
      <c r="D665" s="59"/>
      <c r="E665" s="59"/>
      <c r="F665" s="8"/>
      <c r="G665" s="8"/>
      <c r="H665" s="8"/>
      <c r="I665" s="8"/>
      <c r="J665" s="8"/>
      <c r="K665" s="8"/>
      <c r="L665" s="8"/>
      <c r="M665" s="8"/>
      <c r="N665" s="8"/>
      <c r="O665" s="8"/>
      <c r="P665" s="8"/>
      <c r="Q665" s="8"/>
      <c r="R665" s="8"/>
      <c r="S665" s="8"/>
      <c r="T665" s="8"/>
      <c r="U665" s="8"/>
      <c r="V665" s="8"/>
      <c r="W665" s="8"/>
      <c r="X665" s="8"/>
      <c r="Y665" s="8"/>
      <c r="Z665" s="8"/>
      <c r="AA665" s="8"/>
    </row>
    <row r="666" spans="1:27" ht="12.75">
      <c r="A666" s="8"/>
      <c r="B666" s="59"/>
      <c r="C666" s="59"/>
      <c r="D666" s="59"/>
      <c r="E666" s="59"/>
      <c r="F666" s="8"/>
      <c r="G666" s="8"/>
      <c r="H666" s="8"/>
      <c r="I666" s="8"/>
      <c r="J666" s="8"/>
      <c r="K666" s="8"/>
      <c r="L666" s="8"/>
      <c r="M666" s="8"/>
      <c r="N666" s="8"/>
      <c r="O666" s="8"/>
      <c r="P666" s="8"/>
      <c r="Q666" s="8"/>
      <c r="R666" s="8"/>
      <c r="S666" s="8"/>
      <c r="T666" s="8"/>
      <c r="U666" s="8"/>
      <c r="V666" s="8"/>
      <c r="W666" s="8"/>
      <c r="X666" s="8"/>
      <c r="Y666" s="8"/>
      <c r="Z666" s="8"/>
      <c r="AA666" s="8"/>
    </row>
    <row r="667" spans="1:27" ht="12.75">
      <c r="A667" s="8"/>
      <c r="B667" s="59"/>
      <c r="C667" s="59"/>
      <c r="D667" s="59"/>
      <c r="E667" s="59"/>
      <c r="F667" s="8"/>
      <c r="G667" s="8"/>
      <c r="H667" s="8"/>
      <c r="I667" s="8"/>
      <c r="J667" s="8"/>
      <c r="K667" s="8"/>
      <c r="L667" s="8"/>
      <c r="M667" s="8"/>
      <c r="N667" s="8"/>
      <c r="O667" s="8"/>
      <c r="P667" s="8"/>
      <c r="Q667" s="8"/>
      <c r="R667" s="8"/>
      <c r="S667" s="8"/>
      <c r="T667" s="8"/>
      <c r="U667" s="8"/>
      <c r="V667" s="8"/>
      <c r="W667" s="8"/>
      <c r="X667" s="8"/>
      <c r="Y667" s="8"/>
      <c r="Z667" s="8"/>
      <c r="AA667" s="8"/>
    </row>
    <row r="668" spans="1:27" ht="12.75">
      <c r="A668" s="8"/>
      <c r="B668" s="59"/>
      <c r="C668" s="59"/>
      <c r="D668" s="59"/>
      <c r="E668" s="59"/>
      <c r="F668" s="8"/>
      <c r="G668" s="8"/>
      <c r="H668" s="8"/>
      <c r="I668" s="8"/>
      <c r="J668" s="8"/>
      <c r="K668" s="8"/>
      <c r="L668" s="8"/>
      <c r="M668" s="8"/>
      <c r="N668" s="8"/>
      <c r="O668" s="8"/>
      <c r="P668" s="8"/>
      <c r="Q668" s="8"/>
      <c r="R668" s="8"/>
      <c r="S668" s="8"/>
      <c r="T668" s="8"/>
      <c r="U668" s="8"/>
      <c r="V668" s="8"/>
      <c r="W668" s="8"/>
      <c r="X668" s="8"/>
      <c r="Y668" s="8"/>
      <c r="Z668" s="8"/>
      <c r="AA668" s="8"/>
    </row>
    <row r="669" spans="1:27" ht="12.75">
      <c r="A669" s="8"/>
      <c r="B669" s="59"/>
      <c r="C669" s="59"/>
      <c r="D669" s="59"/>
      <c r="E669" s="59"/>
      <c r="F669" s="8"/>
      <c r="G669" s="8"/>
      <c r="H669" s="8"/>
      <c r="I669" s="8"/>
      <c r="J669" s="8"/>
      <c r="K669" s="8"/>
      <c r="L669" s="8"/>
      <c r="M669" s="8"/>
      <c r="N669" s="8"/>
      <c r="O669" s="8"/>
      <c r="P669" s="8"/>
      <c r="Q669" s="8"/>
      <c r="R669" s="8"/>
      <c r="S669" s="8"/>
      <c r="T669" s="8"/>
      <c r="U669" s="8"/>
      <c r="V669" s="8"/>
      <c r="W669" s="8"/>
      <c r="X669" s="8"/>
      <c r="Y669" s="8"/>
      <c r="Z669" s="8"/>
      <c r="AA669" s="8"/>
    </row>
    <row r="670" spans="1:27" ht="12.75">
      <c r="A670" s="8"/>
      <c r="B670" s="59"/>
      <c r="C670" s="59"/>
      <c r="D670" s="59"/>
      <c r="E670" s="59"/>
      <c r="F670" s="8"/>
      <c r="G670" s="8"/>
      <c r="H670" s="8"/>
      <c r="I670" s="8"/>
      <c r="J670" s="8"/>
      <c r="K670" s="8"/>
      <c r="L670" s="8"/>
      <c r="M670" s="8"/>
      <c r="N670" s="8"/>
      <c r="O670" s="8"/>
      <c r="P670" s="8"/>
      <c r="Q670" s="8"/>
      <c r="R670" s="8"/>
      <c r="S670" s="8"/>
      <c r="T670" s="8"/>
      <c r="U670" s="8"/>
      <c r="V670" s="8"/>
      <c r="W670" s="8"/>
      <c r="X670" s="8"/>
      <c r="Y670" s="8"/>
      <c r="Z670" s="8"/>
      <c r="AA670" s="8"/>
    </row>
    <row r="671" spans="1:27" ht="12.75">
      <c r="A671" s="8"/>
      <c r="B671" s="59"/>
      <c r="C671" s="59"/>
      <c r="D671" s="59"/>
      <c r="E671" s="59"/>
      <c r="F671" s="8"/>
      <c r="G671" s="8"/>
      <c r="H671" s="8"/>
      <c r="I671" s="8"/>
      <c r="J671" s="8"/>
      <c r="K671" s="8"/>
      <c r="L671" s="8"/>
      <c r="M671" s="8"/>
      <c r="N671" s="8"/>
      <c r="O671" s="8"/>
      <c r="P671" s="8"/>
      <c r="Q671" s="8"/>
      <c r="R671" s="8"/>
      <c r="S671" s="8"/>
      <c r="T671" s="8"/>
      <c r="U671" s="8"/>
      <c r="V671" s="8"/>
      <c r="W671" s="8"/>
      <c r="X671" s="8"/>
      <c r="Y671" s="8"/>
      <c r="Z671" s="8"/>
      <c r="AA671" s="8"/>
    </row>
    <row r="672" spans="1:27" ht="12.75">
      <c r="A672" s="8"/>
      <c r="B672" s="59"/>
      <c r="C672" s="59"/>
      <c r="D672" s="59"/>
      <c r="E672" s="59"/>
      <c r="F672" s="8"/>
      <c r="G672" s="8"/>
      <c r="H672" s="8"/>
      <c r="I672" s="8"/>
      <c r="J672" s="8"/>
      <c r="K672" s="8"/>
      <c r="L672" s="8"/>
      <c r="M672" s="8"/>
      <c r="N672" s="8"/>
      <c r="O672" s="8"/>
      <c r="P672" s="8"/>
      <c r="Q672" s="8"/>
      <c r="R672" s="8"/>
      <c r="S672" s="8"/>
      <c r="T672" s="8"/>
      <c r="U672" s="8"/>
      <c r="V672" s="8"/>
      <c r="W672" s="8"/>
      <c r="X672" s="8"/>
      <c r="Y672" s="8"/>
      <c r="Z672" s="8"/>
      <c r="AA672" s="8"/>
    </row>
    <row r="673" spans="1:27" ht="12.75">
      <c r="A673" s="8"/>
      <c r="B673" s="59"/>
      <c r="C673" s="59"/>
      <c r="D673" s="59"/>
      <c r="E673" s="59"/>
      <c r="F673" s="8"/>
      <c r="G673" s="8"/>
      <c r="H673" s="8"/>
      <c r="I673" s="8"/>
      <c r="J673" s="8"/>
      <c r="K673" s="8"/>
      <c r="L673" s="8"/>
      <c r="M673" s="8"/>
      <c r="N673" s="8"/>
      <c r="O673" s="8"/>
      <c r="P673" s="8"/>
      <c r="Q673" s="8"/>
      <c r="R673" s="8"/>
      <c r="S673" s="8"/>
      <c r="T673" s="8"/>
      <c r="U673" s="8"/>
      <c r="V673" s="8"/>
      <c r="W673" s="8"/>
      <c r="X673" s="8"/>
      <c r="Y673" s="8"/>
      <c r="Z673" s="8"/>
      <c r="AA673" s="8"/>
    </row>
    <row r="674" spans="1:27" ht="12.75">
      <c r="A674" s="8"/>
      <c r="B674" s="59"/>
      <c r="C674" s="59"/>
      <c r="D674" s="59"/>
      <c r="E674" s="59"/>
      <c r="F674" s="8"/>
      <c r="G674" s="8"/>
      <c r="H674" s="8"/>
      <c r="I674" s="8"/>
      <c r="J674" s="8"/>
      <c r="K674" s="8"/>
      <c r="L674" s="8"/>
      <c r="M674" s="8"/>
      <c r="N674" s="8"/>
      <c r="O674" s="8"/>
      <c r="P674" s="8"/>
      <c r="Q674" s="8"/>
      <c r="R674" s="8"/>
      <c r="S674" s="8"/>
      <c r="T674" s="8"/>
      <c r="U674" s="8"/>
      <c r="V674" s="8"/>
      <c r="W674" s="8"/>
      <c r="X674" s="8"/>
      <c r="Y674" s="8"/>
      <c r="Z674" s="8"/>
      <c r="AA674" s="8"/>
    </row>
    <row r="675" spans="1:27" ht="12.75">
      <c r="A675" s="8"/>
      <c r="B675" s="59"/>
      <c r="C675" s="59"/>
      <c r="D675" s="59"/>
      <c r="E675" s="59"/>
      <c r="F675" s="8"/>
      <c r="G675" s="8"/>
      <c r="H675" s="8"/>
      <c r="I675" s="8"/>
      <c r="J675" s="8"/>
      <c r="K675" s="8"/>
      <c r="L675" s="8"/>
      <c r="M675" s="8"/>
      <c r="N675" s="8"/>
      <c r="O675" s="8"/>
      <c r="P675" s="8"/>
      <c r="Q675" s="8"/>
      <c r="R675" s="8"/>
      <c r="S675" s="8"/>
      <c r="T675" s="8"/>
      <c r="U675" s="8"/>
      <c r="V675" s="8"/>
      <c r="W675" s="8"/>
      <c r="X675" s="8"/>
      <c r="Y675" s="8"/>
      <c r="Z675" s="8"/>
      <c r="AA675" s="8"/>
    </row>
    <row r="676" spans="1:27" ht="12.75">
      <c r="A676" s="8"/>
      <c r="B676" s="59"/>
      <c r="C676" s="59"/>
      <c r="D676" s="59"/>
      <c r="E676" s="59"/>
      <c r="F676" s="8"/>
      <c r="G676" s="8"/>
      <c r="H676" s="8"/>
      <c r="I676" s="8"/>
      <c r="J676" s="8"/>
      <c r="K676" s="8"/>
      <c r="L676" s="8"/>
      <c r="M676" s="8"/>
      <c r="N676" s="8"/>
      <c r="O676" s="8"/>
      <c r="P676" s="8"/>
      <c r="Q676" s="8"/>
      <c r="R676" s="8"/>
      <c r="S676" s="8"/>
      <c r="T676" s="8"/>
      <c r="U676" s="8"/>
      <c r="V676" s="8"/>
      <c r="W676" s="8"/>
      <c r="X676" s="8"/>
      <c r="Y676" s="8"/>
      <c r="Z676" s="8"/>
      <c r="AA676" s="8"/>
    </row>
    <row r="677" spans="1:27" ht="12.75">
      <c r="A677" s="8"/>
      <c r="B677" s="59"/>
      <c r="C677" s="59"/>
      <c r="D677" s="59"/>
      <c r="E677" s="59"/>
      <c r="F677" s="8"/>
      <c r="G677" s="8"/>
      <c r="H677" s="8"/>
      <c r="I677" s="8"/>
      <c r="J677" s="8"/>
      <c r="K677" s="8"/>
      <c r="L677" s="8"/>
      <c r="M677" s="8"/>
      <c r="N677" s="8"/>
      <c r="O677" s="8"/>
      <c r="P677" s="8"/>
      <c r="Q677" s="8"/>
      <c r="R677" s="8"/>
      <c r="S677" s="8"/>
      <c r="T677" s="8"/>
      <c r="U677" s="8"/>
      <c r="V677" s="8"/>
      <c r="W677" s="8"/>
      <c r="X677" s="8"/>
      <c r="Y677" s="8"/>
      <c r="Z677" s="8"/>
      <c r="AA677" s="8"/>
    </row>
    <row r="678" spans="1:27" ht="12.75">
      <c r="A678" s="8"/>
      <c r="B678" s="59"/>
      <c r="C678" s="59"/>
      <c r="D678" s="59"/>
      <c r="E678" s="59"/>
      <c r="F678" s="8"/>
      <c r="G678" s="8"/>
      <c r="H678" s="8"/>
      <c r="I678" s="8"/>
      <c r="J678" s="8"/>
      <c r="K678" s="8"/>
      <c r="L678" s="8"/>
      <c r="M678" s="8"/>
      <c r="N678" s="8"/>
      <c r="O678" s="8"/>
      <c r="P678" s="8"/>
      <c r="Q678" s="8"/>
      <c r="R678" s="8"/>
      <c r="S678" s="8"/>
      <c r="T678" s="8"/>
      <c r="U678" s="8"/>
      <c r="V678" s="8"/>
      <c r="W678" s="8"/>
      <c r="X678" s="8"/>
      <c r="Y678" s="8"/>
      <c r="Z678" s="8"/>
      <c r="AA678" s="8"/>
    </row>
    <row r="679" spans="1:27" ht="12.75">
      <c r="A679" s="8"/>
      <c r="B679" s="59"/>
      <c r="C679" s="59"/>
      <c r="D679" s="59"/>
      <c r="E679" s="59"/>
      <c r="F679" s="8"/>
      <c r="G679" s="8"/>
      <c r="H679" s="8"/>
      <c r="I679" s="8"/>
      <c r="J679" s="8"/>
      <c r="K679" s="8"/>
      <c r="L679" s="8"/>
      <c r="M679" s="8"/>
      <c r="N679" s="8"/>
      <c r="O679" s="8"/>
      <c r="P679" s="8"/>
      <c r="Q679" s="8"/>
      <c r="R679" s="8"/>
      <c r="S679" s="8"/>
      <c r="T679" s="8"/>
      <c r="U679" s="8"/>
      <c r="V679" s="8"/>
      <c r="W679" s="8"/>
      <c r="X679" s="8"/>
      <c r="Y679" s="8"/>
      <c r="Z679" s="8"/>
      <c r="AA679" s="8"/>
    </row>
    <row r="680" spans="1:27" ht="12.75">
      <c r="A680" s="8"/>
      <c r="B680" s="59"/>
      <c r="C680" s="59"/>
      <c r="D680" s="59"/>
      <c r="E680" s="59"/>
      <c r="F680" s="8"/>
      <c r="G680" s="8"/>
      <c r="H680" s="8"/>
      <c r="I680" s="8"/>
      <c r="J680" s="8"/>
      <c r="K680" s="8"/>
      <c r="L680" s="8"/>
      <c r="M680" s="8"/>
      <c r="N680" s="8"/>
      <c r="O680" s="8"/>
      <c r="P680" s="8"/>
      <c r="Q680" s="8"/>
      <c r="R680" s="8"/>
      <c r="S680" s="8"/>
      <c r="T680" s="8"/>
      <c r="U680" s="8"/>
      <c r="V680" s="8"/>
      <c r="W680" s="8"/>
      <c r="X680" s="8"/>
      <c r="Y680" s="8"/>
      <c r="Z680" s="8"/>
      <c r="AA680" s="8"/>
    </row>
    <row r="681" spans="1:27" ht="12.75">
      <c r="A681" s="8"/>
      <c r="B681" s="59"/>
      <c r="C681" s="59"/>
      <c r="D681" s="59"/>
      <c r="E681" s="59"/>
      <c r="F681" s="8"/>
      <c r="G681" s="8"/>
      <c r="H681" s="8"/>
      <c r="I681" s="8"/>
      <c r="J681" s="8"/>
      <c r="K681" s="8"/>
      <c r="L681" s="8"/>
      <c r="M681" s="8"/>
      <c r="N681" s="8"/>
      <c r="O681" s="8"/>
      <c r="P681" s="8"/>
      <c r="Q681" s="8"/>
      <c r="R681" s="8"/>
      <c r="S681" s="8"/>
      <c r="T681" s="8"/>
      <c r="U681" s="8"/>
      <c r="V681" s="8"/>
      <c r="W681" s="8"/>
      <c r="X681" s="8"/>
      <c r="Y681" s="8"/>
      <c r="Z681" s="8"/>
      <c r="AA681" s="8"/>
    </row>
    <row r="682" spans="1:27" ht="12.75">
      <c r="A682" s="8"/>
      <c r="B682" s="59"/>
      <c r="C682" s="59"/>
      <c r="D682" s="59"/>
      <c r="E682" s="59"/>
      <c r="F682" s="8"/>
      <c r="G682" s="8"/>
      <c r="H682" s="8"/>
      <c r="I682" s="8"/>
      <c r="J682" s="8"/>
      <c r="K682" s="8"/>
      <c r="L682" s="8"/>
      <c r="M682" s="8"/>
      <c r="N682" s="8"/>
      <c r="O682" s="8"/>
      <c r="P682" s="8"/>
      <c r="Q682" s="8"/>
      <c r="R682" s="8"/>
      <c r="S682" s="8"/>
      <c r="T682" s="8"/>
      <c r="U682" s="8"/>
      <c r="V682" s="8"/>
      <c r="W682" s="8"/>
      <c r="X682" s="8"/>
      <c r="Y682" s="8"/>
      <c r="Z682" s="8"/>
      <c r="AA682" s="8"/>
    </row>
    <row r="683" spans="1:27" ht="12.75">
      <c r="A683" s="8"/>
      <c r="B683" s="59"/>
      <c r="C683" s="59"/>
      <c r="D683" s="59"/>
      <c r="E683" s="59"/>
      <c r="F683" s="8"/>
      <c r="G683" s="8"/>
      <c r="H683" s="8"/>
      <c r="I683" s="8"/>
      <c r="J683" s="8"/>
      <c r="K683" s="8"/>
      <c r="L683" s="8"/>
      <c r="M683" s="8"/>
      <c r="N683" s="8"/>
      <c r="O683" s="8"/>
      <c r="P683" s="8"/>
      <c r="Q683" s="8"/>
      <c r="R683" s="8"/>
      <c r="S683" s="8"/>
      <c r="T683" s="8"/>
      <c r="U683" s="8"/>
      <c r="V683" s="8"/>
      <c r="W683" s="8"/>
      <c r="X683" s="8"/>
      <c r="Y683" s="8"/>
      <c r="Z683" s="8"/>
      <c r="AA683" s="8"/>
    </row>
    <row r="684" spans="1:27" ht="12.75">
      <c r="A684" s="8"/>
      <c r="B684" s="59"/>
      <c r="C684" s="59"/>
      <c r="D684" s="59"/>
      <c r="E684" s="59"/>
      <c r="F684" s="8"/>
      <c r="G684" s="8"/>
      <c r="H684" s="8"/>
      <c r="I684" s="8"/>
      <c r="J684" s="8"/>
      <c r="K684" s="8"/>
      <c r="L684" s="8"/>
      <c r="M684" s="8"/>
      <c r="N684" s="8"/>
      <c r="O684" s="8"/>
      <c r="P684" s="8"/>
      <c r="Q684" s="8"/>
      <c r="R684" s="8"/>
      <c r="S684" s="8"/>
      <c r="T684" s="8"/>
      <c r="U684" s="8"/>
      <c r="V684" s="8"/>
      <c r="W684" s="8"/>
      <c r="X684" s="8"/>
      <c r="Y684" s="8"/>
      <c r="Z684" s="8"/>
      <c r="AA684" s="8"/>
    </row>
    <row r="685" spans="1:27" ht="12.75">
      <c r="A685" s="8"/>
      <c r="B685" s="59"/>
      <c r="C685" s="59"/>
      <c r="D685" s="59"/>
      <c r="E685" s="59"/>
      <c r="F685" s="8"/>
      <c r="G685" s="8"/>
      <c r="H685" s="8"/>
      <c r="I685" s="8"/>
      <c r="J685" s="8"/>
      <c r="K685" s="8"/>
      <c r="L685" s="8"/>
      <c r="M685" s="8"/>
      <c r="N685" s="8"/>
      <c r="O685" s="8"/>
      <c r="P685" s="8"/>
      <c r="Q685" s="8"/>
      <c r="R685" s="8"/>
      <c r="S685" s="8"/>
      <c r="T685" s="8"/>
      <c r="U685" s="8"/>
      <c r="V685" s="8"/>
      <c r="W685" s="8"/>
      <c r="X685" s="8"/>
      <c r="Y685" s="8"/>
      <c r="Z685" s="8"/>
      <c r="AA685" s="8"/>
    </row>
    <row r="686" spans="1:27" ht="12.75">
      <c r="A686" s="8"/>
      <c r="B686" s="59"/>
      <c r="C686" s="59"/>
      <c r="D686" s="59"/>
      <c r="E686" s="59"/>
      <c r="F686" s="8"/>
      <c r="G686" s="8"/>
      <c r="H686" s="8"/>
      <c r="I686" s="8"/>
      <c r="J686" s="8"/>
      <c r="K686" s="8"/>
      <c r="L686" s="8"/>
      <c r="M686" s="8"/>
      <c r="N686" s="8"/>
      <c r="O686" s="8"/>
      <c r="P686" s="8"/>
      <c r="Q686" s="8"/>
      <c r="R686" s="8"/>
      <c r="S686" s="8"/>
      <c r="T686" s="8"/>
      <c r="U686" s="8"/>
      <c r="V686" s="8"/>
      <c r="W686" s="8"/>
      <c r="X686" s="8"/>
      <c r="Y686" s="8"/>
      <c r="Z686" s="8"/>
      <c r="AA686" s="8"/>
    </row>
    <row r="687" spans="1:27" ht="12.75">
      <c r="A687" s="8"/>
      <c r="B687" s="59"/>
      <c r="C687" s="59"/>
      <c r="D687" s="59"/>
      <c r="E687" s="59"/>
      <c r="F687" s="8"/>
      <c r="G687" s="8"/>
      <c r="H687" s="8"/>
      <c r="I687" s="8"/>
      <c r="J687" s="8"/>
      <c r="K687" s="8"/>
      <c r="L687" s="8"/>
      <c r="M687" s="8"/>
      <c r="N687" s="8"/>
      <c r="O687" s="8"/>
      <c r="P687" s="8"/>
      <c r="Q687" s="8"/>
      <c r="R687" s="8"/>
      <c r="S687" s="8"/>
      <c r="T687" s="8"/>
      <c r="U687" s="8"/>
      <c r="V687" s="8"/>
      <c r="W687" s="8"/>
      <c r="X687" s="8"/>
      <c r="Y687" s="8"/>
      <c r="Z687" s="8"/>
      <c r="AA687" s="8"/>
    </row>
    <row r="688" spans="1:27" ht="12.75">
      <c r="A688" s="8"/>
      <c r="B688" s="59"/>
      <c r="C688" s="59"/>
      <c r="D688" s="59"/>
      <c r="E688" s="59"/>
      <c r="F688" s="8"/>
      <c r="G688" s="8"/>
      <c r="H688" s="8"/>
      <c r="I688" s="8"/>
      <c r="J688" s="8"/>
      <c r="K688" s="8"/>
      <c r="L688" s="8"/>
      <c r="M688" s="8"/>
      <c r="N688" s="8"/>
      <c r="O688" s="8"/>
      <c r="P688" s="8"/>
      <c r="Q688" s="8"/>
      <c r="R688" s="8"/>
      <c r="S688" s="8"/>
      <c r="T688" s="8"/>
      <c r="U688" s="8"/>
      <c r="V688" s="8"/>
      <c r="W688" s="8"/>
      <c r="X688" s="8"/>
      <c r="Y688" s="8"/>
      <c r="Z688" s="8"/>
      <c r="AA688" s="8"/>
    </row>
    <row r="689" spans="1:27" ht="12.75">
      <c r="A689" s="8"/>
      <c r="B689" s="59"/>
      <c r="C689" s="59"/>
      <c r="D689" s="59"/>
      <c r="E689" s="59"/>
      <c r="F689" s="8"/>
      <c r="G689" s="8"/>
      <c r="H689" s="8"/>
      <c r="I689" s="8"/>
      <c r="J689" s="8"/>
      <c r="K689" s="8"/>
      <c r="L689" s="8"/>
      <c r="M689" s="8"/>
      <c r="N689" s="8"/>
      <c r="O689" s="8"/>
      <c r="P689" s="8"/>
      <c r="Q689" s="8"/>
      <c r="R689" s="8"/>
      <c r="S689" s="8"/>
      <c r="T689" s="8"/>
      <c r="U689" s="8"/>
      <c r="V689" s="8"/>
      <c r="W689" s="8"/>
      <c r="X689" s="8"/>
      <c r="Y689" s="8"/>
      <c r="Z689" s="8"/>
      <c r="AA689" s="8"/>
    </row>
    <row r="690" spans="1:27" ht="12.75">
      <c r="A690" s="8"/>
      <c r="B690" s="59"/>
      <c r="C690" s="59"/>
      <c r="D690" s="59"/>
      <c r="E690" s="59"/>
      <c r="F690" s="8"/>
      <c r="G690" s="8"/>
      <c r="H690" s="8"/>
      <c r="I690" s="8"/>
      <c r="J690" s="8"/>
      <c r="K690" s="8"/>
      <c r="L690" s="8"/>
      <c r="M690" s="8"/>
      <c r="N690" s="8"/>
      <c r="O690" s="8"/>
      <c r="P690" s="8"/>
      <c r="Q690" s="8"/>
      <c r="R690" s="8"/>
      <c r="S690" s="8"/>
      <c r="T690" s="8"/>
      <c r="U690" s="8"/>
      <c r="V690" s="8"/>
      <c r="W690" s="8"/>
      <c r="X690" s="8"/>
      <c r="Y690" s="8"/>
      <c r="Z690" s="8"/>
      <c r="AA690" s="8"/>
    </row>
    <row r="691" spans="1:27" ht="12.75">
      <c r="A691" s="8"/>
      <c r="B691" s="59"/>
      <c r="C691" s="59"/>
      <c r="D691" s="59"/>
      <c r="E691" s="59"/>
      <c r="F691" s="8"/>
      <c r="G691" s="8"/>
      <c r="H691" s="8"/>
      <c r="I691" s="8"/>
      <c r="J691" s="8"/>
      <c r="K691" s="8"/>
      <c r="L691" s="8"/>
      <c r="M691" s="8"/>
      <c r="N691" s="8"/>
      <c r="O691" s="8"/>
      <c r="P691" s="8"/>
      <c r="Q691" s="8"/>
      <c r="R691" s="8"/>
      <c r="S691" s="8"/>
      <c r="T691" s="8"/>
      <c r="U691" s="8"/>
      <c r="V691" s="8"/>
      <c r="W691" s="8"/>
      <c r="X691" s="8"/>
      <c r="Y691" s="8"/>
      <c r="Z691" s="8"/>
      <c r="AA691" s="8"/>
    </row>
    <row r="692" spans="1:27" ht="12.75">
      <c r="A692" s="8"/>
      <c r="B692" s="59"/>
      <c r="C692" s="59"/>
      <c r="D692" s="59"/>
      <c r="E692" s="59"/>
      <c r="F692" s="8"/>
      <c r="G692" s="8"/>
      <c r="H692" s="8"/>
      <c r="I692" s="8"/>
      <c r="J692" s="8"/>
      <c r="K692" s="8"/>
      <c r="L692" s="8"/>
      <c r="M692" s="8"/>
      <c r="N692" s="8"/>
      <c r="O692" s="8"/>
      <c r="P692" s="8"/>
      <c r="Q692" s="8"/>
      <c r="R692" s="8"/>
      <c r="S692" s="8"/>
      <c r="T692" s="8"/>
      <c r="U692" s="8"/>
      <c r="V692" s="8"/>
      <c r="W692" s="8"/>
      <c r="X692" s="8"/>
      <c r="Y692" s="8"/>
      <c r="Z692" s="8"/>
      <c r="AA692" s="8"/>
    </row>
    <row r="693" spans="1:27" ht="12.75">
      <c r="A693" s="8"/>
      <c r="B693" s="59"/>
      <c r="C693" s="59"/>
      <c r="D693" s="59"/>
      <c r="E693" s="59"/>
      <c r="F693" s="8"/>
      <c r="G693" s="8"/>
      <c r="H693" s="8"/>
      <c r="I693" s="8"/>
      <c r="J693" s="8"/>
      <c r="K693" s="8"/>
      <c r="L693" s="8"/>
      <c r="M693" s="8"/>
      <c r="N693" s="8"/>
      <c r="O693" s="8"/>
      <c r="P693" s="8"/>
      <c r="Q693" s="8"/>
      <c r="R693" s="8"/>
      <c r="S693" s="8"/>
      <c r="T693" s="8"/>
      <c r="U693" s="8"/>
      <c r="V693" s="8"/>
      <c r="W693" s="8"/>
      <c r="X693" s="8"/>
      <c r="Y693" s="8"/>
      <c r="Z693" s="8"/>
      <c r="AA693" s="8"/>
    </row>
    <row r="694" spans="1:27" ht="12.75">
      <c r="A694" s="8"/>
      <c r="B694" s="59"/>
      <c r="C694" s="59"/>
      <c r="D694" s="59"/>
      <c r="E694" s="59"/>
      <c r="F694" s="8"/>
      <c r="G694" s="8"/>
      <c r="H694" s="8"/>
      <c r="I694" s="8"/>
      <c r="J694" s="8"/>
      <c r="K694" s="8"/>
      <c r="L694" s="8"/>
      <c r="M694" s="8"/>
      <c r="N694" s="8"/>
      <c r="O694" s="8"/>
      <c r="P694" s="8"/>
      <c r="Q694" s="8"/>
      <c r="R694" s="8"/>
      <c r="S694" s="8"/>
      <c r="T694" s="8"/>
      <c r="U694" s="8"/>
      <c r="V694" s="8"/>
      <c r="W694" s="8"/>
      <c r="X694" s="8"/>
      <c r="Y694" s="8"/>
      <c r="Z694" s="8"/>
      <c r="AA694" s="8"/>
    </row>
    <row r="695" spans="1:27" ht="12.75">
      <c r="A695" s="8"/>
      <c r="B695" s="59"/>
      <c r="C695" s="59"/>
      <c r="D695" s="59"/>
      <c r="E695" s="59"/>
      <c r="F695" s="8"/>
      <c r="G695" s="8"/>
      <c r="H695" s="8"/>
      <c r="I695" s="8"/>
      <c r="J695" s="8"/>
      <c r="K695" s="8"/>
      <c r="L695" s="8"/>
      <c r="M695" s="8"/>
      <c r="N695" s="8"/>
      <c r="O695" s="8"/>
      <c r="P695" s="8"/>
      <c r="Q695" s="8"/>
      <c r="R695" s="8"/>
      <c r="S695" s="8"/>
      <c r="T695" s="8"/>
      <c r="U695" s="8"/>
      <c r="V695" s="8"/>
      <c r="W695" s="8"/>
      <c r="X695" s="8"/>
      <c r="Y695" s="8"/>
      <c r="Z695" s="8"/>
      <c r="AA695" s="8"/>
    </row>
    <row r="696" spans="1:27" ht="12.75">
      <c r="A696" s="8"/>
      <c r="B696" s="59"/>
      <c r="C696" s="59"/>
      <c r="D696" s="59"/>
      <c r="E696" s="59"/>
      <c r="F696" s="8"/>
      <c r="G696" s="8"/>
      <c r="H696" s="8"/>
      <c r="I696" s="8"/>
      <c r="J696" s="8"/>
      <c r="K696" s="8"/>
      <c r="L696" s="8"/>
      <c r="M696" s="8"/>
      <c r="N696" s="8"/>
      <c r="O696" s="8"/>
      <c r="P696" s="8"/>
      <c r="Q696" s="8"/>
      <c r="R696" s="8"/>
      <c r="S696" s="8"/>
      <c r="T696" s="8"/>
      <c r="U696" s="8"/>
      <c r="V696" s="8"/>
      <c r="W696" s="8"/>
      <c r="X696" s="8"/>
      <c r="Y696" s="8"/>
      <c r="Z696" s="8"/>
      <c r="AA696" s="8"/>
    </row>
    <row r="697" spans="1:27" ht="12.75">
      <c r="A697" s="8"/>
      <c r="B697" s="59"/>
      <c r="C697" s="59"/>
      <c r="D697" s="59"/>
      <c r="E697" s="59"/>
      <c r="F697" s="8"/>
      <c r="G697" s="8"/>
      <c r="H697" s="8"/>
      <c r="I697" s="8"/>
      <c r="J697" s="8"/>
      <c r="K697" s="8"/>
      <c r="L697" s="8"/>
      <c r="M697" s="8"/>
      <c r="N697" s="8"/>
      <c r="O697" s="8"/>
      <c r="P697" s="8"/>
      <c r="Q697" s="8"/>
      <c r="R697" s="8"/>
      <c r="S697" s="8"/>
      <c r="T697" s="8"/>
      <c r="U697" s="8"/>
      <c r="V697" s="8"/>
      <c r="W697" s="8"/>
      <c r="X697" s="8"/>
      <c r="Y697" s="8"/>
      <c r="Z697" s="8"/>
      <c r="AA697" s="8"/>
    </row>
    <row r="698" spans="1:27" ht="12.75">
      <c r="A698" s="8"/>
      <c r="B698" s="59"/>
      <c r="C698" s="59"/>
      <c r="D698" s="59"/>
      <c r="E698" s="59"/>
      <c r="F698" s="8"/>
      <c r="G698" s="8"/>
      <c r="H698" s="8"/>
      <c r="I698" s="8"/>
      <c r="J698" s="8"/>
      <c r="K698" s="8"/>
      <c r="L698" s="8"/>
      <c r="M698" s="8"/>
      <c r="N698" s="8"/>
      <c r="O698" s="8"/>
      <c r="P698" s="8"/>
      <c r="Q698" s="8"/>
      <c r="R698" s="8"/>
      <c r="S698" s="8"/>
      <c r="T698" s="8"/>
      <c r="U698" s="8"/>
      <c r="V698" s="8"/>
      <c r="W698" s="8"/>
      <c r="X698" s="8"/>
      <c r="Y698" s="8"/>
      <c r="Z698" s="8"/>
      <c r="AA698" s="8"/>
    </row>
    <row r="699" spans="1:27" ht="12.75">
      <c r="A699" s="8"/>
      <c r="B699" s="59"/>
      <c r="C699" s="59"/>
      <c r="D699" s="59"/>
      <c r="E699" s="59"/>
      <c r="F699" s="8"/>
      <c r="G699" s="8"/>
      <c r="H699" s="8"/>
      <c r="I699" s="8"/>
      <c r="J699" s="8"/>
      <c r="K699" s="8"/>
      <c r="L699" s="8"/>
      <c r="M699" s="8"/>
      <c r="N699" s="8"/>
      <c r="O699" s="8"/>
      <c r="P699" s="8"/>
      <c r="Q699" s="8"/>
      <c r="R699" s="8"/>
      <c r="S699" s="8"/>
      <c r="T699" s="8"/>
      <c r="U699" s="8"/>
      <c r="V699" s="8"/>
      <c r="W699" s="8"/>
      <c r="X699" s="8"/>
      <c r="Y699" s="8"/>
      <c r="Z699" s="8"/>
      <c r="AA699" s="8"/>
    </row>
    <row r="700" spans="1:27" ht="12.75">
      <c r="A700" s="8"/>
      <c r="B700" s="59"/>
      <c r="C700" s="59"/>
      <c r="D700" s="59"/>
      <c r="E700" s="59"/>
      <c r="F700" s="8"/>
      <c r="G700" s="8"/>
      <c r="H700" s="8"/>
      <c r="I700" s="8"/>
      <c r="J700" s="8"/>
      <c r="K700" s="8"/>
      <c r="L700" s="8"/>
      <c r="M700" s="8"/>
      <c r="N700" s="8"/>
      <c r="O700" s="8"/>
      <c r="P700" s="8"/>
      <c r="Q700" s="8"/>
      <c r="R700" s="8"/>
      <c r="S700" s="8"/>
      <c r="T700" s="8"/>
      <c r="U700" s="8"/>
      <c r="V700" s="8"/>
      <c r="W700" s="8"/>
      <c r="X700" s="8"/>
      <c r="Y700" s="8"/>
      <c r="Z700" s="8"/>
      <c r="AA700" s="8"/>
    </row>
    <row r="701" spans="1:27" ht="12.75">
      <c r="A701" s="8"/>
      <c r="B701" s="59"/>
      <c r="C701" s="59"/>
      <c r="D701" s="59"/>
      <c r="E701" s="59"/>
      <c r="F701" s="8"/>
      <c r="G701" s="8"/>
      <c r="H701" s="8"/>
      <c r="I701" s="8"/>
      <c r="J701" s="8"/>
      <c r="K701" s="8"/>
      <c r="L701" s="8"/>
      <c r="M701" s="8"/>
      <c r="N701" s="8"/>
      <c r="O701" s="8"/>
      <c r="P701" s="8"/>
      <c r="Q701" s="8"/>
      <c r="R701" s="8"/>
      <c r="S701" s="8"/>
      <c r="T701" s="8"/>
      <c r="U701" s="8"/>
      <c r="V701" s="8"/>
      <c r="W701" s="8"/>
      <c r="X701" s="8"/>
      <c r="Y701" s="8"/>
      <c r="Z701" s="8"/>
      <c r="AA701" s="8"/>
    </row>
    <row r="702" spans="1:27" ht="12.75">
      <c r="A702" s="8"/>
      <c r="B702" s="59"/>
      <c r="C702" s="59"/>
      <c r="D702" s="59"/>
      <c r="E702" s="59"/>
      <c r="F702" s="8"/>
      <c r="G702" s="8"/>
      <c r="H702" s="8"/>
      <c r="I702" s="8"/>
      <c r="J702" s="8"/>
      <c r="K702" s="8"/>
      <c r="L702" s="8"/>
      <c r="M702" s="8"/>
      <c r="N702" s="8"/>
      <c r="O702" s="8"/>
      <c r="P702" s="8"/>
      <c r="Q702" s="8"/>
      <c r="R702" s="8"/>
      <c r="S702" s="8"/>
      <c r="T702" s="8"/>
      <c r="U702" s="8"/>
      <c r="V702" s="8"/>
      <c r="W702" s="8"/>
      <c r="X702" s="8"/>
      <c r="Y702" s="8"/>
      <c r="Z702" s="8"/>
      <c r="AA702" s="8"/>
    </row>
    <row r="703" spans="1:27" ht="12.75">
      <c r="A703" s="8"/>
      <c r="B703" s="59"/>
      <c r="C703" s="59"/>
      <c r="D703" s="59"/>
      <c r="E703" s="59"/>
      <c r="F703" s="8"/>
      <c r="G703" s="8"/>
      <c r="H703" s="8"/>
      <c r="I703" s="8"/>
      <c r="J703" s="8"/>
      <c r="K703" s="8"/>
      <c r="L703" s="8"/>
      <c r="M703" s="8"/>
      <c r="N703" s="8"/>
      <c r="O703" s="8"/>
      <c r="P703" s="8"/>
      <c r="Q703" s="8"/>
      <c r="R703" s="8"/>
      <c r="S703" s="8"/>
      <c r="T703" s="8"/>
      <c r="U703" s="8"/>
      <c r="V703" s="8"/>
      <c r="W703" s="8"/>
      <c r="X703" s="8"/>
      <c r="Y703" s="8"/>
      <c r="Z703" s="8"/>
      <c r="AA703" s="8"/>
    </row>
    <row r="704" spans="1:27" ht="12.75">
      <c r="A704" s="8"/>
      <c r="B704" s="59"/>
      <c r="C704" s="59"/>
      <c r="D704" s="59"/>
      <c r="E704" s="59"/>
      <c r="F704" s="8"/>
      <c r="G704" s="8"/>
      <c r="H704" s="8"/>
      <c r="I704" s="8"/>
      <c r="J704" s="8"/>
      <c r="K704" s="8"/>
      <c r="L704" s="8"/>
      <c r="M704" s="8"/>
      <c r="N704" s="8"/>
      <c r="O704" s="8"/>
      <c r="P704" s="8"/>
      <c r="Q704" s="8"/>
      <c r="R704" s="8"/>
      <c r="S704" s="8"/>
      <c r="T704" s="8"/>
      <c r="U704" s="8"/>
      <c r="V704" s="8"/>
      <c r="W704" s="8"/>
      <c r="X704" s="8"/>
      <c r="Y704" s="8"/>
      <c r="Z704" s="8"/>
      <c r="AA704" s="8"/>
    </row>
    <row r="705" spans="1:27" ht="12.75">
      <c r="A705" s="8"/>
      <c r="B705" s="59"/>
      <c r="C705" s="59"/>
      <c r="D705" s="59"/>
      <c r="E705" s="59"/>
      <c r="F705" s="8"/>
      <c r="G705" s="8"/>
      <c r="H705" s="8"/>
      <c r="I705" s="8"/>
      <c r="J705" s="8"/>
      <c r="K705" s="8"/>
      <c r="L705" s="8"/>
      <c r="M705" s="8"/>
      <c r="N705" s="8"/>
      <c r="O705" s="8"/>
      <c r="P705" s="8"/>
      <c r="Q705" s="8"/>
      <c r="R705" s="8"/>
      <c r="S705" s="8"/>
      <c r="T705" s="8"/>
      <c r="U705" s="8"/>
      <c r="V705" s="8"/>
      <c r="W705" s="8"/>
      <c r="X705" s="8"/>
      <c r="Y705" s="8"/>
      <c r="Z705" s="8"/>
      <c r="AA705" s="8"/>
    </row>
    <row r="706" spans="1:27" ht="12.75">
      <c r="A706" s="8"/>
      <c r="B706" s="59"/>
      <c r="C706" s="59"/>
      <c r="D706" s="59"/>
      <c r="E706" s="59"/>
      <c r="F706" s="8"/>
      <c r="G706" s="8"/>
      <c r="H706" s="8"/>
      <c r="I706" s="8"/>
      <c r="J706" s="8"/>
      <c r="K706" s="8"/>
      <c r="L706" s="8"/>
      <c r="M706" s="8"/>
      <c r="N706" s="8"/>
      <c r="O706" s="8"/>
      <c r="P706" s="8"/>
      <c r="Q706" s="8"/>
      <c r="R706" s="8"/>
      <c r="S706" s="8"/>
      <c r="T706" s="8"/>
      <c r="U706" s="8"/>
      <c r="V706" s="8"/>
      <c r="W706" s="8"/>
      <c r="X706" s="8"/>
      <c r="Y706" s="8"/>
      <c r="Z706" s="8"/>
      <c r="AA706" s="8"/>
    </row>
    <row r="707" spans="1:27" ht="12.75">
      <c r="A707" s="8"/>
      <c r="B707" s="59"/>
      <c r="C707" s="59"/>
      <c r="D707" s="59"/>
      <c r="E707" s="59"/>
      <c r="F707" s="8"/>
      <c r="G707" s="8"/>
      <c r="H707" s="8"/>
      <c r="I707" s="8"/>
      <c r="J707" s="8"/>
      <c r="K707" s="8"/>
      <c r="L707" s="8"/>
      <c r="M707" s="8"/>
      <c r="N707" s="8"/>
      <c r="O707" s="8"/>
      <c r="P707" s="8"/>
      <c r="Q707" s="8"/>
      <c r="R707" s="8"/>
      <c r="S707" s="8"/>
      <c r="T707" s="8"/>
      <c r="U707" s="8"/>
      <c r="V707" s="8"/>
      <c r="W707" s="8"/>
      <c r="X707" s="8"/>
      <c r="Y707" s="8"/>
      <c r="Z707" s="8"/>
      <c r="AA707" s="8"/>
    </row>
    <row r="708" spans="1:27" ht="12.75">
      <c r="A708" s="8"/>
      <c r="B708" s="59"/>
      <c r="C708" s="59"/>
      <c r="D708" s="59"/>
      <c r="E708" s="59"/>
      <c r="F708" s="8"/>
      <c r="G708" s="8"/>
      <c r="H708" s="8"/>
      <c r="I708" s="8"/>
      <c r="J708" s="8"/>
      <c r="K708" s="8"/>
      <c r="L708" s="8"/>
      <c r="M708" s="8"/>
      <c r="N708" s="8"/>
      <c r="O708" s="8"/>
      <c r="P708" s="8"/>
      <c r="Q708" s="8"/>
      <c r="R708" s="8"/>
      <c r="S708" s="8"/>
      <c r="T708" s="8"/>
      <c r="U708" s="8"/>
      <c r="V708" s="8"/>
      <c r="W708" s="8"/>
      <c r="X708" s="8"/>
      <c r="Y708" s="8"/>
      <c r="Z708" s="8"/>
      <c r="AA708" s="8"/>
    </row>
    <row r="709" spans="1:27" ht="12.75">
      <c r="A709" s="8"/>
      <c r="B709" s="59"/>
      <c r="C709" s="59"/>
      <c r="D709" s="59"/>
      <c r="E709" s="59"/>
      <c r="F709" s="8"/>
      <c r="G709" s="8"/>
      <c r="H709" s="8"/>
      <c r="I709" s="8"/>
      <c r="J709" s="8"/>
      <c r="K709" s="8"/>
      <c r="L709" s="8"/>
      <c r="M709" s="8"/>
      <c r="N709" s="8"/>
      <c r="O709" s="8"/>
      <c r="P709" s="8"/>
      <c r="Q709" s="8"/>
      <c r="R709" s="8"/>
      <c r="S709" s="8"/>
      <c r="T709" s="8"/>
      <c r="U709" s="8"/>
      <c r="V709" s="8"/>
      <c r="W709" s="8"/>
      <c r="X709" s="8"/>
      <c r="Y709" s="8"/>
      <c r="Z709" s="8"/>
      <c r="AA709" s="8"/>
    </row>
    <row r="710" spans="1:27" ht="12.75">
      <c r="A710" s="8"/>
      <c r="B710" s="59"/>
      <c r="C710" s="59"/>
      <c r="D710" s="59"/>
      <c r="E710" s="59"/>
      <c r="F710" s="8"/>
      <c r="G710" s="8"/>
      <c r="H710" s="8"/>
      <c r="I710" s="8"/>
      <c r="J710" s="8"/>
      <c r="K710" s="8"/>
      <c r="L710" s="8"/>
      <c r="M710" s="8"/>
      <c r="N710" s="8"/>
      <c r="O710" s="8"/>
      <c r="P710" s="8"/>
      <c r="Q710" s="8"/>
      <c r="R710" s="8"/>
      <c r="S710" s="8"/>
      <c r="T710" s="8"/>
      <c r="U710" s="8"/>
      <c r="V710" s="8"/>
      <c r="W710" s="8"/>
      <c r="X710" s="8"/>
      <c r="Y710" s="8"/>
      <c r="Z710" s="8"/>
      <c r="AA710" s="8"/>
    </row>
    <row r="711" spans="1:27" ht="12.75">
      <c r="A711" s="8"/>
      <c r="B711" s="59"/>
      <c r="C711" s="59"/>
      <c r="D711" s="59"/>
      <c r="E711" s="59"/>
      <c r="F711" s="8"/>
      <c r="G711" s="8"/>
      <c r="H711" s="8"/>
      <c r="I711" s="8"/>
      <c r="J711" s="8"/>
      <c r="K711" s="8"/>
      <c r="L711" s="8"/>
      <c r="M711" s="8"/>
      <c r="N711" s="8"/>
      <c r="O711" s="8"/>
      <c r="P711" s="8"/>
      <c r="Q711" s="8"/>
      <c r="R711" s="8"/>
      <c r="S711" s="8"/>
      <c r="T711" s="8"/>
      <c r="U711" s="8"/>
      <c r="V711" s="8"/>
      <c r="W711" s="8"/>
      <c r="X711" s="8"/>
      <c r="Y711" s="8"/>
      <c r="Z711" s="8"/>
      <c r="AA711" s="8"/>
    </row>
    <row r="712" spans="1:27" ht="12.75">
      <c r="A712" s="8"/>
      <c r="B712" s="59"/>
      <c r="C712" s="59"/>
      <c r="D712" s="59"/>
      <c r="E712" s="59"/>
      <c r="F712" s="8"/>
      <c r="G712" s="8"/>
      <c r="H712" s="8"/>
      <c r="I712" s="8"/>
      <c r="J712" s="8"/>
      <c r="K712" s="8"/>
      <c r="L712" s="8"/>
      <c r="M712" s="8"/>
      <c r="N712" s="8"/>
      <c r="O712" s="8"/>
      <c r="P712" s="8"/>
      <c r="Q712" s="8"/>
      <c r="R712" s="8"/>
      <c r="S712" s="8"/>
      <c r="T712" s="8"/>
      <c r="U712" s="8"/>
      <c r="V712" s="8"/>
      <c r="W712" s="8"/>
      <c r="X712" s="8"/>
      <c r="Y712" s="8"/>
      <c r="Z712" s="8"/>
      <c r="AA712" s="8"/>
    </row>
    <row r="713" spans="1:27" ht="12.75">
      <c r="A713" s="8"/>
      <c r="B713" s="59"/>
      <c r="C713" s="59"/>
      <c r="D713" s="59"/>
      <c r="E713" s="59"/>
      <c r="F713" s="8"/>
      <c r="G713" s="8"/>
      <c r="H713" s="8"/>
      <c r="I713" s="8"/>
      <c r="J713" s="8"/>
      <c r="K713" s="8"/>
      <c r="L713" s="8"/>
      <c r="M713" s="8"/>
      <c r="N713" s="8"/>
      <c r="O713" s="8"/>
      <c r="P713" s="8"/>
      <c r="Q713" s="8"/>
      <c r="R713" s="8"/>
      <c r="S713" s="8"/>
      <c r="T713" s="8"/>
      <c r="U713" s="8"/>
      <c r="V713" s="8"/>
      <c r="W713" s="8"/>
      <c r="X713" s="8"/>
      <c r="Y713" s="8"/>
      <c r="Z713" s="8"/>
      <c r="AA713" s="8"/>
    </row>
    <row r="714" spans="1:27" ht="12.75">
      <c r="A714" s="8"/>
      <c r="B714" s="59"/>
      <c r="C714" s="59"/>
      <c r="D714" s="59"/>
      <c r="E714" s="59"/>
      <c r="F714" s="8"/>
      <c r="G714" s="8"/>
      <c r="H714" s="8"/>
      <c r="I714" s="8"/>
      <c r="J714" s="8"/>
      <c r="K714" s="8"/>
      <c r="L714" s="8"/>
      <c r="M714" s="8"/>
      <c r="N714" s="8"/>
      <c r="O714" s="8"/>
      <c r="P714" s="8"/>
      <c r="Q714" s="8"/>
      <c r="R714" s="8"/>
      <c r="S714" s="8"/>
      <c r="T714" s="8"/>
      <c r="U714" s="8"/>
      <c r="V714" s="8"/>
      <c r="W714" s="8"/>
      <c r="X714" s="8"/>
      <c r="Y714" s="8"/>
      <c r="Z714" s="8"/>
      <c r="AA714" s="8"/>
    </row>
    <row r="715" spans="1:27" ht="12.75">
      <c r="A715" s="8"/>
      <c r="B715" s="59"/>
      <c r="C715" s="59"/>
      <c r="D715" s="59"/>
      <c r="E715" s="59"/>
      <c r="F715" s="8"/>
      <c r="G715" s="8"/>
      <c r="H715" s="8"/>
      <c r="I715" s="8"/>
      <c r="J715" s="8"/>
      <c r="K715" s="8"/>
      <c r="L715" s="8"/>
      <c r="M715" s="8"/>
      <c r="N715" s="8"/>
      <c r="O715" s="8"/>
      <c r="P715" s="8"/>
      <c r="Q715" s="8"/>
      <c r="R715" s="8"/>
      <c r="S715" s="8"/>
      <c r="T715" s="8"/>
      <c r="U715" s="8"/>
      <c r="V715" s="8"/>
      <c r="W715" s="8"/>
      <c r="X715" s="8"/>
      <c r="Y715" s="8"/>
      <c r="Z715" s="8"/>
      <c r="AA715" s="8"/>
    </row>
    <row r="716" spans="1:27" ht="12.75">
      <c r="A716" s="8"/>
      <c r="B716" s="59"/>
      <c r="C716" s="59"/>
      <c r="D716" s="59"/>
      <c r="E716" s="59"/>
      <c r="F716" s="8"/>
      <c r="G716" s="8"/>
      <c r="H716" s="8"/>
      <c r="I716" s="8"/>
      <c r="J716" s="8"/>
      <c r="K716" s="8"/>
      <c r="L716" s="8"/>
      <c r="M716" s="8"/>
      <c r="N716" s="8"/>
      <c r="O716" s="8"/>
      <c r="P716" s="8"/>
      <c r="Q716" s="8"/>
      <c r="R716" s="8"/>
      <c r="S716" s="8"/>
      <c r="T716" s="8"/>
      <c r="U716" s="8"/>
      <c r="V716" s="8"/>
      <c r="W716" s="8"/>
      <c r="X716" s="8"/>
      <c r="Y716" s="8"/>
      <c r="Z716" s="8"/>
      <c r="AA716" s="8"/>
    </row>
    <row r="717" spans="1:27" ht="12.75">
      <c r="A717" s="8"/>
      <c r="B717" s="59"/>
      <c r="C717" s="59"/>
      <c r="D717" s="59"/>
      <c r="E717" s="59"/>
      <c r="F717" s="8"/>
      <c r="G717" s="8"/>
      <c r="H717" s="8"/>
      <c r="I717" s="8"/>
      <c r="J717" s="8"/>
      <c r="K717" s="8"/>
      <c r="L717" s="8"/>
      <c r="M717" s="8"/>
      <c r="N717" s="8"/>
      <c r="O717" s="8"/>
      <c r="P717" s="8"/>
      <c r="Q717" s="8"/>
      <c r="R717" s="8"/>
      <c r="S717" s="8"/>
      <c r="T717" s="8"/>
      <c r="U717" s="8"/>
      <c r="V717" s="8"/>
      <c r="W717" s="8"/>
      <c r="X717" s="8"/>
      <c r="Y717" s="8"/>
      <c r="Z717" s="8"/>
      <c r="AA717" s="8"/>
    </row>
    <row r="718" spans="1:27" ht="12.75">
      <c r="A718" s="8"/>
      <c r="B718" s="59"/>
      <c r="C718" s="59"/>
      <c r="D718" s="59"/>
      <c r="E718" s="59"/>
      <c r="F718" s="8"/>
      <c r="G718" s="8"/>
      <c r="H718" s="8"/>
      <c r="I718" s="8"/>
      <c r="J718" s="8"/>
      <c r="K718" s="8"/>
      <c r="L718" s="8"/>
      <c r="M718" s="8"/>
      <c r="N718" s="8"/>
      <c r="O718" s="8"/>
      <c r="P718" s="8"/>
      <c r="Q718" s="8"/>
      <c r="R718" s="8"/>
      <c r="S718" s="8"/>
      <c r="T718" s="8"/>
      <c r="U718" s="8"/>
      <c r="V718" s="8"/>
      <c r="W718" s="8"/>
      <c r="X718" s="8"/>
      <c r="Y718" s="8"/>
      <c r="Z718" s="8"/>
      <c r="AA718" s="8"/>
    </row>
    <row r="719" spans="1:27" ht="12.75">
      <c r="A719" s="8"/>
      <c r="B719" s="59"/>
      <c r="C719" s="59"/>
      <c r="D719" s="59"/>
      <c r="E719" s="59"/>
      <c r="F719" s="8"/>
      <c r="G719" s="8"/>
      <c r="H719" s="8"/>
      <c r="I719" s="8"/>
      <c r="J719" s="8"/>
      <c r="K719" s="8"/>
      <c r="L719" s="8"/>
      <c r="M719" s="8"/>
      <c r="N719" s="8"/>
      <c r="O719" s="8"/>
      <c r="P719" s="8"/>
      <c r="Q719" s="8"/>
      <c r="R719" s="8"/>
      <c r="S719" s="8"/>
      <c r="T719" s="8"/>
      <c r="U719" s="8"/>
      <c r="V719" s="8"/>
      <c r="W719" s="8"/>
      <c r="X719" s="8"/>
      <c r="Y719" s="8"/>
      <c r="Z719" s="8"/>
      <c r="AA719" s="8"/>
    </row>
    <row r="720" spans="1:27" ht="12.75">
      <c r="A720" s="8"/>
      <c r="B720" s="59"/>
      <c r="C720" s="59"/>
      <c r="D720" s="59"/>
      <c r="E720" s="59"/>
      <c r="F720" s="8"/>
      <c r="G720" s="8"/>
      <c r="H720" s="8"/>
      <c r="I720" s="8"/>
      <c r="J720" s="8"/>
      <c r="K720" s="8"/>
      <c r="L720" s="8"/>
      <c r="M720" s="8"/>
      <c r="N720" s="8"/>
      <c r="O720" s="8"/>
      <c r="P720" s="8"/>
      <c r="Q720" s="8"/>
      <c r="R720" s="8"/>
      <c r="S720" s="8"/>
      <c r="T720" s="8"/>
      <c r="U720" s="8"/>
      <c r="V720" s="8"/>
      <c r="W720" s="8"/>
      <c r="X720" s="8"/>
      <c r="Y720" s="8"/>
      <c r="Z720" s="8"/>
      <c r="AA720" s="8"/>
    </row>
    <row r="721" spans="1:27" ht="12.75">
      <c r="A721" s="8"/>
      <c r="B721" s="59"/>
      <c r="C721" s="59"/>
      <c r="D721" s="59"/>
      <c r="E721" s="59"/>
      <c r="F721" s="8"/>
      <c r="G721" s="8"/>
      <c r="H721" s="8"/>
      <c r="I721" s="8"/>
      <c r="J721" s="8"/>
      <c r="K721" s="8"/>
      <c r="L721" s="8"/>
      <c r="M721" s="8"/>
      <c r="N721" s="8"/>
      <c r="O721" s="8"/>
      <c r="P721" s="8"/>
      <c r="Q721" s="8"/>
      <c r="R721" s="8"/>
      <c r="S721" s="8"/>
      <c r="T721" s="8"/>
      <c r="U721" s="8"/>
      <c r="V721" s="8"/>
      <c r="W721" s="8"/>
      <c r="X721" s="8"/>
      <c r="Y721" s="8"/>
      <c r="Z721" s="8"/>
      <c r="AA721" s="8"/>
    </row>
    <row r="722" spans="1:27" ht="12.75">
      <c r="A722" s="8"/>
      <c r="B722" s="59"/>
      <c r="C722" s="59"/>
      <c r="D722" s="59"/>
      <c r="E722" s="59"/>
      <c r="F722" s="8"/>
      <c r="G722" s="8"/>
      <c r="H722" s="8"/>
      <c r="I722" s="8"/>
      <c r="J722" s="8"/>
      <c r="K722" s="8"/>
      <c r="L722" s="8"/>
      <c r="M722" s="8"/>
      <c r="N722" s="8"/>
      <c r="O722" s="8"/>
      <c r="P722" s="8"/>
      <c r="Q722" s="8"/>
      <c r="R722" s="8"/>
      <c r="S722" s="8"/>
      <c r="T722" s="8"/>
      <c r="U722" s="8"/>
      <c r="V722" s="8"/>
      <c r="W722" s="8"/>
      <c r="X722" s="8"/>
      <c r="Y722" s="8"/>
      <c r="Z722" s="8"/>
      <c r="AA722" s="8"/>
    </row>
    <row r="723" spans="1:27" ht="12.75">
      <c r="A723" s="8"/>
      <c r="B723" s="59"/>
      <c r="C723" s="59"/>
      <c r="D723" s="59"/>
      <c r="E723" s="59"/>
      <c r="F723" s="8"/>
      <c r="G723" s="8"/>
      <c r="H723" s="8"/>
      <c r="I723" s="8"/>
      <c r="J723" s="8"/>
      <c r="K723" s="8"/>
      <c r="L723" s="8"/>
      <c r="M723" s="8"/>
      <c r="N723" s="8"/>
      <c r="O723" s="8"/>
      <c r="P723" s="8"/>
      <c r="Q723" s="8"/>
      <c r="R723" s="8"/>
      <c r="S723" s="8"/>
      <c r="T723" s="8"/>
      <c r="U723" s="8"/>
      <c r="V723" s="8"/>
      <c r="W723" s="8"/>
      <c r="X723" s="8"/>
      <c r="Y723" s="8"/>
      <c r="Z723" s="8"/>
      <c r="AA723" s="8"/>
    </row>
    <row r="724" spans="1:27" ht="12.75">
      <c r="A724" s="8"/>
      <c r="B724" s="59"/>
      <c r="C724" s="59"/>
      <c r="D724" s="59"/>
      <c r="E724" s="59"/>
      <c r="F724" s="8"/>
      <c r="G724" s="8"/>
      <c r="H724" s="8"/>
      <c r="I724" s="8"/>
      <c r="J724" s="8"/>
      <c r="K724" s="8"/>
      <c r="L724" s="8"/>
      <c r="M724" s="8"/>
      <c r="N724" s="8"/>
      <c r="O724" s="8"/>
      <c r="P724" s="8"/>
      <c r="Q724" s="8"/>
      <c r="R724" s="8"/>
      <c r="S724" s="8"/>
      <c r="T724" s="8"/>
      <c r="U724" s="8"/>
      <c r="V724" s="8"/>
      <c r="W724" s="8"/>
      <c r="X724" s="8"/>
      <c r="Y724" s="8"/>
      <c r="Z724" s="8"/>
      <c r="AA724" s="8"/>
    </row>
    <row r="725" spans="1:27" ht="12.75">
      <c r="A725" s="8"/>
      <c r="B725" s="59"/>
      <c r="C725" s="59"/>
      <c r="D725" s="59"/>
      <c r="E725" s="59"/>
      <c r="F725" s="8"/>
      <c r="G725" s="8"/>
      <c r="H725" s="8"/>
      <c r="I725" s="8"/>
      <c r="J725" s="8"/>
      <c r="K725" s="8"/>
      <c r="L725" s="8"/>
      <c r="M725" s="8"/>
      <c r="N725" s="8"/>
      <c r="O725" s="8"/>
      <c r="P725" s="8"/>
      <c r="Q725" s="8"/>
      <c r="R725" s="8"/>
      <c r="S725" s="8"/>
      <c r="T725" s="8"/>
      <c r="U725" s="8"/>
      <c r="V725" s="8"/>
      <c r="W725" s="8"/>
      <c r="X725" s="8"/>
      <c r="Y725" s="8"/>
      <c r="Z725" s="8"/>
      <c r="AA725" s="8"/>
    </row>
    <row r="726" spans="1:27" ht="12.75">
      <c r="A726" s="8"/>
      <c r="B726" s="59"/>
      <c r="C726" s="59"/>
      <c r="D726" s="59"/>
      <c r="E726" s="59"/>
      <c r="F726" s="8"/>
      <c r="G726" s="8"/>
      <c r="H726" s="8"/>
      <c r="I726" s="8"/>
      <c r="J726" s="8"/>
      <c r="K726" s="8"/>
      <c r="L726" s="8"/>
      <c r="M726" s="8"/>
      <c r="N726" s="8"/>
      <c r="O726" s="8"/>
      <c r="P726" s="8"/>
      <c r="Q726" s="8"/>
      <c r="R726" s="8"/>
      <c r="S726" s="8"/>
      <c r="T726" s="8"/>
      <c r="U726" s="8"/>
      <c r="V726" s="8"/>
      <c r="W726" s="8"/>
      <c r="X726" s="8"/>
      <c r="Y726" s="8"/>
      <c r="Z726" s="8"/>
      <c r="AA726" s="8"/>
    </row>
    <row r="727" spans="1:27" ht="12.75">
      <c r="A727" s="8"/>
      <c r="B727" s="59"/>
      <c r="C727" s="59"/>
      <c r="D727" s="59"/>
      <c r="E727" s="59"/>
      <c r="F727" s="8"/>
      <c r="G727" s="8"/>
      <c r="H727" s="8"/>
      <c r="I727" s="8"/>
      <c r="J727" s="8"/>
      <c r="K727" s="8"/>
      <c r="L727" s="8"/>
      <c r="M727" s="8"/>
      <c r="N727" s="8"/>
      <c r="O727" s="8"/>
      <c r="P727" s="8"/>
      <c r="Q727" s="8"/>
      <c r="R727" s="8"/>
      <c r="S727" s="8"/>
      <c r="T727" s="8"/>
      <c r="U727" s="8"/>
      <c r="V727" s="8"/>
      <c r="W727" s="8"/>
      <c r="X727" s="8"/>
      <c r="Y727" s="8"/>
      <c r="Z727" s="8"/>
      <c r="AA727" s="8"/>
    </row>
    <row r="728" spans="1:27" ht="12.75">
      <c r="A728" s="8"/>
      <c r="B728" s="59"/>
      <c r="C728" s="59"/>
      <c r="D728" s="59"/>
      <c r="E728" s="59"/>
      <c r="F728" s="8"/>
      <c r="G728" s="8"/>
      <c r="H728" s="8"/>
      <c r="I728" s="8"/>
      <c r="J728" s="8"/>
      <c r="K728" s="8"/>
      <c r="L728" s="8"/>
      <c r="M728" s="8"/>
      <c r="N728" s="8"/>
      <c r="O728" s="8"/>
      <c r="P728" s="8"/>
      <c r="Q728" s="8"/>
      <c r="R728" s="8"/>
      <c r="S728" s="8"/>
      <c r="T728" s="8"/>
      <c r="U728" s="8"/>
      <c r="V728" s="8"/>
      <c r="W728" s="8"/>
      <c r="X728" s="8"/>
      <c r="Y728" s="8"/>
      <c r="Z728" s="8"/>
      <c r="AA728" s="8"/>
    </row>
    <row r="729" spans="1:27" ht="12.75">
      <c r="A729" s="8"/>
      <c r="B729" s="59"/>
      <c r="C729" s="59"/>
      <c r="D729" s="59"/>
      <c r="E729" s="59"/>
      <c r="F729" s="8"/>
      <c r="G729" s="8"/>
      <c r="H729" s="8"/>
      <c r="I729" s="8"/>
      <c r="J729" s="8"/>
      <c r="K729" s="8"/>
      <c r="L729" s="8"/>
      <c r="M729" s="8"/>
      <c r="N729" s="8"/>
      <c r="O729" s="8"/>
      <c r="P729" s="8"/>
      <c r="Q729" s="8"/>
      <c r="R729" s="8"/>
      <c r="S729" s="8"/>
      <c r="T729" s="8"/>
      <c r="U729" s="8"/>
      <c r="V729" s="8"/>
      <c r="W729" s="8"/>
      <c r="X729" s="8"/>
      <c r="Y729" s="8"/>
      <c r="Z729" s="8"/>
      <c r="AA729" s="8"/>
    </row>
    <row r="730" spans="1:27" ht="12.75">
      <c r="A730" s="8"/>
      <c r="B730" s="59"/>
      <c r="C730" s="59"/>
      <c r="D730" s="59"/>
      <c r="E730" s="59"/>
      <c r="F730" s="8"/>
      <c r="G730" s="8"/>
      <c r="H730" s="8"/>
      <c r="I730" s="8"/>
      <c r="J730" s="8"/>
      <c r="K730" s="8"/>
      <c r="L730" s="8"/>
      <c r="M730" s="8"/>
      <c r="N730" s="8"/>
      <c r="O730" s="8"/>
      <c r="P730" s="8"/>
      <c r="Q730" s="8"/>
      <c r="R730" s="8"/>
      <c r="S730" s="8"/>
      <c r="T730" s="8"/>
      <c r="U730" s="8"/>
      <c r="V730" s="8"/>
      <c r="W730" s="8"/>
      <c r="X730" s="8"/>
      <c r="Y730" s="8"/>
      <c r="Z730" s="8"/>
      <c r="AA730" s="8"/>
    </row>
    <row r="731" spans="1:27" ht="12.75">
      <c r="A731" s="8"/>
      <c r="B731" s="59"/>
      <c r="C731" s="59"/>
      <c r="D731" s="59"/>
      <c r="E731" s="59"/>
      <c r="F731" s="8"/>
      <c r="G731" s="8"/>
      <c r="H731" s="8"/>
      <c r="I731" s="8"/>
      <c r="J731" s="8"/>
      <c r="K731" s="8"/>
      <c r="L731" s="8"/>
      <c r="M731" s="8"/>
      <c r="N731" s="8"/>
      <c r="O731" s="8"/>
      <c r="P731" s="8"/>
      <c r="Q731" s="8"/>
      <c r="R731" s="8"/>
      <c r="S731" s="8"/>
      <c r="T731" s="8"/>
      <c r="U731" s="8"/>
      <c r="V731" s="8"/>
      <c r="W731" s="8"/>
      <c r="X731" s="8"/>
      <c r="Y731" s="8"/>
      <c r="Z731" s="8"/>
      <c r="AA731" s="8"/>
    </row>
    <row r="732" spans="1:27" ht="12.75">
      <c r="A732" s="8"/>
      <c r="B732" s="59"/>
      <c r="C732" s="59"/>
      <c r="D732" s="59"/>
      <c r="E732" s="59"/>
      <c r="F732" s="8"/>
      <c r="G732" s="8"/>
      <c r="H732" s="8"/>
      <c r="I732" s="8"/>
      <c r="J732" s="8"/>
      <c r="K732" s="8"/>
      <c r="L732" s="8"/>
      <c r="M732" s="8"/>
      <c r="N732" s="8"/>
      <c r="O732" s="8"/>
      <c r="P732" s="8"/>
      <c r="Q732" s="8"/>
      <c r="R732" s="8"/>
      <c r="S732" s="8"/>
      <c r="T732" s="8"/>
      <c r="U732" s="8"/>
      <c r="V732" s="8"/>
      <c r="W732" s="8"/>
      <c r="X732" s="8"/>
      <c r="Y732" s="8"/>
      <c r="Z732" s="8"/>
      <c r="AA732" s="8"/>
    </row>
    <row r="733" spans="1:27" ht="12.75">
      <c r="A733" s="8"/>
      <c r="B733" s="59"/>
      <c r="C733" s="59"/>
      <c r="D733" s="59"/>
      <c r="E733" s="59"/>
      <c r="F733" s="8"/>
      <c r="G733" s="8"/>
      <c r="H733" s="8"/>
      <c r="I733" s="8"/>
      <c r="J733" s="8"/>
      <c r="K733" s="8"/>
      <c r="L733" s="8"/>
      <c r="M733" s="8"/>
      <c r="N733" s="8"/>
      <c r="O733" s="8"/>
      <c r="P733" s="8"/>
      <c r="Q733" s="8"/>
      <c r="R733" s="8"/>
      <c r="S733" s="8"/>
      <c r="T733" s="8"/>
      <c r="U733" s="8"/>
      <c r="V733" s="8"/>
      <c r="W733" s="8"/>
      <c r="X733" s="8"/>
      <c r="Y733" s="8"/>
      <c r="Z733" s="8"/>
      <c r="AA733" s="8"/>
    </row>
    <row r="734" spans="1:27" ht="12.75">
      <c r="A734" s="8"/>
      <c r="B734" s="59"/>
      <c r="C734" s="59"/>
      <c r="D734" s="59"/>
      <c r="E734" s="59"/>
      <c r="F734" s="8"/>
      <c r="G734" s="8"/>
      <c r="H734" s="8"/>
      <c r="I734" s="8"/>
      <c r="J734" s="8"/>
      <c r="K734" s="8"/>
      <c r="L734" s="8"/>
      <c r="M734" s="8"/>
      <c r="N734" s="8"/>
      <c r="O734" s="8"/>
      <c r="P734" s="8"/>
      <c r="Q734" s="8"/>
      <c r="R734" s="8"/>
      <c r="S734" s="8"/>
      <c r="T734" s="8"/>
      <c r="U734" s="8"/>
      <c r="V734" s="8"/>
      <c r="W734" s="8"/>
      <c r="X734" s="8"/>
      <c r="Y734" s="8"/>
      <c r="Z734" s="8"/>
      <c r="AA734" s="8"/>
    </row>
    <row r="735" spans="1:27" ht="12.75">
      <c r="A735" s="8"/>
      <c r="B735" s="59"/>
      <c r="C735" s="59"/>
      <c r="D735" s="59"/>
      <c r="E735" s="59"/>
      <c r="F735" s="8"/>
      <c r="G735" s="8"/>
      <c r="H735" s="8"/>
      <c r="I735" s="8"/>
      <c r="J735" s="8"/>
      <c r="K735" s="8"/>
      <c r="L735" s="8"/>
      <c r="M735" s="8"/>
      <c r="N735" s="8"/>
      <c r="O735" s="8"/>
      <c r="P735" s="8"/>
      <c r="Q735" s="8"/>
      <c r="R735" s="8"/>
      <c r="S735" s="8"/>
      <c r="T735" s="8"/>
      <c r="U735" s="8"/>
      <c r="V735" s="8"/>
      <c r="W735" s="8"/>
      <c r="X735" s="8"/>
      <c r="Y735" s="8"/>
      <c r="Z735" s="8"/>
      <c r="AA735" s="8"/>
    </row>
    <row r="736" spans="1:27" ht="12.75">
      <c r="A736" s="8"/>
      <c r="B736" s="59"/>
      <c r="C736" s="59"/>
      <c r="D736" s="59"/>
      <c r="E736" s="59"/>
      <c r="F736" s="8"/>
      <c r="G736" s="8"/>
      <c r="H736" s="8"/>
      <c r="I736" s="8"/>
      <c r="J736" s="8"/>
      <c r="K736" s="8"/>
      <c r="L736" s="8"/>
      <c r="M736" s="8"/>
      <c r="N736" s="8"/>
      <c r="O736" s="8"/>
      <c r="P736" s="8"/>
      <c r="Q736" s="8"/>
      <c r="R736" s="8"/>
      <c r="S736" s="8"/>
      <c r="T736" s="8"/>
      <c r="U736" s="8"/>
      <c r="V736" s="8"/>
      <c r="W736" s="8"/>
      <c r="X736" s="8"/>
      <c r="Y736" s="8"/>
      <c r="Z736" s="8"/>
      <c r="AA736" s="8"/>
    </row>
    <row r="737" spans="1:27" ht="12.75">
      <c r="A737" s="8"/>
      <c r="B737" s="59"/>
      <c r="C737" s="59"/>
      <c r="D737" s="59"/>
      <c r="E737" s="59"/>
      <c r="F737" s="8"/>
      <c r="G737" s="8"/>
      <c r="H737" s="8"/>
      <c r="I737" s="8"/>
      <c r="J737" s="8"/>
      <c r="K737" s="8"/>
      <c r="L737" s="8"/>
      <c r="M737" s="8"/>
      <c r="N737" s="8"/>
      <c r="O737" s="8"/>
      <c r="P737" s="8"/>
      <c r="Q737" s="8"/>
      <c r="R737" s="8"/>
      <c r="S737" s="8"/>
      <c r="T737" s="8"/>
      <c r="U737" s="8"/>
      <c r="V737" s="8"/>
      <c r="W737" s="8"/>
      <c r="X737" s="8"/>
      <c r="Y737" s="8"/>
      <c r="Z737" s="8"/>
      <c r="AA737" s="8"/>
    </row>
    <row r="738" spans="1:27" ht="12.75">
      <c r="A738" s="8"/>
      <c r="B738" s="59"/>
      <c r="C738" s="59"/>
      <c r="D738" s="59"/>
      <c r="E738" s="59"/>
      <c r="F738" s="8"/>
      <c r="G738" s="8"/>
      <c r="H738" s="8"/>
      <c r="I738" s="8"/>
      <c r="J738" s="8"/>
      <c r="K738" s="8"/>
      <c r="L738" s="8"/>
      <c r="M738" s="8"/>
      <c r="N738" s="8"/>
      <c r="O738" s="8"/>
      <c r="P738" s="8"/>
      <c r="Q738" s="8"/>
      <c r="R738" s="8"/>
      <c r="S738" s="8"/>
      <c r="T738" s="8"/>
      <c r="U738" s="8"/>
      <c r="V738" s="8"/>
      <c r="W738" s="8"/>
      <c r="X738" s="8"/>
      <c r="Y738" s="8"/>
      <c r="Z738" s="8"/>
      <c r="AA738" s="8"/>
    </row>
    <row r="739" spans="1:27" ht="12.75">
      <c r="A739" s="8"/>
      <c r="B739" s="59"/>
      <c r="C739" s="59"/>
      <c r="D739" s="59"/>
      <c r="E739" s="59"/>
      <c r="F739" s="8"/>
      <c r="G739" s="8"/>
      <c r="H739" s="8"/>
      <c r="I739" s="8"/>
      <c r="J739" s="8"/>
      <c r="K739" s="8"/>
      <c r="L739" s="8"/>
      <c r="M739" s="8"/>
      <c r="N739" s="8"/>
      <c r="O739" s="8"/>
      <c r="P739" s="8"/>
      <c r="Q739" s="8"/>
      <c r="R739" s="8"/>
      <c r="S739" s="8"/>
      <c r="T739" s="8"/>
      <c r="U739" s="8"/>
      <c r="V739" s="8"/>
      <c r="W739" s="8"/>
      <c r="X739" s="8"/>
      <c r="Y739" s="8"/>
      <c r="Z739" s="8"/>
      <c r="AA739" s="8"/>
    </row>
    <row r="740" spans="1:27" ht="12.75">
      <c r="A740" s="8"/>
      <c r="B740" s="59"/>
      <c r="C740" s="59"/>
      <c r="D740" s="59"/>
      <c r="E740" s="59"/>
      <c r="F740" s="8"/>
      <c r="G740" s="8"/>
      <c r="H740" s="8"/>
      <c r="I740" s="8"/>
      <c r="J740" s="8"/>
      <c r="K740" s="8"/>
      <c r="L740" s="8"/>
      <c r="M740" s="8"/>
      <c r="N740" s="8"/>
      <c r="O740" s="8"/>
      <c r="P740" s="8"/>
      <c r="Q740" s="8"/>
      <c r="R740" s="8"/>
      <c r="S740" s="8"/>
      <c r="T740" s="8"/>
      <c r="U740" s="8"/>
      <c r="V740" s="8"/>
      <c r="W740" s="8"/>
      <c r="X740" s="8"/>
      <c r="Y740" s="8"/>
      <c r="Z740" s="8"/>
      <c r="AA740" s="8"/>
    </row>
    <row r="741" spans="1:27" ht="12.75">
      <c r="A741" s="8"/>
      <c r="B741" s="59"/>
      <c r="C741" s="59"/>
      <c r="D741" s="59"/>
      <c r="E741" s="59"/>
      <c r="F741" s="8"/>
      <c r="G741" s="8"/>
      <c r="H741" s="8"/>
      <c r="I741" s="8"/>
      <c r="J741" s="8"/>
      <c r="K741" s="8"/>
      <c r="L741" s="8"/>
      <c r="M741" s="8"/>
      <c r="N741" s="8"/>
      <c r="O741" s="8"/>
      <c r="P741" s="8"/>
      <c r="Q741" s="8"/>
      <c r="R741" s="8"/>
      <c r="S741" s="8"/>
      <c r="T741" s="8"/>
      <c r="U741" s="8"/>
      <c r="V741" s="8"/>
      <c r="W741" s="8"/>
      <c r="X741" s="8"/>
      <c r="Y741" s="8"/>
      <c r="Z741" s="8"/>
      <c r="AA741" s="8"/>
    </row>
    <row r="742" spans="1:27" ht="12.75">
      <c r="A742" s="8"/>
      <c r="B742" s="59"/>
      <c r="C742" s="59"/>
      <c r="D742" s="59"/>
      <c r="E742" s="59"/>
      <c r="F742" s="8"/>
      <c r="G742" s="8"/>
      <c r="H742" s="8"/>
      <c r="I742" s="8"/>
      <c r="J742" s="8"/>
      <c r="K742" s="8"/>
      <c r="L742" s="8"/>
      <c r="M742" s="8"/>
      <c r="N742" s="8"/>
      <c r="O742" s="8"/>
      <c r="P742" s="8"/>
      <c r="Q742" s="8"/>
      <c r="R742" s="8"/>
      <c r="S742" s="8"/>
      <c r="T742" s="8"/>
      <c r="U742" s="8"/>
      <c r="V742" s="8"/>
      <c r="W742" s="8"/>
      <c r="X742" s="8"/>
      <c r="Y742" s="8"/>
      <c r="Z742" s="8"/>
      <c r="AA742" s="8"/>
    </row>
    <row r="743" spans="1:27" ht="12.75">
      <c r="A743" s="8"/>
      <c r="B743" s="59"/>
      <c r="C743" s="59"/>
      <c r="D743" s="59"/>
      <c r="E743" s="59"/>
      <c r="F743" s="8"/>
      <c r="G743" s="8"/>
      <c r="H743" s="8"/>
      <c r="I743" s="8"/>
      <c r="J743" s="8"/>
      <c r="K743" s="8"/>
      <c r="L743" s="8"/>
      <c r="M743" s="8"/>
      <c r="N743" s="8"/>
      <c r="O743" s="8"/>
      <c r="P743" s="8"/>
      <c r="Q743" s="8"/>
      <c r="R743" s="8"/>
      <c r="S743" s="8"/>
      <c r="T743" s="8"/>
      <c r="U743" s="8"/>
      <c r="V743" s="8"/>
      <c r="W743" s="8"/>
      <c r="X743" s="8"/>
      <c r="Y743" s="8"/>
      <c r="Z743" s="8"/>
      <c r="AA743" s="8"/>
    </row>
    <row r="744" spans="1:27" ht="12.75">
      <c r="A744" s="8"/>
      <c r="B744" s="59"/>
      <c r="C744" s="59"/>
      <c r="D744" s="59"/>
      <c r="E744" s="59"/>
      <c r="F744" s="8"/>
      <c r="G744" s="8"/>
      <c r="H744" s="8"/>
      <c r="I744" s="8"/>
      <c r="J744" s="8"/>
      <c r="K744" s="8"/>
      <c r="L744" s="8"/>
      <c r="M744" s="8"/>
      <c r="N744" s="8"/>
      <c r="O744" s="8"/>
      <c r="P744" s="8"/>
      <c r="Q744" s="8"/>
      <c r="R744" s="8"/>
      <c r="S744" s="8"/>
      <c r="T744" s="8"/>
      <c r="U744" s="8"/>
      <c r="V744" s="8"/>
      <c r="W744" s="8"/>
      <c r="X744" s="8"/>
      <c r="Y744" s="8"/>
      <c r="Z744" s="8"/>
      <c r="AA744" s="8"/>
    </row>
    <row r="745" spans="1:27" ht="12.75">
      <c r="A745" s="8"/>
      <c r="B745" s="59"/>
      <c r="C745" s="59"/>
      <c r="D745" s="59"/>
      <c r="E745" s="59"/>
      <c r="F745" s="8"/>
      <c r="G745" s="8"/>
      <c r="H745" s="8"/>
      <c r="I745" s="8"/>
      <c r="J745" s="8"/>
      <c r="K745" s="8"/>
      <c r="L745" s="8"/>
      <c r="M745" s="8"/>
      <c r="N745" s="8"/>
      <c r="O745" s="8"/>
      <c r="P745" s="8"/>
      <c r="Q745" s="8"/>
      <c r="R745" s="8"/>
      <c r="S745" s="8"/>
      <c r="T745" s="8"/>
      <c r="U745" s="8"/>
      <c r="V745" s="8"/>
      <c r="W745" s="8"/>
      <c r="X745" s="8"/>
      <c r="Y745" s="8"/>
      <c r="Z745" s="8"/>
      <c r="AA745" s="8"/>
    </row>
    <row r="746" spans="1:27" ht="12.75">
      <c r="A746" s="8"/>
      <c r="B746" s="59"/>
      <c r="C746" s="59"/>
      <c r="D746" s="59"/>
      <c r="E746" s="59"/>
      <c r="F746" s="8"/>
      <c r="G746" s="8"/>
      <c r="H746" s="8"/>
      <c r="I746" s="8"/>
      <c r="J746" s="8"/>
      <c r="K746" s="8"/>
      <c r="L746" s="8"/>
      <c r="M746" s="8"/>
      <c r="N746" s="8"/>
      <c r="O746" s="8"/>
      <c r="P746" s="8"/>
      <c r="Q746" s="8"/>
      <c r="R746" s="8"/>
      <c r="S746" s="8"/>
      <c r="T746" s="8"/>
      <c r="U746" s="8"/>
      <c r="V746" s="8"/>
      <c r="W746" s="8"/>
      <c r="X746" s="8"/>
      <c r="Y746" s="8"/>
      <c r="Z746" s="8"/>
      <c r="AA746" s="8"/>
    </row>
    <row r="747" spans="1:27" ht="12.75">
      <c r="A747" s="8"/>
      <c r="B747" s="59"/>
      <c r="C747" s="59"/>
      <c r="D747" s="59"/>
      <c r="E747" s="59"/>
      <c r="F747" s="8"/>
      <c r="G747" s="8"/>
      <c r="H747" s="8"/>
      <c r="I747" s="8"/>
      <c r="J747" s="8"/>
      <c r="K747" s="8"/>
      <c r="L747" s="8"/>
      <c r="M747" s="8"/>
      <c r="N747" s="8"/>
      <c r="O747" s="8"/>
      <c r="P747" s="8"/>
      <c r="Q747" s="8"/>
      <c r="R747" s="8"/>
      <c r="S747" s="8"/>
      <c r="T747" s="8"/>
      <c r="U747" s="8"/>
      <c r="V747" s="8"/>
      <c r="W747" s="8"/>
      <c r="X747" s="8"/>
      <c r="Y747" s="8"/>
      <c r="Z747" s="8"/>
      <c r="AA747" s="8"/>
    </row>
    <row r="748" spans="1:27" ht="12.75">
      <c r="A748" s="8"/>
      <c r="B748" s="59"/>
      <c r="C748" s="59"/>
      <c r="D748" s="59"/>
      <c r="E748" s="59"/>
      <c r="F748" s="8"/>
      <c r="G748" s="8"/>
      <c r="H748" s="8"/>
      <c r="I748" s="8"/>
      <c r="J748" s="8"/>
      <c r="K748" s="8"/>
      <c r="L748" s="8"/>
      <c r="M748" s="8"/>
      <c r="N748" s="8"/>
      <c r="O748" s="8"/>
      <c r="P748" s="8"/>
      <c r="Q748" s="8"/>
      <c r="R748" s="8"/>
      <c r="S748" s="8"/>
      <c r="T748" s="8"/>
      <c r="U748" s="8"/>
      <c r="V748" s="8"/>
      <c r="W748" s="8"/>
      <c r="X748" s="8"/>
      <c r="Y748" s="8"/>
      <c r="Z748" s="8"/>
      <c r="AA748" s="8"/>
    </row>
    <row r="749" spans="1:27" ht="12.75">
      <c r="A749" s="8"/>
      <c r="B749" s="59"/>
      <c r="C749" s="59"/>
      <c r="D749" s="59"/>
      <c r="E749" s="59"/>
      <c r="F749" s="8"/>
      <c r="G749" s="8"/>
      <c r="H749" s="8"/>
      <c r="I749" s="8"/>
      <c r="J749" s="8"/>
      <c r="K749" s="8"/>
      <c r="L749" s="8"/>
      <c r="M749" s="8"/>
      <c r="N749" s="8"/>
      <c r="O749" s="8"/>
      <c r="P749" s="8"/>
      <c r="Q749" s="8"/>
      <c r="R749" s="8"/>
      <c r="S749" s="8"/>
      <c r="T749" s="8"/>
      <c r="U749" s="8"/>
      <c r="V749" s="8"/>
      <c r="W749" s="8"/>
      <c r="X749" s="8"/>
      <c r="Y749" s="8"/>
      <c r="Z749" s="8"/>
      <c r="AA749" s="8"/>
    </row>
    <row r="750" spans="1:27" ht="12.75">
      <c r="A750" s="8"/>
      <c r="B750" s="59"/>
      <c r="C750" s="59"/>
      <c r="D750" s="59"/>
      <c r="E750" s="59"/>
      <c r="F750" s="8"/>
      <c r="G750" s="8"/>
      <c r="H750" s="8"/>
      <c r="I750" s="8"/>
      <c r="J750" s="8"/>
      <c r="K750" s="8"/>
      <c r="L750" s="8"/>
      <c r="M750" s="8"/>
      <c r="N750" s="8"/>
      <c r="O750" s="8"/>
      <c r="P750" s="8"/>
      <c r="Q750" s="8"/>
      <c r="R750" s="8"/>
      <c r="S750" s="8"/>
      <c r="T750" s="8"/>
      <c r="U750" s="8"/>
      <c r="V750" s="8"/>
      <c r="W750" s="8"/>
      <c r="X750" s="8"/>
      <c r="Y750" s="8"/>
      <c r="Z750" s="8"/>
      <c r="AA750" s="8"/>
    </row>
    <row r="751" spans="1:27" ht="12.75">
      <c r="A751" s="8"/>
      <c r="B751" s="59"/>
      <c r="C751" s="59"/>
      <c r="D751" s="59"/>
      <c r="E751" s="59"/>
      <c r="F751" s="8"/>
      <c r="G751" s="8"/>
      <c r="H751" s="8"/>
      <c r="I751" s="8"/>
      <c r="J751" s="8"/>
      <c r="K751" s="8"/>
      <c r="L751" s="8"/>
      <c r="M751" s="8"/>
      <c r="N751" s="8"/>
      <c r="O751" s="8"/>
      <c r="P751" s="8"/>
      <c r="Q751" s="8"/>
      <c r="R751" s="8"/>
      <c r="S751" s="8"/>
      <c r="T751" s="8"/>
      <c r="U751" s="8"/>
      <c r="V751" s="8"/>
      <c r="W751" s="8"/>
      <c r="X751" s="8"/>
      <c r="Y751" s="8"/>
      <c r="Z751" s="8"/>
      <c r="AA751" s="8"/>
    </row>
    <row r="752" spans="1:27" ht="12.75">
      <c r="A752" s="8"/>
      <c r="B752" s="59"/>
      <c r="C752" s="59"/>
      <c r="D752" s="59"/>
      <c r="E752" s="59"/>
      <c r="F752" s="8"/>
      <c r="G752" s="8"/>
      <c r="H752" s="8"/>
      <c r="I752" s="8"/>
      <c r="J752" s="8"/>
      <c r="K752" s="8"/>
      <c r="L752" s="8"/>
      <c r="M752" s="8"/>
      <c r="N752" s="8"/>
      <c r="O752" s="8"/>
      <c r="P752" s="8"/>
      <c r="Q752" s="8"/>
      <c r="R752" s="8"/>
      <c r="S752" s="8"/>
      <c r="T752" s="8"/>
      <c r="U752" s="8"/>
      <c r="V752" s="8"/>
      <c r="W752" s="8"/>
      <c r="X752" s="8"/>
      <c r="Y752" s="8"/>
      <c r="Z752" s="8"/>
      <c r="AA752" s="8"/>
    </row>
    <row r="753" spans="1:27" ht="12.75">
      <c r="A753" s="8"/>
      <c r="B753" s="59"/>
      <c r="C753" s="59"/>
      <c r="D753" s="59"/>
      <c r="E753" s="59"/>
      <c r="F753" s="8"/>
      <c r="G753" s="8"/>
      <c r="H753" s="8"/>
      <c r="I753" s="8"/>
      <c r="J753" s="8"/>
      <c r="K753" s="8"/>
      <c r="L753" s="8"/>
      <c r="M753" s="8"/>
      <c r="N753" s="8"/>
      <c r="O753" s="8"/>
      <c r="P753" s="8"/>
      <c r="Q753" s="8"/>
      <c r="R753" s="8"/>
      <c r="S753" s="8"/>
      <c r="T753" s="8"/>
      <c r="U753" s="8"/>
      <c r="V753" s="8"/>
      <c r="W753" s="8"/>
      <c r="X753" s="8"/>
      <c r="Y753" s="8"/>
      <c r="Z753" s="8"/>
      <c r="AA753" s="8"/>
    </row>
    <row r="754" spans="1:27" ht="12.75">
      <c r="A754" s="8"/>
      <c r="B754" s="59"/>
      <c r="C754" s="59"/>
      <c r="D754" s="59"/>
      <c r="E754" s="59"/>
      <c r="F754" s="8"/>
      <c r="G754" s="8"/>
      <c r="H754" s="8"/>
      <c r="I754" s="8"/>
      <c r="J754" s="8"/>
      <c r="K754" s="8"/>
      <c r="L754" s="8"/>
      <c r="M754" s="8"/>
      <c r="N754" s="8"/>
      <c r="O754" s="8"/>
      <c r="P754" s="8"/>
      <c r="Q754" s="8"/>
      <c r="R754" s="8"/>
      <c r="S754" s="8"/>
      <c r="T754" s="8"/>
      <c r="U754" s="8"/>
      <c r="V754" s="8"/>
      <c r="W754" s="8"/>
      <c r="X754" s="8"/>
      <c r="Y754" s="8"/>
      <c r="Z754" s="8"/>
      <c r="AA754" s="8"/>
    </row>
    <row r="755" spans="1:27" ht="12.75">
      <c r="A755" s="8"/>
      <c r="B755" s="59"/>
      <c r="C755" s="59"/>
      <c r="D755" s="59"/>
      <c r="E755" s="59"/>
      <c r="F755" s="8"/>
      <c r="G755" s="8"/>
      <c r="H755" s="8"/>
      <c r="I755" s="8"/>
      <c r="J755" s="8"/>
      <c r="K755" s="8"/>
      <c r="L755" s="8"/>
      <c r="M755" s="8"/>
      <c r="N755" s="8"/>
      <c r="O755" s="8"/>
      <c r="P755" s="8"/>
      <c r="Q755" s="8"/>
      <c r="R755" s="8"/>
      <c r="S755" s="8"/>
      <c r="T755" s="8"/>
      <c r="U755" s="8"/>
      <c r="V755" s="8"/>
      <c r="W755" s="8"/>
      <c r="X755" s="8"/>
      <c r="Y755" s="8"/>
      <c r="Z755" s="8"/>
      <c r="AA755" s="8"/>
    </row>
    <row r="756" spans="1:27" ht="12.75">
      <c r="A756" s="8"/>
      <c r="B756" s="59"/>
      <c r="C756" s="59"/>
      <c r="D756" s="59"/>
      <c r="E756" s="59"/>
      <c r="F756" s="8"/>
      <c r="G756" s="8"/>
      <c r="H756" s="8"/>
      <c r="I756" s="8"/>
      <c r="J756" s="8"/>
      <c r="K756" s="8"/>
      <c r="L756" s="8"/>
      <c r="M756" s="8"/>
      <c r="N756" s="8"/>
      <c r="O756" s="8"/>
      <c r="P756" s="8"/>
      <c r="Q756" s="8"/>
      <c r="R756" s="8"/>
      <c r="S756" s="8"/>
      <c r="T756" s="8"/>
      <c r="U756" s="8"/>
      <c r="V756" s="8"/>
      <c r="W756" s="8"/>
      <c r="X756" s="8"/>
      <c r="Y756" s="8"/>
      <c r="Z756" s="8"/>
      <c r="AA756" s="8"/>
    </row>
    <row r="757" spans="1:27" ht="12.75">
      <c r="A757" s="8"/>
      <c r="B757" s="59"/>
      <c r="C757" s="59"/>
      <c r="D757" s="59"/>
      <c r="E757" s="59"/>
      <c r="F757" s="8"/>
      <c r="G757" s="8"/>
      <c r="H757" s="8"/>
      <c r="I757" s="8"/>
      <c r="J757" s="8"/>
      <c r="K757" s="8"/>
      <c r="L757" s="8"/>
      <c r="M757" s="8"/>
      <c r="N757" s="8"/>
      <c r="O757" s="8"/>
      <c r="P757" s="8"/>
      <c r="Q757" s="8"/>
      <c r="R757" s="8"/>
      <c r="S757" s="8"/>
      <c r="T757" s="8"/>
      <c r="U757" s="8"/>
      <c r="V757" s="8"/>
      <c r="W757" s="8"/>
      <c r="X757" s="8"/>
      <c r="Y757" s="8"/>
      <c r="Z757" s="8"/>
      <c r="AA757" s="8"/>
    </row>
    <row r="758" spans="1:27" ht="12.75">
      <c r="A758" s="8"/>
      <c r="B758" s="59"/>
      <c r="C758" s="59"/>
      <c r="D758" s="59"/>
      <c r="E758" s="59"/>
      <c r="F758" s="8"/>
      <c r="G758" s="8"/>
      <c r="H758" s="8"/>
      <c r="I758" s="8"/>
      <c r="J758" s="8"/>
      <c r="K758" s="8"/>
      <c r="L758" s="8"/>
      <c r="M758" s="8"/>
      <c r="N758" s="8"/>
      <c r="O758" s="8"/>
      <c r="P758" s="8"/>
      <c r="Q758" s="8"/>
      <c r="R758" s="8"/>
      <c r="S758" s="8"/>
      <c r="T758" s="8"/>
      <c r="U758" s="8"/>
      <c r="V758" s="8"/>
      <c r="W758" s="8"/>
      <c r="X758" s="8"/>
      <c r="Y758" s="8"/>
      <c r="Z758" s="8"/>
      <c r="AA758" s="8"/>
    </row>
    <row r="759" spans="1:27" ht="12.75">
      <c r="A759" s="8"/>
      <c r="B759" s="59"/>
      <c r="C759" s="59"/>
      <c r="D759" s="59"/>
      <c r="E759" s="59"/>
      <c r="F759" s="8"/>
      <c r="G759" s="8"/>
      <c r="H759" s="8"/>
      <c r="I759" s="8"/>
      <c r="J759" s="8"/>
      <c r="K759" s="8"/>
      <c r="L759" s="8"/>
      <c r="M759" s="8"/>
      <c r="N759" s="8"/>
      <c r="O759" s="8"/>
      <c r="P759" s="8"/>
      <c r="Q759" s="8"/>
      <c r="R759" s="8"/>
      <c r="S759" s="8"/>
      <c r="T759" s="8"/>
      <c r="U759" s="8"/>
      <c r="V759" s="8"/>
      <c r="W759" s="8"/>
      <c r="X759" s="8"/>
      <c r="Y759" s="8"/>
      <c r="Z759" s="8"/>
      <c r="AA759" s="8"/>
    </row>
    <row r="760" spans="1:27" ht="12.75">
      <c r="A760" s="8"/>
      <c r="B760" s="59"/>
      <c r="C760" s="59"/>
      <c r="D760" s="59"/>
      <c r="E760" s="59"/>
      <c r="F760" s="8"/>
      <c r="G760" s="8"/>
      <c r="H760" s="8"/>
      <c r="I760" s="8"/>
      <c r="J760" s="8"/>
      <c r="K760" s="8"/>
      <c r="L760" s="8"/>
      <c r="M760" s="8"/>
      <c r="N760" s="8"/>
      <c r="O760" s="8"/>
      <c r="P760" s="8"/>
      <c r="Q760" s="8"/>
      <c r="R760" s="8"/>
      <c r="S760" s="8"/>
      <c r="T760" s="8"/>
      <c r="U760" s="8"/>
      <c r="V760" s="8"/>
      <c r="W760" s="8"/>
      <c r="X760" s="8"/>
      <c r="Y760" s="8"/>
      <c r="Z760" s="8"/>
      <c r="AA760" s="8"/>
    </row>
    <row r="761" spans="1:27" ht="12.75">
      <c r="A761" s="8"/>
      <c r="B761" s="59"/>
      <c r="C761" s="59"/>
      <c r="D761" s="59"/>
      <c r="E761" s="59"/>
      <c r="F761" s="8"/>
      <c r="G761" s="8"/>
      <c r="H761" s="8"/>
      <c r="I761" s="8"/>
      <c r="J761" s="8"/>
      <c r="K761" s="8"/>
      <c r="L761" s="8"/>
      <c r="M761" s="8"/>
      <c r="N761" s="8"/>
      <c r="O761" s="8"/>
      <c r="P761" s="8"/>
      <c r="Q761" s="8"/>
      <c r="R761" s="8"/>
      <c r="S761" s="8"/>
      <c r="T761" s="8"/>
      <c r="U761" s="8"/>
      <c r="V761" s="8"/>
      <c r="W761" s="8"/>
      <c r="X761" s="8"/>
      <c r="Y761" s="8"/>
      <c r="Z761" s="8"/>
      <c r="AA761" s="8"/>
    </row>
    <row r="762" spans="1:27" ht="12.75">
      <c r="A762" s="8"/>
      <c r="B762" s="59"/>
      <c r="C762" s="59"/>
      <c r="D762" s="59"/>
      <c r="E762" s="59"/>
      <c r="F762" s="8"/>
      <c r="G762" s="8"/>
      <c r="H762" s="8"/>
      <c r="I762" s="8"/>
      <c r="J762" s="8"/>
      <c r="K762" s="8"/>
      <c r="L762" s="8"/>
      <c r="M762" s="8"/>
      <c r="N762" s="8"/>
      <c r="O762" s="8"/>
      <c r="P762" s="8"/>
      <c r="Q762" s="8"/>
      <c r="R762" s="8"/>
      <c r="S762" s="8"/>
      <c r="T762" s="8"/>
      <c r="U762" s="8"/>
      <c r="V762" s="8"/>
      <c r="W762" s="8"/>
      <c r="X762" s="8"/>
      <c r="Y762" s="8"/>
      <c r="Z762" s="8"/>
      <c r="AA762" s="8"/>
    </row>
    <row r="763" spans="1:27" ht="12.75">
      <c r="A763" s="8"/>
      <c r="B763" s="59"/>
      <c r="C763" s="59"/>
      <c r="D763" s="59"/>
      <c r="E763" s="59"/>
      <c r="F763" s="8"/>
      <c r="G763" s="8"/>
      <c r="H763" s="8"/>
      <c r="I763" s="8"/>
      <c r="J763" s="8"/>
      <c r="K763" s="8"/>
      <c r="L763" s="8"/>
      <c r="M763" s="8"/>
      <c r="N763" s="8"/>
      <c r="O763" s="8"/>
      <c r="P763" s="8"/>
      <c r="Q763" s="8"/>
      <c r="R763" s="8"/>
      <c r="S763" s="8"/>
      <c r="T763" s="8"/>
      <c r="U763" s="8"/>
      <c r="V763" s="8"/>
      <c r="W763" s="8"/>
      <c r="X763" s="8"/>
      <c r="Y763" s="8"/>
      <c r="Z763" s="8"/>
      <c r="AA763" s="8"/>
    </row>
    <row r="764" spans="1:27" ht="12.75">
      <c r="A764" s="8"/>
      <c r="B764" s="59"/>
      <c r="C764" s="59"/>
      <c r="D764" s="59"/>
      <c r="E764" s="59"/>
      <c r="F764" s="8"/>
      <c r="G764" s="8"/>
      <c r="H764" s="8"/>
      <c r="I764" s="8"/>
      <c r="J764" s="8"/>
      <c r="K764" s="8"/>
      <c r="L764" s="8"/>
      <c r="M764" s="8"/>
      <c r="N764" s="8"/>
      <c r="O764" s="8"/>
      <c r="P764" s="8"/>
      <c r="Q764" s="8"/>
      <c r="R764" s="8"/>
      <c r="S764" s="8"/>
      <c r="T764" s="8"/>
      <c r="U764" s="8"/>
      <c r="V764" s="8"/>
      <c r="W764" s="8"/>
      <c r="X764" s="8"/>
      <c r="Y764" s="8"/>
      <c r="Z764" s="8"/>
      <c r="AA764" s="8"/>
    </row>
    <row r="765" spans="1:27" ht="12.75">
      <c r="A765" s="8"/>
      <c r="B765" s="59"/>
      <c r="C765" s="59"/>
      <c r="D765" s="59"/>
      <c r="E765" s="59"/>
      <c r="F765" s="8"/>
      <c r="G765" s="8"/>
      <c r="H765" s="8"/>
      <c r="I765" s="8"/>
      <c r="J765" s="8"/>
      <c r="K765" s="8"/>
      <c r="L765" s="8"/>
      <c r="M765" s="8"/>
      <c r="N765" s="8"/>
      <c r="O765" s="8"/>
      <c r="P765" s="8"/>
      <c r="Q765" s="8"/>
      <c r="R765" s="8"/>
      <c r="S765" s="8"/>
      <c r="T765" s="8"/>
      <c r="U765" s="8"/>
      <c r="V765" s="8"/>
      <c r="W765" s="8"/>
      <c r="X765" s="8"/>
      <c r="Y765" s="8"/>
      <c r="Z765" s="8"/>
      <c r="AA765" s="8"/>
    </row>
    <row r="766" spans="1:27" ht="12.75">
      <c r="A766" s="8"/>
      <c r="B766" s="59"/>
      <c r="C766" s="59"/>
      <c r="D766" s="59"/>
      <c r="E766" s="59"/>
      <c r="F766" s="8"/>
      <c r="G766" s="8"/>
      <c r="H766" s="8"/>
      <c r="I766" s="8"/>
      <c r="J766" s="8"/>
      <c r="K766" s="8"/>
      <c r="L766" s="8"/>
      <c r="M766" s="8"/>
      <c r="N766" s="8"/>
      <c r="O766" s="8"/>
      <c r="P766" s="8"/>
      <c r="Q766" s="8"/>
      <c r="R766" s="8"/>
      <c r="S766" s="8"/>
      <c r="T766" s="8"/>
      <c r="U766" s="8"/>
      <c r="V766" s="8"/>
      <c r="W766" s="8"/>
      <c r="X766" s="8"/>
      <c r="Y766" s="8"/>
      <c r="Z766" s="8"/>
      <c r="AA766" s="8"/>
    </row>
    <row r="767" spans="1:27" ht="12.75">
      <c r="A767" s="8"/>
      <c r="B767" s="59"/>
      <c r="C767" s="59"/>
      <c r="D767" s="59"/>
      <c r="E767" s="59"/>
      <c r="F767" s="8"/>
      <c r="G767" s="8"/>
      <c r="H767" s="8"/>
      <c r="I767" s="8"/>
      <c r="J767" s="8"/>
      <c r="K767" s="8"/>
      <c r="L767" s="8"/>
      <c r="M767" s="8"/>
      <c r="N767" s="8"/>
      <c r="O767" s="8"/>
      <c r="P767" s="8"/>
      <c r="Q767" s="8"/>
      <c r="R767" s="8"/>
      <c r="S767" s="8"/>
      <c r="T767" s="8"/>
      <c r="U767" s="8"/>
      <c r="V767" s="8"/>
      <c r="W767" s="8"/>
      <c r="X767" s="8"/>
      <c r="Y767" s="8"/>
      <c r="Z767" s="8"/>
      <c r="AA767" s="8"/>
    </row>
    <row r="768" spans="1:27" ht="12.75">
      <c r="A768" s="8"/>
      <c r="B768" s="59"/>
      <c r="C768" s="59"/>
      <c r="D768" s="59"/>
      <c r="E768" s="59"/>
      <c r="F768" s="8"/>
      <c r="G768" s="8"/>
      <c r="H768" s="8"/>
      <c r="I768" s="8"/>
      <c r="J768" s="8"/>
      <c r="K768" s="8"/>
      <c r="L768" s="8"/>
      <c r="M768" s="8"/>
      <c r="N768" s="8"/>
      <c r="O768" s="8"/>
      <c r="P768" s="8"/>
      <c r="Q768" s="8"/>
      <c r="R768" s="8"/>
      <c r="S768" s="8"/>
      <c r="T768" s="8"/>
      <c r="U768" s="8"/>
      <c r="V768" s="8"/>
      <c r="W768" s="8"/>
      <c r="X768" s="8"/>
      <c r="Y768" s="8"/>
      <c r="Z768" s="8"/>
      <c r="AA768" s="8"/>
    </row>
    <row r="769" spans="1:27" ht="12.75">
      <c r="A769" s="8"/>
      <c r="B769" s="59"/>
      <c r="C769" s="59"/>
      <c r="D769" s="59"/>
      <c r="E769" s="59"/>
      <c r="F769" s="8"/>
      <c r="G769" s="8"/>
      <c r="H769" s="8"/>
      <c r="I769" s="8"/>
      <c r="J769" s="8"/>
      <c r="K769" s="8"/>
      <c r="L769" s="8"/>
      <c r="M769" s="8"/>
      <c r="N769" s="8"/>
      <c r="O769" s="8"/>
      <c r="P769" s="8"/>
      <c r="Q769" s="8"/>
      <c r="R769" s="8"/>
      <c r="S769" s="8"/>
      <c r="T769" s="8"/>
      <c r="U769" s="8"/>
      <c r="V769" s="8"/>
      <c r="W769" s="8"/>
      <c r="X769" s="8"/>
      <c r="Y769" s="8"/>
      <c r="Z769" s="8"/>
      <c r="AA769" s="8"/>
    </row>
    <row r="770" spans="1:27" ht="12.75">
      <c r="A770" s="8"/>
      <c r="B770" s="59"/>
      <c r="C770" s="59"/>
      <c r="D770" s="59"/>
      <c r="E770" s="59"/>
      <c r="F770" s="8"/>
      <c r="G770" s="8"/>
      <c r="H770" s="8"/>
      <c r="I770" s="8"/>
      <c r="J770" s="8"/>
      <c r="K770" s="8"/>
      <c r="L770" s="8"/>
      <c r="M770" s="8"/>
      <c r="N770" s="8"/>
      <c r="O770" s="8"/>
      <c r="P770" s="8"/>
      <c r="Q770" s="8"/>
      <c r="R770" s="8"/>
      <c r="S770" s="8"/>
      <c r="T770" s="8"/>
      <c r="U770" s="8"/>
      <c r="V770" s="8"/>
      <c r="W770" s="8"/>
      <c r="X770" s="8"/>
      <c r="Y770" s="8"/>
      <c r="Z770" s="8"/>
      <c r="AA770" s="8"/>
    </row>
    <row r="771" spans="1:27" ht="12.75">
      <c r="A771" s="8"/>
      <c r="B771" s="59"/>
      <c r="C771" s="59"/>
      <c r="D771" s="59"/>
      <c r="E771" s="59"/>
      <c r="F771" s="8"/>
      <c r="G771" s="8"/>
      <c r="H771" s="8"/>
      <c r="I771" s="8"/>
      <c r="J771" s="8"/>
      <c r="K771" s="8"/>
      <c r="L771" s="8"/>
      <c r="M771" s="8"/>
      <c r="N771" s="8"/>
      <c r="O771" s="8"/>
      <c r="P771" s="8"/>
      <c r="Q771" s="8"/>
      <c r="R771" s="8"/>
      <c r="S771" s="8"/>
      <c r="T771" s="8"/>
      <c r="U771" s="8"/>
      <c r="V771" s="8"/>
      <c r="W771" s="8"/>
      <c r="X771" s="8"/>
      <c r="Y771" s="8"/>
      <c r="Z771" s="8"/>
      <c r="AA771" s="8"/>
    </row>
    <row r="772" spans="1:27" ht="12.75">
      <c r="A772" s="8"/>
      <c r="B772" s="59"/>
      <c r="C772" s="59"/>
      <c r="D772" s="59"/>
      <c r="E772" s="59"/>
      <c r="F772" s="8"/>
      <c r="G772" s="8"/>
      <c r="H772" s="8"/>
      <c r="I772" s="8"/>
      <c r="J772" s="8"/>
      <c r="K772" s="8"/>
      <c r="L772" s="8"/>
      <c r="M772" s="8"/>
      <c r="N772" s="8"/>
      <c r="O772" s="8"/>
      <c r="P772" s="8"/>
      <c r="Q772" s="8"/>
      <c r="R772" s="8"/>
      <c r="S772" s="8"/>
      <c r="T772" s="8"/>
      <c r="U772" s="8"/>
      <c r="V772" s="8"/>
      <c r="W772" s="8"/>
      <c r="X772" s="8"/>
      <c r="Y772" s="8"/>
      <c r="Z772" s="8"/>
      <c r="AA772" s="8"/>
    </row>
    <row r="773" spans="1:27" ht="12.75">
      <c r="A773" s="8"/>
      <c r="B773" s="59"/>
      <c r="C773" s="59"/>
      <c r="D773" s="59"/>
      <c r="E773" s="59"/>
      <c r="F773" s="8"/>
      <c r="G773" s="8"/>
      <c r="H773" s="8"/>
      <c r="I773" s="8"/>
      <c r="J773" s="8"/>
      <c r="K773" s="8"/>
      <c r="L773" s="8"/>
      <c r="M773" s="8"/>
      <c r="N773" s="8"/>
      <c r="O773" s="8"/>
      <c r="P773" s="8"/>
      <c r="Q773" s="8"/>
      <c r="R773" s="8"/>
      <c r="S773" s="8"/>
      <c r="T773" s="8"/>
      <c r="U773" s="8"/>
      <c r="V773" s="8"/>
      <c r="W773" s="8"/>
      <c r="X773" s="8"/>
      <c r="Y773" s="8"/>
      <c r="Z773" s="8"/>
      <c r="AA773" s="8"/>
    </row>
    <row r="774" spans="1:27" ht="12.75">
      <c r="A774" s="8"/>
      <c r="B774" s="59"/>
      <c r="C774" s="59"/>
      <c r="D774" s="59"/>
      <c r="E774" s="59"/>
      <c r="F774" s="8"/>
      <c r="G774" s="8"/>
      <c r="H774" s="8"/>
      <c r="I774" s="8"/>
      <c r="J774" s="8"/>
      <c r="K774" s="8"/>
      <c r="L774" s="8"/>
      <c r="M774" s="8"/>
      <c r="N774" s="8"/>
      <c r="O774" s="8"/>
      <c r="P774" s="8"/>
      <c r="Q774" s="8"/>
      <c r="R774" s="8"/>
      <c r="S774" s="8"/>
      <c r="T774" s="8"/>
      <c r="U774" s="8"/>
      <c r="V774" s="8"/>
      <c r="W774" s="8"/>
      <c r="X774" s="8"/>
      <c r="Y774" s="8"/>
      <c r="Z774" s="8"/>
      <c r="AA774" s="8"/>
    </row>
    <row r="775" spans="1:27" ht="12.75">
      <c r="A775" s="8"/>
      <c r="B775" s="59"/>
      <c r="C775" s="59"/>
      <c r="D775" s="59"/>
      <c r="E775" s="59"/>
      <c r="F775" s="8"/>
      <c r="G775" s="8"/>
      <c r="H775" s="8"/>
      <c r="I775" s="8"/>
      <c r="J775" s="8"/>
      <c r="K775" s="8"/>
      <c r="L775" s="8"/>
      <c r="M775" s="8"/>
      <c r="N775" s="8"/>
      <c r="O775" s="8"/>
      <c r="P775" s="8"/>
      <c r="Q775" s="8"/>
      <c r="R775" s="8"/>
      <c r="S775" s="8"/>
      <c r="T775" s="8"/>
      <c r="U775" s="8"/>
      <c r="V775" s="8"/>
      <c r="W775" s="8"/>
      <c r="X775" s="8"/>
      <c r="Y775" s="8"/>
      <c r="Z775" s="8"/>
      <c r="AA775" s="8"/>
    </row>
    <row r="776" spans="1:27" ht="12.75">
      <c r="A776" s="8"/>
      <c r="B776" s="59"/>
      <c r="C776" s="59"/>
      <c r="D776" s="59"/>
      <c r="E776" s="59"/>
      <c r="F776" s="8"/>
      <c r="G776" s="8"/>
      <c r="H776" s="8"/>
      <c r="I776" s="8"/>
      <c r="J776" s="8"/>
      <c r="K776" s="8"/>
      <c r="L776" s="8"/>
      <c r="M776" s="8"/>
      <c r="N776" s="8"/>
      <c r="O776" s="8"/>
      <c r="P776" s="8"/>
      <c r="Q776" s="8"/>
      <c r="R776" s="8"/>
      <c r="S776" s="8"/>
      <c r="T776" s="8"/>
      <c r="U776" s="8"/>
      <c r="V776" s="8"/>
      <c r="W776" s="8"/>
      <c r="X776" s="8"/>
      <c r="Y776" s="8"/>
      <c r="Z776" s="8"/>
      <c r="AA776" s="8"/>
    </row>
    <row r="777" spans="1:27" ht="12.75">
      <c r="A777" s="8"/>
      <c r="B777" s="59"/>
      <c r="C777" s="59"/>
      <c r="D777" s="59"/>
      <c r="E777" s="59"/>
      <c r="F777" s="8"/>
      <c r="G777" s="8"/>
      <c r="H777" s="8"/>
      <c r="I777" s="8"/>
      <c r="J777" s="8"/>
      <c r="K777" s="8"/>
      <c r="L777" s="8"/>
      <c r="M777" s="8"/>
      <c r="N777" s="8"/>
      <c r="O777" s="8"/>
      <c r="P777" s="8"/>
      <c r="Q777" s="8"/>
      <c r="R777" s="8"/>
      <c r="S777" s="8"/>
      <c r="T777" s="8"/>
      <c r="U777" s="8"/>
      <c r="V777" s="8"/>
      <c r="W777" s="8"/>
      <c r="X777" s="8"/>
      <c r="Y777" s="8"/>
      <c r="Z777" s="8"/>
      <c r="AA777" s="8"/>
    </row>
    <row r="778" spans="1:27" ht="12.75">
      <c r="A778" s="8"/>
      <c r="B778" s="59"/>
      <c r="C778" s="59"/>
      <c r="D778" s="59"/>
      <c r="E778" s="59"/>
      <c r="F778" s="8"/>
      <c r="G778" s="8"/>
      <c r="H778" s="8"/>
      <c r="I778" s="8"/>
      <c r="J778" s="8"/>
      <c r="K778" s="8"/>
      <c r="L778" s="8"/>
      <c r="M778" s="8"/>
      <c r="N778" s="8"/>
      <c r="O778" s="8"/>
      <c r="P778" s="8"/>
      <c r="Q778" s="8"/>
      <c r="R778" s="8"/>
      <c r="S778" s="8"/>
      <c r="T778" s="8"/>
      <c r="U778" s="8"/>
      <c r="V778" s="8"/>
      <c r="W778" s="8"/>
      <c r="X778" s="8"/>
      <c r="Y778" s="8"/>
      <c r="Z778" s="8"/>
      <c r="AA778" s="8"/>
    </row>
    <row r="779" spans="1:27" ht="12.75">
      <c r="A779" s="8"/>
      <c r="B779" s="59"/>
      <c r="C779" s="59"/>
      <c r="D779" s="59"/>
      <c r="E779" s="59"/>
      <c r="F779" s="8"/>
      <c r="G779" s="8"/>
      <c r="H779" s="8"/>
      <c r="I779" s="8"/>
      <c r="J779" s="8"/>
      <c r="K779" s="8"/>
      <c r="L779" s="8"/>
      <c r="M779" s="8"/>
      <c r="N779" s="8"/>
      <c r="O779" s="8"/>
      <c r="P779" s="8"/>
      <c r="Q779" s="8"/>
      <c r="R779" s="8"/>
      <c r="S779" s="8"/>
      <c r="T779" s="8"/>
      <c r="U779" s="8"/>
      <c r="V779" s="8"/>
      <c r="W779" s="8"/>
      <c r="X779" s="8"/>
      <c r="Y779" s="8"/>
      <c r="Z779" s="8"/>
      <c r="AA779" s="8"/>
    </row>
    <row r="780" spans="1:27" ht="12.75">
      <c r="A780" s="8"/>
      <c r="B780" s="59"/>
      <c r="C780" s="59"/>
      <c r="D780" s="59"/>
      <c r="E780" s="59"/>
      <c r="F780" s="8"/>
      <c r="G780" s="8"/>
      <c r="H780" s="8"/>
      <c r="I780" s="8"/>
      <c r="J780" s="8"/>
      <c r="K780" s="8"/>
      <c r="L780" s="8"/>
      <c r="M780" s="8"/>
      <c r="N780" s="8"/>
      <c r="O780" s="8"/>
      <c r="P780" s="8"/>
      <c r="Q780" s="8"/>
      <c r="R780" s="8"/>
      <c r="S780" s="8"/>
      <c r="T780" s="8"/>
      <c r="U780" s="8"/>
      <c r="V780" s="8"/>
      <c r="W780" s="8"/>
      <c r="X780" s="8"/>
      <c r="Y780" s="8"/>
      <c r="Z780" s="8"/>
      <c r="AA780" s="8"/>
    </row>
    <row r="781" spans="1:27" ht="12.75">
      <c r="A781" s="8"/>
      <c r="B781" s="59"/>
      <c r="C781" s="59"/>
      <c r="D781" s="59"/>
      <c r="E781" s="59"/>
      <c r="F781" s="8"/>
      <c r="G781" s="8"/>
      <c r="H781" s="8"/>
      <c r="I781" s="8"/>
      <c r="J781" s="8"/>
      <c r="K781" s="8"/>
      <c r="L781" s="8"/>
      <c r="M781" s="8"/>
      <c r="N781" s="8"/>
      <c r="O781" s="8"/>
      <c r="P781" s="8"/>
      <c r="Q781" s="8"/>
      <c r="R781" s="8"/>
      <c r="S781" s="8"/>
      <c r="T781" s="8"/>
      <c r="U781" s="8"/>
      <c r="V781" s="8"/>
      <c r="W781" s="8"/>
      <c r="X781" s="8"/>
      <c r="Y781" s="8"/>
      <c r="Z781" s="8"/>
      <c r="AA781" s="8"/>
    </row>
    <row r="782" spans="1:27" ht="12.75">
      <c r="A782" s="8"/>
      <c r="B782" s="59"/>
      <c r="C782" s="59"/>
      <c r="D782" s="59"/>
      <c r="E782" s="59"/>
      <c r="F782" s="8"/>
      <c r="G782" s="8"/>
      <c r="H782" s="8"/>
      <c r="I782" s="8"/>
      <c r="J782" s="8"/>
      <c r="K782" s="8"/>
      <c r="L782" s="8"/>
      <c r="M782" s="8"/>
      <c r="N782" s="8"/>
      <c r="O782" s="8"/>
      <c r="P782" s="8"/>
      <c r="Q782" s="8"/>
      <c r="R782" s="8"/>
      <c r="S782" s="8"/>
      <c r="T782" s="8"/>
      <c r="U782" s="8"/>
      <c r="V782" s="8"/>
      <c r="W782" s="8"/>
      <c r="X782" s="8"/>
      <c r="Y782" s="8"/>
      <c r="Z782" s="8"/>
      <c r="AA782" s="8"/>
    </row>
    <row r="783" spans="1:27" ht="12.75">
      <c r="A783" s="8"/>
      <c r="B783" s="59"/>
      <c r="C783" s="59"/>
      <c r="D783" s="59"/>
      <c r="E783" s="59"/>
      <c r="F783" s="8"/>
      <c r="G783" s="8"/>
      <c r="H783" s="8"/>
      <c r="I783" s="8"/>
      <c r="J783" s="8"/>
      <c r="K783" s="8"/>
      <c r="L783" s="8"/>
      <c r="M783" s="8"/>
      <c r="N783" s="8"/>
      <c r="O783" s="8"/>
      <c r="P783" s="8"/>
      <c r="Q783" s="8"/>
      <c r="R783" s="8"/>
      <c r="S783" s="8"/>
      <c r="T783" s="8"/>
      <c r="U783" s="8"/>
      <c r="V783" s="8"/>
      <c r="W783" s="8"/>
      <c r="X783" s="8"/>
      <c r="Y783" s="8"/>
      <c r="Z783" s="8"/>
      <c r="AA783" s="8"/>
    </row>
    <row r="784" spans="1:27" ht="12.75">
      <c r="A784" s="8"/>
      <c r="B784" s="59"/>
      <c r="C784" s="59"/>
      <c r="D784" s="59"/>
      <c r="E784" s="59"/>
      <c r="F784" s="8"/>
      <c r="G784" s="8"/>
      <c r="H784" s="8"/>
      <c r="I784" s="8"/>
      <c r="J784" s="8"/>
      <c r="K784" s="8"/>
      <c r="L784" s="8"/>
      <c r="M784" s="8"/>
      <c r="N784" s="8"/>
      <c r="O784" s="8"/>
      <c r="P784" s="8"/>
      <c r="Q784" s="8"/>
      <c r="R784" s="8"/>
      <c r="S784" s="8"/>
      <c r="T784" s="8"/>
      <c r="U784" s="8"/>
      <c r="V784" s="8"/>
      <c r="W784" s="8"/>
      <c r="X784" s="8"/>
      <c r="Y784" s="8"/>
      <c r="Z784" s="8"/>
      <c r="AA784" s="8"/>
    </row>
    <row r="785" spans="1:27" ht="12.75">
      <c r="A785" s="8"/>
      <c r="B785" s="59"/>
      <c r="C785" s="59"/>
      <c r="D785" s="59"/>
      <c r="E785" s="59"/>
      <c r="F785" s="8"/>
      <c r="G785" s="8"/>
      <c r="H785" s="8"/>
      <c r="I785" s="8"/>
      <c r="J785" s="8"/>
      <c r="K785" s="8"/>
      <c r="L785" s="8"/>
      <c r="M785" s="8"/>
      <c r="N785" s="8"/>
      <c r="O785" s="8"/>
      <c r="P785" s="8"/>
      <c r="Q785" s="8"/>
      <c r="R785" s="8"/>
      <c r="S785" s="8"/>
      <c r="T785" s="8"/>
      <c r="U785" s="8"/>
      <c r="V785" s="8"/>
      <c r="W785" s="8"/>
      <c r="X785" s="8"/>
      <c r="Y785" s="8"/>
      <c r="Z785" s="8"/>
      <c r="AA785" s="8"/>
    </row>
    <row r="786" spans="1:27" ht="12.75">
      <c r="A786" s="8"/>
      <c r="B786" s="59"/>
      <c r="C786" s="59"/>
      <c r="D786" s="59"/>
      <c r="E786" s="59"/>
      <c r="F786" s="8"/>
      <c r="G786" s="8"/>
      <c r="H786" s="8"/>
      <c r="I786" s="8"/>
      <c r="J786" s="8"/>
      <c r="K786" s="8"/>
      <c r="L786" s="8"/>
      <c r="M786" s="8"/>
      <c r="N786" s="8"/>
      <c r="O786" s="8"/>
      <c r="P786" s="8"/>
      <c r="Q786" s="8"/>
      <c r="R786" s="8"/>
      <c r="S786" s="8"/>
      <c r="T786" s="8"/>
      <c r="U786" s="8"/>
      <c r="V786" s="8"/>
      <c r="W786" s="8"/>
      <c r="X786" s="8"/>
      <c r="Y786" s="8"/>
      <c r="Z786" s="8"/>
      <c r="AA786" s="8"/>
    </row>
    <row r="787" spans="1:27" ht="12.75">
      <c r="A787" s="8"/>
      <c r="B787" s="59"/>
      <c r="C787" s="59"/>
      <c r="D787" s="59"/>
      <c r="E787" s="59"/>
      <c r="F787" s="8"/>
      <c r="G787" s="8"/>
      <c r="H787" s="8"/>
      <c r="I787" s="8"/>
      <c r="J787" s="8"/>
      <c r="K787" s="8"/>
      <c r="L787" s="8"/>
      <c r="M787" s="8"/>
      <c r="N787" s="8"/>
      <c r="O787" s="8"/>
      <c r="P787" s="8"/>
      <c r="Q787" s="8"/>
      <c r="R787" s="8"/>
      <c r="S787" s="8"/>
      <c r="T787" s="8"/>
      <c r="U787" s="8"/>
      <c r="V787" s="8"/>
      <c r="W787" s="8"/>
      <c r="X787" s="8"/>
      <c r="Y787" s="8"/>
      <c r="Z787" s="8"/>
      <c r="AA787" s="8"/>
    </row>
    <row r="788" spans="1:27" ht="12.75">
      <c r="A788" s="8"/>
      <c r="B788" s="59"/>
      <c r="C788" s="59"/>
      <c r="D788" s="59"/>
      <c r="E788" s="59"/>
      <c r="F788" s="8"/>
      <c r="G788" s="8"/>
      <c r="H788" s="8"/>
      <c r="I788" s="8"/>
      <c r="J788" s="8"/>
      <c r="K788" s="8"/>
      <c r="L788" s="8"/>
      <c r="M788" s="8"/>
      <c r="N788" s="8"/>
      <c r="O788" s="8"/>
      <c r="P788" s="8"/>
      <c r="Q788" s="8"/>
      <c r="R788" s="8"/>
      <c r="S788" s="8"/>
      <c r="T788" s="8"/>
      <c r="U788" s="8"/>
      <c r="V788" s="8"/>
      <c r="W788" s="8"/>
      <c r="X788" s="8"/>
      <c r="Y788" s="8"/>
      <c r="Z788" s="8"/>
      <c r="AA788" s="8"/>
    </row>
    <row r="789" spans="1:27" ht="12.75">
      <c r="A789" s="8"/>
      <c r="B789" s="59"/>
      <c r="C789" s="59"/>
      <c r="D789" s="59"/>
      <c r="E789" s="59"/>
      <c r="F789" s="8"/>
      <c r="G789" s="8"/>
      <c r="H789" s="8"/>
      <c r="I789" s="8"/>
      <c r="J789" s="8"/>
      <c r="K789" s="8"/>
      <c r="L789" s="8"/>
      <c r="M789" s="8"/>
      <c r="N789" s="8"/>
      <c r="O789" s="8"/>
      <c r="P789" s="8"/>
      <c r="Q789" s="8"/>
      <c r="R789" s="8"/>
      <c r="S789" s="8"/>
      <c r="T789" s="8"/>
      <c r="U789" s="8"/>
      <c r="V789" s="8"/>
      <c r="W789" s="8"/>
      <c r="X789" s="8"/>
      <c r="Y789" s="8"/>
      <c r="Z789" s="8"/>
      <c r="AA789" s="8"/>
    </row>
    <row r="790" spans="1:27" ht="12.75">
      <c r="A790" s="8"/>
      <c r="B790" s="59"/>
      <c r="C790" s="59"/>
      <c r="D790" s="59"/>
      <c r="E790" s="59"/>
      <c r="F790" s="8"/>
      <c r="G790" s="8"/>
      <c r="H790" s="8"/>
      <c r="I790" s="8"/>
      <c r="J790" s="8"/>
      <c r="K790" s="8"/>
      <c r="L790" s="8"/>
      <c r="M790" s="8"/>
      <c r="N790" s="8"/>
      <c r="O790" s="8"/>
      <c r="P790" s="8"/>
      <c r="Q790" s="8"/>
      <c r="R790" s="8"/>
      <c r="S790" s="8"/>
      <c r="T790" s="8"/>
      <c r="U790" s="8"/>
      <c r="V790" s="8"/>
      <c r="W790" s="8"/>
      <c r="X790" s="8"/>
      <c r="Y790" s="8"/>
      <c r="Z790" s="8"/>
      <c r="AA790" s="8"/>
    </row>
    <row r="791" spans="1:27" ht="12.75">
      <c r="A791" s="8"/>
      <c r="B791" s="59"/>
      <c r="C791" s="59"/>
      <c r="D791" s="59"/>
      <c r="E791" s="59"/>
      <c r="F791" s="8"/>
      <c r="G791" s="8"/>
      <c r="H791" s="8"/>
      <c r="I791" s="8"/>
      <c r="J791" s="8"/>
      <c r="K791" s="8"/>
      <c r="L791" s="8"/>
      <c r="M791" s="8"/>
      <c r="N791" s="8"/>
      <c r="O791" s="8"/>
      <c r="P791" s="8"/>
      <c r="Q791" s="8"/>
      <c r="R791" s="8"/>
      <c r="S791" s="8"/>
      <c r="T791" s="8"/>
      <c r="U791" s="8"/>
      <c r="V791" s="8"/>
      <c r="W791" s="8"/>
      <c r="X791" s="8"/>
      <c r="Y791" s="8"/>
      <c r="Z791" s="8"/>
      <c r="AA791" s="8"/>
    </row>
    <row r="792" spans="1:27" ht="12.75">
      <c r="A792" s="8"/>
      <c r="B792" s="59"/>
      <c r="C792" s="59"/>
      <c r="D792" s="59"/>
      <c r="E792" s="59"/>
      <c r="F792" s="8"/>
      <c r="G792" s="8"/>
      <c r="H792" s="8"/>
      <c r="I792" s="8"/>
      <c r="J792" s="8"/>
      <c r="K792" s="8"/>
      <c r="L792" s="8"/>
      <c r="M792" s="8"/>
      <c r="N792" s="8"/>
      <c r="O792" s="8"/>
      <c r="P792" s="8"/>
      <c r="Q792" s="8"/>
      <c r="R792" s="8"/>
      <c r="S792" s="8"/>
      <c r="T792" s="8"/>
      <c r="U792" s="8"/>
      <c r="V792" s="8"/>
      <c r="W792" s="8"/>
      <c r="X792" s="8"/>
      <c r="Y792" s="8"/>
      <c r="Z792" s="8"/>
      <c r="AA792" s="8"/>
    </row>
    <row r="793" spans="1:27" ht="12.75">
      <c r="A793" s="8"/>
      <c r="B793" s="59"/>
      <c r="C793" s="59"/>
      <c r="D793" s="59"/>
      <c r="E793" s="59"/>
      <c r="F793" s="8"/>
      <c r="G793" s="8"/>
      <c r="H793" s="8"/>
      <c r="I793" s="8"/>
      <c r="J793" s="8"/>
      <c r="K793" s="8"/>
      <c r="L793" s="8"/>
      <c r="M793" s="8"/>
      <c r="N793" s="8"/>
      <c r="O793" s="8"/>
      <c r="P793" s="8"/>
      <c r="Q793" s="8"/>
      <c r="R793" s="8"/>
      <c r="S793" s="8"/>
      <c r="T793" s="8"/>
      <c r="U793" s="8"/>
      <c r="V793" s="8"/>
      <c r="W793" s="8"/>
      <c r="X793" s="8"/>
      <c r="Y793" s="8"/>
      <c r="Z793" s="8"/>
      <c r="AA793" s="8"/>
    </row>
    <row r="794" spans="1:27" ht="12.75">
      <c r="A794" s="8"/>
      <c r="B794" s="59"/>
      <c r="C794" s="59"/>
      <c r="D794" s="59"/>
      <c r="E794" s="59"/>
      <c r="F794" s="8"/>
      <c r="G794" s="8"/>
      <c r="H794" s="8"/>
      <c r="I794" s="8"/>
      <c r="J794" s="8"/>
      <c r="K794" s="8"/>
      <c r="L794" s="8"/>
      <c r="M794" s="8"/>
      <c r="N794" s="8"/>
      <c r="O794" s="8"/>
      <c r="P794" s="8"/>
      <c r="Q794" s="8"/>
      <c r="R794" s="8"/>
      <c r="S794" s="8"/>
      <c r="T794" s="8"/>
      <c r="U794" s="8"/>
      <c r="V794" s="8"/>
      <c r="W794" s="8"/>
      <c r="X794" s="8"/>
      <c r="Y794" s="8"/>
      <c r="Z794" s="8"/>
      <c r="AA794" s="8"/>
    </row>
    <row r="795" spans="1:27" ht="12.75">
      <c r="A795" s="8"/>
      <c r="B795" s="59"/>
      <c r="C795" s="59"/>
      <c r="D795" s="59"/>
      <c r="E795" s="59"/>
      <c r="F795" s="8"/>
      <c r="G795" s="8"/>
      <c r="H795" s="8"/>
      <c r="I795" s="8"/>
      <c r="J795" s="8"/>
      <c r="K795" s="8"/>
      <c r="L795" s="8"/>
      <c r="M795" s="8"/>
      <c r="N795" s="8"/>
      <c r="O795" s="8"/>
      <c r="P795" s="8"/>
      <c r="Q795" s="8"/>
      <c r="R795" s="8"/>
      <c r="S795" s="8"/>
      <c r="T795" s="8"/>
      <c r="U795" s="8"/>
      <c r="V795" s="8"/>
      <c r="W795" s="8"/>
      <c r="X795" s="8"/>
      <c r="Y795" s="8"/>
      <c r="Z795" s="8"/>
      <c r="AA795" s="8"/>
    </row>
    <row r="796" spans="1:27" ht="12.75">
      <c r="A796" s="8"/>
      <c r="B796" s="59"/>
      <c r="C796" s="59"/>
      <c r="D796" s="59"/>
      <c r="E796" s="59"/>
      <c r="F796" s="8"/>
      <c r="G796" s="8"/>
      <c r="H796" s="8"/>
      <c r="I796" s="8"/>
      <c r="J796" s="8"/>
      <c r="K796" s="8"/>
      <c r="L796" s="8"/>
      <c r="M796" s="8"/>
      <c r="N796" s="8"/>
      <c r="O796" s="8"/>
      <c r="P796" s="8"/>
      <c r="Q796" s="8"/>
      <c r="R796" s="8"/>
      <c r="S796" s="8"/>
      <c r="T796" s="8"/>
      <c r="U796" s="8"/>
      <c r="V796" s="8"/>
      <c r="W796" s="8"/>
      <c r="X796" s="8"/>
      <c r="Y796" s="8"/>
      <c r="Z796" s="8"/>
      <c r="AA796" s="8"/>
    </row>
    <row r="797" spans="1:27" ht="12.75">
      <c r="A797" s="8"/>
      <c r="B797" s="59"/>
      <c r="C797" s="59"/>
      <c r="D797" s="59"/>
      <c r="E797" s="59"/>
      <c r="F797" s="8"/>
      <c r="G797" s="8"/>
      <c r="H797" s="8"/>
      <c r="I797" s="8"/>
      <c r="J797" s="8"/>
      <c r="K797" s="8"/>
      <c r="L797" s="8"/>
      <c r="M797" s="8"/>
      <c r="N797" s="8"/>
      <c r="O797" s="8"/>
      <c r="P797" s="8"/>
      <c r="Q797" s="8"/>
      <c r="R797" s="8"/>
      <c r="S797" s="8"/>
      <c r="T797" s="8"/>
      <c r="U797" s="8"/>
      <c r="V797" s="8"/>
      <c r="W797" s="8"/>
      <c r="X797" s="8"/>
      <c r="Y797" s="8"/>
      <c r="Z797" s="8"/>
      <c r="AA797" s="8"/>
    </row>
    <row r="798" spans="1:27" ht="12.75">
      <c r="A798" s="8"/>
      <c r="B798" s="59"/>
      <c r="C798" s="59"/>
      <c r="D798" s="59"/>
      <c r="E798" s="59"/>
      <c r="F798" s="8"/>
      <c r="G798" s="8"/>
      <c r="H798" s="8"/>
      <c r="I798" s="8"/>
      <c r="J798" s="8"/>
      <c r="K798" s="8"/>
      <c r="L798" s="8"/>
      <c r="M798" s="8"/>
      <c r="N798" s="8"/>
      <c r="O798" s="8"/>
      <c r="P798" s="8"/>
      <c r="Q798" s="8"/>
      <c r="R798" s="8"/>
      <c r="S798" s="8"/>
      <c r="T798" s="8"/>
      <c r="U798" s="8"/>
      <c r="V798" s="8"/>
      <c r="W798" s="8"/>
      <c r="X798" s="8"/>
      <c r="Y798" s="8"/>
      <c r="Z798" s="8"/>
      <c r="AA798" s="8"/>
    </row>
    <row r="799" spans="1:27" ht="12.75">
      <c r="A799" s="8"/>
      <c r="B799" s="59"/>
      <c r="C799" s="59"/>
      <c r="D799" s="59"/>
      <c r="E799" s="59"/>
      <c r="F799" s="8"/>
      <c r="G799" s="8"/>
      <c r="H799" s="8"/>
      <c r="I799" s="8"/>
      <c r="J799" s="8"/>
      <c r="K799" s="8"/>
      <c r="L799" s="8"/>
      <c r="M799" s="8"/>
      <c r="N799" s="8"/>
      <c r="O799" s="8"/>
      <c r="P799" s="8"/>
      <c r="Q799" s="8"/>
      <c r="R799" s="8"/>
      <c r="S799" s="8"/>
      <c r="T799" s="8"/>
      <c r="U799" s="8"/>
      <c r="V799" s="8"/>
      <c r="W799" s="8"/>
      <c r="X799" s="8"/>
      <c r="Y799" s="8"/>
      <c r="Z799" s="8"/>
      <c r="AA799" s="8"/>
    </row>
    <row r="800" spans="1:27" ht="12.75">
      <c r="A800" s="8"/>
      <c r="B800" s="59"/>
      <c r="C800" s="59"/>
      <c r="D800" s="59"/>
      <c r="E800" s="59"/>
      <c r="F800" s="8"/>
      <c r="G800" s="8"/>
      <c r="H800" s="8"/>
      <c r="I800" s="8"/>
      <c r="J800" s="8"/>
      <c r="K800" s="8"/>
      <c r="L800" s="8"/>
      <c r="M800" s="8"/>
      <c r="N800" s="8"/>
      <c r="O800" s="8"/>
      <c r="P800" s="8"/>
      <c r="Q800" s="8"/>
      <c r="R800" s="8"/>
      <c r="S800" s="8"/>
      <c r="T800" s="8"/>
      <c r="U800" s="8"/>
      <c r="V800" s="8"/>
      <c r="W800" s="8"/>
      <c r="X800" s="8"/>
      <c r="Y800" s="8"/>
      <c r="Z800" s="8"/>
      <c r="AA800" s="8"/>
    </row>
    <row r="801" spans="1:27" ht="12.75">
      <c r="A801" s="8"/>
      <c r="B801" s="59"/>
      <c r="C801" s="59"/>
      <c r="D801" s="59"/>
      <c r="E801" s="59"/>
      <c r="F801" s="8"/>
      <c r="G801" s="8"/>
      <c r="H801" s="8"/>
      <c r="I801" s="8"/>
      <c r="J801" s="8"/>
      <c r="K801" s="8"/>
      <c r="L801" s="8"/>
      <c r="M801" s="8"/>
      <c r="N801" s="8"/>
      <c r="O801" s="8"/>
      <c r="P801" s="8"/>
      <c r="Q801" s="8"/>
      <c r="R801" s="8"/>
      <c r="S801" s="8"/>
      <c r="T801" s="8"/>
      <c r="U801" s="8"/>
      <c r="V801" s="8"/>
      <c r="W801" s="8"/>
      <c r="X801" s="8"/>
      <c r="Y801" s="8"/>
      <c r="Z801" s="8"/>
      <c r="AA801" s="8"/>
    </row>
    <row r="802" spans="1:27" ht="12.75">
      <c r="A802" s="8"/>
      <c r="B802" s="59"/>
      <c r="C802" s="59"/>
      <c r="D802" s="59"/>
      <c r="E802" s="59"/>
      <c r="F802" s="8"/>
      <c r="G802" s="8"/>
      <c r="H802" s="8"/>
      <c r="I802" s="8"/>
      <c r="J802" s="8"/>
      <c r="K802" s="8"/>
      <c r="L802" s="8"/>
      <c r="M802" s="8"/>
      <c r="N802" s="8"/>
      <c r="O802" s="8"/>
      <c r="P802" s="8"/>
      <c r="Q802" s="8"/>
      <c r="R802" s="8"/>
      <c r="S802" s="8"/>
      <c r="T802" s="8"/>
      <c r="U802" s="8"/>
      <c r="V802" s="8"/>
      <c r="W802" s="8"/>
      <c r="X802" s="8"/>
      <c r="Y802" s="8"/>
      <c r="Z802" s="8"/>
      <c r="AA802" s="8"/>
    </row>
    <row r="803" spans="1:27" ht="12.75">
      <c r="A803" s="8"/>
      <c r="B803" s="59"/>
      <c r="C803" s="59"/>
      <c r="D803" s="59"/>
      <c r="E803" s="59"/>
      <c r="F803" s="8"/>
      <c r="G803" s="8"/>
      <c r="H803" s="8"/>
      <c r="I803" s="8"/>
      <c r="J803" s="8"/>
      <c r="K803" s="8"/>
      <c r="L803" s="8"/>
      <c r="M803" s="8"/>
      <c r="N803" s="8"/>
      <c r="O803" s="8"/>
      <c r="P803" s="8"/>
      <c r="Q803" s="8"/>
      <c r="R803" s="8"/>
      <c r="S803" s="8"/>
      <c r="T803" s="8"/>
      <c r="U803" s="8"/>
      <c r="V803" s="8"/>
      <c r="W803" s="8"/>
      <c r="X803" s="8"/>
      <c r="Y803" s="8"/>
      <c r="Z803" s="8"/>
      <c r="AA803" s="8"/>
    </row>
    <row r="804" spans="1:27" ht="12.75">
      <c r="A804" s="8"/>
      <c r="B804" s="59"/>
      <c r="C804" s="59"/>
      <c r="D804" s="59"/>
      <c r="E804" s="59"/>
      <c r="F804" s="8"/>
      <c r="G804" s="8"/>
      <c r="H804" s="8"/>
      <c r="I804" s="8"/>
      <c r="J804" s="8"/>
      <c r="K804" s="8"/>
      <c r="L804" s="8"/>
      <c r="M804" s="8"/>
      <c r="N804" s="8"/>
      <c r="O804" s="8"/>
      <c r="P804" s="8"/>
      <c r="Q804" s="8"/>
      <c r="R804" s="8"/>
      <c r="S804" s="8"/>
      <c r="T804" s="8"/>
      <c r="U804" s="8"/>
      <c r="V804" s="8"/>
      <c r="W804" s="8"/>
      <c r="X804" s="8"/>
      <c r="Y804" s="8"/>
      <c r="Z804" s="8"/>
      <c r="AA804" s="8"/>
    </row>
    <row r="805" spans="1:27" ht="12.75">
      <c r="A805" s="8"/>
      <c r="B805" s="59"/>
      <c r="C805" s="59"/>
      <c r="D805" s="59"/>
      <c r="E805" s="59"/>
      <c r="F805" s="8"/>
      <c r="G805" s="8"/>
      <c r="H805" s="8"/>
      <c r="I805" s="8"/>
      <c r="J805" s="8"/>
      <c r="K805" s="8"/>
      <c r="L805" s="8"/>
      <c r="M805" s="8"/>
      <c r="N805" s="8"/>
      <c r="O805" s="8"/>
      <c r="P805" s="8"/>
      <c r="Q805" s="8"/>
      <c r="R805" s="8"/>
      <c r="S805" s="8"/>
      <c r="T805" s="8"/>
      <c r="U805" s="8"/>
      <c r="V805" s="8"/>
      <c r="W805" s="8"/>
      <c r="X805" s="8"/>
      <c r="Y805" s="8"/>
      <c r="Z805" s="8"/>
      <c r="AA805" s="8"/>
    </row>
    <row r="806" spans="1:27" ht="12.75">
      <c r="A806" s="8"/>
      <c r="B806" s="59"/>
      <c r="C806" s="59"/>
      <c r="D806" s="59"/>
      <c r="E806" s="59"/>
      <c r="F806" s="8"/>
      <c r="G806" s="8"/>
      <c r="H806" s="8"/>
      <c r="I806" s="8"/>
      <c r="J806" s="8"/>
      <c r="K806" s="8"/>
      <c r="L806" s="8"/>
      <c r="M806" s="8"/>
      <c r="N806" s="8"/>
      <c r="O806" s="8"/>
      <c r="P806" s="8"/>
      <c r="Q806" s="8"/>
      <c r="R806" s="8"/>
      <c r="S806" s="8"/>
      <c r="T806" s="8"/>
      <c r="U806" s="8"/>
      <c r="V806" s="8"/>
      <c r="W806" s="8"/>
      <c r="X806" s="8"/>
      <c r="Y806" s="8"/>
      <c r="Z806" s="8"/>
      <c r="AA806" s="8"/>
    </row>
    <row r="807" spans="1:27" ht="12.75">
      <c r="A807" s="8"/>
      <c r="B807" s="59"/>
      <c r="C807" s="59"/>
      <c r="D807" s="59"/>
      <c r="E807" s="59"/>
      <c r="F807" s="8"/>
      <c r="G807" s="8"/>
      <c r="H807" s="8"/>
      <c r="I807" s="8"/>
      <c r="J807" s="8"/>
      <c r="K807" s="8"/>
      <c r="L807" s="8"/>
      <c r="M807" s="8"/>
      <c r="N807" s="8"/>
      <c r="O807" s="8"/>
      <c r="P807" s="8"/>
      <c r="Q807" s="8"/>
      <c r="R807" s="8"/>
      <c r="S807" s="8"/>
      <c r="T807" s="8"/>
      <c r="U807" s="8"/>
      <c r="V807" s="8"/>
      <c r="W807" s="8"/>
      <c r="X807" s="8"/>
      <c r="Y807" s="8"/>
      <c r="Z807" s="8"/>
      <c r="AA807" s="8"/>
    </row>
    <row r="808" spans="1:27" ht="12.75">
      <c r="A808" s="8"/>
      <c r="B808" s="59"/>
      <c r="C808" s="59"/>
      <c r="D808" s="59"/>
      <c r="E808" s="59"/>
      <c r="F808" s="8"/>
      <c r="G808" s="8"/>
      <c r="H808" s="8"/>
      <c r="I808" s="8"/>
      <c r="J808" s="8"/>
      <c r="K808" s="8"/>
      <c r="L808" s="8"/>
      <c r="M808" s="8"/>
      <c r="N808" s="8"/>
      <c r="O808" s="8"/>
      <c r="P808" s="8"/>
      <c r="Q808" s="8"/>
      <c r="R808" s="8"/>
      <c r="S808" s="8"/>
      <c r="T808" s="8"/>
      <c r="U808" s="8"/>
      <c r="V808" s="8"/>
      <c r="W808" s="8"/>
      <c r="X808" s="8"/>
      <c r="Y808" s="8"/>
      <c r="Z808" s="8"/>
      <c r="AA808" s="8"/>
    </row>
    <row r="809" spans="1:27" ht="12.75">
      <c r="A809" s="8"/>
      <c r="B809" s="59"/>
      <c r="C809" s="59"/>
      <c r="D809" s="59"/>
      <c r="E809" s="59"/>
      <c r="F809" s="8"/>
      <c r="G809" s="8"/>
      <c r="H809" s="8"/>
      <c r="I809" s="8"/>
      <c r="J809" s="8"/>
      <c r="K809" s="8"/>
      <c r="L809" s="8"/>
      <c r="M809" s="8"/>
      <c r="N809" s="8"/>
      <c r="O809" s="8"/>
      <c r="P809" s="8"/>
      <c r="Q809" s="8"/>
      <c r="R809" s="8"/>
      <c r="S809" s="8"/>
      <c r="T809" s="8"/>
      <c r="U809" s="8"/>
      <c r="V809" s="8"/>
      <c r="W809" s="8"/>
      <c r="X809" s="8"/>
      <c r="Y809" s="8"/>
      <c r="Z809" s="8"/>
      <c r="AA809" s="8"/>
    </row>
    <row r="810" spans="1:27" ht="12.75">
      <c r="A810" s="8"/>
      <c r="B810" s="59"/>
      <c r="C810" s="59"/>
      <c r="D810" s="59"/>
      <c r="E810" s="59"/>
      <c r="F810" s="8"/>
      <c r="G810" s="8"/>
      <c r="H810" s="8"/>
      <c r="I810" s="8"/>
      <c r="J810" s="8"/>
      <c r="K810" s="8"/>
      <c r="L810" s="8"/>
      <c r="M810" s="8"/>
      <c r="N810" s="8"/>
      <c r="O810" s="8"/>
      <c r="P810" s="8"/>
      <c r="Q810" s="8"/>
      <c r="R810" s="8"/>
      <c r="S810" s="8"/>
      <c r="T810" s="8"/>
      <c r="U810" s="8"/>
      <c r="V810" s="8"/>
      <c r="W810" s="8"/>
      <c r="X810" s="8"/>
      <c r="Y810" s="8"/>
      <c r="Z810" s="8"/>
      <c r="AA810" s="8"/>
    </row>
    <row r="811" spans="1:27" ht="12.75">
      <c r="A811" s="8"/>
      <c r="B811" s="59"/>
      <c r="C811" s="59"/>
      <c r="D811" s="59"/>
      <c r="E811" s="59"/>
      <c r="F811" s="8"/>
      <c r="G811" s="8"/>
      <c r="H811" s="8"/>
      <c r="I811" s="8"/>
      <c r="J811" s="8"/>
      <c r="K811" s="8"/>
      <c r="L811" s="8"/>
      <c r="M811" s="8"/>
      <c r="N811" s="8"/>
      <c r="O811" s="8"/>
      <c r="P811" s="8"/>
      <c r="Q811" s="8"/>
      <c r="R811" s="8"/>
      <c r="S811" s="8"/>
      <c r="T811" s="8"/>
      <c r="U811" s="8"/>
      <c r="V811" s="8"/>
      <c r="W811" s="8"/>
      <c r="X811" s="8"/>
      <c r="Y811" s="8"/>
      <c r="Z811" s="8"/>
      <c r="AA811" s="8"/>
    </row>
    <row r="812" spans="1:27" ht="12.75">
      <c r="A812" s="8"/>
      <c r="B812" s="59"/>
      <c r="C812" s="59"/>
      <c r="D812" s="59"/>
      <c r="E812" s="59"/>
      <c r="F812" s="8"/>
      <c r="G812" s="8"/>
      <c r="H812" s="8"/>
      <c r="I812" s="8"/>
      <c r="J812" s="8"/>
      <c r="K812" s="8"/>
      <c r="L812" s="8"/>
      <c r="M812" s="8"/>
      <c r="N812" s="8"/>
      <c r="O812" s="8"/>
      <c r="P812" s="8"/>
      <c r="Q812" s="8"/>
      <c r="R812" s="8"/>
      <c r="S812" s="8"/>
      <c r="T812" s="8"/>
      <c r="U812" s="8"/>
      <c r="V812" s="8"/>
      <c r="W812" s="8"/>
      <c r="X812" s="8"/>
      <c r="Y812" s="8"/>
      <c r="Z812" s="8"/>
      <c r="AA812" s="8"/>
    </row>
    <row r="813" spans="1:27" ht="12.75">
      <c r="A813" s="8"/>
      <c r="B813" s="59"/>
      <c r="C813" s="59"/>
      <c r="D813" s="59"/>
      <c r="E813" s="59"/>
      <c r="F813" s="8"/>
      <c r="G813" s="8"/>
      <c r="H813" s="8"/>
      <c r="I813" s="8"/>
      <c r="J813" s="8"/>
      <c r="K813" s="8"/>
      <c r="L813" s="8"/>
      <c r="M813" s="8"/>
      <c r="N813" s="8"/>
      <c r="O813" s="8"/>
      <c r="P813" s="8"/>
      <c r="Q813" s="8"/>
      <c r="R813" s="8"/>
      <c r="S813" s="8"/>
      <c r="T813" s="8"/>
      <c r="U813" s="8"/>
      <c r="V813" s="8"/>
      <c r="W813" s="8"/>
      <c r="X813" s="8"/>
      <c r="Y813" s="8"/>
      <c r="Z813" s="8"/>
      <c r="AA813" s="8"/>
    </row>
    <row r="814" spans="1:27" ht="12.75">
      <c r="A814" s="8"/>
      <c r="B814" s="59"/>
      <c r="C814" s="59"/>
      <c r="D814" s="59"/>
      <c r="E814" s="59"/>
      <c r="F814" s="8"/>
      <c r="G814" s="8"/>
      <c r="H814" s="8"/>
      <c r="I814" s="8"/>
      <c r="J814" s="8"/>
      <c r="K814" s="8"/>
      <c r="L814" s="8"/>
      <c r="M814" s="8"/>
      <c r="N814" s="8"/>
      <c r="O814" s="8"/>
      <c r="P814" s="8"/>
      <c r="Q814" s="8"/>
      <c r="R814" s="8"/>
      <c r="S814" s="8"/>
      <c r="T814" s="8"/>
      <c r="U814" s="8"/>
      <c r="V814" s="8"/>
      <c r="W814" s="8"/>
      <c r="X814" s="8"/>
      <c r="Y814" s="8"/>
      <c r="Z814" s="8"/>
      <c r="AA814" s="8"/>
    </row>
    <row r="815" spans="1:27" ht="12.75">
      <c r="A815" s="8"/>
      <c r="B815" s="59"/>
      <c r="C815" s="59"/>
      <c r="D815" s="59"/>
      <c r="E815" s="59"/>
      <c r="F815" s="8"/>
      <c r="G815" s="8"/>
      <c r="H815" s="8"/>
      <c r="I815" s="8"/>
      <c r="J815" s="8"/>
      <c r="K815" s="8"/>
      <c r="L815" s="8"/>
      <c r="M815" s="8"/>
      <c r="N815" s="8"/>
      <c r="O815" s="8"/>
      <c r="P815" s="8"/>
      <c r="Q815" s="8"/>
      <c r="R815" s="8"/>
      <c r="S815" s="8"/>
      <c r="T815" s="8"/>
      <c r="U815" s="8"/>
      <c r="V815" s="8"/>
      <c r="W815" s="8"/>
      <c r="X815" s="8"/>
      <c r="Y815" s="8"/>
      <c r="Z815" s="8"/>
      <c r="AA815" s="8"/>
    </row>
    <row r="816" spans="1:27" ht="12.75">
      <c r="A816" s="8"/>
      <c r="B816" s="59"/>
      <c r="C816" s="59"/>
      <c r="D816" s="59"/>
      <c r="E816" s="59"/>
      <c r="F816" s="8"/>
      <c r="G816" s="8"/>
      <c r="H816" s="8"/>
      <c r="I816" s="8"/>
      <c r="J816" s="8"/>
      <c r="K816" s="8"/>
      <c r="L816" s="8"/>
      <c r="M816" s="8"/>
      <c r="N816" s="8"/>
      <c r="O816" s="8"/>
      <c r="P816" s="8"/>
      <c r="Q816" s="8"/>
      <c r="R816" s="8"/>
      <c r="S816" s="8"/>
      <c r="T816" s="8"/>
      <c r="U816" s="8"/>
      <c r="V816" s="8"/>
      <c r="W816" s="8"/>
      <c r="X816" s="8"/>
      <c r="Y816" s="8"/>
      <c r="Z816" s="8"/>
      <c r="AA816" s="8"/>
    </row>
    <row r="817" spans="1:27" ht="12.75">
      <c r="A817" s="8"/>
      <c r="B817" s="59"/>
      <c r="C817" s="59"/>
      <c r="D817" s="59"/>
      <c r="E817" s="59"/>
      <c r="F817" s="8"/>
      <c r="G817" s="8"/>
      <c r="H817" s="8"/>
      <c r="I817" s="8"/>
      <c r="J817" s="8"/>
      <c r="K817" s="8"/>
      <c r="L817" s="8"/>
      <c r="M817" s="8"/>
      <c r="N817" s="8"/>
      <c r="O817" s="8"/>
      <c r="P817" s="8"/>
      <c r="Q817" s="8"/>
      <c r="R817" s="8"/>
      <c r="S817" s="8"/>
      <c r="T817" s="8"/>
      <c r="U817" s="8"/>
      <c r="V817" s="8"/>
      <c r="W817" s="8"/>
      <c r="X817" s="8"/>
      <c r="Y817" s="8"/>
      <c r="Z817" s="8"/>
      <c r="AA817" s="8"/>
    </row>
    <row r="818" spans="1:27" ht="12.75">
      <c r="A818" s="8"/>
      <c r="B818" s="59"/>
      <c r="C818" s="59"/>
      <c r="D818" s="59"/>
      <c r="E818" s="59"/>
      <c r="F818" s="8"/>
      <c r="G818" s="8"/>
      <c r="H818" s="8"/>
      <c r="I818" s="8"/>
      <c r="J818" s="8"/>
      <c r="K818" s="8"/>
      <c r="L818" s="8"/>
      <c r="M818" s="8"/>
      <c r="N818" s="8"/>
      <c r="O818" s="8"/>
      <c r="P818" s="8"/>
      <c r="Q818" s="8"/>
      <c r="R818" s="8"/>
      <c r="S818" s="8"/>
      <c r="T818" s="8"/>
      <c r="U818" s="8"/>
      <c r="V818" s="8"/>
      <c r="W818" s="8"/>
      <c r="X818" s="8"/>
      <c r="Y818" s="8"/>
      <c r="Z818" s="8"/>
      <c r="AA818" s="8"/>
    </row>
    <row r="819" spans="1:27" ht="12.75">
      <c r="A819" s="8"/>
      <c r="B819" s="59"/>
      <c r="C819" s="59"/>
      <c r="D819" s="59"/>
      <c r="E819" s="59"/>
      <c r="F819" s="8"/>
      <c r="G819" s="8"/>
      <c r="H819" s="8"/>
      <c r="I819" s="8"/>
      <c r="J819" s="8"/>
      <c r="K819" s="8"/>
      <c r="L819" s="8"/>
      <c r="M819" s="8"/>
      <c r="N819" s="8"/>
      <c r="O819" s="8"/>
      <c r="P819" s="8"/>
      <c r="Q819" s="8"/>
      <c r="R819" s="8"/>
      <c r="S819" s="8"/>
      <c r="T819" s="8"/>
      <c r="U819" s="8"/>
      <c r="V819" s="8"/>
      <c r="W819" s="8"/>
      <c r="X819" s="8"/>
      <c r="Y819" s="8"/>
      <c r="Z819" s="8"/>
      <c r="AA819" s="8"/>
    </row>
    <row r="820" spans="1:27" ht="12.75">
      <c r="A820" s="8"/>
      <c r="B820" s="59"/>
      <c r="C820" s="59"/>
      <c r="D820" s="59"/>
      <c r="E820" s="59"/>
      <c r="F820" s="8"/>
      <c r="G820" s="8"/>
      <c r="H820" s="8"/>
      <c r="I820" s="8"/>
      <c r="J820" s="8"/>
      <c r="K820" s="8"/>
      <c r="L820" s="8"/>
      <c r="M820" s="8"/>
      <c r="N820" s="8"/>
      <c r="O820" s="8"/>
      <c r="P820" s="8"/>
      <c r="Q820" s="8"/>
      <c r="R820" s="8"/>
      <c r="S820" s="8"/>
      <c r="T820" s="8"/>
      <c r="U820" s="8"/>
      <c r="V820" s="8"/>
      <c r="W820" s="8"/>
      <c r="X820" s="8"/>
      <c r="Y820" s="8"/>
      <c r="Z820" s="8"/>
      <c r="AA820" s="8"/>
    </row>
    <row r="821" spans="1:27" ht="12.75">
      <c r="A821" s="8"/>
      <c r="B821" s="59"/>
      <c r="C821" s="59"/>
      <c r="D821" s="59"/>
      <c r="E821" s="59"/>
      <c r="F821" s="8"/>
      <c r="G821" s="8"/>
      <c r="H821" s="8"/>
      <c r="I821" s="8"/>
      <c r="J821" s="8"/>
      <c r="K821" s="8"/>
      <c r="L821" s="8"/>
      <c r="M821" s="8"/>
      <c r="N821" s="8"/>
      <c r="O821" s="8"/>
      <c r="P821" s="8"/>
      <c r="Q821" s="8"/>
      <c r="R821" s="8"/>
      <c r="S821" s="8"/>
      <c r="T821" s="8"/>
      <c r="U821" s="8"/>
      <c r="V821" s="8"/>
      <c r="W821" s="8"/>
      <c r="X821" s="8"/>
      <c r="Y821" s="8"/>
      <c r="Z821" s="8"/>
      <c r="AA821" s="8"/>
    </row>
    <row r="822" spans="1:27" ht="12.75">
      <c r="A822" s="8"/>
      <c r="B822" s="59"/>
      <c r="C822" s="59"/>
      <c r="D822" s="59"/>
      <c r="E822" s="59"/>
      <c r="F822" s="8"/>
      <c r="G822" s="8"/>
      <c r="H822" s="8"/>
      <c r="I822" s="8"/>
      <c r="J822" s="8"/>
      <c r="K822" s="8"/>
      <c r="L822" s="8"/>
      <c r="M822" s="8"/>
      <c r="N822" s="8"/>
      <c r="O822" s="8"/>
      <c r="P822" s="8"/>
      <c r="Q822" s="8"/>
      <c r="R822" s="8"/>
      <c r="S822" s="8"/>
      <c r="T822" s="8"/>
      <c r="U822" s="8"/>
      <c r="V822" s="8"/>
      <c r="W822" s="8"/>
      <c r="X822" s="8"/>
      <c r="Y822" s="8"/>
      <c r="Z822" s="8"/>
      <c r="AA822" s="8"/>
    </row>
    <row r="823" spans="1:27" ht="12.75">
      <c r="A823" s="8"/>
      <c r="B823" s="59"/>
      <c r="C823" s="59"/>
      <c r="D823" s="59"/>
      <c r="E823" s="59"/>
      <c r="F823" s="8"/>
      <c r="G823" s="8"/>
      <c r="H823" s="8"/>
      <c r="I823" s="8"/>
      <c r="J823" s="8"/>
      <c r="K823" s="8"/>
      <c r="L823" s="8"/>
      <c r="M823" s="8"/>
      <c r="N823" s="8"/>
      <c r="O823" s="8"/>
      <c r="P823" s="8"/>
      <c r="Q823" s="8"/>
      <c r="R823" s="8"/>
      <c r="S823" s="8"/>
      <c r="T823" s="8"/>
      <c r="U823" s="8"/>
      <c r="V823" s="8"/>
      <c r="W823" s="8"/>
      <c r="X823" s="8"/>
      <c r="Y823" s="8"/>
      <c r="Z823" s="8"/>
      <c r="AA823" s="8"/>
    </row>
    <row r="824" spans="1:27" ht="12.75">
      <c r="A824" s="8"/>
      <c r="B824" s="59"/>
      <c r="C824" s="59"/>
      <c r="D824" s="59"/>
      <c r="E824" s="59"/>
      <c r="F824" s="8"/>
      <c r="G824" s="8"/>
      <c r="H824" s="8"/>
      <c r="I824" s="8"/>
      <c r="J824" s="8"/>
      <c r="K824" s="8"/>
      <c r="L824" s="8"/>
      <c r="M824" s="8"/>
      <c r="N824" s="8"/>
      <c r="O824" s="8"/>
      <c r="P824" s="8"/>
      <c r="Q824" s="8"/>
      <c r="R824" s="8"/>
      <c r="S824" s="8"/>
      <c r="T824" s="8"/>
      <c r="U824" s="8"/>
      <c r="V824" s="8"/>
      <c r="W824" s="8"/>
      <c r="X824" s="8"/>
      <c r="Y824" s="8"/>
      <c r="Z824" s="8"/>
      <c r="AA824" s="8"/>
    </row>
    <row r="825" spans="1:27" ht="12.75">
      <c r="A825" s="8"/>
      <c r="B825" s="59"/>
      <c r="C825" s="59"/>
      <c r="D825" s="59"/>
      <c r="E825" s="59"/>
      <c r="F825" s="8"/>
      <c r="G825" s="8"/>
      <c r="H825" s="8"/>
      <c r="I825" s="8"/>
      <c r="J825" s="8"/>
      <c r="K825" s="8"/>
      <c r="L825" s="8"/>
      <c r="M825" s="8"/>
      <c r="N825" s="8"/>
      <c r="O825" s="8"/>
      <c r="P825" s="8"/>
      <c r="Q825" s="8"/>
      <c r="R825" s="8"/>
      <c r="S825" s="8"/>
      <c r="T825" s="8"/>
      <c r="U825" s="8"/>
      <c r="V825" s="8"/>
      <c r="W825" s="8"/>
      <c r="X825" s="8"/>
      <c r="Y825" s="8"/>
      <c r="Z825" s="8"/>
      <c r="AA825" s="8"/>
    </row>
    <row r="826" spans="1:27" ht="12.75">
      <c r="A826" s="8"/>
      <c r="B826" s="59"/>
      <c r="C826" s="59"/>
      <c r="D826" s="59"/>
      <c r="E826" s="59"/>
      <c r="F826" s="8"/>
      <c r="G826" s="8"/>
      <c r="H826" s="8"/>
      <c r="I826" s="8"/>
      <c r="J826" s="8"/>
      <c r="K826" s="8"/>
      <c r="L826" s="8"/>
      <c r="M826" s="8"/>
      <c r="N826" s="8"/>
      <c r="O826" s="8"/>
      <c r="P826" s="8"/>
      <c r="Q826" s="8"/>
      <c r="R826" s="8"/>
      <c r="S826" s="8"/>
      <c r="T826" s="8"/>
      <c r="U826" s="8"/>
      <c r="V826" s="8"/>
      <c r="W826" s="8"/>
      <c r="X826" s="8"/>
      <c r="Y826" s="8"/>
      <c r="Z826" s="8"/>
      <c r="AA826" s="8"/>
    </row>
    <row r="827" spans="1:27" ht="12.75">
      <c r="A827" s="8"/>
      <c r="B827" s="59"/>
      <c r="C827" s="59"/>
      <c r="D827" s="59"/>
      <c r="E827" s="59"/>
      <c r="F827" s="8"/>
      <c r="G827" s="8"/>
      <c r="H827" s="8"/>
      <c r="I827" s="8"/>
      <c r="J827" s="8"/>
      <c r="K827" s="8"/>
      <c r="L827" s="8"/>
      <c r="M827" s="8"/>
      <c r="N827" s="8"/>
      <c r="O827" s="8"/>
      <c r="P827" s="8"/>
      <c r="Q827" s="8"/>
      <c r="R827" s="8"/>
      <c r="S827" s="8"/>
      <c r="T827" s="8"/>
      <c r="U827" s="8"/>
      <c r="V827" s="8"/>
      <c r="W827" s="8"/>
      <c r="X827" s="8"/>
      <c r="Y827" s="8"/>
      <c r="Z827" s="8"/>
      <c r="AA827" s="8"/>
    </row>
    <row r="828" spans="1:27" ht="12.75">
      <c r="A828" s="8"/>
      <c r="B828" s="59"/>
      <c r="C828" s="59"/>
      <c r="D828" s="59"/>
      <c r="E828" s="59"/>
      <c r="F828" s="8"/>
      <c r="G828" s="8"/>
      <c r="H828" s="8"/>
      <c r="I828" s="8"/>
      <c r="J828" s="8"/>
      <c r="K828" s="8"/>
      <c r="L828" s="8"/>
      <c r="M828" s="8"/>
      <c r="N828" s="8"/>
      <c r="O828" s="8"/>
      <c r="P828" s="8"/>
      <c r="Q828" s="8"/>
      <c r="R828" s="8"/>
      <c r="S828" s="8"/>
      <c r="T828" s="8"/>
      <c r="U828" s="8"/>
      <c r="V828" s="8"/>
      <c r="W828" s="8"/>
      <c r="X828" s="8"/>
      <c r="Y828" s="8"/>
      <c r="Z828" s="8"/>
      <c r="AA828" s="8"/>
    </row>
    <row r="829" spans="1:27" ht="12.75">
      <c r="A829" s="8"/>
      <c r="B829" s="59"/>
      <c r="C829" s="59"/>
      <c r="D829" s="59"/>
      <c r="E829" s="59"/>
      <c r="F829" s="8"/>
      <c r="G829" s="8"/>
      <c r="H829" s="8"/>
      <c r="I829" s="8"/>
      <c r="J829" s="8"/>
      <c r="K829" s="8"/>
      <c r="L829" s="8"/>
      <c r="M829" s="8"/>
      <c r="N829" s="8"/>
      <c r="O829" s="8"/>
      <c r="P829" s="8"/>
      <c r="Q829" s="8"/>
      <c r="R829" s="8"/>
      <c r="S829" s="8"/>
      <c r="T829" s="8"/>
      <c r="U829" s="8"/>
      <c r="V829" s="8"/>
      <c r="W829" s="8"/>
      <c r="X829" s="8"/>
      <c r="Y829" s="8"/>
      <c r="Z829" s="8"/>
      <c r="AA829" s="8"/>
    </row>
    <row r="830" spans="1:27" ht="12.75">
      <c r="A830" s="8"/>
      <c r="B830" s="59"/>
      <c r="C830" s="59"/>
      <c r="D830" s="59"/>
      <c r="E830" s="59"/>
      <c r="F830" s="8"/>
      <c r="G830" s="8"/>
      <c r="H830" s="8"/>
      <c r="I830" s="8"/>
      <c r="J830" s="8"/>
      <c r="K830" s="8"/>
      <c r="L830" s="8"/>
      <c r="M830" s="8"/>
      <c r="N830" s="8"/>
      <c r="O830" s="8"/>
      <c r="P830" s="8"/>
      <c r="Q830" s="8"/>
      <c r="R830" s="8"/>
      <c r="S830" s="8"/>
      <c r="T830" s="8"/>
      <c r="U830" s="8"/>
      <c r="V830" s="8"/>
      <c r="W830" s="8"/>
      <c r="X830" s="8"/>
      <c r="Y830" s="8"/>
      <c r="Z830" s="8"/>
      <c r="AA830" s="8"/>
    </row>
    <row r="831" spans="1:27" ht="12.75">
      <c r="A831" s="8"/>
      <c r="B831" s="59"/>
      <c r="C831" s="59"/>
      <c r="D831" s="59"/>
      <c r="E831" s="59"/>
      <c r="F831" s="8"/>
      <c r="G831" s="8"/>
      <c r="H831" s="8"/>
      <c r="I831" s="8"/>
      <c r="J831" s="8"/>
      <c r="K831" s="8"/>
      <c r="L831" s="8"/>
      <c r="M831" s="8"/>
      <c r="N831" s="8"/>
      <c r="O831" s="8"/>
      <c r="P831" s="8"/>
      <c r="Q831" s="8"/>
      <c r="R831" s="8"/>
      <c r="S831" s="8"/>
      <c r="T831" s="8"/>
      <c r="U831" s="8"/>
      <c r="V831" s="8"/>
      <c r="W831" s="8"/>
      <c r="X831" s="8"/>
      <c r="Y831" s="8"/>
      <c r="Z831" s="8"/>
      <c r="AA831" s="8"/>
    </row>
    <row r="832" spans="1:27" ht="12.75">
      <c r="A832" s="8"/>
      <c r="B832" s="59"/>
      <c r="C832" s="59"/>
      <c r="D832" s="59"/>
      <c r="E832" s="59"/>
      <c r="F832" s="8"/>
      <c r="G832" s="8"/>
      <c r="H832" s="8"/>
      <c r="I832" s="8"/>
      <c r="J832" s="8"/>
      <c r="K832" s="8"/>
      <c r="L832" s="8"/>
      <c r="M832" s="8"/>
      <c r="N832" s="8"/>
      <c r="O832" s="8"/>
      <c r="P832" s="8"/>
      <c r="Q832" s="8"/>
      <c r="R832" s="8"/>
      <c r="S832" s="8"/>
      <c r="T832" s="8"/>
      <c r="U832" s="8"/>
      <c r="V832" s="8"/>
      <c r="W832" s="8"/>
      <c r="X832" s="8"/>
      <c r="Y832" s="8"/>
      <c r="Z832" s="8"/>
      <c r="AA832" s="8"/>
    </row>
    <row r="833" spans="1:27" ht="12.75">
      <c r="A833" s="8"/>
      <c r="B833" s="59"/>
      <c r="C833" s="59"/>
      <c r="D833" s="59"/>
      <c r="E833" s="59"/>
      <c r="F833" s="8"/>
      <c r="G833" s="8"/>
      <c r="H833" s="8"/>
      <c r="I833" s="8"/>
      <c r="J833" s="8"/>
      <c r="K833" s="8"/>
      <c r="L833" s="8"/>
      <c r="M833" s="8"/>
      <c r="N833" s="8"/>
      <c r="O833" s="8"/>
      <c r="P833" s="8"/>
      <c r="Q833" s="8"/>
      <c r="R833" s="8"/>
      <c r="S833" s="8"/>
      <c r="T833" s="8"/>
      <c r="U833" s="8"/>
      <c r="V833" s="8"/>
      <c r="W833" s="8"/>
      <c r="X833" s="8"/>
      <c r="Y833" s="8"/>
      <c r="Z833" s="8"/>
      <c r="AA833" s="8"/>
    </row>
    <row r="834" spans="1:27" ht="12.75">
      <c r="A834" s="8"/>
      <c r="B834" s="59"/>
      <c r="C834" s="59"/>
      <c r="D834" s="59"/>
      <c r="E834" s="59"/>
      <c r="F834" s="8"/>
      <c r="G834" s="8"/>
      <c r="H834" s="8"/>
      <c r="I834" s="8"/>
      <c r="J834" s="8"/>
      <c r="K834" s="8"/>
      <c r="L834" s="8"/>
      <c r="M834" s="8"/>
      <c r="N834" s="8"/>
      <c r="O834" s="8"/>
      <c r="P834" s="8"/>
      <c r="Q834" s="8"/>
      <c r="R834" s="8"/>
      <c r="S834" s="8"/>
      <c r="T834" s="8"/>
      <c r="U834" s="8"/>
      <c r="V834" s="8"/>
      <c r="W834" s="8"/>
      <c r="X834" s="8"/>
      <c r="Y834" s="8"/>
      <c r="Z834" s="8"/>
      <c r="AA834" s="8"/>
    </row>
    <row r="835" spans="1:27" ht="12.75">
      <c r="A835" s="8"/>
      <c r="B835" s="59"/>
      <c r="C835" s="59"/>
      <c r="D835" s="59"/>
      <c r="E835" s="59"/>
      <c r="F835" s="8"/>
      <c r="G835" s="8"/>
      <c r="H835" s="8"/>
      <c r="I835" s="8"/>
      <c r="J835" s="8"/>
      <c r="K835" s="8"/>
      <c r="L835" s="8"/>
      <c r="M835" s="8"/>
      <c r="N835" s="8"/>
      <c r="O835" s="8"/>
      <c r="P835" s="8"/>
      <c r="Q835" s="8"/>
      <c r="R835" s="8"/>
      <c r="S835" s="8"/>
      <c r="T835" s="8"/>
      <c r="U835" s="8"/>
      <c r="V835" s="8"/>
      <c r="W835" s="8"/>
      <c r="X835" s="8"/>
      <c r="Y835" s="8"/>
      <c r="Z835" s="8"/>
      <c r="AA835" s="8"/>
    </row>
    <row r="836" spans="1:27" ht="12.75">
      <c r="A836" s="8"/>
      <c r="B836" s="59"/>
      <c r="C836" s="59"/>
      <c r="D836" s="59"/>
      <c r="E836" s="59"/>
      <c r="F836" s="8"/>
      <c r="G836" s="8"/>
      <c r="H836" s="8"/>
      <c r="I836" s="8"/>
      <c r="J836" s="8"/>
      <c r="K836" s="8"/>
      <c r="L836" s="8"/>
      <c r="M836" s="8"/>
      <c r="N836" s="8"/>
      <c r="O836" s="8"/>
      <c r="P836" s="8"/>
      <c r="Q836" s="8"/>
      <c r="R836" s="8"/>
      <c r="S836" s="8"/>
      <c r="T836" s="8"/>
      <c r="U836" s="8"/>
      <c r="V836" s="8"/>
      <c r="W836" s="8"/>
      <c r="X836" s="8"/>
      <c r="Y836" s="8"/>
      <c r="Z836" s="8"/>
      <c r="AA836" s="8"/>
    </row>
    <row r="837" spans="1:27" ht="12.75">
      <c r="A837" s="8"/>
      <c r="B837" s="59"/>
      <c r="C837" s="59"/>
      <c r="D837" s="59"/>
      <c r="E837" s="59"/>
      <c r="F837" s="8"/>
      <c r="G837" s="8"/>
      <c r="H837" s="8"/>
      <c r="I837" s="8"/>
      <c r="J837" s="8"/>
      <c r="K837" s="8"/>
      <c r="L837" s="8"/>
      <c r="M837" s="8"/>
      <c r="N837" s="8"/>
      <c r="O837" s="8"/>
      <c r="P837" s="8"/>
      <c r="Q837" s="8"/>
      <c r="R837" s="8"/>
      <c r="S837" s="8"/>
      <c r="T837" s="8"/>
      <c r="U837" s="8"/>
      <c r="V837" s="8"/>
      <c r="W837" s="8"/>
      <c r="X837" s="8"/>
      <c r="Y837" s="8"/>
      <c r="Z837" s="8"/>
      <c r="AA837" s="8"/>
    </row>
    <row r="838" spans="1:27" ht="12.75">
      <c r="A838" s="8"/>
      <c r="B838" s="59"/>
      <c r="C838" s="59"/>
      <c r="D838" s="59"/>
      <c r="E838" s="59"/>
      <c r="F838" s="8"/>
      <c r="G838" s="8"/>
      <c r="H838" s="8"/>
      <c r="I838" s="8"/>
      <c r="J838" s="8"/>
      <c r="K838" s="8"/>
      <c r="L838" s="8"/>
      <c r="M838" s="8"/>
      <c r="N838" s="8"/>
      <c r="O838" s="8"/>
      <c r="P838" s="8"/>
      <c r="Q838" s="8"/>
      <c r="R838" s="8"/>
      <c r="S838" s="8"/>
      <c r="T838" s="8"/>
      <c r="U838" s="8"/>
      <c r="V838" s="8"/>
      <c r="W838" s="8"/>
      <c r="X838" s="8"/>
      <c r="Y838" s="8"/>
      <c r="Z838" s="8"/>
      <c r="AA838" s="8"/>
    </row>
    <row r="839" spans="1:27" ht="12.75">
      <c r="A839" s="8"/>
      <c r="B839" s="59"/>
      <c r="C839" s="59"/>
      <c r="D839" s="59"/>
      <c r="E839" s="59"/>
      <c r="F839" s="8"/>
      <c r="G839" s="8"/>
      <c r="H839" s="8"/>
      <c r="I839" s="8"/>
      <c r="J839" s="8"/>
      <c r="K839" s="8"/>
      <c r="L839" s="8"/>
      <c r="M839" s="8"/>
      <c r="N839" s="8"/>
      <c r="O839" s="8"/>
      <c r="P839" s="8"/>
      <c r="Q839" s="8"/>
      <c r="R839" s="8"/>
      <c r="S839" s="8"/>
      <c r="T839" s="8"/>
      <c r="U839" s="8"/>
      <c r="V839" s="8"/>
      <c r="W839" s="8"/>
      <c r="X839" s="8"/>
      <c r="Y839" s="8"/>
      <c r="Z839" s="8"/>
      <c r="AA839" s="8"/>
    </row>
    <row r="840" spans="1:27" ht="12.75">
      <c r="A840" s="8"/>
      <c r="B840" s="59"/>
      <c r="C840" s="59"/>
      <c r="D840" s="59"/>
      <c r="E840" s="59"/>
      <c r="F840" s="8"/>
      <c r="G840" s="8"/>
      <c r="H840" s="8"/>
      <c r="I840" s="8"/>
      <c r="J840" s="8"/>
      <c r="K840" s="8"/>
      <c r="L840" s="8"/>
      <c r="M840" s="8"/>
      <c r="N840" s="8"/>
      <c r="O840" s="8"/>
      <c r="P840" s="8"/>
      <c r="Q840" s="8"/>
      <c r="R840" s="8"/>
      <c r="S840" s="8"/>
      <c r="T840" s="8"/>
      <c r="U840" s="8"/>
      <c r="V840" s="8"/>
      <c r="W840" s="8"/>
      <c r="X840" s="8"/>
      <c r="Y840" s="8"/>
      <c r="Z840" s="8"/>
      <c r="AA840" s="8"/>
    </row>
    <row r="841" spans="1:27" ht="12.75">
      <c r="A841" s="8"/>
      <c r="B841" s="59"/>
      <c r="C841" s="59"/>
      <c r="D841" s="59"/>
      <c r="E841" s="59"/>
      <c r="F841" s="8"/>
      <c r="G841" s="8"/>
      <c r="H841" s="8"/>
      <c r="I841" s="8"/>
      <c r="J841" s="8"/>
      <c r="K841" s="8"/>
      <c r="L841" s="8"/>
      <c r="M841" s="8"/>
      <c r="N841" s="8"/>
      <c r="O841" s="8"/>
      <c r="P841" s="8"/>
      <c r="Q841" s="8"/>
      <c r="R841" s="8"/>
      <c r="S841" s="8"/>
      <c r="T841" s="8"/>
      <c r="U841" s="8"/>
      <c r="V841" s="8"/>
      <c r="W841" s="8"/>
      <c r="X841" s="8"/>
      <c r="Y841" s="8"/>
      <c r="Z841" s="8"/>
      <c r="AA841" s="8"/>
    </row>
    <row r="842" spans="1:27" ht="12.75">
      <c r="A842" s="8"/>
      <c r="B842" s="59"/>
      <c r="C842" s="59"/>
      <c r="D842" s="59"/>
      <c r="E842" s="59"/>
      <c r="F842" s="8"/>
      <c r="G842" s="8"/>
      <c r="H842" s="8"/>
      <c r="I842" s="8"/>
      <c r="J842" s="8"/>
      <c r="K842" s="8"/>
      <c r="L842" s="8"/>
      <c r="M842" s="8"/>
      <c r="N842" s="8"/>
      <c r="O842" s="8"/>
      <c r="P842" s="8"/>
      <c r="Q842" s="8"/>
      <c r="R842" s="8"/>
      <c r="S842" s="8"/>
      <c r="T842" s="8"/>
      <c r="U842" s="8"/>
      <c r="V842" s="8"/>
      <c r="W842" s="8"/>
      <c r="X842" s="8"/>
      <c r="Y842" s="8"/>
      <c r="Z842" s="8"/>
      <c r="AA842" s="8"/>
    </row>
    <row r="843" spans="1:27" ht="12.75">
      <c r="A843" s="8"/>
      <c r="B843" s="59"/>
      <c r="C843" s="59"/>
      <c r="D843" s="59"/>
      <c r="E843" s="59"/>
      <c r="F843" s="8"/>
      <c r="G843" s="8"/>
      <c r="H843" s="8"/>
      <c r="I843" s="8"/>
      <c r="J843" s="8"/>
      <c r="K843" s="8"/>
      <c r="L843" s="8"/>
      <c r="M843" s="8"/>
      <c r="N843" s="8"/>
      <c r="O843" s="8"/>
      <c r="P843" s="8"/>
      <c r="Q843" s="8"/>
      <c r="R843" s="8"/>
      <c r="S843" s="8"/>
      <c r="T843" s="8"/>
      <c r="U843" s="8"/>
      <c r="V843" s="8"/>
      <c r="W843" s="8"/>
      <c r="X843" s="8"/>
      <c r="Y843" s="8"/>
      <c r="Z843" s="8"/>
      <c r="AA843" s="8"/>
    </row>
    <row r="844" spans="1:27" ht="12.75">
      <c r="A844" s="8"/>
      <c r="B844" s="59"/>
      <c r="C844" s="59"/>
      <c r="D844" s="59"/>
      <c r="E844" s="59"/>
      <c r="F844" s="8"/>
      <c r="G844" s="8"/>
      <c r="H844" s="8"/>
      <c r="I844" s="8"/>
      <c r="J844" s="8"/>
      <c r="K844" s="8"/>
      <c r="L844" s="8"/>
      <c r="M844" s="8"/>
      <c r="N844" s="8"/>
      <c r="O844" s="8"/>
      <c r="P844" s="8"/>
      <c r="Q844" s="8"/>
      <c r="R844" s="8"/>
      <c r="S844" s="8"/>
      <c r="T844" s="8"/>
      <c r="U844" s="8"/>
      <c r="V844" s="8"/>
      <c r="W844" s="8"/>
      <c r="X844" s="8"/>
      <c r="Y844" s="8"/>
      <c r="Z844" s="8"/>
      <c r="AA844" s="8"/>
    </row>
    <row r="845" spans="1:27" ht="12.75">
      <c r="A845" s="8"/>
      <c r="B845" s="59"/>
      <c r="C845" s="59"/>
      <c r="D845" s="59"/>
      <c r="E845" s="59"/>
      <c r="F845" s="8"/>
      <c r="G845" s="8"/>
      <c r="H845" s="8"/>
      <c r="I845" s="8"/>
      <c r="J845" s="8"/>
      <c r="K845" s="8"/>
      <c r="L845" s="8"/>
      <c r="M845" s="8"/>
      <c r="N845" s="8"/>
      <c r="O845" s="8"/>
      <c r="P845" s="8"/>
      <c r="Q845" s="8"/>
      <c r="R845" s="8"/>
      <c r="S845" s="8"/>
      <c r="T845" s="8"/>
      <c r="U845" s="8"/>
      <c r="V845" s="8"/>
      <c r="W845" s="8"/>
      <c r="X845" s="8"/>
      <c r="Y845" s="8"/>
      <c r="Z845" s="8"/>
      <c r="AA845" s="8"/>
    </row>
    <row r="846" spans="1:27" ht="12.75">
      <c r="A846" s="8"/>
      <c r="B846" s="59"/>
      <c r="C846" s="59"/>
      <c r="D846" s="59"/>
      <c r="E846" s="59"/>
      <c r="F846" s="8"/>
      <c r="G846" s="8"/>
      <c r="H846" s="8"/>
      <c r="I846" s="8"/>
      <c r="J846" s="8"/>
      <c r="K846" s="8"/>
      <c r="L846" s="8"/>
      <c r="M846" s="8"/>
      <c r="N846" s="8"/>
      <c r="O846" s="8"/>
      <c r="P846" s="8"/>
      <c r="Q846" s="8"/>
      <c r="R846" s="8"/>
      <c r="S846" s="8"/>
      <c r="T846" s="8"/>
      <c r="U846" s="8"/>
      <c r="V846" s="8"/>
      <c r="W846" s="8"/>
      <c r="X846" s="8"/>
      <c r="Y846" s="8"/>
      <c r="Z846" s="8"/>
      <c r="AA846" s="8"/>
    </row>
    <row r="847" spans="1:27" ht="12.75">
      <c r="A847" s="8"/>
      <c r="B847" s="59"/>
      <c r="C847" s="59"/>
      <c r="D847" s="59"/>
      <c r="E847" s="59"/>
      <c r="F847" s="8"/>
      <c r="G847" s="8"/>
      <c r="H847" s="8"/>
      <c r="I847" s="8"/>
      <c r="J847" s="8"/>
      <c r="K847" s="8"/>
      <c r="L847" s="8"/>
      <c r="M847" s="8"/>
      <c r="N847" s="8"/>
      <c r="O847" s="8"/>
      <c r="P847" s="8"/>
      <c r="Q847" s="8"/>
      <c r="R847" s="8"/>
      <c r="S847" s="8"/>
      <c r="T847" s="8"/>
      <c r="U847" s="8"/>
      <c r="V847" s="8"/>
      <c r="W847" s="8"/>
      <c r="X847" s="8"/>
      <c r="Y847" s="8"/>
      <c r="Z847" s="8"/>
      <c r="AA847" s="8"/>
    </row>
    <row r="848" spans="1:27" ht="12.75">
      <c r="A848" s="8"/>
      <c r="B848" s="59"/>
      <c r="C848" s="59"/>
      <c r="D848" s="59"/>
      <c r="E848" s="59"/>
      <c r="F848" s="8"/>
      <c r="G848" s="8"/>
      <c r="H848" s="8"/>
      <c r="I848" s="8"/>
      <c r="J848" s="8"/>
      <c r="K848" s="8"/>
      <c r="L848" s="8"/>
      <c r="M848" s="8"/>
      <c r="N848" s="8"/>
      <c r="O848" s="8"/>
      <c r="P848" s="8"/>
      <c r="Q848" s="8"/>
      <c r="R848" s="8"/>
      <c r="S848" s="8"/>
      <c r="T848" s="8"/>
      <c r="U848" s="8"/>
      <c r="V848" s="8"/>
      <c r="W848" s="8"/>
      <c r="X848" s="8"/>
      <c r="Y848" s="8"/>
      <c r="Z848" s="8"/>
      <c r="AA848" s="8"/>
    </row>
    <row r="849" spans="1:27" ht="12.75">
      <c r="A849" s="8"/>
      <c r="B849" s="59"/>
      <c r="C849" s="59"/>
      <c r="D849" s="59"/>
      <c r="E849" s="59"/>
      <c r="F849" s="8"/>
      <c r="G849" s="8"/>
      <c r="H849" s="8"/>
      <c r="I849" s="8"/>
      <c r="J849" s="8"/>
      <c r="K849" s="8"/>
      <c r="L849" s="8"/>
      <c r="M849" s="8"/>
      <c r="N849" s="8"/>
      <c r="O849" s="8"/>
      <c r="P849" s="8"/>
      <c r="Q849" s="8"/>
      <c r="R849" s="8"/>
      <c r="S849" s="8"/>
      <c r="T849" s="8"/>
      <c r="U849" s="8"/>
      <c r="V849" s="8"/>
      <c r="W849" s="8"/>
      <c r="X849" s="8"/>
      <c r="Y849" s="8"/>
      <c r="Z849" s="8"/>
      <c r="AA849" s="8"/>
    </row>
    <row r="850" spans="1:27" ht="12.75">
      <c r="A850" s="8"/>
      <c r="B850" s="59"/>
      <c r="C850" s="59"/>
      <c r="D850" s="59"/>
      <c r="E850" s="59"/>
      <c r="F850" s="8"/>
      <c r="G850" s="8"/>
      <c r="H850" s="8"/>
      <c r="I850" s="8"/>
      <c r="J850" s="8"/>
      <c r="K850" s="8"/>
      <c r="L850" s="8"/>
      <c r="M850" s="8"/>
      <c r="N850" s="8"/>
      <c r="O850" s="8"/>
      <c r="P850" s="8"/>
      <c r="Q850" s="8"/>
      <c r="R850" s="8"/>
      <c r="S850" s="8"/>
      <c r="T850" s="8"/>
      <c r="U850" s="8"/>
      <c r="V850" s="8"/>
      <c r="W850" s="8"/>
      <c r="X850" s="8"/>
      <c r="Y850" s="8"/>
      <c r="Z850" s="8"/>
      <c r="AA850" s="8"/>
    </row>
    <row r="851" spans="1:27" ht="12.75">
      <c r="A851" s="8"/>
      <c r="B851" s="59"/>
      <c r="C851" s="59"/>
      <c r="D851" s="59"/>
      <c r="E851" s="59"/>
      <c r="F851" s="8"/>
      <c r="G851" s="8"/>
      <c r="H851" s="8"/>
      <c r="I851" s="8"/>
      <c r="J851" s="8"/>
      <c r="K851" s="8"/>
      <c r="L851" s="8"/>
      <c r="M851" s="8"/>
      <c r="N851" s="8"/>
      <c r="O851" s="8"/>
      <c r="P851" s="8"/>
      <c r="Q851" s="8"/>
      <c r="R851" s="8"/>
      <c r="S851" s="8"/>
      <c r="T851" s="8"/>
      <c r="U851" s="8"/>
      <c r="V851" s="8"/>
      <c r="W851" s="8"/>
      <c r="X851" s="8"/>
      <c r="Y851" s="8"/>
      <c r="Z851" s="8"/>
      <c r="AA851" s="8"/>
    </row>
    <row r="852" spans="1:27" ht="12.75">
      <c r="A852" s="8"/>
      <c r="B852" s="59"/>
      <c r="C852" s="59"/>
      <c r="D852" s="59"/>
      <c r="E852" s="59"/>
      <c r="F852" s="8"/>
      <c r="G852" s="8"/>
      <c r="H852" s="8"/>
      <c r="I852" s="8"/>
      <c r="J852" s="8"/>
      <c r="K852" s="8"/>
      <c r="L852" s="8"/>
      <c r="M852" s="8"/>
      <c r="N852" s="8"/>
      <c r="O852" s="8"/>
      <c r="P852" s="8"/>
      <c r="Q852" s="8"/>
      <c r="R852" s="8"/>
      <c r="S852" s="8"/>
      <c r="T852" s="8"/>
      <c r="U852" s="8"/>
      <c r="V852" s="8"/>
      <c r="W852" s="8"/>
      <c r="X852" s="8"/>
      <c r="Y852" s="8"/>
      <c r="Z852" s="8"/>
      <c r="AA852" s="8"/>
    </row>
    <row r="853" spans="1:27" ht="12.75">
      <c r="A853" s="8"/>
      <c r="B853" s="59"/>
      <c r="C853" s="59"/>
      <c r="D853" s="59"/>
      <c r="E853" s="59"/>
      <c r="F853" s="8"/>
      <c r="G853" s="8"/>
      <c r="H853" s="8"/>
      <c r="I853" s="8"/>
      <c r="J853" s="8"/>
      <c r="K853" s="8"/>
      <c r="L853" s="8"/>
      <c r="M853" s="8"/>
      <c r="N853" s="8"/>
      <c r="O853" s="8"/>
      <c r="P853" s="8"/>
      <c r="Q853" s="8"/>
      <c r="R853" s="8"/>
      <c r="S853" s="8"/>
      <c r="T853" s="8"/>
      <c r="U853" s="8"/>
      <c r="V853" s="8"/>
      <c r="W853" s="8"/>
      <c r="X853" s="8"/>
      <c r="Y853" s="8"/>
      <c r="Z853" s="8"/>
      <c r="AA853" s="8"/>
    </row>
    <row r="854" spans="1:27" ht="12.75">
      <c r="A854" s="8"/>
      <c r="B854" s="59"/>
      <c r="C854" s="59"/>
      <c r="D854" s="59"/>
      <c r="E854" s="59"/>
      <c r="F854" s="8"/>
      <c r="G854" s="8"/>
      <c r="H854" s="8"/>
      <c r="I854" s="8"/>
      <c r="J854" s="8"/>
      <c r="K854" s="8"/>
      <c r="L854" s="8"/>
      <c r="M854" s="8"/>
      <c r="N854" s="8"/>
      <c r="O854" s="8"/>
      <c r="P854" s="8"/>
      <c r="Q854" s="8"/>
      <c r="R854" s="8"/>
      <c r="S854" s="8"/>
      <c r="T854" s="8"/>
      <c r="U854" s="8"/>
      <c r="V854" s="8"/>
      <c r="W854" s="8"/>
      <c r="X854" s="8"/>
      <c r="Y854" s="8"/>
      <c r="Z854" s="8"/>
      <c r="AA854" s="8"/>
    </row>
    <row r="855" spans="1:27" ht="12.75">
      <c r="A855" s="8"/>
      <c r="B855" s="59"/>
      <c r="C855" s="59"/>
      <c r="D855" s="59"/>
      <c r="E855" s="59"/>
      <c r="F855" s="8"/>
      <c r="G855" s="8"/>
      <c r="H855" s="8"/>
      <c r="I855" s="8"/>
      <c r="J855" s="8"/>
      <c r="K855" s="8"/>
      <c r="L855" s="8"/>
      <c r="M855" s="8"/>
      <c r="N855" s="8"/>
      <c r="O855" s="8"/>
      <c r="P855" s="8"/>
      <c r="Q855" s="8"/>
      <c r="R855" s="8"/>
      <c r="S855" s="8"/>
      <c r="T855" s="8"/>
      <c r="U855" s="8"/>
      <c r="V855" s="8"/>
      <c r="W855" s="8"/>
      <c r="X855" s="8"/>
      <c r="Y855" s="8"/>
      <c r="Z855" s="8"/>
      <c r="AA855" s="8"/>
    </row>
    <row r="856" spans="1:27" ht="12.75">
      <c r="A856" s="8"/>
      <c r="B856" s="59"/>
      <c r="C856" s="59"/>
      <c r="D856" s="59"/>
      <c r="E856" s="59"/>
      <c r="F856" s="8"/>
      <c r="G856" s="8"/>
      <c r="H856" s="8"/>
      <c r="I856" s="8"/>
      <c r="J856" s="8"/>
      <c r="K856" s="8"/>
      <c r="L856" s="8"/>
      <c r="M856" s="8"/>
      <c r="N856" s="8"/>
      <c r="O856" s="8"/>
      <c r="P856" s="8"/>
      <c r="Q856" s="8"/>
      <c r="R856" s="8"/>
      <c r="S856" s="8"/>
      <c r="T856" s="8"/>
      <c r="U856" s="8"/>
      <c r="V856" s="8"/>
      <c r="W856" s="8"/>
      <c r="X856" s="8"/>
      <c r="Y856" s="8"/>
      <c r="Z856" s="8"/>
      <c r="AA856" s="8"/>
    </row>
    <row r="857" spans="1:27" ht="12.75">
      <c r="A857" s="8"/>
      <c r="B857" s="59"/>
      <c r="C857" s="59"/>
      <c r="D857" s="59"/>
      <c r="E857" s="59"/>
      <c r="F857" s="8"/>
      <c r="G857" s="8"/>
      <c r="H857" s="8"/>
      <c r="I857" s="8"/>
      <c r="J857" s="8"/>
      <c r="K857" s="8"/>
      <c r="L857" s="8"/>
      <c r="M857" s="8"/>
      <c r="N857" s="8"/>
      <c r="O857" s="8"/>
      <c r="P857" s="8"/>
      <c r="Q857" s="8"/>
      <c r="R857" s="8"/>
      <c r="S857" s="8"/>
      <c r="T857" s="8"/>
      <c r="U857" s="8"/>
      <c r="V857" s="8"/>
      <c r="W857" s="8"/>
      <c r="X857" s="8"/>
      <c r="Y857" s="8"/>
      <c r="Z857" s="8"/>
      <c r="AA857" s="8"/>
    </row>
    <row r="858" spans="1:27" ht="12.75">
      <c r="A858" s="8"/>
      <c r="B858" s="59"/>
      <c r="C858" s="59"/>
      <c r="D858" s="59"/>
      <c r="E858" s="59"/>
      <c r="F858" s="8"/>
      <c r="G858" s="8"/>
      <c r="H858" s="8"/>
      <c r="I858" s="8"/>
      <c r="J858" s="8"/>
      <c r="K858" s="8"/>
      <c r="L858" s="8"/>
      <c r="M858" s="8"/>
      <c r="N858" s="8"/>
      <c r="O858" s="8"/>
      <c r="P858" s="8"/>
      <c r="Q858" s="8"/>
      <c r="R858" s="8"/>
      <c r="S858" s="8"/>
      <c r="T858" s="8"/>
      <c r="U858" s="8"/>
      <c r="V858" s="8"/>
      <c r="W858" s="8"/>
      <c r="X858" s="8"/>
      <c r="Y858" s="8"/>
      <c r="Z858" s="8"/>
      <c r="AA858" s="8"/>
    </row>
    <row r="859" spans="1:27" ht="12.75">
      <c r="A859" s="8"/>
      <c r="B859" s="59"/>
      <c r="C859" s="59"/>
      <c r="D859" s="59"/>
      <c r="E859" s="59"/>
      <c r="F859" s="8"/>
      <c r="G859" s="8"/>
      <c r="H859" s="8"/>
      <c r="I859" s="8"/>
      <c r="J859" s="8"/>
      <c r="K859" s="8"/>
      <c r="L859" s="8"/>
      <c r="M859" s="8"/>
      <c r="N859" s="8"/>
      <c r="O859" s="8"/>
      <c r="P859" s="8"/>
      <c r="Q859" s="8"/>
      <c r="R859" s="8"/>
      <c r="S859" s="8"/>
      <c r="T859" s="8"/>
      <c r="U859" s="8"/>
      <c r="V859" s="8"/>
      <c r="W859" s="8"/>
      <c r="X859" s="8"/>
      <c r="Y859" s="8"/>
      <c r="Z859" s="8"/>
      <c r="AA859" s="8"/>
    </row>
    <row r="860" spans="1:27" ht="12.75">
      <c r="A860" s="8"/>
      <c r="B860" s="59"/>
      <c r="C860" s="59"/>
      <c r="D860" s="59"/>
      <c r="E860" s="59"/>
      <c r="F860" s="8"/>
      <c r="G860" s="8"/>
      <c r="H860" s="8"/>
      <c r="I860" s="8"/>
      <c r="J860" s="8"/>
      <c r="K860" s="8"/>
      <c r="L860" s="8"/>
      <c r="M860" s="8"/>
      <c r="N860" s="8"/>
      <c r="O860" s="8"/>
      <c r="P860" s="8"/>
      <c r="Q860" s="8"/>
      <c r="R860" s="8"/>
      <c r="S860" s="8"/>
      <c r="T860" s="8"/>
      <c r="U860" s="8"/>
      <c r="V860" s="8"/>
      <c r="W860" s="8"/>
      <c r="X860" s="8"/>
      <c r="Y860" s="8"/>
      <c r="Z860" s="8"/>
      <c r="AA860" s="8"/>
    </row>
    <row r="861" spans="1:27" ht="12.75">
      <c r="A861" s="8"/>
      <c r="B861" s="59"/>
      <c r="C861" s="59"/>
      <c r="D861" s="59"/>
      <c r="E861" s="59"/>
      <c r="F861" s="8"/>
      <c r="G861" s="8"/>
      <c r="H861" s="8"/>
      <c r="I861" s="8"/>
      <c r="J861" s="8"/>
      <c r="K861" s="8"/>
      <c r="L861" s="8"/>
      <c r="M861" s="8"/>
      <c r="N861" s="8"/>
      <c r="O861" s="8"/>
      <c r="P861" s="8"/>
      <c r="Q861" s="8"/>
      <c r="R861" s="8"/>
      <c r="S861" s="8"/>
      <c r="T861" s="8"/>
      <c r="U861" s="8"/>
      <c r="V861" s="8"/>
      <c r="W861" s="8"/>
      <c r="X861" s="8"/>
      <c r="Y861" s="8"/>
      <c r="Z861" s="8"/>
      <c r="AA861" s="8"/>
    </row>
    <row r="862" spans="1:27" ht="12.75">
      <c r="A862" s="8"/>
      <c r="B862" s="59"/>
      <c r="C862" s="59"/>
      <c r="D862" s="59"/>
      <c r="E862" s="59"/>
      <c r="F862" s="8"/>
      <c r="G862" s="8"/>
      <c r="H862" s="8"/>
      <c r="I862" s="8"/>
      <c r="J862" s="8"/>
      <c r="K862" s="8"/>
      <c r="L862" s="8"/>
      <c r="M862" s="8"/>
      <c r="N862" s="8"/>
      <c r="O862" s="8"/>
      <c r="P862" s="8"/>
      <c r="Q862" s="8"/>
      <c r="R862" s="8"/>
      <c r="S862" s="8"/>
      <c r="T862" s="8"/>
      <c r="U862" s="8"/>
      <c r="V862" s="8"/>
      <c r="W862" s="8"/>
      <c r="X862" s="8"/>
      <c r="Y862" s="8"/>
      <c r="Z862" s="8"/>
      <c r="AA862" s="8"/>
    </row>
    <row r="863" spans="1:27" ht="12.75">
      <c r="A863" s="8"/>
      <c r="B863" s="59"/>
      <c r="C863" s="59"/>
      <c r="D863" s="59"/>
      <c r="E863" s="59"/>
      <c r="F863" s="8"/>
      <c r="G863" s="8"/>
      <c r="H863" s="8"/>
      <c r="I863" s="8"/>
      <c r="J863" s="8"/>
      <c r="K863" s="8"/>
      <c r="L863" s="8"/>
      <c r="M863" s="8"/>
      <c r="N863" s="8"/>
      <c r="O863" s="8"/>
      <c r="P863" s="8"/>
      <c r="Q863" s="8"/>
      <c r="R863" s="8"/>
      <c r="S863" s="8"/>
      <c r="T863" s="8"/>
      <c r="U863" s="8"/>
      <c r="V863" s="8"/>
      <c r="W863" s="8"/>
      <c r="X863" s="8"/>
      <c r="Y863" s="8"/>
      <c r="Z863" s="8"/>
      <c r="AA863" s="8"/>
    </row>
    <row r="864" spans="1:27" ht="12.75">
      <c r="A864" s="8"/>
      <c r="B864" s="59"/>
      <c r="C864" s="59"/>
      <c r="D864" s="59"/>
      <c r="E864" s="59"/>
      <c r="F864" s="8"/>
      <c r="G864" s="8"/>
      <c r="H864" s="8"/>
      <c r="I864" s="8"/>
      <c r="J864" s="8"/>
      <c r="K864" s="8"/>
      <c r="L864" s="8"/>
      <c r="M864" s="8"/>
      <c r="N864" s="8"/>
      <c r="O864" s="8"/>
      <c r="P864" s="8"/>
      <c r="Q864" s="8"/>
      <c r="R864" s="8"/>
      <c r="S864" s="8"/>
      <c r="T864" s="8"/>
      <c r="U864" s="8"/>
      <c r="V864" s="8"/>
      <c r="W864" s="8"/>
      <c r="X864" s="8"/>
      <c r="Y864" s="8"/>
      <c r="Z864" s="8"/>
      <c r="AA864" s="8"/>
    </row>
    <row r="865" spans="1:27" ht="12.75">
      <c r="A865" s="8"/>
      <c r="B865" s="59"/>
      <c r="C865" s="59"/>
      <c r="D865" s="59"/>
      <c r="E865" s="59"/>
      <c r="F865" s="8"/>
      <c r="G865" s="8"/>
      <c r="H865" s="8"/>
      <c r="I865" s="8"/>
      <c r="J865" s="8"/>
      <c r="K865" s="8"/>
      <c r="L865" s="8"/>
      <c r="M865" s="8"/>
      <c r="N865" s="8"/>
      <c r="O865" s="8"/>
      <c r="P865" s="8"/>
      <c r="Q865" s="8"/>
      <c r="R865" s="8"/>
      <c r="S865" s="8"/>
      <c r="T865" s="8"/>
      <c r="U865" s="8"/>
      <c r="V865" s="8"/>
      <c r="W865" s="8"/>
      <c r="X865" s="8"/>
      <c r="Y865" s="8"/>
      <c r="Z865" s="8"/>
      <c r="AA865" s="8"/>
    </row>
    <row r="866" spans="1:27" ht="12.75">
      <c r="A866" s="8"/>
      <c r="B866" s="59"/>
      <c r="C866" s="59"/>
      <c r="D866" s="59"/>
      <c r="E866" s="59"/>
      <c r="F866" s="8"/>
      <c r="G866" s="8"/>
      <c r="H866" s="8"/>
      <c r="I866" s="8"/>
      <c r="J866" s="8"/>
      <c r="K866" s="8"/>
      <c r="L866" s="8"/>
      <c r="M866" s="8"/>
      <c r="N866" s="8"/>
      <c r="O866" s="8"/>
      <c r="P866" s="8"/>
      <c r="Q866" s="8"/>
      <c r="R866" s="8"/>
      <c r="S866" s="8"/>
      <c r="T866" s="8"/>
      <c r="U866" s="8"/>
      <c r="V866" s="8"/>
      <c r="W866" s="8"/>
      <c r="X866" s="8"/>
      <c r="Y866" s="8"/>
      <c r="Z866" s="8"/>
      <c r="AA866" s="8"/>
    </row>
    <row r="867" spans="1:27" ht="12.75">
      <c r="A867" s="8"/>
      <c r="B867" s="59"/>
      <c r="C867" s="59"/>
      <c r="D867" s="59"/>
      <c r="E867" s="59"/>
      <c r="F867" s="8"/>
      <c r="G867" s="8"/>
      <c r="H867" s="8"/>
      <c r="I867" s="8"/>
      <c r="J867" s="8"/>
      <c r="K867" s="8"/>
      <c r="L867" s="8"/>
      <c r="M867" s="8"/>
      <c r="N867" s="8"/>
      <c r="O867" s="8"/>
      <c r="P867" s="8"/>
      <c r="Q867" s="8"/>
      <c r="R867" s="8"/>
      <c r="S867" s="8"/>
      <c r="T867" s="8"/>
      <c r="U867" s="8"/>
      <c r="V867" s="8"/>
      <c r="W867" s="8"/>
      <c r="X867" s="8"/>
      <c r="Y867" s="8"/>
      <c r="Z867" s="8"/>
      <c r="AA867" s="8"/>
    </row>
    <row r="868" spans="1:27" ht="12.75">
      <c r="A868" s="8"/>
      <c r="B868" s="59"/>
      <c r="C868" s="59"/>
      <c r="D868" s="59"/>
      <c r="E868" s="59"/>
      <c r="F868" s="8"/>
      <c r="G868" s="8"/>
      <c r="H868" s="8"/>
      <c r="I868" s="8"/>
      <c r="J868" s="8"/>
      <c r="K868" s="8"/>
      <c r="L868" s="8"/>
      <c r="M868" s="8"/>
      <c r="N868" s="8"/>
      <c r="O868" s="8"/>
      <c r="P868" s="8"/>
      <c r="Q868" s="8"/>
      <c r="R868" s="8"/>
      <c r="S868" s="8"/>
      <c r="T868" s="8"/>
      <c r="U868" s="8"/>
      <c r="V868" s="8"/>
      <c r="W868" s="8"/>
      <c r="X868" s="8"/>
      <c r="Y868" s="8"/>
      <c r="Z868" s="8"/>
      <c r="AA868" s="8"/>
    </row>
    <row r="869" spans="1:27" ht="12.75">
      <c r="A869" s="8"/>
      <c r="B869" s="59"/>
      <c r="C869" s="59"/>
      <c r="D869" s="59"/>
      <c r="E869" s="59"/>
      <c r="F869" s="8"/>
      <c r="G869" s="8"/>
      <c r="H869" s="8"/>
      <c r="I869" s="8"/>
      <c r="J869" s="8"/>
      <c r="K869" s="8"/>
      <c r="L869" s="8"/>
      <c r="M869" s="8"/>
      <c r="N869" s="8"/>
      <c r="O869" s="8"/>
      <c r="P869" s="8"/>
      <c r="Q869" s="8"/>
      <c r="R869" s="8"/>
      <c r="S869" s="8"/>
      <c r="T869" s="8"/>
      <c r="U869" s="8"/>
      <c r="V869" s="8"/>
      <c r="W869" s="8"/>
      <c r="X869" s="8"/>
      <c r="Y869" s="8"/>
      <c r="Z869" s="8"/>
      <c r="AA869" s="8"/>
    </row>
    <row r="870" spans="1:27" ht="12.75">
      <c r="A870" s="8"/>
      <c r="B870" s="59"/>
      <c r="C870" s="59"/>
      <c r="D870" s="59"/>
      <c r="E870" s="59"/>
      <c r="F870" s="8"/>
      <c r="G870" s="8"/>
      <c r="H870" s="8"/>
      <c r="I870" s="8"/>
      <c r="J870" s="8"/>
      <c r="K870" s="8"/>
      <c r="L870" s="8"/>
      <c r="M870" s="8"/>
      <c r="N870" s="8"/>
      <c r="O870" s="8"/>
      <c r="P870" s="8"/>
      <c r="Q870" s="8"/>
      <c r="R870" s="8"/>
      <c r="S870" s="8"/>
      <c r="T870" s="8"/>
      <c r="U870" s="8"/>
      <c r="V870" s="8"/>
      <c r="W870" s="8"/>
      <c r="X870" s="8"/>
      <c r="Y870" s="8"/>
      <c r="Z870" s="8"/>
      <c r="AA870" s="8"/>
    </row>
    <row r="871" spans="1:27" ht="12.75">
      <c r="A871" s="8"/>
      <c r="B871" s="59"/>
      <c r="C871" s="59"/>
      <c r="D871" s="59"/>
      <c r="E871" s="59"/>
      <c r="F871" s="8"/>
      <c r="G871" s="8"/>
      <c r="H871" s="8"/>
      <c r="I871" s="8"/>
      <c r="J871" s="8"/>
      <c r="K871" s="8"/>
      <c r="L871" s="8"/>
      <c r="M871" s="8"/>
      <c r="N871" s="8"/>
      <c r="O871" s="8"/>
      <c r="P871" s="8"/>
      <c r="Q871" s="8"/>
      <c r="R871" s="8"/>
      <c r="S871" s="8"/>
      <c r="T871" s="8"/>
      <c r="U871" s="8"/>
      <c r="V871" s="8"/>
      <c r="W871" s="8"/>
      <c r="X871" s="8"/>
      <c r="Y871" s="8"/>
      <c r="Z871" s="8"/>
      <c r="AA871" s="8"/>
    </row>
    <row r="872" spans="1:27" ht="12.75">
      <c r="A872" s="8"/>
      <c r="B872" s="59"/>
      <c r="C872" s="59"/>
      <c r="D872" s="59"/>
      <c r="E872" s="59"/>
      <c r="F872" s="8"/>
      <c r="G872" s="8"/>
      <c r="H872" s="8"/>
      <c r="I872" s="8"/>
      <c r="J872" s="8"/>
      <c r="K872" s="8"/>
      <c r="L872" s="8"/>
      <c r="M872" s="8"/>
      <c r="N872" s="8"/>
      <c r="O872" s="8"/>
      <c r="P872" s="8"/>
      <c r="Q872" s="8"/>
      <c r="R872" s="8"/>
      <c r="S872" s="8"/>
      <c r="T872" s="8"/>
      <c r="U872" s="8"/>
      <c r="V872" s="8"/>
      <c r="W872" s="8"/>
      <c r="X872" s="8"/>
      <c r="Y872" s="8"/>
      <c r="Z872" s="8"/>
      <c r="AA872" s="8"/>
    </row>
    <row r="873" spans="1:27" ht="12.75">
      <c r="A873" s="8"/>
      <c r="B873" s="59"/>
      <c r="C873" s="59"/>
      <c r="D873" s="59"/>
      <c r="E873" s="59"/>
      <c r="F873" s="8"/>
      <c r="G873" s="8"/>
      <c r="H873" s="8"/>
      <c r="I873" s="8"/>
      <c r="J873" s="8"/>
      <c r="K873" s="8"/>
      <c r="L873" s="8"/>
      <c r="M873" s="8"/>
      <c r="N873" s="8"/>
      <c r="O873" s="8"/>
      <c r="P873" s="8"/>
      <c r="Q873" s="8"/>
      <c r="R873" s="8"/>
      <c r="S873" s="8"/>
      <c r="T873" s="8"/>
      <c r="U873" s="8"/>
      <c r="V873" s="8"/>
      <c r="W873" s="8"/>
      <c r="X873" s="8"/>
      <c r="Y873" s="8"/>
      <c r="Z873" s="8"/>
      <c r="AA873" s="8"/>
    </row>
    <row r="874" spans="1:27" ht="12.75">
      <c r="A874" s="8"/>
      <c r="B874" s="59"/>
      <c r="C874" s="59"/>
      <c r="D874" s="59"/>
      <c r="E874" s="59"/>
      <c r="F874" s="8"/>
      <c r="G874" s="8"/>
      <c r="H874" s="8"/>
      <c r="I874" s="8"/>
      <c r="J874" s="8"/>
      <c r="K874" s="8"/>
      <c r="L874" s="8"/>
      <c r="M874" s="8"/>
      <c r="N874" s="8"/>
      <c r="O874" s="8"/>
      <c r="P874" s="8"/>
      <c r="Q874" s="8"/>
      <c r="R874" s="8"/>
      <c r="S874" s="8"/>
      <c r="T874" s="8"/>
      <c r="U874" s="8"/>
      <c r="V874" s="8"/>
      <c r="W874" s="8"/>
      <c r="X874" s="8"/>
      <c r="Y874" s="8"/>
      <c r="Z874" s="8"/>
      <c r="AA874" s="8"/>
    </row>
    <row r="875" spans="1:27" ht="12.75">
      <c r="A875" s="8"/>
      <c r="B875" s="59"/>
      <c r="C875" s="59"/>
      <c r="D875" s="59"/>
      <c r="E875" s="59"/>
      <c r="F875" s="8"/>
      <c r="G875" s="8"/>
      <c r="H875" s="8"/>
      <c r="I875" s="8"/>
      <c r="J875" s="8"/>
      <c r="K875" s="8"/>
      <c r="L875" s="8"/>
      <c r="M875" s="8"/>
      <c r="N875" s="8"/>
      <c r="O875" s="8"/>
      <c r="P875" s="8"/>
      <c r="Q875" s="8"/>
      <c r="R875" s="8"/>
      <c r="S875" s="8"/>
      <c r="T875" s="8"/>
      <c r="U875" s="8"/>
      <c r="V875" s="8"/>
      <c r="W875" s="8"/>
      <c r="X875" s="8"/>
      <c r="Y875" s="8"/>
      <c r="Z875" s="8"/>
      <c r="AA875" s="8"/>
    </row>
    <row r="876" spans="1:27" ht="12.75">
      <c r="A876" s="8"/>
      <c r="B876" s="59"/>
      <c r="C876" s="59"/>
      <c r="D876" s="59"/>
      <c r="E876" s="59"/>
      <c r="F876" s="8"/>
      <c r="G876" s="8"/>
      <c r="H876" s="8"/>
      <c r="I876" s="8"/>
      <c r="J876" s="8"/>
      <c r="K876" s="8"/>
      <c r="L876" s="8"/>
      <c r="M876" s="8"/>
      <c r="N876" s="8"/>
      <c r="O876" s="8"/>
      <c r="P876" s="8"/>
      <c r="Q876" s="8"/>
      <c r="R876" s="8"/>
      <c r="S876" s="8"/>
      <c r="T876" s="8"/>
      <c r="U876" s="8"/>
      <c r="V876" s="8"/>
      <c r="W876" s="8"/>
      <c r="X876" s="8"/>
      <c r="Y876" s="8"/>
      <c r="Z876" s="8"/>
      <c r="AA876" s="8"/>
    </row>
    <row r="877" spans="1:27" ht="12.75">
      <c r="A877" s="8"/>
      <c r="B877" s="59"/>
      <c r="C877" s="59"/>
      <c r="D877" s="59"/>
      <c r="E877" s="59"/>
      <c r="F877" s="8"/>
      <c r="G877" s="8"/>
      <c r="H877" s="8"/>
      <c r="I877" s="8"/>
      <c r="J877" s="8"/>
      <c r="K877" s="8"/>
      <c r="L877" s="8"/>
      <c r="M877" s="8"/>
      <c r="N877" s="8"/>
      <c r="O877" s="8"/>
      <c r="P877" s="8"/>
      <c r="Q877" s="8"/>
      <c r="R877" s="8"/>
      <c r="S877" s="8"/>
      <c r="T877" s="8"/>
      <c r="U877" s="8"/>
      <c r="V877" s="8"/>
      <c r="W877" s="8"/>
      <c r="X877" s="8"/>
      <c r="Y877" s="8"/>
      <c r="Z877" s="8"/>
      <c r="AA877" s="8"/>
    </row>
    <row r="878" spans="1:27" ht="12.75">
      <c r="A878" s="8"/>
      <c r="B878" s="59"/>
      <c r="C878" s="59"/>
      <c r="D878" s="59"/>
      <c r="E878" s="59"/>
      <c r="F878" s="8"/>
      <c r="G878" s="8"/>
      <c r="H878" s="8"/>
      <c r="I878" s="8"/>
      <c r="J878" s="8"/>
      <c r="K878" s="8"/>
      <c r="L878" s="8"/>
      <c r="M878" s="8"/>
      <c r="N878" s="8"/>
      <c r="O878" s="8"/>
      <c r="P878" s="8"/>
      <c r="Q878" s="8"/>
      <c r="R878" s="8"/>
      <c r="S878" s="8"/>
      <c r="T878" s="8"/>
      <c r="U878" s="8"/>
      <c r="V878" s="8"/>
      <c r="W878" s="8"/>
      <c r="X878" s="8"/>
      <c r="Y878" s="8"/>
      <c r="Z878" s="8"/>
      <c r="AA878" s="8"/>
    </row>
    <row r="879" spans="1:27" ht="12.75">
      <c r="A879" s="8"/>
      <c r="B879" s="59"/>
      <c r="C879" s="59"/>
      <c r="D879" s="59"/>
      <c r="E879" s="59"/>
      <c r="F879" s="8"/>
      <c r="G879" s="8"/>
      <c r="H879" s="8"/>
      <c r="I879" s="8"/>
      <c r="J879" s="8"/>
      <c r="K879" s="8"/>
      <c r="L879" s="8"/>
      <c r="M879" s="8"/>
      <c r="N879" s="8"/>
      <c r="O879" s="8"/>
      <c r="P879" s="8"/>
      <c r="Q879" s="8"/>
      <c r="R879" s="8"/>
      <c r="S879" s="8"/>
      <c r="T879" s="8"/>
      <c r="U879" s="8"/>
      <c r="V879" s="8"/>
      <c r="W879" s="8"/>
      <c r="X879" s="8"/>
      <c r="Y879" s="8"/>
      <c r="Z879" s="8"/>
      <c r="AA879" s="8"/>
    </row>
    <row r="880" spans="1:27" ht="12.75">
      <c r="A880" s="8"/>
      <c r="B880" s="59"/>
      <c r="C880" s="59"/>
      <c r="D880" s="59"/>
      <c r="E880" s="59"/>
      <c r="F880" s="8"/>
      <c r="G880" s="8"/>
      <c r="H880" s="8"/>
      <c r="I880" s="8"/>
      <c r="J880" s="8"/>
      <c r="K880" s="8"/>
      <c r="L880" s="8"/>
      <c r="M880" s="8"/>
      <c r="N880" s="8"/>
      <c r="O880" s="8"/>
      <c r="P880" s="8"/>
      <c r="Q880" s="8"/>
      <c r="R880" s="8"/>
      <c r="S880" s="8"/>
      <c r="T880" s="8"/>
      <c r="U880" s="8"/>
      <c r="V880" s="8"/>
      <c r="W880" s="8"/>
      <c r="X880" s="8"/>
      <c r="Y880" s="8"/>
      <c r="Z880" s="8"/>
      <c r="AA880" s="8"/>
    </row>
    <row r="881" spans="1:27" ht="12.75">
      <c r="A881" s="8"/>
      <c r="B881" s="59"/>
      <c r="C881" s="59"/>
      <c r="D881" s="59"/>
      <c r="E881" s="59"/>
      <c r="F881" s="8"/>
      <c r="G881" s="8"/>
      <c r="H881" s="8"/>
      <c r="I881" s="8"/>
      <c r="J881" s="8"/>
      <c r="K881" s="8"/>
      <c r="L881" s="8"/>
      <c r="M881" s="8"/>
      <c r="N881" s="8"/>
      <c r="O881" s="8"/>
      <c r="P881" s="8"/>
      <c r="Q881" s="8"/>
      <c r="R881" s="8"/>
      <c r="S881" s="8"/>
      <c r="T881" s="8"/>
      <c r="U881" s="8"/>
      <c r="V881" s="8"/>
      <c r="W881" s="8"/>
      <c r="X881" s="8"/>
      <c r="Y881" s="8"/>
      <c r="Z881" s="8"/>
      <c r="AA881" s="8"/>
    </row>
    <row r="882" spans="1:27" ht="12.75">
      <c r="A882" s="8"/>
      <c r="B882" s="59"/>
      <c r="C882" s="59"/>
      <c r="D882" s="59"/>
      <c r="E882" s="59"/>
      <c r="F882" s="8"/>
      <c r="G882" s="8"/>
      <c r="H882" s="8"/>
      <c r="I882" s="8"/>
      <c r="J882" s="8"/>
      <c r="K882" s="8"/>
      <c r="L882" s="8"/>
      <c r="M882" s="8"/>
      <c r="N882" s="8"/>
      <c r="O882" s="8"/>
      <c r="P882" s="8"/>
      <c r="Q882" s="8"/>
      <c r="R882" s="8"/>
      <c r="S882" s="8"/>
      <c r="T882" s="8"/>
      <c r="U882" s="8"/>
      <c r="V882" s="8"/>
      <c r="W882" s="8"/>
      <c r="X882" s="8"/>
      <c r="Y882" s="8"/>
      <c r="Z882" s="8"/>
      <c r="AA882" s="8"/>
    </row>
    <row r="883" spans="1:27" ht="12.75">
      <c r="A883" s="8"/>
      <c r="B883" s="59"/>
      <c r="C883" s="59"/>
      <c r="D883" s="59"/>
      <c r="E883" s="59"/>
      <c r="F883" s="8"/>
      <c r="G883" s="8"/>
      <c r="H883" s="8"/>
      <c r="I883" s="8"/>
      <c r="J883" s="8"/>
      <c r="K883" s="8"/>
      <c r="L883" s="8"/>
      <c r="M883" s="8"/>
      <c r="N883" s="8"/>
      <c r="O883" s="8"/>
      <c r="P883" s="8"/>
      <c r="Q883" s="8"/>
      <c r="R883" s="8"/>
      <c r="S883" s="8"/>
      <c r="T883" s="8"/>
      <c r="U883" s="8"/>
      <c r="V883" s="8"/>
      <c r="W883" s="8"/>
      <c r="X883" s="8"/>
      <c r="Y883" s="8"/>
      <c r="Z883" s="8"/>
      <c r="AA883" s="8"/>
    </row>
    <row r="884" spans="1:27" ht="12.75">
      <c r="A884" s="8"/>
      <c r="B884" s="59"/>
      <c r="C884" s="59"/>
      <c r="D884" s="59"/>
      <c r="E884" s="59"/>
      <c r="F884" s="8"/>
      <c r="G884" s="8"/>
      <c r="H884" s="8"/>
      <c r="I884" s="8"/>
      <c r="J884" s="8"/>
      <c r="K884" s="8"/>
      <c r="L884" s="8"/>
      <c r="M884" s="8"/>
      <c r="N884" s="8"/>
      <c r="O884" s="8"/>
      <c r="P884" s="8"/>
      <c r="Q884" s="8"/>
      <c r="R884" s="8"/>
      <c r="S884" s="8"/>
      <c r="T884" s="8"/>
      <c r="U884" s="8"/>
      <c r="V884" s="8"/>
      <c r="W884" s="8"/>
      <c r="X884" s="8"/>
      <c r="Y884" s="8"/>
      <c r="Z884" s="8"/>
      <c r="AA884" s="8"/>
    </row>
    <row r="885" spans="1:27" ht="12.75">
      <c r="A885" s="8"/>
      <c r="B885" s="59"/>
      <c r="C885" s="59"/>
      <c r="D885" s="59"/>
      <c r="E885" s="59"/>
      <c r="F885" s="8"/>
      <c r="G885" s="8"/>
      <c r="H885" s="8"/>
      <c r="I885" s="8"/>
      <c r="J885" s="8"/>
      <c r="K885" s="8"/>
      <c r="L885" s="8"/>
      <c r="M885" s="8"/>
      <c r="N885" s="8"/>
      <c r="O885" s="8"/>
      <c r="P885" s="8"/>
      <c r="Q885" s="8"/>
      <c r="R885" s="8"/>
      <c r="S885" s="8"/>
      <c r="T885" s="8"/>
      <c r="U885" s="8"/>
      <c r="V885" s="8"/>
      <c r="W885" s="8"/>
      <c r="X885" s="8"/>
      <c r="Y885" s="8"/>
      <c r="Z885" s="8"/>
      <c r="AA885" s="8"/>
    </row>
    <row r="886" spans="1:27" ht="12.75">
      <c r="A886" s="8"/>
      <c r="B886" s="59"/>
      <c r="C886" s="59"/>
      <c r="D886" s="59"/>
      <c r="E886" s="59"/>
      <c r="F886" s="8"/>
      <c r="G886" s="8"/>
      <c r="H886" s="8"/>
      <c r="I886" s="8"/>
      <c r="J886" s="8"/>
      <c r="K886" s="8"/>
      <c r="L886" s="8"/>
      <c r="M886" s="8"/>
      <c r="N886" s="8"/>
      <c r="O886" s="8"/>
      <c r="P886" s="8"/>
      <c r="Q886" s="8"/>
      <c r="R886" s="8"/>
      <c r="S886" s="8"/>
      <c r="T886" s="8"/>
      <c r="U886" s="8"/>
      <c r="V886" s="8"/>
      <c r="W886" s="8"/>
      <c r="X886" s="8"/>
      <c r="Y886" s="8"/>
      <c r="Z886" s="8"/>
      <c r="AA886" s="8"/>
    </row>
    <row r="887" spans="1:27" ht="12.75">
      <c r="A887" s="8"/>
      <c r="B887" s="59"/>
      <c r="C887" s="59"/>
      <c r="D887" s="59"/>
      <c r="E887" s="59"/>
      <c r="F887" s="8"/>
      <c r="G887" s="8"/>
      <c r="H887" s="8"/>
      <c r="I887" s="8"/>
      <c r="J887" s="8"/>
      <c r="K887" s="8"/>
      <c r="L887" s="8"/>
      <c r="M887" s="8"/>
      <c r="N887" s="8"/>
      <c r="O887" s="8"/>
      <c r="P887" s="8"/>
      <c r="Q887" s="8"/>
      <c r="R887" s="8"/>
      <c r="S887" s="8"/>
      <c r="T887" s="8"/>
      <c r="U887" s="8"/>
      <c r="V887" s="8"/>
      <c r="W887" s="8"/>
      <c r="X887" s="8"/>
      <c r="Y887" s="8"/>
      <c r="Z887" s="8"/>
      <c r="AA887" s="8"/>
    </row>
    <row r="888" spans="1:27" ht="12.75">
      <c r="A888" s="8"/>
      <c r="B888" s="59"/>
      <c r="C888" s="59"/>
      <c r="D888" s="59"/>
      <c r="E888" s="59"/>
      <c r="F888" s="8"/>
      <c r="G888" s="8"/>
      <c r="H888" s="8"/>
      <c r="I888" s="8"/>
      <c r="J888" s="8"/>
      <c r="K888" s="8"/>
      <c r="L888" s="8"/>
      <c r="M888" s="8"/>
      <c r="N888" s="8"/>
      <c r="O888" s="8"/>
      <c r="P888" s="8"/>
      <c r="Q888" s="8"/>
      <c r="R888" s="8"/>
      <c r="S888" s="8"/>
      <c r="T888" s="8"/>
      <c r="U888" s="8"/>
      <c r="V888" s="8"/>
      <c r="W888" s="8"/>
      <c r="X888" s="8"/>
      <c r="Y888" s="8"/>
      <c r="Z888" s="8"/>
      <c r="AA888" s="8"/>
    </row>
    <row r="889" spans="1:27" ht="12.75">
      <c r="A889" s="8"/>
      <c r="B889" s="59"/>
      <c r="C889" s="59"/>
      <c r="D889" s="59"/>
      <c r="E889" s="59"/>
      <c r="F889" s="8"/>
      <c r="G889" s="8"/>
      <c r="H889" s="8"/>
      <c r="I889" s="8"/>
      <c r="J889" s="8"/>
      <c r="K889" s="8"/>
      <c r="L889" s="8"/>
      <c r="M889" s="8"/>
      <c r="N889" s="8"/>
      <c r="O889" s="8"/>
      <c r="P889" s="8"/>
      <c r="Q889" s="8"/>
      <c r="R889" s="8"/>
      <c r="S889" s="8"/>
      <c r="T889" s="8"/>
      <c r="U889" s="8"/>
      <c r="V889" s="8"/>
      <c r="W889" s="8"/>
      <c r="X889" s="8"/>
      <c r="Y889" s="8"/>
      <c r="Z889" s="8"/>
      <c r="AA889" s="8"/>
    </row>
    <row r="890" spans="1:27" ht="12.75">
      <c r="A890" s="8"/>
      <c r="B890" s="59"/>
      <c r="C890" s="59"/>
      <c r="D890" s="59"/>
      <c r="E890" s="59"/>
      <c r="F890" s="8"/>
      <c r="G890" s="8"/>
      <c r="H890" s="8"/>
      <c r="I890" s="8"/>
      <c r="J890" s="8"/>
      <c r="K890" s="8"/>
      <c r="L890" s="8"/>
      <c r="M890" s="8"/>
      <c r="N890" s="8"/>
      <c r="O890" s="8"/>
      <c r="P890" s="8"/>
      <c r="Q890" s="8"/>
      <c r="R890" s="8"/>
      <c r="S890" s="8"/>
      <c r="T890" s="8"/>
      <c r="U890" s="8"/>
      <c r="V890" s="8"/>
      <c r="W890" s="8"/>
      <c r="X890" s="8"/>
      <c r="Y890" s="8"/>
      <c r="Z890" s="8"/>
      <c r="AA890" s="8"/>
    </row>
    <row r="891" spans="1:27" ht="12.75">
      <c r="A891" s="8"/>
      <c r="B891" s="59"/>
      <c r="C891" s="59"/>
      <c r="D891" s="59"/>
      <c r="E891" s="59"/>
      <c r="F891" s="8"/>
      <c r="G891" s="8"/>
      <c r="H891" s="8"/>
      <c r="I891" s="8"/>
      <c r="J891" s="8"/>
      <c r="K891" s="8"/>
      <c r="L891" s="8"/>
      <c r="M891" s="8"/>
      <c r="N891" s="8"/>
      <c r="O891" s="8"/>
      <c r="P891" s="8"/>
      <c r="Q891" s="8"/>
      <c r="R891" s="8"/>
      <c r="S891" s="8"/>
      <c r="T891" s="8"/>
      <c r="U891" s="8"/>
      <c r="V891" s="8"/>
      <c r="W891" s="8"/>
      <c r="X891" s="8"/>
      <c r="Y891" s="8"/>
      <c r="Z891" s="8"/>
      <c r="AA891" s="8"/>
    </row>
    <row r="892" spans="1:27" ht="12.75">
      <c r="A892" s="8"/>
      <c r="B892" s="59"/>
      <c r="C892" s="59"/>
      <c r="D892" s="59"/>
      <c r="E892" s="59"/>
      <c r="F892" s="8"/>
      <c r="G892" s="8"/>
      <c r="H892" s="8"/>
      <c r="I892" s="8"/>
      <c r="J892" s="8"/>
      <c r="K892" s="8"/>
      <c r="L892" s="8"/>
      <c r="M892" s="8"/>
      <c r="N892" s="8"/>
      <c r="O892" s="8"/>
      <c r="P892" s="8"/>
      <c r="Q892" s="8"/>
      <c r="R892" s="8"/>
      <c r="S892" s="8"/>
      <c r="T892" s="8"/>
      <c r="U892" s="8"/>
      <c r="V892" s="8"/>
      <c r="W892" s="8"/>
      <c r="X892" s="8"/>
      <c r="Y892" s="8"/>
      <c r="Z892" s="8"/>
      <c r="AA892" s="8"/>
    </row>
    <row r="893" spans="1:27" ht="12.75">
      <c r="A893" s="8"/>
      <c r="B893" s="59"/>
      <c r="C893" s="59"/>
      <c r="D893" s="59"/>
      <c r="E893" s="59"/>
      <c r="F893" s="8"/>
      <c r="G893" s="8"/>
      <c r="H893" s="8"/>
      <c r="I893" s="8"/>
      <c r="J893" s="8"/>
      <c r="K893" s="8"/>
      <c r="L893" s="8"/>
      <c r="M893" s="8"/>
      <c r="N893" s="8"/>
      <c r="O893" s="8"/>
      <c r="P893" s="8"/>
      <c r="Q893" s="8"/>
      <c r="R893" s="8"/>
      <c r="S893" s="8"/>
      <c r="T893" s="8"/>
      <c r="U893" s="8"/>
      <c r="V893" s="8"/>
      <c r="W893" s="8"/>
      <c r="X893" s="8"/>
      <c r="Y893" s="8"/>
      <c r="Z893" s="8"/>
      <c r="AA893" s="8"/>
    </row>
    <row r="894" spans="1:27" ht="12.75">
      <c r="A894" s="8"/>
      <c r="B894" s="59"/>
      <c r="C894" s="59"/>
      <c r="D894" s="59"/>
      <c r="E894" s="59"/>
      <c r="F894" s="8"/>
      <c r="G894" s="8"/>
      <c r="H894" s="8"/>
      <c r="I894" s="8"/>
      <c r="J894" s="8"/>
      <c r="K894" s="8"/>
      <c r="L894" s="8"/>
      <c r="M894" s="8"/>
      <c r="N894" s="8"/>
      <c r="O894" s="8"/>
      <c r="P894" s="8"/>
      <c r="Q894" s="8"/>
      <c r="R894" s="8"/>
      <c r="S894" s="8"/>
      <c r="T894" s="8"/>
      <c r="U894" s="8"/>
      <c r="V894" s="8"/>
      <c r="W894" s="8"/>
      <c r="X894" s="8"/>
      <c r="Y894" s="8"/>
      <c r="Z894" s="8"/>
      <c r="AA894" s="8"/>
    </row>
    <row r="895" spans="1:27" ht="12.75">
      <c r="A895" s="8"/>
      <c r="B895" s="59"/>
      <c r="C895" s="59"/>
      <c r="D895" s="59"/>
      <c r="E895" s="59"/>
      <c r="F895" s="8"/>
      <c r="G895" s="8"/>
      <c r="H895" s="8"/>
      <c r="I895" s="8"/>
      <c r="J895" s="8"/>
      <c r="K895" s="8"/>
      <c r="L895" s="8"/>
      <c r="M895" s="8"/>
      <c r="N895" s="8"/>
      <c r="O895" s="8"/>
      <c r="P895" s="8"/>
      <c r="Q895" s="8"/>
      <c r="R895" s="8"/>
      <c r="S895" s="8"/>
      <c r="T895" s="8"/>
      <c r="U895" s="8"/>
      <c r="V895" s="8"/>
      <c r="W895" s="8"/>
      <c r="X895" s="8"/>
      <c r="Y895" s="8"/>
      <c r="Z895" s="8"/>
      <c r="AA895" s="8"/>
    </row>
    <row r="896" spans="1:27" ht="12.75">
      <c r="A896" s="8"/>
      <c r="B896" s="59"/>
      <c r="C896" s="59"/>
      <c r="D896" s="59"/>
      <c r="E896" s="59"/>
      <c r="F896" s="8"/>
      <c r="G896" s="8"/>
      <c r="H896" s="8"/>
      <c r="I896" s="8"/>
      <c r="J896" s="8"/>
      <c r="K896" s="8"/>
      <c r="L896" s="8"/>
      <c r="M896" s="8"/>
      <c r="N896" s="8"/>
      <c r="O896" s="8"/>
      <c r="P896" s="8"/>
      <c r="Q896" s="8"/>
      <c r="R896" s="8"/>
      <c r="S896" s="8"/>
      <c r="T896" s="8"/>
      <c r="U896" s="8"/>
      <c r="V896" s="8"/>
      <c r="W896" s="8"/>
      <c r="X896" s="8"/>
      <c r="Y896" s="8"/>
      <c r="Z896" s="8"/>
      <c r="AA896" s="8"/>
    </row>
    <row r="897" spans="1:27" ht="12.75">
      <c r="A897" s="8"/>
      <c r="B897" s="59"/>
      <c r="C897" s="59"/>
      <c r="D897" s="59"/>
      <c r="E897" s="59"/>
      <c r="F897" s="8"/>
      <c r="G897" s="8"/>
      <c r="H897" s="8"/>
      <c r="I897" s="8"/>
      <c r="J897" s="8"/>
      <c r="K897" s="8"/>
      <c r="L897" s="8"/>
      <c r="M897" s="8"/>
      <c r="N897" s="8"/>
      <c r="O897" s="8"/>
      <c r="P897" s="8"/>
      <c r="Q897" s="8"/>
      <c r="R897" s="8"/>
      <c r="S897" s="8"/>
      <c r="T897" s="8"/>
      <c r="U897" s="8"/>
      <c r="V897" s="8"/>
      <c r="W897" s="8"/>
      <c r="X897" s="8"/>
      <c r="Y897" s="8"/>
      <c r="Z897" s="8"/>
      <c r="AA897" s="8"/>
    </row>
    <row r="898" spans="1:27" ht="12.75">
      <c r="A898" s="8"/>
      <c r="B898" s="59"/>
      <c r="C898" s="59"/>
      <c r="D898" s="59"/>
      <c r="E898" s="59"/>
      <c r="F898" s="8"/>
      <c r="G898" s="8"/>
      <c r="H898" s="8"/>
      <c r="I898" s="8"/>
      <c r="J898" s="8"/>
      <c r="K898" s="8"/>
      <c r="L898" s="8"/>
      <c r="M898" s="8"/>
      <c r="N898" s="8"/>
      <c r="O898" s="8"/>
      <c r="P898" s="8"/>
      <c r="Q898" s="8"/>
      <c r="R898" s="8"/>
      <c r="S898" s="8"/>
      <c r="T898" s="8"/>
      <c r="U898" s="8"/>
      <c r="V898" s="8"/>
      <c r="W898" s="8"/>
      <c r="X898" s="8"/>
      <c r="Y898" s="8"/>
      <c r="Z898" s="8"/>
      <c r="AA898" s="8"/>
    </row>
    <row r="899" spans="1:27" ht="12.75">
      <c r="A899" s="8"/>
      <c r="B899" s="59"/>
      <c r="C899" s="59"/>
      <c r="D899" s="59"/>
      <c r="E899" s="59"/>
      <c r="F899" s="8"/>
      <c r="G899" s="8"/>
      <c r="H899" s="8"/>
      <c r="I899" s="8"/>
      <c r="J899" s="8"/>
      <c r="K899" s="8"/>
      <c r="L899" s="8"/>
      <c r="M899" s="8"/>
      <c r="N899" s="8"/>
      <c r="O899" s="8"/>
      <c r="P899" s="8"/>
      <c r="Q899" s="8"/>
      <c r="R899" s="8"/>
      <c r="S899" s="8"/>
      <c r="T899" s="8"/>
      <c r="U899" s="8"/>
      <c r="V899" s="8"/>
      <c r="W899" s="8"/>
      <c r="X899" s="8"/>
      <c r="Y899" s="8"/>
      <c r="Z899" s="8"/>
      <c r="AA899" s="8"/>
    </row>
    <row r="900" spans="1:27" ht="12.75">
      <c r="A900" s="8"/>
      <c r="B900" s="59"/>
      <c r="C900" s="59"/>
      <c r="D900" s="59"/>
      <c r="E900" s="59"/>
      <c r="F900" s="8"/>
      <c r="G900" s="8"/>
      <c r="H900" s="8"/>
      <c r="I900" s="8"/>
      <c r="J900" s="8"/>
      <c r="K900" s="8"/>
      <c r="L900" s="8"/>
      <c r="M900" s="8"/>
      <c r="N900" s="8"/>
      <c r="O900" s="8"/>
      <c r="P900" s="8"/>
      <c r="Q900" s="8"/>
      <c r="R900" s="8"/>
      <c r="S900" s="8"/>
      <c r="T900" s="8"/>
      <c r="U900" s="8"/>
      <c r="V900" s="8"/>
      <c r="W900" s="8"/>
      <c r="X900" s="8"/>
      <c r="Y900" s="8"/>
      <c r="Z900" s="8"/>
      <c r="AA900" s="8"/>
    </row>
    <row r="901" spans="1:27" ht="12.75">
      <c r="A901" s="8"/>
      <c r="B901" s="59"/>
      <c r="C901" s="59"/>
      <c r="D901" s="59"/>
      <c r="E901" s="59"/>
      <c r="F901" s="8"/>
      <c r="G901" s="8"/>
      <c r="H901" s="8"/>
      <c r="I901" s="8"/>
      <c r="J901" s="8"/>
      <c r="K901" s="8"/>
      <c r="L901" s="8"/>
      <c r="M901" s="8"/>
      <c r="N901" s="8"/>
      <c r="O901" s="8"/>
      <c r="P901" s="8"/>
      <c r="Q901" s="8"/>
      <c r="R901" s="8"/>
      <c r="S901" s="8"/>
      <c r="T901" s="8"/>
      <c r="U901" s="8"/>
      <c r="V901" s="8"/>
      <c r="W901" s="8"/>
      <c r="X901" s="8"/>
      <c r="Y901" s="8"/>
      <c r="Z901" s="8"/>
      <c r="AA901" s="8"/>
    </row>
    <row r="902" spans="1:27" ht="12.75">
      <c r="A902" s="8"/>
      <c r="B902" s="59"/>
      <c r="C902" s="59"/>
      <c r="D902" s="59"/>
      <c r="E902" s="59"/>
      <c r="F902" s="8"/>
      <c r="G902" s="8"/>
      <c r="H902" s="8"/>
      <c r="I902" s="8"/>
      <c r="J902" s="8"/>
      <c r="K902" s="8"/>
      <c r="L902" s="8"/>
      <c r="M902" s="8"/>
      <c r="N902" s="8"/>
      <c r="O902" s="8"/>
      <c r="P902" s="8"/>
      <c r="Q902" s="8"/>
      <c r="R902" s="8"/>
      <c r="S902" s="8"/>
      <c r="T902" s="8"/>
      <c r="U902" s="8"/>
      <c r="V902" s="8"/>
      <c r="W902" s="8"/>
      <c r="X902" s="8"/>
      <c r="Y902" s="8"/>
      <c r="Z902" s="8"/>
      <c r="AA902" s="8"/>
    </row>
    <row r="903" spans="1:27" ht="12.75">
      <c r="A903" s="8"/>
      <c r="B903" s="59"/>
      <c r="C903" s="59"/>
      <c r="D903" s="59"/>
      <c r="E903" s="59"/>
      <c r="F903" s="8"/>
      <c r="G903" s="8"/>
      <c r="H903" s="8"/>
      <c r="I903" s="8"/>
      <c r="J903" s="8"/>
      <c r="K903" s="8"/>
      <c r="L903" s="8"/>
      <c r="M903" s="8"/>
      <c r="N903" s="8"/>
      <c r="O903" s="8"/>
      <c r="P903" s="8"/>
      <c r="Q903" s="8"/>
      <c r="R903" s="8"/>
      <c r="S903" s="8"/>
      <c r="T903" s="8"/>
      <c r="U903" s="8"/>
      <c r="V903" s="8"/>
      <c r="W903" s="8"/>
      <c r="X903" s="8"/>
      <c r="Y903" s="8"/>
      <c r="Z903" s="8"/>
      <c r="AA903" s="8"/>
    </row>
    <row r="904" spans="1:27" ht="12.75">
      <c r="A904" s="8"/>
      <c r="B904" s="59"/>
      <c r="C904" s="59"/>
      <c r="D904" s="59"/>
      <c r="E904" s="59"/>
      <c r="F904" s="8"/>
      <c r="G904" s="8"/>
      <c r="H904" s="8"/>
      <c r="I904" s="8"/>
      <c r="J904" s="8"/>
      <c r="K904" s="8"/>
      <c r="L904" s="8"/>
      <c r="M904" s="8"/>
      <c r="N904" s="8"/>
      <c r="O904" s="8"/>
      <c r="P904" s="8"/>
      <c r="Q904" s="8"/>
      <c r="R904" s="8"/>
      <c r="S904" s="8"/>
      <c r="T904" s="8"/>
      <c r="U904" s="8"/>
      <c r="V904" s="8"/>
      <c r="W904" s="8"/>
      <c r="X904" s="8"/>
      <c r="Y904" s="8"/>
      <c r="Z904" s="8"/>
      <c r="AA904" s="8"/>
    </row>
    <row r="905" spans="1:27" ht="12.75">
      <c r="A905" s="8"/>
      <c r="B905" s="59"/>
      <c r="C905" s="59"/>
      <c r="D905" s="59"/>
      <c r="E905" s="59"/>
      <c r="F905" s="8"/>
      <c r="G905" s="8"/>
      <c r="H905" s="8"/>
      <c r="I905" s="8"/>
      <c r="J905" s="8"/>
      <c r="K905" s="8"/>
      <c r="L905" s="8"/>
      <c r="M905" s="8"/>
      <c r="N905" s="8"/>
      <c r="O905" s="8"/>
      <c r="P905" s="8"/>
      <c r="Q905" s="8"/>
      <c r="R905" s="8"/>
      <c r="S905" s="8"/>
      <c r="T905" s="8"/>
      <c r="U905" s="8"/>
      <c r="V905" s="8"/>
      <c r="W905" s="8"/>
      <c r="X905" s="8"/>
      <c r="Y905" s="8"/>
      <c r="Z905" s="8"/>
      <c r="AA905" s="8"/>
    </row>
    <row r="906" spans="1:27" ht="12.75">
      <c r="A906" s="8"/>
      <c r="B906" s="59"/>
      <c r="C906" s="59"/>
      <c r="D906" s="59"/>
      <c r="E906" s="59"/>
      <c r="F906" s="8"/>
      <c r="G906" s="8"/>
      <c r="H906" s="8"/>
      <c r="I906" s="8"/>
      <c r="J906" s="8"/>
      <c r="K906" s="8"/>
      <c r="L906" s="8"/>
      <c r="M906" s="8"/>
      <c r="N906" s="8"/>
      <c r="O906" s="8"/>
      <c r="P906" s="8"/>
      <c r="Q906" s="8"/>
      <c r="R906" s="8"/>
      <c r="S906" s="8"/>
      <c r="T906" s="8"/>
      <c r="U906" s="8"/>
      <c r="V906" s="8"/>
      <c r="W906" s="8"/>
      <c r="X906" s="8"/>
      <c r="Y906" s="8"/>
      <c r="Z906" s="8"/>
      <c r="AA906" s="8"/>
    </row>
    <row r="907" spans="1:27" ht="12.75">
      <c r="A907" s="8"/>
      <c r="B907" s="59"/>
      <c r="C907" s="59"/>
      <c r="D907" s="59"/>
      <c r="E907" s="59"/>
      <c r="F907" s="8"/>
      <c r="G907" s="8"/>
      <c r="H907" s="8"/>
      <c r="I907" s="8"/>
      <c r="J907" s="8"/>
      <c r="K907" s="8"/>
      <c r="L907" s="8"/>
      <c r="M907" s="8"/>
      <c r="N907" s="8"/>
      <c r="O907" s="8"/>
      <c r="P907" s="8"/>
      <c r="Q907" s="8"/>
      <c r="R907" s="8"/>
      <c r="S907" s="8"/>
      <c r="T907" s="8"/>
      <c r="U907" s="8"/>
      <c r="V907" s="8"/>
      <c r="W907" s="8"/>
      <c r="X907" s="8"/>
      <c r="Y907" s="8"/>
      <c r="Z907" s="8"/>
      <c r="AA907" s="8"/>
    </row>
    <row r="908" spans="1:27" ht="12.75">
      <c r="A908" s="8"/>
      <c r="B908" s="59"/>
      <c r="C908" s="59"/>
      <c r="D908" s="59"/>
      <c r="E908" s="59"/>
      <c r="F908" s="8"/>
      <c r="G908" s="8"/>
      <c r="H908" s="8"/>
      <c r="I908" s="8"/>
      <c r="J908" s="8"/>
      <c r="K908" s="8"/>
      <c r="L908" s="8"/>
      <c r="M908" s="8"/>
      <c r="N908" s="8"/>
      <c r="O908" s="8"/>
      <c r="P908" s="8"/>
      <c r="Q908" s="8"/>
      <c r="R908" s="8"/>
      <c r="S908" s="8"/>
      <c r="T908" s="8"/>
      <c r="U908" s="8"/>
      <c r="V908" s="8"/>
      <c r="W908" s="8"/>
      <c r="X908" s="8"/>
      <c r="Y908" s="8"/>
      <c r="Z908" s="8"/>
      <c r="AA908" s="8"/>
    </row>
    <row r="909" spans="1:27" ht="12.75">
      <c r="A909" s="8"/>
      <c r="B909" s="59"/>
      <c r="C909" s="59"/>
      <c r="D909" s="59"/>
      <c r="E909" s="59"/>
      <c r="F909" s="8"/>
      <c r="G909" s="8"/>
      <c r="H909" s="8"/>
      <c r="I909" s="8"/>
      <c r="J909" s="8"/>
      <c r="K909" s="8"/>
      <c r="L909" s="8"/>
      <c r="M909" s="8"/>
      <c r="N909" s="8"/>
      <c r="O909" s="8"/>
      <c r="P909" s="8"/>
      <c r="Q909" s="8"/>
      <c r="R909" s="8"/>
      <c r="S909" s="8"/>
      <c r="T909" s="8"/>
      <c r="U909" s="8"/>
      <c r="V909" s="8"/>
      <c r="W909" s="8"/>
      <c r="X909" s="8"/>
      <c r="Y909" s="8"/>
      <c r="Z909" s="8"/>
      <c r="AA909" s="8"/>
    </row>
    <row r="910" spans="1:27" ht="12.75">
      <c r="A910" s="8"/>
      <c r="B910" s="59"/>
      <c r="C910" s="59"/>
      <c r="D910" s="59"/>
      <c r="E910" s="59"/>
      <c r="F910" s="8"/>
      <c r="G910" s="8"/>
      <c r="H910" s="8"/>
      <c r="I910" s="8"/>
      <c r="J910" s="8"/>
      <c r="K910" s="8"/>
      <c r="L910" s="8"/>
      <c r="M910" s="8"/>
      <c r="N910" s="8"/>
      <c r="O910" s="8"/>
      <c r="P910" s="8"/>
      <c r="Q910" s="8"/>
      <c r="R910" s="8"/>
      <c r="S910" s="8"/>
      <c r="T910" s="8"/>
      <c r="U910" s="8"/>
      <c r="V910" s="8"/>
      <c r="W910" s="8"/>
      <c r="X910" s="8"/>
      <c r="Y910" s="8"/>
      <c r="Z910" s="8"/>
      <c r="AA910" s="8"/>
    </row>
    <row r="911" spans="1:27" ht="12.75">
      <c r="A911" s="8"/>
      <c r="B911" s="59"/>
      <c r="C911" s="59"/>
      <c r="D911" s="59"/>
      <c r="E911" s="59"/>
      <c r="F911" s="8"/>
      <c r="G911" s="8"/>
      <c r="H911" s="8"/>
      <c r="I911" s="8"/>
      <c r="J911" s="8"/>
      <c r="K911" s="8"/>
      <c r="L911" s="8"/>
      <c r="M911" s="8"/>
      <c r="N911" s="8"/>
      <c r="O911" s="8"/>
      <c r="P911" s="8"/>
      <c r="Q911" s="8"/>
      <c r="R911" s="8"/>
      <c r="S911" s="8"/>
      <c r="T911" s="8"/>
      <c r="U911" s="8"/>
      <c r="V911" s="8"/>
      <c r="W911" s="8"/>
      <c r="X911" s="8"/>
      <c r="Y911" s="8"/>
      <c r="Z911" s="8"/>
      <c r="AA911" s="8"/>
    </row>
    <row r="912" spans="1:27" ht="12.75">
      <c r="A912" s="8"/>
      <c r="B912" s="59"/>
      <c r="C912" s="59"/>
      <c r="D912" s="59"/>
      <c r="E912" s="59"/>
      <c r="F912" s="8"/>
      <c r="G912" s="8"/>
      <c r="H912" s="8"/>
      <c r="I912" s="8"/>
      <c r="J912" s="8"/>
      <c r="K912" s="8"/>
      <c r="L912" s="8"/>
      <c r="M912" s="8"/>
      <c r="N912" s="8"/>
      <c r="O912" s="8"/>
      <c r="P912" s="8"/>
      <c r="Q912" s="8"/>
      <c r="R912" s="8"/>
      <c r="S912" s="8"/>
      <c r="T912" s="8"/>
      <c r="U912" s="8"/>
      <c r="V912" s="8"/>
      <c r="W912" s="8"/>
      <c r="X912" s="8"/>
      <c r="Y912" s="8"/>
      <c r="Z912" s="8"/>
      <c r="AA912" s="8"/>
    </row>
    <row r="913" spans="1:27" ht="12.75">
      <c r="A913" s="8"/>
      <c r="B913" s="59"/>
      <c r="C913" s="59"/>
      <c r="D913" s="59"/>
      <c r="E913" s="59"/>
      <c r="F913" s="8"/>
      <c r="G913" s="8"/>
      <c r="H913" s="8"/>
      <c r="I913" s="8"/>
      <c r="J913" s="8"/>
      <c r="K913" s="8"/>
      <c r="L913" s="8"/>
      <c r="M913" s="8"/>
      <c r="N913" s="8"/>
      <c r="O913" s="8"/>
      <c r="P913" s="8"/>
      <c r="Q913" s="8"/>
      <c r="R913" s="8"/>
      <c r="S913" s="8"/>
      <c r="T913" s="8"/>
      <c r="U913" s="8"/>
      <c r="V913" s="8"/>
      <c r="W913" s="8"/>
      <c r="X913" s="8"/>
      <c r="Y913" s="8"/>
      <c r="Z913" s="8"/>
      <c r="AA913" s="8"/>
    </row>
    <row r="914" spans="1:27" ht="12.75">
      <c r="A914" s="8"/>
      <c r="B914" s="59"/>
      <c r="C914" s="59"/>
      <c r="D914" s="59"/>
      <c r="E914" s="59"/>
      <c r="F914" s="8"/>
      <c r="G914" s="8"/>
      <c r="H914" s="8"/>
      <c r="I914" s="8"/>
      <c r="J914" s="8"/>
      <c r="K914" s="8"/>
      <c r="L914" s="8"/>
      <c r="M914" s="8"/>
      <c r="N914" s="8"/>
      <c r="O914" s="8"/>
      <c r="P914" s="8"/>
      <c r="Q914" s="8"/>
      <c r="R914" s="8"/>
      <c r="S914" s="8"/>
      <c r="T914" s="8"/>
      <c r="U914" s="8"/>
      <c r="V914" s="8"/>
      <c r="W914" s="8"/>
      <c r="X914" s="8"/>
      <c r="Y914" s="8"/>
      <c r="Z914" s="8"/>
      <c r="AA914" s="8"/>
    </row>
    <row r="915" spans="1:27" ht="12.75">
      <c r="A915" s="8"/>
      <c r="B915" s="59"/>
      <c r="C915" s="59"/>
      <c r="D915" s="59"/>
      <c r="E915" s="59"/>
      <c r="F915" s="8"/>
      <c r="G915" s="8"/>
      <c r="H915" s="8"/>
      <c r="I915" s="8"/>
      <c r="J915" s="8"/>
      <c r="K915" s="8"/>
      <c r="L915" s="8"/>
      <c r="M915" s="8"/>
      <c r="N915" s="8"/>
      <c r="O915" s="8"/>
      <c r="P915" s="8"/>
      <c r="Q915" s="8"/>
      <c r="R915" s="8"/>
      <c r="S915" s="8"/>
      <c r="T915" s="8"/>
      <c r="U915" s="8"/>
      <c r="V915" s="8"/>
      <c r="W915" s="8"/>
      <c r="X915" s="8"/>
      <c r="Y915" s="8"/>
      <c r="Z915" s="8"/>
      <c r="AA915" s="8"/>
    </row>
    <row r="916" spans="1:27" ht="12.75">
      <c r="A916" s="8"/>
      <c r="B916" s="59"/>
      <c r="C916" s="59"/>
      <c r="D916" s="59"/>
      <c r="E916" s="59"/>
      <c r="F916" s="8"/>
      <c r="G916" s="8"/>
      <c r="H916" s="8"/>
      <c r="I916" s="8"/>
      <c r="J916" s="8"/>
      <c r="K916" s="8"/>
      <c r="L916" s="8"/>
      <c r="M916" s="8"/>
      <c r="N916" s="8"/>
      <c r="O916" s="8"/>
      <c r="P916" s="8"/>
      <c r="Q916" s="8"/>
      <c r="R916" s="8"/>
      <c r="S916" s="8"/>
      <c r="T916" s="8"/>
      <c r="U916" s="8"/>
      <c r="V916" s="8"/>
      <c r="W916" s="8"/>
      <c r="X916" s="8"/>
      <c r="Y916" s="8"/>
      <c r="Z916" s="8"/>
      <c r="AA916" s="8"/>
    </row>
    <row r="917" spans="1:27" ht="12.75">
      <c r="A917" s="8"/>
      <c r="B917" s="59"/>
      <c r="C917" s="59"/>
      <c r="D917" s="59"/>
      <c r="E917" s="59"/>
      <c r="F917" s="8"/>
      <c r="G917" s="8"/>
      <c r="H917" s="8"/>
      <c r="I917" s="8"/>
      <c r="J917" s="8"/>
      <c r="K917" s="8"/>
      <c r="L917" s="8"/>
      <c r="M917" s="8"/>
      <c r="N917" s="8"/>
      <c r="O917" s="8"/>
      <c r="P917" s="8"/>
      <c r="Q917" s="8"/>
      <c r="R917" s="8"/>
      <c r="S917" s="8"/>
      <c r="T917" s="8"/>
      <c r="U917" s="8"/>
      <c r="V917" s="8"/>
      <c r="W917" s="8"/>
      <c r="X917" s="8"/>
      <c r="Y917" s="8"/>
      <c r="Z917" s="8"/>
      <c r="AA917" s="8"/>
    </row>
    <row r="918" spans="1:27" ht="12.75">
      <c r="A918" s="8"/>
      <c r="B918" s="59"/>
      <c r="C918" s="59"/>
      <c r="D918" s="59"/>
      <c r="E918" s="59"/>
      <c r="F918" s="8"/>
      <c r="G918" s="8"/>
      <c r="H918" s="8"/>
      <c r="I918" s="8"/>
      <c r="J918" s="8"/>
      <c r="K918" s="8"/>
      <c r="L918" s="8"/>
      <c r="M918" s="8"/>
      <c r="N918" s="8"/>
      <c r="O918" s="8"/>
      <c r="P918" s="8"/>
      <c r="Q918" s="8"/>
      <c r="R918" s="8"/>
      <c r="S918" s="8"/>
      <c r="T918" s="8"/>
      <c r="U918" s="8"/>
      <c r="V918" s="8"/>
      <c r="W918" s="8"/>
      <c r="X918" s="8"/>
      <c r="Y918" s="8"/>
      <c r="Z918" s="8"/>
      <c r="AA918" s="8"/>
    </row>
    <row r="919" spans="1:27" ht="12.75">
      <c r="A919" s="8"/>
      <c r="B919" s="59"/>
      <c r="C919" s="59"/>
      <c r="D919" s="59"/>
      <c r="E919" s="59"/>
      <c r="F919" s="8"/>
      <c r="G919" s="8"/>
      <c r="H919" s="8"/>
      <c r="I919" s="8"/>
      <c r="J919" s="8"/>
      <c r="K919" s="8"/>
      <c r="L919" s="8"/>
      <c r="M919" s="8"/>
      <c r="N919" s="8"/>
      <c r="O919" s="8"/>
      <c r="P919" s="8"/>
      <c r="Q919" s="8"/>
      <c r="R919" s="8"/>
      <c r="S919" s="8"/>
      <c r="T919" s="8"/>
      <c r="U919" s="8"/>
      <c r="V919" s="8"/>
      <c r="W919" s="8"/>
      <c r="X919" s="8"/>
      <c r="Y919" s="8"/>
      <c r="Z919" s="8"/>
      <c r="AA919" s="8"/>
    </row>
    <row r="920" spans="1:27" ht="12.75">
      <c r="A920" s="8"/>
      <c r="B920" s="59"/>
      <c r="C920" s="59"/>
      <c r="D920" s="59"/>
      <c r="E920" s="59"/>
      <c r="F920" s="8"/>
      <c r="G920" s="8"/>
      <c r="H920" s="8"/>
      <c r="I920" s="8"/>
      <c r="J920" s="8"/>
      <c r="K920" s="8"/>
      <c r="L920" s="8"/>
      <c r="M920" s="8"/>
      <c r="N920" s="8"/>
      <c r="O920" s="8"/>
      <c r="P920" s="8"/>
      <c r="Q920" s="8"/>
      <c r="R920" s="8"/>
      <c r="S920" s="8"/>
      <c r="T920" s="8"/>
      <c r="U920" s="8"/>
      <c r="V920" s="8"/>
      <c r="W920" s="8"/>
      <c r="X920" s="8"/>
      <c r="Y920" s="8"/>
      <c r="Z920" s="8"/>
      <c r="AA920" s="8"/>
    </row>
    <row r="921" spans="1:27" ht="12.75">
      <c r="A921" s="8"/>
      <c r="B921" s="59"/>
      <c r="C921" s="59"/>
      <c r="D921" s="59"/>
      <c r="E921" s="59"/>
      <c r="F921" s="8"/>
      <c r="G921" s="8"/>
      <c r="H921" s="8"/>
      <c r="I921" s="8"/>
      <c r="J921" s="8"/>
      <c r="K921" s="8"/>
      <c r="L921" s="8"/>
      <c r="M921" s="8"/>
      <c r="N921" s="8"/>
      <c r="O921" s="8"/>
      <c r="P921" s="8"/>
      <c r="Q921" s="8"/>
      <c r="R921" s="8"/>
      <c r="S921" s="8"/>
      <c r="T921" s="8"/>
      <c r="U921" s="8"/>
      <c r="V921" s="8"/>
      <c r="W921" s="8"/>
      <c r="X921" s="8"/>
      <c r="Y921" s="8"/>
      <c r="Z921" s="8"/>
      <c r="AA921" s="8"/>
    </row>
    <row r="922" spans="1:27" ht="12.75">
      <c r="A922" s="8"/>
      <c r="B922" s="59"/>
      <c r="C922" s="59"/>
      <c r="D922" s="59"/>
      <c r="E922" s="59"/>
      <c r="F922" s="8"/>
      <c r="G922" s="8"/>
      <c r="H922" s="8"/>
      <c r="I922" s="8"/>
      <c r="J922" s="8"/>
      <c r="K922" s="8"/>
      <c r="L922" s="8"/>
      <c r="M922" s="8"/>
      <c r="N922" s="8"/>
      <c r="O922" s="8"/>
      <c r="P922" s="8"/>
      <c r="Q922" s="8"/>
      <c r="R922" s="8"/>
      <c r="S922" s="8"/>
      <c r="T922" s="8"/>
      <c r="U922" s="8"/>
      <c r="V922" s="8"/>
      <c r="W922" s="8"/>
      <c r="X922" s="8"/>
      <c r="Y922" s="8"/>
      <c r="Z922" s="8"/>
      <c r="AA922" s="8"/>
    </row>
    <row r="923" spans="1:27" ht="12.75">
      <c r="A923" s="8"/>
      <c r="B923" s="59"/>
      <c r="C923" s="59"/>
      <c r="D923" s="59"/>
      <c r="E923" s="59"/>
      <c r="F923" s="8"/>
      <c r="G923" s="8"/>
      <c r="H923" s="8"/>
      <c r="I923" s="8"/>
      <c r="J923" s="8"/>
      <c r="K923" s="8"/>
      <c r="L923" s="8"/>
      <c r="M923" s="8"/>
      <c r="N923" s="8"/>
      <c r="O923" s="8"/>
      <c r="P923" s="8"/>
      <c r="Q923" s="8"/>
      <c r="R923" s="8"/>
      <c r="S923" s="8"/>
      <c r="T923" s="8"/>
      <c r="U923" s="8"/>
      <c r="V923" s="8"/>
      <c r="W923" s="8"/>
      <c r="X923" s="8"/>
      <c r="Y923" s="8"/>
      <c r="Z923" s="8"/>
      <c r="AA923" s="8"/>
    </row>
    <row r="924" spans="1:27" ht="12.75">
      <c r="A924" s="8"/>
      <c r="B924" s="59"/>
      <c r="C924" s="59"/>
      <c r="D924" s="59"/>
      <c r="E924" s="59"/>
      <c r="F924" s="8"/>
      <c r="G924" s="8"/>
      <c r="H924" s="8"/>
      <c r="I924" s="8"/>
      <c r="J924" s="8"/>
      <c r="K924" s="8"/>
      <c r="L924" s="8"/>
      <c r="M924" s="8"/>
      <c r="N924" s="8"/>
      <c r="O924" s="8"/>
      <c r="P924" s="8"/>
      <c r="Q924" s="8"/>
      <c r="R924" s="8"/>
      <c r="S924" s="8"/>
      <c r="T924" s="8"/>
      <c r="U924" s="8"/>
      <c r="V924" s="8"/>
      <c r="W924" s="8"/>
      <c r="X924" s="8"/>
      <c r="Y924" s="8"/>
      <c r="Z924" s="8"/>
      <c r="AA924" s="8"/>
    </row>
    <row r="925" spans="1:27" ht="12.75">
      <c r="A925" s="8"/>
      <c r="B925" s="59"/>
      <c r="C925" s="59"/>
      <c r="D925" s="59"/>
      <c r="E925" s="59"/>
      <c r="F925" s="8"/>
      <c r="G925" s="8"/>
      <c r="H925" s="8"/>
      <c r="I925" s="8"/>
      <c r="J925" s="8"/>
      <c r="K925" s="8"/>
      <c r="L925" s="8"/>
      <c r="M925" s="8"/>
      <c r="N925" s="8"/>
      <c r="O925" s="8"/>
      <c r="P925" s="8"/>
      <c r="Q925" s="8"/>
      <c r="R925" s="8"/>
      <c r="S925" s="8"/>
      <c r="T925" s="8"/>
      <c r="U925" s="8"/>
      <c r="V925" s="8"/>
      <c r="W925" s="8"/>
      <c r="X925" s="8"/>
      <c r="Y925" s="8"/>
      <c r="Z925" s="8"/>
      <c r="AA925" s="8"/>
    </row>
    <row r="926" spans="1:27" ht="12.75">
      <c r="A926" s="8"/>
      <c r="B926" s="59"/>
      <c r="C926" s="59"/>
      <c r="D926" s="59"/>
      <c r="E926" s="59"/>
      <c r="F926" s="8"/>
      <c r="G926" s="8"/>
      <c r="H926" s="8"/>
      <c r="I926" s="8"/>
      <c r="J926" s="8"/>
      <c r="K926" s="8"/>
      <c r="L926" s="8"/>
      <c r="M926" s="8"/>
      <c r="N926" s="8"/>
      <c r="O926" s="8"/>
      <c r="P926" s="8"/>
      <c r="Q926" s="8"/>
      <c r="R926" s="8"/>
      <c r="S926" s="8"/>
      <c r="T926" s="8"/>
      <c r="U926" s="8"/>
      <c r="V926" s="8"/>
      <c r="W926" s="8"/>
      <c r="X926" s="8"/>
      <c r="Y926" s="8"/>
      <c r="Z926" s="8"/>
      <c r="AA926" s="8"/>
    </row>
    <row r="927" spans="1:27" ht="12.75">
      <c r="A927" s="8"/>
      <c r="B927" s="59"/>
      <c r="C927" s="59"/>
      <c r="D927" s="59"/>
      <c r="E927" s="59"/>
      <c r="F927" s="8"/>
      <c r="G927" s="8"/>
      <c r="H927" s="8"/>
      <c r="I927" s="8"/>
      <c r="J927" s="8"/>
      <c r="K927" s="8"/>
      <c r="L927" s="8"/>
      <c r="M927" s="8"/>
      <c r="N927" s="8"/>
      <c r="O927" s="8"/>
      <c r="P927" s="8"/>
      <c r="Q927" s="8"/>
      <c r="R927" s="8"/>
      <c r="S927" s="8"/>
      <c r="T927" s="8"/>
      <c r="U927" s="8"/>
      <c r="V927" s="8"/>
      <c r="W927" s="8"/>
      <c r="X927" s="8"/>
      <c r="Y927" s="8"/>
      <c r="Z927" s="8"/>
      <c r="AA927" s="8"/>
    </row>
    <row r="928" spans="1:27" ht="12.75">
      <c r="A928" s="8"/>
      <c r="B928" s="59"/>
      <c r="C928" s="59"/>
      <c r="D928" s="59"/>
      <c r="E928" s="59"/>
      <c r="F928" s="8"/>
      <c r="G928" s="8"/>
      <c r="H928" s="8"/>
      <c r="I928" s="8"/>
      <c r="J928" s="8"/>
      <c r="K928" s="8"/>
      <c r="L928" s="8"/>
      <c r="M928" s="8"/>
      <c r="N928" s="8"/>
      <c r="O928" s="8"/>
      <c r="P928" s="8"/>
      <c r="Q928" s="8"/>
      <c r="R928" s="8"/>
      <c r="S928" s="8"/>
      <c r="T928" s="8"/>
      <c r="U928" s="8"/>
      <c r="V928" s="8"/>
      <c r="W928" s="8"/>
      <c r="X928" s="8"/>
      <c r="Y928" s="8"/>
      <c r="Z928" s="8"/>
      <c r="AA928" s="8"/>
    </row>
    <row r="929" spans="1:27" ht="12.75">
      <c r="A929" s="8"/>
      <c r="B929" s="59"/>
      <c r="C929" s="59"/>
      <c r="D929" s="59"/>
      <c r="E929" s="59"/>
      <c r="F929" s="8"/>
      <c r="G929" s="8"/>
      <c r="H929" s="8"/>
      <c r="I929" s="8"/>
      <c r="J929" s="8"/>
      <c r="K929" s="8"/>
      <c r="L929" s="8"/>
      <c r="M929" s="8"/>
      <c r="N929" s="8"/>
      <c r="O929" s="8"/>
      <c r="P929" s="8"/>
      <c r="Q929" s="8"/>
      <c r="R929" s="8"/>
      <c r="S929" s="8"/>
      <c r="T929" s="8"/>
      <c r="U929" s="8"/>
      <c r="V929" s="8"/>
      <c r="W929" s="8"/>
      <c r="X929" s="8"/>
      <c r="Y929" s="8"/>
      <c r="Z929" s="8"/>
      <c r="AA929" s="8"/>
    </row>
    <row r="930" spans="1:27" ht="12.75">
      <c r="A930" s="8"/>
      <c r="B930" s="59"/>
      <c r="C930" s="59"/>
      <c r="D930" s="59"/>
      <c r="E930" s="59"/>
      <c r="F930" s="8"/>
      <c r="G930" s="8"/>
      <c r="H930" s="8"/>
      <c r="I930" s="8"/>
      <c r="J930" s="8"/>
      <c r="K930" s="8"/>
      <c r="L930" s="8"/>
      <c r="M930" s="8"/>
      <c r="N930" s="8"/>
      <c r="O930" s="8"/>
      <c r="P930" s="8"/>
      <c r="Q930" s="8"/>
      <c r="R930" s="8"/>
      <c r="S930" s="8"/>
      <c r="T930" s="8"/>
      <c r="U930" s="8"/>
      <c r="V930" s="8"/>
      <c r="W930" s="8"/>
      <c r="X930" s="8"/>
      <c r="Y930" s="8"/>
      <c r="Z930" s="8"/>
      <c r="AA930" s="8"/>
    </row>
    <row r="931" spans="1:27" ht="12.75">
      <c r="A931" s="8"/>
      <c r="B931" s="59"/>
      <c r="C931" s="59"/>
      <c r="D931" s="59"/>
      <c r="E931" s="59"/>
      <c r="F931" s="8"/>
      <c r="G931" s="8"/>
      <c r="H931" s="8"/>
      <c r="I931" s="8"/>
      <c r="J931" s="8"/>
      <c r="K931" s="8"/>
      <c r="L931" s="8"/>
      <c r="M931" s="8"/>
      <c r="N931" s="8"/>
      <c r="O931" s="8"/>
      <c r="P931" s="8"/>
      <c r="Q931" s="8"/>
      <c r="R931" s="8"/>
      <c r="S931" s="8"/>
      <c r="T931" s="8"/>
      <c r="U931" s="8"/>
      <c r="V931" s="8"/>
      <c r="W931" s="8"/>
      <c r="X931" s="8"/>
      <c r="Y931" s="8"/>
      <c r="Z931" s="8"/>
      <c r="AA931" s="8"/>
    </row>
    <row r="932" spans="1:27" ht="12.75">
      <c r="A932" s="8"/>
      <c r="B932" s="59"/>
      <c r="C932" s="59"/>
      <c r="D932" s="59"/>
      <c r="E932" s="59"/>
      <c r="F932" s="8"/>
      <c r="G932" s="8"/>
      <c r="H932" s="8"/>
      <c r="I932" s="8"/>
      <c r="J932" s="8"/>
      <c r="K932" s="8"/>
      <c r="L932" s="8"/>
      <c r="M932" s="8"/>
      <c r="N932" s="8"/>
      <c r="O932" s="8"/>
      <c r="P932" s="8"/>
      <c r="Q932" s="8"/>
      <c r="R932" s="8"/>
      <c r="S932" s="8"/>
      <c r="T932" s="8"/>
      <c r="U932" s="8"/>
      <c r="V932" s="8"/>
      <c r="W932" s="8"/>
      <c r="X932" s="8"/>
      <c r="Y932" s="8"/>
      <c r="Z932" s="8"/>
      <c r="AA932" s="8"/>
    </row>
    <row r="933" spans="1:27" ht="12.75">
      <c r="A933" s="8"/>
      <c r="B933" s="59"/>
      <c r="C933" s="59"/>
      <c r="D933" s="59"/>
      <c r="E933" s="59"/>
      <c r="F933" s="8"/>
      <c r="G933" s="8"/>
      <c r="H933" s="8"/>
      <c r="I933" s="8"/>
      <c r="J933" s="8"/>
      <c r="K933" s="8"/>
      <c r="L933" s="8"/>
      <c r="M933" s="8"/>
      <c r="N933" s="8"/>
      <c r="O933" s="8"/>
      <c r="P933" s="8"/>
      <c r="Q933" s="8"/>
      <c r="R933" s="8"/>
      <c r="S933" s="8"/>
      <c r="T933" s="8"/>
      <c r="U933" s="8"/>
      <c r="V933" s="8"/>
      <c r="W933" s="8"/>
      <c r="X933" s="8"/>
      <c r="Y933" s="8"/>
      <c r="Z933" s="8"/>
      <c r="AA933" s="8"/>
    </row>
    <row r="934" spans="1:27" ht="12.75">
      <c r="A934" s="8"/>
      <c r="B934" s="59"/>
      <c r="C934" s="59"/>
      <c r="D934" s="59"/>
      <c r="E934" s="59"/>
      <c r="F934" s="8"/>
      <c r="G934" s="8"/>
      <c r="H934" s="8"/>
      <c r="I934" s="8"/>
      <c r="J934" s="8"/>
      <c r="K934" s="8"/>
      <c r="L934" s="8"/>
      <c r="M934" s="8"/>
      <c r="N934" s="8"/>
      <c r="O934" s="8"/>
      <c r="P934" s="8"/>
      <c r="Q934" s="8"/>
      <c r="R934" s="8"/>
      <c r="S934" s="8"/>
      <c r="T934" s="8"/>
      <c r="U934" s="8"/>
      <c r="V934" s="8"/>
      <c r="W934" s="8"/>
      <c r="X934" s="8"/>
      <c r="Y934" s="8"/>
      <c r="Z934" s="8"/>
      <c r="AA934" s="8"/>
    </row>
    <row r="935" spans="1:27" ht="12.75">
      <c r="A935" s="8"/>
      <c r="B935" s="59"/>
      <c r="C935" s="59"/>
      <c r="D935" s="59"/>
      <c r="E935" s="59"/>
      <c r="F935" s="8"/>
      <c r="G935" s="8"/>
      <c r="H935" s="8"/>
      <c r="I935" s="8"/>
      <c r="J935" s="8"/>
      <c r="K935" s="8"/>
      <c r="L935" s="8"/>
      <c r="M935" s="8"/>
      <c r="N935" s="8"/>
      <c r="O935" s="8"/>
      <c r="P935" s="8"/>
      <c r="Q935" s="8"/>
      <c r="R935" s="8"/>
      <c r="S935" s="8"/>
      <c r="T935" s="8"/>
      <c r="U935" s="8"/>
      <c r="V935" s="8"/>
      <c r="W935" s="8"/>
      <c r="X935" s="8"/>
      <c r="Y935" s="8"/>
      <c r="Z935" s="8"/>
      <c r="AA935" s="8"/>
    </row>
    <row r="936" spans="1:27" ht="12.75">
      <c r="A936" s="8"/>
      <c r="B936" s="59"/>
      <c r="C936" s="59"/>
      <c r="D936" s="59"/>
      <c r="E936" s="59"/>
      <c r="F936" s="8"/>
      <c r="G936" s="8"/>
      <c r="H936" s="8"/>
      <c r="I936" s="8"/>
      <c r="J936" s="8"/>
      <c r="K936" s="8"/>
      <c r="L936" s="8"/>
      <c r="M936" s="8"/>
      <c r="N936" s="8"/>
      <c r="O936" s="8"/>
      <c r="P936" s="8"/>
      <c r="Q936" s="8"/>
      <c r="R936" s="8"/>
      <c r="S936" s="8"/>
      <c r="T936" s="8"/>
      <c r="U936" s="8"/>
      <c r="V936" s="8"/>
      <c r="W936" s="8"/>
      <c r="X936" s="8"/>
      <c r="Y936" s="8"/>
      <c r="Z936" s="8"/>
      <c r="AA936" s="8"/>
    </row>
    <row r="937" spans="1:27" ht="12.75">
      <c r="A937" s="8"/>
      <c r="B937" s="59"/>
      <c r="C937" s="59"/>
      <c r="D937" s="59"/>
      <c r="E937" s="59"/>
      <c r="F937" s="8"/>
      <c r="G937" s="8"/>
      <c r="H937" s="8"/>
      <c r="I937" s="8"/>
      <c r="J937" s="8"/>
      <c r="K937" s="8"/>
      <c r="L937" s="8"/>
      <c r="M937" s="8"/>
      <c r="N937" s="8"/>
      <c r="O937" s="8"/>
      <c r="P937" s="8"/>
      <c r="Q937" s="8"/>
      <c r="R937" s="8"/>
      <c r="S937" s="8"/>
      <c r="T937" s="8"/>
      <c r="U937" s="8"/>
      <c r="V937" s="8"/>
      <c r="W937" s="8"/>
      <c r="X937" s="8"/>
      <c r="Y937" s="8"/>
      <c r="Z937" s="8"/>
      <c r="AA937" s="8"/>
    </row>
    <row r="938" spans="1:27" ht="12.75">
      <c r="A938" s="8"/>
      <c r="B938" s="59"/>
      <c r="C938" s="59"/>
      <c r="D938" s="59"/>
      <c r="E938" s="59"/>
      <c r="F938" s="8"/>
      <c r="G938" s="8"/>
      <c r="H938" s="8"/>
      <c r="I938" s="8"/>
      <c r="J938" s="8"/>
      <c r="K938" s="8"/>
      <c r="L938" s="8"/>
      <c r="M938" s="8"/>
      <c r="N938" s="8"/>
      <c r="O938" s="8"/>
      <c r="P938" s="8"/>
      <c r="Q938" s="8"/>
      <c r="R938" s="8"/>
      <c r="S938" s="8"/>
      <c r="T938" s="8"/>
      <c r="U938" s="8"/>
      <c r="V938" s="8"/>
      <c r="W938" s="8"/>
      <c r="X938" s="8"/>
      <c r="Y938" s="8"/>
      <c r="Z938" s="8"/>
      <c r="AA938" s="8"/>
    </row>
    <row r="939" spans="1:27" ht="12.75">
      <c r="A939" s="8"/>
      <c r="B939" s="59"/>
      <c r="C939" s="59"/>
      <c r="D939" s="59"/>
      <c r="E939" s="59"/>
      <c r="F939" s="8"/>
      <c r="G939" s="8"/>
      <c r="H939" s="8"/>
      <c r="I939" s="8"/>
      <c r="J939" s="8"/>
      <c r="K939" s="8"/>
      <c r="L939" s="8"/>
      <c r="M939" s="8"/>
      <c r="N939" s="8"/>
      <c r="O939" s="8"/>
      <c r="P939" s="8"/>
      <c r="Q939" s="8"/>
      <c r="R939" s="8"/>
      <c r="S939" s="8"/>
      <c r="T939" s="8"/>
      <c r="U939" s="8"/>
      <c r="V939" s="8"/>
      <c r="W939" s="8"/>
      <c r="X939" s="8"/>
      <c r="Y939" s="8"/>
      <c r="Z939" s="8"/>
      <c r="AA939" s="8"/>
    </row>
    <row r="940" spans="1:27" ht="12.75">
      <c r="A940" s="8"/>
      <c r="B940" s="59"/>
      <c r="C940" s="59"/>
      <c r="D940" s="59"/>
      <c r="E940" s="59"/>
      <c r="F940" s="8"/>
      <c r="G940" s="8"/>
      <c r="H940" s="8"/>
      <c r="I940" s="8"/>
      <c r="J940" s="8"/>
      <c r="K940" s="8"/>
      <c r="L940" s="8"/>
      <c r="M940" s="8"/>
      <c r="N940" s="8"/>
      <c r="O940" s="8"/>
      <c r="P940" s="8"/>
      <c r="Q940" s="8"/>
      <c r="R940" s="8"/>
      <c r="S940" s="8"/>
      <c r="T940" s="8"/>
      <c r="U940" s="8"/>
      <c r="V940" s="8"/>
      <c r="W940" s="8"/>
      <c r="X940" s="8"/>
      <c r="Y940" s="8"/>
      <c r="Z940" s="8"/>
      <c r="AA940" s="8"/>
    </row>
    <row r="941" spans="1:27" ht="12.75">
      <c r="A941" s="8"/>
      <c r="B941" s="59"/>
      <c r="C941" s="59"/>
      <c r="D941" s="59"/>
      <c r="E941" s="59"/>
      <c r="F941" s="8"/>
      <c r="G941" s="8"/>
      <c r="H941" s="8"/>
      <c r="I941" s="8"/>
      <c r="J941" s="8"/>
      <c r="K941" s="8"/>
      <c r="L941" s="8"/>
      <c r="M941" s="8"/>
      <c r="N941" s="8"/>
      <c r="O941" s="8"/>
      <c r="P941" s="8"/>
      <c r="Q941" s="8"/>
      <c r="R941" s="8"/>
      <c r="S941" s="8"/>
      <c r="T941" s="8"/>
      <c r="U941" s="8"/>
      <c r="V941" s="8"/>
      <c r="W941" s="8"/>
      <c r="X941" s="8"/>
      <c r="Y941" s="8"/>
      <c r="Z941" s="8"/>
      <c r="AA941" s="8"/>
    </row>
    <row r="942" spans="1:27" ht="12.75">
      <c r="A942" s="8"/>
      <c r="B942" s="59"/>
      <c r="C942" s="59"/>
      <c r="D942" s="59"/>
      <c r="E942" s="59"/>
      <c r="F942" s="8"/>
      <c r="G942" s="8"/>
      <c r="H942" s="8"/>
      <c r="I942" s="8"/>
      <c r="J942" s="8"/>
      <c r="K942" s="8"/>
      <c r="L942" s="8"/>
      <c r="M942" s="8"/>
      <c r="N942" s="8"/>
      <c r="O942" s="8"/>
      <c r="P942" s="8"/>
      <c r="Q942" s="8"/>
      <c r="R942" s="8"/>
      <c r="S942" s="8"/>
      <c r="T942" s="8"/>
      <c r="U942" s="8"/>
      <c r="V942" s="8"/>
      <c r="W942" s="8"/>
      <c r="X942" s="8"/>
      <c r="Y942" s="8"/>
      <c r="Z942" s="8"/>
      <c r="AA942" s="8"/>
    </row>
    <row r="943" spans="1:27" ht="12.75">
      <c r="A943" s="8"/>
      <c r="B943" s="59"/>
      <c r="C943" s="59"/>
      <c r="D943" s="59"/>
      <c r="E943" s="59"/>
      <c r="F943" s="8"/>
      <c r="G943" s="8"/>
      <c r="H943" s="8"/>
      <c r="I943" s="8"/>
      <c r="J943" s="8"/>
      <c r="K943" s="8"/>
      <c r="L943" s="8"/>
      <c r="M943" s="8"/>
      <c r="N943" s="8"/>
      <c r="O943" s="8"/>
      <c r="P943" s="8"/>
      <c r="Q943" s="8"/>
      <c r="R943" s="8"/>
      <c r="S943" s="8"/>
      <c r="T943" s="8"/>
      <c r="U943" s="8"/>
      <c r="V943" s="8"/>
      <c r="W943" s="8"/>
      <c r="X943" s="8"/>
      <c r="Y943" s="8"/>
      <c r="Z943" s="8"/>
      <c r="AA943" s="8"/>
    </row>
    <row r="944" spans="1:27" ht="12.75">
      <c r="A944" s="8"/>
      <c r="B944" s="59"/>
      <c r="C944" s="59"/>
      <c r="D944" s="59"/>
      <c r="E944" s="59"/>
      <c r="F944" s="8"/>
      <c r="G944" s="8"/>
      <c r="H944" s="8"/>
      <c r="I944" s="8"/>
      <c r="J944" s="8"/>
      <c r="K944" s="8"/>
      <c r="L944" s="8"/>
      <c r="M944" s="8"/>
      <c r="N944" s="8"/>
      <c r="O944" s="8"/>
      <c r="P944" s="8"/>
      <c r="Q944" s="8"/>
      <c r="R944" s="8"/>
      <c r="S944" s="8"/>
      <c r="T944" s="8"/>
      <c r="U944" s="8"/>
      <c r="V944" s="8"/>
      <c r="W944" s="8"/>
      <c r="X944" s="8"/>
      <c r="Y944" s="8"/>
      <c r="Z944" s="8"/>
      <c r="AA944" s="8"/>
    </row>
    <row r="945" spans="1:27" ht="12.75">
      <c r="A945" s="8"/>
      <c r="B945" s="59"/>
      <c r="C945" s="59"/>
      <c r="D945" s="59"/>
      <c r="E945" s="59"/>
      <c r="F945" s="8"/>
      <c r="G945" s="8"/>
      <c r="H945" s="8"/>
      <c r="I945" s="8"/>
      <c r="J945" s="8"/>
      <c r="K945" s="8"/>
      <c r="L945" s="8"/>
      <c r="M945" s="8"/>
      <c r="N945" s="8"/>
      <c r="O945" s="8"/>
      <c r="P945" s="8"/>
      <c r="Q945" s="8"/>
      <c r="R945" s="8"/>
      <c r="S945" s="8"/>
      <c r="T945" s="8"/>
      <c r="U945" s="8"/>
      <c r="V945" s="8"/>
      <c r="W945" s="8"/>
      <c r="X945" s="8"/>
      <c r="Y945" s="8"/>
      <c r="Z945" s="8"/>
      <c r="AA945" s="8"/>
    </row>
    <row r="946" spans="1:27" ht="12.75">
      <c r="A946" s="8"/>
      <c r="B946" s="59"/>
      <c r="C946" s="59"/>
      <c r="D946" s="59"/>
      <c r="E946" s="59"/>
      <c r="F946" s="8"/>
      <c r="G946" s="8"/>
      <c r="H946" s="8"/>
      <c r="I946" s="8"/>
      <c r="J946" s="8"/>
      <c r="K946" s="8"/>
      <c r="L946" s="8"/>
      <c r="M946" s="8"/>
      <c r="N946" s="8"/>
      <c r="O946" s="8"/>
      <c r="P946" s="8"/>
      <c r="Q946" s="8"/>
      <c r="R946" s="8"/>
      <c r="S946" s="8"/>
      <c r="T946" s="8"/>
      <c r="U946" s="8"/>
      <c r="V946" s="8"/>
      <c r="W946" s="8"/>
      <c r="X946" s="8"/>
      <c r="Y946" s="8"/>
      <c r="Z946" s="8"/>
      <c r="AA946" s="8"/>
    </row>
    <row r="947" spans="1:27" ht="12.75">
      <c r="A947" s="8"/>
      <c r="B947" s="59"/>
      <c r="C947" s="59"/>
      <c r="D947" s="59"/>
      <c r="E947" s="59"/>
      <c r="F947" s="8"/>
      <c r="G947" s="8"/>
      <c r="H947" s="8"/>
      <c r="I947" s="8"/>
      <c r="J947" s="8"/>
      <c r="K947" s="8"/>
      <c r="L947" s="8"/>
      <c r="M947" s="8"/>
      <c r="N947" s="8"/>
      <c r="O947" s="8"/>
      <c r="P947" s="8"/>
      <c r="Q947" s="8"/>
      <c r="R947" s="8"/>
      <c r="S947" s="8"/>
      <c r="T947" s="8"/>
      <c r="U947" s="8"/>
      <c r="V947" s="8"/>
      <c r="W947" s="8"/>
      <c r="X947" s="8"/>
      <c r="Y947" s="8"/>
      <c r="Z947" s="8"/>
      <c r="AA947" s="8"/>
    </row>
    <row r="948" spans="1:27" ht="12.75">
      <c r="A948" s="8"/>
      <c r="B948" s="59"/>
      <c r="C948" s="59"/>
      <c r="D948" s="59"/>
      <c r="E948" s="59"/>
      <c r="F948" s="8"/>
      <c r="G948" s="8"/>
      <c r="H948" s="8"/>
      <c r="I948" s="8"/>
      <c r="J948" s="8"/>
      <c r="K948" s="8"/>
      <c r="L948" s="8"/>
      <c r="M948" s="8"/>
      <c r="N948" s="8"/>
      <c r="O948" s="8"/>
      <c r="P948" s="8"/>
      <c r="Q948" s="8"/>
      <c r="R948" s="8"/>
      <c r="S948" s="8"/>
      <c r="T948" s="8"/>
      <c r="U948" s="8"/>
      <c r="V948" s="8"/>
      <c r="W948" s="8"/>
      <c r="X948" s="8"/>
      <c r="Y948" s="8"/>
      <c r="Z948" s="8"/>
      <c r="AA948" s="8"/>
    </row>
    <row r="949" spans="1:27" ht="12.75">
      <c r="A949" s="8"/>
      <c r="B949" s="59"/>
      <c r="C949" s="59"/>
      <c r="D949" s="59"/>
      <c r="E949" s="59"/>
      <c r="F949" s="8"/>
      <c r="G949" s="8"/>
      <c r="H949" s="8"/>
      <c r="I949" s="8"/>
      <c r="J949" s="8"/>
      <c r="K949" s="8"/>
      <c r="L949" s="8"/>
      <c r="M949" s="8"/>
      <c r="N949" s="8"/>
      <c r="O949" s="8"/>
      <c r="P949" s="8"/>
      <c r="Q949" s="8"/>
      <c r="R949" s="8"/>
      <c r="S949" s="8"/>
      <c r="T949" s="8"/>
      <c r="U949" s="8"/>
      <c r="V949" s="8"/>
      <c r="W949" s="8"/>
      <c r="X949" s="8"/>
      <c r="Y949" s="8"/>
      <c r="Z949" s="8"/>
      <c r="AA949" s="8"/>
    </row>
    <row r="950" spans="1:27" ht="12.75">
      <c r="A950" s="8"/>
      <c r="B950" s="59"/>
      <c r="C950" s="59"/>
      <c r="D950" s="59"/>
      <c r="E950" s="59"/>
      <c r="F950" s="8"/>
      <c r="G950" s="8"/>
      <c r="H950" s="8"/>
      <c r="I950" s="8"/>
      <c r="J950" s="8"/>
      <c r="K950" s="8"/>
      <c r="L950" s="8"/>
      <c r="M950" s="8"/>
      <c r="N950" s="8"/>
      <c r="O950" s="8"/>
      <c r="P950" s="8"/>
      <c r="Q950" s="8"/>
      <c r="R950" s="8"/>
      <c r="S950" s="8"/>
      <c r="T950" s="8"/>
      <c r="U950" s="8"/>
      <c r="V950" s="8"/>
      <c r="W950" s="8"/>
      <c r="X950" s="8"/>
      <c r="Y950" s="8"/>
      <c r="Z950" s="8"/>
      <c r="AA950" s="8"/>
    </row>
    <row r="951" spans="1:27" ht="12.75">
      <c r="A951" s="8"/>
      <c r="B951" s="59"/>
      <c r="C951" s="59"/>
      <c r="D951" s="59"/>
      <c r="E951" s="59"/>
      <c r="F951" s="8"/>
      <c r="G951" s="8"/>
      <c r="H951" s="8"/>
      <c r="I951" s="8"/>
      <c r="J951" s="8"/>
      <c r="K951" s="8"/>
      <c r="L951" s="8"/>
      <c r="M951" s="8"/>
      <c r="N951" s="8"/>
      <c r="O951" s="8"/>
      <c r="P951" s="8"/>
      <c r="Q951" s="8"/>
      <c r="R951" s="8"/>
      <c r="S951" s="8"/>
      <c r="T951" s="8"/>
      <c r="U951" s="8"/>
      <c r="V951" s="8"/>
      <c r="W951" s="8"/>
      <c r="X951" s="8"/>
      <c r="Y951" s="8"/>
      <c r="Z951" s="8"/>
      <c r="AA951" s="8"/>
    </row>
    <row r="952" spans="1:27" ht="12.75">
      <c r="A952" s="8"/>
      <c r="B952" s="59"/>
      <c r="C952" s="59"/>
      <c r="D952" s="59"/>
      <c r="E952" s="59"/>
      <c r="F952" s="8"/>
      <c r="G952" s="8"/>
      <c r="H952" s="8"/>
      <c r="I952" s="8"/>
      <c r="J952" s="8"/>
      <c r="K952" s="8"/>
      <c r="L952" s="8"/>
      <c r="M952" s="8"/>
      <c r="N952" s="8"/>
      <c r="O952" s="8"/>
      <c r="P952" s="8"/>
      <c r="Q952" s="8"/>
      <c r="R952" s="8"/>
      <c r="S952" s="8"/>
      <c r="T952" s="8"/>
      <c r="U952" s="8"/>
      <c r="V952" s="8"/>
      <c r="W952" s="8"/>
      <c r="X952" s="8"/>
      <c r="Y952" s="8"/>
      <c r="Z952" s="8"/>
      <c r="AA952" s="8"/>
    </row>
    <row r="953" spans="1:27" ht="12.75">
      <c r="A953" s="8"/>
      <c r="B953" s="59"/>
      <c r="C953" s="59"/>
      <c r="D953" s="59"/>
      <c r="E953" s="59"/>
      <c r="F953" s="8"/>
      <c r="G953" s="8"/>
      <c r="H953" s="8"/>
      <c r="I953" s="8"/>
      <c r="J953" s="8"/>
      <c r="K953" s="8"/>
      <c r="L953" s="8"/>
      <c r="M953" s="8"/>
      <c r="N953" s="8"/>
      <c r="O953" s="8"/>
      <c r="P953" s="8"/>
      <c r="Q953" s="8"/>
      <c r="R953" s="8"/>
      <c r="S953" s="8"/>
      <c r="T953" s="8"/>
      <c r="U953" s="8"/>
      <c r="V953" s="8"/>
      <c r="W953" s="8"/>
      <c r="X953" s="8"/>
      <c r="Y953" s="8"/>
      <c r="Z953" s="8"/>
      <c r="AA953" s="8"/>
    </row>
    <row r="954" spans="1:27" ht="12.75">
      <c r="A954" s="8"/>
      <c r="B954" s="59"/>
      <c r="C954" s="59"/>
      <c r="D954" s="59"/>
      <c r="E954" s="59"/>
      <c r="F954" s="8"/>
      <c r="G954" s="8"/>
      <c r="H954" s="8"/>
      <c r="I954" s="8"/>
      <c r="J954" s="8"/>
      <c r="K954" s="8"/>
      <c r="L954" s="8"/>
      <c r="M954" s="8"/>
      <c r="N954" s="8"/>
      <c r="O954" s="8"/>
      <c r="P954" s="8"/>
      <c r="Q954" s="8"/>
      <c r="R954" s="8"/>
      <c r="S954" s="8"/>
      <c r="T954" s="8"/>
      <c r="U954" s="8"/>
      <c r="V954" s="8"/>
      <c r="W954" s="8"/>
      <c r="X954" s="8"/>
      <c r="Y954" s="8"/>
      <c r="Z954" s="8"/>
      <c r="AA954" s="8"/>
    </row>
    <row r="955" spans="1:27" ht="12.75">
      <c r="A955" s="8"/>
      <c r="B955" s="59"/>
      <c r="C955" s="59"/>
      <c r="D955" s="59"/>
      <c r="E955" s="59"/>
      <c r="F955" s="8"/>
      <c r="G955" s="8"/>
      <c r="H955" s="8"/>
      <c r="I955" s="8"/>
      <c r="J955" s="8"/>
      <c r="K955" s="8"/>
      <c r="L955" s="8"/>
      <c r="M955" s="8"/>
      <c r="N955" s="8"/>
      <c r="O955" s="8"/>
      <c r="P955" s="8"/>
      <c r="Q955" s="8"/>
      <c r="R955" s="8"/>
      <c r="S955" s="8"/>
      <c r="T955" s="8"/>
      <c r="U955" s="8"/>
      <c r="V955" s="8"/>
      <c r="W955" s="8"/>
      <c r="X955" s="8"/>
      <c r="Y955" s="8"/>
      <c r="Z955" s="8"/>
      <c r="AA955" s="8"/>
    </row>
    <row r="956" spans="1:27" ht="12.75">
      <c r="A956" s="8"/>
      <c r="B956" s="59"/>
      <c r="C956" s="59"/>
      <c r="D956" s="59"/>
      <c r="E956" s="59"/>
      <c r="F956" s="8"/>
      <c r="G956" s="8"/>
      <c r="H956" s="8"/>
      <c r="I956" s="8"/>
      <c r="J956" s="8"/>
      <c r="K956" s="8"/>
      <c r="L956" s="8"/>
      <c r="M956" s="8"/>
      <c r="N956" s="8"/>
      <c r="O956" s="8"/>
      <c r="P956" s="8"/>
      <c r="Q956" s="8"/>
      <c r="R956" s="8"/>
      <c r="S956" s="8"/>
      <c r="T956" s="8"/>
      <c r="U956" s="8"/>
      <c r="V956" s="8"/>
      <c r="W956" s="8"/>
      <c r="X956" s="8"/>
      <c r="Y956" s="8"/>
      <c r="Z956" s="8"/>
      <c r="AA956" s="8"/>
    </row>
    <row r="957" spans="1:27" ht="12.75">
      <c r="A957" s="8"/>
      <c r="B957" s="59"/>
      <c r="C957" s="59"/>
      <c r="D957" s="59"/>
      <c r="E957" s="59"/>
      <c r="F957" s="8"/>
      <c r="G957" s="8"/>
      <c r="H957" s="8"/>
      <c r="I957" s="8"/>
      <c r="J957" s="8"/>
      <c r="K957" s="8"/>
      <c r="L957" s="8"/>
      <c r="M957" s="8"/>
      <c r="N957" s="8"/>
      <c r="O957" s="8"/>
      <c r="P957" s="8"/>
      <c r="Q957" s="8"/>
      <c r="R957" s="8"/>
      <c r="S957" s="8"/>
      <c r="T957" s="8"/>
      <c r="U957" s="8"/>
      <c r="V957" s="8"/>
      <c r="W957" s="8"/>
      <c r="X957" s="8"/>
      <c r="Y957" s="8"/>
      <c r="Z957" s="8"/>
      <c r="AA957" s="8"/>
    </row>
    <row r="958" spans="1:27" ht="12.75">
      <c r="A958" s="8"/>
      <c r="B958" s="59"/>
      <c r="C958" s="59"/>
      <c r="D958" s="59"/>
      <c r="E958" s="59"/>
      <c r="F958" s="8"/>
      <c r="G958" s="8"/>
      <c r="H958" s="8"/>
      <c r="I958" s="8"/>
      <c r="J958" s="8"/>
      <c r="K958" s="8"/>
      <c r="L958" s="8"/>
      <c r="M958" s="8"/>
      <c r="N958" s="8"/>
      <c r="O958" s="8"/>
      <c r="P958" s="8"/>
      <c r="Q958" s="8"/>
      <c r="R958" s="8"/>
      <c r="S958" s="8"/>
      <c r="T958" s="8"/>
      <c r="U958" s="8"/>
      <c r="V958" s="8"/>
      <c r="W958" s="8"/>
      <c r="X958" s="8"/>
      <c r="Y958" s="8"/>
      <c r="Z958" s="8"/>
      <c r="AA958" s="8"/>
    </row>
    <row r="959" spans="1:27" ht="12.75">
      <c r="A959" s="8"/>
      <c r="B959" s="59"/>
      <c r="C959" s="59"/>
      <c r="D959" s="59"/>
      <c r="E959" s="59"/>
      <c r="F959" s="8"/>
      <c r="G959" s="8"/>
      <c r="H959" s="8"/>
      <c r="I959" s="8"/>
      <c r="J959" s="8"/>
      <c r="K959" s="8"/>
      <c r="L959" s="8"/>
      <c r="M959" s="8"/>
      <c r="N959" s="8"/>
      <c r="O959" s="8"/>
      <c r="P959" s="8"/>
      <c r="Q959" s="8"/>
      <c r="R959" s="8"/>
      <c r="S959" s="8"/>
      <c r="T959" s="8"/>
      <c r="U959" s="8"/>
      <c r="V959" s="8"/>
      <c r="W959" s="8"/>
      <c r="X959" s="8"/>
      <c r="Y959" s="8"/>
      <c r="Z959" s="8"/>
      <c r="AA959" s="8"/>
    </row>
    <row r="960" spans="1:27" ht="12.75">
      <c r="A960" s="8"/>
      <c r="B960" s="59"/>
      <c r="C960" s="59"/>
      <c r="D960" s="59"/>
      <c r="E960" s="59"/>
      <c r="F960" s="8"/>
      <c r="G960" s="8"/>
      <c r="H960" s="8"/>
      <c r="I960" s="8"/>
      <c r="J960" s="8"/>
      <c r="K960" s="8"/>
      <c r="L960" s="8"/>
      <c r="M960" s="8"/>
      <c r="N960" s="8"/>
      <c r="O960" s="8"/>
      <c r="P960" s="8"/>
      <c r="Q960" s="8"/>
      <c r="R960" s="8"/>
      <c r="S960" s="8"/>
      <c r="T960" s="8"/>
      <c r="U960" s="8"/>
      <c r="V960" s="8"/>
      <c r="W960" s="8"/>
      <c r="X960" s="8"/>
      <c r="Y960" s="8"/>
      <c r="Z960" s="8"/>
      <c r="AA960" s="8"/>
    </row>
    <row r="961" spans="1:27" ht="12.75">
      <c r="A961" s="8"/>
      <c r="B961" s="59"/>
      <c r="C961" s="59"/>
      <c r="D961" s="59"/>
      <c r="E961" s="59"/>
      <c r="F961" s="8"/>
      <c r="G961" s="8"/>
      <c r="H961" s="8"/>
      <c r="I961" s="8"/>
      <c r="J961" s="8"/>
      <c r="K961" s="8"/>
      <c r="L961" s="8"/>
      <c r="M961" s="8"/>
      <c r="N961" s="8"/>
      <c r="O961" s="8"/>
      <c r="P961" s="8"/>
      <c r="Q961" s="8"/>
      <c r="R961" s="8"/>
      <c r="S961" s="8"/>
      <c r="T961" s="8"/>
      <c r="U961" s="8"/>
      <c r="V961" s="8"/>
      <c r="W961" s="8"/>
      <c r="X961" s="8"/>
      <c r="Y961" s="8"/>
      <c r="Z961" s="8"/>
      <c r="AA961" s="8"/>
    </row>
    <row r="962" spans="1:27" ht="12.75">
      <c r="A962" s="8"/>
      <c r="B962" s="59"/>
      <c r="C962" s="59"/>
      <c r="D962" s="59"/>
      <c r="E962" s="59"/>
      <c r="F962" s="8"/>
      <c r="G962" s="8"/>
      <c r="H962" s="8"/>
      <c r="I962" s="8"/>
      <c r="J962" s="8"/>
      <c r="K962" s="8"/>
      <c r="L962" s="8"/>
      <c r="M962" s="8"/>
      <c r="N962" s="8"/>
      <c r="O962" s="8"/>
      <c r="P962" s="8"/>
      <c r="Q962" s="8"/>
      <c r="R962" s="8"/>
      <c r="S962" s="8"/>
      <c r="T962" s="8"/>
      <c r="U962" s="8"/>
      <c r="V962" s="8"/>
      <c r="W962" s="8"/>
      <c r="X962" s="8"/>
      <c r="Y962" s="8"/>
      <c r="Z962" s="8"/>
      <c r="AA962" s="8"/>
    </row>
    <row r="963" spans="1:27" ht="12.75">
      <c r="A963" s="8"/>
      <c r="B963" s="59"/>
      <c r="C963" s="59"/>
      <c r="D963" s="59"/>
      <c r="E963" s="59"/>
      <c r="F963" s="8"/>
      <c r="G963" s="8"/>
      <c r="H963" s="8"/>
      <c r="I963" s="8"/>
      <c r="J963" s="8"/>
      <c r="K963" s="8"/>
      <c r="L963" s="8"/>
      <c r="M963" s="8"/>
      <c r="N963" s="8"/>
      <c r="O963" s="8"/>
      <c r="P963" s="8"/>
      <c r="Q963" s="8"/>
      <c r="R963" s="8"/>
      <c r="S963" s="8"/>
      <c r="T963" s="8"/>
      <c r="U963" s="8"/>
      <c r="V963" s="8"/>
      <c r="W963" s="8"/>
      <c r="X963" s="8"/>
      <c r="Y963" s="8"/>
      <c r="Z963" s="8"/>
      <c r="AA963" s="8"/>
    </row>
    <row r="964" spans="1:27" ht="12.75">
      <c r="A964" s="8"/>
      <c r="B964" s="59"/>
      <c r="C964" s="59"/>
      <c r="D964" s="59"/>
      <c r="E964" s="59"/>
      <c r="F964" s="8"/>
      <c r="G964" s="8"/>
      <c r="H964" s="8"/>
      <c r="I964" s="8"/>
      <c r="J964" s="8"/>
      <c r="K964" s="8"/>
      <c r="L964" s="8"/>
      <c r="M964" s="8"/>
      <c r="N964" s="8"/>
      <c r="O964" s="8"/>
      <c r="P964" s="8"/>
      <c r="Q964" s="8"/>
      <c r="R964" s="8"/>
      <c r="S964" s="8"/>
      <c r="T964" s="8"/>
      <c r="U964" s="8"/>
      <c r="V964" s="8"/>
      <c r="W964" s="8"/>
      <c r="X964" s="8"/>
      <c r="Y964" s="8"/>
      <c r="Z964" s="8"/>
      <c r="AA964" s="8"/>
    </row>
    <row r="965" spans="1:27" ht="12.75">
      <c r="A965" s="8"/>
      <c r="B965" s="59"/>
      <c r="C965" s="59"/>
      <c r="D965" s="59"/>
      <c r="E965" s="59"/>
      <c r="F965" s="8"/>
      <c r="G965" s="8"/>
      <c r="H965" s="8"/>
      <c r="I965" s="8"/>
      <c r="J965" s="8"/>
      <c r="K965" s="8"/>
      <c r="L965" s="8"/>
      <c r="M965" s="8"/>
      <c r="N965" s="8"/>
      <c r="O965" s="8"/>
      <c r="P965" s="8"/>
      <c r="Q965" s="8"/>
      <c r="R965" s="8"/>
      <c r="S965" s="8"/>
      <c r="T965" s="8"/>
      <c r="U965" s="8"/>
      <c r="V965" s="8"/>
      <c r="W965" s="8"/>
      <c r="X965" s="8"/>
      <c r="Y965" s="8"/>
      <c r="Z965" s="8"/>
      <c r="AA965" s="8"/>
    </row>
    <row r="966" spans="1:27" ht="12.75">
      <c r="A966" s="8"/>
      <c r="B966" s="59"/>
      <c r="C966" s="59"/>
      <c r="D966" s="59"/>
      <c r="E966" s="59"/>
      <c r="F966" s="8"/>
      <c r="G966" s="8"/>
      <c r="H966" s="8"/>
      <c r="I966" s="8"/>
      <c r="J966" s="8"/>
      <c r="K966" s="8"/>
      <c r="L966" s="8"/>
      <c r="M966" s="8"/>
      <c r="N966" s="8"/>
      <c r="O966" s="8"/>
      <c r="P966" s="8"/>
      <c r="Q966" s="8"/>
      <c r="R966" s="8"/>
      <c r="S966" s="8"/>
      <c r="T966" s="8"/>
      <c r="U966" s="8"/>
      <c r="V966" s="8"/>
      <c r="W966" s="8"/>
      <c r="X966" s="8"/>
      <c r="Y966" s="8"/>
      <c r="Z966" s="8"/>
      <c r="AA966" s="8"/>
    </row>
    <row r="967" spans="1:27" ht="12.75">
      <c r="A967" s="8"/>
      <c r="B967" s="59"/>
      <c r="C967" s="59"/>
      <c r="D967" s="59"/>
      <c r="E967" s="59"/>
      <c r="F967" s="8"/>
      <c r="G967" s="8"/>
      <c r="H967" s="8"/>
      <c r="I967" s="8"/>
      <c r="J967" s="8"/>
      <c r="K967" s="8"/>
      <c r="L967" s="8"/>
      <c r="M967" s="8"/>
      <c r="N967" s="8"/>
      <c r="O967" s="8"/>
      <c r="P967" s="8"/>
      <c r="Q967" s="8"/>
      <c r="R967" s="8"/>
      <c r="S967" s="8"/>
      <c r="T967" s="8"/>
      <c r="U967" s="8"/>
      <c r="V967" s="8"/>
      <c r="W967" s="8"/>
      <c r="X967" s="8"/>
      <c r="Y967" s="8"/>
      <c r="Z967" s="8"/>
      <c r="AA967" s="8"/>
    </row>
    <row r="968" spans="1:27" ht="12.75">
      <c r="A968" s="8"/>
      <c r="B968" s="59"/>
      <c r="C968" s="59"/>
      <c r="D968" s="59"/>
      <c r="E968" s="59"/>
      <c r="F968" s="8"/>
      <c r="G968" s="8"/>
      <c r="H968" s="8"/>
      <c r="I968" s="8"/>
      <c r="J968" s="8"/>
      <c r="K968" s="8"/>
      <c r="L968" s="8"/>
      <c r="M968" s="8"/>
      <c r="N968" s="8"/>
      <c r="O968" s="8"/>
      <c r="P968" s="8"/>
      <c r="Q968" s="8"/>
      <c r="R968" s="8"/>
      <c r="S968" s="8"/>
      <c r="T968" s="8"/>
      <c r="U968" s="8"/>
      <c r="V968" s="8"/>
      <c r="W968" s="8"/>
      <c r="X968" s="8"/>
      <c r="Y968" s="8"/>
      <c r="Z968" s="8"/>
      <c r="AA968" s="8"/>
    </row>
    <row r="969" spans="1:27" ht="12.75">
      <c r="A969" s="8"/>
      <c r="B969" s="59"/>
      <c r="C969" s="59"/>
      <c r="D969" s="59"/>
      <c r="E969" s="59"/>
      <c r="F969" s="8"/>
      <c r="G969" s="8"/>
      <c r="H969" s="8"/>
      <c r="I969" s="8"/>
      <c r="J969" s="8"/>
      <c r="K969" s="8"/>
      <c r="L969" s="8"/>
      <c r="M969" s="8"/>
      <c r="N969" s="8"/>
      <c r="O969" s="8"/>
      <c r="P969" s="8"/>
      <c r="Q969" s="8"/>
      <c r="R969" s="8"/>
      <c r="S969" s="8"/>
      <c r="T969" s="8"/>
      <c r="U969" s="8"/>
      <c r="V969" s="8"/>
      <c r="W969" s="8"/>
      <c r="X969" s="8"/>
      <c r="Y969" s="8"/>
      <c r="Z969" s="8"/>
      <c r="AA969" s="8"/>
    </row>
    <row r="970" spans="1:27" ht="12.75">
      <c r="A970" s="8"/>
      <c r="B970" s="59"/>
      <c r="C970" s="59"/>
      <c r="D970" s="59"/>
      <c r="E970" s="59"/>
      <c r="F970" s="8"/>
      <c r="G970" s="8"/>
      <c r="H970" s="8"/>
      <c r="I970" s="8"/>
      <c r="J970" s="8"/>
      <c r="K970" s="8"/>
      <c r="L970" s="8"/>
      <c r="M970" s="8"/>
      <c r="N970" s="8"/>
      <c r="O970" s="8"/>
      <c r="P970" s="8"/>
      <c r="Q970" s="8"/>
      <c r="R970" s="8"/>
      <c r="S970" s="8"/>
      <c r="T970" s="8"/>
      <c r="U970" s="8"/>
      <c r="V970" s="8"/>
      <c r="W970" s="8"/>
      <c r="X970" s="8"/>
      <c r="Y970" s="8"/>
      <c r="Z970" s="8"/>
      <c r="AA970" s="8"/>
    </row>
    <row r="971" spans="1:27" ht="12.75">
      <c r="A971" s="8"/>
      <c r="B971" s="59"/>
      <c r="C971" s="59"/>
      <c r="D971" s="59"/>
      <c r="E971" s="59"/>
      <c r="F971" s="8"/>
      <c r="G971" s="8"/>
      <c r="H971" s="8"/>
      <c r="I971" s="8"/>
      <c r="J971" s="8"/>
      <c r="K971" s="8"/>
      <c r="L971" s="8"/>
      <c r="M971" s="8"/>
      <c r="N971" s="8"/>
      <c r="O971" s="8"/>
      <c r="P971" s="8"/>
      <c r="Q971" s="8"/>
      <c r="R971" s="8"/>
      <c r="S971" s="8"/>
      <c r="T971" s="8"/>
      <c r="U971" s="8"/>
      <c r="V971" s="8"/>
      <c r="W971" s="8"/>
      <c r="X971" s="8"/>
      <c r="Y971" s="8"/>
      <c r="Z971" s="8"/>
      <c r="AA971" s="8"/>
    </row>
    <row r="972" spans="1:27" ht="12.75">
      <c r="A972" s="8"/>
      <c r="B972" s="59"/>
      <c r="C972" s="59"/>
      <c r="D972" s="59"/>
      <c r="E972" s="59"/>
      <c r="F972" s="8"/>
      <c r="G972" s="8"/>
      <c r="H972" s="8"/>
      <c r="I972" s="8"/>
      <c r="J972" s="8"/>
      <c r="K972" s="8"/>
      <c r="L972" s="8"/>
      <c r="M972" s="8"/>
      <c r="N972" s="8"/>
      <c r="O972" s="8"/>
      <c r="P972" s="8"/>
      <c r="Q972" s="8"/>
      <c r="R972" s="8"/>
      <c r="S972" s="8"/>
      <c r="T972" s="8"/>
      <c r="U972" s="8"/>
      <c r="V972" s="8"/>
      <c r="W972" s="8"/>
      <c r="X972" s="8"/>
      <c r="Y972" s="8"/>
      <c r="Z972" s="8"/>
      <c r="AA972" s="8"/>
    </row>
    <row r="973" spans="1:27" ht="12.75">
      <c r="A973" s="8"/>
      <c r="B973" s="59"/>
      <c r="C973" s="59"/>
      <c r="D973" s="59"/>
      <c r="E973" s="59"/>
      <c r="F973" s="8"/>
      <c r="G973" s="8"/>
      <c r="H973" s="8"/>
      <c r="I973" s="8"/>
      <c r="J973" s="8"/>
      <c r="K973" s="8"/>
      <c r="L973" s="8"/>
      <c r="M973" s="8"/>
      <c r="N973" s="8"/>
      <c r="O973" s="8"/>
      <c r="P973" s="8"/>
      <c r="Q973" s="8"/>
      <c r="R973" s="8"/>
      <c r="S973" s="8"/>
      <c r="T973" s="8"/>
      <c r="U973" s="8"/>
      <c r="V973" s="8"/>
      <c r="W973" s="8"/>
      <c r="X973" s="8"/>
      <c r="Y973" s="8"/>
      <c r="Z973" s="8"/>
      <c r="AA973" s="8"/>
    </row>
    <row r="974" spans="1:27" ht="12.75">
      <c r="A974" s="8"/>
      <c r="B974" s="59"/>
      <c r="C974" s="59"/>
      <c r="D974" s="59"/>
      <c r="E974" s="59"/>
      <c r="F974" s="8"/>
      <c r="G974" s="8"/>
      <c r="H974" s="8"/>
      <c r="I974" s="8"/>
      <c r="J974" s="8"/>
      <c r="K974" s="8"/>
      <c r="L974" s="8"/>
      <c r="M974" s="8"/>
      <c r="N974" s="8"/>
      <c r="O974" s="8"/>
      <c r="P974" s="8"/>
      <c r="Q974" s="8"/>
      <c r="R974" s="8"/>
      <c r="S974" s="8"/>
      <c r="T974" s="8"/>
      <c r="U974" s="8"/>
      <c r="V974" s="8"/>
      <c r="W974" s="8"/>
      <c r="X974" s="8"/>
      <c r="Y974" s="8"/>
      <c r="Z974" s="8"/>
      <c r="AA974" s="8"/>
    </row>
    <row r="975" spans="1:27" ht="12.75">
      <c r="A975" s="8"/>
      <c r="B975" s="59"/>
      <c r="C975" s="59"/>
      <c r="D975" s="59"/>
      <c r="E975" s="59"/>
      <c r="F975" s="8"/>
      <c r="G975" s="8"/>
      <c r="H975" s="8"/>
      <c r="I975" s="8"/>
      <c r="J975" s="8"/>
      <c r="K975" s="8"/>
      <c r="L975" s="8"/>
      <c r="M975" s="8"/>
      <c r="N975" s="8"/>
      <c r="O975" s="8"/>
      <c r="P975" s="8"/>
      <c r="Q975" s="8"/>
      <c r="R975" s="8"/>
      <c r="S975" s="8"/>
      <c r="T975" s="8"/>
      <c r="U975" s="8"/>
      <c r="V975" s="8"/>
      <c r="W975" s="8"/>
      <c r="X975" s="8"/>
      <c r="Y975" s="8"/>
      <c r="Z975" s="8"/>
      <c r="AA975" s="8"/>
    </row>
    <row r="976" spans="1:27" ht="12.75">
      <c r="A976" s="8"/>
      <c r="B976" s="59"/>
      <c r="C976" s="59"/>
      <c r="D976" s="59"/>
      <c r="E976" s="59"/>
      <c r="F976" s="8"/>
      <c r="G976" s="8"/>
      <c r="H976" s="8"/>
      <c r="I976" s="8"/>
      <c r="J976" s="8"/>
      <c r="K976" s="8"/>
      <c r="L976" s="8"/>
      <c r="M976" s="8"/>
      <c r="N976" s="8"/>
      <c r="O976" s="8"/>
      <c r="P976" s="8"/>
      <c r="Q976" s="8"/>
      <c r="R976" s="8"/>
      <c r="S976" s="8"/>
      <c r="T976" s="8"/>
      <c r="U976" s="8"/>
      <c r="V976" s="8"/>
      <c r="W976" s="8"/>
      <c r="X976" s="8"/>
      <c r="Y976" s="8"/>
      <c r="Z976" s="8"/>
      <c r="AA976" s="8"/>
    </row>
    <row r="977" spans="1:27" ht="12.75">
      <c r="A977" s="8"/>
      <c r="B977" s="59"/>
      <c r="C977" s="59"/>
      <c r="D977" s="59"/>
      <c r="E977" s="59"/>
      <c r="F977" s="8"/>
      <c r="G977" s="8"/>
      <c r="H977" s="8"/>
      <c r="I977" s="8"/>
      <c r="J977" s="8"/>
      <c r="K977" s="8"/>
      <c r="L977" s="8"/>
      <c r="M977" s="8"/>
      <c r="N977" s="8"/>
      <c r="O977" s="8"/>
      <c r="P977" s="8"/>
      <c r="Q977" s="8"/>
      <c r="R977" s="8"/>
      <c r="S977" s="8"/>
      <c r="T977" s="8"/>
      <c r="U977" s="8"/>
      <c r="V977" s="8"/>
      <c r="W977" s="8"/>
      <c r="X977" s="8"/>
      <c r="Y977" s="8"/>
      <c r="Z977" s="8"/>
      <c r="AA977" s="8"/>
    </row>
    <row r="978" spans="1:27" ht="12.75">
      <c r="A978" s="8"/>
      <c r="B978" s="59"/>
      <c r="C978" s="59"/>
      <c r="D978" s="59"/>
      <c r="E978" s="59"/>
      <c r="F978" s="8"/>
      <c r="G978" s="8"/>
      <c r="H978" s="8"/>
      <c r="I978" s="8"/>
      <c r="J978" s="8"/>
      <c r="K978" s="8"/>
      <c r="L978" s="8"/>
      <c r="M978" s="8"/>
      <c r="N978" s="8"/>
      <c r="O978" s="8"/>
      <c r="P978" s="8"/>
      <c r="Q978" s="8"/>
      <c r="R978" s="8"/>
      <c r="S978" s="8"/>
      <c r="T978" s="8"/>
      <c r="U978" s="8"/>
      <c r="V978" s="8"/>
      <c r="W978" s="8"/>
      <c r="X978" s="8"/>
      <c r="Y978" s="8"/>
      <c r="Z978" s="8"/>
      <c r="AA978" s="8"/>
    </row>
    <row r="979" spans="1:27" ht="12.75">
      <c r="A979" s="8"/>
      <c r="B979" s="59"/>
      <c r="C979" s="59"/>
      <c r="D979" s="59"/>
      <c r="E979" s="59"/>
      <c r="F979" s="8"/>
      <c r="G979" s="8"/>
      <c r="H979" s="8"/>
      <c r="I979" s="8"/>
      <c r="J979" s="8"/>
      <c r="K979" s="8"/>
      <c r="L979" s="8"/>
      <c r="M979" s="8"/>
      <c r="N979" s="8"/>
      <c r="O979" s="8"/>
      <c r="P979" s="8"/>
      <c r="Q979" s="8"/>
      <c r="R979" s="8"/>
      <c r="S979" s="8"/>
      <c r="T979" s="8"/>
      <c r="U979" s="8"/>
      <c r="V979" s="8"/>
      <c r="W979" s="8"/>
      <c r="X979" s="8"/>
      <c r="Y979" s="8"/>
      <c r="Z979" s="8"/>
      <c r="AA979" s="8"/>
    </row>
    <row r="980" spans="1:27" ht="12.75">
      <c r="A980" s="8"/>
      <c r="B980" s="59"/>
      <c r="C980" s="59"/>
      <c r="D980" s="59"/>
      <c r="E980" s="59"/>
      <c r="F980" s="8"/>
      <c r="G980" s="8"/>
      <c r="H980" s="8"/>
      <c r="I980" s="8"/>
      <c r="J980" s="8"/>
      <c r="K980" s="8"/>
      <c r="L980" s="8"/>
      <c r="M980" s="8"/>
      <c r="N980" s="8"/>
      <c r="O980" s="8"/>
      <c r="P980" s="8"/>
      <c r="Q980" s="8"/>
      <c r="R980" s="8"/>
      <c r="S980" s="8"/>
      <c r="T980" s="8"/>
      <c r="U980" s="8"/>
      <c r="V980" s="8"/>
      <c r="W980" s="8"/>
      <c r="X980" s="8"/>
      <c r="Y980" s="8"/>
      <c r="Z980" s="8"/>
      <c r="AA980" s="8"/>
    </row>
    <row r="981" spans="1:27" ht="12.75">
      <c r="A981" s="8"/>
      <c r="B981" s="59"/>
      <c r="C981" s="59"/>
      <c r="D981" s="59"/>
      <c r="E981" s="59"/>
      <c r="F981" s="8"/>
      <c r="G981" s="8"/>
      <c r="H981" s="8"/>
      <c r="I981" s="8"/>
      <c r="J981" s="8"/>
      <c r="K981" s="8"/>
      <c r="L981" s="8"/>
      <c r="M981" s="8"/>
      <c r="N981" s="8"/>
      <c r="O981" s="8"/>
      <c r="P981" s="8"/>
      <c r="Q981" s="8"/>
      <c r="R981" s="8"/>
      <c r="S981" s="8"/>
      <c r="T981" s="8"/>
      <c r="U981" s="8"/>
      <c r="V981" s="8"/>
      <c r="W981" s="8"/>
      <c r="X981" s="8"/>
      <c r="Y981" s="8"/>
      <c r="Z981" s="8"/>
      <c r="AA981" s="8"/>
    </row>
    <row r="982" spans="1:27" ht="12.75">
      <c r="A982" s="8"/>
      <c r="B982" s="59"/>
      <c r="C982" s="59"/>
      <c r="D982" s="59"/>
      <c r="E982" s="59"/>
      <c r="F982" s="8"/>
      <c r="G982" s="8"/>
      <c r="H982" s="8"/>
      <c r="I982" s="8"/>
      <c r="J982" s="8"/>
      <c r="K982" s="8"/>
      <c r="L982" s="8"/>
      <c r="M982" s="8"/>
      <c r="N982" s="8"/>
      <c r="O982" s="8"/>
      <c r="P982" s="8"/>
      <c r="Q982" s="8"/>
      <c r="R982" s="8"/>
      <c r="S982" s="8"/>
      <c r="T982" s="8"/>
      <c r="U982" s="8"/>
      <c r="V982" s="8"/>
      <c r="W982" s="8"/>
      <c r="X982" s="8"/>
      <c r="Y982" s="8"/>
      <c r="Z982" s="8"/>
      <c r="AA982" s="8"/>
    </row>
    <row r="983" spans="1:27" ht="12.75">
      <c r="A983" s="8"/>
      <c r="B983" s="59"/>
      <c r="C983" s="59"/>
      <c r="D983" s="59"/>
      <c r="E983" s="59"/>
      <c r="F983" s="8"/>
      <c r="G983" s="8"/>
      <c r="H983" s="8"/>
      <c r="I983" s="8"/>
      <c r="J983" s="8"/>
      <c r="K983" s="8"/>
      <c r="L983" s="8"/>
      <c r="M983" s="8"/>
      <c r="N983" s="8"/>
      <c r="O983" s="8"/>
      <c r="P983" s="8"/>
      <c r="Q983" s="8"/>
      <c r="R983" s="8"/>
      <c r="S983" s="8"/>
      <c r="T983" s="8"/>
      <c r="U983" s="8"/>
      <c r="V983" s="8"/>
      <c r="W983" s="8"/>
      <c r="X983" s="8"/>
      <c r="Y983" s="8"/>
      <c r="Z983" s="8"/>
      <c r="AA983" s="8"/>
    </row>
    <row r="984" spans="1:27" ht="12.75">
      <c r="A984" s="8"/>
      <c r="B984" s="59"/>
      <c r="C984" s="59"/>
      <c r="D984" s="59"/>
      <c r="E984" s="59"/>
      <c r="F984" s="8"/>
      <c r="G984" s="8"/>
      <c r="H984" s="8"/>
      <c r="I984" s="8"/>
      <c r="J984" s="8"/>
      <c r="K984" s="8"/>
      <c r="L984" s="8"/>
      <c r="M984" s="8"/>
      <c r="N984" s="8"/>
      <c r="O984" s="8"/>
      <c r="P984" s="8"/>
      <c r="Q984" s="8"/>
      <c r="R984" s="8"/>
      <c r="S984" s="8"/>
      <c r="T984" s="8"/>
      <c r="U984" s="8"/>
      <c r="V984" s="8"/>
      <c r="W984" s="8"/>
      <c r="X984" s="8"/>
      <c r="Y984" s="8"/>
      <c r="Z984" s="8"/>
      <c r="AA984" s="8"/>
    </row>
    <row r="985" spans="1:27" ht="12.75">
      <c r="A985" s="8"/>
      <c r="B985" s="59"/>
      <c r="C985" s="59"/>
      <c r="D985" s="59"/>
      <c r="E985" s="59"/>
      <c r="F985" s="8"/>
      <c r="G985" s="8"/>
      <c r="H985" s="8"/>
      <c r="I985" s="8"/>
      <c r="J985" s="8"/>
      <c r="K985" s="8"/>
      <c r="L985" s="8"/>
      <c r="M985" s="8"/>
      <c r="N985" s="8"/>
      <c r="O985" s="8"/>
      <c r="P985" s="8"/>
      <c r="Q985" s="8"/>
      <c r="R985" s="8"/>
      <c r="S985" s="8"/>
      <c r="T985" s="8"/>
      <c r="U985" s="8"/>
      <c r="V985" s="8"/>
      <c r="W985" s="8"/>
      <c r="X985" s="8"/>
      <c r="Y985" s="8"/>
      <c r="Z985" s="8"/>
      <c r="AA985" s="8"/>
    </row>
    <row r="986" spans="1:27" ht="12.75">
      <c r="A986" s="8"/>
      <c r="B986" s="59"/>
      <c r="C986" s="59"/>
      <c r="D986" s="59"/>
      <c r="E986" s="59"/>
      <c r="F986" s="8"/>
      <c r="G986" s="8"/>
      <c r="H986" s="8"/>
      <c r="I986" s="8"/>
      <c r="J986" s="8"/>
      <c r="K986" s="8"/>
      <c r="L986" s="8"/>
      <c r="M986" s="8"/>
      <c r="N986" s="8"/>
      <c r="O986" s="8"/>
      <c r="P986" s="8"/>
      <c r="Q986" s="8"/>
      <c r="R986" s="8"/>
      <c r="S986" s="8"/>
      <c r="T986" s="8"/>
      <c r="U986" s="8"/>
      <c r="V986" s="8"/>
      <c r="W986" s="8"/>
      <c r="X986" s="8"/>
      <c r="Y986" s="8"/>
      <c r="Z986" s="8"/>
      <c r="AA986" s="8"/>
    </row>
    <row r="987" spans="1:27" ht="12.75">
      <c r="A987" s="8"/>
      <c r="B987" s="59"/>
      <c r="C987" s="59"/>
      <c r="D987" s="59"/>
      <c r="E987" s="59"/>
      <c r="F987" s="8"/>
      <c r="G987" s="8"/>
      <c r="H987" s="8"/>
      <c r="I987" s="8"/>
      <c r="J987" s="8"/>
      <c r="K987" s="8"/>
      <c r="L987" s="8"/>
      <c r="M987" s="8"/>
      <c r="N987" s="8"/>
      <c r="O987" s="8"/>
      <c r="P987" s="8"/>
      <c r="Q987" s="8"/>
      <c r="R987" s="8"/>
      <c r="S987" s="8"/>
      <c r="T987" s="8"/>
      <c r="U987" s="8"/>
      <c r="V987" s="8"/>
      <c r="W987" s="8"/>
      <c r="X987" s="8"/>
      <c r="Y987" s="8"/>
      <c r="Z987" s="8"/>
      <c r="AA987" s="8"/>
    </row>
    <row r="988" spans="1:27" ht="12.75">
      <c r="A988" s="8"/>
      <c r="B988" s="59"/>
      <c r="C988" s="59"/>
      <c r="D988" s="59"/>
      <c r="E988" s="59"/>
      <c r="F988" s="8"/>
      <c r="G988" s="8"/>
      <c r="H988" s="8"/>
      <c r="I988" s="8"/>
      <c r="J988" s="8"/>
      <c r="K988" s="8"/>
      <c r="L988" s="8"/>
      <c r="M988" s="8"/>
      <c r="N988" s="8"/>
      <c r="O988" s="8"/>
      <c r="P988" s="8"/>
      <c r="Q988" s="8"/>
      <c r="R988" s="8"/>
      <c r="S988" s="8"/>
      <c r="T988" s="8"/>
      <c r="U988" s="8"/>
      <c r="V988" s="8"/>
      <c r="W988" s="8"/>
      <c r="X988" s="8"/>
      <c r="Y988" s="8"/>
      <c r="Z988" s="8"/>
      <c r="AA988" s="8"/>
    </row>
    <row r="989" spans="1:27" ht="12.75">
      <c r="A989" s="8"/>
      <c r="B989" s="59"/>
      <c r="C989" s="59"/>
      <c r="D989" s="59"/>
      <c r="E989" s="59"/>
      <c r="F989" s="8"/>
      <c r="G989" s="8"/>
      <c r="H989" s="8"/>
      <c r="I989" s="8"/>
      <c r="J989" s="8"/>
      <c r="K989" s="8"/>
      <c r="L989" s="8"/>
      <c r="M989" s="8"/>
      <c r="N989" s="8"/>
      <c r="O989" s="8"/>
      <c r="P989" s="8"/>
      <c r="Q989" s="8"/>
      <c r="R989" s="8"/>
      <c r="S989" s="8"/>
      <c r="T989" s="8"/>
      <c r="U989" s="8"/>
      <c r="V989" s="8"/>
      <c r="W989" s="8"/>
      <c r="X989" s="8"/>
      <c r="Y989" s="8"/>
      <c r="Z989" s="8"/>
      <c r="AA989" s="8"/>
    </row>
    <row r="990" spans="1:27" ht="12.75">
      <c r="A990" s="8"/>
      <c r="B990" s="59"/>
      <c r="C990" s="59"/>
      <c r="D990" s="59"/>
      <c r="E990" s="59"/>
      <c r="F990" s="8"/>
      <c r="G990" s="8"/>
      <c r="H990" s="8"/>
      <c r="I990" s="8"/>
      <c r="J990" s="8"/>
      <c r="K990" s="8"/>
      <c r="L990" s="8"/>
      <c r="M990" s="8"/>
      <c r="N990" s="8"/>
      <c r="O990" s="8"/>
      <c r="P990" s="8"/>
      <c r="Q990" s="8"/>
      <c r="R990" s="8"/>
      <c r="S990" s="8"/>
      <c r="T990" s="8"/>
      <c r="U990" s="8"/>
      <c r="V990" s="8"/>
      <c r="W990" s="8"/>
      <c r="X990" s="8"/>
      <c r="Y990" s="8"/>
      <c r="Z990" s="8"/>
      <c r="AA990" s="8"/>
    </row>
    <row r="991" spans="1:27" ht="12.75">
      <c r="A991" s="8"/>
      <c r="B991" s="59"/>
      <c r="C991" s="59"/>
      <c r="D991" s="59"/>
      <c r="E991" s="59"/>
      <c r="F991" s="8"/>
      <c r="G991" s="8"/>
      <c r="H991" s="8"/>
      <c r="I991" s="8"/>
      <c r="J991" s="8"/>
      <c r="K991" s="8"/>
      <c r="L991" s="8"/>
      <c r="M991" s="8"/>
      <c r="N991" s="8"/>
      <c r="O991" s="8"/>
      <c r="P991" s="8"/>
      <c r="Q991" s="8"/>
      <c r="R991" s="8"/>
      <c r="S991" s="8"/>
      <c r="T991" s="8"/>
      <c r="U991" s="8"/>
      <c r="V991" s="8"/>
      <c r="W991" s="8"/>
      <c r="X991" s="8"/>
      <c r="Y991" s="8"/>
      <c r="Z991" s="8"/>
      <c r="AA991" s="8"/>
    </row>
    <row r="992" spans="1:27" ht="12.75">
      <c r="A992" s="8"/>
      <c r="B992" s="59"/>
      <c r="C992" s="59"/>
      <c r="D992" s="59"/>
      <c r="E992" s="59"/>
      <c r="F992" s="8"/>
      <c r="G992" s="8"/>
      <c r="H992" s="8"/>
      <c r="I992" s="8"/>
      <c r="J992" s="8"/>
      <c r="K992" s="8"/>
      <c r="L992" s="8"/>
      <c r="M992" s="8"/>
      <c r="N992" s="8"/>
      <c r="O992" s="8"/>
      <c r="P992" s="8"/>
      <c r="Q992" s="8"/>
      <c r="R992" s="8"/>
      <c r="S992" s="8"/>
      <c r="T992" s="8"/>
      <c r="U992" s="8"/>
      <c r="V992" s="8"/>
      <c r="W992" s="8"/>
      <c r="X992" s="8"/>
      <c r="Y992" s="8"/>
      <c r="Z992" s="8"/>
      <c r="AA992" s="8"/>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outlinePr summaryBelow="0" summaryRight="0"/>
    <pageSetUpPr fitToPage="1"/>
  </sheetPr>
  <dimension ref="A1:X1059"/>
  <sheetViews>
    <sheetView showGridLines="0" topLeftCell="B32" zoomScale="120" zoomScaleNormal="120" workbookViewId="0">
      <selection activeCell="L24" sqref="L24"/>
    </sheetView>
  </sheetViews>
  <sheetFormatPr defaultColWidth="12.5703125" defaultRowHeight="15.75" customHeight="1"/>
  <cols>
    <col min="1" max="1" width="4.85546875" customWidth="1"/>
    <col min="2" max="2" width="41.85546875" customWidth="1"/>
    <col min="3" max="3" width="8.5703125" customWidth="1"/>
    <col min="4" max="4" width="10.140625" customWidth="1"/>
    <col min="5" max="5" width="11.5703125" customWidth="1"/>
    <col min="6" max="6" width="15.140625" customWidth="1"/>
    <col min="7" max="7" width="11.85546875" customWidth="1"/>
    <col min="8" max="24" width="5.140625" customWidth="1"/>
  </cols>
  <sheetData>
    <row r="1" spans="1:24" ht="15">
      <c r="A1" s="87"/>
      <c r="B1" s="91"/>
      <c r="C1" s="89"/>
      <c r="D1" s="89"/>
      <c r="E1" s="1463"/>
      <c r="F1" s="1451"/>
      <c r="G1" s="1451"/>
      <c r="H1" s="1451"/>
      <c r="I1" s="1451"/>
      <c r="J1" s="1451"/>
      <c r="K1" s="1451"/>
      <c r="L1" s="1451"/>
      <c r="M1" s="1451"/>
      <c r="N1" s="1451"/>
      <c r="O1" s="1451"/>
      <c r="P1" s="91"/>
      <c r="Q1" s="91"/>
      <c r="R1" s="91"/>
      <c r="S1" s="91"/>
      <c r="T1" s="91"/>
      <c r="U1" s="91"/>
      <c r="V1" s="91"/>
      <c r="W1" s="91"/>
      <c r="X1" s="91"/>
    </row>
    <row r="2" spans="1:24" ht="15">
      <c r="A2" s="87"/>
      <c r="B2" s="91"/>
      <c r="C2" s="89"/>
      <c r="D2" s="89"/>
      <c r="E2" s="1451"/>
      <c r="F2" s="1451"/>
      <c r="G2" s="1451"/>
      <c r="H2" s="1451"/>
      <c r="I2" s="1451"/>
      <c r="J2" s="1451"/>
      <c r="K2" s="1451"/>
      <c r="L2" s="1451"/>
      <c r="M2" s="1451"/>
      <c r="N2" s="1451"/>
      <c r="O2" s="1451"/>
      <c r="P2" s="91"/>
      <c r="Q2" s="91"/>
      <c r="R2" s="91"/>
      <c r="S2" s="91"/>
      <c r="T2" s="91"/>
      <c r="U2" s="91"/>
      <c r="V2" s="91"/>
      <c r="W2" s="91"/>
      <c r="X2" s="91"/>
    </row>
    <row r="3" spans="1:24" ht="15">
      <c r="A3" s="87"/>
      <c r="B3" s="91"/>
      <c r="C3" s="89"/>
      <c r="D3" s="89"/>
      <c r="E3" s="1451"/>
      <c r="F3" s="1451"/>
      <c r="G3" s="1451"/>
      <c r="H3" s="1451"/>
      <c r="I3" s="1451"/>
      <c r="J3" s="1451"/>
      <c r="K3" s="1451"/>
      <c r="L3" s="1451"/>
      <c r="M3" s="1451"/>
      <c r="N3" s="1451"/>
      <c r="O3" s="1451"/>
      <c r="P3" s="91"/>
      <c r="Q3" s="91"/>
      <c r="R3" s="91"/>
      <c r="S3" s="91"/>
      <c r="T3" s="91"/>
      <c r="U3" s="91"/>
      <c r="V3" s="91"/>
      <c r="W3" s="91"/>
      <c r="X3" s="91"/>
    </row>
    <row r="4" spans="1:24" ht="15">
      <c r="A4" s="87"/>
      <c r="B4" s="91"/>
      <c r="C4" s="89"/>
      <c r="D4" s="89"/>
      <c r="E4" s="1451"/>
      <c r="F4" s="1451"/>
      <c r="G4" s="1451"/>
      <c r="H4" s="1451"/>
      <c r="I4" s="1451"/>
      <c r="J4" s="1451"/>
      <c r="K4" s="1451"/>
      <c r="L4" s="1451"/>
      <c r="M4" s="1451"/>
      <c r="N4" s="1451"/>
      <c r="O4" s="1451"/>
      <c r="P4" s="91"/>
      <c r="Q4" s="91"/>
      <c r="R4" s="91"/>
      <c r="S4" s="91"/>
      <c r="T4" s="91"/>
      <c r="U4" s="91"/>
      <c r="V4" s="91"/>
      <c r="W4" s="91"/>
      <c r="X4" s="91"/>
    </row>
    <row r="5" spans="1:24" ht="15">
      <c r="A5" s="87"/>
      <c r="B5" s="91"/>
      <c r="C5" s="89"/>
      <c r="D5" s="89"/>
      <c r="E5" s="1451"/>
      <c r="F5" s="1451"/>
      <c r="G5" s="1451"/>
      <c r="H5" s="1451"/>
      <c r="I5" s="1451"/>
      <c r="J5" s="1451"/>
      <c r="K5" s="1451"/>
      <c r="L5" s="1451"/>
      <c r="M5" s="1451"/>
      <c r="N5" s="1451"/>
      <c r="O5" s="1451"/>
      <c r="P5" s="91"/>
      <c r="Q5" s="91"/>
      <c r="R5" s="91"/>
      <c r="S5" s="91"/>
      <c r="T5" s="91"/>
      <c r="U5" s="91"/>
      <c r="V5" s="91"/>
      <c r="W5" s="91"/>
      <c r="X5" s="91"/>
    </row>
    <row r="6" spans="1:24" ht="15">
      <c r="A6" s="87"/>
      <c r="B6" s="91"/>
      <c r="C6" s="89"/>
      <c r="D6" s="89"/>
      <c r="E6" s="1451"/>
      <c r="F6" s="1451"/>
      <c r="G6" s="1451"/>
      <c r="H6" s="1451"/>
      <c r="I6" s="1451"/>
      <c r="J6" s="1451"/>
      <c r="K6" s="1451"/>
      <c r="L6" s="1451"/>
      <c r="M6" s="1451"/>
      <c r="N6" s="1451"/>
      <c r="O6" s="1451"/>
      <c r="P6" s="91"/>
      <c r="Q6" s="91"/>
      <c r="R6" s="91"/>
      <c r="S6" s="91"/>
      <c r="T6" s="91"/>
      <c r="U6" s="91"/>
      <c r="V6" s="91"/>
      <c r="W6" s="91"/>
      <c r="X6" s="91"/>
    </row>
    <row r="7" spans="1:24" ht="15">
      <c r="A7" s="1464" t="s">
        <v>317</v>
      </c>
      <c r="B7" s="1451"/>
      <c r="C7" s="1451"/>
      <c r="D7" s="1451"/>
      <c r="E7" s="1451"/>
      <c r="F7" s="1451"/>
      <c r="G7" s="1451"/>
      <c r="H7" s="1451"/>
      <c r="I7" s="1451"/>
      <c r="J7" s="1451"/>
      <c r="K7" s="1451"/>
      <c r="L7" s="1451"/>
      <c r="M7" s="1451"/>
      <c r="N7" s="1451"/>
      <c r="O7" s="1451"/>
      <c r="P7" s="1451"/>
      <c r="Q7" s="1451"/>
      <c r="R7" s="1451"/>
      <c r="S7" s="1451"/>
      <c r="T7" s="1451"/>
      <c r="U7" s="1451"/>
      <c r="V7" s="1451"/>
      <c r="W7" s="1451"/>
      <c r="X7" s="87"/>
    </row>
    <row r="8" spans="1:24" ht="15">
      <c r="A8" s="87"/>
      <c r="B8" s="91"/>
      <c r="C8" s="89"/>
      <c r="D8" s="89"/>
      <c r="E8" s="91"/>
      <c r="F8" s="91"/>
      <c r="G8" s="91"/>
      <c r="H8" s="91"/>
      <c r="I8" s="91"/>
      <c r="J8" s="91"/>
      <c r="K8" s="91"/>
      <c r="L8" s="91"/>
      <c r="M8" s="91"/>
      <c r="N8" s="91"/>
      <c r="O8" s="91"/>
      <c r="P8" s="91"/>
      <c r="Q8" s="91"/>
      <c r="R8" s="91"/>
      <c r="S8" s="91"/>
      <c r="T8" s="91"/>
      <c r="U8" s="91"/>
      <c r="V8" s="91"/>
      <c r="W8" s="91"/>
      <c r="X8" s="91"/>
    </row>
    <row r="9" spans="1:24" ht="15">
      <c r="A9" s="1456" t="s">
        <v>432</v>
      </c>
      <c r="B9" s="1451"/>
      <c r="C9" s="89"/>
      <c r="D9" s="89"/>
      <c r="E9" s="91"/>
      <c r="F9" s="91"/>
      <c r="G9" s="91"/>
      <c r="H9" s="91"/>
      <c r="I9" s="91"/>
      <c r="J9" s="91"/>
      <c r="K9" s="91"/>
      <c r="L9" s="91"/>
      <c r="M9" s="91"/>
      <c r="N9" s="91"/>
      <c r="O9" s="91"/>
      <c r="P9" s="91"/>
      <c r="Q9" s="91"/>
      <c r="R9" s="91"/>
      <c r="S9" s="91"/>
      <c r="T9" s="91"/>
      <c r="U9" s="91"/>
      <c r="V9" s="91"/>
      <c r="W9" s="91"/>
      <c r="X9" s="91"/>
    </row>
    <row r="10" spans="1:24" ht="15">
      <c r="A10" s="1456" t="s">
        <v>318</v>
      </c>
      <c r="B10" s="1451"/>
      <c r="C10" s="89"/>
      <c r="D10" s="89"/>
      <c r="E10" s="91"/>
      <c r="F10" s="91"/>
      <c r="G10" s="91"/>
      <c r="H10" s="91"/>
      <c r="I10" s="91"/>
      <c r="J10" s="91"/>
      <c r="K10" s="91"/>
      <c r="L10" s="91"/>
      <c r="M10" s="91"/>
      <c r="N10" s="91"/>
      <c r="O10" s="91"/>
      <c r="P10" s="91"/>
      <c r="Q10" s="91"/>
      <c r="R10" s="91"/>
      <c r="S10" s="91"/>
      <c r="T10" s="91"/>
      <c r="U10" s="91"/>
      <c r="V10" s="91"/>
      <c r="W10" s="91"/>
      <c r="X10" s="91"/>
    </row>
    <row r="11" spans="1:24" ht="15">
      <c r="A11" s="1456" t="s">
        <v>319</v>
      </c>
      <c r="B11" s="1451"/>
      <c r="C11" s="89"/>
      <c r="D11" s="89"/>
      <c r="E11" s="91"/>
      <c r="F11" s="91"/>
      <c r="G11" s="91"/>
      <c r="H11" s="91"/>
      <c r="I11" s="91"/>
      <c r="J11" s="91"/>
      <c r="K11" s="91"/>
      <c r="L11" s="91"/>
      <c r="M11" s="91"/>
      <c r="N11" s="91"/>
      <c r="O11" s="91"/>
      <c r="P11" s="91"/>
      <c r="Q11" s="91"/>
      <c r="R11" s="91"/>
      <c r="S11" s="91"/>
      <c r="T11" s="91"/>
      <c r="U11" s="91"/>
      <c r="V11" s="91"/>
      <c r="W11" s="91"/>
      <c r="X11" s="91"/>
    </row>
    <row r="12" spans="1:24" ht="15">
      <c r="A12" s="87"/>
      <c r="B12" s="91"/>
      <c r="C12" s="89"/>
      <c r="D12" s="89"/>
      <c r="E12" s="91"/>
      <c r="F12" s="91"/>
      <c r="G12" s="91"/>
      <c r="H12" s="91"/>
      <c r="I12" s="91"/>
      <c r="J12" s="91"/>
      <c r="K12" s="91"/>
      <c r="L12" s="91"/>
      <c r="M12" s="91"/>
      <c r="N12" s="91"/>
      <c r="O12" s="91"/>
      <c r="P12" s="91"/>
      <c r="Q12" s="91"/>
      <c r="R12" s="91"/>
      <c r="S12" s="91"/>
      <c r="T12" s="91"/>
      <c r="U12" s="91"/>
      <c r="V12" s="91"/>
      <c r="W12" s="91"/>
      <c r="X12" s="91"/>
    </row>
    <row r="13" spans="1:24" ht="45">
      <c r="A13" s="125" t="s">
        <v>320</v>
      </c>
      <c r="B13" s="1459" t="s">
        <v>321</v>
      </c>
      <c r="C13" s="1457" t="s">
        <v>85</v>
      </c>
      <c r="D13" s="1457" t="s">
        <v>92</v>
      </c>
      <c r="E13" s="1457" t="s">
        <v>93</v>
      </c>
      <c r="F13" s="1457" t="s">
        <v>322</v>
      </c>
      <c r="G13" s="1457" t="s">
        <v>323</v>
      </c>
      <c r="H13" s="1462" t="s">
        <v>324</v>
      </c>
      <c r="I13" s="1442"/>
      <c r="J13" s="1442"/>
      <c r="K13" s="1442"/>
      <c r="L13" s="1442"/>
      <c r="M13" s="1442"/>
      <c r="N13" s="1442"/>
      <c r="O13" s="1442"/>
      <c r="P13" s="1442"/>
      <c r="Q13" s="1442"/>
      <c r="R13" s="1442"/>
      <c r="S13" s="1442"/>
      <c r="T13" s="1442"/>
      <c r="U13" s="1442"/>
      <c r="V13" s="1442"/>
      <c r="W13" s="1443"/>
      <c r="X13" s="126"/>
    </row>
    <row r="14" spans="1:24" ht="15">
      <c r="A14" s="127"/>
      <c r="B14" s="1448"/>
      <c r="C14" s="1448"/>
      <c r="D14" s="1448"/>
      <c r="E14" s="1448"/>
      <c r="F14" s="1448"/>
      <c r="G14" s="1448"/>
      <c r="H14" s="96" t="s">
        <v>325</v>
      </c>
      <c r="I14" s="96" t="s">
        <v>326</v>
      </c>
      <c r="J14" s="96" t="s">
        <v>327</v>
      </c>
      <c r="K14" s="96" t="s">
        <v>328</v>
      </c>
      <c r="L14" s="96" t="s">
        <v>329</v>
      </c>
      <c r="M14" s="96" t="s">
        <v>330</v>
      </c>
      <c r="N14" s="96" t="s">
        <v>331</v>
      </c>
      <c r="O14" s="96" t="s">
        <v>332</v>
      </c>
      <c r="P14" s="96" t="s">
        <v>333</v>
      </c>
      <c r="Q14" s="96" t="s">
        <v>334</v>
      </c>
      <c r="R14" s="96" t="s">
        <v>335</v>
      </c>
      <c r="S14" s="96" t="s">
        <v>336</v>
      </c>
      <c r="T14" s="96" t="s">
        <v>337</v>
      </c>
      <c r="U14" s="96" t="s">
        <v>338</v>
      </c>
      <c r="V14" s="96" t="s">
        <v>339</v>
      </c>
      <c r="W14" s="96" t="s">
        <v>340</v>
      </c>
      <c r="X14" s="126"/>
    </row>
    <row r="15" spans="1:24" thickBot="1">
      <c r="A15" s="1460" t="s">
        <v>341</v>
      </c>
      <c r="B15" s="1443"/>
      <c r="C15" s="97"/>
      <c r="D15" s="97"/>
      <c r="E15" s="98"/>
      <c r="F15" s="98"/>
      <c r="G15" s="98"/>
      <c r="H15" s="98"/>
      <c r="I15" s="98"/>
      <c r="J15" s="98"/>
      <c r="K15" s="98"/>
      <c r="L15" s="98"/>
      <c r="M15" s="98"/>
      <c r="N15" s="98"/>
      <c r="O15" s="98"/>
      <c r="P15" s="98"/>
      <c r="Q15" s="98"/>
      <c r="R15" s="98"/>
      <c r="S15" s="98"/>
      <c r="T15" s="98"/>
      <c r="U15" s="98"/>
      <c r="V15" s="98"/>
      <c r="W15" s="98"/>
      <c r="X15" s="91"/>
    </row>
    <row r="16" spans="1:24" thickBot="1">
      <c r="A16" s="1356">
        <v>1</v>
      </c>
      <c r="B16" s="1357" t="s">
        <v>356</v>
      </c>
      <c r="C16" s="1358">
        <v>1</v>
      </c>
      <c r="D16" s="1358" t="s">
        <v>758</v>
      </c>
      <c r="E16" s="1359">
        <v>6000000</v>
      </c>
      <c r="F16" s="1359">
        <v>6000000</v>
      </c>
      <c r="G16" s="1360"/>
      <c r="H16" s="1361">
        <v>1</v>
      </c>
      <c r="I16" s="1361">
        <v>1</v>
      </c>
      <c r="J16" s="1360"/>
      <c r="K16" s="1360"/>
      <c r="L16" s="1361">
        <v>0</v>
      </c>
      <c r="M16" s="1360"/>
      <c r="N16" s="1360"/>
      <c r="O16" s="1360"/>
      <c r="P16" s="1361">
        <v>0</v>
      </c>
      <c r="Q16" s="1360"/>
      <c r="R16" s="1360"/>
      <c r="S16" s="1360"/>
      <c r="T16" s="1361">
        <v>0</v>
      </c>
      <c r="U16" s="1360"/>
      <c r="V16" s="1360"/>
      <c r="W16" s="1360"/>
      <c r="X16" s="1362"/>
    </row>
    <row r="17" spans="1:24" thickBot="1">
      <c r="A17" s="1363">
        <v>2</v>
      </c>
      <c r="B17" s="1364" t="s">
        <v>168</v>
      </c>
      <c r="C17" s="1365">
        <v>5</v>
      </c>
      <c r="D17" s="1365" t="s">
        <v>118</v>
      </c>
      <c r="E17" s="1366">
        <v>75000</v>
      </c>
      <c r="F17" s="1366">
        <v>375000</v>
      </c>
      <c r="G17" s="1367"/>
      <c r="H17" s="1368">
        <v>5</v>
      </c>
      <c r="I17" s="1368">
        <v>5</v>
      </c>
      <c r="J17" s="1367"/>
      <c r="K17" s="1367"/>
      <c r="L17" s="1368">
        <v>0</v>
      </c>
      <c r="M17" s="1367"/>
      <c r="N17" s="1367"/>
      <c r="O17" s="1367"/>
      <c r="P17" s="1368">
        <v>0</v>
      </c>
      <c r="Q17" s="1367"/>
      <c r="R17" s="1367"/>
      <c r="S17" s="1367"/>
      <c r="T17" s="1368">
        <v>0</v>
      </c>
      <c r="U17" s="1367"/>
      <c r="V17" s="1367"/>
      <c r="W17" s="1367"/>
      <c r="X17" s="1362"/>
    </row>
    <row r="18" spans="1:24" ht="45.75" thickBot="1">
      <c r="A18" s="1363">
        <v>3</v>
      </c>
      <c r="B18" s="1364" t="s">
        <v>378</v>
      </c>
      <c r="C18" s="1365">
        <v>2</v>
      </c>
      <c r="D18" s="1365" t="s">
        <v>758</v>
      </c>
      <c r="E18" s="1366">
        <v>375000</v>
      </c>
      <c r="F18" s="1366">
        <v>750000</v>
      </c>
      <c r="G18" s="1367"/>
      <c r="H18" s="1368">
        <v>2</v>
      </c>
      <c r="I18" s="1368">
        <v>2</v>
      </c>
      <c r="J18" s="1367"/>
      <c r="K18" s="1367"/>
      <c r="L18" s="1368">
        <v>0</v>
      </c>
      <c r="M18" s="1367"/>
      <c r="N18" s="1367"/>
      <c r="O18" s="1367"/>
      <c r="P18" s="1368">
        <v>0</v>
      </c>
      <c r="Q18" s="1367"/>
      <c r="R18" s="1367"/>
      <c r="S18" s="1367"/>
      <c r="T18" s="1368">
        <v>0</v>
      </c>
      <c r="U18" s="1367"/>
      <c r="V18" s="1367"/>
      <c r="W18" s="1367"/>
      <c r="X18" s="1362"/>
    </row>
    <row r="19" spans="1:24" ht="45.75" thickBot="1">
      <c r="A19" s="1363">
        <v>4</v>
      </c>
      <c r="B19" s="1364" t="s">
        <v>380</v>
      </c>
      <c r="C19" s="1365">
        <v>6</v>
      </c>
      <c r="D19" s="1365" t="s">
        <v>758</v>
      </c>
      <c r="E19" s="1366">
        <v>180000</v>
      </c>
      <c r="F19" s="1366">
        <v>1080000</v>
      </c>
      <c r="G19" s="1367"/>
      <c r="H19" s="1368">
        <v>6</v>
      </c>
      <c r="I19" s="1368">
        <v>6</v>
      </c>
      <c r="J19" s="1367"/>
      <c r="K19" s="1367"/>
      <c r="L19" s="1368">
        <v>0</v>
      </c>
      <c r="M19" s="1367"/>
      <c r="N19" s="1367"/>
      <c r="O19" s="1367"/>
      <c r="P19" s="1368">
        <v>0</v>
      </c>
      <c r="Q19" s="1367"/>
      <c r="R19" s="1367"/>
      <c r="S19" s="1367"/>
      <c r="T19" s="1368">
        <v>0</v>
      </c>
      <c r="U19" s="1367"/>
      <c r="V19" s="1367"/>
      <c r="W19" s="1367"/>
      <c r="X19" s="1362"/>
    </row>
    <row r="20" spans="1:24" ht="45.75" thickBot="1">
      <c r="A20" s="1363">
        <v>5</v>
      </c>
      <c r="B20" s="1364" t="s">
        <v>382</v>
      </c>
      <c r="C20" s="1365">
        <v>1</v>
      </c>
      <c r="D20" s="1365" t="s">
        <v>758</v>
      </c>
      <c r="E20" s="1366">
        <v>1500000</v>
      </c>
      <c r="F20" s="1366">
        <v>1500000</v>
      </c>
      <c r="G20" s="1367"/>
      <c r="H20" s="1368">
        <v>1</v>
      </c>
      <c r="I20" s="1368">
        <v>1</v>
      </c>
      <c r="J20" s="1367"/>
      <c r="K20" s="1367"/>
      <c r="L20" s="1368">
        <v>0</v>
      </c>
      <c r="M20" s="1367"/>
      <c r="N20" s="1367"/>
      <c r="O20" s="1367"/>
      <c r="P20" s="1368">
        <v>0</v>
      </c>
      <c r="Q20" s="1367"/>
      <c r="R20" s="1367"/>
      <c r="S20" s="1367"/>
      <c r="T20" s="1368">
        <v>0</v>
      </c>
      <c r="U20" s="1367"/>
      <c r="V20" s="1367"/>
      <c r="W20" s="1367"/>
      <c r="X20" s="1362"/>
    </row>
    <row r="21" spans="1:24" ht="60.75" thickBot="1">
      <c r="A21" s="1363">
        <v>6</v>
      </c>
      <c r="B21" s="1364" t="s">
        <v>383</v>
      </c>
      <c r="C21" s="1365">
        <v>1</v>
      </c>
      <c r="D21" s="1365" t="s">
        <v>758</v>
      </c>
      <c r="E21" s="1366">
        <v>1275000</v>
      </c>
      <c r="F21" s="1366">
        <v>1275000</v>
      </c>
      <c r="G21" s="1367"/>
      <c r="H21" s="1368">
        <v>1</v>
      </c>
      <c r="I21" s="1368">
        <v>1</v>
      </c>
      <c r="J21" s="1367"/>
      <c r="K21" s="1367"/>
      <c r="L21" s="1368">
        <v>0</v>
      </c>
      <c r="M21" s="1367"/>
      <c r="N21" s="1367"/>
      <c r="O21" s="1367"/>
      <c r="P21" s="1368">
        <v>0</v>
      </c>
      <c r="Q21" s="1367"/>
      <c r="R21" s="1367"/>
      <c r="S21" s="1367"/>
      <c r="T21" s="1368">
        <v>0</v>
      </c>
      <c r="U21" s="1367"/>
      <c r="V21" s="1367"/>
      <c r="W21" s="1367"/>
      <c r="X21" s="1362"/>
    </row>
    <row r="22" spans="1:24" ht="60.75" thickBot="1">
      <c r="A22" s="1363">
        <v>7</v>
      </c>
      <c r="B22" s="1364" t="s">
        <v>393</v>
      </c>
      <c r="C22" s="1365">
        <v>1</v>
      </c>
      <c r="D22" s="1365" t="s">
        <v>758</v>
      </c>
      <c r="E22" s="1366">
        <v>3000000</v>
      </c>
      <c r="F22" s="1366">
        <v>3000000</v>
      </c>
      <c r="G22" s="1367"/>
      <c r="H22" s="1368">
        <v>1</v>
      </c>
      <c r="I22" s="1368">
        <v>1</v>
      </c>
      <c r="J22" s="1367"/>
      <c r="K22" s="1367"/>
      <c r="L22" s="1368">
        <v>0</v>
      </c>
      <c r="M22" s="1367"/>
      <c r="N22" s="1367"/>
      <c r="O22" s="1367"/>
      <c r="P22" s="1368">
        <v>0</v>
      </c>
      <c r="Q22" s="1367"/>
      <c r="R22" s="1367"/>
      <c r="S22" s="1367"/>
      <c r="T22" s="1368">
        <v>0</v>
      </c>
      <c r="U22" s="1367"/>
      <c r="V22" s="1367"/>
      <c r="W22" s="1367"/>
      <c r="X22" s="1362"/>
    </row>
    <row r="23" spans="1:24" thickBot="1">
      <c r="A23" s="1363">
        <v>8</v>
      </c>
      <c r="B23" s="1364" t="s">
        <v>401</v>
      </c>
      <c r="C23" s="1365">
        <v>1</v>
      </c>
      <c r="D23" s="1365" t="s">
        <v>118</v>
      </c>
      <c r="E23" s="1366">
        <v>240000</v>
      </c>
      <c r="F23" s="1366">
        <v>240000</v>
      </c>
      <c r="G23" s="1367"/>
      <c r="H23" s="1368">
        <v>1</v>
      </c>
      <c r="I23" s="1368">
        <v>1</v>
      </c>
      <c r="J23" s="1367"/>
      <c r="K23" s="1367"/>
      <c r="L23" s="1368">
        <v>0</v>
      </c>
      <c r="M23" s="1367"/>
      <c r="N23" s="1367"/>
      <c r="O23" s="1367"/>
      <c r="P23" s="1368">
        <v>0</v>
      </c>
      <c r="Q23" s="1367"/>
      <c r="R23" s="1367"/>
      <c r="S23" s="1367"/>
      <c r="T23" s="1368">
        <v>0</v>
      </c>
      <c r="U23" s="1367"/>
      <c r="V23" s="1367"/>
      <c r="W23" s="1367"/>
      <c r="X23" s="1362"/>
    </row>
    <row r="24" spans="1:24" thickBot="1">
      <c r="A24" s="1363">
        <v>9</v>
      </c>
      <c r="B24" s="1364" t="s">
        <v>408</v>
      </c>
      <c r="C24" s="1365">
        <v>1</v>
      </c>
      <c r="D24" s="1365" t="s">
        <v>758</v>
      </c>
      <c r="E24" s="1366">
        <v>648000</v>
      </c>
      <c r="F24" s="1366">
        <v>648000</v>
      </c>
      <c r="G24" s="1367"/>
      <c r="H24" s="1368">
        <v>1</v>
      </c>
      <c r="I24" s="1368">
        <v>1</v>
      </c>
      <c r="J24" s="1367"/>
      <c r="K24" s="1367"/>
      <c r="L24" s="1368">
        <v>0</v>
      </c>
      <c r="M24" s="1367"/>
      <c r="N24" s="1367"/>
      <c r="O24" s="1367"/>
      <c r="P24" s="1368">
        <v>0</v>
      </c>
      <c r="Q24" s="1367"/>
      <c r="R24" s="1367"/>
      <c r="S24" s="1367"/>
      <c r="T24" s="1368">
        <v>0</v>
      </c>
      <c r="U24" s="1367"/>
      <c r="V24" s="1367"/>
      <c r="W24" s="1367"/>
      <c r="X24" s="1362"/>
    </row>
    <row r="25" spans="1:24" ht="15" hidden="1">
      <c r="A25" s="102"/>
      <c r="B25" s="128"/>
      <c r="C25" s="97" t="str">
        <f>IF(B25="","", VLOOKUP(B25,DB!$D$2:W1059,12,0))</f>
        <v/>
      </c>
      <c r="D25" s="97" t="str">
        <f>IF(B25="","", VLOOKUP(B25,DB!$D$2:W1059,2,0))</f>
        <v/>
      </c>
      <c r="E25" s="129" t="str">
        <f>IF(B25="","", VLOOKUP(B25,DB!$D$2:W1059,6,0))</f>
        <v/>
      </c>
      <c r="F25" s="130" t="str">
        <f t="shared" ref="F25:F28" si="0">IF(B25="","", C25*E25)</f>
        <v/>
      </c>
      <c r="G25" s="98"/>
      <c r="H25" s="107">
        <f t="shared" ref="H25:H28" si="1">SUM(I25:K25)</f>
        <v>0</v>
      </c>
      <c r="I25" s="98" t="str">
        <f t="shared" ref="I25:I28" si="2">C25</f>
        <v/>
      </c>
      <c r="J25" s="98"/>
      <c r="K25" s="98"/>
      <c r="L25" s="107">
        <f t="shared" ref="L25:L28" si="3">SUM(M25:O25)</f>
        <v>0</v>
      </c>
      <c r="M25" s="98"/>
      <c r="N25" s="98"/>
      <c r="O25" s="98"/>
      <c r="P25" s="107">
        <f t="shared" ref="P25:P28" si="4">SUM(Q25:S25)</f>
        <v>0</v>
      </c>
      <c r="Q25" s="98"/>
      <c r="R25" s="98"/>
      <c r="S25" s="98"/>
      <c r="T25" s="107">
        <f t="shared" ref="T25:T28" si="5">SUM(U25:W25)</f>
        <v>0</v>
      </c>
      <c r="U25" s="98"/>
      <c r="V25" s="98"/>
      <c r="W25" s="98"/>
      <c r="X25" s="91"/>
    </row>
    <row r="26" spans="1:24" ht="15" hidden="1">
      <c r="A26" s="102"/>
      <c r="B26" s="128"/>
      <c r="C26" s="97" t="str">
        <f>IF(B26="","", VLOOKUP(B26,DB!$D$2:W1059,12,0))</f>
        <v/>
      </c>
      <c r="D26" s="97" t="str">
        <f>IF(B26="","", VLOOKUP(B26,DB!$D$2:W1059,2,0))</f>
        <v/>
      </c>
      <c r="E26" s="129" t="str">
        <f>IF(B26="","", VLOOKUP(B26,DB!$D$2:W1059,6,0))</f>
        <v/>
      </c>
      <c r="F26" s="130" t="str">
        <f t="shared" si="0"/>
        <v/>
      </c>
      <c r="G26" s="98"/>
      <c r="H26" s="107">
        <f t="shared" si="1"/>
        <v>0</v>
      </c>
      <c r="I26" s="98" t="str">
        <f t="shared" si="2"/>
        <v/>
      </c>
      <c r="J26" s="98"/>
      <c r="K26" s="98"/>
      <c r="L26" s="107">
        <f t="shared" si="3"/>
        <v>0</v>
      </c>
      <c r="M26" s="98"/>
      <c r="N26" s="98"/>
      <c r="O26" s="98"/>
      <c r="P26" s="107">
        <f t="shared" si="4"/>
        <v>0</v>
      </c>
      <c r="Q26" s="98"/>
      <c r="R26" s="98"/>
      <c r="S26" s="98"/>
      <c r="T26" s="107">
        <f t="shared" si="5"/>
        <v>0</v>
      </c>
      <c r="U26" s="98"/>
      <c r="V26" s="98"/>
      <c r="W26" s="98"/>
      <c r="X26" s="91"/>
    </row>
    <row r="27" spans="1:24" ht="15" hidden="1">
      <c r="A27" s="102"/>
      <c r="B27" s="128"/>
      <c r="C27" s="97" t="str">
        <f>IF(B27="","", VLOOKUP(B27,DB!$D$2:W1059,12,0))</f>
        <v/>
      </c>
      <c r="D27" s="97" t="str">
        <f>IF(B27="","", VLOOKUP(B27,DB!$D$2:W1059,2,0))</f>
        <v/>
      </c>
      <c r="E27" s="129" t="str">
        <f>IF(B27="","", VLOOKUP(B27,DB!$D$2:W1059,6,0))</f>
        <v/>
      </c>
      <c r="F27" s="130" t="str">
        <f t="shared" si="0"/>
        <v/>
      </c>
      <c r="G27" s="98"/>
      <c r="H27" s="107">
        <f t="shared" si="1"/>
        <v>0</v>
      </c>
      <c r="I27" s="98" t="str">
        <f t="shared" si="2"/>
        <v/>
      </c>
      <c r="J27" s="98"/>
      <c r="K27" s="98"/>
      <c r="L27" s="107">
        <f t="shared" si="3"/>
        <v>0</v>
      </c>
      <c r="M27" s="98"/>
      <c r="N27" s="98"/>
      <c r="O27" s="98"/>
      <c r="P27" s="107">
        <f t="shared" si="4"/>
        <v>0</v>
      </c>
      <c r="Q27" s="98"/>
      <c r="R27" s="98"/>
      <c r="S27" s="98"/>
      <c r="T27" s="107">
        <f t="shared" si="5"/>
        <v>0</v>
      </c>
      <c r="U27" s="98"/>
      <c r="V27" s="98"/>
      <c r="W27" s="98"/>
      <c r="X27" s="91"/>
    </row>
    <row r="28" spans="1:24" ht="15" hidden="1">
      <c r="A28" s="102"/>
      <c r="B28" s="128"/>
      <c r="C28" s="97" t="str">
        <f>IF(B28="","", VLOOKUP(B28,DB!$D$2:W1059,12,0))</f>
        <v/>
      </c>
      <c r="D28" s="97" t="str">
        <f>IF(B28="","", VLOOKUP(B28,DB!$D$2:W1059,2,0))</f>
        <v/>
      </c>
      <c r="E28" s="129" t="str">
        <f>IF(B28="","", VLOOKUP(B28,DB!$D$2:W1059,6,0))</f>
        <v/>
      </c>
      <c r="F28" s="130" t="str">
        <f t="shared" si="0"/>
        <v/>
      </c>
      <c r="G28" s="98"/>
      <c r="H28" s="107">
        <f t="shared" si="1"/>
        <v>0</v>
      </c>
      <c r="I28" s="98" t="str">
        <f t="shared" si="2"/>
        <v/>
      </c>
      <c r="J28" s="98"/>
      <c r="K28" s="98"/>
      <c r="L28" s="107">
        <f t="shared" si="3"/>
        <v>0</v>
      </c>
      <c r="M28" s="98"/>
      <c r="N28" s="98"/>
      <c r="O28" s="98"/>
      <c r="P28" s="107">
        <f t="shared" si="4"/>
        <v>0</v>
      </c>
      <c r="Q28" s="98"/>
      <c r="R28" s="98"/>
      <c r="S28" s="98"/>
      <c r="T28" s="107">
        <f t="shared" si="5"/>
        <v>0</v>
      </c>
      <c r="U28" s="98"/>
      <c r="V28" s="98"/>
      <c r="W28" s="98"/>
      <c r="X28" s="91"/>
    </row>
    <row r="29" spans="1:24" ht="15">
      <c r="A29" s="102"/>
      <c r="B29" s="104" t="s">
        <v>343</v>
      </c>
      <c r="C29" s="103"/>
      <c r="D29" s="103"/>
      <c r="E29" s="104"/>
      <c r="F29" s="131">
        <f>SUM(F16:F28)</f>
        <v>14868000</v>
      </c>
      <c r="G29" s="98"/>
      <c r="H29" s="98"/>
      <c r="I29" s="98"/>
      <c r="J29" s="98"/>
      <c r="K29" s="98"/>
      <c r="L29" s="98"/>
      <c r="M29" s="98"/>
      <c r="N29" s="98"/>
      <c r="O29" s="98"/>
      <c r="P29" s="98"/>
      <c r="Q29" s="98"/>
      <c r="R29" s="98"/>
      <c r="S29" s="98"/>
      <c r="T29" s="98"/>
      <c r="U29" s="98"/>
      <c r="V29" s="98"/>
      <c r="W29" s="98"/>
      <c r="X29" s="91"/>
    </row>
    <row r="30" spans="1:24" ht="15">
      <c r="A30" s="87"/>
      <c r="B30" s="91"/>
      <c r="C30" s="89"/>
      <c r="D30" s="89"/>
      <c r="E30" s="91"/>
      <c r="F30" s="91"/>
      <c r="G30" s="91"/>
      <c r="H30" s="91"/>
      <c r="I30" s="91"/>
      <c r="J30" s="91"/>
      <c r="K30" s="91"/>
      <c r="L30" s="91"/>
      <c r="M30" s="91"/>
      <c r="N30" s="91"/>
      <c r="O30" s="91"/>
      <c r="P30" s="91"/>
      <c r="Q30" s="91"/>
      <c r="R30" s="91"/>
      <c r="S30" s="91"/>
      <c r="T30" s="91"/>
      <c r="U30" s="91"/>
      <c r="V30" s="91"/>
      <c r="W30" s="91"/>
      <c r="X30" s="91"/>
    </row>
    <row r="31" spans="1:24" thickBot="1">
      <c r="A31" s="1460" t="s">
        <v>344</v>
      </c>
      <c r="B31" s="1443"/>
      <c r="C31" s="105"/>
      <c r="D31" s="105"/>
      <c r="E31" s="106"/>
      <c r="F31" s="106"/>
      <c r="G31" s="106"/>
      <c r="H31" s="106"/>
      <c r="I31" s="106"/>
      <c r="J31" s="106"/>
      <c r="K31" s="106"/>
      <c r="L31" s="106"/>
      <c r="M31" s="106"/>
      <c r="N31" s="106"/>
      <c r="O31" s="106"/>
      <c r="P31" s="106"/>
      <c r="Q31" s="106"/>
      <c r="R31" s="106"/>
      <c r="S31" s="106"/>
      <c r="T31" s="106"/>
      <c r="U31" s="106"/>
      <c r="V31" s="106"/>
      <c r="W31" s="106"/>
      <c r="X31" s="91"/>
    </row>
    <row r="32" spans="1:24" ht="30.75" thickBot="1">
      <c r="A32" s="1356">
        <v>1</v>
      </c>
      <c r="B32" s="1357" t="s">
        <v>100</v>
      </c>
      <c r="C32" s="1358">
        <v>100</v>
      </c>
      <c r="D32" s="1358" t="s">
        <v>103</v>
      </c>
      <c r="E32" s="1361">
        <v>80</v>
      </c>
      <c r="F32" s="1359">
        <v>8000</v>
      </c>
      <c r="G32" s="1360"/>
      <c r="H32" s="1361">
        <v>100</v>
      </c>
      <c r="I32" s="1361">
        <v>100</v>
      </c>
      <c r="J32" s="1360"/>
      <c r="K32" s="1360"/>
      <c r="L32" s="1361">
        <v>0</v>
      </c>
      <c r="M32" s="1360"/>
      <c r="N32" s="1360"/>
      <c r="O32" s="1360"/>
      <c r="P32" s="1361">
        <v>0</v>
      </c>
      <c r="Q32" s="1360"/>
      <c r="R32" s="1360"/>
      <c r="S32" s="1360"/>
      <c r="T32" s="1361">
        <v>0</v>
      </c>
      <c r="U32" s="1360"/>
      <c r="V32" s="1360"/>
      <c r="W32" s="1360"/>
      <c r="X32" s="1362"/>
    </row>
    <row r="33" spans="1:24" ht="30.75" thickBot="1">
      <c r="A33" s="1363">
        <v>2</v>
      </c>
      <c r="B33" s="1364" t="s">
        <v>355</v>
      </c>
      <c r="C33" s="1365">
        <v>4</v>
      </c>
      <c r="D33" s="1365" t="s">
        <v>103</v>
      </c>
      <c r="E33" s="1366">
        <v>22500</v>
      </c>
      <c r="F33" s="1366">
        <v>90000</v>
      </c>
      <c r="G33" s="1367"/>
      <c r="H33" s="1368">
        <v>4</v>
      </c>
      <c r="I33" s="1368">
        <v>4</v>
      </c>
      <c r="J33" s="1367"/>
      <c r="K33" s="1367"/>
      <c r="L33" s="1368">
        <v>0</v>
      </c>
      <c r="M33" s="1367"/>
      <c r="N33" s="1367"/>
      <c r="O33" s="1367"/>
      <c r="P33" s="1368">
        <v>0</v>
      </c>
      <c r="Q33" s="1367"/>
      <c r="R33" s="1367"/>
      <c r="S33" s="1367"/>
      <c r="T33" s="1368">
        <v>0</v>
      </c>
      <c r="U33" s="1367"/>
      <c r="V33" s="1367"/>
      <c r="W33" s="1367"/>
      <c r="X33" s="1362"/>
    </row>
    <row r="34" spans="1:24" ht="30.75" thickBot="1">
      <c r="A34" s="1363">
        <v>3</v>
      </c>
      <c r="B34" s="1364" t="s">
        <v>102</v>
      </c>
      <c r="C34" s="1365">
        <v>50</v>
      </c>
      <c r="D34" s="1365" t="s">
        <v>103</v>
      </c>
      <c r="E34" s="1368">
        <v>255</v>
      </c>
      <c r="F34" s="1366">
        <v>12750</v>
      </c>
      <c r="G34" s="1367"/>
      <c r="H34" s="1368">
        <v>50</v>
      </c>
      <c r="I34" s="1368">
        <v>50</v>
      </c>
      <c r="J34" s="1367"/>
      <c r="K34" s="1367"/>
      <c r="L34" s="1368">
        <v>0</v>
      </c>
      <c r="M34" s="1367"/>
      <c r="N34" s="1367"/>
      <c r="O34" s="1367"/>
      <c r="P34" s="1368">
        <v>0</v>
      </c>
      <c r="Q34" s="1367"/>
      <c r="R34" s="1367"/>
      <c r="S34" s="1367"/>
      <c r="T34" s="1368">
        <v>0</v>
      </c>
      <c r="U34" s="1367"/>
      <c r="V34" s="1367"/>
      <c r="W34" s="1367"/>
      <c r="X34" s="1362"/>
    </row>
    <row r="35" spans="1:24" thickBot="1">
      <c r="A35" s="1363">
        <v>4</v>
      </c>
      <c r="B35" s="1364" t="s">
        <v>104</v>
      </c>
      <c r="C35" s="1365">
        <v>10</v>
      </c>
      <c r="D35" s="1365" t="s">
        <v>103</v>
      </c>
      <c r="E35" s="1366">
        <v>19927.7</v>
      </c>
      <c r="F35" s="1366">
        <v>199277</v>
      </c>
      <c r="G35" s="1367"/>
      <c r="H35" s="1368">
        <v>10</v>
      </c>
      <c r="I35" s="1368">
        <v>10</v>
      </c>
      <c r="J35" s="1367"/>
      <c r="K35" s="1367"/>
      <c r="L35" s="1368">
        <v>0</v>
      </c>
      <c r="M35" s="1367"/>
      <c r="N35" s="1367"/>
      <c r="O35" s="1367"/>
      <c r="P35" s="1368">
        <v>0</v>
      </c>
      <c r="Q35" s="1367"/>
      <c r="R35" s="1367"/>
      <c r="S35" s="1367"/>
      <c r="T35" s="1368">
        <v>0</v>
      </c>
      <c r="U35" s="1367"/>
      <c r="V35" s="1367"/>
      <c r="W35" s="1367"/>
      <c r="X35" s="1362"/>
    </row>
    <row r="36" spans="1:24" ht="30.75" thickBot="1">
      <c r="A36" s="1363">
        <v>5</v>
      </c>
      <c r="B36" s="1364" t="s">
        <v>105</v>
      </c>
      <c r="C36" s="1365">
        <v>20</v>
      </c>
      <c r="D36" s="1365" t="s">
        <v>103</v>
      </c>
      <c r="E36" s="1368">
        <v>229.5</v>
      </c>
      <c r="F36" s="1366">
        <v>4590</v>
      </c>
      <c r="G36" s="1367"/>
      <c r="H36" s="1368">
        <v>20</v>
      </c>
      <c r="I36" s="1368">
        <v>20</v>
      </c>
      <c r="J36" s="1367"/>
      <c r="K36" s="1367"/>
      <c r="L36" s="1368">
        <v>0</v>
      </c>
      <c r="M36" s="1367"/>
      <c r="N36" s="1367"/>
      <c r="O36" s="1367"/>
      <c r="P36" s="1368">
        <v>0</v>
      </c>
      <c r="Q36" s="1367"/>
      <c r="R36" s="1367"/>
      <c r="S36" s="1367"/>
      <c r="T36" s="1368">
        <v>0</v>
      </c>
      <c r="U36" s="1367"/>
      <c r="V36" s="1367"/>
      <c r="W36" s="1367"/>
      <c r="X36" s="1362"/>
    </row>
    <row r="37" spans="1:24" ht="30.75" thickBot="1">
      <c r="A37" s="1363">
        <v>6</v>
      </c>
      <c r="B37" s="1364" t="s">
        <v>36</v>
      </c>
      <c r="C37" s="1365">
        <v>20</v>
      </c>
      <c r="D37" s="1365" t="s">
        <v>103</v>
      </c>
      <c r="E37" s="1366">
        <v>3900</v>
      </c>
      <c r="F37" s="1366">
        <v>78000</v>
      </c>
      <c r="G37" s="1367"/>
      <c r="H37" s="1368">
        <v>20</v>
      </c>
      <c r="I37" s="1368">
        <v>20</v>
      </c>
      <c r="J37" s="1367"/>
      <c r="K37" s="1367"/>
      <c r="L37" s="1368">
        <v>0</v>
      </c>
      <c r="M37" s="1367"/>
      <c r="N37" s="1367"/>
      <c r="O37" s="1367"/>
      <c r="P37" s="1368">
        <v>0</v>
      </c>
      <c r="Q37" s="1367"/>
      <c r="R37" s="1367"/>
      <c r="S37" s="1367"/>
      <c r="T37" s="1368">
        <v>0</v>
      </c>
      <c r="U37" s="1367"/>
      <c r="V37" s="1367"/>
      <c r="W37" s="1367"/>
      <c r="X37" s="1362"/>
    </row>
    <row r="38" spans="1:24" thickBot="1">
      <c r="A38" s="1363">
        <v>7</v>
      </c>
      <c r="B38" s="1364" t="s">
        <v>357</v>
      </c>
      <c r="C38" s="1365">
        <v>10</v>
      </c>
      <c r="D38" s="1365" t="s">
        <v>103</v>
      </c>
      <c r="E38" s="1366">
        <v>13200</v>
      </c>
      <c r="F38" s="1366">
        <v>132000</v>
      </c>
      <c r="G38" s="1367"/>
      <c r="H38" s="1368">
        <v>10</v>
      </c>
      <c r="I38" s="1368">
        <v>10</v>
      </c>
      <c r="J38" s="1367"/>
      <c r="K38" s="1367"/>
      <c r="L38" s="1368">
        <v>0</v>
      </c>
      <c r="M38" s="1367"/>
      <c r="N38" s="1367"/>
      <c r="O38" s="1367"/>
      <c r="P38" s="1368">
        <v>0</v>
      </c>
      <c r="Q38" s="1367"/>
      <c r="R38" s="1367"/>
      <c r="S38" s="1367"/>
      <c r="T38" s="1368">
        <v>0</v>
      </c>
      <c r="U38" s="1367"/>
      <c r="V38" s="1367"/>
      <c r="W38" s="1367"/>
      <c r="X38" s="1362"/>
    </row>
    <row r="39" spans="1:24" ht="30.75" thickBot="1">
      <c r="A39" s="1363">
        <v>8</v>
      </c>
      <c r="B39" s="1364" t="s">
        <v>4745</v>
      </c>
      <c r="C39" s="1365">
        <v>100</v>
      </c>
      <c r="D39" s="1365" t="s">
        <v>118</v>
      </c>
      <c r="E39" s="1368">
        <v>375</v>
      </c>
      <c r="F39" s="1366">
        <v>37500</v>
      </c>
      <c r="G39" s="1367"/>
      <c r="H39" s="1368">
        <v>100</v>
      </c>
      <c r="I39" s="1368">
        <v>100</v>
      </c>
      <c r="J39" s="1367"/>
      <c r="K39" s="1367"/>
      <c r="L39" s="1368">
        <v>0</v>
      </c>
      <c r="M39" s="1367"/>
      <c r="N39" s="1367"/>
      <c r="O39" s="1367"/>
      <c r="P39" s="1368">
        <v>0</v>
      </c>
      <c r="Q39" s="1367"/>
      <c r="R39" s="1367"/>
      <c r="S39" s="1367"/>
      <c r="T39" s="1368">
        <v>0</v>
      </c>
      <c r="U39" s="1367"/>
      <c r="V39" s="1367"/>
      <c r="W39" s="1367"/>
      <c r="X39" s="1362"/>
    </row>
    <row r="40" spans="1:24" ht="30.75" thickBot="1">
      <c r="A40" s="1363">
        <v>9</v>
      </c>
      <c r="B40" s="1364" t="s">
        <v>358</v>
      </c>
      <c r="C40" s="1365">
        <v>1</v>
      </c>
      <c r="D40" s="1365" t="s">
        <v>103</v>
      </c>
      <c r="E40" s="1366">
        <v>7500</v>
      </c>
      <c r="F40" s="1366">
        <v>7500</v>
      </c>
      <c r="G40" s="1367"/>
      <c r="H40" s="1368">
        <v>1</v>
      </c>
      <c r="I40" s="1368">
        <v>1</v>
      </c>
      <c r="J40" s="1367"/>
      <c r="K40" s="1367"/>
      <c r="L40" s="1368">
        <v>0</v>
      </c>
      <c r="M40" s="1367"/>
      <c r="N40" s="1367"/>
      <c r="O40" s="1367"/>
      <c r="P40" s="1368">
        <v>0</v>
      </c>
      <c r="Q40" s="1367"/>
      <c r="R40" s="1367"/>
      <c r="S40" s="1367"/>
      <c r="T40" s="1368">
        <v>0</v>
      </c>
      <c r="U40" s="1367"/>
      <c r="V40" s="1367"/>
      <c r="W40" s="1367"/>
      <c r="X40" s="1362"/>
    </row>
    <row r="41" spans="1:24" ht="30.75" thickBot="1">
      <c r="A41" s="1363">
        <v>10</v>
      </c>
      <c r="B41" s="1364" t="s">
        <v>119</v>
      </c>
      <c r="C41" s="1365">
        <v>20</v>
      </c>
      <c r="D41" s="1365" t="s">
        <v>103</v>
      </c>
      <c r="E41" s="1368">
        <v>300</v>
      </c>
      <c r="F41" s="1366">
        <v>6000</v>
      </c>
      <c r="G41" s="1367"/>
      <c r="H41" s="1368">
        <v>20</v>
      </c>
      <c r="I41" s="1368">
        <v>20</v>
      </c>
      <c r="J41" s="1367"/>
      <c r="K41" s="1367"/>
      <c r="L41" s="1368">
        <v>0</v>
      </c>
      <c r="M41" s="1367"/>
      <c r="N41" s="1367"/>
      <c r="O41" s="1367"/>
      <c r="P41" s="1368">
        <v>0</v>
      </c>
      <c r="Q41" s="1367"/>
      <c r="R41" s="1367"/>
      <c r="S41" s="1367"/>
      <c r="T41" s="1368">
        <v>0</v>
      </c>
      <c r="U41" s="1367"/>
      <c r="V41" s="1367"/>
      <c r="W41" s="1367"/>
      <c r="X41" s="1362"/>
    </row>
    <row r="42" spans="1:24" thickBot="1">
      <c r="A42" s="1363">
        <v>11</v>
      </c>
      <c r="B42" s="1364" t="s">
        <v>120</v>
      </c>
      <c r="C42" s="1365">
        <v>6</v>
      </c>
      <c r="D42" s="1365" t="s">
        <v>103</v>
      </c>
      <c r="E42" s="1366">
        <v>8700</v>
      </c>
      <c r="F42" s="1366">
        <v>52200</v>
      </c>
      <c r="G42" s="1367"/>
      <c r="H42" s="1368">
        <v>6</v>
      </c>
      <c r="I42" s="1368">
        <v>6</v>
      </c>
      <c r="J42" s="1367"/>
      <c r="K42" s="1367"/>
      <c r="L42" s="1368">
        <v>0</v>
      </c>
      <c r="M42" s="1367"/>
      <c r="N42" s="1367"/>
      <c r="O42" s="1367"/>
      <c r="P42" s="1368">
        <v>0</v>
      </c>
      <c r="Q42" s="1367"/>
      <c r="R42" s="1367"/>
      <c r="S42" s="1367"/>
      <c r="T42" s="1368">
        <v>0</v>
      </c>
      <c r="U42" s="1367"/>
      <c r="V42" s="1367"/>
      <c r="W42" s="1367"/>
      <c r="X42" s="1362"/>
    </row>
    <row r="43" spans="1:24" thickBot="1">
      <c r="A43" s="1363">
        <v>12</v>
      </c>
      <c r="B43" s="1364" t="s">
        <v>359</v>
      </c>
      <c r="C43" s="1365">
        <v>5</v>
      </c>
      <c r="D43" s="1365" t="s">
        <v>103</v>
      </c>
      <c r="E43" s="1366">
        <v>28500</v>
      </c>
      <c r="F43" s="1366">
        <v>142500</v>
      </c>
      <c r="G43" s="1367"/>
      <c r="H43" s="1368">
        <v>5</v>
      </c>
      <c r="I43" s="1368">
        <v>5</v>
      </c>
      <c r="J43" s="1367"/>
      <c r="K43" s="1367"/>
      <c r="L43" s="1368">
        <v>0</v>
      </c>
      <c r="M43" s="1367"/>
      <c r="N43" s="1367"/>
      <c r="O43" s="1367"/>
      <c r="P43" s="1368">
        <v>0</v>
      </c>
      <c r="Q43" s="1367"/>
      <c r="R43" s="1367"/>
      <c r="S43" s="1367"/>
      <c r="T43" s="1368">
        <v>0</v>
      </c>
      <c r="U43" s="1367"/>
      <c r="V43" s="1367"/>
      <c r="W43" s="1367"/>
      <c r="X43" s="1362"/>
    </row>
    <row r="44" spans="1:24" ht="30.75" thickBot="1">
      <c r="A44" s="1363">
        <v>13</v>
      </c>
      <c r="B44" s="1364" t="s">
        <v>135</v>
      </c>
      <c r="C44" s="1365">
        <v>20</v>
      </c>
      <c r="D44" s="1365" t="s">
        <v>103</v>
      </c>
      <c r="E44" s="1368">
        <v>375</v>
      </c>
      <c r="F44" s="1366">
        <v>7500</v>
      </c>
      <c r="G44" s="1367"/>
      <c r="H44" s="1368">
        <v>20</v>
      </c>
      <c r="I44" s="1368">
        <v>20</v>
      </c>
      <c r="J44" s="1367"/>
      <c r="K44" s="1367"/>
      <c r="L44" s="1368">
        <v>0</v>
      </c>
      <c r="M44" s="1367"/>
      <c r="N44" s="1367"/>
      <c r="O44" s="1367"/>
      <c r="P44" s="1368">
        <v>0</v>
      </c>
      <c r="Q44" s="1367"/>
      <c r="R44" s="1367"/>
      <c r="S44" s="1367"/>
      <c r="T44" s="1368">
        <v>0</v>
      </c>
      <c r="U44" s="1367"/>
      <c r="V44" s="1367"/>
      <c r="W44" s="1367"/>
      <c r="X44" s="1362"/>
    </row>
    <row r="45" spans="1:24" ht="30.75" thickBot="1">
      <c r="A45" s="1363">
        <v>14</v>
      </c>
      <c r="B45" s="1364" t="s">
        <v>141</v>
      </c>
      <c r="C45" s="1365">
        <v>70</v>
      </c>
      <c r="D45" s="1365" t="s">
        <v>103</v>
      </c>
      <c r="E45" s="1368">
        <v>135</v>
      </c>
      <c r="F45" s="1366">
        <v>9450</v>
      </c>
      <c r="G45" s="1367"/>
      <c r="H45" s="1368">
        <v>70</v>
      </c>
      <c r="I45" s="1368">
        <v>70</v>
      </c>
      <c r="J45" s="1367"/>
      <c r="K45" s="1367"/>
      <c r="L45" s="1368">
        <v>0</v>
      </c>
      <c r="M45" s="1367"/>
      <c r="N45" s="1367"/>
      <c r="O45" s="1367"/>
      <c r="P45" s="1368">
        <v>0</v>
      </c>
      <c r="Q45" s="1367"/>
      <c r="R45" s="1367"/>
      <c r="S45" s="1367"/>
      <c r="T45" s="1368">
        <v>0</v>
      </c>
      <c r="U45" s="1367"/>
      <c r="V45" s="1367"/>
      <c r="W45" s="1367"/>
      <c r="X45" s="1362"/>
    </row>
    <row r="46" spans="1:24" thickBot="1">
      <c r="A46" s="1363">
        <v>15</v>
      </c>
      <c r="B46" s="1364" t="s">
        <v>360</v>
      </c>
      <c r="C46" s="1365">
        <v>2</v>
      </c>
      <c r="D46" s="1365" t="s">
        <v>103</v>
      </c>
      <c r="E46" s="1366">
        <v>49500</v>
      </c>
      <c r="F46" s="1366">
        <v>99000</v>
      </c>
      <c r="G46" s="1367"/>
      <c r="H46" s="1368">
        <v>2</v>
      </c>
      <c r="I46" s="1368">
        <v>2</v>
      </c>
      <c r="J46" s="1367"/>
      <c r="K46" s="1367"/>
      <c r="L46" s="1368">
        <v>0</v>
      </c>
      <c r="M46" s="1367"/>
      <c r="N46" s="1367"/>
      <c r="O46" s="1367"/>
      <c r="P46" s="1368">
        <v>0</v>
      </c>
      <c r="Q46" s="1367"/>
      <c r="R46" s="1367"/>
      <c r="S46" s="1367"/>
      <c r="T46" s="1368">
        <v>0</v>
      </c>
      <c r="U46" s="1367"/>
      <c r="V46" s="1367"/>
      <c r="W46" s="1367"/>
      <c r="X46" s="1362"/>
    </row>
    <row r="47" spans="1:24" thickBot="1">
      <c r="A47" s="1363">
        <v>16</v>
      </c>
      <c r="B47" s="1364" t="s">
        <v>142</v>
      </c>
      <c r="C47" s="1365">
        <v>100</v>
      </c>
      <c r="D47" s="1365" t="s">
        <v>103</v>
      </c>
      <c r="E47" s="1366">
        <v>3750</v>
      </c>
      <c r="F47" s="1366">
        <v>375000</v>
      </c>
      <c r="G47" s="1367"/>
      <c r="H47" s="1368">
        <v>100</v>
      </c>
      <c r="I47" s="1368">
        <v>100</v>
      </c>
      <c r="J47" s="1367"/>
      <c r="K47" s="1367"/>
      <c r="L47" s="1368">
        <v>0</v>
      </c>
      <c r="M47" s="1367"/>
      <c r="N47" s="1367"/>
      <c r="O47" s="1367"/>
      <c r="P47" s="1368">
        <v>0</v>
      </c>
      <c r="Q47" s="1367"/>
      <c r="R47" s="1367"/>
      <c r="S47" s="1367"/>
      <c r="T47" s="1368">
        <v>0</v>
      </c>
      <c r="U47" s="1367"/>
      <c r="V47" s="1367"/>
      <c r="W47" s="1367"/>
      <c r="X47" s="1362"/>
    </row>
    <row r="48" spans="1:24" ht="30.75" thickBot="1">
      <c r="A48" s="1363">
        <v>17</v>
      </c>
      <c r="B48" s="1364" t="s">
        <v>143</v>
      </c>
      <c r="C48" s="1365">
        <v>20</v>
      </c>
      <c r="D48" s="1365" t="s">
        <v>118</v>
      </c>
      <c r="E48" s="1366">
        <v>6000</v>
      </c>
      <c r="F48" s="1366">
        <v>120000</v>
      </c>
      <c r="G48" s="1367"/>
      <c r="H48" s="1368">
        <v>20</v>
      </c>
      <c r="I48" s="1368">
        <v>20</v>
      </c>
      <c r="J48" s="1367"/>
      <c r="K48" s="1367"/>
      <c r="L48" s="1368">
        <v>0</v>
      </c>
      <c r="M48" s="1367"/>
      <c r="N48" s="1367"/>
      <c r="O48" s="1367"/>
      <c r="P48" s="1368">
        <v>0</v>
      </c>
      <c r="Q48" s="1367"/>
      <c r="R48" s="1367"/>
      <c r="S48" s="1367"/>
      <c r="T48" s="1368">
        <v>0</v>
      </c>
      <c r="U48" s="1367"/>
      <c r="V48" s="1367"/>
      <c r="W48" s="1367"/>
      <c r="X48" s="1362"/>
    </row>
    <row r="49" spans="1:24" thickBot="1">
      <c r="A49" s="1363">
        <v>18</v>
      </c>
      <c r="B49" s="1364" t="s">
        <v>4746</v>
      </c>
      <c r="C49" s="1365">
        <v>12</v>
      </c>
      <c r="D49" s="1365" t="s">
        <v>103</v>
      </c>
      <c r="E49" s="1366">
        <v>4020</v>
      </c>
      <c r="F49" s="1366">
        <v>48240</v>
      </c>
      <c r="G49" s="1367"/>
      <c r="H49" s="1368">
        <v>12</v>
      </c>
      <c r="I49" s="1368">
        <v>12</v>
      </c>
      <c r="J49" s="1367"/>
      <c r="K49" s="1367"/>
      <c r="L49" s="1368">
        <v>0</v>
      </c>
      <c r="M49" s="1367"/>
      <c r="N49" s="1367"/>
      <c r="O49" s="1367"/>
      <c r="P49" s="1368">
        <v>0</v>
      </c>
      <c r="Q49" s="1367"/>
      <c r="R49" s="1367"/>
      <c r="S49" s="1367"/>
      <c r="T49" s="1368">
        <v>0</v>
      </c>
      <c r="U49" s="1367"/>
      <c r="V49" s="1367"/>
      <c r="W49" s="1367"/>
      <c r="X49" s="1362"/>
    </row>
    <row r="50" spans="1:24" ht="30.75" thickBot="1">
      <c r="A50" s="1363">
        <v>19</v>
      </c>
      <c r="B50" s="1364" t="s">
        <v>144</v>
      </c>
      <c r="C50" s="1365">
        <v>50</v>
      </c>
      <c r="D50" s="1365" t="s">
        <v>103</v>
      </c>
      <c r="E50" s="1368">
        <v>195</v>
      </c>
      <c r="F50" s="1366">
        <v>9750</v>
      </c>
      <c r="G50" s="1367"/>
      <c r="H50" s="1368">
        <v>50</v>
      </c>
      <c r="I50" s="1368">
        <v>50</v>
      </c>
      <c r="J50" s="1367"/>
      <c r="K50" s="1367"/>
      <c r="L50" s="1368">
        <v>0</v>
      </c>
      <c r="M50" s="1367"/>
      <c r="N50" s="1367"/>
      <c r="O50" s="1367"/>
      <c r="P50" s="1368">
        <v>0</v>
      </c>
      <c r="Q50" s="1367"/>
      <c r="R50" s="1367"/>
      <c r="S50" s="1367"/>
      <c r="T50" s="1368">
        <v>0</v>
      </c>
      <c r="U50" s="1367"/>
      <c r="V50" s="1367"/>
      <c r="W50" s="1367"/>
      <c r="X50" s="1362"/>
    </row>
    <row r="51" spans="1:24" thickBot="1">
      <c r="A51" s="1363">
        <v>20</v>
      </c>
      <c r="B51" s="1364" t="s">
        <v>145</v>
      </c>
      <c r="C51" s="1365">
        <v>200</v>
      </c>
      <c r="D51" s="1365" t="s">
        <v>103</v>
      </c>
      <c r="E51" s="1366">
        <v>2250</v>
      </c>
      <c r="F51" s="1366">
        <v>450000</v>
      </c>
      <c r="G51" s="1367"/>
      <c r="H51" s="1368">
        <v>200</v>
      </c>
      <c r="I51" s="1368">
        <v>200</v>
      </c>
      <c r="J51" s="1367"/>
      <c r="K51" s="1367"/>
      <c r="L51" s="1368">
        <v>0</v>
      </c>
      <c r="M51" s="1367"/>
      <c r="N51" s="1367"/>
      <c r="O51" s="1367"/>
      <c r="P51" s="1368">
        <v>0</v>
      </c>
      <c r="Q51" s="1367"/>
      <c r="R51" s="1367"/>
      <c r="S51" s="1367"/>
      <c r="T51" s="1368">
        <v>0</v>
      </c>
      <c r="U51" s="1367"/>
      <c r="V51" s="1367"/>
      <c r="W51" s="1367"/>
      <c r="X51" s="1362"/>
    </row>
    <row r="52" spans="1:24" ht="30.75" thickBot="1">
      <c r="A52" s="1363">
        <v>21</v>
      </c>
      <c r="B52" s="1364" t="s">
        <v>363</v>
      </c>
      <c r="C52" s="1365">
        <v>40</v>
      </c>
      <c r="D52" s="1365" t="s">
        <v>103</v>
      </c>
      <c r="E52" s="1366">
        <v>4650</v>
      </c>
      <c r="F52" s="1366">
        <v>186000</v>
      </c>
      <c r="G52" s="1367"/>
      <c r="H52" s="1368">
        <v>40</v>
      </c>
      <c r="I52" s="1368">
        <v>40</v>
      </c>
      <c r="J52" s="1367"/>
      <c r="K52" s="1367"/>
      <c r="L52" s="1368">
        <v>0</v>
      </c>
      <c r="M52" s="1367"/>
      <c r="N52" s="1367"/>
      <c r="O52" s="1367"/>
      <c r="P52" s="1368">
        <v>0</v>
      </c>
      <c r="Q52" s="1367"/>
      <c r="R52" s="1367"/>
      <c r="S52" s="1367"/>
      <c r="T52" s="1368">
        <v>0</v>
      </c>
      <c r="U52" s="1367"/>
      <c r="V52" s="1367"/>
      <c r="W52" s="1367"/>
      <c r="X52" s="1362"/>
    </row>
    <row r="53" spans="1:24" ht="30.75" thickBot="1">
      <c r="A53" s="1363">
        <v>22</v>
      </c>
      <c r="B53" s="1364" t="s">
        <v>364</v>
      </c>
      <c r="C53" s="1365">
        <v>24</v>
      </c>
      <c r="D53" s="1365" t="s">
        <v>103</v>
      </c>
      <c r="E53" s="1366">
        <v>8850</v>
      </c>
      <c r="F53" s="1366">
        <v>212400</v>
      </c>
      <c r="G53" s="1367"/>
      <c r="H53" s="1368">
        <v>24</v>
      </c>
      <c r="I53" s="1368">
        <v>24</v>
      </c>
      <c r="J53" s="1367"/>
      <c r="K53" s="1367"/>
      <c r="L53" s="1368">
        <v>0</v>
      </c>
      <c r="M53" s="1367"/>
      <c r="N53" s="1367"/>
      <c r="O53" s="1367"/>
      <c r="P53" s="1368">
        <v>0</v>
      </c>
      <c r="Q53" s="1367"/>
      <c r="R53" s="1367"/>
      <c r="S53" s="1367"/>
      <c r="T53" s="1368">
        <v>0</v>
      </c>
      <c r="U53" s="1367"/>
      <c r="V53" s="1367"/>
      <c r="W53" s="1367"/>
      <c r="X53" s="1362"/>
    </row>
    <row r="54" spans="1:24" thickBot="1">
      <c r="A54" s="1363">
        <v>23</v>
      </c>
      <c r="B54" s="1364" t="s">
        <v>148</v>
      </c>
      <c r="C54" s="1365">
        <v>1</v>
      </c>
      <c r="D54" s="1365" t="s">
        <v>103</v>
      </c>
      <c r="E54" s="1366">
        <v>2100</v>
      </c>
      <c r="F54" s="1366">
        <v>2100</v>
      </c>
      <c r="G54" s="1367"/>
      <c r="H54" s="1368">
        <v>1</v>
      </c>
      <c r="I54" s="1368">
        <v>1</v>
      </c>
      <c r="J54" s="1367"/>
      <c r="K54" s="1367"/>
      <c r="L54" s="1368">
        <v>0</v>
      </c>
      <c r="M54" s="1367"/>
      <c r="N54" s="1367"/>
      <c r="O54" s="1367"/>
      <c r="P54" s="1368">
        <v>0</v>
      </c>
      <c r="Q54" s="1367"/>
      <c r="R54" s="1367"/>
      <c r="S54" s="1367"/>
      <c r="T54" s="1368">
        <v>0</v>
      </c>
      <c r="U54" s="1367"/>
      <c r="V54" s="1367"/>
      <c r="W54" s="1367"/>
      <c r="X54" s="1362"/>
    </row>
    <row r="55" spans="1:24" thickBot="1">
      <c r="A55" s="1363">
        <v>24</v>
      </c>
      <c r="B55" s="1364" t="s">
        <v>366</v>
      </c>
      <c r="C55" s="1365">
        <v>2</v>
      </c>
      <c r="D55" s="1365" t="s">
        <v>103</v>
      </c>
      <c r="E55" s="1366">
        <v>3000</v>
      </c>
      <c r="F55" s="1366">
        <v>6000</v>
      </c>
      <c r="G55" s="1367"/>
      <c r="H55" s="1368">
        <v>2</v>
      </c>
      <c r="I55" s="1368">
        <v>2</v>
      </c>
      <c r="J55" s="1367"/>
      <c r="K55" s="1367"/>
      <c r="L55" s="1368">
        <v>0</v>
      </c>
      <c r="M55" s="1367"/>
      <c r="N55" s="1367"/>
      <c r="O55" s="1367"/>
      <c r="P55" s="1368">
        <v>0</v>
      </c>
      <c r="Q55" s="1367"/>
      <c r="R55" s="1367"/>
      <c r="S55" s="1367"/>
      <c r="T55" s="1368">
        <v>0</v>
      </c>
      <c r="U55" s="1367"/>
      <c r="V55" s="1367"/>
      <c r="W55" s="1367"/>
      <c r="X55" s="1362"/>
    </row>
    <row r="56" spans="1:24" thickBot="1">
      <c r="A56" s="1363">
        <v>25</v>
      </c>
      <c r="B56" s="1364" t="s">
        <v>149</v>
      </c>
      <c r="C56" s="1365">
        <v>2</v>
      </c>
      <c r="D56" s="1365" t="s">
        <v>103</v>
      </c>
      <c r="E56" s="1366">
        <v>3600</v>
      </c>
      <c r="F56" s="1366">
        <v>7200</v>
      </c>
      <c r="G56" s="1367"/>
      <c r="H56" s="1368">
        <v>2</v>
      </c>
      <c r="I56" s="1368">
        <v>2</v>
      </c>
      <c r="J56" s="1367"/>
      <c r="K56" s="1367"/>
      <c r="L56" s="1368">
        <v>0</v>
      </c>
      <c r="M56" s="1367"/>
      <c r="N56" s="1367"/>
      <c r="O56" s="1367"/>
      <c r="P56" s="1368">
        <v>0</v>
      </c>
      <c r="Q56" s="1367"/>
      <c r="R56" s="1367"/>
      <c r="S56" s="1367"/>
      <c r="T56" s="1368">
        <v>0</v>
      </c>
      <c r="U56" s="1367"/>
      <c r="V56" s="1367"/>
      <c r="W56" s="1367"/>
      <c r="X56" s="1362"/>
    </row>
    <row r="57" spans="1:24" thickBot="1">
      <c r="A57" s="1363">
        <v>26</v>
      </c>
      <c r="B57" s="1364" t="s">
        <v>367</v>
      </c>
      <c r="C57" s="1365">
        <v>60</v>
      </c>
      <c r="D57" s="1365" t="s">
        <v>103</v>
      </c>
      <c r="E57" s="1368">
        <v>315</v>
      </c>
      <c r="F57" s="1366">
        <v>18900</v>
      </c>
      <c r="G57" s="1367"/>
      <c r="H57" s="1368">
        <v>60</v>
      </c>
      <c r="I57" s="1368">
        <v>60</v>
      </c>
      <c r="J57" s="1367"/>
      <c r="K57" s="1367"/>
      <c r="L57" s="1368">
        <v>0</v>
      </c>
      <c r="M57" s="1367"/>
      <c r="N57" s="1367"/>
      <c r="O57" s="1367"/>
      <c r="P57" s="1368">
        <v>0</v>
      </c>
      <c r="Q57" s="1367"/>
      <c r="R57" s="1367"/>
      <c r="S57" s="1367"/>
      <c r="T57" s="1368">
        <v>0</v>
      </c>
      <c r="U57" s="1367"/>
      <c r="V57" s="1367"/>
      <c r="W57" s="1367"/>
      <c r="X57" s="1362"/>
    </row>
    <row r="58" spans="1:24" thickBot="1">
      <c r="A58" s="1363">
        <v>27</v>
      </c>
      <c r="B58" s="1364" t="s">
        <v>154</v>
      </c>
      <c r="C58" s="1365">
        <v>100</v>
      </c>
      <c r="D58" s="1365" t="s">
        <v>155</v>
      </c>
      <c r="E58" s="1368">
        <v>165</v>
      </c>
      <c r="F58" s="1366">
        <v>16500</v>
      </c>
      <c r="G58" s="1367"/>
      <c r="H58" s="1368">
        <v>100</v>
      </c>
      <c r="I58" s="1368">
        <v>100</v>
      </c>
      <c r="J58" s="1367"/>
      <c r="K58" s="1367"/>
      <c r="L58" s="1368">
        <v>0</v>
      </c>
      <c r="M58" s="1367"/>
      <c r="N58" s="1367"/>
      <c r="O58" s="1367"/>
      <c r="P58" s="1368">
        <v>0</v>
      </c>
      <c r="Q58" s="1367"/>
      <c r="R58" s="1367"/>
      <c r="S58" s="1367"/>
      <c r="T58" s="1368">
        <v>0</v>
      </c>
      <c r="U58" s="1367"/>
      <c r="V58" s="1367"/>
      <c r="W58" s="1367"/>
      <c r="X58" s="1362"/>
    </row>
    <row r="59" spans="1:24" thickBot="1">
      <c r="A59" s="1363">
        <v>28</v>
      </c>
      <c r="B59" s="1364" t="s">
        <v>156</v>
      </c>
      <c r="C59" s="1365">
        <v>60</v>
      </c>
      <c r="D59" s="1365" t="s">
        <v>155</v>
      </c>
      <c r="E59" s="1368">
        <v>180</v>
      </c>
      <c r="F59" s="1366">
        <v>10800</v>
      </c>
      <c r="G59" s="1367"/>
      <c r="H59" s="1368">
        <v>60</v>
      </c>
      <c r="I59" s="1368">
        <v>60</v>
      </c>
      <c r="J59" s="1367"/>
      <c r="K59" s="1367"/>
      <c r="L59" s="1368">
        <v>0</v>
      </c>
      <c r="M59" s="1367"/>
      <c r="N59" s="1367"/>
      <c r="O59" s="1367"/>
      <c r="P59" s="1368">
        <v>0</v>
      </c>
      <c r="Q59" s="1367"/>
      <c r="R59" s="1367"/>
      <c r="S59" s="1367"/>
      <c r="T59" s="1368">
        <v>0</v>
      </c>
      <c r="U59" s="1367"/>
      <c r="V59" s="1367"/>
      <c r="W59" s="1367"/>
      <c r="X59" s="1362"/>
    </row>
    <row r="60" spans="1:24" ht="30.75" thickBot="1">
      <c r="A60" s="1363">
        <v>29</v>
      </c>
      <c r="B60" s="1364" t="s">
        <v>157</v>
      </c>
      <c r="C60" s="1365">
        <v>1</v>
      </c>
      <c r="D60" s="1365" t="s">
        <v>118</v>
      </c>
      <c r="E60" s="1366">
        <v>27000</v>
      </c>
      <c r="F60" s="1366">
        <v>27000</v>
      </c>
      <c r="G60" s="1367"/>
      <c r="H60" s="1368">
        <v>1</v>
      </c>
      <c r="I60" s="1368">
        <v>1</v>
      </c>
      <c r="J60" s="1367"/>
      <c r="K60" s="1367"/>
      <c r="L60" s="1368">
        <v>0</v>
      </c>
      <c r="M60" s="1367"/>
      <c r="N60" s="1367"/>
      <c r="O60" s="1367"/>
      <c r="P60" s="1368">
        <v>0</v>
      </c>
      <c r="Q60" s="1367"/>
      <c r="R60" s="1367"/>
      <c r="S60" s="1367"/>
      <c r="T60" s="1368">
        <v>0</v>
      </c>
      <c r="U60" s="1367"/>
      <c r="V60" s="1367"/>
      <c r="W60" s="1367"/>
      <c r="X60" s="1362"/>
    </row>
    <row r="61" spans="1:24" ht="30.75" thickBot="1">
      <c r="A61" s="1363">
        <v>30</v>
      </c>
      <c r="B61" s="1364" t="s">
        <v>4747</v>
      </c>
      <c r="C61" s="1365">
        <v>50</v>
      </c>
      <c r="D61" s="1365" t="s">
        <v>155</v>
      </c>
      <c r="E61" s="1368">
        <v>67.5</v>
      </c>
      <c r="F61" s="1366">
        <v>3375</v>
      </c>
      <c r="G61" s="1367"/>
      <c r="H61" s="1368">
        <v>50</v>
      </c>
      <c r="I61" s="1368">
        <v>50</v>
      </c>
      <c r="J61" s="1367"/>
      <c r="K61" s="1367"/>
      <c r="L61" s="1368">
        <v>0</v>
      </c>
      <c r="M61" s="1367"/>
      <c r="N61" s="1367"/>
      <c r="O61" s="1367"/>
      <c r="P61" s="1368">
        <v>0</v>
      </c>
      <c r="Q61" s="1367"/>
      <c r="R61" s="1367"/>
      <c r="S61" s="1367"/>
      <c r="T61" s="1368">
        <v>0</v>
      </c>
      <c r="U61" s="1367"/>
      <c r="V61" s="1367"/>
      <c r="W61" s="1367"/>
      <c r="X61" s="1362"/>
    </row>
    <row r="62" spans="1:24" ht="30.75" thickBot="1">
      <c r="A62" s="1363">
        <v>31</v>
      </c>
      <c r="B62" s="1364" t="s">
        <v>4748</v>
      </c>
      <c r="C62" s="1365">
        <v>50</v>
      </c>
      <c r="D62" s="1365" t="s">
        <v>155</v>
      </c>
      <c r="E62" s="1368">
        <v>100.5</v>
      </c>
      <c r="F62" s="1366">
        <v>5025</v>
      </c>
      <c r="G62" s="1367"/>
      <c r="H62" s="1368">
        <v>50</v>
      </c>
      <c r="I62" s="1368">
        <v>50</v>
      </c>
      <c r="J62" s="1367"/>
      <c r="K62" s="1367"/>
      <c r="L62" s="1368">
        <v>0</v>
      </c>
      <c r="M62" s="1367"/>
      <c r="N62" s="1367"/>
      <c r="O62" s="1367"/>
      <c r="P62" s="1368">
        <v>0</v>
      </c>
      <c r="Q62" s="1367"/>
      <c r="R62" s="1367"/>
      <c r="S62" s="1367"/>
      <c r="T62" s="1368">
        <v>0</v>
      </c>
      <c r="U62" s="1367"/>
      <c r="V62" s="1367"/>
      <c r="W62" s="1367"/>
      <c r="X62" s="1362"/>
    </row>
    <row r="63" spans="1:24" ht="30.75" thickBot="1">
      <c r="A63" s="1363">
        <v>32</v>
      </c>
      <c r="B63" s="1364" t="s">
        <v>4749</v>
      </c>
      <c r="C63" s="1365">
        <v>40</v>
      </c>
      <c r="D63" s="1365" t="s">
        <v>155</v>
      </c>
      <c r="E63" s="1368">
        <v>120</v>
      </c>
      <c r="F63" s="1366">
        <v>4800</v>
      </c>
      <c r="G63" s="1367"/>
      <c r="H63" s="1368">
        <v>40</v>
      </c>
      <c r="I63" s="1368">
        <v>40</v>
      </c>
      <c r="J63" s="1367"/>
      <c r="K63" s="1367"/>
      <c r="L63" s="1368">
        <v>0</v>
      </c>
      <c r="M63" s="1367"/>
      <c r="N63" s="1367"/>
      <c r="O63" s="1367"/>
      <c r="P63" s="1368">
        <v>0</v>
      </c>
      <c r="Q63" s="1367"/>
      <c r="R63" s="1367"/>
      <c r="S63" s="1367"/>
      <c r="T63" s="1368">
        <v>0</v>
      </c>
      <c r="U63" s="1367"/>
      <c r="V63" s="1367"/>
      <c r="W63" s="1367"/>
      <c r="X63" s="1362"/>
    </row>
    <row r="64" spans="1:24" ht="30.75" thickBot="1">
      <c r="A64" s="1363">
        <v>33</v>
      </c>
      <c r="B64" s="1364" t="s">
        <v>4750</v>
      </c>
      <c r="C64" s="1365">
        <v>40</v>
      </c>
      <c r="D64" s="1365" t="s">
        <v>155</v>
      </c>
      <c r="E64" s="1368">
        <v>150</v>
      </c>
      <c r="F64" s="1366">
        <v>6000</v>
      </c>
      <c r="G64" s="1367"/>
      <c r="H64" s="1368">
        <v>40</v>
      </c>
      <c r="I64" s="1368">
        <v>40</v>
      </c>
      <c r="J64" s="1367"/>
      <c r="K64" s="1367"/>
      <c r="L64" s="1368">
        <v>0</v>
      </c>
      <c r="M64" s="1367"/>
      <c r="N64" s="1367"/>
      <c r="O64" s="1367"/>
      <c r="P64" s="1368">
        <v>0</v>
      </c>
      <c r="Q64" s="1367"/>
      <c r="R64" s="1367"/>
      <c r="S64" s="1367"/>
      <c r="T64" s="1368">
        <v>0</v>
      </c>
      <c r="U64" s="1367"/>
      <c r="V64" s="1367"/>
      <c r="W64" s="1367"/>
      <c r="X64" s="1362"/>
    </row>
    <row r="65" spans="1:24" ht="30.75" thickBot="1">
      <c r="A65" s="1363">
        <v>34</v>
      </c>
      <c r="B65" s="1364" t="s">
        <v>4751</v>
      </c>
      <c r="C65" s="1365">
        <v>30</v>
      </c>
      <c r="D65" s="1365" t="s">
        <v>155</v>
      </c>
      <c r="E65" s="1368">
        <v>243</v>
      </c>
      <c r="F65" s="1366">
        <v>7290</v>
      </c>
      <c r="G65" s="1367"/>
      <c r="H65" s="1368">
        <v>30</v>
      </c>
      <c r="I65" s="1368">
        <v>30</v>
      </c>
      <c r="J65" s="1367"/>
      <c r="K65" s="1367"/>
      <c r="L65" s="1368">
        <v>0</v>
      </c>
      <c r="M65" s="1367"/>
      <c r="N65" s="1367"/>
      <c r="O65" s="1367"/>
      <c r="P65" s="1368">
        <v>0</v>
      </c>
      <c r="Q65" s="1367"/>
      <c r="R65" s="1367"/>
      <c r="S65" s="1367"/>
      <c r="T65" s="1368">
        <v>0</v>
      </c>
      <c r="U65" s="1367"/>
      <c r="V65" s="1367"/>
      <c r="W65" s="1367"/>
      <c r="X65" s="1362"/>
    </row>
    <row r="66" spans="1:24" ht="30.75" thickBot="1">
      <c r="A66" s="1363">
        <v>35</v>
      </c>
      <c r="B66" s="1364" t="s">
        <v>4752</v>
      </c>
      <c r="C66" s="1365">
        <v>30</v>
      </c>
      <c r="D66" s="1365" t="s">
        <v>155</v>
      </c>
      <c r="E66" s="1368">
        <v>240</v>
      </c>
      <c r="F66" s="1366">
        <v>7200</v>
      </c>
      <c r="G66" s="1367"/>
      <c r="H66" s="1368">
        <v>30</v>
      </c>
      <c r="I66" s="1368">
        <v>30</v>
      </c>
      <c r="J66" s="1367"/>
      <c r="K66" s="1367"/>
      <c r="L66" s="1368">
        <v>0</v>
      </c>
      <c r="M66" s="1367"/>
      <c r="N66" s="1367"/>
      <c r="O66" s="1367"/>
      <c r="P66" s="1368">
        <v>0</v>
      </c>
      <c r="Q66" s="1367"/>
      <c r="R66" s="1367"/>
      <c r="S66" s="1367"/>
      <c r="T66" s="1368">
        <v>0</v>
      </c>
      <c r="U66" s="1367"/>
      <c r="V66" s="1367"/>
      <c r="W66" s="1367"/>
      <c r="X66" s="1362"/>
    </row>
    <row r="67" spans="1:24" ht="30.75" thickBot="1">
      <c r="A67" s="1363">
        <v>36</v>
      </c>
      <c r="B67" s="1364" t="s">
        <v>4753</v>
      </c>
      <c r="C67" s="1365">
        <v>10</v>
      </c>
      <c r="D67" s="1365" t="s">
        <v>155</v>
      </c>
      <c r="E67" s="1368">
        <v>270</v>
      </c>
      <c r="F67" s="1366">
        <v>2700</v>
      </c>
      <c r="G67" s="1367"/>
      <c r="H67" s="1368">
        <v>10</v>
      </c>
      <c r="I67" s="1368">
        <v>10</v>
      </c>
      <c r="J67" s="1367"/>
      <c r="K67" s="1367"/>
      <c r="L67" s="1368">
        <v>0</v>
      </c>
      <c r="M67" s="1367"/>
      <c r="N67" s="1367"/>
      <c r="O67" s="1367"/>
      <c r="P67" s="1368">
        <v>0</v>
      </c>
      <c r="Q67" s="1367"/>
      <c r="R67" s="1367"/>
      <c r="S67" s="1367"/>
      <c r="T67" s="1368">
        <v>0</v>
      </c>
      <c r="U67" s="1367"/>
      <c r="V67" s="1367"/>
      <c r="W67" s="1367"/>
      <c r="X67" s="1362"/>
    </row>
    <row r="68" spans="1:24" ht="30.75" thickBot="1">
      <c r="A68" s="1363">
        <v>37</v>
      </c>
      <c r="B68" s="1364" t="s">
        <v>4754</v>
      </c>
      <c r="C68" s="1365">
        <v>10</v>
      </c>
      <c r="D68" s="1365" t="s">
        <v>155</v>
      </c>
      <c r="E68" s="1368">
        <v>345</v>
      </c>
      <c r="F68" s="1366">
        <v>3450</v>
      </c>
      <c r="G68" s="1367"/>
      <c r="H68" s="1368">
        <v>10</v>
      </c>
      <c r="I68" s="1368">
        <v>10</v>
      </c>
      <c r="J68" s="1367"/>
      <c r="K68" s="1367"/>
      <c r="L68" s="1368">
        <v>0</v>
      </c>
      <c r="M68" s="1367"/>
      <c r="N68" s="1367"/>
      <c r="O68" s="1367"/>
      <c r="P68" s="1368">
        <v>0</v>
      </c>
      <c r="Q68" s="1367"/>
      <c r="R68" s="1367"/>
      <c r="S68" s="1367"/>
      <c r="T68" s="1368">
        <v>0</v>
      </c>
      <c r="U68" s="1367"/>
      <c r="V68" s="1367"/>
      <c r="W68" s="1367"/>
      <c r="X68" s="1362"/>
    </row>
    <row r="69" spans="1:24" ht="30.75" thickBot="1">
      <c r="A69" s="1363">
        <v>38</v>
      </c>
      <c r="B69" s="1364" t="s">
        <v>4755</v>
      </c>
      <c r="C69" s="1365">
        <v>10</v>
      </c>
      <c r="D69" s="1365" t="s">
        <v>155</v>
      </c>
      <c r="E69" s="1368">
        <v>495</v>
      </c>
      <c r="F69" s="1366">
        <v>4950</v>
      </c>
      <c r="G69" s="1367"/>
      <c r="H69" s="1368">
        <v>10</v>
      </c>
      <c r="I69" s="1368">
        <v>10</v>
      </c>
      <c r="J69" s="1367"/>
      <c r="K69" s="1367"/>
      <c r="L69" s="1368">
        <v>0</v>
      </c>
      <c r="M69" s="1367"/>
      <c r="N69" s="1367"/>
      <c r="O69" s="1367"/>
      <c r="P69" s="1368">
        <v>0</v>
      </c>
      <c r="Q69" s="1367"/>
      <c r="R69" s="1367"/>
      <c r="S69" s="1367"/>
      <c r="T69" s="1368">
        <v>0</v>
      </c>
      <c r="U69" s="1367"/>
      <c r="V69" s="1367"/>
      <c r="W69" s="1367"/>
      <c r="X69" s="1362"/>
    </row>
    <row r="70" spans="1:24" thickBot="1">
      <c r="A70" s="1363">
        <v>39</v>
      </c>
      <c r="B70" s="1364" t="s">
        <v>298</v>
      </c>
      <c r="C70" s="1365">
        <v>50</v>
      </c>
      <c r="D70" s="1365" t="s">
        <v>103</v>
      </c>
      <c r="E70" s="1368">
        <v>12</v>
      </c>
      <c r="F70" s="1368">
        <v>600</v>
      </c>
      <c r="G70" s="1367"/>
      <c r="H70" s="1368">
        <v>50</v>
      </c>
      <c r="I70" s="1368">
        <v>50</v>
      </c>
      <c r="J70" s="1367"/>
      <c r="K70" s="1367"/>
      <c r="L70" s="1368">
        <v>0</v>
      </c>
      <c r="M70" s="1367"/>
      <c r="N70" s="1367"/>
      <c r="O70" s="1367"/>
      <c r="P70" s="1368">
        <v>0</v>
      </c>
      <c r="Q70" s="1367"/>
      <c r="R70" s="1367"/>
      <c r="S70" s="1367"/>
      <c r="T70" s="1368">
        <v>0</v>
      </c>
      <c r="U70" s="1367"/>
      <c r="V70" s="1367"/>
      <c r="W70" s="1367"/>
      <c r="X70" s="1362"/>
    </row>
    <row r="71" spans="1:24" thickBot="1">
      <c r="A71" s="1363">
        <v>40</v>
      </c>
      <c r="B71" s="1364" t="s">
        <v>297</v>
      </c>
      <c r="C71" s="1365">
        <v>50</v>
      </c>
      <c r="D71" s="1365" t="s">
        <v>103</v>
      </c>
      <c r="E71" s="1368">
        <v>15</v>
      </c>
      <c r="F71" s="1368">
        <v>750</v>
      </c>
      <c r="G71" s="1367"/>
      <c r="H71" s="1368">
        <v>50</v>
      </c>
      <c r="I71" s="1368">
        <v>50</v>
      </c>
      <c r="J71" s="1367"/>
      <c r="K71" s="1367"/>
      <c r="L71" s="1368">
        <v>0</v>
      </c>
      <c r="M71" s="1367"/>
      <c r="N71" s="1367"/>
      <c r="O71" s="1367"/>
      <c r="P71" s="1368">
        <v>0</v>
      </c>
      <c r="Q71" s="1367"/>
      <c r="R71" s="1367"/>
      <c r="S71" s="1367"/>
      <c r="T71" s="1368">
        <v>0</v>
      </c>
      <c r="U71" s="1367"/>
      <c r="V71" s="1367"/>
      <c r="W71" s="1367"/>
      <c r="X71" s="1362"/>
    </row>
    <row r="72" spans="1:24" thickBot="1">
      <c r="A72" s="1363">
        <v>41</v>
      </c>
      <c r="B72" s="1364" t="s">
        <v>188</v>
      </c>
      <c r="C72" s="1365">
        <v>12</v>
      </c>
      <c r="D72" s="1365" t="s">
        <v>189</v>
      </c>
      <c r="E72" s="1366">
        <v>15750</v>
      </c>
      <c r="F72" s="1366">
        <v>189000</v>
      </c>
      <c r="G72" s="1367"/>
      <c r="H72" s="1368">
        <v>12</v>
      </c>
      <c r="I72" s="1368">
        <v>12</v>
      </c>
      <c r="J72" s="1367"/>
      <c r="K72" s="1367"/>
      <c r="L72" s="1368">
        <v>0</v>
      </c>
      <c r="M72" s="1367"/>
      <c r="N72" s="1367"/>
      <c r="O72" s="1367"/>
      <c r="P72" s="1368">
        <v>0</v>
      </c>
      <c r="Q72" s="1367"/>
      <c r="R72" s="1367"/>
      <c r="S72" s="1367"/>
      <c r="T72" s="1368">
        <v>0</v>
      </c>
      <c r="U72" s="1367"/>
      <c r="V72" s="1367"/>
      <c r="W72" s="1367"/>
      <c r="X72" s="1362"/>
    </row>
    <row r="73" spans="1:24" ht="30.75" thickBot="1">
      <c r="A73" s="1363">
        <v>42</v>
      </c>
      <c r="B73" s="1364" t="s">
        <v>370</v>
      </c>
      <c r="C73" s="1365">
        <v>10</v>
      </c>
      <c r="D73" s="1365" t="s">
        <v>189</v>
      </c>
      <c r="E73" s="1366">
        <v>7500</v>
      </c>
      <c r="F73" s="1366">
        <v>75000</v>
      </c>
      <c r="G73" s="1367"/>
      <c r="H73" s="1368">
        <v>10</v>
      </c>
      <c r="I73" s="1368">
        <v>10</v>
      </c>
      <c r="J73" s="1367"/>
      <c r="K73" s="1367"/>
      <c r="L73" s="1368">
        <v>0</v>
      </c>
      <c r="M73" s="1367"/>
      <c r="N73" s="1367"/>
      <c r="O73" s="1367"/>
      <c r="P73" s="1368">
        <v>0</v>
      </c>
      <c r="Q73" s="1367"/>
      <c r="R73" s="1367"/>
      <c r="S73" s="1367"/>
      <c r="T73" s="1368">
        <v>0</v>
      </c>
      <c r="U73" s="1367"/>
      <c r="V73" s="1367"/>
      <c r="W73" s="1367"/>
      <c r="X73" s="1362"/>
    </row>
    <row r="74" spans="1:24" ht="30.75" thickBot="1">
      <c r="A74" s="1363">
        <v>43</v>
      </c>
      <c r="B74" s="1364" t="s">
        <v>190</v>
      </c>
      <c r="C74" s="1365">
        <v>300</v>
      </c>
      <c r="D74" s="1365" t="s">
        <v>103</v>
      </c>
      <c r="E74" s="1368">
        <v>195</v>
      </c>
      <c r="F74" s="1366">
        <v>58500</v>
      </c>
      <c r="G74" s="1367"/>
      <c r="H74" s="1368">
        <v>300</v>
      </c>
      <c r="I74" s="1368">
        <v>300</v>
      </c>
      <c r="J74" s="1367"/>
      <c r="K74" s="1367"/>
      <c r="L74" s="1368">
        <v>0</v>
      </c>
      <c r="M74" s="1367"/>
      <c r="N74" s="1367"/>
      <c r="O74" s="1367"/>
      <c r="P74" s="1368">
        <v>0</v>
      </c>
      <c r="Q74" s="1367"/>
      <c r="R74" s="1367"/>
      <c r="S74" s="1367"/>
      <c r="T74" s="1368">
        <v>0</v>
      </c>
      <c r="U74" s="1367"/>
      <c r="V74" s="1367"/>
      <c r="W74" s="1367"/>
      <c r="X74" s="1362"/>
    </row>
    <row r="75" spans="1:24" thickBot="1">
      <c r="A75" s="1363">
        <v>44</v>
      </c>
      <c r="B75" s="1364" t="s">
        <v>191</v>
      </c>
      <c r="C75" s="1365">
        <v>50</v>
      </c>
      <c r="D75" s="1365" t="s">
        <v>103</v>
      </c>
      <c r="E75" s="1368">
        <v>105</v>
      </c>
      <c r="F75" s="1366">
        <v>5250</v>
      </c>
      <c r="G75" s="1367"/>
      <c r="H75" s="1368">
        <v>50</v>
      </c>
      <c r="I75" s="1368">
        <v>50</v>
      </c>
      <c r="J75" s="1367"/>
      <c r="K75" s="1367"/>
      <c r="L75" s="1368">
        <v>0</v>
      </c>
      <c r="M75" s="1367"/>
      <c r="N75" s="1367"/>
      <c r="O75" s="1367"/>
      <c r="P75" s="1368">
        <v>0</v>
      </c>
      <c r="Q75" s="1367"/>
      <c r="R75" s="1367"/>
      <c r="S75" s="1367"/>
      <c r="T75" s="1368">
        <v>0</v>
      </c>
      <c r="U75" s="1367"/>
      <c r="V75" s="1367"/>
      <c r="W75" s="1367"/>
      <c r="X75" s="1362"/>
    </row>
    <row r="76" spans="1:24" thickBot="1">
      <c r="A76" s="1363">
        <v>45</v>
      </c>
      <c r="B76" s="1364" t="s">
        <v>372</v>
      </c>
      <c r="C76" s="1365">
        <v>2</v>
      </c>
      <c r="D76" s="1365" t="s">
        <v>103</v>
      </c>
      <c r="E76" s="1366">
        <v>3750</v>
      </c>
      <c r="F76" s="1366">
        <v>7500</v>
      </c>
      <c r="G76" s="1367"/>
      <c r="H76" s="1368">
        <v>2</v>
      </c>
      <c r="I76" s="1368">
        <v>2</v>
      </c>
      <c r="J76" s="1367"/>
      <c r="K76" s="1367"/>
      <c r="L76" s="1368">
        <v>0</v>
      </c>
      <c r="M76" s="1367"/>
      <c r="N76" s="1367"/>
      <c r="O76" s="1367"/>
      <c r="P76" s="1368">
        <v>0</v>
      </c>
      <c r="Q76" s="1367"/>
      <c r="R76" s="1367"/>
      <c r="S76" s="1367"/>
      <c r="T76" s="1368">
        <v>0</v>
      </c>
      <c r="U76" s="1367"/>
      <c r="V76" s="1367"/>
      <c r="W76" s="1367"/>
      <c r="X76" s="1362"/>
    </row>
    <row r="77" spans="1:24" ht="30.75" thickBot="1">
      <c r="A77" s="1363">
        <v>46</v>
      </c>
      <c r="B77" s="1364" t="s">
        <v>373</v>
      </c>
      <c r="C77" s="1365">
        <v>4</v>
      </c>
      <c r="D77" s="1365" t="s">
        <v>118</v>
      </c>
      <c r="E77" s="1366">
        <v>15390</v>
      </c>
      <c r="F77" s="1366">
        <v>61560</v>
      </c>
      <c r="G77" s="1367"/>
      <c r="H77" s="1368">
        <v>4</v>
      </c>
      <c r="I77" s="1368">
        <v>4</v>
      </c>
      <c r="J77" s="1367"/>
      <c r="K77" s="1367"/>
      <c r="L77" s="1368">
        <v>0</v>
      </c>
      <c r="M77" s="1367"/>
      <c r="N77" s="1367"/>
      <c r="O77" s="1367"/>
      <c r="P77" s="1368">
        <v>0</v>
      </c>
      <c r="Q77" s="1367"/>
      <c r="R77" s="1367"/>
      <c r="S77" s="1367"/>
      <c r="T77" s="1368">
        <v>0</v>
      </c>
      <c r="U77" s="1367"/>
      <c r="V77" s="1367"/>
      <c r="W77" s="1367"/>
      <c r="X77" s="1362"/>
    </row>
    <row r="78" spans="1:24" thickBot="1">
      <c r="A78" s="1363">
        <v>47</v>
      </c>
      <c r="B78" s="1364" t="s">
        <v>377</v>
      </c>
      <c r="C78" s="1365">
        <v>1</v>
      </c>
      <c r="D78" s="1365" t="s">
        <v>118</v>
      </c>
      <c r="E78" s="1366">
        <v>13650</v>
      </c>
      <c r="F78" s="1366">
        <v>13650</v>
      </c>
      <c r="G78" s="1367"/>
      <c r="H78" s="1368">
        <v>1</v>
      </c>
      <c r="I78" s="1368">
        <v>1</v>
      </c>
      <c r="J78" s="1367"/>
      <c r="K78" s="1367"/>
      <c r="L78" s="1368">
        <v>0</v>
      </c>
      <c r="M78" s="1367"/>
      <c r="N78" s="1367"/>
      <c r="O78" s="1367"/>
      <c r="P78" s="1368">
        <v>0</v>
      </c>
      <c r="Q78" s="1367"/>
      <c r="R78" s="1367"/>
      <c r="S78" s="1367"/>
      <c r="T78" s="1368">
        <v>0</v>
      </c>
      <c r="U78" s="1367"/>
      <c r="V78" s="1367"/>
      <c r="W78" s="1367"/>
      <c r="X78" s="1362"/>
    </row>
    <row r="79" spans="1:24" thickBot="1">
      <c r="A79" s="1363">
        <v>48</v>
      </c>
      <c r="B79" s="1364" t="s">
        <v>192</v>
      </c>
      <c r="C79" s="1365">
        <v>2</v>
      </c>
      <c r="D79" s="1365" t="s">
        <v>118</v>
      </c>
      <c r="E79" s="1366">
        <v>2970</v>
      </c>
      <c r="F79" s="1366">
        <v>5940</v>
      </c>
      <c r="G79" s="1367"/>
      <c r="H79" s="1368">
        <v>2</v>
      </c>
      <c r="I79" s="1368">
        <v>2</v>
      </c>
      <c r="J79" s="1367"/>
      <c r="K79" s="1367"/>
      <c r="L79" s="1368">
        <v>0</v>
      </c>
      <c r="M79" s="1367"/>
      <c r="N79" s="1367"/>
      <c r="O79" s="1367"/>
      <c r="P79" s="1368">
        <v>0</v>
      </c>
      <c r="Q79" s="1367"/>
      <c r="R79" s="1367"/>
      <c r="S79" s="1367"/>
      <c r="T79" s="1368">
        <v>0</v>
      </c>
      <c r="U79" s="1367"/>
      <c r="V79" s="1367"/>
      <c r="W79" s="1367"/>
      <c r="X79" s="1362"/>
    </row>
    <row r="80" spans="1:24" thickBot="1">
      <c r="A80" s="1363">
        <v>49</v>
      </c>
      <c r="B80" s="1364" t="s">
        <v>69</v>
      </c>
      <c r="C80" s="1365">
        <v>20</v>
      </c>
      <c r="D80" s="1365" t="s">
        <v>103</v>
      </c>
      <c r="E80" s="1368">
        <v>570</v>
      </c>
      <c r="F80" s="1366">
        <v>11400</v>
      </c>
      <c r="G80" s="1367"/>
      <c r="H80" s="1368">
        <v>20</v>
      </c>
      <c r="I80" s="1368">
        <v>20</v>
      </c>
      <c r="J80" s="1367"/>
      <c r="K80" s="1367"/>
      <c r="L80" s="1368">
        <v>0</v>
      </c>
      <c r="M80" s="1367"/>
      <c r="N80" s="1367"/>
      <c r="O80" s="1367"/>
      <c r="P80" s="1368">
        <v>0</v>
      </c>
      <c r="Q80" s="1367"/>
      <c r="R80" s="1367"/>
      <c r="S80" s="1367"/>
      <c r="T80" s="1368">
        <v>0</v>
      </c>
      <c r="U80" s="1367"/>
      <c r="V80" s="1367"/>
      <c r="W80" s="1367"/>
      <c r="X80" s="1362"/>
    </row>
    <row r="81" spans="1:24" thickBot="1">
      <c r="A81" s="1363">
        <v>50</v>
      </c>
      <c r="B81" s="1364" t="s">
        <v>220</v>
      </c>
      <c r="C81" s="1365">
        <v>15</v>
      </c>
      <c r="D81" s="1365" t="s">
        <v>103</v>
      </c>
      <c r="E81" s="1366">
        <v>1950</v>
      </c>
      <c r="F81" s="1366">
        <v>29250</v>
      </c>
      <c r="G81" s="1367"/>
      <c r="H81" s="1368">
        <v>15</v>
      </c>
      <c r="I81" s="1368">
        <v>15</v>
      </c>
      <c r="J81" s="1367"/>
      <c r="K81" s="1367"/>
      <c r="L81" s="1368">
        <v>0</v>
      </c>
      <c r="M81" s="1367"/>
      <c r="N81" s="1367"/>
      <c r="O81" s="1367"/>
      <c r="P81" s="1368">
        <v>0</v>
      </c>
      <c r="Q81" s="1367"/>
      <c r="R81" s="1367"/>
      <c r="S81" s="1367"/>
      <c r="T81" s="1368">
        <v>0</v>
      </c>
      <c r="U81" s="1367"/>
      <c r="V81" s="1367"/>
      <c r="W81" s="1367"/>
      <c r="X81" s="1362"/>
    </row>
    <row r="82" spans="1:24" thickBot="1">
      <c r="A82" s="1363">
        <v>51</v>
      </c>
      <c r="B82" s="1364" t="s">
        <v>221</v>
      </c>
      <c r="C82" s="1365">
        <v>24</v>
      </c>
      <c r="D82" s="1365" t="s">
        <v>103</v>
      </c>
      <c r="E82" s="1368">
        <v>135</v>
      </c>
      <c r="F82" s="1366">
        <v>3240</v>
      </c>
      <c r="G82" s="1367"/>
      <c r="H82" s="1368">
        <v>24</v>
      </c>
      <c r="I82" s="1368">
        <v>24</v>
      </c>
      <c r="J82" s="1367"/>
      <c r="K82" s="1367"/>
      <c r="L82" s="1368">
        <v>0</v>
      </c>
      <c r="M82" s="1367"/>
      <c r="N82" s="1367"/>
      <c r="O82" s="1367"/>
      <c r="P82" s="1368">
        <v>0</v>
      </c>
      <c r="Q82" s="1367"/>
      <c r="R82" s="1367"/>
      <c r="S82" s="1367"/>
      <c r="T82" s="1368">
        <v>0</v>
      </c>
      <c r="U82" s="1367"/>
      <c r="V82" s="1367"/>
      <c r="W82" s="1367"/>
      <c r="X82" s="1362"/>
    </row>
    <row r="83" spans="1:24" thickBot="1">
      <c r="A83" s="1363">
        <v>52</v>
      </c>
      <c r="B83" s="1364" t="s">
        <v>222</v>
      </c>
      <c r="C83" s="1365">
        <v>1</v>
      </c>
      <c r="D83" s="1365" t="s">
        <v>103</v>
      </c>
      <c r="E83" s="1366">
        <v>12900</v>
      </c>
      <c r="F83" s="1366">
        <v>12900</v>
      </c>
      <c r="G83" s="1367"/>
      <c r="H83" s="1368">
        <v>1</v>
      </c>
      <c r="I83" s="1368">
        <v>1</v>
      </c>
      <c r="J83" s="1367"/>
      <c r="K83" s="1367"/>
      <c r="L83" s="1368">
        <v>0</v>
      </c>
      <c r="M83" s="1367"/>
      <c r="N83" s="1367"/>
      <c r="O83" s="1367"/>
      <c r="P83" s="1368">
        <v>0</v>
      </c>
      <c r="Q83" s="1367"/>
      <c r="R83" s="1367"/>
      <c r="S83" s="1367"/>
      <c r="T83" s="1368">
        <v>0</v>
      </c>
      <c r="U83" s="1367"/>
      <c r="V83" s="1367"/>
      <c r="W83" s="1367"/>
      <c r="X83" s="1362"/>
    </row>
    <row r="84" spans="1:24" thickBot="1">
      <c r="A84" s="1363">
        <v>53</v>
      </c>
      <c r="B84" s="1364" t="s">
        <v>381</v>
      </c>
      <c r="C84" s="1365">
        <v>5</v>
      </c>
      <c r="D84" s="1365" t="s">
        <v>118</v>
      </c>
      <c r="E84" s="1368">
        <v>435</v>
      </c>
      <c r="F84" s="1366">
        <v>2175</v>
      </c>
      <c r="G84" s="1367"/>
      <c r="H84" s="1368">
        <v>5</v>
      </c>
      <c r="I84" s="1368">
        <v>5</v>
      </c>
      <c r="J84" s="1367"/>
      <c r="K84" s="1367"/>
      <c r="L84" s="1368">
        <v>0</v>
      </c>
      <c r="M84" s="1367"/>
      <c r="N84" s="1367"/>
      <c r="O84" s="1367"/>
      <c r="P84" s="1368">
        <v>0</v>
      </c>
      <c r="Q84" s="1367"/>
      <c r="R84" s="1367"/>
      <c r="S84" s="1367"/>
      <c r="T84" s="1368">
        <v>0</v>
      </c>
      <c r="U84" s="1367"/>
      <c r="V84" s="1367"/>
      <c r="W84" s="1367"/>
      <c r="X84" s="1362"/>
    </row>
    <row r="85" spans="1:24" thickBot="1">
      <c r="A85" s="1363">
        <v>54</v>
      </c>
      <c r="B85" s="1364" t="s">
        <v>223</v>
      </c>
      <c r="C85" s="1365">
        <v>1</v>
      </c>
      <c r="D85" s="1365" t="s">
        <v>103</v>
      </c>
      <c r="E85" s="1366">
        <v>3000</v>
      </c>
      <c r="F85" s="1366">
        <v>3000</v>
      </c>
      <c r="G85" s="1367"/>
      <c r="H85" s="1368">
        <v>1</v>
      </c>
      <c r="I85" s="1368">
        <v>1</v>
      </c>
      <c r="J85" s="1367"/>
      <c r="K85" s="1367"/>
      <c r="L85" s="1368">
        <v>0</v>
      </c>
      <c r="M85" s="1367"/>
      <c r="N85" s="1367"/>
      <c r="O85" s="1367"/>
      <c r="P85" s="1368">
        <v>0</v>
      </c>
      <c r="Q85" s="1367"/>
      <c r="R85" s="1367"/>
      <c r="S85" s="1367"/>
      <c r="T85" s="1368">
        <v>0</v>
      </c>
      <c r="U85" s="1367"/>
      <c r="V85" s="1367"/>
      <c r="W85" s="1367"/>
      <c r="X85" s="1362"/>
    </row>
    <row r="86" spans="1:24" thickBot="1">
      <c r="A86" s="1363">
        <v>55</v>
      </c>
      <c r="B86" s="1364" t="s">
        <v>384</v>
      </c>
      <c r="C86" s="1365">
        <v>12</v>
      </c>
      <c r="D86" s="1365" t="s">
        <v>103</v>
      </c>
      <c r="E86" s="1368">
        <v>750</v>
      </c>
      <c r="F86" s="1366">
        <v>9000</v>
      </c>
      <c r="G86" s="1367"/>
      <c r="H86" s="1368">
        <v>12</v>
      </c>
      <c r="I86" s="1368">
        <v>12</v>
      </c>
      <c r="J86" s="1367"/>
      <c r="K86" s="1367"/>
      <c r="L86" s="1368">
        <v>0</v>
      </c>
      <c r="M86" s="1367"/>
      <c r="N86" s="1367"/>
      <c r="O86" s="1367"/>
      <c r="P86" s="1368">
        <v>0</v>
      </c>
      <c r="Q86" s="1367"/>
      <c r="R86" s="1367"/>
      <c r="S86" s="1367"/>
      <c r="T86" s="1368">
        <v>0</v>
      </c>
      <c r="U86" s="1367"/>
      <c r="V86" s="1367"/>
      <c r="W86" s="1367"/>
      <c r="X86" s="1362"/>
    </row>
    <row r="87" spans="1:24" thickBot="1">
      <c r="A87" s="1363">
        <v>56</v>
      </c>
      <c r="B87" s="1364" t="s">
        <v>225</v>
      </c>
      <c r="C87" s="1365">
        <v>10</v>
      </c>
      <c r="D87" s="1365" t="s">
        <v>103</v>
      </c>
      <c r="E87" s="1366">
        <v>2250</v>
      </c>
      <c r="F87" s="1366">
        <v>22500</v>
      </c>
      <c r="G87" s="1367"/>
      <c r="H87" s="1368">
        <v>10</v>
      </c>
      <c r="I87" s="1368">
        <v>10</v>
      </c>
      <c r="J87" s="1367"/>
      <c r="K87" s="1367"/>
      <c r="L87" s="1368">
        <v>0</v>
      </c>
      <c r="M87" s="1367"/>
      <c r="N87" s="1367"/>
      <c r="O87" s="1367"/>
      <c r="P87" s="1368">
        <v>0</v>
      </c>
      <c r="Q87" s="1367"/>
      <c r="R87" s="1367"/>
      <c r="S87" s="1367"/>
      <c r="T87" s="1368">
        <v>0</v>
      </c>
      <c r="U87" s="1367"/>
      <c r="V87" s="1367"/>
      <c r="W87" s="1367"/>
      <c r="X87" s="1362"/>
    </row>
    <row r="88" spans="1:24" thickBot="1">
      <c r="A88" s="1363">
        <v>57</v>
      </c>
      <c r="B88" s="1364" t="s">
        <v>226</v>
      </c>
      <c r="C88" s="1365">
        <v>24</v>
      </c>
      <c r="D88" s="1365" t="s">
        <v>103</v>
      </c>
      <c r="E88" s="1368">
        <v>268.5</v>
      </c>
      <c r="F88" s="1366">
        <v>6444</v>
      </c>
      <c r="G88" s="1367"/>
      <c r="H88" s="1368">
        <v>24</v>
      </c>
      <c r="I88" s="1368">
        <v>24</v>
      </c>
      <c r="J88" s="1367"/>
      <c r="K88" s="1367"/>
      <c r="L88" s="1368">
        <v>0</v>
      </c>
      <c r="M88" s="1367"/>
      <c r="N88" s="1367"/>
      <c r="O88" s="1367"/>
      <c r="P88" s="1368">
        <v>0</v>
      </c>
      <c r="Q88" s="1367"/>
      <c r="R88" s="1367"/>
      <c r="S88" s="1367"/>
      <c r="T88" s="1368">
        <v>0</v>
      </c>
      <c r="U88" s="1367"/>
      <c r="V88" s="1367"/>
      <c r="W88" s="1367"/>
      <c r="X88" s="1362"/>
    </row>
    <row r="89" spans="1:24" ht="30.75" thickBot="1">
      <c r="A89" s="1363">
        <v>58</v>
      </c>
      <c r="B89" s="1364" t="s">
        <v>231</v>
      </c>
      <c r="C89" s="1365">
        <v>12</v>
      </c>
      <c r="D89" s="1365" t="s">
        <v>103</v>
      </c>
      <c r="E89" s="1366">
        <v>1500</v>
      </c>
      <c r="F89" s="1366">
        <v>18000</v>
      </c>
      <c r="G89" s="1367"/>
      <c r="H89" s="1368">
        <v>12</v>
      </c>
      <c r="I89" s="1368">
        <v>12</v>
      </c>
      <c r="J89" s="1367"/>
      <c r="K89" s="1367"/>
      <c r="L89" s="1368">
        <v>0</v>
      </c>
      <c r="M89" s="1367"/>
      <c r="N89" s="1367"/>
      <c r="O89" s="1367"/>
      <c r="P89" s="1368">
        <v>0</v>
      </c>
      <c r="Q89" s="1367"/>
      <c r="R89" s="1367"/>
      <c r="S89" s="1367"/>
      <c r="T89" s="1368">
        <v>0</v>
      </c>
      <c r="U89" s="1367"/>
      <c r="V89" s="1367"/>
      <c r="W89" s="1367"/>
      <c r="X89" s="1362"/>
    </row>
    <row r="90" spans="1:24" ht="30.75" thickBot="1">
      <c r="A90" s="1363">
        <v>59</v>
      </c>
      <c r="B90" s="1364" t="s">
        <v>232</v>
      </c>
      <c r="C90" s="1365">
        <v>12</v>
      </c>
      <c r="D90" s="1365" t="s">
        <v>103</v>
      </c>
      <c r="E90" s="1366">
        <v>1500</v>
      </c>
      <c r="F90" s="1366">
        <v>18000</v>
      </c>
      <c r="G90" s="1367"/>
      <c r="H90" s="1368">
        <v>12</v>
      </c>
      <c r="I90" s="1368">
        <v>12</v>
      </c>
      <c r="J90" s="1367"/>
      <c r="K90" s="1367"/>
      <c r="L90" s="1368">
        <v>0</v>
      </c>
      <c r="M90" s="1367"/>
      <c r="N90" s="1367"/>
      <c r="O90" s="1367"/>
      <c r="P90" s="1368">
        <v>0</v>
      </c>
      <c r="Q90" s="1367"/>
      <c r="R90" s="1367"/>
      <c r="S90" s="1367"/>
      <c r="T90" s="1368">
        <v>0</v>
      </c>
      <c r="U90" s="1367"/>
      <c r="V90" s="1367"/>
      <c r="W90" s="1367"/>
      <c r="X90" s="1362"/>
    </row>
    <row r="91" spans="1:24" thickBot="1">
      <c r="A91" s="1363">
        <v>60</v>
      </c>
      <c r="B91" s="1364" t="s">
        <v>392</v>
      </c>
      <c r="C91" s="1365">
        <v>30</v>
      </c>
      <c r="D91" s="1365" t="s">
        <v>103</v>
      </c>
      <c r="E91" s="1368">
        <v>195</v>
      </c>
      <c r="F91" s="1366">
        <v>5850</v>
      </c>
      <c r="G91" s="1367"/>
      <c r="H91" s="1368">
        <v>30</v>
      </c>
      <c r="I91" s="1368">
        <v>30</v>
      </c>
      <c r="J91" s="1367"/>
      <c r="K91" s="1367"/>
      <c r="L91" s="1368">
        <v>0</v>
      </c>
      <c r="M91" s="1367"/>
      <c r="N91" s="1367"/>
      <c r="O91" s="1367"/>
      <c r="P91" s="1368">
        <v>0</v>
      </c>
      <c r="Q91" s="1367"/>
      <c r="R91" s="1367"/>
      <c r="S91" s="1367"/>
      <c r="T91" s="1368">
        <v>0</v>
      </c>
      <c r="U91" s="1367"/>
      <c r="V91" s="1367"/>
      <c r="W91" s="1367"/>
      <c r="X91" s="1362"/>
    </row>
    <row r="92" spans="1:24" thickBot="1">
      <c r="A92" s="1363">
        <v>61</v>
      </c>
      <c r="B92" s="1364" t="s">
        <v>238</v>
      </c>
      <c r="C92" s="1365">
        <v>3</v>
      </c>
      <c r="D92" s="1365" t="s">
        <v>155</v>
      </c>
      <c r="E92" s="1366">
        <v>1740</v>
      </c>
      <c r="F92" s="1366">
        <v>5220</v>
      </c>
      <c r="G92" s="1367"/>
      <c r="H92" s="1368">
        <v>3</v>
      </c>
      <c r="I92" s="1368">
        <v>3</v>
      </c>
      <c r="J92" s="1367"/>
      <c r="K92" s="1367"/>
      <c r="L92" s="1368">
        <v>0</v>
      </c>
      <c r="M92" s="1367"/>
      <c r="N92" s="1367"/>
      <c r="O92" s="1367"/>
      <c r="P92" s="1368">
        <v>0</v>
      </c>
      <c r="Q92" s="1367"/>
      <c r="R92" s="1367"/>
      <c r="S92" s="1367"/>
      <c r="T92" s="1368">
        <v>0</v>
      </c>
      <c r="U92" s="1367"/>
      <c r="V92" s="1367"/>
      <c r="W92" s="1367"/>
      <c r="X92" s="1362"/>
    </row>
    <row r="93" spans="1:24" thickBot="1">
      <c r="A93" s="1363">
        <v>62</v>
      </c>
      <c r="B93" s="1364" t="s">
        <v>400</v>
      </c>
      <c r="C93" s="1365">
        <v>8</v>
      </c>
      <c r="D93" s="1365" t="s">
        <v>758</v>
      </c>
      <c r="E93" s="1366">
        <v>30000</v>
      </c>
      <c r="F93" s="1366">
        <v>240000</v>
      </c>
      <c r="G93" s="1367"/>
      <c r="H93" s="1368">
        <v>8</v>
      </c>
      <c r="I93" s="1368">
        <v>8</v>
      </c>
      <c r="J93" s="1367"/>
      <c r="K93" s="1367"/>
      <c r="L93" s="1368">
        <v>0</v>
      </c>
      <c r="M93" s="1367"/>
      <c r="N93" s="1367"/>
      <c r="O93" s="1367"/>
      <c r="P93" s="1368">
        <v>0</v>
      </c>
      <c r="Q93" s="1367"/>
      <c r="R93" s="1367"/>
      <c r="S93" s="1367"/>
      <c r="T93" s="1368">
        <v>0</v>
      </c>
      <c r="U93" s="1367"/>
      <c r="V93" s="1367"/>
      <c r="W93" s="1367"/>
      <c r="X93" s="1362"/>
    </row>
    <row r="94" spans="1:24" ht="30.75" thickBot="1">
      <c r="A94" s="1363">
        <v>63</v>
      </c>
      <c r="B94" s="1364" t="s">
        <v>240</v>
      </c>
      <c r="C94" s="1365">
        <v>2</v>
      </c>
      <c r="D94" s="1365" t="s">
        <v>103</v>
      </c>
      <c r="E94" s="1366">
        <v>1350</v>
      </c>
      <c r="F94" s="1366">
        <v>2700</v>
      </c>
      <c r="G94" s="1367"/>
      <c r="H94" s="1368">
        <v>2</v>
      </c>
      <c r="I94" s="1368">
        <v>2</v>
      </c>
      <c r="J94" s="1367"/>
      <c r="K94" s="1367"/>
      <c r="L94" s="1368">
        <v>0</v>
      </c>
      <c r="M94" s="1367"/>
      <c r="N94" s="1367"/>
      <c r="O94" s="1367"/>
      <c r="P94" s="1368">
        <v>0</v>
      </c>
      <c r="Q94" s="1367"/>
      <c r="R94" s="1367"/>
      <c r="S94" s="1367"/>
      <c r="T94" s="1368">
        <v>0</v>
      </c>
      <c r="U94" s="1367"/>
      <c r="V94" s="1367"/>
      <c r="W94" s="1367"/>
      <c r="X94" s="1362"/>
    </row>
    <row r="95" spans="1:24" ht="30.75" thickBot="1">
      <c r="A95" s="1363">
        <v>64</v>
      </c>
      <c r="B95" s="1364" t="s">
        <v>241</v>
      </c>
      <c r="C95" s="1365">
        <v>5</v>
      </c>
      <c r="D95" s="1365" t="s">
        <v>155</v>
      </c>
      <c r="E95" s="1368">
        <v>330</v>
      </c>
      <c r="F95" s="1366">
        <v>1650</v>
      </c>
      <c r="G95" s="1367"/>
      <c r="H95" s="1368">
        <v>5</v>
      </c>
      <c r="I95" s="1368">
        <v>5</v>
      </c>
      <c r="J95" s="1367"/>
      <c r="K95" s="1367"/>
      <c r="L95" s="1368">
        <v>0</v>
      </c>
      <c r="M95" s="1367"/>
      <c r="N95" s="1367"/>
      <c r="O95" s="1367"/>
      <c r="P95" s="1368">
        <v>0</v>
      </c>
      <c r="Q95" s="1367"/>
      <c r="R95" s="1367"/>
      <c r="S95" s="1367"/>
      <c r="T95" s="1368">
        <v>0</v>
      </c>
      <c r="U95" s="1367"/>
      <c r="V95" s="1367"/>
      <c r="W95" s="1367"/>
      <c r="X95" s="1362"/>
    </row>
    <row r="96" spans="1:24" thickBot="1">
      <c r="A96" s="1363">
        <v>65</v>
      </c>
      <c r="B96" s="1364" t="s">
        <v>403</v>
      </c>
      <c r="C96" s="1365">
        <v>10</v>
      </c>
      <c r="D96" s="1365" t="s">
        <v>118</v>
      </c>
      <c r="E96" s="1368">
        <v>225</v>
      </c>
      <c r="F96" s="1366">
        <v>2250</v>
      </c>
      <c r="G96" s="1367"/>
      <c r="H96" s="1368">
        <v>10</v>
      </c>
      <c r="I96" s="1368">
        <v>10</v>
      </c>
      <c r="J96" s="1367"/>
      <c r="K96" s="1367"/>
      <c r="L96" s="1368">
        <v>0</v>
      </c>
      <c r="M96" s="1367"/>
      <c r="N96" s="1367"/>
      <c r="O96" s="1367"/>
      <c r="P96" s="1368">
        <v>0</v>
      </c>
      <c r="Q96" s="1367"/>
      <c r="R96" s="1367"/>
      <c r="S96" s="1367"/>
      <c r="T96" s="1368">
        <v>0</v>
      </c>
      <c r="U96" s="1367"/>
      <c r="V96" s="1367"/>
      <c r="W96" s="1367"/>
      <c r="X96" s="1362"/>
    </row>
    <row r="97" spans="1:24" thickBot="1">
      <c r="A97" s="1363">
        <v>66</v>
      </c>
      <c r="B97" s="1364" t="s">
        <v>403</v>
      </c>
      <c r="C97" s="1365">
        <v>10</v>
      </c>
      <c r="D97" s="1365" t="s">
        <v>118</v>
      </c>
      <c r="E97" s="1368">
        <v>225</v>
      </c>
      <c r="F97" s="1366">
        <v>2250</v>
      </c>
      <c r="G97" s="1367"/>
      <c r="H97" s="1368">
        <v>10</v>
      </c>
      <c r="I97" s="1368">
        <v>10</v>
      </c>
      <c r="J97" s="1367"/>
      <c r="K97" s="1367"/>
      <c r="L97" s="1368">
        <v>0</v>
      </c>
      <c r="M97" s="1367"/>
      <c r="N97" s="1367"/>
      <c r="O97" s="1367"/>
      <c r="P97" s="1368">
        <v>0</v>
      </c>
      <c r="Q97" s="1367"/>
      <c r="R97" s="1367"/>
      <c r="S97" s="1367"/>
      <c r="T97" s="1368">
        <v>0</v>
      </c>
      <c r="U97" s="1367"/>
      <c r="V97" s="1367"/>
      <c r="W97" s="1367"/>
      <c r="X97" s="1362"/>
    </row>
    <row r="98" spans="1:24" ht="30.75" thickBot="1">
      <c r="A98" s="1363">
        <v>67</v>
      </c>
      <c r="B98" s="1364" t="s">
        <v>404</v>
      </c>
      <c r="C98" s="1365">
        <v>1</v>
      </c>
      <c r="D98" s="1365" t="s">
        <v>118</v>
      </c>
      <c r="E98" s="1366">
        <v>14850</v>
      </c>
      <c r="F98" s="1366">
        <v>14850</v>
      </c>
      <c r="G98" s="1367"/>
      <c r="H98" s="1368">
        <v>1</v>
      </c>
      <c r="I98" s="1368">
        <v>1</v>
      </c>
      <c r="J98" s="1367"/>
      <c r="K98" s="1367"/>
      <c r="L98" s="1368">
        <v>0</v>
      </c>
      <c r="M98" s="1367"/>
      <c r="N98" s="1367"/>
      <c r="O98" s="1367"/>
      <c r="P98" s="1368">
        <v>0</v>
      </c>
      <c r="Q98" s="1367"/>
      <c r="R98" s="1367"/>
      <c r="S98" s="1367"/>
      <c r="T98" s="1368">
        <v>0</v>
      </c>
      <c r="U98" s="1367"/>
      <c r="V98" s="1367"/>
      <c r="W98" s="1367"/>
      <c r="X98" s="1362"/>
    </row>
    <row r="99" spans="1:24" thickBot="1">
      <c r="A99" s="1363">
        <v>68</v>
      </c>
      <c r="B99" s="1364" t="s">
        <v>405</v>
      </c>
      <c r="C99" s="1365">
        <v>50</v>
      </c>
      <c r="D99" s="1365" t="s">
        <v>103</v>
      </c>
      <c r="E99" s="1368">
        <v>630</v>
      </c>
      <c r="F99" s="1366">
        <v>31500</v>
      </c>
      <c r="G99" s="1367"/>
      <c r="H99" s="1368">
        <v>50</v>
      </c>
      <c r="I99" s="1368">
        <v>50</v>
      </c>
      <c r="J99" s="1367"/>
      <c r="K99" s="1367"/>
      <c r="L99" s="1368">
        <v>0</v>
      </c>
      <c r="M99" s="1367"/>
      <c r="N99" s="1367"/>
      <c r="O99" s="1367"/>
      <c r="P99" s="1368">
        <v>0</v>
      </c>
      <c r="Q99" s="1367"/>
      <c r="R99" s="1367"/>
      <c r="S99" s="1367"/>
      <c r="T99" s="1368">
        <v>0</v>
      </c>
      <c r="U99" s="1367"/>
      <c r="V99" s="1367"/>
      <c r="W99" s="1367"/>
      <c r="X99" s="1362"/>
    </row>
    <row r="100" spans="1:24" ht="30.75" thickBot="1">
      <c r="A100" s="1363">
        <v>69</v>
      </c>
      <c r="B100" s="1364" t="s">
        <v>406</v>
      </c>
      <c r="C100" s="1365">
        <v>30</v>
      </c>
      <c r="D100" s="1365" t="s">
        <v>103</v>
      </c>
      <c r="E100" s="1366">
        <v>3000</v>
      </c>
      <c r="F100" s="1366">
        <v>90000</v>
      </c>
      <c r="G100" s="1367"/>
      <c r="H100" s="1368">
        <v>30</v>
      </c>
      <c r="I100" s="1368">
        <v>30</v>
      </c>
      <c r="J100" s="1367"/>
      <c r="K100" s="1367"/>
      <c r="L100" s="1368">
        <v>0</v>
      </c>
      <c r="M100" s="1367"/>
      <c r="N100" s="1367"/>
      <c r="O100" s="1367"/>
      <c r="P100" s="1368">
        <v>0</v>
      </c>
      <c r="Q100" s="1367"/>
      <c r="R100" s="1367"/>
      <c r="S100" s="1367"/>
      <c r="T100" s="1368">
        <v>0</v>
      </c>
      <c r="U100" s="1367"/>
      <c r="V100" s="1367"/>
      <c r="W100" s="1367"/>
      <c r="X100" s="1362"/>
    </row>
    <row r="101" spans="1:24" thickBot="1">
      <c r="A101" s="1363">
        <v>70</v>
      </c>
      <c r="B101" s="1364" t="s">
        <v>245</v>
      </c>
      <c r="C101" s="1365">
        <v>1000</v>
      </c>
      <c r="D101" s="1365" t="s">
        <v>103</v>
      </c>
      <c r="E101" s="1368">
        <v>18</v>
      </c>
      <c r="F101" s="1366">
        <v>18000</v>
      </c>
      <c r="G101" s="1367"/>
      <c r="H101" s="1368">
        <v>1000</v>
      </c>
      <c r="I101" s="1368">
        <v>1000</v>
      </c>
      <c r="J101" s="1367"/>
      <c r="K101" s="1367"/>
      <c r="L101" s="1368">
        <v>0</v>
      </c>
      <c r="M101" s="1367"/>
      <c r="N101" s="1367"/>
      <c r="O101" s="1367"/>
      <c r="P101" s="1368">
        <v>0</v>
      </c>
      <c r="Q101" s="1367"/>
      <c r="R101" s="1367"/>
      <c r="S101" s="1367"/>
      <c r="T101" s="1368">
        <v>0</v>
      </c>
      <c r="U101" s="1367"/>
      <c r="V101" s="1367"/>
      <c r="W101" s="1367"/>
      <c r="X101" s="1362"/>
    </row>
    <row r="102" spans="1:24" thickBot="1">
      <c r="A102" s="1363">
        <v>71</v>
      </c>
      <c r="B102" s="1364" t="s">
        <v>246</v>
      </c>
      <c r="C102" s="1365">
        <v>5</v>
      </c>
      <c r="D102" s="1365" t="s">
        <v>155</v>
      </c>
      <c r="E102" s="1368">
        <v>825</v>
      </c>
      <c r="F102" s="1366">
        <v>4125</v>
      </c>
      <c r="G102" s="1367"/>
      <c r="H102" s="1368">
        <v>5</v>
      </c>
      <c r="I102" s="1368">
        <v>5</v>
      </c>
      <c r="J102" s="1367"/>
      <c r="K102" s="1367"/>
      <c r="L102" s="1368">
        <v>0</v>
      </c>
      <c r="M102" s="1367"/>
      <c r="N102" s="1367"/>
      <c r="O102" s="1367"/>
      <c r="P102" s="1368">
        <v>0</v>
      </c>
      <c r="Q102" s="1367"/>
      <c r="R102" s="1367"/>
      <c r="S102" s="1367"/>
      <c r="T102" s="1368">
        <v>0</v>
      </c>
      <c r="U102" s="1367"/>
      <c r="V102" s="1367"/>
      <c r="W102" s="1367"/>
      <c r="X102" s="1362"/>
    </row>
    <row r="103" spans="1:24" ht="30.75" thickBot="1">
      <c r="A103" s="1363">
        <v>72</v>
      </c>
      <c r="B103" s="1364" t="s">
        <v>247</v>
      </c>
      <c r="C103" s="1365">
        <v>4</v>
      </c>
      <c r="D103" s="1365" t="s">
        <v>155</v>
      </c>
      <c r="E103" s="1368">
        <v>225</v>
      </c>
      <c r="F103" s="1368">
        <v>900</v>
      </c>
      <c r="G103" s="1367"/>
      <c r="H103" s="1368">
        <v>4</v>
      </c>
      <c r="I103" s="1368">
        <v>4</v>
      </c>
      <c r="J103" s="1367"/>
      <c r="K103" s="1367"/>
      <c r="L103" s="1368">
        <v>0</v>
      </c>
      <c r="M103" s="1367"/>
      <c r="N103" s="1367"/>
      <c r="O103" s="1367"/>
      <c r="P103" s="1368">
        <v>0</v>
      </c>
      <c r="Q103" s="1367"/>
      <c r="R103" s="1367"/>
      <c r="S103" s="1367"/>
      <c r="T103" s="1368">
        <v>0</v>
      </c>
      <c r="U103" s="1367"/>
      <c r="V103" s="1367"/>
      <c r="W103" s="1367"/>
      <c r="X103" s="1362"/>
    </row>
    <row r="104" spans="1:24" thickBot="1">
      <c r="A104" s="1363">
        <v>73</v>
      </c>
      <c r="B104" s="1364" t="s">
        <v>248</v>
      </c>
      <c r="C104" s="1365">
        <v>10</v>
      </c>
      <c r="D104" s="1365" t="s">
        <v>189</v>
      </c>
      <c r="E104" s="1368">
        <v>675</v>
      </c>
      <c r="F104" s="1366">
        <v>6750</v>
      </c>
      <c r="G104" s="1367"/>
      <c r="H104" s="1368">
        <v>10</v>
      </c>
      <c r="I104" s="1368">
        <v>10</v>
      </c>
      <c r="J104" s="1367"/>
      <c r="K104" s="1367"/>
      <c r="L104" s="1368">
        <v>0</v>
      </c>
      <c r="M104" s="1367"/>
      <c r="N104" s="1367"/>
      <c r="O104" s="1367"/>
      <c r="P104" s="1368">
        <v>0</v>
      </c>
      <c r="Q104" s="1367"/>
      <c r="R104" s="1367"/>
      <c r="S104" s="1367"/>
      <c r="T104" s="1368">
        <v>0</v>
      </c>
      <c r="U104" s="1367"/>
      <c r="V104" s="1367"/>
      <c r="W104" s="1367"/>
      <c r="X104" s="1362"/>
    </row>
    <row r="105" spans="1:24" ht="30.75" thickBot="1">
      <c r="A105" s="1363">
        <v>74</v>
      </c>
      <c r="B105" s="1364" t="s">
        <v>31</v>
      </c>
      <c r="C105" s="1365">
        <v>20</v>
      </c>
      <c r="D105" s="1365" t="s">
        <v>103</v>
      </c>
      <c r="E105" s="1368">
        <v>187.5</v>
      </c>
      <c r="F105" s="1366">
        <v>3750</v>
      </c>
      <c r="G105" s="1367"/>
      <c r="H105" s="1368">
        <v>20</v>
      </c>
      <c r="I105" s="1368">
        <v>20</v>
      </c>
      <c r="J105" s="1367"/>
      <c r="K105" s="1367"/>
      <c r="L105" s="1368">
        <v>0</v>
      </c>
      <c r="M105" s="1367"/>
      <c r="N105" s="1367"/>
      <c r="O105" s="1367"/>
      <c r="P105" s="1368">
        <v>0</v>
      </c>
      <c r="Q105" s="1367"/>
      <c r="R105" s="1367"/>
      <c r="S105" s="1367"/>
      <c r="T105" s="1368">
        <v>0</v>
      </c>
      <c r="U105" s="1367"/>
      <c r="V105" s="1367"/>
      <c r="W105" s="1367"/>
      <c r="X105" s="1362"/>
    </row>
    <row r="106" spans="1:24" thickBot="1">
      <c r="A106" s="1363">
        <v>75</v>
      </c>
      <c r="B106" s="1364" t="s">
        <v>407</v>
      </c>
      <c r="C106" s="1365">
        <v>4</v>
      </c>
      <c r="D106" s="1365" t="s">
        <v>103</v>
      </c>
      <c r="E106" s="1366">
        <v>1350</v>
      </c>
      <c r="F106" s="1366">
        <v>5400</v>
      </c>
      <c r="G106" s="1367"/>
      <c r="H106" s="1368">
        <v>4</v>
      </c>
      <c r="I106" s="1368">
        <v>4</v>
      </c>
      <c r="J106" s="1367"/>
      <c r="K106" s="1367"/>
      <c r="L106" s="1368">
        <v>0</v>
      </c>
      <c r="M106" s="1367"/>
      <c r="N106" s="1367"/>
      <c r="O106" s="1367"/>
      <c r="P106" s="1368">
        <v>0</v>
      </c>
      <c r="Q106" s="1367"/>
      <c r="R106" s="1367"/>
      <c r="S106" s="1367"/>
      <c r="T106" s="1368">
        <v>0</v>
      </c>
      <c r="U106" s="1367"/>
      <c r="V106" s="1367"/>
      <c r="W106" s="1367"/>
      <c r="X106" s="1362"/>
    </row>
    <row r="107" spans="1:24" ht="30.75" thickBot="1">
      <c r="A107" s="1363">
        <v>76</v>
      </c>
      <c r="B107" s="1364" t="s">
        <v>249</v>
      </c>
      <c r="C107" s="1365">
        <v>2</v>
      </c>
      <c r="D107" s="1365" t="s">
        <v>189</v>
      </c>
      <c r="E107" s="1368">
        <v>600</v>
      </c>
      <c r="F107" s="1366">
        <v>1200</v>
      </c>
      <c r="G107" s="1367"/>
      <c r="H107" s="1368">
        <v>2</v>
      </c>
      <c r="I107" s="1368">
        <v>2</v>
      </c>
      <c r="J107" s="1367"/>
      <c r="K107" s="1367"/>
      <c r="L107" s="1368">
        <v>0</v>
      </c>
      <c r="M107" s="1367"/>
      <c r="N107" s="1367"/>
      <c r="O107" s="1367"/>
      <c r="P107" s="1368">
        <v>0</v>
      </c>
      <c r="Q107" s="1367"/>
      <c r="R107" s="1367"/>
      <c r="S107" s="1367"/>
      <c r="T107" s="1368">
        <v>0</v>
      </c>
      <c r="U107" s="1367"/>
      <c r="V107" s="1367"/>
      <c r="W107" s="1367"/>
      <c r="X107" s="1362"/>
    </row>
    <row r="108" spans="1:24" thickBot="1">
      <c r="A108" s="1363">
        <v>77</v>
      </c>
      <c r="B108" s="1364" t="s">
        <v>250</v>
      </c>
      <c r="C108" s="1365">
        <v>100</v>
      </c>
      <c r="D108" s="1365" t="s">
        <v>189</v>
      </c>
      <c r="E108" s="1366">
        <v>1650</v>
      </c>
      <c r="F108" s="1366">
        <v>165000</v>
      </c>
      <c r="G108" s="1367"/>
      <c r="H108" s="1368">
        <v>100</v>
      </c>
      <c r="I108" s="1368">
        <v>100</v>
      </c>
      <c r="J108" s="1367"/>
      <c r="K108" s="1367"/>
      <c r="L108" s="1368">
        <v>0</v>
      </c>
      <c r="M108" s="1367"/>
      <c r="N108" s="1367"/>
      <c r="O108" s="1367"/>
      <c r="P108" s="1368">
        <v>0</v>
      </c>
      <c r="Q108" s="1367"/>
      <c r="R108" s="1367"/>
      <c r="S108" s="1367"/>
      <c r="T108" s="1368">
        <v>0</v>
      </c>
      <c r="U108" s="1367"/>
      <c r="V108" s="1367"/>
      <c r="W108" s="1367"/>
      <c r="X108" s="1362"/>
    </row>
    <row r="109" spans="1:24" ht="30.75" thickBot="1">
      <c r="A109" s="1363">
        <v>78</v>
      </c>
      <c r="B109" s="1364" t="s">
        <v>253</v>
      </c>
      <c r="C109" s="1365">
        <v>20</v>
      </c>
      <c r="D109" s="1365" t="s">
        <v>103</v>
      </c>
      <c r="E109" s="1368">
        <v>750</v>
      </c>
      <c r="F109" s="1366">
        <v>15000</v>
      </c>
      <c r="G109" s="1367"/>
      <c r="H109" s="1368">
        <v>20</v>
      </c>
      <c r="I109" s="1368">
        <v>20</v>
      </c>
      <c r="J109" s="1367"/>
      <c r="K109" s="1367"/>
      <c r="L109" s="1368">
        <v>0</v>
      </c>
      <c r="M109" s="1367"/>
      <c r="N109" s="1367"/>
      <c r="O109" s="1367"/>
      <c r="P109" s="1368">
        <v>0</v>
      </c>
      <c r="Q109" s="1367"/>
      <c r="R109" s="1367"/>
      <c r="S109" s="1367"/>
      <c r="T109" s="1368">
        <v>0</v>
      </c>
      <c r="U109" s="1367"/>
      <c r="V109" s="1367"/>
      <c r="W109" s="1367"/>
      <c r="X109" s="1362"/>
    </row>
    <row r="110" spans="1:24" ht="30.75" thickBot="1">
      <c r="A110" s="1363">
        <v>79</v>
      </c>
      <c r="B110" s="1364" t="s">
        <v>254</v>
      </c>
      <c r="C110" s="1365">
        <v>20</v>
      </c>
      <c r="D110" s="1365" t="s">
        <v>103</v>
      </c>
      <c r="E110" s="1368">
        <v>900</v>
      </c>
      <c r="F110" s="1366">
        <v>18000</v>
      </c>
      <c r="G110" s="1367"/>
      <c r="H110" s="1368">
        <v>20</v>
      </c>
      <c r="I110" s="1368">
        <v>20</v>
      </c>
      <c r="J110" s="1367"/>
      <c r="K110" s="1367"/>
      <c r="L110" s="1368">
        <v>0</v>
      </c>
      <c r="M110" s="1367"/>
      <c r="N110" s="1367"/>
      <c r="O110" s="1367"/>
      <c r="P110" s="1368">
        <v>0</v>
      </c>
      <c r="Q110" s="1367"/>
      <c r="R110" s="1367"/>
      <c r="S110" s="1367"/>
      <c r="T110" s="1368">
        <v>0</v>
      </c>
      <c r="U110" s="1367"/>
      <c r="V110" s="1367"/>
      <c r="W110" s="1367"/>
      <c r="X110" s="1362"/>
    </row>
    <row r="111" spans="1:24" thickBot="1">
      <c r="A111" s="1363">
        <v>80</v>
      </c>
      <c r="B111" s="1364" t="s">
        <v>409</v>
      </c>
      <c r="C111" s="1365">
        <v>200</v>
      </c>
      <c r="D111" s="1365" t="s">
        <v>103</v>
      </c>
      <c r="E111" s="1368">
        <v>75</v>
      </c>
      <c r="F111" s="1366">
        <v>15000</v>
      </c>
      <c r="G111" s="1367"/>
      <c r="H111" s="1368">
        <v>200</v>
      </c>
      <c r="I111" s="1368">
        <v>200</v>
      </c>
      <c r="J111" s="1367"/>
      <c r="K111" s="1367"/>
      <c r="L111" s="1368">
        <v>0</v>
      </c>
      <c r="M111" s="1367"/>
      <c r="N111" s="1367"/>
      <c r="O111" s="1367"/>
      <c r="P111" s="1368">
        <v>0</v>
      </c>
      <c r="Q111" s="1367"/>
      <c r="R111" s="1367"/>
      <c r="S111" s="1367"/>
      <c r="T111" s="1368">
        <v>0</v>
      </c>
      <c r="U111" s="1367"/>
      <c r="V111" s="1367"/>
      <c r="W111" s="1367"/>
      <c r="X111" s="1362"/>
    </row>
    <row r="112" spans="1:24" thickBot="1">
      <c r="A112" s="1363">
        <v>81</v>
      </c>
      <c r="B112" s="1364" t="s">
        <v>255</v>
      </c>
      <c r="C112" s="1365">
        <v>40</v>
      </c>
      <c r="D112" s="1365" t="s">
        <v>103</v>
      </c>
      <c r="E112" s="1368">
        <v>60</v>
      </c>
      <c r="F112" s="1366">
        <v>2400</v>
      </c>
      <c r="G112" s="1367"/>
      <c r="H112" s="1368">
        <v>40</v>
      </c>
      <c r="I112" s="1368">
        <v>40</v>
      </c>
      <c r="J112" s="1367"/>
      <c r="K112" s="1367"/>
      <c r="L112" s="1368">
        <v>0</v>
      </c>
      <c r="M112" s="1367"/>
      <c r="N112" s="1367"/>
      <c r="O112" s="1367"/>
      <c r="P112" s="1368">
        <v>0</v>
      </c>
      <c r="Q112" s="1367"/>
      <c r="R112" s="1367"/>
      <c r="S112" s="1367"/>
      <c r="T112" s="1368">
        <v>0</v>
      </c>
      <c r="U112" s="1367"/>
      <c r="V112" s="1367"/>
      <c r="W112" s="1367"/>
      <c r="X112" s="1362"/>
    </row>
    <row r="113" spans="1:24" ht="30.75" thickBot="1">
      <c r="A113" s="1363">
        <v>82</v>
      </c>
      <c r="B113" s="1364" t="s">
        <v>419</v>
      </c>
      <c r="C113" s="1365">
        <v>8</v>
      </c>
      <c r="D113" s="1365" t="s">
        <v>103</v>
      </c>
      <c r="E113" s="1366">
        <v>3585</v>
      </c>
      <c r="F113" s="1366">
        <v>28680</v>
      </c>
      <c r="G113" s="1367"/>
      <c r="H113" s="1368">
        <v>8</v>
      </c>
      <c r="I113" s="1368">
        <v>8</v>
      </c>
      <c r="J113" s="1367"/>
      <c r="K113" s="1367"/>
      <c r="L113" s="1368">
        <v>0</v>
      </c>
      <c r="M113" s="1367"/>
      <c r="N113" s="1367"/>
      <c r="O113" s="1367"/>
      <c r="P113" s="1368">
        <v>0</v>
      </c>
      <c r="Q113" s="1367"/>
      <c r="R113" s="1367"/>
      <c r="S113" s="1367"/>
      <c r="T113" s="1368">
        <v>0</v>
      </c>
      <c r="U113" s="1367"/>
      <c r="V113" s="1367"/>
      <c r="W113" s="1367"/>
      <c r="X113" s="1362"/>
    </row>
    <row r="114" spans="1:24" thickBot="1">
      <c r="A114" s="1363">
        <v>83</v>
      </c>
      <c r="B114" s="1364" t="s">
        <v>257</v>
      </c>
      <c r="C114" s="1365">
        <v>12</v>
      </c>
      <c r="D114" s="1365" t="s">
        <v>103</v>
      </c>
      <c r="E114" s="1366">
        <v>7650</v>
      </c>
      <c r="F114" s="1366">
        <v>91800</v>
      </c>
      <c r="G114" s="1367"/>
      <c r="H114" s="1368">
        <v>12</v>
      </c>
      <c r="I114" s="1368">
        <v>12</v>
      </c>
      <c r="J114" s="1367"/>
      <c r="K114" s="1367"/>
      <c r="L114" s="1368">
        <v>0</v>
      </c>
      <c r="M114" s="1367"/>
      <c r="N114" s="1367"/>
      <c r="O114" s="1367"/>
      <c r="P114" s="1368">
        <v>0</v>
      </c>
      <c r="Q114" s="1367"/>
      <c r="R114" s="1367"/>
      <c r="S114" s="1367"/>
      <c r="T114" s="1368">
        <v>0</v>
      </c>
      <c r="U114" s="1367"/>
      <c r="V114" s="1367"/>
      <c r="W114" s="1367"/>
      <c r="X114" s="1362"/>
    </row>
    <row r="115" spans="1:24" thickBot="1">
      <c r="A115" s="1363">
        <v>84</v>
      </c>
      <c r="B115" s="1364" t="s">
        <v>299</v>
      </c>
      <c r="C115" s="1365">
        <v>10</v>
      </c>
      <c r="D115" s="1365" t="s">
        <v>189</v>
      </c>
      <c r="E115" s="1368">
        <v>48</v>
      </c>
      <c r="F115" s="1368">
        <v>480</v>
      </c>
      <c r="G115" s="1367"/>
      <c r="H115" s="1368">
        <v>10</v>
      </c>
      <c r="I115" s="1368">
        <v>10</v>
      </c>
      <c r="J115" s="1367"/>
      <c r="K115" s="1367"/>
      <c r="L115" s="1368">
        <v>0</v>
      </c>
      <c r="M115" s="1367"/>
      <c r="N115" s="1367"/>
      <c r="O115" s="1367"/>
      <c r="P115" s="1368">
        <v>0</v>
      </c>
      <c r="Q115" s="1367"/>
      <c r="R115" s="1367"/>
      <c r="S115" s="1367"/>
      <c r="T115" s="1368">
        <v>0</v>
      </c>
      <c r="U115" s="1367"/>
      <c r="V115" s="1367"/>
      <c r="W115" s="1367"/>
      <c r="X115" s="1362"/>
    </row>
    <row r="116" spans="1:24" thickBot="1">
      <c r="A116" s="1363">
        <v>85</v>
      </c>
      <c r="B116" s="1364" t="s">
        <v>258</v>
      </c>
      <c r="C116" s="1365">
        <v>40</v>
      </c>
      <c r="D116" s="1365" t="s">
        <v>103</v>
      </c>
      <c r="E116" s="1366">
        <v>8850</v>
      </c>
      <c r="F116" s="1366">
        <v>354000</v>
      </c>
      <c r="G116" s="1367"/>
      <c r="H116" s="1368">
        <v>40</v>
      </c>
      <c r="I116" s="1368">
        <v>40</v>
      </c>
      <c r="J116" s="1367"/>
      <c r="K116" s="1367"/>
      <c r="L116" s="1368">
        <v>0</v>
      </c>
      <c r="M116" s="1367"/>
      <c r="N116" s="1367"/>
      <c r="O116" s="1367"/>
      <c r="P116" s="1368">
        <v>0</v>
      </c>
      <c r="Q116" s="1367"/>
      <c r="R116" s="1367"/>
      <c r="S116" s="1367"/>
      <c r="T116" s="1368">
        <v>0</v>
      </c>
      <c r="U116" s="1367"/>
      <c r="V116" s="1367"/>
      <c r="W116" s="1367"/>
      <c r="X116" s="1362"/>
    </row>
    <row r="117" spans="1:24" ht="30.75" thickBot="1">
      <c r="A117" s="1363">
        <v>86</v>
      </c>
      <c r="B117" s="1364" t="s">
        <v>261</v>
      </c>
      <c r="C117" s="1365">
        <v>2</v>
      </c>
      <c r="D117" s="1365" t="s">
        <v>118</v>
      </c>
      <c r="E117" s="1368">
        <v>750</v>
      </c>
      <c r="F117" s="1366">
        <v>1500</v>
      </c>
      <c r="G117" s="1367"/>
      <c r="H117" s="1368">
        <v>2</v>
      </c>
      <c r="I117" s="1368">
        <v>2</v>
      </c>
      <c r="J117" s="1367"/>
      <c r="K117" s="1367"/>
      <c r="L117" s="1368">
        <v>0</v>
      </c>
      <c r="M117" s="1367"/>
      <c r="N117" s="1367"/>
      <c r="O117" s="1367"/>
      <c r="P117" s="1368">
        <v>0</v>
      </c>
      <c r="Q117" s="1367"/>
      <c r="R117" s="1367"/>
      <c r="S117" s="1367"/>
      <c r="T117" s="1368">
        <v>0</v>
      </c>
      <c r="U117" s="1367"/>
      <c r="V117" s="1367"/>
      <c r="W117" s="1367"/>
      <c r="X117" s="1362"/>
    </row>
    <row r="118" spans="1:24" thickBot="1">
      <c r="A118" s="1363">
        <v>87</v>
      </c>
      <c r="B118" s="1364" t="s">
        <v>262</v>
      </c>
      <c r="C118" s="1365">
        <v>30</v>
      </c>
      <c r="D118" s="1365" t="s">
        <v>263</v>
      </c>
      <c r="E118" s="1368">
        <v>225</v>
      </c>
      <c r="F118" s="1366">
        <v>6750</v>
      </c>
      <c r="G118" s="1367"/>
      <c r="H118" s="1368">
        <v>30</v>
      </c>
      <c r="I118" s="1368">
        <v>30</v>
      </c>
      <c r="J118" s="1367"/>
      <c r="K118" s="1367"/>
      <c r="L118" s="1368">
        <v>0</v>
      </c>
      <c r="M118" s="1367"/>
      <c r="N118" s="1367"/>
      <c r="O118" s="1367"/>
      <c r="P118" s="1368">
        <v>0</v>
      </c>
      <c r="Q118" s="1367"/>
      <c r="R118" s="1367"/>
      <c r="S118" s="1367"/>
      <c r="T118" s="1368">
        <v>0</v>
      </c>
      <c r="U118" s="1367"/>
      <c r="V118" s="1367"/>
      <c r="W118" s="1367"/>
      <c r="X118" s="1362"/>
    </row>
    <row r="119" spans="1:24" thickBot="1">
      <c r="A119" s="1363">
        <v>88</v>
      </c>
      <c r="B119" s="1364" t="s">
        <v>265</v>
      </c>
      <c r="C119" s="1365">
        <v>4</v>
      </c>
      <c r="D119" s="1365" t="s">
        <v>103</v>
      </c>
      <c r="E119" s="1366">
        <v>7545</v>
      </c>
      <c r="F119" s="1366">
        <v>30180</v>
      </c>
      <c r="G119" s="1367"/>
      <c r="H119" s="1368">
        <v>4</v>
      </c>
      <c r="I119" s="1368">
        <v>4</v>
      </c>
      <c r="J119" s="1367"/>
      <c r="K119" s="1367"/>
      <c r="L119" s="1368">
        <v>0</v>
      </c>
      <c r="M119" s="1367"/>
      <c r="N119" s="1367"/>
      <c r="O119" s="1367"/>
      <c r="P119" s="1368">
        <v>0</v>
      </c>
      <c r="Q119" s="1367"/>
      <c r="R119" s="1367"/>
      <c r="S119" s="1367"/>
      <c r="T119" s="1368">
        <v>0</v>
      </c>
      <c r="U119" s="1367"/>
      <c r="V119" s="1367"/>
      <c r="W119" s="1367"/>
      <c r="X119" s="1362"/>
    </row>
    <row r="120" spans="1:24" ht="14.45" customHeight="1" thickBot="1">
      <c r="A120" s="1363">
        <v>89</v>
      </c>
      <c r="B120" s="1364" t="s">
        <v>266</v>
      </c>
      <c r="C120" s="1365">
        <v>50</v>
      </c>
      <c r="D120" s="1365" t="s">
        <v>155</v>
      </c>
      <c r="E120" s="1368">
        <v>67.5</v>
      </c>
      <c r="F120" s="1366">
        <v>3375</v>
      </c>
      <c r="G120" s="1367"/>
      <c r="H120" s="1368">
        <v>50</v>
      </c>
      <c r="I120" s="1368">
        <v>50</v>
      </c>
      <c r="J120" s="1367"/>
      <c r="K120" s="1367"/>
      <c r="L120" s="1368">
        <v>0</v>
      </c>
      <c r="M120" s="1367"/>
      <c r="N120" s="1367"/>
      <c r="O120" s="1367"/>
      <c r="P120" s="1368">
        <v>0</v>
      </c>
      <c r="Q120" s="1367"/>
      <c r="R120" s="1367"/>
      <c r="S120" s="1367"/>
      <c r="T120" s="1368">
        <v>0</v>
      </c>
      <c r="U120" s="1367"/>
      <c r="V120" s="1367"/>
      <c r="W120" s="1367"/>
      <c r="X120" s="1362"/>
    </row>
    <row r="121" spans="1:24" ht="14.45" customHeight="1" thickBot="1">
      <c r="A121" s="1363">
        <v>90</v>
      </c>
      <c r="B121" s="1364" t="s">
        <v>267</v>
      </c>
      <c r="C121" s="1365">
        <v>50</v>
      </c>
      <c r="D121" s="1365" t="s">
        <v>155</v>
      </c>
      <c r="E121" s="1368">
        <v>100.5</v>
      </c>
      <c r="F121" s="1366">
        <v>5025</v>
      </c>
      <c r="G121" s="1367"/>
      <c r="H121" s="1368">
        <v>50</v>
      </c>
      <c r="I121" s="1368">
        <v>50</v>
      </c>
      <c r="J121" s="1367"/>
      <c r="K121" s="1367"/>
      <c r="L121" s="1368">
        <v>0</v>
      </c>
      <c r="M121" s="1367"/>
      <c r="N121" s="1367"/>
      <c r="O121" s="1367"/>
      <c r="P121" s="1368">
        <v>0</v>
      </c>
      <c r="Q121" s="1367"/>
      <c r="R121" s="1367"/>
      <c r="S121" s="1367"/>
      <c r="T121" s="1368">
        <v>0</v>
      </c>
      <c r="U121" s="1367"/>
      <c r="V121" s="1367"/>
      <c r="W121" s="1367"/>
      <c r="X121" s="1362"/>
    </row>
    <row r="122" spans="1:24" ht="14.45" customHeight="1" thickBot="1">
      <c r="A122" s="1363">
        <v>91</v>
      </c>
      <c r="B122" s="1364" t="s">
        <v>268</v>
      </c>
      <c r="C122" s="1365">
        <v>40</v>
      </c>
      <c r="D122" s="1365" t="s">
        <v>155</v>
      </c>
      <c r="E122" s="1368">
        <v>120</v>
      </c>
      <c r="F122" s="1366">
        <v>4800</v>
      </c>
      <c r="G122" s="1367"/>
      <c r="H122" s="1368">
        <v>40</v>
      </c>
      <c r="I122" s="1368">
        <v>40</v>
      </c>
      <c r="J122" s="1367"/>
      <c r="K122" s="1367"/>
      <c r="L122" s="1368">
        <v>0</v>
      </c>
      <c r="M122" s="1367"/>
      <c r="N122" s="1367"/>
      <c r="O122" s="1367"/>
      <c r="P122" s="1368">
        <v>0</v>
      </c>
      <c r="Q122" s="1367"/>
      <c r="R122" s="1367"/>
      <c r="S122" s="1367"/>
      <c r="T122" s="1368">
        <v>0</v>
      </c>
      <c r="U122" s="1367"/>
      <c r="V122" s="1367"/>
      <c r="W122" s="1367"/>
      <c r="X122" s="1362"/>
    </row>
    <row r="123" spans="1:24" ht="14.45" customHeight="1" thickBot="1">
      <c r="A123" s="1363">
        <v>92</v>
      </c>
      <c r="B123" s="1364" t="s">
        <v>269</v>
      </c>
      <c r="C123" s="1365">
        <v>40</v>
      </c>
      <c r="D123" s="1365" t="s">
        <v>155</v>
      </c>
      <c r="E123" s="1368">
        <v>150</v>
      </c>
      <c r="F123" s="1366">
        <v>6000</v>
      </c>
      <c r="G123" s="1367"/>
      <c r="H123" s="1368">
        <v>40</v>
      </c>
      <c r="I123" s="1368">
        <v>40</v>
      </c>
      <c r="J123" s="1367"/>
      <c r="K123" s="1367"/>
      <c r="L123" s="1368">
        <v>0</v>
      </c>
      <c r="M123" s="1367"/>
      <c r="N123" s="1367"/>
      <c r="O123" s="1367"/>
      <c r="P123" s="1368">
        <v>0</v>
      </c>
      <c r="Q123" s="1367"/>
      <c r="R123" s="1367"/>
      <c r="S123" s="1367"/>
      <c r="T123" s="1368">
        <v>0</v>
      </c>
      <c r="U123" s="1367"/>
      <c r="V123" s="1367"/>
      <c r="W123" s="1367"/>
      <c r="X123" s="1362"/>
    </row>
    <row r="124" spans="1:24" ht="14.45" customHeight="1" thickBot="1">
      <c r="A124" s="1363">
        <v>93</v>
      </c>
      <c r="B124" s="1364" t="s">
        <v>270</v>
      </c>
      <c r="C124" s="1365">
        <v>30</v>
      </c>
      <c r="D124" s="1365" t="s">
        <v>155</v>
      </c>
      <c r="E124" s="1368">
        <v>243</v>
      </c>
      <c r="F124" s="1366">
        <v>7290</v>
      </c>
      <c r="G124" s="1367"/>
      <c r="H124" s="1368">
        <v>30</v>
      </c>
      <c r="I124" s="1368">
        <v>30</v>
      </c>
      <c r="J124" s="1367"/>
      <c r="K124" s="1367"/>
      <c r="L124" s="1368">
        <v>0</v>
      </c>
      <c r="M124" s="1367"/>
      <c r="N124" s="1367"/>
      <c r="O124" s="1367"/>
      <c r="P124" s="1368">
        <v>0</v>
      </c>
      <c r="Q124" s="1367"/>
      <c r="R124" s="1367"/>
      <c r="S124" s="1367"/>
      <c r="T124" s="1368">
        <v>0</v>
      </c>
      <c r="U124" s="1367"/>
      <c r="V124" s="1367"/>
      <c r="W124" s="1367"/>
      <c r="X124" s="1362"/>
    </row>
    <row r="125" spans="1:24" ht="14.45" customHeight="1" thickBot="1">
      <c r="A125" s="1363">
        <v>94</v>
      </c>
      <c r="B125" s="1364" t="s">
        <v>271</v>
      </c>
      <c r="C125" s="1365">
        <v>30</v>
      </c>
      <c r="D125" s="1365" t="s">
        <v>155</v>
      </c>
      <c r="E125" s="1368">
        <v>240</v>
      </c>
      <c r="F125" s="1366">
        <v>7200</v>
      </c>
      <c r="G125" s="1367"/>
      <c r="H125" s="1368">
        <v>30</v>
      </c>
      <c r="I125" s="1368">
        <v>30</v>
      </c>
      <c r="J125" s="1367"/>
      <c r="K125" s="1367"/>
      <c r="L125" s="1368">
        <v>0</v>
      </c>
      <c r="M125" s="1367"/>
      <c r="N125" s="1367"/>
      <c r="O125" s="1367"/>
      <c r="P125" s="1368">
        <v>0</v>
      </c>
      <c r="Q125" s="1367"/>
      <c r="R125" s="1367"/>
      <c r="S125" s="1367"/>
      <c r="T125" s="1368">
        <v>0</v>
      </c>
      <c r="U125" s="1367"/>
      <c r="V125" s="1367"/>
      <c r="W125" s="1367"/>
      <c r="X125" s="1362"/>
    </row>
    <row r="126" spans="1:24" ht="14.45" customHeight="1" thickBot="1">
      <c r="A126" s="1363">
        <v>95</v>
      </c>
      <c r="B126" s="1364" t="s">
        <v>272</v>
      </c>
      <c r="C126" s="1365">
        <v>10</v>
      </c>
      <c r="D126" s="1365" t="s">
        <v>155</v>
      </c>
      <c r="E126" s="1368">
        <v>270</v>
      </c>
      <c r="F126" s="1366">
        <v>2700</v>
      </c>
      <c r="G126" s="1367"/>
      <c r="H126" s="1368">
        <v>10</v>
      </c>
      <c r="I126" s="1368">
        <v>10</v>
      </c>
      <c r="J126" s="1367"/>
      <c r="K126" s="1367"/>
      <c r="L126" s="1368">
        <v>0</v>
      </c>
      <c r="M126" s="1367"/>
      <c r="N126" s="1367"/>
      <c r="O126" s="1367"/>
      <c r="P126" s="1368">
        <v>0</v>
      </c>
      <c r="Q126" s="1367"/>
      <c r="R126" s="1367"/>
      <c r="S126" s="1367"/>
      <c r="T126" s="1368">
        <v>0</v>
      </c>
      <c r="U126" s="1367"/>
      <c r="V126" s="1367"/>
      <c r="W126" s="1367"/>
      <c r="X126" s="1362"/>
    </row>
    <row r="127" spans="1:24" ht="14.45" customHeight="1" thickBot="1">
      <c r="A127" s="1363">
        <v>96</v>
      </c>
      <c r="B127" s="1364" t="s">
        <v>273</v>
      </c>
      <c r="C127" s="1365">
        <v>10</v>
      </c>
      <c r="D127" s="1365" t="s">
        <v>155</v>
      </c>
      <c r="E127" s="1368">
        <v>345</v>
      </c>
      <c r="F127" s="1366">
        <v>3450</v>
      </c>
      <c r="G127" s="1367"/>
      <c r="H127" s="1368">
        <v>10</v>
      </c>
      <c r="I127" s="1368">
        <v>10</v>
      </c>
      <c r="J127" s="1367"/>
      <c r="K127" s="1367"/>
      <c r="L127" s="1368">
        <v>0</v>
      </c>
      <c r="M127" s="1367"/>
      <c r="N127" s="1367"/>
      <c r="O127" s="1367"/>
      <c r="P127" s="1368">
        <v>0</v>
      </c>
      <c r="Q127" s="1367"/>
      <c r="R127" s="1367"/>
      <c r="S127" s="1367"/>
      <c r="T127" s="1368">
        <v>0</v>
      </c>
      <c r="U127" s="1367"/>
      <c r="V127" s="1367"/>
      <c r="W127" s="1367"/>
      <c r="X127" s="1362"/>
    </row>
    <row r="128" spans="1:24" ht="14.45" customHeight="1" thickBot="1">
      <c r="A128" s="1363">
        <v>97</v>
      </c>
      <c r="B128" s="1364" t="s">
        <v>274</v>
      </c>
      <c r="C128" s="1365">
        <v>10</v>
      </c>
      <c r="D128" s="1365" t="s">
        <v>155</v>
      </c>
      <c r="E128" s="1368">
        <v>495</v>
      </c>
      <c r="F128" s="1366">
        <v>4950</v>
      </c>
      <c r="G128" s="1367"/>
      <c r="H128" s="1368">
        <v>10</v>
      </c>
      <c r="I128" s="1368">
        <v>10</v>
      </c>
      <c r="J128" s="1367"/>
      <c r="K128" s="1367"/>
      <c r="L128" s="1368">
        <v>0</v>
      </c>
      <c r="M128" s="1367"/>
      <c r="N128" s="1367"/>
      <c r="O128" s="1367"/>
      <c r="P128" s="1368">
        <v>0</v>
      </c>
      <c r="Q128" s="1367"/>
      <c r="R128" s="1367"/>
      <c r="S128" s="1367"/>
      <c r="T128" s="1368">
        <v>0</v>
      </c>
      <c r="U128" s="1367"/>
      <c r="V128" s="1367"/>
      <c r="W128" s="1367"/>
      <c r="X128" s="1362"/>
    </row>
    <row r="129" spans="1:24" thickBot="1">
      <c r="A129" s="1363">
        <v>98</v>
      </c>
      <c r="B129" s="1364" t="s">
        <v>4756</v>
      </c>
      <c r="C129" s="1365">
        <v>40</v>
      </c>
      <c r="D129" s="1365" t="s">
        <v>103</v>
      </c>
      <c r="E129" s="1366">
        <v>15750</v>
      </c>
      <c r="F129" s="1366">
        <v>630000</v>
      </c>
      <c r="G129" s="1367"/>
      <c r="H129" s="1368">
        <v>40</v>
      </c>
      <c r="I129" s="1368">
        <v>40</v>
      </c>
      <c r="J129" s="1367"/>
      <c r="K129" s="1367"/>
      <c r="L129" s="1368">
        <v>0</v>
      </c>
      <c r="M129" s="1367"/>
      <c r="N129" s="1367"/>
      <c r="O129" s="1367"/>
      <c r="P129" s="1368">
        <v>0</v>
      </c>
      <c r="Q129" s="1367"/>
      <c r="R129" s="1367"/>
      <c r="S129" s="1367"/>
      <c r="T129" s="1368">
        <v>0</v>
      </c>
      <c r="U129" s="1367"/>
      <c r="V129" s="1367"/>
      <c r="W129" s="1367"/>
      <c r="X129" s="1362"/>
    </row>
    <row r="130" spans="1:24" thickBot="1">
      <c r="A130" s="1363">
        <v>99</v>
      </c>
      <c r="B130" s="1364" t="s">
        <v>276</v>
      </c>
      <c r="C130" s="1365">
        <v>10</v>
      </c>
      <c r="D130" s="1365" t="s">
        <v>103</v>
      </c>
      <c r="E130" s="1368">
        <v>375</v>
      </c>
      <c r="F130" s="1366">
        <v>3750</v>
      </c>
      <c r="G130" s="1367"/>
      <c r="H130" s="1368">
        <v>10</v>
      </c>
      <c r="I130" s="1368">
        <v>10</v>
      </c>
      <c r="J130" s="1367"/>
      <c r="K130" s="1367"/>
      <c r="L130" s="1368">
        <v>0</v>
      </c>
      <c r="M130" s="1367"/>
      <c r="N130" s="1367"/>
      <c r="O130" s="1367"/>
      <c r="P130" s="1368">
        <v>0</v>
      </c>
      <c r="Q130" s="1367"/>
      <c r="R130" s="1367"/>
      <c r="S130" s="1367"/>
      <c r="T130" s="1368">
        <v>0</v>
      </c>
      <c r="U130" s="1367"/>
      <c r="V130" s="1367"/>
      <c r="W130" s="1367"/>
      <c r="X130" s="1362"/>
    </row>
    <row r="131" spans="1:24" ht="15">
      <c r="A131" s="102"/>
      <c r="B131" s="128"/>
      <c r="C131" s="97"/>
      <c r="D131" s="97"/>
      <c r="E131" s="129"/>
      <c r="F131" s="130"/>
      <c r="G131" s="98"/>
      <c r="H131" s="107"/>
      <c r="I131" s="98"/>
      <c r="J131" s="98"/>
      <c r="K131" s="98"/>
      <c r="L131" s="107"/>
      <c r="M131" s="98"/>
      <c r="N131" s="98"/>
      <c r="O131" s="98"/>
      <c r="P131" s="107"/>
      <c r="Q131" s="98"/>
      <c r="R131" s="98"/>
      <c r="S131" s="98"/>
      <c r="T131" s="107"/>
      <c r="U131" s="98"/>
      <c r="V131" s="98"/>
      <c r="W131" s="98"/>
      <c r="X131" s="91"/>
    </row>
    <row r="132" spans="1:24" ht="15">
      <c r="A132" s="102"/>
      <c r="B132" s="132" t="s">
        <v>343</v>
      </c>
      <c r="C132" s="103"/>
      <c r="D132" s="103"/>
      <c r="E132" s="104"/>
      <c r="F132" s="131">
        <f>SUM(F32:F131)</f>
        <v>4818331</v>
      </c>
      <c r="G132" s="98"/>
      <c r="H132" s="98"/>
      <c r="I132" s="98"/>
      <c r="J132" s="98"/>
      <c r="K132" s="98"/>
      <c r="L132" s="98"/>
      <c r="M132" s="98"/>
      <c r="N132" s="98"/>
      <c r="O132" s="98"/>
      <c r="P132" s="98"/>
      <c r="Q132" s="98"/>
      <c r="R132" s="98"/>
      <c r="S132" s="98"/>
      <c r="T132" s="98"/>
      <c r="U132" s="98"/>
      <c r="V132" s="98"/>
      <c r="W132" s="98"/>
      <c r="X132" s="91"/>
    </row>
    <row r="133" spans="1:24" ht="15">
      <c r="A133" s="87"/>
      <c r="B133" s="110" t="s">
        <v>345</v>
      </c>
      <c r="C133" s="109"/>
      <c r="D133" s="109"/>
      <c r="E133" s="110"/>
      <c r="F133" s="133">
        <f>SUM(F132,F29)</f>
        <v>19686331</v>
      </c>
      <c r="G133" s="91"/>
      <c r="H133" s="91"/>
      <c r="I133" s="91"/>
      <c r="J133" s="91"/>
      <c r="K133" s="91"/>
      <c r="L133" s="91"/>
      <c r="M133" s="91"/>
      <c r="N133" s="91"/>
      <c r="O133" s="91"/>
      <c r="P133" s="91"/>
      <c r="Q133" s="91"/>
      <c r="R133" s="91"/>
      <c r="S133" s="91"/>
      <c r="T133" s="91"/>
      <c r="U133" s="91"/>
      <c r="V133" s="91"/>
      <c r="W133" s="91"/>
      <c r="X133" s="91"/>
    </row>
    <row r="134" spans="1:24" ht="15">
      <c r="A134" s="87"/>
      <c r="B134" s="91"/>
      <c r="C134" s="89"/>
      <c r="D134" s="89"/>
      <c r="E134" s="91"/>
      <c r="F134" s="91"/>
      <c r="G134" s="91"/>
      <c r="H134" s="91"/>
      <c r="I134" s="91"/>
      <c r="J134" s="91"/>
      <c r="K134" s="91"/>
      <c r="L134" s="91"/>
      <c r="M134" s="91"/>
      <c r="N134" s="91"/>
      <c r="O134" s="91"/>
      <c r="P134" s="91"/>
      <c r="Q134" s="91"/>
      <c r="R134" s="91"/>
      <c r="S134" s="91"/>
      <c r="T134" s="91"/>
      <c r="U134" s="91"/>
      <c r="V134" s="91"/>
      <c r="W134" s="91"/>
      <c r="X134" s="91"/>
    </row>
    <row r="135" spans="1:24" ht="15">
      <c r="A135" s="87"/>
      <c r="B135" s="91"/>
      <c r="C135" s="89"/>
      <c r="D135" s="89"/>
      <c r="E135" s="91"/>
      <c r="F135" s="91"/>
      <c r="G135" s="91"/>
      <c r="H135" s="91"/>
      <c r="I135" s="91"/>
      <c r="J135" s="91"/>
      <c r="K135" s="91"/>
      <c r="L135" s="91"/>
      <c r="M135" s="91"/>
      <c r="N135" s="91"/>
      <c r="O135" s="91"/>
      <c r="P135" s="91"/>
      <c r="Q135" s="91"/>
      <c r="R135" s="91"/>
      <c r="S135" s="91"/>
      <c r="T135" s="91"/>
      <c r="U135" s="91"/>
      <c r="V135" s="91"/>
      <c r="W135" s="91"/>
      <c r="X135" s="91"/>
    </row>
    <row r="136" spans="1:24" ht="15">
      <c r="A136" s="1456" t="s">
        <v>346</v>
      </c>
      <c r="B136" s="1451"/>
      <c r="C136" s="89"/>
      <c r="D136" s="89"/>
      <c r="E136" s="91"/>
      <c r="F136" s="1458" t="s">
        <v>347</v>
      </c>
      <c r="G136" s="1451"/>
      <c r="H136" s="91"/>
      <c r="I136" s="91"/>
      <c r="J136" s="91"/>
      <c r="K136" s="91"/>
      <c r="L136" s="91"/>
      <c r="M136" s="91"/>
      <c r="N136" s="91"/>
      <c r="O136" s="1458" t="s">
        <v>348</v>
      </c>
      <c r="P136" s="1451"/>
      <c r="Q136" s="91"/>
      <c r="R136" s="91"/>
      <c r="S136" s="91"/>
      <c r="T136" s="91"/>
      <c r="U136" s="91"/>
      <c r="V136" s="91"/>
      <c r="W136" s="91"/>
      <c r="X136" s="91"/>
    </row>
    <row r="137" spans="1:24" ht="15">
      <c r="A137" s="87"/>
      <c r="B137" s="91"/>
      <c r="C137" s="89"/>
      <c r="D137" s="89"/>
      <c r="E137" s="91"/>
      <c r="F137" s="91"/>
      <c r="G137" s="91"/>
      <c r="H137" s="91"/>
      <c r="I137" s="91"/>
      <c r="J137" s="91"/>
      <c r="K137" s="91"/>
      <c r="L137" s="91"/>
      <c r="M137" s="91"/>
      <c r="N137" s="91"/>
      <c r="O137" s="91"/>
      <c r="P137" s="91"/>
      <c r="Q137" s="91"/>
      <c r="R137" s="91"/>
      <c r="S137" s="91"/>
      <c r="T137" s="91"/>
      <c r="U137" s="91"/>
      <c r="V137" s="91"/>
      <c r="W137" s="91"/>
      <c r="X137" s="91"/>
    </row>
    <row r="138" spans="1:24" ht="15">
      <c r="A138" s="87"/>
      <c r="B138" s="91"/>
      <c r="C138" s="89"/>
      <c r="D138" s="89"/>
      <c r="E138" s="91"/>
      <c r="F138" s="91"/>
      <c r="G138" s="91"/>
      <c r="H138" s="91"/>
      <c r="I138" s="91"/>
      <c r="J138" s="91"/>
      <c r="K138" s="91"/>
      <c r="L138" s="91"/>
      <c r="M138" s="91"/>
      <c r="N138" s="91"/>
      <c r="O138" s="91"/>
      <c r="P138" s="91"/>
      <c r="Q138" s="91"/>
      <c r="R138" s="91"/>
      <c r="S138" s="91"/>
      <c r="T138" s="91"/>
      <c r="U138" s="91"/>
      <c r="V138" s="91"/>
      <c r="W138" s="91"/>
      <c r="X138" s="91"/>
    </row>
    <row r="139" spans="1:24">
      <c r="A139" s="1455" t="s">
        <v>349</v>
      </c>
      <c r="B139" s="1451"/>
      <c r="C139" s="89"/>
      <c r="D139" s="89"/>
      <c r="E139" s="91"/>
      <c r="F139" s="1461" t="s">
        <v>433</v>
      </c>
      <c r="G139" s="1451"/>
      <c r="H139" s="1451"/>
      <c r="I139" s="1451"/>
      <c r="J139" s="1451"/>
      <c r="K139" s="1451"/>
      <c r="L139" s="1451"/>
      <c r="M139" s="91"/>
      <c r="N139" s="91"/>
      <c r="O139" s="1461" t="s">
        <v>350</v>
      </c>
      <c r="P139" s="1451"/>
      <c r="Q139" s="1451"/>
      <c r="R139" s="1451"/>
      <c r="S139" s="1451"/>
      <c r="T139" s="1451"/>
      <c r="U139" s="1451"/>
      <c r="V139" s="1451"/>
      <c r="W139" s="91"/>
      <c r="X139" s="91"/>
    </row>
    <row r="140" spans="1:24" ht="15">
      <c r="A140" s="1456" t="s">
        <v>351</v>
      </c>
      <c r="B140" s="1451"/>
      <c r="C140" s="89"/>
      <c r="D140" s="89"/>
      <c r="E140" s="91"/>
      <c r="F140" s="1458" t="s">
        <v>434</v>
      </c>
      <c r="G140" s="1451"/>
      <c r="H140" s="1451"/>
      <c r="I140" s="1451"/>
      <c r="J140" s="1451"/>
      <c r="K140" s="1451"/>
      <c r="L140" s="91"/>
      <c r="M140" s="91"/>
      <c r="N140" s="91"/>
      <c r="O140" s="1458" t="s">
        <v>353</v>
      </c>
      <c r="P140" s="1451"/>
      <c r="Q140" s="1451"/>
      <c r="R140" s="1451"/>
      <c r="S140" s="1451"/>
      <c r="T140" s="1451"/>
      <c r="U140" s="91"/>
      <c r="V140" s="91"/>
      <c r="W140" s="91"/>
      <c r="X140" s="91"/>
    </row>
    <row r="141" spans="1:24" ht="12.75">
      <c r="A141" s="82"/>
      <c r="B141" s="8"/>
      <c r="C141" s="59"/>
      <c r="D141" s="59"/>
      <c r="E141" s="8"/>
      <c r="F141" s="8"/>
      <c r="G141" s="8"/>
      <c r="H141" s="8"/>
      <c r="I141" s="8"/>
      <c r="J141" s="8"/>
      <c r="K141" s="8"/>
      <c r="L141" s="8"/>
      <c r="M141" s="8"/>
      <c r="N141" s="8"/>
      <c r="O141" s="8"/>
      <c r="P141" s="8"/>
      <c r="Q141" s="8"/>
      <c r="R141" s="8"/>
      <c r="S141" s="8"/>
      <c r="T141" s="8"/>
      <c r="U141" s="8"/>
      <c r="V141" s="8"/>
      <c r="W141" s="8"/>
      <c r="X141" s="8"/>
    </row>
    <row r="142" spans="1:24" ht="12.75">
      <c r="A142" s="82"/>
      <c r="B142" s="8"/>
      <c r="C142" s="59"/>
      <c r="D142" s="59"/>
      <c r="E142" s="8"/>
      <c r="F142" s="8"/>
      <c r="G142" s="8"/>
      <c r="H142" s="8"/>
      <c r="I142" s="8"/>
      <c r="J142" s="8"/>
      <c r="K142" s="8"/>
      <c r="L142" s="8"/>
      <c r="M142" s="8"/>
      <c r="N142" s="8"/>
      <c r="O142" s="8"/>
      <c r="P142" s="8"/>
      <c r="Q142" s="8"/>
      <c r="R142" s="8"/>
      <c r="S142" s="8"/>
      <c r="T142" s="8"/>
      <c r="U142" s="8"/>
      <c r="V142" s="8"/>
      <c r="W142" s="8"/>
      <c r="X142" s="8"/>
    </row>
    <row r="143" spans="1:24" ht="12.75">
      <c r="A143" s="82"/>
      <c r="B143" s="8"/>
      <c r="C143" s="59"/>
      <c r="D143" s="59"/>
      <c r="E143" s="8"/>
      <c r="F143" s="8"/>
      <c r="G143" s="8"/>
      <c r="H143" s="8"/>
      <c r="I143" s="8"/>
      <c r="J143" s="8"/>
      <c r="K143" s="8"/>
      <c r="L143" s="8"/>
      <c r="M143" s="8"/>
      <c r="N143" s="8"/>
      <c r="O143" s="8"/>
      <c r="P143" s="8"/>
      <c r="Q143" s="8"/>
      <c r="R143" s="8"/>
      <c r="S143" s="8"/>
      <c r="T143" s="8"/>
      <c r="U143" s="8"/>
      <c r="V143" s="8"/>
      <c r="W143" s="8"/>
      <c r="X143" s="8"/>
    </row>
    <row r="144" spans="1:24" ht="12.75">
      <c r="A144" s="82"/>
      <c r="B144" s="8"/>
      <c r="C144" s="59"/>
      <c r="D144" s="59"/>
      <c r="E144" s="8"/>
      <c r="F144" s="8"/>
      <c r="G144" s="8"/>
      <c r="H144" s="8"/>
      <c r="I144" s="8"/>
      <c r="J144" s="8"/>
      <c r="K144" s="8"/>
      <c r="L144" s="8"/>
      <c r="M144" s="8"/>
      <c r="N144" s="8"/>
      <c r="O144" s="8"/>
      <c r="P144" s="8"/>
      <c r="Q144" s="8"/>
      <c r="R144" s="8"/>
      <c r="S144" s="8"/>
      <c r="T144" s="8"/>
      <c r="U144" s="8"/>
      <c r="V144" s="8"/>
      <c r="W144" s="8"/>
      <c r="X144" s="8"/>
    </row>
    <row r="145" spans="1:24" ht="12.75">
      <c r="A145" s="82"/>
      <c r="B145" s="8"/>
      <c r="C145" s="59"/>
      <c r="D145" s="59"/>
      <c r="E145" s="8"/>
      <c r="F145" s="8"/>
      <c r="G145" s="8"/>
      <c r="H145" s="8"/>
      <c r="I145" s="8"/>
      <c r="J145" s="8"/>
      <c r="K145" s="8"/>
      <c r="L145" s="8"/>
      <c r="M145" s="8"/>
      <c r="N145" s="8"/>
      <c r="O145" s="8"/>
      <c r="P145" s="8"/>
      <c r="Q145" s="8"/>
      <c r="R145" s="8"/>
      <c r="S145" s="8"/>
      <c r="T145" s="8"/>
      <c r="U145" s="8"/>
      <c r="V145" s="8"/>
      <c r="W145" s="8"/>
      <c r="X145" s="8"/>
    </row>
    <row r="146" spans="1:24" ht="12.75">
      <c r="A146" s="82"/>
      <c r="B146" s="8"/>
      <c r="C146" s="59"/>
      <c r="D146" s="59"/>
      <c r="E146" s="8"/>
      <c r="F146" s="8"/>
      <c r="G146" s="8"/>
      <c r="H146" s="8"/>
      <c r="I146" s="8"/>
      <c r="J146" s="8"/>
      <c r="K146" s="8"/>
      <c r="L146" s="8"/>
      <c r="M146" s="8"/>
      <c r="N146" s="8"/>
      <c r="O146" s="8"/>
      <c r="P146" s="8"/>
      <c r="Q146" s="8"/>
      <c r="R146" s="8"/>
      <c r="S146" s="8"/>
      <c r="T146" s="8"/>
      <c r="U146" s="8"/>
      <c r="V146" s="8"/>
      <c r="W146" s="8"/>
      <c r="X146" s="8"/>
    </row>
    <row r="147" spans="1:24" ht="12.75">
      <c r="A147" s="82"/>
      <c r="B147" s="8"/>
      <c r="C147" s="59"/>
      <c r="D147" s="59"/>
      <c r="E147" s="8"/>
      <c r="F147" s="8"/>
      <c r="G147" s="8"/>
      <c r="H147" s="8"/>
      <c r="I147" s="8"/>
      <c r="J147" s="8"/>
      <c r="K147" s="8"/>
      <c r="L147" s="8"/>
      <c r="M147" s="8"/>
      <c r="N147" s="8"/>
      <c r="O147" s="8"/>
      <c r="P147" s="8"/>
      <c r="Q147" s="8"/>
      <c r="R147" s="8"/>
      <c r="S147" s="8"/>
      <c r="T147" s="8"/>
      <c r="U147" s="8"/>
      <c r="V147" s="8"/>
      <c r="W147" s="8"/>
      <c r="X147" s="8"/>
    </row>
    <row r="148" spans="1:24" ht="12.75">
      <c r="A148" s="82"/>
      <c r="B148" s="8"/>
      <c r="C148" s="59"/>
      <c r="D148" s="59"/>
      <c r="E148" s="8"/>
      <c r="F148" s="8"/>
      <c r="G148" s="8"/>
      <c r="H148" s="8"/>
      <c r="I148" s="8"/>
      <c r="J148" s="8"/>
      <c r="K148" s="8"/>
      <c r="L148" s="8"/>
      <c r="M148" s="8"/>
      <c r="N148" s="8"/>
      <c r="O148" s="8"/>
      <c r="P148" s="8"/>
      <c r="Q148" s="8"/>
      <c r="R148" s="8"/>
      <c r="S148" s="8"/>
      <c r="T148" s="8"/>
      <c r="U148" s="8"/>
      <c r="V148" s="8"/>
      <c r="W148" s="8"/>
      <c r="X148" s="8"/>
    </row>
    <row r="149" spans="1:24" ht="12.75">
      <c r="A149" s="82"/>
      <c r="B149" s="8"/>
      <c r="C149" s="59"/>
      <c r="D149" s="59"/>
      <c r="E149" s="8"/>
      <c r="F149" s="8"/>
      <c r="G149" s="8"/>
      <c r="H149" s="8"/>
      <c r="I149" s="8"/>
      <c r="J149" s="8"/>
      <c r="K149" s="8"/>
      <c r="L149" s="8"/>
      <c r="M149" s="8"/>
      <c r="N149" s="8"/>
      <c r="O149" s="8"/>
      <c r="P149" s="8"/>
      <c r="Q149" s="8"/>
      <c r="R149" s="8"/>
      <c r="S149" s="8"/>
      <c r="T149" s="8"/>
      <c r="U149" s="8"/>
      <c r="V149" s="8"/>
      <c r="W149" s="8"/>
      <c r="X149" s="8"/>
    </row>
    <row r="150" spans="1:24" ht="12.75">
      <c r="A150" s="82"/>
      <c r="B150" s="8"/>
      <c r="C150" s="59"/>
      <c r="D150" s="59"/>
      <c r="E150" s="8"/>
      <c r="F150" s="8"/>
      <c r="G150" s="8"/>
      <c r="H150" s="8"/>
      <c r="I150" s="8"/>
      <c r="J150" s="8"/>
      <c r="K150" s="8"/>
      <c r="L150" s="8"/>
      <c r="M150" s="8"/>
      <c r="N150" s="8"/>
      <c r="O150" s="8"/>
      <c r="P150" s="8"/>
      <c r="Q150" s="8"/>
      <c r="R150" s="8"/>
      <c r="S150" s="8"/>
      <c r="T150" s="8"/>
      <c r="U150" s="8"/>
      <c r="V150" s="8"/>
      <c r="W150" s="8"/>
      <c r="X150" s="8"/>
    </row>
    <row r="151" spans="1:24" ht="12.75">
      <c r="A151" s="82"/>
      <c r="B151" s="8"/>
      <c r="C151" s="59"/>
      <c r="D151" s="59"/>
      <c r="E151" s="8"/>
      <c r="F151" s="8"/>
      <c r="G151" s="8"/>
      <c r="H151" s="8"/>
      <c r="I151" s="8"/>
      <c r="J151" s="8"/>
      <c r="K151" s="8"/>
      <c r="L151" s="8"/>
      <c r="M151" s="8"/>
      <c r="N151" s="8"/>
      <c r="O151" s="8"/>
      <c r="P151" s="8"/>
      <c r="Q151" s="8"/>
      <c r="R151" s="8"/>
      <c r="S151" s="8"/>
      <c r="T151" s="8"/>
      <c r="U151" s="8"/>
      <c r="V151" s="8"/>
      <c r="W151" s="8"/>
      <c r="X151" s="8"/>
    </row>
    <row r="152" spans="1:24" ht="12.75">
      <c r="A152" s="82"/>
      <c r="B152" s="8"/>
      <c r="C152" s="59"/>
      <c r="D152" s="59"/>
      <c r="E152" s="8"/>
      <c r="F152" s="8"/>
      <c r="G152" s="8"/>
      <c r="H152" s="8"/>
      <c r="I152" s="8"/>
      <c r="J152" s="8"/>
      <c r="K152" s="8"/>
      <c r="L152" s="8"/>
      <c r="M152" s="8"/>
      <c r="N152" s="8"/>
      <c r="O152" s="8"/>
      <c r="P152" s="8"/>
      <c r="Q152" s="8"/>
      <c r="R152" s="8"/>
      <c r="S152" s="8"/>
      <c r="T152" s="8"/>
      <c r="U152" s="8"/>
      <c r="V152" s="8"/>
      <c r="W152" s="8"/>
      <c r="X152" s="8"/>
    </row>
    <row r="153" spans="1:24" ht="12.75">
      <c r="A153" s="82"/>
      <c r="B153" s="8"/>
      <c r="C153" s="59"/>
      <c r="D153" s="59"/>
      <c r="E153" s="8"/>
      <c r="F153" s="8"/>
      <c r="G153" s="8"/>
      <c r="H153" s="8"/>
      <c r="I153" s="8"/>
      <c r="J153" s="8"/>
      <c r="K153" s="8"/>
      <c r="L153" s="8"/>
      <c r="M153" s="8"/>
      <c r="N153" s="8"/>
      <c r="O153" s="8"/>
      <c r="P153" s="8"/>
      <c r="Q153" s="8"/>
      <c r="R153" s="8"/>
      <c r="S153" s="8"/>
      <c r="T153" s="8"/>
      <c r="U153" s="8"/>
      <c r="V153" s="8"/>
      <c r="W153" s="8"/>
      <c r="X153" s="8"/>
    </row>
    <row r="154" spans="1:24" ht="12.75">
      <c r="A154" s="82"/>
      <c r="B154" s="8"/>
      <c r="C154" s="59"/>
      <c r="D154" s="59"/>
      <c r="E154" s="8"/>
      <c r="F154" s="8"/>
      <c r="G154" s="8"/>
      <c r="H154" s="8"/>
      <c r="I154" s="8"/>
      <c r="J154" s="8"/>
      <c r="K154" s="8"/>
      <c r="L154" s="8"/>
      <c r="M154" s="8"/>
      <c r="N154" s="8"/>
      <c r="O154" s="8"/>
      <c r="P154" s="8"/>
      <c r="Q154" s="8"/>
      <c r="R154" s="8"/>
      <c r="S154" s="8"/>
      <c r="T154" s="8"/>
      <c r="U154" s="8"/>
      <c r="V154" s="8"/>
      <c r="W154" s="8"/>
      <c r="X154" s="8"/>
    </row>
    <row r="155" spans="1:24" ht="12.75">
      <c r="A155" s="82"/>
      <c r="B155" s="8"/>
      <c r="C155" s="59"/>
      <c r="D155" s="59"/>
      <c r="E155" s="8"/>
      <c r="F155" s="8"/>
      <c r="G155" s="8"/>
      <c r="H155" s="8"/>
      <c r="I155" s="8"/>
      <c r="J155" s="8"/>
      <c r="K155" s="8"/>
      <c r="L155" s="8"/>
      <c r="M155" s="8"/>
      <c r="N155" s="8"/>
      <c r="O155" s="8"/>
      <c r="P155" s="8"/>
      <c r="Q155" s="8"/>
      <c r="R155" s="8"/>
      <c r="S155" s="8"/>
      <c r="T155" s="8"/>
      <c r="U155" s="8"/>
      <c r="V155" s="8"/>
      <c r="W155" s="8"/>
      <c r="X155" s="8"/>
    </row>
    <row r="156" spans="1:24" ht="12.75">
      <c r="A156" s="82"/>
      <c r="B156" s="8"/>
      <c r="C156" s="59"/>
      <c r="D156" s="59"/>
      <c r="E156" s="8"/>
      <c r="F156" s="8"/>
      <c r="G156" s="8"/>
      <c r="H156" s="8"/>
      <c r="I156" s="8"/>
      <c r="J156" s="8"/>
      <c r="K156" s="8"/>
      <c r="L156" s="8"/>
      <c r="M156" s="8"/>
      <c r="N156" s="8"/>
      <c r="O156" s="8"/>
      <c r="P156" s="8"/>
      <c r="Q156" s="8"/>
      <c r="R156" s="8"/>
      <c r="S156" s="8"/>
      <c r="T156" s="8"/>
      <c r="U156" s="8"/>
      <c r="V156" s="8"/>
      <c r="W156" s="8"/>
      <c r="X156" s="8"/>
    </row>
    <row r="157" spans="1:24" ht="12.75">
      <c r="A157" s="82"/>
      <c r="B157" s="8"/>
      <c r="C157" s="59"/>
      <c r="D157" s="59"/>
      <c r="E157" s="8"/>
      <c r="F157" s="8"/>
      <c r="G157" s="8"/>
      <c r="H157" s="8"/>
      <c r="I157" s="8"/>
      <c r="J157" s="8"/>
      <c r="K157" s="8"/>
      <c r="L157" s="8"/>
      <c r="M157" s="8"/>
      <c r="N157" s="8"/>
      <c r="O157" s="8"/>
      <c r="P157" s="8"/>
      <c r="Q157" s="8"/>
      <c r="R157" s="8"/>
      <c r="S157" s="8"/>
      <c r="T157" s="8"/>
      <c r="U157" s="8"/>
      <c r="V157" s="8"/>
      <c r="W157" s="8"/>
      <c r="X157" s="8"/>
    </row>
    <row r="158" spans="1:24" ht="12.75">
      <c r="A158" s="82"/>
      <c r="B158" s="8"/>
      <c r="C158" s="59"/>
      <c r="D158" s="59"/>
      <c r="E158" s="8"/>
      <c r="F158" s="8"/>
      <c r="G158" s="8"/>
      <c r="H158" s="8"/>
      <c r="I158" s="8"/>
      <c r="J158" s="8"/>
      <c r="K158" s="8"/>
      <c r="L158" s="8"/>
      <c r="M158" s="8"/>
      <c r="N158" s="8"/>
      <c r="O158" s="8"/>
      <c r="P158" s="8"/>
      <c r="Q158" s="8"/>
      <c r="R158" s="8"/>
      <c r="S158" s="8"/>
      <c r="T158" s="8"/>
      <c r="U158" s="8"/>
      <c r="V158" s="8"/>
      <c r="W158" s="8"/>
      <c r="X158" s="8"/>
    </row>
    <row r="159" spans="1:24" ht="12.75">
      <c r="A159" s="82"/>
      <c r="B159" s="8"/>
      <c r="C159" s="59"/>
      <c r="D159" s="59"/>
      <c r="E159" s="8"/>
      <c r="F159" s="8"/>
      <c r="G159" s="8"/>
      <c r="H159" s="8"/>
      <c r="I159" s="8"/>
      <c r="J159" s="8"/>
      <c r="K159" s="8"/>
      <c r="L159" s="8"/>
      <c r="M159" s="8"/>
      <c r="N159" s="8"/>
      <c r="O159" s="8"/>
      <c r="P159" s="8"/>
      <c r="Q159" s="8"/>
      <c r="R159" s="8"/>
      <c r="S159" s="8"/>
      <c r="T159" s="8"/>
      <c r="U159" s="8"/>
      <c r="V159" s="8"/>
      <c r="W159" s="8"/>
      <c r="X159" s="8"/>
    </row>
    <row r="160" spans="1:24" ht="12.75">
      <c r="A160" s="82"/>
      <c r="B160" s="8"/>
      <c r="C160" s="59"/>
      <c r="D160" s="59"/>
      <c r="E160" s="8"/>
      <c r="F160" s="8"/>
      <c r="G160" s="8"/>
      <c r="H160" s="8"/>
      <c r="I160" s="8"/>
      <c r="J160" s="8"/>
      <c r="K160" s="8"/>
      <c r="L160" s="8"/>
      <c r="M160" s="8"/>
      <c r="N160" s="8"/>
      <c r="O160" s="8"/>
      <c r="P160" s="8"/>
      <c r="Q160" s="8"/>
      <c r="R160" s="8"/>
      <c r="S160" s="8"/>
      <c r="T160" s="8"/>
      <c r="U160" s="8"/>
      <c r="V160" s="8"/>
      <c r="W160" s="8"/>
      <c r="X160" s="8"/>
    </row>
    <row r="161" spans="1:24" ht="12.75">
      <c r="A161" s="82"/>
      <c r="B161" s="8"/>
      <c r="C161" s="59"/>
      <c r="D161" s="59"/>
      <c r="E161" s="8"/>
      <c r="F161" s="8"/>
      <c r="G161" s="8"/>
      <c r="H161" s="8"/>
      <c r="I161" s="8"/>
      <c r="J161" s="8"/>
      <c r="K161" s="8"/>
      <c r="L161" s="8"/>
      <c r="M161" s="8"/>
      <c r="N161" s="8"/>
      <c r="O161" s="8"/>
      <c r="P161" s="8"/>
      <c r="Q161" s="8"/>
      <c r="R161" s="8"/>
      <c r="S161" s="8"/>
      <c r="T161" s="8"/>
      <c r="U161" s="8"/>
      <c r="V161" s="8"/>
      <c r="W161" s="8"/>
      <c r="X161" s="8"/>
    </row>
    <row r="162" spans="1:24" ht="12.75">
      <c r="A162" s="82"/>
      <c r="B162" s="8"/>
      <c r="C162" s="59"/>
      <c r="D162" s="59"/>
      <c r="E162" s="8"/>
      <c r="F162" s="8"/>
      <c r="G162" s="8"/>
      <c r="H162" s="8"/>
      <c r="I162" s="8"/>
      <c r="J162" s="8"/>
      <c r="K162" s="8"/>
      <c r="L162" s="8"/>
      <c r="M162" s="8"/>
      <c r="N162" s="8"/>
      <c r="O162" s="8"/>
      <c r="P162" s="8"/>
      <c r="Q162" s="8"/>
      <c r="R162" s="8"/>
      <c r="S162" s="8"/>
      <c r="T162" s="8"/>
      <c r="U162" s="8"/>
      <c r="V162" s="8"/>
      <c r="W162" s="8"/>
      <c r="X162" s="8"/>
    </row>
    <row r="163" spans="1:24" ht="12.75">
      <c r="A163" s="82"/>
      <c r="B163" s="8"/>
      <c r="C163" s="59"/>
      <c r="D163" s="59"/>
      <c r="E163" s="8"/>
      <c r="F163" s="8"/>
      <c r="G163" s="8"/>
      <c r="H163" s="8"/>
      <c r="I163" s="8"/>
      <c r="J163" s="8"/>
      <c r="K163" s="8"/>
      <c r="L163" s="8"/>
      <c r="M163" s="8"/>
      <c r="N163" s="8"/>
      <c r="O163" s="8"/>
      <c r="P163" s="8"/>
      <c r="Q163" s="8"/>
      <c r="R163" s="8"/>
      <c r="S163" s="8"/>
      <c r="T163" s="8"/>
      <c r="U163" s="8"/>
      <c r="V163" s="8"/>
      <c r="W163" s="8"/>
      <c r="X163" s="8"/>
    </row>
    <row r="164" spans="1:24" ht="12.75">
      <c r="A164" s="82"/>
      <c r="B164" s="8"/>
      <c r="C164" s="59"/>
      <c r="D164" s="59"/>
      <c r="E164" s="8"/>
      <c r="F164" s="8"/>
      <c r="G164" s="8"/>
      <c r="H164" s="8"/>
      <c r="I164" s="8"/>
      <c r="J164" s="8"/>
      <c r="K164" s="8"/>
      <c r="L164" s="8"/>
      <c r="M164" s="8"/>
      <c r="N164" s="8"/>
      <c r="O164" s="8"/>
      <c r="P164" s="8"/>
      <c r="Q164" s="8"/>
      <c r="R164" s="8"/>
      <c r="S164" s="8"/>
      <c r="T164" s="8"/>
      <c r="U164" s="8"/>
      <c r="V164" s="8"/>
      <c r="W164" s="8"/>
      <c r="X164" s="8"/>
    </row>
    <row r="165" spans="1:24" ht="12.75">
      <c r="A165" s="82"/>
      <c r="B165" s="8"/>
      <c r="C165" s="59"/>
      <c r="D165" s="59"/>
      <c r="E165" s="8"/>
      <c r="F165" s="8"/>
      <c r="G165" s="8"/>
      <c r="H165" s="8"/>
      <c r="I165" s="8"/>
      <c r="J165" s="8"/>
      <c r="K165" s="8"/>
      <c r="L165" s="8"/>
      <c r="M165" s="8"/>
      <c r="N165" s="8"/>
      <c r="O165" s="8"/>
      <c r="P165" s="8"/>
      <c r="Q165" s="8"/>
      <c r="R165" s="8"/>
      <c r="S165" s="8"/>
      <c r="T165" s="8"/>
      <c r="U165" s="8"/>
      <c r="V165" s="8"/>
      <c r="W165" s="8"/>
      <c r="X165" s="8"/>
    </row>
    <row r="166" spans="1:24" ht="12.75">
      <c r="A166" s="82"/>
      <c r="B166" s="8"/>
      <c r="C166" s="59"/>
      <c r="D166" s="59"/>
      <c r="E166" s="8"/>
      <c r="F166" s="8"/>
      <c r="G166" s="8"/>
      <c r="H166" s="8"/>
      <c r="I166" s="8"/>
      <c r="J166" s="8"/>
      <c r="K166" s="8"/>
      <c r="L166" s="8"/>
      <c r="M166" s="8"/>
      <c r="N166" s="8"/>
      <c r="O166" s="8"/>
      <c r="P166" s="8"/>
      <c r="Q166" s="8"/>
      <c r="R166" s="8"/>
      <c r="S166" s="8"/>
      <c r="T166" s="8"/>
      <c r="U166" s="8"/>
      <c r="V166" s="8"/>
      <c r="W166" s="8"/>
      <c r="X166" s="8"/>
    </row>
    <row r="167" spans="1:24" ht="12.75">
      <c r="A167" s="82"/>
      <c r="B167" s="8"/>
      <c r="C167" s="59"/>
      <c r="D167" s="59"/>
      <c r="E167" s="8"/>
      <c r="F167" s="8"/>
      <c r="G167" s="8"/>
      <c r="H167" s="8"/>
      <c r="I167" s="8"/>
      <c r="J167" s="8"/>
      <c r="K167" s="8"/>
      <c r="L167" s="8"/>
      <c r="M167" s="8"/>
      <c r="N167" s="8"/>
      <c r="O167" s="8"/>
      <c r="P167" s="8"/>
      <c r="Q167" s="8"/>
      <c r="R167" s="8"/>
      <c r="S167" s="8"/>
      <c r="T167" s="8"/>
      <c r="U167" s="8"/>
      <c r="V167" s="8"/>
      <c r="W167" s="8"/>
      <c r="X167" s="8"/>
    </row>
    <row r="168" spans="1:24" ht="12.75">
      <c r="A168" s="82"/>
      <c r="B168" s="8"/>
      <c r="C168" s="59"/>
      <c r="D168" s="59"/>
      <c r="E168" s="8"/>
      <c r="F168" s="8"/>
      <c r="G168" s="8"/>
      <c r="H168" s="8"/>
      <c r="I168" s="8"/>
      <c r="J168" s="8"/>
      <c r="K168" s="8"/>
      <c r="L168" s="8"/>
      <c r="M168" s="8"/>
      <c r="N168" s="8"/>
      <c r="O168" s="8"/>
      <c r="P168" s="8"/>
      <c r="Q168" s="8"/>
      <c r="R168" s="8"/>
      <c r="S168" s="8"/>
      <c r="T168" s="8"/>
      <c r="U168" s="8"/>
      <c r="V168" s="8"/>
      <c r="W168" s="8"/>
      <c r="X168" s="8"/>
    </row>
    <row r="169" spans="1:24" ht="12.75">
      <c r="A169" s="82"/>
      <c r="B169" s="8"/>
      <c r="C169" s="59"/>
      <c r="D169" s="59"/>
      <c r="E169" s="8"/>
      <c r="F169" s="8"/>
      <c r="G169" s="8"/>
      <c r="H169" s="8"/>
      <c r="I169" s="8"/>
      <c r="J169" s="8"/>
      <c r="K169" s="8"/>
      <c r="L169" s="8"/>
      <c r="M169" s="8"/>
      <c r="N169" s="8"/>
      <c r="O169" s="8"/>
      <c r="P169" s="8"/>
      <c r="Q169" s="8"/>
      <c r="R169" s="8"/>
      <c r="S169" s="8"/>
      <c r="T169" s="8"/>
      <c r="U169" s="8"/>
      <c r="V169" s="8"/>
      <c r="W169" s="8"/>
      <c r="X169" s="8"/>
    </row>
    <row r="170" spans="1:24" ht="12.75">
      <c r="A170" s="82"/>
      <c r="B170" s="8"/>
      <c r="C170" s="59"/>
      <c r="D170" s="59"/>
      <c r="E170" s="8"/>
      <c r="F170" s="8"/>
      <c r="G170" s="8"/>
      <c r="H170" s="8"/>
      <c r="I170" s="8"/>
      <c r="J170" s="8"/>
      <c r="K170" s="8"/>
      <c r="L170" s="8"/>
      <c r="M170" s="8"/>
      <c r="N170" s="8"/>
      <c r="O170" s="8"/>
      <c r="P170" s="8"/>
      <c r="Q170" s="8"/>
      <c r="R170" s="8"/>
      <c r="S170" s="8"/>
      <c r="T170" s="8"/>
      <c r="U170" s="8"/>
      <c r="V170" s="8"/>
      <c r="W170" s="8"/>
      <c r="X170" s="8"/>
    </row>
    <row r="171" spans="1:24" ht="12.75">
      <c r="A171" s="82"/>
      <c r="B171" s="8"/>
      <c r="C171" s="59"/>
      <c r="D171" s="59"/>
      <c r="E171" s="8"/>
      <c r="F171" s="8"/>
      <c r="G171" s="8"/>
      <c r="H171" s="8"/>
      <c r="I171" s="8"/>
      <c r="J171" s="8"/>
      <c r="K171" s="8"/>
      <c r="L171" s="8"/>
      <c r="M171" s="8"/>
      <c r="N171" s="8"/>
      <c r="O171" s="8"/>
      <c r="P171" s="8"/>
      <c r="Q171" s="8"/>
      <c r="R171" s="8"/>
      <c r="S171" s="8"/>
      <c r="T171" s="8"/>
      <c r="U171" s="8"/>
      <c r="V171" s="8"/>
      <c r="W171" s="8"/>
      <c r="X171" s="8"/>
    </row>
    <row r="172" spans="1:24" ht="12.75">
      <c r="A172" s="82"/>
      <c r="B172" s="8"/>
      <c r="C172" s="59"/>
      <c r="D172" s="59"/>
      <c r="E172" s="8"/>
      <c r="F172" s="8"/>
      <c r="G172" s="8"/>
      <c r="H172" s="8"/>
      <c r="I172" s="8"/>
      <c r="J172" s="8"/>
      <c r="K172" s="8"/>
      <c r="L172" s="8"/>
      <c r="M172" s="8"/>
      <c r="N172" s="8"/>
      <c r="O172" s="8"/>
      <c r="P172" s="8"/>
      <c r="Q172" s="8"/>
      <c r="R172" s="8"/>
      <c r="S172" s="8"/>
      <c r="T172" s="8"/>
      <c r="U172" s="8"/>
      <c r="V172" s="8"/>
      <c r="W172" s="8"/>
      <c r="X172" s="8"/>
    </row>
    <row r="173" spans="1:24" ht="12.75">
      <c r="A173" s="82"/>
      <c r="B173" s="8"/>
      <c r="C173" s="59"/>
      <c r="D173" s="59"/>
      <c r="E173" s="8"/>
      <c r="F173" s="8"/>
      <c r="G173" s="8"/>
      <c r="H173" s="8"/>
      <c r="I173" s="8"/>
      <c r="J173" s="8"/>
      <c r="K173" s="8"/>
      <c r="L173" s="8"/>
      <c r="M173" s="8"/>
      <c r="N173" s="8"/>
      <c r="O173" s="8"/>
      <c r="P173" s="8"/>
      <c r="Q173" s="8"/>
      <c r="R173" s="8"/>
      <c r="S173" s="8"/>
      <c r="T173" s="8"/>
      <c r="U173" s="8"/>
      <c r="V173" s="8"/>
      <c r="W173" s="8"/>
      <c r="X173" s="8"/>
    </row>
    <row r="174" spans="1:24" ht="12.75">
      <c r="A174" s="82"/>
      <c r="B174" s="8"/>
      <c r="C174" s="59"/>
      <c r="D174" s="59"/>
      <c r="E174" s="8"/>
      <c r="F174" s="8"/>
      <c r="G174" s="8"/>
      <c r="H174" s="8"/>
      <c r="I174" s="8"/>
      <c r="J174" s="8"/>
      <c r="K174" s="8"/>
      <c r="L174" s="8"/>
      <c r="M174" s="8"/>
      <c r="N174" s="8"/>
      <c r="O174" s="8"/>
      <c r="P174" s="8"/>
      <c r="Q174" s="8"/>
      <c r="R174" s="8"/>
      <c r="S174" s="8"/>
      <c r="T174" s="8"/>
      <c r="U174" s="8"/>
      <c r="V174" s="8"/>
      <c r="W174" s="8"/>
      <c r="X174" s="8"/>
    </row>
    <row r="175" spans="1:24" ht="12.75">
      <c r="A175" s="82"/>
      <c r="B175" s="8"/>
      <c r="C175" s="59"/>
      <c r="D175" s="59"/>
      <c r="E175" s="8"/>
      <c r="F175" s="8"/>
      <c r="G175" s="8"/>
      <c r="H175" s="8"/>
      <c r="I175" s="8"/>
      <c r="J175" s="8"/>
      <c r="K175" s="8"/>
      <c r="L175" s="8"/>
      <c r="M175" s="8"/>
      <c r="N175" s="8"/>
      <c r="O175" s="8"/>
      <c r="P175" s="8"/>
      <c r="Q175" s="8"/>
      <c r="R175" s="8"/>
      <c r="S175" s="8"/>
      <c r="T175" s="8"/>
      <c r="U175" s="8"/>
      <c r="V175" s="8"/>
      <c r="W175" s="8"/>
      <c r="X175" s="8"/>
    </row>
    <row r="176" spans="1:24" ht="12.75">
      <c r="A176" s="82"/>
      <c r="B176" s="8"/>
      <c r="C176" s="59"/>
      <c r="D176" s="59"/>
      <c r="E176" s="8"/>
      <c r="F176" s="8"/>
      <c r="G176" s="8"/>
      <c r="H176" s="8"/>
      <c r="I176" s="8"/>
      <c r="J176" s="8"/>
      <c r="K176" s="8"/>
      <c r="L176" s="8"/>
      <c r="M176" s="8"/>
      <c r="N176" s="8"/>
      <c r="O176" s="8"/>
      <c r="P176" s="8"/>
      <c r="Q176" s="8"/>
      <c r="R176" s="8"/>
      <c r="S176" s="8"/>
      <c r="T176" s="8"/>
      <c r="U176" s="8"/>
      <c r="V176" s="8"/>
      <c r="W176" s="8"/>
      <c r="X176" s="8"/>
    </row>
    <row r="177" spans="1:24" ht="12.75">
      <c r="A177" s="82"/>
      <c r="B177" s="8"/>
      <c r="C177" s="59"/>
      <c r="D177" s="59"/>
      <c r="E177" s="8"/>
      <c r="F177" s="8"/>
      <c r="G177" s="8"/>
      <c r="H177" s="8"/>
      <c r="I177" s="8"/>
      <c r="J177" s="8"/>
      <c r="K177" s="8"/>
      <c r="L177" s="8"/>
      <c r="M177" s="8"/>
      <c r="N177" s="8"/>
      <c r="O177" s="8"/>
      <c r="P177" s="8"/>
      <c r="Q177" s="8"/>
      <c r="R177" s="8"/>
      <c r="S177" s="8"/>
      <c r="T177" s="8"/>
      <c r="U177" s="8"/>
      <c r="V177" s="8"/>
      <c r="W177" s="8"/>
      <c r="X177" s="8"/>
    </row>
    <row r="178" spans="1:24" ht="12.75">
      <c r="A178" s="82"/>
      <c r="B178" s="8"/>
      <c r="C178" s="59"/>
      <c r="D178" s="59"/>
      <c r="E178" s="8"/>
      <c r="F178" s="8"/>
      <c r="G178" s="8"/>
      <c r="H178" s="8"/>
      <c r="I178" s="8"/>
      <c r="J178" s="8"/>
      <c r="K178" s="8"/>
      <c r="L178" s="8"/>
      <c r="M178" s="8"/>
      <c r="N178" s="8"/>
      <c r="O178" s="8"/>
      <c r="P178" s="8"/>
      <c r="Q178" s="8"/>
      <c r="R178" s="8"/>
      <c r="S178" s="8"/>
      <c r="T178" s="8"/>
      <c r="U178" s="8"/>
      <c r="V178" s="8"/>
      <c r="W178" s="8"/>
      <c r="X178" s="8"/>
    </row>
    <row r="179" spans="1:24" ht="12.75">
      <c r="A179" s="82"/>
      <c r="B179" s="8"/>
      <c r="C179" s="59"/>
      <c r="D179" s="59"/>
      <c r="E179" s="8"/>
      <c r="F179" s="8"/>
      <c r="G179" s="8"/>
      <c r="H179" s="8"/>
      <c r="I179" s="8"/>
      <c r="J179" s="8"/>
      <c r="K179" s="8"/>
      <c r="L179" s="8"/>
      <c r="M179" s="8"/>
      <c r="N179" s="8"/>
      <c r="O179" s="8"/>
      <c r="P179" s="8"/>
      <c r="Q179" s="8"/>
      <c r="R179" s="8"/>
      <c r="S179" s="8"/>
      <c r="T179" s="8"/>
      <c r="U179" s="8"/>
      <c r="V179" s="8"/>
      <c r="W179" s="8"/>
      <c r="X179" s="8"/>
    </row>
    <row r="180" spans="1:24" ht="12.75">
      <c r="A180" s="82"/>
      <c r="B180" s="8"/>
      <c r="C180" s="59"/>
      <c r="D180" s="59"/>
      <c r="E180" s="8"/>
      <c r="F180" s="8"/>
      <c r="G180" s="8"/>
      <c r="H180" s="8"/>
      <c r="I180" s="8"/>
      <c r="J180" s="8"/>
      <c r="K180" s="8"/>
      <c r="L180" s="8"/>
      <c r="M180" s="8"/>
      <c r="N180" s="8"/>
      <c r="O180" s="8"/>
      <c r="P180" s="8"/>
      <c r="Q180" s="8"/>
      <c r="R180" s="8"/>
      <c r="S180" s="8"/>
      <c r="T180" s="8"/>
      <c r="U180" s="8"/>
      <c r="V180" s="8"/>
      <c r="W180" s="8"/>
      <c r="X180" s="8"/>
    </row>
    <row r="181" spans="1:24" ht="12.75">
      <c r="A181" s="82"/>
      <c r="B181" s="8"/>
      <c r="C181" s="59"/>
      <c r="D181" s="59"/>
      <c r="E181" s="8"/>
      <c r="F181" s="8"/>
      <c r="G181" s="8"/>
      <c r="H181" s="8"/>
      <c r="I181" s="8"/>
      <c r="J181" s="8"/>
      <c r="K181" s="8"/>
      <c r="L181" s="8"/>
      <c r="M181" s="8"/>
      <c r="N181" s="8"/>
      <c r="O181" s="8"/>
      <c r="P181" s="8"/>
      <c r="Q181" s="8"/>
      <c r="R181" s="8"/>
      <c r="S181" s="8"/>
      <c r="T181" s="8"/>
      <c r="U181" s="8"/>
      <c r="V181" s="8"/>
      <c r="W181" s="8"/>
      <c r="X181" s="8"/>
    </row>
    <row r="182" spans="1:24" ht="12.75">
      <c r="A182" s="82"/>
      <c r="B182" s="8"/>
      <c r="C182" s="59"/>
      <c r="D182" s="59"/>
      <c r="E182" s="8"/>
      <c r="F182" s="8"/>
      <c r="G182" s="8"/>
      <c r="H182" s="8"/>
      <c r="I182" s="8"/>
      <c r="J182" s="8"/>
      <c r="K182" s="8"/>
      <c r="L182" s="8"/>
      <c r="M182" s="8"/>
      <c r="N182" s="8"/>
      <c r="O182" s="8"/>
      <c r="P182" s="8"/>
      <c r="Q182" s="8"/>
      <c r="R182" s="8"/>
      <c r="S182" s="8"/>
      <c r="T182" s="8"/>
      <c r="U182" s="8"/>
      <c r="V182" s="8"/>
      <c r="W182" s="8"/>
      <c r="X182" s="8"/>
    </row>
    <row r="183" spans="1:24" ht="12.75">
      <c r="A183" s="82"/>
      <c r="B183" s="8"/>
      <c r="C183" s="59"/>
      <c r="D183" s="59"/>
      <c r="E183" s="8"/>
      <c r="F183" s="8"/>
      <c r="G183" s="8"/>
      <c r="H183" s="8"/>
      <c r="I183" s="8"/>
      <c r="J183" s="8"/>
      <c r="K183" s="8"/>
      <c r="L183" s="8"/>
      <c r="M183" s="8"/>
      <c r="N183" s="8"/>
      <c r="O183" s="8"/>
      <c r="P183" s="8"/>
      <c r="Q183" s="8"/>
      <c r="R183" s="8"/>
      <c r="S183" s="8"/>
      <c r="T183" s="8"/>
      <c r="U183" s="8"/>
      <c r="V183" s="8"/>
      <c r="W183" s="8"/>
      <c r="X183" s="8"/>
    </row>
    <row r="184" spans="1:24" ht="12.75">
      <c r="A184" s="82"/>
      <c r="B184" s="8"/>
      <c r="C184" s="59"/>
      <c r="D184" s="59"/>
      <c r="E184" s="8"/>
      <c r="F184" s="8"/>
      <c r="G184" s="8"/>
      <c r="H184" s="8"/>
      <c r="I184" s="8"/>
      <c r="J184" s="8"/>
      <c r="K184" s="8"/>
      <c r="L184" s="8"/>
      <c r="M184" s="8"/>
      <c r="N184" s="8"/>
      <c r="O184" s="8"/>
      <c r="P184" s="8"/>
      <c r="Q184" s="8"/>
      <c r="R184" s="8"/>
      <c r="S184" s="8"/>
      <c r="T184" s="8"/>
      <c r="U184" s="8"/>
      <c r="V184" s="8"/>
      <c r="W184" s="8"/>
      <c r="X184" s="8"/>
    </row>
    <row r="185" spans="1:24" ht="12.75">
      <c r="A185" s="82"/>
      <c r="B185" s="8"/>
      <c r="C185" s="59"/>
      <c r="D185" s="59"/>
      <c r="E185" s="8"/>
      <c r="F185" s="8"/>
      <c r="G185" s="8"/>
      <c r="H185" s="8"/>
      <c r="I185" s="8"/>
      <c r="J185" s="8"/>
      <c r="K185" s="8"/>
      <c r="L185" s="8"/>
      <c r="M185" s="8"/>
      <c r="N185" s="8"/>
      <c r="O185" s="8"/>
      <c r="P185" s="8"/>
      <c r="Q185" s="8"/>
      <c r="R185" s="8"/>
      <c r="S185" s="8"/>
      <c r="T185" s="8"/>
      <c r="U185" s="8"/>
      <c r="V185" s="8"/>
      <c r="W185" s="8"/>
      <c r="X185" s="8"/>
    </row>
    <row r="186" spans="1:24" ht="12.75">
      <c r="A186" s="82"/>
      <c r="B186" s="8"/>
      <c r="C186" s="59"/>
      <c r="D186" s="59"/>
      <c r="E186" s="8"/>
      <c r="F186" s="8"/>
      <c r="G186" s="8"/>
      <c r="H186" s="8"/>
      <c r="I186" s="8"/>
      <c r="J186" s="8"/>
      <c r="K186" s="8"/>
      <c r="L186" s="8"/>
      <c r="M186" s="8"/>
      <c r="N186" s="8"/>
      <c r="O186" s="8"/>
      <c r="P186" s="8"/>
      <c r="Q186" s="8"/>
      <c r="R186" s="8"/>
      <c r="S186" s="8"/>
      <c r="T186" s="8"/>
      <c r="U186" s="8"/>
      <c r="V186" s="8"/>
      <c r="W186" s="8"/>
      <c r="X186" s="8"/>
    </row>
    <row r="187" spans="1:24" ht="12.75">
      <c r="A187" s="82"/>
      <c r="B187" s="8"/>
      <c r="C187" s="59"/>
      <c r="D187" s="59"/>
      <c r="E187" s="8"/>
      <c r="F187" s="8"/>
      <c r="G187" s="8"/>
      <c r="H187" s="8"/>
      <c r="I187" s="8"/>
      <c r="J187" s="8"/>
      <c r="K187" s="8"/>
      <c r="L187" s="8"/>
      <c r="M187" s="8"/>
      <c r="N187" s="8"/>
      <c r="O187" s="8"/>
      <c r="P187" s="8"/>
      <c r="Q187" s="8"/>
      <c r="R187" s="8"/>
      <c r="S187" s="8"/>
      <c r="T187" s="8"/>
      <c r="U187" s="8"/>
      <c r="V187" s="8"/>
      <c r="W187" s="8"/>
      <c r="X187" s="8"/>
    </row>
    <row r="188" spans="1:24" ht="12.75">
      <c r="A188" s="82"/>
      <c r="B188" s="8"/>
      <c r="C188" s="59"/>
      <c r="D188" s="59"/>
      <c r="E188" s="8"/>
      <c r="F188" s="8"/>
      <c r="G188" s="8"/>
      <c r="H188" s="8"/>
      <c r="I188" s="8"/>
      <c r="J188" s="8"/>
      <c r="K188" s="8"/>
      <c r="L188" s="8"/>
      <c r="M188" s="8"/>
      <c r="N188" s="8"/>
      <c r="O188" s="8"/>
      <c r="P188" s="8"/>
      <c r="Q188" s="8"/>
      <c r="R188" s="8"/>
      <c r="S188" s="8"/>
      <c r="T188" s="8"/>
      <c r="U188" s="8"/>
      <c r="V188" s="8"/>
      <c r="W188" s="8"/>
      <c r="X188" s="8"/>
    </row>
    <row r="189" spans="1:24" ht="12.75">
      <c r="A189" s="82"/>
      <c r="B189" s="8"/>
      <c r="C189" s="59"/>
      <c r="D189" s="59"/>
      <c r="E189" s="8"/>
      <c r="F189" s="8"/>
      <c r="G189" s="8"/>
      <c r="H189" s="8"/>
      <c r="I189" s="8"/>
      <c r="J189" s="8"/>
      <c r="K189" s="8"/>
      <c r="L189" s="8"/>
      <c r="M189" s="8"/>
      <c r="N189" s="8"/>
      <c r="O189" s="8"/>
      <c r="P189" s="8"/>
      <c r="Q189" s="8"/>
      <c r="R189" s="8"/>
      <c r="S189" s="8"/>
      <c r="T189" s="8"/>
      <c r="U189" s="8"/>
      <c r="V189" s="8"/>
      <c r="W189" s="8"/>
      <c r="X189" s="8"/>
    </row>
    <row r="190" spans="1:24" ht="12.75">
      <c r="A190" s="82"/>
      <c r="B190" s="8"/>
      <c r="C190" s="59"/>
      <c r="D190" s="59"/>
      <c r="E190" s="8"/>
      <c r="F190" s="8"/>
      <c r="G190" s="8"/>
      <c r="H190" s="8"/>
      <c r="I190" s="8"/>
      <c r="J190" s="8"/>
      <c r="K190" s="8"/>
      <c r="L190" s="8"/>
      <c r="M190" s="8"/>
      <c r="N190" s="8"/>
      <c r="O190" s="8"/>
      <c r="P190" s="8"/>
      <c r="Q190" s="8"/>
      <c r="R190" s="8"/>
      <c r="S190" s="8"/>
      <c r="T190" s="8"/>
      <c r="U190" s="8"/>
      <c r="V190" s="8"/>
      <c r="W190" s="8"/>
      <c r="X190" s="8"/>
    </row>
    <row r="191" spans="1:24" ht="12.75">
      <c r="A191" s="82"/>
      <c r="B191" s="8"/>
      <c r="C191" s="59"/>
      <c r="D191" s="59"/>
      <c r="E191" s="8"/>
      <c r="F191" s="8"/>
      <c r="G191" s="8"/>
      <c r="H191" s="8"/>
      <c r="I191" s="8"/>
      <c r="J191" s="8"/>
      <c r="K191" s="8"/>
      <c r="L191" s="8"/>
      <c r="M191" s="8"/>
      <c r="N191" s="8"/>
      <c r="O191" s="8"/>
      <c r="P191" s="8"/>
      <c r="Q191" s="8"/>
      <c r="R191" s="8"/>
      <c r="S191" s="8"/>
      <c r="T191" s="8"/>
      <c r="U191" s="8"/>
      <c r="V191" s="8"/>
      <c r="W191" s="8"/>
      <c r="X191" s="8"/>
    </row>
    <row r="192" spans="1:24" ht="12.75">
      <c r="A192" s="82"/>
      <c r="B192" s="8"/>
      <c r="C192" s="59"/>
      <c r="D192" s="59"/>
      <c r="E192" s="8"/>
      <c r="F192" s="8"/>
      <c r="G192" s="8"/>
      <c r="H192" s="8"/>
      <c r="I192" s="8"/>
      <c r="J192" s="8"/>
      <c r="K192" s="8"/>
      <c r="L192" s="8"/>
      <c r="M192" s="8"/>
      <c r="N192" s="8"/>
      <c r="O192" s="8"/>
      <c r="P192" s="8"/>
      <c r="Q192" s="8"/>
      <c r="R192" s="8"/>
      <c r="S192" s="8"/>
      <c r="T192" s="8"/>
      <c r="U192" s="8"/>
      <c r="V192" s="8"/>
      <c r="W192" s="8"/>
      <c r="X192" s="8"/>
    </row>
    <row r="193" spans="1:24" ht="12.75">
      <c r="A193" s="82"/>
      <c r="B193" s="8"/>
      <c r="C193" s="59"/>
      <c r="D193" s="59"/>
      <c r="E193" s="8"/>
      <c r="F193" s="8"/>
      <c r="G193" s="8"/>
      <c r="H193" s="8"/>
      <c r="I193" s="8"/>
      <c r="J193" s="8"/>
      <c r="K193" s="8"/>
      <c r="L193" s="8"/>
      <c r="M193" s="8"/>
      <c r="N193" s="8"/>
      <c r="O193" s="8"/>
      <c r="P193" s="8"/>
      <c r="Q193" s="8"/>
      <c r="R193" s="8"/>
      <c r="S193" s="8"/>
      <c r="T193" s="8"/>
      <c r="U193" s="8"/>
      <c r="V193" s="8"/>
      <c r="W193" s="8"/>
      <c r="X193" s="8"/>
    </row>
    <row r="194" spans="1:24" ht="12.75">
      <c r="A194" s="82"/>
      <c r="B194" s="8"/>
      <c r="C194" s="59"/>
      <c r="D194" s="59"/>
      <c r="E194" s="8"/>
      <c r="F194" s="8"/>
      <c r="G194" s="8"/>
      <c r="H194" s="8"/>
      <c r="I194" s="8"/>
      <c r="J194" s="8"/>
      <c r="K194" s="8"/>
      <c r="L194" s="8"/>
      <c r="M194" s="8"/>
      <c r="N194" s="8"/>
      <c r="O194" s="8"/>
      <c r="P194" s="8"/>
      <c r="Q194" s="8"/>
      <c r="R194" s="8"/>
      <c r="S194" s="8"/>
      <c r="T194" s="8"/>
      <c r="U194" s="8"/>
      <c r="V194" s="8"/>
      <c r="W194" s="8"/>
      <c r="X194" s="8"/>
    </row>
    <row r="195" spans="1:24" ht="12.75">
      <c r="A195" s="82"/>
      <c r="B195" s="8"/>
      <c r="C195" s="59"/>
      <c r="D195" s="59"/>
      <c r="E195" s="8"/>
      <c r="F195" s="8"/>
      <c r="G195" s="8"/>
      <c r="H195" s="8"/>
      <c r="I195" s="8"/>
      <c r="J195" s="8"/>
      <c r="K195" s="8"/>
      <c r="L195" s="8"/>
      <c r="M195" s="8"/>
      <c r="N195" s="8"/>
      <c r="O195" s="8"/>
      <c r="P195" s="8"/>
      <c r="Q195" s="8"/>
      <c r="R195" s="8"/>
      <c r="S195" s="8"/>
      <c r="T195" s="8"/>
      <c r="U195" s="8"/>
      <c r="V195" s="8"/>
      <c r="W195" s="8"/>
      <c r="X195" s="8"/>
    </row>
    <row r="196" spans="1:24" ht="12.75">
      <c r="A196" s="82"/>
      <c r="B196" s="8"/>
      <c r="C196" s="59"/>
      <c r="D196" s="59"/>
      <c r="E196" s="8"/>
      <c r="F196" s="8"/>
      <c r="G196" s="8"/>
      <c r="H196" s="8"/>
      <c r="I196" s="8"/>
      <c r="J196" s="8"/>
      <c r="K196" s="8"/>
      <c r="L196" s="8"/>
      <c r="M196" s="8"/>
      <c r="N196" s="8"/>
      <c r="O196" s="8"/>
      <c r="P196" s="8"/>
      <c r="Q196" s="8"/>
      <c r="R196" s="8"/>
      <c r="S196" s="8"/>
      <c r="T196" s="8"/>
      <c r="U196" s="8"/>
      <c r="V196" s="8"/>
      <c r="W196" s="8"/>
      <c r="X196" s="8"/>
    </row>
    <row r="197" spans="1:24" ht="12.75">
      <c r="A197" s="82"/>
      <c r="B197" s="8"/>
      <c r="C197" s="59"/>
      <c r="D197" s="59"/>
      <c r="E197" s="8"/>
      <c r="F197" s="8"/>
      <c r="G197" s="8"/>
      <c r="H197" s="8"/>
      <c r="I197" s="8"/>
      <c r="J197" s="8"/>
      <c r="K197" s="8"/>
      <c r="L197" s="8"/>
      <c r="M197" s="8"/>
      <c r="N197" s="8"/>
      <c r="O197" s="8"/>
      <c r="P197" s="8"/>
      <c r="Q197" s="8"/>
      <c r="R197" s="8"/>
      <c r="S197" s="8"/>
      <c r="T197" s="8"/>
      <c r="U197" s="8"/>
      <c r="V197" s="8"/>
      <c r="W197" s="8"/>
      <c r="X197" s="8"/>
    </row>
    <row r="198" spans="1:24" ht="12.75">
      <c r="A198" s="82"/>
      <c r="B198" s="8"/>
      <c r="C198" s="59"/>
      <c r="D198" s="59"/>
      <c r="E198" s="8"/>
      <c r="F198" s="8"/>
      <c r="G198" s="8"/>
      <c r="H198" s="8"/>
      <c r="I198" s="8"/>
      <c r="J198" s="8"/>
      <c r="K198" s="8"/>
      <c r="L198" s="8"/>
      <c r="M198" s="8"/>
      <c r="N198" s="8"/>
      <c r="O198" s="8"/>
      <c r="P198" s="8"/>
      <c r="Q198" s="8"/>
      <c r="R198" s="8"/>
      <c r="S198" s="8"/>
      <c r="T198" s="8"/>
      <c r="U198" s="8"/>
      <c r="V198" s="8"/>
      <c r="W198" s="8"/>
      <c r="X198" s="8"/>
    </row>
    <row r="199" spans="1:24" ht="12.75">
      <c r="A199" s="82"/>
      <c r="B199" s="8"/>
      <c r="C199" s="59"/>
      <c r="D199" s="59"/>
      <c r="E199" s="8"/>
      <c r="F199" s="8"/>
      <c r="G199" s="8"/>
      <c r="H199" s="8"/>
      <c r="I199" s="8"/>
      <c r="J199" s="8"/>
      <c r="K199" s="8"/>
      <c r="L199" s="8"/>
      <c r="M199" s="8"/>
      <c r="N199" s="8"/>
      <c r="O199" s="8"/>
      <c r="P199" s="8"/>
      <c r="Q199" s="8"/>
      <c r="R199" s="8"/>
      <c r="S199" s="8"/>
      <c r="T199" s="8"/>
      <c r="U199" s="8"/>
      <c r="V199" s="8"/>
      <c r="W199" s="8"/>
      <c r="X199" s="8"/>
    </row>
    <row r="200" spans="1:24" ht="12.75">
      <c r="A200" s="82"/>
      <c r="B200" s="8"/>
      <c r="C200" s="59"/>
      <c r="D200" s="59"/>
      <c r="E200" s="8"/>
      <c r="F200" s="8"/>
      <c r="G200" s="8"/>
      <c r="H200" s="8"/>
      <c r="I200" s="8"/>
      <c r="J200" s="8"/>
      <c r="K200" s="8"/>
      <c r="L200" s="8"/>
      <c r="M200" s="8"/>
      <c r="N200" s="8"/>
      <c r="O200" s="8"/>
      <c r="P200" s="8"/>
      <c r="Q200" s="8"/>
      <c r="R200" s="8"/>
      <c r="S200" s="8"/>
      <c r="T200" s="8"/>
      <c r="U200" s="8"/>
      <c r="V200" s="8"/>
      <c r="W200" s="8"/>
      <c r="X200" s="8"/>
    </row>
    <row r="201" spans="1:24" ht="12.75">
      <c r="A201" s="82"/>
      <c r="B201" s="8"/>
      <c r="C201" s="59"/>
      <c r="D201" s="59"/>
      <c r="E201" s="8"/>
      <c r="F201" s="8"/>
      <c r="G201" s="8"/>
      <c r="H201" s="8"/>
      <c r="I201" s="8"/>
      <c r="J201" s="8"/>
      <c r="K201" s="8"/>
      <c r="L201" s="8"/>
      <c r="M201" s="8"/>
      <c r="N201" s="8"/>
      <c r="O201" s="8"/>
      <c r="P201" s="8"/>
      <c r="Q201" s="8"/>
      <c r="R201" s="8"/>
      <c r="S201" s="8"/>
      <c r="T201" s="8"/>
      <c r="U201" s="8"/>
      <c r="V201" s="8"/>
      <c r="W201" s="8"/>
      <c r="X201" s="8"/>
    </row>
    <row r="202" spans="1:24" ht="12.75">
      <c r="A202" s="82"/>
      <c r="B202" s="8"/>
      <c r="C202" s="59"/>
      <c r="D202" s="59"/>
      <c r="E202" s="8"/>
      <c r="F202" s="8"/>
      <c r="G202" s="8"/>
      <c r="H202" s="8"/>
      <c r="I202" s="8"/>
      <c r="J202" s="8"/>
      <c r="K202" s="8"/>
      <c r="L202" s="8"/>
      <c r="M202" s="8"/>
      <c r="N202" s="8"/>
      <c r="O202" s="8"/>
      <c r="P202" s="8"/>
      <c r="Q202" s="8"/>
      <c r="R202" s="8"/>
      <c r="S202" s="8"/>
      <c r="T202" s="8"/>
      <c r="U202" s="8"/>
      <c r="V202" s="8"/>
      <c r="W202" s="8"/>
      <c r="X202" s="8"/>
    </row>
    <row r="203" spans="1:24" ht="12.75">
      <c r="A203" s="82"/>
      <c r="B203" s="8"/>
      <c r="C203" s="59"/>
      <c r="D203" s="59"/>
      <c r="E203" s="8"/>
      <c r="F203" s="8"/>
      <c r="G203" s="8"/>
      <c r="H203" s="8"/>
      <c r="I203" s="8"/>
      <c r="J203" s="8"/>
      <c r="K203" s="8"/>
      <c r="L203" s="8"/>
      <c r="M203" s="8"/>
      <c r="N203" s="8"/>
      <c r="O203" s="8"/>
      <c r="P203" s="8"/>
      <c r="Q203" s="8"/>
      <c r="R203" s="8"/>
      <c r="S203" s="8"/>
      <c r="T203" s="8"/>
      <c r="U203" s="8"/>
      <c r="V203" s="8"/>
      <c r="W203" s="8"/>
      <c r="X203" s="8"/>
    </row>
    <row r="204" spans="1:24" ht="12.75">
      <c r="A204" s="82"/>
      <c r="B204" s="8"/>
      <c r="C204" s="59"/>
      <c r="D204" s="59"/>
      <c r="E204" s="8"/>
      <c r="F204" s="8"/>
      <c r="G204" s="8"/>
      <c r="H204" s="8"/>
      <c r="I204" s="8"/>
      <c r="J204" s="8"/>
      <c r="K204" s="8"/>
      <c r="L204" s="8"/>
      <c r="M204" s="8"/>
      <c r="N204" s="8"/>
      <c r="O204" s="8"/>
      <c r="P204" s="8"/>
      <c r="Q204" s="8"/>
      <c r="R204" s="8"/>
      <c r="S204" s="8"/>
      <c r="T204" s="8"/>
      <c r="U204" s="8"/>
      <c r="V204" s="8"/>
      <c r="W204" s="8"/>
      <c r="X204" s="8"/>
    </row>
    <row r="205" spans="1:24" ht="12.75">
      <c r="A205" s="82"/>
      <c r="B205" s="8"/>
      <c r="C205" s="59"/>
      <c r="D205" s="59"/>
      <c r="E205" s="8"/>
      <c r="F205" s="8"/>
      <c r="G205" s="8"/>
      <c r="H205" s="8"/>
      <c r="I205" s="8"/>
      <c r="J205" s="8"/>
      <c r="K205" s="8"/>
      <c r="L205" s="8"/>
      <c r="M205" s="8"/>
      <c r="N205" s="8"/>
      <c r="O205" s="8"/>
      <c r="P205" s="8"/>
      <c r="Q205" s="8"/>
      <c r="R205" s="8"/>
      <c r="S205" s="8"/>
      <c r="T205" s="8"/>
      <c r="U205" s="8"/>
      <c r="V205" s="8"/>
      <c r="W205" s="8"/>
      <c r="X205" s="8"/>
    </row>
    <row r="206" spans="1:24" ht="12.75">
      <c r="A206" s="82"/>
      <c r="B206" s="8"/>
      <c r="C206" s="59"/>
      <c r="D206" s="59"/>
      <c r="E206" s="8"/>
      <c r="F206" s="8"/>
      <c r="G206" s="8"/>
      <c r="H206" s="8"/>
      <c r="I206" s="8"/>
      <c r="J206" s="8"/>
      <c r="K206" s="8"/>
      <c r="L206" s="8"/>
      <c r="M206" s="8"/>
      <c r="N206" s="8"/>
      <c r="O206" s="8"/>
      <c r="P206" s="8"/>
      <c r="Q206" s="8"/>
      <c r="R206" s="8"/>
      <c r="S206" s="8"/>
      <c r="T206" s="8"/>
      <c r="U206" s="8"/>
      <c r="V206" s="8"/>
      <c r="W206" s="8"/>
      <c r="X206" s="8"/>
    </row>
    <row r="207" spans="1:24" ht="12.75">
      <c r="A207" s="82"/>
      <c r="B207" s="8"/>
      <c r="C207" s="59"/>
      <c r="D207" s="59"/>
      <c r="E207" s="8"/>
      <c r="F207" s="8"/>
      <c r="G207" s="8"/>
      <c r="H207" s="8"/>
      <c r="I207" s="8"/>
      <c r="J207" s="8"/>
      <c r="K207" s="8"/>
      <c r="L207" s="8"/>
      <c r="M207" s="8"/>
      <c r="N207" s="8"/>
      <c r="O207" s="8"/>
      <c r="P207" s="8"/>
      <c r="Q207" s="8"/>
      <c r="R207" s="8"/>
      <c r="S207" s="8"/>
      <c r="T207" s="8"/>
      <c r="U207" s="8"/>
      <c r="V207" s="8"/>
      <c r="W207" s="8"/>
      <c r="X207" s="8"/>
    </row>
    <row r="208" spans="1:24" ht="12.75">
      <c r="A208" s="82"/>
      <c r="B208" s="8"/>
      <c r="C208" s="59"/>
      <c r="D208" s="59"/>
      <c r="E208" s="8"/>
      <c r="F208" s="8"/>
      <c r="G208" s="8"/>
      <c r="H208" s="8"/>
      <c r="I208" s="8"/>
      <c r="J208" s="8"/>
      <c r="K208" s="8"/>
      <c r="L208" s="8"/>
      <c r="M208" s="8"/>
      <c r="N208" s="8"/>
      <c r="O208" s="8"/>
      <c r="P208" s="8"/>
      <c r="Q208" s="8"/>
      <c r="R208" s="8"/>
      <c r="S208" s="8"/>
      <c r="T208" s="8"/>
      <c r="U208" s="8"/>
      <c r="V208" s="8"/>
      <c r="W208" s="8"/>
      <c r="X208" s="8"/>
    </row>
    <row r="209" spans="1:24" ht="12.75">
      <c r="A209" s="82"/>
      <c r="B209" s="8"/>
      <c r="C209" s="59"/>
      <c r="D209" s="59"/>
      <c r="E209" s="8"/>
      <c r="F209" s="8"/>
      <c r="G209" s="8"/>
      <c r="H209" s="8"/>
      <c r="I209" s="8"/>
      <c r="J209" s="8"/>
      <c r="K209" s="8"/>
      <c r="L209" s="8"/>
      <c r="M209" s="8"/>
      <c r="N209" s="8"/>
      <c r="O209" s="8"/>
      <c r="P209" s="8"/>
      <c r="Q209" s="8"/>
      <c r="R209" s="8"/>
      <c r="S209" s="8"/>
      <c r="T209" s="8"/>
      <c r="U209" s="8"/>
      <c r="V209" s="8"/>
      <c r="W209" s="8"/>
      <c r="X209" s="8"/>
    </row>
    <row r="210" spans="1:24" ht="12.75">
      <c r="A210" s="82"/>
      <c r="B210" s="8"/>
      <c r="C210" s="59"/>
      <c r="D210" s="59"/>
      <c r="E210" s="8"/>
      <c r="F210" s="8"/>
      <c r="G210" s="8"/>
      <c r="H210" s="8"/>
      <c r="I210" s="8"/>
      <c r="J210" s="8"/>
      <c r="K210" s="8"/>
      <c r="L210" s="8"/>
      <c r="M210" s="8"/>
      <c r="N210" s="8"/>
      <c r="O210" s="8"/>
      <c r="P210" s="8"/>
      <c r="Q210" s="8"/>
      <c r="R210" s="8"/>
      <c r="S210" s="8"/>
      <c r="T210" s="8"/>
      <c r="U210" s="8"/>
      <c r="V210" s="8"/>
      <c r="W210" s="8"/>
      <c r="X210" s="8"/>
    </row>
    <row r="211" spans="1:24" ht="12.75">
      <c r="A211" s="82"/>
      <c r="B211" s="8"/>
      <c r="C211" s="59"/>
      <c r="D211" s="59"/>
      <c r="E211" s="8"/>
      <c r="F211" s="8"/>
      <c r="G211" s="8"/>
      <c r="H211" s="8"/>
      <c r="I211" s="8"/>
      <c r="J211" s="8"/>
      <c r="K211" s="8"/>
      <c r="L211" s="8"/>
      <c r="M211" s="8"/>
      <c r="N211" s="8"/>
      <c r="O211" s="8"/>
      <c r="P211" s="8"/>
      <c r="Q211" s="8"/>
      <c r="R211" s="8"/>
      <c r="S211" s="8"/>
      <c r="T211" s="8"/>
      <c r="U211" s="8"/>
      <c r="V211" s="8"/>
      <c r="W211" s="8"/>
      <c r="X211" s="8"/>
    </row>
    <row r="212" spans="1:24" ht="12.75">
      <c r="A212" s="82"/>
      <c r="B212" s="8"/>
      <c r="C212" s="59"/>
      <c r="D212" s="59"/>
      <c r="E212" s="8"/>
      <c r="F212" s="8"/>
      <c r="G212" s="8"/>
      <c r="H212" s="8"/>
      <c r="I212" s="8"/>
      <c r="J212" s="8"/>
      <c r="K212" s="8"/>
      <c r="L212" s="8"/>
      <c r="M212" s="8"/>
      <c r="N212" s="8"/>
      <c r="O212" s="8"/>
      <c r="P212" s="8"/>
      <c r="Q212" s="8"/>
      <c r="R212" s="8"/>
      <c r="S212" s="8"/>
      <c r="T212" s="8"/>
      <c r="U212" s="8"/>
      <c r="V212" s="8"/>
      <c r="W212" s="8"/>
      <c r="X212" s="8"/>
    </row>
    <row r="213" spans="1:24" ht="12.75">
      <c r="A213" s="82"/>
      <c r="B213" s="8"/>
      <c r="C213" s="59"/>
      <c r="D213" s="59"/>
      <c r="E213" s="8"/>
      <c r="F213" s="8"/>
      <c r="G213" s="8"/>
      <c r="H213" s="8"/>
      <c r="I213" s="8"/>
      <c r="J213" s="8"/>
      <c r="K213" s="8"/>
      <c r="L213" s="8"/>
      <c r="M213" s="8"/>
      <c r="N213" s="8"/>
      <c r="O213" s="8"/>
      <c r="P213" s="8"/>
      <c r="Q213" s="8"/>
      <c r="R213" s="8"/>
      <c r="S213" s="8"/>
      <c r="T213" s="8"/>
      <c r="U213" s="8"/>
      <c r="V213" s="8"/>
      <c r="W213" s="8"/>
      <c r="X213" s="8"/>
    </row>
    <row r="214" spans="1:24" ht="12.75">
      <c r="A214" s="82"/>
      <c r="B214" s="8"/>
      <c r="C214" s="59"/>
      <c r="D214" s="59"/>
      <c r="E214" s="8"/>
      <c r="F214" s="8"/>
      <c r="G214" s="8"/>
      <c r="H214" s="8"/>
      <c r="I214" s="8"/>
      <c r="J214" s="8"/>
      <c r="K214" s="8"/>
      <c r="L214" s="8"/>
      <c r="M214" s="8"/>
      <c r="N214" s="8"/>
      <c r="O214" s="8"/>
      <c r="P214" s="8"/>
      <c r="Q214" s="8"/>
      <c r="R214" s="8"/>
      <c r="S214" s="8"/>
      <c r="T214" s="8"/>
      <c r="U214" s="8"/>
      <c r="V214" s="8"/>
      <c r="W214" s="8"/>
      <c r="X214" s="8"/>
    </row>
    <row r="215" spans="1:24" ht="12.75">
      <c r="A215" s="82"/>
      <c r="B215" s="8"/>
      <c r="C215" s="59"/>
      <c r="D215" s="59"/>
      <c r="E215" s="8"/>
      <c r="F215" s="8"/>
      <c r="G215" s="8"/>
      <c r="H215" s="8"/>
      <c r="I215" s="8"/>
      <c r="J215" s="8"/>
      <c r="K215" s="8"/>
      <c r="L215" s="8"/>
      <c r="M215" s="8"/>
      <c r="N215" s="8"/>
      <c r="O215" s="8"/>
      <c r="P215" s="8"/>
      <c r="Q215" s="8"/>
      <c r="R215" s="8"/>
      <c r="S215" s="8"/>
      <c r="T215" s="8"/>
      <c r="U215" s="8"/>
      <c r="V215" s="8"/>
      <c r="W215" s="8"/>
      <c r="X215" s="8"/>
    </row>
    <row r="216" spans="1:24" ht="12.75">
      <c r="A216" s="82"/>
      <c r="B216" s="8"/>
      <c r="C216" s="59"/>
      <c r="D216" s="59"/>
      <c r="E216" s="8"/>
      <c r="F216" s="8"/>
      <c r="G216" s="8"/>
      <c r="H216" s="8"/>
      <c r="I216" s="8"/>
      <c r="J216" s="8"/>
      <c r="K216" s="8"/>
      <c r="L216" s="8"/>
      <c r="M216" s="8"/>
      <c r="N216" s="8"/>
      <c r="O216" s="8"/>
      <c r="P216" s="8"/>
      <c r="Q216" s="8"/>
      <c r="R216" s="8"/>
      <c r="S216" s="8"/>
      <c r="T216" s="8"/>
      <c r="U216" s="8"/>
      <c r="V216" s="8"/>
      <c r="W216" s="8"/>
      <c r="X216" s="8"/>
    </row>
    <row r="217" spans="1:24" ht="12.75">
      <c r="A217" s="82"/>
      <c r="B217" s="8"/>
      <c r="C217" s="59"/>
      <c r="D217" s="59"/>
      <c r="E217" s="8"/>
      <c r="F217" s="8"/>
      <c r="G217" s="8"/>
      <c r="H217" s="8"/>
      <c r="I217" s="8"/>
      <c r="J217" s="8"/>
      <c r="K217" s="8"/>
      <c r="L217" s="8"/>
      <c r="M217" s="8"/>
      <c r="N217" s="8"/>
      <c r="O217" s="8"/>
      <c r="P217" s="8"/>
      <c r="Q217" s="8"/>
      <c r="R217" s="8"/>
      <c r="S217" s="8"/>
      <c r="T217" s="8"/>
      <c r="U217" s="8"/>
      <c r="V217" s="8"/>
      <c r="W217" s="8"/>
      <c r="X217" s="8"/>
    </row>
    <row r="218" spans="1:24" ht="12.75">
      <c r="A218" s="82"/>
      <c r="B218" s="8"/>
      <c r="C218" s="59"/>
      <c r="D218" s="59"/>
      <c r="E218" s="8"/>
      <c r="F218" s="8"/>
      <c r="G218" s="8"/>
      <c r="H218" s="8"/>
      <c r="I218" s="8"/>
      <c r="J218" s="8"/>
      <c r="K218" s="8"/>
      <c r="L218" s="8"/>
      <c r="M218" s="8"/>
      <c r="N218" s="8"/>
      <c r="O218" s="8"/>
      <c r="P218" s="8"/>
      <c r="Q218" s="8"/>
      <c r="R218" s="8"/>
      <c r="S218" s="8"/>
      <c r="T218" s="8"/>
      <c r="U218" s="8"/>
      <c r="V218" s="8"/>
      <c r="W218" s="8"/>
      <c r="X218" s="8"/>
    </row>
    <row r="219" spans="1:24" ht="12.75">
      <c r="A219" s="82"/>
      <c r="B219" s="8"/>
      <c r="C219" s="59"/>
      <c r="D219" s="59"/>
      <c r="E219" s="8"/>
      <c r="F219" s="8"/>
      <c r="G219" s="8"/>
      <c r="H219" s="8"/>
      <c r="I219" s="8"/>
      <c r="J219" s="8"/>
      <c r="K219" s="8"/>
      <c r="L219" s="8"/>
      <c r="M219" s="8"/>
      <c r="N219" s="8"/>
      <c r="O219" s="8"/>
      <c r="P219" s="8"/>
      <c r="Q219" s="8"/>
      <c r="R219" s="8"/>
      <c r="S219" s="8"/>
      <c r="T219" s="8"/>
      <c r="U219" s="8"/>
      <c r="V219" s="8"/>
      <c r="W219" s="8"/>
      <c r="X219" s="8"/>
    </row>
    <row r="220" spans="1:24" ht="12.75">
      <c r="A220" s="82"/>
      <c r="B220" s="8"/>
      <c r="C220" s="59"/>
      <c r="D220" s="59"/>
      <c r="E220" s="8"/>
      <c r="F220" s="8"/>
      <c r="G220" s="8"/>
      <c r="H220" s="8"/>
      <c r="I220" s="8"/>
      <c r="J220" s="8"/>
      <c r="K220" s="8"/>
      <c r="L220" s="8"/>
      <c r="M220" s="8"/>
      <c r="N220" s="8"/>
      <c r="O220" s="8"/>
      <c r="P220" s="8"/>
      <c r="Q220" s="8"/>
      <c r="R220" s="8"/>
      <c r="S220" s="8"/>
      <c r="T220" s="8"/>
      <c r="U220" s="8"/>
      <c r="V220" s="8"/>
      <c r="W220" s="8"/>
      <c r="X220" s="8"/>
    </row>
    <row r="221" spans="1:24" ht="12.75">
      <c r="A221" s="82"/>
      <c r="B221" s="8"/>
      <c r="C221" s="59"/>
      <c r="D221" s="59"/>
      <c r="E221" s="8"/>
      <c r="F221" s="8"/>
      <c r="G221" s="8"/>
      <c r="H221" s="8"/>
      <c r="I221" s="8"/>
      <c r="J221" s="8"/>
      <c r="K221" s="8"/>
      <c r="L221" s="8"/>
      <c r="M221" s="8"/>
      <c r="N221" s="8"/>
      <c r="O221" s="8"/>
      <c r="P221" s="8"/>
      <c r="Q221" s="8"/>
      <c r="R221" s="8"/>
      <c r="S221" s="8"/>
      <c r="T221" s="8"/>
      <c r="U221" s="8"/>
      <c r="V221" s="8"/>
      <c r="W221" s="8"/>
      <c r="X221" s="8"/>
    </row>
    <row r="222" spans="1:24" ht="12.75">
      <c r="A222" s="82"/>
      <c r="B222" s="8"/>
      <c r="C222" s="59"/>
      <c r="D222" s="59"/>
      <c r="E222" s="8"/>
      <c r="F222" s="8"/>
      <c r="G222" s="8"/>
      <c r="H222" s="8"/>
      <c r="I222" s="8"/>
      <c r="J222" s="8"/>
      <c r="K222" s="8"/>
      <c r="L222" s="8"/>
      <c r="M222" s="8"/>
      <c r="N222" s="8"/>
      <c r="O222" s="8"/>
      <c r="P222" s="8"/>
      <c r="Q222" s="8"/>
      <c r="R222" s="8"/>
      <c r="S222" s="8"/>
      <c r="T222" s="8"/>
      <c r="U222" s="8"/>
      <c r="V222" s="8"/>
      <c r="W222" s="8"/>
      <c r="X222" s="8"/>
    </row>
    <row r="223" spans="1:24" ht="12.75">
      <c r="A223" s="82"/>
      <c r="B223" s="8"/>
      <c r="C223" s="59"/>
      <c r="D223" s="59"/>
      <c r="E223" s="8"/>
      <c r="F223" s="8"/>
      <c r="G223" s="8"/>
      <c r="H223" s="8"/>
      <c r="I223" s="8"/>
      <c r="J223" s="8"/>
      <c r="K223" s="8"/>
      <c r="L223" s="8"/>
      <c r="M223" s="8"/>
      <c r="N223" s="8"/>
      <c r="O223" s="8"/>
      <c r="P223" s="8"/>
      <c r="Q223" s="8"/>
      <c r="R223" s="8"/>
      <c r="S223" s="8"/>
      <c r="T223" s="8"/>
      <c r="U223" s="8"/>
      <c r="V223" s="8"/>
      <c r="W223" s="8"/>
      <c r="X223" s="8"/>
    </row>
    <row r="224" spans="1:24" ht="12.75">
      <c r="A224" s="82"/>
      <c r="B224" s="8"/>
      <c r="C224" s="59"/>
      <c r="D224" s="59"/>
      <c r="E224" s="8"/>
      <c r="F224" s="8"/>
      <c r="G224" s="8"/>
      <c r="H224" s="8"/>
      <c r="I224" s="8"/>
      <c r="J224" s="8"/>
      <c r="K224" s="8"/>
      <c r="L224" s="8"/>
      <c r="M224" s="8"/>
      <c r="N224" s="8"/>
      <c r="O224" s="8"/>
      <c r="P224" s="8"/>
      <c r="Q224" s="8"/>
      <c r="R224" s="8"/>
      <c r="S224" s="8"/>
      <c r="T224" s="8"/>
      <c r="U224" s="8"/>
      <c r="V224" s="8"/>
      <c r="W224" s="8"/>
      <c r="X224" s="8"/>
    </row>
    <row r="225" spans="1:24" ht="12.75">
      <c r="A225" s="82"/>
      <c r="B225" s="8"/>
      <c r="C225" s="59"/>
      <c r="D225" s="59"/>
      <c r="E225" s="8"/>
      <c r="F225" s="8"/>
      <c r="G225" s="8"/>
      <c r="H225" s="8"/>
      <c r="I225" s="8"/>
      <c r="J225" s="8"/>
      <c r="K225" s="8"/>
      <c r="L225" s="8"/>
      <c r="M225" s="8"/>
      <c r="N225" s="8"/>
      <c r="O225" s="8"/>
      <c r="P225" s="8"/>
      <c r="Q225" s="8"/>
      <c r="R225" s="8"/>
      <c r="S225" s="8"/>
      <c r="T225" s="8"/>
      <c r="U225" s="8"/>
      <c r="V225" s="8"/>
      <c r="W225" s="8"/>
      <c r="X225" s="8"/>
    </row>
    <row r="226" spans="1:24" ht="12.75">
      <c r="A226" s="82"/>
      <c r="B226" s="8"/>
      <c r="C226" s="59"/>
      <c r="D226" s="59"/>
      <c r="E226" s="8"/>
      <c r="F226" s="8"/>
      <c r="G226" s="8"/>
      <c r="H226" s="8"/>
      <c r="I226" s="8"/>
      <c r="J226" s="8"/>
      <c r="K226" s="8"/>
      <c r="L226" s="8"/>
      <c r="M226" s="8"/>
      <c r="N226" s="8"/>
      <c r="O226" s="8"/>
      <c r="P226" s="8"/>
      <c r="Q226" s="8"/>
      <c r="R226" s="8"/>
      <c r="S226" s="8"/>
      <c r="T226" s="8"/>
      <c r="U226" s="8"/>
      <c r="V226" s="8"/>
      <c r="W226" s="8"/>
      <c r="X226" s="8"/>
    </row>
    <row r="227" spans="1:24" ht="12.75">
      <c r="A227" s="82"/>
      <c r="B227" s="8"/>
      <c r="C227" s="59"/>
      <c r="D227" s="59"/>
      <c r="E227" s="8"/>
      <c r="F227" s="8"/>
      <c r="G227" s="8"/>
      <c r="H227" s="8"/>
      <c r="I227" s="8"/>
      <c r="J227" s="8"/>
      <c r="K227" s="8"/>
      <c r="L227" s="8"/>
      <c r="M227" s="8"/>
      <c r="N227" s="8"/>
      <c r="O227" s="8"/>
      <c r="P227" s="8"/>
      <c r="Q227" s="8"/>
      <c r="R227" s="8"/>
      <c r="S227" s="8"/>
      <c r="T227" s="8"/>
      <c r="U227" s="8"/>
      <c r="V227" s="8"/>
      <c r="W227" s="8"/>
      <c r="X227" s="8"/>
    </row>
    <row r="228" spans="1:24" ht="12.75">
      <c r="A228" s="82"/>
      <c r="B228" s="8"/>
      <c r="C228" s="59"/>
      <c r="D228" s="59"/>
      <c r="E228" s="8"/>
      <c r="F228" s="8"/>
      <c r="G228" s="8"/>
      <c r="H228" s="8"/>
      <c r="I228" s="8"/>
      <c r="J228" s="8"/>
      <c r="K228" s="8"/>
      <c r="L228" s="8"/>
      <c r="M228" s="8"/>
      <c r="N228" s="8"/>
      <c r="O228" s="8"/>
      <c r="P228" s="8"/>
      <c r="Q228" s="8"/>
      <c r="R228" s="8"/>
      <c r="S228" s="8"/>
      <c r="T228" s="8"/>
      <c r="U228" s="8"/>
      <c r="V228" s="8"/>
      <c r="W228" s="8"/>
      <c r="X228" s="8"/>
    </row>
    <row r="229" spans="1:24" ht="12.75">
      <c r="A229" s="82"/>
      <c r="B229" s="8"/>
      <c r="C229" s="59"/>
      <c r="D229" s="59"/>
      <c r="E229" s="8"/>
      <c r="F229" s="8"/>
      <c r="G229" s="8"/>
      <c r="H229" s="8"/>
      <c r="I229" s="8"/>
      <c r="J229" s="8"/>
      <c r="K229" s="8"/>
      <c r="L229" s="8"/>
      <c r="M229" s="8"/>
      <c r="N229" s="8"/>
      <c r="O229" s="8"/>
      <c r="P229" s="8"/>
      <c r="Q229" s="8"/>
      <c r="R229" s="8"/>
      <c r="S229" s="8"/>
      <c r="T229" s="8"/>
      <c r="U229" s="8"/>
      <c r="V229" s="8"/>
      <c r="W229" s="8"/>
      <c r="X229" s="8"/>
    </row>
    <row r="230" spans="1:24" ht="12.75">
      <c r="A230" s="82"/>
      <c r="B230" s="8"/>
      <c r="C230" s="59"/>
      <c r="D230" s="59"/>
      <c r="E230" s="8"/>
      <c r="F230" s="8"/>
      <c r="G230" s="8"/>
      <c r="H230" s="8"/>
      <c r="I230" s="8"/>
      <c r="J230" s="8"/>
      <c r="K230" s="8"/>
      <c r="L230" s="8"/>
      <c r="M230" s="8"/>
      <c r="N230" s="8"/>
      <c r="O230" s="8"/>
      <c r="P230" s="8"/>
      <c r="Q230" s="8"/>
      <c r="R230" s="8"/>
      <c r="S230" s="8"/>
      <c r="T230" s="8"/>
      <c r="U230" s="8"/>
      <c r="V230" s="8"/>
      <c r="W230" s="8"/>
      <c r="X230" s="8"/>
    </row>
    <row r="231" spans="1:24" ht="12.75">
      <c r="A231" s="82"/>
      <c r="B231" s="8"/>
      <c r="C231" s="59"/>
      <c r="D231" s="59"/>
      <c r="E231" s="8"/>
      <c r="F231" s="8"/>
      <c r="G231" s="8"/>
      <c r="H231" s="8"/>
      <c r="I231" s="8"/>
      <c r="J231" s="8"/>
      <c r="K231" s="8"/>
      <c r="L231" s="8"/>
      <c r="M231" s="8"/>
      <c r="N231" s="8"/>
      <c r="O231" s="8"/>
      <c r="P231" s="8"/>
      <c r="Q231" s="8"/>
      <c r="R231" s="8"/>
      <c r="S231" s="8"/>
      <c r="T231" s="8"/>
      <c r="U231" s="8"/>
      <c r="V231" s="8"/>
      <c r="W231" s="8"/>
      <c r="X231" s="8"/>
    </row>
    <row r="232" spans="1:24" ht="12.75">
      <c r="A232" s="82"/>
      <c r="B232" s="8"/>
      <c r="C232" s="59"/>
      <c r="D232" s="59"/>
      <c r="E232" s="8"/>
      <c r="F232" s="8"/>
      <c r="G232" s="8"/>
      <c r="H232" s="8"/>
      <c r="I232" s="8"/>
      <c r="J232" s="8"/>
      <c r="K232" s="8"/>
      <c r="L232" s="8"/>
      <c r="M232" s="8"/>
      <c r="N232" s="8"/>
      <c r="O232" s="8"/>
      <c r="P232" s="8"/>
      <c r="Q232" s="8"/>
      <c r="R232" s="8"/>
      <c r="S232" s="8"/>
      <c r="T232" s="8"/>
      <c r="U232" s="8"/>
      <c r="V232" s="8"/>
      <c r="W232" s="8"/>
      <c r="X232" s="8"/>
    </row>
    <row r="233" spans="1:24" ht="12.75">
      <c r="A233" s="82"/>
      <c r="B233" s="8"/>
      <c r="C233" s="59"/>
      <c r="D233" s="59"/>
      <c r="E233" s="8"/>
      <c r="F233" s="8"/>
      <c r="G233" s="8"/>
      <c r="H233" s="8"/>
      <c r="I233" s="8"/>
      <c r="J233" s="8"/>
      <c r="K233" s="8"/>
      <c r="L233" s="8"/>
      <c r="M233" s="8"/>
      <c r="N233" s="8"/>
      <c r="O233" s="8"/>
      <c r="P233" s="8"/>
      <c r="Q233" s="8"/>
      <c r="R233" s="8"/>
      <c r="S233" s="8"/>
      <c r="T233" s="8"/>
      <c r="U233" s="8"/>
      <c r="V233" s="8"/>
      <c r="W233" s="8"/>
      <c r="X233" s="8"/>
    </row>
    <row r="234" spans="1:24" ht="12.75">
      <c r="A234" s="82"/>
      <c r="B234" s="8"/>
      <c r="C234" s="59"/>
      <c r="D234" s="59"/>
      <c r="E234" s="8"/>
      <c r="F234" s="8"/>
      <c r="G234" s="8"/>
      <c r="H234" s="8"/>
      <c r="I234" s="8"/>
      <c r="J234" s="8"/>
      <c r="K234" s="8"/>
      <c r="L234" s="8"/>
      <c r="M234" s="8"/>
      <c r="N234" s="8"/>
      <c r="O234" s="8"/>
      <c r="P234" s="8"/>
      <c r="Q234" s="8"/>
      <c r="R234" s="8"/>
      <c r="S234" s="8"/>
      <c r="T234" s="8"/>
      <c r="U234" s="8"/>
      <c r="V234" s="8"/>
      <c r="W234" s="8"/>
      <c r="X234" s="8"/>
    </row>
    <row r="235" spans="1:24" ht="12.75">
      <c r="A235" s="82"/>
      <c r="B235" s="8"/>
      <c r="C235" s="59"/>
      <c r="D235" s="59"/>
      <c r="E235" s="8"/>
      <c r="F235" s="8"/>
      <c r="G235" s="8"/>
      <c r="H235" s="8"/>
      <c r="I235" s="8"/>
      <c r="J235" s="8"/>
      <c r="K235" s="8"/>
      <c r="L235" s="8"/>
      <c r="M235" s="8"/>
      <c r="N235" s="8"/>
      <c r="O235" s="8"/>
      <c r="P235" s="8"/>
      <c r="Q235" s="8"/>
      <c r="R235" s="8"/>
      <c r="S235" s="8"/>
      <c r="T235" s="8"/>
      <c r="U235" s="8"/>
      <c r="V235" s="8"/>
      <c r="W235" s="8"/>
      <c r="X235" s="8"/>
    </row>
    <row r="236" spans="1:24" ht="12.75">
      <c r="A236" s="82"/>
      <c r="B236" s="8"/>
      <c r="C236" s="59"/>
      <c r="D236" s="59"/>
      <c r="E236" s="8"/>
      <c r="F236" s="8"/>
      <c r="G236" s="8"/>
      <c r="H236" s="8"/>
      <c r="I236" s="8"/>
      <c r="J236" s="8"/>
      <c r="K236" s="8"/>
      <c r="L236" s="8"/>
      <c r="M236" s="8"/>
      <c r="N236" s="8"/>
      <c r="O236" s="8"/>
      <c r="P236" s="8"/>
      <c r="Q236" s="8"/>
      <c r="R236" s="8"/>
      <c r="S236" s="8"/>
      <c r="T236" s="8"/>
      <c r="U236" s="8"/>
      <c r="V236" s="8"/>
      <c r="W236" s="8"/>
      <c r="X236" s="8"/>
    </row>
    <row r="237" spans="1:24" ht="12.75">
      <c r="A237" s="82"/>
      <c r="B237" s="8"/>
      <c r="C237" s="59"/>
      <c r="D237" s="59"/>
      <c r="E237" s="8"/>
      <c r="F237" s="8"/>
      <c r="G237" s="8"/>
      <c r="H237" s="8"/>
      <c r="I237" s="8"/>
      <c r="J237" s="8"/>
      <c r="K237" s="8"/>
      <c r="L237" s="8"/>
      <c r="M237" s="8"/>
      <c r="N237" s="8"/>
      <c r="O237" s="8"/>
      <c r="P237" s="8"/>
      <c r="Q237" s="8"/>
      <c r="R237" s="8"/>
      <c r="S237" s="8"/>
      <c r="T237" s="8"/>
      <c r="U237" s="8"/>
      <c r="V237" s="8"/>
      <c r="W237" s="8"/>
      <c r="X237" s="8"/>
    </row>
    <row r="238" spans="1:24" ht="12.75">
      <c r="A238" s="82"/>
      <c r="B238" s="8"/>
      <c r="C238" s="59"/>
      <c r="D238" s="59"/>
      <c r="E238" s="8"/>
      <c r="F238" s="8"/>
      <c r="G238" s="8"/>
      <c r="H238" s="8"/>
      <c r="I238" s="8"/>
      <c r="J238" s="8"/>
      <c r="K238" s="8"/>
      <c r="L238" s="8"/>
      <c r="M238" s="8"/>
      <c r="N238" s="8"/>
      <c r="O238" s="8"/>
      <c r="P238" s="8"/>
      <c r="Q238" s="8"/>
      <c r="R238" s="8"/>
      <c r="S238" s="8"/>
      <c r="T238" s="8"/>
      <c r="U238" s="8"/>
      <c r="V238" s="8"/>
      <c r="W238" s="8"/>
      <c r="X238" s="8"/>
    </row>
    <row r="239" spans="1:24" ht="12.75">
      <c r="A239" s="82"/>
      <c r="B239" s="8"/>
      <c r="C239" s="59"/>
      <c r="D239" s="59"/>
      <c r="E239" s="8"/>
      <c r="F239" s="8"/>
      <c r="G239" s="8"/>
      <c r="H239" s="8"/>
      <c r="I239" s="8"/>
      <c r="J239" s="8"/>
      <c r="K239" s="8"/>
      <c r="L239" s="8"/>
      <c r="M239" s="8"/>
      <c r="N239" s="8"/>
      <c r="O239" s="8"/>
      <c r="P239" s="8"/>
      <c r="Q239" s="8"/>
      <c r="R239" s="8"/>
      <c r="S239" s="8"/>
      <c r="T239" s="8"/>
      <c r="U239" s="8"/>
      <c r="V239" s="8"/>
      <c r="W239" s="8"/>
      <c r="X239" s="8"/>
    </row>
    <row r="240" spans="1:24" ht="12.75">
      <c r="A240" s="82"/>
      <c r="B240" s="8"/>
      <c r="C240" s="59"/>
      <c r="D240" s="59"/>
      <c r="E240" s="8"/>
      <c r="F240" s="8"/>
      <c r="G240" s="8"/>
      <c r="H240" s="8"/>
      <c r="I240" s="8"/>
      <c r="J240" s="8"/>
      <c r="K240" s="8"/>
      <c r="L240" s="8"/>
      <c r="M240" s="8"/>
      <c r="N240" s="8"/>
      <c r="O240" s="8"/>
      <c r="P240" s="8"/>
      <c r="Q240" s="8"/>
      <c r="R240" s="8"/>
      <c r="S240" s="8"/>
      <c r="T240" s="8"/>
      <c r="U240" s="8"/>
      <c r="V240" s="8"/>
      <c r="W240" s="8"/>
      <c r="X240" s="8"/>
    </row>
    <row r="241" spans="1:24" ht="12.75">
      <c r="A241" s="82"/>
      <c r="B241" s="8"/>
      <c r="C241" s="59"/>
      <c r="D241" s="59"/>
      <c r="E241" s="8"/>
      <c r="F241" s="8"/>
      <c r="G241" s="8"/>
      <c r="H241" s="8"/>
      <c r="I241" s="8"/>
      <c r="J241" s="8"/>
      <c r="K241" s="8"/>
      <c r="L241" s="8"/>
      <c r="M241" s="8"/>
      <c r="N241" s="8"/>
      <c r="O241" s="8"/>
      <c r="P241" s="8"/>
      <c r="Q241" s="8"/>
      <c r="R241" s="8"/>
      <c r="S241" s="8"/>
      <c r="T241" s="8"/>
      <c r="U241" s="8"/>
      <c r="V241" s="8"/>
      <c r="W241" s="8"/>
      <c r="X241" s="8"/>
    </row>
    <row r="242" spans="1:24" ht="12.75">
      <c r="A242" s="82"/>
      <c r="B242" s="8"/>
      <c r="C242" s="59"/>
      <c r="D242" s="59"/>
      <c r="E242" s="8"/>
      <c r="F242" s="8"/>
      <c r="G242" s="8"/>
      <c r="H242" s="8"/>
      <c r="I242" s="8"/>
      <c r="J242" s="8"/>
      <c r="K242" s="8"/>
      <c r="L242" s="8"/>
      <c r="M242" s="8"/>
      <c r="N242" s="8"/>
      <c r="O242" s="8"/>
      <c r="P242" s="8"/>
      <c r="Q242" s="8"/>
      <c r="R242" s="8"/>
      <c r="S242" s="8"/>
      <c r="T242" s="8"/>
      <c r="U242" s="8"/>
      <c r="V242" s="8"/>
      <c r="W242" s="8"/>
      <c r="X242" s="8"/>
    </row>
    <row r="243" spans="1:24" ht="12.75">
      <c r="A243" s="82"/>
      <c r="B243" s="8"/>
      <c r="C243" s="59"/>
      <c r="D243" s="59"/>
      <c r="E243" s="8"/>
      <c r="F243" s="8"/>
      <c r="G243" s="8"/>
      <c r="H243" s="8"/>
      <c r="I243" s="8"/>
      <c r="J243" s="8"/>
      <c r="K243" s="8"/>
      <c r="L243" s="8"/>
      <c r="M243" s="8"/>
      <c r="N243" s="8"/>
      <c r="O243" s="8"/>
      <c r="P243" s="8"/>
      <c r="Q243" s="8"/>
      <c r="R243" s="8"/>
      <c r="S243" s="8"/>
      <c r="T243" s="8"/>
      <c r="U243" s="8"/>
      <c r="V243" s="8"/>
      <c r="W243" s="8"/>
      <c r="X243" s="8"/>
    </row>
    <row r="244" spans="1:24" ht="12.75">
      <c r="A244" s="82"/>
      <c r="B244" s="8"/>
      <c r="C244" s="59"/>
      <c r="D244" s="59"/>
      <c r="E244" s="8"/>
      <c r="F244" s="8"/>
      <c r="G244" s="8"/>
      <c r="H244" s="8"/>
      <c r="I244" s="8"/>
      <c r="J244" s="8"/>
      <c r="K244" s="8"/>
      <c r="L244" s="8"/>
      <c r="M244" s="8"/>
      <c r="N244" s="8"/>
      <c r="O244" s="8"/>
      <c r="P244" s="8"/>
      <c r="Q244" s="8"/>
      <c r="R244" s="8"/>
      <c r="S244" s="8"/>
      <c r="T244" s="8"/>
      <c r="U244" s="8"/>
      <c r="V244" s="8"/>
      <c r="W244" s="8"/>
      <c r="X244" s="8"/>
    </row>
    <row r="245" spans="1:24" ht="12.75">
      <c r="A245" s="82"/>
      <c r="B245" s="8"/>
      <c r="C245" s="59"/>
      <c r="D245" s="59"/>
      <c r="E245" s="8"/>
      <c r="F245" s="8"/>
      <c r="G245" s="8"/>
      <c r="H245" s="8"/>
      <c r="I245" s="8"/>
      <c r="J245" s="8"/>
      <c r="K245" s="8"/>
      <c r="L245" s="8"/>
      <c r="M245" s="8"/>
      <c r="N245" s="8"/>
      <c r="O245" s="8"/>
      <c r="P245" s="8"/>
      <c r="Q245" s="8"/>
      <c r="R245" s="8"/>
      <c r="S245" s="8"/>
      <c r="T245" s="8"/>
      <c r="U245" s="8"/>
      <c r="V245" s="8"/>
      <c r="W245" s="8"/>
      <c r="X245" s="8"/>
    </row>
    <row r="246" spans="1:24" ht="12.75">
      <c r="A246" s="82"/>
      <c r="B246" s="8"/>
      <c r="C246" s="59"/>
      <c r="D246" s="59"/>
      <c r="E246" s="8"/>
      <c r="F246" s="8"/>
      <c r="G246" s="8"/>
      <c r="H246" s="8"/>
      <c r="I246" s="8"/>
      <c r="J246" s="8"/>
      <c r="K246" s="8"/>
      <c r="L246" s="8"/>
      <c r="M246" s="8"/>
      <c r="N246" s="8"/>
      <c r="O246" s="8"/>
      <c r="P246" s="8"/>
      <c r="Q246" s="8"/>
      <c r="R246" s="8"/>
      <c r="S246" s="8"/>
      <c r="T246" s="8"/>
      <c r="U246" s="8"/>
      <c r="V246" s="8"/>
      <c r="W246" s="8"/>
      <c r="X246" s="8"/>
    </row>
    <row r="247" spans="1:24" ht="12.75">
      <c r="A247" s="82"/>
      <c r="B247" s="8"/>
      <c r="C247" s="59"/>
      <c r="D247" s="59"/>
      <c r="E247" s="8"/>
      <c r="F247" s="8"/>
      <c r="G247" s="8"/>
      <c r="H247" s="8"/>
      <c r="I247" s="8"/>
      <c r="J247" s="8"/>
      <c r="K247" s="8"/>
      <c r="L247" s="8"/>
      <c r="M247" s="8"/>
      <c r="N247" s="8"/>
      <c r="O247" s="8"/>
      <c r="P247" s="8"/>
      <c r="Q247" s="8"/>
      <c r="R247" s="8"/>
      <c r="S247" s="8"/>
      <c r="T247" s="8"/>
      <c r="U247" s="8"/>
      <c r="V247" s="8"/>
      <c r="W247" s="8"/>
      <c r="X247" s="8"/>
    </row>
    <row r="248" spans="1:24" ht="12.75">
      <c r="A248" s="82"/>
      <c r="B248" s="8"/>
      <c r="C248" s="59"/>
      <c r="D248" s="59"/>
      <c r="E248" s="8"/>
      <c r="F248" s="8"/>
      <c r="G248" s="8"/>
      <c r="H248" s="8"/>
      <c r="I248" s="8"/>
      <c r="J248" s="8"/>
      <c r="K248" s="8"/>
      <c r="L248" s="8"/>
      <c r="M248" s="8"/>
      <c r="N248" s="8"/>
      <c r="O248" s="8"/>
      <c r="P248" s="8"/>
      <c r="Q248" s="8"/>
      <c r="R248" s="8"/>
      <c r="S248" s="8"/>
      <c r="T248" s="8"/>
      <c r="U248" s="8"/>
      <c r="V248" s="8"/>
      <c r="W248" s="8"/>
      <c r="X248" s="8"/>
    </row>
    <row r="249" spans="1:24" ht="12.75">
      <c r="A249" s="82"/>
      <c r="B249" s="8"/>
      <c r="C249" s="59"/>
      <c r="D249" s="59"/>
      <c r="E249" s="8"/>
      <c r="F249" s="8"/>
      <c r="G249" s="8"/>
      <c r="H249" s="8"/>
      <c r="I249" s="8"/>
      <c r="J249" s="8"/>
      <c r="K249" s="8"/>
      <c r="L249" s="8"/>
      <c r="M249" s="8"/>
      <c r="N249" s="8"/>
      <c r="O249" s="8"/>
      <c r="P249" s="8"/>
      <c r="Q249" s="8"/>
      <c r="R249" s="8"/>
      <c r="S249" s="8"/>
      <c r="T249" s="8"/>
      <c r="U249" s="8"/>
      <c r="V249" s="8"/>
      <c r="W249" s="8"/>
      <c r="X249" s="8"/>
    </row>
    <row r="250" spans="1:24" ht="12.75">
      <c r="A250" s="82"/>
      <c r="B250" s="8"/>
      <c r="C250" s="59"/>
      <c r="D250" s="59"/>
      <c r="E250" s="8"/>
      <c r="F250" s="8"/>
      <c r="G250" s="8"/>
      <c r="H250" s="8"/>
      <c r="I250" s="8"/>
      <c r="J250" s="8"/>
      <c r="K250" s="8"/>
      <c r="L250" s="8"/>
      <c r="M250" s="8"/>
      <c r="N250" s="8"/>
      <c r="O250" s="8"/>
      <c r="P250" s="8"/>
      <c r="Q250" s="8"/>
      <c r="R250" s="8"/>
      <c r="S250" s="8"/>
      <c r="T250" s="8"/>
      <c r="U250" s="8"/>
      <c r="V250" s="8"/>
      <c r="W250" s="8"/>
      <c r="X250" s="8"/>
    </row>
    <row r="251" spans="1:24" ht="12.75">
      <c r="A251" s="82"/>
      <c r="B251" s="8"/>
      <c r="C251" s="59"/>
      <c r="D251" s="59"/>
      <c r="E251" s="8"/>
      <c r="F251" s="8"/>
      <c r="G251" s="8"/>
      <c r="H251" s="8"/>
      <c r="I251" s="8"/>
      <c r="J251" s="8"/>
      <c r="K251" s="8"/>
      <c r="L251" s="8"/>
      <c r="M251" s="8"/>
      <c r="N251" s="8"/>
      <c r="O251" s="8"/>
      <c r="P251" s="8"/>
      <c r="Q251" s="8"/>
      <c r="R251" s="8"/>
      <c r="S251" s="8"/>
      <c r="T251" s="8"/>
      <c r="U251" s="8"/>
      <c r="V251" s="8"/>
      <c r="W251" s="8"/>
      <c r="X251" s="8"/>
    </row>
    <row r="252" spans="1:24" ht="12.75">
      <c r="A252" s="82"/>
      <c r="B252" s="8"/>
      <c r="C252" s="59"/>
      <c r="D252" s="59"/>
      <c r="E252" s="8"/>
      <c r="F252" s="8"/>
      <c r="G252" s="8"/>
      <c r="H252" s="8"/>
      <c r="I252" s="8"/>
      <c r="J252" s="8"/>
      <c r="K252" s="8"/>
      <c r="L252" s="8"/>
      <c r="M252" s="8"/>
      <c r="N252" s="8"/>
      <c r="O252" s="8"/>
      <c r="P252" s="8"/>
      <c r="Q252" s="8"/>
      <c r="R252" s="8"/>
      <c r="S252" s="8"/>
      <c r="T252" s="8"/>
      <c r="U252" s="8"/>
      <c r="V252" s="8"/>
      <c r="W252" s="8"/>
      <c r="X252" s="8"/>
    </row>
    <row r="253" spans="1:24" ht="12.75">
      <c r="A253" s="82"/>
      <c r="B253" s="8"/>
      <c r="C253" s="59"/>
      <c r="D253" s="59"/>
      <c r="E253" s="8"/>
      <c r="F253" s="8"/>
      <c r="G253" s="8"/>
      <c r="H253" s="8"/>
      <c r="I253" s="8"/>
      <c r="J253" s="8"/>
      <c r="K253" s="8"/>
      <c r="L253" s="8"/>
      <c r="M253" s="8"/>
      <c r="N253" s="8"/>
      <c r="O253" s="8"/>
      <c r="P253" s="8"/>
      <c r="Q253" s="8"/>
      <c r="R253" s="8"/>
      <c r="S253" s="8"/>
      <c r="T253" s="8"/>
      <c r="U253" s="8"/>
      <c r="V253" s="8"/>
      <c r="W253" s="8"/>
      <c r="X253" s="8"/>
    </row>
    <row r="254" spans="1:24" ht="12.75">
      <c r="A254" s="82"/>
      <c r="B254" s="8"/>
      <c r="C254" s="59"/>
      <c r="D254" s="59"/>
      <c r="E254" s="8"/>
      <c r="F254" s="8"/>
      <c r="G254" s="8"/>
      <c r="H254" s="8"/>
      <c r="I254" s="8"/>
      <c r="J254" s="8"/>
      <c r="K254" s="8"/>
      <c r="L254" s="8"/>
      <c r="M254" s="8"/>
      <c r="N254" s="8"/>
      <c r="O254" s="8"/>
      <c r="P254" s="8"/>
      <c r="Q254" s="8"/>
      <c r="R254" s="8"/>
      <c r="S254" s="8"/>
      <c r="T254" s="8"/>
      <c r="U254" s="8"/>
      <c r="V254" s="8"/>
      <c r="W254" s="8"/>
      <c r="X254" s="8"/>
    </row>
    <row r="255" spans="1:24" ht="12.75">
      <c r="A255" s="82"/>
      <c r="B255" s="8"/>
      <c r="C255" s="59"/>
      <c r="D255" s="59"/>
      <c r="E255" s="8"/>
      <c r="F255" s="8"/>
      <c r="G255" s="8"/>
      <c r="H255" s="8"/>
      <c r="I255" s="8"/>
      <c r="J255" s="8"/>
      <c r="K255" s="8"/>
      <c r="L255" s="8"/>
      <c r="M255" s="8"/>
      <c r="N255" s="8"/>
      <c r="O255" s="8"/>
      <c r="P255" s="8"/>
      <c r="Q255" s="8"/>
      <c r="R255" s="8"/>
      <c r="S255" s="8"/>
      <c r="T255" s="8"/>
      <c r="U255" s="8"/>
      <c r="V255" s="8"/>
      <c r="W255" s="8"/>
      <c r="X255" s="8"/>
    </row>
    <row r="256" spans="1:24" ht="12.75">
      <c r="A256" s="82"/>
      <c r="B256" s="8"/>
      <c r="C256" s="59"/>
      <c r="D256" s="59"/>
      <c r="E256" s="8"/>
      <c r="F256" s="8"/>
      <c r="G256" s="8"/>
      <c r="H256" s="8"/>
      <c r="I256" s="8"/>
      <c r="J256" s="8"/>
      <c r="K256" s="8"/>
      <c r="L256" s="8"/>
      <c r="M256" s="8"/>
      <c r="N256" s="8"/>
      <c r="O256" s="8"/>
      <c r="P256" s="8"/>
      <c r="Q256" s="8"/>
      <c r="R256" s="8"/>
      <c r="S256" s="8"/>
      <c r="T256" s="8"/>
      <c r="U256" s="8"/>
      <c r="V256" s="8"/>
      <c r="W256" s="8"/>
      <c r="X256" s="8"/>
    </row>
    <row r="257" spans="1:24" ht="12.75">
      <c r="A257" s="82"/>
      <c r="B257" s="8"/>
      <c r="C257" s="59"/>
      <c r="D257" s="59"/>
      <c r="E257" s="8"/>
      <c r="F257" s="8"/>
      <c r="G257" s="8"/>
      <c r="H257" s="8"/>
      <c r="I257" s="8"/>
      <c r="J257" s="8"/>
      <c r="K257" s="8"/>
      <c r="L257" s="8"/>
      <c r="M257" s="8"/>
      <c r="N257" s="8"/>
      <c r="O257" s="8"/>
      <c r="P257" s="8"/>
      <c r="Q257" s="8"/>
      <c r="R257" s="8"/>
      <c r="S257" s="8"/>
      <c r="T257" s="8"/>
      <c r="U257" s="8"/>
      <c r="V257" s="8"/>
      <c r="W257" s="8"/>
      <c r="X257" s="8"/>
    </row>
    <row r="258" spans="1:24" ht="12.75">
      <c r="A258" s="82"/>
      <c r="B258" s="8"/>
      <c r="C258" s="59"/>
      <c r="D258" s="59"/>
      <c r="E258" s="8"/>
      <c r="F258" s="8"/>
      <c r="G258" s="8"/>
      <c r="H258" s="8"/>
      <c r="I258" s="8"/>
      <c r="J258" s="8"/>
      <c r="K258" s="8"/>
      <c r="L258" s="8"/>
      <c r="M258" s="8"/>
      <c r="N258" s="8"/>
      <c r="O258" s="8"/>
      <c r="P258" s="8"/>
      <c r="Q258" s="8"/>
      <c r="R258" s="8"/>
      <c r="S258" s="8"/>
      <c r="T258" s="8"/>
      <c r="U258" s="8"/>
      <c r="V258" s="8"/>
      <c r="W258" s="8"/>
      <c r="X258" s="8"/>
    </row>
    <row r="259" spans="1:24" ht="12.75">
      <c r="A259" s="82"/>
      <c r="B259" s="8"/>
      <c r="C259" s="59"/>
      <c r="D259" s="59"/>
      <c r="E259" s="8"/>
      <c r="F259" s="8"/>
      <c r="G259" s="8"/>
      <c r="H259" s="8"/>
      <c r="I259" s="8"/>
      <c r="J259" s="8"/>
      <c r="K259" s="8"/>
      <c r="L259" s="8"/>
      <c r="M259" s="8"/>
      <c r="N259" s="8"/>
      <c r="O259" s="8"/>
      <c r="P259" s="8"/>
      <c r="Q259" s="8"/>
      <c r="R259" s="8"/>
      <c r="S259" s="8"/>
      <c r="T259" s="8"/>
      <c r="U259" s="8"/>
      <c r="V259" s="8"/>
      <c r="W259" s="8"/>
      <c r="X259" s="8"/>
    </row>
    <row r="260" spans="1:24" ht="12.75">
      <c r="A260" s="82"/>
      <c r="B260" s="8"/>
      <c r="C260" s="59"/>
      <c r="D260" s="59"/>
      <c r="E260" s="8"/>
      <c r="F260" s="8"/>
      <c r="G260" s="8"/>
      <c r="H260" s="8"/>
      <c r="I260" s="8"/>
      <c r="J260" s="8"/>
      <c r="K260" s="8"/>
      <c r="L260" s="8"/>
      <c r="M260" s="8"/>
      <c r="N260" s="8"/>
      <c r="O260" s="8"/>
      <c r="P260" s="8"/>
      <c r="Q260" s="8"/>
      <c r="R260" s="8"/>
      <c r="S260" s="8"/>
      <c r="T260" s="8"/>
      <c r="U260" s="8"/>
      <c r="V260" s="8"/>
      <c r="W260" s="8"/>
      <c r="X260" s="8"/>
    </row>
    <row r="261" spans="1:24" ht="12.75">
      <c r="A261" s="82"/>
      <c r="B261" s="8"/>
      <c r="C261" s="59"/>
      <c r="D261" s="59"/>
      <c r="E261" s="8"/>
      <c r="F261" s="8"/>
      <c r="G261" s="8"/>
      <c r="H261" s="8"/>
      <c r="I261" s="8"/>
      <c r="J261" s="8"/>
      <c r="K261" s="8"/>
      <c r="L261" s="8"/>
      <c r="M261" s="8"/>
      <c r="N261" s="8"/>
      <c r="O261" s="8"/>
      <c r="P261" s="8"/>
      <c r="Q261" s="8"/>
      <c r="R261" s="8"/>
      <c r="S261" s="8"/>
      <c r="T261" s="8"/>
      <c r="U261" s="8"/>
      <c r="V261" s="8"/>
      <c r="W261" s="8"/>
      <c r="X261" s="8"/>
    </row>
    <row r="262" spans="1:24" ht="12.75">
      <c r="A262" s="82"/>
      <c r="B262" s="8"/>
      <c r="C262" s="59"/>
      <c r="D262" s="59"/>
      <c r="E262" s="8"/>
      <c r="F262" s="8"/>
      <c r="G262" s="8"/>
      <c r="H262" s="8"/>
      <c r="I262" s="8"/>
      <c r="J262" s="8"/>
      <c r="K262" s="8"/>
      <c r="L262" s="8"/>
      <c r="M262" s="8"/>
      <c r="N262" s="8"/>
      <c r="O262" s="8"/>
      <c r="P262" s="8"/>
      <c r="Q262" s="8"/>
      <c r="R262" s="8"/>
      <c r="S262" s="8"/>
      <c r="T262" s="8"/>
      <c r="U262" s="8"/>
      <c r="V262" s="8"/>
      <c r="W262" s="8"/>
      <c r="X262" s="8"/>
    </row>
    <row r="263" spans="1:24" ht="12.75">
      <c r="A263" s="82"/>
      <c r="B263" s="8"/>
      <c r="C263" s="59"/>
      <c r="D263" s="59"/>
      <c r="E263" s="8"/>
      <c r="F263" s="8"/>
      <c r="G263" s="8"/>
      <c r="H263" s="8"/>
      <c r="I263" s="8"/>
      <c r="J263" s="8"/>
      <c r="K263" s="8"/>
      <c r="L263" s="8"/>
      <c r="M263" s="8"/>
      <c r="N263" s="8"/>
      <c r="O263" s="8"/>
      <c r="P263" s="8"/>
      <c r="Q263" s="8"/>
      <c r="R263" s="8"/>
      <c r="S263" s="8"/>
      <c r="T263" s="8"/>
      <c r="U263" s="8"/>
      <c r="V263" s="8"/>
      <c r="W263" s="8"/>
      <c r="X263" s="8"/>
    </row>
    <row r="264" spans="1:24" ht="12.75">
      <c r="A264" s="82"/>
      <c r="B264" s="8"/>
      <c r="C264" s="59"/>
      <c r="D264" s="59"/>
      <c r="E264" s="8"/>
      <c r="F264" s="8"/>
      <c r="G264" s="8"/>
      <c r="H264" s="8"/>
      <c r="I264" s="8"/>
      <c r="J264" s="8"/>
      <c r="K264" s="8"/>
      <c r="L264" s="8"/>
      <c r="M264" s="8"/>
      <c r="N264" s="8"/>
      <c r="O264" s="8"/>
      <c r="P264" s="8"/>
      <c r="Q264" s="8"/>
      <c r="R264" s="8"/>
      <c r="S264" s="8"/>
      <c r="T264" s="8"/>
      <c r="U264" s="8"/>
      <c r="V264" s="8"/>
      <c r="W264" s="8"/>
      <c r="X264" s="8"/>
    </row>
    <row r="265" spans="1:24" ht="12.75">
      <c r="A265" s="82"/>
      <c r="B265" s="8"/>
      <c r="C265" s="59"/>
      <c r="D265" s="59"/>
      <c r="E265" s="8"/>
      <c r="F265" s="8"/>
      <c r="G265" s="8"/>
      <c r="H265" s="8"/>
      <c r="I265" s="8"/>
      <c r="J265" s="8"/>
      <c r="K265" s="8"/>
      <c r="L265" s="8"/>
      <c r="M265" s="8"/>
      <c r="N265" s="8"/>
      <c r="O265" s="8"/>
      <c r="P265" s="8"/>
      <c r="Q265" s="8"/>
      <c r="R265" s="8"/>
      <c r="S265" s="8"/>
      <c r="T265" s="8"/>
      <c r="U265" s="8"/>
      <c r="V265" s="8"/>
      <c r="W265" s="8"/>
      <c r="X265" s="8"/>
    </row>
    <row r="266" spans="1:24" ht="12.75">
      <c r="A266" s="82"/>
      <c r="B266" s="8"/>
      <c r="C266" s="59"/>
      <c r="D266" s="59"/>
      <c r="E266" s="8"/>
      <c r="F266" s="8"/>
      <c r="G266" s="8"/>
      <c r="H266" s="8"/>
      <c r="I266" s="8"/>
      <c r="J266" s="8"/>
      <c r="K266" s="8"/>
      <c r="L266" s="8"/>
      <c r="M266" s="8"/>
      <c r="N266" s="8"/>
      <c r="O266" s="8"/>
      <c r="P266" s="8"/>
      <c r="Q266" s="8"/>
      <c r="R266" s="8"/>
      <c r="S266" s="8"/>
      <c r="T266" s="8"/>
      <c r="U266" s="8"/>
      <c r="V266" s="8"/>
      <c r="W266" s="8"/>
      <c r="X266" s="8"/>
    </row>
    <row r="267" spans="1:24" ht="12.75">
      <c r="A267" s="82"/>
      <c r="B267" s="8"/>
      <c r="C267" s="59"/>
      <c r="D267" s="59"/>
      <c r="E267" s="8"/>
      <c r="F267" s="8"/>
      <c r="G267" s="8"/>
      <c r="H267" s="8"/>
      <c r="I267" s="8"/>
      <c r="J267" s="8"/>
      <c r="K267" s="8"/>
      <c r="L267" s="8"/>
      <c r="M267" s="8"/>
      <c r="N267" s="8"/>
      <c r="O267" s="8"/>
      <c r="P267" s="8"/>
      <c r="Q267" s="8"/>
      <c r="R267" s="8"/>
      <c r="S267" s="8"/>
      <c r="T267" s="8"/>
      <c r="U267" s="8"/>
      <c r="V267" s="8"/>
      <c r="W267" s="8"/>
      <c r="X267" s="8"/>
    </row>
    <row r="268" spans="1:24" ht="12.75">
      <c r="A268" s="82"/>
      <c r="B268" s="8"/>
      <c r="C268" s="59"/>
      <c r="D268" s="59"/>
      <c r="E268" s="8"/>
      <c r="F268" s="8"/>
      <c r="G268" s="8"/>
      <c r="H268" s="8"/>
      <c r="I268" s="8"/>
      <c r="J268" s="8"/>
      <c r="K268" s="8"/>
      <c r="L268" s="8"/>
      <c r="M268" s="8"/>
      <c r="N268" s="8"/>
      <c r="O268" s="8"/>
      <c r="P268" s="8"/>
      <c r="Q268" s="8"/>
      <c r="R268" s="8"/>
      <c r="S268" s="8"/>
      <c r="T268" s="8"/>
      <c r="U268" s="8"/>
      <c r="V268" s="8"/>
      <c r="W268" s="8"/>
      <c r="X268" s="8"/>
    </row>
    <row r="269" spans="1:24" ht="12.75">
      <c r="A269" s="82"/>
      <c r="B269" s="8"/>
      <c r="C269" s="59"/>
      <c r="D269" s="59"/>
      <c r="E269" s="8"/>
      <c r="F269" s="8"/>
      <c r="G269" s="8"/>
      <c r="H269" s="8"/>
      <c r="I269" s="8"/>
      <c r="J269" s="8"/>
      <c r="K269" s="8"/>
      <c r="L269" s="8"/>
      <c r="M269" s="8"/>
      <c r="N269" s="8"/>
      <c r="O269" s="8"/>
      <c r="P269" s="8"/>
      <c r="Q269" s="8"/>
      <c r="R269" s="8"/>
      <c r="S269" s="8"/>
      <c r="T269" s="8"/>
      <c r="U269" s="8"/>
      <c r="V269" s="8"/>
      <c r="W269" s="8"/>
      <c r="X269" s="8"/>
    </row>
    <row r="270" spans="1:24" ht="12.75">
      <c r="A270" s="82"/>
      <c r="B270" s="8"/>
      <c r="C270" s="59"/>
      <c r="D270" s="59"/>
      <c r="E270" s="8"/>
      <c r="F270" s="8"/>
      <c r="G270" s="8"/>
      <c r="H270" s="8"/>
      <c r="I270" s="8"/>
      <c r="J270" s="8"/>
      <c r="K270" s="8"/>
      <c r="L270" s="8"/>
      <c r="M270" s="8"/>
      <c r="N270" s="8"/>
      <c r="O270" s="8"/>
      <c r="P270" s="8"/>
      <c r="Q270" s="8"/>
      <c r="R270" s="8"/>
      <c r="S270" s="8"/>
      <c r="T270" s="8"/>
      <c r="U270" s="8"/>
      <c r="V270" s="8"/>
      <c r="W270" s="8"/>
      <c r="X270" s="8"/>
    </row>
    <row r="271" spans="1:24" ht="12.75">
      <c r="A271" s="82"/>
      <c r="B271" s="8"/>
      <c r="C271" s="59"/>
      <c r="D271" s="59"/>
      <c r="E271" s="8"/>
      <c r="F271" s="8"/>
      <c r="G271" s="8"/>
      <c r="H271" s="8"/>
      <c r="I271" s="8"/>
      <c r="J271" s="8"/>
      <c r="K271" s="8"/>
      <c r="L271" s="8"/>
      <c r="M271" s="8"/>
      <c r="N271" s="8"/>
      <c r="O271" s="8"/>
      <c r="P271" s="8"/>
      <c r="Q271" s="8"/>
      <c r="R271" s="8"/>
      <c r="S271" s="8"/>
      <c r="T271" s="8"/>
      <c r="U271" s="8"/>
      <c r="V271" s="8"/>
      <c r="W271" s="8"/>
      <c r="X271" s="8"/>
    </row>
    <row r="272" spans="1:24" ht="12.75">
      <c r="A272" s="82"/>
      <c r="B272" s="8"/>
      <c r="C272" s="59"/>
      <c r="D272" s="59"/>
      <c r="E272" s="8"/>
      <c r="F272" s="8"/>
      <c r="G272" s="8"/>
      <c r="H272" s="8"/>
      <c r="I272" s="8"/>
      <c r="J272" s="8"/>
      <c r="K272" s="8"/>
      <c r="L272" s="8"/>
      <c r="M272" s="8"/>
      <c r="N272" s="8"/>
      <c r="O272" s="8"/>
      <c r="P272" s="8"/>
      <c r="Q272" s="8"/>
      <c r="R272" s="8"/>
      <c r="S272" s="8"/>
      <c r="T272" s="8"/>
      <c r="U272" s="8"/>
      <c r="V272" s="8"/>
      <c r="W272" s="8"/>
      <c r="X272" s="8"/>
    </row>
    <row r="273" spans="1:24" ht="12.75">
      <c r="A273" s="82"/>
      <c r="B273" s="8"/>
      <c r="C273" s="59"/>
      <c r="D273" s="59"/>
      <c r="E273" s="8"/>
      <c r="F273" s="8"/>
      <c r="G273" s="8"/>
      <c r="H273" s="8"/>
      <c r="I273" s="8"/>
      <c r="J273" s="8"/>
      <c r="K273" s="8"/>
      <c r="L273" s="8"/>
      <c r="M273" s="8"/>
      <c r="N273" s="8"/>
      <c r="O273" s="8"/>
      <c r="P273" s="8"/>
      <c r="Q273" s="8"/>
      <c r="R273" s="8"/>
      <c r="S273" s="8"/>
      <c r="T273" s="8"/>
      <c r="U273" s="8"/>
      <c r="V273" s="8"/>
      <c r="W273" s="8"/>
      <c r="X273" s="8"/>
    </row>
    <row r="274" spans="1:24" ht="12.75">
      <c r="A274" s="82"/>
      <c r="B274" s="8"/>
      <c r="C274" s="59"/>
      <c r="D274" s="59"/>
      <c r="E274" s="8"/>
      <c r="F274" s="8"/>
      <c r="G274" s="8"/>
      <c r="H274" s="8"/>
      <c r="I274" s="8"/>
      <c r="J274" s="8"/>
      <c r="K274" s="8"/>
      <c r="L274" s="8"/>
      <c r="M274" s="8"/>
      <c r="N274" s="8"/>
      <c r="O274" s="8"/>
      <c r="P274" s="8"/>
      <c r="Q274" s="8"/>
      <c r="R274" s="8"/>
      <c r="S274" s="8"/>
      <c r="T274" s="8"/>
      <c r="U274" s="8"/>
      <c r="V274" s="8"/>
      <c r="W274" s="8"/>
      <c r="X274" s="8"/>
    </row>
    <row r="275" spans="1:24" ht="12.75">
      <c r="A275" s="82"/>
      <c r="B275" s="8"/>
      <c r="C275" s="59"/>
      <c r="D275" s="59"/>
      <c r="E275" s="8"/>
      <c r="F275" s="8"/>
      <c r="G275" s="8"/>
      <c r="H275" s="8"/>
      <c r="I275" s="8"/>
      <c r="J275" s="8"/>
      <c r="K275" s="8"/>
      <c r="L275" s="8"/>
      <c r="M275" s="8"/>
      <c r="N275" s="8"/>
      <c r="O275" s="8"/>
      <c r="P275" s="8"/>
      <c r="Q275" s="8"/>
      <c r="R275" s="8"/>
      <c r="S275" s="8"/>
      <c r="T275" s="8"/>
      <c r="U275" s="8"/>
      <c r="V275" s="8"/>
      <c r="W275" s="8"/>
      <c r="X275" s="8"/>
    </row>
    <row r="276" spans="1:24" ht="12.75">
      <c r="A276" s="82"/>
      <c r="B276" s="8"/>
      <c r="C276" s="59"/>
      <c r="D276" s="59"/>
      <c r="E276" s="8"/>
      <c r="F276" s="8"/>
      <c r="G276" s="8"/>
      <c r="H276" s="8"/>
      <c r="I276" s="8"/>
      <c r="J276" s="8"/>
      <c r="K276" s="8"/>
      <c r="L276" s="8"/>
      <c r="M276" s="8"/>
      <c r="N276" s="8"/>
      <c r="O276" s="8"/>
      <c r="P276" s="8"/>
      <c r="Q276" s="8"/>
      <c r="R276" s="8"/>
      <c r="S276" s="8"/>
      <c r="T276" s="8"/>
      <c r="U276" s="8"/>
      <c r="V276" s="8"/>
      <c r="W276" s="8"/>
      <c r="X276" s="8"/>
    </row>
    <row r="277" spans="1:24" ht="12.75">
      <c r="A277" s="82"/>
      <c r="B277" s="8"/>
      <c r="C277" s="59"/>
      <c r="D277" s="59"/>
      <c r="E277" s="8"/>
      <c r="F277" s="8"/>
      <c r="G277" s="8"/>
      <c r="H277" s="8"/>
      <c r="I277" s="8"/>
      <c r="J277" s="8"/>
      <c r="K277" s="8"/>
      <c r="L277" s="8"/>
      <c r="M277" s="8"/>
      <c r="N277" s="8"/>
      <c r="O277" s="8"/>
      <c r="P277" s="8"/>
      <c r="Q277" s="8"/>
      <c r="R277" s="8"/>
      <c r="S277" s="8"/>
      <c r="T277" s="8"/>
      <c r="U277" s="8"/>
      <c r="V277" s="8"/>
      <c r="W277" s="8"/>
      <c r="X277" s="8"/>
    </row>
    <row r="278" spans="1:24" ht="12.75">
      <c r="A278" s="82"/>
      <c r="B278" s="8"/>
      <c r="C278" s="59"/>
      <c r="D278" s="59"/>
      <c r="E278" s="8"/>
      <c r="F278" s="8"/>
      <c r="G278" s="8"/>
      <c r="H278" s="8"/>
      <c r="I278" s="8"/>
      <c r="J278" s="8"/>
      <c r="K278" s="8"/>
      <c r="L278" s="8"/>
      <c r="M278" s="8"/>
      <c r="N278" s="8"/>
      <c r="O278" s="8"/>
      <c r="P278" s="8"/>
      <c r="Q278" s="8"/>
      <c r="R278" s="8"/>
      <c r="S278" s="8"/>
      <c r="T278" s="8"/>
      <c r="U278" s="8"/>
      <c r="V278" s="8"/>
      <c r="W278" s="8"/>
      <c r="X278" s="8"/>
    </row>
    <row r="279" spans="1:24" ht="12.75">
      <c r="A279" s="82"/>
      <c r="B279" s="8"/>
      <c r="C279" s="59"/>
      <c r="D279" s="59"/>
      <c r="E279" s="8"/>
      <c r="F279" s="8"/>
      <c r="G279" s="8"/>
      <c r="H279" s="8"/>
      <c r="I279" s="8"/>
      <c r="J279" s="8"/>
      <c r="K279" s="8"/>
      <c r="L279" s="8"/>
      <c r="M279" s="8"/>
      <c r="N279" s="8"/>
      <c r="O279" s="8"/>
      <c r="P279" s="8"/>
      <c r="Q279" s="8"/>
      <c r="R279" s="8"/>
      <c r="S279" s="8"/>
      <c r="T279" s="8"/>
      <c r="U279" s="8"/>
      <c r="V279" s="8"/>
      <c r="W279" s="8"/>
      <c r="X279" s="8"/>
    </row>
    <row r="280" spans="1:24" ht="12.75">
      <c r="A280" s="82"/>
      <c r="B280" s="8"/>
      <c r="C280" s="59"/>
      <c r="D280" s="59"/>
      <c r="E280" s="8"/>
      <c r="F280" s="8"/>
      <c r="G280" s="8"/>
      <c r="H280" s="8"/>
      <c r="I280" s="8"/>
      <c r="J280" s="8"/>
      <c r="K280" s="8"/>
      <c r="L280" s="8"/>
      <c r="M280" s="8"/>
      <c r="N280" s="8"/>
      <c r="O280" s="8"/>
      <c r="P280" s="8"/>
      <c r="Q280" s="8"/>
      <c r="R280" s="8"/>
      <c r="S280" s="8"/>
      <c r="T280" s="8"/>
      <c r="U280" s="8"/>
      <c r="V280" s="8"/>
      <c r="W280" s="8"/>
      <c r="X280" s="8"/>
    </row>
    <row r="281" spans="1:24" ht="12.75">
      <c r="A281" s="82"/>
      <c r="B281" s="8"/>
      <c r="C281" s="59"/>
      <c r="D281" s="59"/>
      <c r="E281" s="8"/>
      <c r="F281" s="8"/>
      <c r="G281" s="8"/>
      <c r="H281" s="8"/>
      <c r="I281" s="8"/>
      <c r="J281" s="8"/>
      <c r="K281" s="8"/>
      <c r="L281" s="8"/>
      <c r="M281" s="8"/>
      <c r="N281" s="8"/>
      <c r="O281" s="8"/>
      <c r="P281" s="8"/>
      <c r="Q281" s="8"/>
      <c r="R281" s="8"/>
      <c r="S281" s="8"/>
      <c r="T281" s="8"/>
      <c r="U281" s="8"/>
      <c r="V281" s="8"/>
      <c r="W281" s="8"/>
      <c r="X281" s="8"/>
    </row>
    <row r="282" spans="1:24" ht="12.75">
      <c r="A282" s="82"/>
      <c r="B282" s="8"/>
      <c r="C282" s="59"/>
      <c r="D282" s="59"/>
      <c r="E282" s="8"/>
      <c r="F282" s="8"/>
      <c r="G282" s="8"/>
      <c r="H282" s="8"/>
      <c r="I282" s="8"/>
      <c r="J282" s="8"/>
      <c r="K282" s="8"/>
      <c r="L282" s="8"/>
      <c r="M282" s="8"/>
      <c r="N282" s="8"/>
      <c r="O282" s="8"/>
      <c r="P282" s="8"/>
      <c r="Q282" s="8"/>
      <c r="R282" s="8"/>
      <c r="S282" s="8"/>
      <c r="T282" s="8"/>
      <c r="U282" s="8"/>
      <c r="V282" s="8"/>
      <c r="W282" s="8"/>
      <c r="X282" s="8"/>
    </row>
    <row r="283" spans="1:24" ht="12.75">
      <c r="A283" s="82"/>
      <c r="B283" s="8"/>
      <c r="C283" s="59"/>
      <c r="D283" s="59"/>
      <c r="E283" s="8"/>
      <c r="F283" s="8"/>
      <c r="G283" s="8"/>
      <c r="H283" s="8"/>
      <c r="I283" s="8"/>
      <c r="J283" s="8"/>
      <c r="K283" s="8"/>
      <c r="L283" s="8"/>
      <c r="M283" s="8"/>
      <c r="N283" s="8"/>
      <c r="O283" s="8"/>
      <c r="P283" s="8"/>
      <c r="Q283" s="8"/>
      <c r="R283" s="8"/>
      <c r="S283" s="8"/>
      <c r="T283" s="8"/>
      <c r="U283" s="8"/>
      <c r="V283" s="8"/>
      <c r="W283" s="8"/>
      <c r="X283" s="8"/>
    </row>
    <row r="284" spans="1:24" ht="12.75">
      <c r="A284" s="82"/>
      <c r="B284" s="8"/>
      <c r="C284" s="59"/>
      <c r="D284" s="59"/>
      <c r="E284" s="8"/>
      <c r="F284" s="8"/>
      <c r="G284" s="8"/>
      <c r="H284" s="8"/>
      <c r="I284" s="8"/>
      <c r="J284" s="8"/>
      <c r="K284" s="8"/>
      <c r="L284" s="8"/>
      <c r="M284" s="8"/>
      <c r="N284" s="8"/>
      <c r="O284" s="8"/>
      <c r="P284" s="8"/>
      <c r="Q284" s="8"/>
      <c r="R284" s="8"/>
      <c r="S284" s="8"/>
      <c r="T284" s="8"/>
      <c r="U284" s="8"/>
      <c r="V284" s="8"/>
      <c r="W284" s="8"/>
      <c r="X284" s="8"/>
    </row>
    <row r="285" spans="1:24" ht="12.75">
      <c r="A285" s="82"/>
      <c r="B285" s="8"/>
      <c r="C285" s="59"/>
      <c r="D285" s="59"/>
      <c r="E285" s="8"/>
      <c r="F285" s="8"/>
      <c r="G285" s="8"/>
      <c r="H285" s="8"/>
      <c r="I285" s="8"/>
      <c r="J285" s="8"/>
      <c r="K285" s="8"/>
      <c r="L285" s="8"/>
      <c r="M285" s="8"/>
      <c r="N285" s="8"/>
      <c r="O285" s="8"/>
      <c r="P285" s="8"/>
      <c r="Q285" s="8"/>
      <c r="R285" s="8"/>
      <c r="S285" s="8"/>
      <c r="T285" s="8"/>
      <c r="U285" s="8"/>
      <c r="V285" s="8"/>
      <c r="W285" s="8"/>
      <c r="X285" s="8"/>
    </row>
    <row r="286" spans="1:24" ht="12.75">
      <c r="A286" s="82"/>
      <c r="B286" s="8"/>
      <c r="C286" s="59"/>
      <c r="D286" s="59"/>
      <c r="E286" s="8"/>
      <c r="F286" s="8"/>
      <c r="G286" s="8"/>
      <c r="H286" s="8"/>
      <c r="I286" s="8"/>
      <c r="J286" s="8"/>
      <c r="K286" s="8"/>
      <c r="L286" s="8"/>
      <c r="M286" s="8"/>
      <c r="N286" s="8"/>
      <c r="O286" s="8"/>
      <c r="P286" s="8"/>
      <c r="Q286" s="8"/>
      <c r="R286" s="8"/>
      <c r="S286" s="8"/>
      <c r="T286" s="8"/>
      <c r="U286" s="8"/>
      <c r="V286" s="8"/>
      <c r="W286" s="8"/>
      <c r="X286" s="8"/>
    </row>
    <row r="287" spans="1:24" ht="12.75">
      <c r="A287" s="82"/>
      <c r="B287" s="8"/>
      <c r="C287" s="59"/>
      <c r="D287" s="59"/>
      <c r="E287" s="8"/>
      <c r="F287" s="8"/>
      <c r="G287" s="8"/>
      <c r="H287" s="8"/>
      <c r="I287" s="8"/>
      <c r="J287" s="8"/>
      <c r="K287" s="8"/>
      <c r="L287" s="8"/>
      <c r="M287" s="8"/>
      <c r="N287" s="8"/>
      <c r="O287" s="8"/>
      <c r="P287" s="8"/>
      <c r="Q287" s="8"/>
      <c r="R287" s="8"/>
      <c r="S287" s="8"/>
      <c r="T287" s="8"/>
      <c r="U287" s="8"/>
      <c r="V287" s="8"/>
      <c r="W287" s="8"/>
      <c r="X287" s="8"/>
    </row>
    <row r="288" spans="1:24" ht="12.75">
      <c r="A288" s="82"/>
      <c r="B288" s="8"/>
      <c r="C288" s="59"/>
      <c r="D288" s="59"/>
      <c r="E288" s="8"/>
      <c r="F288" s="8"/>
      <c r="G288" s="8"/>
      <c r="H288" s="8"/>
      <c r="I288" s="8"/>
      <c r="J288" s="8"/>
      <c r="K288" s="8"/>
      <c r="L288" s="8"/>
      <c r="M288" s="8"/>
      <c r="N288" s="8"/>
      <c r="O288" s="8"/>
      <c r="P288" s="8"/>
      <c r="Q288" s="8"/>
      <c r="R288" s="8"/>
      <c r="S288" s="8"/>
      <c r="T288" s="8"/>
      <c r="U288" s="8"/>
      <c r="V288" s="8"/>
      <c r="W288" s="8"/>
      <c r="X288" s="8"/>
    </row>
    <row r="289" spans="1:24" ht="12.75">
      <c r="A289" s="82"/>
      <c r="B289" s="8"/>
      <c r="C289" s="59"/>
      <c r="D289" s="59"/>
      <c r="E289" s="8"/>
      <c r="F289" s="8"/>
      <c r="G289" s="8"/>
      <c r="H289" s="8"/>
      <c r="I289" s="8"/>
      <c r="J289" s="8"/>
      <c r="K289" s="8"/>
      <c r="L289" s="8"/>
      <c r="M289" s="8"/>
      <c r="N289" s="8"/>
      <c r="O289" s="8"/>
      <c r="P289" s="8"/>
      <c r="Q289" s="8"/>
      <c r="R289" s="8"/>
      <c r="S289" s="8"/>
      <c r="T289" s="8"/>
      <c r="U289" s="8"/>
      <c r="V289" s="8"/>
      <c r="W289" s="8"/>
      <c r="X289" s="8"/>
    </row>
    <row r="290" spans="1:24" ht="12.75">
      <c r="A290" s="82"/>
      <c r="B290" s="8"/>
      <c r="C290" s="59"/>
      <c r="D290" s="59"/>
      <c r="E290" s="8"/>
      <c r="F290" s="8"/>
      <c r="G290" s="8"/>
      <c r="H290" s="8"/>
      <c r="I290" s="8"/>
      <c r="J290" s="8"/>
      <c r="K290" s="8"/>
      <c r="L290" s="8"/>
      <c r="M290" s="8"/>
      <c r="N290" s="8"/>
      <c r="O290" s="8"/>
      <c r="P290" s="8"/>
      <c r="Q290" s="8"/>
      <c r="R290" s="8"/>
      <c r="S290" s="8"/>
      <c r="T290" s="8"/>
      <c r="U290" s="8"/>
      <c r="V290" s="8"/>
      <c r="W290" s="8"/>
      <c r="X290" s="8"/>
    </row>
    <row r="291" spans="1:24" ht="12.75">
      <c r="A291" s="82"/>
      <c r="B291" s="8"/>
      <c r="C291" s="59"/>
      <c r="D291" s="59"/>
      <c r="E291" s="8"/>
      <c r="F291" s="8"/>
      <c r="G291" s="8"/>
      <c r="H291" s="8"/>
      <c r="I291" s="8"/>
      <c r="J291" s="8"/>
      <c r="K291" s="8"/>
      <c r="L291" s="8"/>
      <c r="M291" s="8"/>
      <c r="N291" s="8"/>
      <c r="O291" s="8"/>
      <c r="P291" s="8"/>
      <c r="Q291" s="8"/>
      <c r="R291" s="8"/>
      <c r="S291" s="8"/>
      <c r="T291" s="8"/>
      <c r="U291" s="8"/>
      <c r="V291" s="8"/>
      <c r="W291" s="8"/>
      <c r="X291" s="8"/>
    </row>
    <row r="292" spans="1:24" ht="12.75">
      <c r="A292" s="82"/>
      <c r="B292" s="8"/>
      <c r="C292" s="59"/>
      <c r="D292" s="59"/>
      <c r="E292" s="8"/>
      <c r="F292" s="8"/>
      <c r="G292" s="8"/>
      <c r="H292" s="8"/>
      <c r="I292" s="8"/>
      <c r="J292" s="8"/>
      <c r="K292" s="8"/>
      <c r="L292" s="8"/>
      <c r="M292" s="8"/>
      <c r="N292" s="8"/>
      <c r="O292" s="8"/>
      <c r="P292" s="8"/>
      <c r="Q292" s="8"/>
      <c r="R292" s="8"/>
      <c r="S292" s="8"/>
      <c r="T292" s="8"/>
      <c r="U292" s="8"/>
      <c r="V292" s="8"/>
      <c r="W292" s="8"/>
      <c r="X292" s="8"/>
    </row>
    <row r="293" spans="1:24" ht="12.75">
      <c r="A293" s="82"/>
      <c r="B293" s="8"/>
      <c r="C293" s="59"/>
      <c r="D293" s="59"/>
      <c r="E293" s="8"/>
      <c r="F293" s="8"/>
      <c r="G293" s="8"/>
      <c r="H293" s="8"/>
      <c r="I293" s="8"/>
      <c r="J293" s="8"/>
      <c r="K293" s="8"/>
      <c r="L293" s="8"/>
      <c r="M293" s="8"/>
      <c r="N293" s="8"/>
      <c r="O293" s="8"/>
      <c r="P293" s="8"/>
      <c r="Q293" s="8"/>
      <c r="R293" s="8"/>
      <c r="S293" s="8"/>
      <c r="T293" s="8"/>
      <c r="U293" s="8"/>
      <c r="V293" s="8"/>
      <c r="W293" s="8"/>
      <c r="X293" s="8"/>
    </row>
    <row r="294" spans="1:24" ht="12.75">
      <c r="A294" s="82"/>
      <c r="B294" s="8"/>
      <c r="C294" s="59"/>
      <c r="D294" s="59"/>
      <c r="E294" s="8"/>
      <c r="F294" s="8"/>
      <c r="G294" s="8"/>
      <c r="H294" s="8"/>
      <c r="I294" s="8"/>
      <c r="J294" s="8"/>
      <c r="K294" s="8"/>
      <c r="L294" s="8"/>
      <c r="M294" s="8"/>
      <c r="N294" s="8"/>
      <c r="O294" s="8"/>
      <c r="P294" s="8"/>
      <c r="Q294" s="8"/>
      <c r="R294" s="8"/>
      <c r="S294" s="8"/>
      <c r="T294" s="8"/>
      <c r="U294" s="8"/>
      <c r="V294" s="8"/>
      <c r="W294" s="8"/>
      <c r="X294" s="8"/>
    </row>
    <row r="295" spans="1:24" ht="12.75">
      <c r="A295" s="82"/>
      <c r="B295" s="8"/>
      <c r="C295" s="59"/>
      <c r="D295" s="59"/>
      <c r="E295" s="8"/>
      <c r="F295" s="8"/>
      <c r="G295" s="8"/>
      <c r="H295" s="8"/>
      <c r="I295" s="8"/>
      <c r="J295" s="8"/>
      <c r="K295" s="8"/>
      <c r="L295" s="8"/>
      <c r="M295" s="8"/>
      <c r="N295" s="8"/>
      <c r="O295" s="8"/>
      <c r="P295" s="8"/>
      <c r="Q295" s="8"/>
      <c r="R295" s="8"/>
      <c r="S295" s="8"/>
      <c r="T295" s="8"/>
      <c r="U295" s="8"/>
      <c r="V295" s="8"/>
      <c r="W295" s="8"/>
      <c r="X295" s="8"/>
    </row>
    <row r="296" spans="1:24" ht="12.75">
      <c r="A296" s="82"/>
      <c r="B296" s="8"/>
      <c r="C296" s="59"/>
      <c r="D296" s="59"/>
      <c r="E296" s="8"/>
      <c r="F296" s="8"/>
      <c r="G296" s="8"/>
      <c r="H296" s="8"/>
      <c r="I296" s="8"/>
      <c r="J296" s="8"/>
      <c r="K296" s="8"/>
      <c r="L296" s="8"/>
      <c r="M296" s="8"/>
      <c r="N296" s="8"/>
      <c r="O296" s="8"/>
      <c r="P296" s="8"/>
      <c r="Q296" s="8"/>
      <c r="R296" s="8"/>
      <c r="S296" s="8"/>
      <c r="T296" s="8"/>
      <c r="U296" s="8"/>
      <c r="V296" s="8"/>
      <c r="W296" s="8"/>
      <c r="X296" s="8"/>
    </row>
    <row r="297" spans="1:24" ht="12.75">
      <c r="A297" s="82"/>
      <c r="B297" s="8"/>
      <c r="C297" s="59"/>
      <c r="D297" s="59"/>
      <c r="E297" s="8"/>
      <c r="F297" s="8"/>
      <c r="G297" s="8"/>
      <c r="H297" s="8"/>
      <c r="I297" s="8"/>
      <c r="J297" s="8"/>
      <c r="K297" s="8"/>
      <c r="L297" s="8"/>
      <c r="M297" s="8"/>
      <c r="N297" s="8"/>
      <c r="O297" s="8"/>
      <c r="P297" s="8"/>
      <c r="Q297" s="8"/>
      <c r="R297" s="8"/>
      <c r="S297" s="8"/>
      <c r="T297" s="8"/>
      <c r="U297" s="8"/>
      <c r="V297" s="8"/>
      <c r="W297" s="8"/>
      <c r="X297" s="8"/>
    </row>
    <row r="298" spans="1:24" ht="12.75">
      <c r="A298" s="82"/>
      <c r="B298" s="8"/>
      <c r="C298" s="59"/>
      <c r="D298" s="59"/>
      <c r="E298" s="8"/>
      <c r="F298" s="8"/>
      <c r="G298" s="8"/>
      <c r="H298" s="8"/>
      <c r="I298" s="8"/>
      <c r="J298" s="8"/>
      <c r="K298" s="8"/>
      <c r="L298" s="8"/>
      <c r="M298" s="8"/>
      <c r="N298" s="8"/>
      <c r="O298" s="8"/>
      <c r="P298" s="8"/>
      <c r="Q298" s="8"/>
      <c r="R298" s="8"/>
      <c r="S298" s="8"/>
      <c r="T298" s="8"/>
      <c r="U298" s="8"/>
      <c r="V298" s="8"/>
      <c r="W298" s="8"/>
      <c r="X298" s="8"/>
    </row>
    <row r="299" spans="1:24" ht="12.75">
      <c r="A299" s="82"/>
      <c r="B299" s="8"/>
      <c r="C299" s="59"/>
      <c r="D299" s="59"/>
      <c r="E299" s="8"/>
      <c r="F299" s="8"/>
      <c r="G299" s="8"/>
      <c r="H299" s="8"/>
      <c r="I299" s="8"/>
      <c r="J299" s="8"/>
      <c r="K299" s="8"/>
      <c r="L299" s="8"/>
      <c r="M299" s="8"/>
      <c r="N299" s="8"/>
      <c r="O299" s="8"/>
      <c r="P299" s="8"/>
      <c r="Q299" s="8"/>
      <c r="R299" s="8"/>
      <c r="S299" s="8"/>
      <c r="T299" s="8"/>
      <c r="U299" s="8"/>
      <c r="V299" s="8"/>
      <c r="W299" s="8"/>
      <c r="X299" s="8"/>
    </row>
    <row r="300" spans="1:24" ht="12.75">
      <c r="A300" s="82"/>
      <c r="B300" s="8"/>
      <c r="C300" s="59"/>
      <c r="D300" s="59"/>
      <c r="E300" s="8"/>
      <c r="F300" s="8"/>
      <c r="G300" s="8"/>
      <c r="H300" s="8"/>
      <c r="I300" s="8"/>
      <c r="J300" s="8"/>
      <c r="K300" s="8"/>
      <c r="L300" s="8"/>
      <c r="M300" s="8"/>
      <c r="N300" s="8"/>
      <c r="O300" s="8"/>
      <c r="P300" s="8"/>
      <c r="Q300" s="8"/>
      <c r="R300" s="8"/>
      <c r="S300" s="8"/>
      <c r="T300" s="8"/>
      <c r="U300" s="8"/>
      <c r="V300" s="8"/>
      <c r="W300" s="8"/>
      <c r="X300" s="8"/>
    </row>
    <row r="301" spans="1:24" ht="12.75">
      <c r="A301" s="82"/>
      <c r="B301" s="8"/>
      <c r="C301" s="59"/>
      <c r="D301" s="59"/>
      <c r="E301" s="8"/>
      <c r="F301" s="8"/>
      <c r="G301" s="8"/>
      <c r="H301" s="8"/>
      <c r="I301" s="8"/>
      <c r="J301" s="8"/>
      <c r="K301" s="8"/>
      <c r="L301" s="8"/>
      <c r="M301" s="8"/>
      <c r="N301" s="8"/>
      <c r="O301" s="8"/>
      <c r="P301" s="8"/>
      <c r="Q301" s="8"/>
      <c r="R301" s="8"/>
      <c r="S301" s="8"/>
      <c r="T301" s="8"/>
      <c r="U301" s="8"/>
      <c r="V301" s="8"/>
      <c r="W301" s="8"/>
      <c r="X301" s="8"/>
    </row>
    <row r="302" spans="1:24" ht="12.75">
      <c r="A302" s="82"/>
      <c r="B302" s="8"/>
      <c r="C302" s="59"/>
      <c r="D302" s="59"/>
      <c r="E302" s="8"/>
      <c r="F302" s="8"/>
      <c r="G302" s="8"/>
      <c r="H302" s="8"/>
      <c r="I302" s="8"/>
      <c r="J302" s="8"/>
      <c r="K302" s="8"/>
      <c r="L302" s="8"/>
      <c r="M302" s="8"/>
      <c r="N302" s="8"/>
      <c r="O302" s="8"/>
      <c r="P302" s="8"/>
      <c r="Q302" s="8"/>
      <c r="R302" s="8"/>
      <c r="S302" s="8"/>
      <c r="T302" s="8"/>
      <c r="U302" s="8"/>
      <c r="V302" s="8"/>
      <c r="W302" s="8"/>
      <c r="X302" s="8"/>
    </row>
    <row r="303" spans="1:24" ht="12.75">
      <c r="A303" s="82"/>
      <c r="B303" s="8"/>
      <c r="C303" s="59"/>
      <c r="D303" s="59"/>
      <c r="E303" s="8"/>
      <c r="F303" s="8"/>
      <c r="G303" s="8"/>
      <c r="H303" s="8"/>
      <c r="I303" s="8"/>
      <c r="J303" s="8"/>
      <c r="K303" s="8"/>
      <c r="L303" s="8"/>
      <c r="M303" s="8"/>
      <c r="N303" s="8"/>
      <c r="O303" s="8"/>
      <c r="P303" s="8"/>
      <c r="Q303" s="8"/>
      <c r="R303" s="8"/>
      <c r="S303" s="8"/>
      <c r="T303" s="8"/>
      <c r="U303" s="8"/>
      <c r="V303" s="8"/>
      <c r="W303" s="8"/>
      <c r="X303" s="8"/>
    </row>
    <row r="304" spans="1:24" ht="12.75">
      <c r="A304" s="82"/>
      <c r="B304" s="8"/>
      <c r="C304" s="59"/>
      <c r="D304" s="59"/>
      <c r="E304" s="8"/>
      <c r="F304" s="8"/>
      <c r="G304" s="8"/>
      <c r="H304" s="8"/>
      <c r="I304" s="8"/>
      <c r="J304" s="8"/>
      <c r="K304" s="8"/>
      <c r="L304" s="8"/>
      <c r="M304" s="8"/>
      <c r="N304" s="8"/>
      <c r="O304" s="8"/>
      <c r="P304" s="8"/>
      <c r="Q304" s="8"/>
      <c r="R304" s="8"/>
      <c r="S304" s="8"/>
      <c r="T304" s="8"/>
      <c r="U304" s="8"/>
      <c r="V304" s="8"/>
      <c r="W304" s="8"/>
      <c r="X304" s="8"/>
    </row>
    <row r="305" spans="1:24" ht="12.75">
      <c r="A305" s="82"/>
      <c r="B305" s="8"/>
      <c r="C305" s="59"/>
      <c r="D305" s="59"/>
      <c r="E305" s="8"/>
      <c r="F305" s="8"/>
      <c r="G305" s="8"/>
      <c r="H305" s="8"/>
      <c r="I305" s="8"/>
      <c r="J305" s="8"/>
      <c r="K305" s="8"/>
      <c r="L305" s="8"/>
      <c r="M305" s="8"/>
      <c r="N305" s="8"/>
      <c r="O305" s="8"/>
      <c r="P305" s="8"/>
      <c r="Q305" s="8"/>
      <c r="R305" s="8"/>
      <c r="S305" s="8"/>
      <c r="T305" s="8"/>
      <c r="U305" s="8"/>
      <c r="V305" s="8"/>
      <c r="W305" s="8"/>
      <c r="X305" s="8"/>
    </row>
    <row r="306" spans="1:24" ht="12.75">
      <c r="A306" s="82"/>
      <c r="B306" s="8"/>
      <c r="C306" s="59"/>
      <c r="D306" s="59"/>
      <c r="E306" s="8"/>
      <c r="F306" s="8"/>
      <c r="G306" s="8"/>
      <c r="H306" s="8"/>
      <c r="I306" s="8"/>
      <c r="J306" s="8"/>
      <c r="K306" s="8"/>
      <c r="L306" s="8"/>
      <c r="M306" s="8"/>
      <c r="N306" s="8"/>
      <c r="O306" s="8"/>
      <c r="P306" s="8"/>
      <c r="Q306" s="8"/>
      <c r="R306" s="8"/>
      <c r="S306" s="8"/>
      <c r="T306" s="8"/>
      <c r="U306" s="8"/>
      <c r="V306" s="8"/>
      <c r="W306" s="8"/>
      <c r="X306" s="8"/>
    </row>
    <row r="307" spans="1:24" ht="12.75">
      <c r="A307" s="82"/>
      <c r="B307" s="8"/>
      <c r="C307" s="59"/>
      <c r="D307" s="59"/>
      <c r="E307" s="8"/>
      <c r="F307" s="8"/>
      <c r="G307" s="8"/>
      <c r="H307" s="8"/>
      <c r="I307" s="8"/>
      <c r="J307" s="8"/>
      <c r="K307" s="8"/>
      <c r="L307" s="8"/>
      <c r="M307" s="8"/>
      <c r="N307" s="8"/>
      <c r="O307" s="8"/>
      <c r="P307" s="8"/>
      <c r="Q307" s="8"/>
      <c r="R307" s="8"/>
      <c r="S307" s="8"/>
      <c r="T307" s="8"/>
      <c r="U307" s="8"/>
      <c r="V307" s="8"/>
      <c r="W307" s="8"/>
      <c r="X307" s="8"/>
    </row>
    <row r="308" spans="1:24" ht="12.75">
      <c r="A308" s="82"/>
      <c r="B308" s="8"/>
      <c r="C308" s="59"/>
      <c r="D308" s="59"/>
      <c r="E308" s="8"/>
      <c r="F308" s="8"/>
      <c r="G308" s="8"/>
      <c r="H308" s="8"/>
      <c r="I308" s="8"/>
      <c r="J308" s="8"/>
      <c r="K308" s="8"/>
      <c r="L308" s="8"/>
      <c r="M308" s="8"/>
      <c r="N308" s="8"/>
      <c r="O308" s="8"/>
      <c r="P308" s="8"/>
      <c r="Q308" s="8"/>
      <c r="R308" s="8"/>
      <c r="S308" s="8"/>
      <c r="T308" s="8"/>
      <c r="U308" s="8"/>
      <c r="V308" s="8"/>
      <c r="W308" s="8"/>
      <c r="X308" s="8"/>
    </row>
    <row r="309" spans="1:24" ht="12.75">
      <c r="A309" s="82"/>
      <c r="B309" s="8"/>
      <c r="C309" s="59"/>
      <c r="D309" s="59"/>
      <c r="E309" s="8"/>
      <c r="F309" s="8"/>
      <c r="G309" s="8"/>
      <c r="H309" s="8"/>
      <c r="I309" s="8"/>
      <c r="J309" s="8"/>
      <c r="K309" s="8"/>
      <c r="L309" s="8"/>
      <c r="M309" s="8"/>
      <c r="N309" s="8"/>
      <c r="O309" s="8"/>
      <c r="P309" s="8"/>
      <c r="Q309" s="8"/>
      <c r="R309" s="8"/>
      <c r="S309" s="8"/>
      <c r="T309" s="8"/>
      <c r="U309" s="8"/>
      <c r="V309" s="8"/>
      <c r="W309" s="8"/>
      <c r="X309" s="8"/>
    </row>
    <row r="310" spans="1:24" ht="12.75">
      <c r="A310" s="82"/>
      <c r="B310" s="8"/>
      <c r="C310" s="59"/>
      <c r="D310" s="59"/>
      <c r="E310" s="8"/>
      <c r="F310" s="8"/>
      <c r="G310" s="8"/>
      <c r="H310" s="8"/>
      <c r="I310" s="8"/>
      <c r="J310" s="8"/>
      <c r="K310" s="8"/>
      <c r="L310" s="8"/>
      <c r="M310" s="8"/>
      <c r="N310" s="8"/>
      <c r="O310" s="8"/>
      <c r="P310" s="8"/>
      <c r="Q310" s="8"/>
      <c r="R310" s="8"/>
      <c r="S310" s="8"/>
      <c r="T310" s="8"/>
      <c r="U310" s="8"/>
      <c r="V310" s="8"/>
      <c r="W310" s="8"/>
      <c r="X310" s="8"/>
    </row>
    <row r="311" spans="1:24" ht="12.75">
      <c r="A311" s="82"/>
      <c r="B311" s="8"/>
      <c r="C311" s="59"/>
      <c r="D311" s="59"/>
      <c r="E311" s="8"/>
      <c r="F311" s="8"/>
      <c r="G311" s="8"/>
      <c r="H311" s="8"/>
      <c r="I311" s="8"/>
      <c r="J311" s="8"/>
      <c r="K311" s="8"/>
      <c r="L311" s="8"/>
      <c r="M311" s="8"/>
      <c r="N311" s="8"/>
      <c r="O311" s="8"/>
      <c r="P311" s="8"/>
      <c r="Q311" s="8"/>
      <c r="R311" s="8"/>
      <c r="S311" s="8"/>
      <c r="T311" s="8"/>
      <c r="U311" s="8"/>
      <c r="V311" s="8"/>
      <c r="W311" s="8"/>
      <c r="X311" s="8"/>
    </row>
    <row r="312" spans="1:24" ht="12.75">
      <c r="A312" s="82"/>
      <c r="B312" s="8"/>
      <c r="C312" s="59"/>
      <c r="D312" s="59"/>
      <c r="E312" s="8"/>
      <c r="F312" s="8"/>
      <c r="G312" s="8"/>
      <c r="H312" s="8"/>
      <c r="I312" s="8"/>
      <c r="J312" s="8"/>
      <c r="K312" s="8"/>
      <c r="L312" s="8"/>
      <c r="M312" s="8"/>
      <c r="N312" s="8"/>
      <c r="O312" s="8"/>
      <c r="P312" s="8"/>
      <c r="Q312" s="8"/>
      <c r="R312" s="8"/>
      <c r="S312" s="8"/>
      <c r="T312" s="8"/>
      <c r="U312" s="8"/>
      <c r="V312" s="8"/>
      <c r="W312" s="8"/>
      <c r="X312" s="8"/>
    </row>
    <row r="313" spans="1:24" ht="12.75">
      <c r="A313" s="82"/>
      <c r="B313" s="8"/>
      <c r="C313" s="59"/>
      <c r="D313" s="59"/>
      <c r="E313" s="8"/>
      <c r="F313" s="8"/>
      <c r="G313" s="8"/>
      <c r="H313" s="8"/>
      <c r="I313" s="8"/>
      <c r="J313" s="8"/>
      <c r="K313" s="8"/>
      <c r="L313" s="8"/>
      <c r="M313" s="8"/>
      <c r="N313" s="8"/>
      <c r="O313" s="8"/>
      <c r="P313" s="8"/>
      <c r="Q313" s="8"/>
      <c r="R313" s="8"/>
      <c r="S313" s="8"/>
      <c r="T313" s="8"/>
      <c r="U313" s="8"/>
      <c r="V313" s="8"/>
      <c r="W313" s="8"/>
      <c r="X313" s="8"/>
    </row>
    <row r="314" spans="1:24" ht="12.75">
      <c r="A314" s="82"/>
      <c r="B314" s="8"/>
      <c r="C314" s="59"/>
      <c r="D314" s="59"/>
      <c r="E314" s="8"/>
      <c r="F314" s="8"/>
      <c r="G314" s="8"/>
      <c r="H314" s="8"/>
      <c r="I314" s="8"/>
      <c r="J314" s="8"/>
      <c r="K314" s="8"/>
      <c r="L314" s="8"/>
      <c r="M314" s="8"/>
      <c r="N314" s="8"/>
      <c r="O314" s="8"/>
      <c r="P314" s="8"/>
      <c r="Q314" s="8"/>
      <c r="R314" s="8"/>
      <c r="S314" s="8"/>
      <c r="T314" s="8"/>
      <c r="U314" s="8"/>
      <c r="V314" s="8"/>
      <c r="W314" s="8"/>
      <c r="X314" s="8"/>
    </row>
    <row r="315" spans="1:24" ht="12.75">
      <c r="A315" s="82"/>
      <c r="B315" s="8"/>
      <c r="C315" s="59"/>
      <c r="D315" s="59"/>
      <c r="E315" s="8"/>
      <c r="F315" s="8"/>
      <c r="G315" s="8"/>
      <c r="H315" s="8"/>
      <c r="I315" s="8"/>
      <c r="J315" s="8"/>
      <c r="K315" s="8"/>
      <c r="L315" s="8"/>
      <c r="M315" s="8"/>
      <c r="N315" s="8"/>
      <c r="O315" s="8"/>
      <c r="P315" s="8"/>
      <c r="Q315" s="8"/>
      <c r="R315" s="8"/>
      <c r="S315" s="8"/>
      <c r="T315" s="8"/>
      <c r="U315" s="8"/>
      <c r="V315" s="8"/>
      <c r="W315" s="8"/>
      <c r="X315" s="8"/>
    </row>
    <row r="316" spans="1:24" ht="12.75">
      <c r="A316" s="82"/>
      <c r="B316" s="8"/>
      <c r="C316" s="59"/>
      <c r="D316" s="59"/>
      <c r="E316" s="8"/>
      <c r="F316" s="8"/>
      <c r="G316" s="8"/>
      <c r="H316" s="8"/>
      <c r="I316" s="8"/>
      <c r="J316" s="8"/>
      <c r="K316" s="8"/>
      <c r="L316" s="8"/>
      <c r="M316" s="8"/>
      <c r="N316" s="8"/>
      <c r="O316" s="8"/>
      <c r="P316" s="8"/>
      <c r="Q316" s="8"/>
      <c r="R316" s="8"/>
      <c r="S316" s="8"/>
      <c r="T316" s="8"/>
      <c r="U316" s="8"/>
      <c r="V316" s="8"/>
      <c r="W316" s="8"/>
      <c r="X316" s="8"/>
    </row>
    <row r="317" spans="1:24" ht="12.75">
      <c r="A317" s="82"/>
      <c r="B317" s="8"/>
      <c r="C317" s="59"/>
      <c r="D317" s="59"/>
      <c r="E317" s="8"/>
      <c r="F317" s="8"/>
      <c r="G317" s="8"/>
      <c r="H317" s="8"/>
      <c r="I317" s="8"/>
      <c r="J317" s="8"/>
      <c r="K317" s="8"/>
      <c r="L317" s="8"/>
      <c r="M317" s="8"/>
      <c r="N317" s="8"/>
      <c r="O317" s="8"/>
      <c r="P317" s="8"/>
      <c r="Q317" s="8"/>
      <c r="R317" s="8"/>
      <c r="S317" s="8"/>
      <c r="T317" s="8"/>
      <c r="U317" s="8"/>
      <c r="V317" s="8"/>
      <c r="W317" s="8"/>
      <c r="X317" s="8"/>
    </row>
    <row r="318" spans="1:24" ht="12.75">
      <c r="A318" s="82"/>
      <c r="B318" s="8"/>
      <c r="C318" s="59"/>
      <c r="D318" s="59"/>
      <c r="E318" s="8"/>
      <c r="F318" s="8"/>
      <c r="G318" s="8"/>
      <c r="H318" s="8"/>
      <c r="I318" s="8"/>
      <c r="J318" s="8"/>
      <c r="K318" s="8"/>
      <c r="L318" s="8"/>
      <c r="M318" s="8"/>
      <c r="N318" s="8"/>
      <c r="O318" s="8"/>
      <c r="P318" s="8"/>
      <c r="Q318" s="8"/>
      <c r="R318" s="8"/>
      <c r="S318" s="8"/>
      <c r="T318" s="8"/>
      <c r="U318" s="8"/>
      <c r="V318" s="8"/>
      <c r="W318" s="8"/>
      <c r="X318" s="8"/>
    </row>
    <row r="319" spans="1:24" ht="12.75">
      <c r="A319" s="82"/>
      <c r="B319" s="8"/>
      <c r="C319" s="59"/>
      <c r="D319" s="59"/>
      <c r="E319" s="8"/>
      <c r="F319" s="8"/>
      <c r="G319" s="8"/>
      <c r="H319" s="8"/>
      <c r="I319" s="8"/>
      <c r="J319" s="8"/>
      <c r="K319" s="8"/>
      <c r="L319" s="8"/>
      <c r="M319" s="8"/>
      <c r="N319" s="8"/>
      <c r="O319" s="8"/>
      <c r="P319" s="8"/>
      <c r="Q319" s="8"/>
      <c r="R319" s="8"/>
      <c r="S319" s="8"/>
      <c r="T319" s="8"/>
      <c r="U319" s="8"/>
      <c r="V319" s="8"/>
      <c r="W319" s="8"/>
      <c r="X319" s="8"/>
    </row>
    <row r="320" spans="1:24" ht="12.75">
      <c r="A320" s="82"/>
      <c r="B320" s="8"/>
      <c r="C320" s="59"/>
      <c r="D320" s="59"/>
      <c r="E320" s="8"/>
      <c r="F320" s="8"/>
      <c r="G320" s="8"/>
      <c r="H320" s="8"/>
      <c r="I320" s="8"/>
      <c r="J320" s="8"/>
      <c r="K320" s="8"/>
      <c r="L320" s="8"/>
      <c r="M320" s="8"/>
      <c r="N320" s="8"/>
      <c r="O320" s="8"/>
      <c r="P320" s="8"/>
      <c r="Q320" s="8"/>
      <c r="R320" s="8"/>
      <c r="S320" s="8"/>
      <c r="T320" s="8"/>
      <c r="U320" s="8"/>
      <c r="V320" s="8"/>
      <c r="W320" s="8"/>
      <c r="X320" s="8"/>
    </row>
    <row r="321" spans="1:24" ht="12.75">
      <c r="A321" s="82"/>
      <c r="B321" s="8"/>
      <c r="C321" s="59"/>
      <c r="D321" s="59"/>
      <c r="E321" s="8"/>
      <c r="F321" s="8"/>
      <c r="G321" s="8"/>
      <c r="H321" s="8"/>
      <c r="I321" s="8"/>
      <c r="J321" s="8"/>
      <c r="K321" s="8"/>
      <c r="L321" s="8"/>
      <c r="M321" s="8"/>
      <c r="N321" s="8"/>
      <c r="O321" s="8"/>
      <c r="P321" s="8"/>
      <c r="Q321" s="8"/>
      <c r="R321" s="8"/>
      <c r="S321" s="8"/>
      <c r="T321" s="8"/>
      <c r="U321" s="8"/>
      <c r="V321" s="8"/>
      <c r="W321" s="8"/>
      <c r="X321" s="8"/>
    </row>
    <row r="322" spans="1:24" ht="12.75">
      <c r="A322" s="82"/>
      <c r="B322" s="8"/>
      <c r="C322" s="59"/>
      <c r="D322" s="59"/>
      <c r="E322" s="8"/>
      <c r="F322" s="8"/>
      <c r="G322" s="8"/>
      <c r="H322" s="8"/>
      <c r="I322" s="8"/>
      <c r="J322" s="8"/>
      <c r="K322" s="8"/>
      <c r="L322" s="8"/>
      <c r="M322" s="8"/>
      <c r="N322" s="8"/>
      <c r="O322" s="8"/>
      <c r="P322" s="8"/>
      <c r="Q322" s="8"/>
      <c r="R322" s="8"/>
      <c r="S322" s="8"/>
      <c r="T322" s="8"/>
      <c r="U322" s="8"/>
      <c r="V322" s="8"/>
      <c r="W322" s="8"/>
      <c r="X322" s="8"/>
    </row>
    <row r="323" spans="1:24" ht="12.75">
      <c r="A323" s="82"/>
      <c r="B323" s="8"/>
      <c r="C323" s="59"/>
      <c r="D323" s="59"/>
      <c r="E323" s="8"/>
      <c r="F323" s="8"/>
      <c r="G323" s="8"/>
      <c r="H323" s="8"/>
      <c r="I323" s="8"/>
      <c r="J323" s="8"/>
      <c r="K323" s="8"/>
      <c r="L323" s="8"/>
      <c r="M323" s="8"/>
      <c r="N323" s="8"/>
      <c r="O323" s="8"/>
      <c r="P323" s="8"/>
      <c r="Q323" s="8"/>
      <c r="R323" s="8"/>
      <c r="S323" s="8"/>
      <c r="T323" s="8"/>
      <c r="U323" s="8"/>
      <c r="V323" s="8"/>
      <c r="W323" s="8"/>
      <c r="X323" s="8"/>
    </row>
    <row r="324" spans="1:24" ht="12.75">
      <c r="A324" s="82"/>
      <c r="B324" s="8"/>
      <c r="C324" s="59"/>
      <c r="D324" s="59"/>
      <c r="E324" s="8"/>
      <c r="F324" s="8"/>
      <c r="G324" s="8"/>
      <c r="H324" s="8"/>
      <c r="I324" s="8"/>
      <c r="J324" s="8"/>
      <c r="K324" s="8"/>
      <c r="L324" s="8"/>
      <c r="M324" s="8"/>
      <c r="N324" s="8"/>
      <c r="O324" s="8"/>
      <c r="P324" s="8"/>
      <c r="Q324" s="8"/>
      <c r="R324" s="8"/>
      <c r="S324" s="8"/>
      <c r="T324" s="8"/>
      <c r="U324" s="8"/>
      <c r="V324" s="8"/>
      <c r="W324" s="8"/>
      <c r="X324" s="8"/>
    </row>
    <row r="325" spans="1:24" ht="12.75">
      <c r="A325" s="82"/>
      <c r="B325" s="8"/>
      <c r="C325" s="59"/>
      <c r="D325" s="59"/>
      <c r="E325" s="8"/>
      <c r="F325" s="8"/>
      <c r="G325" s="8"/>
      <c r="H325" s="8"/>
      <c r="I325" s="8"/>
      <c r="J325" s="8"/>
      <c r="K325" s="8"/>
      <c r="L325" s="8"/>
      <c r="M325" s="8"/>
      <c r="N325" s="8"/>
      <c r="O325" s="8"/>
      <c r="P325" s="8"/>
      <c r="Q325" s="8"/>
      <c r="R325" s="8"/>
      <c r="S325" s="8"/>
      <c r="T325" s="8"/>
      <c r="U325" s="8"/>
      <c r="V325" s="8"/>
      <c r="W325" s="8"/>
      <c r="X325" s="8"/>
    </row>
    <row r="326" spans="1:24" ht="12.75">
      <c r="A326" s="82"/>
      <c r="B326" s="8"/>
      <c r="C326" s="59"/>
      <c r="D326" s="59"/>
      <c r="E326" s="8"/>
      <c r="F326" s="8"/>
      <c r="G326" s="8"/>
      <c r="H326" s="8"/>
      <c r="I326" s="8"/>
      <c r="J326" s="8"/>
      <c r="K326" s="8"/>
      <c r="L326" s="8"/>
      <c r="M326" s="8"/>
      <c r="N326" s="8"/>
      <c r="O326" s="8"/>
      <c r="P326" s="8"/>
      <c r="Q326" s="8"/>
      <c r="R326" s="8"/>
      <c r="S326" s="8"/>
      <c r="T326" s="8"/>
      <c r="U326" s="8"/>
      <c r="V326" s="8"/>
      <c r="W326" s="8"/>
      <c r="X326" s="8"/>
    </row>
    <row r="327" spans="1:24" ht="12.75">
      <c r="A327" s="82"/>
      <c r="B327" s="8"/>
      <c r="C327" s="59"/>
      <c r="D327" s="59"/>
      <c r="E327" s="8"/>
      <c r="F327" s="8"/>
      <c r="G327" s="8"/>
      <c r="H327" s="8"/>
      <c r="I327" s="8"/>
      <c r="J327" s="8"/>
      <c r="K327" s="8"/>
      <c r="L327" s="8"/>
      <c r="M327" s="8"/>
      <c r="N327" s="8"/>
      <c r="O327" s="8"/>
      <c r="P327" s="8"/>
      <c r="Q327" s="8"/>
      <c r="R327" s="8"/>
      <c r="S327" s="8"/>
      <c r="T327" s="8"/>
      <c r="U327" s="8"/>
      <c r="V327" s="8"/>
      <c r="W327" s="8"/>
      <c r="X327" s="8"/>
    </row>
    <row r="328" spans="1:24" ht="12.75">
      <c r="A328" s="82"/>
      <c r="B328" s="8"/>
      <c r="C328" s="59"/>
      <c r="D328" s="59"/>
      <c r="E328" s="8"/>
      <c r="F328" s="8"/>
      <c r="G328" s="8"/>
      <c r="H328" s="8"/>
      <c r="I328" s="8"/>
      <c r="J328" s="8"/>
      <c r="K328" s="8"/>
      <c r="L328" s="8"/>
      <c r="M328" s="8"/>
      <c r="N328" s="8"/>
      <c r="O328" s="8"/>
      <c r="P328" s="8"/>
      <c r="Q328" s="8"/>
      <c r="R328" s="8"/>
      <c r="S328" s="8"/>
      <c r="T328" s="8"/>
      <c r="U328" s="8"/>
      <c r="V328" s="8"/>
      <c r="W328" s="8"/>
      <c r="X328" s="8"/>
    </row>
    <row r="329" spans="1:24" ht="12.75">
      <c r="A329" s="82"/>
      <c r="B329" s="8"/>
      <c r="C329" s="59"/>
      <c r="D329" s="59"/>
      <c r="E329" s="8"/>
      <c r="F329" s="8"/>
      <c r="G329" s="8"/>
      <c r="H329" s="8"/>
      <c r="I329" s="8"/>
      <c r="J329" s="8"/>
      <c r="K329" s="8"/>
      <c r="L329" s="8"/>
      <c r="M329" s="8"/>
      <c r="N329" s="8"/>
      <c r="O329" s="8"/>
      <c r="P329" s="8"/>
      <c r="Q329" s="8"/>
      <c r="R329" s="8"/>
      <c r="S329" s="8"/>
      <c r="T329" s="8"/>
      <c r="U329" s="8"/>
      <c r="V329" s="8"/>
      <c r="W329" s="8"/>
      <c r="X329" s="8"/>
    </row>
    <row r="330" spans="1:24" ht="12.75">
      <c r="A330" s="82"/>
      <c r="B330" s="8"/>
      <c r="C330" s="59"/>
      <c r="D330" s="59"/>
      <c r="E330" s="8"/>
      <c r="F330" s="8"/>
      <c r="G330" s="8"/>
      <c r="H330" s="8"/>
      <c r="I330" s="8"/>
      <c r="J330" s="8"/>
      <c r="K330" s="8"/>
      <c r="L330" s="8"/>
      <c r="M330" s="8"/>
      <c r="N330" s="8"/>
      <c r="O330" s="8"/>
      <c r="P330" s="8"/>
      <c r="Q330" s="8"/>
      <c r="R330" s="8"/>
      <c r="S330" s="8"/>
      <c r="T330" s="8"/>
      <c r="U330" s="8"/>
      <c r="V330" s="8"/>
      <c r="W330" s="8"/>
      <c r="X330" s="8"/>
    </row>
    <row r="331" spans="1:24" ht="12.75">
      <c r="A331" s="82"/>
      <c r="B331" s="8"/>
      <c r="C331" s="59"/>
      <c r="D331" s="59"/>
      <c r="E331" s="8"/>
      <c r="F331" s="8"/>
      <c r="G331" s="8"/>
      <c r="H331" s="8"/>
      <c r="I331" s="8"/>
      <c r="J331" s="8"/>
      <c r="K331" s="8"/>
      <c r="L331" s="8"/>
      <c r="M331" s="8"/>
      <c r="N331" s="8"/>
      <c r="O331" s="8"/>
      <c r="P331" s="8"/>
      <c r="Q331" s="8"/>
      <c r="R331" s="8"/>
      <c r="S331" s="8"/>
      <c r="T331" s="8"/>
      <c r="U331" s="8"/>
      <c r="V331" s="8"/>
      <c r="W331" s="8"/>
      <c r="X331" s="8"/>
    </row>
    <row r="332" spans="1:24" ht="12.75">
      <c r="A332" s="82"/>
      <c r="B332" s="8"/>
      <c r="C332" s="59"/>
      <c r="D332" s="59"/>
      <c r="E332" s="8"/>
      <c r="F332" s="8"/>
      <c r="G332" s="8"/>
      <c r="H332" s="8"/>
      <c r="I332" s="8"/>
      <c r="J332" s="8"/>
      <c r="K332" s="8"/>
      <c r="L332" s="8"/>
      <c r="M332" s="8"/>
      <c r="N332" s="8"/>
      <c r="O332" s="8"/>
      <c r="P332" s="8"/>
      <c r="Q332" s="8"/>
      <c r="R332" s="8"/>
      <c r="S332" s="8"/>
      <c r="T332" s="8"/>
      <c r="U332" s="8"/>
      <c r="V332" s="8"/>
      <c r="W332" s="8"/>
      <c r="X332" s="8"/>
    </row>
    <row r="333" spans="1:24" ht="12.75">
      <c r="A333" s="82"/>
      <c r="B333" s="8"/>
      <c r="C333" s="59"/>
      <c r="D333" s="59"/>
      <c r="E333" s="8"/>
      <c r="F333" s="8"/>
      <c r="G333" s="8"/>
      <c r="H333" s="8"/>
      <c r="I333" s="8"/>
      <c r="J333" s="8"/>
      <c r="K333" s="8"/>
      <c r="L333" s="8"/>
      <c r="M333" s="8"/>
      <c r="N333" s="8"/>
      <c r="O333" s="8"/>
      <c r="P333" s="8"/>
      <c r="Q333" s="8"/>
      <c r="R333" s="8"/>
      <c r="S333" s="8"/>
      <c r="T333" s="8"/>
      <c r="U333" s="8"/>
      <c r="V333" s="8"/>
      <c r="W333" s="8"/>
      <c r="X333" s="8"/>
    </row>
    <row r="334" spans="1:24" ht="12.75">
      <c r="A334" s="82"/>
      <c r="B334" s="8"/>
      <c r="C334" s="59"/>
      <c r="D334" s="59"/>
      <c r="E334" s="8"/>
      <c r="F334" s="8"/>
      <c r="G334" s="8"/>
      <c r="H334" s="8"/>
      <c r="I334" s="8"/>
      <c r="J334" s="8"/>
      <c r="K334" s="8"/>
      <c r="L334" s="8"/>
      <c r="M334" s="8"/>
      <c r="N334" s="8"/>
      <c r="O334" s="8"/>
      <c r="P334" s="8"/>
      <c r="Q334" s="8"/>
      <c r="R334" s="8"/>
      <c r="S334" s="8"/>
      <c r="T334" s="8"/>
      <c r="U334" s="8"/>
      <c r="V334" s="8"/>
      <c r="W334" s="8"/>
      <c r="X334" s="8"/>
    </row>
    <row r="335" spans="1:24" ht="12.75">
      <c r="A335" s="82"/>
      <c r="B335" s="8"/>
      <c r="C335" s="59"/>
      <c r="D335" s="59"/>
      <c r="E335" s="8"/>
      <c r="F335" s="8"/>
      <c r="G335" s="8"/>
      <c r="H335" s="8"/>
      <c r="I335" s="8"/>
      <c r="J335" s="8"/>
      <c r="K335" s="8"/>
      <c r="L335" s="8"/>
      <c r="M335" s="8"/>
      <c r="N335" s="8"/>
      <c r="O335" s="8"/>
      <c r="P335" s="8"/>
      <c r="Q335" s="8"/>
      <c r="R335" s="8"/>
      <c r="S335" s="8"/>
      <c r="T335" s="8"/>
      <c r="U335" s="8"/>
      <c r="V335" s="8"/>
      <c r="W335" s="8"/>
      <c r="X335" s="8"/>
    </row>
    <row r="336" spans="1:24" ht="12.75">
      <c r="A336" s="82"/>
      <c r="B336" s="8"/>
      <c r="C336" s="59"/>
      <c r="D336" s="59"/>
      <c r="E336" s="8"/>
      <c r="F336" s="8"/>
      <c r="G336" s="8"/>
      <c r="H336" s="8"/>
      <c r="I336" s="8"/>
      <c r="J336" s="8"/>
      <c r="K336" s="8"/>
      <c r="L336" s="8"/>
      <c r="M336" s="8"/>
      <c r="N336" s="8"/>
      <c r="O336" s="8"/>
      <c r="P336" s="8"/>
      <c r="Q336" s="8"/>
      <c r="R336" s="8"/>
      <c r="S336" s="8"/>
      <c r="T336" s="8"/>
      <c r="U336" s="8"/>
      <c r="V336" s="8"/>
      <c r="W336" s="8"/>
      <c r="X336" s="8"/>
    </row>
    <row r="337" spans="1:24" ht="12.75">
      <c r="A337" s="82"/>
      <c r="B337" s="8"/>
      <c r="C337" s="59"/>
      <c r="D337" s="59"/>
      <c r="E337" s="8"/>
      <c r="F337" s="8"/>
      <c r="G337" s="8"/>
      <c r="H337" s="8"/>
      <c r="I337" s="8"/>
      <c r="J337" s="8"/>
      <c r="K337" s="8"/>
      <c r="L337" s="8"/>
      <c r="M337" s="8"/>
      <c r="N337" s="8"/>
      <c r="O337" s="8"/>
      <c r="P337" s="8"/>
      <c r="Q337" s="8"/>
      <c r="R337" s="8"/>
      <c r="S337" s="8"/>
      <c r="T337" s="8"/>
      <c r="U337" s="8"/>
      <c r="V337" s="8"/>
      <c r="W337" s="8"/>
      <c r="X337" s="8"/>
    </row>
    <row r="338" spans="1:24" ht="12.75">
      <c r="A338" s="82"/>
      <c r="B338" s="8"/>
      <c r="C338" s="59"/>
      <c r="D338" s="59"/>
      <c r="E338" s="8"/>
      <c r="F338" s="8"/>
      <c r="G338" s="8"/>
      <c r="H338" s="8"/>
      <c r="I338" s="8"/>
      <c r="J338" s="8"/>
      <c r="K338" s="8"/>
      <c r="L338" s="8"/>
      <c r="M338" s="8"/>
      <c r="N338" s="8"/>
      <c r="O338" s="8"/>
      <c r="P338" s="8"/>
      <c r="Q338" s="8"/>
      <c r="R338" s="8"/>
      <c r="S338" s="8"/>
      <c r="T338" s="8"/>
      <c r="U338" s="8"/>
      <c r="V338" s="8"/>
      <c r="W338" s="8"/>
      <c r="X338" s="8"/>
    </row>
    <row r="339" spans="1:24" ht="12.75">
      <c r="A339" s="82"/>
      <c r="B339" s="8"/>
      <c r="C339" s="59"/>
      <c r="D339" s="59"/>
      <c r="E339" s="8"/>
      <c r="F339" s="8"/>
      <c r="G339" s="8"/>
      <c r="H339" s="8"/>
      <c r="I339" s="8"/>
      <c r="J339" s="8"/>
      <c r="K339" s="8"/>
      <c r="L339" s="8"/>
      <c r="M339" s="8"/>
      <c r="N339" s="8"/>
      <c r="O339" s="8"/>
      <c r="P339" s="8"/>
      <c r="Q339" s="8"/>
      <c r="R339" s="8"/>
      <c r="S339" s="8"/>
      <c r="T339" s="8"/>
      <c r="U339" s="8"/>
      <c r="V339" s="8"/>
      <c r="W339" s="8"/>
      <c r="X339" s="8"/>
    </row>
    <row r="340" spans="1:24" ht="12.75">
      <c r="A340" s="82"/>
      <c r="B340" s="8"/>
      <c r="C340" s="59"/>
      <c r="D340" s="59"/>
      <c r="E340" s="8"/>
      <c r="F340" s="8"/>
      <c r="G340" s="8"/>
      <c r="H340" s="8"/>
      <c r="I340" s="8"/>
      <c r="J340" s="8"/>
      <c r="K340" s="8"/>
      <c r="L340" s="8"/>
      <c r="M340" s="8"/>
      <c r="N340" s="8"/>
      <c r="O340" s="8"/>
      <c r="P340" s="8"/>
      <c r="Q340" s="8"/>
      <c r="R340" s="8"/>
      <c r="S340" s="8"/>
      <c r="T340" s="8"/>
      <c r="U340" s="8"/>
      <c r="V340" s="8"/>
      <c r="W340" s="8"/>
      <c r="X340" s="8"/>
    </row>
    <row r="341" spans="1:24" ht="12.75">
      <c r="A341" s="82"/>
      <c r="B341" s="8"/>
      <c r="C341" s="59"/>
      <c r="D341" s="59"/>
      <c r="E341" s="8"/>
      <c r="F341" s="8"/>
      <c r="G341" s="8"/>
      <c r="H341" s="8"/>
      <c r="I341" s="8"/>
      <c r="J341" s="8"/>
      <c r="K341" s="8"/>
      <c r="L341" s="8"/>
      <c r="M341" s="8"/>
      <c r="N341" s="8"/>
      <c r="O341" s="8"/>
      <c r="P341" s="8"/>
      <c r="Q341" s="8"/>
      <c r="R341" s="8"/>
      <c r="S341" s="8"/>
      <c r="T341" s="8"/>
      <c r="U341" s="8"/>
      <c r="V341" s="8"/>
      <c r="W341" s="8"/>
      <c r="X341" s="8"/>
    </row>
    <row r="342" spans="1:24" ht="12.75">
      <c r="A342" s="82"/>
      <c r="B342" s="8"/>
      <c r="C342" s="59"/>
      <c r="D342" s="59"/>
      <c r="E342" s="8"/>
      <c r="F342" s="8"/>
      <c r="G342" s="8"/>
      <c r="H342" s="8"/>
      <c r="I342" s="8"/>
      <c r="J342" s="8"/>
      <c r="K342" s="8"/>
      <c r="L342" s="8"/>
      <c r="M342" s="8"/>
      <c r="N342" s="8"/>
      <c r="O342" s="8"/>
      <c r="P342" s="8"/>
      <c r="Q342" s="8"/>
      <c r="R342" s="8"/>
      <c r="S342" s="8"/>
      <c r="T342" s="8"/>
      <c r="U342" s="8"/>
      <c r="V342" s="8"/>
      <c r="W342" s="8"/>
      <c r="X342" s="8"/>
    </row>
    <row r="343" spans="1:24" ht="12.75">
      <c r="A343" s="82"/>
      <c r="B343" s="8"/>
      <c r="C343" s="59"/>
      <c r="D343" s="59"/>
      <c r="E343" s="8"/>
      <c r="F343" s="8"/>
      <c r="G343" s="8"/>
      <c r="H343" s="8"/>
      <c r="I343" s="8"/>
      <c r="J343" s="8"/>
      <c r="K343" s="8"/>
      <c r="L343" s="8"/>
      <c r="M343" s="8"/>
      <c r="N343" s="8"/>
      <c r="O343" s="8"/>
      <c r="P343" s="8"/>
      <c r="Q343" s="8"/>
      <c r="R343" s="8"/>
      <c r="S343" s="8"/>
      <c r="T343" s="8"/>
      <c r="U343" s="8"/>
      <c r="V343" s="8"/>
      <c r="W343" s="8"/>
      <c r="X343" s="8"/>
    </row>
    <row r="344" spans="1:24" ht="12.75">
      <c r="A344" s="82"/>
      <c r="B344" s="8"/>
      <c r="C344" s="59"/>
      <c r="D344" s="59"/>
      <c r="E344" s="8"/>
      <c r="F344" s="8"/>
      <c r="G344" s="8"/>
      <c r="H344" s="8"/>
      <c r="I344" s="8"/>
      <c r="J344" s="8"/>
      <c r="K344" s="8"/>
      <c r="L344" s="8"/>
      <c r="M344" s="8"/>
      <c r="N344" s="8"/>
      <c r="O344" s="8"/>
      <c r="P344" s="8"/>
      <c r="Q344" s="8"/>
      <c r="R344" s="8"/>
      <c r="S344" s="8"/>
      <c r="T344" s="8"/>
      <c r="U344" s="8"/>
      <c r="V344" s="8"/>
      <c r="W344" s="8"/>
      <c r="X344" s="8"/>
    </row>
    <row r="345" spans="1:24" ht="12.75">
      <c r="A345" s="82"/>
      <c r="B345" s="8"/>
      <c r="C345" s="59"/>
      <c r="D345" s="59"/>
      <c r="E345" s="8"/>
      <c r="F345" s="8"/>
      <c r="G345" s="8"/>
      <c r="H345" s="8"/>
      <c r="I345" s="8"/>
      <c r="J345" s="8"/>
      <c r="K345" s="8"/>
      <c r="L345" s="8"/>
      <c r="M345" s="8"/>
      <c r="N345" s="8"/>
      <c r="O345" s="8"/>
      <c r="P345" s="8"/>
      <c r="Q345" s="8"/>
      <c r="R345" s="8"/>
      <c r="S345" s="8"/>
      <c r="T345" s="8"/>
      <c r="U345" s="8"/>
      <c r="V345" s="8"/>
      <c r="W345" s="8"/>
      <c r="X345" s="8"/>
    </row>
    <row r="346" spans="1:24" ht="12.75">
      <c r="A346" s="82"/>
      <c r="B346" s="8"/>
      <c r="C346" s="59"/>
      <c r="D346" s="59"/>
      <c r="E346" s="8"/>
      <c r="F346" s="8"/>
      <c r="G346" s="8"/>
      <c r="H346" s="8"/>
      <c r="I346" s="8"/>
      <c r="J346" s="8"/>
      <c r="K346" s="8"/>
      <c r="L346" s="8"/>
      <c r="M346" s="8"/>
      <c r="N346" s="8"/>
      <c r="O346" s="8"/>
      <c r="P346" s="8"/>
      <c r="Q346" s="8"/>
      <c r="R346" s="8"/>
      <c r="S346" s="8"/>
      <c r="T346" s="8"/>
      <c r="U346" s="8"/>
      <c r="V346" s="8"/>
      <c r="W346" s="8"/>
      <c r="X346" s="8"/>
    </row>
    <row r="347" spans="1:24" ht="12.75">
      <c r="A347" s="82"/>
      <c r="B347" s="8"/>
      <c r="C347" s="59"/>
      <c r="D347" s="59"/>
      <c r="E347" s="8"/>
      <c r="F347" s="8"/>
      <c r="G347" s="8"/>
      <c r="H347" s="8"/>
      <c r="I347" s="8"/>
      <c r="J347" s="8"/>
      <c r="K347" s="8"/>
      <c r="L347" s="8"/>
      <c r="M347" s="8"/>
      <c r="N347" s="8"/>
      <c r="O347" s="8"/>
      <c r="P347" s="8"/>
      <c r="Q347" s="8"/>
      <c r="R347" s="8"/>
      <c r="S347" s="8"/>
      <c r="T347" s="8"/>
      <c r="U347" s="8"/>
      <c r="V347" s="8"/>
      <c r="W347" s="8"/>
      <c r="X347" s="8"/>
    </row>
    <row r="348" spans="1:24" ht="12.75">
      <c r="A348" s="82"/>
      <c r="B348" s="8"/>
      <c r="C348" s="59"/>
      <c r="D348" s="59"/>
      <c r="E348" s="8"/>
      <c r="F348" s="8"/>
      <c r="G348" s="8"/>
      <c r="H348" s="8"/>
      <c r="I348" s="8"/>
      <c r="J348" s="8"/>
      <c r="K348" s="8"/>
      <c r="L348" s="8"/>
      <c r="M348" s="8"/>
      <c r="N348" s="8"/>
      <c r="O348" s="8"/>
      <c r="P348" s="8"/>
      <c r="Q348" s="8"/>
      <c r="R348" s="8"/>
      <c r="S348" s="8"/>
      <c r="T348" s="8"/>
      <c r="U348" s="8"/>
      <c r="V348" s="8"/>
      <c r="W348" s="8"/>
      <c r="X348" s="8"/>
    </row>
    <row r="349" spans="1:24" ht="12.75">
      <c r="A349" s="82"/>
      <c r="B349" s="8"/>
      <c r="C349" s="59"/>
      <c r="D349" s="59"/>
      <c r="E349" s="8"/>
      <c r="F349" s="8"/>
      <c r="G349" s="8"/>
      <c r="H349" s="8"/>
      <c r="I349" s="8"/>
      <c r="J349" s="8"/>
      <c r="K349" s="8"/>
      <c r="L349" s="8"/>
      <c r="M349" s="8"/>
      <c r="N349" s="8"/>
      <c r="O349" s="8"/>
      <c r="P349" s="8"/>
      <c r="Q349" s="8"/>
      <c r="R349" s="8"/>
      <c r="S349" s="8"/>
      <c r="T349" s="8"/>
      <c r="U349" s="8"/>
      <c r="V349" s="8"/>
      <c r="W349" s="8"/>
      <c r="X349" s="8"/>
    </row>
    <row r="350" spans="1:24" ht="12.75">
      <c r="A350" s="82"/>
      <c r="B350" s="8"/>
      <c r="C350" s="59"/>
      <c r="D350" s="59"/>
      <c r="E350" s="8"/>
      <c r="F350" s="8"/>
      <c r="G350" s="8"/>
      <c r="H350" s="8"/>
      <c r="I350" s="8"/>
      <c r="J350" s="8"/>
      <c r="K350" s="8"/>
      <c r="L350" s="8"/>
      <c r="M350" s="8"/>
      <c r="N350" s="8"/>
      <c r="O350" s="8"/>
      <c r="P350" s="8"/>
      <c r="Q350" s="8"/>
      <c r="R350" s="8"/>
      <c r="S350" s="8"/>
      <c r="T350" s="8"/>
      <c r="U350" s="8"/>
      <c r="V350" s="8"/>
      <c r="W350" s="8"/>
      <c r="X350" s="8"/>
    </row>
    <row r="351" spans="1:24" ht="12.75">
      <c r="A351" s="82"/>
      <c r="B351" s="8"/>
      <c r="C351" s="59"/>
      <c r="D351" s="59"/>
      <c r="E351" s="8"/>
      <c r="F351" s="8"/>
      <c r="G351" s="8"/>
      <c r="H351" s="8"/>
      <c r="I351" s="8"/>
      <c r="J351" s="8"/>
      <c r="K351" s="8"/>
      <c r="L351" s="8"/>
      <c r="M351" s="8"/>
      <c r="N351" s="8"/>
      <c r="O351" s="8"/>
      <c r="P351" s="8"/>
      <c r="Q351" s="8"/>
      <c r="R351" s="8"/>
      <c r="S351" s="8"/>
      <c r="T351" s="8"/>
      <c r="U351" s="8"/>
      <c r="V351" s="8"/>
      <c r="W351" s="8"/>
      <c r="X351" s="8"/>
    </row>
    <row r="352" spans="1:24" ht="12.75">
      <c r="A352" s="82"/>
      <c r="B352" s="8"/>
      <c r="C352" s="59"/>
      <c r="D352" s="59"/>
      <c r="E352" s="8"/>
      <c r="F352" s="8"/>
      <c r="G352" s="8"/>
      <c r="H352" s="8"/>
      <c r="I352" s="8"/>
      <c r="J352" s="8"/>
      <c r="K352" s="8"/>
      <c r="L352" s="8"/>
      <c r="M352" s="8"/>
      <c r="N352" s="8"/>
      <c r="O352" s="8"/>
      <c r="P352" s="8"/>
      <c r="Q352" s="8"/>
      <c r="R352" s="8"/>
      <c r="S352" s="8"/>
      <c r="T352" s="8"/>
      <c r="U352" s="8"/>
      <c r="V352" s="8"/>
      <c r="W352" s="8"/>
      <c r="X352" s="8"/>
    </row>
    <row r="353" spans="1:24" ht="12.75">
      <c r="A353" s="82"/>
      <c r="B353" s="8"/>
      <c r="C353" s="59"/>
      <c r="D353" s="59"/>
      <c r="E353" s="8"/>
      <c r="F353" s="8"/>
      <c r="G353" s="8"/>
      <c r="H353" s="8"/>
      <c r="I353" s="8"/>
      <c r="J353" s="8"/>
      <c r="K353" s="8"/>
      <c r="L353" s="8"/>
      <c r="M353" s="8"/>
      <c r="N353" s="8"/>
      <c r="O353" s="8"/>
      <c r="P353" s="8"/>
      <c r="Q353" s="8"/>
      <c r="R353" s="8"/>
      <c r="S353" s="8"/>
      <c r="T353" s="8"/>
      <c r="U353" s="8"/>
      <c r="V353" s="8"/>
      <c r="W353" s="8"/>
      <c r="X353" s="8"/>
    </row>
    <row r="354" spans="1:24" ht="12.75">
      <c r="A354" s="82"/>
      <c r="B354" s="8"/>
      <c r="C354" s="59"/>
      <c r="D354" s="59"/>
      <c r="E354" s="8"/>
      <c r="F354" s="8"/>
      <c r="G354" s="8"/>
      <c r="H354" s="8"/>
      <c r="I354" s="8"/>
      <c r="J354" s="8"/>
      <c r="K354" s="8"/>
      <c r="L354" s="8"/>
      <c r="M354" s="8"/>
      <c r="N354" s="8"/>
      <c r="O354" s="8"/>
      <c r="P354" s="8"/>
      <c r="Q354" s="8"/>
      <c r="R354" s="8"/>
      <c r="S354" s="8"/>
      <c r="T354" s="8"/>
      <c r="U354" s="8"/>
      <c r="V354" s="8"/>
      <c r="W354" s="8"/>
      <c r="X354" s="8"/>
    </row>
    <row r="355" spans="1:24" ht="12.75">
      <c r="A355" s="82"/>
      <c r="B355" s="8"/>
      <c r="C355" s="59"/>
      <c r="D355" s="59"/>
      <c r="E355" s="8"/>
      <c r="F355" s="8"/>
      <c r="G355" s="8"/>
      <c r="H355" s="8"/>
      <c r="I355" s="8"/>
      <c r="J355" s="8"/>
      <c r="K355" s="8"/>
      <c r="L355" s="8"/>
      <c r="M355" s="8"/>
      <c r="N355" s="8"/>
      <c r="O355" s="8"/>
      <c r="P355" s="8"/>
      <c r="Q355" s="8"/>
      <c r="R355" s="8"/>
      <c r="S355" s="8"/>
      <c r="T355" s="8"/>
      <c r="U355" s="8"/>
      <c r="V355" s="8"/>
      <c r="W355" s="8"/>
      <c r="X355" s="8"/>
    </row>
    <row r="356" spans="1:24" ht="12.75">
      <c r="A356" s="82"/>
      <c r="B356" s="8"/>
      <c r="C356" s="59"/>
      <c r="D356" s="59"/>
      <c r="E356" s="8"/>
      <c r="F356" s="8"/>
      <c r="G356" s="8"/>
      <c r="H356" s="8"/>
      <c r="I356" s="8"/>
      <c r="J356" s="8"/>
      <c r="K356" s="8"/>
      <c r="L356" s="8"/>
      <c r="M356" s="8"/>
      <c r="N356" s="8"/>
      <c r="O356" s="8"/>
      <c r="P356" s="8"/>
      <c r="Q356" s="8"/>
      <c r="R356" s="8"/>
      <c r="S356" s="8"/>
      <c r="T356" s="8"/>
      <c r="U356" s="8"/>
      <c r="V356" s="8"/>
      <c r="W356" s="8"/>
      <c r="X356" s="8"/>
    </row>
    <row r="357" spans="1:24" ht="12.75">
      <c r="A357" s="82"/>
      <c r="B357" s="8"/>
      <c r="C357" s="59"/>
      <c r="D357" s="59"/>
      <c r="E357" s="8"/>
      <c r="F357" s="8"/>
      <c r="G357" s="8"/>
      <c r="H357" s="8"/>
      <c r="I357" s="8"/>
      <c r="J357" s="8"/>
      <c r="K357" s="8"/>
      <c r="L357" s="8"/>
      <c r="M357" s="8"/>
      <c r="N357" s="8"/>
      <c r="O357" s="8"/>
      <c r="P357" s="8"/>
      <c r="Q357" s="8"/>
      <c r="R357" s="8"/>
      <c r="S357" s="8"/>
      <c r="T357" s="8"/>
      <c r="U357" s="8"/>
      <c r="V357" s="8"/>
      <c r="W357" s="8"/>
      <c r="X357" s="8"/>
    </row>
    <row r="358" spans="1:24" ht="12.75">
      <c r="A358" s="82"/>
      <c r="B358" s="8"/>
      <c r="C358" s="59"/>
      <c r="D358" s="59"/>
      <c r="E358" s="8"/>
      <c r="F358" s="8"/>
      <c r="G358" s="8"/>
      <c r="H358" s="8"/>
      <c r="I358" s="8"/>
      <c r="J358" s="8"/>
      <c r="K358" s="8"/>
      <c r="L358" s="8"/>
      <c r="M358" s="8"/>
      <c r="N358" s="8"/>
      <c r="O358" s="8"/>
      <c r="P358" s="8"/>
      <c r="Q358" s="8"/>
      <c r="R358" s="8"/>
      <c r="S358" s="8"/>
      <c r="T358" s="8"/>
      <c r="U358" s="8"/>
      <c r="V358" s="8"/>
      <c r="W358" s="8"/>
      <c r="X358" s="8"/>
    </row>
    <row r="359" spans="1:24" ht="12.75">
      <c r="A359" s="82"/>
      <c r="B359" s="8"/>
      <c r="C359" s="59"/>
      <c r="D359" s="59"/>
      <c r="E359" s="8"/>
      <c r="F359" s="8"/>
      <c r="G359" s="8"/>
      <c r="H359" s="8"/>
      <c r="I359" s="8"/>
      <c r="J359" s="8"/>
      <c r="K359" s="8"/>
      <c r="L359" s="8"/>
      <c r="M359" s="8"/>
      <c r="N359" s="8"/>
      <c r="O359" s="8"/>
      <c r="P359" s="8"/>
      <c r="Q359" s="8"/>
      <c r="R359" s="8"/>
      <c r="S359" s="8"/>
      <c r="T359" s="8"/>
      <c r="U359" s="8"/>
      <c r="V359" s="8"/>
      <c r="W359" s="8"/>
      <c r="X359" s="8"/>
    </row>
    <row r="360" spans="1:24" ht="12.75">
      <c r="A360" s="82"/>
      <c r="B360" s="8"/>
      <c r="C360" s="59"/>
      <c r="D360" s="59"/>
      <c r="E360" s="8"/>
      <c r="F360" s="8"/>
      <c r="G360" s="8"/>
      <c r="H360" s="8"/>
      <c r="I360" s="8"/>
      <c r="J360" s="8"/>
      <c r="K360" s="8"/>
      <c r="L360" s="8"/>
      <c r="M360" s="8"/>
      <c r="N360" s="8"/>
      <c r="O360" s="8"/>
      <c r="P360" s="8"/>
      <c r="Q360" s="8"/>
      <c r="R360" s="8"/>
      <c r="S360" s="8"/>
      <c r="T360" s="8"/>
      <c r="U360" s="8"/>
      <c r="V360" s="8"/>
      <c r="W360" s="8"/>
      <c r="X360" s="8"/>
    </row>
    <row r="361" spans="1:24" ht="12.75">
      <c r="A361" s="82"/>
      <c r="B361" s="8"/>
      <c r="C361" s="59"/>
      <c r="D361" s="59"/>
      <c r="E361" s="8"/>
      <c r="F361" s="8"/>
      <c r="G361" s="8"/>
      <c r="H361" s="8"/>
      <c r="I361" s="8"/>
      <c r="J361" s="8"/>
      <c r="K361" s="8"/>
      <c r="L361" s="8"/>
      <c r="M361" s="8"/>
      <c r="N361" s="8"/>
      <c r="O361" s="8"/>
      <c r="P361" s="8"/>
      <c r="Q361" s="8"/>
      <c r="R361" s="8"/>
      <c r="S361" s="8"/>
      <c r="T361" s="8"/>
      <c r="U361" s="8"/>
      <c r="V361" s="8"/>
      <c r="W361" s="8"/>
      <c r="X361" s="8"/>
    </row>
    <row r="362" spans="1:24" ht="12.75">
      <c r="A362" s="82"/>
      <c r="B362" s="8"/>
      <c r="C362" s="59"/>
      <c r="D362" s="59"/>
      <c r="E362" s="8"/>
      <c r="F362" s="8"/>
      <c r="G362" s="8"/>
      <c r="H362" s="8"/>
      <c r="I362" s="8"/>
      <c r="J362" s="8"/>
      <c r="K362" s="8"/>
      <c r="L362" s="8"/>
      <c r="M362" s="8"/>
      <c r="N362" s="8"/>
      <c r="O362" s="8"/>
      <c r="P362" s="8"/>
      <c r="Q362" s="8"/>
      <c r="R362" s="8"/>
      <c r="S362" s="8"/>
      <c r="T362" s="8"/>
      <c r="U362" s="8"/>
      <c r="V362" s="8"/>
      <c r="W362" s="8"/>
      <c r="X362" s="8"/>
    </row>
    <row r="363" spans="1:24" ht="12.75">
      <c r="A363" s="82"/>
      <c r="B363" s="8"/>
      <c r="C363" s="59"/>
      <c r="D363" s="59"/>
      <c r="E363" s="8"/>
      <c r="F363" s="8"/>
      <c r="G363" s="8"/>
      <c r="H363" s="8"/>
      <c r="I363" s="8"/>
      <c r="J363" s="8"/>
      <c r="K363" s="8"/>
      <c r="L363" s="8"/>
      <c r="M363" s="8"/>
      <c r="N363" s="8"/>
      <c r="O363" s="8"/>
      <c r="P363" s="8"/>
      <c r="Q363" s="8"/>
      <c r="R363" s="8"/>
      <c r="S363" s="8"/>
      <c r="T363" s="8"/>
      <c r="U363" s="8"/>
      <c r="V363" s="8"/>
      <c r="W363" s="8"/>
      <c r="X363" s="8"/>
    </row>
    <row r="364" spans="1:24" ht="12.75">
      <c r="A364" s="82"/>
      <c r="B364" s="8"/>
      <c r="C364" s="59"/>
      <c r="D364" s="59"/>
      <c r="E364" s="8"/>
      <c r="F364" s="8"/>
      <c r="G364" s="8"/>
      <c r="H364" s="8"/>
      <c r="I364" s="8"/>
      <c r="J364" s="8"/>
      <c r="K364" s="8"/>
      <c r="L364" s="8"/>
      <c r="M364" s="8"/>
      <c r="N364" s="8"/>
      <c r="O364" s="8"/>
      <c r="P364" s="8"/>
      <c r="Q364" s="8"/>
      <c r="R364" s="8"/>
      <c r="S364" s="8"/>
      <c r="T364" s="8"/>
      <c r="U364" s="8"/>
      <c r="V364" s="8"/>
      <c r="W364" s="8"/>
      <c r="X364" s="8"/>
    </row>
    <row r="365" spans="1:24" ht="12.75">
      <c r="A365" s="82"/>
      <c r="B365" s="8"/>
      <c r="C365" s="59"/>
      <c r="D365" s="59"/>
      <c r="E365" s="8"/>
      <c r="F365" s="8"/>
      <c r="G365" s="8"/>
      <c r="H365" s="8"/>
      <c r="I365" s="8"/>
      <c r="J365" s="8"/>
      <c r="K365" s="8"/>
      <c r="L365" s="8"/>
      <c r="M365" s="8"/>
      <c r="N365" s="8"/>
      <c r="O365" s="8"/>
      <c r="P365" s="8"/>
      <c r="Q365" s="8"/>
      <c r="R365" s="8"/>
      <c r="S365" s="8"/>
      <c r="T365" s="8"/>
      <c r="U365" s="8"/>
      <c r="V365" s="8"/>
      <c r="W365" s="8"/>
      <c r="X365" s="8"/>
    </row>
    <row r="366" spans="1:24" ht="12.75">
      <c r="A366" s="82"/>
      <c r="B366" s="8"/>
      <c r="C366" s="59"/>
      <c r="D366" s="59"/>
      <c r="E366" s="8"/>
      <c r="F366" s="8"/>
      <c r="G366" s="8"/>
      <c r="H366" s="8"/>
      <c r="I366" s="8"/>
      <c r="J366" s="8"/>
      <c r="K366" s="8"/>
      <c r="L366" s="8"/>
      <c r="M366" s="8"/>
      <c r="N366" s="8"/>
      <c r="O366" s="8"/>
      <c r="P366" s="8"/>
      <c r="Q366" s="8"/>
      <c r="R366" s="8"/>
      <c r="S366" s="8"/>
      <c r="T366" s="8"/>
      <c r="U366" s="8"/>
      <c r="V366" s="8"/>
      <c r="W366" s="8"/>
      <c r="X366" s="8"/>
    </row>
    <row r="367" spans="1:24" ht="12.75">
      <c r="A367" s="82"/>
      <c r="B367" s="8"/>
      <c r="C367" s="59"/>
      <c r="D367" s="59"/>
      <c r="E367" s="8"/>
      <c r="F367" s="8"/>
      <c r="G367" s="8"/>
      <c r="H367" s="8"/>
      <c r="I367" s="8"/>
      <c r="J367" s="8"/>
      <c r="K367" s="8"/>
      <c r="L367" s="8"/>
      <c r="M367" s="8"/>
      <c r="N367" s="8"/>
      <c r="O367" s="8"/>
      <c r="P367" s="8"/>
      <c r="Q367" s="8"/>
      <c r="R367" s="8"/>
      <c r="S367" s="8"/>
      <c r="T367" s="8"/>
      <c r="U367" s="8"/>
      <c r="V367" s="8"/>
      <c r="W367" s="8"/>
      <c r="X367" s="8"/>
    </row>
    <row r="368" spans="1:24" ht="12.75">
      <c r="A368" s="82"/>
      <c r="B368" s="8"/>
      <c r="C368" s="59"/>
      <c r="D368" s="59"/>
      <c r="E368" s="8"/>
      <c r="F368" s="8"/>
      <c r="G368" s="8"/>
      <c r="H368" s="8"/>
      <c r="I368" s="8"/>
      <c r="J368" s="8"/>
      <c r="K368" s="8"/>
      <c r="L368" s="8"/>
      <c r="M368" s="8"/>
      <c r="N368" s="8"/>
      <c r="O368" s="8"/>
      <c r="P368" s="8"/>
      <c r="Q368" s="8"/>
      <c r="R368" s="8"/>
      <c r="S368" s="8"/>
      <c r="T368" s="8"/>
      <c r="U368" s="8"/>
      <c r="V368" s="8"/>
      <c r="W368" s="8"/>
      <c r="X368" s="8"/>
    </row>
    <row r="369" spans="1:24" ht="12.75">
      <c r="A369" s="82"/>
      <c r="B369" s="8"/>
      <c r="C369" s="59"/>
      <c r="D369" s="59"/>
      <c r="E369" s="8"/>
      <c r="F369" s="8"/>
      <c r="G369" s="8"/>
      <c r="H369" s="8"/>
      <c r="I369" s="8"/>
      <c r="J369" s="8"/>
      <c r="K369" s="8"/>
      <c r="L369" s="8"/>
      <c r="M369" s="8"/>
      <c r="N369" s="8"/>
      <c r="O369" s="8"/>
      <c r="P369" s="8"/>
      <c r="Q369" s="8"/>
      <c r="R369" s="8"/>
      <c r="S369" s="8"/>
      <c r="T369" s="8"/>
      <c r="U369" s="8"/>
      <c r="V369" s="8"/>
      <c r="W369" s="8"/>
      <c r="X369" s="8"/>
    </row>
    <row r="370" spans="1:24" ht="12.75">
      <c r="A370" s="82"/>
      <c r="B370" s="8"/>
      <c r="C370" s="59"/>
      <c r="D370" s="59"/>
      <c r="E370" s="8"/>
      <c r="F370" s="8"/>
      <c r="G370" s="8"/>
      <c r="H370" s="8"/>
      <c r="I370" s="8"/>
      <c r="J370" s="8"/>
      <c r="K370" s="8"/>
      <c r="L370" s="8"/>
      <c r="M370" s="8"/>
      <c r="N370" s="8"/>
      <c r="O370" s="8"/>
      <c r="P370" s="8"/>
      <c r="Q370" s="8"/>
      <c r="R370" s="8"/>
      <c r="S370" s="8"/>
      <c r="T370" s="8"/>
      <c r="U370" s="8"/>
      <c r="V370" s="8"/>
      <c r="W370" s="8"/>
      <c r="X370" s="8"/>
    </row>
    <row r="371" spans="1:24" ht="12.75">
      <c r="A371" s="82"/>
      <c r="B371" s="8"/>
      <c r="C371" s="59"/>
      <c r="D371" s="59"/>
      <c r="E371" s="8"/>
      <c r="F371" s="8"/>
      <c r="G371" s="8"/>
      <c r="H371" s="8"/>
      <c r="I371" s="8"/>
      <c r="J371" s="8"/>
      <c r="K371" s="8"/>
      <c r="L371" s="8"/>
      <c r="M371" s="8"/>
      <c r="N371" s="8"/>
      <c r="O371" s="8"/>
      <c r="P371" s="8"/>
      <c r="Q371" s="8"/>
      <c r="R371" s="8"/>
      <c r="S371" s="8"/>
      <c r="T371" s="8"/>
      <c r="U371" s="8"/>
      <c r="V371" s="8"/>
      <c r="W371" s="8"/>
      <c r="X371" s="8"/>
    </row>
    <row r="372" spans="1:24" ht="12.75">
      <c r="A372" s="82"/>
      <c r="B372" s="8"/>
      <c r="C372" s="59"/>
      <c r="D372" s="59"/>
      <c r="E372" s="8"/>
      <c r="F372" s="8"/>
      <c r="G372" s="8"/>
      <c r="H372" s="8"/>
      <c r="I372" s="8"/>
      <c r="J372" s="8"/>
      <c r="K372" s="8"/>
      <c r="L372" s="8"/>
      <c r="M372" s="8"/>
      <c r="N372" s="8"/>
      <c r="O372" s="8"/>
      <c r="P372" s="8"/>
      <c r="Q372" s="8"/>
      <c r="R372" s="8"/>
      <c r="S372" s="8"/>
      <c r="T372" s="8"/>
      <c r="U372" s="8"/>
      <c r="V372" s="8"/>
      <c r="W372" s="8"/>
      <c r="X372" s="8"/>
    </row>
    <row r="373" spans="1:24" ht="12.75">
      <c r="A373" s="82"/>
      <c r="B373" s="8"/>
      <c r="C373" s="59"/>
      <c r="D373" s="59"/>
      <c r="E373" s="8"/>
      <c r="F373" s="8"/>
      <c r="G373" s="8"/>
      <c r="H373" s="8"/>
      <c r="I373" s="8"/>
      <c r="J373" s="8"/>
      <c r="K373" s="8"/>
      <c r="L373" s="8"/>
      <c r="M373" s="8"/>
      <c r="N373" s="8"/>
      <c r="O373" s="8"/>
      <c r="P373" s="8"/>
      <c r="Q373" s="8"/>
      <c r="R373" s="8"/>
      <c r="S373" s="8"/>
      <c r="T373" s="8"/>
      <c r="U373" s="8"/>
      <c r="V373" s="8"/>
      <c r="W373" s="8"/>
      <c r="X373" s="8"/>
    </row>
    <row r="374" spans="1:24" ht="12.75">
      <c r="A374" s="82"/>
      <c r="B374" s="8"/>
      <c r="C374" s="59"/>
      <c r="D374" s="59"/>
      <c r="E374" s="8"/>
      <c r="F374" s="8"/>
      <c r="G374" s="8"/>
      <c r="H374" s="8"/>
      <c r="I374" s="8"/>
      <c r="J374" s="8"/>
      <c r="K374" s="8"/>
      <c r="L374" s="8"/>
      <c r="M374" s="8"/>
      <c r="N374" s="8"/>
      <c r="O374" s="8"/>
      <c r="P374" s="8"/>
      <c r="Q374" s="8"/>
      <c r="R374" s="8"/>
      <c r="S374" s="8"/>
      <c r="T374" s="8"/>
      <c r="U374" s="8"/>
      <c r="V374" s="8"/>
      <c r="W374" s="8"/>
      <c r="X374" s="8"/>
    </row>
    <row r="375" spans="1:24" ht="12.75">
      <c r="A375" s="82"/>
      <c r="B375" s="8"/>
      <c r="C375" s="59"/>
      <c r="D375" s="59"/>
      <c r="E375" s="8"/>
      <c r="F375" s="8"/>
      <c r="G375" s="8"/>
      <c r="H375" s="8"/>
      <c r="I375" s="8"/>
      <c r="J375" s="8"/>
      <c r="K375" s="8"/>
      <c r="L375" s="8"/>
      <c r="M375" s="8"/>
      <c r="N375" s="8"/>
      <c r="O375" s="8"/>
      <c r="P375" s="8"/>
      <c r="Q375" s="8"/>
      <c r="R375" s="8"/>
      <c r="S375" s="8"/>
      <c r="T375" s="8"/>
      <c r="U375" s="8"/>
      <c r="V375" s="8"/>
      <c r="W375" s="8"/>
      <c r="X375" s="8"/>
    </row>
    <row r="376" spans="1:24" ht="12.75">
      <c r="A376" s="82"/>
      <c r="B376" s="8"/>
      <c r="C376" s="59"/>
      <c r="D376" s="59"/>
      <c r="E376" s="8"/>
      <c r="F376" s="8"/>
      <c r="G376" s="8"/>
      <c r="H376" s="8"/>
      <c r="I376" s="8"/>
      <c r="J376" s="8"/>
      <c r="K376" s="8"/>
      <c r="L376" s="8"/>
      <c r="M376" s="8"/>
      <c r="N376" s="8"/>
      <c r="O376" s="8"/>
      <c r="P376" s="8"/>
      <c r="Q376" s="8"/>
      <c r="R376" s="8"/>
      <c r="S376" s="8"/>
      <c r="T376" s="8"/>
      <c r="U376" s="8"/>
      <c r="V376" s="8"/>
      <c r="W376" s="8"/>
      <c r="X376" s="8"/>
    </row>
    <row r="377" spans="1:24" ht="12.75">
      <c r="A377" s="82"/>
      <c r="B377" s="8"/>
      <c r="C377" s="59"/>
      <c r="D377" s="59"/>
      <c r="E377" s="8"/>
      <c r="F377" s="8"/>
      <c r="G377" s="8"/>
      <c r="H377" s="8"/>
      <c r="I377" s="8"/>
      <c r="J377" s="8"/>
      <c r="K377" s="8"/>
      <c r="L377" s="8"/>
      <c r="M377" s="8"/>
      <c r="N377" s="8"/>
      <c r="O377" s="8"/>
      <c r="P377" s="8"/>
      <c r="Q377" s="8"/>
      <c r="R377" s="8"/>
      <c r="S377" s="8"/>
      <c r="T377" s="8"/>
      <c r="U377" s="8"/>
      <c r="V377" s="8"/>
      <c r="W377" s="8"/>
      <c r="X377" s="8"/>
    </row>
    <row r="378" spans="1:24" ht="12.75">
      <c r="A378" s="82"/>
      <c r="B378" s="8"/>
      <c r="C378" s="59"/>
      <c r="D378" s="59"/>
      <c r="E378" s="8"/>
      <c r="F378" s="8"/>
      <c r="G378" s="8"/>
      <c r="H378" s="8"/>
      <c r="I378" s="8"/>
      <c r="J378" s="8"/>
      <c r="K378" s="8"/>
      <c r="L378" s="8"/>
      <c r="M378" s="8"/>
      <c r="N378" s="8"/>
      <c r="O378" s="8"/>
      <c r="P378" s="8"/>
      <c r="Q378" s="8"/>
      <c r="R378" s="8"/>
      <c r="S378" s="8"/>
      <c r="T378" s="8"/>
      <c r="U378" s="8"/>
      <c r="V378" s="8"/>
      <c r="W378" s="8"/>
      <c r="X378" s="8"/>
    </row>
    <row r="379" spans="1:24" ht="12.75">
      <c r="A379" s="82"/>
      <c r="B379" s="8"/>
      <c r="C379" s="59"/>
      <c r="D379" s="59"/>
      <c r="E379" s="8"/>
      <c r="F379" s="8"/>
      <c r="G379" s="8"/>
      <c r="H379" s="8"/>
      <c r="I379" s="8"/>
      <c r="J379" s="8"/>
      <c r="K379" s="8"/>
      <c r="L379" s="8"/>
      <c r="M379" s="8"/>
      <c r="N379" s="8"/>
      <c r="O379" s="8"/>
      <c r="P379" s="8"/>
      <c r="Q379" s="8"/>
      <c r="R379" s="8"/>
      <c r="S379" s="8"/>
      <c r="T379" s="8"/>
      <c r="U379" s="8"/>
      <c r="V379" s="8"/>
      <c r="W379" s="8"/>
      <c r="X379" s="8"/>
    </row>
    <row r="380" spans="1:24" ht="12.75">
      <c r="A380" s="82"/>
      <c r="B380" s="8"/>
      <c r="C380" s="59"/>
      <c r="D380" s="59"/>
      <c r="E380" s="8"/>
      <c r="F380" s="8"/>
      <c r="G380" s="8"/>
      <c r="H380" s="8"/>
      <c r="I380" s="8"/>
      <c r="J380" s="8"/>
      <c r="K380" s="8"/>
      <c r="L380" s="8"/>
      <c r="M380" s="8"/>
      <c r="N380" s="8"/>
      <c r="O380" s="8"/>
      <c r="P380" s="8"/>
      <c r="Q380" s="8"/>
      <c r="R380" s="8"/>
      <c r="S380" s="8"/>
      <c r="T380" s="8"/>
      <c r="U380" s="8"/>
      <c r="V380" s="8"/>
      <c r="W380" s="8"/>
      <c r="X380" s="8"/>
    </row>
    <row r="381" spans="1:24" ht="12.75">
      <c r="A381" s="82"/>
      <c r="B381" s="8"/>
      <c r="C381" s="59"/>
      <c r="D381" s="59"/>
      <c r="E381" s="8"/>
      <c r="F381" s="8"/>
      <c r="G381" s="8"/>
      <c r="H381" s="8"/>
      <c r="I381" s="8"/>
      <c r="J381" s="8"/>
      <c r="K381" s="8"/>
      <c r="L381" s="8"/>
      <c r="M381" s="8"/>
      <c r="N381" s="8"/>
      <c r="O381" s="8"/>
      <c r="P381" s="8"/>
      <c r="Q381" s="8"/>
      <c r="R381" s="8"/>
      <c r="S381" s="8"/>
      <c r="T381" s="8"/>
      <c r="U381" s="8"/>
      <c r="V381" s="8"/>
      <c r="W381" s="8"/>
      <c r="X381" s="8"/>
    </row>
    <row r="382" spans="1:24" ht="12.75">
      <c r="A382" s="82"/>
      <c r="B382" s="8"/>
      <c r="C382" s="59"/>
      <c r="D382" s="59"/>
      <c r="E382" s="8"/>
      <c r="F382" s="8"/>
      <c r="G382" s="8"/>
      <c r="H382" s="8"/>
      <c r="I382" s="8"/>
      <c r="J382" s="8"/>
      <c r="K382" s="8"/>
      <c r="L382" s="8"/>
      <c r="M382" s="8"/>
      <c r="N382" s="8"/>
      <c r="O382" s="8"/>
      <c r="P382" s="8"/>
      <c r="Q382" s="8"/>
      <c r="R382" s="8"/>
      <c r="S382" s="8"/>
      <c r="T382" s="8"/>
      <c r="U382" s="8"/>
      <c r="V382" s="8"/>
      <c r="W382" s="8"/>
      <c r="X382" s="8"/>
    </row>
    <row r="383" spans="1:24" ht="12.75">
      <c r="A383" s="82"/>
      <c r="B383" s="8"/>
      <c r="C383" s="59"/>
      <c r="D383" s="59"/>
      <c r="E383" s="8"/>
      <c r="F383" s="8"/>
      <c r="G383" s="8"/>
      <c r="H383" s="8"/>
      <c r="I383" s="8"/>
      <c r="J383" s="8"/>
      <c r="K383" s="8"/>
      <c r="L383" s="8"/>
      <c r="M383" s="8"/>
      <c r="N383" s="8"/>
      <c r="O383" s="8"/>
      <c r="P383" s="8"/>
      <c r="Q383" s="8"/>
      <c r="R383" s="8"/>
      <c r="S383" s="8"/>
      <c r="T383" s="8"/>
      <c r="U383" s="8"/>
      <c r="V383" s="8"/>
      <c r="W383" s="8"/>
      <c r="X383" s="8"/>
    </row>
    <row r="384" spans="1:24" ht="12.75">
      <c r="A384" s="82"/>
      <c r="B384" s="8"/>
      <c r="C384" s="59"/>
      <c r="D384" s="59"/>
      <c r="E384" s="8"/>
      <c r="F384" s="8"/>
      <c r="G384" s="8"/>
      <c r="H384" s="8"/>
      <c r="I384" s="8"/>
      <c r="J384" s="8"/>
      <c r="K384" s="8"/>
      <c r="L384" s="8"/>
      <c r="M384" s="8"/>
      <c r="N384" s="8"/>
      <c r="O384" s="8"/>
      <c r="P384" s="8"/>
      <c r="Q384" s="8"/>
      <c r="R384" s="8"/>
      <c r="S384" s="8"/>
      <c r="T384" s="8"/>
      <c r="U384" s="8"/>
      <c r="V384" s="8"/>
      <c r="W384" s="8"/>
      <c r="X384" s="8"/>
    </row>
    <row r="385" spans="1:24" ht="12.75">
      <c r="A385" s="82"/>
      <c r="B385" s="8"/>
      <c r="C385" s="59"/>
      <c r="D385" s="59"/>
      <c r="E385" s="8"/>
      <c r="F385" s="8"/>
      <c r="G385" s="8"/>
      <c r="H385" s="8"/>
      <c r="I385" s="8"/>
      <c r="J385" s="8"/>
      <c r="K385" s="8"/>
      <c r="L385" s="8"/>
      <c r="M385" s="8"/>
      <c r="N385" s="8"/>
      <c r="O385" s="8"/>
      <c r="P385" s="8"/>
      <c r="Q385" s="8"/>
      <c r="R385" s="8"/>
      <c r="S385" s="8"/>
      <c r="T385" s="8"/>
      <c r="U385" s="8"/>
      <c r="V385" s="8"/>
      <c r="W385" s="8"/>
      <c r="X385" s="8"/>
    </row>
    <row r="386" spans="1:24" ht="12.75">
      <c r="A386" s="82"/>
      <c r="B386" s="8"/>
      <c r="C386" s="59"/>
      <c r="D386" s="59"/>
      <c r="E386" s="8"/>
      <c r="F386" s="8"/>
      <c r="G386" s="8"/>
      <c r="H386" s="8"/>
      <c r="I386" s="8"/>
      <c r="J386" s="8"/>
      <c r="K386" s="8"/>
      <c r="L386" s="8"/>
      <c r="M386" s="8"/>
      <c r="N386" s="8"/>
      <c r="O386" s="8"/>
      <c r="P386" s="8"/>
      <c r="Q386" s="8"/>
      <c r="R386" s="8"/>
      <c r="S386" s="8"/>
      <c r="T386" s="8"/>
      <c r="U386" s="8"/>
      <c r="V386" s="8"/>
      <c r="W386" s="8"/>
      <c r="X386" s="8"/>
    </row>
    <row r="387" spans="1:24" ht="12.75">
      <c r="A387" s="82"/>
      <c r="B387" s="8"/>
      <c r="C387" s="59"/>
      <c r="D387" s="59"/>
      <c r="E387" s="8"/>
      <c r="F387" s="8"/>
      <c r="G387" s="8"/>
      <c r="H387" s="8"/>
      <c r="I387" s="8"/>
      <c r="J387" s="8"/>
      <c r="K387" s="8"/>
      <c r="L387" s="8"/>
      <c r="M387" s="8"/>
      <c r="N387" s="8"/>
      <c r="O387" s="8"/>
      <c r="P387" s="8"/>
      <c r="Q387" s="8"/>
      <c r="R387" s="8"/>
      <c r="S387" s="8"/>
      <c r="T387" s="8"/>
      <c r="U387" s="8"/>
      <c r="V387" s="8"/>
      <c r="W387" s="8"/>
      <c r="X387" s="8"/>
    </row>
    <row r="388" spans="1:24" ht="12.75">
      <c r="A388" s="82"/>
      <c r="B388" s="8"/>
      <c r="C388" s="59"/>
      <c r="D388" s="59"/>
      <c r="E388" s="8"/>
      <c r="F388" s="8"/>
      <c r="G388" s="8"/>
      <c r="H388" s="8"/>
      <c r="I388" s="8"/>
      <c r="J388" s="8"/>
      <c r="K388" s="8"/>
      <c r="L388" s="8"/>
      <c r="M388" s="8"/>
      <c r="N388" s="8"/>
      <c r="O388" s="8"/>
      <c r="P388" s="8"/>
      <c r="Q388" s="8"/>
      <c r="R388" s="8"/>
      <c r="S388" s="8"/>
      <c r="T388" s="8"/>
      <c r="U388" s="8"/>
      <c r="V388" s="8"/>
      <c r="W388" s="8"/>
      <c r="X388" s="8"/>
    </row>
    <row r="389" spans="1:24" ht="12.75">
      <c r="A389" s="82"/>
      <c r="B389" s="8"/>
      <c r="C389" s="59"/>
      <c r="D389" s="59"/>
      <c r="E389" s="8"/>
      <c r="F389" s="8"/>
      <c r="G389" s="8"/>
      <c r="H389" s="8"/>
      <c r="I389" s="8"/>
      <c r="J389" s="8"/>
      <c r="K389" s="8"/>
      <c r="L389" s="8"/>
      <c r="M389" s="8"/>
      <c r="N389" s="8"/>
      <c r="O389" s="8"/>
      <c r="P389" s="8"/>
      <c r="Q389" s="8"/>
      <c r="R389" s="8"/>
      <c r="S389" s="8"/>
      <c r="T389" s="8"/>
      <c r="U389" s="8"/>
      <c r="V389" s="8"/>
      <c r="W389" s="8"/>
      <c r="X389" s="8"/>
    </row>
    <row r="390" spans="1:24" ht="12.75">
      <c r="A390" s="82"/>
      <c r="B390" s="8"/>
      <c r="C390" s="59"/>
      <c r="D390" s="59"/>
      <c r="E390" s="8"/>
      <c r="F390" s="8"/>
      <c r="G390" s="8"/>
      <c r="H390" s="8"/>
      <c r="I390" s="8"/>
      <c r="J390" s="8"/>
      <c r="K390" s="8"/>
      <c r="L390" s="8"/>
      <c r="M390" s="8"/>
      <c r="N390" s="8"/>
      <c r="O390" s="8"/>
      <c r="P390" s="8"/>
      <c r="Q390" s="8"/>
      <c r="R390" s="8"/>
      <c r="S390" s="8"/>
      <c r="T390" s="8"/>
      <c r="U390" s="8"/>
      <c r="V390" s="8"/>
      <c r="W390" s="8"/>
      <c r="X390" s="8"/>
    </row>
    <row r="391" spans="1:24" ht="12.75">
      <c r="A391" s="82"/>
      <c r="B391" s="8"/>
      <c r="C391" s="59"/>
      <c r="D391" s="59"/>
      <c r="E391" s="8"/>
      <c r="F391" s="8"/>
      <c r="G391" s="8"/>
      <c r="H391" s="8"/>
      <c r="I391" s="8"/>
      <c r="J391" s="8"/>
      <c r="K391" s="8"/>
      <c r="L391" s="8"/>
      <c r="M391" s="8"/>
      <c r="N391" s="8"/>
      <c r="O391" s="8"/>
      <c r="P391" s="8"/>
      <c r="Q391" s="8"/>
      <c r="R391" s="8"/>
      <c r="S391" s="8"/>
      <c r="T391" s="8"/>
      <c r="U391" s="8"/>
      <c r="V391" s="8"/>
      <c r="W391" s="8"/>
      <c r="X391" s="8"/>
    </row>
    <row r="392" spans="1:24" ht="12.75">
      <c r="A392" s="82"/>
      <c r="B392" s="8"/>
      <c r="C392" s="59"/>
      <c r="D392" s="59"/>
      <c r="E392" s="8"/>
      <c r="F392" s="8"/>
      <c r="G392" s="8"/>
      <c r="H392" s="8"/>
      <c r="I392" s="8"/>
      <c r="J392" s="8"/>
      <c r="K392" s="8"/>
      <c r="L392" s="8"/>
      <c r="M392" s="8"/>
      <c r="N392" s="8"/>
      <c r="O392" s="8"/>
      <c r="P392" s="8"/>
      <c r="Q392" s="8"/>
      <c r="R392" s="8"/>
      <c r="S392" s="8"/>
      <c r="T392" s="8"/>
      <c r="U392" s="8"/>
      <c r="V392" s="8"/>
      <c r="W392" s="8"/>
      <c r="X392" s="8"/>
    </row>
    <row r="393" spans="1:24" ht="12.75">
      <c r="A393" s="82"/>
      <c r="B393" s="8"/>
      <c r="C393" s="59"/>
      <c r="D393" s="59"/>
      <c r="E393" s="8"/>
      <c r="F393" s="8"/>
      <c r="G393" s="8"/>
      <c r="H393" s="8"/>
      <c r="I393" s="8"/>
      <c r="J393" s="8"/>
      <c r="K393" s="8"/>
      <c r="L393" s="8"/>
      <c r="M393" s="8"/>
      <c r="N393" s="8"/>
      <c r="O393" s="8"/>
      <c r="P393" s="8"/>
      <c r="Q393" s="8"/>
      <c r="R393" s="8"/>
      <c r="S393" s="8"/>
      <c r="T393" s="8"/>
      <c r="U393" s="8"/>
      <c r="V393" s="8"/>
      <c r="W393" s="8"/>
      <c r="X393" s="8"/>
    </row>
    <row r="394" spans="1:24" ht="12.75">
      <c r="A394" s="82"/>
      <c r="B394" s="8"/>
      <c r="C394" s="59"/>
      <c r="D394" s="59"/>
      <c r="E394" s="8"/>
      <c r="F394" s="8"/>
      <c r="G394" s="8"/>
      <c r="H394" s="8"/>
      <c r="I394" s="8"/>
      <c r="J394" s="8"/>
      <c r="K394" s="8"/>
      <c r="L394" s="8"/>
      <c r="M394" s="8"/>
      <c r="N394" s="8"/>
      <c r="O394" s="8"/>
      <c r="P394" s="8"/>
      <c r="Q394" s="8"/>
      <c r="R394" s="8"/>
      <c r="S394" s="8"/>
      <c r="T394" s="8"/>
      <c r="U394" s="8"/>
      <c r="V394" s="8"/>
      <c r="W394" s="8"/>
      <c r="X394" s="8"/>
    </row>
    <row r="395" spans="1:24" ht="12.75">
      <c r="A395" s="82"/>
      <c r="B395" s="8"/>
      <c r="C395" s="59"/>
      <c r="D395" s="59"/>
      <c r="E395" s="8"/>
      <c r="F395" s="8"/>
      <c r="G395" s="8"/>
      <c r="H395" s="8"/>
      <c r="I395" s="8"/>
      <c r="J395" s="8"/>
      <c r="K395" s="8"/>
      <c r="L395" s="8"/>
      <c r="M395" s="8"/>
      <c r="N395" s="8"/>
      <c r="O395" s="8"/>
      <c r="P395" s="8"/>
      <c r="Q395" s="8"/>
      <c r="R395" s="8"/>
      <c r="S395" s="8"/>
      <c r="T395" s="8"/>
      <c r="U395" s="8"/>
      <c r="V395" s="8"/>
      <c r="W395" s="8"/>
      <c r="X395" s="8"/>
    </row>
    <row r="396" spans="1:24" ht="12.75">
      <c r="A396" s="82"/>
      <c r="B396" s="8"/>
      <c r="C396" s="59"/>
      <c r="D396" s="59"/>
      <c r="E396" s="8"/>
      <c r="F396" s="8"/>
      <c r="G396" s="8"/>
      <c r="H396" s="8"/>
      <c r="I396" s="8"/>
      <c r="J396" s="8"/>
      <c r="K396" s="8"/>
      <c r="L396" s="8"/>
      <c r="M396" s="8"/>
      <c r="N396" s="8"/>
      <c r="O396" s="8"/>
      <c r="P396" s="8"/>
      <c r="Q396" s="8"/>
      <c r="R396" s="8"/>
      <c r="S396" s="8"/>
      <c r="T396" s="8"/>
      <c r="U396" s="8"/>
      <c r="V396" s="8"/>
      <c r="W396" s="8"/>
      <c r="X396" s="8"/>
    </row>
    <row r="397" spans="1:24" ht="12.75">
      <c r="A397" s="82"/>
      <c r="B397" s="8"/>
      <c r="C397" s="59"/>
      <c r="D397" s="59"/>
      <c r="E397" s="8"/>
      <c r="F397" s="8"/>
      <c r="G397" s="8"/>
      <c r="H397" s="8"/>
      <c r="I397" s="8"/>
      <c r="J397" s="8"/>
      <c r="K397" s="8"/>
      <c r="L397" s="8"/>
      <c r="M397" s="8"/>
      <c r="N397" s="8"/>
      <c r="O397" s="8"/>
      <c r="P397" s="8"/>
      <c r="Q397" s="8"/>
      <c r="R397" s="8"/>
      <c r="S397" s="8"/>
      <c r="T397" s="8"/>
      <c r="U397" s="8"/>
      <c r="V397" s="8"/>
      <c r="W397" s="8"/>
      <c r="X397" s="8"/>
    </row>
    <row r="398" spans="1:24" ht="12.75">
      <c r="A398" s="82"/>
      <c r="B398" s="8"/>
      <c r="C398" s="59"/>
      <c r="D398" s="59"/>
      <c r="E398" s="8"/>
      <c r="F398" s="8"/>
      <c r="G398" s="8"/>
      <c r="H398" s="8"/>
      <c r="I398" s="8"/>
      <c r="J398" s="8"/>
      <c r="K398" s="8"/>
      <c r="L398" s="8"/>
      <c r="M398" s="8"/>
      <c r="N398" s="8"/>
      <c r="O398" s="8"/>
      <c r="P398" s="8"/>
      <c r="Q398" s="8"/>
      <c r="R398" s="8"/>
      <c r="S398" s="8"/>
      <c r="T398" s="8"/>
      <c r="U398" s="8"/>
      <c r="V398" s="8"/>
      <c r="W398" s="8"/>
      <c r="X398" s="8"/>
    </row>
    <row r="399" spans="1:24" ht="12.75">
      <c r="A399" s="82"/>
      <c r="B399" s="8"/>
      <c r="C399" s="59"/>
      <c r="D399" s="59"/>
      <c r="E399" s="8"/>
      <c r="F399" s="8"/>
      <c r="G399" s="8"/>
      <c r="H399" s="8"/>
      <c r="I399" s="8"/>
      <c r="J399" s="8"/>
      <c r="K399" s="8"/>
      <c r="L399" s="8"/>
      <c r="M399" s="8"/>
      <c r="N399" s="8"/>
      <c r="O399" s="8"/>
      <c r="P399" s="8"/>
      <c r="Q399" s="8"/>
      <c r="R399" s="8"/>
      <c r="S399" s="8"/>
      <c r="T399" s="8"/>
      <c r="U399" s="8"/>
      <c r="V399" s="8"/>
      <c r="W399" s="8"/>
      <c r="X399" s="8"/>
    </row>
    <row r="400" spans="1:24" ht="12.75">
      <c r="A400" s="82"/>
      <c r="B400" s="8"/>
      <c r="C400" s="59"/>
      <c r="D400" s="59"/>
      <c r="E400" s="8"/>
      <c r="F400" s="8"/>
      <c r="G400" s="8"/>
      <c r="H400" s="8"/>
      <c r="I400" s="8"/>
      <c r="J400" s="8"/>
      <c r="K400" s="8"/>
      <c r="L400" s="8"/>
      <c r="M400" s="8"/>
      <c r="N400" s="8"/>
      <c r="O400" s="8"/>
      <c r="P400" s="8"/>
      <c r="Q400" s="8"/>
      <c r="R400" s="8"/>
      <c r="S400" s="8"/>
      <c r="T400" s="8"/>
      <c r="U400" s="8"/>
      <c r="V400" s="8"/>
      <c r="W400" s="8"/>
      <c r="X400" s="8"/>
    </row>
    <row r="401" spans="1:24" ht="12.75">
      <c r="A401" s="82"/>
      <c r="B401" s="8"/>
      <c r="C401" s="59"/>
      <c r="D401" s="59"/>
      <c r="E401" s="8"/>
      <c r="F401" s="8"/>
      <c r="G401" s="8"/>
      <c r="H401" s="8"/>
      <c r="I401" s="8"/>
      <c r="J401" s="8"/>
      <c r="K401" s="8"/>
      <c r="L401" s="8"/>
      <c r="M401" s="8"/>
      <c r="N401" s="8"/>
      <c r="O401" s="8"/>
      <c r="P401" s="8"/>
      <c r="Q401" s="8"/>
      <c r="R401" s="8"/>
      <c r="S401" s="8"/>
      <c r="T401" s="8"/>
      <c r="U401" s="8"/>
      <c r="V401" s="8"/>
      <c r="W401" s="8"/>
      <c r="X401" s="8"/>
    </row>
    <row r="402" spans="1:24" ht="12.75">
      <c r="A402" s="82"/>
      <c r="B402" s="8"/>
      <c r="C402" s="59"/>
      <c r="D402" s="59"/>
      <c r="E402" s="8"/>
      <c r="F402" s="8"/>
      <c r="G402" s="8"/>
      <c r="H402" s="8"/>
      <c r="I402" s="8"/>
      <c r="J402" s="8"/>
      <c r="K402" s="8"/>
      <c r="L402" s="8"/>
      <c r="M402" s="8"/>
      <c r="N402" s="8"/>
      <c r="O402" s="8"/>
      <c r="P402" s="8"/>
      <c r="Q402" s="8"/>
      <c r="R402" s="8"/>
      <c r="S402" s="8"/>
      <c r="T402" s="8"/>
      <c r="U402" s="8"/>
      <c r="V402" s="8"/>
      <c r="W402" s="8"/>
      <c r="X402" s="8"/>
    </row>
    <row r="403" spans="1:24" ht="12.75">
      <c r="A403" s="82"/>
      <c r="B403" s="8"/>
      <c r="C403" s="59"/>
      <c r="D403" s="59"/>
      <c r="E403" s="8"/>
      <c r="F403" s="8"/>
      <c r="G403" s="8"/>
      <c r="H403" s="8"/>
      <c r="I403" s="8"/>
      <c r="J403" s="8"/>
      <c r="K403" s="8"/>
      <c r="L403" s="8"/>
      <c r="M403" s="8"/>
      <c r="N403" s="8"/>
      <c r="O403" s="8"/>
      <c r="P403" s="8"/>
      <c r="Q403" s="8"/>
      <c r="R403" s="8"/>
      <c r="S403" s="8"/>
      <c r="T403" s="8"/>
      <c r="U403" s="8"/>
      <c r="V403" s="8"/>
      <c r="W403" s="8"/>
      <c r="X403" s="8"/>
    </row>
    <row r="404" spans="1:24" ht="12.75">
      <c r="A404" s="82"/>
      <c r="B404" s="8"/>
      <c r="C404" s="59"/>
      <c r="D404" s="59"/>
      <c r="E404" s="8"/>
      <c r="F404" s="8"/>
      <c r="G404" s="8"/>
      <c r="H404" s="8"/>
      <c r="I404" s="8"/>
      <c r="J404" s="8"/>
      <c r="K404" s="8"/>
      <c r="L404" s="8"/>
      <c r="M404" s="8"/>
      <c r="N404" s="8"/>
      <c r="O404" s="8"/>
      <c r="P404" s="8"/>
      <c r="Q404" s="8"/>
      <c r="R404" s="8"/>
      <c r="S404" s="8"/>
      <c r="T404" s="8"/>
      <c r="U404" s="8"/>
      <c r="V404" s="8"/>
      <c r="W404" s="8"/>
      <c r="X404" s="8"/>
    </row>
    <row r="405" spans="1:24" ht="12.75">
      <c r="A405" s="82"/>
      <c r="B405" s="8"/>
      <c r="C405" s="59"/>
      <c r="D405" s="59"/>
      <c r="E405" s="8"/>
      <c r="F405" s="8"/>
      <c r="G405" s="8"/>
      <c r="H405" s="8"/>
      <c r="I405" s="8"/>
      <c r="J405" s="8"/>
      <c r="K405" s="8"/>
      <c r="L405" s="8"/>
      <c r="M405" s="8"/>
      <c r="N405" s="8"/>
      <c r="O405" s="8"/>
      <c r="P405" s="8"/>
      <c r="Q405" s="8"/>
      <c r="R405" s="8"/>
      <c r="S405" s="8"/>
      <c r="T405" s="8"/>
      <c r="U405" s="8"/>
      <c r="V405" s="8"/>
      <c r="W405" s="8"/>
      <c r="X405" s="8"/>
    </row>
    <row r="406" spans="1:24" ht="12.75">
      <c r="A406" s="82"/>
      <c r="B406" s="8"/>
      <c r="C406" s="59"/>
      <c r="D406" s="59"/>
      <c r="E406" s="8"/>
      <c r="F406" s="8"/>
      <c r="G406" s="8"/>
      <c r="H406" s="8"/>
      <c r="I406" s="8"/>
      <c r="J406" s="8"/>
      <c r="K406" s="8"/>
      <c r="L406" s="8"/>
      <c r="M406" s="8"/>
      <c r="N406" s="8"/>
      <c r="O406" s="8"/>
      <c r="P406" s="8"/>
      <c r="Q406" s="8"/>
      <c r="R406" s="8"/>
      <c r="S406" s="8"/>
      <c r="T406" s="8"/>
      <c r="U406" s="8"/>
      <c r="V406" s="8"/>
      <c r="W406" s="8"/>
      <c r="X406" s="8"/>
    </row>
    <row r="407" spans="1:24" ht="12.75">
      <c r="A407" s="82"/>
      <c r="B407" s="8"/>
      <c r="C407" s="59"/>
      <c r="D407" s="59"/>
      <c r="E407" s="8"/>
      <c r="F407" s="8"/>
      <c r="G407" s="8"/>
      <c r="H407" s="8"/>
      <c r="I407" s="8"/>
      <c r="J407" s="8"/>
      <c r="K407" s="8"/>
      <c r="L407" s="8"/>
      <c r="M407" s="8"/>
      <c r="N407" s="8"/>
      <c r="O407" s="8"/>
      <c r="P407" s="8"/>
      <c r="Q407" s="8"/>
      <c r="R407" s="8"/>
      <c r="S407" s="8"/>
      <c r="T407" s="8"/>
      <c r="U407" s="8"/>
      <c r="V407" s="8"/>
      <c r="W407" s="8"/>
      <c r="X407" s="8"/>
    </row>
    <row r="408" spans="1:24" ht="12.75">
      <c r="A408" s="82"/>
      <c r="B408" s="8"/>
      <c r="C408" s="59"/>
      <c r="D408" s="59"/>
      <c r="E408" s="8"/>
      <c r="F408" s="8"/>
      <c r="G408" s="8"/>
      <c r="H408" s="8"/>
      <c r="I408" s="8"/>
      <c r="J408" s="8"/>
      <c r="K408" s="8"/>
      <c r="L408" s="8"/>
      <c r="M408" s="8"/>
      <c r="N408" s="8"/>
      <c r="O408" s="8"/>
      <c r="P408" s="8"/>
      <c r="Q408" s="8"/>
      <c r="R408" s="8"/>
      <c r="S408" s="8"/>
      <c r="T408" s="8"/>
      <c r="U408" s="8"/>
      <c r="V408" s="8"/>
      <c r="W408" s="8"/>
      <c r="X408" s="8"/>
    </row>
    <row r="409" spans="1:24" ht="12.75">
      <c r="A409" s="82"/>
      <c r="B409" s="8"/>
      <c r="C409" s="59"/>
      <c r="D409" s="59"/>
      <c r="E409" s="8"/>
      <c r="F409" s="8"/>
      <c r="G409" s="8"/>
      <c r="H409" s="8"/>
      <c r="I409" s="8"/>
      <c r="J409" s="8"/>
      <c r="K409" s="8"/>
      <c r="L409" s="8"/>
      <c r="M409" s="8"/>
      <c r="N409" s="8"/>
      <c r="O409" s="8"/>
      <c r="P409" s="8"/>
      <c r="Q409" s="8"/>
      <c r="R409" s="8"/>
      <c r="S409" s="8"/>
      <c r="T409" s="8"/>
      <c r="U409" s="8"/>
      <c r="V409" s="8"/>
      <c r="W409" s="8"/>
      <c r="X409" s="8"/>
    </row>
    <row r="410" spans="1:24" ht="12.75">
      <c r="A410" s="82"/>
      <c r="B410" s="8"/>
      <c r="C410" s="59"/>
      <c r="D410" s="59"/>
      <c r="E410" s="8"/>
      <c r="F410" s="8"/>
      <c r="G410" s="8"/>
      <c r="H410" s="8"/>
      <c r="I410" s="8"/>
      <c r="J410" s="8"/>
      <c r="K410" s="8"/>
      <c r="L410" s="8"/>
      <c r="M410" s="8"/>
      <c r="N410" s="8"/>
      <c r="O410" s="8"/>
      <c r="P410" s="8"/>
      <c r="Q410" s="8"/>
      <c r="R410" s="8"/>
      <c r="S410" s="8"/>
      <c r="T410" s="8"/>
      <c r="U410" s="8"/>
      <c r="V410" s="8"/>
      <c r="W410" s="8"/>
      <c r="X410" s="8"/>
    </row>
    <row r="411" spans="1:24" ht="12.75">
      <c r="A411" s="82"/>
      <c r="B411" s="8"/>
      <c r="C411" s="59"/>
      <c r="D411" s="59"/>
      <c r="E411" s="8"/>
      <c r="F411" s="8"/>
      <c r="G411" s="8"/>
      <c r="H411" s="8"/>
      <c r="I411" s="8"/>
      <c r="J411" s="8"/>
      <c r="K411" s="8"/>
      <c r="L411" s="8"/>
      <c r="M411" s="8"/>
      <c r="N411" s="8"/>
      <c r="O411" s="8"/>
      <c r="P411" s="8"/>
      <c r="Q411" s="8"/>
      <c r="R411" s="8"/>
      <c r="S411" s="8"/>
      <c r="T411" s="8"/>
      <c r="U411" s="8"/>
      <c r="V411" s="8"/>
      <c r="W411" s="8"/>
      <c r="X411" s="8"/>
    </row>
    <row r="412" spans="1:24" ht="12.75">
      <c r="A412" s="82"/>
      <c r="B412" s="8"/>
      <c r="C412" s="59"/>
      <c r="D412" s="59"/>
      <c r="E412" s="8"/>
      <c r="F412" s="8"/>
      <c r="G412" s="8"/>
      <c r="H412" s="8"/>
      <c r="I412" s="8"/>
      <c r="J412" s="8"/>
      <c r="K412" s="8"/>
      <c r="L412" s="8"/>
      <c r="M412" s="8"/>
      <c r="N412" s="8"/>
      <c r="O412" s="8"/>
      <c r="P412" s="8"/>
      <c r="Q412" s="8"/>
      <c r="R412" s="8"/>
      <c r="S412" s="8"/>
      <c r="T412" s="8"/>
      <c r="U412" s="8"/>
      <c r="V412" s="8"/>
      <c r="W412" s="8"/>
      <c r="X412" s="8"/>
    </row>
    <row r="413" spans="1:24" ht="12.75">
      <c r="A413" s="82"/>
      <c r="B413" s="8"/>
      <c r="C413" s="59"/>
      <c r="D413" s="59"/>
      <c r="E413" s="8"/>
      <c r="F413" s="8"/>
      <c r="G413" s="8"/>
      <c r="H413" s="8"/>
      <c r="I413" s="8"/>
      <c r="J413" s="8"/>
      <c r="K413" s="8"/>
      <c r="L413" s="8"/>
      <c r="M413" s="8"/>
      <c r="N413" s="8"/>
      <c r="O413" s="8"/>
      <c r="P413" s="8"/>
      <c r="Q413" s="8"/>
      <c r="R413" s="8"/>
      <c r="S413" s="8"/>
      <c r="T413" s="8"/>
      <c r="U413" s="8"/>
      <c r="V413" s="8"/>
      <c r="W413" s="8"/>
      <c r="X413" s="8"/>
    </row>
    <row r="414" spans="1:24" ht="12.75">
      <c r="A414" s="82"/>
      <c r="B414" s="8"/>
      <c r="C414" s="59"/>
      <c r="D414" s="59"/>
      <c r="E414" s="8"/>
      <c r="F414" s="8"/>
      <c r="G414" s="8"/>
      <c r="H414" s="8"/>
      <c r="I414" s="8"/>
      <c r="J414" s="8"/>
      <c r="K414" s="8"/>
      <c r="L414" s="8"/>
      <c r="M414" s="8"/>
      <c r="N414" s="8"/>
      <c r="O414" s="8"/>
      <c r="P414" s="8"/>
      <c r="Q414" s="8"/>
      <c r="R414" s="8"/>
      <c r="S414" s="8"/>
      <c r="T414" s="8"/>
      <c r="U414" s="8"/>
      <c r="V414" s="8"/>
      <c r="W414" s="8"/>
      <c r="X414" s="8"/>
    </row>
    <row r="415" spans="1:24" ht="12.75">
      <c r="A415" s="82"/>
      <c r="B415" s="8"/>
      <c r="C415" s="59"/>
      <c r="D415" s="59"/>
      <c r="E415" s="8"/>
      <c r="F415" s="8"/>
      <c r="G415" s="8"/>
      <c r="H415" s="8"/>
      <c r="I415" s="8"/>
      <c r="J415" s="8"/>
      <c r="K415" s="8"/>
      <c r="L415" s="8"/>
      <c r="M415" s="8"/>
      <c r="N415" s="8"/>
      <c r="O415" s="8"/>
      <c r="P415" s="8"/>
      <c r="Q415" s="8"/>
      <c r="R415" s="8"/>
      <c r="S415" s="8"/>
      <c r="T415" s="8"/>
      <c r="U415" s="8"/>
      <c r="V415" s="8"/>
      <c r="W415" s="8"/>
      <c r="X415" s="8"/>
    </row>
    <row r="416" spans="1:24" ht="12.75">
      <c r="A416" s="82"/>
      <c r="B416" s="8"/>
      <c r="C416" s="59"/>
      <c r="D416" s="59"/>
      <c r="E416" s="8"/>
      <c r="F416" s="8"/>
      <c r="G416" s="8"/>
      <c r="H416" s="8"/>
      <c r="I416" s="8"/>
      <c r="J416" s="8"/>
      <c r="K416" s="8"/>
      <c r="L416" s="8"/>
      <c r="M416" s="8"/>
      <c r="N416" s="8"/>
      <c r="O416" s="8"/>
      <c r="P416" s="8"/>
      <c r="Q416" s="8"/>
      <c r="R416" s="8"/>
      <c r="S416" s="8"/>
      <c r="T416" s="8"/>
      <c r="U416" s="8"/>
      <c r="V416" s="8"/>
      <c r="W416" s="8"/>
      <c r="X416" s="8"/>
    </row>
    <row r="417" spans="1:24" ht="12.75">
      <c r="A417" s="82"/>
      <c r="B417" s="8"/>
      <c r="C417" s="59"/>
      <c r="D417" s="59"/>
      <c r="E417" s="8"/>
      <c r="F417" s="8"/>
      <c r="G417" s="8"/>
      <c r="H417" s="8"/>
      <c r="I417" s="8"/>
      <c r="J417" s="8"/>
      <c r="K417" s="8"/>
      <c r="L417" s="8"/>
      <c r="M417" s="8"/>
      <c r="N417" s="8"/>
      <c r="O417" s="8"/>
      <c r="P417" s="8"/>
      <c r="Q417" s="8"/>
      <c r="R417" s="8"/>
      <c r="S417" s="8"/>
      <c r="T417" s="8"/>
      <c r="U417" s="8"/>
      <c r="V417" s="8"/>
      <c r="W417" s="8"/>
      <c r="X417" s="8"/>
    </row>
    <row r="418" spans="1:24" ht="12.75">
      <c r="A418" s="82"/>
      <c r="B418" s="8"/>
      <c r="C418" s="59"/>
      <c r="D418" s="59"/>
      <c r="E418" s="8"/>
      <c r="F418" s="8"/>
      <c r="G418" s="8"/>
      <c r="H418" s="8"/>
      <c r="I418" s="8"/>
      <c r="J418" s="8"/>
      <c r="K418" s="8"/>
      <c r="L418" s="8"/>
      <c r="M418" s="8"/>
      <c r="N418" s="8"/>
      <c r="O418" s="8"/>
      <c r="P418" s="8"/>
      <c r="Q418" s="8"/>
      <c r="R418" s="8"/>
      <c r="S418" s="8"/>
      <c r="T418" s="8"/>
      <c r="U418" s="8"/>
      <c r="V418" s="8"/>
      <c r="W418" s="8"/>
      <c r="X418" s="8"/>
    </row>
    <row r="419" spans="1:24" ht="12.75">
      <c r="A419" s="82"/>
      <c r="B419" s="8"/>
      <c r="C419" s="59"/>
      <c r="D419" s="59"/>
      <c r="E419" s="8"/>
      <c r="F419" s="8"/>
      <c r="G419" s="8"/>
      <c r="H419" s="8"/>
      <c r="I419" s="8"/>
      <c r="J419" s="8"/>
      <c r="K419" s="8"/>
      <c r="L419" s="8"/>
      <c r="M419" s="8"/>
      <c r="N419" s="8"/>
      <c r="O419" s="8"/>
      <c r="P419" s="8"/>
      <c r="Q419" s="8"/>
      <c r="R419" s="8"/>
      <c r="S419" s="8"/>
      <c r="T419" s="8"/>
      <c r="U419" s="8"/>
      <c r="V419" s="8"/>
      <c r="W419" s="8"/>
      <c r="X419" s="8"/>
    </row>
    <row r="420" spans="1:24" ht="12.75">
      <c r="A420" s="82"/>
      <c r="B420" s="8"/>
      <c r="C420" s="59"/>
      <c r="D420" s="59"/>
      <c r="E420" s="8"/>
      <c r="F420" s="8"/>
      <c r="G420" s="8"/>
      <c r="H420" s="8"/>
      <c r="I420" s="8"/>
      <c r="J420" s="8"/>
      <c r="K420" s="8"/>
      <c r="L420" s="8"/>
      <c r="M420" s="8"/>
      <c r="N420" s="8"/>
      <c r="O420" s="8"/>
      <c r="P420" s="8"/>
      <c r="Q420" s="8"/>
      <c r="R420" s="8"/>
      <c r="S420" s="8"/>
      <c r="T420" s="8"/>
      <c r="U420" s="8"/>
      <c r="V420" s="8"/>
      <c r="W420" s="8"/>
      <c r="X420" s="8"/>
    </row>
    <row r="421" spans="1:24" ht="12.75">
      <c r="A421" s="82"/>
      <c r="B421" s="8"/>
      <c r="C421" s="59"/>
      <c r="D421" s="59"/>
      <c r="E421" s="8"/>
      <c r="F421" s="8"/>
      <c r="G421" s="8"/>
      <c r="H421" s="8"/>
      <c r="I421" s="8"/>
      <c r="J421" s="8"/>
      <c r="K421" s="8"/>
      <c r="L421" s="8"/>
      <c r="M421" s="8"/>
      <c r="N421" s="8"/>
      <c r="O421" s="8"/>
      <c r="P421" s="8"/>
      <c r="Q421" s="8"/>
      <c r="R421" s="8"/>
      <c r="S421" s="8"/>
      <c r="T421" s="8"/>
      <c r="U421" s="8"/>
      <c r="V421" s="8"/>
      <c r="W421" s="8"/>
      <c r="X421" s="8"/>
    </row>
    <row r="422" spans="1:24" ht="12.75">
      <c r="A422" s="82"/>
      <c r="B422" s="8"/>
      <c r="C422" s="59"/>
      <c r="D422" s="59"/>
      <c r="E422" s="8"/>
      <c r="F422" s="8"/>
      <c r="G422" s="8"/>
      <c r="H422" s="8"/>
      <c r="I422" s="8"/>
      <c r="J422" s="8"/>
      <c r="K422" s="8"/>
      <c r="L422" s="8"/>
      <c r="M422" s="8"/>
      <c r="N422" s="8"/>
      <c r="O422" s="8"/>
      <c r="P422" s="8"/>
      <c r="Q422" s="8"/>
      <c r="R422" s="8"/>
      <c r="S422" s="8"/>
      <c r="T422" s="8"/>
      <c r="U422" s="8"/>
      <c r="V422" s="8"/>
      <c r="W422" s="8"/>
      <c r="X422" s="8"/>
    </row>
    <row r="423" spans="1:24" ht="12.75">
      <c r="A423" s="82"/>
      <c r="B423" s="8"/>
      <c r="C423" s="59"/>
      <c r="D423" s="59"/>
      <c r="E423" s="8"/>
      <c r="F423" s="8"/>
      <c r="G423" s="8"/>
      <c r="H423" s="8"/>
      <c r="I423" s="8"/>
      <c r="J423" s="8"/>
      <c r="K423" s="8"/>
      <c r="L423" s="8"/>
      <c r="M423" s="8"/>
      <c r="N423" s="8"/>
      <c r="O423" s="8"/>
      <c r="P423" s="8"/>
      <c r="Q423" s="8"/>
      <c r="R423" s="8"/>
      <c r="S423" s="8"/>
      <c r="T423" s="8"/>
      <c r="U423" s="8"/>
      <c r="V423" s="8"/>
      <c r="W423" s="8"/>
      <c r="X423" s="8"/>
    </row>
    <row r="424" spans="1:24" ht="12.75">
      <c r="A424" s="82"/>
      <c r="B424" s="8"/>
      <c r="C424" s="59"/>
      <c r="D424" s="59"/>
      <c r="E424" s="8"/>
      <c r="F424" s="8"/>
      <c r="G424" s="8"/>
      <c r="H424" s="8"/>
      <c r="I424" s="8"/>
      <c r="J424" s="8"/>
      <c r="K424" s="8"/>
      <c r="L424" s="8"/>
      <c r="M424" s="8"/>
      <c r="N424" s="8"/>
      <c r="O424" s="8"/>
      <c r="P424" s="8"/>
      <c r="Q424" s="8"/>
      <c r="R424" s="8"/>
      <c r="S424" s="8"/>
      <c r="T424" s="8"/>
      <c r="U424" s="8"/>
      <c r="V424" s="8"/>
      <c r="W424" s="8"/>
      <c r="X424" s="8"/>
    </row>
    <row r="425" spans="1:24" ht="12.75">
      <c r="A425" s="82"/>
      <c r="B425" s="8"/>
      <c r="C425" s="59"/>
      <c r="D425" s="59"/>
      <c r="E425" s="8"/>
      <c r="F425" s="8"/>
      <c r="G425" s="8"/>
      <c r="H425" s="8"/>
      <c r="I425" s="8"/>
      <c r="J425" s="8"/>
      <c r="K425" s="8"/>
      <c r="L425" s="8"/>
      <c r="M425" s="8"/>
      <c r="N425" s="8"/>
      <c r="O425" s="8"/>
      <c r="P425" s="8"/>
      <c r="Q425" s="8"/>
      <c r="R425" s="8"/>
      <c r="S425" s="8"/>
      <c r="T425" s="8"/>
      <c r="U425" s="8"/>
      <c r="V425" s="8"/>
      <c r="W425" s="8"/>
      <c r="X425" s="8"/>
    </row>
    <row r="426" spans="1:24" ht="12.75">
      <c r="A426" s="82"/>
      <c r="B426" s="8"/>
      <c r="C426" s="59"/>
      <c r="D426" s="59"/>
      <c r="E426" s="8"/>
      <c r="F426" s="8"/>
      <c r="G426" s="8"/>
      <c r="H426" s="8"/>
      <c r="I426" s="8"/>
      <c r="J426" s="8"/>
      <c r="K426" s="8"/>
      <c r="L426" s="8"/>
      <c r="M426" s="8"/>
      <c r="N426" s="8"/>
      <c r="O426" s="8"/>
      <c r="P426" s="8"/>
      <c r="Q426" s="8"/>
      <c r="R426" s="8"/>
      <c r="S426" s="8"/>
      <c r="T426" s="8"/>
      <c r="U426" s="8"/>
      <c r="V426" s="8"/>
      <c r="W426" s="8"/>
      <c r="X426" s="8"/>
    </row>
    <row r="427" spans="1:24" ht="12.75">
      <c r="A427" s="82"/>
      <c r="B427" s="8"/>
      <c r="C427" s="59"/>
      <c r="D427" s="59"/>
      <c r="E427" s="8"/>
      <c r="F427" s="8"/>
      <c r="G427" s="8"/>
      <c r="H427" s="8"/>
      <c r="I427" s="8"/>
      <c r="J427" s="8"/>
      <c r="K427" s="8"/>
      <c r="L427" s="8"/>
      <c r="M427" s="8"/>
      <c r="N427" s="8"/>
      <c r="O427" s="8"/>
      <c r="P427" s="8"/>
      <c r="Q427" s="8"/>
      <c r="R427" s="8"/>
      <c r="S427" s="8"/>
      <c r="T427" s="8"/>
      <c r="U427" s="8"/>
      <c r="V427" s="8"/>
      <c r="W427" s="8"/>
      <c r="X427" s="8"/>
    </row>
    <row r="428" spans="1:24" ht="12.75">
      <c r="A428" s="82"/>
      <c r="B428" s="8"/>
      <c r="C428" s="59"/>
      <c r="D428" s="59"/>
      <c r="E428" s="8"/>
      <c r="F428" s="8"/>
      <c r="G428" s="8"/>
      <c r="H428" s="8"/>
      <c r="I428" s="8"/>
      <c r="J428" s="8"/>
      <c r="K428" s="8"/>
      <c r="L428" s="8"/>
      <c r="M428" s="8"/>
      <c r="N428" s="8"/>
      <c r="O428" s="8"/>
      <c r="P428" s="8"/>
      <c r="Q428" s="8"/>
      <c r="R428" s="8"/>
      <c r="S428" s="8"/>
      <c r="T428" s="8"/>
      <c r="U428" s="8"/>
      <c r="V428" s="8"/>
      <c r="W428" s="8"/>
      <c r="X428" s="8"/>
    </row>
    <row r="429" spans="1:24" ht="12.75">
      <c r="A429" s="82"/>
      <c r="B429" s="8"/>
      <c r="C429" s="59"/>
      <c r="D429" s="59"/>
      <c r="E429" s="8"/>
      <c r="F429" s="8"/>
      <c r="G429" s="8"/>
      <c r="H429" s="8"/>
      <c r="I429" s="8"/>
      <c r="J429" s="8"/>
      <c r="K429" s="8"/>
      <c r="L429" s="8"/>
      <c r="M429" s="8"/>
      <c r="N429" s="8"/>
      <c r="O429" s="8"/>
      <c r="P429" s="8"/>
      <c r="Q429" s="8"/>
      <c r="R429" s="8"/>
      <c r="S429" s="8"/>
      <c r="T429" s="8"/>
      <c r="U429" s="8"/>
      <c r="V429" s="8"/>
      <c r="W429" s="8"/>
      <c r="X429" s="8"/>
    </row>
    <row r="430" spans="1:24" ht="12.75">
      <c r="A430" s="82"/>
      <c r="B430" s="8"/>
      <c r="C430" s="59"/>
      <c r="D430" s="59"/>
      <c r="E430" s="8"/>
      <c r="F430" s="8"/>
      <c r="G430" s="8"/>
      <c r="H430" s="8"/>
      <c r="I430" s="8"/>
      <c r="J430" s="8"/>
      <c r="K430" s="8"/>
      <c r="L430" s="8"/>
      <c r="M430" s="8"/>
      <c r="N430" s="8"/>
      <c r="O430" s="8"/>
      <c r="P430" s="8"/>
      <c r="Q430" s="8"/>
      <c r="R430" s="8"/>
      <c r="S430" s="8"/>
      <c r="T430" s="8"/>
      <c r="U430" s="8"/>
      <c r="V430" s="8"/>
      <c r="W430" s="8"/>
      <c r="X430" s="8"/>
    </row>
    <row r="431" spans="1:24" ht="12.75">
      <c r="A431" s="82"/>
      <c r="B431" s="8"/>
      <c r="C431" s="59"/>
      <c r="D431" s="59"/>
      <c r="E431" s="8"/>
      <c r="F431" s="8"/>
      <c r="G431" s="8"/>
      <c r="H431" s="8"/>
      <c r="I431" s="8"/>
      <c r="J431" s="8"/>
      <c r="K431" s="8"/>
      <c r="L431" s="8"/>
      <c r="M431" s="8"/>
      <c r="N431" s="8"/>
      <c r="O431" s="8"/>
      <c r="P431" s="8"/>
      <c r="Q431" s="8"/>
      <c r="R431" s="8"/>
      <c r="S431" s="8"/>
      <c r="T431" s="8"/>
      <c r="U431" s="8"/>
      <c r="V431" s="8"/>
      <c r="W431" s="8"/>
      <c r="X431" s="8"/>
    </row>
    <row r="432" spans="1:24" ht="12.75">
      <c r="A432" s="82"/>
      <c r="B432" s="8"/>
      <c r="C432" s="59"/>
      <c r="D432" s="59"/>
      <c r="E432" s="8"/>
      <c r="F432" s="8"/>
      <c r="G432" s="8"/>
      <c r="H432" s="8"/>
      <c r="I432" s="8"/>
      <c r="J432" s="8"/>
      <c r="K432" s="8"/>
      <c r="L432" s="8"/>
      <c r="M432" s="8"/>
      <c r="N432" s="8"/>
      <c r="O432" s="8"/>
      <c r="P432" s="8"/>
      <c r="Q432" s="8"/>
      <c r="R432" s="8"/>
      <c r="S432" s="8"/>
      <c r="T432" s="8"/>
      <c r="U432" s="8"/>
      <c r="V432" s="8"/>
      <c r="W432" s="8"/>
      <c r="X432" s="8"/>
    </row>
    <row r="433" spans="1:24" ht="12.75">
      <c r="A433" s="82"/>
      <c r="B433" s="8"/>
      <c r="C433" s="59"/>
      <c r="D433" s="59"/>
      <c r="E433" s="8"/>
      <c r="F433" s="8"/>
      <c r="G433" s="8"/>
      <c r="H433" s="8"/>
      <c r="I433" s="8"/>
      <c r="J433" s="8"/>
      <c r="K433" s="8"/>
      <c r="L433" s="8"/>
      <c r="M433" s="8"/>
      <c r="N433" s="8"/>
      <c r="O433" s="8"/>
      <c r="P433" s="8"/>
      <c r="Q433" s="8"/>
      <c r="R433" s="8"/>
      <c r="S433" s="8"/>
      <c r="T433" s="8"/>
      <c r="U433" s="8"/>
      <c r="V433" s="8"/>
      <c r="W433" s="8"/>
      <c r="X433" s="8"/>
    </row>
    <row r="434" spans="1:24" ht="12.75">
      <c r="A434" s="82"/>
      <c r="B434" s="8"/>
      <c r="C434" s="59"/>
      <c r="D434" s="59"/>
      <c r="E434" s="8"/>
      <c r="F434" s="8"/>
      <c r="G434" s="8"/>
      <c r="H434" s="8"/>
      <c r="I434" s="8"/>
      <c r="J434" s="8"/>
      <c r="K434" s="8"/>
      <c r="L434" s="8"/>
      <c r="M434" s="8"/>
      <c r="N434" s="8"/>
      <c r="O434" s="8"/>
      <c r="P434" s="8"/>
      <c r="Q434" s="8"/>
      <c r="R434" s="8"/>
      <c r="S434" s="8"/>
      <c r="T434" s="8"/>
      <c r="U434" s="8"/>
      <c r="V434" s="8"/>
      <c r="W434" s="8"/>
      <c r="X434" s="8"/>
    </row>
    <row r="435" spans="1:24" ht="12.75">
      <c r="A435" s="82"/>
      <c r="B435" s="8"/>
      <c r="C435" s="59"/>
      <c r="D435" s="59"/>
      <c r="E435" s="8"/>
      <c r="F435" s="8"/>
      <c r="G435" s="8"/>
      <c r="H435" s="8"/>
      <c r="I435" s="8"/>
      <c r="J435" s="8"/>
      <c r="K435" s="8"/>
      <c r="L435" s="8"/>
      <c r="M435" s="8"/>
      <c r="N435" s="8"/>
      <c r="O435" s="8"/>
      <c r="P435" s="8"/>
      <c r="Q435" s="8"/>
      <c r="R435" s="8"/>
      <c r="S435" s="8"/>
      <c r="T435" s="8"/>
      <c r="U435" s="8"/>
      <c r="V435" s="8"/>
      <c r="W435" s="8"/>
      <c r="X435" s="8"/>
    </row>
    <row r="436" spans="1:24" ht="12.75">
      <c r="A436" s="82"/>
      <c r="B436" s="8"/>
      <c r="C436" s="59"/>
      <c r="D436" s="59"/>
      <c r="E436" s="8"/>
      <c r="F436" s="8"/>
      <c r="G436" s="8"/>
      <c r="H436" s="8"/>
      <c r="I436" s="8"/>
      <c r="J436" s="8"/>
      <c r="K436" s="8"/>
      <c r="L436" s="8"/>
      <c r="M436" s="8"/>
      <c r="N436" s="8"/>
      <c r="O436" s="8"/>
      <c r="P436" s="8"/>
      <c r="Q436" s="8"/>
      <c r="R436" s="8"/>
      <c r="S436" s="8"/>
      <c r="T436" s="8"/>
      <c r="U436" s="8"/>
      <c r="V436" s="8"/>
      <c r="W436" s="8"/>
      <c r="X436" s="8"/>
    </row>
    <row r="437" spans="1:24" ht="12.75">
      <c r="A437" s="82"/>
      <c r="B437" s="8"/>
      <c r="C437" s="59"/>
      <c r="D437" s="59"/>
      <c r="E437" s="8"/>
      <c r="F437" s="8"/>
      <c r="G437" s="8"/>
      <c r="H437" s="8"/>
      <c r="I437" s="8"/>
      <c r="J437" s="8"/>
      <c r="K437" s="8"/>
      <c r="L437" s="8"/>
      <c r="M437" s="8"/>
      <c r="N437" s="8"/>
      <c r="O437" s="8"/>
      <c r="P437" s="8"/>
      <c r="Q437" s="8"/>
      <c r="R437" s="8"/>
      <c r="S437" s="8"/>
      <c r="T437" s="8"/>
      <c r="U437" s="8"/>
      <c r="V437" s="8"/>
      <c r="W437" s="8"/>
      <c r="X437" s="8"/>
    </row>
    <row r="438" spans="1:24" ht="12.75">
      <c r="A438" s="82"/>
      <c r="B438" s="8"/>
      <c r="C438" s="59"/>
      <c r="D438" s="59"/>
      <c r="E438" s="8"/>
      <c r="F438" s="8"/>
      <c r="G438" s="8"/>
      <c r="H438" s="8"/>
      <c r="I438" s="8"/>
      <c r="J438" s="8"/>
      <c r="K438" s="8"/>
      <c r="L438" s="8"/>
      <c r="M438" s="8"/>
      <c r="N438" s="8"/>
      <c r="O438" s="8"/>
      <c r="P438" s="8"/>
      <c r="Q438" s="8"/>
      <c r="R438" s="8"/>
      <c r="S438" s="8"/>
      <c r="T438" s="8"/>
      <c r="U438" s="8"/>
      <c r="V438" s="8"/>
      <c r="W438" s="8"/>
      <c r="X438" s="8"/>
    </row>
    <row r="439" spans="1:24" ht="12.75">
      <c r="A439" s="82"/>
      <c r="B439" s="8"/>
      <c r="C439" s="59"/>
      <c r="D439" s="59"/>
      <c r="E439" s="8"/>
      <c r="F439" s="8"/>
      <c r="G439" s="8"/>
      <c r="H439" s="8"/>
      <c r="I439" s="8"/>
      <c r="J439" s="8"/>
      <c r="K439" s="8"/>
      <c r="L439" s="8"/>
      <c r="M439" s="8"/>
      <c r="N439" s="8"/>
      <c r="O439" s="8"/>
      <c r="P439" s="8"/>
      <c r="Q439" s="8"/>
      <c r="R439" s="8"/>
      <c r="S439" s="8"/>
      <c r="T439" s="8"/>
      <c r="U439" s="8"/>
      <c r="V439" s="8"/>
      <c r="W439" s="8"/>
      <c r="X439" s="8"/>
    </row>
    <row r="440" spans="1:24" ht="12.75">
      <c r="A440" s="82"/>
      <c r="B440" s="8"/>
      <c r="C440" s="59"/>
      <c r="D440" s="59"/>
      <c r="E440" s="8"/>
      <c r="F440" s="8"/>
      <c r="G440" s="8"/>
      <c r="H440" s="8"/>
      <c r="I440" s="8"/>
      <c r="J440" s="8"/>
      <c r="K440" s="8"/>
      <c r="L440" s="8"/>
      <c r="M440" s="8"/>
      <c r="N440" s="8"/>
      <c r="O440" s="8"/>
      <c r="P440" s="8"/>
      <c r="Q440" s="8"/>
      <c r="R440" s="8"/>
      <c r="S440" s="8"/>
      <c r="T440" s="8"/>
      <c r="U440" s="8"/>
      <c r="V440" s="8"/>
      <c r="W440" s="8"/>
      <c r="X440" s="8"/>
    </row>
    <row r="441" spans="1:24" ht="12.75">
      <c r="A441" s="82"/>
      <c r="B441" s="8"/>
      <c r="C441" s="59"/>
      <c r="D441" s="59"/>
      <c r="E441" s="8"/>
      <c r="F441" s="8"/>
      <c r="G441" s="8"/>
      <c r="H441" s="8"/>
      <c r="I441" s="8"/>
      <c r="J441" s="8"/>
      <c r="K441" s="8"/>
      <c r="L441" s="8"/>
      <c r="M441" s="8"/>
      <c r="N441" s="8"/>
      <c r="O441" s="8"/>
      <c r="P441" s="8"/>
      <c r="Q441" s="8"/>
      <c r="R441" s="8"/>
      <c r="S441" s="8"/>
      <c r="T441" s="8"/>
      <c r="U441" s="8"/>
      <c r="V441" s="8"/>
      <c r="W441" s="8"/>
      <c r="X441" s="8"/>
    </row>
    <row r="442" spans="1:24" ht="12.75">
      <c r="A442" s="82"/>
      <c r="B442" s="8"/>
      <c r="C442" s="59"/>
      <c r="D442" s="59"/>
      <c r="E442" s="8"/>
      <c r="F442" s="8"/>
      <c r="G442" s="8"/>
      <c r="H442" s="8"/>
      <c r="I442" s="8"/>
      <c r="J442" s="8"/>
      <c r="K442" s="8"/>
      <c r="L442" s="8"/>
      <c r="M442" s="8"/>
      <c r="N442" s="8"/>
      <c r="O442" s="8"/>
      <c r="P442" s="8"/>
      <c r="Q442" s="8"/>
      <c r="R442" s="8"/>
      <c r="S442" s="8"/>
      <c r="T442" s="8"/>
      <c r="U442" s="8"/>
      <c r="V442" s="8"/>
      <c r="W442" s="8"/>
      <c r="X442" s="8"/>
    </row>
    <row r="443" spans="1:24" ht="12.75">
      <c r="A443" s="82"/>
      <c r="B443" s="8"/>
      <c r="C443" s="59"/>
      <c r="D443" s="59"/>
      <c r="E443" s="8"/>
      <c r="F443" s="8"/>
      <c r="G443" s="8"/>
      <c r="H443" s="8"/>
      <c r="I443" s="8"/>
      <c r="J443" s="8"/>
      <c r="K443" s="8"/>
      <c r="L443" s="8"/>
      <c r="M443" s="8"/>
      <c r="N443" s="8"/>
      <c r="O443" s="8"/>
      <c r="P443" s="8"/>
      <c r="Q443" s="8"/>
      <c r="R443" s="8"/>
      <c r="S443" s="8"/>
      <c r="T443" s="8"/>
      <c r="U443" s="8"/>
      <c r="V443" s="8"/>
      <c r="W443" s="8"/>
      <c r="X443" s="8"/>
    </row>
    <row r="444" spans="1:24" ht="12.75">
      <c r="A444" s="82"/>
      <c r="B444" s="8"/>
      <c r="C444" s="59"/>
      <c r="D444" s="59"/>
      <c r="E444" s="8"/>
      <c r="F444" s="8"/>
      <c r="G444" s="8"/>
      <c r="H444" s="8"/>
      <c r="I444" s="8"/>
      <c r="J444" s="8"/>
      <c r="K444" s="8"/>
      <c r="L444" s="8"/>
      <c r="M444" s="8"/>
      <c r="N444" s="8"/>
      <c r="O444" s="8"/>
      <c r="P444" s="8"/>
      <c r="Q444" s="8"/>
      <c r="R444" s="8"/>
      <c r="S444" s="8"/>
      <c r="T444" s="8"/>
      <c r="U444" s="8"/>
      <c r="V444" s="8"/>
      <c r="W444" s="8"/>
      <c r="X444" s="8"/>
    </row>
    <row r="445" spans="1:24" ht="12.75">
      <c r="A445" s="82"/>
      <c r="B445" s="8"/>
      <c r="C445" s="59"/>
      <c r="D445" s="59"/>
      <c r="E445" s="8"/>
      <c r="F445" s="8"/>
      <c r="G445" s="8"/>
      <c r="H445" s="8"/>
      <c r="I445" s="8"/>
      <c r="J445" s="8"/>
      <c r="K445" s="8"/>
      <c r="L445" s="8"/>
      <c r="M445" s="8"/>
      <c r="N445" s="8"/>
      <c r="O445" s="8"/>
      <c r="P445" s="8"/>
      <c r="Q445" s="8"/>
      <c r="R445" s="8"/>
      <c r="S445" s="8"/>
      <c r="T445" s="8"/>
      <c r="U445" s="8"/>
      <c r="V445" s="8"/>
      <c r="W445" s="8"/>
      <c r="X445" s="8"/>
    </row>
    <row r="446" spans="1:24" ht="12.75">
      <c r="A446" s="82"/>
      <c r="B446" s="8"/>
      <c r="C446" s="59"/>
      <c r="D446" s="59"/>
      <c r="E446" s="8"/>
      <c r="F446" s="8"/>
      <c r="G446" s="8"/>
      <c r="H446" s="8"/>
      <c r="I446" s="8"/>
      <c r="J446" s="8"/>
      <c r="K446" s="8"/>
      <c r="L446" s="8"/>
      <c r="M446" s="8"/>
      <c r="N446" s="8"/>
      <c r="O446" s="8"/>
      <c r="P446" s="8"/>
      <c r="Q446" s="8"/>
      <c r="R446" s="8"/>
      <c r="S446" s="8"/>
      <c r="T446" s="8"/>
      <c r="U446" s="8"/>
      <c r="V446" s="8"/>
      <c r="W446" s="8"/>
      <c r="X446" s="8"/>
    </row>
    <row r="447" spans="1:24" ht="12.75">
      <c r="A447" s="82"/>
      <c r="B447" s="8"/>
      <c r="C447" s="59"/>
      <c r="D447" s="59"/>
      <c r="E447" s="8"/>
      <c r="F447" s="8"/>
      <c r="G447" s="8"/>
      <c r="H447" s="8"/>
      <c r="I447" s="8"/>
      <c r="J447" s="8"/>
      <c r="K447" s="8"/>
      <c r="L447" s="8"/>
      <c r="M447" s="8"/>
      <c r="N447" s="8"/>
      <c r="O447" s="8"/>
      <c r="P447" s="8"/>
      <c r="Q447" s="8"/>
      <c r="R447" s="8"/>
      <c r="S447" s="8"/>
      <c r="T447" s="8"/>
      <c r="U447" s="8"/>
      <c r="V447" s="8"/>
      <c r="W447" s="8"/>
      <c r="X447" s="8"/>
    </row>
    <row r="448" spans="1:24" ht="12.75">
      <c r="A448" s="82"/>
      <c r="B448" s="8"/>
      <c r="C448" s="59"/>
      <c r="D448" s="59"/>
      <c r="E448" s="8"/>
      <c r="F448" s="8"/>
      <c r="G448" s="8"/>
      <c r="H448" s="8"/>
      <c r="I448" s="8"/>
      <c r="J448" s="8"/>
      <c r="K448" s="8"/>
      <c r="L448" s="8"/>
      <c r="M448" s="8"/>
      <c r="N448" s="8"/>
      <c r="O448" s="8"/>
      <c r="P448" s="8"/>
      <c r="Q448" s="8"/>
      <c r="R448" s="8"/>
      <c r="S448" s="8"/>
      <c r="T448" s="8"/>
      <c r="U448" s="8"/>
      <c r="V448" s="8"/>
      <c r="W448" s="8"/>
      <c r="X448" s="8"/>
    </row>
    <row r="449" spans="1:24" ht="12.75">
      <c r="A449" s="82"/>
      <c r="B449" s="8"/>
      <c r="C449" s="59"/>
      <c r="D449" s="59"/>
      <c r="E449" s="8"/>
      <c r="F449" s="8"/>
      <c r="G449" s="8"/>
      <c r="H449" s="8"/>
      <c r="I449" s="8"/>
      <c r="J449" s="8"/>
      <c r="K449" s="8"/>
      <c r="L449" s="8"/>
      <c r="M449" s="8"/>
      <c r="N449" s="8"/>
      <c r="O449" s="8"/>
      <c r="P449" s="8"/>
      <c r="Q449" s="8"/>
      <c r="R449" s="8"/>
      <c r="S449" s="8"/>
      <c r="T449" s="8"/>
      <c r="U449" s="8"/>
      <c r="V449" s="8"/>
      <c r="W449" s="8"/>
      <c r="X449" s="8"/>
    </row>
    <row r="450" spans="1:24" ht="12.75">
      <c r="A450" s="82"/>
      <c r="B450" s="8"/>
      <c r="C450" s="59"/>
      <c r="D450" s="59"/>
      <c r="E450" s="8"/>
      <c r="F450" s="8"/>
      <c r="G450" s="8"/>
      <c r="H450" s="8"/>
      <c r="I450" s="8"/>
      <c r="J450" s="8"/>
      <c r="K450" s="8"/>
      <c r="L450" s="8"/>
      <c r="M450" s="8"/>
      <c r="N450" s="8"/>
      <c r="O450" s="8"/>
      <c r="P450" s="8"/>
      <c r="Q450" s="8"/>
      <c r="R450" s="8"/>
      <c r="S450" s="8"/>
      <c r="T450" s="8"/>
      <c r="U450" s="8"/>
      <c r="V450" s="8"/>
      <c r="W450" s="8"/>
      <c r="X450" s="8"/>
    </row>
    <row r="451" spans="1:24" ht="12.75">
      <c r="A451" s="82"/>
      <c r="B451" s="8"/>
      <c r="C451" s="59"/>
      <c r="D451" s="59"/>
      <c r="E451" s="8"/>
      <c r="F451" s="8"/>
      <c r="G451" s="8"/>
      <c r="H451" s="8"/>
      <c r="I451" s="8"/>
      <c r="J451" s="8"/>
      <c r="K451" s="8"/>
      <c r="L451" s="8"/>
      <c r="M451" s="8"/>
      <c r="N451" s="8"/>
      <c r="O451" s="8"/>
      <c r="P451" s="8"/>
      <c r="Q451" s="8"/>
      <c r="R451" s="8"/>
      <c r="S451" s="8"/>
      <c r="T451" s="8"/>
      <c r="U451" s="8"/>
      <c r="V451" s="8"/>
      <c r="W451" s="8"/>
      <c r="X451" s="8"/>
    </row>
    <row r="452" spans="1:24" ht="12.75">
      <c r="A452" s="82"/>
      <c r="B452" s="8"/>
      <c r="C452" s="59"/>
      <c r="D452" s="59"/>
      <c r="E452" s="8"/>
      <c r="F452" s="8"/>
      <c r="G452" s="8"/>
      <c r="H452" s="8"/>
      <c r="I452" s="8"/>
      <c r="J452" s="8"/>
      <c r="K452" s="8"/>
      <c r="L452" s="8"/>
      <c r="M452" s="8"/>
      <c r="N452" s="8"/>
      <c r="O452" s="8"/>
      <c r="P452" s="8"/>
      <c r="Q452" s="8"/>
      <c r="R452" s="8"/>
      <c r="S452" s="8"/>
      <c r="T452" s="8"/>
      <c r="U452" s="8"/>
      <c r="V452" s="8"/>
      <c r="W452" s="8"/>
      <c r="X452" s="8"/>
    </row>
    <row r="453" spans="1:24" ht="12.75">
      <c r="A453" s="82"/>
      <c r="B453" s="8"/>
      <c r="C453" s="59"/>
      <c r="D453" s="59"/>
      <c r="E453" s="8"/>
      <c r="F453" s="8"/>
      <c r="G453" s="8"/>
      <c r="H453" s="8"/>
      <c r="I453" s="8"/>
      <c r="J453" s="8"/>
      <c r="K453" s="8"/>
      <c r="L453" s="8"/>
      <c r="M453" s="8"/>
      <c r="N453" s="8"/>
      <c r="O453" s="8"/>
      <c r="P453" s="8"/>
      <c r="Q453" s="8"/>
      <c r="R453" s="8"/>
      <c r="S453" s="8"/>
      <c r="T453" s="8"/>
      <c r="U453" s="8"/>
      <c r="V453" s="8"/>
      <c r="W453" s="8"/>
      <c r="X453" s="8"/>
    </row>
    <row r="454" spans="1:24" ht="12.75">
      <c r="A454" s="82"/>
      <c r="B454" s="8"/>
      <c r="C454" s="59"/>
      <c r="D454" s="59"/>
      <c r="E454" s="8"/>
      <c r="F454" s="8"/>
      <c r="G454" s="8"/>
      <c r="H454" s="8"/>
      <c r="I454" s="8"/>
      <c r="J454" s="8"/>
      <c r="K454" s="8"/>
      <c r="L454" s="8"/>
      <c r="M454" s="8"/>
      <c r="N454" s="8"/>
      <c r="O454" s="8"/>
      <c r="P454" s="8"/>
      <c r="Q454" s="8"/>
      <c r="R454" s="8"/>
      <c r="S454" s="8"/>
      <c r="T454" s="8"/>
      <c r="U454" s="8"/>
      <c r="V454" s="8"/>
      <c r="W454" s="8"/>
      <c r="X454" s="8"/>
    </row>
    <row r="455" spans="1:24" ht="12.75">
      <c r="A455" s="82"/>
      <c r="B455" s="8"/>
      <c r="C455" s="59"/>
      <c r="D455" s="59"/>
      <c r="E455" s="8"/>
      <c r="F455" s="8"/>
      <c r="G455" s="8"/>
      <c r="H455" s="8"/>
      <c r="I455" s="8"/>
      <c r="J455" s="8"/>
      <c r="K455" s="8"/>
      <c r="L455" s="8"/>
      <c r="M455" s="8"/>
      <c r="N455" s="8"/>
      <c r="O455" s="8"/>
      <c r="P455" s="8"/>
      <c r="Q455" s="8"/>
      <c r="R455" s="8"/>
      <c r="S455" s="8"/>
      <c r="T455" s="8"/>
      <c r="U455" s="8"/>
      <c r="V455" s="8"/>
      <c r="W455" s="8"/>
      <c r="X455" s="8"/>
    </row>
    <row r="456" spans="1:24" ht="12.75">
      <c r="A456" s="82"/>
      <c r="B456" s="8"/>
      <c r="C456" s="59"/>
      <c r="D456" s="59"/>
      <c r="E456" s="8"/>
      <c r="F456" s="8"/>
      <c r="G456" s="8"/>
      <c r="H456" s="8"/>
      <c r="I456" s="8"/>
      <c r="J456" s="8"/>
      <c r="K456" s="8"/>
      <c r="L456" s="8"/>
      <c r="M456" s="8"/>
      <c r="N456" s="8"/>
      <c r="O456" s="8"/>
      <c r="P456" s="8"/>
      <c r="Q456" s="8"/>
      <c r="R456" s="8"/>
      <c r="S456" s="8"/>
      <c r="T456" s="8"/>
      <c r="U456" s="8"/>
      <c r="V456" s="8"/>
      <c r="W456" s="8"/>
      <c r="X456" s="8"/>
    </row>
    <row r="457" spans="1:24" ht="12.75">
      <c r="A457" s="82"/>
      <c r="B457" s="8"/>
      <c r="C457" s="59"/>
      <c r="D457" s="59"/>
      <c r="E457" s="8"/>
      <c r="F457" s="8"/>
      <c r="G457" s="8"/>
      <c r="H457" s="8"/>
      <c r="I457" s="8"/>
      <c r="J457" s="8"/>
      <c r="K457" s="8"/>
      <c r="L457" s="8"/>
      <c r="M457" s="8"/>
      <c r="N457" s="8"/>
      <c r="O457" s="8"/>
      <c r="P457" s="8"/>
      <c r="Q457" s="8"/>
      <c r="R457" s="8"/>
      <c r="S457" s="8"/>
      <c r="T457" s="8"/>
      <c r="U457" s="8"/>
      <c r="V457" s="8"/>
      <c r="W457" s="8"/>
      <c r="X457" s="8"/>
    </row>
    <row r="458" spans="1:24" ht="12.75">
      <c r="A458" s="82"/>
      <c r="B458" s="8"/>
      <c r="C458" s="59"/>
      <c r="D458" s="59"/>
      <c r="E458" s="8"/>
      <c r="F458" s="8"/>
      <c r="G458" s="8"/>
      <c r="H458" s="8"/>
      <c r="I458" s="8"/>
      <c r="J458" s="8"/>
      <c r="K458" s="8"/>
      <c r="L458" s="8"/>
      <c r="M458" s="8"/>
      <c r="N458" s="8"/>
      <c r="O458" s="8"/>
      <c r="P458" s="8"/>
      <c r="Q458" s="8"/>
      <c r="R458" s="8"/>
      <c r="S458" s="8"/>
      <c r="T458" s="8"/>
      <c r="U458" s="8"/>
      <c r="V458" s="8"/>
      <c r="W458" s="8"/>
      <c r="X458" s="8"/>
    </row>
    <row r="459" spans="1:24" ht="12.75">
      <c r="A459" s="82"/>
      <c r="B459" s="8"/>
      <c r="C459" s="59"/>
      <c r="D459" s="59"/>
      <c r="E459" s="8"/>
      <c r="F459" s="8"/>
      <c r="G459" s="8"/>
      <c r="H459" s="8"/>
      <c r="I459" s="8"/>
      <c r="J459" s="8"/>
      <c r="K459" s="8"/>
      <c r="L459" s="8"/>
      <c r="M459" s="8"/>
      <c r="N459" s="8"/>
      <c r="O459" s="8"/>
      <c r="P459" s="8"/>
      <c r="Q459" s="8"/>
      <c r="R459" s="8"/>
      <c r="S459" s="8"/>
      <c r="T459" s="8"/>
      <c r="U459" s="8"/>
      <c r="V459" s="8"/>
      <c r="W459" s="8"/>
      <c r="X459" s="8"/>
    </row>
    <row r="460" spans="1:24" ht="12.75">
      <c r="A460" s="82"/>
      <c r="B460" s="8"/>
      <c r="C460" s="59"/>
      <c r="D460" s="59"/>
      <c r="E460" s="8"/>
      <c r="F460" s="8"/>
      <c r="G460" s="8"/>
      <c r="H460" s="8"/>
      <c r="I460" s="8"/>
      <c r="J460" s="8"/>
      <c r="K460" s="8"/>
      <c r="L460" s="8"/>
      <c r="M460" s="8"/>
      <c r="N460" s="8"/>
      <c r="O460" s="8"/>
      <c r="P460" s="8"/>
      <c r="Q460" s="8"/>
      <c r="R460" s="8"/>
      <c r="S460" s="8"/>
      <c r="T460" s="8"/>
      <c r="U460" s="8"/>
      <c r="V460" s="8"/>
      <c r="W460" s="8"/>
      <c r="X460" s="8"/>
    </row>
    <row r="461" spans="1:24" ht="12.75">
      <c r="A461" s="82"/>
      <c r="B461" s="8"/>
      <c r="C461" s="59"/>
      <c r="D461" s="59"/>
      <c r="E461" s="8"/>
      <c r="F461" s="8"/>
      <c r="G461" s="8"/>
      <c r="H461" s="8"/>
      <c r="I461" s="8"/>
      <c r="J461" s="8"/>
      <c r="K461" s="8"/>
      <c r="L461" s="8"/>
      <c r="M461" s="8"/>
      <c r="N461" s="8"/>
      <c r="O461" s="8"/>
      <c r="P461" s="8"/>
      <c r="Q461" s="8"/>
      <c r="R461" s="8"/>
      <c r="S461" s="8"/>
      <c r="T461" s="8"/>
      <c r="U461" s="8"/>
      <c r="V461" s="8"/>
      <c r="W461" s="8"/>
      <c r="X461" s="8"/>
    </row>
    <row r="462" spans="1:24" ht="12.75">
      <c r="A462" s="82"/>
      <c r="B462" s="8"/>
      <c r="C462" s="59"/>
      <c r="D462" s="59"/>
      <c r="E462" s="8"/>
      <c r="F462" s="8"/>
      <c r="G462" s="8"/>
      <c r="H462" s="8"/>
      <c r="I462" s="8"/>
      <c r="J462" s="8"/>
      <c r="K462" s="8"/>
      <c r="L462" s="8"/>
      <c r="M462" s="8"/>
      <c r="N462" s="8"/>
      <c r="O462" s="8"/>
      <c r="P462" s="8"/>
      <c r="Q462" s="8"/>
      <c r="R462" s="8"/>
      <c r="S462" s="8"/>
      <c r="T462" s="8"/>
      <c r="U462" s="8"/>
      <c r="V462" s="8"/>
      <c r="W462" s="8"/>
      <c r="X462" s="8"/>
    </row>
    <row r="463" spans="1:24" ht="12.75">
      <c r="A463" s="82"/>
      <c r="B463" s="8"/>
      <c r="C463" s="59"/>
      <c r="D463" s="59"/>
      <c r="E463" s="8"/>
      <c r="F463" s="8"/>
      <c r="G463" s="8"/>
      <c r="H463" s="8"/>
      <c r="I463" s="8"/>
      <c r="J463" s="8"/>
      <c r="K463" s="8"/>
      <c r="L463" s="8"/>
      <c r="M463" s="8"/>
      <c r="N463" s="8"/>
      <c r="O463" s="8"/>
      <c r="P463" s="8"/>
      <c r="Q463" s="8"/>
      <c r="R463" s="8"/>
      <c r="S463" s="8"/>
      <c r="T463" s="8"/>
      <c r="U463" s="8"/>
      <c r="V463" s="8"/>
      <c r="W463" s="8"/>
      <c r="X463" s="8"/>
    </row>
    <row r="464" spans="1:24" ht="12.75">
      <c r="A464" s="82"/>
      <c r="B464" s="8"/>
      <c r="C464" s="59"/>
      <c r="D464" s="59"/>
      <c r="E464" s="8"/>
      <c r="F464" s="8"/>
      <c r="G464" s="8"/>
      <c r="H464" s="8"/>
      <c r="I464" s="8"/>
      <c r="J464" s="8"/>
      <c r="K464" s="8"/>
      <c r="L464" s="8"/>
      <c r="M464" s="8"/>
      <c r="N464" s="8"/>
      <c r="O464" s="8"/>
      <c r="P464" s="8"/>
      <c r="Q464" s="8"/>
      <c r="R464" s="8"/>
      <c r="S464" s="8"/>
      <c r="T464" s="8"/>
      <c r="U464" s="8"/>
      <c r="V464" s="8"/>
      <c r="W464" s="8"/>
      <c r="X464" s="8"/>
    </row>
    <row r="465" spans="1:24" ht="12.75">
      <c r="A465" s="82"/>
      <c r="B465" s="8"/>
      <c r="C465" s="59"/>
      <c r="D465" s="59"/>
      <c r="E465" s="8"/>
      <c r="F465" s="8"/>
      <c r="G465" s="8"/>
      <c r="H465" s="8"/>
      <c r="I465" s="8"/>
      <c r="J465" s="8"/>
      <c r="K465" s="8"/>
      <c r="L465" s="8"/>
      <c r="M465" s="8"/>
      <c r="N465" s="8"/>
      <c r="O465" s="8"/>
      <c r="P465" s="8"/>
      <c r="Q465" s="8"/>
      <c r="R465" s="8"/>
      <c r="S465" s="8"/>
      <c r="T465" s="8"/>
      <c r="U465" s="8"/>
      <c r="V465" s="8"/>
      <c r="W465" s="8"/>
      <c r="X465" s="8"/>
    </row>
    <row r="466" spans="1:24" ht="12.75">
      <c r="A466" s="82"/>
      <c r="B466" s="8"/>
      <c r="C466" s="59"/>
      <c r="D466" s="59"/>
      <c r="E466" s="8"/>
      <c r="F466" s="8"/>
      <c r="G466" s="8"/>
      <c r="H466" s="8"/>
      <c r="I466" s="8"/>
      <c r="J466" s="8"/>
      <c r="K466" s="8"/>
      <c r="L466" s="8"/>
      <c r="M466" s="8"/>
      <c r="N466" s="8"/>
      <c r="O466" s="8"/>
      <c r="P466" s="8"/>
      <c r="Q466" s="8"/>
      <c r="R466" s="8"/>
      <c r="S466" s="8"/>
      <c r="T466" s="8"/>
      <c r="U466" s="8"/>
      <c r="V466" s="8"/>
      <c r="W466" s="8"/>
      <c r="X466" s="8"/>
    </row>
    <row r="467" spans="1:24" ht="12.75">
      <c r="A467" s="82"/>
      <c r="B467" s="8"/>
      <c r="C467" s="59"/>
      <c r="D467" s="59"/>
      <c r="E467" s="8"/>
      <c r="F467" s="8"/>
      <c r="G467" s="8"/>
      <c r="H467" s="8"/>
      <c r="I467" s="8"/>
      <c r="J467" s="8"/>
      <c r="K467" s="8"/>
      <c r="L467" s="8"/>
      <c r="M467" s="8"/>
      <c r="N467" s="8"/>
      <c r="O467" s="8"/>
      <c r="P467" s="8"/>
      <c r="Q467" s="8"/>
      <c r="R467" s="8"/>
      <c r="S467" s="8"/>
      <c r="T467" s="8"/>
      <c r="U467" s="8"/>
      <c r="V467" s="8"/>
      <c r="W467" s="8"/>
      <c r="X467" s="8"/>
    </row>
    <row r="468" spans="1:24" ht="12.75">
      <c r="A468" s="82"/>
      <c r="B468" s="8"/>
      <c r="C468" s="59"/>
      <c r="D468" s="59"/>
      <c r="E468" s="8"/>
      <c r="F468" s="8"/>
      <c r="G468" s="8"/>
      <c r="H468" s="8"/>
      <c r="I468" s="8"/>
      <c r="J468" s="8"/>
      <c r="K468" s="8"/>
      <c r="L468" s="8"/>
      <c r="M468" s="8"/>
      <c r="N468" s="8"/>
      <c r="O468" s="8"/>
      <c r="P468" s="8"/>
      <c r="Q468" s="8"/>
      <c r="R468" s="8"/>
      <c r="S468" s="8"/>
      <c r="T468" s="8"/>
      <c r="U468" s="8"/>
      <c r="V468" s="8"/>
      <c r="W468" s="8"/>
      <c r="X468" s="8"/>
    </row>
    <row r="469" spans="1:24" ht="12.75">
      <c r="A469" s="82"/>
      <c r="B469" s="8"/>
      <c r="C469" s="59"/>
      <c r="D469" s="59"/>
      <c r="E469" s="8"/>
      <c r="F469" s="8"/>
      <c r="G469" s="8"/>
      <c r="H469" s="8"/>
      <c r="I469" s="8"/>
      <c r="J469" s="8"/>
      <c r="K469" s="8"/>
      <c r="L469" s="8"/>
      <c r="M469" s="8"/>
      <c r="N469" s="8"/>
      <c r="O469" s="8"/>
      <c r="P469" s="8"/>
      <c r="Q469" s="8"/>
      <c r="R469" s="8"/>
      <c r="S469" s="8"/>
      <c r="T469" s="8"/>
      <c r="U469" s="8"/>
      <c r="V469" s="8"/>
      <c r="W469" s="8"/>
      <c r="X469" s="8"/>
    </row>
    <row r="470" spans="1:24" ht="12.75">
      <c r="A470" s="82"/>
      <c r="B470" s="8"/>
      <c r="C470" s="59"/>
      <c r="D470" s="59"/>
      <c r="E470" s="8"/>
      <c r="F470" s="8"/>
      <c r="G470" s="8"/>
      <c r="H470" s="8"/>
      <c r="I470" s="8"/>
      <c r="J470" s="8"/>
      <c r="K470" s="8"/>
      <c r="L470" s="8"/>
      <c r="M470" s="8"/>
      <c r="N470" s="8"/>
      <c r="O470" s="8"/>
      <c r="P470" s="8"/>
      <c r="Q470" s="8"/>
      <c r="R470" s="8"/>
      <c r="S470" s="8"/>
      <c r="T470" s="8"/>
      <c r="U470" s="8"/>
      <c r="V470" s="8"/>
      <c r="W470" s="8"/>
      <c r="X470" s="8"/>
    </row>
    <row r="471" spans="1:24" ht="12.75">
      <c r="A471" s="82"/>
      <c r="B471" s="8"/>
      <c r="C471" s="59"/>
      <c r="D471" s="59"/>
      <c r="E471" s="8"/>
      <c r="F471" s="8"/>
      <c r="G471" s="8"/>
      <c r="H471" s="8"/>
      <c r="I471" s="8"/>
      <c r="J471" s="8"/>
      <c r="K471" s="8"/>
      <c r="L471" s="8"/>
      <c r="M471" s="8"/>
      <c r="N471" s="8"/>
      <c r="O471" s="8"/>
      <c r="P471" s="8"/>
      <c r="Q471" s="8"/>
      <c r="R471" s="8"/>
      <c r="S471" s="8"/>
      <c r="T471" s="8"/>
      <c r="U471" s="8"/>
      <c r="V471" s="8"/>
      <c r="W471" s="8"/>
      <c r="X471" s="8"/>
    </row>
    <row r="472" spans="1:24" ht="12.75">
      <c r="A472" s="82"/>
      <c r="B472" s="8"/>
      <c r="C472" s="59"/>
      <c r="D472" s="59"/>
      <c r="E472" s="8"/>
      <c r="F472" s="8"/>
      <c r="G472" s="8"/>
      <c r="H472" s="8"/>
      <c r="I472" s="8"/>
      <c r="J472" s="8"/>
      <c r="K472" s="8"/>
      <c r="L472" s="8"/>
      <c r="M472" s="8"/>
      <c r="N472" s="8"/>
      <c r="O472" s="8"/>
      <c r="P472" s="8"/>
      <c r="Q472" s="8"/>
      <c r="R472" s="8"/>
      <c r="S472" s="8"/>
      <c r="T472" s="8"/>
      <c r="U472" s="8"/>
      <c r="V472" s="8"/>
      <c r="W472" s="8"/>
      <c r="X472" s="8"/>
    </row>
    <row r="473" spans="1:24" ht="12.75">
      <c r="A473" s="82"/>
      <c r="B473" s="8"/>
      <c r="C473" s="59"/>
      <c r="D473" s="59"/>
      <c r="E473" s="8"/>
      <c r="F473" s="8"/>
      <c r="G473" s="8"/>
      <c r="H473" s="8"/>
      <c r="I473" s="8"/>
      <c r="J473" s="8"/>
      <c r="K473" s="8"/>
      <c r="L473" s="8"/>
      <c r="M473" s="8"/>
      <c r="N473" s="8"/>
      <c r="O473" s="8"/>
      <c r="P473" s="8"/>
      <c r="Q473" s="8"/>
      <c r="R473" s="8"/>
      <c r="S473" s="8"/>
      <c r="T473" s="8"/>
      <c r="U473" s="8"/>
      <c r="V473" s="8"/>
      <c r="W473" s="8"/>
      <c r="X473" s="8"/>
    </row>
    <row r="474" spans="1:24" ht="12.75">
      <c r="A474" s="82"/>
      <c r="B474" s="8"/>
      <c r="C474" s="59"/>
      <c r="D474" s="59"/>
      <c r="E474" s="8"/>
      <c r="F474" s="8"/>
      <c r="G474" s="8"/>
      <c r="H474" s="8"/>
      <c r="I474" s="8"/>
      <c r="J474" s="8"/>
      <c r="K474" s="8"/>
      <c r="L474" s="8"/>
      <c r="M474" s="8"/>
      <c r="N474" s="8"/>
      <c r="O474" s="8"/>
      <c r="P474" s="8"/>
      <c r="Q474" s="8"/>
      <c r="R474" s="8"/>
      <c r="S474" s="8"/>
      <c r="T474" s="8"/>
      <c r="U474" s="8"/>
      <c r="V474" s="8"/>
      <c r="W474" s="8"/>
      <c r="X474" s="8"/>
    </row>
    <row r="475" spans="1:24" ht="12.75">
      <c r="A475" s="82"/>
      <c r="B475" s="8"/>
      <c r="C475" s="59"/>
      <c r="D475" s="59"/>
      <c r="E475" s="8"/>
      <c r="F475" s="8"/>
      <c r="G475" s="8"/>
      <c r="H475" s="8"/>
      <c r="I475" s="8"/>
      <c r="J475" s="8"/>
      <c r="K475" s="8"/>
      <c r="L475" s="8"/>
      <c r="M475" s="8"/>
      <c r="N475" s="8"/>
      <c r="O475" s="8"/>
      <c r="P475" s="8"/>
      <c r="Q475" s="8"/>
      <c r="R475" s="8"/>
      <c r="S475" s="8"/>
      <c r="T475" s="8"/>
      <c r="U475" s="8"/>
      <c r="V475" s="8"/>
      <c r="W475" s="8"/>
      <c r="X475" s="8"/>
    </row>
    <row r="476" spans="1:24" ht="12.75">
      <c r="A476" s="82"/>
      <c r="B476" s="8"/>
      <c r="C476" s="59"/>
      <c r="D476" s="59"/>
      <c r="E476" s="8"/>
      <c r="F476" s="8"/>
      <c r="G476" s="8"/>
      <c r="H476" s="8"/>
      <c r="I476" s="8"/>
      <c r="J476" s="8"/>
      <c r="K476" s="8"/>
      <c r="L476" s="8"/>
      <c r="M476" s="8"/>
      <c r="N476" s="8"/>
      <c r="O476" s="8"/>
      <c r="P476" s="8"/>
      <c r="Q476" s="8"/>
      <c r="R476" s="8"/>
      <c r="S476" s="8"/>
      <c r="T476" s="8"/>
      <c r="U476" s="8"/>
      <c r="V476" s="8"/>
      <c r="W476" s="8"/>
      <c r="X476" s="8"/>
    </row>
    <row r="477" spans="1:24" ht="12.75">
      <c r="A477" s="82"/>
      <c r="B477" s="8"/>
      <c r="C477" s="59"/>
      <c r="D477" s="59"/>
      <c r="E477" s="8"/>
      <c r="F477" s="8"/>
      <c r="G477" s="8"/>
      <c r="H477" s="8"/>
      <c r="I477" s="8"/>
      <c r="J477" s="8"/>
      <c r="K477" s="8"/>
      <c r="L477" s="8"/>
      <c r="M477" s="8"/>
      <c r="N477" s="8"/>
      <c r="O477" s="8"/>
      <c r="P477" s="8"/>
      <c r="Q477" s="8"/>
      <c r="R477" s="8"/>
      <c r="S477" s="8"/>
      <c r="T477" s="8"/>
      <c r="U477" s="8"/>
      <c r="V477" s="8"/>
      <c r="W477" s="8"/>
      <c r="X477" s="8"/>
    </row>
    <row r="478" spans="1:24" ht="12.75">
      <c r="A478" s="82"/>
      <c r="B478" s="8"/>
      <c r="C478" s="59"/>
      <c r="D478" s="59"/>
      <c r="E478" s="8"/>
      <c r="F478" s="8"/>
      <c r="G478" s="8"/>
      <c r="H478" s="8"/>
      <c r="I478" s="8"/>
      <c r="J478" s="8"/>
      <c r="K478" s="8"/>
      <c r="L478" s="8"/>
      <c r="M478" s="8"/>
      <c r="N478" s="8"/>
      <c r="O478" s="8"/>
      <c r="P478" s="8"/>
      <c r="Q478" s="8"/>
      <c r="R478" s="8"/>
      <c r="S478" s="8"/>
      <c r="T478" s="8"/>
      <c r="U478" s="8"/>
      <c r="V478" s="8"/>
      <c r="W478" s="8"/>
      <c r="X478" s="8"/>
    </row>
    <row r="479" spans="1:24" ht="12.75">
      <c r="A479" s="82"/>
      <c r="B479" s="8"/>
      <c r="C479" s="59"/>
      <c r="D479" s="59"/>
      <c r="E479" s="8"/>
      <c r="F479" s="8"/>
      <c r="G479" s="8"/>
      <c r="H479" s="8"/>
      <c r="I479" s="8"/>
      <c r="J479" s="8"/>
      <c r="K479" s="8"/>
      <c r="L479" s="8"/>
      <c r="M479" s="8"/>
      <c r="N479" s="8"/>
      <c r="O479" s="8"/>
      <c r="P479" s="8"/>
      <c r="Q479" s="8"/>
      <c r="R479" s="8"/>
      <c r="S479" s="8"/>
      <c r="T479" s="8"/>
      <c r="U479" s="8"/>
      <c r="V479" s="8"/>
      <c r="W479" s="8"/>
      <c r="X479" s="8"/>
    </row>
    <row r="480" spans="1:24" ht="12.75">
      <c r="A480" s="82"/>
      <c r="B480" s="8"/>
      <c r="C480" s="59"/>
      <c r="D480" s="59"/>
      <c r="E480" s="8"/>
      <c r="F480" s="8"/>
      <c r="G480" s="8"/>
      <c r="H480" s="8"/>
      <c r="I480" s="8"/>
      <c r="J480" s="8"/>
      <c r="K480" s="8"/>
      <c r="L480" s="8"/>
      <c r="M480" s="8"/>
      <c r="N480" s="8"/>
      <c r="O480" s="8"/>
      <c r="P480" s="8"/>
      <c r="Q480" s="8"/>
      <c r="R480" s="8"/>
      <c r="S480" s="8"/>
      <c r="T480" s="8"/>
      <c r="U480" s="8"/>
      <c r="V480" s="8"/>
      <c r="W480" s="8"/>
      <c r="X480" s="8"/>
    </row>
    <row r="481" spans="1:24" ht="12.75">
      <c r="A481" s="82"/>
      <c r="B481" s="8"/>
      <c r="C481" s="59"/>
      <c r="D481" s="59"/>
      <c r="E481" s="8"/>
      <c r="F481" s="8"/>
      <c r="G481" s="8"/>
      <c r="H481" s="8"/>
      <c r="I481" s="8"/>
      <c r="J481" s="8"/>
      <c r="K481" s="8"/>
      <c r="L481" s="8"/>
      <c r="M481" s="8"/>
      <c r="N481" s="8"/>
      <c r="O481" s="8"/>
      <c r="P481" s="8"/>
      <c r="Q481" s="8"/>
      <c r="R481" s="8"/>
      <c r="S481" s="8"/>
      <c r="T481" s="8"/>
      <c r="U481" s="8"/>
      <c r="V481" s="8"/>
      <c r="W481" s="8"/>
      <c r="X481" s="8"/>
    </row>
    <row r="482" spans="1:24" ht="12.75">
      <c r="A482" s="82"/>
      <c r="B482" s="8"/>
      <c r="C482" s="59"/>
      <c r="D482" s="59"/>
      <c r="E482" s="8"/>
      <c r="F482" s="8"/>
      <c r="G482" s="8"/>
      <c r="H482" s="8"/>
      <c r="I482" s="8"/>
      <c r="J482" s="8"/>
      <c r="K482" s="8"/>
      <c r="L482" s="8"/>
      <c r="M482" s="8"/>
      <c r="N482" s="8"/>
      <c r="O482" s="8"/>
      <c r="P482" s="8"/>
      <c r="Q482" s="8"/>
      <c r="R482" s="8"/>
      <c r="S482" s="8"/>
      <c r="T482" s="8"/>
      <c r="U482" s="8"/>
      <c r="V482" s="8"/>
      <c r="W482" s="8"/>
      <c r="X482" s="8"/>
    </row>
    <row r="483" spans="1:24" ht="12.75">
      <c r="A483" s="82"/>
      <c r="B483" s="8"/>
      <c r="C483" s="59"/>
      <c r="D483" s="59"/>
      <c r="E483" s="8"/>
      <c r="F483" s="8"/>
      <c r="G483" s="8"/>
      <c r="H483" s="8"/>
      <c r="I483" s="8"/>
      <c r="J483" s="8"/>
      <c r="K483" s="8"/>
      <c r="L483" s="8"/>
      <c r="M483" s="8"/>
      <c r="N483" s="8"/>
      <c r="O483" s="8"/>
      <c r="P483" s="8"/>
      <c r="Q483" s="8"/>
      <c r="R483" s="8"/>
      <c r="S483" s="8"/>
      <c r="T483" s="8"/>
      <c r="U483" s="8"/>
      <c r="V483" s="8"/>
      <c r="W483" s="8"/>
      <c r="X483" s="8"/>
    </row>
    <row r="484" spans="1:24" ht="12.75">
      <c r="A484" s="82"/>
      <c r="B484" s="8"/>
      <c r="C484" s="59"/>
      <c r="D484" s="59"/>
      <c r="E484" s="8"/>
      <c r="F484" s="8"/>
      <c r="G484" s="8"/>
      <c r="H484" s="8"/>
      <c r="I484" s="8"/>
      <c r="J484" s="8"/>
      <c r="K484" s="8"/>
      <c r="L484" s="8"/>
      <c r="M484" s="8"/>
      <c r="N484" s="8"/>
      <c r="O484" s="8"/>
      <c r="P484" s="8"/>
      <c r="Q484" s="8"/>
      <c r="R484" s="8"/>
      <c r="S484" s="8"/>
      <c r="T484" s="8"/>
      <c r="U484" s="8"/>
      <c r="V484" s="8"/>
      <c r="W484" s="8"/>
      <c r="X484" s="8"/>
    </row>
    <row r="485" spans="1:24" ht="12.75">
      <c r="A485" s="82"/>
      <c r="B485" s="8"/>
      <c r="C485" s="59"/>
      <c r="D485" s="59"/>
      <c r="E485" s="8"/>
      <c r="F485" s="8"/>
      <c r="G485" s="8"/>
      <c r="H485" s="8"/>
      <c r="I485" s="8"/>
      <c r="J485" s="8"/>
      <c r="K485" s="8"/>
      <c r="L485" s="8"/>
      <c r="M485" s="8"/>
      <c r="N485" s="8"/>
      <c r="O485" s="8"/>
      <c r="P485" s="8"/>
      <c r="Q485" s="8"/>
      <c r="R485" s="8"/>
      <c r="S485" s="8"/>
      <c r="T485" s="8"/>
      <c r="U485" s="8"/>
      <c r="V485" s="8"/>
      <c r="W485" s="8"/>
      <c r="X485" s="8"/>
    </row>
    <row r="486" spans="1:24" ht="12.75">
      <c r="A486" s="82"/>
      <c r="B486" s="8"/>
      <c r="C486" s="59"/>
      <c r="D486" s="59"/>
      <c r="E486" s="8"/>
      <c r="F486" s="8"/>
      <c r="G486" s="8"/>
      <c r="H486" s="8"/>
      <c r="I486" s="8"/>
      <c r="J486" s="8"/>
      <c r="K486" s="8"/>
      <c r="L486" s="8"/>
      <c r="M486" s="8"/>
      <c r="N486" s="8"/>
      <c r="O486" s="8"/>
      <c r="P486" s="8"/>
      <c r="Q486" s="8"/>
      <c r="R486" s="8"/>
      <c r="S486" s="8"/>
      <c r="T486" s="8"/>
      <c r="U486" s="8"/>
      <c r="V486" s="8"/>
      <c r="W486" s="8"/>
      <c r="X486" s="8"/>
    </row>
    <row r="487" spans="1:24" ht="12.75">
      <c r="A487" s="82"/>
      <c r="B487" s="8"/>
      <c r="C487" s="59"/>
      <c r="D487" s="59"/>
      <c r="E487" s="8"/>
      <c r="F487" s="8"/>
      <c r="G487" s="8"/>
      <c r="H487" s="8"/>
      <c r="I487" s="8"/>
      <c r="J487" s="8"/>
      <c r="K487" s="8"/>
      <c r="L487" s="8"/>
      <c r="M487" s="8"/>
      <c r="N487" s="8"/>
      <c r="O487" s="8"/>
      <c r="P487" s="8"/>
      <c r="Q487" s="8"/>
      <c r="R487" s="8"/>
      <c r="S487" s="8"/>
      <c r="T487" s="8"/>
      <c r="U487" s="8"/>
      <c r="V487" s="8"/>
      <c r="W487" s="8"/>
      <c r="X487" s="8"/>
    </row>
    <row r="488" spans="1:24" ht="12.75">
      <c r="A488" s="82"/>
      <c r="B488" s="8"/>
      <c r="C488" s="59"/>
      <c r="D488" s="59"/>
      <c r="E488" s="8"/>
      <c r="F488" s="8"/>
      <c r="G488" s="8"/>
      <c r="H488" s="8"/>
      <c r="I488" s="8"/>
      <c r="J488" s="8"/>
      <c r="K488" s="8"/>
      <c r="L488" s="8"/>
      <c r="M488" s="8"/>
      <c r="N488" s="8"/>
      <c r="O488" s="8"/>
      <c r="P488" s="8"/>
      <c r="Q488" s="8"/>
      <c r="R488" s="8"/>
      <c r="S488" s="8"/>
      <c r="T488" s="8"/>
      <c r="U488" s="8"/>
      <c r="V488" s="8"/>
      <c r="W488" s="8"/>
      <c r="X488" s="8"/>
    </row>
    <row r="489" spans="1:24" ht="12.75">
      <c r="A489" s="82"/>
      <c r="B489" s="8"/>
      <c r="C489" s="59"/>
      <c r="D489" s="59"/>
      <c r="E489" s="8"/>
      <c r="F489" s="8"/>
      <c r="G489" s="8"/>
      <c r="H489" s="8"/>
      <c r="I489" s="8"/>
      <c r="J489" s="8"/>
      <c r="K489" s="8"/>
      <c r="L489" s="8"/>
      <c r="M489" s="8"/>
      <c r="N489" s="8"/>
      <c r="O489" s="8"/>
      <c r="P489" s="8"/>
      <c r="Q489" s="8"/>
      <c r="R489" s="8"/>
      <c r="S489" s="8"/>
      <c r="T489" s="8"/>
      <c r="U489" s="8"/>
      <c r="V489" s="8"/>
      <c r="W489" s="8"/>
      <c r="X489" s="8"/>
    </row>
    <row r="490" spans="1:24" ht="12.75">
      <c r="A490" s="82"/>
      <c r="B490" s="8"/>
      <c r="C490" s="59"/>
      <c r="D490" s="59"/>
      <c r="E490" s="8"/>
      <c r="F490" s="8"/>
      <c r="G490" s="8"/>
      <c r="H490" s="8"/>
      <c r="I490" s="8"/>
      <c r="J490" s="8"/>
      <c r="K490" s="8"/>
      <c r="L490" s="8"/>
      <c r="M490" s="8"/>
      <c r="N490" s="8"/>
      <c r="O490" s="8"/>
      <c r="P490" s="8"/>
      <c r="Q490" s="8"/>
      <c r="R490" s="8"/>
      <c r="S490" s="8"/>
      <c r="T490" s="8"/>
      <c r="U490" s="8"/>
      <c r="V490" s="8"/>
      <c r="W490" s="8"/>
      <c r="X490" s="8"/>
    </row>
    <row r="491" spans="1:24" ht="12.75">
      <c r="A491" s="82"/>
      <c r="B491" s="8"/>
      <c r="C491" s="59"/>
      <c r="D491" s="59"/>
      <c r="E491" s="8"/>
      <c r="F491" s="8"/>
      <c r="G491" s="8"/>
      <c r="H491" s="8"/>
      <c r="I491" s="8"/>
      <c r="J491" s="8"/>
      <c r="K491" s="8"/>
      <c r="L491" s="8"/>
      <c r="M491" s="8"/>
      <c r="N491" s="8"/>
      <c r="O491" s="8"/>
      <c r="P491" s="8"/>
      <c r="Q491" s="8"/>
      <c r="R491" s="8"/>
      <c r="S491" s="8"/>
      <c r="T491" s="8"/>
      <c r="U491" s="8"/>
      <c r="V491" s="8"/>
      <c r="W491" s="8"/>
      <c r="X491" s="8"/>
    </row>
    <row r="492" spans="1:24" ht="12.75">
      <c r="A492" s="82"/>
      <c r="B492" s="8"/>
      <c r="C492" s="59"/>
      <c r="D492" s="59"/>
      <c r="E492" s="8"/>
      <c r="F492" s="8"/>
      <c r="G492" s="8"/>
      <c r="H492" s="8"/>
      <c r="I492" s="8"/>
      <c r="J492" s="8"/>
      <c r="K492" s="8"/>
      <c r="L492" s="8"/>
      <c r="M492" s="8"/>
      <c r="N492" s="8"/>
      <c r="O492" s="8"/>
      <c r="P492" s="8"/>
      <c r="Q492" s="8"/>
      <c r="R492" s="8"/>
      <c r="S492" s="8"/>
      <c r="T492" s="8"/>
      <c r="U492" s="8"/>
      <c r="V492" s="8"/>
      <c r="W492" s="8"/>
      <c r="X492" s="8"/>
    </row>
    <row r="493" spans="1:24" ht="12.75">
      <c r="A493" s="82"/>
      <c r="B493" s="8"/>
      <c r="C493" s="59"/>
      <c r="D493" s="59"/>
      <c r="E493" s="8"/>
      <c r="F493" s="8"/>
      <c r="G493" s="8"/>
      <c r="H493" s="8"/>
      <c r="I493" s="8"/>
      <c r="J493" s="8"/>
      <c r="K493" s="8"/>
      <c r="L493" s="8"/>
      <c r="M493" s="8"/>
      <c r="N493" s="8"/>
      <c r="O493" s="8"/>
      <c r="P493" s="8"/>
      <c r="Q493" s="8"/>
      <c r="R493" s="8"/>
      <c r="S493" s="8"/>
      <c r="T493" s="8"/>
      <c r="U493" s="8"/>
      <c r="V493" s="8"/>
      <c r="W493" s="8"/>
      <c r="X493" s="8"/>
    </row>
    <row r="494" spans="1:24" ht="12.75">
      <c r="A494" s="82"/>
      <c r="B494" s="8"/>
      <c r="C494" s="59"/>
      <c r="D494" s="59"/>
      <c r="E494" s="8"/>
      <c r="F494" s="8"/>
      <c r="G494" s="8"/>
      <c r="H494" s="8"/>
      <c r="I494" s="8"/>
      <c r="J494" s="8"/>
      <c r="K494" s="8"/>
      <c r="L494" s="8"/>
      <c r="M494" s="8"/>
      <c r="N494" s="8"/>
      <c r="O494" s="8"/>
      <c r="P494" s="8"/>
      <c r="Q494" s="8"/>
      <c r="R494" s="8"/>
      <c r="S494" s="8"/>
      <c r="T494" s="8"/>
      <c r="U494" s="8"/>
      <c r="V494" s="8"/>
      <c r="W494" s="8"/>
      <c r="X494" s="8"/>
    </row>
    <row r="495" spans="1:24" ht="12.75">
      <c r="A495" s="82"/>
      <c r="B495" s="8"/>
      <c r="C495" s="59"/>
      <c r="D495" s="59"/>
      <c r="E495" s="8"/>
      <c r="F495" s="8"/>
      <c r="G495" s="8"/>
      <c r="H495" s="8"/>
      <c r="I495" s="8"/>
      <c r="J495" s="8"/>
      <c r="K495" s="8"/>
      <c r="L495" s="8"/>
      <c r="M495" s="8"/>
      <c r="N495" s="8"/>
      <c r="O495" s="8"/>
      <c r="P495" s="8"/>
      <c r="Q495" s="8"/>
      <c r="R495" s="8"/>
      <c r="S495" s="8"/>
      <c r="T495" s="8"/>
      <c r="U495" s="8"/>
      <c r="V495" s="8"/>
      <c r="W495" s="8"/>
      <c r="X495" s="8"/>
    </row>
    <row r="496" spans="1:24" ht="12.75">
      <c r="A496" s="82"/>
      <c r="B496" s="8"/>
      <c r="C496" s="59"/>
      <c r="D496" s="59"/>
      <c r="E496" s="8"/>
      <c r="F496" s="8"/>
      <c r="G496" s="8"/>
      <c r="H496" s="8"/>
      <c r="I496" s="8"/>
      <c r="J496" s="8"/>
      <c r="K496" s="8"/>
      <c r="L496" s="8"/>
      <c r="M496" s="8"/>
      <c r="N496" s="8"/>
      <c r="O496" s="8"/>
      <c r="P496" s="8"/>
      <c r="Q496" s="8"/>
      <c r="R496" s="8"/>
      <c r="S496" s="8"/>
      <c r="T496" s="8"/>
      <c r="U496" s="8"/>
      <c r="V496" s="8"/>
      <c r="W496" s="8"/>
      <c r="X496" s="8"/>
    </row>
    <row r="497" spans="1:24" ht="12.75">
      <c r="A497" s="82"/>
      <c r="B497" s="8"/>
      <c r="C497" s="59"/>
      <c r="D497" s="59"/>
      <c r="E497" s="8"/>
      <c r="F497" s="8"/>
      <c r="G497" s="8"/>
      <c r="H497" s="8"/>
      <c r="I497" s="8"/>
      <c r="J497" s="8"/>
      <c r="K497" s="8"/>
      <c r="L497" s="8"/>
      <c r="M497" s="8"/>
      <c r="N497" s="8"/>
      <c r="O497" s="8"/>
      <c r="P497" s="8"/>
      <c r="Q497" s="8"/>
      <c r="R497" s="8"/>
      <c r="S497" s="8"/>
      <c r="T497" s="8"/>
      <c r="U497" s="8"/>
      <c r="V497" s="8"/>
      <c r="W497" s="8"/>
      <c r="X497" s="8"/>
    </row>
    <row r="498" spans="1:24" ht="12.75">
      <c r="A498" s="82"/>
      <c r="B498" s="8"/>
      <c r="C498" s="59"/>
      <c r="D498" s="59"/>
      <c r="E498" s="8"/>
      <c r="F498" s="8"/>
      <c r="G498" s="8"/>
      <c r="H498" s="8"/>
      <c r="I498" s="8"/>
      <c r="J498" s="8"/>
      <c r="K498" s="8"/>
      <c r="L498" s="8"/>
      <c r="M498" s="8"/>
      <c r="N498" s="8"/>
      <c r="O498" s="8"/>
      <c r="P498" s="8"/>
      <c r="Q498" s="8"/>
      <c r="R498" s="8"/>
      <c r="S498" s="8"/>
      <c r="T498" s="8"/>
      <c r="U498" s="8"/>
      <c r="V498" s="8"/>
      <c r="W498" s="8"/>
      <c r="X498" s="8"/>
    </row>
    <row r="499" spans="1:24" ht="12.75">
      <c r="A499" s="82"/>
      <c r="B499" s="8"/>
      <c r="C499" s="59"/>
      <c r="D499" s="59"/>
      <c r="E499" s="8"/>
      <c r="F499" s="8"/>
      <c r="G499" s="8"/>
      <c r="H499" s="8"/>
      <c r="I499" s="8"/>
      <c r="J499" s="8"/>
      <c r="K499" s="8"/>
      <c r="L499" s="8"/>
      <c r="M499" s="8"/>
      <c r="N499" s="8"/>
      <c r="O499" s="8"/>
      <c r="P499" s="8"/>
      <c r="Q499" s="8"/>
      <c r="R499" s="8"/>
      <c r="S499" s="8"/>
      <c r="T499" s="8"/>
      <c r="U499" s="8"/>
      <c r="V499" s="8"/>
      <c r="W499" s="8"/>
      <c r="X499" s="8"/>
    </row>
    <row r="500" spans="1:24" ht="12.75">
      <c r="A500" s="82"/>
      <c r="B500" s="8"/>
      <c r="C500" s="59"/>
      <c r="D500" s="59"/>
      <c r="E500" s="8"/>
      <c r="F500" s="8"/>
      <c r="G500" s="8"/>
      <c r="H500" s="8"/>
      <c r="I500" s="8"/>
      <c r="J500" s="8"/>
      <c r="K500" s="8"/>
      <c r="L500" s="8"/>
      <c r="M500" s="8"/>
      <c r="N500" s="8"/>
      <c r="O500" s="8"/>
      <c r="P500" s="8"/>
      <c r="Q500" s="8"/>
      <c r="R500" s="8"/>
      <c r="S500" s="8"/>
      <c r="T500" s="8"/>
      <c r="U500" s="8"/>
      <c r="V500" s="8"/>
      <c r="W500" s="8"/>
      <c r="X500" s="8"/>
    </row>
    <row r="501" spans="1:24" ht="12.75">
      <c r="A501" s="82"/>
      <c r="B501" s="8"/>
      <c r="C501" s="59"/>
      <c r="D501" s="59"/>
      <c r="E501" s="8"/>
      <c r="F501" s="8"/>
      <c r="G501" s="8"/>
      <c r="H501" s="8"/>
      <c r="I501" s="8"/>
      <c r="J501" s="8"/>
      <c r="K501" s="8"/>
      <c r="L501" s="8"/>
      <c r="M501" s="8"/>
      <c r="N501" s="8"/>
      <c r="O501" s="8"/>
      <c r="P501" s="8"/>
      <c r="Q501" s="8"/>
      <c r="R501" s="8"/>
      <c r="S501" s="8"/>
      <c r="T501" s="8"/>
      <c r="U501" s="8"/>
      <c r="V501" s="8"/>
      <c r="W501" s="8"/>
      <c r="X501" s="8"/>
    </row>
    <row r="502" spans="1:24" ht="12.75">
      <c r="A502" s="82"/>
      <c r="B502" s="8"/>
      <c r="C502" s="59"/>
      <c r="D502" s="59"/>
      <c r="E502" s="8"/>
      <c r="F502" s="8"/>
      <c r="G502" s="8"/>
      <c r="H502" s="8"/>
      <c r="I502" s="8"/>
      <c r="J502" s="8"/>
      <c r="K502" s="8"/>
      <c r="L502" s="8"/>
      <c r="M502" s="8"/>
      <c r="N502" s="8"/>
      <c r="O502" s="8"/>
      <c r="P502" s="8"/>
      <c r="Q502" s="8"/>
      <c r="R502" s="8"/>
      <c r="S502" s="8"/>
      <c r="T502" s="8"/>
      <c r="U502" s="8"/>
      <c r="V502" s="8"/>
      <c r="W502" s="8"/>
      <c r="X502" s="8"/>
    </row>
    <row r="503" spans="1:24" ht="12.75">
      <c r="A503" s="82"/>
      <c r="B503" s="8"/>
      <c r="C503" s="59"/>
      <c r="D503" s="59"/>
      <c r="E503" s="8"/>
      <c r="F503" s="8"/>
      <c r="G503" s="8"/>
      <c r="H503" s="8"/>
      <c r="I503" s="8"/>
      <c r="J503" s="8"/>
      <c r="K503" s="8"/>
      <c r="L503" s="8"/>
      <c r="M503" s="8"/>
      <c r="N503" s="8"/>
      <c r="O503" s="8"/>
      <c r="P503" s="8"/>
      <c r="Q503" s="8"/>
      <c r="R503" s="8"/>
      <c r="S503" s="8"/>
      <c r="T503" s="8"/>
      <c r="U503" s="8"/>
      <c r="V503" s="8"/>
      <c r="W503" s="8"/>
      <c r="X503" s="8"/>
    </row>
    <row r="504" spans="1:24" ht="12.75">
      <c r="A504" s="82"/>
      <c r="B504" s="8"/>
      <c r="C504" s="59"/>
      <c r="D504" s="59"/>
      <c r="E504" s="8"/>
      <c r="F504" s="8"/>
      <c r="G504" s="8"/>
      <c r="H504" s="8"/>
      <c r="I504" s="8"/>
      <c r="J504" s="8"/>
      <c r="K504" s="8"/>
      <c r="L504" s="8"/>
      <c r="M504" s="8"/>
      <c r="N504" s="8"/>
      <c r="O504" s="8"/>
      <c r="P504" s="8"/>
      <c r="Q504" s="8"/>
      <c r="R504" s="8"/>
      <c r="S504" s="8"/>
      <c r="T504" s="8"/>
      <c r="U504" s="8"/>
      <c r="V504" s="8"/>
      <c r="W504" s="8"/>
      <c r="X504" s="8"/>
    </row>
    <row r="505" spans="1:24" ht="12.75">
      <c r="A505" s="82"/>
      <c r="B505" s="8"/>
      <c r="C505" s="59"/>
      <c r="D505" s="59"/>
      <c r="E505" s="8"/>
      <c r="F505" s="8"/>
      <c r="G505" s="8"/>
      <c r="H505" s="8"/>
      <c r="I505" s="8"/>
      <c r="J505" s="8"/>
      <c r="K505" s="8"/>
      <c r="L505" s="8"/>
      <c r="M505" s="8"/>
      <c r="N505" s="8"/>
      <c r="O505" s="8"/>
      <c r="P505" s="8"/>
      <c r="Q505" s="8"/>
      <c r="R505" s="8"/>
      <c r="S505" s="8"/>
      <c r="T505" s="8"/>
      <c r="U505" s="8"/>
      <c r="V505" s="8"/>
      <c r="W505" s="8"/>
      <c r="X505" s="8"/>
    </row>
    <row r="506" spans="1:24" ht="12.75">
      <c r="A506" s="82"/>
      <c r="B506" s="8"/>
      <c r="C506" s="59"/>
      <c r="D506" s="59"/>
      <c r="E506" s="8"/>
      <c r="F506" s="8"/>
      <c r="G506" s="8"/>
      <c r="H506" s="8"/>
      <c r="I506" s="8"/>
      <c r="J506" s="8"/>
      <c r="K506" s="8"/>
      <c r="L506" s="8"/>
      <c r="M506" s="8"/>
      <c r="N506" s="8"/>
      <c r="O506" s="8"/>
      <c r="P506" s="8"/>
      <c r="Q506" s="8"/>
      <c r="R506" s="8"/>
      <c r="S506" s="8"/>
      <c r="T506" s="8"/>
      <c r="U506" s="8"/>
      <c r="V506" s="8"/>
      <c r="W506" s="8"/>
      <c r="X506" s="8"/>
    </row>
    <row r="507" spans="1:24" ht="12.75">
      <c r="A507" s="82"/>
      <c r="B507" s="8"/>
      <c r="C507" s="59"/>
      <c r="D507" s="59"/>
      <c r="E507" s="8"/>
      <c r="F507" s="8"/>
      <c r="G507" s="8"/>
      <c r="H507" s="8"/>
      <c r="I507" s="8"/>
      <c r="J507" s="8"/>
      <c r="K507" s="8"/>
      <c r="L507" s="8"/>
      <c r="M507" s="8"/>
      <c r="N507" s="8"/>
      <c r="O507" s="8"/>
      <c r="P507" s="8"/>
      <c r="Q507" s="8"/>
      <c r="R507" s="8"/>
      <c r="S507" s="8"/>
      <c r="T507" s="8"/>
      <c r="U507" s="8"/>
      <c r="V507" s="8"/>
      <c r="W507" s="8"/>
      <c r="X507" s="8"/>
    </row>
    <row r="508" spans="1:24" ht="12.75">
      <c r="A508" s="82"/>
      <c r="B508" s="8"/>
      <c r="C508" s="59"/>
      <c r="D508" s="59"/>
      <c r="E508" s="8"/>
      <c r="F508" s="8"/>
      <c r="G508" s="8"/>
      <c r="H508" s="8"/>
      <c r="I508" s="8"/>
      <c r="J508" s="8"/>
      <c r="K508" s="8"/>
      <c r="L508" s="8"/>
      <c r="M508" s="8"/>
      <c r="N508" s="8"/>
      <c r="O508" s="8"/>
      <c r="P508" s="8"/>
      <c r="Q508" s="8"/>
      <c r="R508" s="8"/>
      <c r="S508" s="8"/>
      <c r="T508" s="8"/>
      <c r="U508" s="8"/>
      <c r="V508" s="8"/>
      <c r="W508" s="8"/>
      <c r="X508" s="8"/>
    </row>
    <row r="509" spans="1:24" ht="12.75">
      <c r="A509" s="82"/>
      <c r="B509" s="8"/>
      <c r="C509" s="59"/>
      <c r="D509" s="59"/>
      <c r="E509" s="8"/>
      <c r="F509" s="8"/>
      <c r="G509" s="8"/>
      <c r="H509" s="8"/>
      <c r="I509" s="8"/>
      <c r="J509" s="8"/>
      <c r="K509" s="8"/>
      <c r="L509" s="8"/>
      <c r="M509" s="8"/>
      <c r="N509" s="8"/>
      <c r="O509" s="8"/>
      <c r="P509" s="8"/>
      <c r="Q509" s="8"/>
      <c r="R509" s="8"/>
      <c r="S509" s="8"/>
      <c r="T509" s="8"/>
      <c r="U509" s="8"/>
      <c r="V509" s="8"/>
      <c r="W509" s="8"/>
      <c r="X509" s="8"/>
    </row>
    <row r="510" spans="1:24" ht="12.75">
      <c r="A510" s="82"/>
      <c r="B510" s="8"/>
      <c r="C510" s="59"/>
      <c r="D510" s="59"/>
      <c r="E510" s="8"/>
      <c r="F510" s="8"/>
      <c r="G510" s="8"/>
      <c r="H510" s="8"/>
      <c r="I510" s="8"/>
      <c r="J510" s="8"/>
      <c r="K510" s="8"/>
      <c r="L510" s="8"/>
      <c r="M510" s="8"/>
      <c r="N510" s="8"/>
      <c r="O510" s="8"/>
      <c r="P510" s="8"/>
      <c r="Q510" s="8"/>
      <c r="R510" s="8"/>
      <c r="S510" s="8"/>
      <c r="T510" s="8"/>
      <c r="U510" s="8"/>
      <c r="V510" s="8"/>
      <c r="W510" s="8"/>
      <c r="X510" s="8"/>
    </row>
    <row r="511" spans="1:24" ht="12.75">
      <c r="A511" s="82"/>
      <c r="B511" s="8"/>
      <c r="C511" s="59"/>
      <c r="D511" s="59"/>
      <c r="E511" s="8"/>
      <c r="F511" s="8"/>
      <c r="G511" s="8"/>
      <c r="H511" s="8"/>
      <c r="I511" s="8"/>
      <c r="J511" s="8"/>
      <c r="K511" s="8"/>
      <c r="L511" s="8"/>
      <c r="M511" s="8"/>
      <c r="N511" s="8"/>
      <c r="O511" s="8"/>
      <c r="P511" s="8"/>
      <c r="Q511" s="8"/>
      <c r="R511" s="8"/>
      <c r="S511" s="8"/>
      <c r="T511" s="8"/>
      <c r="U511" s="8"/>
      <c r="V511" s="8"/>
      <c r="W511" s="8"/>
      <c r="X511" s="8"/>
    </row>
    <row r="512" spans="1:24" ht="12.75">
      <c r="A512" s="82"/>
      <c r="B512" s="8"/>
      <c r="C512" s="59"/>
      <c r="D512" s="59"/>
      <c r="E512" s="8"/>
      <c r="F512" s="8"/>
      <c r="G512" s="8"/>
      <c r="H512" s="8"/>
      <c r="I512" s="8"/>
      <c r="J512" s="8"/>
      <c r="K512" s="8"/>
      <c r="L512" s="8"/>
      <c r="M512" s="8"/>
      <c r="N512" s="8"/>
      <c r="O512" s="8"/>
      <c r="P512" s="8"/>
      <c r="Q512" s="8"/>
      <c r="R512" s="8"/>
      <c r="S512" s="8"/>
      <c r="T512" s="8"/>
      <c r="U512" s="8"/>
      <c r="V512" s="8"/>
      <c r="W512" s="8"/>
      <c r="X512" s="8"/>
    </row>
    <row r="513" spans="1:24" ht="12.75">
      <c r="A513" s="82"/>
      <c r="B513" s="8"/>
      <c r="C513" s="59"/>
      <c r="D513" s="59"/>
      <c r="E513" s="8"/>
      <c r="F513" s="8"/>
      <c r="G513" s="8"/>
      <c r="H513" s="8"/>
      <c r="I513" s="8"/>
      <c r="J513" s="8"/>
      <c r="K513" s="8"/>
      <c r="L513" s="8"/>
      <c r="M513" s="8"/>
      <c r="N513" s="8"/>
      <c r="O513" s="8"/>
      <c r="P513" s="8"/>
      <c r="Q513" s="8"/>
      <c r="R513" s="8"/>
      <c r="S513" s="8"/>
      <c r="T513" s="8"/>
      <c r="U513" s="8"/>
      <c r="V513" s="8"/>
      <c r="W513" s="8"/>
      <c r="X513" s="8"/>
    </row>
    <row r="514" spans="1:24" ht="12.75">
      <c r="A514" s="82"/>
      <c r="B514" s="8"/>
      <c r="C514" s="59"/>
      <c r="D514" s="59"/>
      <c r="E514" s="8"/>
      <c r="F514" s="8"/>
      <c r="G514" s="8"/>
      <c r="H514" s="8"/>
      <c r="I514" s="8"/>
      <c r="J514" s="8"/>
      <c r="K514" s="8"/>
      <c r="L514" s="8"/>
      <c r="M514" s="8"/>
      <c r="N514" s="8"/>
      <c r="O514" s="8"/>
      <c r="P514" s="8"/>
      <c r="Q514" s="8"/>
      <c r="R514" s="8"/>
      <c r="S514" s="8"/>
      <c r="T514" s="8"/>
      <c r="U514" s="8"/>
      <c r="V514" s="8"/>
      <c r="W514" s="8"/>
      <c r="X514" s="8"/>
    </row>
    <row r="515" spans="1:24" ht="12.75">
      <c r="A515" s="82"/>
      <c r="B515" s="8"/>
      <c r="C515" s="59"/>
      <c r="D515" s="59"/>
      <c r="E515" s="8"/>
      <c r="F515" s="8"/>
      <c r="G515" s="8"/>
      <c r="H515" s="8"/>
      <c r="I515" s="8"/>
      <c r="J515" s="8"/>
      <c r="K515" s="8"/>
      <c r="L515" s="8"/>
      <c r="M515" s="8"/>
      <c r="N515" s="8"/>
      <c r="O515" s="8"/>
      <c r="P515" s="8"/>
      <c r="Q515" s="8"/>
      <c r="R515" s="8"/>
      <c r="S515" s="8"/>
      <c r="T515" s="8"/>
      <c r="U515" s="8"/>
      <c r="V515" s="8"/>
      <c r="W515" s="8"/>
      <c r="X515" s="8"/>
    </row>
    <row r="516" spans="1:24" ht="12.75">
      <c r="A516" s="82"/>
      <c r="B516" s="8"/>
      <c r="C516" s="59"/>
      <c r="D516" s="59"/>
      <c r="E516" s="8"/>
      <c r="F516" s="8"/>
      <c r="G516" s="8"/>
      <c r="H516" s="8"/>
      <c r="I516" s="8"/>
      <c r="J516" s="8"/>
      <c r="K516" s="8"/>
      <c r="L516" s="8"/>
      <c r="M516" s="8"/>
      <c r="N516" s="8"/>
      <c r="O516" s="8"/>
      <c r="P516" s="8"/>
      <c r="Q516" s="8"/>
      <c r="R516" s="8"/>
      <c r="S516" s="8"/>
      <c r="T516" s="8"/>
      <c r="U516" s="8"/>
      <c r="V516" s="8"/>
      <c r="W516" s="8"/>
      <c r="X516" s="8"/>
    </row>
    <row r="517" spans="1:24" ht="12.75">
      <c r="A517" s="82"/>
      <c r="B517" s="8"/>
      <c r="C517" s="59"/>
      <c r="D517" s="59"/>
      <c r="E517" s="8"/>
      <c r="F517" s="8"/>
      <c r="G517" s="8"/>
      <c r="H517" s="8"/>
      <c r="I517" s="8"/>
      <c r="J517" s="8"/>
      <c r="K517" s="8"/>
      <c r="L517" s="8"/>
      <c r="M517" s="8"/>
      <c r="N517" s="8"/>
      <c r="O517" s="8"/>
      <c r="P517" s="8"/>
      <c r="Q517" s="8"/>
      <c r="R517" s="8"/>
      <c r="S517" s="8"/>
      <c r="T517" s="8"/>
      <c r="U517" s="8"/>
      <c r="V517" s="8"/>
      <c r="W517" s="8"/>
      <c r="X517" s="8"/>
    </row>
    <row r="518" spans="1:24" ht="12.75">
      <c r="A518" s="82"/>
      <c r="B518" s="8"/>
      <c r="C518" s="59"/>
      <c r="D518" s="59"/>
      <c r="E518" s="8"/>
      <c r="F518" s="8"/>
      <c r="G518" s="8"/>
      <c r="H518" s="8"/>
      <c r="I518" s="8"/>
      <c r="J518" s="8"/>
      <c r="K518" s="8"/>
      <c r="L518" s="8"/>
      <c r="M518" s="8"/>
      <c r="N518" s="8"/>
      <c r="O518" s="8"/>
      <c r="P518" s="8"/>
      <c r="Q518" s="8"/>
      <c r="R518" s="8"/>
      <c r="S518" s="8"/>
      <c r="T518" s="8"/>
      <c r="U518" s="8"/>
      <c r="V518" s="8"/>
      <c r="W518" s="8"/>
      <c r="X518" s="8"/>
    </row>
    <row r="519" spans="1:24" ht="12.75">
      <c r="A519" s="82"/>
      <c r="B519" s="8"/>
      <c r="C519" s="59"/>
      <c r="D519" s="59"/>
      <c r="E519" s="8"/>
      <c r="F519" s="8"/>
      <c r="G519" s="8"/>
      <c r="H519" s="8"/>
      <c r="I519" s="8"/>
      <c r="J519" s="8"/>
      <c r="K519" s="8"/>
      <c r="L519" s="8"/>
      <c r="M519" s="8"/>
      <c r="N519" s="8"/>
      <c r="O519" s="8"/>
      <c r="P519" s="8"/>
      <c r="Q519" s="8"/>
      <c r="R519" s="8"/>
      <c r="S519" s="8"/>
      <c r="T519" s="8"/>
      <c r="U519" s="8"/>
      <c r="V519" s="8"/>
      <c r="W519" s="8"/>
      <c r="X519" s="8"/>
    </row>
    <row r="520" spans="1:24" ht="12.75">
      <c r="A520" s="82"/>
      <c r="B520" s="8"/>
      <c r="C520" s="59"/>
      <c r="D520" s="59"/>
      <c r="E520" s="8"/>
      <c r="F520" s="8"/>
      <c r="G520" s="8"/>
      <c r="H520" s="8"/>
      <c r="I520" s="8"/>
      <c r="J520" s="8"/>
      <c r="K520" s="8"/>
      <c r="L520" s="8"/>
      <c r="M520" s="8"/>
      <c r="N520" s="8"/>
      <c r="O520" s="8"/>
      <c r="P520" s="8"/>
      <c r="Q520" s="8"/>
      <c r="R520" s="8"/>
      <c r="S520" s="8"/>
      <c r="T520" s="8"/>
      <c r="U520" s="8"/>
      <c r="V520" s="8"/>
      <c r="W520" s="8"/>
      <c r="X520" s="8"/>
    </row>
    <row r="521" spans="1:24" ht="12.75">
      <c r="A521" s="82"/>
      <c r="B521" s="8"/>
      <c r="C521" s="59"/>
      <c r="D521" s="59"/>
      <c r="E521" s="8"/>
      <c r="F521" s="8"/>
      <c r="G521" s="8"/>
      <c r="H521" s="8"/>
      <c r="I521" s="8"/>
      <c r="J521" s="8"/>
      <c r="K521" s="8"/>
      <c r="L521" s="8"/>
      <c r="M521" s="8"/>
      <c r="N521" s="8"/>
      <c r="O521" s="8"/>
      <c r="P521" s="8"/>
      <c r="Q521" s="8"/>
      <c r="R521" s="8"/>
      <c r="S521" s="8"/>
      <c r="T521" s="8"/>
      <c r="U521" s="8"/>
      <c r="V521" s="8"/>
      <c r="W521" s="8"/>
      <c r="X521" s="8"/>
    </row>
    <row r="522" spans="1:24" ht="12.75">
      <c r="A522" s="82"/>
      <c r="B522" s="8"/>
      <c r="C522" s="59"/>
      <c r="D522" s="59"/>
      <c r="E522" s="8"/>
      <c r="F522" s="8"/>
      <c r="G522" s="8"/>
      <c r="H522" s="8"/>
      <c r="I522" s="8"/>
      <c r="J522" s="8"/>
      <c r="K522" s="8"/>
      <c r="L522" s="8"/>
      <c r="M522" s="8"/>
      <c r="N522" s="8"/>
      <c r="O522" s="8"/>
      <c r="P522" s="8"/>
      <c r="Q522" s="8"/>
      <c r="R522" s="8"/>
      <c r="S522" s="8"/>
      <c r="T522" s="8"/>
      <c r="U522" s="8"/>
      <c r="V522" s="8"/>
      <c r="W522" s="8"/>
      <c r="X522" s="8"/>
    </row>
    <row r="523" spans="1:24" ht="12.75">
      <c r="A523" s="82"/>
      <c r="B523" s="8"/>
      <c r="C523" s="59"/>
      <c r="D523" s="59"/>
      <c r="E523" s="8"/>
      <c r="F523" s="8"/>
      <c r="G523" s="8"/>
      <c r="H523" s="8"/>
      <c r="I523" s="8"/>
      <c r="J523" s="8"/>
      <c r="K523" s="8"/>
      <c r="L523" s="8"/>
      <c r="M523" s="8"/>
      <c r="N523" s="8"/>
      <c r="O523" s="8"/>
      <c r="P523" s="8"/>
      <c r="Q523" s="8"/>
      <c r="R523" s="8"/>
      <c r="S523" s="8"/>
      <c r="T523" s="8"/>
      <c r="U523" s="8"/>
      <c r="V523" s="8"/>
      <c r="W523" s="8"/>
      <c r="X523" s="8"/>
    </row>
    <row r="524" spans="1:24" ht="12.75">
      <c r="A524" s="82"/>
      <c r="B524" s="8"/>
      <c r="C524" s="59"/>
      <c r="D524" s="59"/>
      <c r="E524" s="8"/>
      <c r="F524" s="8"/>
      <c r="G524" s="8"/>
      <c r="H524" s="8"/>
      <c r="I524" s="8"/>
      <c r="J524" s="8"/>
      <c r="K524" s="8"/>
      <c r="L524" s="8"/>
      <c r="M524" s="8"/>
      <c r="N524" s="8"/>
      <c r="O524" s="8"/>
      <c r="P524" s="8"/>
      <c r="Q524" s="8"/>
      <c r="R524" s="8"/>
      <c r="S524" s="8"/>
      <c r="T524" s="8"/>
      <c r="U524" s="8"/>
      <c r="V524" s="8"/>
      <c r="W524" s="8"/>
      <c r="X524" s="8"/>
    </row>
    <row r="525" spans="1:24" ht="12.75">
      <c r="A525" s="82"/>
      <c r="B525" s="8"/>
      <c r="C525" s="59"/>
      <c r="D525" s="59"/>
      <c r="E525" s="8"/>
      <c r="F525" s="8"/>
      <c r="G525" s="8"/>
      <c r="H525" s="8"/>
      <c r="I525" s="8"/>
      <c r="J525" s="8"/>
      <c r="K525" s="8"/>
      <c r="L525" s="8"/>
      <c r="M525" s="8"/>
      <c r="N525" s="8"/>
      <c r="O525" s="8"/>
      <c r="P525" s="8"/>
      <c r="Q525" s="8"/>
      <c r="R525" s="8"/>
      <c r="S525" s="8"/>
      <c r="T525" s="8"/>
      <c r="U525" s="8"/>
      <c r="V525" s="8"/>
      <c r="W525" s="8"/>
      <c r="X525" s="8"/>
    </row>
    <row r="526" spans="1:24" ht="12.75">
      <c r="A526" s="82"/>
      <c r="B526" s="8"/>
      <c r="C526" s="59"/>
      <c r="D526" s="59"/>
      <c r="E526" s="8"/>
      <c r="F526" s="8"/>
      <c r="G526" s="8"/>
      <c r="H526" s="8"/>
      <c r="I526" s="8"/>
      <c r="J526" s="8"/>
      <c r="K526" s="8"/>
      <c r="L526" s="8"/>
      <c r="M526" s="8"/>
      <c r="N526" s="8"/>
      <c r="O526" s="8"/>
      <c r="P526" s="8"/>
      <c r="Q526" s="8"/>
      <c r="R526" s="8"/>
      <c r="S526" s="8"/>
      <c r="T526" s="8"/>
      <c r="U526" s="8"/>
      <c r="V526" s="8"/>
      <c r="W526" s="8"/>
      <c r="X526" s="8"/>
    </row>
    <row r="527" spans="1:24" ht="12.75">
      <c r="A527" s="82"/>
      <c r="B527" s="8"/>
      <c r="C527" s="59"/>
      <c r="D527" s="59"/>
      <c r="E527" s="8"/>
      <c r="F527" s="8"/>
      <c r="G527" s="8"/>
      <c r="H527" s="8"/>
      <c r="I527" s="8"/>
      <c r="J527" s="8"/>
      <c r="K527" s="8"/>
      <c r="L527" s="8"/>
      <c r="M527" s="8"/>
      <c r="N527" s="8"/>
      <c r="O527" s="8"/>
      <c r="P527" s="8"/>
      <c r="Q527" s="8"/>
      <c r="R527" s="8"/>
      <c r="S527" s="8"/>
      <c r="T527" s="8"/>
      <c r="U527" s="8"/>
      <c r="V527" s="8"/>
      <c r="W527" s="8"/>
      <c r="X527" s="8"/>
    </row>
    <row r="528" spans="1:24" ht="12.75">
      <c r="A528" s="82"/>
      <c r="B528" s="8"/>
      <c r="C528" s="59"/>
      <c r="D528" s="59"/>
      <c r="E528" s="8"/>
      <c r="F528" s="8"/>
      <c r="G528" s="8"/>
      <c r="H528" s="8"/>
      <c r="I528" s="8"/>
      <c r="J528" s="8"/>
      <c r="K528" s="8"/>
      <c r="L528" s="8"/>
      <c r="M528" s="8"/>
      <c r="N528" s="8"/>
      <c r="O528" s="8"/>
      <c r="P528" s="8"/>
      <c r="Q528" s="8"/>
      <c r="R528" s="8"/>
      <c r="S528" s="8"/>
      <c r="T528" s="8"/>
      <c r="U528" s="8"/>
      <c r="V528" s="8"/>
      <c r="W528" s="8"/>
      <c r="X528" s="8"/>
    </row>
    <row r="529" spans="1:24" ht="12.75">
      <c r="A529" s="82"/>
      <c r="B529" s="8"/>
      <c r="C529" s="59"/>
      <c r="D529" s="59"/>
      <c r="E529" s="8"/>
      <c r="F529" s="8"/>
      <c r="G529" s="8"/>
      <c r="H529" s="8"/>
      <c r="I529" s="8"/>
      <c r="J529" s="8"/>
      <c r="K529" s="8"/>
      <c r="L529" s="8"/>
      <c r="M529" s="8"/>
      <c r="N529" s="8"/>
      <c r="O529" s="8"/>
      <c r="P529" s="8"/>
      <c r="Q529" s="8"/>
      <c r="R529" s="8"/>
      <c r="S529" s="8"/>
      <c r="T529" s="8"/>
      <c r="U529" s="8"/>
      <c r="V529" s="8"/>
      <c r="W529" s="8"/>
      <c r="X529" s="8"/>
    </row>
    <row r="530" spans="1:24" ht="12.75">
      <c r="A530" s="82"/>
      <c r="B530" s="8"/>
      <c r="C530" s="59"/>
      <c r="D530" s="59"/>
      <c r="E530" s="8"/>
      <c r="F530" s="8"/>
      <c r="G530" s="8"/>
      <c r="H530" s="8"/>
      <c r="I530" s="8"/>
      <c r="J530" s="8"/>
      <c r="K530" s="8"/>
      <c r="L530" s="8"/>
      <c r="M530" s="8"/>
      <c r="N530" s="8"/>
      <c r="O530" s="8"/>
      <c r="P530" s="8"/>
      <c r="Q530" s="8"/>
      <c r="R530" s="8"/>
      <c r="S530" s="8"/>
      <c r="T530" s="8"/>
      <c r="U530" s="8"/>
      <c r="V530" s="8"/>
      <c r="W530" s="8"/>
      <c r="X530" s="8"/>
    </row>
    <row r="531" spans="1:24" ht="12.75">
      <c r="A531" s="82"/>
      <c r="B531" s="8"/>
      <c r="C531" s="59"/>
      <c r="D531" s="59"/>
      <c r="E531" s="8"/>
      <c r="F531" s="8"/>
      <c r="G531" s="8"/>
      <c r="H531" s="8"/>
      <c r="I531" s="8"/>
      <c r="J531" s="8"/>
      <c r="K531" s="8"/>
      <c r="L531" s="8"/>
      <c r="M531" s="8"/>
      <c r="N531" s="8"/>
      <c r="O531" s="8"/>
      <c r="P531" s="8"/>
      <c r="Q531" s="8"/>
      <c r="R531" s="8"/>
      <c r="S531" s="8"/>
      <c r="T531" s="8"/>
      <c r="U531" s="8"/>
      <c r="V531" s="8"/>
      <c r="W531" s="8"/>
      <c r="X531" s="8"/>
    </row>
    <row r="532" spans="1:24" ht="12.75">
      <c r="A532" s="82"/>
      <c r="B532" s="8"/>
      <c r="C532" s="59"/>
      <c r="D532" s="59"/>
      <c r="E532" s="8"/>
      <c r="F532" s="8"/>
      <c r="G532" s="8"/>
      <c r="H532" s="8"/>
      <c r="I532" s="8"/>
      <c r="J532" s="8"/>
      <c r="K532" s="8"/>
      <c r="L532" s="8"/>
      <c r="M532" s="8"/>
      <c r="N532" s="8"/>
      <c r="O532" s="8"/>
      <c r="P532" s="8"/>
      <c r="Q532" s="8"/>
      <c r="R532" s="8"/>
      <c r="S532" s="8"/>
      <c r="T532" s="8"/>
      <c r="U532" s="8"/>
      <c r="V532" s="8"/>
      <c r="W532" s="8"/>
      <c r="X532" s="8"/>
    </row>
    <row r="533" spans="1:24" ht="12.75">
      <c r="A533" s="82"/>
      <c r="B533" s="8"/>
      <c r="C533" s="59"/>
      <c r="D533" s="59"/>
      <c r="E533" s="8"/>
      <c r="F533" s="8"/>
      <c r="G533" s="8"/>
      <c r="H533" s="8"/>
      <c r="I533" s="8"/>
      <c r="J533" s="8"/>
      <c r="K533" s="8"/>
      <c r="L533" s="8"/>
      <c r="M533" s="8"/>
      <c r="N533" s="8"/>
      <c r="O533" s="8"/>
      <c r="P533" s="8"/>
      <c r="Q533" s="8"/>
      <c r="R533" s="8"/>
      <c r="S533" s="8"/>
      <c r="T533" s="8"/>
      <c r="U533" s="8"/>
      <c r="V533" s="8"/>
      <c r="W533" s="8"/>
      <c r="X533" s="8"/>
    </row>
    <row r="534" spans="1:24" ht="12.75">
      <c r="A534" s="82"/>
      <c r="B534" s="8"/>
      <c r="C534" s="59"/>
      <c r="D534" s="59"/>
      <c r="E534" s="8"/>
      <c r="F534" s="8"/>
      <c r="G534" s="8"/>
      <c r="H534" s="8"/>
      <c r="I534" s="8"/>
      <c r="J534" s="8"/>
      <c r="K534" s="8"/>
      <c r="L534" s="8"/>
      <c r="M534" s="8"/>
      <c r="N534" s="8"/>
      <c r="O534" s="8"/>
      <c r="P534" s="8"/>
      <c r="Q534" s="8"/>
      <c r="R534" s="8"/>
      <c r="S534" s="8"/>
      <c r="T534" s="8"/>
      <c r="U534" s="8"/>
      <c r="V534" s="8"/>
      <c r="W534" s="8"/>
      <c r="X534" s="8"/>
    </row>
    <row r="535" spans="1:24" ht="12.75">
      <c r="A535" s="82"/>
      <c r="B535" s="8"/>
      <c r="C535" s="59"/>
      <c r="D535" s="59"/>
      <c r="E535" s="8"/>
      <c r="F535" s="8"/>
      <c r="G535" s="8"/>
      <c r="H535" s="8"/>
      <c r="I535" s="8"/>
      <c r="J535" s="8"/>
      <c r="K535" s="8"/>
      <c r="L535" s="8"/>
      <c r="M535" s="8"/>
      <c r="N535" s="8"/>
      <c r="O535" s="8"/>
      <c r="P535" s="8"/>
      <c r="Q535" s="8"/>
      <c r="R535" s="8"/>
      <c r="S535" s="8"/>
      <c r="T535" s="8"/>
      <c r="U535" s="8"/>
      <c r="V535" s="8"/>
      <c r="W535" s="8"/>
      <c r="X535" s="8"/>
    </row>
    <row r="536" spans="1:24" ht="12.75">
      <c r="A536" s="82"/>
      <c r="B536" s="8"/>
      <c r="C536" s="59"/>
      <c r="D536" s="59"/>
      <c r="E536" s="8"/>
      <c r="F536" s="8"/>
      <c r="G536" s="8"/>
      <c r="H536" s="8"/>
      <c r="I536" s="8"/>
      <c r="J536" s="8"/>
      <c r="K536" s="8"/>
      <c r="L536" s="8"/>
      <c r="M536" s="8"/>
      <c r="N536" s="8"/>
      <c r="O536" s="8"/>
      <c r="P536" s="8"/>
      <c r="Q536" s="8"/>
      <c r="R536" s="8"/>
      <c r="S536" s="8"/>
      <c r="T536" s="8"/>
      <c r="U536" s="8"/>
      <c r="V536" s="8"/>
      <c r="W536" s="8"/>
      <c r="X536" s="8"/>
    </row>
    <row r="537" spans="1:24" ht="12.75">
      <c r="A537" s="82"/>
      <c r="B537" s="8"/>
      <c r="C537" s="59"/>
      <c r="D537" s="59"/>
      <c r="E537" s="8"/>
      <c r="F537" s="8"/>
      <c r="G537" s="8"/>
      <c r="H537" s="8"/>
      <c r="I537" s="8"/>
      <c r="J537" s="8"/>
      <c r="K537" s="8"/>
      <c r="L537" s="8"/>
      <c r="M537" s="8"/>
      <c r="N537" s="8"/>
      <c r="O537" s="8"/>
      <c r="P537" s="8"/>
      <c r="Q537" s="8"/>
      <c r="R537" s="8"/>
      <c r="S537" s="8"/>
      <c r="T537" s="8"/>
      <c r="U537" s="8"/>
      <c r="V537" s="8"/>
      <c r="W537" s="8"/>
      <c r="X537" s="8"/>
    </row>
    <row r="538" spans="1:24" ht="12.75">
      <c r="A538" s="82"/>
      <c r="B538" s="8"/>
      <c r="C538" s="59"/>
      <c r="D538" s="59"/>
      <c r="E538" s="8"/>
      <c r="F538" s="8"/>
      <c r="G538" s="8"/>
      <c r="H538" s="8"/>
      <c r="I538" s="8"/>
      <c r="J538" s="8"/>
      <c r="K538" s="8"/>
      <c r="L538" s="8"/>
      <c r="M538" s="8"/>
      <c r="N538" s="8"/>
      <c r="O538" s="8"/>
      <c r="P538" s="8"/>
      <c r="Q538" s="8"/>
      <c r="R538" s="8"/>
      <c r="S538" s="8"/>
      <c r="T538" s="8"/>
      <c r="U538" s="8"/>
      <c r="V538" s="8"/>
      <c r="W538" s="8"/>
      <c r="X538" s="8"/>
    </row>
    <row r="539" spans="1:24" ht="12.75">
      <c r="A539" s="82"/>
      <c r="B539" s="8"/>
      <c r="C539" s="59"/>
      <c r="D539" s="59"/>
      <c r="E539" s="8"/>
      <c r="F539" s="8"/>
      <c r="G539" s="8"/>
      <c r="H539" s="8"/>
      <c r="I539" s="8"/>
      <c r="J539" s="8"/>
      <c r="K539" s="8"/>
      <c r="L539" s="8"/>
      <c r="M539" s="8"/>
      <c r="N539" s="8"/>
      <c r="O539" s="8"/>
      <c r="P539" s="8"/>
      <c r="Q539" s="8"/>
      <c r="R539" s="8"/>
      <c r="S539" s="8"/>
      <c r="T539" s="8"/>
      <c r="U539" s="8"/>
      <c r="V539" s="8"/>
      <c r="W539" s="8"/>
      <c r="X539" s="8"/>
    </row>
    <row r="540" spans="1:24" ht="12.75">
      <c r="A540" s="82"/>
      <c r="B540" s="8"/>
      <c r="C540" s="59"/>
      <c r="D540" s="59"/>
      <c r="E540" s="8"/>
      <c r="F540" s="8"/>
      <c r="G540" s="8"/>
      <c r="H540" s="8"/>
      <c r="I540" s="8"/>
      <c r="J540" s="8"/>
      <c r="K540" s="8"/>
      <c r="L540" s="8"/>
      <c r="M540" s="8"/>
      <c r="N540" s="8"/>
      <c r="O540" s="8"/>
      <c r="P540" s="8"/>
      <c r="Q540" s="8"/>
      <c r="R540" s="8"/>
      <c r="S540" s="8"/>
      <c r="T540" s="8"/>
      <c r="U540" s="8"/>
      <c r="V540" s="8"/>
      <c r="W540" s="8"/>
      <c r="X540" s="8"/>
    </row>
    <row r="541" spans="1:24" ht="12.75">
      <c r="A541" s="82"/>
      <c r="B541" s="8"/>
      <c r="C541" s="59"/>
      <c r="D541" s="59"/>
      <c r="E541" s="8"/>
      <c r="F541" s="8"/>
      <c r="G541" s="8"/>
      <c r="H541" s="8"/>
      <c r="I541" s="8"/>
      <c r="J541" s="8"/>
      <c r="K541" s="8"/>
      <c r="L541" s="8"/>
      <c r="M541" s="8"/>
      <c r="N541" s="8"/>
      <c r="O541" s="8"/>
      <c r="P541" s="8"/>
      <c r="Q541" s="8"/>
      <c r="R541" s="8"/>
      <c r="S541" s="8"/>
      <c r="T541" s="8"/>
      <c r="U541" s="8"/>
      <c r="V541" s="8"/>
      <c r="W541" s="8"/>
      <c r="X541" s="8"/>
    </row>
    <row r="542" spans="1:24" ht="12.75">
      <c r="A542" s="82"/>
      <c r="B542" s="8"/>
      <c r="C542" s="59"/>
      <c r="D542" s="59"/>
      <c r="E542" s="8"/>
      <c r="F542" s="8"/>
      <c r="G542" s="8"/>
      <c r="H542" s="8"/>
      <c r="I542" s="8"/>
      <c r="J542" s="8"/>
      <c r="K542" s="8"/>
      <c r="L542" s="8"/>
      <c r="M542" s="8"/>
      <c r="N542" s="8"/>
      <c r="O542" s="8"/>
      <c r="P542" s="8"/>
      <c r="Q542" s="8"/>
      <c r="R542" s="8"/>
      <c r="S542" s="8"/>
      <c r="T542" s="8"/>
      <c r="U542" s="8"/>
      <c r="V542" s="8"/>
      <c r="W542" s="8"/>
      <c r="X542" s="8"/>
    </row>
    <row r="543" spans="1:24" ht="12.75">
      <c r="A543" s="82"/>
      <c r="B543" s="8"/>
      <c r="C543" s="59"/>
      <c r="D543" s="59"/>
      <c r="E543" s="8"/>
      <c r="F543" s="8"/>
      <c r="G543" s="8"/>
      <c r="H543" s="8"/>
      <c r="I543" s="8"/>
      <c r="J543" s="8"/>
      <c r="K543" s="8"/>
      <c r="L543" s="8"/>
      <c r="M543" s="8"/>
      <c r="N543" s="8"/>
      <c r="O543" s="8"/>
      <c r="P543" s="8"/>
      <c r="Q543" s="8"/>
      <c r="R543" s="8"/>
      <c r="S543" s="8"/>
      <c r="T543" s="8"/>
      <c r="U543" s="8"/>
      <c r="V543" s="8"/>
      <c r="W543" s="8"/>
      <c r="X543" s="8"/>
    </row>
    <row r="544" spans="1:24" ht="12.75">
      <c r="A544" s="82"/>
      <c r="B544" s="8"/>
      <c r="C544" s="59"/>
      <c r="D544" s="59"/>
      <c r="E544" s="8"/>
      <c r="F544" s="8"/>
      <c r="G544" s="8"/>
      <c r="H544" s="8"/>
      <c r="I544" s="8"/>
      <c r="J544" s="8"/>
      <c r="K544" s="8"/>
      <c r="L544" s="8"/>
      <c r="M544" s="8"/>
      <c r="N544" s="8"/>
      <c r="O544" s="8"/>
      <c r="P544" s="8"/>
      <c r="Q544" s="8"/>
      <c r="R544" s="8"/>
      <c r="S544" s="8"/>
      <c r="T544" s="8"/>
      <c r="U544" s="8"/>
      <c r="V544" s="8"/>
      <c r="W544" s="8"/>
      <c r="X544" s="8"/>
    </row>
    <row r="545" spans="1:24" ht="12.75">
      <c r="A545" s="82"/>
      <c r="B545" s="8"/>
      <c r="C545" s="59"/>
      <c r="D545" s="59"/>
      <c r="E545" s="8"/>
      <c r="F545" s="8"/>
      <c r="G545" s="8"/>
      <c r="H545" s="8"/>
      <c r="I545" s="8"/>
      <c r="J545" s="8"/>
      <c r="K545" s="8"/>
      <c r="L545" s="8"/>
      <c r="M545" s="8"/>
      <c r="N545" s="8"/>
      <c r="O545" s="8"/>
      <c r="P545" s="8"/>
      <c r="Q545" s="8"/>
      <c r="R545" s="8"/>
      <c r="S545" s="8"/>
      <c r="T545" s="8"/>
      <c r="U545" s="8"/>
      <c r="V545" s="8"/>
      <c r="W545" s="8"/>
      <c r="X545" s="8"/>
    </row>
    <row r="546" spans="1:24" ht="12.75">
      <c r="A546" s="82"/>
      <c r="B546" s="8"/>
      <c r="C546" s="59"/>
      <c r="D546" s="59"/>
      <c r="E546" s="8"/>
      <c r="F546" s="8"/>
      <c r="G546" s="8"/>
      <c r="H546" s="8"/>
      <c r="I546" s="8"/>
      <c r="J546" s="8"/>
      <c r="K546" s="8"/>
      <c r="L546" s="8"/>
      <c r="M546" s="8"/>
      <c r="N546" s="8"/>
      <c r="O546" s="8"/>
      <c r="P546" s="8"/>
      <c r="Q546" s="8"/>
      <c r="R546" s="8"/>
      <c r="S546" s="8"/>
      <c r="T546" s="8"/>
      <c r="U546" s="8"/>
      <c r="V546" s="8"/>
      <c r="W546" s="8"/>
      <c r="X546" s="8"/>
    </row>
    <row r="547" spans="1:24" ht="12.75">
      <c r="A547" s="82"/>
      <c r="B547" s="8"/>
      <c r="C547" s="59"/>
      <c r="D547" s="59"/>
      <c r="E547" s="8"/>
      <c r="F547" s="8"/>
      <c r="G547" s="8"/>
      <c r="H547" s="8"/>
      <c r="I547" s="8"/>
      <c r="J547" s="8"/>
      <c r="K547" s="8"/>
      <c r="L547" s="8"/>
      <c r="M547" s="8"/>
      <c r="N547" s="8"/>
      <c r="O547" s="8"/>
      <c r="P547" s="8"/>
      <c r="Q547" s="8"/>
      <c r="R547" s="8"/>
      <c r="S547" s="8"/>
      <c r="T547" s="8"/>
      <c r="U547" s="8"/>
      <c r="V547" s="8"/>
      <c r="W547" s="8"/>
      <c r="X547" s="8"/>
    </row>
    <row r="548" spans="1:24" ht="12.75">
      <c r="A548" s="82"/>
      <c r="B548" s="8"/>
      <c r="C548" s="59"/>
      <c r="D548" s="59"/>
      <c r="E548" s="8"/>
      <c r="F548" s="8"/>
      <c r="G548" s="8"/>
      <c r="H548" s="8"/>
      <c r="I548" s="8"/>
      <c r="J548" s="8"/>
      <c r="K548" s="8"/>
      <c r="L548" s="8"/>
      <c r="M548" s="8"/>
      <c r="N548" s="8"/>
      <c r="O548" s="8"/>
      <c r="P548" s="8"/>
      <c r="Q548" s="8"/>
      <c r="R548" s="8"/>
      <c r="S548" s="8"/>
      <c r="T548" s="8"/>
      <c r="U548" s="8"/>
      <c r="V548" s="8"/>
      <c r="W548" s="8"/>
      <c r="X548" s="8"/>
    </row>
    <row r="549" spans="1:24" ht="12.75">
      <c r="A549" s="82"/>
      <c r="B549" s="8"/>
      <c r="C549" s="59"/>
      <c r="D549" s="59"/>
      <c r="E549" s="8"/>
      <c r="F549" s="8"/>
      <c r="G549" s="8"/>
      <c r="H549" s="8"/>
      <c r="I549" s="8"/>
      <c r="J549" s="8"/>
      <c r="K549" s="8"/>
      <c r="L549" s="8"/>
      <c r="M549" s="8"/>
      <c r="N549" s="8"/>
      <c r="O549" s="8"/>
      <c r="P549" s="8"/>
      <c r="Q549" s="8"/>
      <c r="R549" s="8"/>
      <c r="S549" s="8"/>
      <c r="T549" s="8"/>
      <c r="U549" s="8"/>
      <c r="V549" s="8"/>
      <c r="W549" s="8"/>
      <c r="X549" s="8"/>
    </row>
    <row r="550" spans="1:24" ht="12.75">
      <c r="A550" s="82"/>
      <c r="B550" s="8"/>
      <c r="C550" s="59"/>
      <c r="D550" s="59"/>
      <c r="E550" s="8"/>
      <c r="F550" s="8"/>
      <c r="G550" s="8"/>
      <c r="H550" s="8"/>
      <c r="I550" s="8"/>
      <c r="J550" s="8"/>
      <c r="K550" s="8"/>
      <c r="L550" s="8"/>
      <c r="M550" s="8"/>
      <c r="N550" s="8"/>
      <c r="O550" s="8"/>
      <c r="P550" s="8"/>
      <c r="Q550" s="8"/>
      <c r="R550" s="8"/>
      <c r="S550" s="8"/>
      <c r="T550" s="8"/>
      <c r="U550" s="8"/>
      <c r="V550" s="8"/>
      <c r="W550" s="8"/>
      <c r="X550" s="8"/>
    </row>
    <row r="551" spans="1:24" ht="12.75">
      <c r="A551" s="82"/>
      <c r="B551" s="8"/>
      <c r="C551" s="59"/>
      <c r="D551" s="59"/>
      <c r="E551" s="8"/>
      <c r="F551" s="8"/>
      <c r="G551" s="8"/>
      <c r="H551" s="8"/>
      <c r="I551" s="8"/>
      <c r="J551" s="8"/>
      <c r="K551" s="8"/>
      <c r="L551" s="8"/>
      <c r="M551" s="8"/>
      <c r="N551" s="8"/>
      <c r="O551" s="8"/>
      <c r="P551" s="8"/>
      <c r="Q551" s="8"/>
      <c r="R551" s="8"/>
      <c r="S551" s="8"/>
      <c r="T551" s="8"/>
      <c r="U551" s="8"/>
      <c r="V551" s="8"/>
      <c r="W551" s="8"/>
      <c r="X551" s="8"/>
    </row>
    <row r="552" spans="1:24" ht="12.75">
      <c r="A552" s="82"/>
      <c r="B552" s="8"/>
      <c r="C552" s="59"/>
      <c r="D552" s="59"/>
      <c r="E552" s="8"/>
      <c r="F552" s="8"/>
      <c r="G552" s="8"/>
      <c r="H552" s="8"/>
      <c r="I552" s="8"/>
      <c r="J552" s="8"/>
      <c r="K552" s="8"/>
      <c r="L552" s="8"/>
      <c r="M552" s="8"/>
      <c r="N552" s="8"/>
      <c r="O552" s="8"/>
      <c r="P552" s="8"/>
      <c r="Q552" s="8"/>
      <c r="R552" s="8"/>
      <c r="S552" s="8"/>
      <c r="T552" s="8"/>
      <c r="U552" s="8"/>
      <c r="V552" s="8"/>
      <c r="W552" s="8"/>
      <c r="X552" s="8"/>
    </row>
    <row r="553" spans="1:24" ht="12.75">
      <c r="A553" s="82"/>
      <c r="B553" s="8"/>
      <c r="C553" s="59"/>
      <c r="D553" s="59"/>
      <c r="E553" s="8"/>
      <c r="F553" s="8"/>
      <c r="G553" s="8"/>
      <c r="H553" s="8"/>
      <c r="I553" s="8"/>
      <c r="J553" s="8"/>
      <c r="K553" s="8"/>
      <c r="L553" s="8"/>
      <c r="M553" s="8"/>
      <c r="N553" s="8"/>
      <c r="O553" s="8"/>
      <c r="P553" s="8"/>
      <c r="Q553" s="8"/>
      <c r="R553" s="8"/>
      <c r="S553" s="8"/>
      <c r="T553" s="8"/>
      <c r="U553" s="8"/>
      <c r="V553" s="8"/>
      <c r="W553" s="8"/>
      <c r="X553" s="8"/>
    </row>
    <row r="554" spans="1:24" ht="12.75">
      <c r="A554" s="82"/>
      <c r="B554" s="8"/>
      <c r="C554" s="59"/>
      <c r="D554" s="59"/>
      <c r="E554" s="8"/>
      <c r="F554" s="8"/>
      <c r="G554" s="8"/>
      <c r="H554" s="8"/>
      <c r="I554" s="8"/>
      <c r="J554" s="8"/>
      <c r="K554" s="8"/>
      <c r="L554" s="8"/>
      <c r="M554" s="8"/>
      <c r="N554" s="8"/>
      <c r="O554" s="8"/>
      <c r="P554" s="8"/>
      <c r="Q554" s="8"/>
      <c r="R554" s="8"/>
      <c r="S554" s="8"/>
      <c r="T554" s="8"/>
      <c r="U554" s="8"/>
      <c r="V554" s="8"/>
      <c r="W554" s="8"/>
      <c r="X554" s="8"/>
    </row>
    <row r="555" spans="1:24" ht="12.75">
      <c r="A555" s="82"/>
      <c r="B555" s="8"/>
      <c r="C555" s="59"/>
      <c r="D555" s="59"/>
      <c r="E555" s="8"/>
      <c r="F555" s="8"/>
      <c r="G555" s="8"/>
      <c r="H555" s="8"/>
      <c r="I555" s="8"/>
      <c r="J555" s="8"/>
      <c r="K555" s="8"/>
      <c r="L555" s="8"/>
      <c r="M555" s="8"/>
      <c r="N555" s="8"/>
      <c r="O555" s="8"/>
      <c r="P555" s="8"/>
      <c r="Q555" s="8"/>
      <c r="R555" s="8"/>
      <c r="S555" s="8"/>
      <c r="T555" s="8"/>
      <c r="U555" s="8"/>
      <c r="V555" s="8"/>
      <c r="W555" s="8"/>
      <c r="X555" s="8"/>
    </row>
    <row r="556" spans="1:24" ht="12.75">
      <c r="A556" s="82"/>
      <c r="B556" s="8"/>
      <c r="C556" s="59"/>
      <c r="D556" s="59"/>
      <c r="E556" s="8"/>
      <c r="F556" s="8"/>
      <c r="G556" s="8"/>
      <c r="H556" s="8"/>
      <c r="I556" s="8"/>
      <c r="J556" s="8"/>
      <c r="K556" s="8"/>
      <c r="L556" s="8"/>
      <c r="M556" s="8"/>
      <c r="N556" s="8"/>
      <c r="O556" s="8"/>
      <c r="P556" s="8"/>
      <c r="Q556" s="8"/>
      <c r="R556" s="8"/>
      <c r="S556" s="8"/>
      <c r="T556" s="8"/>
      <c r="U556" s="8"/>
      <c r="V556" s="8"/>
      <c r="W556" s="8"/>
      <c r="X556" s="8"/>
    </row>
    <row r="557" spans="1:24" ht="12.75">
      <c r="A557" s="82"/>
      <c r="B557" s="8"/>
      <c r="C557" s="59"/>
      <c r="D557" s="59"/>
      <c r="E557" s="8"/>
      <c r="F557" s="8"/>
      <c r="G557" s="8"/>
      <c r="H557" s="8"/>
      <c r="I557" s="8"/>
      <c r="J557" s="8"/>
      <c r="K557" s="8"/>
      <c r="L557" s="8"/>
      <c r="M557" s="8"/>
      <c r="N557" s="8"/>
      <c r="O557" s="8"/>
      <c r="P557" s="8"/>
      <c r="Q557" s="8"/>
      <c r="R557" s="8"/>
      <c r="S557" s="8"/>
      <c r="T557" s="8"/>
      <c r="U557" s="8"/>
      <c r="V557" s="8"/>
      <c r="W557" s="8"/>
      <c r="X557" s="8"/>
    </row>
    <row r="558" spans="1:24" ht="12.75">
      <c r="A558" s="82"/>
      <c r="B558" s="8"/>
      <c r="C558" s="59"/>
      <c r="D558" s="59"/>
      <c r="E558" s="8"/>
      <c r="F558" s="8"/>
      <c r="G558" s="8"/>
      <c r="H558" s="8"/>
      <c r="I558" s="8"/>
      <c r="J558" s="8"/>
      <c r="K558" s="8"/>
      <c r="L558" s="8"/>
      <c r="M558" s="8"/>
      <c r="N558" s="8"/>
      <c r="O558" s="8"/>
      <c r="P558" s="8"/>
      <c r="Q558" s="8"/>
      <c r="R558" s="8"/>
      <c r="S558" s="8"/>
      <c r="T558" s="8"/>
      <c r="U558" s="8"/>
      <c r="V558" s="8"/>
      <c r="W558" s="8"/>
      <c r="X558" s="8"/>
    </row>
    <row r="559" spans="1:24" ht="12.75">
      <c r="A559" s="82"/>
      <c r="B559" s="8"/>
      <c r="C559" s="59"/>
      <c r="D559" s="59"/>
      <c r="E559" s="8"/>
      <c r="F559" s="8"/>
      <c r="G559" s="8"/>
      <c r="H559" s="8"/>
      <c r="I559" s="8"/>
      <c r="J559" s="8"/>
      <c r="K559" s="8"/>
      <c r="L559" s="8"/>
      <c r="M559" s="8"/>
      <c r="N559" s="8"/>
      <c r="O559" s="8"/>
      <c r="P559" s="8"/>
      <c r="Q559" s="8"/>
      <c r="R559" s="8"/>
      <c r="S559" s="8"/>
      <c r="T559" s="8"/>
      <c r="U559" s="8"/>
      <c r="V559" s="8"/>
      <c r="W559" s="8"/>
      <c r="X559" s="8"/>
    </row>
    <row r="560" spans="1:24" ht="12.75">
      <c r="A560" s="82"/>
      <c r="B560" s="8"/>
      <c r="C560" s="59"/>
      <c r="D560" s="59"/>
      <c r="E560" s="8"/>
      <c r="F560" s="8"/>
      <c r="G560" s="8"/>
      <c r="H560" s="8"/>
      <c r="I560" s="8"/>
      <c r="J560" s="8"/>
      <c r="K560" s="8"/>
      <c r="L560" s="8"/>
      <c r="M560" s="8"/>
      <c r="N560" s="8"/>
      <c r="O560" s="8"/>
      <c r="P560" s="8"/>
      <c r="Q560" s="8"/>
      <c r="R560" s="8"/>
      <c r="S560" s="8"/>
      <c r="T560" s="8"/>
      <c r="U560" s="8"/>
      <c r="V560" s="8"/>
      <c r="W560" s="8"/>
      <c r="X560" s="8"/>
    </row>
    <row r="561" spans="1:24" ht="12.75">
      <c r="A561" s="82"/>
      <c r="B561" s="8"/>
      <c r="C561" s="59"/>
      <c r="D561" s="59"/>
      <c r="E561" s="8"/>
      <c r="F561" s="8"/>
      <c r="G561" s="8"/>
      <c r="H561" s="8"/>
      <c r="I561" s="8"/>
      <c r="J561" s="8"/>
      <c r="K561" s="8"/>
      <c r="L561" s="8"/>
      <c r="M561" s="8"/>
      <c r="N561" s="8"/>
      <c r="O561" s="8"/>
      <c r="P561" s="8"/>
      <c r="Q561" s="8"/>
      <c r="R561" s="8"/>
      <c r="S561" s="8"/>
      <c r="T561" s="8"/>
      <c r="U561" s="8"/>
      <c r="V561" s="8"/>
      <c r="W561" s="8"/>
      <c r="X561" s="8"/>
    </row>
    <row r="562" spans="1:24" ht="12.75">
      <c r="A562" s="82"/>
      <c r="B562" s="8"/>
      <c r="C562" s="59"/>
      <c r="D562" s="59"/>
      <c r="E562" s="8"/>
      <c r="F562" s="8"/>
      <c r="G562" s="8"/>
      <c r="H562" s="8"/>
      <c r="I562" s="8"/>
      <c r="J562" s="8"/>
      <c r="K562" s="8"/>
      <c r="L562" s="8"/>
      <c r="M562" s="8"/>
      <c r="N562" s="8"/>
      <c r="O562" s="8"/>
      <c r="P562" s="8"/>
      <c r="Q562" s="8"/>
      <c r="R562" s="8"/>
      <c r="S562" s="8"/>
      <c r="T562" s="8"/>
      <c r="U562" s="8"/>
      <c r="V562" s="8"/>
      <c r="W562" s="8"/>
      <c r="X562" s="8"/>
    </row>
    <row r="563" spans="1:24" ht="12.75">
      <c r="A563" s="82"/>
      <c r="B563" s="8"/>
      <c r="C563" s="59"/>
      <c r="D563" s="59"/>
      <c r="E563" s="8"/>
      <c r="F563" s="8"/>
      <c r="G563" s="8"/>
      <c r="H563" s="8"/>
      <c r="I563" s="8"/>
      <c r="J563" s="8"/>
      <c r="K563" s="8"/>
      <c r="L563" s="8"/>
      <c r="M563" s="8"/>
      <c r="N563" s="8"/>
      <c r="O563" s="8"/>
      <c r="P563" s="8"/>
      <c r="Q563" s="8"/>
      <c r="R563" s="8"/>
      <c r="S563" s="8"/>
      <c r="T563" s="8"/>
      <c r="U563" s="8"/>
      <c r="V563" s="8"/>
      <c r="W563" s="8"/>
      <c r="X563" s="8"/>
    </row>
    <row r="564" spans="1:24" ht="12.75">
      <c r="A564" s="82"/>
      <c r="B564" s="8"/>
      <c r="C564" s="59"/>
      <c r="D564" s="59"/>
      <c r="E564" s="8"/>
      <c r="F564" s="8"/>
      <c r="G564" s="8"/>
      <c r="H564" s="8"/>
      <c r="I564" s="8"/>
      <c r="J564" s="8"/>
      <c r="K564" s="8"/>
      <c r="L564" s="8"/>
      <c r="M564" s="8"/>
      <c r="N564" s="8"/>
      <c r="O564" s="8"/>
      <c r="P564" s="8"/>
      <c r="Q564" s="8"/>
      <c r="R564" s="8"/>
      <c r="S564" s="8"/>
      <c r="T564" s="8"/>
      <c r="U564" s="8"/>
      <c r="V564" s="8"/>
      <c r="W564" s="8"/>
      <c r="X564" s="8"/>
    </row>
    <row r="565" spans="1:24" ht="12.75">
      <c r="A565" s="82"/>
      <c r="B565" s="8"/>
      <c r="C565" s="59"/>
      <c r="D565" s="59"/>
      <c r="E565" s="8"/>
      <c r="F565" s="8"/>
      <c r="G565" s="8"/>
      <c r="H565" s="8"/>
      <c r="I565" s="8"/>
      <c r="J565" s="8"/>
      <c r="K565" s="8"/>
      <c r="L565" s="8"/>
      <c r="M565" s="8"/>
      <c r="N565" s="8"/>
      <c r="O565" s="8"/>
      <c r="P565" s="8"/>
      <c r="Q565" s="8"/>
      <c r="R565" s="8"/>
      <c r="S565" s="8"/>
      <c r="T565" s="8"/>
      <c r="U565" s="8"/>
      <c r="V565" s="8"/>
      <c r="W565" s="8"/>
      <c r="X565" s="8"/>
    </row>
    <row r="566" spans="1:24" ht="12.75">
      <c r="A566" s="82"/>
      <c r="B566" s="8"/>
      <c r="C566" s="59"/>
      <c r="D566" s="59"/>
      <c r="E566" s="8"/>
      <c r="F566" s="8"/>
      <c r="G566" s="8"/>
      <c r="H566" s="8"/>
      <c r="I566" s="8"/>
      <c r="J566" s="8"/>
      <c r="K566" s="8"/>
      <c r="L566" s="8"/>
      <c r="M566" s="8"/>
      <c r="N566" s="8"/>
      <c r="O566" s="8"/>
      <c r="P566" s="8"/>
      <c r="Q566" s="8"/>
      <c r="R566" s="8"/>
      <c r="S566" s="8"/>
      <c r="T566" s="8"/>
      <c r="U566" s="8"/>
      <c r="V566" s="8"/>
      <c r="W566" s="8"/>
      <c r="X566" s="8"/>
    </row>
    <row r="567" spans="1:24" ht="12.75">
      <c r="A567" s="82"/>
      <c r="B567" s="8"/>
      <c r="C567" s="59"/>
      <c r="D567" s="59"/>
      <c r="E567" s="8"/>
      <c r="F567" s="8"/>
      <c r="G567" s="8"/>
      <c r="H567" s="8"/>
      <c r="I567" s="8"/>
      <c r="J567" s="8"/>
      <c r="K567" s="8"/>
      <c r="L567" s="8"/>
      <c r="M567" s="8"/>
      <c r="N567" s="8"/>
      <c r="O567" s="8"/>
      <c r="P567" s="8"/>
      <c r="Q567" s="8"/>
      <c r="R567" s="8"/>
      <c r="S567" s="8"/>
      <c r="T567" s="8"/>
      <c r="U567" s="8"/>
      <c r="V567" s="8"/>
      <c r="W567" s="8"/>
      <c r="X567" s="8"/>
    </row>
    <row r="568" spans="1:24" ht="12.75">
      <c r="A568" s="82"/>
      <c r="B568" s="8"/>
      <c r="C568" s="59"/>
      <c r="D568" s="59"/>
      <c r="E568" s="8"/>
      <c r="F568" s="8"/>
      <c r="G568" s="8"/>
      <c r="H568" s="8"/>
      <c r="I568" s="8"/>
      <c r="J568" s="8"/>
      <c r="K568" s="8"/>
      <c r="L568" s="8"/>
      <c r="M568" s="8"/>
      <c r="N568" s="8"/>
      <c r="O568" s="8"/>
      <c r="P568" s="8"/>
      <c r="Q568" s="8"/>
      <c r="R568" s="8"/>
      <c r="S568" s="8"/>
      <c r="T568" s="8"/>
      <c r="U568" s="8"/>
      <c r="V568" s="8"/>
      <c r="W568" s="8"/>
      <c r="X568" s="8"/>
    </row>
    <row r="569" spans="1:24" ht="12.75">
      <c r="A569" s="82"/>
      <c r="B569" s="8"/>
      <c r="C569" s="59"/>
      <c r="D569" s="59"/>
      <c r="E569" s="8"/>
      <c r="F569" s="8"/>
      <c r="G569" s="8"/>
      <c r="H569" s="8"/>
      <c r="I569" s="8"/>
      <c r="J569" s="8"/>
      <c r="K569" s="8"/>
      <c r="L569" s="8"/>
      <c r="M569" s="8"/>
      <c r="N569" s="8"/>
      <c r="O569" s="8"/>
      <c r="P569" s="8"/>
      <c r="Q569" s="8"/>
      <c r="R569" s="8"/>
      <c r="S569" s="8"/>
      <c r="T569" s="8"/>
      <c r="U569" s="8"/>
      <c r="V569" s="8"/>
      <c r="W569" s="8"/>
      <c r="X569" s="8"/>
    </row>
    <row r="570" spans="1:24" ht="12.75">
      <c r="A570" s="82"/>
      <c r="B570" s="8"/>
      <c r="C570" s="59"/>
      <c r="D570" s="59"/>
      <c r="E570" s="8"/>
      <c r="F570" s="8"/>
      <c r="G570" s="8"/>
      <c r="H570" s="8"/>
      <c r="I570" s="8"/>
      <c r="J570" s="8"/>
      <c r="K570" s="8"/>
      <c r="L570" s="8"/>
      <c r="M570" s="8"/>
      <c r="N570" s="8"/>
      <c r="O570" s="8"/>
      <c r="P570" s="8"/>
      <c r="Q570" s="8"/>
      <c r="R570" s="8"/>
      <c r="S570" s="8"/>
      <c r="T570" s="8"/>
      <c r="U570" s="8"/>
      <c r="V570" s="8"/>
      <c r="W570" s="8"/>
      <c r="X570" s="8"/>
    </row>
    <row r="571" spans="1:24" ht="12.75">
      <c r="A571" s="82"/>
      <c r="B571" s="8"/>
      <c r="C571" s="59"/>
      <c r="D571" s="59"/>
      <c r="E571" s="8"/>
      <c r="F571" s="8"/>
      <c r="G571" s="8"/>
      <c r="H571" s="8"/>
      <c r="I571" s="8"/>
      <c r="J571" s="8"/>
      <c r="K571" s="8"/>
      <c r="L571" s="8"/>
      <c r="M571" s="8"/>
      <c r="N571" s="8"/>
      <c r="O571" s="8"/>
      <c r="P571" s="8"/>
      <c r="Q571" s="8"/>
      <c r="R571" s="8"/>
      <c r="S571" s="8"/>
      <c r="T571" s="8"/>
      <c r="U571" s="8"/>
      <c r="V571" s="8"/>
      <c r="W571" s="8"/>
      <c r="X571" s="8"/>
    </row>
    <row r="572" spans="1:24" ht="12.75">
      <c r="A572" s="82"/>
      <c r="B572" s="8"/>
      <c r="C572" s="59"/>
      <c r="D572" s="59"/>
      <c r="E572" s="8"/>
      <c r="F572" s="8"/>
      <c r="G572" s="8"/>
      <c r="H572" s="8"/>
      <c r="I572" s="8"/>
      <c r="J572" s="8"/>
      <c r="K572" s="8"/>
      <c r="L572" s="8"/>
      <c r="M572" s="8"/>
      <c r="N572" s="8"/>
      <c r="O572" s="8"/>
      <c r="P572" s="8"/>
      <c r="Q572" s="8"/>
      <c r="R572" s="8"/>
      <c r="S572" s="8"/>
      <c r="T572" s="8"/>
      <c r="U572" s="8"/>
      <c r="V572" s="8"/>
      <c r="W572" s="8"/>
      <c r="X572" s="8"/>
    </row>
    <row r="573" spans="1:24" ht="12.75">
      <c r="A573" s="82"/>
      <c r="B573" s="8"/>
      <c r="C573" s="59"/>
      <c r="D573" s="59"/>
      <c r="E573" s="8"/>
      <c r="F573" s="8"/>
      <c r="G573" s="8"/>
      <c r="H573" s="8"/>
      <c r="I573" s="8"/>
      <c r="J573" s="8"/>
      <c r="K573" s="8"/>
      <c r="L573" s="8"/>
      <c r="M573" s="8"/>
      <c r="N573" s="8"/>
      <c r="O573" s="8"/>
      <c r="P573" s="8"/>
      <c r="Q573" s="8"/>
      <c r="R573" s="8"/>
      <c r="S573" s="8"/>
      <c r="T573" s="8"/>
      <c r="U573" s="8"/>
      <c r="V573" s="8"/>
      <c r="W573" s="8"/>
      <c r="X573" s="8"/>
    </row>
    <row r="574" spans="1:24" ht="12.75">
      <c r="A574" s="82"/>
      <c r="B574" s="8"/>
      <c r="C574" s="59"/>
      <c r="D574" s="59"/>
      <c r="E574" s="8"/>
      <c r="F574" s="8"/>
      <c r="G574" s="8"/>
      <c r="H574" s="8"/>
      <c r="I574" s="8"/>
      <c r="J574" s="8"/>
      <c r="K574" s="8"/>
      <c r="L574" s="8"/>
      <c r="M574" s="8"/>
      <c r="N574" s="8"/>
      <c r="O574" s="8"/>
      <c r="P574" s="8"/>
      <c r="Q574" s="8"/>
      <c r="R574" s="8"/>
      <c r="S574" s="8"/>
      <c r="T574" s="8"/>
      <c r="U574" s="8"/>
      <c r="V574" s="8"/>
      <c r="W574" s="8"/>
      <c r="X574" s="8"/>
    </row>
    <row r="575" spans="1:24" ht="12.75">
      <c r="A575" s="82"/>
      <c r="B575" s="8"/>
      <c r="C575" s="59"/>
      <c r="D575" s="59"/>
      <c r="E575" s="8"/>
      <c r="F575" s="8"/>
      <c r="G575" s="8"/>
      <c r="H575" s="8"/>
      <c r="I575" s="8"/>
      <c r="J575" s="8"/>
      <c r="K575" s="8"/>
      <c r="L575" s="8"/>
      <c r="M575" s="8"/>
      <c r="N575" s="8"/>
      <c r="O575" s="8"/>
      <c r="P575" s="8"/>
      <c r="Q575" s="8"/>
      <c r="R575" s="8"/>
      <c r="S575" s="8"/>
      <c r="T575" s="8"/>
      <c r="U575" s="8"/>
      <c r="V575" s="8"/>
      <c r="W575" s="8"/>
      <c r="X575" s="8"/>
    </row>
    <row r="576" spans="1:24" ht="12.75">
      <c r="A576" s="82"/>
      <c r="B576" s="8"/>
      <c r="C576" s="59"/>
      <c r="D576" s="59"/>
      <c r="E576" s="8"/>
      <c r="F576" s="8"/>
      <c r="G576" s="8"/>
      <c r="H576" s="8"/>
      <c r="I576" s="8"/>
      <c r="J576" s="8"/>
      <c r="K576" s="8"/>
      <c r="L576" s="8"/>
      <c r="M576" s="8"/>
      <c r="N576" s="8"/>
      <c r="O576" s="8"/>
      <c r="P576" s="8"/>
      <c r="Q576" s="8"/>
      <c r="R576" s="8"/>
      <c r="S576" s="8"/>
      <c r="T576" s="8"/>
      <c r="U576" s="8"/>
      <c r="V576" s="8"/>
      <c r="W576" s="8"/>
      <c r="X576" s="8"/>
    </row>
    <row r="577" spans="1:24" ht="12.75">
      <c r="A577" s="82"/>
      <c r="B577" s="8"/>
      <c r="C577" s="59"/>
      <c r="D577" s="59"/>
      <c r="E577" s="8"/>
      <c r="F577" s="8"/>
      <c r="G577" s="8"/>
      <c r="H577" s="8"/>
      <c r="I577" s="8"/>
      <c r="J577" s="8"/>
      <c r="K577" s="8"/>
      <c r="L577" s="8"/>
      <c r="M577" s="8"/>
      <c r="N577" s="8"/>
      <c r="O577" s="8"/>
      <c r="P577" s="8"/>
      <c r="Q577" s="8"/>
      <c r="R577" s="8"/>
      <c r="S577" s="8"/>
      <c r="T577" s="8"/>
      <c r="U577" s="8"/>
      <c r="V577" s="8"/>
      <c r="W577" s="8"/>
      <c r="X577" s="8"/>
    </row>
    <row r="578" spans="1:24" ht="12.75">
      <c r="A578" s="82"/>
      <c r="B578" s="8"/>
      <c r="C578" s="59"/>
      <c r="D578" s="59"/>
      <c r="E578" s="8"/>
      <c r="F578" s="8"/>
      <c r="G578" s="8"/>
      <c r="H578" s="8"/>
      <c r="I578" s="8"/>
      <c r="J578" s="8"/>
      <c r="K578" s="8"/>
      <c r="L578" s="8"/>
      <c r="M578" s="8"/>
      <c r="N578" s="8"/>
      <c r="O578" s="8"/>
      <c r="P578" s="8"/>
      <c r="Q578" s="8"/>
      <c r="R578" s="8"/>
      <c r="S578" s="8"/>
      <c r="T578" s="8"/>
      <c r="U578" s="8"/>
      <c r="V578" s="8"/>
      <c r="W578" s="8"/>
      <c r="X578" s="8"/>
    </row>
    <row r="579" spans="1:24" ht="12.75">
      <c r="A579" s="82"/>
      <c r="B579" s="8"/>
      <c r="C579" s="59"/>
      <c r="D579" s="59"/>
      <c r="E579" s="8"/>
      <c r="F579" s="8"/>
      <c r="G579" s="8"/>
      <c r="H579" s="8"/>
      <c r="I579" s="8"/>
      <c r="J579" s="8"/>
      <c r="K579" s="8"/>
      <c r="L579" s="8"/>
      <c r="M579" s="8"/>
      <c r="N579" s="8"/>
      <c r="O579" s="8"/>
      <c r="P579" s="8"/>
      <c r="Q579" s="8"/>
      <c r="R579" s="8"/>
      <c r="S579" s="8"/>
      <c r="T579" s="8"/>
      <c r="U579" s="8"/>
      <c r="V579" s="8"/>
      <c r="W579" s="8"/>
      <c r="X579" s="8"/>
    </row>
    <row r="580" spans="1:24" ht="12.75">
      <c r="A580" s="82"/>
      <c r="B580" s="8"/>
      <c r="C580" s="59"/>
      <c r="D580" s="59"/>
      <c r="E580" s="8"/>
      <c r="F580" s="8"/>
      <c r="G580" s="8"/>
      <c r="H580" s="8"/>
      <c r="I580" s="8"/>
      <c r="J580" s="8"/>
      <c r="K580" s="8"/>
      <c r="L580" s="8"/>
      <c r="M580" s="8"/>
      <c r="N580" s="8"/>
      <c r="O580" s="8"/>
      <c r="P580" s="8"/>
      <c r="Q580" s="8"/>
      <c r="R580" s="8"/>
      <c r="S580" s="8"/>
      <c r="T580" s="8"/>
      <c r="U580" s="8"/>
      <c r="V580" s="8"/>
      <c r="W580" s="8"/>
      <c r="X580" s="8"/>
    </row>
    <row r="581" spans="1:24" ht="12.75">
      <c r="A581" s="82"/>
      <c r="B581" s="8"/>
      <c r="C581" s="59"/>
      <c r="D581" s="59"/>
      <c r="E581" s="8"/>
      <c r="F581" s="8"/>
      <c r="G581" s="8"/>
      <c r="H581" s="8"/>
      <c r="I581" s="8"/>
      <c r="J581" s="8"/>
      <c r="K581" s="8"/>
      <c r="L581" s="8"/>
      <c r="M581" s="8"/>
      <c r="N581" s="8"/>
      <c r="O581" s="8"/>
      <c r="P581" s="8"/>
      <c r="Q581" s="8"/>
      <c r="R581" s="8"/>
      <c r="S581" s="8"/>
      <c r="T581" s="8"/>
      <c r="U581" s="8"/>
      <c r="V581" s="8"/>
      <c r="W581" s="8"/>
      <c r="X581" s="8"/>
    </row>
    <row r="582" spans="1:24" ht="12.75">
      <c r="A582" s="82"/>
      <c r="B582" s="8"/>
      <c r="C582" s="59"/>
      <c r="D582" s="59"/>
      <c r="E582" s="8"/>
      <c r="F582" s="8"/>
      <c r="G582" s="8"/>
      <c r="H582" s="8"/>
      <c r="I582" s="8"/>
      <c r="J582" s="8"/>
      <c r="K582" s="8"/>
      <c r="L582" s="8"/>
      <c r="M582" s="8"/>
      <c r="N582" s="8"/>
      <c r="O582" s="8"/>
      <c r="P582" s="8"/>
      <c r="Q582" s="8"/>
      <c r="R582" s="8"/>
      <c r="S582" s="8"/>
      <c r="T582" s="8"/>
      <c r="U582" s="8"/>
      <c r="V582" s="8"/>
      <c r="W582" s="8"/>
      <c r="X582" s="8"/>
    </row>
    <row r="583" spans="1:24" ht="12.75">
      <c r="A583" s="82"/>
      <c r="B583" s="8"/>
      <c r="C583" s="59"/>
      <c r="D583" s="59"/>
      <c r="E583" s="8"/>
      <c r="F583" s="8"/>
      <c r="G583" s="8"/>
      <c r="H583" s="8"/>
      <c r="I583" s="8"/>
      <c r="J583" s="8"/>
      <c r="K583" s="8"/>
      <c r="L583" s="8"/>
      <c r="M583" s="8"/>
      <c r="N583" s="8"/>
      <c r="O583" s="8"/>
      <c r="P583" s="8"/>
      <c r="Q583" s="8"/>
      <c r="R583" s="8"/>
      <c r="S583" s="8"/>
      <c r="T583" s="8"/>
      <c r="U583" s="8"/>
      <c r="V583" s="8"/>
      <c r="W583" s="8"/>
      <c r="X583" s="8"/>
    </row>
    <row r="584" spans="1:24" ht="12.75">
      <c r="A584" s="82"/>
      <c r="B584" s="8"/>
      <c r="C584" s="59"/>
      <c r="D584" s="59"/>
      <c r="E584" s="8"/>
      <c r="F584" s="8"/>
      <c r="G584" s="8"/>
      <c r="H584" s="8"/>
      <c r="I584" s="8"/>
      <c r="J584" s="8"/>
      <c r="K584" s="8"/>
      <c r="L584" s="8"/>
      <c r="M584" s="8"/>
      <c r="N584" s="8"/>
      <c r="O584" s="8"/>
      <c r="P584" s="8"/>
      <c r="Q584" s="8"/>
      <c r="R584" s="8"/>
      <c r="S584" s="8"/>
      <c r="T584" s="8"/>
      <c r="U584" s="8"/>
      <c r="V584" s="8"/>
      <c r="W584" s="8"/>
      <c r="X584" s="8"/>
    </row>
    <row r="585" spans="1:24" ht="12.75">
      <c r="A585" s="82"/>
      <c r="B585" s="8"/>
      <c r="C585" s="59"/>
      <c r="D585" s="59"/>
      <c r="E585" s="8"/>
      <c r="F585" s="8"/>
      <c r="G585" s="8"/>
      <c r="H585" s="8"/>
      <c r="I585" s="8"/>
      <c r="J585" s="8"/>
      <c r="K585" s="8"/>
      <c r="L585" s="8"/>
      <c r="M585" s="8"/>
      <c r="N585" s="8"/>
      <c r="O585" s="8"/>
      <c r="P585" s="8"/>
      <c r="Q585" s="8"/>
      <c r="R585" s="8"/>
      <c r="S585" s="8"/>
      <c r="T585" s="8"/>
      <c r="U585" s="8"/>
      <c r="V585" s="8"/>
      <c r="W585" s="8"/>
      <c r="X585" s="8"/>
    </row>
    <row r="586" spans="1:24" ht="12.75">
      <c r="A586" s="82"/>
      <c r="B586" s="8"/>
      <c r="C586" s="59"/>
      <c r="D586" s="59"/>
      <c r="E586" s="8"/>
      <c r="F586" s="8"/>
      <c r="G586" s="8"/>
      <c r="H586" s="8"/>
      <c r="I586" s="8"/>
      <c r="J586" s="8"/>
      <c r="K586" s="8"/>
      <c r="L586" s="8"/>
      <c r="M586" s="8"/>
      <c r="N586" s="8"/>
      <c r="O586" s="8"/>
      <c r="P586" s="8"/>
      <c r="Q586" s="8"/>
      <c r="R586" s="8"/>
      <c r="S586" s="8"/>
      <c r="T586" s="8"/>
      <c r="U586" s="8"/>
      <c r="V586" s="8"/>
      <c r="W586" s="8"/>
      <c r="X586" s="8"/>
    </row>
    <row r="587" spans="1:24" ht="12.75">
      <c r="A587" s="82"/>
      <c r="B587" s="8"/>
      <c r="C587" s="59"/>
      <c r="D587" s="59"/>
      <c r="E587" s="8"/>
      <c r="F587" s="8"/>
      <c r="G587" s="8"/>
      <c r="H587" s="8"/>
      <c r="I587" s="8"/>
      <c r="J587" s="8"/>
      <c r="K587" s="8"/>
      <c r="L587" s="8"/>
      <c r="M587" s="8"/>
      <c r="N587" s="8"/>
      <c r="O587" s="8"/>
      <c r="P587" s="8"/>
      <c r="Q587" s="8"/>
      <c r="R587" s="8"/>
      <c r="S587" s="8"/>
      <c r="T587" s="8"/>
      <c r="U587" s="8"/>
      <c r="V587" s="8"/>
      <c r="W587" s="8"/>
      <c r="X587" s="8"/>
    </row>
    <row r="588" spans="1:24" ht="12.75">
      <c r="A588" s="82"/>
      <c r="B588" s="8"/>
      <c r="C588" s="59"/>
      <c r="D588" s="59"/>
      <c r="E588" s="8"/>
      <c r="F588" s="8"/>
      <c r="G588" s="8"/>
      <c r="H588" s="8"/>
      <c r="I588" s="8"/>
      <c r="J588" s="8"/>
      <c r="K588" s="8"/>
      <c r="L588" s="8"/>
      <c r="M588" s="8"/>
      <c r="N588" s="8"/>
      <c r="O588" s="8"/>
      <c r="P588" s="8"/>
      <c r="Q588" s="8"/>
      <c r="R588" s="8"/>
      <c r="S588" s="8"/>
      <c r="T588" s="8"/>
      <c r="U588" s="8"/>
      <c r="V588" s="8"/>
      <c r="W588" s="8"/>
      <c r="X588" s="8"/>
    </row>
    <row r="589" spans="1:24" ht="12.75">
      <c r="A589" s="82"/>
      <c r="B589" s="8"/>
      <c r="C589" s="59"/>
      <c r="D589" s="59"/>
      <c r="E589" s="8"/>
      <c r="F589" s="8"/>
      <c r="G589" s="8"/>
      <c r="H589" s="8"/>
      <c r="I589" s="8"/>
      <c r="J589" s="8"/>
      <c r="K589" s="8"/>
      <c r="L589" s="8"/>
      <c r="M589" s="8"/>
      <c r="N589" s="8"/>
      <c r="O589" s="8"/>
      <c r="P589" s="8"/>
      <c r="Q589" s="8"/>
      <c r="R589" s="8"/>
      <c r="S589" s="8"/>
      <c r="T589" s="8"/>
      <c r="U589" s="8"/>
      <c r="V589" s="8"/>
      <c r="W589" s="8"/>
      <c r="X589" s="8"/>
    </row>
    <row r="590" spans="1:24" ht="12.75">
      <c r="A590" s="82"/>
      <c r="B590" s="8"/>
      <c r="C590" s="59"/>
      <c r="D590" s="59"/>
      <c r="E590" s="8"/>
      <c r="F590" s="8"/>
      <c r="G590" s="8"/>
      <c r="H590" s="8"/>
      <c r="I590" s="8"/>
      <c r="J590" s="8"/>
      <c r="K590" s="8"/>
      <c r="L590" s="8"/>
      <c r="M590" s="8"/>
      <c r="N590" s="8"/>
      <c r="O590" s="8"/>
      <c r="P590" s="8"/>
      <c r="Q590" s="8"/>
      <c r="R590" s="8"/>
      <c r="S590" s="8"/>
      <c r="T590" s="8"/>
      <c r="U590" s="8"/>
      <c r="V590" s="8"/>
      <c r="W590" s="8"/>
      <c r="X590" s="8"/>
    </row>
    <row r="591" spans="1:24" ht="12.75">
      <c r="A591" s="82"/>
      <c r="B591" s="8"/>
      <c r="C591" s="59"/>
      <c r="D591" s="59"/>
      <c r="E591" s="8"/>
      <c r="F591" s="8"/>
      <c r="G591" s="8"/>
      <c r="H591" s="8"/>
      <c r="I591" s="8"/>
      <c r="J591" s="8"/>
      <c r="K591" s="8"/>
      <c r="L591" s="8"/>
      <c r="M591" s="8"/>
      <c r="N591" s="8"/>
      <c r="O591" s="8"/>
      <c r="P591" s="8"/>
      <c r="Q591" s="8"/>
      <c r="R591" s="8"/>
      <c r="S591" s="8"/>
      <c r="T591" s="8"/>
      <c r="U591" s="8"/>
      <c r="V591" s="8"/>
      <c r="W591" s="8"/>
      <c r="X591" s="8"/>
    </row>
    <row r="592" spans="1:24" ht="12.75">
      <c r="A592" s="82"/>
      <c r="B592" s="8"/>
      <c r="C592" s="59"/>
      <c r="D592" s="59"/>
      <c r="E592" s="8"/>
      <c r="F592" s="8"/>
      <c r="G592" s="8"/>
      <c r="H592" s="8"/>
      <c r="I592" s="8"/>
      <c r="J592" s="8"/>
      <c r="K592" s="8"/>
      <c r="L592" s="8"/>
      <c r="M592" s="8"/>
      <c r="N592" s="8"/>
      <c r="O592" s="8"/>
      <c r="P592" s="8"/>
      <c r="Q592" s="8"/>
      <c r="R592" s="8"/>
      <c r="S592" s="8"/>
      <c r="T592" s="8"/>
      <c r="U592" s="8"/>
      <c r="V592" s="8"/>
      <c r="W592" s="8"/>
      <c r="X592" s="8"/>
    </row>
    <row r="593" spans="1:24" ht="12.75">
      <c r="A593" s="82"/>
      <c r="B593" s="8"/>
      <c r="C593" s="59"/>
      <c r="D593" s="59"/>
      <c r="E593" s="8"/>
      <c r="F593" s="8"/>
      <c r="G593" s="8"/>
      <c r="H593" s="8"/>
      <c r="I593" s="8"/>
      <c r="J593" s="8"/>
      <c r="K593" s="8"/>
      <c r="L593" s="8"/>
      <c r="M593" s="8"/>
      <c r="N593" s="8"/>
      <c r="O593" s="8"/>
      <c r="P593" s="8"/>
      <c r="Q593" s="8"/>
      <c r="R593" s="8"/>
      <c r="S593" s="8"/>
      <c r="T593" s="8"/>
      <c r="U593" s="8"/>
      <c r="V593" s="8"/>
      <c r="W593" s="8"/>
      <c r="X593" s="8"/>
    </row>
    <row r="594" spans="1:24" ht="12.75">
      <c r="A594" s="82"/>
      <c r="B594" s="8"/>
      <c r="C594" s="59"/>
      <c r="D594" s="59"/>
      <c r="E594" s="8"/>
      <c r="F594" s="8"/>
      <c r="G594" s="8"/>
      <c r="H594" s="8"/>
      <c r="I594" s="8"/>
      <c r="J594" s="8"/>
      <c r="K594" s="8"/>
      <c r="L594" s="8"/>
      <c r="M594" s="8"/>
      <c r="N594" s="8"/>
      <c r="O594" s="8"/>
      <c r="P594" s="8"/>
      <c r="Q594" s="8"/>
      <c r="R594" s="8"/>
      <c r="S594" s="8"/>
      <c r="T594" s="8"/>
      <c r="U594" s="8"/>
      <c r="V594" s="8"/>
      <c r="W594" s="8"/>
      <c r="X594" s="8"/>
    </row>
    <row r="595" spans="1:24" ht="12.75">
      <c r="A595" s="82"/>
      <c r="B595" s="8"/>
      <c r="C595" s="59"/>
      <c r="D595" s="59"/>
      <c r="E595" s="8"/>
      <c r="F595" s="8"/>
      <c r="G595" s="8"/>
      <c r="H595" s="8"/>
      <c r="I595" s="8"/>
      <c r="J595" s="8"/>
      <c r="K595" s="8"/>
      <c r="L595" s="8"/>
      <c r="M595" s="8"/>
      <c r="N595" s="8"/>
      <c r="O595" s="8"/>
      <c r="P595" s="8"/>
      <c r="Q595" s="8"/>
      <c r="R595" s="8"/>
      <c r="S595" s="8"/>
      <c r="T595" s="8"/>
      <c r="U595" s="8"/>
      <c r="V595" s="8"/>
      <c r="W595" s="8"/>
      <c r="X595" s="8"/>
    </row>
    <row r="596" spans="1:24" ht="12.75">
      <c r="A596" s="82"/>
      <c r="B596" s="8"/>
      <c r="C596" s="59"/>
      <c r="D596" s="59"/>
      <c r="E596" s="8"/>
      <c r="F596" s="8"/>
      <c r="G596" s="8"/>
      <c r="H596" s="8"/>
      <c r="I596" s="8"/>
      <c r="J596" s="8"/>
      <c r="K596" s="8"/>
      <c r="L596" s="8"/>
      <c r="M596" s="8"/>
      <c r="N596" s="8"/>
      <c r="O596" s="8"/>
      <c r="P596" s="8"/>
      <c r="Q596" s="8"/>
      <c r="R596" s="8"/>
      <c r="S596" s="8"/>
      <c r="T596" s="8"/>
      <c r="U596" s="8"/>
      <c r="V596" s="8"/>
      <c r="W596" s="8"/>
      <c r="X596" s="8"/>
    </row>
    <row r="597" spans="1:24" ht="12.75">
      <c r="A597" s="82"/>
      <c r="B597" s="8"/>
      <c r="C597" s="59"/>
      <c r="D597" s="59"/>
      <c r="E597" s="8"/>
      <c r="F597" s="8"/>
      <c r="G597" s="8"/>
      <c r="H597" s="8"/>
      <c r="I597" s="8"/>
      <c r="J597" s="8"/>
      <c r="K597" s="8"/>
      <c r="L597" s="8"/>
      <c r="M597" s="8"/>
      <c r="N597" s="8"/>
      <c r="O597" s="8"/>
      <c r="P597" s="8"/>
      <c r="Q597" s="8"/>
      <c r="R597" s="8"/>
      <c r="S597" s="8"/>
      <c r="T597" s="8"/>
      <c r="U597" s="8"/>
      <c r="V597" s="8"/>
      <c r="W597" s="8"/>
      <c r="X597" s="8"/>
    </row>
    <row r="598" spans="1:24" ht="12.75">
      <c r="A598" s="82"/>
      <c r="B598" s="8"/>
      <c r="C598" s="59"/>
      <c r="D598" s="59"/>
      <c r="E598" s="8"/>
      <c r="F598" s="8"/>
      <c r="G598" s="8"/>
      <c r="H598" s="8"/>
      <c r="I598" s="8"/>
      <c r="J598" s="8"/>
      <c r="K598" s="8"/>
      <c r="L598" s="8"/>
      <c r="M598" s="8"/>
      <c r="N598" s="8"/>
      <c r="O598" s="8"/>
      <c r="P598" s="8"/>
      <c r="Q598" s="8"/>
      <c r="R598" s="8"/>
      <c r="S598" s="8"/>
      <c r="T598" s="8"/>
      <c r="U598" s="8"/>
      <c r="V598" s="8"/>
      <c r="W598" s="8"/>
      <c r="X598" s="8"/>
    </row>
    <row r="599" spans="1:24" ht="12.75">
      <c r="A599" s="82"/>
      <c r="B599" s="8"/>
      <c r="C599" s="59"/>
      <c r="D599" s="59"/>
      <c r="E599" s="8"/>
      <c r="F599" s="8"/>
      <c r="G599" s="8"/>
      <c r="H599" s="8"/>
      <c r="I599" s="8"/>
      <c r="J599" s="8"/>
      <c r="K599" s="8"/>
      <c r="L599" s="8"/>
      <c r="M599" s="8"/>
      <c r="N599" s="8"/>
      <c r="O599" s="8"/>
      <c r="P599" s="8"/>
      <c r="Q599" s="8"/>
      <c r="R599" s="8"/>
      <c r="S599" s="8"/>
      <c r="T599" s="8"/>
      <c r="U599" s="8"/>
      <c r="V599" s="8"/>
      <c r="W599" s="8"/>
      <c r="X599" s="8"/>
    </row>
    <row r="600" spans="1:24" ht="12.75">
      <c r="A600" s="82"/>
      <c r="B600" s="8"/>
      <c r="C600" s="59"/>
      <c r="D600" s="59"/>
      <c r="E600" s="8"/>
      <c r="F600" s="8"/>
      <c r="G600" s="8"/>
      <c r="H600" s="8"/>
      <c r="I600" s="8"/>
      <c r="J600" s="8"/>
      <c r="K600" s="8"/>
      <c r="L600" s="8"/>
      <c r="M600" s="8"/>
      <c r="N600" s="8"/>
      <c r="O600" s="8"/>
      <c r="P600" s="8"/>
      <c r="Q600" s="8"/>
      <c r="R600" s="8"/>
      <c r="S600" s="8"/>
      <c r="T600" s="8"/>
      <c r="U600" s="8"/>
      <c r="V600" s="8"/>
      <c r="W600" s="8"/>
      <c r="X600" s="8"/>
    </row>
    <row r="601" spans="1:24" ht="12.75">
      <c r="A601" s="82"/>
      <c r="B601" s="8"/>
      <c r="C601" s="59"/>
      <c r="D601" s="59"/>
      <c r="E601" s="8"/>
      <c r="F601" s="8"/>
      <c r="G601" s="8"/>
      <c r="H601" s="8"/>
      <c r="I601" s="8"/>
      <c r="J601" s="8"/>
      <c r="K601" s="8"/>
      <c r="L601" s="8"/>
      <c r="M601" s="8"/>
      <c r="N601" s="8"/>
      <c r="O601" s="8"/>
      <c r="P601" s="8"/>
      <c r="Q601" s="8"/>
      <c r="R601" s="8"/>
      <c r="S601" s="8"/>
      <c r="T601" s="8"/>
      <c r="U601" s="8"/>
      <c r="V601" s="8"/>
      <c r="W601" s="8"/>
      <c r="X601" s="8"/>
    </row>
    <row r="602" spans="1:24" ht="12.75">
      <c r="A602" s="82"/>
      <c r="B602" s="8"/>
      <c r="C602" s="59"/>
      <c r="D602" s="59"/>
      <c r="E602" s="8"/>
      <c r="F602" s="8"/>
      <c r="G602" s="8"/>
      <c r="H602" s="8"/>
      <c r="I602" s="8"/>
      <c r="J602" s="8"/>
      <c r="K602" s="8"/>
      <c r="L602" s="8"/>
      <c r="M602" s="8"/>
      <c r="N602" s="8"/>
      <c r="O602" s="8"/>
      <c r="P602" s="8"/>
      <c r="Q602" s="8"/>
      <c r="R602" s="8"/>
      <c r="S602" s="8"/>
      <c r="T602" s="8"/>
      <c r="U602" s="8"/>
      <c r="V602" s="8"/>
      <c r="W602" s="8"/>
      <c r="X602" s="8"/>
    </row>
    <row r="603" spans="1:24" ht="12.75">
      <c r="A603" s="82"/>
      <c r="B603" s="8"/>
      <c r="C603" s="59"/>
      <c r="D603" s="59"/>
      <c r="E603" s="8"/>
      <c r="F603" s="8"/>
      <c r="G603" s="8"/>
      <c r="H603" s="8"/>
      <c r="I603" s="8"/>
      <c r="J603" s="8"/>
      <c r="K603" s="8"/>
      <c r="L603" s="8"/>
      <c r="M603" s="8"/>
      <c r="N603" s="8"/>
      <c r="O603" s="8"/>
      <c r="P603" s="8"/>
      <c r="Q603" s="8"/>
      <c r="R603" s="8"/>
      <c r="S603" s="8"/>
      <c r="T603" s="8"/>
      <c r="U603" s="8"/>
      <c r="V603" s="8"/>
      <c r="W603" s="8"/>
      <c r="X603" s="8"/>
    </row>
    <row r="604" spans="1:24" ht="12.75">
      <c r="A604" s="82"/>
      <c r="B604" s="8"/>
      <c r="C604" s="59"/>
      <c r="D604" s="59"/>
      <c r="E604" s="8"/>
      <c r="F604" s="8"/>
      <c r="G604" s="8"/>
      <c r="H604" s="8"/>
      <c r="I604" s="8"/>
      <c r="J604" s="8"/>
      <c r="K604" s="8"/>
      <c r="L604" s="8"/>
      <c r="M604" s="8"/>
      <c r="N604" s="8"/>
      <c r="O604" s="8"/>
      <c r="P604" s="8"/>
      <c r="Q604" s="8"/>
      <c r="R604" s="8"/>
      <c r="S604" s="8"/>
      <c r="T604" s="8"/>
      <c r="U604" s="8"/>
      <c r="V604" s="8"/>
      <c r="W604" s="8"/>
      <c r="X604" s="8"/>
    </row>
    <row r="605" spans="1:24" ht="12.75">
      <c r="A605" s="82"/>
      <c r="B605" s="8"/>
      <c r="C605" s="59"/>
      <c r="D605" s="59"/>
      <c r="E605" s="8"/>
      <c r="F605" s="8"/>
      <c r="G605" s="8"/>
      <c r="H605" s="8"/>
      <c r="I605" s="8"/>
      <c r="J605" s="8"/>
      <c r="K605" s="8"/>
      <c r="L605" s="8"/>
      <c r="M605" s="8"/>
      <c r="N605" s="8"/>
      <c r="O605" s="8"/>
      <c r="P605" s="8"/>
      <c r="Q605" s="8"/>
      <c r="R605" s="8"/>
      <c r="S605" s="8"/>
      <c r="T605" s="8"/>
      <c r="U605" s="8"/>
      <c r="V605" s="8"/>
      <c r="W605" s="8"/>
      <c r="X605" s="8"/>
    </row>
    <row r="606" spans="1:24" ht="12.75">
      <c r="A606" s="82"/>
      <c r="B606" s="8"/>
      <c r="C606" s="59"/>
      <c r="D606" s="59"/>
      <c r="E606" s="8"/>
      <c r="F606" s="8"/>
      <c r="G606" s="8"/>
      <c r="H606" s="8"/>
      <c r="I606" s="8"/>
      <c r="J606" s="8"/>
      <c r="K606" s="8"/>
      <c r="L606" s="8"/>
      <c r="M606" s="8"/>
      <c r="N606" s="8"/>
      <c r="O606" s="8"/>
      <c r="P606" s="8"/>
      <c r="Q606" s="8"/>
      <c r="R606" s="8"/>
      <c r="S606" s="8"/>
      <c r="T606" s="8"/>
      <c r="U606" s="8"/>
      <c r="V606" s="8"/>
      <c r="W606" s="8"/>
      <c r="X606" s="8"/>
    </row>
    <row r="607" spans="1:24" ht="12.75">
      <c r="A607" s="82"/>
      <c r="B607" s="8"/>
      <c r="C607" s="59"/>
      <c r="D607" s="59"/>
      <c r="E607" s="8"/>
      <c r="F607" s="8"/>
      <c r="G607" s="8"/>
      <c r="H607" s="8"/>
      <c r="I607" s="8"/>
      <c r="J607" s="8"/>
      <c r="K607" s="8"/>
      <c r="L607" s="8"/>
      <c r="M607" s="8"/>
      <c r="N607" s="8"/>
      <c r="O607" s="8"/>
      <c r="P607" s="8"/>
      <c r="Q607" s="8"/>
      <c r="R607" s="8"/>
      <c r="S607" s="8"/>
      <c r="T607" s="8"/>
      <c r="U607" s="8"/>
      <c r="V607" s="8"/>
      <c r="W607" s="8"/>
      <c r="X607" s="8"/>
    </row>
    <row r="608" spans="1:24" ht="12.75">
      <c r="A608" s="82"/>
      <c r="B608" s="8"/>
      <c r="C608" s="59"/>
      <c r="D608" s="59"/>
      <c r="E608" s="8"/>
      <c r="F608" s="8"/>
      <c r="G608" s="8"/>
      <c r="H608" s="8"/>
      <c r="I608" s="8"/>
      <c r="J608" s="8"/>
      <c r="K608" s="8"/>
      <c r="L608" s="8"/>
      <c r="M608" s="8"/>
      <c r="N608" s="8"/>
      <c r="O608" s="8"/>
      <c r="P608" s="8"/>
      <c r="Q608" s="8"/>
      <c r="R608" s="8"/>
      <c r="S608" s="8"/>
      <c r="T608" s="8"/>
      <c r="U608" s="8"/>
      <c r="V608" s="8"/>
      <c r="W608" s="8"/>
      <c r="X608" s="8"/>
    </row>
    <row r="609" spans="1:24" ht="12.75">
      <c r="A609" s="82"/>
      <c r="B609" s="8"/>
      <c r="C609" s="59"/>
      <c r="D609" s="59"/>
      <c r="E609" s="8"/>
      <c r="F609" s="8"/>
      <c r="G609" s="8"/>
      <c r="H609" s="8"/>
      <c r="I609" s="8"/>
      <c r="J609" s="8"/>
      <c r="K609" s="8"/>
      <c r="L609" s="8"/>
      <c r="M609" s="8"/>
      <c r="N609" s="8"/>
      <c r="O609" s="8"/>
      <c r="P609" s="8"/>
      <c r="Q609" s="8"/>
      <c r="R609" s="8"/>
      <c r="S609" s="8"/>
      <c r="T609" s="8"/>
      <c r="U609" s="8"/>
      <c r="V609" s="8"/>
      <c r="W609" s="8"/>
      <c r="X609" s="8"/>
    </row>
    <row r="610" spans="1:24" ht="12.75">
      <c r="A610" s="82"/>
      <c r="B610" s="8"/>
      <c r="C610" s="59"/>
      <c r="D610" s="59"/>
      <c r="E610" s="8"/>
      <c r="F610" s="8"/>
      <c r="G610" s="8"/>
      <c r="H610" s="8"/>
      <c r="I610" s="8"/>
      <c r="J610" s="8"/>
      <c r="K610" s="8"/>
      <c r="L610" s="8"/>
      <c r="M610" s="8"/>
      <c r="N610" s="8"/>
      <c r="O610" s="8"/>
      <c r="P610" s="8"/>
      <c r="Q610" s="8"/>
      <c r="R610" s="8"/>
      <c r="S610" s="8"/>
      <c r="T610" s="8"/>
      <c r="U610" s="8"/>
      <c r="V610" s="8"/>
      <c r="W610" s="8"/>
      <c r="X610" s="8"/>
    </row>
    <row r="611" spans="1:24" ht="12.75">
      <c r="A611" s="82"/>
      <c r="B611" s="8"/>
      <c r="C611" s="59"/>
      <c r="D611" s="59"/>
      <c r="E611" s="8"/>
      <c r="F611" s="8"/>
      <c r="G611" s="8"/>
      <c r="H611" s="8"/>
      <c r="I611" s="8"/>
      <c r="J611" s="8"/>
      <c r="K611" s="8"/>
      <c r="L611" s="8"/>
      <c r="M611" s="8"/>
      <c r="N611" s="8"/>
      <c r="O611" s="8"/>
      <c r="P611" s="8"/>
      <c r="Q611" s="8"/>
      <c r="R611" s="8"/>
      <c r="S611" s="8"/>
      <c r="T611" s="8"/>
      <c r="U611" s="8"/>
      <c r="V611" s="8"/>
      <c r="W611" s="8"/>
      <c r="X611" s="8"/>
    </row>
    <row r="612" spans="1:24" ht="12.75">
      <c r="A612" s="82"/>
      <c r="B612" s="8"/>
      <c r="C612" s="59"/>
      <c r="D612" s="59"/>
      <c r="E612" s="8"/>
      <c r="F612" s="8"/>
      <c r="G612" s="8"/>
      <c r="H612" s="8"/>
      <c r="I612" s="8"/>
      <c r="J612" s="8"/>
      <c r="K612" s="8"/>
      <c r="L612" s="8"/>
      <c r="M612" s="8"/>
      <c r="N612" s="8"/>
      <c r="O612" s="8"/>
      <c r="P612" s="8"/>
      <c r="Q612" s="8"/>
      <c r="R612" s="8"/>
      <c r="S612" s="8"/>
      <c r="T612" s="8"/>
      <c r="U612" s="8"/>
      <c r="V612" s="8"/>
      <c r="W612" s="8"/>
      <c r="X612" s="8"/>
    </row>
    <row r="613" spans="1:24" ht="12.75">
      <c r="A613" s="82"/>
      <c r="B613" s="8"/>
      <c r="C613" s="59"/>
      <c r="D613" s="59"/>
      <c r="E613" s="8"/>
      <c r="F613" s="8"/>
      <c r="G613" s="8"/>
      <c r="H613" s="8"/>
      <c r="I613" s="8"/>
      <c r="J613" s="8"/>
      <c r="K613" s="8"/>
      <c r="L613" s="8"/>
      <c r="M613" s="8"/>
      <c r="N613" s="8"/>
      <c r="O613" s="8"/>
      <c r="P613" s="8"/>
      <c r="Q613" s="8"/>
      <c r="R613" s="8"/>
      <c r="S613" s="8"/>
      <c r="T613" s="8"/>
      <c r="U613" s="8"/>
      <c r="V613" s="8"/>
      <c r="W613" s="8"/>
      <c r="X613" s="8"/>
    </row>
    <row r="614" spans="1:24" ht="12.75">
      <c r="A614" s="82"/>
      <c r="B614" s="8"/>
      <c r="C614" s="59"/>
      <c r="D614" s="59"/>
      <c r="E614" s="8"/>
      <c r="F614" s="8"/>
      <c r="G614" s="8"/>
      <c r="H614" s="8"/>
      <c r="I614" s="8"/>
      <c r="J614" s="8"/>
      <c r="K614" s="8"/>
      <c r="L614" s="8"/>
      <c r="M614" s="8"/>
      <c r="N614" s="8"/>
      <c r="O614" s="8"/>
      <c r="P614" s="8"/>
      <c r="Q614" s="8"/>
      <c r="R614" s="8"/>
      <c r="S614" s="8"/>
      <c r="T614" s="8"/>
      <c r="U614" s="8"/>
      <c r="V614" s="8"/>
      <c r="W614" s="8"/>
      <c r="X614" s="8"/>
    </row>
    <row r="615" spans="1:24" ht="12.75">
      <c r="A615" s="82"/>
      <c r="B615" s="8"/>
      <c r="C615" s="59"/>
      <c r="D615" s="59"/>
      <c r="E615" s="8"/>
      <c r="F615" s="8"/>
      <c r="G615" s="8"/>
      <c r="H615" s="8"/>
      <c r="I615" s="8"/>
      <c r="J615" s="8"/>
      <c r="K615" s="8"/>
      <c r="L615" s="8"/>
      <c r="M615" s="8"/>
      <c r="N615" s="8"/>
      <c r="O615" s="8"/>
      <c r="P615" s="8"/>
      <c r="Q615" s="8"/>
      <c r="R615" s="8"/>
      <c r="S615" s="8"/>
      <c r="T615" s="8"/>
      <c r="U615" s="8"/>
      <c r="V615" s="8"/>
      <c r="W615" s="8"/>
      <c r="X615" s="8"/>
    </row>
    <row r="616" spans="1:24" ht="12.75">
      <c r="A616" s="82"/>
      <c r="B616" s="8"/>
      <c r="C616" s="59"/>
      <c r="D616" s="59"/>
      <c r="E616" s="8"/>
      <c r="F616" s="8"/>
      <c r="G616" s="8"/>
      <c r="H616" s="8"/>
      <c r="I616" s="8"/>
      <c r="J616" s="8"/>
      <c r="K616" s="8"/>
      <c r="L616" s="8"/>
      <c r="M616" s="8"/>
      <c r="N616" s="8"/>
      <c r="O616" s="8"/>
      <c r="P616" s="8"/>
      <c r="Q616" s="8"/>
      <c r="R616" s="8"/>
      <c r="S616" s="8"/>
      <c r="T616" s="8"/>
      <c r="U616" s="8"/>
      <c r="V616" s="8"/>
      <c r="W616" s="8"/>
      <c r="X616" s="8"/>
    </row>
    <row r="617" spans="1:24" ht="12.75">
      <c r="A617" s="82"/>
      <c r="B617" s="8"/>
      <c r="C617" s="59"/>
      <c r="D617" s="59"/>
      <c r="E617" s="8"/>
      <c r="F617" s="8"/>
      <c r="G617" s="8"/>
      <c r="H617" s="8"/>
      <c r="I617" s="8"/>
      <c r="J617" s="8"/>
      <c r="K617" s="8"/>
      <c r="L617" s="8"/>
      <c r="M617" s="8"/>
      <c r="N617" s="8"/>
      <c r="O617" s="8"/>
      <c r="P617" s="8"/>
      <c r="Q617" s="8"/>
      <c r="R617" s="8"/>
      <c r="S617" s="8"/>
      <c r="T617" s="8"/>
      <c r="U617" s="8"/>
      <c r="V617" s="8"/>
      <c r="W617" s="8"/>
      <c r="X617" s="8"/>
    </row>
    <row r="618" spans="1:24" ht="12.75">
      <c r="A618" s="82"/>
      <c r="B618" s="8"/>
      <c r="C618" s="59"/>
      <c r="D618" s="59"/>
      <c r="E618" s="8"/>
      <c r="F618" s="8"/>
      <c r="G618" s="8"/>
      <c r="H618" s="8"/>
      <c r="I618" s="8"/>
      <c r="J618" s="8"/>
      <c r="K618" s="8"/>
      <c r="L618" s="8"/>
      <c r="M618" s="8"/>
      <c r="N618" s="8"/>
      <c r="O618" s="8"/>
      <c r="P618" s="8"/>
      <c r="Q618" s="8"/>
      <c r="R618" s="8"/>
      <c r="S618" s="8"/>
      <c r="T618" s="8"/>
      <c r="U618" s="8"/>
      <c r="V618" s="8"/>
      <c r="W618" s="8"/>
      <c r="X618" s="8"/>
    </row>
    <row r="619" spans="1:24" ht="12.75">
      <c r="A619" s="82"/>
      <c r="B619" s="8"/>
      <c r="C619" s="59"/>
      <c r="D619" s="59"/>
      <c r="E619" s="8"/>
      <c r="F619" s="8"/>
      <c r="G619" s="8"/>
      <c r="H619" s="8"/>
      <c r="I619" s="8"/>
      <c r="J619" s="8"/>
      <c r="K619" s="8"/>
      <c r="L619" s="8"/>
      <c r="M619" s="8"/>
      <c r="N619" s="8"/>
      <c r="O619" s="8"/>
      <c r="P619" s="8"/>
      <c r="Q619" s="8"/>
      <c r="R619" s="8"/>
      <c r="S619" s="8"/>
      <c r="T619" s="8"/>
      <c r="U619" s="8"/>
      <c r="V619" s="8"/>
      <c r="W619" s="8"/>
      <c r="X619" s="8"/>
    </row>
    <row r="620" spans="1:24" ht="12.75">
      <c r="A620" s="82"/>
      <c r="B620" s="8"/>
      <c r="C620" s="59"/>
      <c r="D620" s="59"/>
      <c r="E620" s="8"/>
      <c r="F620" s="8"/>
      <c r="G620" s="8"/>
      <c r="H620" s="8"/>
      <c r="I620" s="8"/>
      <c r="J620" s="8"/>
      <c r="K620" s="8"/>
      <c r="L620" s="8"/>
      <c r="M620" s="8"/>
      <c r="N620" s="8"/>
      <c r="O620" s="8"/>
      <c r="P620" s="8"/>
      <c r="Q620" s="8"/>
      <c r="R620" s="8"/>
      <c r="S620" s="8"/>
      <c r="T620" s="8"/>
      <c r="U620" s="8"/>
      <c r="V620" s="8"/>
      <c r="W620" s="8"/>
      <c r="X620" s="8"/>
    </row>
    <row r="621" spans="1:24" ht="12.75">
      <c r="A621" s="82"/>
      <c r="B621" s="8"/>
      <c r="C621" s="59"/>
      <c r="D621" s="59"/>
      <c r="E621" s="8"/>
      <c r="F621" s="8"/>
      <c r="G621" s="8"/>
      <c r="H621" s="8"/>
      <c r="I621" s="8"/>
      <c r="J621" s="8"/>
      <c r="K621" s="8"/>
      <c r="L621" s="8"/>
      <c r="M621" s="8"/>
      <c r="N621" s="8"/>
      <c r="O621" s="8"/>
      <c r="P621" s="8"/>
      <c r="Q621" s="8"/>
      <c r="R621" s="8"/>
      <c r="S621" s="8"/>
      <c r="T621" s="8"/>
      <c r="U621" s="8"/>
      <c r="V621" s="8"/>
      <c r="W621" s="8"/>
      <c r="X621" s="8"/>
    </row>
    <row r="622" spans="1:24" ht="12.75">
      <c r="A622" s="82"/>
      <c r="B622" s="8"/>
      <c r="C622" s="59"/>
      <c r="D622" s="59"/>
      <c r="E622" s="8"/>
      <c r="F622" s="8"/>
      <c r="G622" s="8"/>
      <c r="H622" s="8"/>
      <c r="I622" s="8"/>
      <c r="J622" s="8"/>
      <c r="K622" s="8"/>
      <c r="L622" s="8"/>
      <c r="M622" s="8"/>
      <c r="N622" s="8"/>
      <c r="O622" s="8"/>
      <c r="P622" s="8"/>
      <c r="Q622" s="8"/>
      <c r="R622" s="8"/>
      <c r="S622" s="8"/>
      <c r="T622" s="8"/>
      <c r="U622" s="8"/>
      <c r="V622" s="8"/>
      <c r="W622" s="8"/>
      <c r="X622" s="8"/>
    </row>
    <row r="623" spans="1:24" ht="12.75">
      <c r="A623" s="82"/>
      <c r="B623" s="8"/>
      <c r="C623" s="59"/>
      <c r="D623" s="59"/>
      <c r="E623" s="8"/>
      <c r="F623" s="8"/>
      <c r="G623" s="8"/>
      <c r="H623" s="8"/>
      <c r="I623" s="8"/>
      <c r="J623" s="8"/>
      <c r="K623" s="8"/>
      <c r="L623" s="8"/>
      <c r="M623" s="8"/>
      <c r="N623" s="8"/>
      <c r="O623" s="8"/>
      <c r="P623" s="8"/>
      <c r="Q623" s="8"/>
      <c r="R623" s="8"/>
      <c r="S623" s="8"/>
      <c r="T623" s="8"/>
      <c r="U623" s="8"/>
      <c r="V623" s="8"/>
      <c r="W623" s="8"/>
      <c r="X623" s="8"/>
    </row>
    <row r="624" spans="1:24" ht="12.75">
      <c r="A624" s="82"/>
      <c r="B624" s="8"/>
      <c r="C624" s="59"/>
      <c r="D624" s="59"/>
      <c r="E624" s="8"/>
      <c r="F624" s="8"/>
      <c r="G624" s="8"/>
      <c r="H624" s="8"/>
      <c r="I624" s="8"/>
      <c r="J624" s="8"/>
      <c r="K624" s="8"/>
      <c r="L624" s="8"/>
      <c r="M624" s="8"/>
      <c r="N624" s="8"/>
      <c r="O624" s="8"/>
      <c r="P624" s="8"/>
      <c r="Q624" s="8"/>
      <c r="R624" s="8"/>
      <c r="S624" s="8"/>
      <c r="T624" s="8"/>
      <c r="U624" s="8"/>
      <c r="V624" s="8"/>
      <c r="W624" s="8"/>
      <c r="X624" s="8"/>
    </row>
    <row r="625" spans="1:24" ht="12.75">
      <c r="A625" s="82"/>
      <c r="B625" s="8"/>
      <c r="C625" s="59"/>
      <c r="D625" s="59"/>
      <c r="E625" s="8"/>
      <c r="F625" s="8"/>
      <c r="G625" s="8"/>
      <c r="H625" s="8"/>
      <c r="I625" s="8"/>
      <c r="J625" s="8"/>
      <c r="K625" s="8"/>
      <c r="L625" s="8"/>
      <c r="M625" s="8"/>
      <c r="N625" s="8"/>
      <c r="O625" s="8"/>
      <c r="P625" s="8"/>
      <c r="Q625" s="8"/>
      <c r="R625" s="8"/>
      <c r="S625" s="8"/>
      <c r="T625" s="8"/>
      <c r="U625" s="8"/>
      <c r="V625" s="8"/>
      <c r="W625" s="8"/>
      <c r="X625" s="8"/>
    </row>
    <row r="626" spans="1:24" ht="12.75">
      <c r="A626" s="82"/>
      <c r="B626" s="8"/>
      <c r="C626" s="59"/>
      <c r="D626" s="59"/>
      <c r="E626" s="8"/>
      <c r="F626" s="8"/>
      <c r="G626" s="8"/>
      <c r="H626" s="8"/>
      <c r="I626" s="8"/>
      <c r="J626" s="8"/>
      <c r="K626" s="8"/>
      <c r="L626" s="8"/>
      <c r="M626" s="8"/>
      <c r="N626" s="8"/>
      <c r="O626" s="8"/>
      <c r="P626" s="8"/>
      <c r="Q626" s="8"/>
      <c r="R626" s="8"/>
      <c r="S626" s="8"/>
      <c r="T626" s="8"/>
      <c r="U626" s="8"/>
      <c r="V626" s="8"/>
      <c r="W626" s="8"/>
      <c r="X626" s="8"/>
    </row>
    <row r="627" spans="1:24" ht="12.75">
      <c r="A627" s="82"/>
      <c r="B627" s="8"/>
      <c r="C627" s="59"/>
      <c r="D627" s="59"/>
      <c r="E627" s="8"/>
      <c r="F627" s="8"/>
      <c r="G627" s="8"/>
      <c r="H627" s="8"/>
      <c r="I627" s="8"/>
      <c r="J627" s="8"/>
      <c r="K627" s="8"/>
      <c r="L627" s="8"/>
      <c r="M627" s="8"/>
      <c r="N627" s="8"/>
      <c r="O627" s="8"/>
      <c r="P627" s="8"/>
      <c r="Q627" s="8"/>
      <c r="R627" s="8"/>
      <c r="S627" s="8"/>
      <c r="T627" s="8"/>
      <c r="U627" s="8"/>
      <c r="V627" s="8"/>
      <c r="W627" s="8"/>
      <c r="X627" s="8"/>
    </row>
    <row r="628" spans="1:24" ht="12.75">
      <c r="A628" s="82"/>
      <c r="B628" s="8"/>
      <c r="C628" s="59"/>
      <c r="D628" s="59"/>
      <c r="E628" s="8"/>
      <c r="F628" s="8"/>
      <c r="G628" s="8"/>
      <c r="H628" s="8"/>
      <c r="I628" s="8"/>
      <c r="J628" s="8"/>
      <c r="K628" s="8"/>
      <c r="L628" s="8"/>
      <c r="M628" s="8"/>
      <c r="N628" s="8"/>
      <c r="O628" s="8"/>
      <c r="P628" s="8"/>
      <c r="Q628" s="8"/>
      <c r="R628" s="8"/>
      <c r="S628" s="8"/>
      <c r="T628" s="8"/>
      <c r="U628" s="8"/>
      <c r="V628" s="8"/>
      <c r="W628" s="8"/>
      <c r="X628" s="8"/>
    </row>
    <row r="629" spans="1:24" ht="12.75">
      <c r="A629" s="82"/>
      <c r="B629" s="8"/>
      <c r="C629" s="59"/>
      <c r="D629" s="59"/>
      <c r="E629" s="8"/>
      <c r="F629" s="8"/>
      <c r="G629" s="8"/>
      <c r="H629" s="8"/>
      <c r="I629" s="8"/>
      <c r="J629" s="8"/>
      <c r="K629" s="8"/>
      <c r="L629" s="8"/>
      <c r="M629" s="8"/>
      <c r="N629" s="8"/>
      <c r="O629" s="8"/>
      <c r="P629" s="8"/>
      <c r="Q629" s="8"/>
      <c r="R629" s="8"/>
      <c r="S629" s="8"/>
      <c r="T629" s="8"/>
      <c r="U629" s="8"/>
      <c r="V629" s="8"/>
      <c r="W629" s="8"/>
      <c r="X629" s="8"/>
    </row>
    <row r="630" spans="1:24" ht="12.75">
      <c r="A630" s="82"/>
      <c r="B630" s="8"/>
      <c r="C630" s="59"/>
      <c r="D630" s="59"/>
      <c r="E630" s="8"/>
      <c r="F630" s="8"/>
      <c r="G630" s="8"/>
      <c r="H630" s="8"/>
      <c r="I630" s="8"/>
      <c r="J630" s="8"/>
      <c r="K630" s="8"/>
      <c r="L630" s="8"/>
      <c r="M630" s="8"/>
      <c r="N630" s="8"/>
      <c r="O630" s="8"/>
      <c r="P630" s="8"/>
      <c r="Q630" s="8"/>
      <c r="R630" s="8"/>
      <c r="S630" s="8"/>
      <c r="T630" s="8"/>
      <c r="U630" s="8"/>
      <c r="V630" s="8"/>
      <c r="W630" s="8"/>
      <c r="X630" s="8"/>
    </row>
    <row r="631" spans="1:24" ht="12.75">
      <c r="A631" s="82"/>
      <c r="B631" s="8"/>
      <c r="C631" s="59"/>
      <c r="D631" s="59"/>
      <c r="E631" s="8"/>
      <c r="F631" s="8"/>
      <c r="G631" s="8"/>
      <c r="H631" s="8"/>
      <c r="I631" s="8"/>
      <c r="J631" s="8"/>
      <c r="K631" s="8"/>
      <c r="L631" s="8"/>
      <c r="M631" s="8"/>
      <c r="N631" s="8"/>
      <c r="O631" s="8"/>
      <c r="P631" s="8"/>
      <c r="Q631" s="8"/>
      <c r="R631" s="8"/>
      <c r="S631" s="8"/>
      <c r="T631" s="8"/>
      <c r="U631" s="8"/>
      <c r="V631" s="8"/>
      <c r="W631" s="8"/>
      <c r="X631" s="8"/>
    </row>
    <row r="632" spans="1:24" ht="12.75">
      <c r="A632" s="82"/>
      <c r="B632" s="8"/>
      <c r="C632" s="59"/>
      <c r="D632" s="59"/>
      <c r="E632" s="8"/>
      <c r="F632" s="8"/>
      <c r="G632" s="8"/>
      <c r="H632" s="8"/>
      <c r="I632" s="8"/>
      <c r="J632" s="8"/>
      <c r="K632" s="8"/>
      <c r="L632" s="8"/>
      <c r="M632" s="8"/>
      <c r="N632" s="8"/>
      <c r="O632" s="8"/>
      <c r="P632" s="8"/>
      <c r="Q632" s="8"/>
      <c r="R632" s="8"/>
      <c r="S632" s="8"/>
      <c r="T632" s="8"/>
      <c r="U632" s="8"/>
      <c r="V632" s="8"/>
      <c r="W632" s="8"/>
      <c r="X632" s="8"/>
    </row>
    <row r="633" spans="1:24" ht="12.75">
      <c r="A633" s="82"/>
      <c r="B633" s="8"/>
      <c r="C633" s="59"/>
      <c r="D633" s="59"/>
      <c r="E633" s="8"/>
      <c r="F633" s="8"/>
      <c r="G633" s="8"/>
      <c r="H633" s="8"/>
      <c r="I633" s="8"/>
      <c r="J633" s="8"/>
      <c r="K633" s="8"/>
      <c r="L633" s="8"/>
      <c r="M633" s="8"/>
      <c r="N633" s="8"/>
      <c r="O633" s="8"/>
      <c r="P633" s="8"/>
      <c r="Q633" s="8"/>
      <c r="R633" s="8"/>
      <c r="S633" s="8"/>
      <c r="T633" s="8"/>
      <c r="U633" s="8"/>
      <c r="V633" s="8"/>
      <c r="W633" s="8"/>
      <c r="X633" s="8"/>
    </row>
    <row r="634" spans="1:24" ht="12.75">
      <c r="A634" s="82"/>
      <c r="B634" s="8"/>
      <c r="C634" s="59"/>
      <c r="D634" s="59"/>
      <c r="E634" s="8"/>
      <c r="F634" s="8"/>
      <c r="G634" s="8"/>
      <c r="H634" s="8"/>
      <c r="I634" s="8"/>
      <c r="J634" s="8"/>
      <c r="K634" s="8"/>
      <c r="L634" s="8"/>
      <c r="M634" s="8"/>
      <c r="N634" s="8"/>
      <c r="O634" s="8"/>
      <c r="P634" s="8"/>
      <c r="Q634" s="8"/>
      <c r="R634" s="8"/>
      <c r="S634" s="8"/>
      <c r="T634" s="8"/>
      <c r="U634" s="8"/>
      <c r="V634" s="8"/>
      <c r="W634" s="8"/>
      <c r="X634" s="8"/>
    </row>
    <row r="635" spans="1:24" ht="12.75">
      <c r="A635" s="82"/>
      <c r="B635" s="8"/>
      <c r="C635" s="59"/>
      <c r="D635" s="59"/>
      <c r="E635" s="8"/>
      <c r="F635" s="8"/>
      <c r="G635" s="8"/>
      <c r="H635" s="8"/>
      <c r="I635" s="8"/>
      <c r="J635" s="8"/>
      <c r="K635" s="8"/>
      <c r="L635" s="8"/>
      <c r="M635" s="8"/>
      <c r="N635" s="8"/>
      <c r="O635" s="8"/>
      <c r="P635" s="8"/>
      <c r="Q635" s="8"/>
      <c r="R635" s="8"/>
      <c r="S635" s="8"/>
      <c r="T635" s="8"/>
      <c r="U635" s="8"/>
      <c r="V635" s="8"/>
      <c r="W635" s="8"/>
      <c r="X635" s="8"/>
    </row>
    <row r="636" spans="1:24" ht="12.75">
      <c r="A636" s="82"/>
      <c r="B636" s="8"/>
      <c r="C636" s="59"/>
      <c r="D636" s="59"/>
      <c r="E636" s="8"/>
      <c r="F636" s="8"/>
      <c r="G636" s="8"/>
      <c r="H636" s="8"/>
      <c r="I636" s="8"/>
      <c r="J636" s="8"/>
      <c r="K636" s="8"/>
      <c r="L636" s="8"/>
      <c r="M636" s="8"/>
      <c r="N636" s="8"/>
      <c r="O636" s="8"/>
      <c r="P636" s="8"/>
      <c r="Q636" s="8"/>
      <c r="R636" s="8"/>
      <c r="S636" s="8"/>
      <c r="T636" s="8"/>
      <c r="U636" s="8"/>
      <c r="V636" s="8"/>
      <c r="W636" s="8"/>
      <c r="X636" s="8"/>
    </row>
    <row r="637" spans="1:24" ht="12.75">
      <c r="A637" s="82"/>
      <c r="B637" s="8"/>
      <c r="C637" s="59"/>
      <c r="D637" s="59"/>
      <c r="E637" s="8"/>
      <c r="F637" s="8"/>
      <c r="G637" s="8"/>
      <c r="H637" s="8"/>
      <c r="I637" s="8"/>
      <c r="J637" s="8"/>
      <c r="K637" s="8"/>
      <c r="L637" s="8"/>
      <c r="M637" s="8"/>
      <c r="N637" s="8"/>
      <c r="O637" s="8"/>
      <c r="P637" s="8"/>
      <c r="Q637" s="8"/>
      <c r="R637" s="8"/>
      <c r="S637" s="8"/>
      <c r="T637" s="8"/>
      <c r="U637" s="8"/>
      <c r="V637" s="8"/>
      <c r="W637" s="8"/>
      <c r="X637" s="8"/>
    </row>
    <row r="638" spans="1:24" ht="12.75">
      <c r="A638" s="82"/>
      <c r="B638" s="8"/>
      <c r="C638" s="59"/>
      <c r="D638" s="59"/>
      <c r="E638" s="8"/>
      <c r="F638" s="8"/>
      <c r="G638" s="8"/>
      <c r="H638" s="8"/>
      <c r="I638" s="8"/>
      <c r="J638" s="8"/>
      <c r="K638" s="8"/>
      <c r="L638" s="8"/>
      <c r="M638" s="8"/>
      <c r="N638" s="8"/>
      <c r="O638" s="8"/>
      <c r="P638" s="8"/>
      <c r="Q638" s="8"/>
      <c r="R638" s="8"/>
      <c r="S638" s="8"/>
      <c r="T638" s="8"/>
      <c r="U638" s="8"/>
      <c r="V638" s="8"/>
      <c r="W638" s="8"/>
      <c r="X638" s="8"/>
    </row>
    <row r="639" spans="1:24" ht="12.75">
      <c r="A639" s="82"/>
      <c r="B639" s="8"/>
      <c r="C639" s="59"/>
      <c r="D639" s="59"/>
      <c r="E639" s="8"/>
      <c r="F639" s="8"/>
      <c r="G639" s="8"/>
      <c r="H639" s="8"/>
      <c r="I639" s="8"/>
      <c r="J639" s="8"/>
      <c r="K639" s="8"/>
      <c r="L639" s="8"/>
      <c r="M639" s="8"/>
      <c r="N639" s="8"/>
      <c r="O639" s="8"/>
      <c r="P639" s="8"/>
      <c r="Q639" s="8"/>
      <c r="R639" s="8"/>
      <c r="S639" s="8"/>
      <c r="T639" s="8"/>
      <c r="U639" s="8"/>
      <c r="V639" s="8"/>
      <c r="W639" s="8"/>
      <c r="X639" s="8"/>
    </row>
    <row r="640" spans="1:24" ht="12.75">
      <c r="A640" s="82"/>
      <c r="B640" s="8"/>
      <c r="C640" s="59"/>
      <c r="D640" s="59"/>
      <c r="E640" s="8"/>
      <c r="F640" s="8"/>
      <c r="G640" s="8"/>
      <c r="H640" s="8"/>
      <c r="I640" s="8"/>
      <c r="J640" s="8"/>
      <c r="K640" s="8"/>
      <c r="L640" s="8"/>
      <c r="M640" s="8"/>
      <c r="N640" s="8"/>
      <c r="O640" s="8"/>
      <c r="P640" s="8"/>
      <c r="Q640" s="8"/>
      <c r="R640" s="8"/>
      <c r="S640" s="8"/>
      <c r="T640" s="8"/>
      <c r="U640" s="8"/>
      <c r="V640" s="8"/>
      <c r="W640" s="8"/>
      <c r="X640" s="8"/>
    </row>
    <row r="641" spans="1:24" ht="12.75">
      <c r="A641" s="82"/>
      <c r="B641" s="8"/>
      <c r="C641" s="59"/>
      <c r="D641" s="59"/>
      <c r="E641" s="8"/>
      <c r="F641" s="8"/>
      <c r="G641" s="8"/>
      <c r="H641" s="8"/>
      <c r="I641" s="8"/>
      <c r="J641" s="8"/>
      <c r="K641" s="8"/>
      <c r="L641" s="8"/>
      <c r="M641" s="8"/>
      <c r="N641" s="8"/>
      <c r="O641" s="8"/>
      <c r="P641" s="8"/>
      <c r="Q641" s="8"/>
      <c r="R641" s="8"/>
      <c r="S641" s="8"/>
      <c r="T641" s="8"/>
      <c r="U641" s="8"/>
      <c r="V641" s="8"/>
      <c r="W641" s="8"/>
      <c r="X641" s="8"/>
    </row>
    <row r="642" spans="1:24" ht="12.75">
      <c r="A642" s="82"/>
      <c r="B642" s="8"/>
      <c r="C642" s="59"/>
      <c r="D642" s="59"/>
      <c r="E642" s="8"/>
      <c r="F642" s="8"/>
      <c r="G642" s="8"/>
      <c r="H642" s="8"/>
      <c r="I642" s="8"/>
      <c r="J642" s="8"/>
      <c r="K642" s="8"/>
      <c r="L642" s="8"/>
      <c r="M642" s="8"/>
      <c r="N642" s="8"/>
      <c r="O642" s="8"/>
      <c r="P642" s="8"/>
      <c r="Q642" s="8"/>
      <c r="R642" s="8"/>
      <c r="S642" s="8"/>
      <c r="T642" s="8"/>
      <c r="U642" s="8"/>
      <c r="V642" s="8"/>
      <c r="W642" s="8"/>
      <c r="X642" s="8"/>
    </row>
    <row r="643" spans="1:24" ht="12.75">
      <c r="A643" s="82"/>
      <c r="B643" s="8"/>
      <c r="C643" s="59"/>
      <c r="D643" s="59"/>
      <c r="E643" s="8"/>
      <c r="F643" s="8"/>
      <c r="G643" s="8"/>
      <c r="H643" s="8"/>
      <c r="I643" s="8"/>
      <c r="J643" s="8"/>
      <c r="K643" s="8"/>
      <c r="L643" s="8"/>
      <c r="M643" s="8"/>
      <c r="N643" s="8"/>
      <c r="O643" s="8"/>
      <c r="P643" s="8"/>
      <c r="Q643" s="8"/>
      <c r="R643" s="8"/>
      <c r="S643" s="8"/>
      <c r="T643" s="8"/>
      <c r="U643" s="8"/>
      <c r="V643" s="8"/>
      <c r="W643" s="8"/>
      <c r="X643" s="8"/>
    </row>
    <row r="644" spans="1:24" ht="12.75">
      <c r="A644" s="82"/>
      <c r="B644" s="8"/>
      <c r="C644" s="59"/>
      <c r="D644" s="59"/>
      <c r="E644" s="8"/>
      <c r="F644" s="8"/>
      <c r="G644" s="8"/>
      <c r="H644" s="8"/>
      <c r="I644" s="8"/>
      <c r="J644" s="8"/>
      <c r="K644" s="8"/>
      <c r="L644" s="8"/>
      <c r="M644" s="8"/>
      <c r="N644" s="8"/>
      <c r="O644" s="8"/>
      <c r="P644" s="8"/>
      <c r="Q644" s="8"/>
      <c r="R644" s="8"/>
      <c r="S644" s="8"/>
      <c r="T644" s="8"/>
      <c r="U644" s="8"/>
      <c r="V644" s="8"/>
      <c r="W644" s="8"/>
      <c r="X644" s="8"/>
    </row>
    <row r="645" spans="1:24" ht="12.75">
      <c r="A645" s="82"/>
      <c r="B645" s="8"/>
      <c r="C645" s="59"/>
      <c r="D645" s="59"/>
      <c r="E645" s="8"/>
      <c r="F645" s="8"/>
      <c r="G645" s="8"/>
      <c r="H645" s="8"/>
      <c r="I645" s="8"/>
      <c r="J645" s="8"/>
      <c r="K645" s="8"/>
      <c r="L645" s="8"/>
      <c r="M645" s="8"/>
      <c r="N645" s="8"/>
      <c r="O645" s="8"/>
      <c r="P645" s="8"/>
      <c r="Q645" s="8"/>
      <c r="R645" s="8"/>
      <c r="S645" s="8"/>
      <c r="T645" s="8"/>
      <c r="U645" s="8"/>
      <c r="V645" s="8"/>
      <c r="W645" s="8"/>
      <c r="X645" s="8"/>
    </row>
    <row r="646" spans="1:24" ht="12.75">
      <c r="A646" s="82"/>
      <c r="B646" s="8"/>
      <c r="C646" s="59"/>
      <c r="D646" s="59"/>
      <c r="E646" s="8"/>
      <c r="F646" s="8"/>
      <c r="G646" s="8"/>
      <c r="H646" s="8"/>
      <c r="I646" s="8"/>
      <c r="J646" s="8"/>
      <c r="K646" s="8"/>
      <c r="L646" s="8"/>
      <c r="M646" s="8"/>
      <c r="N646" s="8"/>
      <c r="O646" s="8"/>
      <c r="P646" s="8"/>
      <c r="Q646" s="8"/>
      <c r="R646" s="8"/>
      <c r="S646" s="8"/>
      <c r="T646" s="8"/>
      <c r="U646" s="8"/>
      <c r="V646" s="8"/>
      <c r="W646" s="8"/>
      <c r="X646" s="8"/>
    </row>
    <row r="647" spans="1:24" ht="12.75">
      <c r="A647" s="82"/>
      <c r="B647" s="8"/>
      <c r="C647" s="59"/>
      <c r="D647" s="59"/>
      <c r="E647" s="8"/>
      <c r="F647" s="8"/>
      <c r="G647" s="8"/>
      <c r="H647" s="8"/>
      <c r="I647" s="8"/>
      <c r="J647" s="8"/>
      <c r="K647" s="8"/>
      <c r="L647" s="8"/>
      <c r="M647" s="8"/>
      <c r="N647" s="8"/>
      <c r="O647" s="8"/>
      <c r="P647" s="8"/>
      <c r="Q647" s="8"/>
      <c r="R647" s="8"/>
      <c r="S647" s="8"/>
      <c r="T647" s="8"/>
      <c r="U647" s="8"/>
      <c r="V647" s="8"/>
      <c r="W647" s="8"/>
      <c r="X647" s="8"/>
    </row>
    <row r="648" spans="1:24" ht="12.75">
      <c r="A648" s="82"/>
      <c r="B648" s="8"/>
      <c r="C648" s="59"/>
      <c r="D648" s="59"/>
      <c r="E648" s="8"/>
      <c r="F648" s="8"/>
      <c r="G648" s="8"/>
      <c r="H648" s="8"/>
      <c r="I648" s="8"/>
      <c r="J648" s="8"/>
      <c r="K648" s="8"/>
      <c r="L648" s="8"/>
      <c r="M648" s="8"/>
      <c r="N648" s="8"/>
      <c r="O648" s="8"/>
      <c r="P648" s="8"/>
      <c r="Q648" s="8"/>
      <c r="R648" s="8"/>
      <c r="S648" s="8"/>
      <c r="T648" s="8"/>
      <c r="U648" s="8"/>
      <c r="V648" s="8"/>
      <c r="W648" s="8"/>
      <c r="X648" s="8"/>
    </row>
    <row r="649" spans="1:24" ht="12.75">
      <c r="A649" s="82"/>
      <c r="B649" s="8"/>
      <c r="C649" s="59"/>
      <c r="D649" s="59"/>
      <c r="E649" s="8"/>
      <c r="F649" s="8"/>
      <c r="G649" s="8"/>
      <c r="H649" s="8"/>
      <c r="I649" s="8"/>
      <c r="J649" s="8"/>
      <c r="K649" s="8"/>
      <c r="L649" s="8"/>
      <c r="M649" s="8"/>
      <c r="N649" s="8"/>
      <c r="O649" s="8"/>
      <c r="P649" s="8"/>
      <c r="Q649" s="8"/>
      <c r="R649" s="8"/>
      <c r="S649" s="8"/>
      <c r="T649" s="8"/>
      <c r="U649" s="8"/>
      <c r="V649" s="8"/>
      <c r="W649" s="8"/>
      <c r="X649" s="8"/>
    </row>
    <row r="650" spans="1:24" ht="12.75">
      <c r="A650" s="82"/>
      <c r="B650" s="8"/>
      <c r="C650" s="59"/>
      <c r="D650" s="59"/>
      <c r="E650" s="8"/>
      <c r="F650" s="8"/>
      <c r="G650" s="8"/>
      <c r="H650" s="8"/>
      <c r="I650" s="8"/>
      <c r="J650" s="8"/>
      <c r="K650" s="8"/>
      <c r="L650" s="8"/>
      <c r="M650" s="8"/>
      <c r="N650" s="8"/>
      <c r="O650" s="8"/>
      <c r="P650" s="8"/>
      <c r="Q650" s="8"/>
      <c r="R650" s="8"/>
      <c r="S650" s="8"/>
      <c r="T650" s="8"/>
      <c r="U650" s="8"/>
      <c r="V650" s="8"/>
      <c r="W650" s="8"/>
      <c r="X650" s="8"/>
    </row>
    <row r="651" spans="1:24" ht="12.75">
      <c r="A651" s="82"/>
      <c r="B651" s="8"/>
      <c r="C651" s="59"/>
      <c r="D651" s="59"/>
      <c r="E651" s="8"/>
      <c r="F651" s="8"/>
      <c r="G651" s="8"/>
      <c r="H651" s="8"/>
      <c r="I651" s="8"/>
      <c r="J651" s="8"/>
      <c r="K651" s="8"/>
      <c r="L651" s="8"/>
      <c r="M651" s="8"/>
      <c r="N651" s="8"/>
      <c r="O651" s="8"/>
      <c r="P651" s="8"/>
      <c r="Q651" s="8"/>
      <c r="R651" s="8"/>
      <c r="S651" s="8"/>
      <c r="T651" s="8"/>
      <c r="U651" s="8"/>
      <c r="V651" s="8"/>
      <c r="W651" s="8"/>
      <c r="X651" s="8"/>
    </row>
    <row r="652" spans="1:24" ht="12.75">
      <c r="A652" s="82"/>
      <c r="B652" s="8"/>
      <c r="C652" s="59"/>
      <c r="D652" s="59"/>
      <c r="E652" s="8"/>
      <c r="F652" s="8"/>
      <c r="G652" s="8"/>
      <c r="H652" s="8"/>
      <c r="I652" s="8"/>
      <c r="J652" s="8"/>
      <c r="K652" s="8"/>
      <c r="L652" s="8"/>
      <c r="M652" s="8"/>
      <c r="N652" s="8"/>
      <c r="O652" s="8"/>
      <c r="P652" s="8"/>
      <c r="Q652" s="8"/>
      <c r="R652" s="8"/>
      <c r="S652" s="8"/>
      <c r="T652" s="8"/>
      <c r="U652" s="8"/>
      <c r="V652" s="8"/>
      <c r="W652" s="8"/>
      <c r="X652" s="8"/>
    </row>
    <row r="653" spans="1:24" ht="12.75">
      <c r="A653" s="82"/>
      <c r="B653" s="8"/>
      <c r="C653" s="59"/>
      <c r="D653" s="59"/>
      <c r="E653" s="8"/>
      <c r="F653" s="8"/>
      <c r="G653" s="8"/>
      <c r="H653" s="8"/>
      <c r="I653" s="8"/>
      <c r="J653" s="8"/>
      <c r="K653" s="8"/>
      <c r="L653" s="8"/>
      <c r="M653" s="8"/>
      <c r="N653" s="8"/>
      <c r="O653" s="8"/>
      <c r="P653" s="8"/>
      <c r="Q653" s="8"/>
      <c r="R653" s="8"/>
      <c r="S653" s="8"/>
      <c r="T653" s="8"/>
      <c r="U653" s="8"/>
      <c r="V653" s="8"/>
      <c r="W653" s="8"/>
      <c r="X653" s="8"/>
    </row>
    <row r="654" spans="1:24" ht="12.75">
      <c r="A654" s="82"/>
      <c r="B654" s="8"/>
      <c r="C654" s="59"/>
      <c r="D654" s="59"/>
      <c r="E654" s="8"/>
      <c r="F654" s="8"/>
      <c r="G654" s="8"/>
      <c r="H654" s="8"/>
      <c r="I654" s="8"/>
      <c r="J654" s="8"/>
      <c r="K654" s="8"/>
      <c r="L654" s="8"/>
      <c r="M654" s="8"/>
      <c r="N654" s="8"/>
      <c r="O654" s="8"/>
      <c r="P654" s="8"/>
      <c r="Q654" s="8"/>
      <c r="R654" s="8"/>
      <c r="S654" s="8"/>
      <c r="T654" s="8"/>
      <c r="U654" s="8"/>
      <c r="V654" s="8"/>
      <c r="W654" s="8"/>
      <c r="X654" s="8"/>
    </row>
    <row r="655" spans="1:24" ht="12.75">
      <c r="A655" s="82"/>
      <c r="B655" s="8"/>
      <c r="C655" s="59"/>
      <c r="D655" s="59"/>
      <c r="E655" s="8"/>
      <c r="F655" s="8"/>
      <c r="G655" s="8"/>
      <c r="H655" s="8"/>
      <c r="I655" s="8"/>
      <c r="J655" s="8"/>
      <c r="K655" s="8"/>
      <c r="L655" s="8"/>
      <c r="M655" s="8"/>
      <c r="N655" s="8"/>
      <c r="O655" s="8"/>
      <c r="P655" s="8"/>
      <c r="Q655" s="8"/>
      <c r="R655" s="8"/>
      <c r="S655" s="8"/>
      <c r="T655" s="8"/>
      <c r="U655" s="8"/>
      <c r="V655" s="8"/>
      <c r="W655" s="8"/>
      <c r="X655" s="8"/>
    </row>
    <row r="656" spans="1:24" ht="12.75">
      <c r="A656" s="82"/>
      <c r="B656" s="8"/>
      <c r="C656" s="59"/>
      <c r="D656" s="59"/>
      <c r="E656" s="8"/>
      <c r="F656" s="8"/>
      <c r="G656" s="8"/>
      <c r="H656" s="8"/>
      <c r="I656" s="8"/>
      <c r="J656" s="8"/>
      <c r="K656" s="8"/>
      <c r="L656" s="8"/>
      <c r="M656" s="8"/>
      <c r="N656" s="8"/>
      <c r="O656" s="8"/>
      <c r="P656" s="8"/>
      <c r="Q656" s="8"/>
      <c r="R656" s="8"/>
      <c r="S656" s="8"/>
      <c r="T656" s="8"/>
      <c r="U656" s="8"/>
      <c r="V656" s="8"/>
      <c r="W656" s="8"/>
      <c r="X656" s="8"/>
    </row>
    <row r="657" spans="1:24" ht="12.75">
      <c r="A657" s="82"/>
      <c r="B657" s="8"/>
      <c r="C657" s="59"/>
      <c r="D657" s="59"/>
      <c r="E657" s="8"/>
      <c r="F657" s="8"/>
      <c r="G657" s="8"/>
      <c r="H657" s="8"/>
      <c r="I657" s="8"/>
      <c r="J657" s="8"/>
      <c r="K657" s="8"/>
      <c r="L657" s="8"/>
      <c r="M657" s="8"/>
      <c r="N657" s="8"/>
      <c r="O657" s="8"/>
      <c r="P657" s="8"/>
      <c r="Q657" s="8"/>
      <c r="R657" s="8"/>
      <c r="S657" s="8"/>
      <c r="T657" s="8"/>
      <c r="U657" s="8"/>
      <c r="V657" s="8"/>
      <c r="W657" s="8"/>
      <c r="X657" s="8"/>
    </row>
    <row r="658" spans="1:24" ht="12.75">
      <c r="A658" s="82"/>
      <c r="B658" s="8"/>
      <c r="C658" s="59"/>
      <c r="D658" s="59"/>
      <c r="E658" s="8"/>
      <c r="F658" s="8"/>
      <c r="G658" s="8"/>
      <c r="H658" s="8"/>
      <c r="I658" s="8"/>
      <c r="J658" s="8"/>
      <c r="K658" s="8"/>
      <c r="L658" s="8"/>
      <c r="M658" s="8"/>
      <c r="N658" s="8"/>
      <c r="O658" s="8"/>
      <c r="P658" s="8"/>
      <c r="Q658" s="8"/>
      <c r="R658" s="8"/>
      <c r="S658" s="8"/>
      <c r="T658" s="8"/>
      <c r="U658" s="8"/>
      <c r="V658" s="8"/>
      <c r="W658" s="8"/>
      <c r="X658" s="8"/>
    </row>
    <row r="659" spans="1:24" ht="12.75">
      <c r="A659" s="82"/>
      <c r="B659" s="8"/>
      <c r="C659" s="59"/>
      <c r="D659" s="59"/>
      <c r="E659" s="8"/>
      <c r="F659" s="8"/>
      <c r="G659" s="8"/>
      <c r="H659" s="8"/>
      <c r="I659" s="8"/>
      <c r="J659" s="8"/>
      <c r="K659" s="8"/>
      <c r="L659" s="8"/>
      <c r="M659" s="8"/>
      <c r="N659" s="8"/>
      <c r="O659" s="8"/>
      <c r="P659" s="8"/>
      <c r="Q659" s="8"/>
      <c r="R659" s="8"/>
      <c r="S659" s="8"/>
      <c r="T659" s="8"/>
      <c r="U659" s="8"/>
      <c r="V659" s="8"/>
      <c r="W659" s="8"/>
      <c r="X659" s="8"/>
    </row>
    <row r="660" spans="1:24" ht="12.75">
      <c r="A660" s="82"/>
      <c r="B660" s="8"/>
      <c r="C660" s="59"/>
      <c r="D660" s="59"/>
      <c r="E660" s="8"/>
      <c r="F660" s="8"/>
      <c r="G660" s="8"/>
      <c r="H660" s="8"/>
      <c r="I660" s="8"/>
      <c r="J660" s="8"/>
      <c r="K660" s="8"/>
      <c r="L660" s="8"/>
      <c r="M660" s="8"/>
      <c r="N660" s="8"/>
      <c r="O660" s="8"/>
      <c r="P660" s="8"/>
      <c r="Q660" s="8"/>
      <c r="R660" s="8"/>
      <c r="S660" s="8"/>
      <c r="T660" s="8"/>
      <c r="U660" s="8"/>
      <c r="V660" s="8"/>
      <c r="W660" s="8"/>
      <c r="X660" s="8"/>
    </row>
    <row r="661" spans="1:24" ht="12.75">
      <c r="A661" s="82"/>
      <c r="B661" s="8"/>
      <c r="C661" s="59"/>
      <c r="D661" s="59"/>
      <c r="E661" s="8"/>
      <c r="F661" s="8"/>
      <c r="G661" s="8"/>
      <c r="H661" s="8"/>
      <c r="I661" s="8"/>
      <c r="J661" s="8"/>
      <c r="K661" s="8"/>
      <c r="L661" s="8"/>
      <c r="M661" s="8"/>
      <c r="N661" s="8"/>
      <c r="O661" s="8"/>
      <c r="P661" s="8"/>
      <c r="Q661" s="8"/>
      <c r="R661" s="8"/>
      <c r="S661" s="8"/>
      <c r="T661" s="8"/>
      <c r="U661" s="8"/>
      <c r="V661" s="8"/>
      <c r="W661" s="8"/>
      <c r="X661" s="8"/>
    </row>
    <row r="662" spans="1:24" ht="12.75">
      <c r="A662" s="82"/>
      <c r="B662" s="8"/>
      <c r="C662" s="59"/>
      <c r="D662" s="59"/>
      <c r="E662" s="8"/>
      <c r="F662" s="8"/>
      <c r="G662" s="8"/>
      <c r="H662" s="8"/>
      <c r="I662" s="8"/>
      <c r="J662" s="8"/>
      <c r="K662" s="8"/>
      <c r="L662" s="8"/>
      <c r="M662" s="8"/>
      <c r="N662" s="8"/>
      <c r="O662" s="8"/>
      <c r="P662" s="8"/>
      <c r="Q662" s="8"/>
      <c r="R662" s="8"/>
      <c r="S662" s="8"/>
      <c r="T662" s="8"/>
      <c r="U662" s="8"/>
      <c r="V662" s="8"/>
      <c r="W662" s="8"/>
      <c r="X662" s="8"/>
    </row>
    <row r="663" spans="1:24" ht="12.75">
      <c r="A663" s="82"/>
      <c r="B663" s="8"/>
      <c r="C663" s="59"/>
      <c r="D663" s="59"/>
      <c r="E663" s="8"/>
      <c r="F663" s="8"/>
      <c r="G663" s="8"/>
      <c r="H663" s="8"/>
      <c r="I663" s="8"/>
      <c r="J663" s="8"/>
      <c r="K663" s="8"/>
      <c r="L663" s="8"/>
      <c r="M663" s="8"/>
      <c r="N663" s="8"/>
      <c r="O663" s="8"/>
      <c r="P663" s="8"/>
      <c r="Q663" s="8"/>
      <c r="R663" s="8"/>
      <c r="S663" s="8"/>
      <c r="T663" s="8"/>
      <c r="U663" s="8"/>
      <c r="V663" s="8"/>
      <c r="W663" s="8"/>
      <c r="X663" s="8"/>
    </row>
    <row r="664" spans="1:24" ht="12.75">
      <c r="A664" s="82"/>
      <c r="B664" s="8"/>
      <c r="C664" s="59"/>
      <c r="D664" s="59"/>
      <c r="E664" s="8"/>
      <c r="F664" s="8"/>
      <c r="G664" s="8"/>
      <c r="H664" s="8"/>
      <c r="I664" s="8"/>
      <c r="J664" s="8"/>
      <c r="K664" s="8"/>
      <c r="L664" s="8"/>
      <c r="M664" s="8"/>
      <c r="N664" s="8"/>
      <c r="O664" s="8"/>
      <c r="P664" s="8"/>
      <c r="Q664" s="8"/>
      <c r="R664" s="8"/>
      <c r="S664" s="8"/>
      <c r="T664" s="8"/>
      <c r="U664" s="8"/>
      <c r="V664" s="8"/>
      <c r="W664" s="8"/>
      <c r="X664" s="8"/>
    </row>
    <row r="665" spans="1:24" ht="12.75">
      <c r="A665" s="82"/>
      <c r="B665" s="8"/>
      <c r="C665" s="59"/>
      <c r="D665" s="59"/>
      <c r="E665" s="8"/>
      <c r="F665" s="8"/>
      <c r="G665" s="8"/>
      <c r="H665" s="8"/>
      <c r="I665" s="8"/>
      <c r="J665" s="8"/>
      <c r="K665" s="8"/>
      <c r="L665" s="8"/>
      <c r="M665" s="8"/>
      <c r="N665" s="8"/>
      <c r="O665" s="8"/>
      <c r="P665" s="8"/>
      <c r="Q665" s="8"/>
      <c r="R665" s="8"/>
      <c r="S665" s="8"/>
      <c r="T665" s="8"/>
      <c r="U665" s="8"/>
      <c r="V665" s="8"/>
      <c r="W665" s="8"/>
      <c r="X665" s="8"/>
    </row>
    <row r="666" spans="1:24" ht="12.75">
      <c r="A666" s="82"/>
      <c r="B666" s="8"/>
      <c r="C666" s="59"/>
      <c r="D666" s="59"/>
      <c r="E666" s="8"/>
      <c r="F666" s="8"/>
      <c r="G666" s="8"/>
      <c r="H666" s="8"/>
      <c r="I666" s="8"/>
      <c r="J666" s="8"/>
      <c r="K666" s="8"/>
      <c r="L666" s="8"/>
      <c r="M666" s="8"/>
      <c r="N666" s="8"/>
      <c r="O666" s="8"/>
      <c r="P666" s="8"/>
      <c r="Q666" s="8"/>
      <c r="R666" s="8"/>
      <c r="S666" s="8"/>
      <c r="T666" s="8"/>
      <c r="U666" s="8"/>
      <c r="V666" s="8"/>
      <c r="W666" s="8"/>
      <c r="X666" s="8"/>
    </row>
    <row r="667" spans="1:24" ht="12.75">
      <c r="A667" s="82"/>
      <c r="B667" s="8"/>
      <c r="C667" s="59"/>
      <c r="D667" s="59"/>
      <c r="E667" s="8"/>
      <c r="F667" s="8"/>
      <c r="G667" s="8"/>
      <c r="H667" s="8"/>
      <c r="I667" s="8"/>
      <c r="J667" s="8"/>
      <c r="K667" s="8"/>
      <c r="L667" s="8"/>
      <c r="M667" s="8"/>
      <c r="N667" s="8"/>
      <c r="O667" s="8"/>
      <c r="P667" s="8"/>
      <c r="Q667" s="8"/>
      <c r="R667" s="8"/>
      <c r="S667" s="8"/>
      <c r="T667" s="8"/>
      <c r="U667" s="8"/>
      <c r="V667" s="8"/>
      <c r="W667" s="8"/>
      <c r="X667" s="8"/>
    </row>
    <row r="668" spans="1:24" ht="12.75">
      <c r="A668" s="82"/>
      <c r="B668" s="8"/>
      <c r="C668" s="59"/>
      <c r="D668" s="59"/>
      <c r="E668" s="8"/>
      <c r="F668" s="8"/>
      <c r="G668" s="8"/>
      <c r="H668" s="8"/>
      <c r="I668" s="8"/>
      <c r="J668" s="8"/>
      <c r="K668" s="8"/>
      <c r="L668" s="8"/>
      <c r="M668" s="8"/>
      <c r="N668" s="8"/>
      <c r="O668" s="8"/>
      <c r="P668" s="8"/>
      <c r="Q668" s="8"/>
      <c r="R668" s="8"/>
      <c r="S668" s="8"/>
      <c r="T668" s="8"/>
      <c r="U668" s="8"/>
      <c r="V668" s="8"/>
      <c r="W668" s="8"/>
      <c r="X668" s="8"/>
    </row>
    <row r="669" spans="1:24" ht="12.75">
      <c r="A669" s="82"/>
      <c r="B669" s="8"/>
      <c r="C669" s="59"/>
      <c r="D669" s="59"/>
      <c r="E669" s="8"/>
      <c r="F669" s="8"/>
      <c r="G669" s="8"/>
      <c r="H669" s="8"/>
      <c r="I669" s="8"/>
      <c r="J669" s="8"/>
      <c r="K669" s="8"/>
      <c r="L669" s="8"/>
      <c r="M669" s="8"/>
      <c r="N669" s="8"/>
      <c r="O669" s="8"/>
      <c r="P669" s="8"/>
      <c r="Q669" s="8"/>
      <c r="R669" s="8"/>
      <c r="S669" s="8"/>
      <c r="T669" s="8"/>
      <c r="U669" s="8"/>
      <c r="V669" s="8"/>
      <c r="W669" s="8"/>
      <c r="X669" s="8"/>
    </row>
    <row r="670" spans="1:24" ht="12.75">
      <c r="A670" s="82"/>
      <c r="B670" s="8"/>
      <c r="C670" s="59"/>
      <c r="D670" s="59"/>
      <c r="E670" s="8"/>
      <c r="F670" s="8"/>
      <c r="G670" s="8"/>
      <c r="H670" s="8"/>
      <c r="I670" s="8"/>
      <c r="J670" s="8"/>
      <c r="K670" s="8"/>
      <c r="L670" s="8"/>
      <c r="M670" s="8"/>
      <c r="N670" s="8"/>
      <c r="O670" s="8"/>
      <c r="P670" s="8"/>
      <c r="Q670" s="8"/>
      <c r="R670" s="8"/>
      <c r="S670" s="8"/>
      <c r="T670" s="8"/>
      <c r="U670" s="8"/>
      <c r="V670" s="8"/>
      <c r="W670" s="8"/>
      <c r="X670" s="8"/>
    </row>
    <row r="671" spans="1:24" ht="12.75">
      <c r="A671" s="82"/>
      <c r="B671" s="8"/>
      <c r="C671" s="59"/>
      <c r="D671" s="59"/>
      <c r="E671" s="8"/>
      <c r="F671" s="8"/>
      <c r="G671" s="8"/>
      <c r="H671" s="8"/>
      <c r="I671" s="8"/>
      <c r="J671" s="8"/>
      <c r="K671" s="8"/>
      <c r="L671" s="8"/>
      <c r="M671" s="8"/>
      <c r="N671" s="8"/>
      <c r="O671" s="8"/>
      <c r="P671" s="8"/>
      <c r="Q671" s="8"/>
      <c r="R671" s="8"/>
      <c r="S671" s="8"/>
      <c r="T671" s="8"/>
      <c r="U671" s="8"/>
      <c r="V671" s="8"/>
      <c r="W671" s="8"/>
      <c r="X671" s="8"/>
    </row>
    <row r="672" spans="1:24" ht="12.75">
      <c r="A672" s="82"/>
      <c r="B672" s="8"/>
      <c r="C672" s="59"/>
      <c r="D672" s="59"/>
      <c r="E672" s="8"/>
      <c r="F672" s="8"/>
      <c r="G672" s="8"/>
      <c r="H672" s="8"/>
      <c r="I672" s="8"/>
      <c r="J672" s="8"/>
      <c r="K672" s="8"/>
      <c r="L672" s="8"/>
      <c r="M672" s="8"/>
      <c r="N672" s="8"/>
      <c r="O672" s="8"/>
      <c r="P672" s="8"/>
      <c r="Q672" s="8"/>
      <c r="R672" s="8"/>
      <c r="S672" s="8"/>
      <c r="T672" s="8"/>
      <c r="U672" s="8"/>
      <c r="V672" s="8"/>
      <c r="W672" s="8"/>
      <c r="X672" s="8"/>
    </row>
    <row r="673" spans="1:24" ht="12.75">
      <c r="A673" s="82"/>
      <c r="B673" s="8"/>
      <c r="C673" s="59"/>
      <c r="D673" s="59"/>
      <c r="E673" s="8"/>
      <c r="F673" s="8"/>
      <c r="G673" s="8"/>
      <c r="H673" s="8"/>
      <c r="I673" s="8"/>
      <c r="J673" s="8"/>
      <c r="K673" s="8"/>
      <c r="L673" s="8"/>
      <c r="M673" s="8"/>
      <c r="N673" s="8"/>
      <c r="O673" s="8"/>
      <c r="P673" s="8"/>
      <c r="Q673" s="8"/>
      <c r="R673" s="8"/>
      <c r="S673" s="8"/>
      <c r="T673" s="8"/>
      <c r="U673" s="8"/>
      <c r="V673" s="8"/>
      <c r="W673" s="8"/>
      <c r="X673" s="8"/>
    </row>
    <row r="674" spans="1:24" ht="12.75">
      <c r="A674" s="82"/>
      <c r="B674" s="8"/>
      <c r="C674" s="59"/>
      <c r="D674" s="59"/>
      <c r="E674" s="8"/>
      <c r="F674" s="8"/>
      <c r="G674" s="8"/>
      <c r="H674" s="8"/>
      <c r="I674" s="8"/>
      <c r="J674" s="8"/>
      <c r="K674" s="8"/>
      <c r="L674" s="8"/>
      <c r="M674" s="8"/>
      <c r="N674" s="8"/>
      <c r="O674" s="8"/>
      <c r="P674" s="8"/>
      <c r="Q674" s="8"/>
      <c r="R674" s="8"/>
      <c r="S674" s="8"/>
      <c r="T674" s="8"/>
      <c r="U674" s="8"/>
      <c r="V674" s="8"/>
      <c r="W674" s="8"/>
      <c r="X674" s="8"/>
    </row>
    <row r="675" spans="1:24" ht="12.75">
      <c r="A675" s="82"/>
      <c r="B675" s="8"/>
      <c r="C675" s="59"/>
      <c r="D675" s="59"/>
      <c r="E675" s="8"/>
      <c r="F675" s="8"/>
      <c r="G675" s="8"/>
      <c r="H675" s="8"/>
      <c r="I675" s="8"/>
      <c r="J675" s="8"/>
      <c r="K675" s="8"/>
      <c r="L675" s="8"/>
      <c r="M675" s="8"/>
      <c r="N675" s="8"/>
      <c r="O675" s="8"/>
      <c r="P675" s="8"/>
      <c r="Q675" s="8"/>
      <c r="R675" s="8"/>
      <c r="S675" s="8"/>
      <c r="T675" s="8"/>
      <c r="U675" s="8"/>
      <c r="V675" s="8"/>
      <c r="W675" s="8"/>
      <c r="X675" s="8"/>
    </row>
    <row r="676" spans="1:24" ht="12.75">
      <c r="A676" s="82"/>
      <c r="B676" s="8"/>
      <c r="C676" s="59"/>
      <c r="D676" s="59"/>
      <c r="E676" s="8"/>
      <c r="F676" s="8"/>
      <c r="G676" s="8"/>
      <c r="H676" s="8"/>
      <c r="I676" s="8"/>
      <c r="J676" s="8"/>
      <c r="K676" s="8"/>
      <c r="L676" s="8"/>
      <c r="M676" s="8"/>
      <c r="N676" s="8"/>
      <c r="O676" s="8"/>
      <c r="P676" s="8"/>
      <c r="Q676" s="8"/>
      <c r="R676" s="8"/>
      <c r="S676" s="8"/>
      <c r="T676" s="8"/>
      <c r="U676" s="8"/>
      <c r="V676" s="8"/>
      <c r="W676" s="8"/>
      <c r="X676" s="8"/>
    </row>
    <row r="677" spans="1:24" ht="12.75">
      <c r="A677" s="82"/>
      <c r="B677" s="8"/>
      <c r="C677" s="59"/>
      <c r="D677" s="59"/>
      <c r="E677" s="8"/>
      <c r="F677" s="8"/>
      <c r="G677" s="8"/>
      <c r="H677" s="8"/>
      <c r="I677" s="8"/>
      <c r="J677" s="8"/>
      <c r="K677" s="8"/>
      <c r="L677" s="8"/>
      <c r="M677" s="8"/>
      <c r="N677" s="8"/>
      <c r="O677" s="8"/>
      <c r="P677" s="8"/>
      <c r="Q677" s="8"/>
      <c r="R677" s="8"/>
      <c r="S677" s="8"/>
      <c r="T677" s="8"/>
      <c r="U677" s="8"/>
      <c r="V677" s="8"/>
      <c r="W677" s="8"/>
      <c r="X677" s="8"/>
    </row>
    <row r="678" spans="1:24" ht="12.75">
      <c r="A678" s="82"/>
      <c r="B678" s="8"/>
      <c r="C678" s="59"/>
      <c r="D678" s="59"/>
      <c r="E678" s="8"/>
      <c r="F678" s="8"/>
      <c r="G678" s="8"/>
      <c r="H678" s="8"/>
      <c r="I678" s="8"/>
      <c r="J678" s="8"/>
      <c r="K678" s="8"/>
      <c r="L678" s="8"/>
      <c r="M678" s="8"/>
      <c r="N678" s="8"/>
      <c r="O678" s="8"/>
      <c r="P678" s="8"/>
      <c r="Q678" s="8"/>
      <c r="R678" s="8"/>
      <c r="S678" s="8"/>
      <c r="T678" s="8"/>
      <c r="U678" s="8"/>
      <c r="V678" s="8"/>
      <c r="W678" s="8"/>
      <c r="X678" s="8"/>
    </row>
    <row r="679" spans="1:24" ht="12.75">
      <c r="A679" s="82"/>
      <c r="B679" s="8"/>
      <c r="C679" s="59"/>
      <c r="D679" s="59"/>
      <c r="E679" s="8"/>
      <c r="F679" s="8"/>
      <c r="G679" s="8"/>
      <c r="H679" s="8"/>
      <c r="I679" s="8"/>
      <c r="J679" s="8"/>
      <c r="K679" s="8"/>
      <c r="L679" s="8"/>
      <c r="M679" s="8"/>
      <c r="N679" s="8"/>
      <c r="O679" s="8"/>
      <c r="P679" s="8"/>
      <c r="Q679" s="8"/>
      <c r="R679" s="8"/>
      <c r="S679" s="8"/>
      <c r="T679" s="8"/>
      <c r="U679" s="8"/>
      <c r="V679" s="8"/>
      <c r="W679" s="8"/>
      <c r="X679" s="8"/>
    </row>
    <row r="680" spans="1:24" ht="12.75">
      <c r="A680" s="82"/>
      <c r="B680" s="8"/>
      <c r="C680" s="59"/>
      <c r="D680" s="59"/>
      <c r="E680" s="8"/>
      <c r="F680" s="8"/>
      <c r="G680" s="8"/>
      <c r="H680" s="8"/>
      <c r="I680" s="8"/>
      <c r="J680" s="8"/>
      <c r="K680" s="8"/>
      <c r="L680" s="8"/>
      <c r="M680" s="8"/>
      <c r="N680" s="8"/>
      <c r="O680" s="8"/>
      <c r="P680" s="8"/>
      <c r="Q680" s="8"/>
      <c r="R680" s="8"/>
      <c r="S680" s="8"/>
      <c r="T680" s="8"/>
      <c r="U680" s="8"/>
      <c r="V680" s="8"/>
      <c r="W680" s="8"/>
      <c r="X680" s="8"/>
    </row>
    <row r="681" spans="1:24" ht="12.75">
      <c r="A681" s="82"/>
      <c r="B681" s="8"/>
      <c r="C681" s="59"/>
      <c r="D681" s="59"/>
      <c r="E681" s="8"/>
      <c r="F681" s="8"/>
      <c r="G681" s="8"/>
      <c r="H681" s="8"/>
      <c r="I681" s="8"/>
      <c r="J681" s="8"/>
      <c r="K681" s="8"/>
      <c r="L681" s="8"/>
      <c r="M681" s="8"/>
      <c r="N681" s="8"/>
      <c r="O681" s="8"/>
      <c r="P681" s="8"/>
      <c r="Q681" s="8"/>
      <c r="R681" s="8"/>
      <c r="S681" s="8"/>
      <c r="T681" s="8"/>
      <c r="U681" s="8"/>
      <c r="V681" s="8"/>
      <c r="W681" s="8"/>
      <c r="X681" s="8"/>
    </row>
    <row r="682" spans="1:24" ht="12.75">
      <c r="A682" s="82"/>
      <c r="B682" s="8"/>
      <c r="C682" s="59"/>
      <c r="D682" s="59"/>
      <c r="E682" s="8"/>
      <c r="F682" s="8"/>
      <c r="G682" s="8"/>
      <c r="H682" s="8"/>
      <c r="I682" s="8"/>
      <c r="J682" s="8"/>
      <c r="K682" s="8"/>
      <c r="L682" s="8"/>
      <c r="M682" s="8"/>
      <c r="N682" s="8"/>
      <c r="O682" s="8"/>
      <c r="P682" s="8"/>
      <c r="Q682" s="8"/>
      <c r="R682" s="8"/>
      <c r="S682" s="8"/>
      <c r="T682" s="8"/>
      <c r="U682" s="8"/>
      <c r="V682" s="8"/>
      <c r="W682" s="8"/>
      <c r="X682" s="8"/>
    </row>
    <row r="683" spans="1:24" ht="12.75">
      <c r="A683" s="82"/>
      <c r="B683" s="8"/>
      <c r="C683" s="59"/>
      <c r="D683" s="59"/>
      <c r="E683" s="8"/>
      <c r="F683" s="8"/>
      <c r="G683" s="8"/>
      <c r="H683" s="8"/>
      <c r="I683" s="8"/>
      <c r="J683" s="8"/>
      <c r="K683" s="8"/>
      <c r="L683" s="8"/>
      <c r="M683" s="8"/>
      <c r="N683" s="8"/>
      <c r="O683" s="8"/>
      <c r="P683" s="8"/>
      <c r="Q683" s="8"/>
      <c r="R683" s="8"/>
      <c r="S683" s="8"/>
      <c r="T683" s="8"/>
      <c r="U683" s="8"/>
      <c r="V683" s="8"/>
      <c r="W683" s="8"/>
      <c r="X683" s="8"/>
    </row>
    <row r="684" spans="1:24" ht="12.75">
      <c r="A684" s="82"/>
      <c r="B684" s="8"/>
      <c r="C684" s="59"/>
      <c r="D684" s="59"/>
      <c r="E684" s="8"/>
      <c r="F684" s="8"/>
      <c r="G684" s="8"/>
      <c r="H684" s="8"/>
      <c r="I684" s="8"/>
      <c r="J684" s="8"/>
      <c r="K684" s="8"/>
      <c r="L684" s="8"/>
      <c r="M684" s="8"/>
      <c r="N684" s="8"/>
      <c r="O684" s="8"/>
      <c r="P684" s="8"/>
      <c r="Q684" s="8"/>
      <c r="R684" s="8"/>
      <c r="S684" s="8"/>
      <c r="T684" s="8"/>
      <c r="U684" s="8"/>
      <c r="V684" s="8"/>
      <c r="W684" s="8"/>
      <c r="X684" s="8"/>
    </row>
    <row r="685" spans="1:24" ht="12.75">
      <c r="A685" s="82"/>
      <c r="B685" s="8"/>
      <c r="C685" s="59"/>
      <c r="D685" s="59"/>
      <c r="E685" s="8"/>
      <c r="F685" s="8"/>
      <c r="G685" s="8"/>
      <c r="H685" s="8"/>
      <c r="I685" s="8"/>
      <c r="J685" s="8"/>
      <c r="K685" s="8"/>
      <c r="L685" s="8"/>
      <c r="M685" s="8"/>
      <c r="N685" s="8"/>
      <c r="O685" s="8"/>
      <c r="P685" s="8"/>
      <c r="Q685" s="8"/>
      <c r="R685" s="8"/>
      <c r="S685" s="8"/>
      <c r="T685" s="8"/>
      <c r="U685" s="8"/>
      <c r="V685" s="8"/>
      <c r="W685" s="8"/>
      <c r="X685" s="8"/>
    </row>
    <row r="686" spans="1:24" ht="12.75">
      <c r="A686" s="82"/>
      <c r="B686" s="8"/>
      <c r="C686" s="59"/>
      <c r="D686" s="59"/>
      <c r="E686" s="8"/>
      <c r="F686" s="8"/>
      <c r="G686" s="8"/>
      <c r="H686" s="8"/>
      <c r="I686" s="8"/>
      <c r="J686" s="8"/>
      <c r="K686" s="8"/>
      <c r="L686" s="8"/>
      <c r="M686" s="8"/>
      <c r="N686" s="8"/>
      <c r="O686" s="8"/>
      <c r="P686" s="8"/>
      <c r="Q686" s="8"/>
      <c r="R686" s="8"/>
      <c r="S686" s="8"/>
      <c r="T686" s="8"/>
      <c r="U686" s="8"/>
      <c r="V686" s="8"/>
      <c r="W686" s="8"/>
      <c r="X686" s="8"/>
    </row>
    <row r="687" spans="1:24" ht="12.75">
      <c r="A687" s="82"/>
      <c r="B687" s="8"/>
      <c r="C687" s="59"/>
      <c r="D687" s="59"/>
      <c r="E687" s="8"/>
      <c r="F687" s="8"/>
      <c r="G687" s="8"/>
      <c r="H687" s="8"/>
      <c r="I687" s="8"/>
      <c r="J687" s="8"/>
      <c r="K687" s="8"/>
      <c r="L687" s="8"/>
      <c r="M687" s="8"/>
      <c r="N687" s="8"/>
      <c r="O687" s="8"/>
      <c r="P687" s="8"/>
      <c r="Q687" s="8"/>
      <c r="R687" s="8"/>
      <c r="S687" s="8"/>
      <c r="T687" s="8"/>
      <c r="U687" s="8"/>
      <c r="V687" s="8"/>
      <c r="W687" s="8"/>
      <c r="X687" s="8"/>
    </row>
    <row r="688" spans="1:24" ht="12.75">
      <c r="A688" s="82"/>
      <c r="B688" s="8"/>
      <c r="C688" s="59"/>
      <c r="D688" s="59"/>
      <c r="E688" s="8"/>
      <c r="F688" s="8"/>
      <c r="G688" s="8"/>
      <c r="H688" s="8"/>
      <c r="I688" s="8"/>
      <c r="J688" s="8"/>
      <c r="K688" s="8"/>
      <c r="L688" s="8"/>
      <c r="M688" s="8"/>
      <c r="N688" s="8"/>
      <c r="O688" s="8"/>
      <c r="P688" s="8"/>
      <c r="Q688" s="8"/>
      <c r="R688" s="8"/>
      <c r="S688" s="8"/>
      <c r="T688" s="8"/>
      <c r="U688" s="8"/>
      <c r="V688" s="8"/>
      <c r="W688" s="8"/>
      <c r="X688" s="8"/>
    </row>
    <row r="689" spans="1:24" ht="12.75">
      <c r="A689" s="82"/>
      <c r="B689" s="8"/>
      <c r="C689" s="59"/>
      <c r="D689" s="59"/>
      <c r="E689" s="8"/>
      <c r="F689" s="8"/>
      <c r="G689" s="8"/>
      <c r="H689" s="8"/>
      <c r="I689" s="8"/>
      <c r="J689" s="8"/>
      <c r="K689" s="8"/>
      <c r="L689" s="8"/>
      <c r="M689" s="8"/>
      <c r="N689" s="8"/>
      <c r="O689" s="8"/>
      <c r="P689" s="8"/>
      <c r="Q689" s="8"/>
      <c r="R689" s="8"/>
      <c r="S689" s="8"/>
      <c r="T689" s="8"/>
      <c r="U689" s="8"/>
      <c r="V689" s="8"/>
      <c r="W689" s="8"/>
      <c r="X689" s="8"/>
    </row>
    <row r="690" spans="1:24" ht="12.75">
      <c r="A690" s="82"/>
      <c r="B690" s="8"/>
      <c r="C690" s="59"/>
      <c r="D690" s="59"/>
      <c r="E690" s="8"/>
      <c r="F690" s="8"/>
      <c r="G690" s="8"/>
      <c r="H690" s="8"/>
      <c r="I690" s="8"/>
      <c r="J690" s="8"/>
      <c r="K690" s="8"/>
      <c r="L690" s="8"/>
      <c r="M690" s="8"/>
      <c r="N690" s="8"/>
      <c r="O690" s="8"/>
      <c r="P690" s="8"/>
      <c r="Q690" s="8"/>
      <c r="R690" s="8"/>
      <c r="S690" s="8"/>
      <c r="T690" s="8"/>
      <c r="U690" s="8"/>
      <c r="V690" s="8"/>
      <c r="W690" s="8"/>
      <c r="X690" s="8"/>
    </row>
    <row r="691" spans="1:24" ht="12.75">
      <c r="A691" s="82"/>
      <c r="B691" s="8"/>
      <c r="C691" s="59"/>
      <c r="D691" s="59"/>
      <c r="E691" s="8"/>
      <c r="F691" s="8"/>
      <c r="G691" s="8"/>
      <c r="H691" s="8"/>
      <c r="I691" s="8"/>
      <c r="J691" s="8"/>
      <c r="K691" s="8"/>
      <c r="L691" s="8"/>
      <c r="M691" s="8"/>
      <c r="N691" s="8"/>
      <c r="O691" s="8"/>
      <c r="P691" s="8"/>
      <c r="Q691" s="8"/>
      <c r="R691" s="8"/>
      <c r="S691" s="8"/>
      <c r="T691" s="8"/>
      <c r="U691" s="8"/>
      <c r="V691" s="8"/>
      <c r="W691" s="8"/>
      <c r="X691" s="8"/>
    </row>
    <row r="692" spans="1:24" ht="12.75">
      <c r="A692" s="82"/>
      <c r="B692" s="8"/>
      <c r="C692" s="59"/>
      <c r="D692" s="59"/>
      <c r="E692" s="8"/>
      <c r="F692" s="8"/>
      <c r="G692" s="8"/>
      <c r="H692" s="8"/>
      <c r="I692" s="8"/>
      <c r="J692" s="8"/>
      <c r="K692" s="8"/>
      <c r="L692" s="8"/>
      <c r="M692" s="8"/>
      <c r="N692" s="8"/>
      <c r="O692" s="8"/>
      <c r="P692" s="8"/>
      <c r="Q692" s="8"/>
      <c r="R692" s="8"/>
      <c r="S692" s="8"/>
      <c r="T692" s="8"/>
      <c r="U692" s="8"/>
      <c r="V692" s="8"/>
      <c r="W692" s="8"/>
      <c r="X692" s="8"/>
    </row>
    <row r="693" spans="1:24" ht="12.75">
      <c r="A693" s="82"/>
      <c r="B693" s="8"/>
      <c r="C693" s="59"/>
      <c r="D693" s="59"/>
      <c r="E693" s="8"/>
      <c r="F693" s="8"/>
      <c r="G693" s="8"/>
      <c r="H693" s="8"/>
      <c r="I693" s="8"/>
      <c r="J693" s="8"/>
      <c r="K693" s="8"/>
      <c r="L693" s="8"/>
      <c r="M693" s="8"/>
      <c r="N693" s="8"/>
      <c r="O693" s="8"/>
      <c r="P693" s="8"/>
      <c r="Q693" s="8"/>
      <c r="R693" s="8"/>
      <c r="S693" s="8"/>
      <c r="T693" s="8"/>
      <c r="U693" s="8"/>
      <c r="V693" s="8"/>
      <c r="W693" s="8"/>
      <c r="X693" s="8"/>
    </row>
    <row r="694" spans="1:24" ht="12.75">
      <c r="A694" s="82"/>
      <c r="B694" s="8"/>
      <c r="C694" s="59"/>
      <c r="D694" s="59"/>
      <c r="E694" s="8"/>
      <c r="F694" s="8"/>
      <c r="G694" s="8"/>
      <c r="H694" s="8"/>
      <c r="I694" s="8"/>
      <c r="J694" s="8"/>
      <c r="K694" s="8"/>
      <c r="L694" s="8"/>
      <c r="M694" s="8"/>
      <c r="N694" s="8"/>
      <c r="O694" s="8"/>
      <c r="P694" s="8"/>
      <c r="Q694" s="8"/>
      <c r="R694" s="8"/>
      <c r="S694" s="8"/>
      <c r="T694" s="8"/>
      <c r="U694" s="8"/>
      <c r="V694" s="8"/>
      <c r="W694" s="8"/>
      <c r="X694" s="8"/>
    </row>
    <row r="695" spans="1:24" ht="12.75">
      <c r="A695" s="82"/>
      <c r="B695" s="8"/>
      <c r="C695" s="59"/>
      <c r="D695" s="59"/>
      <c r="E695" s="8"/>
      <c r="F695" s="8"/>
      <c r="G695" s="8"/>
      <c r="H695" s="8"/>
      <c r="I695" s="8"/>
      <c r="J695" s="8"/>
      <c r="K695" s="8"/>
      <c r="L695" s="8"/>
      <c r="M695" s="8"/>
      <c r="N695" s="8"/>
      <c r="O695" s="8"/>
      <c r="P695" s="8"/>
      <c r="Q695" s="8"/>
      <c r="R695" s="8"/>
      <c r="S695" s="8"/>
      <c r="T695" s="8"/>
      <c r="U695" s="8"/>
      <c r="V695" s="8"/>
      <c r="W695" s="8"/>
      <c r="X695" s="8"/>
    </row>
    <row r="696" spans="1:24" ht="12.75">
      <c r="A696" s="82"/>
      <c r="B696" s="8"/>
      <c r="C696" s="59"/>
      <c r="D696" s="59"/>
      <c r="E696" s="8"/>
      <c r="F696" s="8"/>
      <c r="G696" s="8"/>
      <c r="H696" s="8"/>
      <c r="I696" s="8"/>
      <c r="J696" s="8"/>
      <c r="K696" s="8"/>
      <c r="L696" s="8"/>
      <c r="M696" s="8"/>
      <c r="N696" s="8"/>
      <c r="O696" s="8"/>
      <c r="P696" s="8"/>
      <c r="Q696" s="8"/>
      <c r="R696" s="8"/>
      <c r="S696" s="8"/>
      <c r="T696" s="8"/>
      <c r="U696" s="8"/>
      <c r="V696" s="8"/>
      <c r="W696" s="8"/>
      <c r="X696" s="8"/>
    </row>
    <row r="697" spans="1:24" ht="12.75">
      <c r="A697" s="82"/>
      <c r="B697" s="8"/>
      <c r="C697" s="59"/>
      <c r="D697" s="59"/>
      <c r="E697" s="8"/>
      <c r="F697" s="8"/>
      <c r="G697" s="8"/>
      <c r="H697" s="8"/>
      <c r="I697" s="8"/>
      <c r="J697" s="8"/>
      <c r="K697" s="8"/>
      <c r="L697" s="8"/>
      <c r="M697" s="8"/>
      <c r="N697" s="8"/>
      <c r="O697" s="8"/>
      <c r="P697" s="8"/>
      <c r="Q697" s="8"/>
      <c r="R697" s="8"/>
      <c r="S697" s="8"/>
      <c r="T697" s="8"/>
      <c r="U697" s="8"/>
      <c r="V697" s="8"/>
      <c r="W697" s="8"/>
      <c r="X697" s="8"/>
    </row>
    <row r="698" spans="1:24" ht="12.75">
      <c r="A698" s="82"/>
      <c r="B698" s="8"/>
      <c r="C698" s="59"/>
      <c r="D698" s="59"/>
      <c r="E698" s="8"/>
      <c r="F698" s="8"/>
      <c r="G698" s="8"/>
      <c r="H698" s="8"/>
      <c r="I698" s="8"/>
      <c r="J698" s="8"/>
      <c r="K698" s="8"/>
      <c r="L698" s="8"/>
      <c r="M698" s="8"/>
      <c r="N698" s="8"/>
      <c r="O698" s="8"/>
      <c r="P698" s="8"/>
      <c r="Q698" s="8"/>
      <c r="R698" s="8"/>
      <c r="S698" s="8"/>
      <c r="T698" s="8"/>
      <c r="U698" s="8"/>
      <c r="V698" s="8"/>
      <c r="W698" s="8"/>
      <c r="X698" s="8"/>
    </row>
    <row r="699" spans="1:24" ht="12.75">
      <c r="A699" s="82"/>
      <c r="B699" s="8"/>
      <c r="C699" s="59"/>
      <c r="D699" s="59"/>
      <c r="E699" s="8"/>
      <c r="F699" s="8"/>
      <c r="G699" s="8"/>
      <c r="H699" s="8"/>
      <c r="I699" s="8"/>
      <c r="J699" s="8"/>
      <c r="K699" s="8"/>
      <c r="L699" s="8"/>
      <c r="M699" s="8"/>
      <c r="N699" s="8"/>
      <c r="O699" s="8"/>
      <c r="P699" s="8"/>
      <c r="Q699" s="8"/>
      <c r="R699" s="8"/>
      <c r="S699" s="8"/>
      <c r="T699" s="8"/>
      <c r="U699" s="8"/>
      <c r="V699" s="8"/>
      <c r="W699" s="8"/>
      <c r="X699" s="8"/>
    </row>
    <row r="700" spans="1:24" ht="12.75">
      <c r="A700" s="82"/>
      <c r="B700" s="8"/>
      <c r="C700" s="59"/>
      <c r="D700" s="59"/>
      <c r="E700" s="8"/>
      <c r="F700" s="8"/>
      <c r="G700" s="8"/>
      <c r="H700" s="8"/>
      <c r="I700" s="8"/>
      <c r="J700" s="8"/>
      <c r="K700" s="8"/>
      <c r="L700" s="8"/>
      <c r="M700" s="8"/>
      <c r="N700" s="8"/>
      <c r="O700" s="8"/>
      <c r="P700" s="8"/>
      <c r="Q700" s="8"/>
      <c r="R700" s="8"/>
      <c r="S700" s="8"/>
      <c r="T700" s="8"/>
      <c r="U700" s="8"/>
      <c r="V700" s="8"/>
      <c r="W700" s="8"/>
      <c r="X700" s="8"/>
    </row>
    <row r="701" spans="1:24" ht="12.75">
      <c r="A701" s="82"/>
      <c r="B701" s="8"/>
      <c r="C701" s="59"/>
      <c r="D701" s="59"/>
      <c r="E701" s="8"/>
      <c r="F701" s="8"/>
      <c r="G701" s="8"/>
      <c r="H701" s="8"/>
      <c r="I701" s="8"/>
      <c r="J701" s="8"/>
      <c r="K701" s="8"/>
      <c r="L701" s="8"/>
      <c r="M701" s="8"/>
      <c r="N701" s="8"/>
      <c r="O701" s="8"/>
      <c r="P701" s="8"/>
      <c r="Q701" s="8"/>
      <c r="R701" s="8"/>
      <c r="S701" s="8"/>
      <c r="T701" s="8"/>
      <c r="U701" s="8"/>
      <c r="V701" s="8"/>
      <c r="W701" s="8"/>
      <c r="X701" s="8"/>
    </row>
    <row r="702" spans="1:24" ht="12.75">
      <c r="A702" s="82"/>
      <c r="B702" s="8"/>
      <c r="C702" s="59"/>
      <c r="D702" s="59"/>
      <c r="E702" s="8"/>
      <c r="F702" s="8"/>
      <c r="G702" s="8"/>
      <c r="H702" s="8"/>
      <c r="I702" s="8"/>
      <c r="J702" s="8"/>
      <c r="K702" s="8"/>
      <c r="L702" s="8"/>
      <c r="M702" s="8"/>
      <c r="N702" s="8"/>
      <c r="O702" s="8"/>
      <c r="P702" s="8"/>
      <c r="Q702" s="8"/>
      <c r="R702" s="8"/>
      <c r="S702" s="8"/>
      <c r="T702" s="8"/>
      <c r="U702" s="8"/>
      <c r="V702" s="8"/>
      <c r="W702" s="8"/>
      <c r="X702" s="8"/>
    </row>
    <row r="703" spans="1:24" ht="12.75">
      <c r="A703" s="82"/>
      <c r="B703" s="8"/>
      <c r="C703" s="59"/>
      <c r="D703" s="59"/>
      <c r="E703" s="8"/>
      <c r="F703" s="8"/>
      <c r="G703" s="8"/>
      <c r="H703" s="8"/>
      <c r="I703" s="8"/>
      <c r="J703" s="8"/>
      <c r="K703" s="8"/>
      <c r="L703" s="8"/>
      <c r="M703" s="8"/>
      <c r="N703" s="8"/>
      <c r="O703" s="8"/>
      <c r="P703" s="8"/>
      <c r="Q703" s="8"/>
      <c r="R703" s="8"/>
      <c r="S703" s="8"/>
      <c r="T703" s="8"/>
      <c r="U703" s="8"/>
      <c r="V703" s="8"/>
      <c r="W703" s="8"/>
      <c r="X703" s="8"/>
    </row>
    <row r="704" spans="1:24" ht="12.75">
      <c r="A704" s="82"/>
      <c r="B704" s="8"/>
      <c r="C704" s="59"/>
      <c r="D704" s="59"/>
      <c r="E704" s="8"/>
      <c r="F704" s="8"/>
      <c r="G704" s="8"/>
      <c r="H704" s="8"/>
      <c r="I704" s="8"/>
      <c r="J704" s="8"/>
      <c r="K704" s="8"/>
      <c r="L704" s="8"/>
      <c r="M704" s="8"/>
      <c r="N704" s="8"/>
      <c r="O704" s="8"/>
      <c r="P704" s="8"/>
      <c r="Q704" s="8"/>
      <c r="R704" s="8"/>
      <c r="S704" s="8"/>
      <c r="T704" s="8"/>
      <c r="U704" s="8"/>
      <c r="V704" s="8"/>
      <c r="W704" s="8"/>
      <c r="X704" s="8"/>
    </row>
    <row r="705" spans="1:24" ht="12.75">
      <c r="A705" s="82"/>
      <c r="B705" s="8"/>
      <c r="C705" s="59"/>
      <c r="D705" s="59"/>
      <c r="E705" s="8"/>
      <c r="F705" s="8"/>
      <c r="G705" s="8"/>
      <c r="H705" s="8"/>
      <c r="I705" s="8"/>
      <c r="J705" s="8"/>
      <c r="K705" s="8"/>
      <c r="L705" s="8"/>
      <c r="M705" s="8"/>
      <c r="N705" s="8"/>
      <c r="O705" s="8"/>
      <c r="P705" s="8"/>
      <c r="Q705" s="8"/>
      <c r="R705" s="8"/>
      <c r="S705" s="8"/>
      <c r="T705" s="8"/>
      <c r="U705" s="8"/>
      <c r="V705" s="8"/>
      <c r="W705" s="8"/>
      <c r="X705" s="8"/>
    </row>
    <row r="706" spans="1:24" ht="12.75">
      <c r="A706" s="82"/>
      <c r="B706" s="8"/>
      <c r="C706" s="59"/>
      <c r="D706" s="59"/>
      <c r="E706" s="8"/>
      <c r="F706" s="8"/>
      <c r="G706" s="8"/>
      <c r="H706" s="8"/>
      <c r="I706" s="8"/>
      <c r="J706" s="8"/>
      <c r="K706" s="8"/>
      <c r="L706" s="8"/>
      <c r="M706" s="8"/>
      <c r="N706" s="8"/>
      <c r="O706" s="8"/>
      <c r="P706" s="8"/>
      <c r="Q706" s="8"/>
      <c r="R706" s="8"/>
      <c r="S706" s="8"/>
      <c r="T706" s="8"/>
      <c r="U706" s="8"/>
      <c r="V706" s="8"/>
      <c r="W706" s="8"/>
      <c r="X706" s="8"/>
    </row>
    <row r="707" spans="1:24" ht="12.75">
      <c r="A707" s="82"/>
      <c r="B707" s="8"/>
      <c r="C707" s="59"/>
      <c r="D707" s="59"/>
      <c r="E707" s="8"/>
      <c r="F707" s="8"/>
      <c r="G707" s="8"/>
      <c r="H707" s="8"/>
      <c r="I707" s="8"/>
      <c r="J707" s="8"/>
      <c r="K707" s="8"/>
      <c r="L707" s="8"/>
      <c r="M707" s="8"/>
      <c r="N707" s="8"/>
      <c r="O707" s="8"/>
      <c r="P707" s="8"/>
      <c r="Q707" s="8"/>
      <c r="R707" s="8"/>
      <c r="S707" s="8"/>
      <c r="T707" s="8"/>
      <c r="U707" s="8"/>
      <c r="V707" s="8"/>
      <c r="W707" s="8"/>
      <c r="X707" s="8"/>
    </row>
    <row r="708" spans="1:24" ht="12.75">
      <c r="A708" s="82"/>
      <c r="B708" s="8"/>
      <c r="C708" s="59"/>
      <c r="D708" s="59"/>
      <c r="E708" s="8"/>
      <c r="F708" s="8"/>
      <c r="G708" s="8"/>
      <c r="H708" s="8"/>
      <c r="I708" s="8"/>
      <c r="J708" s="8"/>
      <c r="K708" s="8"/>
      <c r="L708" s="8"/>
      <c r="M708" s="8"/>
      <c r="N708" s="8"/>
      <c r="O708" s="8"/>
      <c r="P708" s="8"/>
      <c r="Q708" s="8"/>
      <c r="R708" s="8"/>
      <c r="S708" s="8"/>
      <c r="T708" s="8"/>
      <c r="U708" s="8"/>
      <c r="V708" s="8"/>
      <c r="W708" s="8"/>
      <c r="X708" s="8"/>
    </row>
    <row r="709" spans="1:24" ht="12.75">
      <c r="A709" s="82"/>
      <c r="B709" s="8"/>
      <c r="C709" s="59"/>
      <c r="D709" s="59"/>
      <c r="E709" s="8"/>
      <c r="F709" s="8"/>
      <c r="G709" s="8"/>
      <c r="H709" s="8"/>
      <c r="I709" s="8"/>
      <c r="J709" s="8"/>
      <c r="K709" s="8"/>
      <c r="L709" s="8"/>
      <c r="M709" s="8"/>
      <c r="N709" s="8"/>
      <c r="O709" s="8"/>
      <c r="P709" s="8"/>
      <c r="Q709" s="8"/>
      <c r="R709" s="8"/>
      <c r="S709" s="8"/>
      <c r="T709" s="8"/>
      <c r="U709" s="8"/>
      <c r="V709" s="8"/>
      <c r="W709" s="8"/>
      <c r="X709" s="8"/>
    </row>
    <row r="710" spans="1:24" ht="12.75">
      <c r="A710" s="82"/>
      <c r="B710" s="8"/>
      <c r="C710" s="59"/>
      <c r="D710" s="59"/>
      <c r="E710" s="8"/>
      <c r="F710" s="8"/>
      <c r="G710" s="8"/>
      <c r="H710" s="8"/>
      <c r="I710" s="8"/>
      <c r="J710" s="8"/>
      <c r="K710" s="8"/>
      <c r="L710" s="8"/>
      <c r="M710" s="8"/>
      <c r="N710" s="8"/>
      <c r="O710" s="8"/>
      <c r="P710" s="8"/>
      <c r="Q710" s="8"/>
      <c r="R710" s="8"/>
      <c r="S710" s="8"/>
      <c r="T710" s="8"/>
      <c r="U710" s="8"/>
      <c r="V710" s="8"/>
      <c r="W710" s="8"/>
      <c r="X710" s="8"/>
    </row>
    <row r="711" spans="1:24" ht="12.75">
      <c r="A711" s="82"/>
      <c r="B711" s="8"/>
      <c r="C711" s="59"/>
      <c r="D711" s="59"/>
      <c r="E711" s="8"/>
      <c r="F711" s="8"/>
      <c r="G711" s="8"/>
      <c r="H711" s="8"/>
      <c r="I711" s="8"/>
      <c r="J711" s="8"/>
      <c r="K711" s="8"/>
      <c r="L711" s="8"/>
      <c r="M711" s="8"/>
      <c r="N711" s="8"/>
      <c r="O711" s="8"/>
      <c r="P711" s="8"/>
      <c r="Q711" s="8"/>
      <c r="R711" s="8"/>
      <c r="S711" s="8"/>
      <c r="T711" s="8"/>
      <c r="U711" s="8"/>
      <c r="V711" s="8"/>
      <c r="W711" s="8"/>
      <c r="X711" s="8"/>
    </row>
    <row r="712" spans="1:24" ht="12.75">
      <c r="A712" s="82"/>
      <c r="B712" s="8"/>
      <c r="C712" s="59"/>
      <c r="D712" s="59"/>
      <c r="E712" s="8"/>
      <c r="F712" s="8"/>
      <c r="G712" s="8"/>
      <c r="H712" s="8"/>
      <c r="I712" s="8"/>
      <c r="J712" s="8"/>
      <c r="K712" s="8"/>
      <c r="L712" s="8"/>
      <c r="M712" s="8"/>
      <c r="N712" s="8"/>
      <c r="O712" s="8"/>
      <c r="P712" s="8"/>
      <c r="Q712" s="8"/>
      <c r="R712" s="8"/>
      <c r="S712" s="8"/>
      <c r="T712" s="8"/>
      <c r="U712" s="8"/>
      <c r="V712" s="8"/>
      <c r="W712" s="8"/>
      <c r="X712" s="8"/>
    </row>
    <row r="713" spans="1:24" ht="12.75">
      <c r="A713" s="82"/>
      <c r="B713" s="8"/>
      <c r="C713" s="59"/>
      <c r="D713" s="59"/>
      <c r="E713" s="8"/>
      <c r="F713" s="8"/>
      <c r="G713" s="8"/>
      <c r="H713" s="8"/>
      <c r="I713" s="8"/>
      <c r="J713" s="8"/>
      <c r="K713" s="8"/>
      <c r="L713" s="8"/>
      <c r="M713" s="8"/>
      <c r="N713" s="8"/>
      <c r="O713" s="8"/>
      <c r="P713" s="8"/>
      <c r="Q713" s="8"/>
      <c r="R713" s="8"/>
      <c r="S713" s="8"/>
      <c r="T713" s="8"/>
      <c r="U713" s="8"/>
      <c r="V713" s="8"/>
      <c r="W713" s="8"/>
      <c r="X713" s="8"/>
    </row>
    <row r="714" spans="1:24" ht="12.75">
      <c r="A714" s="82"/>
      <c r="B714" s="8"/>
      <c r="C714" s="59"/>
      <c r="D714" s="59"/>
      <c r="E714" s="8"/>
      <c r="F714" s="8"/>
      <c r="G714" s="8"/>
      <c r="H714" s="8"/>
      <c r="I714" s="8"/>
      <c r="J714" s="8"/>
      <c r="K714" s="8"/>
      <c r="L714" s="8"/>
      <c r="M714" s="8"/>
      <c r="N714" s="8"/>
      <c r="O714" s="8"/>
      <c r="P714" s="8"/>
      <c r="Q714" s="8"/>
      <c r="R714" s="8"/>
      <c r="S714" s="8"/>
      <c r="T714" s="8"/>
      <c r="U714" s="8"/>
      <c r="V714" s="8"/>
      <c r="W714" s="8"/>
      <c r="X714" s="8"/>
    </row>
    <row r="715" spans="1:24" ht="12.75">
      <c r="A715" s="82"/>
      <c r="B715" s="8"/>
      <c r="C715" s="59"/>
      <c r="D715" s="59"/>
      <c r="E715" s="8"/>
      <c r="F715" s="8"/>
      <c r="G715" s="8"/>
      <c r="H715" s="8"/>
      <c r="I715" s="8"/>
      <c r="J715" s="8"/>
      <c r="K715" s="8"/>
      <c r="L715" s="8"/>
      <c r="M715" s="8"/>
      <c r="N715" s="8"/>
      <c r="O715" s="8"/>
      <c r="P715" s="8"/>
      <c r="Q715" s="8"/>
      <c r="R715" s="8"/>
      <c r="S715" s="8"/>
      <c r="T715" s="8"/>
      <c r="U715" s="8"/>
      <c r="V715" s="8"/>
      <c r="W715" s="8"/>
      <c r="X715" s="8"/>
    </row>
    <row r="716" spans="1:24" ht="12.75">
      <c r="A716" s="82"/>
      <c r="B716" s="8"/>
      <c r="C716" s="59"/>
      <c r="D716" s="59"/>
      <c r="E716" s="8"/>
      <c r="F716" s="8"/>
      <c r="G716" s="8"/>
      <c r="H716" s="8"/>
      <c r="I716" s="8"/>
      <c r="J716" s="8"/>
      <c r="K716" s="8"/>
      <c r="L716" s="8"/>
      <c r="M716" s="8"/>
      <c r="N716" s="8"/>
      <c r="O716" s="8"/>
      <c r="P716" s="8"/>
      <c r="Q716" s="8"/>
      <c r="R716" s="8"/>
      <c r="S716" s="8"/>
      <c r="T716" s="8"/>
      <c r="U716" s="8"/>
      <c r="V716" s="8"/>
      <c r="W716" s="8"/>
      <c r="X716" s="8"/>
    </row>
    <row r="717" spans="1:24" ht="12.75">
      <c r="A717" s="82"/>
      <c r="B717" s="8"/>
      <c r="C717" s="59"/>
      <c r="D717" s="59"/>
      <c r="E717" s="8"/>
      <c r="F717" s="8"/>
      <c r="G717" s="8"/>
      <c r="H717" s="8"/>
      <c r="I717" s="8"/>
      <c r="J717" s="8"/>
      <c r="K717" s="8"/>
      <c r="L717" s="8"/>
      <c r="M717" s="8"/>
      <c r="N717" s="8"/>
      <c r="O717" s="8"/>
      <c r="P717" s="8"/>
      <c r="Q717" s="8"/>
      <c r="R717" s="8"/>
      <c r="S717" s="8"/>
      <c r="T717" s="8"/>
      <c r="U717" s="8"/>
      <c r="V717" s="8"/>
      <c r="W717" s="8"/>
      <c r="X717" s="8"/>
    </row>
    <row r="718" spans="1:24" ht="12.75">
      <c r="A718" s="82"/>
      <c r="B718" s="8"/>
      <c r="C718" s="59"/>
      <c r="D718" s="59"/>
      <c r="E718" s="8"/>
      <c r="F718" s="8"/>
      <c r="G718" s="8"/>
      <c r="H718" s="8"/>
      <c r="I718" s="8"/>
      <c r="J718" s="8"/>
      <c r="K718" s="8"/>
      <c r="L718" s="8"/>
      <c r="M718" s="8"/>
      <c r="N718" s="8"/>
      <c r="O718" s="8"/>
      <c r="P718" s="8"/>
      <c r="Q718" s="8"/>
      <c r="R718" s="8"/>
      <c r="S718" s="8"/>
      <c r="T718" s="8"/>
      <c r="U718" s="8"/>
      <c r="V718" s="8"/>
      <c r="W718" s="8"/>
      <c r="X718" s="8"/>
    </row>
    <row r="719" spans="1:24" ht="12.75">
      <c r="A719" s="82"/>
      <c r="B719" s="8"/>
      <c r="C719" s="59"/>
      <c r="D719" s="59"/>
      <c r="E719" s="8"/>
      <c r="F719" s="8"/>
      <c r="G719" s="8"/>
      <c r="H719" s="8"/>
      <c r="I719" s="8"/>
      <c r="J719" s="8"/>
      <c r="K719" s="8"/>
      <c r="L719" s="8"/>
      <c r="M719" s="8"/>
      <c r="N719" s="8"/>
      <c r="O719" s="8"/>
      <c r="P719" s="8"/>
      <c r="Q719" s="8"/>
      <c r="R719" s="8"/>
      <c r="S719" s="8"/>
      <c r="T719" s="8"/>
      <c r="U719" s="8"/>
      <c r="V719" s="8"/>
      <c r="W719" s="8"/>
      <c r="X719" s="8"/>
    </row>
    <row r="720" spans="1:24" ht="12.75">
      <c r="A720" s="82"/>
      <c r="B720" s="8"/>
      <c r="C720" s="59"/>
      <c r="D720" s="59"/>
      <c r="E720" s="8"/>
      <c r="F720" s="8"/>
      <c r="G720" s="8"/>
      <c r="H720" s="8"/>
      <c r="I720" s="8"/>
      <c r="J720" s="8"/>
      <c r="K720" s="8"/>
      <c r="L720" s="8"/>
      <c r="M720" s="8"/>
      <c r="N720" s="8"/>
      <c r="O720" s="8"/>
      <c r="P720" s="8"/>
      <c r="Q720" s="8"/>
      <c r="R720" s="8"/>
      <c r="S720" s="8"/>
      <c r="T720" s="8"/>
      <c r="U720" s="8"/>
      <c r="V720" s="8"/>
      <c r="W720" s="8"/>
      <c r="X720" s="8"/>
    </row>
    <row r="721" spans="1:24" ht="12.75">
      <c r="A721" s="82"/>
      <c r="B721" s="8"/>
      <c r="C721" s="59"/>
      <c r="D721" s="59"/>
      <c r="E721" s="8"/>
      <c r="F721" s="8"/>
      <c r="G721" s="8"/>
      <c r="H721" s="8"/>
      <c r="I721" s="8"/>
      <c r="J721" s="8"/>
      <c r="K721" s="8"/>
      <c r="L721" s="8"/>
      <c r="M721" s="8"/>
      <c r="N721" s="8"/>
      <c r="O721" s="8"/>
      <c r="P721" s="8"/>
      <c r="Q721" s="8"/>
      <c r="R721" s="8"/>
      <c r="S721" s="8"/>
      <c r="T721" s="8"/>
      <c r="U721" s="8"/>
      <c r="V721" s="8"/>
      <c r="W721" s="8"/>
      <c r="X721" s="8"/>
    </row>
    <row r="722" spans="1:24" ht="12.75">
      <c r="A722" s="82"/>
      <c r="B722" s="8"/>
      <c r="C722" s="59"/>
      <c r="D722" s="59"/>
      <c r="E722" s="8"/>
      <c r="F722" s="8"/>
      <c r="G722" s="8"/>
      <c r="H722" s="8"/>
      <c r="I722" s="8"/>
      <c r="J722" s="8"/>
      <c r="K722" s="8"/>
      <c r="L722" s="8"/>
      <c r="M722" s="8"/>
      <c r="N722" s="8"/>
      <c r="O722" s="8"/>
      <c r="P722" s="8"/>
      <c r="Q722" s="8"/>
      <c r="R722" s="8"/>
      <c r="S722" s="8"/>
      <c r="T722" s="8"/>
      <c r="U722" s="8"/>
      <c r="V722" s="8"/>
      <c r="W722" s="8"/>
      <c r="X722" s="8"/>
    </row>
    <row r="723" spans="1:24" ht="12.75">
      <c r="A723" s="82"/>
      <c r="B723" s="8"/>
      <c r="C723" s="59"/>
      <c r="D723" s="59"/>
      <c r="E723" s="8"/>
      <c r="F723" s="8"/>
      <c r="G723" s="8"/>
      <c r="H723" s="8"/>
      <c r="I723" s="8"/>
      <c r="J723" s="8"/>
      <c r="K723" s="8"/>
      <c r="L723" s="8"/>
      <c r="M723" s="8"/>
      <c r="N723" s="8"/>
      <c r="O723" s="8"/>
      <c r="P723" s="8"/>
      <c r="Q723" s="8"/>
      <c r="R723" s="8"/>
      <c r="S723" s="8"/>
      <c r="T723" s="8"/>
      <c r="U723" s="8"/>
      <c r="V723" s="8"/>
      <c r="W723" s="8"/>
      <c r="X723" s="8"/>
    </row>
    <row r="724" spans="1:24" ht="12.75">
      <c r="A724" s="82"/>
      <c r="B724" s="8"/>
      <c r="C724" s="59"/>
      <c r="D724" s="59"/>
      <c r="E724" s="8"/>
      <c r="F724" s="8"/>
      <c r="G724" s="8"/>
      <c r="H724" s="8"/>
      <c r="I724" s="8"/>
      <c r="J724" s="8"/>
      <c r="K724" s="8"/>
      <c r="L724" s="8"/>
      <c r="M724" s="8"/>
      <c r="N724" s="8"/>
      <c r="O724" s="8"/>
      <c r="P724" s="8"/>
      <c r="Q724" s="8"/>
      <c r="R724" s="8"/>
      <c r="S724" s="8"/>
      <c r="T724" s="8"/>
      <c r="U724" s="8"/>
      <c r="V724" s="8"/>
      <c r="W724" s="8"/>
      <c r="X724" s="8"/>
    </row>
    <row r="725" spans="1:24" ht="12.75">
      <c r="A725" s="82"/>
      <c r="B725" s="8"/>
      <c r="C725" s="59"/>
      <c r="D725" s="59"/>
      <c r="E725" s="8"/>
      <c r="F725" s="8"/>
      <c r="G725" s="8"/>
      <c r="H725" s="8"/>
      <c r="I725" s="8"/>
      <c r="J725" s="8"/>
      <c r="K725" s="8"/>
      <c r="L725" s="8"/>
      <c r="M725" s="8"/>
      <c r="N725" s="8"/>
      <c r="O725" s="8"/>
      <c r="P725" s="8"/>
      <c r="Q725" s="8"/>
      <c r="R725" s="8"/>
      <c r="S725" s="8"/>
      <c r="T725" s="8"/>
      <c r="U725" s="8"/>
      <c r="V725" s="8"/>
      <c r="W725" s="8"/>
      <c r="X725" s="8"/>
    </row>
    <row r="726" spans="1:24" ht="12.75">
      <c r="A726" s="82"/>
      <c r="B726" s="8"/>
      <c r="C726" s="59"/>
      <c r="D726" s="59"/>
      <c r="E726" s="8"/>
      <c r="F726" s="8"/>
      <c r="G726" s="8"/>
      <c r="H726" s="8"/>
      <c r="I726" s="8"/>
      <c r="J726" s="8"/>
      <c r="K726" s="8"/>
      <c r="L726" s="8"/>
      <c r="M726" s="8"/>
      <c r="N726" s="8"/>
      <c r="O726" s="8"/>
      <c r="P726" s="8"/>
      <c r="Q726" s="8"/>
      <c r="R726" s="8"/>
      <c r="S726" s="8"/>
      <c r="T726" s="8"/>
      <c r="U726" s="8"/>
      <c r="V726" s="8"/>
      <c r="W726" s="8"/>
      <c r="X726" s="8"/>
    </row>
    <row r="727" spans="1:24" ht="12.75">
      <c r="A727" s="82"/>
      <c r="B727" s="8"/>
      <c r="C727" s="59"/>
      <c r="D727" s="59"/>
      <c r="E727" s="8"/>
      <c r="F727" s="8"/>
      <c r="G727" s="8"/>
      <c r="H727" s="8"/>
      <c r="I727" s="8"/>
      <c r="J727" s="8"/>
      <c r="K727" s="8"/>
      <c r="L727" s="8"/>
      <c r="M727" s="8"/>
      <c r="N727" s="8"/>
      <c r="O727" s="8"/>
      <c r="P727" s="8"/>
      <c r="Q727" s="8"/>
      <c r="R727" s="8"/>
      <c r="S727" s="8"/>
      <c r="T727" s="8"/>
      <c r="U727" s="8"/>
      <c r="V727" s="8"/>
      <c r="W727" s="8"/>
      <c r="X727" s="8"/>
    </row>
    <row r="728" spans="1:24" ht="12.75">
      <c r="A728" s="82"/>
      <c r="B728" s="8"/>
      <c r="C728" s="59"/>
      <c r="D728" s="59"/>
      <c r="E728" s="8"/>
      <c r="F728" s="8"/>
      <c r="G728" s="8"/>
      <c r="H728" s="8"/>
      <c r="I728" s="8"/>
      <c r="J728" s="8"/>
      <c r="K728" s="8"/>
      <c r="L728" s="8"/>
      <c r="M728" s="8"/>
      <c r="N728" s="8"/>
      <c r="O728" s="8"/>
      <c r="P728" s="8"/>
      <c r="Q728" s="8"/>
      <c r="R728" s="8"/>
      <c r="S728" s="8"/>
      <c r="T728" s="8"/>
      <c r="U728" s="8"/>
      <c r="V728" s="8"/>
      <c r="W728" s="8"/>
      <c r="X728" s="8"/>
    </row>
    <row r="729" spans="1:24" ht="12.75">
      <c r="A729" s="82"/>
      <c r="B729" s="8"/>
      <c r="C729" s="59"/>
      <c r="D729" s="59"/>
      <c r="E729" s="8"/>
      <c r="F729" s="8"/>
      <c r="G729" s="8"/>
      <c r="H729" s="8"/>
      <c r="I729" s="8"/>
      <c r="J729" s="8"/>
      <c r="K729" s="8"/>
      <c r="L729" s="8"/>
      <c r="M729" s="8"/>
      <c r="N729" s="8"/>
      <c r="O729" s="8"/>
      <c r="P729" s="8"/>
      <c r="Q729" s="8"/>
      <c r="R729" s="8"/>
      <c r="S729" s="8"/>
      <c r="T729" s="8"/>
      <c r="U729" s="8"/>
      <c r="V729" s="8"/>
      <c r="W729" s="8"/>
      <c r="X729" s="8"/>
    </row>
    <row r="730" spans="1:24" ht="12.75">
      <c r="A730" s="82"/>
      <c r="B730" s="8"/>
      <c r="C730" s="59"/>
      <c r="D730" s="59"/>
      <c r="E730" s="8"/>
      <c r="F730" s="8"/>
      <c r="G730" s="8"/>
      <c r="H730" s="8"/>
      <c r="I730" s="8"/>
      <c r="J730" s="8"/>
      <c r="K730" s="8"/>
      <c r="L730" s="8"/>
      <c r="M730" s="8"/>
      <c r="N730" s="8"/>
      <c r="O730" s="8"/>
      <c r="P730" s="8"/>
      <c r="Q730" s="8"/>
      <c r="R730" s="8"/>
      <c r="S730" s="8"/>
      <c r="T730" s="8"/>
      <c r="U730" s="8"/>
      <c r="V730" s="8"/>
      <c r="W730" s="8"/>
      <c r="X730" s="8"/>
    </row>
    <row r="731" spans="1:24" ht="12.75">
      <c r="A731" s="82"/>
      <c r="B731" s="8"/>
      <c r="C731" s="59"/>
      <c r="D731" s="59"/>
      <c r="E731" s="8"/>
      <c r="F731" s="8"/>
      <c r="G731" s="8"/>
      <c r="H731" s="8"/>
      <c r="I731" s="8"/>
      <c r="J731" s="8"/>
      <c r="K731" s="8"/>
      <c r="L731" s="8"/>
      <c r="M731" s="8"/>
      <c r="N731" s="8"/>
      <c r="O731" s="8"/>
      <c r="P731" s="8"/>
      <c r="Q731" s="8"/>
      <c r="R731" s="8"/>
      <c r="S731" s="8"/>
      <c r="T731" s="8"/>
      <c r="U731" s="8"/>
      <c r="V731" s="8"/>
      <c r="W731" s="8"/>
      <c r="X731" s="8"/>
    </row>
    <row r="732" spans="1:24" ht="12.75">
      <c r="A732" s="82"/>
      <c r="B732" s="8"/>
      <c r="C732" s="59"/>
      <c r="D732" s="59"/>
      <c r="E732" s="8"/>
      <c r="F732" s="8"/>
      <c r="G732" s="8"/>
      <c r="H732" s="8"/>
      <c r="I732" s="8"/>
      <c r="J732" s="8"/>
      <c r="K732" s="8"/>
      <c r="L732" s="8"/>
      <c r="M732" s="8"/>
      <c r="N732" s="8"/>
      <c r="O732" s="8"/>
      <c r="P732" s="8"/>
      <c r="Q732" s="8"/>
      <c r="R732" s="8"/>
      <c r="S732" s="8"/>
      <c r="T732" s="8"/>
      <c r="U732" s="8"/>
      <c r="V732" s="8"/>
      <c r="W732" s="8"/>
      <c r="X732" s="8"/>
    </row>
    <row r="733" spans="1:24" ht="12.75">
      <c r="A733" s="82"/>
      <c r="B733" s="8"/>
      <c r="C733" s="59"/>
      <c r="D733" s="59"/>
      <c r="E733" s="8"/>
      <c r="F733" s="8"/>
      <c r="G733" s="8"/>
      <c r="H733" s="8"/>
      <c r="I733" s="8"/>
      <c r="J733" s="8"/>
      <c r="K733" s="8"/>
      <c r="L733" s="8"/>
      <c r="M733" s="8"/>
      <c r="N733" s="8"/>
      <c r="O733" s="8"/>
      <c r="P733" s="8"/>
      <c r="Q733" s="8"/>
      <c r="R733" s="8"/>
      <c r="S733" s="8"/>
      <c r="T733" s="8"/>
      <c r="U733" s="8"/>
      <c r="V733" s="8"/>
      <c r="W733" s="8"/>
      <c r="X733" s="8"/>
    </row>
    <row r="734" spans="1:24" ht="12.75">
      <c r="A734" s="82"/>
      <c r="B734" s="8"/>
      <c r="C734" s="59"/>
      <c r="D734" s="59"/>
      <c r="E734" s="8"/>
      <c r="F734" s="8"/>
      <c r="G734" s="8"/>
      <c r="H734" s="8"/>
      <c r="I734" s="8"/>
      <c r="J734" s="8"/>
      <c r="K734" s="8"/>
      <c r="L734" s="8"/>
      <c r="M734" s="8"/>
      <c r="N734" s="8"/>
      <c r="O734" s="8"/>
      <c r="P734" s="8"/>
      <c r="Q734" s="8"/>
      <c r="R734" s="8"/>
      <c r="S734" s="8"/>
      <c r="T734" s="8"/>
      <c r="U734" s="8"/>
      <c r="V734" s="8"/>
      <c r="W734" s="8"/>
      <c r="X734" s="8"/>
    </row>
    <row r="735" spans="1:24" ht="12.75">
      <c r="A735" s="82"/>
      <c r="B735" s="8"/>
      <c r="C735" s="59"/>
      <c r="D735" s="59"/>
      <c r="E735" s="8"/>
      <c r="F735" s="8"/>
      <c r="G735" s="8"/>
      <c r="H735" s="8"/>
      <c r="I735" s="8"/>
      <c r="J735" s="8"/>
      <c r="K735" s="8"/>
      <c r="L735" s="8"/>
      <c r="M735" s="8"/>
      <c r="N735" s="8"/>
      <c r="O735" s="8"/>
      <c r="P735" s="8"/>
      <c r="Q735" s="8"/>
      <c r="R735" s="8"/>
      <c r="S735" s="8"/>
      <c r="T735" s="8"/>
      <c r="U735" s="8"/>
      <c r="V735" s="8"/>
      <c r="W735" s="8"/>
      <c r="X735" s="8"/>
    </row>
    <row r="736" spans="1:24" ht="12.75">
      <c r="A736" s="82"/>
      <c r="B736" s="8"/>
      <c r="C736" s="59"/>
      <c r="D736" s="59"/>
      <c r="E736" s="8"/>
      <c r="F736" s="8"/>
      <c r="G736" s="8"/>
      <c r="H736" s="8"/>
      <c r="I736" s="8"/>
      <c r="J736" s="8"/>
      <c r="K736" s="8"/>
      <c r="L736" s="8"/>
      <c r="M736" s="8"/>
      <c r="N736" s="8"/>
      <c r="O736" s="8"/>
      <c r="P736" s="8"/>
      <c r="Q736" s="8"/>
      <c r="R736" s="8"/>
      <c r="S736" s="8"/>
      <c r="T736" s="8"/>
      <c r="U736" s="8"/>
      <c r="V736" s="8"/>
      <c r="W736" s="8"/>
      <c r="X736" s="8"/>
    </row>
    <row r="737" spans="1:24" ht="12.75">
      <c r="A737" s="82"/>
      <c r="B737" s="8"/>
      <c r="C737" s="59"/>
      <c r="D737" s="59"/>
      <c r="E737" s="8"/>
      <c r="F737" s="8"/>
      <c r="G737" s="8"/>
      <c r="H737" s="8"/>
      <c r="I737" s="8"/>
      <c r="J737" s="8"/>
      <c r="K737" s="8"/>
      <c r="L737" s="8"/>
      <c r="M737" s="8"/>
      <c r="N737" s="8"/>
      <c r="O737" s="8"/>
      <c r="P737" s="8"/>
      <c r="Q737" s="8"/>
      <c r="R737" s="8"/>
      <c r="S737" s="8"/>
      <c r="T737" s="8"/>
      <c r="U737" s="8"/>
      <c r="V737" s="8"/>
      <c r="W737" s="8"/>
      <c r="X737" s="8"/>
    </row>
    <row r="738" spans="1:24" ht="12.75">
      <c r="A738" s="82"/>
      <c r="B738" s="8"/>
      <c r="C738" s="59"/>
      <c r="D738" s="59"/>
      <c r="E738" s="8"/>
      <c r="F738" s="8"/>
      <c r="G738" s="8"/>
      <c r="H738" s="8"/>
      <c r="I738" s="8"/>
      <c r="J738" s="8"/>
      <c r="K738" s="8"/>
      <c r="L738" s="8"/>
      <c r="M738" s="8"/>
      <c r="N738" s="8"/>
      <c r="O738" s="8"/>
      <c r="P738" s="8"/>
      <c r="Q738" s="8"/>
      <c r="R738" s="8"/>
      <c r="S738" s="8"/>
      <c r="T738" s="8"/>
      <c r="U738" s="8"/>
      <c r="V738" s="8"/>
      <c r="W738" s="8"/>
      <c r="X738" s="8"/>
    </row>
    <row r="739" spans="1:24" ht="12.75">
      <c r="A739" s="82"/>
      <c r="B739" s="8"/>
      <c r="C739" s="59"/>
      <c r="D739" s="59"/>
      <c r="E739" s="8"/>
      <c r="F739" s="8"/>
      <c r="G739" s="8"/>
      <c r="H739" s="8"/>
      <c r="I739" s="8"/>
      <c r="J739" s="8"/>
      <c r="K739" s="8"/>
      <c r="L739" s="8"/>
      <c r="M739" s="8"/>
      <c r="N739" s="8"/>
      <c r="O739" s="8"/>
      <c r="P739" s="8"/>
      <c r="Q739" s="8"/>
      <c r="R739" s="8"/>
      <c r="S739" s="8"/>
      <c r="T739" s="8"/>
      <c r="U739" s="8"/>
      <c r="V739" s="8"/>
      <c r="W739" s="8"/>
      <c r="X739" s="8"/>
    </row>
    <row r="740" spans="1:24" ht="12.75">
      <c r="A740" s="82"/>
      <c r="B740" s="8"/>
      <c r="C740" s="59"/>
      <c r="D740" s="59"/>
      <c r="E740" s="8"/>
      <c r="F740" s="8"/>
      <c r="G740" s="8"/>
      <c r="H740" s="8"/>
      <c r="I740" s="8"/>
      <c r="J740" s="8"/>
      <c r="K740" s="8"/>
      <c r="L740" s="8"/>
      <c r="M740" s="8"/>
      <c r="N740" s="8"/>
      <c r="O740" s="8"/>
      <c r="P740" s="8"/>
      <c r="Q740" s="8"/>
      <c r="R740" s="8"/>
      <c r="S740" s="8"/>
      <c r="T740" s="8"/>
      <c r="U740" s="8"/>
      <c r="V740" s="8"/>
      <c r="W740" s="8"/>
      <c r="X740" s="8"/>
    </row>
    <row r="741" spans="1:24" ht="12.75">
      <c r="A741" s="82"/>
      <c r="B741" s="8"/>
      <c r="C741" s="59"/>
      <c r="D741" s="59"/>
      <c r="E741" s="8"/>
      <c r="F741" s="8"/>
      <c r="G741" s="8"/>
      <c r="H741" s="8"/>
      <c r="I741" s="8"/>
      <c r="J741" s="8"/>
      <c r="K741" s="8"/>
      <c r="L741" s="8"/>
      <c r="M741" s="8"/>
      <c r="N741" s="8"/>
      <c r="O741" s="8"/>
      <c r="P741" s="8"/>
      <c r="Q741" s="8"/>
      <c r="R741" s="8"/>
      <c r="S741" s="8"/>
      <c r="T741" s="8"/>
      <c r="U741" s="8"/>
      <c r="V741" s="8"/>
      <c r="W741" s="8"/>
      <c r="X741" s="8"/>
    </row>
    <row r="742" spans="1:24" ht="12.75">
      <c r="A742" s="82"/>
      <c r="B742" s="8"/>
      <c r="C742" s="59"/>
      <c r="D742" s="59"/>
      <c r="E742" s="8"/>
      <c r="F742" s="8"/>
      <c r="G742" s="8"/>
      <c r="H742" s="8"/>
      <c r="I742" s="8"/>
      <c r="J742" s="8"/>
      <c r="K742" s="8"/>
      <c r="L742" s="8"/>
      <c r="M742" s="8"/>
      <c r="N742" s="8"/>
      <c r="O742" s="8"/>
      <c r="P742" s="8"/>
      <c r="Q742" s="8"/>
      <c r="R742" s="8"/>
      <c r="S742" s="8"/>
      <c r="T742" s="8"/>
      <c r="U742" s="8"/>
      <c r="V742" s="8"/>
      <c r="W742" s="8"/>
      <c r="X742" s="8"/>
    </row>
    <row r="743" spans="1:24" ht="12.75">
      <c r="A743" s="82"/>
      <c r="B743" s="8"/>
      <c r="C743" s="59"/>
      <c r="D743" s="59"/>
      <c r="E743" s="8"/>
      <c r="F743" s="8"/>
      <c r="G743" s="8"/>
      <c r="H743" s="8"/>
      <c r="I743" s="8"/>
      <c r="J743" s="8"/>
      <c r="K743" s="8"/>
      <c r="L743" s="8"/>
      <c r="M743" s="8"/>
      <c r="N743" s="8"/>
      <c r="O743" s="8"/>
      <c r="P743" s="8"/>
      <c r="Q743" s="8"/>
      <c r="R743" s="8"/>
      <c r="S743" s="8"/>
      <c r="T743" s="8"/>
      <c r="U743" s="8"/>
      <c r="V743" s="8"/>
      <c r="W743" s="8"/>
      <c r="X743" s="8"/>
    </row>
    <row r="744" spans="1:24" ht="12.75">
      <c r="A744" s="82"/>
      <c r="B744" s="8"/>
      <c r="C744" s="59"/>
      <c r="D744" s="59"/>
      <c r="E744" s="8"/>
      <c r="F744" s="8"/>
      <c r="G744" s="8"/>
      <c r="H744" s="8"/>
      <c r="I744" s="8"/>
      <c r="J744" s="8"/>
      <c r="K744" s="8"/>
      <c r="L744" s="8"/>
      <c r="M744" s="8"/>
      <c r="N744" s="8"/>
      <c r="O744" s="8"/>
      <c r="P744" s="8"/>
      <c r="Q744" s="8"/>
      <c r="R744" s="8"/>
      <c r="S744" s="8"/>
      <c r="T744" s="8"/>
      <c r="U744" s="8"/>
      <c r="V744" s="8"/>
      <c r="W744" s="8"/>
      <c r="X744" s="8"/>
    </row>
    <row r="745" spans="1:24" ht="12.75">
      <c r="A745" s="82"/>
      <c r="B745" s="8"/>
      <c r="C745" s="59"/>
      <c r="D745" s="59"/>
      <c r="E745" s="8"/>
      <c r="F745" s="8"/>
      <c r="G745" s="8"/>
      <c r="H745" s="8"/>
      <c r="I745" s="8"/>
      <c r="J745" s="8"/>
      <c r="K745" s="8"/>
      <c r="L745" s="8"/>
      <c r="M745" s="8"/>
      <c r="N745" s="8"/>
      <c r="O745" s="8"/>
      <c r="P745" s="8"/>
      <c r="Q745" s="8"/>
      <c r="R745" s="8"/>
      <c r="S745" s="8"/>
      <c r="T745" s="8"/>
      <c r="U745" s="8"/>
      <c r="V745" s="8"/>
      <c r="W745" s="8"/>
      <c r="X745" s="8"/>
    </row>
    <row r="746" spans="1:24" ht="12.75">
      <c r="A746" s="82"/>
      <c r="B746" s="8"/>
      <c r="C746" s="59"/>
      <c r="D746" s="59"/>
      <c r="E746" s="8"/>
      <c r="F746" s="8"/>
      <c r="G746" s="8"/>
      <c r="H746" s="8"/>
      <c r="I746" s="8"/>
      <c r="J746" s="8"/>
      <c r="K746" s="8"/>
      <c r="L746" s="8"/>
      <c r="M746" s="8"/>
      <c r="N746" s="8"/>
      <c r="O746" s="8"/>
      <c r="P746" s="8"/>
      <c r="Q746" s="8"/>
      <c r="R746" s="8"/>
      <c r="S746" s="8"/>
      <c r="T746" s="8"/>
      <c r="U746" s="8"/>
      <c r="V746" s="8"/>
      <c r="W746" s="8"/>
      <c r="X746" s="8"/>
    </row>
    <row r="747" spans="1:24" ht="12.75">
      <c r="A747" s="82"/>
      <c r="B747" s="8"/>
      <c r="C747" s="59"/>
      <c r="D747" s="59"/>
      <c r="E747" s="8"/>
      <c r="F747" s="8"/>
      <c r="G747" s="8"/>
      <c r="H747" s="8"/>
      <c r="I747" s="8"/>
      <c r="J747" s="8"/>
      <c r="K747" s="8"/>
      <c r="L747" s="8"/>
      <c r="M747" s="8"/>
      <c r="N747" s="8"/>
      <c r="O747" s="8"/>
      <c r="P747" s="8"/>
      <c r="Q747" s="8"/>
      <c r="R747" s="8"/>
      <c r="S747" s="8"/>
      <c r="T747" s="8"/>
      <c r="U747" s="8"/>
      <c r="V747" s="8"/>
      <c r="W747" s="8"/>
      <c r="X747" s="8"/>
    </row>
    <row r="748" spans="1:24" ht="12.75">
      <c r="A748" s="82"/>
      <c r="B748" s="8"/>
      <c r="C748" s="59"/>
      <c r="D748" s="59"/>
      <c r="E748" s="8"/>
      <c r="F748" s="8"/>
      <c r="G748" s="8"/>
      <c r="H748" s="8"/>
      <c r="I748" s="8"/>
      <c r="J748" s="8"/>
      <c r="K748" s="8"/>
      <c r="L748" s="8"/>
      <c r="M748" s="8"/>
      <c r="N748" s="8"/>
      <c r="O748" s="8"/>
      <c r="P748" s="8"/>
      <c r="Q748" s="8"/>
      <c r="R748" s="8"/>
      <c r="S748" s="8"/>
      <c r="T748" s="8"/>
      <c r="U748" s="8"/>
      <c r="V748" s="8"/>
      <c r="W748" s="8"/>
      <c r="X748" s="8"/>
    </row>
    <row r="749" spans="1:24" ht="12.75">
      <c r="A749" s="82"/>
      <c r="B749" s="8"/>
      <c r="C749" s="59"/>
      <c r="D749" s="59"/>
      <c r="E749" s="8"/>
      <c r="F749" s="8"/>
      <c r="G749" s="8"/>
      <c r="H749" s="8"/>
      <c r="I749" s="8"/>
      <c r="J749" s="8"/>
      <c r="K749" s="8"/>
      <c r="L749" s="8"/>
      <c r="M749" s="8"/>
      <c r="N749" s="8"/>
      <c r="O749" s="8"/>
      <c r="P749" s="8"/>
      <c r="Q749" s="8"/>
      <c r="R749" s="8"/>
      <c r="S749" s="8"/>
      <c r="T749" s="8"/>
      <c r="U749" s="8"/>
      <c r="V749" s="8"/>
      <c r="W749" s="8"/>
      <c r="X749" s="8"/>
    </row>
    <row r="750" spans="1:24" ht="12.75">
      <c r="A750" s="82"/>
      <c r="B750" s="8"/>
      <c r="C750" s="59"/>
      <c r="D750" s="59"/>
      <c r="E750" s="8"/>
      <c r="F750" s="8"/>
      <c r="G750" s="8"/>
      <c r="H750" s="8"/>
      <c r="I750" s="8"/>
      <c r="J750" s="8"/>
      <c r="K750" s="8"/>
      <c r="L750" s="8"/>
      <c r="M750" s="8"/>
      <c r="N750" s="8"/>
      <c r="O750" s="8"/>
      <c r="P750" s="8"/>
      <c r="Q750" s="8"/>
      <c r="R750" s="8"/>
      <c r="S750" s="8"/>
      <c r="T750" s="8"/>
      <c r="U750" s="8"/>
      <c r="V750" s="8"/>
      <c r="W750" s="8"/>
      <c r="X750" s="8"/>
    </row>
    <row r="751" spans="1:24" ht="12.75">
      <c r="A751" s="82"/>
      <c r="B751" s="8"/>
      <c r="C751" s="59"/>
      <c r="D751" s="59"/>
      <c r="E751" s="8"/>
      <c r="F751" s="8"/>
      <c r="G751" s="8"/>
      <c r="H751" s="8"/>
      <c r="I751" s="8"/>
      <c r="J751" s="8"/>
      <c r="K751" s="8"/>
      <c r="L751" s="8"/>
      <c r="M751" s="8"/>
      <c r="N751" s="8"/>
      <c r="O751" s="8"/>
      <c r="P751" s="8"/>
      <c r="Q751" s="8"/>
      <c r="R751" s="8"/>
      <c r="S751" s="8"/>
      <c r="T751" s="8"/>
      <c r="U751" s="8"/>
      <c r="V751" s="8"/>
      <c r="W751" s="8"/>
      <c r="X751" s="8"/>
    </row>
    <row r="752" spans="1:24" ht="12.75">
      <c r="A752" s="82"/>
      <c r="B752" s="8"/>
      <c r="C752" s="59"/>
      <c r="D752" s="59"/>
      <c r="E752" s="8"/>
      <c r="F752" s="8"/>
      <c r="G752" s="8"/>
      <c r="H752" s="8"/>
      <c r="I752" s="8"/>
      <c r="J752" s="8"/>
      <c r="K752" s="8"/>
      <c r="L752" s="8"/>
      <c r="M752" s="8"/>
      <c r="N752" s="8"/>
      <c r="O752" s="8"/>
      <c r="P752" s="8"/>
      <c r="Q752" s="8"/>
      <c r="R752" s="8"/>
      <c r="S752" s="8"/>
      <c r="T752" s="8"/>
      <c r="U752" s="8"/>
      <c r="V752" s="8"/>
      <c r="W752" s="8"/>
      <c r="X752" s="8"/>
    </row>
    <row r="753" spans="1:24" ht="12.75">
      <c r="A753" s="82"/>
      <c r="B753" s="8"/>
      <c r="C753" s="59"/>
      <c r="D753" s="59"/>
      <c r="E753" s="8"/>
      <c r="F753" s="8"/>
      <c r="G753" s="8"/>
      <c r="H753" s="8"/>
      <c r="I753" s="8"/>
      <c r="J753" s="8"/>
      <c r="K753" s="8"/>
      <c r="L753" s="8"/>
      <c r="M753" s="8"/>
      <c r="N753" s="8"/>
      <c r="O753" s="8"/>
      <c r="P753" s="8"/>
      <c r="Q753" s="8"/>
      <c r="R753" s="8"/>
      <c r="S753" s="8"/>
      <c r="T753" s="8"/>
      <c r="U753" s="8"/>
      <c r="V753" s="8"/>
      <c r="W753" s="8"/>
      <c r="X753" s="8"/>
    </row>
    <row r="754" spans="1:24" ht="12.75">
      <c r="A754" s="82"/>
      <c r="B754" s="8"/>
      <c r="C754" s="59"/>
      <c r="D754" s="59"/>
      <c r="E754" s="8"/>
      <c r="F754" s="8"/>
      <c r="G754" s="8"/>
      <c r="H754" s="8"/>
      <c r="I754" s="8"/>
      <c r="J754" s="8"/>
      <c r="K754" s="8"/>
      <c r="L754" s="8"/>
      <c r="M754" s="8"/>
      <c r="N754" s="8"/>
      <c r="O754" s="8"/>
      <c r="P754" s="8"/>
      <c r="Q754" s="8"/>
      <c r="R754" s="8"/>
      <c r="S754" s="8"/>
      <c r="T754" s="8"/>
      <c r="U754" s="8"/>
      <c r="V754" s="8"/>
      <c r="W754" s="8"/>
      <c r="X754" s="8"/>
    </row>
    <row r="755" spans="1:24" ht="12.75">
      <c r="A755" s="82"/>
      <c r="B755" s="8"/>
      <c r="C755" s="59"/>
      <c r="D755" s="59"/>
      <c r="E755" s="8"/>
      <c r="F755" s="8"/>
      <c r="G755" s="8"/>
      <c r="H755" s="8"/>
      <c r="I755" s="8"/>
      <c r="J755" s="8"/>
      <c r="K755" s="8"/>
      <c r="L755" s="8"/>
      <c r="M755" s="8"/>
      <c r="N755" s="8"/>
      <c r="O755" s="8"/>
      <c r="P755" s="8"/>
      <c r="Q755" s="8"/>
      <c r="R755" s="8"/>
      <c r="S755" s="8"/>
      <c r="T755" s="8"/>
      <c r="U755" s="8"/>
      <c r="V755" s="8"/>
      <c r="W755" s="8"/>
      <c r="X755" s="8"/>
    </row>
    <row r="756" spans="1:24" ht="12.75">
      <c r="A756" s="82"/>
      <c r="B756" s="8"/>
      <c r="C756" s="59"/>
      <c r="D756" s="59"/>
      <c r="E756" s="8"/>
      <c r="F756" s="8"/>
      <c r="G756" s="8"/>
      <c r="H756" s="8"/>
      <c r="I756" s="8"/>
      <c r="J756" s="8"/>
      <c r="K756" s="8"/>
      <c r="L756" s="8"/>
      <c r="M756" s="8"/>
      <c r="N756" s="8"/>
      <c r="O756" s="8"/>
      <c r="P756" s="8"/>
      <c r="Q756" s="8"/>
      <c r="R756" s="8"/>
      <c r="S756" s="8"/>
      <c r="T756" s="8"/>
      <c r="U756" s="8"/>
      <c r="V756" s="8"/>
      <c r="W756" s="8"/>
      <c r="X756" s="8"/>
    </row>
    <row r="757" spans="1:24" ht="12.75">
      <c r="A757" s="82"/>
      <c r="B757" s="8"/>
      <c r="C757" s="59"/>
      <c r="D757" s="59"/>
      <c r="E757" s="8"/>
      <c r="F757" s="8"/>
      <c r="G757" s="8"/>
      <c r="H757" s="8"/>
      <c r="I757" s="8"/>
      <c r="J757" s="8"/>
      <c r="K757" s="8"/>
      <c r="L757" s="8"/>
      <c r="M757" s="8"/>
      <c r="N757" s="8"/>
      <c r="O757" s="8"/>
      <c r="P757" s="8"/>
      <c r="Q757" s="8"/>
      <c r="R757" s="8"/>
      <c r="S757" s="8"/>
      <c r="T757" s="8"/>
      <c r="U757" s="8"/>
      <c r="V757" s="8"/>
      <c r="W757" s="8"/>
      <c r="X757" s="8"/>
    </row>
    <row r="758" spans="1:24" ht="12.75">
      <c r="A758" s="82"/>
      <c r="B758" s="8"/>
      <c r="C758" s="59"/>
      <c r="D758" s="59"/>
      <c r="E758" s="8"/>
      <c r="F758" s="8"/>
      <c r="G758" s="8"/>
      <c r="H758" s="8"/>
      <c r="I758" s="8"/>
      <c r="J758" s="8"/>
      <c r="K758" s="8"/>
      <c r="L758" s="8"/>
      <c r="M758" s="8"/>
      <c r="N758" s="8"/>
      <c r="O758" s="8"/>
      <c r="P758" s="8"/>
      <c r="Q758" s="8"/>
      <c r="R758" s="8"/>
      <c r="S758" s="8"/>
      <c r="T758" s="8"/>
      <c r="U758" s="8"/>
      <c r="V758" s="8"/>
      <c r="W758" s="8"/>
      <c r="X758" s="8"/>
    </row>
    <row r="759" spans="1:24" ht="12.75">
      <c r="A759" s="82"/>
      <c r="B759" s="8"/>
      <c r="C759" s="59"/>
      <c r="D759" s="59"/>
      <c r="E759" s="8"/>
      <c r="F759" s="8"/>
      <c r="G759" s="8"/>
      <c r="H759" s="8"/>
      <c r="I759" s="8"/>
      <c r="J759" s="8"/>
      <c r="K759" s="8"/>
      <c r="L759" s="8"/>
      <c r="M759" s="8"/>
      <c r="N759" s="8"/>
      <c r="O759" s="8"/>
      <c r="P759" s="8"/>
      <c r="Q759" s="8"/>
      <c r="R759" s="8"/>
      <c r="S759" s="8"/>
      <c r="T759" s="8"/>
      <c r="U759" s="8"/>
      <c r="V759" s="8"/>
      <c r="W759" s="8"/>
      <c r="X759" s="8"/>
    </row>
    <row r="760" spans="1:24" ht="12.75">
      <c r="A760" s="82"/>
      <c r="B760" s="8"/>
      <c r="C760" s="59"/>
      <c r="D760" s="59"/>
      <c r="E760" s="8"/>
      <c r="F760" s="8"/>
      <c r="G760" s="8"/>
      <c r="H760" s="8"/>
      <c r="I760" s="8"/>
      <c r="J760" s="8"/>
      <c r="K760" s="8"/>
      <c r="L760" s="8"/>
      <c r="M760" s="8"/>
      <c r="N760" s="8"/>
      <c r="O760" s="8"/>
      <c r="P760" s="8"/>
      <c r="Q760" s="8"/>
      <c r="R760" s="8"/>
      <c r="S760" s="8"/>
      <c r="T760" s="8"/>
      <c r="U760" s="8"/>
      <c r="V760" s="8"/>
      <c r="W760" s="8"/>
      <c r="X760" s="8"/>
    </row>
    <row r="761" spans="1:24" ht="12.75">
      <c r="A761" s="82"/>
      <c r="B761" s="8"/>
      <c r="C761" s="59"/>
      <c r="D761" s="59"/>
      <c r="E761" s="8"/>
      <c r="F761" s="8"/>
      <c r="G761" s="8"/>
      <c r="H761" s="8"/>
      <c r="I761" s="8"/>
      <c r="J761" s="8"/>
      <c r="K761" s="8"/>
      <c r="L761" s="8"/>
      <c r="M761" s="8"/>
      <c r="N761" s="8"/>
      <c r="O761" s="8"/>
      <c r="P761" s="8"/>
      <c r="Q761" s="8"/>
      <c r="R761" s="8"/>
      <c r="S761" s="8"/>
      <c r="T761" s="8"/>
      <c r="U761" s="8"/>
      <c r="V761" s="8"/>
      <c r="W761" s="8"/>
      <c r="X761" s="8"/>
    </row>
    <row r="762" spans="1:24" ht="12.75">
      <c r="A762" s="82"/>
      <c r="B762" s="8"/>
      <c r="C762" s="59"/>
      <c r="D762" s="59"/>
      <c r="E762" s="8"/>
      <c r="F762" s="8"/>
      <c r="G762" s="8"/>
      <c r="H762" s="8"/>
      <c r="I762" s="8"/>
      <c r="J762" s="8"/>
      <c r="K762" s="8"/>
      <c r="L762" s="8"/>
      <c r="M762" s="8"/>
      <c r="N762" s="8"/>
      <c r="O762" s="8"/>
      <c r="P762" s="8"/>
      <c r="Q762" s="8"/>
      <c r="R762" s="8"/>
      <c r="S762" s="8"/>
      <c r="T762" s="8"/>
      <c r="U762" s="8"/>
      <c r="V762" s="8"/>
      <c r="W762" s="8"/>
      <c r="X762" s="8"/>
    </row>
    <row r="763" spans="1:24" ht="12.75">
      <c r="A763" s="82"/>
      <c r="B763" s="8"/>
      <c r="C763" s="59"/>
      <c r="D763" s="59"/>
      <c r="E763" s="8"/>
      <c r="F763" s="8"/>
      <c r="G763" s="8"/>
      <c r="H763" s="8"/>
      <c r="I763" s="8"/>
      <c r="J763" s="8"/>
      <c r="K763" s="8"/>
      <c r="L763" s="8"/>
      <c r="M763" s="8"/>
      <c r="N763" s="8"/>
      <c r="O763" s="8"/>
      <c r="P763" s="8"/>
      <c r="Q763" s="8"/>
      <c r="R763" s="8"/>
      <c r="S763" s="8"/>
      <c r="T763" s="8"/>
      <c r="U763" s="8"/>
      <c r="V763" s="8"/>
      <c r="W763" s="8"/>
      <c r="X763" s="8"/>
    </row>
    <row r="764" spans="1:24" ht="12.75">
      <c r="A764" s="82"/>
      <c r="B764" s="8"/>
      <c r="C764" s="59"/>
      <c r="D764" s="59"/>
      <c r="E764" s="8"/>
      <c r="F764" s="8"/>
      <c r="G764" s="8"/>
      <c r="H764" s="8"/>
      <c r="I764" s="8"/>
      <c r="J764" s="8"/>
      <c r="K764" s="8"/>
      <c r="L764" s="8"/>
      <c r="M764" s="8"/>
      <c r="N764" s="8"/>
      <c r="O764" s="8"/>
      <c r="P764" s="8"/>
      <c r="Q764" s="8"/>
      <c r="R764" s="8"/>
      <c r="S764" s="8"/>
      <c r="T764" s="8"/>
      <c r="U764" s="8"/>
      <c r="V764" s="8"/>
      <c r="W764" s="8"/>
      <c r="X764" s="8"/>
    </row>
    <row r="765" spans="1:24" ht="12.75">
      <c r="A765" s="82"/>
      <c r="B765" s="8"/>
      <c r="C765" s="59"/>
      <c r="D765" s="59"/>
      <c r="E765" s="8"/>
      <c r="F765" s="8"/>
      <c r="G765" s="8"/>
      <c r="H765" s="8"/>
      <c r="I765" s="8"/>
      <c r="J765" s="8"/>
      <c r="K765" s="8"/>
      <c r="L765" s="8"/>
      <c r="M765" s="8"/>
      <c r="N765" s="8"/>
      <c r="O765" s="8"/>
      <c r="P765" s="8"/>
      <c r="Q765" s="8"/>
      <c r="R765" s="8"/>
      <c r="S765" s="8"/>
      <c r="T765" s="8"/>
      <c r="U765" s="8"/>
      <c r="V765" s="8"/>
      <c r="W765" s="8"/>
      <c r="X765" s="8"/>
    </row>
    <row r="766" spans="1:24" ht="12.75">
      <c r="A766" s="82"/>
      <c r="B766" s="8"/>
      <c r="C766" s="59"/>
      <c r="D766" s="59"/>
      <c r="E766" s="8"/>
      <c r="F766" s="8"/>
      <c r="G766" s="8"/>
      <c r="H766" s="8"/>
      <c r="I766" s="8"/>
      <c r="J766" s="8"/>
      <c r="K766" s="8"/>
      <c r="L766" s="8"/>
      <c r="M766" s="8"/>
      <c r="N766" s="8"/>
      <c r="O766" s="8"/>
      <c r="P766" s="8"/>
      <c r="Q766" s="8"/>
      <c r="R766" s="8"/>
      <c r="S766" s="8"/>
      <c r="T766" s="8"/>
      <c r="U766" s="8"/>
      <c r="V766" s="8"/>
      <c r="W766" s="8"/>
      <c r="X766" s="8"/>
    </row>
    <row r="767" spans="1:24" ht="12.75">
      <c r="A767" s="82"/>
      <c r="B767" s="8"/>
      <c r="C767" s="59"/>
      <c r="D767" s="59"/>
      <c r="E767" s="8"/>
      <c r="F767" s="8"/>
      <c r="G767" s="8"/>
      <c r="H767" s="8"/>
      <c r="I767" s="8"/>
      <c r="J767" s="8"/>
      <c r="K767" s="8"/>
      <c r="L767" s="8"/>
      <c r="M767" s="8"/>
      <c r="N767" s="8"/>
      <c r="O767" s="8"/>
      <c r="P767" s="8"/>
      <c r="Q767" s="8"/>
      <c r="R767" s="8"/>
      <c r="S767" s="8"/>
      <c r="T767" s="8"/>
      <c r="U767" s="8"/>
      <c r="V767" s="8"/>
      <c r="W767" s="8"/>
      <c r="X767" s="8"/>
    </row>
    <row r="768" spans="1:24" ht="12.75">
      <c r="A768" s="82"/>
      <c r="B768" s="8"/>
      <c r="C768" s="59"/>
      <c r="D768" s="59"/>
      <c r="E768" s="8"/>
      <c r="F768" s="8"/>
      <c r="G768" s="8"/>
      <c r="H768" s="8"/>
      <c r="I768" s="8"/>
      <c r="J768" s="8"/>
      <c r="K768" s="8"/>
      <c r="L768" s="8"/>
      <c r="M768" s="8"/>
      <c r="N768" s="8"/>
      <c r="O768" s="8"/>
      <c r="P768" s="8"/>
      <c r="Q768" s="8"/>
      <c r="R768" s="8"/>
      <c r="S768" s="8"/>
      <c r="T768" s="8"/>
      <c r="U768" s="8"/>
      <c r="V768" s="8"/>
      <c r="W768" s="8"/>
      <c r="X768" s="8"/>
    </row>
    <row r="769" spans="1:24" ht="12.75">
      <c r="A769" s="82"/>
      <c r="B769" s="8"/>
      <c r="C769" s="59"/>
      <c r="D769" s="59"/>
      <c r="E769" s="8"/>
      <c r="F769" s="8"/>
      <c r="G769" s="8"/>
      <c r="H769" s="8"/>
      <c r="I769" s="8"/>
      <c r="J769" s="8"/>
      <c r="K769" s="8"/>
      <c r="L769" s="8"/>
      <c r="M769" s="8"/>
      <c r="N769" s="8"/>
      <c r="O769" s="8"/>
      <c r="P769" s="8"/>
      <c r="Q769" s="8"/>
      <c r="R769" s="8"/>
      <c r="S769" s="8"/>
      <c r="T769" s="8"/>
      <c r="U769" s="8"/>
      <c r="V769" s="8"/>
      <c r="W769" s="8"/>
      <c r="X769" s="8"/>
    </row>
    <row r="770" spans="1:24" ht="12.75">
      <c r="A770" s="82"/>
      <c r="B770" s="8"/>
      <c r="C770" s="59"/>
      <c r="D770" s="59"/>
      <c r="E770" s="8"/>
      <c r="F770" s="8"/>
      <c r="G770" s="8"/>
      <c r="H770" s="8"/>
      <c r="I770" s="8"/>
      <c r="J770" s="8"/>
      <c r="K770" s="8"/>
      <c r="L770" s="8"/>
      <c r="M770" s="8"/>
      <c r="N770" s="8"/>
      <c r="O770" s="8"/>
      <c r="P770" s="8"/>
      <c r="Q770" s="8"/>
      <c r="R770" s="8"/>
      <c r="S770" s="8"/>
      <c r="T770" s="8"/>
      <c r="U770" s="8"/>
      <c r="V770" s="8"/>
      <c r="W770" s="8"/>
      <c r="X770" s="8"/>
    </row>
    <row r="771" spans="1:24" ht="12.75">
      <c r="A771" s="82"/>
      <c r="B771" s="8"/>
      <c r="C771" s="59"/>
      <c r="D771" s="59"/>
      <c r="E771" s="8"/>
      <c r="F771" s="8"/>
      <c r="G771" s="8"/>
      <c r="H771" s="8"/>
      <c r="I771" s="8"/>
      <c r="J771" s="8"/>
      <c r="K771" s="8"/>
      <c r="L771" s="8"/>
      <c r="M771" s="8"/>
      <c r="N771" s="8"/>
      <c r="O771" s="8"/>
      <c r="P771" s="8"/>
      <c r="Q771" s="8"/>
      <c r="R771" s="8"/>
      <c r="S771" s="8"/>
      <c r="T771" s="8"/>
      <c r="U771" s="8"/>
      <c r="V771" s="8"/>
      <c r="W771" s="8"/>
      <c r="X771" s="8"/>
    </row>
    <row r="772" spans="1:24" ht="12.75">
      <c r="A772" s="82"/>
      <c r="B772" s="8"/>
      <c r="C772" s="59"/>
      <c r="D772" s="59"/>
      <c r="E772" s="8"/>
      <c r="F772" s="8"/>
      <c r="G772" s="8"/>
      <c r="H772" s="8"/>
      <c r="I772" s="8"/>
      <c r="J772" s="8"/>
      <c r="K772" s="8"/>
      <c r="L772" s="8"/>
      <c r="M772" s="8"/>
      <c r="N772" s="8"/>
      <c r="O772" s="8"/>
      <c r="P772" s="8"/>
      <c r="Q772" s="8"/>
      <c r="R772" s="8"/>
      <c r="S772" s="8"/>
      <c r="T772" s="8"/>
      <c r="U772" s="8"/>
      <c r="V772" s="8"/>
      <c r="W772" s="8"/>
      <c r="X772" s="8"/>
    </row>
    <row r="773" spans="1:24" ht="12.75">
      <c r="A773" s="82"/>
      <c r="B773" s="8"/>
      <c r="C773" s="59"/>
      <c r="D773" s="59"/>
      <c r="E773" s="8"/>
      <c r="F773" s="8"/>
      <c r="G773" s="8"/>
      <c r="H773" s="8"/>
      <c r="I773" s="8"/>
      <c r="J773" s="8"/>
      <c r="K773" s="8"/>
      <c r="L773" s="8"/>
      <c r="M773" s="8"/>
      <c r="N773" s="8"/>
      <c r="O773" s="8"/>
      <c r="P773" s="8"/>
      <c r="Q773" s="8"/>
      <c r="R773" s="8"/>
      <c r="S773" s="8"/>
      <c r="T773" s="8"/>
      <c r="U773" s="8"/>
      <c r="V773" s="8"/>
      <c r="W773" s="8"/>
      <c r="X773" s="8"/>
    </row>
    <row r="774" spans="1:24" ht="12.75">
      <c r="A774" s="82"/>
      <c r="B774" s="8"/>
      <c r="C774" s="59"/>
      <c r="D774" s="59"/>
      <c r="E774" s="8"/>
      <c r="F774" s="8"/>
      <c r="G774" s="8"/>
      <c r="H774" s="8"/>
      <c r="I774" s="8"/>
      <c r="J774" s="8"/>
      <c r="K774" s="8"/>
      <c r="L774" s="8"/>
      <c r="M774" s="8"/>
      <c r="N774" s="8"/>
      <c r="O774" s="8"/>
      <c r="P774" s="8"/>
      <c r="Q774" s="8"/>
      <c r="R774" s="8"/>
      <c r="S774" s="8"/>
      <c r="T774" s="8"/>
      <c r="U774" s="8"/>
      <c r="V774" s="8"/>
      <c r="W774" s="8"/>
      <c r="X774" s="8"/>
    </row>
    <row r="775" spans="1:24" ht="12.75">
      <c r="A775" s="82"/>
      <c r="B775" s="8"/>
      <c r="C775" s="59"/>
      <c r="D775" s="59"/>
      <c r="E775" s="8"/>
      <c r="F775" s="8"/>
      <c r="G775" s="8"/>
      <c r="H775" s="8"/>
      <c r="I775" s="8"/>
      <c r="J775" s="8"/>
      <c r="K775" s="8"/>
      <c r="L775" s="8"/>
      <c r="M775" s="8"/>
      <c r="N775" s="8"/>
      <c r="O775" s="8"/>
      <c r="P775" s="8"/>
      <c r="Q775" s="8"/>
      <c r="R775" s="8"/>
      <c r="S775" s="8"/>
      <c r="T775" s="8"/>
      <c r="U775" s="8"/>
      <c r="V775" s="8"/>
      <c r="W775" s="8"/>
      <c r="X775" s="8"/>
    </row>
    <row r="776" spans="1:24" ht="12.75">
      <c r="A776" s="82"/>
      <c r="B776" s="8"/>
      <c r="C776" s="59"/>
      <c r="D776" s="59"/>
      <c r="E776" s="8"/>
      <c r="F776" s="8"/>
      <c r="G776" s="8"/>
      <c r="H776" s="8"/>
      <c r="I776" s="8"/>
      <c r="J776" s="8"/>
      <c r="K776" s="8"/>
      <c r="L776" s="8"/>
      <c r="M776" s="8"/>
      <c r="N776" s="8"/>
      <c r="O776" s="8"/>
      <c r="P776" s="8"/>
      <c r="Q776" s="8"/>
      <c r="R776" s="8"/>
      <c r="S776" s="8"/>
      <c r="T776" s="8"/>
      <c r="U776" s="8"/>
      <c r="V776" s="8"/>
      <c r="W776" s="8"/>
      <c r="X776" s="8"/>
    </row>
    <row r="777" spans="1:24" ht="12.75">
      <c r="A777" s="82"/>
      <c r="B777" s="8"/>
      <c r="C777" s="59"/>
      <c r="D777" s="59"/>
      <c r="E777" s="8"/>
      <c r="F777" s="8"/>
      <c r="G777" s="8"/>
      <c r="H777" s="8"/>
      <c r="I777" s="8"/>
      <c r="J777" s="8"/>
      <c r="K777" s="8"/>
      <c r="L777" s="8"/>
      <c r="M777" s="8"/>
      <c r="N777" s="8"/>
      <c r="O777" s="8"/>
      <c r="P777" s="8"/>
      <c r="Q777" s="8"/>
      <c r="R777" s="8"/>
      <c r="S777" s="8"/>
      <c r="T777" s="8"/>
      <c r="U777" s="8"/>
      <c r="V777" s="8"/>
      <c r="W777" s="8"/>
      <c r="X777" s="8"/>
    </row>
    <row r="778" spans="1:24" ht="12.75">
      <c r="A778" s="82"/>
      <c r="B778" s="8"/>
      <c r="C778" s="59"/>
      <c r="D778" s="59"/>
      <c r="E778" s="8"/>
      <c r="F778" s="8"/>
      <c r="G778" s="8"/>
      <c r="H778" s="8"/>
      <c r="I778" s="8"/>
      <c r="J778" s="8"/>
      <c r="K778" s="8"/>
      <c r="L778" s="8"/>
      <c r="M778" s="8"/>
      <c r="N778" s="8"/>
      <c r="O778" s="8"/>
      <c r="P778" s="8"/>
      <c r="Q778" s="8"/>
      <c r="R778" s="8"/>
      <c r="S778" s="8"/>
      <c r="T778" s="8"/>
      <c r="U778" s="8"/>
      <c r="V778" s="8"/>
      <c r="W778" s="8"/>
      <c r="X778" s="8"/>
    </row>
    <row r="779" spans="1:24" ht="12.75">
      <c r="A779" s="82"/>
      <c r="B779" s="8"/>
      <c r="C779" s="59"/>
      <c r="D779" s="59"/>
      <c r="E779" s="8"/>
      <c r="F779" s="8"/>
      <c r="G779" s="8"/>
      <c r="H779" s="8"/>
      <c r="I779" s="8"/>
      <c r="J779" s="8"/>
      <c r="K779" s="8"/>
      <c r="L779" s="8"/>
      <c r="M779" s="8"/>
      <c r="N779" s="8"/>
      <c r="O779" s="8"/>
      <c r="P779" s="8"/>
      <c r="Q779" s="8"/>
      <c r="R779" s="8"/>
      <c r="S779" s="8"/>
      <c r="T779" s="8"/>
      <c r="U779" s="8"/>
      <c r="V779" s="8"/>
      <c r="W779" s="8"/>
      <c r="X779" s="8"/>
    </row>
    <row r="780" spans="1:24" ht="12.75">
      <c r="A780" s="82"/>
      <c r="B780" s="8"/>
      <c r="C780" s="59"/>
      <c r="D780" s="59"/>
      <c r="E780" s="8"/>
      <c r="F780" s="8"/>
      <c r="G780" s="8"/>
      <c r="H780" s="8"/>
      <c r="I780" s="8"/>
      <c r="J780" s="8"/>
      <c r="K780" s="8"/>
      <c r="L780" s="8"/>
      <c r="M780" s="8"/>
      <c r="N780" s="8"/>
      <c r="O780" s="8"/>
      <c r="P780" s="8"/>
      <c r="Q780" s="8"/>
      <c r="R780" s="8"/>
      <c r="S780" s="8"/>
      <c r="T780" s="8"/>
      <c r="U780" s="8"/>
      <c r="V780" s="8"/>
      <c r="W780" s="8"/>
      <c r="X780" s="8"/>
    </row>
    <row r="781" spans="1:24" ht="12.75">
      <c r="A781" s="82"/>
      <c r="B781" s="8"/>
      <c r="C781" s="59"/>
      <c r="D781" s="59"/>
      <c r="E781" s="8"/>
      <c r="F781" s="8"/>
      <c r="G781" s="8"/>
      <c r="H781" s="8"/>
      <c r="I781" s="8"/>
      <c r="J781" s="8"/>
      <c r="K781" s="8"/>
      <c r="L781" s="8"/>
      <c r="M781" s="8"/>
      <c r="N781" s="8"/>
      <c r="O781" s="8"/>
      <c r="P781" s="8"/>
      <c r="Q781" s="8"/>
      <c r="R781" s="8"/>
      <c r="S781" s="8"/>
      <c r="T781" s="8"/>
      <c r="U781" s="8"/>
      <c r="V781" s="8"/>
      <c r="W781" s="8"/>
      <c r="X781" s="8"/>
    </row>
    <row r="782" spans="1:24" ht="12.75">
      <c r="A782" s="82"/>
      <c r="B782" s="8"/>
      <c r="C782" s="59"/>
      <c r="D782" s="59"/>
      <c r="E782" s="8"/>
      <c r="F782" s="8"/>
      <c r="G782" s="8"/>
      <c r="H782" s="8"/>
      <c r="I782" s="8"/>
      <c r="J782" s="8"/>
      <c r="K782" s="8"/>
      <c r="L782" s="8"/>
      <c r="M782" s="8"/>
      <c r="N782" s="8"/>
      <c r="O782" s="8"/>
      <c r="P782" s="8"/>
      <c r="Q782" s="8"/>
      <c r="R782" s="8"/>
      <c r="S782" s="8"/>
      <c r="T782" s="8"/>
      <c r="U782" s="8"/>
      <c r="V782" s="8"/>
      <c r="W782" s="8"/>
      <c r="X782" s="8"/>
    </row>
    <row r="783" spans="1:24" ht="12.75">
      <c r="A783" s="82"/>
      <c r="B783" s="8"/>
      <c r="C783" s="59"/>
      <c r="D783" s="59"/>
      <c r="E783" s="8"/>
      <c r="F783" s="8"/>
      <c r="G783" s="8"/>
      <c r="H783" s="8"/>
      <c r="I783" s="8"/>
      <c r="J783" s="8"/>
      <c r="K783" s="8"/>
      <c r="L783" s="8"/>
      <c r="M783" s="8"/>
      <c r="N783" s="8"/>
      <c r="O783" s="8"/>
      <c r="P783" s="8"/>
      <c r="Q783" s="8"/>
      <c r="R783" s="8"/>
      <c r="S783" s="8"/>
      <c r="T783" s="8"/>
      <c r="U783" s="8"/>
      <c r="V783" s="8"/>
      <c r="W783" s="8"/>
      <c r="X783" s="8"/>
    </row>
    <row r="784" spans="1:24" ht="12.75">
      <c r="A784" s="82"/>
      <c r="B784" s="8"/>
      <c r="C784" s="59"/>
      <c r="D784" s="59"/>
      <c r="E784" s="8"/>
      <c r="F784" s="8"/>
      <c r="G784" s="8"/>
      <c r="H784" s="8"/>
      <c r="I784" s="8"/>
      <c r="J784" s="8"/>
      <c r="K784" s="8"/>
      <c r="L784" s="8"/>
      <c r="M784" s="8"/>
      <c r="N784" s="8"/>
      <c r="O784" s="8"/>
      <c r="P784" s="8"/>
      <c r="Q784" s="8"/>
      <c r="R784" s="8"/>
      <c r="S784" s="8"/>
      <c r="T784" s="8"/>
      <c r="U784" s="8"/>
      <c r="V784" s="8"/>
      <c r="W784" s="8"/>
      <c r="X784" s="8"/>
    </row>
    <row r="785" spans="1:24" ht="12.75">
      <c r="A785" s="82"/>
      <c r="B785" s="8"/>
      <c r="C785" s="59"/>
      <c r="D785" s="59"/>
      <c r="E785" s="8"/>
      <c r="F785" s="8"/>
      <c r="G785" s="8"/>
      <c r="H785" s="8"/>
      <c r="I785" s="8"/>
      <c r="J785" s="8"/>
      <c r="K785" s="8"/>
      <c r="L785" s="8"/>
      <c r="M785" s="8"/>
      <c r="N785" s="8"/>
      <c r="O785" s="8"/>
      <c r="P785" s="8"/>
      <c r="Q785" s="8"/>
      <c r="R785" s="8"/>
      <c r="S785" s="8"/>
      <c r="T785" s="8"/>
      <c r="U785" s="8"/>
      <c r="V785" s="8"/>
      <c r="W785" s="8"/>
      <c r="X785" s="8"/>
    </row>
    <row r="786" spans="1:24" ht="12.75">
      <c r="A786" s="82"/>
      <c r="B786" s="8"/>
      <c r="C786" s="59"/>
      <c r="D786" s="59"/>
      <c r="E786" s="8"/>
      <c r="F786" s="8"/>
      <c r="G786" s="8"/>
      <c r="H786" s="8"/>
      <c r="I786" s="8"/>
      <c r="J786" s="8"/>
      <c r="K786" s="8"/>
      <c r="L786" s="8"/>
      <c r="M786" s="8"/>
      <c r="N786" s="8"/>
      <c r="O786" s="8"/>
      <c r="P786" s="8"/>
      <c r="Q786" s="8"/>
      <c r="R786" s="8"/>
      <c r="S786" s="8"/>
      <c r="T786" s="8"/>
      <c r="U786" s="8"/>
      <c r="V786" s="8"/>
      <c r="W786" s="8"/>
      <c r="X786" s="8"/>
    </row>
    <row r="787" spans="1:24" ht="12.75">
      <c r="A787" s="82"/>
      <c r="B787" s="8"/>
      <c r="C787" s="59"/>
      <c r="D787" s="59"/>
      <c r="E787" s="8"/>
      <c r="F787" s="8"/>
      <c r="G787" s="8"/>
      <c r="H787" s="8"/>
      <c r="I787" s="8"/>
      <c r="J787" s="8"/>
      <c r="K787" s="8"/>
      <c r="L787" s="8"/>
      <c r="M787" s="8"/>
      <c r="N787" s="8"/>
      <c r="O787" s="8"/>
      <c r="P787" s="8"/>
      <c r="Q787" s="8"/>
      <c r="R787" s="8"/>
      <c r="S787" s="8"/>
      <c r="T787" s="8"/>
      <c r="U787" s="8"/>
      <c r="V787" s="8"/>
      <c r="W787" s="8"/>
      <c r="X787" s="8"/>
    </row>
    <row r="788" spans="1:24" ht="12.75">
      <c r="A788" s="82"/>
      <c r="B788" s="8"/>
      <c r="C788" s="59"/>
      <c r="D788" s="59"/>
      <c r="E788" s="8"/>
      <c r="F788" s="8"/>
      <c r="G788" s="8"/>
      <c r="H788" s="8"/>
      <c r="I788" s="8"/>
      <c r="J788" s="8"/>
      <c r="K788" s="8"/>
      <c r="L788" s="8"/>
      <c r="M788" s="8"/>
      <c r="N788" s="8"/>
      <c r="O788" s="8"/>
      <c r="P788" s="8"/>
      <c r="Q788" s="8"/>
      <c r="R788" s="8"/>
      <c r="S788" s="8"/>
      <c r="T788" s="8"/>
      <c r="U788" s="8"/>
      <c r="V788" s="8"/>
      <c r="W788" s="8"/>
      <c r="X788" s="8"/>
    </row>
    <row r="789" spans="1:24" ht="12.75">
      <c r="A789" s="82"/>
      <c r="B789" s="8"/>
      <c r="C789" s="59"/>
      <c r="D789" s="59"/>
      <c r="E789" s="8"/>
      <c r="F789" s="8"/>
      <c r="G789" s="8"/>
      <c r="H789" s="8"/>
      <c r="I789" s="8"/>
      <c r="J789" s="8"/>
      <c r="K789" s="8"/>
      <c r="L789" s="8"/>
      <c r="M789" s="8"/>
      <c r="N789" s="8"/>
      <c r="O789" s="8"/>
      <c r="P789" s="8"/>
      <c r="Q789" s="8"/>
      <c r="R789" s="8"/>
      <c r="S789" s="8"/>
      <c r="T789" s="8"/>
      <c r="U789" s="8"/>
      <c r="V789" s="8"/>
      <c r="W789" s="8"/>
      <c r="X789" s="8"/>
    </row>
    <row r="790" spans="1:24" ht="12.75">
      <c r="A790" s="82"/>
      <c r="B790" s="8"/>
      <c r="C790" s="59"/>
      <c r="D790" s="59"/>
      <c r="E790" s="8"/>
      <c r="F790" s="8"/>
      <c r="G790" s="8"/>
      <c r="H790" s="8"/>
      <c r="I790" s="8"/>
      <c r="J790" s="8"/>
      <c r="K790" s="8"/>
      <c r="L790" s="8"/>
      <c r="M790" s="8"/>
      <c r="N790" s="8"/>
      <c r="O790" s="8"/>
      <c r="P790" s="8"/>
      <c r="Q790" s="8"/>
      <c r="R790" s="8"/>
      <c r="S790" s="8"/>
      <c r="T790" s="8"/>
      <c r="U790" s="8"/>
      <c r="V790" s="8"/>
      <c r="W790" s="8"/>
      <c r="X790" s="8"/>
    </row>
    <row r="791" spans="1:24" ht="12.75">
      <c r="A791" s="82"/>
      <c r="B791" s="8"/>
      <c r="C791" s="59"/>
      <c r="D791" s="59"/>
      <c r="E791" s="8"/>
      <c r="F791" s="8"/>
      <c r="G791" s="8"/>
      <c r="H791" s="8"/>
      <c r="I791" s="8"/>
      <c r="J791" s="8"/>
      <c r="K791" s="8"/>
      <c r="L791" s="8"/>
      <c r="M791" s="8"/>
      <c r="N791" s="8"/>
      <c r="O791" s="8"/>
      <c r="P791" s="8"/>
      <c r="Q791" s="8"/>
      <c r="R791" s="8"/>
      <c r="S791" s="8"/>
      <c r="T791" s="8"/>
      <c r="U791" s="8"/>
      <c r="V791" s="8"/>
      <c r="W791" s="8"/>
      <c r="X791" s="8"/>
    </row>
    <row r="792" spans="1:24" ht="12.75">
      <c r="A792" s="82"/>
      <c r="B792" s="8"/>
      <c r="C792" s="59"/>
      <c r="D792" s="59"/>
      <c r="E792" s="8"/>
      <c r="F792" s="8"/>
      <c r="G792" s="8"/>
      <c r="H792" s="8"/>
      <c r="I792" s="8"/>
      <c r="J792" s="8"/>
      <c r="K792" s="8"/>
      <c r="L792" s="8"/>
      <c r="M792" s="8"/>
      <c r="N792" s="8"/>
      <c r="O792" s="8"/>
      <c r="P792" s="8"/>
      <c r="Q792" s="8"/>
      <c r="R792" s="8"/>
      <c r="S792" s="8"/>
      <c r="T792" s="8"/>
      <c r="U792" s="8"/>
      <c r="V792" s="8"/>
      <c r="W792" s="8"/>
      <c r="X792" s="8"/>
    </row>
    <row r="793" spans="1:24" ht="12.75">
      <c r="A793" s="82"/>
      <c r="B793" s="8"/>
      <c r="C793" s="59"/>
      <c r="D793" s="59"/>
      <c r="E793" s="8"/>
      <c r="F793" s="8"/>
      <c r="G793" s="8"/>
      <c r="H793" s="8"/>
      <c r="I793" s="8"/>
      <c r="J793" s="8"/>
      <c r="K793" s="8"/>
      <c r="L793" s="8"/>
      <c r="M793" s="8"/>
      <c r="N793" s="8"/>
      <c r="O793" s="8"/>
      <c r="P793" s="8"/>
      <c r="Q793" s="8"/>
      <c r="R793" s="8"/>
      <c r="S793" s="8"/>
      <c r="T793" s="8"/>
      <c r="U793" s="8"/>
      <c r="V793" s="8"/>
      <c r="W793" s="8"/>
      <c r="X793" s="8"/>
    </row>
    <row r="794" spans="1:24" ht="12.75">
      <c r="A794" s="82"/>
      <c r="B794" s="8"/>
      <c r="C794" s="59"/>
      <c r="D794" s="59"/>
      <c r="E794" s="8"/>
      <c r="F794" s="8"/>
      <c r="G794" s="8"/>
      <c r="H794" s="8"/>
      <c r="I794" s="8"/>
      <c r="J794" s="8"/>
      <c r="K794" s="8"/>
      <c r="L794" s="8"/>
      <c r="M794" s="8"/>
      <c r="N794" s="8"/>
      <c r="O794" s="8"/>
      <c r="P794" s="8"/>
      <c r="Q794" s="8"/>
      <c r="R794" s="8"/>
      <c r="S794" s="8"/>
      <c r="T794" s="8"/>
      <c r="U794" s="8"/>
      <c r="V794" s="8"/>
      <c r="W794" s="8"/>
      <c r="X794" s="8"/>
    </row>
    <row r="795" spans="1:24" ht="12.75">
      <c r="A795" s="82"/>
      <c r="B795" s="8"/>
      <c r="C795" s="59"/>
      <c r="D795" s="59"/>
      <c r="E795" s="8"/>
      <c r="F795" s="8"/>
      <c r="G795" s="8"/>
      <c r="H795" s="8"/>
      <c r="I795" s="8"/>
      <c r="J795" s="8"/>
      <c r="K795" s="8"/>
      <c r="L795" s="8"/>
      <c r="M795" s="8"/>
      <c r="N795" s="8"/>
      <c r="O795" s="8"/>
      <c r="P795" s="8"/>
      <c r="Q795" s="8"/>
      <c r="R795" s="8"/>
      <c r="S795" s="8"/>
      <c r="T795" s="8"/>
      <c r="U795" s="8"/>
      <c r="V795" s="8"/>
      <c r="W795" s="8"/>
      <c r="X795" s="8"/>
    </row>
    <row r="796" spans="1:24" ht="12.75">
      <c r="A796" s="82"/>
      <c r="B796" s="8"/>
      <c r="C796" s="59"/>
      <c r="D796" s="59"/>
      <c r="E796" s="8"/>
      <c r="F796" s="8"/>
      <c r="G796" s="8"/>
      <c r="H796" s="8"/>
      <c r="I796" s="8"/>
      <c r="J796" s="8"/>
      <c r="K796" s="8"/>
      <c r="L796" s="8"/>
      <c r="M796" s="8"/>
      <c r="N796" s="8"/>
      <c r="O796" s="8"/>
      <c r="P796" s="8"/>
      <c r="Q796" s="8"/>
      <c r="R796" s="8"/>
      <c r="S796" s="8"/>
      <c r="T796" s="8"/>
      <c r="U796" s="8"/>
      <c r="V796" s="8"/>
      <c r="W796" s="8"/>
      <c r="X796" s="8"/>
    </row>
    <row r="797" spans="1:24" ht="12.75">
      <c r="A797" s="82"/>
      <c r="B797" s="8"/>
      <c r="C797" s="59"/>
      <c r="D797" s="59"/>
      <c r="E797" s="8"/>
      <c r="F797" s="8"/>
      <c r="G797" s="8"/>
      <c r="H797" s="8"/>
      <c r="I797" s="8"/>
      <c r="J797" s="8"/>
      <c r="K797" s="8"/>
      <c r="L797" s="8"/>
      <c r="M797" s="8"/>
      <c r="N797" s="8"/>
      <c r="O797" s="8"/>
      <c r="P797" s="8"/>
      <c r="Q797" s="8"/>
      <c r="R797" s="8"/>
      <c r="S797" s="8"/>
      <c r="T797" s="8"/>
      <c r="U797" s="8"/>
      <c r="V797" s="8"/>
      <c r="W797" s="8"/>
      <c r="X797" s="8"/>
    </row>
    <row r="798" spans="1:24" ht="12.75">
      <c r="A798" s="82"/>
      <c r="B798" s="8"/>
      <c r="C798" s="59"/>
      <c r="D798" s="59"/>
      <c r="E798" s="8"/>
      <c r="F798" s="8"/>
      <c r="G798" s="8"/>
      <c r="H798" s="8"/>
      <c r="I798" s="8"/>
      <c r="J798" s="8"/>
      <c r="K798" s="8"/>
      <c r="L798" s="8"/>
      <c r="M798" s="8"/>
      <c r="N798" s="8"/>
      <c r="O798" s="8"/>
      <c r="P798" s="8"/>
      <c r="Q798" s="8"/>
      <c r="R798" s="8"/>
      <c r="S798" s="8"/>
      <c r="T798" s="8"/>
      <c r="U798" s="8"/>
      <c r="V798" s="8"/>
      <c r="W798" s="8"/>
      <c r="X798" s="8"/>
    </row>
    <row r="799" spans="1:24" ht="12.75">
      <c r="A799" s="82"/>
      <c r="B799" s="8"/>
      <c r="C799" s="59"/>
      <c r="D799" s="59"/>
      <c r="E799" s="8"/>
      <c r="F799" s="8"/>
      <c r="G799" s="8"/>
      <c r="H799" s="8"/>
      <c r="I799" s="8"/>
      <c r="J799" s="8"/>
      <c r="K799" s="8"/>
      <c r="L799" s="8"/>
      <c r="M799" s="8"/>
      <c r="N799" s="8"/>
      <c r="O799" s="8"/>
      <c r="P799" s="8"/>
      <c r="Q799" s="8"/>
      <c r="R799" s="8"/>
      <c r="S799" s="8"/>
      <c r="T799" s="8"/>
      <c r="U799" s="8"/>
      <c r="V799" s="8"/>
      <c r="W799" s="8"/>
      <c r="X799" s="8"/>
    </row>
    <row r="800" spans="1:24" ht="12.75">
      <c r="A800" s="82"/>
      <c r="B800" s="8"/>
      <c r="C800" s="59"/>
      <c r="D800" s="59"/>
      <c r="E800" s="8"/>
      <c r="F800" s="8"/>
      <c r="G800" s="8"/>
      <c r="H800" s="8"/>
      <c r="I800" s="8"/>
      <c r="J800" s="8"/>
      <c r="K800" s="8"/>
      <c r="L800" s="8"/>
      <c r="M800" s="8"/>
      <c r="N800" s="8"/>
      <c r="O800" s="8"/>
      <c r="P800" s="8"/>
      <c r="Q800" s="8"/>
      <c r="R800" s="8"/>
      <c r="S800" s="8"/>
      <c r="T800" s="8"/>
      <c r="U800" s="8"/>
      <c r="V800" s="8"/>
      <c r="W800" s="8"/>
      <c r="X800" s="8"/>
    </row>
    <row r="801" spans="1:24" ht="12.75">
      <c r="A801" s="82"/>
      <c r="B801" s="8"/>
      <c r="C801" s="59"/>
      <c r="D801" s="59"/>
      <c r="E801" s="8"/>
      <c r="F801" s="8"/>
      <c r="G801" s="8"/>
      <c r="H801" s="8"/>
      <c r="I801" s="8"/>
      <c r="J801" s="8"/>
      <c r="K801" s="8"/>
      <c r="L801" s="8"/>
      <c r="M801" s="8"/>
      <c r="N801" s="8"/>
      <c r="O801" s="8"/>
      <c r="P801" s="8"/>
      <c r="Q801" s="8"/>
      <c r="R801" s="8"/>
      <c r="S801" s="8"/>
      <c r="T801" s="8"/>
      <c r="U801" s="8"/>
      <c r="V801" s="8"/>
      <c r="W801" s="8"/>
      <c r="X801" s="8"/>
    </row>
    <row r="802" spans="1:24" ht="12.75">
      <c r="A802" s="82"/>
      <c r="B802" s="8"/>
      <c r="C802" s="59"/>
      <c r="D802" s="59"/>
      <c r="E802" s="8"/>
      <c r="F802" s="8"/>
      <c r="G802" s="8"/>
      <c r="H802" s="8"/>
      <c r="I802" s="8"/>
      <c r="J802" s="8"/>
      <c r="K802" s="8"/>
      <c r="L802" s="8"/>
      <c r="M802" s="8"/>
      <c r="N802" s="8"/>
      <c r="O802" s="8"/>
      <c r="P802" s="8"/>
      <c r="Q802" s="8"/>
      <c r="R802" s="8"/>
      <c r="S802" s="8"/>
      <c r="T802" s="8"/>
      <c r="U802" s="8"/>
      <c r="V802" s="8"/>
      <c r="W802" s="8"/>
      <c r="X802" s="8"/>
    </row>
    <row r="803" spans="1:24" ht="12.75">
      <c r="A803" s="82"/>
      <c r="B803" s="8"/>
      <c r="C803" s="59"/>
      <c r="D803" s="59"/>
      <c r="E803" s="8"/>
      <c r="F803" s="8"/>
      <c r="G803" s="8"/>
      <c r="H803" s="8"/>
      <c r="I803" s="8"/>
      <c r="J803" s="8"/>
      <c r="K803" s="8"/>
      <c r="L803" s="8"/>
      <c r="M803" s="8"/>
      <c r="N803" s="8"/>
      <c r="O803" s="8"/>
      <c r="P803" s="8"/>
      <c r="Q803" s="8"/>
      <c r="R803" s="8"/>
      <c r="S803" s="8"/>
      <c r="T803" s="8"/>
      <c r="U803" s="8"/>
      <c r="V803" s="8"/>
      <c r="W803" s="8"/>
      <c r="X803" s="8"/>
    </row>
    <row r="804" spans="1:24" ht="12.75">
      <c r="A804" s="82"/>
      <c r="B804" s="8"/>
      <c r="C804" s="59"/>
      <c r="D804" s="59"/>
      <c r="E804" s="8"/>
      <c r="F804" s="8"/>
      <c r="G804" s="8"/>
      <c r="H804" s="8"/>
      <c r="I804" s="8"/>
      <c r="J804" s="8"/>
      <c r="K804" s="8"/>
      <c r="L804" s="8"/>
      <c r="M804" s="8"/>
      <c r="N804" s="8"/>
      <c r="O804" s="8"/>
      <c r="P804" s="8"/>
      <c r="Q804" s="8"/>
      <c r="R804" s="8"/>
      <c r="S804" s="8"/>
      <c r="T804" s="8"/>
      <c r="U804" s="8"/>
      <c r="V804" s="8"/>
      <c r="W804" s="8"/>
      <c r="X804" s="8"/>
    </row>
    <row r="805" spans="1:24" ht="12.75">
      <c r="A805" s="82"/>
      <c r="B805" s="8"/>
      <c r="C805" s="59"/>
      <c r="D805" s="59"/>
      <c r="E805" s="8"/>
      <c r="F805" s="8"/>
      <c r="G805" s="8"/>
      <c r="H805" s="8"/>
      <c r="I805" s="8"/>
      <c r="J805" s="8"/>
      <c r="K805" s="8"/>
      <c r="L805" s="8"/>
      <c r="M805" s="8"/>
      <c r="N805" s="8"/>
      <c r="O805" s="8"/>
      <c r="P805" s="8"/>
      <c r="Q805" s="8"/>
      <c r="R805" s="8"/>
      <c r="S805" s="8"/>
      <c r="T805" s="8"/>
      <c r="U805" s="8"/>
      <c r="V805" s="8"/>
      <c r="W805" s="8"/>
      <c r="X805" s="8"/>
    </row>
    <row r="806" spans="1:24" ht="12.75">
      <c r="A806" s="82"/>
      <c r="B806" s="8"/>
      <c r="C806" s="59"/>
      <c r="D806" s="59"/>
      <c r="E806" s="8"/>
      <c r="F806" s="8"/>
      <c r="G806" s="8"/>
      <c r="H806" s="8"/>
      <c r="I806" s="8"/>
      <c r="J806" s="8"/>
      <c r="K806" s="8"/>
      <c r="L806" s="8"/>
      <c r="M806" s="8"/>
      <c r="N806" s="8"/>
      <c r="O806" s="8"/>
      <c r="P806" s="8"/>
      <c r="Q806" s="8"/>
      <c r="R806" s="8"/>
      <c r="S806" s="8"/>
      <c r="T806" s="8"/>
      <c r="U806" s="8"/>
      <c r="V806" s="8"/>
      <c r="W806" s="8"/>
      <c r="X806" s="8"/>
    </row>
    <row r="807" spans="1:24" ht="12.75">
      <c r="A807" s="82"/>
      <c r="B807" s="8"/>
      <c r="C807" s="59"/>
      <c r="D807" s="59"/>
      <c r="E807" s="8"/>
      <c r="F807" s="8"/>
      <c r="G807" s="8"/>
      <c r="H807" s="8"/>
      <c r="I807" s="8"/>
      <c r="J807" s="8"/>
      <c r="K807" s="8"/>
      <c r="L807" s="8"/>
      <c r="M807" s="8"/>
      <c r="N807" s="8"/>
      <c r="O807" s="8"/>
      <c r="P807" s="8"/>
      <c r="Q807" s="8"/>
      <c r="R807" s="8"/>
      <c r="S807" s="8"/>
      <c r="T807" s="8"/>
      <c r="U807" s="8"/>
      <c r="V807" s="8"/>
      <c r="W807" s="8"/>
      <c r="X807" s="8"/>
    </row>
    <row r="808" spans="1:24" ht="12.75">
      <c r="A808" s="82"/>
      <c r="B808" s="8"/>
      <c r="C808" s="59"/>
      <c r="D808" s="59"/>
      <c r="E808" s="8"/>
      <c r="F808" s="8"/>
      <c r="G808" s="8"/>
      <c r="H808" s="8"/>
      <c r="I808" s="8"/>
      <c r="J808" s="8"/>
      <c r="K808" s="8"/>
      <c r="L808" s="8"/>
      <c r="M808" s="8"/>
      <c r="N808" s="8"/>
      <c r="O808" s="8"/>
      <c r="P808" s="8"/>
      <c r="Q808" s="8"/>
      <c r="R808" s="8"/>
      <c r="S808" s="8"/>
      <c r="T808" s="8"/>
      <c r="U808" s="8"/>
      <c r="V808" s="8"/>
      <c r="W808" s="8"/>
      <c r="X808" s="8"/>
    </row>
    <row r="809" spans="1:24" ht="12.75">
      <c r="A809" s="82"/>
      <c r="B809" s="8"/>
      <c r="C809" s="59"/>
      <c r="D809" s="59"/>
      <c r="E809" s="8"/>
      <c r="F809" s="8"/>
      <c r="G809" s="8"/>
      <c r="H809" s="8"/>
      <c r="I809" s="8"/>
      <c r="J809" s="8"/>
      <c r="K809" s="8"/>
      <c r="L809" s="8"/>
      <c r="M809" s="8"/>
      <c r="N809" s="8"/>
      <c r="O809" s="8"/>
      <c r="P809" s="8"/>
      <c r="Q809" s="8"/>
      <c r="R809" s="8"/>
      <c r="S809" s="8"/>
      <c r="T809" s="8"/>
      <c r="U809" s="8"/>
      <c r="V809" s="8"/>
      <c r="W809" s="8"/>
      <c r="X809" s="8"/>
    </row>
    <row r="810" spans="1:24" ht="12.75">
      <c r="A810" s="82"/>
      <c r="B810" s="8"/>
      <c r="C810" s="59"/>
      <c r="D810" s="59"/>
      <c r="E810" s="8"/>
      <c r="F810" s="8"/>
      <c r="G810" s="8"/>
      <c r="H810" s="8"/>
      <c r="I810" s="8"/>
      <c r="J810" s="8"/>
      <c r="K810" s="8"/>
      <c r="L810" s="8"/>
      <c r="M810" s="8"/>
      <c r="N810" s="8"/>
      <c r="O810" s="8"/>
      <c r="P810" s="8"/>
      <c r="Q810" s="8"/>
      <c r="R810" s="8"/>
      <c r="S810" s="8"/>
      <c r="T810" s="8"/>
      <c r="U810" s="8"/>
      <c r="V810" s="8"/>
      <c r="W810" s="8"/>
      <c r="X810" s="8"/>
    </row>
    <row r="811" spans="1:24" ht="12.75">
      <c r="A811" s="82"/>
      <c r="B811" s="8"/>
      <c r="C811" s="59"/>
      <c r="D811" s="59"/>
      <c r="E811" s="8"/>
      <c r="F811" s="8"/>
      <c r="G811" s="8"/>
      <c r="H811" s="8"/>
      <c r="I811" s="8"/>
      <c r="J811" s="8"/>
      <c r="K811" s="8"/>
      <c r="L811" s="8"/>
      <c r="M811" s="8"/>
      <c r="N811" s="8"/>
      <c r="O811" s="8"/>
      <c r="P811" s="8"/>
      <c r="Q811" s="8"/>
      <c r="R811" s="8"/>
      <c r="S811" s="8"/>
      <c r="T811" s="8"/>
      <c r="U811" s="8"/>
      <c r="V811" s="8"/>
      <c r="W811" s="8"/>
      <c r="X811" s="8"/>
    </row>
    <row r="812" spans="1:24" ht="12.75">
      <c r="A812" s="82"/>
      <c r="B812" s="8"/>
      <c r="C812" s="59"/>
      <c r="D812" s="59"/>
      <c r="E812" s="8"/>
      <c r="F812" s="8"/>
      <c r="G812" s="8"/>
      <c r="H812" s="8"/>
      <c r="I812" s="8"/>
      <c r="J812" s="8"/>
      <c r="K812" s="8"/>
      <c r="L812" s="8"/>
      <c r="M812" s="8"/>
      <c r="N812" s="8"/>
      <c r="O812" s="8"/>
      <c r="P812" s="8"/>
      <c r="Q812" s="8"/>
      <c r="R812" s="8"/>
      <c r="S812" s="8"/>
      <c r="T812" s="8"/>
      <c r="U812" s="8"/>
      <c r="V812" s="8"/>
      <c r="W812" s="8"/>
      <c r="X812" s="8"/>
    </row>
    <row r="813" spans="1:24" ht="12.75">
      <c r="A813" s="82"/>
      <c r="B813" s="8"/>
      <c r="C813" s="59"/>
      <c r="D813" s="59"/>
      <c r="E813" s="8"/>
      <c r="F813" s="8"/>
      <c r="G813" s="8"/>
      <c r="H813" s="8"/>
      <c r="I813" s="8"/>
      <c r="J813" s="8"/>
      <c r="K813" s="8"/>
      <c r="L813" s="8"/>
      <c r="M813" s="8"/>
      <c r="N813" s="8"/>
      <c r="O813" s="8"/>
      <c r="P813" s="8"/>
      <c r="Q813" s="8"/>
      <c r="R813" s="8"/>
      <c r="S813" s="8"/>
      <c r="T813" s="8"/>
      <c r="U813" s="8"/>
      <c r="V813" s="8"/>
      <c r="W813" s="8"/>
      <c r="X813" s="8"/>
    </row>
    <row r="814" spans="1:24" ht="12.75">
      <c r="A814" s="82"/>
      <c r="B814" s="8"/>
      <c r="C814" s="59"/>
      <c r="D814" s="59"/>
      <c r="E814" s="8"/>
      <c r="F814" s="8"/>
      <c r="G814" s="8"/>
      <c r="H814" s="8"/>
      <c r="I814" s="8"/>
      <c r="J814" s="8"/>
      <c r="K814" s="8"/>
      <c r="L814" s="8"/>
      <c r="M814" s="8"/>
      <c r="N814" s="8"/>
      <c r="O814" s="8"/>
      <c r="P814" s="8"/>
      <c r="Q814" s="8"/>
      <c r="R814" s="8"/>
      <c r="S814" s="8"/>
      <c r="T814" s="8"/>
      <c r="U814" s="8"/>
      <c r="V814" s="8"/>
      <c r="W814" s="8"/>
      <c r="X814" s="8"/>
    </row>
    <row r="815" spans="1:24" ht="12.75">
      <c r="A815" s="82"/>
      <c r="B815" s="8"/>
      <c r="C815" s="59"/>
      <c r="D815" s="59"/>
      <c r="E815" s="8"/>
      <c r="F815" s="8"/>
      <c r="G815" s="8"/>
      <c r="H815" s="8"/>
      <c r="I815" s="8"/>
      <c r="J815" s="8"/>
      <c r="K815" s="8"/>
      <c r="L815" s="8"/>
      <c r="M815" s="8"/>
      <c r="N815" s="8"/>
      <c r="O815" s="8"/>
      <c r="P815" s="8"/>
      <c r="Q815" s="8"/>
      <c r="R815" s="8"/>
      <c r="S815" s="8"/>
      <c r="T815" s="8"/>
      <c r="U815" s="8"/>
      <c r="V815" s="8"/>
      <c r="W815" s="8"/>
      <c r="X815" s="8"/>
    </row>
    <row r="816" spans="1:24" ht="12.75">
      <c r="A816" s="82"/>
      <c r="B816" s="8"/>
      <c r="C816" s="59"/>
      <c r="D816" s="59"/>
      <c r="E816" s="8"/>
      <c r="F816" s="8"/>
      <c r="G816" s="8"/>
      <c r="H816" s="8"/>
      <c r="I816" s="8"/>
      <c r="J816" s="8"/>
      <c r="K816" s="8"/>
      <c r="L816" s="8"/>
      <c r="M816" s="8"/>
      <c r="N816" s="8"/>
      <c r="O816" s="8"/>
      <c r="P816" s="8"/>
      <c r="Q816" s="8"/>
      <c r="R816" s="8"/>
      <c r="S816" s="8"/>
      <c r="T816" s="8"/>
      <c r="U816" s="8"/>
      <c r="V816" s="8"/>
      <c r="W816" s="8"/>
      <c r="X816" s="8"/>
    </row>
    <row r="817" spans="1:24" ht="12.75">
      <c r="A817" s="82"/>
      <c r="B817" s="8"/>
      <c r="C817" s="59"/>
      <c r="D817" s="59"/>
      <c r="E817" s="8"/>
      <c r="F817" s="8"/>
      <c r="G817" s="8"/>
      <c r="H817" s="8"/>
      <c r="I817" s="8"/>
      <c r="J817" s="8"/>
      <c r="K817" s="8"/>
      <c r="L817" s="8"/>
      <c r="M817" s="8"/>
      <c r="N817" s="8"/>
      <c r="O817" s="8"/>
      <c r="P817" s="8"/>
      <c r="Q817" s="8"/>
      <c r="R817" s="8"/>
      <c r="S817" s="8"/>
      <c r="T817" s="8"/>
      <c r="U817" s="8"/>
      <c r="V817" s="8"/>
      <c r="W817" s="8"/>
      <c r="X817" s="8"/>
    </row>
    <row r="818" spans="1:24" ht="12.75">
      <c r="A818" s="82"/>
      <c r="B818" s="8"/>
      <c r="C818" s="59"/>
      <c r="D818" s="59"/>
      <c r="E818" s="8"/>
      <c r="F818" s="8"/>
      <c r="G818" s="8"/>
      <c r="H818" s="8"/>
      <c r="I818" s="8"/>
      <c r="J818" s="8"/>
      <c r="K818" s="8"/>
      <c r="L818" s="8"/>
      <c r="M818" s="8"/>
      <c r="N818" s="8"/>
      <c r="O818" s="8"/>
      <c r="P818" s="8"/>
      <c r="Q818" s="8"/>
      <c r="R818" s="8"/>
      <c r="S818" s="8"/>
      <c r="T818" s="8"/>
      <c r="U818" s="8"/>
      <c r="V818" s="8"/>
      <c r="W818" s="8"/>
      <c r="X818" s="8"/>
    </row>
    <row r="819" spans="1:24" ht="12.75">
      <c r="A819" s="82"/>
      <c r="B819" s="8"/>
      <c r="C819" s="59"/>
      <c r="D819" s="59"/>
      <c r="E819" s="8"/>
      <c r="F819" s="8"/>
      <c r="G819" s="8"/>
      <c r="H819" s="8"/>
      <c r="I819" s="8"/>
      <c r="J819" s="8"/>
      <c r="K819" s="8"/>
      <c r="L819" s="8"/>
      <c r="M819" s="8"/>
      <c r="N819" s="8"/>
      <c r="O819" s="8"/>
      <c r="P819" s="8"/>
      <c r="Q819" s="8"/>
      <c r="R819" s="8"/>
      <c r="S819" s="8"/>
      <c r="T819" s="8"/>
      <c r="U819" s="8"/>
      <c r="V819" s="8"/>
      <c r="W819" s="8"/>
      <c r="X819" s="8"/>
    </row>
    <row r="820" spans="1:24" ht="12.75">
      <c r="A820" s="82"/>
      <c r="B820" s="8"/>
      <c r="C820" s="59"/>
      <c r="D820" s="59"/>
      <c r="E820" s="8"/>
      <c r="F820" s="8"/>
      <c r="G820" s="8"/>
      <c r="H820" s="8"/>
      <c r="I820" s="8"/>
      <c r="J820" s="8"/>
      <c r="K820" s="8"/>
      <c r="L820" s="8"/>
      <c r="M820" s="8"/>
      <c r="N820" s="8"/>
      <c r="O820" s="8"/>
      <c r="P820" s="8"/>
      <c r="Q820" s="8"/>
      <c r="R820" s="8"/>
      <c r="S820" s="8"/>
      <c r="T820" s="8"/>
      <c r="U820" s="8"/>
      <c r="V820" s="8"/>
      <c r="W820" s="8"/>
      <c r="X820" s="8"/>
    </row>
    <row r="821" spans="1:24" ht="12.75">
      <c r="A821" s="82"/>
      <c r="B821" s="8"/>
      <c r="C821" s="59"/>
      <c r="D821" s="59"/>
      <c r="E821" s="8"/>
      <c r="F821" s="8"/>
      <c r="G821" s="8"/>
      <c r="H821" s="8"/>
      <c r="I821" s="8"/>
      <c r="J821" s="8"/>
      <c r="K821" s="8"/>
      <c r="L821" s="8"/>
      <c r="M821" s="8"/>
      <c r="N821" s="8"/>
      <c r="O821" s="8"/>
      <c r="P821" s="8"/>
      <c r="Q821" s="8"/>
      <c r="R821" s="8"/>
      <c r="S821" s="8"/>
      <c r="T821" s="8"/>
      <c r="U821" s="8"/>
      <c r="V821" s="8"/>
      <c r="W821" s="8"/>
      <c r="X821" s="8"/>
    </row>
    <row r="822" spans="1:24" ht="12.75">
      <c r="A822" s="82"/>
      <c r="B822" s="8"/>
      <c r="C822" s="59"/>
      <c r="D822" s="59"/>
      <c r="E822" s="8"/>
      <c r="F822" s="8"/>
      <c r="G822" s="8"/>
      <c r="H822" s="8"/>
      <c r="I822" s="8"/>
      <c r="J822" s="8"/>
      <c r="K822" s="8"/>
      <c r="L822" s="8"/>
      <c r="M822" s="8"/>
      <c r="N822" s="8"/>
      <c r="O822" s="8"/>
      <c r="P822" s="8"/>
      <c r="Q822" s="8"/>
      <c r="R822" s="8"/>
      <c r="S822" s="8"/>
      <c r="T822" s="8"/>
      <c r="U822" s="8"/>
      <c r="V822" s="8"/>
      <c r="W822" s="8"/>
      <c r="X822" s="8"/>
    </row>
    <row r="823" spans="1:24" ht="12.75">
      <c r="A823" s="82"/>
      <c r="B823" s="8"/>
      <c r="C823" s="59"/>
      <c r="D823" s="59"/>
      <c r="E823" s="8"/>
      <c r="F823" s="8"/>
      <c r="G823" s="8"/>
      <c r="H823" s="8"/>
      <c r="I823" s="8"/>
      <c r="J823" s="8"/>
      <c r="K823" s="8"/>
      <c r="L823" s="8"/>
      <c r="M823" s="8"/>
      <c r="N823" s="8"/>
      <c r="O823" s="8"/>
      <c r="P823" s="8"/>
      <c r="Q823" s="8"/>
      <c r="R823" s="8"/>
      <c r="S823" s="8"/>
      <c r="T823" s="8"/>
      <c r="U823" s="8"/>
      <c r="V823" s="8"/>
      <c r="W823" s="8"/>
      <c r="X823" s="8"/>
    </row>
    <row r="824" spans="1:24" ht="12.75">
      <c r="A824" s="82"/>
      <c r="B824" s="8"/>
      <c r="C824" s="59"/>
      <c r="D824" s="59"/>
      <c r="E824" s="8"/>
      <c r="F824" s="8"/>
      <c r="G824" s="8"/>
      <c r="H824" s="8"/>
      <c r="I824" s="8"/>
      <c r="J824" s="8"/>
      <c r="K824" s="8"/>
      <c r="L824" s="8"/>
      <c r="M824" s="8"/>
      <c r="N824" s="8"/>
      <c r="O824" s="8"/>
      <c r="P824" s="8"/>
      <c r="Q824" s="8"/>
      <c r="R824" s="8"/>
      <c r="S824" s="8"/>
      <c r="T824" s="8"/>
      <c r="U824" s="8"/>
      <c r="V824" s="8"/>
      <c r="W824" s="8"/>
      <c r="X824" s="8"/>
    </row>
    <row r="825" spans="1:24" ht="12.75">
      <c r="A825" s="82"/>
      <c r="B825" s="8"/>
      <c r="C825" s="59"/>
      <c r="D825" s="59"/>
      <c r="E825" s="8"/>
      <c r="F825" s="8"/>
      <c r="G825" s="8"/>
      <c r="H825" s="8"/>
      <c r="I825" s="8"/>
      <c r="J825" s="8"/>
      <c r="K825" s="8"/>
      <c r="L825" s="8"/>
      <c r="M825" s="8"/>
      <c r="N825" s="8"/>
      <c r="O825" s="8"/>
      <c r="P825" s="8"/>
      <c r="Q825" s="8"/>
      <c r="R825" s="8"/>
      <c r="S825" s="8"/>
      <c r="T825" s="8"/>
      <c r="U825" s="8"/>
      <c r="V825" s="8"/>
      <c r="W825" s="8"/>
      <c r="X825" s="8"/>
    </row>
    <row r="826" spans="1:24" ht="12.75">
      <c r="A826" s="82"/>
      <c r="B826" s="8"/>
      <c r="C826" s="59"/>
      <c r="D826" s="59"/>
      <c r="E826" s="8"/>
      <c r="F826" s="8"/>
      <c r="G826" s="8"/>
      <c r="H826" s="8"/>
      <c r="I826" s="8"/>
      <c r="J826" s="8"/>
      <c r="K826" s="8"/>
      <c r="L826" s="8"/>
      <c r="M826" s="8"/>
      <c r="N826" s="8"/>
      <c r="O826" s="8"/>
      <c r="P826" s="8"/>
      <c r="Q826" s="8"/>
      <c r="R826" s="8"/>
      <c r="S826" s="8"/>
      <c r="T826" s="8"/>
      <c r="U826" s="8"/>
      <c r="V826" s="8"/>
      <c r="W826" s="8"/>
      <c r="X826" s="8"/>
    </row>
    <row r="827" spans="1:24" ht="12.75">
      <c r="A827" s="82"/>
      <c r="B827" s="8"/>
      <c r="C827" s="59"/>
      <c r="D827" s="59"/>
      <c r="E827" s="8"/>
      <c r="F827" s="8"/>
      <c r="G827" s="8"/>
      <c r="H827" s="8"/>
      <c r="I827" s="8"/>
      <c r="J827" s="8"/>
      <c r="K827" s="8"/>
      <c r="L827" s="8"/>
      <c r="M827" s="8"/>
      <c r="N827" s="8"/>
      <c r="O827" s="8"/>
      <c r="P827" s="8"/>
      <c r="Q827" s="8"/>
      <c r="R827" s="8"/>
      <c r="S827" s="8"/>
      <c r="T827" s="8"/>
      <c r="U827" s="8"/>
      <c r="V827" s="8"/>
      <c r="W827" s="8"/>
      <c r="X827" s="8"/>
    </row>
    <row r="828" spans="1:24" ht="12.75">
      <c r="A828" s="82"/>
      <c r="B828" s="8"/>
      <c r="C828" s="59"/>
      <c r="D828" s="59"/>
      <c r="E828" s="8"/>
      <c r="F828" s="8"/>
      <c r="G828" s="8"/>
      <c r="H828" s="8"/>
      <c r="I828" s="8"/>
      <c r="J828" s="8"/>
      <c r="K828" s="8"/>
      <c r="L828" s="8"/>
      <c r="M828" s="8"/>
      <c r="N828" s="8"/>
      <c r="O828" s="8"/>
      <c r="P828" s="8"/>
      <c r="Q828" s="8"/>
      <c r="R828" s="8"/>
      <c r="S828" s="8"/>
      <c r="T828" s="8"/>
      <c r="U828" s="8"/>
      <c r="V828" s="8"/>
      <c r="W828" s="8"/>
      <c r="X828" s="8"/>
    </row>
    <row r="829" spans="1:24" ht="12.75">
      <c r="A829" s="82"/>
      <c r="B829" s="8"/>
      <c r="C829" s="59"/>
      <c r="D829" s="59"/>
      <c r="E829" s="8"/>
      <c r="F829" s="8"/>
      <c r="G829" s="8"/>
      <c r="H829" s="8"/>
      <c r="I829" s="8"/>
      <c r="J829" s="8"/>
      <c r="K829" s="8"/>
      <c r="L829" s="8"/>
      <c r="M829" s="8"/>
      <c r="N829" s="8"/>
      <c r="O829" s="8"/>
      <c r="P829" s="8"/>
      <c r="Q829" s="8"/>
      <c r="R829" s="8"/>
      <c r="S829" s="8"/>
      <c r="T829" s="8"/>
      <c r="U829" s="8"/>
      <c r="V829" s="8"/>
      <c r="W829" s="8"/>
      <c r="X829" s="8"/>
    </row>
    <row r="830" spans="1:24" ht="12.75">
      <c r="A830" s="82"/>
      <c r="B830" s="8"/>
      <c r="C830" s="59"/>
      <c r="D830" s="59"/>
      <c r="E830" s="8"/>
      <c r="F830" s="8"/>
      <c r="G830" s="8"/>
      <c r="H830" s="8"/>
      <c r="I830" s="8"/>
      <c r="J830" s="8"/>
      <c r="K830" s="8"/>
      <c r="L830" s="8"/>
      <c r="M830" s="8"/>
      <c r="N830" s="8"/>
      <c r="O830" s="8"/>
      <c r="P830" s="8"/>
      <c r="Q830" s="8"/>
      <c r="R830" s="8"/>
      <c r="S830" s="8"/>
      <c r="T830" s="8"/>
      <c r="U830" s="8"/>
      <c r="V830" s="8"/>
      <c r="W830" s="8"/>
      <c r="X830" s="8"/>
    </row>
    <row r="831" spans="1:24" ht="12.75">
      <c r="A831" s="82"/>
      <c r="B831" s="8"/>
      <c r="C831" s="59"/>
      <c r="D831" s="59"/>
      <c r="E831" s="8"/>
      <c r="F831" s="8"/>
      <c r="G831" s="8"/>
      <c r="H831" s="8"/>
      <c r="I831" s="8"/>
      <c r="J831" s="8"/>
      <c r="K831" s="8"/>
      <c r="L831" s="8"/>
      <c r="M831" s="8"/>
      <c r="N831" s="8"/>
      <c r="O831" s="8"/>
      <c r="P831" s="8"/>
      <c r="Q831" s="8"/>
      <c r="R831" s="8"/>
      <c r="S831" s="8"/>
      <c r="T831" s="8"/>
      <c r="U831" s="8"/>
      <c r="V831" s="8"/>
      <c r="W831" s="8"/>
      <c r="X831" s="8"/>
    </row>
    <row r="832" spans="1:24" ht="12.75">
      <c r="A832" s="82"/>
      <c r="B832" s="8"/>
      <c r="C832" s="59"/>
      <c r="D832" s="59"/>
      <c r="E832" s="8"/>
      <c r="F832" s="8"/>
      <c r="G832" s="8"/>
      <c r="H832" s="8"/>
      <c r="I832" s="8"/>
      <c r="J832" s="8"/>
      <c r="K832" s="8"/>
      <c r="L832" s="8"/>
      <c r="M832" s="8"/>
      <c r="N832" s="8"/>
      <c r="O832" s="8"/>
      <c r="P832" s="8"/>
      <c r="Q832" s="8"/>
      <c r="R832" s="8"/>
      <c r="S832" s="8"/>
      <c r="T832" s="8"/>
      <c r="U832" s="8"/>
      <c r="V832" s="8"/>
      <c r="W832" s="8"/>
      <c r="X832" s="8"/>
    </row>
    <row r="833" spans="1:24" ht="12.75">
      <c r="A833" s="82"/>
      <c r="B833" s="8"/>
      <c r="C833" s="59"/>
      <c r="D833" s="59"/>
      <c r="E833" s="8"/>
      <c r="F833" s="8"/>
      <c r="G833" s="8"/>
      <c r="H833" s="8"/>
      <c r="I833" s="8"/>
      <c r="J833" s="8"/>
      <c r="K833" s="8"/>
      <c r="L833" s="8"/>
      <c r="M833" s="8"/>
      <c r="N833" s="8"/>
      <c r="O833" s="8"/>
      <c r="P833" s="8"/>
      <c r="Q833" s="8"/>
      <c r="R833" s="8"/>
      <c r="S833" s="8"/>
      <c r="T833" s="8"/>
      <c r="U833" s="8"/>
      <c r="V833" s="8"/>
      <c r="W833" s="8"/>
      <c r="X833" s="8"/>
    </row>
    <row r="834" spans="1:24" ht="12.75">
      <c r="A834" s="82"/>
      <c r="B834" s="8"/>
      <c r="C834" s="59"/>
      <c r="D834" s="59"/>
      <c r="E834" s="8"/>
      <c r="F834" s="8"/>
      <c r="G834" s="8"/>
      <c r="H834" s="8"/>
      <c r="I834" s="8"/>
      <c r="J834" s="8"/>
      <c r="K834" s="8"/>
      <c r="L834" s="8"/>
      <c r="M834" s="8"/>
      <c r="N834" s="8"/>
      <c r="O834" s="8"/>
      <c r="P834" s="8"/>
      <c r="Q834" s="8"/>
      <c r="R834" s="8"/>
      <c r="S834" s="8"/>
      <c r="T834" s="8"/>
      <c r="U834" s="8"/>
      <c r="V834" s="8"/>
      <c r="W834" s="8"/>
      <c r="X834" s="8"/>
    </row>
    <row r="835" spans="1:24" ht="12.75">
      <c r="A835" s="82"/>
      <c r="B835" s="8"/>
      <c r="C835" s="59"/>
      <c r="D835" s="59"/>
      <c r="E835" s="8"/>
      <c r="F835" s="8"/>
      <c r="G835" s="8"/>
      <c r="H835" s="8"/>
      <c r="I835" s="8"/>
      <c r="J835" s="8"/>
      <c r="K835" s="8"/>
      <c r="L835" s="8"/>
      <c r="M835" s="8"/>
      <c r="N835" s="8"/>
      <c r="O835" s="8"/>
      <c r="P835" s="8"/>
      <c r="Q835" s="8"/>
      <c r="R835" s="8"/>
      <c r="S835" s="8"/>
      <c r="T835" s="8"/>
      <c r="U835" s="8"/>
      <c r="V835" s="8"/>
      <c r="W835" s="8"/>
      <c r="X835" s="8"/>
    </row>
    <row r="836" spans="1:24" ht="12.75">
      <c r="A836" s="82"/>
      <c r="B836" s="8"/>
      <c r="C836" s="59"/>
      <c r="D836" s="59"/>
      <c r="E836" s="8"/>
      <c r="F836" s="8"/>
      <c r="G836" s="8"/>
      <c r="H836" s="8"/>
      <c r="I836" s="8"/>
      <c r="J836" s="8"/>
      <c r="K836" s="8"/>
      <c r="L836" s="8"/>
      <c r="M836" s="8"/>
      <c r="N836" s="8"/>
      <c r="O836" s="8"/>
      <c r="P836" s="8"/>
      <c r="Q836" s="8"/>
      <c r="R836" s="8"/>
      <c r="S836" s="8"/>
      <c r="T836" s="8"/>
      <c r="U836" s="8"/>
      <c r="V836" s="8"/>
      <c r="W836" s="8"/>
      <c r="X836" s="8"/>
    </row>
    <row r="837" spans="1:24" ht="12.75">
      <c r="A837" s="82"/>
      <c r="B837" s="8"/>
      <c r="C837" s="59"/>
      <c r="D837" s="59"/>
      <c r="E837" s="8"/>
      <c r="F837" s="8"/>
      <c r="G837" s="8"/>
      <c r="H837" s="8"/>
      <c r="I837" s="8"/>
      <c r="J837" s="8"/>
      <c r="K837" s="8"/>
      <c r="L837" s="8"/>
      <c r="M837" s="8"/>
      <c r="N837" s="8"/>
      <c r="O837" s="8"/>
      <c r="P837" s="8"/>
      <c r="Q837" s="8"/>
      <c r="R837" s="8"/>
      <c r="S837" s="8"/>
      <c r="T837" s="8"/>
      <c r="U837" s="8"/>
      <c r="V837" s="8"/>
      <c r="W837" s="8"/>
      <c r="X837" s="8"/>
    </row>
    <row r="838" spans="1:24" ht="12.75">
      <c r="A838" s="82"/>
      <c r="B838" s="8"/>
      <c r="C838" s="59"/>
      <c r="D838" s="59"/>
      <c r="E838" s="8"/>
      <c r="F838" s="8"/>
      <c r="G838" s="8"/>
      <c r="H838" s="8"/>
      <c r="I838" s="8"/>
      <c r="J838" s="8"/>
      <c r="K838" s="8"/>
      <c r="L838" s="8"/>
      <c r="M838" s="8"/>
      <c r="N838" s="8"/>
      <c r="O838" s="8"/>
      <c r="P838" s="8"/>
      <c r="Q838" s="8"/>
      <c r="R838" s="8"/>
      <c r="S838" s="8"/>
      <c r="T838" s="8"/>
      <c r="U838" s="8"/>
      <c r="V838" s="8"/>
      <c r="W838" s="8"/>
      <c r="X838" s="8"/>
    </row>
    <row r="839" spans="1:24" ht="12.75">
      <c r="A839" s="82"/>
      <c r="B839" s="8"/>
      <c r="C839" s="59"/>
      <c r="D839" s="59"/>
      <c r="E839" s="8"/>
      <c r="F839" s="8"/>
      <c r="G839" s="8"/>
      <c r="H839" s="8"/>
      <c r="I839" s="8"/>
      <c r="J839" s="8"/>
      <c r="K839" s="8"/>
      <c r="L839" s="8"/>
      <c r="M839" s="8"/>
      <c r="N839" s="8"/>
      <c r="O839" s="8"/>
      <c r="P839" s="8"/>
      <c r="Q839" s="8"/>
      <c r="R839" s="8"/>
      <c r="S839" s="8"/>
      <c r="T839" s="8"/>
      <c r="U839" s="8"/>
      <c r="V839" s="8"/>
      <c r="W839" s="8"/>
      <c r="X839" s="8"/>
    </row>
    <row r="840" spans="1:24" ht="12.75">
      <c r="A840" s="82"/>
      <c r="B840" s="8"/>
      <c r="C840" s="59"/>
      <c r="D840" s="59"/>
      <c r="E840" s="8"/>
      <c r="F840" s="8"/>
      <c r="G840" s="8"/>
      <c r="H840" s="8"/>
      <c r="I840" s="8"/>
      <c r="J840" s="8"/>
      <c r="K840" s="8"/>
      <c r="L840" s="8"/>
      <c r="M840" s="8"/>
      <c r="N840" s="8"/>
      <c r="O840" s="8"/>
      <c r="P840" s="8"/>
      <c r="Q840" s="8"/>
      <c r="R840" s="8"/>
      <c r="S840" s="8"/>
      <c r="T840" s="8"/>
      <c r="U840" s="8"/>
      <c r="V840" s="8"/>
      <c r="W840" s="8"/>
      <c r="X840" s="8"/>
    </row>
    <row r="841" spans="1:24" ht="12.75">
      <c r="A841" s="82"/>
      <c r="B841" s="8"/>
      <c r="C841" s="59"/>
      <c r="D841" s="59"/>
      <c r="E841" s="8"/>
      <c r="F841" s="8"/>
      <c r="G841" s="8"/>
      <c r="H841" s="8"/>
      <c r="I841" s="8"/>
      <c r="J841" s="8"/>
      <c r="K841" s="8"/>
      <c r="L841" s="8"/>
      <c r="M841" s="8"/>
      <c r="N841" s="8"/>
      <c r="O841" s="8"/>
      <c r="P841" s="8"/>
      <c r="Q841" s="8"/>
      <c r="R841" s="8"/>
      <c r="S841" s="8"/>
      <c r="T841" s="8"/>
      <c r="U841" s="8"/>
      <c r="V841" s="8"/>
      <c r="W841" s="8"/>
      <c r="X841" s="8"/>
    </row>
    <row r="842" spans="1:24" ht="12.75">
      <c r="A842" s="82"/>
      <c r="B842" s="8"/>
      <c r="C842" s="59"/>
      <c r="D842" s="59"/>
      <c r="E842" s="8"/>
      <c r="F842" s="8"/>
      <c r="G842" s="8"/>
      <c r="H842" s="8"/>
      <c r="I842" s="8"/>
      <c r="J842" s="8"/>
      <c r="K842" s="8"/>
      <c r="L842" s="8"/>
      <c r="M842" s="8"/>
      <c r="N842" s="8"/>
      <c r="O842" s="8"/>
      <c r="P842" s="8"/>
      <c r="Q842" s="8"/>
      <c r="R842" s="8"/>
      <c r="S842" s="8"/>
      <c r="T842" s="8"/>
      <c r="U842" s="8"/>
      <c r="V842" s="8"/>
      <c r="W842" s="8"/>
      <c r="X842" s="8"/>
    </row>
    <row r="843" spans="1:24" ht="12.75">
      <c r="A843" s="82"/>
      <c r="B843" s="8"/>
      <c r="C843" s="59"/>
      <c r="D843" s="59"/>
      <c r="E843" s="8"/>
      <c r="F843" s="8"/>
      <c r="G843" s="8"/>
      <c r="H843" s="8"/>
      <c r="I843" s="8"/>
      <c r="J843" s="8"/>
      <c r="K843" s="8"/>
      <c r="L843" s="8"/>
      <c r="M843" s="8"/>
      <c r="N843" s="8"/>
      <c r="O843" s="8"/>
      <c r="P843" s="8"/>
      <c r="Q843" s="8"/>
      <c r="R843" s="8"/>
      <c r="S843" s="8"/>
      <c r="T843" s="8"/>
      <c r="U843" s="8"/>
      <c r="V843" s="8"/>
      <c r="W843" s="8"/>
      <c r="X843" s="8"/>
    </row>
    <row r="844" spans="1:24" ht="12.75">
      <c r="A844" s="82"/>
      <c r="B844" s="8"/>
      <c r="C844" s="59"/>
      <c r="D844" s="59"/>
      <c r="E844" s="8"/>
      <c r="F844" s="8"/>
      <c r="G844" s="8"/>
      <c r="H844" s="8"/>
      <c r="I844" s="8"/>
      <c r="J844" s="8"/>
      <c r="K844" s="8"/>
      <c r="L844" s="8"/>
      <c r="M844" s="8"/>
      <c r="N844" s="8"/>
      <c r="O844" s="8"/>
      <c r="P844" s="8"/>
      <c r="Q844" s="8"/>
      <c r="R844" s="8"/>
      <c r="S844" s="8"/>
      <c r="T844" s="8"/>
      <c r="U844" s="8"/>
      <c r="V844" s="8"/>
      <c r="W844" s="8"/>
      <c r="X844" s="8"/>
    </row>
    <row r="845" spans="1:24" ht="12.75">
      <c r="A845" s="82"/>
      <c r="B845" s="8"/>
      <c r="C845" s="59"/>
      <c r="D845" s="59"/>
      <c r="E845" s="8"/>
      <c r="F845" s="8"/>
      <c r="G845" s="8"/>
      <c r="H845" s="8"/>
      <c r="I845" s="8"/>
      <c r="J845" s="8"/>
      <c r="K845" s="8"/>
      <c r="L845" s="8"/>
      <c r="M845" s="8"/>
      <c r="N845" s="8"/>
      <c r="O845" s="8"/>
      <c r="P845" s="8"/>
      <c r="Q845" s="8"/>
      <c r="R845" s="8"/>
      <c r="S845" s="8"/>
      <c r="T845" s="8"/>
      <c r="U845" s="8"/>
      <c r="V845" s="8"/>
      <c r="W845" s="8"/>
      <c r="X845" s="8"/>
    </row>
    <row r="846" spans="1:24" ht="12.75">
      <c r="A846" s="82"/>
      <c r="B846" s="8"/>
      <c r="C846" s="59"/>
      <c r="D846" s="59"/>
      <c r="E846" s="8"/>
      <c r="F846" s="8"/>
      <c r="G846" s="8"/>
      <c r="H846" s="8"/>
      <c r="I846" s="8"/>
      <c r="J846" s="8"/>
      <c r="K846" s="8"/>
      <c r="L846" s="8"/>
      <c r="M846" s="8"/>
      <c r="N846" s="8"/>
      <c r="O846" s="8"/>
      <c r="P846" s="8"/>
      <c r="Q846" s="8"/>
      <c r="R846" s="8"/>
      <c r="S846" s="8"/>
      <c r="T846" s="8"/>
      <c r="U846" s="8"/>
      <c r="V846" s="8"/>
      <c r="W846" s="8"/>
      <c r="X846" s="8"/>
    </row>
    <row r="847" spans="1:24" ht="12.75">
      <c r="A847" s="82"/>
      <c r="B847" s="8"/>
      <c r="C847" s="59"/>
      <c r="D847" s="59"/>
      <c r="E847" s="8"/>
      <c r="F847" s="8"/>
      <c r="G847" s="8"/>
      <c r="H847" s="8"/>
      <c r="I847" s="8"/>
      <c r="J847" s="8"/>
      <c r="K847" s="8"/>
      <c r="L847" s="8"/>
      <c r="M847" s="8"/>
      <c r="N847" s="8"/>
      <c r="O847" s="8"/>
      <c r="P847" s="8"/>
      <c r="Q847" s="8"/>
      <c r="R847" s="8"/>
      <c r="S847" s="8"/>
      <c r="T847" s="8"/>
      <c r="U847" s="8"/>
      <c r="V847" s="8"/>
      <c r="W847" s="8"/>
      <c r="X847" s="8"/>
    </row>
    <row r="848" spans="1:24" ht="12.75">
      <c r="A848" s="82"/>
      <c r="B848" s="8"/>
      <c r="C848" s="59"/>
      <c r="D848" s="59"/>
      <c r="E848" s="8"/>
      <c r="F848" s="8"/>
      <c r="G848" s="8"/>
      <c r="H848" s="8"/>
      <c r="I848" s="8"/>
      <c r="J848" s="8"/>
      <c r="K848" s="8"/>
      <c r="L848" s="8"/>
      <c r="M848" s="8"/>
      <c r="N848" s="8"/>
      <c r="O848" s="8"/>
      <c r="P848" s="8"/>
      <c r="Q848" s="8"/>
      <c r="R848" s="8"/>
      <c r="S848" s="8"/>
      <c r="T848" s="8"/>
      <c r="U848" s="8"/>
      <c r="V848" s="8"/>
      <c r="W848" s="8"/>
      <c r="X848" s="8"/>
    </row>
    <row r="849" spans="1:24" ht="12.75">
      <c r="A849" s="82"/>
      <c r="B849" s="8"/>
      <c r="C849" s="59"/>
      <c r="D849" s="59"/>
      <c r="E849" s="8"/>
      <c r="F849" s="8"/>
      <c r="G849" s="8"/>
      <c r="H849" s="8"/>
      <c r="I849" s="8"/>
      <c r="J849" s="8"/>
      <c r="K849" s="8"/>
      <c r="L849" s="8"/>
      <c r="M849" s="8"/>
      <c r="N849" s="8"/>
      <c r="O849" s="8"/>
      <c r="P849" s="8"/>
      <c r="Q849" s="8"/>
      <c r="R849" s="8"/>
      <c r="S849" s="8"/>
      <c r="T849" s="8"/>
      <c r="U849" s="8"/>
      <c r="V849" s="8"/>
      <c r="W849" s="8"/>
      <c r="X849" s="8"/>
    </row>
    <row r="850" spans="1:24" ht="12.75">
      <c r="A850" s="82"/>
      <c r="B850" s="8"/>
      <c r="C850" s="59"/>
      <c r="D850" s="59"/>
      <c r="E850" s="8"/>
      <c r="F850" s="8"/>
      <c r="G850" s="8"/>
      <c r="H850" s="8"/>
      <c r="I850" s="8"/>
      <c r="J850" s="8"/>
      <c r="K850" s="8"/>
      <c r="L850" s="8"/>
      <c r="M850" s="8"/>
      <c r="N850" s="8"/>
      <c r="O850" s="8"/>
      <c r="P850" s="8"/>
      <c r="Q850" s="8"/>
      <c r="R850" s="8"/>
      <c r="S850" s="8"/>
      <c r="T850" s="8"/>
      <c r="U850" s="8"/>
      <c r="V850" s="8"/>
      <c r="W850" s="8"/>
      <c r="X850" s="8"/>
    </row>
    <row r="851" spans="1:24" ht="12.75">
      <c r="A851" s="82"/>
      <c r="B851" s="8"/>
      <c r="C851" s="59"/>
      <c r="D851" s="59"/>
      <c r="E851" s="8"/>
      <c r="F851" s="8"/>
      <c r="G851" s="8"/>
      <c r="H851" s="8"/>
      <c r="I851" s="8"/>
      <c r="J851" s="8"/>
      <c r="K851" s="8"/>
      <c r="L851" s="8"/>
      <c r="M851" s="8"/>
      <c r="N851" s="8"/>
      <c r="O851" s="8"/>
      <c r="P851" s="8"/>
      <c r="Q851" s="8"/>
      <c r="R851" s="8"/>
      <c r="S851" s="8"/>
      <c r="T851" s="8"/>
      <c r="U851" s="8"/>
      <c r="V851" s="8"/>
      <c r="W851" s="8"/>
      <c r="X851" s="8"/>
    </row>
    <row r="852" spans="1:24" ht="12.75">
      <c r="A852" s="82"/>
      <c r="B852" s="8"/>
      <c r="C852" s="59"/>
      <c r="D852" s="59"/>
      <c r="E852" s="8"/>
      <c r="F852" s="8"/>
      <c r="G852" s="8"/>
      <c r="H852" s="8"/>
      <c r="I852" s="8"/>
      <c r="J852" s="8"/>
      <c r="K852" s="8"/>
      <c r="L852" s="8"/>
      <c r="M852" s="8"/>
      <c r="N852" s="8"/>
      <c r="O852" s="8"/>
      <c r="P852" s="8"/>
      <c r="Q852" s="8"/>
      <c r="R852" s="8"/>
      <c r="S852" s="8"/>
      <c r="T852" s="8"/>
      <c r="U852" s="8"/>
      <c r="V852" s="8"/>
      <c r="W852" s="8"/>
      <c r="X852" s="8"/>
    </row>
    <row r="853" spans="1:24" ht="12.75">
      <c r="A853" s="82"/>
      <c r="B853" s="8"/>
      <c r="C853" s="59"/>
      <c r="D853" s="59"/>
      <c r="E853" s="8"/>
      <c r="F853" s="8"/>
      <c r="G853" s="8"/>
      <c r="H853" s="8"/>
      <c r="I853" s="8"/>
      <c r="J853" s="8"/>
      <c r="K853" s="8"/>
      <c r="L853" s="8"/>
      <c r="M853" s="8"/>
      <c r="N853" s="8"/>
      <c r="O853" s="8"/>
      <c r="P853" s="8"/>
      <c r="Q853" s="8"/>
      <c r="R853" s="8"/>
      <c r="S853" s="8"/>
      <c r="T853" s="8"/>
      <c r="U853" s="8"/>
      <c r="V853" s="8"/>
      <c r="W853" s="8"/>
      <c r="X853" s="8"/>
    </row>
    <row r="854" spans="1:24" ht="12.75">
      <c r="A854" s="82"/>
      <c r="B854" s="8"/>
      <c r="C854" s="59"/>
      <c r="D854" s="59"/>
      <c r="E854" s="8"/>
      <c r="F854" s="8"/>
      <c r="G854" s="8"/>
      <c r="H854" s="8"/>
      <c r="I854" s="8"/>
      <c r="J854" s="8"/>
      <c r="K854" s="8"/>
      <c r="L854" s="8"/>
      <c r="M854" s="8"/>
      <c r="N854" s="8"/>
      <c r="O854" s="8"/>
      <c r="P854" s="8"/>
      <c r="Q854" s="8"/>
      <c r="R854" s="8"/>
      <c r="S854" s="8"/>
      <c r="T854" s="8"/>
      <c r="U854" s="8"/>
      <c r="V854" s="8"/>
      <c r="W854" s="8"/>
      <c r="X854" s="8"/>
    </row>
    <row r="855" spans="1:24" ht="12.75">
      <c r="A855" s="82"/>
      <c r="B855" s="8"/>
      <c r="C855" s="59"/>
      <c r="D855" s="59"/>
      <c r="E855" s="8"/>
      <c r="F855" s="8"/>
      <c r="G855" s="8"/>
      <c r="H855" s="8"/>
      <c r="I855" s="8"/>
      <c r="J855" s="8"/>
      <c r="K855" s="8"/>
      <c r="L855" s="8"/>
      <c r="M855" s="8"/>
      <c r="N855" s="8"/>
      <c r="O855" s="8"/>
      <c r="P855" s="8"/>
      <c r="Q855" s="8"/>
      <c r="R855" s="8"/>
      <c r="S855" s="8"/>
      <c r="T855" s="8"/>
      <c r="U855" s="8"/>
      <c r="V855" s="8"/>
      <c r="W855" s="8"/>
      <c r="X855" s="8"/>
    </row>
    <row r="856" spans="1:24" ht="12.75">
      <c r="A856" s="82"/>
      <c r="B856" s="8"/>
      <c r="C856" s="59"/>
      <c r="D856" s="59"/>
      <c r="E856" s="8"/>
      <c r="F856" s="8"/>
      <c r="G856" s="8"/>
      <c r="H856" s="8"/>
      <c r="I856" s="8"/>
      <c r="J856" s="8"/>
      <c r="K856" s="8"/>
      <c r="L856" s="8"/>
      <c r="M856" s="8"/>
      <c r="N856" s="8"/>
      <c r="O856" s="8"/>
      <c r="P856" s="8"/>
      <c r="Q856" s="8"/>
      <c r="R856" s="8"/>
      <c r="S856" s="8"/>
      <c r="T856" s="8"/>
      <c r="U856" s="8"/>
      <c r="V856" s="8"/>
      <c r="W856" s="8"/>
      <c r="X856" s="8"/>
    </row>
    <row r="857" spans="1:24" ht="12.75">
      <c r="A857" s="82"/>
      <c r="B857" s="8"/>
      <c r="C857" s="59"/>
      <c r="D857" s="59"/>
      <c r="E857" s="8"/>
      <c r="F857" s="8"/>
      <c r="G857" s="8"/>
      <c r="H857" s="8"/>
      <c r="I857" s="8"/>
      <c r="J857" s="8"/>
      <c r="K857" s="8"/>
      <c r="L857" s="8"/>
      <c r="M857" s="8"/>
      <c r="N857" s="8"/>
      <c r="O857" s="8"/>
      <c r="P857" s="8"/>
      <c r="Q857" s="8"/>
      <c r="R857" s="8"/>
      <c r="S857" s="8"/>
      <c r="T857" s="8"/>
      <c r="U857" s="8"/>
      <c r="V857" s="8"/>
      <c r="W857" s="8"/>
      <c r="X857" s="8"/>
    </row>
    <row r="858" spans="1:24" ht="12.75">
      <c r="A858" s="82"/>
      <c r="B858" s="8"/>
      <c r="C858" s="59"/>
      <c r="D858" s="59"/>
      <c r="E858" s="8"/>
      <c r="F858" s="8"/>
      <c r="G858" s="8"/>
      <c r="H858" s="8"/>
      <c r="I858" s="8"/>
      <c r="J858" s="8"/>
      <c r="K858" s="8"/>
      <c r="L858" s="8"/>
      <c r="M858" s="8"/>
      <c r="N858" s="8"/>
      <c r="O858" s="8"/>
      <c r="P858" s="8"/>
      <c r="Q858" s="8"/>
      <c r="R858" s="8"/>
      <c r="S858" s="8"/>
      <c r="T858" s="8"/>
      <c r="U858" s="8"/>
      <c r="V858" s="8"/>
      <c r="W858" s="8"/>
      <c r="X858" s="8"/>
    </row>
    <row r="859" spans="1:24" ht="12.75">
      <c r="A859" s="82"/>
      <c r="B859" s="8"/>
      <c r="C859" s="59"/>
      <c r="D859" s="59"/>
      <c r="E859" s="8"/>
      <c r="F859" s="8"/>
      <c r="G859" s="8"/>
      <c r="H859" s="8"/>
      <c r="I859" s="8"/>
      <c r="J859" s="8"/>
      <c r="K859" s="8"/>
      <c r="L859" s="8"/>
      <c r="M859" s="8"/>
      <c r="N859" s="8"/>
      <c r="O859" s="8"/>
      <c r="P859" s="8"/>
      <c r="Q859" s="8"/>
      <c r="R859" s="8"/>
      <c r="S859" s="8"/>
      <c r="T859" s="8"/>
      <c r="U859" s="8"/>
      <c r="V859" s="8"/>
      <c r="W859" s="8"/>
      <c r="X859" s="8"/>
    </row>
    <row r="860" spans="1:24" ht="12.75">
      <c r="A860" s="82"/>
      <c r="B860" s="8"/>
      <c r="C860" s="59"/>
      <c r="D860" s="59"/>
      <c r="E860" s="8"/>
      <c r="F860" s="8"/>
      <c r="G860" s="8"/>
      <c r="H860" s="8"/>
      <c r="I860" s="8"/>
      <c r="J860" s="8"/>
      <c r="K860" s="8"/>
      <c r="L860" s="8"/>
      <c r="M860" s="8"/>
      <c r="N860" s="8"/>
      <c r="O860" s="8"/>
      <c r="P860" s="8"/>
      <c r="Q860" s="8"/>
      <c r="R860" s="8"/>
      <c r="S860" s="8"/>
      <c r="T860" s="8"/>
      <c r="U860" s="8"/>
      <c r="V860" s="8"/>
      <c r="W860" s="8"/>
      <c r="X860" s="8"/>
    </row>
    <row r="861" spans="1:24" ht="12.75">
      <c r="A861" s="82"/>
      <c r="B861" s="8"/>
      <c r="C861" s="59"/>
      <c r="D861" s="59"/>
      <c r="E861" s="8"/>
      <c r="F861" s="8"/>
      <c r="G861" s="8"/>
      <c r="H861" s="8"/>
      <c r="I861" s="8"/>
      <c r="J861" s="8"/>
      <c r="K861" s="8"/>
      <c r="L861" s="8"/>
      <c r="M861" s="8"/>
      <c r="N861" s="8"/>
      <c r="O861" s="8"/>
      <c r="P861" s="8"/>
      <c r="Q861" s="8"/>
      <c r="R861" s="8"/>
      <c r="S861" s="8"/>
      <c r="T861" s="8"/>
      <c r="U861" s="8"/>
      <c r="V861" s="8"/>
      <c r="W861" s="8"/>
      <c r="X861" s="8"/>
    </row>
    <row r="862" spans="1:24" ht="12.75">
      <c r="A862" s="82"/>
      <c r="B862" s="8"/>
      <c r="C862" s="59"/>
      <c r="D862" s="59"/>
      <c r="E862" s="8"/>
      <c r="F862" s="8"/>
      <c r="G862" s="8"/>
      <c r="H862" s="8"/>
      <c r="I862" s="8"/>
      <c r="J862" s="8"/>
      <c r="K862" s="8"/>
      <c r="L862" s="8"/>
      <c r="M862" s="8"/>
      <c r="N862" s="8"/>
      <c r="O862" s="8"/>
      <c r="P862" s="8"/>
      <c r="Q862" s="8"/>
      <c r="R862" s="8"/>
      <c r="S862" s="8"/>
      <c r="T862" s="8"/>
      <c r="U862" s="8"/>
      <c r="V862" s="8"/>
      <c r="W862" s="8"/>
      <c r="X862" s="8"/>
    </row>
    <row r="863" spans="1:24" ht="12.75">
      <c r="A863" s="82"/>
      <c r="B863" s="8"/>
      <c r="C863" s="59"/>
      <c r="D863" s="59"/>
      <c r="E863" s="8"/>
      <c r="F863" s="8"/>
      <c r="G863" s="8"/>
      <c r="H863" s="8"/>
      <c r="I863" s="8"/>
      <c r="J863" s="8"/>
      <c r="K863" s="8"/>
      <c r="L863" s="8"/>
      <c r="M863" s="8"/>
      <c r="N863" s="8"/>
      <c r="O863" s="8"/>
      <c r="P863" s="8"/>
      <c r="Q863" s="8"/>
      <c r="R863" s="8"/>
      <c r="S863" s="8"/>
      <c r="T863" s="8"/>
      <c r="U863" s="8"/>
      <c r="V863" s="8"/>
      <c r="W863" s="8"/>
      <c r="X863" s="8"/>
    </row>
    <row r="864" spans="1:24" ht="12.75">
      <c r="A864" s="82"/>
      <c r="B864" s="8"/>
      <c r="C864" s="59"/>
      <c r="D864" s="59"/>
      <c r="E864" s="8"/>
      <c r="F864" s="8"/>
      <c r="G864" s="8"/>
      <c r="H864" s="8"/>
      <c r="I864" s="8"/>
      <c r="J864" s="8"/>
      <c r="K864" s="8"/>
      <c r="L864" s="8"/>
      <c r="M864" s="8"/>
      <c r="N864" s="8"/>
      <c r="O864" s="8"/>
      <c r="P864" s="8"/>
      <c r="Q864" s="8"/>
      <c r="R864" s="8"/>
      <c r="S864" s="8"/>
      <c r="T864" s="8"/>
      <c r="U864" s="8"/>
      <c r="V864" s="8"/>
      <c r="W864" s="8"/>
      <c r="X864" s="8"/>
    </row>
    <row r="865" spans="1:24" ht="12.75">
      <c r="A865" s="82"/>
      <c r="B865" s="8"/>
      <c r="C865" s="59"/>
      <c r="D865" s="59"/>
      <c r="E865" s="8"/>
      <c r="F865" s="8"/>
      <c r="G865" s="8"/>
      <c r="H865" s="8"/>
      <c r="I865" s="8"/>
      <c r="J865" s="8"/>
      <c r="K865" s="8"/>
      <c r="L865" s="8"/>
      <c r="M865" s="8"/>
      <c r="N865" s="8"/>
      <c r="O865" s="8"/>
      <c r="P865" s="8"/>
      <c r="Q865" s="8"/>
      <c r="R865" s="8"/>
      <c r="S865" s="8"/>
      <c r="T865" s="8"/>
      <c r="U865" s="8"/>
      <c r="V865" s="8"/>
      <c r="W865" s="8"/>
      <c r="X865" s="8"/>
    </row>
    <row r="866" spans="1:24" ht="12.75">
      <c r="A866" s="82"/>
      <c r="B866" s="8"/>
      <c r="C866" s="59"/>
      <c r="D866" s="59"/>
      <c r="E866" s="8"/>
      <c r="F866" s="8"/>
      <c r="G866" s="8"/>
      <c r="H866" s="8"/>
      <c r="I866" s="8"/>
      <c r="J866" s="8"/>
      <c r="K866" s="8"/>
      <c r="L866" s="8"/>
      <c r="M866" s="8"/>
      <c r="N866" s="8"/>
      <c r="O866" s="8"/>
      <c r="P866" s="8"/>
      <c r="Q866" s="8"/>
      <c r="R866" s="8"/>
      <c r="S866" s="8"/>
      <c r="T866" s="8"/>
      <c r="U866" s="8"/>
      <c r="V866" s="8"/>
      <c r="W866" s="8"/>
      <c r="X866" s="8"/>
    </row>
    <row r="867" spans="1:24" ht="12.75">
      <c r="A867" s="82"/>
      <c r="B867" s="8"/>
      <c r="C867" s="59"/>
      <c r="D867" s="59"/>
      <c r="E867" s="8"/>
      <c r="F867" s="8"/>
      <c r="G867" s="8"/>
      <c r="H867" s="8"/>
      <c r="I867" s="8"/>
      <c r="J867" s="8"/>
      <c r="K867" s="8"/>
      <c r="L867" s="8"/>
      <c r="M867" s="8"/>
      <c r="N867" s="8"/>
      <c r="O867" s="8"/>
      <c r="P867" s="8"/>
      <c r="Q867" s="8"/>
      <c r="R867" s="8"/>
      <c r="S867" s="8"/>
      <c r="T867" s="8"/>
      <c r="U867" s="8"/>
      <c r="V867" s="8"/>
      <c r="W867" s="8"/>
      <c r="X867" s="8"/>
    </row>
    <row r="868" spans="1:24" ht="12.75">
      <c r="A868" s="82"/>
      <c r="B868" s="8"/>
      <c r="C868" s="59"/>
      <c r="D868" s="59"/>
      <c r="E868" s="8"/>
      <c r="F868" s="8"/>
      <c r="G868" s="8"/>
      <c r="H868" s="8"/>
      <c r="I868" s="8"/>
      <c r="J868" s="8"/>
      <c r="K868" s="8"/>
      <c r="L868" s="8"/>
      <c r="M868" s="8"/>
      <c r="N868" s="8"/>
      <c r="O868" s="8"/>
      <c r="P868" s="8"/>
      <c r="Q868" s="8"/>
      <c r="R868" s="8"/>
      <c r="S868" s="8"/>
      <c r="T868" s="8"/>
      <c r="U868" s="8"/>
      <c r="V868" s="8"/>
      <c r="W868" s="8"/>
      <c r="X868" s="8"/>
    </row>
    <row r="869" spans="1:24" ht="12.75">
      <c r="A869" s="82"/>
      <c r="B869" s="8"/>
      <c r="C869" s="59"/>
      <c r="D869" s="59"/>
      <c r="E869" s="8"/>
      <c r="F869" s="8"/>
      <c r="G869" s="8"/>
      <c r="H869" s="8"/>
      <c r="I869" s="8"/>
      <c r="J869" s="8"/>
      <c r="K869" s="8"/>
      <c r="L869" s="8"/>
      <c r="M869" s="8"/>
      <c r="N869" s="8"/>
      <c r="O869" s="8"/>
      <c r="P869" s="8"/>
      <c r="Q869" s="8"/>
      <c r="R869" s="8"/>
      <c r="S869" s="8"/>
      <c r="T869" s="8"/>
      <c r="U869" s="8"/>
      <c r="V869" s="8"/>
      <c r="W869" s="8"/>
      <c r="X869" s="8"/>
    </row>
    <row r="870" spans="1:24" ht="12.75">
      <c r="A870" s="82"/>
      <c r="B870" s="8"/>
      <c r="C870" s="59"/>
      <c r="D870" s="59"/>
      <c r="E870" s="8"/>
      <c r="F870" s="8"/>
      <c r="G870" s="8"/>
      <c r="H870" s="8"/>
      <c r="I870" s="8"/>
      <c r="J870" s="8"/>
      <c r="K870" s="8"/>
      <c r="L870" s="8"/>
      <c r="M870" s="8"/>
      <c r="N870" s="8"/>
      <c r="O870" s="8"/>
      <c r="P870" s="8"/>
      <c r="Q870" s="8"/>
      <c r="R870" s="8"/>
      <c r="S870" s="8"/>
      <c r="T870" s="8"/>
      <c r="U870" s="8"/>
      <c r="V870" s="8"/>
      <c r="W870" s="8"/>
      <c r="X870" s="8"/>
    </row>
    <row r="871" spans="1:24" ht="12.75">
      <c r="A871" s="82"/>
      <c r="B871" s="8"/>
      <c r="C871" s="59"/>
      <c r="D871" s="59"/>
      <c r="E871" s="8"/>
      <c r="F871" s="8"/>
      <c r="G871" s="8"/>
      <c r="H871" s="8"/>
      <c r="I871" s="8"/>
      <c r="J871" s="8"/>
      <c r="K871" s="8"/>
      <c r="L871" s="8"/>
      <c r="M871" s="8"/>
      <c r="N871" s="8"/>
      <c r="O871" s="8"/>
      <c r="P871" s="8"/>
      <c r="Q871" s="8"/>
      <c r="R871" s="8"/>
      <c r="S871" s="8"/>
      <c r="T871" s="8"/>
      <c r="U871" s="8"/>
      <c r="V871" s="8"/>
      <c r="W871" s="8"/>
      <c r="X871" s="8"/>
    </row>
    <row r="872" spans="1:24" ht="12.75">
      <c r="A872" s="82"/>
      <c r="B872" s="8"/>
      <c r="C872" s="59"/>
      <c r="D872" s="59"/>
      <c r="E872" s="8"/>
      <c r="F872" s="8"/>
      <c r="G872" s="8"/>
      <c r="H872" s="8"/>
      <c r="I872" s="8"/>
      <c r="J872" s="8"/>
      <c r="K872" s="8"/>
      <c r="L872" s="8"/>
      <c r="M872" s="8"/>
      <c r="N872" s="8"/>
      <c r="O872" s="8"/>
      <c r="P872" s="8"/>
      <c r="Q872" s="8"/>
      <c r="R872" s="8"/>
      <c r="S872" s="8"/>
      <c r="T872" s="8"/>
      <c r="U872" s="8"/>
      <c r="V872" s="8"/>
      <c r="W872" s="8"/>
      <c r="X872" s="8"/>
    </row>
    <row r="873" spans="1:24" ht="12.75">
      <c r="A873" s="82"/>
      <c r="B873" s="8"/>
      <c r="C873" s="59"/>
      <c r="D873" s="59"/>
      <c r="E873" s="8"/>
      <c r="F873" s="8"/>
      <c r="G873" s="8"/>
      <c r="H873" s="8"/>
      <c r="I873" s="8"/>
      <c r="J873" s="8"/>
      <c r="K873" s="8"/>
      <c r="L873" s="8"/>
      <c r="M873" s="8"/>
      <c r="N873" s="8"/>
      <c r="O873" s="8"/>
      <c r="P873" s="8"/>
      <c r="Q873" s="8"/>
      <c r="R873" s="8"/>
      <c r="S873" s="8"/>
      <c r="T873" s="8"/>
      <c r="U873" s="8"/>
      <c r="V873" s="8"/>
      <c r="W873" s="8"/>
      <c r="X873" s="8"/>
    </row>
    <row r="874" spans="1:24" ht="12.75">
      <c r="A874" s="82"/>
      <c r="B874" s="8"/>
      <c r="C874" s="59"/>
      <c r="D874" s="59"/>
      <c r="E874" s="8"/>
      <c r="F874" s="8"/>
      <c r="G874" s="8"/>
      <c r="H874" s="8"/>
      <c r="I874" s="8"/>
      <c r="J874" s="8"/>
      <c r="K874" s="8"/>
      <c r="L874" s="8"/>
      <c r="M874" s="8"/>
      <c r="N874" s="8"/>
      <c r="O874" s="8"/>
      <c r="P874" s="8"/>
      <c r="Q874" s="8"/>
      <c r="R874" s="8"/>
      <c r="S874" s="8"/>
      <c r="T874" s="8"/>
      <c r="U874" s="8"/>
      <c r="V874" s="8"/>
      <c r="W874" s="8"/>
      <c r="X874" s="8"/>
    </row>
    <row r="875" spans="1:24" ht="12.75">
      <c r="A875" s="82"/>
      <c r="B875" s="8"/>
      <c r="C875" s="59"/>
      <c r="D875" s="59"/>
      <c r="E875" s="8"/>
      <c r="F875" s="8"/>
      <c r="G875" s="8"/>
      <c r="H875" s="8"/>
      <c r="I875" s="8"/>
      <c r="J875" s="8"/>
      <c r="K875" s="8"/>
      <c r="L875" s="8"/>
      <c r="M875" s="8"/>
      <c r="N875" s="8"/>
      <c r="O875" s="8"/>
      <c r="P875" s="8"/>
      <c r="Q875" s="8"/>
      <c r="R875" s="8"/>
      <c r="S875" s="8"/>
      <c r="T875" s="8"/>
      <c r="U875" s="8"/>
      <c r="V875" s="8"/>
      <c r="W875" s="8"/>
      <c r="X875" s="8"/>
    </row>
    <row r="876" spans="1:24" ht="12.75">
      <c r="A876" s="82"/>
      <c r="B876" s="8"/>
      <c r="C876" s="59"/>
      <c r="D876" s="59"/>
      <c r="E876" s="8"/>
      <c r="F876" s="8"/>
      <c r="G876" s="8"/>
      <c r="H876" s="8"/>
      <c r="I876" s="8"/>
      <c r="J876" s="8"/>
      <c r="K876" s="8"/>
      <c r="L876" s="8"/>
      <c r="M876" s="8"/>
      <c r="N876" s="8"/>
      <c r="O876" s="8"/>
      <c r="P876" s="8"/>
      <c r="Q876" s="8"/>
      <c r="R876" s="8"/>
      <c r="S876" s="8"/>
      <c r="T876" s="8"/>
      <c r="U876" s="8"/>
      <c r="V876" s="8"/>
      <c r="W876" s="8"/>
      <c r="X876" s="8"/>
    </row>
    <row r="877" spans="1:24" ht="12.75">
      <c r="A877" s="82"/>
      <c r="B877" s="8"/>
      <c r="C877" s="59"/>
      <c r="D877" s="59"/>
      <c r="E877" s="8"/>
      <c r="F877" s="8"/>
      <c r="G877" s="8"/>
      <c r="H877" s="8"/>
      <c r="I877" s="8"/>
      <c r="J877" s="8"/>
      <c r="K877" s="8"/>
      <c r="L877" s="8"/>
      <c r="M877" s="8"/>
      <c r="N877" s="8"/>
      <c r="O877" s="8"/>
      <c r="P877" s="8"/>
      <c r="Q877" s="8"/>
      <c r="R877" s="8"/>
      <c r="S877" s="8"/>
      <c r="T877" s="8"/>
      <c r="U877" s="8"/>
      <c r="V877" s="8"/>
      <c r="W877" s="8"/>
      <c r="X877" s="8"/>
    </row>
    <row r="878" spans="1:24" ht="12.75">
      <c r="A878" s="82"/>
      <c r="B878" s="8"/>
      <c r="C878" s="59"/>
      <c r="D878" s="59"/>
      <c r="E878" s="8"/>
      <c r="F878" s="8"/>
      <c r="G878" s="8"/>
      <c r="H878" s="8"/>
      <c r="I878" s="8"/>
      <c r="J878" s="8"/>
      <c r="K878" s="8"/>
      <c r="L878" s="8"/>
      <c r="M878" s="8"/>
      <c r="N878" s="8"/>
      <c r="O878" s="8"/>
      <c r="P878" s="8"/>
      <c r="Q878" s="8"/>
      <c r="R878" s="8"/>
      <c r="S878" s="8"/>
      <c r="T878" s="8"/>
      <c r="U878" s="8"/>
      <c r="V878" s="8"/>
      <c r="W878" s="8"/>
      <c r="X878" s="8"/>
    </row>
    <row r="879" spans="1:24" ht="12.75">
      <c r="A879" s="82"/>
      <c r="B879" s="8"/>
      <c r="C879" s="59"/>
      <c r="D879" s="59"/>
      <c r="E879" s="8"/>
      <c r="F879" s="8"/>
      <c r="G879" s="8"/>
      <c r="H879" s="8"/>
      <c r="I879" s="8"/>
      <c r="J879" s="8"/>
      <c r="K879" s="8"/>
      <c r="L879" s="8"/>
      <c r="M879" s="8"/>
      <c r="N879" s="8"/>
      <c r="O879" s="8"/>
      <c r="P879" s="8"/>
      <c r="Q879" s="8"/>
      <c r="R879" s="8"/>
      <c r="S879" s="8"/>
      <c r="T879" s="8"/>
      <c r="U879" s="8"/>
      <c r="V879" s="8"/>
      <c r="W879" s="8"/>
      <c r="X879" s="8"/>
    </row>
    <row r="880" spans="1:24" ht="12.75">
      <c r="A880" s="82"/>
      <c r="B880" s="8"/>
      <c r="C880" s="59"/>
      <c r="D880" s="59"/>
      <c r="E880" s="8"/>
      <c r="F880" s="8"/>
      <c r="G880" s="8"/>
      <c r="H880" s="8"/>
      <c r="I880" s="8"/>
      <c r="J880" s="8"/>
      <c r="K880" s="8"/>
      <c r="L880" s="8"/>
      <c r="M880" s="8"/>
      <c r="N880" s="8"/>
      <c r="O880" s="8"/>
      <c r="P880" s="8"/>
      <c r="Q880" s="8"/>
      <c r="R880" s="8"/>
      <c r="S880" s="8"/>
      <c r="T880" s="8"/>
      <c r="U880" s="8"/>
      <c r="V880" s="8"/>
      <c r="W880" s="8"/>
      <c r="X880" s="8"/>
    </row>
    <row r="881" spans="1:24" ht="12.75">
      <c r="A881" s="82"/>
      <c r="B881" s="8"/>
      <c r="C881" s="59"/>
      <c r="D881" s="59"/>
      <c r="E881" s="8"/>
      <c r="F881" s="8"/>
      <c r="G881" s="8"/>
      <c r="H881" s="8"/>
      <c r="I881" s="8"/>
      <c r="J881" s="8"/>
      <c r="K881" s="8"/>
      <c r="L881" s="8"/>
      <c r="M881" s="8"/>
      <c r="N881" s="8"/>
      <c r="O881" s="8"/>
      <c r="P881" s="8"/>
      <c r="Q881" s="8"/>
      <c r="R881" s="8"/>
      <c r="S881" s="8"/>
      <c r="T881" s="8"/>
      <c r="U881" s="8"/>
      <c r="V881" s="8"/>
      <c r="W881" s="8"/>
      <c r="X881" s="8"/>
    </row>
    <row r="882" spans="1:24" ht="12.75">
      <c r="A882" s="82"/>
      <c r="B882" s="8"/>
      <c r="C882" s="59"/>
      <c r="D882" s="59"/>
      <c r="E882" s="8"/>
      <c r="F882" s="8"/>
      <c r="G882" s="8"/>
      <c r="H882" s="8"/>
      <c r="I882" s="8"/>
      <c r="J882" s="8"/>
      <c r="K882" s="8"/>
      <c r="L882" s="8"/>
      <c r="M882" s="8"/>
      <c r="N882" s="8"/>
      <c r="O882" s="8"/>
      <c r="P882" s="8"/>
      <c r="Q882" s="8"/>
      <c r="R882" s="8"/>
      <c r="S882" s="8"/>
      <c r="T882" s="8"/>
      <c r="U882" s="8"/>
      <c r="V882" s="8"/>
      <c r="W882" s="8"/>
      <c r="X882" s="8"/>
    </row>
    <row r="883" spans="1:24" ht="12.75">
      <c r="A883" s="82"/>
      <c r="B883" s="8"/>
      <c r="C883" s="59"/>
      <c r="D883" s="59"/>
      <c r="E883" s="8"/>
      <c r="F883" s="8"/>
      <c r="G883" s="8"/>
      <c r="H883" s="8"/>
      <c r="I883" s="8"/>
      <c r="J883" s="8"/>
      <c r="K883" s="8"/>
      <c r="L883" s="8"/>
      <c r="M883" s="8"/>
      <c r="N883" s="8"/>
      <c r="O883" s="8"/>
      <c r="P883" s="8"/>
      <c r="Q883" s="8"/>
      <c r="R883" s="8"/>
      <c r="S883" s="8"/>
      <c r="T883" s="8"/>
      <c r="U883" s="8"/>
      <c r="V883" s="8"/>
      <c r="W883" s="8"/>
      <c r="X883" s="8"/>
    </row>
    <row r="884" spans="1:24" ht="12.75">
      <c r="A884" s="82"/>
      <c r="B884" s="8"/>
      <c r="C884" s="59"/>
      <c r="D884" s="59"/>
      <c r="E884" s="8"/>
      <c r="F884" s="8"/>
      <c r="G884" s="8"/>
      <c r="H884" s="8"/>
      <c r="I884" s="8"/>
      <c r="J884" s="8"/>
      <c r="K884" s="8"/>
      <c r="L884" s="8"/>
      <c r="M884" s="8"/>
      <c r="N884" s="8"/>
      <c r="O884" s="8"/>
      <c r="P884" s="8"/>
      <c r="Q884" s="8"/>
      <c r="R884" s="8"/>
      <c r="S884" s="8"/>
      <c r="T884" s="8"/>
      <c r="U884" s="8"/>
      <c r="V884" s="8"/>
      <c r="W884" s="8"/>
      <c r="X884" s="8"/>
    </row>
    <row r="885" spans="1:24" ht="12.75">
      <c r="A885" s="82"/>
      <c r="B885" s="8"/>
      <c r="C885" s="59"/>
      <c r="D885" s="59"/>
      <c r="E885" s="8"/>
      <c r="F885" s="8"/>
      <c r="G885" s="8"/>
      <c r="H885" s="8"/>
      <c r="I885" s="8"/>
      <c r="J885" s="8"/>
      <c r="K885" s="8"/>
      <c r="L885" s="8"/>
      <c r="M885" s="8"/>
      <c r="N885" s="8"/>
      <c r="O885" s="8"/>
      <c r="P885" s="8"/>
      <c r="Q885" s="8"/>
      <c r="R885" s="8"/>
      <c r="S885" s="8"/>
      <c r="T885" s="8"/>
      <c r="U885" s="8"/>
      <c r="V885" s="8"/>
      <c r="W885" s="8"/>
      <c r="X885" s="8"/>
    </row>
    <row r="886" spans="1:24" ht="12.75">
      <c r="A886" s="82"/>
      <c r="B886" s="8"/>
      <c r="C886" s="59"/>
      <c r="D886" s="59"/>
      <c r="E886" s="8"/>
      <c r="F886" s="8"/>
      <c r="G886" s="8"/>
      <c r="H886" s="8"/>
      <c r="I886" s="8"/>
      <c r="J886" s="8"/>
      <c r="K886" s="8"/>
      <c r="L886" s="8"/>
      <c r="M886" s="8"/>
      <c r="N886" s="8"/>
      <c r="O886" s="8"/>
      <c r="P886" s="8"/>
      <c r="Q886" s="8"/>
      <c r="R886" s="8"/>
      <c r="S886" s="8"/>
      <c r="T886" s="8"/>
      <c r="U886" s="8"/>
      <c r="V886" s="8"/>
      <c r="W886" s="8"/>
      <c r="X886" s="8"/>
    </row>
    <row r="887" spans="1:24" ht="12.75">
      <c r="A887" s="82"/>
      <c r="B887" s="8"/>
      <c r="C887" s="59"/>
      <c r="D887" s="59"/>
      <c r="E887" s="8"/>
      <c r="F887" s="8"/>
      <c r="G887" s="8"/>
      <c r="H887" s="8"/>
      <c r="I887" s="8"/>
      <c r="J887" s="8"/>
      <c r="K887" s="8"/>
      <c r="L887" s="8"/>
      <c r="M887" s="8"/>
      <c r="N887" s="8"/>
      <c r="O887" s="8"/>
      <c r="P887" s="8"/>
      <c r="Q887" s="8"/>
      <c r="R887" s="8"/>
      <c r="S887" s="8"/>
      <c r="T887" s="8"/>
      <c r="U887" s="8"/>
      <c r="V887" s="8"/>
      <c r="W887" s="8"/>
      <c r="X887" s="8"/>
    </row>
    <row r="888" spans="1:24" ht="12.75">
      <c r="A888" s="82"/>
      <c r="B888" s="8"/>
      <c r="C888" s="59"/>
      <c r="D888" s="59"/>
      <c r="E888" s="8"/>
      <c r="F888" s="8"/>
      <c r="G888" s="8"/>
      <c r="H888" s="8"/>
      <c r="I888" s="8"/>
      <c r="J888" s="8"/>
      <c r="K888" s="8"/>
      <c r="L888" s="8"/>
      <c r="M888" s="8"/>
      <c r="N888" s="8"/>
      <c r="O888" s="8"/>
      <c r="P888" s="8"/>
      <c r="Q888" s="8"/>
      <c r="R888" s="8"/>
      <c r="S888" s="8"/>
      <c r="T888" s="8"/>
      <c r="U888" s="8"/>
      <c r="V888" s="8"/>
      <c r="W888" s="8"/>
      <c r="X888" s="8"/>
    </row>
    <row r="889" spans="1:24" ht="12.75">
      <c r="A889" s="82"/>
      <c r="B889" s="8"/>
      <c r="C889" s="59"/>
      <c r="D889" s="59"/>
      <c r="E889" s="8"/>
      <c r="F889" s="8"/>
      <c r="G889" s="8"/>
      <c r="H889" s="8"/>
      <c r="I889" s="8"/>
      <c r="J889" s="8"/>
      <c r="K889" s="8"/>
      <c r="L889" s="8"/>
      <c r="M889" s="8"/>
      <c r="N889" s="8"/>
      <c r="O889" s="8"/>
      <c r="P889" s="8"/>
      <c r="Q889" s="8"/>
      <c r="R889" s="8"/>
      <c r="S889" s="8"/>
      <c r="T889" s="8"/>
      <c r="U889" s="8"/>
      <c r="V889" s="8"/>
      <c r="W889" s="8"/>
      <c r="X889" s="8"/>
    </row>
    <row r="890" spans="1:24" ht="12.75">
      <c r="A890" s="82"/>
      <c r="B890" s="8"/>
      <c r="C890" s="59"/>
      <c r="D890" s="59"/>
      <c r="E890" s="8"/>
      <c r="F890" s="8"/>
      <c r="G890" s="8"/>
      <c r="H890" s="8"/>
      <c r="I890" s="8"/>
      <c r="J890" s="8"/>
      <c r="K890" s="8"/>
      <c r="L890" s="8"/>
      <c r="M890" s="8"/>
      <c r="N890" s="8"/>
      <c r="O890" s="8"/>
      <c r="P890" s="8"/>
      <c r="Q890" s="8"/>
      <c r="R890" s="8"/>
      <c r="S890" s="8"/>
      <c r="T890" s="8"/>
      <c r="U890" s="8"/>
      <c r="V890" s="8"/>
      <c r="W890" s="8"/>
      <c r="X890" s="8"/>
    </row>
    <row r="891" spans="1:24" ht="12.75">
      <c r="A891" s="82"/>
      <c r="B891" s="8"/>
      <c r="C891" s="59"/>
      <c r="D891" s="59"/>
      <c r="E891" s="8"/>
      <c r="F891" s="8"/>
      <c r="G891" s="8"/>
      <c r="H891" s="8"/>
      <c r="I891" s="8"/>
      <c r="J891" s="8"/>
      <c r="K891" s="8"/>
      <c r="L891" s="8"/>
      <c r="M891" s="8"/>
      <c r="N891" s="8"/>
      <c r="O891" s="8"/>
      <c r="P891" s="8"/>
      <c r="Q891" s="8"/>
      <c r="R891" s="8"/>
      <c r="S891" s="8"/>
      <c r="T891" s="8"/>
      <c r="U891" s="8"/>
      <c r="V891" s="8"/>
      <c r="W891" s="8"/>
      <c r="X891" s="8"/>
    </row>
    <row r="892" spans="1:24" ht="12.75">
      <c r="A892" s="82"/>
      <c r="B892" s="8"/>
      <c r="C892" s="59"/>
      <c r="D892" s="59"/>
      <c r="E892" s="8"/>
      <c r="F892" s="8"/>
      <c r="G892" s="8"/>
      <c r="H892" s="8"/>
      <c r="I892" s="8"/>
      <c r="J892" s="8"/>
      <c r="K892" s="8"/>
      <c r="L892" s="8"/>
      <c r="M892" s="8"/>
      <c r="N892" s="8"/>
      <c r="O892" s="8"/>
      <c r="P892" s="8"/>
      <c r="Q892" s="8"/>
      <c r="R892" s="8"/>
      <c r="S892" s="8"/>
      <c r="T892" s="8"/>
      <c r="U892" s="8"/>
      <c r="V892" s="8"/>
      <c r="W892" s="8"/>
      <c r="X892" s="8"/>
    </row>
    <row r="893" spans="1:24" ht="12.75">
      <c r="A893" s="82"/>
      <c r="B893" s="8"/>
      <c r="C893" s="59"/>
      <c r="D893" s="59"/>
      <c r="E893" s="8"/>
      <c r="F893" s="8"/>
      <c r="G893" s="8"/>
      <c r="H893" s="8"/>
      <c r="I893" s="8"/>
      <c r="J893" s="8"/>
      <c r="K893" s="8"/>
      <c r="L893" s="8"/>
      <c r="M893" s="8"/>
      <c r="N893" s="8"/>
      <c r="O893" s="8"/>
      <c r="P893" s="8"/>
      <c r="Q893" s="8"/>
      <c r="R893" s="8"/>
      <c r="S893" s="8"/>
      <c r="T893" s="8"/>
      <c r="U893" s="8"/>
      <c r="V893" s="8"/>
      <c r="W893" s="8"/>
      <c r="X893" s="8"/>
    </row>
    <row r="894" spans="1:24" ht="12.75">
      <c r="A894" s="82"/>
      <c r="B894" s="8"/>
      <c r="C894" s="59"/>
      <c r="D894" s="59"/>
      <c r="E894" s="8"/>
      <c r="F894" s="8"/>
      <c r="G894" s="8"/>
      <c r="H894" s="8"/>
      <c r="I894" s="8"/>
      <c r="J894" s="8"/>
      <c r="K894" s="8"/>
      <c r="L894" s="8"/>
      <c r="M894" s="8"/>
      <c r="N894" s="8"/>
      <c r="O894" s="8"/>
      <c r="P894" s="8"/>
      <c r="Q894" s="8"/>
      <c r="R894" s="8"/>
      <c r="S894" s="8"/>
      <c r="T894" s="8"/>
      <c r="U894" s="8"/>
      <c r="V894" s="8"/>
      <c r="W894" s="8"/>
      <c r="X894" s="8"/>
    </row>
    <row r="895" spans="1:24" ht="12.75">
      <c r="A895" s="82"/>
      <c r="B895" s="8"/>
      <c r="C895" s="59"/>
      <c r="D895" s="59"/>
      <c r="E895" s="8"/>
      <c r="F895" s="8"/>
      <c r="G895" s="8"/>
      <c r="H895" s="8"/>
      <c r="I895" s="8"/>
      <c r="J895" s="8"/>
      <c r="K895" s="8"/>
      <c r="L895" s="8"/>
      <c r="M895" s="8"/>
      <c r="N895" s="8"/>
      <c r="O895" s="8"/>
      <c r="P895" s="8"/>
      <c r="Q895" s="8"/>
      <c r="R895" s="8"/>
      <c r="S895" s="8"/>
      <c r="T895" s="8"/>
      <c r="U895" s="8"/>
      <c r="V895" s="8"/>
      <c r="W895" s="8"/>
      <c r="X895" s="8"/>
    </row>
    <row r="896" spans="1:24" ht="12.75">
      <c r="A896" s="82"/>
      <c r="B896" s="8"/>
      <c r="C896" s="59"/>
      <c r="D896" s="59"/>
      <c r="E896" s="8"/>
      <c r="F896" s="8"/>
      <c r="G896" s="8"/>
      <c r="H896" s="8"/>
      <c r="I896" s="8"/>
      <c r="J896" s="8"/>
      <c r="K896" s="8"/>
      <c r="L896" s="8"/>
      <c r="M896" s="8"/>
      <c r="N896" s="8"/>
      <c r="O896" s="8"/>
      <c r="P896" s="8"/>
      <c r="Q896" s="8"/>
      <c r="R896" s="8"/>
      <c r="S896" s="8"/>
      <c r="T896" s="8"/>
      <c r="U896" s="8"/>
      <c r="V896" s="8"/>
      <c r="W896" s="8"/>
      <c r="X896" s="8"/>
    </row>
    <row r="897" spans="1:24" ht="12.75">
      <c r="A897" s="82"/>
      <c r="B897" s="8"/>
      <c r="C897" s="59"/>
      <c r="D897" s="59"/>
      <c r="E897" s="8"/>
      <c r="F897" s="8"/>
      <c r="G897" s="8"/>
      <c r="H897" s="8"/>
      <c r="I897" s="8"/>
      <c r="J897" s="8"/>
      <c r="K897" s="8"/>
      <c r="L897" s="8"/>
      <c r="M897" s="8"/>
      <c r="N897" s="8"/>
      <c r="O897" s="8"/>
      <c r="P897" s="8"/>
      <c r="Q897" s="8"/>
      <c r="R897" s="8"/>
      <c r="S897" s="8"/>
      <c r="T897" s="8"/>
      <c r="U897" s="8"/>
      <c r="V897" s="8"/>
      <c r="W897" s="8"/>
      <c r="X897" s="8"/>
    </row>
    <row r="898" spans="1:24" ht="12.75">
      <c r="A898" s="82"/>
      <c r="B898" s="8"/>
      <c r="C898" s="59"/>
      <c r="D898" s="59"/>
      <c r="E898" s="8"/>
      <c r="F898" s="8"/>
      <c r="G898" s="8"/>
      <c r="H898" s="8"/>
      <c r="I898" s="8"/>
      <c r="J898" s="8"/>
      <c r="K898" s="8"/>
      <c r="L898" s="8"/>
      <c r="M898" s="8"/>
      <c r="N898" s="8"/>
      <c r="O898" s="8"/>
      <c r="P898" s="8"/>
      <c r="Q898" s="8"/>
      <c r="R898" s="8"/>
      <c r="S898" s="8"/>
      <c r="T898" s="8"/>
      <c r="U898" s="8"/>
      <c r="V898" s="8"/>
      <c r="W898" s="8"/>
      <c r="X898" s="8"/>
    </row>
    <row r="899" spans="1:24" ht="12.75">
      <c r="A899" s="82"/>
      <c r="B899" s="8"/>
      <c r="C899" s="59"/>
      <c r="D899" s="59"/>
      <c r="E899" s="8"/>
      <c r="F899" s="8"/>
      <c r="G899" s="8"/>
      <c r="H899" s="8"/>
      <c r="I899" s="8"/>
      <c r="J899" s="8"/>
      <c r="K899" s="8"/>
      <c r="L899" s="8"/>
      <c r="M899" s="8"/>
      <c r="N899" s="8"/>
      <c r="O899" s="8"/>
      <c r="P899" s="8"/>
      <c r="Q899" s="8"/>
      <c r="R899" s="8"/>
      <c r="S899" s="8"/>
      <c r="T899" s="8"/>
      <c r="U899" s="8"/>
      <c r="V899" s="8"/>
      <c r="W899" s="8"/>
      <c r="X899" s="8"/>
    </row>
    <row r="900" spans="1:24" ht="12.75">
      <c r="A900" s="82"/>
      <c r="B900" s="8"/>
      <c r="C900" s="59"/>
      <c r="D900" s="59"/>
      <c r="E900" s="8"/>
      <c r="F900" s="8"/>
      <c r="G900" s="8"/>
      <c r="H900" s="8"/>
      <c r="I900" s="8"/>
      <c r="J900" s="8"/>
      <c r="K900" s="8"/>
      <c r="L900" s="8"/>
      <c r="M900" s="8"/>
      <c r="N900" s="8"/>
      <c r="O900" s="8"/>
      <c r="P900" s="8"/>
      <c r="Q900" s="8"/>
      <c r="R900" s="8"/>
      <c r="S900" s="8"/>
      <c r="T900" s="8"/>
      <c r="U900" s="8"/>
      <c r="V900" s="8"/>
      <c r="W900" s="8"/>
      <c r="X900" s="8"/>
    </row>
    <row r="901" spans="1:24" ht="12.75">
      <c r="A901" s="82"/>
      <c r="B901" s="8"/>
      <c r="C901" s="59"/>
      <c r="D901" s="59"/>
      <c r="E901" s="8"/>
      <c r="F901" s="8"/>
      <c r="G901" s="8"/>
      <c r="H901" s="8"/>
      <c r="I901" s="8"/>
      <c r="J901" s="8"/>
      <c r="K901" s="8"/>
      <c r="L901" s="8"/>
      <c r="M901" s="8"/>
      <c r="N901" s="8"/>
      <c r="O901" s="8"/>
      <c r="P901" s="8"/>
      <c r="Q901" s="8"/>
      <c r="R901" s="8"/>
      <c r="S901" s="8"/>
      <c r="T901" s="8"/>
      <c r="U901" s="8"/>
      <c r="V901" s="8"/>
      <c r="W901" s="8"/>
      <c r="X901" s="8"/>
    </row>
    <row r="902" spans="1:24" ht="12.75">
      <c r="A902" s="82"/>
      <c r="B902" s="8"/>
      <c r="C902" s="59"/>
      <c r="D902" s="59"/>
      <c r="E902" s="8"/>
      <c r="F902" s="8"/>
      <c r="G902" s="8"/>
      <c r="H902" s="8"/>
      <c r="I902" s="8"/>
      <c r="J902" s="8"/>
      <c r="K902" s="8"/>
      <c r="L902" s="8"/>
      <c r="M902" s="8"/>
      <c r="N902" s="8"/>
      <c r="O902" s="8"/>
      <c r="P902" s="8"/>
      <c r="Q902" s="8"/>
      <c r="R902" s="8"/>
      <c r="S902" s="8"/>
      <c r="T902" s="8"/>
      <c r="U902" s="8"/>
      <c r="V902" s="8"/>
      <c r="W902" s="8"/>
      <c r="X902" s="8"/>
    </row>
    <row r="903" spans="1:24" ht="12.75">
      <c r="A903" s="82"/>
      <c r="B903" s="8"/>
      <c r="C903" s="59"/>
      <c r="D903" s="59"/>
      <c r="E903" s="8"/>
      <c r="F903" s="8"/>
      <c r="G903" s="8"/>
      <c r="H903" s="8"/>
      <c r="I903" s="8"/>
      <c r="J903" s="8"/>
      <c r="K903" s="8"/>
      <c r="L903" s="8"/>
      <c r="M903" s="8"/>
      <c r="N903" s="8"/>
      <c r="O903" s="8"/>
      <c r="P903" s="8"/>
      <c r="Q903" s="8"/>
      <c r="R903" s="8"/>
      <c r="S903" s="8"/>
      <c r="T903" s="8"/>
      <c r="U903" s="8"/>
      <c r="V903" s="8"/>
      <c r="W903" s="8"/>
      <c r="X903" s="8"/>
    </row>
    <row r="904" spans="1:24" ht="12.75">
      <c r="A904" s="82"/>
      <c r="B904" s="8"/>
      <c r="C904" s="59"/>
      <c r="D904" s="59"/>
      <c r="E904" s="8"/>
      <c r="F904" s="8"/>
      <c r="G904" s="8"/>
      <c r="H904" s="8"/>
      <c r="I904" s="8"/>
      <c r="J904" s="8"/>
      <c r="K904" s="8"/>
      <c r="L904" s="8"/>
      <c r="M904" s="8"/>
      <c r="N904" s="8"/>
      <c r="O904" s="8"/>
      <c r="P904" s="8"/>
      <c r="Q904" s="8"/>
      <c r="R904" s="8"/>
      <c r="S904" s="8"/>
      <c r="T904" s="8"/>
      <c r="U904" s="8"/>
      <c r="V904" s="8"/>
      <c r="W904" s="8"/>
      <c r="X904" s="8"/>
    </row>
    <row r="905" spans="1:24" ht="12.75">
      <c r="A905" s="82"/>
      <c r="B905" s="8"/>
      <c r="C905" s="59"/>
      <c r="D905" s="59"/>
      <c r="E905" s="8"/>
      <c r="F905" s="8"/>
      <c r="G905" s="8"/>
      <c r="H905" s="8"/>
      <c r="I905" s="8"/>
      <c r="J905" s="8"/>
      <c r="K905" s="8"/>
      <c r="L905" s="8"/>
      <c r="M905" s="8"/>
      <c r="N905" s="8"/>
      <c r="O905" s="8"/>
      <c r="P905" s="8"/>
      <c r="Q905" s="8"/>
      <c r="R905" s="8"/>
      <c r="S905" s="8"/>
      <c r="T905" s="8"/>
      <c r="U905" s="8"/>
      <c r="V905" s="8"/>
      <c r="W905" s="8"/>
      <c r="X905" s="8"/>
    </row>
    <row r="906" spans="1:24" ht="12.75">
      <c r="A906" s="82"/>
      <c r="B906" s="8"/>
      <c r="C906" s="59"/>
      <c r="D906" s="59"/>
      <c r="E906" s="8"/>
      <c r="F906" s="8"/>
      <c r="G906" s="8"/>
      <c r="H906" s="8"/>
      <c r="I906" s="8"/>
      <c r="J906" s="8"/>
      <c r="K906" s="8"/>
      <c r="L906" s="8"/>
      <c r="M906" s="8"/>
      <c r="N906" s="8"/>
      <c r="O906" s="8"/>
      <c r="P906" s="8"/>
      <c r="Q906" s="8"/>
      <c r="R906" s="8"/>
      <c r="S906" s="8"/>
      <c r="T906" s="8"/>
      <c r="U906" s="8"/>
      <c r="V906" s="8"/>
      <c r="W906" s="8"/>
      <c r="X906" s="8"/>
    </row>
    <row r="907" spans="1:24" ht="12.75">
      <c r="A907" s="82"/>
      <c r="B907" s="8"/>
      <c r="C907" s="59"/>
      <c r="D907" s="59"/>
      <c r="E907" s="8"/>
      <c r="F907" s="8"/>
      <c r="G907" s="8"/>
      <c r="H907" s="8"/>
      <c r="I907" s="8"/>
      <c r="J907" s="8"/>
      <c r="K907" s="8"/>
      <c r="L907" s="8"/>
      <c r="M907" s="8"/>
      <c r="N907" s="8"/>
      <c r="O907" s="8"/>
      <c r="P907" s="8"/>
      <c r="Q907" s="8"/>
      <c r="R907" s="8"/>
      <c r="S907" s="8"/>
      <c r="T907" s="8"/>
      <c r="U907" s="8"/>
      <c r="V907" s="8"/>
      <c r="W907" s="8"/>
      <c r="X907" s="8"/>
    </row>
    <row r="908" spans="1:24" ht="12.75">
      <c r="A908" s="82"/>
      <c r="B908" s="8"/>
      <c r="C908" s="59"/>
      <c r="D908" s="59"/>
      <c r="E908" s="8"/>
      <c r="F908" s="8"/>
      <c r="G908" s="8"/>
      <c r="H908" s="8"/>
      <c r="I908" s="8"/>
      <c r="J908" s="8"/>
      <c r="K908" s="8"/>
      <c r="L908" s="8"/>
      <c r="M908" s="8"/>
      <c r="N908" s="8"/>
      <c r="O908" s="8"/>
      <c r="P908" s="8"/>
      <c r="Q908" s="8"/>
      <c r="R908" s="8"/>
      <c r="S908" s="8"/>
      <c r="T908" s="8"/>
      <c r="U908" s="8"/>
      <c r="V908" s="8"/>
      <c r="W908" s="8"/>
      <c r="X908" s="8"/>
    </row>
    <row r="909" spans="1:24" ht="12.75">
      <c r="A909" s="82"/>
      <c r="B909" s="8"/>
      <c r="C909" s="59"/>
      <c r="D909" s="59"/>
      <c r="E909" s="8"/>
      <c r="F909" s="8"/>
      <c r="G909" s="8"/>
      <c r="H909" s="8"/>
      <c r="I909" s="8"/>
      <c r="J909" s="8"/>
      <c r="K909" s="8"/>
      <c r="L909" s="8"/>
      <c r="M909" s="8"/>
      <c r="N909" s="8"/>
      <c r="O909" s="8"/>
      <c r="P909" s="8"/>
      <c r="Q909" s="8"/>
      <c r="R909" s="8"/>
      <c r="S909" s="8"/>
      <c r="T909" s="8"/>
      <c r="U909" s="8"/>
      <c r="V909" s="8"/>
      <c r="W909" s="8"/>
      <c r="X909" s="8"/>
    </row>
    <row r="910" spans="1:24" ht="12.75">
      <c r="A910" s="82"/>
      <c r="B910" s="8"/>
      <c r="C910" s="59"/>
      <c r="D910" s="59"/>
      <c r="E910" s="8"/>
      <c r="F910" s="8"/>
      <c r="G910" s="8"/>
      <c r="H910" s="8"/>
      <c r="I910" s="8"/>
      <c r="J910" s="8"/>
      <c r="K910" s="8"/>
      <c r="L910" s="8"/>
      <c r="M910" s="8"/>
      <c r="N910" s="8"/>
      <c r="O910" s="8"/>
      <c r="P910" s="8"/>
      <c r="Q910" s="8"/>
      <c r="R910" s="8"/>
      <c r="S910" s="8"/>
      <c r="T910" s="8"/>
      <c r="U910" s="8"/>
      <c r="V910" s="8"/>
      <c r="W910" s="8"/>
      <c r="X910" s="8"/>
    </row>
    <row r="911" spans="1:24" ht="12.75">
      <c r="A911" s="82"/>
      <c r="B911" s="8"/>
      <c r="C911" s="59"/>
      <c r="D911" s="59"/>
      <c r="E911" s="8"/>
      <c r="F911" s="8"/>
      <c r="G911" s="8"/>
      <c r="H911" s="8"/>
      <c r="I911" s="8"/>
      <c r="J911" s="8"/>
      <c r="K911" s="8"/>
      <c r="L911" s="8"/>
      <c r="M911" s="8"/>
      <c r="N911" s="8"/>
      <c r="O911" s="8"/>
      <c r="P911" s="8"/>
      <c r="Q911" s="8"/>
      <c r="R911" s="8"/>
      <c r="S911" s="8"/>
      <c r="T911" s="8"/>
      <c r="U911" s="8"/>
      <c r="V911" s="8"/>
      <c r="W911" s="8"/>
      <c r="X911" s="8"/>
    </row>
    <row r="912" spans="1:24" ht="12.75">
      <c r="A912" s="82"/>
      <c r="B912" s="8"/>
      <c r="C912" s="59"/>
      <c r="D912" s="59"/>
      <c r="E912" s="8"/>
      <c r="F912" s="8"/>
      <c r="G912" s="8"/>
      <c r="H912" s="8"/>
      <c r="I912" s="8"/>
      <c r="J912" s="8"/>
      <c r="K912" s="8"/>
      <c r="L912" s="8"/>
      <c r="M912" s="8"/>
      <c r="N912" s="8"/>
      <c r="O912" s="8"/>
      <c r="P912" s="8"/>
      <c r="Q912" s="8"/>
      <c r="R912" s="8"/>
      <c r="S912" s="8"/>
      <c r="T912" s="8"/>
      <c r="U912" s="8"/>
      <c r="V912" s="8"/>
      <c r="W912" s="8"/>
      <c r="X912" s="8"/>
    </row>
    <row r="913" spans="1:24" ht="12.75">
      <c r="A913" s="82"/>
      <c r="B913" s="8"/>
      <c r="C913" s="59"/>
      <c r="D913" s="59"/>
      <c r="E913" s="8"/>
      <c r="F913" s="8"/>
      <c r="G913" s="8"/>
      <c r="H913" s="8"/>
      <c r="I913" s="8"/>
      <c r="J913" s="8"/>
      <c r="K913" s="8"/>
      <c r="L913" s="8"/>
      <c r="M913" s="8"/>
      <c r="N913" s="8"/>
      <c r="O913" s="8"/>
      <c r="P913" s="8"/>
      <c r="Q913" s="8"/>
      <c r="R913" s="8"/>
      <c r="S913" s="8"/>
      <c r="T913" s="8"/>
      <c r="U913" s="8"/>
      <c r="V913" s="8"/>
      <c r="W913" s="8"/>
      <c r="X913" s="8"/>
    </row>
    <row r="914" spans="1:24" ht="12.75">
      <c r="A914" s="82"/>
      <c r="B914" s="8"/>
      <c r="C914" s="59"/>
      <c r="D914" s="59"/>
      <c r="E914" s="8"/>
      <c r="F914" s="8"/>
      <c r="G914" s="8"/>
      <c r="H914" s="8"/>
      <c r="I914" s="8"/>
      <c r="J914" s="8"/>
      <c r="K914" s="8"/>
      <c r="L914" s="8"/>
      <c r="M914" s="8"/>
      <c r="N914" s="8"/>
      <c r="O914" s="8"/>
      <c r="P914" s="8"/>
      <c r="Q914" s="8"/>
      <c r="R914" s="8"/>
      <c r="S914" s="8"/>
      <c r="T914" s="8"/>
      <c r="U914" s="8"/>
      <c r="V914" s="8"/>
      <c r="W914" s="8"/>
      <c r="X914" s="8"/>
    </row>
    <row r="915" spans="1:24" ht="12.75">
      <c r="A915" s="82"/>
      <c r="B915" s="8"/>
      <c r="C915" s="59"/>
      <c r="D915" s="59"/>
      <c r="E915" s="8"/>
      <c r="F915" s="8"/>
      <c r="G915" s="8"/>
      <c r="H915" s="8"/>
      <c r="I915" s="8"/>
      <c r="J915" s="8"/>
      <c r="K915" s="8"/>
      <c r="L915" s="8"/>
      <c r="M915" s="8"/>
      <c r="N915" s="8"/>
      <c r="O915" s="8"/>
      <c r="P915" s="8"/>
      <c r="Q915" s="8"/>
      <c r="R915" s="8"/>
      <c r="S915" s="8"/>
      <c r="T915" s="8"/>
      <c r="U915" s="8"/>
      <c r="V915" s="8"/>
      <c r="W915" s="8"/>
      <c r="X915" s="8"/>
    </row>
    <row r="916" spans="1:24" ht="12.75">
      <c r="A916" s="82"/>
      <c r="B916" s="8"/>
      <c r="C916" s="59"/>
      <c r="D916" s="59"/>
      <c r="E916" s="8"/>
      <c r="F916" s="8"/>
      <c r="G916" s="8"/>
      <c r="H916" s="8"/>
      <c r="I916" s="8"/>
      <c r="J916" s="8"/>
      <c r="K916" s="8"/>
      <c r="L916" s="8"/>
      <c r="M916" s="8"/>
      <c r="N916" s="8"/>
      <c r="O916" s="8"/>
      <c r="P916" s="8"/>
      <c r="Q916" s="8"/>
      <c r="R916" s="8"/>
      <c r="S916" s="8"/>
      <c r="T916" s="8"/>
      <c r="U916" s="8"/>
      <c r="V916" s="8"/>
      <c r="W916" s="8"/>
      <c r="X916" s="8"/>
    </row>
    <row r="917" spans="1:24" ht="12.75">
      <c r="A917" s="82"/>
      <c r="B917" s="8"/>
      <c r="C917" s="59"/>
      <c r="D917" s="59"/>
      <c r="E917" s="8"/>
      <c r="F917" s="8"/>
      <c r="G917" s="8"/>
      <c r="H917" s="8"/>
      <c r="I917" s="8"/>
      <c r="J917" s="8"/>
      <c r="K917" s="8"/>
      <c r="L917" s="8"/>
      <c r="M917" s="8"/>
      <c r="N917" s="8"/>
      <c r="O917" s="8"/>
      <c r="P917" s="8"/>
      <c r="Q917" s="8"/>
      <c r="R917" s="8"/>
      <c r="S917" s="8"/>
      <c r="T917" s="8"/>
      <c r="U917" s="8"/>
      <c r="V917" s="8"/>
      <c r="W917" s="8"/>
      <c r="X917" s="8"/>
    </row>
    <row r="918" spans="1:24" ht="12.75">
      <c r="A918" s="82"/>
      <c r="B918" s="8"/>
      <c r="C918" s="59"/>
      <c r="D918" s="59"/>
      <c r="E918" s="8"/>
      <c r="F918" s="8"/>
      <c r="G918" s="8"/>
      <c r="H918" s="8"/>
      <c r="I918" s="8"/>
      <c r="J918" s="8"/>
      <c r="K918" s="8"/>
      <c r="L918" s="8"/>
      <c r="M918" s="8"/>
      <c r="N918" s="8"/>
      <c r="O918" s="8"/>
      <c r="P918" s="8"/>
      <c r="Q918" s="8"/>
      <c r="R918" s="8"/>
      <c r="S918" s="8"/>
      <c r="T918" s="8"/>
      <c r="U918" s="8"/>
      <c r="V918" s="8"/>
      <c r="W918" s="8"/>
      <c r="X918" s="8"/>
    </row>
    <row r="919" spans="1:24" ht="12.75">
      <c r="A919" s="82"/>
      <c r="B919" s="8"/>
      <c r="C919" s="59"/>
      <c r="D919" s="59"/>
      <c r="E919" s="8"/>
      <c r="F919" s="8"/>
      <c r="G919" s="8"/>
      <c r="H919" s="8"/>
      <c r="I919" s="8"/>
      <c r="J919" s="8"/>
      <c r="K919" s="8"/>
      <c r="L919" s="8"/>
      <c r="M919" s="8"/>
      <c r="N919" s="8"/>
      <c r="O919" s="8"/>
      <c r="P919" s="8"/>
      <c r="Q919" s="8"/>
      <c r="R919" s="8"/>
      <c r="S919" s="8"/>
      <c r="T919" s="8"/>
      <c r="U919" s="8"/>
      <c r="V919" s="8"/>
      <c r="W919" s="8"/>
      <c r="X919" s="8"/>
    </row>
    <row r="920" spans="1:24" ht="12.75">
      <c r="A920" s="82"/>
      <c r="B920" s="8"/>
      <c r="C920" s="59"/>
      <c r="D920" s="59"/>
      <c r="E920" s="8"/>
      <c r="F920" s="8"/>
      <c r="G920" s="8"/>
      <c r="H920" s="8"/>
      <c r="I920" s="8"/>
      <c r="J920" s="8"/>
      <c r="K920" s="8"/>
      <c r="L920" s="8"/>
      <c r="M920" s="8"/>
      <c r="N920" s="8"/>
      <c r="O920" s="8"/>
      <c r="P920" s="8"/>
      <c r="Q920" s="8"/>
      <c r="R920" s="8"/>
      <c r="S920" s="8"/>
      <c r="T920" s="8"/>
      <c r="U920" s="8"/>
      <c r="V920" s="8"/>
      <c r="W920" s="8"/>
      <c r="X920" s="8"/>
    </row>
    <row r="921" spans="1:24" ht="12.75">
      <c r="A921" s="82"/>
      <c r="B921" s="8"/>
      <c r="C921" s="59"/>
      <c r="D921" s="59"/>
      <c r="E921" s="8"/>
      <c r="F921" s="8"/>
      <c r="G921" s="8"/>
      <c r="H921" s="8"/>
      <c r="I921" s="8"/>
      <c r="J921" s="8"/>
      <c r="K921" s="8"/>
      <c r="L921" s="8"/>
      <c r="M921" s="8"/>
      <c r="N921" s="8"/>
      <c r="O921" s="8"/>
      <c r="P921" s="8"/>
      <c r="Q921" s="8"/>
      <c r="R921" s="8"/>
      <c r="S921" s="8"/>
      <c r="T921" s="8"/>
      <c r="U921" s="8"/>
      <c r="V921" s="8"/>
      <c r="W921" s="8"/>
      <c r="X921" s="8"/>
    </row>
    <row r="922" spans="1:24" ht="12.75">
      <c r="A922" s="82"/>
      <c r="B922" s="8"/>
      <c r="C922" s="59"/>
      <c r="D922" s="59"/>
      <c r="E922" s="8"/>
      <c r="F922" s="8"/>
      <c r="G922" s="8"/>
      <c r="H922" s="8"/>
      <c r="I922" s="8"/>
      <c r="J922" s="8"/>
      <c r="K922" s="8"/>
      <c r="L922" s="8"/>
      <c r="M922" s="8"/>
      <c r="N922" s="8"/>
      <c r="O922" s="8"/>
      <c r="P922" s="8"/>
      <c r="Q922" s="8"/>
      <c r="R922" s="8"/>
      <c r="S922" s="8"/>
      <c r="T922" s="8"/>
      <c r="U922" s="8"/>
      <c r="V922" s="8"/>
      <c r="W922" s="8"/>
      <c r="X922" s="8"/>
    </row>
    <row r="923" spans="1:24" ht="12.75">
      <c r="A923" s="82"/>
      <c r="B923" s="8"/>
      <c r="C923" s="59"/>
      <c r="D923" s="59"/>
      <c r="E923" s="8"/>
      <c r="F923" s="8"/>
      <c r="G923" s="8"/>
      <c r="H923" s="8"/>
      <c r="I923" s="8"/>
      <c r="J923" s="8"/>
      <c r="K923" s="8"/>
      <c r="L923" s="8"/>
      <c r="M923" s="8"/>
      <c r="N923" s="8"/>
      <c r="O923" s="8"/>
      <c r="P923" s="8"/>
      <c r="Q923" s="8"/>
      <c r="R923" s="8"/>
      <c r="S923" s="8"/>
      <c r="T923" s="8"/>
      <c r="U923" s="8"/>
      <c r="V923" s="8"/>
      <c r="W923" s="8"/>
      <c r="X923" s="8"/>
    </row>
    <row r="924" spans="1:24" ht="12.75">
      <c r="A924" s="82"/>
      <c r="B924" s="8"/>
      <c r="C924" s="59"/>
      <c r="D924" s="59"/>
      <c r="E924" s="8"/>
      <c r="F924" s="8"/>
      <c r="G924" s="8"/>
      <c r="H924" s="8"/>
      <c r="I924" s="8"/>
      <c r="J924" s="8"/>
      <c r="K924" s="8"/>
      <c r="L924" s="8"/>
      <c r="M924" s="8"/>
      <c r="N924" s="8"/>
      <c r="O924" s="8"/>
      <c r="P924" s="8"/>
      <c r="Q924" s="8"/>
      <c r="R924" s="8"/>
      <c r="S924" s="8"/>
      <c r="T924" s="8"/>
      <c r="U924" s="8"/>
      <c r="V924" s="8"/>
      <c r="W924" s="8"/>
      <c r="X924" s="8"/>
    </row>
    <row r="925" spans="1:24" ht="12.75">
      <c r="A925" s="82"/>
      <c r="B925" s="8"/>
      <c r="C925" s="59"/>
      <c r="D925" s="59"/>
      <c r="E925" s="8"/>
      <c r="F925" s="8"/>
      <c r="G925" s="8"/>
      <c r="H925" s="8"/>
      <c r="I925" s="8"/>
      <c r="J925" s="8"/>
      <c r="K925" s="8"/>
      <c r="L925" s="8"/>
      <c r="M925" s="8"/>
      <c r="N925" s="8"/>
      <c r="O925" s="8"/>
      <c r="P925" s="8"/>
      <c r="Q925" s="8"/>
      <c r="R925" s="8"/>
      <c r="S925" s="8"/>
      <c r="T925" s="8"/>
      <c r="U925" s="8"/>
      <c r="V925" s="8"/>
      <c r="W925" s="8"/>
      <c r="X925" s="8"/>
    </row>
    <row r="926" spans="1:24" ht="12.75">
      <c r="A926" s="82"/>
      <c r="B926" s="8"/>
      <c r="C926" s="59"/>
      <c r="D926" s="59"/>
      <c r="E926" s="8"/>
      <c r="F926" s="8"/>
      <c r="G926" s="8"/>
      <c r="H926" s="8"/>
      <c r="I926" s="8"/>
      <c r="J926" s="8"/>
      <c r="K926" s="8"/>
      <c r="L926" s="8"/>
      <c r="M926" s="8"/>
      <c r="N926" s="8"/>
      <c r="O926" s="8"/>
      <c r="P926" s="8"/>
      <c r="Q926" s="8"/>
      <c r="R926" s="8"/>
      <c r="S926" s="8"/>
      <c r="T926" s="8"/>
      <c r="U926" s="8"/>
      <c r="V926" s="8"/>
      <c r="W926" s="8"/>
      <c r="X926" s="8"/>
    </row>
    <row r="927" spans="1:24" ht="12.75">
      <c r="A927" s="82"/>
      <c r="B927" s="8"/>
      <c r="C927" s="59"/>
      <c r="D927" s="59"/>
      <c r="E927" s="8"/>
      <c r="F927" s="8"/>
      <c r="G927" s="8"/>
      <c r="H927" s="8"/>
      <c r="I927" s="8"/>
      <c r="J927" s="8"/>
      <c r="K927" s="8"/>
      <c r="L927" s="8"/>
      <c r="M927" s="8"/>
      <c r="N927" s="8"/>
      <c r="O927" s="8"/>
      <c r="P927" s="8"/>
      <c r="Q927" s="8"/>
      <c r="R927" s="8"/>
      <c r="S927" s="8"/>
      <c r="T927" s="8"/>
      <c r="U927" s="8"/>
      <c r="V927" s="8"/>
      <c r="W927" s="8"/>
      <c r="X927" s="8"/>
    </row>
    <row r="928" spans="1:24" ht="12.75">
      <c r="A928" s="82"/>
      <c r="B928" s="8"/>
      <c r="C928" s="59"/>
      <c r="D928" s="59"/>
      <c r="E928" s="8"/>
      <c r="F928" s="8"/>
      <c r="G928" s="8"/>
      <c r="H928" s="8"/>
      <c r="I928" s="8"/>
      <c r="J928" s="8"/>
      <c r="K928" s="8"/>
      <c r="L928" s="8"/>
      <c r="M928" s="8"/>
      <c r="N928" s="8"/>
      <c r="O928" s="8"/>
      <c r="P928" s="8"/>
      <c r="Q928" s="8"/>
      <c r="R928" s="8"/>
      <c r="S928" s="8"/>
      <c r="T928" s="8"/>
      <c r="U928" s="8"/>
      <c r="V928" s="8"/>
      <c r="W928" s="8"/>
      <c r="X928" s="8"/>
    </row>
    <row r="929" spans="1:24" ht="12.75">
      <c r="A929" s="82"/>
      <c r="B929" s="8"/>
      <c r="C929" s="59"/>
      <c r="D929" s="59"/>
      <c r="E929" s="8"/>
      <c r="F929" s="8"/>
      <c r="G929" s="8"/>
      <c r="H929" s="8"/>
      <c r="I929" s="8"/>
      <c r="J929" s="8"/>
      <c r="K929" s="8"/>
      <c r="L929" s="8"/>
      <c r="M929" s="8"/>
      <c r="N929" s="8"/>
      <c r="O929" s="8"/>
      <c r="P929" s="8"/>
      <c r="Q929" s="8"/>
      <c r="R929" s="8"/>
      <c r="S929" s="8"/>
      <c r="T929" s="8"/>
      <c r="U929" s="8"/>
      <c r="V929" s="8"/>
      <c r="W929" s="8"/>
      <c r="X929" s="8"/>
    </row>
    <row r="930" spans="1:24" ht="12.75">
      <c r="A930" s="82"/>
      <c r="B930" s="8"/>
      <c r="C930" s="59"/>
      <c r="D930" s="59"/>
      <c r="E930" s="8"/>
      <c r="F930" s="8"/>
      <c r="G930" s="8"/>
      <c r="H930" s="8"/>
      <c r="I930" s="8"/>
      <c r="J930" s="8"/>
      <c r="K930" s="8"/>
      <c r="L930" s="8"/>
      <c r="M930" s="8"/>
      <c r="N930" s="8"/>
      <c r="O930" s="8"/>
      <c r="P930" s="8"/>
      <c r="Q930" s="8"/>
      <c r="R930" s="8"/>
      <c r="S930" s="8"/>
      <c r="T930" s="8"/>
      <c r="U930" s="8"/>
      <c r="V930" s="8"/>
      <c r="W930" s="8"/>
      <c r="X930" s="8"/>
    </row>
    <row r="931" spans="1:24" ht="12.75">
      <c r="A931" s="82"/>
      <c r="B931" s="8"/>
      <c r="C931" s="59"/>
      <c r="D931" s="59"/>
      <c r="E931" s="8"/>
      <c r="F931" s="8"/>
      <c r="G931" s="8"/>
      <c r="H931" s="8"/>
      <c r="I931" s="8"/>
      <c r="J931" s="8"/>
      <c r="K931" s="8"/>
      <c r="L931" s="8"/>
      <c r="M931" s="8"/>
      <c r="N931" s="8"/>
      <c r="O931" s="8"/>
      <c r="P931" s="8"/>
      <c r="Q931" s="8"/>
      <c r="R931" s="8"/>
      <c r="S931" s="8"/>
      <c r="T931" s="8"/>
      <c r="U931" s="8"/>
      <c r="V931" s="8"/>
      <c r="W931" s="8"/>
      <c r="X931" s="8"/>
    </row>
    <row r="932" spans="1:24" ht="12.75">
      <c r="A932" s="82"/>
      <c r="B932" s="8"/>
      <c r="C932" s="59"/>
      <c r="D932" s="59"/>
      <c r="E932" s="8"/>
      <c r="F932" s="8"/>
      <c r="G932" s="8"/>
      <c r="H932" s="8"/>
      <c r="I932" s="8"/>
      <c r="J932" s="8"/>
      <c r="K932" s="8"/>
      <c r="L932" s="8"/>
      <c r="M932" s="8"/>
      <c r="N932" s="8"/>
      <c r="O932" s="8"/>
      <c r="P932" s="8"/>
      <c r="Q932" s="8"/>
      <c r="R932" s="8"/>
      <c r="S932" s="8"/>
      <c r="T932" s="8"/>
      <c r="U932" s="8"/>
      <c r="V932" s="8"/>
      <c r="W932" s="8"/>
      <c r="X932" s="8"/>
    </row>
    <row r="933" spans="1:24" ht="12.75">
      <c r="A933" s="82"/>
      <c r="B933" s="8"/>
      <c r="C933" s="59"/>
      <c r="D933" s="59"/>
      <c r="E933" s="8"/>
      <c r="F933" s="8"/>
      <c r="G933" s="8"/>
      <c r="H933" s="8"/>
      <c r="I933" s="8"/>
      <c r="J933" s="8"/>
      <c r="K933" s="8"/>
      <c r="L933" s="8"/>
      <c r="M933" s="8"/>
      <c r="N933" s="8"/>
      <c r="O933" s="8"/>
      <c r="P933" s="8"/>
      <c r="Q933" s="8"/>
      <c r="R933" s="8"/>
      <c r="S933" s="8"/>
      <c r="T933" s="8"/>
      <c r="U933" s="8"/>
      <c r="V933" s="8"/>
      <c r="W933" s="8"/>
      <c r="X933" s="8"/>
    </row>
    <row r="934" spans="1:24" ht="12.75">
      <c r="A934" s="82"/>
      <c r="B934" s="8"/>
      <c r="C934" s="59"/>
      <c r="D934" s="59"/>
      <c r="E934" s="8"/>
      <c r="F934" s="8"/>
      <c r="G934" s="8"/>
      <c r="H934" s="8"/>
      <c r="I934" s="8"/>
      <c r="J934" s="8"/>
      <c r="K934" s="8"/>
      <c r="L934" s="8"/>
      <c r="M934" s="8"/>
      <c r="N934" s="8"/>
      <c r="O934" s="8"/>
      <c r="P934" s="8"/>
      <c r="Q934" s="8"/>
      <c r="R934" s="8"/>
      <c r="S934" s="8"/>
      <c r="T934" s="8"/>
      <c r="U934" s="8"/>
      <c r="V934" s="8"/>
      <c r="W934" s="8"/>
      <c r="X934" s="8"/>
    </row>
    <row r="935" spans="1:24" ht="12.75">
      <c r="A935" s="82"/>
      <c r="B935" s="8"/>
      <c r="C935" s="59"/>
      <c r="D935" s="59"/>
      <c r="E935" s="8"/>
      <c r="F935" s="8"/>
      <c r="G935" s="8"/>
      <c r="H935" s="8"/>
      <c r="I935" s="8"/>
      <c r="J935" s="8"/>
      <c r="K935" s="8"/>
      <c r="L935" s="8"/>
      <c r="M935" s="8"/>
      <c r="N935" s="8"/>
      <c r="O935" s="8"/>
      <c r="P935" s="8"/>
      <c r="Q935" s="8"/>
      <c r="R935" s="8"/>
      <c r="S935" s="8"/>
      <c r="T935" s="8"/>
      <c r="U935" s="8"/>
      <c r="V935" s="8"/>
      <c r="W935" s="8"/>
      <c r="X935" s="8"/>
    </row>
    <row r="936" spans="1:24" ht="12.75">
      <c r="A936" s="82"/>
      <c r="B936" s="8"/>
      <c r="C936" s="59"/>
      <c r="D936" s="59"/>
      <c r="E936" s="8"/>
      <c r="F936" s="8"/>
      <c r="G936" s="8"/>
      <c r="H936" s="8"/>
      <c r="I936" s="8"/>
      <c r="J936" s="8"/>
      <c r="K936" s="8"/>
      <c r="L936" s="8"/>
      <c r="M936" s="8"/>
      <c r="N936" s="8"/>
      <c r="O936" s="8"/>
      <c r="P936" s="8"/>
      <c r="Q936" s="8"/>
      <c r="R936" s="8"/>
      <c r="S936" s="8"/>
      <c r="T936" s="8"/>
      <c r="U936" s="8"/>
      <c r="V936" s="8"/>
      <c r="W936" s="8"/>
      <c r="X936" s="8"/>
    </row>
    <row r="937" spans="1:24" ht="12.75">
      <c r="A937" s="82"/>
      <c r="B937" s="8"/>
      <c r="C937" s="59"/>
      <c r="D937" s="59"/>
      <c r="E937" s="8"/>
      <c r="F937" s="8"/>
      <c r="G937" s="8"/>
      <c r="H937" s="8"/>
      <c r="I937" s="8"/>
      <c r="J937" s="8"/>
      <c r="K937" s="8"/>
      <c r="L937" s="8"/>
      <c r="M937" s="8"/>
      <c r="N937" s="8"/>
      <c r="O937" s="8"/>
      <c r="P937" s="8"/>
      <c r="Q937" s="8"/>
      <c r="R937" s="8"/>
      <c r="S937" s="8"/>
      <c r="T937" s="8"/>
      <c r="U937" s="8"/>
      <c r="V937" s="8"/>
      <c r="W937" s="8"/>
      <c r="X937" s="8"/>
    </row>
    <row r="938" spans="1:24" ht="12.75">
      <c r="A938" s="82"/>
      <c r="B938" s="8"/>
      <c r="C938" s="59"/>
      <c r="D938" s="59"/>
      <c r="E938" s="8"/>
      <c r="F938" s="8"/>
      <c r="G938" s="8"/>
      <c r="H938" s="8"/>
      <c r="I938" s="8"/>
      <c r="J938" s="8"/>
      <c r="K938" s="8"/>
      <c r="L938" s="8"/>
      <c r="M938" s="8"/>
      <c r="N938" s="8"/>
      <c r="O938" s="8"/>
      <c r="P938" s="8"/>
      <c r="Q938" s="8"/>
      <c r="R938" s="8"/>
      <c r="S938" s="8"/>
      <c r="T938" s="8"/>
      <c r="U938" s="8"/>
      <c r="V938" s="8"/>
      <c r="W938" s="8"/>
      <c r="X938" s="8"/>
    </row>
    <row r="939" spans="1:24" ht="12.75">
      <c r="A939" s="82"/>
      <c r="B939" s="8"/>
      <c r="C939" s="59"/>
      <c r="D939" s="59"/>
      <c r="E939" s="8"/>
      <c r="F939" s="8"/>
      <c r="G939" s="8"/>
      <c r="H939" s="8"/>
      <c r="I939" s="8"/>
      <c r="J939" s="8"/>
      <c r="K939" s="8"/>
      <c r="L939" s="8"/>
      <c r="M939" s="8"/>
      <c r="N939" s="8"/>
      <c r="O939" s="8"/>
      <c r="P939" s="8"/>
      <c r="Q939" s="8"/>
      <c r="R939" s="8"/>
      <c r="S939" s="8"/>
      <c r="T939" s="8"/>
      <c r="U939" s="8"/>
      <c r="V939" s="8"/>
      <c r="W939" s="8"/>
      <c r="X939" s="8"/>
    </row>
    <row r="940" spans="1:24" ht="12.75">
      <c r="A940" s="82"/>
      <c r="B940" s="8"/>
      <c r="C940" s="59"/>
      <c r="D940" s="59"/>
      <c r="E940" s="8"/>
      <c r="F940" s="8"/>
      <c r="G940" s="8"/>
      <c r="H940" s="8"/>
      <c r="I940" s="8"/>
      <c r="J940" s="8"/>
      <c r="K940" s="8"/>
      <c r="L940" s="8"/>
      <c r="M940" s="8"/>
      <c r="N940" s="8"/>
      <c r="O940" s="8"/>
      <c r="P940" s="8"/>
      <c r="Q940" s="8"/>
      <c r="R940" s="8"/>
      <c r="S940" s="8"/>
      <c r="T940" s="8"/>
      <c r="U940" s="8"/>
      <c r="V940" s="8"/>
      <c r="W940" s="8"/>
      <c r="X940" s="8"/>
    </row>
    <row r="941" spans="1:24" ht="12.75">
      <c r="A941" s="82"/>
      <c r="B941" s="8"/>
      <c r="C941" s="59"/>
      <c r="D941" s="59"/>
      <c r="E941" s="8"/>
      <c r="F941" s="8"/>
      <c r="G941" s="8"/>
      <c r="H941" s="8"/>
      <c r="I941" s="8"/>
      <c r="J941" s="8"/>
      <c r="K941" s="8"/>
      <c r="L941" s="8"/>
      <c r="M941" s="8"/>
      <c r="N941" s="8"/>
      <c r="O941" s="8"/>
      <c r="P941" s="8"/>
      <c r="Q941" s="8"/>
      <c r="R941" s="8"/>
      <c r="S941" s="8"/>
      <c r="T941" s="8"/>
      <c r="U941" s="8"/>
      <c r="V941" s="8"/>
      <c r="W941" s="8"/>
      <c r="X941" s="8"/>
    </row>
    <row r="942" spans="1:24" ht="12.75">
      <c r="A942" s="82"/>
      <c r="B942" s="8"/>
      <c r="C942" s="59"/>
      <c r="D942" s="59"/>
      <c r="E942" s="8"/>
      <c r="F942" s="8"/>
      <c r="G942" s="8"/>
      <c r="H942" s="8"/>
      <c r="I942" s="8"/>
      <c r="J942" s="8"/>
      <c r="K942" s="8"/>
      <c r="L942" s="8"/>
      <c r="M942" s="8"/>
      <c r="N942" s="8"/>
      <c r="O942" s="8"/>
      <c r="P942" s="8"/>
      <c r="Q942" s="8"/>
      <c r="R942" s="8"/>
      <c r="S942" s="8"/>
      <c r="T942" s="8"/>
      <c r="U942" s="8"/>
      <c r="V942" s="8"/>
      <c r="W942" s="8"/>
      <c r="X942" s="8"/>
    </row>
    <row r="943" spans="1:24" ht="12.75">
      <c r="A943" s="82"/>
      <c r="B943" s="8"/>
      <c r="C943" s="59"/>
      <c r="D943" s="59"/>
      <c r="E943" s="8"/>
      <c r="F943" s="8"/>
      <c r="G943" s="8"/>
      <c r="H943" s="8"/>
      <c r="I943" s="8"/>
      <c r="J943" s="8"/>
      <c r="K943" s="8"/>
      <c r="L943" s="8"/>
      <c r="M943" s="8"/>
      <c r="N943" s="8"/>
      <c r="O943" s="8"/>
      <c r="P943" s="8"/>
      <c r="Q943" s="8"/>
      <c r="R943" s="8"/>
      <c r="S943" s="8"/>
      <c r="T943" s="8"/>
      <c r="U943" s="8"/>
      <c r="V943" s="8"/>
      <c r="W943" s="8"/>
      <c r="X943" s="8"/>
    </row>
    <row r="944" spans="1:24" ht="12.75">
      <c r="A944" s="82"/>
      <c r="B944" s="8"/>
      <c r="C944" s="59"/>
      <c r="D944" s="59"/>
      <c r="E944" s="8"/>
      <c r="F944" s="8"/>
      <c r="G944" s="8"/>
      <c r="H944" s="8"/>
      <c r="I944" s="8"/>
      <c r="J944" s="8"/>
      <c r="K944" s="8"/>
      <c r="L944" s="8"/>
      <c r="M944" s="8"/>
      <c r="N944" s="8"/>
      <c r="O944" s="8"/>
      <c r="P944" s="8"/>
      <c r="Q944" s="8"/>
      <c r="R944" s="8"/>
      <c r="S944" s="8"/>
      <c r="T944" s="8"/>
      <c r="U944" s="8"/>
      <c r="V944" s="8"/>
      <c r="W944" s="8"/>
      <c r="X944" s="8"/>
    </row>
    <row r="945" spans="1:24" ht="12.75">
      <c r="A945" s="82"/>
      <c r="B945" s="8"/>
      <c r="C945" s="59"/>
      <c r="D945" s="59"/>
      <c r="E945" s="8"/>
      <c r="F945" s="8"/>
      <c r="G945" s="8"/>
      <c r="H945" s="8"/>
      <c r="I945" s="8"/>
      <c r="J945" s="8"/>
      <c r="K945" s="8"/>
      <c r="L945" s="8"/>
      <c r="M945" s="8"/>
      <c r="N945" s="8"/>
      <c r="O945" s="8"/>
      <c r="P945" s="8"/>
      <c r="Q945" s="8"/>
      <c r="R945" s="8"/>
      <c r="S945" s="8"/>
      <c r="T945" s="8"/>
      <c r="U945" s="8"/>
      <c r="V945" s="8"/>
      <c r="W945" s="8"/>
      <c r="X945" s="8"/>
    </row>
    <row r="946" spans="1:24" ht="12.75">
      <c r="A946" s="82"/>
      <c r="B946" s="8"/>
      <c r="C946" s="59"/>
      <c r="D946" s="59"/>
      <c r="E946" s="8"/>
      <c r="F946" s="8"/>
      <c r="G946" s="8"/>
      <c r="H946" s="8"/>
      <c r="I946" s="8"/>
      <c r="J946" s="8"/>
      <c r="K946" s="8"/>
      <c r="L946" s="8"/>
      <c r="M946" s="8"/>
      <c r="N946" s="8"/>
      <c r="O946" s="8"/>
      <c r="P946" s="8"/>
      <c r="Q946" s="8"/>
      <c r="R946" s="8"/>
      <c r="S946" s="8"/>
      <c r="T946" s="8"/>
      <c r="U946" s="8"/>
      <c r="V946" s="8"/>
      <c r="W946" s="8"/>
      <c r="X946" s="8"/>
    </row>
    <row r="947" spans="1:24" ht="12.75">
      <c r="A947" s="82"/>
      <c r="B947" s="8"/>
      <c r="C947" s="59"/>
      <c r="D947" s="59"/>
      <c r="E947" s="8"/>
      <c r="F947" s="8"/>
      <c r="G947" s="8"/>
      <c r="H947" s="8"/>
      <c r="I947" s="8"/>
      <c r="J947" s="8"/>
      <c r="K947" s="8"/>
      <c r="L947" s="8"/>
      <c r="M947" s="8"/>
      <c r="N947" s="8"/>
      <c r="O947" s="8"/>
      <c r="P947" s="8"/>
      <c r="Q947" s="8"/>
      <c r="R947" s="8"/>
      <c r="S947" s="8"/>
      <c r="T947" s="8"/>
      <c r="U947" s="8"/>
      <c r="V947" s="8"/>
      <c r="W947" s="8"/>
      <c r="X947" s="8"/>
    </row>
    <row r="948" spans="1:24" ht="12.75">
      <c r="A948" s="82"/>
      <c r="B948" s="8"/>
      <c r="C948" s="59"/>
      <c r="D948" s="59"/>
      <c r="E948" s="8"/>
      <c r="F948" s="8"/>
      <c r="G948" s="8"/>
      <c r="H948" s="8"/>
      <c r="I948" s="8"/>
      <c r="J948" s="8"/>
      <c r="K948" s="8"/>
      <c r="L948" s="8"/>
      <c r="M948" s="8"/>
      <c r="N948" s="8"/>
      <c r="O948" s="8"/>
      <c r="P948" s="8"/>
      <c r="Q948" s="8"/>
      <c r="R948" s="8"/>
      <c r="S948" s="8"/>
      <c r="T948" s="8"/>
      <c r="U948" s="8"/>
      <c r="V948" s="8"/>
      <c r="W948" s="8"/>
      <c r="X948" s="8"/>
    </row>
    <row r="949" spans="1:24" ht="12.75">
      <c r="A949" s="82"/>
      <c r="B949" s="8"/>
      <c r="C949" s="59"/>
      <c r="D949" s="59"/>
      <c r="E949" s="8"/>
      <c r="F949" s="8"/>
      <c r="G949" s="8"/>
      <c r="H949" s="8"/>
      <c r="I949" s="8"/>
      <c r="J949" s="8"/>
      <c r="K949" s="8"/>
      <c r="L949" s="8"/>
      <c r="M949" s="8"/>
      <c r="N949" s="8"/>
      <c r="O949" s="8"/>
      <c r="P949" s="8"/>
      <c r="Q949" s="8"/>
      <c r="R949" s="8"/>
      <c r="S949" s="8"/>
      <c r="T949" s="8"/>
      <c r="U949" s="8"/>
      <c r="V949" s="8"/>
      <c r="W949" s="8"/>
      <c r="X949" s="8"/>
    </row>
    <row r="950" spans="1:24" ht="12.75">
      <c r="A950" s="82"/>
      <c r="B950" s="8"/>
      <c r="C950" s="59"/>
      <c r="D950" s="59"/>
      <c r="E950" s="8"/>
      <c r="F950" s="8"/>
      <c r="G950" s="8"/>
      <c r="H950" s="8"/>
      <c r="I950" s="8"/>
      <c r="J950" s="8"/>
      <c r="K950" s="8"/>
      <c r="L950" s="8"/>
      <c r="M950" s="8"/>
      <c r="N950" s="8"/>
      <c r="O950" s="8"/>
      <c r="P950" s="8"/>
      <c r="Q950" s="8"/>
      <c r="R950" s="8"/>
      <c r="S950" s="8"/>
      <c r="T950" s="8"/>
      <c r="U950" s="8"/>
      <c r="V950" s="8"/>
      <c r="W950" s="8"/>
      <c r="X950" s="8"/>
    </row>
    <row r="951" spans="1:24" ht="12.75">
      <c r="A951" s="82"/>
      <c r="B951" s="8"/>
      <c r="C951" s="59"/>
      <c r="D951" s="59"/>
      <c r="E951" s="8"/>
      <c r="F951" s="8"/>
      <c r="G951" s="8"/>
      <c r="H951" s="8"/>
      <c r="I951" s="8"/>
      <c r="J951" s="8"/>
      <c r="K951" s="8"/>
      <c r="L951" s="8"/>
      <c r="M951" s="8"/>
      <c r="N951" s="8"/>
      <c r="O951" s="8"/>
      <c r="P951" s="8"/>
      <c r="Q951" s="8"/>
      <c r="R951" s="8"/>
      <c r="S951" s="8"/>
      <c r="T951" s="8"/>
      <c r="U951" s="8"/>
      <c r="V951" s="8"/>
      <c r="W951" s="8"/>
      <c r="X951" s="8"/>
    </row>
    <row r="952" spans="1:24" ht="12.75">
      <c r="A952" s="82"/>
      <c r="B952" s="8"/>
      <c r="C952" s="59"/>
      <c r="D952" s="59"/>
      <c r="E952" s="8"/>
      <c r="F952" s="8"/>
      <c r="G952" s="8"/>
      <c r="H952" s="8"/>
      <c r="I952" s="8"/>
      <c r="J952" s="8"/>
      <c r="K952" s="8"/>
      <c r="L952" s="8"/>
      <c r="M952" s="8"/>
      <c r="N952" s="8"/>
      <c r="O952" s="8"/>
      <c r="P952" s="8"/>
      <c r="Q952" s="8"/>
      <c r="R952" s="8"/>
      <c r="S952" s="8"/>
      <c r="T952" s="8"/>
      <c r="U952" s="8"/>
      <c r="V952" s="8"/>
      <c r="W952" s="8"/>
      <c r="X952" s="8"/>
    </row>
    <row r="953" spans="1:24" ht="12.75">
      <c r="A953" s="82"/>
      <c r="B953" s="8"/>
      <c r="C953" s="59"/>
      <c r="D953" s="59"/>
      <c r="E953" s="8"/>
      <c r="F953" s="8"/>
      <c r="G953" s="8"/>
      <c r="H953" s="8"/>
      <c r="I953" s="8"/>
      <c r="J953" s="8"/>
      <c r="K953" s="8"/>
      <c r="L953" s="8"/>
      <c r="M953" s="8"/>
      <c r="N953" s="8"/>
      <c r="O953" s="8"/>
      <c r="P953" s="8"/>
      <c r="Q953" s="8"/>
      <c r="R953" s="8"/>
      <c r="S953" s="8"/>
      <c r="T953" s="8"/>
      <c r="U953" s="8"/>
      <c r="V953" s="8"/>
      <c r="W953" s="8"/>
      <c r="X953" s="8"/>
    </row>
    <row r="954" spans="1:24" ht="12.75">
      <c r="A954" s="82"/>
      <c r="B954" s="8"/>
      <c r="C954" s="59"/>
      <c r="D954" s="59"/>
      <c r="E954" s="8"/>
      <c r="F954" s="8"/>
      <c r="G954" s="8"/>
      <c r="H954" s="8"/>
      <c r="I954" s="8"/>
      <c r="J954" s="8"/>
      <c r="K954" s="8"/>
      <c r="L954" s="8"/>
      <c r="M954" s="8"/>
      <c r="N954" s="8"/>
      <c r="O954" s="8"/>
      <c r="P954" s="8"/>
      <c r="Q954" s="8"/>
      <c r="R954" s="8"/>
      <c r="S954" s="8"/>
      <c r="T954" s="8"/>
      <c r="U954" s="8"/>
      <c r="V954" s="8"/>
      <c r="W954" s="8"/>
      <c r="X954" s="8"/>
    </row>
    <row r="955" spans="1:24" ht="12.75">
      <c r="A955" s="82"/>
      <c r="B955" s="8"/>
      <c r="C955" s="59"/>
      <c r="D955" s="59"/>
      <c r="E955" s="8"/>
      <c r="F955" s="8"/>
      <c r="G955" s="8"/>
      <c r="H955" s="8"/>
      <c r="I955" s="8"/>
      <c r="J955" s="8"/>
      <c r="K955" s="8"/>
      <c r="L955" s="8"/>
      <c r="M955" s="8"/>
      <c r="N955" s="8"/>
      <c r="O955" s="8"/>
      <c r="P955" s="8"/>
      <c r="Q955" s="8"/>
      <c r="R955" s="8"/>
      <c r="S955" s="8"/>
      <c r="T955" s="8"/>
      <c r="U955" s="8"/>
      <c r="V955" s="8"/>
      <c r="W955" s="8"/>
      <c r="X955" s="8"/>
    </row>
    <row r="956" spans="1:24" ht="12.75">
      <c r="A956" s="82"/>
      <c r="B956" s="8"/>
      <c r="C956" s="59"/>
      <c r="D956" s="59"/>
      <c r="E956" s="8"/>
      <c r="F956" s="8"/>
      <c r="G956" s="8"/>
      <c r="H956" s="8"/>
      <c r="I956" s="8"/>
      <c r="J956" s="8"/>
      <c r="K956" s="8"/>
      <c r="L956" s="8"/>
      <c r="M956" s="8"/>
      <c r="N956" s="8"/>
      <c r="O956" s="8"/>
      <c r="P956" s="8"/>
      <c r="Q956" s="8"/>
      <c r="R956" s="8"/>
      <c r="S956" s="8"/>
      <c r="T956" s="8"/>
      <c r="U956" s="8"/>
      <c r="V956" s="8"/>
      <c r="W956" s="8"/>
      <c r="X956" s="8"/>
    </row>
    <row r="957" spans="1:24" ht="12.75">
      <c r="A957" s="82"/>
      <c r="B957" s="8"/>
      <c r="C957" s="59"/>
      <c r="D957" s="59"/>
      <c r="E957" s="8"/>
      <c r="F957" s="8"/>
      <c r="G957" s="8"/>
      <c r="H957" s="8"/>
      <c r="I957" s="8"/>
      <c r="J957" s="8"/>
      <c r="K957" s="8"/>
      <c r="L957" s="8"/>
      <c r="M957" s="8"/>
      <c r="N957" s="8"/>
      <c r="O957" s="8"/>
      <c r="P957" s="8"/>
      <c r="Q957" s="8"/>
      <c r="R957" s="8"/>
      <c r="S957" s="8"/>
      <c r="T957" s="8"/>
      <c r="U957" s="8"/>
      <c r="V957" s="8"/>
      <c r="W957" s="8"/>
      <c r="X957" s="8"/>
    </row>
    <row r="958" spans="1:24" ht="12.75">
      <c r="A958" s="82"/>
      <c r="B958" s="8"/>
      <c r="C958" s="59"/>
      <c r="D958" s="59"/>
      <c r="E958" s="8"/>
      <c r="F958" s="8"/>
      <c r="G958" s="8"/>
      <c r="H958" s="8"/>
      <c r="I958" s="8"/>
      <c r="J958" s="8"/>
      <c r="K958" s="8"/>
      <c r="L958" s="8"/>
      <c r="M958" s="8"/>
      <c r="N958" s="8"/>
      <c r="O958" s="8"/>
      <c r="P958" s="8"/>
      <c r="Q958" s="8"/>
      <c r="R958" s="8"/>
      <c r="S958" s="8"/>
      <c r="T958" s="8"/>
      <c r="U958" s="8"/>
      <c r="V958" s="8"/>
      <c r="W958" s="8"/>
      <c r="X958" s="8"/>
    </row>
    <row r="959" spans="1:24" ht="12.75">
      <c r="A959" s="82"/>
      <c r="B959" s="8"/>
      <c r="C959" s="59"/>
      <c r="D959" s="59"/>
      <c r="E959" s="8"/>
      <c r="F959" s="8"/>
      <c r="G959" s="8"/>
      <c r="H959" s="8"/>
      <c r="I959" s="8"/>
      <c r="J959" s="8"/>
      <c r="K959" s="8"/>
      <c r="L959" s="8"/>
      <c r="M959" s="8"/>
      <c r="N959" s="8"/>
      <c r="O959" s="8"/>
      <c r="P959" s="8"/>
      <c r="Q959" s="8"/>
      <c r="R959" s="8"/>
      <c r="S959" s="8"/>
      <c r="T959" s="8"/>
      <c r="U959" s="8"/>
      <c r="V959" s="8"/>
      <c r="W959" s="8"/>
      <c r="X959" s="8"/>
    </row>
    <row r="960" spans="1:24" ht="12.75">
      <c r="A960" s="82"/>
      <c r="B960" s="8"/>
      <c r="C960" s="59"/>
      <c r="D960" s="59"/>
      <c r="E960" s="8"/>
      <c r="F960" s="8"/>
      <c r="G960" s="8"/>
      <c r="H960" s="8"/>
      <c r="I960" s="8"/>
      <c r="J960" s="8"/>
      <c r="K960" s="8"/>
      <c r="L960" s="8"/>
      <c r="M960" s="8"/>
      <c r="N960" s="8"/>
      <c r="O960" s="8"/>
      <c r="P960" s="8"/>
      <c r="Q960" s="8"/>
      <c r="R960" s="8"/>
      <c r="S960" s="8"/>
      <c r="T960" s="8"/>
      <c r="U960" s="8"/>
      <c r="V960" s="8"/>
      <c r="W960" s="8"/>
      <c r="X960" s="8"/>
    </row>
    <row r="961" spans="1:24" ht="12.75">
      <c r="A961" s="82"/>
      <c r="B961" s="8"/>
      <c r="C961" s="59"/>
      <c r="D961" s="59"/>
      <c r="E961" s="8"/>
      <c r="F961" s="8"/>
      <c r="G961" s="8"/>
      <c r="H961" s="8"/>
      <c r="I961" s="8"/>
      <c r="J961" s="8"/>
      <c r="K961" s="8"/>
      <c r="L961" s="8"/>
      <c r="M961" s="8"/>
      <c r="N961" s="8"/>
      <c r="O961" s="8"/>
      <c r="P961" s="8"/>
      <c r="Q961" s="8"/>
      <c r="R961" s="8"/>
      <c r="S961" s="8"/>
      <c r="T961" s="8"/>
      <c r="U961" s="8"/>
      <c r="V961" s="8"/>
      <c r="W961" s="8"/>
      <c r="X961" s="8"/>
    </row>
    <row r="962" spans="1:24" ht="12.75">
      <c r="A962" s="82"/>
      <c r="B962" s="8"/>
      <c r="C962" s="59"/>
      <c r="D962" s="59"/>
      <c r="E962" s="8"/>
      <c r="F962" s="8"/>
      <c r="G962" s="8"/>
      <c r="H962" s="8"/>
      <c r="I962" s="8"/>
      <c r="J962" s="8"/>
      <c r="K962" s="8"/>
      <c r="L962" s="8"/>
      <c r="M962" s="8"/>
      <c r="N962" s="8"/>
      <c r="O962" s="8"/>
      <c r="P962" s="8"/>
      <c r="Q962" s="8"/>
      <c r="R962" s="8"/>
      <c r="S962" s="8"/>
      <c r="T962" s="8"/>
      <c r="U962" s="8"/>
      <c r="V962" s="8"/>
      <c r="W962" s="8"/>
      <c r="X962" s="8"/>
    </row>
    <row r="963" spans="1:24" ht="12.75">
      <c r="A963" s="82"/>
      <c r="B963" s="8"/>
      <c r="C963" s="59"/>
      <c r="D963" s="59"/>
      <c r="E963" s="8"/>
      <c r="F963" s="8"/>
      <c r="G963" s="8"/>
      <c r="H963" s="8"/>
      <c r="I963" s="8"/>
      <c r="J963" s="8"/>
      <c r="K963" s="8"/>
      <c r="L963" s="8"/>
      <c r="M963" s="8"/>
      <c r="N963" s="8"/>
      <c r="O963" s="8"/>
      <c r="P963" s="8"/>
      <c r="Q963" s="8"/>
      <c r="R963" s="8"/>
      <c r="S963" s="8"/>
      <c r="T963" s="8"/>
      <c r="U963" s="8"/>
      <c r="V963" s="8"/>
      <c r="W963" s="8"/>
      <c r="X963" s="8"/>
    </row>
    <row r="964" spans="1:24" ht="12.75">
      <c r="A964" s="82"/>
      <c r="B964" s="8"/>
      <c r="C964" s="59"/>
      <c r="D964" s="59"/>
      <c r="E964" s="8"/>
      <c r="F964" s="8"/>
      <c r="G964" s="8"/>
      <c r="H964" s="8"/>
      <c r="I964" s="8"/>
      <c r="J964" s="8"/>
      <c r="K964" s="8"/>
      <c r="L964" s="8"/>
      <c r="M964" s="8"/>
      <c r="N964" s="8"/>
      <c r="O964" s="8"/>
      <c r="P964" s="8"/>
      <c r="Q964" s="8"/>
      <c r="R964" s="8"/>
      <c r="S964" s="8"/>
      <c r="T964" s="8"/>
      <c r="U964" s="8"/>
      <c r="V964" s="8"/>
      <c r="W964" s="8"/>
      <c r="X964" s="8"/>
    </row>
    <row r="965" spans="1:24" ht="12.75">
      <c r="A965" s="82"/>
      <c r="B965" s="8"/>
      <c r="C965" s="59"/>
      <c r="D965" s="59"/>
      <c r="E965" s="8"/>
      <c r="F965" s="8"/>
      <c r="G965" s="8"/>
      <c r="H965" s="8"/>
      <c r="I965" s="8"/>
      <c r="J965" s="8"/>
      <c r="K965" s="8"/>
      <c r="L965" s="8"/>
      <c r="M965" s="8"/>
      <c r="N965" s="8"/>
      <c r="O965" s="8"/>
      <c r="P965" s="8"/>
      <c r="Q965" s="8"/>
      <c r="R965" s="8"/>
      <c r="S965" s="8"/>
      <c r="T965" s="8"/>
      <c r="U965" s="8"/>
      <c r="V965" s="8"/>
      <c r="W965" s="8"/>
      <c r="X965" s="8"/>
    </row>
    <row r="966" spans="1:24" ht="12.75">
      <c r="A966" s="82"/>
      <c r="B966" s="8"/>
      <c r="C966" s="59"/>
      <c r="D966" s="59"/>
      <c r="E966" s="8"/>
      <c r="F966" s="8"/>
      <c r="G966" s="8"/>
      <c r="H966" s="8"/>
      <c r="I966" s="8"/>
      <c r="J966" s="8"/>
      <c r="K966" s="8"/>
      <c r="L966" s="8"/>
      <c r="M966" s="8"/>
      <c r="N966" s="8"/>
      <c r="O966" s="8"/>
      <c r="P966" s="8"/>
      <c r="Q966" s="8"/>
      <c r="R966" s="8"/>
      <c r="S966" s="8"/>
      <c r="T966" s="8"/>
      <c r="U966" s="8"/>
      <c r="V966" s="8"/>
      <c r="W966" s="8"/>
      <c r="X966" s="8"/>
    </row>
    <row r="967" spans="1:24" ht="12.75">
      <c r="A967" s="82"/>
      <c r="B967" s="8"/>
      <c r="C967" s="59"/>
      <c r="D967" s="59"/>
      <c r="E967" s="8"/>
      <c r="F967" s="8"/>
      <c r="G967" s="8"/>
      <c r="H967" s="8"/>
      <c r="I967" s="8"/>
      <c r="J967" s="8"/>
      <c r="K967" s="8"/>
      <c r="L967" s="8"/>
      <c r="M967" s="8"/>
      <c r="N967" s="8"/>
      <c r="O967" s="8"/>
      <c r="P967" s="8"/>
      <c r="Q967" s="8"/>
      <c r="R967" s="8"/>
      <c r="S967" s="8"/>
      <c r="T967" s="8"/>
      <c r="U967" s="8"/>
      <c r="V967" s="8"/>
      <c r="W967" s="8"/>
      <c r="X967" s="8"/>
    </row>
    <row r="968" spans="1:24" ht="12.75">
      <c r="A968" s="82"/>
      <c r="B968" s="8"/>
      <c r="C968" s="59"/>
      <c r="D968" s="59"/>
      <c r="E968" s="8"/>
      <c r="F968" s="8"/>
      <c r="G968" s="8"/>
      <c r="H968" s="8"/>
      <c r="I968" s="8"/>
      <c r="J968" s="8"/>
      <c r="K968" s="8"/>
      <c r="L968" s="8"/>
      <c r="M968" s="8"/>
      <c r="N968" s="8"/>
      <c r="O968" s="8"/>
      <c r="P968" s="8"/>
      <c r="Q968" s="8"/>
      <c r="R968" s="8"/>
      <c r="S968" s="8"/>
      <c r="T968" s="8"/>
      <c r="U968" s="8"/>
      <c r="V968" s="8"/>
      <c r="W968" s="8"/>
      <c r="X968" s="8"/>
    </row>
    <row r="969" spans="1:24" ht="12.75">
      <c r="A969" s="82"/>
      <c r="B969" s="8"/>
      <c r="C969" s="59"/>
      <c r="D969" s="59"/>
      <c r="E969" s="8"/>
      <c r="F969" s="8"/>
      <c r="G969" s="8"/>
      <c r="H969" s="8"/>
      <c r="I969" s="8"/>
      <c r="J969" s="8"/>
      <c r="K969" s="8"/>
      <c r="L969" s="8"/>
      <c r="M969" s="8"/>
      <c r="N969" s="8"/>
      <c r="O969" s="8"/>
      <c r="P969" s="8"/>
      <c r="Q969" s="8"/>
      <c r="R969" s="8"/>
      <c r="S969" s="8"/>
      <c r="T969" s="8"/>
      <c r="U969" s="8"/>
      <c r="V969" s="8"/>
      <c r="W969" s="8"/>
      <c r="X969" s="8"/>
    </row>
    <row r="970" spans="1:24" ht="12.75">
      <c r="A970" s="82"/>
      <c r="B970" s="8"/>
      <c r="C970" s="59"/>
      <c r="D970" s="59"/>
      <c r="E970" s="8"/>
      <c r="F970" s="8"/>
      <c r="G970" s="8"/>
      <c r="H970" s="8"/>
      <c r="I970" s="8"/>
      <c r="J970" s="8"/>
      <c r="K970" s="8"/>
      <c r="L970" s="8"/>
      <c r="M970" s="8"/>
      <c r="N970" s="8"/>
      <c r="O970" s="8"/>
      <c r="P970" s="8"/>
      <c r="Q970" s="8"/>
      <c r="R970" s="8"/>
      <c r="S970" s="8"/>
      <c r="T970" s="8"/>
      <c r="U970" s="8"/>
      <c r="V970" s="8"/>
      <c r="W970" s="8"/>
      <c r="X970" s="8"/>
    </row>
    <row r="971" spans="1:24" ht="12.75">
      <c r="A971" s="82"/>
      <c r="B971" s="8"/>
      <c r="C971" s="59"/>
      <c r="D971" s="59"/>
      <c r="E971" s="8"/>
      <c r="F971" s="8"/>
      <c r="G971" s="8"/>
      <c r="H971" s="8"/>
      <c r="I971" s="8"/>
      <c r="J971" s="8"/>
      <c r="K971" s="8"/>
      <c r="L971" s="8"/>
      <c r="M971" s="8"/>
      <c r="N971" s="8"/>
      <c r="O971" s="8"/>
      <c r="P971" s="8"/>
      <c r="Q971" s="8"/>
      <c r="R971" s="8"/>
      <c r="S971" s="8"/>
      <c r="T971" s="8"/>
      <c r="U971" s="8"/>
      <c r="V971" s="8"/>
      <c r="W971" s="8"/>
      <c r="X971" s="8"/>
    </row>
    <row r="972" spans="1:24" ht="12.75">
      <c r="A972" s="82"/>
      <c r="B972" s="8"/>
      <c r="C972" s="59"/>
      <c r="D972" s="59"/>
      <c r="E972" s="8"/>
      <c r="F972" s="8"/>
      <c r="G972" s="8"/>
      <c r="H972" s="8"/>
      <c r="I972" s="8"/>
      <c r="J972" s="8"/>
      <c r="K972" s="8"/>
      <c r="L972" s="8"/>
      <c r="M972" s="8"/>
      <c r="N972" s="8"/>
      <c r="O972" s="8"/>
      <c r="P972" s="8"/>
      <c r="Q972" s="8"/>
      <c r="R972" s="8"/>
      <c r="S972" s="8"/>
      <c r="T972" s="8"/>
      <c r="U972" s="8"/>
      <c r="V972" s="8"/>
      <c r="W972" s="8"/>
      <c r="X972" s="8"/>
    </row>
    <row r="973" spans="1:24" ht="12.75">
      <c r="A973" s="82"/>
      <c r="B973" s="8"/>
      <c r="C973" s="59"/>
      <c r="D973" s="59"/>
      <c r="E973" s="8"/>
      <c r="F973" s="8"/>
      <c r="G973" s="8"/>
      <c r="H973" s="8"/>
      <c r="I973" s="8"/>
      <c r="J973" s="8"/>
      <c r="K973" s="8"/>
      <c r="L973" s="8"/>
      <c r="M973" s="8"/>
      <c r="N973" s="8"/>
      <c r="O973" s="8"/>
      <c r="P973" s="8"/>
      <c r="Q973" s="8"/>
      <c r="R973" s="8"/>
      <c r="S973" s="8"/>
      <c r="T973" s="8"/>
      <c r="U973" s="8"/>
      <c r="V973" s="8"/>
      <c r="W973" s="8"/>
      <c r="X973" s="8"/>
    </row>
    <row r="974" spans="1:24" ht="12.75">
      <c r="A974" s="82"/>
      <c r="B974" s="8"/>
      <c r="C974" s="59"/>
      <c r="D974" s="59"/>
      <c r="E974" s="8"/>
      <c r="F974" s="8"/>
      <c r="G974" s="8"/>
      <c r="H974" s="8"/>
      <c r="I974" s="8"/>
      <c r="J974" s="8"/>
      <c r="K974" s="8"/>
      <c r="L974" s="8"/>
      <c r="M974" s="8"/>
      <c r="N974" s="8"/>
      <c r="O974" s="8"/>
      <c r="P974" s="8"/>
      <c r="Q974" s="8"/>
      <c r="R974" s="8"/>
      <c r="S974" s="8"/>
      <c r="T974" s="8"/>
      <c r="U974" s="8"/>
      <c r="V974" s="8"/>
      <c r="W974" s="8"/>
      <c r="X974" s="8"/>
    </row>
    <row r="975" spans="1:24" ht="12.75">
      <c r="A975" s="82"/>
      <c r="B975" s="8"/>
      <c r="C975" s="59"/>
      <c r="D975" s="59"/>
      <c r="E975" s="8"/>
      <c r="F975" s="8"/>
      <c r="G975" s="8"/>
      <c r="H975" s="8"/>
      <c r="I975" s="8"/>
      <c r="J975" s="8"/>
      <c r="K975" s="8"/>
      <c r="L975" s="8"/>
      <c r="M975" s="8"/>
      <c r="N975" s="8"/>
      <c r="O975" s="8"/>
      <c r="P975" s="8"/>
      <c r="Q975" s="8"/>
      <c r="R975" s="8"/>
      <c r="S975" s="8"/>
      <c r="T975" s="8"/>
      <c r="U975" s="8"/>
      <c r="V975" s="8"/>
      <c r="W975" s="8"/>
      <c r="X975" s="8"/>
    </row>
    <row r="976" spans="1:24" ht="12.75">
      <c r="A976" s="82"/>
      <c r="B976" s="8"/>
      <c r="C976" s="59"/>
      <c r="D976" s="59"/>
      <c r="E976" s="8"/>
      <c r="F976" s="8"/>
      <c r="G976" s="8"/>
      <c r="H976" s="8"/>
      <c r="I976" s="8"/>
      <c r="J976" s="8"/>
      <c r="K976" s="8"/>
      <c r="L976" s="8"/>
      <c r="M976" s="8"/>
      <c r="N976" s="8"/>
      <c r="O976" s="8"/>
      <c r="P976" s="8"/>
      <c r="Q976" s="8"/>
      <c r="R976" s="8"/>
      <c r="S976" s="8"/>
      <c r="T976" s="8"/>
      <c r="U976" s="8"/>
      <c r="V976" s="8"/>
      <c r="W976" s="8"/>
      <c r="X976" s="8"/>
    </row>
    <row r="977" spans="1:24" ht="12.75">
      <c r="A977" s="82"/>
      <c r="B977" s="8"/>
      <c r="C977" s="59"/>
      <c r="D977" s="59"/>
      <c r="E977" s="8"/>
      <c r="F977" s="8"/>
      <c r="G977" s="8"/>
      <c r="H977" s="8"/>
      <c r="I977" s="8"/>
      <c r="J977" s="8"/>
      <c r="K977" s="8"/>
      <c r="L977" s="8"/>
      <c r="M977" s="8"/>
      <c r="N977" s="8"/>
      <c r="O977" s="8"/>
      <c r="P977" s="8"/>
      <c r="Q977" s="8"/>
      <c r="R977" s="8"/>
      <c r="S977" s="8"/>
      <c r="T977" s="8"/>
      <c r="U977" s="8"/>
      <c r="V977" s="8"/>
      <c r="W977" s="8"/>
      <c r="X977" s="8"/>
    </row>
    <row r="978" spans="1:24" ht="12.75">
      <c r="A978" s="82"/>
      <c r="B978" s="8"/>
      <c r="C978" s="59"/>
      <c r="D978" s="59"/>
      <c r="E978" s="8"/>
      <c r="F978" s="8"/>
      <c r="G978" s="8"/>
      <c r="H978" s="8"/>
      <c r="I978" s="8"/>
      <c r="J978" s="8"/>
      <c r="K978" s="8"/>
      <c r="L978" s="8"/>
      <c r="M978" s="8"/>
      <c r="N978" s="8"/>
      <c r="O978" s="8"/>
      <c r="P978" s="8"/>
      <c r="Q978" s="8"/>
      <c r="R978" s="8"/>
      <c r="S978" s="8"/>
      <c r="T978" s="8"/>
      <c r="U978" s="8"/>
      <c r="V978" s="8"/>
      <c r="W978" s="8"/>
      <c r="X978" s="8"/>
    </row>
    <row r="979" spans="1:24" ht="12.75">
      <c r="A979" s="82"/>
      <c r="B979" s="8"/>
      <c r="C979" s="59"/>
      <c r="D979" s="59"/>
      <c r="E979" s="8"/>
      <c r="F979" s="8"/>
      <c r="G979" s="8"/>
      <c r="H979" s="8"/>
      <c r="I979" s="8"/>
      <c r="J979" s="8"/>
      <c r="K979" s="8"/>
      <c r="L979" s="8"/>
      <c r="M979" s="8"/>
      <c r="N979" s="8"/>
      <c r="O979" s="8"/>
      <c r="P979" s="8"/>
      <c r="Q979" s="8"/>
      <c r="R979" s="8"/>
      <c r="S979" s="8"/>
      <c r="T979" s="8"/>
      <c r="U979" s="8"/>
      <c r="V979" s="8"/>
      <c r="W979" s="8"/>
      <c r="X979" s="8"/>
    </row>
    <row r="980" spans="1:24" ht="12.75">
      <c r="A980" s="82"/>
      <c r="B980" s="8"/>
      <c r="C980" s="59"/>
      <c r="D980" s="59"/>
      <c r="E980" s="8"/>
      <c r="F980" s="8"/>
      <c r="G980" s="8"/>
      <c r="H980" s="8"/>
      <c r="I980" s="8"/>
      <c r="J980" s="8"/>
      <c r="K980" s="8"/>
      <c r="L980" s="8"/>
      <c r="M980" s="8"/>
      <c r="N980" s="8"/>
      <c r="O980" s="8"/>
      <c r="P980" s="8"/>
      <c r="Q980" s="8"/>
      <c r="R980" s="8"/>
      <c r="S980" s="8"/>
      <c r="T980" s="8"/>
      <c r="U980" s="8"/>
      <c r="V980" s="8"/>
      <c r="W980" s="8"/>
      <c r="X980" s="8"/>
    </row>
    <row r="981" spans="1:24" ht="12.75">
      <c r="A981" s="82"/>
      <c r="B981" s="8"/>
      <c r="C981" s="59"/>
      <c r="D981" s="59"/>
      <c r="E981" s="8"/>
      <c r="F981" s="8"/>
      <c r="G981" s="8"/>
      <c r="H981" s="8"/>
      <c r="I981" s="8"/>
      <c r="J981" s="8"/>
      <c r="K981" s="8"/>
      <c r="L981" s="8"/>
      <c r="M981" s="8"/>
      <c r="N981" s="8"/>
      <c r="O981" s="8"/>
      <c r="P981" s="8"/>
      <c r="Q981" s="8"/>
      <c r="R981" s="8"/>
      <c r="S981" s="8"/>
      <c r="T981" s="8"/>
      <c r="U981" s="8"/>
      <c r="V981" s="8"/>
      <c r="W981" s="8"/>
      <c r="X981" s="8"/>
    </row>
    <row r="982" spans="1:24" ht="12.75">
      <c r="A982" s="82"/>
      <c r="B982" s="8"/>
      <c r="C982" s="59"/>
      <c r="D982" s="59"/>
      <c r="E982" s="8"/>
      <c r="F982" s="8"/>
      <c r="G982" s="8"/>
      <c r="H982" s="8"/>
      <c r="I982" s="8"/>
      <c r="J982" s="8"/>
      <c r="K982" s="8"/>
      <c r="L982" s="8"/>
      <c r="M982" s="8"/>
      <c r="N982" s="8"/>
      <c r="O982" s="8"/>
      <c r="P982" s="8"/>
      <c r="Q982" s="8"/>
      <c r="R982" s="8"/>
      <c r="S982" s="8"/>
      <c r="T982" s="8"/>
      <c r="U982" s="8"/>
      <c r="V982" s="8"/>
      <c r="W982" s="8"/>
      <c r="X982" s="8"/>
    </row>
    <row r="983" spans="1:24" ht="12.75">
      <c r="A983" s="82"/>
      <c r="B983" s="8"/>
      <c r="C983" s="59"/>
      <c r="D983" s="59"/>
      <c r="E983" s="8"/>
      <c r="F983" s="8"/>
      <c r="G983" s="8"/>
      <c r="H983" s="8"/>
      <c r="I983" s="8"/>
      <c r="J983" s="8"/>
      <c r="K983" s="8"/>
      <c r="L983" s="8"/>
      <c r="M983" s="8"/>
      <c r="N983" s="8"/>
      <c r="O983" s="8"/>
      <c r="P983" s="8"/>
      <c r="Q983" s="8"/>
      <c r="R983" s="8"/>
      <c r="S983" s="8"/>
      <c r="T983" s="8"/>
      <c r="U983" s="8"/>
      <c r="V983" s="8"/>
      <c r="W983" s="8"/>
      <c r="X983" s="8"/>
    </row>
    <row r="984" spans="1:24" ht="12.75">
      <c r="A984" s="82"/>
      <c r="B984" s="8"/>
      <c r="C984" s="59"/>
      <c r="D984" s="59"/>
      <c r="E984" s="8"/>
      <c r="F984" s="8"/>
      <c r="G984" s="8"/>
      <c r="H984" s="8"/>
      <c r="I984" s="8"/>
      <c r="J984" s="8"/>
      <c r="K984" s="8"/>
      <c r="L984" s="8"/>
      <c r="M984" s="8"/>
      <c r="N984" s="8"/>
      <c r="O984" s="8"/>
      <c r="P984" s="8"/>
      <c r="Q984" s="8"/>
      <c r="R984" s="8"/>
      <c r="S984" s="8"/>
      <c r="T984" s="8"/>
      <c r="U984" s="8"/>
      <c r="V984" s="8"/>
      <c r="W984" s="8"/>
      <c r="X984" s="8"/>
    </row>
    <row r="985" spans="1:24" ht="12.75">
      <c r="A985" s="82"/>
      <c r="B985" s="8"/>
      <c r="C985" s="59"/>
      <c r="D985" s="59"/>
      <c r="E985" s="8"/>
      <c r="F985" s="8"/>
      <c r="G985" s="8"/>
      <c r="H985" s="8"/>
      <c r="I985" s="8"/>
      <c r="J985" s="8"/>
      <c r="K985" s="8"/>
      <c r="L985" s="8"/>
      <c r="M985" s="8"/>
      <c r="N985" s="8"/>
      <c r="O985" s="8"/>
      <c r="P985" s="8"/>
      <c r="Q985" s="8"/>
      <c r="R985" s="8"/>
      <c r="S985" s="8"/>
      <c r="T985" s="8"/>
      <c r="U985" s="8"/>
      <c r="V985" s="8"/>
      <c r="W985" s="8"/>
      <c r="X985" s="8"/>
    </row>
    <row r="986" spans="1:24" ht="12.75">
      <c r="A986" s="82"/>
      <c r="B986" s="8"/>
      <c r="C986" s="59"/>
      <c r="D986" s="59"/>
      <c r="E986" s="8"/>
      <c r="F986" s="8"/>
      <c r="G986" s="8"/>
      <c r="H986" s="8"/>
      <c r="I986" s="8"/>
      <c r="J986" s="8"/>
      <c r="K986" s="8"/>
      <c r="L986" s="8"/>
      <c r="M986" s="8"/>
      <c r="N986" s="8"/>
      <c r="O986" s="8"/>
      <c r="P986" s="8"/>
      <c r="Q986" s="8"/>
      <c r="R986" s="8"/>
      <c r="S986" s="8"/>
      <c r="T986" s="8"/>
      <c r="U986" s="8"/>
      <c r="V986" s="8"/>
      <c r="W986" s="8"/>
      <c r="X986" s="8"/>
    </row>
    <row r="987" spans="1:24" ht="12.75">
      <c r="A987" s="82"/>
      <c r="B987" s="8"/>
      <c r="C987" s="59"/>
      <c r="D987" s="59"/>
      <c r="E987" s="8"/>
      <c r="F987" s="8"/>
      <c r="G987" s="8"/>
      <c r="H987" s="8"/>
      <c r="I987" s="8"/>
      <c r="J987" s="8"/>
      <c r="K987" s="8"/>
      <c r="L987" s="8"/>
      <c r="M987" s="8"/>
      <c r="N987" s="8"/>
      <c r="O987" s="8"/>
      <c r="P987" s="8"/>
      <c r="Q987" s="8"/>
      <c r="R987" s="8"/>
      <c r="S987" s="8"/>
      <c r="T987" s="8"/>
      <c r="U987" s="8"/>
      <c r="V987" s="8"/>
      <c r="W987" s="8"/>
      <c r="X987" s="8"/>
    </row>
    <row r="988" spans="1:24" ht="12.75">
      <c r="A988" s="82"/>
      <c r="B988" s="8"/>
      <c r="C988" s="59"/>
      <c r="D988" s="59"/>
      <c r="E988" s="8"/>
      <c r="F988" s="8"/>
      <c r="G988" s="8"/>
      <c r="H988" s="8"/>
      <c r="I988" s="8"/>
      <c r="J988" s="8"/>
      <c r="K988" s="8"/>
      <c r="L988" s="8"/>
      <c r="M988" s="8"/>
      <c r="N988" s="8"/>
      <c r="O988" s="8"/>
      <c r="P988" s="8"/>
      <c r="Q988" s="8"/>
      <c r="R988" s="8"/>
      <c r="S988" s="8"/>
      <c r="T988" s="8"/>
      <c r="U988" s="8"/>
      <c r="V988" s="8"/>
      <c r="W988" s="8"/>
      <c r="X988" s="8"/>
    </row>
    <row r="989" spans="1:24" ht="12.75">
      <c r="A989" s="82"/>
      <c r="B989" s="8"/>
      <c r="C989" s="59"/>
      <c r="D989" s="59"/>
      <c r="E989" s="8"/>
      <c r="F989" s="8"/>
      <c r="G989" s="8"/>
      <c r="H989" s="8"/>
      <c r="I989" s="8"/>
      <c r="J989" s="8"/>
      <c r="K989" s="8"/>
      <c r="L989" s="8"/>
      <c r="M989" s="8"/>
      <c r="N989" s="8"/>
      <c r="O989" s="8"/>
      <c r="P989" s="8"/>
      <c r="Q989" s="8"/>
      <c r="R989" s="8"/>
      <c r="S989" s="8"/>
      <c r="T989" s="8"/>
      <c r="U989" s="8"/>
      <c r="V989" s="8"/>
      <c r="W989" s="8"/>
      <c r="X989" s="8"/>
    </row>
    <row r="990" spans="1:24" ht="12.75">
      <c r="A990" s="82"/>
      <c r="B990" s="8"/>
      <c r="C990" s="59"/>
      <c r="D990" s="59"/>
      <c r="E990" s="8"/>
      <c r="F990" s="8"/>
      <c r="G990" s="8"/>
      <c r="H990" s="8"/>
      <c r="I990" s="8"/>
      <c r="J990" s="8"/>
      <c r="K990" s="8"/>
      <c r="L990" s="8"/>
      <c r="M990" s="8"/>
      <c r="N990" s="8"/>
      <c r="O990" s="8"/>
      <c r="P990" s="8"/>
      <c r="Q990" s="8"/>
      <c r="R990" s="8"/>
      <c r="S990" s="8"/>
      <c r="T990" s="8"/>
      <c r="U990" s="8"/>
      <c r="V990" s="8"/>
      <c r="W990" s="8"/>
      <c r="X990" s="8"/>
    </row>
    <row r="991" spans="1:24" ht="12.75">
      <c r="A991" s="82"/>
      <c r="B991" s="8"/>
      <c r="C991" s="59"/>
      <c r="D991" s="59"/>
      <c r="E991" s="8"/>
      <c r="F991" s="8"/>
      <c r="G991" s="8"/>
      <c r="H991" s="8"/>
      <c r="I991" s="8"/>
      <c r="J991" s="8"/>
      <c r="K991" s="8"/>
      <c r="L991" s="8"/>
      <c r="M991" s="8"/>
      <c r="N991" s="8"/>
      <c r="O991" s="8"/>
      <c r="P991" s="8"/>
      <c r="Q991" s="8"/>
      <c r="R991" s="8"/>
      <c r="S991" s="8"/>
      <c r="T991" s="8"/>
      <c r="U991" s="8"/>
      <c r="V991" s="8"/>
      <c r="W991" s="8"/>
      <c r="X991" s="8"/>
    </row>
    <row r="992" spans="1:24" ht="12.75">
      <c r="A992" s="82"/>
      <c r="B992" s="8"/>
      <c r="C992" s="59"/>
      <c r="D992" s="59"/>
      <c r="E992" s="8"/>
      <c r="F992" s="8"/>
      <c r="G992" s="8"/>
      <c r="H992" s="8"/>
      <c r="I992" s="8"/>
      <c r="J992" s="8"/>
      <c r="K992" s="8"/>
      <c r="L992" s="8"/>
      <c r="M992" s="8"/>
      <c r="N992" s="8"/>
      <c r="O992" s="8"/>
      <c r="P992" s="8"/>
      <c r="Q992" s="8"/>
      <c r="R992" s="8"/>
      <c r="S992" s="8"/>
      <c r="T992" s="8"/>
      <c r="U992" s="8"/>
      <c r="V992" s="8"/>
      <c r="W992" s="8"/>
      <c r="X992" s="8"/>
    </row>
    <row r="993" spans="1:24" ht="12.75">
      <c r="A993" s="82"/>
      <c r="B993" s="8"/>
      <c r="C993" s="59"/>
      <c r="D993" s="59"/>
      <c r="E993" s="8"/>
      <c r="F993" s="8"/>
      <c r="G993" s="8"/>
      <c r="H993" s="8"/>
      <c r="I993" s="8"/>
      <c r="J993" s="8"/>
      <c r="K993" s="8"/>
      <c r="L993" s="8"/>
      <c r="M993" s="8"/>
      <c r="N993" s="8"/>
      <c r="O993" s="8"/>
      <c r="P993" s="8"/>
      <c r="Q993" s="8"/>
      <c r="R993" s="8"/>
      <c r="S993" s="8"/>
      <c r="T993" s="8"/>
      <c r="U993" s="8"/>
      <c r="V993" s="8"/>
      <c r="W993" s="8"/>
      <c r="X993" s="8"/>
    </row>
    <row r="994" spans="1:24" ht="12.75">
      <c r="A994" s="82"/>
      <c r="B994" s="8"/>
      <c r="C994" s="59"/>
      <c r="D994" s="59"/>
      <c r="E994" s="8"/>
      <c r="F994" s="8"/>
      <c r="G994" s="8"/>
      <c r="H994" s="8"/>
      <c r="I994" s="8"/>
      <c r="J994" s="8"/>
      <c r="K994" s="8"/>
      <c r="L994" s="8"/>
      <c r="M994" s="8"/>
      <c r="N994" s="8"/>
      <c r="O994" s="8"/>
      <c r="P994" s="8"/>
      <c r="Q994" s="8"/>
      <c r="R994" s="8"/>
      <c r="S994" s="8"/>
      <c r="T994" s="8"/>
      <c r="U994" s="8"/>
      <c r="V994" s="8"/>
      <c r="W994" s="8"/>
      <c r="X994" s="8"/>
    </row>
    <row r="995" spans="1:24" ht="12.75">
      <c r="A995" s="82"/>
      <c r="B995" s="8"/>
      <c r="C995" s="59"/>
      <c r="D995" s="59"/>
      <c r="E995" s="8"/>
      <c r="F995" s="8"/>
      <c r="G995" s="8"/>
      <c r="H995" s="8"/>
      <c r="I995" s="8"/>
      <c r="J995" s="8"/>
      <c r="K995" s="8"/>
      <c r="L995" s="8"/>
      <c r="M995" s="8"/>
      <c r="N995" s="8"/>
      <c r="O995" s="8"/>
      <c r="P995" s="8"/>
      <c r="Q995" s="8"/>
      <c r="R995" s="8"/>
      <c r="S995" s="8"/>
      <c r="T995" s="8"/>
      <c r="U995" s="8"/>
      <c r="V995" s="8"/>
      <c r="W995" s="8"/>
      <c r="X995" s="8"/>
    </row>
    <row r="996" spans="1:24" ht="12.75">
      <c r="A996" s="82"/>
      <c r="B996" s="8"/>
      <c r="C996" s="59"/>
      <c r="D996" s="59"/>
      <c r="E996" s="8"/>
      <c r="F996" s="8"/>
      <c r="G996" s="8"/>
      <c r="H996" s="8"/>
      <c r="I996" s="8"/>
      <c r="J996" s="8"/>
      <c r="K996" s="8"/>
      <c r="L996" s="8"/>
      <c r="M996" s="8"/>
      <c r="N996" s="8"/>
      <c r="O996" s="8"/>
      <c r="P996" s="8"/>
      <c r="Q996" s="8"/>
      <c r="R996" s="8"/>
      <c r="S996" s="8"/>
      <c r="T996" s="8"/>
      <c r="U996" s="8"/>
      <c r="V996" s="8"/>
      <c r="W996" s="8"/>
      <c r="X996" s="8"/>
    </row>
    <row r="997" spans="1:24" ht="12.75">
      <c r="A997" s="82"/>
      <c r="B997" s="8"/>
      <c r="C997" s="59"/>
      <c r="D997" s="59"/>
      <c r="E997" s="8"/>
      <c r="F997" s="8"/>
      <c r="G997" s="8"/>
      <c r="H997" s="8"/>
      <c r="I997" s="8"/>
      <c r="J997" s="8"/>
      <c r="K997" s="8"/>
      <c r="L997" s="8"/>
      <c r="M997" s="8"/>
      <c r="N997" s="8"/>
      <c r="O997" s="8"/>
      <c r="P997" s="8"/>
      <c r="Q997" s="8"/>
      <c r="R997" s="8"/>
      <c r="S997" s="8"/>
      <c r="T997" s="8"/>
      <c r="U997" s="8"/>
      <c r="V997" s="8"/>
      <c r="W997" s="8"/>
      <c r="X997" s="8"/>
    </row>
    <row r="998" spans="1:24" ht="12.75">
      <c r="A998" s="82"/>
      <c r="B998" s="8"/>
      <c r="C998" s="59"/>
      <c r="D998" s="59"/>
      <c r="E998" s="8"/>
      <c r="F998" s="8"/>
      <c r="G998" s="8"/>
      <c r="H998" s="8"/>
      <c r="I998" s="8"/>
      <c r="J998" s="8"/>
      <c r="K998" s="8"/>
      <c r="L998" s="8"/>
      <c r="M998" s="8"/>
      <c r="N998" s="8"/>
      <c r="O998" s="8"/>
      <c r="P998" s="8"/>
      <c r="Q998" s="8"/>
      <c r="R998" s="8"/>
      <c r="S998" s="8"/>
      <c r="T998" s="8"/>
      <c r="U998" s="8"/>
      <c r="V998" s="8"/>
      <c r="W998" s="8"/>
      <c r="X998" s="8"/>
    </row>
    <row r="999" spans="1:24" ht="12.75">
      <c r="A999" s="82"/>
      <c r="B999" s="8"/>
      <c r="C999" s="59"/>
      <c r="D999" s="59"/>
      <c r="E999" s="8"/>
      <c r="F999" s="8"/>
      <c r="G999" s="8"/>
      <c r="H999" s="8"/>
      <c r="I999" s="8"/>
      <c r="J999" s="8"/>
      <c r="K999" s="8"/>
      <c r="L999" s="8"/>
      <c r="M999" s="8"/>
      <c r="N999" s="8"/>
      <c r="O999" s="8"/>
      <c r="P999" s="8"/>
      <c r="Q999" s="8"/>
      <c r="R999" s="8"/>
      <c r="S999" s="8"/>
      <c r="T999" s="8"/>
      <c r="U999" s="8"/>
      <c r="V999" s="8"/>
      <c r="W999" s="8"/>
      <c r="X999" s="8"/>
    </row>
    <row r="1000" spans="1:24" ht="12.75">
      <c r="A1000" s="82"/>
      <c r="B1000" s="8"/>
      <c r="C1000" s="59"/>
      <c r="D1000" s="59"/>
      <c r="E1000" s="8"/>
      <c r="F1000" s="8"/>
      <c r="G1000" s="8"/>
      <c r="H1000" s="8"/>
      <c r="I1000" s="8"/>
      <c r="J1000" s="8"/>
      <c r="K1000" s="8"/>
      <c r="L1000" s="8"/>
      <c r="M1000" s="8"/>
      <c r="N1000" s="8"/>
      <c r="O1000" s="8"/>
      <c r="P1000" s="8"/>
      <c r="Q1000" s="8"/>
      <c r="R1000" s="8"/>
      <c r="S1000" s="8"/>
      <c r="T1000" s="8"/>
      <c r="U1000" s="8"/>
      <c r="V1000" s="8"/>
      <c r="W1000" s="8"/>
      <c r="X1000" s="8"/>
    </row>
    <row r="1001" spans="1:24" ht="12.75">
      <c r="A1001" s="82"/>
      <c r="B1001" s="8"/>
      <c r="C1001" s="59"/>
      <c r="D1001" s="59"/>
      <c r="E1001" s="8"/>
      <c r="F1001" s="8"/>
      <c r="G1001" s="8"/>
      <c r="H1001" s="8"/>
      <c r="I1001" s="8"/>
      <c r="J1001" s="8"/>
      <c r="K1001" s="8"/>
      <c r="L1001" s="8"/>
      <c r="M1001" s="8"/>
      <c r="N1001" s="8"/>
      <c r="O1001" s="8"/>
      <c r="P1001" s="8"/>
      <c r="Q1001" s="8"/>
      <c r="R1001" s="8"/>
      <c r="S1001" s="8"/>
      <c r="T1001" s="8"/>
      <c r="U1001" s="8"/>
      <c r="V1001" s="8"/>
      <c r="W1001" s="8"/>
      <c r="X1001" s="8"/>
    </row>
    <row r="1002" spans="1:24" ht="12.75">
      <c r="A1002" s="82"/>
      <c r="B1002" s="8"/>
      <c r="C1002" s="59"/>
      <c r="D1002" s="59"/>
      <c r="E1002" s="8"/>
      <c r="F1002" s="8"/>
      <c r="G1002" s="8"/>
      <c r="H1002" s="8"/>
      <c r="I1002" s="8"/>
      <c r="J1002" s="8"/>
      <c r="K1002" s="8"/>
      <c r="L1002" s="8"/>
      <c r="M1002" s="8"/>
      <c r="N1002" s="8"/>
      <c r="O1002" s="8"/>
      <c r="P1002" s="8"/>
      <c r="Q1002" s="8"/>
      <c r="R1002" s="8"/>
      <c r="S1002" s="8"/>
      <c r="T1002" s="8"/>
      <c r="U1002" s="8"/>
      <c r="V1002" s="8"/>
      <c r="W1002" s="8"/>
      <c r="X1002" s="8"/>
    </row>
    <row r="1003" spans="1:24" ht="12.75">
      <c r="A1003" s="82"/>
      <c r="B1003" s="8"/>
      <c r="C1003" s="59"/>
      <c r="D1003" s="59"/>
      <c r="E1003" s="8"/>
      <c r="F1003" s="8"/>
      <c r="G1003" s="8"/>
      <c r="H1003" s="8"/>
      <c r="I1003" s="8"/>
      <c r="J1003" s="8"/>
      <c r="K1003" s="8"/>
      <c r="L1003" s="8"/>
      <c r="M1003" s="8"/>
      <c r="N1003" s="8"/>
      <c r="O1003" s="8"/>
      <c r="P1003" s="8"/>
      <c r="Q1003" s="8"/>
      <c r="R1003" s="8"/>
      <c r="S1003" s="8"/>
      <c r="T1003" s="8"/>
      <c r="U1003" s="8"/>
      <c r="V1003" s="8"/>
      <c r="W1003" s="8"/>
      <c r="X1003" s="8"/>
    </row>
    <row r="1004" spans="1:24" ht="12.75">
      <c r="A1004" s="82"/>
      <c r="B1004" s="8"/>
      <c r="C1004" s="59"/>
      <c r="D1004" s="59"/>
      <c r="E1004" s="8"/>
      <c r="F1004" s="8"/>
      <c r="G1004" s="8"/>
      <c r="H1004" s="8"/>
      <c r="I1004" s="8"/>
      <c r="J1004" s="8"/>
      <c r="K1004" s="8"/>
      <c r="L1004" s="8"/>
      <c r="M1004" s="8"/>
      <c r="N1004" s="8"/>
      <c r="O1004" s="8"/>
      <c r="P1004" s="8"/>
      <c r="Q1004" s="8"/>
      <c r="R1004" s="8"/>
      <c r="S1004" s="8"/>
      <c r="T1004" s="8"/>
      <c r="U1004" s="8"/>
      <c r="V1004" s="8"/>
      <c r="W1004" s="8"/>
      <c r="X1004" s="8"/>
    </row>
    <row r="1005" spans="1:24" ht="12.75">
      <c r="A1005" s="82"/>
      <c r="B1005" s="8"/>
      <c r="C1005" s="59"/>
      <c r="D1005" s="59"/>
      <c r="E1005" s="8"/>
      <c r="F1005" s="8"/>
      <c r="G1005" s="8"/>
      <c r="H1005" s="8"/>
      <c r="I1005" s="8"/>
      <c r="J1005" s="8"/>
      <c r="K1005" s="8"/>
      <c r="L1005" s="8"/>
      <c r="M1005" s="8"/>
      <c r="N1005" s="8"/>
      <c r="O1005" s="8"/>
      <c r="P1005" s="8"/>
      <c r="Q1005" s="8"/>
      <c r="R1005" s="8"/>
      <c r="S1005" s="8"/>
      <c r="T1005" s="8"/>
      <c r="U1005" s="8"/>
      <c r="V1005" s="8"/>
      <c r="W1005" s="8"/>
      <c r="X1005" s="8"/>
    </row>
    <row r="1006" spans="1:24" ht="12.75">
      <c r="A1006" s="82"/>
      <c r="B1006" s="8"/>
      <c r="C1006" s="59"/>
      <c r="D1006" s="59"/>
      <c r="E1006" s="8"/>
      <c r="F1006" s="8"/>
      <c r="G1006" s="8"/>
      <c r="H1006" s="8"/>
      <c r="I1006" s="8"/>
      <c r="J1006" s="8"/>
      <c r="K1006" s="8"/>
      <c r="L1006" s="8"/>
      <c r="M1006" s="8"/>
      <c r="N1006" s="8"/>
      <c r="O1006" s="8"/>
      <c r="P1006" s="8"/>
      <c r="Q1006" s="8"/>
      <c r="R1006" s="8"/>
      <c r="S1006" s="8"/>
      <c r="T1006" s="8"/>
      <c r="U1006" s="8"/>
      <c r="V1006" s="8"/>
      <c r="W1006" s="8"/>
      <c r="X1006" s="8"/>
    </row>
    <row r="1007" spans="1:24" ht="12.75">
      <c r="A1007" s="82"/>
      <c r="B1007" s="8"/>
      <c r="C1007" s="59"/>
      <c r="D1007" s="59"/>
      <c r="E1007" s="8"/>
      <c r="F1007" s="8"/>
      <c r="G1007" s="8"/>
      <c r="H1007" s="8"/>
      <c r="I1007" s="8"/>
      <c r="J1007" s="8"/>
      <c r="K1007" s="8"/>
      <c r="L1007" s="8"/>
      <c r="M1007" s="8"/>
      <c r="N1007" s="8"/>
      <c r="O1007" s="8"/>
      <c r="P1007" s="8"/>
      <c r="Q1007" s="8"/>
      <c r="R1007" s="8"/>
      <c r="S1007" s="8"/>
      <c r="T1007" s="8"/>
      <c r="U1007" s="8"/>
      <c r="V1007" s="8"/>
      <c r="W1007" s="8"/>
      <c r="X1007" s="8"/>
    </row>
    <row r="1008" spans="1:24" ht="12.75">
      <c r="A1008" s="82"/>
      <c r="B1008" s="8"/>
      <c r="C1008" s="59"/>
      <c r="D1008" s="59"/>
      <c r="E1008" s="8"/>
      <c r="F1008" s="8"/>
      <c r="G1008" s="8"/>
      <c r="H1008" s="8"/>
      <c r="I1008" s="8"/>
      <c r="J1008" s="8"/>
      <c r="K1008" s="8"/>
      <c r="L1008" s="8"/>
      <c r="M1008" s="8"/>
      <c r="N1008" s="8"/>
      <c r="O1008" s="8"/>
      <c r="P1008" s="8"/>
      <c r="Q1008" s="8"/>
      <c r="R1008" s="8"/>
      <c r="S1008" s="8"/>
      <c r="T1008" s="8"/>
      <c r="U1008" s="8"/>
      <c r="V1008" s="8"/>
      <c r="W1008" s="8"/>
      <c r="X1008" s="8"/>
    </row>
    <row r="1009" spans="1:24" ht="12.75">
      <c r="A1009" s="82"/>
      <c r="B1009" s="8"/>
      <c r="C1009" s="59"/>
      <c r="D1009" s="59"/>
      <c r="E1009" s="8"/>
      <c r="F1009" s="8"/>
      <c r="G1009" s="8"/>
      <c r="H1009" s="8"/>
      <c r="I1009" s="8"/>
      <c r="J1009" s="8"/>
      <c r="K1009" s="8"/>
      <c r="L1009" s="8"/>
      <c r="M1009" s="8"/>
      <c r="N1009" s="8"/>
      <c r="O1009" s="8"/>
      <c r="P1009" s="8"/>
      <c r="Q1009" s="8"/>
      <c r="R1009" s="8"/>
      <c r="S1009" s="8"/>
      <c r="T1009" s="8"/>
      <c r="U1009" s="8"/>
      <c r="V1009" s="8"/>
      <c r="W1009" s="8"/>
      <c r="X1009" s="8"/>
    </row>
    <row r="1010" spans="1:24" ht="12.75">
      <c r="A1010" s="82"/>
      <c r="B1010" s="8"/>
      <c r="C1010" s="59"/>
      <c r="D1010" s="59"/>
      <c r="E1010" s="8"/>
      <c r="F1010" s="8"/>
      <c r="G1010" s="8"/>
      <c r="H1010" s="8"/>
      <c r="I1010" s="8"/>
      <c r="J1010" s="8"/>
      <c r="K1010" s="8"/>
      <c r="L1010" s="8"/>
      <c r="M1010" s="8"/>
      <c r="N1010" s="8"/>
      <c r="O1010" s="8"/>
      <c r="P1010" s="8"/>
      <c r="Q1010" s="8"/>
      <c r="R1010" s="8"/>
      <c r="S1010" s="8"/>
      <c r="T1010" s="8"/>
      <c r="U1010" s="8"/>
      <c r="V1010" s="8"/>
      <c r="W1010" s="8"/>
      <c r="X1010" s="8"/>
    </row>
    <row r="1011" spans="1:24" ht="12.75">
      <c r="A1011" s="82"/>
      <c r="B1011" s="8"/>
      <c r="C1011" s="59"/>
      <c r="D1011" s="59"/>
      <c r="E1011" s="8"/>
      <c r="F1011" s="8"/>
      <c r="G1011" s="8"/>
      <c r="H1011" s="8"/>
      <c r="I1011" s="8"/>
      <c r="J1011" s="8"/>
      <c r="K1011" s="8"/>
      <c r="L1011" s="8"/>
      <c r="M1011" s="8"/>
      <c r="N1011" s="8"/>
      <c r="O1011" s="8"/>
      <c r="P1011" s="8"/>
      <c r="Q1011" s="8"/>
      <c r="R1011" s="8"/>
      <c r="S1011" s="8"/>
      <c r="T1011" s="8"/>
      <c r="U1011" s="8"/>
      <c r="V1011" s="8"/>
      <c r="W1011" s="8"/>
      <c r="X1011" s="8"/>
    </row>
    <row r="1012" spans="1:24" ht="12.75">
      <c r="A1012" s="82"/>
      <c r="B1012" s="8"/>
      <c r="C1012" s="59"/>
      <c r="D1012" s="59"/>
      <c r="E1012" s="8"/>
      <c r="F1012" s="8"/>
      <c r="G1012" s="8"/>
      <c r="H1012" s="8"/>
      <c r="I1012" s="8"/>
      <c r="J1012" s="8"/>
      <c r="K1012" s="8"/>
      <c r="L1012" s="8"/>
      <c r="M1012" s="8"/>
      <c r="N1012" s="8"/>
      <c r="O1012" s="8"/>
      <c r="P1012" s="8"/>
      <c r="Q1012" s="8"/>
      <c r="R1012" s="8"/>
      <c r="S1012" s="8"/>
      <c r="T1012" s="8"/>
      <c r="U1012" s="8"/>
      <c r="V1012" s="8"/>
      <c r="W1012" s="8"/>
      <c r="X1012" s="8"/>
    </row>
    <row r="1013" spans="1:24" ht="12.75">
      <c r="A1013" s="82"/>
      <c r="B1013" s="8"/>
      <c r="C1013" s="59"/>
      <c r="D1013" s="59"/>
      <c r="E1013" s="8"/>
      <c r="F1013" s="8"/>
      <c r="G1013" s="8"/>
      <c r="H1013" s="8"/>
      <c r="I1013" s="8"/>
      <c r="J1013" s="8"/>
      <c r="K1013" s="8"/>
      <c r="L1013" s="8"/>
      <c r="M1013" s="8"/>
      <c r="N1013" s="8"/>
      <c r="O1013" s="8"/>
      <c r="P1013" s="8"/>
      <c r="Q1013" s="8"/>
      <c r="R1013" s="8"/>
      <c r="S1013" s="8"/>
      <c r="T1013" s="8"/>
      <c r="U1013" s="8"/>
      <c r="V1013" s="8"/>
      <c r="W1013" s="8"/>
      <c r="X1013" s="8"/>
    </row>
    <row r="1014" spans="1:24" ht="12.75">
      <c r="A1014" s="82"/>
      <c r="B1014" s="8"/>
      <c r="C1014" s="59"/>
      <c r="D1014" s="59"/>
      <c r="E1014" s="8"/>
      <c r="F1014" s="8"/>
      <c r="G1014" s="8"/>
      <c r="H1014" s="8"/>
      <c r="I1014" s="8"/>
      <c r="J1014" s="8"/>
      <c r="K1014" s="8"/>
      <c r="L1014" s="8"/>
      <c r="M1014" s="8"/>
      <c r="N1014" s="8"/>
      <c r="O1014" s="8"/>
      <c r="P1014" s="8"/>
      <c r="Q1014" s="8"/>
      <c r="R1014" s="8"/>
      <c r="S1014" s="8"/>
      <c r="T1014" s="8"/>
      <c r="U1014" s="8"/>
      <c r="V1014" s="8"/>
      <c r="W1014" s="8"/>
      <c r="X1014" s="8"/>
    </row>
    <row r="1015" spans="1:24" ht="12.75">
      <c r="A1015" s="82"/>
      <c r="B1015" s="8"/>
      <c r="C1015" s="59"/>
      <c r="D1015" s="59"/>
      <c r="E1015" s="8"/>
      <c r="F1015" s="8"/>
      <c r="G1015" s="8"/>
      <c r="H1015" s="8"/>
      <c r="I1015" s="8"/>
      <c r="J1015" s="8"/>
      <c r="K1015" s="8"/>
      <c r="L1015" s="8"/>
      <c r="M1015" s="8"/>
      <c r="N1015" s="8"/>
      <c r="O1015" s="8"/>
      <c r="P1015" s="8"/>
      <c r="Q1015" s="8"/>
      <c r="R1015" s="8"/>
      <c r="S1015" s="8"/>
      <c r="T1015" s="8"/>
      <c r="U1015" s="8"/>
      <c r="V1015" s="8"/>
      <c r="W1015" s="8"/>
      <c r="X1015" s="8"/>
    </row>
    <row r="1016" spans="1:24" ht="12.75">
      <c r="A1016" s="82"/>
      <c r="B1016" s="8"/>
      <c r="C1016" s="59"/>
      <c r="D1016" s="59"/>
      <c r="E1016" s="8"/>
      <c r="F1016" s="8"/>
      <c r="G1016" s="8"/>
      <c r="H1016" s="8"/>
      <c r="I1016" s="8"/>
      <c r="J1016" s="8"/>
      <c r="K1016" s="8"/>
      <c r="L1016" s="8"/>
      <c r="M1016" s="8"/>
      <c r="N1016" s="8"/>
      <c r="O1016" s="8"/>
      <c r="P1016" s="8"/>
      <c r="Q1016" s="8"/>
      <c r="R1016" s="8"/>
      <c r="S1016" s="8"/>
      <c r="T1016" s="8"/>
      <c r="U1016" s="8"/>
      <c r="V1016" s="8"/>
      <c r="W1016" s="8"/>
      <c r="X1016" s="8"/>
    </row>
    <row r="1017" spans="1:24" ht="12.75">
      <c r="A1017" s="82"/>
      <c r="B1017" s="8"/>
      <c r="C1017" s="59"/>
      <c r="D1017" s="59"/>
      <c r="E1017" s="8"/>
      <c r="F1017" s="8"/>
      <c r="G1017" s="8"/>
      <c r="H1017" s="8"/>
      <c r="I1017" s="8"/>
      <c r="J1017" s="8"/>
      <c r="K1017" s="8"/>
      <c r="L1017" s="8"/>
      <c r="M1017" s="8"/>
      <c r="N1017" s="8"/>
      <c r="O1017" s="8"/>
      <c r="P1017" s="8"/>
      <c r="Q1017" s="8"/>
      <c r="R1017" s="8"/>
      <c r="S1017" s="8"/>
      <c r="T1017" s="8"/>
      <c r="U1017" s="8"/>
      <c r="V1017" s="8"/>
      <c r="W1017" s="8"/>
      <c r="X1017" s="8"/>
    </row>
    <row r="1018" spans="1:24" ht="12.75">
      <c r="A1018" s="82"/>
      <c r="B1018" s="8"/>
      <c r="C1018" s="59"/>
      <c r="D1018" s="59"/>
      <c r="E1018" s="8"/>
      <c r="F1018" s="8"/>
      <c r="G1018" s="8"/>
      <c r="H1018" s="8"/>
      <c r="I1018" s="8"/>
      <c r="J1018" s="8"/>
      <c r="K1018" s="8"/>
      <c r="L1018" s="8"/>
      <c r="M1018" s="8"/>
      <c r="N1018" s="8"/>
      <c r="O1018" s="8"/>
      <c r="P1018" s="8"/>
      <c r="Q1018" s="8"/>
      <c r="R1018" s="8"/>
      <c r="S1018" s="8"/>
      <c r="T1018" s="8"/>
      <c r="U1018" s="8"/>
      <c r="V1018" s="8"/>
      <c r="W1018" s="8"/>
      <c r="X1018" s="8"/>
    </row>
    <row r="1019" spans="1:24" ht="12.75">
      <c r="A1019" s="82"/>
      <c r="B1019" s="8"/>
      <c r="C1019" s="59"/>
      <c r="D1019" s="59"/>
      <c r="E1019" s="8"/>
      <c r="F1019" s="8"/>
      <c r="G1019" s="8"/>
      <c r="H1019" s="8"/>
      <c r="I1019" s="8"/>
      <c r="J1019" s="8"/>
      <c r="K1019" s="8"/>
      <c r="L1019" s="8"/>
      <c r="M1019" s="8"/>
      <c r="N1019" s="8"/>
      <c r="O1019" s="8"/>
      <c r="P1019" s="8"/>
      <c r="Q1019" s="8"/>
      <c r="R1019" s="8"/>
      <c r="S1019" s="8"/>
      <c r="T1019" s="8"/>
      <c r="U1019" s="8"/>
      <c r="V1019" s="8"/>
      <c r="W1019" s="8"/>
      <c r="X1019" s="8"/>
    </row>
    <row r="1020" spans="1:24" ht="12.75">
      <c r="A1020" s="82"/>
      <c r="B1020" s="8"/>
      <c r="C1020" s="59"/>
      <c r="D1020" s="59"/>
      <c r="E1020" s="8"/>
      <c r="F1020" s="8"/>
      <c r="G1020" s="8"/>
      <c r="H1020" s="8"/>
      <c r="I1020" s="8"/>
      <c r="J1020" s="8"/>
      <c r="K1020" s="8"/>
      <c r="L1020" s="8"/>
      <c r="M1020" s="8"/>
      <c r="N1020" s="8"/>
      <c r="O1020" s="8"/>
      <c r="P1020" s="8"/>
      <c r="Q1020" s="8"/>
      <c r="R1020" s="8"/>
      <c r="S1020" s="8"/>
      <c r="T1020" s="8"/>
      <c r="U1020" s="8"/>
      <c r="V1020" s="8"/>
      <c r="W1020" s="8"/>
      <c r="X1020" s="8"/>
    </row>
    <row r="1021" spans="1:24" ht="12.75">
      <c r="A1021" s="82"/>
      <c r="B1021" s="8"/>
      <c r="C1021" s="59"/>
      <c r="D1021" s="59"/>
      <c r="E1021" s="8"/>
      <c r="F1021" s="8"/>
      <c r="G1021" s="8"/>
      <c r="H1021" s="8"/>
      <c r="I1021" s="8"/>
      <c r="J1021" s="8"/>
      <c r="K1021" s="8"/>
      <c r="L1021" s="8"/>
      <c r="M1021" s="8"/>
      <c r="N1021" s="8"/>
      <c r="O1021" s="8"/>
      <c r="P1021" s="8"/>
      <c r="Q1021" s="8"/>
      <c r="R1021" s="8"/>
      <c r="S1021" s="8"/>
      <c r="T1021" s="8"/>
      <c r="U1021" s="8"/>
      <c r="V1021" s="8"/>
      <c r="W1021" s="8"/>
      <c r="X1021" s="8"/>
    </row>
    <row r="1022" spans="1:24" ht="12.75">
      <c r="A1022" s="82"/>
      <c r="B1022" s="8"/>
      <c r="C1022" s="59"/>
      <c r="D1022" s="59"/>
      <c r="E1022" s="8"/>
      <c r="F1022" s="8"/>
      <c r="G1022" s="8"/>
      <c r="H1022" s="8"/>
      <c r="I1022" s="8"/>
      <c r="J1022" s="8"/>
      <c r="K1022" s="8"/>
      <c r="L1022" s="8"/>
      <c r="M1022" s="8"/>
      <c r="N1022" s="8"/>
      <c r="O1022" s="8"/>
      <c r="P1022" s="8"/>
      <c r="Q1022" s="8"/>
      <c r="R1022" s="8"/>
      <c r="S1022" s="8"/>
      <c r="T1022" s="8"/>
      <c r="U1022" s="8"/>
      <c r="V1022" s="8"/>
      <c r="W1022" s="8"/>
      <c r="X1022" s="8"/>
    </row>
    <row r="1023" spans="1:24" ht="12.75">
      <c r="A1023" s="82"/>
      <c r="B1023" s="8"/>
      <c r="C1023" s="59"/>
      <c r="D1023" s="59"/>
      <c r="E1023" s="8"/>
      <c r="F1023" s="8"/>
      <c r="G1023" s="8"/>
      <c r="H1023" s="8"/>
      <c r="I1023" s="8"/>
      <c r="J1023" s="8"/>
      <c r="K1023" s="8"/>
      <c r="L1023" s="8"/>
      <c r="M1023" s="8"/>
      <c r="N1023" s="8"/>
      <c r="O1023" s="8"/>
      <c r="P1023" s="8"/>
      <c r="Q1023" s="8"/>
      <c r="R1023" s="8"/>
      <c r="S1023" s="8"/>
      <c r="T1023" s="8"/>
      <c r="U1023" s="8"/>
      <c r="V1023" s="8"/>
      <c r="W1023" s="8"/>
      <c r="X1023" s="8"/>
    </row>
    <row r="1024" spans="1:24" ht="12.75">
      <c r="A1024" s="82"/>
      <c r="B1024" s="8"/>
      <c r="C1024" s="59"/>
      <c r="D1024" s="59"/>
      <c r="E1024" s="8"/>
      <c r="F1024" s="8"/>
      <c r="G1024" s="8"/>
      <c r="H1024" s="8"/>
      <c r="I1024" s="8"/>
      <c r="J1024" s="8"/>
      <c r="K1024" s="8"/>
      <c r="L1024" s="8"/>
      <c r="M1024" s="8"/>
      <c r="N1024" s="8"/>
      <c r="O1024" s="8"/>
      <c r="P1024" s="8"/>
      <c r="Q1024" s="8"/>
      <c r="R1024" s="8"/>
      <c r="S1024" s="8"/>
      <c r="T1024" s="8"/>
      <c r="U1024" s="8"/>
      <c r="V1024" s="8"/>
      <c r="W1024" s="8"/>
      <c r="X1024" s="8"/>
    </row>
    <row r="1025" spans="1:24" ht="12.75">
      <c r="A1025" s="82"/>
      <c r="B1025" s="8"/>
      <c r="C1025" s="59"/>
      <c r="D1025" s="59"/>
      <c r="E1025" s="8"/>
      <c r="F1025" s="8"/>
      <c r="G1025" s="8"/>
      <c r="H1025" s="8"/>
      <c r="I1025" s="8"/>
      <c r="J1025" s="8"/>
      <c r="K1025" s="8"/>
      <c r="L1025" s="8"/>
      <c r="M1025" s="8"/>
      <c r="N1025" s="8"/>
      <c r="O1025" s="8"/>
      <c r="P1025" s="8"/>
      <c r="Q1025" s="8"/>
      <c r="R1025" s="8"/>
      <c r="S1025" s="8"/>
      <c r="T1025" s="8"/>
      <c r="U1025" s="8"/>
      <c r="V1025" s="8"/>
      <c r="W1025" s="8"/>
      <c r="X1025" s="8"/>
    </row>
    <row r="1026" spans="1:24" ht="12.75">
      <c r="A1026" s="82"/>
      <c r="B1026" s="8"/>
      <c r="C1026" s="59"/>
      <c r="D1026" s="59"/>
      <c r="E1026" s="8"/>
      <c r="F1026" s="8"/>
      <c r="G1026" s="8"/>
      <c r="H1026" s="8"/>
      <c r="I1026" s="8"/>
      <c r="J1026" s="8"/>
      <c r="K1026" s="8"/>
      <c r="L1026" s="8"/>
      <c r="M1026" s="8"/>
      <c r="N1026" s="8"/>
      <c r="O1026" s="8"/>
      <c r="P1026" s="8"/>
      <c r="Q1026" s="8"/>
      <c r="R1026" s="8"/>
      <c r="S1026" s="8"/>
      <c r="T1026" s="8"/>
      <c r="U1026" s="8"/>
      <c r="V1026" s="8"/>
      <c r="W1026" s="8"/>
      <c r="X1026" s="8"/>
    </row>
    <row r="1027" spans="1:24" ht="12.75">
      <c r="A1027" s="82"/>
      <c r="B1027" s="8"/>
      <c r="C1027" s="59"/>
      <c r="D1027" s="59"/>
      <c r="E1027" s="8"/>
      <c r="F1027" s="8"/>
      <c r="G1027" s="8"/>
      <c r="H1027" s="8"/>
      <c r="I1027" s="8"/>
      <c r="J1027" s="8"/>
      <c r="K1027" s="8"/>
      <c r="L1027" s="8"/>
      <c r="M1027" s="8"/>
      <c r="N1027" s="8"/>
      <c r="O1027" s="8"/>
      <c r="P1027" s="8"/>
      <c r="Q1027" s="8"/>
      <c r="R1027" s="8"/>
      <c r="S1027" s="8"/>
      <c r="T1027" s="8"/>
      <c r="U1027" s="8"/>
      <c r="V1027" s="8"/>
      <c r="W1027" s="8"/>
      <c r="X1027" s="8"/>
    </row>
    <row r="1028" spans="1:24" ht="12.75">
      <c r="A1028" s="82"/>
      <c r="B1028" s="8"/>
      <c r="C1028" s="59"/>
      <c r="D1028" s="59"/>
      <c r="E1028" s="8"/>
      <c r="F1028" s="8"/>
      <c r="G1028" s="8"/>
      <c r="H1028" s="8"/>
      <c r="I1028" s="8"/>
      <c r="J1028" s="8"/>
      <c r="K1028" s="8"/>
      <c r="L1028" s="8"/>
      <c r="M1028" s="8"/>
      <c r="N1028" s="8"/>
      <c r="O1028" s="8"/>
      <c r="P1028" s="8"/>
      <c r="Q1028" s="8"/>
      <c r="R1028" s="8"/>
      <c r="S1028" s="8"/>
      <c r="T1028" s="8"/>
      <c r="U1028" s="8"/>
      <c r="V1028" s="8"/>
      <c r="W1028" s="8"/>
      <c r="X1028" s="8"/>
    </row>
    <row r="1029" spans="1:24" ht="12.75">
      <c r="A1029" s="82"/>
      <c r="B1029" s="8"/>
      <c r="C1029" s="59"/>
      <c r="D1029" s="59"/>
      <c r="E1029" s="8"/>
      <c r="F1029" s="8"/>
      <c r="G1029" s="8"/>
      <c r="H1029" s="8"/>
      <c r="I1029" s="8"/>
      <c r="J1029" s="8"/>
      <c r="K1029" s="8"/>
      <c r="L1029" s="8"/>
      <c r="M1029" s="8"/>
      <c r="N1029" s="8"/>
      <c r="O1029" s="8"/>
      <c r="P1029" s="8"/>
      <c r="Q1029" s="8"/>
      <c r="R1029" s="8"/>
      <c r="S1029" s="8"/>
      <c r="T1029" s="8"/>
      <c r="U1029" s="8"/>
      <c r="V1029" s="8"/>
      <c r="W1029" s="8"/>
      <c r="X1029" s="8"/>
    </row>
    <row r="1030" spans="1:24" ht="12.75">
      <c r="A1030" s="82"/>
      <c r="B1030" s="8"/>
      <c r="C1030" s="59"/>
      <c r="D1030" s="59"/>
      <c r="E1030" s="8"/>
      <c r="F1030" s="8"/>
      <c r="G1030" s="8"/>
      <c r="H1030" s="8"/>
      <c r="I1030" s="8"/>
      <c r="J1030" s="8"/>
      <c r="K1030" s="8"/>
      <c r="L1030" s="8"/>
      <c r="M1030" s="8"/>
      <c r="N1030" s="8"/>
      <c r="O1030" s="8"/>
      <c r="P1030" s="8"/>
      <c r="Q1030" s="8"/>
      <c r="R1030" s="8"/>
      <c r="S1030" s="8"/>
      <c r="T1030" s="8"/>
      <c r="U1030" s="8"/>
      <c r="V1030" s="8"/>
      <c r="W1030" s="8"/>
      <c r="X1030" s="8"/>
    </row>
    <row r="1031" spans="1:24" ht="12.75">
      <c r="A1031" s="82"/>
      <c r="B1031" s="8"/>
      <c r="C1031" s="59"/>
      <c r="D1031" s="59"/>
      <c r="E1031" s="8"/>
      <c r="F1031" s="8"/>
      <c r="G1031" s="8"/>
      <c r="H1031" s="8"/>
      <c r="I1031" s="8"/>
      <c r="J1031" s="8"/>
      <c r="K1031" s="8"/>
      <c r="L1031" s="8"/>
      <c r="M1031" s="8"/>
      <c r="N1031" s="8"/>
      <c r="O1031" s="8"/>
      <c r="P1031" s="8"/>
      <c r="Q1031" s="8"/>
      <c r="R1031" s="8"/>
      <c r="S1031" s="8"/>
      <c r="T1031" s="8"/>
      <c r="U1031" s="8"/>
      <c r="V1031" s="8"/>
      <c r="W1031" s="8"/>
      <c r="X1031" s="8"/>
    </row>
    <row r="1032" spans="1:24" ht="12.75">
      <c r="A1032" s="82"/>
      <c r="B1032" s="8"/>
      <c r="C1032" s="59"/>
      <c r="D1032" s="59"/>
      <c r="E1032" s="8"/>
      <c r="F1032" s="8"/>
      <c r="G1032" s="8"/>
      <c r="H1032" s="8"/>
      <c r="I1032" s="8"/>
      <c r="J1032" s="8"/>
      <c r="K1032" s="8"/>
      <c r="L1032" s="8"/>
      <c r="M1032" s="8"/>
      <c r="N1032" s="8"/>
      <c r="O1032" s="8"/>
      <c r="P1032" s="8"/>
      <c r="Q1032" s="8"/>
      <c r="R1032" s="8"/>
      <c r="S1032" s="8"/>
      <c r="T1032" s="8"/>
      <c r="U1032" s="8"/>
      <c r="V1032" s="8"/>
      <c r="W1032" s="8"/>
      <c r="X1032" s="8"/>
    </row>
    <row r="1033" spans="1:24" ht="12.75">
      <c r="A1033" s="82"/>
      <c r="B1033" s="8"/>
      <c r="C1033" s="59"/>
      <c r="D1033" s="59"/>
      <c r="E1033" s="8"/>
      <c r="F1033" s="8"/>
      <c r="G1033" s="8"/>
      <c r="H1033" s="8"/>
      <c r="I1033" s="8"/>
      <c r="J1033" s="8"/>
      <c r="K1033" s="8"/>
      <c r="L1033" s="8"/>
      <c r="M1033" s="8"/>
      <c r="N1033" s="8"/>
      <c r="O1033" s="8"/>
      <c r="P1033" s="8"/>
      <c r="Q1033" s="8"/>
      <c r="R1033" s="8"/>
      <c r="S1033" s="8"/>
      <c r="T1033" s="8"/>
      <c r="U1033" s="8"/>
      <c r="V1033" s="8"/>
      <c r="W1033" s="8"/>
      <c r="X1033" s="8"/>
    </row>
    <row r="1034" spans="1:24" ht="12.75">
      <c r="A1034" s="82"/>
      <c r="B1034" s="8"/>
      <c r="C1034" s="59"/>
      <c r="D1034" s="59"/>
      <c r="E1034" s="8"/>
      <c r="F1034" s="8"/>
      <c r="G1034" s="8"/>
      <c r="H1034" s="8"/>
      <c r="I1034" s="8"/>
      <c r="J1034" s="8"/>
      <c r="K1034" s="8"/>
      <c r="L1034" s="8"/>
      <c r="M1034" s="8"/>
      <c r="N1034" s="8"/>
      <c r="O1034" s="8"/>
      <c r="P1034" s="8"/>
      <c r="Q1034" s="8"/>
      <c r="R1034" s="8"/>
      <c r="S1034" s="8"/>
      <c r="T1034" s="8"/>
      <c r="U1034" s="8"/>
      <c r="V1034" s="8"/>
      <c r="W1034" s="8"/>
      <c r="X1034" s="8"/>
    </row>
    <row r="1035" spans="1:24" ht="12.75">
      <c r="A1035" s="82"/>
      <c r="B1035" s="8"/>
      <c r="C1035" s="59"/>
      <c r="D1035" s="59"/>
      <c r="E1035" s="8"/>
      <c r="F1035" s="8"/>
      <c r="G1035" s="8"/>
      <c r="H1035" s="8"/>
      <c r="I1035" s="8"/>
      <c r="J1035" s="8"/>
      <c r="K1035" s="8"/>
      <c r="L1035" s="8"/>
      <c r="M1035" s="8"/>
      <c r="N1035" s="8"/>
      <c r="O1035" s="8"/>
      <c r="P1035" s="8"/>
      <c r="Q1035" s="8"/>
      <c r="R1035" s="8"/>
      <c r="S1035" s="8"/>
      <c r="T1035" s="8"/>
      <c r="U1035" s="8"/>
      <c r="V1035" s="8"/>
      <c r="W1035" s="8"/>
      <c r="X1035" s="8"/>
    </row>
    <row r="1036" spans="1:24" ht="12.75">
      <c r="A1036" s="82"/>
      <c r="B1036" s="8"/>
      <c r="C1036" s="59"/>
      <c r="D1036" s="59"/>
      <c r="E1036" s="8"/>
      <c r="F1036" s="8"/>
      <c r="G1036" s="8"/>
      <c r="H1036" s="8"/>
      <c r="I1036" s="8"/>
      <c r="J1036" s="8"/>
      <c r="K1036" s="8"/>
      <c r="L1036" s="8"/>
      <c r="M1036" s="8"/>
      <c r="N1036" s="8"/>
      <c r="O1036" s="8"/>
      <c r="P1036" s="8"/>
      <c r="Q1036" s="8"/>
      <c r="R1036" s="8"/>
      <c r="S1036" s="8"/>
      <c r="T1036" s="8"/>
      <c r="U1036" s="8"/>
      <c r="V1036" s="8"/>
      <c r="W1036" s="8"/>
      <c r="X1036" s="8"/>
    </row>
    <row r="1037" spans="1:24" ht="12.75">
      <c r="A1037" s="82"/>
      <c r="B1037" s="8"/>
      <c r="C1037" s="59"/>
      <c r="D1037" s="59"/>
      <c r="E1037" s="8"/>
      <c r="F1037" s="8"/>
      <c r="G1037" s="8"/>
      <c r="H1037" s="8"/>
      <c r="I1037" s="8"/>
      <c r="J1037" s="8"/>
      <c r="K1037" s="8"/>
      <c r="L1037" s="8"/>
      <c r="M1037" s="8"/>
      <c r="N1037" s="8"/>
      <c r="O1037" s="8"/>
      <c r="P1037" s="8"/>
      <c r="Q1037" s="8"/>
      <c r="R1037" s="8"/>
      <c r="S1037" s="8"/>
      <c r="T1037" s="8"/>
      <c r="U1037" s="8"/>
      <c r="V1037" s="8"/>
      <c r="W1037" s="8"/>
      <c r="X1037" s="8"/>
    </row>
    <row r="1038" spans="1:24" ht="12.75">
      <c r="A1038" s="82"/>
      <c r="B1038" s="8"/>
      <c r="C1038" s="59"/>
      <c r="D1038" s="59"/>
      <c r="E1038" s="8"/>
      <c r="F1038" s="8"/>
      <c r="G1038" s="8"/>
      <c r="H1038" s="8"/>
      <c r="I1038" s="8"/>
      <c r="J1038" s="8"/>
      <c r="K1038" s="8"/>
      <c r="L1038" s="8"/>
      <c r="M1038" s="8"/>
      <c r="N1038" s="8"/>
      <c r="O1038" s="8"/>
      <c r="P1038" s="8"/>
      <c r="Q1038" s="8"/>
      <c r="R1038" s="8"/>
      <c r="S1038" s="8"/>
      <c r="T1038" s="8"/>
      <c r="U1038" s="8"/>
      <c r="V1038" s="8"/>
      <c r="W1038" s="8"/>
      <c r="X1038" s="8"/>
    </row>
    <row r="1039" spans="1:24" ht="12.75">
      <c r="A1039" s="82"/>
      <c r="B1039" s="8"/>
      <c r="C1039" s="59"/>
      <c r="D1039" s="59"/>
      <c r="E1039" s="8"/>
      <c r="F1039" s="8"/>
      <c r="G1039" s="8"/>
      <c r="H1039" s="8"/>
      <c r="I1039" s="8"/>
      <c r="J1039" s="8"/>
      <c r="K1039" s="8"/>
      <c r="L1039" s="8"/>
      <c r="M1039" s="8"/>
      <c r="N1039" s="8"/>
      <c r="O1039" s="8"/>
      <c r="P1039" s="8"/>
      <c r="Q1039" s="8"/>
      <c r="R1039" s="8"/>
      <c r="S1039" s="8"/>
      <c r="T1039" s="8"/>
      <c r="U1039" s="8"/>
      <c r="V1039" s="8"/>
      <c r="W1039" s="8"/>
      <c r="X1039" s="8"/>
    </row>
    <row r="1040" spans="1:24" ht="12.75">
      <c r="A1040" s="82"/>
      <c r="B1040" s="8"/>
      <c r="C1040" s="59"/>
      <c r="D1040" s="59"/>
      <c r="E1040" s="8"/>
      <c r="F1040" s="8"/>
      <c r="G1040" s="8"/>
      <c r="H1040" s="8"/>
      <c r="I1040" s="8"/>
      <c r="J1040" s="8"/>
      <c r="K1040" s="8"/>
      <c r="L1040" s="8"/>
      <c r="M1040" s="8"/>
      <c r="N1040" s="8"/>
      <c r="O1040" s="8"/>
      <c r="P1040" s="8"/>
      <c r="Q1040" s="8"/>
      <c r="R1040" s="8"/>
      <c r="S1040" s="8"/>
      <c r="T1040" s="8"/>
      <c r="U1040" s="8"/>
      <c r="V1040" s="8"/>
      <c r="W1040" s="8"/>
      <c r="X1040" s="8"/>
    </row>
    <row r="1041" spans="1:24" ht="12.75">
      <c r="A1041" s="82"/>
      <c r="B1041" s="8"/>
      <c r="C1041" s="59"/>
      <c r="D1041" s="59"/>
      <c r="E1041" s="8"/>
      <c r="F1041" s="8"/>
      <c r="G1041" s="8"/>
      <c r="H1041" s="8"/>
      <c r="I1041" s="8"/>
      <c r="J1041" s="8"/>
      <c r="K1041" s="8"/>
      <c r="L1041" s="8"/>
      <c r="M1041" s="8"/>
      <c r="N1041" s="8"/>
      <c r="O1041" s="8"/>
      <c r="P1041" s="8"/>
      <c r="Q1041" s="8"/>
      <c r="R1041" s="8"/>
      <c r="S1041" s="8"/>
      <c r="T1041" s="8"/>
      <c r="U1041" s="8"/>
      <c r="V1041" s="8"/>
      <c r="W1041" s="8"/>
      <c r="X1041" s="8"/>
    </row>
    <row r="1042" spans="1:24" ht="12.75">
      <c r="A1042" s="82"/>
      <c r="B1042" s="8"/>
      <c r="C1042" s="59"/>
      <c r="D1042" s="59"/>
      <c r="E1042" s="8"/>
      <c r="F1042" s="8"/>
      <c r="G1042" s="8"/>
      <c r="H1042" s="8"/>
      <c r="I1042" s="8"/>
      <c r="J1042" s="8"/>
      <c r="K1042" s="8"/>
      <c r="L1042" s="8"/>
      <c r="M1042" s="8"/>
      <c r="N1042" s="8"/>
      <c r="O1042" s="8"/>
      <c r="P1042" s="8"/>
      <c r="Q1042" s="8"/>
      <c r="R1042" s="8"/>
      <c r="S1042" s="8"/>
      <c r="T1042" s="8"/>
      <c r="U1042" s="8"/>
      <c r="V1042" s="8"/>
      <c r="W1042" s="8"/>
      <c r="X1042" s="8"/>
    </row>
    <row r="1043" spans="1:24" ht="12.75">
      <c r="A1043" s="82"/>
      <c r="B1043" s="8"/>
      <c r="C1043" s="59"/>
      <c r="D1043" s="59"/>
      <c r="E1043" s="8"/>
      <c r="F1043" s="8"/>
      <c r="G1043" s="8"/>
      <c r="H1043" s="8"/>
      <c r="I1043" s="8"/>
      <c r="J1043" s="8"/>
      <c r="K1043" s="8"/>
      <c r="L1043" s="8"/>
      <c r="M1043" s="8"/>
      <c r="N1043" s="8"/>
      <c r="O1043" s="8"/>
      <c r="P1043" s="8"/>
      <c r="Q1043" s="8"/>
      <c r="R1043" s="8"/>
      <c r="S1043" s="8"/>
      <c r="T1043" s="8"/>
      <c r="U1043" s="8"/>
      <c r="V1043" s="8"/>
      <c r="W1043" s="8"/>
      <c r="X1043" s="8"/>
    </row>
    <row r="1044" spans="1:24" ht="12.75">
      <c r="A1044" s="82"/>
      <c r="B1044" s="8"/>
      <c r="C1044" s="59"/>
      <c r="D1044" s="59"/>
      <c r="E1044" s="8"/>
      <c r="F1044" s="8"/>
      <c r="G1044" s="8"/>
      <c r="H1044" s="8"/>
      <c r="I1044" s="8"/>
      <c r="J1044" s="8"/>
      <c r="K1044" s="8"/>
      <c r="L1044" s="8"/>
      <c r="M1044" s="8"/>
      <c r="N1044" s="8"/>
      <c r="O1044" s="8"/>
      <c r="P1044" s="8"/>
      <c r="Q1044" s="8"/>
      <c r="R1044" s="8"/>
      <c r="S1044" s="8"/>
      <c r="T1044" s="8"/>
      <c r="U1044" s="8"/>
      <c r="V1044" s="8"/>
      <c r="W1044" s="8"/>
      <c r="X1044" s="8"/>
    </row>
    <row r="1045" spans="1:24" ht="12.75">
      <c r="A1045" s="82"/>
      <c r="B1045" s="8"/>
      <c r="C1045" s="59"/>
      <c r="D1045" s="59"/>
      <c r="E1045" s="8"/>
      <c r="F1045" s="8"/>
      <c r="G1045" s="8"/>
      <c r="H1045" s="8"/>
      <c r="I1045" s="8"/>
      <c r="J1045" s="8"/>
      <c r="K1045" s="8"/>
      <c r="L1045" s="8"/>
      <c r="M1045" s="8"/>
      <c r="N1045" s="8"/>
      <c r="O1045" s="8"/>
      <c r="P1045" s="8"/>
      <c r="Q1045" s="8"/>
      <c r="R1045" s="8"/>
      <c r="S1045" s="8"/>
      <c r="T1045" s="8"/>
      <c r="U1045" s="8"/>
      <c r="V1045" s="8"/>
      <c r="W1045" s="8"/>
      <c r="X1045" s="8"/>
    </row>
    <row r="1046" spans="1:24" ht="12.75">
      <c r="A1046" s="82"/>
      <c r="B1046" s="8"/>
      <c r="C1046" s="59"/>
      <c r="D1046" s="59"/>
      <c r="E1046" s="8"/>
      <c r="F1046" s="8"/>
      <c r="G1046" s="8"/>
      <c r="H1046" s="8"/>
      <c r="I1046" s="8"/>
      <c r="J1046" s="8"/>
      <c r="K1046" s="8"/>
      <c r="L1046" s="8"/>
      <c r="M1046" s="8"/>
      <c r="N1046" s="8"/>
      <c r="O1046" s="8"/>
      <c r="P1046" s="8"/>
      <c r="Q1046" s="8"/>
      <c r="R1046" s="8"/>
      <c r="S1046" s="8"/>
      <c r="T1046" s="8"/>
      <c r="U1046" s="8"/>
      <c r="V1046" s="8"/>
      <c r="W1046" s="8"/>
      <c r="X1046" s="8"/>
    </row>
    <row r="1047" spans="1:24" ht="12.75">
      <c r="A1047" s="82"/>
      <c r="B1047" s="8"/>
      <c r="C1047" s="59"/>
      <c r="D1047" s="59"/>
      <c r="E1047" s="8"/>
      <c r="F1047" s="8"/>
      <c r="G1047" s="8"/>
      <c r="H1047" s="8"/>
      <c r="I1047" s="8"/>
      <c r="J1047" s="8"/>
      <c r="K1047" s="8"/>
      <c r="L1047" s="8"/>
      <c r="M1047" s="8"/>
      <c r="N1047" s="8"/>
      <c r="O1047" s="8"/>
      <c r="P1047" s="8"/>
      <c r="Q1047" s="8"/>
      <c r="R1047" s="8"/>
      <c r="S1047" s="8"/>
      <c r="T1047" s="8"/>
      <c r="U1047" s="8"/>
      <c r="V1047" s="8"/>
      <c r="W1047" s="8"/>
      <c r="X1047" s="8"/>
    </row>
    <row r="1048" spans="1:24" ht="12.75">
      <c r="A1048" s="82"/>
      <c r="B1048" s="8"/>
      <c r="C1048" s="59"/>
      <c r="D1048" s="59"/>
      <c r="E1048" s="8"/>
      <c r="F1048" s="8"/>
      <c r="G1048" s="8"/>
      <c r="H1048" s="8"/>
      <c r="I1048" s="8"/>
      <c r="J1048" s="8"/>
      <c r="K1048" s="8"/>
      <c r="L1048" s="8"/>
      <c r="M1048" s="8"/>
      <c r="N1048" s="8"/>
      <c r="O1048" s="8"/>
      <c r="P1048" s="8"/>
      <c r="Q1048" s="8"/>
      <c r="R1048" s="8"/>
      <c r="S1048" s="8"/>
      <c r="T1048" s="8"/>
      <c r="U1048" s="8"/>
      <c r="V1048" s="8"/>
      <c r="W1048" s="8"/>
      <c r="X1048" s="8"/>
    </row>
    <row r="1049" spans="1:24" ht="12.75">
      <c r="A1049" s="82"/>
      <c r="B1049" s="8"/>
      <c r="C1049" s="59"/>
      <c r="D1049" s="59"/>
      <c r="E1049" s="8"/>
      <c r="F1049" s="8"/>
      <c r="G1049" s="8"/>
      <c r="H1049" s="8"/>
      <c r="I1049" s="8"/>
      <c r="J1049" s="8"/>
      <c r="K1049" s="8"/>
      <c r="L1049" s="8"/>
      <c r="M1049" s="8"/>
      <c r="N1049" s="8"/>
      <c r="O1049" s="8"/>
      <c r="P1049" s="8"/>
      <c r="Q1049" s="8"/>
      <c r="R1049" s="8"/>
      <c r="S1049" s="8"/>
      <c r="T1049" s="8"/>
      <c r="U1049" s="8"/>
      <c r="V1049" s="8"/>
      <c r="W1049" s="8"/>
      <c r="X1049" s="8"/>
    </row>
    <row r="1050" spans="1:24" ht="12.75">
      <c r="A1050" s="82"/>
      <c r="B1050" s="8"/>
      <c r="C1050" s="59"/>
      <c r="D1050" s="59"/>
      <c r="E1050" s="8"/>
      <c r="F1050" s="8"/>
      <c r="G1050" s="8"/>
      <c r="H1050" s="8"/>
      <c r="I1050" s="8"/>
      <c r="J1050" s="8"/>
      <c r="K1050" s="8"/>
      <c r="L1050" s="8"/>
      <c r="M1050" s="8"/>
      <c r="N1050" s="8"/>
      <c r="O1050" s="8"/>
      <c r="P1050" s="8"/>
      <c r="Q1050" s="8"/>
      <c r="R1050" s="8"/>
      <c r="S1050" s="8"/>
      <c r="T1050" s="8"/>
      <c r="U1050" s="8"/>
      <c r="V1050" s="8"/>
      <c r="W1050" s="8"/>
      <c r="X1050" s="8"/>
    </row>
    <row r="1051" spans="1:24" ht="12.75">
      <c r="A1051" s="82"/>
      <c r="B1051" s="8"/>
      <c r="C1051" s="59"/>
      <c r="D1051" s="59"/>
      <c r="E1051" s="8"/>
      <c r="F1051" s="8"/>
      <c r="G1051" s="8"/>
      <c r="H1051" s="8"/>
      <c r="I1051" s="8"/>
      <c r="J1051" s="8"/>
      <c r="K1051" s="8"/>
      <c r="L1051" s="8"/>
      <c r="M1051" s="8"/>
      <c r="N1051" s="8"/>
      <c r="O1051" s="8"/>
      <c r="P1051" s="8"/>
      <c r="Q1051" s="8"/>
      <c r="R1051" s="8"/>
      <c r="S1051" s="8"/>
      <c r="T1051" s="8"/>
      <c r="U1051" s="8"/>
      <c r="V1051" s="8"/>
      <c r="W1051" s="8"/>
      <c r="X1051" s="8"/>
    </row>
    <row r="1052" spans="1:24" ht="12.75">
      <c r="A1052" s="82"/>
      <c r="B1052" s="8"/>
      <c r="C1052" s="59"/>
      <c r="D1052" s="59"/>
      <c r="E1052" s="8"/>
      <c r="F1052" s="8"/>
      <c r="G1052" s="8"/>
      <c r="H1052" s="8"/>
      <c r="I1052" s="8"/>
      <c r="J1052" s="8"/>
      <c r="K1052" s="8"/>
      <c r="L1052" s="8"/>
      <c r="M1052" s="8"/>
      <c r="N1052" s="8"/>
      <c r="O1052" s="8"/>
      <c r="P1052" s="8"/>
      <c r="Q1052" s="8"/>
      <c r="R1052" s="8"/>
      <c r="S1052" s="8"/>
      <c r="T1052" s="8"/>
      <c r="U1052" s="8"/>
      <c r="V1052" s="8"/>
      <c r="W1052" s="8"/>
      <c r="X1052" s="8"/>
    </row>
    <row r="1053" spans="1:24" ht="12.75">
      <c r="A1053" s="82"/>
      <c r="B1053" s="8"/>
      <c r="C1053" s="59"/>
      <c r="D1053" s="59"/>
      <c r="E1053" s="8"/>
      <c r="F1053" s="8"/>
      <c r="G1053" s="8"/>
      <c r="H1053" s="8"/>
      <c r="I1053" s="8"/>
      <c r="J1053" s="8"/>
      <c r="K1053" s="8"/>
      <c r="L1053" s="8"/>
      <c r="M1053" s="8"/>
      <c r="N1053" s="8"/>
      <c r="O1053" s="8"/>
      <c r="P1053" s="8"/>
      <c r="Q1053" s="8"/>
      <c r="R1053" s="8"/>
      <c r="S1053" s="8"/>
      <c r="T1053" s="8"/>
      <c r="U1053" s="8"/>
      <c r="V1053" s="8"/>
      <c r="W1053" s="8"/>
      <c r="X1053" s="8"/>
    </row>
    <row r="1054" spans="1:24" ht="12.75">
      <c r="A1054" s="82"/>
      <c r="B1054" s="8"/>
      <c r="C1054" s="59"/>
      <c r="D1054" s="59"/>
      <c r="E1054" s="8"/>
      <c r="F1054" s="8"/>
      <c r="G1054" s="8"/>
      <c r="H1054" s="8"/>
      <c r="I1054" s="8"/>
      <c r="J1054" s="8"/>
      <c r="K1054" s="8"/>
      <c r="L1054" s="8"/>
      <c r="M1054" s="8"/>
      <c r="N1054" s="8"/>
      <c r="O1054" s="8"/>
      <c r="P1054" s="8"/>
      <c r="Q1054" s="8"/>
      <c r="R1054" s="8"/>
      <c r="S1054" s="8"/>
      <c r="T1054" s="8"/>
      <c r="U1054" s="8"/>
      <c r="V1054" s="8"/>
      <c r="W1054" s="8"/>
      <c r="X1054" s="8"/>
    </row>
    <row r="1055" spans="1:24" ht="12.75">
      <c r="A1055" s="82"/>
      <c r="B1055" s="8"/>
      <c r="C1055" s="59"/>
      <c r="D1055" s="59"/>
      <c r="E1055" s="8"/>
      <c r="F1055" s="8"/>
      <c r="G1055" s="8"/>
      <c r="H1055" s="8"/>
      <c r="I1055" s="8"/>
      <c r="J1055" s="8"/>
      <c r="K1055" s="8"/>
      <c r="L1055" s="8"/>
      <c r="M1055" s="8"/>
      <c r="N1055" s="8"/>
      <c r="O1055" s="8"/>
      <c r="P1055" s="8"/>
      <c r="Q1055" s="8"/>
      <c r="R1055" s="8"/>
      <c r="S1055" s="8"/>
      <c r="T1055" s="8"/>
      <c r="U1055" s="8"/>
      <c r="V1055" s="8"/>
      <c r="W1055" s="8"/>
      <c r="X1055" s="8"/>
    </row>
    <row r="1056" spans="1:24" ht="12.75">
      <c r="A1056" s="82"/>
      <c r="B1056" s="8"/>
      <c r="C1056" s="59"/>
      <c r="D1056" s="59"/>
      <c r="E1056" s="8"/>
      <c r="F1056" s="8"/>
      <c r="G1056" s="8"/>
      <c r="H1056" s="8"/>
      <c r="I1056" s="8"/>
      <c r="J1056" s="8"/>
      <c r="K1056" s="8"/>
      <c r="L1056" s="8"/>
      <c r="M1056" s="8"/>
      <c r="N1056" s="8"/>
      <c r="O1056" s="8"/>
      <c r="P1056" s="8"/>
      <c r="Q1056" s="8"/>
      <c r="R1056" s="8"/>
      <c r="S1056" s="8"/>
      <c r="T1056" s="8"/>
      <c r="U1056" s="8"/>
      <c r="V1056" s="8"/>
      <c r="W1056" s="8"/>
      <c r="X1056" s="8"/>
    </row>
    <row r="1057" spans="1:24" ht="12.75">
      <c r="A1057" s="82"/>
      <c r="B1057" s="8"/>
      <c r="C1057" s="59"/>
      <c r="D1057" s="59"/>
      <c r="E1057" s="8"/>
      <c r="F1057" s="8"/>
      <c r="G1057" s="8"/>
      <c r="H1057" s="8"/>
      <c r="I1057" s="8"/>
      <c r="J1057" s="8"/>
      <c r="K1057" s="8"/>
      <c r="L1057" s="8"/>
      <c r="M1057" s="8"/>
      <c r="N1057" s="8"/>
      <c r="O1057" s="8"/>
      <c r="P1057" s="8"/>
      <c r="Q1057" s="8"/>
      <c r="R1057" s="8"/>
      <c r="S1057" s="8"/>
      <c r="T1057" s="8"/>
      <c r="U1057" s="8"/>
      <c r="V1057" s="8"/>
      <c r="W1057" s="8"/>
      <c r="X1057" s="8"/>
    </row>
    <row r="1058" spans="1:24" ht="12.75">
      <c r="A1058" s="82"/>
      <c r="B1058" s="8"/>
      <c r="C1058" s="59"/>
      <c r="D1058" s="59"/>
      <c r="E1058" s="8"/>
      <c r="F1058" s="8"/>
      <c r="G1058" s="8"/>
      <c r="H1058" s="8"/>
      <c r="I1058" s="8"/>
      <c r="J1058" s="8"/>
      <c r="K1058" s="8"/>
      <c r="L1058" s="8"/>
      <c r="M1058" s="8"/>
      <c r="N1058" s="8"/>
      <c r="O1058" s="8"/>
      <c r="P1058" s="8"/>
      <c r="Q1058" s="8"/>
      <c r="R1058" s="8"/>
      <c r="S1058" s="8"/>
      <c r="T1058" s="8"/>
      <c r="U1058" s="8"/>
      <c r="V1058" s="8"/>
      <c r="W1058" s="8"/>
      <c r="X1058" s="8"/>
    </row>
    <row r="1059" spans="1:24" ht="12.75">
      <c r="A1059" s="82"/>
      <c r="B1059" s="8"/>
      <c r="C1059" s="59"/>
      <c r="D1059" s="59"/>
      <c r="E1059" s="8"/>
      <c r="F1059" s="8"/>
      <c r="G1059" s="8"/>
      <c r="H1059" s="8"/>
      <c r="I1059" s="8"/>
      <c r="J1059" s="8"/>
      <c r="K1059" s="8"/>
      <c r="L1059" s="8"/>
      <c r="M1059" s="8"/>
      <c r="N1059" s="8"/>
      <c r="O1059" s="8"/>
      <c r="P1059" s="8"/>
      <c r="Q1059" s="8"/>
      <c r="R1059" s="8"/>
      <c r="S1059" s="8"/>
      <c r="T1059" s="8"/>
      <c r="U1059" s="8"/>
      <c r="V1059" s="8"/>
      <c r="W1059" s="8"/>
      <c r="X1059" s="8"/>
    </row>
  </sheetData>
  <mergeCells count="23">
    <mergeCell ref="H13:W13"/>
    <mergeCell ref="E1:O6"/>
    <mergeCell ref="A7:W7"/>
    <mergeCell ref="A9:B9"/>
    <mergeCell ref="A10:B10"/>
    <mergeCell ref="A11:B11"/>
    <mergeCell ref="O136:P136"/>
    <mergeCell ref="F139:L139"/>
    <mergeCell ref="O139:V139"/>
    <mergeCell ref="F140:K140"/>
    <mergeCell ref="O140:T140"/>
    <mergeCell ref="A139:B139"/>
    <mergeCell ref="A140:B140"/>
    <mergeCell ref="F13:F14"/>
    <mergeCell ref="G13:G14"/>
    <mergeCell ref="F136:G136"/>
    <mergeCell ref="B13:B14"/>
    <mergeCell ref="C13:C14"/>
    <mergeCell ref="D13:D14"/>
    <mergeCell ref="E13:E14"/>
    <mergeCell ref="A15:B15"/>
    <mergeCell ref="A31:B31"/>
    <mergeCell ref="A136:B136"/>
  </mergeCells>
  <printOptions horizontalCentered="1" gridLines="1"/>
  <pageMargins left="0.7" right="0.7" top="0.75" bottom="0.75" header="0" footer="0"/>
  <pageSetup paperSize="14" fitToHeight="0" pageOrder="overThenDown" orientation="landscape" cellComments="atEnd"/>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outlinePr summaryBelow="0" summaryRight="0"/>
    <pageSetUpPr fitToPage="1"/>
  </sheetPr>
  <dimension ref="A1:X1161"/>
  <sheetViews>
    <sheetView tabSelected="1" view="pageBreakPreview" topLeftCell="A40" zoomScale="115" zoomScaleNormal="100" zoomScaleSheetLayoutView="115" workbookViewId="0">
      <selection activeCell="D47" sqref="D47"/>
    </sheetView>
  </sheetViews>
  <sheetFormatPr defaultColWidth="12.5703125" defaultRowHeight="15.75" customHeight="1"/>
  <cols>
    <col min="1" max="1" width="4.85546875" customWidth="1"/>
    <col min="2" max="2" width="41.85546875" customWidth="1"/>
    <col min="3" max="3" width="8.5703125" customWidth="1"/>
    <col min="4" max="4" width="5.85546875" customWidth="1"/>
    <col min="5" max="5" width="13.140625" bestFit="1" customWidth="1"/>
    <col min="6" max="6" width="12.42578125" customWidth="1"/>
    <col min="7" max="7" width="16" customWidth="1"/>
    <col min="8" max="24" width="5.140625" customWidth="1"/>
  </cols>
  <sheetData>
    <row r="1" spans="1:24" ht="15">
      <c r="A1" s="87"/>
      <c r="B1" s="88"/>
      <c r="C1" s="89"/>
      <c r="D1" s="89"/>
      <c r="E1" s="1471"/>
      <c r="F1" s="1451"/>
      <c r="G1" s="1451"/>
      <c r="H1" s="1451"/>
      <c r="I1" s="1451"/>
      <c r="J1" s="1451"/>
      <c r="K1" s="1451"/>
      <c r="L1" s="1451"/>
      <c r="M1" s="1451"/>
      <c r="N1" s="1451"/>
      <c r="O1" s="1451"/>
      <c r="P1" s="91"/>
      <c r="Q1" s="91"/>
      <c r="R1" s="91"/>
      <c r="S1" s="91"/>
      <c r="T1" s="91"/>
      <c r="U1" s="91"/>
      <c r="V1" s="91"/>
      <c r="W1" s="91"/>
      <c r="X1" s="91"/>
    </row>
    <row r="2" spans="1:24" ht="15">
      <c r="A2" s="87"/>
      <c r="B2" s="88"/>
      <c r="C2" s="89"/>
      <c r="D2" s="89"/>
      <c r="E2" s="1451"/>
      <c r="F2" s="1451"/>
      <c r="G2" s="1451"/>
      <c r="H2" s="1451"/>
      <c r="I2" s="1451"/>
      <c r="J2" s="1451"/>
      <c r="K2" s="1451"/>
      <c r="L2" s="1451"/>
      <c r="M2" s="1451"/>
      <c r="N2" s="1451"/>
      <c r="O2" s="1451"/>
      <c r="P2" s="91"/>
      <c r="Q2" s="91"/>
      <c r="R2" s="91"/>
      <c r="S2" s="91"/>
      <c r="T2" s="91"/>
      <c r="U2" s="91"/>
      <c r="V2" s="91"/>
      <c r="W2" s="91"/>
      <c r="X2" s="91"/>
    </row>
    <row r="3" spans="1:24" ht="15">
      <c r="A3" s="87"/>
      <c r="B3" s="88"/>
      <c r="C3" s="89"/>
      <c r="D3" s="89"/>
      <c r="E3" s="1451"/>
      <c r="F3" s="1451"/>
      <c r="G3" s="1451"/>
      <c r="H3" s="1451"/>
      <c r="I3" s="1451"/>
      <c r="J3" s="1451"/>
      <c r="K3" s="1451"/>
      <c r="L3" s="1451"/>
      <c r="M3" s="1451"/>
      <c r="N3" s="1451"/>
      <c r="O3" s="1451"/>
      <c r="P3" s="91"/>
      <c r="Q3" s="91"/>
      <c r="R3" s="91"/>
      <c r="S3" s="91"/>
      <c r="T3" s="91"/>
      <c r="U3" s="91"/>
      <c r="V3" s="91"/>
      <c r="W3" s="91"/>
      <c r="X3" s="91"/>
    </row>
    <row r="4" spans="1:24" ht="15">
      <c r="A4" s="87"/>
      <c r="B4" s="88"/>
      <c r="C4" s="89"/>
      <c r="D4" s="89"/>
      <c r="E4" s="1451"/>
      <c r="F4" s="1451"/>
      <c r="G4" s="1451"/>
      <c r="H4" s="1451"/>
      <c r="I4" s="1451"/>
      <c r="J4" s="1451"/>
      <c r="K4" s="1451"/>
      <c r="L4" s="1451"/>
      <c r="M4" s="1451"/>
      <c r="N4" s="1451"/>
      <c r="O4" s="1451"/>
      <c r="P4" s="91"/>
      <c r="Q4" s="91"/>
      <c r="R4" s="91"/>
      <c r="S4" s="91"/>
      <c r="T4" s="91"/>
      <c r="U4" s="91"/>
      <c r="V4" s="91"/>
      <c r="W4" s="91"/>
      <c r="X4" s="91"/>
    </row>
    <row r="5" spans="1:24" ht="15">
      <c r="A5" s="87"/>
      <c r="B5" s="88"/>
      <c r="C5" s="89"/>
      <c r="D5" s="89"/>
      <c r="E5" s="1451"/>
      <c r="F5" s="1451"/>
      <c r="G5" s="1451"/>
      <c r="H5" s="1451"/>
      <c r="I5" s="1451"/>
      <c r="J5" s="1451"/>
      <c r="K5" s="1451"/>
      <c r="L5" s="1451"/>
      <c r="M5" s="1451"/>
      <c r="N5" s="1451"/>
      <c r="O5" s="1451"/>
      <c r="P5" s="91"/>
      <c r="Q5" s="91"/>
      <c r="R5" s="91"/>
      <c r="S5" s="91"/>
      <c r="T5" s="91"/>
      <c r="U5" s="91"/>
      <c r="V5" s="91"/>
      <c r="W5" s="91"/>
      <c r="X5" s="91"/>
    </row>
    <row r="6" spans="1:24" ht="15">
      <c r="A6" s="87"/>
      <c r="B6" s="88"/>
      <c r="C6" s="89"/>
      <c r="D6" s="89"/>
      <c r="E6" s="1451"/>
      <c r="F6" s="1451"/>
      <c r="G6" s="1451"/>
      <c r="H6" s="1451"/>
      <c r="I6" s="1451"/>
      <c r="J6" s="1451"/>
      <c r="K6" s="1451"/>
      <c r="L6" s="1451"/>
      <c r="M6" s="1451"/>
      <c r="N6" s="1451"/>
      <c r="O6" s="1451"/>
      <c r="P6" s="91"/>
      <c r="Q6" s="91"/>
      <c r="R6" s="91"/>
      <c r="S6" s="91"/>
      <c r="T6" s="91"/>
      <c r="U6" s="91"/>
      <c r="V6" s="91"/>
      <c r="W6" s="91"/>
      <c r="X6" s="91"/>
    </row>
    <row r="7" spans="1:24" ht="21">
      <c r="A7" s="1472" t="s">
        <v>317</v>
      </c>
      <c r="B7" s="1473"/>
      <c r="C7" s="1473"/>
      <c r="D7" s="1473"/>
      <c r="E7" s="1473"/>
      <c r="F7" s="1473"/>
      <c r="G7" s="1473"/>
      <c r="H7" s="1473"/>
      <c r="I7" s="1473"/>
      <c r="J7" s="1473"/>
      <c r="K7" s="1473"/>
      <c r="L7" s="1473"/>
      <c r="M7" s="1473"/>
      <c r="N7" s="1473"/>
      <c r="O7" s="1473"/>
      <c r="P7" s="1473"/>
      <c r="Q7" s="1473"/>
      <c r="R7" s="1473"/>
      <c r="S7" s="1473"/>
      <c r="T7" s="1473"/>
      <c r="U7" s="1473"/>
      <c r="V7" s="1473"/>
      <c r="W7" s="1473"/>
      <c r="X7" s="87"/>
    </row>
    <row r="8" spans="1:24" ht="10.5" customHeight="1">
      <c r="A8" s="1475"/>
      <c r="B8" s="1475"/>
      <c r="C8" s="1475"/>
      <c r="D8" s="1475"/>
      <c r="E8" s="1475"/>
      <c r="F8" s="1475"/>
      <c r="G8" s="1475"/>
      <c r="H8" s="1475"/>
      <c r="I8" s="1475"/>
      <c r="J8" s="1475"/>
      <c r="K8" s="1475"/>
      <c r="L8" s="1475"/>
      <c r="M8" s="1475"/>
      <c r="N8" s="1475"/>
      <c r="O8" s="1475"/>
      <c r="P8" s="1475"/>
      <c r="Q8" s="1475"/>
      <c r="R8" s="1475"/>
      <c r="S8" s="1475"/>
      <c r="T8" s="1475"/>
      <c r="U8" s="1475"/>
      <c r="V8" s="1475"/>
      <c r="W8" s="1475"/>
      <c r="X8" s="91"/>
    </row>
    <row r="9" spans="1:24" ht="15">
      <c r="A9" s="1474" t="s">
        <v>4761</v>
      </c>
      <c r="B9" s="1451"/>
      <c r="C9" s="89"/>
      <c r="D9" s="89"/>
      <c r="E9" s="91"/>
      <c r="F9" s="92"/>
      <c r="G9" s="91"/>
      <c r="H9" s="91"/>
      <c r="I9" s="91"/>
      <c r="J9" s="91"/>
      <c r="K9" s="91"/>
      <c r="L9" s="91"/>
      <c r="M9" s="91"/>
      <c r="N9" s="91"/>
      <c r="O9" s="91"/>
      <c r="P9" s="91"/>
      <c r="Q9" s="91"/>
      <c r="R9" s="91"/>
      <c r="S9" s="91"/>
      <c r="T9" s="91"/>
      <c r="U9" s="91"/>
      <c r="V9" s="91"/>
      <c r="W9" s="91"/>
      <c r="X9" s="91"/>
    </row>
    <row r="10" spans="1:24" ht="15">
      <c r="A10" s="1456" t="s">
        <v>318</v>
      </c>
      <c r="B10" s="1451"/>
      <c r="C10" s="89"/>
      <c r="D10" s="89"/>
      <c r="E10" s="91"/>
      <c r="F10" s="92"/>
      <c r="G10" s="91"/>
      <c r="H10" s="91"/>
      <c r="I10" s="91"/>
      <c r="J10" s="91"/>
      <c r="K10" s="91"/>
      <c r="L10" s="91"/>
      <c r="M10" s="91"/>
      <c r="N10" s="91"/>
      <c r="O10" s="91"/>
      <c r="P10" s="91"/>
      <c r="Q10" s="91"/>
      <c r="R10" s="91"/>
      <c r="S10" s="91"/>
      <c r="T10" s="91"/>
      <c r="U10" s="91"/>
      <c r="V10" s="91"/>
      <c r="W10" s="91"/>
      <c r="X10" s="91"/>
    </row>
    <row r="11" spans="1:24" ht="15">
      <c r="A11" s="1456" t="s">
        <v>319</v>
      </c>
      <c r="B11" s="1451"/>
      <c r="C11" s="89"/>
      <c r="D11" s="89"/>
      <c r="E11" s="91"/>
      <c r="F11" s="92"/>
      <c r="G11" s="91"/>
      <c r="H11" s="91"/>
      <c r="I11" s="91"/>
      <c r="J11" s="91"/>
      <c r="K11" s="91"/>
      <c r="L11" s="91"/>
      <c r="M11" s="91"/>
      <c r="N11" s="91"/>
      <c r="O11" s="91"/>
      <c r="P11" s="91"/>
      <c r="Q11" s="91"/>
      <c r="R11" s="91"/>
      <c r="S11" s="91"/>
      <c r="T11" s="91"/>
      <c r="U11" s="91"/>
      <c r="V11" s="91"/>
      <c r="W11" s="91"/>
      <c r="X11" s="91"/>
    </row>
    <row r="12" spans="1:24" ht="15">
      <c r="A12" s="87"/>
      <c r="B12" s="88"/>
      <c r="C12" s="89"/>
      <c r="D12" s="89"/>
      <c r="E12" s="91"/>
      <c r="F12" s="92"/>
      <c r="G12" s="91"/>
      <c r="H12" s="91"/>
      <c r="I12" s="91"/>
      <c r="J12" s="91"/>
      <c r="K12" s="91"/>
      <c r="L12" s="91"/>
      <c r="M12" s="91"/>
      <c r="N12" s="91"/>
      <c r="O12" s="91"/>
      <c r="P12" s="91"/>
      <c r="Q12" s="91"/>
      <c r="R12" s="91"/>
      <c r="S12" s="91"/>
      <c r="T12" s="91"/>
      <c r="U12" s="91"/>
      <c r="V12" s="91"/>
      <c r="W12" s="91"/>
      <c r="X12" s="91"/>
    </row>
    <row r="13" spans="1:24" ht="45">
      <c r="A13" s="93" t="s">
        <v>320</v>
      </c>
      <c r="B13" s="1468" t="s">
        <v>321</v>
      </c>
      <c r="C13" s="1457" t="s">
        <v>85</v>
      </c>
      <c r="D13" s="1457" t="s">
        <v>92</v>
      </c>
      <c r="E13" s="1457" t="s">
        <v>93</v>
      </c>
      <c r="F13" s="1467" t="s">
        <v>322</v>
      </c>
      <c r="G13" s="1457" t="s">
        <v>323</v>
      </c>
      <c r="H13" s="1462" t="s">
        <v>324</v>
      </c>
      <c r="I13" s="1442"/>
      <c r="J13" s="1442"/>
      <c r="K13" s="1442"/>
      <c r="L13" s="1442"/>
      <c r="M13" s="1442"/>
      <c r="N13" s="1442"/>
      <c r="O13" s="1442"/>
      <c r="P13" s="1442"/>
      <c r="Q13" s="1442"/>
      <c r="R13" s="1442"/>
      <c r="S13" s="1442"/>
      <c r="T13" s="1442"/>
      <c r="U13" s="1442"/>
      <c r="V13" s="1442"/>
      <c r="W13" s="1442"/>
      <c r="X13" s="1418"/>
    </row>
    <row r="14" spans="1:24" ht="15">
      <c r="A14" s="95"/>
      <c r="B14" s="1448"/>
      <c r="C14" s="1448"/>
      <c r="D14" s="1448"/>
      <c r="E14" s="1448"/>
      <c r="F14" s="1448"/>
      <c r="G14" s="1448"/>
      <c r="H14" s="96" t="s">
        <v>325</v>
      </c>
      <c r="I14" s="96" t="s">
        <v>326</v>
      </c>
      <c r="J14" s="96" t="s">
        <v>327</v>
      </c>
      <c r="K14" s="96" t="s">
        <v>328</v>
      </c>
      <c r="L14" s="96" t="s">
        <v>329</v>
      </c>
      <c r="M14" s="96" t="s">
        <v>330</v>
      </c>
      <c r="N14" s="96" t="s">
        <v>331</v>
      </c>
      <c r="O14" s="96" t="s">
        <v>332</v>
      </c>
      <c r="P14" s="96" t="s">
        <v>333</v>
      </c>
      <c r="Q14" s="96" t="s">
        <v>334</v>
      </c>
      <c r="R14" s="96" t="s">
        <v>335</v>
      </c>
      <c r="S14" s="96" t="s">
        <v>336</v>
      </c>
      <c r="T14" s="96" t="s">
        <v>337</v>
      </c>
      <c r="U14" s="96" t="s">
        <v>338</v>
      </c>
      <c r="V14" s="96" t="s">
        <v>339</v>
      </c>
      <c r="W14" s="1413" t="s">
        <v>340</v>
      </c>
      <c r="X14" s="1418"/>
    </row>
    <row r="15" spans="1:24" ht="15">
      <c r="A15" s="1460" t="s">
        <v>341</v>
      </c>
      <c r="B15" s="1443"/>
      <c r="C15" s="97"/>
      <c r="D15" s="97"/>
      <c r="E15" s="98"/>
      <c r="F15" s="99"/>
      <c r="G15" s="98"/>
      <c r="H15" s="98"/>
      <c r="I15" s="98"/>
      <c r="J15" s="98"/>
      <c r="K15" s="98"/>
      <c r="L15" s="98"/>
      <c r="M15" s="98"/>
      <c r="N15" s="98"/>
      <c r="O15" s="98"/>
      <c r="P15" s="98"/>
      <c r="Q15" s="98"/>
      <c r="R15" s="98"/>
      <c r="S15" s="98"/>
      <c r="T15" s="98"/>
      <c r="U15" s="98"/>
      <c r="V15" s="98"/>
      <c r="W15" s="1414"/>
      <c r="X15" s="1419"/>
    </row>
    <row r="16" spans="1:24" ht="15.75" customHeight="1">
      <c r="W16" s="1415"/>
      <c r="X16" s="1420"/>
    </row>
    <row r="17" spans="1:24" ht="15">
      <c r="A17" s="1372"/>
      <c r="B17" s="1426"/>
      <c r="C17" s="1372"/>
      <c r="D17" s="1372"/>
      <c r="E17" s="1374"/>
      <c r="F17" s="1374"/>
      <c r="G17" s="1372"/>
      <c r="H17" s="1372"/>
      <c r="I17" s="1372"/>
      <c r="J17" s="1375"/>
      <c r="K17" s="1375"/>
      <c r="L17" s="1372"/>
      <c r="M17" s="1375"/>
      <c r="N17" s="1375"/>
      <c r="O17" s="1375"/>
      <c r="P17" s="1372"/>
      <c r="Q17" s="1375"/>
      <c r="R17" s="1375"/>
      <c r="S17" s="1375"/>
      <c r="T17" s="1372"/>
      <c r="U17" s="1375"/>
      <c r="V17" s="1375"/>
      <c r="W17" s="1416"/>
      <c r="X17" s="1420"/>
    </row>
    <row r="18" spans="1:24" ht="15">
      <c r="A18" s="1372"/>
      <c r="B18" s="1373"/>
      <c r="C18" s="1372"/>
      <c r="D18" s="1372"/>
      <c r="E18" s="1374"/>
      <c r="F18" s="1374"/>
      <c r="G18" s="1372"/>
      <c r="H18" s="1372"/>
      <c r="I18" s="1372"/>
      <c r="J18" s="1375"/>
      <c r="K18" s="1375"/>
      <c r="L18" s="1372"/>
      <c r="M18" s="1375"/>
      <c r="N18" s="1375"/>
      <c r="O18" s="1375"/>
      <c r="P18" s="1372"/>
      <c r="Q18" s="1375"/>
      <c r="R18" s="1375"/>
      <c r="S18" s="1375"/>
      <c r="T18" s="1372"/>
      <c r="U18" s="1375"/>
      <c r="V18" s="1375"/>
      <c r="W18" s="1416"/>
      <c r="X18" s="1420"/>
    </row>
    <row r="19" spans="1:24" ht="15">
      <c r="A19" s="1372"/>
      <c r="B19" s="1373"/>
      <c r="C19" s="1372"/>
      <c r="D19" s="1372"/>
      <c r="E19" s="1374"/>
      <c r="F19" s="1374"/>
      <c r="G19" s="1372"/>
      <c r="H19" s="1372"/>
      <c r="I19" s="1372"/>
      <c r="J19" s="1375"/>
      <c r="K19" s="1375"/>
      <c r="L19" s="1372"/>
      <c r="M19" s="1375"/>
      <c r="N19" s="1375"/>
      <c r="O19" s="1375"/>
      <c r="P19" s="1372"/>
      <c r="Q19" s="1375"/>
      <c r="R19" s="1375"/>
      <c r="S19" s="1375"/>
      <c r="T19" s="1372"/>
      <c r="U19" s="1375"/>
      <c r="V19" s="1375"/>
      <c r="W19" s="1416"/>
      <c r="X19" s="1420"/>
    </row>
    <row r="20" spans="1:24" ht="15">
      <c r="A20" s="1372"/>
      <c r="B20" s="1373"/>
      <c r="C20" s="1372"/>
      <c r="D20" s="1372"/>
      <c r="E20" s="1374"/>
      <c r="F20" s="1374"/>
      <c r="G20" s="1372"/>
      <c r="H20" s="1372"/>
      <c r="I20" s="1372"/>
      <c r="J20" s="1375"/>
      <c r="K20" s="1375"/>
      <c r="L20" s="1372"/>
      <c r="M20" s="1375"/>
      <c r="N20" s="1375"/>
      <c r="O20" s="1375"/>
      <c r="P20" s="1372"/>
      <c r="Q20" s="1375"/>
      <c r="R20" s="1375"/>
      <c r="S20" s="1375"/>
      <c r="T20" s="1372"/>
      <c r="U20" s="1375"/>
      <c r="V20" s="1375"/>
      <c r="W20" s="1416"/>
      <c r="X20" s="1420"/>
    </row>
    <row r="21" spans="1:24" ht="15">
      <c r="A21" s="1372"/>
      <c r="B21" s="1373"/>
      <c r="C21" s="1372"/>
      <c r="D21" s="1372"/>
      <c r="E21" s="1374"/>
      <c r="F21" s="1374"/>
      <c r="G21" s="1372"/>
      <c r="H21" s="1372"/>
      <c r="I21" s="1372"/>
      <c r="J21" s="1375"/>
      <c r="K21" s="1375"/>
      <c r="L21" s="1372"/>
      <c r="M21" s="1375"/>
      <c r="N21" s="1375"/>
      <c r="O21" s="1375"/>
      <c r="P21" s="1372"/>
      <c r="Q21" s="1375"/>
      <c r="R21" s="1375"/>
      <c r="S21" s="1375"/>
      <c r="T21" s="1372"/>
      <c r="U21" s="1375"/>
      <c r="V21" s="1375"/>
      <c r="W21" s="1416"/>
      <c r="X21" s="1420"/>
    </row>
    <row r="22" spans="1:24" ht="15">
      <c r="A22" s="1372"/>
      <c r="B22" s="1373"/>
      <c r="C22" s="1372"/>
      <c r="D22" s="1372"/>
      <c r="E22" s="1374"/>
      <c r="F22" s="1374"/>
      <c r="G22" s="1372"/>
      <c r="H22" s="1372"/>
      <c r="I22" s="1372"/>
      <c r="J22" s="1375"/>
      <c r="K22" s="1375"/>
      <c r="L22" s="1372"/>
      <c r="M22" s="1375"/>
      <c r="N22" s="1375"/>
      <c r="O22" s="1375"/>
      <c r="P22" s="1372"/>
      <c r="Q22" s="1375"/>
      <c r="R22" s="1375"/>
      <c r="S22" s="1375"/>
      <c r="T22" s="1372"/>
      <c r="U22" s="1375"/>
      <c r="V22" s="1375"/>
      <c r="W22" s="1416"/>
      <c r="X22" s="1420"/>
    </row>
    <row r="23" spans="1:24" ht="15">
      <c r="A23" s="1372"/>
      <c r="B23" s="1373"/>
      <c r="C23" s="1372"/>
      <c r="D23" s="1372"/>
      <c r="E23" s="1374"/>
      <c r="F23" s="1374"/>
      <c r="G23" s="1372"/>
      <c r="H23" s="1372"/>
      <c r="I23" s="1372"/>
      <c r="J23" s="1375"/>
      <c r="K23" s="1375"/>
      <c r="L23" s="1372"/>
      <c r="M23" s="1375"/>
      <c r="N23" s="1375"/>
      <c r="O23" s="1375"/>
      <c r="P23" s="1372"/>
      <c r="Q23" s="1375"/>
      <c r="R23" s="1375"/>
      <c r="S23" s="1375"/>
      <c r="T23" s="1372"/>
      <c r="U23" s="1375"/>
      <c r="V23" s="1375"/>
      <c r="W23" s="1416"/>
      <c r="X23" s="1420"/>
    </row>
    <row r="24" spans="1:24" ht="15">
      <c r="A24" s="1372"/>
      <c r="B24" s="1426"/>
      <c r="C24" s="1372"/>
      <c r="D24" s="1372"/>
      <c r="E24" s="1374"/>
      <c r="F24" s="1374"/>
      <c r="G24" s="1372"/>
      <c r="H24" s="1372"/>
      <c r="I24" s="1372"/>
      <c r="J24" s="1375"/>
      <c r="K24" s="1375"/>
      <c r="L24" s="1372"/>
      <c r="M24" s="1375"/>
      <c r="N24" s="1375"/>
      <c r="O24" s="1375"/>
      <c r="P24" s="1372"/>
      <c r="Q24" s="1375"/>
      <c r="R24" s="1375"/>
      <c r="S24" s="1375"/>
      <c r="T24" s="1372"/>
      <c r="U24" s="1375"/>
      <c r="V24" s="1375"/>
      <c r="W24" s="1416"/>
      <c r="X24" s="1420"/>
    </row>
    <row r="25" spans="1:24" ht="15">
      <c r="A25" s="1372"/>
      <c r="B25" s="1373"/>
      <c r="C25" s="1372"/>
      <c r="D25" s="1372"/>
      <c r="E25" s="1374"/>
      <c r="F25" s="1374"/>
      <c r="G25" s="1372"/>
      <c r="H25" s="1372"/>
      <c r="I25" s="1372"/>
      <c r="J25" s="1375"/>
      <c r="K25" s="1375"/>
      <c r="L25" s="1372"/>
      <c r="M25" s="1375"/>
      <c r="N25" s="1375"/>
      <c r="O25" s="1375"/>
      <c r="P25" s="1372"/>
      <c r="Q25" s="1375"/>
      <c r="R25" s="1375"/>
      <c r="S25" s="1375"/>
      <c r="T25" s="1372"/>
      <c r="U25" s="1375"/>
      <c r="V25" s="1375"/>
      <c r="W25" s="1416"/>
      <c r="X25" s="1420"/>
    </row>
    <row r="26" spans="1:24" ht="15">
      <c r="A26" s="1372"/>
      <c r="B26" s="1373"/>
      <c r="C26" s="1372"/>
      <c r="D26" s="1372"/>
      <c r="E26" s="1374"/>
      <c r="F26" s="1374"/>
      <c r="G26" s="1372"/>
      <c r="H26" s="1372"/>
      <c r="I26" s="1372"/>
      <c r="J26" s="1375"/>
      <c r="K26" s="1375"/>
      <c r="L26" s="1372"/>
      <c r="M26" s="1375"/>
      <c r="N26" s="1375"/>
      <c r="O26" s="1375"/>
      <c r="P26" s="1372"/>
      <c r="Q26" s="1375"/>
      <c r="R26" s="1375"/>
      <c r="S26" s="1375"/>
      <c r="T26" s="1372"/>
      <c r="U26" s="1375"/>
      <c r="V26" s="1375"/>
      <c r="W26" s="1416"/>
      <c r="X26" s="1420"/>
    </row>
    <row r="27" spans="1:24" ht="15">
      <c r="A27" s="1372"/>
      <c r="B27" s="1373"/>
      <c r="C27" s="1372"/>
      <c r="D27" s="1372"/>
      <c r="E27" s="1374"/>
      <c r="F27" s="1374"/>
      <c r="G27" s="1372"/>
      <c r="H27" s="1372"/>
      <c r="I27" s="1372"/>
      <c r="J27" s="1375"/>
      <c r="K27" s="1375"/>
      <c r="L27" s="1372"/>
      <c r="M27" s="1375"/>
      <c r="N27" s="1375"/>
      <c r="O27" s="1375"/>
      <c r="P27" s="1372"/>
      <c r="Q27" s="1375"/>
      <c r="R27" s="1375"/>
      <c r="S27" s="1375"/>
      <c r="T27" s="1372"/>
      <c r="U27" s="1375"/>
      <c r="V27" s="1375"/>
      <c r="W27" s="1416"/>
      <c r="X27" s="1420"/>
    </row>
    <row r="28" spans="1:24" ht="15">
      <c r="A28" s="1372"/>
      <c r="B28" s="1373"/>
      <c r="C28" s="1372"/>
      <c r="D28" s="1372"/>
      <c r="E28" s="1374"/>
      <c r="F28" s="1374"/>
      <c r="G28" s="1372"/>
      <c r="H28" s="1372"/>
      <c r="I28" s="1372"/>
      <c r="J28" s="1375"/>
      <c r="K28" s="1375"/>
      <c r="L28" s="1372"/>
      <c r="M28" s="1375"/>
      <c r="N28" s="1375"/>
      <c r="O28" s="1375"/>
      <c r="P28" s="1372"/>
      <c r="Q28" s="1375"/>
      <c r="R28" s="1375"/>
      <c r="S28" s="1375"/>
      <c r="T28" s="1372"/>
      <c r="U28" s="1375"/>
      <c r="V28" s="1375"/>
      <c r="W28" s="1416"/>
      <c r="X28" s="1420"/>
    </row>
    <row r="29" spans="1:24" ht="46.5" customHeight="1">
      <c r="A29" s="1372"/>
      <c r="B29" s="1426"/>
      <c r="C29" s="1372"/>
      <c r="D29" s="1372"/>
      <c r="E29" s="1374"/>
      <c r="F29" s="1374"/>
      <c r="G29" s="1372"/>
      <c r="H29" s="1372"/>
      <c r="I29" s="1372"/>
      <c r="J29" s="1375"/>
      <c r="K29" s="1375"/>
      <c r="L29" s="1372"/>
      <c r="M29" s="1375"/>
      <c r="N29" s="1375"/>
      <c r="O29" s="1375"/>
      <c r="P29" s="1372"/>
      <c r="Q29" s="1375"/>
      <c r="R29" s="1375"/>
      <c r="S29" s="1375"/>
      <c r="T29" s="1372"/>
      <c r="U29" s="1375"/>
      <c r="V29" s="1375"/>
      <c r="W29" s="1416"/>
      <c r="X29" s="1420"/>
    </row>
    <row r="30" spans="1:24" ht="15">
      <c r="A30" s="1372"/>
      <c r="B30" s="1373"/>
      <c r="C30" s="1372"/>
      <c r="D30" s="1372"/>
      <c r="E30" s="1374"/>
      <c r="F30" s="1374"/>
      <c r="G30" s="1372"/>
      <c r="H30" s="1372"/>
      <c r="I30" s="1372"/>
      <c r="J30" s="1375"/>
      <c r="K30" s="1375"/>
      <c r="L30" s="1372"/>
      <c r="M30" s="1375"/>
      <c r="N30" s="1375"/>
      <c r="O30" s="1375"/>
      <c r="P30" s="1372"/>
      <c r="Q30" s="1375"/>
      <c r="R30" s="1375"/>
      <c r="S30" s="1375"/>
      <c r="T30" s="1372"/>
      <c r="U30" s="1375"/>
      <c r="V30" s="1375"/>
      <c r="W30" s="1416"/>
      <c r="X30" s="1420"/>
    </row>
    <row r="31" spans="1:24" ht="15">
      <c r="A31" s="1372"/>
      <c r="B31" s="1373"/>
      <c r="C31" s="1372"/>
      <c r="D31" s="1372"/>
      <c r="E31" s="1374"/>
      <c r="F31" s="1374"/>
      <c r="G31" s="1372"/>
      <c r="H31" s="1372"/>
      <c r="I31" s="1372"/>
      <c r="J31" s="1375"/>
      <c r="K31" s="1375"/>
      <c r="L31" s="1372"/>
      <c r="M31" s="1375"/>
      <c r="N31" s="1375"/>
      <c r="O31" s="1375"/>
      <c r="P31" s="1372"/>
      <c r="Q31" s="1375"/>
      <c r="R31" s="1375"/>
      <c r="S31" s="1375"/>
      <c r="T31" s="1372"/>
      <c r="U31" s="1375"/>
      <c r="V31" s="1375"/>
      <c r="W31" s="1416"/>
      <c r="X31" s="1420"/>
    </row>
    <row r="32" spans="1:24" ht="15">
      <c r="A32" s="1372"/>
      <c r="B32" s="1373"/>
      <c r="C32" s="1372"/>
      <c r="D32" s="1372"/>
      <c r="E32" s="1374"/>
      <c r="F32" s="1374"/>
      <c r="G32" s="1372"/>
      <c r="H32" s="1372"/>
      <c r="I32" s="1372"/>
      <c r="J32" s="1375"/>
      <c r="K32" s="1375"/>
      <c r="L32" s="1372"/>
      <c r="M32" s="1375"/>
      <c r="N32" s="1375"/>
      <c r="O32" s="1375"/>
      <c r="P32" s="1372"/>
      <c r="Q32" s="1375"/>
      <c r="R32" s="1375"/>
      <c r="S32" s="1375"/>
      <c r="T32" s="1372"/>
      <c r="U32" s="1375"/>
      <c r="V32" s="1375"/>
      <c r="W32" s="1416"/>
      <c r="X32" s="1420"/>
    </row>
    <row r="33" spans="1:24" ht="15">
      <c r="A33" s="1372"/>
      <c r="B33" s="1373"/>
      <c r="C33" s="1372"/>
      <c r="D33" s="1372"/>
      <c r="E33" s="1374"/>
      <c r="F33" s="1374"/>
      <c r="G33" s="1372"/>
      <c r="H33" s="1372"/>
      <c r="I33" s="1372"/>
      <c r="J33" s="1375"/>
      <c r="K33" s="1375"/>
      <c r="L33" s="1372"/>
      <c r="M33" s="1375"/>
      <c r="N33" s="1375"/>
      <c r="O33" s="1375"/>
      <c r="P33" s="1372"/>
      <c r="Q33" s="1375"/>
      <c r="R33" s="1375"/>
      <c r="S33" s="1375"/>
      <c r="T33" s="1372"/>
      <c r="U33" s="1375"/>
      <c r="V33" s="1375"/>
      <c r="W33" s="1416"/>
      <c r="X33" s="1420"/>
    </row>
    <row r="34" spans="1:24" ht="15">
      <c r="A34" s="1376"/>
      <c r="B34" s="1377"/>
      <c r="C34" s="1378"/>
      <c r="D34" s="1378"/>
      <c r="E34" s="1379"/>
      <c r="F34" s="1380"/>
      <c r="G34" s="1381"/>
      <c r="H34" s="1381"/>
      <c r="I34" s="1381"/>
      <c r="J34" s="1381"/>
      <c r="K34" s="1381"/>
      <c r="L34" s="1381"/>
      <c r="M34" s="1381"/>
      <c r="N34" s="1381"/>
      <c r="O34" s="1381"/>
      <c r="P34" s="1381"/>
      <c r="Q34" s="1381"/>
      <c r="R34" s="1381"/>
      <c r="S34" s="1381"/>
      <c r="T34" s="1381"/>
      <c r="U34" s="1381"/>
      <c r="V34" s="1381"/>
      <c r="W34" s="1417"/>
      <c r="X34" s="1420"/>
    </row>
    <row r="35" spans="1:24" ht="15">
      <c r="A35" s="1376"/>
      <c r="B35" s="1382"/>
      <c r="C35" s="1383"/>
      <c r="D35" s="1383"/>
      <c r="E35" s="1381"/>
      <c r="F35" s="1384"/>
      <c r="G35" s="1381"/>
      <c r="H35" s="1381"/>
      <c r="I35" s="1381"/>
      <c r="J35" s="1381"/>
      <c r="K35" s="1381"/>
      <c r="L35" s="1381"/>
      <c r="M35" s="1381"/>
      <c r="N35" s="1381"/>
      <c r="O35" s="1381"/>
      <c r="P35" s="1381"/>
      <c r="Q35" s="1381"/>
      <c r="R35" s="1381"/>
      <c r="S35" s="1381"/>
      <c r="T35" s="1381"/>
      <c r="U35" s="1381"/>
      <c r="V35" s="1381"/>
      <c r="W35" s="1417"/>
      <c r="X35" s="1420"/>
    </row>
    <row r="36" spans="1:24" ht="15">
      <c r="A36" s="1469"/>
      <c r="B36" s="1470"/>
      <c r="C36" s="1383"/>
      <c r="D36" s="1383"/>
      <c r="E36" s="1381"/>
      <c r="F36" s="1384"/>
      <c r="G36" s="1381"/>
      <c r="H36" s="1381"/>
      <c r="I36" s="1381"/>
      <c r="J36" s="1381"/>
      <c r="K36" s="1381"/>
      <c r="L36" s="1381"/>
      <c r="M36" s="1381"/>
      <c r="N36" s="1381"/>
      <c r="O36" s="1381"/>
      <c r="P36" s="1381"/>
      <c r="Q36" s="1381"/>
      <c r="R36" s="1381"/>
      <c r="S36" s="1381"/>
      <c r="T36" s="1381"/>
      <c r="U36" s="1381"/>
      <c r="V36" s="1381"/>
      <c r="W36" s="1417"/>
      <c r="X36" s="1420"/>
    </row>
    <row r="37" spans="1:24" ht="15">
      <c r="A37" s="1372"/>
      <c r="B37" s="1373"/>
      <c r="C37" s="1372"/>
      <c r="D37" s="1372"/>
      <c r="E37" s="1372"/>
      <c r="F37" s="1385"/>
      <c r="G37" s="1373"/>
      <c r="H37" s="1386"/>
      <c r="I37" s="1386"/>
      <c r="J37" s="1375"/>
      <c r="K37" s="1375"/>
      <c r="L37" s="1386"/>
      <c r="M37" s="1375"/>
      <c r="N37" s="1375"/>
      <c r="O37" s="1375"/>
      <c r="P37" s="1386"/>
      <c r="Q37" s="1375"/>
      <c r="R37" s="1375"/>
      <c r="S37" s="1375"/>
      <c r="T37" s="1386"/>
      <c r="U37" s="1375"/>
      <c r="V37" s="1375"/>
      <c r="W37" s="1416"/>
      <c r="X37" s="1420"/>
    </row>
    <row r="38" spans="1:24" ht="15">
      <c r="A38" s="1372"/>
      <c r="B38" s="1373"/>
      <c r="C38" s="1372"/>
      <c r="D38" s="1372"/>
      <c r="E38" s="1374"/>
      <c r="F38" s="1385"/>
      <c r="G38" s="1373"/>
      <c r="H38" s="1386"/>
      <c r="I38" s="1386"/>
      <c r="J38" s="1375"/>
      <c r="K38" s="1375"/>
      <c r="L38" s="1386"/>
      <c r="M38" s="1375"/>
      <c r="N38" s="1375"/>
      <c r="O38" s="1375"/>
      <c r="P38" s="1386"/>
      <c r="Q38" s="1375"/>
      <c r="R38" s="1375"/>
      <c r="S38" s="1375"/>
      <c r="T38" s="1386"/>
      <c r="U38" s="1375"/>
      <c r="V38" s="1375"/>
      <c r="W38" s="1416"/>
      <c r="X38" s="1420"/>
    </row>
    <row r="39" spans="1:24" ht="15">
      <c r="A39" s="1372"/>
      <c r="B39" s="1373"/>
      <c r="C39" s="1372"/>
      <c r="D39" s="1372"/>
      <c r="E39" s="1372"/>
      <c r="F39" s="1385"/>
      <c r="G39" s="1373"/>
      <c r="H39" s="1386"/>
      <c r="I39" s="1386"/>
      <c r="J39" s="1375"/>
      <c r="K39" s="1375"/>
      <c r="L39" s="1386"/>
      <c r="M39" s="1375"/>
      <c r="N39" s="1375"/>
      <c r="O39" s="1375"/>
      <c r="P39" s="1386"/>
      <c r="Q39" s="1375"/>
      <c r="R39" s="1375"/>
      <c r="S39" s="1375"/>
      <c r="T39" s="1386"/>
      <c r="U39" s="1375"/>
      <c r="V39" s="1375"/>
      <c r="W39" s="1416"/>
      <c r="X39" s="1420"/>
    </row>
    <row r="40" spans="1:24" ht="15">
      <c r="A40" s="1372"/>
      <c r="B40" s="1373"/>
      <c r="C40" s="1372"/>
      <c r="D40" s="1372"/>
      <c r="E40" s="1374"/>
      <c r="F40" s="1385"/>
      <c r="G40" s="1373"/>
      <c r="H40" s="1386"/>
      <c r="I40" s="1386"/>
      <c r="J40" s="1375"/>
      <c r="K40" s="1375"/>
      <c r="L40" s="1386"/>
      <c r="M40" s="1375"/>
      <c r="N40" s="1375"/>
      <c r="O40" s="1375"/>
      <c r="P40" s="1386"/>
      <c r="Q40" s="1375"/>
      <c r="R40" s="1375"/>
      <c r="S40" s="1375"/>
      <c r="T40" s="1386"/>
      <c r="U40" s="1375"/>
      <c r="V40" s="1375"/>
      <c r="W40" s="1416"/>
      <c r="X40" s="1420"/>
    </row>
    <row r="41" spans="1:24" ht="15">
      <c r="A41" s="1372"/>
      <c r="B41" s="1373"/>
      <c r="C41" s="1372"/>
      <c r="D41" s="1372"/>
      <c r="E41" s="1372"/>
      <c r="F41" s="1385"/>
      <c r="G41" s="1373"/>
      <c r="H41" s="1386"/>
      <c r="I41" s="1386"/>
      <c r="J41" s="1375"/>
      <c r="K41" s="1375"/>
      <c r="L41" s="1386"/>
      <c r="M41" s="1375"/>
      <c r="N41" s="1375"/>
      <c r="O41" s="1375"/>
      <c r="P41" s="1386"/>
      <c r="Q41" s="1375"/>
      <c r="R41" s="1375"/>
      <c r="S41" s="1375"/>
      <c r="T41" s="1386"/>
      <c r="U41" s="1375"/>
      <c r="V41" s="1375"/>
      <c r="W41" s="1416"/>
      <c r="X41" s="1420"/>
    </row>
    <row r="42" spans="1:24" ht="15">
      <c r="A42" s="1372"/>
      <c r="B42" s="1373"/>
      <c r="C42" s="1372"/>
      <c r="D42" s="1372"/>
      <c r="E42" s="1374"/>
      <c r="F42" s="1385"/>
      <c r="G42" s="1373"/>
      <c r="H42" s="1386"/>
      <c r="I42" s="1386"/>
      <c r="J42" s="1375"/>
      <c r="K42" s="1375"/>
      <c r="L42" s="1386"/>
      <c r="M42" s="1375"/>
      <c r="N42" s="1375"/>
      <c r="O42" s="1375"/>
      <c r="P42" s="1386"/>
      <c r="Q42" s="1375"/>
      <c r="R42" s="1375"/>
      <c r="S42" s="1375"/>
      <c r="T42" s="1386"/>
      <c r="U42" s="1375"/>
      <c r="V42" s="1375"/>
      <c r="W42" s="1416"/>
      <c r="X42" s="1420"/>
    </row>
    <row r="43" spans="1:24" ht="15">
      <c r="A43" s="1372"/>
      <c r="B43" s="1373"/>
      <c r="C43" s="1372"/>
      <c r="D43" s="1372"/>
      <c r="E43" s="1374"/>
      <c r="F43" s="1385"/>
      <c r="G43" s="1373"/>
      <c r="H43" s="1386"/>
      <c r="I43" s="1386"/>
      <c r="J43" s="1375"/>
      <c r="K43" s="1375"/>
      <c r="L43" s="1386"/>
      <c r="M43" s="1375"/>
      <c r="N43" s="1375"/>
      <c r="O43" s="1375"/>
      <c r="P43" s="1386"/>
      <c r="Q43" s="1375"/>
      <c r="R43" s="1375"/>
      <c r="S43" s="1375"/>
      <c r="T43" s="1386"/>
      <c r="U43" s="1375"/>
      <c r="V43" s="1375"/>
      <c r="W43" s="1416"/>
      <c r="X43" s="1420"/>
    </row>
    <row r="44" spans="1:24" ht="15">
      <c r="A44" s="1372"/>
      <c r="B44" s="1373"/>
      <c r="C44" s="1372"/>
      <c r="D44" s="1372"/>
      <c r="E44" s="1372"/>
      <c r="F44" s="1385"/>
      <c r="G44" s="1373"/>
      <c r="H44" s="1386"/>
      <c r="I44" s="1386"/>
      <c r="J44" s="1375"/>
      <c r="K44" s="1375"/>
      <c r="L44" s="1386"/>
      <c r="M44" s="1375"/>
      <c r="N44" s="1375"/>
      <c r="O44" s="1375"/>
      <c r="P44" s="1386"/>
      <c r="Q44" s="1375"/>
      <c r="R44" s="1375"/>
      <c r="S44" s="1375"/>
      <c r="T44" s="1386"/>
      <c r="U44" s="1375"/>
      <c r="V44" s="1375"/>
      <c r="W44" s="1416"/>
      <c r="X44" s="1420"/>
    </row>
    <row r="45" spans="1:24" ht="15">
      <c r="A45" s="1372"/>
      <c r="B45" s="1373"/>
      <c r="C45" s="1372"/>
      <c r="D45" s="1372"/>
      <c r="E45" s="1374"/>
      <c r="F45" s="1385"/>
      <c r="G45" s="1373"/>
      <c r="H45" s="1386"/>
      <c r="I45" s="1386"/>
      <c r="J45" s="1375"/>
      <c r="K45" s="1375"/>
      <c r="L45" s="1386"/>
      <c r="M45" s="1375"/>
      <c r="N45" s="1375"/>
      <c r="O45" s="1375"/>
      <c r="P45" s="1386"/>
      <c r="Q45" s="1375"/>
      <c r="R45" s="1375"/>
      <c r="S45" s="1375"/>
      <c r="T45" s="1386"/>
      <c r="U45" s="1375"/>
      <c r="V45" s="1375"/>
      <c r="W45" s="1416"/>
      <c r="X45" s="1420"/>
    </row>
    <row r="46" spans="1:24" ht="15">
      <c r="A46" s="1372"/>
      <c r="B46" s="1373"/>
      <c r="C46" s="1372"/>
      <c r="D46" s="1372"/>
      <c r="E46" s="1372"/>
      <c r="F46" s="1385"/>
      <c r="G46" s="1373"/>
      <c r="H46" s="1386"/>
      <c r="I46" s="1386"/>
      <c r="J46" s="1375"/>
      <c r="K46" s="1375"/>
      <c r="L46" s="1386"/>
      <c r="M46" s="1375"/>
      <c r="N46" s="1375"/>
      <c r="O46" s="1375"/>
      <c r="P46" s="1386"/>
      <c r="Q46" s="1375"/>
      <c r="R46" s="1375"/>
      <c r="S46" s="1375"/>
      <c r="T46" s="1386"/>
      <c r="U46" s="1375"/>
      <c r="V46" s="1375"/>
      <c r="W46" s="1416"/>
      <c r="X46" s="1420"/>
    </row>
    <row r="47" spans="1:24" ht="15">
      <c r="A47" s="1372"/>
      <c r="B47" s="1373"/>
      <c r="C47" s="1372"/>
      <c r="D47" s="1372"/>
      <c r="E47" s="1374"/>
      <c r="F47" s="1385"/>
      <c r="G47" s="1373"/>
      <c r="H47" s="1386"/>
      <c r="I47" s="1386"/>
      <c r="J47" s="1375"/>
      <c r="K47" s="1375"/>
      <c r="L47" s="1386"/>
      <c r="M47" s="1375"/>
      <c r="N47" s="1375"/>
      <c r="O47" s="1375"/>
      <c r="P47" s="1386"/>
      <c r="Q47" s="1375"/>
      <c r="R47" s="1375"/>
      <c r="S47" s="1375"/>
      <c r="T47" s="1386"/>
      <c r="U47" s="1375"/>
      <c r="V47" s="1375"/>
      <c r="W47" s="1416"/>
      <c r="X47" s="1420"/>
    </row>
    <row r="48" spans="1:24" ht="15">
      <c r="A48" s="1372"/>
      <c r="B48" s="1426"/>
      <c r="C48" s="1372"/>
      <c r="D48" s="1372"/>
      <c r="E48" s="1374"/>
      <c r="F48" s="1385"/>
      <c r="G48" s="1373"/>
      <c r="H48" s="1386"/>
      <c r="I48" s="1386"/>
      <c r="J48" s="1375"/>
      <c r="K48" s="1375"/>
      <c r="L48" s="1386"/>
      <c r="M48" s="1375"/>
      <c r="N48" s="1375"/>
      <c r="O48" s="1375"/>
      <c r="P48" s="1386"/>
      <c r="Q48" s="1375"/>
      <c r="R48" s="1375"/>
      <c r="S48" s="1375"/>
      <c r="T48" s="1386"/>
      <c r="U48" s="1375"/>
      <c r="V48" s="1375"/>
      <c r="W48" s="1416"/>
      <c r="X48" s="1420"/>
    </row>
    <row r="49" spans="1:24" ht="15">
      <c r="A49" s="1372"/>
      <c r="B49" s="1373"/>
      <c r="C49" s="1372"/>
      <c r="D49" s="1372"/>
      <c r="E49" s="1372"/>
      <c r="F49" s="1385"/>
      <c r="G49" s="1373"/>
      <c r="H49" s="1386"/>
      <c r="I49" s="1386"/>
      <c r="J49" s="1375"/>
      <c r="K49" s="1375"/>
      <c r="L49" s="1386"/>
      <c r="M49" s="1375"/>
      <c r="N49" s="1375"/>
      <c r="O49" s="1375"/>
      <c r="P49" s="1386"/>
      <c r="Q49" s="1375"/>
      <c r="R49" s="1375"/>
      <c r="S49" s="1375"/>
      <c r="T49" s="1386"/>
      <c r="U49" s="1375"/>
      <c r="V49" s="1375"/>
      <c r="W49" s="1416"/>
      <c r="X49" s="1420"/>
    </row>
    <row r="50" spans="1:24" ht="15">
      <c r="A50" s="1372"/>
      <c r="B50" s="1373"/>
      <c r="C50" s="1372"/>
      <c r="D50" s="1372"/>
      <c r="E50" s="1372"/>
      <c r="F50" s="1385"/>
      <c r="G50" s="1373"/>
      <c r="H50" s="1386"/>
      <c r="I50" s="1386"/>
      <c r="J50" s="1375"/>
      <c r="K50" s="1375"/>
      <c r="L50" s="1386"/>
      <c r="M50" s="1375"/>
      <c r="N50" s="1375"/>
      <c r="O50" s="1375"/>
      <c r="P50" s="1386"/>
      <c r="Q50" s="1375"/>
      <c r="R50" s="1375"/>
      <c r="S50" s="1375"/>
      <c r="T50" s="1386"/>
      <c r="U50" s="1375"/>
      <c r="V50" s="1375"/>
      <c r="W50" s="1416"/>
      <c r="X50" s="1420"/>
    </row>
    <row r="51" spans="1:24" ht="15">
      <c r="A51" s="1372"/>
      <c r="B51" s="1373"/>
      <c r="C51" s="1372"/>
      <c r="D51" s="1372"/>
      <c r="E51" s="1372"/>
      <c r="F51" s="1385"/>
      <c r="G51" s="1373"/>
      <c r="H51" s="1386"/>
      <c r="I51" s="1386"/>
      <c r="J51" s="1375"/>
      <c r="K51" s="1375"/>
      <c r="L51" s="1386"/>
      <c r="M51" s="1375"/>
      <c r="N51" s="1375"/>
      <c r="O51" s="1375"/>
      <c r="P51" s="1386"/>
      <c r="Q51" s="1375"/>
      <c r="R51" s="1375"/>
      <c r="S51" s="1375"/>
      <c r="T51" s="1386"/>
      <c r="U51" s="1375"/>
      <c r="V51" s="1375"/>
      <c r="W51" s="1416"/>
      <c r="X51" s="1420"/>
    </row>
    <row r="52" spans="1:24" ht="15">
      <c r="A52" s="1372"/>
      <c r="B52" s="1373"/>
      <c r="C52" s="1372"/>
      <c r="D52" s="1372"/>
      <c r="E52" s="1374"/>
      <c r="F52" s="1385"/>
      <c r="G52" s="1373"/>
      <c r="H52" s="1386"/>
      <c r="I52" s="1386"/>
      <c r="J52" s="1375"/>
      <c r="K52" s="1375"/>
      <c r="L52" s="1386"/>
      <c r="M52" s="1375"/>
      <c r="N52" s="1375"/>
      <c r="O52" s="1375"/>
      <c r="P52" s="1386"/>
      <c r="Q52" s="1375"/>
      <c r="R52" s="1375"/>
      <c r="S52" s="1375"/>
      <c r="T52" s="1386"/>
      <c r="U52" s="1375"/>
      <c r="V52" s="1375"/>
      <c r="W52" s="1416"/>
      <c r="X52" s="1420"/>
    </row>
    <row r="53" spans="1:24" ht="15">
      <c r="A53" s="1372"/>
      <c r="B53" s="1373"/>
      <c r="C53" s="1372"/>
      <c r="D53" s="1372"/>
      <c r="E53" s="1374"/>
      <c r="F53" s="1385"/>
      <c r="G53" s="1373"/>
      <c r="H53" s="1386"/>
      <c r="I53" s="1386"/>
      <c r="J53" s="1375"/>
      <c r="K53" s="1375"/>
      <c r="L53" s="1386"/>
      <c r="M53" s="1375"/>
      <c r="N53" s="1375"/>
      <c r="O53" s="1375"/>
      <c r="P53" s="1386"/>
      <c r="Q53" s="1375"/>
      <c r="R53" s="1375"/>
      <c r="S53" s="1375"/>
      <c r="T53" s="1386"/>
      <c r="U53" s="1375"/>
      <c r="V53" s="1375"/>
      <c r="W53" s="1416"/>
      <c r="X53" s="1420"/>
    </row>
    <row r="54" spans="1:24" ht="15">
      <c r="A54" s="1372"/>
      <c r="B54" s="1373"/>
      <c r="C54" s="1372"/>
      <c r="D54" s="1372"/>
      <c r="E54" s="1374"/>
      <c r="F54" s="1385"/>
      <c r="G54" s="1373"/>
      <c r="H54" s="1386"/>
      <c r="I54" s="1386"/>
      <c r="J54" s="1375"/>
      <c r="K54" s="1375"/>
      <c r="L54" s="1386"/>
      <c r="M54" s="1375"/>
      <c r="N54" s="1375"/>
      <c r="O54" s="1375"/>
      <c r="P54" s="1386"/>
      <c r="Q54" s="1375"/>
      <c r="R54" s="1375"/>
      <c r="S54" s="1375"/>
      <c r="T54" s="1386"/>
      <c r="U54" s="1375"/>
      <c r="V54" s="1375"/>
      <c r="W54" s="1416"/>
      <c r="X54" s="1420"/>
    </row>
    <row r="55" spans="1:24" ht="15">
      <c r="A55" s="1372"/>
      <c r="B55" s="1373"/>
      <c r="C55" s="1372"/>
      <c r="D55" s="1372"/>
      <c r="E55" s="1374"/>
      <c r="F55" s="1385"/>
      <c r="G55" s="1373"/>
      <c r="H55" s="1386"/>
      <c r="I55" s="1386"/>
      <c r="J55" s="1375"/>
      <c r="K55" s="1375"/>
      <c r="L55" s="1386"/>
      <c r="M55" s="1375"/>
      <c r="N55" s="1375"/>
      <c r="O55" s="1375"/>
      <c r="P55" s="1386"/>
      <c r="Q55" s="1375"/>
      <c r="R55" s="1375"/>
      <c r="S55" s="1375"/>
      <c r="T55" s="1386"/>
      <c r="U55" s="1375"/>
      <c r="V55" s="1375"/>
      <c r="W55" s="1416"/>
      <c r="X55" s="1420"/>
    </row>
    <row r="56" spans="1:24" ht="15">
      <c r="A56" s="1372"/>
      <c r="B56" s="1373"/>
      <c r="C56" s="1372"/>
      <c r="D56" s="1372"/>
      <c r="E56" s="1372"/>
      <c r="F56" s="1385"/>
      <c r="G56" s="1373"/>
      <c r="H56" s="1386"/>
      <c r="I56" s="1386"/>
      <c r="J56" s="1375"/>
      <c r="K56" s="1375"/>
      <c r="L56" s="1386"/>
      <c r="M56" s="1375"/>
      <c r="N56" s="1375"/>
      <c r="O56" s="1375"/>
      <c r="P56" s="1386"/>
      <c r="Q56" s="1375"/>
      <c r="R56" s="1375"/>
      <c r="S56" s="1375"/>
      <c r="T56" s="1386"/>
      <c r="U56" s="1375"/>
      <c r="V56" s="1375"/>
      <c r="W56" s="1416"/>
      <c r="X56" s="1420"/>
    </row>
    <row r="57" spans="1:24" ht="15">
      <c r="A57" s="1372"/>
      <c r="B57" s="1373"/>
      <c r="C57" s="1372"/>
      <c r="D57" s="1372"/>
      <c r="E57" s="1374"/>
      <c r="F57" s="1385"/>
      <c r="G57" s="1373"/>
      <c r="H57" s="1386"/>
      <c r="I57" s="1386"/>
      <c r="J57" s="1375"/>
      <c r="K57" s="1375"/>
      <c r="L57" s="1386"/>
      <c r="M57" s="1375"/>
      <c r="N57" s="1375"/>
      <c r="O57" s="1375"/>
      <c r="P57" s="1386"/>
      <c r="Q57" s="1375"/>
      <c r="R57" s="1375"/>
      <c r="S57" s="1375"/>
      <c r="T57" s="1386"/>
      <c r="U57" s="1375"/>
      <c r="V57" s="1375"/>
      <c r="W57" s="1416"/>
      <c r="X57" s="1420"/>
    </row>
    <row r="58" spans="1:24" ht="15">
      <c r="A58" s="1372"/>
      <c r="B58" s="1373"/>
      <c r="C58" s="1372"/>
      <c r="D58" s="1372"/>
      <c r="E58" s="1374"/>
      <c r="F58" s="1385"/>
      <c r="G58" s="1373"/>
      <c r="H58" s="1386"/>
      <c r="I58" s="1386"/>
      <c r="J58" s="1375"/>
      <c r="K58" s="1375"/>
      <c r="L58" s="1386"/>
      <c r="M58" s="1375"/>
      <c r="N58" s="1375"/>
      <c r="O58" s="1375"/>
      <c r="P58" s="1386"/>
      <c r="Q58" s="1375"/>
      <c r="R58" s="1375"/>
      <c r="S58" s="1375"/>
      <c r="T58" s="1386"/>
      <c r="U58" s="1375"/>
      <c r="V58" s="1375"/>
      <c r="W58" s="1416"/>
      <c r="X58" s="1420"/>
    </row>
    <row r="59" spans="1:24" ht="15">
      <c r="A59" s="1372"/>
      <c r="B59" s="1373"/>
      <c r="C59" s="1372"/>
      <c r="D59" s="1372"/>
      <c r="E59" s="1374"/>
      <c r="F59" s="1385"/>
      <c r="G59" s="1373"/>
      <c r="H59" s="1386"/>
      <c r="I59" s="1386"/>
      <c r="J59" s="1375"/>
      <c r="K59" s="1375"/>
      <c r="L59" s="1386"/>
      <c r="M59" s="1375"/>
      <c r="N59" s="1375"/>
      <c r="O59" s="1375"/>
      <c r="P59" s="1386"/>
      <c r="Q59" s="1375"/>
      <c r="R59" s="1375"/>
      <c r="S59" s="1375"/>
      <c r="T59" s="1386"/>
      <c r="U59" s="1375"/>
      <c r="V59" s="1375"/>
      <c r="W59" s="1416"/>
      <c r="X59" s="1420"/>
    </row>
    <row r="60" spans="1:24" ht="15">
      <c r="A60" s="1372"/>
      <c r="B60" s="1373"/>
      <c r="C60" s="1372"/>
      <c r="D60" s="1372"/>
      <c r="E60" s="1374"/>
      <c r="F60" s="1385"/>
      <c r="G60" s="1373"/>
      <c r="H60" s="1386"/>
      <c r="I60" s="1386"/>
      <c r="J60" s="1375"/>
      <c r="K60" s="1375"/>
      <c r="L60" s="1386"/>
      <c r="M60" s="1375"/>
      <c r="N60" s="1375"/>
      <c r="O60" s="1375"/>
      <c r="P60" s="1386"/>
      <c r="Q60" s="1375"/>
      <c r="R60" s="1375"/>
      <c r="S60" s="1375"/>
      <c r="T60" s="1386"/>
      <c r="U60" s="1375"/>
      <c r="V60" s="1375"/>
      <c r="W60" s="1416"/>
      <c r="X60" s="1420"/>
    </row>
    <row r="61" spans="1:24" ht="15">
      <c r="A61" s="1372"/>
      <c r="B61" s="1426"/>
      <c r="C61" s="1372"/>
      <c r="D61" s="1427"/>
      <c r="E61" s="1374"/>
      <c r="F61" s="1385"/>
      <c r="G61" s="1373"/>
      <c r="H61" s="1386"/>
      <c r="I61" s="1386"/>
      <c r="J61" s="1375"/>
      <c r="K61" s="1375"/>
      <c r="L61" s="1386"/>
      <c r="M61" s="1375"/>
      <c r="N61" s="1375"/>
      <c r="O61" s="1375"/>
      <c r="P61" s="1386"/>
      <c r="Q61" s="1375"/>
      <c r="R61" s="1375"/>
      <c r="S61" s="1375"/>
      <c r="T61" s="1386"/>
      <c r="U61" s="1375"/>
      <c r="V61" s="1375"/>
      <c r="W61" s="1416"/>
      <c r="X61" s="1420"/>
    </row>
    <row r="62" spans="1:24" ht="15">
      <c r="A62" s="1372"/>
      <c r="B62" s="1428"/>
      <c r="C62" s="1372"/>
      <c r="D62" s="1429"/>
      <c r="E62" s="1374"/>
      <c r="F62" s="1385"/>
      <c r="G62" s="1373"/>
      <c r="H62" s="1386"/>
      <c r="I62" s="1386"/>
      <c r="J62" s="1375"/>
      <c r="K62" s="1375"/>
      <c r="L62" s="1386"/>
      <c r="M62" s="1375"/>
      <c r="N62" s="1375"/>
      <c r="O62" s="1375"/>
      <c r="P62" s="1386"/>
      <c r="Q62" s="1375"/>
      <c r="R62" s="1375"/>
      <c r="S62" s="1375"/>
      <c r="T62" s="1386"/>
      <c r="U62" s="1375"/>
      <c r="V62" s="1375"/>
      <c r="W62" s="1416"/>
      <c r="X62" s="1420"/>
    </row>
    <row r="63" spans="1:24" ht="15">
      <c r="A63" s="1372"/>
      <c r="B63" s="1428"/>
      <c r="C63" s="1427"/>
      <c r="D63" s="1429"/>
      <c r="E63" s="1372"/>
      <c r="F63" s="1385"/>
      <c r="G63" s="1373"/>
      <c r="H63" s="1386"/>
      <c r="I63" s="1386"/>
      <c r="J63" s="1375"/>
      <c r="K63" s="1375"/>
      <c r="L63" s="1386"/>
      <c r="M63" s="1375"/>
      <c r="N63" s="1375"/>
      <c r="O63" s="1375"/>
      <c r="P63" s="1386"/>
      <c r="Q63" s="1375"/>
      <c r="R63" s="1375"/>
      <c r="S63" s="1375"/>
      <c r="T63" s="1386"/>
      <c r="U63" s="1375"/>
      <c r="V63" s="1375"/>
      <c r="W63" s="1416"/>
      <c r="X63" s="1420"/>
    </row>
    <row r="64" spans="1:24" ht="15">
      <c r="A64" s="1372"/>
      <c r="B64" s="1428"/>
      <c r="C64" s="1427"/>
      <c r="D64" s="1429"/>
      <c r="E64" s="1372"/>
      <c r="F64" s="1385"/>
      <c r="G64" s="1373"/>
      <c r="H64" s="1386"/>
      <c r="I64" s="1386"/>
      <c r="J64" s="1375"/>
      <c r="K64" s="1375"/>
      <c r="L64" s="1386"/>
      <c r="M64" s="1375"/>
      <c r="N64" s="1375"/>
      <c r="O64" s="1375"/>
      <c r="P64" s="1386"/>
      <c r="Q64" s="1375"/>
      <c r="R64" s="1375"/>
      <c r="S64" s="1375"/>
      <c r="T64" s="1386"/>
      <c r="U64" s="1375"/>
      <c r="V64" s="1375"/>
      <c r="W64" s="1416"/>
      <c r="X64" s="1420"/>
    </row>
    <row r="65" spans="1:24" ht="15">
      <c r="A65" s="1372"/>
      <c r="B65" s="1428"/>
      <c r="C65" s="1427"/>
      <c r="D65" s="1429"/>
      <c r="E65" s="1372"/>
      <c r="F65" s="1385"/>
      <c r="G65" s="1373"/>
      <c r="H65" s="1386"/>
      <c r="I65" s="1386"/>
      <c r="J65" s="1375"/>
      <c r="K65" s="1375"/>
      <c r="L65" s="1386"/>
      <c r="M65" s="1375"/>
      <c r="N65" s="1375"/>
      <c r="O65" s="1375"/>
      <c r="P65" s="1386"/>
      <c r="Q65" s="1375"/>
      <c r="R65" s="1375"/>
      <c r="S65" s="1375"/>
      <c r="T65" s="1386"/>
      <c r="U65" s="1375"/>
      <c r="V65" s="1375"/>
      <c r="W65" s="1416"/>
      <c r="X65" s="1420"/>
    </row>
    <row r="66" spans="1:24" ht="15">
      <c r="A66" s="1372"/>
      <c r="B66" s="1428"/>
      <c r="C66" s="1427"/>
      <c r="D66" s="1429"/>
      <c r="E66" s="1372"/>
      <c r="F66" s="1385"/>
      <c r="G66" s="1373"/>
      <c r="H66" s="1386"/>
      <c r="I66" s="1386"/>
      <c r="J66" s="1375"/>
      <c r="K66" s="1375"/>
      <c r="L66" s="1386"/>
      <c r="M66" s="1375"/>
      <c r="N66" s="1375"/>
      <c r="O66" s="1375"/>
      <c r="P66" s="1386"/>
      <c r="Q66" s="1375"/>
      <c r="R66" s="1375"/>
      <c r="S66" s="1375"/>
      <c r="T66" s="1386"/>
      <c r="U66" s="1375"/>
      <c r="V66" s="1375"/>
      <c r="W66" s="1416"/>
      <c r="X66" s="1420"/>
    </row>
    <row r="67" spans="1:24" ht="15">
      <c r="A67" s="1372"/>
      <c r="B67" s="1428"/>
      <c r="C67" s="1427"/>
      <c r="D67" s="1429"/>
      <c r="E67" s="1372"/>
      <c r="F67" s="1385"/>
      <c r="G67" s="1373"/>
      <c r="H67" s="1386"/>
      <c r="I67" s="1386"/>
      <c r="J67" s="1375"/>
      <c r="K67" s="1375"/>
      <c r="L67" s="1386"/>
      <c r="M67" s="1375"/>
      <c r="N67" s="1375"/>
      <c r="O67" s="1375"/>
      <c r="P67" s="1386"/>
      <c r="Q67" s="1375"/>
      <c r="R67" s="1375"/>
      <c r="S67" s="1375"/>
      <c r="T67" s="1386"/>
      <c r="U67" s="1375"/>
      <c r="V67" s="1375"/>
      <c r="W67" s="1416"/>
      <c r="X67" s="1420"/>
    </row>
    <row r="68" spans="1:24" ht="15">
      <c r="A68" s="1372"/>
      <c r="B68" s="1428"/>
      <c r="C68" s="1427"/>
      <c r="D68" s="1429"/>
      <c r="E68" s="1372"/>
      <c r="F68" s="1385"/>
      <c r="G68" s="1373"/>
      <c r="H68" s="1386"/>
      <c r="I68" s="1386"/>
      <c r="J68" s="1375"/>
      <c r="K68" s="1375"/>
      <c r="L68" s="1386"/>
      <c r="M68" s="1375"/>
      <c r="N68" s="1375"/>
      <c r="O68" s="1375"/>
      <c r="P68" s="1386"/>
      <c r="Q68" s="1375"/>
      <c r="R68" s="1375"/>
      <c r="S68" s="1375"/>
      <c r="T68" s="1386"/>
      <c r="U68" s="1375"/>
      <c r="V68" s="1375"/>
      <c r="W68" s="1416"/>
      <c r="X68" s="1420"/>
    </row>
    <row r="69" spans="1:24" ht="15">
      <c r="A69" s="1372"/>
      <c r="B69" s="1428"/>
      <c r="C69" s="1372"/>
      <c r="D69" s="1429"/>
      <c r="E69" s="1372"/>
      <c r="F69" s="1385"/>
      <c r="G69" s="1373"/>
      <c r="H69" s="1386"/>
      <c r="I69" s="1386"/>
      <c r="J69" s="1375"/>
      <c r="K69" s="1375"/>
      <c r="L69" s="1386"/>
      <c r="M69" s="1375"/>
      <c r="N69" s="1375"/>
      <c r="O69" s="1375"/>
      <c r="P69" s="1386"/>
      <c r="Q69" s="1375"/>
      <c r="R69" s="1375"/>
      <c r="S69" s="1375"/>
      <c r="T69" s="1386"/>
      <c r="U69" s="1375"/>
      <c r="V69" s="1375"/>
      <c r="W69" s="1416"/>
      <c r="X69" s="1420"/>
    </row>
    <row r="70" spans="1:24" ht="15">
      <c r="A70" s="1372"/>
      <c r="B70" s="1373"/>
      <c r="C70" s="1372"/>
      <c r="D70" s="1372"/>
      <c r="E70" s="1372"/>
      <c r="F70" s="1385"/>
      <c r="G70" s="1373"/>
      <c r="H70" s="1386"/>
      <c r="I70" s="1386"/>
      <c r="J70" s="1375"/>
      <c r="K70" s="1375"/>
      <c r="L70" s="1386"/>
      <c r="M70" s="1375"/>
      <c r="N70" s="1375"/>
      <c r="O70" s="1375"/>
      <c r="P70" s="1386"/>
      <c r="Q70" s="1375"/>
      <c r="R70" s="1375"/>
      <c r="S70" s="1375"/>
      <c r="T70" s="1386"/>
      <c r="U70" s="1375"/>
      <c r="V70" s="1375"/>
      <c r="W70" s="1416"/>
      <c r="X70" s="1420"/>
    </row>
    <row r="71" spans="1:24" ht="15">
      <c r="A71" s="1372"/>
      <c r="B71" s="1373"/>
      <c r="C71" s="1372"/>
      <c r="D71" s="1372"/>
      <c r="E71" s="1372"/>
      <c r="F71" s="1385"/>
      <c r="G71" s="1373"/>
      <c r="H71" s="1386"/>
      <c r="I71" s="1386"/>
      <c r="J71" s="1375"/>
      <c r="K71" s="1375"/>
      <c r="L71" s="1386"/>
      <c r="M71" s="1375"/>
      <c r="N71" s="1375"/>
      <c r="O71" s="1375"/>
      <c r="P71" s="1386"/>
      <c r="Q71" s="1375"/>
      <c r="R71" s="1375"/>
      <c r="S71" s="1375"/>
      <c r="T71" s="1386"/>
      <c r="U71" s="1375"/>
      <c r="V71" s="1375"/>
      <c r="W71" s="1416"/>
      <c r="X71" s="1420"/>
    </row>
    <row r="72" spans="1:24" ht="15">
      <c r="A72" s="1372"/>
      <c r="B72" s="1373"/>
      <c r="C72" s="1372"/>
      <c r="D72" s="1372"/>
      <c r="E72" s="1374"/>
      <c r="F72" s="1385"/>
      <c r="G72" s="1373"/>
      <c r="H72" s="1386"/>
      <c r="I72" s="1386"/>
      <c r="J72" s="1375"/>
      <c r="K72" s="1375"/>
      <c r="L72" s="1386"/>
      <c r="M72" s="1375"/>
      <c r="N72" s="1375"/>
      <c r="O72" s="1375"/>
      <c r="P72" s="1386"/>
      <c r="Q72" s="1375"/>
      <c r="R72" s="1375"/>
      <c r="S72" s="1375"/>
      <c r="T72" s="1386"/>
      <c r="U72" s="1375"/>
      <c r="V72" s="1375"/>
      <c r="W72" s="1416"/>
      <c r="X72" s="1420"/>
    </row>
    <row r="73" spans="1:24" ht="15">
      <c r="A73" s="1372"/>
      <c r="B73" s="1373"/>
      <c r="C73" s="1372"/>
      <c r="D73" s="1372"/>
      <c r="E73" s="1372"/>
      <c r="F73" s="1385"/>
      <c r="G73" s="1373"/>
      <c r="H73" s="1386"/>
      <c r="I73" s="1386"/>
      <c r="J73" s="1375"/>
      <c r="K73" s="1375"/>
      <c r="L73" s="1386"/>
      <c r="M73" s="1375"/>
      <c r="N73" s="1375"/>
      <c r="O73" s="1375"/>
      <c r="P73" s="1386"/>
      <c r="Q73" s="1375"/>
      <c r="R73" s="1375"/>
      <c r="S73" s="1375"/>
      <c r="T73" s="1386"/>
      <c r="U73" s="1375"/>
      <c r="V73" s="1375"/>
      <c r="W73" s="1416"/>
      <c r="X73" s="1420"/>
    </row>
    <row r="74" spans="1:24" ht="15">
      <c r="A74" s="1372"/>
      <c r="B74" s="1373"/>
      <c r="C74" s="1372"/>
      <c r="D74" s="1372"/>
      <c r="E74" s="1372"/>
      <c r="F74" s="1385"/>
      <c r="G74" s="1373"/>
      <c r="H74" s="1386"/>
      <c r="I74" s="1386"/>
      <c r="J74" s="1375"/>
      <c r="K74" s="1375"/>
      <c r="L74" s="1386"/>
      <c r="M74" s="1375"/>
      <c r="N74" s="1375"/>
      <c r="O74" s="1375"/>
      <c r="P74" s="1386"/>
      <c r="Q74" s="1375"/>
      <c r="R74" s="1375"/>
      <c r="S74" s="1375"/>
      <c r="T74" s="1386"/>
      <c r="U74" s="1375"/>
      <c r="V74" s="1375"/>
      <c r="W74" s="1416"/>
      <c r="X74" s="1420"/>
    </row>
    <row r="75" spans="1:24" ht="15">
      <c r="A75" s="1372"/>
      <c r="B75" s="1373"/>
      <c r="C75" s="1372"/>
      <c r="D75" s="1372"/>
      <c r="E75" s="1372"/>
      <c r="F75" s="1385"/>
      <c r="G75" s="1373"/>
      <c r="H75" s="1386"/>
      <c r="I75" s="1386"/>
      <c r="J75" s="1375"/>
      <c r="K75" s="1375"/>
      <c r="L75" s="1386"/>
      <c r="M75" s="1375"/>
      <c r="N75" s="1375"/>
      <c r="O75" s="1375"/>
      <c r="P75" s="1386"/>
      <c r="Q75" s="1375"/>
      <c r="R75" s="1375"/>
      <c r="S75" s="1375"/>
      <c r="T75" s="1386"/>
      <c r="U75" s="1375"/>
      <c r="V75" s="1375"/>
      <c r="W75" s="1416"/>
      <c r="X75" s="1420"/>
    </row>
    <row r="76" spans="1:24" ht="15">
      <c r="A76" s="1372"/>
      <c r="B76" s="1373"/>
      <c r="C76" s="1372"/>
      <c r="D76" s="1372"/>
      <c r="E76" s="1372"/>
      <c r="F76" s="1385"/>
      <c r="G76" s="1373"/>
      <c r="H76" s="1386"/>
      <c r="I76" s="1386"/>
      <c r="J76" s="1375"/>
      <c r="K76" s="1375"/>
      <c r="L76" s="1386"/>
      <c r="M76" s="1375"/>
      <c r="N76" s="1375"/>
      <c r="O76" s="1375"/>
      <c r="P76" s="1386"/>
      <c r="Q76" s="1375"/>
      <c r="R76" s="1375"/>
      <c r="S76" s="1375"/>
      <c r="T76" s="1386"/>
      <c r="U76" s="1375"/>
      <c r="V76" s="1375"/>
      <c r="W76" s="1416"/>
      <c r="X76" s="1420"/>
    </row>
    <row r="77" spans="1:24" ht="15">
      <c r="A77" s="1372"/>
      <c r="B77" s="1373"/>
      <c r="C77" s="1372"/>
      <c r="D77" s="1372"/>
      <c r="E77" s="1374"/>
      <c r="F77" s="1385"/>
      <c r="G77" s="1373"/>
      <c r="H77" s="1386"/>
      <c r="I77" s="1386"/>
      <c r="J77" s="1375"/>
      <c r="K77" s="1375"/>
      <c r="L77" s="1386"/>
      <c r="M77" s="1375"/>
      <c r="N77" s="1375"/>
      <c r="O77" s="1375"/>
      <c r="P77" s="1386"/>
      <c r="Q77" s="1375"/>
      <c r="R77" s="1375"/>
      <c r="S77" s="1375"/>
      <c r="T77" s="1386"/>
      <c r="U77" s="1375"/>
      <c r="V77" s="1375"/>
      <c r="W77" s="1416"/>
      <c r="X77" s="1420"/>
    </row>
    <row r="78" spans="1:24" ht="15">
      <c r="A78" s="1372"/>
      <c r="B78" s="1373"/>
      <c r="C78" s="1372"/>
      <c r="D78" s="1372"/>
      <c r="E78" s="1374"/>
      <c r="F78" s="1385"/>
      <c r="G78" s="1373"/>
      <c r="H78" s="1386"/>
      <c r="I78" s="1386"/>
      <c r="J78" s="1375"/>
      <c r="K78" s="1375"/>
      <c r="L78" s="1386"/>
      <c r="M78" s="1375"/>
      <c r="N78" s="1375"/>
      <c r="O78" s="1375"/>
      <c r="P78" s="1386"/>
      <c r="Q78" s="1375"/>
      <c r="R78" s="1375"/>
      <c r="S78" s="1375"/>
      <c r="T78" s="1386"/>
      <c r="U78" s="1375"/>
      <c r="V78" s="1375"/>
      <c r="W78" s="1416"/>
      <c r="X78" s="1420"/>
    </row>
    <row r="79" spans="1:24" ht="15">
      <c r="A79" s="1372"/>
      <c r="B79" s="1373"/>
      <c r="C79" s="1372"/>
      <c r="D79" s="1372"/>
      <c r="E79" s="1372"/>
      <c r="F79" s="1385"/>
      <c r="G79" s="1373"/>
      <c r="H79" s="1386"/>
      <c r="I79" s="1386"/>
      <c r="J79" s="1375"/>
      <c r="K79" s="1375"/>
      <c r="L79" s="1386"/>
      <c r="M79" s="1375"/>
      <c r="N79" s="1375"/>
      <c r="O79" s="1375"/>
      <c r="P79" s="1386"/>
      <c r="Q79" s="1375"/>
      <c r="R79" s="1375"/>
      <c r="S79" s="1375"/>
      <c r="T79" s="1386"/>
      <c r="U79" s="1375"/>
      <c r="V79" s="1375"/>
      <c r="W79" s="1416"/>
      <c r="X79" s="1420"/>
    </row>
    <row r="80" spans="1:24" ht="15">
      <c r="A80" s="1372"/>
      <c r="B80" s="1373"/>
      <c r="C80" s="1372"/>
      <c r="D80" s="1372"/>
      <c r="E80" s="1372"/>
      <c r="F80" s="1385"/>
      <c r="G80" s="1373"/>
      <c r="H80" s="1386"/>
      <c r="I80" s="1386"/>
      <c r="J80" s="1375"/>
      <c r="K80" s="1375"/>
      <c r="L80" s="1386"/>
      <c r="M80" s="1375"/>
      <c r="N80" s="1375"/>
      <c r="O80" s="1375"/>
      <c r="P80" s="1386"/>
      <c r="Q80" s="1375"/>
      <c r="R80" s="1375"/>
      <c r="S80" s="1375"/>
      <c r="T80" s="1386"/>
      <c r="U80" s="1375"/>
      <c r="V80" s="1375"/>
      <c r="W80" s="1416"/>
      <c r="X80" s="1420"/>
    </row>
    <row r="81" spans="1:24" ht="15">
      <c r="A81" s="1372"/>
      <c r="B81" s="1373"/>
      <c r="C81" s="1372"/>
      <c r="D81" s="1372"/>
      <c r="E81" s="1374"/>
      <c r="F81" s="1385"/>
      <c r="G81" s="1373"/>
      <c r="H81" s="1386"/>
      <c r="I81" s="1386"/>
      <c r="J81" s="1375"/>
      <c r="K81" s="1375"/>
      <c r="L81" s="1386"/>
      <c r="M81" s="1375"/>
      <c r="N81" s="1375"/>
      <c r="O81" s="1375"/>
      <c r="P81" s="1386"/>
      <c r="Q81" s="1375"/>
      <c r="R81" s="1375"/>
      <c r="S81" s="1375"/>
      <c r="T81" s="1386"/>
      <c r="U81" s="1375"/>
      <c r="V81" s="1375"/>
      <c r="W81" s="1416"/>
      <c r="X81" s="1420"/>
    </row>
    <row r="82" spans="1:24" ht="15">
      <c r="A82" s="1372"/>
      <c r="B82" s="1373"/>
      <c r="C82" s="1372"/>
      <c r="D82" s="1372"/>
      <c r="E82" s="1374"/>
      <c r="F82" s="1385"/>
      <c r="G82" s="1373"/>
      <c r="H82" s="1386"/>
      <c r="I82" s="1386"/>
      <c r="J82" s="1375"/>
      <c r="K82" s="1375"/>
      <c r="L82" s="1386"/>
      <c r="M82" s="1375"/>
      <c r="N82" s="1375"/>
      <c r="O82" s="1375"/>
      <c r="P82" s="1386"/>
      <c r="Q82" s="1375"/>
      <c r="R82" s="1375"/>
      <c r="S82" s="1375"/>
      <c r="T82" s="1386"/>
      <c r="U82" s="1375"/>
      <c r="V82" s="1375"/>
      <c r="W82" s="1416"/>
      <c r="X82" s="1420"/>
    </row>
    <row r="83" spans="1:24" ht="15">
      <c r="A83" s="1372"/>
      <c r="B83" s="1373"/>
      <c r="C83" s="1372"/>
      <c r="D83" s="1372"/>
      <c r="E83" s="1374"/>
      <c r="F83" s="1385"/>
      <c r="G83" s="1373"/>
      <c r="H83" s="1386"/>
      <c r="I83" s="1386"/>
      <c r="J83" s="1375"/>
      <c r="K83" s="1375"/>
      <c r="L83" s="1386"/>
      <c r="M83" s="1375"/>
      <c r="N83" s="1375"/>
      <c r="O83" s="1375"/>
      <c r="P83" s="1386"/>
      <c r="Q83" s="1375"/>
      <c r="R83" s="1375"/>
      <c r="S83" s="1375"/>
      <c r="T83" s="1386"/>
      <c r="U83" s="1375"/>
      <c r="V83" s="1375"/>
      <c r="W83" s="1416"/>
      <c r="X83" s="1420"/>
    </row>
    <row r="84" spans="1:24" ht="15">
      <c r="A84" s="1372"/>
      <c r="B84" s="1373"/>
      <c r="C84" s="1372"/>
      <c r="D84" s="1372"/>
      <c r="E84" s="1374"/>
      <c r="F84" s="1385"/>
      <c r="G84" s="1373"/>
      <c r="H84" s="1386"/>
      <c r="I84" s="1386"/>
      <c r="J84" s="1375"/>
      <c r="K84" s="1375"/>
      <c r="L84" s="1386"/>
      <c r="M84" s="1375"/>
      <c r="N84" s="1375"/>
      <c r="O84" s="1375"/>
      <c r="P84" s="1386"/>
      <c r="Q84" s="1375"/>
      <c r="R84" s="1375"/>
      <c r="S84" s="1375"/>
      <c r="T84" s="1386"/>
      <c r="U84" s="1375"/>
      <c r="V84" s="1375"/>
      <c r="W84" s="1416"/>
      <c r="X84" s="1420"/>
    </row>
    <row r="85" spans="1:24" ht="15">
      <c r="A85" s="1372"/>
      <c r="B85" s="1373"/>
      <c r="C85" s="1372"/>
      <c r="D85" s="1372"/>
      <c r="E85" s="1374"/>
      <c r="F85" s="1385"/>
      <c r="G85" s="1373"/>
      <c r="H85" s="1386"/>
      <c r="I85" s="1386"/>
      <c r="J85" s="1375"/>
      <c r="K85" s="1375"/>
      <c r="L85" s="1386"/>
      <c r="M85" s="1375"/>
      <c r="N85" s="1375"/>
      <c r="O85" s="1375"/>
      <c r="P85" s="1386"/>
      <c r="Q85" s="1375"/>
      <c r="R85" s="1375"/>
      <c r="S85" s="1375"/>
      <c r="T85" s="1386"/>
      <c r="U85" s="1375"/>
      <c r="V85" s="1375"/>
      <c r="W85" s="1416"/>
      <c r="X85" s="1420"/>
    </row>
    <row r="86" spans="1:24" ht="15">
      <c r="A86" s="1372"/>
      <c r="B86" s="1373"/>
      <c r="C86" s="1372"/>
      <c r="D86" s="1372"/>
      <c r="E86" s="1374"/>
      <c r="F86" s="1385"/>
      <c r="G86" s="1373"/>
      <c r="H86" s="1386"/>
      <c r="I86" s="1386"/>
      <c r="J86" s="1375"/>
      <c r="K86" s="1375"/>
      <c r="L86" s="1386"/>
      <c r="M86" s="1375"/>
      <c r="N86" s="1375"/>
      <c r="O86" s="1375"/>
      <c r="P86" s="1386"/>
      <c r="Q86" s="1375"/>
      <c r="R86" s="1375"/>
      <c r="S86" s="1375"/>
      <c r="T86" s="1386"/>
      <c r="U86" s="1375"/>
      <c r="V86" s="1375"/>
      <c r="W86" s="1416"/>
      <c r="X86" s="1420"/>
    </row>
    <row r="87" spans="1:24" ht="15">
      <c r="A87" s="1372"/>
      <c r="B87" s="1373"/>
      <c r="C87" s="1372"/>
      <c r="D87" s="1372"/>
      <c r="E87" s="1374"/>
      <c r="F87" s="1385"/>
      <c r="G87" s="1373"/>
      <c r="H87" s="1386"/>
      <c r="I87" s="1386"/>
      <c r="J87" s="1375"/>
      <c r="K87" s="1375"/>
      <c r="L87" s="1386"/>
      <c r="M87" s="1375"/>
      <c r="N87" s="1375"/>
      <c r="O87" s="1375"/>
      <c r="P87" s="1386"/>
      <c r="Q87" s="1375"/>
      <c r="R87" s="1375"/>
      <c r="S87" s="1375"/>
      <c r="T87" s="1386"/>
      <c r="U87" s="1375"/>
      <c r="V87" s="1375"/>
      <c r="W87" s="1416"/>
      <c r="X87" s="1420"/>
    </row>
    <row r="88" spans="1:24" ht="15">
      <c r="A88" s="1372"/>
      <c r="B88" s="1373"/>
      <c r="C88" s="1372"/>
      <c r="D88" s="1372"/>
      <c r="E88" s="1374"/>
      <c r="F88" s="1385"/>
      <c r="G88" s="1373"/>
      <c r="H88" s="1386"/>
      <c r="I88" s="1386"/>
      <c r="J88" s="1375"/>
      <c r="K88" s="1375"/>
      <c r="L88" s="1386"/>
      <c r="M88" s="1375"/>
      <c r="N88" s="1375"/>
      <c r="O88" s="1375"/>
      <c r="P88" s="1386"/>
      <c r="Q88" s="1375"/>
      <c r="R88" s="1375"/>
      <c r="S88" s="1375"/>
      <c r="T88" s="1386"/>
      <c r="U88" s="1375"/>
      <c r="V88" s="1375"/>
      <c r="W88" s="1416"/>
      <c r="X88" s="1420"/>
    </row>
    <row r="89" spans="1:24" ht="15">
      <c r="A89" s="1372"/>
      <c r="B89" s="1412"/>
      <c r="C89" s="1372"/>
      <c r="D89" s="1372"/>
      <c r="E89" s="1372"/>
      <c r="F89" s="1385"/>
      <c r="G89" s="1373"/>
      <c r="H89" s="1386"/>
      <c r="I89" s="1386"/>
      <c r="J89" s="1375"/>
      <c r="K89" s="1375"/>
      <c r="L89" s="1386"/>
      <c r="M89" s="1375"/>
      <c r="N89" s="1375"/>
      <c r="O89" s="1375"/>
      <c r="P89" s="1386"/>
      <c r="Q89" s="1375"/>
      <c r="R89" s="1375"/>
      <c r="S89" s="1375"/>
      <c r="T89" s="1386"/>
      <c r="U89" s="1375"/>
      <c r="V89" s="1375"/>
      <c r="W89" s="1416"/>
      <c r="X89" s="1420"/>
    </row>
    <row r="90" spans="1:24" ht="15">
      <c r="A90" s="1372"/>
      <c r="B90" s="1412"/>
      <c r="C90" s="1372"/>
      <c r="D90" s="1372"/>
      <c r="E90" s="1372"/>
      <c r="F90" s="1385"/>
      <c r="G90" s="1373"/>
      <c r="H90" s="1386"/>
      <c r="I90" s="1386"/>
      <c r="J90" s="1375"/>
      <c r="K90" s="1375"/>
      <c r="L90" s="1386"/>
      <c r="M90" s="1375"/>
      <c r="N90" s="1375"/>
      <c r="O90" s="1375"/>
      <c r="P90" s="1386"/>
      <c r="Q90" s="1375"/>
      <c r="R90" s="1375"/>
      <c r="S90" s="1375"/>
      <c r="T90" s="1386"/>
      <c r="U90" s="1375"/>
      <c r="V90" s="1375"/>
      <c r="W90" s="1416"/>
      <c r="X90" s="1420"/>
    </row>
    <row r="91" spans="1:24" ht="15">
      <c r="A91" s="1372"/>
      <c r="B91" s="1412"/>
      <c r="C91" s="1372"/>
      <c r="D91" s="1372"/>
      <c r="E91" s="1372"/>
      <c r="F91" s="1385"/>
      <c r="G91" s="1373"/>
      <c r="H91" s="1386"/>
      <c r="I91" s="1386"/>
      <c r="J91" s="1375"/>
      <c r="K91" s="1375"/>
      <c r="L91" s="1386"/>
      <c r="M91" s="1375"/>
      <c r="N91" s="1375"/>
      <c r="O91" s="1375"/>
      <c r="P91" s="1386"/>
      <c r="Q91" s="1375"/>
      <c r="R91" s="1375"/>
      <c r="S91" s="1375"/>
      <c r="T91" s="1386"/>
      <c r="U91" s="1375"/>
      <c r="V91" s="1375"/>
      <c r="W91" s="1416"/>
      <c r="X91" s="1420"/>
    </row>
    <row r="92" spans="1:24" ht="15">
      <c r="A92" s="1372"/>
      <c r="B92" s="1412"/>
      <c r="C92" s="1372"/>
      <c r="D92" s="1372"/>
      <c r="E92" s="1372"/>
      <c r="F92" s="1385"/>
      <c r="G92" s="1373"/>
      <c r="H92" s="1386"/>
      <c r="I92" s="1386"/>
      <c r="J92" s="1375"/>
      <c r="K92" s="1375"/>
      <c r="L92" s="1386"/>
      <c r="M92" s="1375"/>
      <c r="N92" s="1375"/>
      <c r="O92" s="1375"/>
      <c r="P92" s="1386"/>
      <c r="Q92" s="1375"/>
      <c r="R92" s="1375"/>
      <c r="S92" s="1375"/>
      <c r="T92" s="1386"/>
      <c r="U92" s="1375"/>
      <c r="V92" s="1375"/>
      <c r="W92" s="1416"/>
      <c r="X92" s="1420"/>
    </row>
    <row r="93" spans="1:24" ht="15">
      <c r="A93" s="1372"/>
      <c r="B93" s="1373"/>
      <c r="C93" s="1372"/>
      <c r="D93" s="1372"/>
      <c r="E93" s="1372"/>
      <c r="F93" s="1385"/>
      <c r="G93" s="1373"/>
      <c r="H93" s="1386"/>
      <c r="I93" s="1386"/>
      <c r="J93" s="1375"/>
      <c r="K93" s="1375"/>
      <c r="L93" s="1386"/>
      <c r="M93" s="1375"/>
      <c r="N93" s="1375"/>
      <c r="O93" s="1375"/>
      <c r="P93" s="1386"/>
      <c r="Q93" s="1375"/>
      <c r="R93" s="1375"/>
      <c r="S93" s="1375"/>
      <c r="T93" s="1386"/>
      <c r="U93" s="1375"/>
      <c r="V93" s="1375"/>
      <c r="W93" s="1416"/>
      <c r="X93" s="1420"/>
    </row>
    <row r="94" spans="1:24" ht="15">
      <c r="A94" s="1372"/>
      <c r="B94" s="1373"/>
      <c r="C94" s="1372"/>
      <c r="D94" s="1372"/>
      <c r="E94" s="1372"/>
      <c r="F94" s="1385"/>
      <c r="G94" s="1373"/>
      <c r="H94" s="1386"/>
      <c r="I94" s="1386"/>
      <c r="J94" s="1375"/>
      <c r="K94" s="1375"/>
      <c r="L94" s="1386"/>
      <c r="M94" s="1375"/>
      <c r="N94" s="1375"/>
      <c r="O94" s="1375"/>
      <c r="P94" s="1386"/>
      <c r="Q94" s="1375"/>
      <c r="R94" s="1375"/>
      <c r="S94" s="1375"/>
      <c r="T94" s="1386"/>
      <c r="U94" s="1375"/>
      <c r="V94" s="1375"/>
      <c r="W94" s="1416"/>
      <c r="X94" s="1420"/>
    </row>
    <row r="95" spans="1:24" ht="15">
      <c r="A95" s="1372"/>
      <c r="B95" s="1373"/>
      <c r="C95" s="1372"/>
      <c r="D95" s="1372"/>
      <c r="E95" s="1372"/>
      <c r="F95" s="1385"/>
      <c r="G95" s="1373"/>
      <c r="H95" s="1386"/>
      <c r="I95" s="1386"/>
      <c r="J95" s="1375"/>
      <c r="K95" s="1375"/>
      <c r="L95" s="1386"/>
      <c r="M95" s="1375"/>
      <c r="N95" s="1375"/>
      <c r="O95" s="1375"/>
      <c r="P95" s="1386"/>
      <c r="Q95" s="1375"/>
      <c r="R95" s="1375"/>
      <c r="S95" s="1375"/>
      <c r="T95" s="1386"/>
      <c r="U95" s="1375"/>
      <c r="V95" s="1375"/>
      <c r="W95" s="1416"/>
      <c r="X95" s="1420"/>
    </row>
    <row r="96" spans="1:24" ht="15">
      <c r="A96" s="1372"/>
      <c r="B96" s="1412"/>
      <c r="C96" s="1372"/>
      <c r="D96" s="1372"/>
      <c r="E96" s="1372"/>
      <c r="F96" s="1385"/>
      <c r="G96" s="1373"/>
      <c r="H96" s="1386"/>
      <c r="I96" s="1386"/>
      <c r="J96" s="1375"/>
      <c r="K96" s="1375"/>
      <c r="L96" s="1386"/>
      <c r="M96" s="1375"/>
      <c r="N96" s="1375"/>
      <c r="O96" s="1375"/>
      <c r="P96" s="1386"/>
      <c r="Q96" s="1375"/>
      <c r="R96" s="1375"/>
      <c r="S96" s="1375"/>
      <c r="T96" s="1386"/>
      <c r="U96" s="1375"/>
      <c r="V96" s="1375"/>
      <c r="W96" s="1416"/>
      <c r="X96" s="1420"/>
    </row>
    <row r="97" spans="1:24" ht="15">
      <c r="A97" s="1372"/>
      <c r="B97" s="1412"/>
      <c r="C97" s="1372"/>
      <c r="D97" s="1372"/>
      <c r="E97" s="1372"/>
      <c r="F97" s="1385"/>
      <c r="G97" s="1373"/>
      <c r="H97" s="1386"/>
      <c r="I97" s="1386"/>
      <c r="J97" s="1375"/>
      <c r="K97" s="1375"/>
      <c r="L97" s="1386"/>
      <c r="M97" s="1375"/>
      <c r="N97" s="1375"/>
      <c r="O97" s="1375"/>
      <c r="P97" s="1386"/>
      <c r="Q97" s="1375"/>
      <c r="R97" s="1375"/>
      <c r="S97" s="1375"/>
      <c r="T97" s="1386"/>
      <c r="U97" s="1375"/>
      <c r="V97" s="1375"/>
      <c r="W97" s="1416"/>
      <c r="X97" s="1420"/>
    </row>
    <row r="98" spans="1:24" ht="15">
      <c r="A98" s="1372"/>
      <c r="B98" s="1412"/>
      <c r="C98" s="1372"/>
      <c r="D98" s="1372"/>
      <c r="E98" s="1372"/>
      <c r="F98" s="1385"/>
      <c r="G98" s="1373"/>
      <c r="H98" s="1386"/>
      <c r="I98" s="1386"/>
      <c r="J98" s="1375"/>
      <c r="K98" s="1375"/>
      <c r="L98" s="1386"/>
      <c r="M98" s="1375"/>
      <c r="N98" s="1375"/>
      <c r="O98" s="1375"/>
      <c r="P98" s="1386"/>
      <c r="Q98" s="1375"/>
      <c r="R98" s="1375"/>
      <c r="S98" s="1375"/>
      <c r="T98" s="1386"/>
      <c r="U98" s="1375"/>
      <c r="V98" s="1375"/>
      <c r="W98" s="1416"/>
      <c r="X98" s="1420"/>
    </row>
    <row r="99" spans="1:24" ht="15">
      <c r="A99" s="1372"/>
      <c r="B99" s="1412"/>
      <c r="C99" s="1372"/>
      <c r="D99" s="1372"/>
      <c r="E99" s="1372"/>
      <c r="F99" s="1385"/>
      <c r="G99" s="1373"/>
      <c r="H99" s="1386"/>
      <c r="I99" s="1386"/>
      <c r="J99" s="1375"/>
      <c r="K99" s="1375"/>
      <c r="L99" s="1386"/>
      <c r="M99" s="1375"/>
      <c r="N99" s="1375"/>
      <c r="O99" s="1375"/>
      <c r="P99" s="1386"/>
      <c r="Q99" s="1375"/>
      <c r="R99" s="1375"/>
      <c r="S99" s="1375"/>
      <c r="T99" s="1386"/>
      <c r="U99" s="1375"/>
      <c r="V99" s="1375"/>
      <c r="W99" s="1416"/>
      <c r="X99" s="1420"/>
    </row>
    <row r="100" spans="1:24" ht="15">
      <c r="A100" s="1372"/>
      <c r="B100" s="1412"/>
      <c r="C100" s="1372"/>
      <c r="D100" s="1372"/>
      <c r="E100" s="1372"/>
      <c r="F100" s="1385"/>
      <c r="G100" s="1373"/>
      <c r="H100" s="1386"/>
      <c r="I100" s="1386"/>
      <c r="J100" s="1375"/>
      <c r="K100" s="1375"/>
      <c r="L100" s="1386"/>
      <c r="M100" s="1375"/>
      <c r="N100" s="1375"/>
      <c r="O100" s="1375"/>
      <c r="P100" s="1386"/>
      <c r="Q100" s="1375"/>
      <c r="R100" s="1375"/>
      <c r="S100" s="1375"/>
      <c r="T100" s="1386"/>
      <c r="U100" s="1375"/>
      <c r="V100" s="1375"/>
      <c r="W100" s="1416"/>
      <c r="X100" s="1420"/>
    </row>
    <row r="101" spans="1:24" ht="15">
      <c r="A101" s="1372"/>
      <c r="B101" s="1412"/>
      <c r="C101" s="1372"/>
      <c r="D101" s="1372"/>
      <c r="E101" s="1372"/>
      <c r="F101" s="1385"/>
      <c r="G101" s="1373"/>
      <c r="H101" s="1386"/>
      <c r="I101" s="1386"/>
      <c r="J101" s="1375"/>
      <c r="K101" s="1375"/>
      <c r="L101" s="1386"/>
      <c r="M101" s="1375"/>
      <c r="N101" s="1375"/>
      <c r="O101" s="1375"/>
      <c r="P101" s="1386"/>
      <c r="Q101" s="1375"/>
      <c r="R101" s="1375"/>
      <c r="S101" s="1375"/>
      <c r="T101" s="1386"/>
      <c r="U101" s="1375"/>
      <c r="V101" s="1375"/>
      <c r="W101" s="1416"/>
      <c r="X101" s="1420"/>
    </row>
    <row r="102" spans="1:24" ht="15">
      <c r="A102" s="1372"/>
      <c r="B102" s="1412"/>
      <c r="C102" s="1372"/>
      <c r="D102" s="1372"/>
      <c r="E102" s="1372"/>
      <c r="F102" s="1385"/>
      <c r="G102" s="1373"/>
      <c r="H102" s="1386"/>
      <c r="I102" s="1386"/>
      <c r="J102" s="1375"/>
      <c r="K102" s="1375"/>
      <c r="L102" s="1386"/>
      <c r="M102" s="1375"/>
      <c r="N102" s="1375"/>
      <c r="O102" s="1375"/>
      <c r="P102" s="1386"/>
      <c r="Q102" s="1375"/>
      <c r="R102" s="1375"/>
      <c r="S102" s="1375"/>
      <c r="T102" s="1386"/>
      <c r="U102" s="1375"/>
      <c r="V102" s="1375"/>
      <c r="W102" s="1416"/>
      <c r="X102" s="1420"/>
    </row>
    <row r="103" spans="1:24" ht="15">
      <c r="A103" s="1372"/>
      <c r="B103" s="1373"/>
      <c r="C103" s="1372"/>
      <c r="D103" s="1372"/>
      <c r="E103" s="1372"/>
      <c r="F103" s="1385"/>
      <c r="G103" s="1373"/>
      <c r="H103" s="1386"/>
      <c r="I103" s="1386"/>
      <c r="J103" s="1375"/>
      <c r="K103" s="1375"/>
      <c r="L103" s="1386"/>
      <c r="M103" s="1375"/>
      <c r="N103" s="1375"/>
      <c r="O103" s="1375"/>
      <c r="P103" s="1386"/>
      <c r="Q103" s="1375"/>
      <c r="R103" s="1375"/>
      <c r="S103" s="1375"/>
      <c r="T103" s="1386"/>
      <c r="U103" s="1375"/>
      <c r="V103" s="1375"/>
      <c r="W103" s="1416"/>
      <c r="X103" s="1420"/>
    </row>
    <row r="104" spans="1:24" ht="15">
      <c r="A104" s="1372"/>
      <c r="B104" s="1373"/>
      <c r="C104" s="1372"/>
      <c r="D104" s="1372"/>
      <c r="E104" s="1374"/>
      <c r="F104" s="1385"/>
      <c r="G104" s="1373"/>
      <c r="H104" s="1386"/>
      <c r="I104" s="1386"/>
      <c r="J104" s="1375"/>
      <c r="K104" s="1375"/>
      <c r="L104" s="1386"/>
      <c r="M104" s="1375"/>
      <c r="N104" s="1375"/>
      <c r="O104" s="1375"/>
      <c r="P104" s="1386"/>
      <c r="Q104" s="1375"/>
      <c r="R104" s="1375"/>
      <c r="S104" s="1375"/>
      <c r="T104" s="1386"/>
      <c r="U104" s="1375"/>
      <c r="V104" s="1375"/>
      <c r="W104" s="1416"/>
      <c r="X104" s="1420"/>
    </row>
    <row r="105" spans="1:24" ht="15">
      <c r="A105" s="1372"/>
      <c r="B105" s="1373"/>
      <c r="C105" s="1372"/>
      <c r="D105" s="1372"/>
      <c r="E105" s="1372"/>
      <c r="F105" s="1385"/>
      <c r="G105" s="1373"/>
      <c r="H105" s="1386"/>
      <c r="I105" s="1386"/>
      <c r="J105" s="1375"/>
      <c r="K105" s="1375"/>
      <c r="L105" s="1386"/>
      <c r="M105" s="1375"/>
      <c r="N105" s="1375"/>
      <c r="O105" s="1375"/>
      <c r="P105" s="1386"/>
      <c r="Q105" s="1375"/>
      <c r="R105" s="1375"/>
      <c r="S105" s="1375"/>
      <c r="T105" s="1386"/>
      <c r="U105" s="1375"/>
      <c r="V105" s="1375"/>
      <c r="W105" s="1416"/>
      <c r="X105" s="1420"/>
    </row>
    <row r="106" spans="1:24" ht="15">
      <c r="A106" s="1372"/>
      <c r="B106" s="1373"/>
      <c r="C106" s="1372"/>
      <c r="D106" s="1372"/>
      <c r="E106" s="1374"/>
      <c r="F106" s="1385"/>
      <c r="G106" s="1373"/>
      <c r="H106" s="1386"/>
      <c r="I106" s="1386"/>
      <c r="J106" s="1375"/>
      <c r="K106" s="1375"/>
      <c r="L106" s="1386"/>
      <c r="M106" s="1375"/>
      <c r="N106" s="1375"/>
      <c r="O106" s="1375"/>
      <c r="P106" s="1386"/>
      <c r="Q106" s="1375"/>
      <c r="R106" s="1375"/>
      <c r="S106" s="1375"/>
      <c r="T106" s="1386"/>
      <c r="U106" s="1375"/>
      <c r="V106" s="1375"/>
      <c r="W106" s="1416"/>
      <c r="X106" s="1420"/>
    </row>
    <row r="107" spans="1:24" ht="15">
      <c r="A107" s="1372"/>
      <c r="B107" s="1373"/>
      <c r="C107" s="1372"/>
      <c r="D107" s="1372"/>
      <c r="E107" s="1372"/>
      <c r="F107" s="1385"/>
      <c r="G107" s="1373"/>
      <c r="H107" s="1386"/>
      <c r="I107" s="1386"/>
      <c r="J107" s="1375"/>
      <c r="K107" s="1375"/>
      <c r="L107" s="1386"/>
      <c r="M107" s="1375"/>
      <c r="N107" s="1375"/>
      <c r="O107" s="1375"/>
      <c r="P107" s="1386"/>
      <c r="Q107" s="1375"/>
      <c r="R107" s="1375"/>
      <c r="S107" s="1375"/>
      <c r="T107" s="1386"/>
      <c r="U107" s="1375"/>
      <c r="V107" s="1375"/>
      <c r="W107" s="1416"/>
      <c r="X107" s="1420"/>
    </row>
    <row r="108" spans="1:24" ht="15">
      <c r="A108" s="1372"/>
      <c r="B108" s="1373"/>
      <c r="C108" s="1372"/>
      <c r="D108" s="1372"/>
      <c r="E108" s="1374"/>
      <c r="F108" s="1385"/>
      <c r="G108" s="1373"/>
      <c r="H108" s="1386"/>
      <c r="I108" s="1386"/>
      <c r="J108" s="1375"/>
      <c r="K108" s="1375"/>
      <c r="L108" s="1386"/>
      <c r="M108" s="1375"/>
      <c r="N108" s="1375"/>
      <c r="O108" s="1375"/>
      <c r="P108" s="1386"/>
      <c r="Q108" s="1375"/>
      <c r="R108" s="1375"/>
      <c r="S108" s="1375"/>
      <c r="T108" s="1386"/>
      <c r="U108" s="1375"/>
      <c r="V108" s="1375"/>
      <c r="W108" s="1416"/>
      <c r="X108" s="1420"/>
    </row>
    <row r="109" spans="1:24" ht="15">
      <c r="A109" s="1372"/>
      <c r="B109" s="1412"/>
      <c r="C109" s="1372"/>
      <c r="D109" s="1372"/>
      <c r="E109" s="1374"/>
      <c r="F109" s="1385"/>
      <c r="G109" s="1373"/>
      <c r="H109" s="1386"/>
      <c r="I109" s="1386"/>
      <c r="J109" s="1375"/>
      <c r="K109" s="1375"/>
      <c r="L109" s="1386"/>
      <c r="M109" s="1375"/>
      <c r="N109" s="1375"/>
      <c r="O109" s="1375"/>
      <c r="P109" s="1386"/>
      <c r="Q109" s="1375"/>
      <c r="R109" s="1375"/>
      <c r="S109" s="1375"/>
      <c r="T109" s="1386"/>
      <c r="U109" s="1375"/>
      <c r="V109" s="1375"/>
      <c r="W109" s="1416"/>
      <c r="X109" s="1420"/>
    </row>
    <row r="110" spans="1:24" ht="15">
      <c r="A110" s="1372"/>
      <c r="B110" s="1412"/>
      <c r="C110" s="1372"/>
      <c r="D110" s="1372"/>
      <c r="E110" s="1374"/>
      <c r="F110" s="1385"/>
      <c r="G110" s="1373"/>
      <c r="H110" s="1386"/>
      <c r="I110" s="1386"/>
      <c r="J110" s="1375"/>
      <c r="K110" s="1375"/>
      <c r="L110" s="1386"/>
      <c r="M110" s="1375"/>
      <c r="N110" s="1375"/>
      <c r="O110" s="1375"/>
      <c r="P110" s="1386"/>
      <c r="Q110" s="1375"/>
      <c r="R110" s="1375"/>
      <c r="S110" s="1375"/>
      <c r="T110" s="1386"/>
      <c r="U110" s="1375"/>
      <c r="V110" s="1375"/>
      <c r="W110" s="1416"/>
      <c r="X110" s="1420"/>
    </row>
    <row r="111" spans="1:24" ht="15">
      <c r="A111" s="1372"/>
      <c r="B111" s="1412"/>
      <c r="C111" s="1372"/>
      <c r="D111" s="1372"/>
      <c r="E111" s="1372"/>
      <c r="F111" s="1385"/>
      <c r="G111" s="1373"/>
      <c r="H111" s="1386"/>
      <c r="I111" s="1386"/>
      <c r="J111" s="1375"/>
      <c r="K111" s="1375"/>
      <c r="L111" s="1386"/>
      <c r="M111" s="1375"/>
      <c r="N111" s="1375"/>
      <c r="O111" s="1375"/>
      <c r="P111" s="1386"/>
      <c r="Q111" s="1375"/>
      <c r="R111" s="1375"/>
      <c r="S111" s="1375"/>
      <c r="T111" s="1386"/>
      <c r="U111" s="1375"/>
      <c r="V111" s="1375"/>
      <c r="W111" s="1416"/>
      <c r="X111" s="1420"/>
    </row>
    <row r="112" spans="1:24" ht="15">
      <c r="A112" s="1372"/>
      <c r="B112" s="1412"/>
      <c r="C112" s="1372"/>
      <c r="D112" s="1372"/>
      <c r="E112" s="1372"/>
      <c r="F112" s="1385"/>
      <c r="G112" s="1373"/>
      <c r="H112" s="1386"/>
      <c r="I112" s="1386"/>
      <c r="J112" s="1375"/>
      <c r="K112" s="1375"/>
      <c r="L112" s="1386"/>
      <c r="M112" s="1375"/>
      <c r="N112" s="1375"/>
      <c r="O112" s="1375"/>
      <c r="P112" s="1386"/>
      <c r="Q112" s="1375"/>
      <c r="R112" s="1375"/>
      <c r="S112" s="1375"/>
      <c r="T112" s="1386"/>
      <c r="U112" s="1375"/>
      <c r="V112" s="1375"/>
      <c r="W112" s="1416"/>
      <c r="X112" s="1420"/>
    </row>
    <row r="113" spans="1:24" ht="15">
      <c r="A113" s="1372"/>
      <c r="B113" s="1412"/>
      <c r="C113" s="1372"/>
      <c r="D113" s="1372"/>
      <c r="E113" s="1374"/>
      <c r="F113" s="1385"/>
      <c r="G113" s="1373"/>
      <c r="H113" s="1386"/>
      <c r="I113" s="1386"/>
      <c r="J113" s="1375"/>
      <c r="K113" s="1375"/>
      <c r="L113" s="1386"/>
      <c r="M113" s="1375"/>
      <c r="N113" s="1375"/>
      <c r="O113" s="1375"/>
      <c r="P113" s="1386"/>
      <c r="Q113" s="1375"/>
      <c r="R113" s="1375"/>
      <c r="S113" s="1375"/>
      <c r="T113" s="1386"/>
      <c r="U113" s="1375"/>
      <c r="V113" s="1375"/>
      <c r="W113" s="1416"/>
      <c r="X113" s="1420"/>
    </row>
    <row r="114" spans="1:24" ht="15">
      <c r="A114" s="1372"/>
      <c r="B114" s="1412"/>
      <c r="C114" s="1372"/>
      <c r="D114" s="1372"/>
      <c r="E114" s="1372"/>
      <c r="F114" s="1385"/>
      <c r="G114" s="1373"/>
      <c r="H114" s="1386"/>
      <c r="I114" s="1386"/>
      <c r="J114" s="1375"/>
      <c r="K114" s="1375"/>
      <c r="L114" s="1386"/>
      <c r="M114" s="1375"/>
      <c r="N114" s="1375"/>
      <c r="O114" s="1375"/>
      <c r="P114" s="1386"/>
      <c r="Q114" s="1375"/>
      <c r="R114" s="1375"/>
      <c r="S114" s="1375"/>
      <c r="T114" s="1386"/>
      <c r="U114" s="1375"/>
      <c r="V114" s="1375"/>
      <c r="W114" s="1416"/>
      <c r="X114" s="1420"/>
    </row>
    <row r="115" spans="1:24" ht="15">
      <c r="A115" s="1372"/>
      <c r="B115" s="1412"/>
      <c r="C115" s="1372"/>
      <c r="D115" s="1372"/>
      <c r="E115" s="1372"/>
      <c r="F115" s="1385"/>
      <c r="G115" s="1373"/>
      <c r="H115" s="1386"/>
      <c r="I115" s="1386"/>
      <c r="J115" s="1375"/>
      <c r="K115" s="1375"/>
      <c r="L115" s="1386"/>
      <c r="M115" s="1375"/>
      <c r="N115" s="1375"/>
      <c r="O115" s="1375"/>
      <c r="P115" s="1386"/>
      <c r="Q115" s="1375"/>
      <c r="R115" s="1375"/>
      <c r="S115" s="1375"/>
      <c r="T115" s="1386"/>
      <c r="U115" s="1375"/>
      <c r="V115" s="1375"/>
      <c r="W115" s="1416"/>
      <c r="X115" s="1420"/>
    </row>
    <row r="116" spans="1:24" ht="15">
      <c r="A116" s="1372"/>
      <c r="B116" s="1412"/>
      <c r="C116" s="1372"/>
      <c r="D116" s="1372"/>
      <c r="E116" s="1372"/>
      <c r="F116" s="1385"/>
      <c r="G116" s="1373"/>
      <c r="H116" s="1386"/>
      <c r="I116" s="1386"/>
      <c r="J116" s="1375"/>
      <c r="K116" s="1375"/>
      <c r="L116" s="1386"/>
      <c r="M116" s="1375"/>
      <c r="N116" s="1375"/>
      <c r="O116" s="1375"/>
      <c r="P116" s="1386"/>
      <c r="Q116" s="1375"/>
      <c r="R116" s="1375"/>
      <c r="S116" s="1375"/>
      <c r="T116" s="1386"/>
      <c r="U116" s="1375"/>
      <c r="V116" s="1375"/>
      <c r="W116" s="1416"/>
      <c r="X116" s="1420"/>
    </row>
    <row r="117" spans="1:24" ht="15">
      <c r="A117" s="1372"/>
      <c r="B117" s="1412"/>
      <c r="C117" s="1372"/>
      <c r="D117" s="1372"/>
      <c r="E117" s="1372"/>
      <c r="F117" s="1385"/>
      <c r="G117" s="1373"/>
      <c r="H117" s="1386"/>
      <c r="I117" s="1386"/>
      <c r="J117" s="1375"/>
      <c r="K117" s="1375"/>
      <c r="L117" s="1386"/>
      <c r="M117" s="1375"/>
      <c r="N117" s="1375"/>
      <c r="O117" s="1375"/>
      <c r="P117" s="1386"/>
      <c r="Q117" s="1375"/>
      <c r="R117" s="1375"/>
      <c r="S117" s="1375"/>
      <c r="T117" s="1386"/>
      <c r="U117" s="1375"/>
      <c r="V117" s="1375"/>
      <c r="W117" s="1416"/>
      <c r="X117" s="1420"/>
    </row>
    <row r="118" spans="1:24" ht="15">
      <c r="A118" s="1372"/>
      <c r="B118" s="1373"/>
      <c r="C118" s="1372"/>
      <c r="D118" s="1372"/>
      <c r="E118" s="1374"/>
      <c r="F118" s="1385"/>
      <c r="G118" s="1373"/>
      <c r="H118" s="1386"/>
      <c r="I118" s="1386"/>
      <c r="J118" s="1375"/>
      <c r="K118" s="1375"/>
      <c r="L118" s="1386"/>
      <c r="M118" s="1375"/>
      <c r="N118" s="1375"/>
      <c r="O118" s="1375"/>
      <c r="P118" s="1386"/>
      <c r="Q118" s="1375"/>
      <c r="R118" s="1375"/>
      <c r="S118" s="1375"/>
      <c r="T118" s="1386"/>
      <c r="U118" s="1375"/>
      <c r="V118" s="1375"/>
      <c r="W118" s="1416"/>
      <c r="X118" s="1420"/>
    </row>
    <row r="119" spans="1:24" ht="15">
      <c r="A119" s="1372"/>
      <c r="B119" s="1373"/>
      <c r="C119" s="1372"/>
      <c r="D119" s="1372"/>
      <c r="E119" s="1374"/>
      <c r="F119" s="1385"/>
      <c r="G119" s="1373"/>
      <c r="H119" s="1386"/>
      <c r="I119" s="1386"/>
      <c r="J119" s="1375"/>
      <c r="K119" s="1375"/>
      <c r="L119" s="1386"/>
      <c r="M119" s="1375"/>
      <c r="N119" s="1375"/>
      <c r="O119" s="1375"/>
      <c r="P119" s="1386"/>
      <c r="Q119" s="1375"/>
      <c r="R119" s="1375"/>
      <c r="S119" s="1375"/>
      <c r="T119" s="1386"/>
      <c r="U119" s="1375"/>
      <c r="V119" s="1375"/>
      <c r="W119" s="1416"/>
      <c r="X119" s="1420"/>
    </row>
    <row r="120" spans="1:24" ht="15">
      <c r="A120" s="1372"/>
      <c r="B120" s="1373"/>
      <c r="C120" s="1372"/>
      <c r="D120" s="1372"/>
      <c r="E120" s="1374"/>
      <c r="F120" s="1385"/>
      <c r="G120" s="1373"/>
      <c r="H120" s="1386"/>
      <c r="I120" s="1386"/>
      <c r="J120" s="1375"/>
      <c r="K120" s="1375"/>
      <c r="L120" s="1386"/>
      <c r="M120" s="1375"/>
      <c r="N120" s="1375"/>
      <c r="O120" s="1375"/>
      <c r="P120" s="1386"/>
      <c r="Q120" s="1375"/>
      <c r="R120" s="1375"/>
      <c r="S120" s="1375"/>
      <c r="T120" s="1386"/>
      <c r="U120" s="1375"/>
      <c r="V120" s="1375"/>
      <c r="W120" s="1416"/>
      <c r="X120" s="1420"/>
    </row>
    <row r="121" spans="1:24" ht="15">
      <c r="A121" s="1372"/>
      <c r="B121" s="1373"/>
      <c r="C121" s="1372"/>
      <c r="D121" s="1372"/>
      <c r="E121" s="1374"/>
      <c r="F121" s="1385"/>
      <c r="G121" s="1373"/>
      <c r="H121" s="1386"/>
      <c r="I121" s="1386"/>
      <c r="J121" s="1375"/>
      <c r="K121" s="1375"/>
      <c r="L121" s="1386"/>
      <c r="M121" s="1375"/>
      <c r="N121" s="1375"/>
      <c r="O121" s="1375"/>
      <c r="P121" s="1386"/>
      <c r="Q121" s="1375"/>
      <c r="R121" s="1375"/>
      <c r="S121" s="1375"/>
      <c r="T121" s="1386"/>
      <c r="U121" s="1375"/>
      <c r="V121" s="1375"/>
      <c r="W121" s="1416"/>
      <c r="X121" s="1420"/>
    </row>
    <row r="122" spans="1:24" ht="15">
      <c r="A122" s="1372"/>
      <c r="B122" s="1373"/>
      <c r="C122" s="1372"/>
      <c r="D122" s="1372"/>
      <c r="E122" s="1372"/>
      <c r="F122" s="1385"/>
      <c r="G122" s="1373"/>
      <c r="H122" s="1386"/>
      <c r="I122" s="1386"/>
      <c r="J122" s="1375"/>
      <c r="K122" s="1375"/>
      <c r="L122" s="1386"/>
      <c r="M122" s="1375"/>
      <c r="N122" s="1375"/>
      <c r="O122" s="1375"/>
      <c r="P122" s="1386"/>
      <c r="Q122" s="1375"/>
      <c r="R122" s="1375"/>
      <c r="S122" s="1375"/>
      <c r="T122" s="1386"/>
      <c r="U122" s="1375"/>
      <c r="V122" s="1375"/>
      <c r="W122" s="1416"/>
      <c r="X122" s="1420"/>
    </row>
    <row r="123" spans="1:24" ht="15">
      <c r="A123" s="1372"/>
      <c r="B123" s="1373"/>
      <c r="C123" s="1372"/>
      <c r="D123" s="1372"/>
      <c r="E123" s="1372"/>
      <c r="F123" s="1385"/>
      <c r="G123" s="1373"/>
      <c r="H123" s="1386"/>
      <c r="I123" s="1386"/>
      <c r="J123" s="1375"/>
      <c r="K123" s="1375"/>
      <c r="L123" s="1386"/>
      <c r="M123" s="1375"/>
      <c r="N123" s="1375"/>
      <c r="O123" s="1375"/>
      <c r="P123" s="1386"/>
      <c r="Q123" s="1375"/>
      <c r="R123" s="1375"/>
      <c r="S123" s="1375"/>
      <c r="T123" s="1386"/>
      <c r="U123" s="1375"/>
      <c r="V123" s="1375"/>
      <c r="W123" s="1416"/>
      <c r="X123" s="1420"/>
    </row>
    <row r="124" spans="1:24" ht="15">
      <c r="A124" s="1372"/>
      <c r="B124" s="1373"/>
      <c r="C124" s="1372"/>
      <c r="D124" s="1372"/>
      <c r="E124" s="1374"/>
      <c r="F124" s="1385"/>
      <c r="G124" s="1373"/>
      <c r="H124" s="1386"/>
      <c r="I124" s="1386"/>
      <c r="J124" s="1375"/>
      <c r="K124" s="1375"/>
      <c r="L124" s="1386"/>
      <c r="M124" s="1375"/>
      <c r="N124" s="1375"/>
      <c r="O124" s="1375"/>
      <c r="P124" s="1386"/>
      <c r="Q124" s="1375"/>
      <c r="R124" s="1375"/>
      <c r="S124" s="1375"/>
      <c r="T124" s="1386"/>
      <c r="U124" s="1375"/>
      <c r="V124" s="1375"/>
      <c r="W124" s="1416"/>
      <c r="X124" s="1420"/>
    </row>
    <row r="125" spans="1:24" ht="15">
      <c r="A125" s="1372"/>
      <c r="B125" s="1373"/>
      <c r="C125" s="1372"/>
      <c r="D125" s="1372"/>
      <c r="E125" s="1374"/>
      <c r="F125" s="1385"/>
      <c r="G125" s="1373"/>
      <c r="H125" s="1386"/>
      <c r="I125" s="1386"/>
      <c r="J125" s="1375"/>
      <c r="K125" s="1375"/>
      <c r="L125" s="1386"/>
      <c r="M125" s="1375"/>
      <c r="N125" s="1375"/>
      <c r="O125" s="1375"/>
      <c r="P125" s="1386"/>
      <c r="Q125" s="1375"/>
      <c r="R125" s="1375"/>
      <c r="S125" s="1375"/>
      <c r="T125" s="1386"/>
      <c r="U125" s="1375"/>
      <c r="V125" s="1375"/>
      <c r="W125" s="1416"/>
      <c r="X125" s="1420"/>
    </row>
    <row r="126" spans="1:24" ht="15">
      <c r="A126" s="1372"/>
      <c r="B126" s="1373"/>
      <c r="C126" s="1372"/>
      <c r="D126" s="1372"/>
      <c r="E126" s="1374"/>
      <c r="F126" s="1385"/>
      <c r="G126" s="1373"/>
      <c r="H126" s="1386"/>
      <c r="I126" s="1386"/>
      <c r="J126" s="1375"/>
      <c r="K126" s="1375"/>
      <c r="L126" s="1386"/>
      <c r="M126" s="1375"/>
      <c r="N126" s="1375"/>
      <c r="O126" s="1375"/>
      <c r="P126" s="1386"/>
      <c r="Q126" s="1375"/>
      <c r="R126" s="1375"/>
      <c r="S126" s="1375"/>
      <c r="T126" s="1386"/>
      <c r="U126" s="1375"/>
      <c r="V126" s="1375"/>
      <c r="W126" s="1416"/>
      <c r="X126" s="1420"/>
    </row>
    <row r="127" spans="1:24" ht="15">
      <c r="A127" s="1372"/>
      <c r="B127" s="1373"/>
      <c r="C127" s="1372"/>
      <c r="D127" s="1372"/>
      <c r="E127" s="1374"/>
      <c r="F127" s="1385"/>
      <c r="G127" s="1373"/>
      <c r="H127" s="1386"/>
      <c r="I127" s="1386"/>
      <c r="J127" s="1375"/>
      <c r="K127" s="1375"/>
      <c r="L127" s="1386"/>
      <c r="M127" s="1375"/>
      <c r="N127" s="1375"/>
      <c r="O127" s="1375"/>
      <c r="P127" s="1386"/>
      <c r="Q127" s="1375"/>
      <c r="R127" s="1375"/>
      <c r="S127" s="1375"/>
      <c r="T127" s="1386"/>
      <c r="U127" s="1375"/>
      <c r="V127" s="1375"/>
      <c r="W127" s="1416"/>
      <c r="X127" s="1420"/>
    </row>
    <row r="128" spans="1:24" ht="15">
      <c r="A128" s="1372"/>
      <c r="B128" s="1373"/>
      <c r="C128" s="1372"/>
      <c r="D128" s="1372"/>
      <c r="E128" s="1374"/>
      <c r="F128" s="1385"/>
      <c r="G128" s="1373"/>
      <c r="H128" s="1386"/>
      <c r="I128" s="1386"/>
      <c r="J128" s="1375"/>
      <c r="K128" s="1375"/>
      <c r="L128" s="1386"/>
      <c r="M128" s="1375"/>
      <c r="N128" s="1375"/>
      <c r="O128" s="1375"/>
      <c r="P128" s="1386"/>
      <c r="Q128" s="1375"/>
      <c r="R128" s="1375"/>
      <c r="S128" s="1375"/>
      <c r="T128" s="1386"/>
      <c r="U128" s="1375"/>
      <c r="V128" s="1375"/>
      <c r="W128" s="1416"/>
      <c r="X128" s="1420"/>
    </row>
    <row r="129" spans="1:24" ht="15">
      <c r="A129" s="1372"/>
      <c r="B129" s="1373"/>
      <c r="C129" s="1372"/>
      <c r="D129" s="1372"/>
      <c r="E129" s="1374"/>
      <c r="F129" s="1385"/>
      <c r="G129" s="1373"/>
      <c r="H129" s="1386"/>
      <c r="I129" s="1386"/>
      <c r="J129" s="1375"/>
      <c r="K129" s="1375"/>
      <c r="L129" s="1386"/>
      <c r="M129" s="1375"/>
      <c r="N129" s="1375"/>
      <c r="O129" s="1375"/>
      <c r="P129" s="1386"/>
      <c r="Q129" s="1375"/>
      <c r="R129" s="1375"/>
      <c r="S129" s="1375"/>
      <c r="T129" s="1386"/>
      <c r="U129" s="1375"/>
      <c r="V129" s="1375"/>
      <c r="W129" s="1416"/>
      <c r="X129" s="1420"/>
    </row>
    <row r="130" spans="1:24" ht="15">
      <c r="A130" s="1372"/>
      <c r="B130" s="1373"/>
      <c r="C130" s="1372"/>
      <c r="D130" s="1372"/>
      <c r="E130" s="1374"/>
      <c r="F130" s="1385"/>
      <c r="G130" s="1373"/>
      <c r="H130" s="1386"/>
      <c r="I130" s="1386"/>
      <c r="J130" s="1375"/>
      <c r="K130" s="1375"/>
      <c r="L130" s="1386"/>
      <c r="M130" s="1375"/>
      <c r="N130" s="1375"/>
      <c r="O130" s="1375"/>
      <c r="P130" s="1386"/>
      <c r="Q130" s="1375"/>
      <c r="R130" s="1375"/>
      <c r="S130" s="1375"/>
      <c r="T130" s="1386"/>
      <c r="U130" s="1375"/>
      <c r="V130" s="1375"/>
      <c r="W130" s="1416"/>
      <c r="X130" s="1420"/>
    </row>
    <row r="131" spans="1:24" ht="15">
      <c r="A131" s="1372"/>
      <c r="B131" s="1426"/>
      <c r="C131" s="1372"/>
      <c r="D131" s="1427"/>
      <c r="E131" s="1374"/>
      <c r="F131" s="1385"/>
      <c r="G131" s="1373"/>
      <c r="H131" s="1386"/>
      <c r="I131" s="1386"/>
      <c r="J131" s="1375"/>
      <c r="K131" s="1375"/>
      <c r="L131" s="1386"/>
      <c r="M131" s="1375"/>
      <c r="N131" s="1375"/>
      <c r="O131" s="1375"/>
      <c r="P131" s="1386"/>
      <c r="Q131" s="1375"/>
      <c r="R131" s="1375"/>
      <c r="S131" s="1375"/>
      <c r="T131" s="1386"/>
      <c r="U131" s="1375"/>
      <c r="V131" s="1375"/>
      <c r="W131" s="1416"/>
      <c r="X131" s="1420"/>
    </row>
    <row r="132" spans="1:24" ht="15">
      <c r="A132" s="1372"/>
      <c r="B132" s="1373"/>
      <c r="C132" s="1372"/>
      <c r="D132" s="1372"/>
      <c r="E132" s="1372"/>
      <c r="F132" s="1385"/>
      <c r="G132" s="1373"/>
      <c r="H132" s="1386"/>
      <c r="I132" s="1386"/>
      <c r="J132" s="1375"/>
      <c r="K132" s="1375"/>
      <c r="L132" s="1386"/>
      <c r="M132" s="1375"/>
      <c r="N132" s="1375"/>
      <c r="O132" s="1375"/>
      <c r="P132" s="1386"/>
      <c r="Q132" s="1375"/>
      <c r="R132" s="1375"/>
      <c r="S132" s="1375"/>
      <c r="T132" s="1386"/>
      <c r="U132" s="1375"/>
      <c r="V132" s="1375"/>
      <c r="W132" s="1416"/>
      <c r="X132" s="1420"/>
    </row>
    <row r="133" spans="1:24" ht="15">
      <c r="A133" s="1372"/>
      <c r="B133" s="1373"/>
      <c r="C133" s="1372"/>
      <c r="D133" s="1372"/>
      <c r="E133" s="1374"/>
      <c r="F133" s="1385"/>
      <c r="G133" s="1373"/>
      <c r="H133" s="1386"/>
      <c r="I133" s="1386"/>
      <c r="J133" s="1375"/>
      <c r="K133" s="1375"/>
      <c r="L133" s="1386"/>
      <c r="M133" s="1375"/>
      <c r="N133" s="1375"/>
      <c r="O133" s="1375"/>
      <c r="P133" s="1386"/>
      <c r="Q133" s="1375"/>
      <c r="R133" s="1375"/>
      <c r="S133" s="1375"/>
      <c r="T133" s="1386"/>
      <c r="U133" s="1375"/>
      <c r="V133" s="1375"/>
      <c r="W133" s="1416"/>
      <c r="X133" s="1420"/>
    </row>
    <row r="134" spans="1:24" ht="15">
      <c r="A134" s="1372"/>
      <c r="B134" s="1373"/>
      <c r="C134" s="1372"/>
      <c r="D134" s="1372"/>
      <c r="E134" s="1372"/>
      <c r="F134" s="1385"/>
      <c r="G134" s="1373"/>
      <c r="H134" s="1386"/>
      <c r="I134" s="1386"/>
      <c r="J134" s="1375"/>
      <c r="K134" s="1375"/>
      <c r="L134" s="1386"/>
      <c r="M134" s="1375"/>
      <c r="N134" s="1375"/>
      <c r="O134" s="1375"/>
      <c r="P134" s="1386"/>
      <c r="Q134" s="1375"/>
      <c r="R134" s="1375"/>
      <c r="S134" s="1375"/>
      <c r="T134" s="1386"/>
      <c r="U134" s="1375"/>
      <c r="V134" s="1375"/>
      <c r="W134" s="1416"/>
      <c r="X134" s="1420"/>
    </row>
    <row r="135" spans="1:24" ht="15">
      <c r="A135" s="1372"/>
      <c r="B135" s="1373"/>
      <c r="C135" s="1372"/>
      <c r="D135" s="1372"/>
      <c r="E135" s="1372"/>
      <c r="F135" s="1385"/>
      <c r="G135" s="1373"/>
      <c r="H135" s="1386"/>
      <c r="I135" s="1386"/>
      <c r="J135" s="1375"/>
      <c r="K135" s="1375"/>
      <c r="L135" s="1386"/>
      <c r="M135" s="1375"/>
      <c r="N135" s="1375"/>
      <c r="O135" s="1375"/>
      <c r="P135" s="1386"/>
      <c r="Q135" s="1375"/>
      <c r="R135" s="1375"/>
      <c r="S135" s="1375"/>
      <c r="T135" s="1386"/>
      <c r="U135" s="1375"/>
      <c r="V135" s="1375"/>
      <c r="W135" s="1416"/>
      <c r="X135" s="1420"/>
    </row>
    <row r="136" spans="1:24" ht="15">
      <c r="A136" s="1372"/>
      <c r="B136" s="1373"/>
      <c r="C136" s="1372"/>
      <c r="D136" s="1372"/>
      <c r="E136" s="1374"/>
      <c r="F136" s="1385"/>
      <c r="G136" s="1373"/>
      <c r="H136" s="1386"/>
      <c r="I136" s="1386"/>
      <c r="J136" s="1375"/>
      <c r="K136" s="1375"/>
      <c r="L136" s="1386"/>
      <c r="M136" s="1375"/>
      <c r="N136" s="1375"/>
      <c r="O136" s="1375"/>
      <c r="P136" s="1386"/>
      <c r="Q136" s="1375"/>
      <c r="R136" s="1375"/>
      <c r="S136" s="1375"/>
      <c r="T136" s="1386"/>
      <c r="U136" s="1375"/>
      <c r="V136" s="1375"/>
      <c r="W136" s="1416"/>
      <c r="X136" s="1420"/>
    </row>
    <row r="137" spans="1:24" ht="15">
      <c r="A137" s="1372"/>
      <c r="B137" s="1373"/>
      <c r="C137" s="1372"/>
      <c r="D137" s="1372"/>
      <c r="E137" s="1372"/>
      <c r="F137" s="1385"/>
      <c r="G137" s="1373"/>
      <c r="H137" s="1386"/>
      <c r="I137" s="1386"/>
      <c r="J137" s="1375"/>
      <c r="K137" s="1375"/>
      <c r="L137" s="1386"/>
      <c r="M137" s="1375"/>
      <c r="N137" s="1375"/>
      <c r="O137" s="1375"/>
      <c r="P137" s="1386"/>
      <c r="Q137" s="1375"/>
      <c r="R137" s="1375"/>
      <c r="S137" s="1375"/>
      <c r="T137" s="1386"/>
      <c r="U137" s="1375"/>
      <c r="V137" s="1375"/>
      <c r="W137" s="1416"/>
      <c r="X137" s="1420"/>
    </row>
    <row r="138" spans="1:24" ht="15">
      <c r="A138" s="1372"/>
      <c r="B138" s="1373"/>
      <c r="C138" s="1372"/>
      <c r="D138" s="1372"/>
      <c r="E138" s="1374"/>
      <c r="F138" s="1385"/>
      <c r="G138" s="1373"/>
      <c r="H138" s="1386"/>
      <c r="I138" s="1386"/>
      <c r="J138" s="1375"/>
      <c r="K138" s="1375"/>
      <c r="L138" s="1386"/>
      <c r="M138" s="1375"/>
      <c r="N138" s="1375"/>
      <c r="O138" s="1375"/>
      <c r="P138" s="1386"/>
      <c r="Q138" s="1375"/>
      <c r="R138" s="1375"/>
      <c r="S138" s="1375"/>
      <c r="T138" s="1386"/>
      <c r="U138" s="1375"/>
      <c r="V138" s="1375"/>
      <c r="W138" s="1416"/>
      <c r="X138" s="1420"/>
    </row>
    <row r="139" spans="1:24" ht="15">
      <c r="A139" s="1372"/>
      <c r="B139" s="1426"/>
      <c r="C139" s="1372"/>
      <c r="D139" s="1372"/>
      <c r="E139" s="1374"/>
      <c r="F139" s="1385"/>
      <c r="G139" s="1373"/>
      <c r="H139" s="1386"/>
      <c r="I139" s="1386"/>
      <c r="J139" s="1375"/>
      <c r="K139" s="1375"/>
      <c r="L139" s="1386"/>
      <c r="M139" s="1375"/>
      <c r="N139" s="1375"/>
      <c r="O139" s="1375"/>
      <c r="P139" s="1386"/>
      <c r="Q139" s="1375"/>
      <c r="R139" s="1375"/>
      <c r="S139" s="1375"/>
      <c r="T139" s="1386"/>
      <c r="U139" s="1375"/>
      <c r="V139" s="1375"/>
      <c r="W139" s="1416"/>
      <c r="X139" s="1420"/>
    </row>
    <row r="140" spans="1:24" ht="15">
      <c r="A140" s="1372"/>
      <c r="B140" s="1373"/>
      <c r="C140" s="1372"/>
      <c r="D140" s="1372"/>
      <c r="E140" s="1374"/>
      <c r="F140" s="1385"/>
      <c r="G140" s="1373"/>
      <c r="H140" s="1386"/>
      <c r="I140" s="1386"/>
      <c r="J140" s="1375"/>
      <c r="K140" s="1375"/>
      <c r="L140" s="1386"/>
      <c r="M140" s="1375"/>
      <c r="N140" s="1375"/>
      <c r="O140" s="1375"/>
      <c r="P140" s="1386"/>
      <c r="Q140" s="1375"/>
      <c r="R140" s="1375"/>
      <c r="S140" s="1375"/>
      <c r="T140" s="1386"/>
      <c r="U140" s="1375"/>
      <c r="V140" s="1375"/>
      <c r="W140" s="1416"/>
      <c r="X140" s="1420"/>
    </row>
    <row r="141" spans="1:24" ht="15">
      <c r="A141" s="1372"/>
      <c r="B141" s="1373"/>
      <c r="C141" s="1372"/>
      <c r="D141" s="1372"/>
      <c r="E141" s="1372"/>
      <c r="F141" s="1385"/>
      <c r="G141" s="1373"/>
      <c r="H141" s="1386"/>
      <c r="I141" s="1386"/>
      <c r="J141" s="1375"/>
      <c r="K141" s="1375"/>
      <c r="L141" s="1386"/>
      <c r="M141" s="1375"/>
      <c r="N141" s="1375"/>
      <c r="O141" s="1375"/>
      <c r="P141" s="1386"/>
      <c r="Q141" s="1375"/>
      <c r="R141" s="1375"/>
      <c r="S141" s="1375"/>
      <c r="T141" s="1386"/>
      <c r="U141" s="1375"/>
      <c r="V141" s="1375"/>
      <c r="W141" s="1416"/>
      <c r="X141" s="1420"/>
    </row>
    <row r="142" spans="1:24" ht="15">
      <c r="A142" s="1372"/>
      <c r="B142" s="1373"/>
      <c r="C142" s="1372"/>
      <c r="D142" s="1372"/>
      <c r="E142" s="1374"/>
      <c r="F142" s="1385"/>
      <c r="G142" s="1373"/>
      <c r="H142" s="1386"/>
      <c r="I142" s="1386"/>
      <c r="J142" s="1375"/>
      <c r="K142" s="1375"/>
      <c r="L142" s="1386"/>
      <c r="M142" s="1375"/>
      <c r="N142" s="1375"/>
      <c r="O142" s="1375"/>
      <c r="P142" s="1386"/>
      <c r="Q142" s="1375"/>
      <c r="R142" s="1375"/>
      <c r="S142" s="1375"/>
      <c r="T142" s="1386"/>
      <c r="U142" s="1375"/>
      <c r="V142" s="1375"/>
      <c r="W142" s="1416"/>
      <c r="X142" s="1420"/>
    </row>
    <row r="143" spans="1:24" ht="15">
      <c r="A143" s="1372"/>
      <c r="B143" s="1373"/>
      <c r="C143" s="1372"/>
      <c r="D143" s="1372"/>
      <c r="E143" s="1372"/>
      <c r="F143" s="1385"/>
      <c r="G143" s="1373"/>
      <c r="H143" s="1386"/>
      <c r="I143" s="1386"/>
      <c r="J143" s="1375"/>
      <c r="K143" s="1375"/>
      <c r="L143" s="1386"/>
      <c r="M143" s="1375"/>
      <c r="N143" s="1375"/>
      <c r="O143" s="1375"/>
      <c r="P143" s="1386"/>
      <c r="Q143" s="1375"/>
      <c r="R143" s="1375"/>
      <c r="S143" s="1375"/>
      <c r="T143" s="1386"/>
      <c r="U143" s="1375"/>
      <c r="V143" s="1375"/>
      <c r="W143" s="1416"/>
      <c r="X143" s="1420"/>
    </row>
    <row r="144" spans="1:24" ht="15">
      <c r="A144" s="1372"/>
      <c r="B144" s="1373"/>
      <c r="C144" s="1372"/>
      <c r="D144" s="1372"/>
      <c r="E144" s="1372"/>
      <c r="F144" s="1385"/>
      <c r="G144" s="1373"/>
      <c r="H144" s="1386"/>
      <c r="I144" s="1386"/>
      <c r="J144" s="1375"/>
      <c r="K144" s="1375"/>
      <c r="L144" s="1386"/>
      <c r="M144" s="1375"/>
      <c r="N144" s="1375"/>
      <c r="O144" s="1375"/>
      <c r="P144" s="1386"/>
      <c r="Q144" s="1375"/>
      <c r="R144" s="1375"/>
      <c r="S144" s="1375"/>
      <c r="T144" s="1386"/>
      <c r="U144" s="1375"/>
      <c r="V144" s="1375"/>
      <c r="W144" s="1416"/>
      <c r="X144" s="1420"/>
    </row>
    <row r="145" spans="1:24" ht="15">
      <c r="A145" s="1372"/>
      <c r="B145" s="1373"/>
      <c r="C145" s="1372"/>
      <c r="D145" s="1372"/>
      <c r="E145" s="1372"/>
      <c r="F145" s="1385"/>
      <c r="G145" s="1373"/>
      <c r="H145" s="1386"/>
      <c r="I145" s="1386"/>
      <c r="J145" s="1375"/>
      <c r="K145" s="1375"/>
      <c r="L145" s="1386"/>
      <c r="M145" s="1375"/>
      <c r="N145" s="1375"/>
      <c r="O145" s="1375"/>
      <c r="P145" s="1386"/>
      <c r="Q145" s="1375"/>
      <c r="R145" s="1375"/>
      <c r="S145" s="1375"/>
      <c r="T145" s="1386"/>
      <c r="U145" s="1375"/>
      <c r="V145" s="1375"/>
      <c r="W145" s="1416"/>
      <c r="X145" s="1420"/>
    </row>
    <row r="146" spans="1:24" ht="15">
      <c r="A146" s="1372"/>
      <c r="B146" s="1373"/>
      <c r="C146" s="1372"/>
      <c r="D146" s="1372"/>
      <c r="E146" s="1372"/>
      <c r="F146" s="1385"/>
      <c r="G146" s="1373"/>
      <c r="H146" s="1386"/>
      <c r="I146" s="1386"/>
      <c r="J146" s="1375"/>
      <c r="K146" s="1375"/>
      <c r="L146" s="1386"/>
      <c r="M146" s="1375"/>
      <c r="N146" s="1375"/>
      <c r="O146" s="1375"/>
      <c r="P146" s="1386"/>
      <c r="Q146" s="1375"/>
      <c r="R146" s="1375"/>
      <c r="S146" s="1375"/>
      <c r="T146" s="1386"/>
      <c r="U146" s="1375"/>
      <c r="V146" s="1375"/>
      <c r="W146" s="1416"/>
      <c r="X146" s="1420"/>
    </row>
    <row r="147" spans="1:24" ht="15">
      <c r="A147" s="1372"/>
      <c r="B147" s="1373"/>
      <c r="C147" s="1372"/>
      <c r="D147" s="1372"/>
      <c r="E147" s="1372"/>
      <c r="F147" s="1385"/>
      <c r="G147" s="1373"/>
      <c r="H147" s="1386"/>
      <c r="I147" s="1386"/>
      <c r="J147" s="1375"/>
      <c r="K147" s="1375"/>
      <c r="L147" s="1386"/>
      <c r="M147" s="1375"/>
      <c r="N147" s="1375"/>
      <c r="O147" s="1375"/>
      <c r="P147" s="1386"/>
      <c r="Q147" s="1375"/>
      <c r="R147" s="1375"/>
      <c r="S147" s="1375"/>
      <c r="T147" s="1386"/>
      <c r="U147" s="1375"/>
      <c r="V147" s="1375"/>
      <c r="W147" s="1416"/>
      <c r="X147" s="1420"/>
    </row>
    <row r="148" spans="1:24" ht="15">
      <c r="A148" s="1372"/>
      <c r="B148" s="1373"/>
      <c r="C148" s="1372"/>
      <c r="D148" s="1372"/>
      <c r="E148" s="1374"/>
      <c r="F148" s="1385"/>
      <c r="G148" s="1373"/>
      <c r="H148" s="1386"/>
      <c r="I148" s="1386"/>
      <c r="J148" s="1375"/>
      <c r="K148" s="1375"/>
      <c r="L148" s="1386"/>
      <c r="M148" s="1375"/>
      <c r="N148" s="1375"/>
      <c r="O148" s="1375"/>
      <c r="P148" s="1386"/>
      <c r="Q148" s="1375"/>
      <c r="R148" s="1375"/>
      <c r="S148" s="1375"/>
      <c r="T148" s="1386"/>
      <c r="U148" s="1375"/>
      <c r="V148" s="1375"/>
      <c r="W148" s="1416"/>
      <c r="X148" s="1420"/>
    </row>
    <row r="149" spans="1:24" ht="15">
      <c r="A149" s="1372"/>
      <c r="B149" s="1373"/>
      <c r="C149" s="1372"/>
      <c r="D149" s="1372"/>
      <c r="E149" s="1372"/>
      <c r="F149" s="1385"/>
      <c r="G149" s="1373"/>
      <c r="H149" s="1386"/>
      <c r="I149" s="1386"/>
      <c r="J149" s="1375"/>
      <c r="K149" s="1375"/>
      <c r="L149" s="1386"/>
      <c r="M149" s="1375"/>
      <c r="N149" s="1375"/>
      <c r="O149" s="1375"/>
      <c r="P149" s="1386"/>
      <c r="Q149" s="1375"/>
      <c r="R149" s="1375"/>
      <c r="S149" s="1375"/>
      <c r="T149" s="1386"/>
      <c r="U149" s="1375"/>
      <c r="V149" s="1375"/>
      <c r="W149" s="1416"/>
      <c r="X149" s="1420"/>
    </row>
    <row r="150" spans="1:24" ht="15">
      <c r="A150" s="1372"/>
      <c r="B150" s="1373"/>
      <c r="C150" s="1372"/>
      <c r="D150" s="1372"/>
      <c r="E150" s="1374"/>
      <c r="F150" s="1385"/>
      <c r="G150" s="1373"/>
      <c r="H150" s="1386"/>
      <c r="I150" s="1386"/>
      <c r="J150" s="1375"/>
      <c r="K150" s="1375"/>
      <c r="L150" s="1386"/>
      <c r="M150" s="1375"/>
      <c r="N150" s="1375"/>
      <c r="O150" s="1375"/>
      <c r="P150" s="1386"/>
      <c r="Q150" s="1375"/>
      <c r="R150" s="1375"/>
      <c r="S150" s="1375"/>
      <c r="T150" s="1386"/>
      <c r="U150" s="1375"/>
      <c r="V150" s="1375"/>
      <c r="W150" s="1416"/>
      <c r="X150" s="1420"/>
    </row>
    <row r="151" spans="1:24" ht="15">
      <c r="A151" s="1372"/>
      <c r="B151" s="1373"/>
      <c r="C151" s="1372"/>
      <c r="D151" s="1372"/>
      <c r="E151" s="1374"/>
      <c r="F151" s="1385"/>
      <c r="G151" s="1373"/>
      <c r="H151" s="1386"/>
      <c r="I151" s="1386"/>
      <c r="J151" s="1375"/>
      <c r="K151" s="1375"/>
      <c r="L151" s="1386"/>
      <c r="M151" s="1375"/>
      <c r="N151" s="1375"/>
      <c r="O151" s="1375"/>
      <c r="P151" s="1386"/>
      <c r="Q151" s="1375"/>
      <c r="R151" s="1375"/>
      <c r="S151" s="1375"/>
      <c r="T151" s="1386"/>
      <c r="U151" s="1375"/>
      <c r="V151" s="1375"/>
      <c r="W151" s="1416"/>
      <c r="X151" s="1420"/>
    </row>
    <row r="152" spans="1:24" ht="15">
      <c r="A152" s="1372"/>
      <c r="B152" s="1373"/>
      <c r="C152" s="1372"/>
      <c r="D152" s="1372"/>
      <c r="E152" s="1372"/>
      <c r="F152" s="1385"/>
      <c r="G152" s="1373"/>
      <c r="H152" s="1386"/>
      <c r="I152" s="1386"/>
      <c r="J152" s="1375"/>
      <c r="K152" s="1375"/>
      <c r="L152" s="1386"/>
      <c r="M152" s="1375"/>
      <c r="N152" s="1375"/>
      <c r="O152" s="1375"/>
      <c r="P152" s="1386"/>
      <c r="Q152" s="1375"/>
      <c r="R152" s="1375"/>
      <c r="S152" s="1375"/>
      <c r="T152" s="1386"/>
      <c r="U152" s="1375"/>
      <c r="V152" s="1375"/>
      <c r="W152" s="1416"/>
      <c r="X152" s="1420"/>
    </row>
    <row r="153" spans="1:24" ht="15">
      <c r="A153" s="1372"/>
      <c r="B153" s="1373"/>
      <c r="C153" s="1372"/>
      <c r="D153" s="1372"/>
      <c r="E153" s="1372"/>
      <c r="F153" s="1385"/>
      <c r="G153" s="1373"/>
      <c r="H153" s="1386"/>
      <c r="I153" s="1386"/>
      <c r="J153" s="1375"/>
      <c r="K153" s="1375"/>
      <c r="L153" s="1386"/>
      <c r="M153" s="1375"/>
      <c r="N153" s="1375"/>
      <c r="O153" s="1375"/>
      <c r="P153" s="1386"/>
      <c r="Q153" s="1375"/>
      <c r="R153" s="1375"/>
      <c r="S153" s="1375"/>
      <c r="T153" s="1386"/>
      <c r="U153" s="1375"/>
      <c r="V153" s="1375"/>
      <c r="W153" s="1416"/>
      <c r="X153" s="1420"/>
    </row>
    <row r="154" spans="1:24" ht="15">
      <c r="A154" s="1372"/>
      <c r="B154" s="1373"/>
      <c r="C154" s="1372"/>
      <c r="D154" s="1372"/>
      <c r="E154" s="1372"/>
      <c r="F154" s="1385"/>
      <c r="G154" s="1373"/>
      <c r="H154" s="1386"/>
      <c r="I154" s="1386"/>
      <c r="J154" s="1375"/>
      <c r="K154" s="1375"/>
      <c r="L154" s="1386"/>
      <c r="M154" s="1375"/>
      <c r="N154" s="1375"/>
      <c r="O154" s="1375"/>
      <c r="P154" s="1386"/>
      <c r="Q154" s="1375"/>
      <c r="R154" s="1375"/>
      <c r="S154" s="1375"/>
      <c r="T154" s="1386"/>
      <c r="U154" s="1375"/>
      <c r="V154" s="1375"/>
      <c r="W154" s="1416"/>
      <c r="X154" s="1420"/>
    </row>
    <row r="155" spans="1:24" ht="15">
      <c r="A155" s="1372"/>
      <c r="B155" s="1373"/>
      <c r="C155" s="1372"/>
      <c r="D155" s="1372"/>
      <c r="E155" s="1374"/>
      <c r="F155" s="1385"/>
      <c r="G155" s="1373"/>
      <c r="H155" s="1386"/>
      <c r="I155" s="1386"/>
      <c r="J155" s="1375"/>
      <c r="K155" s="1375"/>
      <c r="L155" s="1386"/>
      <c r="M155" s="1375"/>
      <c r="N155" s="1375"/>
      <c r="O155" s="1375"/>
      <c r="P155" s="1386"/>
      <c r="Q155" s="1375"/>
      <c r="R155" s="1375"/>
      <c r="S155" s="1375"/>
      <c r="T155" s="1386"/>
      <c r="U155" s="1375"/>
      <c r="V155" s="1375"/>
      <c r="W155" s="1416"/>
      <c r="X155" s="1420"/>
    </row>
    <row r="156" spans="1:24" ht="15">
      <c r="A156" s="1372"/>
      <c r="B156" s="1373"/>
      <c r="C156" s="1372"/>
      <c r="D156" s="1372"/>
      <c r="E156" s="1374"/>
      <c r="F156" s="1385"/>
      <c r="G156" s="1373"/>
      <c r="H156" s="1386"/>
      <c r="I156" s="1386"/>
      <c r="J156" s="1375"/>
      <c r="K156" s="1375"/>
      <c r="L156" s="1386"/>
      <c r="M156" s="1375"/>
      <c r="N156" s="1375"/>
      <c r="O156" s="1375"/>
      <c r="P156" s="1386"/>
      <c r="Q156" s="1375"/>
      <c r="R156" s="1375"/>
      <c r="S156" s="1375"/>
      <c r="T156" s="1386"/>
      <c r="U156" s="1375"/>
      <c r="V156" s="1375"/>
      <c r="W156" s="1416"/>
      <c r="X156" s="1420"/>
    </row>
    <row r="157" spans="1:24" ht="15">
      <c r="A157" s="1372"/>
      <c r="B157" s="1373"/>
      <c r="C157" s="1372"/>
      <c r="D157" s="1372"/>
      <c r="E157" s="1374"/>
      <c r="F157" s="1385"/>
      <c r="G157" s="1373"/>
      <c r="H157" s="1386"/>
      <c r="I157" s="1386"/>
      <c r="J157" s="1375"/>
      <c r="K157" s="1375"/>
      <c r="L157" s="1386"/>
      <c r="M157" s="1375"/>
      <c r="N157" s="1375"/>
      <c r="O157" s="1375"/>
      <c r="P157" s="1386"/>
      <c r="Q157" s="1375"/>
      <c r="R157" s="1375"/>
      <c r="S157" s="1375"/>
      <c r="T157" s="1386"/>
      <c r="U157" s="1375"/>
      <c r="V157" s="1375"/>
      <c r="W157" s="1416"/>
      <c r="X157" s="1420"/>
    </row>
    <row r="158" spans="1:24" ht="15">
      <c r="A158" s="1372"/>
      <c r="B158" s="1373"/>
      <c r="C158" s="1372"/>
      <c r="D158" s="1372"/>
      <c r="E158" s="1374"/>
      <c r="F158" s="1385"/>
      <c r="G158" s="1373"/>
      <c r="H158" s="1386"/>
      <c r="I158" s="1386"/>
      <c r="J158" s="1375"/>
      <c r="K158" s="1375"/>
      <c r="L158" s="1386"/>
      <c r="M158" s="1375"/>
      <c r="N158" s="1375"/>
      <c r="O158" s="1375"/>
      <c r="P158" s="1386"/>
      <c r="Q158" s="1375"/>
      <c r="R158" s="1375"/>
      <c r="S158" s="1375"/>
      <c r="T158" s="1386"/>
      <c r="U158" s="1375"/>
      <c r="V158" s="1375"/>
      <c r="W158" s="1416"/>
      <c r="X158" s="1420"/>
    </row>
    <row r="159" spans="1:24" ht="15">
      <c r="A159" s="1372"/>
      <c r="B159" s="1373"/>
      <c r="C159" s="1372"/>
      <c r="D159" s="1372"/>
      <c r="E159" s="1374"/>
      <c r="F159" s="1385"/>
      <c r="G159" s="1373"/>
      <c r="H159" s="1386"/>
      <c r="I159" s="1386"/>
      <c r="J159" s="1375"/>
      <c r="K159" s="1375"/>
      <c r="L159" s="1386"/>
      <c r="M159" s="1375"/>
      <c r="N159" s="1375"/>
      <c r="O159" s="1375"/>
      <c r="P159" s="1386"/>
      <c r="Q159" s="1375"/>
      <c r="R159" s="1375"/>
      <c r="S159" s="1375"/>
      <c r="T159" s="1386"/>
      <c r="U159" s="1375"/>
      <c r="V159" s="1375"/>
      <c r="W159" s="1416"/>
      <c r="X159" s="1420"/>
    </row>
    <row r="160" spans="1:24" ht="15">
      <c r="A160" s="1372"/>
      <c r="B160" s="1373"/>
      <c r="C160" s="1372"/>
      <c r="D160" s="1372"/>
      <c r="E160" s="1374"/>
      <c r="F160" s="1385"/>
      <c r="G160" s="1373"/>
      <c r="H160" s="1386"/>
      <c r="I160" s="1386"/>
      <c r="J160" s="1375"/>
      <c r="K160" s="1375"/>
      <c r="L160" s="1386"/>
      <c r="M160" s="1375"/>
      <c r="N160" s="1375"/>
      <c r="O160" s="1375"/>
      <c r="P160" s="1386"/>
      <c r="Q160" s="1375"/>
      <c r="R160" s="1375"/>
      <c r="S160" s="1375"/>
      <c r="T160" s="1386"/>
      <c r="U160" s="1375"/>
      <c r="V160" s="1375"/>
      <c r="W160" s="1416"/>
      <c r="X160" s="1420"/>
    </row>
    <row r="161" spans="1:24" ht="15">
      <c r="A161" s="1372"/>
      <c r="B161" s="1373"/>
      <c r="C161" s="1372"/>
      <c r="D161" s="1372"/>
      <c r="E161" s="1374"/>
      <c r="F161" s="1385"/>
      <c r="G161" s="1373"/>
      <c r="H161" s="1386"/>
      <c r="I161" s="1386"/>
      <c r="J161" s="1375"/>
      <c r="K161" s="1375"/>
      <c r="L161" s="1386"/>
      <c r="M161" s="1375"/>
      <c r="N161" s="1375"/>
      <c r="O161" s="1375"/>
      <c r="P161" s="1386"/>
      <c r="Q161" s="1375"/>
      <c r="R161" s="1375"/>
      <c r="S161" s="1375"/>
      <c r="T161" s="1386"/>
      <c r="U161" s="1375"/>
      <c r="V161" s="1375"/>
      <c r="W161" s="1416"/>
      <c r="X161" s="1420"/>
    </row>
    <row r="162" spans="1:24" ht="15">
      <c r="A162" s="1372"/>
      <c r="B162" s="1373"/>
      <c r="C162" s="1372"/>
      <c r="D162" s="1372"/>
      <c r="E162" s="1374"/>
      <c r="F162" s="1385"/>
      <c r="G162" s="1373"/>
      <c r="H162" s="1386"/>
      <c r="I162" s="1386"/>
      <c r="J162" s="1375"/>
      <c r="K162" s="1375"/>
      <c r="L162" s="1386"/>
      <c r="M162" s="1375"/>
      <c r="N162" s="1375"/>
      <c r="O162" s="1375"/>
      <c r="P162" s="1386"/>
      <c r="Q162" s="1375"/>
      <c r="R162" s="1375"/>
      <c r="S162" s="1375"/>
      <c r="T162" s="1386"/>
      <c r="U162" s="1375"/>
      <c r="V162" s="1375"/>
      <c r="W162" s="1416"/>
      <c r="X162" s="1420"/>
    </row>
    <row r="163" spans="1:24" ht="15">
      <c r="A163" s="1372"/>
      <c r="B163" s="1373"/>
      <c r="C163" s="1427"/>
      <c r="D163" s="1372"/>
      <c r="E163" s="1374"/>
      <c r="F163" s="1385"/>
      <c r="G163" s="1373"/>
      <c r="H163" s="1386"/>
      <c r="I163" s="1386"/>
      <c r="J163" s="1375"/>
      <c r="K163" s="1375"/>
      <c r="L163" s="1386"/>
      <c r="M163" s="1375"/>
      <c r="N163" s="1375"/>
      <c r="O163" s="1375"/>
      <c r="P163" s="1386"/>
      <c r="Q163" s="1375"/>
      <c r="R163" s="1375"/>
      <c r="S163" s="1375"/>
      <c r="T163" s="1386"/>
      <c r="U163" s="1375"/>
      <c r="V163" s="1375"/>
      <c r="W163" s="1416"/>
      <c r="X163" s="1420"/>
    </row>
    <row r="164" spans="1:24" ht="15">
      <c r="A164" s="1372"/>
      <c r="B164" s="1373"/>
      <c r="C164" s="1372"/>
      <c r="D164" s="1372"/>
      <c r="E164" s="1374"/>
      <c r="F164" s="1385"/>
      <c r="G164" s="1373"/>
      <c r="H164" s="1386"/>
      <c r="I164" s="1386"/>
      <c r="J164" s="1375"/>
      <c r="K164" s="1375"/>
      <c r="L164" s="1386"/>
      <c r="M164" s="1375"/>
      <c r="N164" s="1375"/>
      <c r="O164" s="1375"/>
      <c r="P164" s="1386"/>
      <c r="Q164" s="1375"/>
      <c r="R164" s="1375"/>
      <c r="S164" s="1375"/>
      <c r="T164" s="1386"/>
      <c r="U164" s="1375"/>
      <c r="V164" s="1375"/>
      <c r="W164" s="1416"/>
      <c r="X164" s="1420"/>
    </row>
    <row r="165" spans="1:24" ht="15">
      <c r="A165" s="1372"/>
      <c r="B165" s="1373"/>
      <c r="C165" s="1372"/>
      <c r="D165" s="1372"/>
      <c r="E165" s="1374"/>
      <c r="F165" s="1385"/>
      <c r="G165" s="1373"/>
      <c r="H165" s="1386"/>
      <c r="I165" s="1386"/>
      <c r="J165" s="1375"/>
      <c r="K165" s="1375"/>
      <c r="L165" s="1386"/>
      <c r="M165" s="1375"/>
      <c r="N165" s="1375"/>
      <c r="O165" s="1375"/>
      <c r="P165" s="1386"/>
      <c r="Q165" s="1375"/>
      <c r="R165" s="1375"/>
      <c r="S165" s="1375"/>
      <c r="T165" s="1386"/>
      <c r="U165" s="1375"/>
      <c r="V165" s="1375"/>
      <c r="W165" s="1416"/>
      <c r="X165" s="1420"/>
    </row>
    <row r="166" spans="1:24" ht="15">
      <c r="A166" s="1372"/>
      <c r="B166" s="1373"/>
      <c r="C166" s="1372"/>
      <c r="D166" s="1372"/>
      <c r="E166" s="1374"/>
      <c r="F166" s="1385"/>
      <c r="G166" s="1373"/>
      <c r="H166" s="1386"/>
      <c r="I166" s="1386"/>
      <c r="J166" s="1375"/>
      <c r="K166" s="1375"/>
      <c r="L166" s="1386"/>
      <c r="M166" s="1375"/>
      <c r="N166" s="1375"/>
      <c r="O166" s="1375"/>
      <c r="P166" s="1386"/>
      <c r="Q166" s="1375"/>
      <c r="R166" s="1375"/>
      <c r="S166" s="1375"/>
      <c r="T166" s="1386"/>
      <c r="U166" s="1375"/>
      <c r="V166" s="1375"/>
      <c r="W166" s="1416"/>
      <c r="X166" s="1420"/>
    </row>
    <row r="167" spans="1:24" ht="15">
      <c r="A167" s="1372"/>
      <c r="B167" s="1373"/>
      <c r="C167" s="1372"/>
      <c r="D167" s="1372"/>
      <c r="E167" s="1374"/>
      <c r="F167" s="1385"/>
      <c r="G167" s="1373"/>
      <c r="H167" s="1386"/>
      <c r="I167" s="1386"/>
      <c r="J167" s="1375"/>
      <c r="K167" s="1375"/>
      <c r="L167" s="1386"/>
      <c r="M167" s="1375"/>
      <c r="N167" s="1375"/>
      <c r="O167" s="1375"/>
      <c r="P167" s="1386"/>
      <c r="Q167" s="1375"/>
      <c r="R167" s="1375"/>
      <c r="S167" s="1375"/>
      <c r="T167" s="1386"/>
      <c r="U167" s="1375"/>
      <c r="V167" s="1375"/>
      <c r="W167" s="1416"/>
      <c r="X167" s="1420"/>
    </row>
    <row r="168" spans="1:24" ht="15">
      <c r="A168" s="1372"/>
      <c r="B168" s="1373"/>
      <c r="C168" s="1372"/>
      <c r="D168" s="1372"/>
      <c r="E168" s="1374"/>
      <c r="F168" s="1385"/>
      <c r="G168" s="1373"/>
      <c r="H168" s="1386"/>
      <c r="I168" s="1386"/>
      <c r="J168" s="1375"/>
      <c r="K168" s="1375"/>
      <c r="L168" s="1386"/>
      <c r="M168" s="1375"/>
      <c r="N168" s="1375"/>
      <c r="O168" s="1375"/>
      <c r="P168" s="1386"/>
      <c r="Q168" s="1375"/>
      <c r="R168" s="1375"/>
      <c r="S168" s="1375"/>
      <c r="T168" s="1386"/>
      <c r="U168" s="1375"/>
      <c r="V168" s="1375"/>
      <c r="W168" s="1416"/>
      <c r="X168" s="1420"/>
    </row>
    <row r="169" spans="1:24" ht="15">
      <c r="A169" s="1372"/>
      <c r="B169" s="1373"/>
      <c r="C169" s="1372"/>
      <c r="D169" s="1372"/>
      <c r="E169" s="1374"/>
      <c r="F169" s="1385"/>
      <c r="G169" s="1373"/>
      <c r="H169" s="1386"/>
      <c r="I169" s="1386"/>
      <c r="J169" s="1375"/>
      <c r="K169" s="1375"/>
      <c r="L169" s="1386"/>
      <c r="M169" s="1375"/>
      <c r="N169" s="1375"/>
      <c r="O169" s="1375"/>
      <c r="P169" s="1386"/>
      <c r="Q169" s="1375"/>
      <c r="R169" s="1375"/>
      <c r="S169" s="1375"/>
      <c r="T169" s="1386"/>
      <c r="U169" s="1375"/>
      <c r="V169" s="1375"/>
      <c r="W169" s="1416"/>
      <c r="X169" s="1420"/>
    </row>
    <row r="170" spans="1:24" ht="15">
      <c r="A170" s="1372"/>
      <c r="B170" s="1373"/>
      <c r="C170" s="1372"/>
      <c r="D170" s="1372"/>
      <c r="E170" s="1374"/>
      <c r="F170" s="1385"/>
      <c r="G170" s="1373"/>
      <c r="H170" s="1386"/>
      <c r="I170" s="1386"/>
      <c r="J170" s="1375"/>
      <c r="K170" s="1375"/>
      <c r="L170" s="1386"/>
      <c r="M170" s="1375"/>
      <c r="N170" s="1375"/>
      <c r="O170" s="1375"/>
      <c r="P170" s="1386"/>
      <c r="Q170" s="1375"/>
      <c r="R170" s="1375"/>
      <c r="S170" s="1375"/>
      <c r="T170" s="1386"/>
      <c r="U170" s="1375"/>
      <c r="V170" s="1375"/>
      <c r="W170" s="1416"/>
      <c r="X170" s="1420"/>
    </row>
    <row r="171" spans="1:24" ht="15">
      <c r="A171" s="1372"/>
      <c r="B171" s="1373"/>
      <c r="C171" s="1372"/>
      <c r="D171" s="1372"/>
      <c r="E171" s="1374"/>
      <c r="F171" s="1385"/>
      <c r="G171" s="1373"/>
      <c r="H171" s="1386"/>
      <c r="I171" s="1386"/>
      <c r="J171" s="1375"/>
      <c r="K171" s="1375"/>
      <c r="L171" s="1386"/>
      <c r="M171" s="1375"/>
      <c r="N171" s="1375"/>
      <c r="O171" s="1375"/>
      <c r="P171" s="1386"/>
      <c r="Q171" s="1375"/>
      <c r="R171" s="1375"/>
      <c r="S171" s="1375"/>
      <c r="T171" s="1386"/>
      <c r="U171" s="1375"/>
      <c r="V171" s="1375"/>
      <c r="W171" s="1416"/>
      <c r="X171" s="1420"/>
    </row>
    <row r="172" spans="1:24" ht="15">
      <c r="A172" s="1372"/>
      <c r="B172" s="1373"/>
      <c r="C172" s="1372"/>
      <c r="D172" s="1372"/>
      <c r="E172" s="1374"/>
      <c r="F172" s="1385"/>
      <c r="G172" s="1373"/>
      <c r="H172" s="1386"/>
      <c r="I172" s="1386"/>
      <c r="J172" s="1375"/>
      <c r="K172" s="1375"/>
      <c r="L172" s="1386"/>
      <c r="M172" s="1375"/>
      <c r="N172" s="1375"/>
      <c r="O172" s="1375"/>
      <c r="P172" s="1386"/>
      <c r="Q172" s="1375"/>
      <c r="R172" s="1375"/>
      <c r="S172" s="1375"/>
      <c r="T172" s="1386"/>
      <c r="U172" s="1375"/>
      <c r="V172" s="1375"/>
      <c r="W172" s="1416"/>
      <c r="X172" s="1420"/>
    </row>
    <row r="173" spans="1:24" ht="15">
      <c r="A173" s="1372"/>
      <c r="B173" s="1373"/>
      <c r="C173" s="1372"/>
      <c r="D173" s="1372"/>
      <c r="E173" s="1374"/>
      <c r="F173" s="1385"/>
      <c r="G173" s="1373"/>
      <c r="H173" s="1386"/>
      <c r="I173" s="1386"/>
      <c r="J173" s="1375"/>
      <c r="K173" s="1375"/>
      <c r="L173" s="1386"/>
      <c r="M173" s="1375"/>
      <c r="N173" s="1375"/>
      <c r="O173" s="1375"/>
      <c r="P173" s="1386"/>
      <c r="Q173" s="1375"/>
      <c r="R173" s="1375"/>
      <c r="S173" s="1375"/>
      <c r="T173" s="1386"/>
      <c r="U173" s="1375"/>
      <c r="V173" s="1375"/>
      <c r="W173" s="1416"/>
      <c r="X173" s="1420"/>
    </row>
    <row r="174" spans="1:24" ht="15">
      <c r="A174" s="1372"/>
      <c r="B174" s="1373"/>
      <c r="C174" s="1372"/>
      <c r="D174" s="1372"/>
      <c r="E174" s="1374"/>
      <c r="F174" s="1385"/>
      <c r="G174" s="1373"/>
      <c r="H174" s="1386"/>
      <c r="I174" s="1386"/>
      <c r="J174" s="1375"/>
      <c r="K174" s="1375"/>
      <c r="L174" s="1386"/>
      <c r="M174" s="1375"/>
      <c r="N174" s="1375"/>
      <c r="O174" s="1375"/>
      <c r="P174" s="1386"/>
      <c r="Q174" s="1375"/>
      <c r="R174" s="1375"/>
      <c r="S174" s="1375"/>
      <c r="T174" s="1386"/>
      <c r="U174" s="1375"/>
      <c r="V174" s="1375"/>
      <c r="W174" s="1416"/>
      <c r="X174" s="1420"/>
    </row>
    <row r="175" spans="1:24" ht="15">
      <c r="A175" s="1372"/>
      <c r="B175" s="1373"/>
      <c r="C175" s="1372"/>
      <c r="D175" s="1372"/>
      <c r="E175" s="1374"/>
      <c r="F175" s="1385"/>
      <c r="G175" s="1373"/>
      <c r="H175" s="1386"/>
      <c r="I175" s="1386"/>
      <c r="J175" s="1375"/>
      <c r="K175" s="1375"/>
      <c r="L175" s="1386"/>
      <c r="M175" s="1375"/>
      <c r="N175" s="1375"/>
      <c r="O175" s="1375"/>
      <c r="P175" s="1386"/>
      <c r="Q175" s="1375"/>
      <c r="R175" s="1375"/>
      <c r="S175" s="1375"/>
      <c r="T175" s="1386"/>
      <c r="U175" s="1375"/>
      <c r="V175" s="1375"/>
      <c r="W175" s="1416"/>
      <c r="X175" s="1420"/>
    </row>
    <row r="176" spans="1:24" ht="15">
      <c r="A176" s="1372"/>
      <c r="B176" s="1373"/>
      <c r="C176" s="1372"/>
      <c r="D176" s="1372"/>
      <c r="E176" s="1374"/>
      <c r="F176" s="1385"/>
      <c r="G176" s="1373"/>
      <c r="H176" s="1386"/>
      <c r="I176" s="1386"/>
      <c r="J176" s="1375"/>
      <c r="K176" s="1375"/>
      <c r="L176" s="1386"/>
      <c r="M176" s="1375"/>
      <c r="N176" s="1375"/>
      <c r="O176" s="1375"/>
      <c r="P176" s="1386"/>
      <c r="Q176" s="1375"/>
      <c r="R176" s="1375"/>
      <c r="S176" s="1375"/>
      <c r="T176" s="1386"/>
      <c r="U176" s="1375"/>
      <c r="V176" s="1375"/>
      <c r="W176" s="1416"/>
      <c r="X176" s="1420"/>
    </row>
    <row r="177" spans="1:24" ht="15">
      <c r="A177" s="1372"/>
      <c r="B177" s="1373"/>
      <c r="C177" s="1372"/>
      <c r="D177" s="1372"/>
      <c r="E177" s="1374"/>
      <c r="F177" s="1385"/>
      <c r="G177" s="1373"/>
      <c r="H177" s="1386"/>
      <c r="I177" s="1386"/>
      <c r="J177" s="1375"/>
      <c r="K177" s="1375"/>
      <c r="L177" s="1386"/>
      <c r="M177" s="1375"/>
      <c r="N177" s="1375"/>
      <c r="O177" s="1375"/>
      <c r="P177" s="1386"/>
      <c r="Q177" s="1375"/>
      <c r="R177" s="1375"/>
      <c r="S177" s="1375"/>
      <c r="T177" s="1386"/>
      <c r="U177" s="1375"/>
      <c r="V177" s="1375"/>
      <c r="W177" s="1416"/>
      <c r="X177" s="1420"/>
    </row>
    <row r="178" spans="1:24" ht="15">
      <c r="A178" s="1372"/>
      <c r="B178" s="1373"/>
      <c r="C178" s="1372"/>
      <c r="D178" s="1372"/>
      <c r="E178" s="1374"/>
      <c r="F178" s="1385"/>
      <c r="G178" s="1373"/>
      <c r="H178" s="1386"/>
      <c r="I178" s="1386"/>
      <c r="J178" s="1375"/>
      <c r="K178" s="1375"/>
      <c r="L178" s="1386"/>
      <c r="M178" s="1375"/>
      <c r="N178" s="1375"/>
      <c r="O178" s="1375"/>
      <c r="P178" s="1386"/>
      <c r="Q178" s="1375"/>
      <c r="R178" s="1375"/>
      <c r="S178" s="1375"/>
      <c r="T178" s="1386"/>
      <c r="U178" s="1375"/>
      <c r="V178" s="1375"/>
      <c r="W178" s="1416"/>
      <c r="X178" s="1420"/>
    </row>
    <row r="179" spans="1:24" ht="15">
      <c r="A179" s="1372"/>
      <c r="B179" s="1373"/>
      <c r="C179" s="1372"/>
      <c r="D179" s="1372"/>
      <c r="E179" s="1372"/>
      <c r="F179" s="1385"/>
      <c r="G179" s="1373"/>
      <c r="H179" s="1386"/>
      <c r="I179" s="1386"/>
      <c r="J179" s="1375"/>
      <c r="K179" s="1375"/>
      <c r="L179" s="1386"/>
      <c r="M179" s="1375"/>
      <c r="N179" s="1375"/>
      <c r="O179" s="1375"/>
      <c r="P179" s="1386"/>
      <c r="Q179" s="1375"/>
      <c r="R179" s="1375"/>
      <c r="S179" s="1375"/>
      <c r="T179" s="1386"/>
      <c r="U179" s="1375"/>
      <c r="V179" s="1375"/>
      <c r="W179" s="1416"/>
      <c r="X179" s="1420"/>
    </row>
    <row r="180" spans="1:24" ht="15">
      <c r="A180" s="1372"/>
      <c r="B180" s="1373"/>
      <c r="C180" s="1372"/>
      <c r="D180" s="1372"/>
      <c r="E180" s="1372"/>
      <c r="F180" s="1385"/>
      <c r="G180" s="1373"/>
      <c r="H180" s="1386"/>
      <c r="I180" s="1386"/>
      <c r="J180" s="1375"/>
      <c r="K180" s="1375"/>
      <c r="L180" s="1386"/>
      <c r="M180" s="1375"/>
      <c r="N180" s="1375"/>
      <c r="O180" s="1375"/>
      <c r="P180" s="1386"/>
      <c r="Q180" s="1375"/>
      <c r="R180" s="1375"/>
      <c r="S180" s="1375"/>
      <c r="T180" s="1386"/>
      <c r="U180" s="1375"/>
      <c r="V180" s="1375"/>
      <c r="W180" s="1416"/>
      <c r="X180" s="1420"/>
    </row>
    <row r="181" spans="1:24" ht="15">
      <c r="A181" s="1372"/>
      <c r="B181" s="1373"/>
      <c r="C181" s="1430"/>
      <c r="D181" s="1372"/>
      <c r="E181" s="1374"/>
      <c r="F181" s="1385"/>
      <c r="G181" s="1373"/>
      <c r="H181" s="1386"/>
      <c r="I181" s="1386"/>
      <c r="J181" s="1375"/>
      <c r="K181" s="1375"/>
      <c r="L181" s="1386"/>
      <c r="M181" s="1375"/>
      <c r="N181" s="1375"/>
      <c r="O181" s="1375"/>
      <c r="P181" s="1386"/>
      <c r="Q181" s="1375"/>
      <c r="R181" s="1375"/>
      <c r="S181" s="1375"/>
      <c r="T181" s="1386"/>
      <c r="U181" s="1375"/>
      <c r="V181" s="1375"/>
      <c r="W181" s="1416"/>
      <c r="X181" s="1420"/>
    </row>
    <row r="182" spans="1:24" ht="15">
      <c r="A182" s="1372"/>
      <c r="B182" s="1428"/>
      <c r="C182" s="1427"/>
      <c r="D182" s="1429"/>
      <c r="E182" s="1372"/>
      <c r="F182" s="1385"/>
      <c r="G182" s="1373"/>
      <c r="H182" s="1386"/>
      <c r="I182" s="1386"/>
      <c r="J182" s="1375"/>
      <c r="K182" s="1375"/>
      <c r="L182" s="1386"/>
      <c r="M182" s="1375"/>
      <c r="N182" s="1375"/>
      <c r="O182" s="1375"/>
      <c r="P182" s="1386"/>
      <c r="Q182" s="1375"/>
      <c r="R182" s="1375"/>
      <c r="S182" s="1375"/>
      <c r="T182" s="1386"/>
      <c r="U182" s="1375"/>
      <c r="V182" s="1375"/>
      <c r="W182" s="1416"/>
      <c r="X182" s="1420"/>
    </row>
    <row r="183" spans="1:24" ht="15">
      <c r="A183" s="1372"/>
      <c r="B183" s="1428"/>
      <c r="C183" s="1427"/>
      <c r="D183" s="1429"/>
      <c r="E183" s="1372"/>
      <c r="F183" s="1385"/>
      <c r="G183" s="1373"/>
      <c r="H183" s="1386"/>
      <c r="I183" s="1386"/>
      <c r="J183" s="1375"/>
      <c r="K183" s="1375"/>
      <c r="L183" s="1386"/>
      <c r="M183" s="1375"/>
      <c r="N183" s="1375"/>
      <c r="O183" s="1375"/>
      <c r="P183" s="1386"/>
      <c r="Q183" s="1375"/>
      <c r="R183" s="1375"/>
      <c r="S183" s="1375"/>
      <c r="T183" s="1386"/>
      <c r="U183" s="1375"/>
      <c r="V183" s="1375"/>
      <c r="W183" s="1416"/>
      <c r="X183" s="1420"/>
    </row>
    <row r="184" spans="1:24" ht="15">
      <c r="A184" s="1372"/>
      <c r="B184" s="1428"/>
      <c r="C184" s="1427"/>
      <c r="D184" s="1429"/>
      <c r="E184" s="1372"/>
      <c r="F184" s="1385"/>
      <c r="G184" s="1373"/>
      <c r="H184" s="1386"/>
      <c r="I184" s="1386"/>
      <c r="J184" s="1375"/>
      <c r="K184" s="1375"/>
      <c r="L184" s="1386"/>
      <c r="M184" s="1375"/>
      <c r="N184" s="1375"/>
      <c r="O184" s="1375"/>
      <c r="P184" s="1386"/>
      <c r="Q184" s="1375"/>
      <c r="R184" s="1375"/>
      <c r="S184" s="1375"/>
      <c r="T184" s="1386"/>
      <c r="U184" s="1375"/>
      <c r="V184" s="1375"/>
      <c r="W184" s="1416"/>
      <c r="X184" s="1420"/>
    </row>
    <row r="185" spans="1:24" ht="15">
      <c r="A185" s="1372"/>
      <c r="B185" s="1428"/>
      <c r="C185" s="1427"/>
      <c r="D185" s="1429"/>
      <c r="E185" s="1372"/>
      <c r="F185" s="1385"/>
      <c r="G185" s="1373"/>
      <c r="H185" s="1386"/>
      <c r="I185" s="1386"/>
      <c r="J185" s="1375"/>
      <c r="K185" s="1375"/>
      <c r="L185" s="1386"/>
      <c r="M185" s="1375"/>
      <c r="N185" s="1375"/>
      <c r="O185" s="1375"/>
      <c r="P185" s="1386"/>
      <c r="Q185" s="1375"/>
      <c r="R185" s="1375"/>
      <c r="S185" s="1375"/>
      <c r="T185" s="1386"/>
      <c r="U185" s="1375"/>
      <c r="V185" s="1375"/>
      <c r="W185" s="1416"/>
      <c r="X185" s="1420"/>
    </row>
    <row r="186" spans="1:24" ht="15">
      <c r="A186" s="1372"/>
      <c r="B186" s="1428"/>
      <c r="C186" s="1427"/>
      <c r="D186" s="1429"/>
      <c r="E186" s="1372"/>
      <c r="F186" s="1385"/>
      <c r="G186" s="1373"/>
      <c r="H186" s="1386"/>
      <c r="I186" s="1386"/>
      <c r="J186" s="1375"/>
      <c r="K186" s="1375"/>
      <c r="L186" s="1386"/>
      <c r="M186" s="1375"/>
      <c r="N186" s="1375"/>
      <c r="O186" s="1375"/>
      <c r="P186" s="1386"/>
      <c r="Q186" s="1375"/>
      <c r="R186" s="1375"/>
      <c r="S186" s="1375"/>
      <c r="T186" s="1386"/>
      <c r="U186" s="1375"/>
      <c r="V186" s="1375"/>
      <c r="W186" s="1416"/>
      <c r="X186" s="1420"/>
    </row>
    <row r="187" spans="1:24" ht="15">
      <c r="A187" s="1372"/>
      <c r="B187" s="1428"/>
      <c r="C187" s="1427"/>
      <c r="D187" s="1429"/>
      <c r="E187" s="1372"/>
      <c r="F187" s="1385"/>
      <c r="G187" s="1373"/>
      <c r="H187" s="1386"/>
      <c r="I187" s="1386"/>
      <c r="J187" s="1375"/>
      <c r="K187" s="1375"/>
      <c r="L187" s="1386"/>
      <c r="M187" s="1375"/>
      <c r="N187" s="1375"/>
      <c r="O187" s="1375"/>
      <c r="P187" s="1386"/>
      <c r="Q187" s="1375"/>
      <c r="R187" s="1375"/>
      <c r="S187" s="1375"/>
      <c r="T187" s="1386"/>
      <c r="U187" s="1375"/>
      <c r="V187" s="1375"/>
      <c r="W187" s="1416"/>
      <c r="X187" s="1420"/>
    </row>
    <row r="188" spans="1:24" ht="15">
      <c r="A188" s="1372"/>
      <c r="B188" s="1428"/>
      <c r="C188" s="1427"/>
      <c r="D188" s="1429"/>
      <c r="E188" s="1372"/>
      <c r="F188" s="1385"/>
      <c r="G188" s="1373"/>
      <c r="H188" s="1386"/>
      <c r="I188" s="1386"/>
      <c r="J188" s="1375"/>
      <c r="K188" s="1375"/>
      <c r="L188" s="1386"/>
      <c r="M188" s="1375"/>
      <c r="N188" s="1375"/>
      <c r="O188" s="1375"/>
      <c r="P188" s="1386"/>
      <c r="Q188" s="1375"/>
      <c r="R188" s="1375"/>
      <c r="S188" s="1375"/>
      <c r="T188" s="1386"/>
      <c r="U188" s="1375"/>
      <c r="V188" s="1375"/>
      <c r="W188" s="1416"/>
      <c r="X188" s="1420"/>
    </row>
    <row r="189" spans="1:24" ht="15">
      <c r="A189" s="1372"/>
      <c r="B189" s="1428"/>
      <c r="C189" s="1427"/>
      <c r="D189" s="1429"/>
      <c r="E189" s="1372"/>
      <c r="F189" s="1385"/>
      <c r="G189" s="1373"/>
      <c r="H189" s="1386"/>
      <c r="I189" s="1386"/>
      <c r="J189" s="1375"/>
      <c r="K189" s="1375"/>
      <c r="L189" s="1386"/>
      <c r="M189" s="1375"/>
      <c r="N189" s="1375"/>
      <c r="O189" s="1375"/>
      <c r="P189" s="1386"/>
      <c r="Q189" s="1375"/>
      <c r="R189" s="1375"/>
      <c r="S189" s="1375"/>
      <c r="T189" s="1386"/>
      <c r="U189" s="1375"/>
      <c r="V189" s="1375"/>
      <c r="W189" s="1416"/>
      <c r="X189" s="1420"/>
    </row>
    <row r="190" spans="1:24" ht="15">
      <c r="A190" s="1372"/>
      <c r="B190" s="1428"/>
      <c r="C190" s="1427"/>
      <c r="D190" s="1429"/>
      <c r="E190" s="1372"/>
      <c r="F190" s="1385"/>
      <c r="G190" s="1373"/>
      <c r="H190" s="1386"/>
      <c r="I190" s="1386"/>
      <c r="J190" s="1375"/>
      <c r="K190" s="1375"/>
      <c r="L190" s="1386"/>
      <c r="M190" s="1375"/>
      <c r="N190" s="1375"/>
      <c r="O190" s="1375"/>
      <c r="P190" s="1386"/>
      <c r="Q190" s="1375"/>
      <c r="R190" s="1375"/>
      <c r="S190" s="1375"/>
      <c r="T190" s="1386"/>
      <c r="U190" s="1375"/>
      <c r="V190" s="1375"/>
      <c r="W190" s="1416"/>
      <c r="X190" s="1420"/>
    </row>
    <row r="191" spans="1:24" ht="15">
      <c r="A191" s="1372"/>
      <c r="B191" s="1373"/>
      <c r="C191" s="1431"/>
      <c r="D191" s="1372"/>
      <c r="E191" s="1374"/>
      <c r="F191" s="1385"/>
      <c r="G191" s="1373"/>
      <c r="H191" s="1386"/>
      <c r="I191" s="1386"/>
      <c r="J191" s="1375"/>
      <c r="K191" s="1375"/>
      <c r="L191" s="1386"/>
      <c r="M191" s="1375"/>
      <c r="N191" s="1375"/>
      <c r="O191" s="1375"/>
      <c r="P191" s="1386"/>
      <c r="Q191" s="1375"/>
      <c r="R191" s="1375"/>
      <c r="S191" s="1375"/>
      <c r="T191" s="1386"/>
      <c r="U191" s="1375"/>
      <c r="V191" s="1375"/>
      <c r="W191" s="1416"/>
      <c r="X191" s="1420"/>
    </row>
    <row r="192" spans="1:24" ht="15">
      <c r="A192" s="1372"/>
      <c r="B192" s="1373"/>
      <c r="C192" s="1372"/>
      <c r="D192" s="1372"/>
      <c r="E192" s="1372"/>
      <c r="F192" s="1385"/>
      <c r="G192" s="1373"/>
      <c r="H192" s="1386"/>
      <c r="I192" s="1386"/>
      <c r="J192" s="1375"/>
      <c r="K192" s="1375"/>
      <c r="L192" s="1386"/>
      <c r="M192" s="1375"/>
      <c r="N192" s="1375"/>
      <c r="O192" s="1375"/>
      <c r="P192" s="1386"/>
      <c r="Q192" s="1375"/>
      <c r="R192" s="1375"/>
      <c r="S192" s="1375"/>
      <c r="T192" s="1386"/>
      <c r="U192" s="1375"/>
      <c r="V192" s="1375"/>
      <c r="W192" s="1416"/>
      <c r="X192" s="1420"/>
    </row>
    <row r="193" spans="1:24" ht="15">
      <c r="A193" s="1372"/>
      <c r="B193" s="1373"/>
      <c r="C193" s="1372"/>
      <c r="D193" s="1372"/>
      <c r="E193" s="1372"/>
      <c r="F193" s="1385"/>
      <c r="G193" s="1373"/>
      <c r="H193" s="1386"/>
      <c r="I193" s="1386"/>
      <c r="J193" s="1375"/>
      <c r="K193" s="1375"/>
      <c r="L193" s="1386"/>
      <c r="M193" s="1375"/>
      <c r="N193" s="1375"/>
      <c r="O193" s="1375"/>
      <c r="P193" s="1386"/>
      <c r="Q193" s="1375"/>
      <c r="R193" s="1375"/>
      <c r="S193" s="1375"/>
      <c r="T193" s="1386"/>
      <c r="U193" s="1375"/>
      <c r="V193" s="1375"/>
      <c r="W193" s="1416"/>
      <c r="X193" s="1421"/>
    </row>
    <row r="194" spans="1:24" ht="15">
      <c r="A194" s="1372"/>
      <c r="B194" s="1406"/>
      <c r="C194" s="1372"/>
      <c r="D194" s="1372"/>
      <c r="E194" s="1372"/>
      <c r="F194" s="1407"/>
      <c r="G194" s="1373"/>
      <c r="H194" s="1386"/>
      <c r="I194" s="1386"/>
      <c r="J194" s="1375"/>
      <c r="K194" s="1375"/>
      <c r="L194" s="1386"/>
      <c r="M194" s="1375"/>
      <c r="N194" s="1375"/>
      <c r="O194" s="1375"/>
      <c r="P194" s="1386"/>
      <c r="Q194" s="1375"/>
      <c r="R194" s="1375"/>
      <c r="S194" s="1375"/>
      <c r="T194" s="1386"/>
      <c r="U194" s="1375"/>
      <c r="V194" s="1375"/>
      <c r="W194" s="1416"/>
      <c r="X194" s="1421"/>
    </row>
    <row r="195" spans="1:24" ht="15">
      <c r="A195" s="1372"/>
      <c r="B195" s="1406"/>
      <c r="C195" s="1372"/>
      <c r="D195" s="1372"/>
      <c r="E195" s="1372"/>
      <c r="F195" s="1407"/>
      <c r="G195" s="1373"/>
      <c r="H195" s="1386"/>
      <c r="I195" s="1386"/>
      <c r="J195" s="1375"/>
      <c r="K195" s="1375"/>
      <c r="L195" s="1386"/>
      <c r="M195" s="1375"/>
      <c r="N195" s="1375"/>
      <c r="O195" s="1375"/>
      <c r="P195" s="1386"/>
      <c r="Q195" s="1375"/>
      <c r="R195" s="1375"/>
      <c r="S195" s="1375"/>
      <c r="T195" s="1386"/>
      <c r="U195" s="1375"/>
      <c r="V195" s="1375"/>
      <c r="W195" s="1416"/>
      <c r="X195" s="1421"/>
    </row>
    <row r="196" spans="1:24" ht="15">
      <c r="A196" s="1372"/>
      <c r="B196" s="1406"/>
      <c r="C196" s="1372"/>
      <c r="D196" s="1372"/>
      <c r="E196" s="1372"/>
      <c r="F196" s="1385"/>
      <c r="G196" s="1373"/>
      <c r="H196" s="1386"/>
      <c r="I196" s="1386"/>
      <c r="J196" s="1375"/>
      <c r="K196" s="1375"/>
      <c r="L196" s="1386"/>
      <c r="M196" s="1375"/>
      <c r="N196" s="1375"/>
      <c r="O196" s="1375"/>
      <c r="P196" s="1386"/>
      <c r="Q196" s="1375"/>
      <c r="R196" s="1375"/>
      <c r="S196" s="1375"/>
      <c r="T196" s="1386"/>
      <c r="U196" s="1375"/>
      <c r="V196" s="1375"/>
      <c r="W196" s="1416"/>
      <c r="X196" s="1421"/>
    </row>
    <row r="197" spans="1:24" ht="15">
      <c r="A197" s="1469"/>
      <c r="B197" s="1470"/>
      <c r="C197" s="1383"/>
      <c r="D197" s="1383"/>
      <c r="E197" s="1381"/>
      <c r="F197" s="1385"/>
      <c r="G197" s="1373"/>
      <c r="H197" s="1386"/>
      <c r="I197" s="1386"/>
      <c r="J197" s="1375"/>
      <c r="K197" s="1375"/>
      <c r="L197" s="1386"/>
      <c r="M197" s="1375"/>
      <c r="N197" s="1375"/>
      <c r="O197" s="1375"/>
      <c r="P197" s="1386"/>
      <c r="Q197" s="1375"/>
      <c r="R197" s="1375"/>
      <c r="S197" s="1375"/>
      <c r="T197" s="1386"/>
      <c r="U197" s="1375"/>
      <c r="V197" s="1375"/>
      <c r="W197" s="1416"/>
      <c r="X197" s="1419"/>
    </row>
    <row r="198" spans="1:24" ht="15">
      <c r="A198" s="1390"/>
      <c r="B198" s="1409"/>
      <c r="C198" s="1383"/>
      <c r="D198" s="1391"/>
      <c r="E198" s="1411"/>
      <c r="F198" s="1411"/>
      <c r="G198" s="1373"/>
      <c r="H198" s="1386"/>
      <c r="I198" s="1386"/>
      <c r="J198" s="1373"/>
      <c r="K198" s="1373"/>
      <c r="L198" s="1386"/>
      <c r="M198" s="1373"/>
      <c r="N198" s="1373"/>
      <c r="O198" s="1373"/>
      <c r="P198" s="1386"/>
      <c r="Q198" s="1373"/>
      <c r="R198" s="1373"/>
      <c r="S198" s="1373"/>
      <c r="T198" s="1386"/>
      <c r="U198" s="1392"/>
      <c r="V198" s="1375"/>
      <c r="W198" s="1416"/>
      <c r="X198" s="1419"/>
    </row>
    <row r="199" spans="1:24">
      <c r="A199" s="1410"/>
      <c r="B199" s="1394"/>
      <c r="C199" s="1391"/>
      <c r="D199" s="1391"/>
      <c r="E199" s="1395"/>
      <c r="F199" s="1385"/>
      <c r="G199" s="1373"/>
      <c r="H199" s="1386"/>
      <c r="I199" s="1386"/>
      <c r="J199" s="1373"/>
      <c r="K199" s="1373"/>
      <c r="L199" s="1386"/>
      <c r="M199" s="1373"/>
      <c r="N199" s="1373"/>
      <c r="O199" s="1373"/>
      <c r="P199" s="1386"/>
      <c r="Q199" s="1373"/>
      <c r="R199" s="1373"/>
      <c r="S199" s="1373"/>
      <c r="T199" s="1386"/>
      <c r="U199" s="1392"/>
      <c r="V199" s="1375"/>
      <c r="W199" s="1416"/>
      <c r="X199" s="1419"/>
    </row>
    <row r="200" spans="1:24">
      <c r="A200" s="1410"/>
      <c r="B200" s="1394"/>
      <c r="C200" s="1399"/>
      <c r="D200" s="1400"/>
      <c r="E200" s="1402"/>
      <c r="F200" s="1385"/>
      <c r="G200" s="1373"/>
      <c r="H200" s="1386"/>
      <c r="I200" s="1386"/>
      <c r="J200" s="1373"/>
      <c r="K200" s="1373"/>
      <c r="L200" s="1386"/>
      <c r="M200" s="1373"/>
      <c r="N200" s="1373"/>
      <c r="O200" s="1373"/>
      <c r="P200" s="1386"/>
      <c r="Q200" s="1373"/>
      <c r="R200" s="1373"/>
      <c r="S200" s="1373"/>
      <c r="T200" s="1386"/>
      <c r="U200" s="1392"/>
      <c r="V200" s="1375"/>
      <c r="W200" s="1416"/>
      <c r="X200" s="1419"/>
    </row>
    <row r="201" spans="1:24">
      <c r="A201" s="1410"/>
      <c r="B201" s="1394"/>
      <c r="C201" s="1372"/>
      <c r="D201" s="1400"/>
      <c r="E201" s="1403"/>
      <c r="F201" s="1385"/>
      <c r="G201" s="1373"/>
      <c r="H201" s="1386"/>
      <c r="I201" s="1386"/>
      <c r="J201" s="1373"/>
      <c r="K201" s="1373"/>
      <c r="L201" s="1386"/>
      <c r="M201" s="1373"/>
      <c r="N201" s="1373"/>
      <c r="O201" s="1373"/>
      <c r="P201" s="1386"/>
      <c r="Q201" s="1373"/>
      <c r="R201" s="1373"/>
      <c r="S201" s="1373"/>
      <c r="T201" s="1386"/>
      <c r="U201" s="1392"/>
      <c r="V201" s="1375"/>
      <c r="W201" s="1416"/>
      <c r="X201" s="1419"/>
    </row>
    <row r="202" spans="1:24">
      <c r="A202" s="1410"/>
      <c r="B202" s="1394"/>
      <c r="C202" s="1372"/>
      <c r="D202" s="1400"/>
      <c r="E202" s="1403"/>
      <c r="F202" s="1385"/>
      <c r="G202" s="1373"/>
      <c r="H202" s="1386"/>
      <c r="I202" s="1386"/>
      <c r="J202" s="1373"/>
      <c r="K202" s="1373"/>
      <c r="L202" s="1386"/>
      <c r="M202" s="1373"/>
      <c r="N202" s="1373"/>
      <c r="O202" s="1373"/>
      <c r="P202" s="1386"/>
      <c r="Q202" s="1373"/>
      <c r="R202" s="1373"/>
      <c r="S202" s="1373"/>
      <c r="T202" s="1386"/>
      <c r="U202" s="1392"/>
      <c r="V202" s="1375"/>
      <c r="W202" s="1416"/>
      <c r="X202" s="1419"/>
    </row>
    <row r="203" spans="1:24">
      <c r="A203" s="1410"/>
      <c r="B203" s="1396"/>
      <c r="C203" s="1372"/>
      <c r="D203" s="1400"/>
      <c r="E203" s="1403"/>
      <c r="F203" s="1385"/>
      <c r="G203" s="1373"/>
      <c r="H203" s="1386"/>
      <c r="I203" s="1386"/>
      <c r="J203" s="1373"/>
      <c r="K203" s="1373"/>
      <c r="L203" s="1386"/>
      <c r="M203" s="1373"/>
      <c r="N203" s="1373"/>
      <c r="O203" s="1373"/>
      <c r="P203" s="1386"/>
      <c r="Q203" s="1373"/>
      <c r="R203" s="1373"/>
      <c r="S203" s="1373"/>
      <c r="T203" s="1386"/>
      <c r="U203" s="1392"/>
      <c r="V203" s="1375"/>
      <c r="W203" s="1416"/>
      <c r="X203" s="1419"/>
    </row>
    <row r="204" spans="1:24">
      <c r="A204" s="1410"/>
      <c r="B204" s="1394"/>
      <c r="C204" s="1372"/>
      <c r="D204" s="1400"/>
      <c r="E204" s="1403"/>
      <c r="F204" s="1385"/>
      <c r="G204" s="1373"/>
      <c r="H204" s="1386"/>
      <c r="I204" s="1386"/>
      <c r="J204" s="1373"/>
      <c r="K204" s="1373"/>
      <c r="L204" s="1386"/>
      <c r="M204" s="1373"/>
      <c r="N204" s="1373"/>
      <c r="O204" s="1373"/>
      <c r="P204" s="1386"/>
      <c r="Q204" s="1373"/>
      <c r="R204" s="1373"/>
      <c r="S204" s="1373"/>
      <c r="T204" s="1386"/>
      <c r="U204" s="1392"/>
      <c r="V204" s="1375"/>
      <c r="W204" s="1416"/>
      <c r="X204" s="1419"/>
    </row>
    <row r="205" spans="1:24">
      <c r="A205" s="1410"/>
      <c r="B205" s="1394"/>
      <c r="C205" s="1372"/>
      <c r="D205" s="1401"/>
      <c r="E205" s="1404"/>
      <c r="F205" s="1385"/>
      <c r="G205" s="1373"/>
      <c r="H205" s="1386"/>
      <c r="I205" s="1386"/>
      <c r="J205" s="1373"/>
      <c r="K205" s="1373"/>
      <c r="L205" s="1386"/>
      <c r="M205" s="1373"/>
      <c r="N205" s="1373"/>
      <c r="O205" s="1373"/>
      <c r="P205" s="1386"/>
      <c r="Q205" s="1373"/>
      <c r="R205" s="1373"/>
      <c r="S205" s="1373"/>
      <c r="T205" s="1386"/>
      <c r="U205" s="1392"/>
      <c r="V205" s="1375"/>
      <c r="W205" s="1416"/>
      <c r="X205" s="1419"/>
    </row>
    <row r="206" spans="1:24">
      <c r="A206" s="1410"/>
      <c r="B206" s="1394"/>
      <c r="C206" s="1372"/>
      <c r="D206" s="1401"/>
      <c r="E206" s="1404"/>
      <c r="F206" s="1385"/>
      <c r="G206" s="1373"/>
      <c r="H206" s="1386"/>
      <c r="I206" s="1386"/>
      <c r="J206" s="1373"/>
      <c r="K206" s="1373"/>
      <c r="L206" s="1386"/>
      <c r="M206" s="1373"/>
      <c r="N206" s="1373"/>
      <c r="O206" s="1373"/>
      <c r="P206" s="1386"/>
      <c r="Q206" s="1373"/>
      <c r="R206" s="1373"/>
      <c r="S206" s="1373"/>
      <c r="T206" s="1386"/>
      <c r="U206" s="1392"/>
      <c r="V206" s="1375"/>
      <c r="W206" s="1416"/>
      <c r="X206" s="1419"/>
    </row>
    <row r="207" spans="1:24">
      <c r="A207" s="1410"/>
      <c r="B207" s="1394"/>
      <c r="C207" s="1372"/>
      <c r="D207" s="1401"/>
      <c r="E207" s="1404"/>
      <c r="F207" s="1385"/>
      <c r="G207" s="1373"/>
      <c r="H207" s="1386"/>
      <c r="I207" s="1386"/>
      <c r="J207" s="1373"/>
      <c r="K207" s="1373"/>
      <c r="L207" s="1386"/>
      <c r="M207" s="1373"/>
      <c r="N207" s="1373"/>
      <c r="O207" s="1373"/>
      <c r="P207" s="1386"/>
      <c r="Q207" s="1373"/>
      <c r="R207" s="1373"/>
      <c r="S207" s="1373"/>
      <c r="T207" s="1386"/>
      <c r="U207" s="1392"/>
      <c r="V207" s="1375"/>
      <c r="W207" s="1416"/>
      <c r="X207" s="1419"/>
    </row>
    <row r="208" spans="1:24">
      <c r="A208" s="1410"/>
      <c r="B208" s="1396"/>
      <c r="C208" s="1372"/>
      <c r="D208" s="1401"/>
      <c r="E208" s="1404"/>
      <c r="F208" s="1385"/>
      <c r="G208" s="1373"/>
      <c r="H208" s="1386"/>
      <c r="I208" s="1386"/>
      <c r="J208" s="1373"/>
      <c r="K208" s="1373"/>
      <c r="L208" s="1386"/>
      <c r="M208" s="1373"/>
      <c r="N208" s="1373"/>
      <c r="O208" s="1373"/>
      <c r="P208" s="1386"/>
      <c r="Q208" s="1373"/>
      <c r="R208" s="1373"/>
      <c r="S208" s="1373"/>
      <c r="T208" s="1386"/>
      <c r="U208" s="1392"/>
      <c r="V208" s="1375"/>
      <c r="W208" s="1416"/>
      <c r="X208" s="1419"/>
    </row>
    <row r="209" spans="1:24">
      <c r="A209" s="1410"/>
      <c r="B209" s="1394"/>
      <c r="C209" s="1372"/>
      <c r="D209" s="1401"/>
      <c r="E209" s="1404"/>
      <c r="F209" s="1385"/>
      <c r="G209" s="1373"/>
      <c r="H209" s="1386"/>
      <c r="I209" s="1386"/>
      <c r="J209" s="1373"/>
      <c r="K209" s="1373"/>
      <c r="L209" s="1386"/>
      <c r="M209" s="1373"/>
      <c r="N209" s="1373"/>
      <c r="O209" s="1373"/>
      <c r="P209" s="1386"/>
      <c r="Q209" s="1373"/>
      <c r="R209" s="1373"/>
      <c r="S209" s="1373"/>
      <c r="T209" s="1386"/>
      <c r="U209" s="1392"/>
      <c r="V209" s="1375"/>
      <c r="W209" s="1416"/>
      <c r="X209" s="1419"/>
    </row>
    <row r="210" spans="1:24">
      <c r="A210" s="1410"/>
      <c r="B210" s="1394"/>
      <c r="C210" s="1372"/>
      <c r="D210" s="1401"/>
      <c r="E210" s="1404"/>
      <c r="F210" s="1385"/>
      <c r="G210" s="1373"/>
      <c r="H210" s="1386"/>
      <c r="I210" s="1386"/>
      <c r="J210" s="1373"/>
      <c r="K210" s="1373"/>
      <c r="L210" s="1386"/>
      <c r="M210" s="1373"/>
      <c r="N210" s="1373"/>
      <c r="O210" s="1373"/>
      <c r="P210" s="1386"/>
      <c r="Q210" s="1373"/>
      <c r="R210" s="1373"/>
      <c r="S210" s="1373"/>
      <c r="T210" s="1386"/>
      <c r="U210" s="1392"/>
      <c r="V210" s="1375"/>
      <c r="W210" s="1416"/>
      <c r="X210" s="1419"/>
    </row>
    <row r="211" spans="1:24">
      <c r="A211" s="1410"/>
      <c r="B211" s="1394"/>
      <c r="C211" s="1372"/>
      <c r="D211" s="1401"/>
      <c r="E211" s="1404"/>
      <c r="F211" s="1385"/>
      <c r="G211" s="1373"/>
      <c r="H211" s="1386"/>
      <c r="I211" s="1386"/>
      <c r="J211" s="1373"/>
      <c r="K211" s="1373"/>
      <c r="L211" s="1386"/>
      <c r="M211" s="1373"/>
      <c r="N211" s="1373"/>
      <c r="O211" s="1373"/>
      <c r="P211" s="1386"/>
      <c r="Q211" s="1373"/>
      <c r="R211" s="1373"/>
      <c r="S211" s="1373"/>
      <c r="T211" s="1386"/>
      <c r="U211" s="1392"/>
      <c r="V211" s="1375"/>
      <c r="W211" s="1416"/>
      <c r="X211" s="1419"/>
    </row>
    <row r="212" spans="1:24">
      <c r="A212" s="1410"/>
      <c r="B212" s="1394"/>
      <c r="C212" s="1372"/>
      <c r="D212" s="1401"/>
      <c r="E212" s="1404"/>
      <c r="F212" s="1385"/>
      <c r="G212" s="1373"/>
      <c r="H212" s="1386"/>
      <c r="I212" s="1386"/>
      <c r="J212" s="1373"/>
      <c r="K212" s="1373"/>
      <c r="L212" s="1386"/>
      <c r="M212" s="1373"/>
      <c r="N212" s="1373"/>
      <c r="O212" s="1373"/>
      <c r="P212" s="1386"/>
      <c r="Q212" s="1373"/>
      <c r="R212" s="1373"/>
      <c r="S212" s="1373"/>
      <c r="T212" s="1386"/>
      <c r="U212" s="1392"/>
      <c r="V212" s="1375"/>
      <c r="W212" s="1416"/>
      <c r="X212" s="1419"/>
    </row>
    <row r="213" spans="1:24">
      <c r="A213" s="1410"/>
      <c r="B213" s="1394"/>
      <c r="C213" s="1372"/>
      <c r="D213" s="1401"/>
      <c r="E213" s="1404"/>
      <c r="F213" s="1385"/>
      <c r="G213" s="1373"/>
      <c r="H213" s="1386"/>
      <c r="I213" s="1386"/>
      <c r="J213" s="1373"/>
      <c r="K213" s="1373"/>
      <c r="L213" s="1386"/>
      <c r="M213" s="1373"/>
      <c r="N213" s="1373"/>
      <c r="O213" s="1373"/>
      <c r="P213" s="1386"/>
      <c r="Q213" s="1373"/>
      <c r="R213" s="1373"/>
      <c r="S213" s="1373"/>
      <c r="T213" s="1386"/>
      <c r="U213" s="1392"/>
      <c r="V213" s="1375"/>
      <c r="W213" s="1416"/>
      <c r="X213" s="1419"/>
    </row>
    <row r="214" spans="1:24">
      <c r="A214" s="1410"/>
      <c r="B214" s="1396"/>
      <c r="C214" s="1372"/>
      <c r="D214" s="1401"/>
      <c r="E214" s="1404"/>
      <c r="F214" s="1385"/>
      <c r="G214" s="1373"/>
      <c r="H214" s="1386"/>
      <c r="I214" s="1386"/>
      <c r="J214" s="1373"/>
      <c r="K214" s="1373"/>
      <c r="L214" s="1386"/>
      <c r="M214" s="1373"/>
      <c r="N214" s="1373"/>
      <c r="O214" s="1373"/>
      <c r="P214" s="1386"/>
      <c r="Q214" s="1373"/>
      <c r="R214" s="1373"/>
      <c r="S214" s="1373"/>
      <c r="T214" s="1386"/>
      <c r="U214" s="1392"/>
      <c r="V214" s="1375"/>
      <c r="W214" s="1416"/>
      <c r="X214" s="1419"/>
    </row>
    <row r="215" spans="1:24">
      <c r="A215" s="1410"/>
      <c r="B215" s="1394"/>
      <c r="C215" s="1372"/>
      <c r="D215" s="1401"/>
      <c r="E215" s="1404"/>
      <c r="F215" s="1385"/>
      <c r="G215" s="1373"/>
      <c r="H215" s="1386"/>
      <c r="I215" s="1386"/>
      <c r="J215" s="1373"/>
      <c r="K215" s="1373"/>
      <c r="L215" s="1386"/>
      <c r="M215" s="1373"/>
      <c r="N215" s="1373"/>
      <c r="O215" s="1373"/>
      <c r="P215" s="1386"/>
      <c r="Q215" s="1373"/>
      <c r="R215" s="1373"/>
      <c r="S215" s="1373"/>
      <c r="T215" s="1386"/>
      <c r="U215" s="1392"/>
      <c r="V215" s="1375"/>
      <c r="W215" s="1416"/>
      <c r="X215" s="1419"/>
    </row>
    <row r="216" spans="1:24">
      <c r="A216" s="1410"/>
      <c r="B216" s="1394"/>
      <c r="C216" s="1372"/>
      <c r="D216" s="1401"/>
      <c r="E216" s="1404"/>
      <c r="F216" s="1385"/>
      <c r="G216" s="1373"/>
      <c r="H216" s="1386"/>
      <c r="I216" s="1386"/>
      <c r="J216" s="1373"/>
      <c r="K216" s="1373"/>
      <c r="L216" s="1386"/>
      <c r="M216" s="1373"/>
      <c r="N216" s="1373"/>
      <c r="O216" s="1373"/>
      <c r="P216" s="1386"/>
      <c r="Q216" s="1373"/>
      <c r="R216" s="1373"/>
      <c r="S216" s="1373"/>
      <c r="T216" s="1386"/>
      <c r="U216" s="1392"/>
      <c r="V216" s="1375"/>
      <c r="W216" s="1416"/>
      <c r="X216" s="1419"/>
    </row>
    <row r="217" spans="1:24">
      <c r="A217" s="1410"/>
      <c r="B217" s="1394"/>
      <c r="C217" s="1372"/>
      <c r="D217" s="1401"/>
      <c r="E217" s="1404"/>
      <c r="F217" s="1385"/>
      <c r="G217" s="1373"/>
      <c r="H217" s="1386"/>
      <c r="I217" s="1386"/>
      <c r="J217" s="1373"/>
      <c r="K217" s="1373"/>
      <c r="L217" s="1386"/>
      <c r="M217" s="1373"/>
      <c r="N217" s="1373"/>
      <c r="O217" s="1373"/>
      <c r="P217" s="1386"/>
      <c r="Q217" s="1373"/>
      <c r="R217" s="1373"/>
      <c r="S217" s="1373"/>
      <c r="T217" s="1386"/>
      <c r="U217" s="1392"/>
      <c r="V217" s="1375"/>
      <c r="W217" s="1416"/>
      <c r="X217" s="1419"/>
    </row>
    <row r="218" spans="1:24">
      <c r="A218" s="1410"/>
      <c r="B218" s="1394"/>
      <c r="C218" s="1372"/>
      <c r="D218" s="1401"/>
      <c r="E218" s="1404"/>
      <c r="F218" s="1385"/>
      <c r="G218" s="1373"/>
      <c r="H218" s="1386"/>
      <c r="I218" s="1386"/>
      <c r="J218" s="1373"/>
      <c r="K218" s="1373"/>
      <c r="L218" s="1386"/>
      <c r="M218" s="1373"/>
      <c r="N218" s="1373"/>
      <c r="O218" s="1373"/>
      <c r="P218" s="1386"/>
      <c r="Q218" s="1373"/>
      <c r="R218" s="1373"/>
      <c r="S218" s="1373"/>
      <c r="T218" s="1386"/>
      <c r="U218" s="1392"/>
      <c r="V218" s="1375"/>
      <c r="W218" s="1416"/>
      <c r="X218" s="1419"/>
    </row>
    <row r="219" spans="1:24">
      <c r="A219" s="1410"/>
      <c r="B219" s="1394"/>
      <c r="C219" s="1372"/>
      <c r="D219" s="1401"/>
      <c r="E219" s="1404"/>
      <c r="F219" s="1385"/>
      <c r="G219" s="1373"/>
      <c r="H219" s="1386"/>
      <c r="I219" s="1386"/>
      <c r="J219" s="1373"/>
      <c r="K219" s="1373"/>
      <c r="L219" s="1386"/>
      <c r="M219" s="1373"/>
      <c r="N219" s="1373"/>
      <c r="O219" s="1373"/>
      <c r="P219" s="1386"/>
      <c r="Q219" s="1373"/>
      <c r="R219" s="1373"/>
      <c r="S219" s="1373"/>
      <c r="T219" s="1386"/>
      <c r="U219" s="1392"/>
      <c r="V219" s="1375"/>
      <c r="W219" s="1416"/>
      <c r="X219" s="1419"/>
    </row>
    <row r="220" spans="1:24">
      <c r="A220" s="1410"/>
      <c r="B220" s="1394"/>
      <c r="C220" s="1372"/>
      <c r="D220" s="1401"/>
      <c r="E220" s="1404"/>
      <c r="F220" s="1385"/>
      <c r="G220" s="1373"/>
      <c r="H220" s="1386"/>
      <c r="I220" s="1386"/>
      <c r="J220" s="1373"/>
      <c r="K220" s="1373"/>
      <c r="L220" s="1386"/>
      <c r="M220" s="1373"/>
      <c r="N220" s="1373"/>
      <c r="O220" s="1373"/>
      <c r="P220" s="1386"/>
      <c r="Q220" s="1373"/>
      <c r="R220" s="1373"/>
      <c r="S220" s="1373"/>
      <c r="T220" s="1386"/>
      <c r="U220" s="1392"/>
      <c r="V220" s="1375"/>
      <c r="W220" s="1416"/>
      <c r="X220" s="1419"/>
    </row>
    <row r="221" spans="1:24">
      <c r="A221" s="1410"/>
      <c r="B221" s="1394"/>
      <c r="C221" s="1372"/>
      <c r="D221" s="1401"/>
      <c r="E221" s="1404"/>
      <c r="F221" s="1385"/>
      <c r="G221" s="1373"/>
      <c r="H221" s="1386"/>
      <c r="I221" s="1386"/>
      <c r="J221" s="1373"/>
      <c r="K221" s="1373"/>
      <c r="L221" s="1386"/>
      <c r="M221" s="1373"/>
      <c r="N221" s="1373"/>
      <c r="O221" s="1373"/>
      <c r="P221" s="1386"/>
      <c r="Q221" s="1373"/>
      <c r="R221" s="1373"/>
      <c r="S221" s="1373"/>
      <c r="T221" s="1386"/>
      <c r="U221" s="1392"/>
      <c r="V221" s="1375"/>
      <c r="W221" s="1416"/>
      <c r="X221" s="1419"/>
    </row>
    <row r="222" spans="1:24">
      <c r="A222" s="1410"/>
      <c r="B222" s="1396"/>
      <c r="C222" s="1372"/>
      <c r="D222" s="1401"/>
      <c r="E222" s="1404"/>
      <c r="F222" s="1385"/>
      <c r="G222" s="1373"/>
      <c r="H222" s="1386"/>
      <c r="I222" s="1386"/>
      <c r="J222" s="1373"/>
      <c r="K222" s="1373"/>
      <c r="L222" s="1386"/>
      <c r="M222" s="1373"/>
      <c r="N222" s="1373"/>
      <c r="O222" s="1373"/>
      <c r="P222" s="1386"/>
      <c r="Q222" s="1373"/>
      <c r="R222" s="1373"/>
      <c r="S222" s="1373"/>
      <c r="T222" s="1386"/>
      <c r="U222" s="1392"/>
      <c r="V222" s="1375"/>
      <c r="W222" s="1416"/>
      <c r="X222" s="1419"/>
    </row>
    <row r="223" spans="1:24">
      <c r="A223" s="1410"/>
      <c r="B223" s="1394"/>
      <c r="C223" s="1372"/>
      <c r="D223" s="1401"/>
      <c r="E223" s="1404"/>
      <c r="F223" s="1385"/>
      <c r="G223" s="1373"/>
      <c r="H223" s="1386"/>
      <c r="I223" s="1386"/>
      <c r="J223" s="1373"/>
      <c r="K223" s="1373"/>
      <c r="L223" s="1386"/>
      <c r="M223" s="1373"/>
      <c r="N223" s="1373"/>
      <c r="O223" s="1373"/>
      <c r="P223" s="1386"/>
      <c r="Q223" s="1373"/>
      <c r="R223" s="1373"/>
      <c r="S223" s="1373"/>
      <c r="T223" s="1386"/>
      <c r="U223" s="1392"/>
      <c r="V223" s="1375"/>
      <c r="W223" s="1416"/>
      <c r="X223" s="1419"/>
    </row>
    <row r="224" spans="1:24">
      <c r="A224" s="1410"/>
      <c r="B224" s="1394"/>
      <c r="C224" s="1372"/>
      <c r="D224" s="1401"/>
      <c r="E224" s="1404"/>
      <c r="F224" s="1385"/>
      <c r="G224" s="1373"/>
      <c r="H224" s="1386"/>
      <c r="I224" s="1386"/>
      <c r="J224" s="1373"/>
      <c r="K224" s="1373"/>
      <c r="L224" s="1386"/>
      <c r="M224" s="1373"/>
      <c r="N224" s="1373"/>
      <c r="O224" s="1373"/>
      <c r="P224" s="1386"/>
      <c r="Q224" s="1373"/>
      <c r="R224" s="1373"/>
      <c r="S224" s="1373"/>
      <c r="T224" s="1386"/>
      <c r="U224" s="1392"/>
      <c r="V224" s="1375"/>
      <c r="W224" s="1416"/>
      <c r="X224" s="1419"/>
    </row>
    <row r="225" spans="1:24">
      <c r="A225" s="1410"/>
      <c r="B225" s="1396"/>
      <c r="C225" s="1372"/>
      <c r="D225" s="1401"/>
      <c r="E225" s="1404"/>
      <c r="F225" s="1385"/>
      <c r="G225" s="1373"/>
      <c r="H225" s="1386"/>
      <c r="I225" s="1386"/>
      <c r="J225" s="1373"/>
      <c r="K225" s="1373"/>
      <c r="L225" s="1386"/>
      <c r="M225" s="1373"/>
      <c r="N225" s="1373"/>
      <c r="O225" s="1373"/>
      <c r="P225" s="1386"/>
      <c r="Q225" s="1373"/>
      <c r="R225" s="1373"/>
      <c r="S225" s="1373"/>
      <c r="T225" s="1386"/>
      <c r="U225" s="1392"/>
      <c r="V225" s="1375"/>
      <c r="W225" s="1416"/>
      <c r="X225" s="1419"/>
    </row>
    <row r="226" spans="1:24">
      <c r="A226" s="1410"/>
      <c r="B226" s="1394"/>
      <c r="C226" s="1372"/>
      <c r="D226" s="1401"/>
      <c r="E226" s="1404"/>
      <c r="F226" s="1385"/>
      <c r="G226" s="1373"/>
      <c r="H226" s="1386"/>
      <c r="I226" s="1386"/>
      <c r="J226" s="1373"/>
      <c r="K226" s="1373"/>
      <c r="L226" s="1386"/>
      <c r="M226" s="1373"/>
      <c r="N226" s="1373"/>
      <c r="O226" s="1373"/>
      <c r="P226" s="1386"/>
      <c r="Q226" s="1373"/>
      <c r="R226" s="1373"/>
      <c r="S226" s="1373"/>
      <c r="T226" s="1386"/>
      <c r="U226" s="1392"/>
      <c r="V226" s="1375"/>
      <c r="W226" s="1416"/>
      <c r="X226" s="1419"/>
    </row>
    <row r="227" spans="1:24">
      <c r="A227" s="1410"/>
      <c r="B227" s="1394"/>
      <c r="C227" s="1372"/>
      <c r="D227" s="1401"/>
      <c r="E227" s="1404"/>
      <c r="F227" s="1385"/>
      <c r="G227" s="1373"/>
      <c r="H227" s="1386"/>
      <c r="I227" s="1386"/>
      <c r="J227" s="1373"/>
      <c r="K227" s="1373"/>
      <c r="L227" s="1386"/>
      <c r="M227" s="1373"/>
      <c r="N227" s="1373"/>
      <c r="O227" s="1373"/>
      <c r="P227" s="1386"/>
      <c r="Q227" s="1373"/>
      <c r="R227" s="1373"/>
      <c r="S227" s="1373"/>
      <c r="T227" s="1386"/>
      <c r="U227" s="1392"/>
      <c r="V227" s="1375"/>
      <c r="W227" s="1416"/>
      <c r="X227" s="1419"/>
    </row>
    <row r="228" spans="1:24">
      <c r="A228" s="1410"/>
      <c r="B228" s="1394"/>
      <c r="C228" s="1372"/>
      <c r="D228" s="1401"/>
      <c r="E228" s="1404"/>
      <c r="F228" s="1385"/>
      <c r="G228" s="1373"/>
      <c r="H228" s="1386"/>
      <c r="I228" s="1386"/>
      <c r="J228" s="1373"/>
      <c r="K228" s="1373"/>
      <c r="L228" s="1386"/>
      <c r="M228" s="1373"/>
      <c r="N228" s="1373"/>
      <c r="O228" s="1373"/>
      <c r="P228" s="1386"/>
      <c r="Q228" s="1373"/>
      <c r="R228" s="1373"/>
      <c r="S228" s="1373"/>
      <c r="T228" s="1386"/>
      <c r="U228" s="1392"/>
      <c r="V228" s="1375"/>
      <c r="W228" s="1416"/>
      <c r="X228" s="1419"/>
    </row>
    <row r="229" spans="1:24">
      <c r="A229" s="1410"/>
      <c r="B229" s="1394"/>
      <c r="C229" s="1372"/>
      <c r="D229" s="1401"/>
      <c r="E229" s="1404"/>
      <c r="F229" s="1385"/>
      <c r="G229" s="1373"/>
      <c r="H229" s="1386"/>
      <c r="I229" s="1386"/>
      <c r="J229" s="1373"/>
      <c r="K229" s="1373"/>
      <c r="L229" s="1386"/>
      <c r="M229" s="1373"/>
      <c r="N229" s="1373"/>
      <c r="O229" s="1373"/>
      <c r="P229" s="1386"/>
      <c r="Q229" s="1373"/>
      <c r="R229" s="1373"/>
      <c r="S229" s="1373"/>
      <c r="T229" s="1386"/>
      <c r="U229" s="1392"/>
      <c r="V229" s="1375"/>
      <c r="W229" s="1416"/>
      <c r="X229" s="1419"/>
    </row>
    <row r="230" spans="1:24">
      <c r="A230" s="1399"/>
      <c r="B230" s="1397"/>
      <c r="C230" s="1372"/>
      <c r="D230" s="1401"/>
      <c r="E230" s="1404"/>
      <c r="F230" s="1385"/>
      <c r="G230" s="1373"/>
      <c r="H230" s="1386"/>
      <c r="I230" s="1386"/>
      <c r="J230" s="1373"/>
      <c r="K230" s="1373"/>
      <c r="L230" s="1386"/>
      <c r="M230" s="1373"/>
      <c r="N230" s="1373"/>
      <c r="O230" s="1373"/>
      <c r="P230" s="1386"/>
      <c r="Q230" s="1373"/>
      <c r="R230" s="1373"/>
      <c r="S230" s="1373"/>
      <c r="T230" s="1386"/>
      <c r="U230" s="1392"/>
      <c r="V230" s="1375"/>
      <c r="W230" s="1416"/>
      <c r="X230" s="1419"/>
    </row>
    <row r="231" spans="1:24">
      <c r="A231" s="1399"/>
      <c r="B231" s="1394"/>
      <c r="C231" s="1398"/>
      <c r="D231" s="1401"/>
      <c r="E231" s="1405"/>
      <c r="F231" s="1385"/>
      <c r="G231" s="1373"/>
      <c r="H231" s="1386"/>
      <c r="I231" s="1386"/>
      <c r="J231" s="1373"/>
      <c r="K231" s="1373"/>
      <c r="L231" s="1386"/>
      <c r="M231" s="1373"/>
      <c r="N231" s="1373"/>
      <c r="O231" s="1373"/>
      <c r="P231" s="1386"/>
      <c r="Q231" s="1373"/>
      <c r="R231" s="1373"/>
      <c r="S231" s="1373"/>
      <c r="T231" s="1386"/>
      <c r="U231" s="1392"/>
      <c r="V231" s="1375"/>
      <c r="W231" s="1416"/>
      <c r="X231" s="1419"/>
    </row>
    <row r="232" spans="1:24" ht="15" hidden="1">
      <c r="A232" s="1390"/>
      <c r="B232" s="1394"/>
      <c r="C232" s="1391"/>
      <c r="D232" s="1391"/>
      <c r="E232" s="1393"/>
      <c r="F232" s="1385"/>
      <c r="G232" s="1373"/>
      <c r="H232" s="1386"/>
      <c r="I232" s="1386"/>
      <c r="J232" s="1373"/>
      <c r="K232" s="1373"/>
      <c r="L232" s="1386"/>
      <c r="M232" s="1373"/>
      <c r="N232" s="1373"/>
      <c r="O232" s="1373"/>
      <c r="P232" s="1386"/>
      <c r="Q232" s="1373"/>
      <c r="R232" s="1373"/>
      <c r="S232" s="1373"/>
      <c r="T232" s="1386"/>
      <c r="U232" s="1392"/>
      <c r="V232" s="1375"/>
      <c r="W232" s="1416"/>
      <c r="X232" s="1419"/>
    </row>
    <row r="233" spans="1:24" ht="15" hidden="1">
      <c r="A233" s="1390"/>
      <c r="B233" s="1394"/>
      <c r="C233" s="1391"/>
      <c r="D233" s="1391"/>
      <c r="E233" s="1393"/>
      <c r="F233" s="1385"/>
      <c r="G233" s="1373"/>
      <c r="H233" s="1386"/>
      <c r="I233" s="1386"/>
      <c r="J233" s="1373"/>
      <c r="K233" s="1373"/>
      <c r="L233" s="1386"/>
      <c r="M233" s="1373"/>
      <c r="N233" s="1373"/>
      <c r="O233" s="1373"/>
      <c r="P233" s="1386"/>
      <c r="Q233" s="1373"/>
      <c r="R233" s="1373"/>
      <c r="S233" s="1373"/>
      <c r="T233" s="1386"/>
      <c r="U233" s="1392"/>
      <c r="V233" s="1375"/>
      <c r="W233" s="1416"/>
      <c r="X233" s="1419"/>
    </row>
    <row r="234" spans="1:24" ht="15">
      <c r="A234" s="1376"/>
      <c r="B234" s="1377"/>
      <c r="C234" s="1378"/>
      <c r="D234" s="1378"/>
      <c r="E234" s="1379"/>
      <c r="F234" s="1380"/>
      <c r="G234" s="1381"/>
      <c r="H234" s="1381"/>
      <c r="I234" s="1381"/>
      <c r="J234" s="1381"/>
      <c r="K234" s="1381"/>
      <c r="L234" s="1381"/>
      <c r="M234" s="1381"/>
      <c r="N234" s="1381"/>
      <c r="O234" s="1381"/>
      <c r="P234" s="1381"/>
      <c r="Q234" s="1381"/>
      <c r="R234" s="1381"/>
      <c r="S234" s="1381"/>
      <c r="T234" s="1381"/>
      <c r="U234" s="1381"/>
      <c r="V234" s="1381"/>
      <c r="W234" s="1417"/>
      <c r="X234" s="1419"/>
    </row>
    <row r="235" spans="1:24" ht="15">
      <c r="A235" s="87"/>
      <c r="B235" s="1408"/>
      <c r="C235" s="109"/>
      <c r="D235" s="109"/>
      <c r="E235" s="110"/>
      <c r="F235" s="111"/>
      <c r="G235" s="91"/>
      <c r="H235" s="91"/>
      <c r="I235" s="91"/>
      <c r="J235" s="91"/>
      <c r="K235" s="91"/>
      <c r="L235" s="91"/>
      <c r="M235" s="91"/>
      <c r="N235" s="91"/>
      <c r="O235" s="91"/>
      <c r="P235" s="91"/>
      <c r="Q235" s="91"/>
      <c r="R235" s="91"/>
      <c r="S235" s="91"/>
      <c r="T235" s="91"/>
      <c r="U235" s="91"/>
      <c r="V235" s="91"/>
      <c r="W235" s="91"/>
      <c r="X235" s="91"/>
    </row>
    <row r="236" spans="1:24" ht="15">
      <c r="A236" s="87"/>
      <c r="B236" s="88"/>
      <c r="C236" s="89"/>
      <c r="D236" s="89"/>
      <c r="E236" s="91"/>
      <c r="F236" s="92"/>
      <c r="G236" s="91"/>
      <c r="H236" s="91"/>
      <c r="I236" s="91"/>
      <c r="J236" s="91"/>
      <c r="K236" s="91"/>
      <c r="L236" s="91"/>
      <c r="M236" s="91"/>
      <c r="N236" s="91"/>
      <c r="O236" s="91"/>
      <c r="P236" s="91"/>
      <c r="Q236" s="91"/>
      <c r="R236" s="91"/>
      <c r="S236" s="91"/>
      <c r="T236" s="91"/>
      <c r="U236" s="91"/>
      <c r="V236" s="91"/>
      <c r="W236" s="91"/>
      <c r="X236" s="91"/>
    </row>
    <row r="237" spans="1:24" ht="15">
      <c r="A237" s="87"/>
      <c r="B237" s="88"/>
      <c r="C237" s="89"/>
      <c r="D237" s="89"/>
      <c r="E237" s="91"/>
      <c r="F237" s="92"/>
      <c r="G237" s="91"/>
      <c r="H237" s="91"/>
      <c r="I237" s="91"/>
      <c r="J237" s="91"/>
      <c r="K237" s="91"/>
      <c r="L237" s="91"/>
      <c r="M237" s="91"/>
      <c r="N237" s="91"/>
      <c r="O237" s="91"/>
      <c r="P237" s="91"/>
      <c r="Q237" s="91"/>
      <c r="R237" s="91"/>
      <c r="S237" s="91"/>
      <c r="T237" s="91"/>
      <c r="U237" s="91"/>
      <c r="V237" s="91"/>
      <c r="W237" s="91"/>
      <c r="X237" s="91"/>
    </row>
    <row r="238" spans="1:24" ht="15">
      <c r="A238" s="1456" t="s">
        <v>346</v>
      </c>
      <c r="B238" s="1451"/>
      <c r="C238" s="92" t="s">
        <v>347</v>
      </c>
      <c r="E238" s="91"/>
      <c r="F238" s="91"/>
      <c r="H238" s="91" t="s">
        <v>4757</v>
      </c>
      <c r="L238" s="91"/>
      <c r="O238" s="91"/>
      <c r="Q238" s="91" t="s">
        <v>348</v>
      </c>
      <c r="R238" s="91"/>
      <c r="S238" s="91"/>
      <c r="T238" s="91"/>
      <c r="W238" s="91"/>
      <c r="X238" s="91"/>
    </row>
    <row r="239" spans="1:24" ht="15">
      <c r="A239" s="87"/>
      <c r="B239" s="88"/>
      <c r="C239" s="92"/>
      <c r="D239" s="91"/>
      <c r="E239" s="91"/>
      <c r="F239" s="91"/>
      <c r="H239" s="91"/>
      <c r="L239" s="91"/>
      <c r="N239" s="91"/>
      <c r="O239" s="91"/>
      <c r="Q239" s="91"/>
      <c r="R239" s="91"/>
      <c r="S239" s="91"/>
      <c r="T239" s="91"/>
      <c r="W239" s="91"/>
      <c r="X239" s="91"/>
    </row>
    <row r="240" spans="1:24" ht="15">
      <c r="A240" s="87"/>
      <c r="B240" s="88"/>
      <c r="C240" s="92"/>
      <c r="D240" s="91"/>
      <c r="E240" s="91"/>
      <c r="F240" s="91"/>
      <c r="H240" s="91"/>
      <c r="L240" s="91"/>
      <c r="N240" s="91"/>
      <c r="O240" s="91"/>
      <c r="Q240" s="91"/>
      <c r="R240" s="91"/>
      <c r="S240" s="91"/>
      <c r="T240" s="91"/>
      <c r="W240" s="91"/>
      <c r="X240" s="91"/>
    </row>
    <row r="241" spans="1:24">
      <c r="A241" s="1465" t="s">
        <v>4760</v>
      </c>
      <c r="B241" s="1451"/>
      <c r="C241" s="1389" t="s">
        <v>4759</v>
      </c>
      <c r="H241" s="1388" t="s">
        <v>4047</v>
      </c>
      <c r="L241" s="91"/>
      <c r="Q241" s="1387" t="s">
        <v>350</v>
      </c>
      <c r="W241" s="91"/>
      <c r="X241" s="91"/>
    </row>
    <row r="242" spans="1:24" ht="15">
      <c r="A242" s="1466" t="s">
        <v>4762</v>
      </c>
      <c r="B242" s="1451"/>
      <c r="C242" s="92" t="s">
        <v>434</v>
      </c>
      <c r="H242" t="s">
        <v>4758</v>
      </c>
      <c r="L242" s="91"/>
      <c r="Q242" s="91" t="s">
        <v>353</v>
      </c>
      <c r="S242" s="91"/>
      <c r="T242" s="91"/>
      <c r="W242" s="91"/>
      <c r="X242" s="90"/>
    </row>
    <row r="243" spans="1:24" ht="12.75">
      <c r="A243" s="112"/>
      <c r="B243" s="113"/>
      <c r="C243" s="114"/>
      <c r="D243" s="114"/>
      <c r="E243" s="90"/>
      <c r="F243" s="115"/>
      <c r="G243" s="90"/>
      <c r="H243" s="90"/>
      <c r="I243" s="90"/>
      <c r="J243" s="90"/>
      <c r="K243" s="90"/>
      <c r="L243" s="90"/>
      <c r="M243" s="90"/>
      <c r="N243" s="90"/>
      <c r="O243" s="90"/>
      <c r="P243" s="90"/>
      <c r="Q243" s="90"/>
      <c r="R243" s="90"/>
      <c r="S243" s="90"/>
      <c r="T243" s="90"/>
      <c r="U243" s="90"/>
      <c r="V243" s="90"/>
      <c r="W243" s="90"/>
      <c r="X243" s="90"/>
    </row>
    <row r="244" spans="1:24" ht="12.75">
      <c r="A244" s="112"/>
      <c r="B244" s="113"/>
      <c r="C244" s="114"/>
      <c r="D244" s="114"/>
      <c r="E244" s="90"/>
      <c r="F244" s="115"/>
      <c r="G244" s="90"/>
      <c r="H244" s="90"/>
      <c r="I244" s="90"/>
      <c r="J244" s="90"/>
      <c r="K244" s="90"/>
      <c r="L244" s="90"/>
      <c r="M244" s="90"/>
      <c r="N244" s="90"/>
      <c r="O244" s="90"/>
      <c r="P244" s="90"/>
      <c r="Q244" s="90"/>
      <c r="R244" s="90"/>
      <c r="S244" s="90"/>
      <c r="T244" s="90"/>
      <c r="U244" s="90"/>
      <c r="V244" s="90"/>
      <c r="W244" s="90"/>
      <c r="X244" s="90"/>
    </row>
    <row r="245" spans="1:24" ht="12.75">
      <c r="A245" s="112"/>
      <c r="B245" s="113"/>
      <c r="C245" s="114"/>
      <c r="D245" s="114"/>
      <c r="E245" s="90"/>
      <c r="F245" s="115"/>
      <c r="G245" s="90"/>
      <c r="H245" s="90"/>
      <c r="I245" s="90"/>
      <c r="J245" s="90"/>
      <c r="K245" s="90"/>
      <c r="L245" s="90"/>
      <c r="M245" s="90"/>
      <c r="N245" s="90"/>
      <c r="O245" s="90"/>
      <c r="P245" s="90"/>
      <c r="Q245" s="90"/>
      <c r="R245" s="90"/>
      <c r="S245" s="90"/>
      <c r="T245" s="90"/>
      <c r="U245" s="90"/>
      <c r="V245" s="90"/>
      <c r="W245" s="90"/>
      <c r="X245" s="90"/>
    </row>
    <row r="246" spans="1:24" ht="12.75">
      <c r="A246" s="112"/>
      <c r="B246" s="113"/>
      <c r="C246" s="114"/>
      <c r="D246" s="114"/>
      <c r="E246" s="90"/>
      <c r="F246" s="115"/>
      <c r="G246" s="90"/>
      <c r="H246" s="90"/>
      <c r="I246" s="90"/>
      <c r="J246" s="90"/>
      <c r="K246" s="90"/>
      <c r="L246" s="90"/>
      <c r="M246" s="90"/>
      <c r="N246" s="90"/>
      <c r="O246" s="90"/>
      <c r="P246" s="90"/>
      <c r="Q246" s="90"/>
      <c r="R246" s="90"/>
      <c r="S246" s="90"/>
      <c r="T246" s="90"/>
      <c r="U246" s="90"/>
      <c r="V246" s="90"/>
      <c r="W246" s="90"/>
      <c r="X246" s="90"/>
    </row>
    <row r="247" spans="1:24" ht="12.75">
      <c r="A247" s="112"/>
      <c r="B247" s="113"/>
      <c r="C247" s="114"/>
      <c r="D247" s="114"/>
      <c r="E247" s="90"/>
      <c r="F247" s="115"/>
      <c r="G247" s="90"/>
      <c r="H247" s="90"/>
      <c r="I247" s="90"/>
      <c r="J247" s="90"/>
      <c r="K247" s="90"/>
      <c r="L247" s="90"/>
      <c r="M247" s="90"/>
      <c r="N247" s="90"/>
      <c r="O247" s="90"/>
      <c r="P247" s="90"/>
      <c r="Q247" s="90"/>
      <c r="R247" s="90"/>
      <c r="S247" s="90"/>
      <c r="T247" s="90"/>
      <c r="U247" s="90"/>
      <c r="V247" s="90"/>
      <c r="W247" s="90"/>
      <c r="X247" s="90"/>
    </row>
    <row r="248" spans="1:24" ht="12.75">
      <c r="A248" s="112"/>
      <c r="B248" s="113"/>
      <c r="C248" s="114"/>
      <c r="D248" s="114"/>
      <c r="E248" s="90"/>
      <c r="F248" s="115"/>
      <c r="G248" s="90"/>
      <c r="H248" s="90"/>
      <c r="I248" s="90"/>
      <c r="J248" s="90"/>
      <c r="K248" s="90"/>
      <c r="L248" s="90"/>
      <c r="M248" s="90"/>
      <c r="N248" s="90"/>
      <c r="O248" s="90"/>
      <c r="P248" s="90"/>
      <c r="Q248" s="90"/>
      <c r="R248" s="90"/>
      <c r="S248" s="90"/>
      <c r="T248" s="90"/>
      <c r="U248" s="90"/>
      <c r="V248" s="90"/>
      <c r="W248" s="90"/>
      <c r="X248" s="90"/>
    </row>
    <row r="249" spans="1:24" ht="12.75">
      <c r="A249" s="112"/>
      <c r="B249" s="113"/>
      <c r="C249" s="114"/>
      <c r="D249" s="114"/>
      <c r="E249" s="90"/>
      <c r="F249" s="115"/>
      <c r="G249" s="90"/>
      <c r="H249" s="90"/>
      <c r="I249" s="90"/>
      <c r="J249" s="90"/>
      <c r="K249" s="90"/>
      <c r="L249" s="90"/>
      <c r="M249" s="90"/>
      <c r="N249" s="90"/>
      <c r="O249" s="90"/>
      <c r="P249" s="90"/>
      <c r="Q249" s="90"/>
      <c r="R249" s="90"/>
      <c r="S249" s="90"/>
      <c r="T249" s="90"/>
      <c r="U249" s="90"/>
      <c r="V249" s="90"/>
      <c r="W249" s="90"/>
      <c r="X249" s="90"/>
    </row>
    <row r="250" spans="1:24" ht="12.75">
      <c r="A250" s="112"/>
      <c r="B250" s="113"/>
      <c r="C250" s="114"/>
      <c r="D250" s="114"/>
      <c r="E250" s="90"/>
      <c r="F250" s="115"/>
      <c r="G250" s="90"/>
      <c r="H250" s="90"/>
      <c r="I250" s="90"/>
      <c r="J250" s="90"/>
      <c r="K250" s="90"/>
      <c r="L250" s="90"/>
      <c r="M250" s="90"/>
      <c r="N250" s="90"/>
      <c r="O250" s="90"/>
      <c r="P250" s="90"/>
      <c r="Q250" s="90"/>
      <c r="R250" s="90"/>
      <c r="S250" s="90"/>
      <c r="T250" s="90"/>
      <c r="U250" s="90"/>
      <c r="V250" s="90"/>
      <c r="W250" s="90"/>
      <c r="X250" s="90"/>
    </row>
    <row r="251" spans="1:24" ht="12.75">
      <c r="A251" s="112"/>
      <c r="B251" s="113"/>
      <c r="C251" s="114"/>
      <c r="D251" s="114"/>
      <c r="E251" s="90"/>
      <c r="F251" s="115"/>
      <c r="G251" s="90"/>
      <c r="H251" s="90"/>
      <c r="I251" s="90"/>
      <c r="J251" s="90"/>
      <c r="K251" s="90"/>
      <c r="L251" s="90"/>
      <c r="M251" s="90"/>
      <c r="N251" s="90"/>
      <c r="O251" s="90"/>
      <c r="P251" s="90"/>
      <c r="Q251" s="90"/>
      <c r="R251" s="90"/>
      <c r="S251" s="90"/>
      <c r="T251" s="90"/>
      <c r="U251" s="90"/>
      <c r="V251" s="90"/>
      <c r="W251" s="90"/>
      <c r="X251" s="90"/>
    </row>
    <row r="252" spans="1:24" ht="12.75">
      <c r="A252" s="112"/>
      <c r="B252" s="113"/>
      <c r="C252" s="114"/>
      <c r="D252" s="114"/>
      <c r="E252" s="90"/>
      <c r="F252" s="115"/>
      <c r="G252" s="90"/>
      <c r="H252" s="90"/>
      <c r="I252" s="90"/>
      <c r="J252" s="90"/>
      <c r="K252" s="90"/>
      <c r="L252" s="90"/>
      <c r="M252" s="90"/>
      <c r="N252" s="90"/>
      <c r="O252" s="90"/>
      <c r="P252" s="90"/>
      <c r="Q252" s="90"/>
      <c r="R252" s="90"/>
      <c r="S252" s="90"/>
      <c r="T252" s="90"/>
      <c r="U252" s="90"/>
      <c r="V252" s="90"/>
      <c r="W252" s="90"/>
      <c r="X252" s="90"/>
    </row>
    <row r="253" spans="1:24" ht="12.75">
      <c r="A253" s="112"/>
      <c r="B253" s="113"/>
      <c r="C253" s="114"/>
      <c r="D253" s="114"/>
      <c r="E253" s="90"/>
      <c r="F253" s="115"/>
      <c r="G253" s="90"/>
      <c r="H253" s="90"/>
      <c r="I253" s="90"/>
      <c r="J253" s="90"/>
      <c r="K253" s="90"/>
      <c r="L253" s="90"/>
      <c r="M253" s="90"/>
      <c r="N253" s="90"/>
      <c r="O253" s="90"/>
      <c r="P253" s="90"/>
      <c r="Q253" s="90"/>
      <c r="R253" s="90"/>
      <c r="S253" s="90"/>
      <c r="T253" s="90"/>
      <c r="U253" s="90"/>
      <c r="V253" s="90"/>
      <c r="W253" s="90"/>
      <c r="X253" s="90"/>
    </row>
    <row r="254" spans="1:24" ht="12.75">
      <c r="A254" s="112"/>
      <c r="B254" s="113"/>
      <c r="C254" s="114"/>
      <c r="D254" s="114"/>
      <c r="E254" s="90"/>
      <c r="F254" s="115"/>
      <c r="G254" s="90"/>
      <c r="H254" s="90"/>
      <c r="I254" s="90"/>
      <c r="J254" s="90"/>
      <c r="K254" s="90"/>
      <c r="L254" s="90"/>
      <c r="M254" s="90"/>
      <c r="N254" s="90"/>
      <c r="O254" s="90"/>
      <c r="P254" s="90"/>
      <c r="Q254" s="90"/>
      <c r="R254" s="90"/>
      <c r="S254" s="90"/>
      <c r="T254" s="90"/>
      <c r="U254" s="90"/>
      <c r="V254" s="90"/>
      <c r="W254" s="90"/>
      <c r="X254" s="90"/>
    </row>
    <row r="255" spans="1:24" ht="12.75">
      <c r="A255" s="112"/>
      <c r="B255" s="113"/>
      <c r="C255" s="114"/>
      <c r="D255" s="114"/>
      <c r="E255" s="90"/>
      <c r="F255" s="115"/>
      <c r="G255" s="90"/>
      <c r="H255" s="90"/>
      <c r="I255" s="90"/>
      <c r="J255" s="90"/>
      <c r="K255" s="90"/>
      <c r="L255" s="90"/>
      <c r="M255" s="90"/>
      <c r="N255" s="90"/>
      <c r="O255" s="90"/>
      <c r="P255" s="90"/>
      <c r="Q255" s="90"/>
      <c r="R255" s="90"/>
      <c r="S255" s="90"/>
      <c r="T255" s="90"/>
      <c r="U255" s="90"/>
      <c r="V255" s="90"/>
      <c r="W255" s="90"/>
      <c r="X255" s="90"/>
    </row>
    <row r="256" spans="1:24" ht="12.75">
      <c r="A256" s="112"/>
      <c r="B256" s="113"/>
      <c r="C256" s="114"/>
      <c r="D256" s="114"/>
      <c r="E256" s="90"/>
      <c r="F256" s="115"/>
      <c r="G256" s="90"/>
      <c r="H256" s="90"/>
      <c r="I256" s="90"/>
      <c r="J256" s="90"/>
      <c r="K256" s="90"/>
      <c r="L256" s="90"/>
      <c r="M256" s="90"/>
      <c r="N256" s="90"/>
      <c r="O256" s="90"/>
      <c r="P256" s="90"/>
      <c r="Q256" s="90"/>
      <c r="R256" s="90"/>
      <c r="S256" s="90"/>
      <c r="T256" s="90"/>
      <c r="U256" s="90"/>
      <c r="V256" s="90"/>
      <c r="W256" s="90"/>
      <c r="X256" s="90"/>
    </row>
    <row r="257" spans="1:24" ht="12.75">
      <c r="A257" s="112"/>
      <c r="B257" s="113"/>
      <c r="C257" s="114"/>
      <c r="D257" s="114"/>
      <c r="E257" s="90"/>
      <c r="F257" s="115"/>
      <c r="G257" s="90"/>
      <c r="H257" s="90"/>
      <c r="I257" s="90"/>
      <c r="J257" s="90"/>
      <c r="K257" s="90"/>
      <c r="L257" s="90"/>
      <c r="M257" s="90"/>
      <c r="N257" s="90"/>
      <c r="O257" s="90"/>
      <c r="P257" s="90"/>
      <c r="Q257" s="90"/>
      <c r="R257" s="90"/>
      <c r="S257" s="90"/>
      <c r="T257" s="90"/>
      <c r="U257" s="90"/>
      <c r="V257" s="90"/>
      <c r="W257" s="90"/>
      <c r="X257" s="90"/>
    </row>
    <row r="258" spans="1:24" ht="12.75">
      <c r="A258" s="112"/>
      <c r="B258" s="113"/>
      <c r="C258" s="114"/>
      <c r="D258" s="114"/>
      <c r="E258" s="90"/>
      <c r="F258" s="115"/>
      <c r="G258" s="90"/>
      <c r="H258" s="90"/>
      <c r="I258" s="90"/>
      <c r="J258" s="90"/>
      <c r="K258" s="90"/>
      <c r="L258" s="90"/>
      <c r="M258" s="90"/>
      <c r="N258" s="90"/>
      <c r="O258" s="90"/>
      <c r="P258" s="90"/>
      <c r="Q258" s="90"/>
      <c r="R258" s="90"/>
      <c r="S258" s="90"/>
      <c r="T258" s="90"/>
      <c r="U258" s="90"/>
      <c r="V258" s="90"/>
      <c r="W258" s="90"/>
      <c r="X258" s="90"/>
    </row>
    <row r="259" spans="1:24" ht="12.75">
      <c r="A259" s="112"/>
      <c r="B259" s="113"/>
      <c r="C259" s="114"/>
      <c r="D259" s="114"/>
      <c r="E259" s="90"/>
      <c r="F259" s="115"/>
      <c r="G259" s="90"/>
      <c r="H259" s="90"/>
      <c r="I259" s="90"/>
      <c r="J259" s="90"/>
      <c r="K259" s="90"/>
      <c r="L259" s="90"/>
      <c r="M259" s="90"/>
      <c r="N259" s="90"/>
      <c r="O259" s="90"/>
      <c r="P259" s="90"/>
      <c r="Q259" s="90"/>
      <c r="R259" s="90"/>
      <c r="S259" s="90"/>
      <c r="T259" s="90"/>
      <c r="U259" s="90"/>
      <c r="V259" s="90"/>
      <c r="W259" s="90"/>
      <c r="X259" s="90"/>
    </row>
    <row r="260" spans="1:24" ht="12.75">
      <c r="A260" s="112"/>
      <c r="B260" s="113"/>
      <c r="C260" s="114"/>
      <c r="D260" s="114"/>
      <c r="E260" s="90"/>
      <c r="F260" s="115"/>
      <c r="G260" s="90"/>
      <c r="H260" s="90"/>
      <c r="I260" s="90"/>
      <c r="J260" s="90"/>
      <c r="K260" s="90"/>
      <c r="L260" s="90"/>
      <c r="M260" s="90"/>
      <c r="N260" s="90"/>
      <c r="O260" s="90"/>
      <c r="P260" s="90"/>
      <c r="Q260" s="90"/>
      <c r="R260" s="90"/>
      <c r="S260" s="90"/>
      <c r="T260" s="90"/>
      <c r="U260" s="90"/>
      <c r="V260" s="90"/>
      <c r="W260" s="90"/>
      <c r="X260" s="90"/>
    </row>
    <row r="261" spans="1:24" ht="12.75">
      <c r="A261" s="112"/>
      <c r="B261" s="113"/>
      <c r="C261" s="114"/>
      <c r="D261" s="114"/>
      <c r="E261" s="90"/>
      <c r="F261" s="115"/>
      <c r="G261" s="90"/>
      <c r="H261" s="90"/>
      <c r="I261" s="90"/>
      <c r="J261" s="90"/>
      <c r="K261" s="90"/>
      <c r="L261" s="90"/>
      <c r="M261" s="90"/>
      <c r="N261" s="90"/>
      <c r="O261" s="90"/>
      <c r="P261" s="90"/>
      <c r="Q261" s="90"/>
      <c r="R261" s="90"/>
      <c r="S261" s="90"/>
      <c r="T261" s="90"/>
      <c r="U261" s="90"/>
      <c r="V261" s="90"/>
      <c r="W261" s="90"/>
      <c r="X261" s="90"/>
    </row>
    <row r="262" spans="1:24" ht="12.75">
      <c r="A262" s="112"/>
      <c r="B262" s="113"/>
      <c r="C262" s="114"/>
      <c r="D262" s="114"/>
      <c r="E262" s="90"/>
      <c r="F262" s="115"/>
      <c r="G262" s="90"/>
      <c r="H262" s="90"/>
      <c r="I262" s="90"/>
      <c r="J262" s="90"/>
      <c r="K262" s="90"/>
      <c r="L262" s="90"/>
      <c r="M262" s="90"/>
      <c r="N262" s="90"/>
      <c r="O262" s="90"/>
      <c r="P262" s="90"/>
      <c r="Q262" s="90"/>
      <c r="R262" s="90"/>
      <c r="S262" s="90"/>
      <c r="T262" s="90"/>
      <c r="U262" s="90"/>
      <c r="V262" s="90"/>
      <c r="W262" s="90"/>
      <c r="X262" s="90"/>
    </row>
    <row r="263" spans="1:24" ht="12.75">
      <c r="A263" s="112"/>
      <c r="B263" s="113"/>
      <c r="C263" s="114"/>
      <c r="D263" s="114"/>
      <c r="E263" s="90"/>
      <c r="F263" s="115"/>
      <c r="G263" s="90"/>
      <c r="H263" s="90"/>
      <c r="I263" s="90"/>
      <c r="J263" s="90"/>
      <c r="K263" s="90"/>
      <c r="L263" s="90"/>
      <c r="M263" s="90"/>
      <c r="N263" s="90"/>
      <c r="O263" s="90"/>
      <c r="P263" s="90"/>
      <c r="Q263" s="90"/>
      <c r="R263" s="90"/>
      <c r="S263" s="90"/>
      <c r="T263" s="90"/>
      <c r="U263" s="90"/>
      <c r="V263" s="90"/>
      <c r="W263" s="90"/>
      <c r="X263" s="90"/>
    </row>
    <row r="264" spans="1:24" ht="12.75">
      <c r="A264" s="112"/>
      <c r="B264" s="113"/>
      <c r="C264" s="114"/>
      <c r="D264" s="114"/>
      <c r="E264" s="90"/>
      <c r="F264" s="115"/>
      <c r="G264" s="90"/>
      <c r="H264" s="90"/>
      <c r="I264" s="90"/>
      <c r="J264" s="90"/>
      <c r="K264" s="90"/>
      <c r="L264" s="90"/>
      <c r="M264" s="90"/>
      <c r="N264" s="90"/>
      <c r="O264" s="90"/>
      <c r="P264" s="90"/>
      <c r="Q264" s="90"/>
      <c r="R264" s="90"/>
      <c r="S264" s="90"/>
      <c r="T264" s="90"/>
      <c r="U264" s="90"/>
      <c r="V264" s="90"/>
      <c r="W264" s="90"/>
      <c r="X264" s="90"/>
    </row>
    <row r="265" spans="1:24" ht="12.75">
      <c r="A265" s="112"/>
      <c r="B265" s="113"/>
      <c r="C265" s="114"/>
      <c r="D265" s="114"/>
      <c r="E265" s="90"/>
      <c r="F265" s="115"/>
      <c r="G265" s="90"/>
      <c r="H265" s="90"/>
      <c r="I265" s="90"/>
      <c r="J265" s="90"/>
      <c r="K265" s="90"/>
      <c r="L265" s="90"/>
      <c r="M265" s="90"/>
      <c r="N265" s="90"/>
      <c r="O265" s="90"/>
      <c r="P265" s="90"/>
      <c r="Q265" s="90"/>
      <c r="R265" s="90"/>
      <c r="S265" s="90"/>
      <c r="T265" s="90"/>
      <c r="U265" s="90"/>
      <c r="V265" s="90"/>
      <c r="W265" s="90"/>
      <c r="X265" s="90"/>
    </row>
    <row r="266" spans="1:24" ht="12.75">
      <c r="A266" s="112"/>
      <c r="B266" s="113"/>
      <c r="C266" s="114"/>
      <c r="D266" s="114"/>
      <c r="E266" s="90"/>
      <c r="F266" s="115"/>
      <c r="G266" s="90"/>
      <c r="H266" s="90"/>
      <c r="I266" s="90"/>
      <c r="J266" s="90"/>
      <c r="K266" s="90"/>
      <c r="L266" s="90"/>
      <c r="M266" s="90"/>
      <c r="N266" s="90"/>
      <c r="O266" s="90"/>
      <c r="P266" s="90"/>
      <c r="Q266" s="90"/>
      <c r="R266" s="90"/>
      <c r="S266" s="90"/>
      <c r="T266" s="90"/>
      <c r="U266" s="90"/>
      <c r="V266" s="90"/>
      <c r="W266" s="90"/>
      <c r="X266" s="90"/>
    </row>
    <row r="267" spans="1:24" ht="12.75">
      <c r="A267" s="112"/>
      <c r="B267" s="113"/>
      <c r="C267" s="114"/>
      <c r="D267" s="114"/>
      <c r="E267" s="90"/>
      <c r="F267" s="115"/>
      <c r="G267" s="90"/>
      <c r="H267" s="90"/>
      <c r="I267" s="90"/>
      <c r="J267" s="90"/>
      <c r="K267" s="90"/>
      <c r="L267" s="90"/>
      <c r="M267" s="90"/>
      <c r="N267" s="90"/>
      <c r="O267" s="90"/>
      <c r="P267" s="90"/>
      <c r="Q267" s="90"/>
      <c r="R267" s="90"/>
      <c r="S267" s="90"/>
      <c r="T267" s="90"/>
      <c r="U267" s="90"/>
      <c r="V267" s="90"/>
      <c r="W267" s="90"/>
      <c r="X267" s="90"/>
    </row>
    <row r="268" spans="1:24" ht="12.75">
      <c r="A268" s="112"/>
      <c r="B268" s="113"/>
      <c r="C268" s="114"/>
      <c r="D268" s="114"/>
      <c r="E268" s="90"/>
      <c r="F268" s="115"/>
      <c r="G268" s="90"/>
      <c r="H268" s="90"/>
      <c r="I268" s="90"/>
      <c r="J268" s="90"/>
      <c r="K268" s="90"/>
      <c r="L268" s="90"/>
      <c r="M268" s="90"/>
      <c r="N268" s="90"/>
      <c r="O268" s="90"/>
      <c r="P268" s="90"/>
      <c r="Q268" s="90"/>
      <c r="R268" s="90"/>
      <c r="S268" s="90"/>
      <c r="T268" s="90"/>
      <c r="U268" s="90"/>
      <c r="V268" s="90"/>
      <c r="W268" s="90"/>
      <c r="X268" s="90"/>
    </row>
    <row r="269" spans="1:24" ht="12.75">
      <c r="A269" s="112"/>
      <c r="B269" s="113"/>
      <c r="C269" s="114"/>
      <c r="D269" s="114"/>
      <c r="E269" s="90"/>
      <c r="F269" s="115"/>
      <c r="G269" s="90"/>
      <c r="H269" s="90"/>
      <c r="I269" s="90"/>
      <c r="J269" s="90"/>
      <c r="K269" s="90"/>
      <c r="L269" s="90"/>
      <c r="M269" s="90"/>
      <c r="N269" s="90"/>
      <c r="O269" s="90"/>
      <c r="P269" s="90"/>
      <c r="Q269" s="90"/>
      <c r="R269" s="90"/>
      <c r="S269" s="90"/>
      <c r="T269" s="90"/>
      <c r="U269" s="90"/>
      <c r="V269" s="90"/>
      <c r="W269" s="90"/>
      <c r="X269" s="90"/>
    </row>
    <row r="270" spans="1:24" ht="12.75">
      <c r="A270" s="112"/>
      <c r="B270" s="113"/>
      <c r="C270" s="114"/>
      <c r="D270" s="114"/>
      <c r="E270" s="90"/>
      <c r="F270" s="115"/>
      <c r="G270" s="90"/>
      <c r="H270" s="90"/>
      <c r="I270" s="90"/>
      <c r="J270" s="90"/>
      <c r="K270" s="90"/>
      <c r="L270" s="90"/>
      <c r="M270" s="90"/>
      <c r="N270" s="90"/>
      <c r="O270" s="90"/>
      <c r="P270" s="90"/>
      <c r="Q270" s="90"/>
      <c r="R270" s="90"/>
      <c r="S270" s="90"/>
      <c r="T270" s="90"/>
      <c r="U270" s="90"/>
      <c r="V270" s="90"/>
      <c r="W270" s="90"/>
      <c r="X270" s="90"/>
    </row>
    <row r="271" spans="1:24" ht="12.75">
      <c r="A271" s="112"/>
      <c r="B271" s="113"/>
      <c r="C271" s="114"/>
      <c r="D271" s="114"/>
      <c r="E271" s="90"/>
      <c r="F271" s="115"/>
      <c r="G271" s="90"/>
      <c r="H271" s="90"/>
      <c r="I271" s="90"/>
      <c r="J271" s="90"/>
      <c r="K271" s="90"/>
      <c r="L271" s="90"/>
      <c r="M271" s="90"/>
      <c r="N271" s="90"/>
      <c r="O271" s="90"/>
      <c r="P271" s="90"/>
      <c r="Q271" s="90"/>
      <c r="R271" s="90"/>
      <c r="S271" s="90"/>
      <c r="T271" s="90"/>
      <c r="U271" s="90"/>
      <c r="V271" s="90"/>
      <c r="W271" s="90"/>
      <c r="X271" s="90"/>
    </row>
    <row r="272" spans="1:24" ht="12.75">
      <c r="A272" s="112"/>
      <c r="B272" s="113"/>
      <c r="C272" s="114"/>
      <c r="D272" s="114"/>
      <c r="E272" s="90"/>
      <c r="F272" s="115"/>
      <c r="G272" s="90"/>
      <c r="H272" s="90"/>
      <c r="I272" s="90"/>
      <c r="J272" s="90"/>
      <c r="K272" s="90"/>
      <c r="L272" s="90"/>
      <c r="M272" s="90"/>
      <c r="N272" s="90"/>
      <c r="O272" s="90"/>
      <c r="P272" s="90"/>
      <c r="Q272" s="90"/>
      <c r="R272" s="90"/>
      <c r="S272" s="90"/>
      <c r="T272" s="90"/>
      <c r="U272" s="90"/>
      <c r="V272" s="90"/>
      <c r="W272" s="90"/>
      <c r="X272" s="90"/>
    </row>
    <row r="273" spans="1:24" ht="12.75">
      <c r="A273" s="112"/>
      <c r="B273" s="113"/>
      <c r="C273" s="114"/>
      <c r="D273" s="114"/>
      <c r="E273" s="90"/>
      <c r="F273" s="115"/>
      <c r="G273" s="90"/>
      <c r="H273" s="90"/>
      <c r="I273" s="90"/>
      <c r="J273" s="90"/>
      <c r="K273" s="90"/>
      <c r="L273" s="90"/>
      <c r="M273" s="90"/>
      <c r="N273" s="90"/>
      <c r="O273" s="90"/>
      <c r="P273" s="90"/>
      <c r="Q273" s="90"/>
      <c r="R273" s="90"/>
      <c r="S273" s="90"/>
      <c r="T273" s="90"/>
      <c r="U273" s="90"/>
      <c r="V273" s="90"/>
      <c r="W273" s="90"/>
      <c r="X273" s="90"/>
    </row>
    <row r="274" spans="1:24" ht="12.75">
      <c r="A274" s="112"/>
      <c r="B274" s="113"/>
      <c r="C274" s="114"/>
      <c r="D274" s="114"/>
      <c r="E274" s="90"/>
      <c r="F274" s="115"/>
      <c r="G274" s="90"/>
      <c r="H274" s="90"/>
      <c r="I274" s="90"/>
      <c r="J274" s="90"/>
      <c r="K274" s="90"/>
      <c r="L274" s="90"/>
      <c r="M274" s="90"/>
      <c r="N274" s="90"/>
      <c r="O274" s="90"/>
      <c r="P274" s="90"/>
      <c r="Q274" s="90"/>
      <c r="R274" s="90"/>
      <c r="S274" s="90"/>
      <c r="T274" s="90"/>
      <c r="U274" s="90"/>
      <c r="V274" s="90"/>
      <c r="W274" s="90"/>
      <c r="X274" s="90"/>
    </row>
    <row r="275" spans="1:24" ht="12.75">
      <c r="A275" s="112"/>
      <c r="B275" s="113"/>
      <c r="C275" s="114"/>
      <c r="D275" s="114"/>
      <c r="E275" s="90"/>
      <c r="F275" s="115"/>
      <c r="G275" s="90"/>
      <c r="H275" s="90"/>
      <c r="I275" s="90"/>
      <c r="J275" s="90"/>
      <c r="K275" s="90"/>
      <c r="L275" s="90"/>
      <c r="M275" s="90"/>
      <c r="N275" s="90"/>
      <c r="O275" s="90"/>
      <c r="P275" s="90"/>
      <c r="Q275" s="90"/>
      <c r="R275" s="90"/>
      <c r="S275" s="90"/>
      <c r="T275" s="90"/>
      <c r="U275" s="90"/>
      <c r="V275" s="90"/>
      <c r="W275" s="90"/>
      <c r="X275" s="90"/>
    </row>
    <row r="276" spans="1:24" ht="12.75">
      <c r="A276" s="112"/>
      <c r="B276" s="113"/>
      <c r="C276" s="114"/>
      <c r="D276" s="114"/>
      <c r="E276" s="90"/>
      <c r="F276" s="115"/>
      <c r="G276" s="90"/>
      <c r="H276" s="90"/>
      <c r="I276" s="90"/>
      <c r="J276" s="90"/>
      <c r="K276" s="90"/>
      <c r="L276" s="90"/>
      <c r="M276" s="90"/>
      <c r="N276" s="90"/>
      <c r="O276" s="90"/>
      <c r="P276" s="90"/>
      <c r="Q276" s="90"/>
      <c r="R276" s="90"/>
      <c r="S276" s="90"/>
      <c r="T276" s="90"/>
      <c r="U276" s="90"/>
      <c r="V276" s="90"/>
      <c r="W276" s="90"/>
      <c r="X276" s="90"/>
    </row>
    <row r="277" spans="1:24" ht="12.75">
      <c r="A277" s="112"/>
      <c r="B277" s="113"/>
      <c r="C277" s="114"/>
      <c r="D277" s="114"/>
      <c r="E277" s="90"/>
      <c r="F277" s="115"/>
      <c r="G277" s="90"/>
      <c r="H277" s="90"/>
      <c r="I277" s="90"/>
      <c r="J277" s="90"/>
      <c r="K277" s="90"/>
      <c r="L277" s="90"/>
      <c r="M277" s="90"/>
      <c r="N277" s="90"/>
      <c r="O277" s="90"/>
      <c r="P277" s="90"/>
      <c r="Q277" s="90"/>
      <c r="R277" s="90"/>
      <c r="S277" s="90"/>
      <c r="T277" s="90"/>
      <c r="U277" s="90"/>
      <c r="V277" s="90"/>
      <c r="W277" s="90"/>
      <c r="X277" s="90"/>
    </row>
    <row r="278" spans="1:24" ht="12.75">
      <c r="A278" s="112"/>
      <c r="B278" s="113"/>
      <c r="C278" s="114"/>
      <c r="D278" s="114"/>
      <c r="E278" s="90"/>
      <c r="F278" s="115"/>
      <c r="G278" s="90"/>
      <c r="H278" s="90"/>
      <c r="I278" s="90"/>
      <c r="J278" s="90"/>
      <c r="K278" s="90"/>
      <c r="L278" s="90"/>
      <c r="M278" s="90"/>
      <c r="N278" s="90"/>
      <c r="O278" s="90"/>
      <c r="P278" s="90"/>
      <c r="Q278" s="90"/>
      <c r="R278" s="90"/>
      <c r="S278" s="90"/>
      <c r="T278" s="90"/>
      <c r="U278" s="90"/>
      <c r="V278" s="90"/>
      <c r="W278" s="90"/>
      <c r="X278" s="90"/>
    </row>
    <row r="279" spans="1:24" ht="12.75">
      <c r="A279" s="112"/>
      <c r="B279" s="113"/>
      <c r="C279" s="114"/>
      <c r="D279" s="114"/>
      <c r="E279" s="90"/>
      <c r="F279" s="115"/>
      <c r="G279" s="90"/>
      <c r="H279" s="90"/>
      <c r="I279" s="90"/>
      <c r="J279" s="90"/>
      <c r="K279" s="90"/>
      <c r="L279" s="90"/>
      <c r="M279" s="90"/>
      <c r="N279" s="90"/>
      <c r="O279" s="90"/>
      <c r="P279" s="90"/>
      <c r="Q279" s="90"/>
      <c r="R279" s="90"/>
      <c r="S279" s="90"/>
      <c r="T279" s="90"/>
      <c r="U279" s="90"/>
      <c r="V279" s="90"/>
      <c r="W279" s="90"/>
      <c r="X279" s="90"/>
    </row>
    <row r="280" spans="1:24" ht="12.75">
      <c r="A280" s="112"/>
      <c r="B280" s="113"/>
      <c r="C280" s="114"/>
      <c r="D280" s="114"/>
      <c r="E280" s="90"/>
      <c r="F280" s="115"/>
      <c r="G280" s="90"/>
      <c r="H280" s="90"/>
      <c r="I280" s="90"/>
      <c r="J280" s="90"/>
      <c r="K280" s="90"/>
      <c r="L280" s="90"/>
      <c r="M280" s="90"/>
      <c r="N280" s="90"/>
      <c r="O280" s="90"/>
      <c r="P280" s="90"/>
      <c r="Q280" s="90"/>
      <c r="R280" s="90"/>
      <c r="S280" s="90"/>
      <c r="T280" s="90"/>
      <c r="U280" s="90"/>
      <c r="V280" s="90"/>
      <c r="W280" s="90"/>
      <c r="X280" s="90"/>
    </row>
    <row r="281" spans="1:24" ht="12.75">
      <c r="A281" s="112"/>
      <c r="B281" s="113"/>
      <c r="C281" s="114"/>
      <c r="D281" s="114"/>
      <c r="E281" s="90"/>
      <c r="F281" s="115"/>
      <c r="G281" s="90"/>
      <c r="H281" s="90"/>
      <c r="I281" s="90"/>
      <c r="J281" s="90"/>
      <c r="K281" s="90"/>
      <c r="L281" s="90"/>
      <c r="M281" s="90"/>
      <c r="N281" s="90"/>
      <c r="O281" s="90"/>
      <c r="P281" s="90"/>
      <c r="Q281" s="90"/>
      <c r="R281" s="90"/>
      <c r="S281" s="90"/>
      <c r="T281" s="90"/>
      <c r="U281" s="90"/>
      <c r="V281" s="90"/>
      <c r="W281" s="90"/>
      <c r="X281" s="90"/>
    </row>
    <row r="282" spans="1:24" ht="12.75">
      <c r="A282" s="112"/>
      <c r="B282" s="113"/>
      <c r="C282" s="114"/>
      <c r="D282" s="114"/>
      <c r="E282" s="90"/>
      <c r="F282" s="115"/>
      <c r="G282" s="90"/>
      <c r="H282" s="90"/>
      <c r="I282" s="90"/>
      <c r="J282" s="90"/>
      <c r="K282" s="90"/>
      <c r="L282" s="90"/>
      <c r="M282" s="90"/>
      <c r="N282" s="90"/>
      <c r="O282" s="90"/>
      <c r="P282" s="90"/>
      <c r="Q282" s="90"/>
      <c r="R282" s="90"/>
      <c r="S282" s="90"/>
      <c r="T282" s="90"/>
      <c r="U282" s="90"/>
      <c r="V282" s="90"/>
      <c r="W282" s="90"/>
      <c r="X282" s="90"/>
    </row>
    <row r="283" spans="1:24" ht="12.75">
      <c r="A283" s="112"/>
      <c r="B283" s="113"/>
      <c r="C283" s="114"/>
      <c r="D283" s="114"/>
      <c r="E283" s="90"/>
      <c r="F283" s="115"/>
      <c r="G283" s="90"/>
      <c r="H283" s="90"/>
      <c r="I283" s="90"/>
      <c r="J283" s="90"/>
      <c r="K283" s="90"/>
      <c r="L283" s="90"/>
      <c r="M283" s="90"/>
      <c r="N283" s="90"/>
      <c r="O283" s="90"/>
      <c r="P283" s="90"/>
      <c r="Q283" s="90"/>
      <c r="R283" s="90"/>
      <c r="S283" s="90"/>
      <c r="T283" s="90"/>
      <c r="U283" s="90"/>
      <c r="V283" s="90"/>
      <c r="W283" s="90"/>
      <c r="X283" s="90"/>
    </row>
    <row r="284" spans="1:24" ht="12.75">
      <c r="A284" s="112"/>
      <c r="B284" s="113"/>
      <c r="C284" s="114"/>
      <c r="D284" s="114"/>
      <c r="E284" s="90"/>
      <c r="F284" s="115"/>
      <c r="G284" s="90"/>
      <c r="H284" s="90"/>
      <c r="I284" s="90"/>
      <c r="J284" s="90"/>
      <c r="K284" s="90"/>
      <c r="L284" s="90"/>
      <c r="M284" s="90"/>
      <c r="N284" s="90"/>
      <c r="O284" s="90"/>
      <c r="P284" s="90"/>
      <c r="Q284" s="90"/>
      <c r="R284" s="90"/>
      <c r="S284" s="90"/>
      <c r="T284" s="90"/>
      <c r="U284" s="90"/>
      <c r="V284" s="90"/>
      <c r="W284" s="90"/>
      <c r="X284" s="90"/>
    </row>
    <row r="285" spans="1:24" ht="12.75">
      <c r="A285" s="112"/>
      <c r="B285" s="113"/>
      <c r="C285" s="114"/>
      <c r="D285" s="114"/>
      <c r="E285" s="90"/>
      <c r="F285" s="115"/>
      <c r="G285" s="90"/>
      <c r="H285" s="90"/>
      <c r="I285" s="90"/>
      <c r="J285" s="90"/>
      <c r="K285" s="90"/>
      <c r="L285" s="90"/>
      <c r="M285" s="90"/>
      <c r="N285" s="90"/>
      <c r="O285" s="90"/>
      <c r="P285" s="90"/>
      <c r="Q285" s="90"/>
      <c r="R285" s="90"/>
      <c r="S285" s="90"/>
      <c r="T285" s="90"/>
      <c r="U285" s="90"/>
      <c r="V285" s="90"/>
      <c r="W285" s="90"/>
      <c r="X285" s="90"/>
    </row>
    <row r="286" spans="1:24" ht="12.75">
      <c r="A286" s="112"/>
      <c r="B286" s="113"/>
      <c r="C286" s="114"/>
      <c r="D286" s="114"/>
      <c r="E286" s="90"/>
      <c r="F286" s="115"/>
      <c r="G286" s="90"/>
      <c r="H286" s="90"/>
      <c r="I286" s="90"/>
      <c r="J286" s="90"/>
      <c r="K286" s="90"/>
      <c r="L286" s="90"/>
      <c r="M286" s="90"/>
      <c r="N286" s="90"/>
      <c r="O286" s="90"/>
      <c r="P286" s="90"/>
      <c r="Q286" s="90"/>
      <c r="R286" s="90"/>
      <c r="S286" s="90"/>
      <c r="T286" s="90"/>
      <c r="U286" s="90"/>
      <c r="V286" s="90"/>
      <c r="W286" s="90"/>
      <c r="X286" s="90"/>
    </row>
    <row r="287" spans="1:24" ht="12.75">
      <c r="A287" s="112"/>
      <c r="B287" s="113"/>
      <c r="C287" s="114"/>
      <c r="D287" s="114"/>
      <c r="E287" s="90"/>
      <c r="F287" s="115"/>
      <c r="G287" s="90"/>
      <c r="H287" s="90"/>
      <c r="I287" s="90"/>
      <c r="J287" s="90"/>
      <c r="K287" s="90"/>
      <c r="L287" s="90"/>
      <c r="M287" s="90"/>
      <c r="N287" s="90"/>
      <c r="O287" s="90"/>
      <c r="P287" s="90"/>
      <c r="Q287" s="90"/>
      <c r="R287" s="90"/>
      <c r="S287" s="90"/>
      <c r="T287" s="90"/>
      <c r="U287" s="90"/>
      <c r="V287" s="90"/>
      <c r="W287" s="90"/>
      <c r="X287" s="90"/>
    </row>
    <row r="288" spans="1:24" ht="12.75">
      <c r="A288" s="112"/>
      <c r="B288" s="113"/>
      <c r="C288" s="114"/>
      <c r="D288" s="114"/>
      <c r="E288" s="90"/>
      <c r="F288" s="115"/>
      <c r="G288" s="90"/>
      <c r="H288" s="90"/>
      <c r="I288" s="90"/>
      <c r="J288" s="90"/>
      <c r="K288" s="90"/>
      <c r="L288" s="90"/>
      <c r="M288" s="90"/>
      <c r="N288" s="90"/>
      <c r="O288" s="90"/>
      <c r="P288" s="90"/>
      <c r="Q288" s="90"/>
      <c r="R288" s="90"/>
      <c r="S288" s="90"/>
      <c r="T288" s="90"/>
      <c r="U288" s="90"/>
      <c r="V288" s="90"/>
      <c r="W288" s="90"/>
      <c r="X288" s="90"/>
    </row>
    <row r="289" spans="1:24" ht="12.75">
      <c r="A289" s="112"/>
      <c r="B289" s="113"/>
      <c r="C289" s="114"/>
      <c r="D289" s="114"/>
      <c r="E289" s="90"/>
      <c r="F289" s="115"/>
      <c r="G289" s="90"/>
      <c r="H289" s="90"/>
      <c r="I289" s="90"/>
      <c r="J289" s="90"/>
      <c r="K289" s="90"/>
      <c r="L289" s="90"/>
      <c r="M289" s="90"/>
      <c r="N289" s="90"/>
      <c r="O289" s="90"/>
      <c r="P289" s="90"/>
      <c r="Q289" s="90"/>
      <c r="R289" s="90"/>
      <c r="S289" s="90"/>
      <c r="T289" s="90"/>
      <c r="U289" s="90"/>
      <c r="V289" s="90"/>
      <c r="W289" s="90"/>
      <c r="X289" s="90"/>
    </row>
    <row r="290" spans="1:24" ht="12.75">
      <c r="A290" s="112"/>
      <c r="B290" s="113"/>
      <c r="C290" s="114"/>
      <c r="D290" s="114"/>
      <c r="E290" s="90"/>
      <c r="F290" s="115"/>
      <c r="G290" s="90"/>
      <c r="H290" s="90"/>
      <c r="I290" s="90"/>
      <c r="J290" s="90"/>
      <c r="K290" s="90"/>
      <c r="L290" s="90"/>
      <c r="M290" s="90"/>
      <c r="N290" s="90"/>
      <c r="O290" s="90"/>
      <c r="P290" s="90"/>
      <c r="Q290" s="90"/>
      <c r="R290" s="90"/>
      <c r="S290" s="90"/>
      <c r="T290" s="90"/>
      <c r="U290" s="90"/>
      <c r="V290" s="90"/>
      <c r="W290" s="90"/>
      <c r="X290" s="90"/>
    </row>
    <row r="291" spans="1:24" ht="12.75">
      <c r="A291" s="112"/>
      <c r="B291" s="113"/>
      <c r="C291" s="114"/>
      <c r="D291" s="114"/>
      <c r="E291" s="90"/>
      <c r="F291" s="115"/>
      <c r="G291" s="90"/>
      <c r="H291" s="90"/>
      <c r="I291" s="90"/>
      <c r="J291" s="90"/>
      <c r="K291" s="90"/>
      <c r="L291" s="90"/>
      <c r="M291" s="90"/>
      <c r="N291" s="90"/>
      <c r="O291" s="90"/>
      <c r="P291" s="90"/>
      <c r="Q291" s="90"/>
      <c r="R291" s="90"/>
      <c r="S291" s="90"/>
      <c r="T291" s="90"/>
      <c r="U291" s="90"/>
      <c r="V291" s="90"/>
      <c r="W291" s="90"/>
      <c r="X291" s="90"/>
    </row>
    <row r="292" spans="1:24" ht="12.75">
      <c r="A292" s="112"/>
      <c r="B292" s="113"/>
      <c r="C292" s="114"/>
      <c r="D292" s="114"/>
      <c r="E292" s="90"/>
      <c r="F292" s="115"/>
      <c r="G292" s="90"/>
      <c r="H292" s="90"/>
      <c r="I292" s="90"/>
      <c r="J292" s="90"/>
      <c r="K292" s="90"/>
      <c r="L292" s="90"/>
      <c r="M292" s="90"/>
      <c r="N292" s="90"/>
      <c r="O292" s="90"/>
      <c r="P292" s="90"/>
      <c r="Q292" s="90"/>
      <c r="R292" s="90"/>
      <c r="S292" s="90"/>
      <c r="T292" s="90"/>
      <c r="U292" s="90"/>
      <c r="V292" s="90"/>
      <c r="W292" s="90"/>
      <c r="X292" s="90"/>
    </row>
    <row r="293" spans="1:24" ht="12.75">
      <c r="A293" s="112"/>
      <c r="B293" s="113"/>
      <c r="C293" s="114"/>
      <c r="D293" s="114"/>
      <c r="E293" s="90"/>
      <c r="F293" s="115"/>
      <c r="G293" s="90"/>
      <c r="H293" s="90"/>
      <c r="I293" s="90"/>
      <c r="J293" s="90"/>
      <c r="K293" s="90"/>
      <c r="L293" s="90"/>
      <c r="M293" s="90"/>
      <c r="N293" s="90"/>
      <c r="O293" s="90"/>
      <c r="P293" s="90"/>
      <c r="Q293" s="90"/>
      <c r="R293" s="90"/>
      <c r="S293" s="90"/>
      <c r="T293" s="90"/>
      <c r="U293" s="90"/>
      <c r="V293" s="90"/>
      <c r="W293" s="90"/>
      <c r="X293" s="90"/>
    </row>
    <row r="294" spans="1:24" ht="12.75">
      <c r="A294" s="112"/>
      <c r="B294" s="113"/>
      <c r="C294" s="114"/>
      <c r="D294" s="114"/>
      <c r="E294" s="90"/>
      <c r="F294" s="115"/>
      <c r="G294" s="90"/>
      <c r="H294" s="90"/>
      <c r="I294" s="90"/>
      <c r="J294" s="90"/>
      <c r="K294" s="90"/>
      <c r="L294" s="90"/>
      <c r="M294" s="90"/>
      <c r="N294" s="90"/>
      <c r="O294" s="90"/>
      <c r="P294" s="90"/>
      <c r="Q294" s="90"/>
      <c r="R294" s="90"/>
      <c r="S294" s="90"/>
      <c r="T294" s="90"/>
      <c r="U294" s="90"/>
      <c r="V294" s="90"/>
      <c r="W294" s="90"/>
      <c r="X294" s="90"/>
    </row>
    <row r="295" spans="1:24" ht="12.75">
      <c r="A295" s="112"/>
      <c r="B295" s="113"/>
      <c r="C295" s="114"/>
      <c r="D295" s="114"/>
      <c r="E295" s="90"/>
      <c r="F295" s="115"/>
      <c r="G295" s="90"/>
      <c r="H295" s="90"/>
      <c r="I295" s="90"/>
      <c r="J295" s="90"/>
      <c r="K295" s="90"/>
      <c r="L295" s="90"/>
      <c r="M295" s="90"/>
      <c r="N295" s="90"/>
      <c r="O295" s="90"/>
      <c r="P295" s="90"/>
      <c r="Q295" s="90"/>
      <c r="R295" s="90"/>
      <c r="S295" s="90"/>
      <c r="T295" s="90"/>
      <c r="U295" s="90"/>
      <c r="V295" s="90"/>
      <c r="W295" s="90"/>
      <c r="X295" s="90"/>
    </row>
    <row r="296" spans="1:24" ht="12.75">
      <c r="A296" s="112"/>
      <c r="B296" s="113"/>
      <c r="C296" s="114"/>
      <c r="D296" s="114"/>
      <c r="E296" s="90"/>
      <c r="F296" s="115"/>
      <c r="G296" s="90"/>
      <c r="H296" s="90"/>
      <c r="I296" s="90"/>
      <c r="J296" s="90"/>
      <c r="K296" s="90"/>
      <c r="L296" s="90"/>
      <c r="M296" s="90"/>
      <c r="N296" s="90"/>
      <c r="O296" s="90"/>
      <c r="P296" s="90"/>
      <c r="Q296" s="90"/>
      <c r="R296" s="90"/>
      <c r="S296" s="90"/>
      <c r="T296" s="90"/>
      <c r="U296" s="90"/>
      <c r="V296" s="90"/>
      <c r="W296" s="90"/>
      <c r="X296" s="90"/>
    </row>
    <row r="297" spans="1:24" ht="12.75">
      <c r="A297" s="112"/>
      <c r="B297" s="113"/>
      <c r="C297" s="114"/>
      <c r="D297" s="114"/>
      <c r="E297" s="90"/>
      <c r="F297" s="115"/>
      <c r="G297" s="90"/>
      <c r="H297" s="90"/>
      <c r="I297" s="90"/>
      <c r="J297" s="90"/>
      <c r="K297" s="90"/>
      <c r="L297" s="90"/>
      <c r="M297" s="90"/>
      <c r="N297" s="90"/>
      <c r="O297" s="90"/>
      <c r="P297" s="90"/>
      <c r="Q297" s="90"/>
      <c r="R297" s="90"/>
      <c r="S297" s="90"/>
      <c r="T297" s="90"/>
      <c r="U297" s="90"/>
      <c r="V297" s="90"/>
      <c r="W297" s="90"/>
      <c r="X297" s="90"/>
    </row>
    <row r="298" spans="1:24" ht="12.75">
      <c r="A298" s="112"/>
      <c r="B298" s="113"/>
      <c r="C298" s="114"/>
      <c r="D298" s="114"/>
      <c r="E298" s="90"/>
      <c r="F298" s="115"/>
      <c r="G298" s="90"/>
      <c r="H298" s="90"/>
      <c r="I298" s="90"/>
      <c r="J298" s="90"/>
      <c r="K298" s="90"/>
      <c r="L298" s="90"/>
      <c r="M298" s="90"/>
      <c r="N298" s="90"/>
      <c r="O298" s="90"/>
      <c r="P298" s="90"/>
      <c r="Q298" s="90"/>
      <c r="R298" s="90"/>
      <c r="S298" s="90"/>
      <c r="T298" s="90"/>
      <c r="U298" s="90"/>
      <c r="V298" s="90"/>
      <c r="W298" s="90"/>
      <c r="X298" s="90"/>
    </row>
    <row r="299" spans="1:24" ht="12.75">
      <c r="A299" s="112"/>
      <c r="B299" s="113"/>
      <c r="C299" s="114"/>
      <c r="D299" s="114"/>
      <c r="E299" s="90"/>
      <c r="F299" s="115"/>
      <c r="G299" s="90"/>
      <c r="H299" s="90"/>
      <c r="I299" s="90"/>
      <c r="J299" s="90"/>
      <c r="K299" s="90"/>
      <c r="L299" s="90"/>
      <c r="M299" s="90"/>
      <c r="N299" s="90"/>
      <c r="O299" s="90"/>
      <c r="P299" s="90"/>
      <c r="Q299" s="90"/>
      <c r="R299" s="90"/>
      <c r="S299" s="90"/>
      <c r="T299" s="90"/>
      <c r="U299" s="90"/>
      <c r="V299" s="90"/>
      <c r="W299" s="90"/>
      <c r="X299" s="90"/>
    </row>
    <row r="300" spans="1:24" ht="12.75">
      <c r="A300" s="112"/>
      <c r="B300" s="113"/>
      <c r="C300" s="114"/>
      <c r="D300" s="114"/>
      <c r="E300" s="90"/>
      <c r="F300" s="115"/>
      <c r="G300" s="90"/>
      <c r="H300" s="90"/>
      <c r="I300" s="90"/>
      <c r="J300" s="90"/>
      <c r="K300" s="90"/>
      <c r="L300" s="90"/>
      <c r="M300" s="90"/>
      <c r="N300" s="90"/>
      <c r="O300" s="90"/>
      <c r="P300" s="90"/>
      <c r="Q300" s="90"/>
      <c r="R300" s="90"/>
      <c r="S300" s="90"/>
      <c r="T300" s="90"/>
      <c r="U300" s="90"/>
      <c r="V300" s="90"/>
      <c r="W300" s="90"/>
      <c r="X300" s="90"/>
    </row>
    <row r="301" spans="1:24" ht="12.75">
      <c r="A301" s="112"/>
      <c r="B301" s="113"/>
      <c r="C301" s="114"/>
      <c r="D301" s="114"/>
      <c r="E301" s="90"/>
      <c r="F301" s="115"/>
      <c r="G301" s="90"/>
      <c r="H301" s="90"/>
      <c r="I301" s="90"/>
      <c r="J301" s="90"/>
      <c r="K301" s="90"/>
      <c r="L301" s="90"/>
      <c r="M301" s="90"/>
      <c r="N301" s="90"/>
      <c r="O301" s="90"/>
      <c r="P301" s="90"/>
      <c r="Q301" s="90"/>
      <c r="R301" s="90"/>
      <c r="S301" s="90"/>
      <c r="T301" s="90"/>
      <c r="U301" s="90"/>
      <c r="V301" s="90"/>
      <c r="W301" s="90"/>
      <c r="X301" s="90"/>
    </row>
    <row r="302" spans="1:24" ht="12.75">
      <c r="A302" s="112"/>
      <c r="B302" s="113"/>
      <c r="C302" s="114"/>
      <c r="D302" s="114"/>
      <c r="E302" s="90"/>
      <c r="F302" s="115"/>
      <c r="G302" s="90"/>
      <c r="H302" s="90"/>
      <c r="I302" s="90"/>
      <c r="J302" s="90"/>
      <c r="K302" s="90"/>
      <c r="L302" s="90"/>
      <c r="M302" s="90"/>
      <c r="N302" s="90"/>
      <c r="O302" s="90"/>
      <c r="P302" s="90"/>
      <c r="Q302" s="90"/>
      <c r="R302" s="90"/>
      <c r="S302" s="90"/>
      <c r="T302" s="90"/>
      <c r="U302" s="90"/>
      <c r="V302" s="90"/>
      <c r="W302" s="90"/>
      <c r="X302" s="90"/>
    </row>
    <row r="303" spans="1:24" ht="12.75">
      <c r="A303" s="112"/>
      <c r="B303" s="113"/>
      <c r="C303" s="114"/>
      <c r="D303" s="114"/>
      <c r="E303" s="90"/>
      <c r="F303" s="115"/>
      <c r="G303" s="90"/>
      <c r="H303" s="90"/>
      <c r="I303" s="90"/>
      <c r="J303" s="90"/>
      <c r="K303" s="90"/>
      <c r="L303" s="90"/>
      <c r="M303" s="90"/>
      <c r="N303" s="90"/>
      <c r="O303" s="90"/>
      <c r="P303" s="90"/>
      <c r="Q303" s="90"/>
      <c r="R303" s="90"/>
      <c r="S303" s="90"/>
      <c r="T303" s="90"/>
      <c r="U303" s="90"/>
      <c r="V303" s="90"/>
      <c r="W303" s="90"/>
      <c r="X303" s="90"/>
    </row>
    <row r="304" spans="1:24" ht="12.75">
      <c r="A304" s="112"/>
      <c r="B304" s="113"/>
      <c r="C304" s="114"/>
      <c r="D304" s="114"/>
      <c r="E304" s="90"/>
      <c r="F304" s="115"/>
      <c r="G304" s="90"/>
      <c r="H304" s="90"/>
      <c r="I304" s="90"/>
      <c r="J304" s="90"/>
      <c r="K304" s="90"/>
      <c r="L304" s="90"/>
      <c r="M304" s="90"/>
      <c r="N304" s="90"/>
      <c r="O304" s="90"/>
      <c r="P304" s="90"/>
      <c r="Q304" s="90"/>
      <c r="R304" s="90"/>
      <c r="S304" s="90"/>
      <c r="T304" s="90"/>
      <c r="U304" s="90"/>
      <c r="V304" s="90"/>
      <c r="W304" s="90"/>
      <c r="X304" s="90"/>
    </row>
    <row r="305" spans="1:24" ht="12.75">
      <c r="A305" s="112"/>
      <c r="B305" s="113"/>
      <c r="C305" s="114"/>
      <c r="D305" s="114"/>
      <c r="E305" s="90"/>
      <c r="F305" s="115"/>
      <c r="G305" s="90"/>
      <c r="H305" s="90"/>
      <c r="I305" s="90"/>
      <c r="J305" s="90"/>
      <c r="K305" s="90"/>
      <c r="L305" s="90"/>
      <c r="M305" s="90"/>
      <c r="N305" s="90"/>
      <c r="O305" s="90"/>
      <c r="P305" s="90"/>
      <c r="Q305" s="90"/>
      <c r="R305" s="90"/>
      <c r="S305" s="90"/>
      <c r="T305" s="90"/>
      <c r="U305" s="90"/>
      <c r="V305" s="90"/>
      <c r="W305" s="90"/>
      <c r="X305" s="90"/>
    </row>
    <row r="306" spans="1:24" ht="12.75">
      <c r="A306" s="112"/>
      <c r="B306" s="113"/>
      <c r="C306" s="114"/>
      <c r="D306" s="114"/>
      <c r="E306" s="90"/>
      <c r="F306" s="115"/>
      <c r="G306" s="90"/>
      <c r="H306" s="90"/>
      <c r="I306" s="90"/>
      <c r="J306" s="90"/>
      <c r="K306" s="90"/>
      <c r="L306" s="90"/>
      <c r="M306" s="90"/>
      <c r="N306" s="90"/>
      <c r="O306" s="90"/>
      <c r="P306" s="90"/>
      <c r="Q306" s="90"/>
      <c r="R306" s="90"/>
      <c r="S306" s="90"/>
      <c r="T306" s="90"/>
      <c r="U306" s="90"/>
      <c r="V306" s="90"/>
      <c r="W306" s="90"/>
      <c r="X306" s="90"/>
    </row>
    <row r="307" spans="1:24" ht="12.75">
      <c r="A307" s="112"/>
      <c r="B307" s="113"/>
      <c r="C307" s="114"/>
      <c r="D307" s="114"/>
      <c r="E307" s="90"/>
      <c r="F307" s="115"/>
      <c r="G307" s="90"/>
      <c r="H307" s="90"/>
      <c r="I307" s="90"/>
      <c r="J307" s="90"/>
      <c r="K307" s="90"/>
      <c r="L307" s="90"/>
      <c r="M307" s="90"/>
      <c r="N307" s="90"/>
      <c r="O307" s="90"/>
      <c r="P307" s="90"/>
      <c r="Q307" s="90"/>
      <c r="R307" s="90"/>
      <c r="S307" s="90"/>
      <c r="T307" s="90"/>
      <c r="U307" s="90"/>
      <c r="V307" s="90"/>
      <c r="W307" s="90"/>
      <c r="X307" s="90"/>
    </row>
    <row r="308" spans="1:24" ht="12.75">
      <c r="A308" s="112"/>
      <c r="B308" s="113"/>
      <c r="C308" s="114"/>
      <c r="D308" s="114"/>
      <c r="E308" s="90"/>
      <c r="F308" s="115"/>
      <c r="G308" s="90"/>
      <c r="H308" s="90"/>
      <c r="I308" s="90"/>
      <c r="J308" s="90"/>
      <c r="K308" s="90"/>
      <c r="L308" s="90"/>
      <c r="M308" s="90"/>
      <c r="N308" s="90"/>
      <c r="O308" s="90"/>
      <c r="P308" s="90"/>
      <c r="Q308" s="90"/>
      <c r="R308" s="90"/>
      <c r="S308" s="90"/>
      <c r="T308" s="90"/>
      <c r="U308" s="90"/>
      <c r="V308" s="90"/>
      <c r="W308" s="90"/>
      <c r="X308" s="90"/>
    </row>
    <row r="309" spans="1:24" ht="12.75">
      <c r="A309" s="112"/>
      <c r="B309" s="113"/>
      <c r="C309" s="114"/>
      <c r="D309" s="114"/>
      <c r="E309" s="90"/>
      <c r="F309" s="115"/>
      <c r="G309" s="90"/>
      <c r="H309" s="90"/>
      <c r="I309" s="90"/>
      <c r="J309" s="90"/>
      <c r="K309" s="90"/>
      <c r="L309" s="90"/>
      <c r="M309" s="90"/>
      <c r="N309" s="90"/>
      <c r="O309" s="90"/>
      <c r="P309" s="90"/>
      <c r="Q309" s="90"/>
      <c r="R309" s="90"/>
      <c r="S309" s="90"/>
      <c r="T309" s="90"/>
      <c r="U309" s="90"/>
      <c r="V309" s="90"/>
      <c r="W309" s="90"/>
      <c r="X309" s="90"/>
    </row>
    <row r="310" spans="1:24" ht="12.75">
      <c r="A310" s="112"/>
      <c r="B310" s="113"/>
      <c r="C310" s="114"/>
      <c r="D310" s="114"/>
      <c r="E310" s="90"/>
      <c r="F310" s="115"/>
      <c r="G310" s="90"/>
      <c r="H310" s="90"/>
      <c r="I310" s="90"/>
      <c r="J310" s="90"/>
      <c r="K310" s="90"/>
      <c r="L310" s="90"/>
      <c r="M310" s="90"/>
      <c r="N310" s="90"/>
      <c r="O310" s="90"/>
      <c r="P310" s="90"/>
      <c r="Q310" s="90"/>
      <c r="R310" s="90"/>
      <c r="S310" s="90"/>
      <c r="T310" s="90"/>
      <c r="U310" s="90"/>
      <c r="V310" s="90"/>
      <c r="W310" s="90"/>
      <c r="X310" s="90"/>
    </row>
    <row r="311" spans="1:24" ht="12.75">
      <c r="A311" s="112"/>
      <c r="B311" s="113"/>
      <c r="C311" s="114"/>
      <c r="D311" s="114"/>
      <c r="E311" s="90"/>
      <c r="F311" s="115"/>
      <c r="G311" s="90"/>
      <c r="H311" s="90"/>
      <c r="I311" s="90"/>
      <c r="J311" s="90"/>
      <c r="K311" s="90"/>
      <c r="L311" s="90"/>
      <c r="M311" s="90"/>
      <c r="N311" s="90"/>
      <c r="O311" s="90"/>
      <c r="P311" s="90"/>
      <c r="Q311" s="90"/>
      <c r="R311" s="90"/>
      <c r="S311" s="90"/>
      <c r="T311" s="90"/>
      <c r="U311" s="90"/>
      <c r="V311" s="90"/>
      <c r="W311" s="90"/>
      <c r="X311" s="90"/>
    </row>
    <row r="312" spans="1:24" ht="12.75">
      <c r="A312" s="112"/>
      <c r="B312" s="113"/>
      <c r="C312" s="114"/>
      <c r="D312" s="114"/>
      <c r="E312" s="90"/>
      <c r="F312" s="115"/>
      <c r="G312" s="90"/>
      <c r="H312" s="90"/>
      <c r="I312" s="90"/>
      <c r="J312" s="90"/>
      <c r="K312" s="90"/>
      <c r="L312" s="90"/>
      <c r="M312" s="90"/>
      <c r="N312" s="90"/>
      <c r="O312" s="90"/>
      <c r="P312" s="90"/>
      <c r="Q312" s="90"/>
      <c r="R312" s="90"/>
      <c r="S312" s="90"/>
      <c r="T312" s="90"/>
      <c r="U312" s="90"/>
      <c r="V312" s="90"/>
      <c r="W312" s="90"/>
      <c r="X312" s="90"/>
    </row>
    <row r="313" spans="1:24" ht="12.75">
      <c r="A313" s="112"/>
      <c r="B313" s="113"/>
      <c r="C313" s="114"/>
      <c r="D313" s="114"/>
      <c r="E313" s="90"/>
      <c r="F313" s="115"/>
      <c r="G313" s="90"/>
      <c r="H313" s="90"/>
      <c r="I313" s="90"/>
      <c r="J313" s="90"/>
      <c r="K313" s="90"/>
      <c r="L313" s="90"/>
      <c r="M313" s="90"/>
      <c r="N313" s="90"/>
      <c r="O313" s="90"/>
      <c r="P313" s="90"/>
      <c r="Q313" s="90"/>
      <c r="R313" s="90"/>
      <c r="S313" s="90"/>
      <c r="T313" s="90"/>
      <c r="U313" s="90"/>
      <c r="V313" s="90"/>
      <c r="W313" s="90"/>
      <c r="X313" s="90"/>
    </row>
    <row r="314" spans="1:24" ht="12.75">
      <c r="A314" s="112"/>
      <c r="B314" s="113"/>
      <c r="C314" s="114"/>
      <c r="D314" s="114"/>
      <c r="E314" s="90"/>
      <c r="F314" s="115"/>
      <c r="G314" s="90"/>
      <c r="H314" s="90"/>
      <c r="I314" s="90"/>
      <c r="J314" s="90"/>
      <c r="K314" s="90"/>
      <c r="L314" s="90"/>
      <c r="M314" s="90"/>
      <c r="N314" s="90"/>
      <c r="O314" s="90"/>
      <c r="P314" s="90"/>
      <c r="Q314" s="90"/>
      <c r="R314" s="90"/>
      <c r="S314" s="90"/>
      <c r="T314" s="90"/>
      <c r="U314" s="90"/>
      <c r="V314" s="90"/>
      <c r="W314" s="90"/>
      <c r="X314" s="90"/>
    </row>
    <row r="315" spans="1:24" ht="12.75">
      <c r="A315" s="112"/>
      <c r="B315" s="113"/>
      <c r="C315" s="114"/>
      <c r="D315" s="114"/>
      <c r="E315" s="90"/>
      <c r="F315" s="115"/>
      <c r="G315" s="90"/>
      <c r="H315" s="90"/>
      <c r="I315" s="90"/>
      <c r="J315" s="90"/>
      <c r="K315" s="90"/>
      <c r="L315" s="90"/>
      <c r="M315" s="90"/>
      <c r="N315" s="90"/>
      <c r="O315" s="90"/>
      <c r="P315" s="90"/>
      <c r="Q315" s="90"/>
      <c r="R315" s="90"/>
      <c r="S315" s="90"/>
      <c r="T315" s="90"/>
      <c r="U315" s="90"/>
      <c r="V315" s="90"/>
      <c r="W315" s="90"/>
      <c r="X315" s="90"/>
    </row>
    <row r="316" spans="1:24" ht="12.75">
      <c r="A316" s="112"/>
      <c r="B316" s="113"/>
      <c r="C316" s="114"/>
      <c r="D316" s="114"/>
      <c r="E316" s="90"/>
      <c r="F316" s="115"/>
      <c r="G316" s="90"/>
      <c r="H316" s="90"/>
      <c r="I316" s="90"/>
      <c r="J316" s="90"/>
      <c r="K316" s="90"/>
      <c r="L316" s="90"/>
      <c r="M316" s="90"/>
      <c r="N316" s="90"/>
      <c r="O316" s="90"/>
      <c r="P316" s="90"/>
      <c r="Q316" s="90"/>
      <c r="R316" s="90"/>
      <c r="S316" s="90"/>
      <c r="T316" s="90"/>
      <c r="U316" s="90"/>
      <c r="V316" s="90"/>
      <c r="W316" s="90"/>
      <c r="X316" s="90"/>
    </row>
    <row r="317" spans="1:24" ht="12.75">
      <c r="A317" s="112"/>
      <c r="B317" s="113"/>
      <c r="C317" s="114"/>
      <c r="D317" s="114"/>
      <c r="E317" s="90"/>
      <c r="F317" s="115"/>
      <c r="G317" s="90"/>
      <c r="H317" s="90"/>
      <c r="I317" s="90"/>
      <c r="J317" s="90"/>
      <c r="K317" s="90"/>
      <c r="L317" s="90"/>
      <c r="M317" s="90"/>
      <c r="N317" s="90"/>
      <c r="O317" s="90"/>
      <c r="P317" s="90"/>
      <c r="Q317" s="90"/>
      <c r="R317" s="90"/>
      <c r="S317" s="90"/>
      <c r="T317" s="90"/>
      <c r="U317" s="90"/>
      <c r="V317" s="90"/>
      <c r="W317" s="90"/>
      <c r="X317" s="90"/>
    </row>
    <row r="318" spans="1:24" ht="12.75">
      <c r="A318" s="112"/>
      <c r="B318" s="113"/>
      <c r="C318" s="114"/>
      <c r="D318" s="114"/>
      <c r="E318" s="90"/>
      <c r="F318" s="115"/>
      <c r="G318" s="90"/>
      <c r="H318" s="90"/>
      <c r="I318" s="90"/>
      <c r="J318" s="90"/>
      <c r="K318" s="90"/>
      <c r="L318" s="90"/>
      <c r="M318" s="90"/>
      <c r="N318" s="90"/>
      <c r="O318" s="90"/>
      <c r="P318" s="90"/>
      <c r="Q318" s="90"/>
      <c r="R318" s="90"/>
      <c r="S318" s="90"/>
      <c r="T318" s="90"/>
      <c r="U318" s="90"/>
      <c r="V318" s="90"/>
      <c r="W318" s="90"/>
      <c r="X318" s="90"/>
    </row>
    <row r="319" spans="1:24" ht="12.75">
      <c r="A319" s="112"/>
      <c r="B319" s="113"/>
      <c r="C319" s="114"/>
      <c r="D319" s="114"/>
      <c r="E319" s="90"/>
      <c r="F319" s="115"/>
      <c r="G319" s="90"/>
      <c r="H319" s="90"/>
      <c r="I319" s="90"/>
      <c r="J319" s="90"/>
      <c r="K319" s="90"/>
      <c r="L319" s="90"/>
      <c r="M319" s="90"/>
      <c r="N319" s="90"/>
      <c r="O319" s="90"/>
      <c r="P319" s="90"/>
      <c r="Q319" s="90"/>
      <c r="R319" s="90"/>
      <c r="S319" s="90"/>
      <c r="T319" s="90"/>
      <c r="U319" s="90"/>
      <c r="V319" s="90"/>
      <c r="W319" s="90"/>
      <c r="X319" s="90"/>
    </row>
    <row r="320" spans="1:24" ht="12.75">
      <c r="A320" s="112"/>
      <c r="B320" s="113"/>
      <c r="C320" s="114"/>
      <c r="D320" s="114"/>
      <c r="E320" s="90"/>
      <c r="F320" s="115"/>
      <c r="G320" s="90"/>
      <c r="H320" s="90"/>
      <c r="I320" s="90"/>
      <c r="J320" s="90"/>
      <c r="K320" s="90"/>
      <c r="L320" s="90"/>
      <c r="M320" s="90"/>
      <c r="N320" s="90"/>
      <c r="O320" s="90"/>
      <c r="P320" s="90"/>
      <c r="Q320" s="90"/>
      <c r="R320" s="90"/>
      <c r="S320" s="90"/>
      <c r="T320" s="90"/>
      <c r="U320" s="90"/>
      <c r="V320" s="90"/>
      <c r="W320" s="90"/>
      <c r="X320" s="90"/>
    </row>
    <row r="321" spans="1:24" ht="12.75">
      <c r="A321" s="112"/>
      <c r="B321" s="113"/>
      <c r="C321" s="114"/>
      <c r="D321" s="114"/>
      <c r="E321" s="90"/>
      <c r="F321" s="115"/>
      <c r="G321" s="90"/>
      <c r="H321" s="90"/>
      <c r="I321" s="90"/>
      <c r="J321" s="90"/>
      <c r="K321" s="90"/>
      <c r="L321" s="90"/>
      <c r="M321" s="90"/>
      <c r="N321" s="90"/>
      <c r="O321" s="90"/>
      <c r="P321" s="90"/>
      <c r="Q321" s="90"/>
      <c r="R321" s="90"/>
      <c r="S321" s="90"/>
      <c r="T321" s="90"/>
      <c r="U321" s="90"/>
      <c r="V321" s="90"/>
      <c r="W321" s="90"/>
      <c r="X321" s="90"/>
    </row>
    <row r="322" spans="1:24" ht="12.75">
      <c r="A322" s="112"/>
      <c r="B322" s="113"/>
      <c r="C322" s="114"/>
      <c r="D322" s="114"/>
      <c r="E322" s="90"/>
      <c r="F322" s="115"/>
      <c r="G322" s="90"/>
      <c r="H322" s="90"/>
      <c r="I322" s="90"/>
      <c r="J322" s="90"/>
      <c r="K322" s="90"/>
      <c r="L322" s="90"/>
      <c r="M322" s="90"/>
      <c r="N322" s="90"/>
      <c r="O322" s="90"/>
      <c r="P322" s="90"/>
      <c r="Q322" s="90"/>
      <c r="R322" s="90"/>
      <c r="S322" s="90"/>
      <c r="T322" s="90"/>
      <c r="U322" s="90"/>
      <c r="V322" s="90"/>
      <c r="W322" s="90"/>
      <c r="X322" s="90"/>
    </row>
    <row r="323" spans="1:24" ht="12.75">
      <c r="A323" s="112"/>
      <c r="B323" s="113"/>
      <c r="C323" s="114"/>
      <c r="D323" s="114"/>
      <c r="E323" s="90"/>
      <c r="F323" s="115"/>
      <c r="G323" s="90"/>
      <c r="H323" s="90"/>
      <c r="I323" s="90"/>
      <c r="J323" s="90"/>
      <c r="K323" s="90"/>
      <c r="L323" s="90"/>
      <c r="M323" s="90"/>
      <c r="N323" s="90"/>
      <c r="O323" s="90"/>
      <c r="P323" s="90"/>
      <c r="Q323" s="90"/>
      <c r="R323" s="90"/>
      <c r="S323" s="90"/>
      <c r="T323" s="90"/>
      <c r="U323" s="90"/>
      <c r="V323" s="90"/>
      <c r="W323" s="90"/>
      <c r="X323" s="90"/>
    </row>
    <row r="324" spans="1:24" ht="12.75">
      <c r="A324" s="112"/>
      <c r="B324" s="113"/>
      <c r="C324" s="114"/>
      <c r="D324" s="114"/>
      <c r="E324" s="90"/>
      <c r="F324" s="115"/>
      <c r="G324" s="90"/>
      <c r="H324" s="90"/>
      <c r="I324" s="90"/>
      <c r="J324" s="90"/>
      <c r="K324" s="90"/>
      <c r="L324" s="90"/>
      <c r="M324" s="90"/>
      <c r="N324" s="90"/>
      <c r="O324" s="90"/>
      <c r="P324" s="90"/>
      <c r="Q324" s="90"/>
      <c r="R324" s="90"/>
      <c r="S324" s="90"/>
      <c r="T324" s="90"/>
      <c r="U324" s="90"/>
      <c r="V324" s="90"/>
      <c r="W324" s="90"/>
      <c r="X324" s="90"/>
    </row>
    <row r="325" spans="1:24" ht="12.75">
      <c r="A325" s="112"/>
      <c r="B325" s="113"/>
      <c r="C325" s="114"/>
      <c r="D325" s="114"/>
      <c r="E325" s="90"/>
      <c r="F325" s="115"/>
      <c r="G325" s="90"/>
      <c r="H325" s="90"/>
      <c r="I325" s="90"/>
      <c r="J325" s="90"/>
      <c r="K325" s="90"/>
      <c r="L325" s="90"/>
      <c r="M325" s="90"/>
      <c r="N325" s="90"/>
      <c r="O325" s="90"/>
      <c r="P325" s="90"/>
      <c r="Q325" s="90"/>
      <c r="R325" s="90"/>
      <c r="S325" s="90"/>
      <c r="T325" s="90"/>
      <c r="U325" s="90"/>
      <c r="V325" s="90"/>
      <c r="W325" s="90"/>
      <c r="X325" s="90"/>
    </row>
    <row r="326" spans="1:24" ht="12.75">
      <c r="A326" s="112"/>
      <c r="B326" s="113"/>
      <c r="C326" s="114"/>
      <c r="D326" s="114"/>
      <c r="E326" s="90"/>
      <c r="F326" s="115"/>
      <c r="G326" s="90"/>
      <c r="H326" s="90"/>
      <c r="I326" s="90"/>
      <c r="J326" s="90"/>
      <c r="K326" s="90"/>
      <c r="L326" s="90"/>
      <c r="M326" s="90"/>
      <c r="N326" s="90"/>
      <c r="O326" s="90"/>
      <c r="P326" s="90"/>
      <c r="Q326" s="90"/>
      <c r="R326" s="90"/>
      <c r="S326" s="90"/>
      <c r="T326" s="90"/>
      <c r="U326" s="90"/>
      <c r="V326" s="90"/>
      <c r="W326" s="90"/>
      <c r="X326" s="90"/>
    </row>
    <row r="327" spans="1:24" ht="12.75">
      <c r="A327" s="112"/>
      <c r="B327" s="113"/>
      <c r="C327" s="114"/>
      <c r="D327" s="114"/>
      <c r="E327" s="90"/>
      <c r="F327" s="115"/>
      <c r="G327" s="90"/>
      <c r="H327" s="90"/>
      <c r="I327" s="90"/>
      <c r="J327" s="90"/>
      <c r="K327" s="90"/>
      <c r="L327" s="90"/>
      <c r="M327" s="90"/>
      <c r="N327" s="90"/>
      <c r="O327" s="90"/>
      <c r="P327" s="90"/>
      <c r="Q327" s="90"/>
      <c r="R327" s="90"/>
      <c r="S327" s="90"/>
      <c r="T327" s="90"/>
      <c r="U327" s="90"/>
      <c r="V327" s="90"/>
      <c r="W327" s="90"/>
      <c r="X327" s="90"/>
    </row>
    <row r="328" spans="1:24" ht="12.75">
      <c r="A328" s="112"/>
      <c r="B328" s="113"/>
      <c r="C328" s="114"/>
      <c r="D328" s="114"/>
      <c r="E328" s="90"/>
      <c r="F328" s="115"/>
      <c r="G328" s="90"/>
      <c r="H328" s="90"/>
      <c r="I328" s="90"/>
      <c r="J328" s="90"/>
      <c r="K328" s="90"/>
      <c r="L328" s="90"/>
      <c r="M328" s="90"/>
      <c r="N328" s="90"/>
      <c r="O328" s="90"/>
      <c r="P328" s="90"/>
      <c r="Q328" s="90"/>
      <c r="R328" s="90"/>
      <c r="S328" s="90"/>
      <c r="T328" s="90"/>
      <c r="U328" s="90"/>
      <c r="V328" s="90"/>
      <c r="W328" s="90"/>
      <c r="X328" s="90"/>
    </row>
    <row r="329" spans="1:24" ht="12.75">
      <c r="A329" s="112"/>
      <c r="B329" s="113"/>
      <c r="C329" s="114"/>
      <c r="D329" s="114"/>
      <c r="E329" s="90"/>
      <c r="F329" s="115"/>
      <c r="G329" s="90"/>
      <c r="H329" s="90"/>
      <c r="I329" s="90"/>
      <c r="J329" s="90"/>
      <c r="K329" s="90"/>
      <c r="L329" s="90"/>
      <c r="M329" s="90"/>
      <c r="N329" s="90"/>
      <c r="O329" s="90"/>
      <c r="P329" s="90"/>
      <c r="Q329" s="90"/>
      <c r="R329" s="90"/>
      <c r="S329" s="90"/>
      <c r="T329" s="90"/>
      <c r="U329" s="90"/>
      <c r="V329" s="90"/>
      <c r="W329" s="90"/>
      <c r="X329" s="90"/>
    </row>
    <row r="330" spans="1:24" ht="12.75">
      <c r="A330" s="112"/>
      <c r="B330" s="113"/>
      <c r="C330" s="114"/>
      <c r="D330" s="114"/>
      <c r="E330" s="90"/>
      <c r="F330" s="115"/>
      <c r="G330" s="90"/>
      <c r="H330" s="90"/>
      <c r="I330" s="90"/>
      <c r="J330" s="90"/>
      <c r="K330" s="90"/>
      <c r="L330" s="90"/>
      <c r="M330" s="90"/>
      <c r="N330" s="90"/>
      <c r="O330" s="90"/>
      <c r="P330" s="90"/>
      <c r="Q330" s="90"/>
      <c r="R330" s="90"/>
      <c r="S330" s="90"/>
      <c r="T330" s="90"/>
      <c r="U330" s="90"/>
      <c r="V330" s="90"/>
      <c r="W330" s="90"/>
      <c r="X330" s="90"/>
    </row>
    <row r="331" spans="1:24" ht="12.75">
      <c r="A331" s="112"/>
      <c r="B331" s="113"/>
      <c r="C331" s="114"/>
      <c r="D331" s="114"/>
      <c r="E331" s="90"/>
      <c r="F331" s="115"/>
      <c r="G331" s="90"/>
      <c r="H331" s="90"/>
      <c r="I331" s="90"/>
      <c r="J331" s="90"/>
      <c r="K331" s="90"/>
      <c r="L331" s="90"/>
      <c r="M331" s="90"/>
      <c r="N331" s="90"/>
      <c r="O331" s="90"/>
      <c r="P331" s="90"/>
      <c r="Q331" s="90"/>
      <c r="R331" s="90"/>
      <c r="S331" s="90"/>
      <c r="T331" s="90"/>
      <c r="U331" s="90"/>
      <c r="V331" s="90"/>
      <c r="W331" s="90"/>
      <c r="X331" s="90"/>
    </row>
    <row r="332" spans="1:24" ht="12.75">
      <c r="A332" s="112"/>
      <c r="B332" s="113"/>
      <c r="C332" s="114"/>
      <c r="D332" s="114"/>
      <c r="E332" s="90"/>
      <c r="F332" s="115"/>
      <c r="G332" s="90"/>
      <c r="H332" s="90"/>
      <c r="I332" s="90"/>
      <c r="J332" s="90"/>
      <c r="K332" s="90"/>
      <c r="L332" s="90"/>
      <c r="M332" s="90"/>
      <c r="N332" s="90"/>
      <c r="O332" s="90"/>
      <c r="P332" s="90"/>
      <c r="Q332" s="90"/>
      <c r="R332" s="90"/>
      <c r="S332" s="90"/>
      <c r="T332" s="90"/>
      <c r="U332" s="90"/>
      <c r="V332" s="90"/>
      <c r="W332" s="90"/>
      <c r="X332" s="90"/>
    </row>
    <row r="333" spans="1:24" ht="12.75">
      <c r="A333" s="112"/>
      <c r="B333" s="113"/>
      <c r="C333" s="114"/>
      <c r="D333" s="114"/>
      <c r="E333" s="90"/>
      <c r="F333" s="115"/>
      <c r="G333" s="90"/>
      <c r="H333" s="90"/>
      <c r="I333" s="90"/>
      <c r="J333" s="90"/>
      <c r="K333" s="90"/>
      <c r="L333" s="90"/>
      <c r="M333" s="90"/>
      <c r="N333" s="90"/>
      <c r="O333" s="90"/>
      <c r="P333" s="90"/>
      <c r="Q333" s="90"/>
      <c r="R333" s="90"/>
      <c r="S333" s="90"/>
      <c r="T333" s="90"/>
      <c r="U333" s="90"/>
      <c r="V333" s="90"/>
      <c r="W333" s="90"/>
      <c r="X333" s="90"/>
    </row>
    <row r="334" spans="1:24" ht="12.75">
      <c r="A334" s="112"/>
      <c r="B334" s="113"/>
      <c r="C334" s="114"/>
      <c r="D334" s="114"/>
      <c r="E334" s="90"/>
      <c r="F334" s="115"/>
      <c r="G334" s="90"/>
      <c r="H334" s="90"/>
      <c r="I334" s="90"/>
      <c r="J334" s="90"/>
      <c r="K334" s="90"/>
      <c r="L334" s="90"/>
      <c r="M334" s="90"/>
      <c r="N334" s="90"/>
      <c r="O334" s="90"/>
      <c r="P334" s="90"/>
      <c r="Q334" s="90"/>
      <c r="R334" s="90"/>
      <c r="S334" s="90"/>
      <c r="T334" s="90"/>
      <c r="U334" s="90"/>
      <c r="V334" s="90"/>
      <c r="W334" s="90"/>
      <c r="X334" s="90"/>
    </row>
    <row r="335" spans="1:24" ht="12.75">
      <c r="A335" s="112"/>
      <c r="B335" s="113"/>
      <c r="C335" s="114"/>
      <c r="D335" s="114"/>
      <c r="E335" s="90"/>
      <c r="F335" s="115"/>
      <c r="G335" s="90"/>
      <c r="H335" s="90"/>
      <c r="I335" s="90"/>
      <c r="J335" s="90"/>
      <c r="K335" s="90"/>
      <c r="L335" s="90"/>
      <c r="M335" s="90"/>
      <c r="N335" s="90"/>
      <c r="O335" s="90"/>
      <c r="P335" s="90"/>
      <c r="Q335" s="90"/>
      <c r="R335" s="90"/>
      <c r="S335" s="90"/>
      <c r="T335" s="90"/>
      <c r="U335" s="90"/>
      <c r="V335" s="90"/>
      <c r="W335" s="90"/>
      <c r="X335" s="90"/>
    </row>
    <row r="336" spans="1:24" ht="12.75">
      <c r="A336" s="112"/>
      <c r="B336" s="113"/>
      <c r="C336" s="114"/>
      <c r="D336" s="114"/>
      <c r="E336" s="90"/>
      <c r="F336" s="115"/>
      <c r="G336" s="90"/>
      <c r="H336" s="90"/>
      <c r="I336" s="90"/>
      <c r="J336" s="90"/>
      <c r="K336" s="90"/>
      <c r="L336" s="90"/>
      <c r="M336" s="90"/>
      <c r="N336" s="90"/>
      <c r="O336" s="90"/>
      <c r="P336" s="90"/>
      <c r="Q336" s="90"/>
      <c r="R336" s="90"/>
      <c r="S336" s="90"/>
      <c r="T336" s="90"/>
      <c r="U336" s="90"/>
      <c r="V336" s="90"/>
      <c r="W336" s="90"/>
      <c r="X336" s="90"/>
    </row>
    <row r="337" spans="1:24" ht="12.75">
      <c r="A337" s="112"/>
      <c r="B337" s="113"/>
      <c r="C337" s="114"/>
      <c r="D337" s="114"/>
      <c r="E337" s="90"/>
      <c r="F337" s="115"/>
      <c r="G337" s="90"/>
      <c r="H337" s="90"/>
      <c r="I337" s="90"/>
      <c r="J337" s="90"/>
      <c r="K337" s="90"/>
      <c r="L337" s="90"/>
      <c r="M337" s="90"/>
      <c r="N337" s="90"/>
      <c r="O337" s="90"/>
      <c r="P337" s="90"/>
      <c r="Q337" s="90"/>
      <c r="R337" s="90"/>
      <c r="S337" s="90"/>
      <c r="T337" s="90"/>
      <c r="U337" s="90"/>
      <c r="V337" s="90"/>
      <c r="W337" s="90"/>
      <c r="X337" s="90"/>
    </row>
    <row r="338" spans="1:24" ht="12.75">
      <c r="A338" s="112"/>
      <c r="B338" s="113"/>
      <c r="C338" s="114"/>
      <c r="D338" s="114"/>
      <c r="E338" s="90"/>
      <c r="F338" s="115"/>
      <c r="G338" s="90"/>
      <c r="H338" s="90"/>
      <c r="I338" s="90"/>
      <c r="J338" s="90"/>
      <c r="K338" s="90"/>
      <c r="L338" s="90"/>
      <c r="M338" s="90"/>
      <c r="N338" s="90"/>
      <c r="O338" s="90"/>
      <c r="P338" s="90"/>
      <c r="Q338" s="90"/>
      <c r="R338" s="90"/>
      <c r="S338" s="90"/>
      <c r="T338" s="90"/>
      <c r="U338" s="90"/>
      <c r="V338" s="90"/>
      <c r="W338" s="90"/>
      <c r="X338" s="90"/>
    </row>
    <row r="339" spans="1:24" ht="12.75">
      <c r="A339" s="112"/>
      <c r="B339" s="113"/>
      <c r="C339" s="114"/>
      <c r="D339" s="114"/>
      <c r="E339" s="90"/>
      <c r="F339" s="115"/>
      <c r="G339" s="90"/>
      <c r="H339" s="90"/>
      <c r="I339" s="90"/>
      <c r="J339" s="90"/>
      <c r="K339" s="90"/>
      <c r="L339" s="90"/>
      <c r="M339" s="90"/>
      <c r="N339" s="90"/>
      <c r="O339" s="90"/>
      <c r="P339" s="90"/>
      <c r="Q339" s="90"/>
      <c r="R339" s="90"/>
      <c r="S339" s="90"/>
      <c r="T339" s="90"/>
      <c r="U339" s="90"/>
      <c r="V339" s="90"/>
      <c r="W339" s="90"/>
      <c r="X339" s="90"/>
    </row>
    <row r="340" spans="1:24" ht="12.75">
      <c r="A340" s="112"/>
      <c r="B340" s="113"/>
      <c r="C340" s="114"/>
      <c r="D340" s="114"/>
      <c r="E340" s="90"/>
      <c r="F340" s="115"/>
      <c r="G340" s="90"/>
      <c r="H340" s="90"/>
      <c r="I340" s="90"/>
      <c r="J340" s="90"/>
      <c r="K340" s="90"/>
      <c r="L340" s="90"/>
      <c r="M340" s="90"/>
      <c r="N340" s="90"/>
      <c r="O340" s="90"/>
      <c r="P340" s="90"/>
      <c r="Q340" s="90"/>
      <c r="R340" s="90"/>
      <c r="S340" s="90"/>
      <c r="T340" s="90"/>
      <c r="U340" s="90"/>
      <c r="V340" s="90"/>
      <c r="W340" s="90"/>
      <c r="X340" s="90"/>
    </row>
    <row r="341" spans="1:24" ht="12.75">
      <c r="A341" s="112"/>
      <c r="B341" s="113"/>
      <c r="C341" s="114"/>
      <c r="D341" s="114"/>
      <c r="E341" s="90"/>
      <c r="F341" s="115"/>
      <c r="G341" s="90"/>
      <c r="H341" s="90"/>
      <c r="I341" s="90"/>
      <c r="J341" s="90"/>
      <c r="K341" s="90"/>
      <c r="L341" s="90"/>
      <c r="M341" s="90"/>
      <c r="N341" s="90"/>
      <c r="O341" s="90"/>
      <c r="P341" s="90"/>
      <c r="Q341" s="90"/>
      <c r="R341" s="90"/>
      <c r="S341" s="90"/>
      <c r="T341" s="90"/>
      <c r="U341" s="90"/>
      <c r="V341" s="90"/>
      <c r="W341" s="90"/>
      <c r="X341" s="90"/>
    </row>
    <row r="342" spans="1:24" ht="12.75">
      <c r="A342" s="112"/>
      <c r="B342" s="113"/>
      <c r="C342" s="114"/>
      <c r="D342" s="114"/>
      <c r="E342" s="90"/>
      <c r="F342" s="115"/>
      <c r="G342" s="90"/>
      <c r="H342" s="90"/>
      <c r="I342" s="90"/>
      <c r="J342" s="90"/>
      <c r="K342" s="90"/>
      <c r="L342" s="90"/>
      <c r="M342" s="90"/>
      <c r="N342" s="90"/>
      <c r="O342" s="90"/>
      <c r="P342" s="90"/>
      <c r="Q342" s="90"/>
      <c r="R342" s="90"/>
      <c r="S342" s="90"/>
      <c r="T342" s="90"/>
      <c r="U342" s="90"/>
      <c r="V342" s="90"/>
      <c r="W342" s="90"/>
      <c r="X342" s="90"/>
    </row>
    <row r="343" spans="1:24" ht="12.75">
      <c r="A343" s="112"/>
      <c r="B343" s="113"/>
      <c r="C343" s="114"/>
      <c r="D343" s="114"/>
      <c r="E343" s="90"/>
      <c r="F343" s="115"/>
      <c r="G343" s="90"/>
      <c r="H343" s="90"/>
      <c r="I343" s="90"/>
      <c r="J343" s="90"/>
      <c r="K343" s="90"/>
      <c r="L343" s="90"/>
      <c r="M343" s="90"/>
      <c r="N343" s="90"/>
      <c r="O343" s="90"/>
      <c r="P343" s="90"/>
      <c r="Q343" s="90"/>
      <c r="R343" s="90"/>
      <c r="S343" s="90"/>
      <c r="T343" s="90"/>
      <c r="U343" s="90"/>
      <c r="V343" s="90"/>
      <c r="W343" s="90"/>
      <c r="X343" s="90"/>
    </row>
    <row r="344" spans="1:24" ht="12.75">
      <c r="A344" s="112"/>
      <c r="B344" s="113"/>
      <c r="C344" s="114"/>
      <c r="D344" s="114"/>
      <c r="E344" s="90"/>
      <c r="F344" s="115"/>
      <c r="G344" s="90"/>
      <c r="H344" s="90"/>
      <c r="I344" s="90"/>
      <c r="J344" s="90"/>
      <c r="K344" s="90"/>
      <c r="L344" s="90"/>
      <c r="M344" s="90"/>
      <c r="N344" s="90"/>
      <c r="O344" s="90"/>
      <c r="P344" s="90"/>
      <c r="Q344" s="90"/>
      <c r="R344" s="90"/>
      <c r="S344" s="90"/>
      <c r="T344" s="90"/>
      <c r="U344" s="90"/>
      <c r="V344" s="90"/>
      <c r="W344" s="90"/>
      <c r="X344" s="90"/>
    </row>
    <row r="345" spans="1:24" ht="12.75">
      <c r="A345" s="112"/>
      <c r="B345" s="113"/>
      <c r="C345" s="114"/>
      <c r="D345" s="114"/>
      <c r="E345" s="90"/>
      <c r="F345" s="115"/>
      <c r="G345" s="90"/>
      <c r="H345" s="90"/>
      <c r="I345" s="90"/>
      <c r="J345" s="90"/>
      <c r="K345" s="90"/>
      <c r="L345" s="90"/>
      <c r="M345" s="90"/>
      <c r="N345" s="90"/>
      <c r="O345" s="90"/>
      <c r="P345" s="90"/>
      <c r="Q345" s="90"/>
      <c r="R345" s="90"/>
      <c r="S345" s="90"/>
      <c r="T345" s="90"/>
      <c r="U345" s="90"/>
      <c r="V345" s="90"/>
      <c r="W345" s="90"/>
      <c r="X345" s="90"/>
    </row>
    <row r="346" spans="1:24" ht="12.75">
      <c r="A346" s="112"/>
      <c r="B346" s="113"/>
      <c r="C346" s="114"/>
      <c r="D346" s="114"/>
      <c r="E346" s="90"/>
      <c r="F346" s="115"/>
      <c r="G346" s="90"/>
      <c r="H346" s="90"/>
      <c r="I346" s="90"/>
      <c r="J346" s="90"/>
      <c r="K346" s="90"/>
      <c r="L346" s="90"/>
      <c r="M346" s="90"/>
      <c r="N346" s="90"/>
      <c r="O346" s="90"/>
      <c r="P346" s="90"/>
      <c r="Q346" s="90"/>
      <c r="R346" s="90"/>
      <c r="S346" s="90"/>
      <c r="T346" s="90"/>
      <c r="U346" s="90"/>
      <c r="V346" s="90"/>
      <c r="W346" s="90"/>
      <c r="X346" s="90"/>
    </row>
    <row r="347" spans="1:24" ht="12.75">
      <c r="A347" s="112"/>
      <c r="B347" s="113"/>
      <c r="C347" s="114"/>
      <c r="D347" s="114"/>
      <c r="E347" s="90"/>
      <c r="F347" s="115"/>
      <c r="G347" s="90"/>
      <c r="H347" s="90"/>
      <c r="I347" s="90"/>
      <c r="J347" s="90"/>
      <c r="K347" s="90"/>
      <c r="L347" s="90"/>
      <c r="M347" s="90"/>
      <c r="N347" s="90"/>
      <c r="O347" s="90"/>
      <c r="P347" s="90"/>
      <c r="Q347" s="90"/>
      <c r="R347" s="90"/>
      <c r="S347" s="90"/>
      <c r="T347" s="90"/>
      <c r="U347" s="90"/>
      <c r="V347" s="90"/>
      <c r="W347" s="90"/>
      <c r="X347" s="90"/>
    </row>
    <row r="348" spans="1:24" ht="12.75">
      <c r="A348" s="112"/>
      <c r="B348" s="113"/>
      <c r="C348" s="114"/>
      <c r="D348" s="114"/>
      <c r="E348" s="90"/>
      <c r="F348" s="115"/>
      <c r="G348" s="90"/>
      <c r="H348" s="90"/>
      <c r="I348" s="90"/>
      <c r="J348" s="90"/>
      <c r="K348" s="90"/>
      <c r="L348" s="90"/>
      <c r="M348" s="90"/>
      <c r="N348" s="90"/>
      <c r="O348" s="90"/>
      <c r="P348" s="90"/>
      <c r="Q348" s="90"/>
      <c r="R348" s="90"/>
      <c r="S348" s="90"/>
      <c r="T348" s="90"/>
      <c r="U348" s="90"/>
      <c r="V348" s="90"/>
      <c r="W348" s="90"/>
      <c r="X348" s="90"/>
    </row>
    <row r="349" spans="1:24" ht="12.75">
      <c r="A349" s="112"/>
      <c r="B349" s="113"/>
      <c r="C349" s="114"/>
      <c r="D349" s="114"/>
      <c r="E349" s="90"/>
      <c r="F349" s="115"/>
      <c r="G349" s="90"/>
      <c r="H349" s="90"/>
      <c r="I349" s="90"/>
      <c r="J349" s="90"/>
      <c r="K349" s="90"/>
      <c r="L349" s="90"/>
      <c r="M349" s="90"/>
      <c r="N349" s="90"/>
      <c r="O349" s="90"/>
      <c r="P349" s="90"/>
      <c r="Q349" s="90"/>
      <c r="R349" s="90"/>
      <c r="S349" s="90"/>
      <c r="T349" s="90"/>
      <c r="U349" s="90"/>
      <c r="V349" s="90"/>
      <c r="W349" s="90"/>
      <c r="X349" s="90"/>
    </row>
    <row r="350" spans="1:24" ht="12.75">
      <c r="A350" s="112"/>
      <c r="B350" s="113"/>
      <c r="C350" s="114"/>
      <c r="D350" s="114"/>
      <c r="E350" s="90"/>
      <c r="F350" s="115"/>
      <c r="G350" s="90"/>
      <c r="H350" s="90"/>
      <c r="I350" s="90"/>
      <c r="J350" s="90"/>
      <c r="K350" s="90"/>
      <c r="L350" s="90"/>
      <c r="M350" s="90"/>
      <c r="N350" s="90"/>
      <c r="O350" s="90"/>
      <c r="P350" s="90"/>
      <c r="Q350" s="90"/>
      <c r="R350" s="90"/>
      <c r="S350" s="90"/>
      <c r="T350" s="90"/>
      <c r="U350" s="90"/>
      <c r="V350" s="90"/>
      <c r="W350" s="90"/>
      <c r="X350" s="90"/>
    </row>
    <row r="351" spans="1:24" ht="12.75">
      <c r="A351" s="112"/>
      <c r="B351" s="113"/>
      <c r="C351" s="114"/>
      <c r="D351" s="114"/>
      <c r="E351" s="90"/>
      <c r="F351" s="115"/>
      <c r="G351" s="90"/>
      <c r="H351" s="90"/>
      <c r="I351" s="90"/>
      <c r="J351" s="90"/>
      <c r="K351" s="90"/>
      <c r="L351" s="90"/>
      <c r="M351" s="90"/>
      <c r="N351" s="90"/>
      <c r="O351" s="90"/>
      <c r="P351" s="90"/>
      <c r="Q351" s="90"/>
      <c r="R351" s="90"/>
      <c r="S351" s="90"/>
      <c r="T351" s="90"/>
      <c r="U351" s="90"/>
      <c r="V351" s="90"/>
      <c r="W351" s="90"/>
      <c r="X351" s="90"/>
    </row>
    <row r="352" spans="1:24" ht="12.75">
      <c r="A352" s="112"/>
      <c r="B352" s="113"/>
      <c r="C352" s="114"/>
      <c r="D352" s="114"/>
      <c r="E352" s="90"/>
      <c r="F352" s="115"/>
      <c r="G352" s="90"/>
      <c r="H352" s="90"/>
      <c r="I352" s="90"/>
      <c r="J352" s="90"/>
      <c r="K352" s="90"/>
      <c r="L352" s="90"/>
      <c r="M352" s="90"/>
      <c r="N352" s="90"/>
      <c r="O352" s="90"/>
      <c r="P352" s="90"/>
      <c r="Q352" s="90"/>
      <c r="R352" s="90"/>
      <c r="S352" s="90"/>
      <c r="T352" s="90"/>
      <c r="U352" s="90"/>
      <c r="V352" s="90"/>
      <c r="W352" s="90"/>
      <c r="X352" s="90"/>
    </row>
    <row r="353" spans="1:24" ht="12.75">
      <c r="A353" s="112"/>
      <c r="B353" s="113"/>
      <c r="C353" s="114"/>
      <c r="D353" s="114"/>
      <c r="E353" s="90"/>
      <c r="F353" s="115"/>
      <c r="G353" s="90"/>
      <c r="H353" s="90"/>
      <c r="I353" s="90"/>
      <c r="J353" s="90"/>
      <c r="K353" s="90"/>
      <c r="L353" s="90"/>
      <c r="M353" s="90"/>
      <c r="N353" s="90"/>
      <c r="O353" s="90"/>
      <c r="P353" s="90"/>
      <c r="Q353" s="90"/>
      <c r="R353" s="90"/>
      <c r="S353" s="90"/>
      <c r="T353" s="90"/>
      <c r="U353" s="90"/>
      <c r="V353" s="90"/>
      <c r="W353" s="90"/>
      <c r="X353" s="90"/>
    </row>
    <row r="354" spans="1:24" ht="12.75">
      <c r="A354" s="112"/>
      <c r="B354" s="113"/>
      <c r="C354" s="114"/>
      <c r="D354" s="114"/>
      <c r="E354" s="90"/>
      <c r="F354" s="115"/>
      <c r="G354" s="90"/>
      <c r="H354" s="90"/>
      <c r="I354" s="90"/>
      <c r="J354" s="90"/>
      <c r="K354" s="90"/>
      <c r="L354" s="90"/>
      <c r="M354" s="90"/>
      <c r="N354" s="90"/>
      <c r="O354" s="90"/>
      <c r="P354" s="90"/>
      <c r="Q354" s="90"/>
      <c r="R354" s="90"/>
      <c r="S354" s="90"/>
      <c r="T354" s="90"/>
      <c r="U354" s="90"/>
      <c r="V354" s="90"/>
      <c r="W354" s="90"/>
      <c r="X354" s="90"/>
    </row>
    <row r="355" spans="1:24" ht="12.75">
      <c r="A355" s="112"/>
      <c r="B355" s="113"/>
      <c r="C355" s="114"/>
      <c r="D355" s="114"/>
      <c r="E355" s="90"/>
      <c r="F355" s="115"/>
      <c r="G355" s="90"/>
      <c r="H355" s="90"/>
      <c r="I355" s="90"/>
      <c r="J355" s="90"/>
      <c r="K355" s="90"/>
      <c r="L355" s="90"/>
      <c r="M355" s="90"/>
      <c r="N355" s="90"/>
      <c r="O355" s="90"/>
      <c r="P355" s="90"/>
      <c r="Q355" s="90"/>
      <c r="R355" s="90"/>
      <c r="S355" s="90"/>
      <c r="T355" s="90"/>
      <c r="U355" s="90"/>
      <c r="V355" s="90"/>
      <c r="W355" s="90"/>
      <c r="X355" s="90"/>
    </row>
    <row r="356" spans="1:24" ht="12.75">
      <c r="A356" s="112"/>
      <c r="B356" s="113"/>
      <c r="C356" s="114"/>
      <c r="D356" s="114"/>
      <c r="E356" s="90"/>
      <c r="F356" s="115"/>
      <c r="G356" s="90"/>
      <c r="H356" s="90"/>
      <c r="I356" s="90"/>
      <c r="J356" s="90"/>
      <c r="K356" s="90"/>
      <c r="L356" s="90"/>
      <c r="M356" s="90"/>
      <c r="N356" s="90"/>
      <c r="O356" s="90"/>
      <c r="P356" s="90"/>
      <c r="Q356" s="90"/>
      <c r="R356" s="90"/>
      <c r="S356" s="90"/>
      <c r="T356" s="90"/>
      <c r="U356" s="90"/>
      <c r="V356" s="90"/>
      <c r="W356" s="90"/>
      <c r="X356" s="90"/>
    </row>
    <row r="357" spans="1:24" ht="12.75">
      <c r="A357" s="112"/>
      <c r="B357" s="113"/>
      <c r="C357" s="114"/>
      <c r="D357" s="114"/>
      <c r="E357" s="90"/>
      <c r="F357" s="115"/>
      <c r="G357" s="90"/>
      <c r="H357" s="90"/>
      <c r="I357" s="90"/>
      <c r="J357" s="90"/>
      <c r="K357" s="90"/>
      <c r="L357" s="90"/>
      <c r="M357" s="90"/>
      <c r="N357" s="90"/>
      <c r="O357" s="90"/>
      <c r="P357" s="90"/>
      <c r="Q357" s="90"/>
      <c r="R357" s="90"/>
      <c r="S357" s="90"/>
      <c r="T357" s="90"/>
      <c r="U357" s="90"/>
      <c r="V357" s="90"/>
      <c r="W357" s="90"/>
      <c r="X357" s="90"/>
    </row>
    <row r="358" spans="1:24" ht="12.75">
      <c r="A358" s="112"/>
      <c r="B358" s="113"/>
      <c r="C358" s="114"/>
      <c r="D358" s="114"/>
      <c r="E358" s="90"/>
      <c r="F358" s="115"/>
      <c r="G358" s="90"/>
      <c r="H358" s="90"/>
      <c r="I358" s="90"/>
      <c r="J358" s="90"/>
      <c r="K358" s="90"/>
      <c r="L358" s="90"/>
      <c r="M358" s="90"/>
      <c r="N358" s="90"/>
      <c r="O358" s="90"/>
      <c r="P358" s="90"/>
      <c r="Q358" s="90"/>
      <c r="R358" s="90"/>
      <c r="S358" s="90"/>
      <c r="T358" s="90"/>
      <c r="U358" s="90"/>
      <c r="V358" s="90"/>
      <c r="W358" s="90"/>
      <c r="X358" s="90"/>
    </row>
    <row r="359" spans="1:24" ht="12.75">
      <c r="A359" s="112"/>
      <c r="B359" s="113"/>
      <c r="C359" s="114"/>
      <c r="D359" s="114"/>
      <c r="E359" s="90"/>
      <c r="F359" s="115"/>
      <c r="G359" s="90"/>
      <c r="H359" s="90"/>
      <c r="I359" s="90"/>
      <c r="J359" s="90"/>
      <c r="K359" s="90"/>
      <c r="L359" s="90"/>
      <c r="M359" s="90"/>
      <c r="N359" s="90"/>
      <c r="O359" s="90"/>
      <c r="P359" s="90"/>
      <c r="Q359" s="90"/>
      <c r="R359" s="90"/>
      <c r="S359" s="90"/>
      <c r="T359" s="90"/>
      <c r="U359" s="90"/>
      <c r="V359" s="90"/>
      <c r="W359" s="90"/>
      <c r="X359" s="90"/>
    </row>
    <row r="360" spans="1:24" ht="12.75">
      <c r="A360" s="112"/>
      <c r="B360" s="113"/>
      <c r="C360" s="114"/>
      <c r="D360" s="114"/>
      <c r="E360" s="90"/>
      <c r="F360" s="115"/>
      <c r="G360" s="90"/>
      <c r="H360" s="90"/>
      <c r="I360" s="90"/>
      <c r="J360" s="90"/>
      <c r="K360" s="90"/>
      <c r="L360" s="90"/>
      <c r="M360" s="90"/>
      <c r="N360" s="90"/>
      <c r="O360" s="90"/>
      <c r="P360" s="90"/>
      <c r="Q360" s="90"/>
      <c r="R360" s="90"/>
      <c r="S360" s="90"/>
      <c r="T360" s="90"/>
      <c r="U360" s="90"/>
      <c r="V360" s="90"/>
      <c r="W360" s="90"/>
      <c r="X360" s="90"/>
    </row>
    <row r="361" spans="1:24" ht="12.75">
      <c r="A361" s="112"/>
      <c r="B361" s="113"/>
      <c r="C361" s="114"/>
      <c r="D361" s="114"/>
      <c r="E361" s="90"/>
      <c r="F361" s="115"/>
      <c r="G361" s="90"/>
      <c r="H361" s="90"/>
      <c r="I361" s="90"/>
      <c r="J361" s="90"/>
      <c r="K361" s="90"/>
      <c r="L361" s="90"/>
      <c r="M361" s="90"/>
      <c r="N361" s="90"/>
      <c r="O361" s="90"/>
      <c r="P361" s="90"/>
      <c r="Q361" s="90"/>
      <c r="R361" s="90"/>
      <c r="S361" s="90"/>
      <c r="T361" s="90"/>
      <c r="U361" s="90"/>
      <c r="V361" s="90"/>
      <c r="W361" s="90"/>
      <c r="X361" s="90"/>
    </row>
    <row r="362" spans="1:24" ht="12.75">
      <c r="A362" s="112"/>
      <c r="B362" s="113"/>
      <c r="C362" s="114"/>
      <c r="D362" s="114"/>
      <c r="E362" s="90"/>
      <c r="F362" s="115"/>
      <c r="G362" s="90"/>
      <c r="H362" s="90"/>
      <c r="I362" s="90"/>
      <c r="J362" s="90"/>
      <c r="K362" s="90"/>
      <c r="L362" s="90"/>
      <c r="M362" s="90"/>
      <c r="N362" s="90"/>
      <c r="O362" s="90"/>
      <c r="P362" s="90"/>
      <c r="Q362" s="90"/>
      <c r="R362" s="90"/>
      <c r="S362" s="90"/>
      <c r="T362" s="90"/>
      <c r="U362" s="90"/>
      <c r="V362" s="90"/>
      <c r="W362" s="90"/>
      <c r="X362" s="90"/>
    </row>
    <row r="363" spans="1:24" ht="12.75">
      <c r="A363" s="112"/>
      <c r="B363" s="113"/>
      <c r="C363" s="114"/>
      <c r="D363" s="114"/>
      <c r="E363" s="90"/>
      <c r="F363" s="115"/>
      <c r="G363" s="90"/>
      <c r="H363" s="90"/>
      <c r="I363" s="90"/>
      <c r="J363" s="90"/>
      <c r="K363" s="90"/>
      <c r="L363" s="90"/>
      <c r="M363" s="90"/>
      <c r="N363" s="90"/>
      <c r="O363" s="90"/>
      <c r="P363" s="90"/>
      <c r="Q363" s="90"/>
      <c r="R363" s="90"/>
      <c r="S363" s="90"/>
      <c r="T363" s="90"/>
      <c r="U363" s="90"/>
      <c r="V363" s="90"/>
      <c r="W363" s="90"/>
      <c r="X363" s="90"/>
    </row>
    <row r="364" spans="1:24" ht="12.75">
      <c r="A364" s="112"/>
      <c r="B364" s="113"/>
      <c r="C364" s="114"/>
      <c r="D364" s="114"/>
      <c r="E364" s="90"/>
      <c r="F364" s="115"/>
      <c r="G364" s="90"/>
      <c r="H364" s="90"/>
      <c r="I364" s="90"/>
      <c r="J364" s="90"/>
      <c r="K364" s="90"/>
      <c r="L364" s="90"/>
      <c r="M364" s="90"/>
      <c r="N364" s="90"/>
      <c r="O364" s="90"/>
      <c r="P364" s="90"/>
      <c r="Q364" s="90"/>
      <c r="R364" s="90"/>
      <c r="S364" s="90"/>
      <c r="T364" s="90"/>
      <c r="U364" s="90"/>
      <c r="V364" s="90"/>
      <c r="W364" s="90"/>
      <c r="X364" s="90"/>
    </row>
    <row r="365" spans="1:24" ht="12.75">
      <c r="A365" s="112"/>
      <c r="B365" s="113"/>
      <c r="C365" s="114"/>
      <c r="D365" s="114"/>
      <c r="E365" s="90"/>
      <c r="F365" s="115"/>
      <c r="G365" s="90"/>
      <c r="H365" s="90"/>
      <c r="I365" s="90"/>
      <c r="J365" s="90"/>
      <c r="K365" s="90"/>
      <c r="L365" s="90"/>
      <c r="M365" s="90"/>
      <c r="N365" s="90"/>
      <c r="O365" s="90"/>
      <c r="P365" s="90"/>
      <c r="Q365" s="90"/>
      <c r="R365" s="90"/>
      <c r="S365" s="90"/>
      <c r="T365" s="90"/>
      <c r="U365" s="90"/>
      <c r="V365" s="90"/>
      <c r="W365" s="90"/>
      <c r="X365" s="90"/>
    </row>
    <row r="366" spans="1:24" ht="12.75">
      <c r="A366" s="112"/>
      <c r="B366" s="113"/>
      <c r="C366" s="114"/>
      <c r="D366" s="114"/>
      <c r="E366" s="90"/>
      <c r="F366" s="115"/>
      <c r="G366" s="90"/>
      <c r="H366" s="90"/>
      <c r="I366" s="90"/>
      <c r="J366" s="90"/>
      <c r="K366" s="90"/>
      <c r="L366" s="90"/>
      <c r="M366" s="90"/>
      <c r="N366" s="90"/>
      <c r="O366" s="90"/>
      <c r="P366" s="90"/>
      <c r="Q366" s="90"/>
      <c r="R366" s="90"/>
      <c r="S366" s="90"/>
      <c r="T366" s="90"/>
      <c r="U366" s="90"/>
      <c r="V366" s="90"/>
      <c r="W366" s="90"/>
      <c r="X366" s="90"/>
    </row>
    <row r="367" spans="1:24" ht="12.75">
      <c r="A367" s="112"/>
      <c r="B367" s="113"/>
      <c r="C367" s="114"/>
      <c r="D367" s="114"/>
      <c r="E367" s="90"/>
      <c r="F367" s="115"/>
      <c r="G367" s="90"/>
      <c r="H367" s="90"/>
      <c r="I367" s="90"/>
      <c r="J367" s="90"/>
      <c r="K367" s="90"/>
      <c r="L367" s="90"/>
      <c r="M367" s="90"/>
      <c r="N367" s="90"/>
      <c r="O367" s="90"/>
      <c r="P367" s="90"/>
      <c r="Q367" s="90"/>
      <c r="R367" s="90"/>
      <c r="S367" s="90"/>
      <c r="T367" s="90"/>
      <c r="U367" s="90"/>
      <c r="V367" s="90"/>
      <c r="W367" s="90"/>
      <c r="X367" s="90"/>
    </row>
    <row r="368" spans="1:24" ht="12.75">
      <c r="A368" s="112"/>
      <c r="B368" s="113"/>
      <c r="C368" s="114"/>
      <c r="D368" s="114"/>
      <c r="E368" s="90"/>
      <c r="F368" s="115"/>
      <c r="G368" s="90"/>
      <c r="H368" s="90"/>
      <c r="I368" s="90"/>
      <c r="J368" s="90"/>
      <c r="K368" s="90"/>
      <c r="L368" s="90"/>
      <c r="M368" s="90"/>
      <c r="N368" s="90"/>
      <c r="O368" s="90"/>
      <c r="P368" s="90"/>
      <c r="Q368" s="90"/>
      <c r="R368" s="90"/>
      <c r="S368" s="90"/>
      <c r="T368" s="90"/>
      <c r="U368" s="90"/>
      <c r="V368" s="90"/>
      <c r="W368" s="90"/>
      <c r="X368" s="90"/>
    </row>
    <row r="369" spans="1:24" ht="12.75">
      <c r="A369" s="112"/>
      <c r="B369" s="113"/>
      <c r="C369" s="114"/>
      <c r="D369" s="114"/>
      <c r="E369" s="90"/>
      <c r="F369" s="115"/>
      <c r="G369" s="90"/>
      <c r="H369" s="90"/>
      <c r="I369" s="90"/>
      <c r="J369" s="90"/>
      <c r="K369" s="90"/>
      <c r="L369" s="90"/>
      <c r="M369" s="90"/>
      <c r="N369" s="90"/>
      <c r="O369" s="90"/>
      <c r="P369" s="90"/>
      <c r="Q369" s="90"/>
      <c r="R369" s="90"/>
      <c r="S369" s="90"/>
      <c r="T369" s="90"/>
      <c r="U369" s="90"/>
      <c r="V369" s="90"/>
      <c r="W369" s="90"/>
      <c r="X369" s="90"/>
    </row>
    <row r="370" spans="1:24" ht="12.75">
      <c r="A370" s="112"/>
      <c r="B370" s="113"/>
      <c r="C370" s="114"/>
      <c r="D370" s="114"/>
      <c r="E370" s="90"/>
      <c r="F370" s="115"/>
      <c r="G370" s="90"/>
      <c r="H370" s="90"/>
      <c r="I370" s="90"/>
      <c r="J370" s="90"/>
      <c r="K370" s="90"/>
      <c r="L370" s="90"/>
      <c r="M370" s="90"/>
      <c r="N370" s="90"/>
      <c r="O370" s="90"/>
      <c r="P370" s="90"/>
      <c r="Q370" s="90"/>
      <c r="R370" s="90"/>
      <c r="S370" s="90"/>
      <c r="T370" s="90"/>
      <c r="U370" s="90"/>
      <c r="V370" s="90"/>
      <c r="W370" s="90"/>
      <c r="X370" s="90"/>
    </row>
    <row r="371" spans="1:24" ht="12.75">
      <c r="A371" s="112"/>
      <c r="B371" s="113"/>
      <c r="C371" s="114"/>
      <c r="D371" s="114"/>
      <c r="E371" s="90"/>
      <c r="F371" s="115"/>
      <c r="G371" s="90"/>
      <c r="H371" s="90"/>
      <c r="I371" s="90"/>
      <c r="J371" s="90"/>
      <c r="K371" s="90"/>
      <c r="L371" s="90"/>
      <c r="M371" s="90"/>
      <c r="N371" s="90"/>
      <c r="O371" s="90"/>
      <c r="P371" s="90"/>
      <c r="Q371" s="90"/>
      <c r="R371" s="90"/>
      <c r="S371" s="90"/>
      <c r="T371" s="90"/>
      <c r="U371" s="90"/>
      <c r="V371" s="90"/>
      <c r="W371" s="90"/>
      <c r="X371" s="90"/>
    </row>
    <row r="372" spans="1:24" ht="12.75">
      <c r="A372" s="112"/>
      <c r="B372" s="113"/>
      <c r="C372" s="114"/>
      <c r="D372" s="114"/>
      <c r="E372" s="90"/>
      <c r="F372" s="115"/>
      <c r="G372" s="90"/>
      <c r="H372" s="90"/>
      <c r="I372" s="90"/>
      <c r="J372" s="90"/>
      <c r="K372" s="90"/>
      <c r="L372" s="90"/>
      <c r="M372" s="90"/>
      <c r="N372" s="90"/>
      <c r="O372" s="90"/>
      <c r="P372" s="90"/>
      <c r="Q372" s="90"/>
      <c r="R372" s="90"/>
      <c r="S372" s="90"/>
      <c r="T372" s="90"/>
      <c r="U372" s="90"/>
      <c r="V372" s="90"/>
      <c r="W372" s="90"/>
      <c r="X372" s="90"/>
    </row>
    <row r="373" spans="1:24" ht="12.75">
      <c r="A373" s="112"/>
      <c r="B373" s="113"/>
      <c r="C373" s="114"/>
      <c r="D373" s="114"/>
      <c r="E373" s="90"/>
      <c r="F373" s="115"/>
      <c r="G373" s="90"/>
      <c r="H373" s="90"/>
      <c r="I373" s="90"/>
      <c r="J373" s="90"/>
      <c r="K373" s="90"/>
      <c r="L373" s="90"/>
      <c r="M373" s="90"/>
      <c r="N373" s="90"/>
      <c r="O373" s="90"/>
      <c r="P373" s="90"/>
      <c r="Q373" s="90"/>
      <c r="R373" s="90"/>
      <c r="S373" s="90"/>
      <c r="T373" s="90"/>
      <c r="U373" s="90"/>
      <c r="V373" s="90"/>
      <c r="W373" s="90"/>
      <c r="X373" s="90"/>
    </row>
    <row r="374" spans="1:24" ht="12.75">
      <c r="A374" s="112"/>
      <c r="B374" s="113"/>
      <c r="C374" s="114"/>
      <c r="D374" s="114"/>
      <c r="E374" s="90"/>
      <c r="F374" s="115"/>
      <c r="G374" s="90"/>
      <c r="H374" s="90"/>
      <c r="I374" s="90"/>
      <c r="J374" s="90"/>
      <c r="K374" s="90"/>
      <c r="L374" s="90"/>
      <c r="M374" s="90"/>
      <c r="N374" s="90"/>
      <c r="O374" s="90"/>
      <c r="P374" s="90"/>
      <c r="Q374" s="90"/>
      <c r="R374" s="90"/>
      <c r="S374" s="90"/>
      <c r="T374" s="90"/>
      <c r="U374" s="90"/>
      <c r="V374" s="90"/>
      <c r="W374" s="90"/>
      <c r="X374" s="90"/>
    </row>
    <row r="375" spans="1:24" ht="12.75">
      <c r="A375" s="112"/>
      <c r="B375" s="113"/>
      <c r="C375" s="114"/>
      <c r="D375" s="114"/>
      <c r="E375" s="90"/>
      <c r="F375" s="115"/>
      <c r="G375" s="90"/>
      <c r="H375" s="90"/>
      <c r="I375" s="90"/>
      <c r="J375" s="90"/>
      <c r="K375" s="90"/>
      <c r="L375" s="90"/>
      <c r="M375" s="90"/>
      <c r="N375" s="90"/>
      <c r="O375" s="90"/>
      <c r="P375" s="90"/>
      <c r="Q375" s="90"/>
      <c r="R375" s="90"/>
      <c r="S375" s="90"/>
      <c r="T375" s="90"/>
      <c r="U375" s="90"/>
      <c r="V375" s="90"/>
      <c r="W375" s="90"/>
      <c r="X375" s="90"/>
    </row>
    <row r="376" spans="1:24" ht="12.75">
      <c r="A376" s="112"/>
      <c r="B376" s="113"/>
      <c r="C376" s="114"/>
      <c r="D376" s="114"/>
      <c r="E376" s="90"/>
      <c r="F376" s="115"/>
      <c r="G376" s="90"/>
      <c r="H376" s="90"/>
      <c r="I376" s="90"/>
      <c r="J376" s="90"/>
      <c r="K376" s="90"/>
      <c r="L376" s="90"/>
      <c r="M376" s="90"/>
      <c r="N376" s="90"/>
      <c r="O376" s="90"/>
      <c r="P376" s="90"/>
      <c r="Q376" s="90"/>
      <c r="R376" s="90"/>
      <c r="S376" s="90"/>
      <c r="T376" s="90"/>
      <c r="U376" s="90"/>
      <c r="V376" s="90"/>
      <c r="W376" s="90"/>
      <c r="X376" s="90"/>
    </row>
    <row r="377" spans="1:24" ht="12.75">
      <c r="A377" s="112"/>
      <c r="B377" s="113"/>
      <c r="C377" s="114"/>
      <c r="D377" s="114"/>
      <c r="E377" s="90"/>
      <c r="F377" s="115"/>
      <c r="G377" s="90"/>
      <c r="H377" s="90"/>
      <c r="I377" s="90"/>
      <c r="J377" s="90"/>
      <c r="K377" s="90"/>
      <c r="L377" s="90"/>
      <c r="M377" s="90"/>
      <c r="N377" s="90"/>
      <c r="O377" s="90"/>
      <c r="P377" s="90"/>
      <c r="Q377" s="90"/>
      <c r="R377" s="90"/>
      <c r="S377" s="90"/>
      <c r="T377" s="90"/>
      <c r="U377" s="90"/>
      <c r="V377" s="90"/>
      <c r="W377" s="90"/>
      <c r="X377" s="90"/>
    </row>
    <row r="378" spans="1:24" ht="12.75">
      <c r="A378" s="112"/>
      <c r="B378" s="113"/>
      <c r="C378" s="114"/>
      <c r="D378" s="114"/>
      <c r="E378" s="90"/>
      <c r="F378" s="115"/>
      <c r="G378" s="90"/>
      <c r="H378" s="90"/>
      <c r="I378" s="90"/>
      <c r="J378" s="90"/>
      <c r="K378" s="90"/>
      <c r="L378" s="90"/>
      <c r="M378" s="90"/>
      <c r="N378" s="90"/>
      <c r="O378" s="90"/>
      <c r="P378" s="90"/>
      <c r="Q378" s="90"/>
      <c r="R378" s="90"/>
      <c r="S378" s="90"/>
      <c r="T378" s="90"/>
      <c r="U378" s="90"/>
      <c r="V378" s="90"/>
      <c r="W378" s="90"/>
      <c r="X378" s="90"/>
    </row>
    <row r="379" spans="1:24" ht="12.75">
      <c r="A379" s="112"/>
      <c r="B379" s="113"/>
      <c r="C379" s="114"/>
      <c r="D379" s="114"/>
      <c r="E379" s="90"/>
      <c r="F379" s="115"/>
      <c r="G379" s="90"/>
      <c r="H379" s="90"/>
      <c r="I379" s="90"/>
      <c r="J379" s="90"/>
      <c r="K379" s="90"/>
      <c r="L379" s="90"/>
      <c r="M379" s="90"/>
      <c r="N379" s="90"/>
      <c r="O379" s="90"/>
      <c r="P379" s="90"/>
      <c r="Q379" s="90"/>
      <c r="R379" s="90"/>
      <c r="S379" s="90"/>
      <c r="T379" s="90"/>
      <c r="U379" s="90"/>
      <c r="V379" s="90"/>
      <c r="W379" s="90"/>
      <c r="X379" s="90"/>
    </row>
    <row r="380" spans="1:24" ht="12.75">
      <c r="A380" s="112"/>
      <c r="B380" s="113"/>
      <c r="C380" s="114"/>
      <c r="D380" s="114"/>
      <c r="E380" s="90"/>
      <c r="F380" s="115"/>
      <c r="G380" s="90"/>
      <c r="H380" s="90"/>
      <c r="I380" s="90"/>
      <c r="J380" s="90"/>
      <c r="K380" s="90"/>
      <c r="L380" s="90"/>
      <c r="M380" s="90"/>
      <c r="N380" s="90"/>
      <c r="O380" s="90"/>
      <c r="P380" s="90"/>
      <c r="Q380" s="90"/>
      <c r="R380" s="90"/>
      <c r="S380" s="90"/>
      <c r="T380" s="90"/>
      <c r="U380" s="90"/>
      <c r="V380" s="90"/>
      <c r="W380" s="90"/>
      <c r="X380" s="90"/>
    </row>
    <row r="381" spans="1:24" ht="12.75">
      <c r="A381" s="112"/>
      <c r="B381" s="113"/>
      <c r="C381" s="114"/>
      <c r="D381" s="114"/>
      <c r="E381" s="90"/>
      <c r="F381" s="115"/>
      <c r="G381" s="90"/>
      <c r="H381" s="90"/>
      <c r="I381" s="90"/>
      <c r="J381" s="90"/>
      <c r="K381" s="90"/>
      <c r="L381" s="90"/>
      <c r="M381" s="90"/>
      <c r="N381" s="90"/>
      <c r="O381" s="90"/>
      <c r="P381" s="90"/>
      <c r="Q381" s="90"/>
      <c r="R381" s="90"/>
      <c r="S381" s="90"/>
      <c r="T381" s="90"/>
      <c r="U381" s="90"/>
      <c r="V381" s="90"/>
      <c r="W381" s="90"/>
      <c r="X381" s="90"/>
    </row>
    <row r="382" spans="1:24" ht="12.75">
      <c r="A382" s="112"/>
      <c r="B382" s="113"/>
      <c r="C382" s="114"/>
      <c r="D382" s="114"/>
      <c r="E382" s="90"/>
      <c r="F382" s="115"/>
      <c r="G382" s="90"/>
      <c r="H382" s="90"/>
      <c r="I382" s="90"/>
      <c r="J382" s="90"/>
      <c r="K382" s="90"/>
      <c r="L382" s="90"/>
      <c r="M382" s="90"/>
      <c r="N382" s="90"/>
      <c r="O382" s="90"/>
      <c r="P382" s="90"/>
      <c r="Q382" s="90"/>
      <c r="R382" s="90"/>
      <c r="S382" s="90"/>
      <c r="T382" s="90"/>
      <c r="U382" s="90"/>
      <c r="V382" s="90"/>
      <c r="W382" s="90"/>
      <c r="X382" s="90"/>
    </row>
    <row r="383" spans="1:24" ht="12.75">
      <c r="A383" s="112"/>
      <c r="B383" s="113"/>
      <c r="C383" s="114"/>
      <c r="D383" s="114"/>
      <c r="E383" s="90"/>
      <c r="F383" s="115"/>
      <c r="G383" s="90"/>
      <c r="H383" s="90"/>
      <c r="I383" s="90"/>
      <c r="J383" s="90"/>
      <c r="K383" s="90"/>
      <c r="L383" s="90"/>
      <c r="M383" s="90"/>
      <c r="N383" s="90"/>
      <c r="O383" s="90"/>
      <c r="P383" s="90"/>
      <c r="Q383" s="90"/>
      <c r="R383" s="90"/>
      <c r="S383" s="90"/>
      <c r="T383" s="90"/>
      <c r="U383" s="90"/>
      <c r="V383" s="90"/>
      <c r="W383" s="90"/>
      <c r="X383" s="90"/>
    </row>
    <row r="384" spans="1:24" ht="12.75">
      <c r="A384" s="112"/>
      <c r="B384" s="113"/>
      <c r="C384" s="114"/>
      <c r="D384" s="114"/>
      <c r="E384" s="90"/>
      <c r="F384" s="115"/>
      <c r="G384" s="90"/>
      <c r="H384" s="90"/>
      <c r="I384" s="90"/>
      <c r="J384" s="90"/>
      <c r="K384" s="90"/>
      <c r="L384" s="90"/>
      <c r="M384" s="90"/>
      <c r="N384" s="90"/>
      <c r="O384" s="90"/>
      <c r="P384" s="90"/>
      <c r="Q384" s="90"/>
      <c r="R384" s="90"/>
      <c r="S384" s="90"/>
      <c r="T384" s="90"/>
      <c r="U384" s="90"/>
      <c r="V384" s="90"/>
      <c r="W384" s="90"/>
      <c r="X384" s="90"/>
    </row>
    <row r="385" spans="1:24" ht="12.75">
      <c r="A385" s="112"/>
      <c r="B385" s="113"/>
      <c r="C385" s="114"/>
      <c r="D385" s="114"/>
      <c r="E385" s="90"/>
      <c r="F385" s="115"/>
      <c r="G385" s="90"/>
      <c r="H385" s="90"/>
      <c r="I385" s="90"/>
      <c r="J385" s="90"/>
      <c r="K385" s="90"/>
      <c r="L385" s="90"/>
      <c r="M385" s="90"/>
      <c r="N385" s="90"/>
      <c r="O385" s="90"/>
      <c r="P385" s="90"/>
      <c r="Q385" s="90"/>
      <c r="R385" s="90"/>
      <c r="S385" s="90"/>
      <c r="T385" s="90"/>
      <c r="U385" s="90"/>
      <c r="V385" s="90"/>
      <c r="W385" s="90"/>
      <c r="X385" s="90"/>
    </row>
    <row r="386" spans="1:24" ht="12.75">
      <c r="A386" s="112"/>
      <c r="B386" s="113"/>
      <c r="C386" s="114"/>
      <c r="D386" s="114"/>
      <c r="E386" s="90"/>
      <c r="F386" s="115"/>
      <c r="G386" s="90"/>
      <c r="H386" s="90"/>
      <c r="I386" s="90"/>
      <c r="J386" s="90"/>
      <c r="K386" s="90"/>
      <c r="L386" s="90"/>
      <c r="M386" s="90"/>
      <c r="N386" s="90"/>
      <c r="O386" s="90"/>
      <c r="P386" s="90"/>
      <c r="Q386" s="90"/>
      <c r="R386" s="90"/>
      <c r="S386" s="90"/>
      <c r="T386" s="90"/>
      <c r="U386" s="90"/>
      <c r="V386" s="90"/>
      <c r="W386" s="90"/>
      <c r="X386" s="90"/>
    </row>
    <row r="387" spans="1:24" ht="12.75">
      <c r="A387" s="112"/>
      <c r="B387" s="113"/>
      <c r="C387" s="114"/>
      <c r="D387" s="114"/>
      <c r="E387" s="90"/>
      <c r="F387" s="115"/>
      <c r="G387" s="90"/>
      <c r="H387" s="90"/>
      <c r="I387" s="90"/>
      <c r="J387" s="90"/>
      <c r="K387" s="90"/>
      <c r="L387" s="90"/>
      <c r="M387" s="90"/>
      <c r="N387" s="90"/>
      <c r="O387" s="90"/>
      <c r="P387" s="90"/>
      <c r="Q387" s="90"/>
      <c r="R387" s="90"/>
      <c r="S387" s="90"/>
      <c r="T387" s="90"/>
      <c r="U387" s="90"/>
      <c r="V387" s="90"/>
      <c r="W387" s="90"/>
      <c r="X387" s="90"/>
    </row>
    <row r="388" spans="1:24" ht="12.75">
      <c r="A388" s="112"/>
      <c r="B388" s="113"/>
      <c r="C388" s="114"/>
      <c r="D388" s="114"/>
      <c r="E388" s="90"/>
      <c r="F388" s="115"/>
      <c r="G388" s="90"/>
      <c r="H388" s="90"/>
      <c r="I388" s="90"/>
      <c r="J388" s="90"/>
      <c r="K388" s="90"/>
      <c r="L388" s="90"/>
      <c r="M388" s="90"/>
      <c r="N388" s="90"/>
      <c r="O388" s="90"/>
      <c r="P388" s="90"/>
      <c r="Q388" s="90"/>
      <c r="R388" s="90"/>
      <c r="S388" s="90"/>
      <c r="T388" s="90"/>
      <c r="U388" s="90"/>
      <c r="V388" s="90"/>
      <c r="W388" s="90"/>
      <c r="X388" s="90"/>
    </row>
    <row r="389" spans="1:24" ht="12.75">
      <c r="A389" s="112"/>
      <c r="B389" s="113"/>
      <c r="C389" s="114"/>
      <c r="D389" s="114"/>
      <c r="E389" s="90"/>
      <c r="F389" s="115"/>
      <c r="G389" s="90"/>
      <c r="H389" s="90"/>
      <c r="I389" s="90"/>
      <c r="J389" s="90"/>
      <c r="K389" s="90"/>
      <c r="L389" s="90"/>
      <c r="M389" s="90"/>
      <c r="N389" s="90"/>
      <c r="O389" s="90"/>
      <c r="P389" s="90"/>
      <c r="Q389" s="90"/>
      <c r="R389" s="90"/>
      <c r="S389" s="90"/>
      <c r="T389" s="90"/>
      <c r="U389" s="90"/>
      <c r="V389" s="90"/>
      <c r="W389" s="90"/>
      <c r="X389" s="90"/>
    </row>
    <row r="390" spans="1:24" ht="12.75">
      <c r="A390" s="112"/>
      <c r="B390" s="113"/>
      <c r="C390" s="114"/>
      <c r="D390" s="114"/>
      <c r="E390" s="90"/>
      <c r="F390" s="115"/>
      <c r="G390" s="90"/>
      <c r="H390" s="90"/>
      <c r="I390" s="90"/>
      <c r="J390" s="90"/>
      <c r="K390" s="90"/>
      <c r="L390" s="90"/>
      <c r="M390" s="90"/>
      <c r="N390" s="90"/>
      <c r="O390" s="90"/>
      <c r="P390" s="90"/>
      <c r="Q390" s="90"/>
      <c r="R390" s="90"/>
      <c r="S390" s="90"/>
      <c r="T390" s="90"/>
      <c r="U390" s="90"/>
      <c r="V390" s="90"/>
      <c r="W390" s="90"/>
      <c r="X390" s="90"/>
    </row>
    <row r="391" spans="1:24" ht="12.75">
      <c r="A391" s="112"/>
      <c r="B391" s="113"/>
      <c r="C391" s="114"/>
      <c r="D391" s="114"/>
      <c r="E391" s="90"/>
      <c r="F391" s="115"/>
      <c r="G391" s="90"/>
      <c r="H391" s="90"/>
      <c r="I391" s="90"/>
      <c r="J391" s="90"/>
      <c r="K391" s="90"/>
      <c r="L391" s="90"/>
      <c r="M391" s="90"/>
      <c r="N391" s="90"/>
      <c r="O391" s="90"/>
      <c r="P391" s="90"/>
      <c r="Q391" s="90"/>
      <c r="R391" s="90"/>
      <c r="S391" s="90"/>
      <c r="T391" s="90"/>
      <c r="U391" s="90"/>
      <c r="V391" s="90"/>
      <c r="W391" s="90"/>
      <c r="X391" s="90"/>
    </row>
    <row r="392" spans="1:24" ht="12.75">
      <c r="A392" s="112"/>
      <c r="B392" s="113"/>
      <c r="C392" s="114"/>
      <c r="D392" s="114"/>
      <c r="E392" s="90"/>
      <c r="F392" s="115"/>
      <c r="G392" s="90"/>
      <c r="H392" s="90"/>
      <c r="I392" s="90"/>
      <c r="J392" s="90"/>
      <c r="K392" s="90"/>
      <c r="L392" s="90"/>
      <c r="M392" s="90"/>
      <c r="N392" s="90"/>
      <c r="O392" s="90"/>
      <c r="P392" s="90"/>
      <c r="Q392" s="90"/>
      <c r="R392" s="90"/>
      <c r="S392" s="90"/>
      <c r="T392" s="90"/>
      <c r="U392" s="90"/>
      <c r="V392" s="90"/>
      <c r="W392" s="90"/>
      <c r="X392" s="90"/>
    </row>
    <row r="393" spans="1:24" ht="12.75">
      <c r="A393" s="112"/>
      <c r="B393" s="113"/>
      <c r="C393" s="114"/>
      <c r="D393" s="114"/>
      <c r="E393" s="90"/>
      <c r="F393" s="115"/>
      <c r="G393" s="90"/>
      <c r="H393" s="90"/>
      <c r="I393" s="90"/>
      <c r="J393" s="90"/>
      <c r="K393" s="90"/>
      <c r="L393" s="90"/>
      <c r="M393" s="90"/>
      <c r="N393" s="90"/>
      <c r="O393" s="90"/>
      <c r="P393" s="90"/>
      <c r="Q393" s="90"/>
      <c r="R393" s="90"/>
      <c r="S393" s="90"/>
      <c r="T393" s="90"/>
      <c r="U393" s="90"/>
      <c r="V393" s="90"/>
      <c r="W393" s="90"/>
      <c r="X393" s="90"/>
    </row>
    <row r="394" spans="1:24" ht="12.75">
      <c r="A394" s="112"/>
      <c r="B394" s="113"/>
      <c r="C394" s="114"/>
      <c r="D394" s="114"/>
      <c r="E394" s="90"/>
      <c r="F394" s="115"/>
      <c r="G394" s="90"/>
      <c r="H394" s="90"/>
      <c r="I394" s="90"/>
      <c r="J394" s="90"/>
      <c r="K394" s="90"/>
      <c r="L394" s="90"/>
      <c r="M394" s="90"/>
      <c r="N394" s="90"/>
      <c r="O394" s="90"/>
      <c r="P394" s="90"/>
      <c r="Q394" s="90"/>
      <c r="R394" s="90"/>
      <c r="S394" s="90"/>
      <c r="T394" s="90"/>
      <c r="U394" s="90"/>
      <c r="V394" s="90"/>
      <c r="W394" s="90"/>
      <c r="X394" s="90"/>
    </row>
    <row r="395" spans="1:24" ht="12.75">
      <c r="A395" s="112"/>
      <c r="B395" s="113"/>
      <c r="C395" s="114"/>
      <c r="D395" s="114"/>
      <c r="E395" s="90"/>
      <c r="F395" s="115"/>
      <c r="G395" s="90"/>
      <c r="H395" s="90"/>
      <c r="I395" s="90"/>
      <c r="J395" s="90"/>
      <c r="K395" s="90"/>
      <c r="L395" s="90"/>
      <c r="M395" s="90"/>
      <c r="N395" s="90"/>
      <c r="O395" s="90"/>
      <c r="P395" s="90"/>
      <c r="Q395" s="90"/>
      <c r="R395" s="90"/>
      <c r="S395" s="90"/>
      <c r="T395" s="90"/>
      <c r="U395" s="90"/>
      <c r="V395" s="90"/>
      <c r="W395" s="90"/>
      <c r="X395" s="90"/>
    </row>
    <row r="396" spans="1:24" ht="12.75">
      <c r="A396" s="112"/>
      <c r="B396" s="113"/>
      <c r="C396" s="114"/>
      <c r="D396" s="114"/>
      <c r="E396" s="90"/>
      <c r="F396" s="115"/>
      <c r="G396" s="90"/>
      <c r="H396" s="90"/>
      <c r="I396" s="90"/>
      <c r="J396" s="90"/>
      <c r="K396" s="90"/>
      <c r="L396" s="90"/>
      <c r="M396" s="90"/>
      <c r="N396" s="90"/>
      <c r="O396" s="90"/>
      <c r="P396" s="90"/>
      <c r="Q396" s="90"/>
      <c r="R396" s="90"/>
      <c r="S396" s="90"/>
      <c r="T396" s="90"/>
      <c r="U396" s="90"/>
      <c r="V396" s="90"/>
      <c r="W396" s="90"/>
      <c r="X396" s="90"/>
    </row>
    <row r="397" spans="1:24" ht="12.75">
      <c r="A397" s="112"/>
      <c r="B397" s="113"/>
      <c r="C397" s="114"/>
      <c r="D397" s="114"/>
      <c r="E397" s="90"/>
      <c r="F397" s="115"/>
      <c r="G397" s="90"/>
      <c r="H397" s="90"/>
      <c r="I397" s="90"/>
      <c r="J397" s="90"/>
      <c r="K397" s="90"/>
      <c r="L397" s="90"/>
      <c r="M397" s="90"/>
      <c r="N397" s="90"/>
      <c r="O397" s="90"/>
      <c r="P397" s="90"/>
      <c r="Q397" s="90"/>
      <c r="R397" s="90"/>
      <c r="S397" s="90"/>
      <c r="T397" s="90"/>
      <c r="U397" s="90"/>
      <c r="V397" s="90"/>
      <c r="W397" s="90"/>
      <c r="X397" s="90"/>
    </row>
    <row r="398" spans="1:24" ht="12.75">
      <c r="A398" s="112"/>
      <c r="B398" s="113"/>
      <c r="C398" s="114"/>
      <c r="D398" s="114"/>
      <c r="E398" s="90"/>
      <c r="F398" s="115"/>
      <c r="G398" s="90"/>
      <c r="H398" s="90"/>
      <c r="I398" s="90"/>
      <c r="J398" s="90"/>
      <c r="K398" s="90"/>
      <c r="L398" s="90"/>
      <c r="M398" s="90"/>
      <c r="N398" s="90"/>
      <c r="O398" s="90"/>
      <c r="P398" s="90"/>
      <c r="Q398" s="90"/>
      <c r="R398" s="90"/>
      <c r="S398" s="90"/>
      <c r="T398" s="90"/>
      <c r="U398" s="90"/>
      <c r="V398" s="90"/>
      <c r="W398" s="90"/>
      <c r="X398" s="90"/>
    </row>
    <row r="399" spans="1:24" ht="12.75">
      <c r="A399" s="112"/>
      <c r="B399" s="113"/>
      <c r="C399" s="114"/>
      <c r="D399" s="114"/>
      <c r="E399" s="90"/>
      <c r="F399" s="115"/>
      <c r="G399" s="90"/>
      <c r="H399" s="90"/>
      <c r="I399" s="90"/>
      <c r="J399" s="90"/>
      <c r="K399" s="90"/>
      <c r="L399" s="90"/>
      <c r="M399" s="90"/>
      <c r="N399" s="90"/>
      <c r="O399" s="90"/>
      <c r="P399" s="90"/>
      <c r="Q399" s="90"/>
      <c r="R399" s="90"/>
      <c r="S399" s="90"/>
      <c r="T399" s="90"/>
      <c r="U399" s="90"/>
      <c r="V399" s="90"/>
      <c r="W399" s="90"/>
      <c r="X399" s="90"/>
    </row>
    <row r="400" spans="1:24" ht="12.75">
      <c r="A400" s="112"/>
      <c r="B400" s="113"/>
      <c r="C400" s="114"/>
      <c r="D400" s="114"/>
      <c r="E400" s="90"/>
      <c r="F400" s="115"/>
      <c r="G400" s="90"/>
      <c r="H400" s="90"/>
      <c r="I400" s="90"/>
      <c r="J400" s="90"/>
      <c r="K400" s="90"/>
      <c r="L400" s="90"/>
      <c r="M400" s="90"/>
      <c r="N400" s="90"/>
      <c r="O400" s="90"/>
      <c r="P400" s="90"/>
      <c r="Q400" s="90"/>
      <c r="R400" s="90"/>
      <c r="S400" s="90"/>
      <c r="T400" s="90"/>
      <c r="U400" s="90"/>
      <c r="V400" s="90"/>
      <c r="W400" s="90"/>
      <c r="X400" s="90"/>
    </row>
    <row r="401" spans="1:24" ht="12.75">
      <c r="A401" s="112"/>
      <c r="B401" s="113"/>
      <c r="C401" s="114"/>
      <c r="D401" s="114"/>
      <c r="E401" s="90"/>
      <c r="F401" s="115"/>
      <c r="G401" s="90"/>
      <c r="H401" s="90"/>
      <c r="I401" s="90"/>
      <c r="J401" s="90"/>
      <c r="K401" s="90"/>
      <c r="L401" s="90"/>
      <c r="M401" s="90"/>
      <c r="N401" s="90"/>
      <c r="O401" s="90"/>
      <c r="P401" s="90"/>
      <c r="Q401" s="90"/>
      <c r="R401" s="90"/>
      <c r="S401" s="90"/>
      <c r="T401" s="90"/>
      <c r="U401" s="90"/>
      <c r="V401" s="90"/>
      <c r="W401" s="90"/>
      <c r="X401" s="90"/>
    </row>
    <row r="402" spans="1:24" ht="12.75">
      <c r="A402" s="112"/>
      <c r="B402" s="113"/>
      <c r="C402" s="114"/>
      <c r="D402" s="114"/>
      <c r="E402" s="90"/>
      <c r="F402" s="115"/>
      <c r="G402" s="90"/>
      <c r="H402" s="90"/>
      <c r="I402" s="90"/>
      <c r="J402" s="90"/>
      <c r="K402" s="90"/>
      <c r="L402" s="90"/>
      <c r="M402" s="90"/>
      <c r="N402" s="90"/>
      <c r="O402" s="90"/>
      <c r="P402" s="90"/>
      <c r="Q402" s="90"/>
      <c r="R402" s="90"/>
      <c r="S402" s="90"/>
      <c r="T402" s="90"/>
      <c r="U402" s="90"/>
      <c r="V402" s="90"/>
      <c r="W402" s="90"/>
      <c r="X402" s="90"/>
    </row>
    <row r="403" spans="1:24" ht="12.75">
      <c r="A403" s="112"/>
      <c r="B403" s="113"/>
      <c r="C403" s="114"/>
      <c r="D403" s="114"/>
      <c r="E403" s="90"/>
      <c r="F403" s="115"/>
      <c r="G403" s="90"/>
      <c r="H403" s="90"/>
      <c r="I403" s="90"/>
      <c r="J403" s="90"/>
      <c r="K403" s="90"/>
      <c r="L403" s="90"/>
      <c r="M403" s="90"/>
      <c r="N403" s="90"/>
      <c r="O403" s="90"/>
      <c r="P403" s="90"/>
      <c r="Q403" s="90"/>
      <c r="R403" s="90"/>
      <c r="S403" s="90"/>
      <c r="T403" s="90"/>
      <c r="U403" s="90"/>
      <c r="V403" s="90"/>
      <c r="W403" s="90"/>
      <c r="X403" s="90"/>
    </row>
    <row r="404" spans="1:24" ht="12.75">
      <c r="A404" s="112"/>
      <c r="B404" s="113"/>
      <c r="C404" s="114"/>
      <c r="D404" s="114"/>
      <c r="E404" s="90"/>
      <c r="F404" s="115"/>
      <c r="G404" s="90"/>
      <c r="H404" s="90"/>
      <c r="I404" s="90"/>
      <c r="J404" s="90"/>
      <c r="K404" s="90"/>
      <c r="L404" s="90"/>
      <c r="M404" s="90"/>
      <c r="N404" s="90"/>
      <c r="O404" s="90"/>
      <c r="P404" s="90"/>
      <c r="Q404" s="90"/>
      <c r="R404" s="90"/>
      <c r="S404" s="90"/>
      <c r="T404" s="90"/>
      <c r="U404" s="90"/>
      <c r="V404" s="90"/>
      <c r="W404" s="90"/>
      <c r="X404" s="90"/>
    </row>
    <row r="405" spans="1:24" ht="12.75">
      <c r="A405" s="112"/>
      <c r="B405" s="113"/>
      <c r="C405" s="114"/>
      <c r="D405" s="114"/>
      <c r="E405" s="90"/>
      <c r="F405" s="115"/>
      <c r="G405" s="90"/>
      <c r="H405" s="90"/>
      <c r="I405" s="90"/>
      <c r="J405" s="90"/>
      <c r="K405" s="90"/>
      <c r="L405" s="90"/>
      <c r="M405" s="90"/>
      <c r="N405" s="90"/>
      <c r="O405" s="90"/>
      <c r="P405" s="90"/>
      <c r="Q405" s="90"/>
      <c r="R405" s="90"/>
      <c r="S405" s="90"/>
      <c r="T405" s="90"/>
      <c r="U405" s="90"/>
      <c r="V405" s="90"/>
      <c r="W405" s="90"/>
      <c r="X405" s="90"/>
    </row>
    <row r="406" spans="1:24" ht="12.75">
      <c r="A406" s="112"/>
      <c r="B406" s="113"/>
      <c r="C406" s="114"/>
      <c r="D406" s="114"/>
      <c r="E406" s="90"/>
      <c r="F406" s="115"/>
      <c r="G406" s="90"/>
      <c r="H406" s="90"/>
      <c r="I406" s="90"/>
      <c r="J406" s="90"/>
      <c r="K406" s="90"/>
      <c r="L406" s="90"/>
      <c r="M406" s="90"/>
      <c r="N406" s="90"/>
      <c r="O406" s="90"/>
      <c r="P406" s="90"/>
      <c r="Q406" s="90"/>
      <c r="R406" s="90"/>
      <c r="S406" s="90"/>
      <c r="T406" s="90"/>
      <c r="U406" s="90"/>
      <c r="V406" s="90"/>
      <c r="W406" s="90"/>
      <c r="X406" s="90"/>
    </row>
    <row r="407" spans="1:24" ht="12.75">
      <c r="A407" s="112"/>
      <c r="B407" s="113"/>
      <c r="C407" s="114"/>
      <c r="D407" s="114"/>
      <c r="E407" s="90"/>
      <c r="F407" s="115"/>
      <c r="G407" s="90"/>
      <c r="H407" s="90"/>
      <c r="I407" s="90"/>
      <c r="J407" s="90"/>
      <c r="K407" s="90"/>
      <c r="L407" s="90"/>
      <c r="M407" s="90"/>
      <c r="N407" s="90"/>
      <c r="O407" s="90"/>
      <c r="P407" s="90"/>
      <c r="Q407" s="90"/>
      <c r="R407" s="90"/>
      <c r="S407" s="90"/>
      <c r="T407" s="90"/>
      <c r="U407" s="90"/>
      <c r="V407" s="90"/>
      <c r="W407" s="90"/>
      <c r="X407" s="90"/>
    </row>
    <row r="408" spans="1:24" ht="12.75">
      <c r="A408" s="112"/>
      <c r="B408" s="113"/>
      <c r="C408" s="114"/>
      <c r="D408" s="114"/>
      <c r="E408" s="90"/>
      <c r="F408" s="115"/>
      <c r="G408" s="90"/>
      <c r="H408" s="90"/>
      <c r="I408" s="90"/>
      <c r="J408" s="90"/>
      <c r="K408" s="90"/>
      <c r="L408" s="90"/>
      <c r="M408" s="90"/>
      <c r="N408" s="90"/>
      <c r="O408" s="90"/>
      <c r="P408" s="90"/>
      <c r="Q408" s="90"/>
      <c r="R408" s="90"/>
      <c r="S408" s="90"/>
      <c r="T408" s="90"/>
      <c r="U408" s="90"/>
      <c r="V408" s="90"/>
      <c r="W408" s="90"/>
      <c r="X408" s="90"/>
    </row>
    <row r="409" spans="1:24" ht="12.75">
      <c r="A409" s="112"/>
      <c r="B409" s="113"/>
      <c r="C409" s="114"/>
      <c r="D409" s="114"/>
      <c r="E409" s="90"/>
      <c r="F409" s="115"/>
      <c r="G409" s="90"/>
      <c r="H409" s="90"/>
      <c r="I409" s="90"/>
      <c r="J409" s="90"/>
      <c r="K409" s="90"/>
      <c r="L409" s="90"/>
      <c r="M409" s="90"/>
      <c r="N409" s="90"/>
      <c r="O409" s="90"/>
      <c r="P409" s="90"/>
      <c r="Q409" s="90"/>
      <c r="R409" s="90"/>
      <c r="S409" s="90"/>
      <c r="T409" s="90"/>
      <c r="U409" s="90"/>
      <c r="V409" s="90"/>
      <c r="W409" s="90"/>
      <c r="X409" s="90"/>
    </row>
    <row r="410" spans="1:24" ht="12.75">
      <c r="A410" s="112"/>
      <c r="B410" s="113"/>
      <c r="C410" s="114"/>
      <c r="D410" s="114"/>
      <c r="E410" s="90"/>
      <c r="F410" s="115"/>
      <c r="G410" s="90"/>
      <c r="H410" s="90"/>
      <c r="I410" s="90"/>
      <c r="J410" s="90"/>
      <c r="K410" s="90"/>
      <c r="L410" s="90"/>
      <c r="M410" s="90"/>
      <c r="N410" s="90"/>
      <c r="O410" s="90"/>
      <c r="P410" s="90"/>
      <c r="Q410" s="90"/>
      <c r="R410" s="90"/>
      <c r="S410" s="90"/>
      <c r="T410" s="90"/>
      <c r="U410" s="90"/>
      <c r="V410" s="90"/>
      <c r="W410" s="90"/>
      <c r="X410" s="90"/>
    </row>
    <row r="411" spans="1:24" ht="12.75">
      <c r="A411" s="112"/>
      <c r="B411" s="113"/>
      <c r="C411" s="114"/>
      <c r="D411" s="114"/>
      <c r="E411" s="90"/>
      <c r="F411" s="115"/>
      <c r="G411" s="90"/>
      <c r="H411" s="90"/>
      <c r="I411" s="90"/>
      <c r="J411" s="90"/>
      <c r="K411" s="90"/>
      <c r="L411" s="90"/>
      <c r="M411" s="90"/>
      <c r="N411" s="90"/>
      <c r="O411" s="90"/>
      <c r="P411" s="90"/>
      <c r="Q411" s="90"/>
      <c r="R411" s="90"/>
      <c r="S411" s="90"/>
      <c r="T411" s="90"/>
      <c r="U411" s="90"/>
      <c r="V411" s="90"/>
      <c r="W411" s="90"/>
      <c r="X411" s="90"/>
    </row>
    <row r="412" spans="1:24" ht="12.75">
      <c r="A412" s="112"/>
      <c r="B412" s="113"/>
      <c r="C412" s="114"/>
      <c r="D412" s="114"/>
      <c r="E412" s="90"/>
      <c r="F412" s="115"/>
      <c r="G412" s="90"/>
      <c r="H412" s="90"/>
      <c r="I412" s="90"/>
      <c r="J412" s="90"/>
      <c r="K412" s="90"/>
      <c r="L412" s="90"/>
      <c r="M412" s="90"/>
      <c r="N412" s="90"/>
      <c r="O412" s="90"/>
      <c r="P412" s="90"/>
      <c r="Q412" s="90"/>
      <c r="R412" s="90"/>
      <c r="S412" s="90"/>
      <c r="T412" s="90"/>
      <c r="U412" s="90"/>
      <c r="V412" s="90"/>
      <c r="W412" s="90"/>
      <c r="X412" s="90"/>
    </row>
    <row r="413" spans="1:24" ht="12.75">
      <c r="A413" s="112"/>
      <c r="B413" s="113"/>
      <c r="C413" s="114"/>
      <c r="D413" s="114"/>
      <c r="E413" s="90"/>
      <c r="F413" s="115"/>
      <c r="G413" s="90"/>
      <c r="H413" s="90"/>
      <c r="I413" s="90"/>
      <c r="J413" s="90"/>
      <c r="K413" s="90"/>
      <c r="L413" s="90"/>
      <c r="M413" s="90"/>
      <c r="N413" s="90"/>
      <c r="O413" s="90"/>
      <c r="P413" s="90"/>
      <c r="Q413" s="90"/>
      <c r="R413" s="90"/>
      <c r="S413" s="90"/>
      <c r="T413" s="90"/>
      <c r="U413" s="90"/>
      <c r="V413" s="90"/>
      <c r="W413" s="90"/>
      <c r="X413" s="90"/>
    </row>
    <row r="414" spans="1:24" ht="12.75">
      <c r="A414" s="112"/>
      <c r="B414" s="113"/>
      <c r="C414" s="114"/>
      <c r="D414" s="114"/>
      <c r="E414" s="90"/>
      <c r="F414" s="115"/>
      <c r="G414" s="90"/>
      <c r="H414" s="90"/>
      <c r="I414" s="90"/>
      <c r="J414" s="90"/>
      <c r="K414" s="90"/>
      <c r="L414" s="90"/>
      <c r="M414" s="90"/>
      <c r="N414" s="90"/>
      <c r="O414" s="90"/>
      <c r="P414" s="90"/>
      <c r="Q414" s="90"/>
      <c r="R414" s="90"/>
      <c r="S414" s="90"/>
      <c r="T414" s="90"/>
      <c r="U414" s="90"/>
      <c r="V414" s="90"/>
      <c r="W414" s="90"/>
      <c r="X414" s="90"/>
    </row>
    <row r="415" spans="1:24" ht="12.75">
      <c r="A415" s="112"/>
      <c r="B415" s="113"/>
      <c r="C415" s="114"/>
      <c r="D415" s="114"/>
      <c r="E415" s="90"/>
      <c r="F415" s="115"/>
      <c r="G415" s="90"/>
      <c r="H415" s="90"/>
      <c r="I415" s="90"/>
      <c r="J415" s="90"/>
      <c r="K415" s="90"/>
      <c r="L415" s="90"/>
      <c r="M415" s="90"/>
      <c r="N415" s="90"/>
      <c r="O415" s="90"/>
      <c r="P415" s="90"/>
      <c r="Q415" s="90"/>
      <c r="R415" s="90"/>
      <c r="S415" s="90"/>
      <c r="T415" s="90"/>
      <c r="U415" s="90"/>
      <c r="V415" s="90"/>
      <c r="W415" s="90"/>
      <c r="X415" s="90"/>
    </row>
    <row r="416" spans="1:24" ht="12.75">
      <c r="A416" s="112"/>
      <c r="B416" s="113"/>
      <c r="C416" s="114"/>
      <c r="D416" s="114"/>
      <c r="E416" s="90"/>
      <c r="F416" s="115"/>
      <c r="G416" s="90"/>
      <c r="H416" s="90"/>
      <c r="I416" s="90"/>
      <c r="J416" s="90"/>
      <c r="K416" s="90"/>
      <c r="L416" s="90"/>
      <c r="M416" s="90"/>
      <c r="N416" s="90"/>
      <c r="O416" s="90"/>
      <c r="P416" s="90"/>
      <c r="Q416" s="90"/>
      <c r="R416" s="90"/>
      <c r="S416" s="90"/>
      <c r="T416" s="90"/>
      <c r="U416" s="90"/>
      <c r="V416" s="90"/>
      <c r="W416" s="90"/>
      <c r="X416" s="90"/>
    </row>
    <row r="417" spans="1:24" ht="12.75">
      <c r="A417" s="112"/>
      <c r="B417" s="113"/>
      <c r="C417" s="114"/>
      <c r="D417" s="114"/>
      <c r="E417" s="90"/>
      <c r="F417" s="115"/>
      <c r="G417" s="90"/>
      <c r="H417" s="90"/>
      <c r="I417" s="90"/>
      <c r="J417" s="90"/>
      <c r="K417" s="90"/>
      <c r="L417" s="90"/>
      <c r="M417" s="90"/>
      <c r="N417" s="90"/>
      <c r="O417" s="90"/>
      <c r="P417" s="90"/>
      <c r="Q417" s="90"/>
      <c r="R417" s="90"/>
      <c r="S417" s="90"/>
      <c r="T417" s="90"/>
      <c r="U417" s="90"/>
      <c r="V417" s="90"/>
      <c r="W417" s="90"/>
      <c r="X417" s="90"/>
    </row>
    <row r="418" spans="1:24" ht="12.75">
      <c r="A418" s="112"/>
      <c r="B418" s="113"/>
      <c r="C418" s="114"/>
      <c r="D418" s="114"/>
      <c r="E418" s="90"/>
      <c r="F418" s="115"/>
      <c r="G418" s="90"/>
      <c r="H418" s="90"/>
      <c r="I418" s="90"/>
      <c r="J418" s="90"/>
      <c r="K418" s="90"/>
      <c r="L418" s="90"/>
      <c r="M418" s="90"/>
      <c r="N418" s="90"/>
      <c r="O418" s="90"/>
      <c r="P418" s="90"/>
      <c r="Q418" s="90"/>
      <c r="R418" s="90"/>
      <c r="S418" s="90"/>
      <c r="T418" s="90"/>
      <c r="U418" s="90"/>
      <c r="V418" s="90"/>
      <c r="W418" s="90"/>
      <c r="X418" s="90"/>
    </row>
    <row r="419" spans="1:24" ht="12.75">
      <c r="A419" s="112"/>
      <c r="B419" s="113"/>
      <c r="C419" s="114"/>
      <c r="D419" s="114"/>
      <c r="E419" s="90"/>
      <c r="F419" s="115"/>
      <c r="G419" s="90"/>
      <c r="H419" s="90"/>
      <c r="I419" s="90"/>
      <c r="J419" s="90"/>
      <c r="K419" s="90"/>
      <c r="L419" s="90"/>
      <c r="M419" s="90"/>
      <c r="N419" s="90"/>
      <c r="O419" s="90"/>
      <c r="P419" s="90"/>
      <c r="Q419" s="90"/>
      <c r="R419" s="90"/>
      <c r="S419" s="90"/>
      <c r="T419" s="90"/>
      <c r="U419" s="90"/>
      <c r="V419" s="90"/>
      <c r="W419" s="90"/>
      <c r="X419" s="90"/>
    </row>
    <row r="420" spans="1:24" ht="12.75">
      <c r="A420" s="112"/>
      <c r="B420" s="113"/>
      <c r="C420" s="114"/>
      <c r="D420" s="114"/>
      <c r="E420" s="90"/>
      <c r="F420" s="115"/>
      <c r="G420" s="90"/>
      <c r="H420" s="90"/>
      <c r="I420" s="90"/>
      <c r="J420" s="90"/>
      <c r="K420" s="90"/>
      <c r="L420" s="90"/>
      <c r="M420" s="90"/>
      <c r="N420" s="90"/>
      <c r="O420" s="90"/>
      <c r="P420" s="90"/>
      <c r="Q420" s="90"/>
      <c r="R420" s="90"/>
      <c r="S420" s="90"/>
      <c r="T420" s="90"/>
      <c r="U420" s="90"/>
      <c r="V420" s="90"/>
      <c r="W420" s="90"/>
      <c r="X420" s="90"/>
    </row>
    <row r="421" spans="1:24" ht="12.75">
      <c r="A421" s="112"/>
      <c r="B421" s="113"/>
      <c r="C421" s="114"/>
      <c r="D421" s="114"/>
      <c r="E421" s="90"/>
      <c r="F421" s="115"/>
      <c r="G421" s="90"/>
      <c r="H421" s="90"/>
      <c r="I421" s="90"/>
      <c r="J421" s="90"/>
      <c r="K421" s="90"/>
      <c r="L421" s="90"/>
      <c r="M421" s="90"/>
      <c r="N421" s="90"/>
      <c r="O421" s="90"/>
      <c r="P421" s="90"/>
      <c r="Q421" s="90"/>
      <c r="R421" s="90"/>
      <c r="S421" s="90"/>
      <c r="T421" s="90"/>
      <c r="U421" s="90"/>
      <c r="V421" s="90"/>
      <c r="W421" s="90"/>
      <c r="X421" s="90"/>
    </row>
    <row r="422" spans="1:24" ht="12.75">
      <c r="A422" s="112"/>
      <c r="B422" s="113"/>
      <c r="C422" s="114"/>
      <c r="D422" s="114"/>
      <c r="E422" s="90"/>
      <c r="F422" s="115"/>
      <c r="G422" s="90"/>
      <c r="H422" s="90"/>
      <c r="I422" s="90"/>
      <c r="J422" s="90"/>
      <c r="K422" s="90"/>
      <c r="L422" s="90"/>
      <c r="M422" s="90"/>
      <c r="N422" s="90"/>
      <c r="O422" s="90"/>
      <c r="P422" s="90"/>
      <c r="Q422" s="90"/>
      <c r="R422" s="90"/>
      <c r="S422" s="90"/>
      <c r="T422" s="90"/>
      <c r="U422" s="90"/>
      <c r="V422" s="90"/>
      <c r="W422" s="90"/>
      <c r="X422" s="90"/>
    </row>
    <row r="423" spans="1:24" ht="12.75">
      <c r="A423" s="112"/>
      <c r="B423" s="113"/>
      <c r="C423" s="114"/>
      <c r="D423" s="114"/>
      <c r="E423" s="90"/>
      <c r="F423" s="115"/>
      <c r="G423" s="90"/>
      <c r="H423" s="90"/>
      <c r="I423" s="90"/>
      <c r="J423" s="90"/>
      <c r="K423" s="90"/>
      <c r="L423" s="90"/>
      <c r="M423" s="90"/>
      <c r="N423" s="90"/>
      <c r="O423" s="90"/>
      <c r="P423" s="90"/>
      <c r="Q423" s="90"/>
      <c r="R423" s="90"/>
      <c r="S423" s="90"/>
      <c r="T423" s="90"/>
      <c r="U423" s="90"/>
      <c r="V423" s="90"/>
      <c r="W423" s="90"/>
      <c r="X423" s="90"/>
    </row>
    <row r="424" spans="1:24" ht="12.75">
      <c r="A424" s="112"/>
      <c r="B424" s="113"/>
      <c r="C424" s="114"/>
      <c r="D424" s="114"/>
      <c r="E424" s="90"/>
      <c r="F424" s="115"/>
      <c r="G424" s="90"/>
      <c r="H424" s="90"/>
      <c r="I424" s="90"/>
      <c r="J424" s="90"/>
      <c r="K424" s="90"/>
      <c r="L424" s="90"/>
      <c r="M424" s="90"/>
      <c r="N424" s="90"/>
      <c r="O424" s="90"/>
      <c r="P424" s="90"/>
      <c r="Q424" s="90"/>
      <c r="R424" s="90"/>
      <c r="S424" s="90"/>
      <c r="T424" s="90"/>
      <c r="U424" s="90"/>
      <c r="V424" s="90"/>
      <c r="W424" s="90"/>
      <c r="X424" s="90"/>
    </row>
    <row r="425" spans="1:24" ht="12.75">
      <c r="A425" s="112"/>
      <c r="B425" s="113"/>
      <c r="C425" s="114"/>
      <c r="D425" s="114"/>
      <c r="E425" s="90"/>
      <c r="F425" s="115"/>
      <c r="G425" s="90"/>
      <c r="H425" s="90"/>
      <c r="I425" s="90"/>
      <c r="J425" s="90"/>
      <c r="K425" s="90"/>
      <c r="L425" s="90"/>
      <c r="M425" s="90"/>
      <c r="N425" s="90"/>
      <c r="O425" s="90"/>
      <c r="P425" s="90"/>
      <c r="Q425" s="90"/>
      <c r="R425" s="90"/>
      <c r="S425" s="90"/>
      <c r="T425" s="90"/>
      <c r="U425" s="90"/>
      <c r="V425" s="90"/>
      <c r="W425" s="90"/>
      <c r="X425" s="90"/>
    </row>
    <row r="426" spans="1:24" ht="12.75">
      <c r="A426" s="112"/>
      <c r="B426" s="113"/>
      <c r="C426" s="114"/>
      <c r="D426" s="114"/>
      <c r="E426" s="90"/>
      <c r="F426" s="115"/>
      <c r="G426" s="90"/>
      <c r="H426" s="90"/>
      <c r="I426" s="90"/>
      <c r="J426" s="90"/>
      <c r="K426" s="90"/>
      <c r="L426" s="90"/>
      <c r="M426" s="90"/>
      <c r="N426" s="90"/>
      <c r="O426" s="90"/>
      <c r="P426" s="90"/>
      <c r="Q426" s="90"/>
      <c r="R426" s="90"/>
      <c r="S426" s="90"/>
      <c r="T426" s="90"/>
      <c r="U426" s="90"/>
      <c r="V426" s="90"/>
      <c r="W426" s="90"/>
      <c r="X426" s="90"/>
    </row>
    <row r="427" spans="1:24" ht="12.75">
      <c r="A427" s="112"/>
      <c r="B427" s="113"/>
      <c r="C427" s="114"/>
      <c r="D427" s="114"/>
      <c r="E427" s="90"/>
      <c r="F427" s="115"/>
      <c r="G427" s="90"/>
      <c r="H427" s="90"/>
      <c r="I427" s="90"/>
      <c r="J427" s="90"/>
      <c r="K427" s="90"/>
      <c r="L427" s="90"/>
      <c r="M427" s="90"/>
      <c r="N427" s="90"/>
      <c r="O427" s="90"/>
      <c r="P427" s="90"/>
      <c r="Q427" s="90"/>
      <c r="R427" s="90"/>
      <c r="S427" s="90"/>
      <c r="T427" s="90"/>
      <c r="U427" s="90"/>
      <c r="V427" s="90"/>
      <c r="W427" s="90"/>
      <c r="X427" s="90"/>
    </row>
    <row r="428" spans="1:24" ht="12.75">
      <c r="A428" s="112"/>
      <c r="B428" s="113"/>
      <c r="C428" s="114"/>
      <c r="D428" s="114"/>
      <c r="E428" s="90"/>
      <c r="F428" s="115"/>
      <c r="G428" s="90"/>
      <c r="H428" s="90"/>
      <c r="I428" s="90"/>
      <c r="J428" s="90"/>
      <c r="K428" s="90"/>
      <c r="L428" s="90"/>
      <c r="M428" s="90"/>
      <c r="N428" s="90"/>
      <c r="O428" s="90"/>
      <c r="P428" s="90"/>
      <c r="Q428" s="90"/>
      <c r="R428" s="90"/>
      <c r="S428" s="90"/>
      <c r="T428" s="90"/>
      <c r="U428" s="90"/>
      <c r="V428" s="90"/>
      <c r="W428" s="90"/>
      <c r="X428" s="90"/>
    </row>
    <row r="429" spans="1:24" ht="12.75">
      <c r="A429" s="112"/>
      <c r="B429" s="113"/>
      <c r="C429" s="114"/>
      <c r="D429" s="114"/>
      <c r="E429" s="90"/>
      <c r="F429" s="115"/>
      <c r="G429" s="90"/>
      <c r="H429" s="90"/>
      <c r="I429" s="90"/>
      <c r="J429" s="90"/>
      <c r="K429" s="90"/>
      <c r="L429" s="90"/>
      <c r="M429" s="90"/>
      <c r="N429" s="90"/>
      <c r="O429" s="90"/>
      <c r="P429" s="90"/>
      <c r="Q429" s="90"/>
      <c r="R429" s="90"/>
      <c r="S429" s="90"/>
      <c r="T429" s="90"/>
      <c r="U429" s="90"/>
      <c r="V429" s="90"/>
      <c r="W429" s="90"/>
      <c r="X429" s="90"/>
    </row>
    <row r="430" spans="1:24" ht="12.75">
      <c r="A430" s="112"/>
      <c r="B430" s="113"/>
      <c r="C430" s="114"/>
      <c r="D430" s="114"/>
      <c r="E430" s="90"/>
      <c r="F430" s="115"/>
      <c r="G430" s="90"/>
      <c r="H430" s="90"/>
      <c r="I430" s="90"/>
      <c r="J430" s="90"/>
      <c r="K430" s="90"/>
      <c r="L430" s="90"/>
      <c r="M430" s="90"/>
      <c r="N430" s="90"/>
      <c r="O430" s="90"/>
      <c r="P430" s="90"/>
      <c r="Q430" s="90"/>
      <c r="R430" s="90"/>
      <c r="S430" s="90"/>
      <c r="T430" s="90"/>
      <c r="U430" s="90"/>
      <c r="V430" s="90"/>
      <c r="W430" s="90"/>
      <c r="X430" s="90"/>
    </row>
    <row r="431" spans="1:24" ht="12.75">
      <c r="A431" s="112"/>
      <c r="B431" s="113"/>
      <c r="C431" s="114"/>
      <c r="D431" s="114"/>
      <c r="E431" s="90"/>
      <c r="F431" s="115"/>
      <c r="G431" s="90"/>
      <c r="H431" s="90"/>
      <c r="I431" s="90"/>
      <c r="J431" s="90"/>
      <c r="K431" s="90"/>
      <c r="L431" s="90"/>
      <c r="M431" s="90"/>
      <c r="N431" s="90"/>
      <c r="O431" s="90"/>
      <c r="P431" s="90"/>
      <c r="Q431" s="90"/>
      <c r="R431" s="90"/>
      <c r="S431" s="90"/>
      <c r="T431" s="90"/>
      <c r="U431" s="90"/>
      <c r="V431" s="90"/>
      <c r="W431" s="90"/>
      <c r="X431" s="90"/>
    </row>
    <row r="432" spans="1:24" ht="12.75">
      <c r="A432" s="112"/>
      <c r="B432" s="113"/>
      <c r="C432" s="114"/>
      <c r="D432" s="114"/>
      <c r="E432" s="90"/>
      <c r="F432" s="115"/>
      <c r="G432" s="90"/>
      <c r="H432" s="90"/>
      <c r="I432" s="90"/>
      <c r="J432" s="90"/>
      <c r="K432" s="90"/>
      <c r="L432" s="90"/>
      <c r="M432" s="90"/>
      <c r="N432" s="90"/>
      <c r="O432" s="90"/>
      <c r="P432" s="90"/>
      <c r="Q432" s="90"/>
      <c r="R432" s="90"/>
      <c r="S432" s="90"/>
      <c r="T432" s="90"/>
      <c r="U432" s="90"/>
      <c r="V432" s="90"/>
      <c r="W432" s="90"/>
      <c r="X432" s="90"/>
    </row>
    <row r="433" spans="1:24" ht="12.75">
      <c r="A433" s="112"/>
      <c r="B433" s="113"/>
      <c r="C433" s="114"/>
      <c r="D433" s="114"/>
      <c r="E433" s="90"/>
      <c r="F433" s="115"/>
      <c r="G433" s="90"/>
      <c r="H433" s="90"/>
      <c r="I433" s="90"/>
      <c r="J433" s="90"/>
      <c r="K433" s="90"/>
      <c r="L433" s="90"/>
      <c r="M433" s="90"/>
      <c r="N433" s="90"/>
      <c r="O433" s="90"/>
      <c r="P433" s="90"/>
      <c r="Q433" s="90"/>
      <c r="R433" s="90"/>
      <c r="S433" s="90"/>
      <c r="T433" s="90"/>
      <c r="U433" s="90"/>
      <c r="V433" s="90"/>
      <c r="W433" s="90"/>
      <c r="X433" s="90"/>
    </row>
    <row r="434" spans="1:24" ht="12.75">
      <c r="A434" s="112"/>
      <c r="B434" s="113"/>
      <c r="C434" s="114"/>
      <c r="D434" s="114"/>
      <c r="E434" s="90"/>
      <c r="F434" s="115"/>
      <c r="G434" s="90"/>
      <c r="H434" s="90"/>
      <c r="I434" s="90"/>
      <c r="J434" s="90"/>
      <c r="K434" s="90"/>
      <c r="L434" s="90"/>
      <c r="M434" s="90"/>
      <c r="N434" s="90"/>
      <c r="O434" s="90"/>
      <c r="P434" s="90"/>
      <c r="Q434" s="90"/>
      <c r="R434" s="90"/>
      <c r="S434" s="90"/>
      <c r="T434" s="90"/>
      <c r="U434" s="90"/>
      <c r="V434" s="90"/>
      <c r="W434" s="90"/>
      <c r="X434" s="90"/>
    </row>
    <row r="435" spans="1:24" ht="12.75">
      <c r="A435" s="112"/>
      <c r="B435" s="113"/>
      <c r="C435" s="114"/>
      <c r="D435" s="114"/>
      <c r="E435" s="90"/>
      <c r="F435" s="115"/>
      <c r="G435" s="90"/>
      <c r="H435" s="90"/>
      <c r="I435" s="90"/>
      <c r="J435" s="90"/>
      <c r="K435" s="90"/>
      <c r="L435" s="90"/>
      <c r="M435" s="90"/>
      <c r="N435" s="90"/>
      <c r="O435" s="90"/>
      <c r="P435" s="90"/>
      <c r="Q435" s="90"/>
      <c r="R435" s="90"/>
      <c r="S435" s="90"/>
      <c r="T435" s="90"/>
      <c r="U435" s="90"/>
      <c r="V435" s="90"/>
      <c r="W435" s="90"/>
      <c r="X435" s="90"/>
    </row>
    <row r="436" spans="1:24" ht="12.75">
      <c r="A436" s="112"/>
      <c r="B436" s="113"/>
      <c r="C436" s="114"/>
      <c r="D436" s="114"/>
      <c r="E436" s="90"/>
      <c r="F436" s="115"/>
      <c r="G436" s="90"/>
      <c r="H436" s="90"/>
      <c r="I436" s="90"/>
      <c r="J436" s="90"/>
      <c r="K436" s="90"/>
      <c r="L436" s="90"/>
      <c r="M436" s="90"/>
      <c r="N436" s="90"/>
      <c r="O436" s="90"/>
      <c r="P436" s="90"/>
      <c r="Q436" s="90"/>
      <c r="R436" s="90"/>
      <c r="S436" s="90"/>
      <c r="T436" s="90"/>
      <c r="U436" s="90"/>
      <c r="V436" s="90"/>
      <c r="W436" s="90"/>
      <c r="X436" s="90"/>
    </row>
    <row r="437" spans="1:24" ht="12.75">
      <c r="A437" s="112"/>
      <c r="B437" s="113"/>
      <c r="C437" s="114"/>
      <c r="D437" s="114"/>
      <c r="E437" s="90"/>
      <c r="F437" s="115"/>
      <c r="G437" s="90"/>
      <c r="H437" s="90"/>
      <c r="I437" s="90"/>
      <c r="J437" s="90"/>
      <c r="K437" s="90"/>
      <c r="L437" s="90"/>
      <c r="M437" s="90"/>
      <c r="N437" s="90"/>
      <c r="O437" s="90"/>
      <c r="P437" s="90"/>
      <c r="Q437" s="90"/>
      <c r="R437" s="90"/>
      <c r="S437" s="90"/>
      <c r="T437" s="90"/>
      <c r="U437" s="90"/>
      <c r="V437" s="90"/>
      <c r="W437" s="90"/>
      <c r="X437" s="90"/>
    </row>
    <row r="438" spans="1:24" ht="12.75">
      <c r="A438" s="112"/>
      <c r="B438" s="113"/>
      <c r="C438" s="114"/>
      <c r="D438" s="114"/>
      <c r="E438" s="90"/>
      <c r="F438" s="115"/>
      <c r="G438" s="90"/>
      <c r="H438" s="90"/>
      <c r="I438" s="90"/>
      <c r="J438" s="90"/>
      <c r="K438" s="90"/>
      <c r="L438" s="90"/>
      <c r="M438" s="90"/>
      <c r="N438" s="90"/>
      <c r="O438" s="90"/>
      <c r="P438" s="90"/>
      <c r="Q438" s="90"/>
      <c r="R438" s="90"/>
      <c r="S438" s="90"/>
      <c r="T438" s="90"/>
      <c r="U438" s="90"/>
      <c r="V438" s="90"/>
      <c r="W438" s="90"/>
      <c r="X438" s="90"/>
    </row>
    <row r="439" spans="1:24" ht="12.75">
      <c r="A439" s="112"/>
      <c r="B439" s="113"/>
      <c r="C439" s="114"/>
      <c r="D439" s="114"/>
      <c r="E439" s="90"/>
      <c r="F439" s="115"/>
      <c r="G439" s="90"/>
      <c r="H439" s="90"/>
      <c r="I439" s="90"/>
      <c r="J439" s="90"/>
      <c r="K439" s="90"/>
      <c r="L439" s="90"/>
      <c r="M439" s="90"/>
      <c r="N439" s="90"/>
      <c r="O439" s="90"/>
      <c r="P439" s="90"/>
      <c r="Q439" s="90"/>
      <c r="R439" s="90"/>
      <c r="S439" s="90"/>
      <c r="T439" s="90"/>
      <c r="U439" s="90"/>
      <c r="V439" s="90"/>
      <c r="W439" s="90"/>
      <c r="X439" s="90"/>
    </row>
    <row r="440" spans="1:24" ht="12.75">
      <c r="A440" s="112"/>
      <c r="B440" s="113"/>
      <c r="C440" s="114"/>
      <c r="D440" s="114"/>
      <c r="E440" s="90"/>
      <c r="F440" s="115"/>
      <c r="G440" s="90"/>
      <c r="H440" s="90"/>
      <c r="I440" s="90"/>
      <c r="J440" s="90"/>
      <c r="K440" s="90"/>
      <c r="L440" s="90"/>
      <c r="M440" s="90"/>
      <c r="N440" s="90"/>
      <c r="O440" s="90"/>
      <c r="P440" s="90"/>
      <c r="Q440" s="90"/>
      <c r="R440" s="90"/>
      <c r="S440" s="90"/>
      <c r="T440" s="90"/>
      <c r="U440" s="90"/>
      <c r="V440" s="90"/>
      <c r="W440" s="90"/>
      <c r="X440" s="90"/>
    </row>
    <row r="441" spans="1:24" ht="12.75">
      <c r="A441" s="112"/>
      <c r="B441" s="113"/>
      <c r="C441" s="114"/>
      <c r="D441" s="114"/>
      <c r="E441" s="90"/>
      <c r="F441" s="115"/>
      <c r="G441" s="90"/>
      <c r="H441" s="90"/>
      <c r="I441" s="90"/>
      <c r="J441" s="90"/>
      <c r="K441" s="90"/>
      <c r="L441" s="90"/>
      <c r="M441" s="90"/>
      <c r="N441" s="90"/>
      <c r="O441" s="90"/>
      <c r="P441" s="90"/>
      <c r="Q441" s="90"/>
      <c r="R441" s="90"/>
      <c r="S441" s="90"/>
      <c r="T441" s="90"/>
      <c r="U441" s="90"/>
      <c r="V441" s="90"/>
      <c r="W441" s="90"/>
      <c r="X441" s="90"/>
    </row>
    <row r="442" spans="1:24" ht="12.75">
      <c r="A442" s="112"/>
      <c r="B442" s="113"/>
      <c r="C442" s="114"/>
      <c r="D442" s="114"/>
      <c r="E442" s="90"/>
      <c r="F442" s="115"/>
      <c r="G442" s="90"/>
      <c r="H442" s="90"/>
      <c r="I442" s="90"/>
      <c r="J442" s="90"/>
      <c r="K442" s="90"/>
      <c r="L442" s="90"/>
      <c r="M442" s="90"/>
      <c r="N442" s="90"/>
      <c r="O442" s="90"/>
      <c r="P442" s="90"/>
      <c r="Q442" s="90"/>
      <c r="R442" s="90"/>
      <c r="S442" s="90"/>
      <c r="T442" s="90"/>
      <c r="U442" s="90"/>
      <c r="V442" s="90"/>
      <c r="W442" s="90"/>
      <c r="X442" s="90"/>
    </row>
    <row r="443" spans="1:24" ht="12.75">
      <c r="A443" s="112"/>
      <c r="B443" s="113"/>
      <c r="C443" s="114"/>
      <c r="D443" s="114"/>
      <c r="E443" s="90"/>
      <c r="F443" s="115"/>
      <c r="G443" s="90"/>
      <c r="H443" s="90"/>
      <c r="I443" s="90"/>
      <c r="J443" s="90"/>
      <c r="K443" s="90"/>
      <c r="L443" s="90"/>
      <c r="M443" s="90"/>
      <c r="N443" s="90"/>
      <c r="O443" s="90"/>
      <c r="P443" s="90"/>
      <c r="Q443" s="90"/>
      <c r="R443" s="90"/>
      <c r="S443" s="90"/>
      <c r="T443" s="90"/>
      <c r="U443" s="90"/>
      <c r="V443" s="90"/>
      <c r="W443" s="90"/>
      <c r="X443" s="90"/>
    </row>
    <row r="444" spans="1:24" ht="12.75">
      <c r="A444" s="112"/>
      <c r="B444" s="113"/>
      <c r="C444" s="114"/>
      <c r="D444" s="114"/>
      <c r="E444" s="90"/>
      <c r="F444" s="115"/>
      <c r="G444" s="90"/>
      <c r="H444" s="90"/>
      <c r="I444" s="90"/>
      <c r="J444" s="90"/>
      <c r="K444" s="90"/>
      <c r="L444" s="90"/>
      <c r="M444" s="90"/>
      <c r="N444" s="90"/>
      <c r="O444" s="90"/>
      <c r="P444" s="90"/>
      <c r="Q444" s="90"/>
      <c r="R444" s="90"/>
      <c r="S444" s="90"/>
      <c r="T444" s="90"/>
      <c r="U444" s="90"/>
      <c r="V444" s="90"/>
      <c r="W444" s="90"/>
      <c r="X444" s="90"/>
    </row>
    <row r="445" spans="1:24" ht="12.75">
      <c r="A445" s="112"/>
      <c r="B445" s="113"/>
      <c r="C445" s="114"/>
      <c r="D445" s="114"/>
      <c r="E445" s="90"/>
      <c r="F445" s="115"/>
      <c r="G445" s="90"/>
      <c r="H445" s="90"/>
      <c r="I445" s="90"/>
      <c r="J445" s="90"/>
      <c r="K445" s="90"/>
      <c r="L445" s="90"/>
      <c r="M445" s="90"/>
      <c r="N445" s="90"/>
      <c r="O445" s="90"/>
      <c r="P445" s="90"/>
      <c r="Q445" s="90"/>
      <c r="R445" s="90"/>
      <c r="S445" s="90"/>
      <c r="T445" s="90"/>
      <c r="U445" s="90"/>
      <c r="V445" s="90"/>
      <c r="W445" s="90"/>
      <c r="X445" s="90"/>
    </row>
    <row r="446" spans="1:24" ht="12.75">
      <c r="A446" s="112"/>
      <c r="B446" s="113"/>
      <c r="C446" s="114"/>
      <c r="D446" s="114"/>
      <c r="E446" s="90"/>
      <c r="F446" s="115"/>
      <c r="G446" s="90"/>
      <c r="H446" s="90"/>
      <c r="I446" s="90"/>
      <c r="J446" s="90"/>
      <c r="K446" s="90"/>
      <c r="L446" s="90"/>
      <c r="M446" s="90"/>
      <c r="N446" s="90"/>
      <c r="O446" s="90"/>
      <c r="P446" s="90"/>
      <c r="Q446" s="90"/>
      <c r="R446" s="90"/>
      <c r="S446" s="90"/>
      <c r="T446" s="90"/>
      <c r="U446" s="90"/>
      <c r="V446" s="90"/>
      <c r="W446" s="90"/>
      <c r="X446" s="90"/>
    </row>
    <row r="447" spans="1:24" ht="12.75">
      <c r="A447" s="112"/>
      <c r="B447" s="113"/>
      <c r="C447" s="114"/>
      <c r="D447" s="114"/>
      <c r="E447" s="90"/>
      <c r="F447" s="115"/>
      <c r="G447" s="90"/>
      <c r="H447" s="90"/>
      <c r="I447" s="90"/>
      <c r="J447" s="90"/>
      <c r="K447" s="90"/>
      <c r="L447" s="90"/>
      <c r="M447" s="90"/>
      <c r="N447" s="90"/>
      <c r="O447" s="90"/>
      <c r="P447" s="90"/>
      <c r="Q447" s="90"/>
      <c r="R447" s="90"/>
      <c r="S447" s="90"/>
      <c r="T447" s="90"/>
      <c r="U447" s="90"/>
      <c r="V447" s="90"/>
      <c r="W447" s="90"/>
      <c r="X447" s="90"/>
    </row>
    <row r="448" spans="1:24" ht="12.75">
      <c r="A448" s="112"/>
      <c r="B448" s="113"/>
      <c r="C448" s="114"/>
      <c r="D448" s="114"/>
      <c r="E448" s="90"/>
      <c r="F448" s="115"/>
      <c r="G448" s="90"/>
      <c r="H448" s="90"/>
      <c r="I448" s="90"/>
      <c r="J448" s="90"/>
      <c r="K448" s="90"/>
      <c r="L448" s="90"/>
      <c r="M448" s="90"/>
      <c r="N448" s="90"/>
      <c r="O448" s="90"/>
      <c r="P448" s="90"/>
      <c r="Q448" s="90"/>
      <c r="R448" s="90"/>
      <c r="S448" s="90"/>
      <c r="T448" s="90"/>
      <c r="U448" s="90"/>
      <c r="V448" s="90"/>
      <c r="W448" s="90"/>
      <c r="X448" s="90"/>
    </row>
    <row r="449" spans="1:24" ht="12.75">
      <c r="A449" s="112"/>
      <c r="B449" s="113"/>
      <c r="C449" s="114"/>
      <c r="D449" s="114"/>
      <c r="E449" s="90"/>
      <c r="F449" s="115"/>
      <c r="G449" s="90"/>
      <c r="H449" s="90"/>
      <c r="I449" s="90"/>
      <c r="J449" s="90"/>
      <c r="K449" s="90"/>
      <c r="L449" s="90"/>
      <c r="M449" s="90"/>
      <c r="N449" s="90"/>
      <c r="O449" s="90"/>
      <c r="P449" s="90"/>
      <c r="Q449" s="90"/>
      <c r="R449" s="90"/>
      <c r="S449" s="90"/>
      <c r="T449" s="90"/>
      <c r="U449" s="90"/>
      <c r="V449" s="90"/>
      <c r="W449" s="90"/>
      <c r="X449" s="90"/>
    </row>
    <row r="450" spans="1:24" ht="12.75">
      <c r="A450" s="112"/>
      <c r="B450" s="113"/>
      <c r="C450" s="114"/>
      <c r="D450" s="114"/>
      <c r="E450" s="90"/>
      <c r="F450" s="115"/>
      <c r="G450" s="90"/>
      <c r="H450" s="90"/>
      <c r="I450" s="90"/>
      <c r="J450" s="90"/>
      <c r="K450" s="90"/>
      <c r="L450" s="90"/>
      <c r="M450" s="90"/>
      <c r="N450" s="90"/>
      <c r="O450" s="90"/>
      <c r="P450" s="90"/>
      <c r="Q450" s="90"/>
      <c r="R450" s="90"/>
      <c r="S450" s="90"/>
      <c r="T450" s="90"/>
      <c r="U450" s="90"/>
      <c r="V450" s="90"/>
      <c r="W450" s="90"/>
      <c r="X450" s="90"/>
    </row>
    <row r="451" spans="1:24" ht="12.75">
      <c r="A451" s="112"/>
      <c r="B451" s="113"/>
      <c r="C451" s="114"/>
      <c r="D451" s="114"/>
      <c r="E451" s="90"/>
      <c r="F451" s="115"/>
      <c r="G451" s="90"/>
      <c r="H451" s="90"/>
      <c r="I451" s="90"/>
      <c r="J451" s="90"/>
      <c r="K451" s="90"/>
      <c r="L451" s="90"/>
      <c r="M451" s="90"/>
      <c r="N451" s="90"/>
      <c r="O451" s="90"/>
      <c r="P451" s="90"/>
      <c r="Q451" s="90"/>
      <c r="R451" s="90"/>
      <c r="S451" s="90"/>
      <c r="T451" s="90"/>
      <c r="U451" s="90"/>
      <c r="V451" s="90"/>
      <c r="W451" s="90"/>
      <c r="X451" s="90"/>
    </row>
    <row r="452" spans="1:24" ht="12.75">
      <c r="A452" s="112"/>
      <c r="B452" s="113"/>
      <c r="C452" s="114"/>
      <c r="D452" s="114"/>
      <c r="E452" s="90"/>
      <c r="F452" s="115"/>
      <c r="G452" s="90"/>
      <c r="H452" s="90"/>
      <c r="I452" s="90"/>
      <c r="J452" s="90"/>
      <c r="K452" s="90"/>
      <c r="L452" s="90"/>
      <c r="M452" s="90"/>
      <c r="N452" s="90"/>
      <c r="O452" s="90"/>
      <c r="P452" s="90"/>
      <c r="Q452" s="90"/>
      <c r="R452" s="90"/>
      <c r="S452" s="90"/>
      <c r="T452" s="90"/>
      <c r="U452" s="90"/>
      <c r="V452" s="90"/>
      <c r="W452" s="90"/>
      <c r="X452" s="90"/>
    </row>
    <row r="453" spans="1:24" ht="12.75">
      <c r="A453" s="112"/>
      <c r="B453" s="113"/>
      <c r="C453" s="114"/>
      <c r="D453" s="114"/>
      <c r="E453" s="90"/>
      <c r="F453" s="115"/>
      <c r="G453" s="90"/>
      <c r="H453" s="90"/>
      <c r="I453" s="90"/>
      <c r="J453" s="90"/>
      <c r="K453" s="90"/>
      <c r="L453" s="90"/>
      <c r="M453" s="90"/>
      <c r="N453" s="90"/>
      <c r="O453" s="90"/>
      <c r="P453" s="90"/>
      <c r="Q453" s="90"/>
      <c r="R453" s="90"/>
      <c r="S453" s="90"/>
      <c r="T453" s="90"/>
      <c r="U453" s="90"/>
      <c r="V453" s="90"/>
      <c r="W453" s="90"/>
      <c r="X453" s="90"/>
    </row>
    <row r="454" spans="1:24" ht="12.75">
      <c r="A454" s="112"/>
      <c r="B454" s="113"/>
      <c r="C454" s="114"/>
      <c r="D454" s="114"/>
      <c r="E454" s="90"/>
      <c r="F454" s="115"/>
      <c r="G454" s="90"/>
      <c r="H454" s="90"/>
      <c r="I454" s="90"/>
      <c r="J454" s="90"/>
      <c r="K454" s="90"/>
      <c r="L454" s="90"/>
      <c r="M454" s="90"/>
      <c r="N454" s="90"/>
      <c r="O454" s="90"/>
      <c r="P454" s="90"/>
      <c r="Q454" s="90"/>
      <c r="R454" s="90"/>
      <c r="S454" s="90"/>
      <c r="T454" s="90"/>
      <c r="U454" s="90"/>
      <c r="V454" s="90"/>
      <c r="W454" s="90"/>
      <c r="X454" s="90"/>
    </row>
    <row r="455" spans="1:24" ht="12.75">
      <c r="A455" s="112"/>
      <c r="B455" s="113"/>
      <c r="C455" s="114"/>
      <c r="D455" s="114"/>
      <c r="E455" s="90"/>
      <c r="F455" s="115"/>
      <c r="G455" s="90"/>
      <c r="H455" s="90"/>
      <c r="I455" s="90"/>
      <c r="J455" s="90"/>
      <c r="K455" s="90"/>
      <c r="L455" s="90"/>
      <c r="M455" s="90"/>
      <c r="N455" s="90"/>
      <c r="O455" s="90"/>
      <c r="P455" s="90"/>
      <c r="Q455" s="90"/>
      <c r="R455" s="90"/>
      <c r="S455" s="90"/>
      <c r="T455" s="90"/>
      <c r="U455" s="90"/>
      <c r="V455" s="90"/>
      <c r="W455" s="90"/>
      <c r="X455" s="90"/>
    </row>
    <row r="456" spans="1:24" ht="12.75">
      <c r="A456" s="112"/>
      <c r="B456" s="113"/>
      <c r="C456" s="114"/>
      <c r="D456" s="114"/>
      <c r="E456" s="90"/>
      <c r="F456" s="115"/>
      <c r="G456" s="90"/>
      <c r="H456" s="90"/>
      <c r="I456" s="90"/>
      <c r="J456" s="90"/>
      <c r="K456" s="90"/>
      <c r="L456" s="90"/>
      <c r="M456" s="90"/>
      <c r="N456" s="90"/>
      <c r="O456" s="90"/>
      <c r="P456" s="90"/>
      <c r="Q456" s="90"/>
      <c r="R456" s="90"/>
      <c r="S456" s="90"/>
      <c r="T456" s="90"/>
      <c r="U456" s="90"/>
      <c r="V456" s="90"/>
      <c r="W456" s="90"/>
      <c r="X456" s="90"/>
    </row>
    <row r="457" spans="1:24" ht="12.75">
      <c r="A457" s="112"/>
      <c r="B457" s="113"/>
      <c r="C457" s="114"/>
      <c r="D457" s="114"/>
      <c r="E457" s="90"/>
      <c r="F457" s="115"/>
      <c r="G457" s="90"/>
      <c r="H457" s="90"/>
      <c r="I457" s="90"/>
      <c r="J457" s="90"/>
      <c r="K457" s="90"/>
      <c r="L457" s="90"/>
      <c r="M457" s="90"/>
      <c r="N457" s="90"/>
      <c r="O457" s="90"/>
      <c r="P457" s="90"/>
      <c r="Q457" s="90"/>
      <c r="R457" s="90"/>
      <c r="S457" s="90"/>
      <c r="T457" s="90"/>
      <c r="U457" s="90"/>
      <c r="V457" s="90"/>
      <c r="W457" s="90"/>
      <c r="X457" s="90"/>
    </row>
    <row r="458" spans="1:24" ht="12.75">
      <c r="A458" s="112"/>
      <c r="B458" s="113"/>
      <c r="C458" s="114"/>
      <c r="D458" s="114"/>
      <c r="E458" s="90"/>
      <c r="F458" s="115"/>
      <c r="G458" s="90"/>
      <c r="H458" s="90"/>
      <c r="I458" s="90"/>
      <c r="J458" s="90"/>
      <c r="K458" s="90"/>
      <c r="L458" s="90"/>
      <c r="M458" s="90"/>
      <c r="N458" s="90"/>
      <c r="O458" s="90"/>
      <c r="P458" s="90"/>
      <c r="Q458" s="90"/>
      <c r="R458" s="90"/>
      <c r="S458" s="90"/>
      <c r="T458" s="90"/>
      <c r="U458" s="90"/>
      <c r="V458" s="90"/>
      <c r="W458" s="90"/>
      <c r="X458" s="90"/>
    </row>
    <row r="459" spans="1:24" ht="12.75">
      <c r="A459" s="112"/>
      <c r="B459" s="113"/>
      <c r="C459" s="114"/>
      <c r="D459" s="114"/>
      <c r="E459" s="90"/>
      <c r="F459" s="115"/>
      <c r="G459" s="90"/>
      <c r="H459" s="90"/>
      <c r="I459" s="90"/>
      <c r="J459" s="90"/>
      <c r="K459" s="90"/>
      <c r="L459" s="90"/>
      <c r="M459" s="90"/>
      <c r="N459" s="90"/>
      <c r="O459" s="90"/>
      <c r="P459" s="90"/>
      <c r="Q459" s="90"/>
      <c r="R459" s="90"/>
      <c r="S459" s="90"/>
      <c r="T459" s="90"/>
      <c r="U459" s="90"/>
      <c r="V459" s="90"/>
      <c r="W459" s="90"/>
      <c r="X459" s="90"/>
    </row>
    <row r="460" spans="1:24" ht="12.75">
      <c r="A460" s="112"/>
      <c r="B460" s="113"/>
      <c r="C460" s="114"/>
      <c r="D460" s="114"/>
      <c r="E460" s="90"/>
      <c r="F460" s="115"/>
      <c r="G460" s="90"/>
      <c r="H460" s="90"/>
      <c r="I460" s="90"/>
      <c r="J460" s="90"/>
      <c r="K460" s="90"/>
      <c r="L460" s="90"/>
      <c r="M460" s="90"/>
      <c r="N460" s="90"/>
      <c r="O460" s="90"/>
      <c r="P460" s="90"/>
      <c r="Q460" s="90"/>
      <c r="R460" s="90"/>
      <c r="S460" s="90"/>
      <c r="T460" s="90"/>
      <c r="U460" s="90"/>
      <c r="V460" s="90"/>
      <c r="W460" s="90"/>
      <c r="X460" s="90"/>
    </row>
    <row r="461" spans="1:24" ht="12.75">
      <c r="A461" s="112"/>
      <c r="B461" s="113"/>
      <c r="C461" s="114"/>
      <c r="D461" s="114"/>
      <c r="E461" s="90"/>
      <c r="F461" s="115"/>
      <c r="G461" s="90"/>
      <c r="H461" s="90"/>
      <c r="I461" s="90"/>
      <c r="J461" s="90"/>
      <c r="K461" s="90"/>
      <c r="L461" s="90"/>
      <c r="M461" s="90"/>
      <c r="N461" s="90"/>
      <c r="O461" s="90"/>
      <c r="P461" s="90"/>
      <c r="Q461" s="90"/>
      <c r="R461" s="90"/>
      <c r="S461" s="90"/>
      <c r="T461" s="90"/>
      <c r="U461" s="90"/>
      <c r="V461" s="90"/>
      <c r="W461" s="90"/>
      <c r="X461" s="90"/>
    </row>
    <row r="462" spans="1:24" ht="12.75">
      <c r="A462" s="112"/>
      <c r="B462" s="113"/>
      <c r="C462" s="114"/>
      <c r="D462" s="114"/>
      <c r="E462" s="90"/>
      <c r="F462" s="115"/>
      <c r="G462" s="90"/>
      <c r="H462" s="90"/>
      <c r="I462" s="90"/>
      <c r="J462" s="90"/>
      <c r="K462" s="90"/>
      <c r="L462" s="90"/>
      <c r="M462" s="90"/>
      <c r="N462" s="90"/>
      <c r="O462" s="90"/>
      <c r="P462" s="90"/>
      <c r="Q462" s="90"/>
      <c r="R462" s="90"/>
      <c r="S462" s="90"/>
      <c r="T462" s="90"/>
      <c r="U462" s="90"/>
      <c r="V462" s="90"/>
      <c r="W462" s="90"/>
      <c r="X462" s="90"/>
    </row>
    <row r="463" spans="1:24" ht="12.75">
      <c r="A463" s="112"/>
      <c r="B463" s="113"/>
      <c r="C463" s="114"/>
      <c r="D463" s="114"/>
      <c r="E463" s="90"/>
      <c r="F463" s="115"/>
      <c r="G463" s="90"/>
      <c r="H463" s="90"/>
      <c r="I463" s="90"/>
      <c r="J463" s="90"/>
      <c r="K463" s="90"/>
      <c r="L463" s="90"/>
      <c r="M463" s="90"/>
      <c r="N463" s="90"/>
      <c r="O463" s="90"/>
      <c r="P463" s="90"/>
      <c r="Q463" s="90"/>
      <c r="R463" s="90"/>
      <c r="S463" s="90"/>
      <c r="T463" s="90"/>
      <c r="U463" s="90"/>
      <c r="V463" s="90"/>
      <c r="W463" s="90"/>
      <c r="X463" s="90"/>
    </row>
    <row r="464" spans="1:24" ht="12.75">
      <c r="A464" s="112"/>
      <c r="B464" s="113"/>
      <c r="C464" s="114"/>
      <c r="D464" s="114"/>
      <c r="E464" s="90"/>
      <c r="F464" s="115"/>
      <c r="G464" s="90"/>
      <c r="H464" s="90"/>
      <c r="I464" s="90"/>
      <c r="J464" s="90"/>
      <c r="K464" s="90"/>
      <c r="L464" s="90"/>
      <c r="M464" s="90"/>
      <c r="N464" s="90"/>
      <c r="O464" s="90"/>
      <c r="P464" s="90"/>
      <c r="Q464" s="90"/>
      <c r="R464" s="90"/>
      <c r="S464" s="90"/>
      <c r="T464" s="90"/>
      <c r="U464" s="90"/>
      <c r="V464" s="90"/>
      <c r="W464" s="90"/>
      <c r="X464" s="90"/>
    </row>
    <row r="465" spans="1:24" ht="12.75">
      <c r="A465" s="112"/>
      <c r="B465" s="113"/>
      <c r="C465" s="114"/>
      <c r="D465" s="114"/>
      <c r="E465" s="90"/>
      <c r="F465" s="115"/>
      <c r="G465" s="90"/>
      <c r="H465" s="90"/>
      <c r="I465" s="90"/>
      <c r="J465" s="90"/>
      <c r="K465" s="90"/>
      <c r="L465" s="90"/>
      <c r="M465" s="90"/>
      <c r="N465" s="90"/>
      <c r="O465" s="90"/>
      <c r="P465" s="90"/>
      <c r="Q465" s="90"/>
      <c r="R465" s="90"/>
      <c r="S465" s="90"/>
      <c r="T465" s="90"/>
      <c r="U465" s="90"/>
      <c r="V465" s="90"/>
      <c r="W465" s="90"/>
      <c r="X465" s="90"/>
    </row>
    <row r="466" spans="1:24" ht="12.75">
      <c r="A466" s="112"/>
      <c r="B466" s="113"/>
      <c r="C466" s="114"/>
      <c r="D466" s="114"/>
      <c r="E466" s="90"/>
      <c r="F466" s="115"/>
      <c r="G466" s="90"/>
      <c r="H466" s="90"/>
      <c r="I466" s="90"/>
      <c r="J466" s="90"/>
      <c r="K466" s="90"/>
      <c r="L466" s="90"/>
      <c r="M466" s="90"/>
      <c r="N466" s="90"/>
      <c r="O466" s="90"/>
      <c r="P466" s="90"/>
      <c r="Q466" s="90"/>
      <c r="R466" s="90"/>
      <c r="S466" s="90"/>
      <c r="T466" s="90"/>
      <c r="U466" s="90"/>
      <c r="V466" s="90"/>
      <c r="W466" s="90"/>
      <c r="X466" s="90"/>
    </row>
    <row r="467" spans="1:24" ht="12.75">
      <c r="A467" s="112"/>
      <c r="B467" s="113"/>
      <c r="C467" s="114"/>
      <c r="D467" s="114"/>
      <c r="E467" s="90"/>
      <c r="F467" s="115"/>
      <c r="G467" s="90"/>
      <c r="H467" s="90"/>
      <c r="I467" s="90"/>
      <c r="J467" s="90"/>
      <c r="K467" s="90"/>
      <c r="L467" s="90"/>
      <c r="M467" s="90"/>
      <c r="N467" s="90"/>
      <c r="O467" s="90"/>
      <c r="P467" s="90"/>
      <c r="Q467" s="90"/>
      <c r="R467" s="90"/>
      <c r="S467" s="90"/>
      <c r="T467" s="90"/>
      <c r="U467" s="90"/>
      <c r="V467" s="90"/>
      <c r="W467" s="90"/>
      <c r="X467" s="90"/>
    </row>
    <row r="468" spans="1:24" ht="12.75">
      <c r="A468" s="112"/>
      <c r="B468" s="113"/>
      <c r="C468" s="114"/>
      <c r="D468" s="114"/>
      <c r="E468" s="90"/>
      <c r="F468" s="115"/>
      <c r="G468" s="90"/>
      <c r="H468" s="90"/>
      <c r="I468" s="90"/>
      <c r="J468" s="90"/>
      <c r="K468" s="90"/>
      <c r="L468" s="90"/>
      <c r="M468" s="90"/>
      <c r="N468" s="90"/>
      <c r="O468" s="90"/>
      <c r="P468" s="90"/>
      <c r="Q468" s="90"/>
      <c r="R468" s="90"/>
      <c r="S468" s="90"/>
      <c r="T468" s="90"/>
      <c r="U468" s="90"/>
      <c r="V468" s="90"/>
      <c r="W468" s="90"/>
      <c r="X468" s="90"/>
    </row>
    <row r="469" spans="1:24" ht="12.75">
      <c r="A469" s="112"/>
      <c r="B469" s="113"/>
      <c r="C469" s="114"/>
      <c r="D469" s="114"/>
      <c r="E469" s="90"/>
      <c r="F469" s="115"/>
      <c r="G469" s="90"/>
      <c r="H469" s="90"/>
      <c r="I469" s="90"/>
      <c r="J469" s="90"/>
      <c r="K469" s="90"/>
      <c r="L469" s="90"/>
      <c r="M469" s="90"/>
      <c r="N469" s="90"/>
      <c r="O469" s="90"/>
      <c r="P469" s="90"/>
      <c r="Q469" s="90"/>
      <c r="R469" s="90"/>
      <c r="S469" s="90"/>
      <c r="T469" s="90"/>
      <c r="U469" s="90"/>
      <c r="V469" s="90"/>
      <c r="W469" s="90"/>
      <c r="X469" s="90"/>
    </row>
    <row r="470" spans="1:24" ht="12.75">
      <c r="A470" s="112"/>
      <c r="B470" s="113"/>
      <c r="C470" s="114"/>
      <c r="D470" s="114"/>
      <c r="E470" s="90"/>
      <c r="F470" s="115"/>
      <c r="G470" s="90"/>
      <c r="H470" s="90"/>
      <c r="I470" s="90"/>
      <c r="J470" s="90"/>
      <c r="K470" s="90"/>
      <c r="L470" s="90"/>
      <c r="M470" s="90"/>
      <c r="N470" s="90"/>
      <c r="O470" s="90"/>
      <c r="P470" s="90"/>
      <c r="Q470" s="90"/>
      <c r="R470" s="90"/>
      <c r="S470" s="90"/>
      <c r="T470" s="90"/>
      <c r="U470" s="90"/>
      <c r="V470" s="90"/>
      <c r="W470" s="90"/>
      <c r="X470" s="90"/>
    </row>
    <row r="471" spans="1:24" ht="12.75">
      <c r="A471" s="112"/>
      <c r="B471" s="113"/>
      <c r="C471" s="114"/>
      <c r="D471" s="114"/>
      <c r="E471" s="90"/>
      <c r="F471" s="115"/>
      <c r="G471" s="90"/>
      <c r="H471" s="90"/>
      <c r="I471" s="90"/>
      <c r="J471" s="90"/>
      <c r="K471" s="90"/>
      <c r="L471" s="90"/>
      <c r="M471" s="90"/>
      <c r="N471" s="90"/>
      <c r="O471" s="90"/>
      <c r="P471" s="90"/>
      <c r="Q471" s="90"/>
      <c r="R471" s="90"/>
      <c r="S471" s="90"/>
      <c r="T471" s="90"/>
      <c r="U471" s="90"/>
      <c r="V471" s="90"/>
      <c r="W471" s="90"/>
      <c r="X471" s="90"/>
    </row>
    <row r="472" spans="1:24" ht="12.75">
      <c r="A472" s="112"/>
      <c r="B472" s="113"/>
      <c r="C472" s="114"/>
      <c r="D472" s="114"/>
      <c r="E472" s="90"/>
      <c r="F472" s="115"/>
      <c r="G472" s="90"/>
      <c r="H472" s="90"/>
      <c r="I472" s="90"/>
      <c r="J472" s="90"/>
      <c r="K472" s="90"/>
      <c r="L472" s="90"/>
      <c r="M472" s="90"/>
      <c r="N472" s="90"/>
      <c r="O472" s="90"/>
      <c r="P472" s="90"/>
      <c r="Q472" s="90"/>
      <c r="R472" s="90"/>
      <c r="S472" s="90"/>
      <c r="T472" s="90"/>
      <c r="U472" s="90"/>
      <c r="V472" s="90"/>
      <c r="W472" s="90"/>
      <c r="X472" s="90"/>
    </row>
    <row r="473" spans="1:24" ht="12.75">
      <c r="A473" s="112"/>
      <c r="B473" s="113"/>
      <c r="C473" s="114"/>
      <c r="D473" s="114"/>
      <c r="E473" s="90"/>
      <c r="F473" s="115"/>
      <c r="G473" s="90"/>
      <c r="H473" s="90"/>
      <c r="I473" s="90"/>
      <c r="J473" s="90"/>
      <c r="K473" s="90"/>
      <c r="L473" s="90"/>
      <c r="M473" s="90"/>
      <c r="N473" s="90"/>
      <c r="O473" s="90"/>
      <c r="P473" s="90"/>
      <c r="Q473" s="90"/>
      <c r="R473" s="90"/>
      <c r="S473" s="90"/>
      <c r="T473" s="90"/>
      <c r="U473" s="90"/>
      <c r="V473" s="90"/>
      <c r="W473" s="90"/>
      <c r="X473" s="90"/>
    </row>
    <row r="474" spans="1:24" ht="12.75">
      <c r="A474" s="112"/>
      <c r="B474" s="113"/>
      <c r="C474" s="114"/>
      <c r="D474" s="114"/>
      <c r="E474" s="90"/>
      <c r="F474" s="115"/>
      <c r="G474" s="90"/>
      <c r="H474" s="90"/>
      <c r="I474" s="90"/>
      <c r="J474" s="90"/>
      <c r="K474" s="90"/>
      <c r="L474" s="90"/>
      <c r="M474" s="90"/>
      <c r="N474" s="90"/>
      <c r="O474" s="90"/>
      <c r="P474" s="90"/>
      <c r="Q474" s="90"/>
      <c r="R474" s="90"/>
      <c r="S474" s="90"/>
      <c r="T474" s="90"/>
      <c r="U474" s="90"/>
      <c r="V474" s="90"/>
      <c r="W474" s="90"/>
      <c r="X474" s="90"/>
    </row>
    <row r="475" spans="1:24" ht="12.75">
      <c r="A475" s="112"/>
      <c r="B475" s="113"/>
      <c r="C475" s="114"/>
      <c r="D475" s="114"/>
      <c r="E475" s="90"/>
      <c r="F475" s="115"/>
      <c r="G475" s="90"/>
      <c r="H475" s="90"/>
      <c r="I475" s="90"/>
      <c r="J475" s="90"/>
      <c r="K475" s="90"/>
      <c r="L475" s="90"/>
      <c r="M475" s="90"/>
      <c r="N475" s="90"/>
      <c r="O475" s="90"/>
      <c r="P475" s="90"/>
      <c r="Q475" s="90"/>
      <c r="R475" s="90"/>
      <c r="S475" s="90"/>
      <c r="T475" s="90"/>
      <c r="U475" s="90"/>
      <c r="V475" s="90"/>
      <c r="W475" s="90"/>
      <c r="X475" s="90"/>
    </row>
    <row r="476" spans="1:24" ht="12.75">
      <c r="A476" s="112"/>
      <c r="B476" s="113"/>
      <c r="C476" s="114"/>
      <c r="D476" s="114"/>
      <c r="E476" s="90"/>
      <c r="F476" s="115"/>
      <c r="G476" s="90"/>
      <c r="H476" s="90"/>
      <c r="I476" s="90"/>
      <c r="J476" s="90"/>
      <c r="K476" s="90"/>
      <c r="L476" s="90"/>
      <c r="M476" s="90"/>
      <c r="N476" s="90"/>
      <c r="O476" s="90"/>
      <c r="P476" s="90"/>
      <c r="Q476" s="90"/>
      <c r="R476" s="90"/>
      <c r="S476" s="90"/>
      <c r="T476" s="90"/>
      <c r="U476" s="90"/>
      <c r="V476" s="90"/>
      <c r="W476" s="90"/>
      <c r="X476" s="90"/>
    </row>
    <row r="477" spans="1:24" ht="12.75">
      <c r="A477" s="112"/>
      <c r="B477" s="113"/>
      <c r="C477" s="114"/>
      <c r="D477" s="114"/>
      <c r="E477" s="90"/>
      <c r="F477" s="115"/>
      <c r="G477" s="90"/>
      <c r="H477" s="90"/>
      <c r="I477" s="90"/>
      <c r="J477" s="90"/>
      <c r="K477" s="90"/>
      <c r="L477" s="90"/>
      <c r="M477" s="90"/>
      <c r="N477" s="90"/>
      <c r="O477" s="90"/>
      <c r="P477" s="90"/>
      <c r="Q477" s="90"/>
      <c r="R477" s="90"/>
      <c r="S477" s="90"/>
      <c r="T477" s="90"/>
      <c r="U477" s="90"/>
      <c r="V477" s="90"/>
      <c r="W477" s="90"/>
      <c r="X477" s="90"/>
    </row>
    <row r="478" spans="1:24" ht="12.75">
      <c r="A478" s="112"/>
      <c r="B478" s="113"/>
      <c r="C478" s="114"/>
      <c r="D478" s="114"/>
      <c r="E478" s="90"/>
      <c r="F478" s="115"/>
      <c r="G478" s="90"/>
      <c r="H478" s="90"/>
      <c r="I478" s="90"/>
      <c r="J478" s="90"/>
      <c r="K478" s="90"/>
      <c r="L478" s="90"/>
      <c r="M478" s="90"/>
      <c r="N478" s="90"/>
      <c r="O478" s="90"/>
      <c r="P478" s="90"/>
      <c r="Q478" s="90"/>
      <c r="R478" s="90"/>
      <c r="S478" s="90"/>
      <c r="T478" s="90"/>
      <c r="U478" s="90"/>
      <c r="V478" s="90"/>
      <c r="W478" s="90"/>
      <c r="X478" s="90"/>
    </row>
    <row r="479" spans="1:24" ht="12.75">
      <c r="A479" s="112"/>
      <c r="B479" s="113"/>
      <c r="C479" s="114"/>
      <c r="D479" s="114"/>
      <c r="E479" s="90"/>
      <c r="F479" s="115"/>
      <c r="G479" s="90"/>
      <c r="H479" s="90"/>
      <c r="I479" s="90"/>
      <c r="J479" s="90"/>
      <c r="K479" s="90"/>
      <c r="L479" s="90"/>
      <c r="M479" s="90"/>
      <c r="N479" s="90"/>
      <c r="O479" s="90"/>
      <c r="P479" s="90"/>
      <c r="Q479" s="90"/>
      <c r="R479" s="90"/>
      <c r="S479" s="90"/>
      <c r="T479" s="90"/>
      <c r="U479" s="90"/>
      <c r="V479" s="90"/>
      <c r="W479" s="90"/>
      <c r="X479" s="90"/>
    </row>
    <row r="480" spans="1:24" ht="12.75">
      <c r="A480" s="112"/>
      <c r="B480" s="113"/>
      <c r="C480" s="114"/>
      <c r="D480" s="114"/>
      <c r="E480" s="90"/>
      <c r="F480" s="115"/>
      <c r="G480" s="90"/>
      <c r="H480" s="90"/>
      <c r="I480" s="90"/>
      <c r="J480" s="90"/>
      <c r="K480" s="90"/>
      <c r="L480" s="90"/>
      <c r="M480" s="90"/>
      <c r="N480" s="90"/>
      <c r="O480" s="90"/>
      <c r="P480" s="90"/>
      <c r="Q480" s="90"/>
      <c r="R480" s="90"/>
      <c r="S480" s="90"/>
      <c r="T480" s="90"/>
      <c r="U480" s="90"/>
      <c r="V480" s="90"/>
      <c r="W480" s="90"/>
      <c r="X480" s="90"/>
    </row>
    <row r="481" spans="1:24" ht="12.75">
      <c r="A481" s="112"/>
      <c r="B481" s="113"/>
      <c r="C481" s="114"/>
      <c r="D481" s="114"/>
      <c r="E481" s="90"/>
      <c r="F481" s="115"/>
      <c r="G481" s="90"/>
      <c r="H481" s="90"/>
      <c r="I481" s="90"/>
      <c r="J481" s="90"/>
      <c r="K481" s="90"/>
      <c r="L481" s="90"/>
      <c r="M481" s="90"/>
      <c r="N481" s="90"/>
      <c r="O481" s="90"/>
      <c r="P481" s="90"/>
      <c r="Q481" s="90"/>
      <c r="R481" s="90"/>
      <c r="S481" s="90"/>
      <c r="T481" s="90"/>
      <c r="U481" s="90"/>
      <c r="V481" s="90"/>
      <c r="W481" s="90"/>
      <c r="X481" s="90"/>
    </row>
    <row r="482" spans="1:24" ht="12.75">
      <c r="A482" s="112"/>
      <c r="B482" s="113"/>
      <c r="C482" s="114"/>
      <c r="D482" s="114"/>
      <c r="E482" s="90"/>
      <c r="F482" s="115"/>
      <c r="G482" s="90"/>
      <c r="H482" s="90"/>
      <c r="I482" s="90"/>
      <c r="J482" s="90"/>
      <c r="K482" s="90"/>
      <c r="L482" s="90"/>
      <c r="M482" s="90"/>
      <c r="N482" s="90"/>
      <c r="O482" s="90"/>
      <c r="P482" s="90"/>
      <c r="Q482" s="90"/>
      <c r="R482" s="90"/>
      <c r="S482" s="90"/>
      <c r="T482" s="90"/>
      <c r="U482" s="90"/>
      <c r="V482" s="90"/>
      <c r="W482" s="90"/>
      <c r="X482" s="90"/>
    </row>
    <row r="483" spans="1:24" ht="12.75">
      <c r="A483" s="112"/>
      <c r="B483" s="113"/>
      <c r="C483" s="114"/>
      <c r="D483" s="114"/>
      <c r="E483" s="90"/>
      <c r="F483" s="115"/>
      <c r="G483" s="90"/>
      <c r="H483" s="90"/>
      <c r="I483" s="90"/>
      <c r="J483" s="90"/>
      <c r="K483" s="90"/>
      <c r="L483" s="90"/>
      <c r="M483" s="90"/>
      <c r="N483" s="90"/>
      <c r="O483" s="90"/>
      <c r="P483" s="90"/>
      <c r="Q483" s="90"/>
      <c r="R483" s="90"/>
      <c r="S483" s="90"/>
      <c r="T483" s="90"/>
      <c r="U483" s="90"/>
      <c r="V483" s="90"/>
      <c r="W483" s="90"/>
      <c r="X483" s="90"/>
    </row>
    <row r="484" spans="1:24" ht="12.75">
      <c r="A484" s="112"/>
      <c r="B484" s="113"/>
      <c r="C484" s="114"/>
      <c r="D484" s="114"/>
      <c r="E484" s="90"/>
      <c r="F484" s="115"/>
      <c r="G484" s="90"/>
      <c r="H484" s="90"/>
      <c r="I484" s="90"/>
      <c r="J484" s="90"/>
      <c r="K484" s="90"/>
      <c r="L484" s="90"/>
      <c r="M484" s="90"/>
      <c r="N484" s="90"/>
      <c r="O484" s="90"/>
      <c r="P484" s="90"/>
      <c r="Q484" s="90"/>
      <c r="R484" s="90"/>
      <c r="S484" s="90"/>
      <c r="T484" s="90"/>
      <c r="U484" s="90"/>
      <c r="V484" s="90"/>
      <c r="W484" s="90"/>
      <c r="X484" s="90"/>
    </row>
    <row r="485" spans="1:24" ht="12.75">
      <c r="A485" s="112"/>
      <c r="B485" s="113"/>
      <c r="C485" s="114"/>
      <c r="D485" s="114"/>
      <c r="E485" s="90"/>
      <c r="F485" s="115"/>
      <c r="G485" s="90"/>
      <c r="H485" s="90"/>
      <c r="I485" s="90"/>
      <c r="J485" s="90"/>
      <c r="K485" s="90"/>
      <c r="L485" s="90"/>
      <c r="M485" s="90"/>
      <c r="N485" s="90"/>
      <c r="O485" s="90"/>
      <c r="P485" s="90"/>
      <c r="Q485" s="90"/>
      <c r="R485" s="90"/>
      <c r="S485" s="90"/>
      <c r="T485" s="90"/>
      <c r="U485" s="90"/>
      <c r="V485" s="90"/>
      <c r="W485" s="90"/>
      <c r="X485" s="90"/>
    </row>
    <row r="486" spans="1:24" ht="12.75">
      <c r="A486" s="112"/>
      <c r="B486" s="113"/>
      <c r="C486" s="114"/>
      <c r="D486" s="114"/>
      <c r="E486" s="90"/>
      <c r="F486" s="115"/>
      <c r="G486" s="90"/>
      <c r="H486" s="90"/>
      <c r="I486" s="90"/>
      <c r="J486" s="90"/>
      <c r="K486" s="90"/>
      <c r="L486" s="90"/>
      <c r="M486" s="90"/>
      <c r="N486" s="90"/>
      <c r="O486" s="90"/>
      <c r="P486" s="90"/>
      <c r="Q486" s="90"/>
      <c r="R486" s="90"/>
      <c r="S486" s="90"/>
      <c r="T486" s="90"/>
      <c r="U486" s="90"/>
      <c r="V486" s="90"/>
      <c r="W486" s="90"/>
      <c r="X486" s="90"/>
    </row>
    <row r="487" spans="1:24" ht="12.75">
      <c r="A487" s="112"/>
      <c r="B487" s="113"/>
      <c r="C487" s="114"/>
      <c r="D487" s="114"/>
      <c r="E487" s="90"/>
      <c r="F487" s="115"/>
      <c r="G487" s="90"/>
      <c r="H487" s="90"/>
      <c r="I487" s="90"/>
      <c r="J487" s="90"/>
      <c r="K487" s="90"/>
      <c r="L487" s="90"/>
      <c r="M487" s="90"/>
      <c r="N487" s="90"/>
      <c r="O487" s="90"/>
      <c r="P487" s="90"/>
      <c r="Q487" s="90"/>
      <c r="R487" s="90"/>
      <c r="S487" s="90"/>
      <c r="T487" s="90"/>
      <c r="U487" s="90"/>
      <c r="V487" s="90"/>
      <c r="W487" s="90"/>
      <c r="X487" s="90"/>
    </row>
    <row r="488" spans="1:24" ht="12.75">
      <c r="A488" s="112"/>
      <c r="B488" s="113"/>
      <c r="C488" s="114"/>
      <c r="D488" s="114"/>
      <c r="E488" s="90"/>
      <c r="F488" s="115"/>
      <c r="G488" s="90"/>
      <c r="H488" s="90"/>
      <c r="I488" s="90"/>
      <c r="J488" s="90"/>
      <c r="K488" s="90"/>
      <c r="L488" s="90"/>
      <c r="M488" s="90"/>
      <c r="N488" s="90"/>
      <c r="O488" s="90"/>
      <c r="P488" s="90"/>
      <c r="Q488" s="90"/>
      <c r="R488" s="90"/>
      <c r="S488" s="90"/>
      <c r="T488" s="90"/>
      <c r="U488" s="90"/>
      <c r="V488" s="90"/>
      <c r="W488" s="90"/>
      <c r="X488" s="90"/>
    </row>
    <row r="489" spans="1:24" ht="12.75">
      <c r="A489" s="112"/>
      <c r="B489" s="113"/>
      <c r="C489" s="114"/>
      <c r="D489" s="114"/>
      <c r="E489" s="90"/>
      <c r="F489" s="115"/>
      <c r="G489" s="90"/>
      <c r="H489" s="90"/>
      <c r="I489" s="90"/>
      <c r="J489" s="90"/>
      <c r="K489" s="90"/>
      <c r="L489" s="90"/>
      <c r="M489" s="90"/>
      <c r="N489" s="90"/>
      <c r="O489" s="90"/>
      <c r="P489" s="90"/>
      <c r="Q489" s="90"/>
      <c r="R489" s="90"/>
      <c r="S489" s="90"/>
      <c r="T489" s="90"/>
      <c r="U489" s="90"/>
      <c r="V489" s="90"/>
      <c r="W489" s="90"/>
      <c r="X489" s="90"/>
    </row>
    <row r="490" spans="1:24" ht="12.75">
      <c r="A490" s="112"/>
      <c r="B490" s="113"/>
      <c r="C490" s="114"/>
      <c r="D490" s="114"/>
      <c r="E490" s="90"/>
      <c r="F490" s="115"/>
      <c r="G490" s="90"/>
      <c r="H490" s="90"/>
      <c r="I490" s="90"/>
      <c r="J490" s="90"/>
      <c r="K490" s="90"/>
      <c r="L490" s="90"/>
      <c r="M490" s="90"/>
      <c r="N490" s="90"/>
      <c r="O490" s="90"/>
      <c r="P490" s="90"/>
      <c r="Q490" s="90"/>
      <c r="R490" s="90"/>
      <c r="S490" s="90"/>
      <c r="T490" s="90"/>
      <c r="U490" s="90"/>
      <c r="V490" s="90"/>
      <c r="W490" s="90"/>
      <c r="X490" s="90"/>
    </row>
    <row r="491" spans="1:24" ht="12.75">
      <c r="A491" s="112"/>
      <c r="B491" s="113"/>
      <c r="C491" s="114"/>
      <c r="D491" s="114"/>
      <c r="E491" s="90"/>
      <c r="F491" s="115"/>
      <c r="G491" s="90"/>
      <c r="H491" s="90"/>
      <c r="I491" s="90"/>
      <c r="J491" s="90"/>
      <c r="K491" s="90"/>
      <c r="L491" s="90"/>
      <c r="M491" s="90"/>
      <c r="N491" s="90"/>
      <c r="O491" s="90"/>
      <c r="P491" s="90"/>
      <c r="Q491" s="90"/>
      <c r="R491" s="90"/>
      <c r="S491" s="90"/>
      <c r="T491" s="90"/>
      <c r="U491" s="90"/>
      <c r="V491" s="90"/>
      <c r="W491" s="90"/>
      <c r="X491" s="90"/>
    </row>
    <row r="492" spans="1:24" ht="12.75">
      <c r="A492" s="112"/>
      <c r="B492" s="113"/>
      <c r="C492" s="114"/>
      <c r="D492" s="114"/>
      <c r="E492" s="90"/>
      <c r="F492" s="115"/>
      <c r="G492" s="90"/>
      <c r="H492" s="90"/>
      <c r="I492" s="90"/>
      <c r="J492" s="90"/>
      <c r="K492" s="90"/>
      <c r="L492" s="90"/>
      <c r="M492" s="90"/>
      <c r="N492" s="90"/>
      <c r="O492" s="90"/>
      <c r="P492" s="90"/>
      <c r="Q492" s="90"/>
      <c r="R492" s="90"/>
      <c r="S492" s="90"/>
      <c r="T492" s="90"/>
      <c r="U492" s="90"/>
      <c r="V492" s="90"/>
      <c r="W492" s="90"/>
      <c r="X492" s="90"/>
    </row>
    <row r="493" spans="1:24" ht="12.75">
      <c r="A493" s="112"/>
      <c r="B493" s="113"/>
      <c r="C493" s="114"/>
      <c r="D493" s="114"/>
      <c r="E493" s="90"/>
      <c r="F493" s="115"/>
      <c r="G493" s="90"/>
      <c r="H493" s="90"/>
      <c r="I493" s="90"/>
      <c r="J493" s="90"/>
      <c r="K493" s="90"/>
      <c r="L493" s="90"/>
      <c r="M493" s="90"/>
      <c r="N493" s="90"/>
      <c r="O493" s="90"/>
      <c r="P493" s="90"/>
      <c r="Q493" s="90"/>
      <c r="R493" s="90"/>
      <c r="S493" s="90"/>
      <c r="T493" s="90"/>
      <c r="U493" s="90"/>
      <c r="V493" s="90"/>
      <c r="W493" s="90"/>
      <c r="X493" s="90"/>
    </row>
    <row r="494" spans="1:24" ht="12.75">
      <c r="A494" s="112"/>
      <c r="B494" s="113"/>
      <c r="C494" s="114"/>
      <c r="D494" s="114"/>
      <c r="E494" s="90"/>
      <c r="F494" s="115"/>
      <c r="G494" s="90"/>
      <c r="H494" s="90"/>
      <c r="I494" s="90"/>
      <c r="J494" s="90"/>
      <c r="K494" s="90"/>
      <c r="L494" s="90"/>
      <c r="M494" s="90"/>
      <c r="N494" s="90"/>
      <c r="O494" s="90"/>
      <c r="P494" s="90"/>
      <c r="Q494" s="90"/>
      <c r="R494" s="90"/>
      <c r="S494" s="90"/>
      <c r="T494" s="90"/>
      <c r="U494" s="90"/>
      <c r="V494" s="90"/>
      <c r="W494" s="90"/>
      <c r="X494" s="90"/>
    </row>
    <row r="495" spans="1:24" ht="12.75">
      <c r="A495" s="112"/>
      <c r="B495" s="113"/>
      <c r="C495" s="114"/>
      <c r="D495" s="114"/>
      <c r="E495" s="90"/>
      <c r="F495" s="115"/>
      <c r="G495" s="90"/>
      <c r="H495" s="90"/>
      <c r="I495" s="90"/>
      <c r="J495" s="90"/>
      <c r="K495" s="90"/>
      <c r="L495" s="90"/>
      <c r="M495" s="90"/>
      <c r="N495" s="90"/>
      <c r="O495" s="90"/>
      <c r="P495" s="90"/>
      <c r="Q495" s="90"/>
      <c r="R495" s="90"/>
      <c r="S495" s="90"/>
      <c r="T495" s="90"/>
      <c r="U495" s="90"/>
      <c r="V495" s="90"/>
      <c r="W495" s="90"/>
      <c r="X495" s="90"/>
    </row>
    <row r="496" spans="1:24" ht="12.75">
      <c r="A496" s="112"/>
      <c r="B496" s="113"/>
      <c r="C496" s="114"/>
      <c r="D496" s="114"/>
      <c r="E496" s="90"/>
      <c r="F496" s="115"/>
      <c r="G496" s="90"/>
      <c r="H496" s="90"/>
      <c r="I496" s="90"/>
      <c r="J496" s="90"/>
      <c r="K496" s="90"/>
      <c r="L496" s="90"/>
      <c r="M496" s="90"/>
      <c r="N496" s="90"/>
      <c r="O496" s="90"/>
      <c r="P496" s="90"/>
      <c r="Q496" s="90"/>
      <c r="R496" s="90"/>
      <c r="S496" s="90"/>
      <c r="T496" s="90"/>
      <c r="U496" s="90"/>
      <c r="V496" s="90"/>
      <c r="W496" s="90"/>
      <c r="X496" s="90"/>
    </row>
    <row r="497" spans="1:24" ht="12.75">
      <c r="A497" s="112"/>
      <c r="B497" s="113"/>
      <c r="C497" s="114"/>
      <c r="D497" s="114"/>
      <c r="E497" s="90"/>
      <c r="F497" s="115"/>
      <c r="G497" s="90"/>
      <c r="H497" s="90"/>
      <c r="I497" s="90"/>
      <c r="J497" s="90"/>
      <c r="K497" s="90"/>
      <c r="L497" s="90"/>
      <c r="M497" s="90"/>
      <c r="N497" s="90"/>
      <c r="O497" s="90"/>
      <c r="P497" s="90"/>
      <c r="Q497" s="90"/>
      <c r="R497" s="90"/>
      <c r="S497" s="90"/>
      <c r="T497" s="90"/>
      <c r="U497" s="90"/>
      <c r="V497" s="90"/>
      <c r="W497" s="90"/>
      <c r="X497" s="90"/>
    </row>
    <row r="498" spans="1:24" ht="12.75">
      <c r="A498" s="112"/>
      <c r="B498" s="113"/>
      <c r="C498" s="114"/>
      <c r="D498" s="114"/>
      <c r="E498" s="90"/>
      <c r="F498" s="115"/>
      <c r="G498" s="90"/>
      <c r="H498" s="90"/>
      <c r="I498" s="90"/>
      <c r="J498" s="90"/>
      <c r="K498" s="90"/>
      <c r="L498" s="90"/>
      <c r="M498" s="90"/>
      <c r="N498" s="90"/>
      <c r="O498" s="90"/>
      <c r="P498" s="90"/>
      <c r="Q498" s="90"/>
      <c r="R498" s="90"/>
      <c r="S498" s="90"/>
      <c r="T498" s="90"/>
      <c r="U498" s="90"/>
      <c r="V498" s="90"/>
      <c r="W498" s="90"/>
      <c r="X498" s="90"/>
    </row>
    <row r="499" spans="1:24" ht="12.75">
      <c r="A499" s="112"/>
      <c r="B499" s="113"/>
      <c r="C499" s="114"/>
      <c r="D499" s="114"/>
      <c r="E499" s="90"/>
      <c r="F499" s="115"/>
      <c r="G499" s="90"/>
      <c r="H499" s="90"/>
      <c r="I499" s="90"/>
      <c r="J499" s="90"/>
      <c r="K499" s="90"/>
      <c r="L499" s="90"/>
      <c r="M499" s="90"/>
      <c r="N499" s="90"/>
      <c r="O499" s="90"/>
      <c r="P499" s="90"/>
      <c r="Q499" s="90"/>
      <c r="R499" s="90"/>
      <c r="S499" s="90"/>
      <c r="T499" s="90"/>
      <c r="U499" s="90"/>
      <c r="V499" s="90"/>
      <c r="W499" s="90"/>
      <c r="X499" s="90"/>
    </row>
    <row r="500" spans="1:24" ht="12.75">
      <c r="A500" s="112"/>
      <c r="B500" s="113"/>
      <c r="C500" s="114"/>
      <c r="D500" s="114"/>
      <c r="E500" s="90"/>
      <c r="F500" s="115"/>
      <c r="G500" s="90"/>
      <c r="H500" s="90"/>
      <c r="I500" s="90"/>
      <c r="J500" s="90"/>
      <c r="K500" s="90"/>
      <c r="L500" s="90"/>
      <c r="M500" s="90"/>
      <c r="N500" s="90"/>
      <c r="O500" s="90"/>
      <c r="P500" s="90"/>
      <c r="Q500" s="90"/>
      <c r="R500" s="90"/>
      <c r="S500" s="90"/>
      <c r="T500" s="90"/>
      <c r="U500" s="90"/>
      <c r="V500" s="90"/>
      <c r="W500" s="90"/>
      <c r="X500" s="90"/>
    </row>
    <row r="501" spans="1:24" ht="12.75">
      <c r="A501" s="112"/>
      <c r="B501" s="113"/>
      <c r="C501" s="114"/>
      <c r="D501" s="114"/>
      <c r="E501" s="90"/>
      <c r="F501" s="115"/>
      <c r="G501" s="90"/>
      <c r="H501" s="90"/>
      <c r="I501" s="90"/>
      <c r="J501" s="90"/>
      <c r="K501" s="90"/>
      <c r="L501" s="90"/>
      <c r="M501" s="90"/>
      <c r="N501" s="90"/>
      <c r="O501" s="90"/>
      <c r="P501" s="90"/>
      <c r="Q501" s="90"/>
      <c r="R501" s="90"/>
      <c r="S501" s="90"/>
      <c r="T501" s="90"/>
      <c r="U501" s="90"/>
      <c r="V501" s="90"/>
      <c r="W501" s="90"/>
      <c r="X501" s="90"/>
    </row>
    <row r="502" spans="1:24" ht="12.75">
      <c r="A502" s="112"/>
      <c r="B502" s="113"/>
      <c r="C502" s="114"/>
      <c r="D502" s="114"/>
      <c r="E502" s="90"/>
      <c r="F502" s="115"/>
      <c r="G502" s="90"/>
      <c r="H502" s="90"/>
      <c r="I502" s="90"/>
      <c r="J502" s="90"/>
      <c r="K502" s="90"/>
      <c r="L502" s="90"/>
      <c r="M502" s="90"/>
      <c r="N502" s="90"/>
      <c r="O502" s="90"/>
      <c r="P502" s="90"/>
      <c r="Q502" s="90"/>
      <c r="R502" s="90"/>
      <c r="S502" s="90"/>
      <c r="T502" s="90"/>
      <c r="U502" s="90"/>
      <c r="V502" s="90"/>
      <c r="W502" s="90"/>
      <c r="X502" s="90"/>
    </row>
    <row r="503" spans="1:24" ht="12.75">
      <c r="A503" s="112"/>
      <c r="B503" s="113"/>
      <c r="C503" s="114"/>
      <c r="D503" s="114"/>
      <c r="E503" s="90"/>
      <c r="F503" s="115"/>
      <c r="G503" s="90"/>
      <c r="H503" s="90"/>
      <c r="I503" s="90"/>
      <c r="J503" s="90"/>
      <c r="K503" s="90"/>
      <c r="L503" s="90"/>
      <c r="M503" s="90"/>
      <c r="N503" s="90"/>
      <c r="O503" s="90"/>
      <c r="P503" s="90"/>
      <c r="Q503" s="90"/>
      <c r="R503" s="90"/>
      <c r="S503" s="90"/>
      <c r="T503" s="90"/>
      <c r="U503" s="90"/>
      <c r="V503" s="90"/>
      <c r="W503" s="90"/>
      <c r="X503" s="90"/>
    </row>
    <row r="504" spans="1:24" ht="12.75">
      <c r="A504" s="112"/>
      <c r="B504" s="113"/>
      <c r="C504" s="114"/>
      <c r="D504" s="114"/>
      <c r="E504" s="90"/>
      <c r="F504" s="115"/>
      <c r="G504" s="90"/>
      <c r="H504" s="90"/>
      <c r="I504" s="90"/>
      <c r="J504" s="90"/>
      <c r="K504" s="90"/>
      <c r="L504" s="90"/>
      <c r="M504" s="90"/>
      <c r="N504" s="90"/>
      <c r="O504" s="90"/>
      <c r="P504" s="90"/>
      <c r="Q504" s="90"/>
      <c r="R504" s="90"/>
      <c r="S504" s="90"/>
      <c r="T504" s="90"/>
      <c r="U504" s="90"/>
      <c r="V504" s="90"/>
      <c r="W504" s="90"/>
      <c r="X504" s="90"/>
    </row>
    <row r="505" spans="1:24" ht="12.75">
      <c r="A505" s="112"/>
      <c r="B505" s="113"/>
      <c r="C505" s="114"/>
      <c r="D505" s="114"/>
      <c r="E505" s="90"/>
      <c r="F505" s="115"/>
      <c r="G505" s="90"/>
      <c r="H505" s="90"/>
      <c r="I505" s="90"/>
      <c r="J505" s="90"/>
      <c r="K505" s="90"/>
      <c r="L505" s="90"/>
      <c r="M505" s="90"/>
      <c r="N505" s="90"/>
      <c r="O505" s="90"/>
      <c r="P505" s="90"/>
      <c r="Q505" s="90"/>
      <c r="R505" s="90"/>
      <c r="S505" s="90"/>
      <c r="T505" s="90"/>
      <c r="U505" s="90"/>
      <c r="V505" s="90"/>
      <c r="W505" s="90"/>
      <c r="X505" s="90"/>
    </row>
    <row r="506" spans="1:24" ht="12.75">
      <c r="A506" s="112"/>
      <c r="B506" s="113"/>
      <c r="C506" s="114"/>
      <c r="D506" s="114"/>
      <c r="E506" s="90"/>
      <c r="F506" s="115"/>
      <c r="G506" s="90"/>
      <c r="H506" s="90"/>
      <c r="I506" s="90"/>
      <c r="J506" s="90"/>
      <c r="K506" s="90"/>
      <c r="L506" s="90"/>
      <c r="M506" s="90"/>
      <c r="N506" s="90"/>
      <c r="O506" s="90"/>
      <c r="P506" s="90"/>
      <c r="Q506" s="90"/>
      <c r="R506" s="90"/>
      <c r="S506" s="90"/>
      <c r="T506" s="90"/>
      <c r="U506" s="90"/>
      <c r="V506" s="90"/>
      <c r="W506" s="90"/>
      <c r="X506" s="90"/>
    </row>
    <row r="507" spans="1:24" ht="12.75">
      <c r="A507" s="112"/>
      <c r="B507" s="113"/>
      <c r="C507" s="114"/>
      <c r="D507" s="114"/>
      <c r="E507" s="90"/>
      <c r="F507" s="115"/>
      <c r="G507" s="90"/>
      <c r="H507" s="90"/>
      <c r="I507" s="90"/>
      <c r="J507" s="90"/>
      <c r="K507" s="90"/>
      <c r="L507" s="90"/>
      <c r="M507" s="90"/>
      <c r="N507" s="90"/>
      <c r="O507" s="90"/>
      <c r="P507" s="90"/>
      <c r="Q507" s="90"/>
      <c r="R507" s="90"/>
      <c r="S507" s="90"/>
      <c r="T507" s="90"/>
      <c r="U507" s="90"/>
      <c r="V507" s="90"/>
      <c r="W507" s="90"/>
      <c r="X507" s="90"/>
    </row>
    <row r="508" spans="1:24" ht="12.75">
      <c r="A508" s="112"/>
      <c r="B508" s="113"/>
      <c r="C508" s="114"/>
      <c r="D508" s="114"/>
      <c r="E508" s="90"/>
      <c r="F508" s="115"/>
      <c r="G508" s="90"/>
      <c r="H508" s="90"/>
      <c r="I508" s="90"/>
      <c r="J508" s="90"/>
      <c r="K508" s="90"/>
      <c r="L508" s="90"/>
      <c r="M508" s="90"/>
      <c r="N508" s="90"/>
      <c r="O508" s="90"/>
      <c r="P508" s="90"/>
      <c r="Q508" s="90"/>
      <c r="R508" s="90"/>
      <c r="S508" s="90"/>
      <c r="T508" s="90"/>
      <c r="U508" s="90"/>
      <c r="V508" s="90"/>
      <c r="W508" s="90"/>
      <c r="X508" s="90"/>
    </row>
    <row r="509" spans="1:24" ht="12.75">
      <c r="A509" s="112"/>
      <c r="B509" s="113"/>
      <c r="C509" s="114"/>
      <c r="D509" s="114"/>
      <c r="E509" s="90"/>
      <c r="F509" s="115"/>
      <c r="G509" s="90"/>
      <c r="H509" s="90"/>
      <c r="I509" s="90"/>
      <c r="J509" s="90"/>
      <c r="K509" s="90"/>
      <c r="L509" s="90"/>
      <c r="M509" s="90"/>
      <c r="N509" s="90"/>
      <c r="O509" s="90"/>
      <c r="P509" s="90"/>
      <c r="Q509" s="90"/>
      <c r="R509" s="90"/>
      <c r="S509" s="90"/>
      <c r="T509" s="90"/>
      <c r="U509" s="90"/>
      <c r="V509" s="90"/>
      <c r="W509" s="90"/>
      <c r="X509" s="90"/>
    </row>
    <row r="510" spans="1:24" ht="12.75">
      <c r="A510" s="112"/>
      <c r="B510" s="113"/>
      <c r="C510" s="114"/>
      <c r="D510" s="114"/>
      <c r="E510" s="90"/>
      <c r="F510" s="115"/>
      <c r="G510" s="90"/>
      <c r="H510" s="90"/>
      <c r="I510" s="90"/>
      <c r="J510" s="90"/>
      <c r="K510" s="90"/>
      <c r="L510" s="90"/>
      <c r="M510" s="90"/>
      <c r="N510" s="90"/>
      <c r="O510" s="90"/>
      <c r="P510" s="90"/>
      <c r="Q510" s="90"/>
      <c r="R510" s="90"/>
      <c r="S510" s="90"/>
      <c r="T510" s="90"/>
      <c r="U510" s="90"/>
      <c r="V510" s="90"/>
      <c r="W510" s="90"/>
      <c r="X510" s="90"/>
    </row>
    <row r="511" spans="1:24" ht="12.75">
      <c r="A511" s="112"/>
      <c r="B511" s="113"/>
      <c r="C511" s="114"/>
      <c r="D511" s="114"/>
      <c r="E511" s="90"/>
      <c r="F511" s="115"/>
      <c r="G511" s="90"/>
      <c r="H511" s="90"/>
      <c r="I511" s="90"/>
      <c r="J511" s="90"/>
      <c r="K511" s="90"/>
      <c r="L511" s="90"/>
      <c r="M511" s="90"/>
      <c r="N511" s="90"/>
      <c r="O511" s="90"/>
      <c r="P511" s="90"/>
      <c r="Q511" s="90"/>
      <c r="R511" s="90"/>
      <c r="S511" s="90"/>
      <c r="T511" s="90"/>
      <c r="U511" s="90"/>
      <c r="V511" s="90"/>
      <c r="W511" s="90"/>
      <c r="X511" s="90"/>
    </row>
    <row r="512" spans="1:24" ht="12.75">
      <c r="A512" s="112"/>
      <c r="B512" s="113"/>
      <c r="C512" s="114"/>
      <c r="D512" s="114"/>
      <c r="E512" s="90"/>
      <c r="F512" s="115"/>
      <c r="G512" s="90"/>
      <c r="H512" s="90"/>
      <c r="I512" s="90"/>
      <c r="J512" s="90"/>
      <c r="K512" s="90"/>
      <c r="L512" s="90"/>
      <c r="M512" s="90"/>
      <c r="N512" s="90"/>
      <c r="O512" s="90"/>
      <c r="P512" s="90"/>
      <c r="Q512" s="90"/>
      <c r="R512" s="90"/>
      <c r="S512" s="90"/>
      <c r="T512" s="90"/>
      <c r="U512" s="90"/>
      <c r="V512" s="90"/>
      <c r="W512" s="90"/>
      <c r="X512" s="90"/>
    </row>
    <row r="513" spans="1:24" ht="12.75">
      <c r="A513" s="112"/>
      <c r="B513" s="113"/>
      <c r="C513" s="114"/>
      <c r="D513" s="114"/>
      <c r="E513" s="90"/>
      <c r="F513" s="115"/>
      <c r="G513" s="90"/>
      <c r="H513" s="90"/>
      <c r="I513" s="90"/>
      <c r="J513" s="90"/>
      <c r="K513" s="90"/>
      <c r="L513" s="90"/>
      <c r="M513" s="90"/>
      <c r="N513" s="90"/>
      <c r="O513" s="90"/>
      <c r="P513" s="90"/>
      <c r="Q513" s="90"/>
      <c r="R513" s="90"/>
      <c r="S513" s="90"/>
      <c r="T513" s="90"/>
      <c r="U513" s="90"/>
      <c r="V513" s="90"/>
      <c r="W513" s="90"/>
      <c r="X513" s="90"/>
    </row>
    <row r="514" spans="1:24" ht="12.75">
      <c r="A514" s="112"/>
      <c r="B514" s="113"/>
      <c r="C514" s="114"/>
      <c r="D514" s="114"/>
      <c r="E514" s="90"/>
      <c r="F514" s="115"/>
      <c r="G514" s="90"/>
      <c r="H514" s="90"/>
      <c r="I514" s="90"/>
      <c r="J514" s="90"/>
      <c r="K514" s="90"/>
      <c r="L514" s="90"/>
      <c r="M514" s="90"/>
      <c r="N514" s="90"/>
      <c r="O514" s="90"/>
      <c r="P514" s="90"/>
      <c r="Q514" s="90"/>
      <c r="R514" s="90"/>
      <c r="S514" s="90"/>
      <c r="T514" s="90"/>
      <c r="U514" s="90"/>
      <c r="V514" s="90"/>
      <c r="W514" s="90"/>
      <c r="X514" s="90"/>
    </row>
    <row r="515" spans="1:24" ht="12.75">
      <c r="A515" s="112"/>
      <c r="B515" s="113"/>
      <c r="C515" s="114"/>
      <c r="D515" s="114"/>
      <c r="E515" s="90"/>
      <c r="F515" s="115"/>
      <c r="G515" s="90"/>
      <c r="H515" s="90"/>
      <c r="I515" s="90"/>
      <c r="J515" s="90"/>
      <c r="K515" s="90"/>
      <c r="L515" s="90"/>
      <c r="M515" s="90"/>
      <c r="N515" s="90"/>
      <c r="O515" s="90"/>
      <c r="P515" s="90"/>
      <c r="Q515" s="90"/>
      <c r="R515" s="90"/>
      <c r="S515" s="90"/>
      <c r="T515" s="90"/>
      <c r="U515" s="90"/>
      <c r="V515" s="90"/>
      <c r="W515" s="90"/>
      <c r="X515" s="90"/>
    </row>
    <row r="516" spans="1:24" ht="12.75">
      <c r="A516" s="112"/>
      <c r="B516" s="113"/>
      <c r="C516" s="114"/>
      <c r="D516" s="114"/>
      <c r="E516" s="90"/>
      <c r="F516" s="115"/>
      <c r="G516" s="90"/>
      <c r="H516" s="90"/>
      <c r="I516" s="90"/>
      <c r="J516" s="90"/>
      <c r="K516" s="90"/>
      <c r="L516" s="90"/>
      <c r="M516" s="90"/>
      <c r="N516" s="90"/>
      <c r="O516" s="90"/>
      <c r="P516" s="90"/>
      <c r="Q516" s="90"/>
      <c r="R516" s="90"/>
      <c r="S516" s="90"/>
      <c r="T516" s="90"/>
      <c r="U516" s="90"/>
      <c r="V516" s="90"/>
      <c r="W516" s="90"/>
      <c r="X516" s="90"/>
    </row>
    <row r="517" spans="1:24" ht="12.75">
      <c r="A517" s="112"/>
      <c r="B517" s="113"/>
      <c r="C517" s="114"/>
      <c r="D517" s="114"/>
      <c r="E517" s="90"/>
      <c r="F517" s="115"/>
      <c r="G517" s="90"/>
      <c r="H517" s="90"/>
      <c r="I517" s="90"/>
      <c r="J517" s="90"/>
      <c r="K517" s="90"/>
      <c r="L517" s="90"/>
      <c r="M517" s="90"/>
      <c r="N517" s="90"/>
      <c r="O517" s="90"/>
      <c r="P517" s="90"/>
      <c r="Q517" s="90"/>
      <c r="R517" s="90"/>
      <c r="S517" s="90"/>
      <c r="T517" s="90"/>
      <c r="U517" s="90"/>
      <c r="V517" s="90"/>
      <c r="W517" s="90"/>
      <c r="X517" s="90"/>
    </row>
    <row r="518" spans="1:24" ht="12.75">
      <c r="A518" s="112"/>
      <c r="B518" s="113"/>
      <c r="C518" s="114"/>
      <c r="D518" s="114"/>
      <c r="E518" s="90"/>
      <c r="F518" s="115"/>
      <c r="G518" s="90"/>
      <c r="H518" s="90"/>
      <c r="I518" s="90"/>
      <c r="J518" s="90"/>
      <c r="K518" s="90"/>
      <c r="L518" s="90"/>
      <c r="M518" s="90"/>
      <c r="N518" s="90"/>
      <c r="O518" s="90"/>
      <c r="P518" s="90"/>
      <c r="Q518" s="90"/>
      <c r="R518" s="90"/>
      <c r="S518" s="90"/>
      <c r="T518" s="90"/>
      <c r="U518" s="90"/>
      <c r="V518" s="90"/>
      <c r="W518" s="90"/>
      <c r="X518" s="90"/>
    </row>
    <row r="519" spans="1:24" ht="12.75">
      <c r="A519" s="112"/>
      <c r="B519" s="113"/>
      <c r="C519" s="114"/>
      <c r="D519" s="114"/>
      <c r="E519" s="90"/>
      <c r="F519" s="115"/>
      <c r="G519" s="90"/>
      <c r="H519" s="90"/>
      <c r="I519" s="90"/>
      <c r="J519" s="90"/>
      <c r="K519" s="90"/>
      <c r="L519" s="90"/>
      <c r="M519" s="90"/>
      <c r="N519" s="90"/>
      <c r="O519" s="90"/>
      <c r="P519" s="90"/>
      <c r="Q519" s="90"/>
      <c r="R519" s="90"/>
      <c r="S519" s="90"/>
      <c r="T519" s="90"/>
      <c r="U519" s="90"/>
      <c r="V519" s="90"/>
      <c r="W519" s="90"/>
      <c r="X519" s="90"/>
    </row>
    <row r="520" spans="1:24" ht="12.75">
      <c r="A520" s="112"/>
      <c r="B520" s="113"/>
      <c r="C520" s="114"/>
      <c r="D520" s="114"/>
      <c r="E520" s="90"/>
      <c r="F520" s="115"/>
      <c r="G520" s="90"/>
      <c r="H520" s="90"/>
      <c r="I520" s="90"/>
      <c r="J520" s="90"/>
      <c r="K520" s="90"/>
      <c r="L520" s="90"/>
      <c r="M520" s="90"/>
      <c r="N520" s="90"/>
      <c r="O520" s="90"/>
      <c r="P520" s="90"/>
      <c r="Q520" s="90"/>
      <c r="R520" s="90"/>
      <c r="S520" s="90"/>
      <c r="T520" s="90"/>
      <c r="U520" s="90"/>
      <c r="V520" s="90"/>
      <c r="W520" s="90"/>
      <c r="X520" s="90"/>
    </row>
    <row r="521" spans="1:24" ht="12.75">
      <c r="A521" s="112"/>
      <c r="B521" s="113"/>
      <c r="C521" s="114"/>
      <c r="D521" s="114"/>
      <c r="E521" s="90"/>
      <c r="F521" s="115"/>
      <c r="G521" s="90"/>
      <c r="H521" s="90"/>
      <c r="I521" s="90"/>
      <c r="J521" s="90"/>
      <c r="K521" s="90"/>
      <c r="L521" s="90"/>
      <c r="M521" s="90"/>
      <c r="N521" s="90"/>
      <c r="O521" s="90"/>
      <c r="P521" s="90"/>
      <c r="Q521" s="90"/>
      <c r="R521" s="90"/>
      <c r="S521" s="90"/>
      <c r="T521" s="90"/>
      <c r="U521" s="90"/>
      <c r="V521" s="90"/>
      <c r="W521" s="90"/>
      <c r="X521" s="90"/>
    </row>
    <row r="522" spans="1:24" ht="12.75">
      <c r="A522" s="112"/>
      <c r="B522" s="113"/>
      <c r="C522" s="114"/>
      <c r="D522" s="114"/>
      <c r="E522" s="90"/>
      <c r="F522" s="115"/>
      <c r="G522" s="90"/>
      <c r="H522" s="90"/>
      <c r="I522" s="90"/>
      <c r="J522" s="90"/>
      <c r="K522" s="90"/>
      <c r="L522" s="90"/>
      <c r="M522" s="90"/>
      <c r="N522" s="90"/>
      <c r="O522" s="90"/>
      <c r="P522" s="90"/>
      <c r="Q522" s="90"/>
      <c r="R522" s="90"/>
      <c r="S522" s="90"/>
      <c r="T522" s="90"/>
      <c r="U522" s="90"/>
      <c r="V522" s="90"/>
      <c r="W522" s="90"/>
      <c r="X522" s="90"/>
    </row>
    <row r="523" spans="1:24" ht="12.75">
      <c r="A523" s="112"/>
      <c r="B523" s="113"/>
      <c r="C523" s="114"/>
      <c r="D523" s="114"/>
      <c r="E523" s="90"/>
      <c r="F523" s="115"/>
      <c r="G523" s="90"/>
      <c r="H523" s="90"/>
      <c r="I523" s="90"/>
      <c r="J523" s="90"/>
      <c r="K523" s="90"/>
      <c r="L523" s="90"/>
      <c r="M523" s="90"/>
      <c r="N523" s="90"/>
      <c r="O523" s="90"/>
      <c r="P523" s="90"/>
      <c r="Q523" s="90"/>
      <c r="R523" s="90"/>
      <c r="S523" s="90"/>
      <c r="T523" s="90"/>
      <c r="U523" s="90"/>
      <c r="V523" s="90"/>
      <c r="W523" s="90"/>
      <c r="X523" s="90"/>
    </row>
    <row r="524" spans="1:24" ht="12.75">
      <c r="A524" s="112"/>
      <c r="B524" s="113"/>
      <c r="C524" s="114"/>
      <c r="D524" s="114"/>
      <c r="E524" s="90"/>
      <c r="F524" s="115"/>
      <c r="G524" s="90"/>
      <c r="H524" s="90"/>
      <c r="I524" s="90"/>
      <c r="J524" s="90"/>
      <c r="K524" s="90"/>
      <c r="L524" s="90"/>
      <c r="M524" s="90"/>
      <c r="N524" s="90"/>
      <c r="O524" s="90"/>
      <c r="P524" s="90"/>
      <c r="Q524" s="90"/>
      <c r="R524" s="90"/>
      <c r="S524" s="90"/>
      <c r="T524" s="90"/>
      <c r="U524" s="90"/>
      <c r="V524" s="90"/>
      <c r="W524" s="90"/>
      <c r="X524" s="90"/>
    </row>
    <row r="525" spans="1:24" ht="12.75">
      <c r="A525" s="112"/>
      <c r="B525" s="113"/>
      <c r="C525" s="114"/>
      <c r="D525" s="114"/>
      <c r="E525" s="90"/>
      <c r="F525" s="115"/>
      <c r="G525" s="90"/>
      <c r="H525" s="90"/>
      <c r="I525" s="90"/>
      <c r="J525" s="90"/>
      <c r="K525" s="90"/>
      <c r="L525" s="90"/>
      <c r="M525" s="90"/>
      <c r="N525" s="90"/>
      <c r="O525" s="90"/>
      <c r="P525" s="90"/>
      <c r="Q525" s="90"/>
      <c r="R525" s="90"/>
      <c r="S525" s="90"/>
      <c r="T525" s="90"/>
      <c r="U525" s="90"/>
      <c r="V525" s="90"/>
      <c r="W525" s="90"/>
      <c r="X525" s="90"/>
    </row>
    <row r="526" spans="1:24" ht="12.75">
      <c r="A526" s="112"/>
      <c r="B526" s="113"/>
      <c r="C526" s="114"/>
      <c r="D526" s="114"/>
      <c r="E526" s="90"/>
      <c r="F526" s="115"/>
      <c r="G526" s="90"/>
      <c r="H526" s="90"/>
      <c r="I526" s="90"/>
      <c r="J526" s="90"/>
      <c r="K526" s="90"/>
      <c r="L526" s="90"/>
      <c r="M526" s="90"/>
      <c r="N526" s="90"/>
      <c r="O526" s="90"/>
      <c r="P526" s="90"/>
      <c r="Q526" s="90"/>
      <c r="R526" s="90"/>
      <c r="S526" s="90"/>
      <c r="T526" s="90"/>
      <c r="U526" s="90"/>
      <c r="V526" s="90"/>
      <c r="W526" s="90"/>
      <c r="X526" s="90"/>
    </row>
    <row r="527" spans="1:24" ht="12.75">
      <c r="A527" s="112"/>
      <c r="B527" s="113"/>
      <c r="C527" s="114"/>
      <c r="D527" s="114"/>
      <c r="E527" s="90"/>
      <c r="F527" s="115"/>
      <c r="G527" s="90"/>
      <c r="H527" s="90"/>
      <c r="I527" s="90"/>
      <c r="J527" s="90"/>
      <c r="K527" s="90"/>
      <c r="L527" s="90"/>
      <c r="M527" s="90"/>
      <c r="N527" s="90"/>
      <c r="O527" s="90"/>
      <c r="P527" s="90"/>
      <c r="Q527" s="90"/>
      <c r="R527" s="90"/>
      <c r="S527" s="90"/>
      <c r="T527" s="90"/>
      <c r="U527" s="90"/>
      <c r="V527" s="90"/>
      <c r="W527" s="90"/>
      <c r="X527" s="90"/>
    </row>
    <row r="528" spans="1:24" ht="12.75">
      <c r="A528" s="112"/>
      <c r="B528" s="113"/>
      <c r="C528" s="114"/>
      <c r="D528" s="114"/>
      <c r="E528" s="90"/>
      <c r="F528" s="115"/>
      <c r="G528" s="90"/>
      <c r="H528" s="90"/>
      <c r="I528" s="90"/>
      <c r="J528" s="90"/>
      <c r="K528" s="90"/>
      <c r="L528" s="90"/>
      <c r="M528" s="90"/>
      <c r="N528" s="90"/>
      <c r="O528" s="90"/>
      <c r="P528" s="90"/>
      <c r="Q528" s="90"/>
      <c r="R528" s="90"/>
      <c r="S528" s="90"/>
      <c r="T528" s="90"/>
      <c r="U528" s="90"/>
      <c r="V528" s="90"/>
      <c r="W528" s="90"/>
      <c r="X528" s="90"/>
    </row>
    <row r="529" spans="1:24" ht="12.75">
      <c r="A529" s="112"/>
      <c r="B529" s="113"/>
      <c r="C529" s="114"/>
      <c r="D529" s="114"/>
      <c r="E529" s="90"/>
      <c r="F529" s="115"/>
      <c r="G529" s="90"/>
      <c r="H529" s="90"/>
      <c r="I529" s="90"/>
      <c r="J529" s="90"/>
      <c r="K529" s="90"/>
      <c r="L529" s="90"/>
      <c r="M529" s="90"/>
      <c r="N529" s="90"/>
      <c r="O529" s="90"/>
      <c r="P529" s="90"/>
      <c r="Q529" s="90"/>
      <c r="R529" s="90"/>
      <c r="S529" s="90"/>
      <c r="T529" s="90"/>
      <c r="U529" s="90"/>
      <c r="V529" s="90"/>
      <c r="W529" s="90"/>
      <c r="X529" s="90"/>
    </row>
    <row r="530" spans="1:24" ht="12.75">
      <c r="A530" s="112"/>
      <c r="B530" s="113"/>
      <c r="C530" s="114"/>
      <c r="D530" s="114"/>
      <c r="E530" s="90"/>
      <c r="F530" s="115"/>
      <c r="G530" s="90"/>
      <c r="H530" s="90"/>
      <c r="I530" s="90"/>
      <c r="J530" s="90"/>
      <c r="K530" s="90"/>
      <c r="L530" s="90"/>
      <c r="M530" s="90"/>
      <c r="N530" s="90"/>
      <c r="O530" s="90"/>
      <c r="P530" s="90"/>
      <c r="Q530" s="90"/>
      <c r="R530" s="90"/>
      <c r="S530" s="90"/>
      <c r="T530" s="90"/>
      <c r="U530" s="90"/>
      <c r="V530" s="90"/>
      <c r="W530" s="90"/>
      <c r="X530" s="90"/>
    </row>
    <row r="531" spans="1:24" ht="12.75">
      <c r="A531" s="112"/>
      <c r="B531" s="113"/>
      <c r="C531" s="114"/>
      <c r="D531" s="114"/>
      <c r="E531" s="90"/>
      <c r="F531" s="115"/>
      <c r="G531" s="90"/>
      <c r="H531" s="90"/>
      <c r="I531" s="90"/>
      <c r="J531" s="90"/>
      <c r="K531" s="90"/>
      <c r="L531" s="90"/>
      <c r="M531" s="90"/>
      <c r="N531" s="90"/>
      <c r="O531" s="90"/>
      <c r="P531" s="90"/>
      <c r="Q531" s="90"/>
      <c r="R531" s="90"/>
      <c r="S531" s="90"/>
      <c r="T531" s="90"/>
      <c r="U531" s="90"/>
      <c r="V531" s="90"/>
      <c r="W531" s="90"/>
      <c r="X531" s="90"/>
    </row>
    <row r="532" spans="1:24" ht="12.75">
      <c r="A532" s="112"/>
      <c r="B532" s="113"/>
      <c r="C532" s="114"/>
      <c r="D532" s="114"/>
      <c r="E532" s="90"/>
      <c r="F532" s="115"/>
      <c r="G532" s="90"/>
      <c r="H532" s="90"/>
      <c r="I532" s="90"/>
      <c r="J532" s="90"/>
      <c r="K532" s="90"/>
      <c r="L532" s="90"/>
      <c r="M532" s="90"/>
      <c r="N532" s="90"/>
      <c r="O532" s="90"/>
      <c r="P532" s="90"/>
      <c r="Q532" s="90"/>
      <c r="R532" s="90"/>
      <c r="S532" s="90"/>
      <c r="T532" s="90"/>
      <c r="U532" s="90"/>
      <c r="V532" s="90"/>
      <c r="W532" s="90"/>
      <c r="X532" s="90"/>
    </row>
    <row r="533" spans="1:24" ht="12.75">
      <c r="A533" s="112"/>
      <c r="B533" s="113"/>
      <c r="C533" s="114"/>
      <c r="D533" s="114"/>
      <c r="E533" s="90"/>
      <c r="F533" s="115"/>
      <c r="G533" s="90"/>
      <c r="H533" s="90"/>
      <c r="I533" s="90"/>
      <c r="J533" s="90"/>
      <c r="K533" s="90"/>
      <c r="L533" s="90"/>
      <c r="M533" s="90"/>
      <c r="N533" s="90"/>
      <c r="O533" s="90"/>
      <c r="P533" s="90"/>
      <c r="Q533" s="90"/>
      <c r="R533" s="90"/>
      <c r="S533" s="90"/>
      <c r="T533" s="90"/>
      <c r="U533" s="90"/>
      <c r="V533" s="90"/>
      <c r="W533" s="90"/>
      <c r="X533" s="90"/>
    </row>
    <row r="534" spans="1:24" ht="12.75">
      <c r="A534" s="112"/>
      <c r="B534" s="113"/>
      <c r="C534" s="114"/>
      <c r="D534" s="114"/>
      <c r="E534" s="90"/>
      <c r="F534" s="115"/>
      <c r="G534" s="90"/>
      <c r="H534" s="90"/>
      <c r="I534" s="90"/>
      <c r="J534" s="90"/>
      <c r="K534" s="90"/>
      <c r="L534" s="90"/>
      <c r="M534" s="90"/>
      <c r="N534" s="90"/>
      <c r="O534" s="90"/>
      <c r="P534" s="90"/>
      <c r="Q534" s="90"/>
      <c r="R534" s="90"/>
      <c r="S534" s="90"/>
      <c r="T534" s="90"/>
      <c r="U534" s="90"/>
      <c r="V534" s="90"/>
      <c r="W534" s="90"/>
      <c r="X534" s="90"/>
    </row>
    <row r="535" spans="1:24" ht="12.75">
      <c r="A535" s="112"/>
      <c r="B535" s="113"/>
      <c r="C535" s="114"/>
      <c r="D535" s="114"/>
      <c r="E535" s="90"/>
      <c r="F535" s="115"/>
      <c r="G535" s="90"/>
      <c r="H535" s="90"/>
      <c r="I535" s="90"/>
      <c r="J535" s="90"/>
      <c r="K535" s="90"/>
      <c r="L535" s="90"/>
      <c r="M535" s="90"/>
      <c r="N535" s="90"/>
      <c r="O535" s="90"/>
      <c r="P535" s="90"/>
      <c r="Q535" s="90"/>
      <c r="R535" s="90"/>
      <c r="S535" s="90"/>
      <c r="T535" s="90"/>
      <c r="U535" s="90"/>
      <c r="V535" s="90"/>
      <c r="W535" s="90"/>
      <c r="X535" s="90"/>
    </row>
    <row r="536" spans="1:24" ht="12.75">
      <c r="A536" s="112"/>
      <c r="B536" s="113"/>
      <c r="C536" s="114"/>
      <c r="D536" s="114"/>
      <c r="E536" s="90"/>
      <c r="F536" s="115"/>
      <c r="G536" s="90"/>
      <c r="H536" s="90"/>
      <c r="I536" s="90"/>
      <c r="J536" s="90"/>
      <c r="K536" s="90"/>
      <c r="L536" s="90"/>
      <c r="M536" s="90"/>
      <c r="N536" s="90"/>
      <c r="O536" s="90"/>
      <c r="P536" s="90"/>
      <c r="Q536" s="90"/>
      <c r="R536" s="90"/>
      <c r="S536" s="90"/>
      <c r="T536" s="90"/>
      <c r="U536" s="90"/>
      <c r="V536" s="90"/>
      <c r="W536" s="90"/>
      <c r="X536" s="90"/>
    </row>
    <row r="537" spans="1:24" ht="12.75">
      <c r="A537" s="112"/>
      <c r="B537" s="113"/>
      <c r="C537" s="114"/>
      <c r="D537" s="114"/>
      <c r="E537" s="90"/>
      <c r="F537" s="115"/>
      <c r="G537" s="90"/>
      <c r="H537" s="90"/>
      <c r="I537" s="90"/>
      <c r="J537" s="90"/>
      <c r="K537" s="90"/>
      <c r="L537" s="90"/>
      <c r="M537" s="90"/>
      <c r="N537" s="90"/>
      <c r="O537" s="90"/>
      <c r="P537" s="90"/>
      <c r="Q537" s="90"/>
      <c r="R537" s="90"/>
      <c r="S537" s="90"/>
      <c r="T537" s="90"/>
      <c r="U537" s="90"/>
      <c r="V537" s="90"/>
      <c r="W537" s="90"/>
      <c r="X537" s="90"/>
    </row>
    <row r="538" spans="1:24" ht="12.75">
      <c r="A538" s="112"/>
      <c r="B538" s="113"/>
      <c r="C538" s="114"/>
      <c r="D538" s="114"/>
      <c r="E538" s="90"/>
      <c r="F538" s="115"/>
      <c r="G538" s="90"/>
      <c r="H538" s="90"/>
      <c r="I538" s="90"/>
      <c r="J538" s="90"/>
      <c r="K538" s="90"/>
      <c r="L538" s="90"/>
      <c r="M538" s="90"/>
      <c r="N538" s="90"/>
      <c r="O538" s="90"/>
      <c r="P538" s="90"/>
      <c r="Q538" s="90"/>
      <c r="R538" s="90"/>
      <c r="S538" s="90"/>
      <c r="T538" s="90"/>
      <c r="U538" s="90"/>
      <c r="V538" s="90"/>
      <c r="W538" s="90"/>
      <c r="X538" s="90"/>
    </row>
    <row r="539" spans="1:24" ht="12.75">
      <c r="A539" s="112"/>
      <c r="B539" s="113"/>
      <c r="C539" s="114"/>
      <c r="D539" s="114"/>
      <c r="E539" s="90"/>
      <c r="F539" s="115"/>
      <c r="G539" s="90"/>
      <c r="H539" s="90"/>
      <c r="I539" s="90"/>
      <c r="J539" s="90"/>
      <c r="K539" s="90"/>
      <c r="L539" s="90"/>
      <c r="M539" s="90"/>
      <c r="N539" s="90"/>
      <c r="O539" s="90"/>
      <c r="P539" s="90"/>
      <c r="Q539" s="90"/>
      <c r="R539" s="90"/>
      <c r="S539" s="90"/>
      <c r="T539" s="90"/>
      <c r="U539" s="90"/>
      <c r="V539" s="90"/>
      <c r="W539" s="90"/>
      <c r="X539" s="90"/>
    </row>
    <row r="540" spans="1:24" ht="12.75">
      <c r="A540" s="112"/>
      <c r="B540" s="113"/>
      <c r="C540" s="114"/>
      <c r="D540" s="114"/>
      <c r="E540" s="90"/>
      <c r="F540" s="115"/>
      <c r="G540" s="90"/>
      <c r="H540" s="90"/>
      <c r="I540" s="90"/>
      <c r="J540" s="90"/>
      <c r="K540" s="90"/>
      <c r="L540" s="90"/>
      <c r="M540" s="90"/>
      <c r="N540" s="90"/>
      <c r="O540" s="90"/>
      <c r="P540" s="90"/>
      <c r="Q540" s="90"/>
      <c r="R540" s="90"/>
      <c r="S540" s="90"/>
      <c r="T540" s="90"/>
      <c r="U540" s="90"/>
      <c r="V540" s="90"/>
      <c r="W540" s="90"/>
      <c r="X540" s="90"/>
    </row>
    <row r="541" spans="1:24" ht="12.75">
      <c r="A541" s="112"/>
      <c r="B541" s="113"/>
      <c r="C541" s="114"/>
      <c r="D541" s="114"/>
      <c r="E541" s="90"/>
      <c r="F541" s="115"/>
      <c r="G541" s="90"/>
      <c r="H541" s="90"/>
      <c r="I541" s="90"/>
      <c r="J541" s="90"/>
      <c r="K541" s="90"/>
      <c r="L541" s="90"/>
      <c r="M541" s="90"/>
      <c r="N541" s="90"/>
      <c r="O541" s="90"/>
      <c r="P541" s="90"/>
      <c r="Q541" s="90"/>
      <c r="R541" s="90"/>
      <c r="S541" s="90"/>
      <c r="T541" s="90"/>
      <c r="U541" s="90"/>
      <c r="V541" s="90"/>
      <c r="W541" s="90"/>
      <c r="X541" s="90"/>
    </row>
    <row r="542" spans="1:24" ht="12.75">
      <c r="A542" s="112"/>
      <c r="B542" s="113"/>
      <c r="C542" s="114"/>
      <c r="D542" s="114"/>
      <c r="E542" s="90"/>
      <c r="F542" s="115"/>
      <c r="G542" s="90"/>
      <c r="H542" s="90"/>
      <c r="I542" s="90"/>
      <c r="J542" s="90"/>
      <c r="K542" s="90"/>
      <c r="L542" s="90"/>
      <c r="M542" s="90"/>
      <c r="N542" s="90"/>
      <c r="O542" s="90"/>
      <c r="P542" s="90"/>
      <c r="Q542" s="90"/>
      <c r="R542" s="90"/>
      <c r="S542" s="90"/>
      <c r="T542" s="90"/>
      <c r="U542" s="90"/>
      <c r="V542" s="90"/>
      <c r="W542" s="90"/>
      <c r="X542" s="90"/>
    </row>
    <row r="543" spans="1:24" ht="12.75">
      <c r="A543" s="112"/>
      <c r="B543" s="113"/>
      <c r="C543" s="114"/>
      <c r="D543" s="114"/>
      <c r="E543" s="90"/>
      <c r="F543" s="115"/>
      <c r="G543" s="90"/>
      <c r="H543" s="90"/>
      <c r="I543" s="90"/>
      <c r="J543" s="90"/>
      <c r="K543" s="90"/>
      <c r="L543" s="90"/>
      <c r="M543" s="90"/>
      <c r="N543" s="90"/>
      <c r="O543" s="90"/>
      <c r="P543" s="90"/>
      <c r="Q543" s="90"/>
      <c r="R543" s="90"/>
      <c r="S543" s="90"/>
      <c r="T543" s="90"/>
      <c r="U543" s="90"/>
      <c r="V543" s="90"/>
      <c r="W543" s="90"/>
      <c r="X543" s="90"/>
    </row>
    <row r="544" spans="1:24" ht="12.75">
      <c r="A544" s="112"/>
      <c r="B544" s="113"/>
      <c r="C544" s="114"/>
      <c r="D544" s="114"/>
      <c r="E544" s="90"/>
      <c r="F544" s="115"/>
      <c r="G544" s="90"/>
      <c r="H544" s="90"/>
      <c r="I544" s="90"/>
      <c r="J544" s="90"/>
      <c r="K544" s="90"/>
      <c r="L544" s="90"/>
      <c r="M544" s="90"/>
      <c r="N544" s="90"/>
      <c r="O544" s="90"/>
      <c r="P544" s="90"/>
      <c r="Q544" s="90"/>
      <c r="R544" s="90"/>
      <c r="S544" s="90"/>
      <c r="T544" s="90"/>
      <c r="U544" s="90"/>
      <c r="V544" s="90"/>
      <c r="W544" s="90"/>
      <c r="X544" s="90"/>
    </row>
    <row r="545" spans="1:24" ht="12.75">
      <c r="A545" s="112"/>
      <c r="B545" s="113"/>
      <c r="C545" s="114"/>
      <c r="D545" s="114"/>
      <c r="E545" s="90"/>
      <c r="F545" s="115"/>
      <c r="G545" s="90"/>
      <c r="H545" s="90"/>
      <c r="I545" s="90"/>
      <c r="J545" s="90"/>
      <c r="K545" s="90"/>
      <c r="L545" s="90"/>
      <c r="M545" s="90"/>
      <c r="N545" s="90"/>
      <c r="O545" s="90"/>
      <c r="P545" s="90"/>
      <c r="Q545" s="90"/>
      <c r="R545" s="90"/>
      <c r="S545" s="90"/>
      <c r="T545" s="90"/>
      <c r="U545" s="90"/>
      <c r="V545" s="90"/>
      <c r="W545" s="90"/>
      <c r="X545" s="90"/>
    </row>
    <row r="546" spans="1:24" ht="12.75">
      <c r="A546" s="112"/>
      <c r="B546" s="113"/>
      <c r="C546" s="114"/>
      <c r="D546" s="114"/>
      <c r="E546" s="90"/>
      <c r="F546" s="115"/>
      <c r="G546" s="90"/>
      <c r="H546" s="90"/>
      <c r="I546" s="90"/>
      <c r="J546" s="90"/>
      <c r="K546" s="90"/>
      <c r="L546" s="90"/>
      <c r="M546" s="90"/>
      <c r="N546" s="90"/>
      <c r="O546" s="90"/>
      <c r="P546" s="90"/>
      <c r="Q546" s="90"/>
      <c r="R546" s="90"/>
      <c r="S546" s="90"/>
      <c r="T546" s="90"/>
      <c r="U546" s="90"/>
      <c r="V546" s="90"/>
      <c r="W546" s="90"/>
      <c r="X546" s="90"/>
    </row>
    <row r="547" spans="1:24" ht="12.75">
      <c r="A547" s="112"/>
      <c r="B547" s="113"/>
      <c r="C547" s="114"/>
      <c r="D547" s="114"/>
      <c r="E547" s="90"/>
      <c r="F547" s="115"/>
      <c r="G547" s="90"/>
      <c r="H547" s="90"/>
      <c r="I547" s="90"/>
      <c r="J547" s="90"/>
      <c r="K547" s="90"/>
      <c r="L547" s="90"/>
      <c r="M547" s="90"/>
      <c r="N547" s="90"/>
      <c r="O547" s="90"/>
      <c r="P547" s="90"/>
      <c r="Q547" s="90"/>
      <c r="R547" s="90"/>
      <c r="S547" s="90"/>
      <c r="T547" s="90"/>
      <c r="U547" s="90"/>
      <c r="V547" s="90"/>
      <c r="W547" s="90"/>
      <c r="X547" s="90"/>
    </row>
    <row r="548" spans="1:24" ht="12.75">
      <c r="A548" s="112"/>
      <c r="B548" s="113"/>
      <c r="C548" s="114"/>
      <c r="D548" s="114"/>
      <c r="E548" s="90"/>
      <c r="F548" s="115"/>
      <c r="G548" s="90"/>
      <c r="H548" s="90"/>
      <c r="I548" s="90"/>
      <c r="J548" s="90"/>
      <c r="K548" s="90"/>
      <c r="L548" s="90"/>
      <c r="M548" s="90"/>
      <c r="N548" s="90"/>
      <c r="O548" s="90"/>
      <c r="P548" s="90"/>
      <c r="Q548" s="90"/>
      <c r="R548" s="90"/>
      <c r="S548" s="90"/>
      <c r="T548" s="90"/>
      <c r="U548" s="90"/>
      <c r="V548" s="90"/>
      <c r="W548" s="90"/>
      <c r="X548" s="90"/>
    </row>
    <row r="549" spans="1:24" ht="12.75">
      <c r="A549" s="112"/>
      <c r="B549" s="113"/>
      <c r="C549" s="114"/>
      <c r="D549" s="114"/>
      <c r="E549" s="90"/>
      <c r="F549" s="115"/>
      <c r="G549" s="90"/>
      <c r="H549" s="90"/>
      <c r="I549" s="90"/>
      <c r="J549" s="90"/>
      <c r="K549" s="90"/>
      <c r="L549" s="90"/>
      <c r="M549" s="90"/>
      <c r="N549" s="90"/>
      <c r="O549" s="90"/>
      <c r="P549" s="90"/>
      <c r="Q549" s="90"/>
      <c r="R549" s="90"/>
      <c r="S549" s="90"/>
      <c r="T549" s="90"/>
      <c r="U549" s="90"/>
      <c r="V549" s="90"/>
      <c r="W549" s="90"/>
      <c r="X549" s="90"/>
    </row>
    <row r="550" spans="1:24" ht="12.75">
      <c r="A550" s="112"/>
      <c r="B550" s="113"/>
      <c r="C550" s="114"/>
      <c r="D550" s="114"/>
      <c r="E550" s="90"/>
      <c r="F550" s="115"/>
      <c r="G550" s="90"/>
      <c r="H550" s="90"/>
      <c r="I550" s="90"/>
      <c r="J550" s="90"/>
      <c r="K550" s="90"/>
      <c r="L550" s="90"/>
      <c r="M550" s="90"/>
      <c r="N550" s="90"/>
      <c r="O550" s="90"/>
      <c r="P550" s="90"/>
      <c r="Q550" s="90"/>
      <c r="R550" s="90"/>
      <c r="S550" s="90"/>
      <c r="T550" s="90"/>
      <c r="U550" s="90"/>
      <c r="V550" s="90"/>
      <c r="W550" s="90"/>
      <c r="X550" s="90"/>
    </row>
    <row r="551" spans="1:24" ht="12.75">
      <c r="A551" s="112"/>
      <c r="B551" s="113"/>
      <c r="C551" s="114"/>
      <c r="D551" s="114"/>
      <c r="E551" s="90"/>
      <c r="F551" s="115"/>
      <c r="G551" s="90"/>
      <c r="H551" s="90"/>
      <c r="I551" s="90"/>
      <c r="J551" s="90"/>
      <c r="K551" s="90"/>
      <c r="L551" s="90"/>
      <c r="M551" s="90"/>
      <c r="N551" s="90"/>
      <c r="O551" s="90"/>
      <c r="P551" s="90"/>
      <c r="Q551" s="90"/>
      <c r="R551" s="90"/>
      <c r="S551" s="90"/>
      <c r="T551" s="90"/>
      <c r="U551" s="90"/>
      <c r="V551" s="90"/>
      <c r="W551" s="90"/>
      <c r="X551" s="90"/>
    </row>
    <row r="552" spans="1:24" ht="12.75">
      <c r="A552" s="112"/>
      <c r="B552" s="113"/>
      <c r="C552" s="114"/>
      <c r="D552" s="114"/>
      <c r="E552" s="90"/>
      <c r="F552" s="115"/>
      <c r="G552" s="90"/>
      <c r="H552" s="90"/>
      <c r="I552" s="90"/>
      <c r="J552" s="90"/>
      <c r="K552" s="90"/>
      <c r="L552" s="90"/>
      <c r="M552" s="90"/>
      <c r="N552" s="90"/>
      <c r="O552" s="90"/>
      <c r="P552" s="90"/>
      <c r="Q552" s="90"/>
      <c r="R552" s="90"/>
      <c r="S552" s="90"/>
      <c r="T552" s="90"/>
      <c r="U552" s="90"/>
      <c r="V552" s="90"/>
      <c r="W552" s="90"/>
      <c r="X552" s="90"/>
    </row>
    <row r="553" spans="1:24" ht="12.75">
      <c r="A553" s="112"/>
      <c r="B553" s="113"/>
      <c r="C553" s="114"/>
      <c r="D553" s="114"/>
      <c r="E553" s="90"/>
      <c r="F553" s="115"/>
      <c r="G553" s="90"/>
      <c r="H553" s="90"/>
      <c r="I553" s="90"/>
      <c r="J553" s="90"/>
      <c r="K553" s="90"/>
      <c r="L553" s="90"/>
      <c r="M553" s="90"/>
      <c r="N553" s="90"/>
      <c r="O553" s="90"/>
      <c r="P553" s="90"/>
      <c r="Q553" s="90"/>
      <c r="R553" s="90"/>
      <c r="S553" s="90"/>
      <c r="T553" s="90"/>
      <c r="U553" s="90"/>
      <c r="V553" s="90"/>
      <c r="W553" s="90"/>
      <c r="X553" s="90"/>
    </row>
    <row r="554" spans="1:24" ht="12.75">
      <c r="A554" s="112"/>
      <c r="B554" s="113"/>
      <c r="C554" s="114"/>
      <c r="D554" s="114"/>
      <c r="E554" s="90"/>
      <c r="F554" s="115"/>
      <c r="G554" s="90"/>
      <c r="H554" s="90"/>
      <c r="I554" s="90"/>
      <c r="J554" s="90"/>
      <c r="K554" s="90"/>
      <c r="L554" s="90"/>
      <c r="M554" s="90"/>
      <c r="N554" s="90"/>
      <c r="O554" s="90"/>
      <c r="P554" s="90"/>
      <c r="Q554" s="90"/>
      <c r="R554" s="90"/>
      <c r="S554" s="90"/>
      <c r="T554" s="90"/>
      <c r="U554" s="90"/>
      <c r="V554" s="90"/>
      <c r="W554" s="90"/>
      <c r="X554" s="90"/>
    </row>
    <row r="555" spans="1:24" ht="12.75">
      <c r="A555" s="112"/>
      <c r="B555" s="113"/>
      <c r="C555" s="114"/>
      <c r="D555" s="114"/>
      <c r="E555" s="90"/>
      <c r="F555" s="115"/>
      <c r="G555" s="90"/>
      <c r="H555" s="90"/>
      <c r="I555" s="90"/>
      <c r="J555" s="90"/>
      <c r="K555" s="90"/>
      <c r="L555" s="90"/>
      <c r="M555" s="90"/>
      <c r="N555" s="90"/>
      <c r="O555" s="90"/>
      <c r="P555" s="90"/>
      <c r="Q555" s="90"/>
      <c r="R555" s="90"/>
      <c r="S555" s="90"/>
      <c r="T555" s="90"/>
      <c r="U555" s="90"/>
      <c r="V555" s="90"/>
      <c r="W555" s="90"/>
      <c r="X555" s="90"/>
    </row>
    <row r="556" spans="1:24" ht="12.75">
      <c r="A556" s="112"/>
      <c r="B556" s="113"/>
      <c r="C556" s="114"/>
      <c r="D556" s="114"/>
      <c r="E556" s="90"/>
      <c r="F556" s="115"/>
      <c r="G556" s="90"/>
      <c r="H556" s="90"/>
      <c r="I556" s="90"/>
      <c r="J556" s="90"/>
      <c r="K556" s="90"/>
      <c r="L556" s="90"/>
      <c r="M556" s="90"/>
      <c r="N556" s="90"/>
      <c r="O556" s="90"/>
      <c r="P556" s="90"/>
      <c r="Q556" s="90"/>
      <c r="R556" s="90"/>
      <c r="S556" s="90"/>
      <c r="T556" s="90"/>
      <c r="U556" s="90"/>
      <c r="V556" s="90"/>
      <c r="W556" s="90"/>
      <c r="X556" s="90"/>
    </row>
    <row r="557" spans="1:24" ht="12.75">
      <c r="A557" s="112"/>
      <c r="B557" s="113"/>
      <c r="C557" s="114"/>
      <c r="D557" s="114"/>
      <c r="E557" s="90"/>
      <c r="F557" s="115"/>
      <c r="G557" s="90"/>
      <c r="H557" s="90"/>
      <c r="I557" s="90"/>
      <c r="J557" s="90"/>
      <c r="K557" s="90"/>
      <c r="L557" s="90"/>
      <c r="M557" s="90"/>
      <c r="N557" s="90"/>
      <c r="O557" s="90"/>
      <c r="P557" s="90"/>
      <c r="Q557" s="90"/>
      <c r="R557" s="90"/>
      <c r="S557" s="90"/>
      <c r="T557" s="90"/>
      <c r="U557" s="90"/>
      <c r="V557" s="90"/>
      <c r="W557" s="90"/>
      <c r="X557" s="90"/>
    </row>
    <row r="558" spans="1:24" ht="12.75">
      <c r="A558" s="112"/>
      <c r="B558" s="113"/>
      <c r="C558" s="114"/>
      <c r="D558" s="114"/>
      <c r="E558" s="90"/>
      <c r="F558" s="115"/>
      <c r="G558" s="90"/>
      <c r="H558" s="90"/>
      <c r="I558" s="90"/>
      <c r="J558" s="90"/>
      <c r="K558" s="90"/>
      <c r="L558" s="90"/>
      <c r="M558" s="90"/>
      <c r="N558" s="90"/>
      <c r="O558" s="90"/>
      <c r="P558" s="90"/>
      <c r="Q558" s="90"/>
      <c r="R558" s="90"/>
      <c r="S558" s="90"/>
      <c r="T558" s="90"/>
      <c r="U558" s="90"/>
      <c r="V558" s="90"/>
      <c r="W558" s="90"/>
      <c r="X558" s="90"/>
    </row>
    <row r="559" spans="1:24" ht="12.75">
      <c r="A559" s="112"/>
      <c r="B559" s="113"/>
      <c r="C559" s="114"/>
      <c r="D559" s="114"/>
      <c r="E559" s="90"/>
      <c r="F559" s="115"/>
      <c r="G559" s="90"/>
      <c r="H559" s="90"/>
      <c r="I559" s="90"/>
      <c r="J559" s="90"/>
      <c r="K559" s="90"/>
      <c r="L559" s="90"/>
      <c r="M559" s="90"/>
      <c r="N559" s="90"/>
      <c r="O559" s="90"/>
      <c r="P559" s="90"/>
      <c r="Q559" s="90"/>
      <c r="R559" s="90"/>
      <c r="S559" s="90"/>
      <c r="T559" s="90"/>
      <c r="U559" s="90"/>
      <c r="V559" s="90"/>
      <c r="W559" s="90"/>
      <c r="X559" s="90"/>
    </row>
    <row r="560" spans="1:24" ht="12.75">
      <c r="A560" s="112"/>
      <c r="B560" s="113"/>
      <c r="C560" s="114"/>
      <c r="D560" s="114"/>
      <c r="E560" s="90"/>
      <c r="F560" s="115"/>
      <c r="G560" s="90"/>
      <c r="H560" s="90"/>
      <c r="I560" s="90"/>
      <c r="J560" s="90"/>
      <c r="K560" s="90"/>
      <c r="L560" s="90"/>
      <c r="M560" s="90"/>
      <c r="N560" s="90"/>
      <c r="O560" s="90"/>
      <c r="P560" s="90"/>
      <c r="Q560" s="90"/>
      <c r="R560" s="90"/>
      <c r="S560" s="90"/>
      <c r="T560" s="90"/>
      <c r="U560" s="90"/>
      <c r="V560" s="90"/>
      <c r="W560" s="90"/>
      <c r="X560" s="90"/>
    </row>
    <row r="561" spans="1:24" ht="12.75">
      <c r="A561" s="112"/>
      <c r="B561" s="113"/>
      <c r="C561" s="114"/>
      <c r="D561" s="114"/>
      <c r="E561" s="90"/>
      <c r="F561" s="115"/>
      <c r="G561" s="90"/>
      <c r="H561" s="90"/>
      <c r="I561" s="90"/>
      <c r="J561" s="90"/>
      <c r="K561" s="90"/>
      <c r="L561" s="90"/>
      <c r="M561" s="90"/>
      <c r="N561" s="90"/>
      <c r="O561" s="90"/>
      <c r="P561" s="90"/>
      <c r="Q561" s="90"/>
      <c r="R561" s="90"/>
      <c r="S561" s="90"/>
      <c r="T561" s="90"/>
      <c r="U561" s="90"/>
      <c r="V561" s="90"/>
      <c r="W561" s="90"/>
      <c r="X561" s="90"/>
    </row>
    <row r="562" spans="1:24" ht="12.75">
      <c r="A562" s="112"/>
      <c r="B562" s="113"/>
      <c r="C562" s="114"/>
      <c r="D562" s="114"/>
      <c r="E562" s="90"/>
      <c r="F562" s="115"/>
      <c r="G562" s="90"/>
      <c r="H562" s="90"/>
      <c r="I562" s="90"/>
      <c r="J562" s="90"/>
      <c r="K562" s="90"/>
      <c r="L562" s="90"/>
      <c r="M562" s="90"/>
      <c r="N562" s="90"/>
      <c r="O562" s="90"/>
      <c r="P562" s="90"/>
      <c r="Q562" s="90"/>
      <c r="R562" s="90"/>
      <c r="S562" s="90"/>
      <c r="T562" s="90"/>
      <c r="U562" s="90"/>
      <c r="V562" s="90"/>
      <c r="W562" s="90"/>
      <c r="X562" s="90"/>
    </row>
    <row r="563" spans="1:24" ht="12.75">
      <c r="A563" s="112"/>
      <c r="B563" s="113"/>
      <c r="C563" s="114"/>
      <c r="D563" s="114"/>
      <c r="E563" s="90"/>
      <c r="F563" s="115"/>
      <c r="G563" s="90"/>
      <c r="H563" s="90"/>
      <c r="I563" s="90"/>
      <c r="J563" s="90"/>
      <c r="K563" s="90"/>
      <c r="L563" s="90"/>
      <c r="M563" s="90"/>
      <c r="N563" s="90"/>
      <c r="O563" s="90"/>
      <c r="P563" s="90"/>
      <c r="Q563" s="90"/>
      <c r="R563" s="90"/>
      <c r="S563" s="90"/>
      <c r="T563" s="90"/>
      <c r="U563" s="90"/>
      <c r="V563" s="90"/>
      <c r="W563" s="90"/>
      <c r="X563" s="90"/>
    </row>
    <row r="564" spans="1:24" ht="12.75">
      <c r="A564" s="112"/>
      <c r="B564" s="113"/>
      <c r="C564" s="114"/>
      <c r="D564" s="114"/>
      <c r="E564" s="90"/>
      <c r="F564" s="115"/>
      <c r="G564" s="90"/>
      <c r="H564" s="90"/>
      <c r="I564" s="90"/>
      <c r="J564" s="90"/>
      <c r="K564" s="90"/>
      <c r="L564" s="90"/>
      <c r="M564" s="90"/>
      <c r="N564" s="90"/>
      <c r="O564" s="90"/>
      <c r="P564" s="90"/>
      <c r="Q564" s="90"/>
      <c r="R564" s="90"/>
      <c r="S564" s="90"/>
      <c r="T564" s="90"/>
      <c r="U564" s="90"/>
      <c r="V564" s="90"/>
      <c r="W564" s="90"/>
      <c r="X564" s="90"/>
    </row>
    <row r="565" spans="1:24" ht="12.75">
      <c r="A565" s="112"/>
      <c r="B565" s="113"/>
      <c r="C565" s="114"/>
      <c r="D565" s="114"/>
      <c r="E565" s="90"/>
      <c r="F565" s="115"/>
      <c r="G565" s="90"/>
      <c r="H565" s="90"/>
      <c r="I565" s="90"/>
      <c r="J565" s="90"/>
      <c r="K565" s="90"/>
      <c r="L565" s="90"/>
      <c r="M565" s="90"/>
      <c r="N565" s="90"/>
      <c r="O565" s="90"/>
      <c r="P565" s="90"/>
      <c r="Q565" s="90"/>
      <c r="R565" s="90"/>
      <c r="S565" s="90"/>
      <c r="T565" s="90"/>
      <c r="U565" s="90"/>
      <c r="V565" s="90"/>
      <c r="W565" s="90"/>
      <c r="X565" s="90"/>
    </row>
    <row r="566" spans="1:24" ht="12.75">
      <c r="A566" s="112"/>
      <c r="B566" s="113"/>
      <c r="C566" s="114"/>
      <c r="D566" s="114"/>
      <c r="E566" s="90"/>
      <c r="F566" s="115"/>
      <c r="G566" s="90"/>
      <c r="H566" s="90"/>
      <c r="I566" s="90"/>
      <c r="J566" s="90"/>
      <c r="K566" s="90"/>
      <c r="L566" s="90"/>
      <c r="M566" s="90"/>
      <c r="N566" s="90"/>
      <c r="O566" s="90"/>
      <c r="P566" s="90"/>
      <c r="Q566" s="90"/>
      <c r="R566" s="90"/>
      <c r="S566" s="90"/>
      <c r="T566" s="90"/>
      <c r="U566" s="90"/>
      <c r="V566" s="90"/>
      <c r="W566" s="90"/>
      <c r="X566" s="90"/>
    </row>
    <row r="567" spans="1:24" ht="12.75">
      <c r="A567" s="112"/>
      <c r="B567" s="113"/>
      <c r="C567" s="114"/>
      <c r="D567" s="114"/>
      <c r="E567" s="90"/>
      <c r="F567" s="115"/>
      <c r="G567" s="90"/>
      <c r="H567" s="90"/>
      <c r="I567" s="90"/>
      <c r="J567" s="90"/>
      <c r="K567" s="90"/>
      <c r="L567" s="90"/>
      <c r="M567" s="90"/>
      <c r="N567" s="90"/>
      <c r="O567" s="90"/>
      <c r="P567" s="90"/>
      <c r="Q567" s="90"/>
      <c r="R567" s="90"/>
      <c r="S567" s="90"/>
      <c r="T567" s="90"/>
      <c r="U567" s="90"/>
      <c r="V567" s="90"/>
      <c r="W567" s="90"/>
      <c r="X567" s="90"/>
    </row>
    <row r="568" spans="1:24" ht="12.75">
      <c r="A568" s="112"/>
      <c r="B568" s="113"/>
      <c r="C568" s="114"/>
      <c r="D568" s="114"/>
      <c r="E568" s="90"/>
      <c r="F568" s="115"/>
      <c r="G568" s="90"/>
      <c r="H568" s="90"/>
      <c r="I568" s="90"/>
      <c r="J568" s="90"/>
      <c r="K568" s="90"/>
      <c r="L568" s="90"/>
      <c r="M568" s="90"/>
      <c r="N568" s="90"/>
      <c r="O568" s="90"/>
      <c r="P568" s="90"/>
      <c r="Q568" s="90"/>
      <c r="R568" s="90"/>
      <c r="S568" s="90"/>
      <c r="T568" s="90"/>
      <c r="U568" s="90"/>
      <c r="V568" s="90"/>
      <c r="W568" s="90"/>
      <c r="X568" s="90"/>
    </row>
    <row r="569" spans="1:24" ht="12.75">
      <c r="A569" s="112"/>
      <c r="B569" s="113"/>
      <c r="C569" s="114"/>
      <c r="D569" s="114"/>
      <c r="E569" s="90"/>
      <c r="F569" s="115"/>
      <c r="G569" s="90"/>
      <c r="H569" s="90"/>
      <c r="I569" s="90"/>
      <c r="J569" s="90"/>
      <c r="K569" s="90"/>
      <c r="L569" s="90"/>
      <c r="M569" s="90"/>
      <c r="N569" s="90"/>
      <c r="O569" s="90"/>
      <c r="P569" s="90"/>
      <c r="Q569" s="90"/>
      <c r="R569" s="90"/>
      <c r="S569" s="90"/>
      <c r="T569" s="90"/>
      <c r="U569" s="90"/>
      <c r="V569" s="90"/>
      <c r="W569" s="90"/>
      <c r="X569" s="90"/>
    </row>
    <row r="570" spans="1:24" ht="12.75">
      <c r="A570" s="112"/>
      <c r="B570" s="113"/>
      <c r="C570" s="114"/>
      <c r="D570" s="114"/>
      <c r="E570" s="90"/>
      <c r="F570" s="115"/>
      <c r="G570" s="90"/>
      <c r="H570" s="90"/>
      <c r="I570" s="90"/>
      <c r="J570" s="90"/>
      <c r="K570" s="90"/>
      <c r="L570" s="90"/>
      <c r="M570" s="90"/>
      <c r="N570" s="90"/>
      <c r="O570" s="90"/>
      <c r="P570" s="90"/>
      <c r="Q570" s="90"/>
      <c r="R570" s="90"/>
      <c r="S570" s="90"/>
      <c r="T570" s="90"/>
      <c r="U570" s="90"/>
      <c r="V570" s="90"/>
      <c r="W570" s="90"/>
      <c r="X570" s="90"/>
    </row>
    <row r="571" spans="1:24" ht="12.75">
      <c r="A571" s="112"/>
      <c r="B571" s="113"/>
      <c r="C571" s="114"/>
      <c r="D571" s="114"/>
      <c r="E571" s="90"/>
      <c r="F571" s="115"/>
      <c r="G571" s="90"/>
      <c r="H571" s="90"/>
      <c r="I571" s="90"/>
      <c r="J571" s="90"/>
      <c r="K571" s="90"/>
      <c r="L571" s="90"/>
      <c r="M571" s="90"/>
      <c r="N571" s="90"/>
      <c r="O571" s="90"/>
      <c r="P571" s="90"/>
      <c r="Q571" s="90"/>
      <c r="R571" s="90"/>
      <c r="S571" s="90"/>
      <c r="T571" s="90"/>
      <c r="U571" s="90"/>
      <c r="V571" s="90"/>
      <c r="W571" s="90"/>
      <c r="X571" s="90"/>
    </row>
    <row r="572" spans="1:24" ht="12.75">
      <c r="A572" s="112"/>
      <c r="B572" s="113"/>
      <c r="C572" s="114"/>
      <c r="D572" s="114"/>
      <c r="E572" s="90"/>
      <c r="F572" s="115"/>
      <c r="G572" s="90"/>
      <c r="H572" s="90"/>
      <c r="I572" s="90"/>
      <c r="J572" s="90"/>
      <c r="K572" s="90"/>
      <c r="L572" s="90"/>
      <c r="M572" s="90"/>
      <c r="N572" s="90"/>
      <c r="O572" s="90"/>
      <c r="P572" s="90"/>
      <c r="Q572" s="90"/>
      <c r="R572" s="90"/>
      <c r="S572" s="90"/>
      <c r="T572" s="90"/>
      <c r="U572" s="90"/>
      <c r="V572" s="90"/>
      <c r="W572" s="90"/>
      <c r="X572" s="90"/>
    </row>
    <row r="573" spans="1:24" ht="12.75">
      <c r="A573" s="112"/>
      <c r="B573" s="113"/>
      <c r="C573" s="114"/>
      <c r="D573" s="114"/>
      <c r="E573" s="90"/>
      <c r="F573" s="115"/>
      <c r="G573" s="90"/>
      <c r="H573" s="90"/>
      <c r="I573" s="90"/>
      <c r="J573" s="90"/>
      <c r="K573" s="90"/>
      <c r="L573" s="90"/>
      <c r="M573" s="90"/>
      <c r="N573" s="90"/>
      <c r="O573" s="90"/>
      <c r="P573" s="90"/>
      <c r="Q573" s="90"/>
      <c r="R573" s="90"/>
      <c r="S573" s="90"/>
      <c r="T573" s="90"/>
      <c r="U573" s="90"/>
      <c r="V573" s="90"/>
      <c r="W573" s="90"/>
      <c r="X573" s="90"/>
    </row>
    <row r="574" spans="1:24" ht="12.75">
      <c r="A574" s="112"/>
      <c r="B574" s="113"/>
      <c r="C574" s="114"/>
      <c r="D574" s="114"/>
      <c r="E574" s="90"/>
      <c r="F574" s="115"/>
      <c r="G574" s="90"/>
      <c r="H574" s="90"/>
      <c r="I574" s="90"/>
      <c r="J574" s="90"/>
      <c r="K574" s="90"/>
      <c r="L574" s="90"/>
      <c r="M574" s="90"/>
      <c r="N574" s="90"/>
      <c r="O574" s="90"/>
      <c r="P574" s="90"/>
      <c r="Q574" s="90"/>
      <c r="R574" s="90"/>
      <c r="S574" s="90"/>
      <c r="T574" s="90"/>
      <c r="U574" s="90"/>
      <c r="V574" s="90"/>
      <c r="W574" s="90"/>
      <c r="X574" s="90"/>
    </row>
    <row r="575" spans="1:24" ht="12.75">
      <c r="A575" s="112"/>
      <c r="B575" s="113"/>
      <c r="C575" s="114"/>
      <c r="D575" s="114"/>
      <c r="E575" s="90"/>
      <c r="F575" s="115"/>
      <c r="G575" s="90"/>
      <c r="H575" s="90"/>
      <c r="I575" s="90"/>
      <c r="J575" s="90"/>
      <c r="K575" s="90"/>
      <c r="L575" s="90"/>
      <c r="M575" s="90"/>
      <c r="N575" s="90"/>
      <c r="O575" s="90"/>
      <c r="P575" s="90"/>
      <c r="Q575" s="90"/>
      <c r="R575" s="90"/>
      <c r="S575" s="90"/>
      <c r="T575" s="90"/>
      <c r="U575" s="90"/>
      <c r="V575" s="90"/>
      <c r="W575" s="90"/>
      <c r="X575" s="90"/>
    </row>
    <row r="576" spans="1:24" ht="12.75">
      <c r="A576" s="112"/>
      <c r="B576" s="113"/>
      <c r="C576" s="114"/>
      <c r="D576" s="114"/>
      <c r="E576" s="90"/>
      <c r="F576" s="115"/>
      <c r="G576" s="90"/>
      <c r="H576" s="90"/>
      <c r="I576" s="90"/>
      <c r="J576" s="90"/>
      <c r="K576" s="90"/>
      <c r="L576" s="90"/>
      <c r="M576" s="90"/>
      <c r="N576" s="90"/>
      <c r="O576" s="90"/>
      <c r="P576" s="90"/>
      <c r="Q576" s="90"/>
      <c r="R576" s="90"/>
      <c r="S576" s="90"/>
      <c r="T576" s="90"/>
      <c r="U576" s="90"/>
      <c r="V576" s="90"/>
      <c r="W576" s="90"/>
      <c r="X576" s="90"/>
    </row>
    <row r="577" spans="1:24" ht="12.75">
      <c r="A577" s="112"/>
      <c r="B577" s="113"/>
      <c r="C577" s="114"/>
      <c r="D577" s="114"/>
      <c r="E577" s="90"/>
      <c r="F577" s="115"/>
      <c r="G577" s="90"/>
      <c r="H577" s="90"/>
      <c r="I577" s="90"/>
      <c r="J577" s="90"/>
      <c r="K577" s="90"/>
      <c r="L577" s="90"/>
      <c r="M577" s="90"/>
      <c r="N577" s="90"/>
      <c r="O577" s="90"/>
      <c r="P577" s="90"/>
      <c r="Q577" s="90"/>
      <c r="R577" s="90"/>
      <c r="S577" s="90"/>
      <c r="T577" s="90"/>
      <c r="U577" s="90"/>
      <c r="V577" s="90"/>
      <c r="W577" s="90"/>
      <c r="X577" s="90"/>
    </row>
    <row r="578" spans="1:24" ht="12.75">
      <c r="A578" s="112"/>
      <c r="B578" s="113"/>
      <c r="C578" s="114"/>
      <c r="D578" s="114"/>
      <c r="E578" s="90"/>
      <c r="F578" s="115"/>
      <c r="G578" s="90"/>
      <c r="H578" s="90"/>
      <c r="I578" s="90"/>
      <c r="J578" s="90"/>
      <c r="K578" s="90"/>
      <c r="L578" s="90"/>
      <c r="M578" s="90"/>
      <c r="N578" s="90"/>
      <c r="O578" s="90"/>
      <c r="P578" s="90"/>
      <c r="Q578" s="90"/>
      <c r="R578" s="90"/>
      <c r="S578" s="90"/>
      <c r="T578" s="90"/>
      <c r="U578" s="90"/>
      <c r="V578" s="90"/>
      <c r="W578" s="90"/>
      <c r="X578" s="90"/>
    </row>
    <row r="579" spans="1:24" ht="12.75">
      <c r="A579" s="112"/>
      <c r="B579" s="113"/>
      <c r="C579" s="114"/>
      <c r="D579" s="114"/>
      <c r="E579" s="90"/>
      <c r="F579" s="115"/>
      <c r="G579" s="90"/>
      <c r="H579" s="90"/>
      <c r="I579" s="90"/>
      <c r="J579" s="90"/>
      <c r="K579" s="90"/>
      <c r="L579" s="90"/>
      <c r="M579" s="90"/>
      <c r="N579" s="90"/>
      <c r="O579" s="90"/>
      <c r="P579" s="90"/>
      <c r="Q579" s="90"/>
      <c r="R579" s="90"/>
      <c r="S579" s="90"/>
      <c r="T579" s="90"/>
      <c r="U579" s="90"/>
      <c r="V579" s="90"/>
      <c r="W579" s="90"/>
      <c r="X579" s="90"/>
    </row>
    <row r="580" spans="1:24" ht="12.75">
      <c r="A580" s="112"/>
      <c r="B580" s="113"/>
      <c r="C580" s="114"/>
      <c r="D580" s="114"/>
      <c r="E580" s="90"/>
      <c r="F580" s="115"/>
      <c r="G580" s="90"/>
      <c r="H580" s="90"/>
      <c r="I580" s="90"/>
      <c r="J580" s="90"/>
      <c r="K580" s="90"/>
      <c r="L580" s="90"/>
      <c r="M580" s="90"/>
      <c r="N580" s="90"/>
      <c r="O580" s="90"/>
      <c r="P580" s="90"/>
      <c r="Q580" s="90"/>
      <c r="R580" s="90"/>
      <c r="S580" s="90"/>
      <c r="T580" s="90"/>
      <c r="U580" s="90"/>
      <c r="V580" s="90"/>
      <c r="W580" s="90"/>
      <c r="X580" s="90"/>
    </row>
    <row r="581" spans="1:24" ht="12.75">
      <c r="A581" s="112"/>
      <c r="B581" s="113"/>
      <c r="C581" s="114"/>
      <c r="D581" s="114"/>
      <c r="E581" s="90"/>
      <c r="F581" s="115"/>
      <c r="G581" s="90"/>
      <c r="H581" s="90"/>
      <c r="I581" s="90"/>
      <c r="J581" s="90"/>
      <c r="K581" s="90"/>
      <c r="L581" s="90"/>
      <c r="M581" s="90"/>
      <c r="N581" s="90"/>
      <c r="O581" s="90"/>
      <c r="P581" s="90"/>
      <c r="Q581" s="90"/>
      <c r="R581" s="90"/>
      <c r="S581" s="90"/>
      <c r="T581" s="90"/>
      <c r="U581" s="90"/>
      <c r="V581" s="90"/>
      <c r="W581" s="90"/>
      <c r="X581" s="90"/>
    </row>
    <row r="582" spans="1:24" ht="12.75">
      <c r="A582" s="112"/>
      <c r="B582" s="113"/>
      <c r="C582" s="114"/>
      <c r="D582" s="114"/>
      <c r="E582" s="90"/>
      <c r="F582" s="115"/>
      <c r="G582" s="90"/>
      <c r="H582" s="90"/>
      <c r="I582" s="90"/>
      <c r="J582" s="90"/>
      <c r="K582" s="90"/>
      <c r="L582" s="90"/>
      <c r="M582" s="90"/>
      <c r="N582" s="90"/>
      <c r="O582" s="90"/>
      <c r="P582" s="90"/>
      <c r="Q582" s="90"/>
      <c r="R582" s="90"/>
      <c r="S582" s="90"/>
      <c r="T582" s="90"/>
      <c r="U582" s="90"/>
      <c r="V582" s="90"/>
      <c r="W582" s="90"/>
      <c r="X582" s="90"/>
    </row>
    <row r="583" spans="1:24" ht="12.75">
      <c r="A583" s="112"/>
      <c r="B583" s="113"/>
      <c r="C583" s="114"/>
      <c r="D583" s="114"/>
      <c r="E583" s="90"/>
      <c r="F583" s="115"/>
      <c r="G583" s="90"/>
      <c r="H583" s="90"/>
      <c r="I583" s="90"/>
      <c r="J583" s="90"/>
      <c r="K583" s="90"/>
      <c r="L583" s="90"/>
      <c r="M583" s="90"/>
      <c r="N583" s="90"/>
      <c r="O583" s="90"/>
      <c r="P583" s="90"/>
      <c r="Q583" s="90"/>
      <c r="R583" s="90"/>
      <c r="S583" s="90"/>
      <c r="T583" s="90"/>
      <c r="U583" s="90"/>
      <c r="V583" s="90"/>
      <c r="W583" s="90"/>
      <c r="X583" s="90"/>
    </row>
    <row r="584" spans="1:24" ht="12.75">
      <c r="A584" s="112"/>
      <c r="B584" s="113"/>
      <c r="C584" s="114"/>
      <c r="D584" s="114"/>
      <c r="E584" s="90"/>
      <c r="F584" s="115"/>
      <c r="G584" s="90"/>
      <c r="H584" s="90"/>
      <c r="I584" s="90"/>
      <c r="J584" s="90"/>
      <c r="K584" s="90"/>
      <c r="L584" s="90"/>
      <c r="M584" s="90"/>
      <c r="N584" s="90"/>
      <c r="O584" s="90"/>
      <c r="P584" s="90"/>
      <c r="Q584" s="90"/>
      <c r="R584" s="90"/>
      <c r="S584" s="90"/>
      <c r="T584" s="90"/>
      <c r="U584" s="90"/>
      <c r="V584" s="90"/>
      <c r="W584" s="90"/>
      <c r="X584" s="90"/>
    </row>
    <row r="585" spans="1:24" ht="12.75">
      <c r="A585" s="112"/>
      <c r="B585" s="113"/>
      <c r="C585" s="114"/>
      <c r="D585" s="114"/>
      <c r="E585" s="90"/>
      <c r="F585" s="115"/>
      <c r="G585" s="90"/>
      <c r="H585" s="90"/>
      <c r="I585" s="90"/>
      <c r="J585" s="90"/>
      <c r="K585" s="90"/>
      <c r="L585" s="90"/>
      <c r="M585" s="90"/>
      <c r="N585" s="90"/>
      <c r="O585" s="90"/>
      <c r="P585" s="90"/>
      <c r="Q585" s="90"/>
      <c r="R585" s="90"/>
      <c r="S585" s="90"/>
      <c r="T585" s="90"/>
      <c r="U585" s="90"/>
      <c r="V585" s="90"/>
      <c r="W585" s="90"/>
      <c r="X585" s="90"/>
    </row>
    <row r="586" spans="1:24" ht="12.75">
      <c r="A586" s="112"/>
      <c r="B586" s="113"/>
      <c r="C586" s="114"/>
      <c r="D586" s="114"/>
      <c r="E586" s="90"/>
      <c r="F586" s="115"/>
      <c r="G586" s="90"/>
      <c r="H586" s="90"/>
      <c r="I586" s="90"/>
      <c r="J586" s="90"/>
      <c r="K586" s="90"/>
      <c r="L586" s="90"/>
      <c r="M586" s="90"/>
      <c r="N586" s="90"/>
      <c r="O586" s="90"/>
      <c r="P586" s="90"/>
      <c r="Q586" s="90"/>
      <c r="R586" s="90"/>
      <c r="S586" s="90"/>
      <c r="T586" s="90"/>
      <c r="U586" s="90"/>
      <c r="V586" s="90"/>
      <c r="W586" s="90"/>
      <c r="X586" s="90"/>
    </row>
    <row r="587" spans="1:24" ht="12.75">
      <c r="A587" s="112"/>
      <c r="B587" s="113"/>
      <c r="C587" s="114"/>
      <c r="D587" s="114"/>
      <c r="E587" s="90"/>
      <c r="F587" s="115"/>
      <c r="G587" s="90"/>
      <c r="H587" s="90"/>
      <c r="I587" s="90"/>
      <c r="J587" s="90"/>
      <c r="K587" s="90"/>
      <c r="L587" s="90"/>
      <c r="M587" s="90"/>
      <c r="N587" s="90"/>
      <c r="O587" s="90"/>
      <c r="P587" s="90"/>
      <c r="Q587" s="90"/>
      <c r="R587" s="90"/>
      <c r="S587" s="90"/>
      <c r="T587" s="90"/>
      <c r="U587" s="90"/>
      <c r="V587" s="90"/>
      <c r="W587" s="90"/>
      <c r="X587" s="90"/>
    </row>
    <row r="588" spans="1:24" ht="12.75">
      <c r="A588" s="112"/>
      <c r="B588" s="113"/>
      <c r="C588" s="114"/>
      <c r="D588" s="114"/>
      <c r="E588" s="90"/>
      <c r="F588" s="115"/>
      <c r="G588" s="90"/>
      <c r="H588" s="90"/>
      <c r="I588" s="90"/>
      <c r="J588" s="90"/>
      <c r="K588" s="90"/>
      <c r="L588" s="90"/>
      <c r="M588" s="90"/>
      <c r="N588" s="90"/>
      <c r="O588" s="90"/>
      <c r="P588" s="90"/>
      <c r="Q588" s="90"/>
      <c r="R588" s="90"/>
      <c r="S588" s="90"/>
      <c r="T588" s="90"/>
      <c r="U588" s="90"/>
      <c r="V588" s="90"/>
      <c r="W588" s="90"/>
      <c r="X588" s="90"/>
    </row>
    <row r="589" spans="1:24" ht="12.75">
      <c r="A589" s="112"/>
      <c r="B589" s="113"/>
      <c r="C589" s="114"/>
      <c r="D589" s="114"/>
      <c r="E589" s="90"/>
      <c r="F589" s="115"/>
      <c r="G589" s="90"/>
      <c r="H589" s="90"/>
      <c r="I589" s="90"/>
      <c r="J589" s="90"/>
      <c r="K589" s="90"/>
      <c r="L589" s="90"/>
      <c r="M589" s="90"/>
      <c r="N589" s="90"/>
      <c r="O589" s="90"/>
      <c r="P589" s="90"/>
      <c r="Q589" s="90"/>
      <c r="R589" s="90"/>
      <c r="S589" s="90"/>
      <c r="T589" s="90"/>
      <c r="U589" s="90"/>
      <c r="V589" s="90"/>
      <c r="W589" s="90"/>
      <c r="X589" s="90"/>
    </row>
    <row r="590" spans="1:24" ht="12.75">
      <c r="A590" s="112"/>
      <c r="B590" s="113"/>
      <c r="C590" s="114"/>
      <c r="D590" s="114"/>
      <c r="E590" s="90"/>
      <c r="F590" s="115"/>
      <c r="G590" s="90"/>
      <c r="H590" s="90"/>
      <c r="I590" s="90"/>
      <c r="J590" s="90"/>
      <c r="K590" s="90"/>
      <c r="L590" s="90"/>
      <c r="M590" s="90"/>
      <c r="N590" s="90"/>
      <c r="O590" s="90"/>
      <c r="P590" s="90"/>
      <c r="Q590" s="90"/>
      <c r="R590" s="90"/>
      <c r="S590" s="90"/>
      <c r="T590" s="90"/>
      <c r="U590" s="90"/>
      <c r="V590" s="90"/>
      <c r="W590" s="90"/>
      <c r="X590" s="90"/>
    </row>
    <row r="591" spans="1:24" ht="12.75">
      <c r="A591" s="112"/>
      <c r="B591" s="113"/>
      <c r="C591" s="114"/>
      <c r="D591" s="114"/>
      <c r="E591" s="90"/>
      <c r="F591" s="115"/>
      <c r="G591" s="90"/>
      <c r="H591" s="90"/>
      <c r="I591" s="90"/>
      <c r="J591" s="90"/>
      <c r="K591" s="90"/>
      <c r="L591" s="90"/>
      <c r="M591" s="90"/>
      <c r="N591" s="90"/>
      <c r="O591" s="90"/>
      <c r="P591" s="90"/>
      <c r="Q591" s="90"/>
      <c r="R591" s="90"/>
      <c r="S591" s="90"/>
      <c r="T591" s="90"/>
      <c r="U591" s="90"/>
      <c r="V591" s="90"/>
      <c r="W591" s="90"/>
      <c r="X591" s="90"/>
    </row>
    <row r="592" spans="1:24" ht="12.75">
      <c r="A592" s="112"/>
      <c r="B592" s="113"/>
      <c r="C592" s="114"/>
      <c r="D592" s="114"/>
      <c r="E592" s="90"/>
      <c r="F592" s="115"/>
      <c r="G592" s="90"/>
      <c r="H592" s="90"/>
      <c r="I592" s="90"/>
      <c r="J592" s="90"/>
      <c r="K592" s="90"/>
      <c r="L592" s="90"/>
      <c r="M592" s="90"/>
      <c r="N592" s="90"/>
      <c r="O592" s="90"/>
      <c r="P592" s="90"/>
      <c r="Q592" s="90"/>
      <c r="R592" s="90"/>
      <c r="S592" s="90"/>
      <c r="T592" s="90"/>
      <c r="U592" s="90"/>
      <c r="V592" s="90"/>
      <c r="W592" s="90"/>
      <c r="X592" s="90"/>
    </row>
    <row r="593" spans="1:24" ht="12.75">
      <c r="A593" s="112"/>
      <c r="B593" s="113"/>
      <c r="C593" s="114"/>
      <c r="D593" s="114"/>
      <c r="E593" s="90"/>
      <c r="F593" s="115"/>
      <c r="G593" s="90"/>
      <c r="H593" s="90"/>
      <c r="I593" s="90"/>
      <c r="J593" s="90"/>
      <c r="K593" s="90"/>
      <c r="L593" s="90"/>
      <c r="M593" s="90"/>
      <c r="N593" s="90"/>
      <c r="O593" s="90"/>
      <c r="P593" s="90"/>
      <c r="Q593" s="90"/>
      <c r="R593" s="90"/>
      <c r="S593" s="90"/>
      <c r="T593" s="90"/>
      <c r="U593" s="90"/>
      <c r="V593" s="90"/>
      <c r="W593" s="90"/>
      <c r="X593" s="90"/>
    </row>
    <row r="594" spans="1:24" ht="12.75">
      <c r="A594" s="112"/>
      <c r="B594" s="113"/>
      <c r="C594" s="114"/>
      <c r="D594" s="114"/>
      <c r="E594" s="90"/>
      <c r="F594" s="115"/>
      <c r="G594" s="90"/>
      <c r="H594" s="90"/>
      <c r="I594" s="90"/>
      <c r="J594" s="90"/>
      <c r="K594" s="90"/>
      <c r="L594" s="90"/>
      <c r="M594" s="90"/>
      <c r="N594" s="90"/>
      <c r="O594" s="90"/>
      <c r="P594" s="90"/>
      <c r="Q594" s="90"/>
      <c r="R594" s="90"/>
      <c r="S594" s="90"/>
      <c r="T594" s="90"/>
      <c r="U594" s="90"/>
      <c r="V594" s="90"/>
      <c r="W594" s="90"/>
      <c r="X594" s="90"/>
    </row>
    <row r="595" spans="1:24" ht="12.75">
      <c r="A595" s="112"/>
      <c r="B595" s="113"/>
      <c r="C595" s="114"/>
      <c r="D595" s="114"/>
      <c r="E595" s="90"/>
      <c r="F595" s="115"/>
      <c r="G595" s="90"/>
      <c r="H595" s="90"/>
      <c r="I595" s="90"/>
      <c r="J595" s="90"/>
      <c r="K595" s="90"/>
      <c r="L595" s="90"/>
      <c r="M595" s="90"/>
      <c r="N595" s="90"/>
      <c r="O595" s="90"/>
      <c r="P595" s="90"/>
      <c r="Q595" s="90"/>
      <c r="R595" s="90"/>
      <c r="S595" s="90"/>
      <c r="T595" s="90"/>
      <c r="U595" s="90"/>
      <c r="V595" s="90"/>
      <c r="W595" s="90"/>
      <c r="X595" s="90"/>
    </row>
    <row r="596" spans="1:24" ht="12.75">
      <c r="A596" s="112"/>
      <c r="B596" s="113"/>
      <c r="C596" s="114"/>
      <c r="D596" s="114"/>
      <c r="E596" s="90"/>
      <c r="F596" s="115"/>
      <c r="G596" s="90"/>
      <c r="H596" s="90"/>
      <c r="I596" s="90"/>
      <c r="J596" s="90"/>
      <c r="K596" s="90"/>
      <c r="L596" s="90"/>
      <c r="M596" s="90"/>
      <c r="N596" s="90"/>
      <c r="O596" s="90"/>
      <c r="P596" s="90"/>
      <c r="Q596" s="90"/>
      <c r="R596" s="90"/>
      <c r="S596" s="90"/>
      <c r="T596" s="90"/>
      <c r="U596" s="90"/>
      <c r="V596" s="90"/>
      <c r="W596" s="90"/>
      <c r="X596" s="90"/>
    </row>
    <row r="597" spans="1:24" ht="12.75">
      <c r="A597" s="112"/>
      <c r="B597" s="113"/>
      <c r="C597" s="114"/>
      <c r="D597" s="114"/>
      <c r="E597" s="90"/>
      <c r="F597" s="115"/>
      <c r="G597" s="90"/>
      <c r="H597" s="90"/>
      <c r="I597" s="90"/>
      <c r="J597" s="90"/>
      <c r="K597" s="90"/>
      <c r="L597" s="90"/>
      <c r="M597" s="90"/>
      <c r="N597" s="90"/>
      <c r="O597" s="90"/>
      <c r="P597" s="90"/>
      <c r="Q597" s="90"/>
      <c r="R597" s="90"/>
      <c r="S597" s="90"/>
      <c r="T597" s="90"/>
      <c r="U597" s="90"/>
      <c r="V597" s="90"/>
      <c r="W597" s="90"/>
      <c r="X597" s="90"/>
    </row>
    <row r="598" spans="1:24" ht="12.75">
      <c r="A598" s="112"/>
      <c r="B598" s="113"/>
      <c r="C598" s="114"/>
      <c r="D598" s="114"/>
      <c r="E598" s="90"/>
      <c r="F598" s="115"/>
      <c r="G598" s="90"/>
      <c r="H598" s="90"/>
      <c r="I598" s="90"/>
      <c r="J598" s="90"/>
      <c r="K598" s="90"/>
      <c r="L598" s="90"/>
      <c r="M598" s="90"/>
      <c r="N598" s="90"/>
      <c r="O598" s="90"/>
      <c r="P598" s="90"/>
      <c r="Q598" s="90"/>
      <c r="R598" s="90"/>
      <c r="S598" s="90"/>
      <c r="T598" s="90"/>
      <c r="U598" s="90"/>
      <c r="V598" s="90"/>
      <c r="W598" s="90"/>
      <c r="X598" s="90"/>
    </row>
    <row r="599" spans="1:24" ht="12.75">
      <c r="A599" s="112"/>
      <c r="B599" s="113"/>
      <c r="C599" s="114"/>
      <c r="D599" s="114"/>
      <c r="E599" s="90"/>
      <c r="F599" s="115"/>
      <c r="G599" s="90"/>
      <c r="H599" s="90"/>
      <c r="I599" s="90"/>
      <c r="J599" s="90"/>
      <c r="K599" s="90"/>
      <c r="L599" s="90"/>
      <c r="M599" s="90"/>
      <c r="N599" s="90"/>
      <c r="O599" s="90"/>
      <c r="P599" s="90"/>
      <c r="Q599" s="90"/>
      <c r="R599" s="90"/>
      <c r="S599" s="90"/>
      <c r="T599" s="90"/>
      <c r="U599" s="90"/>
      <c r="V599" s="90"/>
      <c r="W599" s="90"/>
      <c r="X599" s="90"/>
    </row>
    <row r="600" spans="1:24" ht="12.75">
      <c r="A600" s="112"/>
      <c r="B600" s="113"/>
      <c r="C600" s="114"/>
      <c r="D600" s="114"/>
      <c r="E600" s="90"/>
      <c r="F600" s="115"/>
      <c r="G600" s="90"/>
      <c r="H600" s="90"/>
      <c r="I600" s="90"/>
      <c r="J600" s="90"/>
      <c r="K600" s="90"/>
      <c r="L600" s="90"/>
      <c r="M600" s="90"/>
      <c r="N600" s="90"/>
      <c r="O600" s="90"/>
      <c r="P600" s="90"/>
      <c r="Q600" s="90"/>
      <c r="R600" s="90"/>
      <c r="S600" s="90"/>
      <c r="T600" s="90"/>
      <c r="U600" s="90"/>
      <c r="V600" s="90"/>
      <c r="W600" s="90"/>
      <c r="X600" s="90"/>
    </row>
    <row r="601" spans="1:24" ht="12.75">
      <c r="A601" s="112"/>
      <c r="B601" s="113"/>
      <c r="C601" s="114"/>
      <c r="D601" s="114"/>
      <c r="E601" s="90"/>
      <c r="F601" s="115"/>
      <c r="G601" s="90"/>
      <c r="H601" s="90"/>
      <c r="I601" s="90"/>
      <c r="J601" s="90"/>
      <c r="K601" s="90"/>
      <c r="L601" s="90"/>
      <c r="M601" s="90"/>
      <c r="N601" s="90"/>
      <c r="O601" s="90"/>
      <c r="P601" s="90"/>
      <c r="Q601" s="90"/>
      <c r="R601" s="90"/>
      <c r="S601" s="90"/>
      <c r="T601" s="90"/>
      <c r="U601" s="90"/>
      <c r="V601" s="90"/>
      <c r="W601" s="90"/>
      <c r="X601" s="90"/>
    </row>
    <row r="602" spans="1:24" ht="12.75">
      <c r="A602" s="112"/>
      <c r="B602" s="113"/>
      <c r="C602" s="114"/>
      <c r="D602" s="114"/>
      <c r="E602" s="90"/>
      <c r="F602" s="115"/>
      <c r="G602" s="90"/>
      <c r="H602" s="90"/>
      <c r="I602" s="90"/>
      <c r="J602" s="90"/>
      <c r="K602" s="90"/>
      <c r="L602" s="90"/>
      <c r="M602" s="90"/>
      <c r="N602" s="90"/>
      <c r="O602" s="90"/>
      <c r="P602" s="90"/>
      <c r="Q602" s="90"/>
      <c r="R602" s="90"/>
      <c r="S602" s="90"/>
      <c r="T602" s="90"/>
      <c r="U602" s="90"/>
      <c r="V602" s="90"/>
      <c r="W602" s="90"/>
      <c r="X602" s="90"/>
    </row>
    <row r="603" spans="1:24" ht="12.75">
      <c r="A603" s="112"/>
      <c r="B603" s="113"/>
      <c r="C603" s="114"/>
      <c r="D603" s="114"/>
      <c r="E603" s="90"/>
      <c r="F603" s="115"/>
      <c r="G603" s="90"/>
      <c r="H603" s="90"/>
      <c r="I603" s="90"/>
      <c r="J603" s="90"/>
      <c r="K603" s="90"/>
      <c r="L603" s="90"/>
      <c r="M603" s="90"/>
      <c r="N603" s="90"/>
      <c r="O603" s="90"/>
      <c r="P603" s="90"/>
      <c r="Q603" s="90"/>
      <c r="R603" s="90"/>
      <c r="S603" s="90"/>
      <c r="T603" s="90"/>
      <c r="U603" s="90"/>
      <c r="V603" s="90"/>
      <c r="W603" s="90"/>
      <c r="X603" s="90"/>
    </row>
    <row r="604" spans="1:24" ht="12.75">
      <c r="A604" s="112"/>
      <c r="B604" s="113"/>
      <c r="C604" s="114"/>
      <c r="D604" s="114"/>
      <c r="E604" s="90"/>
      <c r="F604" s="115"/>
      <c r="G604" s="90"/>
      <c r="H604" s="90"/>
      <c r="I604" s="90"/>
      <c r="J604" s="90"/>
      <c r="K604" s="90"/>
      <c r="L604" s="90"/>
      <c r="M604" s="90"/>
      <c r="N604" s="90"/>
      <c r="O604" s="90"/>
      <c r="P604" s="90"/>
      <c r="Q604" s="90"/>
      <c r="R604" s="90"/>
      <c r="S604" s="90"/>
      <c r="T604" s="90"/>
      <c r="U604" s="90"/>
      <c r="V604" s="90"/>
      <c r="W604" s="90"/>
      <c r="X604" s="90"/>
    </row>
    <row r="605" spans="1:24" ht="12.75">
      <c r="A605" s="112"/>
      <c r="B605" s="113"/>
      <c r="C605" s="114"/>
      <c r="D605" s="114"/>
      <c r="E605" s="90"/>
      <c r="F605" s="115"/>
      <c r="G605" s="90"/>
      <c r="H605" s="90"/>
      <c r="I605" s="90"/>
      <c r="J605" s="90"/>
      <c r="K605" s="90"/>
      <c r="L605" s="90"/>
      <c r="M605" s="90"/>
      <c r="N605" s="90"/>
      <c r="O605" s="90"/>
      <c r="P605" s="90"/>
      <c r="Q605" s="90"/>
      <c r="R605" s="90"/>
      <c r="S605" s="90"/>
      <c r="T605" s="90"/>
      <c r="U605" s="90"/>
      <c r="V605" s="90"/>
      <c r="W605" s="90"/>
      <c r="X605" s="90"/>
    </row>
    <row r="606" spans="1:24" ht="12.75">
      <c r="A606" s="112"/>
      <c r="B606" s="113"/>
      <c r="C606" s="114"/>
      <c r="D606" s="114"/>
      <c r="E606" s="90"/>
      <c r="F606" s="115"/>
      <c r="G606" s="90"/>
      <c r="H606" s="90"/>
      <c r="I606" s="90"/>
      <c r="J606" s="90"/>
      <c r="K606" s="90"/>
      <c r="L606" s="90"/>
      <c r="M606" s="90"/>
      <c r="N606" s="90"/>
      <c r="O606" s="90"/>
      <c r="P606" s="90"/>
      <c r="Q606" s="90"/>
      <c r="R606" s="90"/>
      <c r="S606" s="90"/>
      <c r="T606" s="90"/>
      <c r="U606" s="90"/>
      <c r="V606" s="90"/>
      <c r="W606" s="90"/>
      <c r="X606" s="90"/>
    </row>
    <row r="607" spans="1:24" ht="12.75">
      <c r="A607" s="112"/>
      <c r="B607" s="113"/>
      <c r="C607" s="114"/>
      <c r="D607" s="114"/>
      <c r="E607" s="90"/>
      <c r="F607" s="115"/>
      <c r="G607" s="90"/>
      <c r="H607" s="90"/>
      <c r="I607" s="90"/>
      <c r="J607" s="90"/>
      <c r="K607" s="90"/>
      <c r="L607" s="90"/>
      <c r="M607" s="90"/>
      <c r="N607" s="90"/>
      <c r="O607" s="90"/>
      <c r="P607" s="90"/>
      <c r="Q607" s="90"/>
      <c r="R607" s="90"/>
      <c r="S607" s="90"/>
      <c r="T607" s="90"/>
      <c r="U607" s="90"/>
      <c r="V607" s="90"/>
      <c r="W607" s="90"/>
      <c r="X607" s="90"/>
    </row>
    <row r="608" spans="1:24" ht="12.75">
      <c r="A608" s="112"/>
      <c r="B608" s="113"/>
      <c r="C608" s="114"/>
      <c r="D608" s="114"/>
      <c r="E608" s="90"/>
      <c r="F608" s="115"/>
      <c r="G608" s="90"/>
      <c r="H608" s="90"/>
      <c r="I608" s="90"/>
      <c r="J608" s="90"/>
      <c r="K608" s="90"/>
      <c r="L608" s="90"/>
      <c r="M608" s="90"/>
      <c r="N608" s="90"/>
      <c r="O608" s="90"/>
      <c r="P608" s="90"/>
      <c r="Q608" s="90"/>
      <c r="R608" s="90"/>
      <c r="S608" s="90"/>
      <c r="T608" s="90"/>
      <c r="U608" s="90"/>
      <c r="V608" s="90"/>
      <c r="W608" s="90"/>
      <c r="X608" s="90"/>
    </row>
    <row r="609" spans="1:24" ht="12.75">
      <c r="A609" s="112"/>
      <c r="B609" s="113"/>
      <c r="C609" s="114"/>
      <c r="D609" s="114"/>
      <c r="E609" s="90"/>
      <c r="F609" s="115"/>
      <c r="G609" s="90"/>
      <c r="H609" s="90"/>
      <c r="I609" s="90"/>
      <c r="J609" s="90"/>
      <c r="K609" s="90"/>
      <c r="L609" s="90"/>
      <c r="M609" s="90"/>
      <c r="N609" s="90"/>
      <c r="O609" s="90"/>
      <c r="P609" s="90"/>
      <c r="Q609" s="90"/>
      <c r="R609" s="90"/>
      <c r="S609" s="90"/>
      <c r="T609" s="90"/>
      <c r="U609" s="90"/>
      <c r="V609" s="90"/>
      <c r="W609" s="90"/>
      <c r="X609" s="90"/>
    </row>
    <row r="610" spans="1:24" ht="12.75">
      <c r="A610" s="112"/>
      <c r="B610" s="113"/>
      <c r="C610" s="114"/>
      <c r="D610" s="114"/>
      <c r="E610" s="90"/>
      <c r="F610" s="115"/>
      <c r="G610" s="90"/>
      <c r="H610" s="90"/>
      <c r="I610" s="90"/>
      <c r="J610" s="90"/>
      <c r="K610" s="90"/>
      <c r="L610" s="90"/>
      <c r="M610" s="90"/>
      <c r="N610" s="90"/>
      <c r="O610" s="90"/>
      <c r="P610" s="90"/>
      <c r="Q610" s="90"/>
      <c r="R610" s="90"/>
      <c r="S610" s="90"/>
      <c r="T610" s="90"/>
      <c r="U610" s="90"/>
      <c r="V610" s="90"/>
      <c r="W610" s="90"/>
      <c r="X610" s="90"/>
    </row>
    <row r="611" spans="1:24" ht="12.75">
      <c r="A611" s="112"/>
      <c r="B611" s="113"/>
      <c r="C611" s="114"/>
      <c r="D611" s="114"/>
      <c r="E611" s="90"/>
      <c r="F611" s="115"/>
      <c r="G611" s="90"/>
      <c r="H611" s="90"/>
      <c r="I611" s="90"/>
      <c r="J611" s="90"/>
      <c r="K611" s="90"/>
      <c r="L611" s="90"/>
      <c r="M611" s="90"/>
      <c r="N611" s="90"/>
      <c r="O611" s="90"/>
      <c r="P611" s="90"/>
      <c r="Q611" s="90"/>
      <c r="R611" s="90"/>
      <c r="S611" s="90"/>
      <c r="T611" s="90"/>
      <c r="U611" s="90"/>
      <c r="V611" s="90"/>
      <c r="W611" s="90"/>
      <c r="X611" s="90"/>
    </row>
    <row r="612" spans="1:24" ht="12.75">
      <c r="A612" s="112"/>
      <c r="B612" s="113"/>
      <c r="C612" s="114"/>
      <c r="D612" s="114"/>
      <c r="E612" s="90"/>
      <c r="F612" s="115"/>
      <c r="G612" s="90"/>
      <c r="H612" s="90"/>
      <c r="I612" s="90"/>
      <c r="J612" s="90"/>
      <c r="K612" s="90"/>
      <c r="L612" s="90"/>
      <c r="M612" s="90"/>
      <c r="N612" s="90"/>
      <c r="O612" s="90"/>
      <c r="P612" s="90"/>
      <c r="Q612" s="90"/>
      <c r="R612" s="90"/>
      <c r="S612" s="90"/>
      <c r="T612" s="90"/>
      <c r="U612" s="90"/>
      <c r="V612" s="90"/>
      <c r="W612" s="90"/>
      <c r="X612" s="90"/>
    </row>
    <row r="613" spans="1:24" ht="12.75">
      <c r="A613" s="112"/>
      <c r="B613" s="113"/>
      <c r="C613" s="114"/>
      <c r="D613" s="114"/>
      <c r="E613" s="90"/>
      <c r="F613" s="115"/>
      <c r="G613" s="90"/>
      <c r="H613" s="90"/>
      <c r="I613" s="90"/>
      <c r="J613" s="90"/>
      <c r="K613" s="90"/>
      <c r="L613" s="90"/>
      <c r="M613" s="90"/>
      <c r="N613" s="90"/>
      <c r="O613" s="90"/>
      <c r="P613" s="90"/>
      <c r="Q613" s="90"/>
      <c r="R613" s="90"/>
      <c r="S613" s="90"/>
      <c r="T613" s="90"/>
      <c r="U613" s="90"/>
      <c r="V613" s="90"/>
      <c r="W613" s="90"/>
      <c r="X613" s="90"/>
    </row>
    <row r="614" spans="1:24" ht="12.75">
      <c r="A614" s="112"/>
      <c r="B614" s="113"/>
      <c r="C614" s="114"/>
      <c r="D614" s="114"/>
      <c r="E614" s="90"/>
      <c r="F614" s="115"/>
      <c r="G614" s="90"/>
      <c r="H614" s="90"/>
      <c r="I614" s="90"/>
      <c r="J614" s="90"/>
      <c r="K614" s="90"/>
      <c r="L614" s="90"/>
      <c r="M614" s="90"/>
      <c r="N614" s="90"/>
      <c r="O614" s="90"/>
      <c r="P614" s="90"/>
      <c r="Q614" s="90"/>
      <c r="R614" s="90"/>
      <c r="S614" s="90"/>
      <c r="T614" s="90"/>
      <c r="U614" s="90"/>
      <c r="V614" s="90"/>
      <c r="W614" s="90"/>
      <c r="X614" s="90"/>
    </row>
    <row r="615" spans="1:24" ht="12.75">
      <c r="A615" s="112"/>
      <c r="B615" s="113"/>
      <c r="C615" s="114"/>
      <c r="D615" s="114"/>
      <c r="E615" s="90"/>
      <c r="F615" s="115"/>
      <c r="G615" s="90"/>
      <c r="H615" s="90"/>
      <c r="I615" s="90"/>
      <c r="J615" s="90"/>
      <c r="K615" s="90"/>
      <c r="L615" s="90"/>
      <c r="M615" s="90"/>
      <c r="N615" s="90"/>
      <c r="O615" s="90"/>
      <c r="P615" s="90"/>
      <c r="Q615" s="90"/>
      <c r="R615" s="90"/>
      <c r="S615" s="90"/>
      <c r="T615" s="90"/>
      <c r="U615" s="90"/>
      <c r="V615" s="90"/>
      <c r="W615" s="90"/>
      <c r="X615" s="90"/>
    </row>
    <row r="616" spans="1:24" ht="12.75">
      <c r="A616" s="112"/>
      <c r="B616" s="113"/>
      <c r="C616" s="114"/>
      <c r="D616" s="114"/>
      <c r="E616" s="90"/>
      <c r="F616" s="115"/>
      <c r="G616" s="90"/>
      <c r="H616" s="90"/>
      <c r="I616" s="90"/>
      <c r="J616" s="90"/>
      <c r="K616" s="90"/>
      <c r="L616" s="90"/>
      <c r="M616" s="90"/>
      <c r="N616" s="90"/>
      <c r="O616" s="90"/>
      <c r="P616" s="90"/>
      <c r="Q616" s="90"/>
      <c r="R616" s="90"/>
      <c r="S616" s="90"/>
      <c r="T616" s="90"/>
      <c r="U616" s="90"/>
      <c r="V616" s="90"/>
      <c r="W616" s="90"/>
      <c r="X616" s="90"/>
    </row>
    <row r="617" spans="1:24" ht="12.75">
      <c r="A617" s="112"/>
      <c r="B617" s="113"/>
      <c r="C617" s="114"/>
      <c r="D617" s="114"/>
      <c r="E617" s="90"/>
      <c r="F617" s="115"/>
      <c r="G617" s="90"/>
      <c r="H617" s="90"/>
      <c r="I617" s="90"/>
      <c r="J617" s="90"/>
      <c r="K617" s="90"/>
      <c r="L617" s="90"/>
      <c r="M617" s="90"/>
      <c r="N617" s="90"/>
      <c r="O617" s="90"/>
      <c r="P617" s="90"/>
      <c r="Q617" s="90"/>
      <c r="R617" s="90"/>
      <c r="S617" s="90"/>
      <c r="T617" s="90"/>
      <c r="U617" s="90"/>
      <c r="V617" s="90"/>
      <c r="W617" s="90"/>
      <c r="X617" s="90"/>
    </row>
    <row r="618" spans="1:24" ht="12.75">
      <c r="A618" s="112"/>
      <c r="B618" s="113"/>
      <c r="C618" s="114"/>
      <c r="D618" s="114"/>
      <c r="E618" s="90"/>
      <c r="F618" s="115"/>
      <c r="G618" s="90"/>
      <c r="H618" s="90"/>
      <c r="I618" s="90"/>
      <c r="J618" s="90"/>
      <c r="K618" s="90"/>
      <c r="L618" s="90"/>
      <c r="M618" s="90"/>
      <c r="N618" s="90"/>
      <c r="O618" s="90"/>
      <c r="P618" s="90"/>
      <c r="Q618" s="90"/>
      <c r="R618" s="90"/>
      <c r="S618" s="90"/>
      <c r="T618" s="90"/>
      <c r="U618" s="90"/>
      <c r="V618" s="90"/>
      <c r="W618" s="90"/>
      <c r="X618" s="90"/>
    </row>
    <row r="619" spans="1:24" ht="12.75">
      <c r="A619" s="112"/>
      <c r="B619" s="113"/>
      <c r="C619" s="114"/>
      <c r="D619" s="114"/>
      <c r="E619" s="90"/>
      <c r="F619" s="115"/>
      <c r="G619" s="90"/>
      <c r="H619" s="90"/>
      <c r="I619" s="90"/>
      <c r="J619" s="90"/>
      <c r="K619" s="90"/>
      <c r="L619" s="90"/>
      <c r="M619" s="90"/>
      <c r="N619" s="90"/>
      <c r="O619" s="90"/>
      <c r="P619" s="90"/>
      <c r="Q619" s="90"/>
      <c r="R619" s="90"/>
      <c r="S619" s="90"/>
      <c r="T619" s="90"/>
      <c r="U619" s="90"/>
      <c r="V619" s="90"/>
      <c r="W619" s="90"/>
      <c r="X619" s="90"/>
    </row>
    <row r="620" spans="1:24" ht="12.75">
      <c r="A620" s="112"/>
      <c r="B620" s="113"/>
      <c r="C620" s="114"/>
      <c r="D620" s="114"/>
      <c r="E620" s="90"/>
      <c r="F620" s="115"/>
      <c r="G620" s="90"/>
      <c r="H620" s="90"/>
      <c r="I620" s="90"/>
      <c r="J620" s="90"/>
      <c r="K620" s="90"/>
      <c r="L620" s="90"/>
      <c r="M620" s="90"/>
      <c r="N620" s="90"/>
      <c r="O620" s="90"/>
      <c r="P620" s="90"/>
      <c r="Q620" s="90"/>
      <c r="R620" s="90"/>
      <c r="S620" s="90"/>
      <c r="T620" s="90"/>
      <c r="U620" s="90"/>
      <c r="V620" s="90"/>
      <c r="W620" s="90"/>
      <c r="X620" s="90"/>
    </row>
    <row r="621" spans="1:24" ht="12.75">
      <c r="A621" s="112"/>
      <c r="B621" s="113"/>
      <c r="C621" s="114"/>
      <c r="D621" s="114"/>
      <c r="E621" s="90"/>
      <c r="F621" s="115"/>
      <c r="G621" s="90"/>
      <c r="H621" s="90"/>
      <c r="I621" s="90"/>
      <c r="J621" s="90"/>
      <c r="K621" s="90"/>
      <c r="L621" s="90"/>
      <c r="M621" s="90"/>
      <c r="N621" s="90"/>
      <c r="O621" s="90"/>
      <c r="P621" s="90"/>
      <c r="Q621" s="90"/>
      <c r="R621" s="90"/>
      <c r="S621" s="90"/>
      <c r="T621" s="90"/>
      <c r="U621" s="90"/>
      <c r="V621" s="90"/>
      <c r="W621" s="90"/>
      <c r="X621" s="90"/>
    </row>
    <row r="622" spans="1:24" ht="12.75">
      <c r="A622" s="112"/>
      <c r="B622" s="113"/>
      <c r="C622" s="114"/>
      <c r="D622" s="114"/>
      <c r="E622" s="90"/>
      <c r="F622" s="115"/>
      <c r="G622" s="90"/>
      <c r="H622" s="90"/>
      <c r="I622" s="90"/>
      <c r="J622" s="90"/>
      <c r="K622" s="90"/>
      <c r="L622" s="90"/>
      <c r="M622" s="90"/>
      <c r="N622" s="90"/>
      <c r="O622" s="90"/>
      <c r="P622" s="90"/>
      <c r="Q622" s="90"/>
      <c r="R622" s="90"/>
      <c r="S622" s="90"/>
      <c r="T622" s="90"/>
      <c r="U622" s="90"/>
      <c r="V622" s="90"/>
      <c r="W622" s="90"/>
      <c r="X622" s="90"/>
    </row>
    <row r="623" spans="1:24" ht="12.75">
      <c r="A623" s="112"/>
      <c r="B623" s="113"/>
      <c r="C623" s="114"/>
      <c r="D623" s="114"/>
      <c r="E623" s="90"/>
      <c r="F623" s="115"/>
      <c r="G623" s="90"/>
      <c r="H623" s="90"/>
      <c r="I623" s="90"/>
      <c r="J623" s="90"/>
      <c r="K623" s="90"/>
      <c r="L623" s="90"/>
      <c r="M623" s="90"/>
      <c r="N623" s="90"/>
      <c r="O623" s="90"/>
      <c r="P623" s="90"/>
      <c r="Q623" s="90"/>
      <c r="R623" s="90"/>
      <c r="S623" s="90"/>
      <c r="T623" s="90"/>
      <c r="U623" s="90"/>
      <c r="V623" s="90"/>
      <c r="W623" s="90"/>
      <c r="X623" s="90"/>
    </row>
    <row r="624" spans="1:24" ht="12.75">
      <c r="A624" s="112"/>
      <c r="B624" s="113"/>
      <c r="C624" s="114"/>
      <c r="D624" s="114"/>
      <c r="E624" s="90"/>
      <c r="F624" s="115"/>
      <c r="G624" s="90"/>
      <c r="H624" s="90"/>
      <c r="I624" s="90"/>
      <c r="J624" s="90"/>
      <c r="K624" s="90"/>
      <c r="L624" s="90"/>
      <c r="M624" s="90"/>
      <c r="N624" s="90"/>
      <c r="O624" s="90"/>
      <c r="P624" s="90"/>
      <c r="Q624" s="90"/>
      <c r="R624" s="90"/>
      <c r="S624" s="90"/>
      <c r="T624" s="90"/>
      <c r="U624" s="90"/>
      <c r="V624" s="90"/>
      <c r="W624" s="90"/>
      <c r="X624" s="90"/>
    </row>
    <row r="625" spans="1:24" ht="12.75">
      <c r="A625" s="112"/>
      <c r="B625" s="113"/>
      <c r="C625" s="114"/>
      <c r="D625" s="114"/>
      <c r="E625" s="90"/>
      <c r="F625" s="115"/>
      <c r="G625" s="90"/>
      <c r="H625" s="90"/>
      <c r="I625" s="90"/>
      <c r="J625" s="90"/>
      <c r="K625" s="90"/>
      <c r="L625" s="90"/>
      <c r="M625" s="90"/>
      <c r="N625" s="90"/>
      <c r="O625" s="90"/>
      <c r="P625" s="90"/>
      <c r="Q625" s="90"/>
      <c r="R625" s="90"/>
      <c r="S625" s="90"/>
      <c r="T625" s="90"/>
      <c r="U625" s="90"/>
      <c r="V625" s="90"/>
      <c r="W625" s="90"/>
      <c r="X625" s="90"/>
    </row>
    <row r="626" spans="1:24" ht="12.75">
      <c r="A626" s="112"/>
      <c r="B626" s="113"/>
      <c r="C626" s="114"/>
      <c r="D626" s="114"/>
      <c r="E626" s="90"/>
      <c r="F626" s="115"/>
      <c r="G626" s="90"/>
      <c r="H626" s="90"/>
      <c r="I626" s="90"/>
      <c r="J626" s="90"/>
      <c r="K626" s="90"/>
      <c r="L626" s="90"/>
      <c r="M626" s="90"/>
      <c r="N626" s="90"/>
      <c r="O626" s="90"/>
      <c r="P626" s="90"/>
      <c r="Q626" s="90"/>
      <c r="R626" s="90"/>
      <c r="S626" s="90"/>
      <c r="T626" s="90"/>
      <c r="U626" s="90"/>
      <c r="V626" s="90"/>
      <c r="W626" s="90"/>
      <c r="X626" s="90"/>
    </row>
    <row r="627" spans="1:24" ht="12.75">
      <c r="A627" s="112"/>
      <c r="B627" s="113"/>
      <c r="C627" s="114"/>
      <c r="D627" s="114"/>
      <c r="E627" s="90"/>
      <c r="F627" s="115"/>
      <c r="G627" s="90"/>
      <c r="H627" s="90"/>
      <c r="I627" s="90"/>
      <c r="J627" s="90"/>
      <c r="K627" s="90"/>
      <c r="L627" s="90"/>
      <c r="M627" s="90"/>
      <c r="N627" s="90"/>
      <c r="O627" s="90"/>
      <c r="P627" s="90"/>
      <c r="Q627" s="90"/>
      <c r="R627" s="90"/>
      <c r="S627" s="90"/>
      <c r="T627" s="90"/>
      <c r="U627" s="90"/>
      <c r="V627" s="90"/>
      <c r="W627" s="90"/>
      <c r="X627" s="90"/>
    </row>
    <row r="628" spans="1:24" ht="12.75">
      <c r="A628" s="112"/>
      <c r="B628" s="113"/>
      <c r="C628" s="114"/>
      <c r="D628" s="114"/>
      <c r="E628" s="90"/>
      <c r="F628" s="115"/>
      <c r="G628" s="90"/>
      <c r="H628" s="90"/>
      <c r="I628" s="90"/>
      <c r="J628" s="90"/>
      <c r="K628" s="90"/>
      <c r="L628" s="90"/>
      <c r="M628" s="90"/>
      <c r="N628" s="90"/>
      <c r="O628" s="90"/>
      <c r="P628" s="90"/>
      <c r="Q628" s="90"/>
      <c r="R628" s="90"/>
      <c r="S628" s="90"/>
      <c r="T628" s="90"/>
      <c r="U628" s="90"/>
      <c r="V628" s="90"/>
      <c r="W628" s="90"/>
      <c r="X628" s="90"/>
    </row>
    <row r="629" spans="1:24" ht="12.75">
      <c r="A629" s="112"/>
      <c r="B629" s="113"/>
      <c r="C629" s="114"/>
      <c r="D629" s="114"/>
      <c r="E629" s="90"/>
      <c r="F629" s="115"/>
      <c r="G629" s="90"/>
      <c r="H629" s="90"/>
      <c r="I629" s="90"/>
      <c r="J629" s="90"/>
      <c r="K629" s="90"/>
      <c r="L629" s="90"/>
      <c r="M629" s="90"/>
      <c r="N629" s="90"/>
      <c r="O629" s="90"/>
      <c r="P629" s="90"/>
      <c r="Q629" s="90"/>
      <c r="R629" s="90"/>
      <c r="S629" s="90"/>
      <c r="T629" s="90"/>
      <c r="U629" s="90"/>
      <c r="V629" s="90"/>
      <c r="W629" s="90"/>
      <c r="X629" s="90"/>
    </row>
    <row r="630" spans="1:24" ht="12.75">
      <c r="A630" s="112"/>
      <c r="B630" s="113"/>
      <c r="C630" s="114"/>
      <c r="D630" s="114"/>
      <c r="E630" s="90"/>
      <c r="F630" s="115"/>
      <c r="G630" s="90"/>
      <c r="H630" s="90"/>
      <c r="I630" s="90"/>
      <c r="J630" s="90"/>
      <c r="K630" s="90"/>
      <c r="L630" s="90"/>
      <c r="M630" s="90"/>
      <c r="N630" s="90"/>
      <c r="O630" s="90"/>
      <c r="P630" s="90"/>
      <c r="Q630" s="90"/>
      <c r="R630" s="90"/>
      <c r="S630" s="90"/>
      <c r="T630" s="90"/>
      <c r="U630" s="90"/>
      <c r="V630" s="90"/>
      <c r="W630" s="90"/>
      <c r="X630" s="90"/>
    </row>
    <row r="631" spans="1:24" ht="12.75">
      <c r="A631" s="112"/>
      <c r="B631" s="113"/>
      <c r="C631" s="114"/>
      <c r="D631" s="114"/>
      <c r="E631" s="90"/>
      <c r="F631" s="115"/>
      <c r="G631" s="90"/>
      <c r="H631" s="90"/>
      <c r="I631" s="90"/>
      <c r="J631" s="90"/>
      <c r="K631" s="90"/>
      <c r="L631" s="90"/>
      <c r="M631" s="90"/>
      <c r="N631" s="90"/>
      <c r="O631" s="90"/>
      <c r="P631" s="90"/>
      <c r="Q631" s="90"/>
      <c r="R631" s="90"/>
      <c r="S631" s="90"/>
      <c r="T631" s="90"/>
      <c r="U631" s="90"/>
      <c r="V631" s="90"/>
      <c r="W631" s="90"/>
      <c r="X631" s="90"/>
    </row>
    <row r="632" spans="1:24" ht="12.75">
      <c r="A632" s="112"/>
      <c r="B632" s="113"/>
      <c r="C632" s="114"/>
      <c r="D632" s="114"/>
      <c r="E632" s="90"/>
      <c r="F632" s="115"/>
      <c r="G632" s="90"/>
      <c r="H632" s="90"/>
      <c r="I632" s="90"/>
      <c r="J632" s="90"/>
      <c r="K632" s="90"/>
      <c r="L632" s="90"/>
      <c r="M632" s="90"/>
      <c r="N632" s="90"/>
      <c r="O632" s="90"/>
      <c r="P632" s="90"/>
      <c r="Q632" s="90"/>
      <c r="R632" s="90"/>
      <c r="S632" s="90"/>
      <c r="T632" s="90"/>
      <c r="U632" s="90"/>
      <c r="V632" s="90"/>
      <c r="W632" s="90"/>
      <c r="X632" s="90"/>
    </row>
    <row r="633" spans="1:24" ht="12.75">
      <c r="A633" s="112"/>
      <c r="B633" s="113"/>
      <c r="C633" s="114"/>
      <c r="D633" s="114"/>
      <c r="E633" s="90"/>
      <c r="F633" s="115"/>
      <c r="G633" s="90"/>
      <c r="H633" s="90"/>
      <c r="I633" s="90"/>
      <c r="J633" s="90"/>
      <c r="K633" s="90"/>
      <c r="L633" s="90"/>
      <c r="M633" s="90"/>
      <c r="N633" s="90"/>
      <c r="O633" s="90"/>
      <c r="P633" s="90"/>
      <c r="Q633" s="90"/>
      <c r="R633" s="90"/>
      <c r="S633" s="90"/>
      <c r="T633" s="90"/>
      <c r="U633" s="90"/>
      <c r="V633" s="90"/>
      <c r="W633" s="90"/>
      <c r="X633" s="90"/>
    </row>
    <row r="634" spans="1:24" ht="12.75">
      <c r="A634" s="112"/>
      <c r="B634" s="113"/>
      <c r="C634" s="114"/>
      <c r="D634" s="114"/>
      <c r="E634" s="90"/>
      <c r="F634" s="115"/>
      <c r="G634" s="90"/>
      <c r="H634" s="90"/>
      <c r="I634" s="90"/>
      <c r="J634" s="90"/>
      <c r="K634" s="90"/>
      <c r="L634" s="90"/>
      <c r="M634" s="90"/>
      <c r="N634" s="90"/>
      <c r="O634" s="90"/>
      <c r="P634" s="90"/>
      <c r="Q634" s="90"/>
      <c r="R634" s="90"/>
      <c r="S634" s="90"/>
      <c r="T634" s="90"/>
      <c r="U634" s="90"/>
      <c r="V634" s="90"/>
      <c r="W634" s="90"/>
      <c r="X634" s="90"/>
    </row>
    <row r="635" spans="1:24" ht="12.75">
      <c r="A635" s="112"/>
      <c r="B635" s="113"/>
      <c r="C635" s="114"/>
      <c r="D635" s="114"/>
      <c r="E635" s="90"/>
      <c r="F635" s="115"/>
      <c r="G635" s="90"/>
      <c r="H635" s="90"/>
      <c r="I635" s="90"/>
      <c r="J635" s="90"/>
      <c r="K635" s="90"/>
      <c r="L635" s="90"/>
      <c r="M635" s="90"/>
      <c r="N635" s="90"/>
      <c r="O635" s="90"/>
      <c r="P635" s="90"/>
      <c r="Q635" s="90"/>
      <c r="R635" s="90"/>
      <c r="S635" s="90"/>
      <c r="T635" s="90"/>
      <c r="U635" s="90"/>
      <c r="V635" s="90"/>
      <c r="W635" s="90"/>
      <c r="X635" s="90"/>
    </row>
    <row r="636" spans="1:24" ht="12.75">
      <c r="A636" s="112"/>
      <c r="B636" s="113"/>
      <c r="C636" s="114"/>
      <c r="D636" s="114"/>
      <c r="E636" s="90"/>
      <c r="F636" s="115"/>
      <c r="G636" s="90"/>
      <c r="H636" s="90"/>
      <c r="I636" s="90"/>
      <c r="J636" s="90"/>
      <c r="K636" s="90"/>
      <c r="L636" s="90"/>
      <c r="M636" s="90"/>
      <c r="N636" s="90"/>
      <c r="O636" s="90"/>
      <c r="P636" s="90"/>
      <c r="Q636" s="90"/>
      <c r="R636" s="90"/>
      <c r="S636" s="90"/>
      <c r="T636" s="90"/>
      <c r="U636" s="90"/>
      <c r="V636" s="90"/>
      <c r="W636" s="90"/>
      <c r="X636" s="90"/>
    </row>
    <row r="637" spans="1:24" ht="12.75">
      <c r="A637" s="112"/>
      <c r="B637" s="113"/>
      <c r="C637" s="114"/>
      <c r="D637" s="114"/>
      <c r="E637" s="90"/>
      <c r="F637" s="115"/>
      <c r="G637" s="90"/>
      <c r="H637" s="90"/>
      <c r="I637" s="90"/>
      <c r="J637" s="90"/>
      <c r="K637" s="90"/>
      <c r="L637" s="90"/>
      <c r="M637" s="90"/>
      <c r="N637" s="90"/>
      <c r="O637" s="90"/>
      <c r="P637" s="90"/>
      <c r="Q637" s="90"/>
      <c r="R637" s="90"/>
      <c r="S637" s="90"/>
      <c r="T637" s="90"/>
      <c r="U637" s="90"/>
      <c r="V637" s="90"/>
      <c r="W637" s="90"/>
      <c r="X637" s="90"/>
    </row>
    <row r="638" spans="1:24" ht="12.75">
      <c r="A638" s="112"/>
      <c r="B638" s="113"/>
      <c r="C638" s="114"/>
      <c r="D638" s="114"/>
      <c r="E638" s="90"/>
      <c r="F638" s="115"/>
      <c r="G638" s="90"/>
      <c r="H638" s="90"/>
      <c r="I638" s="90"/>
      <c r="J638" s="90"/>
      <c r="K638" s="90"/>
      <c r="L638" s="90"/>
      <c r="M638" s="90"/>
      <c r="N638" s="90"/>
      <c r="O638" s="90"/>
      <c r="P638" s="90"/>
      <c r="Q638" s="90"/>
      <c r="R638" s="90"/>
      <c r="S638" s="90"/>
      <c r="T638" s="90"/>
      <c r="U638" s="90"/>
      <c r="V638" s="90"/>
      <c r="W638" s="90"/>
      <c r="X638" s="90"/>
    </row>
    <row r="639" spans="1:24" ht="12.75">
      <c r="A639" s="112"/>
      <c r="B639" s="113"/>
      <c r="C639" s="114"/>
      <c r="D639" s="114"/>
      <c r="E639" s="90"/>
      <c r="F639" s="115"/>
      <c r="G639" s="90"/>
      <c r="H639" s="90"/>
      <c r="I639" s="90"/>
      <c r="J639" s="90"/>
      <c r="K639" s="90"/>
      <c r="L639" s="90"/>
      <c r="M639" s="90"/>
      <c r="N639" s="90"/>
      <c r="O639" s="90"/>
      <c r="P639" s="90"/>
      <c r="Q639" s="90"/>
      <c r="R639" s="90"/>
      <c r="S639" s="90"/>
      <c r="T639" s="90"/>
      <c r="U639" s="90"/>
      <c r="V639" s="90"/>
      <c r="W639" s="90"/>
      <c r="X639" s="90"/>
    </row>
    <row r="640" spans="1:24" ht="12.75">
      <c r="A640" s="112"/>
      <c r="B640" s="113"/>
      <c r="C640" s="114"/>
      <c r="D640" s="114"/>
      <c r="E640" s="90"/>
      <c r="F640" s="115"/>
      <c r="G640" s="90"/>
      <c r="H640" s="90"/>
      <c r="I640" s="90"/>
      <c r="J640" s="90"/>
      <c r="K640" s="90"/>
      <c r="L640" s="90"/>
      <c r="M640" s="90"/>
      <c r="N640" s="90"/>
      <c r="O640" s="90"/>
      <c r="P640" s="90"/>
      <c r="Q640" s="90"/>
      <c r="R640" s="90"/>
      <c r="S640" s="90"/>
      <c r="T640" s="90"/>
      <c r="U640" s="90"/>
      <c r="V640" s="90"/>
      <c r="W640" s="90"/>
      <c r="X640" s="90"/>
    </row>
    <row r="641" spans="1:24" ht="12.75">
      <c r="A641" s="112"/>
      <c r="B641" s="113"/>
      <c r="C641" s="114"/>
      <c r="D641" s="114"/>
      <c r="E641" s="90"/>
      <c r="F641" s="115"/>
      <c r="G641" s="90"/>
      <c r="H641" s="90"/>
      <c r="I641" s="90"/>
      <c r="J641" s="90"/>
      <c r="K641" s="90"/>
      <c r="L641" s="90"/>
      <c r="M641" s="90"/>
      <c r="N641" s="90"/>
      <c r="O641" s="90"/>
      <c r="P641" s="90"/>
      <c r="Q641" s="90"/>
      <c r="R641" s="90"/>
      <c r="S641" s="90"/>
      <c r="T641" s="90"/>
      <c r="U641" s="90"/>
      <c r="V641" s="90"/>
      <c r="W641" s="90"/>
      <c r="X641" s="90"/>
    </row>
    <row r="642" spans="1:24" ht="12.75">
      <c r="A642" s="112"/>
      <c r="B642" s="113"/>
      <c r="C642" s="114"/>
      <c r="D642" s="114"/>
      <c r="E642" s="90"/>
      <c r="F642" s="115"/>
      <c r="G642" s="90"/>
      <c r="H642" s="90"/>
      <c r="I642" s="90"/>
      <c r="J642" s="90"/>
      <c r="K642" s="90"/>
      <c r="L642" s="90"/>
      <c r="M642" s="90"/>
      <c r="N642" s="90"/>
      <c r="O642" s="90"/>
      <c r="P642" s="90"/>
      <c r="Q642" s="90"/>
      <c r="R642" s="90"/>
      <c r="S642" s="90"/>
      <c r="T642" s="90"/>
      <c r="U642" s="90"/>
      <c r="V642" s="90"/>
      <c r="W642" s="90"/>
      <c r="X642" s="90"/>
    </row>
    <row r="643" spans="1:24" ht="12.75">
      <c r="A643" s="112"/>
      <c r="B643" s="113"/>
      <c r="C643" s="114"/>
      <c r="D643" s="114"/>
      <c r="E643" s="90"/>
      <c r="F643" s="115"/>
      <c r="G643" s="90"/>
      <c r="H643" s="90"/>
      <c r="I643" s="90"/>
      <c r="J643" s="90"/>
      <c r="K643" s="90"/>
      <c r="L643" s="90"/>
      <c r="M643" s="90"/>
      <c r="N643" s="90"/>
      <c r="O643" s="90"/>
      <c r="P643" s="90"/>
      <c r="Q643" s="90"/>
      <c r="R643" s="90"/>
      <c r="S643" s="90"/>
      <c r="T643" s="90"/>
      <c r="U643" s="90"/>
      <c r="V643" s="90"/>
      <c r="W643" s="90"/>
      <c r="X643" s="90"/>
    </row>
    <row r="644" spans="1:24" ht="12.75">
      <c r="A644" s="112"/>
      <c r="B644" s="113"/>
      <c r="C644" s="114"/>
      <c r="D644" s="114"/>
      <c r="E644" s="90"/>
      <c r="F644" s="115"/>
      <c r="G644" s="90"/>
      <c r="H644" s="90"/>
      <c r="I644" s="90"/>
      <c r="J644" s="90"/>
      <c r="K644" s="90"/>
      <c r="L644" s="90"/>
      <c r="M644" s="90"/>
      <c r="N644" s="90"/>
      <c r="O644" s="90"/>
      <c r="P644" s="90"/>
      <c r="Q644" s="90"/>
      <c r="R644" s="90"/>
      <c r="S644" s="90"/>
      <c r="T644" s="90"/>
      <c r="U644" s="90"/>
      <c r="V644" s="90"/>
      <c r="W644" s="90"/>
      <c r="X644" s="90"/>
    </row>
    <row r="645" spans="1:24" ht="12.75">
      <c r="A645" s="112"/>
      <c r="B645" s="113"/>
      <c r="C645" s="114"/>
      <c r="D645" s="114"/>
      <c r="E645" s="90"/>
      <c r="F645" s="115"/>
      <c r="G645" s="90"/>
      <c r="H645" s="90"/>
      <c r="I645" s="90"/>
      <c r="J645" s="90"/>
      <c r="K645" s="90"/>
      <c r="L645" s="90"/>
      <c r="M645" s="90"/>
      <c r="N645" s="90"/>
      <c r="O645" s="90"/>
      <c r="P645" s="90"/>
      <c r="Q645" s="90"/>
      <c r="R645" s="90"/>
      <c r="S645" s="90"/>
      <c r="T645" s="90"/>
      <c r="U645" s="90"/>
      <c r="V645" s="90"/>
      <c r="W645" s="90"/>
      <c r="X645" s="90"/>
    </row>
    <row r="646" spans="1:24" ht="12.75">
      <c r="A646" s="112"/>
      <c r="B646" s="113"/>
      <c r="C646" s="114"/>
      <c r="D646" s="114"/>
      <c r="E646" s="90"/>
      <c r="F646" s="115"/>
      <c r="G646" s="90"/>
      <c r="H646" s="90"/>
      <c r="I646" s="90"/>
      <c r="J646" s="90"/>
      <c r="K646" s="90"/>
      <c r="L646" s="90"/>
      <c r="M646" s="90"/>
      <c r="N646" s="90"/>
      <c r="O646" s="90"/>
      <c r="P646" s="90"/>
      <c r="Q646" s="90"/>
      <c r="R646" s="90"/>
      <c r="S646" s="90"/>
      <c r="T646" s="90"/>
      <c r="U646" s="90"/>
      <c r="V646" s="90"/>
      <c r="W646" s="90"/>
      <c r="X646" s="90"/>
    </row>
    <row r="647" spans="1:24" ht="12.75">
      <c r="A647" s="112"/>
      <c r="B647" s="113"/>
      <c r="C647" s="114"/>
      <c r="D647" s="114"/>
      <c r="E647" s="90"/>
      <c r="F647" s="115"/>
      <c r="G647" s="90"/>
      <c r="H647" s="90"/>
      <c r="I647" s="90"/>
      <c r="J647" s="90"/>
      <c r="K647" s="90"/>
      <c r="L647" s="90"/>
      <c r="M647" s="90"/>
      <c r="N647" s="90"/>
      <c r="O647" s="90"/>
      <c r="P647" s="90"/>
      <c r="Q647" s="90"/>
      <c r="R647" s="90"/>
      <c r="S647" s="90"/>
      <c r="T647" s="90"/>
      <c r="U647" s="90"/>
      <c r="V647" s="90"/>
      <c r="W647" s="90"/>
      <c r="X647" s="90"/>
    </row>
    <row r="648" spans="1:24" ht="12.75">
      <c r="A648" s="112"/>
      <c r="B648" s="113"/>
      <c r="C648" s="114"/>
      <c r="D648" s="114"/>
      <c r="E648" s="90"/>
      <c r="F648" s="115"/>
      <c r="G648" s="90"/>
      <c r="H648" s="90"/>
      <c r="I648" s="90"/>
      <c r="J648" s="90"/>
      <c r="K648" s="90"/>
      <c r="L648" s="90"/>
      <c r="M648" s="90"/>
      <c r="N648" s="90"/>
      <c r="O648" s="90"/>
      <c r="P648" s="90"/>
      <c r="Q648" s="90"/>
      <c r="R648" s="90"/>
      <c r="S648" s="90"/>
      <c r="T648" s="90"/>
      <c r="U648" s="90"/>
      <c r="V648" s="90"/>
      <c r="W648" s="90"/>
      <c r="X648" s="90"/>
    </row>
    <row r="649" spans="1:24" ht="12.75">
      <c r="A649" s="112"/>
      <c r="B649" s="113"/>
      <c r="C649" s="114"/>
      <c r="D649" s="114"/>
      <c r="E649" s="90"/>
      <c r="F649" s="115"/>
      <c r="G649" s="90"/>
      <c r="H649" s="90"/>
      <c r="I649" s="90"/>
      <c r="J649" s="90"/>
      <c r="K649" s="90"/>
      <c r="L649" s="90"/>
      <c r="M649" s="90"/>
      <c r="N649" s="90"/>
      <c r="O649" s="90"/>
      <c r="P649" s="90"/>
      <c r="Q649" s="90"/>
      <c r="R649" s="90"/>
      <c r="S649" s="90"/>
      <c r="T649" s="90"/>
      <c r="U649" s="90"/>
      <c r="V649" s="90"/>
      <c r="W649" s="90"/>
      <c r="X649" s="90"/>
    </row>
    <row r="650" spans="1:24" ht="12.75">
      <c r="A650" s="112"/>
      <c r="B650" s="113"/>
      <c r="C650" s="114"/>
      <c r="D650" s="114"/>
      <c r="E650" s="90"/>
      <c r="F650" s="115"/>
      <c r="G650" s="90"/>
      <c r="H650" s="90"/>
      <c r="I650" s="90"/>
      <c r="J650" s="90"/>
      <c r="K650" s="90"/>
      <c r="L650" s="90"/>
      <c r="M650" s="90"/>
      <c r="N650" s="90"/>
      <c r="O650" s="90"/>
      <c r="P650" s="90"/>
      <c r="Q650" s="90"/>
      <c r="R650" s="90"/>
      <c r="S650" s="90"/>
      <c r="T650" s="90"/>
      <c r="U650" s="90"/>
      <c r="V650" s="90"/>
      <c r="W650" s="90"/>
      <c r="X650" s="90"/>
    </row>
    <row r="651" spans="1:24" ht="12.75">
      <c r="A651" s="112"/>
      <c r="B651" s="113"/>
      <c r="C651" s="114"/>
      <c r="D651" s="114"/>
      <c r="E651" s="90"/>
      <c r="F651" s="115"/>
      <c r="G651" s="90"/>
      <c r="H651" s="90"/>
      <c r="I651" s="90"/>
      <c r="J651" s="90"/>
      <c r="K651" s="90"/>
      <c r="L651" s="90"/>
      <c r="M651" s="90"/>
      <c r="N651" s="90"/>
      <c r="O651" s="90"/>
      <c r="P651" s="90"/>
      <c r="Q651" s="90"/>
      <c r="R651" s="90"/>
      <c r="S651" s="90"/>
      <c r="T651" s="90"/>
      <c r="U651" s="90"/>
      <c r="V651" s="90"/>
      <c r="W651" s="90"/>
      <c r="X651" s="90"/>
    </row>
    <row r="652" spans="1:24" ht="12.75">
      <c r="A652" s="112"/>
      <c r="B652" s="113"/>
      <c r="C652" s="114"/>
      <c r="D652" s="114"/>
      <c r="E652" s="90"/>
      <c r="F652" s="115"/>
      <c r="G652" s="90"/>
      <c r="H652" s="90"/>
      <c r="I652" s="90"/>
      <c r="J652" s="90"/>
      <c r="K652" s="90"/>
      <c r="L652" s="90"/>
      <c r="M652" s="90"/>
      <c r="N652" s="90"/>
      <c r="O652" s="90"/>
      <c r="P652" s="90"/>
      <c r="Q652" s="90"/>
      <c r="R652" s="90"/>
      <c r="S652" s="90"/>
      <c r="T652" s="90"/>
      <c r="U652" s="90"/>
      <c r="V652" s="90"/>
      <c r="W652" s="90"/>
      <c r="X652" s="90"/>
    </row>
    <row r="653" spans="1:24" ht="12.75">
      <c r="A653" s="112"/>
      <c r="B653" s="113"/>
      <c r="C653" s="114"/>
      <c r="D653" s="114"/>
      <c r="E653" s="90"/>
      <c r="F653" s="115"/>
      <c r="G653" s="90"/>
      <c r="H653" s="90"/>
      <c r="I653" s="90"/>
      <c r="J653" s="90"/>
      <c r="K653" s="90"/>
      <c r="L653" s="90"/>
      <c r="M653" s="90"/>
      <c r="N653" s="90"/>
      <c r="O653" s="90"/>
      <c r="P653" s="90"/>
      <c r="Q653" s="90"/>
      <c r="R653" s="90"/>
      <c r="S653" s="90"/>
      <c r="T653" s="90"/>
      <c r="U653" s="90"/>
      <c r="V653" s="90"/>
      <c r="W653" s="90"/>
      <c r="X653" s="90"/>
    </row>
    <row r="654" spans="1:24" ht="12.75">
      <c r="A654" s="112"/>
      <c r="B654" s="113"/>
      <c r="C654" s="114"/>
      <c r="D654" s="114"/>
      <c r="E654" s="90"/>
      <c r="F654" s="115"/>
      <c r="G654" s="90"/>
      <c r="H654" s="90"/>
      <c r="I654" s="90"/>
      <c r="J654" s="90"/>
      <c r="K654" s="90"/>
      <c r="L654" s="90"/>
      <c r="M654" s="90"/>
      <c r="N654" s="90"/>
      <c r="O654" s="90"/>
      <c r="P654" s="90"/>
      <c r="Q654" s="90"/>
      <c r="R654" s="90"/>
      <c r="S654" s="90"/>
      <c r="T654" s="90"/>
      <c r="U654" s="90"/>
      <c r="V654" s="90"/>
      <c r="W654" s="90"/>
      <c r="X654" s="90"/>
    </row>
    <row r="655" spans="1:24" ht="12.75">
      <c r="A655" s="112"/>
      <c r="B655" s="113"/>
      <c r="C655" s="114"/>
      <c r="D655" s="114"/>
      <c r="E655" s="90"/>
      <c r="F655" s="115"/>
      <c r="G655" s="90"/>
      <c r="H655" s="90"/>
      <c r="I655" s="90"/>
      <c r="J655" s="90"/>
      <c r="K655" s="90"/>
      <c r="L655" s="90"/>
      <c r="M655" s="90"/>
      <c r="N655" s="90"/>
      <c r="O655" s="90"/>
      <c r="P655" s="90"/>
      <c r="Q655" s="90"/>
      <c r="R655" s="90"/>
      <c r="S655" s="90"/>
      <c r="T655" s="90"/>
      <c r="U655" s="90"/>
      <c r="V655" s="90"/>
      <c r="W655" s="90"/>
      <c r="X655" s="90"/>
    </row>
    <row r="656" spans="1:24" ht="12.75">
      <c r="A656" s="112"/>
      <c r="B656" s="113"/>
      <c r="C656" s="114"/>
      <c r="D656" s="114"/>
      <c r="E656" s="90"/>
      <c r="F656" s="115"/>
      <c r="G656" s="90"/>
      <c r="H656" s="90"/>
      <c r="I656" s="90"/>
      <c r="J656" s="90"/>
      <c r="K656" s="90"/>
      <c r="L656" s="90"/>
      <c r="M656" s="90"/>
      <c r="N656" s="90"/>
      <c r="O656" s="90"/>
      <c r="P656" s="90"/>
      <c r="Q656" s="90"/>
      <c r="R656" s="90"/>
      <c r="S656" s="90"/>
      <c r="T656" s="90"/>
      <c r="U656" s="90"/>
      <c r="V656" s="90"/>
      <c r="W656" s="90"/>
      <c r="X656" s="90"/>
    </row>
    <row r="657" spans="1:24" ht="12.75">
      <c r="A657" s="112"/>
      <c r="B657" s="113"/>
      <c r="C657" s="114"/>
      <c r="D657" s="114"/>
      <c r="E657" s="90"/>
      <c r="F657" s="115"/>
      <c r="G657" s="90"/>
      <c r="H657" s="90"/>
      <c r="I657" s="90"/>
      <c r="J657" s="90"/>
      <c r="K657" s="90"/>
      <c r="L657" s="90"/>
      <c r="M657" s="90"/>
      <c r="N657" s="90"/>
      <c r="O657" s="90"/>
      <c r="P657" s="90"/>
      <c r="Q657" s="90"/>
      <c r="R657" s="90"/>
      <c r="S657" s="90"/>
      <c r="T657" s="90"/>
      <c r="U657" s="90"/>
      <c r="V657" s="90"/>
      <c r="W657" s="90"/>
      <c r="X657" s="90"/>
    </row>
    <row r="658" spans="1:24" ht="12.75">
      <c r="A658" s="112"/>
      <c r="B658" s="113"/>
      <c r="C658" s="114"/>
      <c r="D658" s="114"/>
      <c r="E658" s="90"/>
      <c r="F658" s="115"/>
      <c r="G658" s="90"/>
      <c r="H658" s="90"/>
      <c r="I658" s="90"/>
      <c r="J658" s="90"/>
      <c r="K658" s="90"/>
      <c r="L658" s="90"/>
      <c r="M658" s="90"/>
      <c r="N658" s="90"/>
      <c r="O658" s="90"/>
      <c r="P658" s="90"/>
      <c r="Q658" s="90"/>
      <c r="R658" s="90"/>
      <c r="S658" s="90"/>
      <c r="T658" s="90"/>
      <c r="U658" s="90"/>
      <c r="V658" s="90"/>
      <c r="W658" s="90"/>
      <c r="X658" s="90"/>
    </row>
    <row r="659" spans="1:24" ht="12.75">
      <c r="A659" s="112"/>
      <c r="B659" s="113"/>
      <c r="C659" s="114"/>
      <c r="D659" s="114"/>
      <c r="E659" s="90"/>
      <c r="F659" s="115"/>
      <c r="G659" s="90"/>
      <c r="H659" s="90"/>
      <c r="I659" s="90"/>
      <c r="J659" s="90"/>
      <c r="K659" s="90"/>
      <c r="L659" s="90"/>
      <c r="M659" s="90"/>
      <c r="N659" s="90"/>
      <c r="O659" s="90"/>
      <c r="P659" s="90"/>
      <c r="Q659" s="90"/>
      <c r="R659" s="90"/>
      <c r="S659" s="90"/>
      <c r="T659" s="90"/>
      <c r="U659" s="90"/>
      <c r="V659" s="90"/>
      <c r="W659" s="90"/>
      <c r="X659" s="90"/>
    </row>
    <row r="660" spans="1:24" ht="12.75">
      <c r="A660" s="112"/>
      <c r="B660" s="113"/>
      <c r="C660" s="114"/>
      <c r="D660" s="114"/>
      <c r="E660" s="90"/>
      <c r="F660" s="115"/>
      <c r="G660" s="90"/>
      <c r="H660" s="90"/>
      <c r="I660" s="90"/>
      <c r="J660" s="90"/>
      <c r="K660" s="90"/>
      <c r="L660" s="90"/>
      <c r="M660" s="90"/>
      <c r="N660" s="90"/>
      <c r="O660" s="90"/>
      <c r="P660" s="90"/>
      <c r="Q660" s="90"/>
      <c r="R660" s="90"/>
      <c r="S660" s="90"/>
      <c r="T660" s="90"/>
      <c r="U660" s="90"/>
      <c r="V660" s="90"/>
      <c r="W660" s="90"/>
      <c r="X660" s="90"/>
    </row>
    <row r="661" spans="1:24" ht="12.75">
      <c r="A661" s="112"/>
      <c r="B661" s="113"/>
      <c r="C661" s="114"/>
      <c r="D661" s="114"/>
      <c r="E661" s="90"/>
      <c r="F661" s="115"/>
      <c r="G661" s="90"/>
      <c r="H661" s="90"/>
      <c r="I661" s="90"/>
      <c r="J661" s="90"/>
      <c r="K661" s="90"/>
      <c r="L661" s="90"/>
      <c r="M661" s="90"/>
      <c r="N661" s="90"/>
      <c r="O661" s="90"/>
      <c r="P661" s="90"/>
      <c r="Q661" s="90"/>
      <c r="R661" s="90"/>
      <c r="S661" s="90"/>
      <c r="T661" s="90"/>
      <c r="U661" s="90"/>
      <c r="V661" s="90"/>
      <c r="W661" s="90"/>
      <c r="X661" s="90"/>
    </row>
    <row r="662" spans="1:24" ht="12.75">
      <c r="A662" s="112"/>
      <c r="B662" s="113"/>
      <c r="C662" s="114"/>
      <c r="D662" s="114"/>
      <c r="E662" s="90"/>
      <c r="F662" s="115"/>
      <c r="G662" s="90"/>
      <c r="H662" s="90"/>
      <c r="I662" s="90"/>
      <c r="J662" s="90"/>
      <c r="K662" s="90"/>
      <c r="L662" s="90"/>
      <c r="M662" s="90"/>
      <c r="N662" s="90"/>
      <c r="O662" s="90"/>
      <c r="P662" s="90"/>
      <c r="Q662" s="90"/>
      <c r="R662" s="90"/>
      <c r="S662" s="90"/>
      <c r="T662" s="90"/>
      <c r="U662" s="90"/>
      <c r="V662" s="90"/>
      <c r="W662" s="90"/>
      <c r="X662" s="90"/>
    </row>
    <row r="663" spans="1:24" ht="12.75">
      <c r="A663" s="112"/>
      <c r="B663" s="113"/>
      <c r="C663" s="114"/>
      <c r="D663" s="114"/>
      <c r="E663" s="90"/>
      <c r="F663" s="115"/>
      <c r="G663" s="90"/>
      <c r="H663" s="90"/>
      <c r="I663" s="90"/>
      <c r="J663" s="90"/>
      <c r="K663" s="90"/>
      <c r="L663" s="90"/>
      <c r="M663" s="90"/>
      <c r="N663" s="90"/>
      <c r="O663" s="90"/>
      <c r="P663" s="90"/>
      <c r="Q663" s="90"/>
      <c r="R663" s="90"/>
      <c r="S663" s="90"/>
      <c r="T663" s="90"/>
      <c r="U663" s="90"/>
      <c r="V663" s="90"/>
      <c r="W663" s="90"/>
      <c r="X663" s="90"/>
    </row>
    <row r="664" spans="1:24" ht="12.75">
      <c r="A664" s="112"/>
      <c r="B664" s="113"/>
      <c r="C664" s="114"/>
      <c r="D664" s="114"/>
      <c r="E664" s="90"/>
      <c r="F664" s="115"/>
      <c r="G664" s="90"/>
      <c r="H664" s="90"/>
      <c r="I664" s="90"/>
      <c r="J664" s="90"/>
      <c r="K664" s="90"/>
      <c r="L664" s="90"/>
      <c r="M664" s="90"/>
      <c r="N664" s="90"/>
      <c r="O664" s="90"/>
      <c r="P664" s="90"/>
      <c r="Q664" s="90"/>
      <c r="R664" s="90"/>
      <c r="S664" s="90"/>
      <c r="T664" s="90"/>
      <c r="U664" s="90"/>
      <c r="V664" s="90"/>
      <c r="W664" s="90"/>
      <c r="X664" s="90"/>
    </row>
    <row r="665" spans="1:24" ht="12.75">
      <c r="A665" s="112"/>
      <c r="B665" s="113"/>
      <c r="C665" s="114"/>
      <c r="D665" s="114"/>
      <c r="E665" s="90"/>
      <c r="F665" s="115"/>
      <c r="G665" s="90"/>
      <c r="H665" s="90"/>
      <c r="I665" s="90"/>
      <c r="J665" s="90"/>
      <c r="K665" s="90"/>
      <c r="L665" s="90"/>
      <c r="M665" s="90"/>
      <c r="N665" s="90"/>
      <c r="O665" s="90"/>
      <c r="P665" s="90"/>
      <c r="Q665" s="90"/>
      <c r="R665" s="90"/>
      <c r="S665" s="90"/>
      <c r="T665" s="90"/>
      <c r="U665" s="90"/>
      <c r="V665" s="90"/>
      <c r="W665" s="90"/>
      <c r="X665" s="90"/>
    </row>
    <row r="666" spans="1:24" ht="12.75">
      <c r="A666" s="112"/>
      <c r="B666" s="113"/>
      <c r="C666" s="114"/>
      <c r="D666" s="114"/>
      <c r="E666" s="90"/>
      <c r="F666" s="115"/>
      <c r="G666" s="90"/>
      <c r="H666" s="90"/>
      <c r="I666" s="90"/>
      <c r="J666" s="90"/>
      <c r="K666" s="90"/>
      <c r="L666" s="90"/>
      <c r="M666" s="90"/>
      <c r="N666" s="90"/>
      <c r="O666" s="90"/>
      <c r="P666" s="90"/>
      <c r="Q666" s="90"/>
      <c r="R666" s="90"/>
      <c r="S666" s="90"/>
      <c r="T666" s="90"/>
      <c r="U666" s="90"/>
      <c r="V666" s="90"/>
      <c r="W666" s="90"/>
      <c r="X666" s="90"/>
    </row>
    <row r="667" spans="1:24" ht="12.75">
      <c r="A667" s="112"/>
      <c r="B667" s="113"/>
      <c r="C667" s="114"/>
      <c r="D667" s="114"/>
      <c r="E667" s="90"/>
      <c r="F667" s="115"/>
      <c r="G667" s="90"/>
      <c r="H667" s="90"/>
      <c r="I667" s="90"/>
      <c r="J667" s="90"/>
      <c r="K667" s="90"/>
      <c r="L667" s="90"/>
      <c r="M667" s="90"/>
      <c r="N667" s="90"/>
      <c r="O667" s="90"/>
      <c r="P667" s="90"/>
      <c r="Q667" s="90"/>
      <c r="R667" s="90"/>
      <c r="S667" s="90"/>
      <c r="T667" s="90"/>
      <c r="U667" s="90"/>
      <c r="V667" s="90"/>
      <c r="W667" s="90"/>
      <c r="X667" s="90"/>
    </row>
    <row r="668" spans="1:24" ht="12.75">
      <c r="A668" s="112"/>
      <c r="B668" s="113"/>
      <c r="C668" s="114"/>
      <c r="D668" s="114"/>
      <c r="E668" s="90"/>
      <c r="F668" s="115"/>
      <c r="G668" s="90"/>
      <c r="H668" s="90"/>
      <c r="I668" s="90"/>
      <c r="J668" s="90"/>
      <c r="K668" s="90"/>
      <c r="L668" s="90"/>
      <c r="M668" s="90"/>
      <c r="N668" s="90"/>
      <c r="O668" s="90"/>
      <c r="P668" s="90"/>
      <c r="Q668" s="90"/>
      <c r="R668" s="90"/>
      <c r="S668" s="90"/>
      <c r="T668" s="90"/>
      <c r="U668" s="90"/>
      <c r="V668" s="90"/>
      <c r="W668" s="90"/>
      <c r="X668" s="90"/>
    </row>
    <row r="669" spans="1:24" ht="12.75">
      <c r="A669" s="112"/>
      <c r="B669" s="113"/>
      <c r="C669" s="114"/>
      <c r="D669" s="114"/>
      <c r="E669" s="90"/>
      <c r="F669" s="115"/>
      <c r="G669" s="90"/>
      <c r="H669" s="90"/>
      <c r="I669" s="90"/>
      <c r="J669" s="90"/>
      <c r="K669" s="90"/>
      <c r="L669" s="90"/>
      <c r="M669" s="90"/>
      <c r="N669" s="90"/>
      <c r="O669" s="90"/>
      <c r="P669" s="90"/>
      <c r="Q669" s="90"/>
      <c r="R669" s="90"/>
      <c r="S669" s="90"/>
      <c r="T669" s="90"/>
      <c r="U669" s="90"/>
      <c r="V669" s="90"/>
      <c r="W669" s="90"/>
      <c r="X669" s="90"/>
    </row>
    <row r="670" spans="1:24" ht="12.75">
      <c r="A670" s="112"/>
      <c r="B670" s="113"/>
      <c r="C670" s="114"/>
      <c r="D670" s="114"/>
      <c r="E670" s="90"/>
      <c r="F670" s="115"/>
      <c r="G670" s="90"/>
      <c r="H670" s="90"/>
      <c r="I670" s="90"/>
      <c r="J670" s="90"/>
      <c r="K670" s="90"/>
      <c r="L670" s="90"/>
      <c r="M670" s="90"/>
      <c r="N670" s="90"/>
      <c r="O670" s="90"/>
      <c r="P670" s="90"/>
      <c r="Q670" s="90"/>
      <c r="R670" s="90"/>
      <c r="S670" s="90"/>
      <c r="T670" s="90"/>
      <c r="U670" s="90"/>
      <c r="V670" s="90"/>
      <c r="W670" s="90"/>
      <c r="X670" s="90"/>
    </row>
    <row r="671" spans="1:24" ht="12.75">
      <c r="A671" s="112"/>
      <c r="B671" s="113"/>
      <c r="C671" s="114"/>
      <c r="D671" s="114"/>
      <c r="E671" s="90"/>
      <c r="F671" s="115"/>
      <c r="G671" s="90"/>
      <c r="H671" s="90"/>
      <c r="I671" s="90"/>
      <c r="J671" s="90"/>
      <c r="K671" s="90"/>
      <c r="L671" s="90"/>
      <c r="M671" s="90"/>
      <c r="N671" s="90"/>
      <c r="O671" s="90"/>
      <c r="P671" s="90"/>
      <c r="Q671" s="90"/>
      <c r="R671" s="90"/>
      <c r="S671" s="90"/>
      <c r="T671" s="90"/>
      <c r="U671" s="90"/>
      <c r="V671" s="90"/>
      <c r="W671" s="90"/>
      <c r="X671" s="90"/>
    </row>
    <row r="672" spans="1:24" ht="12.75">
      <c r="A672" s="112"/>
      <c r="B672" s="113"/>
      <c r="C672" s="114"/>
      <c r="D672" s="114"/>
      <c r="E672" s="90"/>
      <c r="F672" s="115"/>
      <c r="G672" s="90"/>
      <c r="H672" s="90"/>
      <c r="I672" s="90"/>
      <c r="J672" s="90"/>
      <c r="K672" s="90"/>
      <c r="L672" s="90"/>
      <c r="M672" s="90"/>
      <c r="N672" s="90"/>
      <c r="O672" s="90"/>
      <c r="P672" s="90"/>
      <c r="Q672" s="90"/>
      <c r="R672" s="90"/>
      <c r="S672" s="90"/>
      <c r="T672" s="90"/>
      <c r="U672" s="90"/>
      <c r="V672" s="90"/>
      <c r="W672" s="90"/>
      <c r="X672" s="90"/>
    </row>
    <row r="673" spans="1:24" ht="12.75">
      <c r="A673" s="112"/>
      <c r="B673" s="113"/>
      <c r="C673" s="114"/>
      <c r="D673" s="114"/>
      <c r="E673" s="90"/>
      <c r="F673" s="115"/>
      <c r="G673" s="90"/>
      <c r="H673" s="90"/>
      <c r="I673" s="90"/>
      <c r="J673" s="90"/>
      <c r="K673" s="90"/>
      <c r="L673" s="90"/>
      <c r="M673" s="90"/>
      <c r="N673" s="90"/>
      <c r="O673" s="90"/>
      <c r="P673" s="90"/>
      <c r="Q673" s="90"/>
      <c r="R673" s="90"/>
      <c r="S673" s="90"/>
      <c r="T673" s="90"/>
      <c r="U673" s="90"/>
      <c r="V673" s="90"/>
      <c r="W673" s="90"/>
      <c r="X673" s="90"/>
    </row>
    <row r="674" spans="1:24" ht="12.75">
      <c r="A674" s="112"/>
      <c r="B674" s="113"/>
      <c r="C674" s="114"/>
      <c r="D674" s="114"/>
      <c r="E674" s="90"/>
      <c r="F674" s="115"/>
      <c r="G674" s="90"/>
      <c r="H674" s="90"/>
      <c r="I674" s="90"/>
      <c r="J674" s="90"/>
      <c r="K674" s="90"/>
      <c r="L674" s="90"/>
      <c r="M674" s="90"/>
      <c r="N674" s="90"/>
      <c r="O674" s="90"/>
      <c r="P674" s="90"/>
      <c r="Q674" s="90"/>
      <c r="R674" s="90"/>
      <c r="S674" s="90"/>
      <c r="T674" s="90"/>
      <c r="U674" s="90"/>
      <c r="V674" s="90"/>
      <c r="W674" s="90"/>
      <c r="X674" s="90"/>
    </row>
    <row r="675" spans="1:24" ht="12.75">
      <c r="A675" s="112"/>
      <c r="B675" s="113"/>
      <c r="C675" s="114"/>
      <c r="D675" s="114"/>
      <c r="E675" s="90"/>
      <c r="F675" s="115"/>
      <c r="G675" s="90"/>
      <c r="H675" s="90"/>
      <c r="I675" s="90"/>
      <c r="J675" s="90"/>
      <c r="K675" s="90"/>
      <c r="L675" s="90"/>
      <c r="M675" s="90"/>
      <c r="N675" s="90"/>
      <c r="O675" s="90"/>
      <c r="P675" s="90"/>
      <c r="Q675" s="90"/>
      <c r="R675" s="90"/>
      <c r="S675" s="90"/>
      <c r="T675" s="90"/>
      <c r="U675" s="90"/>
      <c r="V675" s="90"/>
      <c r="W675" s="90"/>
      <c r="X675" s="90"/>
    </row>
    <row r="676" spans="1:24" ht="12.75">
      <c r="A676" s="112"/>
      <c r="B676" s="113"/>
      <c r="C676" s="114"/>
      <c r="D676" s="114"/>
      <c r="E676" s="90"/>
      <c r="F676" s="115"/>
      <c r="G676" s="90"/>
      <c r="H676" s="90"/>
      <c r="I676" s="90"/>
      <c r="J676" s="90"/>
      <c r="K676" s="90"/>
      <c r="L676" s="90"/>
      <c r="M676" s="90"/>
      <c r="N676" s="90"/>
      <c r="O676" s="90"/>
      <c r="P676" s="90"/>
      <c r="Q676" s="90"/>
      <c r="R676" s="90"/>
      <c r="S676" s="90"/>
      <c r="T676" s="90"/>
      <c r="U676" s="90"/>
      <c r="V676" s="90"/>
      <c r="W676" s="90"/>
      <c r="X676" s="90"/>
    </row>
    <row r="677" spans="1:24" ht="12.75">
      <c r="A677" s="112"/>
      <c r="B677" s="113"/>
      <c r="C677" s="114"/>
      <c r="D677" s="114"/>
      <c r="E677" s="90"/>
      <c r="F677" s="115"/>
      <c r="G677" s="90"/>
      <c r="H677" s="90"/>
      <c r="I677" s="90"/>
      <c r="J677" s="90"/>
      <c r="K677" s="90"/>
      <c r="L677" s="90"/>
      <c r="M677" s="90"/>
      <c r="N677" s="90"/>
      <c r="O677" s="90"/>
      <c r="P677" s="90"/>
      <c r="Q677" s="90"/>
      <c r="R677" s="90"/>
      <c r="S677" s="90"/>
      <c r="T677" s="90"/>
      <c r="U677" s="90"/>
      <c r="V677" s="90"/>
      <c r="W677" s="90"/>
      <c r="X677" s="90"/>
    </row>
    <row r="678" spans="1:24" ht="12.75">
      <c r="A678" s="112"/>
      <c r="B678" s="113"/>
      <c r="C678" s="114"/>
      <c r="D678" s="114"/>
      <c r="E678" s="90"/>
      <c r="F678" s="115"/>
      <c r="G678" s="90"/>
      <c r="H678" s="90"/>
      <c r="I678" s="90"/>
      <c r="J678" s="90"/>
      <c r="K678" s="90"/>
      <c r="L678" s="90"/>
      <c r="M678" s="90"/>
      <c r="N678" s="90"/>
      <c r="O678" s="90"/>
      <c r="P678" s="90"/>
      <c r="Q678" s="90"/>
      <c r="R678" s="90"/>
      <c r="S678" s="90"/>
      <c r="T678" s="90"/>
      <c r="U678" s="90"/>
      <c r="V678" s="90"/>
      <c r="W678" s="90"/>
      <c r="X678" s="90"/>
    </row>
    <row r="679" spans="1:24" ht="12.75">
      <c r="A679" s="112"/>
      <c r="B679" s="113"/>
      <c r="C679" s="114"/>
      <c r="D679" s="114"/>
      <c r="E679" s="90"/>
      <c r="F679" s="115"/>
      <c r="G679" s="90"/>
      <c r="H679" s="90"/>
      <c r="I679" s="90"/>
      <c r="J679" s="90"/>
      <c r="K679" s="90"/>
      <c r="L679" s="90"/>
      <c r="M679" s="90"/>
      <c r="N679" s="90"/>
      <c r="O679" s="90"/>
      <c r="P679" s="90"/>
      <c r="Q679" s="90"/>
      <c r="R679" s="90"/>
      <c r="S679" s="90"/>
      <c r="T679" s="90"/>
      <c r="U679" s="90"/>
      <c r="V679" s="90"/>
      <c r="W679" s="90"/>
      <c r="X679" s="90"/>
    </row>
    <row r="680" spans="1:24" ht="12.75">
      <c r="A680" s="112"/>
      <c r="B680" s="113"/>
      <c r="C680" s="114"/>
      <c r="D680" s="114"/>
      <c r="E680" s="90"/>
      <c r="F680" s="115"/>
      <c r="G680" s="90"/>
      <c r="H680" s="90"/>
      <c r="I680" s="90"/>
      <c r="J680" s="90"/>
      <c r="K680" s="90"/>
      <c r="L680" s="90"/>
      <c r="M680" s="90"/>
      <c r="N680" s="90"/>
      <c r="O680" s="90"/>
      <c r="P680" s="90"/>
      <c r="Q680" s="90"/>
      <c r="R680" s="90"/>
      <c r="S680" s="90"/>
      <c r="T680" s="90"/>
      <c r="U680" s="90"/>
      <c r="V680" s="90"/>
      <c r="W680" s="90"/>
      <c r="X680" s="90"/>
    </row>
    <row r="681" spans="1:24" ht="12.75">
      <c r="A681" s="112"/>
      <c r="B681" s="113"/>
      <c r="C681" s="114"/>
      <c r="D681" s="114"/>
      <c r="E681" s="90"/>
      <c r="F681" s="115"/>
      <c r="G681" s="90"/>
      <c r="H681" s="90"/>
      <c r="I681" s="90"/>
      <c r="J681" s="90"/>
      <c r="K681" s="90"/>
      <c r="L681" s="90"/>
      <c r="M681" s="90"/>
      <c r="N681" s="90"/>
      <c r="O681" s="90"/>
      <c r="P681" s="90"/>
      <c r="Q681" s="90"/>
      <c r="R681" s="90"/>
      <c r="S681" s="90"/>
      <c r="T681" s="90"/>
      <c r="U681" s="90"/>
      <c r="V681" s="90"/>
      <c r="W681" s="90"/>
      <c r="X681" s="90"/>
    </row>
    <row r="682" spans="1:24" ht="12.75">
      <c r="A682" s="112"/>
      <c r="B682" s="113"/>
      <c r="C682" s="114"/>
      <c r="D682" s="114"/>
      <c r="E682" s="90"/>
      <c r="F682" s="115"/>
      <c r="G682" s="90"/>
      <c r="H682" s="90"/>
      <c r="I682" s="90"/>
      <c r="J682" s="90"/>
      <c r="K682" s="90"/>
      <c r="L682" s="90"/>
      <c r="M682" s="90"/>
      <c r="N682" s="90"/>
      <c r="O682" s="90"/>
      <c r="P682" s="90"/>
      <c r="Q682" s="90"/>
      <c r="R682" s="90"/>
      <c r="S682" s="90"/>
      <c r="T682" s="90"/>
      <c r="U682" s="90"/>
      <c r="V682" s="90"/>
      <c r="W682" s="90"/>
      <c r="X682" s="90"/>
    </row>
    <row r="683" spans="1:24" ht="12.75">
      <c r="A683" s="112"/>
      <c r="B683" s="113"/>
      <c r="C683" s="114"/>
      <c r="D683" s="114"/>
      <c r="E683" s="90"/>
      <c r="F683" s="115"/>
      <c r="G683" s="90"/>
      <c r="H683" s="90"/>
      <c r="I683" s="90"/>
      <c r="J683" s="90"/>
      <c r="K683" s="90"/>
      <c r="L683" s="90"/>
      <c r="M683" s="90"/>
      <c r="N683" s="90"/>
      <c r="O683" s="90"/>
      <c r="P683" s="90"/>
      <c r="Q683" s="90"/>
      <c r="R683" s="90"/>
      <c r="S683" s="90"/>
      <c r="T683" s="90"/>
      <c r="U683" s="90"/>
      <c r="V683" s="90"/>
      <c r="W683" s="90"/>
      <c r="X683" s="90"/>
    </row>
    <row r="684" spans="1:24" ht="12.75">
      <c r="A684" s="112"/>
      <c r="B684" s="113"/>
      <c r="C684" s="114"/>
      <c r="D684" s="114"/>
      <c r="E684" s="90"/>
      <c r="F684" s="115"/>
      <c r="G684" s="90"/>
      <c r="H684" s="90"/>
      <c r="I684" s="90"/>
      <c r="J684" s="90"/>
      <c r="K684" s="90"/>
      <c r="L684" s="90"/>
      <c r="M684" s="90"/>
      <c r="N684" s="90"/>
      <c r="O684" s="90"/>
      <c r="P684" s="90"/>
      <c r="Q684" s="90"/>
      <c r="R684" s="90"/>
      <c r="S684" s="90"/>
      <c r="T684" s="90"/>
      <c r="U684" s="90"/>
      <c r="V684" s="90"/>
      <c r="W684" s="90"/>
      <c r="X684" s="90"/>
    </row>
    <row r="685" spans="1:24" ht="12.75">
      <c r="A685" s="112"/>
      <c r="B685" s="113"/>
      <c r="C685" s="114"/>
      <c r="D685" s="114"/>
      <c r="E685" s="90"/>
      <c r="F685" s="115"/>
      <c r="G685" s="90"/>
      <c r="H685" s="90"/>
      <c r="I685" s="90"/>
      <c r="J685" s="90"/>
      <c r="K685" s="90"/>
      <c r="L685" s="90"/>
      <c r="M685" s="90"/>
      <c r="N685" s="90"/>
      <c r="O685" s="90"/>
      <c r="P685" s="90"/>
      <c r="Q685" s="90"/>
      <c r="R685" s="90"/>
      <c r="S685" s="90"/>
      <c r="T685" s="90"/>
      <c r="U685" s="90"/>
      <c r="V685" s="90"/>
      <c r="W685" s="90"/>
      <c r="X685" s="90"/>
    </row>
    <row r="686" spans="1:24" ht="12.75">
      <c r="A686" s="112"/>
      <c r="B686" s="113"/>
      <c r="C686" s="114"/>
      <c r="D686" s="114"/>
      <c r="E686" s="90"/>
      <c r="F686" s="115"/>
      <c r="G686" s="90"/>
      <c r="H686" s="90"/>
      <c r="I686" s="90"/>
      <c r="J686" s="90"/>
      <c r="K686" s="90"/>
      <c r="L686" s="90"/>
      <c r="M686" s="90"/>
      <c r="N686" s="90"/>
      <c r="O686" s="90"/>
      <c r="P686" s="90"/>
      <c r="Q686" s="90"/>
      <c r="R686" s="90"/>
      <c r="S686" s="90"/>
      <c r="T686" s="90"/>
      <c r="U686" s="90"/>
      <c r="V686" s="90"/>
      <c r="W686" s="90"/>
      <c r="X686" s="90"/>
    </row>
    <row r="687" spans="1:24" ht="12.75">
      <c r="A687" s="112"/>
      <c r="B687" s="113"/>
      <c r="C687" s="114"/>
      <c r="D687" s="114"/>
      <c r="E687" s="90"/>
      <c r="F687" s="115"/>
      <c r="G687" s="90"/>
      <c r="H687" s="90"/>
      <c r="I687" s="90"/>
      <c r="J687" s="90"/>
      <c r="K687" s="90"/>
      <c r="L687" s="90"/>
      <c r="M687" s="90"/>
      <c r="N687" s="90"/>
      <c r="O687" s="90"/>
      <c r="P687" s="90"/>
      <c r="Q687" s="90"/>
      <c r="R687" s="90"/>
      <c r="S687" s="90"/>
      <c r="T687" s="90"/>
      <c r="U687" s="90"/>
      <c r="V687" s="90"/>
      <c r="W687" s="90"/>
      <c r="X687" s="90"/>
    </row>
    <row r="688" spans="1:24" ht="12.75">
      <c r="A688" s="112"/>
      <c r="B688" s="113"/>
      <c r="C688" s="114"/>
      <c r="D688" s="114"/>
      <c r="E688" s="90"/>
      <c r="F688" s="115"/>
      <c r="G688" s="90"/>
      <c r="H688" s="90"/>
      <c r="I688" s="90"/>
      <c r="J688" s="90"/>
      <c r="K688" s="90"/>
      <c r="L688" s="90"/>
      <c r="M688" s="90"/>
      <c r="N688" s="90"/>
      <c r="O688" s="90"/>
      <c r="P688" s="90"/>
      <c r="Q688" s="90"/>
      <c r="R688" s="90"/>
      <c r="S688" s="90"/>
      <c r="T688" s="90"/>
      <c r="U688" s="90"/>
      <c r="V688" s="90"/>
      <c r="W688" s="90"/>
      <c r="X688" s="90"/>
    </row>
    <row r="689" spans="1:24" ht="12.75">
      <c r="A689" s="112"/>
      <c r="B689" s="113"/>
      <c r="C689" s="114"/>
      <c r="D689" s="114"/>
      <c r="E689" s="90"/>
      <c r="F689" s="115"/>
      <c r="G689" s="90"/>
      <c r="H689" s="90"/>
      <c r="I689" s="90"/>
      <c r="J689" s="90"/>
      <c r="K689" s="90"/>
      <c r="L689" s="90"/>
      <c r="M689" s="90"/>
      <c r="N689" s="90"/>
      <c r="O689" s="90"/>
      <c r="P689" s="90"/>
      <c r="Q689" s="90"/>
      <c r="R689" s="90"/>
      <c r="S689" s="90"/>
      <c r="T689" s="90"/>
      <c r="U689" s="90"/>
      <c r="V689" s="90"/>
      <c r="W689" s="90"/>
      <c r="X689" s="90"/>
    </row>
    <row r="690" spans="1:24" ht="12.75">
      <c r="A690" s="112"/>
      <c r="B690" s="113"/>
      <c r="C690" s="114"/>
      <c r="D690" s="114"/>
      <c r="E690" s="90"/>
      <c r="F690" s="115"/>
      <c r="G690" s="90"/>
      <c r="H690" s="90"/>
      <c r="I690" s="90"/>
      <c r="J690" s="90"/>
      <c r="K690" s="90"/>
      <c r="L690" s="90"/>
      <c r="M690" s="90"/>
      <c r="N690" s="90"/>
      <c r="O690" s="90"/>
      <c r="P690" s="90"/>
      <c r="Q690" s="90"/>
      <c r="R690" s="90"/>
      <c r="S690" s="90"/>
      <c r="T690" s="90"/>
      <c r="U690" s="90"/>
      <c r="V690" s="90"/>
      <c r="W690" s="90"/>
      <c r="X690" s="90"/>
    </row>
    <row r="691" spans="1:24" ht="12.75">
      <c r="A691" s="112"/>
      <c r="B691" s="113"/>
      <c r="C691" s="114"/>
      <c r="D691" s="114"/>
      <c r="E691" s="90"/>
      <c r="F691" s="115"/>
      <c r="G691" s="90"/>
      <c r="H691" s="90"/>
      <c r="I691" s="90"/>
      <c r="J691" s="90"/>
      <c r="K691" s="90"/>
      <c r="L691" s="90"/>
      <c r="M691" s="90"/>
      <c r="N691" s="90"/>
      <c r="O691" s="90"/>
      <c r="P691" s="90"/>
      <c r="Q691" s="90"/>
      <c r="R691" s="90"/>
      <c r="S691" s="90"/>
      <c r="T691" s="90"/>
      <c r="U691" s="90"/>
      <c r="V691" s="90"/>
      <c r="W691" s="90"/>
      <c r="X691" s="90"/>
    </row>
    <row r="692" spans="1:24" ht="12.75">
      <c r="A692" s="112"/>
      <c r="B692" s="113"/>
      <c r="C692" s="114"/>
      <c r="D692" s="114"/>
      <c r="E692" s="90"/>
      <c r="F692" s="115"/>
      <c r="G692" s="90"/>
      <c r="H692" s="90"/>
      <c r="I692" s="90"/>
      <c r="J692" s="90"/>
      <c r="K692" s="90"/>
      <c r="L692" s="90"/>
      <c r="M692" s="90"/>
      <c r="N692" s="90"/>
      <c r="O692" s="90"/>
      <c r="P692" s="90"/>
      <c r="Q692" s="90"/>
      <c r="R692" s="90"/>
      <c r="S692" s="90"/>
      <c r="T692" s="90"/>
      <c r="U692" s="90"/>
      <c r="V692" s="90"/>
      <c r="W692" s="90"/>
      <c r="X692" s="90"/>
    </row>
    <row r="693" spans="1:24" ht="12.75">
      <c r="A693" s="112"/>
      <c r="B693" s="113"/>
      <c r="C693" s="114"/>
      <c r="D693" s="114"/>
      <c r="E693" s="90"/>
      <c r="F693" s="115"/>
      <c r="G693" s="90"/>
      <c r="H693" s="90"/>
      <c r="I693" s="90"/>
      <c r="J693" s="90"/>
      <c r="K693" s="90"/>
      <c r="L693" s="90"/>
      <c r="M693" s="90"/>
      <c r="N693" s="90"/>
      <c r="O693" s="90"/>
      <c r="P693" s="90"/>
      <c r="Q693" s="90"/>
      <c r="R693" s="90"/>
      <c r="S693" s="90"/>
      <c r="T693" s="90"/>
      <c r="U693" s="90"/>
      <c r="V693" s="90"/>
      <c r="W693" s="90"/>
      <c r="X693" s="90"/>
    </row>
    <row r="694" spans="1:24" ht="12.75">
      <c r="A694" s="112"/>
      <c r="B694" s="113"/>
      <c r="C694" s="114"/>
      <c r="D694" s="114"/>
      <c r="E694" s="90"/>
      <c r="F694" s="115"/>
      <c r="G694" s="90"/>
      <c r="H694" s="90"/>
      <c r="I694" s="90"/>
      <c r="J694" s="90"/>
      <c r="K694" s="90"/>
      <c r="L694" s="90"/>
      <c r="M694" s="90"/>
      <c r="N694" s="90"/>
      <c r="O694" s="90"/>
      <c r="P694" s="90"/>
      <c r="Q694" s="90"/>
      <c r="R694" s="90"/>
      <c r="S694" s="90"/>
      <c r="T694" s="90"/>
      <c r="U694" s="90"/>
      <c r="V694" s="90"/>
      <c r="W694" s="90"/>
      <c r="X694" s="90"/>
    </row>
    <row r="695" spans="1:24" ht="12.75">
      <c r="A695" s="112"/>
      <c r="B695" s="113"/>
      <c r="C695" s="114"/>
      <c r="D695" s="114"/>
      <c r="E695" s="90"/>
      <c r="F695" s="115"/>
      <c r="G695" s="90"/>
      <c r="H695" s="90"/>
      <c r="I695" s="90"/>
      <c r="J695" s="90"/>
      <c r="K695" s="90"/>
      <c r="L695" s="90"/>
      <c r="M695" s="90"/>
      <c r="N695" s="90"/>
      <c r="O695" s="90"/>
      <c r="P695" s="90"/>
      <c r="Q695" s="90"/>
      <c r="R695" s="90"/>
      <c r="S695" s="90"/>
      <c r="T695" s="90"/>
      <c r="U695" s="90"/>
      <c r="V695" s="90"/>
      <c r="W695" s="90"/>
      <c r="X695" s="90"/>
    </row>
    <row r="696" spans="1:24" ht="12.75">
      <c r="A696" s="112"/>
      <c r="B696" s="113"/>
      <c r="C696" s="114"/>
      <c r="D696" s="114"/>
      <c r="E696" s="90"/>
      <c r="F696" s="115"/>
      <c r="G696" s="90"/>
      <c r="H696" s="90"/>
      <c r="I696" s="90"/>
      <c r="J696" s="90"/>
      <c r="K696" s="90"/>
      <c r="L696" s="90"/>
      <c r="M696" s="90"/>
      <c r="N696" s="90"/>
      <c r="O696" s="90"/>
      <c r="P696" s="90"/>
      <c r="Q696" s="90"/>
      <c r="R696" s="90"/>
      <c r="S696" s="90"/>
      <c r="T696" s="90"/>
      <c r="U696" s="90"/>
      <c r="V696" s="90"/>
      <c r="W696" s="90"/>
      <c r="X696" s="90"/>
    </row>
    <row r="697" spans="1:24" ht="12.75">
      <c r="A697" s="112"/>
      <c r="B697" s="113"/>
      <c r="C697" s="114"/>
      <c r="D697" s="114"/>
      <c r="E697" s="90"/>
      <c r="F697" s="115"/>
      <c r="G697" s="90"/>
      <c r="H697" s="90"/>
      <c r="I697" s="90"/>
      <c r="J697" s="90"/>
      <c r="K697" s="90"/>
      <c r="L697" s="90"/>
      <c r="M697" s="90"/>
      <c r="N697" s="90"/>
      <c r="O697" s="90"/>
      <c r="P697" s="90"/>
      <c r="Q697" s="90"/>
      <c r="R697" s="90"/>
      <c r="S697" s="90"/>
      <c r="T697" s="90"/>
      <c r="U697" s="90"/>
      <c r="V697" s="90"/>
      <c r="W697" s="90"/>
      <c r="X697" s="90"/>
    </row>
    <row r="698" spans="1:24" ht="12.75">
      <c r="A698" s="112"/>
      <c r="B698" s="113"/>
      <c r="C698" s="114"/>
      <c r="D698" s="114"/>
      <c r="E698" s="90"/>
      <c r="F698" s="115"/>
      <c r="G698" s="90"/>
      <c r="H698" s="90"/>
      <c r="I698" s="90"/>
      <c r="J698" s="90"/>
      <c r="K698" s="90"/>
      <c r="L698" s="90"/>
      <c r="M698" s="90"/>
      <c r="N698" s="90"/>
      <c r="O698" s="90"/>
      <c r="P698" s="90"/>
      <c r="Q698" s="90"/>
      <c r="R698" s="90"/>
      <c r="S698" s="90"/>
      <c r="T698" s="90"/>
      <c r="U698" s="90"/>
      <c r="V698" s="90"/>
      <c r="W698" s="90"/>
      <c r="X698" s="90"/>
    </row>
    <row r="699" spans="1:24" ht="12.75">
      <c r="A699" s="112"/>
      <c r="B699" s="113"/>
      <c r="C699" s="114"/>
      <c r="D699" s="114"/>
      <c r="E699" s="90"/>
      <c r="F699" s="115"/>
      <c r="G699" s="90"/>
      <c r="H699" s="90"/>
      <c r="I699" s="90"/>
      <c r="J699" s="90"/>
      <c r="K699" s="90"/>
      <c r="L699" s="90"/>
      <c r="M699" s="90"/>
      <c r="N699" s="90"/>
      <c r="O699" s="90"/>
      <c r="P699" s="90"/>
      <c r="Q699" s="90"/>
      <c r="R699" s="90"/>
      <c r="S699" s="90"/>
      <c r="T699" s="90"/>
      <c r="U699" s="90"/>
      <c r="V699" s="90"/>
      <c r="W699" s="90"/>
      <c r="X699" s="90"/>
    </row>
    <row r="700" spans="1:24" ht="12.75">
      <c r="A700" s="112"/>
      <c r="B700" s="113"/>
      <c r="C700" s="114"/>
      <c r="D700" s="114"/>
      <c r="E700" s="90"/>
      <c r="F700" s="115"/>
      <c r="G700" s="90"/>
      <c r="H700" s="90"/>
      <c r="I700" s="90"/>
      <c r="J700" s="90"/>
      <c r="K700" s="90"/>
      <c r="L700" s="90"/>
      <c r="M700" s="90"/>
      <c r="N700" s="90"/>
      <c r="O700" s="90"/>
      <c r="P700" s="90"/>
      <c r="Q700" s="90"/>
      <c r="R700" s="90"/>
      <c r="S700" s="90"/>
      <c r="T700" s="90"/>
      <c r="U700" s="90"/>
      <c r="V700" s="90"/>
      <c r="W700" s="90"/>
      <c r="X700" s="90"/>
    </row>
    <row r="701" spans="1:24" ht="12.75">
      <c r="A701" s="112"/>
      <c r="B701" s="113"/>
      <c r="C701" s="114"/>
      <c r="D701" s="114"/>
      <c r="E701" s="90"/>
      <c r="F701" s="115"/>
      <c r="G701" s="90"/>
      <c r="H701" s="90"/>
      <c r="I701" s="90"/>
      <c r="J701" s="90"/>
      <c r="K701" s="90"/>
      <c r="L701" s="90"/>
      <c r="M701" s="90"/>
      <c r="N701" s="90"/>
      <c r="O701" s="90"/>
      <c r="P701" s="90"/>
      <c r="Q701" s="90"/>
      <c r="R701" s="90"/>
      <c r="S701" s="90"/>
      <c r="T701" s="90"/>
      <c r="U701" s="90"/>
      <c r="V701" s="90"/>
      <c r="W701" s="90"/>
      <c r="X701" s="90"/>
    </row>
    <row r="702" spans="1:24" ht="12.75">
      <c r="A702" s="112"/>
      <c r="B702" s="113"/>
      <c r="C702" s="114"/>
      <c r="D702" s="114"/>
      <c r="E702" s="90"/>
      <c r="F702" s="115"/>
      <c r="G702" s="90"/>
      <c r="H702" s="90"/>
      <c r="I702" s="90"/>
      <c r="J702" s="90"/>
      <c r="K702" s="90"/>
      <c r="L702" s="90"/>
      <c r="M702" s="90"/>
      <c r="N702" s="90"/>
      <c r="O702" s="90"/>
      <c r="P702" s="90"/>
      <c r="Q702" s="90"/>
      <c r="R702" s="90"/>
      <c r="S702" s="90"/>
      <c r="T702" s="90"/>
      <c r="U702" s="90"/>
      <c r="V702" s="90"/>
      <c r="W702" s="90"/>
      <c r="X702" s="90"/>
    </row>
    <row r="703" spans="1:24" ht="12.75">
      <c r="A703" s="112"/>
      <c r="B703" s="113"/>
      <c r="C703" s="114"/>
      <c r="D703" s="114"/>
      <c r="E703" s="90"/>
      <c r="F703" s="115"/>
      <c r="G703" s="90"/>
      <c r="H703" s="90"/>
      <c r="I703" s="90"/>
      <c r="J703" s="90"/>
      <c r="K703" s="90"/>
      <c r="L703" s="90"/>
      <c r="M703" s="90"/>
      <c r="N703" s="90"/>
      <c r="O703" s="90"/>
      <c r="P703" s="90"/>
      <c r="Q703" s="90"/>
      <c r="R703" s="90"/>
      <c r="S703" s="90"/>
      <c r="T703" s="90"/>
      <c r="U703" s="90"/>
      <c r="V703" s="90"/>
      <c r="W703" s="90"/>
      <c r="X703" s="90"/>
    </row>
    <row r="704" spans="1:24" ht="12.75">
      <c r="A704" s="112"/>
      <c r="B704" s="113"/>
      <c r="C704" s="114"/>
      <c r="D704" s="114"/>
      <c r="E704" s="90"/>
      <c r="F704" s="115"/>
      <c r="G704" s="90"/>
      <c r="H704" s="90"/>
      <c r="I704" s="90"/>
      <c r="J704" s="90"/>
      <c r="K704" s="90"/>
      <c r="L704" s="90"/>
      <c r="M704" s="90"/>
      <c r="N704" s="90"/>
      <c r="O704" s="90"/>
      <c r="P704" s="90"/>
      <c r="Q704" s="90"/>
      <c r="R704" s="90"/>
      <c r="S704" s="90"/>
      <c r="T704" s="90"/>
      <c r="U704" s="90"/>
      <c r="V704" s="90"/>
      <c r="W704" s="90"/>
      <c r="X704" s="90"/>
    </row>
    <row r="705" spans="1:24" ht="12.75">
      <c r="A705" s="112"/>
      <c r="B705" s="113"/>
      <c r="C705" s="114"/>
      <c r="D705" s="114"/>
      <c r="E705" s="90"/>
      <c r="F705" s="115"/>
      <c r="G705" s="90"/>
      <c r="H705" s="90"/>
      <c r="I705" s="90"/>
      <c r="J705" s="90"/>
      <c r="K705" s="90"/>
      <c r="L705" s="90"/>
      <c r="M705" s="90"/>
      <c r="N705" s="90"/>
      <c r="O705" s="90"/>
      <c r="P705" s="90"/>
      <c r="Q705" s="90"/>
      <c r="R705" s="90"/>
      <c r="S705" s="90"/>
      <c r="T705" s="90"/>
      <c r="U705" s="90"/>
      <c r="V705" s="90"/>
      <c r="W705" s="90"/>
      <c r="X705" s="90"/>
    </row>
    <row r="706" spans="1:24" ht="12.75">
      <c r="A706" s="112"/>
      <c r="B706" s="113"/>
      <c r="C706" s="114"/>
      <c r="D706" s="114"/>
      <c r="E706" s="90"/>
      <c r="F706" s="115"/>
      <c r="G706" s="90"/>
      <c r="H706" s="90"/>
      <c r="I706" s="90"/>
      <c r="J706" s="90"/>
      <c r="K706" s="90"/>
      <c r="L706" s="90"/>
      <c r="M706" s="90"/>
      <c r="N706" s="90"/>
      <c r="O706" s="90"/>
      <c r="P706" s="90"/>
      <c r="Q706" s="90"/>
      <c r="R706" s="90"/>
      <c r="S706" s="90"/>
      <c r="T706" s="90"/>
      <c r="U706" s="90"/>
      <c r="V706" s="90"/>
      <c r="W706" s="90"/>
      <c r="X706" s="90"/>
    </row>
    <row r="707" spans="1:24" ht="12.75">
      <c r="A707" s="112"/>
      <c r="B707" s="113"/>
      <c r="C707" s="114"/>
      <c r="D707" s="114"/>
      <c r="E707" s="90"/>
      <c r="F707" s="115"/>
      <c r="G707" s="90"/>
      <c r="H707" s="90"/>
      <c r="I707" s="90"/>
      <c r="J707" s="90"/>
      <c r="K707" s="90"/>
      <c r="L707" s="90"/>
      <c r="M707" s="90"/>
      <c r="N707" s="90"/>
      <c r="O707" s="90"/>
      <c r="P707" s="90"/>
      <c r="Q707" s="90"/>
      <c r="R707" s="90"/>
      <c r="S707" s="90"/>
      <c r="T707" s="90"/>
      <c r="U707" s="90"/>
      <c r="V707" s="90"/>
      <c r="W707" s="90"/>
      <c r="X707" s="90"/>
    </row>
    <row r="708" spans="1:24" ht="12.75">
      <c r="A708" s="112"/>
      <c r="B708" s="113"/>
      <c r="C708" s="114"/>
      <c r="D708" s="114"/>
      <c r="E708" s="90"/>
      <c r="F708" s="115"/>
      <c r="G708" s="90"/>
      <c r="H708" s="90"/>
      <c r="I708" s="90"/>
      <c r="J708" s="90"/>
      <c r="K708" s="90"/>
      <c r="L708" s="90"/>
      <c r="M708" s="90"/>
      <c r="N708" s="90"/>
      <c r="O708" s="90"/>
      <c r="P708" s="90"/>
      <c r="Q708" s="90"/>
      <c r="R708" s="90"/>
      <c r="S708" s="90"/>
      <c r="T708" s="90"/>
      <c r="U708" s="90"/>
      <c r="V708" s="90"/>
      <c r="W708" s="90"/>
      <c r="X708" s="90"/>
    </row>
    <row r="709" spans="1:24" ht="12.75">
      <c r="A709" s="112"/>
      <c r="B709" s="113"/>
      <c r="C709" s="114"/>
      <c r="D709" s="114"/>
      <c r="E709" s="90"/>
      <c r="F709" s="115"/>
      <c r="G709" s="90"/>
      <c r="H709" s="90"/>
      <c r="I709" s="90"/>
      <c r="J709" s="90"/>
      <c r="K709" s="90"/>
      <c r="L709" s="90"/>
      <c r="M709" s="90"/>
      <c r="N709" s="90"/>
      <c r="O709" s="90"/>
      <c r="P709" s="90"/>
      <c r="Q709" s="90"/>
      <c r="R709" s="90"/>
      <c r="S709" s="90"/>
      <c r="T709" s="90"/>
      <c r="U709" s="90"/>
      <c r="V709" s="90"/>
      <c r="W709" s="90"/>
      <c r="X709" s="90"/>
    </row>
    <row r="710" spans="1:24" ht="12.75">
      <c r="A710" s="112"/>
      <c r="B710" s="113"/>
      <c r="C710" s="114"/>
      <c r="D710" s="114"/>
      <c r="E710" s="90"/>
      <c r="F710" s="115"/>
      <c r="G710" s="90"/>
      <c r="H710" s="90"/>
      <c r="I710" s="90"/>
      <c r="J710" s="90"/>
      <c r="K710" s="90"/>
      <c r="L710" s="90"/>
      <c r="M710" s="90"/>
      <c r="N710" s="90"/>
      <c r="O710" s="90"/>
      <c r="P710" s="90"/>
      <c r="Q710" s="90"/>
      <c r="R710" s="90"/>
      <c r="S710" s="90"/>
      <c r="T710" s="90"/>
      <c r="U710" s="90"/>
      <c r="V710" s="90"/>
      <c r="W710" s="90"/>
      <c r="X710" s="90"/>
    </row>
    <row r="711" spans="1:24" ht="12.75">
      <c r="A711" s="112"/>
      <c r="B711" s="113"/>
      <c r="C711" s="114"/>
      <c r="D711" s="114"/>
      <c r="E711" s="90"/>
      <c r="F711" s="115"/>
      <c r="G711" s="90"/>
      <c r="H711" s="90"/>
      <c r="I711" s="90"/>
      <c r="J711" s="90"/>
      <c r="K711" s="90"/>
      <c r="L711" s="90"/>
      <c r="M711" s="90"/>
      <c r="N711" s="90"/>
      <c r="O711" s="90"/>
      <c r="P711" s="90"/>
      <c r="Q711" s="90"/>
      <c r="R711" s="90"/>
      <c r="S711" s="90"/>
      <c r="T711" s="90"/>
      <c r="U711" s="90"/>
      <c r="V711" s="90"/>
      <c r="W711" s="90"/>
      <c r="X711" s="90"/>
    </row>
    <row r="712" spans="1:24" ht="12.75">
      <c r="A712" s="112"/>
      <c r="B712" s="113"/>
      <c r="C712" s="114"/>
      <c r="D712" s="114"/>
      <c r="E712" s="90"/>
      <c r="F712" s="115"/>
      <c r="G712" s="90"/>
      <c r="H712" s="90"/>
      <c r="I712" s="90"/>
      <c r="J712" s="90"/>
      <c r="K712" s="90"/>
      <c r="L712" s="90"/>
      <c r="M712" s="90"/>
      <c r="N712" s="90"/>
      <c r="O712" s="90"/>
      <c r="P712" s="90"/>
      <c r="Q712" s="90"/>
      <c r="R712" s="90"/>
      <c r="S712" s="90"/>
      <c r="T712" s="90"/>
      <c r="U712" s="90"/>
      <c r="V712" s="90"/>
      <c r="W712" s="90"/>
      <c r="X712" s="90"/>
    </row>
    <row r="713" spans="1:24" ht="12.75">
      <c r="A713" s="112"/>
      <c r="B713" s="113"/>
      <c r="C713" s="114"/>
      <c r="D713" s="114"/>
      <c r="E713" s="90"/>
      <c r="F713" s="115"/>
      <c r="G713" s="90"/>
      <c r="H713" s="90"/>
      <c r="I713" s="90"/>
      <c r="J713" s="90"/>
      <c r="K713" s="90"/>
      <c r="L713" s="90"/>
      <c r="M713" s="90"/>
      <c r="N713" s="90"/>
      <c r="O713" s="90"/>
      <c r="P713" s="90"/>
      <c r="Q713" s="90"/>
      <c r="R713" s="90"/>
      <c r="S713" s="90"/>
      <c r="T713" s="90"/>
      <c r="U713" s="90"/>
      <c r="V713" s="90"/>
      <c r="W713" s="90"/>
      <c r="X713" s="90"/>
    </row>
    <row r="714" spans="1:24" ht="12.75">
      <c r="A714" s="112"/>
      <c r="B714" s="113"/>
      <c r="C714" s="114"/>
      <c r="D714" s="114"/>
      <c r="E714" s="90"/>
      <c r="F714" s="115"/>
      <c r="G714" s="90"/>
      <c r="H714" s="90"/>
      <c r="I714" s="90"/>
      <c r="J714" s="90"/>
      <c r="K714" s="90"/>
      <c r="L714" s="90"/>
      <c r="M714" s="90"/>
      <c r="N714" s="90"/>
      <c r="O714" s="90"/>
      <c r="P714" s="90"/>
      <c r="Q714" s="90"/>
      <c r="R714" s="90"/>
      <c r="S714" s="90"/>
      <c r="T714" s="90"/>
      <c r="U714" s="90"/>
      <c r="V714" s="90"/>
      <c r="W714" s="90"/>
      <c r="X714" s="90"/>
    </row>
    <row r="715" spans="1:24" ht="12.75">
      <c r="A715" s="112"/>
      <c r="B715" s="113"/>
      <c r="C715" s="114"/>
      <c r="D715" s="114"/>
      <c r="E715" s="90"/>
      <c r="F715" s="115"/>
      <c r="G715" s="90"/>
      <c r="H715" s="90"/>
      <c r="I715" s="90"/>
      <c r="J715" s="90"/>
      <c r="K715" s="90"/>
      <c r="L715" s="90"/>
      <c r="M715" s="90"/>
      <c r="N715" s="90"/>
      <c r="O715" s="90"/>
      <c r="P715" s="90"/>
      <c r="Q715" s="90"/>
      <c r="R715" s="90"/>
      <c r="S715" s="90"/>
      <c r="T715" s="90"/>
      <c r="U715" s="90"/>
      <c r="V715" s="90"/>
      <c r="W715" s="90"/>
      <c r="X715" s="90"/>
    </row>
    <row r="716" spans="1:24" ht="12.75">
      <c r="A716" s="112"/>
      <c r="B716" s="113"/>
      <c r="C716" s="114"/>
      <c r="D716" s="114"/>
      <c r="E716" s="90"/>
      <c r="F716" s="115"/>
      <c r="G716" s="90"/>
      <c r="H716" s="90"/>
      <c r="I716" s="90"/>
      <c r="J716" s="90"/>
      <c r="K716" s="90"/>
      <c r="L716" s="90"/>
      <c r="M716" s="90"/>
      <c r="N716" s="90"/>
      <c r="O716" s="90"/>
      <c r="P716" s="90"/>
      <c r="Q716" s="90"/>
      <c r="R716" s="90"/>
      <c r="S716" s="90"/>
      <c r="T716" s="90"/>
      <c r="U716" s="90"/>
      <c r="V716" s="90"/>
      <c r="W716" s="90"/>
      <c r="X716" s="90"/>
    </row>
    <row r="717" spans="1:24" ht="12.75">
      <c r="A717" s="112"/>
      <c r="B717" s="113"/>
      <c r="C717" s="114"/>
      <c r="D717" s="114"/>
      <c r="E717" s="90"/>
      <c r="F717" s="115"/>
      <c r="G717" s="90"/>
      <c r="H717" s="90"/>
      <c r="I717" s="90"/>
      <c r="J717" s="90"/>
      <c r="K717" s="90"/>
      <c r="L717" s="90"/>
      <c r="M717" s="90"/>
      <c r="N717" s="90"/>
      <c r="O717" s="90"/>
      <c r="P717" s="90"/>
      <c r="Q717" s="90"/>
      <c r="R717" s="90"/>
      <c r="S717" s="90"/>
      <c r="T717" s="90"/>
      <c r="U717" s="90"/>
      <c r="V717" s="90"/>
      <c r="W717" s="90"/>
      <c r="X717" s="90"/>
    </row>
    <row r="718" spans="1:24" ht="12.75">
      <c r="A718" s="112"/>
      <c r="B718" s="113"/>
      <c r="C718" s="114"/>
      <c r="D718" s="114"/>
      <c r="E718" s="90"/>
      <c r="F718" s="115"/>
      <c r="G718" s="90"/>
      <c r="H718" s="90"/>
      <c r="I718" s="90"/>
      <c r="J718" s="90"/>
      <c r="K718" s="90"/>
      <c r="L718" s="90"/>
      <c r="M718" s="90"/>
      <c r="N718" s="90"/>
      <c r="O718" s="90"/>
      <c r="P718" s="90"/>
      <c r="Q718" s="90"/>
      <c r="R718" s="90"/>
      <c r="S718" s="90"/>
      <c r="T718" s="90"/>
      <c r="U718" s="90"/>
      <c r="V718" s="90"/>
      <c r="W718" s="90"/>
      <c r="X718" s="90"/>
    </row>
    <row r="719" spans="1:24" ht="12.75">
      <c r="A719" s="112"/>
      <c r="B719" s="113"/>
      <c r="C719" s="114"/>
      <c r="D719" s="114"/>
      <c r="E719" s="90"/>
      <c r="F719" s="115"/>
      <c r="G719" s="90"/>
      <c r="H719" s="90"/>
      <c r="I719" s="90"/>
      <c r="J719" s="90"/>
      <c r="K719" s="90"/>
      <c r="L719" s="90"/>
      <c r="M719" s="90"/>
      <c r="N719" s="90"/>
      <c r="O719" s="90"/>
      <c r="P719" s="90"/>
      <c r="Q719" s="90"/>
      <c r="R719" s="90"/>
      <c r="S719" s="90"/>
      <c r="T719" s="90"/>
      <c r="U719" s="90"/>
      <c r="V719" s="90"/>
      <c r="W719" s="90"/>
      <c r="X719" s="90"/>
    </row>
    <row r="720" spans="1:24" ht="12.75">
      <c r="A720" s="112"/>
      <c r="B720" s="113"/>
      <c r="C720" s="114"/>
      <c r="D720" s="114"/>
      <c r="E720" s="90"/>
      <c r="F720" s="115"/>
      <c r="G720" s="90"/>
      <c r="H720" s="90"/>
      <c r="I720" s="90"/>
      <c r="J720" s="90"/>
      <c r="K720" s="90"/>
      <c r="L720" s="90"/>
      <c r="M720" s="90"/>
      <c r="N720" s="90"/>
      <c r="O720" s="90"/>
      <c r="P720" s="90"/>
      <c r="Q720" s="90"/>
      <c r="R720" s="90"/>
      <c r="S720" s="90"/>
      <c r="T720" s="90"/>
      <c r="U720" s="90"/>
      <c r="V720" s="90"/>
      <c r="W720" s="90"/>
      <c r="X720" s="90"/>
    </row>
    <row r="721" spans="1:24" ht="12.75">
      <c r="A721" s="112"/>
      <c r="B721" s="113"/>
      <c r="C721" s="114"/>
      <c r="D721" s="114"/>
      <c r="E721" s="90"/>
      <c r="F721" s="115"/>
      <c r="G721" s="90"/>
      <c r="H721" s="90"/>
      <c r="I721" s="90"/>
      <c r="J721" s="90"/>
      <c r="K721" s="90"/>
      <c r="L721" s="90"/>
      <c r="M721" s="90"/>
      <c r="N721" s="90"/>
      <c r="O721" s="90"/>
      <c r="P721" s="90"/>
      <c r="Q721" s="90"/>
      <c r="R721" s="90"/>
      <c r="S721" s="90"/>
      <c r="T721" s="90"/>
      <c r="U721" s="90"/>
      <c r="V721" s="90"/>
      <c r="W721" s="90"/>
      <c r="X721" s="90"/>
    </row>
    <row r="722" spans="1:24" ht="12.75">
      <c r="A722" s="112"/>
      <c r="B722" s="113"/>
      <c r="C722" s="114"/>
      <c r="D722" s="114"/>
      <c r="E722" s="90"/>
      <c r="F722" s="115"/>
      <c r="G722" s="90"/>
      <c r="H722" s="90"/>
      <c r="I722" s="90"/>
      <c r="J722" s="90"/>
      <c r="K722" s="90"/>
      <c r="L722" s="90"/>
      <c r="M722" s="90"/>
      <c r="N722" s="90"/>
      <c r="O722" s="90"/>
      <c r="P722" s="90"/>
      <c r="Q722" s="90"/>
      <c r="R722" s="90"/>
      <c r="S722" s="90"/>
      <c r="T722" s="90"/>
      <c r="U722" s="90"/>
      <c r="V722" s="90"/>
      <c r="W722" s="90"/>
      <c r="X722" s="90"/>
    </row>
    <row r="723" spans="1:24" ht="12.75">
      <c r="A723" s="112"/>
      <c r="B723" s="113"/>
      <c r="C723" s="114"/>
      <c r="D723" s="114"/>
      <c r="E723" s="90"/>
      <c r="F723" s="115"/>
      <c r="G723" s="90"/>
      <c r="H723" s="90"/>
      <c r="I723" s="90"/>
      <c r="J723" s="90"/>
      <c r="K723" s="90"/>
      <c r="L723" s="90"/>
      <c r="M723" s="90"/>
      <c r="N723" s="90"/>
      <c r="O723" s="90"/>
      <c r="P723" s="90"/>
      <c r="Q723" s="90"/>
      <c r="R723" s="90"/>
      <c r="S723" s="90"/>
      <c r="T723" s="90"/>
      <c r="U723" s="90"/>
      <c r="V723" s="90"/>
      <c r="W723" s="90"/>
      <c r="X723" s="90"/>
    </row>
    <row r="724" spans="1:24" ht="12.75">
      <c r="A724" s="112"/>
      <c r="B724" s="113"/>
      <c r="C724" s="114"/>
      <c r="D724" s="114"/>
      <c r="E724" s="90"/>
      <c r="F724" s="115"/>
      <c r="G724" s="90"/>
      <c r="H724" s="90"/>
      <c r="I724" s="90"/>
      <c r="J724" s="90"/>
      <c r="K724" s="90"/>
      <c r="L724" s="90"/>
      <c r="M724" s="90"/>
      <c r="N724" s="90"/>
      <c r="O724" s="90"/>
      <c r="P724" s="90"/>
      <c r="Q724" s="90"/>
      <c r="R724" s="90"/>
      <c r="S724" s="90"/>
      <c r="T724" s="90"/>
      <c r="U724" s="90"/>
      <c r="V724" s="90"/>
      <c r="W724" s="90"/>
      <c r="X724" s="90"/>
    </row>
    <row r="725" spans="1:24" ht="12.75">
      <c r="A725" s="112"/>
      <c r="B725" s="113"/>
      <c r="C725" s="114"/>
      <c r="D725" s="114"/>
      <c r="E725" s="90"/>
      <c r="F725" s="115"/>
      <c r="G725" s="90"/>
      <c r="H725" s="90"/>
      <c r="I725" s="90"/>
      <c r="J725" s="90"/>
      <c r="K725" s="90"/>
      <c r="L725" s="90"/>
      <c r="M725" s="90"/>
      <c r="N725" s="90"/>
      <c r="O725" s="90"/>
      <c r="P725" s="90"/>
      <c r="Q725" s="90"/>
      <c r="R725" s="90"/>
      <c r="S725" s="90"/>
      <c r="T725" s="90"/>
      <c r="U725" s="90"/>
      <c r="V725" s="90"/>
      <c r="W725" s="90"/>
      <c r="X725" s="90"/>
    </row>
    <row r="726" spans="1:24" ht="12.75">
      <c r="A726" s="112"/>
      <c r="B726" s="113"/>
      <c r="C726" s="114"/>
      <c r="D726" s="114"/>
      <c r="E726" s="90"/>
      <c r="F726" s="115"/>
      <c r="G726" s="90"/>
      <c r="H726" s="90"/>
      <c r="I726" s="90"/>
      <c r="J726" s="90"/>
      <c r="K726" s="90"/>
      <c r="L726" s="90"/>
      <c r="M726" s="90"/>
      <c r="N726" s="90"/>
      <c r="O726" s="90"/>
      <c r="P726" s="90"/>
      <c r="Q726" s="90"/>
      <c r="R726" s="90"/>
      <c r="S726" s="90"/>
      <c r="T726" s="90"/>
      <c r="U726" s="90"/>
      <c r="V726" s="90"/>
      <c r="W726" s="90"/>
      <c r="X726" s="90"/>
    </row>
    <row r="727" spans="1:24" ht="12.75">
      <c r="A727" s="112"/>
      <c r="B727" s="113"/>
      <c r="C727" s="114"/>
      <c r="D727" s="114"/>
      <c r="E727" s="90"/>
      <c r="F727" s="115"/>
      <c r="G727" s="90"/>
      <c r="H727" s="90"/>
      <c r="I727" s="90"/>
      <c r="J727" s="90"/>
      <c r="K727" s="90"/>
      <c r="L727" s="90"/>
      <c r="M727" s="90"/>
      <c r="N727" s="90"/>
      <c r="O727" s="90"/>
      <c r="P727" s="90"/>
      <c r="Q727" s="90"/>
      <c r="R727" s="90"/>
      <c r="S727" s="90"/>
      <c r="T727" s="90"/>
      <c r="U727" s="90"/>
      <c r="V727" s="90"/>
      <c r="W727" s="90"/>
      <c r="X727" s="90"/>
    </row>
    <row r="728" spans="1:24" ht="12.75">
      <c r="A728" s="112"/>
      <c r="B728" s="113"/>
      <c r="C728" s="114"/>
      <c r="D728" s="114"/>
      <c r="E728" s="90"/>
      <c r="F728" s="115"/>
      <c r="G728" s="90"/>
      <c r="H728" s="90"/>
      <c r="I728" s="90"/>
      <c r="J728" s="90"/>
      <c r="K728" s="90"/>
      <c r="L728" s="90"/>
      <c r="M728" s="90"/>
      <c r="N728" s="90"/>
      <c r="O728" s="90"/>
      <c r="P728" s="90"/>
      <c r="Q728" s="90"/>
      <c r="R728" s="90"/>
      <c r="S728" s="90"/>
      <c r="T728" s="90"/>
      <c r="U728" s="90"/>
      <c r="V728" s="90"/>
      <c r="W728" s="90"/>
      <c r="X728" s="90"/>
    </row>
    <row r="729" spans="1:24" ht="12.75">
      <c r="A729" s="112"/>
      <c r="B729" s="113"/>
      <c r="C729" s="114"/>
      <c r="D729" s="114"/>
      <c r="E729" s="90"/>
      <c r="F729" s="115"/>
      <c r="G729" s="90"/>
      <c r="H729" s="90"/>
      <c r="I729" s="90"/>
      <c r="J729" s="90"/>
      <c r="K729" s="90"/>
      <c r="L729" s="90"/>
      <c r="M729" s="90"/>
      <c r="N729" s="90"/>
      <c r="O729" s="90"/>
      <c r="P729" s="90"/>
      <c r="Q729" s="90"/>
      <c r="R729" s="90"/>
      <c r="S729" s="90"/>
      <c r="T729" s="90"/>
      <c r="U729" s="90"/>
      <c r="V729" s="90"/>
      <c r="W729" s="90"/>
      <c r="X729" s="90"/>
    </row>
    <row r="730" spans="1:24" ht="12.75">
      <c r="A730" s="112"/>
      <c r="B730" s="113"/>
      <c r="C730" s="114"/>
      <c r="D730" s="114"/>
      <c r="E730" s="90"/>
      <c r="F730" s="115"/>
      <c r="G730" s="90"/>
      <c r="H730" s="90"/>
      <c r="I730" s="90"/>
      <c r="J730" s="90"/>
      <c r="K730" s="90"/>
      <c r="L730" s="90"/>
      <c r="M730" s="90"/>
      <c r="N730" s="90"/>
      <c r="O730" s="90"/>
      <c r="P730" s="90"/>
      <c r="Q730" s="90"/>
      <c r="R730" s="90"/>
      <c r="S730" s="90"/>
      <c r="T730" s="90"/>
      <c r="U730" s="90"/>
      <c r="V730" s="90"/>
      <c r="W730" s="90"/>
      <c r="X730" s="90"/>
    </row>
    <row r="731" spans="1:24" ht="12.75">
      <c r="A731" s="112"/>
      <c r="B731" s="113"/>
      <c r="C731" s="114"/>
      <c r="D731" s="114"/>
      <c r="E731" s="90"/>
      <c r="F731" s="115"/>
      <c r="G731" s="90"/>
      <c r="H731" s="90"/>
      <c r="I731" s="90"/>
      <c r="J731" s="90"/>
      <c r="K731" s="90"/>
      <c r="L731" s="90"/>
      <c r="M731" s="90"/>
      <c r="N731" s="90"/>
      <c r="O731" s="90"/>
      <c r="P731" s="90"/>
      <c r="Q731" s="90"/>
      <c r="R731" s="90"/>
      <c r="S731" s="90"/>
      <c r="T731" s="90"/>
      <c r="U731" s="90"/>
      <c r="V731" s="90"/>
      <c r="W731" s="90"/>
      <c r="X731" s="90"/>
    </row>
    <row r="732" spans="1:24" ht="12.75">
      <c r="A732" s="112"/>
      <c r="B732" s="113"/>
      <c r="C732" s="114"/>
      <c r="D732" s="114"/>
      <c r="E732" s="90"/>
      <c r="F732" s="115"/>
      <c r="G732" s="90"/>
      <c r="H732" s="90"/>
      <c r="I732" s="90"/>
      <c r="J732" s="90"/>
      <c r="K732" s="90"/>
      <c r="L732" s="90"/>
      <c r="M732" s="90"/>
      <c r="N732" s="90"/>
      <c r="O732" s="90"/>
      <c r="P732" s="90"/>
      <c r="Q732" s="90"/>
      <c r="R732" s="90"/>
      <c r="S732" s="90"/>
      <c r="T732" s="90"/>
      <c r="U732" s="90"/>
      <c r="V732" s="90"/>
      <c r="W732" s="90"/>
      <c r="X732" s="90"/>
    </row>
    <row r="733" spans="1:24" ht="12.75">
      <c r="A733" s="112"/>
      <c r="B733" s="113"/>
      <c r="C733" s="114"/>
      <c r="D733" s="114"/>
      <c r="E733" s="90"/>
      <c r="F733" s="115"/>
      <c r="G733" s="90"/>
      <c r="H733" s="90"/>
      <c r="I733" s="90"/>
      <c r="J733" s="90"/>
      <c r="K733" s="90"/>
      <c r="L733" s="90"/>
      <c r="M733" s="90"/>
      <c r="N733" s="90"/>
      <c r="O733" s="90"/>
      <c r="P733" s="90"/>
      <c r="Q733" s="90"/>
      <c r="R733" s="90"/>
      <c r="S733" s="90"/>
      <c r="T733" s="90"/>
      <c r="U733" s="90"/>
      <c r="V733" s="90"/>
      <c r="W733" s="90"/>
      <c r="X733" s="90"/>
    </row>
    <row r="734" spans="1:24" ht="12.75">
      <c r="A734" s="112"/>
      <c r="B734" s="113"/>
      <c r="C734" s="114"/>
      <c r="D734" s="114"/>
      <c r="E734" s="90"/>
      <c r="F734" s="115"/>
      <c r="G734" s="90"/>
      <c r="H734" s="90"/>
      <c r="I734" s="90"/>
      <c r="J734" s="90"/>
      <c r="K734" s="90"/>
      <c r="L734" s="90"/>
      <c r="M734" s="90"/>
      <c r="N734" s="90"/>
      <c r="O734" s="90"/>
      <c r="P734" s="90"/>
      <c r="Q734" s="90"/>
      <c r="R734" s="90"/>
      <c r="S734" s="90"/>
      <c r="T734" s="90"/>
      <c r="U734" s="90"/>
      <c r="V734" s="90"/>
      <c r="W734" s="90"/>
      <c r="X734" s="90"/>
    </row>
    <row r="735" spans="1:24" ht="12.75">
      <c r="A735" s="112"/>
      <c r="B735" s="113"/>
      <c r="C735" s="114"/>
      <c r="D735" s="114"/>
      <c r="E735" s="90"/>
      <c r="F735" s="115"/>
      <c r="G735" s="90"/>
      <c r="H735" s="90"/>
      <c r="I735" s="90"/>
      <c r="J735" s="90"/>
      <c r="K735" s="90"/>
      <c r="L735" s="90"/>
      <c r="M735" s="90"/>
      <c r="N735" s="90"/>
      <c r="O735" s="90"/>
      <c r="P735" s="90"/>
      <c r="Q735" s="90"/>
      <c r="R735" s="90"/>
      <c r="S735" s="90"/>
      <c r="T735" s="90"/>
      <c r="U735" s="90"/>
      <c r="V735" s="90"/>
      <c r="W735" s="90"/>
      <c r="X735" s="90"/>
    </row>
    <row r="736" spans="1:24" ht="12.75">
      <c r="A736" s="112"/>
      <c r="B736" s="113"/>
      <c r="C736" s="114"/>
      <c r="D736" s="114"/>
      <c r="E736" s="90"/>
      <c r="F736" s="115"/>
      <c r="G736" s="90"/>
      <c r="H736" s="90"/>
      <c r="I736" s="90"/>
      <c r="J736" s="90"/>
      <c r="K736" s="90"/>
      <c r="L736" s="90"/>
      <c r="M736" s="90"/>
      <c r="N736" s="90"/>
      <c r="O736" s="90"/>
      <c r="P736" s="90"/>
      <c r="Q736" s="90"/>
      <c r="R736" s="90"/>
      <c r="S736" s="90"/>
      <c r="T736" s="90"/>
      <c r="U736" s="90"/>
      <c r="V736" s="90"/>
      <c r="W736" s="90"/>
      <c r="X736" s="90"/>
    </row>
    <row r="737" spans="1:24" ht="12.75">
      <c r="A737" s="112"/>
      <c r="B737" s="113"/>
      <c r="C737" s="114"/>
      <c r="D737" s="114"/>
      <c r="E737" s="90"/>
      <c r="F737" s="115"/>
      <c r="G737" s="90"/>
      <c r="H737" s="90"/>
      <c r="I737" s="90"/>
      <c r="J737" s="90"/>
      <c r="K737" s="90"/>
      <c r="L737" s="90"/>
      <c r="M737" s="90"/>
      <c r="N737" s="90"/>
      <c r="O737" s="90"/>
      <c r="P737" s="90"/>
      <c r="Q737" s="90"/>
      <c r="R737" s="90"/>
      <c r="S737" s="90"/>
      <c r="T737" s="90"/>
      <c r="U737" s="90"/>
      <c r="V737" s="90"/>
      <c r="W737" s="90"/>
      <c r="X737" s="90"/>
    </row>
    <row r="738" spans="1:24" ht="12.75">
      <c r="A738" s="112"/>
      <c r="B738" s="113"/>
      <c r="C738" s="114"/>
      <c r="D738" s="114"/>
      <c r="E738" s="90"/>
      <c r="F738" s="115"/>
      <c r="G738" s="90"/>
      <c r="H738" s="90"/>
      <c r="I738" s="90"/>
      <c r="J738" s="90"/>
      <c r="K738" s="90"/>
      <c r="L738" s="90"/>
      <c r="M738" s="90"/>
      <c r="N738" s="90"/>
      <c r="O738" s="90"/>
      <c r="P738" s="90"/>
      <c r="Q738" s="90"/>
      <c r="R738" s="90"/>
      <c r="S738" s="90"/>
      <c r="T738" s="90"/>
      <c r="U738" s="90"/>
      <c r="V738" s="90"/>
      <c r="W738" s="90"/>
      <c r="X738" s="90"/>
    </row>
    <row r="739" spans="1:24" ht="12.75">
      <c r="A739" s="112"/>
      <c r="B739" s="113"/>
      <c r="C739" s="114"/>
      <c r="D739" s="114"/>
      <c r="E739" s="90"/>
      <c r="F739" s="115"/>
      <c r="G739" s="90"/>
      <c r="H739" s="90"/>
      <c r="I739" s="90"/>
      <c r="J739" s="90"/>
      <c r="K739" s="90"/>
      <c r="L739" s="90"/>
      <c r="M739" s="90"/>
      <c r="N739" s="90"/>
      <c r="O739" s="90"/>
      <c r="P739" s="90"/>
      <c r="Q739" s="90"/>
      <c r="R739" s="90"/>
      <c r="S739" s="90"/>
      <c r="T739" s="90"/>
      <c r="U739" s="90"/>
      <c r="V739" s="90"/>
      <c r="W739" s="90"/>
      <c r="X739" s="90"/>
    </row>
    <row r="740" spans="1:24" ht="12.75">
      <c r="A740" s="112"/>
      <c r="B740" s="113"/>
      <c r="C740" s="114"/>
      <c r="D740" s="114"/>
      <c r="E740" s="90"/>
      <c r="F740" s="115"/>
      <c r="G740" s="90"/>
      <c r="H740" s="90"/>
      <c r="I740" s="90"/>
      <c r="J740" s="90"/>
      <c r="K740" s="90"/>
      <c r="L740" s="90"/>
      <c r="M740" s="90"/>
      <c r="N740" s="90"/>
      <c r="O740" s="90"/>
      <c r="P740" s="90"/>
      <c r="Q740" s="90"/>
      <c r="R740" s="90"/>
      <c r="S740" s="90"/>
      <c r="T740" s="90"/>
      <c r="U740" s="90"/>
      <c r="V740" s="90"/>
      <c r="W740" s="90"/>
      <c r="X740" s="90"/>
    </row>
    <row r="741" spans="1:24" ht="12.75">
      <c r="A741" s="112"/>
      <c r="B741" s="113"/>
      <c r="C741" s="114"/>
      <c r="D741" s="114"/>
      <c r="E741" s="90"/>
      <c r="F741" s="115"/>
      <c r="G741" s="90"/>
      <c r="H741" s="90"/>
      <c r="I741" s="90"/>
      <c r="J741" s="90"/>
      <c r="K741" s="90"/>
      <c r="L741" s="90"/>
      <c r="M741" s="90"/>
      <c r="N741" s="90"/>
      <c r="O741" s="90"/>
      <c r="P741" s="90"/>
      <c r="Q741" s="90"/>
      <c r="R741" s="90"/>
      <c r="S741" s="90"/>
      <c r="T741" s="90"/>
      <c r="U741" s="90"/>
      <c r="V741" s="90"/>
      <c r="W741" s="90"/>
      <c r="X741" s="90"/>
    </row>
    <row r="742" spans="1:24" ht="12.75">
      <c r="A742" s="112"/>
      <c r="B742" s="113"/>
      <c r="C742" s="114"/>
      <c r="D742" s="114"/>
      <c r="E742" s="90"/>
      <c r="F742" s="115"/>
      <c r="G742" s="90"/>
      <c r="H742" s="90"/>
      <c r="I742" s="90"/>
      <c r="J742" s="90"/>
      <c r="K742" s="90"/>
      <c r="L742" s="90"/>
      <c r="M742" s="90"/>
      <c r="N742" s="90"/>
      <c r="O742" s="90"/>
      <c r="P742" s="90"/>
      <c r="Q742" s="90"/>
      <c r="R742" s="90"/>
      <c r="S742" s="90"/>
      <c r="T742" s="90"/>
      <c r="U742" s="90"/>
      <c r="V742" s="90"/>
      <c r="W742" s="90"/>
      <c r="X742" s="90"/>
    </row>
    <row r="743" spans="1:24" ht="12.75">
      <c r="A743" s="112"/>
      <c r="B743" s="113"/>
      <c r="C743" s="114"/>
      <c r="D743" s="114"/>
      <c r="E743" s="90"/>
      <c r="F743" s="115"/>
      <c r="G743" s="90"/>
      <c r="H743" s="90"/>
      <c r="I743" s="90"/>
      <c r="J743" s="90"/>
      <c r="K743" s="90"/>
      <c r="L743" s="90"/>
      <c r="M743" s="90"/>
      <c r="N743" s="90"/>
      <c r="O743" s="90"/>
      <c r="P743" s="90"/>
      <c r="Q743" s="90"/>
      <c r="R743" s="90"/>
      <c r="S743" s="90"/>
      <c r="T743" s="90"/>
      <c r="U743" s="90"/>
      <c r="V743" s="90"/>
      <c r="W743" s="90"/>
      <c r="X743" s="90"/>
    </row>
    <row r="744" spans="1:24" ht="12.75">
      <c r="A744" s="112"/>
      <c r="B744" s="113"/>
      <c r="C744" s="114"/>
      <c r="D744" s="114"/>
      <c r="E744" s="90"/>
      <c r="F744" s="115"/>
      <c r="G744" s="90"/>
      <c r="H744" s="90"/>
      <c r="I744" s="90"/>
      <c r="J744" s="90"/>
      <c r="K744" s="90"/>
      <c r="L744" s="90"/>
      <c r="M744" s="90"/>
      <c r="N744" s="90"/>
      <c r="O744" s="90"/>
      <c r="P744" s="90"/>
      <c r="Q744" s="90"/>
      <c r="R744" s="90"/>
      <c r="S744" s="90"/>
      <c r="T744" s="90"/>
      <c r="U744" s="90"/>
      <c r="V744" s="90"/>
      <c r="W744" s="90"/>
      <c r="X744" s="90"/>
    </row>
    <row r="745" spans="1:24" ht="12.75">
      <c r="A745" s="112"/>
      <c r="B745" s="113"/>
      <c r="C745" s="114"/>
      <c r="D745" s="114"/>
      <c r="E745" s="90"/>
      <c r="F745" s="115"/>
      <c r="G745" s="90"/>
      <c r="H745" s="90"/>
      <c r="I745" s="90"/>
      <c r="J745" s="90"/>
      <c r="K745" s="90"/>
      <c r="L745" s="90"/>
      <c r="M745" s="90"/>
      <c r="N745" s="90"/>
      <c r="O745" s="90"/>
      <c r="P745" s="90"/>
      <c r="Q745" s="90"/>
      <c r="R745" s="90"/>
      <c r="S745" s="90"/>
      <c r="T745" s="90"/>
      <c r="U745" s="90"/>
      <c r="V745" s="90"/>
      <c r="W745" s="90"/>
      <c r="X745" s="90"/>
    </row>
    <row r="746" spans="1:24" ht="12.75">
      <c r="A746" s="112"/>
      <c r="B746" s="113"/>
      <c r="C746" s="114"/>
      <c r="D746" s="114"/>
      <c r="E746" s="90"/>
      <c r="F746" s="115"/>
      <c r="G746" s="90"/>
      <c r="H746" s="90"/>
      <c r="I746" s="90"/>
      <c r="J746" s="90"/>
      <c r="K746" s="90"/>
      <c r="L746" s="90"/>
      <c r="M746" s="90"/>
      <c r="N746" s="90"/>
      <c r="O746" s="90"/>
      <c r="P746" s="90"/>
      <c r="Q746" s="90"/>
      <c r="R746" s="90"/>
      <c r="S746" s="90"/>
      <c r="T746" s="90"/>
      <c r="U746" s="90"/>
      <c r="V746" s="90"/>
      <c r="W746" s="90"/>
      <c r="X746" s="90"/>
    </row>
    <row r="747" spans="1:24" ht="12.75">
      <c r="A747" s="112"/>
      <c r="B747" s="113"/>
      <c r="C747" s="114"/>
      <c r="D747" s="114"/>
      <c r="E747" s="90"/>
      <c r="F747" s="115"/>
      <c r="G747" s="90"/>
      <c r="H747" s="90"/>
      <c r="I747" s="90"/>
      <c r="J747" s="90"/>
      <c r="K747" s="90"/>
      <c r="L747" s="90"/>
      <c r="M747" s="90"/>
      <c r="N747" s="90"/>
      <c r="O747" s="90"/>
      <c r="P747" s="90"/>
      <c r="Q747" s="90"/>
      <c r="R747" s="90"/>
      <c r="S747" s="90"/>
      <c r="T747" s="90"/>
      <c r="U747" s="90"/>
      <c r="V747" s="90"/>
      <c r="W747" s="90"/>
      <c r="X747" s="90"/>
    </row>
    <row r="748" spans="1:24" ht="12.75">
      <c r="A748" s="112"/>
      <c r="B748" s="113"/>
      <c r="C748" s="114"/>
      <c r="D748" s="114"/>
      <c r="E748" s="90"/>
      <c r="F748" s="115"/>
      <c r="G748" s="90"/>
      <c r="H748" s="90"/>
      <c r="I748" s="90"/>
      <c r="J748" s="90"/>
      <c r="K748" s="90"/>
      <c r="L748" s="90"/>
      <c r="M748" s="90"/>
      <c r="N748" s="90"/>
      <c r="O748" s="90"/>
      <c r="P748" s="90"/>
      <c r="Q748" s="90"/>
      <c r="R748" s="90"/>
      <c r="S748" s="90"/>
      <c r="T748" s="90"/>
      <c r="U748" s="90"/>
      <c r="V748" s="90"/>
      <c r="W748" s="90"/>
      <c r="X748" s="90"/>
    </row>
    <row r="749" spans="1:24" ht="12.75">
      <c r="A749" s="112"/>
      <c r="B749" s="113"/>
      <c r="C749" s="114"/>
      <c r="D749" s="114"/>
      <c r="E749" s="90"/>
      <c r="F749" s="115"/>
      <c r="G749" s="90"/>
      <c r="H749" s="90"/>
      <c r="I749" s="90"/>
      <c r="J749" s="90"/>
      <c r="K749" s="90"/>
      <c r="L749" s="90"/>
      <c r="M749" s="90"/>
      <c r="N749" s="90"/>
      <c r="O749" s="90"/>
      <c r="P749" s="90"/>
      <c r="Q749" s="90"/>
      <c r="R749" s="90"/>
      <c r="S749" s="90"/>
      <c r="T749" s="90"/>
      <c r="U749" s="90"/>
      <c r="V749" s="90"/>
      <c r="W749" s="90"/>
      <c r="X749" s="90"/>
    </row>
    <row r="750" spans="1:24" ht="12.75">
      <c r="A750" s="112"/>
      <c r="B750" s="113"/>
      <c r="C750" s="114"/>
      <c r="D750" s="114"/>
      <c r="E750" s="90"/>
      <c r="F750" s="115"/>
      <c r="G750" s="90"/>
      <c r="H750" s="90"/>
      <c r="I750" s="90"/>
      <c r="J750" s="90"/>
      <c r="K750" s="90"/>
      <c r="L750" s="90"/>
      <c r="M750" s="90"/>
      <c r="N750" s="90"/>
      <c r="O750" s="90"/>
      <c r="P750" s="90"/>
      <c r="Q750" s="90"/>
      <c r="R750" s="90"/>
      <c r="S750" s="90"/>
      <c r="T750" s="90"/>
      <c r="U750" s="90"/>
      <c r="V750" s="90"/>
      <c r="W750" s="90"/>
      <c r="X750" s="90"/>
    </row>
    <row r="751" spans="1:24" ht="12.75">
      <c r="A751" s="112"/>
      <c r="B751" s="113"/>
      <c r="C751" s="114"/>
      <c r="D751" s="114"/>
      <c r="E751" s="90"/>
      <c r="F751" s="115"/>
      <c r="G751" s="90"/>
      <c r="H751" s="90"/>
      <c r="I751" s="90"/>
      <c r="J751" s="90"/>
      <c r="K751" s="90"/>
      <c r="L751" s="90"/>
      <c r="M751" s="90"/>
      <c r="N751" s="90"/>
      <c r="O751" s="90"/>
      <c r="P751" s="90"/>
      <c r="Q751" s="90"/>
      <c r="R751" s="90"/>
      <c r="S751" s="90"/>
      <c r="T751" s="90"/>
      <c r="U751" s="90"/>
      <c r="V751" s="90"/>
      <c r="W751" s="90"/>
      <c r="X751" s="90"/>
    </row>
    <row r="752" spans="1:24" ht="12.75">
      <c r="A752" s="112"/>
      <c r="B752" s="113"/>
      <c r="C752" s="114"/>
      <c r="D752" s="114"/>
      <c r="E752" s="90"/>
      <c r="F752" s="115"/>
      <c r="G752" s="90"/>
      <c r="H752" s="90"/>
      <c r="I752" s="90"/>
      <c r="J752" s="90"/>
      <c r="K752" s="90"/>
      <c r="L752" s="90"/>
      <c r="M752" s="90"/>
      <c r="N752" s="90"/>
      <c r="O752" s="90"/>
      <c r="P752" s="90"/>
      <c r="Q752" s="90"/>
      <c r="R752" s="90"/>
      <c r="S752" s="90"/>
      <c r="T752" s="90"/>
      <c r="U752" s="90"/>
      <c r="V752" s="90"/>
      <c r="W752" s="90"/>
      <c r="X752" s="90"/>
    </row>
    <row r="753" spans="1:24" ht="12.75">
      <c r="A753" s="112"/>
      <c r="B753" s="113"/>
      <c r="C753" s="114"/>
      <c r="D753" s="114"/>
      <c r="E753" s="90"/>
      <c r="F753" s="115"/>
      <c r="G753" s="90"/>
      <c r="H753" s="90"/>
      <c r="I753" s="90"/>
      <c r="J753" s="90"/>
      <c r="K753" s="90"/>
      <c r="L753" s="90"/>
      <c r="M753" s="90"/>
      <c r="N753" s="90"/>
      <c r="O753" s="90"/>
      <c r="P753" s="90"/>
      <c r="Q753" s="90"/>
      <c r="R753" s="90"/>
      <c r="S753" s="90"/>
      <c r="T753" s="90"/>
      <c r="U753" s="90"/>
      <c r="V753" s="90"/>
      <c r="W753" s="90"/>
      <c r="X753" s="90"/>
    </row>
    <row r="754" spans="1:24" ht="12.75">
      <c r="A754" s="112"/>
      <c r="B754" s="113"/>
      <c r="C754" s="114"/>
      <c r="D754" s="114"/>
      <c r="E754" s="90"/>
      <c r="F754" s="115"/>
      <c r="G754" s="90"/>
      <c r="H754" s="90"/>
      <c r="I754" s="90"/>
      <c r="J754" s="90"/>
      <c r="K754" s="90"/>
      <c r="L754" s="90"/>
      <c r="M754" s="90"/>
      <c r="N754" s="90"/>
      <c r="O754" s="90"/>
      <c r="P754" s="90"/>
      <c r="Q754" s="90"/>
      <c r="R754" s="90"/>
      <c r="S754" s="90"/>
      <c r="T754" s="90"/>
      <c r="U754" s="90"/>
      <c r="V754" s="90"/>
      <c r="W754" s="90"/>
      <c r="X754" s="90"/>
    </row>
    <row r="755" spans="1:24" ht="12.75">
      <c r="A755" s="112"/>
      <c r="B755" s="113"/>
      <c r="C755" s="114"/>
      <c r="D755" s="114"/>
      <c r="E755" s="90"/>
      <c r="F755" s="115"/>
      <c r="G755" s="90"/>
      <c r="H755" s="90"/>
      <c r="I755" s="90"/>
      <c r="J755" s="90"/>
      <c r="K755" s="90"/>
      <c r="L755" s="90"/>
      <c r="M755" s="90"/>
      <c r="N755" s="90"/>
      <c r="O755" s="90"/>
      <c r="P755" s="90"/>
      <c r="Q755" s="90"/>
      <c r="R755" s="90"/>
      <c r="S755" s="90"/>
      <c r="T755" s="90"/>
      <c r="U755" s="90"/>
      <c r="V755" s="90"/>
      <c r="W755" s="90"/>
      <c r="X755" s="90"/>
    </row>
    <row r="756" spans="1:24" ht="12.75">
      <c r="A756" s="112"/>
      <c r="B756" s="113"/>
      <c r="C756" s="114"/>
      <c r="D756" s="114"/>
      <c r="E756" s="90"/>
      <c r="F756" s="115"/>
      <c r="G756" s="90"/>
      <c r="H756" s="90"/>
      <c r="I756" s="90"/>
      <c r="J756" s="90"/>
      <c r="K756" s="90"/>
      <c r="L756" s="90"/>
      <c r="M756" s="90"/>
      <c r="N756" s="90"/>
      <c r="O756" s="90"/>
      <c r="P756" s="90"/>
      <c r="Q756" s="90"/>
      <c r="R756" s="90"/>
      <c r="S756" s="90"/>
      <c r="T756" s="90"/>
      <c r="U756" s="90"/>
      <c r="V756" s="90"/>
      <c r="W756" s="90"/>
      <c r="X756" s="90"/>
    </row>
    <row r="757" spans="1:24" ht="12.75">
      <c r="A757" s="112"/>
      <c r="B757" s="113"/>
      <c r="C757" s="114"/>
      <c r="D757" s="114"/>
      <c r="E757" s="90"/>
      <c r="F757" s="115"/>
      <c r="G757" s="90"/>
      <c r="H757" s="90"/>
      <c r="I757" s="90"/>
      <c r="J757" s="90"/>
      <c r="K757" s="90"/>
      <c r="L757" s="90"/>
      <c r="M757" s="90"/>
      <c r="N757" s="90"/>
      <c r="O757" s="90"/>
      <c r="P757" s="90"/>
      <c r="Q757" s="90"/>
      <c r="R757" s="90"/>
      <c r="S757" s="90"/>
      <c r="T757" s="90"/>
      <c r="U757" s="90"/>
      <c r="V757" s="90"/>
      <c r="W757" s="90"/>
      <c r="X757" s="90"/>
    </row>
    <row r="758" spans="1:24" ht="12.75">
      <c r="A758" s="112"/>
      <c r="B758" s="113"/>
      <c r="C758" s="114"/>
      <c r="D758" s="114"/>
      <c r="E758" s="90"/>
      <c r="F758" s="115"/>
      <c r="G758" s="90"/>
      <c r="H758" s="90"/>
      <c r="I758" s="90"/>
      <c r="J758" s="90"/>
      <c r="K758" s="90"/>
      <c r="L758" s="90"/>
      <c r="M758" s="90"/>
      <c r="N758" s="90"/>
      <c r="O758" s="90"/>
      <c r="P758" s="90"/>
      <c r="Q758" s="90"/>
      <c r="R758" s="90"/>
      <c r="S758" s="90"/>
      <c r="T758" s="90"/>
      <c r="U758" s="90"/>
      <c r="V758" s="90"/>
      <c r="W758" s="90"/>
      <c r="X758" s="90"/>
    </row>
    <row r="759" spans="1:24" ht="12.75">
      <c r="A759" s="112"/>
      <c r="B759" s="113"/>
      <c r="C759" s="114"/>
      <c r="D759" s="114"/>
      <c r="E759" s="90"/>
      <c r="F759" s="115"/>
      <c r="G759" s="90"/>
      <c r="H759" s="90"/>
      <c r="I759" s="90"/>
      <c r="J759" s="90"/>
      <c r="K759" s="90"/>
      <c r="L759" s="90"/>
      <c r="M759" s="90"/>
      <c r="N759" s="90"/>
      <c r="O759" s="90"/>
      <c r="P759" s="90"/>
      <c r="Q759" s="90"/>
      <c r="R759" s="90"/>
      <c r="S759" s="90"/>
      <c r="T759" s="90"/>
      <c r="U759" s="90"/>
      <c r="V759" s="90"/>
      <c r="W759" s="90"/>
      <c r="X759" s="90"/>
    </row>
    <row r="760" spans="1:24" ht="12.75">
      <c r="A760" s="112"/>
      <c r="B760" s="113"/>
      <c r="C760" s="114"/>
      <c r="D760" s="114"/>
      <c r="E760" s="90"/>
      <c r="F760" s="115"/>
      <c r="G760" s="90"/>
      <c r="H760" s="90"/>
      <c r="I760" s="90"/>
      <c r="J760" s="90"/>
      <c r="K760" s="90"/>
      <c r="L760" s="90"/>
      <c r="M760" s="90"/>
      <c r="N760" s="90"/>
      <c r="O760" s="90"/>
      <c r="P760" s="90"/>
      <c r="Q760" s="90"/>
      <c r="R760" s="90"/>
      <c r="S760" s="90"/>
      <c r="T760" s="90"/>
      <c r="U760" s="90"/>
      <c r="V760" s="90"/>
      <c r="W760" s="90"/>
      <c r="X760" s="90"/>
    </row>
    <row r="761" spans="1:24" ht="12.75">
      <c r="A761" s="112"/>
      <c r="B761" s="113"/>
      <c r="C761" s="114"/>
      <c r="D761" s="114"/>
      <c r="E761" s="90"/>
      <c r="F761" s="115"/>
      <c r="G761" s="90"/>
      <c r="H761" s="90"/>
      <c r="I761" s="90"/>
      <c r="J761" s="90"/>
      <c r="K761" s="90"/>
      <c r="L761" s="90"/>
      <c r="M761" s="90"/>
      <c r="N761" s="90"/>
      <c r="O761" s="90"/>
      <c r="P761" s="90"/>
      <c r="Q761" s="90"/>
      <c r="R761" s="90"/>
      <c r="S761" s="90"/>
      <c r="T761" s="90"/>
      <c r="U761" s="90"/>
      <c r="V761" s="90"/>
      <c r="W761" s="90"/>
      <c r="X761" s="90"/>
    </row>
    <row r="762" spans="1:24" ht="12.75">
      <c r="A762" s="112"/>
      <c r="B762" s="113"/>
      <c r="C762" s="114"/>
      <c r="D762" s="114"/>
      <c r="E762" s="90"/>
      <c r="F762" s="115"/>
      <c r="G762" s="90"/>
      <c r="H762" s="90"/>
      <c r="I762" s="90"/>
      <c r="J762" s="90"/>
      <c r="K762" s="90"/>
      <c r="L762" s="90"/>
      <c r="M762" s="90"/>
      <c r="N762" s="90"/>
      <c r="O762" s="90"/>
      <c r="P762" s="90"/>
      <c r="Q762" s="90"/>
      <c r="R762" s="90"/>
      <c r="S762" s="90"/>
      <c r="T762" s="90"/>
      <c r="U762" s="90"/>
      <c r="V762" s="90"/>
      <c r="W762" s="90"/>
      <c r="X762" s="90"/>
    </row>
    <row r="763" spans="1:24" ht="12.75">
      <c r="A763" s="112"/>
      <c r="B763" s="113"/>
      <c r="C763" s="114"/>
      <c r="D763" s="114"/>
      <c r="E763" s="90"/>
      <c r="F763" s="115"/>
      <c r="G763" s="90"/>
      <c r="H763" s="90"/>
      <c r="I763" s="90"/>
      <c r="J763" s="90"/>
      <c r="K763" s="90"/>
      <c r="L763" s="90"/>
      <c r="M763" s="90"/>
      <c r="N763" s="90"/>
      <c r="O763" s="90"/>
      <c r="P763" s="90"/>
      <c r="Q763" s="90"/>
      <c r="R763" s="90"/>
      <c r="S763" s="90"/>
      <c r="T763" s="90"/>
      <c r="U763" s="90"/>
      <c r="V763" s="90"/>
      <c r="W763" s="90"/>
      <c r="X763" s="90"/>
    </row>
    <row r="764" spans="1:24" ht="12.75">
      <c r="A764" s="112"/>
      <c r="B764" s="113"/>
      <c r="C764" s="114"/>
      <c r="D764" s="114"/>
      <c r="E764" s="90"/>
      <c r="F764" s="115"/>
      <c r="G764" s="90"/>
      <c r="H764" s="90"/>
      <c r="I764" s="90"/>
      <c r="J764" s="90"/>
      <c r="K764" s="90"/>
      <c r="L764" s="90"/>
      <c r="M764" s="90"/>
      <c r="N764" s="90"/>
      <c r="O764" s="90"/>
      <c r="P764" s="90"/>
      <c r="Q764" s="90"/>
      <c r="R764" s="90"/>
      <c r="S764" s="90"/>
      <c r="T764" s="90"/>
      <c r="U764" s="90"/>
      <c r="V764" s="90"/>
      <c r="W764" s="90"/>
      <c r="X764" s="90"/>
    </row>
    <row r="765" spans="1:24" ht="12.75">
      <c r="A765" s="112"/>
      <c r="B765" s="113"/>
      <c r="C765" s="114"/>
      <c r="D765" s="114"/>
      <c r="E765" s="90"/>
      <c r="F765" s="115"/>
      <c r="G765" s="90"/>
      <c r="H765" s="90"/>
      <c r="I765" s="90"/>
      <c r="J765" s="90"/>
      <c r="K765" s="90"/>
      <c r="L765" s="90"/>
      <c r="M765" s="90"/>
      <c r="N765" s="90"/>
      <c r="O765" s="90"/>
      <c r="P765" s="90"/>
      <c r="Q765" s="90"/>
      <c r="R765" s="90"/>
      <c r="S765" s="90"/>
      <c r="T765" s="90"/>
      <c r="U765" s="90"/>
      <c r="V765" s="90"/>
      <c r="W765" s="90"/>
      <c r="X765" s="90"/>
    </row>
    <row r="766" spans="1:24" ht="12.75">
      <c r="A766" s="112"/>
      <c r="B766" s="113"/>
      <c r="C766" s="114"/>
      <c r="D766" s="114"/>
      <c r="E766" s="90"/>
      <c r="F766" s="115"/>
      <c r="G766" s="90"/>
      <c r="H766" s="90"/>
      <c r="I766" s="90"/>
      <c r="J766" s="90"/>
      <c r="K766" s="90"/>
      <c r="L766" s="90"/>
      <c r="M766" s="90"/>
      <c r="N766" s="90"/>
      <c r="O766" s="90"/>
      <c r="P766" s="90"/>
      <c r="Q766" s="90"/>
      <c r="R766" s="90"/>
      <c r="S766" s="90"/>
      <c r="T766" s="90"/>
      <c r="U766" s="90"/>
      <c r="V766" s="90"/>
      <c r="W766" s="90"/>
      <c r="X766" s="90"/>
    </row>
    <row r="767" spans="1:24" ht="12.75">
      <c r="A767" s="112"/>
      <c r="B767" s="113"/>
      <c r="C767" s="114"/>
      <c r="D767" s="114"/>
      <c r="E767" s="90"/>
      <c r="F767" s="115"/>
      <c r="G767" s="90"/>
      <c r="H767" s="90"/>
      <c r="I767" s="90"/>
      <c r="J767" s="90"/>
      <c r="K767" s="90"/>
      <c r="L767" s="90"/>
      <c r="M767" s="90"/>
      <c r="N767" s="90"/>
      <c r="O767" s="90"/>
      <c r="P767" s="90"/>
      <c r="Q767" s="90"/>
      <c r="R767" s="90"/>
      <c r="S767" s="90"/>
      <c r="T767" s="90"/>
      <c r="U767" s="90"/>
      <c r="V767" s="90"/>
      <c r="W767" s="90"/>
      <c r="X767" s="90"/>
    </row>
    <row r="768" spans="1:24" ht="12.75">
      <c r="A768" s="112"/>
      <c r="B768" s="113"/>
      <c r="C768" s="114"/>
      <c r="D768" s="114"/>
      <c r="E768" s="90"/>
      <c r="F768" s="115"/>
      <c r="G768" s="90"/>
      <c r="H768" s="90"/>
      <c r="I768" s="90"/>
      <c r="J768" s="90"/>
      <c r="K768" s="90"/>
      <c r="L768" s="90"/>
      <c r="M768" s="90"/>
      <c r="N768" s="90"/>
      <c r="O768" s="90"/>
      <c r="P768" s="90"/>
      <c r="Q768" s="90"/>
      <c r="R768" s="90"/>
      <c r="S768" s="90"/>
      <c r="T768" s="90"/>
      <c r="U768" s="90"/>
      <c r="V768" s="90"/>
      <c r="W768" s="90"/>
      <c r="X768" s="90"/>
    </row>
    <row r="769" spans="1:24" ht="12.75">
      <c r="A769" s="112"/>
      <c r="B769" s="113"/>
      <c r="C769" s="114"/>
      <c r="D769" s="114"/>
      <c r="E769" s="90"/>
      <c r="F769" s="115"/>
      <c r="G769" s="90"/>
      <c r="H769" s="90"/>
      <c r="I769" s="90"/>
      <c r="J769" s="90"/>
      <c r="K769" s="90"/>
      <c r="L769" s="90"/>
      <c r="M769" s="90"/>
      <c r="N769" s="90"/>
      <c r="O769" s="90"/>
      <c r="P769" s="90"/>
      <c r="Q769" s="90"/>
      <c r="R769" s="90"/>
      <c r="S769" s="90"/>
      <c r="T769" s="90"/>
      <c r="U769" s="90"/>
      <c r="V769" s="90"/>
      <c r="W769" s="90"/>
      <c r="X769" s="90"/>
    </row>
    <row r="770" spans="1:24" ht="12.75">
      <c r="A770" s="112"/>
      <c r="B770" s="113"/>
      <c r="C770" s="114"/>
      <c r="D770" s="114"/>
      <c r="E770" s="90"/>
      <c r="F770" s="115"/>
      <c r="G770" s="90"/>
      <c r="H770" s="90"/>
      <c r="I770" s="90"/>
      <c r="J770" s="90"/>
      <c r="K770" s="90"/>
      <c r="L770" s="90"/>
      <c r="M770" s="90"/>
      <c r="N770" s="90"/>
      <c r="O770" s="90"/>
      <c r="P770" s="90"/>
      <c r="Q770" s="90"/>
      <c r="R770" s="90"/>
      <c r="S770" s="90"/>
      <c r="T770" s="90"/>
      <c r="U770" s="90"/>
      <c r="V770" s="90"/>
      <c r="W770" s="90"/>
      <c r="X770" s="90"/>
    </row>
    <row r="771" spans="1:24" ht="12.75">
      <c r="A771" s="112"/>
      <c r="B771" s="113"/>
      <c r="C771" s="114"/>
      <c r="D771" s="114"/>
      <c r="E771" s="90"/>
      <c r="F771" s="115"/>
      <c r="G771" s="90"/>
      <c r="H771" s="90"/>
      <c r="I771" s="90"/>
      <c r="J771" s="90"/>
      <c r="K771" s="90"/>
      <c r="L771" s="90"/>
      <c r="M771" s="90"/>
      <c r="N771" s="90"/>
      <c r="O771" s="90"/>
      <c r="P771" s="90"/>
      <c r="Q771" s="90"/>
      <c r="R771" s="90"/>
      <c r="S771" s="90"/>
      <c r="T771" s="90"/>
      <c r="U771" s="90"/>
      <c r="V771" s="90"/>
      <c r="W771" s="90"/>
      <c r="X771" s="90"/>
    </row>
    <row r="772" spans="1:24" ht="12.75">
      <c r="A772" s="112"/>
      <c r="B772" s="113"/>
      <c r="C772" s="114"/>
      <c r="D772" s="114"/>
      <c r="E772" s="90"/>
      <c r="F772" s="115"/>
      <c r="G772" s="90"/>
      <c r="H772" s="90"/>
      <c r="I772" s="90"/>
      <c r="J772" s="90"/>
      <c r="K772" s="90"/>
      <c r="L772" s="90"/>
      <c r="M772" s="90"/>
      <c r="N772" s="90"/>
      <c r="O772" s="90"/>
      <c r="P772" s="90"/>
      <c r="Q772" s="90"/>
      <c r="R772" s="90"/>
      <c r="S772" s="90"/>
      <c r="T772" s="90"/>
      <c r="U772" s="90"/>
      <c r="V772" s="90"/>
      <c r="W772" s="90"/>
      <c r="X772" s="90"/>
    </row>
    <row r="773" spans="1:24" ht="12.75">
      <c r="A773" s="112"/>
      <c r="B773" s="113"/>
      <c r="C773" s="114"/>
      <c r="D773" s="114"/>
      <c r="E773" s="90"/>
      <c r="F773" s="115"/>
      <c r="G773" s="90"/>
      <c r="H773" s="90"/>
      <c r="I773" s="90"/>
      <c r="J773" s="90"/>
      <c r="K773" s="90"/>
      <c r="L773" s="90"/>
      <c r="M773" s="90"/>
      <c r="N773" s="90"/>
      <c r="O773" s="90"/>
      <c r="P773" s="90"/>
      <c r="Q773" s="90"/>
      <c r="R773" s="90"/>
      <c r="S773" s="90"/>
      <c r="T773" s="90"/>
      <c r="U773" s="90"/>
      <c r="V773" s="90"/>
      <c r="W773" s="90"/>
      <c r="X773" s="90"/>
    </row>
    <row r="774" spans="1:24" ht="12.75">
      <c r="A774" s="112"/>
      <c r="B774" s="113"/>
      <c r="C774" s="114"/>
      <c r="D774" s="114"/>
      <c r="E774" s="90"/>
      <c r="F774" s="115"/>
      <c r="G774" s="90"/>
      <c r="H774" s="90"/>
      <c r="I774" s="90"/>
      <c r="J774" s="90"/>
      <c r="K774" s="90"/>
      <c r="L774" s="90"/>
      <c r="M774" s="90"/>
      <c r="N774" s="90"/>
      <c r="O774" s="90"/>
      <c r="P774" s="90"/>
      <c r="Q774" s="90"/>
      <c r="R774" s="90"/>
      <c r="S774" s="90"/>
      <c r="T774" s="90"/>
      <c r="U774" s="90"/>
      <c r="V774" s="90"/>
      <c r="W774" s="90"/>
      <c r="X774" s="90"/>
    </row>
    <row r="775" spans="1:24" ht="12.75">
      <c r="A775" s="112"/>
      <c r="B775" s="113"/>
      <c r="C775" s="114"/>
      <c r="D775" s="114"/>
      <c r="E775" s="90"/>
      <c r="F775" s="115"/>
      <c r="G775" s="90"/>
      <c r="H775" s="90"/>
      <c r="I775" s="90"/>
      <c r="J775" s="90"/>
      <c r="K775" s="90"/>
      <c r="L775" s="90"/>
      <c r="M775" s="90"/>
      <c r="N775" s="90"/>
      <c r="O775" s="90"/>
      <c r="P775" s="90"/>
      <c r="Q775" s="90"/>
      <c r="R775" s="90"/>
      <c r="S775" s="90"/>
      <c r="T775" s="90"/>
      <c r="U775" s="90"/>
      <c r="V775" s="90"/>
      <c r="W775" s="90"/>
      <c r="X775" s="90"/>
    </row>
    <row r="776" spans="1:24" ht="12.75">
      <c r="A776" s="112"/>
      <c r="B776" s="113"/>
      <c r="C776" s="114"/>
      <c r="D776" s="114"/>
      <c r="E776" s="90"/>
      <c r="F776" s="115"/>
      <c r="G776" s="90"/>
      <c r="H776" s="90"/>
      <c r="I776" s="90"/>
      <c r="J776" s="90"/>
      <c r="K776" s="90"/>
      <c r="L776" s="90"/>
      <c r="M776" s="90"/>
      <c r="N776" s="90"/>
      <c r="O776" s="90"/>
      <c r="P776" s="90"/>
      <c r="Q776" s="90"/>
      <c r="R776" s="90"/>
      <c r="S776" s="90"/>
      <c r="T776" s="90"/>
      <c r="U776" s="90"/>
      <c r="V776" s="90"/>
      <c r="W776" s="90"/>
      <c r="X776" s="90"/>
    </row>
    <row r="777" spans="1:24" ht="12.75">
      <c r="A777" s="112"/>
      <c r="B777" s="113"/>
      <c r="C777" s="114"/>
      <c r="D777" s="114"/>
      <c r="E777" s="90"/>
      <c r="F777" s="115"/>
      <c r="G777" s="90"/>
      <c r="H777" s="90"/>
      <c r="I777" s="90"/>
      <c r="J777" s="90"/>
      <c r="K777" s="90"/>
      <c r="L777" s="90"/>
      <c r="M777" s="90"/>
      <c r="N777" s="90"/>
      <c r="O777" s="90"/>
      <c r="P777" s="90"/>
      <c r="Q777" s="90"/>
      <c r="R777" s="90"/>
      <c r="S777" s="90"/>
      <c r="T777" s="90"/>
      <c r="U777" s="90"/>
      <c r="V777" s="90"/>
      <c r="W777" s="90"/>
      <c r="X777" s="90"/>
    </row>
    <row r="778" spans="1:24" ht="12.75">
      <c r="A778" s="112"/>
      <c r="B778" s="113"/>
      <c r="C778" s="114"/>
      <c r="D778" s="114"/>
      <c r="E778" s="90"/>
      <c r="F778" s="115"/>
      <c r="G778" s="90"/>
      <c r="H778" s="90"/>
      <c r="I778" s="90"/>
      <c r="J778" s="90"/>
      <c r="K778" s="90"/>
      <c r="L778" s="90"/>
      <c r="M778" s="90"/>
      <c r="N778" s="90"/>
      <c r="O778" s="90"/>
      <c r="P778" s="90"/>
      <c r="Q778" s="90"/>
      <c r="R778" s="90"/>
      <c r="S778" s="90"/>
      <c r="T778" s="90"/>
      <c r="U778" s="90"/>
      <c r="V778" s="90"/>
      <c r="W778" s="90"/>
      <c r="X778" s="90"/>
    </row>
    <row r="779" spans="1:24" ht="12.75">
      <c r="A779" s="112"/>
      <c r="B779" s="113"/>
      <c r="C779" s="114"/>
      <c r="D779" s="114"/>
      <c r="E779" s="90"/>
      <c r="F779" s="115"/>
      <c r="G779" s="90"/>
      <c r="H779" s="90"/>
      <c r="I779" s="90"/>
      <c r="J779" s="90"/>
      <c r="K779" s="90"/>
      <c r="L779" s="90"/>
      <c r="M779" s="90"/>
      <c r="N779" s="90"/>
      <c r="O779" s="90"/>
      <c r="P779" s="90"/>
      <c r="Q779" s="90"/>
      <c r="R779" s="90"/>
      <c r="S779" s="90"/>
      <c r="T779" s="90"/>
      <c r="U779" s="90"/>
      <c r="V779" s="90"/>
      <c r="W779" s="90"/>
      <c r="X779" s="90"/>
    </row>
    <row r="780" spans="1:24" ht="12.75">
      <c r="A780" s="112"/>
      <c r="B780" s="113"/>
      <c r="C780" s="114"/>
      <c r="D780" s="114"/>
      <c r="E780" s="90"/>
      <c r="F780" s="115"/>
      <c r="G780" s="90"/>
      <c r="H780" s="90"/>
      <c r="I780" s="90"/>
      <c r="J780" s="90"/>
      <c r="K780" s="90"/>
      <c r="L780" s="90"/>
      <c r="M780" s="90"/>
      <c r="N780" s="90"/>
      <c r="O780" s="90"/>
      <c r="P780" s="90"/>
      <c r="Q780" s="90"/>
      <c r="R780" s="90"/>
      <c r="S780" s="90"/>
      <c r="T780" s="90"/>
      <c r="U780" s="90"/>
      <c r="V780" s="90"/>
      <c r="W780" s="90"/>
      <c r="X780" s="90"/>
    </row>
    <row r="781" spans="1:24" ht="12.75">
      <c r="A781" s="112"/>
      <c r="B781" s="113"/>
      <c r="C781" s="114"/>
      <c r="D781" s="114"/>
      <c r="E781" s="90"/>
      <c r="F781" s="115"/>
      <c r="G781" s="90"/>
      <c r="H781" s="90"/>
      <c r="I781" s="90"/>
      <c r="J781" s="90"/>
      <c r="K781" s="90"/>
      <c r="L781" s="90"/>
      <c r="M781" s="90"/>
      <c r="N781" s="90"/>
      <c r="O781" s="90"/>
      <c r="P781" s="90"/>
      <c r="Q781" s="90"/>
      <c r="R781" s="90"/>
      <c r="S781" s="90"/>
      <c r="T781" s="90"/>
      <c r="U781" s="90"/>
      <c r="V781" s="90"/>
      <c r="W781" s="90"/>
      <c r="X781" s="90"/>
    </row>
    <row r="782" spans="1:24" ht="12.75">
      <c r="A782" s="112"/>
      <c r="B782" s="113"/>
      <c r="C782" s="114"/>
      <c r="D782" s="114"/>
      <c r="E782" s="90"/>
      <c r="F782" s="115"/>
      <c r="G782" s="90"/>
      <c r="H782" s="90"/>
      <c r="I782" s="90"/>
      <c r="J782" s="90"/>
      <c r="K782" s="90"/>
      <c r="L782" s="90"/>
      <c r="M782" s="90"/>
      <c r="N782" s="90"/>
      <c r="O782" s="90"/>
      <c r="P782" s="90"/>
      <c r="Q782" s="90"/>
      <c r="R782" s="90"/>
      <c r="S782" s="90"/>
      <c r="T782" s="90"/>
      <c r="U782" s="90"/>
      <c r="V782" s="90"/>
      <c r="W782" s="90"/>
      <c r="X782" s="90"/>
    </row>
    <row r="783" spans="1:24" ht="12.75">
      <c r="A783" s="112"/>
      <c r="B783" s="113"/>
      <c r="C783" s="114"/>
      <c r="D783" s="114"/>
      <c r="E783" s="90"/>
      <c r="F783" s="115"/>
      <c r="G783" s="90"/>
      <c r="H783" s="90"/>
      <c r="I783" s="90"/>
      <c r="J783" s="90"/>
      <c r="K783" s="90"/>
      <c r="L783" s="90"/>
      <c r="M783" s="90"/>
      <c r="N783" s="90"/>
      <c r="O783" s="90"/>
      <c r="P783" s="90"/>
      <c r="Q783" s="90"/>
      <c r="R783" s="90"/>
      <c r="S783" s="90"/>
      <c r="T783" s="90"/>
      <c r="U783" s="90"/>
      <c r="V783" s="90"/>
      <c r="W783" s="90"/>
      <c r="X783" s="90"/>
    </row>
    <row r="784" spans="1:24" ht="12.75">
      <c r="A784" s="112"/>
      <c r="B784" s="113"/>
      <c r="C784" s="114"/>
      <c r="D784" s="114"/>
      <c r="E784" s="90"/>
      <c r="F784" s="115"/>
      <c r="G784" s="90"/>
      <c r="H784" s="90"/>
      <c r="I784" s="90"/>
      <c r="J784" s="90"/>
      <c r="K784" s="90"/>
      <c r="L784" s="90"/>
      <c r="M784" s="90"/>
      <c r="N784" s="90"/>
      <c r="O784" s="90"/>
      <c r="P784" s="90"/>
      <c r="Q784" s="90"/>
      <c r="R784" s="90"/>
      <c r="S784" s="90"/>
      <c r="T784" s="90"/>
      <c r="U784" s="90"/>
      <c r="V784" s="90"/>
      <c r="W784" s="90"/>
      <c r="X784" s="90"/>
    </row>
    <row r="785" spans="1:24" ht="12.75">
      <c r="A785" s="112"/>
      <c r="B785" s="113"/>
      <c r="C785" s="114"/>
      <c r="D785" s="114"/>
      <c r="E785" s="90"/>
      <c r="F785" s="115"/>
      <c r="G785" s="90"/>
      <c r="H785" s="90"/>
      <c r="I785" s="90"/>
      <c r="J785" s="90"/>
      <c r="K785" s="90"/>
      <c r="L785" s="90"/>
      <c r="M785" s="90"/>
      <c r="N785" s="90"/>
      <c r="O785" s="90"/>
      <c r="P785" s="90"/>
      <c r="Q785" s="90"/>
      <c r="R785" s="90"/>
      <c r="S785" s="90"/>
      <c r="T785" s="90"/>
      <c r="U785" s="90"/>
      <c r="V785" s="90"/>
      <c r="W785" s="90"/>
      <c r="X785" s="90"/>
    </row>
    <row r="786" spans="1:24" ht="12.75">
      <c r="A786" s="112"/>
      <c r="B786" s="113"/>
      <c r="C786" s="114"/>
      <c r="D786" s="114"/>
      <c r="E786" s="90"/>
      <c r="F786" s="115"/>
      <c r="G786" s="90"/>
      <c r="H786" s="90"/>
      <c r="I786" s="90"/>
      <c r="J786" s="90"/>
      <c r="K786" s="90"/>
      <c r="L786" s="90"/>
      <c r="M786" s="90"/>
      <c r="N786" s="90"/>
      <c r="O786" s="90"/>
      <c r="P786" s="90"/>
      <c r="Q786" s="90"/>
      <c r="R786" s="90"/>
      <c r="S786" s="90"/>
      <c r="T786" s="90"/>
      <c r="U786" s="90"/>
      <c r="V786" s="90"/>
      <c r="W786" s="90"/>
      <c r="X786" s="90"/>
    </row>
    <row r="787" spans="1:24" ht="12.75">
      <c r="A787" s="112"/>
      <c r="B787" s="113"/>
      <c r="C787" s="114"/>
      <c r="D787" s="114"/>
      <c r="E787" s="90"/>
      <c r="F787" s="115"/>
      <c r="G787" s="90"/>
      <c r="H787" s="90"/>
      <c r="I787" s="90"/>
      <c r="J787" s="90"/>
      <c r="K787" s="90"/>
      <c r="L787" s="90"/>
      <c r="M787" s="90"/>
      <c r="N787" s="90"/>
      <c r="O787" s="90"/>
      <c r="P787" s="90"/>
      <c r="Q787" s="90"/>
      <c r="R787" s="90"/>
      <c r="S787" s="90"/>
      <c r="T787" s="90"/>
      <c r="U787" s="90"/>
      <c r="V787" s="90"/>
      <c r="W787" s="90"/>
      <c r="X787" s="90"/>
    </row>
    <row r="788" spans="1:24" ht="12.75">
      <c r="A788" s="112"/>
      <c r="B788" s="113"/>
      <c r="C788" s="114"/>
      <c r="D788" s="114"/>
      <c r="E788" s="90"/>
      <c r="F788" s="115"/>
      <c r="G788" s="90"/>
      <c r="H788" s="90"/>
      <c r="I788" s="90"/>
      <c r="J788" s="90"/>
      <c r="K788" s="90"/>
      <c r="L788" s="90"/>
      <c r="M788" s="90"/>
      <c r="N788" s="90"/>
      <c r="O788" s="90"/>
      <c r="P788" s="90"/>
      <c r="Q788" s="90"/>
      <c r="R788" s="90"/>
      <c r="S788" s="90"/>
      <c r="T788" s="90"/>
      <c r="U788" s="90"/>
      <c r="V788" s="90"/>
      <c r="W788" s="90"/>
      <c r="X788" s="90"/>
    </row>
    <row r="789" spans="1:24" ht="12.75">
      <c r="A789" s="112"/>
      <c r="B789" s="113"/>
      <c r="C789" s="114"/>
      <c r="D789" s="114"/>
      <c r="E789" s="90"/>
      <c r="F789" s="115"/>
      <c r="G789" s="90"/>
      <c r="H789" s="90"/>
      <c r="I789" s="90"/>
      <c r="J789" s="90"/>
      <c r="K789" s="90"/>
      <c r="L789" s="90"/>
      <c r="M789" s="90"/>
      <c r="N789" s="90"/>
      <c r="O789" s="90"/>
      <c r="P789" s="90"/>
      <c r="Q789" s="90"/>
      <c r="R789" s="90"/>
      <c r="S789" s="90"/>
      <c r="T789" s="90"/>
      <c r="U789" s="90"/>
      <c r="V789" s="90"/>
      <c r="W789" s="90"/>
      <c r="X789" s="90"/>
    </row>
    <row r="790" spans="1:24" ht="12.75">
      <c r="A790" s="112"/>
      <c r="B790" s="113"/>
      <c r="C790" s="114"/>
      <c r="D790" s="114"/>
      <c r="E790" s="90"/>
      <c r="F790" s="115"/>
      <c r="G790" s="90"/>
      <c r="H790" s="90"/>
      <c r="I790" s="90"/>
      <c r="J790" s="90"/>
      <c r="K790" s="90"/>
      <c r="L790" s="90"/>
      <c r="M790" s="90"/>
      <c r="N790" s="90"/>
      <c r="O790" s="90"/>
      <c r="P790" s="90"/>
      <c r="Q790" s="90"/>
      <c r="R790" s="90"/>
      <c r="S790" s="90"/>
      <c r="T790" s="90"/>
      <c r="U790" s="90"/>
      <c r="V790" s="90"/>
      <c r="W790" s="90"/>
      <c r="X790" s="90"/>
    </row>
    <row r="791" spans="1:24" ht="12.75">
      <c r="A791" s="112"/>
      <c r="B791" s="113"/>
      <c r="C791" s="114"/>
      <c r="D791" s="114"/>
      <c r="E791" s="90"/>
      <c r="F791" s="115"/>
      <c r="G791" s="90"/>
      <c r="H791" s="90"/>
      <c r="I791" s="90"/>
      <c r="J791" s="90"/>
      <c r="K791" s="90"/>
      <c r="L791" s="90"/>
      <c r="M791" s="90"/>
      <c r="N791" s="90"/>
      <c r="O791" s="90"/>
      <c r="P791" s="90"/>
      <c r="Q791" s="90"/>
      <c r="R791" s="90"/>
      <c r="S791" s="90"/>
      <c r="T791" s="90"/>
      <c r="U791" s="90"/>
      <c r="V791" s="90"/>
      <c r="W791" s="90"/>
      <c r="X791" s="90"/>
    </row>
    <row r="792" spans="1:24" ht="12.75">
      <c r="A792" s="112"/>
      <c r="B792" s="113"/>
      <c r="C792" s="114"/>
      <c r="D792" s="114"/>
      <c r="E792" s="90"/>
      <c r="F792" s="115"/>
      <c r="G792" s="90"/>
      <c r="H792" s="90"/>
      <c r="I792" s="90"/>
      <c r="J792" s="90"/>
      <c r="K792" s="90"/>
      <c r="L792" s="90"/>
      <c r="M792" s="90"/>
      <c r="N792" s="90"/>
      <c r="O792" s="90"/>
      <c r="P792" s="90"/>
      <c r="Q792" s="90"/>
      <c r="R792" s="90"/>
      <c r="S792" s="90"/>
      <c r="T792" s="90"/>
      <c r="U792" s="90"/>
      <c r="V792" s="90"/>
      <c r="W792" s="90"/>
      <c r="X792" s="90"/>
    </row>
    <row r="793" spans="1:24" ht="12.75">
      <c r="A793" s="112"/>
      <c r="B793" s="113"/>
      <c r="C793" s="114"/>
      <c r="D793" s="114"/>
      <c r="E793" s="90"/>
      <c r="F793" s="115"/>
      <c r="G793" s="90"/>
      <c r="H793" s="90"/>
      <c r="I793" s="90"/>
      <c r="J793" s="90"/>
      <c r="K793" s="90"/>
      <c r="L793" s="90"/>
      <c r="M793" s="90"/>
      <c r="N793" s="90"/>
      <c r="O793" s="90"/>
      <c r="P793" s="90"/>
      <c r="Q793" s="90"/>
      <c r="R793" s="90"/>
      <c r="S793" s="90"/>
      <c r="T793" s="90"/>
      <c r="U793" s="90"/>
      <c r="V793" s="90"/>
      <c r="W793" s="90"/>
      <c r="X793" s="90"/>
    </row>
    <row r="794" spans="1:24" ht="12.75">
      <c r="A794" s="112"/>
      <c r="B794" s="113"/>
      <c r="C794" s="114"/>
      <c r="D794" s="114"/>
      <c r="E794" s="90"/>
      <c r="F794" s="115"/>
      <c r="G794" s="90"/>
      <c r="H794" s="90"/>
      <c r="I794" s="90"/>
      <c r="J794" s="90"/>
      <c r="K794" s="90"/>
      <c r="L794" s="90"/>
      <c r="M794" s="90"/>
      <c r="N794" s="90"/>
      <c r="O794" s="90"/>
      <c r="P794" s="90"/>
      <c r="Q794" s="90"/>
      <c r="R794" s="90"/>
      <c r="S794" s="90"/>
      <c r="T794" s="90"/>
      <c r="U794" s="90"/>
      <c r="V794" s="90"/>
      <c r="W794" s="90"/>
      <c r="X794" s="90"/>
    </row>
    <row r="795" spans="1:24" ht="12.75">
      <c r="A795" s="112"/>
      <c r="B795" s="113"/>
      <c r="C795" s="114"/>
      <c r="D795" s="114"/>
      <c r="E795" s="90"/>
      <c r="F795" s="115"/>
      <c r="G795" s="90"/>
      <c r="H795" s="90"/>
      <c r="I795" s="90"/>
      <c r="J795" s="90"/>
      <c r="K795" s="90"/>
      <c r="L795" s="90"/>
      <c r="M795" s="90"/>
      <c r="N795" s="90"/>
      <c r="O795" s="90"/>
      <c r="P795" s="90"/>
      <c r="Q795" s="90"/>
      <c r="R795" s="90"/>
      <c r="S795" s="90"/>
      <c r="T795" s="90"/>
      <c r="U795" s="90"/>
      <c r="V795" s="90"/>
      <c r="W795" s="90"/>
      <c r="X795" s="90"/>
    </row>
    <row r="796" spans="1:24" ht="12.75">
      <c r="A796" s="112"/>
      <c r="B796" s="113"/>
      <c r="C796" s="114"/>
      <c r="D796" s="114"/>
      <c r="E796" s="90"/>
      <c r="F796" s="115"/>
      <c r="G796" s="90"/>
      <c r="H796" s="90"/>
      <c r="I796" s="90"/>
      <c r="J796" s="90"/>
      <c r="K796" s="90"/>
      <c r="L796" s="90"/>
      <c r="M796" s="90"/>
      <c r="N796" s="90"/>
      <c r="O796" s="90"/>
      <c r="P796" s="90"/>
      <c r="Q796" s="90"/>
      <c r="R796" s="90"/>
      <c r="S796" s="90"/>
      <c r="T796" s="90"/>
      <c r="U796" s="90"/>
      <c r="V796" s="90"/>
      <c r="W796" s="90"/>
      <c r="X796" s="90"/>
    </row>
    <row r="797" spans="1:24" ht="12.75">
      <c r="A797" s="112"/>
      <c r="B797" s="113"/>
      <c r="C797" s="114"/>
      <c r="D797" s="114"/>
      <c r="E797" s="90"/>
      <c r="F797" s="115"/>
      <c r="G797" s="90"/>
      <c r="H797" s="90"/>
      <c r="I797" s="90"/>
      <c r="J797" s="90"/>
      <c r="K797" s="90"/>
      <c r="L797" s="90"/>
      <c r="M797" s="90"/>
      <c r="N797" s="90"/>
      <c r="O797" s="90"/>
      <c r="P797" s="90"/>
      <c r="Q797" s="90"/>
      <c r="R797" s="90"/>
      <c r="S797" s="90"/>
      <c r="T797" s="90"/>
      <c r="U797" s="90"/>
      <c r="V797" s="90"/>
      <c r="W797" s="90"/>
      <c r="X797" s="90"/>
    </row>
    <row r="798" spans="1:24" ht="12.75">
      <c r="A798" s="112"/>
      <c r="B798" s="113"/>
      <c r="C798" s="114"/>
      <c r="D798" s="114"/>
      <c r="E798" s="90"/>
      <c r="F798" s="115"/>
      <c r="G798" s="90"/>
      <c r="H798" s="90"/>
      <c r="I798" s="90"/>
      <c r="J798" s="90"/>
      <c r="K798" s="90"/>
      <c r="L798" s="90"/>
      <c r="M798" s="90"/>
      <c r="N798" s="90"/>
      <c r="O798" s="90"/>
      <c r="P798" s="90"/>
      <c r="Q798" s="90"/>
      <c r="R798" s="90"/>
      <c r="S798" s="90"/>
      <c r="T798" s="90"/>
      <c r="U798" s="90"/>
      <c r="V798" s="90"/>
      <c r="W798" s="90"/>
      <c r="X798" s="90"/>
    </row>
    <row r="799" spans="1:24" ht="12.75">
      <c r="A799" s="112"/>
      <c r="B799" s="113"/>
      <c r="C799" s="114"/>
      <c r="D799" s="114"/>
      <c r="E799" s="90"/>
      <c r="F799" s="115"/>
      <c r="G799" s="90"/>
      <c r="H799" s="90"/>
      <c r="I799" s="90"/>
      <c r="J799" s="90"/>
      <c r="K799" s="90"/>
      <c r="L799" s="90"/>
      <c r="M799" s="90"/>
      <c r="N799" s="90"/>
      <c r="O799" s="90"/>
      <c r="P799" s="90"/>
      <c r="Q799" s="90"/>
      <c r="R799" s="90"/>
      <c r="S799" s="90"/>
      <c r="T799" s="90"/>
      <c r="U799" s="90"/>
      <c r="V799" s="90"/>
      <c r="W799" s="90"/>
      <c r="X799" s="90"/>
    </row>
    <row r="800" spans="1:24" ht="12.75">
      <c r="A800" s="112"/>
      <c r="B800" s="113"/>
      <c r="C800" s="114"/>
      <c r="D800" s="114"/>
      <c r="E800" s="90"/>
      <c r="F800" s="115"/>
      <c r="G800" s="90"/>
      <c r="H800" s="90"/>
      <c r="I800" s="90"/>
      <c r="J800" s="90"/>
      <c r="K800" s="90"/>
      <c r="L800" s="90"/>
      <c r="M800" s="90"/>
      <c r="N800" s="90"/>
      <c r="O800" s="90"/>
      <c r="P800" s="90"/>
      <c r="Q800" s="90"/>
      <c r="R800" s="90"/>
      <c r="S800" s="90"/>
      <c r="T800" s="90"/>
      <c r="U800" s="90"/>
      <c r="V800" s="90"/>
      <c r="W800" s="90"/>
      <c r="X800" s="90"/>
    </row>
    <row r="801" spans="1:24" ht="12.75">
      <c r="A801" s="112"/>
      <c r="B801" s="113"/>
      <c r="C801" s="114"/>
      <c r="D801" s="114"/>
      <c r="E801" s="90"/>
      <c r="F801" s="115"/>
      <c r="G801" s="90"/>
      <c r="H801" s="90"/>
      <c r="I801" s="90"/>
      <c r="J801" s="90"/>
      <c r="K801" s="90"/>
      <c r="L801" s="90"/>
      <c r="M801" s="90"/>
      <c r="N801" s="90"/>
      <c r="O801" s="90"/>
      <c r="P801" s="90"/>
      <c r="Q801" s="90"/>
      <c r="R801" s="90"/>
      <c r="S801" s="90"/>
      <c r="T801" s="90"/>
      <c r="U801" s="90"/>
      <c r="V801" s="90"/>
      <c r="W801" s="90"/>
      <c r="X801" s="90"/>
    </row>
    <row r="802" spans="1:24" ht="12.75">
      <c r="A802" s="112"/>
      <c r="B802" s="113"/>
      <c r="C802" s="114"/>
      <c r="D802" s="114"/>
      <c r="E802" s="90"/>
      <c r="F802" s="115"/>
      <c r="G802" s="90"/>
      <c r="H802" s="90"/>
      <c r="I802" s="90"/>
      <c r="J802" s="90"/>
      <c r="K802" s="90"/>
      <c r="L802" s="90"/>
      <c r="M802" s="90"/>
      <c r="N802" s="90"/>
      <c r="O802" s="90"/>
      <c r="P802" s="90"/>
      <c r="Q802" s="90"/>
      <c r="R802" s="90"/>
      <c r="S802" s="90"/>
      <c r="T802" s="90"/>
      <c r="U802" s="90"/>
      <c r="V802" s="90"/>
      <c r="W802" s="90"/>
      <c r="X802" s="90"/>
    </row>
    <row r="803" spans="1:24" ht="12.75">
      <c r="A803" s="112"/>
      <c r="B803" s="113"/>
      <c r="C803" s="114"/>
      <c r="D803" s="114"/>
      <c r="E803" s="90"/>
      <c r="F803" s="115"/>
      <c r="G803" s="90"/>
      <c r="H803" s="90"/>
      <c r="I803" s="90"/>
      <c r="J803" s="90"/>
      <c r="K803" s="90"/>
      <c r="L803" s="90"/>
      <c r="M803" s="90"/>
      <c r="N803" s="90"/>
      <c r="O803" s="90"/>
      <c r="P803" s="90"/>
      <c r="Q803" s="90"/>
      <c r="R803" s="90"/>
      <c r="S803" s="90"/>
      <c r="T803" s="90"/>
      <c r="U803" s="90"/>
      <c r="V803" s="90"/>
      <c r="W803" s="90"/>
      <c r="X803" s="90"/>
    </row>
    <row r="804" spans="1:24" ht="12.75">
      <c r="A804" s="112"/>
      <c r="B804" s="113"/>
      <c r="C804" s="114"/>
      <c r="D804" s="114"/>
      <c r="E804" s="90"/>
      <c r="F804" s="115"/>
      <c r="G804" s="90"/>
      <c r="H804" s="90"/>
      <c r="I804" s="90"/>
      <c r="J804" s="90"/>
      <c r="K804" s="90"/>
      <c r="L804" s="90"/>
      <c r="M804" s="90"/>
      <c r="N804" s="90"/>
      <c r="O804" s="90"/>
      <c r="P804" s="90"/>
      <c r="Q804" s="90"/>
      <c r="R804" s="90"/>
      <c r="S804" s="90"/>
      <c r="T804" s="90"/>
      <c r="U804" s="90"/>
      <c r="V804" s="90"/>
      <c r="W804" s="90"/>
      <c r="X804" s="90"/>
    </row>
    <row r="805" spans="1:24" ht="12.75">
      <c r="A805" s="112"/>
      <c r="B805" s="113"/>
      <c r="C805" s="114"/>
      <c r="D805" s="114"/>
      <c r="E805" s="90"/>
      <c r="F805" s="115"/>
      <c r="G805" s="90"/>
      <c r="H805" s="90"/>
      <c r="I805" s="90"/>
      <c r="J805" s="90"/>
      <c r="K805" s="90"/>
      <c r="L805" s="90"/>
      <c r="M805" s="90"/>
      <c r="N805" s="90"/>
      <c r="O805" s="90"/>
      <c r="P805" s="90"/>
      <c r="Q805" s="90"/>
      <c r="R805" s="90"/>
      <c r="S805" s="90"/>
      <c r="T805" s="90"/>
      <c r="U805" s="90"/>
      <c r="V805" s="90"/>
      <c r="W805" s="90"/>
      <c r="X805" s="90"/>
    </row>
    <row r="806" spans="1:24" ht="12.75">
      <c r="A806" s="112"/>
      <c r="B806" s="113"/>
      <c r="C806" s="114"/>
      <c r="D806" s="114"/>
      <c r="E806" s="90"/>
      <c r="F806" s="115"/>
      <c r="G806" s="90"/>
      <c r="H806" s="90"/>
      <c r="I806" s="90"/>
      <c r="J806" s="90"/>
      <c r="K806" s="90"/>
      <c r="L806" s="90"/>
      <c r="M806" s="90"/>
      <c r="N806" s="90"/>
      <c r="O806" s="90"/>
      <c r="P806" s="90"/>
      <c r="Q806" s="90"/>
      <c r="R806" s="90"/>
      <c r="S806" s="90"/>
      <c r="T806" s="90"/>
      <c r="U806" s="90"/>
      <c r="V806" s="90"/>
      <c r="W806" s="90"/>
      <c r="X806" s="90"/>
    </row>
    <row r="807" spans="1:24" ht="12.75">
      <c r="A807" s="112"/>
      <c r="B807" s="113"/>
      <c r="C807" s="114"/>
      <c r="D807" s="114"/>
      <c r="E807" s="90"/>
      <c r="F807" s="115"/>
      <c r="G807" s="90"/>
      <c r="H807" s="90"/>
      <c r="I807" s="90"/>
      <c r="J807" s="90"/>
      <c r="K807" s="90"/>
      <c r="L807" s="90"/>
      <c r="M807" s="90"/>
      <c r="N807" s="90"/>
      <c r="O807" s="90"/>
      <c r="P807" s="90"/>
      <c r="Q807" s="90"/>
      <c r="R807" s="90"/>
      <c r="S807" s="90"/>
      <c r="T807" s="90"/>
      <c r="U807" s="90"/>
      <c r="V807" s="90"/>
      <c r="W807" s="90"/>
      <c r="X807" s="90"/>
    </row>
    <row r="808" spans="1:24" ht="12.75">
      <c r="A808" s="112"/>
      <c r="B808" s="113"/>
      <c r="C808" s="114"/>
      <c r="D808" s="114"/>
      <c r="E808" s="90"/>
      <c r="F808" s="115"/>
      <c r="G808" s="90"/>
      <c r="H808" s="90"/>
      <c r="I808" s="90"/>
      <c r="J808" s="90"/>
      <c r="K808" s="90"/>
      <c r="L808" s="90"/>
      <c r="M808" s="90"/>
      <c r="N808" s="90"/>
      <c r="O808" s="90"/>
      <c r="P808" s="90"/>
      <c r="Q808" s="90"/>
      <c r="R808" s="90"/>
      <c r="S808" s="90"/>
      <c r="T808" s="90"/>
      <c r="U808" s="90"/>
      <c r="V808" s="90"/>
      <c r="W808" s="90"/>
      <c r="X808" s="90"/>
    </row>
    <row r="809" spans="1:24" ht="12.75">
      <c r="A809" s="112"/>
      <c r="B809" s="113"/>
      <c r="C809" s="114"/>
      <c r="D809" s="114"/>
      <c r="E809" s="90"/>
      <c r="F809" s="115"/>
      <c r="G809" s="90"/>
      <c r="H809" s="90"/>
      <c r="I809" s="90"/>
      <c r="J809" s="90"/>
      <c r="K809" s="90"/>
      <c r="L809" s="90"/>
      <c r="M809" s="90"/>
      <c r="N809" s="90"/>
      <c r="O809" s="90"/>
      <c r="P809" s="90"/>
      <c r="Q809" s="90"/>
      <c r="R809" s="90"/>
      <c r="S809" s="90"/>
      <c r="T809" s="90"/>
      <c r="U809" s="90"/>
      <c r="V809" s="90"/>
      <c r="W809" s="90"/>
      <c r="X809" s="90"/>
    </row>
    <row r="810" spans="1:24" ht="12.75">
      <c r="A810" s="112"/>
      <c r="B810" s="113"/>
      <c r="C810" s="114"/>
      <c r="D810" s="114"/>
      <c r="E810" s="90"/>
      <c r="F810" s="115"/>
      <c r="G810" s="90"/>
      <c r="H810" s="90"/>
      <c r="I810" s="90"/>
      <c r="J810" s="90"/>
      <c r="K810" s="90"/>
      <c r="L810" s="90"/>
      <c r="M810" s="90"/>
      <c r="N810" s="90"/>
      <c r="O810" s="90"/>
      <c r="P810" s="90"/>
      <c r="Q810" s="90"/>
      <c r="R810" s="90"/>
      <c r="S810" s="90"/>
      <c r="T810" s="90"/>
      <c r="U810" s="90"/>
      <c r="V810" s="90"/>
      <c r="W810" s="90"/>
      <c r="X810" s="90"/>
    </row>
    <row r="811" spans="1:24" ht="12.75">
      <c r="A811" s="112"/>
      <c r="B811" s="113"/>
      <c r="C811" s="114"/>
      <c r="D811" s="114"/>
      <c r="E811" s="90"/>
      <c r="F811" s="115"/>
      <c r="G811" s="90"/>
      <c r="H811" s="90"/>
      <c r="I811" s="90"/>
      <c r="J811" s="90"/>
      <c r="K811" s="90"/>
      <c r="L811" s="90"/>
      <c r="M811" s="90"/>
      <c r="N811" s="90"/>
      <c r="O811" s="90"/>
      <c r="P811" s="90"/>
      <c r="Q811" s="90"/>
      <c r="R811" s="90"/>
      <c r="S811" s="90"/>
      <c r="T811" s="90"/>
      <c r="U811" s="90"/>
      <c r="V811" s="90"/>
      <c r="W811" s="90"/>
      <c r="X811" s="90"/>
    </row>
    <row r="812" spans="1:24" ht="12.75">
      <c r="A812" s="112"/>
      <c r="B812" s="113"/>
      <c r="C812" s="114"/>
      <c r="D812" s="114"/>
      <c r="E812" s="90"/>
      <c r="F812" s="115"/>
      <c r="G812" s="90"/>
      <c r="H812" s="90"/>
      <c r="I812" s="90"/>
      <c r="J812" s="90"/>
      <c r="K812" s="90"/>
      <c r="L812" s="90"/>
      <c r="M812" s="90"/>
      <c r="N812" s="90"/>
      <c r="O812" s="90"/>
      <c r="P812" s="90"/>
      <c r="Q812" s="90"/>
      <c r="R812" s="90"/>
      <c r="S812" s="90"/>
      <c r="T812" s="90"/>
      <c r="U812" s="90"/>
      <c r="V812" s="90"/>
      <c r="W812" s="90"/>
      <c r="X812" s="90"/>
    </row>
    <row r="813" spans="1:24" ht="12.75">
      <c r="A813" s="112"/>
      <c r="B813" s="113"/>
      <c r="C813" s="114"/>
      <c r="D813" s="114"/>
      <c r="E813" s="90"/>
      <c r="F813" s="115"/>
      <c r="G813" s="90"/>
      <c r="H813" s="90"/>
      <c r="I813" s="90"/>
      <c r="J813" s="90"/>
      <c r="K813" s="90"/>
      <c r="L813" s="90"/>
      <c r="M813" s="90"/>
      <c r="N813" s="90"/>
      <c r="O813" s="90"/>
      <c r="P813" s="90"/>
      <c r="Q813" s="90"/>
      <c r="R813" s="90"/>
      <c r="S813" s="90"/>
      <c r="T813" s="90"/>
      <c r="U813" s="90"/>
      <c r="V813" s="90"/>
      <c r="W813" s="90"/>
      <c r="X813" s="90"/>
    </row>
    <row r="814" spans="1:24" ht="12.75">
      <c r="A814" s="112"/>
      <c r="B814" s="113"/>
      <c r="C814" s="114"/>
      <c r="D814" s="114"/>
      <c r="E814" s="90"/>
      <c r="F814" s="115"/>
      <c r="G814" s="90"/>
      <c r="H814" s="90"/>
      <c r="I814" s="90"/>
      <c r="J814" s="90"/>
      <c r="K814" s="90"/>
      <c r="L814" s="90"/>
      <c r="M814" s="90"/>
      <c r="N814" s="90"/>
      <c r="O814" s="90"/>
      <c r="P814" s="90"/>
      <c r="Q814" s="90"/>
      <c r="R814" s="90"/>
      <c r="S814" s="90"/>
      <c r="T814" s="90"/>
      <c r="U814" s="90"/>
      <c r="V814" s="90"/>
      <c r="W814" s="90"/>
      <c r="X814" s="90"/>
    </row>
    <row r="815" spans="1:24" ht="12.75">
      <c r="A815" s="112"/>
      <c r="B815" s="113"/>
      <c r="C815" s="114"/>
      <c r="D815" s="114"/>
      <c r="E815" s="90"/>
      <c r="F815" s="115"/>
      <c r="G815" s="90"/>
      <c r="H815" s="90"/>
      <c r="I815" s="90"/>
      <c r="J815" s="90"/>
      <c r="K815" s="90"/>
      <c r="L815" s="90"/>
      <c r="M815" s="90"/>
      <c r="N815" s="90"/>
      <c r="O815" s="90"/>
      <c r="P815" s="90"/>
      <c r="Q815" s="90"/>
      <c r="R815" s="90"/>
      <c r="S815" s="90"/>
      <c r="T815" s="90"/>
      <c r="U815" s="90"/>
      <c r="V815" s="90"/>
      <c r="W815" s="90"/>
      <c r="X815" s="90"/>
    </row>
    <row r="816" spans="1:24" ht="12.75">
      <c r="A816" s="112"/>
      <c r="B816" s="113"/>
      <c r="C816" s="114"/>
      <c r="D816" s="114"/>
      <c r="E816" s="90"/>
      <c r="F816" s="115"/>
      <c r="G816" s="90"/>
      <c r="H816" s="90"/>
      <c r="I816" s="90"/>
      <c r="J816" s="90"/>
      <c r="K816" s="90"/>
      <c r="L816" s="90"/>
      <c r="M816" s="90"/>
      <c r="N816" s="90"/>
      <c r="O816" s="90"/>
      <c r="P816" s="90"/>
      <c r="Q816" s="90"/>
      <c r="R816" s="90"/>
      <c r="S816" s="90"/>
      <c r="T816" s="90"/>
      <c r="U816" s="90"/>
      <c r="V816" s="90"/>
      <c r="W816" s="90"/>
      <c r="X816" s="90"/>
    </row>
    <row r="817" spans="1:24" ht="12.75">
      <c r="A817" s="112"/>
      <c r="B817" s="113"/>
      <c r="C817" s="114"/>
      <c r="D817" s="114"/>
      <c r="E817" s="90"/>
      <c r="F817" s="115"/>
      <c r="G817" s="90"/>
      <c r="H817" s="90"/>
      <c r="I817" s="90"/>
      <c r="J817" s="90"/>
      <c r="K817" s="90"/>
      <c r="L817" s="90"/>
      <c r="M817" s="90"/>
      <c r="N817" s="90"/>
      <c r="O817" s="90"/>
      <c r="P817" s="90"/>
      <c r="Q817" s="90"/>
      <c r="R817" s="90"/>
      <c r="S817" s="90"/>
      <c r="T817" s="90"/>
      <c r="U817" s="90"/>
      <c r="V817" s="90"/>
      <c r="W817" s="90"/>
      <c r="X817" s="90"/>
    </row>
    <row r="818" spans="1:24" ht="12.75">
      <c r="A818" s="112"/>
      <c r="B818" s="113"/>
      <c r="C818" s="114"/>
      <c r="D818" s="114"/>
      <c r="E818" s="90"/>
      <c r="F818" s="115"/>
      <c r="G818" s="90"/>
      <c r="H818" s="90"/>
      <c r="I818" s="90"/>
      <c r="J818" s="90"/>
      <c r="K818" s="90"/>
      <c r="L818" s="90"/>
      <c r="M818" s="90"/>
      <c r="N818" s="90"/>
      <c r="O818" s="90"/>
      <c r="P818" s="90"/>
      <c r="Q818" s="90"/>
      <c r="R818" s="90"/>
      <c r="S818" s="90"/>
      <c r="T818" s="90"/>
      <c r="U818" s="90"/>
      <c r="V818" s="90"/>
      <c r="W818" s="90"/>
      <c r="X818" s="90"/>
    </row>
    <row r="819" spans="1:24" ht="12.75">
      <c r="A819" s="112"/>
      <c r="B819" s="113"/>
      <c r="C819" s="114"/>
      <c r="D819" s="114"/>
      <c r="E819" s="90"/>
      <c r="F819" s="115"/>
      <c r="G819" s="90"/>
      <c r="H819" s="90"/>
      <c r="I819" s="90"/>
      <c r="J819" s="90"/>
      <c r="K819" s="90"/>
      <c r="L819" s="90"/>
      <c r="M819" s="90"/>
      <c r="N819" s="90"/>
      <c r="O819" s="90"/>
      <c r="P819" s="90"/>
      <c r="Q819" s="90"/>
      <c r="R819" s="90"/>
      <c r="S819" s="90"/>
      <c r="T819" s="90"/>
      <c r="U819" s="90"/>
      <c r="V819" s="90"/>
      <c r="W819" s="90"/>
      <c r="X819" s="90"/>
    </row>
    <row r="820" spans="1:24" ht="12.75">
      <c r="A820" s="112"/>
      <c r="B820" s="113"/>
      <c r="C820" s="114"/>
      <c r="D820" s="114"/>
      <c r="E820" s="90"/>
      <c r="F820" s="115"/>
      <c r="G820" s="90"/>
      <c r="H820" s="90"/>
      <c r="I820" s="90"/>
      <c r="J820" s="90"/>
      <c r="K820" s="90"/>
      <c r="L820" s="90"/>
      <c r="M820" s="90"/>
      <c r="N820" s="90"/>
      <c r="O820" s="90"/>
      <c r="P820" s="90"/>
      <c r="Q820" s="90"/>
      <c r="R820" s="90"/>
      <c r="S820" s="90"/>
      <c r="T820" s="90"/>
      <c r="U820" s="90"/>
      <c r="V820" s="90"/>
      <c r="W820" s="90"/>
      <c r="X820" s="90"/>
    </row>
    <row r="821" spans="1:24" ht="12.75">
      <c r="A821" s="112"/>
      <c r="B821" s="113"/>
      <c r="C821" s="114"/>
      <c r="D821" s="114"/>
      <c r="E821" s="90"/>
      <c r="F821" s="115"/>
      <c r="G821" s="90"/>
      <c r="H821" s="90"/>
      <c r="I821" s="90"/>
      <c r="J821" s="90"/>
      <c r="K821" s="90"/>
      <c r="L821" s="90"/>
      <c r="M821" s="90"/>
      <c r="N821" s="90"/>
      <c r="O821" s="90"/>
      <c r="P821" s="90"/>
      <c r="Q821" s="90"/>
      <c r="R821" s="90"/>
      <c r="S821" s="90"/>
      <c r="T821" s="90"/>
      <c r="U821" s="90"/>
      <c r="V821" s="90"/>
      <c r="W821" s="90"/>
      <c r="X821" s="90"/>
    </row>
    <row r="822" spans="1:24" ht="12.75">
      <c r="A822" s="112"/>
      <c r="B822" s="113"/>
      <c r="C822" s="114"/>
      <c r="D822" s="114"/>
      <c r="E822" s="90"/>
      <c r="F822" s="115"/>
      <c r="G822" s="90"/>
      <c r="H822" s="90"/>
      <c r="I822" s="90"/>
      <c r="J822" s="90"/>
      <c r="K822" s="90"/>
      <c r="L822" s="90"/>
      <c r="M822" s="90"/>
      <c r="N822" s="90"/>
      <c r="O822" s="90"/>
      <c r="P822" s="90"/>
      <c r="Q822" s="90"/>
      <c r="R822" s="90"/>
      <c r="S822" s="90"/>
      <c r="T822" s="90"/>
      <c r="U822" s="90"/>
      <c r="V822" s="90"/>
      <c r="W822" s="90"/>
      <c r="X822" s="90"/>
    </row>
    <row r="823" spans="1:24" ht="12.75">
      <c r="A823" s="112"/>
      <c r="B823" s="113"/>
      <c r="C823" s="114"/>
      <c r="D823" s="114"/>
      <c r="E823" s="90"/>
      <c r="F823" s="115"/>
      <c r="G823" s="90"/>
      <c r="H823" s="90"/>
      <c r="I823" s="90"/>
      <c r="J823" s="90"/>
      <c r="K823" s="90"/>
      <c r="L823" s="90"/>
      <c r="M823" s="90"/>
      <c r="N823" s="90"/>
      <c r="O823" s="90"/>
      <c r="P823" s="90"/>
      <c r="Q823" s="90"/>
      <c r="R823" s="90"/>
      <c r="S823" s="90"/>
      <c r="T823" s="90"/>
      <c r="U823" s="90"/>
      <c r="V823" s="90"/>
      <c r="W823" s="90"/>
      <c r="X823" s="90"/>
    </row>
    <row r="824" spans="1:24" ht="12.75">
      <c r="A824" s="112"/>
      <c r="B824" s="113"/>
      <c r="C824" s="114"/>
      <c r="D824" s="114"/>
      <c r="E824" s="90"/>
      <c r="F824" s="115"/>
      <c r="G824" s="90"/>
      <c r="H824" s="90"/>
      <c r="I824" s="90"/>
      <c r="J824" s="90"/>
      <c r="K824" s="90"/>
      <c r="L824" s="90"/>
      <c r="M824" s="90"/>
      <c r="N824" s="90"/>
      <c r="O824" s="90"/>
      <c r="P824" s="90"/>
      <c r="Q824" s="90"/>
      <c r="R824" s="90"/>
      <c r="S824" s="90"/>
      <c r="T824" s="90"/>
      <c r="U824" s="90"/>
      <c r="V824" s="90"/>
      <c r="W824" s="90"/>
      <c r="X824" s="90"/>
    </row>
    <row r="825" spans="1:24" ht="12.75">
      <c r="A825" s="112"/>
      <c r="B825" s="113"/>
      <c r="C825" s="114"/>
      <c r="D825" s="114"/>
      <c r="E825" s="90"/>
      <c r="F825" s="115"/>
      <c r="G825" s="90"/>
      <c r="H825" s="90"/>
      <c r="I825" s="90"/>
      <c r="J825" s="90"/>
      <c r="K825" s="90"/>
      <c r="L825" s="90"/>
      <c r="M825" s="90"/>
      <c r="N825" s="90"/>
      <c r="O825" s="90"/>
      <c r="P825" s="90"/>
      <c r="Q825" s="90"/>
      <c r="R825" s="90"/>
      <c r="S825" s="90"/>
      <c r="T825" s="90"/>
      <c r="U825" s="90"/>
      <c r="V825" s="90"/>
      <c r="W825" s="90"/>
      <c r="X825" s="90"/>
    </row>
    <row r="826" spans="1:24" ht="12.75">
      <c r="A826" s="112"/>
      <c r="B826" s="113"/>
      <c r="C826" s="114"/>
      <c r="D826" s="114"/>
      <c r="E826" s="90"/>
      <c r="F826" s="115"/>
      <c r="G826" s="90"/>
      <c r="H826" s="90"/>
      <c r="I826" s="90"/>
      <c r="J826" s="90"/>
      <c r="K826" s="90"/>
      <c r="L826" s="90"/>
      <c r="M826" s="90"/>
      <c r="N826" s="90"/>
      <c r="O826" s="90"/>
      <c r="P826" s="90"/>
      <c r="Q826" s="90"/>
      <c r="R826" s="90"/>
      <c r="S826" s="90"/>
      <c r="T826" s="90"/>
      <c r="U826" s="90"/>
      <c r="V826" s="90"/>
      <c r="W826" s="90"/>
      <c r="X826" s="90"/>
    </row>
    <row r="827" spans="1:24" ht="12.75">
      <c r="A827" s="112"/>
      <c r="B827" s="113"/>
      <c r="C827" s="114"/>
      <c r="D827" s="114"/>
      <c r="E827" s="90"/>
      <c r="F827" s="115"/>
      <c r="G827" s="90"/>
      <c r="H827" s="90"/>
      <c r="I827" s="90"/>
      <c r="J827" s="90"/>
      <c r="K827" s="90"/>
      <c r="L827" s="90"/>
      <c r="M827" s="90"/>
      <c r="N827" s="90"/>
      <c r="O827" s="90"/>
      <c r="P827" s="90"/>
      <c r="Q827" s="90"/>
      <c r="R827" s="90"/>
      <c r="S827" s="90"/>
      <c r="T827" s="90"/>
      <c r="U827" s="90"/>
      <c r="V827" s="90"/>
      <c r="W827" s="90"/>
      <c r="X827" s="90"/>
    </row>
    <row r="828" spans="1:24" ht="12.75">
      <c r="A828" s="112"/>
      <c r="B828" s="113"/>
      <c r="C828" s="114"/>
      <c r="D828" s="114"/>
      <c r="E828" s="90"/>
      <c r="F828" s="115"/>
      <c r="G828" s="90"/>
      <c r="H828" s="90"/>
      <c r="I828" s="90"/>
      <c r="J828" s="90"/>
      <c r="K828" s="90"/>
      <c r="L828" s="90"/>
      <c r="M828" s="90"/>
      <c r="N828" s="90"/>
      <c r="O828" s="90"/>
      <c r="P828" s="90"/>
      <c r="Q828" s="90"/>
      <c r="R828" s="90"/>
      <c r="S828" s="90"/>
      <c r="T828" s="90"/>
      <c r="U828" s="90"/>
      <c r="V828" s="90"/>
      <c r="W828" s="90"/>
      <c r="X828" s="90"/>
    </row>
    <row r="829" spans="1:24" ht="12.75">
      <c r="A829" s="112"/>
      <c r="B829" s="113"/>
      <c r="C829" s="114"/>
      <c r="D829" s="114"/>
      <c r="E829" s="90"/>
      <c r="F829" s="115"/>
      <c r="G829" s="90"/>
      <c r="H829" s="90"/>
      <c r="I829" s="90"/>
      <c r="J829" s="90"/>
      <c r="K829" s="90"/>
      <c r="L829" s="90"/>
      <c r="M829" s="90"/>
      <c r="N829" s="90"/>
      <c r="O829" s="90"/>
      <c r="P829" s="90"/>
      <c r="Q829" s="90"/>
      <c r="R829" s="90"/>
      <c r="S829" s="90"/>
      <c r="T829" s="90"/>
      <c r="U829" s="90"/>
      <c r="V829" s="90"/>
      <c r="W829" s="90"/>
      <c r="X829" s="90"/>
    </row>
    <row r="830" spans="1:24" ht="12.75">
      <c r="A830" s="112"/>
      <c r="B830" s="113"/>
      <c r="C830" s="114"/>
      <c r="D830" s="114"/>
      <c r="E830" s="90"/>
      <c r="F830" s="115"/>
      <c r="G830" s="90"/>
      <c r="H830" s="90"/>
      <c r="I830" s="90"/>
      <c r="J830" s="90"/>
      <c r="K830" s="90"/>
      <c r="L830" s="90"/>
      <c r="M830" s="90"/>
      <c r="N830" s="90"/>
      <c r="O830" s="90"/>
      <c r="P830" s="90"/>
      <c r="Q830" s="90"/>
      <c r="R830" s="90"/>
      <c r="S830" s="90"/>
      <c r="T830" s="90"/>
      <c r="U830" s="90"/>
      <c r="V830" s="90"/>
      <c r="W830" s="90"/>
      <c r="X830" s="90"/>
    </row>
    <row r="831" spans="1:24" ht="12.75">
      <c r="A831" s="112"/>
      <c r="B831" s="113"/>
      <c r="C831" s="114"/>
      <c r="D831" s="114"/>
      <c r="E831" s="90"/>
      <c r="F831" s="115"/>
      <c r="G831" s="90"/>
      <c r="H831" s="90"/>
      <c r="I831" s="90"/>
      <c r="J831" s="90"/>
      <c r="K831" s="90"/>
      <c r="L831" s="90"/>
      <c r="M831" s="90"/>
      <c r="N831" s="90"/>
      <c r="O831" s="90"/>
      <c r="P831" s="90"/>
      <c r="Q831" s="90"/>
      <c r="R831" s="90"/>
      <c r="S831" s="90"/>
      <c r="T831" s="90"/>
      <c r="U831" s="90"/>
      <c r="V831" s="90"/>
      <c r="W831" s="90"/>
      <c r="X831" s="90"/>
    </row>
    <row r="832" spans="1:24" ht="12.75">
      <c r="A832" s="112"/>
      <c r="B832" s="113"/>
      <c r="C832" s="114"/>
      <c r="D832" s="114"/>
      <c r="E832" s="90"/>
      <c r="F832" s="115"/>
      <c r="G832" s="90"/>
      <c r="H832" s="90"/>
      <c r="I832" s="90"/>
      <c r="J832" s="90"/>
      <c r="K832" s="90"/>
      <c r="L832" s="90"/>
      <c r="M832" s="90"/>
      <c r="N832" s="90"/>
      <c r="O832" s="90"/>
      <c r="P832" s="90"/>
      <c r="Q832" s="90"/>
      <c r="R832" s="90"/>
      <c r="S832" s="90"/>
      <c r="T832" s="90"/>
      <c r="U832" s="90"/>
      <c r="V832" s="90"/>
      <c r="W832" s="90"/>
      <c r="X832" s="90"/>
    </row>
    <row r="833" spans="1:24" ht="12.75">
      <c r="A833" s="112"/>
      <c r="B833" s="113"/>
      <c r="C833" s="114"/>
      <c r="D833" s="114"/>
      <c r="E833" s="90"/>
      <c r="F833" s="115"/>
      <c r="G833" s="90"/>
      <c r="H833" s="90"/>
      <c r="I833" s="90"/>
      <c r="J833" s="90"/>
      <c r="K833" s="90"/>
      <c r="L833" s="90"/>
      <c r="M833" s="90"/>
      <c r="N833" s="90"/>
      <c r="O833" s="90"/>
      <c r="P833" s="90"/>
      <c r="Q833" s="90"/>
      <c r="R833" s="90"/>
      <c r="S833" s="90"/>
      <c r="T833" s="90"/>
      <c r="U833" s="90"/>
      <c r="V833" s="90"/>
      <c r="W833" s="90"/>
      <c r="X833" s="90"/>
    </row>
    <row r="834" spans="1:24" ht="12.75">
      <c r="A834" s="112"/>
      <c r="B834" s="113"/>
      <c r="C834" s="114"/>
      <c r="D834" s="114"/>
      <c r="E834" s="90"/>
      <c r="F834" s="115"/>
      <c r="G834" s="90"/>
      <c r="H834" s="90"/>
      <c r="I834" s="90"/>
      <c r="J834" s="90"/>
      <c r="K834" s="90"/>
      <c r="L834" s="90"/>
      <c r="M834" s="90"/>
      <c r="N834" s="90"/>
      <c r="O834" s="90"/>
      <c r="P834" s="90"/>
      <c r="Q834" s="90"/>
      <c r="R834" s="90"/>
      <c r="S834" s="90"/>
      <c r="T834" s="90"/>
      <c r="U834" s="90"/>
      <c r="V834" s="90"/>
      <c r="W834" s="90"/>
      <c r="X834" s="90"/>
    </row>
    <row r="835" spans="1:24" ht="12.75">
      <c r="A835" s="112"/>
      <c r="B835" s="113"/>
      <c r="C835" s="114"/>
      <c r="D835" s="114"/>
      <c r="E835" s="90"/>
      <c r="F835" s="115"/>
      <c r="G835" s="90"/>
      <c r="H835" s="90"/>
      <c r="I835" s="90"/>
      <c r="J835" s="90"/>
      <c r="K835" s="90"/>
      <c r="L835" s="90"/>
      <c r="M835" s="90"/>
      <c r="N835" s="90"/>
      <c r="O835" s="90"/>
      <c r="P835" s="90"/>
      <c r="Q835" s="90"/>
      <c r="R835" s="90"/>
      <c r="S835" s="90"/>
      <c r="T835" s="90"/>
      <c r="U835" s="90"/>
      <c r="V835" s="90"/>
      <c r="W835" s="90"/>
      <c r="X835" s="90"/>
    </row>
    <row r="836" spans="1:24" ht="12.75">
      <c r="A836" s="112"/>
      <c r="B836" s="113"/>
      <c r="C836" s="114"/>
      <c r="D836" s="114"/>
      <c r="E836" s="90"/>
      <c r="F836" s="115"/>
      <c r="G836" s="90"/>
      <c r="H836" s="90"/>
      <c r="I836" s="90"/>
      <c r="J836" s="90"/>
      <c r="K836" s="90"/>
      <c r="L836" s="90"/>
      <c r="M836" s="90"/>
      <c r="N836" s="90"/>
      <c r="O836" s="90"/>
      <c r="P836" s="90"/>
      <c r="Q836" s="90"/>
      <c r="R836" s="90"/>
      <c r="S836" s="90"/>
      <c r="T836" s="90"/>
      <c r="U836" s="90"/>
      <c r="V836" s="90"/>
      <c r="W836" s="90"/>
      <c r="X836" s="90"/>
    </row>
    <row r="837" spans="1:24" ht="12.75">
      <c r="A837" s="112"/>
      <c r="B837" s="113"/>
      <c r="C837" s="114"/>
      <c r="D837" s="114"/>
      <c r="E837" s="90"/>
      <c r="F837" s="115"/>
      <c r="G837" s="90"/>
      <c r="H837" s="90"/>
      <c r="I837" s="90"/>
      <c r="J837" s="90"/>
      <c r="K837" s="90"/>
      <c r="L837" s="90"/>
      <c r="M837" s="90"/>
      <c r="N837" s="90"/>
      <c r="O837" s="90"/>
      <c r="P837" s="90"/>
      <c r="Q837" s="90"/>
      <c r="R837" s="90"/>
      <c r="S837" s="90"/>
      <c r="T837" s="90"/>
      <c r="U837" s="90"/>
      <c r="V837" s="90"/>
      <c r="W837" s="90"/>
      <c r="X837" s="90"/>
    </row>
    <row r="838" spans="1:24" ht="12.75">
      <c r="A838" s="112"/>
      <c r="B838" s="113"/>
      <c r="C838" s="114"/>
      <c r="D838" s="114"/>
      <c r="E838" s="90"/>
      <c r="F838" s="115"/>
      <c r="G838" s="90"/>
      <c r="H838" s="90"/>
      <c r="I838" s="90"/>
      <c r="J838" s="90"/>
      <c r="K838" s="90"/>
      <c r="L838" s="90"/>
      <c r="M838" s="90"/>
      <c r="N838" s="90"/>
      <c r="O838" s="90"/>
      <c r="P838" s="90"/>
      <c r="Q838" s="90"/>
      <c r="R838" s="90"/>
      <c r="S838" s="90"/>
      <c r="T838" s="90"/>
      <c r="U838" s="90"/>
      <c r="V838" s="90"/>
      <c r="W838" s="90"/>
      <c r="X838" s="90"/>
    </row>
    <row r="839" spans="1:24" ht="12.75">
      <c r="A839" s="112"/>
      <c r="B839" s="113"/>
      <c r="C839" s="114"/>
      <c r="D839" s="114"/>
      <c r="E839" s="90"/>
      <c r="F839" s="115"/>
      <c r="G839" s="90"/>
      <c r="H839" s="90"/>
      <c r="I839" s="90"/>
      <c r="J839" s="90"/>
      <c r="K839" s="90"/>
      <c r="L839" s="90"/>
      <c r="M839" s="90"/>
      <c r="N839" s="90"/>
      <c r="O839" s="90"/>
      <c r="P839" s="90"/>
      <c r="Q839" s="90"/>
      <c r="R839" s="90"/>
      <c r="S839" s="90"/>
      <c r="T839" s="90"/>
      <c r="U839" s="90"/>
      <c r="V839" s="90"/>
      <c r="W839" s="90"/>
      <c r="X839" s="90"/>
    </row>
    <row r="840" spans="1:24" ht="12.75">
      <c r="A840" s="112"/>
      <c r="B840" s="113"/>
      <c r="C840" s="114"/>
      <c r="D840" s="114"/>
      <c r="E840" s="90"/>
      <c r="F840" s="115"/>
      <c r="G840" s="90"/>
      <c r="H840" s="90"/>
      <c r="I840" s="90"/>
      <c r="J840" s="90"/>
      <c r="K840" s="90"/>
      <c r="L840" s="90"/>
      <c r="M840" s="90"/>
      <c r="N840" s="90"/>
      <c r="O840" s="90"/>
      <c r="P840" s="90"/>
      <c r="Q840" s="90"/>
      <c r="R840" s="90"/>
      <c r="S840" s="90"/>
      <c r="T840" s="90"/>
      <c r="U840" s="90"/>
      <c r="V840" s="90"/>
      <c r="W840" s="90"/>
      <c r="X840" s="90"/>
    </row>
    <row r="841" spans="1:24" ht="12.75">
      <c r="A841" s="112"/>
      <c r="B841" s="113"/>
      <c r="C841" s="114"/>
      <c r="D841" s="114"/>
      <c r="E841" s="90"/>
      <c r="F841" s="115"/>
      <c r="G841" s="90"/>
      <c r="H841" s="90"/>
      <c r="I841" s="90"/>
      <c r="J841" s="90"/>
      <c r="K841" s="90"/>
      <c r="L841" s="90"/>
      <c r="M841" s="90"/>
      <c r="N841" s="90"/>
      <c r="O841" s="90"/>
      <c r="P841" s="90"/>
      <c r="Q841" s="90"/>
      <c r="R841" s="90"/>
      <c r="S841" s="90"/>
      <c r="T841" s="90"/>
      <c r="U841" s="90"/>
      <c r="V841" s="90"/>
      <c r="W841" s="90"/>
      <c r="X841" s="90"/>
    </row>
    <row r="842" spans="1:24" ht="12.75">
      <c r="A842" s="112"/>
      <c r="B842" s="113"/>
      <c r="C842" s="114"/>
      <c r="D842" s="114"/>
      <c r="E842" s="90"/>
      <c r="F842" s="115"/>
      <c r="G842" s="90"/>
      <c r="H842" s="90"/>
      <c r="I842" s="90"/>
      <c r="J842" s="90"/>
      <c r="K842" s="90"/>
      <c r="L842" s="90"/>
      <c r="M842" s="90"/>
      <c r="N842" s="90"/>
      <c r="O842" s="90"/>
      <c r="P842" s="90"/>
      <c r="Q842" s="90"/>
      <c r="R842" s="90"/>
      <c r="S842" s="90"/>
      <c r="T842" s="90"/>
      <c r="U842" s="90"/>
      <c r="V842" s="90"/>
      <c r="W842" s="90"/>
      <c r="X842" s="90"/>
    </row>
    <row r="843" spans="1:24" ht="12.75">
      <c r="A843" s="112"/>
      <c r="B843" s="113"/>
      <c r="C843" s="114"/>
      <c r="D843" s="114"/>
      <c r="E843" s="90"/>
      <c r="F843" s="115"/>
      <c r="G843" s="90"/>
      <c r="H843" s="90"/>
      <c r="I843" s="90"/>
      <c r="J843" s="90"/>
      <c r="K843" s="90"/>
      <c r="L843" s="90"/>
      <c r="M843" s="90"/>
      <c r="N843" s="90"/>
      <c r="O843" s="90"/>
      <c r="P843" s="90"/>
      <c r="Q843" s="90"/>
      <c r="R843" s="90"/>
      <c r="S843" s="90"/>
      <c r="T843" s="90"/>
      <c r="U843" s="90"/>
      <c r="V843" s="90"/>
      <c r="W843" s="90"/>
      <c r="X843" s="90"/>
    </row>
    <row r="844" spans="1:24" ht="12.75">
      <c r="A844" s="112"/>
      <c r="B844" s="113"/>
      <c r="C844" s="114"/>
      <c r="D844" s="114"/>
      <c r="E844" s="90"/>
      <c r="F844" s="115"/>
      <c r="G844" s="90"/>
      <c r="H844" s="90"/>
      <c r="I844" s="90"/>
      <c r="J844" s="90"/>
      <c r="K844" s="90"/>
      <c r="L844" s="90"/>
      <c r="M844" s="90"/>
      <c r="N844" s="90"/>
      <c r="O844" s="90"/>
      <c r="P844" s="90"/>
      <c r="Q844" s="90"/>
      <c r="R844" s="90"/>
      <c r="S844" s="90"/>
      <c r="T844" s="90"/>
      <c r="U844" s="90"/>
      <c r="V844" s="90"/>
      <c r="W844" s="90"/>
      <c r="X844" s="90"/>
    </row>
    <row r="845" spans="1:24" ht="12.75">
      <c r="A845" s="112"/>
      <c r="B845" s="113"/>
      <c r="C845" s="114"/>
      <c r="D845" s="114"/>
      <c r="E845" s="90"/>
      <c r="F845" s="115"/>
      <c r="G845" s="90"/>
      <c r="H845" s="90"/>
      <c r="I845" s="90"/>
      <c r="J845" s="90"/>
      <c r="K845" s="90"/>
      <c r="L845" s="90"/>
      <c r="M845" s="90"/>
      <c r="N845" s="90"/>
      <c r="O845" s="90"/>
      <c r="P845" s="90"/>
      <c r="Q845" s="90"/>
      <c r="R845" s="90"/>
      <c r="S845" s="90"/>
      <c r="T845" s="90"/>
      <c r="U845" s="90"/>
      <c r="V845" s="90"/>
      <c r="W845" s="90"/>
      <c r="X845" s="90"/>
    </row>
    <row r="846" spans="1:24" ht="12.75">
      <c r="A846" s="112"/>
      <c r="B846" s="113"/>
      <c r="C846" s="114"/>
      <c r="D846" s="114"/>
      <c r="E846" s="90"/>
      <c r="F846" s="115"/>
      <c r="G846" s="90"/>
      <c r="H846" s="90"/>
      <c r="I846" s="90"/>
      <c r="J846" s="90"/>
      <c r="K846" s="90"/>
      <c r="L846" s="90"/>
      <c r="M846" s="90"/>
      <c r="N846" s="90"/>
      <c r="O846" s="90"/>
      <c r="P846" s="90"/>
      <c r="Q846" s="90"/>
      <c r="R846" s="90"/>
      <c r="S846" s="90"/>
      <c r="T846" s="90"/>
      <c r="U846" s="90"/>
      <c r="V846" s="90"/>
      <c r="W846" s="90"/>
      <c r="X846" s="90"/>
    </row>
    <row r="847" spans="1:24" ht="12.75">
      <c r="A847" s="112"/>
      <c r="B847" s="113"/>
      <c r="C847" s="114"/>
      <c r="D847" s="114"/>
      <c r="E847" s="90"/>
      <c r="F847" s="115"/>
      <c r="G847" s="90"/>
      <c r="H847" s="90"/>
      <c r="I847" s="90"/>
      <c r="J847" s="90"/>
      <c r="K847" s="90"/>
      <c r="L847" s="90"/>
      <c r="M847" s="90"/>
      <c r="N847" s="90"/>
      <c r="O847" s="90"/>
      <c r="P847" s="90"/>
      <c r="Q847" s="90"/>
      <c r="R847" s="90"/>
      <c r="S847" s="90"/>
      <c r="T847" s="90"/>
      <c r="U847" s="90"/>
      <c r="V847" s="90"/>
      <c r="W847" s="90"/>
      <c r="X847" s="90"/>
    </row>
    <row r="848" spans="1:24" ht="12.75">
      <c r="A848" s="112"/>
      <c r="B848" s="113"/>
      <c r="C848" s="114"/>
      <c r="D848" s="114"/>
      <c r="E848" s="90"/>
      <c r="F848" s="115"/>
      <c r="G848" s="90"/>
      <c r="H848" s="90"/>
      <c r="I848" s="90"/>
      <c r="J848" s="90"/>
      <c r="K848" s="90"/>
      <c r="L848" s="90"/>
      <c r="M848" s="90"/>
      <c r="N848" s="90"/>
      <c r="O848" s="90"/>
      <c r="P848" s="90"/>
      <c r="Q848" s="90"/>
      <c r="R848" s="90"/>
      <c r="S848" s="90"/>
      <c r="T848" s="90"/>
      <c r="U848" s="90"/>
      <c r="V848" s="90"/>
      <c r="W848" s="90"/>
      <c r="X848" s="90"/>
    </row>
    <row r="849" spans="1:24" ht="12.75">
      <c r="A849" s="112"/>
      <c r="B849" s="113"/>
      <c r="C849" s="114"/>
      <c r="D849" s="114"/>
      <c r="E849" s="90"/>
      <c r="F849" s="115"/>
      <c r="G849" s="90"/>
      <c r="H849" s="90"/>
      <c r="I849" s="90"/>
      <c r="J849" s="90"/>
      <c r="K849" s="90"/>
      <c r="L849" s="90"/>
      <c r="M849" s="90"/>
      <c r="N849" s="90"/>
      <c r="O849" s="90"/>
      <c r="P849" s="90"/>
      <c r="Q849" s="90"/>
      <c r="R849" s="90"/>
      <c r="S849" s="90"/>
      <c r="T849" s="90"/>
      <c r="U849" s="90"/>
      <c r="V849" s="90"/>
      <c r="W849" s="90"/>
      <c r="X849" s="90"/>
    </row>
    <row r="850" spans="1:24" ht="12.75">
      <c r="A850" s="112"/>
      <c r="B850" s="113"/>
      <c r="C850" s="114"/>
      <c r="D850" s="114"/>
      <c r="E850" s="90"/>
      <c r="F850" s="115"/>
      <c r="G850" s="90"/>
      <c r="H850" s="90"/>
      <c r="I850" s="90"/>
      <c r="J850" s="90"/>
      <c r="K850" s="90"/>
      <c r="L850" s="90"/>
      <c r="M850" s="90"/>
      <c r="N850" s="90"/>
      <c r="O850" s="90"/>
      <c r="P850" s="90"/>
      <c r="Q850" s="90"/>
      <c r="R850" s="90"/>
      <c r="S850" s="90"/>
      <c r="T850" s="90"/>
      <c r="U850" s="90"/>
      <c r="V850" s="90"/>
      <c r="W850" s="90"/>
      <c r="X850" s="90"/>
    </row>
    <row r="851" spans="1:24" ht="12.75">
      <c r="A851" s="112"/>
      <c r="B851" s="113"/>
      <c r="C851" s="114"/>
      <c r="D851" s="114"/>
      <c r="E851" s="90"/>
      <c r="F851" s="115"/>
      <c r="G851" s="90"/>
      <c r="H851" s="90"/>
      <c r="I851" s="90"/>
      <c r="J851" s="90"/>
      <c r="K851" s="90"/>
      <c r="L851" s="90"/>
      <c r="M851" s="90"/>
      <c r="N851" s="90"/>
      <c r="O851" s="90"/>
      <c r="P851" s="90"/>
      <c r="Q851" s="90"/>
      <c r="R851" s="90"/>
      <c r="S851" s="90"/>
      <c r="T851" s="90"/>
      <c r="U851" s="90"/>
      <c r="V851" s="90"/>
      <c r="W851" s="90"/>
      <c r="X851" s="90"/>
    </row>
    <row r="852" spans="1:24" ht="12.75">
      <c r="A852" s="112"/>
      <c r="B852" s="113"/>
      <c r="C852" s="114"/>
      <c r="D852" s="114"/>
      <c r="E852" s="90"/>
      <c r="F852" s="115"/>
      <c r="G852" s="90"/>
      <c r="H852" s="90"/>
      <c r="I852" s="90"/>
      <c r="J852" s="90"/>
      <c r="K852" s="90"/>
      <c r="L852" s="90"/>
      <c r="M852" s="90"/>
      <c r="N852" s="90"/>
      <c r="O852" s="90"/>
      <c r="P852" s="90"/>
      <c r="Q852" s="90"/>
      <c r="R852" s="90"/>
      <c r="S852" s="90"/>
      <c r="T852" s="90"/>
      <c r="U852" s="90"/>
      <c r="V852" s="90"/>
      <c r="W852" s="90"/>
      <c r="X852" s="90"/>
    </row>
    <row r="853" spans="1:24" ht="12.75">
      <c r="A853" s="112"/>
      <c r="B853" s="113"/>
      <c r="C853" s="114"/>
      <c r="D853" s="114"/>
      <c r="E853" s="90"/>
      <c r="F853" s="115"/>
      <c r="G853" s="90"/>
      <c r="H853" s="90"/>
      <c r="I853" s="90"/>
      <c r="J853" s="90"/>
      <c r="K853" s="90"/>
      <c r="L853" s="90"/>
      <c r="M853" s="90"/>
      <c r="N853" s="90"/>
      <c r="O853" s="90"/>
      <c r="P853" s="90"/>
      <c r="Q853" s="90"/>
      <c r="R853" s="90"/>
      <c r="S853" s="90"/>
      <c r="T853" s="90"/>
      <c r="U853" s="90"/>
      <c r="V853" s="90"/>
      <c r="W853" s="90"/>
      <c r="X853" s="90"/>
    </row>
    <row r="854" spans="1:24" ht="12.75">
      <c r="A854" s="112"/>
      <c r="B854" s="113"/>
      <c r="C854" s="114"/>
      <c r="D854" s="114"/>
      <c r="E854" s="90"/>
      <c r="F854" s="115"/>
      <c r="G854" s="90"/>
      <c r="H854" s="90"/>
      <c r="I854" s="90"/>
      <c r="J854" s="90"/>
      <c r="K854" s="90"/>
      <c r="L854" s="90"/>
      <c r="M854" s="90"/>
      <c r="N854" s="90"/>
      <c r="O854" s="90"/>
      <c r="P854" s="90"/>
      <c r="Q854" s="90"/>
      <c r="R854" s="90"/>
      <c r="S854" s="90"/>
      <c r="T854" s="90"/>
      <c r="U854" s="90"/>
      <c r="V854" s="90"/>
      <c r="W854" s="90"/>
      <c r="X854" s="90"/>
    </row>
    <row r="855" spans="1:24" ht="12.75">
      <c r="A855" s="112"/>
      <c r="B855" s="113"/>
      <c r="C855" s="114"/>
      <c r="D855" s="114"/>
      <c r="E855" s="90"/>
      <c r="F855" s="115"/>
      <c r="G855" s="90"/>
      <c r="H855" s="90"/>
      <c r="I855" s="90"/>
      <c r="J855" s="90"/>
      <c r="K855" s="90"/>
      <c r="L855" s="90"/>
      <c r="M855" s="90"/>
      <c r="N855" s="90"/>
      <c r="O855" s="90"/>
      <c r="P855" s="90"/>
      <c r="Q855" s="90"/>
      <c r="R855" s="90"/>
      <c r="S855" s="90"/>
      <c r="T855" s="90"/>
      <c r="U855" s="90"/>
      <c r="V855" s="90"/>
      <c r="W855" s="90"/>
      <c r="X855" s="90"/>
    </row>
    <row r="856" spans="1:24" ht="12.75">
      <c r="A856" s="112"/>
      <c r="B856" s="113"/>
      <c r="C856" s="114"/>
      <c r="D856" s="114"/>
      <c r="E856" s="90"/>
      <c r="F856" s="115"/>
      <c r="G856" s="90"/>
      <c r="H856" s="90"/>
      <c r="I856" s="90"/>
      <c r="J856" s="90"/>
      <c r="K856" s="90"/>
      <c r="L856" s="90"/>
      <c r="M856" s="90"/>
      <c r="N856" s="90"/>
      <c r="O856" s="90"/>
      <c r="P856" s="90"/>
      <c r="Q856" s="90"/>
      <c r="R856" s="90"/>
      <c r="S856" s="90"/>
      <c r="T856" s="90"/>
      <c r="U856" s="90"/>
      <c r="V856" s="90"/>
      <c r="W856" s="90"/>
      <c r="X856" s="90"/>
    </row>
    <row r="857" spans="1:24" ht="12.75">
      <c r="A857" s="112"/>
      <c r="B857" s="113"/>
      <c r="C857" s="114"/>
      <c r="D857" s="114"/>
      <c r="E857" s="90"/>
      <c r="F857" s="115"/>
      <c r="G857" s="90"/>
      <c r="H857" s="90"/>
      <c r="I857" s="90"/>
      <c r="J857" s="90"/>
      <c r="K857" s="90"/>
      <c r="L857" s="90"/>
      <c r="M857" s="90"/>
      <c r="N857" s="90"/>
      <c r="O857" s="90"/>
      <c r="P857" s="90"/>
      <c r="Q857" s="90"/>
      <c r="R857" s="90"/>
      <c r="S857" s="90"/>
      <c r="T857" s="90"/>
      <c r="U857" s="90"/>
      <c r="V857" s="90"/>
      <c r="W857" s="90"/>
      <c r="X857" s="90"/>
    </row>
    <row r="858" spans="1:24" ht="12.75">
      <c r="A858" s="112"/>
      <c r="B858" s="113"/>
      <c r="C858" s="114"/>
      <c r="D858" s="114"/>
      <c r="E858" s="90"/>
      <c r="F858" s="115"/>
      <c r="G858" s="90"/>
      <c r="H858" s="90"/>
      <c r="I858" s="90"/>
      <c r="J858" s="90"/>
      <c r="K858" s="90"/>
      <c r="L858" s="90"/>
      <c r="M858" s="90"/>
      <c r="N858" s="90"/>
      <c r="O858" s="90"/>
      <c r="P858" s="90"/>
      <c r="Q858" s="90"/>
      <c r="R858" s="90"/>
      <c r="S858" s="90"/>
      <c r="T858" s="90"/>
      <c r="U858" s="90"/>
      <c r="V858" s="90"/>
      <c r="W858" s="90"/>
      <c r="X858" s="90"/>
    </row>
    <row r="859" spans="1:24" ht="12.75">
      <c r="A859" s="112"/>
      <c r="B859" s="113"/>
      <c r="C859" s="114"/>
      <c r="D859" s="114"/>
      <c r="E859" s="90"/>
      <c r="F859" s="115"/>
      <c r="G859" s="90"/>
      <c r="H859" s="90"/>
      <c r="I859" s="90"/>
      <c r="J859" s="90"/>
      <c r="K859" s="90"/>
      <c r="L859" s="90"/>
      <c r="M859" s="90"/>
      <c r="N859" s="90"/>
      <c r="O859" s="90"/>
      <c r="P859" s="90"/>
      <c r="Q859" s="90"/>
      <c r="R859" s="90"/>
      <c r="S859" s="90"/>
      <c r="T859" s="90"/>
      <c r="U859" s="90"/>
      <c r="V859" s="90"/>
      <c r="W859" s="90"/>
      <c r="X859" s="90"/>
    </row>
    <row r="860" spans="1:24" ht="12.75">
      <c r="A860" s="112"/>
      <c r="B860" s="113"/>
      <c r="C860" s="114"/>
      <c r="D860" s="114"/>
      <c r="E860" s="90"/>
      <c r="F860" s="115"/>
      <c r="G860" s="90"/>
      <c r="H860" s="90"/>
      <c r="I860" s="90"/>
      <c r="J860" s="90"/>
      <c r="K860" s="90"/>
      <c r="L860" s="90"/>
      <c r="M860" s="90"/>
      <c r="N860" s="90"/>
      <c r="O860" s="90"/>
      <c r="P860" s="90"/>
      <c r="Q860" s="90"/>
      <c r="R860" s="90"/>
      <c r="S860" s="90"/>
      <c r="T860" s="90"/>
      <c r="U860" s="90"/>
      <c r="V860" s="90"/>
      <c r="W860" s="90"/>
      <c r="X860" s="90"/>
    </row>
    <row r="861" spans="1:24" ht="12.75">
      <c r="A861" s="112"/>
      <c r="B861" s="113"/>
      <c r="C861" s="114"/>
      <c r="D861" s="114"/>
      <c r="E861" s="90"/>
      <c r="F861" s="115"/>
      <c r="G861" s="90"/>
      <c r="H861" s="90"/>
      <c r="I861" s="90"/>
      <c r="J861" s="90"/>
      <c r="K861" s="90"/>
      <c r="L861" s="90"/>
      <c r="M861" s="90"/>
      <c r="N861" s="90"/>
      <c r="O861" s="90"/>
      <c r="P861" s="90"/>
      <c r="Q861" s="90"/>
      <c r="R861" s="90"/>
      <c r="S861" s="90"/>
      <c r="T861" s="90"/>
      <c r="U861" s="90"/>
      <c r="V861" s="90"/>
      <c r="W861" s="90"/>
      <c r="X861" s="90"/>
    </row>
    <row r="862" spans="1:24" ht="12.75">
      <c r="A862" s="112"/>
      <c r="B862" s="113"/>
      <c r="C862" s="114"/>
      <c r="D862" s="114"/>
      <c r="E862" s="90"/>
      <c r="F862" s="115"/>
      <c r="G862" s="90"/>
      <c r="H862" s="90"/>
      <c r="I862" s="90"/>
      <c r="J862" s="90"/>
      <c r="K862" s="90"/>
      <c r="L862" s="90"/>
      <c r="M862" s="90"/>
      <c r="N862" s="90"/>
      <c r="O862" s="90"/>
      <c r="P862" s="90"/>
      <c r="Q862" s="90"/>
      <c r="R862" s="90"/>
      <c r="S862" s="90"/>
      <c r="T862" s="90"/>
      <c r="U862" s="90"/>
      <c r="V862" s="90"/>
      <c r="W862" s="90"/>
      <c r="X862" s="90"/>
    </row>
    <row r="863" spans="1:24" ht="12.75">
      <c r="A863" s="112"/>
      <c r="B863" s="113"/>
      <c r="C863" s="114"/>
      <c r="D863" s="114"/>
      <c r="E863" s="90"/>
      <c r="F863" s="115"/>
      <c r="G863" s="90"/>
      <c r="H863" s="90"/>
      <c r="I863" s="90"/>
      <c r="J863" s="90"/>
      <c r="K863" s="90"/>
      <c r="L863" s="90"/>
      <c r="M863" s="90"/>
      <c r="N863" s="90"/>
      <c r="O863" s="90"/>
      <c r="P863" s="90"/>
      <c r="Q863" s="90"/>
      <c r="R863" s="90"/>
      <c r="S863" s="90"/>
      <c r="T863" s="90"/>
      <c r="U863" s="90"/>
      <c r="V863" s="90"/>
      <c r="W863" s="90"/>
      <c r="X863" s="90"/>
    </row>
    <row r="864" spans="1:24" ht="12.75">
      <c r="A864" s="112"/>
      <c r="B864" s="113"/>
      <c r="C864" s="114"/>
      <c r="D864" s="114"/>
      <c r="E864" s="90"/>
      <c r="F864" s="115"/>
      <c r="G864" s="90"/>
      <c r="H864" s="90"/>
      <c r="I864" s="90"/>
      <c r="J864" s="90"/>
      <c r="K864" s="90"/>
      <c r="L864" s="90"/>
      <c r="M864" s="90"/>
      <c r="N864" s="90"/>
      <c r="O864" s="90"/>
      <c r="P864" s="90"/>
      <c r="Q864" s="90"/>
      <c r="R864" s="90"/>
      <c r="S864" s="90"/>
      <c r="T864" s="90"/>
      <c r="U864" s="90"/>
      <c r="V864" s="90"/>
      <c r="W864" s="90"/>
      <c r="X864" s="90"/>
    </row>
    <row r="865" spans="1:24" ht="12.75">
      <c r="A865" s="112"/>
      <c r="B865" s="113"/>
      <c r="C865" s="114"/>
      <c r="D865" s="114"/>
      <c r="E865" s="90"/>
      <c r="F865" s="115"/>
      <c r="G865" s="90"/>
      <c r="H865" s="90"/>
      <c r="I865" s="90"/>
      <c r="J865" s="90"/>
      <c r="K865" s="90"/>
      <c r="L865" s="90"/>
      <c r="M865" s="90"/>
      <c r="N865" s="90"/>
      <c r="O865" s="90"/>
      <c r="P865" s="90"/>
      <c r="Q865" s="90"/>
      <c r="R865" s="90"/>
      <c r="S865" s="90"/>
      <c r="T865" s="90"/>
      <c r="U865" s="90"/>
      <c r="V865" s="90"/>
      <c r="W865" s="90"/>
      <c r="X865" s="90"/>
    </row>
    <row r="866" spans="1:24" ht="12.75">
      <c r="A866" s="112"/>
      <c r="B866" s="113"/>
      <c r="C866" s="114"/>
      <c r="D866" s="114"/>
      <c r="E866" s="90"/>
      <c r="F866" s="115"/>
      <c r="G866" s="90"/>
      <c r="H866" s="90"/>
      <c r="I866" s="90"/>
      <c r="J866" s="90"/>
      <c r="K866" s="90"/>
      <c r="L866" s="90"/>
      <c r="M866" s="90"/>
      <c r="N866" s="90"/>
      <c r="O866" s="90"/>
      <c r="P866" s="90"/>
      <c r="Q866" s="90"/>
      <c r="R866" s="90"/>
      <c r="S866" s="90"/>
      <c r="T866" s="90"/>
      <c r="U866" s="90"/>
      <c r="V866" s="90"/>
      <c r="W866" s="90"/>
      <c r="X866" s="90"/>
    </row>
    <row r="867" spans="1:24" ht="12.75">
      <c r="A867" s="112"/>
      <c r="B867" s="113"/>
      <c r="C867" s="114"/>
      <c r="D867" s="114"/>
      <c r="E867" s="90"/>
      <c r="F867" s="115"/>
      <c r="G867" s="90"/>
      <c r="H867" s="90"/>
      <c r="I867" s="90"/>
      <c r="J867" s="90"/>
      <c r="K867" s="90"/>
      <c r="L867" s="90"/>
      <c r="M867" s="90"/>
      <c r="N867" s="90"/>
      <c r="O867" s="90"/>
      <c r="P867" s="90"/>
      <c r="Q867" s="90"/>
      <c r="R867" s="90"/>
      <c r="S867" s="90"/>
      <c r="T867" s="90"/>
      <c r="U867" s="90"/>
      <c r="V867" s="90"/>
      <c r="W867" s="90"/>
      <c r="X867" s="90"/>
    </row>
    <row r="868" spans="1:24" ht="12.75">
      <c r="A868" s="112"/>
      <c r="B868" s="113"/>
      <c r="C868" s="114"/>
      <c r="D868" s="114"/>
      <c r="E868" s="90"/>
      <c r="F868" s="115"/>
      <c r="G868" s="90"/>
      <c r="H868" s="90"/>
      <c r="I868" s="90"/>
      <c r="J868" s="90"/>
      <c r="K868" s="90"/>
      <c r="L868" s="90"/>
      <c r="M868" s="90"/>
      <c r="N868" s="90"/>
      <c r="O868" s="90"/>
      <c r="P868" s="90"/>
      <c r="Q868" s="90"/>
      <c r="R868" s="90"/>
      <c r="S868" s="90"/>
      <c r="T868" s="90"/>
      <c r="U868" s="90"/>
      <c r="V868" s="90"/>
      <c r="W868" s="90"/>
      <c r="X868" s="90"/>
    </row>
    <row r="869" spans="1:24" ht="12.75">
      <c r="A869" s="112"/>
      <c r="B869" s="113"/>
      <c r="C869" s="114"/>
      <c r="D869" s="114"/>
      <c r="E869" s="90"/>
      <c r="F869" s="115"/>
      <c r="G869" s="90"/>
      <c r="H869" s="90"/>
      <c r="I869" s="90"/>
      <c r="J869" s="90"/>
      <c r="K869" s="90"/>
      <c r="L869" s="90"/>
      <c r="M869" s="90"/>
      <c r="N869" s="90"/>
      <c r="O869" s="90"/>
      <c r="P869" s="90"/>
      <c r="Q869" s="90"/>
      <c r="R869" s="90"/>
      <c r="S869" s="90"/>
      <c r="T869" s="90"/>
      <c r="U869" s="90"/>
      <c r="V869" s="90"/>
      <c r="W869" s="90"/>
      <c r="X869" s="90"/>
    </row>
    <row r="870" spans="1:24" ht="12.75">
      <c r="A870" s="112"/>
      <c r="B870" s="113"/>
      <c r="C870" s="114"/>
      <c r="D870" s="114"/>
      <c r="E870" s="90"/>
      <c r="F870" s="115"/>
      <c r="G870" s="90"/>
      <c r="H870" s="90"/>
      <c r="I870" s="90"/>
      <c r="J870" s="90"/>
      <c r="K870" s="90"/>
      <c r="L870" s="90"/>
      <c r="M870" s="90"/>
      <c r="N870" s="90"/>
      <c r="O870" s="90"/>
      <c r="P870" s="90"/>
      <c r="Q870" s="90"/>
      <c r="R870" s="90"/>
      <c r="S870" s="90"/>
      <c r="T870" s="90"/>
      <c r="U870" s="90"/>
      <c r="V870" s="90"/>
      <c r="W870" s="90"/>
      <c r="X870" s="90"/>
    </row>
    <row r="871" spans="1:24" ht="12.75">
      <c r="A871" s="112"/>
      <c r="B871" s="113"/>
      <c r="C871" s="114"/>
      <c r="D871" s="114"/>
      <c r="E871" s="90"/>
      <c r="F871" s="115"/>
      <c r="G871" s="90"/>
      <c r="H871" s="90"/>
      <c r="I871" s="90"/>
      <c r="J871" s="90"/>
      <c r="K871" s="90"/>
      <c r="L871" s="90"/>
      <c r="M871" s="90"/>
      <c r="N871" s="90"/>
      <c r="O871" s="90"/>
      <c r="P871" s="90"/>
      <c r="Q871" s="90"/>
      <c r="R871" s="90"/>
      <c r="S871" s="90"/>
      <c r="T871" s="90"/>
      <c r="U871" s="90"/>
      <c r="V871" s="90"/>
      <c r="W871" s="90"/>
      <c r="X871" s="90"/>
    </row>
    <row r="872" spans="1:24" ht="12.75">
      <c r="A872" s="112"/>
      <c r="B872" s="113"/>
      <c r="C872" s="114"/>
      <c r="D872" s="114"/>
      <c r="E872" s="90"/>
      <c r="F872" s="115"/>
      <c r="G872" s="90"/>
      <c r="H872" s="90"/>
      <c r="I872" s="90"/>
      <c r="J872" s="90"/>
      <c r="K872" s="90"/>
      <c r="L872" s="90"/>
      <c r="M872" s="90"/>
      <c r="N872" s="90"/>
      <c r="O872" s="90"/>
      <c r="P872" s="90"/>
      <c r="Q872" s="90"/>
      <c r="R872" s="90"/>
      <c r="S872" s="90"/>
      <c r="T872" s="90"/>
      <c r="U872" s="90"/>
      <c r="V872" s="90"/>
      <c r="W872" s="90"/>
      <c r="X872" s="90"/>
    </row>
    <row r="873" spans="1:24" ht="12.75">
      <c r="A873" s="112"/>
      <c r="B873" s="113"/>
      <c r="C873" s="114"/>
      <c r="D873" s="114"/>
      <c r="E873" s="90"/>
      <c r="F873" s="115"/>
      <c r="G873" s="90"/>
      <c r="H873" s="90"/>
      <c r="I873" s="90"/>
      <c r="J873" s="90"/>
      <c r="K873" s="90"/>
      <c r="L873" s="90"/>
      <c r="M873" s="90"/>
      <c r="N873" s="90"/>
      <c r="O873" s="90"/>
      <c r="P873" s="90"/>
      <c r="Q873" s="90"/>
      <c r="R873" s="90"/>
      <c r="S873" s="90"/>
      <c r="T873" s="90"/>
      <c r="U873" s="90"/>
      <c r="V873" s="90"/>
      <c r="W873" s="90"/>
      <c r="X873" s="90"/>
    </row>
    <row r="874" spans="1:24" ht="12.75">
      <c r="A874" s="112"/>
      <c r="B874" s="113"/>
      <c r="C874" s="114"/>
      <c r="D874" s="114"/>
      <c r="E874" s="90"/>
      <c r="F874" s="115"/>
      <c r="G874" s="90"/>
      <c r="H874" s="90"/>
      <c r="I874" s="90"/>
      <c r="J874" s="90"/>
      <c r="K874" s="90"/>
      <c r="L874" s="90"/>
      <c r="M874" s="90"/>
      <c r="N874" s="90"/>
      <c r="O874" s="90"/>
      <c r="P874" s="90"/>
      <c r="Q874" s="90"/>
      <c r="R874" s="90"/>
      <c r="S874" s="90"/>
      <c r="T874" s="90"/>
      <c r="U874" s="90"/>
      <c r="V874" s="90"/>
      <c r="W874" s="90"/>
      <c r="X874" s="90"/>
    </row>
    <row r="875" spans="1:24" ht="12.75">
      <c r="A875" s="112"/>
      <c r="B875" s="113"/>
      <c r="C875" s="114"/>
      <c r="D875" s="114"/>
      <c r="E875" s="90"/>
      <c r="F875" s="115"/>
      <c r="G875" s="90"/>
      <c r="H875" s="90"/>
      <c r="I875" s="90"/>
      <c r="J875" s="90"/>
      <c r="K875" s="90"/>
      <c r="L875" s="90"/>
      <c r="M875" s="90"/>
      <c r="N875" s="90"/>
      <c r="O875" s="90"/>
      <c r="P875" s="90"/>
      <c r="Q875" s="90"/>
      <c r="R875" s="90"/>
      <c r="S875" s="90"/>
      <c r="T875" s="90"/>
      <c r="U875" s="90"/>
      <c r="V875" s="90"/>
      <c r="W875" s="90"/>
      <c r="X875" s="90"/>
    </row>
    <row r="876" spans="1:24" ht="12.75">
      <c r="A876" s="112"/>
      <c r="B876" s="113"/>
      <c r="C876" s="114"/>
      <c r="D876" s="114"/>
      <c r="E876" s="90"/>
      <c r="F876" s="115"/>
      <c r="G876" s="90"/>
      <c r="H876" s="90"/>
      <c r="I876" s="90"/>
      <c r="J876" s="90"/>
      <c r="K876" s="90"/>
      <c r="L876" s="90"/>
      <c r="M876" s="90"/>
      <c r="N876" s="90"/>
      <c r="O876" s="90"/>
      <c r="P876" s="90"/>
      <c r="Q876" s="90"/>
      <c r="R876" s="90"/>
      <c r="S876" s="90"/>
      <c r="T876" s="90"/>
      <c r="U876" s="90"/>
      <c r="V876" s="90"/>
      <c r="W876" s="90"/>
      <c r="X876" s="90"/>
    </row>
    <row r="877" spans="1:24" ht="12.75">
      <c r="A877" s="112"/>
      <c r="B877" s="113"/>
      <c r="C877" s="114"/>
      <c r="D877" s="114"/>
      <c r="E877" s="90"/>
      <c r="F877" s="115"/>
      <c r="G877" s="90"/>
      <c r="H877" s="90"/>
      <c r="I877" s="90"/>
      <c r="J877" s="90"/>
      <c r="K877" s="90"/>
      <c r="L877" s="90"/>
      <c r="M877" s="90"/>
      <c r="N877" s="90"/>
      <c r="O877" s="90"/>
      <c r="P877" s="90"/>
      <c r="Q877" s="90"/>
      <c r="R877" s="90"/>
      <c r="S877" s="90"/>
      <c r="T877" s="90"/>
      <c r="U877" s="90"/>
      <c r="V877" s="90"/>
      <c r="W877" s="90"/>
      <c r="X877" s="90"/>
    </row>
    <row r="878" spans="1:24" ht="12.75">
      <c r="A878" s="112"/>
      <c r="B878" s="113"/>
      <c r="C878" s="114"/>
      <c r="D878" s="114"/>
      <c r="E878" s="90"/>
      <c r="F878" s="115"/>
      <c r="G878" s="90"/>
      <c r="H878" s="90"/>
      <c r="I878" s="90"/>
      <c r="J878" s="90"/>
      <c r="K878" s="90"/>
      <c r="L878" s="90"/>
      <c r="M878" s="90"/>
      <c r="N878" s="90"/>
      <c r="O878" s="90"/>
      <c r="P878" s="90"/>
      <c r="Q878" s="90"/>
      <c r="R878" s="90"/>
      <c r="S878" s="90"/>
      <c r="T878" s="90"/>
      <c r="U878" s="90"/>
      <c r="V878" s="90"/>
      <c r="W878" s="90"/>
      <c r="X878" s="90"/>
    </row>
    <row r="879" spans="1:24" ht="12.75">
      <c r="A879" s="112"/>
      <c r="B879" s="113"/>
      <c r="C879" s="114"/>
      <c r="D879" s="114"/>
      <c r="E879" s="90"/>
      <c r="F879" s="115"/>
      <c r="G879" s="90"/>
      <c r="H879" s="90"/>
      <c r="I879" s="90"/>
      <c r="J879" s="90"/>
      <c r="K879" s="90"/>
      <c r="L879" s="90"/>
      <c r="M879" s="90"/>
      <c r="N879" s="90"/>
      <c r="O879" s="90"/>
      <c r="P879" s="90"/>
      <c r="Q879" s="90"/>
      <c r="R879" s="90"/>
      <c r="S879" s="90"/>
      <c r="T879" s="90"/>
      <c r="U879" s="90"/>
      <c r="V879" s="90"/>
      <c r="W879" s="90"/>
      <c r="X879" s="90"/>
    </row>
    <row r="880" spans="1:24" ht="12.75">
      <c r="A880" s="112"/>
      <c r="B880" s="113"/>
      <c r="C880" s="114"/>
      <c r="D880" s="114"/>
      <c r="E880" s="90"/>
      <c r="F880" s="115"/>
      <c r="G880" s="90"/>
      <c r="H880" s="90"/>
      <c r="I880" s="90"/>
      <c r="J880" s="90"/>
      <c r="K880" s="90"/>
      <c r="L880" s="90"/>
      <c r="M880" s="90"/>
      <c r="N880" s="90"/>
      <c r="O880" s="90"/>
      <c r="P880" s="90"/>
      <c r="Q880" s="90"/>
      <c r="R880" s="90"/>
      <c r="S880" s="90"/>
      <c r="T880" s="90"/>
      <c r="U880" s="90"/>
      <c r="V880" s="90"/>
      <c r="W880" s="90"/>
      <c r="X880" s="90"/>
    </row>
    <row r="881" spans="1:24" ht="12.75">
      <c r="A881" s="112"/>
      <c r="B881" s="113"/>
      <c r="C881" s="114"/>
      <c r="D881" s="114"/>
      <c r="E881" s="90"/>
      <c r="F881" s="115"/>
      <c r="G881" s="90"/>
      <c r="H881" s="90"/>
      <c r="I881" s="90"/>
      <c r="J881" s="90"/>
      <c r="K881" s="90"/>
      <c r="L881" s="90"/>
      <c r="M881" s="90"/>
      <c r="N881" s="90"/>
      <c r="O881" s="90"/>
      <c r="P881" s="90"/>
      <c r="Q881" s="90"/>
      <c r="R881" s="90"/>
      <c r="S881" s="90"/>
      <c r="T881" s="90"/>
      <c r="U881" s="90"/>
      <c r="V881" s="90"/>
      <c r="W881" s="90"/>
      <c r="X881" s="90"/>
    </row>
    <row r="882" spans="1:24" ht="12.75">
      <c r="A882" s="112"/>
      <c r="B882" s="113"/>
      <c r="C882" s="114"/>
      <c r="D882" s="114"/>
      <c r="E882" s="90"/>
      <c r="F882" s="115"/>
      <c r="G882" s="90"/>
      <c r="H882" s="90"/>
      <c r="I882" s="90"/>
      <c r="J882" s="90"/>
      <c r="K882" s="90"/>
      <c r="L882" s="90"/>
      <c r="M882" s="90"/>
      <c r="N882" s="90"/>
      <c r="O882" s="90"/>
      <c r="P882" s="90"/>
      <c r="Q882" s="90"/>
      <c r="R882" s="90"/>
      <c r="S882" s="90"/>
      <c r="T882" s="90"/>
      <c r="U882" s="90"/>
      <c r="V882" s="90"/>
      <c r="W882" s="90"/>
      <c r="X882" s="90"/>
    </row>
    <row r="883" spans="1:24" ht="12.75">
      <c r="A883" s="112"/>
      <c r="B883" s="113"/>
      <c r="C883" s="114"/>
      <c r="D883" s="114"/>
      <c r="E883" s="90"/>
      <c r="F883" s="115"/>
      <c r="G883" s="90"/>
      <c r="H883" s="90"/>
      <c r="I883" s="90"/>
      <c r="J883" s="90"/>
      <c r="K883" s="90"/>
      <c r="L883" s="90"/>
      <c r="M883" s="90"/>
      <c r="N883" s="90"/>
      <c r="O883" s="90"/>
      <c r="P883" s="90"/>
      <c r="Q883" s="90"/>
      <c r="R883" s="90"/>
      <c r="S883" s="90"/>
      <c r="T883" s="90"/>
      <c r="U883" s="90"/>
      <c r="V883" s="90"/>
      <c r="W883" s="90"/>
      <c r="X883" s="90"/>
    </row>
    <row r="884" spans="1:24" ht="12.75">
      <c r="A884" s="112"/>
      <c r="B884" s="113"/>
      <c r="C884" s="114"/>
      <c r="D884" s="114"/>
      <c r="E884" s="90"/>
      <c r="F884" s="115"/>
      <c r="G884" s="90"/>
      <c r="H884" s="90"/>
      <c r="I884" s="90"/>
      <c r="J884" s="90"/>
      <c r="K884" s="90"/>
      <c r="L884" s="90"/>
      <c r="M884" s="90"/>
      <c r="N884" s="90"/>
      <c r="O884" s="90"/>
      <c r="P884" s="90"/>
      <c r="Q884" s="90"/>
      <c r="R884" s="90"/>
      <c r="S884" s="90"/>
      <c r="T884" s="90"/>
      <c r="U884" s="90"/>
      <c r="V884" s="90"/>
      <c r="W884" s="90"/>
      <c r="X884" s="90"/>
    </row>
    <row r="885" spans="1:24" ht="12.75">
      <c r="A885" s="112"/>
      <c r="B885" s="113"/>
      <c r="C885" s="114"/>
      <c r="D885" s="114"/>
      <c r="E885" s="90"/>
      <c r="F885" s="115"/>
      <c r="G885" s="90"/>
      <c r="H885" s="90"/>
      <c r="I885" s="90"/>
      <c r="J885" s="90"/>
      <c r="K885" s="90"/>
      <c r="L885" s="90"/>
      <c r="M885" s="90"/>
      <c r="N885" s="90"/>
      <c r="O885" s="90"/>
      <c r="P885" s="90"/>
      <c r="Q885" s="90"/>
      <c r="R885" s="90"/>
      <c r="S885" s="90"/>
      <c r="T885" s="90"/>
      <c r="U885" s="90"/>
      <c r="V885" s="90"/>
      <c r="W885" s="90"/>
      <c r="X885" s="90"/>
    </row>
    <row r="886" spans="1:24" ht="12.75">
      <c r="A886" s="112"/>
      <c r="B886" s="113"/>
      <c r="C886" s="114"/>
      <c r="D886" s="114"/>
      <c r="E886" s="90"/>
      <c r="F886" s="115"/>
      <c r="G886" s="90"/>
      <c r="H886" s="90"/>
      <c r="I886" s="90"/>
      <c r="J886" s="90"/>
      <c r="K886" s="90"/>
      <c r="L886" s="90"/>
      <c r="M886" s="90"/>
      <c r="N886" s="90"/>
      <c r="O886" s="90"/>
      <c r="P886" s="90"/>
      <c r="Q886" s="90"/>
      <c r="R886" s="90"/>
      <c r="S886" s="90"/>
      <c r="T886" s="90"/>
      <c r="U886" s="90"/>
      <c r="V886" s="90"/>
      <c r="W886" s="90"/>
      <c r="X886" s="90"/>
    </row>
    <row r="887" spans="1:24" ht="12.75">
      <c r="A887" s="112"/>
      <c r="B887" s="113"/>
      <c r="C887" s="114"/>
      <c r="D887" s="114"/>
      <c r="E887" s="90"/>
      <c r="F887" s="115"/>
      <c r="G887" s="90"/>
      <c r="H887" s="90"/>
      <c r="I887" s="90"/>
      <c r="J887" s="90"/>
      <c r="K887" s="90"/>
      <c r="L887" s="90"/>
      <c r="M887" s="90"/>
      <c r="N887" s="90"/>
      <c r="O887" s="90"/>
      <c r="P887" s="90"/>
      <c r="Q887" s="90"/>
      <c r="R887" s="90"/>
      <c r="S887" s="90"/>
      <c r="T887" s="90"/>
      <c r="U887" s="90"/>
      <c r="V887" s="90"/>
      <c r="W887" s="90"/>
      <c r="X887" s="90"/>
    </row>
    <row r="888" spans="1:24" ht="12.75">
      <c r="A888" s="112"/>
      <c r="B888" s="113"/>
      <c r="C888" s="114"/>
      <c r="D888" s="114"/>
      <c r="E888" s="90"/>
      <c r="F888" s="115"/>
      <c r="G888" s="90"/>
      <c r="H888" s="90"/>
      <c r="I888" s="90"/>
      <c r="J888" s="90"/>
      <c r="K888" s="90"/>
      <c r="L888" s="90"/>
      <c r="M888" s="90"/>
      <c r="N888" s="90"/>
      <c r="O888" s="90"/>
      <c r="P888" s="90"/>
      <c r="Q888" s="90"/>
      <c r="R888" s="90"/>
      <c r="S888" s="90"/>
      <c r="T888" s="90"/>
      <c r="U888" s="90"/>
      <c r="V888" s="90"/>
      <c r="W888" s="90"/>
      <c r="X888" s="90"/>
    </row>
    <row r="889" spans="1:24" ht="12.75">
      <c r="A889" s="112"/>
      <c r="B889" s="113"/>
      <c r="C889" s="114"/>
      <c r="D889" s="114"/>
      <c r="E889" s="90"/>
      <c r="F889" s="115"/>
      <c r="G889" s="90"/>
      <c r="H889" s="90"/>
      <c r="I889" s="90"/>
      <c r="J889" s="90"/>
      <c r="K889" s="90"/>
      <c r="L889" s="90"/>
      <c r="M889" s="90"/>
      <c r="N889" s="90"/>
      <c r="O889" s="90"/>
      <c r="P889" s="90"/>
      <c r="Q889" s="90"/>
      <c r="R889" s="90"/>
      <c r="S889" s="90"/>
      <c r="T889" s="90"/>
      <c r="U889" s="90"/>
      <c r="V889" s="90"/>
      <c r="W889" s="90"/>
      <c r="X889" s="90"/>
    </row>
    <row r="890" spans="1:24" ht="12.75">
      <c r="A890" s="112"/>
      <c r="B890" s="113"/>
      <c r="C890" s="114"/>
      <c r="D890" s="114"/>
      <c r="E890" s="90"/>
      <c r="F890" s="115"/>
      <c r="G890" s="90"/>
      <c r="H890" s="90"/>
      <c r="I890" s="90"/>
      <c r="J890" s="90"/>
      <c r="K890" s="90"/>
      <c r="L890" s="90"/>
      <c r="M890" s="90"/>
      <c r="N890" s="90"/>
      <c r="O890" s="90"/>
      <c r="P890" s="90"/>
      <c r="Q890" s="90"/>
      <c r="R890" s="90"/>
      <c r="S890" s="90"/>
      <c r="T890" s="90"/>
      <c r="U890" s="90"/>
      <c r="V890" s="90"/>
      <c r="W890" s="90"/>
      <c r="X890" s="90"/>
    </row>
    <row r="891" spans="1:24" ht="12.75">
      <c r="A891" s="112"/>
      <c r="B891" s="113"/>
      <c r="C891" s="114"/>
      <c r="D891" s="114"/>
      <c r="E891" s="90"/>
      <c r="F891" s="115"/>
      <c r="G891" s="90"/>
      <c r="H891" s="90"/>
      <c r="I891" s="90"/>
      <c r="J891" s="90"/>
      <c r="K891" s="90"/>
      <c r="L891" s="90"/>
      <c r="M891" s="90"/>
      <c r="N891" s="90"/>
      <c r="O891" s="90"/>
      <c r="P891" s="90"/>
      <c r="Q891" s="90"/>
      <c r="R891" s="90"/>
      <c r="S891" s="90"/>
      <c r="T891" s="90"/>
      <c r="U891" s="90"/>
      <c r="V891" s="90"/>
      <c r="W891" s="90"/>
      <c r="X891" s="90"/>
    </row>
    <row r="892" spans="1:24" ht="12.75">
      <c r="A892" s="112"/>
      <c r="B892" s="113"/>
      <c r="C892" s="114"/>
      <c r="D892" s="114"/>
      <c r="E892" s="90"/>
      <c r="F892" s="115"/>
      <c r="G892" s="90"/>
      <c r="H892" s="90"/>
      <c r="I892" s="90"/>
      <c r="J892" s="90"/>
      <c r="K892" s="90"/>
      <c r="L892" s="90"/>
      <c r="M892" s="90"/>
      <c r="N892" s="90"/>
      <c r="O892" s="90"/>
      <c r="P892" s="90"/>
      <c r="Q892" s="90"/>
      <c r="R892" s="90"/>
      <c r="S892" s="90"/>
      <c r="T892" s="90"/>
      <c r="U892" s="90"/>
      <c r="V892" s="90"/>
      <c r="W892" s="90"/>
      <c r="X892" s="90"/>
    </row>
    <row r="893" spans="1:24" ht="12.75">
      <c r="A893" s="112"/>
      <c r="B893" s="113"/>
      <c r="C893" s="114"/>
      <c r="D893" s="114"/>
      <c r="E893" s="90"/>
      <c r="F893" s="115"/>
      <c r="G893" s="90"/>
      <c r="H893" s="90"/>
      <c r="I893" s="90"/>
      <c r="J893" s="90"/>
      <c r="K893" s="90"/>
      <c r="L893" s="90"/>
      <c r="M893" s="90"/>
      <c r="N893" s="90"/>
      <c r="O893" s="90"/>
      <c r="P893" s="90"/>
      <c r="Q893" s="90"/>
      <c r="R893" s="90"/>
      <c r="S893" s="90"/>
      <c r="T893" s="90"/>
      <c r="U893" s="90"/>
      <c r="V893" s="90"/>
      <c r="W893" s="90"/>
      <c r="X893" s="90"/>
    </row>
    <row r="894" spans="1:24" ht="12.75">
      <c r="A894" s="112"/>
      <c r="B894" s="113"/>
      <c r="C894" s="114"/>
      <c r="D894" s="114"/>
      <c r="E894" s="90"/>
      <c r="F894" s="115"/>
      <c r="G894" s="90"/>
      <c r="H894" s="90"/>
      <c r="I894" s="90"/>
      <c r="J894" s="90"/>
      <c r="K894" s="90"/>
      <c r="L894" s="90"/>
      <c r="M894" s="90"/>
      <c r="N894" s="90"/>
      <c r="O894" s="90"/>
      <c r="P894" s="90"/>
      <c r="Q894" s="90"/>
      <c r="R894" s="90"/>
      <c r="S894" s="90"/>
      <c r="T894" s="90"/>
      <c r="U894" s="90"/>
      <c r="V894" s="90"/>
      <c r="W894" s="90"/>
      <c r="X894" s="90"/>
    </row>
    <row r="895" spans="1:24" ht="12.75">
      <c r="A895" s="112"/>
      <c r="B895" s="113"/>
      <c r="C895" s="114"/>
      <c r="D895" s="114"/>
      <c r="E895" s="90"/>
      <c r="F895" s="115"/>
      <c r="G895" s="90"/>
      <c r="H895" s="90"/>
      <c r="I895" s="90"/>
      <c r="J895" s="90"/>
      <c r="K895" s="90"/>
      <c r="L895" s="90"/>
      <c r="M895" s="90"/>
      <c r="N895" s="90"/>
      <c r="O895" s="90"/>
      <c r="P895" s="90"/>
      <c r="Q895" s="90"/>
      <c r="R895" s="90"/>
      <c r="S895" s="90"/>
      <c r="T895" s="90"/>
      <c r="U895" s="90"/>
      <c r="V895" s="90"/>
      <c r="W895" s="90"/>
      <c r="X895" s="90"/>
    </row>
    <row r="896" spans="1:24" ht="12.75">
      <c r="A896" s="112"/>
      <c r="B896" s="113"/>
      <c r="C896" s="114"/>
      <c r="D896" s="114"/>
      <c r="E896" s="90"/>
      <c r="F896" s="115"/>
      <c r="G896" s="90"/>
      <c r="H896" s="90"/>
      <c r="I896" s="90"/>
      <c r="J896" s="90"/>
      <c r="K896" s="90"/>
      <c r="L896" s="90"/>
      <c r="M896" s="90"/>
      <c r="N896" s="90"/>
      <c r="O896" s="90"/>
      <c r="P896" s="90"/>
      <c r="Q896" s="90"/>
      <c r="R896" s="90"/>
      <c r="S896" s="90"/>
      <c r="T896" s="90"/>
      <c r="U896" s="90"/>
      <c r="V896" s="90"/>
      <c r="W896" s="90"/>
      <c r="X896" s="90"/>
    </row>
    <row r="897" spans="1:24" ht="12.75">
      <c r="A897" s="112"/>
      <c r="B897" s="113"/>
      <c r="C897" s="114"/>
      <c r="D897" s="114"/>
      <c r="E897" s="90"/>
      <c r="F897" s="115"/>
      <c r="G897" s="90"/>
      <c r="H897" s="90"/>
      <c r="I897" s="90"/>
      <c r="J897" s="90"/>
      <c r="K897" s="90"/>
      <c r="L897" s="90"/>
      <c r="M897" s="90"/>
      <c r="N897" s="90"/>
      <c r="O897" s="90"/>
      <c r="P897" s="90"/>
      <c r="Q897" s="90"/>
      <c r="R897" s="90"/>
      <c r="S897" s="90"/>
      <c r="T897" s="90"/>
      <c r="U897" s="90"/>
      <c r="V897" s="90"/>
      <c r="W897" s="90"/>
      <c r="X897" s="90"/>
    </row>
    <row r="898" spans="1:24" ht="12.75">
      <c r="A898" s="112"/>
      <c r="B898" s="113"/>
      <c r="C898" s="114"/>
      <c r="D898" s="114"/>
      <c r="E898" s="90"/>
      <c r="F898" s="115"/>
      <c r="G898" s="90"/>
      <c r="H898" s="90"/>
      <c r="I898" s="90"/>
      <c r="J898" s="90"/>
      <c r="K898" s="90"/>
      <c r="L898" s="90"/>
      <c r="M898" s="90"/>
      <c r="N898" s="90"/>
      <c r="O898" s="90"/>
      <c r="P898" s="90"/>
      <c r="Q898" s="90"/>
      <c r="R898" s="90"/>
      <c r="S898" s="90"/>
      <c r="T898" s="90"/>
      <c r="U898" s="90"/>
      <c r="V898" s="90"/>
      <c r="W898" s="90"/>
      <c r="X898" s="90"/>
    </row>
    <row r="899" spans="1:24" ht="12.75">
      <c r="A899" s="112"/>
      <c r="B899" s="113"/>
      <c r="C899" s="114"/>
      <c r="D899" s="114"/>
      <c r="E899" s="90"/>
      <c r="F899" s="115"/>
      <c r="G899" s="90"/>
      <c r="H899" s="90"/>
      <c r="I899" s="90"/>
      <c r="J899" s="90"/>
      <c r="K899" s="90"/>
      <c r="L899" s="90"/>
      <c r="M899" s="90"/>
      <c r="N899" s="90"/>
      <c r="O899" s="90"/>
      <c r="P899" s="90"/>
      <c r="Q899" s="90"/>
      <c r="R899" s="90"/>
      <c r="S899" s="90"/>
      <c r="T899" s="90"/>
      <c r="U899" s="90"/>
      <c r="V899" s="90"/>
      <c r="W899" s="90"/>
      <c r="X899" s="90"/>
    </row>
    <row r="900" spans="1:24" ht="12.75">
      <c r="A900" s="112"/>
      <c r="B900" s="113"/>
      <c r="C900" s="114"/>
      <c r="D900" s="114"/>
      <c r="E900" s="90"/>
      <c r="F900" s="115"/>
      <c r="G900" s="90"/>
      <c r="H900" s="90"/>
      <c r="I900" s="90"/>
      <c r="J900" s="90"/>
      <c r="K900" s="90"/>
      <c r="L900" s="90"/>
      <c r="M900" s="90"/>
      <c r="N900" s="90"/>
      <c r="O900" s="90"/>
      <c r="P900" s="90"/>
      <c r="Q900" s="90"/>
      <c r="R900" s="90"/>
      <c r="S900" s="90"/>
      <c r="T900" s="90"/>
      <c r="U900" s="90"/>
      <c r="V900" s="90"/>
      <c r="W900" s="90"/>
      <c r="X900" s="90"/>
    </row>
    <row r="901" spans="1:24" ht="12.75">
      <c r="A901" s="112"/>
      <c r="B901" s="113"/>
      <c r="C901" s="114"/>
      <c r="D901" s="114"/>
      <c r="E901" s="90"/>
      <c r="F901" s="115"/>
      <c r="G901" s="90"/>
      <c r="H901" s="90"/>
      <c r="I901" s="90"/>
      <c r="J901" s="90"/>
      <c r="K901" s="90"/>
      <c r="L901" s="90"/>
      <c r="M901" s="90"/>
      <c r="N901" s="90"/>
      <c r="O901" s="90"/>
      <c r="P901" s="90"/>
      <c r="Q901" s="90"/>
      <c r="R901" s="90"/>
      <c r="S901" s="90"/>
      <c r="T901" s="90"/>
      <c r="U901" s="90"/>
      <c r="V901" s="90"/>
      <c r="W901" s="90"/>
      <c r="X901" s="90"/>
    </row>
    <row r="902" spans="1:24" ht="12.75">
      <c r="A902" s="112"/>
      <c r="B902" s="113"/>
      <c r="C902" s="114"/>
      <c r="D902" s="114"/>
      <c r="E902" s="90"/>
      <c r="F902" s="115"/>
      <c r="G902" s="90"/>
      <c r="H902" s="90"/>
      <c r="I902" s="90"/>
      <c r="J902" s="90"/>
      <c r="K902" s="90"/>
      <c r="L902" s="90"/>
      <c r="M902" s="90"/>
      <c r="N902" s="90"/>
      <c r="O902" s="90"/>
      <c r="P902" s="90"/>
      <c r="Q902" s="90"/>
      <c r="R902" s="90"/>
      <c r="S902" s="90"/>
      <c r="T902" s="90"/>
      <c r="U902" s="90"/>
      <c r="V902" s="90"/>
      <c r="W902" s="90"/>
      <c r="X902" s="90"/>
    </row>
    <row r="903" spans="1:24" ht="12.75">
      <c r="A903" s="112"/>
      <c r="B903" s="113"/>
      <c r="C903" s="114"/>
      <c r="D903" s="114"/>
      <c r="E903" s="90"/>
      <c r="F903" s="115"/>
      <c r="G903" s="90"/>
      <c r="H903" s="90"/>
      <c r="I903" s="90"/>
      <c r="J903" s="90"/>
      <c r="K903" s="90"/>
      <c r="L903" s="90"/>
      <c r="M903" s="90"/>
      <c r="N903" s="90"/>
      <c r="O903" s="90"/>
      <c r="P903" s="90"/>
      <c r="Q903" s="90"/>
      <c r="R903" s="90"/>
      <c r="S903" s="90"/>
      <c r="T903" s="90"/>
      <c r="U903" s="90"/>
      <c r="V903" s="90"/>
      <c r="W903" s="90"/>
      <c r="X903" s="90"/>
    </row>
    <row r="904" spans="1:24" ht="12.75">
      <c r="A904" s="112"/>
      <c r="B904" s="113"/>
      <c r="C904" s="114"/>
      <c r="D904" s="114"/>
      <c r="E904" s="90"/>
      <c r="F904" s="115"/>
      <c r="G904" s="90"/>
      <c r="H904" s="90"/>
      <c r="I904" s="90"/>
      <c r="J904" s="90"/>
      <c r="K904" s="90"/>
      <c r="L904" s="90"/>
      <c r="M904" s="90"/>
      <c r="N904" s="90"/>
      <c r="O904" s="90"/>
      <c r="P904" s="90"/>
      <c r="Q904" s="90"/>
      <c r="R904" s="90"/>
      <c r="S904" s="90"/>
      <c r="T904" s="90"/>
      <c r="U904" s="90"/>
      <c r="V904" s="90"/>
      <c r="W904" s="90"/>
      <c r="X904" s="90"/>
    </row>
    <row r="905" spans="1:24" ht="12.75">
      <c r="A905" s="112"/>
      <c r="B905" s="113"/>
      <c r="C905" s="114"/>
      <c r="D905" s="114"/>
      <c r="E905" s="90"/>
      <c r="F905" s="115"/>
      <c r="G905" s="90"/>
      <c r="H905" s="90"/>
      <c r="I905" s="90"/>
      <c r="J905" s="90"/>
      <c r="K905" s="90"/>
      <c r="L905" s="90"/>
      <c r="M905" s="90"/>
      <c r="N905" s="90"/>
      <c r="O905" s="90"/>
      <c r="P905" s="90"/>
      <c r="Q905" s="90"/>
      <c r="R905" s="90"/>
      <c r="S905" s="90"/>
      <c r="T905" s="90"/>
      <c r="U905" s="90"/>
      <c r="V905" s="90"/>
      <c r="W905" s="90"/>
      <c r="X905" s="90"/>
    </row>
    <row r="906" spans="1:24" ht="12.75">
      <c r="A906" s="112"/>
      <c r="B906" s="113"/>
      <c r="C906" s="114"/>
      <c r="D906" s="114"/>
      <c r="E906" s="90"/>
      <c r="F906" s="115"/>
      <c r="G906" s="90"/>
      <c r="H906" s="90"/>
      <c r="I906" s="90"/>
      <c r="J906" s="90"/>
      <c r="K906" s="90"/>
      <c r="L906" s="90"/>
      <c r="M906" s="90"/>
      <c r="N906" s="90"/>
      <c r="O906" s="90"/>
      <c r="P906" s="90"/>
      <c r="Q906" s="90"/>
      <c r="R906" s="90"/>
      <c r="S906" s="90"/>
      <c r="T906" s="90"/>
      <c r="U906" s="90"/>
      <c r="V906" s="90"/>
      <c r="W906" s="90"/>
      <c r="X906" s="90"/>
    </row>
    <row r="907" spans="1:24" ht="12.75">
      <c r="A907" s="112"/>
      <c r="B907" s="113"/>
      <c r="C907" s="114"/>
      <c r="D907" s="114"/>
      <c r="E907" s="90"/>
      <c r="F907" s="115"/>
      <c r="G907" s="90"/>
      <c r="H907" s="90"/>
      <c r="I907" s="90"/>
      <c r="J907" s="90"/>
      <c r="K907" s="90"/>
      <c r="L907" s="90"/>
      <c r="M907" s="90"/>
      <c r="N907" s="90"/>
      <c r="O907" s="90"/>
      <c r="P907" s="90"/>
      <c r="Q907" s="90"/>
      <c r="R907" s="90"/>
      <c r="S907" s="90"/>
      <c r="T907" s="90"/>
      <c r="U907" s="90"/>
      <c r="V907" s="90"/>
      <c r="W907" s="90"/>
      <c r="X907" s="90"/>
    </row>
    <row r="908" spans="1:24" ht="12.75">
      <c r="A908" s="112"/>
      <c r="B908" s="113"/>
      <c r="C908" s="114"/>
      <c r="D908" s="114"/>
      <c r="E908" s="90"/>
      <c r="F908" s="115"/>
      <c r="G908" s="90"/>
      <c r="H908" s="90"/>
      <c r="I908" s="90"/>
      <c r="J908" s="90"/>
      <c r="K908" s="90"/>
      <c r="L908" s="90"/>
      <c r="M908" s="90"/>
      <c r="N908" s="90"/>
      <c r="O908" s="90"/>
      <c r="P908" s="90"/>
      <c r="Q908" s="90"/>
      <c r="R908" s="90"/>
      <c r="S908" s="90"/>
      <c r="T908" s="90"/>
      <c r="U908" s="90"/>
      <c r="V908" s="90"/>
      <c r="W908" s="90"/>
      <c r="X908" s="90"/>
    </row>
    <row r="909" spans="1:24" ht="12.75">
      <c r="A909" s="112"/>
      <c r="B909" s="113"/>
      <c r="C909" s="114"/>
      <c r="D909" s="114"/>
      <c r="E909" s="90"/>
      <c r="F909" s="115"/>
      <c r="G909" s="90"/>
      <c r="H909" s="90"/>
      <c r="I909" s="90"/>
      <c r="J909" s="90"/>
      <c r="K909" s="90"/>
      <c r="L909" s="90"/>
      <c r="M909" s="90"/>
      <c r="N909" s="90"/>
      <c r="O909" s="90"/>
      <c r="P909" s="90"/>
      <c r="Q909" s="90"/>
      <c r="R909" s="90"/>
      <c r="S909" s="90"/>
      <c r="T909" s="90"/>
      <c r="U909" s="90"/>
      <c r="V909" s="90"/>
      <c r="W909" s="90"/>
      <c r="X909" s="90"/>
    </row>
    <row r="910" spans="1:24" ht="12.75">
      <c r="A910" s="112"/>
      <c r="B910" s="113"/>
      <c r="C910" s="114"/>
      <c r="D910" s="114"/>
      <c r="E910" s="90"/>
      <c r="F910" s="115"/>
      <c r="G910" s="90"/>
      <c r="H910" s="90"/>
      <c r="I910" s="90"/>
      <c r="J910" s="90"/>
      <c r="K910" s="90"/>
      <c r="L910" s="90"/>
      <c r="M910" s="90"/>
      <c r="N910" s="90"/>
      <c r="O910" s="90"/>
      <c r="P910" s="90"/>
      <c r="Q910" s="90"/>
      <c r="R910" s="90"/>
      <c r="S910" s="90"/>
      <c r="T910" s="90"/>
      <c r="U910" s="90"/>
      <c r="V910" s="90"/>
      <c r="W910" s="90"/>
      <c r="X910" s="90"/>
    </row>
    <row r="911" spans="1:24" ht="12.75">
      <c r="A911" s="112"/>
      <c r="B911" s="113"/>
      <c r="C911" s="114"/>
      <c r="D911" s="114"/>
      <c r="E911" s="90"/>
      <c r="F911" s="115"/>
      <c r="G911" s="90"/>
      <c r="H911" s="90"/>
      <c r="I911" s="90"/>
      <c r="J911" s="90"/>
      <c r="K911" s="90"/>
      <c r="L911" s="90"/>
      <c r="M911" s="90"/>
      <c r="N911" s="90"/>
      <c r="O911" s="90"/>
      <c r="P911" s="90"/>
      <c r="Q911" s="90"/>
      <c r="R911" s="90"/>
      <c r="S911" s="90"/>
      <c r="T911" s="90"/>
      <c r="U911" s="90"/>
      <c r="V911" s="90"/>
      <c r="W911" s="90"/>
      <c r="X911" s="90"/>
    </row>
    <row r="912" spans="1:24" ht="12.75">
      <c r="A912" s="112"/>
      <c r="B912" s="113"/>
      <c r="C912" s="114"/>
      <c r="D912" s="114"/>
      <c r="E912" s="90"/>
      <c r="F912" s="115"/>
      <c r="G912" s="90"/>
      <c r="H912" s="90"/>
      <c r="I912" s="90"/>
      <c r="J912" s="90"/>
      <c r="K912" s="90"/>
      <c r="L912" s="90"/>
      <c r="M912" s="90"/>
      <c r="N912" s="90"/>
      <c r="O912" s="90"/>
      <c r="P912" s="90"/>
      <c r="Q912" s="90"/>
      <c r="R912" s="90"/>
      <c r="S912" s="90"/>
      <c r="T912" s="90"/>
      <c r="U912" s="90"/>
      <c r="V912" s="90"/>
      <c r="W912" s="90"/>
      <c r="X912" s="90"/>
    </row>
    <row r="913" spans="1:24" ht="12.75">
      <c r="A913" s="112"/>
      <c r="B913" s="113"/>
      <c r="C913" s="114"/>
      <c r="D913" s="114"/>
      <c r="E913" s="90"/>
      <c r="F913" s="115"/>
      <c r="G913" s="90"/>
      <c r="H913" s="90"/>
      <c r="I913" s="90"/>
      <c r="J913" s="90"/>
      <c r="K913" s="90"/>
      <c r="L913" s="90"/>
      <c r="M913" s="90"/>
      <c r="N913" s="90"/>
      <c r="O913" s="90"/>
      <c r="P913" s="90"/>
      <c r="Q913" s="90"/>
      <c r="R913" s="90"/>
      <c r="S913" s="90"/>
      <c r="T913" s="90"/>
      <c r="U913" s="90"/>
      <c r="V913" s="90"/>
      <c r="W913" s="90"/>
      <c r="X913" s="90"/>
    </row>
    <row r="914" spans="1:24" ht="12.75">
      <c r="A914" s="112"/>
      <c r="B914" s="113"/>
      <c r="C914" s="114"/>
      <c r="D914" s="114"/>
      <c r="E914" s="90"/>
      <c r="F914" s="115"/>
      <c r="G914" s="90"/>
      <c r="H914" s="90"/>
      <c r="I914" s="90"/>
      <c r="J914" s="90"/>
      <c r="K914" s="90"/>
      <c r="L914" s="90"/>
      <c r="M914" s="90"/>
      <c r="N914" s="90"/>
      <c r="O914" s="90"/>
      <c r="P914" s="90"/>
      <c r="Q914" s="90"/>
      <c r="R914" s="90"/>
      <c r="S914" s="90"/>
      <c r="T914" s="90"/>
      <c r="U914" s="90"/>
      <c r="V914" s="90"/>
      <c r="W914" s="90"/>
      <c r="X914" s="90"/>
    </row>
    <row r="915" spans="1:24" ht="12.75">
      <c r="A915" s="112"/>
      <c r="B915" s="113"/>
      <c r="C915" s="114"/>
      <c r="D915" s="114"/>
      <c r="E915" s="90"/>
      <c r="F915" s="115"/>
      <c r="G915" s="90"/>
      <c r="H915" s="90"/>
      <c r="I915" s="90"/>
      <c r="J915" s="90"/>
      <c r="K915" s="90"/>
      <c r="L915" s="90"/>
      <c r="M915" s="90"/>
      <c r="N915" s="90"/>
      <c r="O915" s="90"/>
      <c r="P915" s="90"/>
      <c r="Q915" s="90"/>
      <c r="R915" s="90"/>
      <c r="S915" s="90"/>
      <c r="T915" s="90"/>
      <c r="U915" s="90"/>
      <c r="V915" s="90"/>
      <c r="W915" s="90"/>
      <c r="X915" s="90"/>
    </row>
    <row r="916" spans="1:24" ht="12.75">
      <c r="A916" s="112"/>
      <c r="B916" s="113"/>
      <c r="C916" s="114"/>
      <c r="D916" s="114"/>
      <c r="E916" s="90"/>
      <c r="F916" s="115"/>
      <c r="G916" s="90"/>
      <c r="H916" s="90"/>
      <c r="I916" s="90"/>
      <c r="J916" s="90"/>
      <c r="K916" s="90"/>
      <c r="L916" s="90"/>
      <c r="M916" s="90"/>
      <c r="N916" s="90"/>
      <c r="O916" s="90"/>
      <c r="P916" s="90"/>
      <c r="Q916" s="90"/>
      <c r="R916" s="90"/>
      <c r="S916" s="90"/>
      <c r="T916" s="90"/>
      <c r="U916" s="90"/>
      <c r="V916" s="90"/>
      <c r="W916" s="90"/>
      <c r="X916" s="90"/>
    </row>
    <row r="917" spans="1:24" ht="12.75">
      <c r="A917" s="112"/>
      <c r="B917" s="113"/>
      <c r="C917" s="114"/>
      <c r="D917" s="114"/>
      <c r="E917" s="90"/>
      <c r="F917" s="115"/>
      <c r="G917" s="90"/>
      <c r="H917" s="90"/>
      <c r="I917" s="90"/>
      <c r="J917" s="90"/>
      <c r="K917" s="90"/>
      <c r="L917" s="90"/>
      <c r="M917" s="90"/>
      <c r="N917" s="90"/>
      <c r="O917" s="90"/>
      <c r="P917" s="90"/>
      <c r="Q917" s="90"/>
      <c r="R917" s="90"/>
      <c r="S917" s="90"/>
      <c r="T917" s="90"/>
      <c r="U917" s="90"/>
      <c r="V917" s="90"/>
      <c r="W917" s="90"/>
      <c r="X917" s="90"/>
    </row>
    <row r="918" spans="1:24" ht="12.75">
      <c r="A918" s="112"/>
      <c r="B918" s="113"/>
      <c r="C918" s="114"/>
      <c r="D918" s="114"/>
      <c r="E918" s="90"/>
      <c r="F918" s="115"/>
      <c r="G918" s="90"/>
      <c r="H918" s="90"/>
      <c r="I918" s="90"/>
      <c r="J918" s="90"/>
      <c r="K918" s="90"/>
      <c r="L918" s="90"/>
      <c r="M918" s="90"/>
      <c r="N918" s="90"/>
      <c r="O918" s="90"/>
      <c r="P918" s="90"/>
      <c r="Q918" s="90"/>
      <c r="R918" s="90"/>
      <c r="S918" s="90"/>
      <c r="T918" s="90"/>
      <c r="U918" s="90"/>
      <c r="V918" s="90"/>
      <c r="W918" s="90"/>
      <c r="X918" s="90"/>
    </row>
    <row r="919" spans="1:24" ht="12.75">
      <c r="A919" s="112"/>
      <c r="B919" s="113"/>
      <c r="C919" s="114"/>
      <c r="D919" s="114"/>
      <c r="E919" s="90"/>
      <c r="F919" s="115"/>
      <c r="G919" s="90"/>
      <c r="H919" s="90"/>
      <c r="I919" s="90"/>
      <c r="J919" s="90"/>
      <c r="K919" s="90"/>
      <c r="L919" s="90"/>
      <c r="M919" s="90"/>
      <c r="N919" s="90"/>
      <c r="O919" s="90"/>
      <c r="P919" s="90"/>
      <c r="Q919" s="90"/>
      <c r="R919" s="90"/>
      <c r="S919" s="90"/>
      <c r="T919" s="90"/>
      <c r="U919" s="90"/>
      <c r="V919" s="90"/>
      <c r="W919" s="90"/>
      <c r="X919" s="90"/>
    </row>
    <row r="920" spans="1:24" ht="12.75">
      <c r="A920" s="112"/>
      <c r="B920" s="113"/>
      <c r="C920" s="114"/>
      <c r="D920" s="114"/>
      <c r="E920" s="90"/>
      <c r="F920" s="115"/>
      <c r="G920" s="90"/>
      <c r="H920" s="90"/>
      <c r="I920" s="90"/>
      <c r="J920" s="90"/>
      <c r="K920" s="90"/>
      <c r="L920" s="90"/>
      <c r="M920" s="90"/>
      <c r="N920" s="90"/>
      <c r="O920" s="90"/>
      <c r="P920" s="90"/>
      <c r="Q920" s="90"/>
      <c r="R920" s="90"/>
      <c r="S920" s="90"/>
      <c r="T920" s="90"/>
      <c r="U920" s="90"/>
      <c r="V920" s="90"/>
      <c r="W920" s="90"/>
      <c r="X920" s="90"/>
    </row>
    <row r="921" spans="1:24" ht="12.75">
      <c r="A921" s="112"/>
      <c r="B921" s="113"/>
      <c r="C921" s="114"/>
      <c r="D921" s="114"/>
      <c r="E921" s="90"/>
      <c r="F921" s="115"/>
      <c r="G921" s="90"/>
      <c r="H921" s="90"/>
      <c r="I921" s="90"/>
      <c r="J921" s="90"/>
      <c r="K921" s="90"/>
      <c r="L921" s="90"/>
      <c r="M921" s="90"/>
      <c r="N921" s="90"/>
      <c r="O921" s="90"/>
      <c r="P921" s="90"/>
      <c r="Q921" s="90"/>
      <c r="R921" s="90"/>
      <c r="S921" s="90"/>
      <c r="T921" s="90"/>
      <c r="U921" s="90"/>
      <c r="V921" s="90"/>
      <c r="W921" s="90"/>
      <c r="X921" s="90"/>
    </row>
    <row r="922" spans="1:24" ht="12.75">
      <c r="A922" s="112"/>
      <c r="B922" s="113"/>
      <c r="C922" s="114"/>
      <c r="D922" s="114"/>
      <c r="E922" s="90"/>
      <c r="F922" s="115"/>
      <c r="G922" s="90"/>
      <c r="H922" s="90"/>
      <c r="I922" s="90"/>
      <c r="J922" s="90"/>
      <c r="K922" s="90"/>
      <c r="L922" s="90"/>
      <c r="M922" s="90"/>
      <c r="N922" s="90"/>
      <c r="O922" s="90"/>
      <c r="P922" s="90"/>
      <c r="Q922" s="90"/>
      <c r="R922" s="90"/>
      <c r="S922" s="90"/>
      <c r="T922" s="90"/>
      <c r="U922" s="90"/>
      <c r="V922" s="90"/>
      <c r="W922" s="90"/>
      <c r="X922" s="90"/>
    </row>
    <row r="923" spans="1:24" ht="12.75">
      <c r="A923" s="112"/>
      <c r="B923" s="113"/>
      <c r="C923" s="114"/>
      <c r="D923" s="114"/>
      <c r="E923" s="90"/>
      <c r="F923" s="115"/>
      <c r="G923" s="90"/>
      <c r="H923" s="90"/>
      <c r="I923" s="90"/>
      <c r="J923" s="90"/>
      <c r="K923" s="90"/>
      <c r="L923" s="90"/>
      <c r="M923" s="90"/>
      <c r="N923" s="90"/>
      <c r="O923" s="90"/>
      <c r="P923" s="90"/>
      <c r="Q923" s="90"/>
      <c r="R923" s="90"/>
      <c r="S923" s="90"/>
      <c r="T923" s="90"/>
      <c r="U923" s="90"/>
      <c r="V923" s="90"/>
      <c r="W923" s="90"/>
      <c r="X923" s="90"/>
    </row>
    <row r="924" spans="1:24" ht="12.75">
      <c r="A924" s="112"/>
      <c r="B924" s="113"/>
      <c r="C924" s="114"/>
      <c r="D924" s="114"/>
      <c r="E924" s="90"/>
      <c r="F924" s="115"/>
      <c r="G924" s="90"/>
      <c r="H924" s="90"/>
      <c r="I924" s="90"/>
      <c r="J924" s="90"/>
      <c r="K924" s="90"/>
      <c r="L924" s="90"/>
      <c r="M924" s="90"/>
      <c r="N924" s="90"/>
      <c r="O924" s="90"/>
      <c r="P924" s="90"/>
      <c r="Q924" s="90"/>
      <c r="R924" s="90"/>
      <c r="S924" s="90"/>
      <c r="T924" s="90"/>
      <c r="U924" s="90"/>
      <c r="V924" s="90"/>
      <c r="W924" s="90"/>
      <c r="X924" s="90"/>
    </row>
    <row r="925" spans="1:24" ht="12.75">
      <c r="A925" s="112"/>
      <c r="B925" s="113"/>
      <c r="C925" s="114"/>
      <c r="D925" s="114"/>
      <c r="E925" s="90"/>
      <c r="F925" s="115"/>
      <c r="G925" s="90"/>
      <c r="H925" s="90"/>
      <c r="I925" s="90"/>
      <c r="J925" s="90"/>
      <c r="K925" s="90"/>
      <c r="L925" s="90"/>
      <c r="M925" s="90"/>
      <c r="N925" s="90"/>
      <c r="O925" s="90"/>
      <c r="P925" s="90"/>
      <c r="Q925" s="90"/>
      <c r="R925" s="90"/>
      <c r="S925" s="90"/>
      <c r="T925" s="90"/>
      <c r="U925" s="90"/>
      <c r="V925" s="90"/>
      <c r="W925" s="90"/>
      <c r="X925" s="90"/>
    </row>
    <row r="926" spans="1:24" ht="12.75">
      <c r="A926" s="112"/>
      <c r="B926" s="113"/>
      <c r="C926" s="114"/>
      <c r="D926" s="114"/>
      <c r="E926" s="90"/>
      <c r="F926" s="115"/>
      <c r="G926" s="90"/>
      <c r="H926" s="90"/>
      <c r="I926" s="90"/>
      <c r="J926" s="90"/>
      <c r="K926" s="90"/>
      <c r="L926" s="90"/>
      <c r="M926" s="90"/>
      <c r="N926" s="90"/>
      <c r="O926" s="90"/>
      <c r="P926" s="90"/>
      <c r="Q926" s="90"/>
      <c r="R926" s="90"/>
      <c r="S926" s="90"/>
      <c r="T926" s="90"/>
      <c r="U926" s="90"/>
      <c r="V926" s="90"/>
      <c r="W926" s="90"/>
      <c r="X926" s="90"/>
    </row>
    <row r="927" spans="1:24" ht="12.75">
      <c r="A927" s="112"/>
      <c r="B927" s="113"/>
      <c r="C927" s="114"/>
      <c r="D927" s="114"/>
      <c r="E927" s="90"/>
      <c r="F927" s="115"/>
      <c r="G927" s="90"/>
      <c r="H927" s="90"/>
      <c r="I927" s="90"/>
      <c r="J927" s="90"/>
      <c r="K927" s="90"/>
      <c r="L927" s="90"/>
      <c r="M927" s="90"/>
      <c r="N927" s="90"/>
      <c r="O927" s="90"/>
      <c r="P927" s="90"/>
      <c r="Q927" s="90"/>
      <c r="R927" s="90"/>
      <c r="S927" s="90"/>
      <c r="T927" s="90"/>
      <c r="U927" s="90"/>
      <c r="V927" s="90"/>
      <c r="W927" s="90"/>
      <c r="X927" s="90"/>
    </row>
    <row r="928" spans="1:24" ht="12.75">
      <c r="A928" s="112"/>
      <c r="B928" s="113"/>
      <c r="C928" s="114"/>
      <c r="D928" s="114"/>
      <c r="E928" s="90"/>
      <c r="F928" s="115"/>
      <c r="G928" s="90"/>
      <c r="H928" s="90"/>
      <c r="I928" s="90"/>
      <c r="J928" s="90"/>
      <c r="K928" s="90"/>
      <c r="L928" s="90"/>
      <c r="M928" s="90"/>
      <c r="N928" s="90"/>
      <c r="O928" s="90"/>
      <c r="P928" s="90"/>
      <c r="Q928" s="90"/>
      <c r="R928" s="90"/>
      <c r="S928" s="90"/>
      <c r="T928" s="90"/>
      <c r="U928" s="90"/>
      <c r="V928" s="90"/>
      <c r="W928" s="90"/>
      <c r="X928" s="90"/>
    </row>
    <row r="929" spans="1:24" ht="12.75">
      <c r="A929" s="112"/>
      <c r="B929" s="113"/>
      <c r="C929" s="114"/>
      <c r="D929" s="114"/>
      <c r="E929" s="90"/>
      <c r="F929" s="115"/>
      <c r="G929" s="90"/>
      <c r="H929" s="90"/>
      <c r="I929" s="90"/>
      <c r="J929" s="90"/>
      <c r="K929" s="90"/>
      <c r="L929" s="90"/>
      <c r="M929" s="90"/>
      <c r="N929" s="90"/>
      <c r="O929" s="90"/>
      <c r="P929" s="90"/>
      <c r="Q929" s="90"/>
      <c r="R929" s="90"/>
      <c r="S929" s="90"/>
      <c r="T929" s="90"/>
      <c r="U929" s="90"/>
      <c r="V929" s="90"/>
      <c r="W929" s="90"/>
      <c r="X929" s="90"/>
    </row>
    <row r="930" spans="1:24" ht="12.75">
      <c r="A930" s="112"/>
      <c r="B930" s="113"/>
      <c r="C930" s="114"/>
      <c r="D930" s="114"/>
      <c r="E930" s="90"/>
      <c r="F930" s="115"/>
      <c r="G930" s="90"/>
      <c r="H930" s="90"/>
      <c r="I930" s="90"/>
      <c r="J930" s="90"/>
      <c r="K930" s="90"/>
      <c r="L930" s="90"/>
      <c r="M930" s="90"/>
      <c r="N930" s="90"/>
      <c r="O930" s="90"/>
      <c r="P930" s="90"/>
      <c r="Q930" s="90"/>
      <c r="R930" s="90"/>
      <c r="S930" s="90"/>
      <c r="T930" s="90"/>
      <c r="U930" s="90"/>
      <c r="V930" s="90"/>
      <c r="W930" s="90"/>
      <c r="X930" s="90"/>
    </row>
    <row r="931" spans="1:24" ht="12.75">
      <c r="A931" s="112"/>
      <c r="B931" s="113"/>
      <c r="C931" s="114"/>
      <c r="D931" s="114"/>
      <c r="E931" s="90"/>
      <c r="F931" s="115"/>
      <c r="G931" s="90"/>
      <c r="H931" s="90"/>
      <c r="I931" s="90"/>
      <c r="J931" s="90"/>
      <c r="K931" s="90"/>
      <c r="L931" s="90"/>
      <c r="M931" s="90"/>
      <c r="N931" s="90"/>
      <c r="O931" s="90"/>
      <c r="P931" s="90"/>
      <c r="Q931" s="90"/>
      <c r="R931" s="90"/>
      <c r="S931" s="90"/>
      <c r="T931" s="90"/>
      <c r="U931" s="90"/>
      <c r="V931" s="90"/>
      <c r="W931" s="90"/>
      <c r="X931" s="90"/>
    </row>
    <row r="932" spans="1:24" ht="12.75">
      <c r="A932" s="112"/>
      <c r="B932" s="113"/>
      <c r="C932" s="114"/>
      <c r="D932" s="114"/>
      <c r="E932" s="90"/>
      <c r="F932" s="115"/>
      <c r="G932" s="90"/>
      <c r="H932" s="90"/>
      <c r="I932" s="90"/>
      <c r="J932" s="90"/>
      <c r="K932" s="90"/>
      <c r="L932" s="90"/>
      <c r="M932" s="90"/>
      <c r="N932" s="90"/>
      <c r="O932" s="90"/>
      <c r="P932" s="90"/>
      <c r="Q932" s="90"/>
      <c r="R932" s="90"/>
      <c r="S932" s="90"/>
      <c r="T932" s="90"/>
      <c r="U932" s="90"/>
      <c r="V932" s="90"/>
      <c r="W932" s="90"/>
      <c r="X932" s="90"/>
    </row>
    <row r="933" spans="1:24" ht="12.75">
      <c r="A933" s="112"/>
      <c r="B933" s="113"/>
      <c r="C933" s="114"/>
      <c r="D933" s="114"/>
      <c r="E933" s="90"/>
      <c r="F933" s="115"/>
      <c r="G933" s="90"/>
      <c r="H933" s="90"/>
      <c r="I933" s="90"/>
      <c r="J933" s="90"/>
      <c r="K933" s="90"/>
      <c r="L933" s="90"/>
      <c r="M933" s="90"/>
      <c r="N933" s="90"/>
      <c r="O933" s="90"/>
      <c r="P933" s="90"/>
      <c r="Q933" s="90"/>
      <c r="R933" s="90"/>
      <c r="S933" s="90"/>
      <c r="T933" s="90"/>
      <c r="U933" s="90"/>
      <c r="V933" s="90"/>
      <c r="W933" s="90"/>
      <c r="X933" s="90"/>
    </row>
    <row r="934" spans="1:24" ht="12.75">
      <c r="A934" s="112"/>
      <c r="B934" s="113"/>
      <c r="C934" s="114"/>
      <c r="D934" s="114"/>
      <c r="E934" s="90"/>
      <c r="F934" s="115"/>
      <c r="G934" s="90"/>
      <c r="H934" s="90"/>
      <c r="I934" s="90"/>
      <c r="J934" s="90"/>
      <c r="K934" s="90"/>
      <c r="L934" s="90"/>
      <c r="M934" s="90"/>
      <c r="N934" s="90"/>
      <c r="O934" s="90"/>
      <c r="P934" s="90"/>
      <c r="Q934" s="90"/>
      <c r="R934" s="90"/>
      <c r="S934" s="90"/>
      <c r="T934" s="90"/>
      <c r="U934" s="90"/>
      <c r="V934" s="90"/>
      <c r="W934" s="90"/>
      <c r="X934" s="90"/>
    </row>
    <row r="935" spans="1:24" ht="12.75">
      <c r="A935" s="112"/>
      <c r="B935" s="113"/>
      <c r="C935" s="114"/>
      <c r="D935" s="114"/>
      <c r="E935" s="90"/>
      <c r="F935" s="115"/>
      <c r="G935" s="90"/>
      <c r="H935" s="90"/>
      <c r="I935" s="90"/>
      <c r="J935" s="90"/>
      <c r="K935" s="90"/>
      <c r="L935" s="90"/>
      <c r="M935" s="90"/>
      <c r="N935" s="90"/>
      <c r="O935" s="90"/>
      <c r="P935" s="90"/>
      <c r="Q935" s="90"/>
      <c r="R935" s="90"/>
      <c r="S935" s="90"/>
      <c r="T935" s="90"/>
      <c r="U935" s="90"/>
      <c r="V935" s="90"/>
      <c r="W935" s="90"/>
      <c r="X935" s="90"/>
    </row>
    <row r="936" spans="1:24" ht="12.75">
      <c r="A936" s="112"/>
      <c r="B936" s="113"/>
      <c r="C936" s="114"/>
      <c r="D936" s="114"/>
      <c r="E936" s="90"/>
      <c r="F936" s="115"/>
      <c r="G936" s="90"/>
      <c r="H936" s="90"/>
      <c r="I936" s="90"/>
      <c r="J936" s="90"/>
      <c r="K936" s="90"/>
      <c r="L936" s="90"/>
      <c r="M936" s="90"/>
      <c r="N936" s="90"/>
      <c r="O936" s="90"/>
      <c r="P936" s="90"/>
      <c r="Q936" s="90"/>
      <c r="R936" s="90"/>
      <c r="S936" s="90"/>
      <c r="T936" s="90"/>
      <c r="U936" s="90"/>
      <c r="V936" s="90"/>
      <c r="W936" s="90"/>
      <c r="X936" s="90"/>
    </row>
    <row r="937" spans="1:24" ht="12.75">
      <c r="A937" s="112"/>
      <c r="B937" s="113"/>
      <c r="C937" s="114"/>
      <c r="D937" s="114"/>
      <c r="E937" s="90"/>
      <c r="F937" s="115"/>
      <c r="G937" s="90"/>
      <c r="H937" s="90"/>
      <c r="I937" s="90"/>
      <c r="J937" s="90"/>
      <c r="K937" s="90"/>
      <c r="L937" s="90"/>
      <c r="M937" s="90"/>
      <c r="N937" s="90"/>
      <c r="O937" s="90"/>
      <c r="P937" s="90"/>
      <c r="Q937" s="90"/>
      <c r="R937" s="90"/>
      <c r="S937" s="90"/>
      <c r="T937" s="90"/>
      <c r="U937" s="90"/>
      <c r="V937" s="90"/>
      <c r="W937" s="90"/>
      <c r="X937" s="90"/>
    </row>
    <row r="938" spans="1:24" ht="12.75">
      <c r="A938" s="112"/>
      <c r="B938" s="113"/>
      <c r="C938" s="114"/>
      <c r="D938" s="114"/>
      <c r="E938" s="90"/>
      <c r="F938" s="115"/>
      <c r="G938" s="90"/>
      <c r="H938" s="90"/>
      <c r="I938" s="90"/>
      <c r="J938" s="90"/>
      <c r="K938" s="90"/>
      <c r="L938" s="90"/>
      <c r="M938" s="90"/>
      <c r="N938" s="90"/>
      <c r="O938" s="90"/>
      <c r="P938" s="90"/>
      <c r="Q938" s="90"/>
      <c r="R938" s="90"/>
      <c r="S938" s="90"/>
      <c r="T938" s="90"/>
      <c r="U938" s="90"/>
      <c r="V938" s="90"/>
      <c r="W938" s="90"/>
      <c r="X938" s="90"/>
    </row>
    <row r="939" spans="1:24" ht="12.75">
      <c r="A939" s="112"/>
      <c r="B939" s="113"/>
      <c r="C939" s="114"/>
      <c r="D939" s="114"/>
      <c r="E939" s="90"/>
      <c r="F939" s="115"/>
      <c r="G939" s="90"/>
      <c r="H939" s="90"/>
      <c r="I939" s="90"/>
      <c r="J939" s="90"/>
      <c r="K939" s="90"/>
      <c r="L939" s="90"/>
      <c r="M939" s="90"/>
      <c r="N939" s="90"/>
      <c r="O939" s="90"/>
      <c r="P939" s="90"/>
      <c r="Q939" s="90"/>
      <c r="R939" s="90"/>
      <c r="S939" s="90"/>
      <c r="T939" s="90"/>
      <c r="U939" s="90"/>
      <c r="V939" s="90"/>
      <c r="W939" s="90"/>
      <c r="X939" s="90"/>
    </row>
    <row r="940" spans="1:24" ht="12.75">
      <c r="A940" s="112"/>
      <c r="B940" s="113"/>
      <c r="C940" s="114"/>
      <c r="D940" s="114"/>
      <c r="E940" s="90"/>
      <c r="F940" s="115"/>
      <c r="G940" s="90"/>
      <c r="H940" s="90"/>
      <c r="I940" s="90"/>
      <c r="J940" s="90"/>
      <c r="K940" s="90"/>
      <c r="L940" s="90"/>
      <c r="M940" s="90"/>
      <c r="N940" s="90"/>
      <c r="O940" s="90"/>
      <c r="P940" s="90"/>
      <c r="Q940" s="90"/>
      <c r="R940" s="90"/>
      <c r="S940" s="90"/>
      <c r="T940" s="90"/>
      <c r="U940" s="90"/>
      <c r="V940" s="90"/>
      <c r="W940" s="90"/>
      <c r="X940" s="90"/>
    </row>
    <row r="941" spans="1:24" ht="12.75">
      <c r="A941" s="112"/>
      <c r="B941" s="113"/>
      <c r="C941" s="114"/>
      <c r="D941" s="114"/>
      <c r="E941" s="90"/>
      <c r="F941" s="115"/>
      <c r="G941" s="90"/>
      <c r="H941" s="90"/>
      <c r="I941" s="90"/>
      <c r="J941" s="90"/>
      <c r="K941" s="90"/>
      <c r="L941" s="90"/>
      <c r="M941" s="90"/>
      <c r="N941" s="90"/>
      <c r="O941" s="90"/>
      <c r="P941" s="90"/>
      <c r="Q941" s="90"/>
      <c r="R941" s="90"/>
      <c r="S941" s="90"/>
      <c r="T941" s="90"/>
      <c r="U941" s="90"/>
      <c r="V941" s="90"/>
      <c r="W941" s="90"/>
      <c r="X941" s="90"/>
    </row>
    <row r="942" spans="1:24" ht="12.75">
      <c r="A942" s="112"/>
      <c r="B942" s="113"/>
      <c r="C942" s="114"/>
      <c r="D942" s="114"/>
      <c r="E942" s="90"/>
      <c r="F942" s="115"/>
      <c r="G942" s="90"/>
      <c r="H942" s="90"/>
      <c r="I942" s="90"/>
      <c r="J942" s="90"/>
      <c r="K942" s="90"/>
      <c r="L942" s="90"/>
      <c r="M942" s="90"/>
      <c r="N942" s="90"/>
      <c r="O942" s="90"/>
      <c r="P942" s="90"/>
      <c r="Q942" s="90"/>
      <c r="R942" s="90"/>
      <c r="S942" s="90"/>
      <c r="T942" s="90"/>
      <c r="U942" s="90"/>
      <c r="V942" s="90"/>
      <c r="W942" s="90"/>
      <c r="X942" s="90"/>
    </row>
    <row r="943" spans="1:24" ht="12.75">
      <c r="A943" s="112"/>
      <c r="B943" s="113"/>
      <c r="C943" s="114"/>
      <c r="D943" s="114"/>
      <c r="E943" s="90"/>
      <c r="F943" s="115"/>
      <c r="G943" s="90"/>
      <c r="H943" s="90"/>
      <c r="I943" s="90"/>
      <c r="J943" s="90"/>
      <c r="K943" s="90"/>
      <c r="L943" s="90"/>
      <c r="M943" s="90"/>
      <c r="N943" s="90"/>
      <c r="O943" s="90"/>
      <c r="P943" s="90"/>
      <c r="Q943" s="90"/>
      <c r="R943" s="90"/>
      <c r="S943" s="90"/>
      <c r="T943" s="90"/>
      <c r="U943" s="90"/>
      <c r="V943" s="90"/>
      <c r="W943" s="90"/>
      <c r="X943" s="90"/>
    </row>
    <row r="944" spans="1:24" ht="12.75">
      <c r="A944" s="112"/>
      <c r="B944" s="113"/>
      <c r="C944" s="114"/>
      <c r="D944" s="114"/>
      <c r="E944" s="90"/>
      <c r="F944" s="115"/>
      <c r="G944" s="90"/>
      <c r="H944" s="90"/>
      <c r="I944" s="90"/>
      <c r="J944" s="90"/>
      <c r="K944" s="90"/>
      <c r="L944" s="90"/>
      <c r="M944" s="90"/>
      <c r="N944" s="90"/>
      <c r="O944" s="90"/>
      <c r="P944" s="90"/>
      <c r="Q944" s="90"/>
      <c r="R944" s="90"/>
      <c r="S944" s="90"/>
      <c r="T944" s="90"/>
      <c r="U944" s="90"/>
      <c r="V944" s="90"/>
      <c r="W944" s="90"/>
      <c r="X944" s="90"/>
    </row>
    <row r="945" spans="1:24" ht="12.75">
      <c r="A945" s="112"/>
      <c r="B945" s="113"/>
      <c r="C945" s="114"/>
      <c r="D945" s="114"/>
      <c r="E945" s="90"/>
      <c r="F945" s="115"/>
      <c r="G945" s="90"/>
      <c r="H945" s="90"/>
      <c r="I945" s="90"/>
      <c r="J945" s="90"/>
      <c r="K945" s="90"/>
      <c r="L945" s="90"/>
      <c r="M945" s="90"/>
      <c r="N945" s="90"/>
      <c r="O945" s="90"/>
      <c r="P945" s="90"/>
      <c r="Q945" s="90"/>
      <c r="R945" s="90"/>
      <c r="S945" s="90"/>
      <c r="T945" s="90"/>
      <c r="U945" s="90"/>
      <c r="V945" s="90"/>
      <c r="W945" s="90"/>
      <c r="X945" s="90"/>
    </row>
    <row r="946" spans="1:24" ht="12.75">
      <c r="A946" s="112"/>
      <c r="B946" s="113"/>
      <c r="C946" s="114"/>
      <c r="D946" s="114"/>
      <c r="E946" s="90"/>
      <c r="F946" s="115"/>
      <c r="G946" s="90"/>
      <c r="H946" s="90"/>
      <c r="I946" s="90"/>
      <c r="J946" s="90"/>
      <c r="K946" s="90"/>
      <c r="L946" s="90"/>
      <c r="M946" s="90"/>
      <c r="N946" s="90"/>
      <c r="O946" s="90"/>
      <c r="P946" s="90"/>
      <c r="Q946" s="90"/>
      <c r="R946" s="90"/>
      <c r="S946" s="90"/>
      <c r="T946" s="90"/>
      <c r="U946" s="90"/>
      <c r="V946" s="90"/>
      <c r="W946" s="90"/>
      <c r="X946" s="90"/>
    </row>
    <row r="947" spans="1:24" ht="12.75">
      <c r="A947" s="112"/>
      <c r="B947" s="113"/>
      <c r="C947" s="114"/>
      <c r="D947" s="114"/>
      <c r="E947" s="90"/>
      <c r="F947" s="115"/>
      <c r="G947" s="90"/>
      <c r="H947" s="90"/>
      <c r="I947" s="90"/>
      <c r="J947" s="90"/>
      <c r="K947" s="90"/>
      <c r="L947" s="90"/>
      <c r="M947" s="90"/>
      <c r="N947" s="90"/>
      <c r="O947" s="90"/>
      <c r="P947" s="90"/>
      <c r="Q947" s="90"/>
      <c r="R947" s="90"/>
      <c r="S947" s="90"/>
      <c r="T947" s="90"/>
      <c r="U947" s="90"/>
      <c r="V947" s="90"/>
      <c r="W947" s="90"/>
      <c r="X947" s="90"/>
    </row>
    <row r="948" spans="1:24" ht="12.75">
      <c r="A948" s="112"/>
      <c r="B948" s="113"/>
      <c r="C948" s="114"/>
      <c r="D948" s="114"/>
      <c r="E948" s="90"/>
      <c r="F948" s="115"/>
      <c r="G948" s="90"/>
      <c r="H948" s="90"/>
      <c r="I948" s="90"/>
      <c r="J948" s="90"/>
      <c r="K948" s="90"/>
      <c r="L948" s="90"/>
      <c r="M948" s="90"/>
      <c r="N948" s="90"/>
      <c r="O948" s="90"/>
      <c r="P948" s="90"/>
      <c r="Q948" s="90"/>
      <c r="R948" s="90"/>
      <c r="S948" s="90"/>
      <c r="T948" s="90"/>
      <c r="U948" s="90"/>
      <c r="V948" s="90"/>
      <c r="W948" s="90"/>
      <c r="X948" s="90"/>
    </row>
    <row r="949" spans="1:24" ht="12.75">
      <c r="A949" s="112"/>
      <c r="B949" s="113"/>
      <c r="C949" s="114"/>
      <c r="D949" s="114"/>
      <c r="E949" s="90"/>
      <c r="F949" s="115"/>
      <c r="G949" s="90"/>
      <c r="H949" s="90"/>
      <c r="I949" s="90"/>
      <c r="J949" s="90"/>
      <c r="K949" s="90"/>
      <c r="L949" s="90"/>
      <c r="M949" s="90"/>
      <c r="N949" s="90"/>
      <c r="O949" s="90"/>
      <c r="P949" s="90"/>
      <c r="Q949" s="90"/>
      <c r="R949" s="90"/>
      <c r="S949" s="90"/>
      <c r="T949" s="90"/>
      <c r="U949" s="90"/>
      <c r="V949" s="90"/>
      <c r="W949" s="90"/>
      <c r="X949" s="90"/>
    </row>
    <row r="950" spans="1:24" ht="12.75">
      <c r="A950" s="112"/>
      <c r="B950" s="113"/>
      <c r="C950" s="114"/>
      <c r="D950" s="114"/>
      <c r="E950" s="90"/>
      <c r="F950" s="115"/>
      <c r="G950" s="90"/>
      <c r="H950" s="90"/>
      <c r="I950" s="90"/>
      <c r="J950" s="90"/>
      <c r="K950" s="90"/>
      <c r="L950" s="90"/>
      <c r="M950" s="90"/>
      <c r="N950" s="90"/>
      <c r="O950" s="90"/>
      <c r="P950" s="90"/>
      <c r="Q950" s="90"/>
      <c r="R950" s="90"/>
      <c r="S950" s="90"/>
      <c r="T950" s="90"/>
      <c r="U950" s="90"/>
      <c r="V950" s="90"/>
      <c r="W950" s="90"/>
      <c r="X950" s="90"/>
    </row>
    <row r="951" spans="1:24" ht="12.75">
      <c r="A951" s="112"/>
      <c r="B951" s="113"/>
      <c r="C951" s="114"/>
      <c r="D951" s="114"/>
      <c r="E951" s="90"/>
      <c r="F951" s="115"/>
      <c r="G951" s="90"/>
      <c r="H951" s="90"/>
      <c r="I951" s="90"/>
      <c r="J951" s="90"/>
      <c r="K951" s="90"/>
      <c r="L951" s="90"/>
      <c r="M951" s="90"/>
      <c r="N951" s="90"/>
      <c r="O951" s="90"/>
      <c r="P951" s="90"/>
      <c r="Q951" s="90"/>
      <c r="R951" s="90"/>
      <c r="S951" s="90"/>
      <c r="T951" s="90"/>
      <c r="U951" s="90"/>
      <c r="V951" s="90"/>
      <c r="W951" s="90"/>
      <c r="X951" s="90"/>
    </row>
    <row r="952" spans="1:24" ht="12.75">
      <c r="A952" s="112"/>
      <c r="B952" s="113"/>
      <c r="C952" s="114"/>
      <c r="D952" s="114"/>
      <c r="E952" s="90"/>
      <c r="F952" s="115"/>
      <c r="G952" s="90"/>
      <c r="H952" s="90"/>
      <c r="I952" s="90"/>
      <c r="J952" s="90"/>
      <c r="K952" s="90"/>
      <c r="L952" s="90"/>
      <c r="M952" s="90"/>
      <c r="N952" s="90"/>
      <c r="O952" s="90"/>
      <c r="P952" s="90"/>
      <c r="Q952" s="90"/>
      <c r="R952" s="90"/>
      <c r="S952" s="90"/>
      <c r="T952" s="90"/>
      <c r="U952" s="90"/>
      <c r="V952" s="90"/>
      <c r="W952" s="90"/>
      <c r="X952" s="90"/>
    </row>
    <row r="953" spans="1:24" ht="12.75">
      <c r="A953" s="112"/>
      <c r="B953" s="113"/>
      <c r="C953" s="114"/>
      <c r="D953" s="114"/>
      <c r="E953" s="90"/>
      <c r="F953" s="115"/>
      <c r="G953" s="90"/>
      <c r="H953" s="90"/>
      <c r="I953" s="90"/>
      <c r="J953" s="90"/>
      <c r="K953" s="90"/>
      <c r="L953" s="90"/>
      <c r="M953" s="90"/>
      <c r="N953" s="90"/>
      <c r="O953" s="90"/>
      <c r="P953" s="90"/>
      <c r="Q953" s="90"/>
      <c r="R953" s="90"/>
      <c r="S953" s="90"/>
      <c r="T953" s="90"/>
      <c r="U953" s="90"/>
      <c r="V953" s="90"/>
      <c r="W953" s="90"/>
      <c r="X953" s="90"/>
    </row>
    <row r="954" spans="1:24" ht="12.75">
      <c r="A954" s="112"/>
      <c r="B954" s="113"/>
      <c r="C954" s="114"/>
      <c r="D954" s="114"/>
      <c r="E954" s="90"/>
      <c r="F954" s="115"/>
      <c r="G954" s="90"/>
      <c r="H954" s="90"/>
      <c r="I954" s="90"/>
      <c r="J954" s="90"/>
      <c r="K954" s="90"/>
      <c r="L954" s="90"/>
      <c r="M954" s="90"/>
      <c r="N954" s="90"/>
      <c r="O954" s="90"/>
      <c r="P954" s="90"/>
      <c r="Q954" s="90"/>
      <c r="R954" s="90"/>
      <c r="S954" s="90"/>
      <c r="T954" s="90"/>
      <c r="U954" s="90"/>
      <c r="V954" s="90"/>
      <c r="W954" s="90"/>
      <c r="X954" s="90"/>
    </row>
    <row r="955" spans="1:24" ht="12.75">
      <c r="A955" s="112"/>
      <c r="B955" s="113"/>
      <c r="C955" s="114"/>
      <c r="D955" s="114"/>
      <c r="E955" s="90"/>
      <c r="F955" s="115"/>
      <c r="G955" s="90"/>
      <c r="H955" s="90"/>
      <c r="I955" s="90"/>
      <c r="J955" s="90"/>
      <c r="K955" s="90"/>
      <c r="L955" s="90"/>
      <c r="M955" s="90"/>
      <c r="N955" s="90"/>
      <c r="O955" s="90"/>
      <c r="P955" s="90"/>
      <c r="Q955" s="90"/>
      <c r="R955" s="90"/>
      <c r="S955" s="90"/>
      <c r="T955" s="90"/>
      <c r="U955" s="90"/>
      <c r="V955" s="90"/>
      <c r="W955" s="90"/>
      <c r="X955" s="90"/>
    </row>
    <row r="956" spans="1:24" ht="12.75">
      <c r="A956" s="112"/>
      <c r="B956" s="113"/>
      <c r="C956" s="114"/>
      <c r="D956" s="114"/>
      <c r="E956" s="90"/>
      <c r="F956" s="115"/>
      <c r="G956" s="90"/>
      <c r="H956" s="90"/>
      <c r="I956" s="90"/>
      <c r="J956" s="90"/>
      <c r="K956" s="90"/>
      <c r="L956" s="90"/>
      <c r="M956" s="90"/>
      <c r="N956" s="90"/>
      <c r="O956" s="90"/>
      <c r="P956" s="90"/>
      <c r="Q956" s="90"/>
      <c r="R956" s="90"/>
      <c r="S956" s="90"/>
      <c r="T956" s="90"/>
      <c r="U956" s="90"/>
      <c r="V956" s="90"/>
      <c r="W956" s="90"/>
      <c r="X956" s="90"/>
    </row>
    <row r="957" spans="1:24" ht="12.75">
      <c r="A957" s="112"/>
      <c r="B957" s="113"/>
      <c r="C957" s="114"/>
      <c r="D957" s="114"/>
      <c r="E957" s="90"/>
      <c r="F957" s="115"/>
      <c r="G957" s="90"/>
      <c r="H957" s="90"/>
      <c r="I957" s="90"/>
      <c r="J957" s="90"/>
      <c r="K957" s="90"/>
      <c r="L957" s="90"/>
      <c r="M957" s="90"/>
      <c r="N957" s="90"/>
      <c r="O957" s="90"/>
      <c r="P957" s="90"/>
      <c r="Q957" s="90"/>
      <c r="R957" s="90"/>
      <c r="S957" s="90"/>
      <c r="T957" s="90"/>
      <c r="U957" s="90"/>
      <c r="V957" s="90"/>
      <c r="W957" s="90"/>
      <c r="X957" s="90"/>
    </row>
    <row r="958" spans="1:24" ht="12.75">
      <c r="A958" s="112"/>
      <c r="B958" s="113"/>
      <c r="C958" s="114"/>
      <c r="D958" s="114"/>
      <c r="E958" s="90"/>
      <c r="F958" s="115"/>
      <c r="G958" s="90"/>
      <c r="H958" s="90"/>
      <c r="I958" s="90"/>
      <c r="J958" s="90"/>
      <c r="K958" s="90"/>
      <c r="L958" s="90"/>
      <c r="M958" s="90"/>
      <c r="N958" s="90"/>
      <c r="O958" s="90"/>
      <c r="P958" s="90"/>
      <c r="Q958" s="90"/>
      <c r="R958" s="90"/>
      <c r="S958" s="90"/>
      <c r="T958" s="90"/>
      <c r="U958" s="90"/>
      <c r="V958" s="90"/>
      <c r="W958" s="90"/>
      <c r="X958" s="90"/>
    </row>
    <row r="959" spans="1:24" ht="12.75">
      <c r="A959" s="112"/>
      <c r="B959" s="113"/>
      <c r="C959" s="114"/>
      <c r="D959" s="114"/>
      <c r="E959" s="90"/>
      <c r="F959" s="115"/>
      <c r="G959" s="90"/>
      <c r="H959" s="90"/>
      <c r="I959" s="90"/>
      <c r="J959" s="90"/>
      <c r="K959" s="90"/>
      <c r="L959" s="90"/>
      <c r="M959" s="90"/>
      <c r="N959" s="90"/>
      <c r="O959" s="90"/>
      <c r="P959" s="90"/>
      <c r="Q959" s="90"/>
      <c r="R959" s="90"/>
      <c r="S959" s="90"/>
      <c r="T959" s="90"/>
      <c r="U959" s="90"/>
      <c r="V959" s="90"/>
      <c r="W959" s="90"/>
      <c r="X959" s="90"/>
    </row>
    <row r="960" spans="1:24" ht="12.75">
      <c r="A960" s="112"/>
      <c r="B960" s="113"/>
      <c r="C960" s="114"/>
      <c r="D960" s="114"/>
      <c r="E960" s="90"/>
      <c r="F960" s="115"/>
      <c r="G960" s="90"/>
      <c r="H960" s="90"/>
      <c r="I960" s="90"/>
      <c r="J960" s="90"/>
      <c r="K960" s="90"/>
      <c r="L960" s="90"/>
      <c r="M960" s="90"/>
      <c r="N960" s="90"/>
      <c r="O960" s="90"/>
      <c r="P960" s="90"/>
      <c r="Q960" s="90"/>
      <c r="R960" s="90"/>
      <c r="S960" s="90"/>
      <c r="T960" s="90"/>
      <c r="U960" s="90"/>
      <c r="V960" s="90"/>
      <c r="W960" s="90"/>
      <c r="X960" s="90"/>
    </row>
    <row r="961" spans="1:24" ht="12.75">
      <c r="A961" s="112"/>
      <c r="B961" s="113"/>
      <c r="C961" s="114"/>
      <c r="D961" s="114"/>
      <c r="E961" s="90"/>
      <c r="F961" s="115"/>
      <c r="G961" s="90"/>
      <c r="H961" s="90"/>
      <c r="I961" s="90"/>
      <c r="J961" s="90"/>
      <c r="K961" s="90"/>
      <c r="L961" s="90"/>
      <c r="M961" s="90"/>
      <c r="N961" s="90"/>
      <c r="O961" s="90"/>
      <c r="P961" s="90"/>
      <c r="Q961" s="90"/>
      <c r="R961" s="90"/>
      <c r="S961" s="90"/>
      <c r="T961" s="90"/>
      <c r="U961" s="90"/>
      <c r="V961" s="90"/>
      <c r="W961" s="90"/>
      <c r="X961" s="90"/>
    </row>
    <row r="962" spans="1:24" ht="12.75">
      <c r="A962" s="112"/>
      <c r="B962" s="113"/>
      <c r="C962" s="114"/>
      <c r="D962" s="114"/>
      <c r="E962" s="90"/>
      <c r="F962" s="115"/>
      <c r="G962" s="90"/>
      <c r="H962" s="90"/>
      <c r="I962" s="90"/>
      <c r="J962" s="90"/>
      <c r="K962" s="90"/>
      <c r="L962" s="90"/>
      <c r="M962" s="90"/>
      <c r="N962" s="90"/>
      <c r="O962" s="90"/>
      <c r="P962" s="90"/>
      <c r="Q962" s="90"/>
      <c r="R962" s="90"/>
      <c r="S962" s="90"/>
      <c r="T962" s="90"/>
      <c r="U962" s="90"/>
      <c r="V962" s="90"/>
      <c r="W962" s="90"/>
      <c r="X962" s="90"/>
    </row>
    <row r="963" spans="1:24" ht="12.75">
      <c r="A963" s="112"/>
      <c r="B963" s="113"/>
      <c r="C963" s="114"/>
      <c r="D963" s="114"/>
      <c r="E963" s="90"/>
      <c r="F963" s="115"/>
      <c r="G963" s="90"/>
      <c r="H963" s="90"/>
      <c r="I963" s="90"/>
      <c r="J963" s="90"/>
      <c r="K963" s="90"/>
      <c r="L963" s="90"/>
      <c r="M963" s="90"/>
      <c r="N963" s="90"/>
      <c r="O963" s="90"/>
      <c r="P963" s="90"/>
      <c r="Q963" s="90"/>
      <c r="R963" s="90"/>
      <c r="S963" s="90"/>
      <c r="T963" s="90"/>
      <c r="U963" s="90"/>
      <c r="V963" s="90"/>
      <c r="W963" s="90"/>
      <c r="X963" s="90"/>
    </row>
    <row r="964" spans="1:24" ht="12.75">
      <c r="A964" s="112"/>
      <c r="B964" s="113"/>
      <c r="C964" s="114"/>
      <c r="D964" s="114"/>
      <c r="E964" s="90"/>
      <c r="F964" s="115"/>
      <c r="G964" s="90"/>
      <c r="H964" s="90"/>
      <c r="I964" s="90"/>
      <c r="J964" s="90"/>
      <c r="K964" s="90"/>
      <c r="L964" s="90"/>
      <c r="M964" s="90"/>
      <c r="N964" s="90"/>
      <c r="O964" s="90"/>
      <c r="P964" s="90"/>
      <c r="Q964" s="90"/>
      <c r="R964" s="90"/>
      <c r="S964" s="90"/>
      <c r="T964" s="90"/>
      <c r="U964" s="90"/>
      <c r="V964" s="90"/>
      <c r="W964" s="90"/>
      <c r="X964" s="90"/>
    </row>
    <row r="965" spans="1:24" ht="12.75">
      <c r="A965" s="112"/>
      <c r="B965" s="113"/>
      <c r="C965" s="114"/>
      <c r="D965" s="114"/>
      <c r="E965" s="90"/>
      <c r="F965" s="115"/>
      <c r="G965" s="90"/>
      <c r="H965" s="90"/>
      <c r="I965" s="90"/>
      <c r="J965" s="90"/>
      <c r="K965" s="90"/>
      <c r="L965" s="90"/>
      <c r="M965" s="90"/>
      <c r="N965" s="90"/>
      <c r="O965" s="90"/>
      <c r="P965" s="90"/>
      <c r="Q965" s="90"/>
      <c r="R965" s="90"/>
      <c r="S965" s="90"/>
      <c r="T965" s="90"/>
      <c r="U965" s="90"/>
      <c r="V965" s="90"/>
      <c r="W965" s="90"/>
      <c r="X965" s="90"/>
    </row>
    <row r="966" spans="1:24" ht="12.75">
      <c r="A966" s="112"/>
      <c r="B966" s="113"/>
      <c r="C966" s="114"/>
      <c r="D966" s="114"/>
      <c r="E966" s="90"/>
      <c r="F966" s="115"/>
      <c r="G966" s="90"/>
      <c r="H966" s="90"/>
      <c r="I966" s="90"/>
      <c r="J966" s="90"/>
      <c r="K966" s="90"/>
      <c r="L966" s="90"/>
      <c r="M966" s="90"/>
      <c r="N966" s="90"/>
      <c r="O966" s="90"/>
      <c r="P966" s="90"/>
      <c r="Q966" s="90"/>
      <c r="R966" s="90"/>
      <c r="S966" s="90"/>
      <c r="T966" s="90"/>
      <c r="U966" s="90"/>
      <c r="V966" s="90"/>
      <c r="W966" s="90"/>
      <c r="X966" s="90"/>
    </row>
    <row r="967" spans="1:24" ht="12.75">
      <c r="A967" s="112"/>
      <c r="B967" s="113"/>
      <c r="C967" s="114"/>
      <c r="D967" s="114"/>
      <c r="E967" s="90"/>
      <c r="F967" s="115"/>
      <c r="G967" s="90"/>
      <c r="H967" s="90"/>
      <c r="I967" s="90"/>
      <c r="J967" s="90"/>
      <c r="K967" s="90"/>
      <c r="L967" s="90"/>
      <c r="M967" s="90"/>
      <c r="N967" s="90"/>
      <c r="O967" s="90"/>
      <c r="P967" s="90"/>
      <c r="Q967" s="90"/>
      <c r="R967" s="90"/>
      <c r="S967" s="90"/>
      <c r="T967" s="90"/>
      <c r="U967" s="90"/>
      <c r="V967" s="90"/>
      <c r="W967" s="90"/>
      <c r="X967" s="90"/>
    </row>
    <row r="968" spans="1:24" ht="12.75">
      <c r="A968" s="112"/>
      <c r="B968" s="113"/>
      <c r="C968" s="114"/>
      <c r="D968" s="114"/>
      <c r="E968" s="90"/>
      <c r="F968" s="115"/>
      <c r="G968" s="90"/>
      <c r="H968" s="90"/>
      <c r="I968" s="90"/>
      <c r="J968" s="90"/>
      <c r="K968" s="90"/>
      <c r="L968" s="90"/>
      <c r="M968" s="90"/>
      <c r="N968" s="90"/>
      <c r="O968" s="90"/>
      <c r="P968" s="90"/>
      <c r="Q968" s="90"/>
      <c r="R968" s="90"/>
      <c r="S968" s="90"/>
      <c r="T968" s="90"/>
      <c r="U968" s="90"/>
      <c r="V968" s="90"/>
      <c r="W968" s="90"/>
      <c r="X968" s="90"/>
    </row>
    <row r="969" spans="1:24" ht="12.75">
      <c r="A969" s="112"/>
      <c r="B969" s="113"/>
      <c r="C969" s="114"/>
      <c r="D969" s="114"/>
      <c r="E969" s="90"/>
      <c r="F969" s="115"/>
      <c r="G969" s="90"/>
      <c r="H969" s="90"/>
      <c r="I969" s="90"/>
      <c r="J969" s="90"/>
      <c r="K969" s="90"/>
      <c r="L969" s="90"/>
      <c r="M969" s="90"/>
      <c r="N969" s="90"/>
      <c r="O969" s="90"/>
      <c r="P969" s="90"/>
      <c r="Q969" s="90"/>
      <c r="R969" s="90"/>
      <c r="S969" s="90"/>
      <c r="T969" s="90"/>
      <c r="U969" s="90"/>
      <c r="V969" s="90"/>
      <c r="W969" s="90"/>
      <c r="X969" s="90"/>
    </row>
    <row r="970" spans="1:24" ht="12.75">
      <c r="A970" s="112"/>
      <c r="B970" s="113"/>
      <c r="C970" s="114"/>
      <c r="D970" s="114"/>
      <c r="E970" s="90"/>
      <c r="F970" s="115"/>
      <c r="G970" s="90"/>
      <c r="H970" s="90"/>
      <c r="I970" s="90"/>
      <c r="J970" s="90"/>
      <c r="K970" s="90"/>
      <c r="L970" s="90"/>
      <c r="M970" s="90"/>
      <c r="N970" s="90"/>
      <c r="O970" s="90"/>
      <c r="P970" s="90"/>
      <c r="Q970" s="90"/>
      <c r="R970" s="90"/>
      <c r="S970" s="90"/>
      <c r="T970" s="90"/>
      <c r="U970" s="90"/>
      <c r="V970" s="90"/>
      <c r="W970" s="90"/>
      <c r="X970" s="90"/>
    </row>
    <row r="971" spans="1:24" ht="12.75">
      <c r="A971" s="112"/>
      <c r="B971" s="113"/>
      <c r="C971" s="114"/>
      <c r="D971" s="114"/>
      <c r="E971" s="90"/>
      <c r="F971" s="115"/>
      <c r="G971" s="90"/>
      <c r="H971" s="90"/>
      <c r="I971" s="90"/>
      <c r="J971" s="90"/>
      <c r="K971" s="90"/>
      <c r="L971" s="90"/>
      <c r="M971" s="90"/>
      <c r="N971" s="90"/>
      <c r="O971" s="90"/>
      <c r="P971" s="90"/>
      <c r="Q971" s="90"/>
      <c r="R971" s="90"/>
      <c r="S971" s="90"/>
      <c r="T971" s="90"/>
      <c r="U971" s="90"/>
      <c r="V971" s="90"/>
      <c r="W971" s="90"/>
      <c r="X971" s="90"/>
    </row>
    <row r="972" spans="1:24" ht="12.75">
      <c r="A972" s="112"/>
      <c r="B972" s="113"/>
      <c r="C972" s="114"/>
      <c r="D972" s="114"/>
      <c r="E972" s="90"/>
      <c r="F972" s="115"/>
      <c r="G972" s="90"/>
      <c r="H972" s="90"/>
      <c r="I972" s="90"/>
      <c r="J972" s="90"/>
      <c r="K972" s="90"/>
      <c r="L972" s="90"/>
      <c r="M972" s="90"/>
      <c r="N972" s="90"/>
      <c r="O972" s="90"/>
      <c r="P972" s="90"/>
      <c r="Q972" s="90"/>
      <c r="R972" s="90"/>
      <c r="S972" s="90"/>
      <c r="T972" s="90"/>
      <c r="U972" s="90"/>
      <c r="V972" s="90"/>
      <c r="W972" s="90"/>
      <c r="X972" s="90"/>
    </row>
    <row r="973" spans="1:24" ht="12.75">
      <c r="A973" s="112"/>
      <c r="B973" s="113"/>
      <c r="C973" s="114"/>
      <c r="D973" s="114"/>
      <c r="E973" s="90"/>
      <c r="F973" s="115"/>
      <c r="G973" s="90"/>
      <c r="H973" s="90"/>
      <c r="I973" s="90"/>
      <c r="J973" s="90"/>
      <c r="K973" s="90"/>
      <c r="L973" s="90"/>
      <c r="M973" s="90"/>
      <c r="N973" s="90"/>
      <c r="O973" s="90"/>
      <c r="P973" s="90"/>
      <c r="Q973" s="90"/>
      <c r="R973" s="90"/>
      <c r="S973" s="90"/>
      <c r="T973" s="90"/>
      <c r="U973" s="90"/>
      <c r="V973" s="90"/>
      <c r="W973" s="90"/>
      <c r="X973" s="90"/>
    </row>
    <row r="974" spans="1:24" ht="12.75">
      <c r="A974" s="112"/>
      <c r="B974" s="113"/>
      <c r="C974" s="114"/>
      <c r="D974" s="114"/>
      <c r="E974" s="90"/>
      <c r="F974" s="115"/>
      <c r="G974" s="90"/>
      <c r="H974" s="90"/>
      <c r="I974" s="90"/>
      <c r="J974" s="90"/>
      <c r="K974" s="90"/>
      <c r="L974" s="90"/>
      <c r="M974" s="90"/>
      <c r="N974" s="90"/>
      <c r="O974" s="90"/>
      <c r="P974" s="90"/>
      <c r="Q974" s="90"/>
      <c r="R974" s="90"/>
      <c r="S974" s="90"/>
      <c r="T974" s="90"/>
      <c r="U974" s="90"/>
      <c r="V974" s="90"/>
      <c r="W974" s="90"/>
      <c r="X974" s="90"/>
    </row>
    <row r="975" spans="1:24" ht="12.75">
      <c r="A975" s="112"/>
      <c r="B975" s="113"/>
      <c r="C975" s="114"/>
      <c r="D975" s="114"/>
      <c r="E975" s="90"/>
      <c r="F975" s="115"/>
      <c r="G975" s="90"/>
      <c r="H975" s="90"/>
      <c r="I975" s="90"/>
      <c r="J975" s="90"/>
      <c r="K975" s="90"/>
      <c r="L975" s="90"/>
      <c r="M975" s="90"/>
      <c r="N975" s="90"/>
      <c r="O975" s="90"/>
      <c r="P975" s="90"/>
      <c r="Q975" s="90"/>
      <c r="R975" s="90"/>
      <c r="S975" s="90"/>
      <c r="T975" s="90"/>
      <c r="U975" s="90"/>
      <c r="V975" s="90"/>
      <c r="W975" s="90"/>
      <c r="X975" s="90"/>
    </row>
    <row r="976" spans="1:24" ht="12.75">
      <c r="A976" s="112"/>
      <c r="B976" s="113"/>
      <c r="C976" s="114"/>
      <c r="D976" s="114"/>
      <c r="E976" s="90"/>
      <c r="F976" s="115"/>
      <c r="G976" s="90"/>
      <c r="H976" s="90"/>
      <c r="I976" s="90"/>
      <c r="J976" s="90"/>
      <c r="K976" s="90"/>
      <c r="L976" s="90"/>
      <c r="M976" s="90"/>
      <c r="N976" s="90"/>
      <c r="O976" s="90"/>
      <c r="P976" s="90"/>
      <c r="Q976" s="90"/>
      <c r="R976" s="90"/>
      <c r="S976" s="90"/>
      <c r="T976" s="90"/>
      <c r="U976" s="90"/>
      <c r="V976" s="90"/>
      <c r="W976" s="90"/>
      <c r="X976" s="90"/>
    </row>
    <row r="977" spans="1:24" ht="12.75">
      <c r="A977" s="112"/>
      <c r="B977" s="113"/>
      <c r="C977" s="114"/>
      <c r="D977" s="114"/>
      <c r="E977" s="90"/>
      <c r="F977" s="115"/>
      <c r="G977" s="90"/>
      <c r="H977" s="90"/>
      <c r="I977" s="90"/>
      <c r="J977" s="90"/>
      <c r="K977" s="90"/>
      <c r="L977" s="90"/>
      <c r="M977" s="90"/>
      <c r="N977" s="90"/>
      <c r="O977" s="90"/>
      <c r="P977" s="90"/>
      <c r="Q977" s="90"/>
      <c r="R977" s="90"/>
      <c r="S977" s="90"/>
      <c r="T977" s="90"/>
      <c r="U977" s="90"/>
      <c r="V977" s="90"/>
      <c r="W977" s="90"/>
      <c r="X977" s="90"/>
    </row>
    <row r="978" spans="1:24" ht="12.75">
      <c r="A978" s="112"/>
      <c r="B978" s="113"/>
      <c r="C978" s="114"/>
      <c r="D978" s="114"/>
      <c r="E978" s="90"/>
      <c r="F978" s="115"/>
      <c r="G978" s="90"/>
      <c r="H978" s="90"/>
      <c r="I978" s="90"/>
      <c r="J978" s="90"/>
      <c r="K978" s="90"/>
      <c r="L978" s="90"/>
      <c r="M978" s="90"/>
      <c r="N978" s="90"/>
      <c r="O978" s="90"/>
      <c r="P978" s="90"/>
      <c r="Q978" s="90"/>
      <c r="R978" s="90"/>
      <c r="S978" s="90"/>
      <c r="T978" s="90"/>
      <c r="U978" s="90"/>
      <c r="V978" s="90"/>
      <c r="W978" s="90"/>
      <c r="X978" s="90"/>
    </row>
    <row r="979" spans="1:24" ht="12.75">
      <c r="A979" s="112"/>
      <c r="B979" s="113"/>
      <c r="C979" s="114"/>
      <c r="D979" s="114"/>
      <c r="E979" s="90"/>
      <c r="F979" s="115"/>
      <c r="G979" s="90"/>
      <c r="H979" s="90"/>
      <c r="I979" s="90"/>
      <c r="J979" s="90"/>
      <c r="K979" s="90"/>
      <c r="L979" s="90"/>
      <c r="M979" s="90"/>
      <c r="N979" s="90"/>
      <c r="O979" s="90"/>
      <c r="P979" s="90"/>
      <c r="Q979" s="90"/>
      <c r="R979" s="90"/>
      <c r="S979" s="90"/>
      <c r="T979" s="90"/>
      <c r="U979" s="90"/>
      <c r="V979" s="90"/>
      <c r="W979" s="90"/>
      <c r="X979" s="90"/>
    </row>
    <row r="980" spans="1:24" ht="12.75">
      <c r="A980" s="112"/>
      <c r="B980" s="113"/>
      <c r="C980" s="114"/>
      <c r="D980" s="114"/>
      <c r="E980" s="90"/>
      <c r="F980" s="115"/>
      <c r="G980" s="90"/>
      <c r="H980" s="90"/>
      <c r="I980" s="90"/>
      <c r="J980" s="90"/>
      <c r="K980" s="90"/>
      <c r="L980" s="90"/>
      <c r="M980" s="90"/>
      <c r="N980" s="90"/>
      <c r="O980" s="90"/>
      <c r="P980" s="90"/>
      <c r="Q980" s="90"/>
      <c r="R980" s="90"/>
      <c r="S980" s="90"/>
      <c r="T980" s="90"/>
      <c r="U980" s="90"/>
      <c r="V980" s="90"/>
      <c r="W980" s="90"/>
      <c r="X980" s="90"/>
    </row>
    <row r="981" spans="1:24" ht="12.75">
      <c r="A981" s="112"/>
      <c r="B981" s="113"/>
      <c r="C981" s="114"/>
      <c r="D981" s="114"/>
      <c r="E981" s="90"/>
      <c r="F981" s="115"/>
      <c r="G981" s="90"/>
      <c r="H981" s="90"/>
      <c r="I981" s="90"/>
      <c r="J981" s="90"/>
      <c r="K981" s="90"/>
      <c r="L981" s="90"/>
      <c r="M981" s="90"/>
      <c r="N981" s="90"/>
      <c r="O981" s="90"/>
      <c r="P981" s="90"/>
      <c r="Q981" s="90"/>
      <c r="R981" s="90"/>
      <c r="S981" s="90"/>
      <c r="T981" s="90"/>
      <c r="U981" s="90"/>
      <c r="V981" s="90"/>
      <c r="W981" s="90"/>
      <c r="X981" s="90"/>
    </row>
    <row r="982" spans="1:24" ht="12.75">
      <c r="A982" s="112"/>
      <c r="B982" s="113"/>
      <c r="C982" s="114"/>
      <c r="D982" s="114"/>
      <c r="E982" s="90"/>
      <c r="F982" s="115"/>
      <c r="G982" s="90"/>
      <c r="H982" s="90"/>
      <c r="I982" s="90"/>
      <c r="J982" s="90"/>
      <c r="K982" s="90"/>
      <c r="L982" s="90"/>
      <c r="M982" s="90"/>
      <c r="N982" s="90"/>
      <c r="O982" s="90"/>
      <c r="P982" s="90"/>
      <c r="Q982" s="90"/>
      <c r="R982" s="90"/>
      <c r="S982" s="90"/>
      <c r="T982" s="90"/>
      <c r="U982" s="90"/>
      <c r="V982" s="90"/>
      <c r="W982" s="90"/>
      <c r="X982" s="90"/>
    </row>
    <row r="983" spans="1:24" ht="12.75">
      <c r="A983" s="112"/>
      <c r="B983" s="113"/>
      <c r="C983" s="114"/>
      <c r="D983" s="114"/>
      <c r="E983" s="90"/>
      <c r="F983" s="115"/>
      <c r="G983" s="90"/>
      <c r="H983" s="90"/>
      <c r="I983" s="90"/>
      <c r="J983" s="90"/>
      <c r="K983" s="90"/>
      <c r="L983" s="90"/>
      <c r="M983" s="90"/>
      <c r="N983" s="90"/>
      <c r="O983" s="90"/>
      <c r="P983" s="90"/>
      <c r="Q983" s="90"/>
      <c r="R983" s="90"/>
      <c r="S983" s="90"/>
      <c r="T983" s="90"/>
      <c r="U983" s="90"/>
      <c r="V983" s="90"/>
      <c r="W983" s="90"/>
      <c r="X983" s="90"/>
    </row>
    <row r="984" spans="1:24" ht="12.75">
      <c r="A984" s="112"/>
      <c r="B984" s="113"/>
      <c r="C984" s="114"/>
      <c r="D984" s="114"/>
      <c r="E984" s="90"/>
      <c r="F984" s="115"/>
      <c r="G984" s="90"/>
      <c r="H984" s="90"/>
      <c r="I984" s="90"/>
      <c r="J984" s="90"/>
      <c r="K984" s="90"/>
      <c r="L984" s="90"/>
      <c r="M984" s="90"/>
      <c r="N984" s="90"/>
      <c r="O984" s="90"/>
      <c r="P984" s="90"/>
      <c r="Q984" s="90"/>
      <c r="R984" s="90"/>
      <c r="S984" s="90"/>
      <c r="T984" s="90"/>
      <c r="U984" s="90"/>
      <c r="V984" s="90"/>
      <c r="W984" s="90"/>
      <c r="X984" s="90"/>
    </row>
    <row r="985" spans="1:24" ht="12.75">
      <c r="A985" s="112"/>
      <c r="B985" s="113"/>
      <c r="C985" s="114"/>
      <c r="D985" s="114"/>
      <c r="E985" s="90"/>
      <c r="F985" s="115"/>
      <c r="G985" s="90"/>
      <c r="H985" s="90"/>
      <c r="I985" s="90"/>
      <c r="J985" s="90"/>
      <c r="K985" s="90"/>
      <c r="L985" s="90"/>
      <c r="M985" s="90"/>
      <c r="N985" s="90"/>
      <c r="O985" s="90"/>
      <c r="P985" s="90"/>
      <c r="Q985" s="90"/>
      <c r="R985" s="90"/>
      <c r="S985" s="90"/>
      <c r="T985" s="90"/>
      <c r="U985" s="90"/>
      <c r="V985" s="90"/>
      <c r="W985" s="90"/>
      <c r="X985" s="90"/>
    </row>
    <row r="986" spans="1:24" ht="12.75">
      <c r="A986" s="112"/>
      <c r="B986" s="113"/>
      <c r="C986" s="114"/>
      <c r="D986" s="114"/>
      <c r="E986" s="90"/>
      <c r="F986" s="115"/>
      <c r="G986" s="90"/>
      <c r="H986" s="90"/>
      <c r="I986" s="90"/>
      <c r="J986" s="90"/>
      <c r="K986" s="90"/>
      <c r="L986" s="90"/>
      <c r="M986" s="90"/>
      <c r="N986" s="90"/>
      <c r="O986" s="90"/>
      <c r="P986" s="90"/>
      <c r="Q986" s="90"/>
      <c r="R986" s="90"/>
      <c r="S986" s="90"/>
      <c r="T986" s="90"/>
      <c r="U986" s="90"/>
      <c r="V986" s="90"/>
      <c r="W986" s="90"/>
      <c r="X986" s="90"/>
    </row>
    <row r="987" spans="1:24" ht="12.75">
      <c r="A987" s="112"/>
      <c r="B987" s="113"/>
      <c r="C987" s="114"/>
      <c r="D987" s="114"/>
      <c r="E987" s="90"/>
      <c r="F987" s="115"/>
      <c r="G987" s="90"/>
      <c r="H987" s="90"/>
      <c r="I987" s="90"/>
      <c r="J987" s="90"/>
      <c r="K987" s="90"/>
      <c r="L987" s="90"/>
      <c r="M987" s="90"/>
      <c r="N987" s="90"/>
      <c r="O987" s="90"/>
      <c r="P987" s="90"/>
      <c r="Q987" s="90"/>
      <c r="R987" s="90"/>
      <c r="S987" s="90"/>
      <c r="T987" s="90"/>
      <c r="U987" s="90"/>
      <c r="V987" s="90"/>
      <c r="W987" s="90"/>
      <c r="X987" s="90"/>
    </row>
    <row r="988" spans="1:24" ht="12.75">
      <c r="A988" s="112"/>
      <c r="B988" s="113"/>
      <c r="C988" s="114"/>
      <c r="D988" s="114"/>
      <c r="E988" s="90"/>
      <c r="F988" s="115"/>
      <c r="G988" s="90"/>
      <c r="H988" s="90"/>
      <c r="I988" s="90"/>
      <c r="J988" s="90"/>
      <c r="K988" s="90"/>
      <c r="L988" s="90"/>
      <c r="M988" s="90"/>
      <c r="N988" s="90"/>
      <c r="O988" s="90"/>
      <c r="P988" s="90"/>
      <c r="Q988" s="90"/>
      <c r="R988" s="90"/>
      <c r="S988" s="90"/>
      <c r="T988" s="90"/>
      <c r="U988" s="90"/>
      <c r="V988" s="90"/>
      <c r="W988" s="90"/>
      <c r="X988" s="90"/>
    </row>
    <row r="989" spans="1:24" ht="12.75">
      <c r="A989" s="112"/>
      <c r="B989" s="113"/>
      <c r="C989" s="114"/>
      <c r="D989" s="114"/>
      <c r="E989" s="90"/>
      <c r="F989" s="115"/>
      <c r="G989" s="90"/>
      <c r="H989" s="90"/>
      <c r="I989" s="90"/>
      <c r="J989" s="90"/>
      <c r="K989" s="90"/>
      <c r="L989" s="90"/>
      <c r="M989" s="90"/>
      <c r="N989" s="90"/>
      <c r="O989" s="90"/>
      <c r="P989" s="90"/>
      <c r="Q989" s="90"/>
      <c r="R989" s="90"/>
      <c r="S989" s="90"/>
      <c r="T989" s="90"/>
      <c r="U989" s="90"/>
      <c r="V989" s="90"/>
      <c r="W989" s="90"/>
      <c r="X989" s="90"/>
    </row>
    <row r="990" spans="1:24" ht="12.75">
      <c r="A990" s="112"/>
      <c r="B990" s="113"/>
      <c r="C990" s="114"/>
      <c r="D990" s="114"/>
      <c r="E990" s="90"/>
      <c r="F990" s="115"/>
      <c r="G990" s="90"/>
      <c r="H990" s="90"/>
      <c r="I990" s="90"/>
      <c r="J990" s="90"/>
      <c r="K990" s="90"/>
      <c r="L990" s="90"/>
      <c r="M990" s="90"/>
      <c r="N990" s="90"/>
      <c r="O990" s="90"/>
      <c r="P990" s="90"/>
      <c r="Q990" s="90"/>
      <c r="R990" s="90"/>
      <c r="S990" s="90"/>
      <c r="T990" s="90"/>
      <c r="U990" s="90"/>
      <c r="V990" s="90"/>
      <c r="W990" s="90"/>
      <c r="X990" s="90"/>
    </row>
    <row r="991" spans="1:24" ht="12.75">
      <c r="A991" s="112"/>
      <c r="B991" s="113"/>
      <c r="C991" s="114"/>
      <c r="D991" s="114"/>
      <c r="E991" s="90"/>
      <c r="F991" s="115"/>
      <c r="G991" s="90"/>
      <c r="H991" s="90"/>
      <c r="I991" s="90"/>
      <c r="J991" s="90"/>
      <c r="K991" s="90"/>
      <c r="L991" s="90"/>
      <c r="M991" s="90"/>
      <c r="N991" s="90"/>
      <c r="O991" s="90"/>
      <c r="P991" s="90"/>
      <c r="Q991" s="90"/>
      <c r="R991" s="90"/>
      <c r="S991" s="90"/>
      <c r="T991" s="90"/>
      <c r="U991" s="90"/>
      <c r="V991" s="90"/>
      <c r="W991" s="90"/>
      <c r="X991" s="90"/>
    </row>
    <row r="992" spans="1:24" ht="12.75">
      <c r="A992" s="112"/>
      <c r="B992" s="113"/>
      <c r="C992" s="114"/>
      <c r="D992" s="114"/>
      <c r="E992" s="90"/>
      <c r="F992" s="115"/>
      <c r="G992" s="90"/>
      <c r="H992" s="90"/>
      <c r="I992" s="90"/>
      <c r="J992" s="90"/>
      <c r="K992" s="90"/>
      <c r="L992" s="90"/>
      <c r="M992" s="90"/>
      <c r="N992" s="90"/>
      <c r="O992" s="90"/>
      <c r="P992" s="90"/>
      <c r="Q992" s="90"/>
      <c r="R992" s="90"/>
      <c r="S992" s="90"/>
      <c r="T992" s="90"/>
      <c r="U992" s="90"/>
      <c r="V992" s="90"/>
      <c r="W992" s="90"/>
      <c r="X992" s="90"/>
    </row>
    <row r="993" spans="1:24" ht="12.75">
      <c r="A993" s="112"/>
      <c r="B993" s="113"/>
      <c r="C993" s="114"/>
      <c r="D993" s="114"/>
      <c r="E993" s="90"/>
      <c r="F993" s="115"/>
      <c r="G993" s="90"/>
      <c r="H993" s="90"/>
      <c r="I993" s="90"/>
      <c r="J993" s="90"/>
      <c r="K993" s="90"/>
      <c r="L993" s="90"/>
      <c r="M993" s="90"/>
      <c r="N993" s="90"/>
      <c r="O993" s="90"/>
      <c r="P993" s="90"/>
      <c r="Q993" s="90"/>
      <c r="R993" s="90"/>
      <c r="S993" s="90"/>
      <c r="T993" s="90"/>
      <c r="U993" s="90"/>
      <c r="V993" s="90"/>
      <c r="W993" s="90"/>
      <c r="X993" s="90"/>
    </row>
    <row r="994" spans="1:24" ht="12.75">
      <c r="A994" s="112"/>
      <c r="B994" s="113"/>
      <c r="C994" s="114"/>
      <c r="D994" s="114"/>
      <c r="E994" s="90"/>
      <c r="F994" s="115"/>
      <c r="G994" s="90"/>
      <c r="H994" s="90"/>
      <c r="I994" s="90"/>
      <c r="J994" s="90"/>
      <c r="K994" s="90"/>
      <c r="L994" s="90"/>
      <c r="M994" s="90"/>
      <c r="N994" s="90"/>
      <c r="O994" s="90"/>
      <c r="P994" s="90"/>
      <c r="Q994" s="90"/>
      <c r="R994" s="90"/>
      <c r="S994" s="90"/>
      <c r="T994" s="90"/>
      <c r="U994" s="90"/>
      <c r="V994" s="90"/>
      <c r="W994" s="90"/>
      <c r="X994" s="90"/>
    </row>
    <row r="995" spans="1:24" ht="12.75">
      <c r="A995" s="112"/>
      <c r="B995" s="113"/>
      <c r="C995" s="114"/>
      <c r="D995" s="114"/>
      <c r="E995" s="90"/>
      <c r="F995" s="115"/>
      <c r="G995" s="90"/>
      <c r="H995" s="90"/>
      <c r="I995" s="90"/>
      <c r="J995" s="90"/>
      <c r="K995" s="90"/>
      <c r="L995" s="90"/>
      <c r="M995" s="90"/>
      <c r="N995" s="90"/>
      <c r="O995" s="90"/>
      <c r="P995" s="90"/>
      <c r="Q995" s="90"/>
      <c r="R995" s="90"/>
      <c r="S995" s="90"/>
      <c r="T995" s="90"/>
      <c r="U995" s="90"/>
      <c r="V995" s="90"/>
      <c r="W995" s="90"/>
      <c r="X995" s="90"/>
    </row>
    <row r="996" spans="1:24" ht="12.75">
      <c r="A996" s="112"/>
      <c r="B996" s="113"/>
      <c r="C996" s="114"/>
      <c r="D996" s="114"/>
      <c r="E996" s="90"/>
      <c r="F996" s="115"/>
      <c r="G996" s="90"/>
      <c r="H996" s="90"/>
      <c r="I996" s="90"/>
      <c r="J996" s="90"/>
      <c r="K996" s="90"/>
      <c r="L996" s="90"/>
      <c r="M996" s="90"/>
      <c r="N996" s="90"/>
      <c r="O996" s="90"/>
      <c r="P996" s="90"/>
      <c r="Q996" s="90"/>
      <c r="R996" s="90"/>
      <c r="S996" s="90"/>
      <c r="T996" s="90"/>
      <c r="U996" s="90"/>
      <c r="V996" s="90"/>
      <c r="W996" s="90"/>
      <c r="X996" s="90"/>
    </row>
    <row r="997" spans="1:24" ht="12.75">
      <c r="A997" s="112"/>
      <c r="B997" s="113"/>
      <c r="C997" s="114"/>
      <c r="D997" s="114"/>
      <c r="E997" s="90"/>
      <c r="F997" s="115"/>
      <c r="G997" s="90"/>
      <c r="H997" s="90"/>
      <c r="I997" s="90"/>
      <c r="J997" s="90"/>
      <c r="K997" s="90"/>
      <c r="L997" s="90"/>
      <c r="M997" s="90"/>
      <c r="N997" s="90"/>
      <c r="O997" s="90"/>
      <c r="P997" s="90"/>
      <c r="Q997" s="90"/>
      <c r="R997" s="90"/>
      <c r="S997" s="90"/>
      <c r="T997" s="90"/>
      <c r="U997" s="90"/>
      <c r="V997" s="90"/>
      <c r="W997" s="90"/>
      <c r="X997" s="90"/>
    </row>
    <row r="998" spans="1:24" ht="12.75">
      <c r="A998" s="112"/>
      <c r="B998" s="113"/>
      <c r="C998" s="114"/>
      <c r="D998" s="114"/>
      <c r="E998" s="90"/>
      <c r="F998" s="115"/>
      <c r="G998" s="90"/>
      <c r="H998" s="90"/>
      <c r="I998" s="90"/>
      <c r="J998" s="90"/>
      <c r="K998" s="90"/>
      <c r="L998" s="90"/>
      <c r="M998" s="90"/>
      <c r="N998" s="90"/>
      <c r="O998" s="90"/>
      <c r="P998" s="90"/>
      <c r="Q998" s="90"/>
      <c r="R998" s="90"/>
      <c r="S998" s="90"/>
      <c r="T998" s="90"/>
      <c r="U998" s="90"/>
      <c r="V998" s="90"/>
      <c r="W998" s="90"/>
      <c r="X998" s="90"/>
    </row>
    <row r="999" spans="1:24" ht="12.75">
      <c r="A999" s="112"/>
      <c r="B999" s="113"/>
      <c r="C999" s="114"/>
      <c r="D999" s="114"/>
      <c r="E999" s="90"/>
      <c r="F999" s="115"/>
      <c r="G999" s="90"/>
      <c r="H999" s="90"/>
      <c r="I999" s="90"/>
      <c r="J999" s="90"/>
      <c r="K999" s="90"/>
      <c r="L999" s="90"/>
      <c r="M999" s="90"/>
      <c r="N999" s="90"/>
      <c r="O999" s="90"/>
      <c r="P999" s="90"/>
      <c r="Q999" s="90"/>
      <c r="R999" s="90"/>
      <c r="S999" s="90"/>
      <c r="T999" s="90"/>
      <c r="U999" s="90"/>
      <c r="V999" s="90"/>
      <c r="W999" s="90"/>
      <c r="X999" s="90"/>
    </row>
    <row r="1000" spans="1:24" ht="12.75">
      <c r="A1000" s="112"/>
      <c r="B1000" s="113"/>
      <c r="C1000" s="114"/>
      <c r="D1000" s="114"/>
      <c r="E1000" s="90"/>
      <c r="F1000" s="115"/>
      <c r="G1000" s="90"/>
      <c r="H1000" s="90"/>
      <c r="I1000" s="90"/>
      <c r="J1000" s="90"/>
      <c r="K1000" s="90"/>
      <c r="L1000" s="90"/>
      <c r="M1000" s="90"/>
      <c r="N1000" s="90"/>
      <c r="O1000" s="90"/>
      <c r="P1000" s="90"/>
      <c r="Q1000" s="90"/>
      <c r="R1000" s="90"/>
      <c r="S1000" s="90"/>
      <c r="T1000" s="90"/>
      <c r="U1000" s="90"/>
      <c r="V1000" s="90"/>
      <c r="W1000" s="90"/>
      <c r="X1000" s="90"/>
    </row>
    <row r="1001" spans="1:24" ht="12.75">
      <c r="A1001" s="112"/>
      <c r="B1001" s="113"/>
      <c r="C1001" s="114"/>
      <c r="D1001" s="114"/>
      <c r="E1001" s="90"/>
      <c r="F1001" s="115"/>
      <c r="G1001" s="90"/>
      <c r="H1001" s="90"/>
      <c r="I1001" s="90"/>
      <c r="J1001" s="90"/>
      <c r="K1001" s="90"/>
      <c r="L1001" s="90"/>
      <c r="M1001" s="90"/>
      <c r="N1001" s="90"/>
      <c r="O1001" s="90"/>
      <c r="P1001" s="90"/>
      <c r="Q1001" s="90"/>
      <c r="R1001" s="90"/>
      <c r="S1001" s="90"/>
      <c r="T1001" s="90"/>
      <c r="U1001" s="90"/>
      <c r="V1001" s="90"/>
      <c r="W1001" s="90"/>
      <c r="X1001" s="90"/>
    </row>
    <row r="1002" spans="1:24" ht="12.75">
      <c r="A1002" s="112"/>
      <c r="B1002" s="113"/>
      <c r="C1002" s="114"/>
      <c r="D1002" s="114"/>
      <c r="E1002" s="90"/>
      <c r="F1002" s="115"/>
      <c r="G1002" s="90"/>
      <c r="H1002" s="90"/>
      <c r="I1002" s="90"/>
      <c r="J1002" s="90"/>
      <c r="K1002" s="90"/>
      <c r="L1002" s="90"/>
      <c r="M1002" s="90"/>
      <c r="N1002" s="90"/>
      <c r="O1002" s="90"/>
      <c r="P1002" s="90"/>
      <c r="Q1002" s="90"/>
      <c r="R1002" s="90"/>
      <c r="S1002" s="90"/>
      <c r="T1002" s="90"/>
      <c r="U1002" s="90"/>
      <c r="V1002" s="90"/>
      <c r="W1002" s="90"/>
      <c r="X1002" s="90"/>
    </row>
    <row r="1003" spans="1:24" ht="12.75">
      <c r="A1003" s="112"/>
      <c r="B1003" s="113"/>
      <c r="C1003" s="114"/>
      <c r="D1003" s="114"/>
      <c r="E1003" s="90"/>
      <c r="F1003" s="115"/>
      <c r="G1003" s="90"/>
      <c r="H1003" s="90"/>
      <c r="I1003" s="90"/>
      <c r="J1003" s="90"/>
      <c r="K1003" s="90"/>
      <c r="L1003" s="90"/>
      <c r="M1003" s="90"/>
      <c r="N1003" s="90"/>
      <c r="O1003" s="90"/>
      <c r="P1003" s="90"/>
      <c r="Q1003" s="90"/>
      <c r="R1003" s="90"/>
      <c r="S1003" s="90"/>
      <c r="T1003" s="90"/>
      <c r="U1003" s="90"/>
      <c r="V1003" s="90"/>
      <c r="W1003" s="90"/>
      <c r="X1003" s="90"/>
    </row>
    <row r="1004" spans="1:24" ht="12.75">
      <c r="A1004" s="112"/>
      <c r="B1004" s="113"/>
      <c r="C1004" s="114"/>
      <c r="D1004" s="114"/>
      <c r="E1004" s="90"/>
      <c r="F1004" s="115"/>
      <c r="G1004" s="90"/>
      <c r="H1004" s="90"/>
      <c r="I1004" s="90"/>
      <c r="J1004" s="90"/>
      <c r="K1004" s="90"/>
      <c r="L1004" s="90"/>
      <c r="M1004" s="90"/>
      <c r="N1004" s="90"/>
      <c r="O1004" s="90"/>
      <c r="P1004" s="90"/>
      <c r="Q1004" s="90"/>
      <c r="R1004" s="90"/>
      <c r="S1004" s="90"/>
      <c r="T1004" s="90"/>
      <c r="U1004" s="90"/>
      <c r="V1004" s="90"/>
      <c r="W1004" s="90"/>
      <c r="X1004" s="90"/>
    </row>
    <row r="1005" spans="1:24" ht="12.75">
      <c r="A1005" s="112"/>
      <c r="B1005" s="113"/>
      <c r="C1005" s="114"/>
      <c r="D1005" s="114"/>
      <c r="E1005" s="90"/>
      <c r="F1005" s="115"/>
      <c r="G1005" s="90"/>
      <c r="H1005" s="90"/>
      <c r="I1005" s="90"/>
      <c r="J1005" s="90"/>
      <c r="K1005" s="90"/>
      <c r="L1005" s="90"/>
      <c r="M1005" s="90"/>
      <c r="N1005" s="90"/>
      <c r="O1005" s="90"/>
      <c r="P1005" s="90"/>
      <c r="Q1005" s="90"/>
      <c r="R1005" s="90"/>
      <c r="S1005" s="90"/>
      <c r="T1005" s="90"/>
      <c r="U1005" s="90"/>
      <c r="V1005" s="90"/>
      <c r="W1005" s="90"/>
      <c r="X1005" s="90"/>
    </row>
    <row r="1006" spans="1:24" ht="12.75">
      <c r="A1006" s="112"/>
      <c r="B1006" s="113"/>
      <c r="C1006" s="114"/>
      <c r="D1006" s="114"/>
      <c r="E1006" s="90"/>
      <c r="F1006" s="115"/>
      <c r="G1006" s="90"/>
      <c r="H1006" s="90"/>
      <c r="I1006" s="90"/>
      <c r="J1006" s="90"/>
      <c r="K1006" s="90"/>
      <c r="L1006" s="90"/>
      <c r="M1006" s="90"/>
      <c r="N1006" s="90"/>
      <c r="O1006" s="90"/>
      <c r="P1006" s="90"/>
      <c r="Q1006" s="90"/>
      <c r="R1006" s="90"/>
      <c r="S1006" s="90"/>
      <c r="T1006" s="90"/>
      <c r="U1006" s="90"/>
      <c r="V1006" s="90"/>
      <c r="W1006" s="90"/>
      <c r="X1006" s="90"/>
    </row>
    <row r="1007" spans="1:24" ht="12.75">
      <c r="A1007" s="112"/>
      <c r="B1007" s="113"/>
      <c r="C1007" s="114"/>
      <c r="D1007" s="114"/>
      <c r="E1007" s="90"/>
      <c r="F1007" s="115"/>
      <c r="G1007" s="90"/>
      <c r="H1007" s="90"/>
      <c r="I1007" s="90"/>
      <c r="J1007" s="90"/>
      <c r="K1007" s="90"/>
      <c r="L1007" s="90"/>
      <c r="M1007" s="90"/>
      <c r="N1007" s="90"/>
      <c r="O1007" s="90"/>
      <c r="P1007" s="90"/>
      <c r="Q1007" s="90"/>
      <c r="R1007" s="90"/>
      <c r="S1007" s="90"/>
      <c r="T1007" s="90"/>
      <c r="U1007" s="90"/>
      <c r="V1007" s="90"/>
      <c r="W1007" s="90"/>
      <c r="X1007" s="90"/>
    </row>
    <row r="1008" spans="1:24" ht="12.75">
      <c r="A1008" s="112"/>
      <c r="B1008" s="113"/>
      <c r="C1008" s="114"/>
      <c r="D1008" s="114"/>
      <c r="E1008" s="90"/>
      <c r="F1008" s="115"/>
      <c r="G1008" s="90"/>
      <c r="H1008" s="90"/>
      <c r="I1008" s="90"/>
      <c r="J1008" s="90"/>
      <c r="K1008" s="90"/>
      <c r="L1008" s="90"/>
      <c r="M1008" s="90"/>
      <c r="N1008" s="90"/>
      <c r="O1008" s="90"/>
      <c r="P1008" s="90"/>
      <c r="Q1008" s="90"/>
      <c r="R1008" s="90"/>
      <c r="S1008" s="90"/>
      <c r="T1008" s="90"/>
      <c r="U1008" s="90"/>
      <c r="V1008" s="90"/>
      <c r="W1008" s="90"/>
      <c r="X1008" s="90"/>
    </row>
    <row r="1009" spans="1:24" ht="12.75">
      <c r="A1009" s="112"/>
      <c r="B1009" s="113"/>
      <c r="C1009" s="114"/>
      <c r="D1009" s="114"/>
      <c r="E1009" s="90"/>
      <c r="F1009" s="115"/>
      <c r="G1009" s="90"/>
      <c r="H1009" s="90"/>
      <c r="I1009" s="90"/>
      <c r="J1009" s="90"/>
      <c r="K1009" s="90"/>
      <c r="L1009" s="90"/>
      <c r="M1009" s="90"/>
      <c r="N1009" s="90"/>
      <c r="O1009" s="90"/>
      <c r="P1009" s="90"/>
      <c r="Q1009" s="90"/>
      <c r="R1009" s="90"/>
      <c r="S1009" s="90"/>
      <c r="T1009" s="90"/>
      <c r="U1009" s="90"/>
      <c r="V1009" s="90"/>
      <c r="W1009" s="90"/>
      <c r="X1009" s="90"/>
    </row>
    <row r="1010" spans="1:24" ht="12.75">
      <c r="A1010" s="112"/>
      <c r="B1010" s="113"/>
      <c r="C1010" s="114"/>
      <c r="D1010" s="114"/>
      <c r="E1010" s="90"/>
      <c r="F1010" s="115"/>
      <c r="G1010" s="90"/>
      <c r="H1010" s="90"/>
      <c r="I1010" s="90"/>
      <c r="J1010" s="90"/>
      <c r="K1010" s="90"/>
      <c r="L1010" s="90"/>
      <c r="M1010" s="90"/>
      <c r="N1010" s="90"/>
      <c r="O1010" s="90"/>
      <c r="P1010" s="90"/>
      <c r="Q1010" s="90"/>
      <c r="R1010" s="90"/>
      <c r="S1010" s="90"/>
      <c r="T1010" s="90"/>
      <c r="U1010" s="90"/>
      <c r="V1010" s="90"/>
      <c r="W1010" s="90"/>
      <c r="X1010" s="90"/>
    </row>
    <row r="1011" spans="1:24" ht="12.75">
      <c r="A1011" s="112"/>
      <c r="B1011" s="113"/>
      <c r="C1011" s="114"/>
      <c r="D1011" s="114"/>
      <c r="E1011" s="90"/>
      <c r="F1011" s="115"/>
      <c r="G1011" s="90"/>
      <c r="H1011" s="90"/>
      <c r="I1011" s="90"/>
      <c r="J1011" s="90"/>
      <c r="K1011" s="90"/>
      <c r="L1011" s="90"/>
      <c r="M1011" s="90"/>
      <c r="N1011" s="90"/>
      <c r="O1011" s="90"/>
      <c r="P1011" s="90"/>
      <c r="Q1011" s="90"/>
      <c r="R1011" s="90"/>
      <c r="S1011" s="90"/>
      <c r="T1011" s="90"/>
      <c r="U1011" s="90"/>
      <c r="V1011" s="90"/>
      <c r="W1011" s="90"/>
      <c r="X1011" s="90"/>
    </row>
    <row r="1012" spans="1:24" ht="12.75">
      <c r="A1012" s="112"/>
      <c r="B1012" s="113"/>
      <c r="C1012" s="114"/>
      <c r="D1012" s="114"/>
      <c r="E1012" s="90"/>
      <c r="F1012" s="115"/>
      <c r="G1012" s="90"/>
      <c r="H1012" s="90"/>
      <c r="I1012" s="90"/>
      <c r="J1012" s="90"/>
      <c r="K1012" s="90"/>
      <c r="L1012" s="90"/>
      <c r="M1012" s="90"/>
      <c r="N1012" s="90"/>
      <c r="O1012" s="90"/>
      <c r="P1012" s="90"/>
      <c r="Q1012" s="90"/>
      <c r="R1012" s="90"/>
      <c r="S1012" s="90"/>
      <c r="T1012" s="90"/>
      <c r="U1012" s="90"/>
      <c r="V1012" s="90"/>
      <c r="W1012" s="90"/>
      <c r="X1012" s="90"/>
    </row>
    <row r="1013" spans="1:24" ht="12.75">
      <c r="A1013" s="112"/>
      <c r="B1013" s="113"/>
      <c r="C1013" s="114"/>
      <c r="D1013" s="114"/>
      <c r="E1013" s="90"/>
      <c r="F1013" s="115"/>
      <c r="G1013" s="90"/>
      <c r="H1013" s="90"/>
      <c r="I1013" s="90"/>
      <c r="J1013" s="90"/>
      <c r="K1013" s="90"/>
      <c r="L1013" s="90"/>
      <c r="M1013" s="90"/>
      <c r="N1013" s="90"/>
      <c r="O1013" s="90"/>
      <c r="P1013" s="90"/>
      <c r="Q1013" s="90"/>
      <c r="R1013" s="90"/>
      <c r="S1013" s="90"/>
      <c r="T1013" s="90"/>
      <c r="U1013" s="90"/>
      <c r="V1013" s="90"/>
      <c r="W1013" s="90"/>
      <c r="X1013" s="90"/>
    </row>
    <row r="1014" spans="1:24" ht="12.75">
      <c r="A1014" s="112"/>
      <c r="B1014" s="113"/>
      <c r="C1014" s="114"/>
      <c r="D1014" s="114"/>
      <c r="E1014" s="90"/>
      <c r="F1014" s="115"/>
      <c r="G1014" s="90"/>
      <c r="H1014" s="90"/>
      <c r="I1014" s="90"/>
      <c r="J1014" s="90"/>
      <c r="K1014" s="90"/>
      <c r="L1014" s="90"/>
      <c r="M1014" s="90"/>
      <c r="N1014" s="90"/>
      <c r="O1014" s="90"/>
      <c r="P1014" s="90"/>
      <c r="Q1014" s="90"/>
      <c r="R1014" s="90"/>
      <c r="S1014" s="90"/>
      <c r="T1014" s="90"/>
      <c r="U1014" s="90"/>
      <c r="V1014" s="90"/>
      <c r="W1014" s="90"/>
      <c r="X1014" s="90"/>
    </row>
    <row r="1015" spans="1:24" ht="12.75">
      <c r="A1015" s="112"/>
      <c r="B1015" s="113"/>
      <c r="C1015" s="114"/>
      <c r="D1015" s="114"/>
      <c r="E1015" s="90"/>
      <c r="F1015" s="115"/>
      <c r="G1015" s="90"/>
      <c r="H1015" s="90"/>
      <c r="I1015" s="90"/>
      <c r="J1015" s="90"/>
      <c r="K1015" s="90"/>
      <c r="L1015" s="90"/>
      <c r="M1015" s="90"/>
      <c r="N1015" s="90"/>
      <c r="O1015" s="90"/>
      <c r="P1015" s="90"/>
      <c r="Q1015" s="90"/>
      <c r="R1015" s="90"/>
      <c r="S1015" s="90"/>
      <c r="T1015" s="90"/>
      <c r="U1015" s="90"/>
      <c r="V1015" s="90"/>
      <c r="W1015" s="90"/>
      <c r="X1015" s="90"/>
    </row>
    <row r="1016" spans="1:24" ht="12.75">
      <c r="A1016" s="112"/>
      <c r="B1016" s="113"/>
      <c r="C1016" s="114"/>
      <c r="D1016" s="114"/>
      <c r="E1016" s="90"/>
      <c r="F1016" s="115"/>
      <c r="G1016" s="90"/>
      <c r="H1016" s="90"/>
      <c r="I1016" s="90"/>
      <c r="J1016" s="90"/>
      <c r="K1016" s="90"/>
      <c r="L1016" s="90"/>
      <c r="M1016" s="90"/>
      <c r="N1016" s="90"/>
      <c r="O1016" s="90"/>
      <c r="P1016" s="90"/>
      <c r="Q1016" s="90"/>
      <c r="R1016" s="90"/>
      <c r="S1016" s="90"/>
      <c r="T1016" s="90"/>
      <c r="U1016" s="90"/>
      <c r="V1016" s="90"/>
      <c r="W1016" s="90"/>
      <c r="X1016" s="90"/>
    </row>
    <row r="1017" spans="1:24" ht="12.75">
      <c r="A1017" s="112"/>
      <c r="B1017" s="113"/>
      <c r="C1017" s="114"/>
      <c r="D1017" s="114"/>
      <c r="E1017" s="90"/>
      <c r="F1017" s="115"/>
      <c r="G1017" s="90"/>
      <c r="H1017" s="90"/>
      <c r="I1017" s="90"/>
      <c r="J1017" s="90"/>
      <c r="K1017" s="90"/>
      <c r="L1017" s="90"/>
      <c r="M1017" s="90"/>
      <c r="N1017" s="90"/>
      <c r="O1017" s="90"/>
      <c r="P1017" s="90"/>
      <c r="Q1017" s="90"/>
      <c r="R1017" s="90"/>
      <c r="S1017" s="90"/>
      <c r="T1017" s="90"/>
      <c r="U1017" s="90"/>
      <c r="V1017" s="90"/>
      <c r="W1017" s="90"/>
      <c r="X1017" s="90"/>
    </row>
    <row r="1018" spans="1:24" ht="12.75">
      <c r="A1018" s="112"/>
      <c r="B1018" s="113"/>
      <c r="C1018" s="114"/>
      <c r="D1018" s="114"/>
      <c r="E1018" s="90"/>
      <c r="F1018" s="115"/>
      <c r="G1018" s="90"/>
      <c r="H1018" s="90"/>
      <c r="I1018" s="90"/>
      <c r="J1018" s="90"/>
      <c r="K1018" s="90"/>
      <c r="L1018" s="90"/>
      <c r="M1018" s="90"/>
      <c r="N1018" s="90"/>
      <c r="O1018" s="90"/>
      <c r="P1018" s="90"/>
      <c r="Q1018" s="90"/>
      <c r="R1018" s="90"/>
      <c r="S1018" s="90"/>
      <c r="T1018" s="90"/>
      <c r="U1018" s="90"/>
      <c r="V1018" s="90"/>
      <c r="W1018" s="90"/>
      <c r="X1018" s="90"/>
    </row>
    <row r="1019" spans="1:24" ht="12.75">
      <c r="A1019" s="112"/>
      <c r="B1019" s="113"/>
      <c r="C1019" s="114"/>
      <c r="D1019" s="114"/>
      <c r="E1019" s="90"/>
      <c r="F1019" s="115"/>
      <c r="G1019" s="90"/>
      <c r="H1019" s="90"/>
      <c r="I1019" s="90"/>
      <c r="J1019" s="90"/>
      <c r="K1019" s="90"/>
      <c r="L1019" s="90"/>
      <c r="M1019" s="90"/>
      <c r="N1019" s="90"/>
      <c r="O1019" s="90"/>
      <c r="P1019" s="90"/>
      <c r="Q1019" s="90"/>
      <c r="R1019" s="90"/>
      <c r="S1019" s="90"/>
      <c r="T1019" s="90"/>
      <c r="U1019" s="90"/>
      <c r="V1019" s="90"/>
      <c r="W1019" s="90"/>
      <c r="X1019" s="90"/>
    </row>
    <row r="1020" spans="1:24" ht="12.75">
      <c r="A1020" s="112"/>
      <c r="B1020" s="113"/>
      <c r="C1020" s="114"/>
      <c r="D1020" s="114"/>
      <c r="E1020" s="90"/>
      <c r="F1020" s="115"/>
      <c r="G1020" s="90"/>
      <c r="H1020" s="90"/>
      <c r="I1020" s="90"/>
      <c r="J1020" s="90"/>
      <c r="K1020" s="90"/>
      <c r="L1020" s="90"/>
      <c r="M1020" s="90"/>
      <c r="N1020" s="90"/>
      <c r="O1020" s="90"/>
      <c r="P1020" s="90"/>
      <c r="Q1020" s="90"/>
      <c r="R1020" s="90"/>
      <c r="S1020" s="90"/>
      <c r="T1020" s="90"/>
      <c r="U1020" s="90"/>
      <c r="V1020" s="90"/>
      <c r="W1020" s="90"/>
      <c r="X1020" s="90"/>
    </row>
    <row r="1021" spans="1:24" ht="12.75">
      <c r="A1021" s="112"/>
      <c r="B1021" s="113"/>
      <c r="C1021" s="114"/>
      <c r="D1021" s="114"/>
      <c r="E1021" s="90"/>
      <c r="F1021" s="115"/>
      <c r="G1021" s="90"/>
      <c r="H1021" s="90"/>
      <c r="I1021" s="90"/>
      <c r="J1021" s="90"/>
      <c r="K1021" s="90"/>
      <c r="L1021" s="90"/>
      <c r="M1021" s="90"/>
      <c r="N1021" s="90"/>
      <c r="O1021" s="90"/>
      <c r="P1021" s="90"/>
      <c r="Q1021" s="90"/>
      <c r="R1021" s="90"/>
      <c r="S1021" s="90"/>
      <c r="T1021" s="90"/>
      <c r="U1021" s="90"/>
      <c r="V1021" s="90"/>
      <c r="W1021" s="90"/>
      <c r="X1021" s="90"/>
    </row>
    <row r="1022" spans="1:24" ht="12.75">
      <c r="A1022" s="112"/>
      <c r="B1022" s="113"/>
      <c r="C1022" s="114"/>
      <c r="D1022" s="114"/>
      <c r="E1022" s="90"/>
      <c r="F1022" s="115"/>
      <c r="G1022" s="90"/>
      <c r="H1022" s="90"/>
      <c r="I1022" s="90"/>
      <c r="J1022" s="90"/>
      <c r="K1022" s="90"/>
      <c r="L1022" s="90"/>
      <c r="M1022" s="90"/>
      <c r="N1022" s="90"/>
      <c r="O1022" s="90"/>
      <c r="P1022" s="90"/>
      <c r="Q1022" s="90"/>
      <c r="R1022" s="90"/>
      <c r="S1022" s="90"/>
      <c r="T1022" s="90"/>
      <c r="U1022" s="90"/>
      <c r="V1022" s="90"/>
      <c r="W1022" s="90"/>
      <c r="X1022" s="90"/>
    </row>
    <row r="1023" spans="1:24" ht="12.75">
      <c r="A1023" s="112"/>
      <c r="B1023" s="113"/>
      <c r="C1023" s="114"/>
      <c r="D1023" s="114"/>
      <c r="E1023" s="90"/>
      <c r="F1023" s="115"/>
      <c r="G1023" s="90"/>
      <c r="H1023" s="90"/>
      <c r="I1023" s="90"/>
      <c r="J1023" s="90"/>
      <c r="K1023" s="90"/>
      <c r="L1023" s="90"/>
      <c r="M1023" s="90"/>
      <c r="N1023" s="90"/>
      <c r="O1023" s="90"/>
      <c r="P1023" s="90"/>
      <c r="Q1023" s="90"/>
      <c r="R1023" s="90"/>
      <c r="S1023" s="90"/>
      <c r="T1023" s="90"/>
      <c r="U1023" s="90"/>
      <c r="V1023" s="90"/>
      <c r="W1023" s="90"/>
      <c r="X1023" s="90"/>
    </row>
    <row r="1024" spans="1:24" ht="12.75">
      <c r="A1024" s="112"/>
      <c r="B1024" s="113"/>
      <c r="C1024" s="114"/>
      <c r="D1024" s="114"/>
      <c r="E1024" s="90"/>
      <c r="F1024" s="115"/>
      <c r="G1024" s="90"/>
      <c r="H1024" s="90"/>
      <c r="I1024" s="90"/>
      <c r="J1024" s="90"/>
      <c r="K1024" s="90"/>
      <c r="L1024" s="90"/>
      <c r="M1024" s="90"/>
      <c r="N1024" s="90"/>
      <c r="O1024" s="90"/>
      <c r="P1024" s="90"/>
      <c r="Q1024" s="90"/>
      <c r="R1024" s="90"/>
      <c r="S1024" s="90"/>
      <c r="T1024" s="90"/>
      <c r="U1024" s="90"/>
      <c r="V1024" s="90"/>
      <c r="W1024" s="90"/>
      <c r="X1024" s="90"/>
    </row>
    <row r="1025" spans="1:24" ht="12.75">
      <c r="A1025" s="112"/>
      <c r="B1025" s="113"/>
      <c r="C1025" s="114"/>
      <c r="D1025" s="114"/>
      <c r="E1025" s="90"/>
      <c r="F1025" s="115"/>
      <c r="G1025" s="90"/>
      <c r="H1025" s="90"/>
      <c r="I1025" s="90"/>
      <c r="J1025" s="90"/>
      <c r="K1025" s="90"/>
      <c r="L1025" s="90"/>
      <c r="M1025" s="90"/>
      <c r="N1025" s="90"/>
      <c r="O1025" s="90"/>
      <c r="P1025" s="90"/>
      <c r="Q1025" s="90"/>
      <c r="R1025" s="90"/>
      <c r="S1025" s="90"/>
      <c r="T1025" s="90"/>
      <c r="U1025" s="90"/>
      <c r="V1025" s="90"/>
      <c r="W1025" s="90"/>
      <c r="X1025" s="90"/>
    </row>
    <row r="1026" spans="1:24" ht="12.75">
      <c r="A1026" s="112"/>
      <c r="B1026" s="113"/>
      <c r="C1026" s="114"/>
      <c r="D1026" s="114"/>
      <c r="E1026" s="90"/>
      <c r="F1026" s="115"/>
      <c r="G1026" s="90"/>
      <c r="H1026" s="90"/>
      <c r="I1026" s="90"/>
      <c r="J1026" s="90"/>
      <c r="K1026" s="90"/>
      <c r="L1026" s="90"/>
      <c r="M1026" s="90"/>
      <c r="N1026" s="90"/>
      <c r="O1026" s="90"/>
      <c r="P1026" s="90"/>
      <c r="Q1026" s="90"/>
      <c r="R1026" s="90"/>
      <c r="S1026" s="90"/>
      <c r="T1026" s="90"/>
      <c r="U1026" s="90"/>
      <c r="V1026" s="90"/>
      <c r="W1026" s="90"/>
      <c r="X1026" s="90"/>
    </row>
    <row r="1027" spans="1:24" ht="12.75">
      <c r="A1027" s="112"/>
      <c r="B1027" s="113"/>
      <c r="C1027" s="114"/>
      <c r="D1027" s="114"/>
      <c r="E1027" s="90"/>
      <c r="F1027" s="115"/>
      <c r="G1027" s="90"/>
      <c r="H1027" s="90"/>
      <c r="I1027" s="90"/>
      <c r="J1027" s="90"/>
      <c r="K1027" s="90"/>
      <c r="L1027" s="90"/>
      <c r="M1027" s="90"/>
      <c r="N1027" s="90"/>
      <c r="O1027" s="90"/>
      <c r="P1027" s="90"/>
      <c r="Q1027" s="90"/>
      <c r="R1027" s="90"/>
      <c r="S1027" s="90"/>
      <c r="T1027" s="90"/>
      <c r="U1027" s="90"/>
      <c r="V1027" s="90"/>
      <c r="W1027" s="90"/>
      <c r="X1027" s="90"/>
    </row>
    <row r="1028" spans="1:24" ht="12.75">
      <c r="A1028" s="112"/>
      <c r="B1028" s="113"/>
      <c r="C1028" s="114"/>
      <c r="D1028" s="114"/>
      <c r="E1028" s="90"/>
      <c r="F1028" s="115"/>
      <c r="G1028" s="90"/>
      <c r="H1028" s="90"/>
      <c r="I1028" s="90"/>
      <c r="J1028" s="90"/>
      <c r="K1028" s="90"/>
      <c r="L1028" s="90"/>
      <c r="M1028" s="90"/>
      <c r="N1028" s="90"/>
      <c r="O1028" s="90"/>
      <c r="P1028" s="90"/>
      <c r="Q1028" s="90"/>
      <c r="R1028" s="90"/>
      <c r="S1028" s="90"/>
      <c r="T1028" s="90"/>
      <c r="U1028" s="90"/>
      <c r="V1028" s="90"/>
      <c r="W1028" s="90"/>
      <c r="X1028" s="90"/>
    </row>
    <row r="1029" spans="1:24" ht="12.75">
      <c r="A1029" s="112"/>
      <c r="B1029" s="113"/>
      <c r="C1029" s="114"/>
      <c r="D1029" s="114"/>
      <c r="E1029" s="90"/>
      <c r="F1029" s="115"/>
      <c r="G1029" s="90"/>
      <c r="H1029" s="90"/>
      <c r="I1029" s="90"/>
      <c r="J1029" s="90"/>
      <c r="K1029" s="90"/>
      <c r="L1029" s="90"/>
      <c r="M1029" s="90"/>
      <c r="N1029" s="90"/>
      <c r="O1029" s="90"/>
      <c r="P1029" s="90"/>
      <c r="Q1029" s="90"/>
      <c r="R1029" s="90"/>
      <c r="S1029" s="90"/>
      <c r="T1029" s="90"/>
      <c r="U1029" s="90"/>
      <c r="V1029" s="90"/>
      <c r="W1029" s="90"/>
      <c r="X1029" s="90"/>
    </row>
    <row r="1030" spans="1:24" ht="12.75">
      <c r="A1030" s="112"/>
      <c r="B1030" s="113"/>
      <c r="C1030" s="114"/>
      <c r="D1030" s="114"/>
      <c r="E1030" s="90"/>
      <c r="F1030" s="115"/>
      <c r="G1030" s="90"/>
      <c r="H1030" s="90"/>
      <c r="I1030" s="90"/>
      <c r="J1030" s="90"/>
      <c r="K1030" s="90"/>
      <c r="L1030" s="90"/>
      <c r="M1030" s="90"/>
      <c r="N1030" s="90"/>
      <c r="O1030" s="90"/>
      <c r="P1030" s="90"/>
      <c r="Q1030" s="90"/>
      <c r="R1030" s="90"/>
      <c r="S1030" s="90"/>
      <c r="T1030" s="90"/>
      <c r="U1030" s="90"/>
      <c r="V1030" s="90"/>
      <c r="W1030" s="90"/>
      <c r="X1030" s="90"/>
    </row>
    <row r="1031" spans="1:24" ht="12.75">
      <c r="A1031" s="112"/>
      <c r="B1031" s="113"/>
      <c r="C1031" s="114"/>
      <c r="D1031" s="114"/>
      <c r="E1031" s="90"/>
      <c r="F1031" s="115"/>
      <c r="G1031" s="90"/>
      <c r="H1031" s="90"/>
      <c r="I1031" s="90"/>
      <c r="J1031" s="90"/>
      <c r="K1031" s="90"/>
      <c r="L1031" s="90"/>
      <c r="M1031" s="90"/>
      <c r="N1031" s="90"/>
      <c r="O1031" s="90"/>
      <c r="P1031" s="90"/>
      <c r="Q1031" s="90"/>
      <c r="R1031" s="90"/>
      <c r="S1031" s="90"/>
      <c r="T1031" s="90"/>
      <c r="U1031" s="90"/>
      <c r="V1031" s="90"/>
      <c r="W1031" s="90"/>
      <c r="X1031" s="90"/>
    </row>
    <row r="1032" spans="1:24" ht="12.75">
      <c r="A1032" s="112"/>
      <c r="B1032" s="113"/>
      <c r="C1032" s="114"/>
      <c r="D1032" s="114"/>
      <c r="E1032" s="90"/>
      <c r="F1032" s="115"/>
      <c r="G1032" s="90"/>
      <c r="H1032" s="90"/>
      <c r="I1032" s="90"/>
      <c r="J1032" s="90"/>
      <c r="K1032" s="90"/>
      <c r="L1032" s="90"/>
      <c r="M1032" s="90"/>
      <c r="N1032" s="90"/>
      <c r="O1032" s="90"/>
      <c r="P1032" s="90"/>
      <c r="Q1032" s="90"/>
      <c r="R1032" s="90"/>
      <c r="S1032" s="90"/>
      <c r="T1032" s="90"/>
      <c r="U1032" s="90"/>
      <c r="V1032" s="90"/>
      <c r="W1032" s="90"/>
      <c r="X1032" s="90"/>
    </row>
    <row r="1033" spans="1:24" ht="12.75">
      <c r="A1033" s="112"/>
      <c r="B1033" s="113"/>
      <c r="C1033" s="114"/>
      <c r="D1033" s="114"/>
      <c r="E1033" s="90"/>
      <c r="F1033" s="115"/>
      <c r="G1033" s="90"/>
      <c r="H1033" s="90"/>
      <c r="I1033" s="90"/>
      <c r="J1033" s="90"/>
      <c r="K1033" s="90"/>
      <c r="L1033" s="90"/>
      <c r="M1033" s="90"/>
      <c r="N1033" s="90"/>
      <c r="O1033" s="90"/>
      <c r="P1033" s="90"/>
      <c r="Q1033" s="90"/>
      <c r="R1033" s="90"/>
      <c r="S1033" s="90"/>
      <c r="T1033" s="90"/>
      <c r="U1033" s="90"/>
      <c r="V1033" s="90"/>
      <c r="W1033" s="90"/>
      <c r="X1033" s="90"/>
    </row>
    <row r="1034" spans="1:24" ht="12.75">
      <c r="A1034" s="112"/>
      <c r="B1034" s="113"/>
      <c r="C1034" s="114"/>
      <c r="D1034" s="114"/>
      <c r="E1034" s="90"/>
      <c r="F1034" s="115"/>
      <c r="G1034" s="90"/>
      <c r="H1034" s="90"/>
      <c r="I1034" s="90"/>
      <c r="J1034" s="90"/>
      <c r="K1034" s="90"/>
      <c r="L1034" s="90"/>
      <c r="M1034" s="90"/>
      <c r="N1034" s="90"/>
      <c r="O1034" s="90"/>
      <c r="P1034" s="90"/>
      <c r="Q1034" s="90"/>
      <c r="R1034" s="90"/>
      <c r="S1034" s="90"/>
      <c r="T1034" s="90"/>
      <c r="U1034" s="90"/>
      <c r="V1034" s="90"/>
      <c r="W1034" s="90"/>
      <c r="X1034" s="90"/>
    </row>
    <row r="1035" spans="1:24" ht="12.75">
      <c r="A1035" s="112"/>
      <c r="B1035" s="113"/>
      <c r="C1035" s="114"/>
      <c r="D1035" s="114"/>
      <c r="E1035" s="90"/>
      <c r="F1035" s="115"/>
      <c r="G1035" s="90"/>
      <c r="H1035" s="90"/>
      <c r="I1035" s="90"/>
      <c r="J1035" s="90"/>
      <c r="K1035" s="90"/>
      <c r="L1035" s="90"/>
      <c r="M1035" s="90"/>
      <c r="N1035" s="90"/>
      <c r="O1035" s="90"/>
      <c r="P1035" s="90"/>
      <c r="Q1035" s="90"/>
      <c r="R1035" s="90"/>
      <c r="S1035" s="90"/>
      <c r="T1035" s="90"/>
      <c r="U1035" s="90"/>
      <c r="V1035" s="90"/>
      <c r="W1035" s="90"/>
      <c r="X1035" s="90"/>
    </row>
    <row r="1036" spans="1:24" ht="12.75">
      <c r="A1036" s="112"/>
      <c r="B1036" s="113"/>
      <c r="C1036" s="114"/>
      <c r="D1036" s="114"/>
      <c r="E1036" s="90"/>
      <c r="F1036" s="115"/>
      <c r="G1036" s="90"/>
      <c r="H1036" s="90"/>
      <c r="I1036" s="90"/>
      <c r="J1036" s="90"/>
      <c r="K1036" s="90"/>
      <c r="L1036" s="90"/>
      <c r="M1036" s="90"/>
      <c r="N1036" s="90"/>
      <c r="O1036" s="90"/>
      <c r="P1036" s="90"/>
      <c r="Q1036" s="90"/>
      <c r="R1036" s="90"/>
      <c r="S1036" s="90"/>
      <c r="T1036" s="90"/>
      <c r="U1036" s="90"/>
      <c r="V1036" s="90"/>
      <c r="W1036" s="90"/>
      <c r="X1036" s="90"/>
    </row>
    <row r="1037" spans="1:24" ht="12.75">
      <c r="A1037" s="112"/>
      <c r="B1037" s="113"/>
      <c r="C1037" s="114"/>
      <c r="D1037" s="114"/>
      <c r="E1037" s="90"/>
      <c r="F1037" s="115"/>
      <c r="G1037" s="90"/>
      <c r="H1037" s="90"/>
      <c r="I1037" s="90"/>
      <c r="J1037" s="90"/>
      <c r="K1037" s="90"/>
      <c r="L1037" s="90"/>
      <c r="M1037" s="90"/>
      <c r="N1037" s="90"/>
      <c r="O1037" s="90"/>
      <c r="P1037" s="90"/>
      <c r="Q1037" s="90"/>
      <c r="R1037" s="90"/>
      <c r="S1037" s="90"/>
      <c r="T1037" s="90"/>
      <c r="U1037" s="90"/>
      <c r="V1037" s="90"/>
      <c r="W1037" s="90"/>
      <c r="X1037" s="90"/>
    </row>
    <row r="1038" spans="1:24" ht="12.75">
      <c r="A1038" s="112"/>
      <c r="B1038" s="113"/>
      <c r="C1038" s="114"/>
      <c r="D1038" s="114"/>
      <c r="E1038" s="90"/>
      <c r="F1038" s="115"/>
      <c r="G1038" s="90"/>
      <c r="H1038" s="90"/>
      <c r="I1038" s="90"/>
      <c r="J1038" s="90"/>
      <c r="K1038" s="90"/>
      <c r="L1038" s="90"/>
      <c r="M1038" s="90"/>
      <c r="N1038" s="90"/>
      <c r="O1038" s="90"/>
      <c r="P1038" s="90"/>
      <c r="Q1038" s="90"/>
      <c r="R1038" s="90"/>
      <c r="S1038" s="90"/>
      <c r="T1038" s="90"/>
      <c r="U1038" s="90"/>
      <c r="V1038" s="90"/>
      <c r="W1038" s="90"/>
      <c r="X1038" s="90"/>
    </row>
    <row r="1039" spans="1:24" ht="12.75">
      <c r="A1039" s="112"/>
      <c r="B1039" s="113"/>
      <c r="C1039" s="114"/>
      <c r="D1039" s="114"/>
      <c r="E1039" s="90"/>
      <c r="F1039" s="115"/>
      <c r="G1039" s="90"/>
      <c r="H1039" s="90"/>
      <c r="I1039" s="90"/>
      <c r="J1039" s="90"/>
      <c r="K1039" s="90"/>
      <c r="L1039" s="90"/>
      <c r="M1039" s="90"/>
      <c r="N1039" s="90"/>
      <c r="O1039" s="90"/>
      <c r="P1039" s="90"/>
      <c r="Q1039" s="90"/>
      <c r="R1039" s="90"/>
      <c r="S1039" s="90"/>
      <c r="T1039" s="90"/>
      <c r="U1039" s="90"/>
      <c r="V1039" s="90"/>
      <c r="W1039" s="90"/>
      <c r="X1039" s="90"/>
    </row>
    <row r="1040" spans="1:24" ht="12.75">
      <c r="A1040" s="112"/>
      <c r="B1040" s="113"/>
      <c r="C1040" s="114"/>
      <c r="D1040" s="114"/>
      <c r="E1040" s="90"/>
      <c r="F1040" s="115"/>
      <c r="G1040" s="90"/>
      <c r="H1040" s="90"/>
      <c r="I1040" s="90"/>
      <c r="J1040" s="90"/>
      <c r="K1040" s="90"/>
      <c r="L1040" s="90"/>
      <c r="M1040" s="90"/>
      <c r="N1040" s="90"/>
      <c r="O1040" s="90"/>
      <c r="P1040" s="90"/>
      <c r="Q1040" s="90"/>
      <c r="R1040" s="90"/>
      <c r="S1040" s="90"/>
      <c r="T1040" s="90"/>
      <c r="U1040" s="90"/>
      <c r="V1040" s="90"/>
      <c r="W1040" s="90"/>
      <c r="X1040" s="90"/>
    </row>
    <row r="1041" spans="1:24" ht="12.75">
      <c r="A1041" s="112"/>
      <c r="B1041" s="113"/>
      <c r="C1041" s="114"/>
      <c r="D1041" s="114"/>
      <c r="E1041" s="90"/>
      <c r="F1041" s="115"/>
      <c r="G1041" s="90"/>
      <c r="H1041" s="90"/>
      <c r="I1041" s="90"/>
      <c r="J1041" s="90"/>
      <c r="K1041" s="90"/>
      <c r="L1041" s="90"/>
      <c r="M1041" s="90"/>
      <c r="N1041" s="90"/>
      <c r="O1041" s="90"/>
      <c r="P1041" s="90"/>
      <c r="Q1041" s="90"/>
      <c r="R1041" s="90"/>
      <c r="S1041" s="90"/>
      <c r="T1041" s="90"/>
      <c r="U1041" s="90"/>
      <c r="V1041" s="90"/>
      <c r="W1041" s="90"/>
      <c r="X1041" s="90"/>
    </row>
    <row r="1042" spans="1:24" ht="12.75">
      <c r="A1042" s="112"/>
      <c r="B1042" s="113"/>
      <c r="C1042" s="114"/>
      <c r="D1042" s="114"/>
      <c r="E1042" s="90"/>
      <c r="F1042" s="115"/>
      <c r="G1042" s="90"/>
      <c r="H1042" s="90"/>
      <c r="I1042" s="90"/>
      <c r="J1042" s="90"/>
      <c r="K1042" s="90"/>
      <c r="L1042" s="90"/>
      <c r="M1042" s="90"/>
      <c r="N1042" s="90"/>
      <c r="O1042" s="90"/>
      <c r="P1042" s="90"/>
      <c r="Q1042" s="90"/>
      <c r="R1042" s="90"/>
      <c r="S1042" s="90"/>
      <c r="T1042" s="90"/>
      <c r="U1042" s="90"/>
      <c r="V1042" s="90"/>
      <c r="W1042" s="90"/>
      <c r="X1042" s="90"/>
    </row>
    <row r="1043" spans="1:24" ht="12.75">
      <c r="A1043" s="112"/>
      <c r="B1043" s="113"/>
      <c r="C1043" s="114"/>
      <c r="D1043" s="114"/>
      <c r="E1043" s="90"/>
      <c r="F1043" s="115"/>
      <c r="G1043" s="90"/>
      <c r="H1043" s="90"/>
      <c r="I1043" s="90"/>
      <c r="J1043" s="90"/>
      <c r="K1043" s="90"/>
      <c r="L1043" s="90"/>
      <c r="M1043" s="90"/>
      <c r="N1043" s="90"/>
      <c r="O1043" s="90"/>
      <c r="P1043" s="90"/>
      <c r="Q1043" s="90"/>
      <c r="R1043" s="90"/>
      <c r="S1043" s="90"/>
      <c r="T1043" s="90"/>
      <c r="U1043" s="90"/>
      <c r="V1043" s="90"/>
      <c r="W1043" s="90"/>
      <c r="X1043" s="90"/>
    </row>
    <row r="1044" spans="1:24" ht="12.75">
      <c r="A1044" s="112"/>
      <c r="B1044" s="113"/>
      <c r="C1044" s="114"/>
      <c r="D1044" s="114"/>
      <c r="E1044" s="90"/>
      <c r="F1044" s="115"/>
      <c r="G1044" s="90"/>
      <c r="H1044" s="90"/>
      <c r="I1044" s="90"/>
      <c r="J1044" s="90"/>
      <c r="K1044" s="90"/>
      <c r="L1044" s="90"/>
      <c r="M1044" s="90"/>
      <c r="N1044" s="90"/>
      <c r="O1044" s="90"/>
      <c r="P1044" s="90"/>
      <c r="Q1044" s="90"/>
      <c r="R1044" s="90"/>
      <c r="S1044" s="90"/>
      <c r="T1044" s="90"/>
      <c r="U1044" s="90"/>
      <c r="V1044" s="90"/>
      <c r="W1044" s="90"/>
      <c r="X1044" s="90"/>
    </row>
    <row r="1045" spans="1:24" ht="12.75">
      <c r="A1045" s="112"/>
      <c r="B1045" s="113"/>
      <c r="C1045" s="114"/>
      <c r="D1045" s="114"/>
      <c r="E1045" s="90"/>
      <c r="F1045" s="115"/>
      <c r="G1045" s="90"/>
      <c r="H1045" s="90"/>
      <c r="I1045" s="90"/>
      <c r="J1045" s="90"/>
      <c r="K1045" s="90"/>
      <c r="L1045" s="90"/>
      <c r="M1045" s="90"/>
      <c r="N1045" s="90"/>
      <c r="O1045" s="90"/>
      <c r="P1045" s="90"/>
      <c r="Q1045" s="90"/>
      <c r="R1045" s="90"/>
      <c r="S1045" s="90"/>
      <c r="T1045" s="90"/>
      <c r="U1045" s="90"/>
      <c r="V1045" s="90"/>
      <c r="W1045" s="90"/>
      <c r="X1045" s="90"/>
    </row>
    <row r="1046" spans="1:24" ht="12.75">
      <c r="A1046" s="112"/>
      <c r="B1046" s="113"/>
      <c r="C1046" s="114"/>
      <c r="D1046" s="114"/>
      <c r="E1046" s="90"/>
      <c r="F1046" s="115"/>
      <c r="G1046" s="90"/>
      <c r="H1046" s="90"/>
      <c r="I1046" s="90"/>
      <c r="J1046" s="90"/>
      <c r="K1046" s="90"/>
      <c r="L1046" s="90"/>
      <c r="M1046" s="90"/>
      <c r="N1046" s="90"/>
      <c r="O1046" s="90"/>
      <c r="P1046" s="90"/>
      <c r="Q1046" s="90"/>
      <c r="R1046" s="90"/>
      <c r="S1046" s="90"/>
      <c r="T1046" s="90"/>
      <c r="U1046" s="90"/>
      <c r="V1046" s="90"/>
      <c r="W1046" s="90"/>
      <c r="X1046" s="90"/>
    </row>
    <row r="1047" spans="1:24" ht="12.75">
      <c r="A1047" s="112"/>
      <c r="B1047" s="113"/>
      <c r="C1047" s="114"/>
      <c r="D1047" s="114"/>
      <c r="E1047" s="90"/>
      <c r="F1047" s="115"/>
      <c r="G1047" s="90"/>
      <c r="H1047" s="90"/>
      <c r="I1047" s="90"/>
      <c r="J1047" s="90"/>
      <c r="K1047" s="90"/>
      <c r="L1047" s="90"/>
      <c r="M1047" s="90"/>
      <c r="N1047" s="90"/>
      <c r="O1047" s="90"/>
      <c r="P1047" s="90"/>
      <c r="Q1047" s="90"/>
      <c r="R1047" s="90"/>
      <c r="S1047" s="90"/>
      <c r="T1047" s="90"/>
      <c r="U1047" s="90"/>
      <c r="V1047" s="90"/>
      <c r="W1047" s="90"/>
      <c r="X1047" s="90"/>
    </row>
    <row r="1048" spans="1:24" ht="12.75">
      <c r="A1048" s="112"/>
      <c r="B1048" s="113"/>
      <c r="C1048" s="114"/>
      <c r="D1048" s="114"/>
      <c r="E1048" s="90"/>
      <c r="F1048" s="115"/>
      <c r="G1048" s="90"/>
      <c r="H1048" s="90"/>
      <c r="I1048" s="90"/>
      <c r="J1048" s="90"/>
      <c r="K1048" s="90"/>
      <c r="L1048" s="90"/>
      <c r="M1048" s="90"/>
      <c r="N1048" s="90"/>
      <c r="O1048" s="90"/>
      <c r="P1048" s="90"/>
      <c r="Q1048" s="90"/>
      <c r="R1048" s="90"/>
      <c r="S1048" s="90"/>
      <c r="T1048" s="90"/>
      <c r="U1048" s="90"/>
      <c r="V1048" s="90"/>
      <c r="W1048" s="90"/>
      <c r="X1048" s="90"/>
    </row>
    <row r="1049" spans="1:24" ht="12.75">
      <c r="A1049" s="112"/>
      <c r="B1049" s="113"/>
      <c r="C1049" s="114"/>
      <c r="D1049" s="114"/>
      <c r="E1049" s="90"/>
      <c r="F1049" s="115"/>
      <c r="G1049" s="90"/>
      <c r="H1049" s="90"/>
      <c r="I1049" s="90"/>
      <c r="J1049" s="90"/>
      <c r="K1049" s="90"/>
      <c r="L1049" s="90"/>
      <c r="M1049" s="90"/>
      <c r="N1049" s="90"/>
      <c r="O1049" s="90"/>
      <c r="P1049" s="90"/>
      <c r="Q1049" s="90"/>
      <c r="R1049" s="90"/>
      <c r="S1049" s="90"/>
      <c r="T1049" s="90"/>
      <c r="U1049" s="90"/>
      <c r="V1049" s="90"/>
      <c r="W1049" s="90"/>
      <c r="X1049" s="90"/>
    </row>
    <row r="1050" spans="1:24" ht="12.75">
      <c r="A1050" s="112"/>
      <c r="B1050" s="113"/>
      <c r="C1050" s="114"/>
      <c r="D1050" s="114"/>
      <c r="E1050" s="90"/>
      <c r="F1050" s="115"/>
      <c r="G1050" s="90"/>
      <c r="H1050" s="90"/>
      <c r="I1050" s="90"/>
      <c r="J1050" s="90"/>
      <c r="K1050" s="90"/>
      <c r="L1050" s="90"/>
      <c r="M1050" s="90"/>
      <c r="N1050" s="90"/>
      <c r="O1050" s="90"/>
      <c r="P1050" s="90"/>
      <c r="Q1050" s="90"/>
      <c r="R1050" s="90"/>
      <c r="S1050" s="90"/>
      <c r="T1050" s="90"/>
      <c r="U1050" s="90"/>
      <c r="V1050" s="90"/>
      <c r="W1050" s="90"/>
      <c r="X1050" s="90"/>
    </row>
    <row r="1051" spans="1:24" ht="12.75">
      <c r="A1051" s="112"/>
      <c r="B1051" s="113"/>
      <c r="C1051" s="114"/>
      <c r="D1051" s="114"/>
      <c r="E1051" s="90"/>
      <c r="F1051" s="115"/>
      <c r="G1051" s="90"/>
      <c r="H1051" s="90"/>
      <c r="I1051" s="90"/>
      <c r="J1051" s="90"/>
      <c r="K1051" s="90"/>
      <c r="L1051" s="90"/>
      <c r="M1051" s="90"/>
      <c r="N1051" s="90"/>
      <c r="O1051" s="90"/>
      <c r="P1051" s="90"/>
      <c r="Q1051" s="90"/>
      <c r="R1051" s="90"/>
      <c r="S1051" s="90"/>
      <c r="T1051" s="90"/>
      <c r="U1051" s="90"/>
      <c r="V1051" s="90"/>
      <c r="W1051" s="90"/>
      <c r="X1051" s="90"/>
    </row>
    <row r="1052" spans="1:24" ht="12.75">
      <c r="A1052" s="112"/>
      <c r="B1052" s="113"/>
      <c r="C1052" s="114"/>
      <c r="D1052" s="114"/>
      <c r="E1052" s="90"/>
      <c r="F1052" s="115"/>
      <c r="G1052" s="90"/>
      <c r="H1052" s="90"/>
      <c r="I1052" s="90"/>
      <c r="J1052" s="90"/>
      <c r="K1052" s="90"/>
      <c r="L1052" s="90"/>
      <c r="M1052" s="90"/>
      <c r="N1052" s="90"/>
      <c r="O1052" s="90"/>
      <c r="P1052" s="90"/>
      <c r="Q1052" s="90"/>
      <c r="R1052" s="90"/>
      <c r="S1052" s="90"/>
      <c r="T1052" s="90"/>
      <c r="U1052" s="90"/>
      <c r="V1052" s="90"/>
      <c r="W1052" s="90"/>
      <c r="X1052" s="90"/>
    </row>
    <row r="1053" spans="1:24" ht="12.75">
      <c r="A1053" s="112"/>
      <c r="B1053" s="113"/>
      <c r="C1053" s="114"/>
      <c r="D1053" s="114"/>
      <c r="E1053" s="90"/>
      <c r="F1053" s="115"/>
      <c r="G1053" s="90"/>
      <c r="H1053" s="90"/>
      <c r="I1053" s="90"/>
      <c r="J1053" s="90"/>
      <c r="K1053" s="90"/>
      <c r="L1053" s="90"/>
      <c r="M1053" s="90"/>
      <c r="N1053" s="90"/>
      <c r="O1053" s="90"/>
      <c r="P1053" s="90"/>
      <c r="Q1053" s="90"/>
      <c r="R1053" s="90"/>
      <c r="S1053" s="90"/>
      <c r="T1053" s="90"/>
      <c r="U1053" s="90"/>
      <c r="V1053" s="90"/>
      <c r="W1053" s="90"/>
      <c r="X1053" s="90"/>
    </row>
    <row r="1054" spans="1:24" ht="12.75">
      <c r="A1054" s="112"/>
      <c r="B1054" s="113"/>
      <c r="C1054" s="114"/>
      <c r="D1054" s="114"/>
      <c r="E1054" s="90"/>
      <c r="F1054" s="115"/>
      <c r="G1054" s="90"/>
      <c r="H1054" s="90"/>
      <c r="I1054" s="90"/>
      <c r="J1054" s="90"/>
      <c r="K1054" s="90"/>
      <c r="L1054" s="90"/>
      <c r="M1054" s="90"/>
      <c r="N1054" s="90"/>
      <c r="O1054" s="90"/>
      <c r="P1054" s="90"/>
      <c r="Q1054" s="90"/>
      <c r="R1054" s="90"/>
      <c r="S1054" s="90"/>
      <c r="T1054" s="90"/>
      <c r="U1054" s="90"/>
      <c r="V1054" s="90"/>
      <c r="W1054" s="90"/>
      <c r="X1054" s="90"/>
    </row>
    <row r="1055" spans="1:24" ht="12.75">
      <c r="A1055" s="112"/>
      <c r="B1055" s="113"/>
      <c r="C1055" s="114"/>
      <c r="D1055" s="114"/>
      <c r="E1055" s="90"/>
      <c r="F1055" s="115"/>
      <c r="G1055" s="90"/>
      <c r="H1055" s="90"/>
      <c r="I1055" s="90"/>
      <c r="J1055" s="90"/>
      <c r="K1055" s="90"/>
      <c r="L1055" s="90"/>
      <c r="M1055" s="90"/>
      <c r="N1055" s="90"/>
      <c r="O1055" s="90"/>
      <c r="P1055" s="90"/>
      <c r="Q1055" s="90"/>
      <c r="R1055" s="90"/>
      <c r="S1055" s="90"/>
      <c r="T1055" s="90"/>
      <c r="U1055" s="90"/>
      <c r="V1055" s="90"/>
      <c r="W1055" s="90"/>
      <c r="X1055" s="90"/>
    </row>
    <row r="1056" spans="1:24" ht="12.75">
      <c r="A1056" s="112"/>
      <c r="B1056" s="113"/>
      <c r="C1056" s="114"/>
      <c r="D1056" s="114"/>
      <c r="E1056" s="90"/>
      <c r="F1056" s="115"/>
      <c r="G1056" s="90"/>
      <c r="H1056" s="90"/>
      <c r="I1056" s="90"/>
      <c r="J1056" s="90"/>
      <c r="K1056" s="90"/>
      <c r="L1056" s="90"/>
      <c r="M1056" s="90"/>
      <c r="N1056" s="90"/>
      <c r="O1056" s="90"/>
      <c r="P1056" s="90"/>
      <c r="Q1056" s="90"/>
      <c r="R1056" s="90"/>
      <c r="S1056" s="90"/>
      <c r="T1056" s="90"/>
      <c r="U1056" s="90"/>
      <c r="V1056" s="90"/>
      <c r="W1056" s="90"/>
      <c r="X1056" s="90"/>
    </row>
    <row r="1057" spans="1:24" ht="12.75">
      <c r="A1057" s="112"/>
      <c r="B1057" s="113"/>
      <c r="C1057" s="114"/>
      <c r="D1057" s="114"/>
      <c r="E1057" s="90"/>
      <c r="F1057" s="115"/>
      <c r="G1057" s="90"/>
      <c r="H1057" s="90"/>
      <c r="I1057" s="90"/>
      <c r="J1057" s="90"/>
      <c r="K1057" s="90"/>
      <c r="L1057" s="90"/>
      <c r="M1057" s="90"/>
      <c r="N1057" s="90"/>
      <c r="O1057" s="90"/>
      <c r="P1057" s="90"/>
      <c r="Q1057" s="90"/>
      <c r="R1057" s="90"/>
      <c r="S1057" s="90"/>
      <c r="T1057" s="90"/>
      <c r="U1057" s="90"/>
      <c r="V1057" s="90"/>
      <c r="W1057" s="90"/>
      <c r="X1057" s="90"/>
    </row>
    <row r="1058" spans="1:24" ht="12.75">
      <c r="A1058" s="112"/>
      <c r="B1058" s="113"/>
      <c r="C1058" s="114"/>
      <c r="D1058" s="114"/>
      <c r="E1058" s="90"/>
      <c r="F1058" s="115"/>
      <c r="G1058" s="90"/>
      <c r="H1058" s="90"/>
      <c r="I1058" s="90"/>
      <c r="J1058" s="90"/>
      <c r="K1058" s="90"/>
      <c r="L1058" s="90"/>
      <c r="M1058" s="90"/>
      <c r="N1058" s="90"/>
      <c r="O1058" s="90"/>
      <c r="P1058" s="90"/>
      <c r="Q1058" s="90"/>
      <c r="R1058" s="90"/>
      <c r="S1058" s="90"/>
      <c r="T1058" s="90"/>
      <c r="U1058" s="90"/>
      <c r="V1058" s="90"/>
      <c r="W1058" s="90"/>
      <c r="X1058" s="90"/>
    </row>
    <row r="1059" spans="1:24" ht="12.75">
      <c r="A1059" s="112"/>
      <c r="B1059" s="113"/>
      <c r="C1059" s="114"/>
      <c r="D1059" s="114"/>
      <c r="E1059" s="90"/>
      <c r="F1059" s="115"/>
      <c r="G1059" s="90"/>
      <c r="H1059" s="90"/>
      <c r="I1059" s="90"/>
      <c r="J1059" s="90"/>
      <c r="K1059" s="90"/>
      <c r="L1059" s="90"/>
      <c r="M1059" s="90"/>
      <c r="N1059" s="90"/>
      <c r="O1059" s="90"/>
      <c r="P1059" s="90"/>
      <c r="Q1059" s="90"/>
      <c r="R1059" s="90"/>
      <c r="S1059" s="90"/>
      <c r="T1059" s="90"/>
      <c r="U1059" s="90"/>
      <c r="V1059" s="90"/>
      <c r="W1059" s="90"/>
      <c r="X1059" s="90"/>
    </row>
    <row r="1060" spans="1:24" ht="12.75">
      <c r="A1060" s="112"/>
      <c r="B1060" s="113"/>
      <c r="C1060" s="114"/>
      <c r="D1060" s="114"/>
      <c r="E1060" s="90"/>
      <c r="F1060" s="115"/>
      <c r="G1060" s="90"/>
      <c r="H1060" s="90"/>
      <c r="I1060" s="90"/>
      <c r="J1060" s="90"/>
      <c r="K1060" s="90"/>
      <c r="L1060" s="90"/>
      <c r="M1060" s="90"/>
      <c r="N1060" s="90"/>
      <c r="O1060" s="90"/>
      <c r="P1060" s="90"/>
      <c r="Q1060" s="90"/>
      <c r="R1060" s="90"/>
      <c r="S1060" s="90"/>
      <c r="T1060" s="90"/>
      <c r="U1060" s="90"/>
      <c r="V1060" s="90"/>
      <c r="W1060" s="90"/>
      <c r="X1060" s="90"/>
    </row>
    <row r="1061" spans="1:24" ht="12.75">
      <c r="A1061" s="112"/>
      <c r="B1061" s="113"/>
      <c r="C1061" s="114"/>
      <c r="D1061" s="114"/>
      <c r="E1061" s="90"/>
      <c r="F1061" s="115"/>
      <c r="G1061" s="90"/>
      <c r="H1061" s="90"/>
      <c r="I1061" s="90"/>
      <c r="J1061" s="90"/>
      <c r="K1061" s="90"/>
      <c r="L1061" s="90"/>
      <c r="M1061" s="90"/>
      <c r="N1061" s="90"/>
      <c r="O1061" s="90"/>
      <c r="P1061" s="90"/>
      <c r="Q1061" s="90"/>
      <c r="R1061" s="90"/>
      <c r="S1061" s="90"/>
      <c r="T1061" s="90"/>
      <c r="U1061" s="90"/>
      <c r="V1061" s="90"/>
      <c r="W1061" s="90"/>
      <c r="X1061" s="90"/>
    </row>
    <row r="1062" spans="1:24" ht="12.75">
      <c r="A1062" s="112"/>
      <c r="B1062" s="113"/>
      <c r="C1062" s="114"/>
      <c r="D1062" s="114"/>
      <c r="E1062" s="90"/>
      <c r="F1062" s="115"/>
      <c r="G1062" s="90"/>
      <c r="H1062" s="90"/>
      <c r="I1062" s="90"/>
      <c r="J1062" s="90"/>
      <c r="K1062" s="90"/>
      <c r="L1062" s="90"/>
      <c r="M1062" s="90"/>
      <c r="N1062" s="90"/>
      <c r="O1062" s="90"/>
      <c r="P1062" s="90"/>
      <c r="Q1062" s="90"/>
      <c r="R1062" s="90"/>
      <c r="S1062" s="90"/>
      <c r="T1062" s="90"/>
      <c r="U1062" s="90"/>
      <c r="V1062" s="90"/>
      <c r="W1062" s="90"/>
      <c r="X1062" s="90"/>
    </row>
    <row r="1063" spans="1:24" ht="12.75">
      <c r="A1063" s="112"/>
      <c r="B1063" s="113"/>
      <c r="C1063" s="114"/>
      <c r="D1063" s="114"/>
      <c r="E1063" s="90"/>
      <c r="F1063" s="115"/>
      <c r="G1063" s="90"/>
      <c r="H1063" s="90"/>
      <c r="I1063" s="90"/>
      <c r="J1063" s="90"/>
      <c r="K1063" s="90"/>
      <c r="L1063" s="90"/>
      <c r="M1063" s="90"/>
      <c r="N1063" s="90"/>
      <c r="O1063" s="90"/>
      <c r="P1063" s="90"/>
      <c r="Q1063" s="90"/>
      <c r="R1063" s="90"/>
      <c r="S1063" s="90"/>
      <c r="T1063" s="90"/>
      <c r="U1063" s="90"/>
      <c r="V1063" s="90"/>
      <c r="W1063" s="90"/>
      <c r="X1063" s="90"/>
    </row>
    <row r="1064" spans="1:24" ht="12.75">
      <c r="A1064" s="112"/>
      <c r="B1064" s="113"/>
      <c r="C1064" s="114"/>
      <c r="D1064" s="114"/>
      <c r="E1064" s="90"/>
      <c r="F1064" s="115"/>
      <c r="G1064" s="90"/>
      <c r="H1064" s="90"/>
      <c r="I1064" s="90"/>
      <c r="J1064" s="90"/>
      <c r="K1064" s="90"/>
      <c r="L1064" s="90"/>
      <c r="M1064" s="90"/>
      <c r="N1064" s="90"/>
      <c r="O1064" s="90"/>
      <c r="P1064" s="90"/>
      <c r="Q1064" s="90"/>
      <c r="R1064" s="90"/>
      <c r="S1064" s="90"/>
      <c r="T1064" s="90"/>
      <c r="U1064" s="90"/>
      <c r="V1064" s="90"/>
      <c r="W1064" s="90"/>
      <c r="X1064" s="90"/>
    </row>
    <row r="1065" spans="1:24" ht="12.75">
      <c r="A1065" s="112"/>
      <c r="B1065" s="113"/>
      <c r="C1065" s="114"/>
      <c r="D1065" s="114"/>
      <c r="E1065" s="90"/>
      <c r="F1065" s="115"/>
      <c r="G1065" s="90"/>
      <c r="H1065" s="90"/>
      <c r="I1065" s="90"/>
      <c r="J1065" s="90"/>
      <c r="K1065" s="90"/>
      <c r="L1065" s="90"/>
      <c r="M1065" s="90"/>
      <c r="N1065" s="90"/>
      <c r="O1065" s="90"/>
      <c r="P1065" s="90"/>
      <c r="Q1065" s="90"/>
      <c r="R1065" s="90"/>
      <c r="S1065" s="90"/>
      <c r="T1065" s="90"/>
      <c r="U1065" s="90"/>
      <c r="V1065" s="90"/>
      <c r="W1065" s="90"/>
      <c r="X1065" s="90"/>
    </row>
    <row r="1066" spans="1:24" ht="12.75">
      <c r="A1066" s="112"/>
      <c r="B1066" s="113"/>
      <c r="C1066" s="114"/>
      <c r="D1066" s="114"/>
      <c r="E1066" s="90"/>
      <c r="F1066" s="115"/>
      <c r="G1066" s="90"/>
      <c r="H1066" s="90"/>
      <c r="I1066" s="90"/>
      <c r="J1066" s="90"/>
      <c r="K1066" s="90"/>
      <c r="L1066" s="90"/>
      <c r="M1066" s="90"/>
      <c r="N1066" s="90"/>
      <c r="O1066" s="90"/>
      <c r="P1066" s="90"/>
      <c r="Q1066" s="90"/>
      <c r="R1066" s="90"/>
      <c r="S1066" s="90"/>
      <c r="T1066" s="90"/>
      <c r="U1066" s="90"/>
      <c r="V1066" s="90"/>
      <c r="W1066" s="90"/>
      <c r="X1066" s="90"/>
    </row>
    <row r="1067" spans="1:24" ht="12.75">
      <c r="A1067" s="112"/>
      <c r="B1067" s="113"/>
      <c r="C1067" s="114"/>
      <c r="D1067" s="114"/>
      <c r="E1067" s="90"/>
      <c r="F1067" s="115"/>
      <c r="G1067" s="90"/>
      <c r="H1067" s="90"/>
      <c r="I1067" s="90"/>
      <c r="J1067" s="90"/>
      <c r="K1067" s="90"/>
      <c r="L1067" s="90"/>
      <c r="M1067" s="90"/>
      <c r="N1067" s="90"/>
      <c r="O1067" s="90"/>
      <c r="P1067" s="90"/>
      <c r="Q1067" s="90"/>
      <c r="R1067" s="90"/>
      <c r="S1067" s="90"/>
      <c r="T1067" s="90"/>
      <c r="U1067" s="90"/>
      <c r="V1067" s="90"/>
      <c r="W1067" s="90"/>
      <c r="X1067" s="90"/>
    </row>
    <row r="1068" spans="1:24" ht="12.75">
      <c r="A1068" s="112"/>
      <c r="B1068" s="113"/>
      <c r="C1068" s="114"/>
      <c r="D1068" s="114"/>
      <c r="E1068" s="90"/>
      <c r="F1068" s="115"/>
      <c r="G1068" s="90"/>
      <c r="H1068" s="90"/>
      <c r="I1068" s="90"/>
      <c r="J1068" s="90"/>
      <c r="K1068" s="90"/>
      <c r="L1068" s="90"/>
      <c r="M1068" s="90"/>
      <c r="N1068" s="90"/>
      <c r="O1068" s="90"/>
      <c r="P1068" s="90"/>
      <c r="Q1068" s="90"/>
      <c r="R1068" s="90"/>
      <c r="S1068" s="90"/>
      <c r="T1068" s="90"/>
      <c r="U1068" s="90"/>
      <c r="V1068" s="90"/>
      <c r="W1068" s="90"/>
      <c r="X1068" s="90"/>
    </row>
    <row r="1069" spans="1:24" ht="12.75">
      <c r="A1069" s="112"/>
      <c r="B1069" s="113"/>
      <c r="C1069" s="114"/>
      <c r="D1069" s="114"/>
      <c r="E1069" s="90"/>
      <c r="F1069" s="115"/>
      <c r="G1069" s="90"/>
      <c r="H1069" s="90"/>
      <c r="I1069" s="90"/>
      <c r="J1069" s="90"/>
      <c r="K1069" s="90"/>
      <c r="L1069" s="90"/>
      <c r="M1069" s="90"/>
      <c r="N1069" s="90"/>
      <c r="O1069" s="90"/>
      <c r="P1069" s="90"/>
      <c r="Q1069" s="90"/>
      <c r="R1069" s="90"/>
      <c r="S1069" s="90"/>
      <c r="T1069" s="90"/>
      <c r="U1069" s="90"/>
      <c r="V1069" s="90"/>
      <c r="W1069" s="90"/>
      <c r="X1069" s="90"/>
    </row>
    <row r="1070" spans="1:24" ht="12.75">
      <c r="A1070" s="112"/>
      <c r="B1070" s="113"/>
      <c r="C1070" s="114"/>
      <c r="D1070" s="114"/>
      <c r="E1070" s="90"/>
      <c r="F1070" s="115"/>
      <c r="G1070" s="90"/>
      <c r="H1070" s="90"/>
      <c r="I1070" s="90"/>
      <c r="J1070" s="90"/>
      <c r="K1070" s="90"/>
      <c r="L1070" s="90"/>
      <c r="M1070" s="90"/>
      <c r="N1070" s="90"/>
      <c r="O1070" s="90"/>
      <c r="P1070" s="90"/>
      <c r="Q1070" s="90"/>
      <c r="R1070" s="90"/>
      <c r="S1070" s="90"/>
      <c r="T1070" s="90"/>
      <c r="U1070" s="90"/>
      <c r="V1070" s="90"/>
      <c r="W1070" s="90"/>
      <c r="X1070" s="90"/>
    </row>
    <row r="1071" spans="1:24" ht="12.75">
      <c r="A1071" s="112"/>
      <c r="B1071" s="113"/>
      <c r="C1071" s="114"/>
      <c r="D1071" s="114"/>
      <c r="E1071" s="90"/>
      <c r="F1071" s="115"/>
      <c r="G1071" s="90"/>
      <c r="H1071" s="90"/>
      <c r="I1071" s="90"/>
      <c r="J1071" s="90"/>
      <c r="K1071" s="90"/>
      <c r="L1071" s="90"/>
      <c r="M1071" s="90"/>
      <c r="N1071" s="90"/>
      <c r="O1071" s="90"/>
      <c r="P1071" s="90"/>
      <c r="Q1071" s="90"/>
      <c r="R1071" s="90"/>
      <c r="S1071" s="90"/>
      <c r="T1071" s="90"/>
      <c r="U1071" s="90"/>
      <c r="V1071" s="90"/>
      <c r="W1071" s="90"/>
      <c r="X1071" s="90"/>
    </row>
    <row r="1072" spans="1:24" ht="12.75">
      <c r="A1072" s="112"/>
      <c r="B1072" s="113"/>
      <c r="C1072" s="114"/>
      <c r="D1072" s="114"/>
      <c r="E1072" s="90"/>
      <c r="F1072" s="115"/>
      <c r="G1072" s="90"/>
      <c r="H1072" s="90"/>
      <c r="I1072" s="90"/>
      <c r="J1072" s="90"/>
      <c r="K1072" s="90"/>
      <c r="L1072" s="90"/>
      <c r="M1072" s="90"/>
      <c r="N1072" s="90"/>
      <c r="O1072" s="90"/>
      <c r="P1072" s="90"/>
      <c r="Q1072" s="90"/>
      <c r="R1072" s="90"/>
      <c r="S1072" s="90"/>
      <c r="T1072" s="90"/>
      <c r="U1072" s="90"/>
      <c r="V1072" s="90"/>
      <c r="W1072" s="90"/>
      <c r="X1072" s="90"/>
    </row>
    <row r="1073" spans="1:24" ht="12.75">
      <c r="A1073" s="112"/>
      <c r="B1073" s="113"/>
      <c r="C1073" s="114"/>
      <c r="D1073" s="114"/>
      <c r="E1073" s="90"/>
      <c r="F1073" s="115"/>
      <c r="G1073" s="90"/>
      <c r="H1073" s="90"/>
      <c r="I1073" s="90"/>
      <c r="J1073" s="90"/>
      <c r="K1073" s="90"/>
      <c r="L1073" s="90"/>
      <c r="M1073" s="90"/>
      <c r="N1073" s="90"/>
      <c r="O1073" s="90"/>
      <c r="P1073" s="90"/>
      <c r="Q1073" s="90"/>
      <c r="R1073" s="90"/>
      <c r="S1073" s="90"/>
      <c r="T1073" s="90"/>
      <c r="U1073" s="90"/>
      <c r="V1073" s="90"/>
      <c r="W1073" s="90"/>
      <c r="X1073" s="90"/>
    </row>
    <row r="1074" spans="1:24" ht="12.75">
      <c r="A1074" s="112"/>
      <c r="B1074" s="113"/>
      <c r="C1074" s="114"/>
      <c r="D1074" s="114"/>
      <c r="E1074" s="90"/>
      <c r="F1074" s="115"/>
      <c r="G1074" s="90"/>
      <c r="H1074" s="90"/>
      <c r="I1074" s="90"/>
      <c r="J1074" s="90"/>
      <c r="K1074" s="90"/>
      <c r="L1074" s="90"/>
      <c r="M1074" s="90"/>
      <c r="N1074" s="90"/>
      <c r="O1074" s="90"/>
      <c r="P1074" s="90"/>
      <c r="Q1074" s="90"/>
      <c r="R1074" s="90"/>
      <c r="S1074" s="90"/>
      <c r="T1074" s="90"/>
      <c r="U1074" s="90"/>
      <c r="V1074" s="90"/>
      <c r="W1074" s="90"/>
      <c r="X1074" s="90"/>
    </row>
    <row r="1075" spans="1:24" ht="12.75">
      <c r="A1075" s="112"/>
      <c r="B1075" s="113"/>
      <c r="C1075" s="114"/>
      <c r="D1075" s="114"/>
      <c r="E1075" s="90"/>
      <c r="F1075" s="115"/>
      <c r="G1075" s="90"/>
      <c r="H1075" s="90"/>
      <c r="I1075" s="90"/>
      <c r="J1075" s="90"/>
      <c r="K1075" s="90"/>
      <c r="L1075" s="90"/>
      <c r="M1075" s="90"/>
      <c r="N1075" s="90"/>
      <c r="O1075" s="90"/>
      <c r="P1075" s="90"/>
      <c r="Q1075" s="90"/>
      <c r="R1075" s="90"/>
      <c r="S1075" s="90"/>
      <c r="T1075" s="90"/>
      <c r="U1075" s="90"/>
      <c r="V1075" s="90"/>
      <c r="W1075" s="90"/>
      <c r="X1075" s="90"/>
    </row>
    <row r="1076" spans="1:24" ht="12.75">
      <c r="A1076" s="112"/>
      <c r="B1076" s="113"/>
      <c r="C1076" s="114"/>
      <c r="D1076" s="114"/>
      <c r="E1076" s="90"/>
      <c r="F1076" s="115"/>
      <c r="G1076" s="90"/>
      <c r="H1076" s="90"/>
      <c r="I1076" s="90"/>
      <c r="J1076" s="90"/>
      <c r="K1076" s="90"/>
      <c r="L1076" s="90"/>
      <c r="M1076" s="90"/>
      <c r="N1076" s="90"/>
      <c r="O1076" s="90"/>
      <c r="P1076" s="90"/>
      <c r="Q1076" s="90"/>
      <c r="R1076" s="90"/>
      <c r="S1076" s="90"/>
      <c r="T1076" s="90"/>
      <c r="U1076" s="90"/>
      <c r="V1076" s="90"/>
      <c r="W1076" s="90"/>
      <c r="X1076" s="90"/>
    </row>
    <row r="1077" spans="1:24" ht="12.75">
      <c r="A1077" s="112"/>
      <c r="B1077" s="113"/>
      <c r="C1077" s="114"/>
      <c r="D1077" s="114"/>
      <c r="E1077" s="90"/>
      <c r="F1077" s="115"/>
      <c r="G1077" s="90"/>
      <c r="H1077" s="90"/>
      <c r="I1077" s="90"/>
      <c r="J1077" s="90"/>
      <c r="K1077" s="90"/>
      <c r="L1077" s="90"/>
      <c r="M1077" s="90"/>
      <c r="N1077" s="90"/>
      <c r="O1077" s="90"/>
      <c r="P1077" s="90"/>
      <c r="Q1077" s="90"/>
      <c r="R1077" s="90"/>
      <c r="S1077" s="90"/>
      <c r="T1077" s="90"/>
      <c r="U1077" s="90"/>
      <c r="V1077" s="90"/>
      <c r="W1077" s="90"/>
      <c r="X1077" s="90"/>
    </row>
    <row r="1078" spans="1:24" ht="12.75">
      <c r="A1078" s="112"/>
      <c r="B1078" s="113"/>
      <c r="C1078" s="114"/>
      <c r="D1078" s="114"/>
      <c r="E1078" s="90"/>
      <c r="F1078" s="115"/>
      <c r="G1078" s="90"/>
      <c r="H1078" s="90"/>
      <c r="I1078" s="90"/>
      <c r="J1078" s="90"/>
      <c r="K1078" s="90"/>
      <c r="L1078" s="90"/>
      <c r="M1078" s="90"/>
      <c r="N1078" s="90"/>
      <c r="O1078" s="90"/>
      <c r="P1078" s="90"/>
      <c r="Q1078" s="90"/>
      <c r="R1078" s="90"/>
      <c r="S1078" s="90"/>
      <c r="T1078" s="90"/>
      <c r="U1078" s="90"/>
      <c r="V1078" s="90"/>
      <c r="W1078" s="90"/>
      <c r="X1078" s="90"/>
    </row>
    <row r="1079" spans="1:24" ht="12.75">
      <c r="A1079" s="112"/>
      <c r="B1079" s="113"/>
      <c r="C1079" s="114"/>
      <c r="D1079" s="114"/>
      <c r="E1079" s="90"/>
      <c r="F1079" s="115"/>
      <c r="G1079" s="90"/>
      <c r="H1079" s="90"/>
      <c r="I1079" s="90"/>
      <c r="J1079" s="90"/>
      <c r="K1079" s="90"/>
      <c r="L1079" s="90"/>
      <c r="M1079" s="90"/>
      <c r="N1079" s="90"/>
      <c r="O1079" s="90"/>
      <c r="P1079" s="90"/>
      <c r="Q1079" s="90"/>
      <c r="R1079" s="90"/>
      <c r="S1079" s="90"/>
      <c r="T1079" s="90"/>
      <c r="U1079" s="90"/>
      <c r="V1079" s="90"/>
      <c r="W1079" s="90"/>
      <c r="X1079" s="90"/>
    </row>
    <row r="1080" spans="1:24" ht="12.75">
      <c r="A1080" s="112"/>
      <c r="B1080" s="113"/>
      <c r="C1080" s="114"/>
      <c r="D1080" s="114"/>
      <c r="E1080" s="90"/>
      <c r="F1080" s="115"/>
      <c r="G1080" s="90"/>
      <c r="H1080" s="90"/>
      <c r="I1080" s="90"/>
      <c r="J1080" s="90"/>
      <c r="K1080" s="90"/>
      <c r="L1080" s="90"/>
      <c r="M1080" s="90"/>
      <c r="N1080" s="90"/>
      <c r="O1080" s="90"/>
      <c r="P1080" s="90"/>
      <c r="Q1080" s="90"/>
      <c r="R1080" s="90"/>
      <c r="S1080" s="90"/>
      <c r="T1080" s="90"/>
      <c r="U1080" s="90"/>
      <c r="V1080" s="90"/>
      <c r="W1080" s="90"/>
      <c r="X1080" s="90"/>
    </row>
    <row r="1081" spans="1:24" ht="12.75">
      <c r="A1081" s="112"/>
      <c r="B1081" s="113"/>
      <c r="C1081" s="114"/>
      <c r="D1081" s="114"/>
      <c r="E1081" s="90"/>
      <c r="F1081" s="115"/>
      <c r="G1081" s="90"/>
      <c r="H1081" s="90"/>
      <c r="I1081" s="90"/>
      <c r="J1081" s="90"/>
      <c r="K1081" s="90"/>
      <c r="L1081" s="90"/>
      <c r="M1081" s="90"/>
      <c r="N1081" s="90"/>
      <c r="O1081" s="90"/>
      <c r="P1081" s="90"/>
      <c r="Q1081" s="90"/>
      <c r="R1081" s="90"/>
      <c r="S1081" s="90"/>
      <c r="T1081" s="90"/>
      <c r="U1081" s="90"/>
      <c r="V1081" s="90"/>
      <c r="W1081" s="90"/>
      <c r="X1081" s="90"/>
    </row>
    <row r="1082" spans="1:24" ht="12.75">
      <c r="A1082" s="112"/>
      <c r="B1082" s="113"/>
      <c r="C1082" s="114"/>
      <c r="D1082" s="114"/>
      <c r="E1082" s="90"/>
      <c r="F1082" s="115"/>
      <c r="G1082" s="90"/>
      <c r="H1082" s="90"/>
      <c r="I1082" s="90"/>
      <c r="J1082" s="90"/>
      <c r="K1082" s="90"/>
      <c r="L1082" s="90"/>
      <c r="M1082" s="90"/>
      <c r="N1082" s="90"/>
      <c r="O1082" s="90"/>
      <c r="P1082" s="90"/>
      <c r="Q1082" s="90"/>
      <c r="R1082" s="90"/>
      <c r="S1082" s="90"/>
      <c r="T1082" s="90"/>
      <c r="U1082" s="90"/>
      <c r="V1082" s="90"/>
      <c r="W1082" s="90"/>
      <c r="X1082" s="90"/>
    </row>
    <row r="1083" spans="1:24" ht="12.75">
      <c r="A1083" s="112"/>
      <c r="B1083" s="113"/>
      <c r="C1083" s="114"/>
      <c r="D1083" s="114"/>
      <c r="E1083" s="90"/>
      <c r="F1083" s="115"/>
      <c r="G1083" s="90"/>
      <c r="H1083" s="90"/>
      <c r="I1083" s="90"/>
      <c r="J1083" s="90"/>
      <c r="K1083" s="90"/>
      <c r="L1083" s="90"/>
      <c r="M1083" s="90"/>
      <c r="N1083" s="90"/>
      <c r="O1083" s="90"/>
      <c r="P1083" s="90"/>
      <c r="Q1083" s="90"/>
      <c r="R1083" s="90"/>
      <c r="S1083" s="90"/>
      <c r="T1083" s="90"/>
      <c r="U1083" s="90"/>
      <c r="V1083" s="90"/>
      <c r="W1083" s="90"/>
      <c r="X1083" s="90"/>
    </row>
    <row r="1084" spans="1:24" ht="12.75">
      <c r="A1084" s="112"/>
      <c r="B1084" s="113"/>
      <c r="C1084" s="114"/>
      <c r="D1084" s="114"/>
      <c r="E1084" s="90"/>
      <c r="F1084" s="115"/>
      <c r="G1084" s="90"/>
      <c r="H1084" s="90"/>
      <c r="I1084" s="90"/>
      <c r="J1084" s="90"/>
      <c r="K1084" s="90"/>
      <c r="L1084" s="90"/>
      <c r="M1084" s="90"/>
      <c r="N1084" s="90"/>
      <c r="O1084" s="90"/>
      <c r="P1084" s="90"/>
      <c r="Q1084" s="90"/>
      <c r="R1084" s="90"/>
      <c r="S1084" s="90"/>
      <c r="T1084" s="90"/>
      <c r="U1084" s="90"/>
      <c r="V1084" s="90"/>
      <c r="W1084" s="90"/>
      <c r="X1084" s="90"/>
    </row>
    <row r="1085" spans="1:24" ht="12.75">
      <c r="A1085" s="112"/>
      <c r="B1085" s="113"/>
      <c r="C1085" s="114"/>
      <c r="D1085" s="114"/>
      <c r="E1085" s="90"/>
      <c r="F1085" s="115"/>
      <c r="G1085" s="90"/>
      <c r="H1085" s="90"/>
      <c r="I1085" s="90"/>
      <c r="J1085" s="90"/>
      <c r="K1085" s="90"/>
      <c r="L1085" s="90"/>
      <c r="M1085" s="90"/>
      <c r="N1085" s="90"/>
      <c r="O1085" s="90"/>
      <c r="P1085" s="90"/>
      <c r="Q1085" s="90"/>
      <c r="R1085" s="90"/>
      <c r="S1085" s="90"/>
      <c r="T1085" s="90"/>
      <c r="U1085" s="90"/>
      <c r="V1085" s="90"/>
      <c r="W1085" s="90"/>
      <c r="X1085" s="90"/>
    </row>
    <row r="1086" spans="1:24" ht="12.75">
      <c r="A1086" s="112"/>
      <c r="B1086" s="113"/>
      <c r="C1086" s="114"/>
      <c r="D1086" s="114"/>
      <c r="E1086" s="90"/>
      <c r="F1086" s="115"/>
      <c r="G1086" s="90"/>
      <c r="H1086" s="90"/>
      <c r="I1086" s="90"/>
      <c r="J1086" s="90"/>
      <c r="K1086" s="90"/>
      <c r="L1086" s="90"/>
      <c r="M1086" s="90"/>
      <c r="N1086" s="90"/>
      <c r="O1086" s="90"/>
      <c r="P1086" s="90"/>
      <c r="Q1086" s="90"/>
      <c r="R1086" s="90"/>
      <c r="S1086" s="90"/>
      <c r="T1086" s="90"/>
      <c r="U1086" s="90"/>
      <c r="V1086" s="90"/>
      <c r="W1086" s="90"/>
      <c r="X1086" s="90"/>
    </row>
    <row r="1087" spans="1:24" ht="12.75">
      <c r="A1087" s="112"/>
      <c r="B1087" s="113"/>
      <c r="C1087" s="114"/>
      <c r="D1087" s="114"/>
      <c r="E1087" s="90"/>
      <c r="F1087" s="115"/>
      <c r="G1087" s="90"/>
      <c r="H1087" s="90"/>
      <c r="I1087" s="90"/>
      <c r="J1087" s="90"/>
      <c r="K1087" s="90"/>
      <c r="L1087" s="90"/>
      <c r="M1087" s="90"/>
      <c r="N1087" s="90"/>
      <c r="O1087" s="90"/>
      <c r="P1087" s="90"/>
      <c r="Q1087" s="90"/>
      <c r="R1087" s="90"/>
      <c r="S1087" s="90"/>
      <c r="T1087" s="90"/>
      <c r="U1087" s="90"/>
      <c r="V1087" s="90"/>
      <c r="W1087" s="90"/>
      <c r="X1087" s="90"/>
    </row>
    <row r="1088" spans="1:24" ht="12.75">
      <c r="A1088" s="112"/>
      <c r="B1088" s="113"/>
      <c r="C1088" s="114"/>
      <c r="D1088" s="114"/>
      <c r="E1088" s="90"/>
      <c r="F1088" s="115"/>
      <c r="G1088" s="90"/>
      <c r="H1088" s="90"/>
      <c r="I1088" s="90"/>
      <c r="J1088" s="90"/>
      <c r="K1088" s="90"/>
      <c r="L1088" s="90"/>
      <c r="M1088" s="90"/>
      <c r="N1088" s="90"/>
      <c r="O1088" s="90"/>
      <c r="P1088" s="90"/>
      <c r="Q1088" s="90"/>
      <c r="R1088" s="90"/>
      <c r="S1088" s="90"/>
      <c r="T1088" s="90"/>
      <c r="U1088" s="90"/>
      <c r="V1088" s="90"/>
      <c r="W1088" s="90"/>
      <c r="X1088" s="90"/>
    </row>
    <row r="1089" spans="1:24" ht="12.75">
      <c r="A1089" s="112"/>
      <c r="B1089" s="113"/>
      <c r="C1089" s="114"/>
      <c r="D1089" s="114"/>
      <c r="E1089" s="90"/>
      <c r="F1089" s="115"/>
      <c r="G1089" s="90"/>
      <c r="H1089" s="90"/>
      <c r="I1089" s="90"/>
      <c r="J1089" s="90"/>
      <c r="K1089" s="90"/>
      <c r="L1089" s="90"/>
      <c r="M1089" s="90"/>
      <c r="N1089" s="90"/>
      <c r="O1089" s="90"/>
      <c r="P1089" s="90"/>
      <c r="Q1089" s="90"/>
      <c r="R1089" s="90"/>
      <c r="S1089" s="90"/>
      <c r="T1089" s="90"/>
      <c r="U1089" s="90"/>
      <c r="V1089" s="90"/>
      <c r="W1089" s="90"/>
      <c r="X1089" s="90"/>
    </row>
    <row r="1090" spans="1:24" ht="12.75">
      <c r="A1090" s="112"/>
      <c r="B1090" s="113"/>
      <c r="C1090" s="114"/>
      <c r="D1090" s="114"/>
      <c r="E1090" s="90"/>
      <c r="F1090" s="115"/>
      <c r="G1090" s="90"/>
      <c r="H1090" s="90"/>
      <c r="I1090" s="90"/>
      <c r="J1090" s="90"/>
      <c r="K1090" s="90"/>
      <c r="L1090" s="90"/>
      <c r="M1090" s="90"/>
      <c r="N1090" s="90"/>
      <c r="O1090" s="90"/>
      <c r="P1090" s="90"/>
      <c r="Q1090" s="90"/>
      <c r="R1090" s="90"/>
      <c r="S1090" s="90"/>
      <c r="T1090" s="90"/>
      <c r="U1090" s="90"/>
      <c r="V1090" s="90"/>
      <c r="W1090" s="90"/>
      <c r="X1090" s="90"/>
    </row>
    <row r="1091" spans="1:24" ht="12.75">
      <c r="A1091" s="112"/>
      <c r="B1091" s="113"/>
      <c r="C1091" s="114"/>
      <c r="D1091" s="114"/>
      <c r="E1091" s="90"/>
      <c r="F1091" s="115"/>
      <c r="G1091" s="90"/>
      <c r="H1091" s="90"/>
      <c r="I1091" s="90"/>
      <c r="J1091" s="90"/>
      <c r="K1091" s="90"/>
      <c r="L1091" s="90"/>
      <c r="M1091" s="90"/>
      <c r="N1091" s="90"/>
      <c r="O1091" s="90"/>
      <c r="P1091" s="90"/>
      <c r="Q1091" s="90"/>
      <c r="R1091" s="90"/>
      <c r="S1091" s="90"/>
      <c r="T1091" s="90"/>
      <c r="U1091" s="90"/>
      <c r="V1091" s="90"/>
      <c r="W1091" s="90"/>
      <c r="X1091" s="90"/>
    </row>
    <row r="1092" spans="1:24" ht="12.75">
      <c r="A1092" s="112"/>
      <c r="B1092" s="113"/>
      <c r="C1092" s="114"/>
      <c r="D1092" s="114"/>
      <c r="E1092" s="90"/>
      <c r="F1092" s="115"/>
      <c r="G1092" s="90"/>
      <c r="H1092" s="90"/>
      <c r="I1092" s="90"/>
      <c r="J1092" s="90"/>
      <c r="K1092" s="90"/>
      <c r="L1092" s="90"/>
      <c r="M1092" s="90"/>
      <c r="N1092" s="90"/>
      <c r="O1092" s="90"/>
      <c r="P1092" s="90"/>
      <c r="Q1092" s="90"/>
      <c r="R1092" s="90"/>
      <c r="S1092" s="90"/>
      <c r="T1092" s="90"/>
      <c r="U1092" s="90"/>
      <c r="V1092" s="90"/>
      <c r="W1092" s="90"/>
      <c r="X1092" s="90"/>
    </row>
    <row r="1093" spans="1:24" ht="12.75">
      <c r="A1093" s="112"/>
      <c r="B1093" s="113"/>
      <c r="C1093" s="114"/>
      <c r="D1093" s="114"/>
      <c r="E1093" s="90"/>
      <c r="F1093" s="115"/>
      <c r="G1093" s="90"/>
      <c r="H1093" s="90"/>
      <c r="I1093" s="90"/>
      <c r="J1093" s="90"/>
      <c r="K1093" s="90"/>
      <c r="L1093" s="90"/>
      <c r="M1093" s="90"/>
      <c r="N1093" s="90"/>
      <c r="O1093" s="90"/>
      <c r="P1093" s="90"/>
      <c r="Q1093" s="90"/>
      <c r="R1093" s="90"/>
      <c r="S1093" s="90"/>
      <c r="T1093" s="90"/>
      <c r="U1093" s="90"/>
      <c r="V1093" s="90"/>
      <c r="W1093" s="90"/>
      <c r="X1093" s="90"/>
    </row>
    <row r="1094" spans="1:24" ht="12.75">
      <c r="A1094" s="112"/>
      <c r="B1094" s="113"/>
      <c r="C1094" s="114"/>
      <c r="D1094" s="114"/>
      <c r="E1094" s="90"/>
      <c r="F1094" s="115"/>
      <c r="G1094" s="90"/>
      <c r="H1094" s="90"/>
      <c r="I1094" s="90"/>
      <c r="J1094" s="90"/>
      <c r="K1094" s="90"/>
      <c r="L1094" s="90"/>
      <c r="M1094" s="90"/>
      <c r="N1094" s="90"/>
      <c r="O1094" s="90"/>
      <c r="P1094" s="90"/>
      <c r="Q1094" s="90"/>
      <c r="R1094" s="90"/>
      <c r="S1094" s="90"/>
      <c r="T1094" s="90"/>
      <c r="U1094" s="90"/>
      <c r="V1094" s="90"/>
      <c r="W1094" s="90"/>
      <c r="X1094" s="90"/>
    </row>
    <row r="1095" spans="1:24" ht="12.75">
      <c r="A1095" s="112"/>
      <c r="B1095" s="113"/>
      <c r="C1095" s="114"/>
      <c r="D1095" s="114"/>
      <c r="E1095" s="90"/>
      <c r="F1095" s="115"/>
      <c r="G1095" s="90"/>
      <c r="H1095" s="90"/>
      <c r="I1095" s="90"/>
      <c r="J1095" s="90"/>
      <c r="K1095" s="90"/>
      <c r="L1095" s="90"/>
      <c r="M1095" s="90"/>
      <c r="N1095" s="90"/>
      <c r="O1095" s="90"/>
      <c r="P1095" s="90"/>
      <c r="Q1095" s="90"/>
      <c r="R1095" s="90"/>
      <c r="S1095" s="90"/>
      <c r="T1095" s="90"/>
      <c r="U1095" s="90"/>
      <c r="V1095" s="90"/>
      <c r="W1095" s="90"/>
      <c r="X1095" s="90"/>
    </row>
    <row r="1096" spans="1:24" ht="12.75">
      <c r="A1096" s="112"/>
      <c r="B1096" s="113"/>
      <c r="C1096" s="114"/>
      <c r="D1096" s="114"/>
      <c r="E1096" s="90"/>
      <c r="F1096" s="115"/>
      <c r="G1096" s="90"/>
      <c r="H1096" s="90"/>
      <c r="I1096" s="90"/>
      <c r="J1096" s="90"/>
      <c r="K1096" s="90"/>
      <c r="L1096" s="90"/>
      <c r="M1096" s="90"/>
      <c r="N1096" s="90"/>
      <c r="O1096" s="90"/>
      <c r="P1096" s="90"/>
      <c r="Q1096" s="90"/>
      <c r="R1096" s="90"/>
      <c r="S1096" s="90"/>
      <c r="T1096" s="90"/>
      <c r="U1096" s="90"/>
      <c r="V1096" s="90"/>
      <c r="W1096" s="90"/>
      <c r="X1096" s="90"/>
    </row>
    <row r="1097" spans="1:24" ht="12.75">
      <c r="A1097" s="112"/>
      <c r="B1097" s="113"/>
      <c r="C1097" s="114"/>
      <c r="D1097" s="114"/>
      <c r="E1097" s="90"/>
      <c r="F1097" s="115"/>
      <c r="G1097" s="90"/>
      <c r="H1097" s="90"/>
      <c r="I1097" s="90"/>
      <c r="J1097" s="90"/>
      <c r="K1097" s="90"/>
      <c r="L1097" s="90"/>
      <c r="M1097" s="90"/>
      <c r="N1097" s="90"/>
      <c r="O1097" s="90"/>
      <c r="P1097" s="90"/>
      <c r="Q1097" s="90"/>
      <c r="R1097" s="90"/>
      <c r="S1097" s="90"/>
      <c r="T1097" s="90"/>
      <c r="U1097" s="90"/>
      <c r="V1097" s="90"/>
      <c r="W1097" s="90"/>
      <c r="X1097" s="90"/>
    </row>
    <row r="1098" spans="1:24" ht="12.75">
      <c r="A1098" s="112"/>
      <c r="B1098" s="113"/>
      <c r="C1098" s="114"/>
      <c r="D1098" s="114"/>
      <c r="E1098" s="90"/>
      <c r="F1098" s="115"/>
      <c r="G1098" s="90"/>
      <c r="H1098" s="90"/>
      <c r="I1098" s="90"/>
      <c r="J1098" s="90"/>
      <c r="K1098" s="90"/>
      <c r="L1098" s="90"/>
      <c r="M1098" s="90"/>
      <c r="N1098" s="90"/>
      <c r="O1098" s="90"/>
      <c r="P1098" s="90"/>
      <c r="Q1098" s="90"/>
      <c r="R1098" s="90"/>
      <c r="S1098" s="90"/>
      <c r="T1098" s="90"/>
      <c r="U1098" s="90"/>
      <c r="V1098" s="90"/>
      <c r="W1098" s="90"/>
      <c r="X1098" s="90"/>
    </row>
    <row r="1099" spans="1:24" ht="12.75">
      <c r="A1099" s="112"/>
      <c r="B1099" s="113"/>
      <c r="C1099" s="114"/>
      <c r="D1099" s="114"/>
      <c r="E1099" s="90"/>
      <c r="F1099" s="115"/>
      <c r="G1099" s="90"/>
      <c r="H1099" s="90"/>
      <c r="I1099" s="90"/>
      <c r="J1099" s="90"/>
      <c r="K1099" s="90"/>
      <c r="L1099" s="90"/>
      <c r="M1099" s="90"/>
      <c r="N1099" s="90"/>
      <c r="O1099" s="90"/>
      <c r="P1099" s="90"/>
      <c r="Q1099" s="90"/>
      <c r="R1099" s="90"/>
      <c r="S1099" s="90"/>
      <c r="T1099" s="90"/>
      <c r="U1099" s="90"/>
      <c r="V1099" s="90"/>
      <c r="W1099" s="90"/>
      <c r="X1099" s="90"/>
    </row>
    <row r="1100" spans="1:24" ht="12.75">
      <c r="A1100" s="112"/>
      <c r="B1100" s="113"/>
      <c r="C1100" s="114"/>
      <c r="D1100" s="114"/>
      <c r="E1100" s="90"/>
      <c r="F1100" s="115"/>
      <c r="G1100" s="90"/>
      <c r="H1100" s="90"/>
      <c r="I1100" s="90"/>
      <c r="J1100" s="90"/>
      <c r="K1100" s="90"/>
      <c r="L1100" s="90"/>
      <c r="M1100" s="90"/>
      <c r="N1100" s="90"/>
      <c r="O1100" s="90"/>
      <c r="P1100" s="90"/>
      <c r="Q1100" s="90"/>
      <c r="R1100" s="90"/>
      <c r="S1100" s="90"/>
      <c r="T1100" s="90"/>
      <c r="U1100" s="90"/>
      <c r="V1100" s="90"/>
      <c r="W1100" s="90"/>
      <c r="X1100" s="90"/>
    </row>
    <row r="1101" spans="1:24" ht="12.75">
      <c r="A1101" s="112"/>
      <c r="B1101" s="113"/>
      <c r="C1101" s="114"/>
      <c r="D1101" s="114"/>
      <c r="E1101" s="90"/>
      <c r="F1101" s="115"/>
      <c r="G1101" s="90"/>
      <c r="H1101" s="90"/>
      <c r="I1101" s="90"/>
      <c r="J1101" s="90"/>
      <c r="K1101" s="90"/>
      <c r="L1101" s="90"/>
      <c r="M1101" s="90"/>
      <c r="N1101" s="90"/>
      <c r="O1101" s="90"/>
      <c r="P1101" s="90"/>
      <c r="Q1101" s="90"/>
      <c r="R1101" s="90"/>
      <c r="S1101" s="90"/>
      <c r="T1101" s="90"/>
      <c r="U1101" s="90"/>
      <c r="V1101" s="90"/>
      <c r="W1101" s="90"/>
      <c r="X1101" s="90"/>
    </row>
    <row r="1102" spans="1:24" ht="12.75">
      <c r="A1102" s="112"/>
      <c r="B1102" s="113"/>
      <c r="C1102" s="114"/>
      <c r="D1102" s="114"/>
      <c r="E1102" s="90"/>
      <c r="F1102" s="115"/>
      <c r="G1102" s="90"/>
      <c r="H1102" s="90"/>
      <c r="I1102" s="90"/>
      <c r="J1102" s="90"/>
      <c r="K1102" s="90"/>
      <c r="L1102" s="90"/>
      <c r="M1102" s="90"/>
      <c r="N1102" s="90"/>
      <c r="O1102" s="90"/>
      <c r="P1102" s="90"/>
      <c r="Q1102" s="90"/>
      <c r="R1102" s="90"/>
      <c r="S1102" s="90"/>
      <c r="T1102" s="90"/>
      <c r="U1102" s="90"/>
      <c r="V1102" s="90"/>
      <c r="W1102" s="90"/>
      <c r="X1102" s="90"/>
    </row>
    <row r="1103" spans="1:24" ht="12.75">
      <c r="A1103" s="112"/>
      <c r="B1103" s="113"/>
      <c r="C1103" s="114"/>
      <c r="D1103" s="114"/>
      <c r="E1103" s="90"/>
      <c r="F1103" s="115"/>
      <c r="G1103" s="90"/>
      <c r="H1103" s="90"/>
      <c r="I1103" s="90"/>
      <c r="J1103" s="90"/>
      <c r="K1103" s="90"/>
      <c r="L1103" s="90"/>
      <c r="M1103" s="90"/>
      <c r="N1103" s="90"/>
      <c r="O1103" s="90"/>
      <c r="P1103" s="90"/>
      <c r="Q1103" s="90"/>
      <c r="R1103" s="90"/>
      <c r="S1103" s="90"/>
      <c r="T1103" s="90"/>
      <c r="U1103" s="90"/>
      <c r="V1103" s="90"/>
      <c r="W1103" s="90"/>
      <c r="X1103" s="90"/>
    </row>
    <row r="1104" spans="1:24" ht="12.75">
      <c r="A1104" s="112"/>
      <c r="B1104" s="113"/>
      <c r="C1104" s="114"/>
      <c r="D1104" s="114"/>
      <c r="E1104" s="90"/>
      <c r="F1104" s="115"/>
      <c r="G1104" s="90"/>
      <c r="H1104" s="90"/>
      <c r="I1104" s="90"/>
      <c r="J1104" s="90"/>
      <c r="K1104" s="90"/>
      <c r="L1104" s="90"/>
      <c r="M1104" s="90"/>
      <c r="N1104" s="90"/>
      <c r="O1104" s="90"/>
      <c r="P1104" s="90"/>
      <c r="Q1104" s="90"/>
      <c r="R1104" s="90"/>
      <c r="S1104" s="90"/>
      <c r="T1104" s="90"/>
      <c r="U1104" s="90"/>
      <c r="V1104" s="90"/>
      <c r="W1104" s="90"/>
      <c r="X1104" s="90"/>
    </row>
    <row r="1105" spans="1:24" ht="12.75">
      <c r="A1105" s="112"/>
      <c r="B1105" s="113"/>
      <c r="C1105" s="114"/>
      <c r="D1105" s="114"/>
      <c r="E1105" s="90"/>
      <c r="F1105" s="115"/>
      <c r="G1105" s="90"/>
      <c r="H1105" s="90"/>
      <c r="I1105" s="90"/>
      <c r="J1105" s="90"/>
      <c r="K1105" s="90"/>
      <c r="L1105" s="90"/>
      <c r="M1105" s="90"/>
      <c r="N1105" s="90"/>
      <c r="O1105" s="90"/>
      <c r="P1105" s="90"/>
      <c r="Q1105" s="90"/>
      <c r="R1105" s="90"/>
      <c r="S1105" s="90"/>
      <c r="T1105" s="90"/>
      <c r="U1105" s="90"/>
      <c r="V1105" s="90"/>
      <c r="W1105" s="90"/>
      <c r="X1105" s="90"/>
    </row>
    <row r="1106" spans="1:24" ht="12.75">
      <c r="A1106" s="112"/>
      <c r="B1106" s="113"/>
      <c r="C1106" s="114"/>
      <c r="D1106" s="114"/>
      <c r="E1106" s="90"/>
      <c r="F1106" s="115"/>
      <c r="G1106" s="90"/>
      <c r="H1106" s="90"/>
      <c r="I1106" s="90"/>
      <c r="J1106" s="90"/>
      <c r="K1106" s="90"/>
      <c r="L1106" s="90"/>
      <c r="M1106" s="90"/>
      <c r="N1106" s="90"/>
      <c r="O1106" s="90"/>
      <c r="P1106" s="90"/>
      <c r="Q1106" s="90"/>
      <c r="R1106" s="90"/>
      <c r="S1106" s="90"/>
      <c r="T1106" s="90"/>
      <c r="U1106" s="90"/>
      <c r="V1106" s="90"/>
      <c r="W1106" s="90"/>
      <c r="X1106" s="90"/>
    </row>
    <row r="1107" spans="1:24" ht="12.75">
      <c r="A1107" s="112"/>
      <c r="B1107" s="113"/>
      <c r="C1107" s="114"/>
      <c r="D1107" s="114"/>
      <c r="E1107" s="90"/>
      <c r="F1107" s="115"/>
      <c r="G1107" s="90"/>
      <c r="H1107" s="90"/>
      <c r="I1107" s="90"/>
      <c r="J1107" s="90"/>
      <c r="K1107" s="90"/>
      <c r="L1107" s="90"/>
      <c r="M1107" s="90"/>
      <c r="N1107" s="90"/>
      <c r="O1107" s="90"/>
      <c r="P1107" s="90"/>
      <c r="Q1107" s="90"/>
      <c r="R1107" s="90"/>
      <c r="S1107" s="90"/>
      <c r="T1107" s="90"/>
      <c r="U1107" s="90"/>
      <c r="V1107" s="90"/>
      <c r="W1107" s="90"/>
      <c r="X1107" s="90"/>
    </row>
    <row r="1108" spans="1:24" ht="12.75">
      <c r="A1108" s="112"/>
      <c r="B1108" s="113"/>
      <c r="C1108" s="114"/>
      <c r="D1108" s="114"/>
      <c r="E1108" s="90"/>
      <c r="F1108" s="115"/>
      <c r="G1108" s="90"/>
      <c r="H1108" s="90"/>
      <c r="I1108" s="90"/>
      <c r="J1108" s="90"/>
      <c r="K1108" s="90"/>
      <c r="L1108" s="90"/>
      <c r="M1108" s="90"/>
      <c r="N1108" s="90"/>
      <c r="O1108" s="90"/>
      <c r="P1108" s="90"/>
      <c r="Q1108" s="90"/>
      <c r="R1108" s="90"/>
      <c r="S1108" s="90"/>
      <c r="T1108" s="90"/>
      <c r="U1108" s="90"/>
      <c r="V1108" s="90"/>
      <c r="W1108" s="90"/>
      <c r="X1108" s="90"/>
    </row>
    <row r="1109" spans="1:24" ht="12.75">
      <c r="A1109" s="112"/>
      <c r="B1109" s="113"/>
      <c r="C1109" s="114"/>
      <c r="D1109" s="114"/>
      <c r="E1109" s="90"/>
      <c r="F1109" s="115"/>
      <c r="G1109" s="90"/>
      <c r="H1109" s="90"/>
      <c r="I1109" s="90"/>
      <c r="J1109" s="90"/>
      <c r="K1109" s="90"/>
      <c r="L1109" s="90"/>
      <c r="M1109" s="90"/>
      <c r="N1109" s="90"/>
      <c r="O1109" s="90"/>
      <c r="P1109" s="90"/>
      <c r="Q1109" s="90"/>
      <c r="R1109" s="90"/>
      <c r="S1109" s="90"/>
      <c r="T1109" s="90"/>
      <c r="U1109" s="90"/>
      <c r="V1109" s="90"/>
      <c r="W1109" s="90"/>
      <c r="X1109" s="90"/>
    </row>
    <row r="1110" spans="1:24" ht="12.75">
      <c r="A1110" s="112"/>
      <c r="B1110" s="113"/>
      <c r="C1110" s="114"/>
      <c r="D1110" s="114"/>
      <c r="E1110" s="90"/>
      <c r="F1110" s="115"/>
      <c r="G1110" s="90"/>
      <c r="H1110" s="90"/>
      <c r="I1110" s="90"/>
      <c r="J1110" s="90"/>
      <c r="K1110" s="90"/>
      <c r="L1110" s="90"/>
      <c r="M1110" s="90"/>
      <c r="N1110" s="90"/>
      <c r="O1110" s="90"/>
      <c r="P1110" s="90"/>
      <c r="Q1110" s="90"/>
      <c r="R1110" s="90"/>
      <c r="S1110" s="90"/>
      <c r="T1110" s="90"/>
      <c r="U1110" s="90"/>
      <c r="V1110" s="90"/>
      <c r="W1110" s="90"/>
      <c r="X1110" s="90"/>
    </row>
    <row r="1111" spans="1:24" ht="12.75">
      <c r="A1111" s="112"/>
      <c r="B1111" s="113"/>
      <c r="C1111" s="114"/>
      <c r="D1111" s="114"/>
      <c r="E1111" s="90"/>
      <c r="F1111" s="115"/>
      <c r="G1111" s="90"/>
      <c r="H1111" s="90"/>
      <c r="I1111" s="90"/>
      <c r="J1111" s="90"/>
      <c r="K1111" s="90"/>
      <c r="L1111" s="90"/>
      <c r="M1111" s="90"/>
      <c r="N1111" s="90"/>
      <c r="O1111" s="90"/>
      <c r="P1111" s="90"/>
      <c r="Q1111" s="90"/>
      <c r="R1111" s="90"/>
      <c r="S1111" s="90"/>
      <c r="T1111" s="90"/>
      <c r="U1111" s="90"/>
      <c r="V1111" s="90"/>
      <c r="W1111" s="90"/>
      <c r="X1111" s="90"/>
    </row>
    <row r="1112" spans="1:24" ht="12.75">
      <c r="A1112" s="112"/>
      <c r="B1112" s="113"/>
      <c r="C1112" s="114"/>
      <c r="D1112" s="114"/>
      <c r="E1112" s="90"/>
      <c r="F1112" s="115"/>
      <c r="G1112" s="90"/>
      <c r="H1112" s="90"/>
      <c r="I1112" s="90"/>
      <c r="J1112" s="90"/>
      <c r="K1112" s="90"/>
      <c r="L1112" s="90"/>
      <c r="M1112" s="90"/>
      <c r="N1112" s="90"/>
      <c r="O1112" s="90"/>
      <c r="P1112" s="90"/>
      <c r="Q1112" s="90"/>
      <c r="R1112" s="90"/>
      <c r="S1112" s="90"/>
      <c r="T1112" s="90"/>
      <c r="U1112" s="90"/>
      <c r="V1112" s="90"/>
      <c r="W1112" s="90"/>
      <c r="X1112" s="90"/>
    </row>
    <row r="1113" spans="1:24" ht="12.75">
      <c r="A1113" s="112"/>
      <c r="B1113" s="113"/>
      <c r="C1113" s="114"/>
      <c r="D1113" s="114"/>
      <c r="E1113" s="90"/>
      <c r="F1113" s="115"/>
      <c r="G1113" s="90"/>
      <c r="H1113" s="90"/>
      <c r="I1113" s="90"/>
      <c r="J1113" s="90"/>
      <c r="K1113" s="90"/>
      <c r="L1113" s="90"/>
      <c r="M1113" s="90"/>
      <c r="N1113" s="90"/>
      <c r="O1113" s="90"/>
      <c r="P1113" s="90"/>
      <c r="Q1113" s="90"/>
      <c r="R1113" s="90"/>
      <c r="S1113" s="90"/>
      <c r="T1113" s="90"/>
      <c r="U1113" s="90"/>
      <c r="V1113" s="90"/>
      <c r="W1113" s="90"/>
      <c r="X1113" s="90"/>
    </row>
    <row r="1114" spans="1:24" ht="12.75">
      <c r="A1114" s="112"/>
      <c r="B1114" s="113"/>
      <c r="C1114" s="114"/>
      <c r="D1114" s="114"/>
      <c r="E1114" s="90"/>
      <c r="F1114" s="115"/>
      <c r="G1114" s="90"/>
      <c r="H1114" s="90"/>
      <c r="I1114" s="90"/>
      <c r="J1114" s="90"/>
      <c r="K1114" s="90"/>
      <c r="L1114" s="90"/>
      <c r="M1114" s="90"/>
      <c r="N1114" s="90"/>
      <c r="O1114" s="90"/>
      <c r="P1114" s="90"/>
      <c r="Q1114" s="90"/>
      <c r="R1114" s="90"/>
      <c r="S1114" s="90"/>
      <c r="T1114" s="90"/>
      <c r="U1114" s="90"/>
      <c r="V1114" s="90"/>
      <c r="W1114" s="90"/>
      <c r="X1114" s="90"/>
    </row>
    <row r="1115" spans="1:24" ht="12.75">
      <c r="A1115" s="112"/>
      <c r="B1115" s="113"/>
      <c r="C1115" s="114"/>
      <c r="D1115" s="114"/>
      <c r="E1115" s="90"/>
      <c r="F1115" s="115"/>
      <c r="G1115" s="90"/>
      <c r="H1115" s="90"/>
      <c r="I1115" s="90"/>
      <c r="J1115" s="90"/>
      <c r="K1115" s="90"/>
      <c r="L1115" s="90"/>
      <c r="M1115" s="90"/>
      <c r="N1115" s="90"/>
      <c r="O1115" s="90"/>
      <c r="P1115" s="90"/>
      <c r="Q1115" s="90"/>
      <c r="R1115" s="90"/>
      <c r="S1115" s="90"/>
      <c r="T1115" s="90"/>
      <c r="U1115" s="90"/>
      <c r="V1115" s="90"/>
      <c r="W1115" s="90"/>
      <c r="X1115" s="90"/>
    </row>
    <row r="1116" spans="1:24" ht="12.75">
      <c r="A1116" s="112"/>
      <c r="B1116" s="113"/>
      <c r="C1116" s="114"/>
      <c r="D1116" s="114"/>
      <c r="E1116" s="90"/>
      <c r="F1116" s="115"/>
      <c r="G1116" s="90"/>
      <c r="H1116" s="90"/>
      <c r="I1116" s="90"/>
      <c r="J1116" s="90"/>
      <c r="K1116" s="90"/>
      <c r="L1116" s="90"/>
      <c r="M1116" s="90"/>
      <c r="N1116" s="90"/>
      <c r="O1116" s="90"/>
      <c r="P1116" s="90"/>
      <c r="Q1116" s="90"/>
      <c r="R1116" s="90"/>
      <c r="S1116" s="90"/>
      <c r="T1116" s="90"/>
      <c r="U1116" s="90"/>
      <c r="V1116" s="90"/>
      <c r="W1116" s="90"/>
      <c r="X1116" s="90"/>
    </row>
    <row r="1117" spans="1:24" ht="12.75">
      <c r="A1117" s="112"/>
      <c r="B1117" s="113"/>
      <c r="C1117" s="114"/>
      <c r="D1117" s="114"/>
      <c r="E1117" s="90"/>
      <c r="F1117" s="115"/>
      <c r="G1117" s="90"/>
      <c r="H1117" s="90"/>
      <c r="I1117" s="90"/>
      <c r="J1117" s="90"/>
      <c r="K1117" s="90"/>
      <c r="L1117" s="90"/>
      <c r="M1117" s="90"/>
      <c r="N1117" s="90"/>
      <c r="O1117" s="90"/>
      <c r="P1117" s="90"/>
      <c r="Q1117" s="90"/>
      <c r="R1117" s="90"/>
      <c r="S1117" s="90"/>
      <c r="T1117" s="90"/>
      <c r="U1117" s="90"/>
      <c r="V1117" s="90"/>
      <c r="W1117" s="90"/>
      <c r="X1117" s="90"/>
    </row>
    <row r="1118" spans="1:24" ht="12.75">
      <c r="A1118" s="112"/>
      <c r="B1118" s="113"/>
      <c r="C1118" s="114"/>
      <c r="D1118" s="114"/>
      <c r="E1118" s="90"/>
      <c r="F1118" s="115"/>
      <c r="G1118" s="90"/>
      <c r="H1118" s="90"/>
      <c r="I1118" s="90"/>
      <c r="J1118" s="90"/>
      <c r="K1118" s="90"/>
      <c r="L1118" s="90"/>
      <c r="M1118" s="90"/>
      <c r="N1118" s="90"/>
      <c r="O1118" s="90"/>
      <c r="P1118" s="90"/>
      <c r="Q1118" s="90"/>
      <c r="R1118" s="90"/>
      <c r="S1118" s="90"/>
      <c r="T1118" s="90"/>
      <c r="U1118" s="90"/>
      <c r="V1118" s="90"/>
      <c r="W1118" s="90"/>
      <c r="X1118" s="90"/>
    </row>
    <row r="1119" spans="1:24" ht="12.75">
      <c r="A1119" s="112"/>
      <c r="B1119" s="113"/>
      <c r="C1119" s="114"/>
      <c r="D1119" s="114"/>
      <c r="E1119" s="90"/>
      <c r="F1119" s="115"/>
      <c r="G1119" s="90"/>
      <c r="H1119" s="90"/>
      <c r="I1119" s="90"/>
      <c r="J1119" s="90"/>
      <c r="K1119" s="90"/>
      <c r="L1119" s="90"/>
      <c r="M1119" s="90"/>
      <c r="N1119" s="90"/>
      <c r="O1119" s="90"/>
      <c r="P1119" s="90"/>
      <c r="Q1119" s="90"/>
      <c r="R1119" s="90"/>
      <c r="S1119" s="90"/>
      <c r="T1119" s="90"/>
      <c r="U1119" s="90"/>
      <c r="V1119" s="90"/>
      <c r="W1119" s="90"/>
      <c r="X1119" s="90"/>
    </row>
    <row r="1120" spans="1:24" ht="12.75">
      <c r="A1120" s="112"/>
      <c r="B1120" s="113"/>
      <c r="C1120" s="114"/>
      <c r="D1120" s="114"/>
      <c r="E1120" s="90"/>
      <c r="F1120" s="115"/>
      <c r="G1120" s="90"/>
      <c r="H1120" s="90"/>
      <c r="I1120" s="90"/>
      <c r="J1120" s="90"/>
      <c r="K1120" s="90"/>
      <c r="L1120" s="90"/>
      <c r="M1120" s="90"/>
      <c r="N1120" s="90"/>
      <c r="O1120" s="90"/>
      <c r="P1120" s="90"/>
      <c r="Q1120" s="90"/>
      <c r="R1120" s="90"/>
      <c r="S1120" s="90"/>
      <c r="T1120" s="90"/>
      <c r="U1120" s="90"/>
      <c r="V1120" s="90"/>
      <c r="W1120" s="90"/>
      <c r="X1120" s="90"/>
    </row>
    <row r="1121" spans="1:24" ht="12.75">
      <c r="A1121" s="112"/>
      <c r="B1121" s="113"/>
      <c r="C1121" s="114"/>
      <c r="D1121" s="114"/>
      <c r="E1121" s="90"/>
      <c r="F1121" s="115"/>
      <c r="G1121" s="90"/>
      <c r="H1121" s="90"/>
      <c r="I1121" s="90"/>
      <c r="J1121" s="90"/>
      <c r="K1121" s="90"/>
      <c r="L1121" s="90"/>
      <c r="M1121" s="90"/>
      <c r="N1121" s="90"/>
      <c r="O1121" s="90"/>
      <c r="P1121" s="90"/>
      <c r="Q1121" s="90"/>
      <c r="R1121" s="90"/>
      <c r="S1121" s="90"/>
      <c r="T1121" s="90"/>
      <c r="U1121" s="90"/>
      <c r="V1121" s="90"/>
      <c r="W1121" s="90"/>
      <c r="X1121" s="90"/>
    </row>
    <row r="1122" spans="1:24" ht="12.75">
      <c r="A1122" s="112"/>
      <c r="B1122" s="113"/>
      <c r="C1122" s="114"/>
      <c r="D1122" s="114"/>
      <c r="E1122" s="90"/>
      <c r="F1122" s="115"/>
      <c r="G1122" s="90"/>
      <c r="H1122" s="90"/>
      <c r="I1122" s="90"/>
      <c r="J1122" s="90"/>
      <c r="K1122" s="90"/>
      <c r="L1122" s="90"/>
      <c r="M1122" s="90"/>
      <c r="N1122" s="90"/>
      <c r="O1122" s="90"/>
      <c r="P1122" s="90"/>
      <c r="Q1122" s="90"/>
      <c r="R1122" s="90"/>
      <c r="S1122" s="90"/>
      <c r="T1122" s="90"/>
      <c r="U1122" s="90"/>
      <c r="V1122" s="90"/>
      <c r="W1122" s="90"/>
      <c r="X1122" s="90"/>
    </row>
    <row r="1123" spans="1:24" ht="12.75">
      <c r="A1123" s="112"/>
      <c r="B1123" s="113"/>
      <c r="C1123" s="114"/>
      <c r="D1123" s="114"/>
      <c r="E1123" s="90"/>
      <c r="F1123" s="115"/>
      <c r="G1123" s="90"/>
      <c r="H1123" s="90"/>
      <c r="I1123" s="90"/>
      <c r="J1123" s="90"/>
      <c r="K1123" s="90"/>
      <c r="L1123" s="90"/>
      <c r="M1123" s="90"/>
      <c r="N1123" s="90"/>
      <c r="O1123" s="90"/>
      <c r="P1123" s="90"/>
      <c r="Q1123" s="90"/>
      <c r="R1123" s="90"/>
      <c r="S1123" s="90"/>
      <c r="T1123" s="90"/>
      <c r="U1123" s="90"/>
      <c r="V1123" s="90"/>
      <c r="W1123" s="90"/>
      <c r="X1123" s="90"/>
    </row>
    <row r="1124" spans="1:24" ht="12.75">
      <c r="A1124" s="112"/>
      <c r="B1124" s="113"/>
      <c r="C1124" s="114"/>
      <c r="D1124" s="114"/>
      <c r="E1124" s="90"/>
      <c r="F1124" s="115"/>
      <c r="G1124" s="90"/>
      <c r="H1124" s="90"/>
      <c r="I1124" s="90"/>
      <c r="J1124" s="90"/>
      <c r="K1124" s="90"/>
      <c r="L1124" s="90"/>
      <c r="M1124" s="90"/>
      <c r="N1124" s="90"/>
      <c r="O1124" s="90"/>
      <c r="P1124" s="90"/>
      <c r="Q1124" s="90"/>
      <c r="R1124" s="90"/>
      <c r="S1124" s="90"/>
      <c r="T1124" s="90"/>
      <c r="U1124" s="90"/>
      <c r="V1124" s="90"/>
      <c r="W1124" s="90"/>
      <c r="X1124" s="90"/>
    </row>
    <row r="1125" spans="1:24" ht="12.75">
      <c r="A1125" s="112"/>
      <c r="B1125" s="113"/>
      <c r="C1125" s="114"/>
      <c r="D1125" s="114"/>
      <c r="E1125" s="90"/>
      <c r="F1125" s="115"/>
      <c r="G1125" s="90"/>
      <c r="H1125" s="90"/>
      <c r="I1125" s="90"/>
      <c r="J1125" s="90"/>
      <c r="K1125" s="90"/>
      <c r="L1125" s="90"/>
      <c r="M1125" s="90"/>
      <c r="N1125" s="90"/>
      <c r="O1125" s="90"/>
      <c r="P1125" s="90"/>
      <c r="Q1125" s="90"/>
      <c r="R1125" s="90"/>
      <c r="S1125" s="90"/>
      <c r="T1125" s="90"/>
      <c r="U1125" s="90"/>
      <c r="V1125" s="90"/>
      <c r="W1125" s="90"/>
      <c r="X1125" s="90"/>
    </row>
    <row r="1126" spans="1:24" ht="12.75">
      <c r="A1126" s="112"/>
      <c r="B1126" s="113"/>
      <c r="C1126" s="114"/>
      <c r="D1126" s="114"/>
      <c r="E1126" s="90"/>
      <c r="F1126" s="115"/>
      <c r="G1126" s="90"/>
      <c r="H1126" s="90"/>
      <c r="I1126" s="90"/>
      <c r="J1126" s="90"/>
      <c r="K1126" s="90"/>
      <c r="L1126" s="90"/>
      <c r="M1126" s="90"/>
      <c r="N1126" s="90"/>
      <c r="O1126" s="90"/>
      <c r="P1126" s="90"/>
      <c r="Q1126" s="90"/>
      <c r="R1126" s="90"/>
      <c r="S1126" s="90"/>
      <c r="T1126" s="90"/>
      <c r="U1126" s="90"/>
      <c r="V1126" s="90"/>
      <c r="W1126" s="90"/>
      <c r="X1126" s="90"/>
    </row>
    <row r="1127" spans="1:24" ht="12.75">
      <c r="A1127" s="112"/>
      <c r="B1127" s="113"/>
      <c r="C1127" s="114"/>
      <c r="D1127" s="114"/>
      <c r="E1127" s="90"/>
      <c r="F1127" s="115"/>
      <c r="G1127" s="90"/>
      <c r="H1127" s="90"/>
      <c r="I1127" s="90"/>
      <c r="J1127" s="90"/>
      <c r="K1127" s="90"/>
      <c r="L1127" s="90"/>
      <c r="M1127" s="90"/>
      <c r="N1127" s="90"/>
      <c r="O1127" s="90"/>
      <c r="P1127" s="90"/>
      <c r="Q1127" s="90"/>
      <c r="R1127" s="90"/>
      <c r="S1127" s="90"/>
      <c r="T1127" s="90"/>
      <c r="U1127" s="90"/>
      <c r="V1127" s="90"/>
      <c r="W1127" s="90"/>
      <c r="X1127" s="90"/>
    </row>
    <row r="1128" spans="1:24" ht="12.75">
      <c r="A1128" s="112"/>
      <c r="B1128" s="113"/>
      <c r="C1128" s="114"/>
      <c r="D1128" s="114"/>
      <c r="E1128" s="90"/>
      <c r="F1128" s="115"/>
      <c r="G1128" s="90"/>
      <c r="H1128" s="90"/>
      <c r="I1128" s="90"/>
      <c r="J1128" s="90"/>
      <c r="K1128" s="90"/>
      <c r="L1128" s="90"/>
      <c r="M1128" s="90"/>
      <c r="N1128" s="90"/>
      <c r="O1128" s="90"/>
      <c r="P1128" s="90"/>
      <c r="Q1128" s="90"/>
      <c r="R1128" s="90"/>
      <c r="S1128" s="90"/>
      <c r="T1128" s="90"/>
      <c r="U1128" s="90"/>
      <c r="V1128" s="90"/>
      <c r="W1128" s="90"/>
      <c r="X1128" s="90"/>
    </row>
    <row r="1129" spans="1:24" ht="12.75">
      <c r="A1129" s="112"/>
      <c r="B1129" s="113"/>
      <c r="C1129" s="114"/>
      <c r="D1129" s="114"/>
      <c r="E1129" s="90"/>
      <c r="F1129" s="115"/>
      <c r="G1129" s="90"/>
      <c r="H1129" s="90"/>
      <c r="I1129" s="90"/>
      <c r="J1129" s="90"/>
      <c r="K1129" s="90"/>
      <c r="L1129" s="90"/>
      <c r="M1129" s="90"/>
      <c r="N1129" s="90"/>
      <c r="O1129" s="90"/>
      <c r="P1129" s="90"/>
      <c r="Q1129" s="90"/>
      <c r="R1129" s="90"/>
      <c r="S1129" s="90"/>
      <c r="T1129" s="90"/>
      <c r="U1129" s="90"/>
      <c r="V1129" s="90"/>
      <c r="W1129" s="90"/>
      <c r="X1129" s="90"/>
    </row>
    <row r="1130" spans="1:24" ht="12.75">
      <c r="A1130" s="112"/>
      <c r="B1130" s="113"/>
      <c r="C1130" s="114"/>
      <c r="D1130" s="114"/>
      <c r="E1130" s="90"/>
      <c r="F1130" s="115"/>
      <c r="G1130" s="90"/>
      <c r="H1130" s="90"/>
      <c r="I1130" s="90"/>
      <c r="J1130" s="90"/>
      <c r="K1130" s="90"/>
      <c r="L1130" s="90"/>
      <c r="M1130" s="90"/>
      <c r="N1130" s="90"/>
      <c r="O1130" s="90"/>
      <c r="P1130" s="90"/>
      <c r="Q1130" s="90"/>
      <c r="R1130" s="90"/>
      <c r="S1130" s="90"/>
      <c r="T1130" s="90"/>
      <c r="U1130" s="90"/>
      <c r="V1130" s="90"/>
      <c r="W1130" s="90"/>
      <c r="X1130" s="90"/>
    </row>
    <row r="1131" spans="1:24" ht="12.75">
      <c r="A1131" s="112"/>
      <c r="B1131" s="113"/>
      <c r="C1131" s="114"/>
      <c r="D1131" s="114"/>
      <c r="E1131" s="90"/>
      <c r="F1131" s="115"/>
      <c r="G1131" s="90"/>
      <c r="H1131" s="90"/>
      <c r="I1131" s="90"/>
      <c r="J1131" s="90"/>
      <c r="K1131" s="90"/>
      <c r="L1131" s="90"/>
      <c r="M1131" s="90"/>
      <c r="N1131" s="90"/>
      <c r="O1131" s="90"/>
      <c r="P1131" s="90"/>
      <c r="Q1131" s="90"/>
      <c r="R1131" s="90"/>
      <c r="S1131" s="90"/>
      <c r="T1131" s="90"/>
      <c r="U1131" s="90"/>
      <c r="V1131" s="90"/>
      <c r="W1131" s="90"/>
      <c r="X1131" s="90"/>
    </row>
    <row r="1132" spans="1:24" ht="12.75">
      <c r="A1132" s="112"/>
      <c r="B1132" s="113"/>
      <c r="C1132" s="114"/>
      <c r="D1132" s="114"/>
      <c r="E1132" s="90"/>
      <c r="F1132" s="115"/>
      <c r="G1132" s="90"/>
      <c r="H1132" s="90"/>
      <c r="I1132" s="90"/>
      <c r="J1132" s="90"/>
      <c r="K1132" s="90"/>
      <c r="L1132" s="90"/>
      <c r="M1132" s="90"/>
      <c r="N1132" s="90"/>
      <c r="O1132" s="90"/>
      <c r="P1132" s="90"/>
      <c r="Q1132" s="90"/>
      <c r="R1132" s="90"/>
      <c r="S1132" s="90"/>
      <c r="T1132" s="90"/>
      <c r="U1132" s="90"/>
      <c r="V1132" s="90"/>
      <c r="W1132" s="90"/>
      <c r="X1132" s="90"/>
    </row>
    <row r="1133" spans="1:24" ht="12.75">
      <c r="A1133" s="112"/>
      <c r="B1133" s="113"/>
      <c r="C1133" s="114"/>
      <c r="D1133" s="114"/>
      <c r="E1133" s="90"/>
      <c r="F1133" s="115"/>
      <c r="G1133" s="90"/>
      <c r="H1133" s="90"/>
      <c r="I1133" s="90"/>
      <c r="J1133" s="90"/>
      <c r="K1133" s="90"/>
      <c r="L1133" s="90"/>
      <c r="M1133" s="90"/>
      <c r="N1133" s="90"/>
      <c r="O1133" s="90"/>
      <c r="P1133" s="90"/>
      <c r="Q1133" s="90"/>
      <c r="R1133" s="90"/>
      <c r="S1133" s="90"/>
      <c r="T1133" s="90"/>
      <c r="U1133" s="90"/>
      <c r="V1133" s="90"/>
      <c r="W1133" s="90"/>
      <c r="X1133" s="90"/>
    </row>
    <row r="1134" spans="1:24" ht="12.75">
      <c r="A1134" s="112"/>
      <c r="B1134" s="113"/>
      <c r="C1134" s="114"/>
      <c r="D1134" s="114"/>
      <c r="E1134" s="90"/>
      <c r="F1134" s="115"/>
      <c r="G1134" s="90"/>
      <c r="H1134" s="90"/>
      <c r="I1134" s="90"/>
      <c r="J1134" s="90"/>
      <c r="K1134" s="90"/>
      <c r="L1134" s="90"/>
      <c r="M1134" s="90"/>
      <c r="N1134" s="90"/>
      <c r="O1134" s="90"/>
      <c r="P1134" s="90"/>
      <c r="Q1134" s="90"/>
      <c r="R1134" s="90"/>
      <c r="S1134" s="90"/>
      <c r="T1134" s="90"/>
      <c r="U1134" s="90"/>
      <c r="V1134" s="90"/>
      <c r="W1134" s="90"/>
      <c r="X1134" s="90"/>
    </row>
    <row r="1135" spans="1:24" ht="12.75">
      <c r="A1135" s="112"/>
      <c r="B1135" s="113"/>
      <c r="C1135" s="114"/>
      <c r="D1135" s="114"/>
      <c r="E1135" s="90"/>
      <c r="F1135" s="115"/>
      <c r="G1135" s="90"/>
      <c r="H1135" s="90"/>
      <c r="I1135" s="90"/>
      <c r="J1135" s="90"/>
      <c r="K1135" s="90"/>
      <c r="L1135" s="90"/>
      <c r="M1135" s="90"/>
      <c r="N1135" s="90"/>
      <c r="O1135" s="90"/>
      <c r="P1135" s="90"/>
      <c r="Q1135" s="90"/>
      <c r="R1135" s="90"/>
      <c r="S1135" s="90"/>
      <c r="T1135" s="90"/>
      <c r="U1135" s="90"/>
      <c r="V1135" s="90"/>
      <c r="W1135" s="90"/>
      <c r="X1135" s="90"/>
    </row>
    <row r="1136" spans="1:24" ht="12.75">
      <c r="A1136" s="112"/>
      <c r="B1136" s="113"/>
      <c r="C1136" s="114"/>
      <c r="D1136" s="114"/>
      <c r="E1136" s="90"/>
      <c r="F1136" s="115"/>
      <c r="G1136" s="90"/>
      <c r="H1136" s="90"/>
      <c r="I1136" s="90"/>
      <c r="J1136" s="90"/>
      <c r="K1136" s="90"/>
      <c r="L1136" s="90"/>
      <c r="M1136" s="90"/>
      <c r="N1136" s="90"/>
      <c r="O1136" s="90"/>
      <c r="P1136" s="90"/>
      <c r="Q1136" s="90"/>
      <c r="R1136" s="90"/>
      <c r="S1136" s="90"/>
      <c r="T1136" s="90"/>
      <c r="U1136" s="90"/>
      <c r="V1136" s="90"/>
      <c r="W1136" s="90"/>
      <c r="X1136" s="90"/>
    </row>
    <row r="1137" spans="1:24" ht="12.75">
      <c r="A1137" s="112"/>
      <c r="B1137" s="113"/>
      <c r="C1137" s="114"/>
      <c r="D1137" s="114"/>
      <c r="E1137" s="90"/>
      <c r="F1137" s="115"/>
      <c r="G1137" s="90"/>
      <c r="H1137" s="90"/>
      <c r="I1137" s="90"/>
      <c r="J1137" s="90"/>
      <c r="K1137" s="90"/>
      <c r="L1137" s="90"/>
      <c r="M1137" s="90"/>
      <c r="N1137" s="90"/>
      <c r="O1137" s="90"/>
      <c r="P1137" s="90"/>
      <c r="Q1137" s="90"/>
      <c r="R1137" s="90"/>
      <c r="S1137" s="90"/>
      <c r="T1137" s="90"/>
      <c r="U1137" s="90"/>
      <c r="V1137" s="90"/>
      <c r="W1137" s="90"/>
      <c r="X1137" s="90"/>
    </row>
    <row r="1138" spans="1:24" ht="12.75">
      <c r="A1138" s="112"/>
      <c r="B1138" s="113"/>
      <c r="C1138" s="114"/>
      <c r="D1138" s="114"/>
      <c r="E1138" s="90"/>
      <c r="F1138" s="115"/>
      <c r="G1138" s="90"/>
      <c r="H1138" s="90"/>
      <c r="I1138" s="90"/>
      <c r="J1138" s="90"/>
      <c r="K1138" s="90"/>
      <c r="L1138" s="90"/>
      <c r="M1138" s="90"/>
      <c r="N1138" s="90"/>
      <c r="O1138" s="90"/>
      <c r="P1138" s="90"/>
      <c r="Q1138" s="90"/>
      <c r="R1138" s="90"/>
      <c r="S1138" s="90"/>
      <c r="T1138" s="90"/>
      <c r="U1138" s="90"/>
      <c r="V1138" s="90"/>
      <c r="W1138" s="90"/>
      <c r="X1138" s="90"/>
    </row>
    <row r="1139" spans="1:24" ht="12.75">
      <c r="A1139" s="112"/>
      <c r="B1139" s="113"/>
      <c r="C1139" s="114"/>
      <c r="D1139" s="114"/>
      <c r="E1139" s="90"/>
      <c r="F1139" s="115"/>
      <c r="G1139" s="90"/>
      <c r="H1139" s="90"/>
      <c r="I1139" s="90"/>
      <c r="J1139" s="90"/>
      <c r="K1139" s="90"/>
      <c r="L1139" s="90"/>
      <c r="M1139" s="90"/>
      <c r="N1139" s="90"/>
      <c r="O1139" s="90"/>
      <c r="P1139" s="90"/>
      <c r="Q1139" s="90"/>
      <c r="R1139" s="90"/>
      <c r="S1139" s="90"/>
      <c r="T1139" s="90"/>
      <c r="U1139" s="90"/>
      <c r="V1139" s="90"/>
      <c r="W1139" s="90"/>
      <c r="X1139" s="90"/>
    </row>
    <row r="1140" spans="1:24" ht="12.75">
      <c r="A1140" s="112"/>
      <c r="B1140" s="113"/>
      <c r="C1140" s="114"/>
      <c r="D1140" s="114"/>
      <c r="E1140" s="90"/>
      <c r="F1140" s="115"/>
      <c r="G1140" s="90"/>
      <c r="H1140" s="90"/>
      <c r="I1140" s="90"/>
      <c r="J1140" s="90"/>
      <c r="K1140" s="90"/>
      <c r="L1140" s="90"/>
      <c r="M1140" s="90"/>
      <c r="N1140" s="90"/>
      <c r="O1140" s="90"/>
      <c r="P1140" s="90"/>
      <c r="Q1140" s="90"/>
      <c r="R1140" s="90"/>
      <c r="S1140" s="90"/>
      <c r="T1140" s="90"/>
      <c r="U1140" s="90"/>
      <c r="V1140" s="90"/>
      <c r="W1140" s="90"/>
      <c r="X1140" s="90"/>
    </row>
    <row r="1141" spans="1:24" ht="12.75">
      <c r="A1141" s="112"/>
      <c r="B1141" s="113"/>
      <c r="C1141" s="114"/>
      <c r="D1141" s="114"/>
      <c r="E1141" s="90"/>
      <c r="F1141" s="115"/>
      <c r="G1141" s="90"/>
      <c r="H1141" s="90"/>
      <c r="I1141" s="90"/>
      <c r="J1141" s="90"/>
      <c r="K1141" s="90"/>
      <c r="L1141" s="90"/>
      <c r="M1141" s="90"/>
      <c r="N1141" s="90"/>
      <c r="O1141" s="90"/>
      <c r="P1141" s="90"/>
      <c r="Q1141" s="90"/>
      <c r="R1141" s="90"/>
      <c r="S1141" s="90"/>
      <c r="T1141" s="90"/>
      <c r="U1141" s="90"/>
      <c r="V1141" s="90"/>
      <c r="W1141" s="90"/>
      <c r="X1141" s="90"/>
    </row>
    <row r="1142" spans="1:24" ht="12.75">
      <c r="A1142" s="112"/>
      <c r="B1142" s="113"/>
      <c r="C1142" s="114"/>
      <c r="D1142" s="114"/>
      <c r="E1142" s="90"/>
      <c r="F1142" s="115"/>
      <c r="G1142" s="90"/>
      <c r="H1142" s="90"/>
      <c r="I1142" s="90"/>
      <c r="J1142" s="90"/>
      <c r="K1142" s="90"/>
      <c r="L1142" s="90"/>
      <c r="M1142" s="90"/>
      <c r="N1142" s="90"/>
      <c r="O1142" s="90"/>
      <c r="P1142" s="90"/>
      <c r="Q1142" s="90"/>
      <c r="R1142" s="90"/>
      <c r="S1142" s="90"/>
      <c r="T1142" s="90"/>
      <c r="U1142" s="90"/>
      <c r="V1142" s="90"/>
      <c r="W1142" s="90"/>
      <c r="X1142" s="90"/>
    </row>
    <row r="1143" spans="1:24" ht="12.75">
      <c r="A1143" s="112"/>
      <c r="B1143" s="113"/>
      <c r="C1143" s="114"/>
      <c r="D1143" s="114"/>
      <c r="E1143" s="90"/>
      <c r="F1143" s="115"/>
      <c r="G1143" s="90"/>
      <c r="H1143" s="90"/>
      <c r="I1143" s="90"/>
      <c r="J1143" s="90"/>
      <c r="K1143" s="90"/>
      <c r="L1143" s="90"/>
      <c r="M1143" s="90"/>
      <c r="N1143" s="90"/>
      <c r="O1143" s="90"/>
      <c r="P1143" s="90"/>
      <c r="Q1143" s="90"/>
      <c r="R1143" s="90"/>
      <c r="S1143" s="90"/>
      <c r="T1143" s="90"/>
      <c r="U1143" s="90"/>
      <c r="V1143" s="90"/>
      <c r="W1143" s="90"/>
      <c r="X1143" s="90"/>
    </row>
    <row r="1144" spans="1:24" ht="12.75">
      <c r="A1144" s="112"/>
      <c r="B1144" s="113"/>
      <c r="C1144" s="114"/>
      <c r="D1144" s="114"/>
      <c r="E1144" s="90"/>
      <c r="F1144" s="115"/>
      <c r="G1144" s="90"/>
      <c r="H1144" s="90"/>
      <c r="I1144" s="90"/>
      <c r="J1144" s="90"/>
      <c r="K1144" s="90"/>
      <c r="L1144" s="90"/>
      <c r="M1144" s="90"/>
      <c r="N1144" s="90"/>
      <c r="O1144" s="90"/>
      <c r="P1144" s="90"/>
      <c r="Q1144" s="90"/>
      <c r="R1144" s="90"/>
      <c r="S1144" s="90"/>
      <c r="T1144" s="90"/>
      <c r="U1144" s="90"/>
      <c r="V1144" s="90"/>
      <c r="W1144" s="90"/>
      <c r="X1144" s="90"/>
    </row>
    <row r="1145" spans="1:24" ht="12.75">
      <c r="A1145" s="112"/>
      <c r="B1145" s="113"/>
      <c r="C1145" s="114"/>
      <c r="D1145" s="114"/>
      <c r="E1145" s="90"/>
      <c r="F1145" s="115"/>
      <c r="G1145" s="90"/>
      <c r="H1145" s="90"/>
      <c r="I1145" s="90"/>
      <c r="J1145" s="90"/>
      <c r="K1145" s="90"/>
      <c r="L1145" s="90"/>
      <c r="M1145" s="90"/>
      <c r="N1145" s="90"/>
      <c r="O1145" s="90"/>
      <c r="P1145" s="90"/>
      <c r="Q1145" s="90"/>
      <c r="R1145" s="90"/>
      <c r="S1145" s="90"/>
      <c r="T1145" s="90"/>
      <c r="U1145" s="90"/>
      <c r="V1145" s="90"/>
      <c r="W1145" s="90"/>
      <c r="X1145" s="90"/>
    </row>
    <row r="1146" spans="1:24" ht="12.75">
      <c r="A1146" s="112"/>
      <c r="B1146" s="113"/>
      <c r="C1146" s="114"/>
      <c r="D1146" s="114"/>
      <c r="E1146" s="90"/>
      <c r="F1146" s="115"/>
      <c r="G1146" s="90"/>
      <c r="H1146" s="90"/>
      <c r="I1146" s="90"/>
      <c r="J1146" s="90"/>
      <c r="K1146" s="90"/>
      <c r="L1146" s="90"/>
      <c r="M1146" s="90"/>
      <c r="N1146" s="90"/>
      <c r="O1146" s="90"/>
      <c r="P1146" s="90"/>
      <c r="Q1146" s="90"/>
      <c r="R1146" s="90"/>
      <c r="S1146" s="90"/>
      <c r="T1146" s="90"/>
      <c r="U1146" s="90"/>
      <c r="V1146" s="90"/>
      <c r="W1146" s="90"/>
      <c r="X1146" s="90"/>
    </row>
    <row r="1147" spans="1:24" ht="12.75">
      <c r="A1147" s="112"/>
      <c r="B1147" s="113"/>
      <c r="C1147" s="114"/>
      <c r="D1147" s="114"/>
      <c r="E1147" s="90"/>
      <c r="F1147" s="115"/>
      <c r="G1147" s="90"/>
      <c r="H1147" s="90"/>
      <c r="I1147" s="90"/>
      <c r="J1147" s="90"/>
      <c r="K1147" s="90"/>
      <c r="L1147" s="90"/>
      <c r="M1147" s="90"/>
      <c r="N1147" s="90"/>
      <c r="O1147" s="90"/>
      <c r="P1147" s="90"/>
      <c r="Q1147" s="90"/>
      <c r="R1147" s="90"/>
      <c r="S1147" s="90"/>
      <c r="T1147" s="90"/>
      <c r="U1147" s="90"/>
      <c r="V1147" s="90"/>
      <c r="W1147" s="90"/>
      <c r="X1147" s="90"/>
    </row>
    <row r="1148" spans="1:24" ht="12.75">
      <c r="A1148" s="112"/>
      <c r="B1148" s="113"/>
      <c r="C1148" s="114"/>
      <c r="D1148" s="114"/>
      <c r="E1148" s="90"/>
      <c r="F1148" s="115"/>
      <c r="G1148" s="90"/>
      <c r="H1148" s="90"/>
      <c r="I1148" s="90"/>
      <c r="J1148" s="90"/>
      <c r="K1148" s="90"/>
      <c r="L1148" s="90"/>
      <c r="M1148" s="90"/>
      <c r="N1148" s="90"/>
      <c r="O1148" s="90"/>
      <c r="P1148" s="90"/>
      <c r="Q1148" s="90"/>
      <c r="R1148" s="90"/>
      <c r="S1148" s="90"/>
      <c r="T1148" s="90"/>
      <c r="U1148" s="90"/>
      <c r="V1148" s="90"/>
      <c r="W1148" s="90"/>
      <c r="X1148" s="90"/>
    </row>
    <row r="1149" spans="1:24" ht="12.75">
      <c r="A1149" s="112"/>
      <c r="B1149" s="113"/>
      <c r="C1149" s="114"/>
      <c r="D1149" s="114"/>
      <c r="E1149" s="90"/>
      <c r="F1149" s="115"/>
      <c r="G1149" s="90"/>
      <c r="H1149" s="90"/>
      <c r="I1149" s="90"/>
      <c r="J1149" s="90"/>
      <c r="K1149" s="90"/>
      <c r="L1149" s="90"/>
      <c r="M1149" s="90"/>
      <c r="N1149" s="90"/>
      <c r="O1149" s="90"/>
      <c r="P1149" s="90"/>
      <c r="Q1149" s="90"/>
      <c r="R1149" s="90"/>
      <c r="S1149" s="90"/>
      <c r="T1149" s="90"/>
      <c r="U1149" s="90"/>
      <c r="V1149" s="90"/>
      <c r="W1149" s="90"/>
      <c r="X1149" s="90"/>
    </row>
    <row r="1150" spans="1:24" ht="12.75">
      <c r="A1150" s="112"/>
      <c r="B1150" s="113"/>
      <c r="C1150" s="114"/>
      <c r="D1150" s="114"/>
      <c r="E1150" s="90"/>
      <c r="F1150" s="115"/>
      <c r="G1150" s="90"/>
      <c r="H1150" s="90"/>
      <c r="I1150" s="90"/>
      <c r="J1150" s="90"/>
      <c r="K1150" s="90"/>
      <c r="L1150" s="90"/>
      <c r="M1150" s="90"/>
      <c r="N1150" s="90"/>
      <c r="O1150" s="90"/>
      <c r="P1150" s="90"/>
      <c r="Q1150" s="90"/>
      <c r="R1150" s="90"/>
      <c r="S1150" s="90"/>
      <c r="T1150" s="90"/>
      <c r="U1150" s="90"/>
      <c r="V1150" s="90"/>
      <c r="W1150" s="90"/>
      <c r="X1150" s="90"/>
    </row>
    <row r="1151" spans="1:24" ht="12.75">
      <c r="A1151" s="112"/>
      <c r="B1151" s="113"/>
      <c r="C1151" s="114"/>
      <c r="D1151" s="114"/>
      <c r="E1151" s="90"/>
      <c r="F1151" s="115"/>
      <c r="G1151" s="90"/>
      <c r="H1151" s="90"/>
      <c r="I1151" s="90"/>
      <c r="J1151" s="90"/>
      <c r="K1151" s="90"/>
      <c r="L1151" s="90"/>
      <c r="M1151" s="90"/>
      <c r="N1151" s="90"/>
      <c r="O1151" s="90"/>
      <c r="P1151" s="90"/>
      <c r="Q1151" s="90"/>
      <c r="R1151" s="90"/>
      <c r="S1151" s="90"/>
      <c r="T1151" s="90"/>
      <c r="U1151" s="90"/>
      <c r="V1151" s="90"/>
      <c r="W1151" s="90"/>
      <c r="X1151" s="90"/>
    </row>
    <row r="1152" spans="1:24" ht="12.75">
      <c r="A1152" s="112"/>
      <c r="B1152" s="113"/>
      <c r="C1152" s="114"/>
      <c r="D1152" s="114"/>
      <c r="E1152" s="90"/>
      <c r="F1152" s="115"/>
      <c r="G1152" s="90"/>
      <c r="H1152" s="90"/>
      <c r="I1152" s="90"/>
      <c r="J1152" s="90"/>
      <c r="K1152" s="90"/>
      <c r="L1152" s="90"/>
      <c r="M1152" s="90"/>
      <c r="N1152" s="90"/>
      <c r="O1152" s="90"/>
      <c r="P1152" s="90"/>
      <c r="Q1152" s="90"/>
      <c r="R1152" s="90"/>
      <c r="S1152" s="90"/>
      <c r="T1152" s="90"/>
      <c r="U1152" s="90"/>
      <c r="V1152" s="90"/>
      <c r="W1152" s="90"/>
      <c r="X1152" s="90"/>
    </row>
    <row r="1153" spans="1:24" ht="12.75">
      <c r="A1153" s="112"/>
      <c r="B1153" s="113"/>
      <c r="C1153" s="114"/>
      <c r="D1153" s="114"/>
      <c r="E1153" s="90"/>
      <c r="F1153" s="115"/>
      <c r="G1153" s="90"/>
      <c r="H1153" s="90"/>
      <c r="I1153" s="90"/>
      <c r="J1153" s="90"/>
      <c r="K1153" s="90"/>
      <c r="L1153" s="90"/>
      <c r="M1153" s="90"/>
      <c r="N1153" s="90"/>
      <c r="O1153" s="90"/>
      <c r="P1153" s="90"/>
      <c r="Q1153" s="90"/>
      <c r="R1153" s="90"/>
      <c r="S1153" s="90"/>
      <c r="T1153" s="90"/>
      <c r="U1153" s="90"/>
      <c r="V1153" s="90"/>
      <c r="W1153" s="90"/>
      <c r="X1153" s="90"/>
    </row>
    <row r="1154" spans="1:24" ht="12.75">
      <c r="A1154" s="112"/>
      <c r="B1154" s="113"/>
      <c r="C1154" s="114"/>
      <c r="D1154" s="114"/>
      <c r="E1154" s="90"/>
      <c r="F1154" s="115"/>
      <c r="G1154" s="90"/>
      <c r="H1154" s="90"/>
      <c r="I1154" s="90"/>
      <c r="J1154" s="90"/>
      <c r="K1154" s="90"/>
      <c r="L1154" s="90"/>
      <c r="M1154" s="90"/>
      <c r="N1154" s="90"/>
      <c r="O1154" s="90"/>
      <c r="P1154" s="90"/>
      <c r="Q1154" s="90"/>
      <c r="R1154" s="90"/>
      <c r="S1154" s="90"/>
      <c r="T1154" s="90"/>
      <c r="U1154" s="90"/>
      <c r="V1154" s="90"/>
      <c r="W1154" s="90"/>
      <c r="X1154" s="90"/>
    </row>
    <row r="1155" spans="1:24" ht="12.75">
      <c r="A1155" s="112"/>
      <c r="B1155" s="113"/>
      <c r="C1155" s="114"/>
      <c r="D1155" s="114"/>
      <c r="E1155" s="90"/>
      <c r="F1155" s="115"/>
      <c r="G1155" s="90"/>
      <c r="H1155" s="90"/>
      <c r="I1155" s="90"/>
      <c r="J1155" s="90"/>
      <c r="K1155" s="90"/>
      <c r="L1155" s="90"/>
      <c r="M1155" s="90"/>
      <c r="N1155" s="90"/>
      <c r="O1155" s="90"/>
      <c r="P1155" s="90"/>
      <c r="Q1155" s="90"/>
      <c r="R1155" s="90"/>
      <c r="S1155" s="90"/>
      <c r="T1155" s="90"/>
      <c r="U1155" s="90"/>
      <c r="V1155" s="90"/>
      <c r="W1155" s="90"/>
      <c r="X1155" s="90"/>
    </row>
    <row r="1156" spans="1:24" ht="12.75">
      <c r="A1156" s="112"/>
      <c r="B1156" s="113"/>
      <c r="C1156" s="114"/>
      <c r="D1156" s="114"/>
      <c r="E1156" s="90"/>
      <c r="F1156" s="115"/>
      <c r="G1156" s="90"/>
      <c r="H1156" s="90"/>
      <c r="I1156" s="90"/>
      <c r="J1156" s="90"/>
      <c r="K1156" s="90"/>
      <c r="L1156" s="90"/>
      <c r="M1156" s="90"/>
      <c r="N1156" s="90"/>
      <c r="O1156" s="90"/>
      <c r="P1156" s="90"/>
      <c r="Q1156" s="90"/>
      <c r="R1156" s="90"/>
      <c r="S1156" s="90"/>
      <c r="T1156" s="90"/>
      <c r="U1156" s="90"/>
      <c r="V1156" s="90"/>
      <c r="W1156" s="90"/>
      <c r="X1156" s="90"/>
    </row>
    <row r="1157" spans="1:24" ht="12.75">
      <c r="A1157" s="112"/>
      <c r="B1157" s="113"/>
      <c r="C1157" s="114"/>
      <c r="D1157" s="114"/>
      <c r="E1157" s="90"/>
      <c r="F1157" s="115"/>
      <c r="G1157" s="90"/>
      <c r="H1157" s="90"/>
      <c r="I1157" s="90"/>
      <c r="J1157" s="90"/>
      <c r="K1157" s="90"/>
      <c r="L1157" s="90"/>
      <c r="M1157" s="90"/>
      <c r="N1157" s="90"/>
      <c r="O1157" s="90"/>
      <c r="P1157" s="90"/>
      <c r="Q1157" s="90"/>
      <c r="R1157" s="90"/>
      <c r="S1157" s="90"/>
      <c r="T1157" s="90"/>
      <c r="U1157" s="90"/>
      <c r="V1157" s="90"/>
      <c r="W1157" s="90"/>
      <c r="X1157" s="90"/>
    </row>
    <row r="1158" spans="1:24" ht="12.75">
      <c r="A1158" s="112"/>
      <c r="B1158" s="113"/>
      <c r="C1158" s="114"/>
      <c r="D1158" s="114"/>
      <c r="E1158" s="90"/>
      <c r="F1158" s="115"/>
      <c r="G1158" s="90"/>
      <c r="H1158" s="90"/>
      <c r="I1158" s="90"/>
      <c r="J1158" s="90"/>
      <c r="K1158" s="90"/>
      <c r="L1158" s="90"/>
      <c r="M1158" s="90"/>
      <c r="N1158" s="90"/>
      <c r="O1158" s="90"/>
      <c r="P1158" s="90"/>
      <c r="Q1158" s="90"/>
      <c r="R1158" s="90"/>
      <c r="S1158" s="90"/>
      <c r="T1158" s="90"/>
      <c r="U1158" s="90"/>
      <c r="V1158" s="90"/>
      <c r="W1158" s="90"/>
      <c r="X1158" s="90"/>
    </row>
    <row r="1159" spans="1:24" ht="12.75">
      <c r="A1159" s="112"/>
      <c r="B1159" s="113"/>
      <c r="C1159" s="114"/>
      <c r="D1159" s="114"/>
      <c r="E1159" s="90"/>
      <c r="F1159" s="115"/>
      <c r="G1159" s="90"/>
      <c r="H1159" s="90"/>
      <c r="I1159" s="90"/>
      <c r="J1159" s="90"/>
      <c r="K1159" s="90"/>
      <c r="L1159" s="90"/>
      <c r="M1159" s="90"/>
      <c r="N1159" s="90"/>
      <c r="O1159" s="90"/>
      <c r="P1159" s="90"/>
      <c r="Q1159" s="90"/>
      <c r="R1159" s="90"/>
      <c r="S1159" s="90"/>
      <c r="T1159" s="90"/>
      <c r="U1159" s="90"/>
      <c r="V1159" s="90"/>
      <c r="W1159" s="90"/>
      <c r="X1159" s="90"/>
    </row>
    <row r="1160" spans="1:24" ht="12.75">
      <c r="A1160" s="112"/>
      <c r="B1160" s="113"/>
      <c r="C1160" s="114"/>
      <c r="D1160" s="114"/>
      <c r="E1160" s="90"/>
      <c r="F1160" s="115"/>
      <c r="G1160" s="90"/>
      <c r="H1160" s="90"/>
      <c r="I1160" s="90"/>
      <c r="J1160" s="90"/>
      <c r="K1160" s="90"/>
      <c r="L1160" s="90"/>
      <c r="M1160" s="90"/>
      <c r="N1160" s="90"/>
      <c r="O1160" s="90"/>
      <c r="P1160" s="90"/>
      <c r="Q1160" s="90"/>
      <c r="R1160" s="90"/>
      <c r="S1160" s="90"/>
      <c r="T1160" s="90"/>
      <c r="U1160" s="90"/>
      <c r="V1160" s="90"/>
      <c r="W1160" s="90"/>
      <c r="X1160" s="90"/>
    </row>
    <row r="1161" spans="1:24" ht="15.75" customHeight="1">
      <c r="A1161" s="112"/>
      <c r="B1161" s="113"/>
      <c r="C1161" s="114"/>
      <c r="D1161" s="114"/>
      <c r="E1161" s="90"/>
      <c r="F1161" s="115"/>
      <c r="G1161" s="90"/>
      <c r="H1161" s="90"/>
      <c r="I1161" s="90"/>
      <c r="J1161" s="90"/>
      <c r="K1161" s="90"/>
      <c r="L1161" s="90"/>
      <c r="M1161" s="90"/>
      <c r="N1161" s="90"/>
      <c r="O1161" s="90"/>
      <c r="P1161" s="90"/>
      <c r="Q1161" s="90"/>
      <c r="R1161" s="90"/>
      <c r="S1161" s="90"/>
      <c r="T1161" s="90"/>
      <c r="U1161" s="90"/>
      <c r="V1161" s="90"/>
      <c r="W1161" s="90"/>
    </row>
  </sheetData>
  <mergeCells count="19">
    <mergeCell ref="H13:W13"/>
    <mergeCell ref="E1:O6"/>
    <mergeCell ref="A7:W7"/>
    <mergeCell ref="A9:B9"/>
    <mergeCell ref="A10:B10"/>
    <mergeCell ref="A11:B11"/>
    <mergeCell ref="A8:W8"/>
    <mergeCell ref="A241:B241"/>
    <mergeCell ref="A242:B242"/>
    <mergeCell ref="F13:F14"/>
    <mergeCell ref="G13:G14"/>
    <mergeCell ref="B13:B14"/>
    <mergeCell ref="C13:C14"/>
    <mergeCell ref="D13:D14"/>
    <mergeCell ref="E13:E14"/>
    <mergeCell ref="A15:B15"/>
    <mergeCell ref="A36:B36"/>
    <mergeCell ref="A238:B238"/>
    <mergeCell ref="A197:B197"/>
  </mergeCells>
  <printOptions horizontalCentered="1"/>
  <pageMargins left="0.7" right="0.7" top="0.75" bottom="0.75" header="0" footer="0"/>
  <pageSetup paperSize="14" scale="79" fitToHeight="0" pageOrder="overThenDown" orientation="landscape" cellComments="atEnd"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30"/>
  <sheetViews>
    <sheetView workbookViewId="0">
      <selection activeCell="A4" sqref="A4:XFD4"/>
    </sheetView>
  </sheetViews>
  <sheetFormatPr defaultRowHeight="12.75"/>
  <cols>
    <col min="1" max="1" width="7.85546875" bestFit="1" customWidth="1"/>
    <col min="2" max="2" width="35.5703125" bestFit="1" customWidth="1"/>
    <col min="3" max="3" width="13.140625" bestFit="1" customWidth="1"/>
    <col min="4" max="4" width="4.85546875" bestFit="1" customWidth="1"/>
    <col min="5" max="5" width="9.140625" bestFit="1" customWidth="1"/>
    <col min="6" max="6" width="10" bestFit="1" customWidth="1"/>
    <col min="7" max="7" width="19.5703125" bestFit="1" customWidth="1"/>
    <col min="8" max="8" width="5.5703125" bestFit="1" customWidth="1"/>
    <col min="9" max="9" width="8.85546875" bestFit="1" customWidth="1"/>
    <col min="10" max="10" width="4" bestFit="1" customWidth="1"/>
    <col min="11" max="11" width="4.140625" bestFit="1" customWidth="1"/>
    <col min="12" max="12" width="5.5703125" bestFit="1" customWidth="1"/>
    <col min="13" max="13" width="8.5703125" bestFit="1" customWidth="1"/>
    <col min="14" max="14" width="4.42578125" bestFit="1" customWidth="1"/>
    <col min="15" max="15" width="4" bestFit="1" customWidth="1"/>
    <col min="16" max="16" width="5.5703125" bestFit="1" customWidth="1"/>
    <col min="17" max="17" width="8.5703125" bestFit="1" customWidth="1"/>
    <col min="18" max="18" width="4.140625" bestFit="1" customWidth="1"/>
    <col min="19" max="19" width="4.7109375" bestFit="1" customWidth="1"/>
    <col min="20" max="20" width="5.5703125" bestFit="1" customWidth="1"/>
    <col min="21" max="21" width="3.85546875" bestFit="1" customWidth="1"/>
    <col min="22" max="23" width="4.140625" bestFit="1" customWidth="1"/>
    <col min="24" max="24" width="75" bestFit="1" customWidth="1"/>
    <col min="25" max="25" width="26.7109375" bestFit="1" customWidth="1"/>
    <col min="26" max="26" width="16.28515625" bestFit="1" customWidth="1"/>
  </cols>
  <sheetData>
    <row r="1" spans="1:26" ht="13.5" thickBot="1">
      <c r="A1" s="1371" t="s">
        <v>320</v>
      </c>
      <c r="B1" s="1371" t="s">
        <v>321</v>
      </c>
      <c r="C1" s="1371" t="s">
        <v>85</v>
      </c>
      <c r="D1" s="1371" t="s">
        <v>92</v>
      </c>
      <c r="E1" s="1371" t="s">
        <v>93</v>
      </c>
      <c r="F1" s="1371" t="s">
        <v>435</v>
      </c>
      <c r="G1" s="1371" t="s">
        <v>323</v>
      </c>
      <c r="H1" s="1371" t="s">
        <v>436</v>
      </c>
      <c r="I1" s="1371" t="s">
        <v>326</v>
      </c>
      <c r="J1" s="1371" t="s">
        <v>327</v>
      </c>
      <c r="K1" s="1371" t="s">
        <v>328</v>
      </c>
      <c r="L1" s="1371" t="s">
        <v>437</v>
      </c>
      <c r="M1" s="1371" t="s">
        <v>330</v>
      </c>
      <c r="N1" s="1371" t="s">
        <v>331</v>
      </c>
      <c r="O1" s="1371" t="s">
        <v>438</v>
      </c>
      <c r="P1" s="1371" t="s">
        <v>439</v>
      </c>
      <c r="Q1" s="1371" t="s">
        <v>334</v>
      </c>
      <c r="R1" s="1371" t="s">
        <v>335</v>
      </c>
      <c r="S1" s="1371" t="s">
        <v>336</v>
      </c>
      <c r="T1" s="1371" t="s">
        <v>440</v>
      </c>
      <c r="U1" s="1371" t="s">
        <v>338</v>
      </c>
      <c r="V1" s="1371" t="s">
        <v>339</v>
      </c>
      <c r="W1" s="1371" t="s">
        <v>340</v>
      </c>
      <c r="X1" s="1371" t="s">
        <v>354</v>
      </c>
      <c r="Y1" s="1371" t="s">
        <v>89</v>
      </c>
      <c r="Z1" s="1371" t="s">
        <v>441</v>
      </c>
    </row>
    <row r="2" spans="1:26">
      <c r="A2" s="1369" t="e">
        <v>#NAME?</v>
      </c>
      <c r="B2" s="1369" t="s">
        <v>445</v>
      </c>
      <c r="C2" s="1369">
        <v>1</v>
      </c>
      <c r="D2" s="1369" t="s">
        <v>446</v>
      </c>
      <c r="E2" s="1369"/>
      <c r="F2" s="1369"/>
      <c r="G2" s="1369" t="s">
        <v>447</v>
      </c>
      <c r="H2" s="1369">
        <v>0</v>
      </c>
      <c r="I2" s="1369"/>
      <c r="J2" s="1369"/>
      <c r="K2" s="1369"/>
      <c r="L2" s="1369">
        <v>1</v>
      </c>
      <c r="M2" s="1369">
        <v>1</v>
      </c>
      <c r="N2" s="1369"/>
      <c r="O2" s="1369"/>
      <c r="P2" s="1369">
        <v>0</v>
      </c>
      <c r="Q2" s="1369"/>
      <c r="R2" s="1369"/>
      <c r="S2" s="1369"/>
      <c r="T2" s="1369">
        <v>0</v>
      </c>
      <c r="U2" s="1369"/>
      <c r="V2" s="1369"/>
      <c r="W2" s="1369"/>
      <c r="X2" s="1369" t="s">
        <v>173</v>
      </c>
      <c r="Y2" s="1369" t="s">
        <v>168</v>
      </c>
      <c r="Z2" s="1369"/>
    </row>
    <row r="3" spans="1:26">
      <c r="A3" s="1369" t="e">
        <v>#NAME?</v>
      </c>
      <c r="B3" s="1369" t="s">
        <v>168</v>
      </c>
      <c r="C3" s="1369">
        <v>5</v>
      </c>
      <c r="D3" s="1369" t="s">
        <v>118</v>
      </c>
      <c r="E3" s="1369"/>
      <c r="F3" s="1369"/>
      <c r="G3" s="1369"/>
      <c r="H3" s="1369"/>
      <c r="I3" s="1369"/>
      <c r="J3" s="1369"/>
      <c r="K3" s="1369"/>
      <c r="L3" s="1369"/>
      <c r="M3" s="1369"/>
      <c r="N3" s="1369"/>
      <c r="O3" s="1369"/>
      <c r="P3" s="1369"/>
      <c r="Q3" s="1369"/>
      <c r="R3" s="1369"/>
      <c r="S3" s="1369"/>
      <c r="T3" s="1369"/>
      <c r="U3" s="1369"/>
      <c r="V3" s="1369"/>
      <c r="W3" s="1369"/>
      <c r="X3" s="1369" t="s">
        <v>101</v>
      </c>
      <c r="Y3" s="1369" t="s">
        <v>168</v>
      </c>
      <c r="Z3" s="1369"/>
    </row>
    <row r="4" spans="1:26">
      <c r="A4" s="1369" t="e">
        <v>#NAME?</v>
      </c>
      <c r="B4" s="1369" t="s">
        <v>926</v>
      </c>
      <c r="C4" s="1369">
        <v>8</v>
      </c>
      <c r="D4" s="1369" t="s">
        <v>103</v>
      </c>
      <c r="E4" s="1369"/>
      <c r="F4" s="1369"/>
      <c r="G4" s="1369"/>
      <c r="H4" s="1369">
        <v>8</v>
      </c>
      <c r="I4" s="1369"/>
      <c r="J4" s="1369"/>
      <c r="K4" s="1369"/>
      <c r="L4" s="1369"/>
      <c r="M4" s="1369"/>
      <c r="N4" s="1369"/>
      <c r="O4" s="1369"/>
      <c r="P4" s="1369"/>
      <c r="Q4" s="1369"/>
      <c r="R4" s="1369"/>
      <c r="S4" s="1369"/>
      <c r="T4" s="1369"/>
      <c r="U4" s="1369"/>
      <c r="V4" s="1369"/>
      <c r="W4" s="1369"/>
      <c r="X4" s="1369" t="s">
        <v>181</v>
      </c>
      <c r="Y4" s="1369" t="s">
        <v>168</v>
      </c>
      <c r="Z4" s="1369"/>
    </row>
    <row r="5" spans="1:26">
      <c r="A5" s="1369" t="e">
        <v>#NAME?</v>
      </c>
      <c r="B5" s="1369" t="s">
        <v>880</v>
      </c>
      <c r="C5" s="1369">
        <v>2</v>
      </c>
      <c r="D5" s="1369" t="s">
        <v>103</v>
      </c>
      <c r="E5" s="1369"/>
      <c r="F5" s="1369"/>
      <c r="G5" s="1369"/>
      <c r="H5" s="1369">
        <v>2</v>
      </c>
      <c r="I5" s="1369">
        <v>2</v>
      </c>
      <c r="J5" s="1369"/>
      <c r="K5" s="1369"/>
      <c r="L5" s="1369">
        <v>0</v>
      </c>
      <c r="M5" s="1369"/>
      <c r="N5" s="1369"/>
      <c r="O5" s="1369"/>
      <c r="P5" s="1369">
        <v>0</v>
      </c>
      <c r="Q5" s="1369"/>
      <c r="R5" s="1369"/>
      <c r="S5" s="1369"/>
      <c r="T5" s="1369">
        <v>0</v>
      </c>
      <c r="U5" s="1369"/>
      <c r="V5" s="1369"/>
      <c r="W5" s="1369"/>
      <c r="X5" s="1369" t="s">
        <v>151</v>
      </c>
      <c r="Y5" s="1369" t="s">
        <v>168</v>
      </c>
      <c r="Z5" s="1369"/>
    </row>
    <row r="6" spans="1:26">
      <c r="A6" s="1369" t="e">
        <v>#NAME?</v>
      </c>
      <c r="B6" s="1369" t="s">
        <v>880</v>
      </c>
      <c r="C6" s="1369">
        <v>2</v>
      </c>
      <c r="D6" s="1369" t="s">
        <v>103</v>
      </c>
      <c r="E6" s="1369"/>
      <c r="F6" s="1369"/>
      <c r="G6" s="1369"/>
      <c r="H6" s="1369">
        <v>2</v>
      </c>
      <c r="I6" s="1369">
        <v>2</v>
      </c>
      <c r="J6" s="1369"/>
      <c r="K6" s="1369"/>
      <c r="L6" s="1369">
        <v>0</v>
      </c>
      <c r="M6" s="1369"/>
      <c r="N6" s="1369"/>
      <c r="O6" s="1369"/>
      <c r="P6" s="1369">
        <v>0</v>
      </c>
      <c r="Q6" s="1369"/>
      <c r="R6" s="1369"/>
      <c r="S6" s="1369"/>
      <c r="T6" s="1369">
        <v>0</v>
      </c>
      <c r="U6" s="1369"/>
      <c r="V6" s="1369"/>
      <c r="W6" s="1369"/>
      <c r="X6" s="1369" t="s">
        <v>178</v>
      </c>
      <c r="Y6" s="1369" t="s">
        <v>168</v>
      </c>
      <c r="Z6" s="1369"/>
    </row>
    <row r="7" spans="1:26">
      <c r="A7" s="1369" t="e">
        <v>#NAME?</v>
      </c>
      <c r="B7" s="1369" t="s">
        <v>880</v>
      </c>
      <c r="C7" s="1369">
        <v>2</v>
      </c>
      <c r="D7" s="1369" t="s">
        <v>103</v>
      </c>
      <c r="E7" s="1369"/>
      <c r="F7" s="1369"/>
      <c r="G7" s="1369"/>
      <c r="H7" s="1369">
        <v>2</v>
      </c>
      <c r="I7" s="1369">
        <v>2</v>
      </c>
      <c r="J7" s="1369"/>
      <c r="K7" s="1369"/>
      <c r="L7" s="1369">
        <v>0</v>
      </c>
      <c r="M7" s="1369"/>
      <c r="N7" s="1369"/>
      <c r="O7" s="1369"/>
      <c r="P7" s="1369">
        <v>0</v>
      </c>
      <c r="Q7" s="1369"/>
      <c r="R7" s="1369"/>
      <c r="S7" s="1369"/>
      <c r="T7" s="1369">
        <v>0</v>
      </c>
      <c r="U7" s="1369"/>
      <c r="V7" s="1369"/>
      <c r="W7" s="1369"/>
      <c r="X7" s="1369" t="s">
        <v>177</v>
      </c>
      <c r="Y7" s="1369" t="s">
        <v>168</v>
      </c>
      <c r="Z7" s="1369"/>
    </row>
    <row r="8" spans="1:26">
      <c r="A8" s="1369" t="e">
        <v>#NAME?</v>
      </c>
      <c r="B8" s="1369" t="s">
        <v>876</v>
      </c>
      <c r="C8" s="1369">
        <v>2</v>
      </c>
      <c r="D8" s="1369" t="s">
        <v>446</v>
      </c>
      <c r="E8" s="1369"/>
      <c r="F8" s="1369"/>
      <c r="G8" s="1369"/>
      <c r="H8" s="1369">
        <v>2</v>
      </c>
      <c r="I8" s="1369"/>
      <c r="J8" s="1369"/>
      <c r="K8" s="1369"/>
      <c r="L8" s="1369"/>
      <c r="M8" s="1369"/>
      <c r="N8" s="1369"/>
      <c r="O8" s="1369"/>
      <c r="P8" s="1369"/>
      <c r="Q8" s="1369"/>
      <c r="R8" s="1369"/>
      <c r="S8" s="1369"/>
      <c r="T8" s="1369"/>
      <c r="U8" s="1369"/>
      <c r="V8" s="1369"/>
      <c r="W8" s="1369"/>
      <c r="X8" s="1369" t="s">
        <v>175</v>
      </c>
      <c r="Y8" s="1369" t="s">
        <v>168</v>
      </c>
      <c r="Z8" s="1369"/>
    </row>
    <row r="9" spans="1:26">
      <c r="A9" s="1369" t="e">
        <v>#NAME?</v>
      </c>
      <c r="B9" s="1369" t="s">
        <v>864</v>
      </c>
      <c r="C9" s="1369">
        <v>1</v>
      </c>
      <c r="D9" s="1369" t="s">
        <v>118</v>
      </c>
      <c r="E9" s="1369"/>
      <c r="F9" s="1369"/>
      <c r="G9" s="1369"/>
      <c r="H9" s="1369">
        <v>0</v>
      </c>
      <c r="I9" s="1369"/>
      <c r="J9" s="1369"/>
      <c r="K9" s="1369"/>
      <c r="L9" s="1369">
        <v>1</v>
      </c>
      <c r="M9" s="1369">
        <v>1</v>
      </c>
      <c r="N9" s="1369"/>
      <c r="O9" s="1369"/>
      <c r="P9" s="1369">
        <v>0</v>
      </c>
      <c r="Q9" s="1369"/>
      <c r="R9" s="1369"/>
      <c r="S9" s="1369"/>
      <c r="T9" s="1369">
        <v>0</v>
      </c>
      <c r="U9" s="1369"/>
      <c r="V9" s="1369"/>
      <c r="W9" s="1369"/>
      <c r="X9" s="1369" t="s">
        <v>140</v>
      </c>
      <c r="Y9" s="1369" t="s">
        <v>168</v>
      </c>
      <c r="Z9" s="1369"/>
    </row>
    <row r="10" spans="1:26">
      <c r="A10" s="1369" t="e">
        <v>#NAME?</v>
      </c>
      <c r="B10" s="1369" t="s">
        <v>849</v>
      </c>
      <c r="C10" s="1369">
        <v>2</v>
      </c>
      <c r="D10" s="1369" t="s">
        <v>103</v>
      </c>
      <c r="E10" s="1369"/>
      <c r="F10" s="1369"/>
      <c r="G10" s="1369"/>
      <c r="H10" s="1369">
        <v>2</v>
      </c>
      <c r="I10" s="1369">
        <v>2</v>
      </c>
      <c r="J10" s="1369"/>
      <c r="K10" s="1369"/>
      <c r="L10" s="1369">
        <v>0</v>
      </c>
      <c r="M10" s="1369"/>
      <c r="N10" s="1369"/>
      <c r="O10" s="1369"/>
      <c r="P10" s="1369">
        <v>0</v>
      </c>
      <c r="Q10" s="1369"/>
      <c r="R10" s="1369"/>
      <c r="S10" s="1369"/>
      <c r="T10" s="1369">
        <v>0</v>
      </c>
      <c r="U10" s="1369"/>
      <c r="V10" s="1369"/>
      <c r="W10" s="1369"/>
      <c r="X10" s="1369" t="s">
        <v>109</v>
      </c>
      <c r="Y10" s="1369" t="s">
        <v>168</v>
      </c>
      <c r="Z10" s="1369"/>
    </row>
    <row r="11" spans="1:26">
      <c r="A11" s="1369" t="e">
        <v>#NAME?</v>
      </c>
      <c r="B11" s="1369" t="s">
        <v>849</v>
      </c>
      <c r="C11" s="1369">
        <v>4</v>
      </c>
      <c r="D11" s="1369" t="s">
        <v>103</v>
      </c>
      <c r="E11" s="1369"/>
      <c r="F11" s="1369"/>
      <c r="G11" s="1369"/>
      <c r="H11" s="1369">
        <v>2</v>
      </c>
      <c r="I11" s="1369">
        <v>2</v>
      </c>
      <c r="J11" s="1369"/>
      <c r="K11" s="1369"/>
      <c r="L11" s="1369">
        <v>0</v>
      </c>
      <c r="M11" s="1369"/>
      <c r="N11" s="1369"/>
      <c r="O11" s="1369"/>
      <c r="P11" s="1369">
        <v>2</v>
      </c>
      <c r="Q11" s="1369">
        <v>2</v>
      </c>
      <c r="R11" s="1369"/>
      <c r="S11" s="1369"/>
      <c r="T11" s="1369">
        <v>0</v>
      </c>
      <c r="U11" s="1369"/>
      <c r="V11" s="1369"/>
      <c r="W11" s="1369"/>
      <c r="X11" s="1369" t="s">
        <v>108</v>
      </c>
      <c r="Y11" s="1369" t="s">
        <v>168</v>
      </c>
      <c r="Z11" s="1369"/>
    </row>
    <row r="12" spans="1:26">
      <c r="A12" s="1369" t="e">
        <v>#NAME?</v>
      </c>
      <c r="B12" s="1369" t="s">
        <v>654</v>
      </c>
      <c r="C12" s="1369">
        <v>1</v>
      </c>
      <c r="D12" s="1369" t="s">
        <v>446</v>
      </c>
      <c r="E12" s="1369"/>
      <c r="F12" s="1369"/>
      <c r="G12" s="1369"/>
      <c r="H12" s="1369">
        <v>1</v>
      </c>
      <c r="I12" s="1369"/>
      <c r="J12" s="1369"/>
      <c r="K12" s="1369"/>
      <c r="L12" s="1369"/>
      <c r="M12" s="1369"/>
      <c r="N12" s="1369"/>
      <c r="O12" s="1369"/>
      <c r="P12" s="1369"/>
      <c r="Q12" s="1369"/>
      <c r="R12" s="1369"/>
      <c r="S12" s="1369"/>
      <c r="T12" s="1369"/>
      <c r="U12" s="1369"/>
      <c r="V12" s="1369"/>
      <c r="W12" s="1369"/>
      <c r="X12" s="1369" t="s">
        <v>170</v>
      </c>
      <c r="Y12" s="1369" t="s">
        <v>168</v>
      </c>
      <c r="Z12" s="1369"/>
    </row>
    <row r="13" spans="1:26">
      <c r="A13" s="1369" t="e">
        <v>#NAME?</v>
      </c>
      <c r="B13" s="1369" t="s">
        <v>467</v>
      </c>
      <c r="C13" s="1369">
        <v>1</v>
      </c>
      <c r="D13" s="1369" t="s">
        <v>118</v>
      </c>
      <c r="E13" s="1369"/>
      <c r="F13" s="1369"/>
      <c r="G13" s="1369"/>
      <c r="H13" s="1369">
        <v>1</v>
      </c>
      <c r="I13" s="1369"/>
      <c r="J13" s="1369"/>
      <c r="K13" s="1369"/>
      <c r="L13" s="1369"/>
      <c r="M13" s="1369"/>
      <c r="N13" s="1369"/>
      <c r="O13" s="1369"/>
      <c r="P13" s="1369"/>
      <c r="Q13" s="1369"/>
      <c r="R13" s="1369"/>
      <c r="S13" s="1369"/>
      <c r="T13" s="1369"/>
      <c r="U13" s="1369"/>
      <c r="V13" s="1369"/>
      <c r="W13" s="1369"/>
      <c r="X13" s="1369" t="s">
        <v>115</v>
      </c>
      <c r="Y13" s="1369" t="s">
        <v>168</v>
      </c>
      <c r="Z13" s="1369"/>
    </row>
    <row r="14" spans="1:26">
      <c r="A14" s="1369" t="e">
        <v>#NAME?</v>
      </c>
      <c r="B14" s="1369" t="s">
        <v>775</v>
      </c>
      <c r="C14" s="1369">
        <v>6</v>
      </c>
      <c r="D14" s="1369" t="s">
        <v>118</v>
      </c>
      <c r="E14" s="1369"/>
      <c r="F14" s="1369"/>
      <c r="G14" s="1369" t="s">
        <v>342</v>
      </c>
      <c r="H14" s="1369">
        <v>6</v>
      </c>
      <c r="I14" s="1369">
        <v>6</v>
      </c>
      <c r="J14" s="1369">
        <v>0</v>
      </c>
      <c r="K14" s="1369">
        <v>0</v>
      </c>
      <c r="L14" s="1369">
        <v>0</v>
      </c>
      <c r="M14" s="1369">
        <v>0</v>
      </c>
      <c r="N14" s="1369">
        <v>0</v>
      </c>
      <c r="O14" s="1369">
        <v>0</v>
      </c>
      <c r="P14" s="1369">
        <v>0</v>
      </c>
      <c r="Q14" s="1369">
        <v>0</v>
      </c>
      <c r="R14" s="1369">
        <v>0</v>
      </c>
      <c r="S14" s="1369">
        <v>0</v>
      </c>
      <c r="T14" s="1369">
        <v>0</v>
      </c>
      <c r="U14" s="1369">
        <v>0</v>
      </c>
      <c r="V14" s="1369">
        <v>0</v>
      </c>
      <c r="W14" s="1369">
        <v>0</v>
      </c>
      <c r="X14" s="1369" t="s">
        <v>112</v>
      </c>
      <c r="Y14" s="1369" t="s">
        <v>168</v>
      </c>
      <c r="Z14" s="1369"/>
    </row>
    <row r="15" spans="1:26">
      <c r="A15" s="1369" t="e">
        <v>#NAME?</v>
      </c>
      <c r="B15" s="1369" t="s">
        <v>747</v>
      </c>
      <c r="C15" s="1369">
        <v>8</v>
      </c>
      <c r="D15" s="1369" t="s">
        <v>103</v>
      </c>
      <c r="E15" s="1369"/>
      <c r="F15" s="1369"/>
      <c r="G15" s="1369"/>
      <c r="H15" s="1369">
        <v>4</v>
      </c>
      <c r="I15" s="1369">
        <v>4</v>
      </c>
      <c r="J15" s="1369"/>
      <c r="K15" s="1369"/>
      <c r="L15" s="1369">
        <v>0</v>
      </c>
      <c r="M15" s="1369"/>
      <c r="N15" s="1369"/>
      <c r="O15" s="1369"/>
      <c r="P15" s="1369">
        <v>4</v>
      </c>
      <c r="Q15" s="1369">
        <v>4</v>
      </c>
      <c r="R15" s="1369"/>
      <c r="S15" s="1369"/>
      <c r="T15" s="1369">
        <v>0</v>
      </c>
      <c r="U15" s="1369"/>
      <c r="V15" s="1369"/>
      <c r="W15" s="1369"/>
      <c r="X15" s="1369" t="s">
        <v>116</v>
      </c>
      <c r="Y15" s="1369" t="s">
        <v>168</v>
      </c>
      <c r="Z15" s="1369"/>
    </row>
    <row r="16" spans="1:26">
      <c r="A16" s="1369" t="e">
        <v>#NAME?</v>
      </c>
      <c r="B16" s="1369" t="s">
        <v>718</v>
      </c>
      <c r="C16" s="1369">
        <v>1</v>
      </c>
      <c r="D16" s="1369" t="s">
        <v>446</v>
      </c>
      <c r="E16" s="1369"/>
      <c r="F16" s="1369"/>
      <c r="G16" s="1369" t="s">
        <v>342</v>
      </c>
      <c r="H16" s="1369">
        <v>1</v>
      </c>
      <c r="I16" s="1369"/>
      <c r="J16" s="1369"/>
      <c r="K16" s="1369"/>
      <c r="L16" s="1369">
        <v>0</v>
      </c>
      <c r="M16" s="1369"/>
      <c r="N16" s="1369"/>
      <c r="O16" s="1369"/>
      <c r="P16" s="1369">
        <v>0</v>
      </c>
      <c r="Q16" s="1369"/>
      <c r="R16" s="1369"/>
      <c r="S16" s="1369"/>
      <c r="T16" s="1369">
        <v>0</v>
      </c>
      <c r="U16" s="1369"/>
      <c r="V16" s="1369"/>
      <c r="W16" s="1369"/>
      <c r="X16" s="1369" t="s">
        <v>117</v>
      </c>
      <c r="Y16" s="1369" t="s">
        <v>168</v>
      </c>
      <c r="Z16" s="1369"/>
    </row>
    <row r="17" spans="1:26">
      <c r="A17" s="1369" t="e">
        <v>#NAME?</v>
      </c>
      <c r="B17" s="1369" t="s">
        <v>542</v>
      </c>
      <c r="C17" s="1369">
        <v>1</v>
      </c>
      <c r="D17" s="1369" t="s">
        <v>118</v>
      </c>
      <c r="E17" s="1369"/>
      <c r="F17" s="1369"/>
      <c r="G17" s="1369"/>
      <c r="H17" s="1369">
        <v>1</v>
      </c>
      <c r="I17" s="1369"/>
      <c r="J17" s="1369"/>
      <c r="K17" s="1369"/>
      <c r="L17" s="1369"/>
      <c r="M17" s="1369"/>
      <c r="N17" s="1369"/>
      <c r="O17" s="1369"/>
      <c r="P17" s="1369"/>
      <c r="Q17" s="1369"/>
      <c r="R17" s="1369"/>
      <c r="S17" s="1369"/>
      <c r="T17" s="1369"/>
      <c r="U17" s="1369"/>
      <c r="V17" s="1369"/>
      <c r="W17" s="1369"/>
      <c r="X17" s="1369" t="s">
        <v>179</v>
      </c>
      <c r="Y17" s="1369" t="s">
        <v>168</v>
      </c>
      <c r="Z17" s="1369"/>
    </row>
    <row r="18" spans="1:26">
      <c r="A18" s="1369" t="e">
        <v>#NAME?</v>
      </c>
      <c r="B18" s="1369" t="s">
        <v>654</v>
      </c>
      <c r="C18" s="1369">
        <v>9</v>
      </c>
      <c r="D18" s="1369" t="s">
        <v>446</v>
      </c>
      <c r="E18" s="1369"/>
      <c r="F18" s="1369"/>
      <c r="G18" s="1369" t="s">
        <v>342</v>
      </c>
      <c r="H18" s="1369">
        <v>6</v>
      </c>
      <c r="I18" s="1369">
        <v>6</v>
      </c>
      <c r="J18" s="1369">
        <v>0</v>
      </c>
      <c r="K18" s="1369">
        <v>0</v>
      </c>
      <c r="L18" s="1369">
        <v>0</v>
      </c>
      <c r="M18" s="1369">
        <v>0</v>
      </c>
      <c r="N18" s="1369">
        <v>0</v>
      </c>
      <c r="O18" s="1369">
        <v>0</v>
      </c>
      <c r="P18" s="1369">
        <v>3</v>
      </c>
      <c r="Q18" s="1369">
        <v>3</v>
      </c>
      <c r="R18" s="1369">
        <v>0</v>
      </c>
      <c r="S18" s="1369">
        <v>0</v>
      </c>
      <c r="T18" s="1369">
        <v>0</v>
      </c>
      <c r="U18" s="1369">
        <v>0</v>
      </c>
      <c r="V18" s="1369">
        <v>0</v>
      </c>
      <c r="W18" s="1369">
        <v>0</v>
      </c>
      <c r="X18" s="1369" t="s">
        <v>110</v>
      </c>
      <c r="Y18" s="1369" t="s">
        <v>168</v>
      </c>
      <c r="Z18" s="1369"/>
    </row>
    <row r="19" spans="1:26">
      <c r="A19" s="1369" t="e">
        <v>#NAME?</v>
      </c>
      <c r="B19" s="1369" t="s">
        <v>621</v>
      </c>
      <c r="C19" s="1369">
        <v>4</v>
      </c>
      <c r="D19" s="1369" t="s">
        <v>118</v>
      </c>
      <c r="E19" s="1369"/>
      <c r="F19" s="1369"/>
      <c r="G19" s="1369" t="s">
        <v>342</v>
      </c>
      <c r="H19" s="1369">
        <v>4</v>
      </c>
      <c r="I19" s="1369">
        <v>5</v>
      </c>
      <c r="J19" s="1369"/>
      <c r="K19" s="1369"/>
      <c r="L19" s="1369">
        <v>0</v>
      </c>
      <c r="M19" s="1369"/>
      <c r="N19" s="1369"/>
      <c r="O19" s="1369"/>
      <c r="P19" s="1369">
        <v>0</v>
      </c>
      <c r="Q19" s="1369"/>
      <c r="R19" s="1369"/>
      <c r="S19" s="1369"/>
      <c r="T19" s="1369">
        <v>0</v>
      </c>
      <c r="U19" s="1369"/>
      <c r="V19" s="1369"/>
      <c r="W19" s="1369"/>
      <c r="X19" s="1369" t="s">
        <v>176</v>
      </c>
      <c r="Y19" s="1369" t="s">
        <v>168</v>
      </c>
      <c r="Z19" s="1369"/>
    </row>
    <row r="20" spans="1:26">
      <c r="A20" s="1369" t="e">
        <v>#NAME?</v>
      </c>
      <c r="B20" s="1369" t="s">
        <v>467</v>
      </c>
      <c r="C20" s="1369">
        <v>1</v>
      </c>
      <c r="D20" s="1369" t="s">
        <v>103</v>
      </c>
      <c r="E20" s="1369"/>
      <c r="F20" s="1369"/>
      <c r="G20" s="1369" t="s">
        <v>447</v>
      </c>
      <c r="H20" s="1369">
        <v>1</v>
      </c>
      <c r="I20" s="1369">
        <v>1</v>
      </c>
      <c r="J20" s="1369"/>
      <c r="K20" s="1369"/>
      <c r="L20" s="1369"/>
      <c r="M20" s="1369"/>
      <c r="N20" s="1369"/>
      <c r="O20" s="1369"/>
      <c r="P20" s="1369"/>
      <c r="Q20" s="1369"/>
      <c r="R20" s="1369"/>
      <c r="S20" s="1369"/>
      <c r="T20" s="1369"/>
      <c r="U20" s="1369"/>
      <c r="V20" s="1369"/>
      <c r="W20" s="1369"/>
      <c r="X20" s="1369" t="s">
        <v>172</v>
      </c>
      <c r="Y20" s="1369" t="s">
        <v>168</v>
      </c>
      <c r="Z20" s="1369"/>
    </row>
    <row r="21" spans="1:26">
      <c r="A21" s="1369" t="e">
        <v>#NAME?</v>
      </c>
      <c r="B21" s="1369" t="s">
        <v>617</v>
      </c>
      <c r="C21" s="1369">
        <v>2</v>
      </c>
      <c r="D21" s="1369" t="s">
        <v>618</v>
      </c>
      <c r="E21" s="1369"/>
      <c r="F21" s="1369"/>
      <c r="G21" s="1369" t="s">
        <v>342</v>
      </c>
      <c r="H21" s="1369">
        <v>2</v>
      </c>
      <c r="I21" s="1369" t="s">
        <v>619</v>
      </c>
      <c r="J21" s="1369"/>
      <c r="K21" s="1369"/>
      <c r="L21" s="1369"/>
      <c r="M21" s="1369"/>
      <c r="N21" s="1369"/>
      <c r="O21" s="1369"/>
      <c r="P21" s="1369"/>
      <c r="Q21" s="1369"/>
      <c r="R21" s="1369"/>
      <c r="S21" s="1369"/>
      <c r="T21" s="1369"/>
      <c r="U21" s="1369"/>
      <c r="V21" s="1369"/>
      <c r="W21" s="1369"/>
      <c r="X21" s="1369" t="s">
        <v>169</v>
      </c>
      <c r="Y21" s="1369" t="s">
        <v>168</v>
      </c>
      <c r="Z21" s="1369"/>
    </row>
    <row r="22" spans="1:26">
      <c r="A22" s="1369" t="e">
        <v>#NAME?</v>
      </c>
      <c r="B22" s="1369" t="s">
        <v>467</v>
      </c>
      <c r="C22" s="1369">
        <v>10</v>
      </c>
      <c r="D22" s="1369" t="s">
        <v>118</v>
      </c>
      <c r="E22" s="1369"/>
      <c r="F22" s="1369"/>
      <c r="G22" s="1369"/>
      <c r="H22" s="1369">
        <v>4</v>
      </c>
      <c r="I22" s="1369" t="s">
        <v>533</v>
      </c>
      <c r="J22" s="1369"/>
      <c r="K22" s="1369"/>
      <c r="L22" s="1369">
        <v>3</v>
      </c>
      <c r="M22" s="1369" t="s">
        <v>544</v>
      </c>
      <c r="N22" s="1369"/>
      <c r="O22" s="1369"/>
      <c r="P22" s="1369">
        <v>3</v>
      </c>
      <c r="Q22" s="1369"/>
      <c r="R22" s="1369"/>
      <c r="S22" s="1369"/>
      <c r="T22" s="1369"/>
      <c r="U22" s="1369"/>
      <c r="V22" s="1369"/>
      <c r="W22" s="1369"/>
      <c r="X22" s="1369" t="s">
        <v>174</v>
      </c>
      <c r="Y22" s="1369" t="s">
        <v>168</v>
      </c>
      <c r="Z22" s="1369"/>
    </row>
    <row r="23" spans="1:26">
      <c r="A23" s="1369" t="e">
        <v>#NAME?</v>
      </c>
      <c r="B23" s="1369" t="s">
        <v>467</v>
      </c>
      <c r="C23" s="1369">
        <v>9</v>
      </c>
      <c r="D23" s="1369" t="s">
        <v>118</v>
      </c>
      <c r="E23" s="1369"/>
      <c r="F23" s="1369"/>
      <c r="G23" s="1369" t="s">
        <v>342</v>
      </c>
      <c r="H23" s="1369">
        <v>7</v>
      </c>
      <c r="I23" s="1369" t="s">
        <v>533</v>
      </c>
      <c r="J23" s="1369"/>
      <c r="K23" s="1369"/>
      <c r="L23" s="1369"/>
      <c r="M23" s="1369"/>
      <c r="N23" s="1369"/>
      <c r="O23" s="1369"/>
      <c r="P23" s="1369">
        <v>2</v>
      </c>
      <c r="Q23" s="1369" t="s">
        <v>544</v>
      </c>
      <c r="R23" s="1369"/>
      <c r="S23" s="1369"/>
      <c r="T23" s="1369"/>
      <c r="U23" s="1369"/>
      <c r="V23" s="1369"/>
      <c r="W23" s="1369"/>
      <c r="X23" s="1369" t="s">
        <v>107</v>
      </c>
      <c r="Y23" s="1369" t="s">
        <v>168</v>
      </c>
      <c r="Z23" s="1369"/>
    </row>
    <row r="24" spans="1:26">
      <c r="A24" s="1369" t="e">
        <v>#NAME?</v>
      </c>
      <c r="B24" s="1369" t="s">
        <v>542</v>
      </c>
      <c r="C24" s="1369">
        <v>2</v>
      </c>
      <c r="D24" s="1369" t="s">
        <v>103</v>
      </c>
      <c r="E24" s="1369"/>
      <c r="F24" s="1369"/>
      <c r="G24" s="1369" t="s">
        <v>342</v>
      </c>
      <c r="H24" s="1369">
        <v>2</v>
      </c>
      <c r="I24" s="1369"/>
      <c r="J24" s="1369"/>
      <c r="K24" s="1369"/>
      <c r="L24" s="1369">
        <v>0</v>
      </c>
      <c r="M24" s="1369"/>
      <c r="N24" s="1369"/>
      <c r="O24" s="1369"/>
      <c r="P24" s="1369">
        <v>0</v>
      </c>
      <c r="Q24" s="1369"/>
      <c r="R24" s="1369"/>
      <c r="S24" s="1369"/>
      <c r="T24" s="1369">
        <v>0</v>
      </c>
      <c r="U24" s="1369"/>
      <c r="V24" s="1369"/>
      <c r="W24" s="1369"/>
      <c r="X24" s="1369" t="s">
        <v>180</v>
      </c>
      <c r="Y24" s="1369" t="s">
        <v>168</v>
      </c>
      <c r="Z24" s="1369"/>
    </row>
    <row r="25" spans="1:26">
      <c r="A25" s="1369" t="e">
        <v>#NAME?</v>
      </c>
      <c r="B25" s="1369" t="s">
        <v>564</v>
      </c>
      <c r="C25" s="1369">
        <v>2</v>
      </c>
      <c r="D25" s="1369" t="s">
        <v>118</v>
      </c>
      <c r="E25" s="1369"/>
      <c r="F25" s="1369"/>
      <c r="G25" s="1369"/>
      <c r="H25" s="1369">
        <v>1</v>
      </c>
      <c r="I25" s="1369">
        <v>1</v>
      </c>
      <c r="J25" s="1369"/>
      <c r="K25" s="1369"/>
      <c r="L25" s="1369">
        <v>0</v>
      </c>
      <c r="M25" s="1369"/>
      <c r="N25" s="1369"/>
      <c r="O25" s="1369"/>
      <c r="P25" s="1369">
        <v>1</v>
      </c>
      <c r="Q25" s="1369">
        <v>1</v>
      </c>
      <c r="R25" s="1369"/>
      <c r="S25" s="1369"/>
      <c r="T25" s="1369">
        <v>0</v>
      </c>
      <c r="U25" s="1369"/>
      <c r="V25" s="1369"/>
      <c r="W25" s="1369"/>
      <c r="X25" s="1369" t="s">
        <v>134</v>
      </c>
      <c r="Y25" s="1369" t="s">
        <v>168</v>
      </c>
      <c r="Z25" s="1369"/>
    </row>
    <row r="26" spans="1:26">
      <c r="A26" s="1369" t="e">
        <v>#NAME?</v>
      </c>
      <c r="B26" s="1369" t="s">
        <v>467</v>
      </c>
      <c r="C26" s="1369">
        <v>2</v>
      </c>
      <c r="D26" s="1369" t="s">
        <v>118</v>
      </c>
      <c r="E26" s="1369"/>
      <c r="F26" s="1369"/>
      <c r="G26" s="1369"/>
      <c r="H26" s="1369">
        <v>2</v>
      </c>
      <c r="I26" s="1369">
        <v>2</v>
      </c>
      <c r="J26" s="1369"/>
      <c r="K26" s="1369"/>
      <c r="L26" s="1369"/>
      <c r="M26" s="1369"/>
      <c r="N26" s="1369"/>
      <c r="O26" s="1369"/>
      <c r="P26" s="1369"/>
      <c r="Q26" s="1369"/>
      <c r="R26" s="1369"/>
      <c r="S26" s="1369"/>
      <c r="T26" s="1369"/>
      <c r="U26" s="1369"/>
      <c r="V26" s="1369"/>
      <c r="W26" s="1369"/>
      <c r="X26" s="1369" t="s">
        <v>171</v>
      </c>
      <c r="Y26" s="1369" t="s">
        <v>168</v>
      </c>
      <c r="Z26" s="1369"/>
    </row>
    <row r="27" spans="1:26">
      <c r="A27" s="1369" t="e">
        <v>#NAME?</v>
      </c>
      <c r="B27" s="1369" t="s">
        <v>542</v>
      </c>
      <c r="C27" s="1369">
        <v>2</v>
      </c>
      <c r="D27" s="1369" t="s">
        <v>118</v>
      </c>
      <c r="E27" s="1369"/>
      <c r="F27" s="1369"/>
      <c r="G27" s="1369" t="s">
        <v>342</v>
      </c>
      <c r="H27" s="1369">
        <v>2</v>
      </c>
      <c r="I27" s="1369">
        <v>2</v>
      </c>
      <c r="J27" s="1369"/>
      <c r="K27" s="1369"/>
      <c r="L27" s="1369"/>
      <c r="M27" s="1369"/>
      <c r="N27" s="1369"/>
      <c r="O27" s="1369"/>
      <c r="P27" s="1369"/>
      <c r="Q27" s="1369"/>
      <c r="R27" s="1369"/>
      <c r="S27" s="1369"/>
      <c r="T27" s="1369"/>
      <c r="U27" s="1369"/>
      <c r="V27" s="1369"/>
      <c r="W27" s="1369"/>
      <c r="X27" s="1369" t="s">
        <v>132</v>
      </c>
      <c r="Y27" s="1369" t="s">
        <v>168</v>
      </c>
      <c r="Z27" s="1369"/>
    </row>
    <row r="28" spans="1:26">
      <c r="A28" s="1369" t="e">
        <v>#NAME?</v>
      </c>
      <c r="B28" s="1369" t="s">
        <v>526</v>
      </c>
      <c r="C28" s="1369">
        <v>2</v>
      </c>
      <c r="D28" s="1369" t="s">
        <v>446</v>
      </c>
      <c r="E28" s="1369"/>
      <c r="F28" s="1369"/>
      <c r="G28" s="1369"/>
      <c r="H28" s="1369">
        <v>0</v>
      </c>
      <c r="I28" s="1369">
        <v>0</v>
      </c>
      <c r="J28" s="1369">
        <v>0</v>
      </c>
      <c r="K28" s="1369">
        <v>0</v>
      </c>
      <c r="L28" s="1369">
        <v>0</v>
      </c>
      <c r="M28" s="1369">
        <v>0</v>
      </c>
      <c r="N28" s="1369">
        <v>0</v>
      </c>
      <c r="O28" s="1369">
        <v>0</v>
      </c>
      <c r="P28" s="1369">
        <v>0</v>
      </c>
      <c r="Q28" s="1369">
        <v>0</v>
      </c>
      <c r="R28" s="1369">
        <v>0</v>
      </c>
      <c r="S28" s="1369">
        <v>0</v>
      </c>
      <c r="T28" s="1369">
        <v>2</v>
      </c>
      <c r="U28" s="1369">
        <v>2</v>
      </c>
      <c r="V28" s="1369">
        <v>0</v>
      </c>
      <c r="W28" s="1369">
        <v>0</v>
      </c>
      <c r="X28" s="1369" t="s">
        <v>137</v>
      </c>
      <c r="Y28" s="1369" t="s">
        <v>168</v>
      </c>
      <c r="Z28" s="1369"/>
    </row>
    <row r="29" spans="1:26">
      <c r="A29" s="1369" t="e">
        <v>#NAME?</v>
      </c>
      <c r="B29" s="1369" t="s">
        <v>523</v>
      </c>
      <c r="C29" s="1369">
        <v>1</v>
      </c>
      <c r="D29" s="1369"/>
      <c r="E29" s="1369"/>
      <c r="F29" s="1369"/>
      <c r="G29" s="1369"/>
      <c r="H29" s="1369">
        <v>1</v>
      </c>
      <c r="I29" s="1369">
        <v>1</v>
      </c>
      <c r="J29" s="1369">
        <v>0</v>
      </c>
      <c r="K29" s="1369">
        <v>0</v>
      </c>
      <c r="L29" s="1369">
        <v>0</v>
      </c>
      <c r="M29" s="1369">
        <v>0</v>
      </c>
      <c r="N29" s="1369">
        <v>0</v>
      </c>
      <c r="O29" s="1369">
        <v>0</v>
      </c>
      <c r="P29" s="1369">
        <v>0</v>
      </c>
      <c r="Q29" s="1369">
        <v>0</v>
      </c>
      <c r="R29" s="1369">
        <v>0</v>
      </c>
      <c r="S29" s="1369">
        <v>0</v>
      </c>
      <c r="T29" s="1369">
        <v>0</v>
      </c>
      <c r="U29" s="1369">
        <v>0</v>
      </c>
      <c r="V29" s="1369">
        <v>0</v>
      </c>
      <c r="W29" s="1369">
        <v>0</v>
      </c>
      <c r="X29" s="1369" t="s">
        <v>137</v>
      </c>
      <c r="Y29" s="1369" t="s">
        <v>168</v>
      </c>
      <c r="Z29" s="1369"/>
    </row>
    <row r="30" spans="1:26" ht="13.5" thickBot="1">
      <c r="A30" s="1370" t="e">
        <v>#NAME?</v>
      </c>
      <c r="B30" s="1370" t="s">
        <v>481</v>
      </c>
      <c r="C30" s="1370">
        <v>1</v>
      </c>
      <c r="D30" s="1370" t="s">
        <v>103</v>
      </c>
      <c r="E30" s="1370"/>
      <c r="F30" s="1370"/>
      <c r="G30" s="1370" t="s">
        <v>447</v>
      </c>
      <c r="H30" s="1370">
        <v>1</v>
      </c>
      <c r="I30" s="1370">
        <v>1</v>
      </c>
      <c r="J30" s="1370">
        <v>0</v>
      </c>
      <c r="K30" s="1370">
        <v>0</v>
      </c>
      <c r="L30" s="1370">
        <v>0</v>
      </c>
      <c r="M30" s="1370">
        <v>0</v>
      </c>
      <c r="N30" s="1370">
        <v>0</v>
      </c>
      <c r="O30" s="1370">
        <v>0</v>
      </c>
      <c r="P30" s="1370">
        <v>0</v>
      </c>
      <c r="Q30" s="1370">
        <v>0</v>
      </c>
      <c r="R30" s="1370">
        <v>0</v>
      </c>
      <c r="S30" s="1370">
        <v>0</v>
      </c>
      <c r="T30" s="1370">
        <v>0</v>
      </c>
      <c r="U30" s="1370">
        <v>0</v>
      </c>
      <c r="V30" s="1370">
        <v>0</v>
      </c>
      <c r="W30" s="1370">
        <v>0</v>
      </c>
      <c r="X30" s="1370" t="s">
        <v>139</v>
      </c>
      <c r="Y30" s="1370" t="s">
        <v>168</v>
      </c>
      <c r="Z30" s="1370"/>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FFFF"/>
    <outlinePr summaryBelow="0" summaryRight="0"/>
  </sheetPr>
  <dimension ref="A1:AT999"/>
  <sheetViews>
    <sheetView showGridLines="0" workbookViewId="0">
      <pane ySplit="1" topLeftCell="A20" activePane="bottomLeft" state="frozen"/>
      <selection pane="bottomLeft" activeCell="B53" sqref="B53"/>
    </sheetView>
  </sheetViews>
  <sheetFormatPr defaultColWidth="12.5703125" defaultRowHeight="15.75" customHeight="1"/>
  <cols>
    <col min="1" max="1" width="66.42578125" customWidth="1"/>
    <col min="2" max="2" width="20.42578125" customWidth="1"/>
    <col min="4" max="4" width="20.140625" customWidth="1"/>
    <col min="5" max="5" width="19" customWidth="1"/>
  </cols>
  <sheetData>
    <row r="1" spans="1:46" ht="15.75" customHeight="1">
      <c r="A1" s="1349" t="s">
        <v>89</v>
      </c>
      <c r="B1" s="1351" t="s">
        <v>428</v>
      </c>
      <c r="C1" s="117" t="s">
        <v>92</v>
      </c>
      <c r="D1" s="118" t="s">
        <v>429</v>
      </c>
      <c r="E1" s="118" t="s">
        <v>430</v>
      </c>
      <c r="F1" s="119" t="e">
        <f>E188</f>
        <v>#N/A</v>
      </c>
      <c r="G1" s="116"/>
      <c r="H1" s="116"/>
      <c r="I1" s="116"/>
      <c r="J1" s="116"/>
      <c r="K1" s="116"/>
      <c r="L1" s="116"/>
      <c r="M1" s="116"/>
      <c r="N1" s="116"/>
      <c r="O1" s="116"/>
      <c r="P1" s="116"/>
      <c r="Q1" s="116"/>
      <c r="R1" s="116"/>
      <c r="S1" s="116"/>
      <c r="T1" s="116"/>
      <c r="U1" s="116"/>
      <c r="V1" s="116"/>
      <c r="W1" s="116"/>
      <c r="X1" s="116"/>
      <c r="Y1" s="116"/>
      <c r="Z1" s="116"/>
      <c r="AA1" s="116"/>
      <c r="AB1" s="116"/>
      <c r="AC1" s="116"/>
      <c r="AD1" s="116"/>
      <c r="AE1" s="116"/>
      <c r="AF1" s="116"/>
      <c r="AG1" s="116"/>
      <c r="AH1" s="116"/>
      <c r="AI1" s="116"/>
      <c r="AJ1" s="116"/>
      <c r="AK1" s="116"/>
      <c r="AL1" s="116"/>
      <c r="AM1" s="116"/>
      <c r="AN1" s="116"/>
      <c r="AO1" s="116"/>
      <c r="AP1" s="116"/>
      <c r="AQ1" s="116"/>
      <c r="AR1" s="116"/>
      <c r="AS1" s="116"/>
      <c r="AT1" s="116"/>
    </row>
    <row r="2" spans="1:46" ht="15.75" customHeight="1">
      <c r="A2" s="1350" t="s">
        <v>100</v>
      </c>
      <c r="B2" s="1422">
        <v>100</v>
      </c>
      <c r="C2" s="120" t="str">
        <f>VLOOKUP(A2,DB!$D$2:E999,2,0)</f>
        <v>pc</v>
      </c>
      <c r="D2" s="121">
        <f>VLOOKUP(A2,DB!$D$2:I999,6,0)</f>
        <v>80</v>
      </c>
      <c r="E2" s="121">
        <f t="shared" ref="E2:E187" si="0">B2*D2</f>
        <v>8000</v>
      </c>
    </row>
    <row r="3" spans="1:46" ht="15.75" customHeight="1">
      <c r="A3" s="1354" t="s">
        <v>355</v>
      </c>
      <c r="B3" s="1423">
        <v>4</v>
      </c>
      <c r="C3" s="120" t="str">
        <f>VLOOKUP(A3,DB!$D$2:E999,2,0)</f>
        <v>pc</v>
      </c>
      <c r="D3" s="121">
        <f>VLOOKUP(A3,DB!$D$2:I999,6,0)</f>
        <v>22500</v>
      </c>
      <c r="E3" s="121">
        <f t="shared" si="0"/>
        <v>90000</v>
      </c>
    </row>
    <row r="4" spans="1:46" ht="15.75" customHeight="1">
      <c r="A4" s="1354" t="s">
        <v>102</v>
      </c>
      <c r="B4" s="1423">
        <v>50</v>
      </c>
      <c r="C4" s="120" t="str">
        <f>VLOOKUP(A4,DB!$D$2:E999,2,0)</f>
        <v>pc</v>
      </c>
      <c r="D4" s="121">
        <f>VLOOKUP(A4,DB!$D$2:I999,6,0)</f>
        <v>255</v>
      </c>
      <c r="E4" s="121">
        <f t="shared" si="0"/>
        <v>12750</v>
      </c>
    </row>
    <row r="5" spans="1:46" ht="15.75" customHeight="1">
      <c r="A5" s="1354" t="s">
        <v>104</v>
      </c>
      <c r="B5" s="1423">
        <v>10</v>
      </c>
      <c r="C5" s="120" t="str">
        <f>VLOOKUP(A5,DB!$D$2:E999,2,0)</f>
        <v>pc</v>
      </c>
      <c r="D5" s="121">
        <f>VLOOKUP(A5,DB!$D$2:I999,6,0)</f>
        <v>19927.7</v>
      </c>
      <c r="E5" s="121">
        <f t="shared" si="0"/>
        <v>199277</v>
      </c>
    </row>
    <row r="6" spans="1:46" ht="15.75" customHeight="1">
      <c r="A6" s="1354" t="s">
        <v>105</v>
      </c>
      <c r="B6" s="1423">
        <v>20</v>
      </c>
      <c r="C6" s="120" t="str">
        <f>VLOOKUP(A6,DB!$D$2:E999,2,0)</f>
        <v>pc</v>
      </c>
      <c r="D6" s="121">
        <f>VLOOKUP(A6,DB!$D$2:I999,6,0)</f>
        <v>229.5</v>
      </c>
      <c r="E6" s="121">
        <f t="shared" si="0"/>
        <v>4590</v>
      </c>
    </row>
    <row r="7" spans="1:46" ht="15.75" customHeight="1">
      <c r="A7" s="1354" t="s">
        <v>106</v>
      </c>
      <c r="B7" s="1423">
        <v>31</v>
      </c>
      <c r="C7" s="120" t="str">
        <f>VLOOKUP(A7,DB!$D$2:E999,2,0)</f>
        <v>pc</v>
      </c>
      <c r="D7" s="121">
        <f>VLOOKUP(A7,DB!$D$2:I999,6,0)</f>
        <v>240</v>
      </c>
      <c r="E7" s="121">
        <f t="shared" si="0"/>
        <v>7440</v>
      </c>
    </row>
    <row r="8" spans="1:46" ht="15.75" customHeight="1">
      <c r="A8" s="1354" t="s">
        <v>36</v>
      </c>
      <c r="B8" s="1423">
        <v>20</v>
      </c>
      <c r="C8" s="120" t="str">
        <f>VLOOKUP(A8,DB!$D$2:E999,2,0)</f>
        <v>pc</v>
      </c>
      <c r="D8" s="121">
        <f>VLOOKUP(A8,DB!$D$2:I999,6,0)</f>
        <v>3900</v>
      </c>
      <c r="E8" s="121">
        <f t="shared" si="0"/>
        <v>78000</v>
      </c>
    </row>
    <row r="9" spans="1:46" ht="15.75" customHeight="1">
      <c r="A9" s="1354" t="s">
        <v>356</v>
      </c>
      <c r="B9" s="1423">
        <v>1</v>
      </c>
      <c r="C9" s="120" t="str">
        <f>VLOOKUP(A9,DB!$D$2:E999,2,0)</f>
        <v>lot</v>
      </c>
      <c r="D9" s="121">
        <f>VLOOKUP(A9,DB!$D$2:I999,6,0)</f>
        <v>6000000</v>
      </c>
      <c r="E9" s="121">
        <f t="shared" si="0"/>
        <v>6000000</v>
      </c>
    </row>
    <row r="10" spans="1:46" ht="15.75" customHeight="1">
      <c r="A10" s="1354" t="s">
        <v>357</v>
      </c>
      <c r="B10" s="1423">
        <v>12</v>
      </c>
      <c r="C10" s="120" t="str">
        <f>VLOOKUP(A10,DB!$D$2:E999,2,0)</f>
        <v>pc</v>
      </c>
      <c r="D10" s="121">
        <f>VLOOKUP(A10,DB!$D$2:I999,6,0)</f>
        <v>13200</v>
      </c>
      <c r="E10" s="121">
        <f t="shared" si="0"/>
        <v>158400</v>
      </c>
    </row>
    <row r="11" spans="1:46" ht="15.75" customHeight="1">
      <c r="A11" s="1354" t="s">
        <v>111</v>
      </c>
      <c r="B11" s="1423">
        <v>7</v>
      </c>
      <c r="C11" s="120" t="str">
        <f>VLOOKUP(A11,DB!$D$2:E999,2,0)</f>
        <v>pc</v>
      </c>
      <c r="D11" s="121">
        <f>VLOOKUP(A11,DB!$D$2:I999,6,0)</f>
        <v>4200</v>
      </c>
      <c r="E11" s="121">
        <f t="shared" si="0"/>
        <v>29400</v>
      </c>
    </row>
    <row r="12" spans="1:46" ht="15.75" customHeight="1">
      <c r="A12" s="1354" t="s">
        <v>21</v>
      </c>
      <c r="B12" s="1423">
        <v>100</v>
      </c>
      <c r="C12" s="120" t="str">
        <f>VLOOKUP(A12,DB!$D$2:E999,2,0)</f>
        <v>set</v>
      </c>
      <c r="D12" s="121">
        <f>VLOOKUP(A12,DB!$D$2:I999,6,0)</f>
        <v>375</v>
      </c>
      <c r="E12" s="121">
        <f t="shared" si="0"/>
        <v>37500</v>
      </c>
    </row>
    <row r="13" spans="1:46" ht="15.75" customHeight="1">
      <c r="A13" s="1354" t="s">
        <v>358</v>
      </c>
      <c r="B13" s="1423">
        <v>1</v>
      </c>
      <c r="C13" s="120" t="str">
        <f>VLOOKUP(A13,DB!$D$2:E999,2,0)</f>
        <v>pc</v>
      </c>
      <c r="D13" s="121">
        <f>VLOOKUP(A13,DB!$D$2:I999,6,0)</f>
        <v>7500</v>
      </c>
      <c r="E13" s="121">
        <f t="shared" si="0"/>
        <v>7500</v>
      </c>
    </row>
    <row r="14" spans="1:46" ht="15.75" customHeight="1">
      <c r="A14" s="1354" t="s">
        <v>119</v>
      </c>
      <c r="B14" s="1423">
        <v>20</v>
      </c>
      <c r="C14" s="120" t="str">
        <f>VLOOKUP(A14,DB!$D$2:E999,2,0)</f>
        <v>pc</v>
      </c>
      <c r="D14" s="121">
        <f>VLOOKUP(A14,DB!$D$2:I999,6,0)</f>
        <v>300</v>
      </c>
      <c r="E14" s="121">
        <f t="shared" si="0"/>
        <v>6000</v>
      </c>
    </row>
    <row r="15" spans="1:46" ht="15.75" customHeight="1">
      <c r="A15" s="1354" t="s">
        <v>120</v>
      </c>
      <c r="B15" s="1423">
        <v>24</v>
      </c>
      <c r="C15" s="120" t="str">
        <f>VLOOKUP(A15,DB!$D$2:E999,2,0)</f>
        <v>pc</v>
      </c>
      <c r="D15" s="121">
        <f>VLOOKUP(A15,DB!$D$2:I999,6,0)</f>
        <v>8700</v>
      </c>
      <c r="E15" s="121">
        <f t="shared" si="0"/>
        <v>208800</v>
      </c>
    </row>
    <row r="16" spans="1:46" ht="15.75" customHeight="1">
      <c r="A16" s="1354" t="s">
        <v>359</v>
      </c>
      <c r="B16" s="1423">
        <v>5</v>
      </c>
      <c r="C16" s="120" t="str">
        <f>VLOOKUP(A16,DB!$D$2:E999,2,0)</f>
        <v>pc</v>
      </c>
      <c r="D16" s="121">
        <f>VLOOKUP(A16,DB!$D$2:I999,6,0)</f>
        <v>28500</v>
      </c>
      <c r="E16" s="121">
        <f t="shared" si="0"/>
        <v>142500</v>
      </c>
    </row>
    <row r="17" spans="1:5" ht="15.75" customHeight="1">
      <c r="A17" s="1354" t="s">
        <v>131</v>
      </c>
      <c r="B17" s="1423">
        <v>13</v>
      </c>
      <c r="C17" s="120" t="str">
        <f>VLOOKUP(A17,DB!$D$2:E999,2,0)</f>
        <v>pc</v>
      </c>
      <c r="D17" s="121">
        <f>VLOOKUP(A17,DB!$D$2:I999,6,0)</f>
        <v>5700</v>
      </c>
      <c r="E17" s="121">
        <f t="shared" si="0"/>
        <v>74100</v>
      </c>
    </row>
    <row r="18" spans="1:5" ht="15.75" customHeight="1">
      <c r="A18" s="1354" t="s">
        <v>135</v>
      </c>
      <c r="B18" s="1423">
        <v>20</v>
      </c>
      <c r="C18" s="120" t="str">
        <f>VLOOKUP(A18,DB!$D$2:E999,2,0)</f>
        <v>pc</v>
      </c>
      <c r="D18" s="121">
        <f>VLOOKUP(A18,DB!$D$2:I999,6,0)</f>
        <v>375</v>
      </c>
      <c r="E18" s="121">
        <f t="shared" si="0"/>
        <v>7500</v>
      </c>
    </row>
    <row r="19" spans="1:5" ht="15.75" customHeight="1">
      <c r="A19" s="1354" t="s">
        <v>136</v>
      </c>
      <c r="B19" s="1423">
        <v>35</v>
      </c>
      <c r="C19" s="120" t="str">
        <f>VLOOKUP(A19,DB!$D$2:E999,2,0)</f>
        <v>pc</v>
      </c>
      <c r="D19" s="121">
        <f>VLOOKUP(A19,DB!$D$2:I999,6,0)</f>
        <v>300</v>
      </c>
      <c r="E19" s="121">
        <f t="shared" si="0"/>
        <v>10500</v>
      </c>
    </row>
    <row r="20" spans="1:5" ht="15.75" customHeight="1">
      <c r="A20" s="1354" t="s">
        <v>141</v>
      </c>
      <c r="B20" s="1423">
        <v>70</v>
      </c>
      <c r="C20" s="120" t="str">
        <f>VLOOKUP(A20,DB!$D$2:E999,2,0)</f>
        <v>pc</v>
      </c>
      <c r="D20" s="121">
        <f>VLOOKUP(A20,DB!$D$2:I999,6,0)</f>
        <v>135</v>
      </c>
      <c r="E20" s="121">
        <f t="shared" si="0"/>
        <v>9450</v>
      </c>
    </row>
    <row r="21" spans="1:5" ht="15.75" customHeight="1">
      <c r="A21" s="1354" t="s">
        <v>360</v>
      </c>
      <c r="B21" s="1423">
        <v>2</v>
      </c>
      <c r="C21" s="120" t="str">
        <f>VLOOKUP(A21,DB!$D$2:E999,2,0)</f>
        <v>pc</v>
      </c>
      <c r="D21" s="121">
        <f>VLOOKUP(A21,DB!$D$2:I999,6,0)</f>
        <v>49500</v>
      </c>
      <c r="E21" s="121">
        <f t="shared" si="0"/>
        <v>99000</v>
      </c>
    </row>
    <row r="22" spans="1:5" ht="15.75" customHeight="1">
      <c r="A22" s="1354" t="s">
        <v>142</v>
      </c>
      <c r="B22" s="1423">
        <v>100</v>
      </c>
      <c r="C22" s="120" t="str">
        <f>VLOOKUP(A22,DB!$D$2:E999,2,0)</f>
        <v>pc</v>
      </c>
      <c r="D22" s="121">
        <f>VLOOKUP(A22,DB!$D$2:I999,6,0)</f>
        <v>3750</v>
      </c>
      <c r="E22" s="121">
        <f t="shared" si="0"/>
        <v>375000</v>
      </c>
    </row>
    <row r="23" spans="1:5" ht="15.75" customHeight="1">
      <c r="A23" s="1354" t="s">
        <v>143</v>
      </c>
      <c r="B23" s="1423">
        <v>20</v>
      </c>
      <c r="C23" s="120" t="str">
        <f>VLOOKUP(A23,DB!$D$2:E999,2,0)</f>
        <v>set</v>
      </c>
      <c r="D23" s="121">
        <f>VLOOKUP(A23,DB!$D$2:I999,6,0)</f>
        <v>6000</v>
      </c>
      <c r="E23" s="121">
        <f t="shared" si="0"/>
        <v>120000</v>
      </c>
    </row>
    <row r="24" spans="1:5" ht="15.75" customHeight="1">
      <c r="A24" s="1354" t="s">
        <v>361</v>
      </c>
      <c r="B24" s="1423">
        <v>12</v>
      </c>
      <c r="C24" s="120" t="str">
        <f>VLOOKUP(A24,DB!$D$2:E999,2,0)</f>
        <v>pc</v>
      </c>
      <c r="D24" s="121">
        <f>VLOOKUP(A24,DB!$D$2:I999,6,0)</f>
        <v>4020</v>
      </c>
      <c r="E24" s="121">
        <f t="shared" si="0"/>
        <v>48240</v>
      </c>
    </row>
    <row r="25" spans="1:5" ht="15.75" customHeight="1">
      <c r="A25" s="1354" t="s">
        <v>144</v>
      </c>
      <c r="B25" s="1423">
        <v>50</v>
      </c>
      <c r="C25" s="120" t="str">
        <f>VLOOKUP(A25,DB!$D$2:E999,2,0)</f>
        <v>pc</v>
      </c>
      <c r="D25" s="121">
        <f>VLOOKUP(A25,DB!$D$2:I999,6,0)</f>
        <v>195</v>
      </c>
      <c r="E25" s="121">
        <f t="shared" si="0"/>
        <v>9750</v>
      </c>
    </row>
    <row r="26" spans="1:5" ht="15.75" customHeight="1">
      <c r="A26" s="1354" t="s">
        <v>362</v>
      </c>
      <c r="B26" s="1423">
        <v>2</v>
      </c>
      <c r="C26" s="120" t="str">
        <f>VLOOKUP(A26,DB!$D$2:E999,2,0)</f>
        <v>pc</v>
      </c>
      <c r="D26" s="121">
        <f>VLOOKUP(A26,DB!$D$2:I999,6,0)</f>
        <v>375</v>
      </c>
      <c r="E26" s="121">
        <f t="shared" si="0"/>
        <v>750</v>
      </c>
    </row>
    <row r="27" spans="1:5" ht="15.75" customHeight="1">
      <c r="A27" s="1354" t="s">
        <v>145</v>
      </c>
      <c r="B27" s="1423">
        <v>200</v>
      </c>
      <c r="C27" s="120" t="str">
        <f>VLOOKUP(A27,DB!$D$2:E999,2,0)</f>
        <v>pc</v>
      </c>
      <c r="D27" s="121">
        <f>VLOOKUP(A27,DB!$D$2:I999,6,0)</f>
        <v>2250</v>
      </c>
      <c r="E27" s="121">
        <f t="shared" si="0"/>
        <v>450000</v>
      </c>
    </row>
    <row r="28" spans="1:5" ht="15.75" customHeight="1">
      <c r="A28" s="1354" t="s">
        <v>363</v>
      </c>
      <c r="B28" s="1423">
        <v>40</v>
      </c>
      <c r="C28" s="120" t="str">
        <f>VLOOKUP(A28,DB!$D$2:E999,2,0)</f>
        <v>pc</v>
      </c>
      <c r="D28" s="121">
        <f>VLOOKUP(A28,DB!$D$2:I999,6,0)</f>
        <v>4650</v>
      </c>
      <c r="E28" s="121">
        <f t="shared" si="0"/>
        <v>186000</v>
      </c>
    </row>
    <row r="29" spans="1:5" ht="15.75" customHeight="1">
      <c r="A29" s="1354" t="s">
        <v>364</v>
      </c>
      <c r="B29" s="1423">
        <v>24</v>
      </c>
      <c r="C29" s="120" t="str">
        <f>VLOOKUP(A29,DB!$D$2:E999,2,0)</f>
        <v>pc</v>
      </c>
      <c r="D29" s="121">
        <f>VLOOKUP(A29,DB!$D$2:I999,6,0)</f>
        <v>8850</v>
      </c>
      <c r="E29" s="121">
        <f t="shared" si="0"/>
        <v>212400</v>
      </c>
    </row>
    <row r="30" spans="1:5" ht="15.75" customHeight="1">
      <c r="A30" s="1354" t="s">
        <v>146</v>
      </c>
      <c r="B30" s="1423">
        <v>1</v>
      </c>
      <c r="C30" s="120" t="str">
        <f>VLOOKUP(A30,DB!$D$2:E999,2,0)</f>
        <v>set</v>
      </c>
      <c r="D30" s="121">
        <f>VLOOKUP(A30,DB!$D$2:I999,6,0)</f>
        <v>195000</v>
      </c>
      <c r="E30" s="121">
        <f t="shared" si="0"/>
        <v>195000</v>
      </c>
    </row>
    <row r="31" spans="1:5" ht="15.75" customHeight="1">
      <c r="A31" s="1354" t="s">
        <v>148</v>
      </c>
      <c r="B31" s="1423">
        <v>1</v>
      </c>
      <c r="C31" s="120" t="str">
        <f>VLOOKUP(A31,DB!$D$2:E999,2,0)</f>
        <v>pc</v>
      </c>
      <c r="D31" s="121">
        <f>VLOOKUP(A31,DB!$D$2:I999,6,0)</f>
        <v>2100</v>
      </c>
      <c r="E31" s="121">
        <f t="shared" si="0"/>
        <v>2100</v>
      </c>
    </row>
    <row r="32" spans="1:5" ht="15.75" customHeight="1">
      <c r="A32" s="1354" t="s">
        <v>366</v>
      </c>
      <c r="B32" s="1423">
        <v>2</v>
      </c>
      <c r="C32" s="120" t="str">
        <f>VLOOKUP(A32,DB!$D$2:E999,2,0)</f>
        <v>pc</v>
      </c>
      <c r="D32" s="121">
        <f>VLOOKUP(A32,DB!$D$2:I999,6,0)</f>
        <v>3000</v>
      </c>
      <c r="E32" s="121">
        <f t="shared" si="0"/>
        <v>6000</v>
      </c>
    </row>
    <row r="33" spans="1:5" ht="15.75" customHeight="1">
      <c r="A33" s="1354" t="s">
        <v>149</v>
      </c>
      <c r="B33" s="1423">
        <v>2</v>
      </c>
      <c r="C33" s="120" t="str">
        <f>VLOOKUP(A33,DB!$D$2:E999,2,0)</f>
        <v>pc</v>
      </c>
      <c r="D33" s="121">
        <f>VLOOKUP(A33,DB!$D$2:I999,6,0)</f>
        <v>3600</v>
      </c>
      <c r="E33" s="121">
        <f t="shared" si="0"/>
        <v>7200</v>
      </c>
    </row>
    <row r="34" spans="1:5" ht="15.75" customHeight="1">
      <c r="A34" s="1354" t="s">
        <v>150</v>
      </c>
      <c r="B34" s="1423">
        <v>2</v>
      </c>
      <c r="C34" s="120" t="str">
        <f>VLOOKUP(A34,DB!$D$2:E999,2,0)</f>
        <v>pc</v>
      </c>
      <c r="D34" s="121">
        <f>VLOOKUP(A34,DB!$D$2:I999,6,0)</f>
        <v>12000</v>
      </c>
      <c r="E34" s="121">
        <f t="shared" si="0"/>
        <v>24000</v>
      </c>
    </row>
    <row r="35" spans="1:5" ht="15.75" customHeight="1">
      <c r="A35" s="1354" t="s">
        <v>152</v>
      </c>
      <c r="B35" s="1423">
        <v>2</v>
      </c>
      <c r="C35" s="120" t="str">
        <f>VLOOKUP(A35,DB!$D$2:E999,2,0)</f>
        <v>set</v>
      </c>
      <c r="D35" s="121">
        <f>VLOOKUP(A35,DB!$D$2:I999,6,0)</f>
        <v>52500</v>
      </c>
      <c r="E35" s="121">
        <f t="shared" si="0"/>
        <v>105000</v>
      </c>
    </row>
    <row r="36" spans="1:5" ht="15.75" customHeight="1">
      <c r="A36" s="1354" t="s">
        <v>367</v>
      </c>
      <c r="B36" s="1423">
        <v>60</v>
      </c>
      <c r="C36" s="120" t="str">
        <f>VLOOKUP(A36,DB!$D$2:E999,2,0)</f>
        <v>pc</v>
      </c>
      <c r="D36" s="121">
        <f>VLOOKUP(A36,DB!$D$2:I999,6,0)</f>
        <v>315</v>
      </c>
      <c r="E36" s="121">
        <f t="shared" si="0"/>
        <v>18900</v>
      </c>
    </row>
    <row r="37" spans="1:5" ht="15.75" customHeight="1">
      <c r="A37" s="1354" t="s">
        <v>154</v>
      </c>
      <c r="B37" s="1423">
        <v>100</v>
      </c>
      <c r="C37" s="120" t="str">
        <f>VLOOKUP(A37,DB!$D$2:E999,2,0)</f>
        <v>pack</v>
      </c>
      <c r="D37" s="121">
        <f>VLOOKUP(A37,DB!$D$2:I999,6,0)</f>
        <v>165</v>
      </c>
      <c r="E37" s="121">
        <f t="shared" si="0"/>
        <v>16500</v>
      </c>
    </row>
    <row r="38" spans="1:5" ht="15.75" customHeight="1">
      <c r="A38" s="1354" t="s">
        <v>156</v>
      </c>
      <c r="B38" s="1423">
        <v>60</v>
      </c>
      <c r="C38" s="120" t="str">
        <f>VLOOKUP(A38,DB!$D$2:E999,2,0)</f>
        <v>pack</v>
      </c>
      <c r="D38" s="121">
        <f>VLOOKUP(A38,DB!$D$2:I999,6,0)</f>
        <v>180</v>
      </c>
      <c r="E38" s="121">
        <f t="shared" si="0"/>
        <v>10800</v>
      </c>
    </row>
    <row r="39" spans="1:5" ht="15.75" customHeight="1">
      <c r="A39" s="1354" t="s">
        <v>157</v>
      </c>
      <c r="B39" s="1423">
        <v>1</v>
      </c>
      <c r="C39" s="120" t="str">
        <f>VLOOKUP(A39,DB!$D$2:E999,2,0)</f>
        <v>set</v>
      </c>
      <c r="D39" s="121">
        <f>VLOOKUP(A39,DB!$D$2:I999,6,0)</f>
        <v>27000</v>
      </c>
      <c r="E39" s="121">
        <f t="shared" si="0"/>
        <v>27000</v>
      </c>
    </row>
    <row r="40" spans="1:5" ht="15.75" customHeight="1">
      <c r="A40" s="1354" t="s">
        <v>158</v>
      </c>
      <c r="B40" s="1423">
        <v>5</v>
      </c>
      <c r="C40" s="120" t="str">
        <f>VLOOKUP(A40,DB!$D$2:E999,2,0)</f>
        <v>set</v>
      </c>
      <c r="D40" s="121">
        <f>VLOOKUP(A40,DB!$D$2:I999,6,0)</f>
        <v>78000</v>
      </c>
      <c r="E40" s="121">
        <f t="shared" si="0"/>
        <v>390000</v>
      </c>
    </row>
    <row r="41" spans="1:5" ht="15.75" customHeight="1">
      <c r="A41" s="1354" t="s">
        <v>159</v>
      </c>
      <c r="B41" s="1423">
        <v>50</v>
      </c>
      <c r="C41" s="120" t="str">
        <f>VLOOKUP(A41,DB!$D$2:E999,2,0)</f>
        <v>pack</v>
      </c>
      <c r="D41" s="121">
        <f>VLOOKUP(A41,DB!$D$2:I999,6,0)</f>
        <v>67.5</v>
      </c>
      <c r="E41" s="121">
        <f t="shared" si="0"/>
        <v>3375</v>
      </c>
    </row>
    <row r="42" spans="1:5" ht="15.75" customHeight="1">
      <c r="A42" s="1354" t="s">
        <v>160</v>
      </c>
      <c r="B42" s="1423">
        <v>50</v>
      </c>
      <c r="C42" s="120" t="str">
        <f>VLOOKUP(A42,DB!$D$2:E999,2,0)</f>
        <v>pack</v>
      </c>
      <c r="D42" s="121">
        <f>VLOOKUP(A42,DB!$D$2:I999,6,0)</f>
        <v>100.5</v>
      </c>
      <c r="E42" s="121">
        <f t="shared" si="0"/>
        <v>5025</v>
      </c>
    </row>
    <row r="43" spans="1:5" ht="15.75" customHeight="1">
      <c r="A43" s="1354" t="s">
        <v>161</v>
      </c>
      <c r="B43" s="1423">
        <v>40</v>
      </c>
      <c r="C43" s="120" t="str">
        <f>VLOOKUP(A43,DB!$D$2:E999,2,0)</f>
        <v>pack</v>
      </c>
      <c r="D43" s="121">
        <f>VLOOKUP(A43,DB!$D$2:I999,6,0)</f>
        <v>120</v>
      </c>
      <c r="E43" s="121">
        <f t="shared" si="0"/>
        <v>4800</v>
      </c>
    </row>
    <row r="44" spans="1:5" ht="15.75" customHeight="1">
      <c r="A44" s="1354" t="s">
        <v>162</v>
      </c>
      <c r="B44" s="1423">
        <v>40</v>
      </c>
      <c r="C44" s="120" t="str">
        <f>VLOOKUP(A44,DB!$D$2:E999,2,0)</f>
        <v>pack</v>
      </c>
      <c r="D44" s="121">
        <f>VLOOKUP(A44,DB!$D$2:I999,6,0)</f>
        <v>150</v>
      </c>
      <c r="E44" s="121">
        <f t="shared" si="0"/>
        <v>6000</v>
      </c>
    </row>
    <row r="45" spans="1:5" ht="15.75" customHeight="1">
      <c r="A45" s="1354" t="s">
        <v>163</v>
      </c>
      <c r="B45" s="1423">
        <v>30</v>
      </c>
      <c r="C45" s="120" t="str">
        <f>VLOOKUP(A45,DB!$D$2:E999,2,0)</f>
        <v>pack</v>
      </c>
      <c r="D45" s="121">
        <f>VLOOKUP(A45,DB!$D$2:I999,6,0)</f>
        <v>243</v>
      </c>
      <c r="E45" s="121">
        <f t="shared" si="0"/>
        <v>7290</v>
      </c>
    </row>
    <row r="46" spans="1:5" ht="15.75" customHeight="1">
      <c r="A46" s="1354" t="s">
        <v>164</v>
      </c>
      <c r="B46" s="1423">
        <v>30</v>
      </c>
      <c r="C46" s="120" t="str">
        <f>VLOOKUP(A46,DB!$D$2:E999,2,0)</f>
        <v>pack</v>
      </c>
      <c r="D46" s="121">
        <f>VLOOKUP(A46,DB!$D$2:I999,6,0)</f>
        <v>240</v>
      </c>
      <c r="E46" s="121">
        <f t="shared" si="0"/>
        <v>7200</v>
      </c>
    </row>
    <row r="47" spans="1:5" ht="15.75" customHeight="1">
      <c r="A47" s="1354" t="s">
        <v>165</v>
      </c>
      <c r="B47" s="1423">
        <v>10</v>
      </c>
      <c r="C47" s="120" t="str">
        <f>VLOOKUP(A47,DB!$D$2:E999,2,0)</f>
        <v>pack</v>
      </c>
      <c r="D47" s="121">
        <f>VLOOKUP(A47,DB!$D$2:I999,6,0)</f>
        <v>270</v>
      </c>
      <c r="E47" s="121">
        <f t="shared" si="0"/>
        <v>2700</v>
      </c>
    </row>
    <row r="48" spans="1:5" ht="15.75" customHeight="1">
      <c r="A48" s="1354" t="s">
        <v>166</v>
      </c>
      <c r="B48" s="1423">
        <v>10</v>
      </c>
      <c r="C48" s="120" t="str">
        <f>VLOOKUP(A48,DB!$D$2:E999,2,0)</f>
        <v>pack</v>
      </c>
      <c r="D48" s="121">
        <f>VLOOKUP(A48,DB!$D$2:I999,6,0)</f>
        <v>345</v>
      </c>
      <c r="E48" s="121">
        <f t="shared" si="0"/>
        <v>3450</v>
      </c>
    </row>
    <row r="49" spans="1:5" ht="15.75" customHeight="1">
      <c r="A49" s="1354" t="s">
        <v>167</v>
      </c>
      <c r="B49" s="1423">
        <v>10</v>
      </c>
      <c r="C49" s="120" t="str">
        <f>VLOOKUP(A49,DB!$D$2:E999,2,0)</f>
        <v>pack</v>
      </c>
      <c r="D49" s="121">
        <f>VLOOKUP(A49,DB!$D$2:I999,6,0)</f>
        <v>495</v>
      </c>
      <c r="E49" s="121">
        <f t="shared" si="0"/>
        <v>4950</v>
      </c>
    </row>
    <row r="50" spans="1:5" ht="15.75" customHeight="1">
      <c r="A50" s="1354" t="s">
        <v>368</v>
      </c>
      <c r="B50" s="1423">
        <v>12</v>
      </c>
      <c r="C50" s="120" t="str">
        <f>VLOOKUP(A50,DB!$D$2:E999,2,0)</f>
        <v>pc</v>
      </c>
      <c r="D50" s="121">
        <f>VLOOKUP(A50,DB!$D$2:I999,6,0)</f>
        <v>7500</v>
      </c>
      <c r="E50" s="121">
        <f t="shared" si="0"/>
        <v>90000</v>
      </c>
    </row>
    <row r="51" spans="1:5" ht="15.75" customHeight="1">
      <c r="A51" s="1354" t="s">
        <v>298</v>
      </c>
      <c r="B51" s="1423">
        <v>50</v>
      </c>
      <c r="C51" s="120" t="str">
        <f>VLOOKUP(A51,DB!$D$2:E999,2,0)</f>
        <v>pc</v>
      </c>
      <c r="D51" s="121">
        <f>VLOOKUP(A51,DB!$D$2:I999,6,0)</f>
        <v>12</v>
      </c>
      <c r="E51" s="121">
        <f t="shared" si="0"/>
        <v>600</v>
      </c>
    </row>
    <row r="52" spans="1:5" ht="15.75" customHeight="1">
      <c r="A52" s="1354" t="s">
        <v>297</v>
      </c>
      <c r="B52" s="1423">
        <v>50</v>
      </c>
      <c r="C52" s="120" t="str">
        <f>VLOOKUP(A52,DB!$D$2:E999,2,0)</f>
        <v>pc</v>
      </c>
      <c r="D52" s="121">
        <f>VLOOKUP(A52,DB!$D$2:I999,6,0)</f>
        <v>15</v>
      </c>
      <c r="E52" s="121">
        <f t="shared" si="0"/>
        <v>750</v>
      </c>
    </row>
    <row r="53" spans="1:5" ht="15.75" customHeight="1">
      <c r="A53" s="1354" t="s">
        <v>168</v>
      </c>
      <c r="B53" s="1423">
        <v>94</v>
      </c>
      <c r="C53" s="120" t="str">
        <f>VLOOKUP(A53,DB!$D$2:E999,2,0)</f>
        <v>set</v>
      </c>
      <c r="D53" s="121">
        <f>VLOOKUP(A53,DB!$D$2:I999,6,0)</f>
        <v>75000</v>
      </c>
      <c r="E53" s="121">
        <f t="shared" si="0"/>
        <v>7050000</v>
      </c>
    </row>
    <row r="54" spans="1:5" ht="15.75" customHeight="1">
      <c r="A54" s="1354" t="s">
        <v>182</v>
      </c>
      <c r="B54" s="1423">
        <v>13</v>
      </c>
      <c r="C54" s="120" t="str">
        <f>VLOOKUP(A54,DB!$D$2:E999,2,0)</f>
        <v>set</v>
      </c>
      <c r="D54" s="121">
        <f>VLOOKUP(A54,DB!$D$2:I999,6,0)</f>
        <v>72000</v>
      </c>
      <c r="E54" s="121">
        <f t="shared" si="0"/>
        <v>936000</v>
      </c>
    </row>
    <row r="55" spans="1:5" ht="15.75" customHeight="1">
      <c r="A55" s="1354" t="s">
        <v>183</v>
      </c>
      <c r="B55" s="1423">
        <v>45</v>
      </c>
      <c r="C55" s="120" t="str">
        <f>VLOOKUP(A55,DB!$D$2:E999,2,0)</f>
        <v>pc</v>
      </c>
      <c r="D55" s="121">
        <f>VLOOKUP(A55,DB!$D$2:I999,6,0)</f>
        <v>600</v>
      </c>
      <c r="E55" s="121">
        <f t="shared" si="0"/>
        <v>27000</v>
      </c>
    </row>
    <row r="56" spans="1:5" ht="15.75" customHeight="1">
      <c r="A56" s="1354" t="s">
        <v>185</v>
      </c>
      <c r="B56" s="1423">
        <v>105</v>
      </c>
      <c r="C56" s="120" t="str">
        <f>VLOOKUP(A56,DB!$D$2:E999,2,0)</f>
        <v>pc</v>
      </c>
      <c r="D56" s="121">
        <f>VLOOKUP(A56,DB!$D$2:I999,6,0)</f>
        <v>600</v>
      </c>
      <c r="E56" s="121">
        <f t="shared" si="0"/>
        <v>63000</v>
      </c>
    </row>
    <row r="57" spans="1:5" ht="15.75" customHeight="1">
      <c r="A57" s="1354" t="s">
        <v>186</v>
      </c>
      <c r="B57" s="1423">
        <v>45</v>
      </c>
      <c r="C57" s="120" t="str">
        <f>VLOOKUP(A57,DB!$D$2:E999,2,0)</f>
        <v>pc</v>
      </c>
      <c r="D57" s="121">
        <f>VLOOKUP(A57,DB!$D$2:I999,6,0)</f>
        <v>600</v>
      </c>
      <c r="E57" s="121">
        <f t="shared" si="0"/>
        <v>27000</v>
      </c>
    </row>
    <row r="58" spans="1:5" ht="15.75" customHeight="1">
      <c r="A58" s="1354" t="s">
        <v>187</v>
      </c>
      <c r="B58" s="1423">
        <v>20</v>
      </c>
      <c r="C58" s="120" t="str">
        <f>VLOOKUP(A58,DB!$D$2:E999,2,0)</f>
        <v>pc</v>
      </c>
      <c r="D58" s="121">
        <f>VLOOKUP(A58,DB!$D$2:I999,6,0)</f>
        <v>600</v>
      </c>
      <c r="E58" s="121">
        <f t="shared" si="0"/>
        <v>12000</v>
      </c>
    </row>
    <row r="59" spans="1:5" ht="15.75" customHeight="1">
      <c r="A59" s="1354" t="s">
        <v>369</v>
      </c>
      <c r="B59" s="1423">
        <v>1</v>
      </c>
      <c r="C59" s="120" t="str">
        <f>VLOOKUP(A59,DB!$D$2:E999,2,0)</f>
        <v>set</v>
      </c>
      <c r="D59" s="121">
        <f>VLOOKUP(A59,DB!$D$2:I999,6,0)</f>
        <v>60000</v>
      </c>
      <c r="E59" s="121">
        <f t="shared" si="0"/>
        <v>60000</v>
      </c>
    </row>
    <row r="60" spans="1:5" ht="15.75" customHeight="1">
      <c r="A60" s="1354" t="s">
        <v>188</v>
      </c>
      <c r="B60" s="1423">
        <v>12</v>
      </c>
      <c r="C60" s="120" t="str">
        <f>VLOOKUP(A60,DB!$D$2:E999,2,0)</f>
        <v>box</v>
      </c>
      <c r="D60" s="121">
        <f>VLOOKUP(A60,DB!$D$2:I999,6,0)</f>
        <v>15750</v>
      </c>
      <c r="E60" s="121">
        <f t="shared" si="0"/>
        <v>189000</v>
      </c>
    </row>
    <row r="61" spans="1:5" ht="15.75" customHeight="1">
      <c r="A61" s="1354" t="s">
        <v>370</v>
      </c>
      <c r="B61" s="1423">
        <v>10</v>
      </c>
      <c r="C61" s="120" t="str">
        <f>VLOOKUP(A61,DB!$D$2:E999,2,0)</f>
        <v>box</v>
      </c>
      <c r="D61" s="121">
        <f>VLOOKUP(A61,DB!$D$2:I999,6,0)</f>
        <v>7500</v>
      </c>
      <c r="E61" s="121">
        <f t="shared" si="0"/>
        <v>75000</v>
      </c>
    </row>
    <row r="62" spans="1:5" ht="12.75">
      <c r="A62" s="1354" t="s">
        <v>190</v>
      </c>
      <c r="B62" s="1423">
        <v>300</v>
      </c>
      <c r="C62" s="120" t="str">
        <f>VLOOKUP(A62,DB!$D$2:E999,2,0)</f>
        <v>pc</v>
      </c>
      <c r="D62" s="121">
        <f>VLOOKUP(A62,DB!$D$2:I999,6,0)</f>
        <v>195</v>
      </c>
      <c r="E62" s="121">
        <f t="shared" si="0"/>
        <v>58500</v>
      </c>
    </row>
    <row r="63" spans="1:5" ht="12.75">
      <c r="A63" s="1354" t="s">
        <v>191</v>
      </c>
      <c r="B63" s="1423">
        <v>50</v>
      </c>
      <c r="C63" s="120" t="str">
        <f>VLOOKUP(A63,DB!$D$2:E999,2,0)</f>
        <v>pc</v>
      </c>
      <c r="D63" s="121">
        <f>VLOOKUP(A63,DB!$D$2:I999,6,0)</f>
        <v>105</v>
      </c>
      <c r="E63" s="121">
        <f t="shared" si="0"/>
        <v>5250</v>
      </c>
    </row>
    <row r="64" spans="1:5" ht="12.75">
      <c r="A64" s="1354" t="s">
        <v>371</v>
      </c>
      <c r="B64" s="1423">
        <v>3</v>
      </c>
      <c r="C64" s="120" t="str">
        <f>VLOOKUP(A64,DB!$D$2:E999,2,0)</f>
        <v>pc</v>
      </c>
      <c r="D64" s="121">
        <f>VLOOKUP(A64,DB!$D$2:I999,6,0)</f>
        <v>15000</v>
      </c>
      <c r="E64" s="121">
        <f t="shared" si="0"/>
        <v>45000</v>
      </c>
    </row>
    <row r="65" spans="1:5" ht="12.75">
      <c r="A65" s="1354" t="s">
        <v>372</v>
      </c>
      <c r="B65" s="1423">
        <v>2</v>
      </c>
      <c r="C65" s="120" t="str">
        <f>VLOOKUP(A65,DB!$D$2:E999,2,0)</f>
        <v>pc</v>
      </c>
      <c r="D65" s="121">
        <f>VLOOKUP(A65,DB!$D$2:I999,6,0)</f>
        <v>3750</v>
      </c>
      <c r="E65" s="121">
        <f t="shared" si="0"/>
        <v>7500</v>
      </c>
    </row>
    <row r="66" spans="1:5" ht="12.75">
      <c r="A66" s="1354" t="s">
        <v>373</v>
      </c>
      <c r="B66" s="1423">
        <v>89</v>
      </c>
      <c r="C66" s="120" t="str">
        <f>VLOOKUP(A66,DB!$D$2:E999,2,0)</f>
        <v>set</v>
      </c>
      <c r="D66" s="121">
        <f>VLOOKUP(A66,DB!$D$2:I999,6,0)</f>
        <v>15390</v>
      </c>
      <c r="E66" s="121">
        <f t="shared" si="0"/>
        <v>1369710</v>
      </c>
    </row>
    <row r="67" spans="1:5" ht="12.75">
      <c r="A67" s="1354" t="s">
        <v>375</v>
      </c>
      <c r="B67" s="1423">
        <v>3</v>
      </c>
      <c r="C67" s="120" t="str">
        <f>VLOOKUP(A67,DB!$D$2:E999,2,0)</f>
        <v>set</v>
      </c>
      <c r="D67" s="121">
        <f>VLOOKUP(A67,DB!$D$2:I999,6,0)</f>
        <v>28290</v>
      </c>
      <c r="E67" s="121">
        <f t="shared" si="0"/>
        <v>84870</v>
      </c>
    </row>
    <row r="68" spans="1:5" ht="12.75">
      <c r="A68" s="1354" t="s">
        <v>376</v>
      </c>
      <c r="B68" s="1423">
        <v>2</v>
      </c>
      <c r="C68" s="120" t="str">
        <f>VLOOKUP(A68,DB!$D$2:E999,2,0)</f>
        <v>set</v>
      </c>
      <c r="D68" s="121">
        <f>VLOOKUP(A68,DB!$D$2:I999,6,0)</f>
        <v>33075</v>
      </c>
      <c r="E68" s="121">
        <f t="shared" si="0"/>
        <v>66150</v>
      </c>
    </row>
    <row r="69" spans="1:5" ht="12.75">
      <c r="A69" s="1354" t="s">
        <v>377</v>
      </c>
      <c r="B69" s="1423">
        <v>1</v>
      </c>
      <c r="C69" s="120" t="str">
        <f>VLOOKUP(A69,DB!$D$2:E999,2,0)</f>
        <v>set</v>
      </c>
      <c r="D69" s="121">
        <f>VLOOKUP(A69,DB!$D$2:I999,6,0)</f>
        <v>13650</v>
      </c>
      <c r="E69" s="121">
        <f t="shared" si="0"/>
        <v>13650</v>
      </c>
    </row>
    <row r="70" spans="1:5" ht="12.75">
      <c r="A70" s="1354" t="s">
        <v>192</v>
      </c>
      <c r="B70" s="1423">
        <v>2</v>
      </c>
      <c r="C70" s="120" t="str">
        <f>VLOOKUP(A70,DB!$D$2:E999,2,0)</f>
        <v>set</v>
      </c>
      <c r="D70" s="121">
        <f>VLOOKUP(A70,DB!$D$2:I999,6,0)</f>
        <v>2970</v>
      </c>
      <c r="E70" s="121">
        <f t="shared" si="0"/>
        <v>5940</v>
      </c>
    </row>
    <row r="71" spans="1:5" ht="12.75">
      <c r="A71" s="1354" t="s">
        <v>378</v>
      </c>
      <c r="B71" s="1423">
        <v>2</v>
      </c>
      <c r="C71" s="120" t="str">
        <f>VLOOKUP(A71,DB!$D$2:E999,2,0)</f>
        <v>lot</v>
      </c>
      <c r="D71" s="121">
        <f>VLOOKUP(A71,DB!$D$2:I999,6,0)</f>
        <v>375000</v>
      </c>
      <c r="E71" s="121">
        <f t="shared" si="0"/>
        <v>750000</v>
      </c>
    </row>
    <row r="72" spans="1:5" ht="12.75">
      <c r="A72" s="1354" t="s">
        <v>379</v>
      </c>
      <c r="B72" s="1423">
        <v>2</v>
      </c>
      <c r="C72" s="120" t="str">
        <f>VLOOKUP(A72,DB!$D$2:E999,2,0)</f>
        <v>pc</v>
      </c>
      <c r="D72" s="121">
        <f>VLOOKUP(A72,DB!$D$2:I999,6,0)</f>
        <v>3300</v>
      </c>
      <c r="E72" s="121">
        <f t="shared" si="0"/>
        <v>6600</v>
      </c>
    </row>
    <row r="73" spans="1:5" ht="12.75">
      <c r="A73" s="1354" t="s">
        <v>193</v>
      </c>
      <c r="B73" s="1423">
        <v>5</v>
      </c>
      <c r="C73" s="120" t="str">
        <f>VLOOKUP(A73,DB!$D$2:E999,2,0)</f>
        <v>set</v>
      </c>
      <c r="D73" s="121">
        <f>VLOOKUP(A73,DB!$D$2:I999,6,0)</f>
        <v>67500</v>
      </c>
      <c r="E73" s="121">
        <f t="shared" si="0"/>
        <v>337500</v>
      </c>
    </row>
    <row r="74" spans="1:5" ht="12.75">
      <c r="A74" s="1354" t="s">
        <v>380</v>
      </c>
      <c r="B74" s="1423">
        <v>6</v>
      </c>
      <c r="C74" s="120" t="str">
        <f>VLOOKUP(A74,DB!$D$2:E999,2,0)</f>
        <v>lot</v>
      </c>
      <c r="D74" s="121">
        <f>VLOOKUP(A74,DB!$D$2:I999,6,0)</f>
        <v>180000</v>
      </c>
      <c r="E74" s="121">
        <f t="shared" si="0"/>
        <v>1080000</v>
      </c>
    </row>
    <row r="75" spans="1:5" ht="12.75">
      <c r="A75" s="1354" t="s">
        <v>195</v>
      </c>
      <c r="B75" s="1423">
        <v>31</v>
      </c>
      <c r="C75" s="120" t="str">
        <f>VLOOKUP(A75,DB!$D$2:E999,2,0)</f>
        <v>pc</v>
      </c>
      <c r="D75" s="121">
        <f>VLOOKUP(A75,DB!$D$2:I999,6,0)</f>
        <v>22500</v>
      </c>
      <c r="E75" s="121">
        <f t="shared" si="0"/>
        <v>697500</v>
      </c>
    </row>
    <row r="76" spans="1:5" ht="12.75">
      <c r="A76" s="1354" t="s">
        <v>199</v>
      </c>
      <c r="B76" s="1423">
        <v>1562</v>
      </c>
      <c r="C76" s="120" t="str">
        <f>VLOOKUP(A76,DB!$D$2:E999,2,0)</f>
        <v>pc</v>
      </c>
      <c r="D76" s="121">
        <f>VLOOKUP(A76,DB!$D$2:I999,6,0)</f>
        <v>435</v>
      </c>
      <c r="E76" s="121">
        <f t="shared" si="0"/>
        <v>679470</v>
      </c>
    </row>
    <row r="77" spans="1:5" ht="12.75">
      <c r="A77" s="1354" t="s">
        <v>209</v>
      </c>
      <c r="B77" s="1423">
        <v>593</v>
      </c>
      <c r="C77" s="120" t="str">
        <f>VLOOKUP(A77,DB!$D$2:E999,2,0)</f>
        <v>pc</v>
      </c>
      <c r="D77" s="121">
        <f>VLOOKUP(A77,DB!$D$2:I999,6,0)</f>
        <v>435</v>
      </c>
      <c r="E77" s="121">
        <f t="shared" si="0"/>
        <v>257955</v>
      </c>
    </row>
    <row r="78" spans="1:5" ht="12.75">
      <c r="A78" s="1354" t="s">
        <v>210</v>
      </c>
      <c r="B78" s="1423">
        <v>573</v>
      </c>
      <c r="C78" s="120" t="str">
        <f>VLOOKUP(A78,DB!$D$2:E999,2,0)</f>
        <v>pc</v>
      </c>
      <c r="D78" s="121">
        <f>VLOOKUP(A78,DB!$D$2:I999,6,0)</f>
        <v>435</v>
      </c>
      <c r="E78" s="121">
        <f t="shared" si="0"/>
        <v>249255</v>
      </c>
    </row>
    <row r="79" spans="1:5" ht="12.75">
      <c r="A79" s="1354" t="s">
        <v>211</v>
      </c>
      <c r="B79" s="1423">
        <v>593</v>
      </c>
      <c r="C79" s="120" t="str">
        <f>VLOOKUP(A79,DB!$D$2:E999,2,0)</f>
        <v>pc</v>
      </c>
      <c r="D79" s="121">
        <f>VLOOKUP(A79,DB!$D$2:I999,6,0)</f>
        <v>435</v>
      </c>
      <c r="E79" s="121">
        <f t="shared" si="0"/>
        <v>257955</v>
      </c>
    </row>
    <row r="80" spans="1:5" ht="12.75">
      <c r="A80" s="1354" t="s">
        <v>212</v>
      </c>
      <c r="B80" s="1423">
        <v>747</v>
      </c>
      <c r="C80" s="120" t="str">
        <f>VLOOKUP(A80,DB!$D$2:E999,2,0)</f>
        <v>pc</v>
      </c>
      <c r="D80" s="121">
        <f>VLOOKUP(A80,DB!$D$2:I999,6,0)</f>
        <v>450</v>
      </c>
      <c r="E80" s="121">
        <f t="shared" si="0"/>
        <v>336150</v>
      </c>
    </row>
    <row r="81" spans="1:5" ht="12.75">
      <c r="A81" s="1354" t="s">
        <v>216</v>
      </c>
      <c r="B81" s="1423">
        <v>402</v>
      </c>
      <c r="C81" s="120" t="str">
        <f>VLOOKUP(A81,DB!$D$2:E999,2,0)</f>
        <v>pc</v>
      </c>
      <c r="D81" s="121">
        <f>VLOOKUP(A81,DB!$D$2:I999,6,0)</f>
        <v>450</v>
      </c>
      <c r="E81" s="121">
        <f t="shared" si="0"/>
        <v>180900</v>
      </c>
    </row>
    <row r="82" spans="1:5" ht="12.75">
      <c r="A82" s="1354" t="s">
        <v>217</v>
      </c>
      <c r="B82" s="1423">
        <v>357</v>
      </c>
      <c r="C82" s="120" t="str">
        <f>VLOOKUP(A82,DB!$D$2:E999,2,0)</f>
        <v>pc</v>
      </c>
      <c r="D82" s="121">
        <f>VLOOKUP(A82,DB!$D$2:I999,6,0)</f>
        <v>450</v>
      </c>
      <c r="E82" s="121">
        <f t="shared" si="0"/>
        <v>160650</v>
      </c>
    </row>
    <row r="83" spans="1:5" ht="12.75">
      <c r="A83" s="1354" t="s">
        <v>218</v>
      </c>
      <c r="B83" s="1423">
        <v>357</v>
      </c>
      <c r="C83" s="120" t="str">
        <f>VLOOKUP(A83,DB!$D$2:E999,2,0)</f>
        <v>pc</v>
      </c>
      <c r="D83" s="121">
        <f>VLOOKUP(A83,DB!$D$2:I999,6,0)</f>
        <v>450</v>
      </c>
      <c r="E83" s="121">
        <f t="shared" si="0"/>
        <v>160650</v>
      </c>
    </row>
    <row r="84" spans="1:5" ht="12.75">
      <c r="A84" s="1354" t="s">
        <v>69</v>
      </c>
      <c r="B84" s="1423">
        <v>20</v>
      </c>
      <c r="C84" s="120" t="str">
        <f>VLOOKUP(A84,DB!$D$2:E999,2,0)</f>
        <v>pc</v>
      </c>
      <c r="D84" s="121">
        <f>VLOOKUP(A84,DB!$D$2:I999,6,0)</f>
        <v>570</v>
      </c>
      <c r="E84" s="121">
        <f t="shared" si="0"/>
        <v>11400</v>
      </c>
    </row>
    <row r="85" spans="1:5" ht="12.75">
      <c r="A85" s="1354" t="s">
        <v>219</v>
      </c>
      <c r="B85" s="1423">
        <v>904</v>
      </c>
      <c r="C85" s="120" t="str">
        <f>VLOOKUP(A85,DB!$D$2:E999,2,0)</f>
        <v>pc</v>
      </c>
      <c r="D85" s="121">
        <f>VLOOKUP(A85,DB!$D$2:I999,6,0)</f>
        <v>255</v>
      </c>
      <c r="E85" s="121">
        <f t="shared" si="0"/>
        <v>230520</v>
      </c>
    </row>
    <row r="86" spans="1:5" ht="12.75">
      <c r="A86" s="1354" t="s">
        <v>220</v>
      </c>
      <c r="B86" s="1423">
        <v>15</v>
      </c>
      <c r="C86" s="120" t="str">
        <f>VLOOKUP(A86,DB!$D$2:E999,2,0)</f>
        <v>pc</v>
      </c>
      <c r="D86" s="121">
        <f>VLOOKUP(A86,DB!$D$2:I999,6,0)</f>
        <v>1950</v>
      </c>
      <c r="E86" s="121">
        <f t="shared" si="0"/>
        <v>29250</v>
      </c>
    </row>
    <row r="87" spans="1:5" ht="12.75">
      <c r="A87" s="1354" t="s">
        <v>221</v>
      </c>
      <c r="B87" s="1423">
        <v>24</v>
      </c>
      <c r="C87" s="120" t="str">
        <f>VLOOKUP(A87,DB!$D$2:E999,2,0)</f>
        <v>pc</v>
      </c>
      <c r="D87" s="121">
        <f>VLOOKUP(A87,DB!$D$2:I999,6,0)</f>
        <v>135</v>
      </c>
      <c r="E87" s="121">
        <f t="shared" si="0"/>
        <v>3240</v>
      </c>
    </row>
    <row r="88" spans="1:5" ht="12.75">
      <c r="A88" s="1354" t="s">
        <v>222</v>
      </c>
      <c r="B88" s="1423">
        <v>1</v>
      </c>
      <c r="C88" s="120" t="str">
        <f>VLOOKUP(A88,DB!$D$2:E999,2,0)</f>
        <v>pc</v>
      </c>
      <c r="D88" s="121">
        <f>VLOOKUP(A88,DB!$D$2:I999,6,0)</f>
        <v>12900</v>
      </c>
      <c r="E88" s="121">
        <f t="shared" si="0"/>
        <v>12900</v>
      </c>
    </row>
    <row r="89" spans="1:5" ht="12.75">
      <c r="A89" s="1354" t="s">
        <v>381</v>
      </c>
      <c r="B89" s="1423">
        <v>5</v>
      </c>
      <c r="C89" s="120" t="str">
        <f>VLOOKUP(A89,DB!$D$2:E999,2,0)</f>
        <v>set</v>
      </c>
      <c r="D89" s="121">
        <f>VLOOKUP(A89,DB!$D$2:I999,6,0)</f>
        <v>435</v>
      </c>
      <c r="E89" s="121">
        <f t="shared" si="0"/>
        <v>2175</v>
      </c>
    </row>
    <row r="90" spans="1:5" ht="12.75">
      <c r="A90" s="1354" t="s">
        <v>223</v>
      </c>
      <c r="B90" s="1423">
        <v>1</v>
      </c>
      <c r="C90" s="120" t="str">
        <f>VLOOKUP(A90,DB!$D$2:E999,2,0)</f>
        <v>pc</v>
      </c>
      <c r="D90" s="121">
        <f>VLOOKUP(A90,DB!$D$2:I999,6,0)</f>
        <v>3000</v>
      </c>
      <c r="E90" s="121">
        <f t="shared" si="0"/>
        <v>3000</v>
      </c>
    </row>
    <row r="91" spans="1:5" ht="12.75">
      <c r="A91" s="1354" t="s">
        <v>382</v>
      </c>
      <c r="B91" s="1423">
        <v>1</v>
      </c>
      <c r="C91" s="120" t="str">
        <f>VLOOKUP(A91,DB!$D$2:E999,2,0)</f>
        <v>lot</v>
      </c>
      <c r="D91" s="121">
        <f>VLOOKUP(A91,DB!$D$2:I999,6,0)</f>
        <v>1500000</v>
      </c>
      <c r="E91" s="121">
        <f t="shared" si="0"/>
        <v>1500000</v>
      </c>
    </row>
    <row r="92" spans="1:5" ht="12.75">
      <c r="A92" s="1354" t="s">
        <v>383</v>
      </c>
      <c r="B92" s="1423">
        <v>1</v>
      </c>
      <c r="C92" s="120" t="str">
        <f>VLOOKUP(A92,DB!$D$2:E999,2,0)</f>
        <v>lot</v>
      </c>
      <c r="D92" s="121">
        <f>VLOOKUP(A92,DB!$D$2:I999,6,0)</f>
        <v>1275000</v>
      </c>
      <c r="E92" s="121">
        <f t="shared" si="0"/>
        <v>1275000</v>
      </c>
    </row>
    <row r="93" spans="1:5" ht="12.75">
      <c r="A93" s="1354" t="s">
        <v>384</v>
      </c>
      <c r="B93" s="1423">
        <v>12</v>
      </c>
      <c r="C93" s="120" t="str">
        <f>VLOOKUP(A93,DB!$D$2:E999,2,0)</f>
        <v>pc</v>
      </c>
      <c r="D93" s="121">
        <f>VLOOKUP(A93,DB!$D$2:I999,6,0)</f>
        <v>750</v>
      </c>
      <c r="E93" s="121">
        <f t="shared" si="0"/>
        <v>9000</v>
      </c>
    </row>
    <row r="94" spans="1:5" ht="12.75">
      <c r="A94" s="1354" t="s">
        <v>224</v>
      </c>
      <c r="B94" s="1423">
        <v>20</v>
      </c>
      <c r="C94" s="120" t="str">
        <f>VLOOKUP(A94,DB!$D$2:E999,2,0)</f>
        <v>set</v>
      </c>
      <c r="D94" s="121">
        <f>VLOOKUP(A94,DB!$D$2:I999,6,0)</f>
        <v>10500</v>
      </c>
      <c r="E94" s="121">
        <f t="shared" si="0"/>
        <v>210000</v>
      </c>
    </row>
    <row r="95" spans="1:5" ht="12.75">
      <c r="A95" s="1354" t="s">
        <v>225</v>
      </c>
      <c r="B95" s="1423">
        <v>10</v>
      </c>
      <c r="C95" s="120" t="str">
        <f>VLOOKUP(A95,DB!$D$2:E999,2,0)</f>
        <v>pc</v>
      </c>
      <c r="D95" s="121">
        <f>VLOOKUP(A95,DB!$D$2:I999,6,0)</f>
        <v>2250</v>
      </c>
      <c r="E95" s="121">
        <f t="shared" si="0"/>
        <v>22500</v>
      </c>
    </row>
    <row r="96" spans="1:5" ht="12.75">
      <c r="A96" s="1354" t="s">
        <v>226</v>
      </c>
      <c r="B96" s="1423">
        <v>24</v>
      </c>
      <c r="C96" s="120" t="str">
        <f>VLOOKUP(A96,DB!$D$2:E999,2,0)</f>
        <v>pc</v>
      </c>
      <c r="D96" s="121">
        <f>VLOOKUP(A96,DB!$D$2:I999,6,0)</f>
        <v>268.5</v>
      </c>
      <c r="E96" s="121">
        <f t="shared" si="0"/>
        <v>6444</v>
      </c>
    </row>
    <row r="97" spans="1:5" ht="12.75">
      <c r="A97" s="1354" t="s">
        <v>385</v>
      </c>
      <c r="B97" s="1423">
        <v>40</v>
      </c>
      <c r="C97" s="120" t="str">
        <f>VLOOKUP(A97,DB!$D$2:E999,2,0)</f>
        <v>pc</v>
      </c>
      <c r="D97" s="121">
        <f>VLOOKUP(A97,DB!$D$2:I999,6,0)</f>
        <v>3000</v>
      </c>
      <c r="E97" s="121">
        <f t="shared" si="0"/>
        <v>120000</v>
      </c>
    </row>
    <row r="98" spans="1:5" ht="12.75">
      <c r="A98" s="1354" t="s">
        <v>386</v>
      </c>
      <c r="B98" s="1423">
        <v>40</v>
      </c>
      <c r="C98" s="120" t="str">
        <f>VLOOKUP(A98,DB!$D$2:E999,2,0)</f>
        <v>pc</v>
      </c>
      <c r="D98" s="121">
        <f>VLOOKUP(A98,DB!$D$2:I999,6,0)</f>
        <v>3750</v>
      </c>
      <c r="E98" s="121">
        <f t="shared" si="0"/>
        <v>150000</v>
      </c>
    </row>
    <row r="99" spans="1:5" ht="12.75">
      <c r="A99" s="1354" t="s">
        <v>387</v>
      </c>
      <c r="B99" s="1423">
        <v>200</v>
      </c>
      <c r="C99" s="120" t="str">
        <f>VLOOKUP(A99,DB!$D$2:E999,2,0)</f>
        <v>pc</v>
      </c>
      <c r="D99" s="121">
        <f>VLOOKUP(A99,DB!$D$2:I999,6,0)</f>
        <v>600</v>
      </c>
      <c r="E99" s="121">
        <f t="shared" si="0"/>
        <v>120000</v>
      </c>
    </row>
    <row r="100" spans="1:5" ht="12.75">
      <c r="A100" s="1354" t="s">
        <v>388</v>
      </c>
      <c r="B100" s="1423">
        <v>80</v>
      </c>
      <c r="C100" s="120" t="str">
        <f>VLOOKUP(A100,DB!$D$2:E999,2,0)</f>
        <v>pc</v>
      </c>
      <c r="D100" s="121">
        <f>VLOOKUP(A100,DB!$D$2:I999,6,0)</f>
        <v>600</v>
      </c>
      <c r="E100" s="121">
        <f t="shared" si="0"/>
        <v>48000</v>
      </c>
    </row>
    <row r="101" spans="1:5" ht="12.75">
      <c r="A101" s="1354" t="s">
        <v>389</v>
      </c>
      <c r="B101" s="1423">
        <v>60</v>
      </c>
      <c r="C101" s="120" t="str">
        <f>VLOOKUP(A101,DB!$D$2:E999,2,0)</f>
        <v>pc</v>
      </c>
      <c r="D101" s="121">
        <f>VLOOKUP(A101,DB!$D$2:I999,6,0)</f>
        <v>6000</v>
      </c>
      <c r="E101" s="121">
        <f t="shared" si="0"/>
        <v>360000</v>
      </c>
    </row>
    <row r="102" spans="1:5" ht="12.75">
      <c r="A102" s="1354" t="s">
        <v>227</v>
      </c>
      <c r="B102" s="1423">
        <v>250</v>
      </c>
      <c r="C102" s="120" t="str">
        <f>VLOOKUP(A102,DB!$D$2:E999,2,0)</f>
        <v>pc</v>
      </c>
      <c r="D102" s="121">
        <f>VLOOKUP(A102,DB!$D$2:I999,6,0)</f>
        <v>435</v>
      </c>
      <c r="E102" s="121">
        <f t="shared" si="0"/>
        <v>108750</v>
      </c>
    </row>
    <row r="103" spans="1:5" ht="12.75">
      <c r="A103" s="1354" t="s">
        <v>228</v>
      </c>
      <c r="B103" s="1423">
        <v>250</v>
      </c>
      <c r="C103" s="120" t="str">
        <f>VLOOKUP(A103,DB!$D$2:E999,2,0)</f>
        <v>pc</v>
      </c>
      <c r="D103" s="121">
        <f>VLOOKUP(A103,DB!$D$2:I999,6,0)</f>
        <v>435</v>
      </c>
      <c r="E103" s="121">
        <f t="shared" si="0"/>
        <v>108750</v>
      </c>
    </row>
    <row r="104" spans="1:5" ht="12.75">
      <c r="A104" s="1354" t="s">
        <v>229</v>
      </c>
      <c r="B104" s="1423">
        <v>250</v>
      </c>
      <c r="C104" s="120" t="str">
        <f>VLOOKUP(A104,DB!$D$2:E999,2,0)</f>
        <v>pc</v>
      </c>
      <c r="D104" s="121">
        <f>VLOOKUP(A104,DB!$D$2:I999,6,0)</f>
        <v>435</v>
      </c>
      <c r="E104" s="121">
        <f t="shared" si="0"/>
        <v>108750</v>
      </c>
    </row>
    <row r="105" spans="1:5" ht="12.75">
      <c r="A105" s="1354" t="s">
        <v>230</v>
      </c>
      <c r="B105" s="1423">
        <v>329</v>
      </c>
      <c r="C105" s="120" t="str">
        <f>VLOOKUP(A105,DB!$D$2:E999,2,0)</f>
        <v>pc</v>
      </c>
      <c r="D105" s="121">
        <f>VLOOKUP(A105,DB!$D$2:I999,6,0)</f>
        <v>435</v>
      </c>
      <c r="E105" s="121">
        <f t="shared" si="0"/>
        <v>143115</v>
      </c>
    </row>
    <row r="106" spans="1:5" ht="12.75">
      <c r="A106" s="1354" t="s">
        <v>231</v>
      </c>
      <c r="B106" s="1423">
        <v>33</v>
      </c>
      <c r="C106" s="120" t="str">
        <f>VLOOKUP(A106,DB!$D$2:E999,2,0)</f>
        <v>pc</v>
      </c>
      <c r="D106" s="121">
        <f>VLOOKUP(A106,DB!$D$2:I999,6,0)</f>
        <v>1500</v>
      </c>
      <c r="E106" s="121">
        <f t="shared" si="0"/>
        <v>49500</v>
      </c>
    </row>
    <row r="107" spans="1:5" ht="12.75">
      <c r="A107" s="1354" t="s">
        <v>232</v>
      </c>
      <c r="B107" s="1423">
        <v>29</v>
      </c>
      <c r="C107" s="120" t="str">
        <f>VLOOKUP(A107,DB!$D$2:E999,2,0)</f>
        <v>pc</v>
      </c>
      <c r="D107" s="121">
        <f>VLOOKUP(A107,DB!$D$2:I999,6,0)</f>
        <v>1500</v>
      </c>
      <c r="E107" s="121">
        <f t="shared" si="0"/>
        <v>43500</v>
      </c>
    </row>
    <row r="108" spans="1:5" ht="12.75">
      <c r="A108" s="1354" t="s">
        <v>233</v>
      </c>
      <c r="B108" s="1423">
        <v>8</v>
      </c>
      <c r="C108" s="120" t="str">
        <f>VLOOKUP(A108,DB!$D$2:E999,2,0)</f>
        <v>pc</v>
      </c>
      <c r="D108" s="121">
        <f>VLOOKUP(A108,DB!$D$2:I999,6,0)</f>
        <v>8850</v>
      </c>
      <c r="E108" s="121">
        <f t="shared" si="0"/>
        <v>70800</v>
      </c>
    </row>
    <row r="109" spans="1:5" ht="12.75">
      <c r="A109" s="1354" t="s">
        <v>390</v>
      </c>
      <c r="B109" s="1423">
        <v>82</v>
      </c>
      <c r="C109" s="120" t="str">
        <f>VLOOKUP(A109,DB!$D$2:E999,2,0)</f>
        <v>pc</v>
      </c>
      <c r="D109" s="121">
        <f>VLOOKUP(A109,DB!$D$2:I999,6,0)</f>
        <v>7500</v>
      </c>
      <c r="E109" s="121">
        <f t="shared" si="0"/>
        <v>615000</v>
      </c>
    </row>
    <row r="110" spans="1:5" ht="12.75">
      <c r="A110" s="1354" t="s">
        <v>234</v>
      </c>
      <c r="B110" s="1423">
        <v>99</v>
      </c>
      <c r="C110" s="120" t="str">
        <f>VLOOKUP(A110,DB!$D$2:E999,2,0)</f>
        <v>pc</v>
      </c>
      <c r="D110" s="121">
        <f>VLOOKUP(A110,DB!$D$2:I999,6,0)</f>
        <v>577.5</v>
      </c>
      <c r="E110" s="121">
        <f t="shared" si="0"/>
        <v>57172.5</v>
      </c>
    </row>
    <row r="111" spans="1:5" ht="12.75">
      <c r="A111" s="1354" t="s">
        <v>392</v>
      </c>
      <c r="B111" s="1423">
        <v>30</v>
      </c>
      <c r="C111" s="120" t="str">
        <f>VLOOKUP(A111,DB!$D$2:E999,2,0)</f>
        <v>pc</v>
      </c>
      <c r="D111" s="121">
        <f>VLOOKUP(A111,DB!$D$2:I999,6,0)</f>
        <v>195</v>
      </c>
      <c r="E111" s="121">
        <f t="shared" si="0"/>
        <v>5850</v>
      </c>
    </row>
    <row r="112" spans="1:5" ht="12.75">
      <c r="A112" s="1354" t="s">
        <v>238</v>
      </c>
      <c r="B112" s="1423">
        <v>3</v>
      </c>
      <c r="C112" s="120" t="str">
        <f>VLOOKUP(A112,DB!$D$2:E999,2,0)</f>
        <v>pack</v>
      </c>
      <c r="D112" s="121">
        <f>VLOOKUP(A112,DB!$D$2:I999,6,0)</f>
        <v>1740</v>
      </c>
      <c r="E112" s="121">
        <f t="shared" si="0"/>
        <v>5220</v>
      </c>
    </row>
    <row r="113" spans="1:5" ht="12.75">
      <c r="A113" s="1354" t="s">
        <v>393</v>
      </c>
      <c r="B113" s="1423">
        <v>1</v>
      </c>
      <c r="C113" s="120" t="str">
        <f>VLOOKUP(A113,DB!$D$2:E999,2,0)</f>
        <v>lot</v>
      </c>
      <c r="D113" s="121">
        <f>VLOOKUP(A113,DB!$D$2:I999,6,0)</f>
        <v>3000000</v>
      </c>
      <c r="E113" s="121">
        <f t="shared" si="0"/>
        <v>3000000</v>
      </c>
    </row>
    <row r="114" spans="1:5" ht="12.75">
      <c r="A114" s="1354" t="s">
        <v>394</v>
      </c>
      <c r="B114" s="1423">
        <v>2</v>
      </c>
      <c r="C114" s="120" t="str">
        <f>VLOOKUP(A114,DB!$D$2:E999,2,0)</f>
        <v>set</v>
      </c>
      <c r="D114" s="121">
        <f>VLOOKUP(A114,DB!$D$2:I999,6,0)</f>
        <v>12285</v>
      </c>
      <c r="E114" s="121">
        <f t="shared" si="0"/>
        <v>24570</v>
      </c>
    </row>
    <row r="115" spans="1:5" ht="12.75">
      <c r="A115" s="1354" t="s">
        <v>395</v>
      </c>
      <c r="B115" s="1423">
        <v>2</v>
      </c>
      <c r="C115" s="120" t="str">
        <f>VLOOKUP(A115,DB!$D$2:E999,2,0)</f>
        <v>set</v>
      </c>
      <c r="D115" s="121">
        <f>VLOOKUP(A115,DB!$D$2:I999,6,0)</f>
        <v>18900</v>
      </c>
      <c r="E115" s="121">
        <f t="shared" si="0"/>
        <v>37800</v>
      </c>
    </row>
    <row r="116" spans="1:5" ht="12.75">
      <c r="A116" s="1354" t="s">
        <v>396</v>
      </c>
      <c r="B116" s="1423">
        <v>17</v>
      </c>
      <c r="C116" s="120" t="str">
        <f>VLOOKUP(A116,DB!$D$2:E999,2,0)</f>
        <v>set</v>
      </c>
      <c r="D116" s="121">
        <f>VLOOKUP(A116,DB!$D$2:I999,6,0)</f>
        <v>36960</v>
      </c>
      <c r="E116" s="121">
        <f t="shared" si="0"/>
        <v>628320</v>
      </c>
    </row>
    <row r="117" spans="1:5" ht="12.75">
      <c r="A117" s="1354" t="s">
        <v>397</v>
      </c>
      <c r="B117" s="1423">
        <v>1</v>
      </c>
      <c r="C117" s="120" t="str">
        <f>VLOOKUP(A117,DB!$D$2:E999,2,0)</f>
        <v>set</v>
      </c>
      <c r="D117" s="121">
        <f>VLOOKUP(A117,DB!$D$2:I999,6,0)</f>
        <v>36960</v>
      </c>
      <c r="E117" s="121">
        <f t="shared" si="0"/>
        <v>36960</v>
      </c>
    </row>
    <row r="118" spans="1:5" ht="12.75">
      <c r="A118" s="1354" t="s">
        <v>398</v>
      </c>
      <c r="B118" s="1423">
        <v>6</v>
      </c>
      <c r="C118" s="120" t="str">
        <f>VLOOKUP(A118,DB!$D$2:E999,2,0)</f>
        <v>set</v>
      </c>
      <c r="D118" s="121">
        <f>VLOOKUP(A118,DB!$D$2:I999,6,0)</f>
        <v>36960</v>
      </c>
      <c r="E118" s="121">
        <f t="shared" si="0"/>
        <v>221760</v>
      </c>
    </row>
    <row r="119" spans="1:5" ht="12.75">
      <c r="A119" s="1354" t="s">
        <v>399</v>
      </c>
      <c r="B119" s="1423">
        <v>4</v>
      </c>
      <c r="C119" s="120" t="str">
        <f>VLOOKUP(A119,DB!$D$2:E999,2,0)</f>
        <v>set</v>
      </c>
      <c r="D119" s="121">
        <f>VLOOKUP(A119,DB!$D$2:I999,6,0)</f>
        <v>64785</v>
      </c>
      <c r="E119" s="121">
        <f t="shared" si="0"/>
        <v>259140</v>
      </c>
    </row>
    <row r="120" spans="1:5" ht="12.75">
      <c r="A120" s="1354" t="s">
        <v>400</v>
      </c>
      <c r="B120" s="1423">
        <v>8</v>
      </c>
      <c r="C120" s="120" t="str">
        <f>VLOOKUP(A120,DB!$D$2:E999,2,0)</f>
        <v>lot</v>
      </c>
      <c r="D120" s="121">
        <f>VLOOKUP(A120,DB!$D$2:I999,6,0)</f>
        <v>30000</v>
      </c>
      <c r="E120" s="121">
        <f t="shared" si="0"/>
        <v>240000</v>
      </c>
    </row>
    <row r="121" spans="1:5" ht="12.75">
      <c r="A121" s="1354" t="s">
        <v>239</v>
      </c>
      <c r="B121" s="1423">
        <v>108</v>
      </c>
      <c r="C121" s="120" t="str">
        <f>VLOOKUP(A121,DB!$D$2:E999,2,0)</f>
        <v>pc</v>
      </c>
      <c r="D121" s="121">
        <f>VLOOKUP(A121,DB!$D$2:I999,6,0)</f>
        <v>270</v>
      </c>
      <c r="E121" s="121">
        <f t="shared" si="0"/>
        <v>29160</v>
      </c>
    </row>
    <row r="122" spans="1:5" ht="12.75">
      <c r="A122" s="1354" t="s">
        <v>401</v>
      </c>
      <c r="B122" s="1423">
        <v>1</v>
      </c>
      <c r="C122" s="120" t="str">
        <f>VLOOKUP(A122,DB!$D$2:E999,2,0)</f>
        <v>set</v>
      </c>
      <c r="D122" s="121">
        <f>VLOOKUP(A122,DB!$D$2:I999,6,0)</f>
        <v>240000</v>
      </c>
      <c r="E122" s="121">
        <f t="shared" si="0"/>
        <v>240000</v>
      </c>
    </row>
    <row r="123" spans="1:5" ht="12.75">
      <c r="A123" s="1354" t="s">
        <v>240</v>
      </c>
      <c r="B123" s="1423">
        <v>2</v>
      </c>
      <c r="C123" s="120" t="str">
        <f>VLOOKUP(A123,DB!$D$2:E999,2,0)</f>
        <v>pc</v>
      </c>
      <c r="D123" s="121">
        <f>VLOOKUP(A123,DB!$D$2:I999,6,0)</f>
        <v>1350</v>
      </c>
      <c r="E123" s="121">
        <f t="shared" si="0"/>
        <v>2700</v>
      </c>
    </row>
    <row r="124" spans="1:5" ht="12.75">
      <c r="A124" s="1354" t="s">
        <v>241</v>
      </c>
      <c r="B124" s="1423">
        <v>5</v>
      </c>
      <c r="C124" s="120" t="str">
        <f>VLOOKUP(A124,DB!$D$2:E999,2,0)</f>
        <v>pack</v>
      </c>
      <c r="D124" s="121">
        <f>VLOOKUP(A124,DB!$D$2:I999,6,0)</f>
        <v>330</v>
      </c>
      <c r="E124" s="121">
        <f t="shared" si="0"/>
        <v>1650</v>
      </c>
    </row>
    <row r="125" spans="1:5" ht="12.75">
      <c r="A125" s="1354" t="s">
        <v>402</v>
      </c>
      <c r="B125" s="1423">
        <v>5</v>
      </c>
      <c r="C125" s="120" t="str">
        <f>VLOOKUP(A125,DB!$D$2:E999,2,0)</f>
        <v>pc</v>
      </c>
      <c r="D125" s="121">
        <f>VLOOKUP(A125,DB!$D$2:I999,6,0)</f>
        <v>3000</v>
      </c>
      <c r="E125" s="121">
        <f t="shared" si="0"/>
        <v>15000</v>
      </c>
    </row>
    <row r="126" spans="1:5" ht="12.75">
      <c r="A126" s="1354" t="s">
        <v>403</v>
      </c>
      <c r="B126" s="1423">
        <v>20</v>
      </c>
      <c r="C126" s="120" t="str">
        <f>VLOOKUP(A126,DB!$D$2:E999,2,0)</f>
        <v>set</v>
      </c>
      <c r="D126" s="121">
        <f>VLOOKUP(A126,DB!$D$2:I999,6,0)</f>
        <v>225</v>
      </c>
      <c r="E126" s="121">
        <f t="shared" si="0"/>
        <v>4500</v>
      </c>
    </row>
    <row r="127" spans="1:5" ht="12.75">
      <c r="A127" s="1354" t="s">
        <v>404</v>
      </c>
      <c r="B127" s="1423">
        <v>1</v>
      </c>
      <c r="C127" s="120" t="str">
        <f>VLOOKUP(A127,DB!$D$2:E999,2,0)</f>
        <v>set</v>
      </c>
      <c r="D127" s="121">
        <f>VLOOKUP(A127,DB!$D$2:I999,6,0)</f>
        <v>14850</v>
      </c>
      <c r="E127" s="121">
        <f t="shared" si="0"/>
        <v>14850</v>
      </c>
    </row>
    <row r="128" spans="1:5" ht="12.75">
      <c r="A128" s="1354" t="s">
        <v>242</v>
      </c>
      <c r="B128" s="1423">
        <v>1000</v>
      </c>
      <c r="C128" s="120" t="str">
        <f>VLOOKUP(A128,DB!$D$2:E999,2,0)</f>
        <v>pc</v>
      </c>
      <c r="D128" s="121">
        <f>VLOOKUP(A128,DB!$D$2:I999,6,0)</f>
        <v>7.5</v>
      </c>
      <c r="E128" s="121">
        <f t="shared" si="0"/>
        <v>7500</v>
      </c>
    </row>
    <row r="129" spans="1:5" ht="12.75">
      <c r="A129" s="1354" t="s">
        <v>243</v>
      </c>
      <c r="B129" s="1423">
        <v>5</v>
      </c>
      <c r="C129" s="120" t="str">
        <f>VLOOKUP(A129,DB!$D$2:E999,2,0)</f>
        <v>pc</v>
      </c>
      <c r="D129" s="121">
        <f>VLOOKUP(A129,DB!$D$2:I999,6,0)</f>
        <v>4350</v>
      </c>
      <c r="E129" s="121">
        <f t="shared" si="0"/>
        <v>21750</v>
      </c>
    </row>
    <row r="130" spans="1:5" ht="12.75">
      <c r="A130" s="1354" t="s">
        <v>244</v>
      </c>
      <c r="B130" s="1423">
        <v>3</v>
      </c>
      <c r="C130" s="120" t="str">
        <f>VLOOKUP(A130,DB!$D$2:E999,2,0)</f>
        <v>pc</v>
      </c>
      <c r="D130" s="121">
        <f>VLOOKUP(A130,DB!$D$2:I999,6,0)</f>
        <v>31500</v>
      </c>
      <c r="E130" s="121">
        <f t="shared" si="0"/>
        <v>94500</v>
      </c>
    </row>
    <row r="131" spans="1:5" ht="12.75">
      <c r="A131" s="1354" t="s">
        <v>405</v>
      </c>
      <c r="B131" s="1423">
        <v>50</v>
      </c>
      <c r="C131" s="120" t="str">
        <f>VLOOKUP(A131,DB!$D$2:E999,2,0)</f>
        <v>pc</v>
      </c>
      <c r="D131" s="121">
        <f>VLOOKUP(A131,DB!$D$2:I999,6,0)</f>
        <v>630</v>
      </c>
      <c r="E131" s="121">
        <f t="shared" si="0"/>
        <v>31500</v>
      </c>
    </row>
    <row r="132" spans="1:5" ht="12.75">
      <c r="A132" s="1354" t="s">
        <v>406</v>
      </c>
      <c r="B132" s="1423">
        <v>30</v>
      </c>
      <c r="C132" s="120" t="str">
        <f>VLOOKUP(A132,DB!$D$2:E999,2,0)</f>
        <v>pc</v>
      </c>
      <c r="D132" s="121">
        <f>VLOOKUP(A132,DB!$D$2:I999,6,0)</f>
        <v>3000</v>
      </c>
      <c r="E132" s="121">
        <f t="shared" si="0"/>
        <v>90000</v>
      </c>
    </row>
    <row r="133" spans="1:5" ht="12.75">
      <c r="A133" s="1354" t="s">
        <v>245</v>
      </c>
      <c r="B133" s="1423">
        <v>1000</v>
      </c>
      <c r="C133" s="120" t="str">
        <f>VLOOKUP(A133,DB!$D$2:E999,2,0)</f>
        <v>pc</v>
      </c>
      <c r="D133" s="121">
        <f>VLOOKUP(A133,DB!$D$2:I999,6,0)</f>
        <v>18</v>
      </c>
      <c r="E133" s="121">
        <f t="shared" si="0"/>
        <v>18000</v>
      </c>
    </row>
    <row r="134" spans="1:5" ht="12.75">
      <c r="A134" s="1354" t="s">
        <v>246</v>
      </c>
      <c r="B134" s="1423">
        <v>5</v>
      </c>
      <c r="C134" s="120" t="str">
        <f>VLOOKUP(A134,DB!$D$2:E999,2,0)</f>
        <v>pack</v>
      </c>
      <c r="D134" s="121">
        <f>VLOOKUP(A134,DB!$D$2:I999,6,0)</f>
        <v>825</v>
      </c>
      <c r="E134" s="121">
        <f t="shared" si="0"/>
        <v>4125</v>
      </c>
    </row>
    <row r="135" spans="1:5" ht="12.75">
      <c r="A135" s="1354" t="s">
        <v>247</v>
      </c>
      <c r="B135" s="1423">
        <v>4</v>
      </c>
      <c r="C135" s="120" t="str">
        <f>VLOOKUP(A135,DB!$D$2:E999,2,0)</f>
        <v>pack</v>
      </c>
      <c r="D135" s="121">
        <f>VLOOKUP(A135,DB!$D$2:I999,6,0)</f>
        <v>225</v>
      </c>
      <c r="E135" s="121">
        <f t="shared" si="0"/>
        <v>900</v>
      </c>
    </row>
    <row r="136" spans="1:5" ht="12.75">
      <c r="A136" s="1354" t="s">
        <v>248</v>
      </c>
      <c r="B136" s="1423">
        <v>10</v>
      </c>
      <c r="C136" s="120" t="str">
        <f>VLOOKUP(A136,DB!$D$2:E999,2,0)</f>
        <v>box</v>
      </c>
      <c r="D136" s="121">
        <f>VLOOKUP(A136,DB!$D$2:I999,6,0)</f>
        <v>675</v>
      </c>
      <c r="E136" s="121">
        <f t="shared" si="0"/>
        <v>6750</v>
      </c>
    </row>
    <row r="137" spans="1:5" ht="12.75">
      <c r="A137" s="1354" t="s">
        <v>31</v>
      </c>
      <c r="B137" s="1423">
        <v>20</v>
      </c>
      <c r="C137" s="120" t="str">
        <f>VLOOKUP(A137,DB!$D$2:E999,2,0)</f>
        <v>pc</v>
      </c>
      <c r="D137" s="121">
        <f>VLOOKUP(A137,DB!$D$2:I999,6,0)</f>
        <v>187.5</v>
      </c>
      <c r="E137" s="121">
        <f t="shared" si="0"/>
        <v>3750</v>
      </c>
    </row>
    <row r="138" spans="1:5" ht="12.75">
      <c r="A138" s="1354" t="s">
        <v>407</v>
      </c>
      <c r="B138" s="1423">
        <v>4</v>
      </c>
      <c r="C138" s="120" t="str">
        <f>VLOOKUP(A138,DB!$D$2:E999,2,0)</f>
        <v>pc</v>
      </c>
      <c r="D138" s="121">
        <f>VLOOKUP(A138,DB!$D$2:I999,6,0)</f>
        <v>1350</v>
      </c>
      <c r="E138" s="121">
        <f t="shared" si="0"/>
        <v>5400</v>
      </c>
    </row>
    <row r="139" spans="1:5" ht="12.75">
      <c r="A139" s="1354" t="s">
        <v>249</v>
      </c>
      <c r="B139" s="1423">
        <v>2</v>
      </c>
      <c r="C139" s="120" t="str">
        <f>VLOOKUP(A139,DB!$D$2:E999,2,0)</f>
        <v>box</v>
      </c>
      <c r="D139" s="121">
        <f>VLOOKUP(A139,DB!$D$2:I999,6,0)</f>
        <v>600</v>
      </c>
      <c r="E139" s="121">
        <f t="shared" si="0"/>
        <v>1200</v>
      </c>
    </row>
    <row r="140" spans="1:5" ht="12.75">
      <c r="A140" s="1354" t="s">
        <v>250</v>
      </c>
      <c r="B140" s="1423">
        <v>138</v>
      </c>
      <c r="C140" s="120" t="str">
        <f>VLOOKUP(A140,DB!$D$2:E999,2,0)</f>
        <v>box</v>
      </c>
      <c r="D140" s="121">
        <f>VLOOKUP(A140,DB!$D$2:I999,6,0)</f>
        <v>1650</v>
      </c>
      <c r="E140" s="121">
        <f t="shared" si="0"/>
        <v>227700</v>
      </c>
    </row>
    <row r="141" spans="1:5" ht="12.75">
      <c r="A141" s="1354" t="s">
        <v>408</v>
      </c>
      <c r="B141" s="1423">
        <v>1</v>
      </c>
      <c r="C141" s="120" t="str">
        <f>VLOOKUP(A141,DB!$D$2:E999,2,0)</f>
        <v>lot</v>
      </c>
      <c r="D141" s="121">
        <f>VLOOKUP(A141,DB!$D$2:I999,6,0)</f>
        <v>648000</v>
      </c>
      <c r="E141" s="121">
        <f t="shared" si="0"/>
        <v>648000</v>
      </c>
    </row>
    <row r="142" spans="1:5" ht="12.75">
      <c r="A142" s="1354" t="s">
        <v>251</v>
      </c>
      <c r="B142" s="1423">
        <v>2</v>
      </c>
      <c r="C142" s="120" t="str">
        <f>VLOOKUP(A142,DB!$D$2:E999,2,0)</f>
        <v>pc</v>
      </c>
      <c r="D142" s="121">
        <f>VLOOKUP(A142,DB!$D$2:I999,6,0)</f>
        <v>4702.5</v>
      </c>
      <c r="E142" s="121">
        <f t="shared" si="0"/>
        <v>9405</v>
      </c>
    </row>
    <row r="143" spans="1:5" ht="12.75">
      <c r="A143" s="1354" t="s">
        <v>252</v>
      </c>
      <c r="B143" s="1423">
        <v>2</v>
      </c>
      <c r="C143" s="120" t="str">
        <f>VLOOKUP(A143,DB!$D$2:E999,2,0)</f>
        <v>pc</v>
      </c>
      <c r="D143" s="121">
        <f>VLOOKUP(A143,DB!$D$2:I999,6,0)</f>
        <v>900</v>
      </c>
      <c r="E143" s="121">
        <f t="shared" si="0"/>
        <v>1800</v>
      </c>
    </row>
    <row r="144" spans="1:5" ht="12.75">
      <c r="A144" s="1354" t="s">
        <v>253</v>
      </c>
      <c r="B144" s="1423">
        <v>20</v>
      </c>
      <c r="C144" s="120" t="str">
        <f>VLOOKUP(A144,DB!$D$2:E999,2,0)</f>
        <v>pc</v>
      </c>
      <c r="D144" s="121">
        <f>VLOOKUP(A144,DB!$D$2:I999,6,0)</f>
        <v>750</v>
      </c>
      <c r="E144" s="121">
        <f t="shared" si="0"/>
        <v>15000</v>
      </c>
    </row>
    <row r="145" spans="1:5" ht="12.75">
      <c r="A145" s="1354" t="s">
        <v>254</v>
      </c>
      <c r="B145" s="1423">
        <v>20</v>
      </c>
      <c r="C145" s="120" t="str">
        <f>VLOOKUP(A145,DB!$D$2:E999,2,0)</f>
        <v>pc</v>
      </c>
      <c r="D145" s="121">
        <f>VLOOKUP(A145,DB!$D$2:I999,6,0)</f>
        <v>900</v>
      </c>
      <c r="E145" s="121">
        <f t="shared" si="0"/>
        <v>18000</v>
      </c>
    </row>
    <row r="146" spans="1:5" ht="12.75">
      <c r="A146" s="1354" t="s">
        <v>409</v>
      </c>
      <c r="B146" s="1423">
        <v>200</v>
      </c>
      <c r="C146" s="120" t="str">
        <f>VLOOKUP(A146,DB!$D$2:E999,2,0)</f>
        <v>pc</v>
      </c>
      <c r="D146" s="121">
        <f>VLOOKUP(A146,DB!$D$2:I999,6,0)</f>
        <v>75</v>
      </c>
      <c r="E146" s="121">
        <f t="shared" si="0"/>
        <v>15000</v>
      </c>
    </row>
    <row r="147" spans="1:5" ht="12.75">
      <c r="A147" s="1354" t="s">
        <v>255</v>
      </c>
      <c r="B147" s="1423">
        <v>40</v>
      </c>
      <c r="C147" s="120" t="str">
        <f>VLOOKUP(A147,DB!$D$2:E999,2,0)</f>
        <v>pc</v>
      </c>
      <c r="D147" s="121">
        <f>VLOOKUP(A147,DB!$D$2:I999,6,0)</f>
        <v>60</v>
      </c>
      <c r="E147" s="121">
        <f t="shared" si="0"/>
        <v>2400</v>
      </c>
    </row>
    <row r="148" spans="1:5" ht="12.75">
      <c r="A148" s="1354" t="s">
        <v>256</v>
      </c>
      <c r="B148" s="1423">
        <v>11</v>
      </c>
      <c r="C148" s="120" t="str">
        <f>VLOOKUP(A148,DB!$D$2:E999,2,0)</f>
        <v>pc</v>
      </c>
      <c r="D148" s="121">
        <f>VLOOKUP(A148,DB!$D$2:I999,6,0)</f>
        <v>20250</v>
      </c>
      <c r="E148" s="121">
        <f t="shared" si="0"/>
        <v>222750</v>
      </c>
    </row>
    <row r="149" spans="1:5" ht="12.75">
      <c r="A149" s="1354" t="s">
        <v>410</v>
      </c>
      <c r="B149" s="1423">
        <v>24</v>
      </c>
      <c r="C149" s="120" t="str">
        <f>VLOOKUP(A149,DB!$D$2:E999,2,0)</f>
        <v>pc</v>
      </c>
      <c r="D149" s="121">
        <f>VLOOKUP(A149,DB!$D$2:I999,6,0)</f>
        <v>3975</v>
      </c>
      <c r="E149" s="121">
        <f t="shared" si="0"/>
        <v>95400</v>
      </c>
    </row>
    <row r="150" spans="1:5" ht="12.75">
      <c r="A150" s="1354" t="s">
        <v>411</v>
      </c>
      <c r="B150" s="1423">
        <v>24</v>
      </c>
      <c r="C150" s="120" t="str">
        <f>VLOOKUP(A150,DB!$D$2:E999,2,0)</f>
        <v>pc</v>
      </c>
      <c r="D150" s="121">
        <f>VLOOKUP(A150,DB!$D$2:I999,6,0)</f>
        <v>22500</v>
      </c>
      <c r="E150" s="121">
        <f t="shared" si="0"/>
        <v>540000</v>
      </c>
    </row>
    <row r="151" spans="1:5" ht="12.75">
      <c r="A151" s="1354" t="s">
        <v>412</v>
      </c>
      <c r="B151" s="1423">
        <v>36</v>
      </c>
      <c r="C151" s="120" t="str">
        <f>VLOOKUP(A151,DB!$D$2:E999,2,0)</f>
        <v>pc</v>
      </c>
      <c r="D151" s="121">
        <f>VLOOKUP(A151,DB!$D$2:I999,6,0)</f>
        <v>7135</v>
      </c>
      <c r="E151" s="121">
        <f t="shared" si="0"/>
        <v>256860</v>
      </c>
    </row>
    <row r="152" spans="1:5" ht="12.75">
      <c r="A152" s="1354" t="s">
        <v>413</v>
      </c>
      <c r="B152" s="1423">
        <v>36</v>
      </c>
      <c r="C152" s="120" t="str">
        <f>VLOOKUP(A152,DB!$D$2:E999,2,0)</f>
        <v>pc</v>
      </c>
      <c r="D152" s="121">
        <f>VLOOKUP(A152,DB!$D$2:I999,6,0)</f>
        <v>7410</v>
      </c>
      <c r="E152" s="121">
        <f t="shared" si="0"/>
        <v>266760</v>
      </c>
    </row>
    <row r="153" spans="1:5" ht="12.75">
      <c r="A153" s="1354" t="s">
        <v>414</v>
      </c>
      <c r="B153" s="1423">
        <v>36</v>
      </c>
      <c r="C153" s="120" t="str">
        <f>VLOOKUP(A153,DB!$D$2:E999,2,0)</f>
        <v>pc</v>
      </c>
      <c r="D153" s="121">
        <f>VLOOKUP(A153,DB!$D$2:I999,6,0)</f>
        <v>7410</v>
      </c>
      <c r="E153" s="121">
        <f t="shared" si="0"/>
        <v>266760</v>
      </c>
    </row>
    <row r="154" spans="1:5" ht="12.75">
      <c r="A154" s="1354" t="s">
        <v>415</v>
      </c>
      <c r="B154" s="1423">
        <v>32</v>
      </c>
      <c r="C154" s="120" t="str">
        <f>VLOOKUP(A154,DB!$D$2:E999,2,0)</f>
        <v>pc</v>
      </c>
      <c r="D154" s="121">
        <f>VLOOKUP(A154,DB!$D$2:I999,6,0)</f>
        <v>8600</v>
      </c>
      <c r="E154" s="121">
        <f t="shared" si="0"/>
        <v>275200</v>
      </c>
    </row>
    <row r="155" spans="1:5" ht="12.75">
      <c r="A155" s="1354" t="s">
        <v>416</v>
      </c>
      <c r="B155" s="1423">
        <v>12</v>
      </c>
      <c r="C155" s="120" t="str">
        <f>VLOOKUP(A155,DB!$D$2:E999,2,0)</f>
        <v>pc</v>
      </c>
      <c r="D155" s="121">
        <f>VLOOKUP(A155,DB!$D$2:I999,6,0)</f>
        <v>8600</v>
      </c>
      <c r="E155" s="121">
        <f t="shared" si="0"/>
        <v>103200</v>
      </c>
    </row>
    <row r="156" spans="1:5" ht="12.75">
      <c r="A156" s="1354" t="s">
        <v>417</v>
      </c>
      <c r="B156" s="1423">
        <v>220</v>
      </c>
      <c r="C156" s="120" t="str">
        <f>VLOOKUP(A156,DB!$D$2:E999,2,0)</f>
        <v>pc</v>
      </c>
      <c r="D156" s="121">
        <f>VLOOKUP(A156,DB!$D$2:I999,6,0)</f>
        <v>9700</v>
      </c>
      <c r="E156" s="121">
        <f t="shared" si="0"/>
        <v>2134000</v>
      </c>
    </row>
    <row r="157" spans="1:5" ht="12.75">
      <c r="A157" s="1354" t="s">
        <v>418</v>
      </c>
      <c r="B157" s="1423">
        <v>54</v>
      </c>
      <c r="C157" s="120" t="str">
        <f>VLOOKUP(A157,DB!$D$2:E999,2,0)</f>
        <v>pc</v>
      </c>
      <c r="D157" s="121">
        <f>VLOOKUP(A157,DB!$D$2:I999,6,0)</f>
        <v>9700</v>
      </c>
      <c r="E157" s="121">
        <f t="shared" si="0"/>
        <v>523800</v>
      </c>
    </row>
    <row r="158" spans="1:5" ht="12.75">
      <c r="A158" s="1354" t="s">
        <v>419</v>
      </c>
      <c r="B158" s="1423">
        <v>124</v>
      </c>
      <c r="C158" s="120" t="str">
        <f>VLOOKUP(A158,DB!$D$2:E999,2,0)</f>
        <v>pc</v>
      </c>
      <c r="D158" s="121">
        <f>VLOOKUP(A158,DB!$D$2:I999,6,0)</f>
        <v>3585</v>
      </c>
      <c r="E158" s="121">
        <f t="shared" si="0"/>
        <v>444540</v>
      </c>
    </row>
    <row r="159" spans="1:5" ht="12.75">
      <c r="A159" s="1354" t="s">
        <v>420</v>
      </c>
      <c r="B159" s="1423">
        <v>3</v>
      </c>
      <c r="C159" s="120" t="str">
        <f>VLOOKUP(A159,DB!$D$2:E999,2,0)</f>
        <v>pc</v>
      </c>
      <c r="D159" s="121">
        <f>VLOOKUP(A159,DB!$D$2:I999,6,0)</f>
        <v>5680</v>
      </c>
      <c r="E159" s="121">
        <f t="shared" si="0"/>
        <v>17040</v>
      </c>
    </row>
    <row r="160" spans="1:5" ht="12.75">
      <c r="A160" s="1354" t="s">
        <v>421</v>
      </c>
      <c r="B160" s="1423">
        <v>228</v>
      </c>
      <c r="C160" s="120" t="str">
        <f>VLOOKUP(A160,DB!$D$2:E999,2,0)</f>
        <v>pc</v>
      </c>
      <c r="D160" s="121">
        <f>VLOOKUP(A160,DB!$D$2:I999,6,0)</f>
        <v>6825</v>
      </c>
      <c r="E160" s="121">
        <f t="shared" si="0"/>
        <v>1556100</v>
      </c>
    </row>
    <row r="161" spans="1:5" ht="12.75">
      <c r="A161" s="1354" t="s">
        <v>422</v>
      </c>
      <c r="B161" s="1423">
        <v>2</v>
      </c>
      <c r="C161" s="120" t="str">
        <f>VLOOKUP(A161,DB!$D$2:E999,2,0)</f>
        <v>pc</v>
      </c>
      <c r="D161" s="121">
        <f>VLOOKUP(A161,DB!$D$2:I999,6,0)</f>
        <v>10475</v>
      </c>
      <c r="E161" s="121">
        <f t="shared" si="0"/>
        <v>20950</v>
      </c>
    </row>
    <row r="162" spans="1:5" ht="12.75">
      <c r="A162" s="1354" t="s">
        <v>423</v>
      </c>
      <c r="B162" s="1423">
        <v>20</v>
      </c>
      <c r="C162" s="120" t="str">
        <f>VLOOKUP(A162,DB!$D$2:E999,2,0)</f>
        <v>pc</v>
      </c>
      <c r="D162" s="121">
        <f>VLOOKUP(A162,DB!$D$2:I999,6,0)</f>
        <v>9700</v>
      </c>
      <c r="E162" s="121">
        <f t="shared" si="0"/>
        <v>194000</v>
      </c>
    </row>
    <row r="163" spans="1:5" ht="12.75">
      <c r="A163" s="1354" t="s">
        <v>424</v>
      </c>
      <c r="B163" s="1423">
        <v>70</v>
      </c>
      <c r="C163" s="120" t="str">
        <f>VLOOKUP(A163,DB!$D$2:E999,2,0)</f>
        <v>pc</v>
      </c>
      <c r="D163" s="121">
        <f>VLOOKUP(A163,DB!$D$2:I999,6,0)</f>
        <v>9375</v>
      </c>
      <c r="E163" s="121">
        <f t="shared" si="0"/>
        <v>656250</v>
      </c>
    </row>
    <row r="164" spans="1:5" ht="12.75">
      <c r="A164" s="1354" t="s">
        <v>425</v>
      </c>
      <c r="B164" s="1423">
        <v>15</v>
      </c>
      <c r="C164" s="120" t="str">
        <f>VLOOKUP(A164,DB!$D$2:E999,2,0)</f>
        <v>pc</v>
      </c>
      <c r="D164" s="121">
        <f>VLOOKUP(A164,DB!$D$2:I999,6,0)</f>
        <v>3000</v>
      </c>
      <c r="E164" s="121">
        <f t="shared" si="0"/>
        <v>45000</v>
      </c>
    </row>
    <row r="165" spans="1:5" ht="12.75">
      <c r="A165" s="1354" t="s">
        <v>426</v>
      </c>
      <c r="B165" s="1423">
        <v>5</v>
      </c>
      <c r="C165" s="120" t="str">
        <f>VLOOKUP(A165,DB!$D$2:E999,2,0)</f>
        <v>pc</v>
      </c>
      <c r="D165" s="121">
        <f>VLOOKUP(A165,DB!$D$2:I999,6,0)</f>
        <v>3000</v>
      </c>
      <c r="E165" s="121">
        <f t="shared" si="0"/>
        <v>15000</v>
      </c>
    </row>
    <row r="166" spans="1:5" ht="12.75">
      <c r="A166" s="1354" t="s">
        <v>427</v>
      </c>
      <c r="B166" s="1423">
        <v>5</v>
      </c>
      <c r="C166" s="120" t="str">
        <f>VLOOKUP(A166,DB!$D$2:E999,2,0)</f>
        <v>pc</v>
      </c>
      <c r="D166" s="121">
        <f>VLOOKUP(A166,DB!$D$2:I999,6,0)</f>
        <v>3000</v>
      </c>
      <c r="E166" s="121">
        <f t="shared" si="0"/>
        <v>15000</v>
      </c>
    </row>
    <row r="167" spans="1:5" ht="12.75">
      <c r="A167" s="1354" t="s">
        <v>257</v>
      </c>
      <c r="B167" s="1423">
        <v>12</v>
      </c>
      <c r="C167" s="120" t="str">
        <f>VLOOKUP(A167,DB!$D$2:E999,2,0)</f>
        <v>pc</v>
      </c>
      <c r="D167" s="121">
        <f>VLOOKUP(A167,DB!$D$2:I999,6,0)</f>
        <v>7650</v>
      </c>
      <c r="E167" s="121">
        <f t="shared" si="0"/>
        <v>91800</v>
      </c>
    </row>
    <row r="168" spans="1:5" ht="12.75">
      <c r="A168" s="1354" t="s">
        <v>299</v>
      </c>
      <c r="B168" s="1423">
        <v>10</v>
      </c>
      <c r="C168" s="120" t="str">
        <f>VLOOKUP(A168,DB!$D$2:E999,2,0)</f>
        <v>box</v>
      </c>
      <c r="D168" s="121">
        <f>VLOOKUP(A168,DB!$D$2:I999,6,0)</f>
        <v>48</v>
      </c>
      <c r="E168" s="121">
        <f t="shared" si="0"/>
        <v>480</v>
      </c>
    </row>
    <row r="169" spans="1:5" ht="12.75">
      <c r="A169" s="1354" t="s">
        <v>258</v>
      </c>
      <c r="B169" s="1423">
        <v>40</v>
      </c>
      <c r="C169" s="120" t="str">
        <f>VLOOKUP(A169,DB!$D$2:E999,2,0)</f>
        <v>pc</v>
      </c>
      <c r="D169" s="121">
        <f>VLOOKUP(A169,DB!$D$2:I999,6,0)</f>
        <v>8850</v>
      </c>
      <c r="E169" s="121">
        <f t="shared" si="0"/>
        <v>354000</v>
      </c>
    </row>
    <row r="170" spans="1:5" ht="12.75">
      <c r="A170" s="1354" t="s">
        <v>259</v>
      </c>
      <c r="B170" s="1423">
        <v>136</v>
      </c>
      <c r="C170" s="120" t="str">
        <f>VLOOKUP(A170,DB!$D$2:E999,2,0)</f>
        <v>pc</v>
      </c>
      <c r="D170" s="121">
        <f>VLOOKUP(A170,DB!$D$2:I999,6,0)</f>
        <v>3375</v>
      </c>
      <c r="E170" s="121">
        <f t="shared" si="0"/>
        <v>459000</v>
      </c>
    </row>
    <row r="171" spans="1:5" ht="12.75">
      <c r="A171" s="1354" t="s">
        <v>260</v>
      </c>
      <c r="B171" s="1423">
        <v>14</v>
      </c>
      <c r="C171" s="120" t="str">
        <f>VLOOKUP(A171,DB!$D$2:E999,2,0)</f>
        <v>pc</v>
      </c>
      <c r="D171" s="121">
        <f>VLOOKUP(A171,DB!$D$2:I999,6,0)</f>
        <v>3000</v>
      </c>
      <c r="E171" s="121">
        <f t="shared" si="0"/>
        <v>42000</v>
      </c>
    </row>
    <row r="172" spans="1:5" ht="12.75">
      <c r="A172" s="1354" t="s">
        <v>261</v>
      </c>
      <c r="B172" s="1423">
        <v>2</v>
      </c>
      <c r="C172" s="120" t="str">
        <f>VLOOKUP(A172,DB!$D$2:E999,2,0)</f>
        <v>set</v>
      </c>
      <c r="D172" s="121">
        <f>VLOOKUP(A172,DB!$D$2:I999,6,0)</f>
        <v>750</v>
      </c>
      <c r="E172" s="121">
        <f t="shared" si="0"/>
        <v>1500</v>
      </c>
    </row>
    <row r="173" spans="1:5" ht="12.75">
      <c r="A173" s="1354" t="s">
        <v>262</v>
      </c>
      <c r="B173" s="1423">
        <v>30</v>
      </c>
      <c r="C173" s="120" t="str">
        <f>VLOOKUP(A173,DB!$D$2:E999,2,0)</f>
        <v>roll</v>
      </c>
      <c r="D173" s="121">
        <f>VLOOKUP(A173,DB!$D$2:I999,6,0)</f>
        <v>225</v>
      </c>
      <c r="E173" s="121">
        <f t="shared" si="0"/>
        <v>6750</v>
      </c>
    </row>
    <row r="174" spans="1:5" ht="12.75">
      <c r="A174" s="1354" t="s">
        <v>264</v>
      </c>
      <c r="B174" s="1423">
        <v>9</v>
      </c>
      <c r="C174" s="120" t="str">
        <f>VLOOKUP(A174,DB!$D$2:E999,2,0)</f>
        <v>pc</v>
      </c>
      <c r="D174" s="121">
        <f>VLOOKUP(A174,DB!$D$2:I999,6,0)</f>
        <v>1800</v>
      </c>
      <c r="E174" s="121">
        <f t="shared" si="0"/>
        <v>16200</v>
      </c>
    </row>
    <row r="175" spans="1:5" ht="12.75">
      <c r="A175" s="1354" t="s">
        <v>265</v>
      </c>
      <c r="B175" s="1423">
        <v>37</v>
      </c>
      <c r="C175" s="120" t="str">
        <f>VLOOKUP(A175,DB!$D$2:E999,2,0)</f>
        <v>pc</v>
      </c>
      <c r="D175" s="121">
        <f>VLOOKUP(A175,DB!$D$2:I999,6,0)</f>
        <v>7545</v>
      </c>
      <c r="E175" s="121">
        <f t="shared" si="0"/>
        <v>279165</v>
      </c>
    </row>
    <row r="176" spans="1:5" ht="12.75">
      <c r="A176" s="1354" t="s">
        <v>266</v>
      </c>
      <c r="B176" s="1423">
        <v>50</v>
      </c>
      <c r="C176" s="120" t="str">
        <f>VLOOKUP(A176,DB!$D$2:E999,2,0)</f>
        <v>pack</v>
      </c>
      <c r="D176" s="121">
        <f>VLOOKUP(A176,DB!$D$2:I999,6,0)</f>
        <v>67.5</v>
      </c>
      <c r="E176" s="121">
        <f t="shared" si="0"/>
        <v>3375</v>
      </c>
    </row>
    <row r="177" spans="1:5" ht="12.75">
      <c r="A177" s="1354" t="s">
        <v>267</v>
      </c>
      <c r="B177" s="1423">
        <v>50</v>
      </c>
      <c r="C177" s="120" t="str">
        <f>VLOOKUP(A177,DB!$D$2:E999,2,0)</f>
        <v>pack</v>
      </c>
      <c r="D177" s="121">
        <f>VLOOKUP(A177,DB!$D$2:I999,6,0)</f>
        <v>100.5</v>
      </c>
      <c r="E177" s="121">
        <f t="shared" si="0"/>
        <v>5025</v>
      </c>
    </row>
    <row r="178" spans="1:5" ht="12.75">
      <c r="A178" s="1354" t="s">
        <v>268</v>
      </c>
      <c r="B178" s="1423">
        <v>40</v>
      </c>
      <c r="C178" s="120" t="str">
        <f>VLOOKUP(A178,DB!$D$2:E999,2,0)</f>
        <v>pack</v>
      </c>
      <c r="D178" s="121">
        <f>VLOOKUP(A178,DB!$D$2:I999,6,0)</f>
        <v>120</v>
      </c>
      <c r="E178" s="121">
        <f t="shared" si="0"/>
        <v>4800</v>
      </c>
    </row>
    <row r="179" spans="1:5" ht="12.75">
      <c r="A179" s="1354" t="s">
        <v>269</v>
      </c>
      <c r="B179" s="1423">
        <v>40</v>
      </c>
      <c r="C179" s="120" t="str">
        <f>VLOOKUP(A179,DB!$D$2:E999,2,0)</f>
        <v>pack</v>
      </c>
      <c r="D179" s="121">
        <f>VLOOKUP(A179,DB!$D$2:I999,6,0)</f>
        <v>150</v>
      </c>
      <c r="E179" s="121">
        <f t="shared" si="0"/>
        <v>6000</v>
      </c>
    </row>
    <row r="180" spans="1:5" ht="12.75">
      <c r="A180" s="1354" t="s">
        <v>270</v>
      </c>
      <c r="B180" s="1423">
        <v>30</v>
      </c>
      <c r="C180" s="120" t="str">
        <f>VLOOKUP(A180,DB!$D$2:E999,2,0)</f>
        <v>pack</v>
      </c>
      <c r="D180" s="121">
        <f>VLOOKUP(A180,DB!$D$2:I999,6,0)</f>
        <v>243</v>
      </c>
      <c r="E180" s="121">
        <f t="shared" si="0"/>
        <v>7290</v>
      </c>
    </row>
    <row r="181" spans="1:5" ht="12.75">
      <c r="A181" s="1354" t="s">
        <v>271</v>
      </c>
      <c r="B181" s="1423">
        <v>30</v>
      </c>
      <c r="C181" s="120" t="str">
        <f>VLOOKUP(A181,DB!$D$2:E999,2,0)</f>
        <v>pack</v>
      </c>
      <c r="D181" s="121">
        <f>VLOOKUP(A181,DB!$D$2:I999,6,0)</f>
        <v>240</v>
      </c>
      <c r="E181" s="121">
        <f t="shared" si="0"/>
        <v>7200</v>
      </c>
    </row>
    <row r="182" spans="1:5" ht="12.75">
      <c r="A182" s="1354" t="s">
        <v>272</v>
      </c>
      <c r="B182" s="1423">
        <v>10</v>
      </c>
      <c r="C182" s="120" t="str">
        <f>VLOOKUP(A182,DB!$D$2:E999,2,0)</f>
        <v>pack</v>
      </c>
      <c r="D182" s="121">
        <f>VLOOKUP(A182,DB!$D$2:I999,6,0)</f>
        <v>270</v>
      </c>
      <c r="E182" s="121">
        <f t="shared" si="0"/>
        <v>2700</v>
      </c>
    </row>
    <row r="183" spans="1:5" ht="12.75">
      <c r="A183" s="1354" t="s">
        <v>273</v>
      </c>
      <c r="B183" s="1423">
        <v>10</v>
      </c>
      <c r="C183" s="120" t="str">
        <f>VLOOKUP(A183,DB!$D$2:E999,2,0)</f>
        <v>pack</v>
      </c>
      <c r="D183" s="121">
        <f>VLOOKUP(A183,DB!$D$2:I999,6,0)</f>
        <v>345</v>
      </c>
      <c r="E183" s="121">
        <f t="shared" si="0"/>
        <v>3450</v>
      </c>
    </row>
    <row r="184" spans="1:5" ht="12.75">
      <c r="A184" s="1354" t="s">
        <v>274</v>
      </c>
      <c r="B184" s="1423">
        <v>10</v>
      </c>
      <c r="C184" s="120" t="str">
        <f>VLOOKUP(A184,DB!$D$2:E999,2,0)</f>
        <v>pack</v>
      </c>
      <c r="D184" s="121">
        <f>VLOOKUP(A184,DB!$D$2:I999,6,0)</f>
        <v>495</v>
      </c>
      <c r="E184" s="121">
        <f t="shared" si="0"/>
        <v>4950</v>
      </c>
    </row>
    <row r="185" spans="1:5" ht="12.75">
      <c r="A185" s="1354" t="s">
        <v>275</v>
      </c>
      <c r="B185" s="1423">
        <v>40</v>
      </c>
      <c r="C185" s="120" t="str">
        <f>VLOOKUP(A185,DB!$D$2:E999,2,0)</f>
        <v>pc</v>
      </c>
      <c r="D185" s="121">
        <f>VLOOKUP(A185,DB!$D$2:I999,6,0)</f>
        <v>15750</v>
      </c>
      <c r="E185" s="121">
        <f t="shared" si="0"/>
        <v>630000</v>
      </c>
    </row>
    <row r="186" spans="1:5" ht="12.75">
      <c r="A186" s="1355" t="s">
        <v>276</v>
      </c>
      <c r="B186" s="1424">
        <v>10</v>
      </c>
      <c r="C186" s="120" t="str">
        <f>VLOOKUP(A186,DB!$D$2:E999,2,0)</f>
        <v>pc</v>
      </c>
      <c r="D186" s="121">
        <f>VLOOKUP(A186,DB!$D$2:I999,6,0)</f>
        <v>375</v>
      </c>
      <c r="E186" s="121">
        <f t="shared" si="0"/>
        <v>3750</v>
      </c>
    </row>
    <row r="187" spans="1:5" ht="12.75">
      <c r="C187" s="120" t="e">
        <f>VLOOKUP(A187,DB!$D$2:E999,2,0)</f>
        <v>#N/A</v>
      </c>
      <c r="D187" s="121" t="e">
        <f>VLOOKUP(A187,DB!$D$2:I999,6,0)</f>
        <v>#N/A</v>
      </c>
      <c r="E187" s="121" t="e">
        <f t="shared" si="0"/>
        <v>#N/A</v>
      </c>
    </row>
    <row r="188" spans="1:5" ht="23.25">
      <c r="B188" s="74"/>
      <c r="C188" s="74"/>
      <c r="D188" s="122" t="s">
        <v>431</v>
      </c>
      <c r="E188" s="123" t="e">
        <f>SUM(E2:E187)</f>
        <v>#N/A</v>
      </c>
    </row>
    <row r="189" spans="1:5" ht="12.75">
      <c r="B189" s="74"/>
      <c r="C189" s="74"/>
      <c r="D189" s="124"/>
      <c r="E189" s="124"/>
    </row>
    <row r="190" spans="1:5" ht="12.75">
      <c r="B190" s="74"/>
      <c r="C190" s="74"/>
      <c r="D190" s="124"/>
      <c r="E190" s="124"/>
    </row>
    <row r="191" spans="1:5" ht="12.75">
      <c r="B191" s="74"/>
      <c r="C191" s="74"/>
      <c r="D191" s="124"/>
      <c r="E191" s="124"/>
    </row>
    <row r="192" spans="1:5" ht="12.75">
      <c r="B192" s="74"/>
      <c r="C192" s="74"/>
      <c r="D192" s="124"/>
      <c r="E192" s="124"/>
    </row>
    <row r="193" spans="2:5" ht="12.75">
      <c r="B193" s="74"/>
      <c r="C193" s="74"/>
      <c r="D193" s="124"/>
      <c r="E193" s="124"/>
    </row>
    <row r="194" spans="2:5" ht="12.75">
      <c r="B194" s="74"/>
      <c r="C194" s="74"/>
      <c r="D194" s="124"/>
      <c r="E194" s="124"/>
    </row>
    <row r="195" spans="2:5" ht="12.75">
      <c r="B195" s="74"/>
      <c r="C195" s="74"/>
      <c r="D195" s="124"/>
      <c r="E195" s="124"/>
    </row>
    <row r="196" spans="2:5" ht="12.75">
      <c r="B196" s="74"/>
      <c r="C196" s="74"/>
      <c r="D196" s="124"/>
      <c r="E196" s="124"/>
    </row>
    <row r="197" spans="2:5" ht="12.75">
      <c r="B197" s="74"/>
      <c r="C197" s="74"/>
      <c r="D197" s="124"/>
      <c r="E197" s="124"/>
    </row>
    <row r="198" spans="2:5" ht="12.75">
      <c r="B198" s="74"/>
      <c r="C198" s="74"/>
      <c r="D198" s="124"/>
      <c r="E198" s="124"/>
    </row>
    <row r="199" spans="2:5" ht="12.75">
      <c r="B199" s="74"/>
      <c r="C199" s="74"/>
      <c r="D199" s="124"/>
      <c r="E199" s="124"/>
    </row>
    <row r="200" spans="2:5" ht="12.75">
      <c r="B200" s="74"/>
      <c r="C200" s="74"/>
      <c r="D200" s="124"/>
      <c r="E200" s="124"/>
    </row>
    <row r="201" spans="2:5" ht="12.75">
      <c r="B201" s="74"/>
      <c r="C201" s="74"/>
      <c r="D201" s="124"/>
      <c r="E201" s="124"/>
    </row>
    <row r="202" spans="2:5" ht="12.75">
      <c r="B202" s="74"/>
      <c r="C202" s="74"/>
      <c r="D202" s="124"/>
      <c r="E202" s="124"/>
    </row>
    <row r="203" spans="2:5" ht="12.75">
      <c r="B203" s="74"/>
      <c r="C203" s="74"/>
      <c r="D203" s="124"/>
      <c r="E203" s="124"/>
    </row>
    <row r="204" spans="2:5" ht="12.75">
      <c r="B204" s="74"/>
      <c r="C204" s="74"/>
      <c r="D204" s="124"/>
      <c r="E204" s="124"/>
    </row>
    <row r="205" spans="2:5" ht="12.75">
      <c r="B205" s="74"/>
      <c r="C205" s="74"/>
      <c r="D205" s="124"/>
      <c r="E205" s="124"/>
    </row>
    <row r="206" spans="2:5" ht="12.75">
      <c r="B206" s="74"/>
      <c r="C206" s="74"/>
      <c r="D206" s="124"/>
      <c r="E206" s="124"/>
    </row>
    <row r="207" spans="2:5" ht="12.75">
      <c r="B207" s="74"/>
      <c r="C207" s="74"/>
      <c r="D207" s="124"/>
      <c r="E207" s="124"/>
    </row>
    <row r="208" spans="2:5" ht="12.75">
      <c r="B208" s="74"/>
      <c r="C208" s="74"/>
      <c r="D208" s="124"/>
      <c r="E208" s="124"/>
    </row>
    <row r="209" spans="2:5" ht="12.75">
      <c r="B209" s="74"/>
      <c r="C209" s="74"/>
      <c r="D209" s="124"/>
      <c r="E209" s="124"/>
    </row>
    <row r="210" spans="2:5" ht="12.75">
      <c r="B210" s="74"/>
      <c r="C210" s="74"/>
      <c r="D210" s="124"/>
      <c r="E210" s="124"/>
    </row>
    <row r="211" spans="2:5" ht="12.75">
      <c r="B211" s="74"/>
      <c r="C211" s="74"/>
      <c r="D211" s="124"/>
      <c r="E211" s="124"/>
    </row>
    <row r="212" spans="2:5" ht="12.75">
      <c r="B212" s="74"/>
      <c r="C212" s="74"/>
      <c r="D212" s="124"/>
      <c r="E212" s="124"/>
    </row>
    <row r="213" spans="2:5" ht="12.75">
      <c r="B213" s="74"/>
      <c r="C213" s="74"/>
      <c r="D213" s="124"/>
      <c r="E213" s="124"/>
    </row>
    <row r="214" spans="2:5" ht="12.75">
      <c r="B214" s="74"/>
      <c r="C214" s="74"/>
      <c r="D214" s="124"/>
      <c r="E214" s="124"/>
    </row>
    <row r="215" spans="2:5" ht="12.75">
      <c r="B215" s="74"/>
      <c r="C215" s="74"/>
      <c r="D215" s="124"/>
      <c r="E215" s="124"/>
    </row>
    <row r="216" spans="2:5" ht="12.75">
      <c r="B216" s="74"/>
      <c r="C216" s="74"/>
      <c r="D216" s="124"/>
      <c r="E216" s="124"/>
    </row>
    <row r="217" spans="2:5" ht="12.75">
      <c r="B217" s="74"/>
      <c r="C217" s="74"/>
      <c r="D217" s="124"/>
      <c r="E217" s="124"/>
    </row>
    <row r="218" spans="2:5" ht="12.75">
      <c r="B218" s="74"/>
      <c r="C218" s="74"/>
      <c r="D218" s="124"/>
      <c r="E218" s="124"/>
    </row>
    <row r="219" spans="2:5" ht="12.75">
      <c r="B219" s="74"/>
      <c r="C219" s="74"/>
      <c r="D219" s="124"/>
      <c r="E219" s="124"/>
    </row>
    <row r="220" spans="2:5" ht="12.75">
      <c r="B220" s="74"/>
      <c r="C220" s="74"/>
      <c r="D220" s="124"/>
      <c r="E220" s="124"/>
    </row>
    <row r="221" spans="2:5" ht="12.75">
      <c r="B221" s="74"/>
      <c r="C221" s="74"/>
      <c r="D221" s="124"/>
      <c r="E221" s="124"/>
    </row>
    <row r="222" spans="2:5" ht="12.75">
      <c r="B222" s="74"/>
      <c r="C222" s="74"/>
      <c r="D222" s="124"/>
      <c r="E222" s="124"/>
    </row>
    <row r="223" spans="2:5" ht="12.75">
      <c r="B223" s="74"/>
      <c r="C223" s="74"/>
      <c r="D223" s="124"/>
      <c r="E223" s="124"/>
    </row>
    <row r="224" spans="2:5" ht="12.75">
      <c r="B224" s="74"/>
      <c r="C224" s="74"/>
      <c r="D224" s="124"/>
      <c r="E224" s="124"/>
    </row>
    <row r="225" spans="2:5" ht="12.75">
      <c r="B225" s="74"/>
      <c r="C225" s="74"/>
      <c r="D225" s="124"/>
      <c r="E225" s="124"/>
    </row>
    <row r="226" spans="2:5" ht="12.75">
      <c r="B226" s="74"/>
      <c r="C226" s="74"/>
      <c r="D226" s="124"/>
      <c r="E226" s="124"/>
    </row>
    <row r="227" spans="2:5" ht="12.75">
      <c r="B227" s="74"/>
      <c r="C227" s="74"/>
      <c r="D227" s="124"/>
      <c r="E227" s="124"/>
    </row>
    <row r="228" spans="2:5" ht="12.75">
      <c r="B228" s="74"/>
      <c r="C228" s="74"/>
      <c r="D228" s="124"/>
      <c r="E228" s="124"/>
    </row>
    <row r="229" spans="2:5" ht="12.75">
      <c r="B229" s="74"/>
      <c r="C229" s="74"/>
      <c r="D229" s="124"/>
      <c r="E229" s="124"/>
    </row>
    <row r="230" spans="2:5" ht="12.75">
      <c r="B230" s="74"/>
      <c r="C230" s="74"/>
      <c r="D230" s="124"/>
      <c r="E230" s="124"/>
    </row>
    <row r="231" spans="2:5" ht="12.75">
      <c r="B231" s="74"/>
      <c r="C231" s="74"/>
      <c r="D231" s="124"/>
      <c r="E231" s="124"/>
    </row>
    <row r="232" spans="2:5" ht="12.75">
      <c r="B232" s="74"/>
      <c r="C232" s="74"/>
      <c r="D232" s="124"/>
      <c r="E232" s="124"/>
    </row>
    <row r="233" spans="2:5" ht="12.75">
      <c r="B233" s="74"/>
      <c r="C233" s="74"/>
      <c r="D233" s="124"/>
      <c r="E233" s="124"/>
    </row>
    <row r="234" spans="2:5" ht="12.75">
      <c r="B234" s="74"/>
      <c r="C234" s="74"/>
      <c r="D234" s="124"/>
      <c r="E234" s="124"/>
    </row>
    <row r="235" spans="2:5" ht="12.75">
      <c r="B235" s="74"/>
      <c r="C235" s="74"/>
      <c r="D235" s="124"/>
      <c r="E235" s="124"/>
    </row>
    <row r="236" spans="2:5" ht="12.75">
      <c r="B236" s="74"/>
      <c r="C236" s="74"/>
      <c r="D236" s="124"/>
      <c r="E236" s="124"/>
    </row>
    <row r="237" spans="2:5" ht="12.75">
      <c r="B237" s="74"/>
      <c r="C237" s="74"/>
      <c r="D237" s="124"/>
      <c r="E237" s="124"/>
    </row>
    <row r="238" spans="2:5" ht="12.75">
      <c r="B238" s="74"/>
      <c r="C238" s="74"/>
      <c r="D238" s="124"/>
      <c r="E238" s="124"/>
    </row>
    <row r="239" spans="2:5" ht="12.75">
      <c r="B239" s="74"/>
      <c r="C239" s="74"/>
      <c r="D239" s="124"/>
      <c r="E239" s="124"/>
    </row>
    <row r="240" spans="2:5" ht="12.75">
      <c r="B240" s="74"/>
      <c r="C240" s="74"/>
      <c r="D240" s="124"/>
      <c r="E240" s="124"/>
    </row>
    <row r="241" spans="2:5" ht="12.75">
      <c r="B241" s="74"/>
      <c r="C241" s="74"/>
      <c r="D241" s="124"/>
      <c r="E241" s="124"/>
    </row>
    <row r="242" spans="2:5" ht="12.75">
      <c r="B242" s="74"/>
      <c r="C242" s="74"/>
      <c r="D242" s="124"/>
      <c r="E242" s="124"/>
    </row>
    <row r="243" spans="2:5" ht="12.75">
      <c r="B243" s="74"/>
      <c r="C243" s="74"/>
      <c r="D243" s="124"/>
      <c r="E243" s="124"/>
    </row>
    <row r="244" spans="2:5" ht="12.75">
      <c r="B244" s="74"/>
      <c r="C244" s="74"/>
      <c r="D244" s="124"/>
      <c r="E244" s="124"/>
    </row>
    <row r="245" spans="2:5" ht="12.75">
      <c r="B245" s="74"/>
      <c r="C245" s="74"/>
      <c r="D245" s="124"/>
      <c r="E245" s="124"/>
    </row>
    <row r="246" spans="2:5" ht="12.75">
      <c r="B246" s="74"/>
      <c r="C246" s="74"/>
      <c r="D246" s="124"/>
      <c r="E246" s="124"/>
    </row>
    <row r="247" spans="2:5" ht="12.75">
      <c r="B247" s="74"/>
      <c r="C247" s="74"/>
      <c r="D247" s="124"/>
      <c r="E247" s="124"/>
    </row>
    <row r="248" spans="2:5" ht="12.75">
      <c r="B248" s="74"/>
      <c r="C248" s="74"/>
      <c r="D248" s="124"/>
      <c r="E248" s="124"/>
    </row>
    <row r="249" spans="2:5" ht="12.75">
      <c r="B249" s="74"/>
      <c r="C249" s="74"/>
      <c r="D249" s="124"/>
      <c r="E249" s="124"/>
    </row>
    <row r="250" spans="2:5" ht="12.75">
      <c r="B250" s="74"/>
      <c r="C250" s="74"/>
      <c r="D250" s="124"/>
      <c r="E250" s="124"/>
    </row>
    <row r="251" spans="2:5" ht="12.75">
      <c r="B251" s="74"/>
      <c r="C251" s="74"/>
      <c r="D251" s="124"/>
      <c r="E251" s="124"/>
    </row>
    <row r="252" spans="2:5" ht="12.75">
      <c r="B252" s="74"/>
      <c r="C252" s="74"/>
      <c r="D252" s="124"/>
      <c r="E252" s="124"/>
    </row>
    <row r="253" spans="2:5" ht="12.75">
      <c r="B253" s="74"/>
      <c r="C253" s="74"/>
      <c r="D253" s="124"/>
      <c r="E253" s="124"/>
    </row>
    <row r="254" spans="2:5" ht="12.75">
      <c r="B254" s="74"/>
      <c r="C254" s="74"/>
      <c r="D254" s="124"/>
      <c r="E254" s="124"/>
    </row>
    <row r="255" spans="2:5" ht="12.75">
      <c r="B255" s="74"/>
      <c r="C255" s="74"/>
      <c r="D255" s="124"/>
      <c r="E255" s="124"/>
    </row>
    <row r="256" spans="2:5" ht="12.75">
      <c r="B256" s="74"/>
      <c r="C256" s="74"/>
      <c r="D256" s="124"/>
      <c r="E256" s="124"/>
    </row>
    <row r="257" spans="2:5" ht="12.75">
      <c r="B257" s="74"/>
      <c r="C257" s="74"/>
      <c r="D257" s="124"/>
      <c r="E257" s="124"/>
    </row>
    <row r="258" spans="2:5" ht="12.75">
      <c r="B258" s="74"/>
      <c r="C258" s="74"/>
      <c r="D258" s="124"/>
      <c r="E258" s="124"/>
    </row>
    <row r="259" spans="2:5" ht="12.75">
      <c r="B259" s="74"/>
      <c r="C259" s="74"/>
      <c r="D259" s="124"/>
      <c r="E259" s="124"/>
    </row>
    <row r="260" spans="2:5" ht="12.75">
      <c r="B260" s="74"/>
      <c r="C260" s="74"/>
      <c r="D260" s="124"/>
      <c r="E260" s="124"/>
    </row>
    <row r="261" spans="2:5" ht="12.75">
      <c r="B261" s="74"/>
      <c r="C261" s="74"/>
      <c r="D261" s="124"/>
      <c r="E261" s="124"/>
    </row>
    <row r="262" spans="2:5" ht="12.75">
      <c r="B262" s="74"/>
      <c r="C262" s="74"/>
      <c r="D262" s="124"/>
      <c r="E262" s="124"/>
    </row>
    <row r="263" spans="2:5" ht="12.75">
      <c r="B263" s="74"/>
      <c r="C263" s="74"/>
      <c r="D263" s="124"/>
      <c r="E263" s="124"/>
    </row>
    <row r="264" spans="2:5" ht="12.75">
      <c r="B264" s="74"/>
      <c r="C264" s="74"/>
      <c r="D264" s="124"/>
      <c r="E264" s="124"/>
    </row>
    <row r="265" spans="2:5" ht="12.75">
      <c r="B265" s="74"/>
      <c r="C265" s="74"/>
      <c r="D265" s="124"/>
      <c r="E265" s="124"/>
    </row>
    <row r="266" spans="2:5" ht="12.75">
      <c r="B266" s="74"/>
      <c r="C266" s="74"/>
      <c r="D266" s="124"/>
      <c r="E266" s="124"/>
    </row>
    <row r="267" spans="2:5" ht="12.75">
      <c r="B267" s="74"/>
      <c r="C267" s="74"/>
      <c r="D267" s="124"/>
      <c r="E267" s="124"/>
    </row>
    <row r="268" spans="2:5" ht="12.75">
      <c r="B268" s="74"/>
      <c r="C268" s="74"/>
      <c r="D268" s="124"/>
      <c r="E268" s="124"/>
    </row>
    <row r="269" spans="2:5" ht="12.75">
      <c r="B269" s="74"/>
      <c r="C269" s="74"/>
      <c r="D269" s="124"/>
      <c r="E269" s="124"/>
    </row>
    <row r="270" spans="2:5" ht="12.75">
      <c r="B270" s="74"/>
      <c r="C270" s="74"/>
      <c r="D270" s="124"/>
      <c r="E270" s="124"/>
    </row>
    <row r="271" spans="2:5" ht="12.75">
      <c r="B271" s="74"/>
      <c r="C271" s="74"/>
      <c r="D271" s="124"/>
      <c r="E271" s="124"/>
    </row>
    <row r="272" spans="2:5" ht="12.75">
      <c r="B272" s="74"/>
      <c r="C272" s="74"/>
      <c r="D272" s="124"/>
      <c r="E272" s="124"/>
    </row>
    <row r="273" spans="2:5" ht="12.75">
      <c r="B273" s="74"/>
      <c r="C273" s="74"/>
      <c r="D273" s="124"/>
      <c r="E273" s="124"/>
    </row>
    <row r="274" spans="2:5" ht="12.75">
      <c r="B274" s="74"/>
      <c r="C274" s="74"/>
      <c r="D274" s="124"/>
      <c r="E274" s="124"/>
    </row>
    <row r="275" spans="2:5" ht="12.75">
      <c r="B275" s="74"/>
      <c r="C275" s="74"/>
      <c r="D275" s="124"/>
      <c r="E275" s="124"/>
    </row>
    <row r="276" spans="2:5" ht="12.75">
      <c r="B276" s="74"/>
      <c r="C276" s="74"/>
      <c r="D276" s="124"/>
      <c r="E276" s="124"/>
    </row>
    <row r="277" spans="2:5" ht="12.75">
      <c r="B277" s="74"/>
      <c r="C277" s="74"/>
      <c r="D277" s="124"/>
      <c r="E277" s="124"/>
    </row>
    <row r="278" spans="2:5" ht="12.75">
      <c r="B278" s="74"/>
      <c r="C278" s="74"/>
      <c r="D278" s="124"/>
      <c r="E278" s="124"/>
    </row>
    <row r="279" spans="2:5" ht="12.75">
      <c r="B279" s="74"/>
      <c r="C279" s="74"/>
      <c r="D279" s="124"/>
      <c r="E279" s="124"/>
    </row>
    <row r="280" spans="2:5" ht="12.75">
      <c r="B280" s="74"/>
      <c r="C280" s="74"/>
      <c r="D280" s="124"/>
      <c r="E280" s="124"/>
    </row>
    <row r="281" spans="2:5" ht="12.75">
      <c r="B281" s="74"/>
      <c r="C281" s="74"/>
      <c r="D281" s="124"/>
      <c r="E281" s="124"/>
    </row>
    <row r="282" spans="2:5" ht="12.75">
      <c r="B282" s="74"/>
      <c r="C282" s="74"/>
      <c r="D282" s="124"/>
      <c r="E282" s="124"/>
    </row>
    <row r="283" spans="2:5" ht="12.75">
      <c r="B283" s="74"/>
      <c r="C283" s="74"/>
      <c r="D283" s="124"/>
      <c r="E283" s="124"/>
    </row>
    <row r="284" spans="2:5" ht="12.75">
      <c r="B284" s="74"/>
      <c r="C284" s="74"/>
      <c r="D284" s="124"/>
      <c r="E284" s="124"/>
    </row>
    <row r="285" spans="2:5" ht="12.75">
      <c r="B285" s="74"/>
      <c r="C285" s="74"/>
      <c r="D285" s="124"/>
      <c r="E285" s="124"/>
    </row>
    <row r="286" spans="2:5" ht="12.75">
      <c r="B286" s="74"/>
      <c r="C286" s="74"/>
      <c r="D286" s="124"/>
      <c r="E286" s="124"/>
    </row>
    <row r="287" spans="2:5" ht="12.75">
      <c r="B287" s="74"/>
      <c r="C287" s="74"/>
      <c r="D287" s="124"/>
      <c r="E287" s="124"/>
    </row>
    <row r="288" spans="2:5" ht="12.75">
      <c r="B288" s="74"/>
      <c r="C288" s="74"/>
      <c r="D288" s="124"/>
      <c r="E288" s="124"/>
    </row>
    <row r="289" spans="2:5" ht="12.75">
      <c r="B289" s="74"/>
      <c r="C289" s="74"/>
      <c r="D289" s="124"/>
      <c r="E289" s="124"/>
    </row>
    <row r="290" spans="2:5" ht="12.75">
      <c r="B290" s="74"/>
      <c r="C290" s="74"/>
      <c r="D290" s="124"/>
      <c r="E290" s="124"/>
    </row>
    <row r="291" spans="2:5" ht="12.75">
      <c r="B291" s="74"/>
      <c r="C291" s="74"/>
      <c r="D291" s="124"/>
      <c r="E291" s="124"/>
    </row>
    <row r="292" spans="2:5" ht="12.75">
      <c r="B292" s="74"/>
      <c r="C292" s="74"/>
      <c r="D292" s="124"/>
      <c r="E292" s="124"/>
    </row>
    <row r="293" spans="2:5" ht="12.75">
      <c r="B293" s="74"/>
      <c r="C293" s="74"/>
      <c r="D293" s="124"/>
      <c r="E293" s="124"/>
    </row>
    <row r="294" spans="2:5" ht="12.75">
      <c r="B294" s="74"/>
      <c r="C294" s="74"/>
      <c r="D294" s="124"/>
      <c r="E294" s="124"/>
    </row>
    <row r="295" spans="2:5" ht="12.75">
      <c r="B295" s="74"/>
      <c r="C295" s="74"/>
      <c r="D295" s="124"/>
      <c r="E295" s="124"/>
    </row>
    <row r="296" spans="2:5" ht="12.75">
      <c r="B296" s="74"/>
      <c r="C296" s="74"/>
      <c r="D296" s="124"/>
      <c r="E296" s="124"/>
    </row>
    <row r="297" spans="2:5" ht="12.75">
      <c r="B297" s="74"/>
      <c r="C297" s="74"/>
      <c r="D297" s="124"/>
      <c r="E297" s="124"/>
    </row>
    <row r="298" spans="2:5" ht="12.75">
      <c r="B298" s="74"/>
      <c r="C298" s="74"/>
      <c r="D298" s="124"/>
      <c r="E298" s="124"/>
    </row>
    <row r="299" spans="2:5" ht="12.75">
      <c r="B299" s="74"/>
      <c r="C299" s="74"/>
      <c r="D299" s="124"/>
      <c r="E299" s="124"/>
    </row>
    <row r="300" spans="2:5" ht="12.75">
      <c r="B300" s="74"/>
      <c r="C300" s="74"/>
      <c r="D300" s="124"/>
      <c r="E300" s="124"/>
    </row>
    <row r="301" spans="2:5" ht="12.75">
      <c r="B301" s="74"/>
      <c r="C301" s="74"/>
      <c r="D301" s="124"/>
      <c r="E301" s="124"/>
    </row>
    <row r="302" spans="2:5" ht="12.75">
      <c r="B302" s="74"/>
      <c r="C302" s="74"/>
      <c r="D302" s="124"/>
      <c r="E302" s="124"/>
    </row>
    <row r="303" spans="2:5" ht="12.75">
      <c r="B303" s="74"/>
      <c r="C303" s="74"/>
      <c r="D303" s="124"/>
      <c r="E303" s="124"/>
    </row>
    <row r="304" spans="2:5" ht="12.75">
      <c r="B304" s="74"/>
      <c r="C304" s="74"/>
      <c r="D304" s="124"/>
      <c r="E304" s="124"/>
    </row>
    <row r="305" spans="2:5" ht="12.75">
      <c r="B305" s="74"/>
      <c r="C305" s="74"/>
      <c r="D305" s="124"/>
      <c r="E305" s="124"/>
    </row>
    <row r="306" spans="2:5" ht="12.75">
      <c r="B306" s="74"/>
      <c r="C306" s="74"/>
      <c r="D306" s="124"/>
      <c r="E306" s="124"/>
    </row>
    <row r="307" spans="2:5" ht="12.75">
      <c r="B307" s="74"/>
      <c r="C307" s="74"/>
      <c r="D307" s="124"/>
      <c r="E307" s="124"/>
    </row>
    <row r="308" spans="2:5" ht="12.75">
      <c r="B308" s="74"/>
      <c r="C308" s="74"/>
      <c r="D308" s="124"/>
      <c r="E308" s="124"/>
    </row>
    <row r="309" spans="2:5" ht="12.75">
      <c r="B309" s="74"/>
      <c r="C309" s="74"/>
      <c r="D309" s="124"/>
      <c r="E309" s="124"/>
    </row>
    <row r="310" spans="2:5" ht="12.75">
      <c r="B310" s="74"/>
      <c r="C310" s="74"/>
      <c r="D310" s="124"/>
      <c r="E310" s="124"/>
    </row>
    <row r="311" spans="2:5" ht="12.75">
      <c r="B311" s="74"/>
      <c r="C311" s="74"/>
      <c r="D311" s="124"/>
      <c r="E311" s="124"/>
    </row>
    <row r="312" spans="2:5" ht="12.75">
      <c r="B312" s="74"/>
      <c r="C312" s="74"/>
      <c r="D312" s="124"/>
      <c r="E312" s="124"/>
    </row>
    <row r="313" spans="2:5" ht="12.75">
      <c r="B313" s="74"/>
      <c r="C313" s="74"/>
      <c r="D313" s="124"/>
      <c r="E313" s="124"/>
    </row>
    <row r="314" spans="2:5" ht="12.75">
      <c r="B314" s="74"/>
      <c r="C314" s="74"/>
      <c r="D314" s="124"/>
      <c r="E314" s="124"/>
    </row>
    <row r="315" spans="2:5" ht="12.75">
      <c r="B315" s="74"/>
      <c r="C315" s="74"/>
      <c r="D315" s="124"/>
      <c r="E315" s="124"/>
    </row>
    <row r="316" spans="2:5" ht="12.75">
      <c r="B316" s="74"/>
      <c r="C316" s="74"/>
      <c r="D316" s="124"/>
      <c r="E316" s="124"/>
    </row>
    <row r="317" spans="2:5" ht="12.75">
      <c r="B317" s="74"/>
      <c r="C317" s="74"/>
      <c r="D317" s="124"/>
      <c r="E317" s="124"/>
    </row>
    <row r="318" spans="2:5" ht="12.75">
      <c r="B318" s="74"/>
      <c r="C318" s="74"/>
      <c r="D318" s="124"/>
      <c r="E318" s="124"/>
    </row>
    <row r="319" spans="2:5" ht="12.75">
      <c r="B319" s="74"/>
      <c r="C319" s="74"/>
      <c r="D319" s="124"/>
      <c r="E319" s="124"/>
    </row>
    <row r="320" spans="2:5" ht="12.75">
      <c r="B320" s="74"/>
      <c r="C320" s="74"/>
      <c r="D320" s="124"/>
      <c r="E320" s="124"/>
    </row>
    <row r="321" spans="2:5" ht="12.75">
      <c r="B321" s="74"/>
      <c r="C321" s="74"/>
      <c r="D321" s="124"/>
      <c r="E321" s="124"/>
    </row>
    <row r="322" spans="2:5" ht="12.75">
      <c r="B322" s="74"/>
      <c r="C322" s="74"/>
      <c r="D322" s="124"/>
      <c r="E322" s="124"/>
    </row>
    <row r="323" spans="2:5" ht="12.75">
      <c r="B323" s="74"/>
      <c r="C323" s="74"/>
      <c r="D323" s="124"/>
      <c r="E323" s="124"/>
    </row>
    <row r="324" spans="2:5" ht="12.75">
      <c r="B324" s="74"/>
      <c r="C324" s="74"/>
      <c r="D324" s="124"/>
      <c r="E324" s="124"/>
    </row>
    <row r="325" spans="2:5" ht="12.75">
      <c r="B325" s="74"/>
      <c r="C325" s="74"/>
      <c r="D325" s="124"/>
      <c r="E325" s="124"/>
    </row>
    <row r="326" spans="2:5" ht="12.75">
      <c r="B326" s="74"/>
      <c r="C326" s="74"/>
      <c r="D326" s="124"/>
      <c r="E326" s="124"/>
    </row>
    <row r="327" spans="2:5" ht="12.75">
      <c r="B327" s="74"/>
      <c r="C327" s="74"/>
      <c r="D327" s="124"/>
      <c r="E327" s="124"/>
    </row>
    <row r="328" spans="2:5" ht="12.75">
      <c r="B328" s="74"/>
      <c r="C328" s="74"/>
      <c r="D328" s="124"/>
      <c r="E328" s="124"/>
    </row>
    <row r="329" spans="2:5" ht="12.75">
      <c r="B329" s="74"/>
      <c r="C329" s="74"/>
      <c r="D329" s="124"/>
      <c r="E329" s="124"/>
    </row>
    <row r="330" spans="2:5" ht="12.75">
      <c r="B330" s="74"/>
      <c r="C330" s="74"/>
      <c r="D330" s="124"/>
      <c r="E330" s="124"/>
    </row>
    <row r="331" spans="2:5" ht="12.75">
      <c r="B331" s="74"/>
      <c r="C331" s="74"/>
      <c r="D331" s="124"/>
      <c r="E331" s="124"/>
    </row>
    <row r="332" spans="2:5" ht="12.75">
      <c r="B332" s="74"/>
      <c r="C332" s="74"/>
      <c r="D332" s="124"/>
      <c r="E332" s="124"/>
    </row>
    <row r="333" spans="2:5" ht="12.75">
      <c r="B333" s="74"/>
      <c r="C333" s="74"/>
      <c r="D333" s="124"/>
      <c r="E333" s="124"/>
    </row>
    <row r="334" spans="2:5" ht="12.75">
      <c r="B334" s="74"/>
      <c r="C334" s="74"/>
      <c r="D334" s="124"/>
      <c r="E334" s="124"/>
    </row>
    <row r="335" spans="2:5" ht="12.75">
      <c r="B335" s="74"/>
      <c r="C335" s="74"/>
      <c r="D335" s="124"/>
      <c r="E335" s="124"/>
    </row>
    <row r="336" spans="2:5" ht="12.75">
      <c r="B336" s="74"/>
      <c r="C336" s="74"/>
      <c r="D336" s="124"/>
      <c r="E336" s="124"/>
    </row>
    <row r="337" spans="2:5" ht="12.75">
      <c r="B337" s="74"/>
      <c r="C337" s="74"/>
      <c r="D337" s="124"/>
      <c r="E337" s="124"/>
    </row>
    <row r="338" spans="2:5" ht="12.75">
      <c r="B338" s="74"/>
      <c r="C338" s="74"/>
      <c r="D338" s="124"/>
      <c r="E338" s="124"/>
    </row>
    <row r="339" spans="2:5" ht="12.75">
      <c r="B339" s="74"/>
      <c r="C339" s="74"/>
      <c r="D339" s="124"/>
      <c r="E339" s="124"/>
    </row>
    <row r="340" spans="2:5" ht="12.75">
      <c r="B340" s="74"/>
      <c r="C340" s="74"/>
      <c r="D340" s="124"/>
      <c r="E340" s="124"/>
    </row>
    <row r="341" spans="2:5" ht="12.75">
      <c r="B341" s="74"/>
      <c r="C341" s="74"/>
      <c r="D341" s="124"/>
      <c r="E341" s="124"/>
    </row>
    <row r="342" spans="2:5" ht="12.75">
      <c r="B342" s="74"/>
      <c r="C342" s="74"/>
      <c r="D342" s="124"/>
      <c r="E342" s="124"/>
    </row>
    <row r="343" spans="2:5" ht="12.75">
      <c r="B343" s="74"/>
      <c r="C343" s="74"/>
      <c r="D343" s="124"/>
      <c r="E343" s="124"/>
    </row>
    <row r="344" spans="2:5" ht="12.75">
      <c r="B344" s="74"/>
      <c r="C344" s="74"/>
      <c r="D344" s="124"/>
      <c r="E344" s="124"/>
    </row>
    <row r="345" spans="2:5" ht="12.75">
      <c r="B345" s="74"/>
      <c r="C345" s="74"/>
      <c r="D345" s="124"/>
      <c r="E345" s="124"/>
    </row>
    <row r="346" spans="2:5" ht="12.75">
      <c r="B346" s="74"/>
      <c r="C346" s="74"/>
      <c r="D346" s="124"/>
      <c r="E346" s="124"/>
    </row>
    <row r="347" spans="2:5" ht="12.75">
      <c r="B347" s="74"/>
      <c r="C347" s="74"/>
      <c r="D347" s="124"/>
      <c r="E347" s="124"/>
    </row>
    <row r="348" spans="2:5" ht="12.75">
      <c r="B348" s="74"/>
      <c r="C348" s="74"/>
      <c r="D348" s="124"/>
      <c r="E348" s="124"/>
    </row>
    <row r="349" spans="2:5" ht="12.75">
      <c r="B349" s="74"/>
      <c r="C349" s="74"/>
      <c r="D349" s="124"/>
      <c r="E349" s="124"/>
    </row>
    <row r="350" spans="2:5" ht="12.75">
      <c r="B350" s="74"/>
      <c r="C350" s="74"/>
      <c r="D350" s="124"/>
      <c r="E350" s="124"/>
    </row>
    <row r="351" spans="2:5" ht="12.75">
      <c r="B351" s="74"/>
      <c r="C351" s="74"/>
      <c r="D351" s="124"/>
      <c r="E351" s="124"/>
    </row>
    <row r="352" spans="2:5" ht="12.75">
      <c r="B352" s="74"/>
      <c r="C352" s="74"/>
      <c r="D352" s="124"/>
      <c r="E352" s="124"/>
    </row>
    <row r="353" spans="2:5" ht="12.75">
      <c r="B353" s="74"/>
      <c r="C353" s="74"/>
      <c r="D353" s="124"/>
      <c r="E353" s="124"/>
    </row>
    <row r="354" spans="2:5" ht="12.75">
      <c r="B354" s="74"/>
      <c r="C354" s="74"/>
      <c r="D354" s="124"/>
      <c r="E354" s="124"/>
    </row>
    <row r="355" spans="2:5" ht="12.75">
      <c r="B355" s="74"/>
      <c r="C355" s="74"/>
      <c r="D355" s="124"/>
      <c r="E355" s="124"/>
    </row>
    <row r="356" spans="2:5" ht="12.75">
      <c r="B356" s="74"/>
      <c r="C356" s="74"/>
      <c r="D356" s="124"/>
      <c r="E356" s="124"/>
    </row>
    <row r="357" spans="2:5" ht="12.75">
      <c r="B357" s="74"/>
      <c r="C357" s="74"/>
      <c r="D357" s="124"/>
      <c r="E357" s="124"/>
    </row>
    <row r="358" spans="2:5" ht="12.75">
      <c r="B358" s="74"/>
      <c r="C358" s="74"/>
      <c r="D358" s="124"/>
      <c r="E358" s="124"/>
    </row>
    <row r="359" spans="2:5" ht="12.75">
      <c r="B359" s="74"/>
      <c r="C359" s="74"/>
      <c r="D359" s="124"/>
      <c r="E359" s="124"/>
    </row>
    <row r="360" spans="2:5" ht="12.75">
      <c r="B360" s="74"/>
      <c r="C360" s="74"/>
      <c r="D360" s="124"/>
      <c r="E360" s="124"/>
    </row>
    <row r="361" spans="2:5" ht="12.75">
      <c r="B361" s="74"/>
      <c r="C361" s="74"/>
      <c r="D361" s="124"/>
      <c r="E361" s="124"/>
    </row>
    <row r="362" spans="2:5" ht="12.75">
      <c r="B362" s="74"/>
      <c r="C362" s="74"/>
      <c r="D362" s="124"/>
      <c r="E362" s="124"/>
    </row>
    <row r="363" spans="2:5" ht="12.75">
      <c r="B363" s="74"/>
      <c r="C363" s="74"/>
      <c r="D363" s="124"/>
      <c r="E363" s="124"/>
    </row>
    <row r="364" spans="2:5" ht="12.75">
      <c r="B364" s="74"/>
      <c r="C364" s="74"/>
      <c r="D364" s="124"/>
      <c r="E364" s="124"/>
    </row>
    <row r="365" spans="2:5" ht="12.75">
      <c r="B365" s="74"/>
      <c r="C365" s="74"/>
      <c r="D365" s="124"/>
      <c r="E365" s="124"/>
    </row>
    <row r="366" spans="2:5" ht="12.75">
      <c r="B366" s="74"/>
      <c r="C366" s="74"/>
      <c r="D366" s="124"/>
      <c r="E366" s="124"/>
    </row>
    <row r="367" spans="2:5" ht="12.75">
      <c r="B367" s="74"/>
      <c r="C367" s="74"/>
      <c r="D367" s="124"/>
      <c r="E367" s="124"/>
    </row>
    <row r="368" spans="2:5" ht="12.75">
      <c r="B368" s="74"/>
      <c r="C368" s="74"/>
      <c r="D368" s="124"/>
      <c r="E368" s="124"/>
    </row>
    <row r="369" spans="2:5" ht="12.75">
      <c r="B369" s="74"/>
      <c r="C369" s="74"/>
      <c r="D369" s="124"/>
      <c r="E369" s="124"/>
    </row>
    <row r="370" spans="2:5" ht="12.75">
      <c r="B370" s="74"/>
      <c r="C370" s="74"/>
      <c r="D370" s="124"/>
      <c r="E370" s="124"/>
    </row>
    <row r="371" spans="2:5" ht="12.75">
      <c r="B371" s="74"/>
      <c r="C371" s="74"/>
      <c r="D371" s="124"/>
      <c r="E371" s="124"/>
    </row>
    <row r="372" spans="2:5" ht="12.75">
      <c r="B372" s="74"/>
      <c r="C372" s="74"/>
      <c r="D372" s="124"/>
      <c r="E372" s="124"/>
    </row>
    <row r="373" spans="2:5" ht="12.75">
      <c r="B373" s="74"/>
      <c r="C373" s="74"/>
      <c r="D373" s="124"/>
      <c r="E373" s="124"/>
    </row>
    <row r="374" spans="2:5" ht="12.75">
      <c r="B374" s="74"/>
      <c r="C374" s="74"/>
      <c r="D374" s="124"/>
      <c r="E374" s="124"/>
    </row>
    <row r="375" spans="2:5" ht="12.75">
      <c r="B375" s="74"/>
      <c r="C375" s="74"/>
      <c r="D375" s="124"/>
      <c r="E375" s="124"/>
    </row>
    <row r="376" spans="2:5" ht="12.75">
      <c r="B376" s="74"/>
      <c r="C376" s="74"/>
      <c r="D376" s="124"/>
      <c r="E376" s="124"/>
    </row>
    <row r="377" spans="2:5" ht="12.75">
      <c r="B377" s="74"/>
      <c r="C377" s="74"/>
      <c r="D377" s="124"/>
      <c r="E377" s="124"/>
    </row>
    <row r="378" spans="2:5" ht="12.75">
      <c r="B378" s="74"/>
      <c r="C378" s="74"/>
      <c r="D378" s="124"/>
      <c r="E378" s="124"/>
    </row>
    <row r="379" spans="2:5" ht="12.75">
      <c r="B379" s="74"/>
      <c r="C379" s="74"/>
      <c r="D379" s="124"/>
      <c r="E379" s="124"/>
    </row>
    <row r="380" spans="2:5" ht="12.75">
      <c r="B380" s="74"/>
      <c r="C380" s="74"/>
      <c r="D380" s="124"/>
      <c r="E380" s="124"/>
    </row>
    <row r="381" spans="2:5" ht="12.75">
      <c r="B381" s="74"/>
      <c r="C381" s="74"/>
      <c r="D381" s="124"/>
      <c r="E381" s="124"/>
    </row>
    <row r="382" spans="2:5" ht="12.75">
      <c r="B382" s="74"/>
      <c r="C382" s="74"/>
      <c r="D382" s="124"/>
      <c r="E382" s="124"/>
    </row>
    <row r="383" spans="2:5" ht="12.75">
      <c r="B383" s="74"/>
      <c r="C383" s="74"/>
      <c r="D383" s="124"/>
      <c r="E383" s="124"/>
    </row>
    <row r="384" spans="2:5" ht="12.75">
      <c r="B384" s="74"/>
      <c r="C384" s="74"/>
      <c r="D384" s="124"/>
      <c r="E384" s="124"/>
    </row>
    <row r="385" spans="2:5" ht="12.75">
      <c r="B385" s="74"/>
      <c r="C385" s="74"/>
      <c r="D385" s="124"/>
      <c r="E385" s="124"/>
    </row>
    <row r="386" spans="2:5" ht="12.75">
      <c r="B386" s="74"/>
      <c r="C386" s="74"/>
      <c r="D386" s="124"/>
      <c r="E386" s="124"/>
    </row>
    <row r="387" spans="2:5" ht="12.75">
      <c r="B387" s="74"/>
      <c r="C387" s="74"/>
      <c r="D387" s="124"/>
      <c r="E387" s="124"/>
    </row>
    <row r="388" spans="2:5" ht="12.75">
      <c r="B388" s="74"/>
      <c r="C388" s="74"/>
      <c r="D388" s="124"/>
      <c r="E388" s="124"/>
    </row>
    <row r="389" spans="2:5" ht="12.75">
      <c r="B389" s="74"/>
      <c r="C389" s="74"/>
      <c r="D389" s="124"/>
      <c r="E389" s="124"/>
    </row>
    <row r="390" spans="2:5" ht="12.75">
      <c r="B390" s="74"/>
      <c r="C390" s="74"/>
      <c r="D390" s="124"/>
      <c r="E390" s="124"/>
    </row>
    <row r="391" spans="2:5" ht="12.75">
      <c r="B391" s="74"/>
      <c r="C391" s="74"/>
      <c r="D391" s="124"/>
      <c r="E391" s="124"/>
    </row>
    <row r="392" spans="2:5" ht="12.75">
      <c r="B392" s="74"/>
      <c r="C392" s="74"/>
      <c r="D392" s="124"/>
      <c r="E392" s="124"/>
    </row>
    <row r="393" spans="2:5" ht="12.75">
      <c r="B393" s="74"/>
      <c r="C393" s="74"/>
      <c r="D393" s="124"/>
      <c r="E393" s="124"/>
    </row>
    <row r="394" spans="2:5" ht="12.75">
      <c r="B394" s="74"/>
      <c r="C394" s="74"/>
      <c r="D394" s="124"/>
      <c r="E394" s="124"/>
    </row>
    <row r="395" spans="2:5" ht="12.75">
      <c r="B395" s="74"/>
      <c r="C395" s="74"/>
      <c r="D395" s="124"/>
      <c r="E395" s="124"/>
    </row>
    <row r="396" spans="2:5" ht="12.75">
      <c r="B396" s="74"/>
      <c r="C396" s="74"/>
      <c r="D396" s="124"/>
      <c r="E396" s="124"/>
    </row>
    <row r="397" spans="2:5" ht="12.75">
      <c r="B397" s="74"/>
      <c r="C397" s="74"/>
      <c r="D397" s="124"/>
      <c r="E397" s="124"/>
    </row>
    <row r="398" spans="2:5" ht="12.75">
      <c r="B398" s="74"/>
      <c r="C398" s="74"/>
      <c r="D398" s="124"/>
      <c r="E398" s="124"/>
    </row>
    <row r="399" spans="2:5" ht="12.75">
      <c r="B399" s="74"/>
      <c r="C399" s="74"/>
      <c r="D399" s="124"/>
      <c r="E399" s="124"/>
    </row>
    <row r="400" spans="2:5" ht="12.75">
      <c r="B400" s="74"/>
      <c r="C400" s="74"/>
      <c r="D400" s="124"/>
      <c r="E400" s="124"/>
    </row>
    <row r="401" spans="2:5" ht="12.75">
      <c r="B401" s="74"/>
      <c r="C401" s="74"/>
      <c r="D401" s="124"/>
      <c r="E401" s="124"/>
    </row>
    <row r="402" spans="2:5" ht="12.75">
      <c r="B402" s="74"/>
      <c r="C402" s="74"/>
      <c r="D402" s="124"/>
      <c r="E402" s="124"/>
    </row>
    <row r="403" spans="2:5" ht="12.75">
      <c r="B403" s="74"/>
      <c r="C403" s="74"/>
      <c r="D403" s="124"/>
      <c r="E403" s="124"/>
    </row>
    <row r="404" spans="2:5" ht="12.75">
      <c r="B404" s="74"/>
      <c r="C404" s="74"/>
      <c r="D404" s="124"/>
      <c r="E404" s="124"/>
    </row>
    <row r="405" spans="2:5" ht="12.75">
      <c r="B405" s="74"/>
      <c r="C405" s="74"/>
      <c r="D405" s="124"/>
      <c r="E405" s="124"/>
    </row>
    <row r="406" spans="2:5" ht="12.75">
      <c r="B406" s="74"/>
      <c r="C406" s="74"/>
      <c r="D406" s="124"/>
      <c r="E406" s="124"/>
    </row>
    <row r="407" spans="2:5" ht="12.75">
      <c r="B407" s="74"/>
      <c r="C407" s="74"/>
      <c r="D407" s="124"/>
      <c r="E407" s="124"/>
    </row>
    <row r="408" spans="2:5" ht="12.75">
      <c r="B408" s="74"/>
      <c r="C408" s="74"/>
      <c r="D408" s="124"/>
      <c r="E408" s="124"/>
    </row>
    <row r="409" spans="2:5" ht="12.75">
      <c r="B409" s="74"/>
      <c r="C409" s="74"/>
      <c r="D409" s="124"/>
      <c r="E409" s="124"/>
    </row>
    <row r="410" spans="2:5" ht="12.75">
      <c r="B410" s="74"/>
      <c r="C410" s="74"/>
      <c r="D410" s="124"/>
      <c r="E410" s="124"/>
    </row>
    <row r="411" spans="2:5" ht="12.75">
      <c r="B411" s="74"/>
      <c r="C411" s="74"/>
      <c r="D411" s="124"/>
      <c r="E411" s="124"/>
    </row>
    <row r="412" spans="2:5" ht="12.75">
      <c r="B412" s="74"/>
      <c r="C412" s="74"/>
      <c r="D412" s="124"/>
      <c r="E412" s="124"/>
    </row>
    <row r="413" spans="2:5" ht="12.75">
      <c r="B413" s="74"/>
      <c r="C413" s="74"/>
      <c r="D413" s="124"/>
      <c r="E413" s="124"/>
    </row>
    <row r="414" spans="2:5" ht="12.75">
      <c r="B414" s="74"/>
      <c r="C414" s="74"/>
      <c r="D414" s="124"/>
      <c r="E414" s="124"/>
    </row>
    <row r="415" spans="2:5" ht="12.75">
      <c r="B415" s="74"/>
      <c r="C415" s="74"/>
      <c r="D415" s="124"/>
      <c r="E415" s="124"/>
    </row>
    <row r="416" spans="2:5" ht="12.75">
      <c r="B416" s="74"/>
      <c r="C416" s="74"/>
      <c r="D416" s="124"/>
      <c r="E416" s="124"/>
    </row>
    <row r="417" spans="2:5" ht="12.75">
      <c r="B417" s="74"/>
      <c r="C417" s="74"/>
      <c r="D417" s="124"/>
      <c r="E417" s="124"/>
    </row>
    <row r="418" spans="2:5" ht="12.75">
      <c r="B418" s="74"/>
      <c r="C418" s="74"/>
      <c r="D418" s="124"/>
      <c r="E418" s="124"/>
    </row>
    <row r="419" spans="2:5" ht="12.75">
      <c r="B419" s="74"/>
      <c r="C419" s="74"/>
      <c r="D419" s="124"/>
      <c r="E419" s="124"/>
    </row>
    <row r="420" spans="2:5" ht="12.75">
      <c r="B420" s="74"/>
      <c r="C420" s="74"/>
      <c r="D420" s="124"/>
      <c r="E420" s="124"/>
    </row>
    <row r="421" spans="2:5" ht="12.75">
      <c r="B421" s="74"/>
      <c r="C421" s="74"/>
      <c r="D421" s="124"/>
      <c r="E421" s="124"/>
    </row>
    <row r="422" spans="2:5" ht="12.75">
      <c r="B422" s="74"/>
      <c r="C422" s="74"/>
      <c r="D422" s="124"/>
      <c r="E422" s="124"/>
    </row>
    <row r="423" spans="2:5" ht="12.75">
      <c r="B423" s="74"/>
      <c r="C423" s="74"/>
      <c r="D423" s="124"/>
      <c r="E423" s="124"/>
    </row>
    <row r="424" spans="2:5" ht="12.75">
      <c r="B424" s="74"/>
      <c r="C424" s="74"/>
      <c r="D424" s="124"/>
      <c r="E424" s="124"/>
    </row>
    <row r="425" spans="2:5" ht="12.75">
      <c r="B425" s="74"/>
      <c r="C425" s="74"/>
      <c r="D425" s="124"/>
      <c r="E425" s="124"/>
    </row>
    <row r="426" spans="2:5" ht="12.75">
      <c r="B426" s="74"/>
      <c r="C426" s="74"/>
      <c r="D426" s="124"/>
      <c r="E426" s="124"/>
    </row>
    <row r="427" spans="2:5" ht="12.75">
      <c r="B427" s="74"/>
      <c r="C427" s="74"/>
      <c r="D427" s="124"/>
      <c r="E427" s="124"/>
    </row>
    <row r="428" spans="2:5" ht="12.75">
      <c r="B428" s="74"/>
      <c r="C428" s="74"/>
      <c r="D428" s="124"/>
      <c r="E428" s="124"/>
    </row>
    <row r="429" spans="2:5" ht="12.75">
      <c r="B429" s="74"/>
      <c r="C429" s="74"/>
      <c r="D429" s="124"/>
      <c r="E429" s="124"/>
    </row>
    <row r="430" spans="2:5" ht="12.75">
      <c r="B430" s="74"/>
      <c r="C430" s="74"/>
      <c r="D430" s="124"/>
      <c r="E430" s="124"/>
    </row>
    <row r="431" spans="2:5" ht="12.75">
      <c r="B431" s="74"/>
      <c r="C431" s="74"/>
      <c r="D431" s="124"/>
      <c r="E431" s="124"/>
    </row>
    <row r="432" spans="2:5" ht="12.75">
      <c r="B432" s="74"/>
      <c r="C432" s="74"/>
      <c r="D432" s="124"/>
      <c r="E432" s="124"/>
    </row>
    <row r="433" spans="2:5" ht="12.75">
      <c r="B433" s="74"/>
      <c r="C433" s="74"/>
      <c r="D433" s="124"/>
      <c r="E433" s="124"/>
    </row>
    <row r="434" spans="2:5" ht="12.75">
      <c r="B434" s="74"/>
      <c r="C434" s="74"/>
      <c r="D434" s="124"/>
      <c r="E434" s="124"/>
    </row>
    <row r="435" spans="2:5" ht="12.75">
      <c r="B435" s="74"/>
      <c r="C435" s="74"/>
      <c r="D435" s="124"/>
      <c r="E435" s="124"/>
    </row>
    <row r="436" spans="2:5" ht="12.75">
      <c r="B436" s="74"/>
      <c r="C436" s="74"/>
      <c r="D436" s="124"/>
      <c r="E436" s="124"/>
    </row>
    <row r="437" spans="2:5" ht="12.75">
      <c r="B437" s="74"/>
      <c r="C437" s="74"/>
      <c r="D437" s="124"/>
      <c r="E437" s="124"/>
    </row>
    <row r="438" spans="2:5" ht="12.75">
      <c r="B438" s="74"/>
      <c r="C438" s="74"/>
      <c r="D438" s="124"/>
      <c r="E438" s="124"/>
    </row>
    <row r="439" spans="2:5" ht="12.75">
      <c r="B439" s="74"/>
      <c r="C439" s="74"/>
      <c r="D439" s="124"/>
      <c r="E439" s="124"/>
    </row>
    <row r="440" spans="2:5" ht="12.75">
      <c r="B440" s="74"/>
      <c r="C440" s="74"/>
      <c r="D440" s="124"/>
      <c r="E440" s="124"/>
    </row>
    <row r="441" spans="2:5" ht="12.75">
      <c r="B441" s="74"/>
      <c r="C441" s="74"/>
      <c r="D441" s="124"/>
      <c r="E441" s="124"/>
    </row>
    <row r="442" spans="2:5" ht="12.75">
      <c r="B442" s="74"/>
      <c r="C442" s="74"/>
      <c r="D442" s="124"/>
      <c r="E442" s="124"/>
    </row>
    <row r="443" spans="2:5" ht="12.75">
      <c r="B443" s="74"/>
      <c r="C443" s="74"/>
      <c r="D443" s="124"/>
      <c r="E443" s="124"/>
    </row>
    <row r="444" spans="2:5" ht="12.75">
      <c r="B444" s="74"/>
      <c r="C444" s="74"/>
      <c r="D444" s="124"/>
      <c r="E444" s="124"/>
    </row>
    <row r="445" spans="2:5" ht="12.75">
      <c r="B445" s="74"/>
      <c r="C445" s="74"/>
      <c r="D445" s="124"/>
      <c r="E445" s="124"/>
    </row>
    <row r="446" spans="2:5" ht="12.75">
      <c r="B446" s="74"/>
      <c r="C446" s="74"/>
      <c r="D446" s="124"/>
      <c r="E446" s="124"/>
    </row>
    <row r="447" spans="2:5" ht="12.75">
      <c r="B447" s="74"/>
      <c r="C447" s="74"/>
      <c r="D447" s="124"/>
      <c r="E447" s="124"/>
    </row>
    <row r="448" spans="2:5" ht="12.75">
      <c r="B448" s="74"/>
      <c r="C448" s="74"/>
      <c r="D448" s="124"/>
      <c r="E448" s="124"/>
    </row>
    <row r="449" spans="2:5" ht="12.75">
      <c r="B449" s="74"/>
      <c r="C449" s="74"/>
      <c r="D449" s="124"/>
      <c r="E449" s="124"/>
    </row>
    <row r="450" spans="2:5" ht="12.75">
      <c r="B450" s="74"/>
      <c r="C450" s="74"/>
      <c r="D450" s="124"/>
      <c r="E450" s="124"/>
    </row>
    <row r="451" spans="2:5" ht="12.75">
      <c r="B451" s="74"/>
      <c r="C451" s="74"/>
      <c r="D451" s="124"/>
      <c r="E451" s="124"/>
    </row>
    <row r="452" spans="2:5" ht="12.75">
      <c r="B452" s="74"/>
      <c r="C452" s="74"/>
      <c r="D452" s="124"/>
      <c r="E452" s="124"/>
    </row>
    <row r="453" spans="2:5" ht="12.75">
      <c r="B453" s="74"/>
      <c r="C453" s="74"/>
      <c r="D453" s="124"/>
      <c r="E453" s="124"/>
    </row>
    <row r="454" spans="2:5" ht="12.75">
      <c r="B454" s="74"/>
      <c r="C454" s="74"/>
      <c r="D454" s="124"/>
      <c r="E454" s="124"/>
    </row>
    <row r="455" spans="2:5" ht="12.75">
      <c r="B455" s="74"/>
      <c r="C455" s="74"/>
      <c r="D455" s="124"/>
      <c r="E455" s="124"/>
    </row>
    <row r="456" spans="2:5" ht="12.75">
      <c r="B456" s="74"/>
      <c r="C456" s="74"/>
      <c r="D456" s="124"/>
      <c r="E456" s="124"/>
    </row>
    <row r="457" spans="2:5" ht="12.75">
      <c r="B457" s="74"/>
      <c r="C457" s="74"/>
      <c r="D457" s="124"/>
      <c r="E457" s="124"/>
    </row>
    <row r="458" spans="2:5" ht="12.75">
      <c r="B458" s="74"/>
      <c r="C458" s="74"/>
      <c r="D458" s="124"/>
      <c r="E458" s="124"/>
    </row>
    <row r="459" spans="2:5" ht="12.75">
      <c r="B459" s="74"/>
      <c r="C459" s="74"/>
      <c r="D459" s="124"/>
      <c r="E459" s="124"/>
    </row>
    <row r="460" spans="2:5" ht="12.75">
      <c r="B460" s="74"/>
      <c r="C460" s="74"/>
      <c r="D460" s="124"/>
      <c r="E460" s="124"/>
    </row>
    <row r="461" spans="2:5" ht="12.75">
      <c r="B461" s="74"/>
      <c r="C461" s="74"/>
      <c r="D461" s="124"/>
      <c r="E461" s="124"/>
    </row>
    <row r="462" spans="2:5" ht="12.75">
      <c r="B462" s="74"/>
      <c r="C462" s="74"/>
      <c r="D462" s="124"/>
      <c r="E462" s="124"/>
    </row>
    <row r="463" spans="2:5" ht="12.75">
      <c r="B463" s="74"/>
      <c r="C463" s="74"/>
      <c r="D463" s="124"/>
      <c r="E463" s="124"/>
    </row>
    <row r="464" spans="2:5" ht="12.75">
      <c r="B464" s="74"/>
      <c r="C464" s="74"/>
      <c r="D464" s="124"/>
      <c r="E464" s="124"/>
    </row>
    <row r="465" spans="2:5" ht="12.75">
      <c r="B465" s="74"/>
      <c r="C465" s="74"/>
      <c r="D465" s="124"/>
      <c r="E465" s="124"/>
    </row>
    <row r="466" spans="2:5" ht="12.75">
      <c r="B466" s="74"/>
      <c r="C466" s="74"/>
      <c r="D466" s="124"/>
      <c r="E466" s="124"/>
    </row>
    <row r="467" spans="2:5" ht="12.75">
      <c r="B467" s="74"/>
      <c r="C467" s="74"/>
      <c r="D467" s="124"/>
      <c r="E467" s="124"/>
    </row>
    <row r="468" spans="2:5" ht="12.75">
      <c r="B468" s="74"/>
      <c r="C468" s="74"/>
      <c r="D468" s="124"/>
      <c r="E468" s="124"/>
    </row>
    <row r="469" spans="2:5" ht="12.75">
      <c r="B469" s="74"/>
      <c r="C469" s="74"/>
      <c r="D469" s="124"/>
      <c r="E469" s="124"/>
    </row>
    <row r="470" spans="2:5" ht="12.75">
      <c r="B470" s="74"/>
      <c r="C470" s="74"/>
      <c r="D470" s="124"/>
      <c r="E470" s="124"/>
    </row>
    <row r="471" spans="2:5" ht="12.75">
      <c r="B471" s="74"/>
      <c r="C471" s="74"/>
      <c r="D471" s="124"/>
      <c r="E471" s="124"/>
    </row>
    <row r="472" spans="2:5" ht="12.75">
      <c r="B472" s="74"/>
      <c r="C472" s="74"/>
      <c r="D472" s="124"/>
      <c r="E472" s="124"/>
    </row>
    <row r="473" spans="2:5" ht="12.75">
      <c r="B473" s="74"/>
      <c r="C473" s="74"/>
      <c r="D473" s="124"/>
      <c r="E473" s="124"/>
    </row>
    <row r="474" spans="2:5" ht="12.75">
      <c r="B474" s="74"/>
      <c r="C474" s="74"/>
      <c r="D474" s="124"/>
      <c r="E474" s="124"/>
    </row>
    <row r="475" spans="2:5" ht="12.75">
      <c r="B475" s="74"/>
      <c r="C475" s="74"/>
      <c r="D475" s="124"/>
      <c r="E475" s="124"/>
    </row>
    <row r="476" spans="2:5" ht="12.75">
      <c r="B476" s="74"/>
      <c r="C476" s="74"/>
      <c r="D476" s="124"/>
      <c r="E476" s="124"/>
    </row>
    <row r="477" spans="2:5" ht="12.75">
      <c r="B477" s="74"/>
      <c r="C477" s="74"/>
      <c r="D477" s="124"/>
      <c r="E477" s="124"/>
    </row>
    <row r="478" spans="2:5" ht="12.75">
      <c r="B478" s="74"/>
      <c r="C478" s="74"/>
      <c r="D478" s="124"/>
      <c r="E478" s="124"/>
    </row>
    <row r="479" spans="2:5" ht="12.75">
      <c r="B479" s="74"/>
      <c r="C479" s="74"/>
      <c r="D479" s="124"/>
      <c r="E479" s="124"/>
    </row>
    <row r="480" spans="2:5" ht="12.75">
      <c r="B480" s="74"/>
      <c r="C480" s="74"/>
      <c r="D480" s="124"/>
      <c r="E480" s="124"/>
    </row>
    <row r="481" spans="2:5" ht="12.75">
      <c r="B481" s="74"/>
      <c r="C481" s="74"/>
      <c r="D481" s="124"/>
      <c r="E481" s="124"/>
    </row>
    <row r="482" spans="2:5" ht="12.75">
      <c r="B482" s="74"/>
      <c r="C482" s="74"/>
      <c r="D482" s="124"/>
      <c r="E482" s="124"/>
    </row>
    <row r="483" spans="2:5" ht="12.75">
      <c r="B483" s="74"/>
      <c r="C483" s="74"/>
      <c r="D483" s="124"/>
      <c r="E483" s="124"/>
    </row>
    <row r="484" spans="2:5" ht="12.75">
      <c r="B484" s="74"/>
      <c r="C484" s="74"/>
      <c r="D484" s="124"/>
      <c r="E484" s="124"/>
    </row>
    <row r="485" spans="2:5" ht="12.75">
      <c r="B485" s="74"/>
      <c r="C485" s="74"/>
      <c r="D485" s="124"/>
      <c r="E485" s="124"/>
    </row>
    <row r="486" spans="2:5" ht="12.75">
      <c r="B486" s="74"/>
      <c r="C486" s="74"/>
      <c r="D486" s="124"/>
      <c r="E486" s="124"/>
    </row>
    <row r="487" spans="2:5" ht="12.75">
      <c r="B487" s="74"/>
      <c r="C487" s="74"/>
      <c r="D487" s="124"/>
      <c r="E487" s="124"/>
    </row>
    <row r="488" spans="2:5" ht="12.75">
      <c r="B488" s="74"/>
      <c r="C488" s="74"/>
      <c r="D488" s="124"/>
      <c r="E488" s="124"/>
    </row>
    <row r="489" spans="2:5" ht="12.75">
      <c r="B489" s="74"/>
      <c r="C489" s="74"/>
      <c r="D489" s="124"/>
      <c r="E489" s="124"/>
    </row>
    <row r="490" spans="2:5" ht="12.75">
      <c r="B490" s="74"/>
      <c r="C490" s="74"/>
      <c r="D490" s="124"/>
      <c r="E490" s="124"/>
    </row>
    <row r="491" spans="2:5" ht="12.75">
      <c r="B491" s="74"/>
      <c r="C491" s="74"/>
      <c r="D491" s="124"/>
      <c r="E491" s="124"/>
    </row>
    <row r="492" spans="2:5" ht="12.75">
      <c r="B492" s="74"/>
      <c r="C492" s="74"/>
      <c r="D492" s="124"/>
      <c r="E492" s="124"/>
    </row>
    <row r="493" spans="2:5" ht="12.75">
      <c r="B493" s="74"/>
      <c r="C493" s="74"/>
      <c r="D493" s="124"/>
      <c r="E493" s="124"/>
    </row>
    <row r="494" spans="2:5" ht="12.75">
      <c r="B494" s="74"/>
      <c r="C494" s="74"/>
      <c r="D494" s="124"/>
      <c r="E494" s="124"/>
    </row>
    <row r="495" spans="2:5" ht="12.75">
      <c r="B495" s="74"/>
      <c r="C495" s="74"/>
      <c r="D495" s="124"/>
      <c r="E495" s="124"/>
    </row>
    <row r="496" spans="2:5" ht="12.75">
      <c r="B496" s="74"/>
      <c r="C496" s="74"/>
      <c r="D496" s="124"/>
      <c r="E496" s="124"/>
    </row>
    <row r="497" spans="2:5" ht="12.75">
      <c r="B497" s="74"/>
      <c r="C497" s="74"/>
      <c r="D497" s="124"/>
      <c r="E497" s="124"/>
    </row>
    <row r="498" spans="2:5" ht="12.75">
      <c r="B498" s="74"/>
      <c r="C498" s="74"/>
      <c r="D498" s="124"/>
      <c r="E498" s="124"/>
    </row>
    <row r="499" spans="2:5" ht="12.75">
      <c r="B499" s="74"/>
      <c r="C499" s="74"/>
      <c r="D499" s="124"/>
      <c r="E499" s="124"/>
    </row>
    <row r="500" spans="2:5" ht="12.75">
      <c r="B500" s="74"/>
      <c r="C500" s="74"/>
      <c r="D500" s="124"/>
      <c r="E500" s="124"/>
    </row>
    <row r="501" spans="2:5" ht="12.75">
      <c r="B501" s="74"/>
      <c r="C501" s="74"/>
      <c r="D501" s="124"/>
      <c r="E501" s="124"/>
    </row>
    <row r="502" spans="2:5" ht="12.75">
      <c r="B502" s="74"/>
      <c r="C502" s="74"/>
      <c r="D502" s="124"/>
      <c r="E502" s="124"/>
    </row>
    <row r="503" spans="2:5" ht="12.75">
      <c r="B503" s="74"/>
      <c r="C503" s="74"/>
      <c r="D503" s="124"/>
      <c r="E503" s="124"/>
    </row>
    <row r="504" spans="2:5" ht="12.75">
      <c r="B504" s="74"/>
      <c r="C504" s="74"/>
      <c r="D504" s="124"/>
      <c r="E504" s="124"/>
    </row>
    <row r="505" spans="2:5" ht="12.75">
      <c r="B505" s="74"/>
      <c r="C505" s="74"/>
      <c r="D505" s="124"/>
      <c r="E505" s="124"/>
    </row>
    <row r="506" spans="2:5" ht="12.75">
      <c r="B506" s="74"/>
      <c r="C506" s="74"/>
      <c r="D506" s="124"/>
      <c r="E506" s="124"/>
    </row>
    <row r="507" spans="2:5" ht="12.75">
      <c r="B507" s="74"/>
      <c r="C507" s="74"/>
      <c r="D507" s="124"/>
      <c r="E507" s="124"/>
    </row>
    <row r="508" spans="2:5" ht="12.75">
      <c r="B508" s="74"/>
      <c r="C508" s="74"/>
      <c r="D508" s="124"/>
      <c r="E508" s="124"/>
    </row>
    <row r="509" spans="2:5" ht="12.75">
      <c r="B509" s="74"/>
      <c r="C509" s="74"/>
      <c r="D509" s="124"/>
      <c r="E509" s="124"/>
    </row>
    <row r="510" spans="2:5" ht="12.75">
      <c r="B510" s="74"/>
      <c r="C510" s="74"/>
      <c r="D510" s="124"/>
      <c r="E510" s="124"/>
    </row>
    <row r="511" spans="2:5" ht="12.75">
      <c r="B511" s="74"/>
      <c r="C511" s="74"/>
      <c r="D511" s="124"/>
      <c r="E511" s="124"/>
    </row>
    <row r="512" spans="2:5" ht="12.75">
      <c r="B512" s="74"/>
      <c r="C512" s="74"/>
      <c r="D512" s="124"/>
      <c r="E512" s="124"/>
    </row>
    <row r="513" spans="2:5" ht="12.75">
      <c r="B513" s="74"/>
      <c r="C513" s="74"/>
      <c r="D513" s="124"/>
      <c r="E513" s="124"/>
    </row>
    <row r="514" spans="2:5" ht="12.75">
      <c r="B514" s="74"/>
      <c r="C514" s="74"/>
      <c r="D514" s="124"/>
      <c r="E514" s="124"/>
    </row>
    <row r="515" spans="2:5" ht="12.75">
      <c r="B515" s="74"/>
      <c r="C515" s="74"/>
      <c r="D515" s="124"/>
      <c r="E515" s="124"/>
    </row>
    <row r="516" spans="2:5" ht="12.75">
      <c r="B516" s="74"/>
      <c r="C516" s="74"/>
      <c r="D516" s="124"/>
      <c r="E516" s="124"/>
    </row>
    <row r="517" spans="2:5" ht="12.75">
      <c r="B517" s="74"/>
      <c r="C517" s="74"/>
      <c r="D517" s="124"/>
      <c r="E517" s="124"/>
    </row>
    <row r="518" spans="2:5" ht="12.75">
      <c r="B518" s="74"/>
      <c r="C518" s="74"/>
      <c r="D518" s="124"/>
      <c r="E518" s="124"/>
    </row>
    <row r="519" spans="2:5" ht="12.75">
      <c r="B519" s="74"/>
      <c r="C519" s="74"/>
      <c r="D519" s="124"/>
      <c r="E519" s="124"/>
    </row>
    <row r="520" spans="2:5" ht="12.75">
      <c r="B520" s="74"/>
      <c r="C520" s="74"/>
      <c r="D520" s="124"/>
      <c r="E520" s="124"/>
    </row>
    <row r="521" spans="2:5" ht="12.75">
      <c r="B521" s="74"/>
      <c r="C521" s="74"/>
      <c r="D521" s="124"/>
      <c r="E521" s="124"/>
    </row>
    <row r="522" spans="2:5" ht="12.75">
      <c r="B522" s="74"/>
      <c r="C522" s="74"/>
      <c r="D522" s="124"/>
      <c r="E522" s="124"/>
    </row>
    <row r="523" spans="2:5" ht="12.75">
      <c r="B523" s="74"/>
      <c r="C523" s="74"/>
      <c r="D523" s="124"/>
      <c r="E523" s="124"/>
    </row>
    <row r="524" spans="2:5" ht="12.75">
      <c r="B524" s="74"/>
      <c r="C524" s="74"/>
      <c r="D524" s="124"/>
      <c r="E524" s="124"/>
    </row>
    <row r="525" spans="2:5" ht="12.75">
      <c r="B525" s="74"/>
      <c r="C525" s="74"/>
      <c r="D525" s="124"/>
      <c r="E525" s="124"/>
    </row>
    <row r="526" spans="2:5" ht="12.75">
      <c r="B526" s="74"/>
      <c r="C526" s="74"/>
      <c r="D526" s="124"/>
      <c r="E526" s="124"/>
    </row>
    <row r="527" spans="2:5" ht="12.75">
      <c r="B527" s="74"/>
      <c r="C527" s="74"/>
      <c r="D527" s="124"/>
      <c r="E527" s="124"/>
    </row>
    <row r="528" spans="2:5" ht="12.75">
      <c r="B528" s="74"/>
      <c r="C528" s="74"/>
      <c r="D528" s="124"/>
      <c r="E528" s="124"/>
    </row>
    <row r="529" spans="2:5" ht="12.75">
      <c r="B529" s="74"/>
      <c r="C529" s="74"/>
      <c r="D529" s="124"/>
      <c r="E529" s="124"/>
    </row>
    <row r="530" spans="2:5" ht="12.75">
      <c r="B530" s="74"/>
      <c r="C530" s="74"/>
      <c r="D530" s="124"/>
      <c r="E530" s="124"/>
    </row>
    <row r="531" spans="2:5" ht="12.75">
      <c r="B531" s="74"/>
      <c r="C531" s="74"/>
      <c r="D531" s="124"/>
      <c r="E531" s="124"/>
    </row>
    <row r="532" spans="2:5" ht="12.75">
      <c r="B532" s="74"/>
      <c r="C532" s="74"/>
      <c r="D532" s="124"/>
      <c r="E532" s="124"/>
    </row>
    <row r="533" spans="2:5" ht="12.75">
      <c r="B533" s="74"/>
      <c r="C533" s="74"/>
      <c r="D533" s="124"/>
      <c r="E533" s="124"/>
    </row>
    <row r="534" spans="2:5" ht="12.75">
      <c r="B534" s="74"/>
      <c r="C534" s="74"/>
      <c r="D534" s="124"/>
      <c r="E534" s="124"/>
    </row>
    <row r="535" spans="2:5" ht="12.75">
      <c r="B535" s="74"/>
      <c r="C535" s="74"/>
      <c r="D535" s="124"/>
      <c r="E535" s="124"/>
    </row>
    <row r="536" spans="2:5" ht="12.75">
      <c r="B536" s="74"/>
      <c r="C536" s="74"/>
      <c r="D536" s="124"/>
      <c r="E536" s="124"/>
    </row>
    <row r="537" spans="2:5" ht="12.75">
      <c r="B537" s="74"/>
      <c r="C537" s="74"/>
      <c r="D537" s="124"/>
      <c r="E537" s="124"/>
    </row>
    <row r="538" spans="2:5" ht="12.75">
      <c r="B538" s="74"/>
      <c r="C538" s="74"/>
      <c r="D538" s="124"/>
      <c r="E538" s="124"/>
    </row>
    <row r="539" spans="2:5" ht="12.75">
      <c r="B539" s="74"/>
      <c r="C539" s="74"/>
      <c r="D539" s="124"/>
      <c r="E539" s="124"/>
    </row>
    <row r="540" spans="2:5" ht="12.75">
      <c r="B540" s="74"/>
      <c r="C540" s="74"/>
      <c r="D540" s="124"/>
      <c r="E540" s="124"/>
    </row>
    <row r="541" spans="2:5" ht="12.75">
      <c r="B541" s="74"/>
      <c r="C541" s="74"/>
      <c r="D541" s="124"/>
      <c r="E541" s="124"/>
    </row>
    <row r="542" spans="2:5" ht="12.75">
      <c r="B542" s="74"/>
      <c r="C542" s="74"/>
      <c r="D542" s="124"/>
      <c r="E542" s="124"/>
    </row>
    <row r="543" spans="2:5" ht="12.75">
      <c r="B543" s="74"/>
      <c r="C543" s="74"/>
      <c r="D543" s="124"/>
      <c r="E543" s="124"/>
    </row>
    <row r="544" spans="2:5" ht="12.75">
      <c r="B544" s="74"/>
      <c r="C544" s="74"/>
      <c r="D544" s="124"/>
      <c r="E544" s="124"/>
    </row>
    <row r="545" spans="2:5" ht="12.75">
      <c r="B545" s="74"/>
      <c r="C545" s="74"/>
      <c r="D545" s="124"/>
      <c r="E545" s="124"/>
    </row>
    <row r="546" spans="2:5" ht="12.75">
      <c r="B546" s="74"/>
      <c r="C546" s="74"/>
      <c r="D546" s="124"/>
      <c r="E546" s="124"/>
    </row>
    <row r="547" spans="2:5" ht="12.75">
      <c r="B547" s="74"/>
      <c r="C547" s="74"/>
      <c r="D547" s="124"/>
      <c r="E547" s="124"/>
    </row>
    <row r="548" spans="2:5" ht="12.75">
      <c r="B548" s="74"/>
      <c r="C548" s="74"/>
      <c r="D548" s="124"/>
      <c r="E548" s="124"/>
    </row>
    <row r="549" spans="2:5" ht="12.75">
      <c r="B549" s="74"/>
      <c r="C549" s="74"/>
      <c r="D549" s="124"/>
      <c r="E549" s="124"/>
    </row>
    <row r="550" spans="2:5" ht="12.75">
      <c r="B550" s="74"/>
      <c r="C550" s="74"/>
      <c r="D550" s="124"/>
      <c r="E550" s="124"/>
    </row>
    <row r="551" spans="2:5" ht="12.75">
      <c r="B551" s="74"/>
      <c r="C551" s="74"/>
      <c r="D551" s="124"/>
      <c r="E551" s="124"/>
    </row>
    <row r="552" spans="2:5" ht="12.75">
      <c r="B552" s="74"/>
      <c r="C552" s="74"/>
      <c r="D552" s="124"/>
      <c r="E552" s="124"/>
    </row>
    <row r="553" spans="2:5" ht="12.75">
      <c r="B553" s="74"/>
      <c r="C553" s="74"/>
      <c r="D553" s="124"/>
      <c r="E553" s="124"/>
    </row>
    <row r="554" spans="2:5" ht="12.75">
      <c r="B554" s="74"/>
      <c r="C554" s="74"/>
      <c r="D554" s="124"/>
      <c r="E554" s="124"/>
    </row>
    <row r="555" spans="2:5" ht="12.75">
      <c r="B555" s="74"/>
      <c r="C555" s="74"/>
      <c r="D555" s="124"/>
      <c r="E555" s="124"/>
    </row>
    <row r="556" spans="2:5" ht="12.75">
      <c r="B556" s="74"/>
      <c r="C556" s="74"/>
      <c r="D556" s="124"/>
      <c r="E556" s="124"/>
    </row>
    <row r="557" spans="2:5" ht="12.75">
      <c r="B557" s="74"/>
      <c r="C557" s="74"/>
      <c r="D557" s="124"/>
      <c r="E557" s="124"/>
    </row>
    <row r="558" spans="2:5" ht="12.75">
      <c r="B558" s="74"/>
      <c r="C558" s="74"/>
      <c r="D558" s="124"/>
      <c r="E558" s="124"/>
    </row>
    <row r="559" spans="2:5" ht="12.75">
      <c r="B559" s="74"/>
      <c r="C559" s="74"/>
      <c r="D559" s="124"/>
      <c r="E559" s="124"/>
    </row>
    <row r="560" spans="2:5" ht="12.75">
      <c r="B560" s="74"/>
      <c r="C560" s="74"/>
      <c r="D560" s="124"/>
      <c r="E560" s="124"/>
    </row>
    <row r="561" spans="2:5" ht="12.75">
      <c r="B561" s="74"/>
      <c r="C561" s="74"/>
      <c r="D561" s="124"/>
      <c r="E561" s="124"/>
    </row>
    <row r="562" spans="2:5" ht="12.75">
      <c r="B562" s="74"/>
      <c r="C562" s="74"/>
      <c r="D562" s="124"/>
      <c r="E562" s="124"/>
    </row>
    <row r="563" spans="2:5" ht="12.75">
      <c r="B563" s="74"/>
      <c r="C563" s="74"/>
      <c r="D563" s="124"/>
      <c r="E563" s="124"/>
    </row>
    <row r="564" spans="2:5" ht="12.75">
      <c r="B564" s="74"/>
      <c r="C564" s="74"/>
      <c r="D564" s="124"/>
      <c r="E564" s="124"/>
    </row>
    <row r="565" spans="2:5" ht="12.75">
      <c r="B565" s="74"/>
      <c r="C565" s="74"/>
      <c r="D565" s="124"/>
      <c r="E565" s="124"/>
    </row>
    <row r="566" spans="2:5" ht="12.75">
      <c r="B566" s="74"/>
      <c r="C566" s="74"/>
      <c r="D566" s="124"/>
      <c r="E566" s="124"/>
    </row>
    <row r="567" spans="2:5" ht="12.75">
      <c r="B567" s="74"/>
      <c r="C567" s="74"/>
      <c r="D567" s="124"/>
      <c r="E567" s="124"/>
    </row>
    <row r="568" spans="2:5" ht="12.75">
      <c r="B568" s="74"/>
      <c r="C568" s="74"/>
      <c r="D568" s="124"/>
      <c r="E568" s="124"/>
    </row>
    <row r="569" spans="2:5" ht="12.75">
      <c r="B569" s="74"/>
      <c r="C569" s="74"/>
      <c r="D569" s="124"/>
      <c r="E569" s="124"/>
    </row>
    <row r="570" spans="2:5" ht="12.75">
      <c r="B570" s="74"/>
      <c r="C570" s="74"/>
      <c r="D570" s="124"/>
      <c r="E570" s="124"/>
    </row>
    <row r="571" spans="2:5" ht="12.75">
      <c r="B571" s="74"/>
      <c r="C571" s="74"/>
      <c r="D571" s="124"/>
      <c r="E571" s="124"/>
    </row>
    <row r="572" spans="2:5" ht="12.75">
      <c r="B572" s="74"/>
      <c r="C572" s="74"/>
      <c r="D572" s="124"/>
      <c r="E572" s="124"/>
    </row>
    <row r="573" spans="2:5" ht="12.75">
      <c r="B573" s="74"/>
      <c r="C573" s="74"/>
      <c r="D573" s="124"/>
      <c r="E573" s="124"/>
    </row>
    <row r="574" spans="2:5" ht="12.75">
      <c r="B574" s="74"/>
      <c r="C574" s="74"/>
      <c r="D574" s="124"/>
      <c r="E574" s="124"/>
    </row>
    <row r="575" spans="2:5" ht="12.75">
      <c r="B575" s="74"/>
      <c r="C575" s="74"/>
      <c r="D575" s="124"/>
      <c r="E575" s="124"/>
    </row>
    <row r="576" spans="2:5" ht="12.75">
      <c r="B576" s="74"/>
      <c r="C576" s="74"/>
      <c r="D576" s="124"/>
      <c r="E576" s="124"/>
    </row>
    <row r="577" spans="2:5" ht="12.75">
      <c r="B577" s="74"/>
      <c r="C577" s="74"/>
      <c r="D577" s="124"/>
      <c r="E577" s="124"/>
    </row>
    <row r="578" spans="2:5" ht="12.75">
      <c r="B578" s="74"/>
      <c r="C578" s="74"/>
      <c r="D578" s="124"/>
      <c r="E578" s="124"/>
    </row>
    <row r="579" spans="2:5" ht="12.75">
      <c r="B579" s="74"/>
      <c r="C579" s="74"/>
      <c r="D579" s="124"/>
      <c r="E579" s="124"/>
    </row>
    <row r="580" spans="2:5" ht="12.75">
      <c r="B580" s="74"/>
      <c r="C580" s="74"/>
      <c r="D580" s="124"/>
      <c r="E580" s="124"/>
    </row>
    <row r="581" spans="2:5" ht="12.75">
      <c r="B581" s="74"/>
      <c r="C581" s="74"/>
      <c r="D581" s="124"/>
      <c r="E581" s="124"/>
    </row>
    <row r="582" spans="2:5" ht="12.75">
      <c r="B582" s="74"/>
      <c r="C582" s="74"/>
      <c r="D582" s="124"/>
      <c r="E582" s="124"/>
    </row>
    <row r="583" spans="2:5" ht="12.75">
      <c r="B583" s="74"/>
      <c r="C583" s="74"/>
      <c r="D583" s="124"/>
      <c r="E583" s="124"/>
    </row>
    <row r="584" spans="2:5" ht="12.75">
      <c r="B584" s="74"/>
      <c r="C584" s="74"/>
      <c r="D584" s="124"/>
      <c r="E584" s="124"/>
    </row>
    <row r="585" spans="2:5" ht="12.75">
      <c r="B585" s="74"/>
      <c r="C585" s="74"/>
      <c r="D585" s="124"/>
      <c r="E585" s="124"/>
    </row>
    <row r="586" spans="2:5" ht="12.75">
      <c r="B586" s="74"/>
      <c r="C586" s="74"/>
      <c r="D586" s="124"/>
      <c r="E586" s="124"/>
    </row>
    <row r="587" spans="2:5" ht="12.75">
      <c r="B587" s="74"/>
      <c r="C587" s="74"/>
      <c r="D587" s="124"/>
      <c r="E587" s="124"/>
    </row>
    <row r="588" spans="2:5" ht="12.75">
      <c r="B588" s="74"/>
      <c r="C588" s="74"/>
      <c r="D588" s="124"/>
      <c r="E588" s="124"/>
    </row>
    <row r="589" spans="2:5" ht="12.75">
      <c r="B589" s="74"/>
      <c r="C589" s="74"/>
      <c r="D589" s="124"/>
      <c r="E589" s="124"/>
    </row>
    <row r="590" spans="2:5" ht="12.75">
      <c r="B590" s="74"/>
      <c r="C590" s="74"/>
      <c r="D590" s="124"/>
      <c r="E590" s="124"/>
    </row>
    <row r="591" spans="2:5" ht="12.75">
      <c r="B591" s="74"/>
      <c r="C591" s="74"/>
      <c r="D591" s="124"/>
      <c r="E591" s="124"/>
    </row>
    <row r="592" spans="2:5" ht="12.75">
      <c r="B592" s="74"/>
      <c r="C592" s="74"/>
      <c r="D592" s="124"/>
      <c r="E592" s="124"/>
    </row>
    <row r="593" spans="2:5" ht="12.75">
      <c r="B593" s="74"/>
      <c r="C593" s="74"/>
      <c r="D593" s="124"/>
      <c r="E593" s="124"/>
    </row>
    <row r="594" spans="2:5" ht="12.75">
      <c r="B594" s="74"/>
      <c r="C594" s="74"/>
      <c r="D594" s="124"/>
      <c r="E594" s="124"/>
    </row>
    <row r="595" spans="2:5" ht="12.75">
      <c r="B595" s="74"/>
      <c r="C595" s="74"/>
      <c r="D595" s="124"/>
      <c r="E595" s="124"/>
    </row>
    <row r="596" spans="2:5" ht="12.75">
      <c r="B596" s="74"/>
      <c r="C596" s="74"/>
      <c r="D596" s="124"/>
      <c r="E596" s="124"/>
    </row>
    <row r="597" spans="2:5" ht="12.75">
      <c r="B597" s="74"/>
      <c r="C597" s="74"/>
      <c r="D597" s="124"/>
      <c r="E597" s="124"/>
    </row>
    <row r="598" spans="2:5" ht="12.75">
      <c r="B598" s="74"/>
      <c r="C598" s="74"/>
      <c r="D598" s="124"/>
      <c r="E598" s="124"/>
    </row>
    <row r="599" spans="2:5" ht="12.75">
      <c r="B599" s="74"/>
      <c r="C599" s="74"/>
      <c r="D599" s="124"/>
      <c r="E599" s="124"/>
    </row>
    <row r="600" spans="2:5" ht="12.75">
      <c r="B600" s="74"/>
      <c r="C600" s="74"/>
      <c r="D600" s="124"/>
      <c r="E600" s="124"/>
    </row>
    <row r="601" spans="2:5" ht="12.75">
      <c r="B601" s="74"/>
      <c r="C601" s="74"/>
      <c r="D601" s="124"/>
      <c r="E601" s="124"/>
    </row>
    <row r="602" spans="2:5" ht="12.75">
      <c r="B602" s="74"/>
      <c r="C602" s="74"/>
      <c r="D602" s="124"/>
      <c r="E602" s="124"/>
    </row>
    <row r="603" spans="2:5" ht="12.75">
      <c r="B603" s="74"/>
      <c r="C603" s="74"/>
      <c r="D603" s="124"/>
      <c r="E603" s="124"/>
    </row>
    <row r="604" spans="2:5" ht="12.75">
      <c r="B604" s="74"/>
      <c r="C604" s="74"/>
      <c r="D604" s="124"/>
      <c r="E604" s="124"/>
    </row>
    <row r="605" spans="2:5" ht="12.75">
      <c r="B605" s="74"/>
      <c r="C605" s="74"/>
      <c r="D605" s="124"/>
      <c r="E605" s="124"/>
    </row>
    <row r="606" spans="2:5" ht="12.75">
      <c r="B606" s="74"/>
      <c r="C606" s="74"/>
      <c r="D606" s="124"/>
      <c r="E606" s="124"/>
    </row>
    <row r="607" spans="2:5" ht="12.75">
      <c r="B607" s="74"/>
      <c r="C607" s="74"/>
      <c r="D607" s="124"/>
      <c r="E607" s="124"/>
    </row>
    <row r="608" spans="2:5" ht="12.75">
      <c r="B608" s="74"/>
      <c r="C608" s="74"/>
      <c r="D608" s="124"/>
      <c r="E608" s="124"/>
    </row>
    <row r="609" spans="2:5" ht="12.75">
      <c r="B609" s="74"/>
      <c r="C609" s="74"/>
      <c r="D609" s="124"/>
      <c r="E609" s="124"/>
    </row>
    <row r="610" spans="2:5" ht="12.75">
      <c r="B610" s="74"/>
      <c r="C610" s="74"/>
      <c r="D610" s="124"/>
      <c r="E610" s="124"/>
    </row>
    <row r="611" spans="2:5" ht="12.75">
      <c r="B611" s="74"/>
      <c r="C611" s="74"/>
      <c r="D611" s="124"/>
      <c r="E611" s="124"/>
    </row>
    <row r="612" spans="2:5" ht="12.75">
      <c r="B612" s="74"/>
      <c r="C612" s="74"/>
      <c r="D612" s="124"/>
      <c r="E612" s="124"/>
    </row>
    <row r="613" spans="2:5" ht="12.75">
      <c r="B613" s="74"/>
      <c r="C613" s="74"/>
      <c r="D613" s="124"/>
      <c r="E613" s="124"/>
    </row>
    <row r="614" spans="2:5" ht="12.75">
      <c r="B614" s="74"/>
      <c r="C614" s="74"/>
      <c r="D614" s="124"/>
      <c r="E614" s="124"/>
    </row>
    <row r="615" spans="2:5" ht="12.75">
      <c r="B615" s="74"/>
      <c r="C615" s="74"/>
      <c r="D615" s="124"/>
      <c r="E615" s="124"/>
    </row>
    <row r="616" spans="2:5" ht="12.75">
      <c r="B616" s="74"/>
      <c r="C616" s="74"/>
      <c r="D616" s="124"/>
      <c r="E616" s="124"/>
    </row>
    <row r="617" spans="2:5" ht="12.75">
      <c r="B617" s="74"/>
      <c r="C617" s="74"/>
      <c r="D617" s="124"/>
      <c r="E617" s="124"/>
    </row>
    <row r="618" spans="2:5" ht="12.75">
      <c r="B618" s="74"/>
      <c r="C618" s="74"/>
      <c r="D618" s="124"/>
      <c r="E618" s="124"/>
    </row>
    <row r="619" spans="2:5" ht="12.75">
      <c r="B619" s="74"/>
      <c r="C619" s="74"/>
      <c r="D619" s="124"/>
      <c r="E619" s="124"/>
    </row>
    <row r="620" spans="2:5" ht="12.75">
      <c r="B620" s="74"/>
      <c r="C620" s="74"/>
      <c r="D620" s="124"/>
      <c r="E620" s="124"/>
    </row>
    <row r="621" spans="2:5" ht="12.75">
      <c r="B621" s="74"/>
      <c r="C621" s="74"/>
      <c r="D621" s="124"/>
      <c r="E621" s="124"/>
    </row>
    <row r="622" spans="2:5" ht="12.75">
      <c r="B622" s="74"/>
      <c r="C622" s="74"/>
      <c r="D622" s="124"/>
      <c r="E622" s="124"/>
    </row>
    <row r="623" spans="2:5" ht="12.75">
      <c r="B623" s="74"/>
      <c r="C623" s="74"/>
      <c r="D623" s="124"/>
      <c r="E623" s="124"/>
    </row>
    <row r="624" spans="2:5" ht="12.75">
      <c r="B624" s="74"/>
      <c r="C624" s="74"/>
      <c r="D624" s="124"/>
      <c r="E624" s="124"/>
    </row>
    <row r="625" spans="2:5" ht="12.75">
      <c r="B625" s="74"/>
      <c r="C625" s="74"/>
      <c r="D625" s="124"/>
      <c r="E625" s="124"/>
    </row>
    <row r="626" spans="2:5" ht="12.75">
      <c r="B626" s="74"/>
      <c r="C626" s="74"/>
      <c r="D626" s="124"/>
      <c r="E626" s="124"/>
    </row>
    <row r="627" spans="2:5" ht="12.75">
      <c r="B627" s="74"/>
      <c r="C627" s="74"/>
      <c r="D627" s="124"/>
      <c r="E627" s="124"/>
    </row>
    <row r="628" spans="2:5" ht="12.75">
      <c r="B628" s="74"/>
      <c r="C628" s="74"/>
      <c r="D628" s="124"/>
      <c r="E628" s="124"/>
    </row>
    <row r="629" spans="2:5" ht="12.75">
      <c r="B629" s="74"/>
      <c r="C629" s="74"/>
      <c r="D629" s="124"/>
      <c r="E629" s="124"/>
    </row>
    <row r="630" spans="2:5" ht="12.75">
      <c r="B630" s="74"/>
      <c r="C630" s="74"/>
      <c r="D630" s="124"/>
      <c r="E630" s="124"/>
    </row>
    <row r="631" spans="2:5" ht="12.75">
      <c r="B631" s="74"/>
      <c r="C631" s="74"/>
      <c r="D631" s="124"/>
      <c r="E631" s="124"/>
    </row>
    <row r="632" spans="2:5" ht="12.75">
      <c r="B632" s="74"/>
      <c r="C632" s="74"/>
      <c r="D632" s="124"/>
      <c r="E632" s="124"/>
    </row>
    <row r="633" spans="2:5" ht="12.75">
      <c r="B633" s="74"/>
      <c r="C633" s="74"/>
      <c r="D633" s="124"/>
      <c r="E633" s="124"/>
    </row>
    <row r="634" spans="2:5" ht="12.75">
      <c r="B634" s="74"/>
      <c r="C634" s="74"/>
      <c r="D634" s="124"/>
      <c r="E634" s="124"/>
    </row>
    <row r="635" spans="2:5" ht="12.75">
      <c r="B635" s="74"/>
      <c r="C635" s="74"/>
      <c r="D635" s="124"/>
      <c r="E635" s="124"/>
    </row>
    <row r="636" spans="2:5" ht="12.75">
      <c r="B636" s="74"/>
      <c r="C636" s="74"/>
      <c r="D636" s="124"/>
      <c r="E636" s="124"/>
    </row>
    <row r="637" spans="2:5" ht="12.75">
      <c r="B637" s="74"/>
      <c r="C637" s="74"/>
      <c r="D637" s="124"/>
      <c r="E637" s="124"/>
    </row>
    <row r="638" spans="2:5" ht="12.75">
      <c r="B638" s="74"/>
      <c r="C638" s="74"/>
      <c r="D638" s="124"/>
      <c r="E638" s="124"/>
    </row>
    <row r="639" spans="2:5" ht="12.75">
      <c r="B639" s="74"/>
      <c r="C639" s="74"/>
      <c r="D639" s="124"/>
      <c r="E639" s="124"/>
    </row>
    <row r="640" spans="2:5" ht="12.75">
      <c r="B640" s="74"/>
      <c r="C640" s="74"/>
      <c r="D640" s="124"/>
      <c r="E640" s="124"/>
    </row>
    <row r="641" spans="2:5" ht="12.75">
      <c r="B641" s="74"/>
      <c r="C641" s="74"/>
      <c r="D641" s="124"/>
      <c r="E641" s="124"/>
    </row>
    <row r="642" spans="2:5" ht="12.75">
      <c r="B642" s="74"/>
      <c r="C642" s="74"/>
      <c r="D642" s="124"/>
      <c r="E642" s="124"/>
    </row>
    <row r="643" spans="2:5" ht="12.75">
      <c r="B643" s="74"/>
      <c r="C643" s="74"/>
      <c r="D643" s="124"/>
      <c r="E643" s="124"/>
    </row>
    <row r="644" spans="2:5" ht="12.75">
      <c r="B644" s="74"/>
      <c r="C644" s="74"/>
      <c r="D644" s="124"/>
      <c r="E644" s="124"/>
    </row>
    <row r="645" spans="2:5" ht="12.75">
      <c r="B645" s="74"/>
      <c r="C645" s="74"/>
      <c r="D645" s="124"/>
      <c r="E645" s="124"/>
    </row>
    <row r="646" spans="2:5" ht="12.75">
      <c r="B646" s="74"/>
      <c r="C646" s="74"/>
      <c r="D646" s="124"/>
      <c r="E646" s="124"/>
    </row>
    <row r="647" spans="2:5" ht="12.75">
      <c r="B647" s="74"/>
      <c r="C647" s="74"/>
      <c r="D647" s="124"/>
      <c r="E647" s="124"/>
    </row>
    <row r="648" spans="2:5" ht="12.75">
      <c r="B648" s="74"/>
      <c r="C648" s="74"/>
      <c r="D648" s="124"/>
      <c r="E648" s="124"/>
    </row>
    <row r="649" spans="2:5" ht="12.75">
      <c r="B649" s="74"/>
      <c r="C649" s="74"/>
      <c r="D649" s="124"/>
      <c r="E649" s="124"/>
    </row>
    <row r="650" spans="2:5" ht="12.75">
      <c r="B650" s="74"/>
      <c r="C650" s="74"/>
      <c r="D650" s="124"/>
      <c r="E650" s="124"/>
    </row>
    <row r="651" spans="2:5" ht="12.75">
      <c r="B651" s="74"/>
      <c r="C651" s="74"/>
      <c r="D651" s="124"/>
      <c r="E651" s="124"/>
    </row>
    <row r="652" spans="2:5" ht="12.75">
      <c r="B652" s="74"/>
      <c r="C652" s="74"/>
      <c r="D652" s="124"/>
      <c r="E652" s="124"/>
    </row>
    <row r="653" spans="2:5" ht="12.75">
      <c r="B653" s="74"/>
      <c r="C653" s="74"/>
      <c r="D653" s="124"/>
      <c r="E653" s="124"/>
    </row>
    <row r="654" spans="2:5" ht="12.75">
      <c r="B654" s="74"/>
      <c r="C654" s="74"/>
      <c r="D654" s="124"/>
      <c r="E654" s="124"/>
    </row>
    <row r="655" spans="2:5" ht="12.75">
      <c r="B655" s="74"/>
      <c r="C655" s="74"/>
      <c r="D655" s="124"/>
      <c r="E655" s="124"/>
    </row>
    <row r="656" spans="2:5" ht="12.75">
      <c r="B656" s="74"/>
      <c r="C656" s="74"/>
      <c r="D656" s="124"/>
      <c r="E656" s="124"/>
    </row>
    <row r="657" spans="2:5" ht="12.75">
      <c r="B657" s="74"/>
      <c r="C657" s="74"/>
      <c r="D657" s="124"/>
      <c r="E657" s="124"/>
    </row>
    <row r="658" spans="2:5" ht="12.75">
      <c r="B658" s="74"/>
      <c r="C658" s="74"/>
      <c r="D658" s="124"/>
      <c r="E658" s="124"/>
    </row>
    <row r="659" spans="2:5" ht="12.75">
      <c r="B659" s="74"/>
      <c r="C659" s="74"/>
      <c r="D659" s="124"/>
      <c r="E659" s="124"/>
    </row>
    <row r="660" spans="2:5" ht="12.75">
      <c r="B660" s="74"/>
      <c r="C660" s="74"/>
      <c r="D660" s="124"/>
      <c r="E660" s="124"/>
    </row>
    <row r="661" spans="2:5" ht="12.75">
      <c r="B661" s="74"/>
      <c r="C661" s="74"/>
      <c r="D661" s="124"/>
      <c r="E661" s="124"/>
    </row>
    <row r="662" spans="2:5" ht="12.75">
      <c r="B662" s="74"/>
      <c r="C662" s="74"/>
      <c r="D662" s="124"/>
      <c r="E662" s="124"/>
    </row>
    <row r="663" spans="2:5" ht="12.75">
      <c r="B663" s="74"/>
      <c r="C663" s="74"/>
      <c r="D663" s="124"/>
      <c r="E663" s="124"/>
    </row>
    <row r="664" spans="2:5" ht="12.75">
      <c r="B664" s="74"/>
      <c r="C664" s="74"/>
      <c r="D664" s="124"/>
      <c r="E664" s="124"/>
    </row>
    <row r="665" spans="2:5" ht="12.75">
      <c r="B665" s="74"/>
      <c r="C665" s="74"/>
      <c r="D665" s="124"/>
      <c r="E665" s="124"/>
    </row>
    <row r="666" spans="2:5" ht="12.75">
      <c r="B666" s="74"/>
      <c r="C666" s="74"/>
      <c r="D666" s="124"/>
      <c r="E666" s="124"/>
    </row>
    <row r="667" spans="2:5" ht="12.75">
      <c r="B667" s="74"/>
      <c r="C667" s="74"/>
      <c r="D667" s="124"/>
      <c r="E667" s="124"/>
    </row>
    <row r="668" spans="2:5" ht="12.75">
      <c r="B668" s="74"/>
      <c r="C668" s="74"/>
      <c r="D668" s="124"/>
      <c r="E668" s="124"/>
    </row>
    <row r="669" spans="2:5" ht="12.75">
      <c r="B669" s="74"/>
      <c r="C669" s="74"/>
      <c r="D669" s="124"/>
      <c r="E669" s="124"/>
    </row>
    <row r="670" spans="2:5" ht="12.75">
      <c r="B670" s="74"/>
      <c r="C670" s="74"/>
      <c r="D670" s="124"/>
      <c r="E670" s="124"/>
    </row>
    <row r="671" spans="2:5" ht="12.75">
      <c r="B671" s="74"/>
      <c r="C671" s="74"/>
      <c r="D671" s="124"/>
      <c r="E671" s="124"/>
    </row>
    <row r="672" spans="2:5" ht="12.75">
      <c r="B672" s="74"/>
      <c r="C672" s="74"/>
      <c r="D672" s="124"/>
      <c r="E672" s="124"/>
    </row>
    <row r="673" spans="2:5" ht="12.75">
      <c r="B673" s="74"/>
      <c r="C673" s="74"/>
      <c r="D673" s="124"/>
      <c r="E673" s="124"/>
    </row>
    <row r="674" spans="2:5" ht="12.75">
      <c r="B674" s="74"/>
      <c r="C674" s="74"/>
      <c r="D674" s="124"/>
      <c r="E674" s="124"/>
    </row>
    <row r="675" spans="2:5" ht="12.75">
      <c r="B675" s="74"/>
      <c r="C675" s="74"/>
      <c r="D675" s="124"/>
      <c r="E675" s="124"/>
    </row>
    <row r="676" spans="2:5" ht="12.75">
      <c r="B676" s="74"/>
      <c r="C676" s="74"/>
      <c r="D676" s="124"/>
      <c r="E676" s="124"/>
    </row>
    <row r="677" spans="2:5" ht="12.75">
      <c r="B677" s="74"/>
      <c r="C677" s="74"/>
      <c r="D677" s="124"/>
      <c r="E677" s="124"/>
    </row>
    <row r="678" spans="2:5" ht="12.75">
      <c r="B678" s="74"/>
      <c r="C678" s="74"/>
      <c r="D678" s="124"/>
      <c r="E678" s="124"/>
    </row>
    <row r="679" spans="2:5" ht="12.75">
      <c r="B679" s="74"/>
      <c r="C679" s="74"/>
      <c r="D679" s="124"/>
      <c r="E679" s="124"/>
    </row>
    <row r="680" spans="2:5" ht="12.75">
      <c r="B680" s="74"/>
      <c r="C680" s="74"/>
      <c r="D680" s="124"/>
      <c r="E680" s="124"/>
    </row>
    <row r="681" spans="2:5" ht="12.75">
      <c r="B681" s="74"/>
      <c r="C681" s="74"/>
      <c r="D681" s="124"/>
      <c r="E681" s="124"/>
    </row>
    <row r="682" spans="2:5" ht="12.75">
      <c r="B682" s="74"/>
      <c r="C682" s="74"/>
      <c r="D682" s="124"/>
      <c r="E682" s="124"/>
    </row>
    <row r="683" spans="2:5" ht="12.75">
      <c r="B683" s="74"/>
      <c r="C683" s="74"/>
      <c r="D683" s="124"/>
      <c r="E683" s="124"/>
    </row>
    <row r="684" spans="2:5" ht="12.75">
      <c r="B684" s="74"/>
      <c r="C684" s="74"/>
      <c r="D684" s="124"/>
      <c r="E684" s="124"/>
    </row>
    <row r="685" spans="2:5" ht="12.75">
      <c r="B685" s="74"/>
      <c r="C685" s="74"/>
      <c r="D685" s="124"/>
      <c r="E685" s="124"/>
    </row>
    <row r="686" spans="2:5" ht="12.75">
      <c r="B686" s="74"/>
      <c r="C686" s="74"/>
      <c r="D686" s="124"/>
      <c r="E686" s="124"/>
    </row>
    <row r="687" spans="2:5" ht="12.75">
      <c r="B687" s="74"/>
      <c r="C687" s="74"/>
      <c r="D687" s="124"/>
      <c r="E687" s="124"/>
    </row>
    <row r="688" spans="2:5" ht="12.75">
      <c r="B688" s="74"/>
      <c r="C688" s="74"/>
      <c r="D688" s="124"/>
      <c r="E688" s="124"/>
    </row>
    <row r="689" spans="2:5" ht="12.75">
      <c r="B689" s="74"/>
      <c r="C689" s="74"/>
      <c r="D689" s="124"/>
      <c r="E689" s="124"/>
    </row>
    <row r="690" spans="2:5" ht="12.75">
      <c r="B690" s="74"/>
      <c r="C690" s="74"/>
      <c r="D690" s="124"/>
      <c r="E690" s="124"/>
    </row>
    <row r="691" spans="2:5" ht="12.75">
      <c r="B691" s="74"/>
      <c r="C691" s="74"/>
      <c r="D691" s="124"/>
      <c r="E691" s="124"/>
    </row>
    <row r="692" spans="2:5" ht="12.75">
      <c r="B692" s="74"/>
      <c r="C692" s="74"/>
      <c r="D692" s="124"/>
      <c r="E692" s="124"/>
    </row>
    <row r="693" spans="2:5" ht="12.75">
      <c r="B693" s="74"/>
      <c r="C693" s="74"/>
      <c r="D693" s="124"/>
      <c r="E693" s="124"/>
    </row>
    <row r="694" spans="2:5" ht="12.75">
      <c r="B694" s="74"/>
      <c r="C694" s="74"/>
      <c r="D694" s="124"/>
      <c r="E694" s="124"/>
    </row>
    <row r="695" spans="2:5" ht="12.75">
      <c r="B695" s="74"/>
      <c r="C695" s="74"/>
      <c r="D695" s="124"/>
      <c r="E695" s="124"/>
    </row>
    <row r="696" spans="2:5" ht="12.75">
      <c r="B696" s="74"/>
      <c r="C696" s="74"/>
      <c r="D696" s="124"/>
      <c r="E696" s="124"/>
    </row>
    <row r="697" spans="2:5" ht="12.75">
      <c r="B697" s="74"/>
      <c r="C697" s="74"/>
      <c r="D697" s="124"/>
      <c r="E697" s="124"/>
    </row>
    <row r="698" spans="2:5" ht="12.75">
      <c r="B698" s="74"/>
      <c r="C698" s="74"/>
      <c r="D698" s="124"/>
      <c r="E698" s="124"/>
    </row>
    <row r="699" spans="2:5" ht="12.75">
      <c r="B699" s="74"/>
      <c r="C699" s="74"/>
      <c r="D699" s="124"/>
      <c r="E699" s="124"/>
    </row>
    <row r="700" spans="2:5" ht="12.75">
      <c r="B700" s="74"/>
      <c r="C700" s="74"/>
      <c r="D700" s="124"/>
      <c r="E700" s="124"/>
    </row>
    <row r="701" spans="2:5" ht="12.75">
      <c r="B701" s="74"/>
      <c r="C701" s="74"/>
      <c r="D701" s="124"/>
      <c r="E701" s="124"/>
    </row>
    <row r="702" spans="2:5" ht="12.75">
      <c r="B702" s="74"/>
      <c r="C702" s="74"/>
      <c r="D702" s="124"/>
      <c r="E702" s="124"/>
    </row>
    <row r="703" spans="2:5" ht="12.75">
      <c r="B703" s="74"/>
      <c r="C703" s="74"/>
      <c r="D703" s="124"/>
      <c r="E703" s="124"/>
    </row>
    <row r="704" spans="2:5" ht="12.75">
      <c r="B704" s="74"/>
      <c r="C704" s="74"/>
      <c r="D704" s="124"/>
      <c r="E704" s="124"/>
    </row>
    <row r="705" spans="2:5" ht="12.75">
      <c r="B705" s="74"/>
      <c r="C705" s="74"/>
      <c r="D705" s="124"/>
      <c r="E705" s="124"/>
    </row>
    <row r="706" spans="2:5" ht="12.75">
      <c r="B706" s="74"/>
      <c r="C706" s="74"/>
      <c r="D706" s="124"/>
      <c r="E706" s="124"/>
    </row>
    <row r="707" spans="2:5" ht="12.75">
      <c r="B707" s="74"/>
      <c r="C707" s="74"/>
      <c r="D707" s="124"/>
      <c r="E707" s="124"/>
    </row>
    <row r="708" spans="2:5" ht="12.75">
      <c r="B708" s="74"/>
      <c r="C708" s="74"/>
      <c r="D708" s="124"/>
      <c r="E708" s="124"/>
    </row>
    <row r="709" spans="2:5" ht="12.75">
      <c r="B709" s="74"/>
      <c r="C709" s="74"/>
      <c r="D709" s="124"/>
      <c r="E709" s="124"/>
    </row>
    <row r="710" spans="2:5" ht="12.75">
      <c r="B710" s="74"/>
      <c r="C710" s="74"/>
      <c r="D710" s="124"/>
      <c r="E710" s="124"/>
    </row>
    <row r="711" spans="2:5" ht="12.75">
      <c r="B711" s="74"/>
      <c r="C711" s="74"/>
      <c r="D711" s="124"/>
      <c r="E711" s="124"/>
    </row>
    <row r="712" spans="2:5" ht="12.75">
      <c r="B712" s="74"/>
      <c r="C712" s="74"/>
      <c r="D712" s="124"/>
      <c r="E712" s="124"/>
    </row>
    <row r="713" spans="2:5" ht="12.75">
      <c r="B713" s="74"/>
      <c r="C713" s="74"/>
      <c r="D713" s="124"/>
      <c r="E713" s="124"/>
    </row>
    <row r="714" spans="2:5" ht="12.75">
      <c r="B714" s="74"/>
      <c r="C714" s="74"/>
      <c r="D714" s="124"/>
      <c r="E714" s="124"/>
    </row>
    <row r="715" spans="2:5" ht="12.75">
      <c r="B715" s="74"/>
      <c r="C715" s="74"/>
      <c r="D715" s="124"/>
      <c r="E715" s="124"/>
    </row>
    <row r="716" spans="2:5" ht="12.75">
      <c r="B716" s="74"/>
      <c r="C716" s="74"/>
      <c r="D716" s="124"/>
      <c r="E716" s="124"/>
    </row>
    <row r="717" spans="2:5" ht="12.75">
      <c r="B717" s="74"/>
      <c r="C717" s="74"/>
      <c r="D717" s="124"/>
      <c r="E717" s="124"/>
    </row>
    <row r="718" spans="2:5" ht="12.75">
      <c r="B718" s="74"/>
      <c r="C718" s="74"/>
      <c r="D718" s="124"/>
      <c r="E718" s="124"/>
    </row>
    <row r="719" spans="2:5" ht="12.75">
      <c r="B719" s="74"/>
      <c r="C719" s="74"/>
      <c r="D719" s="124"/>
      <c r="E719" s="124"/>
    </row>
    <row r="720" spans="2:5" ht="12.75">
      <c r="B720" s="74"/>
      <c r="C720" s="74"/>
      <c r="D720" s="124"/>
      <c r="E720" s="124"/>
    </row>
    <row r="721" spans="2:5" ht="12.75">
      <c r="B721" s="74"/>
      <c r="C721" s="74"/>
      <c r="D721" s="124"/>
      <c r="E721" s="124"/>
    </row>
    <row r="722" spans="2:5" ht="12.75">
      <c r="B722" s="74"/>
      <c r="C722" s="74"/>
      <c r="D722" s="124"/>
      <c r="E722" s="124"/>
    </row>
    <row r="723" spans="2:5" ht="12.75">
      <c r="B723" s="74"/>
      <c r="C723" s="74"/>
      <c r="D723" s="124"/>
      <c r="E723" s="124"/>
    </row>
    <row r="724" spans="2:5" ht="12.75">
      <c r="B724" s="74"/>
      <c r="C724" s="74"/>
      <c r="D724" s="124"/>
      <c r="E724" s="124"/>
    </row>
    <row r="725" spans="2:5" ht="12.75">
      <c r="B725" s="74"/>
      <c r="C725" s="74"/>
      <c r="D725" s="124"/>
      <c r="E725" s="124"/>
    </row>
    <row r="726" spans="2:5" ht="12.75">
      <c r="B726" s="74"/>
      <c r="C726" s="74"/>
      <c r="D726" s="124"/>
      <c r="E726" s="124"/>
    </row>
    <row r="727" spans="2:5" ht="12.75">
      <c r="B727" s="74"/>
      <c r="C727" s="74"/>
      <c r="D727" s="124"/>
      <c r="E727" s="124"/>
    </row>
    <row r="728" spans="2:5" ht="12.75">
      <c r="B728" s="74"/>
      <c r="C728" s="74"/>
      <c r="D728" s="124"/>
      <c r="E728" s="124"/>
    </row>
    <row r="729" spans="2:5" ht="12.75">
      <c r="B729" s="74"/>
      <c r="C729" s="74"/>
      <c r="D729" s="124"/>
      <c r="E729" s="124"/>
    </row>
    <row r="730" spans="2:5" ht="12.75">
      <c r="B730" s="74"/>
      <c r="C730" s="74"/>
      <c r="D730" s="124"/>
      <c r="E730" s="124"/>
    </row>
    <row r="731" spans="2:5" ht="12.75">
      <c r="B731" s="74"/>
      <c r="C731" s="74"/>
      <c r="D731" s="124"/>
      <c r="E731" s="124"/>
    </row>
    <row r="732" spans="2:5" ht="12.75">
      <c r="B732" s="74"/>
      <c r="C732" s="74"/>
      <c r="D732" s="124"/>
      <c r="E732" s="124"/>
    </row>
    <row r="733" spans="2:5" ht="12.75">
      <c r="B733" s="74"/>
      <c r="C733" s="74"/>
      <c r="D733" s="124"/>
      <c r="E733" s="124"/>
    </row>
    <row r="734" spans="2:5" ht="12.75">
      <c r="B734" s="74"/>
      <c r="C734" s="74"/>
      <c r="D734" s="124"/>
      <c r="E734" s="124"/>
    </row>
    <row r="735" spans="2:5" ht="12.75">
      <c r="B735" s="74"/>
      <c r="C735" s="74"/>
      <c r="D735" s="124"/>
      <c r="E735" s="124"/>
    </row>
    <row r="736" spans="2:5" ht="12.75">
      <c r="B736" s="74"/>
      <c r="C736" s="74"/>
      <c r="D736" s="124"/>
      <c r="E736" s="124"/>
    </row>
    <row r="737" spans="2:5" ht="12.75">
      <c r="B737" s="74"/>
      <c r="C737" s="74"/>
      <c r="D737" s="124"/>
      <c r="E737" s="124"/>
    </row>
    <row r="738" spans="2:5" ht="12.75">
      <c r="B738" s="74"/>
      <c r="C738" s="74"/>
      <c r="D738" s="124"/>
      <c r="E738" s="124"/>
    </row>
    <row r="739" spans="2:5" ht="12.75">
      <c r="B739" s="74"/>
      <c r="C739" s="74"/>
      <c r="D739" s="124"/>
      <c r="E739" s="124"/>
    </row>
    <row r="740" spans="2:5" ht="12.75">
      <c r="B740" s="74"/>
      <c r="C740" s="74"/>
      <c r="D740" s="124"/>
      <c r="E740" s="124"/>
    </row>
    <row r="741" spans="2:5" ht="12.75">
      <c r="B741" s="74"/>
      <c r="C741" s="74"/>
      <c r="D741" s="124"/>
      <c r="E741" s="124"/>
    </row>
    <row r="742" spans="2:5" ht="12.75">
      <c r="B742" s="74"/>
      <c r="C742" s="74"/>
      <c r="D742" s="124"/>
      <c r="E742" s="124"/>
    </row>
    <row r="743" spans="2:5" ht="12.75">
      <c r="B743" s="74"/>
      <c r="C743" s="74"/>
      <c r="D743" s="124"/>
      <c r="E743" s="124"/>
    </row>
    <row r="744" spans="2:5" ht="12.75">
      <c r="B744" s="74"/>
      <c r="C744" s="74"/>
      <c r="D744" s="124"/>
      <c r="E744" s="124"/>
    </row>
    <row r="745" spans="2:5" ht="12.75">
      <c r="B745" s="74"/>
      <c r="C745" s="74"/>
      <c r="D745" s="124"/>
      <c r="E745" s="124"/>
    </row>
    <row r="746" spans="2:5" ht="12.75">
      <c r="B746" s="74"/>
      <c r="C746" s="74"/>
      <c r="D746" s="124"/>
      <c r="E746" s="124"/>
    </row>
    <row r="747" spans="2:5" ht="12.75">
      <c r="B747" s="74"/>
      <c r="C747" s="74"/>
      <c r="D747" s="124"/>
      <c r="E747" s="124"/>
    </row>
    <row r="748" spans="2:5" ht="12.75">
      <c r="B748" s="74"/>
      <c r="C748" s="74"/>
      <c r="D748" s="124"/>
      <c r="E748" s="124"/>
    </row>
    <row r="749" spans="2:5" ht="12.75">
      <c r="B749" s="74"/>
      <c r="C749" s="74"/>
      <c r="D749" s="124"/>
      <c r="E749" s="124"/>
    </row>
    <row r="750" spans="2:5" ht="12.75">
      <c r="B750" s="74"/>
      <c r="C750" s="74"/>
      <c r="D750" s="124"/>
      <c r="E750" s="124"/>
    </row>
    <row r="751" spans="2:5" ht="12.75">
      <c r="B751" s="74"/>
      <c r="C751" s="74"/>
      <c r="D751" s="124"/>
      <c r="E751" s="124"/>
    </row>
    <row r="752" spans="2:5" ht="12.75">
      <c r="B752" s="74"/>
      <c r="C752" s="74"/>
      <c r="D752" s="124"/>
      <c r="E752" s="124"/>
    </row>
    <row r="753" spans="2:5" ht="12.75">
      <c r="B753" s="74"/>
      <c r="C753" s="74"/>
      <c r="D753" s="124"/>
      <c r="E753" s="124"/>
    </row>
    <row r="754" spans="2:5" ht="12.75">
      <c r="B754" s="74"/>
      <c r="C754" s="74"/>
      <c r="D754" s="124"/>
      <c r="E754" s="124"/>
    </row>
    <row r="755" spans="2:5" ht="12.75">
      <c r="B755" s="74"/>
      <c r="C755" s="74"/>
      <c r="D755" s="124"/>
      <c r="E755" s="124"/>
    </row>
    <row r="756" spans="2:5" ht="12.75">
      <c r="B756" s="74"/>
      <c r="C756" s="74"/>
      <c r="D756" s="124"/>
      <c r="E756" s="124"/>
    </row>
    <row r="757" spans="2:5" ht="12.75">
      <c r="B757" s="74"/>
      <c r="C757" s="74"/>
      <c r="D757" s="124"/>
      <c r="E757" s="124"/>
    </row>
    <row r="758" spans="2:5" ht="12.75">
      <c r="B758" s="74"/>
      <c r="C758" s="74"/>
      <c r="D758" s="124"/>
      <c r="E758" s="124"/>
    </row>
    <row r="759" spans="2:5" ht="12.75">
      <c r="B759" s="74"/>
      <c r="C759" s="74"/>
      <c r="D759" s="124"/>
      <c r="E759" s="124"/>
    </row>
    <row r="760" spans="2:5" ht="12.75">
      <c r="B760" s="74"/>
      <c r="C760" s="74"/>
      <c r="D760" s="124"/>
      <c r="E760" s="124"/>
    </row>
    <row r="761" spans="2:5" ht="12.75">
      <c r="B761" s="74"/>
      <c r="C761" s="74"/>
      <c r="D761" s="124"/>
      <c r="E761" s="124"/>
    </row>
    <row r="762" spans="2:5" ht="12.75">
      <c r="B762" s="74"/>
      <c r="C762" s="74"/>
      <c r="D762" s="124"/>
      <c r="E762" s="124"/>
    </row>
    <row r="763" spans="2:5" ht="12.75">
      <c r="B763" s="74"/>
      <c r="C763" s="74"/>
      <c r="D763" s="124"/>
      <c r="E763" s="124"/>
    </row>
    <row r="764" spans="2:5" ht="12.75">
      <c r="B764" s="74"/>
      <c r="C764" s="74"/>
      <c r="D764" s="124"/>
      <c r="E764" s="124"/>
    </row>
    <row r="765" spans="2:5" ht="12.75">
      <c r="B765" s="74"/>
      <c r="C765" s="74"/>
      <c r="D765" s="124"/>
      <c r="E765" s="124"/>
    </row>
    <row r="766" spans="2:5" ht="12.75">
      <c r="B766" s="74"/>
      <c r="C766" s="74"/>
      <c r="D766" s="124"/>
      <c r="E766" s="124"/>
    </row>
    <row r="767" spans="2:5" ht="12.75">
      <c r="B767" s="74"/>
      <c r="C767" s="74"/>
      <c r="D767" s="124"/>
      <c r="E767" s="124"/>
    </row>
    <row r="768" spans="2:5" ht="12.75">
      <c r="B768" s="74"/>
      <c r="C768" s="74"/>
      <c r="D768" s="124"/>
      <c r="E768" s="124"/>
    </row>
    <row r="769" spans="2:5" ht="12.75">
      <c r="B769" s="74"/>
      <c r="C769" s="74"/>
      <c r="D769" s="124"/>
      <c r="E769" s="124"/>
    </row>
    <row r="770" spans="2:5" ht="12.75">
      <c r="B770" s="74"/>
      <c r="C770" s="74"/>
      <c r="D770" s="124"/>
      <c r="E770" s="124"/>
    </row>
    <row r="771" spans="2:5" ht="12.75">
      <c r="B771" s="74"/>
      <c r="C771" s="74"/>
      <c r="D771" s="124"/>
      <c r="E771" s="124"/>
    </row>
    <row r="772" spans="2:5" ht="12.75">
      <c r="B772" s="74"/>
      <c r="C772" s="74"/>
      <c r="D772" s="124"/>
      <c r="E772" s="124"/>
    </row>
    <row r="773" spans="2:5" ht="12.75">
      <c r="B773" s="74"/>
      <c r="C773" s="74"/>
      <c r="D773" s="124"/>
      <c r="E773" s="124"/>
    </row>
    <row r="774" spans="2:5" ht="12.75">
      <c r="B774" s="74"/>
      <c r="C774" s="74"/>
      <c r="D774" s="124"/>
      <c r="E774" s="124"/>
    </row>
    <row r="775" spans="2:5" ht="12.75">
      <c r="B775" s="74"/>
      <c r="C775" s="74"/>
      <c r="D775" s="124"/>
      <c r="E775" s="124"/>
    </row>
    <row r="776" spans="2:5" ht="12.75">
      <c r="B776" s="74"/>
      <c r="C776" s="74"/>
      <c r="D776" s="124"/>
      <c r="E776" s="124"/>
    </row>
    <row r="777" spans="2:5" ht="12.75">
      <c r="B777" s="74"/>
      <c r="C777" s="74"/>
      <c r="D777" s="124"/>
      <c r="E777" s="124"/>
    </row>
    <row r="778" spans="2:5" ht="12.75">
      <c r="B778" s="74"/>
      <c r="C778" s="74"/>
      <c r="D778" s="124"/>
      <c r="E778" s="124"/>
    </row>
    <row r="779" spans="2:5" ht="12.75">
      <c r="B779" s="74"/>
      <c r="C779" s="74"/>
      <c r="D779" s="124"/>
      <c r="E779" s="124"/>
    </row>
    <row r="780" spans="2:5" ht="12.75">
      <c r="B780" s="74"/>
      <c r="C780" s="74"/>
      <c r="D780" s="124"/>
      <c r="E780" s="124"/>
    </row>
    <row r="781" spans="2:5" ht="12.75">
      <c r="B781" s="74"/>
      <c r="C781" s="74"/>
      <c r="D781" s="124"/>
      <c r="E781" s="124"/>
    </row>
    <row r="782" spans="2:5" ht="12.75">
      <c r="B782" s="74"/>
      <c r="C782" s="74"/>
      <c r="D782" s="124"/>
      <c r="E782" s="124"/>
    </row>
    <row r="783" spans="2:5" ht="12.75">
      <c r="B783" s="74"/>
      <c r="C783" s="74"/>
      <c r="D783" s="124"/>
      <c r="E783" s="124"/>
    </row>
    <row r="784" spans="2:5" ht="12.75">
      <c r="B784" s="74"/>
      <c r="C784" s="74"/>
      <c r="D784" s="124"/>
      <c r="E784" s="124"/>
    </row>
    <row r="785" spans="2:5" ht="12.75">
      <c r="B785" s="74"/>
      <c r="C785" s="74"/>
      <c r="D785" s="124"/>
      <c r="E785" s="124"/>
    </row>
    <row r="786" spans="2:5" ht="12.75">
      <c r="B786" s="74"/>
      <c r="C786" s="74"/>
      <c r="D786" s="124"/>
      <c r="E786" s="124"/>
    </row>
    <row r="787" spans="2:5" ht="12.75">
      <c r="B787" s="74"/>
      <c r="C787" s="74"/>
      <c r="D787" s="124"/>
      <c r="E787" s="124"/>
    </row>
    <row r="788" spans="2:5" ht="12.75">
      <c r="B788" s="74"/>
      <c r="C788" s="74"/>
      <c r="D788" s="124"/>
      <c r="E788" s="124"/>
    </row>
    <row r="789" spans="2:5" ht="12.75">
      <c r="B789" s="74"/>
      <c r="C789" s="74"/>
      <c r="D789" s="124"/>
      <c r="E789" s="124"/>
    </row>
    <row r="790" spans="2:5" ht="12.75">
      <c r="B790" s="74"/>
      <c r="C790" s="74"/>
      <c r="D790" s="124"/>
      <c r="E790" s="124"/>
    </row>
    <row r="791" spans="2:5" ht="12.75">
      <c r="B791" s="74"/>
      <c r="C791" s="74"/>
      <c r="D791" s="124"/>
      <c r="E791" s="124"/>
    </row>
    <row r="792" spans="2:5" ht="12.75">
      <c r="B792" s="74"/>
      <c r="C792" s="74"/>
      <c r="D792" s="124"/>
      <c r="E792" s="124"/>
    </row>
    <row r="793" spans="2:5" ht="12.75">
      <c r="B793" s="74"/>
      <c r="C793" s="74"/>
      <c r="D793" s="124"/>
      <c r="E793" s="124"/>
    </row>
    <row r="794" spans="2:5" ht="12.75">
      <c r="B794" s="74"/>
      <c r="C794" s="74"/>
      <c r="D794" s="124"/>
      <c r="E794" s="124"/>
    </row>
    <row r="795" spans="2:5" ht="12.75">
      <c r="B795" s="74"/>
      <c r="C795" s="74"/>
      <c r="D795" s="124"/>
      <c r="E795" s="124"/>
    </row>
    <row r="796" spans="2:5" ht="12.75">
      <c r="B796" s="74"/>
      <c r="C796" s="74"/>
      <c r="D796" s="124"/>
      <c r="E796" s="124"/>
    </row>
    <row r="797" spans="2:5" ht="12.75">
      <c r="B797" s="74"/>
      <c r="C797" s="74"/>
      <c r="D797" s="124"/>
      <c r="E797" s="124"/>
    </row>
    <row r="798" spans="2:5" ht="12.75">
      <c r="B798" s="74"/>
      <c r="C798" s="74"/>
      <c r="D798" s="124"/>
      <c r="E798" s="124"/>
    </row>
    <row r="799" spans="2:5" ht="12.75">
      <c r="B799" s="74"/>
      <c r="C799" s="74"/>
      <c r="D799" s="124"/>
      <c r="E799" s="124"/>
    </row>
    <row r="800" spans="2:5" ht="12.75">
      <c r="B800" s="74"/>
      <c r="C800" s="74"/>
      <c r="D800" s="124"/>
      <c r="E800" s="124"/>
    </row>
    <row r="801" spans="2:5" ht="12.75">
      <c r="B801" s="74"/>
      <c r="C801" s="74"/>
      <c r="D801" s="124"/>
      <c r="E801" s="124"/>
    </row>
    <row r="802" spans="2:5" ht="12.75">
      <c r="B802" s="74"/>
      <c r="C802" s="74"/>
      <c r="D802" s="124"/>
      <c r="E802" s="124"/>
    </row>
    <row r="803" spans="2:5" ht="12.75">
      <c r="B803" s="74"/>
      <c r="C803" s="74"/>
      <c r="D803" s="124"/>
      <c r="E803" s="124"/>
    </row>
    <row r="804" spans="2:5" ht="12.75">
      <c r="B804" s="74"/>
      <c r="C804" s="74"/>
      <c r="D804" s="124"/>
      <c r="E804" s="124"/>
    </row>
    <row r="805" spans="2:5" ht="12.75">
      <c r="B805" s="74"/>
      <c r="C805" s="74"/>
      <c r="D805" s="124"/>
      <c r="E805" s="124"/>
    </row>
    <row r="806" spans="2:5" ht="12.75">
      <c r="B806" s="74"/>
      <c r="C806" s="74"/>
      <c r="D806" s="124"/>
      <c r="E806" s="124"/>
    </row>
    <row r="807" spans="2:5" ht="12.75">
      <c r="B807" s="74"/>
      <c r="C807" s="74"/>
      <c r="D807" s="124"/>
      <c r="E807" s="124"/>
    </row>
    <row r="808" spans="2:5" ht="12.75">
      <c r="B808" s="74"/>
      <c r="C808" s="74"/>
      <c r="D808" s="124"/>
      <c r="E808" s="124"/>
    </row>
    <row r="809" spans="2:5" ht="12.75">
      <c r="B809" s="74"/>
      <c r="C809" s="74"/>
      <c r="D809" s="124"/>
      <c r="E809" s="124"/>
    </row>
    <row r="810" spans="2:5" ht="12.75">
      <c r="B810" s="74"/>
      <c r="C810" s="74"/>
      <c r="D810" s="124"/>
      <c r="E810" s="124"/>
    </row>
    <row r="811" spans="2:5" ht="12.75">
      <c r="B811" s="74"/>
      <c r="C811" s="74"/>
      <c r="D811" s="124"/>
      <c r="E811" s="124"/>
    </row>
    <row r="812" spans="2:5" ht="12.75">
      <c r="B812" s="74"/>
      <c r="C812" s="74"/>
      <c r="D812" s="124"/>
      <c r="E812" s="124"/>
    </row>
    <row r="813" spans="2:5" ht="12.75">
      <c r="B813" s="74"/>
      <c r="C813" s="74"/>
      <c r="D813" s="124"/>
      <c r="E813" s="124"/>
    </row>
    <row r="814" spans="2:5" ht="12.75">
      <c r="B814" s="74"/>
      <c r="C814" s="74"/>
      <c r="D814" s="124"/>
      <c r="E814" s="124"/>
    </row>
    <row r="815" spans="2:5" ht="12.75">
      <c r="B815" s="74"/>
      <c r="C815" s="74"/>
      <c r="D815" s="124"/>
      <c r="E815" s="124"/>
    </row>
    <row r="816" spans="2:5" ht="12.75">
      <c r="B816" s="74"/>
      <c r="C816" s="74"/>
      <c r="D816" s="124"/>
      <c r="E816" s="124"/>
    </row>
    <row r="817" spans="2:5" ht="12.75">
      <c r="B817" s="74"/>
      <c r="C817" s="74"/>
      <c r="D817" s="124"/>
      <c r="E817" s="124"/>
    </row>
    <row r="818" spans="2:5" ht="12.75">
      <c r="B818" s="74"/>
      <c r="C818" s="74"/>
      <c r="D818" s="124"/>
      <c r="E818" s="124"/>
    </row>
    <row r="819" spans="2:5" ht="12.75">
      <c r="B819" s="74"/>
      <c r="C819" s="74"/>
      <c r="D819" s="124"/>
      <c r="E819" s="124"/>
    </row>
    <row r="820" spans="2:5" ht="12.75">
      <c r="B820" s="74"/>
      <c r="C820" s="74"/>
      <c r="D820" s="124"/>
      <c r="E820" s="124"/>
    </row>
    <row r="821" spans="2:5" ht="12.75">
      <c r="B821" s="74"/>
      <c r="C821" s="74"/>
      <c r="D821" s="124"/>
      <c r="E821" s="124"/>
    </row>
    <row r="822" spans="2:5" ht="12.75">
      <c r="B822" s="74"/>
      <c r="C822" s="74"/>
      <c r="D822" s="124"/>
      <c r="E822" s="124"/>
    </row>
    <row r="823" spans="2:5" ht="12.75">
      <c r="B823" s="74"/>
      <c r="C823" s="74"/>
      <c r="D823" s="124"/>
      <c r="E823" s="124"/>
    </row>
    <row r="824" spans="2:5" ht="12.75">
      <c r="B824" s="74"/>
      <c r="C824" s="74"/>
      <c r="D824" s="124"/>
      <c r="E824" s="124"/>
    </row>
    <row r="825" spans="2:5" ht="12.75">
      <c r="B825" s="74"/>
      <c r="C825" s="74"/>
      <c r="D825" s="124"/>
      <c r="E825" s="124"/>
    </row>
    <row r="826" spans="2:5" ht="12.75">
      <c r="B826" s="74"/>
      <c r="C826" s="74"/>
      <c r="D826" s="124"/>
      <c r="E826" s="124"/>
    </row>
    <row r="827" spans="2:5" ht="12.75">
      <c r="B827" s="74"/>
      <c r="C827" s="74"/>
      <c r="D827" s="124"/>
      <c r="E827" s="124"/>
    </row>
    <row r="828" spans="2:5" ht="12.75">
      <c r="B828" s="74"/>
      <c r="C828" s="74"/>
      <c r="D828" s="124"/>
      <c r="E828" s="124"/>
    </row>
    <row r="829" spans="2:5" ht="12.75">
      <c r="B829" s="74"/>
      <c r="C829" s="74"/>
      <c r="D829" s="124"/>
      <c r="E829" s="124"/>
    </row>
    <row r="830" spans="2:5" ht="12.75">
      <c r="B830" s="74"/>
      <c r="C830" s="74"/>
      <c r="D830" s="124"/>
      <c r="E830" s="124"/>
    </row>
    <row r="831" spans="2:5" ht="12.75">
      <c r="B831" s="74"/>
      <c r="C831" s="74"/>
      <c r="D831" s="124"/>
      <c r="E831" s="124"/>
    </row>
    <row r="832" spans="2:5" ht="12.75">
      <c r="B832" s="74"/>
      <c r="C832" s="74"/>
      <c r="D832" s="124"/>
      <c r="E832" s="124"/>
    </row>
    <row r="833" spans="2:5" ht="12.75">
      <c r="B833" s="74"/>
      <c r="C833" s="74"/>
      <c r="D833" s="124"/>
      <c r="E833" s="124"/>
    </row>
    <row r="834" spans="2:5" ht="12.75">
      <c r="B834" s="74"/>
      <c r="C834" s="74"/>
      <c r="D834" s="124"/>
      <c r="E834" s="124"/>
    </row>
    <row r="835" spans="2:5" ht="12.75">
      <c r="B835" s="74"/>
      <c r="C835" s="74"/>
      <c r="D835" s="124"/>
      <c r="E835" s="124"/>
    </row>
    <row r="836" spans="2:5" ht="12.75">
      <c r="B836" s="74"/>
      <c r="C836" s="74"/>
      <c r="D836" s="124"/>
      <c r="E836" s="124"/>
    </row>
    <row r="837" spans="2:5" ht="12.75">
      <c r="B837" s="74"/>
      <c r="C837" s="74"/>
      <c r="D837" s="124"/>
      <c r="E837" s="124"/>
    </row>
    <row r="838" spans="2:5" ht="12.75">
      <c r="B838" s="74"/>
      <c r="C838" s="74"/>
      <c r="D838" s="124"/>
      <c r="E838" s="124"/>
    </row>
    <row r="839" spans="2:5" ht="12.75">
      <c r="B839" s="74"/>
      <c r="C839" s="74"/>
      <c r="D839" s="124"/>
      <c r="E839" s="124"/>
    </row>
    <row r="840" spans="2:5" ht="12.75">
      <c r="B840" s="74"/>
      <c r="C840" s="74"/>
      <c r="D840" s="124"/>
      <c r="E840" s="124"/>
    </row>
    <row r="841" spans="2:5" ht="12.75">
      <c r="B841" s="74"/>
      <c r="C841" s="74"/>
      <c r="D841" s="124"/>
      <c r="E841" s="124"/>
    </row>
    <row r="842" spans="2:5" ht="12.75">
      <c r="B842" s="74"/>
      <c r="C842" s="74"/>
      <c r="D842" s="124"/>
      <c r="E842" s="124"/>
    </row>
    <row r="843" spans="2:5" ht="12.75">
      <c r="B843" s="74"/>
      <c r="C843" s="74"/>
      <c r="D843" s="124"/>
      <c r="E843" s="124"/>
    </row>
    <row r="844" spans="2:5" ht="12.75">
      <c r="B844" s="74"/>
      <c r="C844" s="74"/>
      <c r="D844" s="124"/>
      <c r="E844" s="124"/>
    </row>
    <row r="845" spans="2:5" ht="12.75">
      <c r="B845" s="74"/>
      <c r="C845" s="74"/>
      <c r="D845" s="124"/>
      <c r="E845" s="124"/>
    </row>
    <row r="846" spans="2:5" ht="12.75">
      <c r="B846" s="74"/>
      <c r="C846" s="74"/>
      <c r="D846" s="124"/>
      <c r="E846" s="124"/>
    </row>
    <row r="847" spans="2:5" ht="12.75">
      <c r="B847" s="74"/>
      <c r="C847" s="74"/>
      <c r="D847" s="124"/>
      <c r="E847" s="124"/>
    </row>
    <row r="848" spans="2:5" ht="12.75">
      <c r="B848" s="74"/>
      <c r="C848" s="74"/>
      <c r="D848" s="124"/>
      <c r="E848" s="124"/>
    </row>
    <row r="849" spans="2:5" ht="12.75">
      <c r="B849" s="74"/>
      <c r="C849" s="74"/>
      <c r="D849" s="124"/>
      <c r="E849" s="124"/>
    </row>
    <row r="850" spans="2:5" ht="12.75">
      <c r="B850" s="74"/>
      <c r="C850" s="74"/>
      <c r="D850" s="124"/>
      <c r="E850" s="124"/>
    </row>
    <row r="851" spans="2:5" ht="12.75">
      <c r="B851" s="74"/>
      <c r="C851" s="74"/>
      <c r="D851" s="124"/>
      <c r="E851" s="124"/>
    </row>
    <row r="852" spans="2:5" ht="12.75">
      <c r="B852" s="74"/>
      <c r="C852" s="74"/>
      <c r="D852" s="124"/>
      <c r="E852" s="124"/>
    </row>
    <row r="853" spans="2:5" ht="12.75">
      <c r="B853" s="74"/>
      <c r="C853" s="74"/>
      <c r="D853" s="124"/>
      <c r="E853" s="124"/>
    </row>
    <row r="854" spans="2:5" ht="12.75">
      <c r="B854" s="74"/>
      <c r="C854" s="74"/>
      <c r="D854" s="124"/>
      <c r="E854" s="124"/>
    </row>
    <row r="855" spans="2:5" ht="12.75">
      <c r="B855" s="74"/>
      <c r="C855" s="74"/>
      <c r="D855" s="124"/>
      <c r="E855" s="124"/>
    </row>
    <row r="856" spans="2:5" ht="12.75">
      <c r="B856" s="74"/>
      <c r="C856" s="74"/>
      <c r="D856" s="124"/>
      <c r="E856" s="124"/>
    </row>
    <row r="857" spans="2:5" ht="12.75">
      <c r="B857" s="74"/>
      <c r="C857" s="74"/>
      <c r="D857" s="124"/>
      <c r="E857" s="124"/>
    </row>
    <row r="858" spans="2:5" ht="12.75">
      <c r="B858" s="74"/>
      <c r="C858" s="74"/>
      <c r="D858" s="124"/>
      <c r="E858" s="124"/>
    </row>
    <row r="859" spans="2:5" ht="12.75">
      <c r="B859" s="74"/>
      <c r="C859" s="74"/>
      <c r="D859" s="124"/>
      <c r="E859" s="124"/>
    </row>
    <row r="860" spans="2:5" ht="12.75">
      <c r="B860" s="74"/>
      <c r="C860" s="74"/>
      <c r="D860" s="124"/>
      <c r="E860" s="124"/>
    </row>
    <row r="861" spans="2:5" ht="12.75">
      <c r="B861" s="74"/>
      <c r="C861" s="74"/>
      <c r="D861" s="124"/>
      <c r="E861" s="124"/>
    </row>
    <row r="862" spans="2:5" ht="12.75">
      <c r="B862" s="74"/>
      <c r="C862" s="74"/>
      <c r="D862" s="124"/>
      <c r="E862" s="124"/>
    </row>
    <row r="863" spans="2:5" ht="12.75">
      <c r="B863" s="74"/>
      <c r="C863" s="74"/>
      <c r="D863" s="124"/>
      <c r="E863" s="124"/>
    </row>
    <row r="864" spans="2:5" ht="12.75">
      <c r="B864" s="74"/>
      <c r="C864" s="74"/>
      <c r="D864" s="124"/>
      <c r="E864" s="124"/>
    </row>
    <row r="865" spans="2:5" ht="12.75">
      <c r="B865" s="74"/>
      <c r="C865" s="74"/>
      <c r="D865" s="124"/>
      <c r="E865" s="124"/>
    </row>
    <row r="866" spans="2:5" ht="12.75">
      <c r="B866" s="74"/>
      <c r="C866" s="74"/>
      <c r="D866" s="124"/>
      <c r="E866" s="124"/>
    </row>
    <row r="867" spans="2:5" ht="12.75">
      <c r="B867" s="74"/>
      <c r="C867" s="74"/>
      <c r="D867" s="124"/>
      <c r="E867" s="124"/>
    </row>
    <row r="868" spans="2:5" ht="12.75">
      <c r="B868" s="74"/>
      <c r="C868" s="74"/>
      <c r="D868" s="124"/>
      <c r="E868" s="124"/>
    </row>
    <row r="869" spans="2:5" ht="12.75">
      <c r="B869" s="74"/>
      <c r="C869" s="74"/>
      <c r="D869" s="124"/>
      <c r="E869" s="124"/>
    </row>
    <row r="870" spans="2:5" ht="12.75">
      <c r="B870" s="74"/>
      <c r="C870" s="74"/>
      <c r="D870" s="124"/>
      <c r="E870" s="124"/>
    </row>
    <row r="871" spans="2:5" ht="12.75">
      <c r="B871" s="74"/>
      <c r="C871" s="74"/>
      <c r="D871" s="124"/>
      <c r="E871" s="124"/>
    </row>
    <row r="872" spans="2:5" ht="12.75">
      <c r="B872" s="74"/>
      <c r="C872" s="74"/>
      <c r="D872" s="124"/>
      <c r="E872" s="124"/>
    </row>
    <row r="873" spans="2:5" ht="12.75">
      <c r="B873" s="74"/>
      <c r="C873" s="74"/>
      <c r="D873" s="124"/>
      <c r="E873" s="124"/>
    </row>
    <row r="874" spans="2:5" ht="12.75">
      <c r="B874" s="74"/>
      <c r="C874" s="74"/>
      <c r="D874" s="124"/>
      <c r="E874" s="124"/>
    </row>
    <row r="875" spans="2:5" ht="12.75">
      <c r="B875" s="74"/>
      <c r="C875" s="74"/>
      <c r="D875" s="124"/>
      <c r="E875" s="124"/>
    </row>
    <row r="876" spans="2:5" ht="12.75">
      <c r="B876" s="74"/>
      <c r="C876" s="74"/>
      <c r="D876" s="124"/>
      <c r="E876" s="124"/>
    </row>
    <row r="877" spans="2:5" ht="12.75">
      <c r="B877" s="74"/>
      <c r="C877" s="74"/>
      <c r="D877" s="124"/>
      <c r="E877" s="124"/>
    </row>
    <row r="878" spans="2:5" ht="12.75">
      <c r="B878" s="74"/>
      <c r="C878" s="74"/>
      <c r="D878" s="124"/>
      <c r="E878" s="124"/>
    </row>
    <row r="879" spans="2:5" ht="12.75">
      <c r="B879" s="74"/>
      <c r="C879" s="74"/>
      <c r="D879" s="124"/>
      <c r="E879" s="124"/>
    </row>
    <row r="880" spans="2:5" ht="12.75">
      <c r="B880" s="74"/>
      <c r="C880" s="74"/>
      <c r="D880" s="124"/>
      <c r="E880" s="124"/>
    </row>
    <row r="881" spans="2:5" ht="12.75">
      <c r="B881" s="74"/>
      <c r="C881" s="74"/>
      <c r="D881" s="124"/>
      <c r="E881" s="124"/>
    </row>
    <row r="882" spans="2:5" ht="12.75">
      <c r="B882" s="74"/>
      <c r="C882" s="74"/>
      <c r="D882" s="124"/>
      <c r="E882" s="124"/>
    </row>
    <row r="883" spans="2:5" ht="12.75">
      <c r="B883" s="74"/>
      <c r="C883" s="74"/>
      <c r="D883" s="124"/>
      <c r="E883" s="124"/>
    </row>
    <row r="884" spans="2:5" ht="12.75">
      <c r="B884" s="74"/>
      <c r="C884" s="74"/>
      <c r="D884" s="124"/>
      <c r="E884" s="124"/>
    </row>
    <row r="885" spans="2:5" ht="12.75">
      <c r="B885" s="74"/>
      <c r="C885" s="74"/>
      <c r="D885" s="124"/>
      <c r="E885" s="124"/>
    </row>
    <row r="886" spans="2:5" ht="12.75">
      <c r="B886" s="74"/>
      <c r="C886" s="74"/>
      <c r="D886" s="124"/>
      <c r="E886" s="124"/>
    </row>
    <row r="887" spans="2:5" ht="12.75">
      <c r="B887" s="74"/>
      <c r="C887" s="74"/>
      <c r="D887" s="124"/>
      <c r="E887" s="124"/>
    </row>
    <row r="888" spans="2:5" ht="12.75">
      <c r="B888" s="74"/>
      <c r="C888" s="74"/>
      <c r="D888" s="124"/>
      <c r="E888" s="124"/>
    </row>
    <row r="889" spans="2:5" ht="12.75">
      <c r="B889" s="74"/>
      <c r="C889" s="74"/>
      <c r="D889" s="124"/>
      <c r="E889" s="124"/>
    </row>
    <row r="890" spans="2:5" ht="12.75">
      <c r="B890" s="74"/>
      <c r="C890" s="74"/>
      <c r="D890" s="124"/>
      <c r="E890" s="124"/>
    </row>
    <row r="891" spans="2:5" ht="12.75">
      <c r="B891" s="74"/>
      <c r="C891" s="74"/>
      <c r="D891" s="124"/>
      <c r="E891" s="124"/>
    </row>
    <row r="892" spans="2:5" ht="12.75">
      <c r="B892" s="74"/>
      <c r="C892" s="74"/>
      <c r="D892" s="124"/>
      <c r="E892" s="124"/>
    </row>
    <row r="893" spans="2:5" ht="12.75">
      <c r="B893" s="74"/>
      <c r="C893" s="74"/>
      <c r="D893" s="124"/>
      <c r="E893" s="124"/>
    </row>
    <row r="894" spans="2:5" ht="12.75">
      <c r="B894" s="74"/>
      <c r="C894" s="74"/>
      <c r="D894" s="124"/>
      <c r="E894" s="124"/>
    </row>
    <row r="895" spans="2:5" ht="12.75">
      <c r="B895" s="74"/>
      <c r="C895" s="74"/>
      <c r="D895" s="124"/>
      <c r="E895" s="124"/>
    </row>
    <row r="896" spans="2:5" ht="12.75">
      <c r="B896" s="74"/>
      <c r="C896" s="74"/>
      <c r="D896" s="124"/>
      <c r="E896" s="124"/>
    </row>
    <row r="897" spans="2:5" ht="12.75">
      <c r="B897" s="74"/>
      <c r="C897" s="74"/>
      <c r="D897" s="124"/>
      <c r="E897" s="124"/>
    </row>
    <row r="898" spans="2:5" ht="12.75">
      <c r="B898" s="74"/>
      <c r="C898" s="74"/>
      <c r="D898" s="124"/>
      <c r="E898" s="124"/>
    </row>
    <row r="899" spans="2:5" ht="12.75">
      <c r="B899" s="74"/>
      <c r="C899" s="74"/>
      <c r="D899" s="124"/>
      <c r="E899" s="124"/>
    </row>
    <row r="900" spans="2:5" ht="12.75">
      <c r="B900" s="74"/>
      <c r="C900" s="74"/>
      <c r="D900" s="124"/>
      <c r="E900" s="124"/>
    </row>
    <row r="901" spans="2:5" ht="12.75">
      <c r="B901" s="74"/>
      <c r="C901" s="74"/>
      <c r="D901" s="124"/>
      <c r="E901" s="124"/>
    </row>
    <row r="902" spans="2:5" ht="12.75">
      <c r="B902" s="74"/>
      <c r="C902" s="74"/>
      <c r="D902" s="124"/>
      <c r="E902" s="124"/>
    </row>
    <row r="903" spans="2:5" ht="12.75">
      <c r="B903" s="74"/>
      <c r="C903" s="74"/>
      <c r="D903" s="124"/>
      <c r="E903" s="124"/>
    </row>
    <row r="904" spans="2:5" ht="12.75">
      <c r="B904" s="74"/>
      <c r="C904" s="74"/>
      <c r="D904" s="124"/>
      <c r="E904" s="124"/>
    </row>
    <row r="905" spans="2:5" ht="12.75">
      <c r="B905" s="74"/>
      <c r="C905" s="74"/>
      <c r="D905" s="124"/>
      <c r="E905" s="124"/>
    </row>
    <row r="906" spans="2:5" ht="12.75">
      <c r="B906" s="74"/>
      <c r="C906" s="74"/>
      <c r="D906" s="124"/>
      <c r="E906" s="124"/>
    </row>
    <row r="907" spans="2:5" ht="12.75">
      <c r="B907" s="74"/>
      <c r="C907" s="74"/>
      <c r="D907" s="124"/>
      <c r="E907" s="124"/>
    </row>
    <row r="908" spans="2:5" ht="12.75">
      <c r="B908" s="74"/>
      <c r="C908" s="74"/>
      <c r="D908" s="124"/>
      <c r="E908" s="124"/>
    </row>
    <row r="909" spans="2:5" ht="12.75">
      <c r="B909" s="74"/>
      <c r="C909" s="74"/>
      <c r="D909" s="124"/>
      <c r="E909" s="124"/>
    </row>
    <row r="910" spans="2:5" ht="12.75">
      <c r="B910" s="74"/>
      <c r="C910" s="74"/>
      <c r="D910" s="124"/>
      <c r="E910" s="124"/>
    </row>
    <row r="911" spans="2:5" ht="12.75">
      <c r="B911" s="74"/>
      <c r="C911" s="74"/>
      <c r="D911" s="124"/>
      <c r="E911" s="124"/>
    </row>
    <row r="912" spans="2:5" ht="12.75">
      <c r="B912" s="74"/>
      <c r="C912" s="74"/>
      <c r="D912" s="124"/>
      <c r="E912" s="124"/>
    </row>
    <row r="913" spans="2:5" ht="12.75">
      <c r="B913" s="74"/>
      <c r="C913" s="74"/>
      <c r="D913" s="124"/>
      <c r="E913" s="124"/>
    </row>
    <row r="914" spans="2:5" ht="12.75">
      <c r="B914" s="74"/>
      <c r="C914" s="74"/>
      <c r="D914" s="124"/>
      <c r="E914" s="124"/>
    </row>
    <row r="915" spans="2:5" ht="12.75">
      <c r="B915" s="74"/>
      <c r="C915" s="74"/>
      <c r="D915" s="124"/>
      <c r="E915" s="124"/>
    </row>
    <row r="916" spans="2:5" ht="12.75">
      <c r="B916" s="74"/>
      <c r="C916" s="74"/>
      <c r="D916" s="124"/>
      <c r="E916" s="124"/>
    </row>
    <row r="917" spans="2:5" ht="12.75">
      <c r="B917" s="74"/>
      <c r="C917" s="74"/>
      <c r="D917" s="124"/>
      <c r="E917" s="124"/>
    </row>
    <row r="918" spans="2:5" ht="12.75">
      <c r="B918" s="74"/>
      <c r="C918" s="74"/>
      <c r="D918" s="124"/>
      <c r="E918" s="124"/>
    </row>
    <row r="919" spans="2:5" ht="12.75">
      <c r="B919" s="74"/>
      <c r="C919" s="74"/>
      <c r="D919" s="124"/>
      <c r="E919" s="124"/>
    </row>
    <row r="920" spans="2:5" ht="12.75">
      <c r="B920" s="74"/>
      <c r="C920" s="74"/>
      <c r="D920" s="124"/>
      <c r="E920" s="124"/>
    </row>
    <row r="921" spans="2:5" ht="12.75">
      <c r="B921" s="74"/>
      <c r="C921" s="74"/>
      <c r="D921" s="124"/>
      <c r="E921" s="124"/>
    </row>
    <row r="922" spans="2:5" ht="12.75">
      <c r="B922" s="74"/>
      <c r="C922" s="74"/>
      <c r="D922" s="124"/>
      <c r="E922" s="124"/>
    </row>
    <row r="923" spans="2:5" ht="12.75">
      <c r="B923" s="74"/>
      <c r="C923" s="74"/>
      <c r="D923" s="124"/>
      <c r="E923" s="124"/>
    </row>
    <row r="924" spans="2:5" ht="12.75">
      <c r="B924" s="74"/>
      <c r="C924" s="74"/>
      <c r="D924" s="124"/>
      <c r="E924" s="124"/>
    </row>
    <row r="925" spans="2:5" ht="12.75">
      <c r="B925" s="74"/>
      <c r="C925" s="74"/>
      <c r="D925" s="124"/>
      <c r="E925" s="124"/>
    </row>
    <row r="926" spans="2:5" ht="12.75">
      <c r="B926" s="74"/>
      <c r="C926" s="74"/>
      <c r="D926" s="124"/>
      <c r="E926" s="124"/>
    </row>
    <row r="927" spans="2:5" ht="12.75">
      <c r="B927" s="74"/>
      <c r="C927" s="74"/>
      <c r="D927" s="124"/>
      <c r="E927" s="124"/>
    </row>
    <row r="928" spans="2:5" ht="12.75">
      <c r="B928" s="74"/>
      <c r="C928" s="74"/>
      <c r="D928" s="124"/>
      <c r="E928" s="124"/>
    </row>
    <row r="929" spans="2:5" ht="12.75">
      <c r="B929" s="74"/>
      <c r="C929" s="74"/>
      <c r="D929" s="124"/>
      <c r="E929" s="124"/>
    </row>
    <row r="930" spans="2:5" ht="12.75">
      <c r="B930" s="74"/>
      <c r="C930" s="74"/>
      <c r="D930" s="124"/>
      <c r="E930" s="124"/>
    </row>
    <row r="931" spans="2:5" ht="12.75">
      <c r="B931" s="74"/>
      <c r="C931" s="74"/>
      <c r="D931" s="124"/>
      <c r="E931" s="124"/>
    </row>
    <row r="932" spans="2:5" ht="12.75">
      <c r="B932" s="74"/>
      <c r="C932" s="74"/>
      <c r="D932" s="124"/>
      <c r="E932" s="124"/>
    </row>
    <row r="933" spans="2:5" ht="12.75">
      <c r="B933" s="74"/>
      <c r="C933" s="74"/>
      <c r="D933" s="124"/>
      <c r="E933" s="124"/>
    </row>
    <row r="934" spans="2:5" ht="12.75">
      <c r="B934" s="74"/>
      <c r="C934" s="74"/>
      <c r="D934" s="124"/>
      <c r="E934" s="124"/>
    </row>
    <row r="935" spans="2:5" ht="12.75">
      <c r="B935" s="74"/>
      <c r="C935" s="74"/>
      <c r="D935" s="124"/>
      <c r="E935" s="124"/>
    </row>
    <row r="936" spans="2:5" ht="12.75">
      <c r="B936" s="74"/>
      <c r="C936" s="74"/>
      <c r="D936" s="124"/>
      <c r="E936" s="124"/>
    </row>
    <row r="937" spans="2:5" ht="12.75">
      <c r="B937" s="74"/>
      <c r="C937" s="74"/>
      <c r="D937" s="124"/>
      <c r="E937" s="124"/>
    </row>
    <row r="938" spans="2:5" ht="12.75">
      <c r="B938" s="74"/>
      <c r="C938" s="74"/>
      <c r="D938" s="124"/>
      <c r="E938" s="124"/>
    </row>
    <row r="939" spans="2:5" ht="12.75">
      <c r="B939" s="74"/>
      <c r="C939" s="74"/>
      <c r="D939" s="124"/>
      <c r="E939" s="124"/>
    </row>
    <row r="940" spans="2:5" ht="12.75">
      <c r="B940" s="74"/>
      <c r="C940" s="74"/>
      <c r="D940" s="124"/>
      <c r="E940" s="124"/>
    </row>
    <row r="941" spans="2:5" ht="12.75">
      <c r="B941" s="74"/>
      <c r="C941" s="74"/>
      <c r="D941" s="124"/>
      <c r="E941" s="124"/>
    </row>
    <row r="942" spans="2:5" ht="12.75">
      <c r="B942" s="74"/>
      <c r="C942" s="74"/>
      <c r="D942" s="124"/>
      <c r="E942" s="124"/>
    </row>
    <row r="943" spans="2:5" ht="12.75">
      <c r="B943" s="74"/>
      <c r="C943" s="74"/>
      <c r="D943" s="124"/>
      <c r="E943" s="124"/>
    </row>
    <row r="944" spans="2:5" ht="12.75">
      <c r="B944" s="74"/>
      <c r="C944" s="74"/>
      <c r="D944" s="124"/>
      <c r="E944" s="124"/>
    </row>
    <row r="945" spans="2:5" ht="12.75">
      <c r="B945" s="74"/>
      <c r="C945" s="74"/>
      <c r="D945" s="124"/>
      <c r="E945" s="124"/>
    </row>
    <row r="946" spans="2:5" ht="12.75">
      <c r="B946" s="74"/>
      <c r="C946" s="74"/>
      <c r="D946" s="124"/>
      <c r="E946" s="124"/>
    </row>
    <row r="947" spans="2:5" ht="12.75">
      <c r="B947" s="74"/>
      <c r="C947" s="74"/>
      <c r="D947" s="124"/>
      <c r="E947" s="124"/>
    </row>
    <row r="948" spans="2:5" ht="12.75">
      <c r="B948" s="74"/>
      <c r="C948" s="74"/>
      <c r="D948" s="124"/>
      <c r="E948" s="124"/>
    </row>
    <row r="949" spans="2:5" ht="12.75">
      <c r="B949" s="74"/>
      <c r="C949" s="74"/>
      <c r="D949" s="124"/>
      <c r="E949" s="124"/>
    </row>
    <row r="950" spans="2:5" ht="12.75">
      <c r="B950" s="74"/>
      <c r="C950" s="74"/>
      <c r="D950" s="124"/>
      <c r="E950" s="124"/>
    </row>
    <row r="951" spans="2:5" ht="12.75">
      <c r="B951" s="74"/>
      <c r="C951" s="74"/>
      <c r="D951" s="124"/>
      <c r="E951" s="124"/>
    </row>
    <row r="952" spans="2:5" ht="12.75">
      <c r="B952" s="74"/>
      <c r="C952" s="74"/>
      <c r="D952" s="124"/>
      <c r="E952" s="124"/>
    </row>
    <row r="953" spans="2:5" ht="12.75">
      <c r="B953" s="74"/>
      <c r="C953" s="74"/>
      <c r="D953" s="124"/>
      <c r="E953" s="124"/>
    </row>
    <row r="954" spans="2:5" ht="12.75">
      <c r="B954" s="74"/>
      <c r="C954" s="74"/>
      <c r="D954" s="124"/>
      <c r="E954" s="124"/>
    </row>
    <row r="955" spans="2:5" ht="12.75">
      <c r="B955" s="74"/>
      <c r="C955" s="74"/>
      <c r="D955" s="124"/>
      <c r="E955" s="124"/>
    </row>
    <row r="956" spans="2:5" ht="12.75">
      <c r="B956" s="74"/>
      <c r="C956" s="74"/>
      <c r="D956" s="124"/>
      <c r="E956" s="124"/>
    </row>
    <row r="957" spans="2:5" ht="12.75">
      <c r="B957" s="74"/>
      <c r="C957" s="74"/>
      <c r="D957" s="124"/>
      <c r="E957" s="124"/>
    </row>
    <row r="958" spans="2:5" ht="12.75">
      <c r="B958" s="74"/>
      <c r="C958" s="74"/>
      <c r="D958" s="124"/>
      <c r="E958" s="124"/>
    </row>
    <row r="959" spans="2:5" ht="12.75">
      <c r="B959" s="74"/>
      <c r="C959" s="74"/>
      <c r="D959" s="124"/>
      <c r="E959" s="124"/>
    </row>
    <row r="960" spans="2:5" ht="12.75">
      <c r="B960" s="74"/>
      <c r="C960" s="74"/>
      <c r="D960" s="124"/>
      <c r="E960" s="124"/>
    </row>
    <row r="961" spans="2:5" ht="12.75">
      <c r="B961" s="74"/>
      <c r="C961" s="74"/>
      <c r="D961" s="124"/>
      <c r="E961" s="124"/>
    </row>
    <row r="962" spans="2:5" ht="12.75">
      <c r="B962" s="74"/>
      <c r="C962" s="74"/>
      <c r="D962" s="124"/>
      <c r="E962" s="124"/>
    </row>
    <row r="963" spans="2:5" ht="12.75">
      <c r="B963" s="74"/>
      <c r="C963" s="74"/>
      <c r="D963" s="124"/>
      <c r="E963" s="124"/>
    </row>
    <row r="964" spans="2:5" ht="12.75">
      <c r="B964" s="74"/>
      <c r="C964" s="74"/>
      <c r="D964" s="124"/>
      <c r="E964" s="124"/>
    </row>
    <row r="965" spans="2:5" ht="12.75">
      <c r="B965" s="74"/>
      <c r="C965" s="74"/>
      <c r="D965" s="124"/>
      <c r="E965" s="124"/>
    </row>
    <row r="966" spans="2:5" ht="12.75">
      <c r="B966" s="74"/>
      <c r="C966" s="74"/>
      <c r="D966" s="124"/>
      <c r="E966" s="124"/>
    </row>
    <row r="967" spans="2:5" ht="12.75">
      <c r="B967" s="74"/>
      <c r="C967" s="74"/>
      <c r="D967" s="124"/>
      <c r="E967" s="124"/>
    </row>
    <row r="968" spans="2:5" ht="12.75">
      <c r="B968" s="74"/>
      <c r="C968" s="74"/>
      <c r="D968" s="124"/>
      <c r="E968" s="124"/>
    </row>
    <row r="969" spans="2:5" ht="12.75">
      <c r="B969" s="74"/>
      <c r="C969" s="74"/>
      <c r="D969" s="124"/>
      <c r="E969" s="124"/>
    </row>
    <row r="970" spans="2:5" ht="12.75">
      <c r="B970" s="74"/>
      <c r="C970" s="74"/>
      <c r="D970" s="124"/>
      <c r="E970" s="124"/>
    </row>
    <row r="971" spans="2:5" ht="12.75">
      <c r="B971" s="74"/>
      <c r="C971" s="74"/>
      <c r="D971" s="124"/>
      <c r="E971" s="124"/>
    </row>
    <row r="972" spans="2:5" ht="12.75">
      <c r="B972" s="74"/>
      <c r="C972" s="74"/>
      <c r="D972" s="124"/>
      <c r="E972" s="124"/>
    </row>
    <row r="973" spans="2:5" ht="12.75">
      <c r="B973" s="74"/>
      <c r="C973" s="74"/>
      <c r="D973" s="124"/>
      <c r="E973" s="124"/>
    </row>
    <row r="974" spans="2:5" ht="12.75">
      <c r="B974" s="74"/>
      <c r="C974" s="74"/>
      <c r="D974" s="124"/>
      <c r="E974" s="124"/>
    </row>
    <row r="975" spans="2:5" ht="12.75">
      <c r="B975" s="74"/>
      <c r="C975" s="74"/>
      <c r="D975" s="124"/>
      <c r="E975" s="124"/>
    </row>
    <row r="976" spans="2:5" ht="12.75">
      <c r="B976" s="74"/>
      <c r="C976" s="74"/>
      <c r="D976" s="124"/>
      <c r="E976" s="124"/>
    </row>
    <row r="977" spans="2:5" ht="12.75">
      <c r="B977" s="74"/>
      <c r="C977" s="74"/>
      <c r="D977" s="124"/>
      <c r="E977" s="124"/>
    </row>
    <row r="978" spans="2:5" ht="12.75">
      <c r="B978" s="74"/>
      <c r="C978" s="74"/>
      <c r="D978" s="124"/>
      <c r="E978" s="124"/>
    </row>
    <row r="979" spans="2:5" ht="12.75">
      <c r="B979" s="74"/>
      <c r="C979" s="74"/>
      <c r="D979" s="124"/>
      <c r="E979" s="124"/>
    </row>
    <row r="980" spans="2:5" ht="12.75">
      <c r="B980" s="74"/>
      <c r="C980" s="74"/>
      <c r="D980" s="124"/>
      <c r="E980" s="124"/>
    </row>
    <row r="981" spans="2:5" ht="12.75">
      <c r="B981" s="74"/>
      <c r="C981" s="74"/>
      <c r="D981" s="124"/>
      <c r="E981" s="124"/>
    </row>
    <row r="982" spans="2:5" ht="12.75">
      <c r="B982" s="74"/>
      <c r="C982" s="74"/>
      <c r="D982" s="124"/>
      <c r="E982" s="124"/>
    </row>
    <row r="983" spans="2:5" ht="12.75">
      <c r="B983" s="74"/>
      <c r="C983" s="74"/>
      <c r="D983" s="124"/>
      <c r="E983" s="124"/>
    </row>
    <row r="984" spans="2:5" ht="12.75">
      <c r="B984" s="74"/>
      <c r="C984" s="74"/>
      <c r="D984" s="124"/>
      <c r="E984" s="124"/>
    </row>
    <row r="985" spans="2:5" ht="12.75">
      <c r="B985" s="74"/>
      <c r="C985" s="74"/>
      <c r="D985" s="124"/>
      <c r="E985" s="124"/>
    </row>
    <row r="986" spans="2:5" ht="12.75">
      <c r="B986" s="74"/>
      <c r="C986" s="74"/>
      <c r="D986" s="124"/>
      <c r="E986" s="124"/>
    </row>
    <row r="987" spans="2:5" ht="12.75">
      <c r="B987" s="74"/>
      <c r="C987" s="74"/>
      <c r="D987" s="124"/>
      <c r="E987" s="124"/>
    </row>
    <row r="988" spans="2:5" ht="12.75">
      <c r="B988" s="74"/>
      <c r="C988" s="74"/>
      <c r="D988" s="124"/>
      <c r="E988" s="124"/>
    </row>
    <row r="989" spans="2:5" ht="12.75">
      <c r="B989" s="74"/>
      <c r="C989" s="74"/>
      <c r="D989" s="124"/>
      <c r="E989" s="124"/>
    </row>
    <row r="990" spans="2:5" ht="12.75">
      <c r="B990" s="74"/>
      <c r="C990" s="74"/>
      <c r="D990" s="124"/>
      <c r="E990" s="124"/>
    </row>
    <row r="991" spans="2:5" ht="12.75">
      <c r="B991" s="74"/>
      <c r="C991" s="74"/>
      <c r="D991" s="124"/>
      <c r="E991" s="124"/>
    </row>
    <row r="992" spans="2:5" ht="12.75">
      <c r="B992" s="74"/>
      <c r="C992" s="74"/>
      <c r="D992" s="124"/>
      <c r="E992" s="124"/>
    </row>
    <row r="993" spans="2:5" ht="12.75">
      <c r="B993" s="74"/>
      <c r="C993" s="74"/>
      <c r="D993" s="124"/>
      <c r="E993" s="124"/>
    </row>
    <row r="994" spans="2:5" ht="12.75">
      <c r="B994" s="74"/>
      <c r="C994" s="74"/>
      <c r="D994" s="124"/>
      <c r="E994" s="124"/>
    </row>
    <row r="995" spans="2:5" ht="12.75">
      <c r="B995" s="74"/>
      <c r="C995" s="74"/>
      <c r="D995" s="124"/>
      <c r="E995" s="124"/>
    </row>
    <row r="996" spans="2:5" ht="12.75">
      <c r="B996" s="74"/>
      <c r="C996" s="74"/>
      <c r="D996" s="124"/>
      <c r="E996" s="124"/>
    </row>
    <row r="997" spans="2:5" ht="12.75">
      <c r="B997" s="74"/>
      <c r="C997" s="74"/>
      <c r="D997" s="124"/>
      <c r="E997" s="124"/>
    </row>
    <row r="998" spans="2:5" ht="12.75">
      <c r="B998" s="74"/>
      <c r="C998" s="74"/>
      <c r="D998" s="124"/>
      <c r="E998" s="124"/>
    </row>
    <row r="999" spans="2:5" ht="12.75">
      <c r="B999" s="74"/>
      <c r="C999" s="74"/>
      <c r="D999" s="124"/>
      <c r="E999" s="124"/>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F940"/>
  <sheetViews>
    <sheetView workbookViewId="0">
      <pane xSplit="4" ySplit="4" topLeftCell="E5" activePane="bottomRight" state="frozen"/>
      <selection pane="topRight" activeCell="E1" sqref="E1"/>
      <selection pane="bottomLeft" activeCell="A5" sqref="A5"/>
      <selection pane="bottomRight" activeCell="E5" sqref="E5"/>
    </sheetView>
  </sheetViews>
  <sheetFormatPr defaultColWidth="12.5703125" defaultRowHeight="15.75" customHeight="1"/>
  <cols>
    <col min="1" max="1" width="7.42578125" customWidth="1"/>
    <col min="2" max="2" width="54" customWidth="1"/>
    <col min="5" max="5" width="14.5703125" hidden="1" customWidth="1"/>
    <col min="6" max="6" width="12.5703125" hidden="1"/>
    <col min="7" max="7" width="22.5703125" hidden="1" customWidth="1"/>
    <col min="8" max="23" width="5.42578125" customWidth="1"/>
    <col min="24" max="24" width="21.85546875" customWidth="1"/>
    <col min="25" max="25" width="36.85546875" customWidth="1"/>
    <col min="26" max="26" width="27.5703125" customWidth="1"/>
    <col min="28" max="28" width="15.5703125" customWidth="1"/>
    <col min="29" max="32" width="16.85546875" customWidth="1"/>
  </cols>
  <sheetData>
    <row r="1" spans="1:32" ht="12.75">
      <c r="A1" s="134"/>
      <c r="B1" s="135"/>
      <c r="C1" s="136"/>
      <c r="D1" s="136"/>
      <c r="E1" s="136"/>
      <c r="F1" s="136"/>
      <c r="G1" s="136"/>
      <c r="H1" s="136"/>
      <c r="I1" s="136"/>
      <c r="J1" s="136"/>
      <c r="K1" s="136"/>
      <c r="L1" s="136"/>
      <c r="M1" s="136"/>
      <c r="N1" s="136"/>
      <c r="O1" s="136"/>
      <c r="P1" s="136"/>
      <c r="Q1" s="136"/>
      <c r="R1" s="136"/>
      <c r="S1" s="136"/>
      <c r="T1" s="136"/>
      <c r="U1" s="136"/>
      <c r="V1" s="136"/>
      <c r="W1" s="136"/>
      <c r="X1" s="137"/>
      <c r="Y1" s="138">
        <f ca="1">SUM(Y2+Z2)</f>
        <v>885</v>
      </c>
      <c r="Z1" s="134"/>
      <c r="AA1" s="136"/>
      <c r="AB1" s="136"/>
      <c r="AC1" s="139"/>
      <c r="AD1" s="139"/>
      <c r="AE1" s="139"/>
      <c r="AF1" s="139"/>
    </row>
    <row r="2" spans="1:32" ht="12.75">
      <c r="A2" s="136"/>
      <c r="B2" s="138">
        <f ca="1">SUBTOTAL(3,B5:B940)</f>
        <v>851</v>
      </c>
      <c r="C2" s="136"/>
      <c r="D2" s="136"/>
      <c r="E2" s="136"/>
      <c r="F2" s="136"/>
      <c r="G2" s="136"/>
      <c r="H2" s="136"/>
      <c r="I2" s="136"/>
      <c r="J2" s="136"/>
      <c r="K2" s="136"/>
      <c r="L2" s="136"/>
      <c r="M2" s="136"/>
      <c r="N2" s="136"/>
      <c r="O2" s="136"/>
      <c r="P2" s="136"/>
      <c r="Q2" s="136"/>
      <c r="R2" s="136"/>
      <c r="S2" s="136"/>
      <c r="T2" s="136"/>
      <c r="U2" s="136"/>
      <c r="V2" s="136"/>
      <c r="W2" s="136"/>
      <c r="X2" s="136">
        <f t="shared" ref="X2:AA2" si="0">SUBTOTAL(3,X5:X940)</f>
        <v>839</v>
      </c>
      <c r="Y2" s="138">
        <f t="shared" ca="1" si="0"/>
        <v>746</v>
      </c>
      <c r="Z2" s="136">
        <f t="shared" si="0"/>
        <v>139</v>
      </c>
      <c r="AA2" s="136">
        <f t="shared" si="0"/>
        <v>7</v>
      </c>
      <c r="AB2" s="136"/>
      <c r="AC2" s="140"/>
      <c r="AD2" s="139"/>
      <c r="AE2" s="139"/>
      <c r="AF2" s="139"/>
    </row>
    <row r="3" spans="1:32" ht="25.5">
      <c r="A3" s="141" t="s">
        <v>320</v>
      </c>
      <c r="B3" s="142" t="s">
        <v>321</v>
      </c>
      <c r="C3" s="141" t="s">
        <v>85</v>
      </c>
      <c r="D3" s="141" t="s">
        <v>92</v>
      </c>
      <c r="E3" s="141" t="s">
        <v>93</v>
      </c>
      <c r="F3" s="141" t="s">
        <v>435</v>
      </c>
      <c r="G3" s="141" t="s">
        <v>323</v>
      </c>
      <c r="H3" s="1476" t="s">
        <v>324</v>
      </c>
      <c r="I3" s="1442"/>
      <c r="J3" s="1442"/>
      <c r="K3" s="1442"/>
      <c r="L3" s="1442"/>
      <c r="M3" s="1442"/>
      <c r="N3" s="1442"/>
      <c r="O3" s="1442"/>
      <c r="P3" s="1442"/>
      <c r="Q3" s="1442"/>
      <c r="R3" s="1442"/>
      <c r="S3" s="1442"/>
      <c r="T3" s="1442"/>
      <c r="U3" s="1442"/>
      <c r="V3" s="1442"/>
      <c r="W3" s="1443"/>
      <c r="X3" s="137"/>
      <c r="Y3" s="138"/>
      <c r="Z3" s="136"/>
      <c r="AA3" s="139"/>
      <c r="AB3" s="136"/>
      <c r="AC3" s="139"/>
      <c r="AD3" s="140"/>
      <c r="AE3" s="140"/>
      <c r="AF3" s="140"/>
    </row>
    <row r="4" spans="1:32" ht="33.75" customHeight="1">
      <c r="A4" s="143" t="s">
        <v>320</v>
      </c>
      <c r="B4" s="144" t="s">
        <v>321</v>
      </c>
      <c r="C4" s="143" t="s">
        <v>85</v>
      </c>
      <c r="D4" s="143" t="s">
        <v>92</v>
      </c>
      <c r="E4" s="143" t="s">
        <v>93</v>
      </c>
      <c r="F4" s="143" t="s">
        <v>435</v>
      </c>
      <c r="G4" s="143" t="s">
        <v>323</v>
      </c>
      <c r="H4" s="143" t="s">
        <v>436</v>
      </c>
      <c r="I4" s="143" t="s">
        <v>326</v>
      </c>
      <c r="J4" s="143" t="s">
        <v>327</v>
      </c>
      <c r="K4" s="143" t="s">
        <v>328</v>
      </c>
      <c r="L4" s="143" t="s">
        <v>437</v>
      </c>
      <c r="M4" s="143" t="s">
        <v>330</v>
      </c>
      <c r="N4" s="143" t="s">
        <v>331</v>
      </c>
      <c r="O4" s="143" t="s">
        <v>438</v>
      </c>
      <c r="P4" s="143" t="s">
        <v>439</v>
      </c>
      <c r="Q4" s="143" t="s">
        <v>334</v>
      </c>
      <c r="R4" s="143" t="s">
        <v>335</v>
      </c>
      <c r="S4" s="143" t="s">
        <v>336</v>
      </c>
      <c r="T4" s="143" t="s">
        <v>440</v>
      </c>
      <c r="U4" s="143" t="s">
        <v>338</v>
      </c>
      <c r="V4" s="143" t="s">
        <v>339</v>
      </c>
      <c r="W4" s="143" t="s">
        <v>340</v>
      </c>
      <c r="X4" s="145" t="s">
        <v>354</v>
      </c>
      <c r="Y4" s="143" t="s">
        <v>89</v>
      </c>
      <c r="Z4" s="143" t="s">
        <v>441</v>
      </c>
      <c r="AA4" s="146" t="s">
        <v>442</v>
      </c>
      <c r="AB4" s="147" t="s">
        <v>443</v>
      </c>
      <c r="AC4" s="148" t="s">
        <v>444</v>
      </c>
      <c r="AD4" s="148"/>
      <c r="AE4" s="148"/>
      <c r="AF4" s="148"/>
    </row>
    <row r="5" spans="1:32" ht="12.75">
      <c r="A5" s="149" t="e">
        <f t="array" aca="1" ref="A5:A855" ca="1">SEQUENCE(COUNTA($B$5:$B940))</f>
        <v>#NAME?</v>
      </c>
      <c r="B5" s="150" t="s">
        <v>445</v>
      </c>
      <c r="C5" s="151">
        <v>1</v>
      </c>
      <c r="D5" s="152" t="s">
        <v>446</v>
      </c>
      <c r="E5" s="149"/>
      <c r="F5" s="153"/>
      <c r="G5" s="152" t="s">
        <v>447</v>
      </c>
      <c r="H5" s="152">
        <v>0</v>
      </c>
      <c r="I5" s="152"/>
      <c r="J5" s="152"/>
      <c r="K5" s="152"/>
      <c r="L5" s="152">
        <v>1</v>
      </c>
      <c r="M5" s="152">
        <v>1</v>
      </c>
      <c r="N5" s="152"/>
      <c r="O5" s="152"/>
      <c r="P5" s="152">
        <v>0</v>
      </c>
      <c r="Q5" s="152"/>
      <c r="R5" s="152"/>
      <c r="S5" s="152"/>
      <c r="T5" s="152">
        <v>0</v>
      </c>
      <c r="U5" s="152"/>
      <c r="V5" s="152"/>
      <c r="W5" s="152"/>
      <c r="X5" s="137" t="s">
        <v>173</v>
      </c>
      <c r="Y5" s="141" t="str">
        <f>DB!$D$194</f>
        <v>Branded Desktop Computer Set</v>
      </c>
      <c r="Z5" s="154"/>
      <c r="AA5" s="149"/>
      <c r="AB5" s="136"/>
      <c r="AC5" s="139"/>
      <c r="AD5" s="139"/>
      <c r="AE5" s="139"/>
      <c r="AF5" s="139"/>
    </row>
    <row r="6" spans="1:32" ht="12.75">
      <c r="A6" s="149" t="e">
        <f ca="1"/>
        <v>#NAME?</v>
      </c>
      <c r="B6" s="150" t="s">
        <v>448</v>
      </c>
      <c r="C6" s="152">
        <v>1</v>
      </c>
      <c r="D6" s="152" t="s">
        <v>446</v>
      </c>
      <c r="E6" s="149"/>
      <c r="F6" s="153"/>
      <c r="G6" s="152" t="s">
        <v>447</v>
      </c>
      <c r="H6" s="152">
        <v>0</v>
      </c>
      <c r="I6" s="152"/>
      <c r="J6" s="152"/>
      <c r="K6" s="152"/>
      <c r="L6" s="152">
        <v>1</v>
      </c>
      <c r="M6" s="152">
        <v>1</v>
      </c>
      <c r="N6" s="152"/>
      <c r="O6" s="152"/>
      <c r="P6" s="152">
        <v>0</v>
      </c>
      <c r="Q6" s="152"/>
      <c r="R6" s="152"/>
      <c r="S6" s="152"/>
      <c r="T6" s="152">
        <v>0</v>
      </c>
      <c r="U6" s="152"/>
      <c r="V6" s="152"/>
      <c r="W6" s="152"/>
      <c r="X6" s="137" t="s">
        <v>173</v>
      </c>
      <c r="Y6" s="141" t="str">
        <f>DB!$D$76</f>
        <v>Dot Matrix Printer 24-Pin</v>
      </c>
      <c r="Z6" s="154"/>
      <c r="AA6" s="149"/>
      <c r="AB6" s="136"/>
      <c r="AC6" s="139"/>
      <c r="AD6" s="139"/>
      <c r="AE6" s="139"/>
      <c r="AF6" s="139"/>
    </row>
    <row r="7" spans="1:32" ht="12.75">
      <c r="A7" s="149" t="e">
        <f ca="1"/>
        <v>#NAME?</v>
      </c>
      <c r="B7" s="150" t="s">
        <v>449</v>
      </c>
      <c r="C7" s="152">
        <v>2</v>
      </c>
      <c r="D7" s="152" t="s">
        <v>446</v>
      </c>
      <c r="E7" s="153"/>
      <c r="F7" s="153"/>
      <c r="G7" s="152" t="s">
        <v>447</v>
      </c>
      <c r="H7" s="152">
        <v>0</v>
      </c>
      <c r="I7" s="152"/>
      <c r="J7" s="152"/>
      <c r="K7" s="152"/>
      <c r="L7" s="152">
        <v>1</v>
      </c>
      <c r="M7" s="152">
        <v>1</v>
      </c>
      <c r="N7" s="152"/>
      <c r="O7" s="152"/>
      <c r="P7" s="152">
        <v>0</v>
      </c>
      <c r="Q7" s="152"/>
      <c r="R7" s="152"/>
      <c r="S7" s="152"/>
      <c r="T7" s="152">
        <v>0</v>
      </c>
      <c r="U7" s="152"/>
      <c r="V7" s="152"/>
      <c r="W7" s="152"/>
      <c r="X7" s="137" t="s">
        <v>173</v>
      </c>
      <c r="Y7" s="155" t="str">
        <f>DB!$D$73</f>
        <v>Webcam Professional Full HD</v>
      </c>
      <c r="Z7" s="154"/>
      <c r="AA7" s="149"/>
      <c r="AB7" s="136"/>
      <c r="AC7" s="139"/>
      <c r="AD7" s="139"/>
      <c r="AE7" s="139"/>
      <c r="AF7" s="139"/>
    </row>
    <row r="8" spans="1:32" ht="12.75">
      <c r="A8" s="149" t="e">
        <f ca="1"/>
        <v>#NAME?</v>
      </c>
      <c r="B8" s="150" t="s">
        <v>450</v>
      </c>
      <c r="C8" s="152">
        <v>3</v>
      </c>
      <c r="D8" s="152" t="s">
        <v>446</v>
      </c>
      <c r="E8" s="153"/>
      <c r="F8" s="153"/>
      <c r="G8" s="152" t="s">
        <v>447</v>
      </c>
      <c r="H8" s="152">
        <v>0</v>
      </c>
      <c r="I8" s="152"/>
      <c r="J8" s="152"/>
      <c r="K8" s="152"/>
      <c r="L8" s="152">
        <v>2</v>
      </c>
      <c r="M8" s="152">
        <v>2</v>
      </c>
      <c r="N8" s="152"/>
      <c r="O8" s="152"/>
      <c r="P8" s="152">
        <v>0</v>
      </c>
      <c r="Q8" s="152"/>
      <c r="R8" s="152"/>
      <c r="S8" s="152"/>
      <c r="T8" s="152">
        <v>0</v>
      </c>
      <c r="U8" s="152"/>
      <c r="V8" s="152"/>
      <c r="W8" s="152"/>
      <c r="X8" s="137" t="s">
        <v>173</v>
      </c>
      <c r="Y8" s="155" t="str">
        <f>DB!$D$6</f>
        <v>UPS 650VA, AVR, 230V</v>
      </c>
      <c r="Z8" s="154"/>
      <c r="AA8" s="149"/>
      <c r="AB8" s="136"/>
      <c r="AC8" s="139"/>
      <c r="AD8" s="139"/>
      <c r="AE8" s="139"/>
      <c r="AF8" s="139"/>
    </row>
    <row r="9" spans="1:32" ht="12.75">
      <c r="A9" s="149" t="e">
        <f ca="1"/>
        <v>#NAME?</v>
      </c>
      <c r="B9" s="150" t="s">
        <v>451</v>
      </c>
      <c r="C9" s="152">
        <v>2</v>
      </c>
      <c r="D9" s="152" t="s">
        <v>446</v>
      </c>
      <c r="E9" s="153"/>
      <c r="F9" s="153"/>
      <c r="G9" s="152" t="s">
        <v>447</v>
      </c>
      <c r="H9" s="152">
        <v>0</v>
      </c>
      <c r="I9" s="152"/>
      <c r="J9" s="152"/>
      <c r="K9" s="152"/>
      <c r="L9" s="152">
        <v>1</v>
      </c>
      <c r="M9" s="152">
        <v>1</v>
      </c>
      <c r="N9" s="152"/>
      <c r="O9" s="152"/>
      <c r="P9" s="152">
        <v>0</v>
      </c>
      <c r="Q9" s="152"/>
      <c r="R9" s="152"/>
      <c r="S9" s="152"/>
      <c r="T9" s="152">
        <v>0</v>
      </c>
      <c r="U9" s="152"/>
      <c r="V9" s="152"/>
      <c r="W9" s="152"/>
      <c r="X9" s="137" t="s">
        <v>173</v>
      </c>
      <c r="Y9" s="155" t="str">
        <f>DB!$D$83</f>
        <v>USB Computer Headset</v>
      </c>
      <c r="Z9" s="154"/>
      <c r="AA9" s="149"/>
      <c r="AB9" s="136"/>
      <c r="AC9" s="139"/>
      <c r="AD9" s="139"/>
      <c r="AE9" s="139"/>
      <c r="AF9" s="139"/>
    </row>
    <row r="10" spans="1:32" ht="12.75">
      <c r="A10" s="149" t="e">
        <f ca="1"/>
        <v>#NAME?</v>
      </c>
      <c r="B10" s="150" t="s">
        <v>452</v>
      </c>
      <c r="C10" s="151">
        <v>1</v>
      </c>
      <c r="D10" s="151" t="s">
        <v>446</v>
      </c>
      <c r="E10" s="153"/>
      <c r="F10" s="153"/>
      <c r="G10" s="152" t="s">
        <v>447</v>
      </c>
      <c r="H10" s="152">
        <v>0</v>
      </c>
      <c r="I10" s="152"/>
      <c r="J10" s="152"/>
      <c r="K10" s="152"/>
      <c r="L10" s="152">
        <v>1</v>
      </c>
      <c r="M10" s="152">
        <v>1</v>
      </c>
      <c r="N10" s="152"/>
      <c r="O10" s="152"/>
      <c r="P10" s="152">
        <v>0</v>
      </c>
      <c r="Q10" s="152"/>
      <c r="R10" s="152"/>
      <c r="S10" s="152"/>
      <c r="T10" s="152">
        <v>0</v>
      </c>
      <c r="U10" s="152"/>
      <c r="V10" s="152"/>
      <c r="W10" s="152"/>
      <c r="X10" s="137" t="s">
        <v>173</v>
      </c>
      <c r="Y10" s="155"/>
      <c r="Z10" s="154" t="s">
        <v>453</v>
      </c>
      <c r="AA10" s="149"/>
      <c r="AB10" s="136"/>
      <c r="AC10" s="139"/>
      <c r="AD10" s="139"/>
      <c r="AE10" s="139"/>
      <c r="AF10" s="139"/>
    </row>
    <row r="11" spans="1:32" ht="25.5">
      <c r="A11" s="149" t="e">
        <f ca="1"/>
        <v>#NAME?</v>
      </c>
      <c r="B11" s="156" t="s">
        <v>454</v>
      </c>
      <c r="C11" s="151">
        <v>60</v>
      </c>
      <c r="D11" s="151" t="s">
        <v>446</v>
      </c>
      <c r="E11" s="153"/>
      <c r="F11" s="153"/>
      <c r="G11" s="152" t="s">
        <v>447</v>
      </c>
      <c r="H11" s="152">
        <v>30</v>
      </c>
      <c r="I11" s="152">
        <v>30</v>
      </c>
      <c r="J11" s="152"/>
      <c r="K11" s="152"/>
      <c r="L11" s="152">
        <v>30</v>
      </c>
      <c r="M11" s="152">
        <v>30</v>
      </c>
      <c r="N11" s="152"/>
      <c r="O11" s="152"/>
      <c r="P11" s="152">
        <v>30</v>
      </c>
      <c r="Q11" s="152">
        <v>30</v>
      </c>
      <c r="R11" s="152"/>
      <c r="S11" s="152"/>
      <c r="T11" s="152">
        <v>30</v>
      </c>
      <c r="U11" s="152">
        <v>30</v>
      </c>
      <c r="V11" s="152"/>
      <c r="W11" s="152"/>
      <c r="X11" s="137" t="s">
        <v>173</v>
      </c>
      <c r="Y11" s="155" t="str">
        <f>DB!$D$177</f>
        <v>EPSON LQ310 Ribbon Cartridge (SO15634)</v>
      </c>
      <c r="Z11" s="154"/>
      <c r="AA11" s="149"/>
      <c r="AB11" s="136"/>
      <c r="AC11" s="139"/>
      <c r="AD11" s="139"/>
      <c r="AE11" s="139"/>
      <c r="AF11" s="139"/>
    </row>
    <row r="12" spans="1:32" ht="25.5">
      <c r="A12" s="149" t="e">
        <f ca="1"/>
        <v>#NAME?</v>
      </c>
      <c r="B12" s="156" t="s">
        <v>455</v>
      </c>
      <c r="C12" s="151">
        <v>12</v>
      </c>
      <c r="D12" s="151" t="s">
        <v>446</v>
      </c>
      <c r="E12" s="149"/>
      <c r="F12" s="157"/>
      <c r="G12" s="152" t="s">
        <v>447</v>
      </c>
      <c r="H12" s="152">
        <v>3</v>
      </c>
      <c r="I12" s="152">
        <v>3</v>
      </c>
      <c r="J12" s="152"/>
      <c r="K12" s="152"/>
      <c r="L12" s="152">
        <v>0</v>
      </c>
      <c r="M12" s="152">
        <v>0</v>
      </c>
      <c r="N12" s="152"/>
      <c r="O12" s="152"/>
      <c r="P12" s="152">
        <v>3</v>
      </c>
      <c r="Q12" s="152">
        <v>3</v>
      </c>
      <c r="R12" s="152"/>
      <c r="S12" s="152"/>
      <c r="T12" s="152">
        <v>0</v>
      </c>
      <c r="U12" s="152">
        <v>0</v>
      </c>
      <c r="V12" s="152"/>
      <c r="W12" s="152"/>
      <c r="X12" s="137" t="s">
        <v>173</v>
      </c>
      <c r="Y12" s="155" t="str">
        <f>DB!$D$238</f>
        <v>Toner Cartridge for the existing ECOSYS M2535DN/L</v>
      </c>
      <c r="Z12" s="155"/>
      <c r="AA12" s="149"/>
      <c r="AB12" s="136"/>
      <c r="AC12" s="139"/>
      <c r="AD12" s="139"/>
      <c r="AE12" s="139"/>
      <c r="AF12" s="139"/>
    </row>
    <row r="13" spans="1:32" ht="12.75">
      <c r="A13" s="149" t="e">
        <f ca="1"/>
        <v>#NAME?</v>
      </c>
      <c r="B13" s="156" t="s">
        <v>456</v>
      </c>
      <c r="C13" s="151">
        <v>2</v>
      </c>
      <c r="D13" s="151" t="s">
        <v>446</v>
      </c>
      <c r="E13" s="149"/>
      <c r="F13" s="157"/>
      <c r="G13" s="152" t="s">
        <v>447</v>
      </c>
      <c r="H13" s="152">
        <v>1</v>
      </c>
      <c r="I13" s="152">
        <v>1</v>
      </c>
      <c r="J13" s="152"/>
      <c r="K13" s="152"/>
      <c r="L13" s="152">
        <v>0</v>
      </c>
      <c r="M13" s="152"/>
      <c r="N13" s="152"/>
      <c r="O13" s="152"/>
      <c r="P13" s="152">
        <v>1</v>
      </c>
      <c r="Q13" s="152">
        <v>1</v>
      </c>
      <c r="R13" s="152"/>
      <c r="S13" s="152"/>
      <c r="T13" s="152">
        <v>0</v>
      </c>
      <c r="U13" s="152"/>
      <c r="V13" s="152"/>
      <c r="W13" s="152"/>
      <c r="X13" s="137" t="s">
        <v>173</v>
      </c>
      <c r="Y13" s="155"/>
      <c r="Z13" s="155" t="s">
        <v>457</v>
      </c>
      <c r="AA13" s="149"/>
      <c r="AB13" s="136"/>
      <c r="AC13" s="139"/>
      <c r="AD13" s="139"/>
      <c r="AE13" s="139"/>
      <c r="AF13" s="139"/>
    </row>
    <row r="14" spans="1:32" ht="25.5">
      <c r="A14" s="149" t="e">
        <f ca="1"/>
        <v>#NAME?</v>
      </c>
      <c r="B14" s="156" t="s">
        <v>458</v>
      </c>
      <c r="C14" s="151">
        <v>2</v>
      </c>
      <c r="D14" s="151" t="s">
        <v>446</v>
      </c>
      <c r="E14" s="149"/>
      <c r="F14" s="157"/>
      <c r="G14" s="152" t="s">
        <v>447</v>
      </c>
      <c r="H14" s="152">
        <v>1</v>
      </c>
      <c r="I14" s="152">
        <v>1</v>
      </c>
      <c r="J14" s="152"/>
      <c r="K14" s="152"/>
      <c r="L14" s="152">
        <v>0</v>
      </c>
      <c r="M14" s="152"/>
      <c r="N14" s="152"/>
      <c r="O14" s="152"/>
      <c r="P14" s="152">
        <v>1</v>
      </c>
      <c r="Q14" s="152">
        <v>1</v>
      </c>
      <c r="R14" s="152"/>
      <c r="S14" s="152"/>
      <c r="T14" s="152">
        <v>0</v>
      </c>
      <c r="U14" s="152"/>
      <c r="V14" s="152"/>
      <c r="W14" s="152"/>
      <c r="X14" s="137" t="s">
        <v>173</v>
      </c>
      <c r="Y14" s="155" t="str">
        <f>DB!$D$248</f>
        <v>Maintenance Kit for the existing ECOSYS M2535DN/L</v>
      </c>
      <c r="Z14" s="155"/>
      <c r="AA14" s="149"/>
      <c r="AB14" s="136"/>
      <c r="AC14" s="139"/>
      <c r="AD14" s="139"/>
      <c r="AE14" s="139"/>
      <c r="AF14" s="139"/>
    </row>
    <row r="15" spans="1:32" ht="25.5">
      <c r="A15" s="149" t="e">
        <f ca="1"/>
        <v>#NAME?</v>
      </c>
      <c r="B15" s="156" t="s">
        <v>459</v>
      </c>
      <c r="C15" s="151">
        <v>10</v>
      </c>
      <c r="D15" s="151" t="s">
        <v>446</v>
      </c>
      <c r="E15" s="149"/>
      <c r="F15" s="157"/>
      <c r="G15" s="152" t="s">
        <v>447</v>
      </c>
      <c r="H15" s="152">
        <v>5</v>
      </c>
      <c r="I15" s="152">
        <v>5</v>
      </c>
      <c r="J15" s="152"/>
      <c r="K15" s="152"/>
      <c r="L15" s="152">
        <v>5</v>
      </c>
      <c r="M15" s="152">
        <v>5</v>
      </c>
      <c r="N15" s="152"/>
      <c r="O15" s="152"/>
      <c r="P15" s="152">
        <v>5</v>
      </c>
      <c r="Q15" s="152">
        <v>5</v>
      </c>
      <c r="R15" s="152"/>
      <c r="S15" s="152"/>
      <c r="T15" s="152">
        <v>5</v>
      </c>
      <c r="U15" s="152">
        <v>5</v>
      </c>
      <c r="V15" s="152"/>
      <c r="W15" s="152"/>
      <c r="X15" s="137" t="s">
        <v>173</v>
      </c>
      <c r="Y15" s="155" t="str">
        <f>DB!$D$245</f>
        <v>Toner Cartridge for the existing ECOSYS M4125IDN</v>
      </c>
      <c r="Z15" s="155"/>
      <c r="AA15" s="149"/>
      <c r="AB15" s="136"/>
      <c r="AC15" s="139"/>
      <c r="AD15" s="139"/>
      <c r="AE15" s="139"/>
      <c r="AF15" s="139"/>
    </row>
    <row r="16" spans="1:32" ht="25.5">
      <c r="A16" s="149" t="e">
        <f ca="1"/>
        <v>#NAME?</v>
      </c>
      <c r="B16" s="156" t="s">
        <v>460</v>
      </c>
      <c r="C16" s="151">
        <v>2</v>
      </c>
      <c r="D16" s="151" t="s">
        <v>446</v>
      </c>
      <c r="E16" s="149"/>
      <c r="F16" s="157"/>
      <c r="G16" s="152" t="s">
        <v>447</v>
      </c>
      <c r="H16" s="152">
        <v>1</v>
      </c>
      <c r="I16" s="152">
        <v>1</v>
      </c>
      <c r="J16" s="152"/>
      <c r="K16" s="152"/>
      <c r="L16" s="152">
        <v>0</v>
      </c>
      <c r="M16" s="152"/>
      <c r="N16" s="152"/>
      <c r="O16" s="152"/>
      <c r="P16" s="152">
        <v>1</v>
      </c>
      <c r="Q16" s="152">
        <v>1</v>
      </c>
      <c r="R16" s="152"/>
      <c r="S16" s="152"/>
      <c r="T16" s="152">
        <v>0</v>
      </c>
      <c r="U16" s="152"/>
      <c r="V16" s="152"/>
      <c r="W16" s="152"/>
      <c r="X16" s="137" t="s">
        <v>173</v>
      </c>
      <c r="Y16" s="155" t="str">
        <f>DB!$D$256</f>
        <v>Maintenance Kit for the existing ECOSYS M4125IDN</v>
      </c>
      <c r="Z16" s="155"/>
      <c r="AA16" s="149"/>
      <c r="AB16" s="136"/>
      <c r="AC16" s="139"/>
      <c r="AD16" s="139"/>
      <c r="AE16" s="139"/>
      <c r="AF16" s="139"/>
    </row>
    <row r="17" spans="1:32" ht="25.5">
      <c r="A17" s="149" t="e">
        <f ca="1"/>
        <v>#NAME?</v>
      </c>
      <c r="B17" s="156" t="s">
        <v>461</v>
      </c>
      <c r="C17" s="151">
        <v>16</v>
      </c>
      <c r="D17" s="151" t="s">
        <v>103</v>
      </c>
      <c r="E17" s="149"/>
      <c r="F17" s="157"/>
      <c r="G17" s="152" t="s">
        <v>447</v>
      </c>
      <c r="H17" s="151">
        <v>6</v>
      </c>
      <c r="I17" s="151">
        <v>2</v>
      </c>
      <c r="J17" s="151">
        <v>2</v>
      </c>
      <c r="K17" s="151">
        <v>2</v>
      </c>
      <c r="L17" s="151">
        <v>3</v>
      </c>
      <c r="M17" s="151">
        <v>1</v>
      </c>
      <c r="N17" s="151">
        <v>1</v>
      </c>
      <c r="O17" s="151">
        <v>1</v>
      </c>
      <c r="P17" s="151">
        <v>3</v>
      </c>
      <c r="Q17" s="151">
        <v>1</v>
      </c>
      <c r="R17" s="151">
        <v>1</v>
      </c>
      <c r="S17" s="151">
        <v>1</v>
      </c>
      <c r="T17" s="151">
        <v>4</v>
      </c>
      <c r="U17" s="151">
        <v>1</v>
      </c>
      <c r="V17" s="151">
        <v>1</v>
      </c>
      <c r="W17" s="151">
        <v>2</v>
      </c>
      <c r="X17" s="137" t="s">
        <v>374</v>
      </c>
      <c r="Y17" s="155" t="str">
        <f>DB!$D$260</f>
        <v>Toner Cartridge for the existing ECOSYS M5521CDW</v>
      </c>
      <c r="Z17" s="155"/>
      <c r="AA17" s="149"/>
      <c r="AB17" s="136"/>
      <c r="AC17" s="139"/>
      <c r="AD17" s="139"/>
      <c r="AE17" s="139"/>
      <c r="AF17" s="139"/>
    </row>
    <row r="18" spans="1:32" ht="25.5">
      <c r="A18" s="149" t="e">
        <f ca="1"/>
        <v>#NAME?</v>
      </c>
      <c r="B18" s="156" t="s">
        <v>462</v>
      </c>
      <c r="C18" s="151">
        <v>16</v>
      </c>
      <c r="D18" s="151" t="s">
        <v>103</v>
      </c>
      <c r="E18" s="149"/>
      <c r="F18" s="157"/>
      <c r="G18" s="152" t="s">
        <v>447</v>
      </c>
      <c r="H18" s="151">
        <v>6</v>
      </c>
      <c r="I18" s="151">
        <v>2</v>
      </c>
      <c r="J18" s="151">
        <v>2</v>
      </c>
      <c r="K18" s="151">
        <v>2</v>
      </c>
      <c r="L18" s="151">
        <v>3</v>
      </c>
      <c r="M18" s="151">
        <v>1</v>
      </c>
      <c r="N18" s="151">
        <v>1</v>
      </c>
      <c r="O18" s="151">
        <v>1</v>
      </c>
      <c r="P18" s="151">
        <v>3</v>
      </c>
      <c r="Q18" s="151">
        <v>1</v>
      </c>
      <c r="R18" s="151">
        <v>1</v>
      </c>
      <c r="S18" s="151">
        <v>1</v>
      </c>
      <c r="T18" s="151">
        <v>4</v>
      </c>
      <c r="U18" s="151">
        <v>1</v>
      </c>
      <c r="V18" s="151">
        <v>1</v>
      </c>
      <c r="W18" s="151">
        <v>2</v>
      </c>
      <c r="X18" s="137" t="s">
        <v>374</v>
      </c>
      <c r="Y18" s="155" t="str">
        <f>DB!$D$235</f>
        <v>Colored Toner Cartridge Set for the existing ECOSYS M5521CDW</v>
      </c>
      <c r="Z18" s="155"/>
      <c r="AA18" s="149"/>
      <c r="AB18" s="136"/>
      <c r="AC18" s="139"/>
      <c r="AD18" s="139"/>
      <c r="AE18" s="139"/>
      <c r="AF18" s="139"/>
    </row>
    <row r="19" spans="1:32" ht="25.5">
      <c r="A19" s="149" t="e">
        <f ca="1"/>
        <v>#NAME?</v>
      </c>
      <c r="B19" s="156" t="s">
        <v>463</v>
      </c>
      <c r="C19" s="151">
        <v>16</v>
      </c>
      <c r="D19" s="151" t="s">
        <v>103</v>
      </c>
      <c r="E19" s="149"/>
      <c r="F19" s="157"/>
      <c r="G19" s="152" t="s">
        <v>447</v>
      </c>
      <c r="H19" s="151">
        <v>6</v>
      </c>
      <c r="I19" s="151">
        <v>2</v>
      </c>
      <c r="J19" s="151">
        <v>2</v>
      </c>
      <c r="K19" s="151">
        <v>2</v>
      </c>
      <c r="L19" s="151">
        <v>3</v>
      </c>
      <c r="M19" s="151">
        <v>1</v>
      </c>
      <c r="N19" s="151">
        <v>1</v>
      </c>
      <c r="O19" s="151">
        <v>1</v>
      </c>
      <c r="P19" s="151">
        <v>3</v>
      </c>
      <c r="Q19" s="151">
        <v>1</v>
      </c>
      <c r="R19" s="151">
        <v>1</v>
      </c>
      <c r="S19" s="151">
        <v>1</v>
      </c>
      <c r="T19" s="151">
        <v>4</v>
      </c>
      <c r="U19" s="151">
        <v>1</v>
      </c>
      <c r="V19" s="151">
        <v>1</v>
      </c>
      <c r="W19" s="151">
        <v>2</v>
      </c>
      <c r="X19" s="137" t="s">
        <v>374</v>
      </c>
      <c r="Y19" s="155"/>
      <c r="Z19" s="155" t="s">
        <v>453</v>
      </c>
      <c r="AA19" s="149"/>
      <c r="AB19" s="136"/>
      <c r="AC19" s="139"/>
      <c r="AD19" s="139"/>
      <c r="AE19" s="139"/>
      <c r="AF19" s="139"/>
    </row>
    <row r="20" spans="1:32" ht="25.5">
      <c r="A20" s="149" t="e">
        <f ca="1"/>
        <v>#NAME?</v>
      </c>
      <c r="B20" s="156" t="s">
        <v>464</v>
      </c>
      <c r="C20" s="151">
        <v>16</v>
      </c>
      <c r="D20" s="151" t="s">
        <v>103</v>
      </c>
      <c r="E20" s="153"/>
      <c r="F20" s="157"/>
      <c r="G20" s="152" t="s">
        <v>447</v>
      </c>
      <c r="H20" s="151">
        <v>6</v>
      </c>
      <c r="I20" s="151">
        <v>2</v>
      </c>
      <c r="J20" s="151">
        <v>2</v>
      </c>
      <c r="K20" s="151">
        <v>2</v>
      </c>
      <c r="L20" s="151">
        <v>3</v>
      </c>
      <c r="M20" s="151">
        <v>1</v>
      </c>
      <c r="N20" s="151">
        <v>1</v>
      </c>
      <c r="O20" s="151">
        <v>1</v>
      </c>
      <c r="P20" s="151">
        <v>3</v>
      </c>
      <c r="Q20" s="151">
        <v>1</v>
      </c>
      <c r="R20" s="151">
        <v>1</v>
      </c>
      <c r="S20" s="151">
        <v>1</v>
      </c>
      <c r="T20" s="151">
        <v>4</v>
      </c>
      <c r="U20" s="151">
        <v>1</v>
      </c>
      <c r="V20" s="151">
        <v>1</v>
      </c>
      <c r="W20" s="151">
        <v>2</v>
      </c>
      <c r="X20" s="137" t="s">
        <v>374</v>
      </c>
      <c r="Y20" s="155"/>
      <c r="Z20" s="155" t="s">
        <v>453</v>
      </c>
      <c r="AA20" s="149"/>
      <c r="AB20" s="136"/>
      <c r="AC20" s="139"/>
      <c r="AD20" s="139"/>
      <c r="AE20" s="139"/>
      <c r="AF20" s="139"/>
    </row>
    <row r="21" spans="1:32" ht="12.75">
      <c r="A21" s="149" t="e">
        <f ca="1"/>
        <v>#NAME?</v>
      </c>
      <c r="B21" s="156" t="s">
        <v>234</v>
      </c>
      <c r="C21" s="151">
        <v>1</v>
      </c>
      <c r="D21" s="151" t="s">
        <v>103</v>
      </c>
      <c r="E21" s="153"/>
      <c r="F21" s="157"/>
      <c r="G21" s="152" t="s">
        <v>447</v>
      </c>
      <c r="H21" s="158">
        <v>2</v>
      </c>
      <c r="I21" s="151">
        <v>2</v>
      </c>
      <c r="J21" s="151"/>
      <c r="K21" s="151"/>
      <c r="L21" s="158">
        <v>0</v>
      </c>
      <c r="M21" s="151"/>
      <c r="N21" s="151"/>
      <c r="O21" s="151"/>
      <c r="P21" s="158">
        <v>0</v>
      </c>
      <c r="Q21" s="151"/>
      <c r="R21" s="151"/>
      <c r="S21" s="151"/>
      <c r="T21" s="158">
        <v>0</v>
      </c>
      <c r="U21" s="151"/>
      <c r="V21" s="151"/>
      <c r="W21" s="151"/>
      <c r="X21" s="137" t="s">
        <v>172</v>
      </c>
      <c r="Y21" s="141" t="str">
        <f>DB!$D$168</f>
        <v>Keyboard, Full Size, USB 2.0</v>
      </c>
      <c r="Z21" s="154"/>
      <c r="AA21" s="149"/>
      <c r="AB21" s="136"/>
      <c r="AC21" s="139"/>
      <c r="AD21" s="139"/>
      <c r="AE21" s="139"/>
      <c r="AF21" s="139"/>
    </row>
    <row r="22" spans="1:32" ht="12.75">
      <c r="A22" s="149" t="e">
        <f ca="1"/>
        <v>#NAME?</v>
      </c>
      <c r="B22" s="156" t="s">
        <v>465</v>
      </c>
      <c r="C22" s="151">
        <v>1</v>
      </c>
      <c r="D22" s="151" t="s">
        <v>466</v>
      </c>
      <c r="E22" s="153"/>
      <c r="F22" s="157"/>
      <c r="G22" s="152" t="s">
        <v>447</v>
      </c>
      <c r="H22" s="158">
        <v>2</v>
      </c>
      <c r="I22" s="151">
        <v>2</v>
      </c>
      <c r="J22" s="151"/>
      <c r="K22" s="151"/>
      <c r="L22" s="158">
        <v>0</v>
      </c>
      <c r="M22" s="151"/>
      <c r="N22" s="151"/>
      <c r="O22" s="151"/>
      <c r="P22" s="158">
        <v>0</v>
      </c>
      <c r="Q22" s="151"/>
      <c r="R22" s="151"/>
      <c r="S22" s="151"/>
      <c r="T22" s="158">
        <v>0</v>
      </c>
      <c r="U22" s="151"/>
      <c r="V22" s="151"/>
      <c r="W22" s="151"/>
      <c r="X22" s="137" t="s">
        <v>172</v>
      </c>
      <c r="Y22" s="141" t="str">
        <f>DB!$D$169</f>
        <v>Mouse, Optical, USB 2.0</v>
      </c>
      <c r="Z22" s="154"/>
      <c r="AA22" s="149"/>
      <c r="AB22" s="136"/>
      <c r="AC22" s="139"/>
      <c r="AD22" s="139"/>
      <c r="AE22" s="139"/>
      <c r="AF22" s="139"/>
    </row>
    <row r="23" spans="1:32" ht="12.75">
      <c r="A23" s="149" t="e">
        <f ca="1"/>
        <v>#NAME?</v>
      </c>
      <c r="B23" s="156" t="s">
        <v>467</v>
      </c>
      <c r="C23" s="151">
        <v>1</v>
      </c>
      <c r="D23" s="151" t="s">
        <v>103</v>
      </c>
      <c r="E23" s="153"/>
      <c r="F23" s="157"/>
      <c r="G23" s="152" t="s">
        <v>447</v>
      </c>
      <c r="H23" s="158">
        <v>1</v>
      </c>
      <c r="I23" s="151">
        <v>1</v>
      </c>
      <c r="J23" s="151"/>
      <c r="K23" s="151"/>
      <c r="L23" s="158"/>
      <c r="M23" s="151"/>
      <c r="N23" s="151"/>
      <c r="O23" s="151"/>
      <c r="P23" s="158"/>
      <c r="Q23" s="151"/>
      <c r="R23" s="151"/>
      <c r="S23" s="151"/>
      <c r="T23" s="158"/>
      <c r="U23" s="151"/>
      <c r="V23" s="151"/>
      <c r="W23" s="151"/>
      <c r="X23" s="137" t="s">
        <v>172</v>
      </c>
      <c r="Y23" s="141" t="str">
        <f>DB!$D$194</f>
        <v>Branded Desktop Computer Set</v>
      </c>
      <c r="Z23" s="154"/>
      <c r="AA23" s="149"/>
      <c r="AB23" s="136"/>
      <c r="AC23" s="139"/>
      <c r="AD23" s="139"/>
      <c r="AE23" s="139"/>
      <c r="AF23" s="139"/>
    </row>
    <row r="24" spans="1:32" ht="12.75">
      <c r="A24" s="149" t="e">
        <f ca="1"/>
        <v>#NAME?</v>
      </c>
      <c r="B24" s="156" t="s">
        <v>468</v>
      </c>
      <c r="C24" s="151">
        <v>1</v>
      </c>
      <c r="D24" s="151" t="s">
        <v>103</v>
      </c>
      <c r="E24" s="153"/>
      <c r="F24" s="157"/>
      <c r="G24" s="152" t="s">
        <v>447</v>
      </c>
      <c r="H24" s="158">
        <v>1</v>
      </c>
      <c r="I24" s="151">
        <v>1</v>
      </c>
      <c r="J24" s="151"/>
      <c r="K24" s="151"/>
      <c r="L24" s="158"/>
      <c r="M24" s="151"/>
      <c r="N24" s="151"/>
      <c r="O24" s="151"/>
      <c r="P24" s="158"/>
      <c r="Q24" s="151"/>
      <c r="R24" s="151"/>
      <c r="S24" s="151"/>
      <c r="T24" s="158"/>
      <c r="U24" s="151"/>
      <c r="V24" s="151"/>
      <c r="W24" s="151"/>
      <c r="X24" s="137" t="s">
        <v>172</v>
      </c>
      <c r="Y24" s="155" t="str">
        <f>DB!$D$276</f>
        <v>Ink Tank Printer</v>
      </c>
      <c r="Z24" s="155" t="s">
        <v>469</v>
      </c>
      <c r="AA24" s="149"/>
      <c r="AB24" s="136"/>
      <c r="AC24" s="139"/>
      <c r="AD24" s="139"/>
      <c r="AE24" s="139"/>
      <c r="AF24" s="139"/>
    </row>
    <row r="25" spans="1:32" ht="12.75">
      <c r="A25" s="149" t="e">
        <f ca="1"/>
        <v>#NAME?</v>
      </c>
      <c r="B25" s="156" t="s">
        <v>470</v>
      </c>
      <c r="C25" s="151">
        <v>15</v>
      </c>
      <c r="D25" s="151" t="s">
        <v>103</v>
      </c>
      <c r="E25" s="153"/>
      <c r="F25" s="157"/>
      <c r="G25" s="152" t="s">
        <v>447</v>
      </c>
      <c r="H25" s="151">
        <v>6</v>
      </c>
      <c r="I25" s="151">
        <v>2</v>
      </c>
      <c r="J25" s="151">
        <v>2</v>
      </c>
      <c r="K25" s="151">
        <v>2</v>
      </c>
      <c r="L25" s="151">
        <v>3</v>
      </c>
      <c r="M25" s="151">
        <v>1</v>
      </c>
      <c r="N25" s="151">
        <v>1</v>
      </c>
      <c r="O25" s="151">
        <v>1</v>
      </c>
      <c r="P25" s="151">
        <v>3</v>
      </c>
      <c r="Q25" s="151">
        <v>1</v>
      </c>
      <c r="R25" s="151">
        <v>1</v>
      </c>
      <c r="S25" s="151">
        <v>1</v>
      </c>
      <c r="T25" s="151">
        <v>3</v>
      </c>
      <c r="U25" s="151">
        <v>1</v>
      </c>
      <c r="V25" s="151">
        <v>1</v>
      </c>
      <c r="W25" s="151">
        <v>1</v>
      </c>
      <c r="X25" s="137" t="s">
        <v>172</v>
      </c>
      <c r="Y25" s="155" t="str">
        <f>DB!$D$102</f>
        <v>Epson Genuine Ink T6641 Black</v>
      </c>
      <c r="Z25" s="154"/>
      <c r="AA25" s="149"/>
      <c r="AB25" s="136"/>
      <c r="AC25" s="139"/>
      <c r="AD25" s="139"/>
      <c r="AE25" s="139"/>
      <c r="AF25" s="139"/>
    </row>
    <row r="26" spans="1:32" ht="12.75">
      <c r="A26" s="154" t="e">
        <f ca="1"/>
        <v>#NAME?</v>
      </c>
      <c r="B26" s="156" t="s">
        <v>471</v>
      </c>
      <c r="C26" s="151">
        <v>15</v>
      </c>
      <c r="D26" s="151" t="s">
        <v>103</v>
      </c>
      <c r="E26" s="149"/>
      <c r="F26" s="149"/>
      <c r="G26" s="152" t="s">
        <v>447</v>
      </c>
      <c r="H26" s="151">
        <v>6</v>
      </c>
      <c r="I26" s="151">
        <v>2</v>
      </c>
      <c r="J26" s="151">
        <v>2</v>
      </c>
      <c r="K26" s="151">
        <v>2</v>
      </c>
      <c r="L26" s="151">
        <v>3</v>
      </c>
      <c r="M26" s="151">
        <v>1</v>
      </c>
      <c r="N26" s="151">
        <v>1</v>
      </c>
      <c r="O26" s="151">
        <v>1</v>
      </c>
      <c r="P26" s="151">
        <v>3</v>
      </c>
      <c r="Q26" s="151">
        <v>1</v>
      </c>
      <c r="R26" s="151">
        <v>1</v>
      </c>
      <c r="S26" s="151">
        <v>1</v>
      </c>
      <c r="T26" s="151">
        <v>3</v>
      </c>
      <c r="U26" s="151">
        <v>1</v>
      </c>
      <c r="V26" s="151">
        <v>1</v>
      </c>
      <c r="W26" s="151">
        <v>1</v>
      </c>
      <c r="X26" s="137" t="s">
        <v>172</v>
      </c>
      <c r="Y26" s="155" t="str">
        <f>DB!$D$103</f>
        <v>Epson Genuine Ink T6642 Cyan</v>
      </c>
      <c r="Z26" s="152"/>
      <c r="AA26" s="149"/>
      <c r="AB26" s="136"/>
      <c r="AC26" s="139"/>
      <c r="AD26" s="139"/>
      <c r="AE26" s="139"/>
      <c r="AF26" s="139"/>
    </row>
    <row r="27" spans="1:32" ht="12.75">
      <c r="A27" s="154" t="e">
        <f ca="1"/>
        <v>#NAME?</v>
      </c>
      <c r="B27" s="156" t="s">
        <v>472</v>
      </c>
      <c r="C27" s="151">
        <v>15</v>
      </c>
      <c r="D27" s="151" t="s">
        <v>103</v>
      </c>
      <c r="E27" s="153"/>
      <c r="F27" s="153"/>
      <c r="G27" s="152" t="s">
        <v>447</v>
      </c>
      <c r="H27" s="151">
        <v>6</v>
      </c>
      <c r="I27" s="151">
        <v>2</v>
      </c>
      <c r="J27" s="151">
        <v>2</v>
      </c>
      <c r="K27" s="151">
        <v>2</v>
      </c>
      <c r="L27" s="151">
        <v>3</v>
      </c>
      <c r="M27" s="151">
        <v>1</v>
      </c>
      <c r="N27" s="151">
        <v>1</v>
      </c>
      <c r="O27" s="151">
        <v>1</v>
      </c>
      <c r="P27" s="151">
        <v>3</v>
      </c>
      <c r="Q27" s="151">
        <v>1</v>
      </c>
      <c r="R27" s="151">
        <v>1</v>
      </c>
      <c r="S27" s="151">
        <v>1</v>
      </c>
      <c r="T27" s="151">
        <v>3</v>
      </c>
      <c r="U27" s="151">
        <v>1</v>
      </c>
      <c r="V27" s="151">
        <v>1</v>
      </c>
      <c r="W27" s="151">
        <v>1</v>
      </c>
      <c r="X27" s="137" t="s">
        <v>172</v>
      </c>
      <c r="Y27" s="155" t="str">
        <f>DB!$D$104</f>
        <v>Epson Genuine Ink T6643 Magenta</v>
      </c>
      <c r="Z27" s="154"/>
      <c r="AA27" s="149"/>
      <c r="AB27" s="136"/>
      <c r="AC27" s="139"/>
      <c r="AD27" s="139"/>
      <c r="AE27" s="139"/>
      <c r="AF27" s="139"/>
    </row>
    <row r="28" spans="1:32" ht="12.75">
      <c r="A28" s="154" t="e">
        <f ca="1"/>
        <v>#NAME?</v>
      </c>
      <c r="B28" s="156" t="s">
        <v>473</v>
      </c>
      <c r="C28" s="151">
        <v>15</v>
      </c>
      <c r="D28" s="151" t="s">
        <v>103</v>
      </c>
      <c r="E28" s="153"/>
      <c r="F28" s="153"/>
      <c r="G28" s="152" t="s">
        <v>447</v>
      </c>
      <c r="H28" s="151">
        <v>6</v>
      </c>
      <c r="I28" s="151">
        <v>2</v>
      </c>
      <c r="J28" s="151">
        <v>2</v>
      </c>
      <c r="K28" s="151">
        <v>2</v>
      </c>
      <c r="L28" s="151">
        <v>3</v>
      </c>
      <c r="M28" s="151">
        <v>1</v>
      </c>
      <c r="N28" s="151">
        <v>1</v>
      </c>
      <c r="O28" s="151">
        <v>1</v>
      </c>
      <c r="P28" s="151">
        <v>3</v>
      </c>
      <c r="Q28" s="151">
        <v>1</v>
      </c>
      <c r="R28" s="151">
        <v>1</v>
      </c>
      <c r="S28" s="151">
        <v>1</v>
      </c>
      <c r="T28" s="151">
        <v>3</v>
      </c>
      <c r="U28" s="151">
        <v>1</v>
      </c>
      <c r="V28" s="151">
        <v>1</v>
      </c>
      <c r="W28" s="151">
        <v>1</v>
      </c>
      <c r="X28" s="137" t="s">
        <v>172</v>
      </c>
      <c r="Y28" s="155" t="str">
        <f>DB!$D$105</f>
        <v>Epson Genuine Ink T6644 Yellow</v>
      </c>
      <c r="Z28" s="154"/>
      <c r="AA28" s="149"/>
      <c r="AB28" s="136"/>
      <c r="AC28" s="139"/>
      <c r="AD28" s="139"/>
      <c r="AE28" s="139"/>
      <c r="AF28" s="139"/>
    </row>
    <row r="29" spans="1:32" ht="12.75">
      <c r="A29" s="154" t="e">
        <f ca="1"/>
        <v>#NAME?</v>
      </c>
      <c r="B29" s="156" t="s">
        <v>234</v>
      </c>
      <c r="C29" s="151">
        <v>1</v>
      </c>
      <c r="D29" s="151" t="s">
        <v>103</v>
      </c>
      <c r="E29" s="153"/>
      <c r="F29" s="153"/>
      <c r="G29" s="152" t="s">
        <v>447</v>
      </c>
      <c r="H29" s="158">
        <v>1</v>
      </c>
      <c r="I29" s="151">
        <v>0</v>
      </c>
      <c r="J29" s="151">
        <v>0</v>
      </c>
      <c r="K29" s="151">
        <v>0</v>
      </c>
      <c r="L29" s="158">
        <v>0</v>
      </c>
      <c r="M29" s="151">
        <v>0</v>
      </c>
      <c r="N29" s="151">
        <v>0</v>
      </c>
      <c r="O29" s="151">
        <v>0</v>
      </c>
      <c r="P29" s="158">
        <v>0</v>
      </c>
      <c r="Q29" s="151">
        <v>0</v>
      </c>
      <c r="R29" s="151">
        <v>0</v>
      </c>
      <c r="S29" s="158">
        <v>0</v>
      </c>
      <c r="T29" s="158">
        <v>0</v>
      </c>
      <c r="U29" s="151">
        <v>0</v>
      </c>
      <c r="V29" s="151">
        <v>0</v>
      </c>
      <c r="W29" s="151">
        <v>0</v>
      </c>
      <c r="X29" s="137" t="s">
        <v>139</v>
      </c>
      <c r="Y29" s="141" t="str">
        <f>DB!$D$168</f>
        <v>Keyboard, Full Size, USB 2.0</v>
      </c>
      <c r="Z29" s="154"/>
      <c r="AA29" s="149"/>
      <c r="AB29" s="136"/>
      <c r="AC29" s="139"/>
      <c r="AD29" s="139"/>
      <c r="AE29" s="139"/>
      <c r="AF29" s="139"/>
    </row>
    <row r="30" spans="1:32" ht="12.75">
      <c r="A30" s="154" t="e">
        <f ca="1"/>
        <v>#NAME?</v>
      </c>
      <c r="B30" s="156" t="s">
        <v>239</v>
      </c>
      <c r="C30" s="151">
        <v>2</v>
      </c>
      <c r="D30" s="151" t="s">
        <v>466</v>
      </c>
      <c r="E30" s="149"/>
      <c r="F30" s="153"/>
      <c r="G30" s="152" t="s">
        <v>447</v>
      </c>
      <c r="H30" s="158">
        <v>1</v>
      </c>
      <c r="I30" s="151">
        <v>1</v>
      </c>
      <c r="J30" s="151">
        <v>0</v>
      </c>
      <c r="K30" s="151">
        <v>0</v>
      </c>
      <c r="L30" s="158">
        <v>0</v>
      </c>
      <c r="M30" s="151">
        <v>0</v>
      </c>
      <c r="N30" s="151">
        <v>0</v>
      </c>
      <c r="O30" s="151">
        <v>0</v>
      </c>
      <c r="P30" s="158">
        <v>0</v>
      </c>
      <c r="Q30" s="151">
        <v>0</v>
      </c>
      <c r="R30" s="151">
        <v>0</v>
      </c>
      <c r="S30" s="151">
        <v>0</v>
      </c>
      <c r="T30" s="158">
        <v>1</v>
      </c>
      <c r="U30" s="151">
        <v>1</v>
      </c>
      <c r="V30" s="151">
        <v>0</v>
      </c>
      <c r="W30" s="151">
        <v>0</v>
      </c>
      <c r="X30" s="137" t="s">
        <v>139</v>
      </c>
      <c r="Y30" s="141" t="str">
        <f>DB!$D$169</f>
        <v>Mouse, Optical, USB 2.0</v>
      </c>
      <c r="Z30" s="154"/>
      <c r="AA30" s="149"/>
      <c r="AB30" s="136"/>
      <c r="AC30" s="139"/>
      <c r="AD30" s="139"/>
      <c r="AE30" s="139"/>
      <c r="AF30" s="139"/>
    </row>
    <row r="31" spans="1:32" ht="12.75">
      <c r="A31" s="154" t="e">
        <f ca="1"/>
        <v>#NAME?</v>
      </c>
      <c r="B31" s="156" t="s">
        <v>474</v>
      </c>
      <c r="C31" s="151">
        <v>1</v>
      </c>
      <c r="D31" s="151" t="s">
        <v>103</v>
      </c>
      <c r="E31" s="149"/>
      <c r="F31" s="153"/>
      <c r="G31" s="152" t="s">
        <v>447</v>
      </c>
      <c r="H31" s="158">
        <v>1</v>
      </c>
      <c r="I31" s="151">
        <v>1</v>
      </c>
      <c r="J31" s="151">
        <v>0</v>
      </c>
      <c r="K31" s="151">
        <v>0</v>
      </c>
      <c r="L31" s="158">
        <v>0</v>
      </c>
      <c r="M31" s="151">
        <v>0</v>
      </c>
      <c r="N31" s="151">
        <v>0</v>
      </c>
      <c r="O31" s="151">
        <v>0</v>
      </c>
      <c r="P31" s="158">
        <v>0</v>
      </c>
      <c r="Q31" s="151">
        <v>0</v>
      </c>
      <c r="R31" s="151">
        <v>0</v>
      </c>
      <c r="S31" s="151">
        <v>0</v>
      </c>
      <c r="T31" s="158">
        <v>0</v>
      </c>
      <c r="U31" s="151">
        <v>0</v>
      </c>
      <c r="V31" s="151">
        <v>0</v>
      </c>
      <c r="W31" s="151">
        <v>0</v>
      </c>
      <c r="X31" s="137" t="s">
        <v>139</v>
      </c>
      <c r="Y31" s="155" t="str">
        <f>DB!$D$79</f>
        <v>32GB Flash Drive</v>
      </c>
      <c r="Z31" s="154"/>
      <c r="AA31" s="149"/>
      <c r="AB31" s="136"/>
      <c r="AC31" s="139"/>
      <c r="AD31" s="139"/>
      <c r="AE31" s="139"/>
      <c r="AF31" s="139"/>
    </row>
    <row r="32" spans="1:32" ht="12.75">
      <c r="A32" s="154" t="e">
        <f ca="1"/>
        <v>#NAME?</v>
      </c>
      <c r="B32" s="156" t="s">
        <v>475</v>
      </c>
      <c r="C32" s="151">
        <v>0</v>
      </c>
      <c r="D32" s="151" t="s">
        <v>103</v>
      </c>
      <c r="E32" s="149"/>
      <c r="F32" s="153"/>
      <c r="G32" s="152" t="s">
        <v>447</v>
      </c>
      <c r="H32" s="158">
        <v>0</v>
      </c>
      <c r="I32" s="151">
        <v>0</v>
      </c>
      <c r="J32" s="151">
        <v>0</v>
      </c>
      <c r="K32" s="158">
        <v>0</v>
      </c>
      <c r="L32" s="158">
        <v>0</v>
      </c>
      <c r="M32" s="151">
        <v>0</v>
      </c>
      <c r="N32" s="151">
        <v>0</v>
      </c>
      <c r="O32" s="151">
        <v>0</v>
      </c>
      <c r="P32" s="158">
        <v>0</v>
      </c>
      <c r="Q32" s="158">
        <v>0</v>
      </c>
      <c r="R32" s="151">
        <v>0</v>
      </c>
      <c r="S32" s="151">
        <v>0</v>
      </c>
      <c r="T32" s="158">
        <v>0</v>
      </c>
      <c r="U32" s="151">
        <v>0</v>
      </c>
      <c r="V32" s="151">
        <v>0</v>
      </c>
      <c r="W32" s="158">
        <v>0</v>
      </c>
      <c r="X32" s="137" t="s">
        <v>139</v>
      </c>
      <c r="Y32" s="155"/>
      <c r="Z32" s="154" t="s">
        <v>453</v>
      </c>
      <c r="AA32" s="149"/>
      <c r="AB32" s="136"/>
      <c r="AC32" s="139"/>
      <c r="AD32" s="139"/>
      <c r="AE32" s="139"/>
      <c r="AF32" s="139"/>
    </row>
    <row r="33" spans="1:32" ht="12.75">
      <c r="A33" s="154" t="e">
        <f ca="1"/>
        <v>#NAME?</v>
      </c>
      <c r="B33" s="156" t="s">
        <v>476</v>
      </c>
      <c r="C33" s="151">
        <v>0</v>
      </c>
      <c r="D33" s="151" t="s">
        <v>103</v>
      </c>
      <c r="E33" s="149"/>
      <c r="F33" s="153"/>
      <c r="G33" s="152" t="s">
        <v>447</v>
      </c>
      <c r="H33" s="158">
        <v>0</v>
      </c>
      <c r="I33" s="151">
        <v>0</v>
      </c>
      <c r="J33" s="151">
        <v>0</v>
      </c>
      <c r="K33" s="151">
        <v>0</v>
      </c>
      <c r="L33" s="158">
        <v>0</v>
      </c>
      <c r="M33" s="151">
        <v>0</v>
      </c>
      <c r="N33" s="151">
        <v>0</v>
      </c>
      <c r="O33" s="151">
        <v>0</v>
      </c>
      <c r="P33" s="158">
        <v>0</v>
      </c>
      <c r="Q33" s="151">
        <v>0</v>
      </c>
      <c r="R33" s="151">
        <v>0</v>
      </c>
      <c r="S33" s="151">
        <v>0</v>
      </c>
      <c r="T33" s="158">
        <v>0</v>
      </c>
      <c r="U33" s="151">
        <v>0</v>
      </c>
      <c r="V33" s="151">
        <v>0</v>
      </c>
      <c r="W33" s="151">
        <v>0</v>
      </c>
      <c r="X33" s="137" t="s">
        <v>139</v>
      </c>
      <c r="Y33" s="155"/>
      <c r="Z33" s="154" t="s">
        <v>453</v>
      </c>
      <c r="AA33" s="149"/>
      <c r="AB33" s="136"/>
      <c r="AC33" s="139"/>
      <c r="AD33" s="139"/>
      <c r="AE33" s="139"/>
      <c r="AF33" s="139"/>
    </row>
    <row r="34" spans="1:32" ht="12.75">
      <c r="A34" s="154" t="e">
        <f ca="1"/>
        <v>#NAME?</v>
      </c>
      <c r="B34" s="156" t="s">
        <v>477</v>
      </c>
      <c r="C34" s="151">
        <v>15</v>
      </c>
      <c r="D34" s="151" t="s">
        <v>103</v>
      </c>
      <c r="E34" s="153"/>
      <c r="F34" s="153"/>
      <c r="G34" s="152" t="s">
        <v>447</v>
      </c>
      <c r="H34" s="158">
        <v>5</v>
      </c>
      <c r="I34" s="151">
        <v>5</v>
      </c>
      <c r="J34" s="151">
        <v>0</v>
      </c>
      <c r="K34" s="151">
        <v>0</v>
      </c>
      <c r="L34" s="158">
        <v>4</v>
      </c>
      <c r="M34" s="151">
        <v>4</v>
      </c>
      <c r="N34" s="151">
        <v>0</v>
      </c>
      <c r="O34" s="151">
        <v>0</v>
      </c>
      <c r="P34" s="158">
        <v>3</v>
      </c>
      <c r="Q34" s="151">
        <v>3</v>
      </c>
      <c r="R34" s="151">
        <v>0</v>
      </c>
      <c r="S34" s="151">
        <v>0</v>
      </c>
      <c r="T34" s="158">
        <v>3</v>
      </c>
      <c r="U34" s="151">
        <v>3</v>
      </c>
      <c r="V34" s="151">
        <v>0</v>
      </c>
      <c r="W34" s="151">
        <v>0</v>
      </c>
      <c r="X34" s="137" t="s">
        <v>139</v>
      </c>
      <c r="Y34" s="155" t="str">
        <f>DB!$D$272</f>
        <v>TONER CARTRIDGE, (TN263BK) Black</v>
      </c>
      <c r="Z34" s="155"/>
      <c r="AA34" s="149"/>
      <c r="AB34" s="136"/>
      <c r="AC34" s="139"/>
      <c r="AD34" s="139"/>
      <c r="AE34" s="139"/>
      <c r="AF34" s="139"/>
    </row>
    <row r="35" spans="1:32" ht="12.75">
      <c r="A35" s="154" t="e">
        <f ca="1"/>
        <v>#NAME?</v>
      </c>
      <c r="B35" s="156" t="s">
        <v>478</v>
      </c>
      <c r="C35" s="151">
        <v>5</v>
      </c>
      <c r="D35" s="151" t="s">
        <v>103</v>
      </c>
      <c r="E35" s="153"/>
      <c r="F35" s="153"/>
      <c r="G35" s="152" t="s">
        <v>447</v>
      </c>
      <c r="H35" s="158">
        <v>2</v>
      </c>
      <c r="I35" s="151">
        <v>2</v>
      </c>
      <c r="J35" s="151">
        <v>0</v>
      </c>
      <c r="K35" s="151">
        <v>0</v>
      </c>
      <c r="L35" s="158">
        <v>1</v>
      </c>
      <c r="M35" s="151">
        <v>1</v>
      </c>
      <c r="N35" s="151">
        <v>0</v>
      </c>
      <c r="O35" s="151">
        <v>0</v>
      </c>
      <c r="P35" s="158">
        <v>1</v>
      </c>
      <c r="Q35" s="151">
        <v>1</v>
      </c>
      <c r="R35" s="151">
        <v>0</v>
      </c>
      <c r="S35" s="151">
        <v>0</v>
      </c>
      <c r="T35" s="158">
        <v>1</v>
      </c>
      <c r="U35" s="151">
        <v>1</v>
      </c>
      <c r="V35" s="151">
        <v>0</v>
      </c>
      <c r="W35" s="151">
        <v>0</v>
      </c>
      <c r="X35" s="137" t="s">
        <v>139</v>
      </c>
      <c r="Y35" s="155" t="str">
        <f>DB!$D$273</f>
        <v>ONER CARTRIDGE, (TN263M) Magenta</v>
      </c>
      <c r="Z35" s="155"/>
      <c r="AA35" s="149"/>
      <c r="AB35" s="136"/>
      <c r="AC35" s="139"/>
      <c r="AD35" s="139"/>
      <c r="AE35" s="139"/>
      <c r="AF35" s="139"/>
    </row>
    <row r="36" spans="1:32" ht="12.75">
      <c r="A36" s="154" t="e">
        <f ca="1"/>
        <v>#NAME?</v>
      </c>
      <c r="B36" s="156" t="s">
        <v>479</v>
      </c>
      <c r="C36" s="151">
        <v>5</v>
      </c>
      <c r="D36" s="151" t="s">
        <v>103</v>
      </c>
      <c r="E36" s="153"/>
      <c r="F36" s="153"/>
      <c r="G36" s="152" t="s">
        <v>447</v>
      </c>
      <c r="H36" s="158">
        <v>2</v>
      </c>
      <c r="I36" s="151">
        <v>2</v>
      </c>
      <c r="J36" s="151">
        <v>0</v>
      </c>
      <c r="K36" s="151">
        <v>0</v>
      </c>
      <c r="L36" s="158">
        <v>1</v>
      </c>
      <c r="M36" s="151">
        <v>1</v>
      </c>
      <c r="N36" s="151">
        <v>0</v>
      </c>
      <c r="O36" s="151">
        <v>0</v>
      </c>
      <c r="P36" s="158">
        <v>1</v>
      </c>
      <c r="Q36" s="151">
        <v>1</v>
      </c>
      <c r="R36" s="151">
        <v>0</v>
      </c>
      <c r="S36" s="151">
        <v>0</v>
      </c>
      <c r="T36" s="158">
        <v>1</v>
      </c>
      <c r="U36" s="151">
        <v>1</v>
      </c>
      <c r="V36" s="151">
        <v>0</v>
      </c>
      <c r="W36" s="151">
        <v>0</v>
      </c>
      <c r="X36" s="137" t="s">
        <v>139</v>
      </c>
      <c r="Y36" s="155" t="str">
        <f>DB!$D$274</f>
        <v>TONER CARTRIDGE, (TN263C) Cyan</v>
      </c>
      <c r="Z36" s="155"/>
      <c r="AA36" s="149"/>
      <c r="AB36" s="136"/>
      <c r="AC36" s="139"/>
      <c r="AD36" s="139"/>
      <c r="AE36" s="139"/>
      <c r="AF36" s="139"/>
    </row>
    <row r="37" spans="1:32" ht="12.75">
      <c r="A37" s="154" t="e">
        <f ca="1"/>
        <v>#NAME?</v>
      </c>
      <c r="B37" s="156" t="s">
        <v>480</v>
      </c>
      <c r="C37" s="151">
        <v>5</v>
      </c>
      <c r="D37" s="151" t="s">
        <v>103</v>
      </c>
      <c r="E37" s="153"/>
      <c r="F37" s="153"/>
      <c r="G37" s="152" t="s">
        <v>447</v>
      </c>
      <c r="H37" s="158">
        <v>2</v>
      </c>
      <c r="I37" s="151">
        <v>2</v>
      </c>
      <c r="J37" s="151">
        <v>0</v>
      </c>
      <c r="K37" s="151">
        <v>0</v>
      </c>
      <c r="L37" s="158">
        <v>1</v>
      </c>
      <c r="M37" s="151">
        <v>1</v>
      </c>
      <c r="N37" s="151">
        <v>0</v>
      </c>
      <c r="O37" s="151">
        <v>0</v>
      </c>
      <c r="P37" s="158">
        <v>1</v>
      </c>
      <c r="Q37" s="151">
        <v>1</v>
      </c>
      <c r="R37" s="151">
        <v>0</v>
      </c>
      <c r="S37" s="151">
        <v>0</v>
      </c>
      <c r="T37" s="158">
        <v>1</v>
      </c>
      <c r="U37" s="151">
        <v>1</v>
      </c>
      <c r="V37" s="151">
        <v>0</v>
      </c>
      <c r="W37" s="151">
        <v>0</v>
      </c>
      <c r="X37" s="137" t="s">
        <v>139</v>
      </c>
      <c r="Y37" s="155" t="str">
        <f>DB!$D$275</f>
        <v>TONER CARTRIDGE, (TN263Y) Yellow</v>
      </c>
      <c r="Z37" s="155"/>
      <c r="AA37" s="149"/>
      <c r="AB37" s="136"/>
      <c r="AC37" s="139"/>
      <c r="AD37" s="139"/>
      <c r="AE37" s="139"/>
      <c r="AF37" s="139"/>
    </row>
    <row r="38" spans="1:32" ht="12.75">
      <c r="A38" s="154" t="e">
        <f ca="1"/>
        <v>#NAME?</v>
      </c>
      <c r="B38" s="156" t="s">
        <v>481</v>
      </c>
      <c r="C38" s="151">
        <v>1</v>
      </c>
      <c r="D38" s="151" t="s">
        <v>103</v>
      </c>
      <c r="E38" s="153"/>
      <c r="F38" s="153"/>
      <c r="G38" s="152" t="s">
        <v>447</v>
      </c>
      <c r="H38" s="158">
        <v>1</v>
      </c>
      <c r="I38" s="151">
        <v>1</v>
      </c>
      <c r="J38" s="151">
        <v>0</v>
      </c>
      <c r="K38" s="151">
        <v>0</v>
      </c>
      <c r="L38" s="158">
        <v>0</v>
      </c>
      <c r="M38" s="151">
        <v>0</v>
      </c>
      <c r="N38" s="151">
        <v>0</v>
      </c>
      <c r="O38" s="151">
        <v>0</v>
      </c>
      <c r="P38" s="158">
        <v>0</v>
      </c>
      <c r="Q38" s="151">
        <v>0</v>
      </c>
      <c r="R38" s="151">
        <v>0</v>
      </c>
      <c r="S38" s="151">
        <v>0</v>
      </c>
      <c r="T38" s="158">
        <v>0</v>
      </c>
      <c r="U38" s="151">
        <v>0</v>
      </c>
      <c r="V38" s="151">
        <v>0</v>
      </c>
      <c r="W38" s="151">
        <v>0</v>
      </c>
      <c r="X38" s="137" t="s">
        <v>139</v>
      </c>
      <c r="Y38" s="141" t="str">
        <f>DB!$D$194</f>
        <v>Branded Desktop Computer Set</v>
      </c>
      <c r="Z38" s="154"/>
      <c r="AA38" s="149"/>
      <c r="AB38" s="136"/>
      <c r="AC38" s="139"/>
      <c r="AD38" s="139"/>
      <c r="AE38" s="139"/>
      <c r="AF38" s="139"/>
    </row>
    <row r="39" spans="1:32" ht="12.75">
      <c r="A39" s="154" t="e">
        <f ca="1"/>
        <v>#NAME?</v>
      </c>
      <c r="B39" s="156" t="s">
        <v>482</v>
      </c>
      <c r="C39" s="151">
        <v>1</v>
      </c>
      <c r="D39" s="151" t="s">
        <v>103</v>
      </c>
      <c r="E39" s="153"/>
      <c r="F39" s="153"/>
      <c r="G39" s="152" t="s">
        <v>447</v>
      </c>
      <c r="H39" s="158">
        <v>1</v>
      </c>
      <c r="I39" s="151">
        <v>1</v>
      </c>
      <c r="J39" s="151">
        <v>0</v>
      </c>
      <c r="K39" s="151">
        <v>0</v>
      </c>
      <c r="L39" s="158">
        <v>0</v>
      </c>
      <c r="M39" s="151">
        <v>0</v>
      </c>
      <c r="N39" s="151">
        <v>0</v>
      </c>
      <c r="O39" s="151">
        <v>0</v>
      </c>
      <c r="P39" s="158">
        <v>0</v>
      </c>
      <c r="Q39" s="151">
        <v>0</v>
      </c>
      <c r="R39" s="151">
        <v>0</v>
      </c>
      <c r="S39" s="151">
        <v>0</v>
      </c>
      <c r="T39" s="158">
        <v>0</v>
      </c>
      <c r="U39" s="151">
        <v>0</v>
      </c>
      <c r="V39" s="151">
        <v>0</v>
      </c>
      <c r="W39" s="151">
        <v>0</v>
      </c>
      <c r="X39" s="137" t="s">
        <v>139</v>
      </c>
      <c r="Y39" s="155" t="str">
        <f>DB!$D$276</f>
        <v>Ink Tank Printer</v>
      </c>
      <c r="Z39" s="154" t="s">
        <v>469</v>
      </c>
      <c r="AA39" s="149"/>
      <c r="AB39" s="136"/>
      <c r="AC39" s="139"/>
      <c r="AD39" s="139"/>
      <c r="AE39" s="139"/>
      <c r="AF39" s="139"/>
    </row>
    <row r="40" spans="1:32" ht="12.75">
      <c r="A40" s="154" t="e">
        <f ca="1"/>
        <v>#NAME?</v>
      </c>
      <c r="B40" s="156" t="s">
        <v>483</v>
      </c>
      <c r="C40" s="151">
        <v>1</v>
      </c>
      <c r="D40" s="151" t="s">
        <v>103</v>
      </c>
      <c r="E40" s="153"/>
      <c r="F40" s="153"/>
      <c r="G40" s="152" t="s">
        <v>447</v>
      </c>
      <c r="H40" s="158">
        <v>1</v>
      </c>
      <c r="I40" s="151">
        <v>1</v>
      </c>
      <c r="J40" s="151">
        <v>0</v>
      </c>
      <c r="K40" s="151">
        <v>0</v>
      </c>
      <c r="L40" s="158">
        <v>0</v>
      </c>
      <c r="M40" s="151">
        <v>0</v>
      </c>
      <c r="N40" s="151">
        <v>0</v>
      </c>
      <c r="O40" s="151">
        <v>0</v>
      </c>
      <c r="P40" s="158">
        <v>0</v>
      </c>
      <c r="Q40" s="151">
        <v>0</v>
      </c>
      <c r="R40" s="151">
        <v>0</v>
      </c>
      <c r="S40" s="151">
        <v>0</v>
      </c>
      <c r="T40" s="158">
        <v>0</v>
      </c>
      <c r="U40" s="151">
        <v>0</v>
      </c>
      <c r="V40" s="151">
        <v>0</v>
      </c>
      <c r="W40" s="151">
        <v>0</v>
      </c>
      <c r="X40" s="137" t="s">
        <v>139</v>
      </c>
      <c r="Y40" s="155" t="str">
        <f>DB!$D$6</f>
        <v>UPS 650VA, AVR, 230V</v>
      </c>
      <c r="Z40" s="154"/>
      <c r="AA40" s="149"/>
      <c r="AB40" s="136"/>
      <c r="AC40" s="139"/>
      <c r="AD40" s="139"/>
      <c r="AE40" s="139"/>
      <c r="AF40" s="139"/>
    </row>
    <row r="41" spans="1:32" ht="25.5">
      <c r="A41" s="154" t="e">
        <f ca="1"/>
        <v>#NAME?</v>
      </c>
      <c r="B41" s="156" t="s">
        <v>484</v>
      </c>
      <c r="C41" s="151">
        <v>4</v>
      </c>
      <c r="D41" s="151" t="s">
        <v>103</v>
      </c>
      <c r="E41" s="153"/>
      <c r="F41" s="153"/>
      <c r="G41" s="152" t="s">
        <v>447</v>
      </c>
      <c r="H41" s="151">
        <v>1</v>
      </c>
      <c r="I41" s="151">
        <v>1</v>
      </c>
      <c r="J41" s="152">
        <v>0</v>
      </c>
      <c r="K41" s="152">
        <v>0</v>
      </c>
      <c r="L41" s="151">
        <v>1</v>
      </c>
      <c r="M41" s="151">
        <v>1</v>
      </c>
      <c r="N41" s="152">
        <v>0</v>
      </c>
      <c r="O41" s="152">
        <v>0</v>
      </c>
      <c r="P41" s="151">
        <v>1</v>
      </c>
      <c r="Q41" s="151">
        <v>1</v>
      </c>
      <c r="R41" s="152">
        <v>0</v>
      </c>
      <c r="S41" s="152">
        <v>0</v>
      </c>
      <c r="T41" s="151">
        <v>1</v>
      </c>
      <c r="U41" s="151">
        <v>1</v>
      </c>
      <c r="V41" s="152">
        <v>0</v>
      </c>
      <c r="W41" s="152">
        <v>0</v>
      </c>
      <c r="X41" s="137" t="s">
        <v>208</v>
      </c>
      <c r="Y41" s="155" t="str">
        <f>DB!$D$239</f>
        <v>Toner Cartridge for the existing ECOSYS P2040DN</v>
      </c>
      <c r="Z41" s="155"/>
      <c r="AA41" s="149"/>
      <c r="AB41" s="136"/>
      <c r="AC41" s="139"/>
      <c r="AD41" s="139"/>
      <c r="AE41" s="139"/>
      <c r="AF41" s="139"/>
    </row>
    <row r="42" spans="1:32" ht="12.75">
      <c r="A42" s="154" t="e">
        <f ca="1"/>
        <v>#NAME?</v>
      </c>
      <c r="B42" s="156" t="s">
        <v>485</v>
      </c>
      <c r="C42" s="151">
        <v>12</v>
      </c>
      <c r="D42" s="151" t="s">
        <v>486</v>
      </c>
      <c r="E42" s="153"/>
      <c r="F42" s="153"/>
      <c r="G42" s="152" t="s">
        <v>447</v>
      </c>
      <c r="H42" s="151">
        <v>3</v>
      </c>
      <c r="I42" s="151">
        <v>3</v>
      </c>
      <c r="J42" s="151">
        <v>0</v>
      </c>
      <c r="K42" s="151">
        <v>0</v>
      </c>
      <c r="L42" s="151">
        <v>3</v>
      </c>
      <c r="M42" s="151">
        <v>3</v>
      </c>
      <c r="N42" s="151">
        <v>0</v>
      </c>
      <c r="O42" s="151">
        <v>0</v>
      </c>
      <c r="P42" s="151">
        <v>3</v>
      </c>
      <c r="Q42" s="151">
        <v>3</v>
      </c>
      <c r="R42" s="151">
        <v>0</v>
      </c>
      <c r="S42" s="151">
        <v>0</v>
      </c>
      <c r="T42" s="151">
        <v>3</v>
      </c>
      <c r="U42" s="151">
        <v>3</v>
      </c>
      <c r="V42" s="151">
        <v>0</v>
      </c>
      <c r="W42" s="151">
        <v>0</v>
      </c>
      <c r="X42" s="137" t="s">
        <v>208</v>
      </c>
      <c r="Y42" s="155" t="str">
        <f>DB!$D$106</f>
        <v>Epson Genuine Ink (003) Black</v>
      </c>
      <c r="Z42" s="154"/>
      <c r="AA42" s="149"/>
      <c r="AB42" s="136"/>
      <c r="AC42" s="139"/>
      <c r="AD42" s="139"/>
      <c r="AE42" s="139"/>
      <c r="AF42" s="139"/>
    </row>
    <row r="43" spans="1:32" ht="12.75">
      <c r="A43" s="154" t="e">
        <f ca="1"/>
        <v>#NAME?</v>
      </c>
      <c r="B43" s="156" t="s">
        <v>487</v>
      </c>
      <c r="C43" s="151">
        <v>8</v>
      </c>
      <c r="D43" s="151" t="s">
        <v>486</v>
      </c>
      <c r="E43" s="149"/>
      <c r="F43" s="153"/>
      <c r="G43" s="152" t="s">
        <v>447</v>
      </c>
      <c r="H43" s="151">
        <v>2</v>
      </c>
      <c r="I43" s="151">
        <v>2</v>
      </c>
      <c r="J43" s="152">
        <v>0</v>
      </c>
      <c r="K43" s="152">
        <v>0</v>
      </c>
      <c r="L43" s="151">
        <v>2</v>
      </c>
      <c r="M43" s="151">
        <v>2</v>
      </c>
      <c r="N43" s="152">
        <v>0</v>
      </c>
      <c r="O43" s="152">
        <v>0</v>
      </c>
      <c r="P43" s="151">
        <v>2</v>
      </c>
      <c r="Q43" s="151">
        <v>2</v>
      </c>
      <c r="R43" s="152">
        <v>0</v>
      </c>
      <c r="S43" s="152">
        <v>0</v>
      </c>
      <c r="T43" s="151">
        <v>2</v>
      </c>
      <c r="U43" s="151">
        <v>2</v>
      </c>
      <c r="V43" s="152" t="s">
        <v>488</v>
      </c>
      <c r="W43" s="152" t="s">
        <v>488</v>
      </c>
      <c r="X43" s="137" t="s">
        <v>208</v>
      </c>
      <c r="Y43" s="155" t="str">
        <f>DB!$D$107</f>
        <v>Epson Genuine Ink (003) Cyan</v>
      </c>
      <c r="Z43" s="154"/>
      <c r="AA43" s="149"/>
      <c r="AB43" s="136"/>
      <c r="AC43" s="139"/>
      <c r="AD43" s="139"/>
      <c r="AE43" s="139"/>
      <c r="AF43" s="139"/>
    </row>
    <row r="44" spans="1:32" ht="12.75">
      <c r="A44" s="154" t="e">
        <f ca="1"/>
        <v>#NAME?</v>
      </c>
      <c r="B44" s="156" t="s">
        <v>489</v>
      </c>
      <c r="C44" s="151">
        <v>8</v>
      </c>
      <c r="D44" s="151" t="s">
        <v>486</v>
      </c>
      <c r="E44" s="153"/>
      <c r="F44" s="149"/>
      <c r="G44" s="152" t="s">
        <v>447</v>
      </c>
      <c r="H44" s="151">
        <v>2</v>
      </c>
      <c r="I44" s="151">
        <v>2</v>
      </c>
      <c r="J44" s="152">
        <v>0</v>
      </c>
      <c r="K44" s="152">
        <v>0</v>
      </c>
      <c r="L44" s="151">
        <v>2</v>
      </c>
      <c r="M44" s="151">
        <v>2</v>
      </c>
      <c r="N44" s="152">
        <v>0</v>
      </c>
      <c r="O44" s="152">
        <v>0</v>
      </c>
      <c r="P44" s="151">
        <v>2</v>
      </c>
      <c r="Q44" s="151">
        <v>2</v>
      </c>
      <c r="R44" s="152">
        <v>0</v>
      </c>
      <c r="S44" s="152">
        <v>0</v>
      </c>
      <c r="T44" s="151">
        <v>2</v>
      </c>
      <c r="U44" s="151">
        <v>2</v>
      </c>
      <c r="V44" s="152" t="s">
        <v>488</v>
      </c>
      <c r="W44" s="152" t="s">
        <v>488</v>
      </c>
      <c r="X44" s="137" t="s">
        <v>208</v>
      </c>
      <c r="Y44" s="155" t="str">
        <f>DB!$D$108</f>
        <v>Epson Genuine Ink (003) Yellow</v>
      </c>
      <c r="Z44" s="154"/>
      <c r="AA44" s="149"/>
      <c r="AB44" s="136"/>
      <c r="AC44" s="139"/>
      <c r="AD44" s="139"/>
      <c r="AE44" s="139"/>
      <c r="AF44" s="139"/>
    </row>
    <row r="45" spans="1:32" ht="12.75">
      <c r="A45" s="154" t="e">
        <f ca="1"/>
        <v>#NAME?</v>
      </c>
      <c r="B45" s="156" t="s">
        <v>490</v>
      </c>
      <c r="C45" s="151">
        <v>8</v>
      </c>
      <c r="D45" s="151" t="s">
        <v>486</v>
      </c>
      <c r="E45" s="153"/>
      <c r="F45" s="153"/>
      <c r="G45" s="152" t="s">
        <v>447</v>
      </c>
      <c r="H45" s="151">
        <v>2</v>
      </c>
      <c r="I45" s="151">
        <v>2</v>
      </c>
      <c r="J45" s="152">
        <v>0</v>
      </c>
      <c r="K45" s="152">
        <v>0</v>
      </c>
      <c r="L45" s="151">
        <v>2</v>
      </c>
      <c r="M45" s="151">
        <v>2</v>
      </c>
      <c r="N45" s="152">
        <v>0</v>
      </c>
      <c r="O45" s="152">
        <v>0</v>
      </c>
      <c r="P45" s="151">
        <v>2</v>
      </c>
      <c r="Q45" s="151">
        <v>2</v>
      </c>
      <c r="R45" s="152">
        <v>0</v>
      </c>
      <c r="S45" s="152">
        <v>0</v>
      </c>
      <c r="T45" s="151">
        <v>2</v>
      </c>
      <c r="U45" s="151">
        <v>2</v>
      </c>
      <c r="V45" s="152" t="s">
        <v>488</v>
      </c>
      <c r="W45" s="152" t="s">
        <v>488</v>
      </c>
      <c r="X45" s="137" t="s">
        <v>208</v>
      </c>
      <c r="Y45" s="155" t="str">
        <f>DB!$D$109</f>
        <v>Epson Genuine Ink (003) Magenta</v>
      </c>
      <c r="Z45" s="154"/>
      <c r="AA45" s="149"/>
      <c r="AB45" s="136"/>
      <c r="AC45" s="139"/>
      <c r="AD45" s="139"/>
      <c r="AE45" s="139"/>
      <c r="AF45" s="139"/>
    </row>
    <row r="46" spans="1:32" ht="12.75">
      <c r="A46" s="154" t="e">
        <f ca="1"/>
        <v>#NAME?</v>
      </c>
      <c r="B46" s="156" t="s">
        <v>491</v>
      </c>
      <c r="C46" s="151">
        <v>3</v>
      </c>
      <c r="D46" s="151" t="s">
        <v>103</v>
      </c>
      <c r="E46" s="149"/>
      <c r="F46" s="153"/>
      <c r="G46" s="152" t="s">
        <v>447</v>
      </c>
      <c r="H46" s="151">
        <v>1</v>
      </c>
      <c r="I46" s="151">
        <v>1</v>
      </c>
      <c r="J46" s="152">
        <v>0</v>
      </c>
      <c r="K46" s="152">
        <v>0</v>
      </c>
      <c r="L46" s="151">
        <v>0</v>
      </c>
      <c r="M46" s="152" t="s">
        <v>488</v>
      </c>
      <c r="N46" s="152">
        <v>0</v>
      </c>
      <c r="O46" s="152">
        <v>0</v>
      </c>
      <c r="P46" s="151">
        <v>0</v>
      </c>
      <c r="Q46" s="152">
        <v>0</v>
      </c>
      <c r="R46" s="152">
        <v>0</v>
      </c>
      <c r="S46" s="152">
        <v>0</v>
      </c>
      <c r="T46" s="151">
        <v>0</v>
      </c>
      <c r="U46" s="152" t="s">
        <v>488</v>
      </c>
      <c r="V46" s="152" t="s">
        <v>488</v>
      </c>
      <c r="W46" s="152" t="s">
        <v>488</v>
      </c>
      <c r="X46" s="137" t="s">
        <v>208</v>
      </c>
      <c r="Y46" s="155" t="str">
        <f>DB!$D$73</f>
        <v>Webcam Professional Full HD</v>
      </c>
      <c r="Z46" s="152"/>
      <c r="AA46" s="149"/>
      <c r="AB46" s="136"/>
      <c r="AC46" s="139"/>
      <c r="AD46" s="139"/>
      <c r="AE46" s="139"/>
      <c r="AF46" s="139"/>
    </row>
    <row r="47" spans="1:32" ht="51">
      <c r="A47" s="154" t="e">
        <f ca="1"/>
        <v>#NAME?</v>
      </c>
      <c r="B47" s="156" t="s">
        <v>492</v>
      </c>
      <c r="C47" s="151">
        <v>2</v>
      </c>
      <c r="D47" s="151" t="s">
        <v>103</v>
      </c>
      <c r="E47" s="149"/>
      <c r="F47" s="153"/>
      <c r="G47" s="152" t="s">
        <v>447</v>
      </c>
      <c r="H47" s="151">
        <v>2</v>
      </c>
      <c r="I47" s="151">
        <v>2</v>
      </c>
      <c r="J47" s="152">
        <v>0</v>
      </c>
      <c r="K47" s="152">
        <v>0</v>
      </c>
      <c r="L47" s="151">
        <v>0</v>
      </c>
      <c r="M47" s="151">
        <v>0</v>
      </c>
      <c r="N47" s="151">
        <v>0</v>
      </c>
      <c r="O47" s="151">
        <v>0</v>
      </c>
      <c r="P47" s="151">
        <v>0</v>
      </c>
      <c r="Q47" s="151">
        <v>0</v>
      </c>
      <c r="R47" s="151">
        <v>0</v>
      </c>
      <c r="S47" s="151">
        <v>0</v>
      </c>
      <c r="T47" s="151">
        <v>0</v>
      </c>
      <c r="U47" s="151">
        <v>0</v>
      </c>
      <c r="V47" s="151">
        <v>0</v>
      </c>
      <c r="W47" s="151">
        <v>0</v>
      </c>
      <c r="X47" s="137" t="s">
        <v>208</v>
      </c>
      <c r="Y47" s="155" t="str">
        <f>DB!$D$83</f>
        <v>USB Computer Headset</v>
      </c>
      <c r="Z47" s="152"/>
      <c r="AA47" s="149"/>
      <c r="AB47" s="136"/>
      <c r="AC47" s="139"/>
      <c r="AD47" s="139"/>
      <c r="AE47" s="139"/>
      <c r="AF47" s="139"/>
    </row>
    <row r="48" spans="1:32" ht="12.75">
      <c r="A48" s="154" t="e">
        <f ca="1"/>
        <v>#NAME?</v>
      </c>
      <c r="B48" s="150" t="s">
        <v>239</v>
      </c>
      <c r="C48" s="151">
        <v>2</v>
      </c>
      <c r="D48" s="152" t="s">
        <v>103</v>
      </c>
      <c r="E48" s="149"/>
      <c r="F48" s="153"/>
      <c r="G48" s="152" t="s">
        <v>447</v>
      </c>
      <c r="H48" s="151">
        <v>2</v>
      </c>
      <c r="I48" s="151">
        <v>2</v>
      </c>
      <c r="J48" s="152" t="s">
        <v>488</v>
      </c>
      <c r="K48" s="152" t="s">
        <v>488</v>
      </c>
      <c r="L48" s="151">
        <v>0</v>
      </c>
      <c r="M48" s="152" t="s">
        <v>488</v>
      </c>
      <c r="N48" s="152" t="s">
        <v>488</v>
      </c>
      <c r="O48" s="152" t="s">
        <v>488</v>
      </c>
      <c r="P48" s="151">
        <v>0</v>
      </c>
      <c r="Q48" s="152" t="s">
        <v>488</v>
      </c>
      <c r="R48" s="152" t="s">
        <v>488</v>
      </c>
      <c r="S48" s="152" t="s">
        <v>488</v>
      </c>
      <c r="T48" s="151">
        <v>0</v>
      </c>
      <c r="U48" s="152" t="s">
        <v>488</v>
      </c>
      <c r="V48" s="152" t="s">
        <v>488</v>
      </c>
      <c r="W48" s="152" t="s">
        <v>488</v>
      </c>
      <c r="X48" s="137" t="s">
        <v>208</v>
      </c>
      <c r="Y48" s="141" t="str">
        <f>DB!$D$169</f>
        <v>Mouse, Optical, USB 2.0</v>
      </c>
      <c r="Z48" s="152"/>
      <c r="AA48" s="149"/>
      <c r="AB48" s="136"/>
      <c r="AC48" s="139"/>
      <c r="AD48" s="139"/>
      <c r="AE48" s="139"/>
      <c r="AF48" s="139"/>
    </row>
    <row r="49" spans="1:32" ht="12.75">
      <c r="A49" s="154" t="e">
        <f ca="1"/>
        <v>#NAME?</v>
      </c>
      <c r="B49" s="150" t="s">
        <v>493</v>
      </c>
      <c r="C49" s="151">
        <v>2</v>
      </c>
      <c r="D49" s="152" t="s">
        <v>466</v>
      </c>
      <c r="E49" s="149"/>
      <c r="F49" s="153"/>
      <c r="G49" s="152" t="s">
        <v>447</v>
      </c>
      <c r="H49" s="151">
        <v>1</v>
      </c>
      <c r="I49" s="151">
        <v>1</v>
      </c>
      <c r="J49" s="152" t="s">
        <v>488</v>
      </c>
      <c r="K49" s="152" t="s">
        <v>488</v>
      </c>
      <c r="L49" s="151">
        <v>0</v>
      </c>
      <c r="M49" s="152" t="s">
        <v>488</v>
      </c>
      <c r="N49" s="152" t="s">
        <v>488</v>
      </c>
      <c r="O49" s="152" t="s">
        <v>488</v>
      </c>
      <c r="P49" s="151">
        <v>0</v>
      </c>
      <c r="Q49" s="152" t="s">
        <v>488</v>
      </c>
      <c r="R49" s="152" t="s">
        <v>488</v>
      </c>
      <c r="S49" s="152" t="s">
        <v>488</v>
      </c>
      <c r="T49" s="151">
        <v>0</v>
      </c>
      <c r="U49" s="152" t="s">
        <v>488</v>
      </c>
      <c r="V49" s="152" t="s">
        <v>488</v>
      </c>
      <c r="W49" s="152" t="s">
        <v>488</v>
      </c>
      <c r="X49" s="137" t="s">
        <v>208</v>
      </c>
      <c r="Y49" s="155" t="str">
        <f>DB!$D$276</f>
        <v>Ink Tank Printer</v>
      </c>
      <c r="Z49" s="152" t="s">
        <v>469</v>
      </c>
      <c r="AA49" s="149"/>
      <c r="AB49" s="136"/>
      <c r="AC49" s="139"/>
      <c r="AD49" s="139"/>
      <c r="AE49" s="139"/>
      <c r="AF49" s="139"/>
    </row>
    <row r="50" spans="1:32" ht="25.5">
      <c r="A50" s="154" t="e">
        <f ca="1"/>
        <v>#NAME?</v>
      </c>
      <c r="B50" s="156" t="s">
        <v>494</v>
      </c>
      <c r="C50" s="151">
        <v>2</v>
      </c>
      <c r="D50" s="151" t="s">
        <v>103</v>
      </c>
      <c r="E50" s="149"/>
      <c r="F50" s="153"/>
      <c r="G50" s="141" t="s">
        <v>495</v>
      </c>
      <c r="H50" s="158">
        <v>2</v>
      </c>
      <c r="I50" s="151">
        <v>2</v>
      </c>
      <c r="J50" s="151">
        <v>0</v>
      </c>
      <c r="K50" s="151">
        <v>0</v>
      </c>
      <c r="L50" s="151">
        <v>0</v>
      </c>
      <c r="M50" s="151">
        <v>0</v>
      </c>
      <c r="N50" s="151">
        <v>0</v>
      </c>
      <c r="O50" s="151">
        <v>0</v>
      </c>
      <c r="P50" s="151">
        <v>0</v>
      </c>
      <c r="Q50" s="151">
        <v>0</v>
      </c>
      <c r="R50" s="151">
        <v>0</v>
      </c>
      <c r="S50" s="151">
        <v>0</v>
      </c>
      <c r="T50" s="151">
        <v>0</v>
      </c>
      <c r="U50" s="151">
        <v>0</v>
      </c>
      <c r="V50" s="151">
        <v>0</v>
      </c>
      <c r="W50" s="151">
        <v>0</v>
      </c>
      <c r="X50" s="137" t="s">
        <v>113</v>
      </c>
      <c r="Y50" s="155" t="str">
        <f>DB!$D$73</f>
        <v>Webcam Professional Full HD</v>
      </c>
      <c r="Z50" s="154"/>
      <c r="AA50" s="149"/>
      <c r="AB50" s="136"/>
      <c r="AC50" s="139"/>
      <c r="AD50" s="139"/>
      <c r="AE50" s="139"/>
      <c r="AF50" s="139"/>
    </row>
    <row r="51" spans="1:32" ht="25.5">
      <c r="A51" s="154" t="e">
        <f ca="1"/>
        <v>#NAME?</v>
      </c>
      <c r="B51" s="156" t="s">
        <v>496</v>
      </c>
      <c r="C51" s="151">
        <v>16</v>
      </c>
      <c r="D51" s="151" t="s">
        <v>103</v>
      </c>
      <c r="E51" s="149"/>
      <c r="F51" s="153"/>
      <c r="G51" s="141" t="s">
        <v>495</v>
      </c>
      <c r="H51" s="158">
        <v>5</v>
      </c>
      <c r="I51" s="151">
        <v>2</v>
      </c>
      <c r="J51" s="151">
        <v>1</v>
      </c>
      <c r="K51" s="151">
        <v>2</v>
      </c>
      <c r="L51" s="158">
        <v>4</v>
      </c>
      <c r="M51" s="151">
        <v>1</v>
      </c>
      <c r="N51" s="151">
        <v>1</v>
      </c>
      <c r="O51" s="151">
        <v>2</v>
      </c>
      <c r="P51" s="158">
        <v>4</v>
      </c>
      <c r="Q51" s="151">
        <v>1</v>
      </c>
      <c r="R51" s="151">
        <v>1</v>
      </c>
      <c r="S51" s="151">
        <v>2</v>
      </c>
      <c r="T51" s="158">
        <v>3</v>
      </c>
      <c r="U51" s="151">
        <v>1</v>
      </c>
      <c r="V51" s="151">
        <v>1</v>
      </c>
      <c r="W51" s="151">
        <v>1</v>
      </c>
      <c r="X51" s="137" t="s">
        <v>113</v>
      </c>
      <c r="Y51" s="155" t="str">
        <f>DB!$D$110</f>
        <v>HP Genuine Ink Refill - (GT53) Black</v>
      </c>
      <c r="Z51" s="154"/>
      <c r="AA51" s="149"/>
      <c r="AB51" s="136"/>
      <c r="AC51" s="139"/>
      <c r="AD51" s="139"/>
      <c r="AE51" s="139"/>
      <c r="AF51" s="139"/>
    </row>
    <row r="52" spans="1:32" ht="25.5">
      <c r="A52" s="154" t="e">
        <f ca="1"/>
        <v>#NAME?</v>
      </c>
      <c r="B52" s="150" t="s">
        <v>497</v>
      </c>
      <c r="C52" s="151">
        <v>12</v>
      </c>
      <c r="D52" s="151" t="s">
        <v>103</v>
      </c>
      <c r="E52" s="149"/>
      <c r="F52" s="153"/>
      <c r="G52" s="141" t="s">
        <v>495</v>
      </c>
      <c r="H52" s="158">
        <v>3</v>
      </c>
      <c r="I52" s="151">
        <v>1</v>
      </c>
      <c r="J52" s="151">
        <v>1</v>
      </c>
      <c r="K52" s="151">
        <v>1</v>
      </c>
      <c r="L52" s="158">
        <v>3</v>
      </c>
      <c r="M52" s="151">
        <v>1</v>
      </c>
      <c r="N52" s="151">
        <v>1</v>
      </c>
      <c r="O52" s="151">
        <v>1</v>
      </c>
      <c r="P52" s="158">
        <v>3</v>
      </c>
      <c r="Q52" s="151">
        <v>1</v>
      </c>
      <c r="R52" s="151">
        <v>1</v>
      </c>
      <c r="S52" s="151">
        <v>1</v>
      </c>
      <c r="T52" s="158">
        <v>3</v>
      </c>
      <c r="U52" s="151">
        <v>1</v>
      </c>
      <c r="V52" s="151">
        <v>1</v>
      </c>
      <c r="W52" s="151">
        <v>1</v>
      </c>
      <c r="X52" s="137" t="s">
        <v>113</v>
      </c>
      <c r="Y52" s="155" t="str">
        <f>DB!$D$111</f>
        <v>HP Genuine Ink Refill - (GT52) Magenta</v>
      </c>
      <c r="Z52" s="154"/>
      <c r="AA52" s="149"/>
      <c r="AB52" s="136"/>
      <c r="AC52" s="139"/>
      <c r="AD52" s="139"/>
      <c r="AE52" s="139"/>
      <c r="AF52" s="139"/>
    </row>
    <row r="53" spans="1:32" ht="25.5">
      <c r="A53" s="154" t="e">
        <f ca="1"/>
        <v>#NAME?</v>
      </c>
      <c r="B53" s="156" t="s">
        <v>498</v>
      </c>
      <c r="C53" s="151">
        <v>12</v>
      </c>
      <c r="D53" s="151" t="s">
        <v>103</v>
      </c>
      <c r="E53" s="149"/>
      <c r="F53" s="153"/>
      <c r="G53" s="141" t="s">
        <v>495</v>
      </c>
      <c r="H53" s="158">
        <v>3</v>
      </c>
      <c r="I53" s="151">
        <v>1</v>
      </c>
      <c r="J53" s="151">
        <v>1</v>
      </c>
      <c r="K53" s="151">
        <v>1</v>
      </c>
      <c r="L53" s="158">
        <v>3</v>
      </c>
      <c r="M53" s="151">
        <v>1</v>
      </c>
      <c r="N53" s="151">
        <v>1</v>
      </c>
      <c r="O53" s="151">
        <v>1</v>
      </c>
      <c r="P53" s="158">
        <v>3</v>
      </c>
      <c r="Q53" s="151">
        <v>1</v>
      </c>
      <c r="R53" s="151">
        <v>1</v>
      </c>
      <c r="S53" s="151">
        <v>1</v>
      </c>
      <c r="T53" s="158">
        <v>3</v>
      </c>
      <c r="U53" s="151">
        <v>1</v>
      </c>
      <c r="V53" s="151">
        <v>1</v>
      </c>
      <c r="W53" s="151">
        <v>1</v>
      </c>
      <c r="X53" s="137" t="s">
        <v>113</v>
      </c>
      <c r="Y53" s="155" t="str">
        <f>DB!$D$112</f>
        <v>HP Genuine Ink Refill - (GT52) Cyan</v>
      </c>
      <c r="Z53" s="154"/>
      <c r="AA53" s="149"/>
      <c r="AB53" s="136"/>
      <c r="AC53" s="139"/>
      <c r="AD53" s="139"/>
      <c r="AE53" s="139"/>
      <c r="AF53" s="139"/>
    </row>
    <row r="54" spans="1:32" ht="25.5">
      <c r="A54" s="154" t="e">
        <f ca="1"/>
        <v>#NAME?</v>
      </c>
      <c r="B54" s="156" t="s">
        <v>499</v>
      </c>
      <c r="C54" s="151">
        <v>12</v>
      </c>
      <c r="D54" s="151" t="s">
        <v>103</v>
      </c>
      <c r="E54" s="149"/>
      <c r="F54" s="153"/>
      <c r="G54" s="141" t="s">
        <v>495</v>
      </c>
      <c r="H54" s="158">
        <v>3</v>
      </c>
      <c r="I54" s="151">
        <v>1</v>
      </c>
      <c r="J54" s="151">
        <v>1</v>
      </c>
      <c r="K54" s="151">
        <v>1</v>
      </c>
      <c r="L54" s="158">
        <v>3</v>
      </c>
      <c r="M54" s="151">
        <v>1</v>
      </c>
      <c r="N54" s="151">
        <v>1</v>
      </c>
      <c r="O54" s="151">
        <v>1</v>
      </c>
      <c r="P54" s="158">
        <v>3</v>
      </c>
      <c r="Q54" s="151">
        <v>1</v>
      </c>
      <c r="R54" s="151">
        <v>1</v>
      </c>
      <c r="S54" s="151">
        <v>1</v>
      </c>
      <c r="T54" s="158">
        <v>3</v>
      </c>
      <c r="U54" s="151">
        <v>1</v>
      </c>
      <c r="V54" s="151">
        <v>1</v>
      </c>
      <c r="W54" s="151">
        <v>1</v>
      </c>
      <c r="X54" s="137" t="s">
        <v>113</v>
      </c>
      <c r="Y54" s="155" t="str">
        <f>DB!$D$113</f>
        <v>HP Genuine Ink Refill - (GT52) Yellow</v>
      </c>
      <c r="Z54" s="154"/>
      <c r="AA54" s="149"/>
      <c r="AB54" s="136"/>
      <c r="AC54" s="139"/>
      <c r="AD54" s="139"/>
      <c r="AE54" s="139"/>
      <c r="AF54" s="139"/>
    </row>
    <row r="55" spans="1:32" ht="25.5">
      <c r="A55" s="154" t="e">
        <f ca="1"/>
        <v>#NAME?</v>
      </c>
      <c r="B55" s="156" t="s">
        <v>500</v>
      </c>
      <c r="C55" s="151">
        <v>12</v>
      </c>
      <c r="D55" s="151" t="s">
        <v>103</v>
      </c>
      <c r="E55" s="149"/>
      <c r="F55" s="153"/>
      <c r="G55" s="141" t="s">
        <v>495</v>
      </c>
      <c r="H55" s="158">
        <v>3</v>
      </c>
      <c r="I55" s="151">
        <v>1</v>
      </c>
      <c r="J55" s="151">
        <v>1</v>
      </c>
      <c r="K55" s="151">
        <v>1</v>
      </c>
      <c r="L55" s="158">
        <v>3</v>
      </c>
      <c r="M55" s="151">
        <v>1</v>
      </c>
      <c r="N55" s="151">
        <v>1</v>
      </c>
      <c r="O55" s="151">
        <v>1</v>
      </c>
      <c r="P55" s="158">
        <v>3</v>
      </c>
      <c r="Q55" s="151">
        <v>1</v>
      </c>
      <c r="R55" s="151">
        <v>1</v>
      </c>
      <c r="S55" s="151">
        <v>1</v>
      </c>
      <c r="T55" s="158">
        <v>3</v>
      </c>
      <c r="U55" s="151">
        <v>1</v>
      </c>
      <c r="V55" s="151">
        <v>1</v>
      </c>
      <c r="W55" s="151">
        <v>1</v>
      </c>
      <c r="X55" s="137" t="s">
        <v>113</v>
      </c>
      <c r="Y55" s="155" t="str">
        <f>DB!$D$244</f>
        <v>Toner Cartridge for the existing FS-6525MFP</v>
      </c>
      <c r="Z55" s="155"/>
      <c r="AA55" s="149"/>
      <c r="AB55" s="136"/>
      <c r="AC55" s="139"/>
      <c r="AD55" s="139"/>
      <c r="AE55" s="139"/>
      <c r="AF55" s="139"/>
    </row>
    <row r="56" spans="1:32" ht="25.5">
      <c r="A56" s="154" t="e">
        <f ca="1"/>
        <v>#NAME?</v>
      </c>
      <c r="B56" s="156" t="s">
        <v>501</v>
      </c>
      <c r="C56" s="151">
        <v>2</v>
      </c>
      <c r="D56" s="151" t="s">
        <v>103</v>
      </c>
      <c r="E56" s="149"/>
      <c r="F56" s="153"/>
      <c r="G56" s="141" t="s">
        <v>495</v>
      </c>
      <c r="H56" s="158">
        <v>1</v>
      </c>
      <c r="I56" s="151">
        <v>1</v>
      </c>
      <c r="J56" s="151">
        <v>0</v>
      </c>
      <c r="K56" s="151">
        <v>0</v>
      </c>
      <c r="L56" s="158">
        <v>0</v>
      </c>
      <c r="M56" s="151">
        <v>0</v>
      </c>
      <c r="N56" s="151">
        <v>0</v>
      </c>
      <c r="O56" s="151">
        <v>0</v>
      </c>
      <c r="P56" s="158">
        <v>1</v>
      </c>
      <c r="Q56" s="151">
        <v>1</v>
      </c>
      <c r="R56" s="151">
        <v>0</v>
      </c>
      <c r="S56" s="151">
        <v>0</v>
      </c>
      <c r="T56" s="158">
        <v>0</v>
      </c>
      <c r="U56" s="151">
        <v>0</v>
      </c>
      <c r="V56" s="151">
        <v>0</v>
      </c>
      <c r="W56" s="151">
        <v>0</v>
      </c>
      <c r="X56" s="137" t="s">
        <v>113</v>
      </c>
      <c r="Y56" s="155" t="str">
        <f>DB!$D$254</f>
        <v>Maintenance Kit for the existing FS-6525MFP</v>
      </c>
      <c r="Z56" s="155"/>
      <c r="AA56" s="149"/>
      <c r="AB56" s="136"/>
      <c r="AC56" s="139"/>
      <c r="AD56" s="139"/>
      <c r="AE56" s="139"/>
      <c r="AF56" s="139"/>
    </row>
    <row r="57" spans="1:32" ht="25.5">
      <c r="A57" s="154" t="e">
        <f ca="1"/>
        <v>#NAME?</v>
      </c>
      <c r="B57" s="156" t="s">
        <v>502</v>
      </c>
      <c r="C57" s="151">
        <v>12</v>
      </c>
      <c r="D57" s="151" t="s">
        <v>103</v>
      </c>
      <c r="E57" s="149"/>
      <c r="F57" s="153"/>
      <c r="G57" s="141" t="s">
        <v>495</v>
      </c>
      <c r="H57" s="158">
        <v>3</v>
      </c>
      <c r="I57" s="151">
        <v>1</v>
      </c>
      <c r="J57" s="151">
        <v>1</v>
      </c>
      <c r="K57" s="151">
        <v>1</v>
      </c>
      <c r="L57" s="158">
        <v>3</v>
      </c>
      <c r="M57" s="151">
        <v>1</v>
      </c>
      <c r="N57" s="151">
        <v>1</v>
      </c>
      <c r="O57" s="151">
        <v>1</v>
      </c>
      <c r="P57" s="158">
        <v>3</v>
      </c>
      <c r="Q57" s="151">
        <v>1</v>
      </c>
      <c r="R57" s="151">
        <v>1</v>
      </c>
      <c r="S57" s="151">
        <v>1</v>
      </c>
      <c r="T57" s="158">
        <v>3</v>
      </c>
      <c r="U57" s="151">
        <v>1</v>
      </c>
      <c r="V57" s="151">
        <v>1</v>
      </c>
      <c r="W57" s="151">
        <v>1</v>
      </c>
      <c r="X57" s="137" t="s">
        <v>113</v>
      </c>
      <c r="Y57" s="155"/>
      <c r="Z57" s="154" t="s">
        <v>453</v>
      </c>
      <c r="AA57" s="149"/>
      <c r="AB57" s="136"/>
      <c r="AC57" s="139"/>
      <c r="AD57" s="139"/>
      <c r="AE57" s="139"/>
      <c r="AF57" s="139"/>
    </row>
    <row r="58" spans="1:32" ht="25.5">
      <c r="A58" s="154" t="e">
        <f ca="1"/>
        <v>#NAME?</v>
      </c>
      <c r="B58" s="156" t="s">
        <v>503</v>
      </c>
      <c r="C58" s="151">
        <v>8</v>
      </c>
      <c r="D58" s="151" t="s">
        <v>103</v>
      </c>
      <c r="E58" s="149"/>
      <c r="F58" s="153"/>
      <c r="G58" s="141" t="s">
        <v>495</v>
      </c>
      <c r="H58" s="158">
        <v>2</v>
      </c>
      <c r="I58" s="151">
        <v>1</v>
      </c>
      <c r="J58" s="151">
        <v>0</v>
      </c>
      <c r="K58" s="151">
        <v>1</v>
      </c>
      <c r="L58" s="158">
        <v>2</v>
      </c>
      <c r="M58" s="151">
        <v>1</v>
      </c>
      <c r="N58" s="151">
        <v>0</v>
      </c>
      <c r="O58" s="151">
        <v>1</v>
      </c>
      <c r="P58" s="158">
        <v>2</v>
      </c>
      <c r="Q58" s="151">
        <v>1</v>
      </c>
      <c r="R58" s="151">
        <v>0</v>
      </c>
      <c r="S58" s="151">
        <v>1</v>
      </c>
      <c r="T58" s="158">
        <v>2</v>
      </c>
      <c r="U58" s="151">
        <v>1</v>
      </c>
      <c r="V58" s="151">
        <v>0</v>
      </c>
      <c r="W58" s="151">
        <v>1</v>
      </c>
      <c r="X58" s="137" t="s">
        <v>113</v>
      </c>
      <c r="Y58" s="155"/>
      <c r="Z58" s="154" t="s">
        <v>453</v>
      </c>
      <c r="AA58" s="149"/>
      <c r="AB58" s="136"/>
      <c r="AC58" s="139"/>
      <c r="AD58" s="139"/>
      <c r="AE58" s="139"/>
      <c r="AF58" s="139"/>
    </row>
    <row r="59" spans="1:32" ht="25.5">
      <c r="A59" s="154" t="e">
        <f ca="1"/>
        <v>#NAME?</v>
      </c>
      <c r="B59" s="156" t="s">
        <v>504</v>
      </c>
      <c r="C59" s="151">
        <v>8</v>
      </c>
      <c r="D59" s="151" t="s">
        <v>103</v>
      </c>
      <c r="E59" s="149"/>
      <c r="F59" s="153"/>
      <c r="G59" s="141" t="s">
        <v>495</v>
      </c>
      <c r="H59" s="158">
        <v>2</v>
      </c>
      <c r="I59" s="151">
        <v>1</v>
      </c>
      <c r="J59" s="151">
        <v>0</v>
      </c>
      <c r="K59" s="151">
        <v>1</v>
      </c>
      <c r="L59" s="158">
        <v>2</v>
      </c>
      <c r="M59" s="151">
        <v>1</v>
      </c>
      <c r="N59" s="151">
        <v>0</v>
      </c>
      <c r="O59" s="151">
        <v>1</v>
      </c>
      <c r="P59" s="158">
        <v>2</v>
      </c>
      <c r="Q59" s="151">
        <v>1</v>
      </c>
      <c r="R59" s="151">
        <v>0</v>
      </c>
      <c r="S59" s="151">
        <v>1</v>
      </c>
      <c r="T59" s="158">
        <v>2</v>
      </c>
      <c r="U59" s="151">
        <v>1</v>
      </c>
      <c r="V59" s="151">
        <v>0</v>
      </c>
      <c r="W59" s="151">
        <v>1</v>
      </c>
      <c r="X59" s="137" t="s">
        <v>113</v>
      </c>
      <c r="Y59" s="155"/>
      <c r="Z59" s="154" t="s">
        <v>453</v>
      </c>
      <c r="AA59" s="149"/>
      <c r="AB59" s="136"/>
      <c r="AC59" s="139"/>
      <c r="AD59" s="139"/>
      <c r="AE59" s="139"/>
      <c r="AF59" s="139"/>
    </row>
    <row r="60" spans="1:32" ht="25.5">
      <c r="A60" s="154" t="e">
        <f ca="1"/>
        <v>#NAME?</v>
      </c>
      <c r="B60" s="156" t="s">
        <v>505</v>
      </c>
      <c r="C60" s="151">
        <v>8</v>
      </c>
      <c r="D60" s="151" t="s">
        <v>103</v>
      </c>
      <c r="E60" s="149"/>
      <c r="F60" s="153"/>
      <c r="G60" s="141" t="s">
        <v>495</v>
      </c>
      <c r="H60" s="158">
        <v>2</v>
      </c>
      <c r="I60" s="151">
        <v>1</v>
      </c>
      <c r="J60" s="151">
        <v>0</v>
      </c>
      <c r="K60" s="151">
        <v>1</v>
      </c>
      <c r="L60" s="158">
        <v>2</v>
      </c>
      <c r="M60" s="151">
        <v>1</v>
      </c>
      <c r="N60" s="151">
        <v>0</v>
      </c>
      <c r="O60" s="151">
        <v>1</v>
      </c>
      <c r="P60" s="158">
        <v>2</v>
      </c>
      <c r="Q60" s="151">
        <v>1</v>
      </c>
      <c r="R60" s="151">
        <v>0</v>
      </c>
      <c r="S60" s="151">
        <v>1</v>
      </c>
      <c r="T60" s="158">
        <v>2</v>
      </c>
      <c r="U60" s="151">
        <v>1</v>
      </c>
      <c r="V60" s="151">
        <v>0</v>
      </c>
      <c r="W60" s="151">
        <v>1</v>
      </c>
      <c r="X60" s="137" t="s">
        <v>113</v>
      </c>
      <c r="Y60" s="155"/>
      <c r="Z60" s="154" t="s">
        <v>453</v>
      </c>
      <c r="AA60" s="149"/>
      <c r="AB60" s="136"/>
      <c r="AC60" s="139"/>
      <c r="AD60" s="139"/>
      <c r="AE60" s="139"/>
      <c r="AF60" s="139"/>
    </row>
    <row r="61" spans="1:32" ht="25.5">
      <c r="A61" s="154" t="e">
        <f ca="1"/>
        <v>#NAME?</v>
      </c>
      <c r="B61" s="156" t="s">
        <v>506</v>
      </c>
      <c r="C61" s="151">
        <v>1</v>
      </c>
      <c r="D61" s="151" t="s">
        <v>103</v>
      </c>
      <c r="E61" s="149"/>
      <c r="F61" s="149"/>
      <c r="G61" s="141" t="s">
        <v>495</v>
      </c>
      <c r="H61" s="158">
        <v>1</v>
      </c>
      <c r="I61" s="151">
        <v>1</v>
      </c>
      <c r="J61" s="151">
        <v>0</v>
      </c>
      <c r="K61" s="151">
        <v>0</v>
      </c>
      <c r="L61" s="158">
        <v>0</v>
      </c>
      <c r="M61" s="151">
        <v>0</v>
      </c>
      <c r="N61" s="151">
        <v>0</v>
      </c>
      <c r="O61" s="151">
        <v>0</v>
      </c>
      <c r="P61" s="158">
        <v>0</v>
      </c>
      <c r="Q61" s="151">
        <v>0</v>
      </c>
      <c r="R61" s="151">
        <v>0</v>
      </c>
      <c r="S61" s="151">
        <v>0</v>
      </c>
      <c r="T61" s="158">
        <v>0</v>
      </c>
      <c r="U61" s="151">
        <v>0</v>
      </c>
      <c r="V61" s="151">
        <v>0</v>
      </c>
      <c r="W61" s="151">
        <v>0</v>
      </c>
      <c r="X61" s="137" t="s">
        <v>113</v>
      </c>
      <c r="Y61" s="155" t="str">
        <f>DB!$D$276</f>
        <v>Ink Tank Printer</v>
      </c>
      <c r="Z61" s="154" t="s">
        <v>469</v>
      </c>
      <c r="AA61" s="149"/>
      <c r="AB61" s="136"/>
      <c r="AC61" s="139"/>
      <c r="AD61" s="139"/>
      <c r="AE61" s="139"/>
      <c r="AF61" s="139"/>
    </row>
    <row r="62" spans="1:32" ht="25.5">
      <c r="A62" s="154" t="e">
        <f ca="1"/>
        <v>#NAME?</v>
      </c>
      <c r="B62" s="156" t="s">
        <v>507</v>
      </c>
      <c r="C62" s="151">
        <v>2</v>
      </c>
      <c r="D62" s="151" t="s">
        <v>103</v>
      </c>
      <c r="E62" s="149"/>
      <c r="F62" s="149"/>
      <c r="G62" s="141" t="s">
        <v>495</v>
      </c>
      <c r="H62" s="158">
        <v>1</v>
      </c>
      <c r="I62" s="151">
        <v>1</v>
      </c>
      <c r="J62" s="151">
        <v>0</v>
      </c>
      <c r="K62" s="151">
        <v>0</v>
      </c>
      <c r="L62" s="158">
        <v>0</v>
      </c>
      <c r="M62" s="151">
        <v>0</v>
      </c>
      <c r="N62" s="151">
        <v>0</v>
      </c>
      <c r="O62" s="151">
        <v>0</v>
      </c>
      <c r="P62" s="158">
        <v>1</v>
      </c>
      <c r="Q62" s="151">
        <v>1</v>
      </c>
      <c r="R62" s="151">
        <v>0</v>
      </c>
      <c r="S62" s="151">
        <v>0</v>
      </c>
      <c r="T62" s="158">
        <v>0</v>
      </c>
      <c r="U62" s="151">
        <v>0</v>
      </c>
      <c r="V62" s="151">
        <v>0</v>
      </c>
      <c r="W62" s="151">
        <v>0</v>
      </c>
      <c r="X62" s="137" t="s">
        <v>113</v>
      </c>
      <c r="Y62" s="155" t="str">
        <f>DB!$D$80</f>
        <v>64GB Flash Drive</v>
      </c>
      <c r="Z62" s="154"/>
      <c r="AA62" s="149"/>
      <c r="AB62" s="136"/>
      <c r="AC62" s="139"/>
      <c r="AD62" s="139"/>
      <c r="AE62" s="139"/>
      <c r="AF62" s="139"/>
    </row>
    <row r="63" spans="1:32" ht="25.5">
      <c r="A63" s="154" t="e">
        <f ca="1"/>
        <v>#NAME?</v>
      </c>
      <c r="B63" s="150" t="s">
        <v>508</v>
      </c>
      <c r="C63" s="151">
        <v>1</v>
      </c>
      <c r="D63" s="151" t="s">
        <v>103</v>
      </c>
      <c r="E63" s="149"/>
      <c r="F63" s="153"/>
      <c r="G63" s="141" t="s">
        <v>495</v>
      </c>
      <c r="H63" s="158">
        <v>1</v>
      </c>
      <c r="I63" s="151">
        <v>1</v>
      </c>
      <c r="J63" s="151">
        <v>0</v>
      </c>
      <c r="K63" s="151">
        <v>0</v>
      </c>
      <c r="L63" s="158">
        <v>0</v>
      </c>
      <c r="M63" s="151">
        <v>0</v>
      </c>
      <c r="N63" s="151">
        <v>0</v>
      </c>
      <c r="O63" s="151">
        <v>0</v>
      </c>
      <c r="P63" s="158">
        <v>0</v>
      </c>
      <c r="Q63" s="151">
        <v>0</v>
      </c>
      <c r="R63" s="151">
        <v>0</v>
      </c>
      <c r="S63" s="151">
        <v>0</v>
      </c>
      <c r="T63" s="158">
        <v>0</v>
      </c>
      <c r="U63" s="151">
        <v>0</v>
      </c>
      <c r="V63" s="151">
        <v>0</v>
      </c>
      <c r="W63" s="151">
        <v>0</v>
      </c>
      <c r="X63" s="137" t="s">
        <v>113</v>
      </c>
      <c r="Y63" s="155" t="str">
        <f>DB!$D$74</f>
        <v>1TB Slim Portable Hard Drive External HDD</v>
      </c>
      <c r="Z63" s="154"/>
      <c r="AA63" s="149"/>
      <c r="AB63" s="136"/>
      <c r="AC63" s="139"/>
      <c r="AD63" s="139"/>
      <c r="AE63" s="139"/>
      <c r="AF63" s="139"/>
    </row>
    <row r="64" spans="1:32" ht="25.5">
      <c r="A64" s="154" t="e">
        <f ca="1"/>
        <v>#NAME?</v>
      </c>
      <c r="B64" s="156" t="s">
        <v>509</v>
      </c>
      <c r="C64" s="151">
        <v>2</v>
      </c>
      <c r="D64" s="151" t="s">
        <v>103</v>
      </c>
      <c r="E64" s="153"/>
      <c r="F64" s="153"/>
      <c r="G64" s="141" t="s">
        <v>495</v>
      </c>
      <c r="H64" s="158">
        <v>1</v>
      </c>
      <c r="I64" s="151">
        <v>1</v>
      </c>
      <c r="J64" s="151">
        <v>0</v>
      </c>
      <c r="K64" s="151">
        <v>0</v>
      </c>
      <c r="L64" s="158">
        <v>0</v>
      </c>
      <c r="M64" s="151">
        <v>0</v>
      </c>
      <c r="N64" s="151">
        <v>0</v>
      </c>
      <c r="O64" s="151">
        <v>0</v>
      </c>
      <c r="P64" s="158">
        <v>1</v>
      </c>
      <c r="Q64" s="151">
        <v>1</v>
      </c>
      <c r="R64" s="151">
        <v>0</v>
      </c>
      <c r="S64" s="151">
        <v>0</v>
      </c>
      <c r="T64" s="158">
        <v>0</v>
      </c>
      <c r="U64" s="151">
        <v>0</v>
      </c>
      <c r="V64" s="151">
        <v>0</v>
      </c>
      <c r="W64" s="151">
        <v>0</v>
      </c>
      <c r="X64" s="137" t="s">
        <v>113</v>
      </c>
      <c r="Y64" s="141" t="str">
        <f>DB!$D$169</f>
        <v>Mouse, Optical, USB 2.0</v>
      </c>
      <c r="Z64" s="154"/>
      <c r="AA64" s="149"/>
      <c r="AB64" s="136"/>
      <c r="AC64" s="139"/>
      <c r="AD64" s="139"/>
      <c r="AE64" s="139"/>
      <c r="AF64" s="139"/>
    </row>
    <row r="65" spans="1:32" ht="25.5">
      <c r="A65" s="154" t="e">
        <f ca="1"/>
        <v>#NAME?</v>
      </c>
      <c r="B65" s="156" t="s">
        <v>510</v>
      </c>
      <c r="C65" s="151">
        <v>2</v>
      </c>
      <c r="D65" s="151" t="s">
        <v>103</v>
      </c>
      <c r="E65" s="149"/>
      <c r="F65" s="153"/>
      <c r="G65" s="141" t="s">
        <v>495</v>
      </c>
      <c r="H65" s="158">
        <v>1</v>
      </c>
      <c r="I65" s="151">
        <v>1</v>
      </c>
      <c r="J65" s="151">
        <v>0</v>
      </c>
      <c r="K65" s="151">
        <v>0</v>
      </c>
      <c r="L65" s="158">
        <v>0</v>
      </c>
      <c r="M65" s="151">
        <v>0</v>
      </c>
      <c r="N65" s="151">
        <v>0</v>
      </c>
      <c r="O65" s="151">
        <v>0</v>
      </c>
      <c r="P65" s="158">
        <v>1</v>
      </c>
      <c r="Q65" s="151">
        <v>1</v>
      </c>
      <c r="R65" s="151">
        <v>0</v>
      </c>
      <c r="S65" s="151">
        <v>0</v>
      </c>
      <c r="T65" s="158">
        <v>0</v>
      </c>
      <c r="U65" s="151">
        <v>0</v>
      </c>
      <c r="V65" s="151">
        <v>0</v>
      </c>
      <c r="W65" s="151">
        <v>0</v>
      </c>
      <c r="X65" s="137" t="s">
        <v>113</v>
      </c>
      <c r="Y65" s="141" t="str">
        <f>DB!$D$168</f>
        <v>Keyboard, Full Size, USB 2.0</v>
      </c>
      <c r="Z65" s="154"/>
      <c r="AA65" s="149"/>
      <c r="AB65" s="136"/>
      <c r="AC65" s="139"/>
      <c r="AD65" s="139"/>
      <c r="AE65" s="139"/>
      <c r="AF65" s="139"/>
    </row>
    <row r="66" spans="1:32" ht="25.5">
      <c r="A66" s="154" t="e">
        <f ca="1"/>
        <v>#NAME?</v>
      </c>
      <c r="B66" s="156" t="s">
        <v>511</v>
      </c>
      <c r="C66" s="151">
        <v>3</v>
      </c>
      <c r="D66" s="151" t="s">
        <v>103</v>
      </c>
      <c r="E66" s="149"/>
      <c r="F66" s="153"/>
      <c r="G66" s="141" t="s">
        <v>495</v>
      </c>
      <c r="H66" s="158">
        <v>3</v>
      </c>
      <c r="I66" s="151">
        <v>3</v>
      </c>
      <c r="J66" s="151">
        <v>0</v>
      </c>
      <c r="K66" s="151">
        <v>0</v>
      </c>
      <c r="L66" s="158">
        <v>0</v>
      </c>
      <c r="M66" s="151">
        <v>0</v>
      </c>
      <c r="N66" s="151">
        <v>0</v>
      </c>
      <c r="O66" s="151">
        <v>0</v>
      </c>
      <c r="P66" s="158">
        <v>0</v>
      </c>
      <c r="Q66" s="151">
        <v>0</v>
      </c>
      <c r="R66" s="151">
        <v>0</v>
      </c>
      <c r="S66" s="151">
        <v>0</v>
      </c>
      <c r="T66" s="158">
        <v>0</v>
      </c>
      <c r="U66" s="151">
        <v>0</v>
      </c>
      <c r="V66" s="151">
        <v>0</v>
      </c>
      <c r="W66" s="151">
        <v>0</v>
      </c>
      <c r="X66" s="137" t="s">
        <v>113</v>
      </c>
      <c r="Y66" s="155" t="str">
        <f>DB!$D$6</f>
        <v>UPS 650VA, AVR, 230V</v>
      </c>
      <c r="Z66" s="154"/>
      <c r="AA66" s="149"/>
      <c r="AB66" s="136"/>
      <c r="AC66" s="139"/>
      <c r="AD66" s="139"/>
      <c r="AE66" s="139"/>
      <c r="AF66" s="139"/>
    </row>
    <row r="67" spans="1:32" ht="25.5">
      <c r="A67" s="154" t="e">
        <f ca="1"/>
        <v>#NAME?</v>
      </c>
      <c r="B67" s="156" t="s">
        <v>512</v>
      </c>
      <c r="C67" s="151">
        <v>2</v>
      </c>
      <c r="D67" s="151" t="s">
        <v>103</v>
      </c>
      <c r="E67" s="149"/>
      <c r="F67" s="153"/>
      <c r="G67" s="141" t="s">
        <v>495</v>
      </c>
      <c r="H67" s="158">
        <v>2</v>
      </c>
      <c r="I67" s="151">
        <v>2</v>
      </c>
      <c r="J67" s="151">
        <v>0</v>
      </c>
      <c r="K67" s="151">
        <v>0</v>
      </c>
      <c r="L67" s="158">
        <v>0</v>
      </c>
      <c r="M67" s="151">
        <v>0</v>
      </c>
      <c r="N67" s="151">
        <v>0</v>
      </c>
      <c r="O67" s="151">
        <v>0</v>
      </c>
      <c r="P67" s="158">
        <v>0</v>
      </c>
      <c r="Q67" s="151">
        <v>0</v>
      </c>
      <c r="R67" s="151">
        <v>0</v>
      </c>
      <c r="S67" s="151">
        <v>0</v>
      </c>
      <c r="T67" s="158">
        <v>0</v>
      </c>
      <c r="U67" s="151">
        <v>0</v>
      </c>
      <c r="V67" s="151">
        <v>0</v>
      </c>
      <c r="W67" s="151">
        <v>0</v>
      </c>
      <c r="X67" s="137" t="s">
        <v>113</v>
      </c>
      <c r="Y67" s="155"/>
      <c r="Z67" s="154" t="s">
        <v>453</v>
      </c>
      <c r="AA67" s="149"/>
      <c r="AB67" s="136"/>
      <c r="AC67" s="139"/>
      <c r="AD67" s="139"/>
      <c r="AE67" s="139"/>
      <c r="AF67" s="139"/>
    </row>
    <row r="68" spans="1:32" ht="38.25">
      <c r="A68" s="154" t="e">
        <f ca="1"/>
        <v>#NAME?</v>
      </c>
      <c r="B68" s="156" t="s">
        <v>234</v>
      </c>
      <c r="C68" s="151">
        <v>4</v>
      </c>
      <c r="D68" s="151" t="s">
        <v>103</v>
      </c>
      <c r="E68" s="149"/>
      <c r="F68" s="153"/>
      <c r="G68" s="141" t="s">
        <v>513</v>
      </c>
      <c r="H68" s="151">
        <v>2</v>
      </c>
      <c r="I68" s="151">
        <v>2</v>
      </c>
      <c r="J68" s="151">
        <v>0</v>
      </c>
      <c r="K68" s="151">
        <v>0</v>
      </c>
      <c r="L68" s="151">
        <v>2</v>
      </c>
      <c r="M68" s="151">
        <v>2</v>
      </c>
      <c r="N68" s="151">
        <v>0</v>
      </c>
      <c r="O68" s="151">
        <v>0</v>
      </c>
      <c r="P68" s="151">
        <v>0</v>
      </c>
      <c r="Q68" s="151">
        <v>0</v>
      </c>
      <c r="R68" s="151">
        <v>0</v>
      </c>
      <c r="S68" s="151">
        <v>0</v>
      </c>
      <c r="T68" s="151">
        <v>0</v>
      </c>
      <c r="U68" s="151">
        <v>0</v>
      </c>
      <c r="V68" s="151">
        <v>0</v>
      </c>
      <c r="W68" s="151">
        <v>0</v>
      </c>
      <c r="X68" s="137" t="s">
        <v>137</v>
      </c>
      <c r="Y68" s="141" t="str">
        <f>DB!$D$168</f>
        <v>Keyboard, Full Size, USB 2.0</v>
      </c>
      <c r="Z68" s="154"/>
      <c r="AA68" s="149"/>
      <c r="AB68" s="136"/>
      <c r="AC68" s="139"/>
      <c r="AD68" s="139"/>
      <c r="AE68" s="139"/>
      <c r="AF68" s="139"/>
    </row>
    <row r="69" spans="1:32" ht="38.25">
      <c r="A69" s="154" t="e">
        <f ca="1"/>
        <v>#NAME?</v>
      </c>
      <c r="B69" s="156" t="s">
        <v>514</v>
      </c>
      <c r="C69" s="151">
        <v>12</v>
      </c>
      <c r="D69" s="151" t="s">
        <v>103</v>
      </c>
      <c r="E69" s="149"/>
      <c r="F69" s="157"/>
      <c r="G69" s="141" t="s">
        <v>513</v>
      </c>
      <c r="H69" s="151">
        <v>3</v>
      </c>
      <c r="I69" s="151">
        <v>1</v>
      </c>
      <c r="J69" s="151">
        <v>1</v>
      </c>
      <c r="K69" s="151">
        <v>1</v>
      </c>
      <c r="L69" s="151">
        <v>3</v>
      </c>
      <c r="M69" s="151">
        <v>1</v>
      </c>
      <c r="N69" s="151">
        <v>1</v>
      </c>
      <c r="O69" s="151">
        <v>1</v>
      </c>
      <c r="P69" s="151">
        <v>3</v>
      </c>
      <c r="Q69" s="151">
        <v>1</v>
      </c>
      <c r="R69" s="151">
        <v>1</v>
      </c>
      <c r="S69" s="151">
        <v>1</v>
      </c>
      <c r="T69" s="151">
        <v>3</v>
      </c>
      <c r="U69" s="151">
        <v>1</v>
      </c>
      <c r="V69" s="151">
        <v>1</v>
      </c>
      <c r="W69" s="151">
        <v>1</v>
      </c>
      <c r="X69" s="137" t="s">
        <v>137</v>
      </c>
      <c r="Y69" s="155" t="str">
        <f>DB!$D$102</f>
        <v>Epson Genuine Ink T6641 Black</v>
      </c>
      <c r="Z69" s="154"/>
      <c r="AA69" s="149"/>
      <c r="AB69" s="136"/>
      <c r="AC69" s="139"/>
      <c r="AD69" s="139"/>
      <c r="AE69" s="139"/>
      <c r="AF69" s="139"/>
    </row>
    <row r="70" spans="1:32" ht="38.25">
      <c r="A70" s="154" t="e">
        <f ca="1"/>
        <v>#NAME?</v>
      </c>
      <c r="B70" s="156" t="s">
        <v>515</v>
      </c>
      <c r="C70" s="151">
        <v>30</v>
      </c>
      <c r="D70" s="151" t="s">
        <v>103</v>
      </c>
      <c r="E70" s="149"/>
      <c r="F70" s="157"/>
      <c r="G70" s="141" t="s">
        <v>513</v>
      </c>
      <c r="H70" s="151">
        <v>8</v>
      </c>
      <c r="I70" s="151">
        <v>3</v>
      </c>
      <c r="J70" s="151">
        <v>3</v>
      </c>
      <c r="K70" s="151">
        <v>2</v>
      </c>
      <c r="L70" s="151">
        <v>8</v>
      </c>
      <c r="M70" s="151">
        <v>3</v>
      </c>
      <c r="N70" s="151">
        <v>3</v>
      </c>
      <c r="O70" s="151">
        <v>2</v>
      </c>
      <c r="P70" s="151">
        <v>7</v>
      </c>
      <c r="Q70" s="151">
        <v>3</v>
      </c>
      <c r="R70" s="151">
        <v>2</v>
      </c>
      <c r="S70" s="151">
        <v>2</v>
      </c>
      <c r="T70" s="151">
        <v>7</v>
      </c>
      <c r="U70" s="151">
        <v>3</v>
      </c>
      <c r="V70" s="151">
        <v>2</v>
      </c>
      <c r="W70" s="151">
        <v>2</v>
      </c>
      <c r="X70" s="137" t="s">
        <v>137</v>
      </c>
      <c r="Y70" s="155" t="str">
        <f>DB!$D$106</f>
        <v>Epson Genuine Ink (003) Black</v>
      </c>
      <c r="Z70" s="154"/>
      <c r="AA70" s="149"/>
      <c r="AB70" s="136"/>
      <c r="AC70" s="139"/>
      <c r="AD70" s="139"/>
      <c r="AE70" s="139"/>
      <c r="AF70" s="139"/>
    </row>
    <row r="71" spans="1:32" ht="38.25">
      <c r="A71" s="154" t="e">
        <f ca="1"/>
        <v>#NAME?</v>
      </c>
      <c r="B71" s="156" t="s">
        <v>516</v>
      </c>
      <c r="C71" s="151">
        <v>16</v>
      </c>
      <c r="D71" s="151" t="s">
        <v>103</v>
      </c>
      <c r="E71" s="149"/>
      <c r="F71" s="157"/>
      <c r="G71" s="141" t="s">
        <v>513</v>
      </c>
      <c r="H71" s="151">
        <v>4</v>
      </c>
      <c r="I71" s="151">
        <v>2</v>
      </c>
      <c r="J71" s="151">
        <v>1</v>
      </c>
      <c r="K71" s="151">
        <v>1</v>
      </c>
      <c r="L71" s="151">
        <v>4</v>
      </c>
      <c r="M71" s="151">
        <v>2</v>
      </c>
      <c r="N71" s="151">
        <v>1</v>
      </c>
      <c r="O71" s="151">
        <v>1</v>
      </c>
      <c r="P71" s="151">
        <v>4</v>
      </c>
      <c r="Q71" s="151">
        <v>2</v>
      </c>
      <c r="R71" s="151">
        <v>1</v>
      </c>
      <c r="S71" s="151">
        <v>1</v>
      </c>
      <c r="T71" s="151">
        <v>4</v>
      </c>
      <c r="U71" s="151">
        <v>2</v>
      </c>
      <c r="V71" s="151">
        <v>1</v>
      </c>
      <c r="W71" s="151">
        <v>1</v>
      </c>
      <c r="X71" s="137" t="s">
        <v>137</v>
      </c>
      <c r="Y71" s="155" t="str">
        <f>DB!$D$107</f>
        <v>Epson Genuine Ink (003) Cyan</v>
      </c>
      <c r="Z71" s="154"/>
      <c r="AA71" s="149"/>
      <c r="AB71" s="136"/>
      <c r="AC71" s="139"/>
      <c r="AD71" s="139"/>
      <c r="AE71" s="139"/>
      <c r="AF71" s="139"/>
    </row>
    <row r="72" spans="1:32" ht="38.25">
      <c r="A72" s="154" t="e">
        <f ca="1"/>
        <v>#NAME?</v>
      </c>
      <c r="B72" s="156" t="s">
        <v>517</v>
      </c>
      <c r="C72" s="151">
        <v>16</v>
      </c>
      <c r="D72" s="151" t="s">
        <v>103</v>
      </c>
      <c r="E72" s="149"/>
      <c r="F72" s="157"/>
      <c r="G72" s="141" t="s">
        <v>513</v>
      </c>
      <c r="H72" s="151">
        <v>4</v>
      </c>
      <c r="I72" s="151">
        <v>2</v>
      </c>
      <c r="J72" s="151">
        <v>1</v>
      </c>
      <c r="K72" s="151">
        <v>1</v>
      </c>
      <c r="L72" s="151">
        <v>4</v>
      </c>
      <c r="M72" s="151">
        <v>2</v>
      </c>
      <c r="N72" s="151">
        <v>1</v>
      </c>
      <c r="O72" s="151">
        <v>1</v>
      </c>
      <c r="P72" s="151">
        <v>4</v>
      </c>
      <c r="Q72" s="151">
        <v>2</v>
      </c>
      <c r="R72" s="151">
        <v>1</v>
      </c>
      <c r="S72" s="151">
        <v>1</v>
      </c>
      <c r="T72" s="151">
        <v>4</v>
      </c>
      <c r="U72" s="151">
        <v>2</v>
      </c>
      <c r="V72" s="151">
        <v>1</v>
      </c>
      <c r="W72" s="151">
        <v>1</v>
      </c>
      <c r="X72" s="137" t="s">
        <v>137</v>
      </c>
      <c r="Y72" s="155" t="str">
        <f>DB!$D$108</f>
        <v>Epson Genuine Ink (003) Yellow</v>
      </c>
      <c r="Z72" s="154"/>
      <c r="AA72" s="149"/>
      <c r="AB72" s="136"/>
      <c r="AC72" s="139"/>
      <c r="AD72" s="139"/>
      <c r="AE72" s="139"/>
      <c r="AF72" s="139"/>
    </row>
    <row r="73" spans="1:32" ht="38.25">
      <c r="A73" s="154" t="e">
        <f ca="1"/>
        <v>#NAME?</v>
      </c>
      <c r="B73" s="156" t="s">
        <v>518</v>
      </c>
      <c r="C73" s="151">
        <v>16</v>
      </c>
      <c r="D73" s="151" t="s">
        <v>103</v>
      </c>
      <c r="E73" s="159"/>
      <c r="F73" s="160"/>
      <c r="G73" s="141" t="s">
        <v>513</v>
      </c>
      <c r="H73" s="151">
        <v>4</v>
      </c>
      <c r="I73" s="151">
        <v>2</v>
      </c>
      <c r="J73" s="151">
        <v>1</v>
      </c>
      <c r="K73" s="151">
        <v>1</v>
      </c>
      <c r="L73" s="151">
        <v>4</v>
      </c>
      <c r="M73" s="151">
        <v>2</v>
      </c>
      <c r="N73" s="151">
        <v>1</v>
      </c>
      <c r="O73" s="151">
        <v>1</v>
      </c>
      <c r="P73" s="151">
        <v>4</v>
      </c>
      <c r="Q73" s="151">
        <v>2</v>
      </c>
      <c r="R73" s="151">
        <v>1</v>
      </c>
      <c r="S73" s="151">
        <v>1</v>
      </c>
      <c r="T73" s="151">
        <v>4</v>
      </c>
      <c r="U73" s="151">
        <v>2</v>
      </c>
      <c r="V73" s="151">
        <v>1</v>
      </c>
      <c r="W73" s="151">
        <v>1</v>
      </c>
      <c r="X73" s="137" t="s">
        <v>137</v>
      </c>
      <c r="Y73" s="155" t="str">
        <f>DB!$D$109</f>
        <v>Epson Genuine Ink (003) Magenta</v>
      </c>
      <c r="Z73" s="154"/>
      <c r="AA73" s="151"/>
      <c r="AB73" s="136"/>
      <c r="AC73" s="139"/>
      <c r="AD73" s="139"/>
      <c r="AE73" s="139"/>
      <c r="AF73" s="139"/>
    </row>
    <row r="74" spans="1:32" ht="38.25">
      <c r="A74" s="154" t="e">
        <f ca="1"/>
        <v>#NAME?</v>
      </c>
      <c r="B74" s="156" t="s">
        <v>519</v>
      </c>
      <c r="C74" s="151">
        <v>1</v>
      </c>
      <c r="D74" s="151" t="s">
        <v>103</v>
      </c>
      <c r="E74" s="154"/>
      <c r="F74" s="154"/>
      <c r="G74" s="141" t="s">
        <v>513</v>
      </c>
      <c r="H74" s="151">
        <v>1</v>
      </c>
      <c r="I74" s="151">
        <v>1</v>
      </c>
      <c r="J74" s="151">
        <v>0</v>
      </c>
      <c r="K74" s="151">
        <v>0</v>
      </c>
      <c r="L74" s="151">
        <v>0</v>
      </c>
      <c r="M74" s="151">
        <v>0</v>
      </c>
      <c r="N74" s="151">
        <v>0</v>
      </c>
      <c r="O74" s="151">
        <v>0</v>
      </c>
      <c r="P74" s="151">
        <v>0</v>
      </c>
      <c r="Q74" s="151">
        <v>0</v>
      </c>
      <c r="R74" s="151">
        <v>0</v>
      </c>
      <c r="S74" s="151">
        <v>0</v>
      </c>
      <c r="T74" s="151">
        <v>0</v>
      </c>
      <c r="U74" s="151">
        <v>0</v>
      </c>
      <c r="V74" s="151">
        <v>0</v>
      </c>
      <c r="W74" s="151">
        <v>0</v>
      </c>
      <c r="X74" s="137" t="s">
        <v>137</v>
      </c>
      <c r="Y74" s="155" t="str">
        <f>DB!$D$79</f>
        <v>32GB Flash Drive</v>
      </c>
      <c r="Z74" s="154"/>
      <c r="AA74" s="154"/>
      <c r="AB74" s="136"/>
      <c r="AC74" s="139"/>
      <c r="AD74" s="139"/>
      <c r="AE74" s="139"/>
      <c r="AF74" s="139"/>
    </row>
    <row r="75" spans="1:32" ht="38.25">
      <c r="A75" s="154" t="e">
        <f ca="1"/>
        <v>#NAME?</v>
      </c>
      <c r="B75" s="156" t="s">
        <v>520</v>
      </c>
      <c r="C75" s="151">
        <v>30</v>
      </c>
      <c r="D75" s="151" t="s">
        <v>103</v>
      </c>
      <c r="E75" s="154"/>
      <c r="F75" s="157"/>
      <c r="G75" s="141" t="s">
        <v>513</v>
      </c>
      <c r="H75" s="151">
        <v>5</v>
      </c>
      <c r="I75" s="151">
        <v>2</v>
      </c>
      <c r="J75" s="151">
        <v>2</v>
      </c>
      <c r="K75" s="151">
        <v>1</v>
      </c>
      <c r="L75" s="151">
        <v>5</v>
      </c>
      <c r="M75" s="151">
        <v>2</v>
      </c>
      <c r="N75" s="151">
        <v>2</v>
      </c>
      <c r="O75" s="151">
        <v>1</v>
      </c>
      <c r="P75" s="151">
        <v>5</v>
      </c>
      <c r="Q75" s="151">
        <v>2</v>
      </c>
      <c r="R75" s="151">
        <v>2</v>
      </c>
      <c r="S75" s="151">
        <v>1</v>
      </c>
      <c r="T75" s="151">
        <v>15</v>
      </c>
      <c r="U75" s="151">
        <v>5</v>
      </c>
      <c r="V75" s="151">
        <v>5</v>
      </c>
      <c r="W75" s="151">
        <v>5</v>
      </c>
      <c r="X75" s="137" t="s">
        <v>137</v>
      </c>
      <c r="Y75" s="155" t="str">
        <f>DB!$D$245</f>
        <v>Toner Cartridge for the existing ECOSYS M4125IDN</v>
      </c>
      <c r="Z75" s="155"/>
      <c r="AA75" s="154"/>
      <c r="AB75" s="136"/>
      <c r="AC75" s="139"/>
      <c r="AD75" s="139"/>
      <c r="AE75" s="139"/>
      <c r="AF75" s="139"/>
    </row>
    <row r="76" spans="1:32" ht="12.75">
      <c r="A76" s="154" t="e">
        <f ca="1"/>
        <v>#NAME?</v>
      </c>
      <c r="B76" s="161" t="s">
        <v>521</v>
      </c>
      <c r="C76" s="151">
        <v>16</v>
      </c>
      <c r="D76" s="151" t="s">
        <v>92</v>
      </c>
      <c r="E76" s="154"/>
      <c r="F76" s="157"/>
      <c r="G76" s="151" t="s">
        <v>513</v>
      </c>
      <c r="H76" s="151">
        <v>16</v>
      </c>
      <c r="I76" s="151">
        <v>16</v>
      </c>
      <c r="J76" s="151">
        <v>0</v>
      </c>
      <c r="K76" s="151">
        <v>0</v>
      </c>
      <c r="L76" s="151">
        <v>0</v>
      </c>
      <c r="M76" s="151">
        <v>0</v>
      </c>
      <c r="N76" s="151">
        <v>0</v>
      </c>
      <c r="O76" s="151">
        <v>0</v>
      </c>
      <c r="P76" s="151">
        <v>0</v>
      </c>
      <c r="Q76" s="151">
        <v>0</v>
      </c>
      <c r="R76" s="151">
        <v>0</v>
      </c>
      <c r="S76" s="151">
        <v>0</v>
      </c>
      <c r="T76" s="151">
        <v>0</v>
      </c>
      <c r="U76" s="151">
        <v>0</v>
      </c>
      <c r="V76" s="151">
        <v>0</v>
      </c>
      <c r="W76" s="151">
        <v>0</v>
      </c>
      <c r="X76" s="137" t="s">
        <v>137</v>
      </c>
      <c r="Y76" s="155" t="str">
        <f>DB!$D$6</f>
        <v>UPS 650VA, AVR, 230V</v>
      </c>
      <c r="Z76" s="154"/>
      <c r="AA76" s="154"/>
      <c r="AB76" s="136"/>
      <c r="AC76" s="139"/>
      <c r="AD76" s="139"/>
      <c r="AE76" s="139"/>
      <c r="AF76" s="139"/>
    </row>
    <row r="77" spans="1:32" ht="12.75">
      <c r="A77" s="154" t="e">
        <f ca="1"/>
        <v>#NAME?</v>
      </c>
      <c r="B77" s="156" t="s">
        <v>522</v>
      </c>
      <c r="C77" s="151">
        <v>2</v>
      </c>
      <c r="D77" s="151" t="s">
        <v>92</v>
      </c>
      <c r="E77" s="154"/>
      <c r="F77" s="157"/>
      <c r="G77" s="151" t="s">
        <v>513</v>
      </c>
      <c r="H77" s="151">
        <v>2</v>
      </c>
      <c r="I77" s="151">
        <v>2</v>
      </c>
      <c r="J77" s="151">
        <v>0</v>
      </c>
      <c r="K77" s="151">
        <v>0</v>
      </c>
      <c r="L77" s="151">
        <v>0</v>
      </c>
      <c r="M77" s="151">
        <v>0</v>
      </c>
      <c r="N77" s="151">
        <v>0</v>
      </c>
      <c r="O77" s="151">
        <v>0</v>
      </c>
      <c r="P77" s="151">
        <v>0</v>
      </c>
      <c r="Q77" s="151">
        <v>0</v>
      </c>
      <c r="R77" s="151">
        <v>0</v>
      </c>
      <c r="S77" s="151">
        <v>0</v>
      </c>
      <c r="T77" s="151">
        <v>0</v>
      </c>
      <c r="U77" s="151">
        <v>0</v>
      </c>
      <c r="V77" s="151">
        <v>0</v>
      </c>
      <c r="W77" s="151">
        <v>0</v>
      </c>
      <c r="X77" s="137" t="s">
        <v>137</v>
      </c>
      <c r="Y77" s="155" t="str">
        <f>DB!$D$2</f>
        <v>1TB Portable SSD</v>
      </c>
      <c r="Z77" s="154"/>
      <c r="AA77" s="154"/>
      <c r="AB77" s="136"/>
      <c r="AC77" s="139"/>
      <c r="AD77" s="139"/>
      <c r="AE77" s="139"/>
      <c r="AF77" s="139"/>
    </row>
    <row r="78" spans="1:32" ht="12.75">
      <c r="A78" s="154" t="e">
        <f ca="1"/>
        <v>#NAME?</v>
      </c>
      <c r="B78" s="156" t="s">
        <v>523</v>
      </c>
      <c r="C78" s="151">
        <v>1</v>
      </c>
      <c r="D78" s="151"/>
      <c r="E78" s="154"/>
      <c r="F78" s="157"/>
      <c r="G78" s="151"/>
      <c r="H78" s="151">
        <v>1</v>
      </c>
      <c r="I78" s="151">
        <v>1</v>
      </c>
      <c r="J78" s="151">
        <v>0</v>
      </c>
      <c r="K78" s="151">
        <v>0</v>
      </c>
      <c r="L78" s="151">
        <v>0</v>
      </c>
      <c r="M78" s="151">
        <v>0</v>
      </c>
      <c r="N78" s="151">
        <v>0</v>
      </c>
      <c r="O78" s="151">
        <v>0</v>
      </c>
      <c r="P78" s="151">
        <v>0</v>
      </c>
      <c r="Q78" s="151">
        <v>0</v>
      </c>
      <c r="R78" s="151">
        <v>0</v>
      </c>
      <c r="S78" s="151">
        <v>0</v>
      </c>
      <c r="T78" s="151">
        <v>0</v>
      </c>
      <c r="U78" s="151">
        <v>0</v>
      </c>
      <c r="V78" s="151">
        <v>0</v>
      </c>
      <c r="W78" s="151">
        <v>0</v>
      </c>
      <c r="X78" s="137" t="s">
        <v>137</v>
      </c>
      <c r="Y78" s="141" t="str">
        <f>DB!$D$194</f>
        <v>Branded Desktop Computer Set</v>
      </c>
      <c r="Z78" s="154"/>
      <c r="AA78" s="154"/>
      <c r="AB78" s="136"/>
      <c r="AC78" s="139"/>
      <c r="AD78" s="139"/>
      <c r="AE78" s="139"/>
      <c r="AF78" s="139"/>
    </row>
    <row r="79" spans="1:32" ht="12.75">
      <c r="A79" s="154" t="e">
        <f ca="1"/>
        <v>#NAME?</v>
      </c>
      <c r="B79" s="156" t="s">
        <v>524</v>
      </c>
      <c r="C79" s="151"/>
      <c r="D79" s="151"/>
      <c r="E79" s="154"/>
      <c r="F79" s="157"/>
      <c r="G79" s="151"/>
      <c r="H79" s="151">
        <v>1</v>
      </c>
      <c r="I79" s="151">
        <v>0</v>
      </c>
      <c r="J79" s="151">
        <v>0</v>
      </c>
      <c r="K79" s="151">
        <v>0</v>
      </c>
      <c r="L79" s="151">
        <v>1</v>
      </c>
      <c r="M79" s="151">
        <v>1</v>
      </c>
      <c r="N79" s="151">
        <v>0</v>
      </c>
      <c r="O79" s="151">
        <v>0</v>
      </c>
      <c r="P79" s="151">
        <v>0</v>
      </c>
      <c r="Q79" s="151">
        <v>1</v>
      </c>
      <c r="R79" s="151">
        <v>0</v>
      </c>
      <c r="S79" s="151">
        <v>0</v>
      </c>
      <c r="T79" s="151">
        <v>0</v>
      </c>
      <c r="U79" s="151">
        <v>0</v>
      </c>
      <c r="V79" s="151">
        <v>0</v>
      </c>
      <c r="W79" s="151">
        <v>0</v>
      </c>
      <c r="X79" s="137" t="s">
        <v>137</v>
      </c>
      <c r="Y79" s="141"/>
      <c r="Z79" s="154" t="s">
        <v>453</v>
      </c>
      <c r="AA79" s="154"/>
      <c r="AB79" s="136"/>
      <c r="AC79" s="139"/>
      <c r="AD79" s="139"/>
      <c r="AE79" s="139"/>
      <c r="AF79" s="139"/>
    </row>
    <row r="80" spans="1:32" ht="25.5">
      <c r="A80" s="154" t="e">
        <f ca="1"/>
        <v>#NAME?</v>
      </c>
      <c r="B80" s="156" t="s">
        <v>525</v>
      </c>
      <c r="C80" s="151">
        <v>2</v>
      </c>
      <c r="D80" s="151" t="s">
        <v>92</v>
      </c>
      <c r="E80" s="154"/>
      <c r="F80" s="157"/>
      <c r="G80" s="151" t="s">
        <v>513</v>
      </c>
      <c r="H80" s="151">
        <v>2</v>
      </c>
      <c r="I80" s="151">
        <v>2</v>
      </c>
      <c r="J80" s="151">
        <v>0</v>
      </c>
      <c r="K80" s="151">
        <v>0</v>
      </c>
      <c r="L80" s="151">
        <v>0</v>
      </c>
      <c r="M80" s="151">
        <v>0</v>
      </c>
      <c r="N80" s="151">
        <v>0</v>
      </c>
      <c r="O80" s="151">
        <v>0</v>
      </c>
      <c r="P80" s="151">
        <v>0</v>
      </c>
      <c r="Q80" s="151">
        <v>0</v>
      </c>
      <c r="R80" s="151">
        <v>0</v>
      </c>
      <c r="S80" s="151">
        <v>0</v>
      </c>
      <c r="T80" s="151">
        <v>0</v>
      </c>
      <c r="U80" s="151">
        <v>0</v>
      </c>
      <c r="V80" s="151">
        <v>0</v>
      </c>
      <c r="W80" s="151">
        <v>0</v>
      </c>
      <c r="X80" s="137" t="s">
        <v>137</v>
      </c>
      <c r="Y80" s="155" t="str">
        <f>DB!$D$276</f>
        <v>Ink Tank Printer</v>
      </c>
      <c r="Z80" s="154" t="s">
        <v>469</v>
      </c>
      <c r="AA80" s="154"/>
      <c r="AB80" s="136"/>
      <c r="AC80" s="139"/>
      <c r="AD80" s="139"/>
      <c r="AE80" s="139"/>
      <c r="AF80" s="139"/>
    </row>
    <row r="81" spans="1:32" ht="12.75">
      <c r="A81" s="154" t="e">
        <f ca="1"/>
        <v>#NAME?</v>
      </c>
      <c r="B81" s="156" t="s">
        <v>526</v>
      </c>
      <c r="C81" s="151">
        <v>2</v>
      </c>
      <c r="D81" s="151" t="s">
        <v>92</v>
      </c>
      <c r="E81" s="154"/>
      <c r="F81" s="157"/>
      <c r="G81" s="154"/>
      <c r="H81" s="151">
        <v>0</v>
      </c>
      <c r="I81" s="151">
        <v>0</v>
      </c>
      <c r="J81" s="151">
        <v>0</v>
      </c>
      <c r="K81" s="151">
        <v>0</v>
      </c>
      <c r="L81" s="151">
        <v>0</v>
      </c>
      <c r="M81" s="151">
        <v>0</v>
      </c>
      <c r="N81" s="151">
        <v>0</v>
      </c>
      <c r="O81" s="151">
        <v>0</v>
      </c>
      <c r="P81" s="151">
        <v>0</v>
      </c>
      <c r="Q81" s="151">
        <v>0</v>
      </c>
      <c r="R81" s="151">
        <v>0</v>
      </c>
      <c r="S81" s="151">
        <v>0</v>
      </c>
      <c r="T81" s="151">
        <v>2</v>
      </c>
      <c r="U81" s="151">
        <v>2</v>
      </c>
      <c r="V81" s="151">
        <v>0</v>
      </c>
      <c r="W81" s="151">
        <v>0</v>
      </c>
      <c r="X81" s="137" t="s">
        <v>137</v>
      </c>
      <c r="Y81" s="141" t="str">
        <f>DB!$D$194</f>
        <v>Branded Desktop Computer Set</v>
      </c>
      <c r="Z81" s="154"/>
      <c r="AA81" s="154"/>
      <c r="AB81" s="136"/>
      <c r="AC81" s="139"/>
      <c r="AD81" s="139"/>
      <c r="AE81" s="139"/>
      <c r="AF81" s="139"/>
    </row>
    <row r="82" spans="1:32" ht="12.75">
      <c r="A82" s="154" t="e">
        <f ca="1"/>
        <v>#NAME?</v>
      </c>
      <c r="B82" s="156" t="s">
        <v>234</v>
      </c>
      <c r="C82" s="151">
        <v>1</v>
      </c>
      <c r="D82" s="151" t="s">
        <v>103</v>
      </c>
      <c r="E82" s="154"/>
      <c r="F82" s="157"/>
      <c r="G82" s="151" t="s">
        <v>342</v>
      </c>
      <c r="H82" s="158">
        <v>1</v>
      </c>
      <c r="I82" s="151">
        <v>1</v>
      </c>
      <c r="J82" s="151"/>
      <c r="K82" s="151"/>
      <c r="L82" s="158">
        <v>0</v>
      </c>
      <c r="M82" s="151"/>
      <c r="N82" s="151"/>
      <c r="O82" s="151"/>
      <c r="P82" s="158">
        <v>0</v>
      </c>
      <c r="Q82" s="151"/>
      <c r="R82" s="151"/>
      <c r="S82" s="151"/>
      <c r="T82" s="158">
        <v>0</v>
      </c>
      <c r="U82" s="151"/>
      <c r="V82" s="151"/>
      <c r="W82" s="151"/>
      <c r="X82" s="137" t="s">
        <v>133</v>
      </c>
      <c r="Y82" s="141" t="str">
        <f>DB!$D$168</f>
        <v>Keyboard, Full Size, USB 2.0</v>
      </c>
      <c r="Z82" s="154"/>
      <c r="AA82" s="154"/>
      <c r="AB82" s="136"/>
      <c r="AC82" s="139"/>
      <c r="AD82" s="139"/>
      <c r="AE82" s="139"/>
      <c r="AF82" s="139"/>
    </row>
    <row r="83" spans="1:32" ht="12.75">
      <c r="A83" s="154" t="e">
        <f ca="1"/>
        <v>#NAME?</v>
      </c>
      <c r="B83" s="156" t="s">
        <v>465</v>
      </c>
      <c r="C83" s="151">
        <v>1</v>
      </c>
      <c r="D83" s="151" t="s">
        <v>466</v>
      </c>
      <c r="E83" s="154"/>
      <c r="F83" s="157"/>
      <c r="G83" s="151" t="s">
        <v>342</v>
      </c>
      <c r="H83" s="158">
        <v>1</v>
      </c>
      <c r="I83" s="151">
        <v>1</v>
      </c>
      <c r="J83" s="151"/>
      <c r="K83" s="151"/>
      <c r="L83" s="158">
        <v>0</v>
      </c>
      <c r="M83" s="151"/>
      <c r="N83" s="151"/>
      <c r="O83" s="151"/>
      <c r="P83" s="158">
        <v>0</v>
      </c>
      <c r="Q83" s="151"/>
      <c r="R83" s="151"/>
      <c r="S83" s="151"/>
      <c r="T83" s="158">
        <v>0</v>
      </c>
      <c r="U83" s="151"/>
      <c r="V83" s="151"/>
      <c r="W83" s="151"/>
      <c r="X83" s="137" t="s">
        <v>133</v>
      </c>
      <c r="Y83" s="141" t="str">
        <f>DB!$D$169</f>
        <v>Mouse, Optical, USB 2.0</v>
      </c>
      <c r="Z83" s="154"/>
      <c r="AA83" s="154"/>
      <c r="AB83" s="136"/>
      <c r="AC83" s="139"/>
      <c r="AD83" s="139"/>
      <c r="AE83" s="139"/>
      <c r="AF83" s="139"/>
    </row>
    <row r="84" spans="1:32" ht="12.75">
      <c r="A84" s="154" t="e">
        <f ca="1"/>
        <v>#NAME?</v>
      </c>
      <c r="B84" s="156" t="s">
        <v>474</v>
      </c>
      <c r="C84" s="151">
        <v>5</v>
      </c>
      <c r="D84" s="151" t="s">
        <v>103</v>
      </c>
      <c r="E84" s="154"/>
      <c r="F84" s="157"/>
      <c r="G84" s="151" t="s">
        <v>342</v>
      </c>
      <c r="H84" s="158">
        <v>2</v>
      </c>
      <c r="I84" s="151">
        <v>1</v>
      </c>
      <c r="J84" s="151"/>
      <c r="K84" s="151">
        <v>1</v>
      </c>
      <c r="L84" s="158">
        <v>1</v>
      </c>
      <c r="M84" s="151">
        <v>1</v>
      </c>
      <c r="N84" s="151"/>
      <c r="O84" s="151"/>
      <c r="P84" s="158">
        <v>1</v>
      </c>
      <c r="Q84" s="151">
        <v>1</v>
      </c>
      <c r="R84" s="151"/>
      <c r="S84" s="151"/>
      <c r="T84" s="158">
        <v>1</v>
      </c>
      <c r="U84" s="151">
        <v>1</v>
      </c>
      <c r="V84" s="151"/>
      <c r="W84" s="151"/>
      <c r="X84" s="137" t="s">
        <v>133</v>
      </c>
      <c r="Y84" s="155" t="str">
        <f>DB!$D$79</f>
        <v>32GB Flash Drive</v>
      </c>
      <c r="Z84" s="154"/>
      <c r="AA84" s="154"/>
      <c r="AB84" s="136"/>
      <c r="AC84" s="139"/>
      <c r="AD84" s="139"/>
      <c r="AE84" s="139"/>
      <c r="AF84" s="139"/>
    </row>
    <row r="85" spans="1:32" ht="25.5">
      <c r="A85" s="154" t="e">
        <f ca="1"/>
        <v>#NAME?</v>
      </c>
      <c r="B85" s="156" t="s">
        <v>475</v>
      </c>
      <c r="C85" s="151">
        <v>2</v>
      </c>
      <c r="D85" s="151" t="s">
        <v>103</v>
      </c>
      <c r="E85" s="154"/>
      <c r="F85" s="157"/>
      <c r="G85" s="151" t="s">
        <v>342</v>
      </c>
      <c r="H85" s="158">
        <v>2</v>
      </c>
      <c r="I85" s="151">
        <v>2</v>
      </c>
      <c r="J85" s="151"/>
      <c r="K85" s="151"/>
      <c r="L85" s="158">
        <v>0</v>
      </c>
      <c r="M85" s="151"/>
      <c r="N85" s="151"/>
      <c r="O85" s="151"/>
      <c r="P85" s="158">
        <v>0</v>
      </c>
      <c r="Q85" s="151"/>
      <c r="R85" s="151"/>
      <c r="S85" s="151"/>
      <c r="T85" s="158">
        <v>0</v>
      </c>
      <c r="U85" s="151"/>
      <c r="V85" s="151"/>
      <c r="W85" s="151"/>
      <c r="X85" s="137" t="s">
        <v>133</v>
      </c>
      <c r="Y85" s="155" t="str">
        <f>DB!$D$75</f>
        <v>2TB Slim Portable Hard Drive External HDD</v>
      </c>
      <c r="Z85" s="154"/>
      <c r="AA85" s="154"/>
      <c r="AB85" s="136"/>
      <c r="AC85" s="139"/>
      <c r="AD85" s="139"/>
      <c r="AE85" s="139"/>
      <c r="AF85" s="139"/>
    </row>
    <row r="86" spans="1:32" ht="12.75">
      <c r="A86" s="154" t="e">
        <f ca="1"/>
        <v>#NAME?</v>
      </c>
      <c r="B86" s="156" t="s">
        <v>476</v>
      </c>
      <c r="C86" s="151">
        <v>1</v>
      </c>
      <c r="D86" s="151" t="s">
        <v>103</v>
      </c>
      <c r="E86" s="157"/>
      <c r="F86" s="157"/>
      <c r="G86" s="151" t="s">
        <v>342</v>
      </c>
      <c r="H86" s="158">
        <v>1</v>
      </c>
      <c r="I86" s="151">
        <v>1</v>
      </c>
      <c r="J86" s="151"/>
      <c r="K86" s="151"/>
      <c r="L86" s="158">
        <v>0</v>
      </c>
      <c r="M86" s="151"/>
      <c r="N86" s="151"/>
      <c r="O86" s="151"/>
      <c r="P86" s="158">
        <v>0</v>
      </c>
      <c r="Q86" s="151"/>
      <c r="R86" s="151"/>
      <c r="S86" s="151"/>
      <c r="T86" s="158">
        <v>0</v>
      </c>
      <c r="U86" s="151"/>
      <c r="V86" s="151"/>
      <c r="W86" s="151"/>
      <c r="X86" s="137" t="s">
        <v>133</v>
      </c>
      <c r="Y86" s="155" t="str">
        <f>DB!$D$195</f>
        <v>Branded Laptop</v>
      </c>
      <c r="Z86" s="154"/>
      <c r="AA86" s="154"/>
      <c r="AB86" s="136"/>
      <c r="AC86" s="139"/>
      <c r="AD86" s="139"/>
      <c r="AE86" s="139"/>
      <c r="AF86" s="139"/>
    </row>
    <row r="87" spans="1:32" ht="12.75">
      <c r="A87" s="154" t="e">
        <f ca="1"/>
        <v>#NAME?</v>
      </c>
      <c r="B87" s="156" t="s">
        <v>527</v>
      </c>
      <c r="C87" s="151">
        <v>1</v>
      </c>
      <c r="D87" s="151" t="s">
        <v>103</v>
      </c>
      <c r="E87" s="157"/>
      <c r="F87" s="157"/>
      <c r="G87" s="151" t="s">
        <v>342</v>
      </c>
      <c r="H87" s="158">
        <v>1</v>
      </c>
      <c r="I87" s="151">
        <v>1</v>
      </c>
      <c r="J87" s="151"/>
      <c r="K87" s="151"/>
      <c r="L87" s="158">
        <v>0</v>
      </c>
      <c r="M87" s="151"/>
      <c r="N87" s="151"/>
      <c r="O87" s="151"/>
      <c r="P87" s="158">
        <v>0</v>
      </c>
      <c r="Q87" s="151"/>
      <c r="R87" s="151"/>
      <c r="S87" s="151"/>
      <c r="T87" s="158">
        <v>0</v>
      </c>
      <c r="U87" s="151"/>
      <c r="V87" s="151"/>
      <c r="W87" s="151"/>
      <c r="X87" s="137" t="s">
        <v>133</v>
      </c>
      <c r="Y87" s="155" t="str">
        <f>DB!$D$190</f>
        <v>Android Tablet 10.5"</v>
      </c>
      <c r="Z87" s="154"/>
      <c r="AA87" s="154"/>
      <c r="AB87" s="136"/>
      <c r="AC87" s="139"/>
      <c r="AD87" s="139"/>
      <c r="AE87" s="139"/>
      <c r="AF87" s="139"/>
    </row>
    <row r="88" spans="1:32" ht="12.75">
      <c r="A88" s="154" t="e">
        <f ca="1"/>
        <v>#NAME?</v>
      </c>
      <c r="B88" s="156" t="s">
        <v>528</v>
      </c>
      <c r="C88" s="151">
        <v>80</v>
      </c>
      <c r="D88" s="151" t="s">
        <v>103</v>
      </c>
      <c r="E88" s="157"/>
      <c r="F88" s="157"/>
      <c r="G88" s="151" t="s">
        <v>342</v>
      </c>
      <c r="H88" s="151">
        <v>20</v>
      </c>
      <c r="I88" s="151">
        <v>10</v>
      </c>
      <c r="J88" s="151">
        <v>5</v>
      </c>
      <c r="K88" s="151">
        <v>5</v>
      </c>
      <c r="L88" s="151">
        <v>20</v>
      </c>
      <c r="M88" s="151">
        <v>10</v>
      </c>
      <c r="N88" s="151">
        <v>5</v>
      </c>
      <c r="O88" s="151">
        <v>5</v>
      </c>
      <c r="P88" s="151">
        <v>20</v>
      </c>
      <c r="Q88" s="151">
        <v>10</v>
      </c>
      <c r="R88" s="151">
        <v>5</v>
      </c>
      <c r="S88" s="151">
        <v>5</v>
      </c>
      <c r="T88" s="151">
        <v>20</v>
      </c>
      <c r="U88" s="151">
        <v>10</v>
      </c>
      <c r="V88" s="151">
        <v>5</v>
      </c>
      <c r="W88" s="151">
        <v>5</v>
      </c>
      <c r="X88" s="137" t="s">
        <v>133</v>
      </c>
      <c r="Y88" s="155" t="str">
        <f>DB!$D$102</f>
        <v>Epson Genuine Ink T6641 Black</v>
      </c>
      <c r="Z88" s="154"/>
      <c r="AA88" s="154"/>
      <c r="AB88" s="136"/>
      <c r="AC88" s="139"/>
      <c r="AD88" s="139"/>
      <c r="AE88" s="139"/>
      <c r="AF88" s="139"/>
    </row>
    <row r="89" spans="1:32" ht="12.75">
      <c r="A89" s="154" t="e">
        <f ca="1"/>
        <v>#NAME?</v>
      </c>
      <c r="B89" s="156" t="s">
        <v>529</v>
      </c>
      <c r="C89" s="151">
        <v>30</v>
      </c>
      <c r="D89" s="151" t="s">
        <v>103</v>
      </c>
      <c r="E89" s="157"/>
      <c r="F89" s="157"/>
      <c r="G89" s="151" t="s">
        <v>342</v>
      </c>
      <c r="H89" s="151">
        <v>7</v>
      </c>
      <c r="I89" s="151">
        <v>3</v>
      </c>
      <c r="J89" s="151">
        <v>2</v>
      </c>
      <c r="K89" s="151">
        <v>2</v>
      </c>
      <c r="L89" s="151">
        <v>8</v>
      </c>
      <c r="M89" s="151">
        <v>3</v>
      </c>
      <c r="N89" s="151">
        <v>2</v>
      </c>
      <c r="O89" s="151">
        <v>3</v>
      </c>
      <c r="P89" s="151">
        <v>7</v>
      </c>
      <c r="Q89" s="151">
        <v>3</v>
      </c>
      <c r="R89" s="151">
        <v>2</v>
      </c>
      <c r="S89" s="151">
        <v>2</v>
      </c>
      <c r="T89" s="151">
        <v>8</v>
      </c>
      <c r="U89" s="151">
        <v>3</v>
      </c>
      <c r="V89" s="151">
        <v>2</v>
      </c>
      <c r="W89" s="151">
        <v>3</v>
      </c>
      <c r="X89" s="137" t="s">
        <v>133</v>
      </c>
      <c r="Y89" s="155" t="str">
        <f>DB!$D$103</f>
        <v>Epson Genuine Ink T6642 Cyan</v>
      </c>
      <c r="Z89" s="154"/>
      <c r="AA89" s="154"/>
      <c r="AB89" s="136"/>
      <c r="AC89" s="139"/>
      <c r="AD89" s="139"/>
      <c r="AE89" s="139"/>
      <c r="AF89" s="139"/>
    </row>
    <row r="90" spans="1:32" ht="12.75">
      <c r="A90" s="154" t="e">
        <f ca="1"/>
        <v>#NAME?</v>
      </c>
      <c r="B90" s="156" t="s">
        <v>530</v>
      </c>
      <c r="C90" s="151">
        <v>30</v>
      </c>
      <c r="D90" s="151" t="s">
        <v>103</v>
      </c>
      <c r="E90" s="149"/>
      <c r="F90" s="153"/>
      <c r="G90" s="151" t="s">
        <v>342</v>
      </c>
      <c r="H90" s="151">
        <v>7</v>
      </c>
      <c r="I90" s="151">
        <v>3</v>
      </c>
      <c r="J90" s="151">
        <v>2</v>
      </c>
      <c r="K90" s="151">
        <v>2</v>
      </c>
      <c r="L90" s="151">
        <v>8</v>
      </c>
      <c r="M90" s="151">
        <v>3</v>
      </c>
      <c r="N90" s="151">
        <v>2</v>
      </c>
      <c r="O90" s="151">
        <v>3</v>
      </c>
      <c r="P90" s="151">
        <v>7</v>
      </c>
      <c r="Q90" s="151">
        <v>3</v>
      </c>
      <c r="R90" s="151">
        <v>2</v>
      </c>
      <c r="S90" s="151">
        <v>2</v>
      </c>
      <c r="T90" s="151">
        <v>8</v>
      </c>
      <c r="U90" s="151">
        <v>3</v>
      </c>
      <c r="V90" s="151">
        <v>2</v>
      </c>
      <c r="W90" s="151">
        <v>3</v>
      </c>
      <c r="X90" s="137" t="s">
        <v>133</v>
      </c>
      <c r="Y90" s="155" t="str">
        <f>DB!$D$104</f>
        <v>Epson Genuine Ink T6643 Magenta</v>
      </c>
      <c r="Z90" s="154"/>
      <c r="AA90" s="149"/>
      <c r="AB90" s="136"/>
      <c r="AC90" s="139"/>
      <c r="AD90" s="139"/>
      <c r="AE90" s="139"/>
      <c r="AF90" s="139"/>
    </row>
    <row r="91" spans="1:32" ht="12.75">
      <c r="A91" s="154" t="e">
        <f ca="1"/>
        <v>#NAME?</v>
      </c>
      <c r="B91" s="156" t="s">
        <v>531</v>
      </c>
      <c r="C91" s="151">
        <v>30</v>
      </c>
      <c r="D91" s="151" t="s">
        <v>103</v>
      </c>
      <c r="E91" s="149"/>
      <c r="F91" s="153"/>
      <c r="G91" s="151" t="s">
        <v>342</v>
      </c>
      <c r="H91" s="151">
        <v>7</v>
      </c>
      <c r="I91" s="151">
        <v>3</v>
      </c>
      <c r="J91" s="151">
        <v>2</v>
      </c>
      <c r="K91" s="151">
        <v>2</v>
      </c>
      <c r="L91" s="151">
        <v>8</v>
      </c>
      <c r="M91" s="151">
        <v>3</v>
      </c>
      <c r="N91" s="151">
        <v>2</v>
      </c>
      <c r="O91" s="151">
        <v>3</v>
      </c>
      <c r="P91" s="151">
        <v>7</v>
      </c>
      <c r="Q91" s="151">
        <v>3</v>
      </c>
      <c r="R91" s="151">
        <v>2</v>
      </c>
      <c r="S91" s="151">
        <v>2</v>
      </c>
      <c r="T91" s="151">
        <v>8</v>
      </c>
      <c r="U91" s="151">
        <v>3</v>
      </c>
      <c r="V91" s="151">
        <v>2</v>
      </c>
      <c r="W91" s="151">
        <v>3</v>
      </c>
      <c r="X91" s="137" t="s">
        <v>133</v>
      </c>
      <c r="Y91" s="155" t="str">
        <f>DB!$D$105</f>
        <v>Epson Genuine Ink T6644 Yellow</v>
      </c>
      <c r="Z91" s="154"/>
      <c r="AA91" s="149"/>
      <c r="AB91" s="136"/>
      <c r="AC91" s="139"/>
      <c r="AD91" s="139"/>
      <c r="AE91" s="139"/>
      <c r="AF91" s="139"/>
    </row>
    <row r="92" spans="1:32" ht="12.75">
      <c r="A92" s="154" t="e">
        <f ca="1"/>
        <v>#NAME?</v>
      </c>
      <c r="B92" s="156" t="s">
        <v>482</v>
      </c>
      <c r="C92" s="152">
        <v>1</v>
      </c>
      <c r="D92" s="151" t="s">
        <v>92</v>
      </c>
      <c r="E92" s="149"/>
      <c r="F92" s="153"/>
      <c r="G92" s="151" t="s">
        <v>342</v>
      </c>
      <c r="H92" s="151">
        <v>1</v>
      </c>
      <c r="I92" s="151">
        <v>1</v>
      </c>
      <c r="J92" s="151"/>
      <c r="K92" s="151"/>
      <c r="L92" s="151">
        <v>0</v>
      </c>
      <c r="M92" s="151"/>
      <c r="N92" s="151"/>
      <c r="O92" s="151"/>
      <c r="P92" s="151">
        <v>0</v>
      </c>
      <c r="Q92" s="151"/>
      <c r="R92" s="151"/>
      <c r="S92" s="151"/>
      <c r="T92" s="151">
        <v>0</v>
      </c>
      <c r="U92" s="151"/>
      <c r="V92" s="151"/>
      <c r="W92" s="151"/>
      <c r="X92" s="137" t="s">
        <v>138</v>
      </c>
      <c r="Y92" s="155" t="str">
        <f>DB!$D$276</f>
        <v>Ink Tank Printer</v>
      </c>
      <c r="Z92" s="154" t="s">
        <v>469</v>
      </c>
      <c r="AA92" s="149"/>
      <c r="AB92" s="136"/>
      <c r="AC92" s="139"/>
      <c r="AD92" s="139"/>
      <c r="AE92" s="139"/>
      <c r="AF92" s="139"/>
    </row>
    <row r="93" spans="1:32" ht="12.75">
      <c r="A93" s="154" t="e">
        <f ca="1"/>
        <v>#NAME?</v>
      </c>
      <c r="B93" s="156" t="s">
        <v>532</v>
      </c>
      <c r="C93" s="151">
        <v>1</v>
      </c>
      <c r="D93" s="151" t="s">
        <v>103</v>
      </c>
      <c r="E93" s="149"/>
      <c r="F93" s="153"/>
      <c r="G93" s="151" t="s">
        <v>342</v>
      </c>
      <c r="H93" s="151">
        <v>5</v>
      </c>
      <c r="I93" s="151" t="s">
        <v>533</v>
      </c>
      <c r="J93" s="151"/>
      <c r="K93" s="151"/>
      <c r="L93" s="151">
        <v>0</v>
      </c>
      <c r="M93" s="151"/>
      <c r="N93" s="151"/>
      <c r="O93" s="151"/>
      <c r="P93" s="151">
        <v>0</v>
      </c>
      <c r="Q93" s="151"/>
      <c r="R93" s="151"/>
      <c r="S93" s="151"/>
      <c r="T93" s="151">
        <v>0</v>
      </c>
      <c r="U93" s="151"/>
      <c r="V93" s="151"/>
      <c r="W93" s="151"/>
      <c r="X93" s="137" t="s">
        <v>138</v>
      </c>
      <c r="Y93" s="155" t="str">
        <f>DB!$D$79</f>
        <v>32GB Flash Drive</v>
      </c>
      <c r="Z93" s="154"/>
      <c r="AA93" s="149"/>
      <c r="AB93" s="136"/>
      <c r="AC93" s="139"/>
      <c r="AD93" s="139"/>
      <c r="AE93" s="139"/>
      <c r="AF93" s="139"/>
    </row>
    <row r="94" spans="1:32" ht="12.75">
      <c r="A94" s="154" t="e">
        <f ca="1"/>
        <v>#NAME?</v>
      </c>
      <c r="B94" s="156" t="s">
        <v>182</v>
      </c>
      <c r="C94" s="151">
        <v>1</v>
      </c>
      <c r="D94" s="151" t="s">
        <v>446</v>
      </c>
      <c r="E94" s="149"/>
      <c r="F94" s="153"/>
      <c r="G94" s="151" t="s">
        <v>342</v>
      </c>
      <c r="H94" s="151">
        <v>1</v>
      </c>
      <c r="I94" s="151">
        <v>1</v>
      </c>
      <c r="J94" s="151"/>
      <c r="K94" s="151"/>
      <c r="L94" s="151">
        <v>0</v>
      </c>
      <c r="M94" s="151"/>
      <c r="N94" s="151"/>
      <c r="O94" s="151"/>
      <c r="P94" s="151">
        <v>0</v>
      </c>
      <c r="Q94" s="151"/>
      <c r="R94" s="151"/>
      <c r="S94" s="151"/>
      <c r="T94" s="151">
        <v>0</v>
      </c>
      <c r="U94" s="151"/>
      <c r="V94" s="151"/>
      <c r="W94" s="151"/>
      <c r="X94" s="137" t="s">
        <v>138</v>
      </c>
      <c r="Y94" s="155" t="str">
        <f>DB!$D$195</f>
        <v>Branded Laptop</v>
      </c>
      <c r="Z94" s="154"/>
      <c r="AA94" s="149"/>
      <c r="AB94" s="136"/>
      <c r="AC94" s="139"/>
      <c r="AD94" s="139"/>
      <c r="AE94" s="139"/>
      <c r="AF94" s="139"/>
    </row>
    <row r="95" spans="1:32" ht="25.5">
      <c r="A95" s="154" t="e">
        <f ca="1"/>
        <v>#NAME?</v>
      </c>
      <c r="B95" s="156" t="s">
        <v>534</v>
      </c>
      <c r="C95" s="151">
        <v>1</v>
      </c>
      <c r="D95" s="151" t="s">
        <v>103</v>
      </c>
      <c r="E95" s="153"/>
      <c r="F95" s="153"/>
      <c r="G95" s="151" t="s">
        <v>342</v>
      </c>
      <c r="H95" s="151">
        <v>1</v>
      </c>
      <c r="I95" s="151" t="s">
        <v>533</v>
      </c>
      <c r="J95" s="151"/>
      <c r="K95" s="151"/>
      <c r="L95" s="151">
        <v>0</v>
      </c>
      <c r="M95" s="151"/>
      <c r="N95" s="151"/>
      <c r="O95" s="151"/>
      <c r="P95" s="151">
        <v>0</v>
      </c>
      <c r="Q95" s="151"/>
      <c r="R95" s="151"/>
      <c r="S95" s="151"/>
      <c r="T95" s="151">
        <v>0</v>
      </c>
      <c r="U95" s="151"/>
      <c r="V95" s="151"/>
      <c r="W95" s="151"/>
      <c r="X95" s="137" t="s">
        <v>138</v>
      </c>
      <c r="Y95" s="155" t="str">
        <f>DB!$D$90</f>
        <v>Professional Presenter Wireless Presentation Clicker Remote</v>
      </c>
      <c r="Z95" s="154"/>
      <c r="AA95" s="149"/>
      <c r="AB95" s="136"/>
      <c r="AC95" s="139"/>
      <c r="AD95" s="139"/>
      <c r="AE95" s="139"/>
      <c r="AF95" s="139"/>
    </row>
    <row r="96" spans="1:32" ht="12.75">
      <c r="A96" s="154" t="e">
        <f ca="1"/>
        <v>#NAME?</v>
      </c>
      <c r="B96" s="150" t="s">
        <v>535</v>
      </c>
      <c r="C96" s="152">
        <v>1</v>
      </c>
      <c r="D96" s="151" t="s">
        <v>103</v>
      </c>
      <c r="E96" s="149"/>
      <c r="F96" s="153"/>
      <c r="G96" s="151" t="s">
        <v>342</v>
      </c>
      <c r="H96" s="151">
        <v>2</v>
      </c>
      <c r="I96" s="151">
        <v>2</v>
      </c>
      <c r="J96" s="151"/>
      <c r="K96" s="151"/>
      <c r="L96" s="151">
        <v>0</v>
      </c>
      <c r="M96" s="151"/>
      <c r="N96" s="151"/>
      <c r="O96" s="151"/>
      <c r="P96" s="151">
        <v>0</v>
      </c>
      <c r="Q96" s="151"/>
      <c r="R96" s="151"/>
      <c r="S96" s="151"/>
      <c r="T96" s="151">
        <v>0</v>
      </c>
      <c r="U96" s="151"/>
      <c r="V96" s="151"/>
      <c r="W96" s="151"/>
      <c r="X96" s="137" t="s">
        <v>138</v>
      </c>
      <c r="Y96" s="155" t="str">
        <f>DB!$D$6</f>
        <v>UPS 650VA, AVR, 230V</v>
      </c>
      <c r="Z96" s="154"/>
      <c r="AA96" s="149"/>
      <c r="AB96" s="136"/>
      <c r="AC96" s="139"/>
      <c r="AD96" s="139"/>
      <c r="AE96" s="139"/>
      <c r="AF96" s="139"/>
    </row>
    <row r="97" spans="1:32" ht="25.5">
      <c r="A97" s="154" t="e">
        <f ca="1"/>
        <v>#NAME?</v>
      </c>
      <c r="B97" s="156" t="s">
        <v>536</v>
      </c>
      <c r="C97" s="151">
        <v>4</v>
      </c>
      <c r="D97" s="151" t="s">
        <v>103</v>
      </c>
      <c r="E97" s="149"/>
      <c r="F97" s="153"/>
      <c r="G97" s="151" t="s">
        <v>342</v>
      </c>
      <c r="H97" s="151">
        <v>1</v>
      </c>
      <c r="I97" s="151">
        <v>1</v>
      </c>
      <c r="J97" s="151"/>
      <c r="K97" s="151"/>
      <c r="L97" s="151">
        <v>1</v>
      </c>
      <c r="M97" s="151">
        <v>1</v>
      </c>
      <c r="N97" s="151"/>
      <c r="O97" s="151"/>
      <c r="P97" s="151">
        <v>1</v>
      </c>
      <c r="Q97" s="151">
        <v>1</v>
      </c>
      <c r="R97" s="151"/>
      <c r="S97" s="151"/>
      <c r="T97" s="151">
        <v>1</v>
      </c>
      <c r="U97" s="151">
        <v>1</v>
      </c>
      <c r="V97" s="151"/>
      <c r="W97" s="151"/>
      <c r="X97" s="137" t="s">
        <v>138</v>
      </c>
      <c r="Y97" s="155" t="str">
        <f>DB!$D$235</f>
        <v>Colored Toner Cartridge Set for the existing ECOSYS M5521CDW</v>
      </c>
      <c r="Z97" s="155"/>
      <c r="AA97" s="149"/>
      <c r="AB97" s="136"/>
      <c r="AC97" s="139"/>
      <c r="AD97" s="139"/>
      <c r="AE97" s="139"/>
      <c r="AF97" s="139"/>
    </row>
    <row r="98" spans="1:32" ht="25.5">
      <c r="A98" s="154" t="e">
        <f ca="1"/>
        <v>#NAME?</v>
      </c>
      <c r="B98" s="156" t="s">
        <v>537</v>
      </c>
      <c r="C98" s="151">
        <v>4</v>
      </c>
      <c r="D98" s="151" t="s">
        <v>103</v>
      </c>
      <c r="E98" s="153"/>
      <c r="F98" s="153"/>
      <c r="G98" s="151" t="s">
        <v>342</v>
      </c>
      <c r="H98" s="151">
        <v>1</v>
      </c>
      <c r="I98" s="151">
        <v>1</v>
      </c>
      <c r="J98" s="151"/>
      <c r="K98" s="151"/>
      <c r="L98" s="151">
        <v>1</v>
      </c>
      <c r="M98" s="151">
        <v>1</v>
      </c>
      <c r="N98" s="151"/>
      <c r="O98" s="151"/>
      <c r="P98" s="151">
        <v>1</v>
      </c>
      <c r="Q98" s="151">
        <v>1</v>
      </c>
      <c r="R98" s="151"/>
      <c r="S98" s="151"/>
      <c r="T98" s="151">
        <v>1</v>
      </c>
      <c r="U98" s="151">
        <v>1</v>
      </c>
      <c r="V98" s="151"/>
      <c r="W98" s="151"/>
      <c r="X98" s="137" t="s">
        <v>138</v>
      </c>
      <c r="Y98" s="155" t="str">
        <f>DB!$D$260</f>
        <v>Toner Cartridge for the existing ECOSYS M5521CDW</v>
      </c>
      <c r="Z98" s="155"/>
      <c r="AA98" s="149"/>
      <c r="AB98" s="136"/>
      <c r="AC98" s="139"/>
      <c r="AD98" s="139"/>
      <c r="AE98" s="139"/>
      <c r="AF98" s="139"/>
    </row>
    <row r="99" spans="1:32" ht="12.75">
      <c r="A99" s="154" t="e">
        <f ca="1"/>
        <v>#NAME?</v>
      </c>
      <c r="B99" s="156" t="s">
        <v>538</v>
      </c>
      <c r="C99" s="151">
        <v>4</v>
      </c>
      <c r="D99" s="151" t="s">
        <v>103</v>
      </c>
      <c r="E99" s="153"/>
      <c r="F99" s="153"/>
      <c r="G99" s="151" t="s">
        <v>342</v>
      </c>
      <c r="H99" s="151">
        <v>1</v>
      </c>
      <c r="I99" s="151">
        <v>1</v>
      </c>
      <c r="J99" s="151"/>
      <c r="K99" s="151"/>
      <c r="L99" s="151">
        <v>1</v>
      </c>
      <c r="M99" s="151">
        <v>1</v>
      </c>
      <c r="N99" s="151"/>
      <c r="O99" s="151"/>
      <c r="P99" s="151">
        <v>1</v>
      </c>
      <c r="Q99" s="151">
        <v>1</v>
      </c>
      <c r="R99" s="151"/>
      <c r="S99" s="151"/>
      <c r="T99" s="151">
        <v>1</v>
      </c>
      <c r="U99" s="151">
        <v>1</v>
      </c>
      <c r="V99" s="151"/>
      <c r="W99" s="151"/>
      <c r="X99" s="137" t="s">
        <v>138</v>
      </c>
      <c r="Y99" s="155"/>
      <c r="Z99" s="155" t="s">
        <v>453</v>
      </c>
      <c r="AA99" s="149"/>
      <c r="AB99" s="136"/>
      <c r="AC99" s="139"/>
      <c r="AD99" s="139"/>
      <c r="AE99" s="139"/>
      <c r="AF99" s="139"/>
    </row>
    <row r="100" spans="1:32" ht="12.75">
      <c r="A100" s="154" t="e">
        <f ca="1"/>
        <v>#NAME?</v>
      </c>
      <c r="B100" s="156" t="s">
        <v>539</v>
      </c>
      <c r="C100" s="151">
        <v>4</v>
      </c>
      <c r="D100" s="151" t="s">
        <v>103</v>
      </c>
      <c r="E100" s="153"/>
      <c r="F100" s="153"/>
      <c r="G100" s="151" t="s">
        <v>342</v>
      </c>
      <c r="H100" s="151">
        <v>1</v>
      </c>
      <c r="I100" s="151">
        <v>1</v>
      </c>
      <c r="J100" s="151"/>
      <c r="K100" s="151"/>
      <c r="L100" s="151">
        <v>1</v>
      </c>
      <c r="M100" s="151">
        <v>1</v>
      </c>
      <c r="N100" s="151"/>
      <c r="O100" s="151"/>
      <c r="P100" s="151">
        <v>1</v>
      </c>
      <c r="Q100" s="151">
        <v>1</v>
      </c>
      <c r="R100" s="151"/>
      <c r="S100" s="151"/>
      <c r="T100" s="151">
        <v>1</v>
      </c>
      <c r="U100" s="151">
        <v>1</v>
      </c>
      <c r="V100" s="151"/>
      <c r="W100" s="151"/>
      <c r="X100" s="137" t="s">
        <v>138</v>
      </c>
      <c r="Y100" s="155"/>
      <c r="Z100" s="155" t="s">
        <v>453</v>
      </c>
      <c r="AA100" s="149"/>
      <c r="AB100" s="136"/>
      <c r="AC100" s="139"/>
      <c r="AD100" s="139"/>
      <c r="AE100" s="139"/>
      <c r="AF100" s="139"/>
    </row>
    <row r="101" spans="1:32" ht="12.75">
      <c r="A101" s="154" t="e">
        <f ca="1"/>
        <v>#NAME?</v>
      </c>
      <c r="B101" s="150" t="s">
        <v>535</v>
      </c>
      <c r="C101" s="152">
        <v>1</v>
      </c>
      <c r="D101" s="151" t="s">
        <v>103</v>
      </c>
      <c r="E101" s="149"/>
      <c r="F101" s="153"/>
      <c r="G101" s="151" t="s">
        <v>342</v>
      </c>
      <c r="H101" s="151">
        <v>2</v>
      </c>
      <c r="I101" s="151">
        <v>2</v>
      </c>
      <c r="J101" s="151"/>
      <c r="K101" s="151"/>
      <c r="L101" s="151">
        <v>0</v>
      </c>
      <c r="M101" s="151"/>
      <c r="N101" s="151"/>
      <c r="O101" s="151"/>
      <c r="P101" s="151">
        <v>0</v>
      </c>
      <c r="Q101" s="151"/>
      <c r="R101" s="151"/>
      <c r="S101" s="151"/>
      <c r="T101" s="151">
        <v>0</v>
      </c>
      <c r="U101" s="151"/>
      <c r="V101" s="151"/>
      <c r="W101" s="151"/>
      <c r="X101" s="137" t="s">
        <v>138</v>
      </c>
      <c r="Y101" s="155" t="str">
        <f>DB!$D$6</f>
        <v>UPS 650VA, AVR, 230V</v>
      </c>
      <c r="Z101" s="154"/>
      <c r="AA101" s="149"/>
      <c r="AB101" s="136"/>
      <c r="AC101" s="139"/>
      <c r="AD101" s="139"/>
      <c r="AE101" s="139"/>
      <c r="AF101" s="139"/>
    </row>
    <row r="102" spans="1:32" ht="25.5">
      <c r="A102" s="154" t="e">
        <f ca="1"/>
        <v>#NAME?</v>
      </c>
      <c r="B102" s="150" t="s">
        <v>540</v>
      </c>
      <c r="C102" s="162">
        <v>1</v>
      </c>
      <c r="D102" s="159" t="s">
        <v>103</v>
      </c>
      <c r="E102" s="162"/>
      <c r="F102" s="159"/>
      <c r="G102" s="151" t="s">
        <v>342</v>
      </c>
      <c r="H102" s="149">
        <v>1</v>
      </c>
      <c r="I102" s="149">
        <v>1</v>
      </c>
      <c r="J102" s="149"/>
      <c r="K102" s="149"/>
      <c r="L102" s="149"/>
      <c r="M102" s="149"/>
      <c r="N102" s="149"/>
      <c r="O102" s="149"/>
      <c r="P102" s="149"/>
      <c r="Q102" s="149"/>
      <c r="R102" s="149"/>
      <c r="S102" s="149"/>
      <c r="T102" s="149"/>
      <c r="U102" s="149"/>
      <c r="V102" s="149"/>
      <c r="W102" s="149"/>
      <c r="X102" s="137" t="s">
        <v>132</v>
      </c>
      <c r="Y102" s="155" t="str">
        <f>DB!$D$75</f>
        <v>2TB Slim Portable Hard Drive External HDD</v>
      </c>
      <c r="Z102" s="154"/>
      <c r="AA102" s="149"/>
      <c r="AB102" s="136"/>
      <c r="AC102" s="139"/>
      <c r="AD102" s="139"/>
      <c r="AE102" s="139"/>
      <c r="AF102" s="139"/>
    </row>
    <row r="103" spans="1:32" ht="12.75">
      <c r="A103" s="154" t="e">
        <f ca="1"/>
        <v>#NAME?</v>
      </c>
      <c r="B103" s="142" t="s">
        <v>541</v>
      </c>
      <c r="C103" s="158">
        <v>1</v>
      </c>
      <c r="D103" s="151" t="s">
        <v>118</v>
      </c>
      <c r="E103" s="149"/>
      <c r="F103" s="153"/>
      <c r="G103" s="151" t="s">
        <v>342</v>
      </c>
      <c r="H103" s="149">
        <v>1</v>
      </c>
      <c r="I103" s="149">
        <v>1</v>
      </c>
      <c r="J103" s="149"/>
      <c r="K103" s="149"/>
      <c r="L103" s="149"/>
      <c r="M103" s="149"/>
      <c r="N103" s="149"/>
      <c r="O103" s="149"/>
      <c r="P103" s="149"/>
      <c r="Q103" s="149"/>
      <c r="R103" s="149"/>
      <c r="S103" s="149"/>
      <c r="T103" s="149"/>
      <c r="U103" s="149"/>
      <c r="V103" s="149"/>
      <c r="W103" s="149"/>
      <c r="X103" s="137" t="s">
        <v>132</v>
      </c>
      <c r="Y103" s="155" t="str">
        <f>DB!$D$195</f>
        <v>Branded Laptop</v>
      </c>
      <c r="Z103" s="154"/>
      <c r="AA103" s="149"/>
      <c r="AB103" s="136"/>
      <c r="AC103" s="139"/>
      <c r="AD103" s="139"/>
      <c r="AE103" s="139"/>
      <c r="AF103" s="139"/>
    </row>
    <row r="104" spans="1:32" ht="12.75">
      <c r="A104" s="154" t="e">
        <f ca="1"/>
        <v>#NAME?</v>
      </c>
      <c r="B104" s="142" t="s">
        <v>542</v>
      </c>
      <c r="C104" s="149">
        <v>2</v>
      </c>
      <c r="D104" s="151" t="s">
        <v>118</v>
      </c>
      <c r="E104" s="149"/>
      <c r="F104" s="153"/>
      <c r="G104" s="151" t="s">
        <v>342</v>
      </c>
      <c r="H104" s="149">
        <v>2</v>
      </c>
      <c r="I104" s="149">
        <v>2</v>
      </c>
      <c r="J104" s="149"/>
      <c r="K104" s="149"/>
      <c r="L104" s="149"/>
      <c r="M104" s="149"/>
      <c r="N104" s="149"/>
      <c r="O104" s="149"/>
      <c r="P104" s="149"/>
      <c r="Q104" s="149"/>
      <c r="R104" s="149"/>
      <c r="S104" s="149"/>
      <c r="T104" s="149"/>
      <c r="U104" s="149"/>
      <c r="V104" s="149"/>
      <c r="W104" s="149"/>
      <c r="X104" s="137" t="s">
        <v>132</v>
      </c>
      <c r="Y104" s="141" t="str">
        <f>DB!$D$194</f>
        <v>Branded Desktop Computer Set</v>
      </c>
      <c r="Z104" s="154"/>
      <c r="AA104" s="149"/>
      <c r="AB104" s="136"/>
      <c r="AC104" s="139"/>
      <c r="AD104" s="139"/>
      <c r="AE104" s="139"/>
      <c r="AF104" s="139"/>
    </row>
    <row r="105" spans="1:32" ht="12.75">
      <c r="A105" s="154" t="e">
        <f ca="1"/>
        <v>#NAME?</v>
      </c>
      <c r="B105" s="142" t="s">
        <v>543</v>
      </c>
      <c r="C105" s="162">
        <v>1</v>
      </c>
      <c r="D105" s="151" t="s">
        <v>466</v>
      </c>
      <c r="E105" s="149"/>
      <c r="F105" s="153"/>
      <c r="G105" s="151" t="s">
        <v>342</v>
      </c>
      <c r="H105" s="149">
        <v>1</v>
      </c>
      <c r="I105" s="149">
        <v>1</v>
      </c>
      <c r="J105" s="149"/>
      <c r="K105" s="149"/>
      <c r="L105" s="149"/>
      <c r="M105" s="149"/>
      <c r="N105" s="149"/>
      <c r="O105" s="149"/>
      <c r="P105" s="149"/>
      <c r="Q105" s="149"/>
      <c r="R105" s="149"/>
      <c r="S105" s="149"/>
      <c r="T105" s="149"/>
      <c r="U105" s="149"/>
      <c r="V105" s="149"/>
      <c r="W105" s="149"/>
      <c r="X105" s="137" t="s">
        <v>132</v>
      </c>
      <c r="Y105" s="155" t="str">
        <f>DB!$D$276</f>
        <v>Ink Tank Printer</v>
      </c>
      <c r="Z105" s="154" t="s">
        <v>469</v>
      </c>
      <c r="AA105" s="149"/>
      <c r="AB105" s="136"/>
      <c r="AC105" s="139"/>
      <c r="AD105" s="139"/>
      <c r="AE105" s="139"/>
      <c r="AF105" s="139"/>
    </row>
    <row r="106" spans="1:32" ht="12.75">
      <c r="A106" s="154" t="e">
        <f ca="1"/>
        <v>#NAME?</v>
      </c>
      <c r="B106" s="150" t="s">
        <v>224</v>
      </c>
      <c r="C106" s="152">
        <v>20</v>
      </c>
      <c r="D106" s="152" t="s">
        <v>118</v>
      </c>
      <c r="E106" s="149"/>
      <c r="F106" s="153"/>
      <c r="G106" s="151" t="s">
        <v>342</v>
      </c>
      <c r="H106" s="152"/>
      <c r="I106" s="152"/>
      <c r="J106" s="152"/>
      <c r="K106" s="152"/>
      <c r="L106" s="152">
        <v>20</v>
      </c>
      <c r="M106" s="152" t="s">
        <v>544</v>
      </c>
      <c r="N106" s="152"/>
      <c r="O106" s="152"/>
      <c r="P106" s="152"/>
      <c r="Q106" s="152"/>
      <c r="R106" s="152"/>
      <c r="S106" s="152"/>
      <c r="T106" s="152"/>
      <c r="U106" s="152"/>
      <c r="V106" s="152"/>
      <c r="W106" s="152"/>
      <c r="X106" s="137" t="s">
        <v>153</v>
      </c>
      <c r="Y106" s="155" t="str">
        <f>DB!$D$199</f>
        <v>Hand-Held Radio dual band</v>
      </c>
      <c r="Z106" s="154"/>
      <c r="AA106" s="149"/>
      <c r="AB106" s="136"/>
      <c r="AC106" s="139"/>
      <c r="AD106" s="139"/>
      <c r="AE106" s="139"/>
      <c r="AF106" s="139"/>
    </row>
    <row r="107" spans="1:32" ht="12.75">
      <c r="A107" s="154" t="e">
        <f ca="1"/>
        <v>#NAME?</v>
      </c>
      <c r="B107" s="150" t="s">
        <v>152</v>
      </c>
      <c r="C107" s="152">
        <v>2</v>
      </c>
      <c r="D107" s="152" t="s">
        <v>118</v>
      </c>
      <c r="E107" s="149"/>
      <c r="F107" s="153"/>
      <c r="G107" s="151" t="s">
        <v>342</v>
      </c>
      <c r="H107" s="152"/>
      <c r="I107" s="152"/>
      <c r="J107" s="152"/>
      <c r="K107" s="152"/>
      <c r="L107" s="152">
        <v>2</v>
      </c>
      <c r="M107" s="152" t="s">
        <v>544</v>
      </c>
      <c r="N107" s="152"/>
      <c r="O107" s="152"/>
      <c r="P107" s="152"/>
      <c r="Q107" s="152"/>
      <c r="R107" s="152"/>
      <c r="S107" s="152"/>
      <c r="T107" s="152"/>
      <c r="U107" s="152"/>
      <c r="V107" s="152"/>
      <c r="W107" s="152"/>
      <c r="X107" s="137" t="s">
        <v>153</v>
      </c>
      <c r="Y107" s="155" t="str">
        <f>DB!$D$200</f>
        <v>Base Radio dual band with antenna</v>
      </c>
      <c r="Z107" s="154"/>
      <c r="AA107" s="149"/>
      <c r="AB107" s="136"/>
      <c r="AC107" s="139"/>
      <c r="AD107" s="139"/>
      <c r="AE107" s="139"/>
      <c r="AF107" s="139"/>
    </row>
    <row r="108" spans="1:32" ht="12.75">
      <c r="A108" s="154" t="e">
        <f ca="1"/>
        <v>#NAME?</v>
      </c>
      <c r="B108" s="150" t="s">
        <v>545</v>
      </c>
      <c r="C108" s="152">
        <v>2</v>
      </c>
      <c r="D108" s="152" t="s">
        <v>103</v>
      </c>
      <c r="E108" s="149"/>
      <c r="F108" s="153"/>
      <c r="G108" s="151" t="s">
        <v>342</v>
      </c>
      <c r="H108" s="152">
        <v>2</v>
      </c>
      <c r="I108" s="152" t="s">
        <v>546</v>
      </c>
      <c r="J108" s="152"/>
      <c r="K108" s="152"/>
      <c r="L108" s="152"/>
      <c r="M108" s="152"/>
      <c r="N108" s="152"/>
      <c r="O108" s="152"/>
      <c r="P108" s="152"/>
      <c r="Q108" s="152"/>
      <c r="R108" s="152"/>
      <c r="S108" s="152"/>
      <c r="T108" s="152"/>
      <c r="U108" s="152"/>
      <c r="V108" s="152"/>
      <c r="W108" s="152"/>
      <c r="X108" s="137" t="s">
        <v>153</v>
      </c>
      <c r="Y108" s="155" t="str">
        <f>DB!$D$73</f>
        <v>Webcam Professional Full HD</v>
      </c>
      <c r="Z108" s="154"/>
      <c r="AA108" s="149"/>
      <c r="AB108" s="136"/>
      <c r="AC108" s="139"/>
      <c r="AD108" s="139"/>
      <c r="AE108" s="139"/>
      <c r="AF108" s="139"/>
    </row>
    <row r="109" spans="1:32" ht="12.75">
      <c r="A109" s="154" t="e">
        <f ca="1"/>
        <v>#NAME?</v>
      </c>
      <c r="B109" s="150" t="s">
        <v>547</v>
      </c>
      <c r="C109" s="152">
        <v>15</v>
      </c>
      <c r="D109" s="152" t="s">
        <v>103</v>
      </c>
      <c r="E109" s="153"/>
      <c r="F109" s="153"/>
      <c r="G109" s="151" t="s">
        <v>342</v>
      </c>
      <c r="H109" s="152">
        <v>5</v>
      </c>
      <c r="I109" s="152" t="s">
        <v>544</v>
      </c>
      <c r="J109" s="152"/>
      <c r="K109" s="152"/>
      <c r="L109" s="152">
        <v>5</v>
      </c>
      <c r="M109" s="152" t="s">
        <v>544</v>
      </c>
      <c r="N109" s="152"/>
      <c r="O109" s="152"/>
      <c r="P109" s="152">
        <v>5</v>
      </c>
      <c r="Q109" s="152" t="s">
        <v>544</v>
      </c>
      <c r="R109" s="152"/>
      <c r="S109" s="152"/>
      <c r="T109" s="152"/>
      <c r="U109" s="152"/>
      <c r="V109" s="152"/>
      <c r="W109" s="152"/>
      <c r="X109" s="137" t="s">
        <v>153</v>
      </c>
      <c r="Y109" s="155" t="str">
        <f>DB!$D$110</f>
        <v>HP Genuine Ink Refill - (GT53) Black</v>
      </c>
      <c r="Z109" s="154"/>
      <c r="AA109" s="149"/>
      <c r="AB109" s="136"/>
      <c r="AC109" s="139"/>
      <c r="AD109" s="139"/>
      <c r="AE109" s="139"/>
      <c r="AF109" s="139"/>
    </row>
    <row r="110" spans="1:32" ht="12.75">
      <c r="A110" s="154" t="e">
        <f ca="1"/>
        <v>#NAME?</v>
      </c>
      <c r="B110" s="150" t="s">
        <v>548</v>
      </c>
      <c r="C110" s="152">
        <v>10</v>
      </c>
      <c r="D110" s="152" t="s">
        <v>103</v>
      </c>
      <c r="E110" s="153"/>
      <c r="F110" s="153"/>
      <c r="G110" s="151" t="s">
        <v>342</v>
      </c>
      <c r="H110" s="152">
        <v>5</v>
      </c>
      <c r="I110" s="152" t="s">
        <v>544</v>
      </c>
      <c r="J110" s="152"/>
      <c r="K110" s="152"/>
      <c r="L110" s="152"/>
      <c r="M110" s="152"/>
      <c r="N110" s="152"/>
      <c r="O110" s="152"/>
      <c r="P110" s="152">
        <v>5</v>
      </c>
      <c r="Q110" s="152" t="s">
        <v>544</v>
      </c>
      <c r="R110" s="152"/>
      <c r="S110" s="152"/>
      <c r="T110" s="152"/>
      <c r="U110" s="152"/>
      <c r="V110" s="152"/>
      <c r="W110" s="152"/>
      <c r="X110" s="137" t="s">
        <v>153</v>
      </c>
      <c r="Y110" s="155" t="str">
        <f>DB!$D$111</f>
        <v>HP Genuine Ink Refill - (GT52) Magenta</v>
      </c>
      <c r="Z110" s="154"/>
      <c r="AA110" s="149"/>
      <c r="AB110" s="136"/>
      <c r="AC110" s="139"/>
      <c r="AD110" s="139"/>
      <c r="AE110" s="139"/>
      <c r="AF110" s="139"/>
    </row>
    <row r="111" spans="1:32" ht="12.75">
      <c r="A111" s="154" t="e">
        <f ca="1"/>
        <v>#NAME?</v>
      </c>
      <c r="B111" s="150" t="s">
        <v>549</v>
      </c>
      <c r="C111" s="152">
        <v>10</v>
      </c>
      <c r="D111" s="152" t="s">
        <v>103</v>
      </c>
      <c r="E111" s="149"/>
      <c r="F111" s="149"/>
      <c r="G111" s="151" t="s">
        <v>342</v>
      </c>
      <c r="H111" s="152">
        <v>5</v>
      </c>
      <c r="I111" s="152" t="s">
        <v>544</v>
      </c>
      <c r="J111" s="152"/>
      <c r="K111" s="152"/>
      <c r="L111" s="152"/>
      <c r="M111" s="152"/>
      <c r="N111" s="152"/>
      <c r="O111" s="152"/>
      <c r="P111" s="152">
        <v>5</v>
      </c>
      <c r="Q111" s="152" t="s">
        <v>544</v>
      </c>
      <c r="R111" s="152"/>
      <c r="S111" s="152"/>
      <c r="T111" s="152"/>
      <c r="U111" s="152"/>
      <c r="V111" s="152"/>
      <c r="W111" s="152"/>
      <c r="X111" s="137" t="s">
        <v>153</v>
      </c>
      <c r="Y111" s="155" t="str">
        <f>DB!$D$112</f>
        <v>HP Genuine Ink Refill - (GT52) Cyan</v>
      </c>
      <c r="Z111" s="154"/>
      <c r="AA111" s="149"/>
      <c r="AB111" s="136"/>
      <c r="AC111" s="139"/>
      <c r="AD111" s="139"/>
      <c r="AE111" s="139"/>
      <c r="AF111" s="139"/>
    </row>
    <row r="112" spans="1:32" ht="12.75">
      <c r="A112" s="154" t="e">
        <f ca="1"/>
        <v>#NAME?</v>
      </c>
      <c r="B112" s="150" t="s">
        <v>550</v>
      </c>
      <c r="C112" s="152">
        <v>10</v>
      </c>
      <c r="D112" s="152" t="s">
        <v>103</v>
      </c>
      <c r="E112" s="149"/>
      <c r="F112" s="149"/>
      <c r="G112" s="151" t="s">
        <v>342</v>
      </c>
      <c r="H112" s="152">
        <v>5</v>
      </c>
      <c r="I112" s="152" t="s">
        <v>544</v>
      </c>
      <c r="J112" s="152"/>
      <c r="K112" s="152"/>
      <c r="L112" s="152"/>
      <c r="M112" s="152"/>
      <c r="N112" s="152"/>
      <c r="O112" s="152"/>
      <c r="P112" s="152">
        <v>5</v>
      </c>
      <c r="Q112" s="152" t="s">
        <v>544</v>
      </c>
      <c r="R112" s="152"/>
      <c r="S112" s="152"/>
      <c r="T112" s="152"/>
      <c r="U112" s="152"/>
      <c r="V112" s="152"/>
      <c r="W112" s="152"/>
      <c r="X112" s="137" t="s">
        <v>153</v>
      </c>
      <c r="Y112" s="155" t="str">
        <f>DB!$D$113</f>
        <v>HP Genuine Ink Refill - (GT52) Yellow</v>
      </c>
      <c r="Z112" s="154"/>
      <c r="AA112" s="149"/>
      <c r="AB112" s="136"/>
      <c r="AC112" s="139"/>
      <c r="AD112" s="139"/>
      <c r="AE112" s="139"/>
      <c r="AF112" s="139"/>
    </row>
    <row r="113" spans="1:32" ht="25.5">
      <c r="A113" s="154" t="e">
        <f ca="1"/>
        <v>#NAME?</v>
      </c>
      <c r="B113" s="150" t="s">
        <v>551</v>
      </c>
      <c r="C113" s="152">
        <v>8</v>
      </c>
      <c r="D113" s="152" t="s">
        <v>103</v>
      </c>
      <c r="E113" s="149"/>
      <c r="F113" s="149"/>
      <c r="G113" s="151" t="s">
        <v>342</v>
      </c>
      <c r="H113" s="152">
        <v>3</v>
      </c>
      <c r="I113" s="152" t="s">
        <v>544</v>
      </c>
      <c r="J113" s="152"/>
      <c r="K113" s="152"/>
      <c r="L113" s="152">
        <v>3</v>
      </c>
      <c r="M113" s="152" t="s">
        <v>544</v>
      </c>
      <c r="N113" s="152"/>
      <c r="O113" s="152"/>
      <c r="P113" s="152">
        <v>2</v>
      </c>
      <c r="Q113" s="152" t="s">
        <v>544</v>
      </c>
      <c r="R113" s="152"/>
      <c r="S113" s="152"/>
      <c r="T113" s="152">
        <v>1</v>
      </c>
      <c r="U113" s="152" t="s">
        <v>544</v>
      </c>
      <c r="V113" s="152"/>
      <c r="W113" s="152"/>
      <c r="X113" s="137" t="s">
        <v>153</v>
      </c>
      <c r="Y113" s="155" t="str">
        <f>DB!$D$242</f>
        <v>Toner Cartridge for the existing ECOSYS M3145DN</v>
      </c>
      <c r="Z113" s="163"/>
      <c r="AA113" s="149"/>
      <c r="AB113" s="136"/>
      <c r="AC113" s="139"/>
      <c r="AD113" s="139"/>
      <c r="AE113" s="139"/>
      <c r="AF113" s="139"/>
    </row>
    <row r="114" spans="1:32" ht="12.75">
      <c r="A114" s="154" t="e">
        <f ca="1"/>
        <v>#NAME?</v>
      </c>
      <c r="B114" s="156" t="s">
        <v>482</v>
      </c>
      <c r="C114" s="151">
        <v>4</v>
      </c>
      <c r="D114" s="151" t="s">
        <v>103</v>
      </c>
      <c r="E114" s="149"/>
      <c r="F114" s="149"/>
      <c r="G114" s="149"/>
      <c r="H114" s="151">
        <v>4</v>
      </c>
      <c r="I114" s="151">
        <v>4</v>
      </c>
      <c r="J114" s="151"/>
      <c r="K114" s="151"/>
      <c r="L114" s="151"/>
      <c r="M114" s="151"/>
      <c r="N114" s="151"/>
      <c r="O114" s="151"/>
      <c r="P114" s="151"/>
      <c r="Q114" s="151"/>
      <c r="R114" s="151"/>
      <c r="S114" s="151"/>
      <c r="T114" s="151"/>
      <c r="U114" s="151"/>
      <c r="V114" s="151"/>
      <c r="W114" s="151"/>
      <c r="X114" s="137" t="s">
        <v>171</v>
      </c>
      <c r="Y114" s="155" t="str">
        <f>DB!$D$276</f>
        <v>Ink Tank Printer</v>
      </c>
      <c r="Z114" s="154" t="s">
        <v>469</v>
      </c>
      <c r="AA114" s="149"/>
      <c r="AB114" s="136"/>
      <c r="AC114" s="139"/>
      <c r="AD114" s="139"/>
      <c r="AE114" s="139"/>
      <c r="AF114" s="139"/>
    </row>
    <row r="115" spans="1:32" ht="25.5">
      <c r="A115" s="154" t="e">
        <f ca="1"/>
        <v>#NAME?</v>
      </c>
      <c r="B115" s="156" t="s">
        <v>552</v>
      </c>
      <c r="C115" s="151">
        <v>12</v>
      </c>
      <c r="D115" s="151" t="s">
        <v>103</v>
      </c>
      <c r="E115" s="149"/>
      <c r="F115" s="149"/>
      <c r="G115" s="149"/>
      <c r="H115" s="151">
        <v>3</v>
      </c>
      <c r="I115" s="151">
        <v>3</v>
      </c>
      <c r="J115" s="151"/>
      <c r="K115" s="151"/>
      <c r="L115" s="151">
        <v>3</v>
      </c>
      <c r="M115" s="151">
        <v>3</v>
      </c>
      <c r="N115" s="151"/>
      <c r="O115" s="151"/>
      <c r="P115" s="151">
        <v>3</v>
      </c>
      <c r="Q115" s="151">
        <v>3</v>
      </c>
      <c r="R115" s="151"/>
      <c r="S115" s="151"/>
      <c r="T115" s="151">
        <v>3</v>
      </c>
      <c r="U115" s="151">
        <v>3</v>
      </c>
      <c r="V115" s="151"/>
      <c r="W115" s="151"/>
      <c r="X115" s="137" t="s">
        <v>171</v>
      </c>
      <c r="Y115" s="155" t="str">
        <f>DB!$D$240</f>
        <v>Toner Cartridge for the existing ECOSYS M2540DN/L</v>
      </c>
      <c r="Z115" s="155"/>
      <c r="AA115" s="149"/>
      <c r="AB115" s="136"/>
      <c r="AC115" s="139"/>
      <c r="AD115" s="139"/>
      <c r="AE115" s="139"/>
      <c r="AF115" s="139"/>
    </row>
    <row r="116" spans="1:32" ht="12.75">
      <c r="A116" s="154" t="e">
        <f ca="1"/>
        <v>#NAME?</v>
      </c>
      <c r="B116" s="156" t="s">
        <v>553</v>
      </c>
      <c r="C116" s="151">
        <v>1</v>
      </c>
      <c r="D116" s="151" t="s">
        <v>118</v>
      </c>
      <c r="E116" s="149"/>
      <c r="F116" s="149"/>
      <c r="G116" s="149"/>
      <c r="H116" s="151">
        <v>1</v>
      </c>
      <c r="I116" s="151">
        <v>1</v>
      </c>
      <c r="J116" s="151"/>
      <c r="K116" s="151"/>
      <c r="L116" s="151"/>
      <c r="M116" s="151"/>
      <c r="N116" s="151"/>
      <c r="O116" s="151"/>
      <c r="P116" s="151"/>
      <c r="Q116" s="151"/>
      <c r="R116" s="151"/>
      <c r="S116" s="151"/>
      <c r="T116" s="151"/>
      <c r="U116" s="151"/>
      <c r="V116" s="151"/>
      <c r="W116" s="151"/>
      <c r="X116" s="137" t="s">
        <v>171</v>
      </c>
      <c r="Y116" s="155" t="str">
        <f>DB!$D$73</f>
        <v>Webcam Professional Full HD</v>
      </c>
      <c r="Z116" s="154"/>
      <c r="AA116" s="149"/>
      <c r="AB116" s="136"/>
      <c r="AC116" s="139"/>
      <c r="AD116" s="139"/>
      <c r="AE116" s="139"/>
      <c r="AF116" s="139"/>
    </row>
    <row r="117" spans="1:32" ht="12.75">
      <c r="A117" s="154" t="e">
        <f ca="1"/>
        <v>#NAME?</v>
      </c>
      <c r="B117" s="156" t="s">
        <v>554</v>
      </c>
      <c r="C117" s="151">
        <v>1</v>
      </c>
      <c r="D117" s="151" t="s">
        <v>118</v>
      </c>
      <c r="E117" s="149"/>
      <c r="F117" s="149"/>
      <c r="G117" s="149"/>
      <c r="H117" s="151">
        <v>1</v>
      </c>
      <c r="I117" s="151">
        <v>1</v>
      </c>
      <c r="J117" s="151"/>
      <c r="K117" s="151"/>
      <c r="L117" s="151"/>
      <c r="M117" s="151"/>
      <c r="N117" s="151"/>
      <c r="O117" s="151"/>
      <c r="P117" s="151"/>
      <c r="Q117" s="151"/>
      <c r="R117" s="151"/>
      <c r="S117" s="151"/>
      <c r="T117" s="151"/>
      <c r="U117" s="151"/>
      <c r="V117" s="151"/>
      <c r="W117" s="151"/>
      <c r="X117" s="137" t="s">
        <v>171</v>
      </c>
      <c r="Y117" s="155" t="str">
        <f>DB!$D$195</f>
        <v>Branded Laptop</v>
      </c>
      <c r="Z117" s="154"/>
      <c r="AA117" s="149"/>
      <c r="AB117" s="136"/>
      <c r="AC117" s="139"/>
      <c r="AD117" s="139"/>
      <c r="AE117" s="139"/>
      <c r="AF117" s="139"/>
    </row>
    <row r="118" spans="1:32" ht="25.5">
      <c r="A118" s="154" t="e">
        <f ca="1"/>
        <v>#NAME?</v>
      </c>
      <c r="B118" s="156" t="s">
        <v>555</v>
      </c>
      <c r="C118" s="151">
        <v>5</v>
      </c>
      <c r="D118" s="151" t="s">
        <v>118</v>
      </c>
      <c r="E118" s="149"/>
      <c r="F118" s="149"/>
      <c r="G118" s="149"/>
      <c r="H118" s="151">
        <v>5</v>
      </c>
      <c r="I118" s="151">
        <v>5</v>
      </c>
      <c r="J118" s="151"/>
      <c r="K118" s="151"/>
      <c r="L118" s="151"/>
      <c r="M118" s="151"/>
      <c r="N118" s="151"/>
      <c r="O118" s="151"/>
      <c r="P118" s="151"/>
      <c r="Q118" s="151"/>
      <c r="R118" s="151"/>
      <c r="S118" s="151"/>
      <c r="T118" s="151"/>
      <c r="U118" s="151"/>
      <c r="V118" s="151"/>
      <c r="W118" s="151"/>
      <c r="X118" s="137" t="s">
        <v>171</v>
      </c>
      <c r="Y118" s="155" t="str">
        <f>DB!$D$235</f>
        <v>Colored Toner Cartridge Set for the existing ECOSYS M5521CDW</v>
      </c>
      <c r="Z118" s="155"/>
      <c r="AA118" s="149"/>
      <c r="AB118" s="136"/>
      <c r="AC118" s="139"/>
      <c r="AD118" s="139"/>
      <c r="AE118" s="139"/>
      <c r="AF118" s="139"/>
    </row>
    <row r="119" spans="1:32" ht="12.75">
      <c r="A119" s="154" t="e">
        <f ca="1"/>
        <v>#NAME?</v>
      </c>
      <c r="B119" s="156" t="s">
        <v>467</v>
      </c>
      <c r="C119" s="151">
        <v>2</v>
      </c>
      <c r="D119" s="151" t="s">
        <v>118</v>
      </c>
      <c r="E119" s="149"/>
      <c r="F119" s="149"/>
      <c r="G119" s="149"/>
      <c r="H119" s="151">
        <v>2</v>
      </c>
      <c r="I119" s="151">
        <v>2</v>
      </c>
      <c r="J119" s="151"/>
      <c r="K119" s="151"/>
      <c r="L119" s="151"/>
      <c r="M119" s="151"/>
      <c r="N119" s="151"/>
      <c r="O119" s="151"/>
      <c r="P119" s="151"/>
      <c r="Q119" s="151"/>
      <c r="R119" s="151"/>
      <c r="S119" s="151"/>
      <c r="T119" s="151"/>
      <c r="U119" s="151"/>
      <c r="V119" s="151"/>
      <c r="W119" s="151"/>
      <c r="X119" s="137" t="s">
        <v>171</v>
      </c>
      <c r="Y119" s="141" t="str">
        <f>DB!$D$194</f>
        <v>Branded Desktop Computer Set</v>
      </c>
      <c r="Z119" s="154"/>
      <c r="AA119" s="149"/>
      <c r="AB119" s="136"/>
      <c r="AC119" s="139"/>
      <c r="AD119" s="139"/>
      <c r="AE119" s="139"/>
      <c r="AF119" s="139"/>
    </row>
    <row r="120" spans="1:32" ht="25.5">
      <c r="A120" s="154" t="e">
        <f ca="1"/>
        <v>#NAME?</v>
      </c>
      <c r="B120" s="156" t="s">
        <v>556</v>
      </c>
      <c r="C120" s="151">
        <v>2</v>
      </c>
      <c r="D120" s="151" t="s">
        <v>118</v>
      </c>
      <c r="E120" s="149"/>
      <c r="F120" s="149"/>
      <c r="G120" s="149"/>
      <c r="H120" s="151">
        <v>2</v>
      </c>
      <c r="I120" s="151"/>
      <c r="J120" s="151"/>
      <c r="K120" s="151"/>
      <c r="L120" s="151"/>
      <c r="M120" s="151"/>
      <c r="N120" s="151"/>
      <c r="O120" s="151"/>
      <c r="P120" s="151"/>
      <c r="Q120" s="151"/>
      <c r="R120" s="151"/>
      <c r="S120" s="151"/>
      <c r="T120" s="151"/>
      <c r="U120" s="151"/>
      <c r="V120" s="151"/>
      <c r="W120" s="151"/>
      <c r="X120" s="137" t="s">
        <v>171</v>
      </c>
      <c r="Y120" s="155" t="str">
        <f>DB!$D$265</f>
        <v>Desktop Gooseneck Condenser Microphone</v>
      </c>
      <c r="Z120" s="154"/>
      <c r="AA120" s="149"/>
      <c r="AB120" s="136"/>
      <c r="AC120" s="139"/>
      <c r="AD120" s="139"/>
      <c r="AE120" s="139"/>
      <c r="AF120" s="139"/>
    </row>
    <row r="121" spans="1:32" ht="25.5">
      <c r="A121" s="154" t="e">
        <f ca="1"/>
        <v>#NAME?</v>
      </c>
      <c r="B121" s="156" t="s">
        <v>557</v>
      </c>
      <c r="C121" s="151">
        <v>10</v>
      </c>
      <c r="D121" s="151" t="s">
        <v>103</v>
      </c>
      <c r="E121" s="149"/>
      <c r="F121" s="149"/>
      <c r="G121" s="149"/>
      <c r="H121" s="151">
        <v>5</v>
      </c>
      <c r="I121" s="151">
        <v>5</v>
      </c>
      <c r="J121" s="151"/>
      <c r="K121" s="151"/>
      <c r="L121" s="151"/>
      <c r="M121" s="151"/>
      <c r="N121" s="151"/>
      <c r="O121" s="151"/>
      <c r="P121" s="151">
        <v>5</v>
      </c>
      <c r="Q121" s="151">
        <v>5</v>
      </c>
      <c r="R121" s="151"/>
      <c r="S121" s="151"/>
      <c r="T121" s="151"/>
      <c r="U121" s="151"/>
      <c r="V121" s="151"/>
      <c r="W121" s="151"/>
      <c r="X121" s="137" t="s">
        <v>171</v>
      </c>
      <c r="Y121" s="155" t="str">
        <f>DB!$D$102</f>
        <v>Epson Genuine Ink T6641 Black</v>
      </c>
      <c r="Z121" s="154"/>
      <c r="AA121" s="149"/>
      <c r="AB121" s="136"/>
      <c r="AC121" s="139"/>
      <c r="AD121" s="139"/>
      <c r="AE121" s="139"/>
      <c r="AF121" s="139"/>
    </row>
    <row r="122" spans="1:32" ht="25.5">
      <c r="A122" s="154" t="e">
        <f ca="1"/>
        <v>#NAME?</v>
      </c>
      <c r="B122" s="156" t="s">
        <v>558</v>
      </c>
      <c r="C122" s="151">
        <v>3</v>
      </c>
      <c r="D122" s="151" t="s">
        <v>103</v>
      </c>
      <c r="E122" s="149"/>
      <c r="F122" s="149"/>
      <c r="G122" s="149"/>
      <c r="H122" s="151">
        <v>3</v>
      </c>
      <c r="I122" s="151">
        <v>3</v>
      </c>
      <c r="J122" s="151"/>
      <c r="K122" s="151"/>
      <c r="L122" s="151"/>
      <c r="M122" s="151"/>
      <c r="N122" s="151"/>
      <c r="O122" s="151"/>
      <c r="P122" s="151"/>
      <c r="Q122" s="151"/>
      <c r="R122" s="151"/>
      <c r="S122" s="151"/>
      <c r="T122" s="151"/>
      <c r="U122" s="151"/>
      <c r="V122" s="151"/>
      <c r="W122" s="151"/>
      <c r="X122" s="137" t="s">
        <v>171</v>
      </c>
      <c r="Y122" s="155" t="str">
        <f>DB!$D$103</f>
        <v>Epson Genuine Ink T6642 Cyan</v>
      </c>
      <c r="Z122" s="154"/>
      <c r="AA122" s="149"/>
      <c r="AB122" s="136"/>
      <c r="AC122" s="139"/>
      <c r="AD122" s="139"/>
      <c r="AE122" s="139"/>
      <c r="AF122" s="139"/>
    </row>
    <row r="123" spans="1:32" ht="25.5">
      <c r="A123" s="154" t="e">
        <f ca="1"/>
        <v>#NAME?</v>
      </c>
      <c r="B123" s="156" t="s">
        <v>559</v>
      </c>
      <c r="C123" s="151">
        <v>3</v>
      </c>
      <c r="D123" s="151" t="s">
        <v>103</v>
      </c>
      <c r="E123" s="149"/>
      <c r="F123" s="149"/>
      <c r="G123" s="149"/>
      <c r="H123" s="151">
        <v>3</v>
      </c>
      <c r="I123" s="151">
        <v>3</v>
      </c>
      <c r="J123" s="151"/>
      <c r="K123" s="151"/>
      <c r="L123" s="151"/>
      <c r="M123" s="151"/>
      <c r="N123" s="151"/>
      <c r="O123" s="151"/>
      <c r="P123" s="151"/>
      <c r="Q123" s="151"/>
      <c r="R123" s="151"/>
      <c r="S123" s="151"/>
      <c r="T123" s="151"/>
      <c r="U123" s="151"/>
      <c r="V123" s="151"/>
      <c r="W123" s="151"/>
      <c r="X123" s="137" t="s">
        <v>171</v>
      </c>
      <c r="Y123" s="155" t="str">
        <f>DB!$D$104</f>
        <v>Epson Genuine Ink T6643 Magenta</v>
      </c>
      <c r="Z123" s="154"/>
      <c r="AA123" s="149"/>
      <c r="AB123" s="136"/>
      <c r="AC123" s="139"/>
      <c r="AD123" s="139"/>
      <c r="AE123" s="139"/>
      <c r="AF123" s="139"/>
    </row>
    <row r="124" spans="1:32" ht="25.5">
      <c r="A124" s="154" t="e">
        <f ca="1"/>
        <v>#NAME?</v>
      </c>
      <c r="B124" s="156" t="s">
        <v>560</v>
      </c>
      <c r="C124" s="151">
        <v>3</v>
      </c>
      <c r="D124" s="151" t="s">
        <v>103</v>
      </c>
      <c r="E124" s="149"/>
      <c r="F124" s="149"/>
      <c r="G124" s="149"/>
      <c r="H124" s="151">
        <v>3</v>
      </c>
      <c r="I124" s="151">
        <v>3</v>
      </c>
      <c r="J124" s="151"/>
      <c r="K124" s="151"/>
      <c r="L124" s="151"/>
      <c r="M124" s="151"/>
      <c r="N124" s="151"/>
      <c r="O124" s="151"/>
      <c r="P124" s="151"/>
      <c r="Q124" s="151"/>
      <c r="R124" s="151"/>
      <c r="S124" s="151"/>
      <c r="T124" s="151"/>
      <c r="U124" s="151"/>
      <c r="V124" s="151"/>
      <c r="W124" s="151"/>
      <c r="X124" s="137" t="s">
        <v>171</v>
      </c>
      <c r="Y124" s="155" t="str">
        <f>DB!$D$105</f>
        <v>Epson Genuine Ink T6644 Yellow</v>
      </c>
      <c r="Z124" s="154"/>
      <c r="AA124" s="149"/>
      <c r="AB124" s="136"/>
      <c r="AC124" s="139"/>
      <c r="AD124" s="139"/>
      <c r="AE124" s="139"/>
      <c r="AF124" s="139"/>
    </row>
    <row r="125" spans="1:32" ht="12.75">
      <c r="A125" s="154" t="e">
        <f ca="1"/>
        <v>#NAME?</v>
      </c>
      <c r="B125" s="150" t="s">
        <v>535</v>
      </c>
      <c r="C125" s="151">
        <v>2</v>
      </c>
      <c r="D125" s="151" t="s">
        <v>103</v>
      </c>
      <c r="E125" s="149"/>
      <c r="F125" s="149"/>
      <c r="G125" s="149"/>
      <c r="H125" s="151">
        <v>1</v>
      </c>
      <c r="I125" s="151">
        <v>1</v>
      </c>
      <c r="J125" s="151"/>
      <c r="K125" s="151"/>
      <c r="L125" s="151">
        <v>0</v>
      </c>
      <c r="M125" s="151"/>
      <c r="N125" s="151"/>
      <c r="O125" s="151"/>
      <c r="P125" s="151">
        <v>1</v>
      </c>
      <c r="Q125" s="151"/>
      <c r="R125" s="151"/>
      <c r="S125" s="151">
        <v>1</v>
      </c>
      <c r="T125" s="151">
        <v>3</v>
      </c>
      <c r="U125" s="151"/>
      <c r="V125" s="151"/>
      <c r="W125" s="151">
        <v>3</v>
      </c>
      <c r="X125" s="137" t="s">
        <v>134</v>
      </c>
      <c r="Y125" s="155" t="str">
        <f>DB!$D$6</f>
        <v>UPS 650VA, AVR, 230V</v>
      </c>
      <c r="Z125" s="154"/>
      <c r="AA125" s="149"/>
      <c r="AB125" s="136"/>
      <c r="AC125" s="139"/>
      <c r="AD125" s="139"/>
      <c r="AE125" s="139"/>
      <c r="AF125" s="139"/>
    </row>
    <row r="126" spans="1:32" ht="12.75">
      <c r="A126" s="154" t="e">
        <f ca="1"/>
        <v>#NAME?</v>
      </c>
      <c r="B126" s="150" t="s">
        <v>561</v>
      </c>
      <c r="C126" s="151">
        <v>1</v>
      </c>
      <c r="D126" s="151" t="s">
        <v>103</v>
      </c>
      <c r="E126" s="149"/>
      <c r="F126" s="149"/>
      <c r="G126" s="149"/>
      <c r="H126" s="151">
        <v>1</v>
      </c>
      <c r="I126" s="151">
        <v>1</v>
      </c>
      <c r="J126" s="151"/>
      <c r="K126" s="151"/>
      <c r="L126" s="151">
        <v>0</v>
      </c>
      <c r="M126" s="151"/>
      <c r="N126" s="151"/>
      <c r="O126" s="151"/>
      <c r="P126" s="151">
        <v>0</v>
      </c>
      <c r="Q126" s="151"/>
      <c r="R126" s="151"/>
      <c r="S126" s="151"/>
      <c r="T126" s="151">
        <v>0</v>
      </c>
      <c r="U126" s="151"/>
      <c r="V126" s="151"/>
      <c r="W126" s="151"/>
      <c r="X126" s="137" t="s">
        <v>134</v>
      </c>
      <c r="Y126" s="164"/>
      <c r="Z126" s="154" t="s">
        <v>562</v>
      </c>
      <c r="AA126" s="149"/>
      <c r="AB126" s="136"/>
      <c r="AC126" s="139"/>
      <c r="AD126" s="139"/>
      <c r="AE126" s="139"/>
      <c r="AF126" s="139"/>
    </row>
    <row r="127" spans="1:32" ht="25.5">
      <c r="A127" s="154" t="e">
        <f ca="1"/>
        <v>#NAME?</v>
      </c>
      <c r="B127" s="150" t="s">
        <v>563</v>
      </c>
      <c r="C127" s="151">
        <v>8</v>
      </c>
      <c r="D127" s="151" t="s">
        <v>103</v>
      </c>
      <c r="E127" s="149"/>
      <c r="F127" s="149"/>
      <c r="G127" s="149"/>
      <c r="H127" s="151">
        <v>2</v>
      </c>
      <c r="I127" s="151">
        <v>2</v>
      </c>
      <c r="J127" s="151"/>
      <c r="K127" s="151"/>
      <c r="L127" s="151">
        <v>2</v>
      </c>
      <c r="M127" s="151">
        <v>2</v>
      </c>
      <c r="N127" s="151"/>
      <c r="O127" s="151"/>
      <c r="P127" s="151">
        <v>2</v>
      </c>
      <c r="Q127" s="151">
        <v>2</v>
      </c>
      <c r="R127" s="151"/>
      <c r="S127" s="151"/>
      <c r="T127" s="151">
        <v>2</v>
      </c>
      <c r="U127" s="151">
        <v>2</v>
      </c>
      <c r="V127" s="151"/>
      <c r="W127" s="151"/>
      <c r="X127" s="137" t="s">
        <v>134</v>
      </c>
      <c r="Y127" s="155" t="str">
        <f>DB!$D$75</f>
        <v>2TB Slim Portable Hard Drive External HDD</v>
      </c>
      <c r="Z127" s="154"/>
      <c r="AA127" s="149"/>
      <c r="AB127" s="136"/>
      <c r="AC127" s="139"/>
      <c r="AD127" s="139"/>
      <c r="AE127" s="139"/>
      <c r="AF127" s="139"/>
    </row>
    <row r="128" spans="1:32" ht="12.75">
      <c r="A128" s="154" t="e">
        <f ca="1"/>
        <v>#NAME?</v>
      </c>
      <c r="B128" s="156" t="s">
        <v>564</v>
      </c>
      <c r="C128" s="151">
        <v>2</v>
      </c>
      <c r="D128" s="151" t="s">
        <v>118</v>
      </c>
      <c r="E128" s="149"/>
      <c r="F128" s="149"/>
      <c r="G128" s="149"/>
      <c r="H128" s="151">
        <v>1</v>
      </c>
      <c r="I128" s="151">
        <v>1</v>
      </c>
      <c r="J128" s="151"/>
      <c r="K128" s="151"/>
      <c r="L128" s="151">
        <v>0</v>
      </c>
      <c r="M128" s="151"/>
      <c r="N128" s="151"/>
      <c r="O128" s="151"/>
      <c r="P128" s="151">
        <v>1</v>
      </c>
      <c r="Q128" s="151">
        <v>1</v>
      </c>
      <c r="R128" s="151"/>
      <c r="S128" s="151"/>
      <c r="T128" s="151">
        <v>0</v>
      </c>
      <c r="U128" s="151"/>
      <c r="V128" s="151"/>
      <c r="W128" s="151"/>
      <c r="X128" s="137" t="s">
        <v>134</v>
      </c>
      <c r="Y128" s="141" t="str">
        <f>DB!$D$194</f>
        <v>Branded Desktop Computer Set</v>
      </c>
      <c r="Z128" s="154"/>
      <c r="AA128" s="149"/>
      <c r="AB128" s="136"/>
      <c r="AC128" s="139"/>
      <c r="AD128" s="139"/>
      <c r="AE128" s="139"/>
      <c r="AF128" s="139"/>
    </row>
    <row r="129" spans="1:32" ht="25.5">
      <c r="A129" s="154" t="e">
        <f ca="1"/>
        <v>#NAME?</v>
      </c>
      <c r="B129" s="150" t="s">
        <v>565</v>
      </c>
      <c r="C129" s="151">
        <v>1</v>
      </c>
      <c r="D129" s="151" t="s">
        <v>118</v>
      </c>
      <c r="E129" s="149"/>
      <c r="F129" s="149"/>
      <c r="G129" s="149"/>
      <c r="H129" s="151">
        <v>1</v>
      </c>
      <c r="I129" s="151">
        <v>1</v>
      </c>
      <c r="J129" s="151"/>
      <c r="K129" s="151"/>
      <c r="L129" s="151">
        <v>0</v>
      </c>
      <c r="M129" s="151"/>
      <c r="N129" s="151"/>
      <c r="O129" s="151"/>
      <c r="P129" s="151">
        <v>0</v>
      </c>
      <c r="Q129" s="151"/>
      <c r="R129" s="151"/>
      <c r="S129" s="151"/>
      <c r="T129" s="151">
        <v>0</v>
      </c>
      <c r="U129" s="151"/>
      <c r="V129" s="151"/>
      <c r="W129" s="151"/>
      <c r="X129" s="137" t="s">
        <v>134</v>
      </c>
      <c r="Y129" s="141" t="str">
        <f>DB!$D$76</f>
        <v>Dot Matrix Printer 24-Pin</v>
      </c>
      <c r="Z129" s="154"/>
      <c r="AA129" s="149"/>
      <c r="AB129" s="136"/>
      <c r="AC129" s="139"/>
      <c r="AD129" s="139"/>
      <c r="AE129" s="139"/>
      <c r="AF129" s="139"/>
    </row>
    <row r="130" spans="1:32" ht="12.75">
      <c r="A130" s="154" t="e">
        <f ca="1"/>
        <v>#NAME?</v>
      </c>
      <c r="B130" s="150" t="s">
        <v>566</v>
      </c>
      <c r="C130" s="151">
        <v>12</v>
      </c>
      <c r="D130" s="151" t="s">
        <v>103</v>
      </c>
      <c r="E130" s="149"/>
      <c r="F130" s="149"/>
      <c r="G130" s="149"/>
      <c r="H130" s="151">
        <v>3</v>
      </c>
      <c r="I130" s="151">
        <v>1</v>
      </c>
      <c r="J130" s="151">
        <v>1</v>
      </c>
      <c r="K130" s="151">
        <v>1</v>
      </c>
      <c r="L130" s="151">
        <v>3</v>
      </c>
      <c r="M130" s="151">
        <v>1</v>
      </c>
      <c r="N130" s="151">
        <v>1</v>
      </c>
      <c r="O130" s="151">
        <v>1</v>
      </c>
      <c r="P130" s="151">
        <v>3</v>
      </c>
      <c r="Q130" s="151">
        <v>1</v>
      </c>
      <c r="R130" s="151">
        <v>1</v>
      </c>
      <c r="S130" s="151">
        <v>1</v>
      </c>
      <c r="T130" s="151">
        <v>3</v>
      </c>
      <c r="U130" s="151">
        <v>1</v>
      </c>
      <c r="V130" s="151">
        <v>1</v>
      </c>
      <c r="W130" s="151">
        <v>1</v>
      </c>
      <c r="X130" s="137" t="s">
        <v>134</v>
      </c>
      <c r="Y130" s="155" t="str">
        <f>DB!$D$263</f>
        <v>Black Original LaserJet Toner Cartridge</v>
      </c>
      <c r="Z130" s="154"/>
      <c r="AA130" s="149"/>
      <c r="AB130" s="136"/>
      <c r="AC130" s="139"/>
      <c r="AD130" s="139"/>
      <c r="AE130" s="139"/>
      <c r="AF130" s="139"/>
    </row>
    <row r="131" spans="1:32" ht="12.75">
      <c r="A131" s="154" t="e">
        <f ca="1"/>
        <v>#NAME?</v>
      </c>
      <c r="B131" s="150" t="s">
        <v>567</v>
      </c>
      <c r="C131" s="151">
        <v>12</v>
      </c>
      <c r="D131" s="151" t="s">
        <v>103</v>
      </c>
      <c r="E131" s="149"/>
      <c r="F131" s="149"/>
      <c r="G131" s="149"/>
      <c r="H131" s="151">
        <v>3</v>
      </c>
      <c r="I131" s="151">
        <v>1</v>
      </c>
      <c r="J131" s="151">
        <v>1</v>
      </c>
      <c r="K131" s="151">
        <v>1</v>
      </c>
      <c r="L131" s="151">
        <v>3</v>
      </c>
      <c r="M131" s="151">
        <v>1</v>
      </c>
      <c r="N131" s="151">
        <v>1</v>
      </c>
      <c r="O131" s="151">
        <v>1</v>
      </c>
      <c r="P131" s="151">
        <v>3</v>
      </c>
      <c r="Q131" s="151">
        <v>1</v>
      </c>
      <c r="R131" s="151">
        <v>1</v>
      </c>
      <c r="S131" s="151">
        <v>1</v>
      </c>
      <c r="T131" s="151">
        <v>3</v>
      </c>
      <c r="U131" s="151">
        <v>1</v>
      </c>
      <c r="V131" s="151">
        <v>1</v>
      </c>
      <c r="W131" s="151">
        <v>1</v>
      </c>
      <c r="X131" s="137" t="s">
        <v>134</v>
      </c>
      <c r="Y131" s="164"/>
      <c r="Z131" s="154" t="s">
        <v>453</v>
      </c>
      <c r="AA131" s="149"/>
      <c r="AB131" s="136"/>
      <c r="AC131" s="139"/>
      <c r="AD131" s="139"/>
      <c r="AE131" s="139"/>
      <c r="AF131" s="139"/>
    </row>
    <row r="132" spans="1:32" ht="12.75">
      <c r="A132" s="154" t="e">
        <f ca="1"/>
        <v>#NAME?</v>
      </c>
      <c r="B132" s="156" t="s">
        <v>234</v>
      </c>
      <c r="C132" s="151">
        <v>4</v>
      </c>
      <c r="D132" s="151" t="s">
        <v>103</v>
      </c>
      <c r="E132" s="149"/>
      <c r="F132" s="149"/>
      <c r="G132" s="151" t="s">
        <v>342</v>
      </c>
      <c r="H132" s="151">
        <v>1</v>
      </c>
      <c r="I132" s="151">
        <v>1</v>
      </c>
      <c r="J132" s="151"/>
      <c r="K132" s="151"/>
      <c r="L132" s="151">
        <v>1</v>
      </c>
      <c r="M132" s="151">
        <v>1</v>
      </c>
      <c r="N132" s="151"/>
      <c r="O132" s="151"/>
      <c r="P132" s="151">
        <v>1</v>
      </c>
      <c r="Q132" s="151">
        <v>1</v>
      </c>
      <c r="R132" s="151"/>
      <c r="S132" s="151"/>
      <c r="T132" s="151">
        <v>0</v>
      </c>
      <c r="U132" s="151"/>
      <c r="V132" s="151"/>
      <c r="W132" s="151"/>
      <c r="X132" s="137" t="s">
        <v>205</v>
      </c>
      <c r="Y132" s="141" t="str">
        <f>DB!$D$168</f>
        <v>Keyboard, Full Size, USB 2.0</v>
      </c>
      <c r="Z132" s="154"/>
      <c r="AA132" s="149"/>
      <c r="AB132" s="136"/>
      <c r="AC132" s="139"/>
      <c r="AD132" s="139"/>
      <c r="AE132" s="139"/>
      <c r="AF132" s="139"/>
    </row>
    <row r="133" spans="1:32" ht="12.75">
      <c r="A133" s="154" t="e">
        <f ca="1"/>
        <v>#NAME?</v>
      </c>
      <c r="B133" s="156" t="s">
        <v>239</v>
      </c>
      <c r="C133" s="151">
        <v>4</v>
      </c>
      <c r="D133" s="151" t="s">
        <v>103</v>
      </c>
      <c r="E133" s="149"/>
      <c r="F133" s="149"/>
      <c r="G133" s="151" t="s">
        <v>342</v>
      </c>
      <c r="H133" s="151">
        <v>1</v>
      </c>
      <c r="I133" s="151">
        <v>1</v>
      </c>
      <c r="J133" s="151"/>
      <c r="K133" s="151"/>
      <c r="L133" s="151">
        <v>1</v>
      </c>
      <c r="M133" s="151">
        <v>1</v>
      </c>
      <c r="N133" s="151"/>
      <c r="O133" s="151"/>
      <c r="P133" s="151">
        <v>1</v>
      </c>
      <c r="Q133" s="151">
        <v>1</v>
      </c>
      <c r="R133" s="151"/>
      <c r="S133" s="151"/>
      <c r="T133" s="151">
        <v>0</v>
      </c>
      <c r="U133" s="151"/>
      <c r="V133" s="151"/>
      <c r="W133" s="151"/>
      <c r="X133" s="137" t="s">
        <v>205</v>
      </c>
      <c r="Y133" s="141" t="str">
        <f>DB!$D$169</f>
        <v>Mouse, Optical, USB 2.0</v>
      </c>
      <c r="Z133" s="154"/>
      <c r="AA133" s="149"/>
      <c r="AB133" s="136"/>
      <c r="AC133" s="139"/>
      <c r="AD133" s="139"/>
      <c r="AE133" s="139"/>
      <c r="AF133" s="139"/>
    </row>
    <row r="134" spans="1:32" ht="12.75">
      <c r="A134" s="154" t="e">
        <f ca="1"/>
        <v>#NAME?</v>
      </c>
      <c r="B134" s="156" t="s">
        <v>568</v>
      </c>
      <c r="C134" s="151">
        <v>3</v>
      </c>
      <c r="D134" s="151" t="s">
        <v>103</v>
      </c>
      <c r="E134" s="149"/>
      <c r="F134" s="149"/>
      <c r="G134" s="151" t="s">
        <v>342</v>
      </c>
      <c r="H134" s="151">
        <v>1</v>
      </c>
      <c r="I134" s="151">
        <v>1</v>
      </c>
      <c r="J134" s="151"/>
      <c r="K134" s="151"/>
      <c r="L134" s="151">
        <v>1</v>
      </c>
      <c r="M134" s="151"/>
      <c r="N134" s="151"/>
      <c r="O134" s="151"/>
      <c r="P134" s="151">
        <v>0</v>
      </c>
      <c r="Q134" s="151"/>
      <c r="R134" s="151"/>
      <c r="S134" s="151"/>
      <c r="T134" s="151">
        <v>0</v>
      </c>
      <c r="U134" s="151"/>
      <c r="V134" s="151"/>
      <c r="W134" s="151"/>
      <c r="X134" s="137" t="s">
        <v>205</v>
      </c>
      <c r="Y134" s="155" t="str">
        <f>DB!$D$6</f>
        <v>UPS 650VA, AVR, 230V</v>
      </c>
      <c r="Z134" s="154"/>
      <c r="AA134" s="149"/>
      <c r="AB134" s="136"/>
      <c r="AC134" s="139"/>
      <c r="AD134" s="139"/>
      <c r="AE134" s="139"/>
      <c r="AF134" s="139"/>
    </row>
    <row r="135" spans="1:32" ht="12.75">
      <c r="A135" s="154" t="e">
        <f ca="1"/>
        <v>#NAME?</v>
      </c>
      <c r="B135" s="156" t="s">
        <v>547</v>
      </c>
      <c r="C135" s="151">
        <v>6</v>
      </c>
      <c r="D135" s="151" t="s">
        <v>103</v>
      </c>
      <c r="E135" s="149"/>
      <c r="F135" s="149"/>
      <c r="G135" s="151" t="s">
        <v>342</v>
      </c>
      <c r="H135" s="151">
        <v>3</v>
      </c>
      <c r="I135" s="151">
        <v>1</v>
      </c>
      <c r="J135" s="165"/>
      <c r="K135" s="151"/>
      <c r="L135" s="151">
        <v>3</v>
      </c>
      <c r="M135" s="151">
        <v>3</v>
      </c>
      <c r="N135" s="165"/>
      <c r="O135" s="151"/>
      <c r="P135" s="151">
        <v>0</v>
      </c>
      <c r="Q135" s="165"/>
      <c r="R135" s="165"/>
      <c r="S135" s="151"/>
      <c r="T135" s="151"/>
      <c r="U135" s="165"/>
      <c r="V135" s="165"/>
      <c r="W135" s="151"/>
      <c r="X135" s="137" t="s">
        <v>205</v>
      </c>
      <c r="Y135" s="155" t="str">
        <f>DB!$D$110</f>
        <v>HP Genuine Ink Refill - (GT53) Black</v>
      </c>
      <c r="Z135" s="154"/>
      <c r="AA135" s="149"/>
      <c r="AB135" s="136"/>
      <c r="AC135" s="139"/>
      <c r="AD135" s="139"/>
      <c r="AE135" s="139"/>
      <c r="AF135" s="139"/>
    </row>
    <row r="136" spans="1:32" ht="12.75">
      <c r="A136" s="154" t="e">
        <f ca="1"/>
        <v>#NAME?</v>
      </c>
      <c r="B136" s="156" t="s">
        <v>548</v>
      </c>
      <c r="C136" s="151">
        <v>4</v>
      </c>
      <c r="D136" s="151" t="s">
        <v>103</v>
      </c>
      <c r="E136" s="149"/>
      <c r="F136" s="149"/>
      <c r="G136" s="151" t="s">
        <v>342</v>
      </c>
      <c r="H136" s="151">
        <v>2</v>
      </c>
      <c r="I136" s="151">
        <v>2</v>
      </c>
      <c r="J136" s="165"/>
      <c r="K136" s="151"/>
      <c r="L136" s="151">
        <v>2</v>
      </c>
      <c r="M136" s="151">
        <v>2</v>
      </c>
      <c r="N136" s="165"/>
      <c r="O136" s="151"/>
      <c r="P136" s="151">
        <v>0</v>
      </c>
      <c r="Q136" s="165"/>
      <c r="R136" s="165"/>
      <c r="S136" s="151"/>
      <c r="T136" s="151">
        <v>0</v>
      </c>
      <c r="U136" s="165"/>
      <c r="V136" s="165"/>
      <c r="W136" s="151"/>
      <c r="X136" s="137" t="s">
        <v>205</v>
      </c>
      <c r="Y136" s="155" t="str">
        <f>DB!$D$111</f>
        <v>HP Genuine Ink Refill - (GT52) Magenta</v>
      </c>
      <c r="Z136" s="154"/>
      <c r="AA136" s="149"/>
      <c r="AB136" s="136"/>
      <c r="AC136" s="139"/>
      <c r="AD136" s="139"/>
      <c r="AE136" s="139"/>
      <c r="AF136" s="139"/>
    </row>
    <row r="137" spans="1:32" ht="12.75">
      <c r="A137" s="154" t="e">
        <f ca="1"/>
        <v>#NAME?</v>
      </c>
      <c r="B137" s="156" t="s">
        <v>549</v>
      </c>
      <c r="C137" s="151">
        <v>4</v>
      </c>
      <c r="D137" s="151" t="s">
        <v>103</v>
      </c>
      <c r="E137" s="149"/>
      <c r="F137" s="149"/>
      <c r="G137" s="151" t="s">
        <v>342</v>
      </c>
      <c r="H137" s="151">
        <v>2</v>
      </c>
      <c r="I137" s="151">
        <v>2</v>
      </c>
      <c r="J137" s="165"/>
      <c r="K137" s="151"/>
      <c r="L137" s="151">
        <v>2</v>
      </c>
      <c r="M137" s="151">
        <v>2</v>
      </c>
      <c r="N137" s="165"/>
      <c r="O137" s="151"/>
      <c r="P137" s="151">
        <v>0</v>
      </c>
      <c r="Q137" s="165"/>
      <c r="R137" s="165"/>
      <c r="S137" s="151"/>
      <c r="T137" s="151">
        <v>0</v>
      </c>
      <c r="U137" s="165"/>
      <c r="V137" s="165"/>
      <c r="W137" s="151"/>
      <c r="X137" s="137" t="s">
        <v>205</v>
      </c>
      <c r="Y137" s="155" t="str">
        <f>DB!$D$112</f>
        <v>HP Genuine Ink Refill - (GT52) Cyan</v>
      </c>
      <c r="Z137" s="154"/>
      <c r="AA137" s="149"/>
      <c r="AB137" s="136"/>
      <c r="AC137" s="139"/>
      <c r="AD137" s="139"/>
      <c r="AE137" s="139"/>
      <c r="AF137" s="139"/>
    </row>
    <row r="138" spans="1:32" ht="12.75">
      <c r="A138" s="154" t="e">
        <f ca="1"/>
        <v>#NAME?</v>
      </c>
      <c r="B138" s="156" t="s">
        <v>550</v>
      </c>
      <c r="C138" s="151">
        <v>4</v>
      </c>
      <c r="D138" s="151" t="s">
        <v>103</v>
      </c>
      <c r="E138" s="149"/>
      <c r="F138" s="149"/>
      <c r="G138" s="151" t="s">
        <v>342</v>
      </c>
      <c r="H138" s="151">
        <v>2</v>
      </c>
      <c r="I138" s="151">
        <v>2</v>
      </c>
      <c r="J138" s="165"/>
      <c r="K138" s="151"/>
      <c r="L138" s="151">
        <v>2</v>
      </c>
      <c r="M138" s="151">
        <v>2</v>
      </c>
      <c r="N138" s="165"/>
      <c r="O138" s="151"/>
      <c r="P138" s="151">
        <v>0</v>
      </c>
      <c r="Q138" s="165"/>
      <c r="R138" s="165"/>
      <c r="S138" s="151"/>
      <c r="T138" s="151">
        <v>0</v>
      </c>
      <c r="U138" s="165"/>
      <c r="V138" s="165"/>
      <c r="W138" s="151"/>
      <c r="X138" s="137" t="s">
        <v>205</v>
      </c>
      <c r="Y138" s="155" t="str">
        <f>DB!$D$113</f>
        <v>HP Genuine Ink Refill - (GT52) Yellow</v>
      </c>
      <c r="Z138" s="154"/>
      <c r="AA138" s="149"/>
      <c r="AB138" s="136"/>
      <c r="AC138" s="139"/>
      <c r="AD138" s="139"/>
      <c r="AE138" s="139"/>
      <c r="AF138" s="139"/>
    </row>
    <row r="139" spans="1:32" ht="25.5">
      <c r="A139" s="154" t="e">
        <f ca="1"/>
        <v>#NAME?</v>
      </c>
      <c r="B139" s="156" t="s">
        <v>569</v>
      </c>
      <c r="C139" s="151">
        <v>6</v>
      </c>
      <c r="D139" s="151" t="s">
        <v>103</v>
      </c>
      <c r="E139" s="149"/>
      <c r="F139" s="149"/>
      <c r="G139" s="151" t="s">
        <v>342</v>
      </c>
      <c r="H139" s="151">
        <v>2</v>
      </c>
      <c r="I139" s="151">
        <v>2</v>
      </c>
      <c r="J139" s="165"/>
      <c r="K139" s="151"/>
      <c r="L139" s="151">
        <v>2</v>
      </c>
      <c r="M139" s="151">
        <v>2</v>
      </c>
      <c r="N139" s="165"/>
      <c r="O139" s="151"/>
      <c r="P139" s="151">
        <v>2</v>
      </c>
      <c r="Q139" s="151">
        <v>2</v>
      </c>
      <c r="R139" s="165"/>
      <c r="S139" s="151"/>
      <c r="T139" s="151">
        <v>0</v>
      </c>
      <c r="U139" s="165"/>
      <c r="V139" s="165"/>
      <c r="W139" s="151"/>
      <c r="X139" s="137" t="s">
        <v>205</v>
      </c>
      <c r="Y139" s="155" t="str">
        <f>DB!$D$241</f>
        <v>Toner Cartridge for the existing ECOSYS M2640IDW/L</v>
      </c>
      <c r="Z139" s="155"/>
      <c r="AA139" s="149"/>
      <c r="AB139" s="136"/>
      <c r="AC139" s="139"/>
      <c r="AD139" s="139"/>
      <c r="AE139" s="139"/>
      <c r="AF139" s="139"/>
    </row>
    <row r="140" spans="1:32" ht="12.75">
      <c r="A140" s="154" t="e">
        <f ca="1"/>
        <v>#NAME?</v>
      </c>
      <c r="B140" s="156" t="s">
        <v>570</v>
      </c>
      <c r="C140" s="158">
        <v>6</v>
      </c>
      <c r="D140" s="151" t="s">
        <v>571</v>
      </c>
      <c r="E140" s="153"/>
      <c r="F140" s="153"/>
      <c r="G140" s="151" t="s">
        <v>342</v>
      </c>
      <c r="H140" s="151">
        <v>2</v>
      </c>
      <c r="I140" s="151">
        <v>2</v>
      </c>
      <c r="J140" s="165"/>
      <c r="K140" s="151"/>
      <c r="L140" s="151">
        <v>2</v>
      </c>
      <c r="M140" s="151">
        <v>2</v>
      </c>
      <c r="N140" s="165"/>
      <c r="O140" s="151"/>
      <c r="P140" s="151">
        <v>2</v>
      </c>
      <c r="Q140" s="151">
        <v>2</v>
      </c>
      <c r="R140" s="165"/>
      <c r="S140" s="151"/>
      <c r="T140" s="151">
        <v>0</v>
      </c>
      <c r="U140" s="165"/>
      <c r="V140" s="165"/>
      <c r="W140" s="151"/>
      <c r="X140" s="137" t="s">
        <v>205</v>
      </c>
      <c r="Y140" s="155" t="str">
        <f>DB!$D$106</f>
        <v>Epson Genuine Ink (003) Black</v>
      </c>
      <c r="Z140" s="154"/>
      <c r="AA140" s="149"/>
      <c r="AB140" s="136"/>
      <c r="AC140" s="139"/>
      <c r="AD140" s="139"/>
      <c r="AE140" s="139"/>
      <c r="AF140" s="139"/>
    </row>
    <row r="141" spans="1:32" ht="12.75">
      <c r="A141" s="154" t="e">
        <f ca="1"/>
        <v>#NAME?</v>
      </c>
      <c r="B141" s="156" t="s">
        <v>572</v>
      </c>
      <c r="C141" s="158">
        <v>4</v>
      </c>
      <c r="D141" s="151" t="s">
        <v>571</v>
      </c>
      <c r="E141" s="153"/>
      <c r="F141" s="153"/>
      <c r="G141" s="151" t="s">
        <v>342</v>
      </c>
      <c r="H141" s="151">
        <v>2</v>
      </c>
      <c r="I141" s="151">
        <v>2</v>
      </c>
      <c r="J141" s="165"/>
      <c r="K141" s="151"/>
      <c r="L141" s="151">
        <v>1</v>
      </c>
      <c r="M141" s="151">
        <v>1</v>
      </c>
      <c r="N141" s="165"/>
      <c r="O141" s="151"/>
      <c r="P141" s="151">
        <v>1</v>
      </c>
      <c r="Q141" s="151">
        <v>1</v>
      </c>
      <c r="R141" s="165"/>
      <c r="S141" s="151"/>
      <c r="T141" s="151">
        <v>0</v>
      </c>
      <c r="U141" s="165"/>
      <c r="V141" s="165"/>
      <c r="W141" s="151"/>
      <c r="X141" s="137" t="s">
        <v>205</v>
      </c>
      <c r="Y141" s="155" t="str">
        <f>DB!$D$107</f>
        <v>Epson Genuine Ink (003) Cyan</v>
      </c>
      <c r="Z141" s="154"/>
      <c r="AA141" s="149"/>
      <c r="AB141" s="136"/>
      <c r="AC141" s="139"/>
      <c r="AD141" s="139"/>
      <c r="AE141" s="139"/>
      <c r="AF141" s="139"/>
    </row>
    <row r="142" spans="1:32" ht="12.75">
      <c r="A142" s="154" t="e">
        <f ca="1"/>
        <v>#NAME?</v>
      </c>
      <c r="B142" s="156" t="s">
        <v>573</v>
      </c>
      <c r="C142" s="158">
        <v>4</v>
      </c>
      <c r="D142" s="151" t="s">
        <v>571</v>
      </c>
      <c r="E142" s="153"/>
      <c r="F142" s="153"/>
      <c r="G142" s="151" t="s">
        <v>342</v>
      </c>
      <c r="H142" s="151">
        <v>2</v>
      </c>
      <c r="I142" s="151">
        <v>2</v>
      </c>
      <c r="J142" s="165"/>
      <c r="K142" s="151"/>
      <c r="L142" s="151">
        <v>1</v>
      </c>
      <c r="M142" s="151">
        <v>1</v>
      </c>
      <c r="N142" s="165"/>
      <c r="O142" s="151"/>
      <c r="P142" s="151">
        <v>1</v>
      </c>
      <c r="Q142" s="151">
        <v>1</v>
      </c>
      <c r="R142" s="165"/>
      <c r="S142" s="151"/>
      <c r="T142" s="151">
        <v>0</v>
      </c>
      <c r="U142" s="165"/>
      <c r="V142" s="165"/>
      <c r="W142" s="151"/>
      <c r="X142" s="137" t="s">
        <v>205</v>
      </c>
      <c r="Y142" s="155" t="str">
        <f>DB!$D$108</f>
        <v>Epson Genuine Ink (003) Yellow</v>
      </c>
      <c r="Z142" s="154"/>
      <c r="AA142" s="149"/>
      <c r="AB142" s="136"/>
      <c r="AC142" s="139"/>
      <c r="AD142" s="139"/>
      <c r="AE142" s="139"/>
      <c r="AF142" s="139"/>
    </row>
    <row r="143" spans="1:32" ht="12.75">
      <c r="A143" s="154" t="e">
        <f ca="1"/>
        <v>#NAME?</v>
      </c>
      <c r="B143" s="156" t="s">
        <v>574</v>
      </c>
      <c r="C143" s="158">
        <v>4</v>
      </c>
      <c r="D143" s="151" t="s">
        <v>571</v>
      </c>
      <c r="E143" s="154"/>
      <c r="F143" s="154"/>
      <c r="G143" s="151" t="s">
        <v>342</v>
      </c>
      <c r="H143" s="151">
        <v>1</v>
      </c>
      <c r="I143" s="151">
        <v>1</v>
      </c>
      <c r="J143" s="151"/>
      <c r="K143" s="151"/>
      <c r="L143" s="151">
        <v>1</v>
      </c>
      <c r="M143" s="151">
        <v>1</v>
      </c>
      <c r="N143" s="151"/>
      <c r="O143" s="151"/>
      <c r="P143" s="151">
        <v>1</v>
      </c>
      <c r="Q143" s="151">
        <v>1</v>
      </c>
      <c r="R143" s="151"/>
      <c r="S143" s="151"/>
      <c r="T143" s="151">
        <v>0</v>
      </c>
      <c r="U143" s="151"/>
      <c r="V143" s="151"/>
      <c r="W143" s="151"/>
      <c r="X143" s="137" t="s">
        <v>205</v>
      </c>
      <c r="Y143" s="155" t="str">
        <f>DB!$D$109</f>
        <v>Epson Genuine Ink (003) Magenta</v>
      </c>
      <c r="Z143" s="154"/>
      <c r="AA143" s="149"/>
      <c r="AB143" s="136"/>
      <c r="AC143" s="139"/>
      <c r="AD143" s="139"/>
      <c r="AE143" s="139"/>
      <c r="AF143" s="139"/>
    </row>
    <row r="144" spans="1:32" ht="25.5">
      <c r="A144" s="154" t="e">
        <f ca="1"/>
        <v>#NAME?</v>
      </c>
      <c r="B144" s="156" t="s">
        <v>575</v>
      </c>
      <c r="C144" s="158">
        <v>2</v>
      </c>
      <c r="D144" s="151" t="s">
        <v>103</v>
      </c>
      <c r="E144" s="154"/>
      <c r="F144" s="154"/>
      <c r="G144" s="151" t="s">
        <v>342</v>
      </c>
      <c r="H144" s="151">
        <v>1</v>
      </c>
      <c r="I144" s="151">
        <v>1</v>
      </c>
      <c r="J144" s="151"/>
      <c r="K144" s="151"/>
      <c r="L144" s="151">
        <v>1</v>
      </c>
      <c r="M144" s="151">
        <v>1</v>
      </c>
      <c r="N144" s="151"/>
      <c r="O144" s="151"/>
      <c r="P144" s="151">
        <v>0</v>
      </c>
      <c r="Q144" s="151"/>
      <c r="R144" s="151"/>
      <c r="S144" s="151"/>
      <c r="T144" s="151">
        <v>0</v>
      </c>
      <c r="U144" s="151"/>
      <c r="V144" s="151"/>
      <c r="W144" s="151"/>
      <c r="X144" s="137" t="s">
        <v>205</v>
      </c>
      <c r="Y144" s="155" t="str">
        <f>DB!$D$84</f>
        <v>HP Printhead Black compatible with the existing HP Smart Tank 515</v>
      </c>
      <c r="Z144" s="154"/>
      <c r="AA144" s="154"/>
      <c r="AB144" s="136"/>
      <c r="AC144" s="139"/>
      <c r="AD144" s="139"/>
      <c r="AE144" s="139"/>
      <c r="AF144" s="139"/>
    </row>
    <row r="145" spans="1:32" ht="25.5">
      <c r="A145" s="154" t="e">
        <f ca="1"/>
        <v>#NAME?</v>
      </c>
      <c r="B145" s="156" t="s">
        <v>576</v>
      </c>
      <c r="C145" s="158">
        <v>2</v>
      </c>
      <c r="D145" s="151" t="s">
        <v>103</v>
      </c>
      <c r="E145" s="154"/>
      <c r="F145" s="154"/>
      <c r="G145" s="151" t="s">
        <v>342</v>
      </c>
      <c r="H145" s="151">
        <v>1</v>
      </c>
      <c r="I145" s="151">
        <v>1</v>
      </c>
      <c r="J145" s="151"/>
      <c r="K145" s="151"/>
      <c r="L145" s="151">
        <v>1</v>
      </c>
      <c r="M145" s="151">
        <v>1</v>
      </c>
      <c r="N145" s="151"/>
      <c r="O145" s="151"/>
      <c r="P145" s="151">
        <v>0</v>
      </c>
      <c r="Q145" s="151"/>
      <c r="R145" s="151"/>
      <c r="S145" s="151"/>
      <c r="T145" s="151">
        <v>0</v>
      </c>
      <c r="U145" s="151"/>
      <c r="V145" s="151"/>
      <c r="W145" s="151"/>
      <c r="X145" s="137" t="s">
        <v>205</v>
      </c>
      <c r="Y145" s="155" t="str">
        <f>DB!$D$85</f>
        <v>HP Printhead Tri-color compatible with the existing HP Smart Tank 515</v>
      </c>
      <c r="Z145" s="154"/>
      <c r="AA145" s="154"/>
      <c r="AB145" s="136"/>
      <c r="AC145" s="139"/>
      <c r="AD145" s="139"/>
      <c r="AE145" s="139"/>
      <c r="AF145" s="139"/>
    </row>
    <row r="146" spans="1:32" ht="12.75">
      <c r="A146" s="154" t="e">
        <f ca="1"/>
        <v>#NAME?</v>
      </c>
      <c r="B146" s="166" t="s">
        <v>542</v>
      </c>
      <c r="C146" s="151">
        <v>2</v>
      </c>
      <c r="D146" s="152" t="s">
        <v>103</v>
      </c>
      <c r="E146" s="154"/>
      <c r="F146" s="154"/>
      <c r="G146" s="151" t="s">
        <v>342</v>
      </c>
      <c r="H146" s="152">
        <v>2</v>
      </c>
      <c r="I146" s="152"/>
      <c r="J146" s="152"/>
      <c r="K146" s="152"/>
      <c r="L146" s="152">
        <v>0</v>
      </c>
      <c r="M146" s="152"/>
      <c r="N146" s="152"/>
      <c r="O146" s="152"/>
      <c r="P146" s="152">
        <v>0</v>
      </c>
      <c r="Q146" s="152"/>
      <c r="R146" s="152"/>
      <c r="S146" s="152"/>
      <c r="T146" s="152">
        <v>0</v>
      </c>
      <c r="U146" s="152"/>
      <c r="V146" s="152"/>
      <c r="W146" s="152"/>
      <c r="X146" s="137" t="s">
        <v>180</v>
      </c>
      <c r="Y146" s="141" t="str">
        <f>DB!$D$194</f>
        <v>Branded Desktop Computer Set</v>
      </c>
      <c r="Z146" s="154"/>
      <c r="AA146" s="154"/>
      <c r="AB146" s="136"/>
      <c r="AC146" s="139"/>
      <c r="AD146" s="139"/>
      <c r="AE146" s="139"/>
      <c r="AF146" s="139"/>
    </row>
    <row r="147" spans="1:32" ht="12.75">
      <c r="A147" s="154" t="e">
        <f ca="1"/>
        <v>#NAME?</v>
      </c>
      <c r="B147" s="156" t="s">
        <v>577</v>
      </c>
      <c r="C147" s="151">
        <v>2</v>
      </c>
      <c r="D147" s="152" t="s">
        <v>103</v>
      </c>
      <c r="E147" s="154"/>
      <c r="F147" s="154"/>
      <c r="G147" s="151" t="s">
        <v>342</v>
      </c>
      <c r="H147" s="152">
        <v>2</v>
      </c>
      <c r="I147" s="152"/>
      <c r="J147" s="152"/>
      <c r="K147" s="152"/>
      <c r="L147" s="152">
        <v>0</v>
      </c>
      <c r="M147" s="152"/>
      <c r="N147" s="152"/>
      <c r="O147" s="152"/>
      <c r="P147" s="152">
        <v>0</v>
      </c>
      <c r="Q147" s="152"/>
      <c r="R147" s="152"/>
      <c r="S147" s="152"/>
      <c r="T147" s="152">
        <v>0</v>
      </c>
      <c r="U147" s="152"/>
      <c r="V147" s="152"/>
      <c r="W147" s="152"/>
      <c r="X147" s="137" t="s">
        <v>180</v>
      </c>
      <c r="Y147" s="141" t="str">
        <f>DB!$D$37</f>
        <v>Single Line Telephone (Black)</v>
      </c>
      <c r="Z147" s="154"/>
      <c r="AA147" s="154"/>
      <c r="AB147" s="136"/>
      <c r="AC147" s="139"/>
      <c r="AD147" s="139"/>
      <c r="AE147" s="139"/>
      <c r="AF147" s="139"/>
    </row>
    <row r="148" spans="1:32" ht="12.75">
      <c r="A148" s="154" t="e">
        <f ca="1"/>
        <v>#NAME?</v>
      </c>
      <c r="B148" s="150" t="s">
        <v>578</v>
      </c>
      <c r="C148" s="152">
        <v>2</v>
      </c>
      <c r="D148" s="152" t="s">
        <v>103</v>
      </c>
      <c r="E148" s="149"/>
      <c r="F148" s="154"/>
      <c r="G148" s="151" t="s">
        <v>342</v>
      </c>
      <c r="H148" s="152">
        <v>2</v>
      </c>
      <c r="I148" s="152"/>
      <c r="J148" s="152"/>
      <c r="K148" s="152"/>
      <c r="L148" s="152">
        <v>0</v>
      </c>
      <c r="M148" s="152"/>
      <c r="N148" s="152"/>
      <c r="O148" s="152"/>
      <c r="P148" s="152">
        <v>0</v>
      </c>
      <c r="Q148" s="152"/>
      <c r="R148" s="152"/>
      <c r="S148" s="152"/>
      <c r="T148" s="152">
        <v>0</v>
      </c>
      <c r="U148" s="152"/>
      <c r="V148" s="152"/>
      <c r="W148" s="152"/>
      <c r="X148" s="137" t="s">
        <v>180</v>
      </c>
      <c r="Y148" s="155" t="str">
        <f>DB!$D$276</f>
        <v>Ink Tank Printer</v>
      </c>
      <c r="Z148" s="154" t="s">
        <v>469</v>
      </c>
      <c r="AA148" s="149"/>
      <c r="AB148" s="136"/>
      <c r="AC148" s="139"/>
      <c r="AD148" s="139"/>
      <c r="AE148" s="139"/>
      <c r="AF148" s="139"/>
    </row>
    <row r="149" spans="1:32" ht="12.75">
      <c r="A149" s="154" t="e">
        <f ca="1"/>
        <v>#NAME?</v>
      </c>
      <c r="B149" s="150" t="s">
        <v>579</v>
      </c>
      <c r="C149" s="152">
        <v>24</v>
      </c>
      <c r="D149" s="152" t="s">
        <v>103</v>
      </c>
      <c r="E149" s="149"/>
      <c r="F149" s="154"/>
      <c r="G149" s="151" t="s">
        <v>342</v>
      </c>
      <c r="H149" s="152">
        <v>6</v>
      </c>
      <c r="I149" s="152"/>
      <c r="J149" s="152"/>
      <c r="K149" s="152"/>
      <c r="L149" s="152">
        <v>6</v>
      </c>
      <c r="M149" s="152"/>
      <c r="N149" s="152"/>
      <c r="O149" s="152"/>
      <c r="P149" s="152">
        <v>6</v>
      </c>
      <c r="Q149" s="152"/>
      <c r="R149" s="152"/>
      <c r="S149" s="152"/>
      <c r="T149" s="152">
        <v>6</v>
      </c>
      <c r="U149" s="152"/>
      <c r="V149" s="152"/>
      <c r="W149" s="152"/>
      <c r="X149" s="137" t="s">
        <v>180</v>
      </c>
      <c r="Y149" s="155" t="str">
        <f>DB!$D$110</f>
        <v>HP Genuine Ink Refill - (GT53) Black</v>
      </c>
      <c r="Z149" s="154"/>
      <c r="AA149" s="149"/>
      <c r="AB149" s="136"/>
      <c r="AC149" s="139"/>
      <c r="AD149" s="139"/>
      <c r="AE149" s="139"/>
      <c r="AF149" s="139"/>
    </row>
    <row r="150" spans="1:32" ht="12.75">
      <c r="A150" s="154" t="e">
        <f ca="1"/>
        <v>#NAME?</v>
      </c>
      <c r="B150" s="150" t="s">
        <v>580</v>
      </c>
      <c r="C150" s="152">
        <v>24</v>
      </c>
      <c r="D150" s="152" t="s">
        <v>103</v>
      </c>
      <c r="E150" s="149"/>
      <c r="F150" s="154"/>
      <c r="G150" s="151" t="s">
        <v>342</v>
      </c>
      <c r="H150" s="152">
        <v>6</v>
      </c>
      <c r="I150" s="152"/>
      <c r="J150" s="152"/>
      <c r="K150" s="152"/>
      <c r="L150" s="152">
        <v>6</v>
      </c>
      <c r="M150" s="152"/>
      <c r="N150" s="152"/>
      <c r="O150" s="152"/>
      <c r="P150" s="152">
        <v>6</v>
      </c>
      <c r="Q150" s="152"/>
      <c r="R150" s="152"/>
      <c r="S150" s="152"/>
      <c r="T150" s="152">
        <v>6</v>
      </c>
      <c r="U150" s="152"/>
      <c r="V150" s="152"/>
      <c r="W150" s="152"/>
      <c r="X150" s="137" t="s">
        <v>180</v>
      </c>
      <c r="Y150" s="155" t="str">
        <f>DB!$D$111</f>
        <v>HP Genuine Ink Refill - (GT52) Magenta</v>
      </c>
      <c r="Z150" s="154"/>
      <c r="AA150" s="149"/>
      <c r="AB150" s="136"/>
      <c r="AC150" s="139"/>
      <c r="AD150" s="139"/>
      <c r="AE150" s="139"/>
      <c r="AF150" s="139"/>
    </row>
    <row r="151" spans="1:32" ht="12.75">
      <c r="A151" s="154" t="e">
        <f ca="1"/>
        <v>#NAME?</v>
      </c>
      <c r="B151" s="150" t="s">
        <v>581</v>
      </c>
      <c r="C151" s="152">
        <v>24</v>
      </c>
      <c r="D151" s="152" t="s">
        <v>103</v>
      </c>
      <c r="E151" s="149"/>
      <c r="F151" s="154"/>
      <c r="G151" s="151" t="s">
        <v>342</v>
      </c>
      <c r="H151" s="152">
        <v>6</v>
      </c>
      <c r="I151" s="152"/>
      <c r="J151" s="152"/>
      <c r="K151" s="152"/>
      <c r="L151" s="152">
        <v>6</v>
      </c>
      <c r="M151" s="152"/>
      <c r="N151" s="152"/>
      <c r="O151" s="152"/>
      <c r="P151" s="152">
        <v>6</v>
      </c>
      <c r="Q151" s="152"/>
      <c r="R151" s="152"/>
      <c r="S151" s="152"/>
      <c r="T151" s="152">
        <v>6</v>
      </c>
      <c r="U151" s="152"/>
      <c r="V151" s="152"/>
      <c r="W151" s="152"/>
      <c r="X151" s="137" t="s">
        <v>180</v>
      </c>
      <c r="Y151" s="155" t="str">
        <f>DB!$D$112</f>
        <v>HP Genuine Ink Refill - (GT52) Cyan</v>
      </c>
      <c r="Z151" s="154"/>
      <c r="AA151" s="149"/>
      <c r="AB151" s="136"/>
      <c r="AC151" s="139"/>
      <c r="AD151" s="139"/>
      <c r="AE151" s="139"/>
      <c r="AF151" s="139"/>
    </row>
    <row r="152" spans="1:32" ht="12.75">
      <c r="A152" s="154" t="e">
        <f ca="1"/>
        <v>#NAME?</v>
      </c>
      <c r="B152" s="167" t="s">
        <v>582</v>
      </c>
      <c r="C152" s="152">
        <v>24</v>
      </c>
      <c r="D152" s="152" t="s">
        <v>103</v>
      </c>
      <c r="E152" s="149"/>
      <c r="F152" s="154"/>
      <c r="G152" s="151" t="s">
        <v>342</v>
      </c>
      <c r="H152" s="152">
        <v>6</v>
      </c>
      <c r="I152" s="152"/>
      <c r="J152" s="152"/>
      <c r="K152" s="152"/>
      <c r="L152" s="152">
        <v>6</v>
      </c>
      <c r="M152" s="152"/>
      <c r="N152" s="152"/>
      <c r="O152" s="152"/>
      <c r="P152" s="152">
        <v>6</v>
      </c>
      <c r="Q152" s="152"/>
      <c r="R152" s="152"/>
      <c r="S152" s="152"/>
      <c r="T152" s="152">
        <v>6</v>
      </c>
      <c r="U152" s="152"/>
      <c r="V152" s="152"/>
      <c r="W152" s="152"/>
      <c r="X152" s="137" t="s">
        <v>180</v>
      </c>
      <c r="Y152" s="155" t="str">
        <f>DB!$D$113</f>
        <v>HP Genuine Ink Refill - (GT52) Yellow</v>
      </c>
      <c r="Z152" s="154"/>
      <c r="AA152" s="149"/>
      <c r="AB152" s="136"/>
      <c r="AC152" s="139"/>
      <c r="AD152" s="139"/>
      <c r="AE152" s="139"/>
      <c r="AF152" s="139"/>
    </row>
    <row r="153" spans="1:32" ht="12.75">
      <c r="A153" s="154" t="e">
        <f ca="1"/>
        <v>#NAME?</v>
      </c>
      <c r="B153" s="150" t="s">
        <v>583</v>
      </c>
      <c r="C153" s="152">
        <v>24</v>
      </c>
      <c r="D153" s="152" t="s">
        <v>103</v>
      </c>
      <c r="E153" s="149"/>
      <c r="F153" s="154"/>
      <c r="G153" s="151" t="s">
        <v>342</v>
      </c>
      <c r="H153" s="152">
        <v>6</v>
      </c>
      <c r="I153" s="152"/>
      <c r="J153" s="152"/>
      <c r="K153" s="152"/>
      <c r="L153" s="152">
        <v>6</v>
      </c>
      <c r="M153" s="152"/>
      <c r="N153" s="152"/>
      <c r="O153" s="152"/>
      <c r="P153" s="152">
        <v>6</v>
      </c>
      <c r="Q153" s="152"/>
      <c r="R153" s="152"/>
      <c r="S153" s="152"/>
      <c r="T153" s="152">
        <v>6</v>
      </c>
      <c r="U153" s="152"/>
      <c r="V153" s="152"/>
      <c r="W153" s="152"/>
      <c r="X153" s="137" t="s">
        <v>180</v>
      </c>
      <c r="Y153" s="155"/>
      <c r="Z153" s="154" t="s">
        <v>453</v>
      </c>
      <c r="AA153" s="149"/>
      <c r="AB153" s="136"/>
      <c r="AC153" s="139"/>
      <c r="AD153" s="139"/>
      <c r="AE153" s="139"/>
      <c r="AF153" s="139"/>
    </row>
    <row r="154" spans="1:32" ht="12.75">
      <c r="A154" s="154" t="e">
        <f ca="1"/>
        <v>#NAME?</v>
      </c>
      <c r="B154" s="150" t="s">
        <v>584</v>
      </c>
      <c r="C154" s="152">
        <v>24</v>
      </c>
      <c r="D154" s="152" t="s">
        <v>103</v>
      </c>
      <c r="E154" s="149"/>
      <c r="F154" s="154"/>
      <c r="G154" s="151" t="s">
        <v>342</v>
      </c>
      <c r="H154" s="152">
        <v>6</v>
      </c>
      <c r="I154" s="152"/>
      <c r="J154" s="152"/>
      <c r="K154" s="152"/>
      <c r="L154" s="152">
        <v>6</v>
      </c>
      <c r="M154" s="152"/>
      <c r="N154" s="152"/>
      <c r="O154" s="152"/>
      <c r="P154" s="152">
        <v>6</v>
      </c>
      <c r="Q154" s="152"/>
      <c r="R154" s="152"/>
      <c r="S154" s="152"/>
      <c r="T154" s="152">
        <v>6</v>
      </c>
      <c r="U154" s="152"/>
      <c r="V154" s="152"/>
      <c r="W154" s="152"/>
      <c r="X154" s="137" t="s">
        <v>180</v>
      </c>
      <c r="Y154" s="155" t="str">
        <f>DB!$D$106</f>
        <v>Epson Genuine Ink (003) Black</v>
      </c>
      <c r="Z154" s="154"/>
      <c r="AA154" s="149"/>
      <c r="AB154" s="136"/>
      <c r="AC154" s="139"/>
      <c r="AD154" s="139"/>
      <c r="AE154" s="139"/>
      <c r="AF154" s="139"/>
    </row>
    <row r="155" spans="1:32" ht="12.75">
      <c r="A155" s="154" t="e">
        <f ca="1"/>
        <v>#NAME?</v>
      </c>
      <c r="B155" s="150" t="s">
        <v>585</v>
      </c>
      <c r="C155" s="152">
        <v>24</v>
      </c>
      <c r="D155" s="152" t="s">
        <v>103</v>
      </c>
      <c r="E155" s="154"/>
      <c r="F155" s="154"/>
      <c r="G155" s="151" t="s">
        <v>342</v>
      </c>
      <c r="H155" s="152">
        <v>6</v>
      </c>
      <c r="I155" s="152"/>
      <c r="J155" s="152"/>
      <c r="K155" s="152"/>
      <c r="L155" s="152">
        <v>6</v>
      </c>
      <c r="M155" s="152"/>
      <c r="N155" s="152"/>
      <c r="O155" s="152"/>
      <c r="P155" s="152">
        <v>6</v>
      </c>
      <c r="Q155" s="152"/>
      <c r="R155" s="152"/>
      <c r="S155" s="152"/>
      <c r="T155" s="152">
        <v>6</v>
      </c>
      <c r="U155" s="152"/>
      <c r="V155" s="152"/>
      <c r="W155" s="152"/>
      <c r="X155" s="137" t="s">
        <v>180</v>
      </c>
      <c r="Y155" s="155" t="str">
        <f>DB!$D$107</f>
        <v>Epson Genuine Ink (003) Cyan</v>
      </c>
      <c r="Z155" s="154"/>
      <c r="AA155" s="149"/>
      <c r="AB155" s="136"/>
      <c r="AC155" s="139"/>
      <c r="AD155" s="139"/>
      <c r="AE155" s="139"/>
      <c r="AF155" s="139"/>
    </row>
    <row r="156" spans="1:32" ht="12.75">
      <c r="A156" s="154" t="e">
        <f ca="1"/>
        <v>#NAME?</v>
      </c>
      <c r="B156" s="150" t="s">
        <v>586</v>
      </c>
      <c r="C156" s="152">
        <v>24</v>
      </c>
      <c r="D156" s="152" t="s">
        <v>103</v>
      </c>
      <c r="E156" s="154"/>
      <c r="F156" s="154"/>
      <c r="G156" s="151" t="s">
        <v>342</v>
      </c>
      <c r="H156" s="152">
        <v>6</v>
      </c>
      <c r="I156" s="152"/>
      <c r="J156" s="152"/>
      <c r="K156" s="152"/>
      <c r="L156" s="152">
        <v>6</v>
      </c>
      <c r="M156" s="152"/>
      <c r="N156" s="152"/>
      <c r="O156" s="152"/>
      <c r="P156" s="152">
        <v>6</v>
      </c>
      <c r="Q156" s="152"/>
      <c r="R156" s="152"/>
      <c r="S156" s="152"/>
      <c r="T156" s="152">
        <v>6</v>
      </c>
      <c r="U156" s="152"/>
      <c r="V156" s="152"/>
      <c r="W156" s="152"/>
      <c r="X156" s="137" t="s">
        <v>180</v>
      </c>
      <c r="Y156" s="155" t="str">
        <f>DB!$D$108</f>
        <v>Epson Genuine Ink (003) Yellow</v>
      </c>
      <c r="Z156" s="154"/>
      <c r="AA156" s="149"/>
      <c r="AB156" s="136"/>
      <c r="AC156" s="139"/>
      <c r="AD156" s="139"/>
      <c r="AE156" s="139"/>
      <c r="AF156" s="139"/>
    </row>
    <row r="157" spans="1:32" ht="12.75">
      <c r="A157" s="154" t="e">
        <f ca="1"/>
        <v>#NAME?</v>
      </c>
      <c r="B157" s="150" t="s">
        <v>587</v>
      </c>
      <c r="C157" s="152">
        <v>4</v>
      </c>
      <c r="D157" s="152" t="s">
        <v>103</v>
      </c>
      <c r="E157" s="154"/>
      <c r="F157" s="154"/>
      <c r="G157" s="151" t="s">
        <v>342</v>
      </c>
      <c r="H157" s="152">
        <v>1</v>
      </c>
      <c r="I157" s="152"/>
      <c r="J157" s="152"/>
      <c r="K157" s="152"/>
      <c r="L157" s="152">
        <v>1</v>
      </c>
      <c r="M157" s="152"/>
      <c r="N157" s="152"/>
      <c r="O157" s="152"/>
      <c r="P157" s="152">
        <v>1</v>
      </c>
      <c r="Q157" s="152"/>
      <c r="R157" s="152"/>
      <c r="S157" s="152"/>
      <c r="T157" s="152">
        <v>1</v>
      </c>
      <c r="U157" s="152"/>
      <c r="V157" s="152"/>
      <c r="W157" s="152"/>
      <c r="X157" s="137" t="s">
        <v>180</v>
      </c>
      <c r="Y157" s="155" t="str">
        <f>DB!$D$109</f>
        <v>Epson Genuine Ink (003) Magenta</v>
      </c>
      <c r="Z157" s="154"/>
      <c r="AA157" s="149"/>
      <c r="AB157" s="136"/>
      <c r="AC157" s="139"/>
      <c r="AD157" s="139"/>
      <c r="AE157" s="139"/>
      <c r="AF157" s="139"/>
    </row>
    <row r="158" spans="1:32" ht="12.75">
      <c r="A158" s="154" t="e">
        <f ca="1"/>
        <v>#NAME?</v>
      </c>
      <c r="B158" s="150" t="s">
        <v>588</v>
      </c>
      <c r="C158" s="152">
        <v>4</v>
      </c>
      <c r="D158" s="152" t="s">
        <v>103</v>
      </c>
      <c r="E158" s="154"/>
      <c r="F158" s="154"/>
      <c r="G158" s="151" t="s">
        <v>342</v>
      </c>
      <c r="H158" s="152">
        <v>1</v>
      </c>
      <c r="I158" s="152"/>
      <c r="J158" s="152"/>
      <c r="K158" s="152"/>
      <c r="L158" s="152">
        <v>1</v>
      </c>
      <c r="M158" s="152"/>
      <c r="N158" s="152"/>
      <c r="O158" s="152"/>
      <c r="P158" s="152">
        <v>1</v>
      </c>
      <c r="Q158" s="152"/>
      <c r="R158" s="152"/>
      <c r="S158" s="152"/>
      <c r="T158" s="152">
        <v>1</v>
      </c>
      <c r="U158" s="152"/>
      <c r="V158" s="152"/>
      <c r="W158" s="152"/>
      <c r="X158" s="137" t="s">
        <v>180</v>
      </c>
      <c r="Y158" s="155"/>
      <c r="Z158" s="154" t="s">
        <v>457</v>
      </c>
      <c r="AA158" s="149"/>
      <c r="AB158" s="136"/>
      <c r="AC158" s="139"/>
      <c r="AD158" s="139"/>
      <c r="AE158" s="139"/>
      <c r="AF158" s="139"/>
    </row>
    <row r="159" spans="1:32" ht="12.75">
      <c r="A159" s="154" t="e">
        <f ca="1"/>
        <v>#NAME?</v>
      </c>
      <c r="B159" s="150" t="s">
        <v>589</v>
      </c>
      <c r="C159" s="152">
        <v>24</v>
      </c>
      <c r="D159" s="152" t="s">
        <v>103</v>
      </c>
      <c r="E159" s="154"/>
      <c r="F159" s="154"/>
      <c r="G159" s="151" t="s">
        <v>342</v>
      </c>
      <c r="H159" s="152">
        <v>6</v>
      </c>
      <c r="I159" s="152"/>
      <c r="J159" s="152"/>
      <c r="K159" s="152"/>
      <c r="L159" s="152">
        <v>6</v>
      </c>
      <c r="M159" s="152"/>
      <c r="N159" s="152"/>
      <c r="O159" s="152"/>
      <c r="P159" s="152">
        <v>6</v>
      </c>
      <c r="Q159" s="152"/>
      <c r="R159" s="152"/>
      <c r="S159" s="152"/>
      <c r="T159" s="152">
        <v>6</v>
      </c>
      <c r="U159" s="152"/>
      <c r="V159" s="152"/>
      <c r="W159" s="152"/>
      <c r="X159" s="137" t="s">
        <v>180</v>
      </c>
      <c r="Y159" s="155" t="str">
        <f>DB!$D$106</f>
        <v>Epson Genuine Ink (003) Black</v>
      </c>
      <c r="Z159" s="154"/>
      <c r="AA159" s="149"/>
      <c r="AB159" s="136"/>
      <c r="AC159" s="139"/>
      <c r="AD159" s="139"/>
      <c r="AE159" s="139"/>
      <c r="AF159" s="139"/>
    </row>
    <row r="160" spans="1:32" ht="12.75">
      <c r="A160" s="154" t="e">
        <f ca="1"/>
        <v>#NAME?</v>
      </c>
      <c r="B160" s="150" t="s">
        <v>590</v>
      </c>
      <c r="C160" s="152">
        <v>12</v>
      </c>
      <c r="D160" s="152" t="s">
        <v>103</v>
      </c>
      <c r="E160" s="154"/>
      <c r="F160" s="154"/>
      <c r="G160" s="151" t="s">
        <v>342</v>
      </c>
      <c r="H160" s="152">
        <v>6</v>
      </c>
      <c r="I160" s="152"/>
      <c r="J160" s="152"/>
      <c r="K160" s="152"/>
      <c r="L160" s="152">
        <v>0</v>
      </c>
      <c r="M160" s="152"/>
      <c r="N160" s="152"/>
      <c r="O160" s="152"/>
      <c r="P160" s="152">
        <v>6</v>
      </c>
      <c r="Q160" s="152"/>
      <c r="R160" s="152"/>
      <c r="S160" s="152"/>
      <c r="T160" s="152">
        <v>0</v>
      </c>
      <c r="U160" s="152"/>
      <c r="V160" s="152"/>
      <c r="W160" s="152"/>
      <c r="X160" s="137" t="s">
        <v>180</v>
      </c>
      <c r="Y160" s="155" t="str">
        <f>DB!$D$107</f>
        <v>Epson Genuine Ink (003) Cyan</v>
      </c>
      <c r="Z160" s="154"/>
      <c r="AA160" s="149"/>
      <c r="AB160" s="136"/>
      <c r="AC160" s="139"/>
      <c r="AD160" s="139"/>
      <c r="AE160" s="139"/>
      <c r="AF160" s="139"/>
    </row>
    <row r="161" spans="1:32" ht="12.75">
      <c r="A161" s="154" t="e">
        <f ca="1"/>
        <v>#NAME?</v>
      </c>
      <c r="B161" s="150" t="s">
        <v>591</v>
      </c>
      <c r="C161" s="152">
        <v>12</v>
      </c>
      <c r="D161" s="152" t="s">
        <v>103</v>
      </c>
      <c r="E161" s="154"/>
      <c r="F161" s="154"/>
      <c r="G161" s="151" t="s">
        <v>342</v>
      </c>
      <c r="H161" s="152">
        <v>6</v>
      </c>
      <c r="I161" s="152"/>
      <c r="J161" s="152"/>
      <c r="K161" s="152"/>
      <c r="L161" s="152">
        <v>0</v>
      </c>
      <c r="M161" s="152"/>
      <c r="N161" s="152"/>
      <c r="O161" s="152"/>
      <c r="P161" s="152">
        <v>6</v>
      </c>
      <c r="Q161" s="152"/>
      <c r="R161" s="152"/>
      <c r="S161" s="152"/>
      <c r="T161" s="152">
        <v>0</v>
      </c>
      <c r="U161" s="152"/>
      <c r="V161" s="152"/>
      <c r="W161" s="152"/>
      <c r="X161" s="137" t="s">
        <v>180</v>
      </c>
      <c r="Y161" s="155" t="str">
        <f>DB!$D$108</f>
        <v>Epson Genuine Ink (003) Yellow</v>
      </c>
      <c r="Z161" s="154"/>
      <c r="AA161" s="149"/>
      <c r="AB161" s="136"/>
      <c r="AC161" s="139"/>
      <c r="AD161" s="139"/>
      <c r="AE161" s="139"/>
      <c r="AF161" s="139"/>
    </row>
    <row r="162" spans="1:32" ht="12.75">
      <c r="A162" s="154" t="e">
        <f ca="1"/>
        <v>#NAME?</v>
      </c>
      <c r="B162" s="150" t="s">
        <v>592</v>
      </c>
      <c r="C162" s="152">
        <v>12</v>
      </c>
      <c r="D162" s="152" t="s">
        <v>103</v>
      </c>
      <c r="E162" s="154"/>
      <c r="F162" s="154"/>
      <c r="G162" s="151" t="s">
        <v>342</v>
      </c>
      <c r="H162" s="152">
        <v>6</v>
      </c>
      <c r="I162" s="152"/>
      <c r="J162" s="152"/>
      <c r="K162" s="152"/>
      <c r="L162" s="152">
        <v>0</v>
      </c>
      <c r="M162" s="152"/>
      <c r="N162" s="152"/>
      <c r="O162" s="152"/>
      <c r="P162" s="152">
        <v>6</v>
      </c>
      <c r="Q162" s="152"/>
      <c r="R162" s="152"/>
      <c r="S162" s="152"/>
      <c r="T162" s="152">
        <v>0</v>
      </c>
      <c r="U162" s="152"/>
      <c r="V162" s="152"/>
      <c r="W162" s="152"/>
      <c r="X162" s="137" t="s">
        <v>180</v>
      </c>
      <c r="Y162" s="155" t="str">
        <f>DB!$D$109</f>
        <v>Epson Genuine Ink (003) Magenta</v>
      </c>
      <c r="Z162" s="154"/>
      <c r="AA162" s="149"/>
      <c r="AB162" s="136"/>
      <c r="AC162" s="139"/>
      <c r="AD162" s="139"/>
      <c r="AE162" s="139"/>
      <c r="AF162" s="139"/>
    </row>
    <row r="163" spans="1:32" ht="12.75">
      <c r="A163" s="154" t="e">
        <f ca="1"/>
        <v>#NAME?</v>
      </c>
      <c r="B163" s="150" t="s">
        <v>593</v>
      </c>
      <c r="C163" s="152">
        <v>2</v>
      </c>
      <c r="D163" s="152" t="s">
        <v>103</v>
      </c>
      <c r="E163" s="154"/>
      <c r="F163" s="154"/>
      <c r="G163" s="151" t="s">
        <v>342</v>
      </c>
      <c r="H163" s="152">
        <v>2</v>
      </c>
      <c r="I163" s="152"/>
      <c r="J163" s="152"/>
      <c r="K163" s="152"/>
      <c r="L163" s="152">
        <v>0</v>
      </c>
      <c r="M163" s="152"/>
      <c r="N163" s="152"/>
      <c r="O163" s="152"/>
      <c r="P163" s="152">
        <v>0</v>
      </c>
      <c r="Q163" s="152"/>
      <c r="R163" s="152"/>
      <c r="S163" s="152"/>
      <c r="T163" s="152">
        <v>0</v>
      </c>
      <c r="U163" s="152"/>
      <c r="V163" s="152"/>
      <c r="W163" s="152"/>
      <c r="X163" s="137" t="s">
        <v>180</v>
      </c>
      <c r="Y163" s="155"/>
      <c r="Z163" s="154" t="s">
        <v>457</v>
      </c>
      <c r="AA163" s="149"/>
      <c r="AB163" s="136"/>
      <c r="AC163" s="139"/>
      <c r="AD163" s="139"/>
      <c r="AE163" s="139"/>
      <c r="AF163" s="139"/>
    </row>
    <row r="164" spans="1:32" ht="25.5">
      <c r="A164" s="154" t="e">
        <f ca="1"/>
        <v>#NAME?</v>
      </c>
      <c r="B164" s="150" t="s">
        <v>594</v>
      </c>
      <c r="C164" s="152">
        <v>2</v>
      </c>
      <c r="D164" s="152" t="s">
        <v>103</v>
      </c>
      <c r="E164" s="154"/>
      <c r="F164" s="154"/>
      <c r="G164" s="151" t="s">
        <v>342</v>
      </c>
      <c r="H164" s="152">
        <v>2</v>
      </c>
      <c r="I164" s="152"/>
      <c r="J164" s="152"/>
      <c r="K164" s="152"/>
      <c r="L164" s="152">
        <v>0</v>
      </c>
      <c r="M164" s="152"/>
      <c r="N164" s="152"/>
      <c r="O164" s="152"/>
      <c r="P164" s="152">
        <v>0</v>
      </c>
      <c r="Q164" s="152"/>
      <c r="R164" s="152"/>
      <c r="S164" s="152"/>
      <c r="T164" s="152">
        <v>0</v>
      </c>
      <c r="U164" s="152"/>
      <c r="V164" s="152"/>
      <c r="W164" s="152"/>
      <c r="X164" s="137" t="s">
        <v>180</v>
      </c>
      <c r="Y164" s="155" t="str">
        <f>DB!$D$239</f>
        <v>Toner Cartridge for the existing ECOSYS P2040DN</v>
      </c>
      <c r="Z164" s="155"/>
      <c r="AA164" s="149"/>
      <c r="AB164" s="136"/>
      <c r="AC164" s="139"/>
      <c r="AD164" s="139"/>
      <c r="AE164" s="139"/>
      <c r="AF164" s="139"/>
    </row>
    <row r="165" spans="1:32" ht="12.75">
      <c r="A165" s="154" t="e">
        <f ca="1"/>
        <v>#NAME?</v>
      </c>
      <c r="B165" s="156" t="s">
        <v>595</v>
      </c>
      <c r="C165" s="151">
        <v>10</v>
      </c>
      <c r="D165" s="151" t="s">
        <v>103</v>
      </c>
      <c r="E165" s="154"/>
      <c r="F165" s="154"/>
      <c r="G165" s="151" t="s">
        <v>342</v>
      </c>
      <c r="H165" s="151">
        <v>3</v>
      </c>
      <c r="I165" s="151" t="s">
        <v>544</v>
      </c>
      <c r="J165" s="151"/>
      <c r="K165" s="151"/>
      <c r="L165" s="151">
        <v>2</v>
      </c>
      <c r="M165" s="151" t="s">
        <v>544</v>
      </c>
      <c r="N165" s="151"/>
      <c r="O165" s="151"/>
      <c r="P165" s="151">
        <v>2</v>
      </c>
      <c r="Q165" s="151" t="s">
        <v>544</v>
      </c>
      <c r="R165" s="151"/>
      <c r="S165" s="151"/>
      <c r="T165" s="151">
        <v>3</v>
      </c>
      <c r="U165" s="151" t="s">
        <v>544</v>
      </c>
      <c r="V165" s="151"/>
      <c r="W165" s="151"/>
      <c r="X165" s="137" t="s">
        <v>107</v>
      </c>
      <c r="Y165" s="155"/>
      <c r="Z165" s="154" t="s">
        <v>453</v>
      </c>
      <c r="AA165" s="149"/>
      <c r="AB165" s="136"/>
      <c r="AC165" s="139"/>
      <c r="AD165" s="139"/>
      <c r="AE165" s="139"/>
      <c r="AF165" s="139"/>
    </row>
    <row r="166" spans="1:32" ht="12.75">
      <c r="A166" s="154" t="e">
        <f ca="1"/>
        <v>#NAME?</v>
      </c>
      <c r="B166" s="156" t="s">
        <v>596</v>
      </c>
      <c r="C166" s="151">
        <v>5</v>
      </c>
      <c r="D166" s="151" t="s">
        <v>103</v>
      </c>
      <c r="E166" s="154"/>
      <c r="F166" s="154"/>
      <c r="G166" s="151" t="s">
        <v>342</v>
      </c>
      <c r="H166" s="151">
        <v>3</v>
      </c>
      <c r="I166" s="151" t="s">
        <v>544</v>
      </c>
      <c r="J166" s="151"/>
      <c r="K166" s="151"/>
      <c r="L166" s="151"/>
      <c r="M166" s="151"/>
      <c r="N166" s="151"/>
      <c r="O166" s="151"/>
      <c r="P166" s="151">
        <v>2</v>
      </c>
      <c r="Q166" s="151" t="s">
        <v>544</v>
      </c>
      <c r="R166" s="151"/>
      <c r="S166" s="151"/>
      <c r="T166" s="151"/>
      <c r="U166" s="151"/>
      <c r="V166" s="151"/>
      <c r="W166" s="151"/>
      <c r="X166" s="137" t="s">
        <v>107</v>
      </c>
      <c r="Y166" s="155" t="str">
        <f>DB!$D$6</f>
        <v>UPS 650VA, AVR, 230V</v>
      </c>
      <c r="Z166" s="154"/>
      <c r="AA166" s="149"/>
      <c r="AB166" s="136"/>
      <c r="AC166" s="139"/>
      <c r="AD166" s="139"/>
      <c r="AE166" s="139"/>
      <c r="AF166" s="139"/>
    </row>
    <row r="167" spans="1:32" ht="12.75">
      <c r="A167" s="154" t="e">
        <f ca="1"/>
        <v>#NAME?</v>
      </c>
      <c r="B167" s="156" t="s">
        <v>483</v>
      </c>
      <c r="C167" s="151">
        <v>5</v>
      </c>
      <c r="D167" s="151" t="s">
        <v>103</v>
      </c>
      <c r="E167" s="168"/>
      <c r="F167" s="168"/>
      <c r="G167" s="151" t="s">
        <v>342</v>
      </c>
      <c r="H167" s="151">
        <v>3</v>
      </c>
      <c r="I167" s="151" t="s">
        <v>544</v>
      </c>
      <c r="J167" s="151"/>
      <c r="K167" s="151"/>
      <c r="L167" s="151"/>
      <c r="M167" s="151"/>
      <c r="N167" s="151"/>
      <c r="O167" s="151"/>
      <c r="P167" s="151">
        <v>2</v>
      </c>
      <c r="Q167" s="151" t="s">
        <v>544</v>
      </c>
      <c r="R167" s="151"/>
      <c r="S167" s="151"/>
      <c r="T167" s="151"/>
      <c r="U167" s="151"/>
      <c r="V167" s="151"/>
      <c r="W167" s="151"/>
      <c r="X167" s="137" t="s">
        <v>107</v>
      </c>
      <c r="Y167" s="155"/>
      <c r="Z167" s="154" t="s">
        <v>453</v>
      </c>
      <c r="AA167" s="154"/>
      <c r="AB167" s="136"/>
      <c r="AC167" s="139"/>
      <c r="AD167" s="139"/>
      <c r="AE167" s="139"/>
      <c r="AF167" s="139"/>
    </row>
    <row r="168" spans="1:32" ht="12.75">
      <c r="A168" s="154" t="e">
        <f ca="1"/>
        <v>#NAME?</v>
      </c>
      <c r="B168" s="156" t="s">
        <v>467</v>
      </c>
      <c r="C168" s="151">
        <v>9</v>
      </c>
      <c r="D168" s="151" t="s">
        <v>118</v>
      </c>
      <c r="E168" s="154"/>
      <c r="F168" s="168"/>
      <c r="G168" s="151" t="s">
        <v>342</v>
      </c>
      <c r="H168" s="151">
        <v>7</v>
      </c>
      <c r="I168" s="151" t="s">
        <v>544</v>
      </c>
      <c r="J168" s="151"/>
      <c r="K168" s="151"/>
      <c r="L168" s="151"/>
      <c r="M168" s="151"/>
      <c r="N168" s="151"/>
      <c r="O168" s="151"/>
      <c r="P168" s="151">
        <v>2</v>
      </c>
      <c r="Q168" s="151" t="s">
        <v>544</v>
      </c>
      <c r="R168" s="151"/>
      <c r="S168" s="151"/>
      <c r="T168" s="151"/>
      <c r="U168" s="151"/>
      <c r="V168" s="151"/>
      <c r="W168" s="151"/>
      <c r="X168" s="137" t="s">
        <v>107</v>
      </c>
      <c r="Y168" s="141" t="str">
        <f>DB!$D$194</f>
        <v>Branded Desktop Computer Set</v>
      </c>
      <c r="Z168" s="154"/>
      <c r="AA168" s="154"/>
      <c r="AB168" s="136"/>
      <c r="AC168" s="139"/>
      <c r="AD168" s="139"/>
      <c r="AE168" s="139"/>
      <c r="AF168" s="139"/>
    </row>
    <row r="169" spans="1:32" ht="25.5">
      <c r="A169" s="154" t="e">
        <f ca="1"/>
        <v>#NAME?</v>
      </c>
      <c r="B169" s="156" t="s">
        <v>597</v>
      </c>
      <c r="C169" s="151">
        <v>1</v>
      </c>
      <c r="D169" s="151" t="s">
        <v>103</v>
      </c>
      <c r="E169" s="154"/>
      <c r="F169" s="157"/>
      <c r="G169" s="151" t="s">
        <v>342</v>
      </c>
      <c r="H169" s="151">
        <v>1</v>
      </c>
      <c r="I169" s="151" t="s">
        <v>544</v>
      </c>
      <c r="J169" s="151"/>
      <c r="K169" s="151"/>
      <c r="L169" s="151"/>
      <c r="M169" s="151"/>
      <c r="N169" s="151"/>
      <c r="O169" s="151"/>
      <c r="P169" s="151"/>
      <c r="Q169" s="151"/>
      <c r="R169" s="151"/>
      <c r="S169" s="151"/>
      <c r="T169" s="151"/>
      <c r="U169" s="151"/>
      <c r="V169" s="151"/>
      <c r="W169" s="151"/>
      <c r="X169" s="137" t="s">
        <v>107</v>
      </c>
      <c r="Y169" s="163" t="str">
        <f>DB!$D$164</f>
        <v>Black &amp; White Monochrome MULTI-FUNCTIONAL MACHINE</v>
      </c>
      <c r="Z169" s="154"/>
      <c r="AA169" s="154"/>
      <c r="AB169" s="136"/>
      <c r="AC169" s="139"/>
      <c r="AD169" s="139"/>
      <c r="AE169" s="139"/>
      <c r="AF169" s="139"/>
    </row>
    <row r="170" spans="1:32" ht="12.75">
      <c r="A170" s="154" t="e">
        <f ca="1"/>
        <v>#NAME?</v>
      </c>
      <c r="B170" s="156" t="s">
        <v>482</v>
      </c>
      <c r="C170" s="151">
        <v>7</v>
      </c>
      <c r="D170" s="151" t="s">
        <v>103</v>
      </c>
      <c r="E170" s="154"/>
      <c r="F170" s="157"/>
      <c r="G170" s="151" t="s">
        <v>342</v>
      </c>
      <c r="H170" s="151">
        <v>4</v>
      </c>
      <c r="I170" s="151" t="s">
        <v>544</v>
      </c>
      <c r="J170" s="151"/>
      <c r="K170" s="151"/>
      <c r="L170" s="151"/>
      <c r="M170" s="151"/>
      <c r="N170" s="151"/>
      <c r="O170" s="151"/>
      <c r="P170" s="151">
        <v>3</v>
      </c>
      <c r="Q170" s="151" t="s">
        <v>544</v>
      </c>
      <c r="R170" s="151"/>
      <c r="S170" s="151"/>
      <c r="T170" s="151"/>
      <c r="U170" s="151"/>
      <c r="V170" s="151"/>
      <c r="W170" s="151"/>
      <c r="X170" s="137" t="s">
        <v>107</v>
      </c>
      <c r="Y170" s="155" t="str">
        <f>DB!$D$276</f>
        <v>Ink Tank Printer</v>
      </c>
      <c r="Z170" s="154" t="s">
        <v>469</v>
      </c>
      <c r="AA170" s="154"/>
      <c r="AB170" s="136"/>
      <c r="AC170" s="139"/>
      <c r="AD170" s="139"/>
      <c r="AE170" s="139"/>
      <c r="AF170" s="139"/>
    </row>
    <row r="171" spans="1:32" ht="12.75">
      <c r="A171" s="154" t="e">
        <f ca="1"/>
        <v>#NAME?</v>
      </c>
      <c r="B171" s="156" t="s">
        <v>598</v>
      </c>
      <c r="C171" s="151">
        <v>20</v>
      </c>
      <c r="D171" s="151" t="s">
        <v>103</v>
      </c>
      <c r="E171" s="154"/>
      <c r="F171" s="157"/>
      <c r="G171" s="151" t="s">
        <v>342</v>
      </c>
      <c r="H171" s="151">
        <v>5</v>
      </c>
      <c r="I171" s="151" t="s">
        <v>544</v>
      </c>
      <c r="J171" s="151"/>
      <c r="K171" s="151"/>
      <c r="L171" s="151">
        <v>5</v>
      </c>
      <c r="M171" s="151" t="s">
        <v>544</v>
      </c>
      <c r="N171" s="151"/>
      <c r="O171" s="151"/>
      <c r="P171" s="151">
        <v>5</v>
      </c>
      <c r="Q171" s="151" t="s">
        <v>544</v>
      </c>
      <c r="R171" s="151"/>
      <c r="S171" s="151"/>
      <c r="T171" s="151">
        <v>5</v>
      </c>
      <c r="U171" s="151" t="s">
        <v>544</v>
      </c>
      <c r="V171" s="151"/>
      <c r="W171" s="151"/>
      <c r="X171" s="137" t="s">
        <v>107</v>
      </c>
      <c r="Y171" s="141" t="str">
        <f>DB!$D$78</f>
        <v>16GB Flash Drive</v>
      </c>
      <c r="Z171" s="154"/>
      <c r="AA171" s="154"/>
      <c r="AB171" s="136"/>
      <c r="AC171" s="139"/>
      <c r="AD171" s="139"/>
      <c r="AE171" s="139"/>
      <c r="AF171" s="139"/>
    </row>
    <row r="172" spans="1:32" ht="12.75">
      <c r="A172" s="154" t="e">
        <f ca="1"/>
        <v>#NAME?</v>
      </c>
      <c r="B172" s="156" t="s">
        <v>599</v>
      </c>
      <c r="C172" s="151">
        <v>10</v>
      </c>
      <c r="D172" s="151" t="s">
        <v>103</v>
      </c>
      <c r="E172" s="154"/>
      <c r="F172" s="157"/>
      <c r="G172" s="151" t="s">
        <v>342</v>
      </c>
      <c r="H172" s="151">
        <v>5</v>
      </c>
      <c r="I172" s="151" t="s">
        <v>544</v>
      </c>
      <c r="J172" s="151"/>
      <c r="K172" s="151"/>
      <c r="L172" s="151"/>
      <c r="M172" s="151"/>
      <c r="N172" s="151"/>
      <c r="O172" s="151"/>
      <c r="P172" s="151">
        <v>5</v>
      </c>
      <c r="Q172" s="151" t="s">
        <v>544</v>
      </c>
      <c r="R172" s="151"/>
      <c r="S172" s="151"/>
      <c r="T172" s="151"/>
      <c r="U172" s="151"/>
      <c r="V172" s="151"/>
      <c r="W172" s="151"/>
      <c r="X172" s="137" t="s">
        <v>107</v>
      </c>
      <c r="Y172" s="141" t="str">
        <f>DB!$D$79</f>
        <v>32GB Flash Drive</v>
      </c>
      <c r="Z172" s="154"/>
      <c r="AA172" s="154"/>
      <c r="AB172" s="136"/>
      <c r="AC172" s="139"/>
      <c r="AD172" s="139"/>
      <c r="AE172" s="139"/>
      <c r="AF172" s="139"/>
    </row>
    <row r="173" spans="1:32" ht="12.75">
      <c r="A173" s="154" t="e">
        <f ca="1"/>
        <v>#NAME?</v>
      </c>
      <c r="B173" s="156" t="s">
        <v>568</v>
      </c>
      <c r="C173" s="151">
        <v>4</v>
      </c>
      <c r="D173" s="151" t="s">
        <v>103</v>
      </c>
      <c r="E173" s="168"/>
      <c r="F173" s="157"/>
      <c r="G173" s="151" t="s">
        <v>342</v>
      </c>
      <c r="H173" s="151">
        <v>2</v>
      </c>
      <c r="I173" s="151" t="s">
        <v>544</v>
      </c>
      <c r="J173" s="151"/>
      <c r="K173" s="151"/>
      <c r="L173" s="151"/>
      <c r="M173" s="151"/>
      <c r="N173" s="151"/>
      <c r="O173" s="151"/>
      <c r="P173" s="151">
        <v>2</v>
      </c>
      <c r="Q173" s="151" t="s">
        <v>544</v>
      </c>
      <c r="R173" s="151"/>
      <c r="S173" s="151"/>
      <c r="T173" s="151"/>
      <c r="U173" s="151"/>
      <c r="V173" s="151"/>
      <c r="W173" s="151"/>
      <c r="X173" s="137" t="s">
        <v>107</v>
      </c>
      <c r="Y173" s="155" t="str">
        <f>DB!$D$6</f>
        <v>UPS 650VA, AVR, 230V</v>
      </c>
      <c r="Z173" s="154"/>
      <c r="AA173" s="154"/>
      <c r="AB173" s="136"/>
      <c r="AC173" s="139"/>
      <c r="AD173" s="139"/>
      <c r="AE173" s="139"/>
      <c r="AF173" s="139"/>
    </row>
    <row r="174" spans="1:32" ht="12.75">
      <c r="A174" s="154" t="e">
        <f ca="1"/>
        <v>#NAME?</v>
      </c>
      <c r="B174" s="156" t="s">
        <v>212</v>
      </c>
      <c r="C174" s="151">
        <v>200</v>
      </c>
      <c r="D174" s="151" t="s">
        <v>486</v>
      </c>
      <c r="E174" s="154"/>
      <c r="F174" s="149"/>
      <c r="G174" s="151" t="s">
        <v>342</v>
      </c>
      <c r="H174" s="151">
        <v>50</v>
      </c>
      <c r="I174" s="151"/>
      <c r="J174" s="151"/>
      <c r="K174" s="151"/>
      <c r="L174" s="151">
        <v>50</v>
      </c>
      <c r="M174" s="151"/>
      <c r="N174" s="151"/>
      <c r="O174" s="151"/>
      <c r="P174" s="151">
        <v>50</v>
      </c>
      <c r="Q174" s="151"/>
      <c r="R174" s="151"/>
      <c r="S174" s="151"/>
      <c r="T174" s="151">
        <v>50</v>
      </c>
      <c r="U174" s="151"/>
      <c r="V174" s="151"/>
      <c r="W174" s="151"/>
      <c r="X174" s="137" t="s">
        <v>107</v>
      </c>
      <c r="Y174" s="155" t="str">
        <f>DB!$D$102</f>
        <v>Epson Genuine Ink T6641 Black</v>
      </c>
      <c r="Z174" s="154"/>
      <c r="AA174" s="149"/>
      <c r="AB174" s="136"/>
      <c r="AC174" s="139"/>
      <c r="AD174" s="139"/>
      <c r="AE174" s="139"/>
      <c r="AF174" s="139"/>
    </row>
    <row r="175" spans="1:32" ht="12.75">
      <c r="A175" s="154" t="e">
        <f ca="1"/>
        <v>#NAME?</v>
      </c>
      <c r="B175" s="169" t="s">
        <v>216</v>
      </c>
      <c r="C175" s="151">
        <v>40</v>
      </c>
      <c r="D175" s="151" t="s">
        <v>486</v>
      </c>
      <c r="E175" s="154"/>
      <c r="F175" s="149"/>
      <c r="G175" s="151" t="s">
        <v>342</v>
      </c>
      <c r="H175" s="151">
        <v>10</v>
      </c>
      <c r="I175" s="151"/>
      <c r="J175" s="151"/>
      <c r="K175" s="151"/>
      <c r="L175" s="151">
        <v>10</v>
      </c>
      <c r="M175" s="151"/>
      <c r="N175" s="151"/>
      <c r="O175" s="151"/>
      <c r="P175" s="151">
        <v>10</v>
      </c>
      <c r="Q175" s="151"/>
      <c r="R175" s="151"/>
      <c r="S175" s="151"/>
      <c r="T175" s="151">
        <v>10</v>
      </c>
      <c r="U175" s="151"/>
      <c r="V175" s="151"/>
      <c r="W175" s="151"/>
      <c r="X175" s="137" t="s">
        <v>107</v>
      </c>
      <c r="Y175" s="155" t="str">
        <f>DB!$D$103</f>
        <v>Epson Genuine Ink T6642 Cyan</v>
      </c>
      <c r="Z175" s="154"/>
      <c r="AA175" s="149"/>
      <c r="AB175" s="136"/>
      <c r="AC175" s="139"/>
      <c r="AD175" s="139"/>
      <c r="AE175" s="139"/>
      <c r="AF175" s="139"/>
    </row>
    <row r="176" spans="1:32" ht="12.75">
      <c r="A176" s="154" t="e">
        <f ca="1"/>
        <v>#NAME?</v>
      </c>
      <c r="B176" s="169" t="s">
        <v>218</v>
      </c>
      <c r="C176" s="151">
        <v>40</v>
      </c>
      <c r="D176" s="151" t="s">
        <v>486</v>
      </c>
      <c r="E176" s="157"/>
      <c r="F176" s="153"/>
      <c r="G176" s="151" t="s">
        <v>342</v>
      </c>
      <c r="H176" s="151">
        <v>10</v>
      </c>
      <c r="I176" s="151"/>
      <c r="J176" s="151"/>
      <c r="K176" s="151"/>
      <c r="L176" s="151">
        <v>10</v>
      </c>
      <c r="M176" s="151"/>
      <c r="N176" s="151"/>
      <c r="O176" s="151"/>
      <c r="P176" s="151">
        <v>10</v>
      </c>
      <c r="Q176" s="151"/>
      <c r="R176" s="151"/>
      <c r="S176" s="151"/>
      <c r="T176" s="151">
        <v>10</v>
      </c>
      <c r="U176" s="151"/>
      <c r="V176" s="151"/>
      <c r="W176" s="151"/>
      <c r="X176" s="137" t="s">
        <v>107</v>
      </c>
      <c r="Y176" s="155" t="str">
        <f>DB!$D$104</f>
        <v>Epson Genuine Ink T6643 Magenta</v>
      </c>
      <c r="Z176" s="154"/>
      <c r="AA176" s="149"/>
      <c r="AB176" s="136"/>
      <c r="AC176" s="139"/>
      <c r="AD176" s="139"/>
      <c r="AE176" s="139"/>
      <c r="AF176" s="139"/>
    </row>
    <row r="177" spans="1:32" ht="12.75">
      <c r="A177" s="154" t="e">
        <f ca="1"/>
        <v>#NAME?</v>
      </c>
      <c r="B177" s="169" t="s">
        <v>217</v>
      </c>
      <c r="C177" s="151">
        <v>40</v>
      </c>
      <c r="D177" s="151" t="s">
        <v>486</v>
      </c>
      <c r="E177" s="154"/>
      <c r="F177" s="153"/>
      <c r="G177" s="151" t="s">
        <v>342</v>
      </c>
      <c r="H177" s="151">
        <v>10</v>
      </c>
      <c r="I177" s="151"/>
      <c r="J177" s="151"/>
      <c r="K177" s="151"/>
      <c r="L177" s="151">
        <v>10</v>
      </c>
      <c r="M177" s="151"/>
      <c r="N177" s="151"/>
      <c r="O177" s="151"/>
      <c r="P177" s="151">
        <v>10</v>
      </c>
      <c r="Q177" s="151"/>
      <c r="R177" s="151"/>
      <c r="S177" s="151"/>
      <c r="T177" s="151">
        <v>10</v>
      </c>
      <c r="U177" s="151"/>
      <c r="V177" s="151"/>
      <c r="W177" s="151"/>
      <c r="X177" s="137" t="s">
        <v>107</v>
      </c>
      <c r="Y177" s="155" t="str">
        <f>DB!$D$105</f>
        <v>Epson Genuine Ink T6644 Yellow</v>
      </c>
      <c r="Z177" s="154"/>
      <c r="AA177" s="149"/>
      <c r="AB177" s="136"/>
      <c r="AC177" s="139"/>
      <c r="AD177" s="139"/>
      <c r="AE177" s="139"/>
      <c r="AF177" s="139"/>
    </row>
    <row r="178" spans="1:32" ht="12.75">
      <c r="A178" s="154" t="e">
        <f ca="1"/>
        <v>#NAME?</v>
      </c>
      <c r="B178" s="156" t="s">
        <v>199</v>
      </c>
      <c r="C178" s="151">
        <v>800</v>
      </c>
      <c r="D178" s="151" t="s">
        <v>486</v>
      </c>
      <c r="E178" s="157"/>
      <c r="F178" s="153"/>
      <c r="G178" s="151" t="s">
        <v>342</v>
      </c>
      <c r="H178" s="151">
        <v>200</v>
      </c>
      <c r="I178" s="151"/>
      <c r="J178" s="151"/>
      <c r="K178" s="151"/>
      <c r="L178" s="151">
        <v>200</v>
      </c>
      <c r="M178" s="151"/>
      <c r="N178" s="151"/>
      <c r="O178" s="151"/>
      <c r="P178" s="151">
        <v>200</v>
      </c>
      <c r="Q178" s="151"/>
      <c r="R178" s="151"/>
      <c r="S178" s="151"/>
      <c r="T178" s="151">
        <v>200</v>
      </c>
      <c r="U178" s="170"/>
      <c r="V178" s="170"/>
      <c r="W178" s="170"/>
      <c r="X178" s="137" t="s">
        <v>107</v>
      </c>
      <c r="Y178" s="155" t="str">
        <f>DB!$D$106</f>
        <v>Epson Genuine Ink (003) Black</v>
      </c>
      <c r="Z178" s="154"/>
      <c r="AA178" s="149"/>
      <c r="AB178" s="136"/>
      <c r="AC178" s="139"/>
      <c r="AD178" s="139"/>
      <c r="AE178" s="139"/>
      <c r="AF178" s="139"/>
    </row>
    <row r="179" spans="1:32" ht="12.75">
      <c r="A179" s="154" t="e">
        <f ca="1"/>
        <v>#NAME?</v>
      </c>
      <c r="B179" s="156" t="s">
        <v>209</v>
      </c>
      <c r="C179" s="151">
        <v>80</v>
      </c>
      <c r="D179" s="151" t="s">
        <v>486</v>
      </c>
      <c r="E179" s="157"/>
      <c r="F179" s="153"/>
      <c r="G179" s="151" t="s">
        <v>342</v>
      </c>
      <c r="H179" s="151">
        <v>20</v>
      </c>
      <c r="I179" s="151"/>
      <c r="J179" s="151"/>
      <c r="K179" s="151"/>
      <c r="L179" s="151">
        <v>20</v>
      </c>
      <c r="M179" s="151"/>
      <c r="N179" s="151"/>
      <c r="O179" s="151"/>
      <c r="P179" s="151">
        <v>20</v>
      </c>
      <c r="Q179" s="151"/>
      <c r="R179" s="151"/>
      <c r="S179" s="151"/>
      <c r="T179" s="151">
        <v>20</v>
      </c>
      <c r="U179" s="170"/>
      <c r="V179" s="170"/>
      <c r="W179" s="170"/>
      <c r="X179" s="137" t="s">
        <v>107</v>
      </c>
      <c r="Y179" s="155" t="str">
        <f>DB!$D$107</f>
        <v>Epson Genuine Ink (003) Cyan</v>
      </c>
      <c r="Z179" s="154"/>
      <c r="AA179" s="149"/>
      <c r="AB179" s="136"/>
      <c r="AC179" s="139"/>
      <c r="AD179" s="139"/>
      <c r="AE179" s="139"/>
      <c r="AF179" s="139"/>
    </row>
    <row r="180" spans="1:32" ht="12.75">
      <c r="A180" s="154" t="e">
        <f ca="1"/>
        <v>#NAME?</v>
      </c>
      <c r="B180" s="156" t="s">
        <v>210</v>
      </c>
      <c r="C180" s="151">
        <v>80</v>
      </c>
      <c r="D180" s="151" t="s">
        <v>486</v>
      </c>
      <c r="E180" s="149"/>
      <c r="F180" s="153"/>
      <c r="G180" s="151" t="s">
        <v>342</v>
      </c>
      <c r="H180" s="151">
        <v>20</v>
      </c>
      <c r="I180" s="151"/>
      <c r="J180" s="151"/>
      <c r="K180" s="151"/>
      <c r="L180" s="151">
        <v>20</v>
      </c>
      <c r="M180" s="151"/>
      <c r="N180" s="151"/>
      <c r="O180" s="151"/>
      <c r="P180" s="151">
        <v>20</v>
      </c>
      <c r="Q180" s="151"/>
      <c r="R180" s="151"/>
      <c r="S180" s="151"/>
      <c r="T180" s="151">
        <v>20</v>
      </c>
      <c r="U180" s="170"/>
      <c r="V180" s="170"/>
      <c r="W180" s="170"/>
      <c r="X180" s="137" t="s">
        <v>107</v>
      </c>
      <c r="Y180" s="155" t="str">
        <f>DB!$D$108</f>
        <v>Epson Genuine Ink (003) Yellow</v>
      </c>
      <c r="Z180" s="154"/>
      <c r="AA180" s="149"/>
      <c r="AB180" s="136"/>
      <c r="AC180" s="139"/>
      <c r="AD180" s="139"/>
      <c r="AE180" s="139"/>
      <c r="AF180" s="139"/>
    </row>
    <row r="181" spans="1:32" ht="12.75">
      <c r="A181" s="154" t="e">
        <f ca="1"/>
        <v>#NAME?</v>
      </c>
      <c r="B181" s="156" t="s">
        <v>211</v>
      </c>
      <c r="C181" s="151">
        <v>80</v>
      </c>
      <c r="D181" s="151" t="s">
        <v>486</v>
      </c>
      <c r="E181" s="149"/>
      <c r="F181" s="153"/>
      <c r="G181" s="151" t="s">
        <v>342</v>
      </c>
      <c r="H181" s="151">
        <v>20</v>
      </c>
      <c r="I181" s="151"/>
      <c r="J181" s="151"/>
      <c r="K181" s="151"/>
      <c r="L181" s="151">
        <v>20</v>
      </c>
      <c r="M181" s="151"/>
      <c r="N181" s="151"/>
      <c r="O181" s="151"/>
      <c r="P181" s="151">
        <v>20</v>
      </c>
      <c r="Q181" s="151"/>
      <c r="R181" s="151"/>
      <c r="S181" s="151"/>
      <c r="T181" s="151">
        <v>20</v>
      </c>
      <c r="U181" s="170"/>
      <c r="V181" s="170"/>
      <c r="W181" s="170"/>
      <c r="X181" s="137" t="s">
        <v>107</v>
      </c>
      <c r="Y181" s="155" t="str">
        <f>DB!$D$109</f>
        <v>Epson Genuine Ink (003) Magenta</v>
      </c>
      <c r="Z181" s="154"/>
      <c r="AA181" s="149"/>
      <c r="AB181" s="136"/>
      <c r="AC181" s="139"/>
      <c r="AD181" s="139"/>
      <c r="AE181" s="139"/>
      <c r="AF181" s="139"/>
    </row>
    <row r="182" spans="1:32" ht="12.75">
      <c r="A182" s="154" t="e">
        <f ca="1"/>
        <v>#NAME?</v>
      </c>
      <c r="B182" s="156" t="s">
        <v>600</v>
      </c>
      <c r="C182" s="151">
        <v>80</v>
      </c>
      <c r="D182" s="151" t="s">
        <v>601</v>
      </c>
      <c r="E182" s="149"/>
      <c r="F182" s="153"/>
      <c r="G182" s="151" t="s">
        <v>342</v>
      </c>
      <c r="H182" s="151">
        <v>20</v>
      </c>
      <c r="I182" s="151"/>
      <c r="J182" s="151"/>
      <c r="K182" s="151"/>
      <c r="L182" s="151">
        <v>20</v>
      </c>
      <c r="M182" s="151"/>
      <c r="N182" s="151"/>
      <c r="O182" s="151"/>
      <c r="P182" s="151">
        <v>20</v>
      </c>
      <c r="Q182" s="151"/>
      <c r="R182" s="151"/>
      <c r="S182" s="151"/>
      <c r="T182" s="151">
        <v>20</v>
      </c>
      <c r="U182" s="151"/>
      <c r="V182" s="151"/>
      <c r="W182" s="151"/>
      <c r="X182" s="137" t="s">
        <v>107</v>
      </c>
      <c r="Y182" s="155" t="str">
        <f>DB!$D$188</f>
        <v>HP 680 Tri-Color Ink Cartridge</v>
      </c>
      <c r="Z182" s="154"/>
      <c r="AA182" s="149"/>
      <c r="AB182" s="136"/>
      <c r="AC182" s="139"/>
      <c r="AD182" s="139"/>
      <c r="AE182" s="139"/>
      <c r="AF182" s="139"/>
    </row>
    <row r="183" spans="1:32" ht="12.75">
      <c r="A183" s="154" t="e">
        <f ca="1"/>
        <v>#NAME?</v>
      </c>
      <c r="B183" s="156" t="s">
        <v>602</v>
      </c>
      <c r="C183" s="151">
        <v>0</v>
      </c>
      <c r="D183" s="151" t="s">
        <v>601</v>
      </c>
      <c r="E183" s="149"/>
      <c r="F183" s="153"/>
      <c r="G183" s="151" t="s">
        <v>342</v>
      </c>
      <c r="H183" s="151"/>
      <c r="I183" s="151"/>
      <c r="J183" s="151"/>
      <c r="K183" s="151"/>
      <c r="L183" s="151"/>
      <c r="M183" s="151"/>
      <c r="N183" s="151"/>
      <c r="O183" s="151"/>
      <c r="P183" s="151"/>
      <c r="Q183" s="151"/>
      <c r="R183" s="151"/>
      <c r="S183" s="151"/>
      <c r="T183" s="151"/>
      <c r="U183" s="151"/>
      <c r="V183" s="151"/>
      <c r="W183" s="151"/>
      <c r="X183" s="137" t="s">
        <v>107</v>
      </c>
      <c r="Y183" s="155"/>
      <c r="Z183" s="154" t="s">
        <v>453</v>
      </c>
      <c r="AA183" s="149"/>
      <c r="AB183" s="136"/>
      <c r="AC183" s="139"/>
      <c r="AD183" s="139"/>
      <c r="AE183" s="139"/>
      <c r="AF183" s="139"/>
    </row>
    <row r="184" spans="1:32" ht="12.75">
      <c r="A184" s="154" t="e">
        <f ca="1"/>
        <v>#NAME?</v>
      </c>
      <c r="B184" s="156" t="s">
        <v>603</v>
      </c>
      <c r="C184" s="151">
        <v>0</v>
      </c>
      <c r="D184" s="151" t="s">
        <v>601</v>
      </c>
      <c r="E184" s="149"/>
      <c r="F184" s="153"/>
      <c r="G184" s="151" t="s">
        <v>342</v>
      </c>
      <c r="H184" s="151"/>
      <c r="I184" s="151"/>
      <c r="J184" s="151"/>
      <c r="K184" s="151"/>
      <c r="L184" s="151"/>
      <c r="M184" s="151"/>
      <c r="N184" s="151"/>
      <c r="O184" s="151"/>
      <c r="P184" s="151"/>
      <c r="Q184" s="151"/>
      <c r="R184" s="151"/>
      <c r="S184" s="151"/>
      <c r="T184" s="151"/>
      <c r="U184" s="151"/>
      <c r="V184" s="151"/>
      <c r="W184" s="151"/>
      <c r="X184" s="137" t="s">
        <v>107</v>
      </c>
      <c r="Y184" s="164"/>
      <c r="Z184" s="154" t="s">
        <v>453</v>
      </c>
      <c r="AA184" s="149"/>
      <c r="AB184" s="136"/>
      <c r="AC184" s="139"/>
      <c r="AD184" s="139"/>
      <c r="AE184" s="139"/>
      <c r="AF184" s="139"/>
    </row>
    <row r="185" spans="1:32" ht="25.5">
      <c r="A185" s="154" t="e">
        <f ca="1"/>
        <v>#NAME?</v>
      </c>
      <c r="B185" s="156" t="s">
        <v>604</v>
      </c>
      <c r="C185" s="151">
        <v>30</v>
      </c>
      <c r="D185" s="151" t="s">
        <v>601</v>
      </c>
      <c r="E185" s="149"/>
      <c r="F185" s="153"/>
      <c r="G185" s="151" t="s">
        <v>342</v>
      </c>
      <c r="H185" s="151">
        <v>15</v>
      </c>
      <c r="I185" s="151"/>
      <c r="J185" s="151"/>
      <c r="K185" s="151"/>
      <c r="L185" s="151">
        <v>15</v>
      </c>
      <c r="M185" s="151"/>
      <c r="N185" s="151"/>
      <c r="O185" s="151"/>
      <c r="P185" s="151"/>
      <c r="Q185" s="151"/>
      <c r="R185" s="151"/>
      <c r="S185" s="151"/>
      <c r="T185" s="151"/>
      <c r="U185" s="151"/>
      <c r="V185" s="151"/>
      <c r="W185" s="151"/>
      <c r="X185" s="137" t="s">
        <v>107</v>
      </c>
      <c r="Y185" s="155" t="str">
        <f>DB!$D$241</f>
        <v>Toner Cartridge for the existing ECOSYS M2640IDW/L</v>
      </c>
      <c r="Z185" s="163"/>
      <c r="AA185" s="149"/>
      <c r="AB185" s="136"/>
      <c r="AC185" s="139"/>
      <c r="AD185" s="139"/>
      <c r="AE185" s="139"/>
      <c r="AF185" s="139"/>
    </row>
    <row r="186" spans="1:32" ht="25.5">
      <c r="A186" s="154" t="e">
        <f ca="1"/>
        <v>#NAME?</v>
      </c>
      <c r="B186" s="156" t="s">
        <v>605</v>
      </c>
      <c r="C186" s="151">
        <v>30</v>
      </c>
      <c r="D186" s="151"/>
      <c r="E186" s="149"/>
      <c r="F186" s="153"/>
      <c r="G186" s="151"/>
      <c r="H186" s="151"/>
      <c r="I186" s="151"/>
      <c r="J186" s="151"/>
      <c r="K186" s="151"/>
      <c r="L186" s="151"/>
      <c r="M186" s="151"/>
      <c r="N186" s="151"/>
      <c r="O186" s="151"/>
      <c r="P186" s="151">
        <v>15</v>
      </c>
      <c r="Q186" s="151"/>
      <c r="R186" s="151"/>
      <c r="S186" s="151"/>
      <c r="T186" s="151">
        <v>15</v>
      </c>
      <c r="U186" s="151"/>
      <c r="V186" s="151"/>
      <c r="W186" s="151"/>
      <c r="X186" s="137"/>
      <c r="Y186" s="155" t="str">
        <f>DB!$D$247</f>
        <v>Toner Cartridge for the existing TASKALFA 3212I</v>
      </c>
      <c r="Z186" s="171"/>
      <c r="AA186" s="149"/>
      <c r="AB186" s="136"/>
      <c r="AC186" s="139"/>
      <c r="AD186" s="139"/>
      <c r="AE186" s="139"/>
      <c r="AF186" s="139"/>
    </row>
    <row r="187" spans="1:32" ht="25.5">
      <c r="A187" s="154" t="e">
        <f ca="1"/>
        <v>#NAME?</v>
      </c>
      <c r="B187" s="156" t="s">
        <v>606</v>
      </c>
      <c r="C187" s="151">
        <v>200</v>
      </c>
      <c r="D187" s="151" t="s">
        <v>486</v>
      </c>
      <c r="E187" s="149"/>
      <c r="F187" s="153"/>
      <c r="G187" s="151" t="s">
        <v>342</v>
      </c>
      <c r="H187" s="151">
        <v>50</v>
      </c>
      <c r="I187" s="151"/>
      <c r="J187" s="151"/>
      <c r="K187" s="151"/>
      <c r="L187" s="151">
        <v>50</v>
      </c>
      <c r="M187" s="151"/>
      <c r="N187" s="151"/>
      <c r="O187" s="151"/>
      <c r="P187" s="151">
        <v>50</v>
      </c>
      <c r="Q187" s="151"/>
      <c r="R187" s="151"/>
      <c r="S187" s="151"/>
      <c r="T187" s="151">
        <v>50</v>
      </c>
      <c r="U187" s="151"/>
      <c r="V187" s="151"/>
      <c r="W187" s="151"/>
      <c r="X187" s="137" t="s">
        <v>107</v>
      </c>
      <c r="Y187" s="155" t="str">
        <f>DB!$D$264</f>
        <v>HP 680 Black Original Ink Advantage Cartridge</v>
      </c>
      <c r="Z187" s="172"/>
      <c r="AA187" s="149"/>
      <c r="AB187" s="136"/>
      <c r="AC187" s="139"/>
      <c r="AD187" s="139"/>
      <c r="AE187" s="139"/>
      <c r="AF187" s="139"/>
    </row>
    <row r="188" spans="1:32" ht="25.5">
      <c r="A188" s="154" t="e">
        <f ca="1"/>
        <v>#NAME?</v>
      </c>
      <c r="B188" s="156" t="s">
        <v>607</v>
      </c>
      <c r="C188" s="151">
        <v>60</v>
      </c>
      <c r="D188" s="151" t="s">
        <v>601</v>
      </c>
      <c r="E188" s="149"/>
      <c r="F188" s="153"/>
      <c r="G188" s="151" t="s">
        <v>342</v>
      </c>
      <c r="H188" s="151">
        <v>15</v>
      </c>
      <c r="I188" s="151"/>
      <c r="J188" s="151"/>
      <c r="K188" s="151"/>
      <c r="L188" s="151">
        <v>15</v>
      </c>
      <c r="M188" s="151"/>
      <c r="N188" s="151"/>
      <c r="O188" s="151"/>
      <c r="P188" s="151">
        <v>15</v>
      </c>
      <c r="Q188" s="151"/>
      <c r="R188" s="151"/>
      <c r="S188" s="151"/>
      <c r="T188" s="151">
        <v>15</v>
      </c>
      <c r="U188" s="151"/>
      <c r="V188" s="151"/>
      <c r="W188" s="151"/>
      <c r="X188" s="137" t="s">
        <v>107</v>
      </c>
      <c r="Y188" s="155" t="str">
        <f>DB!$D$239</f>
        <v>Toner Cartridge for the existing ECOSYS P2040DN</v>
      </c>
      <c r="Z188" s="163"/>
      <c r="AA188" s="149"/>
      <c r="AB188" s="136"/>
      <c r="AC188" s="139"/>
      <c r="AD188" s="139"/>
      <c r="AE188" s="139"/>
      <c r="AF188" s="139"/>
    </row>
    <row r="189" spans="1:32" ht="12.75">
      <c r="A189" s="154" t="e">
        <f ca="1"/>
        <v>#NAME?</v>
      </c>
      <c r="B189" s="156" t="s">
        <v>608</v>
      </c>
      <c r="C189" s="151">
        <v>40</v>
      </c>
      <c r="D189" s="151" t="s">
        <v>601</v>
      </c>
      <c r="E189" s="149"/>
      <c r="F189" s="153"/>
      <c r="G189" s="151" t="s">
        <v>342</v>
      </c>
      <c r="H189" s="151">
        <v>10</v>
      </c>
      <c r="I189" s="151"/>
      <c r="J189" s="151"/>
      <c r="K189" s="151"/>
      <c r="L189" s="151">
        <v>10</v>
      </c>
      <c r="M189" s="151"/>
      <c r="N189" s="151"/>
      <c r="O189" s="151"/>
      <c r="P189" s="151">
        <v>10</v>
      </c>
      <c r="Q189" s="151"/>
      <c r="R189" s="151"/>
      <c r="S189" s="151"/>
      <c r="T189" s="151">
        <v>10</v>
      </c>
      <c r="U189" s="151"/>
      <c r="V189" s="151"/>
      <c r="W189" s="151"/>
      <c r="X189" s="137" t="s">
        <v>107</v>
      </c>
      <c r="Y189" s="163"/>
      <c r="Z189" s="154" t="s">
        <v>453</v>
      </c>
      <c r="AA189" s="149"/>
      <c r="AB189" s="136"/>
      <c r="AC189" s="139"/>
      <c r="AD189" s="139"/>
      <c r="AE189" s="139"/>
      <c r="AF189" s="139"/>
    </row>
    <row r="190" spans="1:32" ht="25.5">
      <c r="A190" s="154" t="e">
        <f ca="1"/>
        <v>#NAME?</v>
      </c>
      <c r="B190" s="156" t="s">
        <v>609</v>
      </c>
      <c r="C190" s="151">
        <v>40</v>
      </c>
      <c r="D190" s="151" t="s">
        <v>601</v>
      </c>
      <c r="E190" s="149"/>
      <c r="F190" s="153"/>
      <c r="G190" s="151" t="s">
        <v>342</v>
      </c>
      <c r="H190" s="151">
        <v>10</v>
      </c>
      <c r="I190" s="151"/>
      <c r="J190" s="151"/>
      <c r="K190" s="151"/>
      <c r="L190" s="151">
        <v>10</v>
      </c>
      <c r="M190" s="151"/>
      <c r="N190" s="151"/>
      <c r="O190" s="151"/>
      <c r="P190" s="151">
        <v>10</v>
      </c>
      <c r="Q190" s="151"/>
      <c r="R190" s="151"/>
      <c r="S190" s="151"/>
      <c r="T190" s="151">
        <v>10</v>
      </c>
      <c r="U190" s="151"/>
      <c r="V190" s="151"/>
      <c r="W190" s="151"/>
      <c r="X190" s="137" t="s">
        <v>107</v>
      </c>
      <c r="Y190" s="155" t="str">
        <f>DB!$D$266</f>
        <v>HP 107A Black Original Laser Toner Cartridge</v>
      </c>
      <c r="Z190" s="154"/>
      <c r="AA190" s="149"/>
      <c r="AB190" s="136"/>
      <c r="AC190" s="139"/>
      <c r="AD190" s="139"/>
      <c r="AE190" s="139"/>
      <c r="AF190" s="139"/>
    </row>
    <row r="191" spans="1:32" ht="25.5">
      <c r="A191" s="154" t="e">
        <f ca="1"/>
        <v>#NAME?</v>
      </c>
      <c r="B191" s="156" t="s">
        <v>610</v>
      </c>
      <c r="C191" s="151">
        <v>40</v>
      </c>
      <c r="D191" s="151" t="s">
        <v>601</v>
      </c>
      <c r="E191" s="149"/>
      <c r="F191" s="153"/>
      <c r="G191" s="151" t="s">
        <v>342</v>
      </c>
      <c r="H191" s="151">
        <v>10</v>
      </c>
      <c r="I191" s="151"/>
      <c r="J191" s="151"/>
      <c r="K191" s="151"/>
      <c r="L191" s="151">
        <v>10</v>
      </c>
      <c r="M191" s="151"/>
      <c r="N191" s="151"/>
      <c r="O191" s="151"/>
      <c r="P191" s="151">
        <v>10</v>
      </c>
      <c r="Q191" s="151"/>
      <c r="R191" s="151"/>
      <c r="S191" s="151"/>
      <c r="T191" s="151">
        <v>10</v>
      </c>
      <c r="U191" s="151"/>
      <c r="V191" s="151"/>
      <c r="W191" s="151"/>
      <c r="X191" s="137" t="s">
        <v>107</v>
      </c>
      <c r="Y191" s="155" t="str">
        <f>DB!$D$267</f>
        <v>HP 17A Black Original LaserJet Toner Cartridge</v>
      </c>
      <c r="Z191" s="154"/>
      <c r="AA191" s="149"/>
      <c r="AB191" s="136"/>
      <c r="AC191" s="139"/>
      <c r="AD191" s="139"/>
      <c r="AE191" s="139"/>
      <c r="AF191" s="139"/>
    </row>
    <row r="192" spans="1:32" ht="25.5">
      <c r="A192" s="154" t="e">
        <f ca="1"/>
        <v>#NAME?</v>
      </c>
      <c r="B192" s="156" t="s">
        <v>608</v>
      </c>
      <c r="C192" s="151">
        <v>60</v>
      </c>
      <c r="D192" s="151" t="s">
        <v>601</v>
      </c>
      <c r="E192" s="149"/>
      <c r="F192" s="153"/>
      <c r="G192" s="151" t="s">
        <v>342</v>
      </c>
      <c r="H192" s="151">
        <v>15</v>
      </c>
      <c r="I192" s="151"/>
      <c r="J192" s="151"/>
      <c r="K192" s="151"/>
      <c r="L192" s="151">
        <v>15</v>
      </c>
      <c r="M192" s="151"/>
      <c r="N192" s="151"/>
      <c r="O192" s="151"/>
      <c r="P192" s="151">
        <v>15</v>
      </c>
      <c r="Q192" s="151"/>
      <c r="R192" s="151"/>
      <c r="S192" s="151"/>
      <c r="T192" s="151">
        <v>15</v>
      </c>
      <c r="U192" s="151"/>
      <c r="V192" s="151"/>
      <c r="W192" s="151"/>
      <c r="X192" s="137" t="s">
        <v>107</v>
      </c>
      <c r="Y192" s="155" t="str">
        <f>DB!$D$268</f>
        <v>HP 85A Black Original LaserJet Toner Cartridge</v>
      </c>
      <c r="Z192" s="154"/>
      <c r="AA192" s="149"/>
      <c r="AB192" s="136"/>
      <c r="AC192" s="139"/>
      <c r="AD192" s="139"/>
      <c r="AE192" s="139"/>
      <c r="AF192" s="139"/>
    </row>
    <row r="193" spans="1:32" ht="12.75">
      <c r="A193" s="154" t="e">
        <f ca="1"/>
        <v>#NAME?</v>
      </c>
      <c r="B193" s="156" t="s">
        <v>611</v>
      </c>
      <c r="C193" s="151">
        <v>60</v>
      </c>
      <c r="D193" s="151" t="s">
        <v>601</v>
      </c>
      <c r="E193" s="153"/>
      <c r="F193" s="153"/>
      <c r="G193" s="151" t="s">
        <v>342</v>
      </c>
      <c r="H193" s="151">
        <v>15</v>
      </c>
      <c r="I193" s="151"/>
      <c r="J193" s="151"/>
      <c r="K193" s="151"/>
      <c r="L193" s="151">
        <v>15</v>
      </c>
      <c r="M193" s="151"/>
      <c r="N193" s="151"/>
      <c r="O193" s="151"/>
      <c r="P193" s="151">
        <v>15</v>
      </c>
      <c r="Q193" s="151"/>
      <c r="R193" s="151"/>
      <c r="S193" s="151"/>
      <c r="T193" s="151">
        <v>15</v>
      </c>
      <c r="U193" s="151"/>
      <c r="V193" s="151"/>
      <c r="W193" s="151"/>
      <c r="X193" s="137" t="s">
        <v>107</v>
      </c>
      <c r="Y193" s="163"/>
      <c r="Z193" s="154" t="s">
        <v>453</v>
      </c>
      <c r="AA193" s="149"/>
      <c r="AB193" s="136"/>
      <c r="AC193" s="139"/>
      <c r="AD193" s="139"/>
      <c r="AE193" s="139"/>
      <c r="AF193" s="139"/>
    </row>
    <row r="194" spans="1:32" ht="12.75">
      <c r="A194" s="154" t="e">
        <f ca="1"/>
        <v>#NAME?</v>
      </c>
      <c r="B194" s="156" t="s">
        <v>612</v>
      </c>
      <c r="C194" s="151">
        <v>20</v>
      </c>
      <c r="D194" s="151" t="s">
        <v>601</v>
      </c>
      <c r="E194" s="153"/>
      <c r="F194" s="153"/>
      <c r="G194" s="151" t="s">
        <v>342</v>
      </c>
      <c r="H194" s="151">
        <v>5</v>
      </c>
      <c r="I194" s="151"/>
      <c r="J194" s="151"/>
      <c r="K194" s="151"/>
      <c r="L194" s="151">
        <v>5</v>
      </c>
      <c r="M194" s="151"/>
      <c r="N194" s="151"/>
      <c r="O194" s="151"/>
      <c r="P194" s="151">
        <v>5</v>
      </c>
      <c r="Q194" s="151"/>
      <c r="R194" s="151"/>
      <c r="S194" s="151"/>
      <c r="T194" s="151">
        <v>5</v>
      </c>
      <c r="U194" s="151"/>
      <c r="V194" s="151"/>
      <c r="W194" s="151"/>
      <c r="X194" s="137" t="s">
        <v>107</v>
      </c>
      <c r="Y194" s="163"/>
      <c r="Z194" s="154" t="s">
        <v>453</v>
      </c>
      <c r="AA194" s="149"/>
      <c r="AB194" s="136"/>
      <c r="AC194" s="139"/>
      <c r="AD194" s="139"/>
      <c r="AE194" s="139"/>
      <c r="AF194" s="139"/>
    </row>
    <row r="195" spans="1:32" ht="12.75">
      <c r="A195" s="154" t="e">
        <f ca="1"/>
        <v>#NAME?</v>
      </c>
      <c r="B195" s="156" t="s">
        <v>613</v>
      </c>
      <c r="C195" s="151">
        <v>60</v>
      </c>
      <c r="D195" s="151" t="s">
        <v>601</v>
      </c>
      <c r="E195" s="157"/>
      <c r="F195" s="153"/>
      <c r="G195" s="151" t="s">
        <v>342</v>
      </c>
      <c r="H195" s="151">
        <v>15</v>
      </c>
      <c r="I195" s="151"/>
      <c r="J195" s="151"/>
      <c r="K195" s="151"/>
      <c r="L195" s="151">
        <v>15</v>
      </c>
      <c r="M195" s="151"/>
      <c r="N195" s="151"/>
      <c r="O195" s="151"/>
      <c r="P195" s="151">
        <v>15</v>
      </c>
      <c r="Q195" s="151"/>
      <c r="R195" s="151"/>
      <c r="S195" s="151"/>
      <c r="T195" s="151">
        <v>15</v>
      </c>
      <c r="U195" s="151"/>
      <c r="V195" s="151"/>
      <c r="W195" s="151"/>
      <c r="X195" s="137" t="s">
        <v>107</v>
      </c>
      <c r="Y195" s="155"/>
      <c r="Z195" s="154" t="s">
        <v>453</v>
      </c>
      <c r="AA195" s="149"/>
      <c r="AB195" s="136"/>
      <c r="AC195" s="139"/>
      <c r="AD195" s="139"/>
      <c r="AE195" s="139"/>
      <c r="AF195" s="139"/>
    </row>
    <row r="196" spans="1:32" ht="12.75">
      <c r="A196" s="154" t="e">
        <f ca="1"/>
        <v>#NAME?</v>
      </c>
      <c r="B196" s="173" t="s">
        <v>467</v>
      </c>
      <c r="C196" s="158">
        <v>10</v>
      </c>
      <c r="D196" s="158" t="s">
        <v>118</v>
      </c>
      <c r="E196" s="157"/>
      <c r="F196" s="153"/>
      <c r="G196" s="149"/>
      <c r="H196" s="158">
        <v>4</v>
      </c>
      <c r="I196" s="158" t="s">
        <v>533</v>
      </c>
      <c r="J196" s="158"/>
      <c r="K196" s="158"/>
      <c r="L196" s="158">
        <v>3</v>
      </c>
      <c r="M196" s="158" t="s">
        <v>533</v>
      </c>
      <c r="N196" s="158"/>
      <c r="O196" s="158"/>
      <c r="P196" s="158">
        <v>3</v>
      </c>
      <c r="Q196" s="158"/>
      <c r="R196" s="158"/>
      <c r="S196" s="158"/>
      <c r="T196" s="158"/>
      <c r="U196" s="158"/>
      <c r="V196" s="158"/>
      <c r="W196" s="158"/>
      <c r="X196" s="137" t="s">
        <v>174</v>
      </c>
      <c r="Y196" s="141" t="str">
        <f>DB!$D$194</f>
        <v>Branded Desktop Computer Set</v>
      </c>
      <c r="Z196" s="154"/>
      <c r="AA196" s="149"/>
      <c r="AB196" s="136"/>
      <c r="AC196" s="139"/>
      <c r="AD196" s="139"/>
      <c r="AE196" s="139"/>
      <c r="AF196" s="139"/>
    </row>
    <row r="197" spans="1:32" ht="12.75">
      <c r="A197" s="154" t="e">
        <f ca="1"/>
        <v>#NAME?</v>
      </c>
      <c r="B197" s="173" t="s">
        <v>234</v>
      </c>
      <c r="C197" s="158">
        <v>10</v>
      </c>
      <c r="D197" s="158" t="s">
        <v>103</v>
      </c>
      <c r="E197" s="157"/>
      <c r="F197" s="153"/>
      <c r="G197" s="149"/>
      <c r="H197" s="158">
        <v>3</v>
      </c>
      <c r="I197" s="158" t="s">
        <v>533</v>
      </c>
      <c r="J197" s="158"/>
      <c r="K197" s="158"/>
      <c r="L197" s="158"/>
      <c r="M197" s="158"/>
      <c r="N197" s="158"/>
      <c r="O197" s="158"/>
      <c r="P197" s="158">
        <v>3</v>
      </c>
      <c r="Q197" s="158" t="s">
        <v>533</v>
      </c>
      <c r="R197" s="158"/>
      <c r="S197" s="158"/>
      <c r="T197" s="158"/>
      <c r="U197" s="158"/>
      <c r="V197" s="158"/>
      <c r="W197" s="158"/>
      <c r="X197" s="137" t="s">
        <v>174</v>
      </c>
      <c r="Y197" s="141" t="str">
        <f>DB!$D$168</f>
        <v>Keyboard, Full Size, USB 2.0</v>
      </c>
      <c r="Z197" s="154"/>
      <c r="AA197" s="149"/>
      <c r="AB197" s="136"/>
      <c r="AC197" s="139"/>
      <c r="AD197" s="139"/>
      <c r="AE197" s="139"/>
      <c r="AF197" s="139"/>
    </row>
    <row r="198" spans="1:32" ht="12.75">
      <c r="A198" s="154" t="e">
        <f ca="1"/>
        <v>#NAME?</v>
      </c>
      <c r="B198" s="173" t="s">
        <v>239</v>
      </c>
      <c r="C198" s="158">
        <v>10</v>
      </c>
      <c r="D198" s="158" t="s">
        <v>103</v>
      </c>
      <c r="E198" s="157"/>
      <c r="F198" s="153"/>
      <c r="G198" s="149"/>
      <c r="H198" s="158">
        <v>3</v>
      </c>
      <c r="I198" s="158" t="s">
        <v>533</v>
      </c>
      <c r="J198" s="158"/>
      <c r="K198" s="158"/>
      <c r="L198" s="158"/>
      <c r="M198" s="158"/>
      <c r="N198" s="158"/>
      <c r="O198" s="158"/>
      <c r="P198" s="158">
        <v>3</v>
      </c>
      <c r="Q198" s="158" t="s">
        <v>533</v>
      </c>
      <c r="R198" s="158"/>
      <c r="S198" s="158"/>
      <c r="T198" s="158"/>
      <c r="U198" s="158"/>
      <c r="V198" s="158"/>
      <c r="W198" s="158"/>
      <c r="X198" s="137" t="s">
        <v>174</v>
      </c>
      <c r="Y198" s="141" t="str">
        <f>DB!$D$169</f>
        <v>Mouse, Optical, USB 2.0</v>
      </c>
      <c r="Z198" s="154"/>
      <c r="AA198" s="149"/>
      <c r="AB198" s="136"/>
      <c r="AC198" s="139"/>
      <c r="AD198" s="139"/>
      <c r="AE198" s="139"/>
      <c r="AF198" s="139"/>
    </row>
    <row r="199" spans="1:32" ht="12.75">
      <c r="A199" s="154" t="e">
        <f ca="1"/>
        <v>#NAME?</v>
      </c>
      <c r="B199" s="173" t="s">
        <v>482</v>
      </c>
      <c r="C199" s="158">
        <v>6</v>
      </c>
      <c r="D199" s="158" t="s">
        <v>103</v>
      </c>
      <c r="E199" s="157"/>
      <c r="F199" s="153"/>
      <c r="G199" s="149"/>
      <c r="H199" s="158">
        <v>2</v>
      </c>
      <c r="I199" s="158" t="s">
        <v>533</v>
      </c>
      <c r="J199" s="158"/>
      <c r="K199" s="158"/>
      <c r="L199" s="158">
        <v>2</v>
      </c>
      <c r="M199" s="158" t="s">
        <v>533</v>
      </c>
      <c r="N199" s="158"/>
      <c r="O199" s="158"/>
      <c r="P199" s="158">
        <v>2</v>
      </c>
      <c r="Q199" s="158" t="s">
        <v>533</v>
      </c>
      <c r="R199" s="158"/>
      <c r="S199" s="158"/>
      <c r="T199" s="158"/>
      <c r="U199" s="158"/>
      <c r="V199" s="158"/>
      <c r="W199" s="158"/>
      <c r="X199" s="137" t="s">
        <v>174</v>
      </c>
      <c r="Y199" s="155" t="str">
        <f>DB!$D$276</f>
        <v>Ink Tank Printer</v>
      </c>
      <c r="Z199" s="154" t="s">
        <v>469</v>
      </c>
      <c r="AA199" s="149"/>
      <c r="AB199" s="136"/>
      <c r="AC199" s="139"/>
      <c r="AD199" s="139"/>
      <c r="AE199" s="139"/>
      <c r="AF199" s="139"/>
    </row>
    <row r="200" spans="1:32" ht="12.75">
      <c r="A200" s="154" t="e">
        <f ca="1"/>
        <v>#NAME?</v>
      </c>
      <c r="B200" s="173" t="s">
        <v>614</v>
      </c>
      <c r="C200" s="158">
        <v>4</v>
      </c>
      <c r="D200" s="158" t="s">
        <v>103</v>
      </c>
      <c r="E200" s="154"/>
      <c r="F200" s="149"/>
      <c r="G200" s="149"/>
      <c r="H200" s="158">
        <v>2</v>
      </c>
      <c r="I200" s="158" t="s">
        <v>533</v>
      </c>
      <c r="J200" s="158"/>
      <c r="K200" s="158"/>
      <c r="L200" s="158">
        <v>1</v>
      </c>
      <c r="M200" s="158" t="s">
        <v>533</v>
      </c>
      <c r="N200" s="158"/>
      <c r="O200" s="158"/>
      <c r="P200" s="158">
        <v>1</v>
      </c>
      <c r="Q200" s="158" t="s">
        <v>533</v>
      </c>
      <c r="R200" s="158"/>
      <c r="S200" s="158"/>
      <c r="T200" s="158"/>
      <c r="U200" s="158"/>
      <c r="V200" s="158"/>
      <c r="W200" s="158"/>
      <c r="X200" s="137" t="s">
        <v>174</v>
      </c>
      <c r="Y200" s="155" t="str">
        <f>DB!$D$276</f>
        <v>Ink Tank Printer</v>
      </c>
      <c r="Z200" s="154" t="s">
        <v>469</v>
      </c>
      <c r="AA200" s="149"/>
      <c r="AB200" s="136"/>
      <c r="AC200" s="139"/>
      <c r="AD200" s="139"/>
      <c r="AE200" s="139"/>
      <c r="AF200" s="139"/>
    </row>
    <row r="201" spans="1:32" ht="12.75">
      <c r="A201" s="154" t="e">
        <f ca="1"/>
        <v>#NAME?</v>
      </c>
      <c r="B201" s="173" t="s">
        <v>615</v>
      </c>
      <c r="C201" s="158">
        <v>1</v>
      </c>
      <c r="D201" s="158" t="s">
        <v>103</v>
      </c>
      <c r="E201" s="154"/>
      <c r="F201" s="149"/>
      <c r="G201" s="149"/>
      <c r="H201" s="158">
        <v>1</v>
      </c>
      <c r="I201" s="158" t="s">
        <v>533</v>
      </c>
      <c r="J201" s="158"/>
      <c r="K201" s="158"/>
      <c r="L201" s="158"/>
      <c r="M201" s="158"/>
      <c r="N201" s="158"/>
      <c r="O201" s="158"/>
      <c r="P201" s="158"/>
      <c r="Q201" s="158"/>
      <c r="R201" s="158"/>
      <c r="S201" s="158"/>
      <c r="T201" s="158"/>
      <c r="U201" s="158"/>
      <c r="V201" s="158"/>
      <c r="W201" s="158"/>
      <c r="X201" s="137" t="s">
        <v>174</v>
      </c>
      <c r="Y201" s="141" t="str">
        <f>DB!$D$89</f>
        <v>Thermal POS Receipt Printer</v>
      </c>
      <c r="Z201" s="154"/>
      <c r="AA201" s="149"/>
      <c r="AB201" s="136"/>
      <c r="AC201" s="139"/>
      <c r="AD201" s="139"/>
      <c r="AE201" s="139"/>
      <c r="AF201" s="139"/>
    </row>
    <row r="202" spans="1:32" ht="12.75">
      <c r="A202" s="154" t="e">
        <f ca="1"/>
        <v>#NAME?</v>
      </c>
      <c r="B202" s="173" t="s">
        <v>568</v>
      </c>
      <c r="C202" s="158">
        <v>10</v>
      </c>
      <c r="D202" s="158" t="s">
        <v>103</v>
      </c>
      <c r="E202" s="157"/>
      <c r="F202" s="153"/>
      <c r="G202" s="149"/>
      <c r="H202" s="158">
        <v>4</v>
      </c>
      <c r="I202" s="158" t="s">
        <v>533</v>
      </c>
      <c r="J202" s="158"/>
      <c r="K202" s="158"/>
      <c r="L202" s="158">
        <v>3</v>
      </c>
      <c r="M202" s="158" t="s">
        <v>533</v>
      </c>
      <c r="N202" s="158"/>
      <c r="O202" s="158"/>
      <c r="P202" s="158">
        <v>3</v>
      </c>
      <c r="Q202" s="158" t="s">
        <v>533</v>
      </c>
      <c r="R202" s="158"/>
      <c r="S202" s="158"/>
      <c r="T202" s="158"/>
      <c r="U202" s="158"/>
      <c r="V202" s="158"/>
      <c r="W202" s="158"/>
      <c r="X202" s="137" t="s">
        <v>174</v>
      </c>
      <c r="Y202" s="155" t="str">
        <f>DB!$D$6</f>
        <v>UPS 650VA, AVR, 230V</v>
      </c>
      <c r="Z202" s="154"/>
      <c r="AA202" s="149"/>
      <c r="AB202" s="136"/>
      <c r="AC202" s="139"/>
      <c r="AD202" s="139"/>
      <c r="AE202" s="139"/>
      <c r="AF202" s="139"/>
    </row>
    <row r="203" spans="1:32" ht="12.75">
      <c r="A203" s="154" t="e">
        <f ca="1"/>
        <v>#NAME?</v>
      </c>
      <c r="B203" s="173" t="s">
        <v>616</v>
      </c>
      <c r="C203" s="158">
        <v>2</v>
      </c>
      <c r="D203" s="158" t="s">
        <v>103</v>
      </c>
      <c r="E203" s="154"/>
      <c r="F203" s="153"/>
      <c r="G203" s="149"/>
      <c r="H203" s="158">
        <v>1</v>
      </c>
      <c r="I203" s="158" t="s">
        <v>533</v>
      </c>
      <c r="J203" s="158"/>
      <c r="K203" s="158"/>
      <c r="L203" s="158">
        <v>1</v>
      </c>
      <c r="M203" s="158" t="s">
        <v>533</v>
      </c>
      <c r="N203" s="158"/>
      <c r="O203" s="158"/>
      <c r="P203" s="158"/>
      <c r="Q203" s="158"/>
      <c r="R203" s="158"/>
      <c r="S203" s="158"/>
      <c r="T203" s="158"/>
      <c r="U203" s="158"/>
      <c r="V203" s="158"/>
      <c r="W203" s="158"/>
      <c r="X203" s="137" t="s">
        <v>174</v>
      </c>
      <c r="Y203" s="155" t="str">
        <f>DB!$D$86</f>
        <v>Desktop Type Document Scanner</v>
      </c>
      <c r="Z203" s="154"/>
      <c r="AA203" s="149"/>
      <c r="AB203" s="136"/>
      <c r="AC203" s="139"/>
      <c r="AD203" s="139"/>
      <c r="AE203" s="139"/>
      <c r="AF203" s="139"/>
    </row>
    <row r="204" spans="1:32" ht="12.75">
      <c r="A204" s="154" t="e">
        <f ca="1"/>
        <v>#NAME?</v>
      </c>
      <c r="B204" s="156" t="s">
        <v>617</v>
      </c>
      <c r="C204" s="158">
        <v>2</v>
      </c>
      <c r="D204" s="158" t="s">
        <v>618</v>
      </c>
      <c r="E204" s="149"/>
      <c r="F204" s="149"/>
      <c r="G204" s="151" t="s">
        <v>342</v>
      </c>
      <c r="H204" s="158">
        <v>2</v>
      </c>
      <c r="I204" s="151" t="s">
        <v>619</v>
      </c>
      <c r="J204" s="149"/>
      <c r="K204" s="149"/>
      <c r="L204" s="149"/>
      <c r="M204" s="149"/>
      <c r="N204" s="149"/>
      <c r="O204" s="149"/>
      <c r="P204" s="149"/>
      <c r="Q204" s="149"/>
      <c r="R204" s="149"/>
      <c r="S204" s="149"/>
      <c r="T204" s="149"/>
      <c r="U204" s="149"/>
      <c r="V204" s="149"/>
      <c r="W204" s="149"/>
      <c r="X204" s="137" t="s">
        <v>169</v>
      </c>
      <c r="Y204" s="141" t="str">
        <f>DB!$D$194</f>
        <v>Branded Desktop Computer Set</v>
      </c>
      <c r="Z204" s="154"/>
      <c r="AA204" s="149"/>
      <c r="AB204" s="136"/>
      <c r="AC204" s="139"/>
      <c r="AD204" s="139"/>
      <c r="AE204" s="139"/>
      <c r="AF204" s="139"/>
    </row>
    <row r="205" spans="1:32" ht="12.75">
      <c r="A205" s="154" t="e">
        <f ca="1"/>
        <v>#NAME?</v>
      </c>
      <c r="B205" s="156" t="s">
        <v>620</v>
      </c>
      <c r="C205" s="158">
        <v>1</v>
      </c>
      <c r="D205" s="158" t="s">
        <v>103</v>
      </c>
      <c r="E205" s="149"/>
      <c r="F205" s="149"/>
      <c r="G205" s="151" t="s">
        <v>342</v>
      </c>
      <c r="H205" s="158">
        <v>1</v>
      </c>
      <c r="I205" s="151" t="s">
        <v>619</v>
      </c>
      <c r="J205" s="149"/>
      <c r="K205" s="149"/>
      <c r="L205" s="149"/>
      <c r="M205" s="149"/>
      <c r="N205" s="149"/>
      <c r="O205" s="149"/>
      <c r="P205" s="149"/>
      <c r="Q205" s="149"/>
      <c r="R205" s="149"/>
      <c r="S205" s="149"/>
      <c r="T205" s="149"/>
      <c r="U205" s="149"/>
      <c r="V205" s="149"/>
      <c r="W205" s="149"/>
      <c r="X205" s="137" t="s">
        <v>169</v>
      </c>
      <c r="Y205" s="155" t="str">
        <f>DB!$D$195</f>
        <v>Branded Laptop</v>
      </c>
      <c r="Z205" s="154"/>
      <c r="AA205" s="149"/>
      <c r="AB205" s="136"/>
      <c r="AC205" s="139"/>
      <c r="AD205" s="139"/>
      <c r="AE205" s="139"/>
      <c r="AF205" s="139"/>
    </row>
    <row r="206" spans="1:32" ht="12.75">
      <c r="A206" s="154" t="e">
        <f ca="1"/>
        <v>#NAME?</v>
      </c>
      <c r="B206" s="156" t="s">
        <v>371</v>
      </c>
      <c r="C206" s="158">
        <v>1</v>
      </c>
      <c r="D206" s="158" t="s">
        <v>103</v>
      </c>
      <c r="E206" s="149"/>
      <c r="F206" s="153"/>
      <c r="G206" s="151" t="s">
        <v>342</v>
      </c>
      <c r="H206" s="158">
        <v>1</v>
      </c>
      <c r="I206" s="151" t="s">
        <v>619</v>
      </c>
      <c r="J206" s="149"/>
      <c r="K206" s="149"/>
      <c r="L206" s="149"/>
      <c r="M206" s="149"/>
      <c r="N206" s="149"/>
      <c r="O206" s="149"/>
      <c r="P206" s="149"/>
      <c r="Q206" s="149"/>
      <c r="R206" s="149"/>
      <c r="S206" s="149"/>
      <c r="T206" s="149"/>
      <c r="U206" s="149"/>
      <c r="V206" s="149"/>
      <c r="W206" s="149"/>
      <c r="X206" s="137" t="s">
        <v>169</v>
      </c>
      <c r="Y206" s="155" t="str">
        <f>DB!$D$269</f>
        <v>Cellphone (Android)</v>
      </c>
      <c r="Z206" s="154"/>
      <c r="AA206" s="149"/>
      <c r="AB206" s="136"/>
      <c r="AC206" s="139"/>
      <c r="AD206" s="139"/>
      <c r="AE206" s="139"/>
      <c r="AF206" s="139"/>
    </row>
    <row r="207" spans="1:32" ht="12.75">
      <c r="A207" s="154" t="e">
        <f ca="1"/>
        <v>#NAME?</v>
      </c>
      <c r="B207" s="156" t="s">
        <v>621</v>
      </c>
      <c r="C207" s="151">
        <v>4</v>
      </c>
      <c r="D207" s="151" t="s">
        <v>118</v>
      </c>
      <c r="E207" s="153"/>
      <c r="F207" s="153"/>
      <c r="G207" s="151" t="s">
        <v>342</v>
      </c>
      <c r="H207" s="174">
        <v>4</v>
      </c>
      <c r="I207" s="151">
        <v>5</v>
      </c>
      <c r="J207" s="151"/>
      <c r="K207" s="151"/>
      <c r="L207" s="174">
        <v>0</v>
      </c>
      <c r="M207" s="151"/>
      <c r="N207" s="151"/>
      <c r="O207" s="151"/>
      <c r="P207" s="174">
        <v>0</v>
      </c>
      <c r="Q207" s="151"/>
      <c r="R207" s="151"/>
      <c r="S207" s="151"/>
      <c r="T207" s="174">
        <v>0</v>
      </c>
      <c r="U207" s="151"/>
      <c r="V207" s="151"/>
      <c r="W207" s="151"/>
      <c r="X207" s="137" t="s">
        <v>176</v>
      </c>
      <c r="Y207" s="141" t="str">
        <f>DB!$D$194</f>
        <v>Branded Desktop Computer Set</v>
      </c>
      <c r="Z207" s="154"/>
      <c r="AA207" s="149"/>
      <c r="AB207" s="136"/>
      <c r="AC207" s="139"/>
      <c r="AD207" s="139"/>
      <c r="AE207" s="139"/>
      <c r="AF207" s="139"/>
    </row>
    <row r="208" spans="1:32" ht="12.75">
      <c r="A208" s="154" t="e">
        <f ca="1"/>
        <v>#NAME?</v>
      </c>
      <c r="B208" s="156" t="s">
        <v>622</v>
      </c>
      <c r="C208" s="151">
        <v>5</v>
      </c>
      <c r="D208" s="151" t="s">
        <v>103</v>
      </c>
      <c r="E208" s="153"/>
      <c r="F208" s="153"/>
      <c r="G208" s="151" t="s">
        <v>342</v>
      </c>
      <c r="H208" s="174">
        <v>5</v>
      </c>
      <c r="I208" s="151">
        <v>5</v>
      </c>
      <c r="J208" s="151"/>
      <c r="K208" s="151"/>
      <c r="L208" s="174">
        <v>0</v>
      </c>
      <c r="M208" s="151"/>
      <c r="N208" s="151"/>
      <c r="O208" s="151"/>
      <c r="P208" s="174">
        <v>0</v>
      </c>
      <c r="Q208" s="151"/>
      <c r="R208" s="151"/>
      <c r="S208" s="151"/>
      <c r="T208" s="174">
        <v>0</v>
      </c>
      <c r="U208" s="151"/>
      <c r="V208" s="151"/>
      <c r="W208" s="151"/>
      <c r="X208" s="137" t="s">
        <v>176</v>
      </c>
      <c r="Y208" s="155"/>
      <c r="Z208" s="154" t="s">
        <v>453</v>
      </c>
      <c r="AA208" s="149"/>
      <c r="AB208" s="136"/>
      <c r="AC208" s="139"/>
      <c r="AD208" s="139"/>
      <c r="AE208" s="139"/>
      <c r="AF208" s="139"/>
    </row>
    <row r="209" spans="1:32" ht="12.75">
      <c r="A209" s="154" t="e">
        <f ca="1"/>
        <v>#NAME?</v>
      </c>
      <c r="B209" s="156" t="s">
        <v>568</v>
      </c>
      <c r="C209" s="151">
        <v>6</v>
      </c>
      <c r="D209" s="151" t="s">
        <v>103</v>
      </c>
      <c r="E209" s="153"/>
      <c r="F209" s="153"/>
      <c r="G209" s="151" t="s">
        <v>342</v>
      </c>
      <c r="H209" s="174">
        <v>6</v>
      </c>
      <c r="I209" s="151">
        <v>6</v>
      </c>
      <c r="J209" s="151"/>
      <c r="K209" s="151"/>
      <c r="L209" s="174">
        <v>0</v>
      </c>
      <c r="M209" s="151"/>
      <c r="N209" s="151"/>
      <c r="O209" s="151"/>
      <c r="P209" s="174">
        <v>0</v>
      </c>
      <c r="Q209" s="151"/>
      <c r="R209" s="151"/>
      <c r="S209" s="151"/>
      <c r="T209" s="174">
        <v>0</v>
      </c>
      <c r="U209" s="151"/>
      <c r="V209" s="151"/>
      <c r="W209" s="151"/>
      <c r="X209" s="137" t="s">
        <v>176</v>
      </c>
      <c r="Y209" s="155" t="str">
        <f>DB!$D$6</f>
        <v>UPS 650VA, AVR, 230V</v>
      </c>
      <c r="Z209" s="154"/>
      <c r="AA209" s="149"/>
      <c r="AB209" s="136"/>
      <c r="AC209" s="139"/>
      <c r="AD209" s="139"/>
      <c r="AE209" s="139"/>
      <c r="AF209" s="139"/>
    </row>
    <row r="210" spans="1:32" ht="25.5">
      <c r="A210" s="154" t="e">
        <f ca="1"/>
        <v>#NAME?</v>
      </c>
      <c r="B210" s="156" t="s">
        <v>623</v>
      </c>
      <c r="C210" s="151">
        <v>2</v>
      </c>
      <c r="D210" s="151" t="s">
        <v>103</v>
      </c>
      <c r="E210" s="153"/>
      <c r="F210" s="153"/>
      <c r="G210" s="151" t="s">
        <v>342</v>
      </c>
      <c r="H210" s="174">
        <v>2</v>
      </c>
      <c r="I210" s="151">
        <v>2</v>
      </c>
      <c r="J210" s="151"/>
      <c r="K210" s="151"/>
      <c r="L210" s="174">
        <v>0</v>
      </c>
      <c r="M210" s="151"/>
      <c r="N210" s="151"/>
      <c r="O210" s="151"/>
      <c r="P210" s="174">
        <v>0</v>
      </c>
      <c r="Q210" s="151"/>
      <c r="R210" s="151"/>
      <c r="S210" s="151"/>
      <c r="T210" s="174">
        <v>0</v>
      </c>
      <c r="U210" s="151"/>
      <c r="V210" s="151"/>
      <c r="W210" s="151"/>
      <c r="X210" s="137" t="s">
        <v>176</v>
      </c>
      <c r="Y210" s="155" t="str">
        <f>DB!$D$73</f>
        <v>Webcam Professional Full HD</v>
      </c>
      <c r="Z210" s="154"/>
      <c r="AA210" s="149"/>
      <c r="AB210" s="136"/>
      <c r="AC210" s="139"/>
      <c r="AD210" s="139"/>
      <c r="AE210" s="139"/>
      <c r="AF210" s="139"/>
    </row>
    <row r="211" spans="1:32" ht="51">
      <c r="A211" s="154" t="e">
        <f ca="1"/>
        <v>#NAME?</v>
      </c>
      <c r="B211" s="156" t="s">
        <v>492</v>
      </c>
      <c r="C211" s="151">
        <v>2</v>
      </c>
      <c r="D211" s="151" t="s">
        <v>103</v>
      </c>
      <c r="E211" s="153"/>
      <c r="F211" s="153"/>
      <c r="G211" s="151" t="s">
        <v>342</v>
      </c>
      <c r="H211" s="174">
        <v>2</v>
      </c>
      <c r="I211" s="151">
        <v>2</v>
      </c>
      <c r="J211" s="151"/>
      <c r="K211" s="151"/>
      <c r="L211" s="174">
        <v>0</v>
      </c>
      <c r="M211" s="151"/>
      <c r="N211" s="151"/>
      <c r="O211" s="151"/>
      <c r="P211" s="174">
        <v>0</v>
      </c>
      <c r="Q211" s="151"/>
      <c r="R211" s="151"/>
      <c r="S211" s="151"/>
      <c r="T211" s="174">
        <v>0</v>
      </c>
      <c r="U211" s="151"/>
      <c r="V211" s="151"/>
      <c r="W211" s="151"/>
      <c r="X211" s="137" t="s">
        <v>176</v>
      </c>
      <c r="Y211" s="155" t="str">
        <f>DB!$D$83</f>
        <v>USB Computer Headset</v>
      </c>
      <c r="Z211" s="154"/>
      <c r="AA211" s="149"/>
      <c r="AB211" s="136"/>
      <c r="AC211" s="139"/>
      <c r="AD211" s="139"/>
      <c r="AE211" s="139"/>
      <c r="AF211" s="139"/>
    </row>
    <row r="212" spans="1:32" ht="12.75">
      <c r="A212" s="154" t="e">
        <f ca="1"/>
        <v>#NAME?</v>
      </c>
      <c r="B212" s="156" t="s">
        <v>624</v>
      </c>
      <c r="C212" s="151">
        <v>1</v>
      </c>
      <c r="D212" s="151" t="s">
        <v>466</v>
      </c>
      <c r="E212" s="153"/>
      <c r="F212" s="153"/>
      <c r="G212" s="151" t="s">
        <v>342</v>
      </c>
      <c r="H212" s="174">
        <v>1</v>
      </c>
      <c r="I212" s="151">
        <v>1</v>
      </c>
      <c r="J212" s="151"/>
      <c r="K212" s="151"/>
      <c r="L212" s="174">
        <v>0</v>
      </c>
      <c r="M212" s="151"/>
      <c r="N212" s="151"/>
      <c r="O212" s="151"/>
      <c r="P212" s="174">
        <v>0</v>
      </c>
      <c r="Q212" s="151"/>
      <c r="R212" s="151"/>
      <c r="S212" s="151"/>
      <c r="T212" s="174">
        <v>0</v>
      </c>
      <c r="U212" s="151"/>
      <c r="V212" s="151"/>
      <c r="W212" s="151"/>
      <c r="X212" s="137" t="s">
        <v>176</v>
      </c>
      <c r="Y212" s="155" t="str">
        <f>DB!$D$195</f>
        <v>Branded Laptop</v>
      </c>
      <c r="Z212" s="154"/>
      <c r="AA212" s="149"/>
      <c r="AB212" s="136"/>
      <c r="AC212" s="139"/>
      <c r="AD212" s="139"/>
      <c r="AE212" s="139"/>
      <c r="AF212" s="139"/>
    </row>
    <row r="213" spans="1:32" ht="12.75">
      <c r="A213" s="154" t="e">
        <f ca="1"/>
        <v>#NAME?</v>
      </c>
      <c r="B213" s="156" t="s">
        <v>244</v>
      </c>
      <c r="C213" s="151">
        <v>1</v>
      </c>
      <c r="D213" s="151" t="s">
        <v>103</v>
      </c>
      <c r="E213" s="149"/>
      <c r="F213" s="149"/>
      <c r="G213" s="151" t="s">
        <v>342</v>
      </c>
      <c r="H213" s="174">
        <v>1</v>
      </c>
      <c r="I213" s="151">
        <v>1</v>
      </c>
      <c r="J213" s="151"/>
      <c r="K213" s="151"/>
      <c r="L213" s="174">
        <v>0</v>
      </c>
      <c r="M213" s="151"/>
      <c r="N213" s="151"/>
      <c r="O213" s="151"/>
      <c r="P213" s="174">
        <v>0</v>
      </c>
      <c r="Q213" s="151"/>
      <c r="R213" s="151"/>
      <c r="S213" s="151"/>
      <c r="T213" s="174">
        <v>0</v>
      </c>
      <c r="U213" s="151"/>
      <c r="V213" s="151"/>
      <c r="W213" s="151"/>
      <c r="X213" s="137" t="s">
        <v>176</v>
      </c>
      <c r="Y213" s="155" t="str">
        <f>DB!$D$88</f>
        <v>Projector</v>
      </c>
      <c r="Z213" s="154"/>
      <c r="AA213" s="149"/>
      <c r="AB213" s="136"/>
      <c r="AC213" s="139"/>
      <c r="AD213" s="139"/>
      <c r="AE213" s="139"/>
      <c r="AF213" s="139"/>
    </row>
    <row r="214" spans="1:32" ht="12.75">
      <c r="A214" s="154" t="e">
        <f ca="1"/>
        <v>#NAME?</v>
      </c>
      <c r="B214" s="156" t="s">
        <v>625</v>
      </c>
      <c r="C214" s="151">
        <v>2</v>
      </c>
      <c r="D214" s="151" t="s">
        <v>103</v>
      </c>
      <c r="E214" s="149"/>
      <c r="F214" s="149"/>
      <c r="G214" s="151" t="s">
        <v>342</v>
      </c>
      <c r="H214" s="174">
        <v>2</v>
      </c>
      <c r="I214" s="151">
        <v>2</v>
      </c>
      <c r="J214" s="151"/>
      <c r="K214" s="151"/>
      <c r="L214" s="174">
        <v>0</v>
      </c>
      <c r="M214" s="151"/>
      <c r="N214" s="151"/>
      <c r="O214" s="151"/>
      <c r="P214" s="174">
        <v>0</v>
      </c>
      <c r="Q214" s="151"/>
      <c r="R214" s="151"/>
      <c r="S214" s="151"/>
      <c r="T214" s="174">
        <v>0</v>
      </c>
      <c r="U214" s="151"/>
      <c r="V214" s="151"/>
      <c r="W214" s="151"/>
      <c r="X214" s="137" t="s">
        <v>176</v>
      </c>
      <c r="Y214" s="141" t="str">
        <f>DB!$D$37</f>
        <v>Single Line Telephone (Black)</v>
      </c>
      <c r="Z214" s="154"/>
      <c r="AA214" s="149"/>
      <c r="AB214" s="136"/>
      <c r="AC214" s="139"/>
      <c r="AD214" s="139"/>
      <c r="AE214" s="139"/>
      <c r="AF214" s="139"/>
    </row>
    <row r="215" spans="1:32" ht="25.5">
      <c r="A215" s="154" t="e">
        <f ca="1"/>
        <v>#NAME?</v>
      </c>
      <c r="B215" s="156" t="s">
        <v>626</v>
      </c>
      <c r="C215" s="151">
        <v>4</v>
      </c>
      <c r="D215" s="151" t="s">
        <v>103</v>
      </c>
      <c r="E215" s="149"/>
      <c r="F215" s="157"/>
      <c r="G215" s="151" t="s">
        <v>342</v>
      </c>
      <c r="H215" s="174">
        <v>4</v>
      </c>
      <c r="I215" s="151">
        <v>4</v>
      </c>
      <c r="J215" s="151"/>
      <c r="K215" s="151"/>
      <c r="L215" s="174">
        <v>0</v>
      </c>
      <c r="M215" s="151"/>
      <c r="N215" s="151"/>
      <c r="O215" s="151"/>
      <c r="P215" s="174">
        <v>0</v>
      </c>
      <c r="Q215" s="151"/>
      <c r="R215" s="151"/>
      <c r="S215" s="151"/>
      <c r="T215" s="174">
        <v>0</v>
      </c>
      <c r="U215" s="151"/>
      <c r="V215" s="151"/>
      <c r="W215" s="151"/>
      <c r="X215" s="137" t="s">
        <v>176</v>
      </c>
      <c r="Y215" s="141" t="str">
        <f>DB!$D$52</f>
        <v>Walkie Talkie Dual Band Handheld Two Way Radio</v>
      </c>
      <c r="Z215" s="154"/>
      <c r="AA215" s="149"/>
      <c r="AB215" s="136"/>
      <c r="AC215" s="139"/>
      <c r="AD215" s="139"/>
      <c r="AE215" s="139"/>
      <c r="AF215" s="139"/>
    </row>
    <row r="216" spans="1:32" ht="12.75">
      <c r="A216" s="154" t="e">
        <f ca="1"/>
        <v>#NAME?</v>
      </c>
      <c r="B216" s="156" t="s">
        <v>627</v>
      </c>
      <c r="C216" s="151">
        <v>60</v>
      </c>
      <c r="D216" s="151" t="s">
        <v>103</v>
      </c>
      <c r="E216" s="149"/>
      <c r="F216" s="157"/>
      <c r="G216" s="151" t="s">
        <v>342</v>
      </c>
      <c r="H216" s="174">
        <v>15</v>
      </c>
      <c r="I216" s="152">
        <v>5</v>
      </c>
      <c r="J216" s="152">
        <v>5</v>
      </c>
      <c r="K216" s="152">
        <v>5</v>
      </c>
      <c r="L216" s="174">
        <v>15</v>
      </c>
      <c r="M216" s="152">
        <v>5</v>
      </c>
      <c r="N216" s="152">
        <v>5</v>
      </c>
      <c r="O216" s="152">
        <v>5</v>
      </c>
      <c r="P216" s="174">
        <v>15</v>
      </c>
      <c r="Q216" s="152">
        <v>5</v>
      </c>
      <c r="R216" s="152">
        <v>5</v>
      </c>
      <c r="S216" s="152">
        <v>5</v>
      </c>
      <c r="T216" s="174">
        <v>15</v>
      </c>
      <c r="U216" s="152">
        <v>5</v>
      </c>
      <c r="V216" s="152">
        <v>5</v>
      </c>
      <c r="W216" s="152">
        <v>5</v>
      </c>
      <c r="X216" s="137" t="s">
        <v>176</v>
      </c>
      <c r="Y216" s="155" t="str">
        <f>DB!$D$174</f>
        <v>Brother Genuine Ink BT5000M</v>
      </c>
      <c r="Z216" s="154"/>
      <c r="AA216" s="149"/>
      <c r="AB216" s="136"/>
      <c r="AC216" s="139"/>
      <c r="AD216" s="139"/>
      <c r="AE216" s="139"/>
      <c r="AF216" s="139"/>
    </row>
    <row r="217" spans="1:32" ht="12.75">
      <c r="A217" s="154" t="e">
        <f ca="1"/>
        <v>#NAME?</v>
      </c>
      <c r="B217" s="156" t="s">
        <v>628</v>
      </c>
      <c r="C217" s="151">
        <v>33</v>
      </c>
      <c r="D217" s="151" t="s">
        <v>103</v>
      </c>
      <c r="E217" s="149"/>
      <c r="F217" s="157"/>
      <c r="G217" s="151" t="s">
        <v>342</v>
      </c>
      <c r="H217" s="174">
        <v>6</v>
      </c>
      <c r="I217" s="152">
        <v>2</v>
      </c>
      <c r="J217" s="152">
        <v>2</v>
      </c>
      <c r="K217" s="152">
        <v>2</v>
      </c>
      <c r="L217" s="174">
        <v>9</v>
      </c>
      <c r="M217" s="152">
        <v>3</v>
      </c>
      <c r="N217" s="152">
        <v>3</v>
      </c>
      <c r="O217" s="152">
        <v>3</v>
      </c>
      <c r="P217" s="174">
        <v>9</v>
      </c>
      <c r="Q217" s="152">
        <v>3</v>
      </c>
      <c r="R217" s="152">
        <v>3</v>
      </c>
      <c r="S217" s="152">
        <v>3</v>
      </c>
      <c r="T217" s="174">
        <v>9</v>
      </c>
      <c r="U217" s="152">
        <v>3</v>
      </c>
      <c r="V217" s="152">
        <v>3</v>
      </c>
      <c r="W217" s="152">
        <v>3</v>
      </c>
      <c r="X217" s="137" t="s">
        <v>176</v>
      </c>
      <c r="Y217" s="155" t="str">
        <f>DB!$D$172</f>
        <v>Brother Genuine Ink BT5000C</v>
      </c>
      <c r="Z217" s="154"/>
      <c r="AA217" s="149"/>
      <c r="AB217" s="136"/>
      <c r="AC217" s="139"/>
      <c r="AD217" s="139"/>
      <c r="AE217" s="139"/>
      <c r="AF217" s="139"/>
    </row>
    <row r="218" spans="1:32" ht="12.75">
      <c r="A218" s="154" t="e">
        <f ca="1"/>
        <v>#NAME?</v>
      </c>
      <c r="B218" s="156" t="s">
        <v>629</v>
      </c>
      <c r="C218" s="151">
        <v>33</v>
      </c>
      <c r="D218" s="151" t="s">
        <v>103</v>
      </c>
      <c r="E218" s="149"/>
      <c r="F218" s="157"/>
      <c r="G218" s="151" t="s">
        <v>342</v>
      </c>
      <c r="H218" s="174">
        <v>6</v>
      </c>
      <c r="I218" s="152">
        <v>2</v>
      </c>
      <c r="J218" s="152">
        <v>2</v>
      </c>
      <c r="K218" s="152">
        <v>2</v>
      </c>
      <c r="L218" s="174">
        <v>9</v>
      </c>
      <c r="M218" s="152">
        <v>3</v>
      </c>
      <c r="N218" s="152">
        <v>3</v>
      </c>
      <c r="O218" s="152">
        <v>3</v>
      </c>
      <c r="P218" s="174">
        <v>9</v>
      </c>
      <c r="Q218" s="152">
        <v>3</v>
      </c>
      <c r="R218" s="152">
        <v>3</v>
      </c>
      <c r="S218" s="152">
        <v>3</v>
      </c>
      <c r="T218" s="174">
        <v>9</v>
      </c>
      <c r="U218" s="152">
        <v>3</v>
      </c>
      <c r="V218" s="152">
        <v>3</v>
      </c>
      <c r="W218" s="152">
        <v>3</v>
      </c>
      <c r="X218" s="137" t="s">
        <v>176</v>
      </c>
      <c r="Y218" s="155" t="str">
        <f>DB!$D$173</f>
        <v>Brother Genuine Ink BT5000Y</v>
      </c>
      <c r="Z218" s="154"/>
      <c r="AA218" s="149"/>
      <c r="AB218" s="136"/>
      <c r="AC218" s="139"/>
      <c r="AD218" s="139"/>
      <c r="AE218" s="139"/>
      <c r="AF218" s="139"/>
    </row>
    <row r="219" spans="1:32" ht="12.75">
      <c r="A219" s="154" t="e">
        <f ca="1"/>
        <v>#NAME?</v>
      </c>
      <c r="B219" s="156" t="s">
        <v>630</v>
      </c>
      <c r="C219" s="151">
        <v>33</v>
      </c>
      <c r="D219" s="151" t="s">
        <v>103</v>
      </c>
      <c r="E219" s="149"/>
      <c r="F219" s="149"/>
      <c r="G219" s="151" t="s">
        <v>342</v>
      </c>
      <c r="H219" s="174">
        <v>6</v>
      </c>
      <c r="I219" s="152">
        <v>2</v>
      </c>
      <c r="J219" s="152">
        <v>2</v>
      </c>
      <c r="K219" s="152">
        <v>2</v>
      </c>
      <c r="L219" s="174">
        <v>9</v>
      </c>
      <c r="M219" s="152">
        <v>3</v>
      </c>
      <c r="N219" s="152">
        <v>3</v>
      </c>
      <c r="O219" s="152">
        <v>3</v>
      </c>
      <c r="P219" s="174">
        <v>9</v>
      </c>
      <c r="Q219" s="152">
        <v>3</v>
      </c>
      <c r="R219" s="152">
        <v>3</v>
      </c>
      <c r="S219" s="152">
        <v>3</v>
      </c>
      <c r="T219" s="174">
        <v>9</v>
      </c>
      <c r="U219" s="152">
        <v>3</v>
      </c>
      <c r="V219" s="152">
        <v>3</v>
      </c>
      <c r="W219" s="152">
        <v>3</v>
      </c>
      <c r="X219" s="137" t="s">
        <v>176</v>
      </c>
      <c r="Y219" s="155" t="str">
        <f>DB!$D$174</f>
        <v>Brother Genuine Ink BT5000M</v>
      </c>
      <c r="Z219" s="154"/>
      <c r="AA219" s="149"/>
      <c r="AB219" s="136"/>
      <c r="AC219" s="139"/>
      <c r="AD219" s="139"/>
      <c r="AE219" s="139"/>
      <c r="AF219" s="139"/>
    </row>
    <row r="220" spans="1:32" ht="12.75">
      <c r="A220" s="154" t="e">
        <f ca="1"/>
        <v>#NAME?</v>
      </c>
      <c r="B220" s="156" t="s">
        <v>570</v>
      </c>
      <c r="C220" s="151">
        <v>36</v>
      </c>
      <c r="D220" s="151" t="s">
        <v>103</v>
      </c>
      <c r="E220" s="149"/>
      <c r="F220" s="149"/>
      <c r="G220" s="151" t="s">
        <v>342</v>
      </c>
      <c r="H220" s="174">
        <v>9</v>
      </c>
      <c r="I220" s="152">
        <v>3</v>
      </c>
      <c r="J220" s="152">
        <v>3</v>
      </c>
      <c r="K220" s="152">
        <v>3</v>
      </c>
      <c r="L220" s="174">
        <v>9</v>
      </c>
      <c r="M220" s="152">
        <v>3</v>
      </c>
      <c r="N220" s="152">
        <v>3</v>
      </c>
      <c r="O220" s="152">
        <v>3</v>
      </c>
      <c r="P220" s="174">
        <v>9</v>
      </c>
      <c r="Q220" s="152">
        <v>3</v>
      </c>
      <c r="R220" s="152">
        <v>3</v>
      </c>
      <c r="S220" s="152">
        <v>3</v>
      </c>
      <c r="T220" s="174">
        <v>9</v>
      </c>
      <c r="U220" s="152">
        <v>3</v>
      </c>
      <c r="V220" s="152">
        <v>3</v>
      </c>
      <c r="W220" s="152">
        <v>3</v>
      </c>
      <c r="X220" s="137" t="s">
        <v>176</v>
      </c>
      <c r="Y220" s="155" t="str">
        <f>DB!$D$106</f>
        <v>Epson Genuine Ink (003) Black</v>
      </c>
      <c r="Z220" s="154"/>
      <c r="AA220" s="149"/>
      <c r="AB220" s="136"/>
      <c r="AC220" s="139"/>
      <c r="AD220" s="139"/>
      <c r="AE220" s="139"/>
      <c r="AF220" s="139"/>
    </row>
    <row r="221" spans="1:32" ht="12.75">
      <c r="A221" s="154" t="e">
        <f ca="1"/>
        <v>#NAME?</v>
      </c>
      <c r="B221" s="156" t="s">
        <v>572</v>
      </c>
      <c r="C221" s="151">
        <v>12</v>
      </c>
      <c r="D221" s="151" t="s">
        <v>103</v>
      </c>
      <c r="E221" s="153"/>
      <c r="F221" s="153"/>
      <c r="G221" s="151" t="s">
        <v>342</v>
      </c>
      <c r="H221" s="174">
        <v>3</v>
      </c>
      <c r="I221" s="152">
        <v>1</v>
      </c>
      <c r="J221" s="152">
        <v>1</v>
      </c>
      <c r="K221" s="152">
        <v>1</v>
      </c>
      <c r="L221" s="174">
        <v>3</v>
      </c>
      <c r="M221" s="152">
        <v>1</v>
      </c>
      <c r="N221" s="152">
        <v>1</v>
      </c>
      <c r="O221" s="152">
        <v>1</v>
      </c>
      <c r="P221" s="174">
        <v>3</v>
      </c>
      <c r="Q221" s="152">
        <v>1</v>
      </c>
      <c r="R221" s="152">
        <v>1</v>
      </c>
      <c r="S221" s="152">
        <v>1</v>
      </c>
      <c r="T221" s="174">
        <v>3</v>
      </c>
      <c r="U221" s="152">
        <v>1</v>
      </c>
      <c r="V221" s="152">
        <v>1</v>
      </c>
      <c r="W221" s="152">
        <v>1</v>
      </c>
      <c r="X221" s="137" t="s">
        <v>176</v>
      </c>
      <c r="Y221" s="155" t="str">
        <f>DB!$D$107</f>
        <v>Epson Genuine Ink (003) Cyan</v>
      </c>
      <c r="Z221" s="154"/>
      <c r="AA221" s="149"/>
      <c r="AB221" s="136"/>
      <c r="AC221" s="139"/>
      <c r="AD221" s="139"/>
      <c r="AE221" s="139"/>
      <c r="AF221" s="139"/>
    </row>
    <row r="222" spans="1:32" ht="12.75">
      <c r="A222" s="154" t="e">
        <f ca="1"/>
        <v>#NAME?</v>
      </c>
      <c r="B222" s="156" t="s">
        <v>573</v>
      </c>
      <c r="C222" s="151">
        <v>12</v>
      </c>
      <c r="D222" s="151" t="s">
        <v>103</v>
      </c>
      <c r="E222" s="149"/>
      <c r="F222" s="149"/>
      <c r="G222" s="151" t="s">
        <v>342</v>
      </c>
      <c r="H222" s="174">
        <v>3</v>
      </c>
      <c r="I222" s="152">
        <v>1</v>
      </c>
      <c r="J222" s="152">
        <v>1</v>
      </c>
      <c r="K222" s="152">
        <v>1</v>
      </c>
      <c r="L222" s="174">
        <v>3</v>
      </c>
      <c r="M222" s="152">
        <v>1</v>
      </c>
      <c r="N222" s="152">
        <v>1</v>
      </c>
      <c r="O222" s="152">
        <v>1</v>
      </c>
      <c r="P222" s="174">
        <v>3</v>
      </c>
      <c r="Q222" s="152">
        <v>1</v>
      </c>
      <c r="R222" s="152">
        <v>1</v>
      </c>
      <c r="S222" s="152">
        <v>1</v>
      </c>
      <c r="T222" s="174">
        <v>3</v>
      </c>
      <c r="U222" s="152">
        <v>1</v>
      </c>
      <c r="V222" s="152">
        <v>1</v>
      </c>
      <c r="W222" s="152">
        <v>1</v>
      </c>
      <c r="X222" s="137" t="s">
        <v>176</v>
      </c>
      <c r="Y222" s="155" t="str">
        <f>DB!$D$108</f>
        <v>Epson Genuine Ink (003) Yellow</v>
      </c>
      <c r="Z222" s="154"/>
      <c r="AA222" s="149"/>
      <c r="AB222" s="136"/>
      <c r="AC222" s="139"/>
      <c r="AD222" s="139"/>
      <c r="AE222" s="139"/>
      <c r="AF222" s="139"/>
    </row>
    <row r="223" spans="1:32" ht="12.75">
      <c r="A223" s="154" t="e">
        <f ca="1"/>
        <v>#NAME?</v>
      </c>
      <c r="B223" s="156" t="s">
        <v>631</v>
      </c>
      <c r="C223" s="151">
        <v>12</v>
      </c>
      <c r="D223" s="151" t="s">
        <v>103</v>
      </c>
      <c r="E223" s="149"/>
      <c r="F223" s="149"/>
      <c r="G223" s="151" t="s">
        <v>342</v>
      </c>
      <c r="H223" s="174">
        <v>3</v>
      </c>
      <c r="I223" s="152">
        <v>1</v>
      </c>
      <c r="J223" s="152">
        <v>1</v>
      </c>
      <c r="K223" s="152">
        <v>1</v>
      </c>
      <c r="L223" s="174">
        <v>3</v>
      </c>
      <c r="M223" s="152">
        <v>1</v>
      </c>
      <c r="N223" s="152">
        <v>1</v>
      </c>
      <c r="O223" s="152">
        <v>1</v>
      </c>
      <c r="P223" s="174">
        <v>3</v>
      </c>
      <c r="Q223" s="152">
        <v>1</v>
      </c>
      <c r="R223" s="152">
        <v>1</v>
      </c>
      <c r="S223" s="152">
        <v>1</v>
      </c>
      <c r="T223" s="174">
        <v>3</v>
      </c>
      <c r="U223" s="152">
        <v>1</v>
      </c>
      <c r="V223" s="152">
        <v>1</v>
      </c>
      <c r="W223" s="152">
        <v>1</v>
      </c>
      <c r="X223" s="137" t="s">
        <v>176</v>
      </c>
      <c r="Y223" s="155" t="str">
        <f>DB!$D$109</f>
        <v>Epson Genuine Ink (003) Magenta</v>
      </c>
      <c r="Z223" s="154"/>
      <c r="AA223" s="149"/>
      <c r="AB223" s="136"/>
      <c r="AC223" s="139"/>
      <c r="AD223" s="139"/>
      <c r="AE223" s="139"/>
      <c r="AF223" s="139"/>
    </row>
    <row r="224" spans="1:32" ht="25.5">
      <c r="A224" s="154" t="e">
        <f ca="1"/>
        <v>#NAME?</v>
      </c>
      <c r="B224" s="156" t="s">
        <v>632</v>
      </c>
      <c r="C224" s="151">
        <v>3</v>
      </c>
      <c r="D224" s="151" t="s">
        <v>633</v>
      </c>
      <c r="E224" s="153"/>
      <c r="F224" s="153"/>
      <c r="G224" s="154"/>
      <c r="H224" s="151">
        <v>1</v>
      </c>
      <c r="I224" s="151">
        <v>1</v>
      </c>
      <c r="J224" s="151"/>
      <c r="K224" s="151"/>
      <c r="L224" s="151">
        <v>1</v>
      </c>
      <c r="M224" s="151"/>
      <c r="N224" s="151">
        <v>1</v>
      </c>
      <c r="O224" s="151"/>
      <c r="P224" s="151">
        <v>1</v>
      </c>
      <c r="Q224" s="151"/>
      <c r="R224" s="151">
        <v>1</v>
      </c>
      <c r="S224" s="151"/>
      <c r="T224" s="151">
        <v>0</v>
      </c>
      <c r="U224" s="151"/>
      <c r="V224" s="151"/>
      <c r="W224" s="151"/>
      <c r="X224" s="137" t="s">
        <v>200</v>
      </c>
      <c r="Y224" s="155" t="str">
        <f>DB!$D$237</f>
        <v>Colored Toner Cartridge Set for the existing ECOSYS M8124CIDN</v>
      </c>
      <c r="Z224" s="163"/>
      <c r="AA224" s="149"/>
      <c r="AB224" s="136"/>
      <c r="AC224" s="139"/>
      <c r="AD224" s="139"/>
      <c r="AE224" s="139"/>
      <c r="AF224" s="139"/>
    </row>
    <row r="225" spans="1:32" ht="12.75">
      <c r="A225" s="154" t="e">
        <f ca="1"/>
        <v>#NAME?</v>
      </c>
      <c r="B225" s="156" t="s">
        <v>634</v>
      </c>
      <c r="C225" s="151">
        <v>3</v>
      </c>
      <c r="D225" s="151" t="s">
        <v>633</v>
      </c>
      <c r="E225" s="153"/>
      <c r="F225" s="153"/>
      <c r="G225" s="154"/>
      <c r="H225" s="151">
        <v>1</v>
      </c>
      <c r="I225" s="151">
        <v>1</v>
      </c>
      <c r="J225" s="151"/>
      <c r="K225" s="151"/>
      <c r="L225" s="151">
        <v>1</v>
      </c>
      <c r="M225" s="151"/>
      <c r="N225" s="151">
        <v>1</v>
      </c>
      <c r="O225" s="151"/>
      <c r="P225" s="151">
        <v>1</v>
      </c>
      <c r="Q225" s="151"/>
      <c r="R225" s="151">
        <v>1</v>
      </c>
      <c r="S225" s="151"/>
      <c r="T225" s="151">
        <v>0</v>
      </c>
      <c r="U225" s="151"/>
      <c r="V225" s="151"/>
      <c r="W225" s="151"/>
      <c r="X225" s="137" t="s">
        <v>200</v>
      </c>
      <c r="Y225" s="155"/>
      <c r="Z225" s="155" t="s">
        <v>453</v>
      </c>
      <c r="AA225" s="149"/>
      <c r="AB225" s="136"/>
      <c r="AC225" s="139"/>
      <c r="AD225" s="139"/>
      <c r="AE225" s="139"/>
      <c r="AF225" s="139"/>
    </row>
    <row r="226" spans="1:32" ht="12.75">
      <c r="A226" s="154" t="e">
        <f ca="1"/>
        <v>#NAME?</v>
      </c>
      <c r="B226" s="156" t="s">
        <v>635</v>
      </c>
      <c r="C226" s="151">
        <v>3</v>
      </c>
      <c r="D226" s="151" t="s">
        <v>633</v>
      </c>
      <c r="E226" s="149"/>
      <c r="F226" s="149"/>
      <c r="G226" s="154"/>
      <c r="H226" s="151">
        <v>1</v>
      </c>
      <c r="I226" s="151">
        <v>1</v>
      </c>
      <c r="J226" s="151"/>
      <c r="K226" s="151"/>
      <c r="L226" s="151">
        <v>1</v>
      </c>
      <c r="M226" s="151"/>
      <c r="N226" s="151">
        <v>1</v>
      </c>
      <c r="O226" s="151"/>
      <c r="P226" s="151">
        <v>1</v>
      </c>
      <c r="Q226" s="151"/>
      <c r="R226" s="151">
        <v>1</v>
      </c>
      <c r="S226" s="151"/>
      <c r="T226" s="151">
        <v>0</v>
      </c>
      <c r="U226" s="151"/>
      <c r="V226" s="151"/>
      <c r="W226" s="151"/>
      <c r="X226" s="137" t="s">
        <v>200</v>
      </c>
      <c r="Y226" s="141"/>
      <c r="Z226" s="155" t="s">
        <v>453</v>
      </c>
      <c r="AA226" s="149"/>
      <c r="AB226" s="136"/>
      <c r="AC226" s="139"/>
      <c r="AD226" s="139"/>
      <c r="AE226" s="139"/>
      <c r="AF226" s="139"/>
    </row>
    <row r="227" spans="1:32" ht="25.5">
      <c r="A227" s="154" t="e">
        <f ca="1"/>
        <v>#NAME?</v>
      </c>
      <c r="B227" s="156" t="s">
        <v>636</v>
      </c>
      <c r="C227" s="151">
        <v>3</v>
      </c>
      <c r="D227" s="151" t="s">
        <v>633</v>
      </c>
      <c r="E227" s="149"/>
      <c r="F227" s="149"/>
      <c r="G227" s="154"/>
      <c r="H227" s="151">
        <v>1</v>
      </c>
      <c r="I227" s="151">
        <v>1</v>
      </c>
      <c r="J227" s="151"/>
      <c r="K227" s="151"/>
      <c r="L227" s="151">
        <v>1</v>
      </c>
      <c r="M227" s="151"/>
      <c r="N227" s="151">
        <v>1</v>
      </c>
      <c r="O227" s="151"/>
      <c r="P227" s="151">
        <v>1</v>
      </c>
      <c r="Q227" s="151"/>
      <c r="R227" s="151">
        <v>1</v>
      </c>
      <c r="S227" s="151"/>
      <c r="T227" s="151">
        <v>0</v>
      </c>
      <c r="U227" s="151"/>
      <c r="V227" s="151"/>
      <c r="W227" s="151"/>
      <c r="X227" s="137" t="s">
        <v>200</v>
      </c>
      <c r="Y227" s="155" t="str">
        <f>DB!$D$262</f>
        <v>Toner Cartridge for the existing ECOSYS M8124CIDN</v>
      </c>
      <c r="Z227" s="163"/>
      <c r="AA227" s="149"/>
      <c r="AB227" s="136"/>
      <c r="AC227" s="139"/>
      <c r="AD227" s="139"/>
      <c r="AE227" s="139"/>
      <c r="AF227" s="139"/>
    </row>
    <row r="228" spans="1:32" ht="12.75">
      <c r="A228" s="154" t="e">
        <f ca="1"/>
        <v>#NAME?</v>
      </c>
      <c r="B228" s="156" t="s">
        <v>637</v>
      </c>
      <c r="C228" s="151">
        <v>20</v>
      </c>
      <c r="D228" s="151" t="s">
        <v>638</v>
      </c>
      <c r="E228" s="153"/>
      <c r="F228" s="153"/>
      <c r="G228" s="154"/>
      <c r="H228" s="151">
        <v>5</v>
      </c>
      <c r="I228" s="151">
        <v>5</v>
      </c>
      <c r="J228" s="151"/>
      <c r="K228" s="151"/>
      <c r="L228" s="151">
        <v>5</v>
      </c>
      <c r="M228" s="151">
        <v>5</v>
      </c>
      <c r="N228" s="151"/>
      <c r="O228" s="151"/>
      <c r="P228" s="151">
        <v>5</v>
      </c>
      <c r="Q228" s="151">
        <v>5</v>
      </c>
      <c r="R228" s="151"/>
      <c r="S228" s="151"/>
      <c r="T228" s="151">
        <v>5</v>
      </c>
      <c r="U228" s="151">
        <v>5</v>
      </c>
      <c r="V228" s="151"/>
      <c r="W228" s="151"/>
      <c r="X228" s="137" t="s">
        <v>200</v>
      </c>
      <c r="Y228" s="155" t="str">
        <f>DB!$D$109</f>
        <v>Epson Genuine Ink (003) Magenta</v>
      </c>
      <c r="Z228" s="154"/>
      <c r="AA228" s="149"/>
      <c r="AB228" s="136"/>
      <c r="AC228" s="139"/>
      <c r="AD228" s="139"/>
      <c r="AE228" s="139"/>
      <c r="AF228" s="139"/>
    </row>
    <row r="229" spans="1:32" ht="12.75">
      <c r="A229" s="154" t="e">
        <f ca="1"/>
        <v>#NAME?</v>
      </c>
      <c r="B229" s="156" t="s">
        <v>639</v>
      </c>
      <c r="C229" s="151">
        <v>20</v>
      </c>
      <c r="D229" s="151" t="s">
        <v>638</v>
      </c>
      <c r="E229" s="153"/>
      <c r="F229" s="153"/>
      <c r="G229" s="154"/>
      <c r="H229" s="151">
        <v>5</v>
      </c>
      <c r="I229" s="151">
        <v>5</v>
      </c>
      <c r="J229" s="151"/>
      <c r="K229" s="151"/>
      <c r="L229" s="151">
        <v>5</v>
      </c>
      <c r="M229" s="151">
        <v>5</v>
      </c>
      <c r="N229" s="151"/>
      <c r="O229" s="151"/>
      <c r="P229" s="151">
        <v>5</v>
      </c>
      <c r="Q229" s="151">
        <v>5</v>
      </c>
      <c r="R229" s="151"/>
      <c r="S229" s="151"/>
      <c r="T229" s="151">
        <v>5</v>
      </c>
      <c r="U229" s="151">
        <v>5</v>
      </c>
      <c r="V229" s="151"/>
      <c r="W229" s="151"/>
      <c r="X229" s="137" t="s">
        <v>200</v>
      </c>
      <c r="Y229" s="155" t="str">
        <f>DB!$D$107</f>
        <v>Epson Genuine Ink (003) Cyan</v>
      </c>
      <c r="Z229" s="154"/>
      <c r="AA229" s="149"/>
      <c r="AB229" s="136"/>
      <c r="AC229" s="139"/>
      <c r="AD229" s="139"/>
      <c r="AE229" s="139"/>
      <c r="AF229" s="139"/>
    </row>
    <row r="230" spans="1:32" ht="12.75">
      <c r="A230" s="154" t="e">
        <f ca="1"/>
        <v>#NAME?</v>
      </c>
      <c r="B230" s="156" t="s">
        <v>640</v>
      </c>
      <c r="C230" s="151">
        <v>20</v>
      </c>
      <c r="D230" s="151" t="s">
        <v>638</v>
      </c>
      <c r="E230" s="153"/>
      <c r="F230" s="153"/>
      <c r="G230" s="154"/>
      <c r="H230" s="151">
        <v>5</v>
      </c>
      <c r="I230" s="151">
        <v>5</v>
      </c>
      <c r="J230" s="151"/>
      <c r="K230" s="151"/>
      <c r="L230" s="151">
        <v>5</v>
      </c>
      <c r="M230" s="151">
        <v>5</v>
      </c>
      <c r="N230" s="151"/>
      <c r="O230" s="151"/>
      <c r="P230" s="151">
        <v>5</v>
      </c>
      <c r="Q230" s="151">
        <v>5</v>
      </c>
      <c r="R230" s="151"/>
      <c r="S230" s="151"/>
      <c r="T230" s="151">
        <v>5</v>
      </c>
      <c r="U230" s="151">
        <v>5</v>
      </c>
      <c r="V230" s="151"/>
      <c r="W230" s="151"/>
      <c r="X230" s="137" t="s">
        <v>200</v>
      </c>
      <c r="Y230" s="155" t="str">
        <f>DB!$D$108</f>
        <v>Epson Genuine Ink (003) Yellow</v>
      </c>
      <c r="Z230" s="154"/>
      <c r="AA230" s="149"/>
      <c r="AB230" s="136"/>
      <c r="AC230" s="139"/>
      <c r="AD230" s="139"/>
      <c r="AE230" s="139"/>
      <c r="AF230" s="139"/>
    </row>
    <row r="231" spans="1:32" ht="12.75">
      <c r="A231" s="154" t="e">
        <f ca="1"/>
        <v>#NAME?</v>
      </c>
      <c r="B231" s="156" t="s">
        <v>641</v>
      </c>
      <c r="C231" s="151">
        <v>30</v>
      </c>
      <c r="D231" s="151" t="s">
        <v>638</v>
      </c>
      <c r="E231" s="153"/>
      <c r="F231" s="153"/>
      <c r="G231" s="154"/>
      <c r="H231" s="151">
        <v>10</v>
      </c>
      <c r="I231" s="151">
        <v>10</v>
      </c>
      <c r="J231" s="151"/>
      <c r="K231" s="151"/>
      <c r="L231" s="151">
        <v>10</v>
      </c>
      <c r="M231" s="151">
        <v>10</v>
      </c>
      <c r="N231" s="151"/>
      <c r="O231" s="151"/>
      <c r="P231" s="151">
        <v>5</v>
      </c>
      <c r="Q231" s="151">
        <v>5</v>
      </c>
      <c r="R231" s="151"/>
      <c r="S231" s="151"/>
      <c r="T231" s="151">
        <v>5</v>
      </c>
      <c r="U231" s="151">
        <v>5</v>
      </c>
      <c r="V231" s="151"/>
      <c r="W231" s="151"/>
      <c r="X231" s="137" t="s">
        <v>200</v>
      </c>
      <c r="Y231" s="155" t="str">
        <f>DB!$D$106</f>
        <v>Epson Genuine Ink (003) Black</v>
      </c>
      <c r="Z231" s="154"/>
      <c r="AA231" s="155"/>
      <c r="AB231" s="136"/>
      <c r="AC231" s="139"/>
      <c r="AD231" s="139"/>
      <c r="AE231" s="139"/>
      <c r="AF231" s="139"/>
    </row>
    <row r="232" spans="1:32" ht="25.5">
      <c r="A232" s="154" t="e">
        <f ca="1"/>
        <v>#NAME?</v>
      </c>
      <c r="B232" s="156" t="s">
        <v>642</v>
      </c>
      <c r="C232" s="151">
        <v>2</v>
      </c>
      <c r="D232" s="151" t="s">
        <v>633</v>
      </c>
      <c r="E232" s="153"/>
      <c r="F232" s="153"/>
      <c r="G232" s="154"/>
      <c r="H232" s="151">
        <v>1</v>
      </c>
      <c r="I232" s="151">
        <v>1</v>
      </c>
      <c r="J232" s="151"/>
      <c r="K232" s="151"/>
      <c r="L232" s="151">
        <v>0</v>
      </c>
      <c r="M232" s="151"/>
      <c r="N232" s="151"/>
      <c r="O232" s="151"/>
      <c r="P232" s="151">
        <v>1</v>
      </c>
      <c r="Q232" s="151">
        <v>1</v>
      </c>
      <c r="R232" s="151"/>
      <c r="S232" s="151"/>
      <c r="T232" s="151">
        <v>0</v>
      </c>
      <c r="U232" s="151"/>
      <c r="V232" s="151"/>
      <c r="W232" s="151"/>
      <c r="X232" s="137" t="s">
        <v>200</v>
      </c>
      <c r="Y232" s="155" t="str">
        <f>DB!$D$239</f>
        <v>Toner Cartridge for the existing ECOSYS P2040DN</v>
      </c>
      <c r="Z232" s="163"/>
      <c r="AA232" s="149"/>
      <c r="AB232" s="136"/>
      <c r="AC232" s="139"/>
      <c r="AD232" s="139"/>
      <c r="AE232" s="139"/>
      <c r="AF232" s="139"/>
    </row>
    <row r="233" spans="1:32" ht="12.75">
      <c r="A233" s="154" t="e">
        <f ca="1"/>
        <v>#NAME?</v>
      </c>
      <c r="B233" s="150" t="s">
        <v>643</v>
      </c>
      <c r="C233" s="151">
        <v>60</v>
      </c>
      <c r="D233" s="151" t="s">
        <v>103</v>
      </c>
      <c r="E233" s="149"/>
      <c r="F233" s="149"/>
      <c r="G233" s="151" t="s">
        <v>342</v>
      </c>
      <c r="H233" s="158">
        <v>15</v>
      </c>
      <c r="I233" s="151">
        <v>5</v>
      </c>
      <c r="J233" s="151">
        <v>5</v>
      </c>
      <c r="K233" s="151">
        <v>5</v>
      </c>
      <c r="L233" s="158">
        <v>15</v>
      </c>
      <c r="M233" s="151">
        <v>5</v>
      </c>
      <c r="N233" s="151">
        <v>5</v>
      </c>
      <c r="O233" s="151">
        <v>5</v>
      </c>
      <c r="P233" s="158">
        <v>15</v>
      </c>
      <c r="Q233" s="151">
        <v>5</v>
      </c>
      <c r="R233" s="151">
        <v>5</v>
      </c>
      <c r="S233" s="151">
        <v>5</v>
      </c>
      <c r="T233" s="158">
        <v>15</v>
      </c>
      <c r="U233" s="151">
        <v>5</v>
      </c>
      <c r="V233" s="151">
        <v>5</v>
      </c>
      <c r="W233" s="151">
        <v>5</v>
      </c>
      <c r="X233" s="137" t="s">
        <v>201</v>
      </c>
      <c r="Y233" s="155" t="str">
        <f>DB!$D$102</f>
        <v>Epson Genuine Ink T6641 Black</v>
      </c>
      <c r="Z233" s="154"/>
      <c r="AA233" s="149"/>
      <c r="AB233" s="136"/>
      <c r="AC233" s="139"/>
      <c r="AD233" s="139"/>
      <c r="AE233" s="139"/>
      <c r="AF233" s="139"/>
    </row>
    <row r="234" spans="1:32" ht="12.75">
      <c r="A234" s="154" t="e">
        <f ca="1"/>
        <v>#NAME?</v>
      </c>
      <c r="B234" s="150" t="s">
        <v>644</v>
      </c>
      <c r="C234" s="151">
        <v>60</v>
      </c>
      <c r="D234" s="151" t="s">
        <v>103</v>
      </c>
      <c r="E234" s="153"/>
      <c r="F234" s="153"/>
      <c r="G234" s="151" t="s">
        <v>342</v>
      </c>
      <c r="H234" s="158">
        <v>15</v>
      </c>
      <c r="I234" s="151">
        <v>5</v>
      </c>
      <c r="J234" s="151">
        <v>5</v>
      </c>
      <c r="K234" s="151">
        <v>5</v>
      </c>
      <c r="L234" s="158">
        <v>15</v>
      </c>
      <c r="M234" s="151">
        <v>5</v>
      </c>
      <c r="N234" s="151">
        <v>5</v>
      </c>
      <c r="O234" s="151">
        <v>5</v>
      </c>
      <c r="P234" s="158">
        <v>15</v>
      </c>
      <c r="Q234" s="151">
        <v>5</v>
      </c>
      <c r="R234" s="151">
        <v>5</v>
      </c>
      <c r="S234" s="151">
        <v>5</v>
      </c>
      <c r="T234" s="158">
        <v>15</v>
      </c>
      <c r="U234" s="151">
        <v>5</v>
      </c>
      <c r="V234" s="151">
        <v>5</v>
      </c>
      <c r="W234" s="151">
        <v>5</v>
      </c>
      <c r="X234" s="137" t="s">
        <v>201</v>
      </c>
      <c r="Y234" s="155" t="str">
        <f>DB!$D$103</f>
        <v>Epson Genuine Ink T6642 Cyan</v>
      </c>
      <c r="Z234" s="154"/>
      <c r="AA234" s="149"/>
      <c r="AB234" s="136"/>
      <c r="AC234" s="139"/>
      <c r="AD234" s="139"/>
      <c r="AE234" s="139"/>
      <c r="AF234" s="139"/>
    </row>
    <row r="235" spans="1:32" ht="12.75">
      <c r="A235" s="154" t="e">
        <f ca="1"/>
        <v>#NAME?</v>
      </c>
      <c r="B235" s="150" t="s">
        <v>645</v>
      </c>
      <c r="C235" s="151">
        <v>60</v>
      </c>
      <c r="D235" s="151" t="s">
        <v>103</v>
      </c>
      <c r="E235" s="149"/>
      <c r="F235" s="157"/>
      <c r="G235" s="151" t="s">
        <v>342</v>
      </c>
      <c r="H235" s="158">
        <v>15</v>
      </c>
      <c r="I235" s="151">
        <v>5</v>
      </c>
      <c r="J235" s="151">
        <v>5</v>
      </c>
      <c r="K235" s="151">
        <v>5</v>
      </c>
      <c r="L235" s="158">
        <v>15</v>
      </c>
      <c r="M235" s="151">
        <v>5</v>
      </c>
      <c r="N235" s="151">
        <v>5</v>
      </c>
      <c r="O235" s="151">
        <v>5</v>
      </c>
      <c r="P235" s="158">
        <v>15</v>
      </c>
      <c r="Q235" s="151">
        <v>5</v>
      </c>
      <c r="R235" s="151">
        <v>5</v>
      </c>
      <c r="S235" s="151">
        <v>5</v>
      </c>
      <c r="T235" s="158">
        <v>15</v>
      </c>
      <c r="U235" s="151">
        <v>5</v>
      </c>
      <c r="V235" s="151">
        <v>5</v>
      </c>
      <c r="W235" s="151">
        <v>5</v>
      </c>
      <c r="X235" s="137" t="s">
        <v>201</v>
      </c>
      <c r="Y235" s="155" t="str">
        <f>DB!$D$104</f>
        <v>Epson Genuine Ink T6643 Magenta</v>
      </c>
      <c r="Z235" s="154"/>
      <c r="AA235" s="149"/>
      <c r="AB235" s="136"/>
      <c r="AC235" s="139"/>
      <c r="AD235" s="139"/>
      <c r="AE235" s="139"/>
      <c r="AF235" s="139"/>
    </row>
    <row r="236" spans="1:32" ht="12.75">
      <c r="A236" s="154" t="e">
        <f ca="1"/>
        <v>#NAME?</v>
      </c>
      <c r="B236" s="150" t="s">
        <v>646</v>
      </c>
      <c r="C236" s="151">
        <v>60</v>
      </c>
      <c r="D236" s="151" t="s">
        <v>103</v>
      </c>
      <c r="E236" s="149"/>
      <c r="F236" s="157"/>
      <c r="G236" s="151" t="s">
        <v>342</v>
      </c>
      <c r="H236" s="158">
        <v>15</v>
      </c>
      <c r="I236" s="151">
        <v>5</v>
      </c>
      <c r="J236" s="151">
        <v>5</v>
      </c>
      <c r="K236" s="151">
        <v>5</v>
      </c>
      <c r="L236" s="158">
        <v>15</v>
      </c>
      <c r="M236" s="151">
        <v>5</v>
      </c>
      <c r="N236" s="151">
        <v>5</v>
      </c>
      <c r="O236" s="151">
        <v>5</v>
      </c>
      <c r="P236" s="158">
        <v>15</v>
      </c>
      <c r="Q236" s="151">
        <v>5</v>
      </c>
      <c r="R236" s="151">
        <v>5</v>
      </c>
      <c r="S236" s="151">
        <v>5</v>
      </c>
      <c r="T236" s="158">
        <v>15</v>
      </c>
      <c r="U236" s="151">
        <v>5</v>
      </c>
      <c r="V236" s="151">
        <v>5</v>
      </c>
      <c r="W236" s="151">
        <v>5</v>
      </c>
      <c r="X236" s="137" t="s">
        <v>201</v>
      </c>
      <c r="Y236" s="155" t="str">
        <f>DB!$D$105</f>
        <v>Epson Genuine Ink T6644 Yellow</v>
      </c>
      <c r="Z236" s="154"/>
      <c r="AA236" s="149"/>
      <c r="AB236" s="136"/>
      <c r="AC236" s="139"/>
      <c r="AD236" s="139"/>
      <c r="AE236" s="139"/>
      <c r="AF236" s="139"/>
    </row>
    <row r="237" spans="1:32" ht="12.75">
      <c r="A237" s="154" t="e">
        <f ca="1"/>
        <v>#NAME?</v>
      </c>
      <c r="B237" s="150" t="s">
        <v>647</v>
      </c>
      <c r="C237" s="151">
        <v>60</v>
      </c>
      <c r="D237" s="151" t="s">
        <v>103</v>
      </c>
      <c r="E237" s="149"/>
      <c r="F237" s="157"/>
      <c r="G237" s="151" t="s">
        <v>342</v>
      </c>
      <c r="H237" s="158">
        <v>15</v>
      </c>
      <c r="I237" s="151">
        <v>5</v>
      </c>
      <c r="J237" s="151">
        <v>5</v>
      </c>
      <c r="K237" s="151">
        <v>5</v>
      </c>
      <c r="L237" s="158">
        <v>15</v>
      </c>
      <c r="M237" s="151">
        <v>5</v>
      </c>
      <c r="N237" s="151">
        <v>5</v>
      </c>
      <c r="O237" s="151">
        <v>5</v>
      </c>
      <c r="P237" s="158">
        <v>15</v>
      </c>
      <c r="Q237" s="151">
        <v>5</v>
      </c>
      <c r="R237" s="151">
        <v>5</v>
      </c>
      <c r="S237" s="151">
        <v>5</v>
      </c>
      <c r="T237" s="158">
        <v>15</v>
      </c>
      <c r="U237" s="151">
        <v>5</v>
      </c>
      <c r="V237" s="151">
        <v>5</v>
      </c>
      <c r="W237" s="151">
        <v>5</v>
      </c>
      <c r="X237" s="137" t="s">
        <v>201</v>
      </c>
      <c r="Y237" s="155" t="str">
        <f>DB!$D$106</f>
        <v>Epson Genuine Ink (003) Black</v>
      </c>
      <c r="Z237" s="154"/>
      <c r="AA237" s="149"/>
      <c r="AB237" s="136"/>
      <c r="AC237" s="139"/>
      <c r="AD237" s="139"/>
      <c r="AE237" s="139"/>
      <c r="AF237" s="139"/>
    </row>
    <row r="238" spans="1:32" ht="12.75">
      <c r="A238" s="154" t="e">
        <f ca="1"/>
        <v>#NAME?</v>
      </c>
      <c r="B238" s="150" t="s">
        <v>648</v>
      </c>
      <c r="C238" s="151">
        <v>60</v>
      </c>
      <c r="D238" s="151" t="s">
        <v>103</v>
      </c>
      <c r="E238" s="149"/>
      <c r="F238" s="157"/>
      <c r="G238" s="151" t="s">
        <v>342</v>
      </c>
      <c r="H238" s="158">
        <v>15</v>
      </c>
      <c r="I238" s="151">
        <v>5</v>
      </c>
      <c r="J238" s="151">
        <v>5</v>
      </c>
      <c r="K238" s="151">
        <v>5</v>
      </c>
      <c r="L238" s="158">
        <v>15</v>
      </c>
      <c r="M238" s="151">
        <v>5</v>
      </c>
      <c r="N238" s="151">
        <v>5</v>
      </c>
      <c r="O238" s="151">
        <v>5</v>
      </c>
      <c r="P238" s="158">
        <v>15</v>
      </c>
      <c r="Q238" s="151">
        <v>5</v>
      </c>
      <c r="R238" s="151">
        <v>5</v>
      </c>
      <c r="S238" s="151">
        <v>5</v>
      </c>
      <c r="T238" s="158">
        <v>15</v>
      </c>
      <c r="U238" s="151">
        <v>5</v>
      </c>
      <c r="V238" s="151">
        <v>5</v>
      </c>
      <c r="W238" s="151">
        <v>5</v>
      </c>
      <c r="X238" s="137" t="s">
        <v>201</v>
      </c>
      <c r="Y238" s="155" t="str">
        <f>DB!$D$107</f>
        <v>Epson Genuine Ink (003) Cyan</v>
      </c>
      <c r="Z238" s="154"/>
      <c r="AA238" s="149"/>
      <c r="AB238" s="136"/>
      <c r="AC238" s="139"/>
      <c r="AD238" s="139"/>
      <c r="AE238" s="139"/>
      <c r="AF238" s="139"/>
    </row>
    <row r="239" spans="1:32" ht="12.75">
      <c r="A239" s="154" t="e">
        <f ca="1"/>
        <v>#NAME?</v>
      </c>
      <c r="B239" s="150" t="s">
        <v>649</v>
      </c>
      <c r="C239" s="151">
        <v>60</v>
      </c>
      <c r="D239" s="151" t="s">
        <v>103</v>
      </c>
      <c r="E239" s="153"/>
      <c r="F239" s="157"/>
      <c r="G239" s="151" t="s">
        <v>342</v>
      </c>
      <c r="H239" s="158">
        <v>15</v>
      </c>
      <c r="I239" s="151">
        <v>5</v>
      </c>
      <c r="J239" s="151">
        <v>5</v>
      </c>
      <c r="K239" s="151">
        <v>5</v>
      </c>
      <c r="L239" s="158">
        <v>15</v>
      </c>
      <c r="M239" s="151">
        <v>5</v>
      </c>
      <c r="N239" s="151">
        <v>5</v>
      </c>
      <c r="O239" s="151">
        <v>5</v>
      </c>
      <c r="P239" s="158">
        <v>15</v>
      </c>
      <c r="Q239" s="151">
        <v>5</v>
      </c>
      <c r="R239" s="151">
        <v>5</v>
      </c>
      <c r="S239" s="151">
        <v>5</v>
      </c>
      <c r="T239" s="158">
        <v>15</v>
      </c>
      <c r="U239" s="151">
        <v>5</v>
      </c>
      <c r="V239" s="151">
        <v>5</v>
      </c>
      <c r="W239" s="151">
        <v>5</v>
      </c>
      <c r="X239" s="137" t="s">
        <v>201</v>
      </c>
      <c r="Y239" s="155" t="str">
        <f>DB!$D$108</f>
        <v>Epson Genuine Ink (003) Yellow</v>
      </c>
      <c r="Z239" s="154"/>
      <c r="AA239" s="149"/>
      <c r="AB239" s="136"/>
      <c r="AC239" s="139"/>
      <c r="AD239" s="139"/>
      <c r="AE239" s="139"/>
      <c r="AF239" s="139"/>
    </row>
    <row r="240" spans="1:32" ht="12.75">
      <c r="A240" s="154" t="e">
        <f ca="1"/>
        <v>#NAME?</v>
      </c>
      <c r="B240" s="150" t="s">
        <v>650</v>
      </c>
      <c r="C240" s="151">
        <v>60</v>
      </c>
      <c r="D240" s="151" t="s">
        <v>103</v>
      </c>
      <c r="E240" s="153"/>
      <c r="F240" s="157"/>
      <c r="G240" s="151" t="s">
        <v>342</v>
      </c>
      <c r="H240" s="158">
        <v>15</v>
      </c>
      <c r="I240" s="151">
        <v>5</v>
      </c>
      <c r="J240" s="151">
        <v>5</v>
      </c>
      <c r="K240" s="151">
        <v>5</v>
      </c>
      <c r="L240" s="158">
        <v>15</v>
      </c>
      <c r="M240" s="151">
        <v>5</v>
      </c>
      <c r="N240" s="151">
        <v>5</v>
      </c>
      <c r="O240" s="151">
        <v>5</v>
      </c>
      <c r="P240" s="158">
        <v>15</v>
      </c>
      <c r="Q240" s="151">
        <v>5</v>
      </c>
      <c r="R240" s="151">
        <v>5</v>
      </c>
      <c r="S240" s="151">
        <v>5</v>
      </c>
      <c r="T240" s="158">
        <v>15</v>
      </c>
      <c r="U240" s="151">
        <v>5</v>
      </c>
      <c r="V240" s="151">
        <v>5</v>
      </c>
      <c r="W240" s="151">
        <v>5</v>
      </c>
      <c r="X240" s="137" t="s">
        <v>201</v>
      </c>
      <c r="Y240" s="155" t="str">
        <f>DB!$D$109</f>
        <v>Epson Genuine Ink (003) Magenta</v>
      </c>
      <c r="Z240" s="154"/>
      <c r="AA240" s="149"/>
      <c r="AB240" s="136"/>
      <c r="AC240" s="139"/>
      <c r="AD240" s="139"/>
      <c r="AE240" s="139"/>
      <c r="AF240" s="139"/>
    </row>
    <row r="241" spans="1:32" ht="25.5">
      <c r="A241" s="154" t="e">
        <f ca="1"/>
        <v>#NAME?</v>
      </c>
      <c r="B241" s="150" t="s">
        <v>651</v>
      </c>
      <c r="C241" s="151">
        <v>4</v>
      </c>
      <c r="D241" s="151" t="s">
        <v>103</v>
      </c>
      <c r="E241" s="153"/>
      <c r="F241" s="153"/>
      <c r="G241" s="151" t="s">
        <v>342</v>
      </c>
      <c r="H241" s="158">
        <v>1</v>
      </c>
      <c r="I241" s="151">
        <v>1</v>
      </c>
      <c r="J241" s="151">
        <v>0</v>
      </c>
      <c r="K241" s="151">
        <v>0</v>
      </c>
      <c r="L241" s="158">
        <v>1</v>
      </c>
      <c r="M241" s="151">
        <v>1</v>
      </c>
      <c r="N241" s="151">
        <v>0</v>
      </c>
      <c r="O241" s="151">
        <v>0</v>
      </c>
      <c r="P241" s="158">
        <v>1</v>
      </c>
      <c r="Q241" s="151">
        <v>1</v>
      </c>
      <c r="R241" s="151">
        <v>0</v>
      </c>
      <c r="S241" s="151">
        <v>0</v>
      </c>
      <c r="T241" s="158">
        <v>1</v>
      </c>
      <c r="U241" s="151">
        <v>1</v>
      </c>
      <c r="V241" s="151">
        <v>0</v>
      </c>
      <c r="W241" s="151">
        <v>0</v>
      </c>
      <c r="X241" s="137" t="s">
        <v>201</v>
      </c>
      <c r="Y241" s="155" t="str">
        <f>DB!$D$247</f>
        <v>Toner Cartridge for the existing TASKALFA 3212I</v>
      </c>
      <c r="Z241" s="163"/>
      <c r="AA241" s="149"/>
      <c r="AB241" s="136"/>
      <c r="AC241" s="139"/>
      <c r="AD241" s="139"/>
      <c r="AE241" s="139"/>
      <c r="AF241" s="139"/>
    </row>
    <row r="242" spans="1:32" ht="12.75">
      <c r="A242" s="154" t="e">
        <f ca="1"/>
        <v>#NAME?</v>
      </c>
      <c r="B242" s="156" t="s">
        <v>652</v>
      </c>
      <c r="C242" s="158">
        <v>2</v>
      </c>
      <c r="D242" s="152" t="s">
        <v>92</v>
      </c>
      <c r="E242" s="153"/>
      <c r="F242" s="153"/>
      <c r="G242" s="151" t="s">
        <v>342</v>
      </c>
      <c r="H242" s="158">
        <v>2</v>
      </c>
      <c r="I242" s="151">
        <v>2</v>
      </c>
      <c r="J242" s="151">
        <v>0</v>
      </c>
      <c r="K242" s="151">
        <v>0</v>
      </c>
      <c r="L242" s="158">
        <v>0</v>
      </c>
      <c r="M242" s="151">
        <v>0</v>
      </c>
      <c r="N242" s="151">
        <v>0</v>
      </c>
      <c r="O242" s="151">
        <v>0</v>
      </c>
      <c r="P242" s="158">
        <v>0</v>
      </c>
      <c r="Q242" s="151">
        <v>0</v>
      </c>
      <c r="R242" s="151">
        <v>0</v>
      </c>
      <c r="S242" s="151">
        <v>0</v>
      </c>
      <c r="T242" s="158">
        <v>0</v>
      </c>
      <c r="U242" s="151">
        <v>0</v>
      </c>
      <c r="V242" s="151">
        <v>0</v>
      </c>
      <c r="W242" s="151">
        <v>0</v>
      </c>
      <c r="X242" s="137" t="s">
        <v>110</v>
      </c>
      <c r="Y242" s="155" t="str">
        <f>DB!$D$269</f>
        <v>Cellphone (Android)</v>
      </c>
      <c r="Z242" s="154"/>
      <c r="AA242" s="149"/>
      <c r="AB242" s="136"/>
      <c r="AC242" s="139"/>
      <c r="AD242" s="139"/>
      <c r="AE242" s="139"/>
      <c r="AF242" s="139"/>
    </row>
    <row r="243" spans="1:32" ht="25.5">
      <c r="A243" s="154" t="e">
        <f ca="1"/>
        <v>#NAME?</v>
      </c>
      <c r="B243" s="156" t="s">
        <v>653</v>
      </c>
      <c r="C243" s="158">
        <v>1</v>
      </c>
      <c r="D243" s="152" t="s">
        <v>92</v>
      </c>
      <c r="E243" s="153"/>
      <c r="F243" s="153"/>
      <c r="G243" s="151" t="s">
        <v>342</v>
      </c>
      <c r="H243" s="158">
        <v>1</v>
      </c>
      <c r="I243" s="151">
        <v>1</v>
      </c>
      <c r="J243" s="151">
        <v>0</v>
      </c>
      <c r="K243" s="151">
        <v>0</v>
      </c>
      <c r="L243" s="158">
        <v>0</v>
      </c>
      <c r="M243" s="151">
        <v>0</v>
      </c>
      <c r="N243" s="151">
        <v>0</v>
      </c>
      <c r="O243" s="151">
        <v>0</v>
      </c>
      <c r="P243" s="158">
        <v>0</v>
      </c>
      <c r="Q243" s="151">
        <v>0</v>
      </c>
      <c r="R243" s="151">
        <v>0</v>
      </c>
      <c r="S243" s="151">
        <v>0</v>
      </c>
      <c r="T243" s="158">
        <v>0</v>
      </c>
      <c r="U243" s="151">
        <v>0</v>
      </c>
      <c r="V243" s="151">
        <v>0</v>
      </c>
      <c r="W243" s="151">
        <v>0</v>
      </c>
      <c r="X243" s="137" t="s">
        <v>110</v>
      </c>
      <c r="Y243" s="163" t="str">
        <f>DB!$D$164</f>
        <v>Black &amp; White Monochrome MULTI-FUNCTIONAL MACHINE</v>
      </c>
      <c r="Z243" s="154"/>
      <c r="AA243" s="149"/>
      <c r="AB243" s="136"/>
      <c r="AC243" s="139"/>
      <c r="AD243" s="139"/>
      <c r="AE243" s="139"/>
      <c r="AF243" s="139"/>
    </row>
    <row r="244" spans="1:32" ht="12.75">
      <c r="A244" s="154" t="e">
        <f ca="1"/>
        <v>#NAME?</v>
      </c>
      <c r="B244" s="156" t="s">
        <v>654</v>
      </c>
      <c r="C244" s="158">
        <v>9</v>
      </c>
      <c r="D244" s="152" t="s">
        <v>92</v>
      </c>
      <c r="E244" s="153"/>
      <c r="F244" s="153"/>
      <c r="G244" s="151" t="s">
        <v>342</v>
      </c>
      <c r="H244" s="151">
        <v>6</v>
      </c>
      <c r="I244" s="151">
        <v>6</v>
      </c>
      <c r="J244" s="151">
        <v>0</v>
      </c>
      <c r="K244" s="151">
        <v>0</v>
      </c>
      <c r="L244" s="151">
        <v>0</v>
      </c>
      <c r="M244" s="151">
        <v>0</v>
      </c>
      <c r="N244" s="151">
        <v>0</v>
      </c>
      <c r="O244" s="151">
        <v>0</v>
      </c>
      <c r="P244" s="151">
        <v>3</v>
      </c>
      <c r="Q244" s="151">
        <v>3</v>
      </c>
      <c r="R244" s="151">
        <v>0</v>
      </c>
      <c r="S244" s="151">
        <v>0</v>
      </c>
      <c r="T244" s="151">
        <v>0</v>
      </c>
      <c r="U244" s="151">
        <v>0</v>
      </c>
      <c r="V244" s="151">
        <v>0</v>
      </c>
      <c r="W244" s="151">
        <v>0</v>
      </c>
      <c r="X244" s="137" t="s">
        <v>110</v>
      </c>
      <c r="Y244" s="141" t="str">
        <f>DB!$D$194</f>
        <v>Branded Desktop Computer Set</v>
      </c>
      <c r="Z244" s="154"/>
      <c r="AA244" s="149"/>
      <c r="AB244" s="136"/>
      <c r="AC244" s="139"/>
      <c r="AD244" s="139"/>
      <c r="AE244" s="139"/>
      <c r="AF244" s="139"/>
    </row>
    <row r="245" spans="1:32" ht="25.5">
      <c r="A245" s="154" t="e">
        <f ca="1"/>
        <v>#NAME?</v>
      </c>
      <c r="B245" s="156" t="s">
        <v>655</v>
      </c>
      <c r="C245" s="158">
        <v>1</v>
      </c>
      <c r="D245" s="152" t="s">
        <v>92</v>
      </c>
      <c r="E245" s="149"/>
      <c r="F245" s="153"/>
      <c r="G245" s="151" t="s">
        <v>342</v>
      </c>
      <c r="H245" s="151">
        <v>1</v>
      </c>
      <c r="I245" s="151">
        <v>1</v>
      </c>
      <c r="J245" s="151">
        <v>0</v>
      </c>
      <c r="K245" s="151">
        <v>0</v>
      </c>
      <c r="L245" s="151">
        <v>0</v>
      </c>
      <c r="M245" s="151">
        <v>0</v>
      </c>
      <c r="N245" s="151">
        <v>0</v>
      </c>
      <c r="O245" s="151">
        <v>0</v>
      </c>
      <c r="P245" s="151">
        <v>0</v>
      </c>
      <c r="Q245" s="151">
        <v>0</v>
      </c>
      <c r="R245" s="151">
        <v>0</v>
      </c>
      <c r="S245" s="151">
        <v>0</v>
      </c>
      <c r="T245" s="151">
        <v>0</v>
      </c>
      <c r="U245" s="151">
        <v>0</v>
      </c>
      <c r="V245" s="151">
        <v>0</v>
      </c>
      <c r="W245" s="151">
        <v>0</v>
      </c>
      <c r="X245" s="137" t="s">
        <v>110</v>
      </c>
      <c r="Y245" s="141" t="str">
        <f>DB!$D$87</f>
        <v>Stereo Digital Voice Recorder with Built-in USB</v>
      </c>
      <c r="Z245" s="152"/>
      <c r="AA245" s="149"/>
      <c r="AB245" s="136"/>
      <c r="AC245" s="139"/>
      <c r="AD245" s="139"/>
      <c r="AE245" s="139"/>
      <c r="AF245" s="139"/>
    </row>
    <row r="246" spans="1:32" ht="12.75">
      <c r="A246" s="154" t="e">
        <f ca="1"/>
        <v>#NAME?</v>
      </c>
      <c r="B246" s="156" t="s">
        <v>656</v>
      </c>
      <c r="C246" s="158">
        <v>5</v>
      </c>
      <c r="D246" s="152" t="s">
        <v>657</v>
      </c>
      <c r="E246" s="149"/>
      <c r="F246" s="149"/>
      <c r="G246" s="151" t="s">
        <v>342</v>
      </c>
      <c r="H246" s="158">
        <v>5</v>
      </c>
      <c r="I246" s="158">
        <v>5</v>
      </c>
      <c r="J246" s="158">
        <v>0</v>
      </c>
      <c r="K246" s="158">
        <v>0</v>
      </c>
      <c r="L246" s="158">
        <v>0</v>
      </c>
      <c r="M246" s="158">
        <v>0</v>
      </c>
      <c r="N246" s="158">
        <v>0</v>
      </c>
      <c r="O246" s="158">
        <v>0</v>
      </c>
      <c r="P246" s="158">
        <v>0</v>
      </c>
      <c r="Q246" s="158">
        <v>0</v>
      </c>
      <c r="R246" s="158">
        <v>0</v>
      </c>
      <c r="S246" s="158">
        <v>0</v>
      </c>
      <c r="T246" s="158">
        <v>0</v>
      </c>
      <c r="U246" s="158">
        <v>0</v>
      </c>
      <c r="V246" s="158">
        <v>0</v>
      </c>
      <c r="W246" s="158">
        <v>0</v>
      </c>
      <c r="X246" s="137" t="s">
        <v>110</v>
      </c>
      <c r="Y246" s="155"/>
      <c r="Z246" s="155" t="s">
        <v>457</v>
      </c>
      <c r="AA246" s="149"/>
      <c r="AB246" s="136"/>
      <c r="AC246" s="139"/>
      <c r="AD246" s="139"/>
      <c r="AE246" s="139"/>
      <c r="AF246" s="139"/>
    </row>
    <row r="247" spans="1:32" ht="12.75">
      <c r="A247" s="154" t="e">
        <f ca="1"/>
        <v>#NAME?</v>
      </c>
      <c r="B247" s="156" t="s">
        <v>658</v>
      </c>
      <c r="C247" s="158">
        <v>5</v>
      </c>
      <c r="D247" s="152" t="s">
        <v>601</v>
      </c>
      <c r="E247" s="149"/>
      <c r="F247" s="149"/>
      <c r="G247" s="151" t="s">
        <v>342</v>
      </c>
      <c r="H247" s="158">
        <v>5</v>
      </c>
      <c r="I247" s="158">
        <v>5</v>
      </c>
      <c r="J247" s="158">
        <v>0</v>
      </c>
      <c r="K247" s="158">
        <v>0</v>
      </c>
      <c r="L247" s="158">
        <v>0</v>
      </c>
      <c r="M247" s="158">
        <v>0</v>
      </c>
      <c r="N247" s="158">
        <v>0</v>
      </c>
      <c r="O247" s="158">
        <v>0</v>
      </c>
      <c r="P247" s="158">
        <v>0</v>
      </c>
      <c r="Q247" s="158">
        <v>0</v>
      </c>
      <c r="R247" s="158">
        <v>0</v>
      </c>
      <c r="S247" s="158">
        <v>0</v>
      </c>
      <c r="T247" s="158">
        <v>0</v>
      </c>
      <c r="U247" s="158">
        <v>0</v>
      </c>
      <c r="V247" s="158">
        <v>0</v>
      </c>
      <c r="W247" s="158">
        <v>0</v>
      </c>
      <c r="X247" s="137" t="s">
        <v>110</v>
      </c>
      <c r="Y247" s="141" t="str">
        <f>DB!$D$78</f>
        <v>16GB Flash Drive</v>
      </c>
      <c r="Z247" s="152"/>
      <c r="AA247" s="149"/>
      <c r="AB247" s="136"/>
      <c r="AC247" s="139"/>
      <c r="AD247" s="139"/>
      <c r="AE247" s="139"/>
      <c r="AF247" s="139"/>
    </row>
    <row r="248" spans="1:32" ht="12.75">
      <c r="A248" s="154" t="e">
        <f ca="1"/>
        <v>#NAME?</v>
      </c>
      <c r="B248" s="156" t="s">
        <v>659</v>
      </c>
      <c r="C248" s="158">
        <v>36</v>
      </c>
      <c r="D248" s="152" t="s">
        <v>486</v>
      </c>
      <c r="E248" s="149"/>
      <c r="F248" s="149"/>
      <c r="G248" s="151" t="s">
        <v>342</v>
      </c>
      <c r="H248" s="158">
        <v>9</v>
      </c>
      <c r="I248" s="158">
        <v>3</v>
      </c>
      <c r="J248" s="158">
        <v>3</v>
      </c>
      <c r="K248" s="158">
        <v>3</v>
      </c>
      <c r="L248" s="158">
        <v>9</v>
      </c>
      <c r="M248" s="158">
        <v>3</v>
      </c>
      <c r="N248" s="158">
        <v>3</v>
      </c>
      <c r="O248" s="158">
        <v>3</v>
      </c>
      <c r="P248" s="158">
        <v>9</v>
      </c>
      <c r="Q248" s="158">
        <v>3</v>
      </c>
      <c r="R248" s="158">
        <v>3</v>
      </c>
      <c r="S248" s="158">
        <v>3</v>
      </c>
      <c r="T248" s="158">
        <v>9</v>
      </c>
      <c r="U248" s="158">
        <v>3</v>
      </c>
      <c r="V248" s="158">
        <v>3</v>
      </c>
      <c r="W248" s="158">
        <v>3</v>
      </c>
      <c r="X248" s="137" t="s">
        <v>110</v>
      </c>
      <c r="Y248" s="155" t="str">
        <f>DB!$D$102</f>
        <v>Epson Genuine Ink T6641 Black</v>
      </c>
      <c r="Z248" s="152"/>
      <c r="AA248" s="149"/>
      <c r="AB248" s="136"/>
      <c r="AC248" s="139"/>
      <c r="AD248" s="139"/>
      <c r="AE248" s="139"/>
      <c r="AF248" s="139"/>
    </row>
    <row r="249" spans="1:32" ht="12.75">
      <c r="A249" s="154" t="e">
        <f ca="1"/>
        <v>#NAME?</v>
      </c>
      <c r="B249" s="156" t="s">
        <v>660</v>
      </c>
      <c r="C249" s="158">
        <v>36</v>
      </c>
      <c r="D249" s="152" t="s">
        <v>486</v>
      </c>
      <c r="E249" s="149"/>
      <c r="F249" s="149"/>
      <c r="G249" s="151" t="s">
        <v>342</v>
      </c>
      <c r="H249" s="158">
        <v>9</v>
      </c>
      <c r="I249" s="158">
        <v>3</v>
      </c>
      <c r="J249" s="158">
        <v>3</v>
      </c>
      <c r="K249" s="158">
        <v>3</v>
      </c>
      <c r="L249" s="158">
        <v>9</v>
      </c>
      <c r="M249" s="158">
        <v>3</v>
      </c>
      <c r="N249" s="158">
        <v>3</v>
      </c>
      <c r="O249" s="158">
        <v>3</v>
      </c>
      <c r="P249" s="158">
        <v>9</v>
      </c>
      <c r="Q249" s="158">
        <v>3</v>
      </c>
      <c r="R249" s="158">
        <v>3</v>
      </c>
      <c r="S249" s="158">
        <v>3</v>
      </c>
      <c r="T249" s="158">
        <v>9</v>
      </c>
      <c r="U249" s="158">
        <v>3</v>
      </c>
      <c r="V249" s="158">
        <v>3</v>
      </c>
      <c r="W249" s="158">
        <v>3</v>
      </c>
      <c r="X249" s="137" t="s">
        <v>110</v>
      </c>
      <c r="Y249" s="155" t="str">
        <f>DB!$D$103</f>
        <v>Epson Genuine Ink T6642 Cyan</v>
      </c>
      <c r="Z249" s="152"/>
      <c r="AA249" s="149"/>
      <c r="AB249" s="136"/>
      <c r="AC249" s="139"/>
      <c r="AD249" s="139"/>
      <c r="AE249" s="139"/>
      <c r="AF249" s="139"/>
    </row>
    <row r="250" spans="1:32" ht="12.75">
      <c r="A250" s="154" t="e">
        <f ca="1"/>
        <v>#NAME?</v>
      </c>
      <c r="B250" s="156" t="s">
        <v>661</v>
      </c>
      <c r="C250" s="158">
        <v>36</v>
      </c>
      <c r="D250" s="152" t="s">
        <v>486</v>
      </c>
      <c r="E250" s="149"/>
      <c r="F250" s="149"/>
      <c r="G250" s="151" t="s">
        <v>342</v>
      </c>
      <c r="H250" s="158">
        <v>9</v>
      </c>
      <c r="I250" s="158">
        <v>3</v>
      </c>
      <c r="J250" s="158">
        <v>3</v>
      </c>
      <c r="K250" s="158">
        <v>3</v>
      </c>
      <c r="L250" s="158">
        <v>9</v>
      </c>
      <c r="M250" s="158">
        <v>3</v>
      </c>
      <c r="N250" s="158">
        <v>3</v>
      </c>
      <c r="O250" s="158">
        <v>3</v>
      </c>
      <c r="P250" s="158">
        <v>9</v>
      </c>
      <c r="Q250" s="158">
        <v>3</v>
      </c>
      <c r="R250" s="158">
        <v>3</v>
      </c>
      <c r="S250" s="158">
        <v>3</v>
      </c>
      <c r="T250" s="158">
        <v>9</v>
      </c>
      <c r="U250" s="158">
        <v>3</v>
      </c>
      <c r="V250" s="158">
        <v>3</v>
      </c>
      <c r="W250" s="158">
        <v>3</v>
      </c>
      <c r="X250" s="137" t="s">
        <v>110</v>
      </c>
      <c r="Y250" s="155" t="str">
        <f>DB!$D$104</f>
        <v>Epson Genuine Ink T6643 Magenta</v>
      </c>
      <c r="Z250" s="152"/>
      <c r="AA250" s="149"/>
      <c r="AB250" s="136"/>
      <c r="AC250" s="139"/>
      <c r="AD250" s="139"/>
      <c r="AE250" s="139"/>
      <c r="AF250" s="139"/>
    </row>
    <row r="251" spans="1:32" ht="12.75">
      <c r="A251" s="154" t="e">
        <f ca="1"/>
        <v>#NAME?</v>
      </c>
      <c r="B251" s="156" t="s">
        <v>662</v>
      </c>
      <c r="C251" s="158">
        <v>36</v>
      </c>
      <c r="D251" s="152" t="s">
        <v>486</v>
      </c>
      <c r="E251" s="149"/>
      <c r="F251" s="149"/>
      <c r="G251" s="151" t="s">
        <v>342</v>
      </c>
      <c r="H251" s="158">
        <v>9</v>
      </c>
      <c r="I251" s="158">
        <v>3</v>
      </c>
      <c r="J251" s="158">
        <v>3</v>
      </c>
      <c r="K251" s="158">
        <v>3</v>
      </c>
      <c r="L251" s="158">
        <v>9</v>
      </c>
      <c r="M251" s="158">
        <v>3</v>
      </c>
      <c r="N251" s="158">
        <v>3</v>
      </c>
      <c r="O251" s="158">
        <v>3</v>
      </c>
      <c r="P251" s="158">
        <v>9</v>
      </c>
      <c r="Q251" s="158">
        <v>3</v>
      </c>
      <c r="R251" s="158">
        <v>3</v>
      </c>
      <c r="S251" s="158">
        <v>3</v>
      </c>
      <c r="T251" s="158">
        <v>9</v>
      </c>
      <c r="U251" s="158">
        <v>3</v>
      </c>
      <c r="V251" s="158">
        <v>3</v>
      </c>
      <c r="W251" s="158">
        <v>3</v>
      </c>
      <c r="X251" s="137" t="s">
        <v>110</v>
      </c>
      <c r="Y251" s="155" t="str">
        <f>DB!$D$105</f>
        <v>Epson Genuine Ink T6644 Yellow</v>
      </c>
      <c r="Z251" s="152"/>
      <c r="AA251" s="149"/>
      <c r="AB251" s="136"/>
      <c r="AC251" s="139"/>
      <c r="AD251" s="139"/>
      <c r="AE251" s="139"/>
      <c r="AF251" s="139"/>
    </row>
    <row r="252" spans="1:32" ht="12.75">
      <c r="A252" s="154" t="e">
        <f ca="1"/>
        <v>#NAME?</v>
      </c>
      <c r="B252" s="156" t="s">
        <v>663</v>
      </c>
      <c r="C252" s="158">
        <v>36</v>
      </c>
      <c r="D252" s="152" t="s">
        <v>486</v>
      </c>
      <c r="E252" s="149"/>
      <c r="F252" s="153"/>
      <c r="G252" s="151" t="s">
        <v>342</v>
      </c>
      <c r="H252" s="158">
        <v>9</v>
      </c>
      <c r="I252" s="158">
        <v>3</v>
      </c>
      <c r="J252" s="158">
        <v>3</v>
      </c>
      <c r="K252" s="158">
        <v>3</v>
      </c>
      <c r="L252" s="158">
        <v>9</v>
      </c>
      <c r="M252" s="158">
        <v>3</v>
      </c>
      <c r="N252" s="158">
        <v>3</v>
      </c>
      <c r="O252" s="158">
        <v>3</v>
      </c>
      <c r="P252" s="158">
        <v>9</v>
      </c>
      <c r="Q252" s="158">
        <v>3</v>
      </c>
      <c r="R252" s="158">
        <v>3</v>
      </c>
      <c r="S252" s="158">
        <v>3</v>
      </c>
      <c r="T252" s="158">
        <v>9</v>
      </c>
      <c r="U252" s="158">
        <v>3</v>
      </c>
      <c r="V252" s="158">
        <v>3</v>
      </c>
      <c r="W252" s="158">
        <v>3</v>
      </c>
      <c r="X252" s="137" t="s">
        <v>110</v>
      </c>
      <c r="Y252" s="155" t="str">
        <f>DB!$D$106</f>
        <v>Epson Genuine Ink (003) Black</v>
      </c>
      <c r="Z252" s="152"/>
      <c r="AA252" s="149"/>
      <c r="AB252" s="136"/>
      <c r="AC252" s="139"/>
      <c r="AD252" s="139"/>
      <c r="AE252" s="139"/>
      <c r="AF252" s="139"/>
    </row>
    <row r="253" spans="1:32" ht="12.75">
      <c r="A253" s="154" t="e">
        <f ca="1"/>
        <v>#NAME?</v>
      </c>
      <c r="B253" s="156" t="s">
        <v>664</v>
      </c>
      <c r="C253" s="158">
        <v>36</v>
      </c>
      <c r="D253" s="152" t="s">
        <v>486</v>
      </c>
      <c r="E253" s="157"/>
      <c r="F253" s="157"/>
      <c r="G253" s="151" t="s">
        <v>342</v>
      </c>
      <c r="H253" s="158">
        <v>9</v>
      </c>
      <c r="I253" s="158">
        <v>3</v>
      </c>
      <c r="J253" s="158">
        <v>3</v>
      </c>
      <c r="K253" s="158">
        <v>3</v>
      </c>
      <c r="L253" s="158">
        <v>9</v>
      </c>
      <c r="M253" s="158">
        <v>3</v>
      </c>
      <c r="N253" s="158">
        <v>3</v>
      </c>
      <c r="O253" s="158">
        <v>3</v>
      </c>
      <c r="P253" s="158">
        <v>9</v>
      </c>
      <c r="Q253" s="158">
        <v>3</v>
      </c>
      <c r="R253" s="158">
        <v>3</v>
      </c>
      <c r="S253" s="158">
        <v>3</v>
      </c>
      <c r="T253" s="158">
        <v>9</v>
      </c>
      <c r="U253" s="158">
        <v>3</v>
      </c>
      <c r="V253" s="158">
        <v>3</v>
      </c>
      <c r="W253" s="158">
        <v>3</v>
      </c>
      <c r="X253" s="137" t="s">
        <v>110</v>
      </c>
      <c r="Y253" s="155" t="str">
        <f>DB!$D$107</f>
        <v>Epson Genuine Ink (003) Cyan</v>
      </c>
      <c r="Z253" s="154"/>
      <c r="AA253" s="149"/>
      <c r="AB253" s="136"/>
      <c r="AC253" s="139"/>
      <c r="AD253" s="139"/>
      <c r="AE253" s="139"/>
      <c r="AF253" s="139"/>
    </row>
    <row r="254" spans="1:32" ht="12.75">
      <c r="A254" s="154" t="e">
        <f ca="1"/>
        <v>#NAME?</v>
      </c>
      <c r="B254" s="156" t="s">
        <v>665</v>
      </c>
      <c r="C254" s="158">
        <v>36</v>
      </c>
      <c r="D254" s="152" t="s">
        <v>486</v>
      </c>
      <c r="E254" s="157"/>
      <c r="F254" s="157"/>
      <c r="G254" s="151" t="s">
        <v>342</v>
      </c>
      <c r="H254" s="158">
        <v>9</v>
      </c>
      <c r="I254" s="158">
        <v>3</v>
      </c>
      <c r="J254" s="158">
        <v>3</v>
      </c>
      <c r="K254" s="158">
        <v>3</v>
      </c>
      <c r="L254" s="158">
        <v>9</v>
      </c>
      <c r="M254" s="158">
        <v>3</v>
      </c>
      <c r="N254" s="158">
        <v>3</v>
      </c>
      <c r="O254" s="158">
        <v>3</v>
      </c>
      <c r="P254" s="158">
        <v>9</v>
      </c>
      <c r="Q254" s="158">
        <v>3</v>
      </c>
      <c r="R254" s="158">
        <v>3</v>
      </c>
      <c r="S254" s="158">
        <v>3</v>
      </c>
      <c r="T254" s="158">
        <v>9</v>
      </c>
      <c r="U254" s="158">
        <v>3</v>
      </c>
      <c r="V254" s="158">
        <v>3</v>
      </c>
      <c r="W254" s="158">
        <v>3</v>
      </c>
      <c r="X254" s="137" t="s">
        <v>110</v>
      </c>
      <c r="Y254" s="155" t="str">
        <f>DB!$D$108</f>
        <v>Epson Genuine Ink (003) Yellow</v>
      </c>
      <c r="Z254" s="154"/>
      <c r="AA254" s="149"/>
      <c r="AB254" s="136"/>
      <c r="AC254" s="139"/>
      <c r="AD254" s="139"/>
      <c r="AE254" s="139"/>
      <c r="AF254" s="139"/>
    </row>
    <row r="255" spans="1:32" ht="12.75">
      <c r="A255" s="154" t="e">
        <f ca="1"/>
        <v>#NAME?</v>
      </c>
      <c r="B255" s="156" t="s">
        <v>666</v>
      </c>
      <c r="C255" s="158">
        <v>36</v>
      </c>
      <c r="D255" s="152" t="s">
        <v>486</v>
      </c>
      <c r="E255" s="157"/>
      <c r="F255" s="157"/>
      <c r="G255" s="151" t="s">
        <v>342</v>
      </c>
      <c r="H255" s="158">
        <v>9</v>
      </c>
      <c r="I255" s="158">
        <v>3</v>
      </c>
      <c r="J255" s="158">
        <v>3</v>
      </c>
      <c r="K255" s="158">
        <v>3</v>
      </c>
      <c r="L255" s="158">
        <v>9</v>
      </c>
      <c r="M255" s="158">
        <v>3</v>
      </c>
      <c r="N255" s="158">
        <v>3</v>
      </c>
      <c r="O255" s="158">
        <v>3</v>
      </c>
      <c r="P255" s="158">
        <v>9</v>
      </c>
      <c r="Q255" s="158">
        <v>3</v>
      </c>
      <c r="R255" s="158">
        <v>3</v>
      </c>
      <c r="S255" s="158">
        <v>3</v>
      </c>
      <c r="T255" s="158">
        <v>9</v>
      </c>
      <c r="U255" s="158">
        <v>3</v>
      </c>
      <c r="V255" s="158">
        <v>3</v>
      </c>
      <c r="W255" s="158">
        <v>3</v>
      </c>
      <c r="X255" s="137" t="s">
        <v>110</v>
      </c>
      <c r="Y255" s="155" t="str">
        <f>DB!$D$109</f>
        <v>Epson Genuine Ink (003) Magenta</v>
      </c>
      <c r="Z255" s="154"/>
      <c r="AA255" s="149"/>
      <c r="AB255" s="136"/>
      <c r="AC255" s="139"/>
      <c r="AD255" s="139"/>
      <c r="AE255" s="139"/>
      <c r="AF255" s="139"/>
    </row>
    <row r="256" spans="1:32" ht="12.75">
      <c r="A256" s="154" t="e">
        <f ca="1"/>
        <v>#NAME?</v>
      </c>
      <c r="B256" s="156" t="s">
        <v>667</v>
      </c>
      <c r="C256" s="158">
        <v>10</v>
      </c>
      <c r="D256" s="151" t="s">
        <v>103</v>
      </c>
      <c r="E256" s="149"/>
      <c r="F256" s="157"/>
      <c r="G256" s="151" t="s">
        <v>342</v>
      </c>
      <c r="H256" s="151">
        <v>10</v>
      </c>
      <c r="I256" s="151">
        <v>10</v>
      </c>
      <c r="J256" s="151">
        <v>0</v>
      </c>
      <c r="K256" s="151">
        <v>0</v>
      </c>
      <c r="L256" s="151">
        <v>0</v>
      </c>
      <c r="M256" s="151">
        <v>0</v>
      </c>
      <c r="N256" s="151">
        <v>0</v>
      </c>
      <c r="O256" s="151">
        <v>0</v>
      </c>
      <c r="P256" s="151">
        <v>0</v>
      </c>
      <c r="Q256" s="151">
        <v>0</v>
      </c>
      <c r="R256" s="151">
        <v>0</v>
      </c>
      <c r="S256" s="151">
        <v>0</v>
      </c>
      <c r="T256" s="151">
        <v>0</v>
      </c>
      <c r="U256" s="151">
        <v>0</v>
      </c>
      <c r="V256" s="151">
        <v>0</v>
      </c>
      <c r="W256" s="151">
        <v>0</v>
      </c>
      <c r="X256" s="137" t="s">
        <v>110</v>
      </c>
      <c r="Y256" s="141" t="str">
        <f>DB!$D$168</f>
        <v>Keyboard, Full Size, USB 2.0</v>
      </c>
      <c r="Z256" s="154"/>
      <c r="AA256" s="149"/>
      <c r="AB256" s="136"/>
      <c r="AC256" s="139"/>
      <c r="AD256" s="139"/>
      <c r="AE256" s="139"/>
      <c r="AF256" s="139"/>
    </row>
    <row r="257" spans="1:32" ht="12.75">
      <c r="A257" s="154" t="e">
        <f ca="1"/>
        <v>#NAME?</v>
      </c>
      <c r="B257" s="156" t="s">
        <v>668</v>
      </c>
      <c r="C257" s="158">
        <v>1</v>
      </c>
      <c r="D257" s="152" t="s">
        <v>466</v>
      </c>
      <c r="E257" s="149"/>
      <c r="F257" s="157"/>
      <c r="G257" s="151" t="s">
        <v>342</v>
      </c>
      <c r="H257" s="151">
        <v>1</v>
      </c>
      <c r="I257" s="151">
        <v>1</v>
      </c>
      <c r="J257" s="151">
        <v>0</v>
      </c>
      <c r="K257" s="151">
        <v>0</v>
      </c>
      <c r="L257" s="151">
        <v>0</v>
      </c>
      <c r="M257" s="151">
        <v>0</v>
      </c>
      <c r="N257" s="151">
        <v>0</v>
      </c>
      <c r="O257" s="151">
        <v>0</v>
      </c>
      <c r="P257" s="151">
        <v>0</v>
      </c>
      <c r="Q257" s="151">
        <v>0</v>
      </c>
      <c r="R257" s="151">
        <v>0</v>
      </c>
      <c r="S257" s="151">
        <v>0</v>
      </c>
      <c r="T257" s="151">
        <v>0</v>
      </c>
      <c r="U257" s="151">
        <v>0</v>
      </c>
      <c r="V257" s="151">
        <v>0</v>
      </c>
      <c r="W257" s="151">
        <v>0</v>
      </c>
      <c r="X257" s="137" t="s">
        <v>110</v>
      </c>
      <c r="Y257" s="155" t="str">
        <f>DB!$D$195</f>
        <v>Branded Laptop</v>
      </c>
      <c r="Z257" s="154"/>
      <c r="AA257" s="149"/>
      <c r="AB257" s="136"/>
      <c r="AC257" s="139"/>
      <c r="AD257" s="139"/>
      <c r="AE257" s="139"/>
      <c r="AF257" s="139"/>
    </row>
    <row r="258" spans="1:32" ht="12.75">
      <c r="A258" s="154" t="e">
        <f ca="1"/>
        <v>#NAME?</v>
      </c>
      <c r="B258" s="156" t="s">
        <v>669</v>
      </c>
      <c r="C258" s="158">
        <v>2</v>
      </c>
      <c r="D258" s="152" t="s">
        <v>466</v>
      </c>
      <c r="E258" s="149"/>
      <c r="F258" s="157"/>
      <c r="G258" s="151" t="s">
        <v>342</v>
      </c>
      <c r="H258" s="151">
        <v>2</v>
      </c>
      <c r="I258" s="151">
        <v>2</v>
      </c>
      <c r="J258" s="151">
        <v>0</v>
      </c>
      <c r="K258" s="151">
        <v>0</v>
      </c>
      <c r="L258" s="151">
        <v>0</v>
      </c>
      <c r="M258" s="151">
        <v>0</v>
      </c>
      <c r="N258" s="151">
        <v>0</v>
      </c>
      <c r="O258" s="151">
        <v>0</v>
      </c>
      <c r="P258" s="151">
        <v>0</v>
      </c>
      <c r="Q258" s="151">
        <v>0</v>
      </c>
      <c r="R258" s="151">
        <v>0</v>
      </c>
      <c r="S258" s="151">
        <v>0</v>
      </c>
      <c r="T258" s="151">
        <v>0</v>
      </c>
      <c r="U258" s="151">
        <v>0</v>
      </c>
      <c r="V258" s="151">
        <v>0</v>
      </c>
      <c r="W258" s="151">
        <v>0</v>
      </c>
      <c r="X258" s="137" t="s">
        <v>110</v>
      </c>
      <c r="Y258" s="155" t="str">
        <f>DB!$D$195</f>
        <v>Branded Laptop</v>
      </c>
      <c r="Z258" s="154"/>
      <c r="AA258" s="149"/>
      <c r="AB258" s="136"/>
      <c r="AC258" s="139"/>
      <c r="AD258" s="139"/>
      <c r="AE258" s="139"/>
      <c r="AF258" s="139"/>
    </row>
    <row r="259" spans="1:32" ht="25.5">
      <c r="A259" s="154" t="e">
        <f ca="1"/>
        <v>#NAME?</v>
      </c>
      <c r="B259" s="156" t="s">
        <v>670</v>
      </c>
      <c r="C259" s="158">
        <v>5</v>
      </c>
      <c r="D259" s="152" t="s">
        <v>657</v>
      </c>
      <c r="E259" s="149"/>
      <c r="F259" s="157"/>
      <c r="G259" s="151" t="s">
        <v>342</v>
      </c>
      <c r="H259" s="158">
        <v>5</v>
      </c>
      <c r="I259" s="158">
        <v>5</v>
      </c>
      <c r="J259" s="158">
        <v>0</v>
      </c>
      <c r="K259" s="158">
        <v>0</v>
      </c>
      <c r="L259" s="158">
        <v>0</v>
      </c>
      <c r="M259" s="158">
        <v>0</v>
      </c>
      <c r="N259" s="158">
        <v>0</v>
      </c>
      <c r="O259" s="158">
        <v>0</v>
      </c>
      <c r="P259" s="158">
        <v>0</v>
      </c>
      <c r="Q259" s="158">
        <v>0</v>
      </c>
      <c r="R259" s="158">
        <v>0</v>
      </c>
      <c r="S259" s="158">
        <v>0</v>
      </c>
      <c r="T259" s="158">
        <v>0</v>
      </c>
      <c r="U259" s="158">
        <v>0</v>
      </c>
      <c r="V259" s="158">
        <v>0</v>
      </c>
      <c r="W259" s="158">
        <v>0</v>
      </c>
      <c r="X259" s="137" t="s">
        <v>110</v>
      </c>
      <c r="Y259" s="155" t="str">
        <f>DB!$D$256</f>
        <v>Maintenance Kit for the existing ECOSYS M4125IDN</v>
      </c>
      <c r="Z259" s="163"/>
      <c r="AA259" s="149"/>
      <c r="AB259" s="136"/>
      <c r="AC259" s="139"/>
      <c r="AD259" s="139"/>
      <c r="AE259" s="139"/>
      <c r="AF259" s="139"/>
    </row>
    <row r="260" spans="1:32" ht="12.75">
      <c r="A260" s="154" t="e">
        <f ca="1"/>
        <v>#NAME?</v>
      </c>
      <c r="B260" s="156" t="s">
        <v>671</v>
      </c>
      <c r="C260" s="158">
        <v>10</v>
      </c>
      <c r="D260" s="152" t="s">
        <v>92</v>
      </c>
      <c r="E260" s="149"/>
      <c r="F260" s="157"/>
      <c r="G260" s="151" t="s">
        <v>342</v>
      </c>
      <c r="H260" s="151">
        <v>10</v>
      </c>
      <c r="I260" s="151">
        <v>10</v>
      </c>
      <c r="J260" s="151">
        <v>0</v>
      </c>
      <c r="K260" s="151">
        <v>0</v>
      </c>
      <c r="L260" s="151">
        <v>0</v>
      </c>
      <c r="M260" s="151">
        <v>0</v>
      </c>
      <c r="N260" s="151">
        <v>0</v>
      </c>
      <c r="O260" s="151">
        <v>0</v>
      </c>
      <c r="P260" s="151">
        <v>0</v>
      </c>
      <c r="Q260" s="151">
        <v>0</v>
      </c>
      <c r="R260" s="151">
        <v>0</v>
      </c>
      <c r="S260" s="151">
        <v>0</v>
      </c>
      <c r="T260" s="151">
        <v>0</v>
      </c>
      <c r="U260" s="151">
        <v>0</v>
      </c>
      <c r="V260" s="151">
        <v>0</v>
      </c>
      <c r="W260" s="151">
        <v>0</v>
      </c>
      <c r="X260" s="137" t="s">
        <v>110</v>
      </c>
      <c r="Y260" s="141" t="str">
        <f>DB!$D$169</f>
        <v>Mouse, Optical, USB 2.0</v>
      </c>
      <c r="Z260" s="154"/>
      <c r="AA260" s="149"/>
      <c r="AB260" s="136"/>
      <c r="AC260" s="139"/>
      <c r="AD260" s="139"/>
      <c r="AE260" s="139"/>
      <c r="AF260" s="139"/>
    </row>
    <row r="261" spans="1:32" ht="25.5">
      <c r="A261" s="154" t="e">
        <f ca="1"/>
        <v>#NAME?</v>
      </c>
      <c r="B261" s="156" t="s">
        <v>672</v>
      </c>
      <c r="C261" s="158">
        <v>5</v>
      </c>
      <c r="D261" s="151" t="s">
        <v>466</v>
      </c>
      <c r="E261" s="149"/>
      <c r="F261" s="157"/>
      <c r="G261" s="151" t="s">
        <v>342</v>
      </c>
      <c r="H261" s="151">
        <v>5</v>
      </c>
      <c r="I261" s="151">
        <v>5</v>
      </c>
      <c r="J261" s="151">
        <v>0</v>
      </c>
      <c r="K261" s="151">
        <v>0</v>
      </c>
      <c r="L261" s="151">
        <v>0</v>
      </c>
      <c r="M261" s="151">
        <v>0</v>
      </c>
      <c r="N261" s="151">
        <v>0</v>
      </c>
      <c r="O261" s="151">
        <v>0</v>
      </c>
      <c r="P261" s="151">
        <v>0</v>
      </c>
      <c r="Q261" s="151">
        <v>0</v>
      </c>
      <c r="R261" s="151">
        <v>0</v>
      </c>
      <c r="S261" s="151">
        <v>0</v>
      </c>
      <c r="T261" s="151">
        <v>0</v>
      </c>
      <c r="U261" s="151">
        <v>0</v>
      </c>
      <c r="V261" s="151">
        <v>0</v>
      </c>
      <c r="W261" s="151">
        <v>0</v>
      </c>
      <c r="X261" s="137" t="s">
        <v>110</v>
      </c>
      <c r="Y261" s="155" t="str">
        <f>DB!$D$276</f>
        <v>Ink Tank Printer</v>
      </c>
      <c r="Z261" s="154" t="s">
        <v>469</v>
      </c>
      <c r="AA261" s="149"/>
      <c r="AB261" s="136"/>
      <c r="AC261" s="139"/>
      <c r="AD261" s="139"/>
      <c r="AE261" s="139"/>
      <c r="AF261" s="139"/>
    </row>
    <row r="262" spans="1:32" ht="12.75">
      <c r="A262" s="154" t="e">
        <f ca="1"/>
        <v>#NAME?</v>
      </c>
      <c r="B262" s="156" t="s">
        <v>673</v>
      </c>
      <c r="C262" s="158">
        <v>10</v>
      </c>
      <c r="D262" s="152" t="s">
        <v>466</v>
      </c>
      <c r="E262" s="149"/>
      <c r="F262" s="157"/>
      <c r="G262" s="151" t="s">
        <v>342</v>
      </c>
      <c r="H262" s="158">
        <v>8</v>
      </c>
      <c r="I262" s="158">
        <v>8</v>
      </c>
      <c r="J262" s="158">
        <v>0</v>
      </c>
      <c r="K262" s="158">
        <v>0</v>
      </c>
      <c r="L262" s="158">
        <v>0</v>
      </c>
      <c r="M262" s="158">
        <v>0</v>
      </c>
      <c r="N262" s="158">
        <v>0</v>
      </c>
      <c r="O262" s="158">
        <v>0</v>
      </c>
      <c r="P262" s="158">
        <v>2</v>
      </c>
      <c r="Q262" s="158">
        <v>2</v>
      </c>
      <c r="R262" s="158">
        <v>0</v>
      </c>
      <c r="S262" s="158">
        <v>0</v>
      </c>
      <c r="T262" s="158">
        <v>0</v>
      </c>
      <c r="U262" s="158">
        <v>0</v>
      </c>
      <c r="V262" s="158">
        <v>0</v>
      </c>
      <c r="W262" s="158">
        <v>0</v>
      </c>
      <c r="X262" s="137" t="s">
        <v>110</v>
      </c>
      <c r="Y262" s="155" t="str">
        <f>DB!$D$89</f>
        <v>Thermal POS Receipt Printer</v>
      </c>
      <c r="Z262" s="154"/>
      <c r="AA262" s="149"/>
      <c r="AB262" s="136"/>
      <c r="AC262" s="139"/>
      <c r="AD262" s="139"/>
      <c r="AE262" s="139"/>
      <c r="AF262" s="139"/>
    </row>
    <row r="263" spans="1:32" ht="25.5">
      <c r="A263" s="154" t="e">
        <f ca="1"/>
        <v>#NAME?</v>
      </c>
      <c r="B263" s="156" t="s">
        <v>674</v>
      </c>
      <c r="C263" s="158">
        <v>20</v>
      </c>
      <c r="D263" s="151" t="s">
        <v>92</v>
      </c>
      <c r="E263" s="149"/>
      <c r="F263" s="157"/>
      <c r="G263" s="151" t="s">
        <v>342</v>
      </c>
      <c r="H263" s="158">
        <v>5</v>
      </c>
      <c r="I263" s="151">
        <v>5</v>
      </c>
      <c r="J263" s="151">
        <v>0</v>
      </c>
      <c r="K263" s="151">
        <v>0</v>
      </c>
      <c r="L263" s="158">
        <v>5</v>
      </c>
      <c r="M263" s="151">
        <v>5</v>
      </c>
      <c r="N263" s="151">
        <v>0</v>
      </c>
      <c r="O263" s="151">
        <v>0</v>
      </c>
      <c r="P263" s="158">
        <v>5</v>
      </c>
      <c r="Q263" s="151">
        <v>5</v>
      </c>
      <c r="R263" s="151">
        <v>0</v>
      </c>
      <c r="S263" s="151">
        <v>0</v>
      </c>
      <c r="T263" s="158">
        <v>5</v>
      </c>
      <c r="U263" s="151">
        <v>5</v>
      </c>
      <c r="V263" s="151">
        <v>0</v>
      </c>
      <c r="W263" s="151">
        <v>0</v>
      </c>
      <c r="X263" s="137" t="s">
        <v>110</v>
      </c>
      <c r="Y263" s="155" t="str">
        <f>DB!$D$245</f>
        <v>Toner Cartridge for the existing ECOSYS M4125IDN</v>
      </c>
      <c r="Z263" s="163"/>
      <c r="AA263" s="149"/>
      <c r="AB263" s="136"/>
      <c r="AC263" s="139"/>
      <c r="AD263" s="139"/>
      <c r="AE263" s="139"/>
      <c r="AF263" s="139"/>
    </row>
    <row r="264" spans="1:32" ht="25.5">
      <c r="A264" s="154" t="e">
        <f ca="1"/>
        <v>#NAME?</v>
      </c>
      <c r="B264" s="156" t="s">
        <v>675</v>
      </c>
      <c r="C264" s="158">
        <v>20</v>
      </c>
      <c r="D264" s="151" t="s">
        <v>92</v>
      </c>
      <c r="E264" s="149"/>
      <c r="F264" s="157"/>
      <c r="G264" s="151" t="s">
        <v>342</v>
      </c>
      <c r="H264" s="158">
        <v>5</v>
      </c>
      <c r="I264" s="151">
        <v>5</v>
      </c>
      <c r="J264" s="151">
        <v>0</v>
      </c>
      <c r="K264" s="151">
        <v>0</v>
      </c>
      <c r="L264" s="158">
        <v>5</v>
      </c>
      <c r="M264" s="151">
        <v>5</v>
      </c>
      <c r="N264" s="151">
        <v>0</v>
      </c>
      <c r="O264" s="151">
        <v>0</v>
      </c>
      <c r="P264" s="158">
        <v>5</v>
      </c>
      <c r="Q264" s="151">
        <v>5</v>
      </c>
      <c r="R264" s="151">
        <v>0</v>
      </c>
      <c r="S264" s="151">
        <v>0</v>
      </c>
      <c r="T264" s="158">
        <v>5</v>
      </c>
      <c r="U264" s="151">
        <v>5</v>
      </c>
      <c r="V264" s="151">
        <v>0</v>
      </c>
      <c r="W264" s="151">
        <v>0</v>
      </c>
      <c r="X264" s="137" t="s">
        <v>110</v>
      </c>
      <c r="Y264" s="155" t="str">
        <f>DB!$D$239</f>
        <v>Toner Cartridge for the existing ECOSYS P2040DN</v>
      </c>
      <c r="Z264" s="163"/>
      <c r="AA264" s="149"/>
      <c r="AB264" s="136"/>
      <c r="AC264" s="139"/>
      <c r="AD264" s="139"/>
      <c r="AE264" s="139"/>
      <c r="AF264" s="139"/>
    </row>
    <row r="265" spans="1:32" ht="38.25">
      <c r="A265" s="154" t="e">
        <f ca="1"/>
        <v>#NAME?</v>
      </c>
      <c r="B265" s="156" t="s">
        <v>676</v>
      </c>
      <c r="C265" s="158">
        <v>5</v>
      </c>
      <c r="D265" s="152" t="s">
        <v>92</v>
      </c>
      <c r="E265" s="153"/>
      <c r="F265" s="153"/>
      <c r="G265" s="151" t="s">
        <v>342</v>
      </c>
      <c r="H265" s="151">
        <v>5</v>
      </c>
      <c r="I265" s="151">
        <v>5</v>
      </c>
      <c r="J265" s="151">
        <v>0</v>
      </c>
      <c r="K265" s="151">
        <v>0</v>
      </c>
      <c r="L265" s="151">
        <v>0</v>
      </c>
      <c r="M265" s="151">
        <v>0</v>
      </c>
      <c r="N265" s="151">
        <v>0</v>
      </c>
      <c r="O265" s="151">
        <v>0</v>
      </c>
      <c r="P265" s="151">
        <v>0</v>
      </c>
      <c r="Q265" s="151">
        <v>0</v>
      </c>
      <c r="R265" s="151">
        <v>0</v>
      </c>
      <c r="S265" s="151">
        <v>0</v>
      </c>
      <c r="T265" s="151">
        <v>0</v>
      </c>
      <c r="U265" s="151">
        <v>0</v>
      </c>
      <c r="V265" s="151">
        <v>0</v>
      </c>
      <c r="W265" s="151">
        <v>0</v>
      </c>
      <c r="X265" s="137" t="s">
        <v>110</v>
      </c>
      <c r="Y265" s="155" t="str">
        <f>DB!$D$73</f>
        <v>Webcam Professional Full HD</v>
      </c>
      <c r="Z265" s="154"/>
      <c r="AA265" s="149"/>
      <c r="AB265" s="136"/>
      <c r="AC265" s="139"/>
      <c r="AD265" s="139"/>
      <c r="AE265" s="139"/>
      <c r="AF265" s="139"/>
    </row>
    <row r="266" spans="1:32" ht="12.75">
      <c r="A266" s="154" t="e">
        <f ca="1"/>
        <v>#NAME?</v>
      </c>
      <c r="B266" s="156" t="s">
        <v>677</v>
      </c>
      <c r="C266" s="158">
        <v>8</v>
      </c>
      <c r="D266" s="152" t="s">
        <v>92</v>
      </c>
      <c r="E266" s="153"/>
      <c r="F266" s="153"/>
      <c r="G266" s="151" t="s">
        <v>342</v>
      </c>
      <c r="H266" s="151">
        <v>8</v>
      </c>
      <c r="I266" s="151">
        <v>8</v>
      </c>
      <c r="J266" s="151">
        <v>0</v>
      </c>
      <c r="K266" s="151">
        <v>0</v>
      </c>
      <c r="L266" s="151">
        <v>0</v>
      </c>
      <c r="M266" s="151">
        <v>0</v>
      </c>
      <c r="N266" s="151">
        <v>0</v>
      </c>
      <c r="O266" s="151">
        <v>0</v>
      </c>
      <c r="P266" s="151">
        <v>0</v>
      </c>
      <c r="Q266" s="151">
        <v>0</v>
      </c>
      <c r="R266" s="151">
        <v>0</v>
      </c>
      <c r="S266" s="151">
        <v>0</v>
      </c>
      <c r="T266" s="151">
        <v>0</v>
      </c>
      <c r="U266" s="151">
        <v>0</v>
      </c>
      <c r="V266" s="151">
        <v>0</v>
      </c>
      <c r="W266" s="151">
        <v>0</v>
      </c>
      <c r="X266" s="137" t="s">
        <v>110</v>
      </c>
      <c r="Y266" s="155" t="str">
        <f>DB!$D$6</f>
        <v>UPS 650VA, AVR, 230V</v>
      </c>
      <c r="Z266" s="154"/>
      <c r="AA266" s="149"/>
      <c r="AB266" s="136"/>
      <c r="AC266" s="139"/>
      <c r="AD266" s="139"/>
      <c r="AE266" s="139"/>
      <c r="AF266" s="139"/>
    </row>
    <row r="267" spans="1:32" ht="25.5">
      <c r="A267" s="154" t="e">
        <f ca="1"/>
        <v>#NAME?</v>
      </c>
      <c r="B267" s="156" t="s">
        <v>678</v>
      </c>
      <c r="C267" s="158">
        <v>5</v>
      </c>
      <c r="D267" s="152" t="s">
        <v>92</v>
      </c>
      <c r="E267" s="153"/>
      <c r="F267" s="153"/>
      <c r="G267" s="151" t="s">
        <v>342</v>
      </c>
      <c r="H267" s="151">
        <v>5</v>
      </c>
      <c r="I267" s="151">
        <v>5</v>
      </c>
      <c r="J267" s="151">
        <v>0</v>
      </c>
      <c r="K267" s="151">
        <v>0</v>
      </c>
      <c r="L267" s="151">
        <v>0</v>
      </c>
      <c r="M267" s="151">
        <v>0</v>
      </c>
      <c r="N267" s="151">
        <v>0</v>
      </c>
      <c r="O267" s="151">
        <v>0</v>
      </c>
      <c r="P267" s="151">
        <v>0</v>
      </c>
      <c r="Q267" s="151">
        <v>0</v>
      </c>
      <c r="R267" s="151">
        <v>0</v>
      </c>
      <c r="S267" s="151">
        <v>0</v>
      </c>
      <c r="T267" s="151">
        <v>0</v>
      </c>
      <c r="U267" s="151">
        <v>0</v>
      </c>
      <c r="V267" s="151">
        <v>0</v>
      </c>
      <c r="W267" s="151">
        <v>0</v>
      </c>
      <c r="X267" s="137" t="s">
        <v>110</v>
      </c>
      <c r="Y267" s="155" t="str">
        <f>DB!$D$52</f>
        <v>Walkie Talkie Dual Band Handheld Two Way Radio</v>
      </c>
      <c r="Z267" s="154"/>
      <c r="AA267" s="149"/>
      <c r="AB267" s="136"/>
      <c r="AC267" s="139"/>
      <c r="AD267" s="139"/>
      <c r="AE267" s="139"/>
      <c r="AF267" s="139"/>
    </row>
    <row r="268" spans="1:32" ht="12.75">
      <c r="A268" s="154" t="e">
        <f ca="1"/>
        <v>#NAME?</v>
      </c>
      <c r="B268" s="156" t="s">
        <v>679</v>
      </c>
      <c r="C268" s="151">
        <v>1</v>
      </c>
      <c r="D268" s="151" t="s">
        <v>103</v>
      </c>
      <c r="E268" s="153"/>
      <c r="F268" s="153"/>
      <c r="G268" s="149"/>
      <c r="H268" s="151">
        <v>1</v>
      </c>
      <c r="I268" s="149"/>
      <c r="J268" s="149"/>
      <c r="K268" s="149"/>
      <c r="L268" s="149"/>
      <c r="M268" s="149"/>
      <c r="N268" s="149"/>
      <c r="O268" s="149"/>
      <c r="P268" s="149"/>
      <c r="Q268" s="149"/>
      <c r="R268" s="149"/>
      <c r="S268" s="149"/>
      <c r="T268" s="149"/>
      <c r="U268" s="149"/>
      <c r="V268" s="149"/>
      <c r="W268" s="149"/>
      <c r="X268" s="137" t="s">
        <v>179</v>
      </c>
      <c r="Y268" s="155" t="str">
        <f>DB!$D$95</f>
        <v>Stereo Speakers</v>
      </c>
      <c r="Z268" s="154"/>
      <c r="AA268" s="149"/>
      <c r="AB268" s="136"/>
      <c r="AC268" s="139"/>
      <c r="AD268" s="139"/>
      <c r="AE268" s="139"/>
      <c r="AF268" s="139"/>
    </row>
    <row r="269" spans="1:32" ht="12.75">
      <c r="A269" s="154" t="e">
        <f ca="1"/>
        <v>#NAME?</v>
      </c>
      <c r="B269" s="156" t="s">
        <v>680</v>
      </c>
      <c r="C269" s="151">
        <v>8</v>
      </c>
      <c r="D269" s="151" t="s">
        <v>103</v>
      </c>
      <c r="E269" s="153"/>
      <c r="F269" s="153"/>
      <c r="G269" s="149"/>
      <c r="H269" s="151">
        <v>8</v>
      </c>
      <c r="I269" s="149"/>
      <c r="J269" s="149"/>
      <c r="K269" s="149"/>
      <c r="L269" s="149"/>
      <c r="M269" s="149"/>
      <c r="N269" s="149"/>
      <c r="O269" s="149"/>
      <c r="P269" s="149"/>
      <c r="Q269" s="149"/>
      <c r="R269" s="149"/>
      <c r="S269" s="149"/>
      <c r="T269" s="149"/>
      <c r="U269" s="149"/>
      <c r="V269" s="149"/>
      <c r="W269" s="149"/>
      <c r="X269" s="137" t="s">
        <v>179</v>
      </c>
      <c r="Y269" s="155" t="str">
        <f>DB!$D$73</f>
        <v>Webcam Professional Full HD</v>
      </c>
      <c r="Z269" s="154"/>
      <c r="AA269" s="149"/>
      <c r="AB269" s="136"/>
      <c r="AC269" s="139"/>
      <c r="AD269" s="139"/>
      <c r="AE269" s="139"/>
      <c r="AF269" s="139"/>
    </row>
    <row r="270" spans="1:32" ht="12.75">
      <c r="A270" s="154" t="e">
        <f ca="1"/>
        <v>#NAME?</v>
      </c>
      <c r="B270" s="156" t="s">
        <v>681</v>
      </c>
      <c r="C270" s="151">
        <v>8</v>
      </c>
      <c r="D270" s="151" t="s">
        <v>103</v>
      </c>
      <c r="E270" s="153"/>
      <c r="F270" s="153"/>
      <c r="G270" s="149"/>
      <c r="H270" s="151">
        <v>8</v>
      </c>
      <c r="I270" s="149"/>
      <c r="J270" s="149"/>
      <c r="K270" s="149"/>
      <c r="L270" s="149"/>
      <c r="M270" s="149"/>
      <c r="N270" s="149"/>
      <c r="O270" s="149"/>
      <c r="P270" s="149"/>
      <c r="Q270" s="149"/>
      <c r="R270" s="149"/>
      <c r="S270" s="149"/>
      <c r="T270" s="149"/>
      <c r="U270" s="149"/>
      <c r="V270" s="149"/>
      <c r="W270" s="149"/>
      <c r="X270" s="137" t="s">
        <v>179</v>
      </c>
      <c r="Y270" s="155" t="str">
        <f>DB!$D$83</f>
        <v>USB Computer Headset</v>
      </c>
      <c r="Z270" s="154"/>
      <c r="AA270" s="149"/>
      <c r="AB270" s="136"/>
      <c r="AC270" s="139"/>
      <c r="AD270" s="139"/>
      <c r="AE270" s="139"/>
      <c r="AF270" s="139"/>
    </row>
    <row r="271" spans="1:32" ht="25.5">
      <c r="A271" s="154" t="e">
        <f ca="1"/>
        <v>#NAME?</v>
      </c>
      <c r="B271" s="156" t="s">
        <v>682</v>
      </c>
      <c r="C271" s="151">
        <v>4</v>
      </c>
      <c r="D271" s="151" t="s">
        <v>103</v>
      </c>
      <c r="E271" s="153"/>
      <c r="F271" s="153"/>
      <c r="G271" s="149"/>
      <c r="H271" s="151">
        <v>8</v>
      </c>
      <c r="I271" s="149"/>
      <c r="J271" s="149"/>
      <c r="K271" s="149"/>
      <c r="L271" s="149"/>
      <c r="M271" s="149"/>
      <c r="N271" s="149"/>
      <c r="O271" s="149"/>
      <c r="P271" s="149"/>
      <c r="Q271" s="149"/>
      <c r="R271" s="149"/>
      <c r="S271" s="149"/>
      <c r="T271" s="149"/>
      <c r="U271" s="149"/>
      <c r="V271" s="149"/>
      <c r="W271" s="149"/>
      <c r="X271" s="137" t="s">
        <v>179</v>
      </c>
      <c r="Y271" s="155" t="str">
        <f>DB!$D$6</f>
        <v>UPS 650VA, AVR, 230V</v>
      </c>
      <c r="Z271" s="154"/>
      <c r="AA271" s="149"/>
      <c r="AB271" s="136"/>
      <c r="AC271" s="139"/>
      <c r="AD271" s="139"/>
      <c r="AE271" s="139"/>
      <c r="AF271" s="139"/>
    </row>
    <row r="272" spans="1:32" ht="12.75">
      <c r="A272" s="154" t="e">
        <f ca="1"/>
        <v>#NAME?</v>
      </c>
      <c r="B272" s="167" t="s">
        <v>369</v>
      </c>
      <c r="C272" s="149">
        <v>1</v>
      </c>
      <c r="D272" s="149" t="s">
        <v>118</v>
      </c>
      <c r="E272" s="153"/>
      <c r="F272" s="153"/>
      <c r="G272" s="149"/>
      <c r="H272" s="151">
        <v>1</v>
      </c>
      <c r="I272" s="149"/>
      <c r="J272" s="149"/>
      <c r="K272" s="149"/>
      <c r="L272" s="149"/>
      <c r="M272" s="149"/>
      <c r="N272" s="149"/>
      <c r="O272" s="149"/>
      <c r="P272" s="149"/>
      <c r="Q272" s="149"/>
      <c r="R272" s="149"/>
      <c r="S272" s="149"/>
      <c r="T272" s="149"/>
      <c r="U272" s="149"/>
      <c r="V272" s="149"/>
      <c r="W272" s="149"/>
      <c r="X272" s="137" t="s">
        <v>179</v>
      </c>
      <c r="Y272" s="155" t="str">
        <f>DB!$D$94</f>
        <v>Camera DSLR</v>
      </c>
      <c r="Z272" s="154"/>
      <c r="AA272" s="149"/>
      <c r="AB272" s="136"/>
      <c r="AC272" s="139"/>
      <c r="AD272" s="139"/>
      <c r="AE272" s="139"/>
      <c r="AF272" s="139"/>
    </row>
    <row r="273" spans="1:32" ht="51">
      <c r="A273" s="154" t="e">
        <f ca="1"/>
        <v>#NAME?</v>
      </c>
      <c r="B273" s="156" t="s">
        <v>683</v>
      </c>
      <c r="C273" s="151">
        <v>1</v>
      </c>
      <c r="D273" s="151" t="s">
        <v>103</v>
      </c>
      <c r="E273" s="153"/>
      <c r="F273" s="153"/>
      <c r="G273" s="149"/>
      <c r="H273" s="151">
        <v>1</v>
      </c>
      <c r="I273" s="149"/>
      <c r="J273" s="149"/>
      <c r="K273" s="149"/>
      <c r="L273" s="149"/>
      <c r="M273" s="149"/>
      <c r="N273" s="149"/>
      <c r="O273" s="149"/>
      <c r="P273" s="149"/>
      <c r="Q273" s="149"/>
      <c r="R273" s="149"/>
      <c r="S273" s="149"/>
      <c r="T273" s="149"/>
      <c r="U273" s="149"/>
      <c r="V273" s="149"/>
      <c r="W273" s="149"/>
      <c r="X273" s="137" t="s">
        <v>179</v>
      </c>
      <c r="Y273" s="155" t="str">
        <f>DB!$D$276</f>
        <v>Ink Tank Printer</v>
      </c>
      <c r="Z273" s="154" t="s">
        <v>469</v>
      </c>
      <c r="AA273" s="149"/>
      <c r="AB273" s="136"/>
      <c r="AC273" s="139"/>
      <c r="AD273" s="139"/>
      <c r="AE273" s="139"/>
      <c r="AF273" s="139"/>
    </row>
    <row r="274" spans="1:32" ht="25.5">
      <c r="A274" s="154" t="e">
        <f ca="1"/>
        <v>#NAME?</v>
      </c>
      <c r="B274" s="156" t="s">
        <v>684</v>
      </c>
      <c r="C274" s="151">
        <v>2</v>
      </c>
      <c r="D274" s="151" t="s">
        <v>103</v>
      </c>
      <c r="E274" s="153"/>
      <c r="F274" s="153"/>
      <c r="G274" s="149"/>
      <c r="H274" s="151">
        <v>2</v>
      </c>
      <c r="I274" s="149"/>
      <c r="J274" s="149"/>
      <c r="K274" s="149"/>
      <c r="L274" s="149"/>
      <c r="M274" s="149"/>
      <c r="N274" s="149"/>
      <c r="O274" s="149"/>
      <c r="P274" s="149"/>
      <c r="Q274" s="149"/>
      <c r="R274" s="149"/>
      <c r="S274" s="149"/>
      <c r="T274" s="149"/>
      <c r="U274" s="149"/>
      <c r="V274" s="149"/>
      <c r="W274" s="149"/>
      <c r="X274" s="137" t="s">
        <v>179</v>
      </c>
      <c r="Y274" s="155" t="str">
        <f>DB!$D$261</f>
        <v>Toner Cartridge for the existing ECOSYS P6230CDN</v>
      </c>
      <c r="Z274" s="163"/>
      <c r="AA274" s="149"/>
      <c r="AB274" s="136"/>
      <c r="AC274" s="139"/>
      <c r="AD274" s="139"/>
      <c r="AE274" s="139"/>
      <c r="AF274" s="139"/>
    </row>
    <row r="275" spans="1:32" ht="25.5">
      <c r="A275" s="154" t="e">
        <f ca="1"/>
        <v>#NAME?</v>
      </c>
      <c r="B275" s="156" t="s">
        <v>685</v>
      </c>
      <c r="C275" s="151">
        <v>2</v>
      </c>
      <c r="D275" s="151" t="s">
        <v>103</v>
      </c>
      <c r="E275" s="149"/>
      <c r="F275" s="153"/>
      <c r="G275" s="149"/>
      <c r="H275" s="151">
        <v>2</v>
      </c>
      <c r="I275" s="149"/>
      <c r="J275" s="149"/>
      <c r="K275" s="149"/>
      <c r="L275" s="149"/>
      <c r="M275" s="149"/>
      <c r="N275" s="149"/>
      <c r="O275" s="149"/>
      <c r="P275" s="149"/>
      <c r="Q275" s="149"/>
      <c r="R275" s="149"/>
      <c r="S275" s="149"/>
      <c r="T275" s="149"/>
      <c r="U275" s="149"/>
      <c r="V275" s="149"/>
      <c r="W275" s="149"/>
      <c r="X275" s="137" t="s">
        <v>179</v>
      </c>
      <c r="Y275" s="155" t="str">
        <f>DB!$D$236</f>
        <v>Colored Toner Cartridge Set for the existing ECOSYS P6230CDN</v>
      </c>
      <c r="Z275" s="163"/>
      <c r="AA275" s="149"/>
      <c r="AB275" s="136"/>
      <c r="AC275" s="139"/>
      <c r="AD275" s="139"/>
      <c r="AE275" s="139"/>
      <c r="AF275" s="139"/>
    </row>
    <row r="276" spans="1:32" ht="25.5">
      <c r="A276" s="154" t="e">
        <f ca="1"/>
        <v>#NAME?</v>
      </c>
      <c r="B276" s="156" t="s">
        <v>686</v>
      </c>
      <c r="C276" s="151">
        <v>2</v>
      </c>
      <c r="D276" s="151" t="s">
        <v>103</v>
      </c>
      <c r="E276" s="149"/>
      <c r="F276" s="154"/>
      <c r="G276" s="149"/>
      <c r="H276" s="151">
        <v>2</v>
      </c>
      <c r="I276" s="149"/>
      <c r="J276" s="149"/>
      <c r="K276" s="149"/>
      <c r="L276" s="149"/>
      <c r="M276" s="149"/>
      <c r="N276" s="149"/>
      <c r="O276" s="149"/>
      <c r="P276" s="149"/>
      <c r="Q276" s="149"/>
      <c r="R276" s="149"/>
      <c r="S276" s="149"/>
      <c r="T276" s="149"/>
      <c r="U276" s="149"/>
      <c r="V276" s="149"/>
      <c r="W276" s="149"/>
      <c r="X276" s="137" t="s">
        <v>179</v>
      </c>
      <c r="Y276" s="163"/>
      <c r="Z276" s="163" t="s">
        <v>453</v>
      </c>
      <c r="AA276" s="149"/>
      <c r="AB276" s="136"/>
      <c r="AC276" s="139"/>
      <c r="AD276" s="139"/>
      <c r="AE276" s="139"/>
      <c r="AF276" s="139"/>
    </row>
    <row r="277" spans="1:32" ht="25.5">
      <c r="A277" s="154" t="e">
        <f ca="1"/>
        <v>#NAME?</v>
      </c>
      <c r="B277" s="156" t="s">
        <v>687</v>
      </c>
      <c r="C277" s="151">
        <v>2</v>
      </c>
      <c r="D277" s="151" t="s">
        <v>103</v>
      </c>
      <c r="E277" s="149"/>
      <c r="F277" s="154"/>
      <c r="G277" s="149"/>
      <c r="H277" s="151">
        <v>2</v>
      </c>
      <c r="I277" s="149"/>
      <c r="J277" s="149"/>
      <c r="K277" s="149"/>
      <c r="L277" s="149"/>
      <c r="M277" s="149"/>
      <c r="N277" s="149"/>
      <c r="O277" s="149"/>
      <c r="P277" s="149"/>
      <c r="Q277" s="149"/>
      <c r="R277" s="149"/>
      <c r="S277" s="149"/>
      <c r="T277" s="149"/>
      <c r="U277" s="149"/>
      <c r="V277" s="149"/>
      <c r="W277" s="149"/>
      <c r="X277" s="137" t="s">
        <v>179</v>
      </c>
      <c r="Y277" s="155"/>
      <c r="Z277" s="163" t="s">
        <v>453</v>
      </c>
      <c r="AA277" s="149"/>
      <c r="AB277" s="136"/>
      <c r="AC277" s="139"/>
      <c r="AD277" s="139"/>
      <c r="AE277" s="139"/>
      <c r="AF277" s="139"/>
    </row>
    <row r="278" spans="1:32" ht="12.75">
      <c r="A278" s="154" t="e">
        <f ca="1"/>
        <v>#NAME?</v>
      </c>
      <c r="B278" s="142" t="s">
        <v>542</v>
      </c>
      <c r="C278" s="151">
        <v>1</v>
      </c>
      <c r="D278" s="151" t="s">
        <v>118</v>
      </c>
      <c r="E278" s="149"/>
      <c r="F278" s="154"/>
      <c r="G278" s="149"/>
      <c r="H278" s="149">
        <v>1</v>
      </c>
      <c r="I278" s="149"/>
      <c r="J278" s="149"/>
      <c r="K278" s="149"/>
      <c r="L278" s="149"/>
      <c r="M278" s="149"/>
      <c r="N278" s="149"/>
      <c r="O278" s="149"/>
      <c r="P278" s="149"/>
      <c r="Q278" s="149"/>
      <c r="R278" s="149"/>
      <c r="S278" s="149"/>
      <c r="T278" s="149"/>
      <c r="U278" s="149"/>
      <c r="V278" s="149"/>
      <c r="W278" s="149"/>
      <c r="X278" s="137" t="s">
        <v>179</v>
      </c>
      <c r="Y278" s="141" t="str">
        <f>DB!$D$194</f>
        <v>Branded Desktop Computer Set</v>
      </c>
      <c r="Z278" s="154"/>
      <c r="AA278" s="149"/>
      <c r="AB278" s="136"/>
      <c r="AC278" s="139"/>
      <c r="AD278" s="139"/>
      <c r="AE278" s="139"/>
      <c r="AF278" s="139"/>
    </row>
    <row r="279" spans="1:32" ht="12.75">
      <c r="A279" s="154" t="e">
        <f ca="1"/>
        <v>#NAME?</v>
      </c>
      <c r="B279" s="142" t="s">
        <v>688</v>
      </c>
      <c r="C279" s="151">
        <v>1</v>
      </c>
      <c r="D279" s="151" t="s">
        <v>118</v>
      </c>
      <c r="E279" s="149"/>
      <c r="F279" s="154"/>
      <c r="G279" s="149"/>
      <c r="H279" s="149">
        <v>1</v>
      </c>
      <c r="I279" s="149"/>
      <c r="J279" s="149"/>
      <c r="K279" s="149"/>
      <c r="L279" s="149"/>
      <c r="M279" s="149"/>
      <c r="N279" s="149"/>
      <c r="O279" s="149"/>
      <c r="P279" s="149"/>
      <c r="Q279" s="149"/>
      <c r="R279" s="149"/>
      <c r="S279" s="149"/>
      <c r="T279" s="149"/>
      <c r="U279" s="149"/>
      <c r="V279" s="149"/>
      <c r="W279" s="149"/>
      <c r="X279" s="137" t="s">
        <v>179</v>
      </c>
      <c r="Y279" s="155" t="str">
        <f>DB!$D$195</f>
        <v>Branded Laptop</v>
      </c>
      <c r="Z279" s="154"/>
      <c r="AA279" s="149"/>
      <c r="AB279" s="136"/>
      <c r="AC279" s="139"/>
      <c r="AD279" s="139"/>
      <c r="AE279" s="139"/>
      <c r="AF279" s="139"/>
    </row>
    <row r="280" spans="1:32" ht="38.25">
      <c r="A280" s="154" t="e">
        <f ca="1"/>
        <v>#NAME?</v>
      </c>
      <c r="B280" s="156" t="s">
        <v>689</v>
      </c>
      <c r="C280" s="151">
        <v>1</v>
      </c>
      <c r="D280" s="151" t="s">
        <v>103</v>
      </c>
      <c r="E280" s="154"/>
      <c r="F280" s="154"/>
      <c r="G280" s="154"/>
      <c r="H280" s="151">
        <v>1</v>
      </c>
      <c r="I280" s="154"/>
      <c r="J280" s="154"/>
      <c r="K280" s="154"/>
      <c r="L280" s="154"/>
      <c r="M280" s="154"/>
      <c r="N280" s="154"/>
      <c r="O280" s="154"/>
      <c r="P280" s="154"/>
      <c r="Q280" s="154"/>
      <c r="R280" s="154"/>
      <c r="S280" s="154"/>
      <c r="T280" s="154"/>
      <c r="U280" s="154"/>
      <c r="V280" s="154"/>
      <c r="W280" s="154"/>
      <c r="X280" s="137" t="s">
        <v>179</v>
      </c>
      <c r="Y280" s="155" t="str">
        <f>DB!$D$90</f>
        <v>Professional Presenter Wireless Presentation Clicker Remote</v>
      </c>
      <c r="Z280" s="154"/>
      <c r="AA280" s="154"/>
      <c r="AB280" s="136"/>
      <c r="AC280" s="139"/>
      <c r="AD280" s="139"/>
      <c r="AE280" s="139"/>
      <c r="AF280" s="139"/>
    </row>
    <row r="281" spans="1:32" ht="12.75">
      <c r="A281" s="154" t="e">
        <f ca="1"/>
        <v>#NAME?</v>
      </c>
      <c r="B281" s="156" t="s">
        <v>690</v>
      </c>
      <c r="C281" s="151">
        <v>20</v>
      </c>
      <c r="D281" s="151" t="s">
        <v>103</v>
      </c>
      <c r="E281" s="149"/>
      <c r="F281" s="149"/>
      <c r="G281" s="154"/>
      <c r="H281" s="151">
        <v>5</v>
      </c>
      <c r="I281" s="149"/>
      <c r="J281" s="149"/>
      <c r="K281" s="149"/>
      <c r="L281" s="149"/>
      <c r="M281" s="149"/>
      <c r="N281" s="149"/>
      <c r="O281" s="149"/>
      <c r="P281" s="149"/>
      <c r="Q281" s="149"/>
      <c r="R281" s="149"/>
      <c r="S281" s="149"/>
      <c r="T281" s="149"/>
      <c r="U281" s="149"/>
      <c r="V281" s="149"/>
      <c r="W281" s="149"/>
      <c r="X281" s="137" t="s">
        <v>179</v>
      </c>
      <c r="Y281" s="155" t="str">
        <f>DB!$D$106</f>
        <v>Epson Genuine Ink (003) Black</v>
      </c>
      <c r="Z281" s="154"/>
      <c r="AA281" s="149"/>
      <c r="AB281" s="136"/>
      <c r="AC281" s="139"/>
      <c r="AD281" s="139"/>
      <c r="AE281" s="139"/>
      <c r="AF281" s="139"/>
    </row>
    <row r="282" spans="1:32" ht="12.75">
      <c r="A282" s="154" t="e">
        <f ca="1"/>
        <v>#NAME?</v>
      </c>
      <c r="B282" s="156" t="s">
        <v>691</v>
      </c>
      <c r="C282" s="151">
        <v>8</v>
      </c>
      <c r="D282" s="151" t="s">
        <v>103</v>
      </c>
      <c r="E282" s="149"/>
      <c r="F282" s="149"/>
      <c r="G282" s="154"/>
      <c r="H282" s="151">
        <v>2</v>
      </c>
      <c r="I282" s="149"/>
      <c r="J282" s="149"/>
      <c r="K282" s="149"/>
      <c r="L282" s="149"/>
      <c r="M282" s="149"/>
      <c r="N282" s="149"/>
      <c r="O282" s="149"/>
      <c r="P282" s="149"/>
      <c r="Q282" s="149"/>
      <c r="R282" s="149"/>
      <c r="S282" s="149"/>
      <c r="T282" s="149"/>
      <c r="U282" s="149"/>
      <c r="V282" s="149"/>
      <c r="W282" s="149"/>
      <c r="X282" s="137" t="s">
        <v>179</v>
      </c>
      <c r="Y282" s="155" t="str">
        <f>DB!$D$107</f>
        <v>Epson Genuine Ink (003) Cyan</v>
      </c>
      <c r="Z282" s="154"/>
      <c r="AA282" s="149"/>
      <c r="AB282" s="136"/>
      <c r="AC282" s="139"/>
      <c r="AD282" s="139"/>
      <c r="AE282" s="139"/>
      <c r="AF282" s="139"/>
    </row>
    <row r="283" spans="1:32" ht="12.75">
      <c r="A283" s="154" t="e">
        <f ca="1"/>
        <v>#NAME?</v>
      </c>
      <c r="B283" s="156" t="s">
        <v>692</v>
      </c>
      <c r="C283" s="151">
        <v>8</v>
      </c>
      <c r="D283" s="151" t="s">
        <v>103</v>
      </c>
      <c r="E283" s="149"/>
      <c r="F283" s="149"/>
      <c r="G283" s="154"/>
      <c r="H283" s="151">
        <v>2</v>
      </c>
      <c r="I283" s="149"/>
      <c r="J283" s="149"/>
      <c r="K283" s="149"/>
      <c r="L283" s="149"/>
      <c r="M283" s="149"/>
      <c r="N283" s="149"/>
      <c r="O283" s="149"/>
      <c r="P283" s="149"/>
      <c r="Q283" s="149"/>
      <c r="R283" s="149"/>
      <c r="S283" s="149"/>
      <c r="T283" s="149"/>
      <c r="U283" s="149"/>
      <c r="V283" s="149"/>
      <c r="W283" s="149"/>
      <c r="X283" s="137" t="s">
        <v>179</v>
      </c>
      <c r="Y283" s="155" t="str">
        <f>DB!$D$108</f>
        <v>Epson Genuine Ink (003) Yellow</v>
      </c>
      <c r="Z283" s="154"/>
      <c r="AA283" s="149"/>
      <c r="AB283" s="136"/>
      <c r="AC283" s="139"/>
      <c r="AD283" s="139"/>
      <c r="AE283" s="139"/>
      <c r="AF283" s="139"/>
    </row>
    <row r="284" spans="1:32" ht="12.75">
      <c r="A284" s="154" t="e">
        <f ca="1"/>
        <v>#NAME?</v>
      </c>
      <c r="B284" s="156" t="s">
        <v>693</v>
      </c>
      <c r="C284" s="151">
        <v>8</v>
      </c>
      <c r="D284" s="151" t="s">
        <v>103</v>
      </c>
      <c r="E284" s="149"/>
      <c r="F284" s="149"/>
      <c r="G284" s="154"/>
      <c r="H284" s="151">
        <v>2</v>
      </c>
      <c r="I284" s="149"/>
      <c r="J284" s="149"/>
      <c r="K284" s="149"/>
      <c r="L284" s="149"/>
      <c r="M284" s="149"/>
      <c r="N284" s="149"/>
      <c r="O284" s="149"/>
      <c r="P284" s="149"/>
      <c r="Q284" s="149"/>
      <c r="R284" s="149"/>
      <c r="S284" s="149"/>
      <c r="T284" s="149"/>
      <c r="U284" s="149"/>
      <c r="V284" s="149"/>
      <c r="W284" s="149"/>
      <c r="X284" s="137" t="s">
        <v>179</v>
      </c>
      <c r="Y284" s="155" t="str">
        <f>DB!$D$109</f>
        <v>Epson Genuine Ink (003) Magenta</v>
      </c>
      <c r="Z284" s="154"/>
      <c r="AA284" s="149"/>
      <c r="AB284" s="136"/>
      <c r="AC284" s="139"/>
      <c r="AD284" s="139"/>
      <c r="AE284" s="139"/>
      <c r="AF284" s="139"/>
    </row>
    <row r="285" spans="1:32" ht="12.75">
      <c r="A285" s="154" t="e">
        <f ca="1"/>
        <v>#NAME?</v>
      </c>
      <c r="B285" s="156" t="s">
        <v>694</v>
      </c>
      <c r="C285" s="151">
        <v>2</v>
      </c>
      <c r="D285" s="151" t="s">
        <v>118</v>
      </c>
      <c r="E285" s="149"/>
      <c r="F285" s="149"/>
      <c r="G285" s="154"/>
      <c r="H285" s="151">
        <v>2</v>
      </c>
      <c r="I285" s="149"/>
      <c r="J285" s="149"/>
      <c r="K285" s="149"/>
      <c r="L285" s="149"/>
      <c r="M285" s="149"/>
      <c r="N285" s="149"/>
      <c r="O285" s="149"/>
      <c r="P285" s="149"/>
      <c r="Q285" s="149"/>
      <c r="R285" s="149"/>
      <c r="S285" s="149"/>
      <c r="T285" s="149"/>
      <c r="U285" s="149"/>
      <c r="V285" s="149"/>
      <c r="W285" s="149"/>
      <c r="X285" s="137" t="s">
        <v>179</v>
      </c>
      <c r="Y285" s="155" t="str">
        <f>DB!$D$86</f>
        <v>Desktop Type Document Scanner</v>
      </c>
      <c r="Z285" s="154"/>
      <c r="AA285" s="149"/>
      <c r="AB285" s="136"/>
      <c r="AC285" s="139"/>
      <c r="AD285" s="139"/>
      <c r="AE285" s="139"/>
      <c r="AF285" s="139"/>
    </row>
    <row r="286" spans="1:32" ht="12.75">
      <c r="A286" s="154" t="e">
        <f ca="1"/>
        <v>#NAME?</v>
      </c>
      <c r="B286" s="156" t="s">
        <v>695</v>
      </c>
      <c r="C286" s="151">
        <v>1</v>
      </c>
      <c r="D286" s="151" t="s">
        <v>118</v>
      </c>
      <c r="E286" s="149"/>
      <c r="F286" s="149"/>
      <c r="G286" s="154"/>
      <c r="H286" s="151">
        <v>2</v>
      </c>
      <c r="I286" s="149"/>
      <c r="J286" s="149"/>
      <c r="K286" s="149"/>
      <c r="L286" s="149"/>
      <c r="M286" s="149"/>
      <c r="N286" s="149"/>
      <c r="O286" s="149"/>
      <c r="P286" s="149"/>
      <c r="Q286" s="149"/>
      <c r="R286" s="149"/>
      <c r="S286" s="149"/>
      <c r="T286" s="149"/>
      <c r="U286" s="149"/>
      <c r="V286" s="149"/>
      <c r="W286" s="149"/>
      <c r="X286" s="137" t="s">
        <v>179</v>
      </c>
      <c r="Y286" s="163"/>
      <c r="Z286" s="163" t="s">
        <v>453</v>
      </c>
      <c r="AA286" s="149"/>
      <c r="AB286" s="136"/>
      <c r="AC286" s="139"/>
      <c r="AD286" s="139"/>
      <c r="AE286" s="139"/>
      <c r="AF286" s="139"/>
    </row>
    <row r="287" spans="1:32" ht="12.75">
      <c r="A287" s="154" t="e">
        <f ca="1"/>
        <v>#NAME?</v>
      </c>
      <c r="B287" s="156" t="s">
        <v>696</v>
      </c>
      <c r="C287" s="152">
        <v>8</v>
      </c>
      <c r="D287" s="151" t="s">
        <v>571</v>
      </c>
      <c r="E287" s="149"/>
      <c r="F287" s="149"/>
      <c r="G287" s="151" t="s">
        <v>342</v>
      </c>
      <c r="H287" s="151">
        <v>2</v>
      </c>
      <c r="I287" s="151">
        <v>1</v>
      </c>
      <c r="J287" s="151">
        <v>0</v>
      </c>
      <c r="K287" s="151">
        <v>1</v>
      </c>
      <c r="L287" s="151">
        <v>2</v>
      </c>
      <c r="M287" s="151">
        <v>1</v>
      </c>
      <c r="N287" s="151">
        <v>0</v>
      </c>
      <c r="O287" s="151">
        <v>1</v>
      </c>
      <c r="P287" s="151">
        <v>2</v>
      </c>
      <c r="Q287" s="151">
        <v>1</v>
      </c>
      <c r="R287" s="151">
        <v>0</v>
      </c>
      <c r="S287" s="151">
        <v>1</v>
      </c>
      <c r="T287" s="151">
        <v>2</v>
      </c>
      <c r="U287" s="151">
        <v>1</v>
      </c>
      <c r="V287" s="151">
        <v>0</v>
      </c>
      <c r="W287" s="151">
        <v>1</v>
      </c>
      <c r="X287" s="137" t="s">
        <v>203</v>
      </c>
      <c r="Y287" s="155" t="str">
        <f>DB!$D$102</f>
        <v>Epson Genuine Ink T6641 Black</v>
      </c>
      <c r="Z287" s="154"/>
      <c r="AA287" s="149"/>
      <c r="AB287" s="136"/>
      <c r="AC287" s="139"/>
      <c r="AD287" s="139"/>
      <c r="AE287" s="139"/>
      <c r="AF287" s="139"/>
    </row>
    <row r="288" spans="1:32" ht="12.75">
      <c r="A288" s="154" t="e">
        <f ca="1"/>
        <v>#NAME?</v>
      </c>
      <c r="B288" s="156" t="s">
        <v>697</v>
      </c>
      <c r="C288" s="152">
        <v>4</v>
      </c>
      <c r="D288" s="151" t="s">
        <v>571</v>
      </c>
      <c r="E288" s="149"/>
      <c r="F288" s="149"/>
      <c r="G288" s="151" t="s">
        <v>342</v>
      </c>
      <c r="H288" s="151">
        <v>1</v>
      </c>
      <c r="I288" s="151">
        <v>1</v>
      </c>
      <c r="J288" s="151">
        <v>0</v>
      </c>
      <c r="K288" s="151">
        <v>0</v>
      </c>
      <c r="L288" s="151">
        <v>1</v>
      </c>
      <c r="M288" s="151">
        <v>1</v>
      </c>
      <c r="N288" s="151">
        <v>0</v>
      </c>
      <c r="O288" s="151">
        <v>0</v>
      </c>
      <c r="P288" s="151">
        <v>1</v>
      </c>
      <c r="Q288" s="151">
        <v>1</v>
      </c>
      <c r="R288" s="151">
        <v>0</v>
      </c>
      <c r="S288" s="151">
        <v>0</v>
      </c>
      <c r="T288" s="151">
        <v>1</v>
      </c>
      <c r="U288" s="151">
        <v>1</v>
      </c>
      <c r="V288" s="151">
        <v>0</v>
      </c>
      <c r="W288" s="151">
        <v>0</v>
      </c>
      <c r="X288" s="137" t="s">
        <v>203</v>
      </c>
      <c r="Y288" s="155" t="str">
        <f>DB!$D$103</f>
        <v>Epson Genuine Ink T6642 Cyan</v>
      </c>
      <c r="Z288" s="154"/>
      <c r="AA288" s="149"/>
      <c r="AB288" s="136"/>
      <c r="AC288" s="139"/>
      <c r="AD288" s="139"/>
      <c r="AE288" s="139"/>
      <c r="AF288" s="139"/>
    </row>
    <row r="289" spans="1:32" ht="12.75">
      <c r="A289" s="154" t="e">
        <f ca="1"/>
        <v>#NAME?</v>
      </c>
      <c r="B289" s="156" t="s">
        <v>698</v>
      </c>
      <c r="C289" s="152">
        <v>4</v>
      </c>
      <c r="D289" s="151" t="s">
        <v>571</v>
      </c>
      <c r="E289" s="149"/>
      <c r="F289" s="149"/>
      <c r="G289" s="151" t="s">
        <v>342</v>
      </c>
      <c r="H289" s="151">
        <v>1</v>
      </c>
      <c r="I289" s="151">
        <v>1</v>
      </c>
      <c r="J289" s="151">
        <v>0</v>
      </c>
      <c r="K289" s="151">
        <v>0</v>
      </c>
      <c r="L289" s="151">
        <v>1</v>
      </c>
      <c r="M289" s="151">
        <v>1</v>
      </c>
      <c r="N289" s="151">
        <v>0</v>
      </c>
      <c r="O289" s="151">
        <v>0</v>
      </c>
      <c r="P289" s="151">
        <v>1</v>
      </c>
      <c r="Q289" s="151">
        <v>1</v>
      </c>
      <c r="R289" s="151">
        <v>0</v>
      </c>
      <c r="S289" s="151">
        <v>0</v>
      </c>
      <c r="T289" s="151">
        <v>1</v>
      </c>
      <c r="U289" s="151">
        <v>1</v>
      </c>
      <c r="V289" s="151">
        <v>0</v>
      </c>
      <c r="W289" s="151">
        <v>0</v>
      </c>
      <c r="X289" s="137" t="s">
        <v>203</v>
      </c>
      <c r="Y289" s="155" t="str">
        <f>DB!$D$104</f>
        <v>Epson Genuine Ink T6643 Magenta</v>
      </c>
      <c r="Z289" s="154"/>
      <c r="AA289" s="149"/>
      <c r="AB289" s="136"/>
      <c r="AC289" s="139"/>
      <c r="AD289" s="139"/>
      <c r="AE289" s="139"/>
      <c r="AF289" s="139"/>
    </row>
    <row r="290" spans="1:32" ht="12.75">
      <c r="A290" s="154" t="e">
        <f ca="1"/>
        <v>#NAME?</v>
      </c>
      <c r="B290" s="156" t="s">
        <v>699</v>
      </c>
      <c r="C290" s="152">
        <v>4</v>
      </c>
      <c r="D290" s="151" t="s">
        <v>571</v>
      </c>
      <c r="E290" s="149"/>
      <c r="F290" s="149"/>
      <c r="G290" s="151" t="s">
        <v>342</v>
      </c>
      <c r="H290" s="151">
        <v>1</v>
      </c>
      <c r="I290" s="151">
        <v>1</v>
      </c>
      <c r="J290" s="151">
        <v>0</v>
      </c>
      <c r="K290" s="151">
        <v>0</v>
      </c>
      <c r="L290" s="151">
        <v>1</v>
      </c>
      <c r="M290" s="151">
        <v>1</v>
      </c>
      <c r="N290" s="151">
        <v>0</v>
      </c>
      <c r="O290" s="151">
        <v>0</v>
      </c>
      <c r="P290" s="151">
        <v>1</v>
      </c>
      <c r="Q290" s="151">
        <v>1</v>
      </c>
      <c r="R290" s="151">
        <v>0</v>
      </c>
      <c r="S290" s="151">
        <v>0</v>
      </c>
      <c r="T290" s="151">
        <v>1</v>
      </c>
      <c r="U290" s="151">
        <v>1</v>
      </c>
      <c r="V290" s="151">
        <v>0</v>
      </c>
      <c r="W290" s="151">
        <v>0</v>
      </c>
      <c r="X290" s="137" t="s">
        <v>203</v>
      </c>
      <c r="Y290" s="155" t="str">
        <f>DB!$D$105</f>
        <v>Epson Genuine Ink T6644 Yellow</v>
      </c>
      <c r="Z290" s="154"/>
      <c r="AA290" s="149"/>
      <c r="AB290" s="136"/>
      <c r="AC290" s="139"/>
      <c r="AD290" s="139"/>
      <c r="AE290" s="139"/>
      <c r="AF290" s="139"/>
    </row>
    <row r="291" spans="1:32" ht="12.75">
      <c r="A291" s="154" t="e">
        <f ca="1"/>
        <v>#NAME?</v>
      </c>
      <c r="B291" s="156" t="s">
        <v>700</v>
      </c>
      <c r="C291" s="152">
        <v>8</v>
      </c>
      <c r="D291" s="151" t="s">
        <v>571</v>
      </c>
      <c r="E291" s="149"/>
      <c r="F291" s="149"/>
      <c r="G291" s="151" t="s">
        <v>342</v>
      </c>
      <c r="H291" s="151">
        <v>3</v>
      </c>
      <c r="I291" s="151">
        <v>1</v>
      </c>
      <c r="J291" s="151">
        <v>1</v>
      </c>
      <c r="K291" s="151">
        <v>1</v>
      </c>
      <c r="L291" s="151">
        <v>3</v>
      </c>
      <c r="M291" s="151">
        <v>1</v>
      </c>
      <c r="N291" s="151">
        <v>1</v>
      </c>
      <c r="O291" s="151">
        <v>1</v>
      </c>
      <c r="P291" s="151">
        <v>3</v>
      </c>
      <c r="Q291" s="151">
        <v>1</v>
      </c>
      <c r="R291" s="151">
        <v>1</v>
      </c>
      <c r="S291" s="151">
        <v>1</v>
      </c>
      <c r="T291" s="151">
        <v>3</v>
      </c>
      <c r="U291" s="151">
        <v>1</v>
      </c>
      <c r="V291" s="151">
        <v>1</v>
      </c>
      <c r="W291" s="151">
        <v>1</v>
      </c>
      <c r="X291" s="137" t="s">
        <v>203</v>
      </c>
      <c r="Y291" s="155" t="str">
        <f>DB!$D$106</f>
        <v>Epson Genuine Ink (003) Black</v>
      </c>
      <c r="Z291" s="154"/>
      <c r="AA291" s="149"/>
      <c r="AB291" s="136"/>
      <c r="AC291" s="139"/>
      <c r="AD291" s="139"/>
      <c r="AE291" s="139"/>
      <c r="AF291" s="139"/>
    </row>
    <row r="292" spans="1:32" ht="12.75">
      <c r="A292" s="154" t="e">
        <f ca="1"/>
        <v>#NAME?</v>
      </c>
      <c r="B292" s="156" t="s">
        <v>701</v>
      </c>
      <c r="C292" s="152">
        <v>4</v>
      </c>
      <c r="D292" s="151" t="s">
        <v>571</v>
      </c>
      <c r="E292" s="153"/>
      <c r="F292" s="153"/>
      <c r="G292" s="151" t="s">
        <v>342</v>
      </c>
      <c r="H292" s="151">
        <v>2</v>
      </c>
      <c r="I292" s="151">
        <v>1</v>
      </c>
      <c r="J292" s="151">
        <v>0</v>
      </c>
      <c r="K292" s="151">
        <v>1</v>
      </c>
      <c r="L292" s="151">
        <v>2</v>
      </c>
      <c r="M292" s="151">
        <v>1</v>
      </c>
      <c r="N292" s="151">
        <v>0</v>
      </c>
      <c r="O292" s="151">
        <v>1</v>
      </c>
      <c r="P292" s="151">
        <v>2</v>
      </c>
      <c r="Q292" s="151">
        <v>1</v>
      </c>
      <c r="R292" s="151">
        <v>0</v>
      </c>
      <c r="S292" s="151">
        <v>1</v>
      </c>
      <c r="T292" s="151">
        <v>2</v>
      </c>
      <c r="U292" s="151">
        <v>1</v>
      </c>
      <c r="V292" s="151">
        <v>0</v>
      </c>
      <c r="W292" s="151">
        <v>1</v>
      </c>
      <c r="X292" s="137" t="s">
        <v>203</v>
      </c>
      <c r="Y292" s="155" t="str">
        <f>DB!$D$107</f>
        <v>Epson Genuine Ink (003) Cyan</v>
      </c>
      <c r="Z292" s="154"/>
      <c r="AA292" s="149"/>
      <c r="AB292" s="136"/>
      <c r="AC292" s="139"/>
      <c r="AD292" s="139"/>
      <c r="AE292" s="139"/>
      <c r="AF292" s="139"/>
    </row>
    <row r="293" spans="1:32" ht="12.75">
      <c r="A293" s="154" t="e">
        <f ca="1"/>
        <v>#NAME?</v>
      </c>
      <c r="B293" s="156" t="s">
        <v>702</v>
      </c>
      <c r="C293" s="152">
        <v>4</v>
      </c>
      <c r="D293" s="151" t="s">
        <v>571</v>
      </c>
      <c r="E293" s="153"/>
      <c r="F293" s="153"/>
      <c r="G293" s="151" t="s">
        <v>342</v>
      </c>
      <c r="H293" s="151">
        <v>2</v>
      </c>
      <c r="I293" s="151">
        <v>1</v>
      </c>
      <c r="J293" s="151">
        <v>0</v>
      </c>
      <c r="K293" s="151">
        <v>1</v>
      </c>
      <c r="L293" s="151">
        <v>2</v>
      </c>
      <c r="M293" s="151">
        <v>1</v>
      </c>
      <c r="N293" s="151">
        <v>0</v>
      </c>
      <c r="O293" s="151">
        <v>1</v>
      </c>
      <c r="P293" s="151">
        <v>2</v>
      </c>
      <c r="Q293" s="151">
        <v>1</v>
      </c>
      <c r="R293" s="151">
        <v>0</v>
      </c>
      <c r="S293" s="151">
        <v>1</v>
      </c>
      <c r="T293" s="151">
        <v>2</v>
      </c>
      <c r="U293" s="151">
        <v>1</v>
      </c>
      <c r="V293" s="151">
        <v>0</v>
      </c>
      <c r="W293" s="151">
        <v>1</v>
      </c>
      <c r="X293" s="137" t="s">
        <v>203</v>
      </c>
      <c r="Y293" s="155" t="str">
        <f>DB!$D$108</f>
        <v>Epson Genuine Ink (003) Yellow</v>
      </c>
      <c r="Z293" s="154"/>
      <c r="AA293" s="149"/>
      <c r="AB293" s="136"/>
      <c r="AC293" s="139"/>
      <c r="AD293" s="139"/>
      <c r="AE293" s="139"/>
      <c r="AF293" s="139"/>
    </row>
    <row r="294" spans="1:32" ht="12.75">
      <c r="A294" s="154" t="e">
        <f ca="1"/>
        <v>#NAME?</v>
      </c>
      <c r="B294" s="156" t="s">
        <v>703</v>
      </c>
      <c r="C294" s="152">
        <v>4</v>
      </c>
      <c r="D294" s="151" t="s">
        <v>571</v>
      </c>
      <c r="E294" s="149"/>
      <c r="F294" s="149"/>
      <c r="G294" s="151" t="s">
        <v>342</v>
      </c>
      <c r="H294" s="151">
        <v>2</v>
      </c>
      <c r="I294" s="151">
        <v>1</v>
      </c>
      <c r="J294" s="151">
        <v>0</v>
      </c>
      <c r="K294" s="151">
        <v>1</v>
      </c>
      <c r="L294" s="151">
        <v>2</v>
      </c>
      <c r="M294" s="151">
        <v>1</v>
      </c>
      <c r="N294" s="151">
        <v>0</v>
      </c>
      <c r="O294" s="151">
        <v>1</v>
      </c>
      <c r="P294" s="151">
        <v>2</v>
      </c>
      <c r="Q294" s="151">
        <v>1</v>
      </c>
      <c r="R294" s="151">
        <v>0</v>
      </c>
      <c r="S294" s="151">
        <v>1</v>
      </c>
      <c r="T294" s="151">
        <v>2</v>
      </c>
      <c r="U294" s="151">
        <v>1</v>
      </c>
      <c r="V294" s="151">
        <v>0</v>
      </c>
      <c r="W294" s="151">
        <v>1</v>
      </c>
      <c r="X294" s="137" t="s">
        <v>203</v>
      </c>
      <c r="Y294" s="155" t="str">
        <f>DB!$D$109</f>
        <v>Epson Genuine Ink (003) Magenta</v>
      </c>
      <c r="Z294" s="154"/>
      <c r="AA294" s="149"/>
      <c r="AB294" s="136"/>
      <c r="AC294" s="139"/>
      <c r="AD294" s="139"/>
      <c r="AE294" s="139"/>
      <c r="AF294" s="139"/>
    </row>
    <row r="295" spans="1:32" ht="25.5">
      <c r="A295" s="154" t="e">
        <f ca="1"/>
        <v>#NAME?</v>
      </c>
      <c r="B295" s="156" t="s">
        <v>704</v>
      </c>
      <c r="C295" s="152">
        <v>12</v>
      </c>
      <c r="D295" s="151" t="s">
        <v>705</v>
      </c>
      <c r="E295" s="149"/>
      <c r="F295" s="149"/>
      <c r="G295" s="151" t="s">
        <v>342</v>
      </c>
      <c r="H295" s="151">
        <v>3</v>
      </c>
      <c r="I295" s="151">
        <v>1</v>
      </c>
      <c r="J295" s="151">
        <v>1</v>
      </c>
      <c r="K295" s="151">
        <v>1</v>
      </c>
      <c r="L295" s="151">
        <v>3</v>
      </c>
      <c r="M295" s="151">
        <v>1</v>
      </c>
      <c r="N295" s="151">
        <v>1</v>
      </c>
      <c r="O295" s="151">
        <v>1</v>
      </c>
      <c r="P295" s="151">
        <v>3</v>
      </c>
      <c r="Q295" s="151">
        <v>1</v>
      </c>
      <c r="R295" s="151">
        <v>1</v>
      </c>
      <c r="S295" s="151">
        <v>1</v>
      </c>
      <c r="T295" s="151">
        <v>3</v>
      </c>
      <c r="U295" s="151">
        <v>1</v>
      </c>
      <c r="V295" s="151">
        <v>1</v>
      </c>
      <c r="W295" s="151">
        <v>1</v>
      </c>
      <c r="X295" s="137" t="s">
        <v>203</v>
      </c>
      <c r="Y295" s="155" t="str">
        <f>DB!$D$260</f>
        <v>Toner Cartridge for the existing ECOSYS M5521CDW</v>
      </c>
      <c r="Z295" s="163"/>
      <c r="AA295" s="149"/>
      <c r="AB295" s="136"/>
      <c r="AC295" s="139"/>
      <c r="AD295" s="139"/>
      <c r="AE295" s="139"/>
      <c r="AF295" s="139"/>
    </row>
    <row r="296" spans="1:32" ht="25.5">
      <c r="A296" s="154" t="e">
        <f ca="1"/>
        <v>#NAME?</v>
      </c>
      <c r="B296" s="156" t="s">
        <v>706</v>
      </c>
      <c r="C296" s="152">
        <v>8</v>
      </c>
      <c r="D296" s="151" t="s">
        <v>705</v>
      </c>
      <c r="E296" s="153"/>
      <c r="F296" s="153"/>
      <c r="G296" s="151" t="s">
        <v>342</v>
      </c>
      <c r="H296" s="151">
        <v>2</v>
      </c>
      <c r="I296" s="151">
        <v>1</v>
      </c>
      <c r="J296" s="151">
        <v>0</v>
      </c>
      <c r="K296" s="151">
        <v>1</v>
      </c>
      <c r="L296" s="151">
        <v>2</v>
      </c>
      <c r="M296" s="151">
        <v>1</v>
      </c>
      <c r="N296" s="151">
        <v>0</v>
      </c>
      <c r="O296" s="151">
        <v>1</v>
      </c>
      <c r="P296" s="151">
        <v>2</v>
      </c>
      <c r="Q296" s="151">
        <v>1</v>
      </c>
      <c r="R296" s="151">
        <v>0</v>
      </c>
      <c r="S296" s="151">
        <v>1</v>
      </c>
      <c r="T296" s="151">
        <v>2</v>
      </c>
      <c r="U296" s="151">
        <v>1</v>
      </c>
      <c r="V296" s="151">
        <v>0</v>
      </c>
      <c r="W296" s="151">
        <v>1</v>
      </c>
      <c r="X296" s="137" t="s">
        <v>203</v>
      </c>
      <c r="Y296" s="155" t="str">
        <f>DB!$D$235</f>
        <v>Colored Toner Cartridge Set for the existing ECOSYS M5521CDW</v>
      </c>
      <c r="Z296" s="163"/>
      <c r="AA296" s="149"/>
      <c r="AB296" s="136"/>
      <c r="AC296" s="139"/>
      <c r="AD296" s="139"/>
      <c r="AE296" s="139"/>
      <c r="AF296" s="139"/>
    </row>
    <row r="297" spans="1:32" ht="12.75">
      <c r="A297" s="154" t="e">
        <f ca="1"/>
        <v>#NAME?</v>
      </c>
      <c r="B297" s="156" t="s">
        <v>707</v>
      </c>
      <c r="C297" s="152">
        <v>8</v>
      </c>
      <c r="D297" s="151" t="s">
        <v>705</v>
      </c>
      <c r="E297" s="153"/>
      <c r="F297" s="153"/>
      <c r="G297" s="151" t="s">
        <v>342</v>
      </c>
      <c r="H297" s="151">
        <v>2</v>
      </c>
      <c r="I297" s="151">
        <v>1</v>
      </c>
      <c r="J297" s="151">
        <v>0</v>
      </c>
      <c r="K297" s="151">
        <v>1</v>
      </c>
      <c r="L297" s="151">
        <v>2</v>
      </c>
      <c r="M297" s="151">
        <v>1</v>
      </c>
      <c r="N297" s="151">
        <v>0</v>
      </c>
      <c r="O297" s="151">
        <v>1</v>
      </c>
      <c r="P297" s="151">
        <v>2</v>
      </c>
      <c r="Q297" s="151">
        <v>1</v>
      </c>
      <c r="R297" s="151">
        <v>0</v>
      </c>
      <c r="S297" s="151">
        <v>1</v>
      </c>
      <c r="T297" s="151">
        <v>2</v>
      </c>
      <c r="U297" s="151">
        <v>1</v>
      </c>
      <c r="V297" s="151">
        <v>0</v>
      </c>
      <c r="W297" s="151">
        <v>1</v>
      </c>
      <c r="X297" s="137" t="s">
        <v>203</v>
      </c>
      <c r="Y297" s="155"/>
      <c r="Z297" s="163" t="s">
        <v>453</v>
      </c>
      <c r="AA297" s="149"/>
      <c r="AB297" s="136"/>
      <c r="AC297" s="139"/>
      <c r="AD297" s="139"/>
      <c r="AE297" s="139"/>
      <c r="AF297" s="139"/>
    </row>
    <row r="298" spans="1:32" ht="12.75">
      <c r="A298" s="154" t="e">
        <f ca="1"/>
        <v>#NAME?</v>
      </c>
      <c r="B298" s="156" t="s">
        <v>708</v>
      </c>
      <c r="C298" s="152">
        <v>8</v>
      </c>
      <c r="D298" s="151" t="s">
        <v>705</v>
      </c>
      <c r="E298" s="153"/>
      <c r="F298" s="153"/>
      <c r="G298" s="151" t="s">
        <v>342</v>
      </c>
      <c r="H298" s="151">
        <v>2</v>
      </c>
      <c r="I298" s="151">
        <v>1</v>
      </c>
      <c r="J298" s="151">
        <v>0</v>
      </c>
      <c r="K298" s="151">
        <v>1</v>
      </c>
      <c r="L298" s="151">
        <v>2</v>
      </c>
      <c r="M298" s="151">
        <v>1</v>
      </c>
      <c r="N298" s="151">
        <v>0</v>
      </c>
      <c r="O298" s="151">
        <v>1</v>
      </c>
      <c r="P298" s="151">
        <v>2</v>
      </c>
      <c r="Q298" s="151">
        <v>1</v>
      </c>
      <c r="R298" s="151">
        <v>0</v>
      </c>
      <c r="S298" s="151">
        <v>1</v>
      </c>
      <c r="T298" s="151">
        <v>2</v>
      </c>
      <c r="U298" s="151">
        <v>1</v>
      </c>
      <c r="V298" s="151">
        <v>0</v>
      </c>
      <c r="W298" s="151">
        <v>1</v>
      </c>
      <c r="X298" s="137" t="s">
        <v>203</v>
      </c>
      <c r="Y298" s="155"/>
      <c r="Z298" s="163" t="s">
        <v>453</v>
      </c>
      <c r="AA298" s="149"/>
      <c r="AB298" s="136"/>
      <c r="AC298" s="139"/>
      <c r="AD298" s="139"/>
      <c r="AE298" s="139"/>
      <c r="AF298" s="139"/>
    </row>
    <row r="299" spans="1:32" ht="25.5">
      <c r="A299" s="154" t="e">
        <f ca="1"/>
        <v>#NAME?</v>
      </c>
      <c r="B299" s="156" t="s">
        <v>557</v>
      </c>
      <c r="C299" s="151">
        <v>210</v>
      </c>
      <c r="D299" s="151" t="s">
        <v>571</v>
      </c>
      <c r="E299" s="153"/>
      <c r="F299" s="153"/>
      <c r="G299" s="154"/>
      <c r="H299" s="151">
        <v>60</v>
      </c>
      <c r="I299" s="151">
        <v>20</v>
      </c>
      <c r="J299" s="151">
        <v>20</v>
      </c>
      <c r="K299" s="151">
        <v>20</v>
      </c>
      <c r="L299" s="151">
        <v>30</v>
      </c>
      <c r="M299" s="151">
        <v>10</v>
      </c>
      <c r="N299" s="151">
        <v>10</v>
      </c>
      <c r="O299" s="151">
        <v>10</v>
      </c>
      <c r="P299" s="151">
        <v>60</v>
      </c>
      <c r="Q299" s="151">
        <v>20</v>
      </c>
      <c r="R299" s="151">
        <v>20</v>
      </c>
      <c r="S299" s="151">
        <v>20</v>
      </c>
      <c r="T299" s="151">
        <v>60</v>
      </c>
      <c r="U299" s="151">
        <v>20</v>
      </c>
      <c r="V299" s="151">
        <v>20</v>
      </c>
      <c r="W299" s="151">
        <v>20</v>
      </c>
      <c r="X299" s="137" t="s">
        <v>214</v>
      </c>
      <c r="Y299" s="155" t="str">
        <f>DB!$D$102</f>
        <v>Epson Genuine Ink T6641 Black</v>
      </c>
      <c r="Z299" s="154"/>
      <c r="AA299" s="149"/>
      <c r="AB299" s="136"/>
      <c r="AC299" s="139"/>
      <c r="AD299" s="139"/>
      <c r="AE299" s="139"/>
      <c r="AF299" s="139"/>
    </row>
    <row r="300" spans="1:32" ht="25.5">
      <c r="A300" s="154" t="e">
        <f ca="1"/>
        <v>#NAME?</v>
      </c>
      <c r="B300" s="156" t="s">
        <v>558</v>
      </c>
      <c r="C300" s="151">
        <v>120</v>
      </c>
      <c r="D300" s="151" t="s">
        <v>571</v>
      </c>
      <c r="E300" s="149"/>
      <c r="F300" s="149"/>
      <c r="G300" s="149"/>
      <c r="H300" s="151">
        <v>30</v>
      </c>
      <c r="I300" s="151">
        <v>10</v>
      </c>
      <c r="J300" s="151">
        <v>10</v>
      </c>
      <c r="K300" s="151">
        <v>10</v>
      </c>
      <c r="L300" s="151">
        <v>30</v>
      </c>
      <c r="M300" s="151">
        <v>10</v>
      </c>
      <c r="N300" s="151">
        <v>10</v>
      </c>
      <c r="O300" s="151">
        <v>10</v>
      </c>
      <c r="P300" s="151">
        <v>30</v>
      </c>
      <c r="Q300" s="151">
        <v>10</v>
      </c>
      <c r="R300" s="151">
        <v>10</v>
      </c>
      <c r="S300" s="151">
        <v>10</v>
      </c>
      <c r="T300" s="151">
        <v>30</v>
      </c>
      <c r="U300" s="151">
        <v>10</v>
      </c>
      <c r="V300" s="151">
        <v>10</v>
      </c>
      <c r="W300" s="151">
        <v>10</v>
      </c>
      <c r="X300" s="137" t="s">
        <v>214</v>
      </c>
      <c r="Y300" s="155" t="str">
        <f>DB!$D$103</f>
        <v>Epson Genuine Ink T6642 Cyan</v>
      </c>
      <c r="Z300" s="154"/>
      <c r="AA300" s="149"/>
      <c r="AB300" s="136"/>
      <c r="AC300" s="139"/>
      <c r="AD300" s="139"/>
      <c r="AE300" s="139"/>
      <c r="AF300" s="139"/>
    </row>
    <row r="301" spans="1:32" ht="25.5">
      <c r="A301" s="154" t="e">
        <f ca="1"/>
        <v>#NAME?</v>
      </c>
      <c r="B301" s="156" t="s">
        <v>559</v>
      </c>
      <c r="C301" s="151">
        <v>75</v>
      </c>
      <c r="D301" s="151" t="s">
        <v>571</v>
      </c>
      <c r="E301" s="149"/>
      <c r="F301" s="153"/>
      <c r="G301" s="154"/>
      <c r="H301" s="151">
        <v>30</v>
      </c>
      <c r="I301" s="151">
        <v>10</v>
      </c>
      <c r="J301" s="151">
        <v>10</v>
      </c>
      <c r="K301" s="151">
        <v>10</v>
      </c>
      <c r="L301" s="151">
        <v>15</v>
      </c>
      <c r="M301" s="151">
        <v>5</v>
      </c>
      <c r="N301" s="151">
        <v>5</v>
      </c>
      <c r="O301" s="151">
        <v>5</v>
      </c>
      <c r="P301" s="151">
        <v>15</v>
      </c>
      <c r="Q301" s="151">
        <v>5</v>
      </c>
      <c r="R301" s="151">
        <v>5</v>
      </c>
      <c r="S301" s="151">
        <v>5</v>
      </c>
      <c r="T301" s="151">
        <v>15</v>
      </c>
      <c r="U301" s="151">
        <v>5</v>
      </c>
      <c r="V301" s="151">
        <v>5</v>
      </c>
      <c r="W301" s="151">
        <v>5</v>
      </c>
      <c r="X301" s="137" t="s">
        <v>214</v>
      </c>
      <c r="Y301" s="155" t="str">
        <f>DB!$D$104</f>
        <v>Epson Genuine Ink T6643 Magenta</v>
      </c>
      <c r="Z301" s="154"/>
      <c r="AA301" s="149"/>
      <c r="AB301" s="136"/>
      <c r="AC301" s="139"/>
      <c r="AD301" s="139"/>
      <c r="AE301" s="139"/>
      <c r="AF301" s="139"/>
    </row>
    <row r="302" spans="1:32" ht="25.5">
      <c r="A302" s="154" t="e">
        <f ca="1"/>
        <v>#NAME?</v>
      </c>
      <c r="B302" s="156" t="s">
        <v>709</v>
      </c>
      <c r="C302" s="151">
        <v>75</v>
      </c>
      <c r="D302" s="151" t="s">
        <v>571</v>
      </c>
      <c r="E302" s="149"/>
      <c r="F302" s="153"/>
      <c r="G302" s="154"/>
      <c r="H302" s="151">
        <v>30</v>
      </c>
      <c r="I302" s="151">
        <v>10</v>
      </c>
      <c r="J302" s="151">
        <v>10</v>
      </c>
      <c r="K302" s="151">
        <v>10</v>
      </c>
      <c r="L302" s="151">
        <v>15</v>
      </c>
      <c r="M302" s="151">
        <v>5</v>
      </c>
      <c r="N302" s="151">
        <v>5</v>
      </c>
      <c r="O302" s="151">
        <v>5</v>
      </c>
      <c r="P302" s="151">
        <v>15</v>
      </c>
      <c r="Q302" s="151">
        <v>5</v>
      </c>
      <c r="R302" s="151">
        <v>5</v>
      </c>
      <c r="S302" s="151">
        <v>5</v>
      </c>
      <c r="T302" s="151">
        <v>15</v>
      </c>
      <c r="U302" s="151">
        <v>5</v>
      </c>
      <c r="V302" s="151">
        <v>5</v>
      </c>
      <c r="W302" s="151">
        <v>5</v>
      </c>
      <c r="X302" s="137" t="s">
        <v>214</v>
      </c>
      <c r="Y302" s="155" t="str">
        <f>DB!$D$105</f>
        <v>Epson Genuine Ink T6644 Yellow</v>
      </c>
      <c r="Z302" s="154"/>
      <c r="AA302" s="149"/>
      <c r="AB302" s="136"/>
      <c r="AC302" s="139"/>
      <c r="AD302" s="139"/>
      <c r="AE302" s="139"/>
      <c r="AF302" s="139"/>
    </row>
    <row r="303" spans="1:32" ht="25.5">
      <c r="A303" s="154" t="e">
        <f ca="1"/>
        <v>#NAME?</v>
      </c>
      <c r="B303" s="156" t="s">
        <v>710</v>
      </c>
      <c r="C303" s="151">
        <v>30</v>
      </c>
      <c r="D303" s="151" t="s">
        <v>103</v>
      </c>
      <c r="E303" s="149"/>
      <c r="F303" s="153"/>
      <c r="G303" s="154"/>
      <c r="H303" s="151">
        <v>7</v>
      </c>
      <c r="I303" s="151">
        <v>2</v>
      </c>
      <c r="J303" s="151">
        <v>3</v>
      </c>
      <c r="K303" s="151">
        <v>2</v>
      </c>
      <c r="L303" s="151">
        <v>8</v>
      </c>
      <c r="M303" s="151">
        <v>3</v>
      </c>
      <c r="N303" s="151">
        <v>2</v>
      </c>
      <c r="O303" s="151">
        <v>3</v>
      </c>
      <c r="P303" s="151">
        <v>7</v>
      </c>
      <c r="Q303" s="151">
        <v>2</v>
      </c>
      <c r="R303" s="151">
        <v>3</v>
      </c>
      <c r="S303" s="151">
        <v>2</v>
      </c>
      <c r="T303" s="151">
        <v>8</v>
      </c>
      <c r="U303" s="151">
        <v>3</v>
      </c>
      <c r="V303" s="151">
        <v>2</v>
      </c>
      <c r="W303" s="151">
        <v>3</v>
      </c>
      <c r="X303" s="137" t="s">
        <v>214</v>
      </c>
      <c r="Y303" s="155" t="str">
        <f>DB!$D$246</f>
        <v>Toner Cartridge for the existing ECOSYS M4132IDN</v>
      </c>
      <c r="Z303" s="163"/>
      <c r="AA303" s="149"/>
      <c r="AB303" s="136"/>
      <c r="AC303" s="139"/>
      <c r="AD303" s="139"/>
      <c r="AE303" s="139"/>
      <c r="AF303" s="139"/>
    </row>
    <row r="304" spans="1:32" ht="25.5">
      <c r="A304" s="154" t="e">
        <f ca="1"/>
        <v>#NAME?</v>
      </c>
      <c r="B304" s="150" t="s">
        <v>711</v>
      </c>
      <c r="C304" s="151">
        <v>12</v>
      </c>
      <c r="D304" s="151" t="s">
        <v>103</v>
      </c>
      <c r="E304" s="149"/>
      <c r="F304" s="153"/>
      <c r="G304" s="154"/>
      <c r="H304" s="151">
        <v>3</v>
      </c>
      <c r="I304" s="151">
        <v>1</v>
      </c>
      <c r="J304" s="151">
        <v>1</v>
      </c>
      <c r="K304" s="151">
        <v>1</v>
      </c>
      <c r="L304" s="151">
        <v>3</v>
      </c>
      <c r="M304" s="151">
        <v>1</v>
      </c>
      <c r="N304" s="151">
        <v>1</v>
      </c>
      <c r="O304" s="151">
        <v>1</v>
      </c>
      <c r="P304" s="151">
        <v>3</v>
      </c>
      <c r="Q304" s="151">
        <v>1</v>
      </c>
      <c r="R304" s="151">
        <v>1</v>
      </c>
      <c r="S304" s="151">
        <v>1</v>
      </c>
      <c r="T304" s="151">
        <v>3</v>
      </c>
      <c r="U304" s="151">
        <v>1</v>
      </c>
      <c r="V304" s="151">
        <v>1</v>
      </c>
      <c r="W304" s="151">
        <v>1</v>
      </c>
      <c r="X304" s="137" t="s">
        <v>214</v>
      </c>
      <c r="Y304" s="155" t="str">
        <f>DB!$D$235</f>
        <v>Colored Toner Cartridge Set for the existing ECOSYS M5521CDW</v>
      </c>
      <c r="Z304" s="163"/>
      <c r="AA304" s="149"/>
      <c r="AB304" s="136"/>
      <c r="AC304" s="139"/>
      <c r="AD304" s="139"/>
      <c r="AE304" s="139"/>
      <c r="AF304" s="139"/>
    </row>
    <row r="305" spans="1:32" ht="12.75">
      <c r="A305" s="154" t="e">
        <f ca="1"/>
        <v>#NAME?</v>
      </c>
      <c r="B305" s="150" t="s">
        <v>712</v>
      </c>
      <c r="C305" s="151">
        <v>12</v>
      </c>
      <c r="D305" s="151" t="s">
        <v>103</v>
      </c>
      <c r="E305" s="153"/>
      <c r="F305" s="153"/>
      <c r="G305" s="154"/>
      <c r="H305" s="151">
        <v>3</v>
      </c>
      <c r="I305" s="151">
        <v>1</v>
      </c>
      <c r="J305" s="151">
        <v>1</v>
      </c>
      <c r="K305" s="151">
        <v>1</v>
      </c>
      <c r="L305" s="151">
        <v>3</v>
      </c>
      <c r="M305" s="151">
        <v>1</v>
      </c>
      <c r="N305" s="151">
        <v>1</v>
      </c>
      <c r="O305" s="151">
        <v>1</v>
      </c>
      <c r="P305" s="151">
        <v>3</v>
      </c>
      <c r="Q305" s="151">
        <v>1</v>
      </c>
      <c r="R305" s="151">
        <v>1</v>
      </c>
      <c r="S305" s="151">
        <v>1</v>
      </c>
      <c r="T305" s="151">
        <v>3</v>
      </c>
      <c r="U305" s="151">
        <v>1</v>
      </c>
      <c r="V305" s="151">
        <v>1</v>
      </c>
      <c r="W305" s="151">
        <v>1</v>
      </c>
      <c r="X305" s="137" t="s">
        <v>214</v>
      </c>
      <c r="Y305" s="163"/>
      <c r="Z305" s="163" t="s">
        <v>453</v>
      </c>
      <c r="AA305" s="149"/>
      <c r="AB305" s="136"/>
      <c r="AC305" s="139"/>
      <c r="AD305" s="139"/>
      <c r="AE305" s="139"/>
      <c r="AF305" s="139"/>
    </row>
    <row r="306" spans="1:32" ht="12.75">
      <c r="A306" s="154" t="e">
        <f ca="1"/>
        <v>#NAME?</v>
      </c>
      <c r="B306" s="150" t="s">
        <v>713</v>
      </c>
      <c r="C306" s="151">
        <v>12</v>
      </c>
      <c r="D306" s="151" t="s">
        <v>103</v>
      </c>
      <c r="E306" s="154"/>
      <c r="F306" s="154"/>
      <c r="G306" s="149"/>
      <c r="H306" s="151">
        <v>3</v>
      </c>
      <c r="I306" s="151">
        <v>1</v>
      </c>
      <c r="J306" s="151">
        <v>1</v>
      </c>
      <c r="K306" s="151">
        <v>1</v>
      </c>
      <c r="L306" s="151">
        <v>3</v>
      </c>
      <c r="M306" s="151">
        <v>1</v>
      </c>
      <c r="N306" s="151">
        <v>1</v>
      </c>
      <c r="O306" s="151">
        <v>1</v>
      </c>
      <c r="P306" s="151">
        <v>3</v>
      </c>
      <c r="Q306" s="151">
        <v>1</v>
      </c>
      <c r="R306" s="151">
        <v>1</v>
      </c>
      <c r="S306" s="151">
        <v>1</v>
      </c>
      <c r="T306" s="151">
        <v>3</v>
      </c>
      <c r="U306" s="151">
        <v>1</v>
      </c>
      <c r="V306" s="151">
        <v>1</v>
      </c>
      <c r="W306" s="151">
        <v>1</v>
      </c>
      <c r="X306" s="137" t="s">
        <v>214</v>
      </c>
      <c r="Y306" s="155"/>
      <c r="Z306" s="163" t="s">
        <v>453</v>
      </c>
      <c r="AA306" s="154"/>
      <c r="AB306" s="136"/>
      <c r="AC306" s="139"/>
      <c r="AD306" s="139"/>
      <c r="AE306" s="139"/>
      <c r="AF306" s="139"/>
    </row>
    <row r="307" spans="1:32" ht="25.5">
      <c r="A307" s="154" t="e">
        <f ca="1"/>
        <v>#NAME?</v>
      </c>
      <c r="B307" s="150" t="s">
        <v>714</v>
      </c>
      <c r="C307" s="151">
        <v>12</v>
      </c>
      <c r="D307" s="151" t="s">
        <v>103</v>
      </c>
      <c r="E307" s="154"/>
      <c r="F307" s="154"/>
      <c r="G307" s="149"/>
      <c r="H307" s="151">
        <v>3</v>
      </c>
      <c r="I307" s="151">
        <v>1</v>
      </c>
      <c r="J307" s="151">
        <v>1</v>
      </c>
      <c r="K307" s="151">
        <v>1</v>
      </c>
      <c r="L307" s="151">
        <v>3</v>
      </c>
      <c r="M307" s="151">
        <v>1</v>
      </c>
      <c r="N307" s="151">
        <v>1</v>
      </c>
      <c r="O307" s="151">
        <v>1</v>
      </c>
      <c r="P307" s="151">
        <v>3</v>
      </c>
      <c r="Q307" s="151">
        <v>1</v>
      </c>
      <c r="R307" s="151">
        <v>1</v>
      </c>
      <c r="S307" s="151">
        <v>1</v>
      </c>
      <c r="T307" s="151">
        <v>3</v>
      </c>
      <c r="U307" s="151">
        <v>1</v>
      </c>
      <c r="V307" s="151">
        <v>1</v>
      </c>
      <c r="W307" s="151">
        <v>1</v>
      </c>
      <c r="X307" s="137" t="s">
        <v>214</v>
      </c>
      <c r="Y307" s="155" t="str">
        <f>DB!$D$260</f>
        <v>Toner Cartridge for the existing ECOSYS M5521CDW</v>
      </c>
      <c r="Z307" s="163"/>
      <c r="AA307" s="154"/>
      <c r="AB307" s="136"/>
      <c r="AC307" s="139"/>
      <c r="AD307" s="139"/>
      <c r="AE307" s="139"/>
      <c r="AF307" s="139"/>
    </row>
    <row r="308" spans="1:32" ht="12.75">
      <c r="A308" s="154" t="e">
        <f ca="1"/>
        <v>#NAME?</v>
      </c>
      <c r="B308" s="156" t="s">
        <v>532</v>
      </c>
      <c r="C308" s="151">
        <v>4</v>
      </c>
      <c r="D308" s="151" t="s">
        <v>103</v>
      </c>
      <c r="E308" s="154"/>
      <c r="F308" s="154"/>
      <c r="G308" s="151" t="s">
        <v>342</v>
      </c>
      <c r="H308" s="151">
        <v>4</v>
      </c>
      <c r="I308" s="151" t="s">
        <v>533</v>
      </c>
      <c r="J308" s="149"/>
      <c r="K308" s="149"/>
      <c r="L308" s="149"/>
      <c r="M308" s="149"/>
      <c r="N308" s="149"/>
      <c r="O308" s="149"/>
      <c r="P308" s="149"/>
      <c r="Q308" s="149"/>
      <c r="R308" s="149"/>
      <c r="S308" s="149"/>
      <c r="T308" s="149"/>
      <c r="U308" s="149"/>
      <c r="V308" s="149"/>
      <c r="W308" s="149"/>
      <c r="X308" s="137" t="s">
        <v>114</v>
      </c>
      <c r="Y308" s="155" t="str">
        <f>DB!$D$79</f>
        <v>32GB Flash Drive</v>
      </c>
      <c r="Z308" s="154"/>
      <c r="AA308" s="154"/>
      <c r="AB308" s="136"/>
      <c r="AC308" s="139"/>
      <c r="AD308" s="139"/>
      <c r="AE308" s="139"/>
      <c r="AF308" s="139"/>
    </row>
    <row r="309" spans="1:32" ht="25.5">
      <c r="A309" s="154" t="e">
        <f ca="1"/>
        <v>#NAME?</v>
      </c>
      <c r="B309" s="156" t="s">
        <v>534</v>
      </c>
      <c r="C309" s="151">
        <v>2</v>
      </c>
      <c r="D309" s="151" t="s">
        <v>103</v>
      </c>
      <c r="E309" s="154"/>
      <c r="F309" s="154"/>
      <c r="G309" s="151" t="s">
        <v>342</v>
      </c>
      <c r="H309" s="151">
        <v>2</v>
      </c>
      <c r="I309" s="151" t="s">
        <v>533</v>
      </c>
      <c r="J309" s="149"/>
      <c r="K309" s="149"/>
      <c r="L309" s="149"/>
      <c r="M309" s="149"/>
      <c r="N309" s="149"/>
      <c r="O309" s="149"/>
      <c r="P309" s="149"/>
      <c r="Q309" s="149"/>
      <c r="R309" s="149"/>
      <c r="S309" s="149"/>
      <c r="T309" s="149"/>
      <c r="U309" s="149"/>
      <c r="V309" s="149"/>
      <c r="W309" s="149"/>
      <c r="X309" s="137" t="s">
        <v>114</v>
      </c>
      <c r="Y309" s="155" t="str">
        <f>DB!$D$90</f>
        <v>Professional Presenter Wireless Presentation Clicker Remote</v>
      </c>
      <c r="Z309" s="154"/>
      <c r="AA309" s="154"/>
      <c r="AB309" s="136"/>
      <c r="AC309" s="139"/>
      <c r="AD309" s="139"/>
      <c r="AE309" s="139"/>
      <c r="AF309" s="139"/>
    </row>
    <row r="310" spans="1:32" ht="25.5">
      <c r="A310" s="154" t="e">
        <f ca="1"/>
        <v>#NAME?</v>
      </c>
      <c r="B310" s="150" t="s">
        <v>715</v>
      </c>
      <c r="C310" s="152">
        <v>1</v>
      </c>
      <c r="D310" s="151" t="s">
        <v>103</v>
      </c>
      <c r="E310" s="154"/>
      <c r="F310" s="154"/>
      <c r="G310" s="151" t="s">
        <v>342</v>
      </c>
      <c r="H310" s="151">
        <v>1</v>
      </c>
      <c r="I310" s="151" t="s">
        <v>533</v>
      </c>
      <c r="J310" s="149"/>
      <c r="K310" s="149"/>
      <c r="L310" s="149"/>
      <c r="M310" s="149"/>
      <c r="N310" s="149"/>
      <c r="O310" s="149"/>
      <c r="P310" s="149"/>
      <c r="Q310" s="149"/>
      <c r="R310" s="149"/>
      <c r="S310" s="149"/>
      <c r="T310" s="149"/>
      <c r="U310" s="149"/>
      <c r="V310" s="149"/>
      <c r="W310" s="149"/>
      <c r="X310" s="137" t="s">
        <v>114</v>
      </c>
      <c r="Y310" s="155" t="str">
        <f>DB!$D$74</f>
        <v>1TB Slim Portable Hard Drive External HDD</v>
      </c>
      <c r="Z310" s="154"/>
      <c r="AA310" s="154"/>
      <c r="AB310" s="136"/>
      <c r="AC310" s="139"/>
      <c r="AD310" s="139"/>
      <c r="AE310" s="139"/>
      <c r="AF310" s="139"/>
    </row>
    <row r="311" spans="1:32" ht="25.5">
      <c r="A311" s="154" t="e">
        <f ca="1"/>
        <v>#NAME?</v>
      </c>
      <c r="B311" s="156" t="s">
        <v>716</v>
      </c>
      <c r="C311" s="151">
        <v>1</v>
      </c>
      <c r="D311" s="151" t="s">
        <v>466</v>
      </c>
      <c r="E311" s="154"/>
      <c r="F311" s="154"/>
      <c r="G311" s="151" t="s">
        <v>342</v>
      </c>
      <c r="H311" s="151">
        <v>1</v>
      </c>
      <c r="I311" s="149"/>
      <c r="J311" s="149"/>
      <c r="K311" s="149"/>
      <c r="L311" s="151">
        <v>0</v>
      </c>
      <c r="M311" s="149"/>
      <c r="N311" s="149"/>
      <c r="O311" s="149"/>
      <c r="P311" s="151">
        <v>0</v>
      </c>
      <c r="Q311" s="149"/>
      <c r="R311" s="149"/>
      <c r="S311" s="149"/>
      <c r="T311" s="151">
        <v>0</v>
      </c>
      <c r="U311" s="149"/>
      <c r="V311" s="149"/>
      <c r="W311" s="149"/>
      <c r="X311" s="137" t="s">
        <v>117</v>
      </c>
      <c r="Y311" s="155" t="str">
        <f>DB!$D$74</f>
        <v>1TB Slim Portable Hard Drive External HDD</v>
      </c>
      <c r="Z311" s="154"/>
      <c r="AA311" s="154"/>
      <c r="AB311" s="136"/>
      <c r="AC311" s="139"/>
      <c r="AD311" s="139"/>
      <c r="AE311" s="139"/>
      <c r="AF311" s="139"/>
    </row>
    <row r="312" spans="1:32" ht="12.75">
      <c r="A312" s="154" t="e">
        <f ca="1"/>
        <v>#NAME?</v>
      </c>
      <c r="B312" s="156" t="s">
        <v>717</v>
      </c>
      <c r="C312" s="151">
        <v>1</v>
      </c>
      <c r="D312" s="151" t="s">
        <v>466</v>
      </c>
      <c r="E312" s="154"/>
      <c r="F312" s="154"/>
      <c r="G312" s="151" t="s">
        <v>342</v>
      </c>
      <c r="H312" s="151">
        <v>1</v>
      </c>
      <c r="I312" s="149"/>
      <c r="J312" s="149"/>
      <c r="K312" s="149"/>
      <c r="L312" s="151">
        <v>0</v>
      </c>
      <c r="M312" s="149"/>
      <c r="N312" s="149"/>
      <c r="O312" s="149"/>
      <c r="P312" s="151">
        <v>0</v>
      </c>
      <c r="Q312" s="149"/>
      <c r="R312" s="149"/>
      <c r="S312" s="149"/>
      <c r="T312" s="151">
        <v>0</v>
      </c>
      <c r="U312" s="149"/>
      <c r="V312" s="149"/>
      <c r="W312" s="149"/>
      <c r="X312" s="137" t="s">
        <v>117</v>
      </c>
      <c r="Y312" s="155" t="str">
        <f>DB!$D$276</f>
        <v>Ink Tank Printer</v>
      </c>
      <c r="Z312" s="154" t="s">
        <v>469</v>
      </c>
      <c r="AA312" s="154"/>
      <c r="AB312" s="136"/>
      <c r="AC312" s="139"/>
      <c r="AD312" s="139"/>
      <c r="AE312" s="139"/>
      <c r="AF312" s="139"/>
    </row>
    <row r="313" spans="1:32" ht="12.75">
      <c r="A313" s="154" t="e">
        <f ca="1"/>
        <v>#NAME?</v>
      </c>
      <c r="B313" s="156" t="s">
        <v>718</v>
      </c>
      <c r="C313" s="151">
        <v>1</v>
      </c>
      <c r="D313" s="151" t="s">
        <v>466</v>
      </c>
      <c r="E313" s="154"/>
      <c r="F313" s="154"/>
      <c r="G313" s="151" t="s">
        <v>342</v>
      </c>
      <c r="H313" s="151">
        <v>1</v>
      </c>
      <c r="I313" s="149"/>
      <c r="J313" s="149"/>
      <c r="K313" s="149"/>
      <c r="L313" s="151">
        <v>0</v>
      </c>
      <c r="M313" s="149"/>
      <c r="N313" s="149"/>
      <c r="O313" s="149"/>
      <c r="P313" s="151">
        <v>0</v>
      </c>
      <c r="Q313" s="149"/>
      <c r="R313" s="149"/>
      <c r="S313" s="149"/>
      <c r="T313" s="151">
        <v>0</v>
      </c>
      <c r="U313" s="149"/>
      <c r="V313" s="149"/>
      <c r="W313" s="149"/>
      <c r="X313" s="137" t="s">
        <v>117</v>
      </c>
      <c r="Y313" s="141" t="str">
        <f>DB!$D$194</f>
        <v>Branded Desktop Computer Set</v>
      </c>
      <c r="Z313" s="154"/>
      <c r="AA313" s="154"/>
      <c r="AB313" s="136"/>
      <c r="AC313" s="139"/>
      <c r="AD313" s="139"/>
      <c r="AE313" s="139"/>
      <c r="AF313" s="139"/>
    </row>
    <row r="314" spans="1:32" ht="12.75">
      <c r="A314" s="154" t="e">
        <f ca="1"/>
        <v>#NAME?</v>
      </c>
      <c r="B314" s="156" t="s">
        <v>719</v>
      </c>
      <c r="C314" s="151">
        <v>1</v>
      </c>
      <c r="D314" s="151" t="s">
        <v>466</v>
      </c>
      <c r="E314" s="154"/>
      <c r="F314" s="154"/>
      <c r="G314" s="151" t="s">
        <v>342</v>
      </c>
      <c r="H314" s="151">
        <v>1</v>
      </c>
      <c r="I314" s="149"/>
      <c r="J314" s="149"/>
      <c r="K314" s="149"/>
      <c r="L314" s="151">
        <v>0</v>
      </c>
      <c r="M314" s="149"/>
      <c r="N314" s="149"/>
      <c r="O314" s="149"/>
      <c r="P314" s="151">
        <v>0</v>
      </c>
      <c r="Q314" s="149"/>
      <c r="R314" s="149"/>
      <c r="S314" s="149"/>
      <c r="T314" s="151">
        <v>0</v>
      </c>
      <c r="U314" s="149"/>
      <c r="V314" s="149"/>
      <c r="W314" s="149"/>
      <c r="X314" s="137" t="s">
        <v>117</v>
      </c>
      <c r="Y314" s="155" t="str">
        <f>DB!$D$195</f>
        <v>Branded Laptop</v>
      </c>
      <c r="Z314" s="154"/>
      <c r="AA314" s="154"/>
      <c r="AB314" s="136"/>
      <c r="AC314" s="139"/>
      <c r="AD314" s="139"/>
      <c r="AE314" s="139"/>
      <c r="AF314" s="139"/>
    </row>
    <row r="315" spans="1:32" ht="12.75">
      <c r="A315" s="154" t="e">
        <f ca="1"/>
        <v>#NAME?</v>
      </c>
      <c r="B315" s="156" t="s">
        <v>720</v>
      </c>
      <c r="C315" s="151">
        <v>20</v>
      </c>
      <c r="D315" s="151" t="s">
        <v>571</v>
      </c>
      <c r="E315" s="154"/>
      <c r="F315" s="154"/>
      <c r="G315" s="151" t="s">
        <v>342</v>
      </c>
      <c r="H315" s="151">
        <v>5</v>
      </c>
      <c r="I315" s="149"/>
      <c r="J315" s="149"/>
      <c r="K315" s="149"/>
      <c r="L315" s="151">
        <v>5</v>
      </c>
      <c r="M315" s="149"/>
      <c r="N315" s="149"/>
      <c r="O315" s="149"/>
      <c r="P315" s="151">
        <v>5</v>
      </c>
      <c r="Q315" s="149"/>
      <c r="R315" s="149"/>
      <c r="S315" s="149"/>
      <c r="T315" s="151">
        <v>5</v>
      </c>
      <c r="U315" s="149"/>
      <c r="V315" s="149"/>
      <c r="W315" s="149"/>
      <c r="X315" s="137" t="s">
        <v>117</v>
      </c>
      <c r="Y315" s="155" t="str">
        <f>DB!$D$102</f>
        <v>Epson Genuine Ink T6641 Black</v>
      </c>
      <c r="Z315" s="154"/>
      <c r="AA315" s="154"/>
      <c r="AB315" s="136"/>
      <c r="AC315" s="139"/>
      <c r="AD315" s="139"/>
      <c r="AE315" s="139"/>
      <c r="AF315" s="139"/>
    </row>
    <row r="316" spans="1:32" ht="12.75">
      <c r="A316" s="154" t="e">
        <f ca="1"/>
        <v>#NAME?</v>
      </c>
      <c r="B316" s="156" t="s">
        <v>721</v>
      </c>
      <c r="C316" s="151">
        <v>8</v>
      </c>
      <c r="D316" s="151" t="s">
        <v>571</v>
      </c>
      <c r="E316" s="154"/>
      <c r="F316" s="154"/>
      <c r="G316" s="151" t="s">
        <v>342</v>
      </c>
      <c r="H316" s="151">
        <v>2</v>
      </c>
      <c r="I316" s="149"/>
      <c r="J316" s="149"/>
      <c r="K316" s="149"/>
      <c r="L316" s="151">
        <v>2</v>
      </c>
      <c r="M316" s="149"/>
      <c r="N316" s="149"/>
      <c r="O316" s="149"/>
      <c r="P316" s="151">
        <v>2</v>
      </c>
      <c r="Q316" s="149"/>
      <c r="R316" s="149"/>
      <c r="S316" s="149"/>
      <c r="T316" s="151">
        <v>2</v>
      </c>
      <c r="U316" s="149"/>
      <c r="V316" s="149"/>
      <c r="W316" s="149"/>
      <c r="X316" s="137" t="s">
        <v>117</v>
      </c>
      <c r="Y316" s="155" t="str">
        <f>DB!$D$103</f>
        <v>Epson Genuine Ink T6642 Cyan</v>
      </c>
      <c r="Z316" s="154"/>
      <c r="AA316" s="154"/>
      <c r="AB316" s="136"/>
      <c r="AC316" s="139"/>
      <c r="AD316" s="139"/>
      <c r="AE316" s="139"/>
      <c r="AF316" s="139"/>
    </row>
    <row r="317" spans="1:32" ht="12.75">
      <c r="A317" s="154" t="e">
        <f ca="1"/>
        <v>#NAME?</v>
      </c>
      <c r="B317" s="156" t="s">
        <v>722</v>
      </c>
      <c r="C317" s="151">
        <v>8</v>
      </c>
      <c r="D317" s="151" t="s">
        <v>571</v>
      </c>
      <c r="E317" s="154"/>
      <c r="F317" s="154"/>
      <c r="G317" s="151" t="s">
        <v>342</v>
      </c>
      <c r="H317" s="151">
        <v>2</v>
      </c>
      <c r="I317" s="149"/>
      <c r="J317" s="149"/>
      <c r="K317" s="149"/>
      <c r="L317" s="151">
        <v>2</v>
      </c>
      <c r="M317" s="149"/>
      <c r="N317" s="149"/>
      <c r="O317" s="149"/>
      <c r="P317" s="151">
        <v>2</v>
      </c>
      <c r="Q317" s="149"/>
      <c r="R317" s="149"/>
      <c r="S317" s="149"/>
      <c r="T317" s="151">
        <v>2</v>
      </c>
      <c r="U317" s="149"/>
      <c r="V317" s="149"/>
      <c r="W317" s="149"/>
      <c r="X317" s="137" t="s">
        <v>117</v>
      </c>
      <c r="Y317" s="155" t="str">
        <f>DB!$D$104</f>
        <v>Epson Genuine Ink T6643 Magenta</v>
      </c>
      <c r="Z317" s="154"/>
      <c r="AA317" s="149"/>
      <c r="AB317" s="136"/>
      <c r="AC317" s="139"/>
      <c r="AD317" s="139"/>
      <c r="AE317" s="139"/>
      <c r="AF317" s="139"/>
    </row>
    <row r="318" spans="1:32" ht="12.75">
      <c r="A318" s="154" t="e">
        <f ca="1"/>
        <v>#NAME?</v>
      </c>
      <c r="B318" s="156" t="s">
        <v>723</v>
      </c>
      <c r="C318" s="151">
        <v>8</v>
      </c>
      <c r="D318" s="151" t="s">
        <v>571</v>
      </c>
      <c r="E318" s="154"/>
      <c r="F318" s="154"/>
      <c r="G318" s="151" t="s">
        <v>342</v>
      </c>
      <c r="H318" s="151">
        <v>2</v>
      </c>
      <c r="I318" s="149"/>
      <c r="J318" s="149"/>
      <c r="K318" s="149"/>
      <c r="L318" s="151">
        <v>2</v>
      </c>
      <c r="M318" s="149"/>
      <c r="N318" s="149"/>
      <c r="O318" s="149"/>
      <c r="P318" s="151">
        <v>2</v>
      </c>
      <c r="Q318" s="149"/>
      <c r="R318" s="149"/>
      <c r="S318" s="149"/>
      <c r="T318" s="151">
        <v>2</v>
      </c>
      <c r="U318" s="149"/>
      <c r="V318" s="149"/>
      <c r="W318" s="149"/>
      <c r="X318" s="137" t="s">
        <v>117</v>
      </c>
      <c r="Y318" s="155" t="str">
        <f>DB!$D$105</f>
        <v>Epson Genuine Ink T6644 Yellow</v>
      </c>
      <c r="Z318" s="154"/>
      <c r="AA318" s="154"/>
      <c r="AB318" s="136"/>
      <c r="AC318" s="139"/>
      <c r="AD318" s="139"/>
      <c r="AE318" s="139"/>
      <c r="AF318" s="139"/>
    </row>
    <row r="319" spans="1:32" ht="25.5">
      <c r="A319" s="154" t="e">
        <f ca="1"/>
        <v>#NAME?</v>
      </c>
      <c r="B319" s="156" t="s">
        <v>724</v>
      </c>
      <c r="C319" s="151">
        <v>20</v>
      </c>
      <c r="D319" s="151" t="s">
        <v>571</v>
      </c>
      <c r="E319" s="154"/>
      <c r="F319" s="154"/>
      <c r="G319" s="151" t="s">
        <v>342</v>
      </c>
      <c r="H319" s="151">
        <v>5</v>
      </c>
      <c r="I319" s="149"/>
      <c r="J319" s="149"/>
      <c r="K319" s="149"/>
      <c r="L319" s="151">
        <v>5</v>
      </c>
      <c r="M319" s="149"/>
      <c r="N319" s="149"/>
      <c r="O319" s="149"/>
      <c r="P319" s="151">
        <v>5</v>
      </c>
      <c r="Q319" s="149"/>
      <c r="R319" s="149"/>
      <c r="S319" s="149"/>
      <c r="T319" s="151">
        <v>5</v>
      </c>
      <c r="U319" s="149"/>
      <c r="V319" s="149"/>
      <c r="W319" s="149"/>
      <c r="X319" s="137" t="s">
        <v>117</v>
      </c>
      <c r="Y319" s="155" t="str">
        <f>DB!$D$260</f>
        <v>Toner Cartridge for the existing ECOSYS M5521CDW</v>
      </c>
      <c r="Z319" s="163"/>
      <c r="AA319" s="154"/>
      <c r="AB319" s="136"/>
      <c r="AC319" s="139"/>
      <c r="AD319" s="139"/>
      <c r="AE319" s="139"/>
      <c r="AF319" s="139"/>
    </row>
    <row r="320" spans="1:32" ht="25.5">
      <c r="A320" s="154" t="e">
        <f ca="1"/>
        <v>#NAME?</v>
      </c>
      <c r="B320" s="156" t="s">
        <v>725</v>
      </c>
      <c r="C320" s="151">
        <v>8</v>
      </c>
      <c r="D320" s="151" t="s">
        <v>571</v>
      </c>
      <c r="E320" s="154"/>
      <c r="F320" s="154"/>
      <c r="G320" s="151" t="s">
        <v>342</v>
      </c>
      <c r="H320" s="151">
        <v>2</v>
      </c>
      <c r="I320" s="149"/>
      <c r="J320" s="149"/>
      <c r="K320" s="149"/>
      <c r="L320" s="151">
        <v>2</v>
      </c>
      <c r="M320" s="149"/>
      <c r="N320" s="149"/>
      <c r="O320" s="149"/>
      <c r="P320" s="151">
        <v>2</v>
      </c>
      <c r="Q320" s="149"/>
      <c r="R320" s="149"/>
      <c r="S320" s="149"/>
      <c r="T320" s="151">
        <v>2</v>
      </c>
      <c r="U320" s="149"/>
      <c r="V320" s="149"/>
      <c r="W320" s="149"/>
      <c r="X320" s="137" t="s">
        <v>117</v>
      </c>
      <c r="Y320" s="155" t="str">
        <f>DB!$D$235</f>
        <v>Colored Toner Cartridge Set for the existing ECOSYS M5521CDW</v>
      </c>
      <c r="Z320" s="163"/>
      <c r="AA320" s="154"/>
      <c r="AB320" s="136"/>
      <c r="AC320" s="139"/>
      <c r="AD320" s="139"/>
      <c r="AE320" s="139"/>
      <c r="AF320" s="139"/>
    </row>
    <row r="321" spans="1:32" ht="12.75">
      <c r="A321" s="154" t="e">
        <f ca="1"/>
        <v>#NAME?</v>
      </c>
      <c r="B321" s="156" t="s">
        <v>726</v>
      </c>
      <c r="C321" s="151">
        <v>8</v>
      </c>
      <c r="D321" s="151" t="s">
        <v>571</v>
      </c>
      <c r="E321" s="154"/>
      <c r="F321" s="154"/>
      <c r="G321" s="151" t="s">
        <v>342</v>
      </c>
      <c r="H321" s="151">
        <v>2</v>
      </c>
      <c r="I321" s="149"/>
      <c r="J321" s="149"/>
      <c r="K321" s="149"/>
      <c r="L321" s="151">
        <v>2</v>
      </c>
      <c r="M321" s="149"/>
      <c r="N321" s="149"/>
      <c r="O321" s="149"/>
      <c r="P321" s="151">
        <v>2</v>
      </c>
      <c r="Q321" s="149"/>
      <c r="R321" s="149"/>
      <c r="S321" s="149"/>
      <c r="T321" s="151">
        <v>2</v>
      </c>
      <c r="U321" s="149"/>
      <c r="V321" s="149"/>
      <c r="W321" s="149"/>
      <c r="X321" s="137" t="s">
        <v>117</v>
      </c>
      <c r="Y321" s="164"/>
      <c r="Z321" s="163" t="s">
        <v>453</v>
      </c>
      <c r="AA321" s="154"/>
      <c r="AB321" s="136"/>
      <c r="AC321" s="139"/>
      <c r="AD321" s="139"/>
      <c r="AE321" s="139"/>
      <c r="AF321" s="139"/>
    </row>
    <row r="322" spans="1:32" ht="12.75">
      <c r="A322" s="154" t="e">
        <f ca="1"/>
        <v>#NAME?</v>
      </c>
      <c r="B322" s="156" t="s">
        <v>727</v>
      </c>
      <c r="C322" s="151">
        <v>8</v>
      </c>
      <c r="D322" s="151" t="s">
        <v>571</v>
      </c>
      <c r="E322" s="154"/>
      <c r="F322" s="154"/>
      <c r="G322" s="151" t="s">
        <v>342</v>
      </c>
      <c r="H322" s="151">
        <v>2</v>
      </c>
      <c r="I322" s="149"/>
      <c r="J322" s="149"/>
      <c r="K322" s="149"/>
      <c r="L322" s="151">
        <v>2</v>
      </c>
      <c r="M322" s="149"/>
      <c r="N322" s="149"/>
      <c r="O322" s="149"/>
      <c r="P322" s="151">
        <v>2</v>
      </c>
      <c r="Q322" s="149"/>
      <c r="R322" s="149"/>
      <c r="S322" s="149"/>
      <c r="T322" s="151">
        <v>2</v>
      </c>
      <c r="U322" s="149"/>
      <c r="V322" s="149"/>
      <c r="W322" s="149"/>
      <c r="X322" s="137" t="s">
        <v>117</v>
      </c>
      <c r="Y322" s="164"/>
      <c r="Z322" s="163" t="s">
        <v>453</v>
      </c>
      <c r="AA322" s="154"/>
      <c r="AB322" s="136"/>
      <c r="AC322" s="139"/>
      <c r="AD322" s="139"/>
      <c r="AE322" s="139"/>
      <c r="AF322" s="139"/>
    </row>
    <row r="323" spans="1:32" ht="12.75">
      <c r="A323" s="154" t="e">
        <f ca="1"/>
        <v>#NAME?</v>
      </c>
      <c r="B323" s="156" t="s">
        <v>465</v>
      </c>
      <c r="C323" s="151">
        <v>3</v>
      </c>
      <c r="D323" s="151" t="s">
        <v>466</v>
      </c>
      <c r="E323" s="154"/>
      <c r="F323" s="154"/>
      <c r="G323" s="151" t="s">
        <v>342</v>
      </c>
      <c r="H323" s="151">
        <v>3</v>
      </c>
      <c r="I323" s="149"/>
      <c r="J323" s="149"/>
      <c r="K323" s="149"/>
      <c r="L323" s="151">
        <v>0</v>
      </c>
      <c r="M323" s="149"/>
      <c r="N323" s="149"/>
      <c r="O323" s="149"/>
      <c r="P323" s="151">
        <v>0</v>
      </c>
      <c r="Q323" s="149"/>
      <c r="R323" s="149"/>
      <c r="S323" s="149"/>
      <c r="T323" s="151">
        <v>0</v>
      </c>
      <c r="U323" s="149"/>
      <c r="V323" s="149"/>
      <c r="W323" s="149"/>
      <c r="X323" s="137" t="s">
        <v>117</v>
      </c>
      <c r="Y323" s="141" t="str">
        <f>DB!$D$169</f>
        <v>Mouse, Optical, USB 2.0</v>
      </c>
      <c r="Z323" s="154"/>
      <c r="AA323" s="154"/>
      <c r="AB323" s="136"/>
      <c r="AC323" s="139"/>
      <c r="AD323" s="139"/>
      <c r="AE323" s="139"/>
      <c r="AF323" s="139"/>
    </row>
    <row r="324" spans="1:32" ht="12.75">
      <c r="A324" s="154" t="e">
        <f ca="1"/>
        <v>#NAME?</v>
      </c>
      <c r="B324" s="156" t="s">
        <v>234</v>
      </c>
      <c r="C324" s="151">
        <v>2</v>
      </c>
      <c r="D324" s="151" t="s">
        <v>103</v>
      </c>
      <c r="E324" s="154"/>
      <c r="F324" s="154"/>
      <c r="G324" s="149"/>
      <c r="H324" s="151">
        <v>1</v>
      </c>
      <c r="I324" s="151">
        <v>1</v>
      </c>
      <c r="J324" s="151"/>
      <c r="K324" s="151"/>
      <c r="L324" s="151">
        <v>1</v>
      </c>
      <c r="M324" s="151">
        <v>1</v>
      </c>
      <c r="N324" s="151"/>
      <c r="O324" s="151"/>
      <c r="P324" s="151">
        <v>0</v>
      </c>
      <c r="Q324" s="151"/>
      <c r="R324" s="151"/>
      <c r="S324" s="151"/>
      <c r="T324" s="151">
        <v>0</v>
      </c>
      <c r="U324" s="151"/>
      <c r="V324" s="151"/>
      <c r="W324" s="151"/>
      <c r="X324" s="137" t="s">
        <v>116</v>
      </c>
      <c r="Y324" s="141" t="str">
        <f>DB!$D$168</f>
        <v>Keyboard, Full Size, USB 2.0</v>
      </c>
      <c r="Z324" s="154"/>
      <c r="AA324" s="154"/>
      <c r="AB324" s="136"/>
      <c r="AC324" s="139"/>
      <c r="AD324" s="139"/>
      <c r="AE324" s="139"/>
      <c r="AF324" s="139"/>
    </row>
    <row r="325" spans="1:32" ht="12.75">
      <c r="A325" s="154" t="e">
        <f ca="1"/>
        <v>#NAME?</v>
      </c>
      <c r="B325" s="156" t="s">
        <v>239</v>
      </c>
      <c r="C325" s="151">
        <v>2</v>
      </c>
      <c r="D325" s="151" t="s">
        <v>103</v>
      </c>
      <c r="E325" s="154"/>
      <c r="F325" s="154"/>
      <c r="G325" s="149"/>
      <c r="H325" s="151">
        <v>1</v>
      </c>
      <c r="I325" s="151">
        <v>1</v>
      </c>
      <c r="J325" s="151"/>
      <c r="K325" s="151"/>
      <c r="L325" s="151">
        <v>1</v>
      </c>
      <c r="M325" s="151">
        <v>1</v>
      </c>
      <c r="N325" s="151"/>
      <c r="O325" s="151"/>
      <c r="P325" s="151">
        <v>0</v>
      </c>
      <c r="Q325" s="151"/>
      <c r="R325" s="151"/>
      <c r="S325" s="151"/>
      <c r="T325" s="151">
        <v>0</v>
      </c>
      <c r="U325" s="151"/>
      <c r="V325" s="151"/>
      <c r="W325" s="151"/>
      <c r="X325" s="137" t="s">
        <v>116</v>
      </c>
      <c r="Y325" s="141" t="str">
        <f>DB!$D$169</f>
        <v>Mouse, Optical, USB 2.0</v>
      </c>
      <c r="Z325" s="154"/>
      <c r="AA325" s="154"/>
      <c r="AB325" s="136"/>
      <c r="AC325" s="139"/>
      <c r="AD325" s="139"/>
      <c r="AE325" s="139"/>
      <c r="AF325" s="139"/>
    </row>
    <row r="326" spans="1:32" ht="12.75">
      <c r="A326" s="154" t="e">
        <f ca="1"/>
        <v>#NAME?</v>
      </c>
      <c r="B326" s="156" t="s">
        <v>728</v>
      </c>
      <c r="C326" s="151">
        <v>4</v>
      </c>
      <c r="D326" s="151" t="s">
        <v>103</v>
      </c>
      <c r="E326" s="154"/>
      <c r="F326" s="154"/>
      <c r="G326" s="149"/>
      <c r="H326" s="151">
        <v>2</v>
      </c>
      <c r="I326" s="151">
        <v>2</v>
      </c>
      <c r="J326" s="151"/>
      <c r="K326" s="151"/>
      <c r="L326" s="151">
        <v>0</v>
      </c>
      <c r="M326" s="151"/>
      <c r="N326" s="151"/>
      <c r="O326" s="151"/>
      <c r="P326" s="151">
        <v>2</v>
      </c>
      <c r="Q326" s="151">
        <v>2</v>
      </c>
      <c r="R326" s="151"/>
      <c r="S326" s="151"/>
      <c r="T326" s="151">
        <v>0</v>
      </c>
      <c r="U326" s="151"/>
      <c r="V326" s="151"/>
      <c r="W326" s="151"/>
      <c r="X326" s="137" t="s">
        <v>116</v>
      </c>
      <c r="Y326" s="155" t="str">
        <f>DB!$D$6</f>
        <v>UPS 650VA, AVR, 230V</v>
      </c>
      <c r="Z326" s="154"/>
      <c r="AA326" s="154"/>
      <c r="AB326" s="136"/>
      <c r="AC326" s="139"/>
      <c r="AD326" s="139"/>
      <c r="AE326" s="139"/>
      <c r="AF326" s="139"/>
    </row>
    <row r="327" spans="1:32" ht="12.75">
      <c r="A327" s="154" t="e">
        <f ca="1"/>
        <v>#NAME?</v>
      </c>
      <c r="B327" s="156" t="s">
        <v>729</v>
      </c>
      <c r="C327" s="151">
        <v>1000</v>
      </c>
      <c r="D327" s="151" t="s">
        <v>103</v>
      </c>
      <c r="E327" s="154"/>
      <c r="F327" s="154"/>
      <c r="G327" s="149"/>
      <c r="H327" s="151">
        <v>250</v>
      </c>
      <c r="I327" s="151">
        <v>84</v>
      </c>
      <c r="J327" s="151">
        <v>83</v>
      </c>
      <c r="K327" s="151">
        <v>83</v>
      </c>
      <c r="L327" s="151">
        <v>250</v>
      </c>
      <c r="M327" s="151">
        <v>84</v>
      </c>
      <c r="N327" s="151">
        <v>83</v>
      </c>
      <c r="O327" s="151">
        <v>83</v>
      </c>
      <c r="P327" s="151">
        <v>250</v>
      </c>
      <c r="Q327" s="151">
        <v>84</v>
      </c>
      <c r="R327" s="151">
        <v>83</v>
      </c>
      <c r="S327" s="151">
        <v>83</v>
      </c>
      <c r="T327" s="151">
        <v>250</v>
      </c>
      <c r="U327" s="151">
        <v>84</v>
      </c>
      <c r="V327" s="151">
        <v>83</v>
      </c>
      <c r="W327" s="151">
        <v>83</v>
      </c>
      <c r="X327" s="137" t="s">
        <v>116</v>
      </c>
      <c r="Y327" s="155" t="str">
        <f>DB!$D$91</f>
        <v>Printable PVC Pre-Cut Cards</v>
      </c>
      <c r="Z327" s="154"/>
      <c r="AA327" s="154"/>
      <c r="AB327" s="136"/>
      <c r="AC327" s="139"/>
      <c r="AD327" s="139"/>
      <c r="AE327" s="139"/>
      <c r="AF327" s="139"/>
    </row>
    <row r="328" spans="1:32" ht="25.5">
      <c r="A328" s="154" t="e">
        <f ca="1"/>
        <v>#NAME?</v>
      </c>
      <c r="B328" s="156" t="s">
        <v>730</v>
      </c>
      <c r="C328" s="151">
        <v>8</v>
      </c>
      <c r="D328" s="151" t="s">
        <v>103</v>
      </c>
      <c r="E328" s="154"/>
      <c r="F328" s="154"/>
      <c r="G328" s="149"/>
      <c r="H328" s="151">
        <v>2</v>
      </c>
      <c r="I328" s="151">
        <v>2</v>
      </c>
      <c r="J328" s="151"/>
      <c r="K328" s="151"/>
      <c r="L328" s="151">
        <v>2</v>
      </c>
      <c r="M328" s="151">
        <v>2</v>
      </c>
      <c r="N328" s="151"/>
      <c r="O328" s="151"/>
      <c r="P328" s="151">
        <v>2</v>
      </c>
      <c r="Q328" s="151">
        <v>2</v>
      </c>
      <c r="R328" s="151"/>
      <c r="S328" s="151"/>
      <c r="T328" s="151">
        <v>2</v>
      </c>
      <c r="U328" s="151">
        <v>2</v>
      </c>
      <c r="V328" s="151"/>
      <c r="W328" s="151"/>
      <c r="X328" s="137" t="s">
        <v>116</v>
      </c>
      <c r="Y328" s="155" t="str">
        <f>DB!$D$101</f>
        <v>ID Card Printer Genuine Color Ribbon (650643)</v>
      </c>
      <c r="Z328" s="154"/>
      <c r="AA328" s="154"/>
      <c r="AB328" s="136"/>
      <c r="AC328" s="139"/>
      <c r="AD328" s="139"/>
      <c r="AE328" s="139"/>
      <c r="AF328" s="139"/>
    </row>
    <row r="329" spans="1:32" ht="25.5">
      <c r="A329" s="154" t="e">
        <f ca="1"/>
        <v>#NAME?</v>
      </c>
      <c r="B329" s="150" t="s">
        <v>731</v>
      </c>
      <c r="C329" s="151">
        <v>2</v>
      </c>
      <c r="D329" s="151" t="s">
        <v>466</v>
      </c>
      <c r="E329" s="154"/>
      <c r="F329" s="154"/>
      <c r="G329" s="149"/>
      <c r="H329" s="151">
        <v>1</v>
      </c>
      <c r="I329" s="151">
        <v>1</v>
      </c>
      <c r="J329" s="151"/>
      <c r="K329" s="151"/>
      <c r="L329" s="151">
        <v>1</v>
      </c>
      <c r="M329" s="151">
        <v>1</v>
      </c>
      <c r="N329" s="151"/>
      <c r="O329" s="151"/>
      <c r="P329" s="151">
        <v>0</v>
      </c>
      <c r="Q329" s="151"/>
      <c r="R329" s="151"/>
      <c r="S329" s="151"/>
      <c r="T329" s="151">
        <v>0</v>
      </c>
      <c r="U329" s="151"/>
      <c r="V329" s="151"/>
      <c r="W329" s="151"/>
      <c r="X329" s="137" t="s">
        <v>116</v>
      </c>
      <c r="Y329" s="155" t="str">
        <f>DB!$D$74</f>
        <v>1TB Slim Portable Hard Drive External HDD</v>
      </c>
      <c r="Z329" s="154"/>
      <c r="AA329" s="154"/>
      <c r="AB329" s="136"/>
      <c r="AC329" s="139"/>
      <c r="AD329" s="139"/>
      <c r="AE329" s="139"/>
      <c r="AF329" s="139"/>
    </row>
    <row r="330" spans="1:32" ht="12.75">
      <c r="A330" s="154" t="e">
        <f ca="1"/>
        <v>#NAME?</v>
      </c>
      <c r="B330" s="150" t="s">
        <v>528</v>
      </c>
      <c r="C330" s="151">
        <v>36</v>
      </c>
      <c r="D330" s="151" t="s">
        <v>657</v>
      </c>
      <c r="E330" s="154"/>
      <c r="F330" s="154"/>
      <c r="G330" s="149"/>
      <c r="H330" s="151">
        <v>9</v>
      </c>
      <c r="I330" s="151">
        <v>3</v>
      </c>
      <c r="J330" s="151">
        <v>3</v>
      </c>
      <c r="K330" s="151">
        <v>3</v>
      </c>
      <c r="L330" s="151">
        <v>9</v>
      </c>
      <c r="M330" s="151">
        <v>3</v>
      </c>
      <c r="N330" s="151">
        <v>3</v>
      </c>
      <c r="O330" s="151">
        <v>3</v>
      </c>
      <c r="P330" s="151">
        <v>9</v>
      </c>
      <c r="Q330" s="151">
        <v>3</v>
      </c>
      <c r="R330" s="151">
        <v>3</v>
      </c>
      <c r="S330" s="151">
        <v>3</v>
      </c>
      <c r="T330" s="151">
        <v>9</v>
      </c>
      <c r="U330" s="151">
        <v>3</v>
      </c>
      <c r="V330" s="151">
        <v>3</v>
      </c>
      <c r="W330" s="151">
        <v>3</v>
      </c>
      <c r="X330" s="137" t="s">
        <v>116</v>
      </c>
      <c r="Y330" s="155" t="str">
        <f>DB!$D$102</f>
        <v>Epson Genuine Ink T6641 Black</v>
      </c>
      <c r="Z330" s="154"/>
      <c r="AA330" s="154"/>
      <c r="AB330" s="136"/>
      <c r="AC330" s="139"/>
      <c r="AD330" s="139"/>
      <c r="AE330" s="139"/>
      <c r="AF330" s="139"/>
    </row>
    <row r="331" spans="1:32" ht="12.75">
      <c r="A331" s="154" t="e">
        <f ca="1"/>
        <v>#NAME?</v>
      </c>
      <c r="B331" s="150" t="s">
        <v>529</v>
      </c>
      <c r="C331" s="151">
        <v>28</v>
      </c>
      <c r="D331" s="151" t="s">
        <v>657</v>
      </c>
      <c r="E331" s="154"/>
      <c r="F331" s="154"/>
      <c r="G331" s="149"/>
      <c r="H331" s="151">
        <v>7</v>
      </c>
      <c r="I331" s="151">
        <v>3</v>
      </c>
      <c r="J331" s="151">
        <v>2</v>
      </c>
      <c r="K331" s="151">
        <v>2</v>
      </c>
      <c r="L331" s="151">
        <v>7</v>
      </c>
      <c r="M331" s="151">
        <v>3</v>
      </c>
      <c r="N331" s="151">
        <v>2</v>
      </c>
      <c r="O331" s="151">
        <v>2</v>
      </c>
      <c r="P331" s="151">
        <v>7</v>
      </c>
      <c r="Q331" s="151">
        <v>3</v>
      </c>
      <c r="R331" s="151">
        <v>2</v>
      </c>
      <c r="S331" s="151">
        <v>2</v>
      </c>
      <c r="T331" s="151">
        <v>7</v>
      </c>
      <c r="U331" s="151">
        <v>3</v>
      </c>
      <c r="V331" s="151">
        <v>2</v>
      </c>
      <c r="W331" s="151">
        <v>2</v>
      </c>
      <c r="X331" s="137" t="s">
        <v>116</v>
      </c>
      <c r="Y331" s="155" t="str">
        <f>DB!$D$103</f>
        <v>Epson Genuine Ink T6642 Cyan</v>
      </c>
      <c r="Z331" s="154"/>
      <c r="AA331" s="154"/>
      <c r="AB331" s="136"/>
      <c r="AC331" s="139"/>
      <c r="AD331" s="139"/>
      <c r="AE331" s="139"/>
      <c r="AF331" s="139"/>
    </row>
    <row r="332" spans="1:32" ht="12.75">
      <c r="A332" s="154" t="e">
        <f ca="1"/>
        <v>#NAME?</v>
      </c>
      <c r="B332" s="150" t="s">
        <v>530</v>
      </c>
      <c r="C332" s="151">
        <v>28</v>
      </c>
      <c r="D332" s="151" t="s">
        <v>657</v>
      </c>
      <c r="E332" s="154"/>
      <c r="F332" s="154"/>
      <c r="G332" s="149"/>
      <c r="H332" s="151">
        <v>7</v>
      </c>
      <c r="I332" s="151">
        <v>3</v>
      </c>
      <c r="J332" s="151">
        <v>2</v>
      </c>
      <c r="K332" s="151">
        <v>2</v>
      </c>
      <c r="L332" s="151">
        <v>7</v>
      </c>
      <c r="M332" s="151">
        <v>3</v>
      </c>
      <c r="N332" s="151">
        <v>2</v>
      </c>
      <c r="O332" s="151">
        <v>2</v>
      </c>
      <c r="P332" s="151">
        <v>7</v>
      </c>
      <c r="Q332" s="151">
        <v>3</v>
      </c>
      <c r="R332" s="151">
        <v>2</v>
      </c>
      <c r="S332" s="151">
        <v>2</v>
      </c>
      <c r="T332" s="151">
        <v>7</v>
      </c>
      <c r="U332" s="151">
        <v>3</v>
      </c>
      <c r="V332" s="151">
        <v>2</v>
      </c>
      <c r="W332" s="151">
        <v>2</v>
      </c>
      <c r="X332" s="137" t="s">
        <v>116</v>
      </c>
      <c r="Y332" s="155" t="str">
        <f>DB!$D$104</f>
        <v>Epson Genuine Ink T6643 Magenta</v>
      </c>
      <c r="Z332" s="154"/>
      <c r="AA332" s="154"/>
      <c r="AB332" s="136"/>
      <c r="AC332" s="139"/>
      <c r="AD332" s="139"/>
      <c r="AE332" s="139"/>
      <c r="AF332" s="139"/>
    </row>
    <row r="333" spans="1:32" ht="12.75">
      <c r="A333" s="154" t="e">
        <f ca="1"/>
        <v>#NAME?</v>
      </c>
      <c r="B333" s="150" t="s">
        <v>531</v>
      </c>
      <c r="C333" s="151">
        <v>28</v>
      </c>
      <c r="D333" s="151" t="s">
        <v>657</v>
      </c>
      <c r="E333" s="154"/>
      <c r="F333" s="154"/>
      <c r="G333" s="149"/>
      <c r="H333" s="151">
        <v>7</v>
      </c>
      <c r="I333" s="151">
        <v>3</v>
      </c>
      <c r="J333" s="151">
        <v>2</v>
      </c>
      <c r="K333" s="151">
        <v>2</v>
      </c>
      <c r="L333" s="151">
        <v>7</v>
      </c>
      <c r="M333" s="151">
        <v>3</v>
      </c>
      <c r="N333" s="151">
        <v>2</v>
      </c>
      <c r="O333" s="151">
        <v>2</v>
      </c>
      <c r="P333" s="151">
        <v>7</v>
      </c>
      <c r="Q333" s="151">
        <v>3</v>
      </c>
      <c r="R333" s="151">
        <v>2</v>
      </c>
      <c r="S333" s="151">
        <v>2</v>
      </c>
      <c r="T333" s="151">
        <v>7</v>
      </c>
      <c r="U333" s="151">
        <v>3</v>
      </c>
      <c r="V333" s="151">
        <v>2</v>
      </c>
      <c r="W333" s="151">
        <v>2</v>
      </c>
      <c r="X333" s="137" t="s">
        <v>116</v>
      </c>
      <c r="Y333" s="155" t="str">
        <f>DB!$D$105</f>
        <v>Epson Genuine Ink T6644 Yellow</v>
      </c>
      <c r="Z333" s="154"/>
      <c r="AA333" s="154"/>
      <c r="AB333" s="136"/>
      <c r="AC333" s="139"/>
      <c r="AD333" s="139"/>
      <c r="AE333" s="139"/>
      <c r="AF333" s="139"/>
    </row>
    <row r="334" spans="1:32" ht="12.75">
      <c r="A334" s="154" t="e">
        <f ca="1"/>
        <v>#NAME?</v>
      </c>
      <c r="B334" s="156" t="s">
        <v>732</v>
      </c>
      <c r="C334" s="151">
        <v>12</v>
      </c>
      <c r="D334" s="151" t="s">
        <v>657</v>
      </c>
      <c r="E334" s="154"/>
      <c r="F334" s="154"/>
      <c r="G334" s="149"/>
      <c r="H334" s="151">
        <v>3</v>
      </c>
      <c r="I334" s="151">
        <v>1</v>
      </c>
      <c r="J334" s="151">
        <v>1</v>
      </c>
      <c r="K334" s="151">
        <v>1</v>
      </c>
      <c r="L334" s="151">
        <v>3</v>
      </c>
      <c r="M334" s="151">
        <v>1</v>
      </c>
      <c r="N334" s="151">
        <v>1</v>
      </c>
      <c r="O334" s="151">
        <v>1</v>
      </c>
      <c r="P334" s="151">
        <v>3</v>
      </c>
      <c r="Q334" s="151">
        <v>1</v>
      </c>
      <c r="R334" s="151">
        <v>1</v>
      </c>
      <c r="S334" s="151">
        <v>1</v>
      </c>
      <c r="T334" s="151">
        <v>3</v>
      </c>
      <c r="U334" s="151">
        <v>1</v>
      </c>
      <c r="V334" s="151">
        <v>1</v>
      </c>
      <c r="W334" s="151">
        <v>1</v>
      </c>
      <c r="X334" s="137" t="s">
        <v>116</v>
      </c>
      <c r="Y334" s="155" t="str">
        <f>DB!$D$106</f>
        <v>Epson Genuine Ink (003) Black</v>
      </c>
      <c r="Z334" s="154"/>
      <c r="AA334" s="154"/>
      <c r="AB334" s="136"/>
      <c r="AC334" s="139"/>
      <c r="AD334" s="139"/>
      <c r="AE334" s="139"/>
      <c r="AF334" s="139"/>
    </row>
    <row r="335" spans="1:32" ht="12.75">
      <c r="A335" s="154" t="e">
        <f ca="1"/>
        <v>#NAME?</v>
      </c>
      <c r="B335" s="156" t="s">
        <v>733</v>
      </c>
      <c r="C335" s="151">
        <v>8</v>
      </c>
      <c r="D335" s="151" t="s">
        <v>657</v>
      </c>
      <c r="E335" s="154"/>
      <c r="F335" s="154"/>
      <c r="G335" s="149"/>
      <c r="H335" s="151">
        <v>2</v>
      </c>
      <c r="I335" s="151">
        <v>1</v>
      </c>
      <c r="J335" s="151">
        <v>1</v>
      </c>
      <c r="K335" s="151"/>
      <c r="L335" s="151">
        <v>2</v>
      </c>
      <c r="M335" s="151">
        <v>1</v>
      </c>
      <c r="N335" s="151">
        <v>1</v>
      </c>
      <c r="O335" s="151"/>
      <c r="P335" s="151">
        <v>2</v>
      </c>
      <c r="Q335" s="151">
        <v>1</v>
      </c>
      <c r="R335" s="151">
        <v>1</v>
      </c>
      <c r="S335" s="151"/>
      <c r="T335" s="151">
        <v>2</v>
      </c>
      <c r="U335" s="151">
        <v>1</v>
      </c>
      <c r="V335" s="151">
        <v>1</v>
      </c>
      <c r="W335" s="151"/>
      <c r="X335" s="137" t="s">
        <v>116</v>
      </c>
      <c r="Y335" s="155" t="str">
        <f>DB!$D$107</f>
        <v>Epson Genuine Ink (003) Cyan</v>
      </c>
      <c r="Z335" s="154"/>
      <c r="AA335" s="154"/>
      <c r="AB335" s="136"/>
      <c r="AC335" s="139"/>
      <c r="AD335" s="139"/>
      <c r="AE335" s="139"/>
      <c r="AF335" s="139"/>
    </row>
    <row r="336" spans="1:32" ht="12.75">
      <c r="A336" s="154" t="e">
        <f ca="1"/>
        <v>#NAME?</v>
      </c>
      <c r="B336" s="156" t="s">
        <v>734</v>
      </c>
      <c r="C336" s="151">
        <v>8</v>
      </c>
      <c r="D336" s="151" t="s">
        <v>657</v>
      </c>
      <c r="E336" s="154"/>
      <c r="F336" s="154"/>
      <c r="G336" s="149"/>
      <c r="H336" s="151">
        <v>2</v>
      </c>
      <c r="I336" s="151">
        <v>1</v>
      </c>
      <c r="J336" s="151">
        <v>1</v>
      </c>
      <c r="K336" s="151"/>
      <c r="L336" s="151">
        <v>2</v>
      </c>
      <c r="M336" s="151">
        <v>1</v>
      </c>
      <c r="N336" s="151">
        <v>1</v>
      </c>
      <c r="O336" s="151"/>
      <c r="P336" s="151">
        <v>2</v>
      </c>
      <c r="Q336" s="151">
        <v>1</v>
      </c>
      <c r="R336" s="151">
        <v>1</v>
      </c>
      <c r="S336" s="151"/>
      <c r="T336" s="151">
        <v>2</v>
      </c>
      <c r="U336" s="151">
        <v>1</v>
      </c>
      <c r="V336" s="151">
        <v>1</v>
      </c>
      <c r="W336" s="151"/>
      <c r="X336" s="137" t="s">
        <v>116</v>
      </c>
      <c r="Y336" s="155" t="str">
        <f>DB!$D$108</f>
        <v>Epson Genuine Ink (003) Yellow</v>
      </c>
      <c r="Z336" s="154"/>
      <c r="AA336" s="154"/>
      <c r="AB336" s="136"/>
      <c r="AC336" s="139"/>
      <c r="AD336" s="139"/>
      <c r="AE336" s="139"/>
      <c r="AF336" s="139"/>
    </row>
    <row r="337" spans="1:32" ht="12.75">
      <c r="A337" s="154" t="e">
        <f ca="1"/>
        <v>#NAME?</v>
      </c>
      <c r="B337" s="156" t="s">
        <v>735</v>
      </c>
      <c r="C337" s="151">
        <v>8</v>
      </c>
      <c r="D337" s="151" t="s">
        <v>657</v>
      </c>
      <c r="E337" s="154"/>
      <c r="F337" s="154"/>
      <c r="G337" s="149"/>
      <c r="H337" s="151">
        <v>2</v>
      </c>
      <c r="I337" s="151">
        <v>1</v>
      </c>
      <c r="J337" s="151">
        <v>1</v>
      </c>
      <c r="K337" s="151"/>
      <c r="L337" s="151">
        <v>2</v>
      </c>
      <c r="M337" s="151">
        <v>1</v>
      </c>
      <c r="N337" s="151">
        <v>1</v>
      </c>
      <c r="O337" s="151"/>
      <c r="P337" s="151">
        <v>2</v>
      </c>
      <c r="Q337" s="151">
        <v>1</v>
      </c>
      <c r="R337" s="151">
        <v>1</v>
      </c>
      <c r="S337" s="151"/>
      <c r="T337" s="151">
        <v>2</v>
      </c>
      <c r="U337" s="151">
        <v>1</v>
      </c>
      <c r="V337" s="151">
        <v>1</v>
      </c>
      <c r="W337" s="151"/>
      <c r="X337" s="137" t="s">
        <v>116</v>
      </c>
      <c r="Y337" s="155" t="str">
        <f>DB!$D$109</f>
        <v>Epson Genuine Ink (003) Magenta</v>
      </c>
      <c r="Z337" s="154"/>
      <c r="AA337" s="154"/>
      <c r="AB337" s="136"/>
      <c r="AC337" s="139"/>
      <c r="AD337" s="139"/>
      <c r="AE337" s="139"/>
      <c r="AF337" s="139"/>
    </row>
    <row r="338" spans="1:32" ht="12.75">
      <c r="A338" s="154" t="e">
        <f ca="1"/>
        <v>#NAME?</v>
      </c>
      <c r="B338" s="150" t="s">
        <v>736</v>
      </c>
      <c r="C338" s="151">
        <v>0</v>
      </c>
      <c r="D338" s="151" t="s">
        <v>657</v>
      </c>
      <c r="E338" s="154"/>
      <c r="F338" s="154"/>
      <c r="G338" s="149"/>
      <c r="H338" s="151">
        <v>0</v>
      </c>
      <c r="I338" s="151"/>
      <c r="J338" s="151"/>
      <c r="K338" s="151"/>
      <c r="L338" s="151">
        <v>0</v>
      </c>
      <c r="M338" s="151"/>
      <c r="N338" s="151"/>
      <c r="O338" s="151"/>
      <c r="P338" s="151">
        <v>0</v>
      </c>
      <c r="Q338" s="151"/>
      <c r="R338" s="151"/>
      <c r="S338" s="151"/>
      <c r="T338" s="151">
        <v>0</v>
      </c>
      <c r="U338" s="151"/>
      <c r="V338" s="151"/>
      <c r="W338" s="151"/>
      <c r="X338" s="137" t="s">
        <v>116</v>
      </c>
      <c r="Y338" s="155"/>
      <c r="Z338" s="154" t="s">
        <v>453</v>
      </c>
      <c r="AA338" s="154"/>
      <c r="AB338" s="136"/>
      <c r="AC338" s="139"/>
      <c r="AD338" s="139"/>
      <c r="AE338" s="139"/>
      <c r="AF338" s="139"/>
    </row>
    <row r="339" spans="1:32" ht="12.75">
      <c r="A339" s="154" t="e">
        <f ca="1"/>
        <v>#NAME?</v>
      </c>
      <c r="B339" s="150" t="s">
        <v>737</v>
      </c>
      <c r="C339" s="151">
        <v>0</v>
      </c>
      <c r="D339" s="151" t="s">
        <v>657</v>
      </c>
      <c r="E339" s="149"/>
      <c r="F339" s="149"/>
      <c r="G339" s="149"/>
      <c r="H339" s="151">
        <v>0</v>
      </c>
      <c r="I339" s="151"/>
      <c r="J339" s="151"/>
      <c r="K339" s="151"/>
      <c r="L339" s="151">
        <v>0</v>
      </c>
      <c r="M339" s="151"/>
      <c r="N339" s="151"/>
      <c r="O339" s="151"/>
      <c r="P339" s="151">
        <v>0</v>
      </c>
      <c r="Q339" s="151"/>
      <c r="R339" s="151"/>
      <c r="S339" s="151"/>
      <c r="T339" s="151">
        <v>0</v>
      </c>
      <c r="U339" s="151"/>
      <c r="V339" s="151"/>
      <c r="W339" s="151"/>
      <c r="X339" s="137" t="s">
        <v>116</v>
      </c>
      <c r="Y339" s="155"/>
      <c r="Z339" s="154" t="s">
        <v>453</v>
      </c>
      <c r="AA339" s="149"/>
      <c r="AB339" s="136"/>
      <c r="AC339" s="139"/>
      <c r="AD339" s="139"/>
      <c r="AE339" s="139"/>
      <c r="AF339" s="139"/>
    </row>
    <row r="340" spans="1:32" ht="12.75">
      <c r="A340" s="154" t="e">
        <f ca="1"/>
        <v>#NAME?</v>
      </c>
      <c r="B340" s="150" t="s">
        <v>738</v>
      </c>
      <c r="C340" s="151">
        <v>0</v>
      </c>
      <c r="D340" s="151" t="s">
        <v>657</v>
      </c>
      <c r="E340" s="149"/>
      <c r="F340" s="149"/>
      <c r="G340" s="149"/>
      <c r="H340" s="151">
        <v>0</v>
      </c>
      <c r="I340" s="151"/>
      <c r="J340" s="151"/>
      <c r="K340" s="151"/>
      <c r="L340" s="151">
        <v>0</v>
      </c>
      <c r="M340" s="151"/>
      <c r="N340" s="151"/>
      <c r="O340" s="151"/>
      <c r="P340" s="151">
        <v>0</v>
      </c>
      <c r="Q340" s="151"/>
      <c r="R340" s="151"/>
      <c r="S340" s="151"/>
      <c r="T340" s="151">
        <v>0</v>
      </c>
      <c r="U340" s="151"/>
      <c r="V340" s="151"/>
      <c r="W340" s="151"/>
      <c r="X340" s="137" t="s">
        <v>116</v>
      </c>
      <c r="Y340" s="155"/>
      <c r="Z340" s="154" t="s">
        <v>453</v>
      </c>
      <c r="AA340" s="149"/>
      <c r="AB340" s="136"/>
      <c r="AC340" s="139"/>
      <c r="AD340" s="139"/>
      <c r="AE340" s="139"/>
      <c r="AF340" s="139"/>
    </row>
    <row r="341" spans="1:32" ht="12.75">
      <c r="A341" s="154" t="e">
        <f ca="1"/>
        <v>#NAME?</v>
      </c>
      <c r="B341" s="150" t="s">
        <v>739</v>
      </c>
      <c r="C341" s="151">
        <v>0</v>
      </c>
      <c r="D341" s="151" t="s">
        <v>657</v>
      </c>
      <c r="E341" s="149"/>
      <c r="F341" s="153"/>
      <c r="G341" s="149"/>
      <c r="H341" s="151">
        <v>0</v>
      </c>
      <c r="I341" s="151"/>
      <c r="J341" s="151"/>
      <c r="K341" s="151"/>
      <c r="L341" s="151">
        <v>0</v>
      </c>
      <c r="M341" s="151"/>
      <c r="N341" s="151"/>
      <c r="O341" s="151"/>
      <c r="P341" s="151">
        <v>0</v>
      </c>
      <c r="Q341" s="151"/>
      <c r="R341" s="151"/>
      <c r="S341" s="151"/>
      <c r="T341" s="151">
        <v>0</v>
      </c>
      <c r="U341" s="151"/>
      <c r="V341" s="151"/>
      <c r="W341" s="151"/>
      <c r="X341" s="137" t="s">
        <v>116</v>
      </c>
      <c r="Y341" s="155"/>
      <c r="Z341" s="154" t="s">
        <v>453</v>
      </c>
      <c r="AA341" s="149"/>
      <c r="AB341" s="136"/>
      <c r="AC341" s="139"/>
      <c r="AD341" s="139"/>
      <c r="AE341" s="139"/>
      <c r="AF341" s="139"/>
    </row>
    <row r="342" spans="1:32" ht="12.75">
      <c r="A342" s="154" t="e">
        <f ca="1"/>
        <v>#NAME?</v>
      </c>
      <c r="B342" s="150" t="s">
        <v>740</v>
      </c>
      <c r="C342" s="151">
        <v>0</v>
      </c>
      <c r="D342" s="151" t="s">
        <v>657</v>
      </c>
      <c r="E342" s="153"/>
      <c r="F342" s="153"/>
      <c r="G342" s="149"/>
      <c r="H342" s="151">
        <v>0</v>
      </c>
      <c r="I342" s="151"/>
      <c r="J342" s="151"/>
      <c r="K342" s="151"/>
      <c r="L342" s="151">
        <v>0</v>
      </c>
      <c r="M342" s="151"/>
      <c r="N342" s="151"/>
      <c r="O342" s="151"/>
      <c r="P342" s="151">
        <v>0</v>
      </c>
      <c r="Q342" s="151"/>
      <c r="R342" s="151"/>
      <c r="S342" s="151"/>
      <c r="T342" s="151">
        <v>0</v>
      </c>
      <c r="U342" s="151"/>
      <c r="V342" s="151"/>
      <c r="W342" s="151"/>
      <c r="X342" s="137" t="s">
        <v>116</v>
      </c>
      <c r="Y342" s="155"/>
      <c r="Z342" s="154" t="s">
        <v>453</v>
      </c>
      <c r="AA342" s="149"/>
      <c r="AB342" s="136"/>
      <c r="AC342" s="139"/>
      <c r="AD342" s="139"/>
      <c r="AE342" s="139"/>
      <c r="AF342" s="139"/>
    </row>
    <row r="343" spans="1:32" ht="25.5">
      <c r="A343" s="154" t="e">
        <f ca="1"/>
        <v>#NAME?</v>
      </c>
      <c r="B343" s="156" t="s">
        <v>741</v>
      </c>
      <c r="C343" s="151">
        <v>0</v>
      </c>
      <c r="D343" s="151" t="s">
        <v>103</v>
      </c>
      <c r="E343" s="149"/>
      <c r="F343" s="153"/>
      <c r="G343" s="149"/>
      <c r="H343" s="151">
        <v>0</v>
      </c>
      <c r="I343" s="151"/>
      <c r="J343" s="151"/>
      <c r="K343" s="151"/>
      <c r="L343" s="151">
        <v>0</v>
      </c>
      <c r="M343" s="151"/>
      <c r="N343" s="151"/>
      <c r="O343" s="151"/>
      <c r="P343" s="151">
        <v>0</v>
      </c>
      <c r="Q343" s="151"/>
      <c r="R343" s="151"/>
      <c r="S343" s="151"/>
      <c r="T343" s="151">
        <v>0</v>
      </c>
      <c r="U343" s="151"/>
      <c r="V343" s="151"/>
      <c r="W343" s="151"/>
      <c r="X343" s="137" t="s">
        <v>116</v>
      </c>
      <c r="Y343" s="155" t="str">
        <f>DB!$D$244</f>
        <v>Toner Cartridge for the existing FS-6525MFP</v>
      </c>
      <c r="Z343" s="163"/>
      <c r="AA343" s="149"/>
      <c r="AB343" s="136"/>
      <c r="AC343" s="139"/>
      <c r="AD343" s="139"/>
      <c r="AE343" s="139"/>
      <c r="AF343" s="139"/>
    </row>
    <row r="344" spans="1:32" ht="25.5">
      <c r="A344" s="154" t="e">
        <f ca="1"/>
        <v>#NAME?</v>
      </c>
      <c r="B344" s="156" t="s">
        <v>742</v>
      </c>
      <c r="C344" s="151">
        <v>0</v>
      </c>
      <c r="D344" s="151" t="s">
        <v>103</v>
      </c>
      <c r="E344" s="149"/>
      <c r="F344" s="153"/>
      <c r="G344" s="149"/>
      <c r="H344" s="151">
        <v>0</v>
      </c>
      <c r="I344" s="151"/>
      <c r="J344" s="151"/>
      <c r="K344" s="151"/>
      <c r="L344" s="151">
        <v>0</v>
      </c>
      <c r="M344" s="151"/>
      <c r="N344" s="151"/>
      <c r="O344" s="151"/>
      <c r="P344" s="151">
        <v>0</v>
      </c>
      <c r="Q344" s="151"/>
      <c r="R344" s="151"/>
      <c r="S344" s="151"/>
      <c r="T344" s="151">
        <v>0</v>
      </c>
      <c r="U344" s="151"/>
      <c r="V344" s="151"/>
      <c r="W344" s="151"/>
      <c r="X344" s="137" t="s">
        <v>116</v>
      </c>
      <c r="Y344" s="155" t="str">
        <f>DB!$D$254</f>
        <v>Maintenance Kit for the existing FS-6525MFP</v>
      </c>
      <c r="Z344" s="163"/>
      <c r="AA344" s="149"/>
      <c r="AB344" s="136"/>
      <c r="AC344" s="139"/>
      <c r="AD344" s="139"/>
      <c r="AE344" s="139"/>
      <c r="AF344" s="139"/>
    </row>
    <row r="345" spans="1:32" ht="25.5">
      <c r="A345" s="154" t="e">
        <f ca="1"/>
        <v>#NAME?</v>
      </c>
      <c r="B345" s="156" t="s">
        <v>743</v>
      </c>
      <c r="C345" s="151">
        <v>48</v>
      </c>
      <c r="D345" s="151" t="s">
        <v>103</v>
      </c>
      <c r="E345" s="149"/>
      <c r="F345" s="153"/>
      <c r="G345" s="149"/>
      <c r="H345" s="151">
        <v>12</v>
      </c>
      <c r="I345" s="151">
        <v>4</v>
      </c>
      <c r="J345" s="151">
        <v>4</v>
      </c>
      <c r="K345" s="151">
        <v>4</v>
      </c>
      <c r="L345" s="151">
        <v>12</v>
      </c>
      <c r="M345" s="151">
        <v>4</v>
      </c>
      <c r="N345" s="151">
        <v>4</v>
      </c>
      <c r="O345" s="151">
        <v>4</v>
      </c>
      <c r="P345" s="151">
        <v>12</v>
      </c>
      <c r="Q345" s="151">
        <v>4</v>
      </c>
      <c r="R345" s="151">
        <v>4</v>
      </c>
      <c r="S345" s="151">
        <v>4</v>
      </c>
      <c r="T345" s="151">
        <v>12</v>
      </c>
      <c r="U345" s="151">
        <v>4</v>
      </c>
      <c r="V345" s="151">
        <v>4</v>
      </c>
      <c r="W345" s="151">
        <v>4</v>
      </c>
      <c r="X345" s="137" t="s">
        <v>116</v>
      </c>
      <c r="Y345" s="155" t="str">
        <f>DB!$D$245</f>
        <v>Toner Cartridge for the existing ECOSYS M4125IDN</v>
      </c>
      <c r="Z345" s="163"/>
      <c r="AA345" s="149"/>
      <c r="AB345" s="136"/>
      <c r="AC345" s="139"/>
      <c r="AD345" s="139"/>
      <c r="AE345" s="139"/>
      <c r="AF345" s="139"/>
    </row>
    <row r="346" spans="1:32" ht="25.5">
      <c r="A346" s="154" t="e">
        <f ca="1"/>
        <v>#NAME?</v>
      </c>
      <c r="B346" s="156" t="s">
        <v>744</v>
      </c>
      <c r="C346" s="151">
        <v>0</v>
      </c>
      <c r="D346" s="151" t="s">
        <v>103</v>
      </c>
      <c r="E346" s="149"/>
      <c r="F346" s="149"/>
      <c r="G346" s="149"/>
      <c r="H346" s="151">
        <v>0</v>
      </c>
      <c r="I346" s="151"/>
      <c r="J346" s="151"/>
      <c r="K346" s="151"/>
      <c r="L346" s="151">
        <v>0</v>
      </c>
      <c r="M346" s="151"/>
      <c r="N346" s="151"/>
      <c r="O346" s="151"/>
      <c r="P346" s="151">
        <v>0</v>
      </c>
      <c r="Q346" s="151"/>
      <c r="R346" s="151"/>
      <c r="S346" s="151"/>
      <c r="T346" s="151">
        <v>0</v>
      </c>
      <c r="U346" s="151"/>
      <c r="V346" s="151"/>
      <c r="W346" s="151"/>
      <c r="X346" s="137" t="s">
        <v>116</v>
      </c>
      <c r="Y346" s="155" t="str">
        <f>DB!$D$256</f>
        <v>Maintenance Kit for the existing ECOSYS M4125IDN</v>
      </c>
      <c r="Z346" s="163"/>
      <c r="AA346" s="149"/>
      <c r="AB346" s="136"/>
      <c r="AC346" s="139"/>
      <c r="AD346" s="139"/>
      <c r="AE346" s="139"/>
      <c r="AF346" s="139"/>
    </row>
    <row r="347" spans="1:32" ht="25.5">
      <c r="A347" s="154" t="e">
        <f ca="1"/>
        <v>#NAME?</v>
      </c>
      <c r="B347" s="156" t="s">
        <v>745</v>
      </c>
      <c r="C347" s="151">
        <v>48</v>
      </c>
      <c r="D347" s="151" t="s">
        <v>103</v>
      </c>
      <c r="E347" s="149"/>
      <c r="F347" s="149"/>
      <c r="G347" s="149"/>
      <c r="H347" s="151">
        <v>12</v>
      </c>
      <c r="I347" s="151">
        <v>4</v>
      </c>
      <c r="J347" s="151">
        <v>4</v>
      </c>
      <c r="K347" s="151">
        <v>4</v>
      </c>
      <c r="L347" s="151">
        <v>12</v>
      </c>
      <c r="M347" s="151">
        <v>4</v>
      </c>
      <c r="N347" s="151">
        <v>4</v>
      </c>
      <c r="O347" s="151">
        <v>4</v>
      </c>
      <c r="P347" s="151">
        <v>12</v>
      </c>
      <c r="Q347" s="151">
        <v>4</v>
      </c>
      <c r="R347" s="151">
        <v>4</v>
      </c>
      <c r="S347" s="151">
        <v>4</v>
      </c>
      <c r="T347" s="151">
        <v>12</v>
      </c>
      <c r="U347" s="151">
        <v>4</v>
      </c>
      <c r="V347" s="151">
        <v>4</v>
      </c>
      <c r="W347" s="151">
        <v>4</v>
      </c>
      <c r="X347" s="137" t="s">
        <v>116</v>
      </c>
      <c r="Y347" s="155" t="str">
        <f>DB!$D$239</f>
        <v>Toner Cartridge for the existing ECOSYS P2040DN</v>
      </c>
      <c r="Z347" s="163"/>
      <c r="AA347" s="149"/>
      <c r="AB347" s="136"/>
      <c r="AC347" s="139"/>
      <c r="AD347" s="139"/>
      <c r="AE347" s="139"/>
      <c r="AF347" s="139"/>
    </row>
    <row r="348" spans="1:32" ht="38.25">
      <c r="A348" s="154" t="e">
        <f ca="1"/>
        <v>#NAME?</v>
      </c>
      <c r="B348" s="156" t="s">
        <v>746</v>
      </c>
      <c r="C348" s="151">
        <v>5</v>
      </c>
      <c r="D348" s="151" t="s">
        <v>103</v>
      </c>
      <c r="E348" s="149"/>
      <c r="F348" s="153"/>
      <c r="G348" s="149"/>
      <c r="H348" s="151">
        <v>2</v>
      </c>
      <c r="I348" s="151">
        <v>2</v>
      </c>
      <c r="J348" s="151"/>
      <c r="K348" s="151"/>
      <c r="L348" s="151">
        <v>2</v>
      </c>
      <c r="M348" s="151">
        <v>2</v>
      </c>
      <c r="N348" s="151"/>
      <c r="O348" s="151"/>
      <c r="P348" s="151">
        <v>1</v>
      </c>
      <c r="Q348" s="151">
        <v>1</v>
      </c>
      <c r="R348" s="151"/>
      <c r="S348" s="151"/>
      <c r="T348" s="151">
        <v>0</v>
      </c>
      <c r="U348" s="151"/>
      <c r="V348" s="151"/>
      <c r="W348" s="151"/>
      <c r="X348" s="137" t="s">
        <v>116</v>
      </c>
      <c r="Y348" s="155" t="str">
        <f>DB!$D$276</f>
        <v>Ink Tank Printer</v>
      </c>
      <c r="Z348" s="154" t="s">
        <v>469</v>
      </c>
      <c r="AA348" s="149"/>
      <c r="AB348" s="136"/>
      <c r="AC348" s="139"/>
      <c r="AD348" s="139"/>
      <c r="AE348" s="139"/>
      <c r="AF348" s="139"/>
    </row>
    <row r="349" spans="1:32" ht="12.75">
      <c r="A349" s="154" t="e">
        <f ca="1"/>
        <v>#NAME?</v>
      </c>
      <c r="B349" s="156" t="s">
        <v>747</v>
      </c>
      <c r="C349" s="151">
        <v>8</v>
      </c>
      <c r="D349" s="151" t="s">
        <v>103</v>
      </c>
      <c r="E349" s="149"/>
      <c r="F349" s="153"/>
      <c r="G349" s="149"/>
      <c r="H349" s="151">
        <v>4</v>
      </c>
      <c r="I349" s="151">
        <v>4</v>
      </c>
      <c r="J349" s="151"/>
      <c r="K349" s="151"/>
      <c r="L349" s="151">
        <v>0</v>
      </c>
      <c r="M349" s="151"/>
      <c r="N349" s="151"/>
      <c r="O349" s="151"/>
      <c r="P349" s="151">
        <v>4</v>
      </c>
      <c r="Q349" s="151">
        <v>4</v>
      </c>
      <c r="R349" s="151"/>
      <c r="S349" s="151"/>
      <c r="T349" s="151">
        <v>0</v>
      </c>
      <c r="U349" s="151"/>
      <c r="V349" s="151"/>
      <c r="W349" s="151"/>
      <c r="X349" s="137" t="s">
        <v>116</v>
      </c>
      <c r="Y349" s="141" t="str">
        <f>DB!$D$194</f>
        <v>Branded Desktop Computer Set</v>
      </c>
      <c r="Z349" s="152"/>
      <c r="AA349" s="149"/>
      <c r="AB349" s="136"/>
      <c r="AC349" s="139"/>
      <c r="AD349" s="139"/>
      <c r="AE349" s="139"/>
      <c r="AF349" s="139"/>
    </row>
    <row r="350" spans="1:32" ht="12.75">
      <c r="A350" s="154" t="e">
        <f ca="1"/>
        <v>#NAME?</v>
      </c>
      <c r="B350" s="156" t="s">
        <v>748</v>
      </c>
      <c r="C350" s="151">
        <v>0</v>
      </c>
      <c r="D350" s="151" t="s">
        <v>103</v>
      </c>
      <c r="E350" s="149"/>
      <c r="F350" s="153"/>
      <c r="G350" s="149"/>
      <c r="H350" s="151">
        <v>0</v>
      </c>
      <c r="I350" s="151"/>
      <c r="J350" s="151"/>
      <c r="K350" s="151"/>
      <c r="L350" s="151">
        <v>0</v>
      </c>
      <c r="M350" s="151"/>
      <c r="N350" s="151"/>
      <c r="O350" s="151"/>
      <c r="P350" s="151">
        <v>0</v>
      </c>
      <c r="Q350" s="151"/>
      <c r="R350" s="151"/>
      <c r="S350" s="151"/>
      <c r="T350" s="151">
        <v>0</v>
      </c>
      <c r="U350" s="151"/>
      <c r="V350" s="151"/>
      <c r="W350" s="151"/>
      <c r="X350" s="137" t="s">
        <v>116</v>
      </c>
      <c r="Y350" s="141"/>
      <c r="Z350" s="154" t="s">
        <v>453</v>
      </c>
      <c r="AA350" s="149"/>
      <c r="AB350" s="136"/>
      <c r="AC350" s="139"/>
      <c r="AD350" s="139"/>
      <c r="AE350" s="139"/>
      <c r="AF350" s="139"/>
    </row>
    <row r="351" spans="1:32" ht="12.75">
      <c r="A351" s="154" t="e">
        <f ca="1"/>
        <v>#NAME?</v>
      </c>
      <c r="B351" s="156" t="s">
        <v>749</v>
      </c>
      <c r="C351" s="151">
        <v>0</v>
      </c>
      <c r="D351" s="151" t="s">
        <v>103</v>
      </c>
      <c r="E351" s="149"/>
      <c r="F351" s="153"/>
      <c r="G351" s="149"/>
      <c r="H351" s="151">
        <v>0</v>
      </c>
      <c r="I351" s="151"/>
      <c r="J351" s="151"/>
      <c r="K351" s="151"/>
      <c r="L351" s="151">
        <v>0</v>
      </c>
      <c r="M351" s="151"/>
      <c r="N351" s="151"/>
      <c r="O351" s="151"/>
      <c r="P351" s="151">
        <v>0</v>
      </c>
      <c r="Q351" s="151"/>
      <c r="R351" s="151"/>
      <c r="S351" s="151"/>
      <c r="T351" s="151">
        <v>0</v>
      </c>
      <c r="U351" s="151"/>
      <c r="V351" s="151"/>
      <c r="W351" s="151"/>
      <c r="X351" s="137" t="s">
        <v>116</v>
      </c>
      <c r="Y351" s="155"/>
      <c r="Z351" s="154" t="s">
        <v>453</v>
      </c>
      <c r="AA351" s="149"/>
      <c r="AB351" s="136"/>
      <c r="AC351" s="139"/>
      <c r="AD351" s="139"/>
      <c r="AE351" s="139"/>
      <c r="AF351" s="139"/>
    </row>
    <row r="352" spans="1:32" ht="12.75">
      <c r="A352" s="154" t="e">
        <f ca="1"/>
        <v>#NAME?</v>
      </c>
      <c r="B352" s="156" t="s">
        <v>750</v>
      </c>
      <c r="C352" s="151">
        <v>0</v>
      </c>
      <c r="D352" s="151" t="s">
        <v>103</v>
      </c>
      <c r="E352" s="149"/>
      <c r="F352" s="153"/>
      <c r="G352" s="149"/>
      <c r="H352" s="151">
        <v>0</v>
      </c>
      <c r="I352" s="151"/>
      <c r="J352" s="151"/>
      <c r="K352" s="151"/>
      <c r="L352" s="151">
        <v>0</v>
      </c>
      <c r="M352" s="151"/>
      <c r="N352" s="151"/>
      <c r="O352" s="151"/>
      <c r="P352" s="151">
        <v>0</v>
      </c>
      <c r="Q352" s="151"/>
      <c r="R352" s="151"/>
      <c r="S352" s="151"/>
      <c r="T352" s="151">
        <v>0</v>
      </c>
      <c r="U352" s="151"/>
      <c r="V352" s="151"/>
      <c r="W352" s="151"/>
      <c r="X352" s="137" t="s">
        <v>116</v>
      </c>
      <c r="Y352" s="155"/>
      <c r="Z352" s="154" t="s">
        <v>453</v>
      </c>
      <c r="AA352" s="149"/>
      <c r="AB352" s="136"/>
      <c r="AC352" s="139"/>
      <c r="AD352" s="139"/>
      <c r="AE352" s="139"/>
      <c r="AF352" s="139"/>
    </row>
    <row r="353" spans="1:32" ht="25.5">
      <c r="A353" s="154" t="e">
        <f ca="1"/>
        <v>#NAME?</v>
      </c>
      <c r="B353" s="150" t="s">
        <v>751</v>
      </c>
      <c r="C353" s="152">
        <v>24</v>
      </c>
      <c r="D353" s="152" t="s">
        <v>103</v>
      </c>
      <c r="E353" s="149"/>
      <c r="F353" s="153"/>
      <c r="G353" s="152" t="s">
        <v>752</v>
      </c>
      <c r="H353" s="152">
        <v>6</v>
      </c>
      <c r="I353" s="152">
        <v>6</v>
      </c>
      <c r="J353" s="152"/>
      <c r="K353" s="152"/>
      <c r="L353" s="152">
        <v>6</v>
      </c>
      <c r="M353" s="152">
        <v>6</v>
      </c>
      <c r="N353" s="152"/>
      <c r="O353" s="152"/>
      <c r="P353" s="152">
        <v>6</v>
      </c>
      <c r="Q353" s="152">
        <v>6</v>
      </c>
      <c r="R353" s="152"/>
      <c r="S353" s="152"/>
      <c r="T353" s="152">
        <v>6</v>
      </c>
      <c r="U353" s="152">
        <v>6</v>
      </c>
      <c r="V353" s="152"/>
      <c r="W353" s="152"/>
      <c r="X353" s="137" t="s">
        <v>194</v>
      </c>
      <c r="Y353" s="155" t="str">
        <f>DB!$D$235</f>
        <v>Colored Toner Cartridge Set for the existing ECOSYS M5521CDW</v>
      </c>
      <c r="Z353" s="163"/>
      <c r="AA353" s="149"/>
      <c r="AB353" s="136"/>
      <c r="AC353" s="139"/>
      <c r="AD353" s="139"/>
      <c r="AE353" s="139"/>
      <c r="AF353" s="139"/>
    </row>
    <row r="354" spans="1:32" ht="25.5">
      <c r="A354" s="154" t="e">
        <f ca="1"/>
        <v>#NAME?</v>
      </c>
      <c r="B354" s="150" t="s">
        <v>753</v>
      </c>
      <c r="C354" s="152">
        <v>24</v>
      </c>
      <c r="D354" s="152" t="s">
        <v>103</v>
      </c>
      <c r="E354" s="149"/>
      <c r="F354" s="153"/>
      <c r="G354" s="152" t="s">
        <v>752</v>
      </c>
      <c r="H354" s="152">
        <v>6</v>
      </c>
      <c r="I354" s="152">
        <v>6</v>
      </c>
      <c r="J354" s="152"/>
      <c r="K354" s="152"/>
      <c r="L354" s="152">
        <v>6</v>
      </c>
      <c r="M354" s="152">
        <v>6</v>
      </c>
      <c r="N354" s="152"/>
      <c r="O354" s="152"/>
      <c r="P354" s="152">
        <v>6</v>
      </c>
      <c r="Q354" s="152">
        <v>6</v>
      </c>
      <c r="R354" s="152"/>
      <c r="S354" s="152"/>
      <c r="T354" s="152">
        <v>6</v>
      </c>
      <c r="U354" s="152">
        <v>6</v>
      </c>
      <c r="V354" s="152"/>
      <c r="W354" s="152"/>
      <c r="X354" s="137" t="s">
        <v>194</v>
      </c>
      <c r="Y354" s="155"/>
      <c r="Z354" s="163" t="s">
        <v>453</v>
      </c>
      <c r="AA354" s="149"/>
      <c r="AB354" s="136"/>
      <c r="AC354" s="139"/>
      <c r="AD354" s="139"/>
      <c r="AE354" s="139"/>
      <c r="AF354" s="139"/>
    </row>
    <row r="355" spans="1:32" ht="25.5">
      <c r="A355" s="154" t="e">
        <f ca="1"/>
        <v>#NAME?</v>
      </c>
      <c r="B355" s="150" t="s">
        <v>754</v>
      </c>
      <c r="C355" s="152">
        <v>24</v>
      </c>
      <c r="D355" s="152" t="s">
        <v>103</v>
      </c>
      <c r="E355" s="149"/>
      <c r="F355" s="149"/>
      <c r="G355" s="152" t="s">
        <v>752</v>
      </c>
      <c r="H355" s="152">
        <v>6</v>
      </c>
      <c r="I355" s="152">
        <v>6</v>
      </c>
      <c r="J355" s="152"/>
      <c r="K355" s="152"/>
      <c r="L355" s="152">
        <v>6</v>
      </c>
      <c r="M355" s="152">
        <v>6</v>
      </c>
      <c r="N355" s="152"/>
      <c r="O355" s="152"/>
      <c r="P355" s="152">
        <v>6</v>
      </c>
      <c r="Q355" s="152">
        <v>6</v>
      </c>
      <c r="R355" s="152"/>
      <c r="S355" s="152"/>
      <c r="T355" s="152">
        <v>6</v>
      </c>
      <c r="U355" s="152">
        <v>6</v>
      </c>
      <c r="V355" s="152"/>
      <c r="W355" s="152"/>
      <c r="X355" s="137" t="s">
        <v>194</v>
      </c>
      <c r="Y355" s="155"/>
      <c r="Z355" s="163" t="s">
        <v>453</v>
      </c>
      <c r="AA355" s="149"/>
      <c r="AB355" s="136"/>
      <c r="AC355" s="139"/>
      <c r="AD355" s="139"/>
      <c r="AE355" s="139"/>
      <c r="AF355" s="139"/>
    </row>
    <row r="356" spans="1:32" ht="25.5">
      <c r="A356" s="154" t="e">
        <f ca="1"/>
        <v>#NAME?</v>
      </c>
      <c r="B356" s="150" t="s">
        <v>755</v>
      </c>
      <c r="C356" s="152">
        <v>36</v>
      </c>
      <c r="D356" s="152" t="s">
        <v>103</v>
      </c>
      <c r="E356" s="149"/>
      <c r="F356" s="149"/>
      <c r="G356" s="152" t="s">
        <v>752</v>
      </c>
      <c r="H356" s="152">
        <v>9</v>
      </c>
      <c r="I356" s="152">
        <v>9</v>
      </c>
      <c r="J356" s="152"/>
      <c r="K356" s="152"/>
      <c r="L356" s="152">
        <v>9</v>
      </c>
      <c r="M356" s="152">
        <v>9</v>
      </c>
      <c r="N356" s="152"/>
      <c r="O356" s="152"/>
      <c r="P356" s="152">
        <v>9</v>
      </c>
      <c r="Q356" s="152">
        <v>9</v>
      </c>
      <c r="R356" s="152"/>
      <c r="S356" s="152"/>
      <c r="T356" s="152">
        <v>9</v>
      </c>
      <c r="U356" s="152">
        <v>9</v>
      </c>
      <c r="V356" s="152"/>
      <c r="W356" s="152"/>
      <c r="X356" s="137" t="s">
        <v>194</v>
      </c>
      <c r="Y356" s="155" t="str">
        <f>DB!$D$260</f>
        <v>Toner Cartridge for the existing ECOSYS M5521CDW</v>
      </c>
      <c r="Z356" s="163"/>
      <c r="AA356" s="149"/>
      <c r="AB356" s="136"/>
      <c r="AC356" s="139"/>
      <c r="AD356" s="139"/>
      <c r="AE356" s="139"/>
      <c r="AF356" s="139"/>
    </row>
    <row r="357" spans="1:32" ht="12.75">
      <c r="A357" s="154" t="e">
        <f ca="1"/>
        <v>#NAME?</v>
      </c>
      <c r="B357" s="150" t="s">
        <v>193</v>
      </c>
      <c r="C357" s="152">
        <v>1</v>
      </c>
      <c r="D357" s="152" t="s">
        <v>466</v>
      </c>
      <c r="E357" s="149"/>
      <c r="F357" s="149"/>
      <c r="G357" s="152" t="s">
        <v>752</v>
      </c>
      <c r="H357" s="152">
        <v>1</v>
      </c>
      <c r="I357" s="152">
        <v>1</v>
      </c>
      <c r="J357" s="152"/>
      <c r="K357" s="152"/>
      <c r="L357" s="152">
        <v>0</v>
      </c>
      <c r="M357" s="152"/>
      <c r="N357" s="152"/>
      <c r="O357" s="152"/>
      <c r="P357" s="152">
        <v>0</v>
      </c>
      <c r="Q357" s="152"/>
      <c r="R357" s="152"/>
      <c r="S357" s="152"/>
      <c r="T357" s="152">
        <v>0</v>
      </c>
      <c r="U357" s="152"/>
      <c r="V357" s="152"/>
      <c r="W357" s="152"/>
      <c r="X357" s="137" t="s">
        <v>194</v>
      </c>
      <c r="Y357" s="141" t="str">
        <f>DB!$D$86</f>
        <v>Desktop Type Document Scanner</v>
      </c>
      <c r="Z357" s="154"/>
      <c r="AA357" s="149"/>
      <c r="AB357" s="136"/>
      <c r="AC357" s="139"/>
      <c r="AD357" s="139"/>
      <c r="AE357" s="139"/>
      <c r="AF357" s="139"/>
    </row>
    <row r="358" spans="1:32" ht="12.75">
      <c r="A358" s="154" t="e">
        <f ca="1"/>
        <v>#NAME?</v>
      </c>
      <c r="B358" s="150" t="s">
        <v>756</v>
      </c>
      <c r="C358" s="152">
        <v>2</v>
      </c>
      <c r="D358" s="152" t="s">
        <v>103</v>
      </c>
      <c r="E358" s="149"/>
      <c r="F358" s="149"/>
      <c r="G358" s="152" t="s">
        <v>752</v>
      </c>
      <c r="H358" s="152">
        <v>2</v>
      </c>
      <c r="I358" s="152">
        <v>2</v>
      </c>
      <c r="J358" s="152"/>
      <c r="K358" s="152"/>
      <c r="L358" s="152">
        <v>0</v>
      </c>
      <c r="M358" s="152"/>
      <c r="N358" s="152"/>
      <c r="O358" s="152"/>
      <c r="P358" s="152">
        <v>0</v>
      </c>
      <c r="Q358" s="152"/>
      <c r="R358" s="152"/>
      <c r="S358" s="152"/>
      <c r="T358" s="152">
        <v>0</v>
      </c>
      <c r="U358" s="152"/>
      <c r="V358" s="152"/>
      <c r="W358" s="152"/>
      <c r="X358" s="137" t="s">
        <v>194</v>
      </c>
      <c r="Y358" s="141" t="str">
        <f>DB!$D$169</f>
        <v>Mouse, Optical, USB 2.0</v>
      </c>
      <c r="Z358" s="154"/>
      <c r="AA358" s="149"/>
      <c r="AB358" s="136"/>
      <c r="AC358" s="139"/>
      <c r="AD358" s="139"/>
      <c r="AE358" s="139"/>
      <c r="AF358" s="139"/>
    </row>
    <row r="359" spans="1:32" ht="12.75">
      <c r="A359" s="154" t="e">
        <f ca="1"/>
        <v>#NAME?</v>
      </c>
      <c r="B359" s="150" t="s">
        <v>258</v>
      </c>
      <c r="C359" s="152">
        <v>2</v>
      </c>
      <c r="D359" s="152" t="s">
        <v>103</v>
      </c>
      <c r="E359" s="149"/>
      <c r="F359" s="149"/>
      <c r="G359" s="152" t="s">
        <v>752</v>
      </c>
      <c r="H359" s="152">
        <v>2</v>
      </c>
      <c r="I359" s="152">
        <v>2</v>
      </c>
      <c r="J359" s="152"/>
      <c r="K359" s="152"/>
      <c r="L359" s="152">
        <v>0</v>
      </c>
      <c r="M359" s="152"/>
      <c r="N359" s="152"/>
      <c r="O359" s="152"/>
      <c r="P359" s="152">
        <v>0</v>
      </c>
      <c r="Q359" s="152"/>
      <c r="R359" s="152"/>
      <c r="S359" s="152"/>
      <c r="T359" s="152">
        <v>0</v>
      </c>
      <c r="U359" s="152"/>
      <c r="V359" s="152"/>
      <c r="W359" s="152"/>
      <c r="X359" s="137" t="s">
        <v>194</v>
      </c>
      <c r="Y359" s="163" t="str">
        <f>DB!$D$6</f>
        <v>UPS 650VA, AVR, 230V</v>
      </c>
      <c r="Z359" s="154"/>
      <c r="AA359" s="149"/>
      <c r="AB359" s="136"/>
      <c r="AC359" s="139"/>
      <c r="AD359" s="139"/>
      <c r="AE359" s="139"/>
      <c r="AF359" s="139"/>
    </row>
    <row r="360" spans="1:32" ht="12.75">
      <c r="A360" s="154" t="e">
        <f ca="1"/>
        <v>#NAME?</v>
      </c>
      <c r="B360" s="150" t="s">
        <v>757</v>
      </c>
      <c r="C360" s="152">
        <v>1</v>
      </c>
      <c r="D360" s="152" t="s">
        <v>758</v>
      </c>
      <c r="E360" s="149"/>
      <c r="F360" s="149"/>
      <c r="G360" s="152" t="s">
        <v>752</v>
      </c>
      <c r="H360" s="149"/>
      <c r="I360" s="149"/>
      <c r="J360" s="149"/>
      <c r="K360" s="149"/>
      <c r="L360" s="149"/>
      <c r="M360" s="149"/>
      <c r="N360" s="149"/>
      <c r="O360" s="149"/>
      <c r="P360" s="149"/>
      <c r="Q360" s="149"/>
      <c r="R360" s="149"/>
      <c r="S360" s="149"/>
      <c r="T360" s="149"/>
      <c r="U360" s="149"/>
      <c r="V360" s="149"/>
      <c r="W360" s="149"/>
      <c r="X360" s="137" t="s">
        <v>194</v>
      </c>
      <c r="Y360" s="175"/>
      <c r="Z360" s="163" t="s">
        <v>453</v>
      </c>
      <c r="AA360" s="149"/>
      <c r="AB360" s="136"/>
      <c r="AC360" s="139"/>
      <c r="AD360" s="139"/>
      <c r="AE360" s="139"/>
      <c r="AF360" s="139"/>
    </row>
    <row r="361" spans="1:32" ht="12.75">
      <c r="A361" s="154" t="e">
        <f ca="1"/>
        <v>#NAME?</v>
      </c>
      <c r="B361" s="156" t="s">
        <v>234</v>
      </c>
      <c r="C361" s="151">
        <v>3</v>
      </c>
      <c r="D361" s="151" t="s">
        <v>103</v>
      </c>
      <c r="E361" s="149"/>
      <c r="F361" s="149"/>
      <c r="G361" s="152" t="s">
        <v>752</v>
      </c>
      <c r="H361" s="158">
        <v>2</v>
      </c>
      <c r="I361" s="151">
        <v>2</v>
      </c>
      <c r="J361" s="151"/>
      <c r="K361" s="151"/>
      <c r="L361" s="158">
        <v>0</v>
      </c>
      <c r="M361" s="151"/>
      <c r="N361" s="151"/>
      <c r="O361" s="151"/>
      <c r="P361" s="158">
        <v>0</v>
      </c>
      <c r="Q361" s="151"/>
      <c r="R361" s="151"/>
      <c r="S361" s="151"/>
      <c r="T361" s="158">
        <v>0</v>
      </c>
      <c r="U361" s="149"/>
      <c r="V361" s="149"/>
      <c r="W361" s="149"/>
      <c r="X361" s="137" t="s">
        <v>215</v>
      </c>
      <c r="Y361" s="141" t="str">
        <f>DB!$D$168</f>
        <v>Keyboard, Full Size, USB 2.0</v>
      </c>
      <c r="Z361" s="154"/>
      <c r="AA361" s="149"/>
      <c r="AB361" s="136"/>
      <c r="AC361" s="139"/>
      <c r="AD361" s="139"/>
      <c r="AE361" s="139"/>
      <c r="AF361" s="139"/>
    </row>
    <row r="362" spans="1:32" ht="12.75">
      <c r="A362" s="154" t="e">
        <f ca="1"/>
        <v>#NAME?</v>
      </c>
      <c r="B362" s="156" t="s">
        <v>239</v>
      </c>
      <c r="C362" s="151">
        <v>3</v>
      </c>
      <c r="D362" s="151" t="s">
        <v>103</v>
      </c>
      <c r="E362" s="149"/>
      <c r="F362" s="149"/>
      <c r="G362" s="152" t="s">
        <v>752</v>
      </c>
      <c r="H362" s="158">
        <v>2</v>
      </c>
      <c r="I362" s="151">
        <v>2</v>
      </c>
      <c r="J362" s="151"/>
      <c r="K362" s="151"/>
      <c r="L362" s="158">
        <v>0</v>
      </c>
      <c r="M362" s="151"/>
      <c r="N362" s="151"/>
      <c r="O362" s="151"/>
      <c r="P362" s="158">
        <v>0</v>
      </c>
      <c r="Q362" s="151"/>
      <c r="R362" s="151"/>
      <c r="S362" s="151"/>
      <c r="T362" s="158">
        <v>0</v>
      </c>
      <c r="U362" s="149"/>
      <c r="V362" s="149"/>
      <c r="W362" s="149"/>
      <c r="X362" s="137" t="s">
        <v>215</v>
      </c>
      <c r="Y362" s="141" t="str">
        <f>DB!$D$169</f>
        <v>Mouse, Optical, USB 2.0</v>
      </c>
      <c r="Z362" s="154"/>
      <c r="AA362" s="149"/>
      <c r="AB362" s="136"/>
      <c r="AC362" s="139"/>
      <c r="AD362" s="139"/>
      <c r="AE362" s="139"/>
      <c r="AF362" s="139"/>
    </row>
    <row r="363" spans="1:32" ht="12.75">
      <c r="A363" s="154" t="e">
        <f ca="1"/>
        <v>#NAME?</v>
      </c>
      <c r="B363" s="156" t="s">
        <v>568</v>
      </c>
      <c r="C363" s="151">
        <v>3</v>
      </c>
      <c r="D363" s="151" t="s">
        <v>103</v>
      </c>
      <c r="E363" s="149"/>
      <c r="F363" s="149"/>
      <c r="G363" s="152" t="s">
        <v>752</v>
      </c>
      <c r="H363" s="158">
        <v>5</v>
      </c>
      <c r="I363" s="151">
        <v>5</v>
      </c>
      <c r="J363" s="151"/>
      <c r="K363" s="151"/>
      <c r="L363" s="158">
        <v>0</v>
      </c>
      <c r="M363" s="151"/>
      <c r="N363" s="151"/>
      <c r="O363" s="151"/>
      <c r="P363" s="158">
        <v>0</v>
      </c>
      <c r="Q363" s="151"/>
      <c r="R363" s="151"/>
      <c r="S363" s="151"/>
      <c r="T363" s="158">
        <v>0</v>
      </c>
      <c r="U363" s="149"/>
      <c r="V363" s="149"/>
      <c r="W363" s="149"/>
      <c r="X363" s="137" t="s">
        <v>215</v>
      </c>
      <c r="Y363" s="163" t="str">
        <f>DB!$D$6</f>
        <v>UPS 650VA, AVR, 230V</v>
      </c>
      <c r="Z363" s="154"/>
      <c r="AA363" s="149"/>
      <c r="AB363" s="136"/>
      <c r="AC363" s="139"/>
      <c r="AD363" s="139"/>
      <c r="AE363" s="139"/>
      <c r="AF363" s="139"/>
    </row>
    <row r="364" spans="1:32" ht="25.5">
      <c r="A364" s="154" t="e">
        <f ca="1"/>
        <v>#NAME?</v>
      </c>
      <c r="B364" s="156" t="s">
        <v>623</v>
      </c>
      <c r="C364" s="151">
        <v>1</v>
      </c>
      <c r="D364" s="151" t="s">
        <v>103</v>
      </c>
      <c r="E364" s="149"/>
      <c r="F364" s="154"/>
      <c r="G364" s="152" t="s">
        <v>752</v>
      </c>
      <c r="H364" s="158">
        <v>1</v>
      </c>
      <c r="I364" s="151">
        <v>1</v>
      </c>
      <c r="J364" s="151"/>
      <c r="K364" s="151"/>
      <c r="L364" s="158">
        <v>0</v>
      </c>
      <c r="M364" s="151"/>
      <c r="N364" s="151"/>
      <c r="O364" s="151"/>
      <c r="P364" s="158">
        <v>0</v>
      </c>
      <c r="Q364" s="151"/>
      <c r="R364" s="151"/>
      <c r="S364" s="151"/>
      <c r="T364" s="158">
        <v>0</v>
      </c>
      <c r="U364" s="149"/>
      <c r="V364" s="149"/>
      <c r="W364" s="149"/>
      <c r="X364" s="137" t="s">
        <v>215</v>
      </c>
      <c r="Y364" s="155" t="str">
        <f>DB!$D$73</f>
        <v>Webcam Professional Full HD</v>
      </c>
      <c r="Z364" s="154"/>
      <c r="AA364" s="149"/>
      <c r="AB364" s="136"/>
      <c r="AC364" s="139"/>
      <c r="AD364" s="139"/>
      <c r="AE364" s="139"/>
      <c r="AF364" s="139"/>
    </row>
    <row r="365" spans="1:32" ht="12.75">
      <c r="A365" s="154" t="e">
        <f ca="1"/>
        <v>#NAME?</v>
      </c>
      <c r="B365" s="156" t="s">
        <v>720</v>
      </c>
      <c r="C365" s="151">
        <v>8</v>
      </c>
      <c r="D365" s="151" t="s">
        <v>103</v>
      </c>
      <c r="E365" s="149"/>
      <c r="F365" s="154"/>
      <c r="G365" s="152" t="s">
        <v>752</v>
      </c>
      <c r="H365" s="151">
        <v>2</v>
      </c>
      <c r="I365" s="151">
        <v>1</v>
      </c>
      <c r="J365" s="151">
        <v>1</v>
      </c>
      <c r="K365" s="165"/>
      <c r="L365" s="151">
        <v>2</v>
      </c>
      <c r="M365" s="151">
        <v>1</v>
      </c>
      <c r="N365" s="151">
        <v>1</v>
      </c>
      <c r="O365" s="165"/>
      <c r="P365" s="151">
        <v>2</v>
      </c>
      <c r="Q365" s="151">
        <v>1</v>
      </c>
      <c r="R365" s="151">
        <v>1</v>
      </c>
      <c r="S365" s="165"/>
      <c r="T365" s="151">
        <v>2</v>
      </c>
      <c r="U365" s="151">
        <v>1</v>
      </c>
      <c r="V365" s="151">
        <v>1</v>
      </c>
      <c r="W365" s="165"/>
      <c r="X365" s="137" t="s">
        <v>215</v>
      </c>
      <c r="Y365" s="155" t="str">
        <f>DB!$D$102</f>
        <v>Epson Genuine Ink T6641 Black</v>
      </c>
      <c r="Z365" s="154"/>
      <c r="AA365" s="149"/>
      <c r="AB365" s="136"/>
      <c r="AC365" s="139"/>
      <c r="AD365" s="139"/>
      <c r="AE365" s="139"/>
      <c r="AF365" s="139"/>
    </row>
    <row r="366" spans="1:32" ht="12.75">
      <c r="A366" s="154" t="e">
        <f ca="1"/>
        <v>#NAME?</v>
      </c>
      <c r="B366" s="156" t="s">
        <v>759</v>
      </c>
      <c r="C366" s="151">
        <v>8</v>
      </c>
      <c r="D366" s="151" t="s">
        <v>103</v>
      </c>
      <c r="E366" s="149"/>
      <c r="F366" s="154"/>
      <c r="G366" s="152" t="s">
        <v>752</v>
      </c>
      <c r="H366" s="151">
        <v>2</v>
      </c>
      <c r="I366" s="151">
        <v>1</v>
      </c>
      <c r="J366" s="151">
        <v>1</v>
      </c>
      <c r="K366" s="165"/>
      <c r="L366" s="151">
        <v>2</v>
      </c>
      <c r="M366" s="151">
        <v>1</v>
      </c>
      <c r="N366" s="151">
        <v>1</v>
      </c>
      <c r="O366" s="165"/>
      <c r="P366" s="151">
        <v>2</v>
      </c>
      <c r="Q366" s="151">
        <v>1</v>
      </c>
      <c r="R366" s="151">
        <v>1</v>
      </c>
      <c r="S366" s="165"/>
      <c r="T366" s="151">
        <v>2</v>
      </c>
      <c r="U366" s="151">
        <v>1</v>
      </c>
      <c r="V366" s="151">
        <v>1</v>
      </c>
      <c r="W366" s="165"/>
      <c r="X366" s="137" t="s">
        <v>215</v>
      </c>
      <c r="Y366" s="155" t="str">
        <f>DB!$D$103</f>
        <v>Epson Genuine Ink T6642 Cyan</v>
      </c>
      <c r="Z366" s="154"/>
      <c r="AA366" s="149"/>
      <c r="AB366" s="136"/>
      <c r="AC366" s="139"/>
      <c r="AD366" s="139"/>
      <c r="AE366" s="139"/>
      <c r="AF366" s="139"/>
    </row>
    <row r="367" spans="1:32" ht="12.75">
      <c r="A367" s="154" t="e">
        <f ca="1"/>
        <v>#NAME?</v>
      </c>
      <c r="B367" s="156" t="s">
        <v>760</v>
      </c>
      <c r="C367" s="151">
        <v>8</v>
      </c>
      <c r="D367" s="151" t="s">
        <v>103</v>
      </c>
      <c r="E367" s="149"/>
      <c r="F367" s="154"/>
      <c r="G367" s="152" t="s">
        <v>752</v>
      </c>
      <c r="H367" s="151">
        <v>2</v>
      </c>
      <c r="I367" s="151">
        <v>1</v>
      </c>
      <c r="J367" s="151">
        <v>1</v>
      </c>
      <c r="K367" s="165"/>
      <c r="L367" s="151">
        <v>2</v>
      </c>
      <c r="M367" s="151">
        <v>1</v>
      </c>
      <c r="N367" s="151">
        <v>1</v>
      </c>
      <c r="O367" s="165"/>
      <c r="P367" s="151">
        <v>2</v>
      </c>
      <c r="Q367" s="151">
        <v>1</v>
      </c>
      <c r="R367" s="151">
        <v>1</v>
      </c>
      <c r="S367" s="165"/>
      <c r="T367" s="151">
        <v>2</v>
      </c>
      <c r="U367" s="151">
        <v>1</v>
      </c>
      <c r="V367" s="151">
        <v>1</v>
      </c>
      <c r="W367" s="165"/>
      <c r="X367" s="137" t="s">
        <v>215</v>
      </c>
      <c r="Y367" s="155" t="str">
        <f>DB!$D$104</f>
        <v>Epson Genuine Ink T6643 Magenta</v>
      </c>
      <c r="Z367" s="154"/>
      <c r="AA367" s="149"/>
      <c r="AB367" s="136"/>
      <c r="AC367" s="139"/>
      <c r="AD367" s="139"/>
      <c r="AE367" s="139"/>
      <c r="AF367" s="139"/>
    </row>
    <row r="368" spans="1:32" ht="12.75">
      <c r="A368" s="154" t="e">
        <f ca="1"/>
        <v>#NAME?</v>
      </c>
      <c r="B368" s="156" t="s">
        <v>761</v>
      </c>
      <c r="C368" s="151">
        <v>8</v>
      </c>
      <c r="D368" s="151" t="s">
        <v>103</v>
      </c>
      <c r="E368" s="153"/>
      <c r="F368" s="153"/>
      <c r="G368" s="152" t="s">
        <v>752</v>
      </c>
      <c r="H368" s="151">
        <v>2</v>
      </c>
      <c r="I368" s="151">
        <v>1</v>
      </c>
      <c r="J368" s="151">
        <v>1</v>
      </c>
      <c r="K368" s="165"/>
      <c r="L368" s="151">
        <v>2</v>
      </c>
      <c r="M368" s="151">
        <v>1</v>
      </c>
      <c r="N368" s="151">
        <v>1</v>
      </c>
      <c r="O368" s="165"/>
      <c r="P368" s="151">
        <v>2</v>
      </c>
      <c r="Q368" s="151">
        <v>1</v>
      </c>
      <c r="R368" s="151">
        <v>1</v>
      </c>
      <c r="S368" s="165"/>
      <c r="T368" s="151">
        <v>2</v>
      </c>
      <c r="U368" s="151">
        <v>1</v>
      </c>
      <c r="V368" s="151">
        <v>1</v>
      </c>
      <c r="W368" s="165"/>
      <c r="X368" s="137" t="s">
        <v>215</v>
      </c>
      <c r="Y368" s="155" t="str">
        <f>DB!$D$105</f>
        <v>Epson Genuine Ink T6644 Yellow</v>
      </c>
      <c r="Z368" s="154"/>
      <c r="AA368" s="149"/>
      <c r="AB368" s="136"/>
      <c r="AC368" s="139"/>
      <c r="AD368" s="139"/>
      <c r="AE368" s="139"/>
      <c r="AF368" s="139"/>
    </row>
    <row r="369" spans="1:32" ht="12.75">
      <c r="A369" s="154" t="e">
        <f ca="1"/>
        <v>#NAME?</v>
      </c>
      <c r="B369" s="156" t="s">
        <v>547</v>
      </c>
      <c r="C369" s="151">
        <v>48</v>
      </c>
      <c r="D369" s="151" t="s">
        <v>103</v>
      </c>
      <c r="E369" s="153"/>
      <c r="F369" s="153"/>
      <c r="G369" s="152" t="s">
        <v>752</v>
      </c>
      <c r="H369" s="151">
        <v>12</v>
      </c>
      <c r="I369" s="151">
        <v>4</v>
      </c>
      <c r="J369" s="151">
        <v>4</v>
      </c>
      <c r="K369" s="151">
        <v>4</v>
      </c>
      <c r="L369" s="151">
        <v>12</v>
      </c>
      <c r="M369" s="151">
        <v>4</v>
      </c>
      <c r="N369" s="151">
        <v>4</v>
      </c>
      <c r="O369" s="151">
        <v>4</v>
      </c>
      <c r="P369" s="151">
        <v>12</v>
      </c>
      <c r="Q369" s="151">
        <v>4</v>
      </c>
      <c r="R369" s="151">
        <v>4</v>
      </c>
      <c r="S369" s="151">
        <v>4</v>
      </c>
      <c r="T369" s="151">
        <v>12</v>
      </c>
      <c r="U369" s="151">
        <v>4</v>
      </c>
      <c r="V369" s="151">
        <v>4</v>
      </c>
      <c r="W369" s="151">
        <v>4</v>
      </c>
      <c r="X369" s="137" t="s">
        <v>215</v>
      </c>
      <c r="Y369" s="155" t="str">
        <f>DB!$D$110</f>
        <v>HP Genuine Ink Refill - (GT53) Black</v>
      </c>
      <c r="Z369" s="154"/>
      <c r="AA369" s="149"/>
      <c r="AB369" s="136"/>
      <c r="AC369" s="139"/>
      <c r="AD369" s="139"/>
      <c r="AE369" s="139"/>
      <c r="AF369" s="139"/>
    </row>
    <row r="370" spans="1:32" ht="12.75">
      <c r="A370" s="154" t="e">
        <f ca="1"/>
        <v>#NAME?</v>
      </c>
      <c r="B370" s="156" t="s">
        <v>548</v>
      </c>
      <c r="C370" s="151">
        <v>8</v>
      </c>
      <c r="D370" s="151" t="s">
        <v>103</v>
      </c>
      <c r="E370" s="149"/>
      <c r="F370" s="153"/>
      <c r="G370" s="152" t="s">
        <v>752</v>
      </c>
      <c r="H370" s="151">
        <v>4</v>
      </c>
      <c r="I370" s="151">
        <v>4</v>
      </c>
      <c r="J370" s="165"/>
      <c r="K370" s="165"/>
      <c r="L370" s="151">
        <v>0</v>
      </c>
      <c r="M370" s="165"/>
      <c r="N370" s="165"/>
      <c r="O370" s="165"/>
      <c r="P370" s="151">
        <v>4</v>
      </c>
      <c r="Q370" s="151">
        <v>4</v>
      </c>
      <c r="R370" s="165"/>
      <c r="S370" s="165"/>
      <c r="T370" s="151">
        <v>0</v>
      </c>
      <c r="U370" s="165"/>
      <c r="V370" s="165"/>
      <c r="W370" s="165"/>
      <c r="X370" s="137" t="s">
        <v>215</v>
      </c>
      <c r="Y370" s="155" t="str">
        <f>DB!$D$111</f>
        <v>HP Genuine Ink Refill - (GT52) Magenta</v>
      </c>
      <c r="Z370" s="154"/>
      <c r="AA370" s="149"/>
      <c r="AB370" s="136"/>
      <c r="AC370" s="139"/>
      <c r="AD370" s="139"/>
      <c r="AE370" s="139"/>
      <c r="AF370" s="139"/>
    </row>
    <row r="371" spans="1:32" ht="12.75">
      <c r="A371" s="154" t="e">
        <f ca="1"/>
        <v>#NAME?</v>
      </c>
      <c r="B371" s="156" t="s">
        <v>549</v>
      </c>
      <c r="C371" s="151">
        <v>8</v>
      </c>
      <c r="D371" s="151" t="s">
        <v>103</v>
      </c>
      <c r="E371" s="149"/>
      <c r="F371" s="153"/>
      <c r="G371" s="152" t="s">
        <v>752</v>
      </c>
      <c r="H371" s="151">
        <v>4</v>
      </c>
      <c r="I371" s="151">
        <v>4</v>
      </c>
      <c r="J371" s="165"/>
      <c r="K371" s="165"/>
      <c r="L371" s="151">
        <v>0</v>
      </c>
      <c r="M371" s="165"/>
      <c r="N371" s="165"/>
      <c r="O371" s="165"/>
      <c r="P371" s="151">
        <v>4</v>
      </c>
      <c r="Q371" s="151">
        <v>4</v>
      </c>
      <c r="R371" s="165"/>
      <c r="S371" s="165"/>
      <c r="T371" s="151">
        <v>0</v>
      </c>
      <c r="U371" s="165"/>
      <c r="V371" s="165"/>
      <c r="W371" s="165"/>
      <c r="X371" s="137" t="s">
        <v>215</v>
      </c>
      <c r="Y371" s="155" t="str">
        <f>DB!$D$112</f>
        <v>HP Genuine Ink Refill - (GT52) Cyan</v>
      </c>
      <c r="Z371" s="154"/>
      <c r="AA371" s="149"/>
      <c r="AB371" s="136"/>
      <c r="AC371" s="139"/>
      <c r="AD371" s="139"/>
      <c r="AE371" s="139"/>
      <c r="AF371" s="139"/>
    </row>
    <row r="372" spans="1:32" ht="12.75">
      <c r="A372" s="154" t="e">
        <f ca="1"/>
        <v>#NAME?</v>
      </c>
      <c r="B372" s="156" t="s">
        <v>550</v>
      </c>
      <c r="C372" s="151">
        <v>8</v>
      </c>
      <c r="D372" s="151" t="s">
        <v>103</v>
      </c>
      <c r="E372" s="154"/>
      <c r="F372" s="149"/>
      <c r="G372" s="152" t="s">
        <v>752</v>
      </c>
      <c r="H372" s="151">
        <v>4</v>
      </c>
      <c r="I372" s="151">
        <v>4</v>
      </c>
      <c r="J372" s="165"/>
      <c r="K372" s="165"/>
      <c r="L372" s="151">
        <v>0</v>
      </c>
      <c r="M372" s="165"/>
      <c r="N372" s="165"/>
      <c r="O372" s="165"/>
      <c r="P372" s="151">
        <v>4</v>
      </c>
      <c r="Q372" s="151">
        <v>4</v>
      </c>
      <c r="R372" s="165"/>
      <c r="S372" s="165"/>
      <c r="T372" s="151">
        <v>0</v>
      </c>
      <c r="U372" s="165"/>
      <c r="V372" s="165"/>
      <c r="W372" s="165"/>
      <c r="X372" s="137" t="s">
        <v>215</v>
      </c>
      <c r="Y372" s="155" t="str">
        <f>DB!$D$113</f>
        <v>HP Genuine Ink Refill - (GT52) Yellow</v>
      </c>
      <c r="Z372" s="154"/>
      <c r="AA372" s="149"/>
      <c r="AB372" s="136"/>
      <c r="AC372" s="139"/>
      <c r="AD372" s="139"/>
      <c r="AE372" s="139"/>
      <c r="AF372" s="139"/>
    </row>
    <row r="373" spans="1:32" ht="25.5">
      <c r="A373" s="154" t="e">
        <f ca="1"/>
        <v>#NAME?</v>
      </c>
      <c r="B373" s="156" t="s">
        <v>762</v>
      </c>
      <c r="C373" s="151">
        <v>10</v>
      </c>
      <c r="D373" s="151" t="s">
        <v>103</v>
      </c>
      <c r="E373" s="154"/>
      <c r="F373" s="149"/>
      <c r="G373" s="152" t="s">
        <v>752</v>
      </c>
      <c r="H373" s="151">
        <v>5</v>
      </c>
      <c r="I373" s="151">
        <v>5</v>
      </c>
      <c r="J373" s="165"/>
      <c r="K373" s="165"/>
      <c r="L373" s="151">
        <v>0</v>
      </c>
      <c r="M373" s="165"/>
      <c r="N373" s="165"/>
      <c r="O373" s="165"/>
      <c r="P373" s="151">
        <v>5</v>
      </c>
      <c r="Q373" s="151">
        <v>5</v>
      </c>
      <c r="R373" s="165"/>
      <c r="S373" s="165"/>
      <c r="T373" s="151">
        <v>0</v>
      </c>
      <c r="U373" s="165"/>
      <c r="V373" s="165"/>
      <c r="W373" s="165"/>
      <c r="X373" s="137" t="s">
        <v>215</v>
      </c>
      <c r="Y373" s="155" t="str">
        <f>DB!$D$84</f>
        <v>HP Printhead Black compatible with the existing HP Smart Tank 515</v>
      </c>
      <c r="Z373" s="154"/>
      <c r="AA373" s="149"/>
      <c r="AB373" s="136"/>
      <c r="AC373" s="139"/>
      <c r="AD373" s="139"/>
      <c r="AE373" s="139"/>
      <c r="AF373" s="139"/>
    </row>
    <row r="374" spans="1:32" ht="25.5">
      <c r="A374" s="154" t="e">
        <f ca="1"/>
        <v>#NAME?</v>
      </c>
      <c r="B374" s="156" t="s">
        <v>763</v>
      </c>
      <c r="C374" s="151">
        <v>10</v>
      </c>
      <c r="D374" s="151" t="s">
        <v>103</v>
      </c>
      <c r="E374" s="157"/>
      <c r="F374" s="153"/>
      <c r="G374" s="152" t="s">
        <v>752</v>
      </c>
      <c r="H374" s="151">
        <v>5</v>
      </c>
      <c r="I374" s="151">
        <v>5</v>
      </c>
      <c r="J374" s="165"/>
      <c r="K374" s="165"/>
      <c r="L374" s="151">
        <v>0</v>
      </c>
      <c r="M374" s="165"/>
      <c r="N374" s="165"/>
      <c r="O374" s="165"/>
      <c r="P374" s="151">
        <v>5</v>
      </c>
      <c r="Q374" s="151">
        <v>5</v>
      </c>
      <c r="R374" s="165"/>
      <c r="S374" s="165"/>
      <c r="T374" s="151">
        <v>0</v>
      </c>
      <c r="U374" s="165"/>
      <c r="V374" s="165"/>
      <c r="W374" s="165"/>
      <c r="X374" s="137" t="s">
        <v>215</v>
      </c>
      <c r="Y374" s="155" t="str">
        <f>DB!$D$85</f>
        <v>HP Printhead Tri-color compatible with the existing HP Smart Tank 515</v>
      </c>
      <c r="Z374" s="154"/>
      <c r="AA374" s="149"/>
      <c r="AB374" s="136"/>
      <c r="AC374" s="139"/>
      <c r="AD374" s="139"/>
      <c r="AE374" s="139"/>
      <c r="AF374" s="139"/>
    </row>
    <row r="375" spans="1:32" ht="25.5">
      <c r="A375" s="154" t="e">
        <f ca="1"/>
        <v>#NAME?</v>
      </c>
      <c r="B375" s="156" t="s">
        <v>764</v>
      </c>
      <c r="C375" s="151">
        <v>1</v>
      </c>
      <c r="D375" s="151" t="s">
        <v>103</v>
      </c>
      <c r="E375" s="157"/>
      <c r="F375" s="153"/>
      <c r="G375" s="152" t="s">
        <v>752</v>
      </c>
      <c r="H375" s="151">
        <v>1</v>
      </c>
      <c r="I375" s="151">
        <v>1</v>
      </c>
      <c r="J375" s="165"/>
      <c r="K375" s="165"/>
      <c r="L375" s="151">
        <v>0</v>
      </c>
      <c r="M375" s="165">
        <v>0</v>
      </c>
      <c r="N375" s="165"/>
      <c r="O375" s="165"/>
      <c r="P375" s="151">
        <v>0</v>
      </c>
      <c r="Q375" s="165">
        <v>0</v>
      </c>
      <c r="R375" s="165"/>
      <c r="S375" s="165"/>
      <c r="T375" s="151">
        <v>0</v>
      </c>
      <c r="U375" s="165">
        <v>0</v>
      </c>
      <c r="V375" s="165"/>
      <c r="W375" s="165"/>
      <c r="X375" s="137" t="s">
        <v>215</v>
      </c>
      <c r="Y375" s="155" t="str">
        <f>DB!$D$257</f>
        <v>Maintenance Kit for the existing ECOSYS M4132IDN</v>
      </c>
      <c r="Z375" s="163"/>
      <c r="AA375" s="149"/>
      <c r="AB375" s="136"/>
      <c r="AC375" s="139"/>
      <c r="AD375" s="139"/>
      <c r="AE375" s="139"/>
      <c r="AF375" s="139"/>
    </row>
    <row r="376" spans="1:32" ht="25.5">
      <c r="A376" s="154" t="e">
        <f ca="1"/>
        <v>#NAME?</v>
      </c>
      <c r="B376" s="156" t="s">
        <v>765</v>
      </c>
      <c r="C376" s="151">
        <v>24</v>
      </c>
      <c r="D376" s="151" t="s">
        <v>103</v>
      </c>
      <c r="E376" s="154"/>
      <c r="F376" s="153"/>
      <c r="G376" s="152" t="s">
        <v>752</v>
      </c>
      <c r="H376" s="151">
        <v>6</v>
      </c>
      <c r="I376" s="151">
        <v>2</v>
      </c>
      <c r="J376" s="151">
        <v>2</v>
      </c>
      <c r="K376" s="151">
        <v>2</v>
      </c>
      <c r="L376" s="151">
        <v>6</v>
      </c>
      <c r="M376" s="151">
        <v>2</v>
      </c>
      <c r="N376" s="151">
        <v>2</v>
      </c>
      <c r="O376" s="151">
        <v>2</v>
      </c>
      <c r="P376" s="151">
        <v>6</v>
      </c>
      <c r="Q376" s="151">
        <v>2</v>
      </c>
      <c r="R376" s="151">
        <v>2</v>
      </c>
      <c r="S376" s="151">
        <v>2</v>
      </c>
      <c r="T376" s="151">
        <v>6</v>
      </c>
      <c r="U376" s="151">
        <v>2</v>
      </c>
      <c r="V376" s="151">
        <v>2</v>
      </c>
      <c r="W376" s="151">
        <v>2</v>
      </c>
      <c r="X376" s="137" t="s">
        <v>215</v>
      </c>
      <c r="Y376" s="155" t="str">
        <f>DB!$D$246</f>
        <v>Toner Cartridge for the existing ECOSYS M4132IDN</v>
      </c>
      <c r="Z376" s="163"/>
      <c r="AA376" s="149"/>
      <c r="AB376" s="136"/>
      <c r="AC376" s="139"/>
      <c r="AD376" s="139"/>
      <c r="AE376" s="139"/>
      <c r="AF376" s="139"/>
    </row>
    <row r="377" spans="1:32" ht="25.5">
      <c r="A377" s="154" t="e">
        <f ca="1"/>
        <v>#NAME?</v>
      </c>
      <c r="B377" s="156" t="s">
        <v>766</v>
      </c>
      <c r="C377" s="151">
        <v>16</v>
      </c>
      <c r="D377" s="151" t="s">
        <v>103</v>
      </c>
      <c r="E377" s="154"/>
      <c r="F377" s="153"/>
      <c r="G377" s="152" t="s">
        <v>752</v>
      </c>
      <c r="H377" s="151">
        <v>5</v>
      </c>
      <c r="I377" s="151">
        <v>3</v>
      </c>
      <c r="J377" s="151">
        <v>1</v>
      </c>
      <c r="K377" s="151">
        <v>1</v>
      </c>
      <c r="L377" s="151">
        <v>3</v>
      </c>
      <c r="M377" s="151">
        <v>1</v>
      </c>
      <c r="N377" s="151">
        <v>1</v>
      </c>
      <c r="O377" s="151">
        <v>1</v>
      </c>
      <c r="P377" s="151">
        <v>3</v>
      </c>
      <c r="Q377" s="151">
        <v>1</v>
      </c>
      <c r="R377" s="151">
        <v>1</v>
      </c>
      <c r="S377" s="151">
        <v>1</v>
      </c>
      <c r="T377" s="151">
        <v>5</v>
      </c>
      <c r="U377" s="151">
        <v>3</v>
      </c>
      <c r="V377" s="151">
        <v>1</v>
      </c>
      <c r="W377" s="151">
        <v>1</v>
      </c>
      <c r="X377" s="137" t="s">
        <v>215</v>
      </c>
      <c r="Y377" s="155" t="str">
        <f>DB!$D$240</f>
        <v>Toner Cartridge for the existing ECOSYS M2540DN/L</v>
      </c>
      <c r="Z377" s="163"/>
      <c r="AA377" s="149"/>
      <c r="AB377" s="136"/>
      <c r="AC377" s="139"/>
      <c r="AD377" s="139"/>
      <c r="AE377" s="139"/>
      <c r="AF377" s="139"/>
    </row>
    <row r="378" spans="1:32" ht="25.5">
      <c r="A378" s="154" t="e">
        <f ca="1"/>
        <v>#NAME?</v>
      </c>
      <c r="B378" s="156" t="s">
        <v>767</v>
      </c>
      <c r="C378" s="151">
        <v>16</v>
      </c>
      <c r="D378" s="151" t="s">
        <v>103</v>
      </c>
      <c r="E378" s="154"/>
      <c r="F378" s="153"/>
      <c r="G378" s="152" t="s">
        <v>752</v>
      </c>
      <c r="H378" s="151">
        <v>5</v>
      </c>
      <c r="I378" s="151">
        <v>3</v>
      </c>
      <c r="J378" s="151">
        <v>1</v>
      </c>
      <c r="K378" s="151">
        <v>1</v>
      </c>
      <c r="L378" s="151">
        <v>3</v>
      </c>
      <c r="M378" s="151">
        <v>1</v>
      </c>
      <c r="N378" s="151">
        <v>1</v>
      </c>
      <c r="O378" s="151">
        <v>1</v>
      </c>
      <c r="P378" s="151">
        <v>3</v>
      </c>
      <c r="Q378" s="151">
        <v>1</v>
      </c>
      <c r="R378" s="151">
        <v>1</v>
      </c>
      <c r="S378" s="151">
        <v>1</v>
      </c>
      <c r="T378" s="151">
        <v>5</v>
      </c>
      <c r="U378" s="151">
        <v>3</v>
      </c>
      <c r="V378" s="151">
        <v>1</v>
      </c>
      <c r="W378" s="151">
        <v>1</v>
      </c>
      <c r="X378" s="137" t="s">
        <v>215</v>
      </c>
      <c r="Y378" s="155" t="str">
        <f>DB!$D$245</f>
        <v>Toner Cartridge for the existing ECOSYS M4125IDN</v>
      </c>
      <c r="Z378" s="163"/>
      <c r="AA378" s="149"/>
      <c r="AB378" s="136"/>
      <c r="AC378" s="139"/>
      <c r="AD378" s="139"/>
      <c r="AE378" s="139"/>
      <c r="AF378" s="139"/>
    </row>
    <row r="379" spans="1:32" ht="25.5">
      <c r="A379" s="154" t="e">
        <f ca="1"/>
        <v>#NAME?</v>
      </c>
      <c r="B379" s="156" t="s">
        <v>768</v>
      </c>
      <c r="C379" s="151">
        <v>16</v>
      </c>
      <c r="D379" s="151" t="s">
        <v>103</v>
      </c>
      <c r="E379" s="154"/>
      <c r="F379" s="153"/>
      <c r="G379" s="152" t="s">
        <v>752</v>
      </c>
      <c r="H379" s="151">
        <v>4</v>
      </c>
      <c r="I379" s="151">
        <v>2</v>
      </c>
      <c r="J379" s="151">
        <v>2</v>
      </c>
      <c r="K379" s="165"/>
      <c r="L379" s="151">
        <v>4</v>
      </c>
      <c r="M379" s="151">
        <v>2</v>
      </c>
      <c r="N379" s="151">
        <v>2</v>
      </c>
      <c r="O379" s="165"/>
      <c r="P379" s="151">
        <v>4</v>
      </c>
      <c r="Q379" s="151">
        <v>2</v>
      </c>
      <c r="R379" s="151">
        <v>2</v>
      </c>
      <c r="S379" s="165"/>
      <c r="T379" s="151">
        <v>4</v>
      </c>
      <c r="U379" s="151">
        <v>2</v>
      </c>
      <c r="V379" s="151">
        <v>2</v>
      </c>
      <c r="W379" s="165"/>
      <c r="X379" s="137" t="s">
        <v>215</v>
      </c>
      <c r="Y379" s="155" t="str">
        <f>DB!$D$260</f>
        <v>Toner Cartridge for the existing ECOSYS M5521CDW</v>
      </c>
      <c r="Z379" s="163"/>
      <c r="AA379" s="149"/>
      <c r="AB379" s="136"/>
      <c r="AC379" s="139"/>
      <c r="AD379" s="139"/>
      <c r="AE379" s="139"/>
      <c r="AF379" s="139"/>
    </row>
    <row r="380" spans="1:32" ht="25.5">
      <c r="A380" s="154" t="e">
        <f ca="1"/>
        <v>#NAME?</v>
      </c>
      <c r="B380" s="156" t="s">
        <v>769</v>
      </c>
      <c r="C380" s="151">
        <v>8</v>
      </c>
      <c r="D380" s="151" t="s">
        <v>103</v>
      </c>
      <c r="E380" s="154"/>
      <c r="F380" s="153"/>
      <c r="G380" s="152" t="s">
        <v>752</v>
      </c>
      <c r="H380" s="151">
        <v>2</v>
      </c>
      <c r="I380" s="151">
        <v>1</v>
      </c>
      <c r="J380" s="151">
        <v>1</v>
      </c>
      <c r="K380" s="165"/>
      <c r="L380" s="151">
        <v>2</v>
      </c>
      <c r="M380" s="151">
        <v>1</v>
      </c>
      <c r="N380" s="151">
        <v>1</v>
      </c>
      <c r="O380" s="165"/>
      <c r="P380" s="151">
        <v>2</v>
      </c>
      <c r="Q380" s="151">
        <v>1</v>
      </c>
      <c r="R380" s="151">
        <v>1</v>
      </c>
      <c r="S380" s="165"/>
      <c r="T380" s="151">
        <v>2</v>
      </c>
      <c r="U380" s="151">
        <v>1</v>
      </c>
      <c r="V380" s="151">
        <v>1</v>
      </c>
      <c r="W380" s="165"/>
      <c r="X380" s="137" t="s">
        <v>215</v>
      </c>
      <c r="Y380" s="155" t="str">
        <f>DB!$D$235</f>
        <v>Colored Toner Cartridge Set for the existing ECOSYS M5521CDW</v>
      </c>
      <c r="Z380" s="163"/>
      <c r="AA380" s="149"/>
      <c r="AB380" s="136"/>
      <c r="AC380" s="139"/>
      <c r="AD380" s="139"/>
      <c r="AE380" s="139"/>
      <c r="AF380" s="139"/>
    </row>
    <row r="381" spans="1:32" ht="12.75">
      <c r="A381" s="154" t="e">
        <f ca="1"/>
        <v>#NAME?</v>
      </c>
      <c r="B381" s="156" t="s">
        <v>770</v>
      </c>
      <c r="C381" s="151">
        <v>8</v>
      </c>
      <c r="D381" s="151" t="s">
        <v>103</v>
      </c>
      <c r="E381" s="157"/>
      <c r="F381" s="157"/>
      <c r="G381" s="152" t="s">
        <v>752</v>
      </c>
      <c r="H381" s="151">
        <v>2</v>
      </c>
      <c r="I381" s="151">
        <v>1</v>
      </c>
      <c r="J381" s="151">
        <v>1</v>
      </c>
      <c r="K381" s="165"/>
      <c r="L381" s="151">
        <v>2</v>
      </c>
      <c r="M381" s="151">
        <v>1</v>
      </c>
      <c r="N381" s="151">
        <v>1</v>
      </c>
      <c r="O381" s="165"/>
      <c r="P381" s="151">
        <v>2</v>
      </c>
      <c r="Q381" s="151">
        <v>1</v>
      </c>
      <c r="R381" s="151">
        <v>1</v>
      </c>
      <c r="S381" s="165"/>
      <c r="T381" s="151">
        <v>2</v>
      </c>
      <c r="U381" s="151">
        <v>1</v>
      </c>
      <c r="V381" s="151">
        <v>1</v>
      </c>
      <c r="W381" s="165"/>
      <c r="X381" s="137" t="s">
        <v>215</v>
      </c>
      <c r="Y381" s="155"/>
      <c r="Z381" s="163" t="s">
        <v>453</v>
      </c>
      <c r="AA381" s="149"/>
      <c r="AB381" s="136"/>
      <c r="AC381" s="139"/>
      <c r="AD381" s="139"/>
      <c r="AE381" s="139"/>
      <c r="AF381" s="139"/>
    </row>
    <row r="382" spans="1:32" ht="12.75">
      <c r="A382" s="154" t="e">
        <f ca="1"/>
        <v>#NAME?</v>
      </c>
      <c r="B382" s="156" t="s">
        <v>771</v>
      </c>
      <c r="C382" s="151">
        <v>8</v>
      </c>
      <c r="D382" s="151" t="s">
        <v>103</v>
      </c>
      <c r="E382" s="157"/>
      <c r="F382" s="157"/>
      <c r="G382" s="152" t="s">
        <v>752</v>
      </c>
      <c r="H382" s="151">
        <v>2</v>
      </c>
      <c r="I382" s="151">
        <v>1</v>
      </c>
      <c r="J382" s="151">
        <v>1</v>
      </c>
      <c r="K382" s="165"/>
      <c r="L382" s="151">
        <v>2</v>
      </c>
      <c r="M382" s="151">
        <v>1</v>
      </c>
      <c r="N382" s="151">
        <v>1</v>
      </c>
      <c r="O382" s="165"/>
      <c r="P382" s="151">
        <v>2</v>
      </c>
      <c r="Q382" s="151">
        <v>1</v>
      </c>
      <c r="R382" s="151">
        <v>1</v>
      </c>
      <c r="S382" s="165"/>
      <c r="T382" s="151">
        <v>2</v>
      </c>
      <c r="U382" s="151">
        <v>1</v>
      </c>
      <c r="V382" s="151">
        <v>1</v>
      </c>
      <c r="W382" s="165"/>
      <c r="X382" s="137" t="s">
        <v>215</v>
      </c>
      <c r="Y382" s="155"/>
      <c r="Z382" s="163" t="s">
        <v>453</v>
      </c>
      <c r="AA382" s="149"/>
      <c r="AB382" s="136"/>
      <c r="AC382" s="139"/>
      <c r="AD382" s="139"/>
      <c r="AE382" s="139"/>
      <c r="AF382" s="139"/>
    </row>
    <row r="383" spans="1:32" ht="25.5">
      <c r="A383" s="154" t="e">
        <f ca="1"/>
        <v>#NAME?</v>
      </c>
      <c r="B383" s="150" t="s">
        <v>772</v>
      </c>
      <c r="C383" s="152">
        <v>48</v>
      </c>
      <c r="D383" s="152" t="s">
        <v>773</v>
      </c>
      <c r="E383" s="157"/>
      <c r="F383" s="157"/>
      <c r="G383" s="152" t="s">
        <v>752</v>
      </c>
      <c r="H383" s="152">
        <v>12</v>
      </c>
      <c r="I383" s="152">
        <v>4</v>
      </c>
      <c r="J383" s="152">
        <v>4</v>
      </c>
      <c r="K383" s="152">
        <v>4</v>
      </c>
      <c r="L383" s="152">
        <v>12</v>
      </c>
      <c r="M383" s="152">
        <v>4</v>
      </c>
      <c r="N383" s="152">
        <v>4</v>
      </c>
      <c r="O383" s="152">
        <v>4</v>
      </c>
      <c r="P383" s="152">
        <v>12</v>
      </c>
      <c r="Q383" s="152">
        <v>4</v>
      </c>
      <c r="R383" s="152">
        <v>4</v>
      </c>
      <c r="S383" s="152">
        <v>4</v>
      </c>
      <c r="T383" s="152">
        <v>12</v>
      </c>
      <c r="U383" s="152">
        <v>4</v>
      </c>
      <c r="V383" s="152">
        <v>4</v>
      </c>
      <c r="W383" s="152">
        <v>4</v>
      </c>
      <c r="X383" s="137" t="s">
        <v>112</v>
      </c>
      <c r="Y383" s="155" t="str">
        <f>DB!$D$245</f>
        <v>Toner Cartridge for the existing ECOSYS M4125IDN</v>
      </c>
      <c r="Z383" s="163"/>
      <c r="AA383" s="149"/>
      <c r="AB383" s="136"/>
      <c r="AC383" s="139"/>
      <c r="AD383" s="139"/>
      <c r="AE383" s="139"/>
      <c r="AF383" s="139"/>
    </row>
    <row r="384" spans="1:32" ht="25.5">
      <c r="A384" s="154" t="e">
        <f ca="1"/>
        <v>#NAME?</v>
      </c>
      <c r="B384" s="150" t="s">
        <v>774</v>
      </c>
      <c r="C384" s="152">
        <v>4</v>
      </c>
      <c r="D384" s="152" t="s">
        <v>103</v>
      </c>
      <c r="E384" s="157"/>
      <c r="F384" s="157"/>
      <c r="G384" s="152" t="s">
        <v>752</v>
      </c>
      <c r="H384" s="152">
        <v>2</v>
      </c>
      <c r="I384" s="152">
        <v>2</v>
      </c>
      <c r="J384" s="152">
        <v>0</v>
      </c>
      <c r="K384" s="152">
        <v>0</v>
      </c>
      <c r="L384" s="152">
        <v>0</v>
      </c>
      <c r="M384" s="152">
        <v>0</v>
      </c>
      <c r="N384" s="152">
        <v>0</v>
      </c>
      <c r="O384" s="152">
        <v>0</v>
      </c>
      <c r="P384" s="152">
        <v>2</v>
      </c>
      <c r="Q384" s="152">
        <v>2</v>
      </c>
      <c r="R384" s="152">
        <v>0</v>
      </c>
      <c r="S384" s="152">
        <v>0</v>
      </c>
      <c r="T384" s="152">
        <v>0</v>
      </c>
      <c r="U384" s="152">
        <v>0</v>
      </c>
      <c r="V384" s="152">
        <v>0</v>
      </c>
      <c r="W384" s="152">
        <v>0</v>
      </c>
      <c r="X384" s="137" t="s">
        <v>112</v>
      </c>
      <c r="Y384" s="155" t="str">
        <f>DB!$D$256</f>
        <v>Maintenance Kit for the existing ECOSYS M4125IDN</v>
      </c>
      <c r="Z384" s="163"/>
      <c r="AA384" s="149"/>
      <c r="AB384" s="136"/>
      <c r="AC384" s="139"/>
      <c r="AD384" s="139"/>
      <c r="AE384" s="139"/>
      <c r="AF384" s="139"/>
    </row>
    <row r="385" spans="1:32" ht="12.75">
      <c r="A385" s="154" t="e">
        <f ca="1"/>
        <v>#NAME?</v>
      </c>
      <c r="B385" s="150" t="s">
        <v>775</v>
      </c>
      <c r="C385" s="152">
        <v>6</v>
      </c>
      <c r="D385" s="152" t="s">
        <v>776</v>
      </c>
      <c r="E385" s="149"/>
      <c r="F385" s="157"/>
      <c r="G385" s="152" t="s">
        <v>752</v>
      </c>
      <c r="H385" s="152">
        <v>6</v>
      </c>
      <c r="I385" s="152">
        <v>6</v>
      </c>
      <c r="J385" s="152">
        <v>0</v>
      </c>
      <c r="K385" s="152">
        <v>0</v>
      </c>
      <c r="L385" s="152">
        <v>0</v>
      </c>
      <c r="M385" s="152">
        <v>0</v>
      </c>
      <c r="N385" s="152">
        <v>0</v>
      </c>
      <c r="O385" s="152">
        <v>0</v>
      </c>
      <c r="P385" s="152">
        <v>0</v>
      </c>
      <c r="Q385" s="152">
        <v>0</v>
      </c>
      <c r="R385" s="152">
        <v>0</v>
      </c>
      <c r="S385" s="152">
        <v>0</v>
      </c>
      <c r="T385" s="152">
        <v>0</v>
      </c>
      <c r="U385" s="152">
        <v>0</v>
      </c>
      <c r="V385" s="152">
        <v>0</v>
      </c>
      <c r="W385" s="152">
        <v>0</v>
      </c>
      <c r="X385" s="137" t="s">
        <v>112</v>
      </c>
      <c r="Y385" s="141" t="str">
        <f>DB!$D$194</f>
        <v>Branded Desktop Computer Set</v>
      </c>
      <c r="Z385" s="154"/>
      <c r="AA385" s="149"/>
      <c r="AB385" s="136"/>
      <c r="AC385" s="139"/>
      <c r="AD385" s="139"/>
      <c r="AE385" s="139"/>
      <c r="AF385" s="139"/>
    </row>
    <row r="386" spans="1:32" ht="12.75">
      <c r="A386" s="154" t="e">
        <f ca="1"/>
        <v>#NAME?</v>
      </c>
      <c r="B386" s="150" t="s">
        <v>596</v>
      </c>
      <c r="C386" s="152">
        <v>6</v>
      </c>
      <c r="D386" s="152" t="s">
        <v>103</v>
      </c>
      <c r="E386" s="149"/>
      <c r="F386" s="157"/>
      <c r="G386" s="152" t="s">
        <v>752</v>
      </c>
      <c r="H386" s="152">
        <v>6</v>
      </c>
      <c r="I386" s="152">
        <v>6</v>
      </c>
      <c r="J386" s="152">
        <v>0</v>
      </c>
      <c r="K386" s="152">
        <v>0</v>
      </c>
      <c r="L386" s="152">
        <v>0</v>
      </c>
      <c r="M386" s="152">
        <v>0</v>
      </c>
      <c r="N386" s="152">
        <v>0</v>
      </c>
      <c r="O386" s="152">
        <v>0</v>
      </c>
      <c r="P386" s="152">
        <v>0</v>
      </c>
      <c r="Q386" s="152">
        <v>0</v>
      </c>
      <c r="R386" s="152">
        <v>0</v>
      </c>
      <c r="S386" s="152">
        <v>0</v>
      </c>
      <c r="T386" s="152">
        <v>0</v>
      </c>
      <c r="U386" s="152">
        <v>0</v>
      </c>
      <c r="V386" s="152">
        <v>0</v>
      </c>
      <c r="W386" s="152">
        <v>0</v>
      </c>
      <c r="X386" s="137" t="s">
        <v>112</v>
      </c>
      <c r="Y386" s="163" t="str">
        <f>DB!$D$6</f>
        <v>UPS 650VA, AVR, 230V</v>
      </c>
      <c r="Z386" s="154"/>
      <c r="AA386" s="149"/>
      <c r="AB386" s="136"/>
      <c r="AC386" s="139"/>
      <c r="AD386" s="139"/>
      <c r="AE386" s="139"/>
      <c r="AF386" s="139"/>
    </row>
    <row r="387" spans="1:32" ht="25.5">
      <c r="A387" s="154" t="e">
        <f ca="1"/>
        <v>#NAME?</v>
      </c>
      <c r="B387" s="150" t="s">
        <v>777</v>
      </c>
      <c r="C387" s="152">
        <v>1</v>
      </c>
      <c r="D387" s="152" t="s">
        <v>103</v>
      </c>
      <c r="E387" s="153"/>
      <c r="F387" s="153"/>
      <c r="G387" s="152" t="s">
        <v>752</v>
      </c>
      <c r="H387" s="152">
        <v>1</v>
      </c>
      <c r="I387" s="152">
        <v>1</v>
      </c>
      <c r="J387" s="152">
        <v>0</v>
      </c>
      <c r="K387" s="152">
        <v>0</v>
      </c>
      <c r="L387" s="152">
        <v>0</v>
      </c>
      <c r="M387" s="152">
        <v>0</v>
      </c>
      <c r="N387" s="152">
        <v>0</v>
      </c>
      <c r="O387" s="152">
        <v>0</v>
      </c>
      <c r="P387" s="152">
        <v>0</v>
      </c>
      <c r="Q387" s="152">
        <v>0</v>
      </c>
      <c r="R387" s="152">
        <v>0</v>
      </c>
      <c r="S387" s="152">
        <v>0</v>
      </c>
      <c r="T387" s="152">
        <v>0</v>
      </c>
      <c r="U387" s="152">
        <v>0</v>
      </c>
      <c r="V387" s="152">
        <v>0</v>
      </c>
      <c r="W387" s="152">
        <v>0</v>
      </c>
      <c r="X387" s="137" t="s">
        <v>112</v>
      </c>
      <c r="Y387" s="155" t="str">
        <f>DB!$D$74</f>
        <v>1TB Slim Portable Hard Drive External HDD</v>
      </c>
      <c r="Z387" s="154"/>
      <c r="AA387" s="149"/>
      <c r="AB387" s="136"/>
      <c r="AC387" s="139"/>
      <c r="AD387" s="139"/>
      <c r="AE387" s="139"/>
      <c r="AF387" s="139"/>
    </row>
    <row r="388" spans="1:32" ht="12.75">
      <c r="A388" s="154" t="e">
        <f ca="1"/>
        <v>#NAME?</v>
      </c>
      <c r="B388" s="150" t="s">
        <v>778</v>
      </c>
      <c r="C388" s="152">
        <v>4</v>
      </c>
      <c r="D388" s="152" t="s">
        <v>103</v>
      </c>
      <c r="E388" s="149"/>
      <c r="F388" s="154"/>
      <c r="G388" s="152" t="s">
        <v>752</v>
      </c>
      <c r="H388" s="152">
        <v>4</v>
      </c>
      <c r="I388" s="152">
        <v>4</v>
      </c>
      <c r="J388" s="152">
        <v>0</v>
      </c>
      <c r="K388" s="152">
        <v>0</v>
      </c>
      <c r="L388" s="152">
        <v>0</v>
      </c>
      <c r="M388" s="152">
        <v>0</v>
      </c>
      <c r="N388" s="152">
        <v>0</v>
      </c>
      <c r="O388" s="152">
        <v>0</v>
      </c>
      <c r="P388" s="152">
        <v>0</v>
      </c>
      <c r="Q388" s="152">
        <v>0</v>
      </c>
      <c r="R388" s="152">
        <v>0</v>
      </c>
      <c r="S388" s="152">
        <v>0</v>
      </c>
      <c r="T388" s="152">
        <v>0</v>
      </c>
      <c r="U388" s="152">
        <v>0</v>
      </c>
      <c r="V388" s="152">
        <v>0</v>
      </c>
      <c r="W388" s="152">
        <v>0</v>
      </c>
      <c r="X388" s="137" t="s">
        <v>112</v>
      </c>
      <c r="Y388" s="155" t="str">
        <f>DB!$D$79</f>
        <v>32GB Flash Drive</v>
      </c>
      <c r="Z388" s="154"/>
      <c r="AA388" s="149"/>
      <c r="AB388" s="136"/>
      <c r="AC388" s="139"/>
      <c r="AD388" s="139"/>
      <c r="AE388" s="139"/>
      <c r="AF388" s="139"/>
    </row>
    <row r="389" spans="1:32" ht="25.5">
      <c r="A389" s="154" t="e">
        <f ca="1"/>
        <v>#NAME?</v>
      </c>
      <c r="B389" s="150" t="s">
        <v>779</v>
      </c>
      <c r="C389" s="152">
        <v>12</v>
      </c>
      <c r="D389" s="152" t="s">
        <v>773</v>
      </c>
      <c r="E389" s="149"/>
      <c r="F389" s="154"/>
      <c r="G389" s="152" t="s">
        <v>752</v>
      </c>
      <c r="H389" s="152">
        <v>3</v>
      </c>
      <c r="I389" s="152">
        <v>1</v>
      </c>
      <c r="J389" s="152">
        <v>1</v>
      </c>
      <c r="K389" s="152">
        <v>1</v>
      </c>
      <c r="L389" s="152">
        <v>3</v>
      </c>
      <c r="M389" s="152">
        <v>1</v>
      </c>
      <c r="N389" s="152">
        <v>1</v>
      </c>
      <c r="O389" s="152">
        <v>1</v>
      </c>
      <c r="P389" s="152">
        <v>3</v>
      </c>
      <c r="Q389" s="152">
        <v>1</v>
      </c>
      <c r="R389" s="152">
        <v>1</v>
      </c>
      <c r="S389" s="152">
        <v>1</v>
      </c>
      <c r="T389" s="152">
        <v>3</v>
      </c>
      <c r="U389" s="152">
        <v>1</v>
      </c>
      <c r="V389" s="152">
        <v>1</v>
      </c>
      <c r="W389" s="152">
        <v>1</v>
      </c>
      <c r="X389" s="137" t="s">
        <v>112</v>
      </c>
      <c r="Y389" s="155" t="str">
        <f>DB!$D$243</f>
        <v>Toner Cartridge for the existing ECOSYS M3645DN</v>
      </c>
      <c r="Z389" s="163"/>
      <c r="AA389" s="149"/>
      <c r="AB389" s="136"/>
      <c r="AC389" s="139"/>
      <c r="AD389" s="139"/>
      <c r="AE389" s="139"/>
      <c r="AF389" s="139"/>
    </row>
    <row r="390" spans="1:32" ht="25.5">
      <c r="A390" s="154" t="e">
        <f ca="1"/>
        <v>#NAME?</v>
      </c>
      <c r="B390" s="150" t="s">
        <v>780</v>
      </c>
      <c r="C390" s="152">
        <v>2</v>
      </c>
      <c r="D390" s="152" t="s">
        <v>773</v>
      </c>
      <c r="E390" s="149"/>
      <c r="F390" s="154"/>
      <c r="G390" s="152" t="s">
        <v>752</v>
      </c>
      <c r="H390" s="152">
        <v>1</v>
      </c>
      <c r="I390" s="152">
        <v>1</v>
      </c>
      <c r="J390" s="152">
        <v>0</v>
      </c>
      <c r="K390" s="152">
        <v>0</v>
      </c>
      <c r="L390" s="152">
        <v>0</v>
      </c>
      <c r="M390" s="152">
        <v>0</v>
      </c>
      <c r="N390" s="152">
        <v>0</v>
      </c>
      <c r="O390" s="152">
        <v>0</v>
      </c>
      <c r="P390" s="152">
        <v>1</v>
      </c>
      <c r="Q390" s="152">
        <v>1</v>
      </c>
      <c r="R390" s="152">
        <v>0</v>
      </c>
      <c r="S390" s="152">
        <v>0</v>
      </c>
      <c r="T390" s="152">
        <v>0</v>
      </c>
      <c r="U390" s="152">
        <v>0</v>
      </c>
      <c r="V390" s="152">
        <v>0</v>
      </c>
      <c r="W390" s="152">
        <v>0</v>
      </c>
      <c r="X390" s="137" t="s">
        <v>112</v>
      </c>
      <c r="Y390" s="155" t="str">
        <f>DB!$D$253</f>
        <v>Maintenance Kit for the existing ECOSYS M3645DN</v>
      </c>
      <c r="Z390" s="163"/>
      <c r="AA390" s="149"/>
      <c r="AB390" s="136"/>
      <c r="AC390" s="139"/>
      <c r="AD390" s="139"/>
      <c r="AE390" s="139"/>
      <c r="AF390" s="139"/>
    </row>
    <row r="391" spans="1:32" ht="12.75">
      <c r="A391" s="154" t="e">
        <f ca="1"/>
        <v>#NAME?</v>
      </c>
      <c r="B391" s="150" t="s">
        <v>781</v>
      </c>
      <c r="C391" s="152">
        <v>12</v>
      </c>
      <c r="D391" s="152" t="s">
        <v>782</v>
      </c>
      <c r="E391" s="149"/>
      <c r="F391" s="154"/>
      <c r="G391" s="152" t="s">
        <v>752</v>
      </c>
      <c r="H391" s="152">
        <v>3</v>
      </c>
      <c r="I391" s="152">
        <v>1</v>
      </c>
      <c r="J391" s="152">
        <v>1</v>
      </c>
      <c r="K391" s="152">
        <v>1</v>
      </c>
      <c r="L391" s="152">
        <v>3</v>
      </c>
      <c r="M391" s="152">
        <v>1</v>
      </c>
      <c r="N391" s="152">
        <v>1</v>
      </c>
      <c r="O391" s="152">
        <v>1</v>
      </c>
      <c r="P391" s="152">
        <v>3</v>
      </c>
      <c r="Q391" s="152">
        <v>1</v>
      </c>
      <c r="R391" s="152">
        <v>1</v>
      </c>
      <c r="S391" s="152">
        <v>1</v>
      </c>
      <c r="T391" s="152">
        <v>3</v>
      </c>
      <c r="U391" s="152">
        <v>1</v>
      </c>
      <c r="V391" s="152">
        <v>1</v>
      </c>
      <c r="W391" s="152">
        <v>1</v>
      </c>
      <c r="X391" s="137" t="s">
        <v>112</v>
      </c>
      <c r="Y391" s="155" t="str">
        <f>DB!$D$103</f>
        <v>Epson Genuine Ink T6642 Cyan</v>
      </c>
      <c r="Z391" s="152"/>
      <c r="AA391" s="149"/>
      <c r="AB391" s="136"/>
      <c r="AC391" s="139"/>
      <c r="AD391" s="139"/>
      <c r="AE391" s="139"/>
      <c r="AF391" s="139"/>
    </row>
    <row r="392" spans="1:32" ht="12.75">
      <c r="A392" s="154" t="e">
        <f ca="1"/>
        <v>#NAME?</v>
      </c>
      <c r="B392" s="150" t="s">
        <v>783</v>
      </c>
      <c r="C392" s="152">
        <v>12</v>
      </c>
      <c r="D392" s="152" t="s">
        <v>782</v>
      </c>
      <c r="E392" s="154"/>
      <c r="F392" s="154"/>
      <c r="G392" s="152" t="s">
        <v>752</v>
      </c>
      <c r="H392" s="152">
        <v>3</v>
      </c>
      <c r="I392" s="152">
        <v>1</v>
      </c>
      <c r="J392" s="152">
        <v>1</v>
      </c>
      <c r="K392" s="152">
        <v>1</v>
      </c>
      <c r="L392" s="152">
        <v>3</v>
      </c>
      <c r="M392" s="152">
        <v>1</v>
      </c>
      <c r="N392" s="152">
        <v>1</v>
      </c>
      <c r="O392" s="152">
        <v>1</v>
      </c>
      <c r="P392" s="152">
        <v>3</v>
      </c>
      <c r="Q392" s="152">
        <v>1</v>
      </c>
      <c r="R392" s="152">
        <v>1</v>
      </c>
      <c r="S392" s="152">
        <v>1</v>
      </c>
      <c r="T392" s="152">
        <v>3</v>
      </c>
      <c r="U392" s="152">
        <v>1</v>
      </c>
      <c r="V392" s="152">
        <v>1</v>
      </c>
      <c r="W392" s="152">
        <v>1</v>
      </c>
      <c r="X392" s="137" t="s">
        <v>112</v>
      </c>
      <c r="Y392" s="155" t="str">
        <f>DB!$D$104</f>
        <v>Epson Genuine Ink T6643 Magenta</v>
      </c>
      <c r="Z392" s="154"/>
      <c r="AA392" s="149"/>
      <c r="AB392" s="136"/>
      <c r="AC392" s="139"/>
      <c r="AD392" s="139"/>
      <c r="AE392" s="139"/>
      <c r="AF392" s="139"/>
    </row>
    <row r="393" spans="1:32" ht="12.75">
      <c r="A393" s="154" t="e">
        <f ca="1"/>
        <v>#NAME?</v>
      </c>
      <c r="B393" s="150" t="s">
        <v>784</v>
      </c>
      <c r="C393" s="152">
        <v>12</v>
      </c>
      <c r="D393" s="152" t="s">
        <v>782</v>
      </c>
      <c r="E393" s="154"/>
      <c r="F393" s="154"/>
      <c r="G393" s="152" t="s">
        <v>752</v>
      </c>
      <c r="H393" s="152">
        <v>3</v>
      </c>
      <c r="I393" s="152">
        <v>1</v>
      </c>
      <c r="J393" s="152">
        <v>1</v>
      </c>
      <c r="K393" s="152">
        <v>1</v>
      </c>
      <c r="L393" s="152">
        <v>3</v>
      </c>
      <c r="M393" s="152">
        <v>1</v>
      </c>
      <c r="N393" s="152">
        <v>1</v>
      </c>
      <c r="O393" s="152">
        <v>1</v>
      </c>
      <c r="P393" s="152">
        <v>3</v>
      </c>
      <c r="Q393" s="152">
        <v>1</v>
      </c>
      <c r="R393" s="152">
        <v>1</v>
      </c>
      <c r="S393" s="152">
        <v>1</v>
      </c>
      <c r="T393" s="152">
        <v>3</v>
      </c>
      <c r="U393" s="152">
        <v>1</v>
      </c>
      <c r="V393" s="152">
        <v>1</v>
      </c>
      <c r="W393" s="152">
        <v>1</v>
      </c>
      <c r="X393" s="137" t="s">
        <v>112</v>
      </c>
      <c r="Y393" s="155" t="str">
        <f>DB!$D$105</f>
        <v>Epson Genuine Ink T6644 Yellow</v>
      </c>
      <c r="Z393" s="154"/>
      <c r="AA393" s="149"/>
      <c r="AB393" s="136"/>
      <c r="AC393" s="139"/>
      <c r="AD393" s="139"/>
      <c r="AE393" s="139"/>
      <c r="AF393" s="139"/>
    </row>
    <row r="394" spans="1:32" ht="12.75">
      <c r="A394" s="154" t="e">
        <f ca="1"/>
        <v>#NAME?</v>
      </c>
      <c r="B394" s="150" t="s">
        <v>785</v>
      </c>
      <c r="C394" s="152">
        <v>6</v>
      </c>
      <c r="D394" s="152" t="s">
        <v>103</v>
      </c>
      <c r="E394" s="154"/>
      <c r="F394" s="154"/>
      <c r="G394" s="152" t="s">
        <v>752</v>
      </c>
      <c r="H394" s="152">
        <v>3</v>
      </c>
      <c r="I394" s="152">
        <v>1</v>
      </c>
      <c r="J394" s="152">
        <v>1</v>
      </c>
      <c r="K394" s="152">
        <v>1</v>
      </c>
      <c r="L394" s="152">
        <v>0</v>
      </c>
      <c r="M394" s="152">
        <v>0</v>
      </c>
      <c r="N394" s="152">
        <v>0</v>
      </c>
      <c r="O394" s="152">
        <v>0</v>
      </c>
      <c r="P394" s="152">
        <v>3</v>
      </c>
      <c r="Q394" s="152">
        <v>1</v>
      </c>
      <c r="R394" s="152">
        <v>1</v>
      </c>
      <c r="S394" s="152">
        <v>1</v>
      </c>
      <c r="T394" s="152">
        <v>0</v>
      </c>
      <c r="U394" s="152">
        <v>0</v>
      </c>
      <c r="V394" s="152">
        <v>0</v>
      </c>
      <c r="W394" s="152">
        <v>0</v>
      </c>
      <c r="X394" s="137" t="s">
        <v>112</v>
      </c>
      <c r="Y394" s="155" t="str">
        <f>DB!$D$76</f>
        <v>Dot Matrix Printer 24-Pin</v>
      </c>
      <c r="Z394" s="154"/>
      <c r="AA394" s="149"/>
      <c r="AB394" s="136"/>
      <c r="AC394" s="139"/>
      <c r="AD394" s="139"/>
      <c r="AE394" s="139"/>
      <c r="AF394" s="139"/>
    </row>
    <row r="395" spans="1:32" ht="25.5">
      <c r="A395" s="154" t="e">
        <f ca="1"/>
        <v>#NAME?</v>
      </c>
      <c r="B395" s="150" t="s">
        <v>454</v>
      </c>
      <c r="C395" s="152">
        <v>720</v>
      </c>
      <c r="D395" s="152" t="s">
        <v>103</v>
      </c>
      <c r="E395" s="149"/>
      <c r="F395" s="154"/>
      <c r="G395" s="152" t="s">
        <v>752</v>
      </c>
      <c r="H395" s="152">
        <v>180</v>
      </c>
      <c r="I395" s="152">
        <v>60</v>
      </c>
      <c r="J395" s="152">
        <v>60</v>
      </c>
      <c r="K395" s="152">
        <v>60</v>
      </c>
      <c r="L395" s="152">
        <v>180</v>
      </c>
      <c r="M395" s="152">
        <v>60</v>
      </c>
      <c r="N395" s="152">
        <v>60</v>
      </c>
      <c r="O395" s="152">
        <v>60</v>
      </c>
      <c r="P395" s="152">
        <v>180</v>
      </c>
      <c r="Q395" s="152">
        <v>60</v>
      </c>
      <c r="R395" s="152">
        <v>60</v>
      </c>
      <c r="S395" s="152">
        <v>60</v>
      </c>
      <c r="T395" s="152">
        <v>180</v>
      </c>
      <c r="U395" s="152">
        <v>60</v>
      </c>
      <c r="V395" s="152">
        <v>60</v>
      </c>
      <c r="W395" s="152">
        <v>60</v>
      </c>
      <c r="X395" s="137" t="s">
        <v>112</v>
      </c>
      <c r="Y395" s="155" t="str">
        <f>DB!$D$177</f>
        <v>EPSON LQ310 Ribbon Cartridge (SO15634)</v>
      </c>
      <c r="Z395" s="154"/>
      <c r="AA395" s="149"/>
      <c r="AB395" s="136"/>
      <c r="AC395" s="139"/>
      <c r="AD395" s="139"/>
      <c r="AE395" s="139"/>
      <c r="AF395" s="139"/>
    </row>
    <row r="396" spans="1:32" ht="25.5">
      <c r="A396" s="154" t="e">
        <f ca="1"/>
        <v>#NAME?</v>
      </c>
      <c r="B396" s="150" t="s">
        <v>786</v>
      </c>
      <c r="C396" s="152">
        <v>36</v>
      </c>
      <c r="D396" s="152" t="s">
        <v>103</v>
      </c>
      <c r="E396" s="149"/>
      <c r="F396" s="154"/>
      <c r="G396" s="152" t="s">
        <v>752</v>
      </c>
      <c r="H396" s="152">
        <v>9</v>
      </c>
      <c r="I396" s="152">
        <v>3</v>
      </c>
      <c r="J396" s="152">
        <v>3</v>
      </c>
      <c r="K396" s="152">
        <v>3</v>
      </c>
      <c r="L396" s="152">
        <v>9</v>
      </c>
      <c r="M396" s="152">
        <v>3</v>
      </c>
      <c r="N396" s="152">
        <v>3</v>
      </c>
      <c r="O396" s="152">
        <v>3</v>
      </c>
      <c r="P396" s="152">
        <v>9</v>
      </c>
      <c r="Q396" s="152">
        <v>3</v>
      </c>
      <c r="R396" s="152">
        <v>3</v>
      </c>
      <c r="S396" s="152">
        <v>3</v>
      </c>
      <c r="T396" s="152">
        <v>9</v>
      </c>
      <c r="U396" s="152">
        <v>3</v>
      </c>
      <c r="V396" s="152">
        <v>3</v>
      </c>
      <c r="W396" s="152">
        <v>3</v>
      </c>
      <c r="X396" s="137" t="s">
        <v>112</v>
      </c>
      <c r="Y396" s="155" t="str">
        <f>DB!$D$247</f>
        <v>Toner Cartridge for the existing TASKALFA 3212I</v>
      </c>
      <c r="Z396" s="163"/>
      <c r="AA396" s="149"/>
      <c r="AB396" s="136"/>
      <c r="AC396" s="139"/>
      <c r="AD396" s="139"/>
      <c r="AE396" s="139"/>
      <c r="AF396" s="139"/>
    </row>
    <row r="397" spans="1:32" ht="25.5">
      <c r="A397" s="154" t="e">
        <f ca="1"/>
        <v>#NAME?</v>
      </c>
      <c r="B397" s="150" t="s">
        <v>787</v>
      </c>
      <c r="C397" s="152">
        <v>1</v>
      </c>
      <c r="D397" s="152" t="s">
        <v>103</v>
      </c>
      <c r="E397" s="149"/>
      <c r="F397" s="154"/>
      <c r="G397" s="152" t="s">
        <v>752</v>
      </c>
      <c r="H397" s="152">
        <v>1</v>
      </c>
      <c r="I397" s="152">
        <v>1</v>
      </c>
      <c r="J397" s="152">
        <v>0</v>
      </c>
      <c r="K397" s="152">
        <v>0</v>
      </c>
      <c r="L397" s="152">
        <v>0</v>
      </c>
      <c r="M397" s="152">
        <v>0</v>
      </c>
      <c r="N397" s="152">
        <v>0</v>
      </c>
      <c r="O397" s="152">
        <v>0</v>
      </c>
      <c r="P397" s="152">
        <v>0</v>
      </c>
      <c r="Q397" s="152">
        <v>0</v>
      </c>
      <c r="R397" s="152">
        <v>0</v>
      </c>
      <c r="S397" s="152">
        <v>0</v>
      </c>
      <c r="T397" s="152">
        <v>0</v>
      </c>
      <c r="U397" s="152">
        <v>0</v>
      </c>
      <c r="V397" s="152">
        <v>0</v>
      </c>
      <c r="W397" s="152">
        <v>0</v>
      </c>
      <c r="X397" s="137" t="s">
        <v>112</v>
      </c>
      <c r="Y397" s="163" t="str">
        <f>DB!$D$164</f>
        <v>Black &amp; White Monochrome MULTI-FUNCTIONAL MACHINE</v>
      </c>
      <c r="Z397" s="154"/>
      <c r="AA397" s="149"/>
      <c r="AB397" s="136"/>
      <c r="AC397" s="139"/>
      <c r="AD397" s="139"/>
      <c r="AE397" s="139"/>
      <c r="AF397" s="139"/>
    </row>
    <row r="398" spans="1:32" ht="25.5">
      <c r="A398" s="154" t="e">
        <f ca="1"/>
        <v>#NAME?</v>
      </c>
      <c r="B398" s="150" t="s">
        <v>788</v>
      </c>
      <c r="C398" s="152">
        <v>4</v>
      </c>
      <c r="D398" s="152" t="s">
        <v>103</v>
      </c>
      <c r="E398" s="149"/>
      <c r="F398" s="154"/>
      <c r="G398" s="152" t="s">
        <v>752</v>
      </c>
      <c r="H398" s="152">
        <v>1</v>
      </c>
      <c r="I398" s="152">
        <v>1</v>
      </c>
      <c r="J398" s="152">
        <v>0</v>
      </c>
      <c r="K398" s="152">
        <v>0</v>
      </c>
      <c r="L398" s="152">
        <v>1</v>
      </c>
      <c r="M398" s="152">
        <v>1</v>
      </c>
      <c r="N398" s="152">
        <v>0</v>
      </c>
      <c r="O398" s="152">
        <v>0</v>
      </c>
      <c r="P398" s="152">
        <v>1</v>
      </c>
      <c r="Q398" s="152">
        <v>1</v>
      </c>
      <c r="R398" s="152">
        <v>0</v>
      </c>
      <c r="S398" s="152">
        <v>0</v>
      </c>
      <c r="T398" s="152">
        <v>1</v>
      </c>
      <c r="U398" s="152">
        <v>1</v>
      </c>
      <c r="V398" s="152">
        <v>0</v>
      </c>
      <c r="W398" s="152">
        <v>0</v>
      </c>
      <c r="X398" s="137" t="s">
        <v>112</v>
      </c>
      <c r="Y398" s="155" t="str">
        <f>DB!$D$258</f>
        <v>Maintenance Kit for the existing TASKALFA 3212I</v>
      </c>
      <c r="Z398" s="163"/>
      <c r="AA398" s="149"/>
      <c r="AB398" s="136"/>
      <c r="AC398" s="139"/>
      <c r="AD398" s="139"/>
      <c r="AE398" s="139"/>
      <c r="AF398" s="139"/>
    </row>
    <row r="399" spans="1:32" ht="12.75">
      <c r="A399" s="154" t="e">
        <f ca="1"/>
        <v>#NAME?</v>
      </c>
      <c r="B399" s="150" t="s">
        <v>469</v>
      </c>
      <c r="C399" s="152">
        <v>4</v>
      </c>
      <c r="D399" s="152" t="s">
        <v>103</v>
      </c>
      <c r="E399" s="149"/>
      <c r="F399" s="154"/>
      <c r="G399" s="152" t="s">
        <v>752</v>
      </c>
      <c r="H399" s="152">
        <v>4</v>
      </c>
      <c r="I399" s="152">
        <v>4</v>
      </c>
      <c r="J399" s="152">
        <v>0</v>
      </c>
      <c r="K399" s="152">
        <v>0</v>
      </c>
      <c r="L399" s="152">
        <v>0</v>
      </c>
      <c r="M399" s="152">
        <v>0</v>
      </c>
      <c r="N399" s="152">
        <v>0</v>
      </c>
      <c r="O399" s="152">
        <v>0</v>
      </c>
      <c r="P399" s="152">
        <v>0</v>
      </c>
      <c r="Q399" s="152">
        <v>0</v>
      </c>
      <c r="R399" s="152">
        <v>0</v>
      </c>
      <c r="S399" s="152">
        <v>0</v>
      </c>
      <c r="T399" s="152">
        <v>0</v>
      </c>
      <c r="U399" s="152">
        <v>0</v>
      </c>
      <c r="V399" s="152">
        <v>0</v>
      </c>
      <c r="W399" s="152">
        <v>0</v>
      </c>
      <c r="X399" s="137" t="s">
        <v>112</v>
      </c>
      <c r="Y399" s="155" t="str">
        <f>DB!$D$276</f>
        <v>Ink Tank Printer</v>
      </c>
      <c r="Z399" s="154" t="s">
        <v>469</v>
      </c>
      <c r="AA399" s="149"/>
      <c r="AB399" s="136"/>
      <c r="AC399" s="139"/>
      <c r="AD399" s="139"/>
      <c r="AE399" s="139"/>
      <c r="AF399" s="139"/>
    </row>
    <row r="400" spans="1:32" ht="25.5">
      <c r="A400" s="154" t="e">
        <f ca="1"/>
        <v>#NAME?</v>
      </c>
      <c r="B400" s="150" t="s">
        <v>789</v>
      </c>
      <c r="C400" s="152">
        <v>2</v>
      </c>
      <c r="D400" s="152" t="s">
        <v>103</v>
      </c>
      <c r="E400" s="149"/>
      <c r="F400" s="149"/>
      <c r="G400" s="152" t="s">
        <v>752</v>
      </c>
      <c r="H400" s="152">
        <v>1</v>
      </c>
      <c r="I400" s="152">
        <v>1</v>
      </c>
      <c r="J400" s="152">
        <v>0</v>
      </c>
      <c r="K400" s="152">
        <v>0</v>
      </c>
      <c r="L400" s="152">
        <v>0</v>
      </c>
      <c r="M400" s="152">
        <v>0</v>
      </c>
      <c r="N400" s="152">
        <v>0</v>
      </c>
      <c r="O400" s="152">
        <v>0</v>
      </c>
      <c r="P400" s="152">
        <v>1</v>
      </c>
      <c r="Q400" s="152">
        <v>1</v>
      </c>
      <c r="R400" s="152">
        <v>0</v>
      </c>
      <c r="S400" s="152">
        <v>0</v>
      </c>
      <c r="T400" s="152">
        <v>0</v>
      </c>
      <c r="U400" s="152">
        <v>0</v>
      </c>
      <c r="V400" s="152">
        <v>0</v>
      </c>
      <c r="W400" s="152">
        <v>0</v>
      </c>
      <c r="X400" s="137" t="s">
        <v>112</v>
      </c>
      <c r="Y400" s="163" t="str">
        <f>DB!$D$164</f>
        <v>Black &amp; White Monochrome MULTI-FUNCTIONAL MACHINE</v>
      </c>
      <c r="Z400" s="154"/>
      <c r="AA400" s="149"/>
      <c r="AB400" s="136"/>
      <c r="AC400" s="139"/>
      <c r="AD400" s="139"/>
      <c r="AE400" s="139"/>
      <c r="AF400" s="139"/>
    </row>
    <row r="401" spans="1:32" ht="12.75">
      <c r="A401" s="154" t="e">
        <f ca="1"/>
        <v>#NAME?</v>
      </c>
      <c r="B401" s="150" t="s">
        <v>790</v>
      </c>
      <c r="C401" s="152">
        <v>24</v>
      </c>
      <c r="D401" s="152" t="s">
        <v>103</v>
      </c>
      <c r="E401" s="149"/>
      <c r="F401" s="149"/>
      <c r="G401" s="152" t="s">
        <v>752</v>
      </c>
      <c r="H401" s="152">
        <v>6</v>
      </c>
      <c r="I401" s="152">
        <v>2</v>
      </c>
      <c r="J401" s="152">
        <v>2</v>
      </c>
      <c r="K401" s="152">
        <v>2</v>
      </c>
      <c r="L401" s="152">
        <v>6</v>
      </c>
      <c r="M401" s="152">
        <v>2</v>
      </c>
      <c r="N401" s="152">
        <v>2</v>
      </c>
      <c r="O401" s="152">
        <v>2</v>
      </c>
      <c r="P401" s="152">
        <v>6</v>
      </c>
      <c r="Q401" s="152">
        <v>2</v>
      </c>
      <c r="R401" s="152">
        <v>2</v>
      </c>
      <c r="S401" s="152">
        <v>2</v>
      </c>
      <c r="T401" s="152">
        <v>6</v>
      </c>
      <c r="U401" s="152">
        <v>2</v>
      </c>
      <c r="V401" s="152">
        <v>2</v>
      </c>
      <c r="W401" s="152">
        <v>2</v>
      </c>
      <c r="X401" s="137" t="s">
        <v>112</v>
      </c>
      <c r="Y401" s="141" t="str">
        <f>DB!$D$106</f>
        <v>Epson Genuine Ink (003) Black</v>
      </c>
      <c r="Z401" s="154"/>
      <c r="AA401" s="149"/>
      <c r="AB401" s="136"/>
      <c r="AC401" s="139"/>
      <c r="AD401" s="139"/>
      <c r="AE401" s="139"/>
      <c r="AF401" s="139"/>
    </row>
    <row r="402" spans="1:32" ht="12.75">
      <c r="A402" s="154" t="e">
        <f ca="1"/>
        <v>#NAME?</v>
      </c>
      <c r="B402" s="156" t="s">
        <v>791</v>
      </c>
      <c r="C402" s="152">
        <v>24</v>
      </c>
      <c r="D402" s="152" t="s">
        <v>103</v>
      </c>
      <c r="E402" s="149"/>
      <c r="F402" s="149"/>
      <c r="G402" s="152" t="s">
        <v>752</v>
      </c>
      <c r="H402" s="152">
        <v>12</v>
      </c>
      <c r="I402" s="152">
        <v>12</v>
      </c>
      <c r="J402" s="152">
        <v>0</v>
      </c>
      <c r="K402" s="152">
        <v>0</v>
      </c>
      <c r="L402" s="152">
        <v>0</v>
      </c>
      <c r="M402" s="152">
        <v>0</v>
      </c>
      <c r="N402" s="152">
        <v>0</v>
      </c>
      <c r="O402" s="152">
        <v>0</v>
      </c>
      <c r="P402" s="152">
        <v>12</v>
      </c>
      <c r="Q402" s="152">
        <v>12</v>
      </c>
      <c r="R402" s="152">
        <v>0</v>
      </c>
      <c r="S402" s="152">
        <v>0</v>
      </c>
      <c r="T402" s="152">
        <v>0</v>
      </c>
      <c r="U402" s="152">
        <v>0</v>
      </c>
      <c r="V402" s="152">
        <v>0</v>
      </c>
      <c r="W402" s="152">
        <v>0</v>
      </c>
      <c r="X402" s="137" t="s">
        <v>112</v>
      </c>
      <c r="Y402" s="155" t="str">
        <f>DB!$D$110</f>
        <v>HP Genuine Ink Refill - (GT53) Black</v>
      </c>
      <c r="Z402" s="154"/>
      <c r="AA402" s="149"/>
      <c r="AB402" s="136"/>
      <c r="AC402" s="139"/>
      <c r="AD402" s="139"/>
      <c r="AE402" s="139"/>
      <c r="AF402" s="139"/>
    </row>
    <row r="403" spans="1:32" ht="12.75">
      <c r="A403" s="154" t="e">
        <f ca="1"/>
        <v>#NAME?</v>
      </c>
      <c r="B403" s="156" t="s">
        <v>792</v>
      </c>
      <c r="C403" s="152">
        <v>8</v>
      </c>
      <c r="D403" s="152" t="s">
        <v>103</v>
      </c>
      <c r="E403" s="153"/>
      <c r="F403" s="176"/>
      <c r="G403" s="152" t="s">
        <v>752</v>
      </c>
      <c r="H403" s="152">
        <v>2</v>
      </c>
      <c r="I403" s="152">
        <v>2</v>
      </c>
      <c r="J403" s="152">
        <v>0</v>
      </c>
      <c r="K403" s="152">
        <v>0</v>
      </c>
      <c r="L403" s="152">
        <v>2</v>
      </c>
      <c r="M403" s="152">
        <v>2</v>
      </c>
      <c r="N403" s="152">
        <v>0</v>
      </c>
      <c r="O403" s="152">
        <v>0</v>
      </c>
      <c r="P403" s="152">
        <v>2</v>
      </c>
      <c r="Q403" s="152">
        <v>2</v>
      </c>
      <c r="R403" s="152">
        <v>0</v>
      </c>
      <c r="S403" s="152">
        <v>0</v>
      </c>
      <c r="T403" s="152">
        <v>2</v>
      </c>
      <c r="U403" s="152">
        <v>2</v>
      </c>
      <c r="V403" s="152">
        <v>0</v>
      </c>
      <c r="W403" s="152">
        <v>0</v>
      </c>
      <c r="X403" s="137" t="s">
        <v>112</v>
      </c>
      <c r="Y403" s="155" t="str">
        <f>DB!$D$111</f>
        <v>HP Genuine Ink Refill - (GT52) Magenta</v>
      </c>
      <c r="Z403" s="154"/>
      <c r="AA403" s="149"/>
      <c r="AB403" s="136"/>
      <c r="AC403" s="139"/>
      <c r="AD403" s="139"/>
      <c r="AE403" s="139"/>
      <c r="AF403" s="139"/>
    </row>
    <row r="404" spans="1:32" ht="12.75">
      <c r="A404" s="154" t="e">
        <f ca="1"/>
        <v>#NAME?</v>
      </c>
      <c r="B404" s="156" t="s">
        <v>793</v>
      </c>
      <c r="C404" s="152">
        <v>8</v>
      </c>
      <c r="D404" s="152" t="s">
        <v>103</v>
      </c>
      <c r="E404" s="149"/>
      <c r="F404" s="153"/>
      <c r="G404" s="152" t="s">
        <v>752</v>
      </c>
      <c r="H404" s="152">
        <v>2</v>
      </c>
      <c r="I404" s="152">
        <v>2</v>
      </c>
      <c r="J404" s="152">
        <v>0</v>
      </c>
      <c r="K404" s="152">
        <v>0</v>
      </c>
      <c r="L404" s="152">
        <v>2</v>
      </c>
      <c r="M404" s="152">
        <v>2</v>
      </c>
      <c r="N404" s="152">
        <v>0</v>
      </c>
      <c r="O404" s="152">
        <v>0</v>
      </c>
      <c r="P404" s="152">
        <v>2</v>
      </c>
      <c r="Q404" s="152">
        <v>2</v>
      </c>
      <c r="R404" s="152">
        <v>0</v>
      </c>
      <c r="S404" s="152">
        <v>0</v>
      </c>
      <c r="T404" s="152">
        <v>2</v>
      </c>
      <c r="U404" s="152">
        <v>2</v>
      </c>
      <c r="V404" s="152">
        <v>0</v>
      </c>
      <c r="W404" s="152">
        <v>0</v>
      </c>
      <c r="X404" s="137" t="s">
        <v>112</v>
      </c>
      <c r="Y404" s="155" t="str">
        <f>DB!$D$112</f>
        <v>HP Genuine Ink Refill - (GT52) Cyan</v>
      </c>
      <c r="Z404" s="154"/>
      <c r="AA404" s="149"/>
      <c r="AB404" s="136"/>
      <c r="AC404" s="139"/>
      <c r="AD404" s="139"/>
      <c r="AE404" s="139"/>
      <c r="AF404" s="139"/>
    </row>
    <row r="405" spans="1:32" ht="12.75">
      <c r="A405" s="154" t="e">
        <f ca="1"/>
        <v>#NAME?</v>
      </c>
      <c r="B405" s="156" t="s">
        <v>794</v>
      </c>
      <c r="C405" s="152">
        <v>8</v>
      </c>
      <c r="D405" s="152" t="s">
        <v>103</v>
      </c>
      <c r="E405" s="149"/>
      <c r="F405" s="153"/>
      <c r="G405" s="152" t="s">
        <v>752</v>
      </c>
      <c r="H405" s="152">
        <v>2</v>
      </c>
      <c r="I405" s="152">
        <v>2</v>
      </c>
      <c r="J405" s="152">
        <v>0</v>
      </c>
      <c r="K405" s="152">
        <v>0</v>
      </c>
      <c r="L405" s="152">
        <v>2</v>
      </c>
      <c r="M405" s="152">
        <v>2</v>
      </c>
      <c r="N405" s="152">
        <v>0</v>
      </c>
      <c r="O405" s="152">
        <v>0</v>
      </c>
      <c r="P405" s="152">
        <v>2</v>
      </c>
      <c r="Q405" s="152">
        <v>2</v>
      </c>
      <c r="R405" s="152">
        <v>0</v>
      </c>
      <c r="S405" s="152">
        <v>0</v>
      </c>
      <c r="T405" s="152">
        <v>2</v>
      </c>
      <c r="U405" s="152">
        <v>2</v>
      </c>
      <c r="V405" s="152">
        <v>0</v>
      </c>
      <c r="W405" s="152">
        <v>0</v>
      </c>
      <c r="X405" s="137" t="s">
        <v>112</v>
      </c>
      <c r="Y405" s="155" t="str">
        <f>DB!$D$113</f>
        <v>HP Genuine Ink Refill - (GT52) Yellow</v>
      </c>
      <c r="Z405" s="154"/>
      <c r="AA405" s="149"/>
      <c r="AB405" s="136"/>
      <c r="AC405" s="139"/>
      <c r="AD405" s="139"/>
      <c r="AE405" s="139"/>
      <c r="AF405" s="139"/>
    </row>
    <row r="406" spans="1:32" ht="12.75">
      <c r="A406" s="136" t="e">
        <f ca="1"/>
        <v>#NAME?</v>
      </c>
      <c r="B406" s="150" t="s">
        <v>795</v>
      </c>
      <c r="C406" s="177">
        <v>20</v>
      </c>
      <c r="D406" s="177" t="s">
        <v>103</v>
      </c>
      <c r="E406" s="178"/>
      <c r="F406" s="179"/>
      <c r="G406" s="178"/>
      <c r="H406" s="152">
        <v>5</v>
      </c>
      <c r="I406" s="177">
        <v>5</v>
      </c>
      <c r="J406" s="177"/>
      <c r="K406" s="177"/>
      <c r="L406" s="177">
        <v>5</v>
      </c>
      <c r="M406" s="177">
        <v>5</v>
      </c>
      <c r="N406" s="177"/>
      <c r="O406" s="177"/>
      <c r="P406" s="177">
        <v>5</v>
      </c>
      <c r="Q406" s="177">
        <v>5</v>
      </c>
      <c r="R406" s="177"/>
      <c r="S406" s="177"/>
      <c r="T406" s="177">
        <v>5</v>
      </c>
      <c r="U406" s="177">
        <v>5</v>
      </c>
      <c r="V406" s="177"/>
      <c r="W406" s="177"/>
      <c r="X406" s="137" t="s">
        <v>184</v>
      </c>
      <c r="Y406" s="155" t="str">
        <f>DB!$D$175</f>
        <v>Brother Genuine Ink BT6000BK</v>
      </c>
      <c r="Z406" s="154"/>
      <c r="AA406" s="149"/>
      <c r="AB406" s="136"/>
      <c r="AC406" s="139"/>
      <c r="AD406" s="139"/>
      <c r="AE406" s="139"/>
      <c r="AF406" s="139"/>
    </row>
    <row r="407" spans="1:32" ht="12.75">
      <c r="A407" s="136" t="e">
        <f ca="1"/>
        <v>#NAME?</v>
      </c>
      <c r="B407" s="180" t="s">
        <v>796</v>
      </c>
      <c r="C407" s="181">
        <v>12</v>
      </c>
      <c r="D407" s="181" t="s">
        <v>103</v>
      </c>
      <c r="E407" s="178"/>
      <c r="F407" s="179"/>
      <c r="G407" s="178"/>
      <c r="H407" s="172">
        <v>3</v>
      </c>
      <c r="I407" s="181">
        <v>3</v>
      </c>
      <c r="J407" s="181"/>
      <c r="K407" s="181"/>
      <c r="L407" s="181">
        <v>3</v>
      </c>
      <c r="M407" s="181">
        <v>3</v>
      </c>
      <c r="N407" s="181"/>
      <c r="O407" s="181"/>
      <c r="P407" s="181">
        <v>3</v>
      </c>
      <c r="Q407" s="181">
        <v>3</v>
      </c>
      <c r="R407" s="181"/>
      <c r="S407" s="181"/>
      <c r="T407" s="181">
        <v>3</v>
      </c>
      <c r="U407" s="181">
        <v>3</v>
      </c>
      <c r="V407" s="181"/>
      <c r="W407" s="181"/>
      <c r="X407" s="137" t="s">
        <v>184</v>
      </c>
      <c r="Y407" s="155" t="str">
        <f>DB!$D$172</f>
        <v>Brother Genuine Ink BT5000C</v>
      </c>
      <c r="Z407" s="154"/>
      <c r="AA407" s="149"/>
      <c r="AB407" s="136"/>
      <c r="AC407" s="139"/>
      <c r="AD407" s="139"/>
      <c r="AE407" s="139"/>
      <c r="AF407" s="139"/>
    </row>
    <row r="408" spans="1:32" ht="12.75">
      <c r="A408" s="136" t="e">
        <f ca="1"/>
        <v>#NAME?</v>
      </c>
      <c r="B408" s="180" t="s">
        <v>797</v>
      </c>
      <c r="C408" s="181">
        <v>12</v>
      </c>
      <c r="D408" s="181" t="s">
        <v>103</v>
      </c>
      <c r="E408" s="178"/>
      <c r="F408" s="179"/>
      <c r="G408" s="178"/>
      <c r="H408" s="172">
        <v>3</v>
      </c>
      <c r="I408" s="181">
        <v>3</v>
      </c>
      <c r="J408" s="181"/>
      <c r="K408" s="181"/>
      <c r="L408" s="181">
        <v>3</v>
      </c>
      <c r="M408" s="181">
        <v>3</v>
      </c>
      <c r="N408" s="181"/>
      <c r="O408" s="181"/>
      <c r="P408" s="181">
        <v>3</v>
      </c>
      <c r="Q408" s="181">
        <v>3</v>
      </c>
      <c r="R408" s="181"/>
      <c r="S408" s="181"/>
      <c r="T408" s="181">
        <v>3</v>
      </c>
      <c r="U408" s="181">
        <v>3</v>
      </c>
      <c r="V408" s="181"/>
      <c r="W408" s="181"/>
      <c r="X408" s="137" t="s">
        <v>184</v>
      </c>
      <c r="Y408" s="155" t="str">
        <f>DB!$D$173</f>
        <v>Brother Genuine Ink BT5000Y</v>
      </c>
      <c r="Z408" s="154"/>
      <c r="AA408" s="149"/>
      <c r="AB408" s="136"/>
      <c r="AC408" s="139"/>
      <c r="AD408" s="139"/>
      <c r="AE408" s="139"/>
      <c r="AF408" s="139"/>
    </row>
    <row r="409" spans="1:32" ht="12.75">
      <c r="A409" s="136" t="e">
        <f ca="1"/>
        <v>#NAME?</v>
      </c>
      <c r="B409" s="180" t="s">
        <v>798</v>
      </c>
      <c r="C409" s="181">
        <v>12</v>
      </c>
      <c r="D409" s="181" t="s">
        <v>103</v>
      </c>
      <c r="E409" s="179"/>
      <c r="F409" s="182"/>
      <c r="G409" s="183"/>
      <c r="H409" s="172">
        <v>3</v>
      </c>
      <c r="I409" s="181">
        <v>3</v>
      </c>
      <c r="J409" s="181"/>
      <c r="K409" s="181"/>
      <c r="L409" s="181">
        <v>3</v>
      </c>
      <c r="M409" s="181">
        <v>3</v>
      </c>
      <c r="N409" s="181"/>
      <c r="O409" s="181"/>
      <c r="P409" s="181">
        <v>3</v>
      </c>
      <c r="Q409" s="181">
        <v>3</v>
      </c>
      <c r="R409" s="181"/>
      <c r="S409" s="181"/>
      <c r="T409" s="181">
        <v>3</v>
      </c>
      <c r="U409" s="181">
        <v>3</v>
      </c>
      <c r="V409" s="181"/>
      <c r="W409" s="181"/>
      <c r="X409" s="137" t="s">
        <v>184</v>
      </c>
      <c r="Y409" s="155" t="str">
        <f>DB!$D$174</f>
        <v>Brother Genuine Ink BT5000M</v>
      </c>
      <c r="Z409" s="154"/>
      <c r="AA409" s="149"/>
      <c r="AB409" s="136"/>
      <c r="AC409" s="139"/>
      <c r="AD409" s="139"/>
      <c r="AE409" s="139"/>
      <c r="AF409" s="139"/>
    </row>
    <row r="410" spans="1:32" ht="12.75">
      <c r="A410" s="136" t="e">
        <f ca="1"/>
        <v>#NAME?</v>
      </c>
      <c r="B410" s="180" t="s">
        <v>799</v>
      </c>
      <c r="C410" s="181">
        <v>20</v>
      </c>
      <c r="D410" s="181" t="s">
        <v>103</v>
      </c>
      <c r="E410" s="178"/>
      <c r="F410" s="178"/>
      <c r="G410" s="178"/>
      <c r="H410" s="172">
        <v>5</v>
      </c>
      <c r="I410" s="181">
        <v>5</v>
      </c>
      <c r="J410" s="181"/>
      <c r="K410" s="181"/>
      <c r="L410" s="181">
        <v>5</v>
      </c>
      <c r="M410" s="181">
        <v>5</v>
      </c>
      <c r="N410" s="181"/>
      <c r="O410" s="181"/>
      <c r="P410" s="181">
        <v>5</v>
      </c>
      <c r="Q410" s="181">
        <v>5</v>
      </c>
      <c r="R410" s="181"/>
      <c r="S410" s="181"/>
      <c r="T410" s="181">
        <v>5</v>
      </c>
      <c r="U410" s="181">
        <v>5</v>
      </c>
      <c r="V410" s="181"/>
      <c r="W410" s="181"/>
      <c r="X410" s="137" t="s">
        <v>184</v>
      </c>
      <c r="Y410" s="155" t="str">
        <f>DB!$D$106</f>
        <v>Epson Genuine Ink (003) Black</v>
      </c>
      <c r="Z410" s="154"/>
      <c r="AA410" s="149"/>
      <c r="AB410" s="136"/>
      <c r="AC410" s="139"/>
      <c r="AD410" s="139"/>
      <c r="AE410" s="139"/>
      <c r="AF410" s="139"/>
    </row>
    <row r="411" spans="1:32" ht="12.75">
      <c r="A411" s="136" t="e">
        <f ca="1"/>
        <v>#NAME?</v>
      </c>
      <c r="B411" s="180" t="s">
        <v>800</v>
      </c>
      <c r="C411" s="181">
        <v>12</v>
      </c>
      <c r="D411" s="181" t="s">
        <v>103</v>
      </c>
      <c r="E411" s="178"/>
      <c r="F411" s="178"/>
      <c r="G411" s="178"/>
      <c r="H411" s="172">
        <v>3</v>
      </c>
      <c r="I411" s="181">
        <v>3</v>
      </c>
      <c r="J411" s="181"/>
      <c r="K411" s="181"/>
      <c r="L411" s="181">
        <v>3</v>
      </c>
      <c r="M411" s="181">
        <v>3</v>
      </c>
      <c r="N411" s="181"/>
      <c r="O411" s="181"/>
      <c r="P411" s="181">
        <v>3</v>
      </c>
      <c r="Q411" s="181">
        <v>3</v>
      </c>
      <c r="R411" s="181"/>
      <c r="S411" s="181"/>
      <c r="T411" s="181">
        <v>3</v>
      </c>
      <c r="U411" s="181">
        <v>3</v>
      </c>
      <c r="V411" s="181"/>
      <c r="W411" s="181"/>
      <c r="X411" s="137" t="s">
        <v>184</v>
      </c>
      <c r="Y411" s="155" t="str">
        <f>DB!$D$107</f>
        <v>Epson Genuine Ink (003) Cyan</v>
      </c>
      <c r="Z411" s="154"/>
      <c r="AA411" s="149"/>
      <c r="AB411" s="136"/>
      <c r="AC411" s="139"/>
      <c r="AD411" s="139"/>
      <c r="AE411" s="139"/>
      <c r="AF411" s="139"/>
    </row>
    <row r="412" spans="1:32" ht="25.5">
      <c r="A412" s="136" t="e">
        <f ca="1"/>
        <v>#NAME?</v>
      </c>
      <c r="B412" s="180" t="s">
        <v>801</v>
      </c>
      <c r="C412" s="181">
        <v>12</v>
      </c>
      <c r="D412" s="181" t="s">
        <v>103</v>
      </c>
      <c r="E412" s="179"/>
      <c r="F412" s="179"/>
      <c r="G412" s="178"/>
      <c r="H412" s="172">
        <v>3</v>
      </c>
      <c r="I412" s="181">
        <v>3</v>
      </c>
      <c r="J412" s="181"/>
      <c r="K412" s="181"/>
      <c r="L412" s="181">
        <v>3</v>
      </c>
      <c r="M412" s="181">
        <v>3</v>
      </c>
      <c r="N412" s="181"/>
      <c r="O412" s="181"/>
      <c r="P412" s="181">
        <v>3</v>
      </c>
      <c r="Q412" s="181">
        <v>3</v>
      </c>
      <c r="R412" s="181"/>
      <c r="S412" s="181"/>
      <c r="T412" s="181">
        <v>3</v>
      </c>
      <c r="U412" s="181">
        <v>3</v>
      </c>
      <c r="V412" s="181"/>
      <c r="W412" s="181"/>
      <c r="X412" s="137" t="s">
        <v>184</v>
      </c>
      <c r="Y412" s="155" t="str">
        <f>DB!$D$108</f>
        <v>Epson Genuine Ink (003) Yellow</v>
      </c>
      <c r="Z412" s="154"/>
      <c r="AA412" s="149"/>
      <c r="AB412" s="136"/>
      <c r="AC412" s="139"/>
      <c r="AD412" s="139"/>
      <c r="AE412" s="139"/>
      <c r="AF412" s="139"/>
    </row>
    <row r="413" spans="1:32" ht="12.75">
      <c r="A413" s="136" t="e">
        <f ca="1"/>
        <v>#NAME?</v>
      </c>
      <c r="B413" s="180" t="s">
        <v>802</v>
      </c>
      <c r="C413" s="181">
        <v>12</v>
      </c>
      <c r="D413" s="181" t="s">
        <v>103</v>
      </c>
      <c r="E413" s="179"/>
      <c r="F413" s="179"/>
      <c r="G413" s="178"/>
      <c r="H413" s="172">
        <v>3</v>
      </c>
      <c r="I413" s="181">
        <v>3</v>
      </c>
      <c r="J413" s="181"/>
      <c r="K413" s="181"/>
      <c r="L413" s="181">
        <v>3</v>
      </c>
      <c r="M413" s="181">
        <v>3</v>
      </c>
      <c r="N413" s="181"/>
      <c r="O413" s="181"/>
      <c r="P413" s="181">
        <v>3</v>
      </c>
      <c r="Q413" s="181">
        <v>3</v>
      </c>
      <c r="R413" s="181"/>
      <c r="S413" s="181"/>
      <c r="T413" s="181">
        <v>3</v>
      </c>
      <c r="U413" s="181">
        <v>3</v>
      </c>
      <c r="V413" s="181"/>
      <c r="W413" s="181"/>
      <c r="X413" s="137" t="s">
        <v>184</v>
      </c>
      <c r="Y413" s="155" t="str">
        <f>DB!$D$109</f>
        <v>Epson Genuine Ink (003) Magenta</v>
      </c>
      <c r="Z413" s="154"/>
      <c r="AA413" s="149"/>
      <c r="AB413" s="136"/>
      <c r="AC413" s="139"/>
      <c r="AD413" s="139"/>
      <c r="AE413" s="139"/>
      <c r="AF413" s="139"/>
    </row>
    <row r="414" spans="1:32" ht="12.75">
      <c r="A414" s="136" t="e">
        <f ca="1"/>
        <v>#NAME?</v>
      </c>
      <c r="B414" s="180" t="s">
        <v>803</v>
      </c>
      <c r="C414" s="181">
        <v>20</v>
      </c>
      <c r="D414" s="181" t="s">
        <v>103</v>
      </c>
      <c r="E414" s="183"/>
      <c r="F414" s="184"/>
      <c r="G414" s="178"/>
      <c r="H414" s="172">
        <v>5</v>
      </c>
      <c r="I414" s="181">
        <v>5</v>
      </c>
      <c r="J414" s="181"/>
      <c r="K414" s="181"/>
      <c r="L414" s="181">
        <v>5</v>
      </c>
      <c r="M414" s="181">
        <v>5</v>
      </c>
      <c r="N414" s="181"/>
      <c r="O414" s="181"/>
      <c r="P414" s="181">
        <v>5</v>
      </c>
      <c r="Q414" s="181">
        <v>5</v>
      </c>
      <c r="R414" s="181"/>
      <c r="S414" s="181"/>
      <c r="T414" s="181">
        <v>5</v>
      </c>
      <c r="U414" s="181">
        <v>5</v>
      </c>
      <c r="V414" s="181"/>
      <c r="W414" s="181"/>
      <c r="X414" s="137" t="s">
        <v>184</v>
      </c>
      <c r="Y414" s="155" t="str">
        <f>DB!$D$102</f>
        <v>Epson Genuine Ink T6641 Black</v>
      </c>
      <c r="Z414" s="154"/>
      <c r="AA414" s="149"/>
      <c r="AB414" s="136"/>
      <c r="AC414" s="139"/>
      <c r="AD414" s="139"/>
      <c r="AE414" s="139"/>
      <c r="AF414" s="139"/>
    </row>
    <row r="415" spans="1:32" ht="12.75">
      <c r="A415" s="136" t="e">
        <f ca="1"/>
        <v>#NAME?</v>
      </c>
      <c r="B415" s="180" t="s">
        <v>804</v>
      </c>
      <c r="C415" s="181">
        <v>12</v>
      </c>
      <c r="D415" s="181" t="s">
        <v>103</v>
      </c>
      <c r="E415" s="178"/>
      <c r="F415" s="184"/>
      <c r="G415" s="178"/>
      <c r="H415" s="172">
        <v>3</v>
      </c>
      <c r="I415" s="181">
        <v>3</v>
      </c>
      <c r="J415" s="181"/>
      <c r="K415" s="181"/>
      <c r="L415" s="181">
        <v>3</v>
      </c>
      <c r="M415" s="181">
        <v>3</v>
      </c>
      <c r="N415" s="181"/>
      <c r="O415" s="181"/>
      <c r="P415" s="181">
        <v>3</v>
      </c>
      <c r="Q415" s="181">
        <v>3</v>
      </c>
      <c r="R415" s="181"/>
      <c r="S415" s="181"/>
      <c r="T415" s="181">
        <v>3</v>
      </c>
      <c r="U415" s="181">
        <v>3</v>
      </c>
      <c r="V415" s="181"/>
      <c r="W415" s="181"/>
      <c r="X415" s="137" t="s">
        <v>184</v>
      </c>
      <c r="Y415" s="155" t="str">
        <f>DB!$D$103</f>
        <v>Epson Genuine Ink T6642 Cyan</v>
      </c>
      <c r="Z415" s="152"/>
      <c r="AA415" s="149"/>
      <c r="AB415" s="136"/>
      <c r="AC415" s="139"/>
      <c r="AD415" s="139"/>
      <c r="AE415" s="139"/>
      <c r="AF415" s="139"/>
    </row>
    <row r="416" spans="1:32" ht="12.75">
      <c r="A416" s="136" t="e">
        <f ca="1"/>
        <v>#NAME?</v>
      </c>
      <c r="B416" s="180" t="s">
        <v>805</v>
      </c>
      <c r="C416" s="181">
        <v>12</v>
      </c>
      <c r="D416" s="181" t="s">
        <v>103</v>
      </c>
      <c r="E416" s="178"/>
      <c r="F416" s="184"/>
      <c r="G416" s="178"/>
      <c r="H416" s="172">
        <v>3</v>
      </c>
      <c r="I416" s="181">
        <v>3</v>
      </c>
      <c r="J416" s="181"/>
      <c r="K416" s="181"/>
      <c r="L416" s="181">
        <v>3</v>
      </c>
      <c r="M416" s="181">
        <v>3</v>
      </c>
      <c r="N416" s="181"/>
      <c r="O416" s="181"/>
      <c r="P416" s="181">
        <v>3</v>
      </c>
      <c r="Q416" s="181">
        <v>3</v>
      </c>
      <c r="R416" s="181"/>
      <c r="S416" s="181"/>
      <c r="T416" s="181">
        <v>3</v>
      </c>
      <c r="U416" s="181">
        <v>3</v>
      </c>
      <c r="V416" s="181"/>
      <c r="W416" s="181"/>
      <c r="X416" s="137" t="s">
        <v>184</v>
      </c>
      <c r="Y416" s="155" t="str">
        <f>DB!$D$104</f>
        <v>Epson Genuine Ink T6643 Magenta</v>
      </c>
      <c r="Z416" s="152"/>
      <c r="AA416" s="149"/>
      <c r="AB416" s="136"/>
      <c r="AC416" s="139"/>
      <c r="AD416" s="139"/>
      <c r="AE416" s="139"/>
      <c r="AF416" s="139"/>
    </row>
    <row r="417" spans="1:32" ht="12.75">
      <c r="A417" s="136" t="e">
        <f ca="1"/>
        <v>#NAME?</v>
      </c>
      <c r="B417" s="180" t="s">
        <v>806</v>
      </c>
      <c r="C417" s="181">
        <v>12</v>
      </c>
      <c r="D417" s="181" t="s">
        <v>103</v>
      </c>
      <c r="E417" s="178"/>
      <c r="F417" s="184"/>
      <c r="G417" s="178"/>
      <c r="H417" s="172">
        <v>3</v>
      </c>
      <c r="I417" s="181">
        <v>3</v>
      </c>
      <c r="J417" s="181"/>
      <c r="K417" s="181"/>
      <c r="L417" s="181">
        <v>3</v>
      </c>
      <c r="M417" s="181">
        <v>3</v>
      </c>
      <c r="N417" s="181"/>
      <c r="O417" s="181"/>
      <c r="P417" s="181">
        <v>3</v>
      </c>
      <c r="Q417" s="181">
        <v>3</v>
      </c>
      <c r="R417" s="181"/>
      <c r="S417" s="181"/>
      <c r="T417" s="181">
        <v>3</v>
      </c>
      <c r="U417" s="181">
        <v>3</v>
      </c>
      <c r="V417" s="181"/>
      <c r="W417" s="181"/>
      <c r="X417" s="137" t="s">
        <v>184</v>
      </c>
      <c r="Y417" s="155" t="str">
        <f>DB!$D$105</f>
        <v>Epson Genuine Ink T6644 Yellow</v>
      </c>
      <c r="Z417" s="152"/>
      <c r="AA417" s="149"/>
      <c r="AB417" s="136"/>
      <c r="AC417" s="139"/>
      <c r="AD417" s="139"/>
      <c r="AE417" s="139"/>
      <c r="AF417" s="139"/>
    </row>
    <row r="418" spans="1:32" ht="25.5">
      <c r="A418" s="136" t="e">
        <f ca="1"/>
        <v>#NAME?</v>
      </c>
      <c r="B418" s="180" t="s">
        <v>231</v>
      </c>
      <c r="C418" s="181">
        <v>8</v>
      </c>
      <c r="D418" s="181" t="s">
        <v>103</v>
      </c>
      <c r="E418" s="178"/>
      <c r="F418" s="184"/>
      <c r="G418" s="178"/>
      <c r="H418" s="172">
        <v>8</v>
      </c>
      <c r="I418" s="181">
        <v>8</v>
      </c>
      <c r="J418" s="181"/>
      <c r="K418" s="181"/>
      <c r="L418" s="181">
        <v>0</v>
      </c>
      <c r="M418" s="181"/>
      <c r="N418" s="181"/>
      <c r="O418" s="181"/>
      <c r="P418" s="181">
        <v>0</v>
      </c>
      <c r="Q418" s="181"/>
      <c r="R418" s="181"/>
      <c r="S418" s="181"/>
      <c r="T418" s="181">
        <v>0</v>
      </c>
      <c r="U418" s="181"/>
      <c r="V418" s="181"/>
      <c r="W418" s="181"/>
      <c r="X418" s="137" t="s">
        <v>184</v>
      </c>
      <c r="Y418" s="155" t="str">
        <f>DB!$D$84</f>
        <v>HP Printhead Black compatible with the existing HP Smart Tank 515</v>
      </c>
      <c r="Z418" s="154"/>
      <c r="AA418" s="149"/>
      <c r="AB418" s="136"/>
      <c r="AC418" s="139"/>
      <c r="AD418" s="139"/>
      <c r="AE418" s="139"/>
      <c r="AF418" s="139"/>
    </row>
    <row r="419" spans="1:32" ht="25.5">
      <c r="A419" s="136" t="e">
        <f ca="1"/>
        <v>#NAME?</v>
      </c>
      <c r="B419" s="180" t="s">
        <v>232</v>
      </c>
      <c r="C419" s="181">
        <v>4</v>
      </c>
      <c r="D419" s="181" t="s">
        <v>103</v>
      </c>
      <c r="E419" s="149"/>
      <c r="F419" s="149"/>
      <c r="G419" s="154"/>
      <c r="H419" s="172">
        <v>4</v>
      </c>
      <c r="I419" s="181">
        <v>4</v>
      </c>
      <c r="J419" s="181"/>
      <c r="K419" s="181"/>
      <c r="L419" s="181">
        <v>0</v>
      </c>
      <c r="M419" s="181"/>
      <c r="N419" s="181"/>
      <c r="O419" s="181"/>
      <c r="P419" s="181">
        <v>0</v>
      </c>
      <c r="Q419" s="181"/>
      <c r="R419" s="181"/>
      <c r="S419" s="181"/>
      <c r="T419" s="181">
        <v>0</v>
      </c>
      <c r="U419" s="181"/>
      <c r="V419" s="181"/>
      <c r="W419" s="181"/>
      <c r="X419" s="137" t="s">
        <v>184</v>
      </c>
      <c r="Y419" s="155" t="str">
        <f>DB!$D$85</f>
        <v>HP Printhead Tri-color compatible with the existing HP Smart Tank 515</v>
      </c>
      <c r="Z419" s="154"/>
      <c r="AA419" s="149"/>
      <c r="AB419" s="136"/>
      <c r="AC419" s="139"/>
      <c r="AD419" s="139"/>
      <c r="AE419" s="139"/>
      <c r="AF419" s="139"/>
    </row>
    <row r="420" spans="1:32" ht="25.5">
      <c r="A420" s="136" t="e">
        <f ca="1"/>
        <v>#NAME?</v>
      </c>
      <c r="B420" s="180" t="s">
        <v>807</v>
      </c>
      <c r="C420" s="181">
        <v>20</v>
      </c>
      <c r="D420" s="181" t="s">
        <v>103</v>
      </c>
      <c r="E420" s="185"/>
      <c r="F420" s="185"/>
      <c r="G420" s="186"/>
      <c r="H420" s="172">
        <v>5</v>
      </c>
      <c r="I420" s="181">
        <v>5</v>
      </c>
      <c r="J420" s="181"/>
      <c r="K420" s="181"/>
      <c r="L420" s="181">
        <v>5</v>
      </c>
      <c r="M420" s="181">
        <v>5</v>
      </c>
      <c r="N420" s="181"/>
      <c r="O420" s="181"/>
      <c r="P420" s="181">
        <v>5</v>
      </c>
      <c r="Q420" s="181">
        <v>5</v>
      </c>
      <c r="R420" s="181"/>
      <c r="S420" s="181"/>
      <c r="T420" s="181">
        <v>5</v>
      </c>
      <c r="U420" s="181">
        <v>5</v>
      </c>
      <c r="V420" s="181"/>
      <c r="W420" s="181"/>
      <c r="X420" s="137" t="s">
        <v>184</v>
      </c>
      <c r="Y420" s="155" t="str">
        <f>DB!$D$110</f>
        <v>HP Genuine Ink Refill - (GT53) Black</v>
      </c>
      <c r="Z420" s="154"/>
      <c r="AA420" s="149"/>
      <c r="AB420" s="136"/>
      <c r="AC420" s="139"/>
      <c r="AD420" s="139"/>
      <c r="AE420" s="139"/>
      <c r="AF420" s="139"/>
    </row>
    <row r="421" spans="1:32" ht="25.5">
      <c r="A421" s="136" t="e">
        <f ca="1"/>
        <v>#NAME?</v>
      </c>
      <c r="B421" s="180" t="s">
        <v>808</v>
      </c>
      <c r="C421" s="181">
        <v>12</v>
      </c>
      <c r="D421" s="181" t="s">
        <v>103</v>
      </c>
      <c r="E421" s="187"/>
      <c r="F421" s="187"/>
      <c r="G421" s="186"/>
      <c r="H421" s="172">
        <v>3</v>
      </c>
      <c r="I421" s="181">
        <v>3</v>
      </c>
      <c r="J421" s="181"/>
      <c r="K421" s="181"/>
      <c r="L421" s="181">
        <v>3</v>
      </c>
      <c r="M421" s="181">
        <v>3</v>
      </c>
      <c r="N421" s="181"/>
      <c r="O421" s="181"/>
      <c r="P421" s="181">
        <v>3</v>
      </c>
      <c r="Q421" s="181">
        <v>3</v>
      </c>
      <c r="R421" s="181"/>
      <c r="S421" s="181"/>
      <c r="T421" s="181">
        <v>3</v>
      </c>
      <c r="U421" s="181">
        <v>3</v>
      </c>
      <c r="V421" s="181"/>
      <c r="W421" s="181"/>
      <c r="X421" s="137" t="s">
        <v>184</v>
      </c>
      <c r="Y421" s="155" t="str">
        <f>DB!$D$111</f>
        <v>HP Genuine Ink Refill - (GT52) Magenta</v>
      </c>
      <c r="Z421" s="154"/>
      <c r="AA421" s="149"/>
      <c r="AB421" s="136"/>
      <c r="AC421" s="139"/>
      <c r="AD421" s="139"/>
      <c r="AE421" s="139"/>
      <c r="AF421" s="139"/>
    </row>
    <row r="422" spans="1:32" ht="25.5">
      <c r="A422" s="136" t="e">
        <f ca="1"/>
        <v>#NAME?</v>
      </c>
      <c r="B422" s="180" t="s">
        <v>809</v>
      </c>
      <c r="C422" s="181">
        <v>12</v>
      </c>
      <c r="D422" s="181" t="s">
        <v>103</v>
      </c>
      <c r="E422" s="187"/>
      <c r="F422" s="187"/>
      <c r="G422" s="186"/>
      <c r="H422" s="172">
        <v>3</v>
      </c>
      <c r="I422" s="181">
        <v>3</v>
      </c>
      <c r="J422" s="181"/>
      <c r="K422" s="181"/>
      <c r="L422" s="181">
        <v>3</v>
      </c>
      <c r="M422" s="181">
        <v>3</v>
      </c>
      <c r="N422" s="181"/>
      <c r="O422" s="181"/>
      <c r="P422" s="181">
        <v>3</v>
      </c>
      <c r="Q422" s="181">
        <v>3</v>
      </c>
      <c r="R422" s="181"/>
      <c r="S422" s="181"/>
      <c r="T422" s="181">
        <v>3</v>
      </c>
      <c r="U422" s="181">
        <v>3</v>
      </c>
      <c r="V422" s="181"/>
      <c r="W422" s="181"/>
      <c r="X422" s="137" t="s">
        <v>184</v>
      </c>
      <c r="Y422" s="155" t="str">
        <f>DB!$D$112</f>
        <v>HP Genuine Ink Refill - (GT52) Cyan</v>
      </c>
      <c r="Z422" s="154"/>
      <c r="AA422" s="149"/>
      <c r="AB422" s="136"/>
      <c r="AC422" s="139"/>
      <c r="AD422" s="139"/>
      <c r="AE422" s="139"/>
      <c r="AF422" s="139"/>
    </row>
    <row r="423" spans="1:32" ht="25.5">
      <c r="A423" s="136" t="e">
        <f ca="1"/>
        <v>#NAME?</v>
      </c>
      <c r="B423" s="180" t="s">
        <v>810</v>
      </c>
      <c r="C423" s="181">
        <v>12</v>
      </c>
      <c r="D423" s="181" t="s">
        <v>103</v>
      </c>
      <c r="E423" s="187"/>
      <c r="F423" s="187"/>
      <c r="G423" s="186"/>
      <c r="H423" s="172">
        <v>3</v>
      </c>
      <c r="I423" s="181">
        <v>3</v>
      </c>
      <c r="J423" s="181"/>
      <c r="K423" s="181"/>
      <c r="L423" s="181">
        <v>3</v>
      </c>
      <c r="M423" s="181">
        <v>3</v>
      </c>
      <c r="N423" s="181"/>
      <c r="O423" s="181"/>
      <c r="P423" s="181">
        <v>3</v>
      </c>
      <c r="Q423" s="181">
        <v>3</v>
      </c>
      <c r="R423" s="181"/>
      <c r="S423" s="181"/>
      <c r="T423" s="181">
        <v>3</v>
      </c>
      <c r="U423" s="181">
        <v>3</v>
      </c>
      <c r="V423" s="181"/>
      <c r="W423" s="181"/>
      <c r="X423" s="137" t="s">
        <v>184</v>
      </c>
      <c r="Y423" s="155" t="str">
        <f>DB!$D$113</f>
        <v>HP Genuine Ink Refill - (GT52) Yellow</v>
      </c>
      <c r="Z423" s="154"/>
      <c r="AA423" s="149"/>
      <c r="AB423" s="136"/>
      <c r="AC423" s="139"/>
      <c r="AD423" s="139"/>
      <c r="AE423" s="139"/>
      <c r="AF423" s="139"/>
    </row>
    <row r="424" spans="1:32" ht="25.5">
      <c r="A424" s="136" t="e">
        <f ca="1"/>
        <v>#NAME?</v>
      </c>
      <c r="B424" s="180" t="s">
        <v>811</v>
      </c>
      <c r="C424" s="181">
        <v>24</v>
      </c>
      <c r="D424" s="181" t="s">
        <v>103</v>
      </c>
      <c r="E424" s="187"/>
      <c r="F424" s="185"/>
      <c r="G424" s="186"/>
      <c r="H424" s="172">
        <v>6</v>
      </c>
      <c r="I424" s="181">
        <v>6</v>
      </c>
      <c r="J424" s="181"/>
      <c r="K424" s="181"/>
      <c r="L424" s="181">
        <v>6</v>
      </c>
      <c r="M424" s="181">
        <v>6</v>
      </c>
      <c r="N424" s="181"/>
      <c r="O424" s="181"/>
      <c r="P424" s="181">
        <v>6</v>
      </c>
      <c r="Q424" s="181">
        <v>6</v>
      </c>
      <c r="R424" s="181"/>
      <c r="S424" s="181"/>
      <c r="T424" s="181">
        <v>6</v>
      </c>
      <c r="U424" s="181">
        <v>6</v>
      </c>
      <c r="V424" s="181"/>
      <c r="W424" s="181"/>
      <c r="X424" s="137" t="s">
        <v>184</v>
      </c>
      <c r="Y424" s="155" t="str">
        <f>DB!$D$245</f>
        <v>Toner Cartridge for the existing ECOSYS M4125IDN</v>
      </c>
      <c r="Z424" s="163"/>
      <c r="AA424" s="149"/>
      <c r="AB424" s="136"/>
      <c r="AC424" s="139"/>
      <c r="AD424" s="139"/>
      <c r="AE424" s="139"/>
      <c r="AF424" s="139"/>
    </row>
    <row r="425" spans="1:32" ht="25.5">
      <c r="A425" s="136" t="e">
        <f ca="1"/>
        <v>#NAME?</v>
      </c>
      <c r="B425" s="180" t="s">
        <v>812</v>
      </c>
      <c r="C425" s="181">
        <v>6</v>
      </c>
      <c r="D425" s="181" t="s">
        <v>103</v>
      </c>
      <c r="E425" s="187"/>
      <c r="F425" s="187"/>
      <c r="G425" s="186"/>
      <c r="H425" s="172">
        <v>2</v>
      </c>
      <c r="I425" s="181">
        <v>2</v>
      </c>
      <c r="J425" s="181"/>
      <c r="K425" s="181"/>
      <c r="L425" s="181">
        <v>1</v>
      </c>
      <c r="M425" s="181">
        <v>1</v>
      </c>
      <c r="N425" s="181"/>
      <c r="O425" s="181"/>
      <c r="P425" s="181">
        <v>1</v>
      </c>
      <c r="Q425" s="181">
        <v>1</v>
      </c>
      <c r="R425" s="181"/>
      <c r="S425" s="181"/>
      <c r="T425" s="181">
        <v>2</v>
      </c>
      <c r="U425" s="181">
        <v>2</v>
      </c>
      <c r="V425" s="181"/>
      <c r="W425" s="181"/>
      <c r="X425" s="137" t="s">
        <v>184</v>
      </c>
      <c r="Y425" s="155" t="str">
        <f>DB!$D$256</f>
        <v>Maintenance Kit for the existing ECOSYS M4125IDN</v>
      </c>
      <c r="Z425" s="163"/>
      <c r="AA425" s="149"/>
      <c r="AB425" s="136"/>
      <c r="AC425" s="139"/>
      <c r="AD425" s="139"/>
      <c r="AE425" s="139"/>
      <c r="AF425" s="139"/>
    </row>
    <row r="426" spans="1:32" ht="25.5">
      <c r="A426" s="136" t="e">
        <f ca="1"/>
        <v>#NAME?</v>
      </c>
      <c r="B426" s="180" t="s">
        <v>813</v>
      </c>
      <c r="C426" s="181">
        <v>24</v>
      </c>
      <c r="D426" s="181" t="s">
        <v>103</v>
      </c>
      <c r="E426" s="182"/>
      <c r="F426" s="182"/>
      <c r="G426" s="186"/>
      <c r="H426" s="172">
        <v>6</v>
      </c>
      <c r="I426" s="181">
        <v>6</v>
      </c>
      <c r="J426" s="181"/>
      <c r="K426" s="181"/>
      <c r="L426" s="181">
        <v>6</v>
      </c>
      <c r="M426" s="181">
        <v>6</v>
      </c>
      <c r="N426" s="181"/>
      <c r="O426" s="181"/>
      <c r="P426" s="181">
        <v>6</v>
      </c>
      <c r="Q426" s="181">
        <v>6</v>
      </c>
      <c r="R426" s="181"/>
      <c r="S426" s="181"/>
      <c r="T426" s="181">
        <v>6</v>
      </c>
      <c r="U426" s="181">
        <v>6</v>
      </c>
      <c r="V426" s="181"/>
      <c r="W426" s="181"/>
      <c r="X426" s="137" t="s">
        <v>184</v>
      </c>
      <c r="Y426" s="155" t="str">
        <f>DB!$D$270</f>
        <v>Toner Cartridge for the existing Canon Imageclass MF543x</v>
      </c>
      <c r="Z426" s="154"/>
      <c r="AA426" s="149"/>
      <c r="AB426" s="136"/>
      <c r="AC426" s="139"/>
      <c r="AD426" s="139"/>
      <c r="AE426" s="139"/>
      <c r="AF426" s="139"/>
    </row>
    <row r="427" spans="1:32" ht="25.5">
      <c r="A427" s="136" t="e">
        <f ca="1"/>
        <v>#NAME?</v>
      </c>
      <c r="B427" s="180" t="s">
        <v>814</v>
      </c>
      <c r="C427" s="181">
        <v>24</v>
      </c>
      <c r="D427" s="181" t="s">
        <v>103</v>
      </c>
      <c r="E427" s="149"/>
      <c r="F427" s="149"/>
      <c r="G427" s="154"/>
      <c r="H427" s="172">
        <v>6</v>
      </c>
      <c r="I427" s="181">
        <v>6</v>
      </c>
      <c r="J427" s="181"/>
      <c r="K427" s="181"/>
      <c r="L427" s="181">
        <v>6</v>
      </c>
      <c r="M427" s="181">
        <v>6</v>
      </c>
      <c r="N427" s="181"/>
      <c r="O427" s="181"/>
      <c r="P427" s="181">
        <v>6</v>
      </c>
      <c r="Q427" s="181">
        <v>6</v>
      </c>
      <c r="R427" s="181"/>
      <c r="S427" s="181"/>
      <c r="T427" s="181">
        <v>6</v>
      </c>
      <c r="U427" s="181">
        <v>6</v>
      </c>
      <c r="V427" s="181"/>
      <c r="W427" s="181"/>
      <c r="X427" s="137" t="s">
        <v>184</v>
      </c>
      <c r="Y427" s="155" t="str">
        <f>DB!$D$271</f>
        <v>Toner Cartridge for the existing Brother DCP L2540DW</v>
      </c>
      <c r="Z427" s="154"/>
      <c r="AA427" s="149"/>
      <c r="AB427" s="136"/>
      <c r="AC427" s="139"/>
      <c r="AD427" s="139"/>
      <c r="AE427" s="139"/>
      <c r="AF427" s="139"/>
    </row>
    <row r="428" spans="1:32" ht="12.75">
      <c r="A428" s="136" t="e">
        <f ca="1"/>
        <v>#NAME?</v>
      </c>
      <c r="B428" s="188" t="s">
        <v>239</v>
      </c>
      <c r="C428" s="189">
        <v>1</v>
      </c>
      <c r="D428" s="151" t="s">
        <v>103</v>
      </c>
      <c r="E428" s="185"/>
      <c r="F428" s="185"/>
      <c r="G428" s="186"/>
      <c r="H428" s="151">
        <v>1</v>
      </c>
      <c r="I428" s="190"/>
      <c r="J428" s="191"/>
      <c r="K428" s="191"/>
      <c r="L428" s="185"/>
      <c r="M428" s="190"/>
      <c r="N428" s="191"/>
      <c r="O428" s="191"/>
      <c r="P428" s="185"/>
      <c r="Q428" s="190"/>
      <c r="R428" s="191"/>
      <c r="S428" s="191"/>
      <c r="T428" s="185"/>
      <c r="U428" s="178"/>
      <c r="V428" s="178"/>
      <c r="W428" s="178"/>
      <c r="X428" s="137" t="s">
        <v>115</v>
      </c>
      <c r="Y428" s="141" t="str">
        <f>DB!$D$169</f>
        <v>Mouse, Optical, USB 2.0</v>
      </c>
      <c r="Z428" s="154"/>
      <c r="AA428" s="149"/>
      <c r="AB428" s="136"/>
      <c r="AC428" s="139"/>
      <c r="AD428" s="139"/>
      <c r="AE428" s="139"/>
      <c r="AF428" s="139"/>
    </row>
    <row r="429" spans="1:32" ht="12.75">
      <c r="A429" s="136" t="e">
        <f ca="1"/>
        <v>#NAME?</v>
      </c>
      <c r="B429" s="192" t="s">
        <v>599</v>
      </c>
      <c r="C429" s="189">
        <v>1</v>
      </c>
      <c r="D429" s="189" t="s">
        <v>103</v>
      </c>
      <c r="E429" s="187"/>
      <c r="F429" s="187"/>
      <c r="G429" s="186"/>
      <c r="H429" s="189">
        <v>1</v>
      </c>
      <c r="I429" s="190"/>
      <c r="J429" s="191"/>
      <c r="K429" s="191"/>
      <c r="L429" s="185"/>
      <c r="M429" s="190"/>
      <c r="N429" s="191"/>
      <c r="O429" s="191"/>
      <c r="P429" s="185"/>
      <c r="Q429" s="190"/>
      <c r="R429" s="191"/>
      <c r="S429" s="191"/>
      <c r="T429" s="185"/>
      <c r="U429" s="178"/>
      <c r="V429" s="178"/>
      <c r="W429" s="178"/>
      <c r="X429" s="137" t="s">
        <v>115</v>
      </c>
      <c r="Y429" s="155" t="str">
        <f>DB!$D$79</f>
        <v>32GB Flash Drive</v>
      </c>
      <c r="Z429" s="154"/>
      <c r="AA429" s="149"/>
      <c r="AB429" s="136"/>
      <c r="AC429" s="139"/>
      <c r="AD429" s="139"/>
      <c r="AE429" s="139"/>
      <c r="AF429" s="139"/>
    </row>
    <row r="430" spans="1:32" ht="12.75">
      <c r="A430" s="136" t="e">
        <f ca="1"/>
        <v>#NAME?</v>
      </c>
      <c r="B430" s="192" t="s">
        <v>815</v>
      </c>
      <c r="C430" s="189">
        <v>1</v>
      </c>
      <c r="D430" s="189" t="s">
        <v>773</v>
      </c>
      <c r="E430" s="187"/>
      <c r="F430" s="187"/>
      <c r="G430" s="186"/>
      <c r="H430" s="189">
        <v>1</v>
      </c>
      <c r="I430" s="190"/>
      <c r="J430" s="191"/>
      <c r="K430" s="191"/>
      <c r="L430" s="185"/>
      <c r="M430" s="190"/>
      <c r="N430" s="191"/>
      <c r="O430" s="191"/>
      <c r="P430" s="185"/>
      <c r="Q430" s="190"/>
      <c r="R430" s="191"/>
      <c r="S430" s="191"/>
      <c r="T430" s="185"/>
      <c r="U430" s="178"/>
      <c r="V430" s="178"/>
      <c r="W430" s="178"/>
      <c r="X430" s="137" t="s">
        <v>115</v>
      </c>
      <c r="Y430" s="163"/>
      <c r="Z430" s="154" t="s">
        <v>453</v>
      </c>
      <c r="AA430" s="149"/>
      <c r="AB430" s="136"/>
      <c r="AC430" s="139"/>
      <c r="AD430" s="139"/>
      <c r="AE430" s="139"/>
      <c r="AF430" s="139"/>
    </row>
    <row r="431" spans="1:32" ht="12.75">
      <c r="A431" s="136" t="e">
        <f ca="1"/>
        <v>#NAME?</v>
      </c>
      <c r="B431" s="192" t="s">
        <v>816</v>
      </c>
      <c r="C431" s="189">
        <v>1</v>
      </c>
      <c r="D431" s="189" t="s">
        <v>103</v>
      </c>
      <c r="E431" s="187"/>
      <c r="F431" s="187"/>
      <c r="G431" s="186"/>
      <c r="H431" s="189">
        <v>1</v>
      </c>
      <c r="I431" s="190"/>
      <c r="J431" s="191"/>
      <c r="K431" s="191"/>
      <c r="L431" s="185"/>
      <c r="M431" s="190"/>
      <c r="N431" s="191"/>
      <c r="O431" s="191"/>
      <c r="P431" s="185"/>
      <c r="Q431" s="190"/>
      <c r="R431" s="191"/>
      <c r="S431" s="191"/>
      <c r="T431" s="185"/>
      <c r="U431" s="178"/>
      <c r="V431" s="178"/>
      <c r="W431" s="178"/>
      <c r="X431" s="137" t="s">
        <v>115</v>
      </c>
      <c r="Y431" s="163" t="str">
        <f>DB!$D$6</f>
        <v>UPS 650VA, AVR, 230V</v>
      </c>
      <c r="Z431" s="154"/>
      <c r="AA431" s="149"/>
      <c r="AB431" s="136"/>
      <c r="AC431" s="139"/>
      <c r="AD431" s="139"/>
      <c r="AE431" s="139"/>
      <c r="AF431" s="139"/>
    </row>
    <row r="432" spans="1:32" ht="12.75">
      <c r="A432" s="136" t="e">
        <f ca="1"/>
        <v>#NAME?</v>
      </c>
      <c r="B432" s="192" t="s">
        <v>817</v>
      </c>
      <c r="C432" s="189">
        <v>1</v>
      </c>
      <c r="D432" s="189" t="s">
        <v>118</v>
      </c>
      <c r="E432" s="187"/>
      <c r="F432" s="185"/>
      <c r="G432" s="186"/>
      <c r="H432" s="189">
        <v>1</v>
      </c>
      <c r="I432" s="190"/>
      <c r="J432" s="191"/>
      <c r="K432" s="191"/>
      <c r="L432" s="185"/>
      <c r="M432" s="190"/>
      <c r="N432" s="191"/>
      <c r="O432" s="191"/>
      <c r="P432" s="185"/>
      <c r="Q432" s="190"/>
      <c r="R432" s="191"/>
      <c r="S432" s="191"/>
      <c r="T432" s="185"/>
      <c r="U432" s="178"/>
      <c r="V432" s="178"/>
      <c r="W432" s="178"/>
      <c r="X432" s="137" t="s">
        <v>115</v>
      </c>
      <c r="Y432" s="163" t="str">
        <f>DB!$D$37</f>
        <v>Single Line Telephone (Black)</v>
      </c>
      <c r="Z432" s="154"/>
      <c r="AA432" s="149"/>
      <c r="AB432" s="136"/>
      <c r="AC432" s="139"/>
      <c r="AD432" s="139"/>
      <c r="AE432" s="139"/>
      <c r="AF432" s="139"/>
    </row>
    <row r="433" spans="1:32" ht="12.75">
      <c r="A433" s="136" t="e">
        <f ca="1"/>
        <v>#NAME?</v>
      </c>
      <c r="B433" s="192" t="s">
        <v>467</v>
      </c>
      <c r="C433" s="189">
        <v>1</v>
      </c>
      <c r="D433" s="189" t="s">
        <v>118</v>
      </c>
      <c r="E433" s="187"/>
      <c r="F433" s="187"/>
      <c r="G433" s="186"/>
      <c r="H433" s="189">
        <v>1</v>
      </c>
      <c r="I433" s="193"/>
      <c r="J433" s="194"/>
      <c r="K433" s="191"/>
      <c r="L433" s="185"/>
      <c r="M433" s="190"/>
      <c r="N433" s="191"/>
      <c r="O433" s="191"/>
      <c r="P433" s="185"/>
      <c r="Q433" s="190"/>
      <c r="R433" s="191"/>
      <c r="S433" s="191"/>
      <c r="T433" s="185"/>
      <c r="U433" s="178"/>
      <c r="V433" s="178"/>
      <c r="W433" s="178"/>
      <c r="X433" s="137" t="s">
        <v>115</v>
      </c>
      <c r="Y433" s="141" t="str">
        <f>DB!$D$194</f>
        <v>Branded Desktop Computer Set</v>
      </c>
      <c r="Z433" s="154"/>
      <c r="AA433" s="149"/>
      <c r="AB433" s="136"/>
      <c r="AC433" s="139"/>
      <c r="AD433" s="139"/>
      <c r="AE433" s="139"/>
      <c r="AF433" s="139"/>
    </row>
    <row r="434" spans="1:32" ht="12.75">
      <c r="A434" s="136" t="e">
        <f ca="1"/>
        <v>#NAME?</v>
      </c>
      <c r="B434" s="192" t="s">
        <v>482</v>
      </c>
      <c r="C434" s="189">
        <v>1</v>
      </c>
      <c r="D434" s="189" t="s">
        <v>103</v>
      </c>
      <c r="E434" s="182"/>
      <c r="F434" s="182"/>
      <c r="G434" s="186"/>
      <c r="H434" s="189">
        <v>1</v>
      </c>
      <c r="I434" s="183"/>
      <c r="J434" s="183"/>
      <c r="K434" s="190"/>
      <c r="L434" s="185"/>
      <c r="M434" s="190"/>
      <c r="N434" s="191"/>
      <c r="O434" s="191"/>
      <c r="P434" s="185"/>
      <c r="Q434" s="190"/>
      <c r="R434" s="191"/>
      <c r="S434" s="191"/>
      <c r="T434" s="185"/>
      <c r="U434" s="178"/>
      <c r="V434" s="178"/>
      <c r="W434" s="178"/>
      <c r="X434" s="137" t="s">
        <v>115</v>
      </c>
      <c r="Y434" s="155" t="str">
        <f>DB!$D$276</f>
        <v>Ink Tank Printer</v>
      </c>
      <c r="Z434" s="154" t="s">
        <v>469</v>
      </c>
      <c r="AA434" s="149"/>
      <c r="AB434" s="136"/>
      <c r="AC434" s="139"/>
      <c r="AD434" s="139"/>
      <c r="AE434" s="139"/>
      <c r="AF434" s="139"/>
    </row>
    <row r="435" spans="1:32" ht="12.75">
      <c r="A435" s="136" t="e">
        <f ca="1"/>
        <v>#NAME?</v>
      </c>
      <c r="B435" s="192" t="s">
        <v>239</v>
      </c>
      <c r="C435" s="189">
        <v>1</v>
      </c>
      <c r="D435" s="189" t="s">
        <v>103</v>
      </c>
      <c r="E435" s="185"/>
      <c r="F435" s="183"/>
      <c r="G435" s="183"/>
      <c r="H435" s="189">
        <v>1</v>
      </c>
      <c r="I435" s="190"/>
      <c r="J435" s="191"/>
      <c r="K435" s="191"/>
      <c r="L435" s="149"/>
      <c r="M435" s="191"/>
      <c r="N435" s="191"/>
      <c r="O435" s="191"/>
      <c r="P435" s="149"/>
      <c r="Q435" s="191"/>
      <c r="R435" s="191"/>
      <c r="S435" s="191"/>
      <c r="T435" s="149"/>
      <c r="U435" s="185"/>
      <c r="V435" s="178"/>
      <c r="W435" s="178"/>
      <c r="X435" s="137" t="s">
        <v>115</v>
      </c>
      <c r="Y435" s="141" t="str">
        <f>DB!$D$169</f>
        <v>Mouse, Optical, USB 2.0</v>
      </c>
      <c r="Z435" s="154"/>
      <c r="AA435" s="149"/>
      <c r="AB435" s="136"/>
      <c r="AC435" s="139"/>
      <c r="AD435" s="139"/>
      <c r="AE435" s="139"/>
      <c r="AF435" s="139"/>
    </row>
    <row r="436" spans="1:32" ht="12.75">
      <c r="A436" s="136" t="e">
        <f ca="1"/>
        <v>#NAME?</v>
      </c>
      <c r="B436" s="192" t="s">
        <v>234</v>
      </c>
      <c r="C436" s="189">
        <v>1</v>
      </c>
      <c r="D436" s="189" t="s">
        <v>103</v>
      </c>
      <c r="E436" s="185"/>
      <c r="F436" s="178"/>
      <c r="G436" s="178"/>
      <c r="H436" s="189">
        <v>1</v>
      </c>
      <c r="I436" s="190"/>
      <c r="J436" s="191"/>
      <c r="K436" s="191"/>
      <c r="L436" s="185"/>
      <c r="M436" s="191"/>
      <c r="N436" s="191"/>
      <c r="O436" s="191"/>
      <c r="P436" s="185"/>
      <c r="Q436" s="191"/>
      <c r="R436" s="191"/>
      <c r="S436" s="191"/>
      <c r="T436" s="185"/>
      <c r="U436" s="185"/>
      <c r="V436" s="178"/>
      <c r="W436" s="178"/>
      <c r="X436" s="137" t="s">
        <v>115</v>
      </c>
      <c r="Y436" s="141" t="str">
        <f>DB!$D$168</f>
        <v>Keyboard, Full Size, USB 2.0</v>
      </c>
      <c r="Z436" s="154"/>
      <c r="AA436" s="149"/>
      <c r="AB436" s="136"/>
      <c r="AC436" s="139"/>
      <c r="AD436" s="139"/>
      <c r="AE436" s="139"/>
      <c r="AF436" s="139"/>
    </row>
    <row r="437" spans="1:32" ht="12.75">
      <c r="A437" s="136" t="e">
        <f ca="1"/>
        <v>#NAME?</v>
      </c>
      <c r="B437" s="192" t="s">
        <v>182</v>
      </c>
      <c r="C437" s="189">
        <v>1</v>
      </c>
      <c r="D437" s="189" t="s">
        <v>118</v>
      </c>
      <c r="E437" s="185"/>
      <c r="F437" s="178"/>
      <c r="G437" s="178"/>
      <c r="H437" s="189">
        <v>1</v>
      </c>
      <c r="I437" s="190"/>
      <c r="J437" s="191"/>
      <c r="K437" s="191"/>
      <c r="L437" s="185"/>
      <c r="M437" s="191"/>
      <c r="N437" s="191"/>
      <c r="O437" s="191"/>
      <c r="P437" s="185"/>
      <c r="Q437" s="191"/>
      <c r="R437" s="191"/>
      <c r="S437" s="191"/>
      <c r="T437" s="185"/>
      <c r="U437" s="185"/>
      <c r="V437" s="178"/>
      <c r="W437" s="178"/>
      <c r="X437" s="137" t="s">
        <v>115</v>
      </c>
      <c r="Y437" s="155" t="str">
        <f>DB!$D$195</f>
        <v>Branded Laptop</v>
      </c>
      <c r="Z437" s="152"/>
      <c r="AA437" s="149"/>
      <c r="AB437" s="136"/>
      <c r="AC437" s="139"/>
      <c r="AD437" s="139"/>
      <c r="AE437" s="139"/>
      <c r="AF437" s="139"/>
    </row>
    <row r="438" spans="1:32" ht="12.75">
      <c r="A438" s="136" t="e">
        <f ca="1"/>
        <v>#NAME?</v>
      </c>
      <c r="B438" s="192" t="s">
        <v>818</v>
      </c>
      <c r="C438" s="189">
        <v>1</v>
      </c>
      <c r="D438" s="189" t="s">
        <v>103</v>
      </c>
      <c r="E438" s="185"/>
      <c r="F438" s="178"/>
      <c r="G438" s="178"/>
      <c r="H438" s="189">
        <v>1</v>
      </c>
      <c r="I438" s="190"/>
      <c r="J438" s="191"/>
      <c r="K438" s="191"/>
      <c r="L438" s="185"/>
      <c r="M438" s="191"/>
      <c r="N438" s="191"/>
      <c r="O438" s="191"/>
      <c r="P438" s="185"/>
      <c r="Q438" s="191"/>
      <c r="R438" s="191"/>
      <c r="S438" s="191"/>
      <c r="T438" s="185"/>
      <c r="U438" s="185"/>
      <c r="V438" s="178"/>
      <c r="W438" s="178"/>
      <c r="X438" s="137" t="s">
        <v>115</v>
      </c>
      <c r="Y438" s="155" t="str">
        <f>DB!$D$88</f>
        <v>Projector</v>
      </c>
      <c r="Z438" s="152"/>
      <c r="AA438" s="149"/>
      <c r="AB438" s="136"/>
      <c r="AC438" s="139"/>
      <c r="AD438" s="139"/>
      <c r="AE438" s="139"/>
      <c r="AF438" s="139"/>
    </row>
    <row r="439" spans="1:32" ht="25.5">
      <c r="A439" s="136" t="e">
        <f ca="1"/>
        <v>#NAME?</v>
      </c>
      <c r="B439" s="192" t="s">
        <v>819</v>
      </c>
      <c r="C439" s="189">
        <v>1</v>
      </c>
      <c r="D439" s="189" t="s">
        <v>103</v>
      </c>
      <c r="E439" s="149"/>
      <c r="F439" s="149"/>
      <c r="G439" s="154"/>
      <c r="H439" s="189">
        <v>1</v>
      </c>
      <c r="I439" s="190"/>
      <c r="J439" s="191"/>
      <c r="K439" s="191"/>
      <c r="L439" s="149"/>
      <c r="M439" s="190"/>
      <c r="N439" s="191"/>
      <c r="O439" s="191"/>
      <c r="P439" s="149"/>
      <c r="Q439" s="190"/>
      <c r="R439" s="191"/>
      <c r="S439" s="191"/>
      <c r="T439" s="149"/>
      <c r="U439" s="183"/>
      <c r="V439" s="183"/>
      <c r="W439" s="183"/>
      <c r="X439" s="137" t="s">
        <v>115</v>
      </c>
      <c r="Y439" s="155" t="str">
        <f>DB!$D$74</f>
        <v>1TB Slim Portable Hard Drive External HDD</v>
      </c>
      <c r="Z439" s="154"/>
      <c r="AA439" s="149"/>
      <c r="AB439" s="136"/>
      <c r="AC439" s="139"/>
      <c r="AD439" s="139"/>
      <c r="AE439" s="139"/>
      <c r="AF439" s="139"/>
    </row>
    <row r="440" spans="1:32" ht="25.5">
      <c r="A440" s="136" t="e">
        <f ca="1"/>
        <v>#NAME?</v>
      </c>
      <c r="B440" s="192" t="s">
        <v>820</v>
      </c>
      <c r="C440" s="189">
        <v>1</v>
      </c>
      <c r="D440" s="189" t="s">
        <v>103</v>
      </c>
      <c r="E440" s="185"/>
      <c r="F440" s="185"/>
      <c r="G440" s="186"/>
      <c r="H440" s="189">
        <v>1</v>
      </c>
      <c r="I440" s="190"/>
      <c r="J440" s="191"/>
      <c r="K440" s="191"/>
      <c r="L440" s="185"/>
      <c r="M440" s="190"/>
      <c r="N440" s="191"/>
      <c r="O440" s="191"/>
      <c r="P440" s="185"/>
      <c r="Q440" s="190"/>
      <c r="R440" s="191"/>
      <c r="S440" s="191"/>
      <c r="T440" s="185"/>
      <c r="U440" s="178"/>
      <c r="V440" s="178"/>
      <c r="W440" s="178"/>
      <c r="X440" s="137" t="s">
        <v>115</v>
      </c>
      <c r="Y440" s="155" t="str">
        <f>DB!$D$87</f>
        <v>Stereo Digital Voice Recorder with Built-in USB</v>
      </c>
      <c r="Z440" s="154"/>
      <c r="AA440" s="149"/>
      <c r="AB440" s="136"/>
      <c r="AC440" s="139"/>
      <c r="AD440" s="139"/>
      <c r="AE440" s="139"/>
      <c r="AF440" s="139"/>
    </row>
    <row r="441" spans="1:32" ht="25.5">
      <c r="A441" s="136" t="e">
        <f ca="1"/>
        <v>#NAME?</v>
      </c>
      <c r="B441" s="192" t="s">
        <v>821</v>
      </c>
      <c r="C441" s="189">
        <v>1</v>
      </c>
      <c r="D441" s="189" t="s">
        <v>103</v>
      </c>
      <c r="E441" s="187"/>
      <c r="F441" s="187"/>
      <c r="G441" s="186"/>
      <c r="H441" s="189">
        <v>1</v>
      </c>
      <c r="I441" s="190"/>
      <c r="J441" s="191"/>
      <c r="K441" s="191"/>
      <c r="L441" s="185"/>
      <c r="M441" s="190"/>
      <c r="N441" s="191"/>
      <c r="O441" s="191"/>
      <c r="P441" s="185"/>
      <c r="Q441" s="190"/>
      <c r="R441" s="191"/>
      <c r="S441" s="191"/>
      <c r="T441" s="185"/>
      <c r="U441" s="178"/>
      <c r="V441" s="178"/>
      <c r="W441" s="178"/>
      <c r="X441" s="137" t="s">
        <v>115</v>
      </c>
      <c r="Y441" s="155" t="str">
        <f>DB!$D$90</f>
        <v>Professional Presenter Wireless Presentation Clicker Remote</v>
      </c>
      <c r="Z441" s="154"/>
      <c r="AA441" s="149"/>
      <c r="AB441" s="136"/>
      <c r="AC441" s="139"/>
      <c r="AD441" s="139"/>
      <c r="AE441" s="139"/>
      <c r="AF441" s="139"/>
    </row>
    <row r="442" spans="1:32" ht="12.75">
      <c r="A442" s="136" t="e">
        <f ca="1"/>
        <v>#NAME?</v>
      </c>
      <c r="B442" s="192" t="s">
        <v>822</v>
      </c>
      <c r="C442" s="189">
        <v>1</v>
      </c>
      <c r="D442" s="189" t="s">
        <v>773</v>
      </c>
      <c r="E442" s="187"/>
      <c r="F442" s="185"/>
      <c r="G442" s="186"/>
      <c r="H442" s="189">
        <v>1</v>
      </c>
      <c r="I442" s="190"/>
      <c r="J442" s="191"/>
      <c r="K442" s="191"/>
      <c r="L442" s="185"/>
      <c r="M442" s="190"/>
      <c r="N442" s="191"/>
      <c r="O442" s="191"/>
      <c r="P442" s="185"/>
      <c r="Q442" s="190"/>
      <c r="R442" s="191"/>
      <c r="S442" s="191"/>
      <c r="T442" s="185"/>
      <c r="U442" s="178"/>
      <c r="V442" s="178"/>
      <c r="W442" s="178"/>
      <c r="X442" s="137" t="s">
        <v>115</v>
      </c>
      <c r="Y442" s="163"/>
      <c r="Z442" s="154" t="s">
        <v>453</v>
      </c>
      <c r="AA442" s="149"/>
      <c r="AB442" s="136"/>
      <c r="AC442" s="139"/>
      <c r="AD442" s="139"/>
      <c r="AE442" s="139"/>
      <c r="AF442" s="139"/>
    </row>
    <row r="443" spans="1:32" ht="25.5">
      <c r="A443" s="136" t="e">
        <f ca="1"/>
        <v>#NAME?</v>
      </c>
      <c r="B443" s="192" t="s">
        <v>823</v>
      </c>
      <c r="C443" s="189">
        <v>1</v>
      </c>
      <c r="D443" s="189" t="s">
        <v>103</v>
      </c>
      <c r="E443" s="187"/>
      <c r="F443" s="187"/>
      <c r="G443" s="186"/>
      <c r="H443" s="189">
        <v>1</v>
      </c>
      <c r="I443" s="190"/>
      <c r="J443" s="191"/>
      <c r="K443" s="191"/>
      <c r="L443" s="185"/>
      <c r="M443" s="190"/>
      <c r="N443" s="191"/>
      <c r="O443" s="191"/>
      <c r="P443" s="185"/>
      <c r="Q443" s="190"/>
      <c r="R443" s="191"/>
      <c r="S443" s="191"/>
      <c r="T443" s="185"/>
      <c r="U443" s="178"/>
      <c r="V443" s="178"/>
      <c r="W443" s="178"/>
      <c r="X443" s="137" t="s">
        <v>115</v>
      </c>
      <c r="Y443" s="163" t="str">
        <f>DB!$D$167</f>
        <v>A3 Black &amp; White MULTI-FUNCTIONAL
HEAVY-DUTY DIGITAL COPIER</v>
      </c>
      <c r="Z443" s="154"/>
      <c r="AA443" s="149"/>
      <c r="AB443" s="136"/>
      <c r="AC443" s="139"/>
      <c r="AD443" s="139"/>
      <c r="AE443" s="139"/>
      <c r="AF443" s="139"/>
    </row>
    <row r="444" spans="1:32" ht="12.75">
      <c r="A444" s="136" t="e">
        <f ca="1"/>
        <v>#NAME?</v>
      </c>
      <c r="B444" s="188" t="s">
        <v>547</v>
      </c>
      <c r="C444" s="151">
        <v>48</v>
      </c>
      <c r="D444" s="151" t="s">
        <v>103</v>
      </c>
      <c r="E444" s="187"/>
      <c r="F444" s="185"/>
      <c r="G444" s="186"/>
      <c r="H444" s="151">
        <v>12</v>
      </c>
      <c r="I444" s="190"/>
      <c r="J444" s="191"/>
      <c r="K444" s="191"/>
      <c r="L444" s="151">
        <v>12</v>
      </c>
      <c r="M444" s="190"/>
      <c r="N444" s="191"/>
      <c r="O444" s="191"/>
      <c r="P444" s="151">
        <v>12</v>
      </c>
      <c r="Q444" s="190"/>
      <c r="R444" s="191"/>
      <c r="S444" s="191"/>
      <c r="T444" s="151">
        <v>12</v>
      </c>
      <c r="U444" s="178"/>
      <c r="V444" s="178"/>
      <c r="W444" s="178"/>
      <c r="X444" s="137" t="s">
        <v>115</v>
      </c>
      <c r="Y444" s="155" t="str">
        <f>DB!$D$110</f>
        <v>HP Genuine Ink Refill - (GT53) Black</v>
      </c>
      <c r="Z444" s="154"/>
      <c r="AA444" s="149"/>
      <c r="AB444" s="136"/>
      <c r="AC444" s="139"/>
      <c r="AD444" s="139"/>
      <c r="AE444" s="139"/>
      <c r="AF444" s="139"/>
    </row>
    <row r="445" spans="1:32" ht="12.75">
      <c r="A445" s="136" t="e">
        <f ca="1"/>
        <v>#NAME?</v>
      </c>
      <c r="B445" s="192" t="s">
        <v>548</v>
      </c>
      <c r="C445" s="189">
        <v>48</v>
      </c>
      <c r="D445" s="189" t="s">
        <v>103</v>
      </c>
      <c r="E445" s="187"/>
      <c r="F445" s="187"/>
      <c r="G445" s="186"/>
      <c r="H445" s="189">
        <v>12</v>
      </c>
      <c r="I445" s="190"/>
      <c r="J445" s="191"/>
      <c r="K445" s="191"/>
      <c r="L445" s="189">
        <v>12</v>
      </c>
      <c r="M445" s="190"/>
      <c r="N445" s="191"/>
      <c r="O445" s="191"/>
      <c r="P445" s="189">
        <v>12</v>
      </c>
      <c r="Q445" s="190"/>
      <c r="R445" s="191"/>
      <c r="S445" s="191"/>
      <c r="T445" s="189">
        <v>12</v>
      </c>
      <c r="U445" s="178"/>
      <c r="V445" s="178"/>
      <c r="W445" s="178"/>
      <c r="X445" s="137" t="s">
        <v>115</v>
      </c>
      <c r="Y445" s="155" t="str">
        <f>DB!$D$111</f>
        <v>HP Genuine Ink Refill - (GT52) Magenta</v>
      </c>
      <c r="Z445" s="154"/>
      <c r="AA445" s="149"/>
      <c r="AB445" s="136"/>
      <c r="AC445" s="139"/>
      <c r="AD445" s="139"/>
      <c r="AE445" s="139"/>
      <c r="AF445" s="139"/>
    </row>
    <row r="446" spans="1:32" ht="12.75">
      <c r="A446" s="136" t="e">
        <f ca="1"/>
        <v>#NAME?</v>
      </c>
      <c r="B446" s="192" t="s">
        <v>549</v>
      </c>
      <c r="C446" s="189">
        <v>48</v>
      </c>
      <c r="D446" s="189" t="s">
        <v>103</v>
      </c>
      <c r="E446" s="178"/>
      <c r="F446" s="183"/>
      <c r="G446" s="149"/>
      <c r="H446" s="189">
        <v>12</v>
      </c>
      <c r="I446" s="183"/>
      <c r="J446" s="183"/>
      <c r="K446" s="183"/>
      <c r="L446" s="189">
        <v>12</v>
      </c>
      <c r="M446" s="183"/>
      <c r="N446" s="183"/>
      <c r="O446" s="183"/>
      <c r="P446" s="189">
        <v>12</v>
      </c>
      <c r="Q446" s="183"/>
      <c r="R446" s="183"/>
      <c r="S446" s="183"/>
      <c r="T446" s="189">
        <v>12</v>
      </c>
      <c r="U446" s="183"/>
      <c r="V446" s="183"/>
      <c r="W446" s="185"/>
      <c r="X446" s="137" t="s">
        <v>115</v>
      </c>
      <c r="Y446" s="155" t="str">
        <f>DB!$D$112</f>
        <v>HP Genuine Ink Refill - (GT52) Cyan</v>
      </c>
      <c r="Z446" s="152"/>
      <c r="AA446" s="149"/>
      <c r="AB446" s="136"/>
      <c r="AC446" s="139"/>
      <c r="AD446" s="139"/>
      <c r="AE446" s="139"/>
      <c r="AF446" s="139"/>
    </row>
    <row r="447" spans="1:32" ht="12.75">
      <c r="A447" s="136" t="e">
        <f ca="1"/>
        <v>#NAME?</v>
      </c>
      <c r="B447" s="192" t="s">
        <v>550</v>
      </c>
      <c r="C447" s="189">
        <v>48</v>
      </c>
      <c r="D447" s="189" t="s">
        <v>103</v>
      </c>
      <c r="E447" s="149"/>
      <c r="F447" s="149"/>
      <c r="G447" s="154"/>
      <c r="H447" s="189">
        <v>12</v>
      </c>
      <c r="I447" s="190"/>
      <c r="J447" s="191"/>
      <c r="K447" s="191"/>
      <c r="L447" s="189">
        <v>12</v>
      </c>
      <c r="M447" s="190"/>
      <c r="N447" s="191"/>
      <c r="O447" s="191"/>
      <c r="P447" s="189">
        <v>12</v>
      </c>
      <c r="Q447" s="190"/>
      <c r="R447" s="191"/>
      <c r="S447" s="191"/>
      <c r="T447" s="189">
        <v>12</v>
      </c>
      <c r="U447" s="183"/>
      <c r="V447" s="183"/>
      <c r="W447" s="183"/>
      <c r="X447" s="137" t="s">
        <v>115</v>
      </c>
      <c r="Y447" s="155" t="str">
        <f>DB!$D$113</f>
        <v>HP Genuine Ink Refill - (GT52) Yellow</v>
      </c>
      <c r="Z447" s="154"/>
      <c r="AA447" s="149"/>
      <c r="AB447" s="136"/>
      <c r="AC447" s="139"/>
      <c r="AD447" s="139"/>
      <c r="AE447" s="139"/>
      <c r="AF447" s="139"/>
    </row>
    <row r="448" spans="1:32" ht="25.5">
      <c r="A448" s="136" t="e">
        <f ca="1"/>
        <v>#NAME?</v>
      </c>
      <c r="B448" s="192" t="s">
        <v>824</v>
      </c>
      <c r="C448" s="189">
        <v>8</v>
      </c>
      <c r="D448" s="189" t="s">
        <v>103</v>
      </c>
      <c r="E448" s="185"/>
      <c r="F448" s="185"/>
      <c r="G448" s="186"/>
      <c r="H448" s="189">
        <v>4</v>
      </c>
      <c r="I448" s="190"/>
      <c r="J448" s="191"/>
      <c r="K448" s="191"/>
      <c r="L448" s="189">
        <v>4</v>
      </c>
      <c r="M448" s="190"/>
      <c r="N448" s="191"/>
      <c r="O448" s="191"/>
      <c r="P448" s="189"/>
      <c r="Q448" s="190"/>
      <c r="R448" s="191"/>
      <c r="S448" s="191"/>
      <c r="T448" s="185"/>
      <c r="U448" s="178"/>
      <c r="V448" s="178"/>
      <c r="W448" s="178"/>
      <c r="X448" s="137" t="s">
        <v>115</v>
      </c>
      <c r="Y448" s="155" t="str">
        <f>DB!$D$244</f>
        <v>Toner Cartridge for the existing FS-6525MFP</v>
      </c>
      <c r="Z448" s="163"/>
      <c r="AA448" s="149"/>
      <c r="AB448" s="136"/>
      <c r="AC448" s="139"/>
      <c r="AD448" s="139"/>
      <c r="AE448" s="139"/>
      <c r="AF448" s="139"/>
    </row>
    <row r="449" spans="1:32" ht="25.5">
      <c r="A449" s="136" t="e">
        <f ca="1"/>
        <v>#NAME?</v>
      </c>
      <c r="B449" s="192" t="s">
        <v>742</v>
      </c>
      <c r="C449" s="189">
        <v>4</v>
      </c>
      <c r="D449" s="189" t="s">
        <v>103</v>
      </c>
      <c r="E449" s="187"/>
      <c r="F449" s="187"/>
      <c r="G449" s="186"/>
      <c r="H449" s="189">
        <v>2</v>
      </c>
      <c r="I449" s="190"/>
      <c r="J449" s="191"/>
      <c r="K449" s="191"/>
      <c r="L449" s="189">
        <v>2</v>
      </c>
      <c r="M449" s="190"/>
      <c r="N449" s="191"/>
      <c r="O449" s="191"/>
      <c r="P449" s="189"/>
      <c r="Q449" s="190"/>
      <c r="R449" s="191"/>
      <c r="S449" s="191"/>
      <c r="T449" s="185"/>
      <c r="U449" s="178"/>
      <c r="V449" s="178"/>
      <c r="W449" s="178"/>
      <c r="X449" s="137" t="s">
        <v>115</v>
      </c>
      <c r="Y449" s="155" t="str">
        <f>DB!$D$254</f>
        <v>Maintenance Kit for the existing FS-6525MFP</v>
      </c>
      <c r="Z449" s="163"/>
      <c r="AA449" s="149"/>
      <c r="AB449" s="136"/>
      <c r="AC449" s="139"/>
      <c r="AD449" s="139"/>
      <c r="AE449" s="139"/>
      <c r="AF449" s="139"/>
    </row>
    <row r="450" spans="1:32" ht="12.75">
      <c r="A450" s="136" t="e">
        <f ca="1"/>
        <v>#NAME?</v>
      </c>
      <c r="B450" s="195" t="s">
        <v>523</v>
      </c>
      <c r="C450" s="151">
        <v>2</v>
      </c>
      <c r="D450" s="189" t="s">
        <v>446</v>
      </c>
      <c r="E450" s="187"/>
      <c r="F450" s="185"/>
      <c r="G450" s="186"/>
      <c r="H450" s="151">
        <v>2</v>
      </c>
      <c r="I450" s="190"/>
      <c r="J450" s="191"/>
      <c r="K450" s="191"/>
      <c r="L450" s="185"/>
      <c r="M450" s="190"/>
      <c r="N450" s="191"/>
      <c r="O450" s="191"/>
      <c r="P450" s="185"/>
      <c r="Q450" s="190"/>
      <c r="R450" s="191"/>
      <c r="S450" s="191"/>
      <c r="T450" s="149"/>
      <c r="U450" s="190"/>
      <c r="V450" s="191"/>
      <c r="W450" s="191"/>
      <c r="X450" s="137" t="s">
        <v>170</v>
      </c>
      <c r="Y450" s="164"/>
      <c r="Z450" s="154" t="s">
        <v>453</v>
      </c>
      <c r="AA450" s="149"/>
      <c r="AB450" s="136"/>
      <c r="AC450" s="139"/>
      <c r="AD450" s="139"/>
      <c r="AE450" s="139"/>
      <c r="AF450" s="139"/>
    </row>
    <row r="451" spans="1:32" ht="12.75">
      <c r="A451" s="136" t="e">
        <f ca="1"/>
        <v>#NAME?</v>
      </c>
      <c r="B451" s="192" t="s">
        <v>654</v>
      </c>
      <c r="C451" s="189">
        <v>1</v>
      </c>
      <c r="D451" s="189" t="s">
        <v>446</v>
      </c>
      <c r="E451" s="187"/>
      <c r="F451" s="187"/>
      <c r="G451" s="186"/>
      <c r="H451" s="189">
        <v>1</v>
      </c>
      <c r="I451" s="190"/>
      <c r="J451" s="191"/>
      <c r="K451" s="191"/>
      <c r="L451" s="185"/>
      <c r="M451" s="190"/>
      <c r="N451" s="191"/>
      <c r="O451" s="191"/>
      <c r="P451" s="185"/>
      <c r="Q451" s="190"/>
      <c r="R451" s="191"/>
      <c r="S451" s="191"/>
      <c r="T451" s="185"/>
      <c r="U451" s="190"/>
      <c r="V451" s="191"/>
      <c r="W451" s="191"/>
      <c r="X451" s="137" t="s">
        <v>170</v>
      </c>
      <c r="Y451" s="141" t="str">
        <f>DB!$D$194</f>
        <v>Branded Desktop Computer Set</v>
      </c>
      <c r="Z451" s="154"/>
      <c r="AA451" s="149"/>
      <c r="AB451" s="136"/>
      <c r="AC451" s="139"/>
      <c r="AD451" s="139"/>
      <c r="AE451" s="139"/>
      <c r="AF451" s="139"/>
    </row>
    <row r="452" spans="1:32" ht="12.75">
      <c r="A452" s="136" t="e">
        <f ca="1"/>
        <v>#NAME?</v>
      </c>
      <c r="B452" s="192" t="s">
        <v>825</v>
      </c>
      <c r="C452" s="189">
        <v>1</v>
      </c>
      <c r="D452" s="189" t="s">
        <v>446</v>
      </c>
      <c r="E452" s="178"/>
      <c r="F452" s="183"/>
      <c r="G452" s="149"/>
      <c r="H452" s="189">
        <v>1</v>
      </c>
      <c r="I452" s="183"/>
      <c r="J452" s="183"/>
      <c r="K452" s="183"/>
      <c r="L452" s="183"/>
      <c r="M452" s="183"/>
      <c r="N452" s="183"/>
      <c r="O452" s="183"/>
      <c r="P452" s="183"/>
      <c r="Q452" s="190"/>
      <c r="R452" s="191"/>
      <c r="S452" s="191"/>
      <c r="T452" s="185"/>
      <c r="U452" s="190"/>
      <c r="V452" s="191"/>
      <c r="W452" s="191"/>
      <c r="X452" s="137" t="s">
        <v>170</v>
      </c>
      <c r="Y452" s="141" t="str">
        <f>DB!$D$76</f>
        <v>Dot Matrix Printer 24-Pin</v>
      </c>
      <c r="Z452" s="154"/>
      <c r="AA452" s="149"/>
      <c r="AB452" s="136"/>
      <c r="AC452" s="139"/>
      <c r="AD452" s="139"/>
      <c r="AE452" s="139"/>
      <c r="AF452" s="139"/>
    </row>
    <row r="453" spans="1:32" ht="12.75">
      <c r="A453" s="136" t="e">
        <f ca="1"/>
        <v>#NAME?</v>
      </c>
      <c r="B453" s="192" t="s">
        <v>826</v>
      </c>
      <c r="C453" s="189">
        <v>8</v>
      </c>
      <c r="D453" s="189" t="s">
        <v>571</v>
      </c>
      <c r="E453" s="149"/>
      <c r="F453" s="149"/>
      <c r="G453" s="154"/>
      <c r="H453" s="189">
        <v>4</v>
      </c>
      <c r="I453" s="190"/>
      <c r="J453" s="191"/>
      <c r="K453" s="191"/>
      <c r="L453" s="149"/>
      <c r="M453" s="190"/>
      <c r="N453" s="191"/>
      <c r="O453" s="191"/>
      <c r="P453" s="151">
        <v>4</v>
      </c>
      <c r="Q453" s="190"/>
      <c r="R453" s="191"/>
      <c r="S453" s="191"/>
      <c r="T453" s="185"/>
      <c r="U453" s="190"/>
      <c r="V453" s="191"/>
      <c r="W453" s="191"/>
      <c r="X453" s="137" t="s">
        <v>170</v>
      </c>
      <c r="Y453" s="155" t="str">
        <f>DB!$D$102</f>
        <v>Epson Genuine Ink T6641 Black</v>
      </c>
      <c r="Z453" s="154"/>
      <c r="AA453" s="149"/>
      <c r="AB453" s="136"/>
      <c r="AC453" s="139"/>
      <c r="AD453" s="139"/>
      <c r="AE453" s="139"/>
      <c r="AF453" s="139"/>
    </row>
    <row r="454" spans="1:32" ht="12.75">
      <c r="A454" s="136" t="e">
        <f ca="1"/>
        <v>#NAME?</v>
      </c>
      <c r="B454" s="192" t="s">
        <v>827</v>
      </c>
      <c r="C454" s="189">
        <v>2</v>
      </c>
      <c r="D454" s="189" t="s">
        <v>571</v>
      </c>
      <c r="E454" s="185"/>
      <c r="F454" s="185"/>
      <c r="G454" s="186"/>
      <c r="H454" s="189">
        <v>1</v>
      </c>
      <c r="I454" s="190"/>
      <c r="J454" s="191"/>
      <c r="K454" s="191"/>
      <c r="L454" s="185"/>
      <c r="M454" s="190"/>
      <c r="N454" s="191"/>
      <c r="O454" s="191"/>
      <c r="P454" s="189">
        <v>1</v>
      </c>
      <c r="Q454" s="190"/>
      <c r="R454" s="191"/>
      <c r="S454" s="191"/>
      <c r="T454" s="149"/>
      <c r="U454" s="183"/>
      <c r="V454" s="183"/>
      <c r="W454" s="183"/>
      <c r="X454" s="137" t="s">
        <v>170</v>
      </c>
      <c r="Y454" s="155" t="str">
        <f>DB!$D$103</f>
        <v>Epson Genuine Ink T6642 Cyan</v>
      </c>
      <c r="Z454" s="154"/>
      <c r="AA454" s="149"/>
      <c r="AB454" s="136"/>
      <c r="AC454" s="139"/>
      <c r="AD454" s="139"/>
      <c r="AE454" s="139"/>
      <c r="AF454" s="139"/>
    </row>
    <row r="455" spans="1:32" ht="12.75">
      <c r="A455" s="136" t="e">
        <f ca="1"/>
        <v>#NAME?</v>
      </c>
      <c r="B455" s="192" t="s">
        <v>828</v>
      </c>
      <c r="C455" s="189">
        <v>2</v>
      </c>
      <c r="D455" s="189" t="s">
        <v>571</v>
      </c>
      <c r="E455" s="187"/>
      <c r="F455" s="187"/>
      <c r="G455" s="186"/>
      <c r="H455" s="189">
        <v>1</v>
      </c>
      <c r="I455" s="190"/>
      <c r="J455" s="191"/>
      <c r="K455" s="191"/>
      <c r="L455" s="185"/>
      <c r="M455" s="190"/>
      <c r="N455" s="191"/>
      <c r="O455" s="191"/>
      <c r="P455" s="189">
        <v>1</v>
      </c>
      <c r="Q455" s="190"/>
      <c r="R455" s="191"/>
      <c r="S455" s="191"/>
      <c r="T455" s="185"/>
      <c r="U455" s="178"/>
      <c r="V455" s="178"/>
      <c r="W455" s="178"/>
      <c r="X455" s="137" t="s">
        <v>170</v>
      </c>
      <c r="Y455" s="155" t="str">
        <f>DB!$D$104</f>
        <v>Epson Genuine Ink T6643 Magenta</v>
      </c>
      <c r="Z455" s="154"/>
      <c r="AA455" s="149"/>
      <c r="AB455" s="136"/>
      <c r="AC455" s="139"/>
      <c r="AD455" s="139"/>
      <c r="AE455" s="139"/>
      <c r="AF455" s="139"/>
    </row>
    <row r="456" spans="1:32" ht="12.75">
      <c r="A456" s="136" t="e">
        <f ca="1"/>
        <v>#NAME?</v>
      </c>
      <c r="B456" s="192" t="s">
        <v>829</v>
      </c>
      <c r="C456" s="189">
        <v>2</v>
      </c>
      <c r="D456" s="189" t="s">
        <v>571</v>
      </c>
      <c r="E456" s="187"/>
      <c r="F456" s="187"/>
      <c r="G456" s="186"/>
      <c r="H456" s="189">
        <v>1</v>
      </c>
      <c r="I456" s="190"/>
      <c r="J456" s="191"/>
      <c r="K456" s="191"/>
      <c r="L456" s="185"/>
      <c r="M456" s="190"/>
      <c r="N456" s="191"/>
      <c r="O456" s="191"/>
      <c r="P456" s="189">
        <v>1</v>
      </c>
      <c r="Q456" s="190"/>
      <c r="R456" s="191"/>
      <c r="S456" s="191"/>
      <c r="T456" s="185"/>
      <c r="U456" s="178"/>
      <c r="V456" s="178"/>
      <c r="W456" s="178"/>
      <c r="X456" s="137" t="s">
        <v>170</v>
      </c>
      <c r="Y456" s="155" t="str">
        <f>DB!$D$105</f>
        <v>Epson Genuine Ink T6644 Yellow</v>
      </c>
      <c r="Z456" s="154"/>
      <c r="AA456" s="149"/>
      <c r="AB456" s="136"/>
      <c r="AC456" s="139"/>
      <c r="AD456" s="139"/>
      <c r="AE456" s="139"/>
      <c r="AF456" s="139"/>
    </row>
    <row r="457" spans="1:32" ht="12.75">
      <c r="A457" s="136" t="e">
        <f ca="1"/>
        <v>#NAME?</v>
      </c>
      <c r="B457" s="192" t="s">
        <v>830</v>
      </c>
      <c r="C457" s="189">
        <v>4</v>
      </c>
      <c r="D457" s="189" t="s">
        <v>571</v>
      </c>
      <c r="E457" s="187"/>
      <c r="F457" s="187"/>
      <c r="G457" s="186"/>
      <c r="H457" s="189">
        <v>2</v>
      </c>
      <c r="I457" s="190"/>
      <c r="J457" s="191"/>
      <c r="K457" s="191"/>
      <c r="L457" s="185"/>
      <c r="M457" s="190"/>
      <c r="N457" s="191"/>
      <c r="O457" s="191"/>
      <c r="P457" s="189">
        <v>2</v>
      </c>
      <c r="Q457" s="190"/>
      <c r="R457" s="191"/>
      <c r="S457" s="191"/>
      <c r="T457" s="185"/>
      <c r="U457" s="178"/>
      <c r="V457" s="178"/>
      <c r="W457" s="178"/>
      <c r="X457" s="137" t="s">
        <v>170</v>
      </c>
      <c r="Y457" s="155" t="str">
        <f>DB!$D$113</f>
        <v>HP Genuine Ink Refill - (GT52) Yellow</v>
      </c>
      <c r="Z457" s="154"/>
      <c r="AA457" s="149"/>
      <c r="AB457" s="136"/>
      <c r="AC457" s="139"/>
      <c r="AD457" s="139"/>
      <c r="AE457" s="139"/>
      <c r="AF457" s="139"/>
    </row>
    <row r="458" spans="1:32" ht="12.75">
      <c r="A458" s="136" t="e">
        <f ca="1"/>
        <v>#NAME?</v>
      </c>
      <c r="B458" s="192" t="s">
        <v>831</v>
      </c>
      <c r="C458" s="189">
        <v>4</v>
      </c>
      <c r="D458" s="189" t="s">
        <v>571</v>
      </c>
      <c r="E458" s="187"/>
      <c r="F458" s="187"/>
      <c r="G458" s="186"/>
      <c r="H458" s="189">
        <v>2</v>
      </c>
      <c r="I458" s="190"/>
      <c r="J458" s="191"/>
      <c r="K458" s="191"/>
      <c r="L458" s="185"/>
      <c r="M458" s="190"/>
      <c r="N458" s="191"/>
      <c r="O458" s="191"/>
      <c r="P458" s="189">
        <v>2</v>
      </c>
      <c r="Q458" s="190"/>
      <c r="R458" s="191"/>
      <c r="S458" s="191"/>
      <c r="T458" s="185"/>
      <c r="U458" s="178"/>
      <c r="V458" s="178"/>
      <c r="W458" s="178"/>
      <c r="X458" s="137" t="s">
        <v>170</v>
      </c>
      <c r="Y458" s="155" t="str">
        <f>DB!$D$111</f>
        <v>HP Genuine Ink Refill - (GT52) Magenta</v>
      </c>
      <c r="Z458" s="154"/>
      <c r="AA458" s="149"/>
      <c r="AB458" s="136"/>
      <c r="AC458" s="139"/>
      <c r="AD458" s="139"/>
      <c r="AE458" s="139"/>
      <c r="AF458" s="139"/>
    </row>
    <row r="459" spans="1:32" ht="12.75">
      <c r="A459" s="136" t="e">
        <f ca="1"/>
        <v>#NAME?</v>
      </c>
      <c r="B459" s="192" t="s">
        <v>832</v>
      </c>
      <c r="C459" s="189">
        <v>4</v>
      </c>
      <c r="D459" s="189" t="s">
        <v>571</v>
      </c>
      <c r="E459" s="187"/>
      <c r="F459" s="187"/>
      <c r="G459" s="186"/>
      <c r="H459" s="189">
        <v>2</v>
      </c>
      <c r="I459" s="193"/>
      <c r="J459" s="194"/>
      <c r="K459" s="191"/>
      <c r="L459" s="185"/>
      <c r="M459" s="190"/>
      <c r="N459" s="191"/>
      <c r="O459" s="191"/>
      <c r="P459" s="189">
        <v>2</v>
      </c>
      <c r="Q459" s="190"/>
      <c r="R459" s="191"/>
      <c r="S459" s="191"/>
      <c r="T459" s="185"/>
      <c r="U459" s="178"/>
      <c r="V459" s="178"/>
      <c r="W459" s="178"/>
      <c r="X459" s="137" t="s">
        <v>170</v>
      </c>
      <c r="Y459" s="155" t="str">
        <f>DB!$D$112</f>
        <v>HP Genuine Ink Refill - (GT52) Cyan</v>
      </c>
      <c r="Z459" s="154"/>
      <c r="AA459" s="149"/>
      <c r="AB459" s="136"/>
      <c r="AC459" s="139"/>
      <c r="AD459" s="139"/>
      <c r="AE459" s="139"/>
      <c r="AF459" s="139"/>
    </row>
    <row r="460" spans="1:32" ht="12.75">
      <c r="A460" s="136" t="e">
        <f ca="1"/>
        <v>#NAME?</v>
      </c>
      <c r="B460" s="192" t="s">
        <v>833</v>
      </c>
      <c r="C460" s="189">
        <v>8</v>
      </c>
      <c r="D460" s="189" t="s">
        <v>571</v>
      </c>
      <c r="E460" s="182"/>
      <c r="F460" s="182"/>
      <c r="G460" s="186"/>
      <c r="H460" s="189">
        <v>4</v>
      </c>
      <c r="I460" s="183"/>
      <c r="J460" s="183"/>
      <c r="K460" s="190"/>
      <c r="L460" s="185"/>
      <c r="M460" s="190"/>
      <c r="N460" s="191"/>
      <c r="O460" s="191"/>
      <c r="P460" s="189">
        <v>4</v>
      </c>
      <c r="Q460" s="190"/>
      <c r="R460" s="191"/>
      <c r="S460" s="191"/>
      <c r="T460" s="185"/>
      <c r="U460" s="178"/>
      <c r="V460" s="178"/>
      <c r="W460" s="178"/>
      <c r="X460" s="137" t="s">
        <v>170</v>
      </c>
      <c r="Y460" s="155" t="str">
        <f>DB!$D$110</f>
        <v>HP Genuine Ink Refill - (GT53) Black</v>
      </c>
      <c r="Z460" s="154"/>
      <c r="AA460" s="149"/>
      <c r="AB460" s="136"/>
      <c r="AC460" s="139"/>
      <c r="AD460" s="139"/>
      <c r="AE460" s="139"/>
      <c r="AF460" s="139"/>
    </row>
    <row r="461" spans="1:32" ht="12.75">
      <c r="A461" s="136" t="e">
        <f ca="1"/>
        <v>#NAME?</v>
      </c>
      <c r="B461" s="196" t="s">
        <v>834</v>
      </c>
      <c r="C461" s="197">
        <v>3</v>
      </c>
      <c r="D461" s="189" t="s">
        <v>773</v>
      </c>
      <c r="E461" s="182"/>
      <c r="F461" s="182"/>
      <c r="G461" s="186"/>
      <c r="H461" s="151">
        <v>3</v>
      </c>
      <c r="I461" s="198">
        <v>3</v>
      </c>
      <c r="J461" s="183"/>
      <c r="K461" s="190"/>
      <c r="L461" s="185"/>
      <c r="M461" s="190"/>
      <c r="N461" s="191"/>
      <c r="O461" s="191"/>
      <c r="P461" s="185"/>
      <c r="Q461" s="190"/>
      <c r="R461" s="191"/>
      <c r="S461" s="191"/>
      <c r="T461" s="185"/>
      <c r="U461" s="178"/>
      <c r="V461" s="178"/>
      <c r="W461" s="178"/>
      <c r="X461" s="137" t="s">
        <v>237</v>
      </c>
      <c r="Y461" s="155" t="str">
        <f>DB!$D$276</f>
        <v>Ink Tank Printer</v>
      </c>
      <c r="Z461" s="154" t="s">
        <v>469</v>
      </c>
      <c r="AA461" s="149"/>
      <c r="AB461" s="136"/>
      <c r="AC461" s="139"/>
      <c r="AD461" s="139"/>
      <c r="AE461" s="139"/>
      <c r="AF461" s="139"/>
    </row>
    <row r="462" spans="1:32" ht="12.75">
      <c r="A462" s="136" t="e">
        <f ca="1"/>
        <v>#NAME?</v>
      </c>
      <c r="B462" s="196" t="s">
        <v>234</v>
      </c>
      <c r="C462" s="197">
        <v>3</v>
      </c>
      <c r="D462" s="189" t="s">
        <v>103</v>
      </c>
      <c r="E462" s="183"/>
      <c r="F462" s="183"/>
      <c r="G462" s="183"/>
      <c r="H462" s="199">
        <v>3</v>
      </c>
      <c r="I462" s="200">
        <v>3</v>
      </c>
      <c r="J462" s="183"/>
      <c r="K462" s="183"/>
      <c r="L462" s="183"/>
      <c r="M462" s="183"/>
      <c r="N462" s="183"/>
      <c r="O462" s="183"/>
      <c r="P462" s="183"/>
      <c r="Q462" s="183"/>
      <c r="R462" s="183"/>
      <c r="S462" s="183"/>
      <c r="T462" s="183"/>
      <c r="U462" s="183"/>
      <c r="V462" s="183"/>
      <c r="W462" s="183"/>
      <c r="X462" s="137" t="s">
        <v>237</v>
      </c>
      <c r="Y462" s="141" t="str">
        <f>DB!$D$168</f>
        <v>Keyboard, Full Size, USB 2.0</v>
      </c>
      <c r="Z462" s="154"/>
      <c r="AA462" s="149"/>
      <c r="AB462" s="136"/>
      <c r="AC462" s="139"/>
      <c r="AD462" s="139"/>
      <c r="AE462" s="139"/>
      <c r="AF462" s="139"/>
    </row>
    <row r="463" spans="1:32" ht="12.75">
      <c r="A463" s="136" t="e">
        <f ca="1"/>
        <v>#NAME?</v>
      </c>
      <c r="B463" s="196" t="s">
        <v>239</v>
      </c>
      <c r="C463" s="197">
        <v>3</v>
      </c>
      <c r="D463" s="189" t="s">
        <v>103</v>
      </c>
      <c r="E463" s="178"/>
      <c r="F463" s="178"/>
      <c r="G463" s="178"/>
      <c r="H463" s="199">
        <v>3</v>
      </c>
      <c r="I463" s="200">
        <v>3</v>
      </c>
      <c r="J463" s="178"/>
      <c r="K463" s="178"/>
      <c r="L463" s="178"/>
      <c r="M463" s="178"/>
      <c r="N463" s="178"/>
      <c r="O463" s="178"/>
      <c r="P463" s="178"/>
      <c r="Q463" s="178"/>
      <c r="R463" s="178"/>
      <c r="S463" s="178"/>
      <c r="T463" s="178"/>
      <c r="U463" s="178"/>
      <c r="V463" s="178"/>
      <c r="W463" s="178"/>
      <c r="X463" s="137" t="s">
        <v>237</v>
      </c>
      <c r="Y463" s="141" t="str">
        <f>DB!$D$169</f>
        <v>Mouse, Optical, USB 2.0</v>
      </c>
      <c r="Z463" s="154"/>
      <c r="AA463" s="149"/>
      <c r="AB463" s="136"/>
      <c r="AC463" s="139"/>
      <c r="AD463" s="139"/>
      <c r="AE463" s="139"/>
      <c r="AF463" s="139"/>
    </row>
    <row r="464" spans="1:32" ht="12.75">
      <c r="A464" s="136" t="e">
        <f ca="1"/>
        <v>#NAME?</v>
      </c>
      <c r="B464" s="196" t="s">
        <v>568</v>
      </c>
      <c r="C464" s="197">
        <v>3</v>
      </c>
      <c r="D464" s="189" t="s">
        <v>103</v>
      </c>
      <c r="E464" s="178"/>
      <c r="F464" s="178"/>
      <c r="G464" s="178"/>
      <c r="H464" s="199">
        <v>3</v>
      </c>
      <c r="I464" s="200">
        <v>3</v>
      </c>
      <c r="J464" s="178"/>
      <c r="K464" s="178"/>
      <c r="L464" s="178"/>
      <c r="M464" s="178"/>
      <c r="N464" s="178"/>
      <c r="O464" s="178"/>
      <c r="P464" s="178"/>
      <c r="Q464" s="178"/>
      <c r="R464" s="178"/>
      <c r="S464" s="178"/>
      <c r="T464" s="178"/>
      <c r="U464" s="178"/>
      <c r="V464" s="178"/>
      <c r="W464" s="178"/>
      <c r="X464" s="137" t="s">
        <v>237</v>
      </c>
      <c r="Y464" s="163" t="str">
        <f>DB!$D$6</f>
        <v>UPS 650VA, AVR, 230V</v>
      </c>
      <c r="Z464" s="154"/>
      <c r="AA464" s="149"/>
      <c r="AB464" s="136"/>
      <c r="AC464" s="139"/>
      <c r="AD464" s="139"/>
      <c r="AE464" s="139"/>
      <c r="AF464" s="139"/>
    </row>
    <row r="465" spans="1:32" ht="12.75">
      <c r="A465" s="136" t="e">
        <f ca="1"/>
        <v>#NAME?</v>
      </c>
      <c r="B465" s="196" t="s">
        <v>483</v>
      </c>
      <c r="C465" s="197">
        <v>3</v>
      </c>
      <c r="D465" s="189" t="s">
        <v>103</v>
      </c>
      <c r="E465" s="178"/>
      <c r="F465" s="178"/>
      <c r="G465" s="178"/>
      <c r="H465" s="199">
        <v>3</v>
      </c>
      <c r="I465" s="200">
        <v>3</v>
      </c>
      <c r="J465" s="178"/>
      <c r="K465" s="178"/>
      <c r="L465" s="178"/>
      <c r="M465" s="178"/>
      <c r="N465" s="178"/>
      <c r="O465" s="178"/>
      <c r="P465" s="178"/>
      <c r="Q465" s="178"/>
      <c r="R465" s="178"/>
      <c r="S465" s="178"/>
      <c r="T465" s="178"/>
      <c r="U465" s="178"/>
      <c r="V465" s="178"/>
      <c r="W465" s="178"/>
      <c r="X465" s="137" t="s">
        <v>237</v>
      </c>
      <c r="Y465" s="163"/>
      <c r="Z465" s="152" t="s">
        <v>453</v>
      </c>
      <c r="AA465" s="149"/>
      <c r="AB465" s="136"/>
      <c r="AC465" s="139"/>
      <c r="AD465" s="139"/>
      <c r="AE465" s="139"/>
      <c r="AF465" s="139"/>
    </row>
    <row r="466" spans="1:32" ht="12.75">
      <c r="A466" s="136" t="e">
        <f ca="1"/>
        <v>#NAME?</v>
      </c>
      <c r="B466" s="196" t="s">
        <v>817</v>
      </c>
      <c r="C466" s="197">
        <v>3</v>
      </c>
      <c r="D466" s="189" t="s">
        <v>103</v>
      </c>
      <c r="E466" s="178"/>
      <c r="F466" s="178"/>
      <c r="G466" s="178"/>
      <c r="H466" s="199">
        <v>3</v>
      </c>
      <c r="I466" s="200">
        <v>3</v>
      </c>
      <c r="J466" s="178"/>
      <c r="K466" s="178"/>
      <c r="L466" s="178"/>
      <c r="M466" s="178"/>
      <c r="N466" s="178"/>
      <c r="O466" s="178"/>
      <c r="P466" s="178"/>
      <c r="Q466" s="178"/>
      <c r="R466" s="178"/>
      <c r="S466" s="178"/>
      <c r="T466" s="178"/>
      <c r="U466" s="178"/>
      <c r="V466" s="178"/>
      <c r="W466" s="178"/>
      <c r="X466" s="137" t="s">
        <v>237</v>
      </c>
      <c r="Y466" s="163" t="str">
        <f>DB!$D$37</f>
        <v>Single Line Telephone (Black)</v>
      </c>
      <c r="Z466" s="152"/>
      <c r="AA466" s="149"/>
      <c r="AB466" s="136"/>
      <c r="AC466" s="139"/>
      <c r="AD466" s="139"/>
      <c r="AE466" s="139"/>
      <c r="AF466" s="139"/>
    </row>
    <row r="467" spans="1:32" ht="12.75">
      <c r="A467" s="136" t="e">
        <f ca="1"/>
        <v>#NAME?</v>
      </c>
      <c r="B467" s="196" t="s">
        <v>835</v>
      </c>
      <c r="C467" s="197">
        <v>2</v>
      </c>
      <c r="D467" s="189" t="s">
        <v>773</v>
      </c>
      <c r="E467" s="178"/>
      <c r="F467" s="178"/>
      <c r="G467" s="178"/>
      <c r="H467" s="151">
        <v>1</v>
      </c>
      <c r="I467" s="198">
        <v>1</v>
      </c>
      <c r="J467" s="198"/>
      <c r="K467" s="198"/>
      <c r="L467" s="198">
        <v>0</v>
      </c>
      <c r="M467" s="198"/>
      <c r="N467" s="198"/>
      <c r="O467" s="198"/>
      <c r="P467" s="198">
        <v>0</v>
      </c>
      <c r="Q467" s="198"/>
      <c r="R467" s="198"/>
      <c r="S467" s="198"/>
      <c r="T467" s="198">
        <v>0</v>
      </c>
      <c r="U467" s="198"/>
      <c r="V467" s="198"/>
      <c r="W467" s="198"/>
      <c r="X467" s="137" t="s">
        <v>196</v>
      </c>
      <c r="Y467" s="155"/>
      <c r="Z467" s="152" t="s">
        <v>453</v>
      </c>
      <c r="AA467" s="149"/>
      <c r="AB467" s="136"/>
      <c r="AC467" s="139"/>
      <c r="AD467" s="139"/>
      <c r="AE467" s="139"/>
      <c r="AF467" s="139"/>
    </row>
    <row r="468" spans="1:32" ht="12.75">
      <c r="A468" s="136" t="e">
        <f ca="1"/>
        <v>#NAME?</v>
      </c>
      <c r="B468" s="196" t="s">
        <v>234</v>
      </c>
      <c r="C468" s="197">
        <v>2</v>
      </c>
      <c r="D468" s="189" t="s">
        <v>103</v>
      </c>
      <c r="E468" s="178"/>
      <c r="F468" s="178"/>
      <c r="G468" s="178"/>
      <c r="H468" s="199">
        <v>1</v>
      </c>
      <c r="I468" s="200">
        <v>1</v>
      </c>
      <c r="J468" s="200"/>
      <c r="K468" s="200"/>
      <c r="L468" s="201">
        <v>0</v>
      </c>
      <c r="M468" s="200"/>
      <c r="N468" s="200"/>
      <c r="O468" s="200"/>
      <c r="P468" s="201">
        <v>1</v>
      </c>
      <c r="Q468" s="200">
        <v>1</v>
      </c>
      <c r="R468" s="200"/>
      <c r="S468" s="200"/>
      <c r="T468" s="201">
        <v>0</v>
      </c>
      <c r="U468" s="200"/>
      <c r="V468" s="200"/>
      <c r="W468" s="200"/>
      <c r="X468" s="137" t="s">
        <v>196</v>
      </c>
      <c r="Y468" s="141" t="str">
        <f>DB!$D$168</f>
        <v>Keyboard, Full Size, USB 2.0</v>
      </c>
      <c r="Z468" s="154"/>
      <c r="AA468" s="149"/>
      <c r="AB468" s="136"/>
      <c r="AC468" s="139"/>
      <c r="AD468" s="139"/>
      <c r="AE468" s="139"/>
      <c r="AF468" s="139"/>
    </row>
    <row r="469" spans="1:32" ht="12.75">
      <c r="A469" s="136" t="e">
        <f ca="1"/>
        <v>#NAME?</v>
      </c>
      <c r="B469" s="196" t="s">
        <v>239</v>
      </c>
      <c r="C469" s="197">
        <v>2</v>
      </c>
      <c r="D469" s="189" t="s">
        <v>103</v>
      </c>
      <c r="E469" s="178"/>
      <c r="F469" s="178"/>
      <c r="G469" s="178"/>
      <c r="H469" s="199">
        <v>1</v>
      </c>
      <c r="I469" s="200">
        <v>1</v>
      </c>
      <c r="J469" s="200"/>
      <c r="K469" s="200"/>
      <c r="L469" s="201">
        <v>0</v>
      </c>
      <c r="M469" s="200"/>
      <c r="N469" s="200"/>
      <c r="O469" s="200"/>
      <c r="P469" s="201">
        <v>1</v>
      </c>
      <c r="Q469" s="200">
        <v>1</v>
      </c>
      <c r="R469" s="200"/>
      <c r="S469" s="200"/>
      <c r="T469" s="201">
        <v>0</v>
      </c>
      <c r="U469" s="200"/>
      <c r="V469" s="200"/>
      <c r="W469" s="200"/>
      <c r="X469" s="137" t="s">
        <v>196</v>
      </c>
      <c r="Y469" s="141" t="str">
        <f>DB!$D$169</f>
        <v>Mouse, Optical, USB 2.0</v>
      </c>
      <c r="Z469" s="154"/>
      <c r="AA469" s="149"/>
      <c r="AB469" s="136"/>
      <c r="AC469" s="139"/>
      <c r="AD469" s="139"/>
      <c r="AE469" s="139"/>
      <c r="AF469" s="139"/>
    </row>
    <row r="470" spans="1:32" ht="12.75">
      <c r="A470" s="136" t="e">
        <f ca="1"/>
        <v>#NAME?</v>
      </c>
      <c r="B470" s="196" t="s">
        <v>493</v>
      </c>
      <c r="C470" s="197">
        <v>1</v>
      </c>
      <c r="D470" s="189" t="s">
        <v>103</v>
      </c>
      <c r="E470" s="183"/>
      <c r="F470" s="182"/>
      <c r="G470" s="178"/>
      <c r="H470" s="199">
        <v>1</v>
      </c>
      <c r="I470" s="200">
        <v>1</v>
      </c>
      <c r="J470" s="200"/>
      <c r="K470" s="200"/>
      <c r="L470" s="201">
        <v>0</v>
      </c>
      <c r="M470" s="200"/>
      <c r="N470" s="200"/>
      <c r="O470" s="200"/>
      <c r="P470" s="201">
        <v>0</v>
      </c>
      <c r="Q470" s="200"/>
      <c r="R470" s="200"/>
      <c r="S470" s="200"/>
      <c r="T470" s="201">
        <v>0</v>
      </c>
      <c r="U470" s="200"/>
      <c r="V470" s="200"/>
      <c r="W470" s="200"/>
      <c r="X470" s="137" t="s">
        <v>196</v>
      </c>
      <c r="Y470" s="155" t="str">
        <f>DB!$D$276</f>
        <v>Ink Tank Printer</v>
      </c>
      <c r="Z470" s="154" t="s">
        <v>469</v>
      </c>
      <c r="AA470" s="149"/>
      <c r="AB470" s="136"/>
      <c r="AC470" s="139"/>
      <c r="AD470" s="139"/>
      <c r="AE470" s="139"/>
      <c r="AF470" s="139"/>
    </row>
    <row r="471" spans="1:32" ht="12.75">
      <c r="A471" s="136" t="e">
        <f ca="1"/>
        <v>#NAME?</v>
      </c>
      <c r="B471" s="196" t="s">
        <v>568</v>
      </c>
      <c r="C471" s="197">
        <v>2</v>
      </c>
      <c r="D471" s="189" t="s">
        <v>103</v>
      </c>
      <c r="E471" s="178"/>
      <c r="F471" s="179"/>
      <c r="G471" s="178"/>
      <c r="H471" s="199">
        <v>1</v>
      </c>
      <c r="I471" s="200">
        <v>1</v>
      </c>
      <c r="J471" s="200"/>
      <c r="K471" s="200"/>
      <c r="L471" s="201">
        <v>0</v>
      </c>
      <c r="M471" s="200"/>
      <c r="N471" s="200"/>
      <c r="O471" s="200"/>
      <c r="P471" s="201">
        <v>1</v>
      </c>
      <c r="Q471" s="200">
        <v>1</v>
      </c>
      <c r="R471" s="200"/>
      <c r="S471" s="200"/>
      <c r="T471" s="201">
        <v>0</v>
      </c>
      <c r="U471" s="200"/>
      <c r="V471" s="200"/>
      <c r="W471" s="200"/>
      <c r="X471" s="137" t="s">
        <v>196</v>
      </c>
      <c r="Y471" s="163" t="str">
        <f>DB!$D$6</f>
        <v>UPS 650VA, AVR, 230V</v>
      </c>
      <c r="Z471" s="154"/>
      <c r="AA471" s="149"/>
      <c r="AB471" s="136"/>
      <c r="AC471" s="139"/>
      <c r="AD471" s="139"/>
      <c r="AE471" s="139"/>
      <c r="AF471" s="139"/>
    </row>
    <row r="472" spans="1:32" ht="12.75">
      <c r="A472" s="136" t="e">
        <f ca="1"/>
        <v>#NAME?</v>
      </c>
      <c r="B472" s="196" t="s">
        <v>483</v>
      </c>
      <c r="C472" s="197">
        <v>2</v>
      </c>
      <c r="D472" s="189" t="s">
        <v>103</v>
      </c>
      <c r="E472" s="178"/>
      <c r="F472" s="179"/>
      <c r="G472" s="178"/>
      <c r="H472" s="199">
        <v>1</v>
      </c>
      <c r="I472" s="200">
        <v>1</v>
      </c>
      <c r="J472" s="200"/>
      <c r="K472" s="200"/>
      <c r="L472" s="201">
        <v>1</v>
      </c>
      <c r="M472" s="200">
        <v>1</v>
      </c>
      <c r="N472" s="200"/>
      <c r="O472" s="200"/>
      <c r="P472" s="201">
        <v>0</v>
      </c>
      <c r="Q472" s="200"/>
      <c r="R472" s="200"/>
      <c r="S472" s="200"/>
      <c r="T472" s="201">
        <v>0</v>
      </c>
      <c r="U472" s="200"/>
      <c r="V472" s="200"/>
      <c r="W472" s="200"/>
      <c r="X472" s="137" t="s">
        <v>196</v>
      </c>
      <c r="Y472" s="155"/>
      <c r="Z472" s="152" t="s">
        <v>453</v>
      </c>
      <c r="AA472" s="149"/>
      <c r="AB472" s="136"/>
      <c r="AC472" s="139"/>
      <c r="AD472" s="139"/>
      <c r="AE472" s="139"/>
      <c r="AF472" s="139"/>
    </row>
    <row r="473" spans="1:32" ht="12.75">
      <c r="A473" s="136" t="e">
        <f ca="1"/>
        <v>#NAME?</v>
      </c>
      <c r="B473" s="196" t="s">
        <v>836</v>
      </c>
      <c r="C473" s="197">
        <v>1</v>
      </c>
      <c r="D473" s="189" t="s">
        <v>466</v>
      </c>
      <c r="E473" s="178"/>
      <c r="F473" s="179"/>
      <c r="G473" s="178"/>
      <c r="H473" s="199">
        <v>1</v>
      </c>
      <c r="I473" s="200">
        <v>1</v>
      </c>
      <c r="J473" s="200"/>
      <c r="K473" s="200"/>
      <c r="L473" s="201">
        <v>0</v>
      </c>
      <c r="M473" s="200"/>
      <c r="N473" s="200"/>
      <c r="O473" s="200"/>
      <c r="P473" s="201">
        <v>0</v>
      </c>
      <c r="Q473" s="200"/>
      <c r="R473" s="200"/>
      <c r="S473" s="200"/>
      <c r="T473" s="201">
        <v>0</v>
      </c>
      <c r="U473" s="200"/>
      <c r="V473" s="200"/>
      <c r="W473" s="200"/>
      <c r="X473" s="137" t="s">
        <v>196</v>
      </c>
      <c r="Y473" s="163" t="str">
        <f>DB!$D$76</f>
        <v>Dot Matrix Printer 24-Pin</v>
      </c>
      <c r="Z473" s="154"/>
      <c r="AA473" s="149"/>
      <c r="AB473" s="136"/>
      <c r="AC473" s="139"/>
      <c r="AD473" s="139"/>
      <c r="AE473" s="139"/>
      <c r="AF473" s="139"/>
    </row>
    <row r="474" spans="1:32" ht="12.75">
      <c r="A474" s="136" t="e">
        <f ca="1"/>
        <v>#NAME?</v>
      </c>
      <c r="B474" s="196" t="s">
        <v>817</v>
      </c>
      <c r="C474" s="197">
        <v>1</v>
      </c>
      <c r="D474" s="189" t="s">
        <v>103</v>
      </c>
      <c r="E474" s="179"/>
      <c r="F474" s="179"/>
      <c r="G474" s="178"/>
      <c r="H474" s="199">
        <v>1</v>
      </c>
      <c r="I474" s="200">
        <v>1</v>
      </c>
      <c r="J474" s="200"/>
      <c r="K474" s="200"/>
      <c r="L474" s="201">
        <v>0</v>
      </c>
      <c r="M474" s="200"/>
      <c r="N474" s="200"/>
      <c r="O474" s="200"/>
      <c r="P474" s="201">
        <v>0</v>
      </c>
      <c r="Q474" s="200"/>
      <c r="R474" s="200"/>
      <c r="S474" s="200"/>
      <c r="T474" s="201">
        <v>0</v>
      </c>
      <c r="U474" s="200"/>
      <c r="V474" s="200"/>
      <c r="W474" s="200"/>
      <c r="X474" s="137" t="s">
        <v>196</v>
      </c>
      <c r="Y474" s="163" t="str">
        <f>DB!$D$37</f>
        <v>Single Line Telephone (Black)</v>
      </c>
      <c r="Z474" s="154"/>
      <c r="AA474" s="149"/>
      <c r="AB474" s="136"/>
      <c r="AC474" s="139"/>
      <c r="AD474" s="139"/>
      <c r="AE474" s="139"/>
      <c r="AF474" s="139"/>
    </row>
    <row r="475" spans="1:32" ht="12.75">
      <c r="A475" s="136" t="e">
        <f ca="1"/>
        <v>#NAME?</v>
      </c>
      <c r="B475" s="202" t="s">
        <v>837</v>
      </c>
      <c r="C475" s="151">
        <v>150</v>
      </c>
      <c r="D475" s="151" t="s">
        <v>103</v>
      </c>
      <c r="E475" s="179"/>
      <c r="F475" s="179"/>
      <c r="G475" s="178"/>
      <c r="H475" s="189">
        <v>36</v>
      </c>
      <c r="I475" s="200">
        <v>12</v>
      </c>
      <c r="J475" s="200">
        <v>12</v>
      </c>
      <c r="K475" s="200">
        <v>12</v>
      </c>
      <c r="L475" s="200">
        <v>36</v>
      </c>
      <c r="M475" s="200">
        <v>12</v>
      </c>
      <c r="N475" s="200">
        <v>12</v>
      </c>
      <c r="O475" s="200">
        <v>12</v>
      </c>
      <c r="P475" s="200">
        <v>36</v>
      </c>
      <c r="Q475" s="200">
        <v>12</v>
      </c>
      <c r="R475" s="200">
        <v>12</v>
      </c>
      <c r="S475" s="200">
        <v>12</v>
      </c>
      <c r="T475" s="200">
        <v>36</v>
      </c>
      <c r="U475" s="200">
        <v>12</v>
      </c>
      <c r="V475" s="200">
        <v>12</v>
      </c>
      <c r="W475" s="200">
        <v>12</v>
      </c>
      <c r="X475" s="137" t="s">
        <v>196</v>
      </c>
      <c r="Y475" s="155" t="str">
        <f>DB!$D$106</f>
        <v>Epson Genuine Ink (003) Black</v>
      </c>
      <c r="Z475" s="154"/>
      <c r="AA475" s="149"/>
      <c r="AB475" s="136"/>
      <c r="AC475" s="139"/>
      <c r="AD475" s="139"/>
      <c r="AE475" s="139"/>
      <c r="AF475" s="139"/>
    </row>
    <row r="476" spans="1:32" ht="12.75">
      <c r="A476" s="136" t="e">
        <f ca="1"/>
        <v>#NAME?</v>
      </c>
      <c r="B476" s="196" t="s">
        <v>838</v>
      </c>
      <c r="C476" s="189">
        <v>150</v>
      </c>
      <c r="D476" s="189" t="s">
        <v>103</v>
      </c>
      <c r="E476" s="178"/>
      <c r="F476" s="178"/>
      <c r="G476" s="178"/>
      <c r="H476" s="189">
        <v>36</v>
      </c>
      <c r="I476" s="200">
        <v>12</v>
      </c>
      <c r="J476" s="200">
        <v>12</v>
      </c>
      <c r="K476" s="200">
        <v>12</v>
      </c>
      <c r="L476" s="200">
        <v>36</v>
      </c>
      <c r="M476" s="200">
        <v>12</v>
      </c>
      <c r="N476" s="200">
        <v>12</v>
      </c>
      <c r="O476" s="200">
        <v>12</v>
      </c>
      <c r="P476" s="200">
        <v>36</v>
      </c>
      <c r="Q476" s="200">
        <v>12</v>
      </c>
      <c r="R476" s="200">
        <v>12</v>
      </c>
      <c r="S476" s="200">
        <v>12</v>
      </c>
      <c r="T476" s="200">
        <v>36</v>
      </c>
      <c r="U476" s="200">
        <v>12</v>
      </c>
      <c r="V476" s="200">
        <v>12</v>
      </c>
      <c r="W476" s="200">
        <v>12</v>
      </c>
      <c r="X476" s="137" t="s">
        <v>196</v>
      </c>
      <c r="Y476" s="155" t="str">
        <f>DB!$D$107</f>
        <v>Epson Genuine Ink (003) Cyan</v>
      </c>
      <c r="Z476" s="154"/>
      <c r="AA476" s="149"/>
      <c r="AB476" s="136"/>
      <c r="AC476" s="139"/>
      <c r="AD476" s="139"/>
      <c r="AE476" s="139"/>
      <c r="AF476" s="139"/>
    </row>
    <row r="477" spans="1:32" ht="12.75">
      <c r="A477" s="136" t="e">
        <f ca="1"/>
        <v>#NAME?</v>
      </c>
      <c r="B477" s="196" t="s">
        <v>839</v>
      </c>
      <c r="C477" s="189">
        <v>150</v>
      </c>
      <c r="D477" s="189" t="s">
        <v>103</v>
      </c>
      <c r="E477" s="178"/>
      <c r="F477" s="178"/>
      <c r="G477" s="178"/>
      <c r="H477" s="189">
        <v>36</v>
      </c>
      <c r="I477" s="200">
        <v>12</v>
      </c>
      <c r="J477" s="200">
        <v>12</v>
      </c>
      <c r="K477" s="200">
        <v>12</v>
      </c>
      <c r="L477" s="200">
        <v>36</v>
      </c>
      <c r="M477" s="200">
        <v>12</v>
      </c>
      <c r="N477" s="200">
        <v>12</v>
      </c>
      <c r="O477" s="200">
        <v>12</v>
      </c>
      <c r="P477" s="200">
        <v>36</v>
      </c>
      <c r="Q477" s="200">
        <v>12</v>
      </c>
      <c r="R477" s="200">
        <v>12</v>
      </c>
      <c r="S477" s="200">
        <v>12</v>
      </c>
      <c r="T477" s="200">
        <v>36</v>
      </c>
      <c r="U477" s="200">
        <v>12</v>
      </c>
      <c r="V477" s="200">
        <v>12</v>
      </c>
      <c r="W477" s="200">
        <v>12</v>
      </c>
      <c r="X477" s="137" t="s">
        <v>196</v>
      </c>
      <c r="Y477" s="155" t="str">
        <f>DB!$D$108</f>
        <v>Epson Genuine Ink (003) Yellow</v>
      </c>
      <c r="Z477" s="154"/>
      <c r="AA477" s="149"/>
      <c r="AB477" s="136"/>
      <c r="AC477" s="139"/>
      <c r="AD477" s="139"/>
      <c r="AE477" s="139"/>
      <c r="AF477" s="139"/>
    </row>
    <row r="478" spans="1:32" ht="12.75">
      <c r="A478" s="136" t="e">
        <f ca="1"/>
        <v>#NAME?</v>
      </c>
      <c r="B478" s="196" t="s">
        <v>840</v>
      </c>
      <c r="C478" s="189">
        <v>150</v>
      </c>
      <c r="D478" s="189" t="s">
        <v>103</v>
      </c>
      <c r="E478" s="178"/>
      <c r="F478" s="178"/>
      <c r="G478" s="178"/>
      <c r="H478" s="189">
        <v>36</v>
      </c>
      <c r="I478" s="200">
        <v>12</v>
      </c>
      <c r="J478" s="200">
        <v>12</v>
      </c>
      <c r="K478" s="200">
        <v>12</v>
      </c>
      <c r="L478" s="200">
        <v>36</v>
      </c>
      <c r="M478" s="200">
        <v>12</v>
      </c>
      <c r="N478" s="200">
        <v>12</v>
      </c>
      <c r="O478" s="200">
        <v>12</v>
      </c>
      <c r="P478" s="200">
        <v>36</v>
      </c>
      <c r="Q478" s="200">
        <v>12</v>
      </c>
      <c r="R478" s="200">
        <v>12</v>
      </c>
      <c r="S478" s="200">
        <v>12</v>
      </c>
      <c r="T478" s="200">
        <v>36</v>
      </c>
      <c r="U478" s="200">
        <v>12</v>
      </c>
      <c r="V478" s="200">
        <v>12</v>
      </c>
      <c r="W478" s="200">
        <v>12</v>
      </c>
      <c r="X478" s="137" t="s">
        <v>196</v>
      </c>
      <c r="Y478" s="155" t="str">
        <f>DB!$D$109</f>
        <v>Epson Genuine Ink (003) Magenta</v>
      </c>
      <c r="Z478" s="154"/>
      <c r="AA478" s="149"/>
      <c r="AB478" s="136"/>
      <c r="AC478" s="139"/>
      <c r="AD478" s="139"/>
      <c r="AE478" s="139"/>
      <c r="AF478" s="139"/>
    </row>
    <row r="479" spans="1:32" ht="12.75">
      <c r="A479" s="136" t="e">
        <f ca="1"/>
        <v>#NAME?</v>
      </c>
      <c r="B479" s="188" t="s">
        <v>817</v>
      </c>
      <c r="C479" s="197">
        <v>2</v>
      </c>
      <c r="D479" s="189" t="s">
        <v>103</v>
      </c>
      <c r="E479" s="183"/>
      <c r="F479" s="182"/>
      <c r="G479" s="178"/>
      <c r="H479" s="158">
        <v>2</v>
      </c>
      <c r="I479" s="203">
        <v>2</v>
      </c>
      <c r="J479" s="197"/>
      <c r="K479" s="197"/>
      <c r="L479" s="158">
        <v>0</v>
      </c>
      <c r="M479" s="203"/>
      <c r="N479" s="197"/>
      <c r="O479" s="197"/>
      <c r="P479" s="158">
        <v>0</v>
      </c>
      <c r="Q479" s="203"/>
      <c r="R479" s="197"/>
      <c r="S479" s="197"/>
      <c r="T479" s="158">
        <v>0</v>
      </c>
      <c r="U479" s="198"/>
      <c r="V479" s="198"/>
      <c r="W479" s="198"/>
      <c r="X479" s="137" t="s">
        <v>197</v>
      </c>
      <c r="Y479" s="163" t="str">
        <f>DB!$D$37</f>
        <v>Single Line Telephone (Black)</v>
      </c>
      <c r="Z479" s="154"/>
      <c r="AA479" s="149"/>
      <c r="AB479" s="136"/>
      <c r="AC479" s="139"/>
      <c r="AD479" s="139"/>
      <c r="AE479" s="139"/>
      <c r="AF479" s="139"/>
    </row>
    <row r="480" spans="1:32" ht="12.75">
      <c r="A480" s="136" t="e">
        <f ca="1"/>
        <v>#NAME?</v>
      </c>
      <c r="B480" s="192" t="s">
        <v>234</v>
      </c>
      <c r="C480" s="197">
        <v>2</v>
      </c>
      <c r="D480" s="189" t="s">
        <v>103</v>
      </c>
      <c r="E480" s="178"/>
      <c r="F480" s="179"/>
      <c r="G480" s="178"/>
      <c r="H480" s="199">
        <v>2</v>
      </c>
      <c r="I480" s="203">
        <v>2</v>
      </c>
      <c r="J480" s="197"/>
      <c r="K480" s="197"/>
      <c r="L480" s="199">
        <v>0</v>
      </c>
      <c r="M480" s="203"/>
      <c r="N480" s="197"/>
      <c r="O480" s="197"/>
      <c r="P480" s="199">
        <v>0</v>
      </c>
      <c r="Q480" s="203"/>
      <c r="R480" s="197"/>
      <c r="S480" s="197"/>
      <c r="T480" s="199">
        <v>0</v>
      </c>
      <c r="U480" s="200"/>
      <c r="V480" s="200"/>
      <c r="W480" s="200"/>
      <c r="X480" s="137" t="s">
        <v>197</v>
      </c>
      <c r="Y480" s="141" t="str">
        <f>DB!$D$168</f>
        <v>Keyboard, Full Size, USB 2.0</v>
      </c>
      <c r="Z480" s="154"/>
      <c r="AA480" s="149"/>
      <c r="AB480" s="136"/>
      <c r="AC480" s="139"/>
      <c r="AD480" s="139"/>
      <c r="AE480" s="139"/>
      <c r="AF480" s="139"/>
    </row>
    <row r="481" spans="1:32" ht="12.75">
      <c r="A481" s="136" t="e">
        <f ca="1"/>
        <v>#NAME?</v>
      </c>
      <c r="B481" s="188" t="s">
        <v>239</v>
      </c>
      <c r="C481" s="197">
        <v>2</v>
      </c>
      <c r="D481" s="189" t="s">
        <v>103</v>
      </c>
      <c r="E481" s="178"/>
      <c r="F481" s="179"/>
      <c r="G481" s="178"/>
      <c r="H481" s="199">
        <v>2</v>
      </c>
      <c r="I481" s="203">
        <v>2</v>
      </c>
      <c r="J481" s="197"/>
      <c r="K481" s="197"/>
      <c r="L481" s="199">
        <v>0</v>
      </c>
      <c r="M481" s="203"/>
      <c r="N481" s="197"/>
      <c r="O481" s="197"/>
      <c r="P481" s="199">
        <v>0</v>
      </c>
      <c r="Q481" s="203"/>
      <c r="R481" s="197"/>
      <c r="S481" s="197"/>
      <c r="T481" s="199">
        <v>0</v>
      </c>
      <c r="U481" s="200"/>
      <c r="V481" s="200"/>
      <c r="W481" s="200"/>
      <c r="X481" s="137" t="s">
        <v>197</v>
      </c>
      <c r="Y481" s="141" t="str">
        <f>DB!$D$169</f>
        <v>Mouse, Optical, USB 2.0</v>
      </c>
      <c r="Z481" s="154"/>
      <c r="AA481" s="149"/>
      <c r="AB481" s="136"/>
      <c r="AC481" s="139"/>
      <c r="AD481" s="139"/>
      <c r="AE481" s="139"/>
      <c r="AF481" s="139"/>
    </row>
    <row r="482" spans="1:32" ht="12.75">
      <c r="A482" s="136" t="e">
        <f ca="1"/>
        <v>#NAME?</v>
      </c>
      <c r="B482" s="204" t="s">
        <v>841</v>
      </c>
      <c r="C482" s="197">
        <v>1</v>
      </c>
      <c r="D482" s="189" t="s">
        <v>103</v>
      </c>
      <c r="E482" s="178"/>
      <c r="F482" s="179"/>
      <c r="G482" s="178"/>
      <c r="H482" s="199">
        <v>1</v>
      </c>
      <c r="I482" s="203">
        <v>1</v>
      </c>
      <c r="J482" s="197"/>
      <c r="K482" s="197"/>
      <c r="L482" s="199">
        <v>0</v>
      </c>
      <c r="M482" s="203"/>
      <c r="N482" s="197"/>
      <c r="O482" s="197"/>
      <c r="P482" s="199">
        <v>0</v>
      </c>
      <c r="Q482" s="203"/>
      <c r="R482" s="197"/>
      <c r="S482" s="197"/>
      <c r="T482" s="199">
        <v>0</v>
      </c>
      <c r="U482" s="200"/>
      <c r="V482" s="200"/>
      <c r="W482" s="205"/>
      <c r="X482" s="137" t="s">
        <v>197</v>
      </c>
      <c r="Y482" s="155" t="str">
        <f>DB!$D$276</f>
        <v>Ink Tank Printer</v>
      </c>
      <c r="Z482" s="154" t="s">
        <v>469</v>
      </c>
      <c r="AA482" s="149"/>
      <c r="AB482" s="136"/>
      <c r="AC482" s="139"/>
      <c r="AD482" s="139"/>
      <c r="AE482" s="139"/>
      <c r="AF482" s="139"/>
    </row>
    <row r="483" spans="1:32" ht="12.75">
      <c r="A483" s="136" t="e">
        <f ca="1"/>
        <v>#NAME?</v>
      </c>
      <c r="B483" s="188" t="s">
        <v>842</v>
      </c>
      <c r="C483" s="197">
        <v>60</v>
      </c>
      <c r="D483" s="189" t="s">
        <v>103</v>
      </c>
      <c r="E483" s="179"/>
      <c r="F483" s="179"/>
      <c r="G483" s="178"/>
      <c r="H483" s="199">
        <v>15</v>
      </c>
      <c r="I483" s="203">
        <v>5</v>
      </c>
      <c r="J483" s="197">
        <v>5</v>
      </c>
      <c r="K483" s="197">
        <v>5</v>
      </c>
      <c r="L483" s="199">
        <v>15</v>
      </c>
      <c r="M483" s="203">
        <v>5</v>
      </c>
      <c r="N483" s="197">
        <v>5</v>
      </c>
      <c r="O483" s="197">
        <v>5</v>
      </c>
      <c r="P483" s="199">
        <v>15</v>
      </c>
      <c r="Q483" s="203">
        <v>5</v>
      </c>
      <c r="R483" s="197">
        <v>5</v>
      </c>
      <c r="S483" s="197">
        <v>5</v>
      </c>
      <c r="T483" s="199">
        <v>15</v>
      </c>
      <c r="U483" s="200">
        <v>5</v>
      </c>
      <c r="V483" s="200">
        <v>5</v>
      </c>
      <c r="W483" s="206">
        <v>5</v>
      </c>
      <c r="X483" s="137" t="s">
        <v>197</v>
      </c>
      <c r="Y483" s="155" t="str">
        <f>DB!$D$106</f>
        <v>Epson Genuine Ink (003) Black</v>
      </c>
      <c r="Z483" s="154"/>
      <c r="AA483" s="149"/>
      <c r="AB483" s="136"/>
      <c r="AC483" s="139"/>
      <c r="AD483" s="139"/>
      <c r="AE483" s="139"/>
      <c r="AF483" s="139"/>
    </row>
    <row r="484" spans="1:32" ht="12.75">
      <c r="A484" s="136" t="e">
        <f ca="1"/>
        <v>#NAME?</v>
      </c>
      <c r="B484" s="192" t="s">
        <v>843</v>
      </c>
      <c r="C484" s="197">
        <v>60</v>
      </c>
      <c r="D484" s="189" t="s">
        <v>103</v>
      </c>
      <c r="E484" s="179"/>
      <c r="F484" s="179"/>
      <c r="G484" s="178"/>
      <c r="H484" s="199">
        <v>15</v>
      </c>
      <c r="I484" s="203">
        <v>5</v>
      </c>
      <c r="J484" s="197">
        <v>5</v>
      </c>
      <c r="K484" s="197">
        <v>5</v>
      </c>
      <c r="L484" s="199">
        <v>15</v>
      </c>
      <c r="M484" s="203">
        <v>5</v>
      </c>
      <c r="N484" s="197">
        <v>5</v>
      </c>
      <c r="O484" s="197">
        <v>5</v>
      </c>
      <c r="P484" s="199">
        <v>15</v>
      </c>
      <c r="Q484" s="203">
        <v>5</v>
      </c>
      <c r="R484" s="197">
        <v>5</v>
      </c>
      <c r="S484" s="197">
        <v>5</v>
      </c>
      <c r="T484" s="199">
        <v>15</v>
      </c>
      <c r="U484" s="203">
        <v>5</v>
      </c>
      <c r="V484" s="197">
        <v>5</v>
      </c>
      <c r="W484" s="151">
        <v>5</v>
      </c>
      <c r="X484" s="137" t="s">
        <v>197</v>
      </c>
      <c r="Y484" s="155" t="str">
        <f>DB!$D$107</f>
        <v>Epson Genuine Ink (003) Cyan</v>
      </c>
      <c r="Z484" s="154"/>
      <c r="AA484" s="149"/>
      <c r="AB484" s="136"/>
      <c r="AC484" s="139"/>
      <c r="AD484" s="139"/>
      <c r="AE484" s="139"/>
      <c r="AF484" s="139"/>
    </row>
    <row r="485" spans="1:32" ht="12.75">
      <c r="A485" s="136" t="e">
        <f ca="1"/>
        <v>#NAME?</v>
      </c>
      <c r="B485" s="192" t="s">
        <v>844</v>
      </c>
      <c r="C485" s="197">
        <v>60</v>
      </c>
      <c r="D485" s="189" t="s">
        <v>103</v>
      </c>
      <c r="E485" s="178"/>
      <c r="F485" s="178"/>
      <c r="G485" s="178"/>
      <c r="H485" s="199">
        <v>15</v>
      </c>
      <c r="I485" s="203">
        <v>5</v>
      </c>
      <c r="J485" s="197">
        <v>5</v>
      </c>
      <c r="K485" s="197">
        <v>5</v>
      </c>
      <c r="L485" s="199">
        <v>15</v>
      </c>
      <c r="M485" s="203">
        <v>5</v>
      </c>
      <c r="N485" s="197">
        <v>5</v>
      </c>
      <c r="O485" s="197">
        <v>5</v>
      </c>
      <c r="P485" s="199">
        <v>15</v>
      </c>
      <c r="Q485" s="203">
        <v>5</v>
      </c>
      <c r="R485" s="197">
        <v>5</v>
      </c>
      <c r="S485" s="197">
        <v>5</v>
      </c>
      <c r="T485" s="199">
        <v>15</v>
      </c>
      <c r="U485" s="203">
        <v>5</v>
      </c>
      <c r="V485" s="197">
        <v>5</v>
      </c>
      <c r="W485" s="189">
        <v>5</v>
      </c>
      <c r="X485" s="137" t="s">
        <v>197</v>
      </c>
      <c r="Y485" s="155" t="str">
        <f>DB!$D$108</f>
        <v>Epson Genuine Ink (003) Yellow</v>
      </c>
      <c r="Z485" s="154"/>
      <c r="AA485" s="149"/>
      <c r="AB485" s="136"/>
      <c r="AC485" s="139"/>
      <c r="AD485" s="139"/>
      <c r="AE485" s="139"/>
      <c r="AF485" s="139"/>
    </row>
    <row r="486" spans="1:32" ht="12.75">
      <c r="A486" s="136" t="e">
        <f ca="1"/>
        <v>#NAME?</v>
      </c>
      <c r="B486" s="192" t="s">
        <v>845</v>
      </c>
      <c r="C486" s="197">
        <v>60</v>
      </c>
      <c r="D486" s="189" t="s">
        <v>103</v>
      </c>
      <c r="E486" s="178"/>
      <c r="F486" s="178"/>
      <c r="G486" s="178"/>
      <c r="H486" s="199">
        <v>15</v>
      </c>
      <c r="I486" s="203">
        <v>5</v>
      </c>
      <c r="J486" s="197">
        <v>5</v>
      </c>
      <c r="K486" s="197">
        <v>5</v>
      </c>
      <c r="L486" s="199">
        <v>15</v>
      </c>
      <c r="M486" s="203">
        <v>5</v>
      </c>
      <c r="N486" s="197">
        <v>5</v>
      </c>
      <c r="O486" s="197">
        <v>5</v>
      </c>
      <c r="P486" s="199">
        <v>15</v>
      </c>
      <c r="Q486" s="203">
        <v>5</v>
      </c>
      <c r="R486" s="197">
        <v>5</v>
      </c>
      <c r="S486" s="197">
        <v>5</v>
      </c>
      <c r="T486" s="199">
        <v>15</v>
      </c>
      <c r="U486" s="203">
        <v>5</v>
      </c>
      <c r="V486" s="207">
        <v>5</v>
      </c>
      <c r="W486" s="208">
        <v>5</v>
      </c>
      <c r="X486" s="137" t="s">
        <v>197</v>
      </c>
      <c r="Y486" s="155" t="str">
        <f>DB!$D$109</f>
        <v>Epson Genuine Ink (003) Magenta</v>
      </c>
      <c r="Z486" s="154"/>
      <c r="AA486" s="149"/>
      <c r="AB486" s="136"/>
      <c r="AC486" s="139"/>
      <c r="AD486" s="139"/>
      <c r="AE486" s="139"/>
      <c r="AF486" s="139"/>
    </row>
    <row r="487" spans="1:32" ht="25.5">
      <c r="A487" s="136" t="e">
        <f ca="1"/>
        <v>#NAME?</v>
      </c>
      <c r="B487" s="192" t="s">
        <v>846</v>
      </c>
      <c r="C487" s="197">
        <v>24</v>
      </c>
      <c r="D487" s="189" t="s">
        <v>103</v>
      </c>
      <c r="E487" s="183"/>
      <c r="F487" s="182"/>
      <c r="G487" s="178"/>
      <c r="H487" s="199">
        <v>6</v>
      </c>
      <c r="I487" s="203">
        <v>2</v>
      </c>
      <c r="J487" s="197">
        <v>2</v>
      </c>
      <c r="K487" s="197">
        <v>2</v>
      </c>
      <c r="L487" s="199">
        <v>6</v>
      </c>
      <c r="M487" s="203">
        <v>2</v>
      </c>
      <c r="N487" s="197">
        <v>2</v>
      </c>
      <c r="O487" s="197">
        <v>2</v>
      </c>
      <c r="P487" s="199">
        <v>6</v>
      </c>
      <c r="Q487" s="203">
        <v>2</v>
      </c>
      <c r="R487" s="197">
        <v>2</v>
      </c>
      <c r="S487" s="197">
        <v>2</v>
      </c>
      <c r="T487" s="199">
        <v>6</v>
      </c>
      <c r="U487" s="203">
        <v>2</v>
      </c>
      <c r="V487" s="197">
        <v>2</v>
      </c>
      <c r="W487" s="197">
        <v>2</v>
      </c>
      <c r="X487" s="137" t="s">
        <v>197</v>
      </c>
      <c r="Y487" s="155" t="str">
        <f>DB!$D$242</f>
        <v>Toner Cartridge for the existing ECOSYS M3145DN</v>
      </c>
      <c r="Z487" s="163"/>
      <c r="AA487" s="149"/>
      <c r="AB487" s="136"/>
      <c r="AC487" s="139"/>
      <c r="AD487" s="139"/>
      <c r="AE487" s="139"/>
      <c r="AF487" s="139"/>
    </row>
    <row r="488" spans="1:32" ht="12.75">
      <c r="A488" s="136" t="e">
        <f ca="1"/>
        <v>#NAME?</v>
      </c>
      <c r="B488" s="192" t="s">
        <v>847</v>
      </c>
      <c r="C488" s="197">
        <v>6</v>
      </c>
      <c r="D488" s="189" t="s">
        <v>103</v>
      </c>
      <c r="E488" s="178"/>
      <c r="F488" s="179"/>
      <c r="G488" s="178"/>
      <c r="H488" s="199">
        <v>3</v>
      </c>
      <c r="I488" s="203">
        <v>3</v>
      </c>
      <c r="J488" s="197"/>
      <c r="K488" s="197"/>
      <c r="L488" s="199">
        <v>0</v>
      </c>
      <c r="M488" s="203"/>
      <c r="N488" s="197"/>
      <c r="O488" s="197"/>
      <c r="P488" s="199">
        <v>3</v>
      </c>
      <c r="Q488" s="203">
        <v>3</v>
      </c>
      <c r="R488" s="197"/>
      <c r="S488" s="197"/>
      <c r="T488" s="209">
        <v>0</v>
      </c>
      <c r="U488" s="151"/>
      <c r="V488" s="198"/>
      <c r="W488" s="206"/>
      <c r="X488" s="137" t="s">
        <v>197</v>
      </c>
      <c r="Y488" s="163" t="str">
        <f>DB!$D$6</f>
        <v>UPS 650VA, AVR, 230V</v>
      </c>
      <c r="Z488" s="152"/>
      <c r="AA488" s="149"/>
      <c r="AB488" s="136"/>
      <c r="AC488" s="139"/>
      <c r="AD488" s="139"/>
      <c r="AE488" s="139"/>
      <c r="AF488" s="139"/>
    </row>
    <row r="489" spans="1:32" ht="12.75">
      <c r="A489" s="136" t="e">
        <f ca="1"/>
        <v>#NAME?</v>
      </c>
      <c r="B489" s="210" t="s">
        <v>848</v>
      </c>
      <c r="C489" s="197">
        <v>3</v>
      </c>
      <c r="D489" s="189" t="s">
        <v>773</v>
      </c>
      <c r="E489" s="178"/>
      <c r="F489" s="179"/>
      <c r="G489" s="178"/>
      <c r="H489" s="199">
        <v>1</v>
      </c>
      <c r="I489" s="203">
        <v>1</v>
      </c>
      <c r="J489" s="197"/>
      <c r="K489" s="197"/>
      <c r="L489" s="199">
        <v>1</v>
      </c>
      <c r="M489" s="203">
        <v>1</v>
      </c>
      <c r="N489" s="197"/>
      <c r="O489" s="197"/>
      <c r="P489" s="199">
        <v>1</v>
      </c>
      <c r="Q489" s="203">
        <v>1</v>
      </c>
      <c r="R489" s="197"/>
      <c r="S489" s="197"/>
      <c r="T489" s="199">
        <v>0</v>
      </c>
      <c r="U489" s="198"/>
      <c r="V489" s="198"/>
      <c r="W489" s="198"/>
      <c r="X489" s="137" t="s">
        <v>197</v>
      </c>
      <c r="Y489" s="163" t="str">
        <f>DB!$D$76</f>
        <v>Dot Matrix Printer 24-Pin</v>
      </c>
      <c r="Z489" s="152"/>
      <c r="AA489" s="149"/>
      <c r="AB489" s="136"/>
      <c r="AC489" s="139"/>
      <c r="AD489" s="139"/>
      <c r="AE489" s="139"/>
      <c r="AF489" s="139"/>
    </row>
    <row r="490" spans="1:32" ht="12.75">
      <c r="A490" s="136" t="e">
        <f ca="1"/>
        <v>#NAME?</v>
      </c>
      <c r="B490" s="192" t="s">
        <v>523</v>
      </c>
      <c r="C490" s="203">
        <v>1</v>
      </c>
      <c r="D490" s="189" t="s">
        <v>103</v>
      </c>
      <c r="E490" s="178"/>
      <c r="F490" s="179"/>
      <c r="G490" s="178"/>
      <c r="H490" s="151">
        <v>1</v>
      </c>
      <c r="I490" s="203">
        <v>1</v>
      </c>
      <c r="J490" s="197"/>
      <c r="K490" s="197"/>
      <c r="L490" s="151">
        <v>0</v>
      </c>
      <c r="M490" s="203"/>
      <c r="N490" s="197"/>
      <c r="O490" s="197"/>
      <c r="P490" s="151">
        <v>0</v>
      </c>
      <c r="Q490" s="203"/>
      <c r="R490" s="197"/>
      <c r="S490" s="197"/>
      <c r="T490" s="151">
        <v>0</v>
      </c>
      <c r="U490" s="198"/>
      <c r="V490" s="198"/>
      <c r="W490" s="198"/>
      <c r="X490" s="137" t="s">
        <v>108</v>
      </c>
      <c r="Y490" s="155"/>
      <c r="Z490" s="152" t="s">
        <v>453</v>
      </c>
      <c r="AA490" s="149"/>
      <c r="AB490" s="136"/>
      <c r="AC490" s="139"/>
      <c r="AD490" s="139"/>
      <c r="AE490" s="139"/>
      <c r="AF490" s="139"/>
    </row>
    <row r="491" spans="1:32" ht="12.75">
      <c r="A491" s="136" t="e">
        <f ca="1"/>
        <v>#NAME?</v>
      </c>
      <c r="B491" s="192" t="s">
        <v>849</v>
      </c>
      <c r="C491" s="203">
        <v>4</v>
      </c>
      <c r="D491" s="189" t="s">
        <v>103</v>
      </c>
      <c r="E491" s="179"/>
      <c r="F491" s="179"/>
      <c r="G491" s="178"/>
      <c r="H491" s="199">
        <v>2</v>
      </c>
      <c r="I491" s="211">
        <v>2</v>
      </c>
      <c r="J491" s="209"/>
      <c r="K491" s="209"/>
      <c r="L491" s="199">
        <v>0</v>
      </c>
      <c r="M491" s="211"/>
      <c r="N491" s="209"/>
      <c r="O491" s="209"/>
      <c r="P491" s="199">
        <v>2</v>
      </c>
      <c r="Q491" s="211">
        <v>2</v>
      </c>
      <c r="R491" s="209"/>
      <c r="S491" s="209"/>
      <c r="T491" s="199">
        <v>0</v>
      </c>
      <c r="U491" s="201"/>
      <c r="V491" s="201"/>
      <c r="W491" s="201"/>
      <c r="X491" s="137" t="s">
        <v>108</v>
      </c>
      <c r="Y491" s="141" t="str">
        <f>DB!$D$194</f>
        <v>Branded Desktop Computer Set</v>
      </c>
      <c r="Z491" s="154"/>
      <c r="AA491" s="149"/>
      <c r="AB491" s="136"/>
      <c r="AC491" s="139"/>
      <c r="AD491" s="139"/>
      <c r="AE491" s="139"/>
      <c r="AF491" s="139"/>
    </row>
    <row r="492" spans="1:32" ht="12.75">
      <c r="A492" s="136" t="e">
        <f ca="1"/>
        <v>#NAME?</v>
      </c>
      <c r="B492" s="192" t="s">
        <v>817</v>
      </c>
      <c r="C492" s="203">
        <v>4</v>
      </c>
      <c r="D492" s="189" t="s">
        <v>103</v>
      </c>
      <c r="E492" s="179"/>
      <c r="F492" s="179"/>
      <c r="G492" s="178"/>
      <c r="H492" s="199">
        <v>1</v>
      </c>
      <c r="I492" s="203">
        <v>1</v>
      </c>
      <c r="J492" s="197"/>
      <c r="K492" s="197"/>
      <c r="L492" s="199">
        <v>1</v>
      </c>
      <c r="M492" s="203">
        <v>1</v>
      </c>
      <c r="N492" s="197"/>
      <c r="O492" s="197"/>
      <c r="P492" s="199">
        <v>1</v>
      </c>
      <c r="Q492" s="203">
        <v>1</v>
      </c>
      <c r="R492" s="197"/>
      <c r="S492" s="197"/>
      <c r="T492" s="199">
        <v>1</v>
      </c>
      <c r="U492" s="200">
        <v>1</v>
      </c>
      <c r="V492" s="200"/>
      <c r="W492" s="200"/>
      <c r="X492" s="137" t="s">
        <v>108</v>
      </c>
      <c r="Y492" s="163" t="str">
        <f>DB!$D$37</f>
        <v>Single Line Telephone (Black)</v>
      </c>
      <c r="Z492" s="154"/>
      <c r="AA492" s="149"/>
      <c r="AB492" s="136"/>
      <c r="AC492" s="139"/>
      <c r="AD492" s="139"/>
      <c r="AE492" s="139"/>
      <c r="AF492" s="139"/>
    </row>
    <row r="493" spans="1:32" ht="12.75">
      <c r="A493" s="136" t="e">
        <f ca="1"/>
        <v>#NAME?</v>
      </c>
      <c r="B493" s="192" t="s">
        <v>850</v>
      </c>
      <c r="C493" s="203">
        <v>30</v>
      </c>
      <c r="D493" s="189" t="s">
        <v>103</v>
      </c>
      <c r="E493" s="178"/>
      <c r="F493" s="178"/>
      <c r="G493" s="178"/>
      <c r="H493" s="199">
        <v>20</v>
      </c>
      <c r="I493" s="203">
        <v>20</v>
      </c>
      <c r="J493" s="197"/>
      <c r="K493" s="197"/>
      <c r="L493" s="199">
        <v>0</v>
      </c>
      <c r="M493" s="203"/>
      <c r="N493" s="197"/>
      <c r="O493" s="197"/>
      <c r="P493" s="199">
        <v>10</v>
      </c>
      <c r="Q493" s="203">
        <v>10</v>
      </c>
      <c r="R493" s="197"/>
      <c r="S493" s="197"/>
      <c r="T493" s="199">
        <v>0</v>
      </c>
      <c r="U493" s="200"/>
      <c r="V493" s="200"/>
      <c r="W493" s="200"/>
      <c r="X493" s="137" t="s">
        <v>108</v>
      </c>
      <c r="Y493" s="141"/>
      <c r="Z493" s="154" t="s">
        <v>453</v>
      </c>
      <c r="AA493" s="149"/>
      <c r="AB493" s="136"/>
      <c r="AC493" s="139"/>
      <c r="AD493" s="139"/>
      <c r="AE493" s="139"/>
      <c r="AF493" s="139"/>
    </row>
    <row r="494" spans="1:32" ht="12.75">
      <c r="A494" s="136" t="e">
        <f ca="1"/>
        <v>#NAME?</v>
      </c>
      <c r="B494" s="192" t="s">
        <v>234</v>
      </c>
      <c r="C494" s="203">
        <v>8</v>
      </c>
      <c r="D494" s="189" t="s">
        <v>103</v>
      </c>
      <c r="E494" s="178"/>
      <c r="F494" s="178"/>
      <c r="G494" s="178"/>
      <c r="H494" s="199">
        <v>4</v>
      </c>
      <c r="I494" s="203">
        <v>4</v>
      </c>
      <c r="J494" s="197"/>
      <c r="K494" s="197"/>
      <c r="L494" s="199">
        <v>0</v>
      </c>
      <c r="M494" s="203"/>
      <c r="N494" s="197"/>
      <c r="O494" s="197"/>
      <c r="P494" s="199">
        <v>4</v>
      </c>
      <c r="Q494" s="203">
        <v>4</v>
      </c>
      <c r="R494" s="197"/>
      <c r="S494" s="197"/>
      <c r="T494" s="199">
        <v>0</v>
      </c>
      <c r="U494" s="200"/>
      <c r="V494" s="200"/>
      <c r="W494" s="200"/>
      <c r="X494" s="137" t="s">
        <v>108</v>
      </c>
      <c r="Y494" s="141" t="str">
        <f>DB!$D$168</f>
        <v>Keyboard, Full Size, USB 2.0</v>
      </c>
      <c r="Z494" s="154"/>
      <c r="AA494" s="149"/>
      <c r="AB494" s="136"/>
      <c r="AC494" s="139"/>
      <c r="AD494" s="139"/>
      <c r="AE494" s="139"/>
      <c r="AF494" s="139"/>
    </row>
    <row r="495" spans="1:32" ht="12.75">
      <c r="A495" s="136" t="e">
        <f ca="1"/>
        <v>#NAME?</v>
      </c>
      <c r="B495" s="188" t="s">
        <v>239</v>
      </c>
      <c r="C495" s="197">
        <v>8</v>
      </c>
      <c r="D495" s="189" t="s">
        <v>103</v>
      </c>
      <c r="E495" s="183"/>
      <c r="F495" s="182"/>
      <c r="G495" s="178"/>
      <c r="H495" s="199">
        <v>4</v>
      </c>
      <c r="I495" s="203">
        <v>4</v>
      </c>
      <c r="J495" s="197"/>
      <c r="K495" s="197"/>
      <c r="L495" s="199">
        <v>0</v>
      </c>
      <c r="M495" s="203"/>
      <c r="N495" s="197"/>
      <c r="O495" s="197"/>
      <c r="P495" s="199">
        <v>4</v>
      </c>
      <c r="Q495" s="203">
        <v>4</v>
      </c>
      <c r="R495" s="197"/>
      <c r="S495" s="197"/>
      <c r="T495" s="199">
        <v>0</v>
      </c>
      <c r="U495" s="200"/>
      <c r="V495" s="200"/>
      <c r="W495" s="200"/>
      <c r="X495" s="137" t="s">
        <v>108</v>
      </c>
      <c r="Y495" s="141" t="str">
        <f>DB!$D$169</f>
        <v>Mouse, Optical, USB 2.0</v>
      </c>
      <c r="Z495" s="154"/>
      <c r="AA495" s="149"/>
      <c r="AB495" s="136"/>
      <c r="AC495" s="139"/>
      <c r="AD495" s="139"/>
      <c r="AE495" s="139"/>
      <c r="AF495" s="139"/>
    </row>
    <row r="496" spans="1:32" ht="12.75">
      <c r="A496" s="136" t="e">
        <f ca="1"/>
        <v>#NAME?</v>
      </c>
      <c r="B496" s="204" t="s">
        <v>841</v>
      </c>
      <c r="C496" s="197">
        <v>2</v>
      </c>
      <c r="D496" s="189" t="s">
        <v>103</v>
      </c>
      <c r="E496" s="178"/>
      <c r="F496" s="179"/>
      <c r="G496" s="178"/>
      <c r="H496" s="199">
        <v>2</v>
      </c>
      <c r="I496" s="203">
        <v>2</v>
      </c>
      <c r="J496" s="197"/>
      <c r="K496" s="197"/>
      <c r="L496" s="199">
        <v>0</v>
      </c>
      <c r="M496" s="203"/>
      <c r="N496" s="197"/>
      <c r="O496" s="197"/>
      <c r="P496" s="199">
        <v>0</v>
      </c>
      <c r="Q496" s="203"/>
      <c r="R496" s="197"/>
      <c r="S496" s="197"/>
      <c r="T496" s="199">
        <v>0</v>
      </c>
      <c r="U496" s="200"/>
      <c r="V496" s="200"/>
      <c r="W496" s="205"/>
      <c r="X496" s="137" t="s">
        <v>108</v>
      </c>
      <c r="Y496" s="155" t="str">
        <f>DB!$D$276</f>
        <v>Ink Tank Printer</v>
      </c>
      <c r="Z496" s="152" t="s">
        <v>469</v>
      </c>
      <c r="AA496" s="149"/>
      <c r="AB496" s="136"/>
      <c r="AC496" s="139"/>
      <c r="AD496" s="139"/>
      <c r="AE496" s="139"/>
      <c r="AF496" s="139"/>
    </row>
    <row r="497" spans="1:32" ht="12.75">
      <c r="A497" s="136" t="e">
        <f ca="1"/>
        <v>#NAME?</v>
      </c>
      <c r="B497" s="188" t="s">
        <v>851</v>
      </c>
      <c r="C497" s="203">
        <v>60</v>
      </c>
      <c r="D497" s="189" t="s">
        <v>103</v>
      </c>
      <c r="E497" s="178"/>
      <c r="F497" s="179"/>
      <c r="G497" s="178"/>
      <c r="H497" s="199">
        <v>15</v>
      </c>
      <c r="I497" s="203">
        <v>5</v>
      </c>
      <c r="J497" s="197">
        <v>5</v>
      </c>
      <c r="K497" s="197">
        <v>5</v>
      </c>
      <c r="L497" s="199">
        <v>15</v>
      </c>
      <c r="M497" s="203">
        <v>5</v>
      </c>
      <c r="N497" s="197">
        <v>5</v>
      </c>
      <c r="O497" s="197">
        <v>5</v>
      </c>
      <c r="P497" s="199">
        <v>15</v>
      </c>
      <c r="Q497" s="203">
        <v>5</v>
      </c>
      <c r="R497" s="197">
        <v>5</v>
      </c>
      <c r="S497" s="197">
        <v>5</v>
      </c>
      <c r="T497" s="199">
        <v>15</v>
      </c>
      <c r="U497" s="200">
        <v>5</v>
      </c>
      <c r="V497" s="200">
        <v>5</v>
      </c>
      <c r="W497" s="206">
        <v>5</v>
      </c>
      <c r="X497" s="137" t="s">
        <v>108</v>
      </c>
      <c r="Y497" s="155" t="str">
        <f>DB!$D$113</f>
        <v>HP Genuine Ink Refill - (GT52) Yellow</v>
      </c>
      <c r="Z497" s="152"/>
      <c r="AA497" s="149"/>
      <c r="AB497" s="136"/>
      <c r="AC497" s="139"/>
      <c r="AD497" s="139"/>
      <c r="AE497" s="139"/>
      <c r="AF497" s="139"/>
    </row>
    <row r="498" spans="1:32" ht="12.75">
      <c r="A498" s="136" t="e">
        <f ca="1"/>
        <v>#NAME?</v>
      </c>
      <c r="B498" s="192" t="s">
        <v>852</v>
      </c>
      <c r="C498" s="203">
        <v>60</v>
      </c>
      <c r="D498" s="189" t="s">
        <v>103</v>
      </c>
      <c r="E498" s="178"/>
      <c r="F498" s="179"/>
      <c r="G498" s="178"/>
      <c r="H498" s="199">
        <v>15</v>
      </c>
      <c r="I498" s="203">
        <v>5</v>
      </c>
      <c r="J498" s="197">
        <v>5</v>
      </c>
      <c r="K498" s="197">
        <v>5</v>
      </c>
      <c r="L498" s="199">
        <v>15</v>
      </c>
      <c r="M498" s="203">
        <v>5</v>
      </c>
      <c r="N498" s="197">
        <v>5</v>
      </c>
      <c r="O498" s="197">
        <v>5</v>
      </c>
      <c r="P498" s="199">
        <v>15</v>
      </c>
      <c r="Q498" s="203">
        <v>5</v>
      </c>
      <c r="R498" s="197">
        <v>5</v>
      </c>
      <c r="S498" s="197">
        <v>5</v>
      </c>
      <c r="T498" s="199">
        <v>15</v>
      </c>
      <c r="U498" s="203">
        <v>5</v>
      </c>
      <c r="V498" s="197">
        <v>5</v>
      </c>
      <c r="W498" s="151">
        <v>5</v>
      </c>
      <c r="X498" s="137" t="s">
        <v>108</v>
      </c>
      <c r="Y498" s="155" t="str">
        <f>DB!$D$111</f>
        <v>HP Genuine Ink Refill - (GT52) Magenta</v>
      </c>
      <c r="Z498" s="152"/>
      <c r="AA498" s="149"/>
      <c r="AB498" s="136"/>
      <c r="AC498" s="139"/>
      <c r="AD498" s="139"/>
      <c r="AE498" s="139"/>
      <c r="AF498" s="139"/>
    </row>
    <row r="499" spans="1:32" ht="12.75">
      <c r="A499" s="136" t="e">
        <f ca="1"/>
        <v>#NAME?</v>
      </c>
      <c r="B499" s="192" t="s">
        <v>853</v>
      </c>
      <c r="C499" s="203">
        <v>60</v>
      </c>
      <c r="D499" s="189" t="s">
        <v>103</v>
      </c>
      <c r="E499" s="179"/>
      <c r="F499" s="179"/>
      <c r="G499" s="178"/>
      <c r="H499" s="199">
        <v>15</v>
      </c>
      <c r="I499" s="203">
        <v>5</v>
      </c>
      <c r="J499" s="197">
        <v>5</v>
      </c>
      <c r="K499" s="197">
        <v>5</v>
      </c>
      <c r="L499" s="199">
        <v>15</v>
      </c>
      <c r="M499" s="203">
        <v>5</v>
      </c>
      <c r="N499" s="197">
        <v>5</v>
      </c>
      <c r="O499" s="197">
        <v>5</v>
      </c>
      <c r="P499" s="199">
        <v>15</v>
      </c>
      <c r="Q499" s="203">
        <v>5</v>
      </c>
      <c r="R499" s="197">
        <v>5</v>
      </c>
      <c r="S499" s="197">
        <v>5</v>
      </c>
      <c r="T499" s="199">
        <v>15</v>
      </c>
      <c r="U499" s="203">
        <v>5</v>
      </c>
      <c r="V499" s="197">
        <v>5</v>
      </c>
      <c r="W499" s="189">
        <v>5</v>
      </c>
      <c r="X499" s="137" t="s">
        <v>108</v>
      </c>
      <c r="Y499" s="155" t="str">
        <f>DB!$D$112</f>
        <v>HP Genuine Ink Refill - (GT52) Cyan</v>
      </c>
      <c r="Z499" s="154"/>
      <c r="AA499" s="149"/>
      <c r="AB499" s="136"/>
      <c r="AC499" s="139"/>
      <c r="AD499" s="139"/>
      <c r="AE499" s="139"/>
      <c r="AF499" s="139"/>
    </row>
    <row r="500" spans="1:32" ht="12.75">
      <c r="A500" s="136" t="e">
        <f ca="1"/>
        <v>#NAME?</v>
      </c>
      <c r="B500" s="192" t="s">
        <v>854</v>
      </c>
      <c r="C500" s="203">
        <v>60</v>
      </c>
      <c r="D500" s="189" t="s">
        <v>103</v>
      </c>
      <c r="E500" s="179"/>
      <c r="F500" s="179"/>
      <c r="G500" s="178"/>
      <c r="H500" s="199">
        <v>15</v>
      </c>
      <c r="I500" s="203">
        <v>5</v>
      </c>
      <c r="J500" s="197">
        <v>5</v>
      </c>
      <c r="K500" s="197">
        <v>5</v>
      </c>
      <c r="L500" s="199">
        <v>15</v>
      </c>
      <c r="M500" s="203">
        <v>5</v>
      </c>
      <c r="N500" s="197">
        <v>5</v>
      </c>
      <c r="O500" s="197">
        <v>5</v>
      </c>
      <c r="P500" s="199">
        <v>15</v>
      </c>
      <c r="Q500" s="203">
        <v>5</v>
      </c>
      <c r="R500" s="197">
        <v>5</v>
      </c>
      <c r="S500" s="197">
        <v>5</v>
      </c>
      <c r="T500" s="199">
        <v>15</v>
      </c>
      <c r="U500" s="203">
        <v>5</v>
      </c>
      <c r="V500" s="207">
        <v>5</v>
      </c>
      <c r="W500" s="208">
        <v>5</v>
      </c>
      <c r="X500" s="137" t="s">
        <v>108</v>
      </c>
      <c r="Y500" s="155" t="str">
        <f>DB!$D$110</f>
        <v>HP Genuine Ink Refill - (GT53) Black</v>
      </c>
      <c r="Z500" s="154"/>
      <c r="AA500" s="149"/>
      <c r="AB500" s="136"/>
      <c r="AC500" s="139"/>
      <c r="AD500" s="139"/>
      <c r="AE500" s="139"/>
      <c r="AF500" s="139"/>
    </row>
    <row r="501" spans="1:32" ht="25.5">
      <c r="A501" s="136" t="e">
        <f ca="1"/>
        <v>#NAME?</v>
      </c>
      <c r="B501" s="192" t="s">
        <v>855</v>
      </c>
      <c r="C501" s="203">
        <v>24</v>
      </c>
      <c r="D501" s="189" t="s">
        <v>103</v>
      </c>
      <c r="E501" s="178"/>
      <c r="F501" s="178"/>
      <c r="G501" s="178"/>
      <c r="H501" s="199">
        <v>6</v>
      </c>
      <c r="I501" s="203">
        <v>2</v>
      </c>
      <c r="J501" s="197">
        <v>2</v>
      </c>
      <c r="K501" s="197">
        <v>2</v>
      </c>
      <c r="L501" s="199">
        <v>6</v>
      </c>
      <c r="M501" s="203">
        <v>2</v>
      </c>
      <c r="N501" s="197">
        <v>2</v>
      </c>
      <c r="O501" s="197">
        <v>2</v>
      </c>
      <c r="P501" s="199">
        <v>6</v>
      </c>
      <c r="Q501" s="203">
        <v>2</v>
      </c>
      <c r="R501" s="197">
        <v>2</v>
      </c>
      <c r="S501" s="197">
        <v>2</v>
      </c>
      <c r="T501" s="199">
        <v>6</v>
      </c>
      <c r="U501" s="203">
        <v>2</v>
      </c>
      <c r="V501" s="197">
        <v>2</v>
      </c>
      <c r="W501" s="197">
        <v>2</v>
      </c>
      <c r="X501" s="137" t="s">
        <v>108</v>
      </c>
      <c r="Y501" s="155" t="str">
        <f>DB!$D$238</f>
        <v>Toner Cartridge for the existing ECOSYS M2535DN/L</v>
      </c>
      <c r="Z501" s="163"/>
      <c r="AA501" s="149"/>
      <c r="AB501" s="136"/>
      <c r="AC501" s="139"/>
      <c r="AD501" s="139"/>
      <c r="AE501" s="139"/>
      <c r="AF501" s="139"/>
    </row>
    <row r="502" spans="1:32" ht="25.5">
      <c r="A502" s="136" t="e">
        <f ca="1"/>
        <v>#NAME?</v>
      </c>
      <c r="B502" s="192" t="s">
        <v>856</v>
      </c>
      <c r="C502" s="203">
        <v>24</v>
      </c>
      <c r="D502" s="189" t="s">
        <v>103</v>
      </c>
      <c r="E502" s="178"/>
      <c r="F502" s="178"/>
      <c r="G502" s="178"/>
      <c r="H502" s="199">
        <v>6</v>
      </c>
      <c r="I502" s="203">
        <v>2</v>
      </c>
      <c r="J502" s="197">
        <v>2</v>
      </c>
      <c r="K502" s="197">
        <v>2</v>
      </c>
      <c r="L502" s="199">
        <v>6</v>
      </c>
      <c r="M502" s="203">
        <v>2</v>
      </c>
      <c r="N502" s="197">
        <v>2</v>
      </c>
      <c r="O502" s="197">
        <v>2</v>
      </c>
      <c r="P502" s="199">
        <v>6</v>
      </c>
      <c r="Q502" s="203">
        <v>2</v>
      </c>
      <c r="R502" s="197">
        <v>2</v>
      </c>
      <c r="S502" s="197">
        <v>2</v>
      </c>
      <c r="T502" s="199">
        <v>6</v>
      </c>
      <c r="U502" s="212">
        <v>2</v>
      </c>
      <c r="V502" s="207">
        <v>2</v>
      </c>
      <c r="W502" s="197">
        <v>2</v>
      </c>
      <c r="X502" s="137" t="s">
        <v>108</v>
      </c>
      <c r="Y502" s="155" t="str">
        <f>DB!$D$245</f>
        <v>Toner Cartridge for the existing ECOSYS M4125IDN</v>
      </c>
      <c r="Z502" s="163"/>
      <c r="AA502" s="149"/>
      <c r="AB502" s="136"/>
      <c r="AC502" s="139"/>
      <c r="AD502" s="139"/>
      <c r="AE502" s="139"/>
      <c r="AF502" s="139"/>
    </row>
    <row r="503" spans="1:32" ht="25.5">
      <c r="A503" s="136" t="e">
        <f ca="1"/>
        <v>#NAME?</v>
      </c>
      <c r="B503" s="192" t="s">
        <v>857</v>
      </c>
      <c r="C503" s="203">
        <v>8</v>
      </c>
      <c r="D503" s="189" t="s">
        <v>103</v>
      </c>
      <c r="E503" s="178"/>
      <c r="F503" s="178"/>
      <c r="G503" s="178"/>
      <c r="H503" s="199">
        <v>2</v>
      </c>
      <c r="I503" s="203">
        <v>1</v>
      </c>
      <c r="J503" s="197"/>
      <c r="K503" s="197">
        <v>1</v>
      </c>
      <c r="L503" s="199">
        <v>2</v>
      </c>
      <c r="M503" s="203">
        <v>1</v>
      </c>
      <c r="N503" s="197"/>
      <c r="O503" s="197">
        <v>1</v>
      </c>
      <c r="P503" s="199">
        <v>2</v>
      </c>
      <c r="Q503" s="203">
        <v>1</v>
      </c>
      <c r="R503" s="197"/>
      <c r="S503" s="197">
        <v>1</v>
      </c>
      <c r="T503" s="199">
        <v>2</v>
      </c>
      <c r="U503" s="203">
        <v>1</v>
      </c>
      <c r="V503" s="212"/>
      <c r="W503" s="213">
        <v>1</v>
      </c>
      <c r="X503" s="137" t="s">
        <v>108</v>
      </c>
      <c r="Y503" s="155" t="str">
        <f>DB!$D$240</f>
        <v>Toner Cartridge for the existing ECOSYS M2540DN/L</v>
      </c>
      <c r="Z503" s="163"/>
      <c r="AA503" s="149"/>
      <c r="AB503" s="136"/>
      <c r="AC503" s="139"/>
      <c r="AD503" s="139"/>
      <c r="AE503" s="139"/>
      <c r="AF503" s="139"/>
    </row>
    <row r="504" spans="1:32" ht="12.75">
      <c r="A504" s="136" t="e">
        <f ca="1"/>
        <v>#NAME?</v>
      </c>
      <c r="B504" s="192" t="s">
        <v>847</v>
      </c>
      <c r="C504" s="203">
        <v>4</v>
      </c>
      <c r="D504" s="189" t="s">
        <v>103</v>
      </c>
      <c r="E504" s="183"/>
      <c r="F504" s="183"/>
      <c r="G504" s="183"/>
      <c r="H504" s="199">
        <v>2</v>
      </c>
      <c r="I504" s="203">
        <v>2</v>
      </c>
      <c r="J504" s="197"/>
      <c r="K504" s="197"/>
      <c r="L504" s="199">
        <v>0</v>
      </c>
      <c r="M504" s="203"/>
      <c r="N504" s="197"/>
      <c r="O504" s="197"/>
      <c r="P504" s="199">
        <v>2</v>
      </c>
      <c r="Q504" s="203">
        <v>2</v>
      </c>
      <c r="R504" s="197"/>
      <c r="S504" s="197"/>
      <c r="T504" s="199">
        <v>0</v>
      </c>
      <c r="U504" s="203"/>
      <c r="V504" s="212"/>
      <c r="W504" s="213"/>
      <c r="X504" s="137" t="s">
        <v>108</v>
      </c>
      <c r="Y504" s="163" t="str">
        <f>DB!$D$6</f>
        <v>UPS 650VA, AVR, 230V</v>
      </c>
      <c r="Z504" s="154"/>
      <c r="AA504" s="149"/>
      <c r="AB504" s="136"/>
      <c r="AC504" s="139"/>
      <c r="AD504" s="139"/>
      <c r="AE504" s="139"/>
      <c r="AF504" s="139"/>
    </row>
    <row r="505" spans="1:32" ht="12.75">
      <c r="A505" s="136" t="e">
        <f ca="1"/>
        <v>#NAME?</v>
      </c>
      <c r="B505" s="192" t="s">
        <v>858</v>
      </c>
      <c r="C505" s="203">
        <v>3</v>
      </c>
      <c r="D505" s="189" t="s">
        <v>103</v>
      </c>
      <c r="E505" s="178"/>
      <c r="F505" s="178"/>
      <c r="G505" s="178"/>
      <c r="H505" s="199">
        <v>0</v>
      </c>
      <c r="I505" s="203"/>
      <c r="J505" s="197"/>
      <c r="K505" s="197"/>
      <c r="L505" s="199">
        <v>2</v>
      </c>
      <c r="M505" s="203">
        <v>2</v>
      </c>
      <c r="N505" s="197"/>
      <c r="O505" s="197"/>
      <c r="P505" s="199">
        <v>0</v>
      </c>
      <c r="Q505" s="203"/>
      <c r="R505" s="197"/>
      <c r="S505" s="197"/>
      <c r="T505" s="199">
        <v>1</v>
      </c>
      <c r="U505" s="203">
        <v>1</v>
      </c>
      <c r="V505" s="212"/>
      <c r="W505" s="213"/>
      <c r="X505" s="137" t="s">
        <v>108</v>
      </c>
      <c r="Y505" s="163" t="str">
        <f>DB!$D$79</f>
        <v>32GB Flash Drive</v>
      </c>
      <c r="Z505" s="154"/>
      <c r="AA505" s="149"/>
      <c r="AB505" s="136"/>
      <c r="AC505" s="139"/>
      <c r="AD505" s="139"/>
      <c r="AE505" s="139"/>
      <c r="AF505" s="139"/>
    </row>
    <row r="506" spans="1:32" ht="12.75">
      <c r="A506" s="136" t="e">
        <f ca="1"/>
        <v>#NAME?</v>
      </c>
      <c r="B506" s="192" t="s">
        <v>859</v>
      </c>
      <c r="C506" s="203">
        <v>3</v>
      </c>
      <c r="D506" s="189" t="s">
        <v>103</v>
      </c>
      <c r="E506" s="178"/>
      <c r="F506" s="178"/>
      <c r="G506" s="178"/>
      <c r="H506" s="199">
        <v>2</v>
      </c>
      <c r="I506" s="203">
        <v>2</v>
      </c>
      <c r="J506" s="197"/>
      <c r="K506" s="197"/>
      <c r="L506" s="199">
        <v>0</v>
      </c>
      <c r="M506" s="203"/>
      <c r="N506" s="197"/>
      <c r="O506" s="197"/>
      <c r="P506" s="199">
        <v>1</v>
      </c>
      <c r="Q506" s="203">
        <v>1</v>
      </c>
      <c r="R506" s="197"/>
      <c r="S506" s="197"/>
      <c r="T506" s="199">
        <v>0</v>
      </c>
      <c r="U506" s="203"/>
      <c r="V506" s="151"/>
      <c r="W506" s="198"/>
      <c r="X506" s="137" t="s">
        <v>108</v>
      </c>
      <c r="Y506" s="163" t="str">
        <f>DB!$D$78</f>
        <v>16GB Flash Drive</v>
      </c>
      <c r="Z506" s="154"/>
      <c r="AA506" s="149"/>
      <c r="AB506" s="136"/>
      <c r="AC506" s="139"/>
      <c r="AD506" s="139"/>
      <c r="AE506" s="139"/>
      <c r="AF506" s="139"/>
    </row>
    <row r="507" spans="1:32" ht="12.75">
      <c r="A507" s="136" t="e">
        <f ca="1"/>
        <v>#NAME?</v>
      </c>
      <c r="B507" s="192" t="s">
        <v>860</v>
      </c>
      <c r="C507" s="189">
        <v>1</v>
      </c>
      <c r="D507" s="200" t="s">
        <v>466</v>
      </c>
      <c r="E507" s="178"/>
      <c r="F507" s="178"/>
      <c r="G507" s="178"/>
      <c r="H507" s="189">
        <v>1</v>
      </c>
      <c r="I507" s="200">
        <v>1</v>
      </c>
      <c r="J507" s="200"/>
      <c r="K507" s="200"/>
      <c r="L507" s="200"/>
      <c r="M507" s="200"/>
      <c r="N507" s="200"/>
      <c r="O507" s="200"/>
      <c r="P507" s="200"/>
      <c r="Q507" s="200"/>
      <c r="R507" s="200"/>
      <c r="S507" s="200"/>
      <c r="T507" s="200"/>
      <c r="U507" s="200"/>
      <c r="V507" s="200"/>
      <c r="W507" s="200"/>
      <c r="X507" s="137" t="s">
        <v>391</v>
      </c>
      <c r="Y507" s="155" t="str">
        <f>DB!$D$276</f>
        <v>Ink Tank Printer</v>
      </c>
      <c r="Z507" s="152" t="s">
        <v>469</v>
      </c>
      <c r="AA507" s="149"/>
      <c r="AB507" s="136"/>
      <c r="AC507" s="139"/>
      <c r="AD507" s="139"/>
      <c r="AE507" s="139"/>
      <c r="AF507" s="139"/>
    </row>
    <row r="508" spans="1:32" ht="12.75">
      <c r="A508" s="136" t="e">
        <f ca="1"/>
        <v>#NAME?</v>
      </c>
      <c r="B508" s="192" t="s">
        <v>861</v>
      </c>
      <c r="C508" s="189">
        <v>8</v>
      </c>
      <c r="D508" s="200" t="s">
        <v>103</v>
      </c>
      <c r="E508" s="178"/>
      <c r="F508" s="178"/>
      <c r="G508" s="178"/>
      <c r="H508" s="189">
        <v>2</v>
      </c>
      <c r="I508" s="200">
        <v>1</v>
      </c>
      <c r="J508" s="200"/>
      <c r="K508" s="200">
        <v>1</v>
      </c>
      <c r="L508" s="200">
        <v>2</v>
      </c>
      <c r="M508" s="200">
        <v>1</v>
      </c>
      <c r="N508" s="200"/>
      <c r="O508" s="200">
        <v>1</v>
      </c>
      <c r="P508" s="200">
        <v>2</v>
      </c>
      <c r="Q508" s="200">
        <v>1</v>
      </c>
      <c r="R508" s="200"/>
      <c r="S508" s="200">
        <v>1</v>
      </c>
      <c r="T508" s="200">
        <v>2</v>
      </c>
      <c r="U508" s="200">
        <v>1</v>
      </c>
      <c r="V508" s="200"/>
      <c r="W508" s="200">
        <v>1</v>
      </c>
      <c r="X508" s="137" t="s">
        <v>391</v>
      </c>
      <c r="Y508" s="155"/>
      <c r="Z508" s="152" t="s">
        <v>453</v>
      </c>
      <c r="AA508" s="149"/>
      <c r="AB508" s="136"/>
      <c r="AC508" s="139"/>
      <c r="AD508" s="139"/>
      <c r="AE508" s="139"/>
      <c r="AF508" s="139"/>
    </row>
    <row r="509" spans="1:32" ht="12.75">
      <c r="A509" s="136" t="e">
        <f ca="1"/>
        <v>#NAME?</v>
      </c>
      <c r="B509" s="192" t="s">
        <v>862</v>
      </c>
      <c r="C509" s="189">
        <v>4</v>
      </c>
      <c r="D509" s="200" t="s">
        <v>103</v>
      </c>
      <c r="E509" s="178"/>
      <c r="F509" s="178"/>
      <c r="G509" s="178"/>
      <c r="H509" s="189">
        <v>1</v>
      </c>
      <c r="I509" s="200">
        <v>1</v>
      </c>
      <c r="J509" s="200"/>
      <c r="K509" s="200"/>
      <c r="L509" s="200">
        <v>1</v>
      </c>
      <c r="M509" s="200">
        <v>1</v>
      </c>
      <c r="N509" s="200"/>
      <c r="O509" s="200"/>
      <c r="P509" s="200">
        <v>1</v>
      </c>
      <c r="Q509" s="200">
        <v>1</v>
      </c>
      <c r="R509" s="200"/>
      <c r="S509" s="200"/>
      <c r="T509" s="200">
        <v>1</v>
      </c>
      <c r="U509" s="200">
        <v>1</v>
      </c>
      <c r="V509" s="200"/>
      <c r="W509" s="200"/>
      <c r="X509" s="137" t="s">
        <v>391</v>
      </c>
      <c r="Y509" s="155"/>
      <c r="Z509" s="152" t="s">
        <v>453</v>
      </c>
      <c r="AA509" s="149"/>
      <c r="AB509" s="136"/>
      <c r="AC509" s="139"/>
      <c r="AD509" s="139"/>
      <c r="AE509" s="139"/>
      <c r="AF509" s="139"/>
    </row>
    <row r="510" spans="1:32" ht="25.5">
      <c r="A510" s="136" t="e">
        <f ca="1"/>
        <v>#NAME?</v>
      </c>
      <c r="B510" s="192" t="s">
        <v>863</v>
      </c>
      <c r="C510" s="189">
        <v>8</v>
      </c>
      <c r="D510" s="200" t="s">
        <v>103</v>
      </c>
      <c r="E510" s="178"/>
      <c r="F510" s="178"/>
      <c r="G510" s="178"/>
      <c r="H510" s="189">
        <v>2</v>
      </c>
      <c r="I510" s="200">
        <v>1</v>
      </c>
      <c r="J510" s="200"/>
      <c r="K510" s="200">
        <v>1</v>
      </c>
      <c r="L510" s="200">
        <v>2</v>
      </c>
      <c r="M510" s="200">
        <v>1</v>
      </c>
      <c r="N510" s="200"/>
      <c r="O510" s="200">
        <v>1</v>
      </c>
      <c r="P510" s="200">
        <v>2</v>
      </c>
      <c r="Q510" s="200">
        <v>1</v>
      </c>
      <c r="R510" s="200"/>
      <c r="S510" s="200">
        <v>1</v>
      </c>
      <c r="T510" s="200">
        <v>2</v>
      </c>
      <c r="U510" s="200">
        <v>1</v>
      </c>
      <c r="V510" s="200"/>
      <c r="W510" s="200">
        <v>1</v>
      </c>
      <c r="X510" s="137" t="s">
        <v>391</v>
      </c>
      <c r="Y510" s="155" t="str">
        <f>DB!$D$239</f>
        <v>Toner Cartridge for the existing ECOSYS P2040DN</v>
      </c>
      <c r="Z510" s="163"/>
      <c r="AA510" s="149"/>
      <c r="AB510" s="136"/>
      <c r="AC510" s="139"/>
      <c r="AD510" s="139"/>
      <c r="AE510" s="139"/>
      <c r="AF510" s="139"/>
    </row>
    <row r="511" spans="1:32" ht="12.75">
      <c r="A511" s="136" t="e">
        <f ca="1"/>
        <v>#NAME?</v>
      </c>
      <c r="B511" s="192" t="s">
        <v>523</v>
      </c>
      <c r="C511" s="197">
        <v>1</v>
      </c>
      <c r="D511" s="189" t="s">
        <v>103</v>
      </c>
      <c r="E511" s="178"/>
      <c r="F511" s="178"/>
      <c r="G511" s="178"/>
      <c r="H511" s="151">
        <v>1</v>
      </c>
      <c r="I511" s="203">
        <v>1</v>
      </c>
      <c r="J511" s="197"/>
      <c r="K511" s="197"/>
      <c r="L511" s="151">
        <v>0</v>
      </c>
      <c r="M511" s="203"/>
      <c r="N511" s="197"/>
      <c r="O511" s="197"/>
      <c r="P511" s="151">
        <v>0</v>
      </c>
      <c r="Q511" s="203"/>
      <c r="R511" s="197"/>
      <c r="S511" s="197"/>
      <c r="T511" s="151">
        <v>0</v>
      </c>
      <c r="U511" s="198"/>
      <c r="V511" s="198"/>
      <c r="W511" s="198"/>
      <c r="X511" s="137" t="s">
        <v>109</v>
      </c>
      <c r="Y511" s="155"/>
      <c r="Z511" s="154" t="s">
        <v>453</v>
      </c>
      <c r="AA511" s="149"/>
      <c r="AB511" s="136"/>
      <c r="AC511" s="139"/>
      <c r="AD511" s="139"/>
      <c r="AE511" s="139"/>
      <c r="AF511" s="139"/>
    </row>
    <row r="512" spans="1:32" ht="12.75">
      <c r="A512" s="136" t="e">
        <f ca="1"/>
        <v>#NAME?</v>
      </c>
      <c r="B512" s="192" t="s">
        <v>849</v>
      </c>
      <c r="C512" s="197">
        <v>2</v>
      </c>
      <c r="D512" s="189" t="s">
        <v>103</v>
      </c>
      <c r="E512" s="149"/>
      <c r="F512" s="149"/>
      <c r="G512" s="154"/>
      <c r="H512" s="199">
        <v>2</v>
      </c>
      <c r="I512" s="211">
        <v>2</v>
      </c>
      <c r="J512" s="209"/>
      <c r="K512" s="209"/>
      <c r="L512" s="199">
        <v>0</v>
      </c>
      <c r="M512" s="211"/>
      <c r="N512" s="209"/>
      <c r="O512" s="209"/>
      <c r="P512" s="199">
        <v>0</v>
      </c>
      <c r="Q512" s="211"/>
      <c r="R512" s="209"/>
      <c r="S512" s="209"/>
      <c r="T512" s="199">
        <v>0</v>
      </c>
      <c r="U512" s="201"/>
      <c r="V512" s="201"/>
      <c r="W512" s="201"/>
      <c r="X512" s="137" t="s">
        <v>109</v>
      </c>
      <c r="Y512" s="141" t="str">
        <f>DB!$D$194</f>
        <v>Branded Desktop Computer Set</v>
      </c>
      <c r="Z512" s="154"/>
      <c r="AA512" s="149"/>
      <c r="AB512" s="136"/>
      <c r="AC512" s="139"/>
      <c r="AD512" s="139"/>
      <c r="AE512" s="139"/>
      <c r="AF512" s="139"/>
    </row>
    <row r="513" spans="1:32" ht="12.75">
      <c r="A513" s="136" t="e">
        <f ca="1"/>
        <v>#NAME?</v>
      </c>
      <c r="B513" s="192" t="s">
        <v>817</v>
      </c>
      <c r="C513" s="197">
        <v>4</v>
      </c>
      <c r="D513" s="189" t="s">
        <v>103</v>
      </c>
      <c r="E513" s="185"/>
      <c r="F513" s="185"/>
      <c r="G513" s="186"/>
      <c r="H513" s="199">
        <v>1</v>
      </c>
      <c r="I513" s="203">
        <v>1</v>
      </c>
      <c r="J513" s="197"/>
      <c r="K513" s="197"/>
      <c r="L513" s="199">
        <v>0</v>
      </c>
      <c r="M513" s="203"/>
      <c r="N513" s="197"/>
      <c r="O513" s="197"/>
      <c r="P513" s="199">
        <v>0</v>
      </c>
      <c r="Q513" s="203"/>
      <c r="R513" s="197"/>
      <c r="S513" s="197"/>
      <c r="T513" s="199">
        <v>0</v>
      </c>
      <c r="U513" s="200"/>
      <c r="V513" s="200"/>
      <c r="W513" s="200"/>
      <c r="X513" s="137" t="s">
        <v>109</v>
      </c>
      <c r="Y513" s="163" t="str">
        <f>DB!$D$37</f>
        <v>Single Line Telephone (Black)</v>
      </c>
      <c r="Z513" s="154"/>
      <c r="AA513" s="149"/>
      <c r="AB513" s="136"/>
      <c r="AC513" s="139"/>
      <c r="AD513" s="139"/>
      <c r="AE513" s="139"/>
      <c r="AF513" s="139"/>
    </row>
    <row r="514" spans="1:32" ht="12.75">
      <c r="A514" s="136" t="e">
        <f ca="1"/>
        <v>#NAME?</v>
      </c>
      <c r="B514" s="192" t="s">
        <v>850</v>
      </c>
      <c r="C514" s="197">
        <v>10</v>
      </c>
      <c r="D514" s="189" t="s">
        <v>103</v>
      </c>
      <c r="E514" s="187"/>
      <c r="F514" s="187"/>
      <c r="G514" s="186"/>
      <c r="H514" s="199">
        <v>10</v>
      </c>
      <c r="I514" s="203">
        <v>10</v>
      </c>
      <c r="J514" s="197"/>
      <c r="K514" s="197"/>
      <c r="L514" s="199">
        <v>0</v>
      </c>
      <c r="M514" s="203"/>
      <c r="N514" s="197"/>
      <c r="O514" s="197"/>
      <c r="P514" s="199">
        <v>0</v>
      </c>
      <c r="Q514" s="203"/>
      <c r="R514" s="197"/>
      <c r="S514" s="197"/>
      <c r="T514" s="199">
        <v>0</v>
      </c>
      <c r="U514" s="200"/>
      <c r="V514" s="200"/>
      <c r="W514" s="200"/>
      <c r="X514" s="137" t="s">
        <v>109</v>
      </c>
      <c r="Y514" s="155"/>
      <c r="Z514" s="154" t="s">
        <v>453</v>
      </c>
      <c r="AA514" s="149"/>
      <c r="AB514" s="136"/>
      <c r="AC514" s="139"/>
      <c r="AD514" s="139"/>
      <c r="AE514" s="139"/>
      <c r="AF514" s="139"/>
    </row>
    <row r="515" spans="1:32" ht="12.75">
      <c r="A515" s="136" t="e">
        <f ca="1"/>
        <v>#NAME?</v>
      </c>
      <c r="B515" s="192" t="s">
        <v>234</v>
      </c>
      <c r="C515" s="197">
        <v>2</v>
      </c>
      <c r="D515" s="189" t="s">
        <v>103</v>
      </c>
      <c r="E515" s="187"/>
      <c r="F515" s="187"/>
      <c r="G515" s="186"/>
      <c r="H515" s="199">
        <v>2</v>
      </c>
      <c r="I515" s="203">
        <v>2</v>
      </c>
      <c r="J515" s="197"/>
      <c r="K515" s="197"/>
      <c r="L515" s="199">
        <v>0</v>
      </c>
      <c r="M515" s="203"/>
      <c r="N515" s="197"/>
      <c r="O515" s="197"/>
      <c r="P515" s="199">
        <v>0</v>
      </c>
      <c r="Q515" s="203"/>
      <c r="R515" s="197"/>
      <c r="S515" s="197"/>
      <c r="T515" s="199">
        <v>0</v>
      </c>
      <c r="U515" s="200"/>
      <c r="V515" s="200"/>
      <c r="W515" s="200"/>
      <c r="X515" s="137" t="s">
        <v>109</v>
      </c>
      <c r="Y515" s="141" t="str">
        <f>DB!$D$168</f>
        <v>Keyboard, Full Size, USB 2.0</v>
      </c>
      <c r="Z515" s="154"/>
      <c r="AA515" s="149"/>
      <c r="AB515" s="136"/>
      <c r="AC515" s="139"/>
      <c r="AD515" s="139"/>
      <c r="AE515" s="139"/>
      <c r="AF515" s="139"/>
    </row>
    <row r="516" spans="1:32" ht="12.75">
      <c r="A516" s="136" t="e">
        <f ca="1"/>
        <v>#NAME?</v>
      </c>
      <c r="B516" s="188" t="s">
        <v>239</v>
      </c>
      <c r="C516" s="197">
        <v>2</v>
      </c>
      <c r="D516" s="189" t="s">
        <v>103</v>
      </c>
      <c r="E516" s="187"/>
      <c r="F516" s="187"/>
      <c r="G516" s="186"/>
      <c r="H516" s="199">
        <v>2</v>
      </c>
      <c r="I516" s="203">
        <v>2</v>
      </c>
      <c r="J516" s="197"/>
      <c r="K516" s="197"/>
      <c r="L516" s="199">
        <v>0</v>
      </c>
      <c r="M516" s="203"/>
      <c r="N516" s="197"/>
      <c r="O516" s="197"/>
      <c r="P516" s="199">
        <v>0</v>
      </c>
      <c r="Q516" s="203"/>
      <c r="R516" s="197"/>
      <c r="S516" s="197"/>
      <c r="T516" s="199">
        <v>0</v>
      </c>
      <c r="U516" s="200"/>
      <c r="V516" s="200"/>
      <c r="W516" s="200"/>
      <c r="X516" s="137" t="s">
        <v>109</v>
      </c>
      <c r="Y516" s="141" t="str">
        <f>DB!$D$169</f>
        <v>Mouse, Optical, USB 2.0</v>
      </c>
      <c r="Z516" s="154"/>
      <c r="AA516" s="149"/>
      <c r="AB516" s="136"/>
      <c r="AC516" s="139"/>
      <c r="AD516" s="139"/>
      <c r="AE516" s="139"/>
      <c r="AF516" s="139"/>
    </row>
    <row r="517" spans="1:32" ht="12.75">
      <c r="A517" s="136" t="e">
        <f ca="1"/>
        <v>#NAME?</v>
      </c>
      <c r="B517" s="204" t="s">
        <v>841</v>
      </c>
      <c r="C517" s="197">
        <v>1</v>
      </c>
      <c r="D517" s="189" t="s">
        <v>103</v>
      </c>
      <c r="E517" s="185"/>
      <c r="F517" s="185"/>
      <c r="G517" s="186"/>
      <c r="H517" s="199">
        <v>1</v>
      </c>
      <c r="I517" s="203">
        <v>1</v>
      </c>
      <c r="J517" s="197"/>
      <c r="K517" s="197"/>
      <c r="L517" s="199">
        <v>0</v>
      </c>
      <c r="M517" s="203"/>
      <c r="N517" s="197"/>
      <c r="O517" s="197"/>
      <c r="P517" s="199">
        <v>0</v>
      </c>
      <c r="Q517" s="203"/>
      <c r="R517" s="197"/>
      <c r="S517" s="197"/>
      <c r="T517" s="199">
        <v>0</v>
      </c>
      <c r="U517" s="200"/>
      <c r="V517" s="200"/>
      <c r="W517" s="205"/>
      <c r="X517" s="137" t="s">
        <v>109</v>
      </c>
      <c r="Y517" s="155" t="str">
        <f>DB!$D$276</f>
        <v>Ink Tank Printer</v>
      </c>
      <c r="Z517" s="152" t="s">
        <v>469</v>
      </c>
      <c r="AA517" s="149"/>
      <c r="AB517" s="136"/>
      <c r="AC517" s="139"/>
      <c r="AD517" s="139"/>
      <c r="AE517" s="139"/>
      <c r="AF517" s="139"/>
    </row>
    <row r="518" spans="1:32" ht="12.75">
      <c r="A518" s="136" t="e">
        <f ca="1"/>
        <v>#NAME?</v>
      </c>
      <c r="B518" s="188" t="s">
        <v>851</v>
      </c>
      <c r="C518" s="197">
        <v>60</v>
      </c>
      <c r="D518" s="189" t="s">
        <v>103</v>
      </c>
      <c r="E518" s="187"/>
      <c r="F518" s="187"/>
      <c r="G518" s="186"/>
      <c r="H518" s="199">
        <v>15</v>
      </c>
      <c r="I518" s="203">
        <v>5</v>
      </c>
      <c r="J518" s="197">
        <v>5</v>
      </c>
      <c r="K518" s="197">
        <v>5</v>
      </c>
      <c r="L518" s="199">
        <v>15</v>
      </c>
      <c r="M518" s="203">
        <v>5</v>
      </c>
      <c r="N518" s="197">
        <v>5</v>
      </c>
      <c r="O518" s="197">
        <v>5</v>
      </c>
      <c r="P518" s="199">
        <v>15</v>
      </c>
      <c r="Q518" s="203">
        <v>5</v>
      </c>
      <c r="R518" s="197">
        <v>5</v>
      </c>
      <c r="S518" s="197">
        <v>5</v>
      </c>
      <c r="T518" s="199">
        <v>15</v>
      </c>
      <c r="U518" s="200">
        <v>5</v>
      </c>
      <c r="V518" s="200">
        <v>5</v>
      </c>
      <c r="W518" s="206">
        <v>5</v>
      </c>
      <c r="X518" s="137" t="s">
        <v>109</v>
      </c>
      <c r="Y518" s="155" t="str">
        <f>DB!$D$113</f>
        <v>HP Genuine Ink Refill - (GT52) Yellow</v>
      </c>
      <c r="Z518" s="154"/>
      <c r="AA518" s="149"/>
      <c r="AB518" s="136"/>
      <c r="AC518" s="139"/>
      <c r="AD518" s="139"/>
      <c r="AE518" s="139"/>
      <c r="AF518" s="139"/>
    </row>
    <row r="519" spans="1:32" ht="12.75">
      <c r="A519" s="136" t="e">
        <f ca="1"/>
        <v>#NAME?</v>
      </c>
      <c r="B519" s="192" t="s">
        <v>852</v>
      </c>
      <c r="C519" s="197">
        <v>60</v>
      </c>
      <c r="D519" s="189" t="s">
        <v>103</v>
      </c>
      <c r="E519" s="178"/>
      <c r="F519" s="182"/>
      <c r="G519" s="214"/>
      <c r="H519" s="199">
        <v>15</v>
      </c>
      <c r="I519" s="203">
        <v>5</v>
      </c>
      <c r="J519" s="197">
        <v>5</v>
      </c>
      <c r="K519" s="197">
        <v>5</v>
      </c>
      <c r="L519" s="199">
        <v>15</v>
      </c>
      <c r="M519" s="203">
        <v>5</v>
      </c>
      <c r="N519" s="197">
        <v>5</v>
      </c>
      <c r="O519" s="197">
        <v>5</v>
      </c>
      <c r="P519" s="199">
        <v>15</v>
      </c>
      <c r="Q519" s="203">
        <v>5</v>
      </c>
      <c r="R519" s="197">
        <v>5</v>
      </c>
      <c r="S519" s="197">
        <v>5</v>
      </c>
      <c r="T519" s="199">
        <v>15</v>
      </c>
      <c r="U519" s="203">
        <v>5</v>
      </c>
      <c r="V519" s="197">
        <v>5</v>
      </c>
      <c r="W519" s="151">
        <v>5</v>
      </c>
      <c r="X519" s="137" t="s">
        <v>109</v>
      </c>
      <c r="Y519" s="155" t="str">
        <f>DB!$D$111</f>
        <v>HP Genuine Ink Refill - (GT52) Magenta</v>
      </c>
      <c r="Z519" s="154"/>
      <c r="AA519" s="149"/>
      <c r="AB519" s="136"/>
      <c r="AC519" s="139"/>
      <c r="AD519" s="139"/>
      <c r="AE519" s="139"/>
      <c r="AF519" s="139"/>
    </row>
    <row r="520" spans="1:32" ht="12.75">
      <c r="A520" s="136" t="e">
        <f ca="1"/>
        <v>#NAME?</v>
      </c>
      <c r="B520" s="192" t="s">
        <v>853</v>
      </c>
      <c r="C520" s="197">
        <v>60</v>
      </c>
      <c r="D520" s="189" t="s">
        <v>103</v>
      </c>
      <c r="E520" s="178"/>
      <c r="F520" s="179"/>
      <c r="G520" s="214"/>
      <c r="H520" s="199">
        <v>15</v>
      </c>
      <c r="I520" s="203">
        <v>5</v>
      </c>
      <c r="J520" s="197">
        <v>5</v>
      </c>
      <c r="K520" s="197">
        <v>5</v>
      </c>
      <c r="L520" s="199">
        <v>15</v>
      </c>
      <c r="M520" s="203">
        <v>5</v>
      </c>
      <c r="N520" s="197">
        <v>5</v>
      </c>
      <c r="O520" s="197">
        <v>5</v>
      </c>
      <c r="P520" s="199">
        <v>15</v>
      </c>
      <c r="Q520" s="203">
        <v>5</v>
      </c>
      <c r="R520" s="197">
        <v>5</v>
      </c>
      <c r="S520" s="197">
        <v>5</v>
      </c>
      <c r="T520" s="199">
        <v>15</v>
      </c>
      <c r="U520" s="203">
        <v>5</v>
      </c>
      <c r="V520" s="197">
        <v>5</v>
      </c>
      <c r="W520" s="189">
        <v>5</v>
      </c>
      <c r="X520" s="137" t="s">
        <v>109</v>
      </c>
      <c r="Y520" s="155" t="str">
        <f>DB!$D$112</f>
        <v>HP Genuine Ink Refill - (GT52) Cyan</v>
      </c>
      <c r="Z520" s="154"/>
      <c r="AA520" s="149"/>
      <c r="AB520" s="136"/>
      <c r="AC520" s="139"/>
      <c r="AD520" s="139"/>
      <c r="AE520" s="139"/>
      <c r="AF520" s="139"/>
    </row>
    <row r="521" spans="1:32" ht="12.75">
      <c r="A521" s="136" t="e">
        <f ca="1"/>
        <v>#NAME?</v>
      </c>
      <c r="B521" s="192" t="s">
        <v>854</v>
      </c>
      <c r="C521" s="197">
        <v>60</v>
      </c>
      <c r="D521" s="189" t="s">
        <v>103</v>
      </c>
      <c r="E521" s="178"/>
      <c r="F521" s="179"/>
      <c r="G521" s="214"/>
      <c r="H521" s="199">
        <v>15</v>
      </c>
      <c r="I521" s="203">
        <v>5</v>
      </c>
      <c r="J521" s="197">
        <v>5</v>
      </c>
      <c r="K521" s="197">
        <v>5</v>
      </c>
      <c r="L521" s="199">
        <v>15</v>
      </c>
      <c r="M521" s="203">
        <v>5</v>
      </c>
      <c r="N521" s="197">
        <v>5</v>
      </c>
      <c r="O521" s="197">
        <v>5</v>
      </c>
      <c r="P521" s="199">
        <v>15</v>
      </c>
      <c r="Q521" s="203">
        <v>5</v>
      </c>
      <c r="R521" s="197">
        <v>5</v>
      </c>
      <c r="S521" s="197">
        <v>5</v>
      </c>
      <c r="T521" s="199">
        <v>15</v>
      </c>
      <c r="U521" s="203">
        <v>5</v>
      </c>
      <c r="V521" s="207">
        <v>5</v>
      </c>
      <c r="W521" s="208">
        <v>5</v>
      </c>
      <c r="X521" s="137" t="s">
        <v>109</v>
      </c>
      <c r="Y521" s="155" t="str">
        <f>DB!$D$110</f>
        <v>HP Genuine Ink Refill - (GT53) Black</v>
      </c>
      <c r="Z521" s="154"/>
      <c r="AA521" s="149"/>
      <c r="AB521" s="136"/>
      <c r="AC521" s="139"/>
      <c r="AD521" s="139"/>
      <c r="AE521" s="139"/>
      <c r="AF521" s="139"/>
    </row>
    <row r="522" spans="1:32" ht="25.5">
      <c r="A522" s="136" t="e">
        <f ca="1"/>
        <v>#NAME?</v>
      </c>
      <c r="B522" s="192" t="s">
        <v>855</v>
      </c>
      <c r="C522" s="197">
        <v>24</v>
      </c>
      <c r="D522" s="189" t="s">
        <v>103</v>
      </c>
      <c r="E522" s="178"/>
      <c r="F522" s="179"/>
      <c r="G522" s="214"/>
      <c r="H522" s="199">
        <v>6</v>
      </c>
      <c r="I522" s="203">
        <v>2</v>
      </c>
      <c r="J522" s="197">
        <v>2</v>
      </c>
      <c r="K522" s="197">
        <v>2</v>
      </c>
      <c r="L522" s="199">
        <v>6</v>
      </c>
      <c r="M522" s="203">
        <v>2</v>
      </c>
      <c r="N522" s="197">
        <v>2</v>
      </c>
      <c r="O522" s="197">
        <v>2</v>
      </c>
      <c r="P522" s="199">
        <v>6</v>
      </c>
      <c r="Q522" s="203">
        <v>2</v>
      </c>
      <c r="R522" s="197">
        <v>2</v>
      </c>
      <c r="S522" s="197">
        <v>2</v>
      </c>
      <c r="T522" s="199">
        <v>6</v>
      </c>
      <c r="U522" s="203">
        <v>2</v>
      </c>
      <c r="V522" s="197">
        <v>2</v>
      </c>
      <c r="W522" s="197">
        <v>2</v>
      </c>
      <c r="X522" s="137" t="s">
        <v>109</v>
      </c>
      <c r="Y522" s="155" t="str">
        <f>DB!$D$239</f>
        <v>Toner Cartridge for the existing ECOSYS P2040DN</v>
      </c>
      <c r="Z522" s="163"/>
      <c r="AA522" s="149"/>
      <c r="AB522" s="136"/>
      <c r="AC522" s="139"/>
      <c r="AD522" s="139"/>
      <c r="AE522" s="139"/>
      <c r="AF522" s="139"/>
    </row>
    <row r="523" spans="1:32" ht="12.75">
      <c r="A523" s="136" t="e">
        <f ca="1"/>
        <v>#NAME?</v>
      </c>
      <c r="B523" s="192" t="s">
        <v>847</v>
      </c>
      <c r="C523" s="197">
        <v>4</v>
      </c>
      <c r="D523" s="189" t="s">
        <v>103</v>
      </c>
      <c r="E523" s="178"/>
      <c r="F523" s="178"/>
      <c r="G523" s="214"/>
      <c r="H523" s="199">
        <v>2</v>
      </c>
      <c r="I523" s="203">
        <v>2</v>
      </c>
      <c r="J523" s="197"/>
      <c r="K523" s="197"/>
      <c r="L523" s="199">
        <v>0</v>
      </c>
      <c r="M523" s="203"/>
      <c r="N523" s="197"/>
      <c r="O523" s="197"/>
      <c r="P523" s="199">
        <v>2</v>
      </c>
      <c r="Q523" s="203">
        <v>2</v>
      </c>
      <c r="R523" s="197"/>
      <c r="S523" s="197"/>
      <c r="T523" s="209">
        <v>0</v>
      </c>
      <c r="U523" s="151"/>
      <c r="V523" s="198"/>
      <c r="W523" s="206"/>
      <c r="X523" s="137" t="s">
        <v>109</v>
      </c>
      <c r="Y523" s="163" t="str">
        <f>DB!$D$6</f>
        <v>UPS 650VA, AVR, 230V</v>
      </c>
      <c r="Z523" s="154"/>
      <c r="AA523" s="149"/>
      <c r="AB523" s="136"/>
      <c r="AC523" s="139"/>
      <c r="AD523" s="139"/>
      <c r="AE523" s="139"/>
      <c r="AF523" s="139"/>
    </row>
    <row r="524" spans="1:32" ht="12.75">
      <c r="A524" s="136" t="e">
        <f ca="1"/>
        <v>#NAME?</v>
      </c>
      <c r="B524" s="192" t="s">
        <v>858</v>
      </c>
      <c r="C524" s="197">
        <v>3</v>
      </c>
      <c r="D524" s="189" t="s">
        <v>103</v>
      </c>
      <c r="E524" s="178"/>
      <c r="F524" s="179"/>
      <c r="G524" s="214"/>
      <c r="H524" s="199">
        <v>0</v>
      </c>
      <c r="I524" s="203"/>
      <c r="J524" s="197"/>
      <c r="K524" s="197"/>
      <c r="L524" s="199">
        <v>2</v>
      </c>
      <c r="M524" s="203">
        <v>2</v>
      </c>
      <c r="N524" s="197"/>
      <c r="O524" s="197"/>
      <c r="P524" s="199">
        <v>0</v>
      </c>
      <c r="Q524" s="203"/>
      <c r="R524" s="197"/>
      <c r="S524" s="197"/>
      <c r="T524" s="209">
        <v>0</v>
      </c>
      <c r="U524" s="189"/>
      <c r="V524" s="200"/>
      <c r="W524" s="206"/>
      <c r="X524" s="137" t="s">
        <v>109</v>
      </c>
      <c r="Y524" s="163" t="str">
        <f>DB!$D$79</f>
        <v>32GB Flash Drive</v>
      </c>
      <c r="Z524" s="152"/>
      <c r="AA524" s="149"/>
      <c r="AB524" s="136"/>
      <c r="AC524" s="139"/>
      <c r="AD524" s="139"/>
      <c r="AE524" s="139"/>
      <c r="AF524" s="139"/>
    </row>
    <row r="525" spans="1:32" ht="12.75">
      <c r="A525" s="136" t="e">
        <f ca="1"/>
        <v>#NAME?</v>
      </c>
      <c r="B525" s="192" t="s">
        <v>859</v>
      </c>
      <c r="C525" s="197">
        <v>3</v>
      </c>
      <c r="D525" s="189" t="s">
        <v>103</v>
      </c>
      <c r="E525" s="178"/>
      <c r="F525" s="179"/>
      <c r="G525" s="214"/>
      <c r="H525" s="199">
        <v>2</v>
      </c>
      <c r="I525" s="203">
        <v>2</v>
      </c>
      <c r="J525" s="197"/>
      <c r="K525" s="197"/>
      <c r="L525" s="199">
        <v>0</v>
      </c>
      <c r="M525" s="203"/>
      <c r="N525" s="197"/>
      <c r="O525" s="197"/>
      <c r="P525" s="199">
        <v>0</v>
      </c>
      <c r="Q525" s="203"/>
      <c r="R525" s="197"/>
      <c r="S525" s="197"/>
      <c r="T525" s="199">
        <v>0</v>
      </c>
      <c r="U525" s="203"/>
      <c r="V525" s="189"/>
      <c r="W525" s="198"/>
      <c r="X525" s="137" t="s">
        <v>109</v>
      </c>
      <c r="Y525" s="163" t="str">
        <f>DB!$D$78</f>
        <v>16GB Flash Drive</v>
      </c>
      <c r="Z525" s="152"/>
      <c r="AA525" s="149"/>
      <c r="AB525" s="136"/>
      <c r="AC525" s="139"/>
      <c r="AD525" s="139"/>
      <c r="AE525" s="139"/>
      <c r="AF525" s="139"/>
    </row>
    <row r="526" spans="1:32" ht="12.75">
      <c r="A526" s="136" t="e">
        <f ca="1"/>
        <v>#NAME?</v>
      </c>
      <c r="B526" s="188" t="s">
        <v>234</v>
      </c>
      <c r="C526" s="203">
        <v>2</v>
      </c>
      <c r="D526" s="189" t="s">
        <v>103</v>
      </c>
      <c r="E526" s="178"/>
      <c r="F526" s="179"/>
      <c r="G526" s="214"/>
      <c r="H526" s="158">
        <v>1</v>
      </c>
      <c r="I526" s="203">
        <v>1</v>
      </c>
      <c r="J526" s="197"/>
      <c r="K526" s="197"/>
      <c r="L526" s="158">
        <v>0</v>
      </c>
      <c r="M526" s="203"/>
      <c r="N526" s="197"/>
      <c r="O526" s="197"/>
      <c r="P526" s="158">
        <v>1</v>
      </c>
      <c r="Q526" s="203">
        <v>1</v>
      </c>
      <c r="R526" s="197"/>
      <c r="S526" s="197"/>
      <c r="T526" s="158">
        <v>0</v>
      </c>
      <c r="U526" s="198"/>
      <c r="V526" s="198"/>
      <c r="W526" s="198"/>
      <c r="X526" s="137" t="s">
        <v>198</v>
      </c>
      <c r="Y526" s="141" t="str">
        <f>DB!$D$168</f>
        <v>Keyboard, Full Size, USB 2.0</v>
      </c>
      <c r="Z526" s="154"/>
      <c r="AA526" s="149"/>
      <c r="AB526" s="136"/>
      <c r="AC526" s="139"/>
      <c r="AD526" s="139"/>
      <c r="AE526" s="139"/>
      <c r="AF526" s="139"/>
    </row>
    <row r="527" spans="1:32" ht="12.75">
      <c r="A527" s="136" t="e">
        <f ca="1"/>
        <v>#NAME?</v>
      </c>
      <c r="B527" s="192" t="s">
        <v>239</v>
      </c>
      <c r="C527" s="203">
        <v>2</v>
      </c>
      <c r="D527" s="189" t="s">
        <v>103</v>
      </c>
      <c r="E527" s="178"/>
      <c r="F527" s="178"/>
      <c r="G527" s="214"/>
      <c r="H527" s="199">
        <v>1</v>
      </c>
      <c r="I527" s="203">
        <v>1</v>
      </c>
      <c r="J527" s="197"/>
      <c r="K527" s="197"/>
      <c r="L527" s="199">
        <v>0</v>
      </c>
      <c r="M527" s="203"/>
      <c r="N527" s="197"/>
      <c r="O527" s="197"/>
      <c r="P527" s="199">
        <v>1</v>
      </c>
      <c r="Q527" s="203">
        <v>1</v>
      </c>
      <c r="R527" s="197"/>
      <c r="S527" s="197"/>
      <c r="T527" s="199">
        <v>0</v>
      </c>
      <c r="U527" s="200"/>
      <c r="V527" s="200"/>
      <c r="W527" s="200"/>
      <c r="X527" s="137" t="s">
        <v>198</v>
      </c>
      <c r="Y527" s="141" t="str">
        <f>DB!$D$169</f>
        <v>Mouse, Optical, USB 2.0</v>
      </c>
      <c r="Z527" s="154"/>
      <c r="AA527" s="149"/>
      <c r="AB527" s="136"/>
      <c r="AC527" s="139"/>
      <c r="AD527" s="139"/>
      <c r="AE527" s="139"/>
      <c r="AF527" s="139"/>
    </row>
    <row r="528" spans="1:32" ht="12.75">
      <c r="A528" s="136" t="e">
        <f ca="1"/>
        <v>#NAME?</v>
      </c>
      <c r="B528" s="192" t="s">
        <v>493</v>
      </c>
      <c r="C528" s="203">
        <v>2</v>
      </c>
      <c r="D528" s="189" t="s">
        <v>103</v>
      </c>
      <c r="E528" s="178"/>
      <c r="F528" s="179"/>
      <c r="G528" s="214"/>
      <c r="H528" s="199">
        <v>1</v>
      </c>
      <c r="I528" s="203">
        <v>1</v>
      </c>
      <c r="J528" s="197"/>
      <c r="K528" s="197"/>
      <c r="L528" s="199">
        <v>0</v>
      </c>
      <c r="M528" s="203"/>
      <c r="N528" s="197"/>
      <c r="O528" s="197"/>
      <c r="P528" s="199">
        <v>1</v>
      </c>
      <c r="Q528" s="203">
        <v>1</v>
      </c>
      <c r="R528" s="197"/>
      <c r="S528" s="197"/>
      <c r="T528" s="199">
        <v>0</v>
      </c>
      <c r="U528" s="200"/>
      <c r="V528" s="200"/>
      <c r="W528" s="200"/>
      <c r="X528" s="137" t="s">
        <v>198</v>
      </c>
      <c r="Y528" s="155" t="str">
        <f>DB!$D$276</f>
        <v>Ink Tank Printer</v>
      </c>
      <c r="Z528" s="152" t="s">
        <v>469</v>
      </c>
      <c r="AA528" s="149"/>
      <c r="AB528" s="136"/>
      <c r="AC528" s="139"/>
      <c r="AD528" s="139"/>
      <c r="AE528" s="139"/>
      <c r="AF528" s="139"/>
    </row>
    <row r="529" spans="1:32" ht="12.75">
      <c r="A529" s="136" t="e">
        <f ca="1"/>
        <v>#NAME?</v>
      </c>
      <c r="B529" s="192" t="s">
        <v>568</v>
      </c>
      <c r="C529" s="203">
        <v>5</v>
      </c>
      <c r="D529" s="189" t="s">
        <v>103</v>
      </c>
      <c r="E529" s="178"/>
      <c r="F529" s="179"/>
      <c r="G529" s="214"/>
      <c r="H529" s="199">
        <v>5</v>
      </c>
      <c r="I529" s="203">
        <v>5</v>
      </c>
      <c r="J529" s="197"/>
      <c r="K529" s="197"/>
      <c r="L529" s="199">
        <v>0</v>
      </c>
      <c r="M529" s="203"/>
      <c r="N529" s="197"/>
      <c r="O529" s="197"/>
      <c r="P529" s="199">
        <v>0</v>
      </c>
      <c r="Q529" s="203"/>
      <c r="R529" s="197"/>
      <c r="S529" s="197"/>
      <c r="T529" s="199">
        <v>0</v>
      </c>
      <c r="U529" s="200"/>
      <c r="V529" s="200"/>
      <c r="W529" s="200"/>
      <c r="X529" s="137" t="s">
        <v>198</v>
      </c>
      <c r="Y529" s="163" t="str">
        <f>DB!$D$6</f>
        <v>UPS 650VA, AVR, 230V</v>
      </c>
      <c r="Z529" s="152"/>
      <c r="AA529" s="149"/>
      <c r="AB529" s="136"/>
      <c r="AC529" s="139"/>
      <c r="AD529" s="139"/>
      <c r="AE529" s="139"/>
      <c r="AF529" s="139"/>
    </row>
    <row r="530" spans="1:32" ht="12.75">
      <c r="A530" s="136" t="e">
        <f ca="1"/>
        <v>#NAME?</v>
      </c>
      <c r="B530" s="188" t="s">
        <v>483</v>
      </c>
      <c r="C530" s="197">
        <v>1</v>
      </c>
      <c r="D530" s="189" t="s">
        <v>103</v>
      </c>
      <c r="E530" s="178"/>
      <c r="F530" s="179"/>
      <c r="G530" s="214"/>
      <c r="H530" s="199">
        <v>1</v>
      </c>
      <c r="I530" s="203">
        <v>1</v>
      </c>
      <c r="J530" s="197"/>
      <c r="K530" s="197"/>
      <c r="L530" s="199">
        <v>0</v>
      </c>
      <c r="M530" s="203"/>
      <c r="N530" s="197"/>
      <c r="O530" s="197"/>
      <c r="P530" s="199">
        <v>0</v>
      </c>
      <c r="Q530" s="203"/>
      <c r="R530" s="197"/>
      <c r="S530" s="197"/>
      <c r="T530" s="199">
        <v>0</v>
      </c>
      <c r="U530" s="200"/>
      <c r="V530" s="200"/>
      <c r="W530" s="200"/>
      <c r="X530" s="137" t="s">
        <v>198</v>
      </c>
      <c r="Y530" s="163"/>
      <c r="Z530" s="152" t="s">
        <v>453</v>
      </c>
      <c r="AA530" s="149"/>
      <c r="AB530" s="136"/>
      <c r="AC530" s="139"/>
      <c r="AD530" s="139"/>
      <c r="AE530" s="139"/>
      <c r="AF530" s="139"/>
    </row>
    <row r="531" spans="1:32" ht="12.75">
      <c r="A531" s="136" t="e">
        <f ca="1"/>
        <v>#NAME?</v>
      </c>
      <c r="B531" s="192" t="s">
        <v>836</v>
      </c>
      <c r="C531" s="197">
        <v>1</v>
      </c>
      <c r="D531" s="189" t="s">
        <v>103</v>
      </c>
      <c r="E531" s="183"/>
      <c r="F531" s="183"/>
      <c r="G531" s="183"/>
      <c r="H531" s="199">
        <v>1</v>
      </c>
      <c r="I531" s="203">
        <v>1</v>
      </c>
      <c r="J531" s="197"/>
      <c r="K531" s="197"/>
      <c r="L531" s="199">
        <v>0</v>
      </c>
      <c r="M531" s="203"/>
      <c r="N531" s="197"/>
      <c r="O531" s="197"/>
      <c r="P531" s="199">
        <v>0</v>
      </c>
      <c r="Q531" s="203"/>
      <c r="R531" s="197"/>
      <c r="S531" s="197"/>
      <c r="T531" s="199">
        <v>0</v>
      </c>
      <c r="U531" s="200"/>
      <c r="V531" s="200"/>
      <c r="W531" s="200"/>
      <c r="X531" s="137" t="s">
        <v>198</v>
      </c>
      <c r="Y531" s="163" t="str">
        <f>DB!$D$76</f>
        <v>Dot Matrix Printer 24-Pin</v>
      </c>
      <c r="Z531" s="154"/>
      <c r="AA531" s="149"/>
      <c r="AB531" s="136"/>
      <c r="AC531" s="139"/>
      <c r="AD531" s="139"/>
      <c r="AE531" s="139"/>
      <c r="AF531" s="139"/>
    </row>
    <row r="532" spans="1:32" ht="12.75">
      <c r="A532" s="136" t="e">
        <f ca="1"/>
        <v>#NAME?</v>
      </c>
      <c r="B532" s="192" t="s">
        <v>817</v>
      </c>
      <c r="C532" s="197">
        <v>1</v>
      </c>
      <c r="D532" s="189" t="s">
        <v>103</v>
      </c>
      <c r="E532" s="215"/>
      <c r="F532" s="216"/>
      <c r="G532" s="216"/>
      <c r="H532" s="217">
        <v>1</v>
      </c>
      <c r="I532" s="203">
        <v>1</v>
      </c>
      <c r="J532" s="197"/>
      <c r="K532" s="197"/>
      <c r="L532" s="199">
        <v>0</v>
      </c>
      <c r="M532" s="203"/>
      <c r="N532" s="197"/>
      <c r="O532" s="197"/>
      <c r="P532" s="199">
        <v>0</v>
      </c>
      <c r="Q532" s="203"/>
      <c r="R532" s="197"/>
      <c r="S532" s="197"/>
      <c r="T532" s="199">
        <v>0</v>
      </c>
      <c r="U532" s="200"/>
      <c r="V532" s="200"/>
      <c r="W532" s="200"/>
      <c r="X532" s="137" t="s">
        <v>198</v>
      </c>
      <c r="Y532" s="163" t="str">
        <f>DB!$D$37</f>
        <v>Single Line Telephone (Black)</v>
      </c>
      <c r="Z532" s="154"/>
      <c r="AA532" s="154"/>
      <c r="AB532" s="136"/>
      <c r="AC532" s="139"/>
      <c r="AD532" s="139"/>
      <c r="AE532" s="139"/>
      <c r="AF532" s="139"/>
    </row>
    <row r="533" spans="1:32" ht="12.75">
      <c r="A533" s="136" t="e">
        <f ca="1"/>
        <v>#NAME?</v>
      </c>
      <c r="B533" s="188" t="s">
        <v>864</v>
      </c>
      <c r="C533" s="201">
        <v>1</v>
      </c>
      <c r="D533" s="198" t="s">
        <v>776</v>
      </c>
      <c r="E533" s="215"/>
      <c r="F533" s="214"/>
      <c r="G533" s="214"/>
      <c r="H533" s="218">
        <v>0</v>
      </c>
      <c r="I533" s="198"/>
      <c r="J533" s="219"/>
      <c r="K533" s="198"/>
      <c r="L533" s="200">
        <v>1</v>
      </c>
      <c r="M533" s="198">
        <v>1</v>
      </c>
      <c r="N533" s="219"/>
      <c r="O533" s="198"/>
      <c r="P533" s="200">
        <v>0</v>
      </c>
      <c r="Q533" s="198"/>
      <c r="R533" s="198"/>
      <c r="S533" s="198"/>
      <c r="T533" s="200">
        <v>0</v>
      </c>
      <c r="U533" s="198"/>
      <c r="V533" s="198"/>
      <c r="W533" s="198"/>
      <c r="X533" s="137" t="s">
        <v>140</v>
      </c>
      <c r="Y533" s="141" t="str">
        <f>DB!$D$194</f>
        <v>Branded Desktop Computer Set</v>
      </c>
      <c r="Z533" s="154"/>
      <c r="AA533" s="154"/>
      <c r="AB533" s="136"/>
      <c r="AC533" s="139"/>
      <c r="AD533" s="139"/>
      <c r="AE533" s="139"/>
      <c r="AF533" s="139"/>
    </row>
    <row r="534" spans="1:32" ht="12.75">
      <c r="A534" s="136" t="e">
        <f ca="1"/>
        <v>#NAME?</v>
      </c>
      <c r="B534" s="192" t="s">
        <v>865</v>
      </c>
      <c r="C534" s="201">
        <v>1</v>
      </c>
      <c r="D534" s="200" t="s">
        <v>103</v>
      </c>
      <c r="E534" s="215"/>
      <c r="F534" s="214"/>
      <c r="G534" s="184"/>
      <c r="H534" s="218">
        <v>1</v>
      </c>
      <c r="I534" s="200">
        <v>1</v>
      </c>
      <c r="J534" s="220"/>
      <c r="K534" s="200"/>
      <c r="L534" s="200">
        <v>0</v>
      </c>
      <c r="M534" s="200">
        <v>0</v>
      </c>
      <c r="N534" s="200"/>
      <c r="O534" s="200"/>
      <c r="P534" s="200">
        <v>0</v>
      </c>
      <c r="Q534" s="200"/>
      <c r="R534" s="200"/>
      <c r="S534" s="200"/>
      <c r="T534" s="200">
        <v>0</v>
      </c>
      <c r="U534" s="200"/>
      <c r="V534" s="200"/>
      <c r="W534" s="200"/>
      <c r="X534" s="137" t="s">
        <v>140</v>
      </c>
      <c r="Y534" s="155" t="str">
        <f>DB!$D$276</f>
        <v>Ink Tank Printer</v>
      </c>
      <c r="Z534" s="152" t="s">
        <v>469</v>
      </c>
      <c r="AA534" s="154"/>
      <c r="AB534" s="136"/>
      <c r="AC534" s="139"/>
      <c r="AD534" s="139"/>
      <c r="AE534" s="139"/>
      <c r="AF534" s="139"/>
    </row>
    <row r="535" spans="1:32" ht="12.75">
      <c r="A535" s="136" t="e">
        <f ca="1"/>
        <v>#NAME?</v>
      </c>
      <c r="B535" s="221" t="s">
        <v>866</v>
      </c>
      <c r="C535" s="201">
        <v>2</v>
      </c>
      <c r="D535" s="200" t="s">
        <v>103</v>
      </c>
      <c r="E535" s="215"/>
      <c r="F535" s="214"/>
      <c r="G535" s="184"/>
      <c r="H535" s="218">
        <v>1</v>
      </c>
      <c r="I535" s="200">
        <v>1</v>
      </c>
      <c r="J535" s="220"/>
      <c r="K535" s="200"/>
      <c r="L535" s="200">
        <v>0</v>
      </c>
      <c r="M535" s="200"/>
      <c r="N535" s="200"/>
      <c r="O535" s="200"/>
      <c r="P535" s="200">
        <v>1</v>
      </c>
      <c r="Q535" s="200">
        <v>1</v>
      </c>
      <c r="R535" s="200"/>
      <c r="S535" s="200"/>
      <c r="T535" s="200">
        <v>0</v>
      </c>
      <c r="U535" s="200"/>
      <c r="V535" s="200"/>
      <c r="W535" s="200"/>
      <c r="X535" s="137" t="s">
        <v>140</v>
      </c>
      <c r="Y535" s="163" t="str">
        <f>DB!$D$37</f>
        <v>Single Line Telephone (Black)</v>
      </c>
      <c r="Z535" s="154"/>
      <c r="AA535" s="154"/>
      <c r="AB535" s="136"/>
      <c r="AC535" s="139"/>
      <c r="AD535" s="139"/>
      <c r="AE535" s="139"/>
      <c r="AF535" s="139"/>
    </row>
    <row r="536" spans="1:32" ht="12.75">
      <c r="A536" s="136" t="e">
        <f ca="1"/>
        <v>#NAME?</v>
      </c>
      <c r="B536" s="192" t="s">
        <v>867</v>
      </c>
      <c r="C536" s="201">
        <v>2</v>
      </c>
      <c r="D536" s="200" t="s">
        <v>103</v>
      </c>
      <c r="E536" s="215"/>
      <c r="F536" s="214"/>
      <c r="G536" s="214"/>
      <c r="H536" s="189">
        <v>1</v>
      </c>
      <c r="I536" s="200">
        <v>1</v>
      </c>
      <c r="J536" s="200"/>
      <c r="K536" s="200"/>
      <c r="L536" s="200">
        <v>0</v>
      </c>
      <c r="M536" s="200"/>
      <c r="N536" s="200"/>
      <c r="O536" s="200"/>
      <c r="P536" s="200">
        <v>1</v>
      </c>
      <c r="Q536" s="200">
        <v>1</v>
      </c>
      <c r="R536" s="200"/>
      <c r="S536" s="200"/>
      <c r="T536" s="200">
        <v>0</v>
      </c>
      <c r="U536" s="200"/>
      <c r="V536" s="200"/>
      <c r="W536" s="200"/>
      <c r="X536" s="137" t="s">
        <v>140</v>
      </c>
      <c r="Y536" s="163" t="str">
        <f>DB!$D$79</f>
        <v>32GB Flash Drive</v>
      </c>
      <c r="Z536" s="154"/>
      <c r="AA536" s="154"/>
      <c r="AB536" s="136"/>
      <c r="AC536" s="139"/>
      <c r="AD536" s="139"/>
      <c r="AE536" s="139"/>
      <c r="AF536" s="139"/>
    </row>
    <row r="537" spans="1:32" ht="12.75">
      <c r="A537" s="136" t="e">
        <f ca="1"/>
        <v>#NAME?</v>
      </c>
      <c r="B537" s="221" t="s">
        <v>234</v>
      </c>
      <c r="C537" s="201">
        <v>2</v>
      </c>
      <c r="D537" s="200" t="s">
        <v>103</v>
      </c>
      <c r="E537" s="215"/>
      <c r="F537" s="214"/>
      <c r="G537" s="184"/>
      <c r="H537" s="218">
        <v>1</v>
      </c>
      <c r="I537" s="200">
        <v>1</v>
      </c>
      <c r="J537" s="220"/>
      <c r="K537" s="200"/>
      <c r="L537" s="200">
        <v>1</v>
      </c>
      <c r="M537" s="200">
        <v>1</v>
      </c>
      <c r="N537" s="200"/>
      <c r="O537" s="200"/>
      <c r="P537" s="200">
        <v>0</v>
      </c>
      <c r="Q537" s="200"/>
      <c r="R537" s="200"/>
      <c r="S537" s="200"/>
      <c r="T537" s="200">
        <v>0</v>
      </c>
      <c r="U537" s="200"/>
      <c r="V537" s="200"/>
      <c r="W537" s="200"/>
      <c r="X537" s="137" t="s">
        <v>140</v>
      </c>
      <c r="Y537" s="141" t="str">
        <f>DB!$D$168</f>
        <v>Keyboard, Full Size, USB 2.0</v>
      </c>
      <c r="Z537" s="154"/>
      <c r="AA537" s="149"/>
      <c r="AB537" s="136"/>
      <c r="AC537" s="139"/>
      <c r="AD537" s="139"/>
      <c r="AE537" s="139"/>
      <c r="AF537" s="139"/>
    </row>
    <row r="538" spans="1:32" ht="12.75">
      <c r="A538" s="136" t="e">
        <f ca="1"/>
        <v>#NAME?</v>
      </c>
      <c r="B538" s="221" t="s">
        <v>239</v>
      </c>
      <c r="C538" s="201">
        <v>2</v>
      </c>
      <c r="D538" s="200" t="s">
        <v>103</v>
      </c>
      <c r="E538" s="215"/>
      <c r="F538" s="214"/>
      <c r="G538" s="184"/>
      <c r="H538" s="218">
        <v>1</v>
      </c>
      <c r="I538" s="200">
        <v>1</v>
      </c>
      <c r="J538" s="220"/>
      <c r="K538" s="200"/>
      <c r="L538" s="200">
        <v>0</v>
      </c>
      <c r="M538" s="200"/>
      <c r="N538" s="200"/>
      <c r="O538" s="200"/>
      <c r="P538" s="200">
        <v>1</v>
      </c>
      <c r="Q538" s="200">
        <v>1</v>
      </c>
      <c r="R538" s="200"/>
      <c r="S538" s="200"/>
      <c r="T538" s="200">
        <v>0</v>
      </c>
      <c r="U538" s="200"/>
      <c r="V538" s="200"/>
      <c r="W538" s="200"/>
      <c r="X538" s="137" t="s">
        <v>140</v>
      </c>
      <c r="Y538" s="141" t="str">
        <f>DB!$D$169</f>
        <v>Mouse, Optical, USB 2.0</v>
      </c>
      <c r="Z538" s="154"/>
      <c r="AA538" s="154"/>
      <c r="AB538" s="136"/>
      <c r="AC538" s="139"/>
      <c r="AD538" s="139"/>
      <c r="AE538" s="139"/>
      <c r="AF538" s="139"/>
    </row>
    <row r="539" spans="1:32" ht="12.75">
      <c r="A539" s="136" t="e">
        <f ca="1"/>
        <v>#NAME?</v>
      </c>
      <c r="B539" s="221" t="s">
        <v>623</v>
      </c>
      <c r="C539" s="201">
        <v>1</v>
      </c>
      <c r="D539" s="200" t="s">
        <v>103</v>
      </c>
      <c r="E539" s="215"/>
      <c r="F539" s="214"/>
      <c r="G539" s="214"/>
      <c r="H539" s="189">
        <v>1</v>
      </c>
      <c r="I539" s="200">
        <v>1</v>
      </c>
      <c r="J539" s="200"/>
      <c r="K539" s="200"/>
      <c r="L539" s="200">
        <v>0</v>
      </c>
      <c r="M539" s="200"/>
      <c r="N539" s="200"/>
      <c r="O539" s="200"/>
      <c r="P539" s="200">
        <v>0</v>
      </c>
      <c r="Q539" s="200"/>
      <c r="R539" s="200"/>
      <c r="S539" s="200"/>
      <c r="T539" s="200">
        <v>0</v>
      </c>
      <c r="U539" s="200"/>
      <c r="V539" s="200"/>
      <c r="W539" s="200"/>
      <c r="X539" s="137" t="s">
        <v>140</v>
      </c>
      <c r="Y539" s="155" t="str">
        <f>DB!$D$73</f>
        <v>Webcam Professional Full HD</v>
      </c>
      <c r="Z539" s="154"/>
      <c r="AA539" s="149"/>
      <c r="AB539" s="136"/>
      <c r="AC539" s="139"/>
      <c r="AD539" s="139"/>
      <c r="AE539" s="139"/>
      <c r="AF539" s="139"/>
    </row>
    <row r="540" spans="1:32" ht="12.75">
      <c r="A540" s="136" t="e">
        <f ca="1"/>
        <v>#NAME?</v>
      </c>
      <c r="B540" s="221" t="s">
        <v>568</v>
      </c>
      <c r="C540" s="201">
        <v>2</v>
      </c>
      <c r="D540" s="200" t="s">
        <v>103</v>
      </c>
      <c r="E540" s="222"/>
      <c r="F540" s="223"/>
      <c r="G540" s="224"/>
      <c r="H540" s="218">
        <v>1</v>
      </c>
      <c r="I540" s="200">
        <v>1</v>
      </c>
      <c r="J540" s="220"/>
      <c r="K540" s="200"/>
      <c r="L540" s="200">
        <v>1</v>
      </c>
      <c r="M540" s="200">
        <v>1</v>
      </c>
      <c r="N540" s="200"/>
      <c r="O540" s="200"/>
      <c r="P540" s="200">
        <v>0</v>
      </c>
      <c r="Q540" s="200"/>
      <c r="R540" s="200"/>
      <c r="S540" s="200"/>
      <c r="T540" s="200">
        <v>0</v>
      </c>
      <c r="U540" s="200"/>
      <c r="V540" s="200"/>
      <c r="W540" s="200"/>
      <c r="X540" s="137" t="s">
        <v>140</v>
      </c>
      <c r="Y540" s="163" t="str">
        <f>DB!$D$6</f>
        <v>UPS 650VA, AVR, 230V</v>
      </c>
      <c r="Z540" s="154"/>
      <c r="AA540" s="154"/>
      <c r="AB540" s="136"/>
      <c r="AC540" s="139"/>
      <c r="AD540" s="139"/>
      <c r="AE540" s="139"/>
      <c r="AF540" s="139"/>
    </row>
    <row r="541" spans="1:32" ht="12.75">
      <c r="A541" s="136" t="e">
        <f ca="1"/>
        <v>#NAME?</v>
      </c>
      <c r="B541" s="192" t="s">
        <v>868</v>
      </c>
      <c r="C541" s="201">
        <v>40</v>
      </c>
      <c r="D541" s="200" t="s">
        <v>103</v>
      </c>
      <c r="E541" s="225"/>
      <c r="F541" s="216"/>
      <c r="G541" s="216"/>
      <c r="H541" s="189">
        <v>10</v>
      </c>
      <c r="I541" s="200">
        <v>5</v>
      </c>
      <c r="J541" s="200">
        <v>5</v>
      </c>
      <c r="K541" s="200"/>
      <c r="L541" s="200">
        <v>10</v>
      </c>
      <c r="M541" s="200">
        <v>5</v>
      </c>
      <c r="N541" s="200">
        <v>5</v>
      </c>
      <c r="O541" s="200"/>
      <c r="P541" s="200">
        <v>10</v>
      </c>
      <c r="Q541" s="200">
        <v>5</v>
      </c>
      <c r="R541" s="200">
        <v>5</v>
      </c>
      <c r="S541" s="200"/>
      <c r="T541" s="200">
        <v>10</v>
      </c>
      <c r="U541" s="200">
        <v>5</v>
      </c>
      <c r="V541" s="200">
        <v>5</v>
      </c>
      <c r="W541" s="200"/>
      <c r="X541" s="137" t="s">
        <v>140</v>
      </c>
      <c r="Y541" s="155" t="str">
        <f>DB!$D$106</f>
        <v>Epson Genuine Ink (003) Black</v>
      </c>
      <c r="Z541" s="154"/>
      <c r="AA541" s="154"/>
      <c r="AB541" s="136"/>
      <c r="AC541" s="139"/>
      <c r="AD541" s="139"/>
      <c r="AE541" s="139"/>
      <c r="AF541" s="139"/>
    </row>
    <row r="542" spans="1:32" ht="12.75">
      <c r="A542" s="136" t="e">
        <f ca="1"/>
        <v>#NAME?</v>
      </c>
      <c r="B542" s="192" t="s">
        <v>869</v>
      </c>
      <c r="C542" s="201">
        <v>16</v>
      </c>
      <c r="D542" s="200" t="s">
        <v>103</v>
      </c>
      <c r="E542" s="215"/>
      <c r="F542" s="214"/>
      <c r="G542" s="214"/>
      <c r="H542" s="189">
        <v>5</v>
      </c>
      <c r="I542" s="200">
        <v>5</v>
      </c>
      <c r="J542" s="200"/>
      <c r="K542" s="200"/>
      <c r="L542" s="200">
        <v>3</v>
      </c>
      <c r="M542" s="200">
        <v>3</v>
      </c>
      <c r="N542" s="200"/>
      <c r="O542" s="200"/>
      <c r="P542" s="200">
        <v>5</v>
      </c>
      <c r="Q542" s="200">
        <v>5</v>
      </c>
      <c r="R542" s="200"/>
      <c r="S542" s="200"/>
      <c r="T542" s="200">
        <v>3</v>
      </c>
      <c r="U542" s="200">
        <v>3</v>
      </c>
      <c r="V542" s="200"/>
      <c r="W542" s="200"/>
      <c r="X542" s="137" t="s">
        <v>140</v>
      </c>
      <c r="Y542" s="155" t="str">
        <f>DB!$D$107</f>
        <v>Epson Genuine Ink (003) Cyan</v>
      </c>
      <c r="Z542" s="154"/>
      <c r="AA542" s="154"/>
      <c r="AB542" s="136"/>
      <c r="AC542" s="139"/>
      <c r="AD542" s="139"/>
      <c r="AE542" s="139"/>
      <c r="AF542" s="139"/>
    </row>
    <row r="543" spans="1:32" ht="12.75">
      <c r="A543" s="136" t="e">
        <f ca="1"/>
        <v>#NAME?</v>
      </c>
      <c r="B543" s="192" t="s">
        <v>870</v>
      </c>
      <c r="C543" s="201">
        <v>16</v>
      </c>
      <c r="D543" s="200" t="s">
        <v>103</v>
      </c>
      <c r="E543" s="215"/>
      <c r="F543" s="214"/>
      <c r="G543" s="214"/>
      <c r="H543" s="189">
        <v>5</v>
      </c>
      <c r="I543" s="200">
        <v>5</v>
      </c>
      <c r="J543" s="200"/>
      <c r="K543" s="200"/>
      <c r="L543" s="200">
        <v>3</v>
      </c>
      <c r="M543" s="200">
        <v>3</v>
      </c>
      <c r="N543" s="200"/>
      <c r="O543" s="200"/>
      <c r="P543" s="200">
        <v>5</v>
      </c>
      <c r="Q543" s="200">
        <v>5</v>
      </c>
      <c r="R543" s="200"/>
      <c r="S543" s="200"/>
      <c r="T543" s="200">
        <v>3</v>
      </c>
      <c r="U543" s="200">
        <v>3</v>
      </c>
      <c r="V543" s="200"/>
      <c r="W543" s="200"/>
      <c r="X543" s="137" t="s">
        <v>140</v>
      </c>
      <c r="Y543" s="155" t="str">
        <f>DB!$D$108</f>
        <v>Epson Genuine Ink (003) Yellow</v>
      </c>
      <c r="Z543" s="154"/>
      <c r="AA543" s="154"/>
      <c r="AB543" s="136"/>
      <c r="AC543" s="139"/>
      <c r="AD543" s="139"/>
      <c r="AE543" s="139"/>
      <c r="AF543" s="139"/>
    </row>
    <row r="544" spans="1:32" ht="12.75">
      <c r="A544" s="136" t="e">
        <f ca="1"/>
        <v>#NAME?</v>
      </c>
      <c r="B544" s="192" t="s">
        <v>871</v>
      </c>
      <c r="C544" s="201">
        <v>16</v>
      </c>
      <c r="D544" s="200" t="s">
        <v>103</v>
      </c>
      <c r="E544" s="215"/>
      <c r="F544" s="214"/>
      <c r="G544" s="214"/>
      <c r="H544" s="189">
        <v>5</v>
      </c>
      <c r="I544" s="200">
        <v>5</v>
      </c>
      <c r="J544" s="200"/>
      <c r="K544" s="200"/>
      <c r="L544" s="200">
        <v>3</v>
      </c>
      <c r="M544" s="200">
        <v>3</v>
      </c>
      <c r="N544" s="200"/>
      <c r="O544" s="200"/>
      <c r="P544" s="200">
        <v>5</v>
      </c>
      <c r="Q544" s="200">
        <v>5</v>
      </c>
      <c r="R544" s="200"/>
      <c r="S544" s="200"/>
      <c r="T544" s="200">
        <v>3</v>
      </c>
      <c r="U544" s="200">
        <v>3</v>
      </c>
      <c r="V544" s="200"/>
      <c r="W544" s="200"/>
      <c r="X544" s="137" t="s">
        <v>140</v>
      </c>
      <c r="Y544" s="155" t="str">
        <f>DB!$D$109</f>
        <v>Epson Genuine Ink (003) Magenta</v>
      </c>
      <c r="Z544" s="154"/>
      <c r="AA544" s="154"/>
      <c r="AB544" s="136"/>
      <c r="AC544" s="139"/>
      <c r="AD544" s="139"/>
      <c r="AE544" s="139"/>
      <c r="AF544" s="139"/>
    </row>
    <row r="545" spans="1:32" ht="25.5">
      <c r="A545" s="136" t="e">
        <f ca="1"/>
        <v>#NAME?</v>
      </c>
      <c r="B545" s="192" t="s">
        <v>872</v>
      </c>
      <c r="C545" s="201">
        <v>40</v>
      </c>
      <c r="D545" s="200" t="s">
        <v>103</v>
      </c>
      <c r="E545" s="149"/>
      <c r="F545" s="149"/>
      <c r="G545" s="154"/>
      <c r="H545" s="189">
        <v>10</v>
      </c>
      <c r="I545" s="200">
        <v>10</v>
      </c>
      <c r="J545" s="200"/>
      <c r="K545" s="200"/>
      <c r="L545" s="200">
        <v>10</v>
      </c>
      <c r="M545" s="200">
        <v>10</v>
      </c>
      <c r="N545" s="200"/>
      <c r="O545" s="200"/>
      <c r="P545" s="200">
        <v>10</v>
      </c>
      <c r="Q545" s="200">
        <v>10</v>
      </c>
      <c r="R545" s="200"/>
      <c r="S545" s="200"/>
      <c r="T545" s="200">
        <v>10</v>
      </c>
      <c r="U545" s="200">
        <v>10</v>
      </c>
      <c r="V545" s="200"/>
      <c r="W545" s="200"/>
      <c r="X545" s="137" t="s">
        <v>140</v>
      </c>
      <c r="Y545" s="155" t="str">
        <f>DB!$D$177</f>
        <v>EPSON LQ310 Ribbon Cartridge (SO15634)</v>
      </c>
      <c r="Z545" s="154"/>
      <c r="AA545" s="149"/>
      <c r="AB545" s="136"/>
      <c r="AC545" s="139"/>
      <c r="AD545" s="139"/>
      <c r="AE545" s="139"/>
      <c r="AF545" s="139"/>
    </row>
    <row r="546" spans="1:32" ht="12.75">
      <c r="A546" s="136" t="e">
        <f ca="1"/>
        <v>#NAME?</v>
      </c>
      <c r="B546" s="188" t="s">
        <v>873</v>
      </c>
      <c r="C546" s="198">
        <v>1</v>
      </c>
      <c r="D546" s="198" t="s">
        <v>103</v>
      </c>
      <c r="E546" s="185"/>
      <c r="F546" s="185"/>
      <c r="G546" s="186"/>
      <c r="H546" s="151">
        <v>1</v>
      </c>
      <c r="I546" s="198">
        <v>1</v>
      </c>
      <c r="J546" s="198"/>
      <c r="K546" s="198"/>
      <c r="L546" s="198"/>
      <c r="M546" s="198"/>
      <c r="N546" s="198"/>
      <c r="O546" s="198"/>
      <c r="P546" s="198"/>
      <c r="Q546" s="198"/>
      <c r="R546" s="198"/>
      <c r="S546" s="198"/>
      <c r="T546" s="198"/>
      <c r="U546" s="198"/>
      <c r="V546" s="198"/>
      <c r="W546" s="152"/>
      <c r="X546" s="137" t="s">
        <v>175</v>
      </c>
      <c r="Y546" s="141" t="str">
        <f>DB!$D$168</f>
        <v>Keyboard, Full Size, USB 2.0</v>
      </c>
      <c r="Z546" s="154"/>
      <c r="AA546" s="149"/>
      <c r="AB546" s="136"/>
      <c r="AC546" s="139"/>
      <c r="AD546" s="139"/>
      <c r="AE546" s="139"/>
      <c r="AF546" s="139"/>
    </row>
    <row r="547" spans="1:32" ht="12.75">
      <c r="A547" s="136" t="e">
        <f ca="1"/>
        <v>#NAME?</v>
      </c>
      <c r="B547" s="192" t="s">
        <v>874</v>
      </c>
      <c r="C547" s="200">
        <v>1</v>
      </c>
      <c r="D547" s="200" t="s">
        <v>103</v>
      </c>
      <c r="E547" s="187"/>
      <c r="F547" s="187"/>
      <c r="G547" s="186"/>
      <c r="H547" s="189">
        <v>1</v>
      </c>
      <c r="I547" s="200">
        <v>1</v>
      </c>
      <c r="J547" s="200"/>
      <c r="K547" s="200"/>
      <c r="L547" s="200"/>
      <c r="M547" s="200"/>
      <c r="N547" s="200"/>
      <c r="O547" s="200"/>
      <c r="P547" s="200"/>
      <c r="Q547" s="200"/>
      <c r="R547" s="200"/>
      <c r="S547" s="200"/>
      <c r="T547" s="200"/>
      <c r="U547" s="200"/>
      <c r="V547" s="200"/>
      <c r="W547" s="172"/>
      <c r="X547" s="137" t="s">
        <v>175</v>
      </c>
      <c r="Y547" s="141" t="str">
        <f>DB!$D$169</f>
        <v>Mouse, Optical, USB 2.0</v>
      </c>
      <c r="Z547" s="154"/>
      <c r="AA547" s="149"/>
      <c r="AB547" s="136"/>
      <c r="AC547" s="139"/>
      <c r="AD547" s="139"/>
      <c r="AE547" s="139"/>
      <c r="AF547" s="139"/>
    </row>
    <row r="548" spans="1:32" ht="12.75">
      <c r="A548" s="136" t="e">
        <f ca="1"/>
        <v>#NAME?</v>
      </c>
      <c r="B548" s="188" t="s">
        <v>875</v>
      </c>
      <c r="C548" s="198">
        <v>1</v>
      </c>
      <c r="D548" s="198" t="s">
        <v>92</v>
      </c>
      <c r="E548" s="187"/>
      <c r="F548" s="187"/>
      <c r="G548" s="186"/>
      <c r="H548" s="151">
        <v>1</v>
      </c>
      <c r="I548" s="198">
        <v>1</v>
      </c>
      <c r="J548" s="189"/>
      <c r="K548" s="200"/>
      <c r="L548" s="200"/>
      <c r="M548" s="200"/>
      <c r="N548" s="200"/>
      <c r="O548" s="200"/>
      <c r="P548" s="200"/>
      <c r="Q548" s="200"/>
      <c r="R548" s="200"/>
      <c r="S548" s="200"/>
      <c r="T548" s="200"/>
      <c r="U548" s="200"/>
      <c r="V548" s="200"/>
      <c r="W548" s="172"/>
      <c r="X548" s="137" t="s">
        <v>175</v>
      </c>
      <c r="Y548" s="155" t="str">
        <f>DB!$D$276</f>
        <v>Ink Tank Printer</v>
      </c>
      <c r="Z548" s="154" t="s">
        <v>469</v>
      </c>
      <c r="AA548" s="149"/>
      <c r="AB548" s="136"/>
      <c r="AC548" s="139"/>
      <c r="AD548" s="139"/>
      <c r="AE548" s="139"/>
      <c r="AF548" s="139"/>
    </row>
    <row r="549" spans="1:32" ht="12.75">
      <c r="A549" s="136" t="e">
        <f ca="1"/>
        <v>#NAME?</v>
      </c>
      <c r="B549" s="192" t="s">
        <v>876</v>
      </c>
      <c r="C549" s="200">
        <v>2</v>
      </c>
      <c r="D549" s="200" t="s">
        <v>92</v>
      </c>
      <c r="E549" s="187"/>
      <c r="F549" s="187"/>
      <c r="G549" s="186"/>
      <c r="H549" s="189">
        <v>2</v>
      </c>
      <c r="I549" s="200"/>
      <c r="J549" s="189"/>
      <c r="K549" s="200"/>
      <c r="L549" s="200"/>
      <c r="M549" s="200"/>
      <c r="N549" s="200"/>
      <c r="O549" s="200"/>
      <c r="P549" s="200"/>
      <c r="Q549" s="200"/>
      <c r="R549" s="200"/>
      <c r="S549" s="200"/>
      <c r="T549" s="200"/>
      <c r="U549" s="200"/>
      <c r="V549" s="200"/>
      <c r="W549" s="172"/>
      <c r="X549" s="137" t="s">
        <v>175</v>
      </c>
      <c r="Y549" s="141" t="str">
        <f>DB!$D$194</f>
        <v>Branded Desktop Computer Set</v>
      </c>
      <c r="Z549" s="152"/>
      <c r="AA549" s="149"/>
      <c r="AB549" s="136"/>
      <c r="AC549" s="139"/>
      <c r="AD549" s="139"/>
      <c r="AE549" s="139"/>
      <c r="AF549" s="139"/>
    </row>
    <row r="550" spans="1:32" ht="12.75">
      <c r="A550" s="136" t="e">
        <f ca="1"/>
        <v>#NAME?</v>
      </c>
      <c r="B550" s="192" t="s">
        <v>720</v>
      </c>
      <c r="C550" s="200">
        <v>24</v>
      </c>
      <c r="D550" s="200" t="s">
        <v>103</v>
      </c>
      <c r="E550" s="187"/>
      <c r="F550" s="187"/>
      <c r="G550" s="186"/>
      <c r="H550" s="189">
        <v>6</v>
      </c>
      <c r="I550" s="200">
        <v>2</v>
      </c>
      <c r="J550" s="198">
        <v>2</v>
      </c>
      <c r="K550" s="198">
        <v>2</v>
      </c>
      <c r="L550" s="198">
        <v>6</v>
      </c>
      <c r="M550" s="198">
        <v>2</v>
      </c>
      <c r="N550" s="198">
        <v>2</v>
      </c>
      <c r="O550" s="198">
        <v>2</v>
      </c>
      <c r="P550" s="198">
        <v>6</v>
      </c>
      <c r="Q550" s="198">
        <v>2</v>
      </c>
      <c r="R550" s="198">
        <v>2</v>
      </c>
      <c r="S550" s="198">
        <v>2</v>
      </c>
      <c r="T550" s="198">
        <v>6</v>
      </c>
      <c r="U550" s="198">
        <v>2</v>
      </c>
      <c r="V550" s="198">
        <v>2</v>
      </c>
      <c r="W550" s="200">
        <v>2</v>
      </c>
      <c r="X550" s="137" t="s">
        <v>175</v>
      </c>
      <c r="Y550" s="155" t="str">
        <f>DB!$D$102</f>
        <v>Epson Genuine Ink T6641 Black</v>
      </c>
      <c r="Z550" s="152"/>
      <c r="AA550" s="149"/>
      <c r="AB550" s="136"/>
      <c r="AC550" s="139"/>
      <c r="AD550" s="139"/>
      <c r="AE550" s="139"/>
      <c r="AF550" s="139"/>
    </row>
    <row r="551" spans="1:32" ht="12.75">
      <c r="A551" s="136" t="e">
        <f ca="1"/>
        <v>#NAME?</v>
      </c>
      <c r="B551" s="192" t="s">
        <v>721</v>
      </c>
      <c r="C551" s="200">
        <v>24</v>
      </c>
      <c r="D551" s="200" t="s">
        <v>103</v>
      </c>
      <c r="E551" s="187"/>
      <c r="F551" s="187"/>
      <c r="G551" s="186"/>
      <c r="H551" s="189">
        <v>6</v>
      </c>
      <c r="I551" s="200">
        <v>2</v>
      </c>
      <c r="J551" s="200">
        <v>2</v>
      </c>
      <c r="K551" s="200">
        <v>2</v>
      </c>
      <c r="L551" s="200">
        <v>6</v>
      </c>
      <c r="M551" s="200">
        <v>2</v>
      </c>
      <c r="N551" s="200">
        <v>2</v>
      </c>
      <c r="O551" s="200">
        <v>2</v>
      </c>
      <c r="P551" s="200">
        <v>6</v>
      </c>
      <c r="Q551" s="200">
        <v>2</v>
      </c>
      <c r="R551" s="200">
        <v>2</v>
      </c>
      <c r="S551" s="200">
        <v>2</v>
      </c>
      <c r="T551" s="200">
        <v>6</v>
      </c>
      <c r="U551" s="200">
        <v>2</v>
      </c>
      <c r="V551" s="200">
        <v>2</v>
      </c>
      <c r="W551" s="200">
        <v>2</v>
      </c>
      <c r="X551" s="137" t="s">
        <v>175</v>
      </c>
      <c r="Y551" s="155" t="str">
        <f>DB!$D$103</f>
        <v>Epson Genuine Ink T6642 Cyan</v>
      </c>
      <c r="Z551" s="154"/>
      <c r="AA551" s="149"/>
      <c r="AB551" s="136"/>
      <c r="AC551" s="139"/>
      <c r="AD551" s="139"/>
      <c r="AE551" s="139"/>
      <c r="AF551" s="139"/>
    </row>
    <row r="552" spans="1:32" ht="12.75">
      <c r="A552" s="136" t="e">
        <f ca="1"/>
        <v>#NAME?</v>
      </c>
      <c r="B552" s="192" t="s">
        <v>722</v>
      </c>
      <c r="C552" s="200">
        <v>24</v>
      </c>
      <c r="D552" s="200" t="s">
        <v>103</v>
      </c>
      <c r="E552" s="187"/>
      <c r="F552" s="187"/>
      <c r="G552" s="186"/>
      <c r="H552" s="189">
        <v>6</v>
      </c>
      <c r="I552" s="200">
        <v>2</v>
      </c>
      <c r="J552" s="200">
        <v>2</v>
      </c>
      <c r="K552" s="200">
        <v>2</v>
      </c>
      <c r="L552" s="200">
        <v>6</v>
      </c>
      <c r="M552" s="200">
        <v>2</v>
      </c>
      <c r="N552" s="200">
        <v>2</v>
      </c>
      <c r="O552" s="200">
        <v>2</v>
      </c>
      <c r="P552" s="200">
        <v>6</v>
      </c>
      <c r="Q552" s="200">
        <v>2</v>
      </c>
      <c r="R552" s="200">
        <v>2</v>
      </c>
      <c r="S552" s="200">
        <v>2</v>
      </c>
      <c r="T552" s="200">
        <v>6</v>
      </c>
      <c r="U552" s="200">
        <v>2</v>
      </c>
      <c r="V552" s="200">
        <v>2</v>
      </c>
      <c r="W552" s="200">
        <v>2</v>
      </c>
      <c r="X552" s="137" t="s">
        <v>175</v>
      </c>
      <c r="Y552" s="155" t="str">
        <f>DB!$D$104</f>
        <v>Epson Genuine Ink T6643 Magenta</v>
      </c>
      <c r="Z552" s="154"/>
      <c r="AA552" s="149"/>
      <c r="AB552" s="136"/>
      <c r="AC552" s="139"/>
      <c r="AD552" s="139"/>
      <c r="AE552" s="139"/>
      <c r="AF552" s="139"/>
    </row>
    <row r="553" spans="1:32" ht="12.75">
      <c r="A553" s="136" t="e">
        <f ca="1"/>
        <v>#NAME?</v>
      </c>
      <c r="B553" s="192" t="s">
        <v>723</v>
      </c>
      <c r="C553" s="200">
        <v>24</v>
      </c>
      <c r="D553" s="200" t="s">
        <v>103</v>
      </c>
      <c r="E553" s="226"/>
      <c r="F553" s="226"/>
      <c r="G553" s="227"/>
      <c r="H553" s="189">
        <v>6</v>
      </c>
      <c r="I553" s="200">
        <v>2</v>
      </c>
      <c r="J553" s="200">
        <v>2</v>
      </c>
      <c r="K553" s="200">
        <v>2</v>
      </c>
      <c r="L553" s="200">
        <v>6</v>
      </c>
      <c r="M553" s="200">
        <v>2</v>
      </c>
      <c r="N553" s="200">
        <v>2</v>
      </c>
      <c r="O553" s="200">
        <v>2</v>
      </c>
      <c r="P553" s="200">
        <v>6</v>
      </c>
      <c r="Q553" s="200">
        <v>2</v>
      </c>
      <c r="R553" s="200">
        <v>2</v>
      </c>
      <c r="S553" s="200">
        <v>2</v>
      </c>
      <c r="T553" s="200">
        <v>6</v>
      </c>
      <c r="U553" s="200">
        <v>2</v>
      </c>
      <c r="V553" s="200">
        <v>2</v>
      </c>
      <c r="W553" s="200">
        <v>2</v>
      </c>
      <c r="X553" s="137" t="s">
        <v>175</v>
      </c>
      <c r="Y553" s="155" t="str">
        <f>DB!$D$105</f>
        <v>Epson Genuine Ink T6644 Yellow</v>
      </c>
      <c r="Z553" s="154"/>
      <c r="AA553" s="149"/>
      <c r="AB553" s="136"/>
      <c r="AC553" s="139"/>
      <c r="AD553" s="139"/>
      <c r="AE553" s="139"/>
      <c r="AF553" s="139"/>
    </row>
    <row r="554" spans="1:32" ht="12.75">
      <c r="A554" s="136" t="e">
        <f ca="1"/>
        <v>#NAME?</v>
      </c>
      <c r="B554" s="188" t="s">
        <v>877</v>
      </c>
      <c r="C554" s="198">
        <v>1</v>
      </c>
      <c r="D554" s="198" t="s">
        <v>103</v>
      </c>
      <c r="E554" s="149"/>
      <c r="F554" s="228"/>
      <c r="G554" s="229"/>
      <c r="H554" s="151">
        <v>1</v>
      </c>
      <c r="I554" s="198">
        <v>1</v>
      </c>
      <c r="J554" s="198"/>
      <c r="K554" s="198"/>
      <c r="L554" s="198"/>
      <c r="M554" s="198"/>
      <c r="N554" s="198"/>
      <c r="O554" s="198"/>
      <c r="P554" s="198"/>
      <c r="Q554" s="198"/>
      <c r="R554" s="198"/>
      <c r="S554" s="198"/>
      <c r="T554" s="198"/>
      <c r="U554" s="198"/>
      <c r="V554" s="198"/>
      <c r="W554" s="172"/>
      <c r="X554" s="137" t="s">
        <v>175</v>
      </c>
      <c r="Y554" s="155" t="str">
        <f>DB!$D$95</f>
        <v>Stereo Speakers</v>
      </c>
      <c r="Z554" s="154"/>
      <c r="AA554" s="149"/>
      <c r="AB554" s="136"/>
      <c r="AC554" s="139"/>
      <c r="AD554" s="139"/>
      <c r="AE554" s="139"/>
      <c r="AF554" s="139"/>
    </row>
    <row r="555" spans="1:32" ht="25.5">
      <c r="A555" s="136" t="e">
        <f ca="1"/>
        <v>#NAME?</v>
      </c>
      <c r="B555" s="188" t="s">
        <v>878</v>
      </c>
      <c r="C555" s="198">
        <v>24</v>
      </c>
      <c r="D555" s="198" t="s">
        <v>103</v>
      </c>
      <c r="E555" s="185"/>
      <c r="F555" s="228"/>
      <c r="G555" s="229"/>
      <c r="H555" s="151">
        <v>6</v>
      </c>
      <c r="I555" s="198">
        <v>2</v>
      </c>
      <c r="J555" s="198">
        <v>2</v>
      </c>
      <c r="K555" s="198">
        <v>2</v>
      </c>
      <c r="L555" s="198">
        <v>6</v>
      </c>
      <c r="M555" s="198">
        <v>2</v>
      </c>
      <c r="N555" s="198">
        <v>2</v>
      </c>
      <c r="O555" s="198">
        <v>2</v>
      </c>
      <c r="P555" s="198">
        <v>6</v>
      </c>
      <c r="Q555" s="198">
        <v>2</v>
      </c>
      <c r="R555" s="198">
        <v>2</v>
      </c>
      <c r="S555" s="198">
        <v>2</v>
      </c>
      <c r="T555" s="198">
        <v>6</v>
      </c>
      <c r="U555" s="198">
        <v>2</v>
      </c>
      <c r="V555" s="198">
        <v>2</v>
      </c>
      <c r="W555" s="200">
        <v>2</v>
      </c>
      <c r="X555" s="137" t="s">
        <v>175</v>
      </c>
      <c r="Y555" s="155" t="str">
        <f>DB!$D$239</f>
        <v>Toner Cartridge for the existing ECOSYS P2040DN</v>
      </c>
      <c r="Z555" s="163"/>
      <c r="AA555" s="149"/>
      <c r="AB555" s="136"/>
      <c r="AC555" s="139"/>
      <c r="AD555" s="139"/>
      <c r="AE555" s="139"/>
      <c r="AF555" s="139"/>
    </row>
    <row r="556" spans="1:32" ht="12.75">
      <c r="A556" s="136" t="e">
        <f ca="1"/>
        <v>#NAME?</v>
      </c>
      <c r="B556" s="230" t="s">
        <v>879</v>
      </c>
      <c r="C556" s="205">
        <v>1</v>
      </c>
      <c r="D556" s="205" t="s">
        <v>103</v>
      </c>
      <c r="E556" s="185"/>
      <c r="F556" s="228"/>
      <c r="G556" s="229"/>
      <c r="H556" s="205">
        <v>1</v>
      </c>
      <c r="I556" s="205">
        <v>1</v>
      </c>
      <c r="J556" s="205"/>
      <c r="K556" s="205"/>
      <c r="L556" s="205"/>
      <c r="M556" s="205"/>
      <c r="N556" s="205"/>
      <c r="O556" s="205"/>
      <c r="P556" s="205"/>
      <c r="Q556" s="205"/>
      <c r="R556" s="205"/>
      <c r="S556" s="212"/>
      <c r="T556" s="208"/>
      <c r="U556" s="205"/>
      <c r="V556" s="205"/>
      <c r="W556" s="205"/>
      <c r="X556" s="137" t="s">
        <v>175</v>
      </c>
      <c r="Y556" s="155" t="str">
        <f>DB!$D$73</f>
        <v>Webcam Professional Full HD</v>
      </c>
      <c r="Z556" s="154"/>
      <c r="AA556" s="149"/>
      <c r="AB556" s="136"/>
      <c r="AC556" s="139"/>
      <c r="AD556" s="139"/>
      <c r="AE556" s="139"/>
      <c r="AF556" s="139"/>
    </row>
    <row r="557" spans="1:32" ht="12.75">
      <c r="A557" s="136" t="e">
        <f ca="1"/>
        <v>#NAME?</v>
      </c>
      <c r="B557" s="188" t="s">
        <v>234</v>
      </c>
      <c r="C557" s="197">
        <v>2</v>
      </c>
      <c r="D557" s="189" t="s">
        <v>103</v>
      </c>
      <c r="E557" s="185"/>
      <c r="F557" s="228"/>
      <c r="G557" s="229"/>
      <c r="H557" s="158">
        <v>1</v>
      </c>
      <c r="I557" s="203">
        <v>1</v>
      </c>
      <c r="J557" s="197"/>
      <c r="K557" s="197"/>
      <c r="L557" s="158">
        <v>0</v>
      </c>
      <c r="M557" s="203"/>
      <c r="N557" s="197"/>
      <c r="O557" s="197"/>
      <c r="P557" s="158">
        <v>1</v>
      </c>
      <c r="Q557" s="203">
        <v>1</v>
      </c>
      <c r="R557" s="197"/>
      <c r="S557" s="197"/>
      <c r="T557" s="158">
        <v>0</v>
      </c>
      <c r="U557" s="198"/>
      <c r="V557" s="198"/>
      <c r="W557" s="198"/>
      <c r="X557" s="137" t="s">
        <v>236</v>
      </c>
      <c r="Y557" s="141" t="str">
        <f>DB!$D$168</f>
        <v>Keyboard, Full Size, USB 2.0</v>
      </c>
      <c r="Z557" s="154"/>
      <c r="AA557" s="149"/>
      <c r="AB557" s="136"/>
      <c r="AC557" s="139"/>
      <c r="AD557" s="139"/>
      <c r="AE557" s="139"/>
      <c r="AF557" s="139"/>
    </row>
    <row r="558" spans="1:32" ht="12.75">
      <c r="A558" s="136" t="e">
        <f ca="1"/>
        <v>#NAME?</v>
      </c>
      <c r="B558" s="192" t="s">
        <v>239</v>
      </c>
      <c r="C558" s="197">
        <v>2</v>
      </c>
      <c r="D558" s="189" t="s">
        <v>103</v>
      </c>
      <c r="E558" s="185"/>
      <c r="F558" s="228"/>
      <c r="G558" s="229"/>
      <c r="H558" s="199">
        <v>1</v>
      </c>
      <c r="I558" s="203">
        <v>1</v>
      </c>
      <c r="J558" s="197"/>
      <c r="K558" s="197"/>
      <c r="L558" s="199">
        <v>0</v>
      </c>
      <c r="M558" s="203"/>
      <c r="N558" s="197"/>
      <c r="O558" s="197"/>
      <c r="P558" s="199">
        <v>1</v>
      </c>
      <c r="Q558" s="203">
        <v>1</v>
      </c>
      <c r="R558" s="197"/>
      <c r="S558" s="197"/>
      <c r="T558" s="199">
        <v>0</v>
      </c>
      <c r="U558" s="200"/>
      <c r="V558" s="200"/>
      <c r="W558" s="200"/>
      <c r="X558" s="137" t="s">
        <v>236</v>
      </c>
      <c r="Y558" s="141" t="str">
        <f>DB!$D$169</f>
        <v>Mouse, Optical, USB 2.0</v>
      </c>
      <c r="Z558" s="154"/>
      <c r="AA558" s="149"/>
      <c r="AB558" s="136"/>
      <c r="AC558" s="139"/>
      <c r="AD558" s="139"/>
      <c r="AE558" s="139"/>
      <c r="AF558" s="139"/>
    </row>
    <row r="559" spans="1:32" ht="12.75">
      <c r="A559" s="136" t="e">
        <f ca="1"/>
        <v>#NAME?</v>
      </c>
      <c r="B559" s="188" t="s">
        <v>880</v>
      </c>
      <c r="C559" s="200">
        <v>2</v>
      </c>
      <c r="D559" s="198" t="s">
        <v>103</v>
      </c>
      <c r="E559" s="216"/>
      <c r="F559" s="216"/>
      <c r="G559" s="231"/>
      <c r="H559" s="158">
        <v>2</v>
      </c>
      <c r="I559" s="198">
        <v>2</v>
      </c>
      <c r="J559" s="198"/>
      <c r="K559" s="198"/>
      <c r="L559" s="232">
        <v>0</v>
      </c>
      <c r="M559" s="198"/>
      <c r="N559" s="198"/>
      <c r="O559" s="198"/>
      <c r="P559" s="232">
        <v>0</v>
      </c>
      <c r="Q559" s="198"/>
      <c r="R559" s="198"/>
      <c r="S559" s="198"/>
      <c r="T559" s="232">
        <v>0</v>
      </c>
      <c r="U559" s="198"/>
      <c r="V559" s="198"/>
      <c r="W559" s="198"/>
      <c r="X559" s="137" t="s">
        <v>177</v>
      </c>
      <c r="Y559" s="141" t="str">
        <f>DB!$D$194</f>
        <v>Branded Desktop Computer Set</v>
      </c>
      <c r="Z559" s="152"/>
      <c r="AA559" s="154"/>
      <c r="AB559" s="136"/>
      <c r="AC559" s="139"/>
      <c r="AD559" s="139"/>
      <c r="AE559" s="139"/>
      <c r="AF559" s="139"/>
    </row>
    <row r="560" spans="1:32" ht="12.75">
      <c r="A560" s="136" t="e">
        <f ca="1"/>
        <v>#NAME?</v>
      </c>
      <c r="B560" s="192" t="s">
        <v>234</v>
      </c>
      <c r="C560" s="200">
        <v>2</v>
      </c>
      <c r="D560" s="200" t="s">
        <v>103</v>
      </c>
      <c r="E560" s="214"/>
      <c r="F560" s="214"/>
      <c r="G560" s="231"/>
      <c r="H560" s="199">
        <v>1</v>
      </c>
      <c r="I560" s="200">
        <v>1</v>
      </c>
      <c r="J560" s="200"/>
      <c r="K560" s="200"/>
      <c r="L560" s="201">
        <v>1</v>
      </c>
      <c r="M560" s="200">
        <v>1</v>
      </c>
      <c r="N560" s="200"/>
      <c r="O560" s="200"/>
      <c r="P560" s="201"/>
      <c r="Q560" s="200"/>
      <c r="R560" s="200"/>
      <c r="S560" s="200"/>
      <c r="T560" s="201">
        <v>0</v>
      </c>
      <c r="U560" s="200"/>
      <c r="V560" s="200"/>
      <c r="W560" s="200"/>
      <c r="X560" s="137" t="s">
        <v>177</v>
      </c>
      <c r="Y560" s="141" t="str">
        <f>DB!$D$168</f>
        <v>Keyboard, Full Size, USB 2.0</v>
      </c>
      <c r="Z560" s="154"/>
      <c r="AA560" s="154"/>
      <c r="AB560" s="136"/>
      <c r="AC560" s="139"/>
      <c r="AD560" s="139"/>
      <c r="AE560" s="139"/>
      <c r="AF560" s="139"/>
    </row>
    <row r="561" spans="1:32" ht="12.75">
      <c r="A561" s="136" t="e">
        <f ca="1"/>
        <v>#NAME?</v>
      </c>
      <c r="B561" s="192" t="s">
        <v>239</v>
      </c>
      <c r="C561" s="200">
        <v>2</v>
      </c>
      <c r="D561" s="200" t="s">
        <v>103</v>
      </c>
      <c r="E561" s="214"/>
      <c r="F561" s="214"/>
      <c r="G561" s="231"/>
      <c r="H561" s="199">
        <v>1</v>
      </c>
      <c r="I561" s="200">
        <v>1</v>
      </c>
      <c r="J561" s="200"/>
      <c r="K561" s="200"/>
      <c r="L561" s="201">
        <v>1</v>
      </c>
      <c r="M561" s="200">
        <v>1</v>
      </c>
      <c r="N561" s="200"/>
      <c r="O561" s="200"/>
      <c r="P561" s="201">
        <v>0</v>
      </c>
      <c r="Q561" s="200"/>
      <c r="R561" s="200"/>
      <c r="S561" s="200"/>
      <c r="T561" s="201">
        <v>0</v>
      </c>
      <c r="U561" s="200"/>
      <c r="V561" s="200"/>
      <c r="W561" s="200"/>
      <c r="X561" s="137" t="s">
        <v>177</v>
      </c>
      <c r="Y561" s="141" t="str">
        <f>DB!$D$169</f>
        <v>Mouse, Optical, USB 2.0</v>
      </c>
      <c r="Z561" s="154"/>
      <c r="AA561" s="154"/>
      <c r="AB561" s="136"/>
      <c r="AC561" s="139"/>
      <c r="AD561" s="139"/>
      <c r="AE561" s="139"/>
      <c r="AF561" s="139"/>
    </row>
    <row r="562" spans="1:32" ht="12.75">
      <c r="A562" s="136" t="e">
        <f ca="1"/>
        <v>#NAME?</v>
      </c>
      <c r="B562" s="192" t="s">
        <v>881</v>
      </c>
      <c r="C562" s="200">
        <v>1</v>
      </c>
      <c r="D562" s="200" t="s">
        <v>466</v>
      </c>
      <c r="E562" s="214"/>
      <c r="F562" s="214"/>
      <c r="G562" s="231"/>
      <c r="H562" s="199">
        <v>1</v>
      </c>
      <c r="I562" s="200">
        <v>1</v>
      </c>
      <c r="J562" s="200"/>
      <c r="K562" s="200"/>
      <c r="L562" s="201">
        <v>0</v>
      </c>
      <c r="M562" s="200"/>
      <c r="N562" s="200"/>
      <c r="O562" s="200"/>
      <c r="P562" s="201">
        <v>0</v>
      </c>
      <c r="Q562" s="200"/>
      <c r="R562" s="200"/>
      <c r="S562" s="200">
        <v>0</v>
      </c>
      <c r="T562" s="201">
        <v>0</v>
      </c>
      <c r="U562" s="200"/>
      <c r="V562" s="200"/>
      <c r="W562" s="200"/>
      <c r="X562" s="137" t="s">
        <v>177</v>
      </c>
      <c r="Y562" s="155" t="str">
        <f>DB!$D$276</f>
        <v>Ink Tank Printer</v>
      </c>
      <c r="Z562" s="154" t="s">
        <v>469</v>
      </c>
      <c r="AA562" s="149"/>
      <c r="AB562" s="136"/>
      <c r="AC562" s="139"/>
      <c r="AD562" s="139"/>
      <c r="AE562" s="139"/>
      <c r="AF562" s="139"/>
    </row>
    <row r="563" spans="1:32" ht="12.75">
      <c r="A563" s="136" t="e">
        <f ca="1"/>
        <v>#NAME?</v>
      </c>
      <c r="B563" s="192" t="s">
        <v>568</v>
      </c>
      <c r="C563" s="200">
        <v>1</v>
      </c>
      <c r="D563" s="200" t="s">
        <v>103</v>
      </c>
      <c r="E563" s="214"/>
      <c r="F563" s="214"/>
      <c r="G563" s="231"/>
      <c r="H563" s="199">
        <v>1</v>
      </c>
      <c r="I563" s="200">
        <v>1</v>
      </c>
      <c r="J563" s="200"/>
      <c r="K563" s="200"/>
      <c r="L563" s="201">
        <v>0</v>
      </c>
      <c r="M563" s="200"/>
      <c r="N563" s="200"/>
      <c r="O563" s="200"/>
      <c r="P563" s="201">
        <v>0</v>
      </c>
      <c r="Q563" s="200"/>
      <c r="R563" s="200"/>
      <c r="S563" s="200"/>
      <c r="T563" s="201">
        <v>0</v>
      </c>
      <c r="U563" s="200"/>
      <c r="V563" s="200"/>
      <c r="W563" s="200"/>
      <c r="X563" s="137" t="s">
        <v>177</v>
      </c>
      <c r="Y563" s="163" t="str">
        <f>DB!$D$6</f>
        <v>UPS 650VA, AVR, 230V</v>
      </c>
      <c r="Z563" s="154"/>
      <c r="AA563" s="154"/>
      <c r="AB563" s="136"/>
      <c r="AC563" s="139"/>
      <c r="AD563" s="139"/>
      <c r="AE563" s="139"/>
      <c r="AF563" s="139"/>
    </row>
    <row r="564" spans="1:32" ht="12.75">
      <c r="A564" s="136" t="e">
        <f ca="1"/>
        <v>#NAME?</v>
      </c>
      <c r="B564" s="192" t="s">
        <v>882</v>
      </c>
      <c r="C564" s="200">
        <v>1</v>
      </c>
      <c r="D564" s="200" t="s">
        <v>103</v>
      </c>
      <c r="E564" s="214"/>
      <c r="F564" s="214"/>
      <c r="G564" s="231"/>
      <c r="H564" s="199">
        <v>1</v>
      </c>
      <c r="I564" s="200">
        <v>1</v>
      </c>
      <c r="J564" s="200"/>
      <c r="K564" s="200"/>
      <c r="L564" s="201">
        <v>0</v>
      </c>
      <c r="M564" s="200"/>
      <c r="N564" s="200"/>
      <c r="O564" s="200"/>
      <c r="P564" s="201">
        <v>0</v>
      </c>
      <c r="Q564" s="200"/>
      <c r="R564" s="200"/>
      <c r="S564" s="200"/>
      <c r="T564" s="201">
        <v>0</v>
      </c>
      <c r="U564" s="200"/>
      <c r="V564" s="200"/>
      <c r="W564" s="200"/>
      <c r="X564" s="137" t="s">
        <v>177</v>
      </c>
      <c r="Y564" s="155" t="str">
        <f>DB!$D$73</f>
        <v>Webcam Professional Full HD</v>
      </c>
      <c r="Z564" s="154"/>
      <c r="AA564" s="154"/>
      <c r="AB564" s="136"/>
      <c r="AC564" s="139"/>
      <c r="AD564" s="139"/>
      <c r="AE564" s="139"/>
      <c r="AF564" s="139"/>
    </row>
    <row r="565" spans="1:32" ht="25.5">
      <c r="A565" s="136" t="e">
        <f ca="1"/>
        <v>#NAME?</v>
      </c>
      <c r="B565" s="188" t="s">
        <v>883</v>
      </c>
      <c r="C565" s="200">
        <v>36</v>
      </c>
      <c r="D565" s="198" t="s">
        <v>103</v>
      </c>
      <c r="E565" s="214"/>
      <c r="F565" s="214"/>
      <c r="G565" s="231"/>
      <c r="H565" s="158">
        <v>3</v>
      </c>
      <c r="I565" s="198">
        <v>1</v>
      </c>
      <c r="J565" s="198">
        <v>1</v>
      </c>
      <c r="K565" s="198">
        <v>1</v>
      </c>
      <c r="L565" s="232">
        <v>3</v>
      </c>
      <c r="M565" s="198">
        <v>1</v>
      </c>
      <c r="N565" s="198">
        <v>1</v>
      </c>
      <c r="O565" s="198">
        <v>1</v>
      </c>
      <c r="P565" s="232">
        <v>3</v>
      </c>
      <c r="Q565" s="198">
        <v>1</v>
      </c>
      <c r="R565" s="198">
        <v>1</v>
      </c>
      <c r="S565" s="198">
        <v>1</v>
      </c>
      <c r="T565" s="232">
        <v>0</v>
      </c>
      <c r="U565" s="198"/>
      <c r="V565" s="198"/>
      <c r="W565" s="198"/>
      <c r="X565" s="137" t="s">
        <v>178</v>
      </c>
      <c r="Y565" s="155" t="str">
        <f>DB!$D$239</f>
        <v>Toner Cartridge for the existing ECOSYS P2040DN</v>
      </c>
      <c r="Z565" s="163"/>
      <c r="AA565" s="154"/>
      <c r="AB565" s="136"/>
      <c r="AC565" s="139"/>
      <c r="AD565" s="139"/>
      <c r="AE565" s="139"/>
      <c r="AF565" s="139"/>
    </row>
    <row r="566" spans="1:32" ht="12.75">
      <c r="A566" s="136" t="e">
        <f ca="1"/>
        <v>#NAME?</v>
      </c>
      <c r="B566" s="192" t="s">
        <v>880</v>
      </c>
      <c r="C566" s="200">
        <v>2</v>
      </c>
      <c r="D566" s="200" t="s">
        <v>103</v>
      </c>
      <c r="E566" s="214"/>
      <c r="F566" s="214"/>
      <c r="G566" s="231"/>
      <c r="H566" s="199">
        <v>2</v>
      </c>
      <c r="I566" s="200">
        <v>2</v>
      </c>
      <c r="J566" s="200"/>
      <c r="K566" s="200"/>
      <c r="L566" s="201">
        <v>0</v>
      </c>
      <c r="M566" s="200"/>
      <c r="N566" s="200"/>
      <c r="O566" s="200"/>
      <c r="P566" s="201">
        <v>0</v>
      </c>
      <c r="Q566" s="200"/>
      <c r="R566" s="200"/>
      <c r="S566" s="200"/>
      <c r="T566" s="201">
        <v>0</v>
      </c>
      <c r="U566" s="200"/>
      <c r="V566" s="200"/>
      <c r="W566" s="200"/>
      <c r="X566" s="137" t="s">
        <v>178</v>
      </c>
      <c r="Y566" s="141" t="str">
        <f>DB!$D$194</f>
        <v>Branded Desktop Computer Set</v>
      </c>
      <c r="Z566" s="154"/>
      <c r="AA566" s="154"/>
      <c r="AB566" s="136"/>
      <c r="AC566" s="139"/>
      <c r="AD566" s="139"/>
      <c r="AE566" s="139"/>
      <c r="AF566" s="139"/>
    </row>
    <row r="567" spans="1:32" ht="12.75">
      <c r="A567" s="136" t="e">
        <f ca="1"/>
        <v>#NAME?</v>
      </c>
      <c r="B567" s="192" t="s">
        <v>884</v>
      </c>
      <c r="C567" s="200">
        <v>16</v>
      </c>
      <c r="D567" s="200" t="s">
        <v>885</v>
      </c>
      <c r="E567" s="214"/>
      <c r="F567" s="223"/>
      <c r="G567" s="231"/>
      <c r="H567" s="199">
        <v>4</v>
      </c>
      <c r="I567" s="200">
        <v>2</v>
      </c>
      <c r="J567" s="200">
        <v>1</v>
      </c>
      <c r="K567" s="200">
        <v>1</v>
      </c>
      <c r="L567" s="201">
        <v>4</v>
      </c>
      <c r="M567" s="200">
        <v>2</v>
      </c>
      <c r="N567" s="200">
        <v>1</v>
      </c>
      <c r="O567" s="200">
        <v>1</v>
      </c>
      <c r="P567" s="201">
        <v>4</v>
      </c>
      <c r="Q567" s="200">
        <v>2</v>
      </c>
      <c r="R567" s="200">
        <v>1</v>
      </c>
      <c r="S567" s="200">
        <v>1</v>
      </c>
      <c r="T567" s="201">
        <v>4</v>
      </c>
      <c r="U567" s="200">
        <v>2</v>
      </c>
      <c r="V567" s="200">
        <v>1</v>
      </c>
      <c r="W567" s="200">
        <v>1</v>
      </c>
      <c r="X567" s="137" t="s">
        <v>178</v>
      </c>
      <c r="Y567" s="155"/>
      <c r="Z567" s="154" t="s">
        <v>453</v>
      </c>
      <c r="AA567" s="154"/>
      <c r="AB567" s="136"/>
      <c r="AC567" s="139"/>
      <c r="AD567" s="139"/>
      <c r="AE567" s="139"/>
      <c r="AF567" s="139"/>
    </row>
    <row r="568" spans="1:32" ht="12.75">
      <c r="A568" s="136" t="e">
        <f ca="1"/>
        <v>#NAME?</v>
      </c>
      <c r="B568" s="192" t="s">
        <v>886</v>
      </c>
      <c r="C568" s="200">
        <v>12</v>
      </c>
      <c r="D568" s="200" t="s">
        <v>885</v>
      </c>
      <c r="E568" s="214"/>
      <c r="F568" s="216"/>
      <c r="G568" s="231"/>
      <c r="H568" s="199">
        <v>3</v>
      </c>
      <c r="I568" s="200">
        <v>1</v>
      </c>
      <c r="J568" s="200">
        <v>1</v>
      </c>
      <c r="K568" s="200">
        <v>1</v>
      </c>
      <c r="L568" s="201">
        <v>3</v>
      </c>
      <c r="M568" s="200">
        <v>1</v>
      </c>
      <c r="N568" s="200">
        <v>1</v>
      </c>
      <c r="O568" s="200">
        <v>1</v>
      </c>
      <c r="P568" s="201">
        <v>3</v>
      </c>
      <c r="Q568" s="200">
        <v>1</v>
      </c>
      <c r="R568" s="200">
        <v>1</v>
      </c>
      <c r="S568" s="200">
        <v>1</v>
      </c>
      <c r="T568" s="201">
        <v>3</v>
      </c>
      <c r="U568" s="200">
        <v>1</v>
      </c>
      <c r="V568" s="200">
        <v>1</v>
      </c>
      <c r="W568" s="200">
        <v>1</v>
      </c>
      <c r="X568" s="137" t="s">
        <v>178</v>
      </c>
      <c r="Y568" s="155"/>
      <c r="Z568" s="154" t="s">
        <v>453</v>
      </c>
      <c r="AA568" s="154"/>
      <c r="AB568" s="136"/>
      <c r="AC568" s="139"/>
      <c r="AD568" s="139"/>
      <c r="AE568" s="139"/>
      <c r="AF568" s="139"/>
    </row>
    <row r="569" spans="1:32" ht="12.75">
      <c r="A569" s="136" t="e">
        <f ca="1"/>
        <v>#NAME?</v>
      </c>
      <c r="B569" s="192" t="s">
        <v>887</v>
      </c>
      <c r="C569" s="200">
        <v>12</v>
      </c>
      <c r="D569" s="200" t="s">
        <v>885</v>
      </c>
      <c r="E569" s="214"/>
      <c r="F569" s="214"/>
      <c r="G569" s="231"/>
      <c r="H569" s="199">
        <v>3</v>
      </c>
      <c r="I569" s="200">
        <v>1</v>
      </c>
      <c r="J569" s="200">
        <v>1</v>
      </c>
      <c r="K569" s="200">
        <v>1</v>
      </c>
      <c r="L569" s="201">
        <v>3</v>
      </c>
      <c r="M569" s="200">
        <v>1</v>
      </c>
      <c r="N569" s="200">
        <v>1</v>
      </c>
      <c r="O569" s="200">
        <v>1</v>
      </c>
      <c r="P569" s="201">
        <v>3</v>
      </c>
      <c r="Q569" s="200">
        <v>1</v>
      </c>
      <c r="R569" s="200">
        <v>1</v>
      </c>
      <c r="S569" s="200">
        <v>1</v>
      </c>
      <c r="T569" s="201">
        <v>3</v>
      </c>
      <c r="U569" s="200">
        <v>1</v>
      </c>
      <c r="V569" s="200">
        <v>1</v>
      </c>
      <c r="W569" s="200">
        <v>1</v>
      </c>
      <c r="X569" s="137" t="s">
        <v>178</v>
      </c>
      <c r="Y569" s="163"/>
      <c r="Z569" s="154" t="s">
        <v>453</v>
      </c>
      <c r="AA569" s="154"/>
      <c r="AB569" s="136"/>
      <c r="AC569" s="139"/>
      <c r="AD569" s="139"/>
      <c r="AE569" s="139"/>
      <c r="AF569" s="139"/>
    </row>
    <row r="570" spans="1:32" ht="12.75">
      <c r="A570" s="136" t="e">
        <f ca="1"/>
        <v>#NAME?</v>
      </c>
      <c r="B570" s="192" t="s">
        <v>888</v>
      </c>
      <c r="C570" s="200">
        <v>12</v>
      </c>
      <c r="D570" s="200" t="s">
        <v>885</v>
      </c>
      <c r="E570" s="214"/>
      <c r="F570" s="214"/>
      <c r="G570" s="231"/>
      <c r="H570" s="199">
        <v>3</v>
      </c>
      <c r="I570" s="200">
        <v>1</v>
      </c>
      <c r="J570" s="200">
        <v>1</v>
      </c>
      <c r="K570" s="200">
        <v>1</v>
      </c>
      <c r="L570" s="201">
        <v>3</v>
      </c>
      <c r="M570" s="200">
        <v>1</v>
      </c>
      <c r="N570" s="200">
        <v>1</v>
      </c>
      <c r="O570" s="200">
        <v>1</v>
      </c>
      <c r="P570" s="201">
        <v>3</v>
      </c>
      <c r="Q570" s="200">
        <v>1</v>
      </c>
      <c r="R570" s="200">
        <v>1</v>
      </c>
      <c r="S570" s="200">
        <v>1</v>
      </c>
      <c r="T570" s="201">
        <v>3</v>
      </c>
      <c r="U570" s="200">
        <v>1</v>
      </c>
      <c r="V570" s="200">
        <v>1</v>
      </c>
      <c r="W570" s="200">
        <v>1</v>
      </c>
      <c r="X570" s="137" t="s">
        <v>178</v>
      </c>
      <c r="Y570" s="155"/>
      <c r="Z570" s="154" t="s">
        <v>453</v>
      </c>
      <c r="AA570" s="149"/>
      <c r="AB570" s="136"/>
      <c r="AC570" s="139"/>
      <c r="AD570" s="139"/>
      <c r="AE570" s="139"/>
      <c r="AF570" s="139"/>
    </row>
    <row r="571" spans="1:32" ht="25.5">
      <c r="A571" s="136" t="e">
        <f ca="1"/>
        <v>#NAME?</v>
      </c>
      <c r="B571" s="192" t="s">
        <v>889</v>
      </c>
      <c r="C571" s="200">
        <v>12</v>
      </c>
      <c r="D571" s="200" t="s">
        <v>773</v>
      </c>
      <c r="E571" s="214"/>
      <c r="F571" s="223"/>
      <c r="G571" s="231"/>
      <c r="H571" s="199">
        <v>3</v>
      </c>
      <c r="I571" s="200">
        <v>1</v>
      </c>
      <c r="J571" s="200">
        <v>1</v>
      </c>
      <c r="K571" s="200">
        <v>1</v>
      </c>
      <c r="L571" s="201">
        <v>3</v>
      </c>
      <c r="M571" s="200">
        <v>1</v>
      </c>
      <c r="N571" s="200">
        <v>1</v>
      </c>
      <c r="O571" s="200">
        <v>1</v>
      </c>
      <c r="P571" s="201">
        <v>3</v>
      </c>
      <c r="Q571" s="200">
        <v>1</v>
      </c>
      <c r="R571" s="200">
        <v>1</v>
      </c>
      <c r="S571" s="200">
        <v>1</v>
      </c>
      <c r="T571" s="201">
        <v>3</v>
      </c>
      <c r="U571" s="200">
        <v>1</v>
      </c>
      <c r="V571" s="200">
        <v>1</v>
      </c>
      <c r="W571" s="200">
        <v>1</v>
      </c>
      <c r="X571" s="137" t="s">
        <v>178</v>
      </c>
      <c r="Y571" s="155" t="str">
        <f>DB!$D$177</f>
        <v>EPSON LQ310 Ribbon Cartridge (SO15634)</v>
      </c>
      <c r="Z571" s="154"/>
      <c r="AA571" s="154"/>
      <c r="AB571" s="136"/>
      <c r="AC571" s="139"/>
      <c r="AD571" s="139"/>
      <c r="AE571" s="139"/>
      <c r="AF571" s="139"/>
    </row>
    <row r="572" spans="1:32" ht="12.75">
      <c r="A572" s="136" t="e">
        <f ca="1"/>
        <v>#NAME?</v>
      </c>
      <c r="B572" s="192" t="s">
        <v>234</v>
      </c>
      <c r="C572" s="200">
        <v>3</v>
      </c>
      <c r="D572" s="200" t="s">
        <v>103</v>
      </c>
      <c r="E572" s="214"/>
      <c r="F572" s="216"/>
      <c r="G572" s="231"/>
      <c r="H572" s="199">
        <v>1</v>
      </c>
      <c r="I572" s="200">
        <v>1</v>
      </c>
      <c r="J572" s="200"/>
      <c r="K572" s="200"/>
      <c r="L572" s="201">
        <v>1</v>
      </c>
      <c r="M572" s="200">
        <v>1</v>
      </c>
      <c r="N572" s="200"/>
      <c r="O572" s="200"/>
      <c r="P572" s="201">
        <v>1</v>
      </c>
      <c r="Q572" s="200">
        <v>1</v>
      </c>
      <c r="R572" s="200"/>
      <c r="S572" s="200"/>
      <c r="T572" s="201">
        <v>0</v>
      </c>
      <c r="U572" s="200"/>
      <c r="V572" s="200"/>
      <c r="W572" s="200"/>
      <c r="X572" s="137" t="s">
        <v>178</v>
      </c>
      <c r="Y572" s="141" t="str">
        <f>DB!$D$168</f>
        <v>Keyboard, Full Size, USB 2.0</v>
      </c>
      <c r="Z572" s="154"/>
      <c r="AA572" s="154"/>
      <c r="AB572" s="136"/>
      <c r="AC572" s="139"/>
      <c r="AD572" s="139"/>
      <c r="AE572" s="139"/>
      <c r="AF572" s="139"/>
    </row>
    <row r="573" spans="1:32" ht="12.75">
      <c r="A573" s="136" t="e">
        <f ca="1"/>
        <v>#NAME?</v>
      </c>
      <c r="B573" s="192" t="s">
        <v>239</v>
      </c>
      <c r="C573" s="200">
        <v>3</v>
      </c>
      <c r="D573" s="200" t="s">
        <v>103</v>
      </c>
      <c r="E573" s="178"/>
      <c r="F573" s="178"/>
      <c r="G573" s="216"/>
      <c r="H573" s="199">
        <v>1</v>
      </c>
      <c r="I573" s="200">
        <v>1</v>
      </c>
      <c r="J573" s="200"/>
      <c r="K573" s="200"/>
      <c r="L573" s="201">
        <v>1</v>
      </c>
      <c r="M573" s="200">
        <v>1</v>
      </c>
      <c r="N573" s="200"/>
      <c r="O573" s="200"/>
      <c r="P573" s="201">
        <v>1</v>
      </c>
      <c r="Q573" s="200">
        <v>1</v>
      </c>
      <c r="R573" s="200"/>
      <c r="S573" s="200"/>
      <c r="T573" s="201">
        <v>0</v>
      </c>
      <c r="U573" s="200"/>
      <c r="V573" s="200"/>
      <c r="W573" s="200"/>
      <c r="X573" s="137" t="s">
        <v>178</v>
      </c>
      <c r="Y573" s="141" t="str">
        <f>DB!$D$169</f>
        <v>Mouse, Optical, USB 2.0</v>
      </c>
      <c r="Z573" s="154"/>
      <c r="AA573" s="154"/>
      <c r="AB573" s="136"/>
      <c r="AC573" s="139"/>
      <c r="AD573" s="139"/>
      <c r="AE573" s="139"/>
      <c r="AF573" s="139"/>
    </row>
    <row r="574" spans="1:32" ht="12.75">
      <c r="A574" s="136" t="e">
        <f ca="1"/>
        <v>#NAME?</v>
      </c>
      <c r="B574" s="192" t="s">
        <v>890</v>
      </c>
      <c r="C574" s="200">
        <v>1</v>
      </c>
      <c r="D574" s="200" t="s">
        <v>466</v>
      </c>
      <c r="E574" s="182"/>
      <c r="F574" s="182"/>
      <c r="G574" s="183"/>
      <c r="H574" s="199">
        <v>1</v>
      </c>
      <c r="I574" s="200">
        <v>1</v>
      </c>
      <c r="J574" s="200"/>
      <c r="K574" s="200"/>
      <c r="L574" s="201">
        <v>0</v>
      </c>
      <c r="M574" s="200"/>
      <c r="N574" s="200"/>
      <c r="O574" s="200"/>
      <c r="P574" s="201">
        <v>0</v>
      </c>
      <c r="Q574" s="200"/>
      <c r="R574" s="200"/>
      <c r="S574" s="200">
        <v>0</v>
      </c>
      <c r="T574" s="201">
        <v>0</v>
      </c>
      <c r="U574" s="200"/>
      <c r="V574" s="200"/>
      <c r="W574" s="200"/>
      <c r="X574" s="137" t="s">
        <v>178</v>
      </c>
      <c r="Y574" s="155" t="str">
        <f>DB!$D$276</f>
        <v>Ink Tank Printer</v>
      </c>
      <c r="Z574" s="154" t="s">
        <v>469</v>
      </c>
      <c r="AA574" s="149"/>
      <c r="AB574" s="136"/>
      <c r="AC574" s="139"/>
      <c r="AD574" s="139"/>
      <c r="AE574" s="139"/>
      <c r="AF574" s="139"/>
    </row>
    <row r="575" spans="1:32" ht="12.75">
      <c r="A575" s="136" t="e">
        <f ca="1"/>
        <v>#NAME?</v>
      </c>
      <c r="B575" s="192" t="s">
        <v>568</v>
      </c>
      <c r="C575" s="200">
        <v>1</v>
      </c>
      <c r="D575" s="200" t="s">
        <v>103</v>
      </c>
      <c r="E575" s="179"/>
      <c r="F575" s="179"/>
      <c r="G575" s="178"/>
      <c r="H575" s="199">
        <v>1</v>
      </c>
      <c r="I575" s="200">
        <v>1</v>
      </c>
      <c r="J575" s="200"/>
      <c r="K575" s="200"/>
      <c r="L575" s="201">
        <v>0</v>
      </c>
      <c r="M575" s="200"/>
      <c r="N575" s="200"/>
      <c r="O575" s="200"/>
      <c r="P575" s="201">
        <v>0</v>
      </c>
      <c r="Q575" s="200"/>
      <c r="R575" s="200"/>
      <c r="S575" s="200"/>
      <c r="T575" s="201">
        <v>0</v>
      </c>
      <c r="U575" s="200"/>
      <c r="V575" s="200"/>
      <c r="W575" s="200"/>
      <c r="X575" s="137" t="s">
        <v>178</v>
      </c>
      <c r="Y575" s="163" t="str">
        <f>DB!$D$6</f>
        <v>UPS 650VA, AVR, 230V</v>
      </c>
      <c r="Z575" s="154"/>
      <c r="AA575" s="154"/>
      <c r="AB575" s="136"/>
      <c r="AC575" s="139"/>
      <c r="AD575" s="139"/>
      <c r="AE575" s="139"/>
      <c r="AF575" s="139"/>
    </row>
    <row r="576" spans="1:32" ht="12.75">
      <c r="A576" s="136" t="e">
        <f ca="1"/>
        <v>#NAME?</v>
      </c>
      <c r="B576" s="192" t="s">
        <v>882</v>
      </c>
      <c r="C576" s="200">
        <v>1</v>
      </c>
      <c r="D576" s="200" t="s">
        <v>103</v>
      </c>
      <c r="E576" s="178"/>
      <c r="F576" s="179"/>
      <c r="G576" s="178"/>
      <c r="H576" s="199">
        <v>1</v>
      </c>
      <c r="I576" s="200">
        <v>1</v>
      </c>
      <c r="J576" s="200"/>
      <c r="K576" s="200"/>
      <c r="L576" s="201">
        <v>0</v>
      </c>
      <c r="M576" s="200"/>
      <c r="N576" s="200"/>
      <c r="O576" s="200"/>
      <c r="P576" s="201">
        <v>0</v>
      </c>
      <c r="Q576" s="200"/>
      <c r="R576" s="200"/>
      <c r="S576" s="200"/>
      <c r="T576" s="201">
        <v>0</v>
      </c>
      <c r="U576" s="200"/>
      <c r="V576" s="200"/>
      <c r="W576" s="200"/>
      <c r="X576" s="137" t="s">
        <v>178</v>
      </c>
      <c r="Y576" s="155" t="str">
        <f>DB!$D$73</f>
        <v>Webcam Professional Full HD</v>
      </c>
      <c r="Z576" s="154"/>
      <c r="AA576" s="149"/>
      <c r="AB576" s="136"/>
      <c r="AC576" s="139"/>
      <c r="AD576" s="139"/>
      <c r="AE576" s="139"/>
      <c r="AF576" s="139"/>
    </row>
    <row r="577" spans="1:32" ht="12.75">
      <c r="A577" s="136" t="e">
        <f ca="1"/>
        <v>#NAME?</v>
      </c>
      <c r="B577" s="188" t="s">
        <v>891</v>
      </c>
      <c r="C577" s="200">
        <v>1</v>
      </c>
      <c r="D577" s="198" t="s">
        <v>103</v>
      </c>
      <c r="E577" s="179"/>
      <c r="F577" s="179"/>
      <c r="G577" s="178"/>
      <c r="H577" s="158">
        <v>1</v>
      </c>
      <c r="I577" s="198">
        <v>1</v>
      </c>
      <c r="J577" s="198"/>
      <c r="K577" s="198"/>
      <c r="L577" s="232">
        <v>0</v>
      </c>
      <c r="M577" s="198"/>
      <c r="N577" s="198"/>
      <c r="O577" s="198"/>
      <c r="P577" s="232">
        <v>0</v>
      </c>
      <c r="Q577" s="198"/>
      <c r="R577" s="198"/>
      <c r="S577" s="198"/>
      <c r="T577" s="232">
        <v>0</v>
      </c>
      <c r="U577" s="198"/>
      <c r="V577" s="198"/>
      <c r="W577" s="198"/>
      <c r="X577" s="137" t="s">
        <v>151</v>
      </c>
      <c r="Y577" s="155" t="str">
        <f>DB!$D$190</f>
        <v>Android Tablet 10.5"</v>
      </c>
      <c r="Z577" s="154"/>
      <c r="AA577" s="149"/>
      <c r="AB577" s="136"/>
      <c r="AC577" s="139"/>
      <c r="AD577" s="139"/>
      <c r="AE577" s="139"/>
      <c r="AF577" s="139"/>
    </row>
    <row r="578" spans="1:32" ht="12.75">
      <c r="A578" s="136" t="e">
        <f ca="1"/>
        <v>#NAME?</v>
      </c>
      <c r="B578" s="192" t="s">
        <v>880</v>
      </c>
      <c r="C578" s="200">
        <v>2</v>
      </c>
      <c r="D578" s="200" t="s">
        <v>103</v>
      </c>
      <c r="E578" s="179"/>
      <c r="F578" s="179"/>
      <c r="G578" s="178"/>
      <c r="H578" s="199">
        <v>2</v>
      </c>
      <c r="I578" s="200">
        <v>2</v>
      </c>
      <c r="J578" s="200"/>
      <c r="K578" s="200"/>
      <c r="L578" s="201">
        <v>0</v>
      </c>
      <c r="M578" s="200"/>
      <c r="N578" s="200"/>
      <c r="O578" s="200"/>
      <c r="P578" s="201">
        <v>0</v>
      </c>
      <c r="Q578" s="200"/>
      <c r="R578" s="200"/>
      <c r="S578" s="200"/>
      <c r="T578" s="201">
        <v>0</v>
      </c>
      <c r="U578" s="200"/>
      <c r="V578" s="200"/>
      <c r="W578" s="200"/>
      <c r="X578" s="137" t="s">
        <v>151</v>
      </c>
      <c r="Y578" s="141" t="str">
        <f>DB!$D$194</f>
        <v>Branded Desktop Computer Set</v>
      </c>
      <c r="Z578" s="154"/>
      <c r="AA578" s="149"/>
      <c r="AB578" s="136"/>
      <c r="AC578" s="139"/>
      <c r="AD578" s="139"/>
      <c r="AE578" s="139"/>
      <c r="AF578" s="139"/>
    </row>
    <row r="579" spans="1:32" ht="25.5">
      <c r="A579" s="136" t="e">
        <f ca="1"/>
        <v>#NAME?</v>
      </c>
      <c r="B579" s="192" t="s">
        <v>892</v>
      </c>
      <c r="C579" s="200">
        <v>1</v>
      </c>
      <c r="D579" s="200" t="s">
        <v>103</v>
      </c>
      <c r="E579" s="179"/>
      <c r="F579" s="179"/>
      <c r="G579" s="178"/>
      <c r="H579" s="199">
        <v>1</v>
      </c>
      <c r="I579" s="200">
        <v>1</v>
      </c>
      <c r="J579" s="200"/>
      <c r="K579" s="200"/>
      <c r="L579" s="201">
        <v>0</v>
      </c>
      <c r="M579" s="200"/>
      <c r="N579" s="200"/>
      <c r="O579" s="200"/>
      <c r="P579" s="201">
        <v>0</v>
      </c>
      <c r="Q579" s="200"/>
      <c r="R579" s="200"/>
      <c r="S579" s="200"/>
      <c r="T579" s="201">
        <v>0</v>
      </c>
      <c r="U579" s="200"/>
      <c r="V579" s="200"/>
      <c r="W579" s="200"/>
      <c r="X579" s="137" t="s">
        <v>151</v>
      </c>
      <c r="Y579" s="155" t="str">
        <f>DB!$D$84</f>
        <v>HP Printhead Black compatible with the existing HP Smart Tank 515</v>
      </c>
      <c r="Z579" s="152"/>
      <c r="AA579" s="154"/>
      <c r="AB579" s="136"/>
      <c r="AC579" s="139"/>
      <c r="AD579" s="139"/>
      <c r="AE579" s="139"/>
      <c r="AF579" s="139"/>
    </row>
    <row r="580" spans="1:32" ht="25.5">
      <c r="A580" s="136" t="e">
        <f ca="1"/>
        <v>#NAME?</v>
      </c>
      <c r="B580" s="192" t="s">
        <v>893</v>
      </c>
      <c r="C580" s="200">
        <v>1</v>
      </c>
      <c r="D580" s="200" t="s">
        <v>103</v>
      </c>
      <c r="E580" s="183"/>
      <c r="F580" s="149"/>
      <c r="G580" s="183"/>
      <c r="H580" s="199">
        <v>1</v>
      </c>
      <c r="I580" s="200">
        <v>1</v>
      </c>
      <c r="J580" s="200"/>
      <c r="K580" s="200"/>
      <c r="L580" s="201">
        <v>0</v>
      </c>
      <c r="M580" s="200"/>
      <c r="N580" s="200"/>
      <c r="O580" s="200"/>
      <c r="P580" s="201">
        <v>0</v>
      </c>
      <c r="Q580" s="200"/>
      <c r="R580" s="200"/>
      <c r="S580" s="200"/>
      <c r="T580" s="201">
        <v>0</v>
      </c>
      <c r="U580" s="200"/>
      <c r="V580" s="200"/>
      <c r="W580" s="200"/>
      <c r="X580" s="137" t="s">
        <v>151</v>
      </c>
      <c r="Y580" s="155" t="str">
        <f>DB!$D$85</f>
        <v>HP Printhead Tri-color compatible with the existing HP Smart Tank 515</v>
      </c>
      <c r="Z580" s="154"/>
      <c r="AA580" s="149"/>
      <c r="AB580" s="136"/>
      <c r="AC580" s="139"/>
      <c r="AD580" s="139"/>
      <c r="AE580" s="139"/>
      <c r="AF580" s="139"/>
    </row>
    <row r="581" spans="1:32" ht="12.75">
      <c r="A581" s="136" t="e">
        <f ca="1"/>
        <v>#NAME?</v>
      </c>
      <c r="B581" s="192" t="s">
        <v>234</v>
      </c>
      <c r="C581" s="200">
        <v>3</v>
      </c>
      <c r="D581" s="200" t="s">
        <v>103</v>
      </c>
      <c r="E581" s="178"/>
      <c r="F581" s="185"/>
      <c r="G581" s="178"/>
      <c r="H581" s="199">
        <v>1</v>
      </c>
      <c r="I581" s="200">
        <v>1</v>
      </c>
      <c r="J581" s="200"/>
      <c r="K581" s="200"/>
      <c r="L581" s="201">
        <v>1</v>
      </c>
      <c r="M581" s="200">
        <v>1</v>
      </c>
      <c r="N581" s="200"/>
      <c r="O581" s="200"/>
      <c r="P581" s="201">
        <v>1</v>
      </c>
      <c r="Q581" s="200">
        <v>1</v>
      </c>
      <c r="R581" s="200"/>
      <c r="S581" s="200"/>
      <c r="T581" s="201">
        <v>0</v>
      </c>
      <c r="U581" s="200"/>
      <c r="V581" s="200"/>
      <c r="W581" s="200"/>
      <c r="X581" s="137" t="s">
        <v>151</v>
      </c>
      <c r="Y581" s="141" t="str">
        <f>DB!$D$168</f>
        <v>Keyboard, Full Size, USB 2.0</v>
      </c>
      <c r="Z581" s="154"/>
      <c r="AA581" s="149"/>
      <c r="AB581" s="136"/>
      <c r="AC581" s="139"/>
      <c r="AD581" s="139"/>
      <c r="AE581" s="139"/>
      <c r="AF581" s="139"/>
    </row>
    <row r="582" spans="1:32" ht="12.75">
      <c r="A582" s="136" t="e">
        <f ca="1"/>
        <v>#NAME?</v>
      </c>
      <c r="B582" s="192" t="s">
        <v>239</v>
      </c>
      <c r="C582" s="200">
        <v>3</v>
      </c>
      <c r="D582" s="200" t="s">
        <v>103</v>
      </c>
      <c r="E582" s="179"/>
      <c r="F582" s="185"/>
      <c r="G582" s="178"/>
      <c r="H582" s="199">
        <v>1</v>
      </c>
      <c r="I582" s="200">
        <v>1</v>
      </c>
      <c r="J582" s="200"/>
      <c r="K582" s="200"/>
      <c r="L582" s="201">
        <v>1</v>
      </c>
      <c r="M582" s="200">
        <v>1</v>
      </c>
      <c r="N582" s="200"/>
      <c r="O582" s="200"/>
      <c r="P582" s="201">
        <v>1</v>
      </c>
      <c r="Q582" s="200">
        <v>1</v>
      </c>
      <c r="R582" s="200"/>
      <c r="S582" s="200"/>
      <c r="T582" s="201">
        <v>0</v>
      </c>
      <c r="U582" s="200"/>
      <c r="V582" s="200"/>
      <c r="W582" s="200"/>
      <c r="X582" s="137" t="s">
        <v>151</v>
      </c>
      <c r="Y582" s="141" t="str">
        <f>DB!$D$169</f>
        <v>Mouse, Optical, USB 2.0</v>
      </c>
      <c r="Z582" s="154"/>
      <c r="AA582" s="149"/>
      <c r="AB582" s="136"/>
      <c r="AC582" s="139"/>
      <c r="AD582" s="139"/>
      <c r="AE582" s="139"/>
      <c r="AF582" s="139"/>
    </row>
    <row r="583" spans="1:32" ht="12.75">
      <c r="A583" s="136" t="e">
        <f ca="1"/>
        <v>#NAME?</v>
      </c>
      <c r="B583" s="192" t="s">
        <v>894</v>
      </c>
      <c r="C583" s="200">
        <v>1</v>
      </c>
      <c r="D583" s="200" t="s">
        <v>466</v>
      </c>
      <c r="E583" s="185"/>
      <c r="F583" s="185"/>
      <c r="G583" s="178"/>
      <c r="H583" s="199">
        <v>1</v>
      </c>
      <c r="I583" s="200">
        <v>1</v>
      </c>
      <c r="J583" s="200"/>
      <c r="K583" s="200"/>
      <c r="L583" s="201">
        <v>0</v>
      </c>
      <c r="M583" s="200"/>
      <c r="N583" s="200"/>
      <c r="O583" s="200"/>
      <c r="P583" s="201">
        <v>0</v>
      </c>
      <c r="Q583" s="200"/>
      <c r="R583" s="200"/>
      <c r="S583" s="200">
        <v>0</v>
      </c>
      <c r="T583" s="201">
        <v>0</v>
      </c>
      <c r="U583" s="200"/>
      <c r="V583" s="200"/>
      <c r="W583" s="200"/>
      <c r="X583" s="137" t="s">
        <v>151</v>
      </c>
      <c r="Y583" s="155" t="str">
        <f>DB!$D$276</f>
        <v>Ink Tank Printer</v>
      </c>
      <c r="Z583" s="154" t="s">
        <v>469</v>
      </c>
      <c r="AA583" s="149"/>
      <c r="AB583" s="136"/>
      <c r="AC583" s="139"/>
      <c r="AD583" s="139"/>
      <c r="AE583" s="139"/>
      <c r="AF583" s="139"/>
    </row>
    <row r="584" spans="1:32" ht="12.75">
      <c r="A584" s="136" t="e">
        <f ca="1"/>
        <v>#NAME?</v>
      </c>
      <c r="B584" s="192" t="s">
        <v>568</v>
      </c>
      <c r="C584" s="200">
        <v>1</v>
      </c>
      <c r="D584" s="200" t="s">
        <v>103</v>
      </c>
      <c r="E584" s="185"/>
      <c r="F584" s="185"/>
      <c r="G584" s="178"/>
      <c r="H584" s="199">
        <v>1</v>
      </c>
      <c r="I584" s="200">
        <v>1</v>
      </c>
      <c r="J584" s="200"/>
      <c r="K584" s="200"/>
      <c r="L584" s="201">
        <v>0</v>
      </c>
      <c r="M584" s="200"/>
      <c r="N584" s="200"/>
      <c r="O584" s="200"/>
      <c r="P584" s="201">
        <v>0</v>
      </c>
      <c r="Q584" s="200"/>
      <c r="R584" s="200"/>
      <c r="S584" s="200"/>
      <c r="T584" s="201">
        <v>0</v>
      </c>
      <c r="U584" s="200"/>
      <c r="V584" s="200"/>
      <c r="W584" s="200"/>
      <c r="X584" s="137" t="s">
        <v>151</v>
      </c>
      <c r="Y584" s="163" t="str">
        <f>DB!$D$6</f>
        <v>UPS 650VA, AVR, 230V</v>
      </c>
      <c r="Z584" s="152"/>
      <c r="AA584" s="149"/>
      <c r="AB584" s="136"/>
      <c r="AC584" s="139"/>
      <c r="AD584" s="139"/>
      <c r="AE584" s="139"/>
      <c r="AF584" s="139"/>
    </row>
    <row r="585" spans="1:32" ht="12.75">
      <c r="A585" s="136" t="e">
        <f ca="1"/>
        <v>#NAME?</v>
      </c>
      <c r="B585" s="192" t="s">
        <v>882</v>
      </c>
      <c r="C585" s="200">
        <v>1</v>
      </c>
      <c r="D585" s="200" t="s">
        <v>103</v>
      </c>
      <c r="E585" s="185"/>
      <c r="F585" s="185"/>
      <c r="G585" s="178"/>
      <c r="H585" s="199">
        <v>1</v>
      </c>
      <c r="I585" s="200">
        <v>1</v>
      </c>
      <c r="J585" s="200"/>
      <c r="K585" s="200"/>
      <c r="L585" s="201">
        <v>0</v>
      </c>
      <c r="M585" s="200"/>
      <c r="N585" s="200"/>
      <c r="O585" s="200"/>
      <c r="P585" s="201">
        <v>0</v>
      </c>
      <c r="Q585" s="200"/>
      <c r="R585" s="200"/>
      <c r="S585" s="200"/>
      <c r="T585" s="201">
        <v>0</v>
      </c>
      <c r="U585" s="200"/>
      <c r="V585" s="200"/>
      <c r="W585" s="200"/>
      <c r="X585" s="137" t="s">
        <v>151</v>
      </c>
      <c r="Y585" s="155" t="str">
        <f>DB!$D$73</f>
        <v>Webcam Professional Full HD</v>
      </c>
      <c r="Z585" s="152"/>
      <c r="AA585" s="149"/>
      <c r="AB585" s="136"/>
      <c r="AC585" s="139"/>
      <c r="AD585" s="139"/>
      <c r="AE585" s="139"/>
      <c r="AF585" s="139"/>
    </row>
    <row r="586" spans="1:32" ht="12.75">
      <c r="A586" s="136" t="e">
        <f ca="1"/>
        <v>#NAME?</v>
      </c>
      <c r="B586" s="188" t="s">
        <v>817</v>
      </c>
      <c r="C586" s="152">
        <v>1</v>
      </c>
      <c r="D586" s="177" t="s">
        <v>895</v>
      </c>
      <c r="E586" s="185"/>
      <c r="F586" s="185"/>
      <c r="G586" s="178"/>
      <c r="H586" s="158">
        <v>1</v>
      </c>
      <c r="I586" s="203">
        <v>1</v>
      </c>
      <c r="J586" s="197"/>
      <c r="K586" s="197"/>
      <c r="L586" s="158">
        <v>0</v>
      </c>
      <c r="M586" s="203"/>
      <c r="N586" s="197"/>
      <c r="O586" s="197"/>
      <c r="P586" s="158">
        <v>0</v>
      </c>
      <c r="Q586" s="203"/>
      <c r="R586" s="197"/>
      <c r="S586" s="197"/>
      <c r="T586" s="158">
        <v>0</v>
      </c>
      <c r="U586" s="198"/>
      <c r="V586" s="198"/>
      <c r="W586" s="198"/>
      <c r="X586" s="137" t="s">
        <v>204</v>
      </c>
      <c r="Y586" s="163" t="str">
        <f>DB!$D$37</f>
        <v>Single Line Telephone (Black)</v>
      </c>
      <c r="Z586" s="152"/>
      <c r="AA586" s="149"/>
      <c r="AB586" s="136"/>
      <c r="AC586" s="139"/>
      <c r="AD586" s="139"/>
      <c r="AE586" s="139"/>
      <c r="AF586" s="139"/>
    </row>
    <row r="587" spans="1:32" ht="12.75">
      <c r="A587" s="136" t="e">
        <f ca="1"/>
        <v>#NAME?</v>
      </c>
      <c r="B587" s="192" t="s">
        <v>234</v>
      </c>
      <c r="C587" s="172">
        <v>2</v>
      </c>
      <c r="D587" s="181" t="s">
        <v>895</v>
      </c>
      <c r="E587" s="185"/>
      <c r="F587" s="185"/>
      <c r="G587" s="178"/>
      <c r="H587" s="199">
        <v>1</v>
      </c>
      <c r="I587" s="203">
        <v>1</v>
      </c>
      <c r="J587" s="197"/>
      <c r="K587" s="197"/>
      <c r="L587" s="199">
        <v>0</v>
      </c>
      <c r="M587" s="203"/>
      <c r="N587" s="197"/>
      <c r="O587" s="197"/>
      <c r="P587" s="199">
        <v>1</v>
      </c>
      <c r="Q587" s="203">
        <v>1</v>
      </c>
      <c r="R587" s="197"/>
      <c r="S587" s="197"/>
      <c r="T587" s="199">
        <v>0</v>
      </c>
      <c r="U587" s="200"/>
      <c r="V587" s="200"/>
      <c r="W587" s="200"/>
      <c r="X587" s="137" t="s">
        <v>204</v>
      </c>
      <c r="Y587" s="141" t="str">
        <f>DB!$D$168</f>
        <v>Keyboard, Full Size, USB 2.0</v>
      </c>
      <c r="Z587" s="154"/>
      <c r="AA587" s="149"/>
      <c r="AB587" s="136"/>
      <c r="AC587" s="139"/>
      <c r="AD587" s="139"/>
      <c r="AE587" s="139"/>
      <c r="AF587" s="139"/>
    </row>
    <row r="588" spans="1:32" ht="12.75">
      <c r="A588" s="136" t="e">
        <f ca="1"/>
        <v>#NAME?</v>
      </c>
      <c r="B588" s="188" t="s">
        <v>239</v>
      </c>
      <c r="C588" s="181">
        <v>2</v>
      </c>
      <c r="D588" s="181" t="s">
        <v>895</v>
      </c>
      <c r="E588" s="185"/>
      <c r="F588" s="185"/>
      <c r="G588" s="178"/>
      <c r="H588" s="199">
        <v>1</v>
      </c>
      <c r="I588" s="203">
        <v>1</v>
      </c>
      <c r="J588" s="197"/>
      <c r="K588" s="197"/>
      <c r="L588" s="199">
        <v>0</v>
      </c>
      <c r="M588" s="203"/>
      <c r="N588" s="197"/>
      <c r="O588" s="197"/>
      <c r="P588" s="199">
        <v>1</v>
      </c>
      <c r="Q588" s="203">
        <v>1</v>
      </c>
      <c r="R588" s="197"/>
      <c r="S588" s="197"/>
      <c r="T588" s="199">
        <v>0</v>
      </c>
      <c r="U588" s="200"/>
      <c r="V588" s="200"/>
      <c r="W588" s="200"/>
      <c r="X588" s="137" t="s">
        <v>204</v>
      </c>
      <c r="Y588" s="141" t="str">
        <f>DB!$D$169</f>
        <v>Mouse, Optical, USB 2.0</v>
      </c>
      <c r="Z588" s="154"/>
      <c r="AA588" s="149"/>
      <c r="AB588" s="136"/>
      <c r="AC588" s="139"/>
      <c r="AD588" s="139"/>
      <c r="AE588" s="139"/>
      <c r="AF588" s="139"/>
    </row>
    <row r="589" spans="1:32" ht="12.75">
      <c r="A589" s="136" t="e">
        <f ca="1"/>
        <v>#NAME?</v>
      </c>
      <c r="B589" s="188" t="s">
        <v>896</v>
      </c>
      <c r="C589" s="172">
        <v>1</v>
      </c>
      <c r="D589" s="181" t="s">
        <v>895</v>
      </c>
      <c r="E589" s="185"/>
      <c r="F589" s="185"/>
      <c r="G589" s="178"/>
      <c r="H589" s="199">
        <v>1</v>
      </c>
      <c r="I589" s="203">
        <v>1</v>
      </c>
      <c r="J589" s="197"/>
      <c r="K589" s="197"/>
      <c r="L589" s="199">
        <v>0</v>
      </c>
      <c r="M589" s="203"/>
      <c r="N589" s="197"/>
      <c r="O589" s="197"/>
      <c r="P589" s="199">
        <v>0</v>
      </c>
      <c r="Q589" s="203"/>
      <c r="R589" s="197"/>
      <c r="S589" s="197"/>
      <c r="T589" s="199">
        <v>0</v>
      </c>
      <c r="U589" s="200"/>
      <c r="V589" s="200"/>
      <c r="W589" s="200"/>
      <c r="X589" s="137" t="s">
        <v>204</v>
      </c>
      <c r="Y589" s="155" t="str">
        <f>DB!$D$73</f>
        <v>Webcam Professional Full HD</v>
      </c>
      <c r="Z589" s="154"/>
      <c r="AA589" s="149"/>
      <c r="AB589" s="136"/>
      <c r="AC589" s="139"/>
      <c r="AD589" s="139"/>
      <c r="AE589" s="139"/>
      <c r="AF589" s="139"/>
    </row>
    <row r="590" spans="1:32" ht="12.75">
      <c r="A590" s="136" t="e">
        <f ca="1"/>
        <v>#NAME?</v>
      </c>
      <c r="B590" s="188" t="s">
        <v>897</v>
      </c>
      <c r="C590" s="181">
        <v>48</v>
      </c>
      <c r="D590" s="181" t="s">
        <v>638</v>
      </c>
      <c r="E590" s="185"/>
      <c r="F590" s="185"/>
      <c r="G590" s="178"/>
      <c r="H590" s="158">
        <v>12</v>
      </c>
      <c r="I590" s="198">
        <v>4</v>
      </c>
      <c r="J590" s="198">
        <v>4</v>
      </c>
      <c r="K590" s="198">
        <v>4</v>
      </c>
      <c r="L590" s="232">
        <v>12</v>
      </c>
      <c r="M590" s="198">
        <v>4</v>
      </c>
      <c r="N590" s="198">
        <v>4</v>
      </c>
      <c r="O590" s="198">
        <v>4</v>
      </c>
      <c r="P590" s="232">
        <v>12</v>
      </c>
      <c r="Q590" s="198">
        <v>4</v>
      </c>
      <c r="R590" s="198">
        <v>4</v>
      </c>
      <c r="S590" s="198">
        <v>4</v>
      </c>
      <c r="T590" s="232">
        <v>12</v>
      </c>
      <c r="U590" s="198">
        <v>4</v>
      </c>
      <c r="V590" s="198">
        <v>4</v>
      </c>
      <c r="W590" s="189">
        <v>4</v>
      </c>
      <c r="X590" s="137" t="s">
        <v>204</v>
      </c>
      <c r="Y590" s="155" t="str">
        <f>DB!$D$106</f>
        <v>Epson Genuine Ink (003) Black</v>
      </c>
      <c r="Z590" s="152"/>
      <c r="AA590" s="149"/>
      <c r="AB590" s="136"/>
      <c r="AC590" s="139"/>
      <c r="AD590" s="139"/>
      <c r="AE590" s="139"/>
      <c r="AF590" s="139"/>
    </row>
    <row r="591" spans="1:32" ht="12.75">
      <c r="A591" s="136" t="e">
        <f ca="1"/>
        <v>#NAME?</v>
      </c>
      <c r="B591" s="192" t="s">
        <v>898</v>
      </c>
      <c r="C591" s="181">
        <v>12</v>
      </c>
      <c r="D591" s="181" t="s">
        <v>638</v>
      </c>
      <c r="E591" s="185"/>
      <c r="F591" s="185"/>
      <c r="G591" s="178"/>
      <c r="H591" s="199">
        <v>3</v>
      </c>
      <c r="I591" s="200">
        <v>1</v>
      </c>
      <c r="J591" s="200">
        <v>1</v>
      </c>
      <c r="K591" s="200">
        <v>1</v>
      </c>
      <c r="L591" s="201">
        <v>3</v>
      </c>
      <c r="M591" s="200">
        <v>1</v>
      </c>
      <c r="N591" s="200">
        <v>1</v>
      </c>
      <c r="O591" s="200">
        <v>1</v>
      </c>
      <c r="P591" s="201">
        <v>3</v>
      </c>
      <c r="Q591" s="200">
        <v>1</v>
      </c>
      <c r="R591" s="200">
        <v>1</v>
      </c>
      <c r="S591" s="200">
        <v>1</v>
      </c>
      <c r="T591" s="201">
        <v>3</v>
      </c>
      <c r="U591" s="200">
        <v>1</v>
      </c>
      <c r="V591" s="200">
        <v>1</v>
      </c>
      <c r="W591" s="189">
        <v>1</v>
      </c>
      <c r="X591" s="137" t="s">
        <v>204</v>
      </c>
      <c r="Y591" s="155" t="str">
        <f>DB!$D$107</f>
        <v>Epson Genuine Ink (003) Cyan</v>
      </c>
      <c r="Z591" s="154"/>
      <c r="AA591" s="149"/>
      <c r="AB591" s="136"/>
      <c r="AC591" s="139"/>
      <c r="AD591" s="139"/>
      <c r="AE591" s="139"/>
      <c r="AF591" s="139"/>
    </row>
    <row r="592" spans="1:32" ht="12.75">
      <c r="A592" s="136" t="e">
        <f ca="1"/>
        <v>#NAME?</v>
      </c>
      <c r="B592" s="192" t="s">
        <v>899</v>
      </c>
      <c r="C592" s="181">
        <v>12</v>
      </c>
      <c r="D592" s="181" t="s">
        <v>638</v>
      </c>
      <c r="E592" s="185"/>
      <c r="F592" s="185"/>
      <c r="G592" s="178"/>
      <c r="H592" s="199">
        <v>3</v>
      </c>
      <c r="I592" s="200">
        <v>1</v>
      </c>
      <c r="J592" s="200">
        <v>1</v>
      </c>
      <c r="K592" s="200">
        <v>1</v>
      </c>
      <c r="L592" s="201">
        <v>3</v>
      </c>
      <c r="M592" s="200">
        <v>1</v>
      </c>
      <c r="N592" s="200">
        <v>1</v>
      </c>
      <c r="O592" s="200">
        <v>1</v>
      </c>
      <c r="P592" s="201">
        <v>3</v>
      </c>
      <c r="Q592" s="200">
        <v>1</v>
      </c>
      <c r="R592" s="200">
        <v>1</v>
      </c>
      <c r="S592" s="200">
        <v>1</v>
      </c>
      <c r="T592" s="201">
        <v>3</v>
      </c>
      <c r="U592" s="200">
        <v>1</v>
      </c>
      <c r="V592" s="200">
        <v>1</v>
      </c>
      <c r="W592" s="189">
        <v>1</v>
      </c>
      <c r="X592" s="137" t="s">
        <v>204</v>
      </c>
      <c r="Y592" s="155" t="str">
        <f>DB!$D$108</f>
        <v>Epson Genuine Ink (003) Yellow</v>
      </c>
      <c r="Z592" s="154"/>
      <c r="AA592" s="149"/>
      <c r="AB592" s="136"/>
      <c r="AC592" s="139"/>
      <c r="AD592" s="139"/>
      <c r="AE592" s="139"/>
      <c r="AF592" s="139"/>
    </row>
    <row r="593" spans="1:32" ht="12.75">
      <c r="A593" s="136" t="e">
        <f ca="1"/>
        <v>#NAME?</v>
      </c>
      <c r="B593" s="192" t="s">
        <v>900</v>
      </c>
      <c r="C593" s="181">
        <v>12</v>
      </c>
      <c r="D593" s="181" t="s">
        <v>638</v>
      </c>
      <c r="E593" s="185"/>
      <c r="F593" s="185"/>
      <c r="G593" s="178"/>
      <c r="H593" s="199">
        <v>3</v>
      </c>
      <c r="I593" s="200">
        <v>1</v>
      </c>
      <c r="J593" s="200">
        <v>1</v>
      </c>
      <c r="K593" s="200">
        <v>1</v>
      </c>
      <c r="L593" s="201">
        <v>3</v>
      </c>
      <c r="M593" s="200">
        <v>1</v>
      </c>
      <c r="N593" s="200">
        <v>1</v>
      </c>
      <c r="O593" s="200">
        <v>1</v>
      </c>
      <c r="P593" s="201">
        <v>3</v>
      </c>
      <c r="Q593" s="200">
        <v>1</v>
      </c>
      <c r="R593" s="200">
        <v>1</v>
      </c>
      <c r="S593" s="200">
        <v>1</v>
      </c>
      <c r="T593" s="201">
        <v>3</v>
      </c>
      <c r="U593" s="200">
        <v>1</v>
      </c>
      <c r="V593" s="200">
        <v>1</v>
      </c>
      <c r="W593" s="189">
        <v>1</v>
      </c>
      <c r="X593" s="137" t="s">
        <v>204</v>
      </c>
      <c r="Y593" s="155" t="str">
        <f>DB!$D$109</f>
        <v>Epson Genuine Ink (003) Magenta</v>
      </c>
      <c r="Z593" s="154"/>
      <c r="AA593" s="149"/>
      <c r="AB593" s="136"/>
      <c r="AC593" s="139"/>
      <c r="AD593" s="139"/>
      <c r="AE593" s="139"/>
      <c r="AF593" s="139"/>
    </row>
    <row r="594" spans="1:32" ht="12.75">
      <c r="A594" s="136" t="e">
        <f ca="1"/>
        <v>#NAME?</v>
      </c>
      <c r="B594" s="188" t="s">
        <v>901</v>
      </c>
      <c r="C594" s="177">
        <v>3</v>
      </c>
      <c r="D594" s="177" t="s">
        <v>902</v>
      </c>
      <c r="E594" s="185"/>
      <c r="F594" s="185"/>
      <c r="G594" s="178"/>
      <c r="H594" s="158">
        <v>3</v>
      </c>
      <c r="I594" s="198">
        <v>3</v>
      </c>
      <c r="J594" s="198"/>
      <c r="K594" s="198"/>
      <c r="L594" s="232">
        <v>0</v>
      </c>
      <c r="M594" s="198"/>
      <c r="N594" s="198"/>
      <c r="O594" s="198"/>
      <c r="P594" s="232">
        <v>0</v>
      </c>
      <c r="Q594" s="198"/>
      <c r="R594" s="198"/>
      <c r="S594" s="198"/>
      <c r="T594" s="232">
        <v>0</v>
      </c>
      <c r="U594" s="198"/>
      <c r="V594" s="198"/>
      <c r="W594" s="198"/>
      <c r="X594" s="137" t="s">
        <v>903</v>
      </c>
      <c r="Y594" s="164"/>
      <c r="Z594" s="154" t="s">
        <v>453</v>
      </c>
      <c r="AA594" s="149"/>
      <c r="AB594" s="136"/>
      <c r="AC594" s="139"/>
      <c r="AD594" s="139"/>
      <c r="AE594" s="139"/>
      <c r="AF594" s="139"/>
    </row>
    <row r="595" spans="1:32" ht="12.75">
      <c r="A595" s="136" t="e">
        <f ca="1"/>
        <v>#NAME?</v>
      </c>
      <c r="B595" s="192" t="s">
        <v>904</v>
      </c>
      <c r="C595" s="181">
        <v>3</v>
      </c>
      <c r="D595" s="181" t="s">
        <v>902</v>
      </c>
      <c r="E595" s="185"/>
      <c r="F595" s="185"/>
      <c r="G595" s="178"/>
      <c r="H595" s="199">
        <v>3</v>
      </c>
      <c r="I595" s="200">
        <v>3</v>
      </c>
      <c r="J595" s="200"/>
      <c r="K595" s="200"/>
      <c r="L595" s="201">
        <v>0</v>
      </c>
      <c r="M595" s="200"/>
      <c r="N595" s="200"/>
      <c r="O595" s="200"/>
      <c r="P595" s="201">
        <v>0</v>
      </c>
      <c r="Q595" s="200"/>
      <c r="R595" s="200"/>
      <c r="S595" s="200"/>
      <c r="T595" s="201">
        <v>0</v>
      </c>
      <c r="U595" s="200"/>
      <c r="V595" s="200"/>
      <c r="W595" s="200"/>
      <c r="X595" s="137" t="s">
        <v>903</v>
      </c>
      <c r="Y595" s="164"/>
      <c r="Z595" s="154" t="s">
        <v>453</v>
      </c>
      <c r="AA595" s="149"/>
      <c r="AB595" s="136"/>
      <c r="AC595" s="139"/>
      <c r="AD595" s="139"/>
      <c r="AE595" s="139"/>
      <c r="AF595" s="139"/>
    </row>
    <row r="596" spans="1:32" ht="12.75">
      <c r="A596" s="136" t="e">
        <f ca="1"/>
        <v>#NAME?</v>
      </c>
      <c r="B596" s="204" t="s">
        <v>905</v>
      </c>
      <c r="C596" s="172">
        <v>5</v>
      </c>
      <c r="D596" s="181" t="s">
        <v>902</v>
      </c>
      <c r="E596" s="185"/>
      <c r="F596" s="185"/>
      <c r="G596" s="178"/>
      <c r="H596" s="199">
        <v>5</v>
      </c>
      <c r="I596" s="200">
        <v>5</v>
      </c>
      <c r="J596" s="151"/>
      <c r="K596" s="198"/>
      <c r="L596" s="199">
        <v>0</v>
      </c>
      <c r="M596" s="151"/>
      <c r="N596" s="198"/>
      <c r="O596" s="198"/>
      <c r="P596" s="199">
        <v>0</v>
      </c>
      <c r="Q596" s="151"/>
      <c r="R596" s="198"/>
      <c r="S596" s="198"/>
      <c r="T596" s="199">
        <v>0</v>
      </c>
      <c r="U596" s="151"/>
      <c r="V596" s="198"/>
      <c r="W596" s="197"/>
      <c r="X596" s="137" t="s">
        <v>903</v>
      </c>
      <c r="Y596" s="155"/>
      <c r="Z596" s="154" t="s">
        <v>453</v>
      </c>
      <c r="AA596" s="149"/>
      <c r="AB596" s="136"/>
      <c r="AC596" s="139"/>
      <c r="AD596" s="139"/>
      <c r="AE596" s="139"/>
      <c r="AF596" s="139"/>
    </row>
    <row r="597" spans="1:32" ht="12.75">
      <c r="A597" s="136" t="e">
        <f ca="1"/>
        <v>#NAME?</v>
      </c>
      <c r="B597" s="188" t="s">
        <v>906</v>
      </c>
      <c r="C597" s="172">
        <v>10</v>
      </c>
      <c r="D597" s="181" t="s">
        <v>895</v>
      </c>
      <c r="E597" s="185"/>
      <c r="F597" s="185"/>
      <c r="G597" s="178"/>
      <c r="H597" s="158">
        <v>10</v>
      </c>
      <c r="I597" s="198">
        <v>10</v>
      </c>
      <c r="J597" s="198"/>
      <c r="K597" s="198"/>
      <c r="L597" s="232">
        <v>0</v>
      </c>
      <c r="M597" s="198"/>
      <c r="N597" s="198"/>
      <c r="O597" s="198"/>
      <c r="P597" s="232">
        <v>0</v>
      </c>
      <c r="Q597" s="198"/>
      <c r="R597" s="198"/>
      <c r="S597" s="198"/>
      <c r="T597" s="232">
        <v>0</v>
      </c>
      <c r="U597" s="198"/>
      <c r="V597" s="198"/>
      <c r="W597" s="151"/>
      <c r="X597" s="137" t="s">
        <v>907</v>
      </c>
      <c r="Y597" s="163"/>
      <c r="Z597" s="154" t="s">
        <v>453</v>
      </c>
      <c r="AA597" s="149"/>
      <c r="AB597" s="136"/>
      <c r="AC597" s="139"/>
      <c r="AD597" s="139"/>
      <c r="AE597" s="139"/>
      <c r="AF597" s="139"/>
    </row>
    <row r="598" spans="1:32" ht="12.75">
      <c r="A598" s="136" t="e">
        <f ca="1"/>
        <v>#NAME?</v>
      </c>
      <c r="B598" s="192" t="s">
        <v>908</v>
      </c>
      <c r="C598" s="172">
        <v>10</v>
      </c>
      <c r="D598" s="181" t="s">
        <v>895</v>
      </c>
      <c r="E598" s="182"/>
      <c r="F598" s="182"/>
      <c r="G598" s="183"/>
      <c r="H598" s="199">
        <v>10</v>
      </c>
      <c r="I598" s="200">
        <v>10</v>
      </c>
      <c r="J598" s="200"/>
      <c r="K598" s="200"/>
      <c r="L598" s="201">
        <v>0</v>
      </c>
      <c r="M598" s="200"/>
      <c r="N598" s="200"/>
      <c r="O598" s="200"/>
      <c r="P598" s="201">
        <v>0</v>
      </c>
      <c r="Q598" s="200"/>
      <c r="R598" s="200"/>
      <c r="S598" s="200"/>
      <c r="T598" s="201">
        <v>0</v>
      </c>
      <c r="U598" s="200"/>
      <c r="V598" s="200"/>
      <c r="W598" s="189"/>
      <c r="X598" s="137" t="s">
        <v>907</v>
      </c>
      <c r="Y598" s="155"/>
      <c r="Z598" s="154" t="s">
        <v>453</v>
      </c>
      <c r="AA598" s="149"/>
      <c r="AB598" s="136"/>
      <c r="AC598" s="139"/>
      <c r="AD598" s="139"/>
      <c r="AE598" s="139"/>
      <c r="AF598" s="139"/>
    </row>
    <row r="599" spans="1:32" ht="12.75">
      <c r="A599" s="136" t="e">
        <f ca="1"/>
        <v>#NAME?</v>
      </c>
      <c r="B599" s="192" t="s">
        <v>901</v>
      </c>
      <c r="C599" s="172">
        <v>3</v>
      </c>
      <c r="D599" s="181" t="s">
        <v>895</v>
      </c>
      <c r="E599" s="179"/>
      <c r="F599" s="179"/>
      <c r="G599" s="178"/>
      <c r="H599" s="199">
        <v>3</v>
      </c>
      <c r="I599" s="200">
        <v>3</v>
      </c>
      <c r="J599" s="200"/>
      <c r="K599" s="200"/>
      <c r="L599" s="201">
        <v>0</v>
      </c>
      <c r="M599" s="200"/>
      <c r="N599" s="200"/>
      <c r="O599" s="200"/>
      <c r="P599" s="201">
        <v>0</v>
      </c>
      <c r="Q599" s="200"/>
      <c r="R599" s="200"/>
      <c r="S599" s="200"/>
      <c r="T599" s="201">
        <v>0</v>
      </c>
      <c r="U599" s="200"/>
      <c r="V599" s="200"/>
      <c r="W599" s="189"/>
      <c r="X599" s="137" t="s">
        <v>907</v>
      </c>
      <c r="Y599" s="155"/>
      <c r="Z599" s="154" t="s">
        <v>453</v>
      </c>
      <c r="AA599" s="149"/>
      <c r="AB599" s="136"/>
      <c r="AC599" s="139"/>
      <c r="AD599" s="139"/>
      <c r="AE599" s="139"/>
      <c r="AF599" s="139"/>
    </row>
    <row r="600" spans="1:32" ht="12.75">
      <c r="A600" s="136" t="e">
        <f ca="1"/>
        <v>#NAME?</v>
      </c>
      <c r="B600" s="192" t="s">
        <v>904</v>
      </c>
      <c r="C600" s="172">
        <v>3</v>
      </c>
      <c r="D600" s="181" t="s">
        <v>895</v>
      </c>
      <c r="E600" s="179"/>
      <c r="F600" s="179"/>
      <c r="G600" s="178"/>
      <c r="H600" s="199">
        <v>3</v>
      </c>
      <c r="I600" s="200">
        <v>3</v>
      </c>
      <c r="J600" s="200"/>
      <c r="K600" s="200"/>
      <c r="L600" s="201">
        <v>0</v>
      </c>
      <c r="M600" s="200"/>
      <c r="N600" s="200"/>
      <c r="O600" s="200"/>
      <c r="P600" s="201">
        <v>0</v>
      </c>
      <c r="Q600" s="200"/>
      <c r="R600" s="200"/>
      <c r="S600" s="200"/>
      <c r="T600" s="201">
        <v>0</v>
      </c>
      <c r="U600" s="200"/>
      <c r="V600" s="200"/>
      <c r="W600" s="189"/>
      <c r="X600" s="137" t="s">
        <v>907</v>
      </c>
      <c r="Y600" s="155"/>
      <c r="Z600" s="154" t="s">
        <v>453</v>
      </c>
      <c r="AA600" s="149"/>
      <c r="AB600" s="136"/>
      <c r="AC600" s="139"/>
      <c r="AD600" s="139"/>
      <c r="AE600" s="139"/>
      <c r="AF600" s="139"/>
    </row>
    <row r="601" spans="1:32" ht="12.75">
      <c r="A601" s="136" t="e">
        <f ca="1"/>
        <v>#NAME?</v>
      </c>
      <c r="B601" s="204" t="s">
        <v>905</v>
      </c>
      <c r="C601" s="172">
        <v>5</v>
      </c>
      <c r="D601" s="181" t="s">
        <v>902</v>
      </c>
      <c r="E601" s="179"/>
      <c r="F601" s="179"/>
      <c r="G601" s="178"/>
      <c r="H601" s="199">
        <v>5</v>
      </c>
      <c r="I601" s="200">
        <v>5</v>
      </c>
      <c r="J601" s="200"/>
      <c r="K601" s="200"/>
      <c r="L601" s="201">
        <v>0</v>
      </c>
      <c r="M601" s="200"/>
      <c r="N601" s="200"/>
      <c r="O601" s="200"/>
      <c r="P601" s="201">
        <v>0</v>
      </c>
      <c r="Q601" s="200"/>
      <c r="R601" s="200"/>
      <c r="S601" s="200"/>
      <c r="T601" s="201">
        <v>0</v>
      </c>
      <c r="U601" s="200"/>
      <c r="V601" s="200"/>
      <c r="W601" s="197"/>
      <c r="X601" s="137" t="s">
        <v>907</v>
      </c>
      <c r="Y601" s="155"/>
      <c r="Z601" s="154" t="s">
        <v>453</v>
      </c>
      <c r="AA601" s="149"/>
      <c r="AB601" s="136"/>
      <c r="AC601" s="139"/>
      <c r="AD601" s="139"/>
      <c r="AE601" s="139"/>
      <c r="AF601" s="139"/>
    </row>
    <row r="602" spans="1:32" ht="12.75">
      <c r="A602" s="136" t="e">
        <f ca="1"/>
        <v>#NAME?</v>
      </c>
      <c r="B602" s="188" t="s">
        <v>817</v>
      </c>
      <c r="C602" s="152">
        <v>1</v>
      </c>
      <c r="D602" s="177" t="s">
        <v>466</v>
      </c>
      <c r="E602" s="179"/>
      <c r="F602" s="179"/>
      <c r="G602" s="178"/>
      <c r="H602" s="158">
        <v>1</v>
      </c>
      <c r="I602" s="203">
        <v>1</v>
      </c>
      <c r="J602" s="197"/>
      <c r="K602" s="197"/>
      <c r="L602" s="158">
        <v>0</v>
      </c>
      <c r="M602" s="203"/>
      <c r="N602" s="197"/>
      <c r="O602" s="197"/>
      <c r="P602" s="158">
        <v>0</v>
      </c>
      <c r="Q602" s="203"/>
      <c r="R602" s="197"/>
      <c r="S602" s="197"/>
      <c r="T602" s="158">
        <v>0</v>
      </c>
      <c r="U602" s="198"/>
      <c r="V602" s="198"/>
      <c r="W602" s="198"/>
      <c r="X602" s="137" t="s">
        <v>206</v>
      </c>
      <c r="Y602" s="163" t="str">
        <f>DB!$D$37</f>
        <v>Single Line Telephone (Black)</v>
      </c>
      <c r="Z602" s="154"/>
      <c r="AA602" s="149"/>
      <c r="AB602" s="136"/>
      <c r="AC602" s="139"/>
      <c r="AD602" s="139"/>
      <c r="AE602" s="139"/>
      <c r="AF602" s="139"/>
    </row>
    <row r="603" spans="1:32" ht="12.75">
      <c r="A603" s="136" t="e">
        <f ca="1"/>
        <v>#NAME?</v>
      </c>
      <c r="B603" s="192" t="s">
        <v>234</v>
      </c>
      <c r="C603" s="172">
        <v>2</v>
      </c>
      <c r="D603" s="181" t="s">
        <v>466</v>
      </c>
      <c r="E603" s="179"/>
      <c r="F603" s="179"/>
      <c r="G603" s="178"/>
      <c r="H603" s="199">
        <v>1</v>
      </c>
      <c r="I603" s="203">
        <v>1</v>
      </c>
      <c r="J603" s="197"/>
      <c r="K603" s="197"/>
      <c r="L603" s="199">
        <v>0</v>
      </c>
      <c r="M603" s="203"/>
      <c r="N603" s="197"/>
      <c r="O603" s="197"/>
      <c r="P603" s="199">
        <v>1</v>
      </c>
      <c r="Q603" s="203">
        <v>1</v>
      </c>
      <c r="R603" s="197"/>
      <c r="S603" s="197"/>
      <c r="T603" s="199">
        <v>0</v>
      </c>
      <c r="U603" s="200"/>
      <c r="V603" s="200"/>
      <c r="W603" s="200"/>
      <c r="X603" s="137" t="s">
        <v>206</v>
      </c>
      <c r="Y603" s="141" t="str">
        <f>DB!$D$168</f>
        <v>Keyboard, Full Size, USB 2.0</v>
      </c>
      <c r="Z603" s="154"/>
      <c r="AA603" s="149"/>
      <c r="AB603" s="136"/>
      <c r="AC603" s="139"/>
      <c r="AD603" s="139"/>
      <c r="AE603" s="139"/>
      <c r="AF603" s="139"/>
    </row>
    <row r="604" spans="1:32" ht="12.75">
      <c r="A604" s="136" t="e">
        <f ca="1"/>
        <v>#NAME?</v>
      </c>
      <c r="B604" s="188" t="s">
        <v>239</v>
      </c>
      <c r="C604" s="181">
        <v>2</v>
      </c>
      <c r="D604" s="181" t="s">
        <v>466</v>
      </c>
      <c r="E604" s="178"/>
      <c r="F604" s="179"/>
      <c r="G604" s="178"/>
      <c r="H604" s="199">
        <v>1</v>
      </c>
      <c r="I604" s="203">
        <v>1</v>
      </c>
      <c r="J604" s="197"/>
      <c r="K604" s="197"/>
      <c r="L604" s="199">
        <v>0</v>
      </c>
      <c r="M604" s="203"/>
      <c r="N604" s="197"/>
      <c r="O604" s="197"/>
      <c r="P604" s="199">
        <v>1</v>
      </c>
      <c r="Q604" s="203">
        <v>1</v>
      </c>
      <c r="R604" s="197"/>
      <c r="S604" s="197"/>
      <c r="T604" s="199">
        <v>0</v>
      </c>
      <c r="U604" s="200"/>
      <c r="V604" s="200"/>
      <c r="W604" s="200"/>
      <c r="X604" s="137" t="s">
        <v>206</v>
      </c>
      <c r="Y604" s="141" t="str">
        <f>DB!$D$169</f>
        <v>Mouse, Optical, USB 2.0</v>
      </c>
      <c r="Z604" s="154"/>
      <c r="AA604" s="149"/>
      <c r="AB604" s="136"/>
      <c r="AC604" s="139"/>
      <c r="AD604" s="139"/>
      <c r="AE604" s="139"/>
      <c r="AF604" s="139"/>
    </row>
    <row r="605" spans="1:32" ht="12.75">
      <c r="A605" s="136" t="e">
        <f ca="1"/>
        <v>#NAME?</v>
      </c>
      <c r="B605" s="188" t="s">
        <v>896</v>
      </c>
      <c r="C605" s="172">
        <v>1</v>
      </c>
      <c r="D605" s="181" t="s">
        <v>466</v>
      </c>
      <c r="E605" s="178"/>
      <c r="F605" s="179"/>
      <c r="G605" s="178"/>
      <c r="H605" s="199">
        <v>1</v>
      </c>
      <c r="I605" s="203">
        <v>1</v>
      </c>
      <c r="J605" s="197"/>
      <c r="K605" s="197"/>
      <c r="L605" s="199">
        <v>0</v>
      </c>
      <c r="M605" s="203"/>
      <c r="N605" s="197"/>
      <c r="O605" s="197"/>
      <c r="P605" s="199">
        <v>0</v>
      </c>
      <c r="Q605" s="203"/>
      <c r="R605" s="197"/>
      <c r="S605" s="197"/>
      <c r="T605" s="199">
        <v>0</v>
      </c>
      <c r="U605" s="200"/>
      <c r="V605" s="200"/>
      <c r="W605" s="200"/>
      <c r="X605" s="137" t="s">
        <v>206</v>
      </c>
      <c r="Y605" s="155" t="str">
        <f>DB!$D$73</f>
        <v>Webcam Professional Full HD</v>
      </c>
      <c r="Z605" s="154"/>
      <c r="AA605" s="149"/>
      <c r="AB605" s="136"/>
      <c r="AC605" s="139"/>
      <c r="AD605" s="139"/>
      <c r="AE605" s="139"/>
      <c r="AF605" s="139"/>
    </row>
    <row r="606" spans="1:32" ht="12.75">
      <c r="A606" s="136" t="e">
        <f ca="1"/>
        <v>#NAME?</v>
      </c>
      <c r="B606" s="188" t="s">
        <v>897</v>
      </c>
      <c r="C606" s="181">
        <v>16</v>
      </c>
      <c r="D606" s="181" t="s">
        <v>638</v>
      </c>
      <c r="E606" s="179"/>
      <c r="F606" s="179"/>
      <c r="G606" s="178"/>
      <c r="H606" s="158">
        <v>12</v>
      </c>
      <c r="I606" s="198">
        <v>4</v>
      </c>
      <c r="J606" s="198">
        <v>4</v>
      </c>
      <c r="K606" s="198">
        <v>4</v>
      </c>
      <c r="L606" s="232">
        <v>12</v>
      </c>
      <c r="M606" s="198">
        <v>4</v>
      </c>
      <c r="N606" s="198">
        <v>4</v>
      </c>
      <c r="O606" s="198">
        <v>4</v>
      </c>
      <c r="P606" s="232">
        <v>12</v>
      </c>
      <c r="Q606" s="198">
        <v>4</v>
      </c>
      <c r="R606" s="198">
        <v>4</v>
      </c>
      <c r="S606" s="198">
        <v>4</v>
      </c>
      <c r="T606" s="232">
        <v>12</v>
      </c>
      <c r="U606" s="198">
        <v>4</v>
      </c>
      <c r="V606" s="198">
        <v>4</v>
      </c>
      <c r="W606" s="189">
        <v>4</v>
      </c>
      <c r="X606" s="137" t="s">
        <v>206</v>
      </c>
      <c r="Y606" s="155" t="str">
        <f>DB!$D$106</f>
        <v>Epson Genuine Ink (003) Black</v>
      </c>
      <c r="Z606" s="152"/>
      <c r="AA606" s="149"/>
      <c r="AB606" s="136"/>
      <c r="AC606" s="139"/>
      <c r="AD606" s="139"/>
      <c r="AE606" s="139"/>
      <c r="AF606" s="139"/>
    </row>
    <row r="607" spans="1:32" ht="12.75">
      <c r="A607" s="136" t="e">
        <f ca="1"/>
        <v>#NAME?</v>
      </c>
      <c r="B607" s="192" t="s">
        <v>898</v>
      </c>
      <c r="C607" s="181">
        <v>8</v>
      </c>
      <c r="D607" s="181" t="s">
        <v>638</v>
      </c>
      <c r="E607" s="219"/>
      <c r="F607" s="219"/>
      <c r="G607" s="198"/>
      <c r="H607" s="199">
        <v>6</v>
      </c>
      <c r="I607" s="200">
        <v>2</v>
      </c>
      <c r="J607" s="200">
        <v>2</v>
      </c>
      <c r="K607" s="200">
        <v>2</v>
      </c>
      <c r="L607" s="201">
        <v>6</v>
      </c>
      <c r="M607" s="200">
        <v>2</v>
      </c>
      <c r="N607" s="200">
        <v>2</v>
      </c>
      <c r="O607" s="200">
        <v>2</v>
      </c>
      <c r="P607" s="201">
        <v>6</v>
      </c>
      <c r="Q607" s="200">
        <v>2</v>
      </c>
      <c r="R607" s="200">
        <v>2</v>
      </c>
      <c r="S607" s="200">
        <v>2</v>
      </c>
      <c r="T607" s="201">
        <v>6</v>
      </c>
      <c r="U607" s="200">
        <v>2</v>
      </c>
      <c r="V607" s="200">
        <v>2</v>
      </c>
      <c r="W607" s="189">
        <v>2</v>
      </c>
      <c r="X607" s="137" t="s">
        <v>206</v>
      </c>
      <c r="Y607" s="155" t="str">
        <f>DB!$D$107</f>
        <v>Epson Genuine Ink (003) Cyan</v>
      </c>
      <c r="Z607" s="154"/>
      <c r="AA607" s="151"/>
      <c r="AB607" s="136"/>
      <c r="AC607" s="139"/>
      <c r="AD607" s="139"/>
      <c r="AE607" s="139"/>
      <c r="AF607" s="139"/>
    </row>
    <row r="608" spans="1:32" ht="12.75">
      <c r="A608" s="136" t="e">
        <f ca="1"/>
        <v>#NAME?</v>
      </c>
      <c r="B608" s="192" t="s">
        <v>899</v>
      </c>
      <c r="C608" s="181">
        <v>8</v>
      </c>
      <c r="D608" s="181" t="s">
        <v>638</v>
      </c>
      <c r="E608" s="220"/>
      <c r="F608" s="220"/>
      <c r="G608" s="200"/>
      <c r="H608" s="199">
        <v>6</v>
      </c>
      <c r="I608" s="200">
        <v>2</v>
      </c>
      <c r="J608" s="200">
        <v>2</v>
      </c>
      <c r="K608" s="200">
        <v>2</v>
      </c>
      <c r="L608" s="201">
        <v>6</v>
      </c>
      <c r="M608" s="200">
        <v>2</v>
      </c>
      <c r="N608" s="200">
        <v>2</v>
      </c>
      <c r="O608" s="200">
        <v>2</v>
      </c>
      <c r="P608" s="201">
        <v>6</v>
      </c>
      <c r="Q608" s="200">
        <v>2</v>
      </c>
      <c r="R608" s="200">
        <v>2</v>
      </c>
      <c r="S608" s="200">
        <v>2</v>
      </c>
      <c r="T608" s="201">
        <v>6</v>
      </c>
      <c r="U608" s="200">
        <v>2</v>
      </c>
      <c r="V608" s="200">
        <v>2</v>
      </c>
      <c r="W608" s="189">
        <v>2</v>
      </c>
      <c r="X608" s="137" t="s">
        <v>206</v>
      </c>
      <c r="Y608" s="155" t="str">
        <f>DB!$D$108</f>
        <v>Epson Genuine Ink (003) Yellow</v>
      </c>
      <c r="Z608" s="152"/>
      <c r="AA608" s="151"/>
      <c r="AB608" s="136"/>
      <c r="AC608" s="139"/>
      <c r="AD608" s="139"/>
      <c r="AE608" s="139"/>
      <c r="AF608" s="139"/>
    </row>
    <row r="609" spans="1:32" ht="12.75">
      <c r="A609" s="136" t="e">
        <f ca="1"/>
        <v>#NAME?</v>
      </c>
      <c r="B609" s="192" t="s">
        <v>900</v>
      </c>
      <c r="C609" s="181">
        <v>8</v>
      </c>
      <c r="D609" s="181" t="s">
        <v>638</v>
      </c>
      <c r="E609" s="220"/>
      <c r="F609" s="220"/>
      <c r="G609" s="200"/>
      <c r="H609" s="199">
        <v>6</v>
      </c>
      <c r="I609" s="200">
        <v>2</v>
      </c>
      <c r="J609" s="200">
        <v>2</v>
      </c>
      <c r="K609" s="200">
        <v>2</v>
      </c>
      <c r="L609" s="201">
        <v>6</v>
      </c>
      <c r="M609" s="200">
        <v>2</v>
      </c>
      <c r="N609" s="200">
        <v>2</v>
      </c>
      <c r="O609" s="200">
        <v>2</v>
      </c>
      <c r="P609" s="201">
        <v>6</v>
      </c>
      <c r="Q609" s="200">
        <v>2</v>
      </c>
      <c r="R609" s="200">
        <v>2</v>
      </c>
      <c r="S609" s="200">
        <v>2</v>
      </c>
      <c r="T609" s="201">
        <v>6</v>
      </c>
      <c r="U609" s="200">
        <v>2</v>
      </c>
      <c r="V609" s="200">
        <v>2</v>
      </c>
      <c r="W609" s="189">
        <v>2</v>
      </c>
      <c r="X609" s="137" t="s">
        <v>206</v>
      </c>
      <c r="Y609" s="155" t="str">
        <f>DB!$D$109</f>
        <v>Epson Genuine Ink (003) Magenta</v>
      </c>
      <c r="Z609" s="152"/>
      <c r="AA609" s="151"/>
      <c r="AB609" s="136"/>
      <c r="AC609" s="139"/>
      <c r="AD609" s="139"/>
      <c r="AE609" s="139"/>
      <c r="AF609" s="139"/>
    </row>
    <row r="610" spans="1:32" ht="12.75">
      <c r="A610" s="136" t="e">
        <f ca="1"/>
        <v>#NAME?</v>
      </c>
      <c r="B610" s="188" t="s">
        <v>234</v>
      </c>
      <c r="C610" s="203">
        <v>2</v>
      </c>
      <c r="D610" s="189" t="s">
        <v>103</v>
      </c>
      <c r="E610" s="220"/>
      <c r="F610" s="220"/>
      <c r="G610" s="200"/>
      <c r="H610" s="158">
        <v>1</v>
      </c>
      <c r="I610" s="203">
        <v>1</v>
      </c>
      <c r="J610" s="197"/>
      <c r="K610" s="197"/>
      <c r="L610" s="158">
        <v>0</v>
      </c>
      <c r="M610" s="203"/>
      <c r="N610" s="197"/>
      <c r="O610" s="197"/>
      <c r="P610" s="158">
        <v>1</v>
      </c>
      <c r="Q610" s="203">
        <v>1</v>
      </c>
      <c r="R610" s="197"/>
      <c r="S610" s="197"/>
      <c r="T610" s="158">
        <v>0</v>
      </c>
      <c r="U610" s="198"/>
      <c r="V610" s="198"/>
      <c r="W610" s="198"/>
      <c r="X610" s="137" t="s">
        <v>235</v>
      </c>
      <c r="Y610" s="141" t="str">
        <f>DB!$D$168</f>
        <v>Keyboard, Full Size, USB 2.0</v>
      </c>
      <c r="Z610" s="154"/>
      <c r="AA610" s="151"/>
      <c r="AB610" s="136"/>
      <c r="AC610" s="139"/>
      <c r="AD610" s="139"/>
      <c r="AE610" s="139"/>
      <c r="AF610" s="139"/>
    </row>
    <row r="611" spans="1:32" ht="12.75">
      <c r="A611" s="136" t="e">
        <f ca="1"/>
        <v>#NAME?</v>
      </c>
      <c r="B611" s="192" t="s">
        <v>239</v>
      </c>
      <c r="C611" s="203">
        <v>2</v>
      </c>
      <c r="D611" s="189" t="s">
        <v>103</v>
      </c>
      <c r="E611" s="219"/>
      <c r="F611" s="219"/>
      <c r="G611" s="198"/>
      <c r="H611" s="199">
        <v>1</v>
      </c>
      <c r="I611" s="203">
        <v>1</v>
      </c>
      <c r="J611" s="197"/>
      <c r="K611" s="197"/>
      <c r="L611" s="199">
        <v>0</v>
      </c>
      <c r="M611" s="203"/>
      <c r="N611" s="197"/>
      <c r="O611" s="197"/>
      <c r="P611" s="199">
        <v>1</v>
      </c>
      <c r="Q611" s="203">
        <v>1</v>
      </c>
      <c r="R611" s="197"/>
      <c r="S611" s="197"/>
      <c r="T611" s="199">
        <v>0</v>
      </c>
      <c r="U611" s="200"/>
      <c r="V611" s="200"/>
      <c r="W611" s="200"/>
      <c r="X611" s="137" t="s">
        <v>235</v>
      </c>
      <c r="Y611" s="141" t="str">
        <f>DB!$D$169</f>
        <v>Mouse, Optical, USB 2.0</v>
      </c>
      <c r="Z611" s="154"/>
      <c r="AA611" s="151"/>
      <c r="AB611" s="136"/>
      <c r="AC611" s="139"/>
      <c r="AD611" s="139"/>
      <c r="AE611" s="139"/>
      <c r="AF611" s="139"/>
    </row>
    <row r="612" spans="1:32" ht="12.75">
      <c r="A612" s="136" t="e">
        <f ca="1"/>
        <v>#NAME?</v>
      </c>
      <c r="B612" s="192" t="s">
        <v>493</v>
      </c>
      <c r="C612" s="203">
        <v>1</v>
      </c>
      <c r="D612" s="189" t="s">
        <v>103</v>
      </c>
      <c r="E612" s="220"/>
      <c r="F612" s="220"/>
      <c r="G612" s="200"/>
      <c r="H612" s="199">
        <v>1</v>
      </c>
      <c r="I612" s="203">
        <v>1</v>
      </c>
      <c r="J612" s="197"/>
      <c r="K612" s="197"/>
      <c r="L612" s="199">
        <v>0</v>
      </c>
      <c r="M612" s="203"/>
      <c r="N612" s="197"/>
      <c r="O612" s="197"/>
      <c r="P612" s="199">
        <v>0</v>
      </c>
      <c r="Q612" s="203"/>
      <c r="R612" s="197"/>
      <c r="S612" s="197"/>
      <c r="T612" s="199">
        <v>0</v>
      </c>
      <c r="U612" s="200"/>
      <c r="V612" s="200"/>
      <c r="W612" s="200"/>
      <c r="X612" s="137" t="s">
        <v>235</v>
      </c>
      <c r="Y612" s="155" t="str">
        <f>DB!$D$276</f>
        <v>Ink Tank Printer</v>
      </c>
      <c r="Z612" s="154" t="s">
        <v>469</v>
      </c>
      <c r="AA612" s="151"/>
      <c r="AB612" s="136"/>
      <c r="AC612" s="139"/>
      <c r="AD612" s="139"/>
      <c r="AE612" s="139"/>
      <c r="AF612" s="139"/>
    </row>
    <row r="613" spans="1:32" ht="12.75">
      <c r="A613" s="136" t="e">
        <f ca="1"/>
        <v>#NAME?</v>
      </c>
      <c r="B613" s="192" t="s">
        <v>568</v>
      </c>
      <c r="C613" s="203">
        <v>2</v>
      </c>
      <c r="D613" s="189" t="s">
        <v>103</v>
      </c>
      <c r="E613" s="220"/>
      <c r="F613" s="220"/>
      <c r="G613" s="200"/>
      <c r="H613" s="199">
        <v>1</v>
      </c>
      <c r="I613" s="203">
        <v>1</v>
      </c>
      <c r="J613" s="197"/>
      <c r="K613" s="197"/>
      <c r="L613" s="199">
        <v>0</v>
      </c>
      <c r="M613" s="203"/>
      <c r="N613" s="197"/>
      <c r="O613" s="197"/>
      <c r="P613" s="199">
        <v>1</v>
      </c>
      <c r="Q613" s="203">
        <v>1</v>
      </c>
      <c r="R613" s="197"/>
      <c r="S613" s="197"/>
      <c r="T613" s="199">
        <v>0</v>
      </c>
      <c r="U613" s="200"/>
      <c r="V613" s="200"/>
      <c r="W613" s="200"/>
      <c r="X613" s="137" t="s">
        <v>235</v>
      </c>
      <c r="Y613" s="163" t="str">
        <f>DB!$D$6</f>
        <v>UPS 650VA, AVR, 230V</v>
      </c>
      <c r="Z613" s="154"/>
      <c r="AA613" s="151"/>
      <c r="AB613" s="136"/>
      <c r="AC613" s="139"/>
      <c r="AD613" s="139"/>
      <c r="AE613" s="139"/>
      <c r="AF613" s="139"/>
    </row>
    <row r="614" spans="1:32" ht="12.75">
      <c r="A614" s="136" t="e">
        <f ca="1"/>
        <v>#NAME?</v>
      </c>
      <c r="B614" s="192" t="s">
        <v>483</v>
      </c>
      <c r="C614" s="203">
        <v>1</v>
      </c>
      <c r="D614" s="189" t="s">
        <v>103</v>
      </c>
      <c r="E614" s="220"/>
      <c r="F614" s="220"/>
      <c r="G614" s="200"/>
      <c r="H614" s="199">
        <v>1</v>
      </c>
      <c r="I614" s="203">
        <v>1</v>
      </c>
      <c r="J614" s="197"/>
      <c r="K614" s="197"/>
      <c r="L614" s="199">
        <v>0</v>
      </c>
      <c r="M614" s="203"/>
      <c r="N614" s="197"/>
      <c r="O614" s="197"/>
      <c r="P614" s="199">
        <v>0</v>
      </c>
      <c r="Q614" s="203"/>
      <c r="R614" s="197"/>
      <c r="S614" s="197"/>
      <c r="T614" s="199">
        <v>0</v>
      </c>
      <c r="U614" s="200"/>
      <c r="V614" s="200"/>
      <c r="W614" s="200"/>
      <c r="X614" s="137" t="s">
        <v>235</v>
      </c>
      <c r="Y614" s="164"/>
      <c r="Z614" s="154" t="s">
        <v>453</v>
      </c>
      <c r="AA614" s="151"/>
      <c r="AB614" s="136"/>
      <c r="AC614" s="139"/>
      <c r="AD614" s="139"/>
      <c r="AE614" s="139"/>
      <c r="AF614" s="139"/>
    </row>
    <row r="615" spans="1:32" ht="12.75">
      <c r="A615" s="136" t="e">
        <f ca="1"/>
        <v>#NAME?</v>
      </c>
      <c r="B615" s="192" t="s">
        <v>909</v>
      </c>
      <c r="C615" s="203">
        <v>1</v>
      </c>
      <c r="D615" s="189" t="s">
        <v>466</v>
      </c>
      <c r="E615" s="220"/>
      <c r="F615" s="220"/>
      <c r="G615" s="200"/>
      <c r="H615" s="199">
        <v>1</v>
      </c>
      <c r="I615" s="203">
        <v>1</v>
      </c>
      <c r="J615" s="197"/>
      <c r="K615" s="197"/>
      <c r="L615" s="199">
        <v>0</v>
      </c>
      <c r="M615" s="203"/>
      <c r="N615" s="197"/>
      <c r="O615" s="197"/>
      <c r="P615" s="199">
        <v>0</v>
      </c>
      <c r="Q615" s="203"/>
      <c r="R615" s="197"/>
      <c r="S615" s="197"/>
      <c r="T615" s="199">
        <v>0</v>
      </c>
      <c r="U615" s="200"/>
      <c r="V615" s="200"/>
      <c r="W615" s="200"/>
      <c r="X615" s="137" t="s">
        <v>235</v>
      </c>
      <c r="Y615" s="155" t="str">
        <f>DB!$D$276</f>
        <v>Ink Tank Printer</v>
      </c>
      <c r="Z615" s="154" t="s">
        <v>469</v>
      </c>
      <c r="AA615" s="151"/>
      <c r="AB615" s="136"/>
      <c r="AC615" s="139"/>
      <c r="AD615" s="139"/>
      <c r="AE615" s="139"/>
      <c r="AF615" s="139"/>
    </row>
    <row r="616" spans="1:32" ht="12.75">
      <c r="A616" s="136" t="e">
        <f ca="1"/>
        <v>#NAME?</v>
      </c>
      <c r="B616" s="192" t="s">
        <v>817</v>
      </c>
      <c r="C616" s="203">
        <v>1</v>
      </c>
      <c r="D616" s="189" t="s">
        <v>103</v>
      </c>
      <c r="E616" s="220"/>
      <c r="F616" s="220"/>
      <c r="G616" s="200"/>
      <c r="H616" s="233">
        <v>1</v>
      </c>
      <c r="I616" s="212">
        <v>1</v>
      </c>
      <c r="J616" s="207"/>
      <c r="K616" s="197"/>
      <c r="L616" s="199">
        <v>0</v>
      </c>
      <c r="M616" s="203"/>
      <c r="N616" s="197"/>
      <c r="O616" s="197"/>
      <c r="P616" s="199">
        <v>0</v>
      </c>
      <c r="Q616" s="203"/>
      <c r="R616" s="197"/>
      <c r="S616" s="197"/>
      <c r="T616" s="199">
        <v>0</v>
      </c>
      <c r="U616" s="200"/>
      <c r="V616" s="200"/>
      <c r="W616" s="200"/>
      <c r="X616" s="137" t="s">
        <v>235</v>
      </c>
      <c r="Y616" s="163" t="str">
        <f>DB!$D$37</f>
        <v>Single Line Telephone (Black)</v>
      </c>
      <c r="Z616" s="152"/>
      <c r="AA616" s="151"/>
      <c r="AB616" s="136"/>
      <c r="AC616" s="139"/>
      <c r="AD616" s="139"/>
      <c r="AE616" s="139"/>
      <c r="AF616" s="139"/>
    </row>
    <row r="617" spans="1:32" ht="12.75">
      <c r="A617" s="136" t="e">
        <f ca="1"/>
        <v>#NAME?</v>
      </c>
      <c r="B617" s="188" t="s">
        <v>482</v>
      </c>
      <c r="C617" s="198">
        <v>1</v>
      </c>
      <c r="D617" s="198" t="s">
        <v>103</v>
      </c>
      <c r="E617" s="220"/>
      <c r="F617" s="220"/>
      <c r="G617" s="200"/>
      <c r="H617" s="158">
        <v>1</v>
      </c>
      <c r="I617" s="232">
        <v>1</v>
      </c>
      <c r="J617" s="198"/>
      <c r="K617" s="203"/>
      <c r="L617" s="199">
        <v>0</v>
      </c>
      <c r="M617" s="203"/>
      <c r="N617" s="197"/>
      <c r="O617" s="197"/>
      <c r="P617" s="199">
        <v>0</v>
      </c>
      <c r="Q617" s="203"/>
      <c r="R617" s="197"/>
      <c r="S617" s="197"/>
      <c r="T617" s="199">
        <v>0</v>
      </c>
      <c r="U617" s="200"/>
      <c r="V617" s="200"/>
      <c r="W617" s="200"/>
      <c r="X617" s="137" t="s">
        <v>235</v>
      </c>
      <c r="Y617" s="155" t="str">
        <f>DB!$D$276</f>
        <v>Ink Tank Printer</v>
      </c>
      <c r="Z617" s="154" t="s">
        <v>469</v>
      </c>
      <c r="AA617" s="151"/>
      <c r="AB617" s="136"/>
      <c r="AC617" s="139"/>
      <c r="AD617" s="139"/>
      <c r="AE617" s="139"/>
      <c r="AF617" s="139"/>
    </row>
    <row r="618" spans="1:32" ht="12.75">
      <c r="A618" s="136" t="e">
        <f ca="1"/>
        <v>#NAME?</v>
      </c>
      <c r="B618" s="188" t="s">
        <v>910</v>
      </c>
      <c r="C618" s="203">
        <v>30</v>
      </c>
      <c r="D618" s="189" t="s">
        <v>103</v>
      </c>
      <c r="E618" s="220"/>
      <c r="F618" s="220"/>
      <c r="G618" s="200"/>
      <c r="H618" s="158">
        <v>10</v>
      </c>
      <c r="I618" s="203">
        <v>6</v>
      </c>
      <c r="J618" s="197">
        <v>2</v>
      </c>
      <c r="K618" s="197">
        <v>2</v>
      </c>
      <c r="L618" s="158">
        <v>6</v>
      </c>
      <c r="M618" s="203">
        <v>2</v>
      </c>
      <c r="N618" s="197">
        <v>2</v>
      </c>
      <c r="O618" s="197">
        <v>2</v>
      </c>
      <c r="P618" s="158">
        <v>8</v>
      </c>
      <c r="Q618" s="203">
        <v>2</v>
      </c>
      <c r="R618" s="197">
        <v>2</v>
      </c>
      <c r="S618" s="197">
        <v>4</v>
      </c>
      <c r="T618" s="158">
        <v>6</v>
      </c>
      <c r="U618" s="198">
        <v>2</v>
      </c>
      <c r="V618" s="198">
        <v>2</v>
      </c>
      <c r="W618" s="198">
        <v>2</v>
      </c>
      <c r="X618" s="137" t="s">
        <v>121</v>
      </c>
      <c r="Y618" s="155" t="str">
        <f>DB!$D$106</f>
        <v>Epson Genuine Ink (003) Black</v>
      </c>
      <c r="Z618" s="154"/>
      <c r="AA618" s="151"/>
      <c r="AB618" s="136"/>
      <c r="AC618" s="139"/>
      <c r="AD618" s="139"/>
      <c r="AE618" s="139"/>
      <c r="AF618" s="139"/>
    </row>
    <row r="619" spans="1:32" ht="12.75">
      <c r="A619" s="136" t="e">
        <f ca="1"/>
        <v>#NAME?</v>
      </c>
      <c r="B619" s="192" t="s">
        <v>911</v>
      </c>
      <c r="C619" s="203">
        <v>12</v>
      </c>
      <c r="D619" s="189" t="s">
        <v>103</v>
      </c>
      <c r="E619" s="220"/>
      <c r="F619" s="220"/>
      <c r="G619" s="200"/>
      <c r="H619" s="199">
        <v>3</v>
      </c>
      <c r="I619" s="203">
        <v>1</v>
      </c>
      <c r="J619" s="197">
        <v>1</v>
      </c>
      <c r="K619" s="197">
        <v>1</v>
      </c>
      <c r="L619" s="199">
        <v>3</v>
      </c>
      <c r="M619" s="203">
        <v>1</v>
      </c>
      <c r="N619" s="197">
        <v>1</v>
      </c>
      <c r="O619" s="197">
        <v>1</v>
      </c>
      <c r="P619" s="199">
        <v>3</v>
      </c>
      <c r="Q619" s="203">
        <v>1</v>
      </c>
      <c r="R619" s="197">
        <v>1</v>
      </c>
      <c r="S619" s="197">
        <v>1</v>
      </c>
      <c r="T619" s="199">
        <v>3</v>
      </c>
      <c r="U619" s="200">
        <v>1</v>
      </c>
      <c r="V619" s="200">
        <v>1</v>
      </c>
      <c r="W619" s="200">
        <v>1</v>
      </c>
      <c r="X619" s="137" t="s">
        <v>121</v>
      </c>
      <c r="Y619" s="155" t="str">
        <f>DB!$D$107</f>
        <v>Epson Genuine Ink (003) Cyan</v>
      </c>
      <c r="Z619" s="154"/>
      <c r="AA619" s="151"/>
      <c r="AB619" s="136"/>
      <c r="AC619" s="139"/>
      <c r="AD619" s="139"/>
      <c r="AE619" s="139"/>
      <c r="AF619" s="139"/>
    </row>
    <row r="620" spans="1:32" ht="12.75">
      <c r="A620" s="136" t="e">
        <f ca="1"/>
        <v>#NAME?</v>
      </c>
      <c r="B620" s="192" t="s">
        <v>912</v>
      </c>
      <c r="C620" s="203">
        <v>12</v>
      </c>
      <c r="D620" s="189" t="s">
        <v>103</v>
      </c>
      <c r="E620" s="182"/>
      <c r="F620" s="179"/>
      <c r="G620" s="183"/>
      <c r="H620" s="199">
        <v>3</v>
      </c>
      <c r="I620" s="203">
        <v>1</v>
      </c>
      <c r="J620" s="197">
        <v>1</v>
      </c>
      <c r="K620" s="197">
        <v>1</v>
      </c>
      <c r="L620" s="199">
        <v>3</v>
      </c>
      <c r="M620" s="203">
        <v>1</v>
      </c>
      <c r="N620" s="197">
        <v>1</v>
      </c>
      <c r="O620" s="197">
        <v>1</v>
      </c>
      <c r="P620" s="199">
        <v>3</v>
      </c>
      <c r="Q620" s="203">
        <v>1</v>
      </c>
      <c r="R620" s="197">
        <v>1</v>
      </c>
      <c r="S620" s="197">
        <v>1</v>
      </c>
      <c r="T620" s="199">
        <v>3</v>
      </c>
      <c r="U620" s="200">
        <v>1</v>
      </c>
      <c r="V620" s="200">
        <v>1</v>
      </c>
      <c r="W620" s="200">
        <v>1</v>
      </c>
      <c r="X620" s="137" t="s">
        <v>121</v>
      </c>
      <c r="Y620" s="155" t="str">
        <f>DB!$D$108</f>
        <v>Epson Genuine Ink (003) Yellow</v>
      </c>
      <c r="Z620" s="154"/>
      <c r="AA620" s="149"/>
      <c r="AB620" s="136"/>
      <c r="AC620" s="139"/>
      <c r="AD620" s="139"/>
      <c r="AE620" s="139"/>
      <c r="AF620" s="139"/>
    </row>
    <row r="621" spans="1:32" ht="12.75">
      <c r="A621" s="136" t="e">
        <f ca="1"/>
        <v>#NAME?</v>
      </c>
      <c r="B621" s="192" t="s">
        <v>913</v>
      </c>
      <c r="C621" s="203">
        <v>12</v>
      </c>
      <c r="D621" s="189" t="s">
        <v>103</v>
      </c>
      <c r="E621" s="179"/>
      <c r="F621" s="179"/>
      <c r="G621" s="178"/>
      <c r="H621" s="199">
        <v>3</v>
      </c>
      <c r="I621" s="203">
        <v>1</v>
      </c>
      <c r="J621" s="197">
        <v>1</v>
      </c>
      <c r="K621" s="197">
        <v>1</v>
      </c>
      <c r="L621" s="199">
        <v>3</v>
      </c>
      <c r="M621" s="203">
        <v>1</v>
      </c>
      <c r="N621" s="197">
        <v>1</v>
      </c>
      <c r="O621" s="197">
        <v>1</v>
      </c>
      <c r="P621" s="199">
        <v>3</v>
      </c>
      <c r="Q621" s="203">
        <v>1</v>
      </c>
      <c r="R621" s="197">
        <v>1</v>
      </c>
      <c r="S621" s="197">
        <v>1</v>
      </c>
      <c r="T621" s="199">
        <v>3</v>
      </c>
      <c r="U621" s="200">
        <v>1</v>
      </c>
      <c r="V621" s="200">
        <v>1</v>
      </c>
      <c r="W621" s="200">
        <v>1</v>
      </c>
      <c r="X621" s="137" t="s">
        <v>121</v>
      </c>
      <c r="Y621" s="155" t="str">
        <f>DB!$D$109</f>
        <v>Epson Genuine Ink (003) Magenta</v>
      </c>
      <c r="Z621" s="154"/>
      <c r="AA621" s="149"/>
      <c r="AB621" s="136"/>
      <c r="AC621" s="139"/>
      <c r="AD621" s="139"/>
      <c r="AE621" s="139"/>
      <c r="AF621" s="139"/>
    </row>
    <row r="622" spans="1:32" ht="25.5">
      <c r="A622" s="136" t="e">
        <f ca="1"/>
        <v>#NAME?</v>
      </c>
      <c r="B622" s="204" t="s">
        <v>454</v>
      </c>
      <c r="C622" s="197">
        <v>24</v>
      </c>
      <c r="D622" s="189" t="s">
        <v>773</v>
      </c>
      <c r="E622" s="179"/>
      <c r="F622" s="179"/>
      <c r="G622" s="178"/>
      <c r="H622" s="199">
        <v>3</v>
      </c>
      <c r="I622" s="203">
        <v>1</v>
      </c>
      <c r="J622" s="197">
        <v>1</v>
      </c>
      <c r="K622" s="197">
        <v>1</v>
      </c>
      <c r="L622" s="199">
        <v>3</v>
      </c>
      <c r="M622" s="203">
        <v>1</v>
      </c>
      <c r="N622" s="197">
        <v>1</v>
      </c>
      <c r="O622" s="197">
        <v>1</v>
      </c>
      <c r="P622" s="199">
        <v>3</v>
      </c>
      <c r="Q622" s="203">
        <v>1</v>
      </c>
      <c r="R622" s="197">
        <v>1</v>
      </c>
      <c r="S622" s="197">
        <v>1</v>
      </c>
      <c r="T622" s="199">
        <v>3</v>
      </c>
      <c r="U622" s="200">
        <v>1</v>
      </c>
      <c r="V622" s="200">
        <v>1</v>
      </c>
      <c r="W622" s="200">
        <v>1</v>
      </c>
      <c r="X622" s="137" t="s">
        <v>121</v>
      </c>
      <c r="Y622" s="155" t="str">
        <f>DB!$D$177</f>
        <v>EPSON LQ310 Ribbon Cartridge (SO15634)</v>
      </c>
      <c r="Z622" s="154"/>
      <c r="AA622" s="149"/>
      <c r="AB622" s="136"/>
      <c r="AC622" s="139"/>
      <c r="AD622" s="139"/>
      <c r="AE622" s="139"/>
      <c r="AF622" s="139"/>
    </row>
    <row r="623" spans="1:32" ht="12.75">
      <c r="A623" s="136" t="e">
        <f ca="1"/>
        <v>#NAME?</v>
      </c>
      <c r="B623" s="188" t="s">
        <v>914</v>
      </c>
      <c r="C623" s="203">
        <v>1</v>
      </c>
      <c r="D623" s="189" t="s">
        <v>155</v>
      </c>
      <c r="E623" s="179"/>
      <c r="F623" s="179"/>
      <c r="G623" s="178"/>
      <c r="H623" s="199">
        <v>1</v>
      </c>
      <c r="I623" s="203">
        <v>1</v>
      </c>
      <c r="J623" s="197"/>
      <c r="K623" s="197"/>
      <c r="L623" s="199">
        <v>0</v>
      </c>
      <c r="M623" s="203"/>
      <c r="N623" s="197"/>
      <c r="O623" s="197"/>
      <c r="P623" s="199">
        <v>0</v>
      </c>
      <c r="Q623" s="203"/>
      <c r="R623" s="197"/>
      <c r="S623" s="197"/>
      <c r="T623" s="199">
        <v>0</v>
      </c>
      <c r="U623" s="200"/>
      <c r="V623" s="200"/>
      <c r="W623" s="200"/>
      <c r="X623" s="137" t="s">
        <v>121</v>
      </c>
      <c r="Y623" s="155" t="str">
        <f>DB!$D$40</f>
        <v>21.5" FHD LED Monitor</v>
      </c>
      <c r="Z623" s="154"/>
      <c r="AA623" s="149"/>
      <c r="AB623" s="136"/>
      <c r="AC623" s="139"/>
      <c r="AD623" s="139"/>
      <c r="AE623" s="139"/>
      <c r="AF623" s="139"/>
    </row>
    <row r="624" spans="1:32" ht="12.75">
      <c r="A624" s="136" t="e">
        <f ca="1"/>
        <v>#NAME?</v>
      </c>
      <c r="B624" s="230" t="s">
        <v>523</v>
      </c>
      <c r="C624" s="212">
        <v>1</v>
      </c>
      <c r="D624" s="208" t="s">
        <v>155</v>
      </c>
      <c r="E624" s="183"/>
      <c r="F624" s="182"/>
      <c r="G624" s="183"/>
      <c r="H624" s="233">
        <v>1</v>
      </c>
      <c r="I624" s="212">
        <v>1</v>
      </c>
      <c r="J624" s="207"/>
      <c r="K624" s="197"/>
      <c r="L624" s="199">
        <v>0</v>
      </c>
      <c r="M624" s="203"/>
      <c r="N624" s="197"/>
      <c r="O624" s="197"/>
      <c r="P624" s="199">
        <v>0</v>
      </c>
      <c r="Q624" s="203"/>
      <c r="R624" s="197"/>
      <c r="S624" s="197"/>
      <c r="T624" s="199">
        <v>0</v>
      </c>
      <c r="U624" s="200"/>
      <c r="V624" s="200"/>
      <c r="W624" s="200"/>
      <c r="X624" s="137" t="s">
        <v>121</v>
      </c>
      <c r="Y624" s="155"/>
      <c r="Z624" s="154" t="s">
        <v>453</v>
      </c>
      <c r="AA624" s="149"/>
      <c r="AB624" s="136"/>
      <c r="AC624" s="139"/>
      <c r="AD624" s="139"/>
      <c r="AE624" s="139"/>
      <c r="AF624" s="139"/>
    </row>
    <row r="625" spans="1:32" ht="12.75">
      <c r="A625" s="136" t="e">
        <f ca="1"/>
        <v>#NAME?</v>
      </c>
      <c r="B625" s="188" t="s">
        <v>915</v>
      </c>
      <c r="C625" s="198">
        <v>1</v>
      </c>
      <c r="D625" s="198" t="s">
        <v>155</v>
      </c>
      <c r="E625" s="179"/>
      <c r="F625" s="179"/>
      <c r="G625" s="178"/>
      <c r="H625" s="158">
        <v>1</v>
      </c>
      <c r="I625" s="232">
        <v>1</v>
      </c>
      <c r="J625" s="198"/>
      <c r="K625" s="203"/>
      <c r="L625" s="199">
        <v>0</v>
      </c>
      <c r="M625" s="203"/>
      <c r="N625" s="197"/>
      <c r="O625" s="197"/>
      <c r="P625" s="199">
        <v>0</v>
      </c>
      <c r="Q625" s="203"/>
      <c r="R625" s="197"/>
      <c r="S625" s="197"/>
      <c r="T625" s="199">
        <v>0</v>
      </c>
      <c r="U625" s="200"/>
      <c r="V625" s="200"/>
      <c r="W625" s="200"/>
      <c r="X625" s="137" t="s">
        <v>121</v>
      </c>
      <c r="Y625" s="141" t="str">
        <f>DB!$D$168</f>
        <v>Keyboard, Full Size, USB 2.0</v>
      </c>
      <c r="Z625" s="154"/>
      <c r="AA625" s="149"/>
      <c r="AB625" s="136"/>
      <c r="AC625" s="139"/>
      <c r="AD625" s="139"/>
      <c r="AE625" s="139"/>
      <c r="AF625" s="139"/>
    </row>
    <row r="626" spans="1:32" ht="12.75">
      <c r="A626" s="136" t="e">
        <f ca="1"/>
        <v>#NAME?</v>
      </c>
      <c r="B626" s="192" t="s">
        <v>916</v>
      </c>
      <c r="C626" s="203">
        <v>1</v>
      </c>
      <c r="D626" s="189" t="s">
        <v>155</v>
      </c>
      <c r="E626" s="179"/>
      <c r="F626" s="179"/>
      <c r="G626" s="178"/>
      <c r="H626" s="199">
        <v>0</v>
      </c>
      <c r="I626" s="203"/>
      <c r="J626" s="197"/>
      <c r="K626" s="197"/>
      <c r="L626" s="199">
        <v>0</v>
      </c>
      <c r="M626" s="203"/>
      <c r="N626" s="197"/>
      <c r="O626" s="197"/>
      <c r="P626" s="199">
        <v>0</v>
      </c>
      <c r="Q626" s="203"/>
      <c r="R626" s="197"/>
      <c r="S626" s="197"/>
      <c r="T626" s="199">
        <v>0</v>
      </c>
      <c r="U626" s="200"/>
      <c r="V626" s="200"/>
      <c r="W626" s="200"/>
      <c r="X626" s="137" t="s">
        <v>121</v>
      </c>
      <c r="Y626" s="141" t="str">
        <f>DB!$D$169</f>
        <v>Mouse, Optical, USB 2.0</v>
      </c>
      <c r="Z626" s="154"/>
      <c r="AA626" s="149"/>
      <c r="AB626" s="136"/>
      <c r="AC626" s="139"/>
      <c r="AD626" s="139"/>
      <c r="AE626" s="139"/>
      <c r="AF626" s="139"/>
    </row>
    <row r="627" spans="1:32" ht="12.75">
      <c r="A627" s="136" t="e">
        <f ca="1"/>
        <v>#NAME?</v>
      </c>
      <c r="B627" s="192" t="s">
        <v>917</v>
      </c>
      <c r="C627" s="203">
        <v>1</v>
      </c>
      <c r="D627" s="189" t="s">
        <v>155</v>
      </c>
      <c r="E627" s="178"/>
      <c r="F627" s="179"/>
      <c r="G627" s="178"/>
      <c r="H627" s="199">
        <v>0</v>
      </c>
      <c r="I627" s="203"/>
      <c r="J627" s="197"/>
      <c r="K627" s="197"/>
      <c r="L627" s="199">
        <v>0</v>
      </c>
      <c r="M627" s="203"/>
      <c r="N627" s="197"/>
      <c r="O627" s="197"/>
      <c r="P627" s="199">
        <v>0</v>
      </c>
      <c r="Q627" s="203"/>
      <c r="R627" s="197"/>
      <c r="S627" s="197"/>
      <c r="T627" s="199">
        <v>0</v>
      </c>
      <c r="U627" s="200"/>
      <c r="V627" s="200"/>
      <c r="W627" s="200"/>
      <c r="X627" s="137" t="s">
        <v>121</v>
      </c>
      <c r="Y627" s="163"/>
      <c r="Z627" s="154" t="s">
        <v>453</v>
      </c>
      <c r="AA627" s="149"/>
      <c r="AB627" s="136"/>
      <c r="AC627" s="139"/>
      <c r="AD627" s="139"/>
      <c r="AE627" s="139"/>
      <c r="AF627" s="139"/>
    </row>
    <row r="628" spans="1:32" ht="12.75">
      <c r="A628" s="136" t="e">
        <f ca="1"/>
        <v>#NAME?</v>
      </c>
      <c r="B628" s="192" t="s">
        <v>918</v>
      </c>
      <c r="C628" s="203">
        <v>1</v>
      </c>
      <c r="D628" s="189" t="s">
        <v>155</v>
      </c>
      <c r="E628" s="179"/>
      <c r="F628" s="179"/>
      <c r="G628" s="178"/>
      <c r="H628" s="199">
        <v>0</v>
      </c>
      <c r="I628" s="203"/>
      <c r="J628" s="197"/>
      <c r="K628" s="197"/>
      <c r="L628" s="199">
        <v>0</v>
      </c>
      <c r="M628" s="203"/>
      <c r="N628" s="197"/>
      <c r="O628" s="197"/>
      <c r="P628" s="199">
        <v>0</v>
      </c>
      <c r="Q628" s="203"/>
      <c r="R628" s="197"/>
      <c r="S628" s="197"/>
      <c r="T628" s="199">
        <v>0</v>
      </c>
      <c r="U628" s="200"/>
      <c r="V628" s="200"/>
      <c r="W628" s="200"/>
      <c r="X628" s="137" t="s">
        <v>121</v>
      </c>
      <c r="Y628" s="163" t="str">
        <f>DB!$D$37</f>
        <v>Single Line Telephone (Black)</v>
      </c>
      <c r="Z628" s="154"/>
      <c r="AA628" s="149"/>
      <c r="AB628" s="136"/>
      <c r="AC628" s="139"/>
      <c r="AD628" s="139"/>
      <c r="AE628" s="139"/>
      <c r="AF628" s="139"/>
    </row>
    <row r="629" spans="1:32" ht="12.75">
      <c r="A629" s="136" t="e">
        <f ca="1"/>
        <v>#NAME?</v>
      </c>
      <c r="B629" s="192" t="s">
        <v>919</v>
      </c>
      <c r="C629" s="203">
        <v>1</v>
      </c>
      <c r="D629" s="189" t="s">
        <v>155</v>
      </c>
      <c r="E629" s="178"/>
      <c r="F629" s="179"/>
      <c r="G629" s="178"/>
      <c r="H629" s="199">
        <v>0</v>
      </c>
      <c r="I629" s="203"/>
      <c r="J629" s="197"/>
      <c r="K629" s="197"/>
      <c r="L629" s="199">
        <v>0</v>
      </c>
      <c r="M629" s="203"/>
      <c r="N629" s="197"/>
      <c r="O629" s="197"/>
      <c r="P629" s="199">
        <v>0</v>
      </c>
      <c r="Q629" s="203"/>
      <c r="R629" s="197"/>
      <c r="S629" s="197"/>
      <c r="T629" s="199">
        <v>0</v>
      </c>
      <c r="U629" s="200"/>
      <c r="V629" s="200"/>
      <c r="W629" s="200"/>
      <c r="X629" s="137" t="s">
        <v>121</v>
      </c>
      <c r="Y629" s="155" t="str">
        <f>DB!$D$276</f>
        <v>Ink Tank Printer</v>
      </c>
      <c r="Z629" s="154" t="s">
        <v>469</v>
      </c>
      <c r="AA629" s="149"/>
      <c r="AB629" s="136"/>
      <c r="AC629" s="139"/>
      <c r="AD629" s="139"/>
      <c r="AE629" s="139"/>
      <c r="AF629" s="139"/>
    </row>
    <row r="630" spans="1:32" ht="12.75">
      <c r="A630" s="136" t="e">
        <f ca="1"/>
        <v>#NAME?</v>
      </c>
      <c r="B630" s="188" t="s">
        <v>910</v>
      </c>
      <c r="C630" s="203">
        <v>30</v>
      </c>
      <c r="D630" s="189" t="s">
        <v>103</v>
      </c>
      <c r="E630" s="178"/>
      <c r="F630" s="179"/>
      <c r="G630" s="178"/>
      <c r="H630" s="158">
        <v>10</v>
      </c>
      <c r="I630" s="203">
        <v>6</v>
      </c>
      <c r="J630" s="197">
        <v>2</v>
      </c>
      <c r="K630" s="197">
        <v>2</v>
      </c>
      <c r="L630" s="158">
        <v>6</v>
      </c>
      <c r="M630" s="203">
        <v>2</v>
      </c>
      <c r="N630" s="197">
        <v>2</v>
      </c>
      <c r="O630" s="197">
        <v>2</v>
      </c>
      <c r="P630" s="158">
        <v>8</v>
      </c>
      <c r="Q630" s="203">
        <v>2</v>
      </c>
      <c r="R630" s="197">
        <v>2</v>
      </c>
      <c r="S630" s="197">
        <v>4</v>
      </c>
      <c r="T630" s="158">
        <v>6</v>
      </c>
      <c r="U630" s="198">
        <v>2</v>
      </c>
      <c r="V630" s="198">
        <v>2</v>
      </c>
      <c r="W630" s="198">
        <v>2</v>
      </c>
      <c r="X630" s="137" t="s">
        <v>122</v>
      </c>
      <c r="Y630" s="155" t="str">
        <f>DB!$D$106</f>
        <v>Epson Genuine Ink (003) Black</v>
      </c>
      <c r="Z630" s="154"/>
      <c r="AA630" s="149"/>
      <c r="AB630" s="136"/>
      <c r="AC630" s="139"/>
      <c r="AD630" s="139"/>
      <c r="AE630" s="139"/>
      <c r="AF630" s="139"/>
    </row>
    <row r="631" spans="1:32" ht="12.75">
      <c r="A631" s="136" t="e">
        <f ca="1"/>
        <v>#NAME?</v>
      </c>
      <c r="B631" s="192" t="s">
        <v>911</v>
      </c>
      <c r="C631" s="203">
        <v>12</v>
      </c>
      <c r="D631" s="189" t="s">
        <v>103</v>
      </c>
      <c r="E631" s="178"/>
      <c r="F631" s="179"/>
      <c r="G631" s="178"/>
      <c r="H631" s="199">
        <v>3</v>
      </c>
      <c r="I631" s="203">
        <v>1</v>
      </c>
      <c r="J631" s="197">
        <v>1</v>
      </c>
      <c r="K631" s="197">
        <v>1</v>
      </c>
      <c r="L631" s="199">
        <v>3</v>
      </c>
      <c r="M631" s="203">
        <v>1</v>
      </c>
      <c r="N631" s="197">
        <v>1</v>
      </c>
      <c r="O631" s="197">
        <v>1</v>
      </c>
      <c r="P631" s="199">
        <v>3</v>
      </c>
      <c r="Q631" s="203">
        <v>1</v>
      </c>
      <c r="R631" s="197">
        <v>1</v>
      </c>
      <c r="S631" s="197">
        <v>1</v>
      </c>
      <c r="T631" s="199">
        <v>3</v>
      </c>
      <c r="U631" s="200">
        <v>1</v>
      </c>
      <c r="V631" s="200">
        <v>1</v>
      </c>
      <c r="W631" s="200">
        <v>1</v>
      </c>
      <c r="X631" s="137" t="s">
        <v>122</v>
      </c>
      <c r="Y631" s="155" t="str">
        <f>DB!$D$107</f>
        <v>Epson Genuine Ink (003) Cyan</v>
      </c>
      <c r="Z631" s="152"/>
      <c r="AA631" s="149"/>
      <c r="AB631" s="136"/>
      <c r="AC631" s="139"/>
      <c r="AD631" s="139"/>
      <c r="AE631" s="139"/>
      <c r="AF631" s="139"/>
    </row>
    <row r="632" spans="1:32" ht="12.75">
      <c r="A632" s="136" t="e">
        <f ca="1"/>
        <v>#NAME?</v>
      </c>
      <c r="B632" s="192" t="s">
        <v>912</v>
      </c>
      <c r="C632" s="203">
        <v>12</v>
      </c>
      <c r="D632" s="189" t="s">
        <v>103</v>
      </c>
      <c r="E632" s="178"/>
      <c r="F632" s="179"/>
      <c r="G632" s="178"/>
      <c r="H632" s="199">
        <v>3</v>
      </c>
      <c r="I632" s="203">
        <v>1</v>
      </c>
      <c r="J632" s="197">
        <v>1</v>
      </c>
      <c r="K632" s="197">
        <v>1</v>
      </c>
      <c r="L632" s="199">
        <v>3</v>
      </c>
      <c r="M632" s="203">
        <v>1</v>
      </c>
      <c r="N632" s="197">
        <v>1</v>
      </c>
      <c r="O632" s="197">
        <v>1</v>
      </c>
      <c r="P632" s="199">
        <v>3</v>
      </c>
      <c r="Q632" s="203">
        <v>1</v>
      </c>
      <c r="R632" s="197">
        <v>1</v>
      </c>
      <c r="S632" s="197">
        <v>1</v>
      </c>
      <c r="T632" s="199">
        <v>3</v>
      </c>
      <c r="U632" s="200">
        <v>1</v>
      </c>
      <c r="V632" s="200">
        <v>1</v>
      </c>
      <c r="W632" s="200">
        <v>1</v>
      </c>
      <c r="X632" s="137" t="s">
        <v>122</v>
      </c>
      <c r="Y632" s="155" t="str">
        <f>DB!$D$108</f>
        <v>Epson Genuine Ink (003) Yellow</v>
      </c>
      <c r="Z632" s="152"/>
      <c r="AA632" s="149"/>
      <c r="AB632" s="136"/>
      <c r="AC632" s="139"/>
      <c r="AD632" s="139"/>
      <c r="AE632" s="139"/>
      <c r="AF632" s="139"/>
    </row>
    <row r="633" spans="1:32" ht="12.75">
      <c r="A633" s="136" t="e">
        <f ca="1"/>
        <v>#NAME?</v>
      </c>
      <c r="B633" s="192" t="s">
        <v>913</v>
      </c>
      <c r="C633" s="203">
        <v>12</v>
      </c>
      <c r="D633" s="189" t="s">
        <v>103</v>
      </c>
      <c r="E633" s="178"/>
      <c r="F633" s="179"/>
      <c r="G633" s="178"/>
      <c r="H633" s="199">
        <v>3</v>
      </c>
      <c r="I633" s="203">
        <v>1</v>
      </c>
      <c r="J633" s="197">
        <v>1</v>
      </c>
      <c r="K633" s="197">
        <v>1</v>
      </c>
      <c r="L633" s="199">
        <v>3</v>
      </c>
      <c r="M633" s="203">
        <v>1</v>
      </c>
      <c r="N633" s="197">
        <v>1</v>
      </c>
      <c r="O633" s="197">
        <v>1</v>
      </c>
      <c r="P633" s="199">
        <v>3</v>
      </c>
      <c r="Q633" s="203">
        <v>1</v>
      </c>
      <c r="R633" s="197">
        <v>1</v>
      </c>
      <c r="S633" s="197">
        <v>1</v>
      </c>
      <c r="T633" s="199">
        <v>3</v>
      </c>
      <c r="U633" s="200">
        <v>1</v>
      </c>
      <c r="V633" s="200">
        <v>1</v>
      </c>
      <c r="W633" s="200">
        <v>1</v>
      </c>
      <c r="X633" s="137" t="s">
        <v>122</v>
      </c>
      <c r="Y633" s="155" t="str">
        <f>DB!$D$109</f>
        <v>Epson Genuine Ink (003) Magenta</v>
      </c>
      <c r="Z633" s="152"/>
      <c r="AA633" s="149"/>
      <c r="AB633" s="136"/>
      <c r="AC633" s="139"/>
      <c r="AD633" s="139"/>
      <c r="AE633" s="139"/>
      <c r="AF633" s="139"/>
    </row>
    <row r="634" spans="1:32" ht="25.5">
      <c r="A634" s="136" t="e">
        <f ca="1"/>
        <v>#NAME?</v>
      </c>
      <c r="B634" s="204" t="s">
        <v>454</v>
      </c>
      <c r="C634" s="197">
        <v>24</v>
      </c>
      <c r="D634" s="189" t="s">
        <v>773</v>
      </c>
      <c r="E634" s="178"/>
      <c r="F634" s="179"/>
      <c r="G634" s="178"/>
      <c r="H634" s="199">
        <v>3</v>
      </c>
      <c r="I634" s="203">
        <v>1</v>
      </c>
      <c r="J634" s="197">
        <v>1</v>
      </c>
      <c r="K634" s="197">
        <v>1</v>
      </c>
      <c r="L634" s="199">
        <v>3</v>
      </c>
      <c r="M634" s="203">
        <v>1</v>
      </c>
      <c r="N634" s="197">
        <v>1</v>
      </c>
      <c r="O634" s="197">
        <v>1</v>
      </c>
      <c r="P634" s="199">
        <v>3</v>
      </c>
      <c r="Q634" s="203">
        <v>1</v>
      </c>
      <c r="R634" s="197">
        <v>1</v>
      </c>
      <c r="S634" s="197">
        <v>1</v>
      </c>
      <c r="T634" s="199">
        <v>3</v>
      </c>
      <c r="U634" s="200">
        <v>1</v>
      </c>
      <c r="V634" s="200">
        <v>1</v>
      </c>
      <c r="W634" s="200">
        <v>1</v>
      </c>
      <c r="X634" s="137" t="s">
        <v>122</v>
      </c>
      <c r="Y634" s="155" t="str">
        <f>DB!$D$177</f>
        <v>EPSON LQ310 Ribbon Cartridge (SO15634)</v>
      </c>
      <c r="Z634" s="154"/>
      <c r="AA634" s="149"/>
      <c r="AB634" s="136"/>
      <c r="AC634" s="139"/>
      <c r="AD634" s="139"/>
      <c r="AE634" s="139"/>
      <c r="AF634" s="139"/>
    </row>
    <row r="635" spans="1:32" ht="12.75">
      <c r="A635" s="136" t="e">
        <f ca="1"/>
        <v>#NAME?</v>
      </c>
      <c r="B635" s="188" t="s">
        <v>914</v>
      </c>
      <c r="C635" s="203">
        <v>1</v>
      </c>
      <c r="D635" s="189" t="s">
        <v>155</v>
      </c>
      <c r="E635" s="178"/>
      <c r="F635" s="179"/>
      <c r="G635" s="178"/>
      <c r="H635" s="199">
        <v>1</v>
      </c>
      <c r="I635" s="203">
        <v>1</v>
      </c>
      <c r="J635" s="197"/>
      <c r="K635" s="197"/>
      <c r="L635" s="199">
        <v>0</v>
      </c>
      <c r="M635" s="203"/>
      <c r="N635" s="197"/>
      <c r="O635" s="197"/>
      <c r="P635" s="199">
        <v>0</v>
      </c>
      <c r="Q635" s="203"/>
      <c r="R635" s="197"/>
      <c r="S635" s="197"/>
      <c r="T635" s="199">
        <v>0</v>
      </c>
      <c r="U635" s="200"/>
      <c r="V635" s="200"/>
      <c r="W635" s="200"/>
      <c r="X635" s="137" t="s">
        <v>122</v>
      </c>
      <c r="Y635" s="155" t="str">
        <f>DB!$D$40</f>
        <v>21.5" FHD LED Monitor</v>
      </c>
      <c r="Z635" s="154"/>
      <c r="AA635" s="149"/>
      <c r="AB635" s="136"/>
      <c r="AC635" s="139"/>
      <c r="AD635" s="139"/>
      <c r="AE635" s="139"/>
      <c r="AF635" s="139"/>
    </row>
    <row r="636" spans="1:32" ht="12.75">
      <c r="A636" s="136" t="e">
        <f ca="1"/>
        <v>#NAME?</v>
      </c>
      <c r="B636" s="230" t="s">
        <v>523</v>
      </c>
      <c r="C636" s="212">
        <v>1</v>
      </c>
      <c r="D636" s="208" t="s">
        <v>155</v>
      </c>
      <c r="E636" s="178"/>
      <c r="F636" s="179"/>
      <c r="G636" s="178"/>
      <c r="H636" s="233">
        <v>1</v>
      </c>
      <c r="I636" s="212">
        <v>1</v>
      </c>
      <c r="J636" s="207"/>
      <c r="K636" s="197"/>
      <c r="L636" s="199">
        <v>0</v>
      </c>
      <c r="M636" s="203"/>
      <c r="N636" s="197"/>
      <c r="O636" s="197"/>
      <c r="P636" s="199">
        <v>0</v>
      </c>
      <c r="Q636" s="203"/>
      <c r="R636" s="197"/>
      <c r="S636" s="197"/>
      <c r="T636" s="199">
        <v>0</v>
      </c>
      <c r="U636" s="200"/>
      <c r="V636" s="200"/>
      <c r="W636" s="200"/>
      <c r="X636" s="137" t="s">
        <v>122</v>
      </c>
      <c r="Y636" s="164"/>
      <c r="Z636" s="154" t="s">
        <v>453</v>
      </c>
      <c r="AA636" s="149"/>
      <c r="AB636" s="136"/>
      <c r="AC636" s="139"/>
      <c r="AD636" s="139"/>
      <c r="AE636" s="139"/>
      <c r="AF636" s="139"/>
    </row>
    <row r="637" spans="1:32" ht="12.75">
      <c r="A637" s="136" t="e">
        <f ca="1"/>
        <v>#NAME?</v>
      </c>
      <c r="B637" s="188" t="s">
        <v>915</v>
      </c>
      <c r="C637" s="198">
        <v>1</v>
      </c>
      <c r="D637" s="198" t="s">
        <v>155</v>
      </c>
      <c r="E637" s="178"/>
      <c r="F637" s="179"/>
      <c r="G637" s="178"/>
      <c r="H637" s="158">
        <v>1</v>
      </c>
      <c r="I637" s="232">
        <v>1</v>
      </c>
      <c r="J637" s="198"/>
      <c r="K637" s="203"/>
      <c r="L637" s="199">
        <v>0</v>
      </c>
      <c r="M637" s="203"/>
      <c r="N637" s="197"/>
      <c r="O637" s="197"/>
      <c r="P637" s="199">
        <v>0</v>
      </c>
      <c r="Q637" s="203"/>
      <c r="R637" s="197"/>
      <c r="S637" s="197"/>
      <c r="T637" s="199">
        <v>0</v>
      </c>
      <c r="U637" s="200"/>
      <c r="V637" s="200"/>
      <c r="W637" s="200"/>
      <c r="X637" s="137" t="s">
        <v>122</v>
      </c>
      <c r="Y637" s="141" t="str">
        <f>DB!$D$168</f>
        <v>Keyboard, Full Size, USB 2.0</v>
      </c>
      <c r="Z637" s="154"/>
      <c r="AA637" s="149"/>
      <c r="AB637" s="136"/>
      <c r="AC637" s="139"/>
      <c r="AD637" s="139"/>
      <c r="AE637" s="139"/>
      <c r="AF637" s="139"/>
    </row>
    <row r="638" spans="1:32" ht="12.75">
      <c r="A638" s="136" t="e">
        <f ca="1"/>
        <v>#NAME?</v>
      </c>
      <c r="B638" s="192" t="s">
        <v>916</v>
      </c>
      <c r="C638" s="203">
        <v>1</v>
      </c>
      <c r="D638" s="189" t="s">
        <v>155</v>
      </c>
      <c r="E638" s="178"/>
      <c r="F638" s="179"/>
      <c r="G638" s="178"/>
      <c r="H638" s="199">
        <v>0</v>
      </c>
      <c r="I638" s="203"/>
      <c r="J638" s="197"/>
      <c r="K638" s="197"/>
      <c r="L638" s="199">
        <v>0</v>
      </c>
      <c r="M638" s="203"/>
      <c r="N638" s="197"/>
      <c r="O638" s="197"/>
      <c r="P638" s="199">
        <v>0</v>
      </c>
      <c r="Q638" s="203"/>
      <c r="R638" s="197"/>
      <c r="S638" s="197"/>
      <c r="T638" s="199">
        <v>0</v>
      </c>
      <c r="U638" s="200"/>
      <c r="V638" s="200"/>
      <c r="W638" s="200"/>
      <c r="X638" s="137" t="s">
        <v>122</v>
      </c>
      <c r="Y638" s="141" t="str">
        <f>DB!$D$169</f>
        <v>Mouse, Optical, USB 2.0</v>
      </c>
      <c r="Z638" s="154"/>
      <c r="AA638" s="149"/>
      <c r="AB638" s="136"/>
      <c r="AC638" s="139"/>
      <c r="AD638" s="139"/>
      <c r="AE638" s="139"/>
      <c r="AF638" s="139"/>
    </row>
    <row r="639" spans="1:32" ht="12.75">
      <c r="A639" s="136" t="e">
        <f ca="1"/>
        <v>#NAME?</v>
      </c>
      <c r="B639" s="192" t="s">
        <v>917</v>
      </c>
      <c r="C639" s="203">
        <v>1</v>
      </c>
      <c r="D639" s="189" t="s">
        <v>155</v>
      </c>
      <c r="E639" s="179"/>
      <c r="F639" s="179"/>
      <c r="G639" s="178"/>
      <c r="H639" s="199">
        <v>0</v>
      </c>
      <c r="I639" s="203"/>
      <c r="J639" s="197"/>
      <c r="K639" s="197"/>
      <c r="L639" s="199">
        <v>0</v>
      </c>
      <c r="M639" s="203"/>
      <c r="N639" s="197"/>
      <c r="O639" s="197"/>
      <c r="P639" s="199">
        <v>0</v>
      </c>
      <c r="Q639" s="203"/>
      <c r="R639" s="197"/>
      <c r="S639" s="197"/>
      <c r="T639" s="199">
        <v>0</v>
      </c>
      <c r="U639" s="200"/>
      <c r="V639" s="200"/>
      <c r="W639" s="200"/>
      <c r="X639" s="137" t="s">
        <v>122</v>
      </c>
      <c r="Y639" s="155"/>
      <c r="Z639" s="154" t="s">
        <v>453</v>
      </c>
      <c r="AA639" s="149"/>
      <c r="AB639" s="136"/>
      <c r="AC639" s="139"/>
      <c r="AD639" s="139"/>
      <c r="AE639" s="139"/>
      <c r="AF639" s="139"/>
    </row>
    <row r="640" spans="1:32" ht="12.75">
      <c r="A640" s="136" t="e">
        <f ca="1"/>
        <v>#NAME?</v>
      </c>
      <c r="B640" s="192" t="s">
        <v>918</v>
      </c>
      <c r="C640" s="203">
        <v>1</v>
      </c>
      <c r="D640" s="189" t="s">
        <v>155</v>
      </c>
      <c r="E640" s="179"/>
      <c r="F640" s="179"/>
      <c r="G640" s="178"/>
      <c r="H640" s="199">
        <v>0</v>
      </c>
      <c r="I640" s="203"/>
      <c r="J640" s="197"/>
      <c r="K640" s="197"/>
      <c r="L640" s="199">
        <v>0</v>
      </c>
      <c r="M640" s="203"/>
      <c r="N640" s="197"/>
      <c r="O640" s="197"/>
      <c r="P640" s="199">
        <v>0</v>
      </c>
      <c r="Q640" s="203"/>
      <c r="R640" s="197"/>
      <c r="S640" s="197"/>
      <c r="T640" s="199">
        <v>0</v>
      </c>
      <c r="U640" s="200"/>
      <c r="V640" s="200"/>
      <c r="W640" s="200"/>
      <c r="X640" s="137" t="s">
        <v>122</v>
      </c>
      <c r="Y640" s="163" t="str">
        <f>DB!$D$37</f>
        <v>Single Line Telephone (Black)</v>
      </c>
      <c r="Z640" s="154"/>
      <c r="AA640" s="149"/>
      <c r="AB640" s="136"/>
      <c r="AC640" s="139"/>
      <c r="AD640" s="139"/>
      <c r="AE640" s="139"/>
      <c r="AF640" s="139"/>
    </row>
    <row r="641" spans="1:32" ht="12.75">
      <c r="A641" s="136" t="e">
        <f ca="1"/>
        <v>#NAME?</v>
      </c>
      <c r="B641" s="192" t="s">
        <v>919</v>
      </c>
      <c r="C641" s="203">
        <v>1</v>
      </c>
      <c r="D641" s="189" t="s">
        <v>155</v>
      </c>
      <c r="E641" s="178"/>
      <c r="F641" s="179"/>
      <c r="G641" s="178"/>
      <c r="H641" s="199">
        <v>0</v>
      </c>
      <c r="I641" s="203"/>
      <c r="J641" s="197"/>
      <c r="K641" s="197"/>
      <c r="L641" s="199">
        <v>0</v>
      </c>
      <c r="M641" s="203"/>
      <c r="N641" s="197"/>
      <c r="O641" s="197"/>
      <c r="P641" s="199">
        <v>0</v>
      </c>
      <c r="Q641" s="203"/>
      <c r="R641" s="197"/>
      <c r="S641" s="197"/>
      <c r="T641" s="199">
        <v>0</v>
      </c>
      <c r="U641" s="200"/>
      <c r="V641" s="200"/>
      <c r="W641" s="200"/>
      <c r="X641" s="137" t="s">
        <v>122</v>
      </c>
      <c r="Y641" s="155" t="str">
        <f>DB!$D$276</f>
        <v>Ink Tank Printer</v>
      </c>
      <c r="Z641" s="154" t="s">
        <v>469</v>
      </c>
      <c r="AA641" s="149"/>
      <c r="AB641" s="136"/>
      <c r="AC641" s="139"/>
      <c r="AD641" s="139"/>
      <c r="AE641" s="139"/>
      <c r="AF641" s="139"/>
    </row>
    <row r="642" spans="1:32" ht="12.75">
      <c r="A642" s="136" t="e">
        <f ca="1"/>
        <v>#NAME?</v>
      </c>
      <c r="B642" s="188" t="s">
        <v>910</v>
      </c>
      <c r="C642" s="203">
        <v>30</v>
      </c>
      <c r="D642" s="189" t="s">
        <v>103</v>
      </c>
      <c r="E642" s="178"/>
      <c r="F642" s="179"/>
      <c r="G642" s="178"/>
      <c r="H642" s="158">
        <v>10</v>
      </c>
      <c r="I642" s="203">
        <v>6</v>
      </c>
      <c r="J642" s="197">
        <v>2</v>
      </c>
      <c r="K642" s="197">
        <v>2</v>
      </c>
      <c r="L642" s="158">
        <v>6</v>
      </c>
      <c r="M642" s="203">
        <v>2</v>
      </c>
      <c r="N642" s="197">
        <v>2</v>
      </c>
      <c r="O642" s="197">
        <v>2</v>
      </c>
      <c r="P642" s="158">
        <v>8</v>
      </c>
      <c r="Q642" s="203">
        <v>2</v>
      </c>
      <c r="R642" s="197">
        <v>2</v>
      </c>
      <c r="S642" s="197">
        <v>4</v>
      </c>
      <c r="T642" s="158">
        <v>6</v>
      </c>
      <c r="U642" s="198">
        <v>2</v>
      </c>
      <c r="V642" s="198">
        <v>2</v>
      </c>
      <c r="W642" s="198">
        <v>2</v>
      </c>
      <c r="X642" s="137" t="s">
        <v>207</v>
      </c>
      <c r="Y642" s="155" t="str">
        <f>DB!$D$106</f>
        <v>Epson Genuine Ink (003) Black</v>
      </c>
      <c r="Z642" s="154"/>
      <c r="AA642" s="149"/>
      <c r="AB642" s="136"/>
      <c r="AC642" s="139"/>
      <c r="AD642" s="139"/>
      <c r="AE642" s="139"/>
      <c r="AF642" s="139"/>
    </row>
    <row r="643" spans="1:32" ht="12.75">
      <c r="A643" s="136" t="e">
        <f ca="1"/>
        <v>#NAME?</v>
      </c>
      <c r="B643" s="192" t="s">
        <v>911</v>
      </c>
      <c r="C643" s="203">
        <v>12</v>
      </c>
      <c r="D643" s="189" t="s">
        <v>103</v>
      </c>
      <c r="E643" s="179"/>
      <c r="F643" s="179"/>
      <c r="G643" s="178"/>
      <c r="H643" s="199">
        <v>3</v>
      </c>
      <c r="I643" s="203">
        <v>1</v>
      </c>
      <c r="J643" s="197">
        <v>1</v>
      </c>
      <c r="K643" s="197">
        <v>1</v>
      </c>
      <c r="L643" s="199">
        <v>3</v>
      </c>
      <c r="M643" s="203">
        <v>1</v>
      </c>
      <c r="N643" s="197">
        <v>1</v>
      </c>
      <c r="O643" s="197">
        <v>1</v>
      </c>
      <c r="P643" s="199">
        <v>3</v>
      </c>
      <c r="Q643" s="203">
        <v>1</v>
      </c>
      <c r="R643" s="197">
        <v>1</v>
      </c>
      <c r="S643" s="197">
        <v>1</v>
      </c>
      <c r="T643" s="199">
        <v>3</v>
      </c>
      <c r="U643" s="200">
        <v>1</v>
      </c>
      <c r="V643" s="200">
        <v>1</v>
      </c>
      <c r="W643" s="200">
        <v>1</v>
      </c>
      <c r="X643" s="137" t="s">
        <v>207</v>
      </c>
      <c r="Y643" s="155" t="str">
        <f>DB!$D$107</f>
        <v>Epson Genuine Ink (003) Cyan</v>
      </c>
      <c r="Z643" s="154"/>
      <c r="AA643" s="149"/>
      <c r="AB643" s="136"/>
      <c r="AC643" s="139"/>
      <c r="AD643" s="139"/>
      <c r="AE643" s="139"/>
      <c r="AF643" s="139"/>
    </row>
    <row r="644" spans="1:32" ht="12.75">
      <c r="A644" s="136" t="e">
        <f ca="1"/>
        <v>#NAME?</v>
      </c>
      <c r="B644" s="192" t="s">
        <v>912</v>
      </c>
      <c r="C644" s="203">
        <v>12</v>
      </c>
      <c r="D644" s="189" t="s">
        <v>103</v>
      </c>
      <c r="E644" s="178"/>
      <c r="F644" s="179"/>
      <c r="G644" s="178"/>
      <c r="H644" s="199">
        <v>3</v>
      </c>
      <c r="I644" s="203">
        <v>1</v>
      </c>
      <c r="J644" s="197">
        <v>1</v>
      </c>
      <c r="K644" s="197">
        <v>1</v>
      </c>
      <c r="L644" s="199">
        <v>3</v>
      </c>
      <c r="M644" s="203">
        <v>1</v>
      </c>
      <c r="N644" s="197">
        <v>1</v>
      </c>
      <c r="O644" s="197">
        <v>1</v>
      </c>
      <c r="P644" s="199">
        <v>3</v>
      </c>
      <c r="Q644" s="203">
        <v>1</v>
      </c>
      <c r="R644" s="197">
        <v>1</v>
      </c>
      <c r="S644" s="197">
        <v>1</v>
      </c>
      <c r="T644" s="199">
        <v>3</v>
      </c>
      <c r="U644" s="200">
        <v>1</v>
      </c>
      <c r="V644" s="200">
        <v>1</v>
      </c>
      <c r="W644" s="200">
        <v>1</v>
      </c>
      <c r="X644" s="137" t="s">
        <v>207</v>
      </c>
      <c r="Y644" s="155" t="str">
        <f>DB!$D$108</f>
        <v>Epson Genuine Ink (003) Yellow</v>
      </c>
      <c r="Z644" s="154"/>
      <c r="AA644" s="149"/>
      <c r="AB644" s="136"/>
      <c r="AC644" s="139"/>
      <c r="AD644" s="139"/>
      <c r="AE644" s="139"/>
      <c r="AF644" s="139"/>
    </row>
    <row r="645" spans="1:32" ht="12.75">
      <c r="A645" s="136" t="e">
        <f ca="1"/>
        <v>#NAME?</v>
      </c>
      <c r="B645" s="192" t="s">
        <v>913</v>
      </c>
      <c r="C645" s="203">
        <v>12</v>
      </c>
      <c r="D645" s="189" t="s">
        <v>103</v>
      </c>
      <c r="E645" s="178"/>
      <c r="F645" s="178"/>
      <c r="G645" s="178"/>
      <c r="H645" s="199">
        <v>3</v>
      </c>
      <c r="I645" s="203">
        <v>1</v>
      </c>
      <c r="J645" s="197">
        <v>1</v>
      </c>
      <c r="K645" s="197">
        <v>1</v>
      </c>
      <c r="L645" s="199">
        <v>3</v>
      </c>
      <c r="M645" s="203">
        <v>1</v>
      </c>
      <c r="N645" s="197">
        <v>1</v>
      </c>
      <c r="O645" s="197">
        <v>1</v>
      </c>
      <c r="P645" s="199">
        <v>3</v>
      </c>
      <c r="Q645" s="203">
        <v>1</v>
      </c>
      <c r="R645" s="197">
        <v>1</v>
      </c>
      <c r="S645" s="197">
        <v>1</v>
      </c>
      <c r="T645" s="199">
        <v>3</v>
      </c>
      <c r="U645" s="200">
        <v>1</v>
      </c>
      <c r="V645" s="200">
        <v>1</v>
      </c>
      <c r="W645" s="200">
        <v>1</v>
      </c>
      <c r="X645" s="137" t="s">
        <v>207</v>
      </c>
      <c r="Y645" s="155" t="str">
        <f>DB!$D$109</f>
        <v>Epson Genuine Ink (003) Magenta</v>
      </c>
      <c r="Z645" s="154"/>
      <c r="AA645" s="149"/>
      <c r="AB645" s="136"/>
      <c r="AC645" s="139"/>
      <c r="AD645" s="139"/>
      <c r="AE645" s="139"/>
      <c r="AF645" s="139"/>
    </row>
    <row r="646" spans="1:32" ht="25.5">
      <c r="A646" s="136" t="e">
        <f ca="1"/>
        <v>#NAME?</v>
      </c>
      <c r="B646" s="204" t="s">
        <v>454</v>
      </c>
      <c r="C646" s="197">
        <v>24</v>
      </c>
      <c r="D646" s="189" t="s">
        <v>773</v>
      </c>
      <c r="E646" s="179"/>
      <c r="F646" s="179"/>
      <c r="G646" s="178"/>
      <c r="H646" s="199">
        <v>3</v>
      </c>
      <c r="I646" s="203">
        <v>1</v>
      </c>
      <c r="J646" s="197">
        <v>1</v>
      </c>
      <c r="K646" s="197">
        <v>1</v>
      </c>
      <c r="L646" s="199">
        <v>3</v>
      </c>
      <c r="M646" s="203">
        <v>1</v>
      </c>
      <c r="N646" s="197">
        <v>1</v>
      </c>
      <c r="O646" s="197">
        <v>1</v>
      </c>
      <c r="P646" s="199">
        <v>3</v>
      </c>
      <c r="Q646" s="203">
        <v>1</v>
      </c>
      <c r="R646" s="197">
        <v>1</v>
      </c>
      <c r="S646" s="197">
        <v>1</v>
      </c>
      <c r="T646" s="199">
        <v>3</v>
      </c>
      <c r="U646" s="200">
        <v>1</v>
      </c>
      <c r="V646" s="200">
        <v>1</v>
      </c>
      <c r="W646" s="200">
        <v>1</v>
      </c>
      <c r="X646" s="137" t="s">
        <v>207</v>
      </c>
      <c r="Y646" s="155" t="str">
        <f>DB!$D$177</f>
        <v>EPSON LQ310 Ribbon Cartridge (SO15634)</v>
      </c>
      <c r="Z646" s="154"/>
      <c r="AA646" s="149"/>
      <c r="AB646" s="136"/>
      <c r="AC646" s="139"/>
      <c r="AD646" s="139"/>
      <c r="AE646" s="139"/>
      <c r="AF646" s="139"/>
    </row>
    <row r="647" spans="1:32" ht="12.75">
      <c r="A647" s="136" t="e">
        <f ca="1"/>
        <v>#NAME?</v>
      </c>
      <c r="B647" s="195" t="s">
        <v>920</v>
      </c>
      <c r="C647" s="198" t="s">
        <v>103</v>
      </c>
      <c r="D647" s="198">
        <v>2</v>
      </c>
      <c r="E647" s="182"/>
      <c r="F647" s="182"/>
      <c r="G647" s="178"/>
      <c r="H647" s="151">
        <v>2</v>
      </c>
      <c r="I647" s="198">
        <v>2</v>
      </c>
      <c r="J647" s="198"/>
      <c r="K647" s="198"/>
      <c r="L647" s="198"/>
      <c r="M647" s="198"/>
      <c r="N647" s="198"/>
      <c r="O647" s="198"/>
      <c r="P647" s="198"/>
      <c r="Q647" s="198"/>
      <c r="R647" s="198"/>
      <c r="S647" s="198"/>
      <c r="T647" s="198"/>
      <c r="U647" s="198"/>
      <c r="V647" s="198"/>
      <c r="W647" s="198"/>
      <c r="X647" s="137" t="s">
        <v>213</v>
      </c>
      <c r="Y647" s="163" t="str">
        <f>DB!$D$6</f>
        <v>UPS 650VA, AVR, 230V</v>
      </c>
      <c r="Z647" s="154"/>
      <c r="AA647" s="149"/>
      <c r="AB647" s="136"/>
      <c r="AC647" s="139"/>
      <c r="AD647" s="139"/>
      <c r="AE647" s="139"/>
      <c r="AF647" s="139"/>
    </row>
    <row r="648" spans="1:32" ht="12.75">
      <c r="A648" s="136" t="e">
        <f ca="1"/>
        <v>#NAME?</v>
      </c>
      <c r="B648" s="221" t="s">
        <v>720</v>
      </c>
      <c r="C648" s="200" t="s">
        <v>103</v>
      </c>
      <c r="D648" s="200">
        <v>480</v>
      </c>
      <c r="E648" s="178"/>
      <c r="F648" s="179"/>
      <c r="G648" s="178"/>
      <c r="H648" s="189">
        <v>9</v>
      </c>
      <c r="I648" s="200">
        <v>3</v>
      </c>
      <c r="J648" s="200">
        <v>3</v>
      </c>
      <c r="K648" s="200">
        <v>3</v>
      </c>
      <c r="L648" s="200">
        <v>9</v>
      </c>
      <c r="M648" s="200">
        <v>3</v>
      </c>
      <c r="N648" s="200">
        <v>3</v>
      </c>
      <c r="O648" s="200">
        <v>3</v>
      </c>
      <c r="P648" s="200">
        <v>9</v>
      </c>
      <c r="Q648" s="200">
        <v>3</v>
      </c>
      <c r="R648" s="200">
        <v>3</v>
      </c>
      <c r="S648" s="200">
        <v>3</v>
      </c>
      <c r="T648" s="200">
        <v>9</v>
      </c>
      <c r="U648" s="200">
        <v>3</v>
      </c>
      <c r="V648" s="200">
        <v>3</v>
      </c>
      <c r="W648" s="200">
        <v>3</v>
      </c>
      <c r="X648" s="137" t="s">
        <v>213</v>
      </c>
      <c r="Y648" s="155" t="str">
        <f>DB!$D$102</f>
        <v>Epson Genuine Ink T6641 Black</v>
      </c>
      <c r="Z648" s="154"/>
      <c r="AA648" s="149"/>
      <c r="AB648" s="136"/>
      <c r="AC648" s="139"/>
      <c r="AD648" s="139"/>
      <c r="AE648" s="139"/>
      <c r="AF648" s="139"/>
    </row>
    <row r="649" spans="1:32" ht="12.75">
      <c r="A649" s="136" t="e">
        <f ca="1"/>
        <v>#NAME?</v>
      </c>
      <c r="B649" s="192" t="s">
        <v>721</v>
      </c>
      <c r="C649" s="200" t="s">
        <v>103</v>
      </c>
      <c r="D649" s="200">
        <v>480</v>
      </c>
      <c r="E649" s="178"/>
      <c r="F649" s="179"/>
      <c r="G649" s="178"/>
      <c r="H649" s="189">
        <v>6</v>
      </c>
      <c r="I649" s="200">
        <v>2</v>
      </c>
      <c r="J649" s="200">
        <v>2</v>
      </c>
      <c r="K649" s="200">
        <v>2</v>
      </c>
      <c r="L649" s="200">
        <v>6</v>
      </c>
      <c r="M649" s="200">
        <v>2</v>
      </c>
      <c r="N649" s="200">
        <v>2</v>
      </c>
      <c r="O649" s="200">
        <v>2</v>
      </c>
      <c r="P649" s="200">
        <v>6</v>
      </c>
      <c r="Q649" s="200">
        <v>2</v>
      </c>
      <c r="R649" s="200">
        <v>2</v>
      </c>
      <c r="S649" s="200">
        <v>2</v>
      </c>
      <c r="T649" s="200">
        <v>6</v>
      </c>
      <c r="U649" s="200">
        <v>2</v>
      </c>
      <c r="V649" s="200">
        <v>2</v>
      </c>
      <c r="W649" s="200">
        <v>2</v>
      </c>
      <c r="X649" s="137" t="s">
        <v>213</v>
      </c>
      <c r="Y649" s="155" t="str">
        <f>DB!$D$103</f>
        <v>Epson Genuine Ink T6642 Cyan</v>
      </c>
      <c r="Z649" s="154"/>
      <c r="AA649" s="149"/>
      <c r="AB649" s="136"/>
      <c r="AC649" s="139"/>
      <c r="AD649" s="139"/>
      <c r="AE649" s="139"/>
      <c r="AF649" s="139"/>
    </row>
    <row r="650" spans="1:32" ht="12.75">
      <c r="A650" s="136" t="e">
        <f ca="1"/>
        <v>#NAME?</v>
      </c>
      <c r="B650" s="192" t="s">
        <v>722</v>
      </c>
      <c r="C650" s="200" t="s">
        <v>103</v>
      </c>
      <c r="D650" s="200">
        <v>480</v>
      </c>
      <c r="E650" s="179"/>
      <c r="F650" s="179"/>
      <c r="G650" s="178"/>
      <c r="H650" s="189">
        <v>6</v>
      </c>
      <c r="I650" s="200">
        <v>2</v>
      </c>
      <c r="J650" s="200">
        <v>2</v>
      </c>
      <c r="K650" s="200">
        <v>2</v>
      </c>
      <c r="L650" s="200">
        <v>3</v>
      </c>
      <c r="M650" s="200">
        <v>2</v>
      </c>
      <c r="N650" s="200">
        <v>2</v>
      </c>
      <c r="O650" s="200">
        <v>2</v>
      </c>
      <c r="P650" s="200">
        <v>3</v>
      </c>
      <c r="Q650" s="200">
        <v>2</v>
      </c>
      <c r="R650" s="200">
        <v>2</v>
      </c>
      <c r="S650" s="200">
        <v>2</v>
      </c>
      <c r="T650" s="200">
        <v>3</v>
      </c>
      <c r="U650" s="200">
        <v>2</v>
      </c>
      <c r="V650" s="200">
        <v>2</v>
      </c>
      <c r="W650" s="200">
        <v>2</v>
      </c>
      <c r="X650" s="137" t="s">
        <v>213</v>
      </c>
      <c r="Y650" s="155" t="str">
        <f>DB!$D$104</f>
        <v>Epson Genuine Ink T6643 Magenta</v>
      </c>
      <c r="Z650" s="154"/>
      <c r="AA650" s="149"/>
      <c r="AB650" s="136"/>
      <c r="AC650" s="139"/>
      <c r="AD650" s="139"/>
      <c r="AE650" s="139"/>
      <c r="AF650" s="139"/>
    </row>
    <row r="651" spans="1:32" ht="12.75">
      <c r="A651" s="136" t="e">
        <f ca="1"/>
        <v>#NAME?</v>
      </c>
      <c r="B651" s="192" t="s">
        <v>723</v>
      </c>
      <c r="C651" s="200" t="s">
        <v>103</v>
      </c>
      <c r="D651" s="200">
        <v>480</v>
      </c>
      <c r="E651" s="179"/>
      <c r="F651" s="179"/>
      <c r="G651" s="178"/>
      <c r="H651" s="189">
        <v>6</v>
      </c>
      <c r="I651" s="200">
        <v>2</v>
      </c>
      <c r="J651" s="200">
        <v>2</v>
      </c>
      <c r="K651" s="200">
        <v>2</v>
      </c>
      <c r="L651" s="200">
        <v>6</v>
      </c>
      <c r="M651" s="200">
        <v>2</v>
      </c>
      <c r="N651" s="200">
        <v>2</v>
      </c>
      <c r="O651" s="200">
        <v>2</v>
      </c>
      <c r="P651" s="200">
        <v>6</v>
      </c>
      <c r="Q651" s="200">
        <v>2</v>
      </c>
      <c r="R651" s="200">
        <v>2</v>
      </c>
      <c r="S651" s="200">
        <v>2</v>
      </c>
      <c r="T651" s="200">
        <v>6</v>
      </c>
      <c r="U651" s="200">
        <v>2</v>
      </c>
      <c r="V651" s="200">
        <v>2</v>
      </c>
      <c r="W651" s="200">
        <v>2</v>
      </c>
      <c r="X651" s="137" t="s">
        <v>213</v>
      </c>
      <c r="Y651" s="155" t="str">
        <f>DB!$D$105</f>
        <v>Epson Genuine Ink T6644 Yellow</v>
      </c>
      <c r="Z651" s="154"/>
      <c r="AA651" s="149"/>
      <c r="AB651" s="136"/>
      <c r="AC651" s="139"/>
      <c r="AD651" s="139"/>
      <c r="AE651" s="139"/>
      <c r="AF651" s="139"/>
    </row>
    <row r="652" spans="1:32" ht="12.75">
      <c r="A652" s="136" t="e">
        <f ca="1"/>
        <v>#NAME?</v>
      </c>
      <c r="B652" s="188" t="s">
        <v>234</v>
      </c>
      <c r="C652" s="203">
        <v>2</v>
      </c>
      <c r="D652" s="189" t="s">
        <v>103</v>
      </c>
      <c r="E652" s="179"/>
      <c r="F652" s="179"/>
      <c r="G652" s="178"/>
      <c r="H652" s="158">
        <v>1</v>
      </c>
      <c r="I652" s="203">
        <v>1</v>
      </c>
      <c r="J652" s="197"/>
      <c r="K652" s="197"/>
      <c r="L652" s="158">
        <v>0</v>
      </c>
      <c r="M652" s="203"/>
      <c r="N652" s="197"/>
      <c r="O652" s="197"/>
      <c r="P652" s="158">
        <v>1</v>
      </c>
      <c r="Q652" s="203">
        <v>1</v>
      </c>
      <c r="R652" s="197"/>
      <c r="S652" s="197"/>
      <c r="T652" s="158">
        <v>0</v>
      </c>
      <c r="U652" s="198"/>
      <c r="V652" s="198"/>
      <c r="W652" s="198"/>
      <c r="X652" s="137" t="s">
        <v>127</v>
      </c>
      <c r="Y652" s="141" t="str">
        <f>DB!$D$168</f>
        <v>Keyboard, Full Size, USB 2.0</v>
      </c>
      <c r="Z652" s="154"/>
      <c r="AA652" s="149"/>
      <c r="AB652" s="136"/>
      <c r="AC652" s="139"/>
      <c r="AD652" s="139"/>
      <c r="AE652" s="139"/>
      <c r="AF652" s="139"/>
    </row>
    <row r="653" spans="1:32" ht="12.75">
      <c r="A653" s="136" t="e">
        <f ca="1"/>
        <v>#NAME?</v>
      </c>
      <c r="B653" s="192" t="s">
        <v>239</v>
      </c>
      <c r="C653" s="203">
        <v>2</v>
      </c>
      <c r="D653" s="189" t="s">
        <v>103</v>
      </c>
      <c r="E653" s="179"/>
      <c r="F653" s="179"/>
      <c r="G653" s="178"/>
      <c r="H653" s="199">
        <v>1</v>
      </c>
      <c r="I653" s="203">
        <v>1</v>
      </c>
      <c r="J653" s="197"/>
      <c r="K653" s="197"/>
      <c r="L653" s="199">
        <v>0</v>
      </c>
      <c r="M653" s="203"/>
      <c r="N653" s="197"/>
      <c r="O653" s="197"/>
      <c r="P653" s="199">
        <v>1</v>
      </c>
      <c r="Q653" s="203">
        <v>1</v>
      </c>
      <c r="R653" s="197"/>
      <c r="S653" s="197"/>
      <c r="T653" s="199">
        <v>0</v>
      </c>
      <c r="U653" s="200"/>
      <c r="V653" s="200"/>
      <c r="W653" s="200"/>
      <c r="X653" s="137" t="s">
        <v>127</v>
      </c>
      <c r="Y653" s="141" t="str">
        <f>DB!$D$169</f>
        <v>Mouse, Optical, USB 2.0</v>
      </c>
      <c r="Z653" s="154"/>
      <c r="AA653" s="149"/>
      <c r="AB653" s="136"/>
      <c r="AC653" s="139"/>
      <c r="AD653" s="139"/>
      <c r="AE653" s="139"/>
      <c r="AF653" s="139"/>
    </row>
    <row r="654" spans="1:32" ht="12.75">
      <c r="A654" s="136" t="e">
        <f ca="1"/>
        <v>#NAME?</v>
      </c>
      <c r="B654" s="192" t="s">
        <v>493</v>
      </c>
      <c r="C654" s="203">
        <v>1</v>
      </c>
      <c r="D654" s="189" t="s">
        <v>103</v>
      </c>
      <c r="E654" s="179"/>
      <c r="F654" s="179"/>
      <c r="G654" s="178"/>
      <c r="H654" s="199">
        <v>1</v>
      </c>
      <c r="I654" s="203">
        <v>1</v>
      </c>
      <c r="J654" s="197"/>
      <c r="K654" s="197"/>
      <c r="L654" s="199">
        <v>0</v>
      </c>
      <c r="M654" s="203"/>
      <c r="N654" s="197"/>
      <c r="O654" s="197"/>
      <c r="P654" s="199">
        <v>0</v>
      </c>
      <c r="Q654" s="203"/>
      <c r="R654" s="197"/>
      <c r="S654" s="197"/>
      <c r="T654" s="199">
        <v>0</v>
      </c>
      <c r="U654" s="200"/>
      <c r="V654" s="200"/>
      <c r="W654" s="200"/>
      <c r="X654" s="137" t="s">
        <v>127</v>
      </c>
      <c r="Y654" s="155" t="str">
        <f>DB!$D$276</f>
        <v>Ink Tank Printer</v>
      </c>
      <c r="Z654" s="154" t="s">
        <v>469</v>
      </c>
      <c r="AA654" s="149"/>
      <c r="AB654" s="136"/>
      <c r="AC654" s="139"/>
      <c r="AD654" s="139"/>
      <c r="AE654" s="139"/>
      <c r="AF654" s="139"/>
    </row>
    <row r="655" spans="1:32" ht="12.75">
      <c r="A655" s="136" t="e">
        <f ca="1"/>
        <v>#NAME?</v>
      </c>
      <c r="B655" s="192" t="s">
        <v>568</v>
      </c>
      <c r="C655" s="203">
        <v>2</v>
      </c>
      <c r="D655" s="189" t="s">
        <v>103</v>
      </c>
      <c r="E655" s="231"/>
      <c r="F655" s="234"/>
      <c r="G655" s="214"/>
      <c r="H655" s="199">
        <v>1</v>
      </c>
      <c r="I655" s="203">
        <v>1</v>
      </c>
      <c r="J655" s="197"/>
      <c r="K655" s="197"/>
      <c r="L655" s="199">
        <v>0</v>
      </c>
      <c r="M655" s="203"/>
      <c r="N655" s="197"/>
      <c r="O655" s="197"/>
      <c r="P655" s="199">
        <v>1</v>
      </c>
      <c r="Q655" s="203">
        <v>1</v>
      </c>
      <c r="R655" s="197"/>
      <c r="S655" s="197"/>
      <c r="T655" s="199">
        <v>0</v>
      </c>
      <c r="U655" s="200"/>
      <c r="V655" s="200"/>
      <c r="W655" s="200"/>
      <c r="X655" s="137" t="s">
        <v>127</v>
      </c>
      <c r="Y655" s="163" t="str">
        <f>DB!$D$6</f>
        <v>UPS 650VA, AVR, 230V</v>
      </c>
      <c r="Z655" s="154"/>
      <c r="AA655" s="154"/>
      <c r="AB655" s="136"/>
      <c r="AC655" s="139"/>
      <c r="AD655" s="139"/>
      <c r="AE655" s="139"/>
      <c r="AF655" s="139"/>
    </row>
    <row r="656" spans="1:32" ht="12.75">
      <c r="A656" s="136" t="e">
        <f ca="1"/>
        <v>#NAME?</v>
      </c>
      <c r="B656" s="188" t="s">
        <v>483</v>
      </c>
      <c r="C656" s="197">
        <v>1</v>
      </c>
      <c r="D656" s="189" t="s">
        <v>103</v>
      </c>
      <c r="E656" s="235"/>
      <c r="F656" s="236"/>
      <c r="G656" s="237"/>
      <c r="H656" s="199">
        <v>1</v>
      </c>
      <c r="I656" s="203">
        <v>1</v>
      </c>
      <c r="J656" s="197"/>
      <c r="K656" s="197"/>
      <c r="L656" s="199">
        <v>0</v>
      </c>
      <c r="M656" s="203"/>
      <c r="N656" s="197"/>
      <c r="O656" s="197"/>
      <c r="P656" s="199">
        <v>0</v>
      </c>
      <c r="Q656" s="203"/>
      <c r="R656" s="197"/>
      <c r="S656" s="197"/>
      <c r="T656" s="199">
        <v>0</v>
      </c>
      <c r="U656" s="200"/>
      <c r="V656" s="200"/>
      <c r="W656" s="200"/>
      <c r="X656" s="137" t="s">
        <v>127</v>
      </c>
      <c r="Y656" s="155"/>
      <c r="Z656" s="154" t="s">
        <v>453</v>
      </c>
      <c r="AA656" s="149"/>
      <c r="AB656" s="136"/>
      <c r="AC656" s="139"/>
      <c r="AD656" s="139"/>
      <c r="AE656" s="139"/>
      <c r="AF656" s="139"/>
    </row>
    <row r="657" spans="1:32" ht="12.75">
      <c r="A657" s="136" t="e">
        <f ca="1"/>
        <v>#NAME?</v>
      </c>
      <c r="B657" s="192" t="s">
        <v>921</v>
      </c>
      <c r="C657" s="197">
        <v>2</v>
      </c>
      <c r="D657" s="189" t="s">
        <v>466</v>
      </c>
      <c r="E657" s="229"/>
      <c r="F657" s="231"/>
      <c r="G657" s="229"/>
      <c r="H657" s="199">
        <v>1</v>
      </c>
      <c r="I657" s="203">
        <v>1</v>
      </c>
      <c r="J657" s="197"/>
      <c r="K657" s="197"/>
      <c r="L657" s="199">
        <v>0</v>
      </c>
      <c r="M657" s="203"/>
      <c r="N657" s="197"/>
      <c r="O657" s="197"/>
      <c r="P657" s="199">
        <v>1</v>
      </c>
      <c r="Q657" s="203">
        <v>1</v>
      </c>
      <c r="R657" s="197"/>
      <c r="S657" s="197"/>
      <c r="T657" s="199">
        <v>0</v>
      </c>
      <c r="U657" s="200"/>
      <c r="V657" s="200"/>
      <c r="W657" s="200"/>
      <c r="X657" s="137" t="s">
        <v>127</v>
      </c>
      <c r="Y657" s="163" t="str">
        <f>DB!$D$76</f>
        <v>Dot Matrix Printer 24-Pin</v>
      </c>
      <c r="Z657" s="154"/>
      <c r="AA657" s="154"/>
      <c r="AB657" s="136"/>
      <c r="AC657" s="139"/>
      <c r="AD657" s="139"/>
      <c r="AE657" s="139"/>
      <c r="AF657" s="139"/>
    </row>
    <row r="658" spans="1:32" ht="12.75">
      <c r="A658" s="136" t="e">
        <f ca="1"/>
        <v>#NAME?</v>
      </c>
      <c r="B658" s="192" t="s">
        <v>922</v>
      </c>
      <c r="C658" s="197">
        <v>2</v>
      </c>
      <c r="D658" s="189" t="s">
        <v>103</v>
      </c>
      <c r="E658" s="238"/>
      <c r="F658" s="238"/>
      <c r="G658" s="231"/>
      <c r="H658" s="199">
        <v>1</v>
      </c>
      <c r="I658" s="203">
        <v>1</v>
      </c>
      <c r="J658" s="197"/>
      <c r="K658" s="197"/>
      <c r="L658" s="199">
        <v>0</v>
      </c>
      <c r="M658" s="203"/>
      <c r="N658" s="197"/>
      <c r="O658" s="197"/>
      <c r="P658" s="199">
        <v>1</v>
      </c>
      <c r="Q658" s="203">
        <v>1</v>
      </c>
      <c r="R658" s="197"/>
      <c r="S658" s="197"/>
      <c r="T658" s="199">
        <v>0</v>
      </c>
      <c r="U658" s="200"/>
      <c r="V658" s="200"/>
      <c r="W658" s="200"/>
      <c r="X658" s="137" t="s">
        <v>127</v>
      </c>
      <c r="Y658" s="155" t="str">
        <f>DB!$D$40</f>
        <v>21.5" FHD LED Monitor</v>
      </c>
      <c r="Z658" s="154"/>
      <c r="AA658" s="149"/>
      <c r="AB658" s="136"/>
      <c r="AC658" s="139"/>
      <c r="AD658" s="139"/>
      <c r="AE658" s="139"/>
      <c r="AF658" s="139"/>
    </row>
    <row r="659" spans="1:32" ht="12.75">
      <c r="A659" s="136" t="e">
        <f ca="1"/>
        <v>#NAME?</v>
      </c>
      <c r="B659" s="192" t="s">
        <v>923</v>
      </c>
      <c r="C659" s="197">
        <v>2</v>
      </c>
      <c r="D659" s="189" t="s">
        <v>103</v>
      </c>
      <c r="E659" s="182"/>
      <c r="F659" s="182"/>
      <c r="G659" s="178"/>
      <c r="H659" s="199">
        <v>1</v>
      </c>
      <c r="I659" s="203">
        <v>1</v>
      </c>
      <c r="J659" s="197"/>
      <c r="K659" s="197"/>
      <c r="L659" s="199">
        <v>0</v>
      </c>
      <c r="M659" s="203"/>
      <c r="N659" s="197"/>
      <c r="O659" s="197"/>
      <c r="P659" s="199">
        <v>1</v>
      </c>
      <c r="Q659" s="203">
        <v>1</v>
      </c>
      <c r="R659" s="197"/>
      <c r="S659" s="197"/>
      <c r="T659" s="199">
        <v>0</v>
      </c>
      <c r="U659" s="200"/>
      <c r="V659" s="200"/>
      <c r="W659" s="200"/>
      <c r="X659" s="137" t="s">
        <v>127</v>
      </c>
      <c r="Y659" s="155"/>
      <c r="Z659" s="154"/>
      <c r="AA659" s="149" t="s">
        <v>453</v>
      </c>
      <c r="AB659" s="136"/>
      <c r="AC659" s="139"/>
      <c r="AD659" s="139"/>
      <c r="AE659" s="139"/>
      <c r="AF659" s="139"/>
    </row>
    <row r="660" spans="1:32" ht="12.75">
      <c r="A660" s="136" t="e">
        <f ca="1"/>
        <v>#NAME?</v>
      </c>
      <c r="B660" s="192" t="s">
        <v>817</v>
      </c>
      <c r="C660" s="197">
        <v>1</v>
      </c>
      <c r="D660" s="189" t="s">
        <v>103</v>
      </c>
      <c r="E660" s="179"/>
      <c r="F660" s="179"/>
      <c r="G660" s="178"/>
      <c r="H660" s="199">
        <v>1</v>
      </c>
      <c r="I660" s="203">
        <v>1</v>
      </c>
      <c r="J660" s="197"/>
      <c r="K660" s="197"/>
      <c r="L660" s="199">
        <v>0</v>
      </c>
      <c r="M660" s="203"/>
      <c r="N660" s="197"/>
      <c r="O660" s="197"/>
      <c r="P660" s="199">
        <v>0</v>
      </c>
      <c r="Q660" s="203"/>
      <c r="R660" s="197"/>
      <c r="S660" s="197"/>
      <c r="T660" s="199">
        <v>0</v>
      </c>
      <c r="U660" s="200"/>
      <c r="V660" s="200"/>
      <c r="W660" s="200"/>
      <c r="X660" s="137" t="s">
        <v>127</v>
      </c>
      <c r="Y660" s="163" t="str">
        <f>DB!$D$37</f>
        <v>Single Line Telephone (Black)</v>
      </c>
      <c r="Z660" s="154"/>
      <c r="AA660" s="149"/>
      <c r="AB660" s="136"/>
      <c r="AC660" s="139"/>
      <c r="AD660" s="139"/>
      <c r="AE660" s="139"/>
      <c r="AF660" s="139"/>
    </row>
    <row r="661" spans="1:32" ht="12.75">
      <c r="A661" s="136" t="e">
        <f ca="1"/>
        <v>#NAME?</v>
      </c>
      <c r="B661" s="188" t="s">
        <v>234</v>
      </c>
      <c r="C661" s="203">
        <v>2</v>
      </c>
      <c r="D661" s="189" t="s">
        <v>103</v>
      </c>
      <c r="E661" s="179"/>
      <c r="F661" s="179"/>
      <c r="G661" s="178"/>
      <c r="H661" s="158">
        <v>1</v>
      </c>
      <c r="I661" s="203">
        <v>1</v>
      </c>
      <c r="J661" s="197"/>
      <c r="K661" s="197"/>
      <c r="L661" s="158">
        <v>0</v>
      </c>
      <c r="M661" s="203"/>
      <c r="N661" s="197"/>
      <c r="O661" s="197"/>
      <c r="P661" s="158">
        <v>1</v>
      </c>
      <c r="Q661" s="203">
        <v>1</v>
      </c>
      <c r="R661" s="197"/>
      <c r="S661" s="197"/>
      <c r="T661" s="158">
        <v>0</v>
      </c>
      <c r="U661" s="198"/>
      <c r="V661" s="198"/>
      <c r="W661" s="198"/>
      <c r="X661" s="137" t="s">
        <v>129</v>
      </c>
      <c r="Y661" s="141" t="str">
        <f>DB!$D$168</f>
        <v>Keyboard, Full Size, USB 2.0</v>
      </c>
      <c r="Z661" s="154"/>
      <c r="AA661" s="149"/>
      <c r="AB661" s="136"/>
      <c r="AC661" s="139"/>
      <c r="AD661" s="139"/>
      <c r="AE661" s="139"/>
      <c r="AF661" s="139"/>
    </row>
    <row r="662" spans="1:32" ht="12.75">
      <c r="A662" s="136" t="e">
        <f ca="1"/>
        <v>#NAME?</v>
      </c>
      <c r="B662" s="192" t="s">
        <v>239</v>
      </c>
      <c r="C662" s="203">
        <v>2</v>
      </c>
      <c r="D662" s="189" t="s">
        <v>103</v>
      </c>
      <c r="E662" s="179"/>
      <c r="F662" s="179"/>
      <c r="G662" s="178"/>
      <c r="H662" s="199">
        <v>1</v>
      </c>
      <c r="I662" s="203">
        <v>1</v>
      </c>
      <c r="J662" s="197"/>
      <c r="K662" s="197"/>
      <c r="L662" s="199">
        <v>0</v>
      </c>
      <c r="M662" s="203"/>
      <c r="N662" s="197"/>
      <c r="O662" s="197"/>
      <c r="P662" s="199">
        <v>1</v>
      </c>
      <c r="Q662" s="203">
        <v>1</v>
      </c>
      <c r="R662" s="197"/>
      <c r="S662" s="197"/>
      <c r="T662" s="199">
        <v>0</v>
      </c>
      <c r="U662" s="200"/>
      <c r="V662" s="200"/>
      <c r="W662" s="200"/>
      <c r="X662" s="137" t="s">
        <v>129</v>
      </c>
      <c r="Y662" s="141" t="str">
        <f>DB!$D$169</f>
        <v>Mouse, Optical, USB 2.0</v>
      </c>
      <c r="Z662" s="154"/>
      <c r="AA662" s="149"/>
      <c r="AB662" s="136"/>
      <c r="AC662" s="139"/>
      <c r="AD662" s="139"/>
      <c r="AE662" s="139"/>
      <c r="AF662" s="139"/>
    </row>
    <row r="663" spans="1:32" ht="12.75">
      <c r="A663" s="136" t="e">
        <f ca="1"/>
        <v>#NAME?</v>
      </c>
      <c r="B663" s="192" t="s">
        <v>493</v>
      </c>
      <c r="C663" s="203">
        <v>1</v>
      </c>
      <c r="D663" s="189" t="s">
        <v>103</v>
      </c>
      <c r="E663" s="179"/>
      <c r="F663" s="179"/>
      <c r="G663" s="178"/>
      <c r="H663" s="199">
        <v>1</v>
      </c>
      <c r="I663" s="203">
        <v>1</v>
      </c>
      <c r="J663" s="197"/>
      <c r="K663" s="197"/>
      <c r="L663" s="199">
        <v>0</v>
      </c>
      <c r="M663" s="203"/>
      <c r="N663" s="197"/>
      <c r="O663" s="197"/>
      <c r="P663" s="199">
        <v>0</v>
      </c>
      <c r="Q663" s="203"/>
      <c r="R663" s="197"/>
      <c r="S663" s="197"/>
      <c r="T663" s="199">
        <v>0</v>
      </c>
      <c r="U663" s="200"/>
      <c r="V663" s="200"/>
      <c r="W663" s="200"/>
      <c r="X663" s="137" t="s">
        <v>129</v>
      </c>
      <c r="Y663" s="155" t="str">
        <f>DB!$D$276</f>
        <v>Ink Tank Printer</v>
      </c>
      <c r="Z663" s="154" t="s">
        <v>469</v>
      </c>
      <c r="AA663" s="149"/>
      <c r="AB663" s="136"/>
      <c r="AC663" s="139"/>
      <c r="AD663" s="139"/>
      <c r="AE663" s="139"/>
      <c r="AF663" s="139"/>
    </row>
    <row r="664" spans="1:32" ht="12.75">
      <c r="A664" s="136" t="e">
        <f ca="1"/>
        <v>#NAME?</v>
      </c>
      <c r="B664" s="192" t="s">
        <v>568</v>
      </c>
      <c r="C664" s="203">
        <v>2</v>
      </c>
      <c r="D664" s="189" t="s">
        <v>103</v>
      </c>
      <c r="E664" s="179"/>
      <c r="F664" s="179"/>
      <c r="G664" s="178"/>
      <c r="H664" s="199">
        <v>1</v>
      </c>
      <c r="I664" s="203">
        <v>1</v>
      </c>
      <c r="J664" s="197"/>
      <c r="K664" s="197"/>
      <c r="L664" s="199">
        <v>0</v>
      </c>
      <c r="M664" s="203"/>
      <c r="N664" s="197"/>
      <c r="O664" s="197"/>
      <c r="P664" s="199">
        <v>1</v>
      </c>
      <c r="Q664" s="203">
        <v>1</v>
      </c>
      <c r="R664" s="197"/>
      <c r="S664" s="197"/>
      <c r="T664" s="199">
        <v>0</v>
      </c>
      <c r="U664" s="200"/>
      <c r="V664" s="200"/>
      <c r="W664" s="200"/>
      <c r="X664" s="137" t="s">
        <v>129</v>
      </c>
      <c r="Y664" s="163" t="str">
        <f>DB!$D$6</f>
        <v>UPS 650VA, AVR, 230V</v>
      </c>
      <c r="Z664" s="154"/>
      <c r="AA664" s="149"/>
      <c r="AB664" s="136"/>
      <c r="AC664" s="139"/>
      <c r="AD664" s="139"/>
      <c r="AE664" s="139"/>
      <c r="AF664" s="139"/>
    </row>
    <row r="665" spans="1:32" ht="12.75">
      <c r="A665" s="136" t="e">
        <f ca="1"/>
        <v>#NAME?</v>
      </c>
      <c r="B665" s="188" t="s">
        <v>483</v>
      </c>
      <c r="C665" s="197">
        <v>1</v>
      </c>
      <c r="D665" s="189" t="s">
        <v>103</v>
      </c>
      <c r="E665" s="179"/>
      <c r="F665" s="179"/>
      <c r="G665" s="178"/>
      <c r="H665" s="199">
        <v>1</v>
      </c>
      <c r="I665" s="203">
        <v>1</v>
      </c>
      <c r="J665" s="197"/>
      <c r="K665" s="197"/>
      <c r="L665" s="199">
        <v>0</v>
      </c>
      <c r="M665" s="203"/>
      <c r="N665" s="197"/>
      <c r="O665" s="197"/>
      <c r="P665" s="199">
        <v>0</v>
      </c>
      <c r="Q665" s="203"/>
      <c r="R665" s="197"/>
      <c r="S665" s="197"/>
      <c r="T665" s="199">
        <v>0</v>
      </c>
      <c r="U665" s="200"/>
      <c r="V665" s="200"/>
      <c r="W665" s="200"/>
      <c r="X665" s="137" t="s">
        <v>129</v>
      </c>
      <c r="Y665" s="155"/>
      <c r="Z665" s="154" t="s">
        <v>453</v>
      </c>
      <c r="AA665" s="149"/>
      <c r="AB665" s="136"/>
      <c r="AC665" s="139"/>
      <c r="AD665" s="139"/>
      <c r="AE665" s="139"/>
      <c r="AF665" s="139"/>
    </row>
    <row r="666" spans="1:32" ht="12.75">
      <c r="A666" s="136" t="e">
        <f ca="1"/>
        <v>#NAME?</v>
      </c>
      <c r="B666" s="192" t="s">
        <v>921</v>
      </c>
      <c r="C666" s="197">
        <v>2</v>
      </c>
      <c r="D666" s="189" t="s">
        <v>466</v>
      </c>
      <c r="E666" s="178"/>
      <c r="F666" s="179"/>
      <c r="G666" s="178"/>
      <c r="H666" s="199">
        <v>1</v>
      </c>
      <c r="I666" s="203">
        <v>1</v>
      </c>
      <c r="J666" s="197"/>
      <c r="K666" s="197"/>
      <c r="L666" s="199">
        <v>0</v>
      </c>
      <c r="M666" s="203"/>
      <c r="N666" s="197"/>
      <c r="O666" s="197"/>
      <c r="P666" s="199">
        <v>1</v>
      </c>
      <c r="Q666" s="203">
        <v>1</v>
      </c>
      <c r="R666" s="197"/>
      <c r="S666" s="197"/>
      <c r="T666" s="199">
        <v>0</v>
      </c>
      <c r="U666" s="200"/>
      <c r="V666" s="200"/>
      <c r="W666" s="200"/>
      <c r="X666" s="137" t="s">
        <v>129</v>
      </c>
      <c r="Y666" s="163" t="str">
        <f>DB!$D$76</f>
        <v>Dot Matrix Printer 24-Pin</v>
      </c>
      <c r="Z666" s="154"/>
      <c r="AA666" s="149"/>
      <c r="AB666" s="136"/>
      <c r="AC666" s="139"/>
      <c r="AD666" s="139"/>
      <c r="AE666" s="139"/>
      <c r="AF666" s="139"/>
    </row>
    <row r="667" spans="1:32" ht="12.75">
      <c r="A667" s="136" t="e">
        <f ca="1"/>
        <v>#NAME?</v>
      </c>
      <c r="B667" s="192" t="s">
        <v>922</v>
      </c>
      <c r="C667" s="197">
        <v>2</v>
      </c>
      <c r="D667" s="189" t="s">
        <v>103</v>
      </c>
      <c r="E667" s="178"/>
      <c r="F667" s="178"/>
      <c r="G667" s="178"/>
      <c r="H667" s="199">
        <v>1</v>
      </c>
      <c r="I667" s="203">
        <v>1</v>
      </c>
      <c r="J667" s="197"/>
      <c r="K667" s="197"/>
      <c r="L667" s="199">
        <v>0</v>
      </c>
      <c r="M667" s="203"/>
      <c r="N667" s="197"/>
      <c r="O667" s="197"/>
      <c r="P667" s="199">
        <v>1</v>
      </c>
      <c r="Q667" s="203">
        <v>1</v>
      </c>
      <c r="R667" s="197"/>
      <c r="S667" s="197"/>
      <c r="T667" s="199">
        <v>0</v>
      </c>
      <c r="U667" s="200"/>
      <c r="V667" s="200"/>
      <c r="W667" s="200"/>
      <c r="X667" s="137" t="s">
        <v>129</v>
      </c>
      <c r="Y667" s="155" t="str">
        <f>DB!$D$40</f>
        <v>21.5" FHD LED Monitor</v>
      </c>
      <c r="Z667" s="152"/>
      <c r="AA667" s="149"/>
      <c r="AB667" s="136"/>
      <c r="AC667" s="139"/>
      <c r="AD667" s="139"/>
      <c r="AE667" s="139"/>
      <c r="AF667" s="139"/>
    </row>
    <row r="668" spans="1:32" ht="12.75">
      <c r="A668" s="136" t="e">
        <f ca="1"/>
        <v>#NAME?</v>
      </c>
      <c r="B668" s="192" t="s">
        <v>923</v>
      </c>
      <c r="C668" s="197">
        <v>2</v>
      </c>
      <c r="D668" s="189" t="s">
        <v>103</v>
      </c>
      <c r="E668" s="178"/>
      <c r="F668" s="178"/>
      <c r="G668" s="178"/>
      <c r="H668" s="199">
        <v>1</v>
      </c>
      <c r="I668" s="203">
        <v>1</v>
      </c>
      <c r="J668" s="197"/>
      <c r="K668" s="197"/>
      <c r="L668" s="199">
        <v>0</v>
      </c>
      <c r="M668" s="203"/>
      <c r="N668" s="197"/>
      <c r="O668" s="197"/>
      <c r="P668" s="199">
        <v>1</v>
      </c>
      <c r="Q668" s="203">
        <v>1</v>
      </c>
      <c r="R668" s="197"/>
      <c r="S668" s="197"/>
      <c r="T668" s="199">
        <v>0</v>
      </c>
      <c r="U668" s="200"/>
      <c r="V668" s="200"/>
      <c r="W668" s="200"/>
      <c r="X668" s="137" t="s">
        <v>129</v>
      </c>
      <c r="Y668" s="155"/>
      <c r="Z668" s="154" t="s">
        <v>453</v>
      </c>
      <c r="AA668" s="149"/>
      <c r="AB668" s="136"/>
      <c r="AC668" s="139"/>
      <c r="AD668" s="139"/>
      <c r="AE668" s="139"/>
      <c r="AF668" s="139"/>
    </row>
    <row r="669" spans="1:32" ht="12.75">
      <c r="A669" s="136" t="e">
        <f ca="1"/>
        <v>#NAME?</v>
      </c>
      <c r="B669" s="192" t="s">
        <v>817</v>
      </c>
      <c r="C669" s="197">
        <v>1</v>
      </c>
      <c r="D669" s="189" t="s">
        <v>103</v>
      </c>
      <c r="E669" s="178"/>
      <c r="F669" s="178"/>
      <c r="G669" s="178"/>
      <c r="H669" s="199">
        <v>1</v>
      </c>
      <c r="I669" s="203">
        <v>1</v>
      </c>
      <c r="J669" s="197"/>
      <c r="K669" s="197"/>
      <c r="L669" s="199">
        <v>0</v>
      </c>
      <c r="M669" s="203"/>
      <c r="N669" s="197"/>
      <c r="O669" s="197"/>
      <c r="P669" s="199">
        <v>0</v>
      </c>
      <c r="Q669" s="203"/>
      <c r="R669" s="197"/>
      <c r="S669" s="197"/>
      <c r="T669" s="199">
        <v>0</v>
      </c>
      <c r="U669" s="200"/>
      <c r="V669" s="200"/>
      <c r="W669" s="200"/>
      <c r="X669" s="137" t="s">
        <v>129</v>
      </c>
      <c r="Y669" s="163" t="str">
        <f>DB!$D$37</f>
        <v>Single Line Telephone (Black)</v>
      </c>
      <c r="Z669" s="152"/>
      <c r="AA669" s="149"/>
      <c r="AB669" s="136"/>
      <c r="AC669" s="139"/>
      <c r="AD669" s="139"/>
      <c r="AE669" s="139"/>
      <c r="AF669" s="139"/>
    </row>
    <row r="670" spans="1:32" ht="12.75">
      <c r="A670" s="136" t="e">
        <f ca="1"/>
        <v>#NAME?</v>
      </c>
      <c r="B670" s="188" t="s">
        <v>234</v>
      </c>
      <c r="C670" s="203">
        <v>2</v>
      </c>
      <c r="D670" s="189" t="s">
        <v>103</v>
      </c>
      <c r="E670" s="178"/>
      <c r="F670" s="179"/>
      <c r="G670" s="183"/>
      <c r="H670" s="158">
        <v>1</v>
      </c>
      <c r="I670" s="203">
        <v>1</v>
      </c>
      <c r="J670" s="197"/>
      <c r="K670" s="197"/>
      <c r="L670" s="158">
        <v>0</v>
      </c>
      <c r="M670" s="203"/>
      <c r="N670" s="197"/>
      <c r="O670" s="197"/>
      <c r="P670" s="158">
        <v>1</v>
      </c>
      <c r="Q670" s="203">
        <v>1</v>
      </c>
      <c r="R670" s="197"/>
      <c r="S670" s="197"/>
      <c r="T670" s="158">
        <v>0</v>
      </c>
      <c r="U670" s="183"/>
      <c r="V670" s="183"/>
      <c r="W670" s="183"/>
      <c r="X670" s="137" t="s">
        <v>124</v>
      </c>
      <c r="Y670" s="141" t="str">
        <f>DB!$D$168</f>
        <v>Keyboard, Full Size, USB 2.0</v>
      </c>
      <c r="Z670" s="154"/>
      <c r="AA670" s="149"/>
      <c r="AB670" s="136"/>
      <c r="AC670" s="139"/>
      <c r="AD670" s="139"/>
      <c r="AE670" s="139"/>
      <c r="AF670" s="139"/>
    </row>
    <row r="671" spans="1:32" ht="12.75">
      <c r="A671" s="136" t="e">
        <f ca="1"/>
        <v>#NAME?</v>
      </c>
      <c r="B671" s="192" t="s">
        <v>239</v>
      </c>
      <c r="C671" s="203">
        <v>2</v>
      </c>
      <c r="D671" s="189" t="s">
        <v>103</v>
      </c>
      <c r="E671" s="178"/>
      <c r="F671" s="179"/>
      <c r="G671" s="178"/>
      <c r="H671" s="199">
        <v>1</v>
      </c>
      <c r="I671" s="203">
        <v>1</v>
      </c>
      <c r="J671" s="197"/>
      <c r="K671" s="197"/>
      <c r="L671" s="199">
        <v>0</v>
      </c>
      <c r="M671" s="203"/>
      <c r="N671" s="197"/>
      <c r="O671" s="197"/>
      <c r="P671" s="199">
        <v>1</v>
      </c>
      <c r="Q671" s="203">
        <v>1</v>
      </c>
      <c r="R671" s="197"/>
      <c r="S671" s="197"/>
      <c r="T671" s="199">
        <v>0</v>
      </c>
      <c r="U671" s="178"/>
      <c r="V671" s="178"/>
      <c r="W671" s="178"/>
      <c r="X671" s="137" t="s">
        <v>124</v>
      </c>
      <c r="Y671" s="141" t="str">
        <f>DB!$D$169</f>
        <v>Mouse, Optical, USB 2.0</v>
      </c>
      <c r="Z671" s="154"/>
      <c r="AA671" s="149"/>
      <c r="AB671" s="136"/>
      <c r="AC671" s="139"/>
      <c r="AD671" s="139"/>
      <c r="AE671" s="139"/>
      <c r="AF671" s="139"/>
    </row>
    <row r="672" spans="1:32" ht="12.75">
      <c r="A672" s="136" t="e">
        <f ca="1"/>
        <v>#NAME?</v>
      </c>
      <c r="B672" s="192" t="s">
        <v>493</v>
      </c>
      <c r="C672" s="203">
        <v>1</v>
      </c>
      <c r="D672" s="189" t="s">
        <v>103</v>
      </c>
      <c r="E672" s="179"/>
      <c r="F672" s="179"/>
      <c r="G672" s="178"/>
      <c r="H672" s="199">
        <v>1</v>
      </c>
      <c r="I672" s="203">
        <v>1</v>
      </c>
      <c r="J672" s="197"/>
      <c r="K672" s="197"/>
      <c r="L672" s="199">
        <v>0</v>
      </c>
      <c r="M672" s="203"/>
      <c r="N672" s="197"/>
      <c r="O672" s="197"/>
      <c r="P672" s="199">
        <v>0</v>
      </c>
      <c r="Q672" s="203"/>
      <c r="R672" s="197"/>
      <c r="S672" s="197"/>
      <c r="T672" s="199">
        <v>0</v>
      </c>
      <c r="U672" s="178"/>
      <c r="V672" s="178"/>
      <c r="W672" s="178"/>
      <c r="X672" s="137" t="s">
        <v>124</v>
      </c>
      <c r="Y672" s="155" t="str">
        <f>DB!$D$276</f>
        <v>Ink Tank Printer</v>
      </c>
      <c r="Z672" s="154" t="s">
        <v>469</v>
      </c>
      <c r="AA672" s="149"/>
      <c r="AB672" s="136"/>
      <c r="AC672" s="139"/>
      <c r="AD672" s="139"/>
      <c r="AE672" s="139"/>
      <c r="AF672" s="139"/>
    </row>
    <row r="673" spans="1:32" ht="12.75">
      <c r="A673" s="136" t="e">
        <f ca="1"/>
        <v>#NAME?</v>
      </c>
      <c r="B673" s="192" t="s">
        <v>568</v>
      </c>
      <c r="C673" s="203">
        <v>2</v>
      </c>
      <c r="D673" s="189" t="s">
        <v>103</v>
      </c>
      <c r="E673" s="183"/>
      <c r="F673" s="179"/>
      <c r="G673" s="183"/>
      <c r="H673" s="199">
        <v>1</v>
      </c>
      <c r="I673" s="203">
        <v>1</v>
      </c>
      <c r="J673" s="197"/>
      <c r="K673" s="197"/>
      <c r="L673" s="199">
        <v>0</v>
      </c>
      <c r="M673" s="203"/>
      <c r="N673" s="197"/>
      <c r="O673" s="197"/>
      <c r="P673" s="199">
        <v>1</v>
      </c>
      <c r="Q673" s="203">
        <v>1</v>
      </c>
      <c r="R673" s="197"/>
      <c r="S673" s="197"/>
      <c r="T673" s="199">
        <v>0</v>
      </c>
      <c r="U673" s="183"/>
      <c r="V673" s="216"/>
      <c r="W673" s="216"/>
      <c r="X673" s="137" t="s">
        <v>124</v>
      </c>
      <c r="Y673" s="163" t="str">
        <f>DB!$D$6</f>
        <v>UPS 650VA, AVR, 230V</v>
      </c>
      <c r="Z673" s="152"/>
      <c r="AA673" s="149"/>
      <c r="AB673" s="136"/>
      <c r="AC673" s="139"/>
      <c r="AD673" s="139"/>
      <c r="AE673" s="139"/>
      <c r="AF673" s="139"/>
    </row>
    <row r="674" spans="1:32" ht="12.75">
      <c r="A674" s="136" t="e">
        <f ca="1"/>
        <v>#NAME?</v>
      </c>
      <c r="B674" s="188" t="s">
        <v>483</v>
      </c>
      <c r="C674" s="197">
        <v>1</v>
      </c>
      <c r="D674" s="189" t="s">
        <v>103</v>
      </c>
      <c r="E674" s="178"/>
      <c r="F674" s="239"/>
      <c r="G674" s="178"/>
      <c r="H674" s="199">
        <v>1</v>
      </c>
      <c r="I674" s="203">
        <v>1</v>
      </c>
      <c r="J674" s="197"/>
      <c r="K674" s="197"/>
      <c r="L674" s="199">
        <v>0</v>
      </c>
      <c r="M674" s="203"/>
      <c r="N674" s="197"/>
      <c r="O674" s="197"/>
      <c r="P674" s="199">
        <v>0</v>
      </c>
      <c r="Q674" s="203"/>
      <c r="R674" s="197"/>
      <c r="S674" s="197"/>
      <c r="T674" s="199">
        <v>0</v>
      </c>
      <c r="U674" s="178"/>
      <c r="V674" s="178"/>
      <c r="W674" s="178"/>
      <c r="X674" s="137" t="s">
        <v>124</v>
      </c>
      <c r="Y674" s="164"/>
      <c r="Z674" s="154" t="s">
        <v>453</v>
      </c>
      <c r="AA674" s="149"/>
      <c r="AB674" s="136"/>
      <c r="AC674" s="139"/>
      <c r="AD674" s="139"/>
      <c r="AE674" s="139"/>
      <c r="AF674" s="139"/>
    </row>
    <row r="675" spans="1:32" ht="12.75">
      <c r="A675" s="136" t="e">
        <f ca="1"/>
        <v>#NAME?</v>
      </c>
      <c r="B675" s="192" t="s">
        <v>921</v>
      </c>
      <c r="C675" s="197">
        <v>2</v>
      </c>
      <c r="D675" s="189" t="s">
        <v>466</v>
      </c>
      <c r="E675" s="178"/>
      <c r="F675" s="239"/>
      <c r="G675" s="178"/>
      <c r="H675" s="199">
        <v>1</v>
      </c>
      <c r="I675" s="203">
        <v>1</v>
      </c>
      <c r="J675" s="197"/>
      <c r="K675" s="197"/>
      <c r="L675" s="199">
        <v>0</v>
      </c>
      <c r="M675" s="203"/>
      <c r="N675" s="197"/>
      <c r="O675" s="197"/>
      <c r="P675" s="199">
        <v>1</v>
      </c>
      <c r="Q675" s="203">
        <v>1</v>
      </c>
      <c r="R675" s="197"/>
      <c r="S675" s="197"/>
      <c r="T675" s="199">
        <v>0</v>
      </c>
      <c r="U675" s="178"/>
      <c r="V675" s="214"/>
      <c r="W675" s="214"/>
      <c r="X675" s="137" t="s">
        <v>124</v>
      </c>
      <c r="Y675" s="163" t="str">
        <f>DB!$D$76</f>
        <v>Dot Matrix Printer 24-Pin</v>
      </c>
      <c r="Z675" s="154"/>
      <c r="AA675" s="149"/>
      <c r="AB675" s="136"/>
      <c r="AC675" s="139"/>
      <c r="AD675" s="139"/>
      <c r="AE675" s="139"/>
      <c r="AF675" s="139"/>
    </row>
    <row r="676" spans="1:32" ht="12.75">
      <c r="A676" s="136" t="e">
        <f ca="1"/>
        <v>#NAME?</v>
      </c>
      <c r="B676" s="192" t="s">
        <v>922</v>
      </c>
      <c r="C676" s="197">
        <v>2</v>
      </c>
      <c r="D676" s="189" t="s">
        <v>103</v>
      </c>
      <c r="E676" s="178"/>
      <c r="F676" s="239"/>
      <c r="G676" s="178"/>
      <c r="H676" s="199">
        <v>1</v>
      </c>
      <c r="I676" s="203">
        <v>1</v>
      </c>
      <c r="J676" s="197"/>
      <c r="K676" s="197"/>
      <c r="L676" s="199">
        <v>0</v>
      </c>
      <c r="M676" s="203"/>
      <c r="N676" s="197"/>
      <c r="O676" s="197"/>
      <c r="P676" s="199">
        <v>1</v>
      </c>
      <c r="Q676" s="203">
        <v>1</v>
      </c>
      <c r="R676" s="197"/>
      <c r="S676" s="197"/>
      <c r="T676" s="199">
        <v>0</v>
      </c>
      <c r="U676" s="178"/>
      <c r="V676" s="214"/>
      <c r="W676" s="214"/>
      <c r="X676" s="137" t="s">
        <v>124</v>
      </c>
      <c r="Y676" s="155" t="str">
        <f>DB!$D$40</f>
        <v>21.5" FHD LED Monitor</v>
      </c>
      <c r="Z676" s="154"/>
      <c r="AA676" s="149"/>
      <c r="AB676" s="136"/>
      <c r="AC676" s="139"/>
      <c r="AD676" s="139"/>
      <c r="AE676" s="139"/>
      <c r="AF676" s="139"/>
    </row>
    <row r="677" spans="1:32" ht="12.75">
      <c r="A677" s="136" t="e">
        <f ca="1"/>
        <v>#NAME?</v>
      </c>
      <c r="B677" s="192" t="s">
        <v>923</v>
      </c>
      <c r="C677" s="197">
        <v>2</v>
      </c>
      <c r="D677" s="189" t="s">
        <v>103</v>
      </c>
      <c r="E677" s="178"/>
      <c r="F677" s="239"/>
      <c r="G677" s="178"/>
      <c r="H677" s="199">
        <v>1</v>
      </c>
      <c r="I677" s="203">
        <v>1</v>
      </c>
      <c r="J677" s="197"/>
      <c r="K677" s="197"/>
      <c r="L677" s="199">
        <v>0</v>
      </c>
      <c r="M677" s="203"/>
      <c r="N677" s="197"/>
      <c r="O677" s="197"/>
      <c r="P677" s="199">
        <v>1</v>
      </c>
      <c r="Q677" s="203">
        <v>1</v>
      </c>
      <c r="R677" s="197"/>
      <c r="S677" s="197"/>
      <c r="T677" s="199">
        <v>0</v>
      </c>
      <c r="U677" s="178"/>
      <c r="V677" s="214"/>
      <c r="W677" s="214"/>
      <c r="X677" s="137" t="s">
        <v>124</v>
      </c>
      <c r="Y677" s="155"/>
      <c r="Z677" s="154"/>
      <c r="AA677" s="149" t="s">
        <v>453</v>
      </c>
      <c r="AB677" s="136"/>
      <c r="AC677" s="139"/>
      <c r="AD677" s="139"/>
      <c r="AE677" s="139"/>
      <c r="AF677" s="139"/>
    </row>
    <row r="678" spans="1:32" ht="12.75">
      <c r="A678" s="136" t="e">
        <f ca="1"/>
        <v>#NAME?</v>
      </c>
      <c r="B678" s="192" t="s">
        <v>817</v>
      </c>
      <c r="C678" s="197">
        <v>1</v>
      </c>
      <c r="D678" s="189" t="s">
        <v>103</v>
      </c>
      <c r="E678" s="178"/>
      <c r="F678" s="178"/>
      <c r="G678" s="178"/>
      <c r="H678" s="199">
        <v>1</v>
      </c>
      <c r="I678" s="203">
        <v>1</v>
      </c>
      <c r="J678" s="197"/>
      <c r="K678" s="197"/>
      <c r="L678" s="199">
        <v>0</v>
      </c>
      <c r="M678" s="203"/>
      <c r="N678" s="197"/>
      <c r="O678" s="197"/>
      <c r="P678" s="199">
        <v>0</v>
      </c>
      <c r="Q678" s="203"/>
      <c r="R678" s="197"/>
      <c r="S678" s="197"/>
      <c r="T678" s="199">
        <v>0</v>
      </c>
      <c r="U678" s="214"/>
      <c r="V678" s="214"/>
      <c r="W678" s="214"/>
      <c r="X678" s="137" t="s">
        <v>124</v>
      </c>
      <c r="Y678" s="163" t="str">
        <f>DB!$D$37</f>
        <v>Single Line Telephone (Black)</v>
      </c>
      <c r="Z678" s="154"/>
      <c r="AA678" s="149"/>
      <c r="AB678" s="136"/>
      <c r="AC678" s="139"/>
      <c r="AD678" s="139"/>
      <c r="AE678" s="139"/>
      <c r="AF678" s="139"/>
    </row>
    <row r="679" spans="1:32" ht="12.75">
      <c r="A679" s="136" t="e">
        <f ca="1"/>
        <v>#NAME?</v>
      </c>
      <c r="B679" s="188" t="s">
        <v>234</v>
      </c>
      <c r="C679" s="203">
        <v>2</v>
      </c>
      <c r="D679" s="189" t="s">
        <v>103</v>
      </c>
      <c r="E679" s="179"/>
      <c r="F679" s="178"/>
      <c r="G679" s="178"/>
      <c r="H679" s="158">
        <v>1</v>
      </c>
      <c r="I679" s="203">
        <v>1</v>
      </c>
      <c r="J679" s="197"/>
      <c r="K679" s="197"/>
      <c r="L679" s="158">
        <v>0</v>
      </c>
      <c r="M679" s="203"/>
      <c r="N679" s="197"/>
      <c r="O679" s="197"/>
      <c r="P679" s="158">
        <v>1</v>
      </c>
      <c r="Q679" s="203">
        <v>1</v>
      </c>
      <c r="R679" s="197"/>
      <c r="S679" s="197"/>
      <c r="T679" s="158">
        <v>0</v>
      </c>
      <c r="U679" s="214"/>
      <c r="V679" s="214"/>
      <c r="W679" s="214"/>
      <c r="X679" s="137" t="s">
        <v>125</v>
      </c>
      <c r="Y679" s="141" t="str">
        <f>DB!$D$168</f>
        <v>Keyboard, Full Size, USB 2.0</v>
      </c>
      <c r="Z679" s="154"/>
      <c r="AA679" s="149"/>
      <c r="AB679" s="136"/>
      <c r="AC679" s="139"/>
      <c r="AD679" s="139"/>
      <c r="AE679" s="139"/>
      <c r="AF679" s="139"/>
    </row>
    <row r="680" spans="1:32" ht="12.75">
      <c r="A680" s="136" t="e">
        <f ca="1"/>
        <v>#NAME?</v>
      </c>
      <c r="B680" s="192" t="s">
        <v>239</v>
      </c>
      <c r="C680" s="203">
        <v>2</v>
      </c>
      <c r="D680" s="189" t="s">
        <v>103</v>
      </c>
      <c r="E680" s="214"/>
      <c r="F680" s="214"/>
      <c r="G680" s="178"/>
      <c r="H680" s="199">
        <v>1</v>
      </c>
      <c r="I680" s="203">
        <v>1</v>
      </c>
      <c r="J680" s="197"/>
      <c r="K680" s="197"/>
      <c r="L680" s="199">
        <v>0</v>
      </c>
      <c r="M680" s="203"/>
      <c r="N680" s="197"/>
      <c r="O680" s="197"/>
      <c r="P680" s="199">
        <v>1</v>
      </c>
      <c r="Q680" s="203">
        <v>1</v>
      </c>
      <c r="R680" s="197"/>
      <c r="S680" s="197"/>
      <c r="T680" s="199">
        <v>0</v>
      </c>
      <c r="U680" s="214"/>
      <c r="V680" s="214"/>
      <c r="W680" s="214"/>
      <c r="X680" s="137" t="s">
        <v>125</v>
      </c>
      <c r="Y680" s="141" t="str">
        <f>DB!$D$169</f>
        <v>Mouse, Optical, USB 2.0</v>
      </c>
      <c r="Z680" s="154"/>
      <c r="AA680" s="149"/>
      <c r="AB680" s="136"/>
      <c r="AC680" s="139"/>
      <c r="AD680" s="139"/>
      <c r="AE680" s="139"/>
      <c r="AF680" s="139"/>
    </row>
    <row r="681" spans="1:32" ht="12.75">
      <c r="A681" s="136" t="e">
        <f ca="1"/>
        <v>#NAME?</v>
      </c>
      <c r="B681" s="192" t="s">
        <v>493</v>
      </c>
      <c r="C681" s="203">
        <v>1</v>
      </c>
      <c r="D681" s="189" t="s">
        <v>103</v>
      </c>
      <c r="E681" s="184"/>
      <c r="F681" s="184"/>
      <c r="G681" s="178"/>
      <c r="H681" s="199">
        <v>1</v>
      </c>
      <c r="I681" s="203">
        <v>1</v>
      </c>
      <c r="J681" s="197"/>
      <c r="K681" s="197"/>
      <c r="L681" s="199">
        <v>0</v>
      </c>
      <c r="M681" s="203"/>
      <c r="N681" s="197"/>
      <c r="O681" s="197"/>
      <c r="P681" s="199">
        <v>0</v>
      </c>
      <c r="Q681" s="203"/>
      <c r="R681" s="197"/>
      <c r="S681" s="197"/>
      <c r="T681" s="199">
        <v>0</v>
      </c>
      <c r="U681" s="214"/>
      <c r="V681" s="214"/>
      <c r="W681" s="214"/>
      <c r="X681" s="137" t="s">
        <v>125</v>
      </c>
      <c r="Y681" s="155" t="str">
        <f>DB!$D$276</f>
        <v>Ink Tank Printer</v>
      </c>
      <c r="Z681" s="154" t="s">
        <v>469</v>
      </c>
      <c r="AA681" s="149"/>
      <c r="AB681" s="136"/>
      <c r="AC681" s="139"/>
      <c r="AD681" s="139"/>
      <c r="AE681" s="139"/>
      <c r="AF681" s="139"/>
    </row>
    <row r="682" spans="1:32" ht="12.75">
      <c r="A682" s="136" t="e">
        <f ca="1"/>
        <v>#NAME?</v>
      </c>
      <c r="B682" s="192" t="s">
        <v>568</v>
      </c>
      <c r="C682" s="203">
        <v>2</v>
      </c>
      <c r="D682" s="189" t="s">
        <v>103</v>
      </c>
      <c r="E682" s="224"/>
      <c r="F682" s="184"/>
      <c r="G682" s="178"/>
      <c r="H682" s="199">
        <v>1</v>
      </c>
      <c r="I682" s="203">
        <v>1</v>
      </c>
      <c r="J682" s="197"/>
      <c r="K682" s="197"/>
      <c r="L682" s="199">
        <v>0</v>
      </c>
      <c r="M682" s="203"/>
      <c r="N682" s="197"/>
      <c r="O682" s="197"/>
      <c r="P682" s="199">
        <v>1</v>
      </c>
      <c r="Q682" s="203">
        <v>1</v>
      </c>
      <c r="R682" s="197"/>
      <c r="S682" s="197"/>
      <c r="T682" s="199">
        <v>0</v>
      </c>
      <c r="U682" s="214"/>
      <c r="V682" s="214"/>
      <c r="W682" s="214"/>
      <c r="X682" s="137" t="s">
        <v>125</v>
      </c>
      <c r="Y682" s="163" t="str">
        <f>DB!$D$6</f>
        <v>UPS 650VA, AVR, 230V</v>
      </c>
      <c r="Z682" s="152"/>
      <c r="AA682" s="149"/>
      <c r="AB682" s="136"/>
      <c r="AC682" s="139"/>
      <c r="AD682" s="139"/>
      <c r="AE682" s="139"/>
      <c r="AF682" s="139"/>
    </row>
    <row r="683" spans="1:32" ht="12.75">
      <c r="A683" s="136" t="e">
        <f ca="1"/>
        <v>#NAME?</v>
      </c>
      <c r="B683" s="188" t="s">
        <v>483</v>
      </c>
      <c r="C683" s="197">
        <v>1</v>
      </c>
      <c r="D683" s="189" t="s">
        <v>103</v>
      </c>
      <c r="E683" s="240"/>
      <c r="F683" s="240"/>
      <c r="G683" s="178"/>
      <c r="H683" s="199">
        <v>1</v>
      </c>
      <c r="I683" s="203">
        <v>1</v>
      </c>
      <c r="J683" s="197"/>
      <c r="K683" s="197"/>
      <c r="L683" s="199">
        <v>0</v>
      </c>
      <c r="M683" s="203"/>
      <c r="N683" s="197"/>
      <c r="O683" s="197"/>
      <c r="P683" s="199">
        <v>0</v>
      </c>
      <c r="Q683" s="203"/>
      <c r="R683" s="197"/>
      <c r="S683" s="197"/>
      <c r="T683" s="199">
        <v>0</v>
      </c>
      <c r="U683" s="183"/>
      <c r="V683" s="183"/>
      <c r="W683" s="183"/>
      <c r="X683" s="137" t="s">
        <v>125</v>
      </c>
      <c r="Y683" s="164"/>
      <c r="Z683" s="154" t="s">
        <v>453</v>
      </c>
      <c r="AA683" s="241"/>
      <c r="AB683" s="136"/>
      <c r="AC683" s="139"/>
      <c r="AD683" s="139"/>
      <c r="AE683" s="139"/>
      <c r="AF683" s="139"/>
    </row>
    <row r="684" spans="1:32" ht="12.75">
      <c r="A684" s="136" t="e">
        <f ca="1"/>
        <v>#NAME?</v>
      </c>
      <c r="B684" s="192" t="s">
        <v>921</v>
      </c>
      <c r="C684" s="197">
        <v>2</v>
      </c>
      <c r="D684" s="189" t="s">
        <v>466</v>
      </c>
      <c r="E684" s="242"/>
      <c r="F684" s="242"/>
      <c r="G684" s="178"/>
      <c r="H684" s="199">
        <v>1</v>
      </c>
      <c r="I684" s="203">
        <v>1</v>
      </c>
      <c r="J684" s="197"/>
      <c r="K684" s="197"/>
      <c r="L684" s="199">
        <v>0</v>
      </c>
      <c r="M684" s="203"/>
      <c r="N684" s="197"/>
      <c r="O684" s="197"/>
      <c r="P684" s="199">
        <v>1</v>
      </c>
      <c r="Q684" s="203">
        <v>1</v>
      </c>
      <c r="R684" s="197"/>
      <c r="S684" s="197"/>
      <c r="T684" s="199">
        <v>0</v>
      </c>
      <c r="U684" s="178"/>
      <c r="V684" s="178"/>
      <c r="W684" s="178"/>
      <c r="X684" s="137" t="s">
        <v>125</v>
      </c>
      <c r="Y684" s="163" t="str">
        <f>DB!$D$76</f>
        <v>Dot Matrix Printer 24-Pin</v>
      </c>
      <c r="Z684" s="154"/>
      <c r="AA684" s="241"/>
      <c r="AB684" s="136"/>
      <c r="AC684" s="139"/>
      <c r="AD684" s="139"/>
      <c r="AE684" s="139"/>
      <c r="AF684" s="139"/>
    </row>
    <row r="685" spans="1:32" ht="12.75">
      <c r="A685" s="136" t="e">
        <f ca="1"/>
        <v>#NAME?</v>
      </c>
      <c r="B685" s="192" t="s">
        <v>922</v>
      </c>
      <c r="C685" s="197">
        <v>2</v>
      </c>
      <c r="D685" s="189" t="s">
        <v>103</v>
      </c>
      <c r="E685" s="242"/>
      <c r="F685" s="242"/>
      <c r="G685" s="178"/>
      <c r="H685" s="199">
        <v>1</v>
      </c>
      <c r="I685" s="203">
        <v>1</v>
      </c>
      <c r="J685" s="197"/>
      <c r="K685" s="197"/>
      <c r="L685" s="199">
        <v>0</v>
      </c>
      <c r="M685" s="203"/>
      <c r="N685" s="197"/>
      <c r="O685" s="197"/>
      <c r="P685" s="199">
        <v>1</v>
      </c>
      <c r="Q685" s="203">
        <v>1</v>
      </c>
      <c r="R685" s="197"/>
      <c r="S685" s="197"/>
      <c r="T685" s="199">
        <v>0</v>
      </c>
      <c r="U685" s="178"/>
      <c r="V685" s="178"/>
      <c r="W685" s="178"/>
      <c r="X685" s="137" t="s">
        <v>125</v>
      </c>
      <c r="Y685" s="155" t="str">
        <f>DB!$D$40</f>
        <v>21.5" FHD LED Monitor</v>
      </c>
      <c r="Z685" s="154"/>
      <c r="AA685" s="149"/>
      <c r="AB685" s="136"/>
      <c r="AC685" s="139"/>
      <c r="AD685" s="139"/>
      <c r="AE685" s="139"/>
      <c r="AF685" s="139"/>
    </row>
    <row r="686" spans="1:32" ht="12.75">
      <c r="A686" s="136" t="e">
        <f ca="1"/>
        <v>#NAME?</v>
      </c>
      <c r="B686" s="192" t="s">
        <v>923</v>
      </c>
      <c r="C686" s="197">
        <v>2</v>
      </c>
      <c r="D686" s="189" t="s">
        <v>103</v>
      </c>
      <c r="E686" s="242"/>
      <c r="F686" s="242"/>
      <c r="G686" s="178"/>
      <c r="H686" s="199">
        <v>1</v>
      </c>
      <c r="I686" s="203">
        <v>1</v>
      </c>
      <c r="J686" s="197"/>
      <c r="K686" s="197"/>
      <c r="L686" s="199">
        <v>0</v>
      </c>
      <c r="M686" s="203"/>
      <c r="N686" s="197"/>
      <c r="O686" s="197"/>
      <c r="P686" s="199">
        <v>1</v>
      </c>
      <c r="Q686" s="203">
        <v>1</v>
      </c>
      <c r="R686" s="197"/>
      <c r="S686" s="197"/>
      <c r="T686" s="199">
        <v>0</v>
      </c>
      <c r="U686" s="178"/>
      <c r="V686" s="178"/>
      <c r="W686" s="178"/>
      <c r="X686" s="137" t="s">
        <v>125</v>
      </c>
      <c r="Y686" s="155"/>
      <c r="Z686" s="154"/>
      <c r="AA686" s="149" t="s">
        <v>453</v>
      </c>
      <c r="AB686" s="136"/>
      <c r="AC686" s="139"/>
      <c r="AD686" s="139"/>
      <c r="AE686" s="139"/>
      <c r="AF686" s="139"/>
    </row>
    <row r="687" spans="1:32" ht="12.75">
      <c r="A687" s="136" t="e">
        <f ca="1"/>
        <v>#NAME?</v>
      </c>
      <c r="B687" s="192" t="s">
        <v>817</v>
      </c>
      <c r="C687" s="197">
        <v>1</v>
      </c>
      <c r="D687" s="189" t="s">
        <v>103</v>
      </c>
      <c r="E687" s="242"/>
      <c r="F687" s="242"/>
      <c r="G687" s="178"/>
      <c r="H687" s="199">
        <v>1</v>
      </c>
      <c r="I687" s="203">
        <v>1</v>
      </c>
      <c r="J687" s="197"/>
      <c r="K687" s="197"/>
      <c r="L687" s="199">
        <v>0</v>
      </c>
      <c r="M687" s="203"/>
      <c r="N687" s="197"/>
      <c r="O687" s="197"/>
      <c r="P687" s="199">
        <v>0</v>
      </c>
      <c r="Q687" s="203"/>
      <c r="R687" s="197"/>
      <c r="S687" s="197"/>
      <c r="T687" s="199">
        <v>0</v>
      </c>
      <c r="U687" s="178"/>
      <c r="V687" s="178"/>
      <c r="W687" s="178"/>
      <c r="X687" s="137" t="s">
        <v>125</v>
      </c>
      <c r="Y687" s="163" t="str">
        <f>DB!$D$37</f>
        <v>Single Line Telephone (Black)</v>
      </c>
      <c r="Z687" s="154"/>
      <c r="AA687" s="241"/>
      <c r="AB687" s="136"/>
      <c r="AC687" s="139"/>
      <c r="AD687" s="139"/>
      <c r="AE687" s="139"/>
      <c r="AF687" s="139"/>
    </row>
    <row r="688" spans="1:32" ht="12.75">
      <c r="A688" s="136" t="e">
        <f ca="1"/>
        <v>#NAME?</v>
      </c>
      <c r="B688" s="188" t="s">
        <v>234</v>
      </c>
      <c r="C688" s="203">
        <v>2</v>
      </c>
      <c r="D688" s="189" t="s">
        <v>103</v>
      </c>
      <c r="E688" s="242"/>
      <c r="F688" s="242"/>
      <c r="G688" s="178"/>
      <c r="H688" s="158">
        <v>1</v>
      </c>
      <c r="I688" s="203">
        <v>1</v>
      </c>
      <c r="J688" s="197"/>
      <c r="K688" s="197"/>
      <c r="L688" s="158">
        <v>0</v>
      </c>
      <c r="M688" s="203"/>
      <c r="N688" s="197"/>
      <c r="O688" s="197"/>
      <c r="P688" s="158">
        <v>1</v>
      </c>
      <c r="Q688" s="203">
        <v>1</v>
      </c>
      <c r="R688" s="197"/>
      <c r="S688" s="197"/>
      <c r="T688" s="158">
        <v>0</v>
      </c>
      <c r="U688" s="178"/>
      <c r="V688" s="178"/>
      <c r="W688" s="178"/>
      <c r="X688" s="137" t="s">
        <v>123</v>
      </c>
      <c r="Y688" s="141" t="str">
        <f>DB!$D$168</f>
        <v>Keyboard, Full Size, USB 2.0</v>
      </c>
      <c r="Z688" s="154"/>
      <c r="AA688" s="241"/>
      <c r="AB688" s="136"/>
      <c r="AC688" s="139"/>
      <c r="AD688" s="139"/>
      <c r="AE688" s="139"/>
      <c r="AF688" s="139"/>
    </row>
    <row r="689" spans="1:32" ht="12.75">
      <c r="A689" s="136" t="e">
        <f ca="1"/>
        <v>#NAME?</v>
      </c>
      <c r="B689" s="192" t="s">
        <v>239</v>
      </c>
      <c r="C689" s="203">
        <v>2</v>
      </c>
      <c r="D689" s="189" t="s">
        <v>103</v>
      </c>
      <c r="E689" s="183"/>
      <c r="F689" s="243"/>
      <c r="G689" s="178"/>
      <c r="H689" s="199">
        <v>1</v>
      </c>
      <c r="I689" s="203">
        <v>1</v>
      </c>
      <c r="J689" s="197"/>
      <c r="K689" s="197"/>
      <c r="L689" s="199">
        <v>0</v>
      </c>
      <c r="M689" s="203"/>
      <c r="N689" s="197"/>
      <c r="O689" s="197"/>
      <c r="P689" s="199">
        <v>1</v>
      </c>
      <c r="Q689" s="203">
        <v>1</v>
      </c>
      <c r="R689" s="197"/>
      <c r="S689" s="197"/>
      <c r="T689" s="199">
        <v>0</v>
      </c>
      <c r="U689" s="183"/>
      <c r="V689" s="183"/>
      <c r="W689" s="244"/>
      <c r="X689" s="137" t="s">
        <v>123</v>
      </c>
      <c r="Y689" s="141" t="str">
        <f>DB!$D$169</f>
        <v>Mouse, Optical, USB 2.0</v>
      </c>
      <c r="Z689" s="154"/>
      <c r="AA689" s="149"/>
      <c r="AB689" s="136"/>
      <c r="AC689" s="139"/>
      <c r="AD689" s="139"/>
      <c r="AE689" s="139"/>
      <c r="AF689" s="139"/>
    </row>
    <row r="690" spans="1:32" ht="12.75">
      <c r="A690" s="136" t="e">
        <f ca="1"/>
        <v>#NAME?</v>
      </c>
      <c r="B690" s="192" t="s">
        <v>493</v>
      </c>
      <c r="C690" s="203">
        <v>1</v>
      </c>
      <c r="D690" s="189" t="s">
        <v>103</v>
      </c>
      <c r="E690" s="178"/>
      <c r="F690" s="243"/>
      <c r="G690" s="178"/>
      <c r="H690" s="199">
        <v>1</v>
      </c>
      <c r="I690" s="203">
        <v>1</v>
      </c>
      <c r="J690" s="197"/>
      <c r="K690" s="197"/>
      <c r="L690" s="199">
        <v>0</v>
      </c>
      <c r="M690" s="203"/>
      <c r="N690" s="197"/>
      <c r="O690" s="197"/>
      <c r="P690" s="199">
        <v>0</v>
      </c>
      <c r="Q690" s="203"/>
      <c r="R690" s="197"/>
      <c r="S690" s="197"/>
      <c r="T690" s="199">
        <v>0</v>
      </c>
      <c r="U690" s="178"/>
      <c r="V690" s="178"/>
      <c r="W690" s="244"/>
      <c r="X690" s="137" t="s">
        <v>123</v>
      </c>
      <c r="Y690" s="155" t="str">
        <f>DB!$D$276</f>
        <v>Ink Tank Printer</v>
      </c>
      <c r="Z690" s="154" t="s">
        <v>469</v>
      </c>
      <c r="AA690" s="149"/>
      <c r="AB690" s="136"/>
      <c r="AC690" s="139"/>
      <c r="AD690" s="139"/>
      <c r="AE690" s="139"/>
      <c r="AF690" s="139"/>
    </row>
    <row r="691" spans="1:32" ht="12.75">
      <c r="A691" s="136" t="e">
        <f ca="1"/>
        <v>#NAME?</v>
      </c>
      <c r="B691" s="192" t="s">
        <v>568</v>
      </c>
      <c r="C691" s="203">
        <v>2</v>
      </c>
      <c r="D691" s="189" t="s">
        <v>103</v>
      </c>
      <c r="E691" s="178"/>
      <c r="F691" s="243"/>
      <c r="G691" s="178"/>
      <c r="H691" s="199">
        <v>1</v>
      </c>
      <c r="I691" s="203">
        <v>1</v>
      </c>
      <c r="J691" s="197"/>
      <c r="K691" s="197"/>
      <c r="L691" s="199">
        <v>0</v>
      </c>
      <c r="M691" s="203"/>
      <c r="N691" s="197"/>
      <c r="O691" s="197"/>
      <c r="P691" s="199">
        <v>1</v>
      </c>
      <c r="Q691" s="203">
        <v>1</v>
      </c>
      <c r="R691" s="197"/>
      <c r="S691" s="197"/>
      <c r="T691" s="199">
        <v>0</v>
      </c>
      <c r="U691" s="178"/>
      <c r="V691" s="178"/>
      <c r="W691" s="244"/>
      <c r="X691" s="137" t="s">
        <v>123</v>
      </c>
      <c r="Y691" s="163" t="str">
        <f>DB!$D$6</f>
        <v>UPS 650VA, AVR, 230V</v>
      </c>
      <c r="Z691" s="152"/>
      <c r="AA691" s="149"/>
      <c r="AB691" s="136"/>
      <c r="AC691" s="139"/>
      <c r="AD691" s="139"/>
      <c r="AE691" s="139"/>
      <c r="AF691" s="139"/>
    </row>
    <row r="692" spans="1:32" ht="12.75">
      <c r="A692" s="136" t="e">
        <f ca="1"/>
        <v>#NAME?</v>
      </c>
      <c r="B692" s="188" t="s">
        <v>483</v>
      </c>
      <c r="C692" s="197">
        <v>1</v>
      </c>
      <c r="D692" s="189" t="s">
        <v>103</v>
      </c>
      <c r="E692" s="178"/>
      <c r="F692" s="243"/>
      <c r="G692" s="178"/>
      <c r="H692" s="199">
        <v>1</v>
      </c>
      <c r="I692" s="203">
        <v>1</v>
      </c>
      <c r="J692" s="197"/>
      <c r="K692" s="197"/>
      <c r="L692" s="199">
        <v>0</v>
      </c>
      <c r="M692" s="203"/>
      <c r="N692" s="197"/>
      <c r="O692" s="197"/>
      <c r="P692" s="199">
        <v>0</v>
      </c>
      <c r="Q692" s="203"/>
      <c r="R692" s="197"/>
      <c r="S692" s="197"/>
      <c r="T692" s="199">
        <v>0</v>
      </c>
      <c r="U692" s="178"/>
      <c r="V692" s="178"/>
      <c r="W692" s="244"/>
      <c r="X692" s="137" t="s">
        <v>123</v>
      </c>
      <c r="Y692" s="164"/>
      <c r="Z692" s="154" t="s">
        <v>453</v>
      </c>
      <c r="AA692" s="149"/>
      <c r="AB692" s="136"/>
      <c r="AC692" s="139"/>
      <c r="AD692" s="139"/>
      <c r="AE692" s="139"/>
      <c r="AF692" s="139"/>
    </row>
    <row r="693" spans="1:32" ht="12.75">
      <c r="A693" s="136" t="e">
        <f ca="1"/>
        <v>#NAME?</v>
      </c>
      <c r="B693" s="192" t="s">
        <v>921</v>
      </c>
      <c r="C693" s="197">
        <v>2</v>
      </c>
      <c r="D693" s="189" t="s">
        <v>466</v>
      </c>
      <c r="E693" s="182"/>
      <c r="F693" s="182"/>
      <c r="G693" s="178"/>
      <c r="H693" s="199">
        <v>1</v>
      </c>
      <c r="I693" s="203">
        <v>1</v>
      </c>
      <c r="J693" s="197"/>
      <c r="K693" s="197"/>
      <c r="L693" s="199">
        <v>0</v>
      </c>
      <c r="M693" s="203"/>
      <c r="N693" s="197"/>
      <c r="O693" s="197"/>
      <c r="P693" s="199">
        <v>1</v>
      </c>
      <c r="Q693" s="203">
        <v>1</v>
      </c>
      <c r="R693" s="197"/>
      <c r="S693" s="197"/>
      <c r="T693" s="199">
        <v>0</v>
      </c>
      <c r="U693" s="183"/>
      <c r="V693" s="183"/>
      <c r="W693" s="183"/>
      <c r="X693" s="137" t="s">
        <v>123</v>
      </c>
      <c r="Y693" s="163" t="str">
        <f>DB!$D$76</f>
        <v>Dot Matrix Printer 24-Pin</v>
      </c>
      <c r="Z693" s="154"/>
      <c r="AA693" s="149"/>
      <c r="AB693" s="136"/>
      <c r="AC693" s="139"/>
      <c r="AD693" s="139"/>
      <c r="AE693" s="139"/>
      <c r="AF693" s="139"/>
    </row>
    <row r="694" spans="1:32" ht="12.75">
      <c r="A694" s="136" t="e">
        <f ca="1"/>
        <v>#NAME?</v>
      </c>
      <c r="B694" s="192" t="s">
        <v>922</v>
      </c>
      <c r="C694" s="197">
        <v>2</v>
      </c>
      <c r="D694" s="189" t="s">
        <v>103</v>
      </c>
      <c r="E694" s="179"/>
      <c r="F694" s="179"/>
      <c r="G694" s="178"/>
      <c r="H694" s="199">
        <v>1</v>
      </c>
      <c r="I694" s="203">
        <v>1</v>
      </c>
      <c r="J694" s="197"/>
      <c r="K694" s="197"/>
      <c r="L694" s="199">
        <v>0</v>
      </c>
      <c r="M694" s="203"/>
      <c r="N694" s="197"/>
      <c r="O694" s="197"/>
      <c r="P694" s="199">
        <v>1</v>
      </c>
      <c r="Q694" s="203">
        <v>1</v>
      </c>
      <c r="R694" s="197"/>
      <c r="S694" s="197"/>
      <c r="T694" s="199">
        <v>0</v>
      </c>
      <c r="U694" s="178"/>
      <c r="V694" s="178"/>
      <c r="W694" s="178"/>
      <c r="X694" s="137" t="s">
        <v>123</v>
      </c>
      <c r="Y694" s="155" t="str">
        <f>DB!$D$40</f>
        <v>21.5" FHD LED Monitor</v>
      </c>
      <c r="Z694" s="154"/>
      <c r="AA694" s="149"/>
      <c r="AB694" s="136"/>
      <c r="AC694" s="139"/>
      <c r="AD694" s="139"/>
      <c r="AE694" s="139"/>
      <c r="AF694" s="139"/>
    </row>
    <row r="695" spans="1:32" ht="12.75">
      <c r="A695" s="136" t="e">
        <f ca="1"/>
        <v>#NAME?</v>
      </c>
      <c r="B695" s="192" t="s">
        <v>923</v>
      </c>
      <c r="C695" s="197">
        <v>2</v>
      </c>
      <c r="D695" s="189" t="s">
        <v>103</v>
      </c>
      <c r="E695" s="179"/>
      <c r="F695" s="179"/>
      <c r="G695" s="178"/>
      <c r="H695" s="199">
        <v>1</v>
      </c>
      <c r="I695" s="203">
        <v>1</v>
      </c>
      <c r="J695" s="197"/>
      <c r="K695" s="197"/>
      <c r="L695" s="199">
        <v>0</v>
      </c>
      <c r="M695" s="203"/>
      <c r="N695" s="197"/>
      <c r="O695" s="197"/>
      <c r="P695" s="199">
        <v>1</v>
      </c>
      <c r="Q695" s="203">
        <v>1</v>
      </c>
      <c r="R695" s="197"/>
      <c r="S695" s="197"/>
      <c r="T695" s="199">
        <v>0</v>
      </c>
      <c r="U695" s="178"/>
      <c r="V695" s="178"/>
      <c r="W695" s="178"/>
      <c r="X695" s="137" t="s">
        <v>123</v>
      </c>
      <c r="Y695" s="155"/>
      <c r="Z695" s="154"/>
      <c r="AA695" s="149" t="s">
        <v>453</v>
      </c>
      <c r="AB695" s="136"/>
      <c r="AC695" s="139"/>
      <c r="AD695" s="139"/>
      <c r="AE695" s="139"/>
      <c r="AF695" s="139"/>
    </row>
    <row r="696" spans="1:32" ht="12.75">
      <c r="A696" s="136" t="e">
        <f ca="1"/>
        <v>#NAME?</v>
      </c>
      <c r="B696" s="192" t="s">
        <v>817</v>
      </c>
      <c r="C696" s="197">
        <v>1</v>
      </c>
      <c r="D696" s="189" t="s">
        <v>103</v>
      </c>
      <c r="E696" s="178"/>
      <c r="F696" s="178"/>
      <c r="G696" s="178"/>
      <c r="H696" s="199">
        <v>1</v>
      </c>
      <c r="I696" s="203">
        <v>1</v>
      </c>
      <c r="J696" s="197"/>
      <c r="K696" s="197"/>
      <c r="L696" s="199">
        <v>0</v>
      </c>
      <c r="M696" s="203"/>
      <c r="N696" s="197"/>
      <c r="O696" s="197"/>
      <c r="P696" s="199">
        <v>0</v>
      </c>
      <c r="Q696" s="203"/>
      <c r="R696" s="197"/>
      <c r="S696" s="197"/>
      <c r="T696" s="199">
        <v>0</v>
      </c>
      <c r="U696" s="178"/>
      <c r="V696" s="178"/>
      <c r="W696" s="178"/>
      <c r="X696" s="137" t="s">
        <v>123</v>
      </c>
      <c r="Y696" s="163" t="str">
        <f>DB!$D$37</f>
        <v>Single Line Telephone (Black)</v>
      </c>
      <c r="Z696" s="154"/>
      <c r="AA696" s="149"/>
      <c r="AB696" s="136"/>
      <c r="AC696" s="139"/>
      <c r="AD696" s="139"/>
      <c r="AE696" s="139"/>
      <c r="AF696" s="139"/>
    </row>
    <row r="697" spans="1:32" ht="12.75">
      <c r="A697" s="136" t="e">
        <f ca="1"/>
        <v>#NAME?</v>
      </c>
      <c r="B697" s="188" t="s">
        <v>234</v>
      </c>
      <c r="C697" s="203">
        <v>2</v>
      </c>
      <c r="D697" s="189" t="s">
        <v>103</v>
      </c>
      <c r="E697" s="183"/>
      <c r="F697" s="243"/>
      <c r="G697" s="178"/>
      <c r="H697" s="158">
        <v>1</v>
      </c>
      <c r="I697" s="203">
        <v>1</v>
      </c>
      <c r="J697" s="197"/>
      <c r="K697" s="197"/>
      <c r="L697" s="158">
        <v>0</v>
      </c>
      <c r="M697" s="203"/>
      <c r="N697" s="197"/>
      <c r="O697" s="197"/>
      <c r="P697" s="158">
        <v>1</v>
      </c>
      <c r="Q697" s="203">
        <v>1</v>
      </c>
      <c r="R697" s="197"/>
      <c r="S697" s="197"/>
      <c r="T697" s="158">
        <v>0</v>
      </c>
      <c r="U697" s="244"/>
      <c r="V697" s="178"/>
      <c r="W697" s="178"/>
      <c r="X697" s="137" t="s">
        <v>126</v>
      </c>
      <c r="Y697" s="141" t="str">
        <f>DB!$D$168</f>
        <v>Keyboard, Full Size, USB 2.0</v>
      </c>
      <c r="Z697" s="154"/>
      <c r="AA697" s="149"/>
      <c r="AB697" s="136"/>
      <c r="AC697" s="139"/>
      <c r="AD697" s="139"/>
      <c r="AE697" s="139"/>
      <c r="AF697" s="139"/>
    </row>
    <row r="698" spans="1:32" ht="12.75">
      <c r="A698" s="136" t="e">
        <f ca="1"/>
        <v>#NAME?</v>
      </c>
      <c r="B698" s="192" t="s">
        <v>239</v>
      </c>
      <c r="C698" s="203">
        <v>2</v>
      </c>
      <c r="D698" s="189" t="s">
        <v>103</v>
      </c>
      <c r="E698" s="178"/>
      <c r="F698" s="243"/>
      <c r="G698" s="178"/>
      <c r="H698" s="199">
        <v>1</v>
      </c>
      <c r="I698" s="203">
        <v>1</v>
      </c>
      <c r="J698" s="197"/>
      <c r="K698" s="197"/>
      <c r="L698" s="199">
        <v>0</v>
      </c>
      <c r="M698" s="203"/>
      <c r="N698" s="197"/>
      <c r="O698" s="197"/>
      <c r="P698" s="199">
        <v>1</v>
      </c>
      <c r="Q698" s="203">
        <v>1</v>
      </c>
      <c r="R698" s="197"/>
      <c r="S698" s="197"/>
      <c r="T698" s="199">
        <v>0</v>
      </c>
      <c r="U698" s="178"/>
      <c r="V698" s="178"/>
      <c r="W698" s="178"/>
      <c r="X698" s="137" t="s">
        <v>126</v>
      </c>
      <c r="Y698" s="141" t="str">
        <f>DB!$D$169</f>
        <v>Mouse, Optical, USB 2.0</v>
      </c>
      <c r="Z698" s="154"/>
      <c r="AA698" s="149"/>
      <c r="AB698" s="136"/>
      <c r="AC698" s="139"/>
      <c r="AD698" s="139"/>
      <c r="AE698" s="139"/>
      <c r="AF698" s="139"/>
    </row>
    <row r="699" spans="1:32" ht="12.75">
      <c r="A699" s="136" t="e">
        <f ca="1"/>
        <v>#NAME?</v>
      </c>
      <c r="B699" s="192" t="s">
        <v>493</v>
      </c>
      <c r="C699" s="203">
        <v>1</v>
      </c>
      <c r="D699" s="189" t="s">
        <v>103</v>
      </c>
      <c r="E699" s="178"/>
      <c r="F699" s="243"/>
      <c r="G699" s="178"/>
      <c r="H699" s="199">
        <v>1</v>
      </c>
      <c r="I699" s="203">
        <v>1</v>
      </c>
      <c r="J699" s="197"/>
      <c r="K699" s="197"/>
      <c r="L699" s="199">
        <v>0</v>
      </c>
      <c r="M699" s="203"/>
      <c r="N699" s="197"/>
      <c r="O699" s="197"/>
      <c r="P699" s="199">
        <v>0</v>
      </c>
      <c r="Q699" s="203"/>
      <c r="R699" s="197"/>
      <c r="S699" s="197"/>
      <c r="T699" s="199">
        <v>0</v>
      </c>
      <c r="U699" s="178"/>
      <c r="V699" s="178"/>
      <c r="W699" s="178"/>
      <c r="X699" s="137" t="s">
        <v>126</v>
      </c>
      <c r="Y699" s="155" t="str">
        <f>DB!$D$276</f>
        <v>Ink Tank Printer</v>
      </c>
      <c r="Z699" s="154" t="s">
        <v>469</v>
      </c>
      <c r="AA699" s="149"/>
      <c r="AB699" s="136"/>
      <c r="AC699" s="139"/>
      <c r="AD699" s="139"/>
      <c r="AE699" s="139"/>
      <c r="AF699" s="139"/>
    </row>
    <row r="700" spans="1:32" ht="12.75">
      <c r="A700" s="136" t="e">
        <f ca="1"/>
        <v>#NAME?</v>
      </c>
      <c r="B700" s="192" t="s">
        <v>568</v>
      </c>
      <c r="C700" s="203">
        <v>2</v>
      </c>
      <c r="D700" s="189" t="s">
        <v>103</v>
      </c>
      <c r="E700" s="178"/>
      <c r="F700" s="243"/>
      <c r="G700" s="178"/>
      <c r="H700" s="199">
        <v>1</v>
      </c>
      <c r="I700" s="203">
        <v>1</v>
      </c>
      <c r="J700" s="197"/>
      <c r="K700" s="197"/>
      <c r="L700" s="199">
        <v>0</v>
      </c>
      <c r="M700" s="203"/>
      <c r="N700" s="197"/>
      <c r="O700" s="197"/>
      <c r="P700" s="199">
        <v>1</v>
      </c>
      <c r="Q700" s="203">
        <v>1</v>
      </c>
      <c r="R700" s="197"/>
      <c r="S700" s="197"/>
      <c r="T700" s="199">
        <v>0</v>
      </c>
      <c r="U700" s="178"/>
      <c r="V700" s="178"/>
      <c r="W700" s="178"/>
      <c r="X700" s="137" t="s">
        <v>126</v>
      </c>
      <c r="Y700" s="163" t="str">
        <f>DB!$D$6</f>
        <v>UPS 650VA, AVR, 230V</v>
      </c>
      <c r="Z700" s="152"/>
      <c r="AA700" s="149"/>
      <c r="AB700" s="136"/>
      <c r="AC700" s="139"/>
      <c r="AD700" s="139"/>
      <c r="AE700" s="139"/>
      <c r="AF700" s="139"/>
    </row>
    <row r="701" spans="1:32" ht="12.75">
      <c r="A701" s="136" t="e">
        <f ca="1"/>
        <v>#NAME?</v>
      </c>
      <c r="B701" s="188" t="s">
        <v>483</v>
      </c>
      <c r="C701" s="197">
        <v>1</v>
      </c>
      <c r="D701" s="189" t="s">
        <v>103</v>
      </c>
      <c r="E701" s="240"/>
      <c r="F701" s="240"/>
      <c r="G701" s="178"/>
      <c r="H701" s="199">
        <v>1</v>
      </c>
      <c r="I701" s="203">
        <v>1</v>
      </c>
      <c r="J701" s="197"/>
      <c r="K701" s="197"/>
      <c r="L701" s="199">
        <v>0</v>
      </c>
      <c r="M701" s="203"/>
      <c r="N701" s="197"/>
      <c r="O701" s="197"/>
      <c r="P701" s="199">
        <v>0</v>
      </c>
      <c r="Q701" s="203"/>
      <c r="R701" s="197"/>
      <c r="S701" s="197"/>
      <c r="T701" s="199">
        <v>0</v>
      </c>
      <c r="U701" s="183"/>
      <c r="V701" s="183"/>
      <c r="W701" s="183"/>
      <c r="X701" s="137" t="s">
        <v>126</v>
      </c>
      <c r="Y701" s="164"/>
      <c r="Z701" s="154" t="s">
        <v>453</v>
      </c>
      <c r="AA701" s="149"/>
      <c r="AB701" s="136"/>
      <c r="AC701" s="139"/>
      <c r="AD701" s="139"/>
      <c r="AE701" s="139"/>
      <c r="AF701" s="139"/>
    </row>
    <row r="702" spans="1:32" ht="12.75">
      <c r="A702" s="136" t="e">
        <f ca="1"/>
        <v>#NAME?</v>
      </c>
      <c r="B702" s="192" t="s">
        <v>921</v>
      </c>
      <c r="C702" s="197">
        <v>2</v>
      </c>
      <c r="D702" s="189" t="s">
        <v>466</v>
      </c>
      <c r="E702" s="242"/>
      <c r="F702" s="242"/>
      <c r="G702" s="178"/>
      <c r="H702" s="199">
        <v>1</v>
      </c>
      <c r="I702" s="203">
        <v>1</v>
      </c>
      <c r="J702" s="197"/>
      <c r="K702" s="197"/>
      <c r="L702" s="199">
        <v>0</v>
      </c>
      <c r="M702" s="203"/>
      <c r="N702" s="197"/>
      <c r="O702" s="197"/>
      <c r="P702" s="199">
        <v>1</v>
      </c>
      <c r="Q702" s="203">
        <v>1</v>
      </c>
      <c r="R702" s="197"/>
      <c r="S702" s="197"/>
      <c r="T702" s="199">
        <v>0</v>
      </c>
      <c r="U702" s="178"/>
      <c r="V702" s="178"/>
      <c r="W702" s="178"/>
      <c r="X702" s="137" t="s">
        <v>126</v>
      </c>
      <c r="Y702" s="163" t="str">
        <f>DB!$D$76</f>
        <v>Dot Matrix Printer 24-Pin</v>
      </c>
      <c r="Z702" s="154"/>
      <c r="AA702" s="241"/>
      <c r="AB702" s="136"/>
      <c r="AC702" s="139"/>
      <c r="AD702" s="139"/>
      <c r="AE702" s="139"/>
      <c r="AF702" s="139"/>
    </row>
    <row r="703" spans="1:32" ht="12.75">
      <c r="A703" s="136" t="e">
        <f ca="1"/>
        <v>#NAME?</v>
      </c>
      <c r="B703" s="192" t="s">
        <v>922</v>
      </c>
      <c r="C703" s="197">
        <v>2</v>
      </c>
      <c r="D703" s="189" t="s">
        <v>103</v>
      </c>
      <c r="E703" s="242"/>
      <c r="F703" s="242"/>
      <c r="G703" s="178"/>
      <c r="H703" s="199">
        <v>1</v>
      </c>
      <c r="I703" s="203">
        <v>1</v>
      </c>
      <c r="J703" s="197"/>
      <c r="K703" s="197"/>
      <c r="L703" s="199">
        <v>0</v>
      </c>
      <c r="M703" s="203"/>
      <c r="N703" s="197"/>
      <c r="O703" s="197"/>
      <c r="P703" s="199">
        <v>1</v>
      </c>
      <c r="Q703" s="203">
        <v>1</v>
      </c>
      <c r="R703" s="197"/>
      <c r="S703" s="197"/>
      <c r="T703" s="199">
        <v>0</v>
      </c>
      <c r="U703" s="178"/>
      <c r="V703" s="178"/>
      <c r="W703" s="178"/>
      <c r="X703" s="137" t="s">
        <v>126</v>
      </c>
      <c r="Y703" s="155" t="str">
        <f>DB!$D$40</f>
        <v>21.5" FHD LED Monitor</v>
      </c>
      <c r="Z703" s="154"/>
      <c r="AA703" s="241"/>
      <c r="AB703" s="136"/>
      <c r="AC703" s="139"/>
      <c r="AD703" s="139"/>
      <c r="AE703" s="139"/>
      <c r="AF703" s="139"/>
    </row>
    <row r="704" spans="1:32" ht="12.75">
      <c r="A704" s="136" t="e">
        <f ca="1"/>
        <v>#NAME?</v>
      </c>
      <c r="B704" s="192" t="s">
        <v>923</v>
      </c>
      <c r="C704" s="197">
        <v>2</v>
      </c>
      <c r="D704" s="189" t="s">
        <v>103</v>
      </c>
      <c r="E704" s="242"/>
      <c r="F704" s="242"/>
      <c r="G704" s="178"/>
      <c r="H704" s="199">
        <v>1</v>
      </c>
      <c r="I704" s="203">
        <v>1</v>
      </c>
      <c r="J704" s="197"/>
      <c r="K704" s="197"/>
      <c r="L704" s="199">
        <v>0</v>
      </c>
      <c r="M704" s="203"/>
      <c r="N704" s="197"/>
      <c r="O704" s="197"/>
      <c r="P704" s="199">
        <v>1</v>
      </c>
      <c r="Q704" s="203">
        <v>1</v>
      </c>
      <c r="R704" s="197"/>
      <c r="S704" s="197"/>
      <c r="T704" s="199">
        <v>0</v>
      </c>
      <c r="U704" s="178"/>
      <c r="V704" s="178"/>
      <c r="W704" s="178"/>
      <c r="X704" s="137" t="s">
        <v>126</v>
      </c>
      <c r="Y704" s="155"/>
      <c r="Z704" s="154"/>
      <c r="AA704" s="149" t="s">
        <v>453</v>
      </c>
      <c r="AB704" s="136"/>
      <c r="AC704" s="139"/>
      <c r="AD704" s="139"/>
      <c r="AE704" s="139"/>
      <c r="AF704" s="139"/>
    </row>
    <row r="705" spans="1:32" ht="12.75">
      <c r="A705" s="136" t="e">
        <f ca="1"/>
        <v>#NAME?</v>
      </c>
      <c r="B705" s="192" t="s">
        <v>817</v>
      </c>
      <c r="C705" s="197">
        <v>1</v>
      </c>
      <c r="D705" s="189" t="s">
        <v>103</v>
      </c>
      <c r="E705" s="242"/>
      <c r="F705" s="242"/>
      <c r="G705" s="178"/>
      <c r="H705" s="199">
        <v>1</v>
      </c>
      <c r="I705" s="203">
        <v>1</v>
      </c>
      <c r="J705" s="197"/>
      <c r="K705" s="197"/>
      <c r="L705" s="199">
        <v>0</v>
      </c>
      <c r="M705" s="203"/>
      <c r="N705" s="197"/>
      <c r="O705" s="197"/>
      <c r="P705" s="199">
        <v>0</v>
      </c>
      <c r="Q705" s="203"/>
      <c r="R705" s="197"/>
      <c r="S705" s="197"/>
      <c r="T705" s="199">
        <v>0</v>
      </c>
      <c r="U705" s="178"/>
      <c r="V705" s="178"/>
      <c r="W705" s="178"/>
      <c r="X705" s="137" t="s">
        <v>126</v>
      </c>
      <c r="Y705" s="163" t="str">
        <f>DB!$D$37</f>
        <v>Single Line Telephone (Black)</v>
      </c>
      <c r="Z705" s="154"/>
      <c r="AA705" s="241"/>
      <c r="AB705" s="136"/>
      <c r="AC705" s="139"/>
      <c r="AD705" s="139"/>
      <c r="AE705" s="139"/>
      <c r="AF705" s="139"/>
    </row>
    <row r="706" spans="1:32" ht="12.75">
      <c r="A706" s="136" t="e">
        <f ca="1"/>
        <v>#NAME?</v>
      </c>
      <c r="B706" s="188" t="s">
        <v>234</v>
      </c>
      <c r="C706" s="203">
        <v>2</v>
      </c>
      <c r="D706" s="189" t="s">
        <v>103</v>
      </c>
      <c r="E706" s="242"/>
      <c r="F706" s="242"/>
      <c r="G706" s="178"/>
      <c r="H706" s="158">
        <v>1</v>
      </c>
      <c r="I706" s="203">
        <v>1</v>
      </c>
      <c r="J706" s="197"/>
      <c r="K706" s="197"/>
      <c r="L706" s="158">
        <v>0</v>
      </c>
      <c r="M706" s="203"/>
      <c r="N706" s="197"/>
      <c r="O706" s="197"/>
      <c r="P706" s="158">
        <v>1</v>
      </c>
      <c r="Q706" s="203">
        <v>1</v>
      </c>
      <c r="R706" s="197"/>
      <c r="S706" s="197"/>
      <c r="T706" s="158">
        <v>0</v>
      </c>
      <c r="U706" s="178"/>
      <c r="V706" s="178"/>
      <c r="W706" s="178"/>
      <c r="X706" s="137" t="s">
        <v>128</v>
      </c>
      <c r="Y706" s="141" t="str">
        <f>DB!$D$168</f>
        <v>Keyboard, Full Size, USB 2.0</v>
      </c>
      <c r="Z706" s="154"/>
      <c r="AA706" s="241"/>
      <c r="AB706" s="136"/>
      <c r="AC706" s="139"/>
      <c r="AD706" s="139"/>
      <c r="AE706" s="139"/>
      <c r="AF706" s="139"/>
    </row>
    <row r="707" spans="1:32" ht="12.75">
      <c r="A707" s="136" t="e">
        <f ca="1"/>
        <v>#NAME?</v>
      </c>
      <c r="B707" s="192" t="s">
        <v>239</v>
      </c>
      <c r="C707" s="203">
        <v>2</v>
      </c>
      <c r="D707" s="189" t="s">
        <v>103</v>
      </c>
      <c r="E707" s="242"/>
      <c r="F707" s="242"/>
      <c r="G707" s="178"/>
      <c r="H707" s="199">
        <v>1</v>
      </c>
      <c r="I707" s="203">
        <v>1</v>
      </c>
      <c r="J707" s="197"/>
      <c r="K707" s="197"/>
      <c r="L707" s="199">
        <v>0</v>
      </c>
      <c r="M707" s="203"/>
      <c r="N707" s="197"/>
      <c r="O707" s="197"/>
      <c r="P707" s="199">
        <v>1</v>
      </c>
      <c r="Q707" s="203">
        <v>1</v>
      </c>
      <c r="R707" s="197"/>
      <c r="S707" s="197"/>
      <c r="T707" s="199">
        <v>0</v>
      </c>
      <c r="U707" s="178"/>
      <c r="V707" s="178"/>
      <c r="W707" s="178"/>
      <c r="X707" s="137" t="s">
        <v>128</v>
      </c>
      <c r="Y707" s="141" t="str">
        <f>DB!$D$169</f>
        <v>Mouse, Optical, USB 2.0</v>
      </c>
      <c r="Z707" s="154"/>
      <c r="AA707" s="241"/>
      <c r="AB707" s="136"/>
      <c r="AC707" s="139"/>
      <c r="AD707" s="139"/>
      <c r="AE707" s="139"/>
      <c r="AF707" s="139"/>
    </row>
    <row r="708" spans="1:32" ht="12.75">
      <c r="A708" s="136" t="e">
        <f ca="1"/>
        <v>#NAME?</v>
      </c>
      <c r="B708" s="192" t="s">
        <v>493</v>
      </c>
      <c r="C708" s="203">
        <v>1</v>
      </c>
      <c r="D708" s="189" t="s">
        <v>103</v>
      </c>
      <c r="E708" s="245"/>
      <c r="F708" s="246"/>
      <c r="G708" s="178"/>
      <c r="H708" s="199">
        <v>1</v>
      </c>
      <c r="I708" s="203">
        <v>1</v>
      </c>
      <c r="J708" s="197"/>
      <c r="K708" s="197"/>
      <c r="L708" s="199">
        <v>0</v>
      </c>
      <c r="M708" s="203"/>
      <c r="N708" s="197"/>
      <c r="O708" s="197"/>
      <c r="P708" s="199">
        <v>0</v>
      </c>
      <c r="Q708" s="203"/>
      <c r="R708" s="197"/>
      <c r="S708" s="197"/>
      <c r="T708" s="199">
        <v>0</v>
      </c>
      <c r="U708" s="237"/>
      <c r="V708" s="237"/>
      <c r="W708" s="237"/>
      <c r="X708" s="137" t="s">
        <v>128</v>
      </c>
      <c r="Y708" s="155" t="str">
        <f>DB!$D$276</f>
        <v>Ink Tank Printer</v>
      </c>
      <c r="Z708" s="154" t="s">
        <v>469</v>
      </c>
      <c r="AA708" s="241"/>
      <c r="AB708" s="136"/>
      <c r="AC708" s="139"/>
      <c r="AD708" s="139"/>
      <c r="AE708" s="139"/>
      <c r="AF708" s="139"/>
    </row>
    <row r="709" spans="1:32" ht="12.75">
      <c r="A709" s="136" t="e">
        <f ca="1"/>
        <v>#NAME?</v>
      </c>
      <c r="B709" s="192" t="s">
        <v>568</v>
      </c>
      <c r="C709" s="203">
        <v>2</v>
      </c>
      <c r="D709" s="189" t="s">
        <v>103</v>
      </c>
      <c r="E709" s="247"/>
      <c r="F709" s="242"/>
      <c r="G709" s="178"/>
      <c r="H709" s="199">
        <v>1</v>
      </c>
      <c r="I709" s="203">
        <v>1</v>
      </c>
      <c r="J709" s="197"/>
      <c r="K709" s="197"/>
      <c r="L709" s="199">
        <v>0</v>
      </c>
      <c r="M709" s="203"/>
      <c r="N709" s="197"/>
      <c r="O709" s="197"/>
      <c r="P709" s="199">
        <v>1</v>
      </c>
      <c r="Q709" s="203">
        <v>1</v>
      </c>
      <c r="R709" s="197"/>
      <c r="S709" s="197"/>
      <c r="T709" s="199">
        <v>0</v>
      </c>
      <c r="U709" s="248"/>
      <c r="V709" s="248"/>
      <c r="W709" s="248"/>
      <c r="X709" s="137" t="s">
        <v>128</v>
      </c>
      <c r="Y709" s="163" t="str">
        <f>DB!$D$6</f>
        <v>UPS 650VA, AVR, 230V</v>
      </c>
      <c r="Z709" s="152"/>
      <c r="AA709" s="241"/>
      <c r="AB709" s="136"/>
      <c r="AC709" s="139"/>
      <c r="AD709" s="139"/>
      <c r="AE709" s="139"/>
      <c r="AF709" s="139"/>
    </row>
    <row r="710" spans="1:32" ht="12.75">
      <c r="A710" s="136" t="e">
        <f ca="1"/>
        <v>#NAME?</v>
      </c>
      <c r="B710" s="188" t="s">
        <v>483</v>
      </c>
      <c r="C710" s="197">
        <v>1</v>
      </c>
      <c r="D710" s="189" t="s">
        <v>103</v>
      </c>
      <c r="E710" s="247"/>
      <c r="F710" s="242"/>
      <c r="G710" s="178"/>
      <c r="H710" s="199">
        <v>1</v>
      </c>
      <c r="I710" s="203">
        <v>1</v>
      </c>
      <c r="J710" s="197"/>
      <c r="K710" s="197"/>
      <c r="L710" s="199">
        <v>0</v>
      </c>
      <c r="M710" s="203"/>
      <c r="N710" s="197"/>
      <c r="O710" s="197"/>
      <c r="P710" s="199">
        <v>0</v>
      </c>
      <c r="Q710" s="203"/>
      <c r="R710" s="197"/>
      <c r="S710" s="197"/>
      <c r="T710" s="199">
        <v>0</v>
      </c>
      <c r="U710" s="248"/>
      <c r="V710" s="248"/>
      <c r="W710" s="248"/>
      <c r="X710" s="137" t="s">
        <v>128</v>
      </c>
      <c r="Y710" s="164"/>
      <c r="Z710" s="154" t="s">
        <v>453</v>
      </c>
      <c r="AA710" s="241"/>
      <c r="AB710" s="136"/>
      <c r="AC710" s="139"/>
      <c r="AD710" s="139"/>
      <c r="AE710" s="139"/>
      <c r="AF710" s="139"/>
    </row>
    <row r="711" spans="1:32" ht="12.75">
      <c r="A711" s="136" t="e">
        <f ca="1"/>
        <v>#NAME?</v>
      </c>
      <c r="B711" s="192" t="s">
        <v>921</v>
      </c>
      <c r="C711" s="197">
        <v>2</v>
      </c>
      <c r="D711" s="189" t="s">
        <v>466</v>
      </c>
      <c r="E711" s="247"/>
      <c r="F711" s="242"/>
      <c r="G711" s="178"/>
      <c r="H711" s="199">
        <v>1</v>
      </c>
      <c r="I711" s="203">
        <v>1</v>
      </c>
      <c r="J711" s="197"/>
      <c r="K711" s="197"/>
      <c r="L711" s="199">
        <v>0</v>
      </c>
      <c r="M711" s="203"/>
      <c r="N711" s="197"/>
      <c r="O711" s="197"/>
      <c r="P711" s="199">
        <v>1</v>
      </c>
      <c r="Q711" s="203">
        <v>1</v>
      </c>
      <c r="R711" s="197"/>
      <c r="S711" s="197"/>
      <c r="T711" s="199">
        <v>0</v>
      </c>
      <c r="U711" s="248"/>
      <c r="V711" s="248"/>
      <c r="W711" s="248"/>
      <c r="X711" s="137" t="s">
        <v>128</v>
      </c>
      <c r="Y711" s="163" t="str">
        <f>DB!$D$76</f>
        <v>Dot Matrix Printer 24-Pin</v>
      </c>
      <c r="Z711" s="154"/>
      <c r="AA711" s="241"/>
      <c r="AB711" s="136"/>
      <c r="AC711" s="139"/>
      <c r="AD711" s="139"/>
      <c r="AE711" s="139"/>
      <c r="AF711" s="139"/>
    </row>
    <row r="712" spans="1:32" ht="12.75">
      <c r="A712" s="136" t="e">
        <f ca="1"/>
        <v>#NAME?</v>
      </c>
      <c r="B712" s="192" t="s">
        <v>922</v>
      </c>
      <c r="C712" s="197">
        <v>2</v>
      </c>
      <c r="D712" s="189" t="s">
        <v>103</v>
      </c>
      <c r="E712" s="249"/>
      <c r="F712" s="242"/>
      <c r="G712" s="178"/>
      <c r="H712" s="199">
        <v>1</v>
      </c>
      <c r="I712" s="203">
        <v>1</v>
      </c>
      <c r="J712" s="197"/>
      <c r="K712" s="197"/>
      <c r="L712" s="199">
        <v>0</v>
      </c>
      <c r="M712" s="203"/>
      <c r="N712" s="197"/>
      <c r="O712" s="197"/>
      <c r="P712" s="199">
        <v>1</v>
      </c>
      <c r="Q712" s="203">
        <v>1</v>
      </c>
      <c r="R712" s="197"/>
      <c r="S712" s="197"/>
      <c r="T712" s="199">
        <v>0</v>
      </c>
      <c r="U712" s="248"/>
      <c r="V712" s="248"/>
      <c r="W712" s="248"/>
      <c r="X712" s="137" t="s">
        <v>128</v>
      </c>
      <c r="Y712" s="155" t="str">
        <f>DB!$D$40</f>
        <v>21.5" FHD LED Monitor</v>
      </c>
      <c r="Z712" s="154"/>
      <c r="AA712" s="241"/>
      <c r="AB712" s="136"/>
      <c r="AC712" s="139"/>
      <c r="AD712" s="139"/>
      <c r="AE712" s="139"/>
      <c r="AF712" s="139"/>
    </row>
    <row r="713" spans="1:32" ht="12.75">
      <c r="A713" s="136" t="e">
        <f ca="1"/>
        <v>#NAME?</v>
      </c>
      <c r="B713" s="192" t="s">
        <v>923</v>
      </c>
      <c r="C713" s="197">
        <v>2</v>
      </c>
      <c r="D713" s="189" t="s">
        <v>103</v>
      </c>
      <c r="E713" s="249"/>
      <c r="F713" s="246"/>
      <c r="G713" s="178"/>
      <c r="H713" s="199">
        <v>1</v>
      </c>
      <c r="I713" s="203">
        <v>1</v>
      </c>
      <c r="J713" s="197"/>
      <c r="K713" s="197"/>
      <c r="L713" s="199">
        <v>0</v>
      </c>
      <c r="M713" s="203"/>
      <c r="N713" s="197"/>
      <c r="O713" s="197"/>
      <c r="P713" s="199">
        <v>1</v>
      </c>
      <c r="Q713" s="203">
        <v>1</v>
      </c>
      <c r="R713" s="197"/>
      <c r="S713" s="197"/>
      <c r="T713" s="199">
        <v>0</v>
      </c>
      <c r="U713" s="248"/>
      <c r="V713" s="248"/>
      <c r="W713" s="248"/>
      <c r="X713" s="137" t="s">
        <v>128</v>
      </c>
      <c r="Y713" s="155"/>
      <c r="Z713" s="154"/>
      <c r="AA713" s="149" t="s">
        <v>453</v>
      </c>
      <c r="AB713" s="136"/>
      <c r="AC713" s="139"/>
      <c r="AD713" s="139"/>
      <c r="AE713" s="139"/>
      <c r="AF713" s="139"/>
    </row>
    <row r="714" spans="1:32" ht="12.75">
      <c r="A714" s="136" t="e">
        <f ca="1"/>
        <v>#NAME?</v>
      </c>
      <c r="B714" s="192" t="s">
        <v>817</v>
      </c>
      <c r="C714" s="197">
        <v>1</v>
      </c>
      <c r="D714" s="189" t="s">
        <v>103</v>
      </c>
      <c r="E714" s="249"/>
      <c r="F714" s="246"/>
      <c r="G714" s="178"/>
      <c r="H714" s="199">
        <v>1</v>
      </c>
      <c r="I714" s="203">
        <v>1</v>
      </c>
      <c r="J714" s="197"/>
      <c r="K714" s="197"/>
      <c r="L714" s="199">
        <v>0</v>
      </c>
      <c r="M714" s="203"/>
      <c r="N714" s="197"/>
      <c r="O714" s="197"/>
      <c r="P714" s="199">
        <v>0</v>
      </c>
      <c r="Q714" s="203"/>
      <c r="R714" s="197"/>
      <c r="S714" s="197"/>
      <c r="T714" s="199">
        <v>0</v>
      </c>
      <c r="U714" s="248"/>
      <c r="V714" s="248"/>
      <c r="W714" s="248"/>
      <c r="X714" s="137" t="s">
        <v>128</v>
      </c>
      <c r="Y714" s="163" t="str">
        <f>DB!$D$37</f>
        <v>Single Line Telephone (Black)</v>
      </c>
      <c r="Z714" s="154"/>
      <c r="AA714" s="241"/>
      <c r="AB714" s="136"/>
      <c r="AC714" s="139"/>
      <c r="AD714" s="139"/>
      <c r="AE714" s="139"/>
      <c r="AF714" s="139"/>
    </row>
    <row r="715" spans="1:32" ht="12.75">
      <c r="A715" s="136" t="e">
        <f ca="1"/>
        <v>#NAME?</v>
      </c>
      <c r="B715" s="188" t="s">
        <v>234</v>
      </c>
      <c r="C715" s="203">
        <v>2</v>
      </c>
      <c r="D715" s="189" t="s">
        <v>103</v>
      </c>
      <c r="E715" s="249"/>
      <c r="F715" s="246"/>
      <c r="G715" s="178"/>
      <c r="H715" s="158">
        <v>1</v>
      </c>
      <c r="I715" s="203">
        <v>1</v>
      </c>
      <c r="J715" s="197"/>
      <c r="K715" s="197"/>
      <c r="L715" s="158">
        <v>0</v>
      </c>
      <c r="M715" s="203"/>
      <c r="N715" s="197"/>
      <c r="O715" s="197"/>
      <c r="P715" s="158">
        <v>1</v>
      </c>
      <c r="Q715" s="203">
        <v>1</v>
      </c>
      <c r="R715" s="197"/>
      <c r="S715" s="197"/>
      <c r="T715" s="158">
        <v>0</v>
      </c>
      <c r="U715" s="248"/>
      <c r="V715" s="248"/>
      <c r="W715" s="248"/>
      <c r="X715" s="137" t="s">
        <v>130</v>
      </c>
      <c r="Y715" s="141" t="str">
        <f>DB!$D$168</f>
        <v>Keyboard, Full Size, USB 2.0</v>
      </c>
      <c r="Z715" s="154"/>
      <c r="AA715" s="241"/>
      <c r="AB715" s="136"/>
      <c r="AC715" s="139"/>
      <c r="AD715" s="139"/>
      <c r="AE715" s="139"/>
      <c r="AF715" s="139"/>
    </row>
    <row r="716" spans="1:32" ht="12.75">
      <c r="A716" s="136" t="e">
        <f ca="1"/>
        <v>#NAME?</v>
      </c>
      <c r="B716" s="192" t="s">
        <v>239</v>
      </c>
      <c r="C716" s="203">
        <v>2</v>
      </c>
      <c r="D716" s="189" t="s">
        <v>103</v>
      </c>
      <c r="E716" s="178"/>
      <c r="F716" s="183"/>
      <c r="G716" s="183"/>
      <c r="H716" s="199">
        <v>1</v>
      </c>
      <c r="I716" s="203">
        <v>1</v>
      </c>
      <c r="J716" s="197"/>
      <c r="K716" s="197"/>
      <c r="L716" s="199">
        <v>0</v>
      </c>
      <c r="M716" s="203"/>
      <c r="N716" s="197"/>
      <c r="O716" s="197"/>
      <c r="P716" s="199">
        <v>1</v>
      </c>
      <c r="Q716" s="203">
        <v>1</v>
      </c>
      <c r="R716" s="197"/>
      <c r="S716" s="197"/>
      <c r="T716" s="199">
        <v>0</v>
      </c>
      <c r="U716" s="183"/>
      <c r="V716" s="183"/>
      <c r="W716" s="183"/>
      <c r="X716" s="137" t="s">
        <v>130</v>
      </c>
      <c r="Y716" s="141" t="str">
        <f>DB!$D$169</f>
        <v>Mouse, Optical, USB 2.0</v>
      </c>
      <c r="Z716" s="154"/>
      <c r="AA716" s="149"/>
      <c r="AB716" s="136"/>
      <c r="AC716" s="139"/>
      <c r="AD716" s="139"/>
      <c r="AE716" s="139"/>
      <c r="AF716" s="139"/>
    </row>
    <row r="717" spans="1:32" ht="12.75">
      <c r="A717" s="136" t="e">
        <f ca="1"/>
        <v>#NAME?</v>
      </c>
      <c r="B717" s="192" t="s">
        <v>493</v>
      </c>
      <c r="C717" s="203">
        <v>1</v>
      </c>
      <c r="D717" s="189" t="s">
        <v>103</v>
      </c>
      <c r="E717" s="178"/>
      <c r="F717" s="178"/>
      <c r="G717" s="178"/>
      <c r="H717" s="199">
        <v>1</v>
      </c>
      <c r="I717" s="203">
        <v>1</v>
      </c>
      <c r="J717" s="197"/>
      <c r="K717" s="197"/>
      <c r="L717" s="199">
        <v>0</v>
      </c>
      <c r="M717" s="203"/>
      <c r="N717" s="197"/>
      <c r="O717" s="197"/>
      <c r="P717" s="199">
        <v>0</v>
      </c>
      <c r="Q717" s="203"/>
      <c r="R717" s="197"/>
      <c r="S717" s="197"/>
      <c r="T717" s="199">
        <v>0</v>
      </c>
      <c r="U717" s="178"/>
      <c r="V717" s="178"/>
      <c r="W717" s="178"/>
      <c r="X717" s="137" t="s">
        <v>130</v>
      </c>
      <c r="Y717" s="155" t="str">
        <f>DB!$D$276</f>
        <v>Ink Tank Printer</v>
      </c>
      <c r="Z717" s="154" t="s">
        <v>469</v>
      </c>
      <c r="AA717" s="149"/>
      <c r="AB717" s="136"/>
      <c r="AC717" s="139"/>
      <c r="AD717" s="139"/>
      <c r="AE717" s="139"/>
      <c r="AF717" s="139"/>
    </row>
    <row r="718" spans="1:32" ht="12.75">
      <c r="A718" s="136" t="e">
        <f ca="1"/>
        <v>#NAME?</v>
      </c>
      <c r="B718" s="192" t="s">
        <v>568</v>
      </c>
      <c r="C718" s="203">
        <v>2</v>
      </c>
      <c r="D718" s="189" t="s">
        <v>103</v>
      </c>
      <c r="E718" s="178"/>
      <c r="F718" s="179"/>
      <c r="G718" s="178"/>
      <c r="H718" s="199">
        <v>1</v>
      </c>
      <c r="I718" s="203">
        <v>1</v>
      </c>
      <c r="J718" s="197"/>
      <c r="K718" s="197"/>
      <c r="L718" s="199">
        <v>0</v>
      </c>
      <c r="M718" s="203"/>
      <c r="N718" s="197"/>
      <c r="O718" s="197"/>
      <c r="P718" s="199">
        <v>1</v>
      </c>
      <c r="Q718" s="203">
        <v>1</v>
      </c>
      <c r="R718" s="197"/>
      <c r="S718" s="197"/>
      <c r="T718" s="199">
        <v>0</v>
      </c>
      <c r="U718" s="178"/>
      <c r="V718" s="178"/>
      <c r="W718" s="178"/>
      <c r="X718" s="137" t="s">
        <v>130</v>
      </c>
      <c r="Y718" s="163" t="str">
        <f>DB!$D$6</f>
        <v>UPS 650VA, AVR, 230V</v>
      </c>
      <c r="Z718" s="152"/>
      <c r="AA718" s="149"/>
      <c r="AB718" s="136"/>
      <c r="AC718" s="139"/>
      <c r="AD718" s="139"/>
      <c r="AE718" s="139"/>
      <c r="AF718" s="139"/>
    </row>
    <row r="719" spans="1:32" ht="12.75">
      <c r="A719" s="136" t="e">
        <f ca="1"/>
        <v>#NAME?</v>
      </c>
      <c r="B719" s="188" t="s">
        <v>483</v>
      </c>
      <c r="C719" s="197">
        <v>1</v>
      </c>
      <c r="D719" s="189" t="s">
        <v>103</v>
      </c>
      <c r="E719" s="179"/>
      <c r="F719" s="179"/>
      <c r="G719" s="178"/>
      <c r="H719" s="199">
        <v>1</v>
      </c>
      <c r="I719" s="203">
        <v>1</v>
      </c>
      <c r="J719" s="197"/>
      <c r="K719" s="197"/>
      <c r="L719" s="199">
        <v>0</v>
      </c>
      <c r="M719" s="203"/>
      <c r="N719" s="197"/>
      <c r="O719" s="197"/>
      <c r="P719" s="199">
        <v>0</v>
      </c>
      <c r="Q719" s="203"/>
      <c r="R719" s="197"/>
      <c r="S719" s="197"/>
      <c r="T719" s="199">
        <v>0</v>
      </c>
      <c r="U719" s="178"/>
      <c r="V719" s="178"/>
      <c r="W719" s="178"/>
      <c r="X719" s="137" t="s">
        <v>130</v>
      </c>
      <c r="Y719" s="164"/>
      <c r="Z719" s="154" t="s">
        <v>453</v>
      </c>
      <c r="AA719" s="149"/>
      <c r="AB719" s="136"/>
      <c r="AC719" s="139"/>
      <c r="AD719" s="139"/>
      <c r="AE719" s="139"/>
      <c r="AF719" s="139"/>
    </row>
    <row r="720" spans="1:32" ht="12.75">
      <c r="A720" s="136" t="e">
        <f ca="1"/>
        <v>#NAME?</v>
      </c>
      <c r="B720" s="192" t="s">
        <v>921</v>
      </c>
      <c r="C720" s="197">
        <v>2</v>
      </c>
      <c r="D720" s="189" t="s">
        <v>466</v>
      </c>
      <c r="E720" s="179"/>
      <c r="F720" s="179"/>
      <c r="G720" s="178"/>
      <c r="H720" s="199">
        <v>1</v>
      </c>
      <c r="I720" s="203">
        <v>1</v>
      </c>
      <c r="J720" s="197"/>
      <c r="K720" s="197"/>
      <c r="L720" s="199">
        <v>0</v>
      </c>
      <c r="M720" s="203"/>
      <c r="N720" s="197"/>
      <c r="O720" s="197"/>
      <c r="P720" s="199">
        <v>1</v>
      </c>
      <c r="Q720" s="203">
        <v>1</v>
      </c>
      <c r="R720" s="197"/>
      <c r="S720" s="197"/>
      <c r="T720" s="199">
        <v>0</v>
      </c>
      <c r="U720" s="178"/>
      <c r="V720" s="178"/>
      <c r="W720" s="178"/>
      <c r="X720" s="137" t="s">
        <v>130</v>
      </c>
      <c r="Y720" s="163" t="str">
        <f>DB!$D$76</f>
        <v>Dot Matrix Printer 24-Pin</v>
      </c>
      <c r="Z720" s="154"/>
      <c r="AA720" s="149"/>
      <c r="AB720" s="136"/>
      <c r="AC720" s="139"/>
      <c r="AD720" s="139"/>
      <c r="AE720" s="139"/>
      <c r="AF720" s="139"/>
    </row>
    <row r="721" spans="1:32" ht="12.75">
      <c r="A721" s="136" t="e">
        <f ca="1"/>
        <v>#NAME?</v>
      </c>
      <c r="B721" s="192" t="s">
        <v>922</v>
      </c>
      <c r="C721" s="197">
        <v>2</v>
      </c>
      <c r="D721" s="189" t="s">
        <v>103</v>
      </c>
      <c r="E721" s="179"/>
      <c r="F721" s="179"/>
      <c r="G721" s="178"/>
      <c r="H721" s="199">
        <v>1</v>
      </c>
      <c r="I721" s="203">
        <v>1</v>
      </c>
      <c r="J721" s="197"/>
      <c r="K721" s="197"/>
      <c r="L721" s="199">
        <v>0</v>
      </c>
      <c r="M721" s="203"/>
      <c r="N721" s="197"/>
      <c r="O721" s="197"/>
      <c r="P721" s="199">
        <v>1</v>
      </c>
      <c r="Q721" s="203">
        <v>1</v>
      </c>
      <c r="R721" s="197"/>
      <c r="S721" s="197"/>
      <c r="T721" s="199">
        <v>0</v>
      </c>
      <c r="U721" s="178"/>
      <c r="V721" s="178"/>
      <c r="W721" s="178"/>
      <c r="X721" s="137" t="s">
        <v>130</v>
      </c>
      <c r="Y721" s="155" t="str">
        <f>DB!$D$40</f>
        <v>21.5" FHD LED Monitor</v>
      </c>
      <c r="Z721" s="154"/>
      <c r="AA721" s="149"/>
      <c r="AB721" s="136"/>
      <c r="AC721" s="139"/>
      <c r="AD721" s="139"/>
      <c r="AE721" s="139"/>
      <c r="AF721" s="139"/>
    </row>
    <row r="722" spans="1:32" ht="12.75">
      <c r="A722" s="136" t="e">
        <f ca="1"/>
        <v>#NAME?</v>
      </c>
      <c r="B722" s="192" t="s">
        <v>923</v>
      </c>
      <c r="C722" s="197">
        <v>2</v>
      </c>
      <c r="D722" s="189" t="s">
        <v>103</v>
      </c>
      <c r="E722" s="179"/>
      <c r="F722" s="179"/>
      <c r="G722" s="178"/>
      <c r="H722" s="199">
        <v>1</v>
      </c>
      <c r="I722" s="203">
        <v>1</v>
      </c>
      <c r="J722" s="197"/>
      <c r="K722" s="197"/>
      <c r="L722" s="199">
        <v>0</v>
      </c>
      <c r="M722" s="203"/>
      <c r="N722" s="197"/>
      <c r="O722" s="197"/>
      <c r="P722" s="199">
        <v>1</v>
      </c>
      <c r="Q722" s="203">
        <v>1</v>
      </c>
      <c r="R722" s="197"/>
      <c r="S722" s="197"/>
      <c r="T722" s="199">
        <v>0</v>
      </c>
      <c r="U722" s="178"/>
      <c r="V722" s="178"/>
      <c r="W722" s="178"/>
      <c r="X722" s="137" t="s">
        <v>130</v>
      </c>
      <c r="Y722" s="155"/>
      <c r="Z722" s="154"/>
      <c r="AA722" s="149" t="s">
        <v>453</v>
      </c>
      <c r="AB722" s="136"/>
      <c r="AC722" s="139"/>
      <c r="AD722" s="139"/>
      <c r="AE722" s="139"/>
      <c r="AF722" s="139"/>
    </row>
    <row r="723" spans="1:32" ht="12.75">
      <c r="A723" s="136" t="e">
        <f ca="1"/>
        <v>#NAME?</v>
      </c>
      <c r="B723" s="192" t="s">
        <v>817</v>
      </c>
      <c r="C723" s="197">
        <v>1</v>
      </c>
      <c r="D723" s="189" t="s">
        <v>103</v>
      </c>
      <c r="E723" s="179"/>
      <c r="F723" s="179"/>
      <c r="G723" s="178"/>
      <c r="H723" s="199">
        <v>1</v>
      </c>
      <c r="I723" s="203">
        <v>1</v>
      </c>
      <c r="J723" s="197"/>
      <c r="K723" s="197"/>
      <c r="L723" s="199">
        <v>0</v>
      </c>
      <c r="M723" s="203"/>
      <c r="N723" s="197"/>
      <c r="O723" s="197"/>
      <c r="P723" s="199">
        <v>0</v>
      </c>
      <c r="Q723" s="203"/>
      <c r="R723" s="197"/>
      <c r="S723" s="197"/>
      <c r="T723" s="199">
        <v>0</v>
      </c>
      <c r="U723" s="178"/>
      <c r="V723" s="178"/>
      <c r="W723" s="178"/>
      <c r="X723" s="137" t="s">
        <v>130</v>
      </c>
      <c r="Y723" s="163" t="str">
        <f>DB!$D$37</f>
        <v>Single Line Telephone (Black)</v>
      </c>
      <c r="Z723" s="154"/>
      <c r="AA723" s="149"/>
      <c r="AB723" s="136"/>
      <c r="AC723" s="139"/>
      <c r="AD723" s="139"/>
      <c r="AE723" s="139"/>
      <c r="AF723" s="139"/>
    </row>
    <row r="724" spans="1:32" ht="12.75">
      <c r="A724" s="136" t="e">
        <f ca="1"/>
        <v>#NAME?</v>
      </c>
      <c r="B724" s="195" t="s">
        <v>873</v>
      </c>
      <c r="C724" s="177">
        <v>4</v>
      </c>
      <c r="D724" s="177" t="s">
        <v>103</v>
      </c>
      <c r="E724" s="179"/>
      <c r="F724" s="179"/>
      <c r="G724" s="178"/>
      <c r="H724" s="152">
        <v>2</v>
      </c>
      <c r="I724" s="178"/>
      <c r="J724" s="178"/>
      <c r="K724" s="178"/>
      <c r="L724" s="246"/>
      <c r="M724" s="178"/>
      <c r="N724" s="178"/>
      <c r="O724" s="178"/>
      <c r="P724" s="152">
        <v>2</v>
      </c>
      <c r="Q724" s="178"/>
      <c r="R724" s="178"/>
      <c r="S724" s="190"/>
      <c r="T724" s="250"/>
      <c r="U724" s="178"/>
      <c r="V724" s="178"/>
      <c r="W724" s="178"/>
      <c r="X724" s="137" t="s">
        <v>181</v>
      </c>
      <c r="Y724" s="141" t="str">
        <f>DB!$D$168</f>
        <v>Keyboard, Full Size, USB 2.0</v>
      </c>
      <c r="Z724" s="154"/>
      <c r="AA724" s="149"/>
      <c r="AB724" s="136"/>
      <c r="AC724" s="139"/>
      <c r="AD724" s="139"/>
      <c r="AE724" s="139"/>
      <c r="AF724" s="139"/>
    </row>
    <row r="725" spans="1:32" ht="12.75">
      <c r="A725" s="136" t="e">
        <f ca="1"/>
        <v>#NAME?</v>
      </c>
      <c r="B725" s="221" t="s">
        <v>924</v>
      </c>
      <c r="C725" s="181">
        <v>8</v>
      </c>
      <c r="D725" s="181" t="s">
        <v>103</v>
      </c>
      <c r="E725" s="178"/>
      <c r="F725" s="178"/>
      <c r="G725" s="178"/>
      <c r="H725" s="172">
        <v>4</v>
      </c>
      <c r="I725" s="178"/>
      <c r="J725" s="178"/>
      <c r="K725" s="178"/>
      <c r="L725" s="246"/>
      <c r="M725" s="178"/>
      <c r="N725" s="178"/>
      <c r="O725" s="178"/>
      <c r="P725" s="172">
        <v>4</v>
      </c>
      <c r="Q725" s="178"/>
      <c r="R725" s="178"/>
      <c r="S725" s="190"/>
      <c r="T725" s="250"/>
      <c r="U725" s="178"/>
      <c r="V725" s="178"/>
      <c r="W725" s="178"/>
      <c r="X725" s="137" t="s">
        <v>181</v>
      </c>
      <c r="Y725" s="141" t="str">
        <f>DB!$D$169</f>
        <v>Mouse, Optical, USB 2.0</v>
      </c>
      <c r="Z725" s="154"/>
      <c r="AA725" s="149"/>
      <c r="AB725" s="136"/>
      <c r="AC725" s="139"/>
      <c r="AD725" s="139"/>
      <c r="AE725" s="139"/>
      <c r="AF725" s="139"/>
    </row>
    <row r="726" spans="1:32" ht="12.75">
      <c r="A726" s="136" t="e">
        <f ca="1"/>
        <v>#NAME?</v>
      </c>
      <c r="B726" s="221" t="s">
        <v>925</v>
      </c>
      <c r="C726" s="181">
        <v>2</v>
      </c>
      <c r="D726" s="181" t="s">
        <v>103</v>
      </c>
      <c r="E726" s="178"/>
      <c r="F726" s="178"/>
      <c r="G726" s="178"/>
      <c r="H726" s="172">
        <v>1</v>
      </c>
      <c r="I726" s="178"/>
      <c r="J726" s="178"/>
      <c r="K726" s="178"/>
      <c r="L726" s="246"/>
      <c r="M726" s="178"/>
      <c r="N726" s="178"/>
      <c r="O726" s="178"/>
      <c r="P726" s="246"/>
      <c r="Q726" s="178"/>
      <c r="R726" s="178"/>
      <c r="S726" s="190"/>
      <c r="T726" s="250"/>
      <c r="U726" s="178"/>
      <c r="V726" s="178"/>
      <c r="W726" s="178"/>
      <c r="X726" s="137" t="s">
        <v>181</v>
      </c>
      <c r="Y726" s="163" t="str">
        <f>DB!$D$6</f>
        <v>UPS 650VA, AVR, 230V</v>
      </c>
      <c r="Z726" s="154"/>
      <c r="AA726" s="149"/>
      <c r="AB726" s="136"/>
      <c r="AC726" s="139"/>
      <c r="AD726" s="139"/>
      <c r="AE726" s="139"/>
      <c r="AF726" s="139"/>
    </row>
    <row r="727" spans="1:32" ht="12.75">
      <c r="A727" s="136" t="e">
        <f ca="1"/>
        <v>#NAME?</v>
      </c>
      <c r="B727" s="221" t="s">
        <v>926</v>
      </c>
      <c r="C727" s="181">
        <v>8</v>
      </c>
      <c r="D727" s="181" t="s">
        <v>103</v>
      </c>
      <c r="E727" s="179"/>
      <c r="F727" s="179"/>
      <c r="G727" s="178"/>
      <c r="H727" s="172">
        <v>8</v>
      </c>
      <c r="I727" s="178"/>
      <c r="J727" s="178"/>
      <c r="K727" s="178"/>
      <c r="L727" s="246"/>
      <c r="M727" s="178"/>
      <c r="N727" s="178"/>
      <c r="O727" s="178"/>
      <c r="P727" s="246"/>
      <c r="Q727" s="178"/>
      <c r="R727" s="178"/>
      <c r="S727" s="190"/>
      <c r="T727" s="250"/>
      <c r="U727" s="178"/>
      <c r="V727" s="178"/>
      <c r="W727" s="178"/>
      <c r="X727" s="137" t="s">
        <v>181</v>
      </c>
      <c r="Y727" s="141" t="str">
        <f>DB!$D$194</f>
        <v>Branded Desktop Computer Set</v>
      </c>
      <c r="Z727" s="152"/>
      <c r="AA727" s="149"/>
      <c r="AB727" s="136"/>
      <c r="AC727" s="139"/>
      <c r="AD727" s="139"/>
      <c r="AE727" s="139"/>
      <c r="AF727" s="139"/>
    </row>
    <row r="728" spans="1:32" ht="12.75">
      <c r="A728" s="136" t="e">
        <f ca="1"/>
        <v>#NAME?</v>
      </c>
      <c r="B728" s="221" t="s">
        <v>523</v>
      </c>
      <c r="C728" s="181">
        <v>4</v>
      </c>
      <c r="D728" s="181" t="s">
        <v>103</v>
      </c>
      <c r="E728" s="183"/>
      <c r="F728" s="184"/>
      <c r="G728" s="178"/>
      <c r="H728" s="172">
        <v>1</v>
      </c>
      <c r="I728" s="183"/>
      <c r="J728" s="183"/>
      <c r="K728" s="183"/>
      <c r="L728" s="183"/>
      <c r="M728" s="183"/>
      <c r="N728" s="183"/>
      <c r="O728" s="183"/>
      <c r="P728" s="183"/>
      <c r="Q728" s="183"/>
      <c r="R728" s="183"/>
      <c r="S728" s="183"/>
      <c r="T728" s="183"/>
      <c r="U728" s="183"/>
      <c r="V728" s="183"/>
      <c r="W728" s="183"/>
      <c r="X728" s="137" t="s">
        <v>181</v>
      </c>
      <c r="Y728" s="164"/>
      <c r="Z728" s="154" t="s">
        <v>453</v>
      </c>
      <c r="AA728" s="149"/>
      <c r="AB728" s="136"/>
      <c r="AC728" s="139"/>
      <c r="AD728" s="139"/>
      <c r="AE728" s="139"/>
      <c r="AF728" s="139"/>
    </row>
    <row r="729" spans="1:32" ht="12.75">
      <c r="A729" s="136" t="e">
        <f ca="1"/>
        <v>#NAME?</v>
      </c>
      <c r="B729" s="221" t="s">
        <v>482</v>
      </c>
      <c r="C729" s="181">
        <v>1</v>
      </c>
      <c r="D729" s="181" t="s">
        <v>103</v>
      </c>
      <c r="E729" s="178"/>
      <c r="F729" s="184"/>
      <c r="G729" s="178"/>
      <c r="H729" s="172">
        <v>1</v>
      </c>
      <c r="I729" s="178"/>
      <c r="J729" s="178"/>
      <c r="K729" s="178"/>
      <c r="L729" s="178"/>
      <c r="M729" s="178"/>
      <c r="N729" s="178"/>
      <c r="O729" s="178"/>
      <c r="P729" s="178"/>
      <c r="Q729" s="178"/>
      <c r="R729" s="178"/>
      <c r="S729" s="178"/>
      <c r="T729" s="178"/>
      <c r="U729" s="178"/>
      <c r="V729" s="178"/>
      <c r="W729" s="178"/>
      <c r="X729" s="137" t="s">
        <v>181</v>
      </c>
      <c r="Y729" s="155" t="str">
        <f>DB!$D$276</f>
        <v>Ink Tank Printer</v>
      </c>
      <c r="Z729" s="154" t="s">
        <v>469</v>
      </c>
      <c r="AA729" s="149"/>
      <c r="AB729" s="136"/>
      <c r="AC729" s="139"/>
      <c r="AD729" s="139"/>
      <c r="AE729" s="139"/>
      <c r="AF729" s="139"/>
    </row>
    <row r="730" spans="1:32" ht="12.75">
      <c r="A730" s="136" t="e">
        <f ca="1"/>
        <v>#NAME?</v>
      </c>
      <c r="B730" s="192" t="s">
        <v>483</v>
      </c>
      <c r="C730" s="181">
        <v>1</v>
      </c>
      <c r="D730" s="200" t="s">
        <v>103</v>
      </c>
      <c r="E730" s="178"/>
      <c r="F730" s="184"/>
      <c r="G730" s="178"/>
      <c r="H730" s="189">
        <v>1</v>
      </c>
      <c r="I730" s="178"/>
      <c r="J730" s="178"/>
      <c r="K730" s="178"/>
      <c r="L730" s="178"/>
      <c r="M730" s="178"/>
      <c r="N730" s="178"/>
      <c r="O730" s="178"/>
      <c r="P730" s="178"/>
      <c r="Q730" s="178"/>
      <c r="R730" s="178"/>
      <c r="S730" s="178"/>
      <c r="T730" s="178"/>
      <c r="U730" s="178"/>
      <c r="V730" s="178"/>
      <c r="W730" s="178"/>
      <c r="X730" s="137" t="s">
        <v>181</v>
      </c>
      <c r="Y730" s="155"/>
      <c r="Z730" s="154" t="s">
        <v>453</v>
      </c>
      <c r="AA730" s="149"/>
      <c r="AB730" s="136"/>
      <c r="AC730" s="139"/>
      <c r="AD730" s="139"/>
      <c r="AE730" s="139"/>
      <c r="AF730" s="139"/>
    </row>
    <row r="731" spans="1:32" ht="12.75">
      <c r="A731" s="136" t="e">
        <f ca="1"/>
        <v>#NAME?</v>
      </c>
      <c r="B731" s="192" t="s">
        <v>836</v>
      </c>
      <c r="C731" s="181">
        <v>1</v>
      </c>
      <c r="D731" s="200" t="s">
        <v>103</v>
      </c>
      <c r="E731" s="178"/>
      <c r="F731" s="184"/>
      <c r="G731" s="178"/>
      <c r="H731" s="189">
        <v>1</v>
      </c>
      <c r="I731" s="178"/>
      <c r="J731" s="178"/>
      <c r="K731" s="178"/>
      <c r="L731" s="178"/>
      <c r="M731" s="178"/>
      <c r="N731" s="178"/>
      <c r="O731" s="178"/>
      <c r="P731" s="178"/>
      <c r="Q731" s="178"/>
      <c r="R731" s="178"/>
      <c r="S731" s="178"/>
      <c r="T731" s="178"/>
      <c r="U731" s="178"/>
      <c r="V731" s="178"/>
      <c r="W731" s="178"/>
      <c r="X731" s="137" t="s">
        <v>181</v>
      </c>
      <c r="Y731" s="163" t="str">
        <f>DB!$D$76</f>
        <v>Dot Matrix Printer 24-Pin</v>
      </c>
      <c r="Z731" s="154"/>
      <c r="AA731" s="149"/>
      <c r="AB731" s="136"/>
      <c r="AC731" s="139"/>
      <c r="AD731" s="139"/>
      <c r="AE731" s="139"/>
      <c r="AF731" s="139"/>
    </row>
    <row r="732" spans="1:32" ht="12.75">
      <c r="A732" s="136" t="e">
        <f ca="1"/>
        <v>#NAME?</v>
      </c>
      <c r="B732" s="221" t="s">
        <v>817</v>
      </c>
      <c r="C732" s="181">
        <v>3</v>
      </c>
      <c r="D732" s="181" t="s">
        <v>103</v>
      </c>
      <c r="E732" s="182"/>
      <c r="F732" s="182"/>
      <c r="G732" s="183"/>
      <c r="H732" s="172">
        <v>3</v>
      </c>
      <c r="I732" s="183"/>
      <c r="J732" s="183"/>
      <c r="K732" s="183"/>
      <c r="L732" s="183"/>
      <c r="M732" s="183"/>
      <c r="N732" s="183"/>
      <c r="O732" s="183"/>
      <c r="P732" s="183"/>
      <c r="Q732" s="183"/>
      <c r="R732" s="183"/>
      <c r="S732" s="183"/>
      <c r="T732" s="183"/>
      <c r="U732" s="183"/>
      <c r="V732" s="183"/>
      <c r="W732" s="183"/>
      <c r="X732" s="137" t="s">
        <v>181</v>
      </c>
      <c r="Y732" s="163" t="str">
        <f>DB!$D$37</f>
        <v>Single Line Telephone (Black)</v>
      </c>
      <c r="Z732" s="154"/>
      <c r="AA732" s="149"/>
      <c r="AB732" s="136"/>
      <c r="AC732" s="139"/>
      <c r="AD732" s="139"/>
      <c r="AE732" s="139"/>
      <c r="AF732" s="139"/>
    </row>
    <row r="733" spans="1:32" ht="20.25">
      <c r="A733" s="136" t="e">
        <f ca="1"/>
        <v>#NAME?</v>
      </c>
      <c r="B733" s="251" t="s">
        <v>927</v>
      </c>
      <c r="C733" s="252">
        <v>1</v>
      </c>
      <c r="D733" s="252" t="s">
        <v>103</v>
      </c>
      <c r="E733" s="178"/>
      <c r="F733" s="179"/>
      <c r="G733" s="178"/>
      <c r="H733" s="178"/>
      <c r="I733" s="253">
        <v>1</v>
      </c>
      <c r="J733" s="252" t="s">
        <v>544</v>
      </c>
      <c r="K733" s="254"/>
      <c r="L733" s="254"/>
      <c r="M733" s="254"/>
      <c r="N733" s="252"/>
      <c r="O733" s="254"/>
      <c r="P733" s="254"/>
      <c r="Q733" s="254"/>
      <c r="R733" s="254"/>
      <c r="S733" s="254"/>
      <c r="T733" s="254"/>
      <c r="U733" s="254"/>
      <c r="V733" s="254"/>
      <c r="W733" s="254"/>
      <c r="X733" s="137" t="s">
        <v>928</v>
      </c>
      <c r="Y733" s="163"/>
      <c r="Z733" s="154"/>
      <c r="AA733" s="149"/>
      <c r="AB733" s="136"/>
      <c r="AC733" s="139"/>
      <c r="AD733" s="139"/>
      <c r="AE733" s="139"/>
      <c r="AF733" s="139"/>
    </row>
    <row r="734" spans="1:32" ht="20.25">
      <c r="A734" s="136" t="e">
        <f ca="1"/>
        <v>#NAME?</v>
      </c>
      <c r="B734" s="255" t="s">
        <v>817</v>
      </c>
      <c r="C734" s="256">
        <v>1</v>
      </c>
      <c r="D734" s="256" t="s">
        <v>103</v>
      </c>
      <c r="E734" s="178"/>
      <c r="F734" s="179"/>
      <c r="G734" s="178"/>
      <c r="H734" s="178"/>
      <c r="I734" s="257">
        <v>1</v>
      </c>
      <c r="J734" s="256" t="s">
        <v>544</v>
      </c>
      <c r="K734" s="258"/>
      <c r="L734" s="258"/>
      <c r="M734" s="258"/>
      <c r="N734" s="256"/>
      <c r="O734" s="258"/>
      <c r="P734" s="258"/>
      <c r="Q734" s="258"/>
      <c r="R734" s="258"/>
      <c r="S734" s="258"/>
      <c r="T734" s="258"/>
      <c r="U734" s="258"/>
      <c r="V734" s="258"/>
      <c r="W734" s="258"/>
      <c r="X734" s="137" t="s">
        <v>928</v>
      </c>
      <c r="Y734" s="155"/>
      <c r="Z734" s="154"/>
      <c r="AA734" s="149"/>
      <c r="AB734" s="136"/>
      <c r="AC734" s="139"/>
      <c r="AD734" s="139"/>
      <c r="AE734" s="139"/>
      <c r="AF734" s="139"/>
    </row>
    <row r="735" spans="1:32" ht="20.25">
      <c r="A735" s="136" t="e">
        <f ca="1"/>
        <v>#NAME?</v>
      </c>
      <c r="B735" s="259" t="s">
        <v>551</v>
      </c>
      <c r="C735" s="256">
        <v>8</v>
      </c>
      <c r="D735" s="256" t="s">
        <v>103</v>
      </c>
      <c r="E735" s="178"/>
      <c r="F735" s="179"/>
      <c r="G735" s="178"/>
      <c r="H735" s="178"/>
      <c r="I735" s="257">
        <v>3</v>
      </c>
      <c r="J735" s="256" t="s">
        <v>544</v>
      </c>
      <c r="K735" s="260"/>
      <c r="L735" s="260"/>
      <c r="M735" s="258">
        <v>3</v>
      </c>
      <c r="N735" s="256" t="s">
        <v>544</v>
      </c>
      <c r="O735" s="260"/>
      <c r="P735" s="260"/>
      <c r="Q735" s="258">
        <v>1</v>
      </c>
      <c r="R735" s="256" t="s">
        <v>544</v>
      </c>
      <c r="S735" s="260"/>
      <c r="T735" s="260"/>
      <c r="U735" s="258">
        <v>1</v>
      </c>
      <c r="V735" s="260" t="s">
        <v>544</v>
      </c>
      <c r="W735" s="260"/>
      <c r="X735" s="137" t="s">
        <v>928</v>
      </c>
      <c r="Y735" s="155"/>
      <c r="Z735" s="154"/>
      <c r="AA735" s="149"/>
      <c r="AB735" s="136"/>
      <c r="AC735" s="139"/>
      <c r="AD735" s="139"/>
      <c r="AE735" s="139"/>
      <c r="AF735" s="139"/>
    </row>
    <row r="736" spans="1:32" ht="38.25">
      <c r="A736" s="136" t="e">
        <f ca="1"/>
        <v>#NAME?</v>
      </c>
      <c r="B736" s="261" t="s">
        <v>146</v>
      </c>
      <c r="C736" s="178">
        <v>1</v>
      </c>
      <c r="D736" s="198" t="s">
        <v>103</v>
      </c>
      <c r="E736" s="178"/>
      <c r="F736" s="179"/>
      <c r="G736" s="178"/>
      <c r="H736" s="178">
        <v>1</v>
      </c>
      <c r="I736" s="178">
        <v>1</v>
      </c>
      <c r="J736" s="178"/>
      <c r="K736" s="178"/>
      <c r="L736" s="178"/>
      <c r="M736" s="178"/>
      <c r="N736" s="178"/>
      <c r="O736" s="178"/>
      <c r="P736" s="178"/>
      <c r="Q736" s="178"/>
      <c r="R736" s="178"/>
      <c r="S736" s="178"/>
      <c r="T736" s="178"/>
      <c r="U736" s="178"/>
      <c r="V736" s="178"/>
      <c r="W736" s="178"/>
      <c r="X736" s="137" t="s">
        <v>147</v>
      </c>
      <c r="Y736" s="155" t="str">
        <f>DB!$D$198</f>
        <v>A3 Full-Colour Digital Copier, Full-Colour Network Printer,&amp; Full-Colour Network Scanner</v>
      </c>
      <c r="Z736" s="154"/>
      <c r="AA736" s="149"/>
      <c r="AB736" s="136"/>
      <c r="AC736" s="139"/>
      <c r="AD736" s="139"/>
      <c r="AE736" s="139"/>
      <c r="AF736" s="139"/>
    </row>
    <row r="737" spans="1:32" ht="12.75">
      <c r="A737" s="136" t="e">
        <f ca="1"/>
        <v>#NAME?</v>
      </c>
      <c r="B737" s="262" t="s">
        <v>688</v>
      </c>
      <c r="C737" s="263">
        <v>1</v>
      </c>
      <c r="D737" s="263" t="s">
        <v>103</v>
      </c>
      <c r="E737" s="178"/>
      <c r="F737" s="179"/>
      <c r="G737" s="178"/>
      <c r="H737" s="178"/>
      <c r="I737" s="178"/>
      <c r="J737" s="178"/>
      <c r="K737" s="178"/>
      <c r="L737" s="178"/>
      <c r="M737" s="178"/>
      <c r="N737" s="178"/>
      <c r="O737" s="178"/>
      <c r="P737" s="178"/>
      <c r="Q737" s="178"/>
      <c r="R737" s="178"/>
      <c r="S737" s="178"/>
      <c r="T737" s="178"/>
      <c r="U737" s="178"/>
      <c r="V737" s="178"/>
      <c r="W737" s="178"/>
      <c r="X737" s="137"/>
      <c r="Y737" s="155" t="str">
        <f>DB!$D$195</f>
        <v>Branded Laptop</v>
      </c>
      <c r="Z737" s="154"/>
      <c r="AA737" s="149"/>
      <c r="AB737" s="136"/>
      <c r="AC737" s="139"/>
      <c r="AD737" s="139"/>
      <c r="AE737" s="139"/>
      <c r="AF737" s="139"/>
    </row>
    <row r="738" spans="1:32" ht="12.75">
      <c r="A738" s="136" t="e">
        <f ca="1"/>
        <v>#NAME?</v>
      </c>
      <c r="B738" s="264" t="s">
        <v>467</v>
      </c>
      <c r="C738" s="265">
        <v>6</v>
      </c>
      <c r="D738" s="265" t="s">
        <v>118</v>
      </c>
      <c r="E738" s="178"/>
      <c r="F738" s="179"/>
      <c r="G738" s="178"/>
      <c r="H738" s="178"/>
      <c r="I738" s="178"/>
      <c r="J738" s="178"/>
      <c r="K738" s="178"/>
      <c r="L738" s="178"/>
      <c r="M738" s="178"/>
      <c r="N738" s="178"/>
      <c r="O738" s="178"/>
      <c r="P738" s="178"/>
      <c r="Q738" s="178"/>
      <c r="R738" s="178"/>
      <c r="S738" s="178"/>
      <c r="T738" s="178"/>
      <c r="U738" s="178"/>
      <c r="V738" s="178"/>
      <c r="W738" s="178"/>
      <c r="X738" s="137"/>
      <c r="Y738" s="164" t="str">
        <f>B738</f>
        <v>Branded Desktop Set</v>
      </c>
      <c r="Z738" s="154"/>
      <c r="AA738" s="149"/>
      <c r="AB738" s="136"/>
      <c r="AC738" s="139"/>
      <c r="AD738" s="139"/>
      <c r="AE738" s="139"/>
      <c r="AF738" s="139"/>
    </row>
    <row r="739" spans="1:32" ht="12.75">
      <c r="A739" s="136" t="e">
        <f ca="1"/>
        <v>#NAME?</v>
      </c>
      <c r="B739" s="264" t="s">
        <v>482</v>
      </c>
      <c r="C739" s="265">
        <v>3</v>
      </c>
      <c r="D739" s="265" t="s">
        <v>103</v>
      </c>
      <c r="E739" s="178"/>
      <c r="F739" s="179"/>
      <c r="G739" s="178"/>
      <c r="H739" s="178"/>
      <c r="I739" s="178"/>
      <c r="J739" s="178"/>
      <c r="K739" s="178"/>
      <c r="L739" s="178"/>
      <c r="M739" s="178"/>
      <c r="N739" s="178"/>
      <c r="O739" s="178"/>
      <c r="P739" s="178"/>
      <c r="Q739" s="178"/>
      <c r="R739" s="178"/>
      <c r="S739" s="178"/>
      <c r="T739" s="178"/>
      <c r="U739" s="178"/>
      <c r="V739" s="178"/>
      <c r="W739" s="178"/>
      <c r="X739" s="137"/>
      <c r="Y739" s="155" t="str">
        <f>DB!$D$276</f>
        <v>Ink Tank Printer</v>
      </c>
      <c r="Z739" s="154"/>
      <c r="AA739" s="149"/>
      <c r="AB739" s="136"/>
      <c r="AC739" s="139"/>
      <c r="AD739" s="139"/>
      <c r="AE739" s="139"/>
      <c r="AF739" s="139"/>
    </row>
    <row r="740" spans="1:32" ht="12.75">
      <c r="A740" s="136" t="e">
        <f ca="1"/>
        <v>#NAME?</v>
      </c>
      <c r="B740" s="264" t="s">
        <v>568</v>
      </c>
      <c r="C740" s="265">
        <v>4</v>
      </c>
      <c r="D740" s="265" t="s">
        <v>103</v>
      </c>
      <c r="E740" s="178"/>
      <c r="F740" s="179"/>
      <c r="G740" s="178"/>
      <c r="H740" s="178"/>
      <c r="I740" s="178"/>
      <c r="J740" s="178"/>
      <c r="K740" s="178"/>
      <c r="L740" s="178"/>
      <c r="M740" s="178"/>
      <c r="N740" s="178"/>
      <c r="O740" s="178"/>
      <c r="P740" s="178"/>
      <c r="Q740" s="178"/>
      <c r="R740" s="178"/>
      <c r="S740" s="178"/>
      <c r="T740" s="178"/>
      <c r="U740" s="178"/>
      <c r="V740" s="178"/>
      <c r="W740" s="178"/>
      <c r="X740" s="137"/>
      <c r="Y740" s="163" t="str">
        <f>DB!$D$6</f>
        <v>UPS 650VA, AVR, 230V</v>
      </c>
      <c r="Z740" s="154"/>
      <c r="AA740" s="149"/>
      <c r="AB740" s="136"/>
      <c r="AC740" s="139"/>
      <c r="AD740" s="139"/>
      <c r="AE740" s="139"/>
      <c r="AF740" s="139"/>
    </row>
    <row r="741" spans="1:32" ht="12.75">
      <c r="A741" s="136" t="e">
        <f ca="1"/>
        <v>#NAME?</v>
      </c>
      <c r="B741" s="264" t="s">
        <v>818</v>
      </c>
      <c r="C741" s="265">
        <v>1</v>
      </c>
      <c r="D741" s="265" t="s">
        <v>466</v>
      </c>
      <c r="E741" s="178"/>
      <c r="F741" s="179"/>
      <c r="G741" s="178"/>
      <c r="H741" s="178"/>
      <c r="I741" s="178"/>
      <c r="J741" s="178"/>
      <c r="K741" s="178"/>
      <c r="L741" s="178"/>
      <c r="M741" s="178"/>
      <c r="N741" s="178"/>
      <c r="O741" s="178"/>
      <c r="P741" s="178"/>
      <c r="Q741" s="178"/>
      <c r="R741" s="178"/>
      <c r="S741" s="178"/>
      <c r="T741" s="178"/>
      <c r="U741" s="178"/>
      <c r="V741" s="178"/>
      <c r="W741" s="178"/>
      <c r="X741" s="137"/>
      <c r="Y741" s="155" t="str">
        <f>DB!$D$88</f>
        <v>Projector</v>
      </c>
      <c r="Z741" s="154"/>
      <c r="AA741" s="149"/>
      <c r="AB741" s="136"/>
      <c r="AC741" s="139"/>
      <c r="AD741" s="139"/>
      <c r="AE741" s="139"/>
      <c r="AF741" s="139"/>
    </row>
    <row r="742" spans="1:32" ht="12.75">
      <c r="A742" s="136" t="e">
        <f ca="1"/>
        <v>#NAME?</v>
      </c>
      <c r="B742" s="264" t="s">
        <v>929</v>
      </c>
      <c r="C742" s="265"/>
      <c r="D742" s="265"/>
      <c r="E742" s="178"/>
      <c r="F742" s="179"/>
      <c r="G742" s="178"/>
      <c r="H742" s="178"/>
      <c r="I742" s="178"/>
      <c r="J742" s="178"/>
      <c r="K742" s="178"/>
      <c r="L742" s="178"/>
      <c r="M742" s="178"/>
      <c r="N742" s="178"/>
      <c r="O742" s="178"/>
      <c r="P742" s="178"/>
      <c r="Q742" s="178"/>
      <c r="R742" s="178"/>
      <c r="S742" s="178"/>
      <c r="T742" s="178"/>
      <c r="U742" s="178"/>
      <c r="V742" s="178"/>
      <c r="W742" s="178"/>
      <c r="X742" s="137"/>
      <c r="Y742" s="155"/>
      <c r="Z742" s="154" t="s">
        <v>453</v>
      </c>
      <c r="AA742" s="149"/>
      <c r="AB742" s="136"/>
      <c r="AC742" s="139"/>
      <c r="AD742" s="139"/>
      <c r="AE742" s="139"/>
      <c r="AF742" s="139"/>
    </row>
    <row r="743" spans="1:32" ht="25.5">
      <c r="A743" s="136" t="e">
        <f ca="1"/>
        <v>#NAME?</v>
      </c>
      <c r="B743" s="264" t="s">
        <v>930</v>
      </c>
      <c r="C743" s="265">
        <v>2</v>
      </c>
      <c r="D743" s="265" t="s">
        <v>103</v>
      </c>
      <c r="E743" s="178"/>
      <c r="F743" s="179"/>
      <c r="G743" s="178"/>
      <c r="H743" s="178"/>
      <c r="I743" s="178"/>
      <c r="J743" s="178"/>
      <c r="K743" s="178"/>
      <c r="L743" s="178"/>
      <c r="M743" s="178"/>
      <c r="N743" s="178"/>
      <c r="O743" s="178"/>
      <c r="P743" s="178"/>
      <c r="Q743" s="178"/>
      <c r="R743" s="178"/>
      <c r="S743" s="178"/>
      <c r="T743" s="178"/>
      <c r="U743" s="178"/>
      <c r="V743" s="178"/>
      <c r="W743" s="178"/>
      <c r="X743" s="137"/>
      <c r="Y743" s="155" t="str">
        <f>DB!$D$75</f>
        <v>2TB Slim Portable Hard Drive External HDD</v>
      </c>
      <c r="Z743" s="154"/>
      <c r="AA743" s="149"/>
      <c r="AB743" s="136"/>
      <c r="AC743" s="139"/>
      <c r="AD743" s="139"/>
      <c r="AE743" s="139"/>
      <c r="AF743" s="139"/>
    </row>
    <row r="744" spans="1:32" ht="12.75">
      <c r="A744" s="136" t="e">
        <f ca="1"/>
        <v>#NAME?</v>
      </c>
      <c r="B744" s="266" t="s">
        <v>931</v>
      </c>
      <c r="C744" s="267">
        <v>16</v>
      </c>
      <c r="D744" s="267" t="s">
        <v>571</v>
      </c>
      <c r="E744" s="178"/>
      <c r="F744" s="179"/>
      <c r="G744" s="178"/>
      <c r="H744" s="178"/>
      <c r="I744" s="178"/>
      <c r="J744" s="178"/>
      <c r="K744" s="178"/>
      <c r="L744" s="178"/>
      <c r="M744" s="178"/>
      <c r="N744" s="178"/>
      <c r="O744" s="178"/>
      <c r="P744" s="178"/>
      <c r="Q744" s="178"/>
      <c r="R744" s="178"/>
      <c r="S744" s="178"/>
      <c r="T744" s="178"/>
      <c r="U744" s="178"/>
      <c r="V744" s="178"/>
      <c r="W744" s="178"/>
      <c r="X744" s="137"/>
      <c r="Y744" s="155" t="str">
        <f>DB!$D$106</f>
        <v>Epson Genuine Ink (003) Black</v>
      </c>
      <c r="Z744" s="154"/>
      <c r="AA744" s="149"/>
      <c r="AB744" s="136"/>
      <c r="AC744" s="139"/>
      <c r="AD744" s="139"/>
      <c r="AE744" s="139"/>
      <c r="AF744" s="139"/>
    </row>
    <row r="745" spans="1:32" ht="12.75">
      <c r="A745" s="136" t="e">
        <f ca="1"/>
        <v>#NAME?</v>
      </c>
      <c r="B745" s="268" t="s">
        <v>932</v>
      </c>
      <c r="C745" s="269">
        <v>7</v>
      </c>
      <c r="D745" s="269" t="s">
        <v>571</v>
      </c>
      <c r="E745" s="178"/>
      <c r="F745" s="179"/>
      <c r="G745" s="178"/>
      <c r="H745" s="178"/>
      <c r="I745" s="178"/>
      <c r="J745" s="178"/>
      <c r="K745" s="178"/>
      <c r="L745" s="178"/>
      <c r="M745" s="178"/>
      <c r="N745" s="178"/>
      <c r="O745" s="178"/>
      <c r="P745" s="178"/>
      <c r="Q745" s="178"/>
      <c r="R745" s="178"/>
      <c r="S745" s="178"/>
      <c r="T745" s="178"/>
      <c r="U745" s="178"/>
      <c r="V745" s="178"/>
      <c r="W745" s="178"/>
      <c r="X745" s="137"/>
      <c r="Y745" s="155" t="str">
        <f>DB!$D$107</f>
        <v>Epson Genuine Ink (003) Cyan</v>
      </c>
      <c r="Z745" s="154"/>
      <c r="AA745" s="149"/>
      <c r="AB745" s="136"/>
      <c r="AC745" s="139"/>
      <c r="AD745" s="139"/>
      <c r="AE745" s="139"/>
      <c r="AF745" s="139"/>
    </row>
    <row r="746" spans="1:32" ht="12.75">
      <c r="A746" s="136" t="e">
        <f ca="1"/>
        <v>#NAME?</v>
      </c>
      <c r="B746" s="268" t="s">
        <v>933</v>
      </c>
      <c r="C746" s="269">
        <v>7</v>
      </c>
      <c r="D746" s="269" t="s">
        <v>571</v>
      </c>
      <c r="E746" s="178"/>
      <c r="F746" s="179"/>
      <c r="G746" s="178"/>
      <c r="H746" s="178"/>
      <c r="I746" s="178"/>
      <c r="J746" s="178"/>
      <c r="K746" s="178"/>
      <c r="L746" s="178"/>
      <c r="M746" s="178"/>
      <c r="N746" s="178"/>
      <c r="O746" s="178"/>
      <c r="P746" s="178"/>
      <c r="Q746" s="178"/>
      <c r="R746" s="178"/>
      <c r="S746" s="178"/>
      <c r="T746" s="178"/>
      <c r="U746" s="178"/>
      <c r="V746" s="178"/>
      <c r="W746" s="178"/>
      <c r="X746" s="137"/>
      <c r="Y746" s="155" t="str">
        <f>DB!$D$108</f>
        <v>Epson Genuine Ink (003) Yellow</v>
      </c>
      <c r="Z746" s="154"/>
      <c r="AA746" s="149"/>
      <c r="AB746" s="136"/>
      <c r="AC746" s="139"/>
      <c r="AD746" s="139"/>
      <c r="AE746" s="139"/>
      <c r="AF746" s="139"/>
    </row>
    <row r="747" spans="1:32" ht="12.75">
      <c r="A747" s="136" t="e">
        <f ca="1"/>
        <v>#NAME?</v>
      </c>
      <c r="B747" s="268" t="s">
        <v>934</v>
      </c>
      <c r="C747" s="269">
        <v>7</v>
      </c>
      <c r="D747" s="269" t="s">
        <v>571</v>
      </c>
      <c r="E747" s="178"/>
      <c r="F747" s="179"/>
      <c r="G747" s="178"/>
      <c r="H747" s="178"/>
      <c r="I747" s="178"/>
      <c r="J747" s="178"/>
      <c r="K747" s="178"/>
      <c r="L747" s="178"/>
      <c r="M747" s="178"/>
      <c r="N747" s="178"/>
      <c r="O747" s="178"/>
      <c r="P747" s="178"/>
      <c r="Q747" s="178"/>
      <c r="R747" s="178"/>
      <c r="S747" s="178"/>
      <c r="T747" s="178"/>
      <c r="U747" s="178"/>
      <c r="V747" s="178"/>
      <c r="W747" s="178"/>
      <c r="X747" s="137"/>
      <c r="Y747" s="155" t="str">
        <f>DB!$D$109</f>
        <v>Epson Genuine Ink (003) Magenta</v>
      </c>
      <c r="Z747" s="154"/>
      <c r="AA747" s="149"/>
      <c r="AB747" s="136"/>
      <c r="AC747" s="139"/>
      <c r="AD747" s="139"/>
      <c r="AE747" s="139"/>
      <c r="AF747" s="139"/>
    </row>
    <row r="748" spans="1:32" ht="12.75">
      <c r="A748" s="136" t="e">
        <f ca="1"/>
        <v>#NAME?</v>
      </c>
      <c r="B748" s="261" t="str">
        <f ca="1">IFERROR(__xludf.DUMMYFUNCTION("FILTER('IHOMP-PPMP2025'!B16:D28,'IHOMP-PPMP2025'!B16:B28&lt;&gt;"""")"),"1Gbps Internet Subscription (Leased Line)")</f>
        <v>1Gbps Internet Subscription (Leased Line)</v>
      </c>
      <c r="C748" s="178">
        <f ca="1">IFERROR(__xludf.DUMMYFUNCTION("""COMPUTED_VALUE"""),1)</f>
        <v>1</v>
      </c>
      <c r="D748" s="178" t="str">
        <f ca="1">IFERROR(__xludf.DUMMYFUNCTION("""COMPUTED_VALUE"""),"lot")</f>
        <v>lot</v>
      </c>
      <c r="E748" s="178"/>
      <c r="F748" s="179"/>
      <c r="G748" s="178"/>
      <c r="H748" s="178"/>
      <c r="I748" s="178"/>
      <c r="J748" s="178"/>
      <c r="K748" s="178"/>
      <c r="L748" s="178"/>
      <c r="M748" s="178"/>
      <c r="N748" s="178"/>
      <c r="O748" s="178"/>
      <c r="P748" s="178"/>
      <c r="Q748" s="178"/>
      <c r="R748" s="178"/>
      <c r="S748" s="178"/>
      <c r="T748" s="178"/>
      <c r="U748" s="178"/>
      <c r="V748" s="178"/>
      <c r="W748" s="178"/>
      <c r="X748" s="137" t="s">
        <v>101</v>
      </c>
      <c r="Y748" s="164" t="str">
        <f t="shared" ref="Y748:Y855" ca="1" si="1">B748</f>
        <v>1Gbps Internet Subscription (Leased Line)</v>
      </c>
      <c r="Z748" s="154"/>
      <c r="AA748" s="149"/>
      <c r="AB748" s="136"/>
      <c r="AC748" s="139"/>
      <c r="AD748" s="139"/>
      <c r="AE748" s="139"/>
      <c r="AF748" s="139"/>
    </row>
    <row r="749" spans="1:32" ht="12.75">
      <c r="A749" s="136" t="e">
        <f ca="1"/>
        <v>#NAME?</v>
      </c>
      <c r="B749" s="261" t="str">
        <f ca="1">IFERROR(__xludf.DUMMYFUNCTION("""COMPUTED_VALUE"""),"Branded Desktop Computer Set")</f>
        <v>Branded Desktop Computer Set</v>
      </c>
      <c r="C749" s="178">
        <f ca="1">IFERROR(__xludf.DUMMYFUNCTION("""COMPUTED_VALUE"""),5)</f>
        <v>5</v>
      </c>
      <c r="D749" s="178" t="str">
        <f ca="1">IFERROR(__xludf.DUMMYFUNCTION("""COMPUTED_VALUE"""),"set")</f>
        <v>set</v>
      </c>
      <c r="E749" s="178"/>
      <c r="F749" s="179"/>
      <c r="G749" s="178"/>
      <c r="H749" s="178"/>
      <c r="I749" s="178"/>
      <c r="J749" s="178"/>
      <c r="K749" s="178"/>
      <c r="L749" s="178"/>
      <c r="M749" s="178"/>
      <c r="N749" s="178"/>
      <c r="O749" s="178"/>
      <c r="P749" s="178"/>
      <c r="Q749" s="178"/>
      <c r="R749" s="178"/>
      <c r="S749" s="178"/>
      <c r="T749" s="178"/>
      <c r="U749" s="178"/>
      <c r="V749" s="178"/>
      <c r="W749" s="178"/>
      <c r="X749" s="137" t="s">
        <v>101</v>
      </c>
      <c r="Y749" s="164" t="str">
        <f t="shared" ca="1" si="1"/>
        <v>Branded Desktop Computer Set</v>
      </c>
      <c r="Z749" s="154"/>
      <c r="AA749" s="149"/>
      <c r="AB749" s="136"/>
      <c r="AC749" s="139"/>
      <c r="AD749" s="139"/>
      <c r="AE749" s="139"/>
      <c r="AF749" s="139"/>
    </row>
    <row r="750" spans="1:32" ht="51">
      <c r="A750" s="136" t="e">
        <f ca="1"/>
        <v>#NAME?</v>
      </c>
      <c r="B750" s="261" t="str">
        <f ca="1">IFERROR(__xludf.DUMMYFUNCTION("""COMPUTED_VALUE"""),"Core Stackable Managed Switch with 20x10G SFP+ Module for Multimode fiber compatible with the existing CBS350-24XS")</f>
        <v>Core Stackable Managed Switch with 20x10G SFP+ Module for Multimode fiber compatible with the existing CBS350-24XS</v>
      </c>
      <c r="C750" s="178">
        <f ca="1">IFERROR(__xludf.DUMMYFUNCTION("""COMPUTED_VALUE"""),2)</f>
        <v>2</v>
      </c>
      <c r="D750" s="178" t="str">
        <f ca="1">IFERROR(__xludf.DUMMYFUNCTION("""COMPUTED_VALUE"""),"lot")</f>
        <v>lot</v>
      </c>
      <c r="E750" s="178"/>
      <c r="F750" s="179"/>
      <c r="G750" s="178"/>
      <c r="H750" s="178"/>
      <c r="I750" s="178"/>
      <c r="J750" s="178"/>
      <c r="K750" s="178"/>
      <c r="L750" s="178"/>
      <c r="M750" s="178"/>
      <c r="N750" s="178"/>
      <c r="O750" s="178"/>
      <c r="P750" s="178"/>
      <c r="Q750" s="178"/>
      <c r="R750" s="178"/>
      <c r="S750" s="178"/>
      <c r="T750" s="178"/>
      <c r="U750" s="178"/>
      <c r="V750" s="178"/>
      <c r="W750" s="178"/>
      <c r="X750" s="137" t="s">
        <v>101</v>
      </c>
      <c r="Y750" s="164" t="str">
        <f t="shared" ca="1" si="1"/>
        <v>Core Stackable Managed Switch with 20x10G SFP+ Module for Multimode fiber compatible with the existing CBS350-24XS</v>
      </c>
      <c r="Z750" s="154"/>
      <c r="AA750" s="149"/>
      <c r="AB750" s="136"/>
      <c r="AC750" s="139"/>
      <c r="AD750" s="139"/>
      <c r="AE750" s="139"/>
      <c r="AF750" s="139"/>
    </row>
    <row r="751" spans="1:32" ht="51">
      <c r="A751" s="136" t="e">
        <f ca="1"/>
        <v>#NAME?</v>
      </c>
      <c r="B751" s="270" t="str">
        <f ca="1">IFERROR(__xludf.DUMMYFUNCTION("""COMPUTED_VALUE"""),"Distribution Stackable Managed Switch with 4x10G SFP+ Module for Multimode fiber compatible with the existing CBS350-24FP-4X")</f>
        <v>Distribution Stackable Managed Switch with 4x10G SFP+ Module for Multimode fiber compatible with the existing CBS350-24FP-4X</v>
      </c>
      <c r="C751" s="237">
        <f ca="1">IFERROR(__xludf.DUMMYFUNCTION("""COMPUTED_VALUE"""),6)</f>
        <v>6</v>
      </c>
      <c r="D751" s="178" t="str">
        <f ca="1">IFERROR(__xludf.DUMMYFUNCTION("""COMPUTED_VALUE"""),"lot")</f>
        <v>lot</v>
      </c>
      <c r="E751" s="178"/>
      <c r="F751" s="179"/>
      <c r="G751" s="178"/>
      <c r="H751" s="178"/>
      <c r="I751" s="178"/>
      <c r="J751" s="178"/>
      <c r="K751" s="178"/>
      <c r="L751" s="178"/>
      <c r="M751" s="178"/>
      <c r="N751" s="178"/>
      <c r="O751" s="178"/>
      <c r="P751" s="178"/>
      <c r="Q751" s="178"/>
      <c r="R751" s="178"/>
      <c r="S751" s="178"/>
      <c r="T751" s="178"/>
      <c r="U751" s="178"/>
      <c r="V751" s="178"/>
      <c r="W751" s="178"/>
      <c r="X751" s="137" t="s">
        <v>101</v>
      </c>
      <c r="Y751" s="164" t="str">
        <f t="shared" ca="1" si="1"/>
        <v>Distribution Stackable Managed Switch with 4x10G SFP+ Module for Multimode fiber compatible with the existing CBS350-24FP-4X</v>
      </c>
      <c r="Z751" s="154"/>
      <c r="AA751" s="149"/>
      <c r="AB751" s="136"/>
      <c r="AC751" s="139"/>
      <c r="AD751" s="139"/>
      <c r="AE751" s="139"/>
      <c r="AF751" s="139"/>
    </row>
    <row r="752" spans="1:32" ht="51">
      <c r="A752" s="136" t="e">
        <f ca="1"/>
        <v>#NAME?</v>
      </c>
      <c r="B752" s="271" t="str">
        <f ca="1">IFERROR(__xludf.DUMMYFUNCTION("""COMPUTED_VALUE"""),"Fortinet Firewall Annual Subscription, Website Hosting &amp; SMS, Google, ZOOM Subscription, Software as a service (SaaS)")</f>
        <v>Fortinet Firewall Annual Subscription, Website Hosting &amp; SMS, Google, ZOOM Subscription, Software as a service (SaaS)</v>
      </c>
      <c r="C752" s="248">
        <f ca="1">IFERROR(__xludf.DUMMYFUNCTION("""COMPUTED_VALUE"""),1)</f>
        <v>1</v>
      </c>
      <c r="D752" s="178" t="str">
        <f ca="1">IFERROR(__xludf.DUMMYFUNCTION("""COMPUTED_VALUE"""),"lot")</f>
        <v>lot</v>
      </c>
      <c r="E752" s="178"/>
      <c r="F752" s="179"/>
      <c r="G752" s="178"/>
      <c r="H752" s="178"/>
      <c r="I752" s="178"/>
      <c r="J752" s="178"/>
      <c r="K752" s="178"/>
      <c r="L752" s="178"/>
      <c r="M752" s="178"/>
      <c r="N752" s="178"/>
      <c r="O752" s="178"/>
      <c r="P752" s="178"/>
      <c r="Q752" s="178"/>
      <c r="R752" s="178"/>
      <c r="S752" s="178"/>
      <c r="T752" s="178"/>
      <c r="U752" s="178"/>
      <c r="V752" s="178"/>
      <c r="W752" s="178"/>
      <c r="X752" s="137" t="s">
        <v>101</v>
      </c>
      <c r="Y752" s="164" t="str">
        <f t="shared" ca="1" si="1"/>
        <v>Fortinet Firewall Annual Subscription, Website Hosting &amp; SMS, Google, ZOOM Subscription, Software as a service (SaaS)</v>
      </c>
      <c r="Z752" s="154"/>
      <c r="AA752" s="149"/>
      <c r="AB752" s="136"/>
      <c r="AC752" s="139"/>
      <c r="AD752" s="139"/>
      <c r="AE752" s="139"/>
      <c r="AF752" s="139"/>
    </row>
    <row r="753" spans="1:32" ht="63.75">
      <c r="A753" s="136" t="e">
        <f ca="1"/>
        <v>#NAME?</v>
      </c>
      <c r="B753" s="271" t="str">
        <f ca="1">IFERROR(__xludf.DUMMYFUNCTION("""COMPUTED_VALUE"""),"Fortinet Firewall with Annual Subscription and 4x10G SFP+ transceiver module compatible with the existing FortiGATE-601E for HA configuration and deployment.")</f>
        <v>Fortinet Firewall with Annual Subscription and 4x10G SFP+ transceiver module compatible with the existing FortiGATE-601E for HA configuration and deployment.</v>
      </c>
      <c r="C753" s="248">
        <f ca="1">IFERROR(__xludf.DUMMYFUNCTION("""COMPUTED_VALUE"""),1)</f>
        <v>1</v>
      </c>
      <c r="D753" s="178" t="str">
        <f ca="1">IFERROR(__xludf.DUMMYFUNCTION("""COMPUTED_VALUE"""),"lot")</f>
        <v>lot</v>
      </c>
      <c r="E753" s="178"/>
      <c r="F753" s="179"/>
      <c r="G753" s="178"/>
      <c r="H753" s="178"/>
      <c r="I753" s="178"/>
      <c r="J753" s="178"/>
      <c r="K753" s="178"/>
      <c r="L753" s="178"/>
      <c r="M753" s="178"/>
      <c r="N753" s="178"/>
      <c r="O753" s="178"/>
      <c r="P753" s="178"/>
      <c r="Q753" s="178"/>
      <c r="R753" s="178"/>
      <c r="S753" s="178"/>
      <c r="T753" s="178"/>
      <c r="U753" s="178"/>
      <c r="V753" s="178"/>
      <c r="W753" s="178"/>
      <c r="X753" s="137" t="s">
        <v>101</v>
      </c>
      <c r="Y753" s="164" t="str">
        <f t="shared" ca="1" si="1"/>
        <v>Fortinet Firewall with Annual Subscription and 4x10G SFP+ transceiver module compatible with the existing FortiGATE-601E for HA configuration and deployment.</v>
      </c>
      <c r="Z753" s="152"/>
      <c r="AA753" s="149"/>
      <c r="AB753" s="136"/>
      <c r="AC753" s="139"/>
      <c r="AD753" s="139"/>
      <c r="AE753" s="139"/>
      <c r="AF753" s="139"/>
    </row>
    <row r="754" spans="1:32" ht="63.75">
      <c r="A754" s="136" t="e">
        <f ca="1"/>
        <v>#NAME?</v>
      </c>
      <c r="B754" s="271" t="str">
        <f ca="1">IFERROR(__xludf.DUMMYFUNCTION("""COMPUTED_VALUE"""),"Maintenance and Upgrade of Desktop, Laptop, Server, DOH/DICT Cybersecurity Equipment compliance, Copier, Printer, Network, PABX, CCTV and Paging System")</f>
        <v>Maintenance and Upgrade of Desktop, Laptop, Server, DOH/DICT Cybersecurity Equipment compliance, Copier, Printer, Network, PABX, CCTV and Paging System</v>
      </c>
      <c r="C754" s="248">
        <f ca="1">IFERROR(__xludf.DUMMYFUNCTION("""COMPUTED_VALUE"""),1)</f>
        <v>1</v>
      </c>
      <c r="D754" s="178" t="str">
        <f ca="1">IFERROR(__xludf.DUMMYFUNCTION("""COMPUTED_VALUE"""),"lot")</f>
        <v>lot</v>
      </c>
      <c r="E754" s="178"/>
      <c r="F754" s="179"/>
      <c r="G754" s="178"/>
      <c r="H754" s="178"/>
      <c r="I754" s="178"/>
      <c r="J754" s="178"/>
      <c r="K754" s="178"/>
      <c r="L754" s="178"/>
      <c r="M754" s="178"/>
      <c r="N754" s="178"/>
      <c r="O754" s="178"/>
      <c r="P754" s="178"/>
      <c r="Q754" s="178"/>
      <c r="R754" s="178"/>
      <c r="S754" s="178"/>
      <c r="T754" s="178"/>
      <c r="U754" s="178"/>
      <c r="V754" s="178"/>
      <c r="W754" s="178"/>
      <c r="X754" s="137" t="s">
        <v>101</v>
      </c>
      <c r="Y754" s="164" t="str">
        <f t="shared" ca="1" si="1"/>
        <v>Maintenance and Upgrade of Desktop, Laptop, Server, DOH/DICT Cybersecurity Equipment compliance, Copier, Printer, Network, PABX, CCTV and Paging System</v>
      </c>
      <c r="Z754" s="152"/>
      <c r="AA754" s="149"/>
      <c r="AB754" s="136"/>
      <c r="AC754" s="139"/>
      <c r="AD754" s="139"/>
      <c r="AE754" s="139"/>
      <c r="AF754" s="139"/>
    </row>
    <row r="755" spans="1:32" ht="12.75">
      <c r="A755" s="136" t="e">
        <f ca="1"/>
        <v>#NAME?</v>
      </c>
      <c r="B755" s="271" t="str">
        <f ca="1">IFERROR(__xludf.DUMMYFUNCTION("""COMPUTED_VALUE"""),"Multimedia Controller")</f>
        <v>Multimedia Controller</v>
      </c>
      <c r="C755" s="248">
        <f ca="1">IFERROR(__xludf.DUMMYFUNCTION("""COMPUTED_VALUE"""),1)</f>
        <v>1</v>
      </c>
      <c r="D755" s="178" t="str">
        <f ca="1">IFERROR(__xludf.DUMMYFUNCTION("""COMPUTED_VALUE"""),"set")</f>
        <v>set</v>
      </c>
      <c r="E755" s="178"/>
      <c r="F755" s="179"/>
      <c r="G755" s="178"/>
      <c r="H755" s="178"/>
      <c r="I755" s="178"/>
      <c r="J755" s="178"/>
      <c r="K755" s="178"/>
      <c r="L755" s="178"/>
      <c r="M755" s="178"/>
      <c r="N755" s="178"/>
      <c r="O755" s="178"/>
      <c r="P755" s="178"/>
      <c r="Q755" s="178"/>
      <c r="R755" s="178"/>
      <c r="S755" s="178"/>
      <c r="T755" s="178"/>
      <c r="U755" s="178"/>
      <c r="V755" s="178"/>
      <c r="W755" s="178"/>
      <c r="X755" s="137" t="s">
        <v>101</v>
      </c>
      <c r="Y755" s="164" t="str">
        <f t="shared" ca="1" si="1"/>
        <v>Multimedia Controller</v>
      </c>
      <c r="Z755" s="152"/>
      <c r="AA755" s="149"/>
      <c r="AB755" s="136"/>
      <c r="AC755" s="139"/>
      <c r="AD755" s="139"/>
      <c r="AE755" s="139"/>
      <c r="AF755" s="139"/>
    </row>
    <row r="756" spans="1:32" ht="12.75">
      <c r="A756" s="136" t="e">
        <f ca="1"/>
        <v>#NAME?</v>
      </c>
      <c r="B756" s="271" t="str">
        <f ca="1">IFERROR(__xludf.DUMMYFUNCTION("""COMPUTED_VALUE"""),"Smart Phone Bill for Telemedicine")</f>
        <v>Smart Phone Bill for Telemedicine</v>
      </c>
      <c r="C756" s="248">
        <f ca="1">IFERROR(__xludf.DUMMYFUNCTION("""COMPUTED_VALUE"""),1)</f>
        <v>1</v>
      </c>
      <c r="D756" s="178" t="str">
        <f ca="1">IFERROR(__xludf.DUMMYFUNCTION("""COMPUTED_VALUE"""),"lot")</f>
        <v>lot</v>
      </c>
      <c r="E756" s="178"/>
      <c r="F756" s="179"/>
      <c r="G756" s="178"/>
      <c r="H756" s="178"/>
      <c r="I756" s="178"/>
      <c r="J756" s="178"/>
      <c r="K756" s="178"/>
      <c r="L756" s="178"/>
      <c r="M756" s="178"/>
      <c r="N756" s="178"/>
      <c r="O756" s="178"/>
      <c r="P756" s="178"/>
      <c r="Q756" s="178"/>
      <c r="R756" s="178"/>
      <c r="S756" s="178"/>
      <c r="T756" s="178"/>
      <c r="U756" s="178"/>
      <c r="V756" s="178"/>
      <c r="W756" s="178"/>
      <c r="X756" s="137" t="s">
        <v>101</v>
      </c>
      <c r="Y756" s="164" t="str">
        <f t="shared" ca="1" si="1"/>
        <v>Smart Phone Bill for Telemedicine</v>
      </c>
      <c r="Z756" s="152"/>
      <c r="AA756" s="149"/>
      <c r="AB756" s="136"/>
      <c r="AC756" s="139"/>
      <c r="AD756" s="139"/>
      <c r="AE756" s="139"/>
      <c r="AF756" s="139"/>
    </row>
    <row r="757" spans="1:32" ht="25.5">
      <c r="A757" s="136" t="e">
        <f ca="1"/>
        <v>#NAME?</v>
      </c>
      <c r="B757" s="271" t="str">
        <f ca="1">IFERROR(__xludf.DUMMYFUNCTION("FILTER('IHOMP-PPMP2025'!B32:D131,'IHOMP-PPMP2025'!B32:B131&lt;&gt;"""")"),"1.5M Gigabit Cat6 Ethernet Patch Cable with RJ45 CAT6 High Quality")</f>
        <v>1.5M Gigabit Cat6 Ethernet Patch Cable with RJ45 CAT6 High Quality</v>
      </c>
      <c r="C757" s="248">
        <f ca="1">IFERROR(__xludf.DUMMYFUNCTION("""COMPUTED_VALUE"""),100)</f>
        <v>100</v>
      </c>
      <c r="D757" s="178" t="str">
        <f ca="1">IFERROR(__xludf.DUMMYFUNCTION("""COMPUTED_VALUE"""),"pc")</f>
        <v>pc</v>
      </c>
      <c r="E757" s="178"/>
      <c r="F757" s="179"/>
      <c r="G757" s="178"/>
      <c r="H757" s="178"/>
      <c r="I757" s="178"/>
      <c r="J757" s="178"/>
      <c r="K757" s="178"/>
      <c r="L757" s="178"/>
      <c r="M757" s="178"/>
      <c r="N757" s="178"/>
      <c r="O757" s="178"/>
      <c r="P757" s="178"/>
      <c r="Q757" s="178"/>
      <c r="R757" s="178"/>
      <c r="S757" s="178"/>
      <c r="T757" s="178"/>
      <c r="U757" s="178"/>
      <c r="V757" s="178"/>
      <c r="W757" s="178"/>
      <c r="X757" s="137" t="s">
        <v>101</v>
      </c>
      <c r="Y757" s="164" t="str">
        <f t="shared" ca="1" si="1"/>
        <v>1.5M Gigabit Cat6 Ethernet Patch Cable with RJ45 CAT6 High Quality</v>
      </c>
      <c r="Z757" s="152"/>
      <c r="AA757" s="149"/>
      <c r="AB757" s="136"/>
      <c r="AC757" s="139"/>
      <c r="AD757" s="139"/>
      <c r="AE757" s="139"/>
      <c r="AF757" s="139"/>
    </row>
    <row r="758" spans="1:32" ht="38.25">
      <c r="A758" s="136" t="e">
        <f ca="1"/>
        <v>#NAME?</v>
      </c>
      <c r="B758" s="271" t="str">
        <f ca="1">IFERROR(__xludf.DUMMYFUNCTION("""COMPUTED_VALUE"""),"10 GE SFP+ transceiver module compatible with the existing FortiGATE-601E Firewall")</f>
        <v>10 GE SFP+ transceiver module compatible with the existing FortiGATE-601E Firewall</v>
      </c>
      <c r="C758" s="248">
        <f ca="1">IFERROR(__xludf.DUMMYFUNCTION("""COMPUTED_VALUE"""),4)</f>
        <v>4</v>
      </c>
      <c r="D758" s="178" t="str">
        <f ca="1">IFERROR(__xludf.DUMMYFUNCTION("""COMPUTED_VALUE"""),"pc")</f>
        <v>pc</v>
      </c>
      <c r="E758" s="178"/>
      <c r="F758" s="179"/>
      <c r="G758" s="178"/>
      <c r="H758" s="178"/>
      <c r="I758" s="178"/>
      <c r="J758" s="178"/>
      <c r="K758" s="178"/>
      <c r="L758" s="178"/>
      <c r="M758" s="178"/>
      <c r="N758" s="178"/>
      <c r="O758" s="178"/>
      <c r="P758" s="178"/>
      <c r="Q758" s="178"/>
      <c r="R758" s="178"/>
      <c r="S758" s="178"/>
      <c r="T758" s="178"/>
      <c r="U758" s="178"/>
      <c r="V758" s="178"/>
      <c r="W758" s="178"/>
      <c r="X758" s="137" t="s">
        <v>101</v>
      </c>
      <c r="Y758" s="164" t="str">
        <f t="shared" ca="1" si="1"/>
        <v>10 GE SFP+ transceiver module compatible with the existing FortiGATE-601E Firewall</v>
      </c>
      <c r="Z758" s="152"/>
      <c r="AA758" s="149"/>
      <c r="AB758" s="136"/>
      <c r="AC758" s="139"/>
      <c r="AD758" s="139"/>
      <c r="AE758" s="139"/>
      <c r="AF758" s="139"/>
    </row>
    <row r="759" spans="1:32" ht="25.5">
      <c r="A759" s="136" t="e">
        <f ca="1"/>
        <v>#NAME?</v>
      </c>
      <c r="B759" s="271" t="str">
        <f ca="1">IFERROR(__xludf.DUMMYFUNCTION("""COMPUTED_VALUE"""),"10M Gigabit Cat6 Ethernet Patch Cable with RJ45 CAT6 High Quality")</f>
        <v>10M Gigabit Cat6 Ethernet Patch Cable with RJ45 CAT6 High Quality</v>
      </c>
      <c r="C759" s="248">
        <f ca="1">IFERROR(__xludf.DUMMYFUNCTION("""COMPUTED_VALUE"""),50)</f>
        <v>50</v>
      </c>
      <c r="D759" s="178" t="str">
        <f ca="1">IFERROR(__xludf.DUMMYFUNCTION("""COMPUTED_VALUE"""),"pc")</f>
        <v>pc</v>
      </c>
      <c r="E759" s="178"/>
      <c r="F759" s="179"/>
      <c r="G759" s="178"/>
      <c r="H759" s="178"/>
      <c r="I759" s="178"/>
      <c r="J759" s="178"/>
      <c r="K759" s="178"/>
      <c r="L759" s="178"/>
      <c r="M759" s="178"/>
      <c r="N759" s="178"/>
      <c r="O759" s="178"/>
      <c r="P759" s="178"/>
      <c r="Q759" s="178"/>
      <c r="R759" s="178"/>
      <c r="S759" s="178"/>
      <c r="T759" s="178"/>
      <c r="U759" s="178"/>
      <c r="V759" s="178"/>
      <c r="W759" s="178"/>
      <c r="X759" s="137" t="s">
        <v>101</v>
      </c>
      <c r="Y759" s="164" t="str">
        <f t="shared" ca="1" si="1"/>
        <v>10M Gigabit Cat6 Ethernet Patch Cable with RJ45 CAT6 High Quality</v>
      </c>
      <c r="Z759" s="152"/>
      <c r="AA759" s="149"/>
      <c r="AB759" s="136"/>
      <c r="AC759" s="139"/>
      <c r="AD759" s="139"/>
      <c r="AE759" s="139"/>
      <c r="AF759" s="139"/>
    </row>
    <row r="760" spans="1:32" ht="12.75">
      <c r="A760" s="136" t="e">
        <f ca="1"/>
        <v>#NAME?</v>
      </c>
      <c r="B760" s="271" t="str">
        <f ca="1">IFERROR(__xludf.DUMMYFUNCTION("""COMPUTED_VALUE"""),"10TB Surveillance Hard Drive SATA")</f>
        <v>10TB Surveillance Hard Drive SATA</v>
      </c>
      <c r="C760" s="248">
        <f ca="1">IFERROR(__xludf.DUMMYFUNCTION("""COMPUTED_VALUE"""),10)</f>
        <v>10</v>
      </c>
      <c r="D760" s="237" t="str">
        <f ca="1">IFERROR(__xludf.DUMMYFUNCTION("""COMPUTED_VALUE"""),"pc")</f>
        <v>pc</v>
      </c>
      <c r="E760" s="272"/>
      <c r="F760" s="179"/>
      <c r="G760" s="178"/>
      <c r="H760" s="178"/>
      <c r="I760" s="178"/>
      <c r="J760" s="178"/>
      <c r="K760" s="178"/>
      <c r="L760" s="178"/>
      <c r="M760" s="178"/>
      <c r="N760" s="178"/>
      <c r="O760" s="178"/>
      <c r="P760" s="178"/>
      <c r="Q760" s="178"/>
      <c r="R760" s="178"/>
      <c r="S760" s="178"/>
      <c r="T760" s="178"/>
      <c r="U760" s="237"/>
      <c r="V760" s="237"/>
      <c r="W760" s="237"/>
      <c r="X760" s="137" t="s">
        <v>101</v>
      </c>
      <c r="Y760" s="164" t="str">
        <f t="shared" ca="1" si="1"/>
        <v>10TB Surveillance Hard Drive SATA</v>
      </c>
      <c r="Z760" s="152"/>
      <c r="AA760" s="149"/>
      <c r="AB760" s="136"/>
      <c r="AC760" s="139"/>
      <c r="AD760" s="139"/>
      <c r="AE760" s="139"/>
      <c r="AF760" s="139"/>
    </row>
    <row r="761" spans="1:32" ht="25.5">
      <c r="A761" s="136" t="e">
        <f ca="1"/>
        <v>#NAME?</v>
      </c>
      <c r="B761" s="271" t="str">
        <f ca="1">IFERROR(__xludf.DUMMYFUNCTION("""COMPUTED_VALUE"""),"15M Gigabit Cat6 Ethernet Patch Cable with RJ45 CAT6 High Quality")</f>
        <v>15M Gigabit Cat6 Ethernet Patch Cable with RJ45 CAT6 High Quality</v>
      </c>
      <c r="C761" s="248">
        <f ca="1">IFERROR(__xludf.DUMMYFUNCTION("""COMPUTED_VALUE"""),20)</f>
        <v>20</v>
      </c>
      <c r="D761" s="248" t="str">
        <f ca="1">IFERROR(__xludf.DUMMYFUNCTION("""COMPUTED_VALUE"""),"pc")</f>
        <v>pc</v>
      </c>
      <c r="E761" s="248"/>
      <c r="F761" s="179"/>
      <c r="G761" s="178"/>
      <c r="H761" s="178"/>
      <c r="I761" s="178"/>
      <c r="J761" s="178"/>
      <c r="K761" s="178"/>
      <c r="L761" s="178"/>
      <c r="M761" s="178"/>
      <c r="N761" s="178"/>
      <c r="O761" s="178"/>
      <c r="P761" s="178"/>
      <c r="Q761" s="178"/>
      <c r="R761" s="178"/>
      <c r="S761" s="178"/>
      <c r="T761" s="178"/>
      <c r="U761" s="248"/>
      <c r="V761" s="248"/>
      <c r="W761" s="248"/>
      <c r="X761" s="137" t="s">
        <v>101</v>
      </c>
      <c r="Y761" s="164" t="str">
        <f t="shared" ca="1" si="1"/>
        <v>15M Gigabit Cat6 Ethernet Patch Cable with RJ45 CAT6 High Quality</v>
      </c>
      <c r="Z761" s="152"/>
      <c r="AA761" s="149"/>
      <c r="AB761" s="136"/>
      <c r="AC761" s="139"/>
      <c r="AD761" s="139"/>
      <c r="AE761" s="139"/>
      <c r="AF761" s="139"/>
    </row>
    <row r="762" spans="1:32" ht="25.5">
      <c r="A762" s="136" t="e">
        <f ca="1"/>
        <v>#NAME?</v>
      </c>
      <c r="B762" s="271" t="str">
        <f ca="1">IFERROR(__xludf.DUMMYFUNCTION("""COMPUTED_VALUE"""),"19 inches Universal PDU 6 outlets with surge protection SPD module")</f>
        <v>19 inches Universal PDU 6 outlets with surge protection SPD module</v>
      </c>
      <c r="C762" s="248">
        <f ca="1">IFERROR(__xludf.DUMMYFUNCTION("""COMPUTED_VALUE"""),20)</f>
        <v>20</v>
      </c>
      <c r="D762" s="248" t="str">
        <f ca="1">IFERROR(__xludf.DUMMYFUNCTION("""COMPUTED_VALUE"""),"pc")</f>
        <v>pc</v>
      </c>
      <c r="E762" s="248"/>
      <c r="F762" s="179"/>
      <c r="G762" s="178"/>
      <c r="H762" s="178"/>
      <c r="I762" s="178"/>
      <c r="J762" s="178"/>
      <c r="K762" s="178"/>
      <c r="L762" s="178"/>
      <c r="M762" s="178"/>
      <c r="N762" s="178"/>
      <c r="O762" s="178"/>
      <c r="P762" s="178"/>
      <c r="Q762" s="178"/>
      <c r="R762" s="178"/>
      <c r="S762" s="178"/>
      <c r="T762" s="178"/>
      <c r="U762" s="248"/>
      <c r="V762" s="248"/>
      <c r="W762" s="248"/>
      <c r="X762" s="137" t="s">
        <v>101</v>
      </c>
      <c r="Y762" s="164" t="str">
        <f t="shared" ca="1" si="1"/>
        <v>19 inches Universal PDU 6 outlets with surge protection SPD module</v>
      </c>
      <c r="Z762" s="152"/>
      <c r="AA762" s="149"/>
      <c r="AB762" s="136"/>
      <c r="AC762" s="139"/>
      <c r="AD762" s="139"/>
      <c r="AE762" s="139"/>
      <c r="AF762" s="139"/>
    </row>
    <row r="763" spans="1:32" ht="12.75">
      <c r="A763" s="136" t="e">
        <f ca="1"/>
        <v>#NAME?</v>
      </c>
      <c r="B763" s="135" t="str">
        <f ca="1">IFERROR(__xludf.DUMMYFUNCTION("""COMPUTED_VALUE"""),"1TB Portable SSD")</f>
        <v>1TB Portable SSD</v>
      </c>
      <c r="C763" s="136">
        <f ca="1">IFERROR(__xludf.DUMMYFUNCTION("""COMPUTED_VALUE"""),10)</f>
        <v>10</v>
      </c>
      <c r="D763" s="149" t="str">
        <f ca="1">IFERROR(__xludf.DUMMYFUNCTION("""COMPUTED_VALUE"""),"pc")</f>
        <v>pc</v>
      </c>
      <c r="E763" s="182"/>
      <c r="F763" s="182"/>
      <c r="G763" s="183"/>
      <c r="H763" s="183"/>
      <c r="I763" s="183"/>
      <c r="J763" s="183"/>
      <c r="K763" s="183"/>
      <c r="L763" s="183"/>
      <c r="M763" s="183"/>
      <c r="N763" s="183"/>
      <c r="O763" s="183"/>
      <c r="P763" s="183"/>
      <c r="Q763" s="183"/>
      <c r="R763" s="183"/>
      <c r="S763" s="183"/>
      <c r="T763" s="183"/>
      <c r="U763" s="183"/>
      <c r="V763" s="183"/>
      <c r="W763" s="183"/>
      <c r="X763" s="137" t="s">
        <v>101</v>
      </c>
      <c r="Y763" s="164" t="str">
        <f t="shared" ca="1" si="1"/>
        <v>1TB Portable SSD</v>
      </c>
      <c r="Z763" s="154"/>
      <c r="AA763" s="154"/>
      <c r="AB763" s="136"/>
      <c r="AC763" s="139"/>
      <c r="AD763" s="139"/>
      <c r="AE763" s="139"/>
      <c r="AF763" s="139"/>
    </row>
    <row r="764" spans="1:32" ht="25.5">
      <c r="A764" s="136" t="e">
        <f ca="1"/>
        <v>#NAME?</v>
      </c>
      <c r="B764" s="135" t="str">
        <f ca="1">IFERROR(__xludf.DUMMYFUNCTION("""COMPUTED_VALUE"""),"2 port Wall Faceplate With Mounting Junction Box ")</f>
        <v xml:space="preserve">2 port Wall Faceplate With Mounting Junction Box </v>
      </c>
      <c r="C764" s="136">
        <f ca="1">IFERROR(__xludf.DUMMYFUNCTION("""COMPUTED_VALUE"""),100)</f>
        <v>100</v>
      </c>
      <c r="D764" s="149" t="str">
        <f ca="1">IFERROR(__xludf.DUMMYFUNCTION("""COMPUTED_VALUE"""),"set")</f>
        <v>set</v>
      </c>
      <c r="E764" s="179"/>
      <c r="F764" s="179"/>
      <c r="G764" s="178"/>
      <c r="H764" s="183"/>
      <c r="I764" s="183"/>
      <c r="J764" s="183"/>
      <c r="K764" s="183"/>
      <c r="L764" s="178"/>
      <c r="M764" s="178"/>
      <c r="N764" s="178"/>
      <c r="O764" s="178"/>
      <c r="P764" s="178"/>
      <c r="Q764" s="178"/>
      <c r="R764" s="178"/>
      <c r="S764" s="178"/>
      <c r="T764" s="178"/>
      <c r="U764" s="178"/>
      <c r="V764" s="178"/>
      <c r="W764" s="178"/>
      <c r="X764" s="137" t="s">
        <v>101</v>
      </c>
      <c r="Y764" s="164" t="str">
        <f t="shared" ca="1" si="1"/>
        <v xml:space="preserve">2 port Wall Faceplate With Mounting Junction Box </v>
      </c>
      <c r="Z764" s="152"/>
      <c r="AA764" s="154"/>
      <c r="AB764" s="136"/>
      <c r="AC764" s="139"/>
      <c r="AD764" s="139"/>
      <c r="AE764" s="139"/>
      <c r="AF764" s="139"/>
    </row>
    <row r="765" spans="1:32" ht="25.5">
      <c r="A765" s="136" t="e">
        <f ca="1"/>
        <v>#NAME?</v>
      </c>
      <c r="B765" s="135" t="str">
        <f ca="1">IFERROR(__xludf.DUMMYFUNCTION("""COMPUTED_VALUE"""),"2.5 &amp; 3.5 Inch SATA2.0 USB3.0 1 to 3 Clone External Hard Drive Dock")</f>
        <v>2.5 &amp; 3.5 Inch SATA2.0 USB3.0 1 to 3 Clone External Hard Drive Dock</v>
      </c>
      <c r="C765" s="136">
        <f ca="1">IFERROR(__xludf.DUMMYFUNCTION("""COMPUTED_VALUE"""),1)</f>
        <v>1</v>
      </c>
      <c r="D765" s="185" t="str">
        <f ca="1">IFERROR(__xludf.DUMMYFUNCTION("""COMPUTED_VALUE"""),"pc")</f>
        <v>pc</v>
      </c>
      <c r="E765" s="179"/>
      <c r="F765" s="179"/>
      <c r="G765" s="178"/>
      <c r="H765" s="178"/>
      <c r="I765" s="178"/>
      <c r="J765" s="178"/>
      <c r="K765" s="178"/>
      <c r="L765" s="178"/>
      <c r="M765" s="178"/>
      <c r="N765" s="178"/>
      <c r="O765" s="178"/>
      <c r="P765" s="178"/>
      <c r="Q765" s="178"/>
      <c r="R765" s="178"/>
      <c r="S765" s="178"/>
      <c r="T765" s="178"/>
      <c r="U765" s="178"/>
      <c r="V765" s="178"/>
      <c r="W765" s="178"/>
      <c r="X765" s="137" t="s">
        <v>101</v>
      </c>
      <c r="Y765" s="164" t="str">
        <f t="shared" ca="1" si="1"/>
        <v>2.5 &amp; 3.5 Inch SATA2.0 USB3.0 1 to 3 Clone External Hard Drive Dock</v>
      </c>
      <c r="Z765" s="152"/>
      <c r="AA765" s="154"/>
      <c r="AB765" s="136"/>
      <c r="AC765" s="139"/>
      <c r="AD765" s="139"/>
      <c r="AE765" s="139"/>
      <c r="AF765" s="139"/>
    </row>
    <row r="766" spans="1:32" ht="25.5">
      <c r="A766" s="136" t="e">
        <f ca="1"/>
        <v>#NAME?</v>
      </c>
      <c r="B766" s="142" t="str">
        <f ca="1">IFERROR(__xludf.DUMMYFUNCTION("""COMPUTED_VALUE"""),"20M Gigabit Cat6 Ethernet Patch Cable with RJ45 CAT6 High Quality")</f>
        <v>20M Gigabit Cat6 Ethernet Patch Cable with RJ45 CAT6 High Quality</v>
      </c>
      <c r="C766" s="183">
        <f ca="1">IFERROR(__xludf.DUMMYFUNCTION("""COMPUTED_VALUE"""),20)</f>
        <v>20</v>
      </c>
      <c r="D766" s="185" t="str">
        <f ca="1">IFERROR(__xludf.DUMMYFUNCTION("""COMPUTED_VALUE"""),"pc")</f>
        <v>pc</v>
      </c>
      <c r="E766" s="179"/>
      <c r="F766" s="179"/>
      <c r="G766" s="178"/>
      <c r="H766" s="178"/>
      <c r="I766" s="178"/>
      <c r="J766" s="178"/>
      <c r="K766" s="178"/>
      <c r="L766" s="178"/>
      <c r="M766" s="178"/>
      <c r="N766" s="178"/>
      <c r="O766" s="178"/>
      <c r="P766" s="178"/>
      <c r="Q766" s="178"/>
      <c r="R766" s="178"/>
      <c r="S766" s="178"/>
      <c r="T766" s="178"/>
      <c r="U766" s="178"/>
      <c r="V766" s="178"/>
      <c r="W766" s="178"/>
      <c r="X766" s="137" t="s">
        <v>101</v>
      </c>
      <c r="Y766" s="164" t="str">
        <f t="shared" ca="1" si="1"/>
        <v>20M Gigabit Cat6 Ethernet Patch Cable with RJ45 CAT6 High Quality</v>
      </c>
      <c r="Z766" s="154"/>
      <c r="AA766" s="149"/>
      <c r="AB766" s="136"/>
      <c r="AC766" s="139"/>
      <c r="AD766" s="139"/>
      <c r="AE766" s="139"/>
      <c r="AF766" s="139"/>
    </row>
    <row r="767" spans="1:32" ht="12.75">
      <c r="A767" s="136" t="e">
        <f ca="1"/>
        <v>#NAME?</v>
      </c>
      <c r="B767" s="271" t="str">
        <f ca="1">IFERROR(__xludf.DUMMYFUNCTION("""COMPUTED_VALUE"""),"21.5"" FHD LED Monitor")</f>
        <v>21.5" FHD LED Monitor</v>
      </c>
      <c r="C767" s="178">
        <f ca="1">IFERROR(__xludf.DUMMYFUNCTION("""COMPUTED_VALUE"""),6)</f>
        <v>6</v>
      </c>
      <c r="D767" s="183" t="str">
        <f ca="1">IFERROR(__xludf.DUMMYFUNCTION("""COMPUTED_VALUE"""),"pc")</f>
        <v>pc</v>
      </c>
      <c r="E767" s="178"/>
      <c r="F767" s="183"/>
      <c r="G767" s="183"/>
      <c r="H767" s="183"/>
      <c r="I767" s="183"/>
      <c r="J767" s="183"/>
      <c r="K767" s="183"/>
      <c r="L767" s="183"/>
      <c r="M767" s="183"/>
      <c r="N767" s="183"/>
      <c r="O767" s="183"/>
      <c r="P767" s="183"/>
      <c r="Q767" s="183"/>
      <c r="R767" s="183"/>
      <c r="S767" s="183"/>
      <c r="T767" s="183"/>
      <c r="U767" s="183"/>
      <c r="V767" s="183"/>
      <c r="W767" s="183"/>
      <c r="X767" s="137" t="s">
        <v>101</v>
      </c>
      <c r="Y767" s="164" t="str">
        <f t="shared" ca="1" si="1"/>
        <v>21.5" FHD LED Monitor</v>
      </c>
      <c r="Z767" s="154"/>
      <c r="AA767" s="149"/>
      <c r="AB767" s="136"/>
      <c r="AC767" s="139"/>
      <c r="AD767" s="139"/>
      <c r="AE767" s="139"/>
      <c r="AF767" s="139"/>
    </row>
    <row r="768" spans="1:32" ht="12.75">
      <c r="A768" s="136" t="e">
        <f ca="1"/>
        <v>#NAME?</v>
      </c>
      <c r="B768" s="271" t="str">
        <f ca="1">IFERROR(__xludf.DUMMYFUNCTION("""COMPUTED_VALUE"""),"27inch Curved Monitor")</f>
        <v>27inch Curved Monitor</v>
      </c>
      <c r="C768" s="178">
        <f ca="1">IFERROR(__xludf.DUMMYFUNCTION("""COMPUTED_VALUE"""),5)</f>
        <v>5</v>
      </c>
      <c r="D768" s="178" t="str">
        <f ca="1">IFERROR(__xludf.DUMMYFUNCTION("""COMPUTED_VALUE"""),"pc")</f>
        <v>pc</v>
      </c>
      <c r="E768" s="178"/>
      <c r="F768" s="178"/>
      <c r="G768" s="178"/>
      <c r="H768" s="178"/>
      <c r="I768" s="178"/>
      <c r="J768" s="178"/>
      <c r="K768" s="178"/>
      <c r="L768" s="178"/>
      <c r="M768" s="178"/>
      <c r="N768" s="178"/>
      <c r="O768" s="178"/>
      <c r="P768" s="178"/>
      <c r="Q768" s="178"/>
      <c r="R768" s="178"/>
      <c r="S768" s="178"/>
      <c r="T768" s="178"/>
      <c r="U768" s="178"/>
      <c r="V768" s="178"/>
      <c r="W768" s="178"/>
      <c r="X768" s="137" t="s">
        <v>101</v>
      </c>
      <c r="Y768" s="164" t="str">
        <f t="shared" ca="1" si="1"/>
        <v>27inch Curved Monitor</v>
      </c>
      <c r="Z768" s="152"/>
      <c r="AA768" s="149"/>
      <c r="AB768" s="136"/>
      <c r="AC768" s="139"/>
      <c r="AD768" s="139"/>
      <c r="AE768" s="139"/>
      <c r="AF768" s="139"/>
    </row>
    <row r="769" spans="1:32" ht="25.5">
      <c r="A769" s="136" t="e">
        <f ca="1"/>
        <v>#NAME?</v>
      </c>
      <c r="B769" s="271" t="str">
        <f ca="1">IFERROR(__xludf.DUMMYFUNCTION("""COMPUTED_VALUE"""),"30M Gigabit Cat6 Ethernet Patch Cable with RJ45 CAT6 High Quality")</f>
        <v>30M Gigabit Cat6 Ethernet Patch Cable with RJ45 CAT6 High Quality</v>
      </c>
      <c r="C769" s="178">
        <f ca="1">IFERROR(__xludf.DUMMYFUNCTION("""COMPUTED_VALUE"""),20)</f>
        <v>20</v>
      </c>
      <c r="D769" s="178" t="str">
        <f ca="1">IFERROR(__xludf.DUMMYFUNCTION("""COMPUTED_VALUE"""),"pc")</f>
        <v>pc</v>
      </c>
      <c r="E769" s="178"/>
      <c r="F769" s="178"/>
      <c r="G769" s="178"/>
      <c r="H769" s="178"/>
      <c r="I769" s="178"/>
      <c r="J769" s="178"/>
      <c r="K769" s="178"/>
      <c r="L769" s="178"/>
      <c r="M769" s="178"/>
      <c r="N769" s="178"/>
      <c r="O769" s="178"/>
      <c r="P769" s="178"/>
      <c r="Q769" s="178"/>
      <c r="R769" s="178"/>
      <c r="S769" s="178"/>
      <c r="T769" s="178"/>
      <c r="U769" s="178"/>
      <c r="V769" s="178"/>
      <c r="W769" s="178"/>
      <c r="X769" s="137" t="s">
        <v>101</v>
      </c>
      <c r="Y769" s="164" t="str">
        <f t="shared" ca="1" si="1"/>
        <v>30M Gigabit Cat6 Ethernet Patch Cable with RJ45 CAT6 High Quality</v>
      </c>
      <c r="Z769" s="152"/>
      <c r="AA769" s="149"/>
      <c r="AB769" s="136"/>
      <c r="AC769" s="139"/>
      <c r="AD769" s="139"/>
      <c r="AE769" s="139"/>
      <c r="AF769" s="139"/>
    </row>
    <row r="770" spans="1:32" ht="25.5">
      <c r="A770" s="136" t="e">
        <f ca="1"/>
        <v>#NAME?</v>
      </c>
      <c r="B770" s="271" t="str">
        <f ca="1">IFERROR(__xludf.DUMMYFUNCTION("""COMPUTED_VALUE"""),"3M Gigabit Cat6 Ethernet Patch Cable with RJ45 CAT6 High Quality")</f>
        <v>3M Gigabit Cat6 Ethernet Patch Cable with RJ45 CAT6 High Quality</v>
      </c>
      <c r="C770" s="178">
        <f ca="1">IFERROR(__xludf.DUMMYFUNCTION("""COMPUTED_VALUE"""),70)</f>
        <v>70</v>
      </c>
      <c r="D770" s="178" t="str">
        <f ca="1">IFERROR(__xludf.DUMMYFUNCTION("""COMPUTED_VALUE"""),"pc")</f>
        <v>pc</v>
      </c>
      <c r="E770" s="178"/>
      <c r="F770" s="178"/>
      <c r="G770" s="178"/>
      <c r="H770" s="178"/>
      <c r="I770" s="178"/>
      <c r="J770" s="178"/>
      <c r="K770" s="178"/>
      <c r="L770" s="178"/>
      <c r="M770" s="178"/>
      <c r="N770" s="178"/>
      <c r="O770" s="178"/>
      <c r="P770" s="178"/>
      <c r="Q770" s="178"/>
      <c r="R770" s="178"/>
      <c r="S770" s="178"/>
      <c r="T770" s="178"/>
      <c r="U770" s="178"/>
      <c r="V770" s="178"/>
      <c r="W770" s="178"/>
      <c r="X770" s="137" t="s">
        <v>101</v>
      </c>
      <c r="Y770" s="164" t="str">
        <f t="shared" ca="1" si="1"/>
        <v>3M Gigabit Cat6 Ethernet Patch Cable with RJ45 CAT6 High Quality</v>
      </c>
      <c r="Z770" s="152"/>
      <c r="AA770" s="149"/>
      <c r="AB770" s="136"/>
      <c r="AC770" s="139"/>
      <c r="AD770" s="139"/>
      <c r="AE770" s="139"/>
      <c r="AF770" s="139"/>
    </row>
    <row r="771" spans="1:32" ht="12.75">
      <c r="A771" s="136" t="e">
        <f ca="1"/>
        <v>#NAME?</v>
      </c>
      <c r="B771" s="271" t="str">
        <f ca="1">IFERROR(__xludf.DUMMYFUNCTION("""COMPUTED_VALUE"""),"42U Server Data Rack")</f>
        <v>42U Server Data Rack</v>
      </c>
      <c r="C771" s="178">
        <f ca="1">IFERROR(__xludf.DUMMYFUNCTION("""COMPUTED_VALUE"""),2)</f>
        <v>2</v>
      </c>
      <c r="D771" s="178" t="str">
        <f ca="1">IFERROR(__xludf.DUMMYFUNCTION("""COMPUTED_VALUE"""),"pc")</f>
        <v>pc</v>
      </c>
      <c r="E771" s="178"/>
      <c r="F771" s="178"/>
      <c r="G771" s="178"/>
      <c r="H771" s="178"/>
      <c r="I771" s="178"/>
      <c r="J771" s="178"/>
      <c r="K771" s="178"/>
      <c r="L771" s="178"/>
      <c r="M771" s="178"/>
      <c r="N771" s="178"/>
      <c r="O771" s="178"/>
      <c r="P771" s="178"/>
      <c r="Q771" s="178"/>
      <c r="R771" s="178"/>
      <c r="S771" s="178"/>
      <c r="T771" s="178"/>
      <c r="U771" s="178"/>
      <c r="V771" s="178"/>
      <c r="W771" s="178"/>
      <c r="X771" s="137" t="s">
        <v>101</v>
      </c>
      <c r="Y771" s="164" t="str">
        <f t="shared" ca="1" si="1"/>
        <v>42U Server Data Rack</v>
      </c>
      <c r="Z771" s="154"/>
      <c r="AA771" s="149"/>
      <c r="AB771" s="136"/>
      <c r="AC771" s="139"/>
      <c r="AD771" s="139"/>
      <c r="AE771" s="139"/>
      <c r="AF771" s="139"/>
    </row>
    <row r="772" spans="1:32" ht="12.75">
      <c r="A772" s="136" t="e">
        <f ca="1"/>
        <v>#NAME?</v>
      </c>
      <c r="B772" s="271" t="str">
        <f ca="1">IFERROR(__xludf.DUMMYFUNCTION("""COMPUTED_VALUE"""),"480GB 2.5"" Internal SSD")</f>
        <v>480GB 2.5" Internal SSD</v>
      </c>
      <c r="C772" s="178">
        <f ca="1">IFERROR(__xludf.DUMMYFUNCTION("""COMPUTED_VALUE"""),100)</f>
        <v>100</v>
      </c>
      <c r="D772" s="178" t="str">
        <f ca="1">IFERROR(__xludf.DUMMYFUNCTION("""COMPUTED_VALUE"""),"pc")</f>
        <v>pc</v>
      </c>
      <c r="E772" s="178"/>
      <c r="F772" s="178"/>
      <c r="G772" s="178"/>
      <c r="H772" s="178"/>
      <c r="I772" s="178"/>
      <c r="J772" s="178"/>
      <c r="K772" s="178"/>
      <c r="L772" s="178"/>
      <c r="M772" s="178"/>
      <c r="N772" s="178"/>
      <c r="O772" s="178"/>
      <c r="P772" s="178"/>
      <c r="Q772" s="178"/>
      <c r="R772" s="178"/>
      <c r="S772" s="178"/>
      <c r="T772" s="178"/>
      <c r="U772" s="178"/>
      <c r="V772" s="178"/>
      <c r="W772" s="178"/>
      <c r="X772" s="137" t="s">
        <v>101</v>
      </c>
      <c r="Y772" s="164" t="str">
        <f t="shared" ca="1" si="1"/>
        <v>480GB 2.5" Internal SSD</v>
      </c>
      <c r="Z772" s="154"/>
      <c r="AA772" s="149"/>
      <c r="AB772" s="136"/>
      <c r="AC772" s="139"/>
      <c r="AD772" s="139"/>
      <c r="AE772" s="139"/>
      <c r="AF772" s="139"/>
    </row>
    <row r="773" spans="1:32" ht="25.5">
      <c r="A773" s="136" t="e">
        <f ca="1"/>
        <v>#NAME?</v>
      </c>
      <c r="B773" s="271" t="str">
        <f ca="1">IFERROR(__xludf.DUMMYFUNCTION("""COMPUTED_VALUE"""),"4U 4-Layer Data Cabinet Wallmounted Data Cabinet")</f>
        <v>4U 4-Layer Data Cabinet Wallmounted Data Cabinet</v>
      </c>
      <c r="C773" s="178">
        <f ca="1">IFERROR(__xludf.DUMMYFUNCTION("""COMPUTED_VALUE"""),20)</f>
        <v>20</v>
      </c>
      <c r="D773" s="178" t="str">
        <f ca="1">IFERROR(__xludf.DUMMYFUNCTION("""COMPUTED_VALUE"""),"set")</f>
        <v>set</v>
      </c>
      <c r="E773" s="178"/>
      <c r="F773" s="178"/>
      <c r="G773" s="178"/>
      <c r="H773" s="178"/>
      <c r="I773" s="178"/>
      <c r="J773" s="178"/>
      <c r="K773" s="178"/>
      <c r="L773" s="178"/>
      <c r="M773" s="178"/>
      <c r="N773" s="178"/>
      <c r="O773" s="178"/>
      <c r="P773" s="178"/>
      <c r="Q773" s="178"/>
      <c r="R773" s="178"/>
      <c r="S773" s="178"/>
      <c r="T773" s="178"/>
      <c r="U773" s="178"/>
      <c r="V773" s="178"/>
      <c r="W773" s="178"/>
      <c r="X773" s="137" t="s">
        <v>101</v>
      </c>
      <c r="Y773" s="164" t="str">
        <f t="shared" ca="1" si="1"/>
        <v>4U 4-Layer Data Cabinet Wallmounted Data Cabinet</v>
      </c>
      <c r="Z773" s="154"/>
      <c r="AA773" s="149"/>
      <c r="AB773" s="136"/>
      <c r="AC773" s="139"/>
      <c r="AD773" s="139"/>
      <c r="AE773" s="139"/>
      <c r="AF773" s="139"/>
    </row>
    <row r="774" spans="1:32" ht="25.5">
      <c r="A774" s="136" t="e">
        <f ca="1"/>
        <v>#NAME?</v>
      </c>
      <c r="B774" s="271" t="str">
        <f ca="1">IFERROR(__xludf.DUMMYFUNCTION("""COMPUTED_VALUE"""),"550 Watt 80 Plus Bronze Certified PSU ATX ")</f>
        <v xml:space="preserve">550 Watt 80 Plus Bronze Certified PSU ATX </v>
      </c>
      <c r="C774" s="178">
        <f ca="1">IFERROR(__xludf.DUMMYFUNCTION("""COMPUTED_VALUE"""),12)</f>
        <v>12</v>
      </c>
      <c r="D774" s="178" t="str">
        <f ca="1">IFERROR(__xludf.DUMMYFUNCTION("""COMPUTED_VALUE"""),"pc")</f>
        <v>pc</v>
      </c>
      <c r="E774" s="178"/>
      <c r="F774" s="178"/>
      <c r="G774" s="178"/>
      <c r="H774" s="178"/>
      <c r="I774" s="178"/>
      <c r="J774" s="178"/>
      <c r="K774" s="178"/>
      <c r="L774" s="178"/>
      <c r="M774" s="178"/>
      <c r="N774" s="178"/>
      <c r="O774" s="178"/>
      <c r="P774" s="178"/>
      <c r="Q774" s="178"/>
      <c r="R774" s="178"/>
      <c r="S774" s="178"/>
      <c r="T774" s="178"/>
      <c r="U774" s="178"/>
      <c r="V774" s="178"/>
      <c r="W774" s="178"/>
      <c r="X774" s="137" t="s">
        <v>101</v>
      </c>
      <c r="Y774" s="164" t="str">
        <f t="shared" ca="1" si="1"/>
        <v xml:space="preserve">550 Watt 80 Plus Bronze Certified PSU ATX </v>
      </c>
      <c r="Z774" s="154"/>
      <c r="AA774" s="149"/>
      <c r="AB774" s="136"/>
      <c r="AC774" s="139"/>
      <c r="AD774" s="139"/>
      <c r="AE774" s="139"/>
      <c r="AF774" s="139"/>
    </row>
    <row r="775" spans="1:32" ht="25.5">
      <c r="A775" s="136" t="e">
        <f ca="1"/>
        <v>#NAME?</v>
      </c>
      <c r="B775" s="271" t="str">
        <f ca="1">IFERROR(__xludf.DUMMYFUNCTION("""COMPUTED_VALUE"""),"5M Gigabit Cat6 Ethernet Patch Cable with RJ45 CAT6 High Quality")</f>
        <v>5M Gigabit Cat6 Ethernet Patch Cable with RJ45 CAT6 High Quality</v>
      </c>
      <c r="C775" s="178">
        <f ca="1">IFERROR(__xludf.DUMMYFUNCTION("""COMPUTED_VALUE"""),50)</f>
        <v>50</v>
      </c>
      <c r="D775" s="183" t="str">
        <f ca="1">IFERROR(__xludf.DUMMYFUNCTION("""COMPUTED_VALUE"""),"pc")</f>
        <v>pc</v>
      </c>
      <c r="E775" s="179"/>
      <c r="F775" s="183"/>
      <c r="G775" s="183"/>
      <c r="H775" s="183"/>
      <c r="I775" s="183"/>
      <c r="J775" s="183"/>
      <c r="K775" s="183"/>
      <c r="L775" s="183"/>
      <c r="M775" s="183"/>
      <c r="N775" s="183"/>
      <c r="O775" s="183"/>
      <c r="P775" s="183"/>
      <c r="Q775" s="183"/>
      <c r="R775" s="183"/>
      <c r="S775" s="183"/>
      <c r="T775" s="183"/>
      <c r="U775" s="183"/>
      <c r="V775" s="183"/>
      <c r="W775" s="136"/>
      <c r="X775" s="137" t="s">
        <v>101</v>
      </c>
      <c r="Y775" s="164" t="str">
        <f t="shared" ca="1" si="1"/>
        <v>5M Gigabit Cat6 Ethernet Patch Cable with RJ45 CAT6 High Quality</v>
      </c>
      <c r="Z775" s="154"/>
      <c r="AA775" s="149"/>
      <c r="AB775" s="136"/>
      <c r="AC775" s="139"/>
      <c r="AD775" s="139"/>
      <c r="AE775" s="139"/>
      <c r="AF775" s="139"/>
    </row>
    <row r="776" spans="1:32" ht="12.75">
      <c r="A776" s="136" t="e">
        <f ca="1"/>
        <v>#NAME?</v>
      </c>
      <c r="B776" s="142" t="str">
        <f ca="1">IFERROR(__xludf.DUMMYFUNCTION("""COMPUTED_VALUE"""),"7.0 Ah Replacement Battery (For UPS)")</f>
        <v>7.0 Ah Replacement Battery (For UPS)</v>
      </c>
      <c r="C776" s="183">
        <f ca="1">IFERROR(__xludf.DUMMYFUNCTION("""COMPUTED_VALUE"""),200)</f>
        <v>200</v>
      </c>
      <c r="D776" s="183" t="str">
        <f ca="1">IFERROR(__xludf.DUMMYFUNCTION("""COMPUTED_VALUE"""),"pc")</f>
        <v>pc</v>
      </c>
      <c r="E776" s="183"/>
      <c r="F776" s="183"/>
      <c r="G776" s="183"/>
      <c r="H776" s="183"/>
      <c r="I776" s="183"/>
      <c r="J776" s="183"/>
      <c r="K776" s="183"/>
      <c r="L776" s="183"/>
      <c r="M776" s="183"/>
      <c r="N776" s="183"/>
      <c r="O776" s="183"/>
      <c r="P776" s="183"/>
      <c r="Q776" s="183"/>
      <c r="R776" s="183"/>
      <c r="S776" s="183"/>
      <c r="T776" s="183"/>
      <c r="U776" s="183"/>
      <c r="V776" s="183"/>
      <c r="W776" s="183"/>
      <c r="X776" s="137" t="s">
        <v>101</v>
      </c>
      <c r="Y776" s="164" t="str">
        <f t="shared" ca="1" si="1"/>
        <v>7.0 Ah Replacement Battery (For UPS)</v>
      </c>
      <c r="Z776" s="154"/>
      <c r="AA776" s="149"/>
      <c r="AB776" s="136"/>
      <c r="AC776" s="139"/>
      <c r="AD776" s="139"/>
      <c r="AE776" s="139"/>
      <c r="AF776" s="139"/>
    </row>
    <row r="777" spans="1:32" ht="25.5">
      <c r="A777" s="136" t="e">
        <f ca="1"/>
        <v>#NAME?</v>
      </c>
      <c r="B777" s="261" t="str">
        <f ca="1">IFERROR(__xludf.DUMMYFUNCTION("""COMPUTED_VALUE"""),"8 Port Gigabit Network Switch with 4-Port PoE+")</f>
        <v>8 Port Gigabit Network Switch with 4-Port PoE+</v>
      </c>
      <c r="C777" s="178">
        <f ca="1">IFERROR(__xludf.DUMMYFUNCTION("""COMPUTED_VALUE"""),40)</f>
        <v>40</v>
      </c>
      <c r="D777" s="178" t="str">
        <f ca="1">IFERROR(__xludf.DUMMYFUNCTION("""COMPUTED_VALUE"""),"pc")</f>
        <v>pc</v>
      </c>
      <c r="E777" s="239"/>
      <c r="F777" s="178"/>
      <c r="G777" s="178"/>
      <c r="H777" s="178"/>
      <c r="I777" s="178"/>
      <c r="J777" s="178"/>
      <c r="K777" s="178"/>
      <c r="L777" s="178"/>
      <c r="M777" s="178"/>
      <c r="N777" s="178"/>
      <c r="O777" s="178"/>
      <c r="P777" s="178"/>
      <c r="Q777" s="178"/>
      <c r="R777" s="178"/>
      <c r="S777" s="178"/>
      <c r="T777" s="178"/>
      <c r="U777" s="178"/>
      <c r="V777" s="178"/>
      <c r="W777" s="178"/>
      <c r="X777" s="137" t="s">
        <v>101</v>
      </c>
      <c r="Y777" s="164" t="str">
        <f t="shared" ca="1" si="1"/>
        <v>8 Port Gigabit Network Switch with 4-Port PoE+</v>
      </c>
      <c r="Z777" s="154"/>
      <c r="AA777" s="149"/>
      <c r="AB777" s="136"/>
      <c r="AC777" s="139"/>
      <c r="AD777" s="139"/>
      <c r="AE777" s="139"/>
      <c r="AF777" s="139"/>
    </row>
    <row r="778" spans="1:32" ht="25.5">
      <c r="A778" s="136" t="e">
        <f ca="1"/>
        <v>#NAME?</v>
      </c>
      <c r="B778" s="261" t="str">
        <f ca="1">IFERROR(__xludf.DUMMYFUNCTION("""COMPUTED_VALUE"""),"8-Port Gigabit L2 Managed Switch with 2 SFP Slots")</f>
        <v>8-Port Gigabit L2 Managed Switch with 2 SFP Slots</v>
      </c>
      <c r="C778" s="178">
        <f ca="1">IFERROR(__xludf.DUMMYFUNCTION("""COMPUTED_VALUE"""),24)</f>
        <v>24</v>
      </c>
      <c r="D778" s="178" t="str">
        <f ca="1">IFERROR(__xludf.DUMMYFUNCTION("""COMPUTED_VALUE"""),"pc")</f>
        <v>pc</v>
      </c>
      <c r="E778" s="239"/>
      <c r="F778" s="178"/>
      <c r="G778" s="178"/>
      <c r="H778" s="178"/>
      <c r="I778" s="178"/>
      <c r="J778" s="178"/>
      <c r="K778" s="178"/>
      <c r="L778" s="178"/>
      <c r="M778" s="178"/>
      <c r="N778" s="178"/>
      <c r="O778" s="178"/>
      <c r="P778" s="178"/>
      <c r="Q778" s="178"/>
      <c r="R778" s="178"/>
      <c r="S778" s="178"/>
      <c r="T778" s="178"/>
      <c r="U778" s="178"/>
      <c r="V778" s="178"/>
      <c r="W778" s="178"/>
      <c r="X778" s="137" t="s">
        <v>101</v>
      </c>
      <c r="Y778" s="164" t="str">
        <f t="shared" ca="1" si="1"/>
        <v>8-Port Gigabit L2 Managed Switch with 2 SFP Slots</v>
      </c>
      <c r="Z778" s="154"/>
      <c r="AA778" s="149"/>
      <c r="AB778" s="136"/>
      <c r="AC778" s="139"/>
      <c r="AD778" s="139"/>
      <c r="AE778" s="139"/>
      <c r="AF778" s="139"/>
    </row>
    <row r="779" spans="1:32" ht="12.75">
      <c r="A779" s="136" t="e">
        <f ca="1"/>
        <v>#NAME?</v>
      </c>
      <c r="B779" s="156" t="str">
        <f ca="1">IFERROR(__xludf.DUMMYFUNCTION("""COMPUTED_VALUE"""),"Aluminum Step Ladder, FT-4 (4 Steps)")</f>
        <v>Aluminum Step Ladder, FT-4 (4 Steps)</v>
      </c>
      <c r="C779" s="198">
        <f ca="1">IFERROR(__xludf.DUMMYFUNCTION("""COMPUTED_VALUE"""),1)</f>
        <v>1</v>
      </c>
      <c r="D779" s="177" t="str">
        <f ca="1">IFERROR(__xludf.DUMMYFUNCTION("""COMPUTED_VALUE"""),"pc")</f>
        <v>pc</v>
      </c>
      <c r="E779" s="177"/>
      <c r="F779" s="177"/>
      <c r="G779" s="177"/>
      <c r="H779" s="177"/>
      <c r="I779" s="177"/>
      <c r="J779" s="177"/>
      <c r="K779" s="177"/>
      <c r="L779" s="177"/>
      <c r="M779" s="177"/>
      <c r="N779" s="177"/>
      <c r="O779" s="177"/>
      <c r="P779" s="177"/>
      <c r="Q779" s="177"/>
      <c r="R779" s="177"/>
      <c r="S779" s="177"/>
      <c r="T779" s="177"/>
      <c r="U779" s="177"/>
      <c r="V779" s="177"/>
      <c r="W779" s="177"/>
      <c r="X779" s="137" t="s">
        <v>101</v>
      </c>
      <c r="Y779" s="164" t="str">
        <f t="shared" ca="1" si="1"/>
        <v>Aluminum Step Ladder, FT-4 (4 Steps)</v>
      </c>
      <c r="Z779" s="154"/>
      <c r="AA779" s="151"/>
      <c r="AB779" s="136"/>
      <c r="AC779" s="139"/>
      <c r="AD779" s="139"/>
      <c r="AE779" s="139"/>
      <c r="AF779" s="139"/>
    </row>
    <row r="780" spans="1:32" ht="12.75">
      <c r="A780" s="136" t="e">
        <f ca="1"/>
        <v>#NAME?</v>
      </c>
      <c r="B780" s="273" t="str">
        <f ca="1">IFERROR(__xludf.DUMMYFUNCTION("""COMPUTED_VALUE"""),"Aluminum Step Ladder, FT-6 (6 Steps)")</f>
        <v>Aluminum Step Ladder, FT-6 (6 Steps)</v>
      </c>
      <c r="C780" s="200">
        <f ca="1">IFERROR(__xludf.DUMMYFUNCTION("""COMPUTED_VALUE"""),2)</f>
        <v>2</v>
      </c>
      <c r="D780" s="181" t="str">
        <f ca="1">IFERROR(__xludf.DUMMYFUNCTION("""COMPUTED_VALUE"""),"pc")</f>
        <v>pc</v>
      </c>
      <c r="E780" s="181"/>
      <c r="F780" s="181"/>
      <c r="G780" s="181"/>
      <c r="H780" s="181"/>
      <c r="I780" s="181"/>
      <c r="J780" s="181"/>
      <c r="K780" s="181"/>
      <c r="L780" s="181"/>
      <c r="M780" s="181"/>
      <c r="N780" s="181"/>
      <c r="O780" s="181"/>
      <c r="P780" s="181"/>
      <c r="Q780" s="181"/>
      <c r="R780" s="181"/>
      <c r="S780" s="181"/>
      <c r="T780" s="181"/>
      <c r="U780" s="181"/>
      <c r="V780" s="181"/>
      <c r="W780" s="181"/>
      <c r="X780" s="137" t="s">
        <v>101</v>
      </c>
      <c r="Y780" s="164" t="str">
        <f t="shared" ca="1" si="1"/>
        <v>Aluminum Step Ladder, FT-6 (6 Steps)</v>
      </c>
      <c r="Z780" s="154"/>
      <c r="AA780" s="151"/>
      <c r="AB780" s="136"/>
      <c r="AC780" s="139"/>
      <c r="AD780" s="139"/>
      <c r="AE780" s="139"/>
      <c r="AF780" s="139"/>
    </row>
    <row r="781" spans="1:32" ht="12.75">
      <c r="A781" s="136" t="e">
        <f ca="1"/>
        <v>#NAME?</v>
      </c>
      <c r="B781" s="180" t="str">
        <f ca="1">IFERROR(__xludf.DUMMYFUNCTION("""COMPUTED_VALUE"""),"Aluminum Step Ladder, FT-7 (7 Steps)")</f>
        <v>Aluminum Step Ladder, FT-7 (7 Steps)</v>
      </c>
      <c r="C781" s="181">
        <f ca="1">IFERROR(__xludf.DUMMYFUNCTION("""COMPUTED_VALUE"""),2)</f>
        <v>2</v>
      </c>
      <c r="D781" s="181" t="str">
        <f ca="1">IFERROR(__xludf.DUMMYFUNCTION("""COMPUTED_VALUE"""),"pc")</f>
        <v>pc</v>
      </c>
      <c r="E781" s="181"/>
      <c r="F781" s="181"/>
      <c r="G781" s="181"/>
      <c r="H781" s="181"/>
      <c r="I781" s="181"/>
      <c r="J781" s="181"/>
      <c r="K781" s="181"/>
      <c r="L781" s="181"/>
      <c r="M781" s="181"/>
      <c r="N781" s="181"/>
      <c r="O781" s="181"/>
      <c r="P781" s="181"/>
      <c r="Q781" s="181"/>
      <c r="R781" s="181"/>
      <c r="S781" s="181"/>
      <c r="T781" s="181"/>
      <c r="U781" s="181"/>
      <c r="V781" s="181"/>
      <c r="W781" s="181"/>
      <c r="X781" s="137" t="s">
        <v>101</v>
      </c>
      <c r="Y781" s="164" t="str">
        <f t="shared" ca="1" si="1"/>
        <v>Aluminum Step Ladder, FT-7 (7 Steps)</v>
      </c>
      <c r="Z781" s="154"/>
      <c r="AA781" s="149"/>
      <c r="AB781" s="136"/>
      <c r="AC781" s="139"/>
      <c r="AD781" s="139"/>
      <c r="AE781" s="139"/>
      <c r="AF781" s="139"/>
    </row>
    <row r="782" spans="1:32" ht="12.75">
      <c r="A782" s="136" t="e">
        <f ca="1"/>
        <v>#NAME?</v>
      </c>
      <c r="B782" s="180" t="str">
        <f ca="1">IFERROR(__xludf.DUMMYFUNCTION("""COMPUTED_VALUE"""),"BATTERY 9V")</f>
        <v>BATTERY 9V</v>
      </c>
      <c r="C782" s="181">
        <f ca="1">IFERROR(__xludf.DUMMYFUNCTION("""COMPUTED_VALUE"""),60)</f>
        <v>60</v>
      </c>
      <c r="D782" s="181" t="str">
        <f ca="1">IFERROR(__xludf.DUMMYFUNCTION("""COMPUTED_VALUE"""),"pc")</f>
        <v>pc</v>
      </c>
      <c r="E782" s="181"/>
      <c r="F782" s="181"/>
      <c r="G782" s="181"/>
      <c r="H782" s="181"/>
      <c r="I782" s="181"/>
      <c r="J782" s="181"/>
      <c r="K782" s="181"/>
      <c r="L782" s="181"/>
      <c r="M782" s="181"/>
      <c r="N782" s="181"/>
      <c r="O782" s="181"/>
      <c r="P782" s="181"/>
      <c r="Q782" s="181"/>
      <c r="R782" s="181"/>
      <c r="S782" s="181"/>
      <c r="T782" s="181"/>
      <c r="U782" s="181"/>
      <c r="V782" s="181"/>
      <c r="W782" s="181"/>
      <c r="X782" s="137" t="s">
        <v>101</v>
      </c>
      <c r="Y782" s="164" t="str">
        <f t="shared" ca="1" si="1"/>
        <v>BATTERY 9V</v>
      </c>
      <c r="Z782" s="154"/>
      <c r="AA782" s="152"/>
      <c r="AB782" s="136"/>
      <c r="AC782" s="139"/>
      <c r="AD782" s="139"/>
      <c r="AE782" s="139"/>
      <c r="AF782" s="139"/>
    </row>
    <row r="783" spans="1:32" ht="12.75">
      <c r="A783" s="136" t="e">
        <f ca="1"/>
        <v>#NAME?</v>
      </c>
      <c r="B783" s="180" t="str">
        <f ca="1">IFERROR(__xludf.DUMMYFUNCTION("""COMPUTED_VALUE"""),"BATTERY AA 2S (2pcs/pack)")</f>
        <v>BATTERY AA 2S (2pcs/pack)</v>
      </c>
      <c r="C783" s="181">
        <f ca="1">IFERROR(__xludf.DUMMYFUNCTION("""COMPUTED_VALUE"""),100)</f>
        <v>100</v>
      </c>
      <c r="D783" s="181" t="str">
        <f ca="1">IFERROR(__xludf.DUMMYFUNCTION("""COMPUTED_VALUE"""),"pack")</f>
        <v>pack</v>
      </c>
      <c r="E783" s="181"/>
      <c r="F783" s="181"/>
      <c r="G783" s="181"/>
      <c r="H783" s="181"/>
      <c r="I783" s="181"/>
      <c r="J783" s="181"/>
      <c r="K783" s="181"/>
      <c r="L783" s="181"/>
      <c r="M783" s="181"/>
      <c r="N783" s="181"/>
      <c r="O783" s="181"/>
      <c r="P783" s="181"/>
      <c r="Q783" s="181"/>
      <c r="R783" s="181"/>
      <c r="S783" s="181"/>
      <c r="T783" s="181"/>
      <c r="U783" s="181"/>
      <c r="V783" s="181"/>
      <c r="W783" s="181"/>
      <c r="X783" s="137" t="s">
        <v>101</v>
      </c>
      <c r="Y783" s="164" t="str">
        <f t="shared" ca="1" si="1"/>
        <v>BATTERY AA 2S (2pcs/pack)</v>
      </c>
      <c r="Z783" s="154"/>
      <c r="AA783" s="152"/>
      <c r="AB783" s="136"/>
      <c r="AC783" s="139"/>
      <c r="AD783" s="139"/>
      <c r="AE783" s="139"/>
      <c r="AF783" s="139"/>
    </row>
    <row r="784" spans="1:32" ht="12.75">
      <c r="A784" s="136" t="e">
        <f ca="1"/>
        <v>#NAME?</v>
      </c>
      <c r="B784" s="180" t="str">
        <f ca="1">IFERROR(__xludf.DUMMYFUNCTION("""COMPUTED_VALUE"""),"BATTERY AAA 4S (2pcs/pack)")</f>
        <v>BATTERY AAA 4S (2pcs/pack)</v>
      </c>
      <c r="C784" s="181">
        <f ca="1">IFERROR(__xludf.DUMMYFUNCTION("""COMPUTED_VALUE"""),60)</f>
        <v>60</v>
      </c>
      <c r="D784" s="181" t="str">
        <f ca="1">IFERROR(__xludf.DUMMYFUNCTION("""COMPUTED_VALUE"""),"pack")</f>
        <v>pack</v>
      </c>
      <c r="E784" s="181"/>
      <c r="F784" s="181"/>
      <c r="G784" s="181"/>
      <c r="H784" s="181"/>
      <c r="I784" s="181"/>
      <c r="J784" s="181"/>
      <c r="K784" s="181"/>
      <c r="L784" s="181"/>
      <c r="M784" s="181"/>
      <c r="N784" s="181"/>
      <c r="O784" s="181"/>
      <c r="P784" s="181"/>
      <c r="Q784" s="181"/>
      <c r="R784" s="181"/>
      <c r="S784" s="181"/>
      <c r="T784" s="181"/>
      <c r="U784" s="181"/>
      <c r="V784" s="181"/>
      <c r="W784" s="181"/>
      <c r="X784" s="137" t="s">
        <v>101</v>
      </c>
      <c r="Y784" s="164" t="str">
        <f t="shared" ca="1" si="1"/>
        <v>BATTERY AAA 4S (2pcs/pack)</v>
      </c>
      <c r="Z784" s="154"/>
      <c r="AA784" s="152"/>
      <c r="AB784" s="136"/>
      <c r="AC784" s="139"/>
      <c r="AD784" s="139"/>
      <c r="AE784" s="139"/>
      <c r="AF784" s="139"/>
    </row>
    <row r="785" spans="1:32" ht="25.5">
      <c r="A785" s="136" t="e">
        <f ca="1"/>
        <v>#NAME?</v>
      </c>
      <c r="B785" s="180" t="str">
        <f ca="1">IFERROR(__xludf.DUMMYFUNCTION("""COMPUTED_VALUE"""),"Black &amp; White LASER NETWORK PRINTER with DUPLEX PRINTING")</f>
        <v>Black &amp; White LASER NETWORK PRINTER with DUPLEX PRINTING</v>
      </c>
      <c r="C785" s="181">
        <f ca="1">IFERROR(__xludf.DUMMYFUNCTION("""COMPUTED_VALUE"""),1)</f>
        <v>1</v>
      </c>
      <c r="D785" s="181" t="str">
        <f ca="1">IFERROR(__xludf.DUMMYFUNCTION("""COMPUTED_VALUE"""),"set")</f>
        <v>set</v>
      </c>
      <c r="E785" s="181"/>
      <c r="F785" s="181"/>
      <c r="G785" s="181"/>
      <c r="H785" s="181"/>
      <c r="I785" s="181"/>
      <c r="J785" s="181"/>
      <c r="K785" s="181"/>
      <c r="L785" s="181"/>
      <c r="M785" s="181"/>
      <c r="N785" s="181"/>
      <c r="O785" s="181"/>
      <c r="P785" s="181"/>
      <c r="Q785" s="181"/>
      <c r="R785" s="181"/>
      <c r="S785" s="181"/>
      <c r="T785" s="181"/>
      <c r="U785" s="181"/>
      <c r="V785" s="181"/>
      <c r="W785" s="181"/>
      <c r="X785" s="137" t="s">
        <v>101</v>
      </c>
      <c r="Y785" s="164" t="str">
        <f t="shared" ca="1" si="1"/>
        <v>Black &amp; White LASER NETWORK PRINTER with DUPLEX PRINTING</v>
      </c>
      <c r="Z785" s="154"/>
      <c r="AA785" s="152"/>
      <c r="AB785" s="136"/>
      <c r="AC785" s="139"/>
      <c r="AD785" s="139"/>
      <c r="AE785" s="139"/>
      <c r="AF785" s="139"/>
    </row>
    <row r="786" spans="1:32" ht="25.5">
      <c r="A786" s="136" t="e">
        <f ca="1"/>
        <v>#NAME?</v>
      </c>
      <c r="B786" s="180" t="str">
        <f ca="1">IFERROR(__xludf.DUMMYFUNCTION("""COMPUTED_VALUE"""),"Black Nylon Cable Tie 2.5 x 100mm 100pcs/pack ")</f>
        <v xml:space="preserve">Black Nylon Cable Tie 2.5 x 100mm 100pcs/pack </v>
      </c>
      <c r="C786" s="181">
        <f ca="1">IFERROR(__xludf.DUMMYFUNCTION("""COMPUTED_VALUE"""),50)</f>
        <v>50</v>
      </c>
      <c r="D786" s="181" t="str">
        <f ca="1">IFERROR(__xludf.DUMMYFUNCTION("""COMPUTED_VALUE"""),"pack")</f>
        <v>pack</v>
      </c>
      <c r="E786" s="181"/>
      <c r="F786" s="181"/>
      <c r="G786" s="181"/>
      <c r="H786" s="181"/>
      <c r="I786" s="181"/>
      <c r="J786" s="181"/>
      <c r="K786" s="181"/>
      <c r="L786" s="181"/>
      <c r="M786" s="181"/>
      <c r="N786" s="181"/>
      <c r="O786" s="181"/>
      <c r="P786" s="181"/>
      <c r="Q786" s="181"/>
      <c r="R786" s="181"/>
      <c r="S786" s="181"/>
      <c r="T786" s="181"/>
      <c r="U786" s="181"/>
      <c r="V786" s="181"/>
      <c r="W786" s="181"/>
      <c r="X786" s="137" t="s">
        <v>101</v>
      </c>
      <c r="Y786" s="164" t="str">
        <f t="shared" ca="1" si="1"/>
        <v xml:space="preserve">Black Nylon Cable Tie 2.5 x 100mm 100pcs/pack </v>
      </c>
      <c r="Z786" s="154"/>
      <c r="AA786" s="152"/>
      <c r="AB786" s="136"/>
      <c r="AC786" s="139"/>
      <c r="AD786" s="139"/>
      <c r="AE786" s="139"/>
      <c r="AF786" s="139"/>
    </row>
    <row r="787" spans="1:32" ht="25.5">
      <c r="A787" s="136" t="e">
        <f ca="1"/>
        <v>#NAME?</v>
      </c>
      <c r="B787" s="180" t="str">
        <f ca="1">IFERROR(__xludf.DUMMYFUNCTION("""COMPUTED_VALUE"""),"Black Nylon Cable Tie 2.5 x 140mm 100pcs/pack ")</f>
        <v xml:space="preserve">Black Nylon Cable Tie 2.5 x 140mm 100pcs/pack </v>
      </c>
      <c r="C787" s="181">
        <f ca="1">IFERROR(__xludf.DUMMYFUNCTION("""COMPUTED_VALUE"""),50)</f>
        <v>50</v>
      </c>
      <c r="D787" s="181" t="str">
        <f ca="1">IFERROR(__xludf.DUMMYFUNCTION("""COMPUTED_VALUE"""),"pack")</f>
        <v>pack</v>
      </c>
      <c r="E787" s="181"/>
      <c r="F787" s="181"/>
      <c r="G787" s="181"/>
      <c r="H787" s="181"/>
      <c r="I787" s="181"/>
      <c r="J787" s="181"/>
      <c r="K787" s="181"/>
      <c r="L787" s="181"/>
      <c r="M787" s="181"/>
      <c r="N787" s="181"/>
      <c r="O787" s="181"/>
      <c r="P787" s="181"/>
      <c r="Q787" s="181"/>
      <c r="R787" s="181"/>
      <c r="S787" s="181"/>
      <c r="T787" s="181"/>
      <c r="U787" s="181"/>
      <c r="V787" s="181"/>
      <c r="W787" s="181"/>
      <c r="X787" s="137" t="s">
        <v>101</v>
      </c>
      <c r="Y787" s="164" t="str">
        <f t="shared" ca="1" si="1"/>
        <v xml:space="preserve">Black Nylon Cable Tie 2.5 x 140mm 100pcs/pack </v>
      </c>
      <c r="Z787" s="154"/>
      <c r="AA787" s="152"/>
      <c r="AB787" s="136"/>
      <c r="AC787" s="139"/>
      <c r="AD787" s="139"/>
      <c r="AE787" s="139"/>
      <c r="AF787" s="139"/>
    </row>
    <row r="788" spans="1:32" ht="25.5">
      <c r="A788" s="136" t="e">
        <f ca="1"/>
        <v>#NAME?</v>
      </c>
      <c r="B788" s="180" t="str">
        <f ca="1">IFERROR(__xludf.DUMMYFUNCTION("""COMPUTED_VALUE"""),"Black Nylon Cable Tie 3.6 x 140mm 100pcs/pack ")</f>
        <v xml:space="preserve">Black Nylon Cable Tie 3.6 x 140mm 100pcs/pack </v>
      </c>
      <c r="C788" s="181">
        <f ca="1">IFERROR(__xludf.DUMMYFUNCTION("""COMPUTED_VALUE"""),40)</f>
        <v>40</v>
      </c>
      <c r="D788" s="181" t="str">
        <f ca="1">IFERROR(__xludf.DUMMYFUNCTION("""COMPUTED_VALUE"""),"pack")</f>
        <v>pack</v>
      </c>
      <c r="E788" s="181"/>
      <c r="F788" s="181"/>
      <c r="G788" s="181"/>
      <c r="H788" s="181"/>
      <c r="I788" s="181"/>
      <c r="J788" s="181"/>
      <c r="K788" s="181"/>
      <c r="L788" s="181"/>
      <c r="M788" s="181"/>
      <c r="N788" s="181"/>
      <c r="O788" s="181"/>
      <c r="P788" s="181"/>
      <c r="Q788" s="181"/>
      <c r="R788" s="181"/>
      <c r="S788" s="181"/>
      <c r="T788" s="181"/>
      <c r="U788" s="181"/>
      <c r="V788" s="181"/>
      <c r="W788" s="181"/>
      <c r="X788" s="137" t="s">
        <v>101</v>
      </c>
      <c r="Y788" s="164" t="str">
        <f t="shared" ca="1" si="1"/>
        <v xml:space="preserve">Black Nylon Cable Tie 3.6 x 140mm 100pcs/pack </v>
      </c>
      <c r="Z788" s="154"/>
      <c r="AA788" s="152"/>
      <c r="AB788" s="136"/>
      <c r="AC788" s="139"/>
      <c r="AD788" s="139"/>
      <c r="AE788" s="139"/>
      <c r="AF788" s="139"/>
    </row>
    <row r="789" spans="1:32" ht="25.5">
      <c r="A789" s="136" t="e">
        <f ca="1"/>
        <v>#NAME?</v>
      </c>
      <c r="B789" s="180" t="str">
        <f ca="1">IFERROR(__xludf.DUMMYFUNCTION("""COMPUTED_VALUE"""),"Black Nylon Cable Tie 3.6 x 200mm 100pcs/pack ")</f>
        <v xml:space="preserve">Black Nylon Cable Tie 3.6 x 200mm 100pcs/pack </v>
      </c>
      <c r="C789" s="181">
        <f ca="1">IFERROR(__xludf.DUMMYFUNCTION("""COMPUTED_VALUE"""),40)</f>
        <v>40</v>
      </c>
      <c r="D789" s="181" t="str">
        <f ca="1">IFERROR(__xludf.DUMMYFUNCTION("""COMPUTED_VALUE"""),"pack")</f>
        <v>pack</v>
      </c>
      <c r="E789" s="181"/>
      <c r="F789" s="181"/>
      <c r="G789" s="181"/>
      <c r="H789" s="181"/>
      <c r="I789" s="181"/>
      <c r="J789" s="181"/>
      <c r="K789" s="181"/>
      <c r="L789" s="181"/>
      <c r="M789" s="181"/>
      <c r="N789" s="181"/>
      <c r="O789" s="181"/>
      <c r="P789" s="181"/>
      <c r="Q789" s="181"/>
      <c r="R789" s="181"/>
      <c r="S789" s="181"/>
      <c r="T789" s="181"/>
      <c r="U789" s="181"/>
      <c r="V789" s="181"/>
      <c r="W789" s="181"/>
      <c r="X789" s="137" t="s">
        <v>101</v>
      </c>
      <c r="Y789" s="164" t="str">
        <f t="shared" ca="1" si="1"/>
        <v xml:space="preserve">Black Nylon Cable Tie 3.6 x 200mm 100pcs/pack </v>
      </c>
      <c r="Z789" s="154"/>
      <c r="AA789" s="152"/>
      <c r="AB789" s="136"/>
      <c r="AC789" s="139"/>
      <c r="AD789" s="139"/>
      <c r="AE789" s="139"/>
      <c r="AF789" s="139"/>
    </row>
    <row r="790" spans="1:32" ht="25.5">
      <c r="A790" s="136" t="e">
        <f ca="1"/>
        <v>#NAME?</v>
      </c>
      <c r="B790" s="180" t="str">
        <f ca="1">IFERROR(__xludf.DUMMYFUNCTION("""COMPUTED_VALUE"""),"Black Nylon Cable Tie 3.6 x 300mm 100pcs/pack ")</f>
        <v xml:space="preserve">Black Nylon Cable Tie 3.6 x 300mm 100pcs/pack </v>
      </c>
      <c r="C790" s="181">
        <f ca="1">IFERROR(__xludf.DUMMYFUNCTION("""COMPUTED_VALUE"""),30)</f>
        <v>30</v>
      </c>
      <c r="D790" s="181" t="str">
        <f ca="1">IFERROR(__xludf.DUMMYFUNCTION("""COMPUTED_VALUE"""),"pack")</f>
        <v>pack</v>
      </c>
      <c r="E790" s="181"/>
      <c r="F790" s="181"/>
      <c r="G790" s="181"/>
      <c r="H790" s="181"/>
      <c r="I790" s="181"/>
      <c r="J790" s="181"/>
      <c r="K790" s="181"/>
      <c r="L790" s="181"/>
      <c r="M790" s="181"/>
      <c r="N790" s="181"/>
      <c r="O790" s="181"/>
      <c r="P790" s="181"/>
      <c r="Q790" s="181"/>
      <c r="R790" s="181"/>
      <c r="S790" s="181"/>
      <c r="T790" s="181"/>
      <c r="U790" s="181"/>
      <c r="V790" s="181"/>
      <c r="W790" s="181"/>
      <c r="X790" s="137" t="s">
        <v>101</v>
      </c>
      <c r="Y790" s="164" t="str">
        <f t="shared" ca="1" si="1"/>
        <v xml:space="preserve">Black Nylon Cable Tie 3.6 x 300mm 100pcs/pack </v>
      </c>
      <c r="Z790" s="154"/>
      <c r="AA790" s="152"/>
      <c r="AB790" s="136"/>
      <c r="AC790" s="139"/>
      <c r="AD790" s="139"/>
      <c r="AE790" s="139"/>
      <c r="AF790" s="139"/>
    </row>
    <row r="791" spans="1:32" ht="25.5">
      <c r="A791" s="136" t="e">
        <f ca="1"/>
        <v>#NAME?</v>
      </c>
      <c r="B791" s="180" t="str">
        <f ca="1">IFERROR(__xludf.DUMMYFUNCTION("""COMPUTED_VALUE"""),"Black Nylon Cable Tie 4.8 x 200mm 100pcs/pack ")</f>
        <v xml:space="preserve">Black Nylon Cable Tie 4.8 x 200mm 100pcs/pack </v>
      </c>
      <c r="C791" s="181">
        <f ca="1">IFERROR(__xludf.DUMMYFUNCTION("""COMPUTED_VALUE"""),30)</f>
        <v>30</v>
      </c>
      <c r="D791" s="181" t="str">
        <f ca="1">IFERROR(__xludf.DUMMYFUNCTION("""COMPUTED_VALUE"""),"pack")</f>
        <v>pack</v>
      </c>
      <c r="E791" s="181"/>
      <c r="F791" s="181"/>
      <c r="G791" s="181"/>
      <c r="H791" s="181"/>
      <c r="I791" s="181"/>
      <c r="J791" s="181"/>
      <c r="K791" s="181"/>
      <c r="L791" s="181"/>
      <c r="M791" s="181"/>
      <c r="N791" s="181"/>
      <c r="O791" s="181"/>
      <c r="P791" s="181"/>
      <c r="Q791" s="181"/>
      <c r="R791" s="181"/>
      <c r="S791" s="181"/>
      <c r="T791" s="181"/>
      <c r="U791" s="181"/>
      <c r="V791" s="181"/>
      <c r="W791" s="181"/>
      <c r="X791" s="137" t="s">
        <v>101</v>
      </c>
      <c r="Y791" s="164" t="str">
        <f t="shared" ca="1" si="1"/>
        <v xml:space="preserve">Black Nylon Cable Tie 4.8 x 200mm 100pcs/pack </v>
      </c>
      <c r="Z791" s="154"/>
      <c r="AA791" s="152"/>
      <c r="AB791" s="136"/>
      <c r="AC791" s="139"/>
      <c r="AD791" s="139"/>
      <c r="AE791" s="139"/>
      <c r="AF791" s="139"/>
    </row>
    <row r="792" spans="1:32" ht="25.5">
      <c r="A792" s="134" t="e">
        <f ca="1"/>
        <v>#NAME?</v>
      </c>
      <c r="B792" s="135" t="str">
        <f ca="1">IFERROR(__xludf.DUMMYFUNCTION("""COMPUTED_VALUE"""),"Black Nylon Cable Tie 4.8 x 250mm 100pcs/pack ")</f>
        <v xml:space="preserve">Black Nylon Cable Tie 4.8 x 250mm 100pcs/pack </v>
      </c>
      <c r="C792" s="136">
        <f ca="1">IFERROR(__xludf.DUMMYFUNCTION("""COMPUTED_VALUE"""),10)</f>
        <v>10</v>
      </c>
      <c r="D792" s="136" t="str">
        <f ca="1">IFERROR(__xludf.DUMMYFUNCTION("""COMPUTED_VALUE"""),"pack")</f>
        <v>pack</v>
      </c>
      <c r="E792" s="136"/>
      <c r="F792" s="136"/>
      <c r="G792" s="136"/>
      <c r="H792" s="136"/>
      <c r="I792" s="136"/>
      <c r="J792" s="136"/>
      <c r="K792" s="136"/>
      <c r="L792" s="136"/>
      <c r="M792" s="136"/>
      <c r="N792" s="136"/>
      <c r="O792" s="136"/>
      <c r="P792" s="136"/>
      <c r="Q792" s="136"/>
      <c r="R792" s="136"/>
      <c r="S792" s="136"/>
      <c r="T792" s="136"/>
      <c r="U792" s="136"/>
      <c r="V792" s="136"/>
      <c r="W792" s="136"/>
      <c r="X792" s="137" t="s">
        <v>101</v>
      </c>
      <c r="Y792" s="164" t="str">
        <f t="shared" ca="1" si="1"/>
        <v xml:space="preserve">Black Nylon Cable Tie 4.8 x 250mm 100pcs/pack </v>
      </c>
      <c r="Z792" s="154"/>
      <c r="AA792" s="136"/>
      <c r="AB792" s="136"/>
      <c r="AC792" s="139"/>
      <c r="AD792" s="139"/>
      <c r="AE792" s="139"/>
      <c r="AF792" s="139"/>
    </row>
    <row r="793" spans="1:32" ht="25.5">
      <c r="A793" s="134" t="e">
        <f ca="1"/>
        <v>#NAME?</v>
      </c>
      <c r="B793" s="135" t="str">
        <f ca="1">IFERROR(__xludf.DUMMYFUNCTION("""COMPUTED_VALUE"""),"Black Nylon Cable Tie 4.8 x 300mm 100pcs/pack ")</f>
        <v xml:space="preserve">Black Nylon Cable Tie 4.8 x 300mm 100pcs/pack </v>
      </c>
      <c r="C793" s="136">
        <f ca="1">IFERROR(__xludf.DUMMYFUNCTION("""COMPUTED_VALUE"""),10)</f>
        <v>10</v>
      </c>
      <c r="D793" s="136" t="str">
        <f ca="1">IFERROR(__xludf.DUMMYFUNCTION("""COMPUTED_VALUE"""),"pack")</f>
        <v>pack</v>
      </c>
      <c r="E793" s="136"/>
      <c r="F793" s="136"/>
      <c r="G793" s="136"/>
      <c r="H793" s="136"/>
      <c r="I793" s="136"/>
      <c r="J793" s="136"/>
      <c r="K793" s="136"/>
      <c r="L793" s="136"/>
      <c r="M793" s="136"/>
      <c r="N793" s="136"/>
      <c r="O793" s="136"/>
      <c r="P793" s="136"/>
      <c r="Q793" s="136"/>
      <c r="R793" s="136"/>
      <c r="S793" s="136"/>
      <c r="T793" s="136"/>
      <c r="U793" s="136"/>
      <c r="V793" s="136"/>
      <c r="W793" s="136"/>
      <c r="X793" s="137" t="s">
        <v>101</v>
      </c>
      <c r="Y793" s="164" t="str">
        <f t="shared" ca="1" si="1"/>
        <v xml:space="preserve">Black Nylon Cable Tie 4.8 x 300mm 100pcs/pack </v>
      </c>
      <c r="Z793" s="154"/>
      <c r="AA793" s="136"/>
      <c r="AB793" s="136"/>
      <c r="AC793" s="139"/>
      <c r="AD793" s="139"/>
      <c r="AE793" s="139"/>
      <c r="AF793" s="139"/>
    </row>
    <row r="794" spans="1:32" ht="25.5">
      <c r="A794" s="134" t="e">
        <f ca="1"/>
        <v>#NAME?</v>
      </c>
      <c r="B794" s="135" t="str">
        <f ca="1">IFERROR(__xludf.DUMMYFUNCTION("""COMPUTED_VALUE"""),"Black Nylon Cable Tie 4.8 x 400mm 100pcs/pack ")</f>
        <v xml:space="preserve">Black Nylon Cable Tie 4.8 x 400mm 100pcs/pack </v>
      </c>
      <c r="C794" s="136">
        <f ca="1">IFERROR(__xludf.DUMMYFUNCTION("""COMPUTED_VALUE"""),10)</f>
        <v>10</v>
      </c>
      <c r="D794" s="136" t="str">
        <f ca="1">IFERROR(__xludf.DUMMYFUNCTION("""COMPUTED_VALUE"""),"pack")</f>
        <v>pack</v>
      </c>
      <c r="E794" s="136"/>
      <c r="F794" s="136"/>
      <c r="G794" s="136"/>
      <c r="H794" s="136"/>
      <c r="I794" s="136"/>
      <c r="J794" s="136"/>
      <c r="K794" s="136"/>
      <c r="L794" s="136"/>
      <c r="M794" s="136"/>
      <c r="N794" s="136"/>
      <c r="O794" s="136"/>
      <c r="P794" s="136"/>
      <c r="Q794" s="136"/>
      <c r="R794" s="136"/>
      <c r="S794" s="136"/>
      <c r="T794" s="136"/>
      <c r="U794" s="136"/>
      <c r="V794" s="136"/>
      <c r="W794" s="136"/>
      <c r="X794" s="137" t="s">
        <v>101</v>
      </c>
      <c r="Y794" s="164" t="str">
        <f t="shared" ca="1" si="1"/>
        <v xml:space="preserve">Black Nylon Cable Tie 4.8 x 400mm 100pcs/pack </v>
      </c>
      <c r="Z794" s="154"/>
      <c r="AA794" s="136"/>
      <c r="AB794" s="136"/>
      <c r="AC794" s="139"/>
      <c r="AD794" s="139"/>
      <c r="AE794" s="139"/>
      <c r="AF794" s="139"/>
    </row>
    <row r="795" spans="1:32" ht="25.5">
      <c r="A795" s="134" t="e">
        <f ca="1"/>
        <v>#NAME?</v>
      </c>
      <c r="B795" s="135" t="str">
        <f ca="1">IFERROR(__xludf.DUMMYFUNCTION("""COMPUTED_VALUE"""),"Bolt Expansion Sleeve Anchor Concrete 1/4""")</f>
        <v>Bolt Expansion Sleeve Anchor Concrete 1/4"</v>
      </c>
      <c r="C795" s="136">
        <f ca="1">IFERROR(__xludf.DUMMYFUNCTION("""COMPUTED_VALUE"""),50)</f>
        <v>50</v>
      </c>
      <c r="D795" s="136" t="str">
        <f ca="1">IFERROR(__xludf.DUMMYFUNCTION("""COMPUTED_VALUE"""),"pc")</f>
        <v>pc</v>
      </c>
      <c r="E795" s="136"/>
      <c r="F795" s="136"/>
      <c r="G795" s="136"/>
      <c r="H795" s="136"/>
      <c r="I795" s="136"/>
      <c r="J795" s="136"/>
      <c r="K795" s="136"/>
      <c r="L795" s="136"/>
      <c r="M795" s="136"/>
      <c r="N795" s="136"/>
      <c r="O795" s="136"/>
      <c r="P795" s="136"/>
      <c r="Q795" s="136"/>
      <c r="R795" s="136"/>
      <c r="S795" s="136"/>
      <c r="T795" s="136"/>
      <c r="U795" s="136"/>
      <c r="V795" s="136"/>
      <c r="W795" s="136"/>
      <c r="X795" s="137" t="s">
        <v>101</v>
      </c>
      <c r="Y795" s="164" t="str">
        <f t="shared" ca="1" si="1"/>
        <v>Bolt Expansion Sleeve Anchor Concrete 1/4"</v>
      </c>
      <c r="Z795" s="154"/>
      <c r="AA795" s="136"/>
      <c r="AB795" s="136"/>
      <c r="AC795" s="139"/>
      <c r="AD795" s="139"/>
      <c r="AE795" s="139"/>
      <c r="AF795" s="139"/>
    </row>
    <row r="796" spans="1:32" ht="25.5">
      <c r="A796" s="134" t="e">
        <f ca="1"/>
        <v>#NAME?</v>
      </c>
      <c r="B796" s="135" t="str">
        <f ca="1">IFERROR(__xludf.DUMMYFUNCTION("""COMPUTED_VALUE"""),"Bolt Expansion Sleeve Anchor Concrete 5/16""")</f>
        <v>Bolt Expansion Sleeve Anchor Concrete 5/16"</v>
      </c>
      <c r="C796" s="136">
        <f ca="1">IFERROR(__xludf.DUMMYFUNCTION("""COMPUTED_VALUE"""),50)</f>
        <v>50</v>
      </c>
      <c r="D796" s="136" t="str">
        <f ca="1">IFERROR(__xludf.DUMMYFUNCTION("""COMPUTED_VALUE"""),"pc")</f>
        <v>pc</v>
      </c>
      <c r="E796" s="136"/>
      <c r="F796" s="136"/>
      <c r="G796" s="136"/>
      <c r="H796" s="136"/>
      <c r="I796" s="136"/>
      <c r="J796" s="136"/>
      <c r="K796" s="136"/>
      <c r="L796" s="136"/>
      <c r="M796" s="136"/>
      <c r="N796" s="136"/>
      <c r="O796" s="136"/>
      <c r="P796" s="136"/>
      <c r="Q796" s="136"/>
      <c r="R796" s="136"/>
      <c r="S796" s="136"/>
      <c r="T796" s="136"/>
      <c r="U796" s="136"/>
      <c r="V796" s="136"/>
      <c r="W796" s="136"/>
      <c r="X796" s="137" t="s">
        <v>101</v>
      </c>
      <c r="Y796" s="164" t="str">
        <f t="shared" ca="1" si="1"/>
        <v>Bolt Expansion Sleeve Anchor Concrete 5/16"</v>
      </c>
      <c r="Z796" s="154"/>
      <c r="AA796" s="136"/>
      <c r="AB796" s="136"/>
      <c r="AC796" s="139"/>
      <c r="AD796" s="139"/>
      <c r="AE796" s="139"/>
      <c r="AF796" s="139"/>
    </row>
    <row r="797" spans="1:32" ht="12.75">
      <c r="A797" s="134" t="e">
        <f ca="1"/>
        <v>#NAME?</v>
      </c>
      <c r="B797" s="135" t="str">
        <f ca="1">IFERROR(__xludf.DUMMYFUNCTION("""COMPUTED_VALUE"""),"CAT 6 Cable, U/UTP, Indoor 305 meters")</f>
        <v>CAT 6 Cable, U/UTP, Indoor 305 meters</v>
      </c>
      <c r="C797" s="136">
        <f ca="1">IFERROR(__xludf.DUMMYFUNCTION("""COMPUTED_VALUE"""),12)</f>
        <v>12</v>
      </c>
      <c r="D797" s="136" t="str">
        <f ca="1">IFERROR(__xludf.DUMMYFUNCTION("""COMPUTED_VALUE"""),"box")</f>
        <v>box</v>
      </c>
      <c r="E797" s="136"/>
      <c r="F797" s="136"/>
      <c r="G797" s="136"/>
      <c r="H797" s="136"/>
      <c r="I797" s="136"/>
      <c r="J797" s="136"/>
      <c r="K797" s="136"/>
      <c r="L797" s="136"/>
      <c r="M797" s="136"/>
      <c r="N797" s="136"/>
      <c r="O797" s="136"/>
      <c r="P797" s="136"/>
      <c r="Q797" s="136"/>
      <c r="R797" s="136"/>
      <c r="S797" s="136"/>
      <c r="T797" s="136"/>
      <c r="U797" s="136"/>
      <c r="V797" s="136"/>
      <c r="W797" s="136"/>
      <c r="X797" s="137" t="s">
        <v>101</v>
      </c>
      <c r="Y797" s="164" t="str">
        <f t="shared" ca="1" si="1"/>
        <v>CAT 6 Cable, U/UTP, Indoor 305 meters</v>
      </c>
      <c r="Z797" s="154"/>
      <c r="AA797" s="136"/>
      <c r="AB797" s="136"/>
      <c r="AC797" s="139"/>
      <c r="AD797" s="139"/>
      <c r="AE797" s="139"/>
      <c r="AF797" s="139"/>
    </row>
    <row r="798" spans="1:32" ht="25.5">
      <c r="A798" s="134" t="e">
        <f ca="1"/>
        <v>#NAME?</v>
      </c>
      <c r="B798" s="135" t="str">
        <f ca="1">IFERROR(__xludf.DUMMYFUNCTION("""COMPUTED_VALUE"""),"CAT6 Cable, UTP, OUTDOOR 305 meters (Pure Copper)")</f>
        <v>CAT6 Cable, UTP, OUTDOOR 305 meters (Pure Copper)</v>
      </c>
      <c r="C798" s="136">
        <f ca="1">IFERROR(__xludf.DUMMYFUNCTION("""COMPUTED_VALUE"""),10)</f>
        <v>10</v>
      </c>
      <c r="D798" s="136" t="str">
        <f ca="1">IFERROR(__xludf.DUMMYFUNCTION("""COMPUTED_VALUE"""),"box")</f>
        <v>box</v>
      </c>
      <c r="E798" s="136"/>
      <c r="F798" s="136"/>
      <c r="G798" s="136"/>
      <c r="H798" s="136"/>
      <c r="I798" s="136"/>
      <c r="J798" s="136"/>
      <c r="K798" s="136"/>
      <c r="L798" s="136"/>
      <c r="M798" s="136"/>
      <c r="N798" s="136"/>
      <c r="O798" s="136"/>
      <c r="P798" s="136"/>
      <c r="Q798" s="136"/>
      <c r="R798" s="136"/>
      <c r="S798" s="136"/>
      <c r="T798" s="136"/>
      <c r="U798" s="136"/>
      <c r="V798" s="136"/>
      <c r="W798" s="136"/>
      <c r="X798" s="137" t="s">
        <v>101</v>
      </c>
      <c r="Y798" s="164" t="str">
        <f t="shared" ca="1" si="1"/>
        <v>CAT6 Cable, UTP, OUTDOOR 305 meters (Pure Copper)</v>
      </c>
      <c r="Z798" s="154"/>
      <c r="AA798" s="136"/>
      <c r="AB798" s="136"/>
      <c r="AC798" s="139"/>
      <c r="AD798" s="139"/>
      <c r="AE798" s="139"/>
      <c r="AF798" s="139"/>
    </row>
    <row r="799" spans="1:32" ht="25.5">
      <c r="A799" s="134" t="e">
        <f ca="1"/>
        <v>#NAME?</v>
      </c>
      <c r="B799" s="135" t="str">
        <f ca="1">IFERROR(__xludf.DUMMYFUNCTION("""COMPUTED_VALUE"""),"CAT6/CAT5e Tool-Less Keystone Jack; High Quality")</f>
        <v>CAT6/CAT5e Tool-Less Keystone Jack; High Quality</v>
      </c>
      <c r="C799" s="136">
        <f ca="1">IFERROR(__xludf.DUMMYFUNCTION("""COMPUTED_VALUE"""),300)</f>
        <v>300</v>
      </c>
      <c r="D799" s="136" t="str">
        <f ca="1">IFERROR(__xludf.DUMMYFUNCTION("""COMPUTED_VALUE"""),"pc")</f>
        <v>pc</v>
      </c>
      <c r="E799" s="136"/>
      <c r="F799" s="136"/>
      <c r="G799" s="136"/>
      <c r="H799" s="136"/>
      <c r="I799" s="136"/>
      <c r="J799" s="136"/>
      <c r="K799" s="136"/>
      <c r="L799" s="136"/>
      <c r="M799" s="136"/>
      <c r="N799" s="136"/>
      <c r="O799" s="136"/>
      <c r="P799" s="136"/>
      <c r="Q799" s="136"/>
      <c r="R799" s="136"/>
      <c r="S799" s="136"/>
      <c r="T799" s="136"/>
      <c r="U799" s="136"/>
      <c r="V799" s="136"/>
      <c r="W799" s="136"/>
      <c r="X799" s="137" t="s">
        <v>101</v>
      </c>
      <c r="Y799" s="164" t="str">
        <f t="shared" ca="1" si="1"/>
        <v>CAT6/CAT5e Tool-Less Keystone Jack; High Quality</v>
      </c>
      <c r="Z799" s="154"/>
      <c r="AA799" s="136"/>
      <c r="AB799" s="136"/>
      <c r="AC799" s="139"/>
      <c r="AD799" s="139"/>
      <c r="AE799" s="139"/>
      <c r="AF799" s="139"/>
    </row>
    <row r="800" spans="1:32" ht="25.5">
      <c r="A800" s="134" t="e">
        <f ca="1"/>
        <v>#NAME?</v>
      </c>
      <c r="B800" s="135" t="str">
        <f ca="1">IFERROR(__xludf.DUMMYFUNCTION("""COMPUTED_VALUE"""),"CCTV Outdoor Junction Box 100x100x70mm")</f>
        <v>CCTV Outdoor Junction Box 100x100x70mm</v>
      </c>
      <c r="C800" s="136">
        <f ca="1">IFERROR(__xludf.DUMMYFUNCTION("""COMPUTED_VALUE"""),50)</f>
        <v>50</v>
      </c>
      <c r="D800" s="136" t="str">
        <f ca="1">IFERROR(__xludf.DUMMYFUNCTION("""COMPUTED_VALUE"""),"pc")</f>
        <v>pc</v>
      </c>
      <c r="E800" s="136"/>
      <c r="F800" s="136"/>
      <c r="G800" s="136"/>
      <c r="H800" s="136"/>
      <c r="I800" s="136"/>
      <c r="J800" s="136"/>
      <c r="K800" s="136"/>
      <c r="L800" s="136"/>
      <c r="M800" s="136"/>
      <c r="N800" s="136"/>
      <c r="O800" s="136"/>
      <c r="P800" s="136"/>
      <c r="Q800" s="136"/>
      <c r="R800" s="136"/>
      <c r="S800" s="136"/>
      <c r="T800" s="136"/>
      <c r="U800" s="136"/>
      <c r="V800" s="136"/>
      <c r="W800" s="136"/>
      <c r="X800" s="137" t="s">
        <v>101</v>
      </c>
      <c r="Y800" s="164" t="str">
        <f t="shared" ca="1" si="1"/>
        <v>CCTV Outdoor Junction Box 100x100x70mm</v>
      </c>
      <c r="Z800" s="154"/>
      <c r="AA800" s="136"/>
      <c r="AB800" s="136"/>
      <c r="AC800" s="139"/>
      <c r="AD800" s="139"/>
      <c r="AE800" s="139"/>
      <c r="AF800" s="139"/>
    </row>
    <row r="801" spans="1:32" ht="12.75">
      <c r="A801" s="134" t="e">
        <f ca="1"/>
        <v>#NAME?</v>
      </c>
      <c r="B801" s="135" t="str">
        <f ca="1">IFERROR(__xludf.DUMMYFUNCTION("""COMPUTED_VALUE"""),"Collapsible Hand Truck")</f>
        <v>Collapsible Hand Truck</v>
      </c>
      <c r="C801" s="136">
        <f ca="1">IFERROR(__xludf.DUMMYFUNCTION("""COMPUTED_VALUE"""),2)</f>
        <v>2</v>
      </c>
      <c r="D801" s="136" t="str">
        <f ca="1">IFERROR(__xludf.DUMMYFUNCTION("""COMPUTED_VALUE"""),"pc")</f>
        <v>pc</v>
      </c>
      <c r="E801" s="136"/>
      <c r="F801" s="136"/>
      <c r="G801" s="136"/>
      <c r="H801" s="136"/>
      <c r="I801" s="136"/>
      <c r="J801" s="136"/>
      <c r="K801" s="136"/>
      <c r="L801" s="136"/>
      <c r="M801" s="136"/>
      <c r="N801" s="136"/>
      <c r="O801" s="136"/>
      <c r="P801" s="136"/>
      <c r="Q801" s="136"/>
      <c r="R801" s="136"/>
      <c r="S801" s="136"/>
      <c r="T801" s="136"/>
      <c r="U801" s="136"/>
      <c r="V801" s="136"/>
      <c r="W801" s="136"/>
      <c r="X801" s="137" t="s">
        <v>101</v>
      </c>
      <c r="Y801" s="164" t="str">
        <f t="shared" ca="1" si="1"/>
        <v>Collapsible Hand Truck</v>
      </c>
      <c r="Z801" s="154"/>
      <c r="AA801" s="136"/>
      <c r="AB801" s="136"/>
      <c r="AC801" s="139"/>
      <c r="AD801" s="139"/>
      <c r="AE801" s="139"/>
      <c r="AF801" s="139"/>
    </row>
    <row r="802" spans="1:32" ht="25.5">
      <c r="A802" s="134" t="e">
        <f ca="1"/>
        <v>#NAME?</v>
      </c>
      <c r="B802" s="135" t="str">
        <f ca="1">IFERROR(__xludf.DUMMYFUNCTION("""COMPUTED_VALUE"""),"Colored Toner Cartridge Set for the existing ECOSYS M5521CDW")</f>
        <v>Colored Toner Cartridge Set for the existing ECOSYS M5521CDW</v>
      </c>
      <c r="C802" s="136">
        <f ca="1">IFERROR(__xludf.DUMMYFUNCTION("""COMPUTED_VALUE"""),4)</f>
        <v>4</v>
      </c>
      <c r="D802" s="136" t="str">
        <f ca="1">IFERROR(__xludf.DUMMYFUNCTION("""COMPUTED_VALUE"""),"set")</f>
        <v>set</v>
      </c>
      <c r="E802" s="136"/>
      <c r="F802" s="136"/>
      <c r="G802" s="136"/>
      <c r="H802" s="136"/>
      <c r="I802" s="136"/>
      <c r="J802" s="136"/>
      <c r="K802" s="136"/>
      <c r="L802" s="136"/>
      <c r="M802" s="136"/>
      <c r="N802" s="136"/>
      <c r="O802" s="136"/>
      <c r="P802" s="136"/>
      <c r="Q802" s="136"/>
      <c r="R802" s="136"/>
      <c r="S802" s="136"/>
      <c r="T802" s="136"/>
      <c r="U802" s="136"/>
      <c r="V802" s="136"/>
      <c r="W802" s="136"/>
      <c r="X802" s="137" t="s">
        <v>101</v>
      </c>
      <c r="Y802" s="164" t="str">
        <f t="shared" ca="1" si="1"/>
        <v>Colored Toner Cartridge Set for the existing ECOSYS M5521CDW</v>
      </c>
      <c r="Z802" s="134"/>
      <c r="AA802" s="136"/>
      <c r="AB802" s="136"/>
      <c r="AC802" s="139"/>
      <c r="AD802" s="139"/>
      <c r="AE802" s="139"/>
      <c r="AF802" s="139"/>
    </row>
    <row r="803" spans="1:32" ht="12.75">
      <c r="A803" s="134" t="e">
        <f ca="1"/>
        <v>#NAME?</v>
      </c>
      <c r="B803" s="135" t="str">
        <f ca="1">IFERROR(__xludf.DUMMYFUNCTION("""COMPUTED_VALUE"""),"Cordless Blower 18V")</f>
        <v>Cordless Blower 18V</v>
      </c>
      <c r="C803" s="136">
        <f ca="1">IFERROR(__xludf.DUMMYFUNCTION("""COMPUTED_VALUE"""),1)</f>
        <v>1</v>
      </c>
      <c r="D803" s="136" t="str">
        <f ca="1">IFERROR(__xludf.DUMMYFUNCTION("""COMPUTED_VALUE"""),"set")</f>
        <v>set</v>
      </c>
      <c r="E803" s="136"/>
      <c r="F803" s="136"/>
      <c r="G803" s="136"/>
      <c r="H803" s="136"/>
      <c r="I803" s="136"/>
      <c r="J803" s="136"/>
      <c r="K803" s="136"/>
      <c r="L803" s="136"/>
      <c r="M803" s="136"/>
      <c r="N803" s="136"/>
      <c r="O803" s="136"/>
      <c r="P803" s="136"/>
      <c r="Q803" s="136"/>
      <c r="R803" s="136"/>
      <c r="S803" s="136"/>
      <c r="T803" s="136"/>
      <c r="U803" s="136"/>
      <c r="V803" s="136"/>
      <c r="W803" s="136"/>
      <c r="X803" s="137" t="s">
        <v>101</v>
      </c>
      <c r="Y803" s="164" t="str">
        <f t="shared" ca="1" si="1"/>
        <v>Cordless Blower 18V</v>
      </c>
      <c r="Z803" s="134"/>
      <c r="AA803" s="136"/>
      <c r="AB803" s="136"/>
      <c r="AC803" s="139"/>
      <c r="AD803" s="139"/>
      <c r="AE803" s="139"/>
      <c r="AF803" s="139"/>
    </row>
    <row r="804" spans="1:32" ht="12.75">
      <c r="A804" s="134" t="e">
        <f ca="1"/>
        <v>#NAME?</v>
      </c>
      <c r="B804" s="135" t="str">
        <f ca="1">IFERROR(__xludf.DUMMYFUNCTION("""COMPUTED_VALUE"""),"Cordless Screwdriver Kit Set")</f>
        <v>Cordless Screwdriver Kit Set</v>
      </c>
      <c r="C804" s="136">
        <f ca="1">IFERROR(__xludf.DUMMYFUNCTION("""COMPUTED_VALUE"""),2)</f>
        <v>2</v>
      </c>
      <c r="D804" s="136" t="str">
        <f ca="1">IFERROR(__xludf.DUMMYFUNCTION("""COMPUTED_VALUE"""),"set")</f>
        <v>set</v>
      </c>
      <c r="E804" s="136"/>
      <c r="F804" s="136"/>
      <c r="G804" s="136"/>
      <c r="H804" s="136"/>
      <c r="I804" s="136"/>
      <c r="J804" s="136"/>
      <c r="K804" s="136"/>
      <c r="L804" s="136"/>
      <c r="M804" s="136"/>
      <c r="N804" s="136"/>
      <c r="O804" s="136"/>
      <c r="P804" s="136"/>
      <c r="Q804" s="136"/>
      <c r="R804" s="136"/>
      <c r="S804" s="136"/>
      <c r="T804" s="136"/>
      <c r="U804" s="136"/>
      <c r="V804" s="136"/>
      <c r="W804" s="136"/>
      <c r="X804" s="137" t="s">
        <v>101</v>
      </c>
      <c r="Y804" s="164" t="str">
        <f t="shared" ca="1" si="1"/>
        <v>Cordless Screwdriver Kit Set</v>
      </c>
      <c r="Z804" s="134"/>
      <c r="AA804" s="136"/>
      <c r="AB804" s="136"/>
      <c r="AC804" s="139"/>
      <c r="AD804" s="139"/>
      <c r="AE804" s="139"/>
      <c r="AF804" s="139"/>
    </row>
    <row r="805" spans="1:32" ht="12.75">
      <c r="A805" s="134" t="e">
        <f ca="1"/>
        <v>#NAME?</v>
      </c>
      <c r="B805" s="135" t="str">
        <f ca="1">IFERROR(__xludf.DUMMYFUNCTION("""COMPUTED_VALUE"""),"Epson L Series Pickup Roller / feeder")</f>
        <v>Epson L Series Pickup Roller / feeder</v>
      </c>
      <c r="C805" s="136">
        <f ca="1">IFERROR(__xludf.DUMMYFUNCTION("""COMPUTED_VALUE"""),20)</f>
        <v>20</v>
      </c>
      <c r="D805" s="136" t="str">
        <f ca="1">IFERROR(__xludf.DUMMYFUNCTION("""COMPUTED_VALUE"""),"pc")</f>
        <v>pc</v>
      </c>
      <c r="E805" s="136"/>
      <c r="F805" s="136"/>
      <c r="G805" s="136"/>
      <c r="H805" s="136"/>
      <c r="I805" s="136"/>
      <c r="J805" s="136"/>
      <c r="K805" s="136"/>
      <c r="L805" s="136"/>
      <c r="M805" s="136"/>
      <c r="N805" s="136"/>
      <c r="O805" s="136"/>
      <c r="P805" s="136"/>
      <c r="Q805" s="136"/>
      <c r="R805" s="136"/>
      <c r="S805" s="136"/>
      <c r="T805" s="136"/>
      <c r="U805" s="136"/>
      <c r="V805" s="136"/>
      <c r="W805" s="136"/>
      <c r="X805" s="137" t="s">
        <v>101</v>
      </c>
      <c r="Y805" s="164" t="str">
        <f t="shared" ca="1" si="1"/>
        <v>Epson L Series Pickup Roller / feeder</v>
      </c>
      <c r="Z805" s="154"/>
      <c r="AA805" s="136"/>
      <c r="AB805" s="136"/>
      <c r="AC805" s="139"/>
      <c r="AD805" s="139"/>
      <c r="AE805" s="139"/>
      <c r="AF805" s="139"/>
    </row>
    <row r="806" spans="1:32" ht="12.75">
      <c r="A806" s="134" t="e">
        <f ca="1"/>
        <v>#NAME?</v>
      </c>
      <c r="B806" s="135" t="str">
        <f ca="1">IFERROR(__xludf.DUMMYFUNCTION("""COMPUTED_VALUE"""),"Ergonomic Chair Design Metal Base")</f>
        <v>Ergonomic Chair Design Metal Base</v>
      </c>
      <c r="C806" s="136">
        <f ca="1">IFERROR(__xludf.DUMMYFUNCTION("""COMPUTED_VALUE"""),15)</f>
        <v>15</v>
      </c>
      <c r="D806" s="136" t="str">
        <f ca="1">IFERROR(__xludf.DUMMYFUNCTION("""COMPUTED_VALUE"""),"pc")</f>
        <v>pc</v>
      </c>
      <c r="E806" s="136"/>
      <c r="F806" s="136"/>
      <c r="G806" s="136"/>
      <c r="H806" s="136"/>
      <c r="I806" s="136"/>
      <c r="J806" s="136"/>
      <c r="K806" s="136"/>
      <c r="L806" s="136"/>
      <c r="M806" s="136"/>
      <c r="N806" s="136"/>
      <c r="O806" s="136"/>
      <c r="P806" s="136"/>
      <c r="Q806" s="136"/>
      <c r="R806" s="136"/>
      <c r="S806" s="136"/>
      <c r="T806" s="136"/>
      <c r="U806" s="136"/>
      <c r="V806" s="136"/>
      <c r="W806" s="136"/>
      <c r="X806" s="137" t="s">
        <v>101</v>
      </c>
      <c r="Y806" s="164" t="str">
        <f t="shared" ca="1" si="1"/>
        <v>Ergonomic Chair Design Metal Base</v>
      </c>
      <c r="Z806" s="154"/>
      <c r="AA806" s="136"/>
      <c r="AB806" s="136"/>
      <c r="AC806" s="139"/>
      <c r="AD806" s="139"/>
      <c r="AE806" s="139"/>
      <c r="AF806" s="139"/>
    </row>
    <row r="807" spans="1:32" ht="12.75">
      <c r="A807" s="134" t="e">
        <f ca="1"/>
        <v>#NAME?</v>
      </c>
      <c r="B807" s="135" t="str">
        <f ca="1">IFERROR(__xludf.DUMMYFUNCTION("""COMPUTED_VALUE"""),"Extreme Instant Glue Gel 3g")</f>
        <v>Extreme Instant Glue Gel 3g</v>
      </c>
      <c r="C807" s="136">
        <f ca="1">IFERROR(__xludf.DUMMYFUNCTION("""COMPUTED_VALUE"""),24)</f>
        <v>24</v>
      </c>
      <c r="D807" s="136" t="str">
        <f ca="1">IFERROR(__xludf.DUMMYFUNCTION("""COMPUTED_VALUE"""),"pc")</f>
        <v>pc</v>
      </c>
      <c r="E807" s="136"/>
      <c r="F807" s="136"/>
      <c r="G807" s="136"/>
      <c r="H807" s="136"/>
      <c r="I807" s="136"/>
      <c r="J807" s="136"/>
      <c r="K807" s="136"/>
      <c r="L807" s="136"/>
      <c r="M807" s="136"/>
      <c r="N807" s="136"/>
      <c r="O807" s="136"/>
      <c r="P807" s="136"/>
      <c r="Q807" s="136"/>
      <c r="R807" s="136"/>
      <c r="S807" s="136"/>
      <c r="T807" s="136"/>
      <c r="U807" s="136"/>
      <c r="V807" s="136"/>
      <c r="W807" s="136"/>
      <c r="X807" s="137" t="s">
        <v>101</v>
      </c>
      <c r="Y807" s="164" t="str">
        <f t="shared" ca="1" si="1"/>
        <v>Extreme Instant Glue Gel 3g</v>
      </c>
      <c r="Z807" s="154"/>
      <c r="AA807" s="136"/>
      <c r="AB807" s="136"/>
      <c r="AC807" s="139"/>
      <c r="AD807" s="139"/>
      <c r="AE807" s="139"/>
      <c r="AF807" s="139"/>
    </row>
    <row r="808" spans="1:32" ht="12.75">
      <c r="A808" s="134" t="e">
        <f ca="1"/>
        <v>#NAME?</v>
      </c>
      <c r="B808" s="135" t="str">
        <f ca="1">IFERROR(__xludf.DUMMYFUNCTION("""COMPUTED_VALUE"""),"Fiberglass Extension Ladder, (8-13 ft)")</f>
        <v>Fiberglass Extension Ladder, (8-13 ft)</v>
      </c>
      <c r="C808" s="136">
        <f ca="1">IFERROR(__xludf.DUMMYFUNCTION("""COMPUTED_VALUE"""),1)</f>
        <v>1</v>
      </c>
      <c r="D808" s="136" t="str">
        <f ca="1">IFERROR(__xludf.DUMMYFUNCTION("""COMPUTED_VALUE"""),"pc")</f>
        <v>pc</v>
      </c>
      <c r="E808" s="136"/>
      <c r="F808" s="136"/>
      <c r="G808" s="136"/>
      <c r="H808" s="136"/>
      <c r="I808" s="136"/>
      <c r="J808" s="136"/>
      <c r="K808" s="136"/>
      <c r="L808" s="136"/>
      <c r="M808" s="136"/>
      <c r="N808" s="136"/>
      <c r="O808" s="136"/>
      <c r="P808" s="136"/>
      <c r="Q808" s="136"/>
      <c r="R808" s="136"/>
      <c r="S808" s="136"/>
      <c r="T808" s="136"/>
      <c r="U808" s="136"/>
      <c r="V808" s="136"/>
      <c r="W808" s="136"/>
      <c r="X808" s="137" t="s">
        <v>101</v>
      </c>
      <c r="Y808" s="164" t="str">
        <f t="shared" ca="1" si="1"/>
        <v>Fiberglass Extension Ladder, (8-13 ft)</v>
      </c>
      <c r="Z808" s="154"/>
      <c r="AA808" s="136"/>
      <c r="AB808" s="136"/>
      <c r="AC808" s="139"/>
      <c r="AD808" s="139"/>
      <c r="AE808" s="139"/>
      <c r="AF808" s="139"/>
    </row>
    <row r="809" spans="1:32" ht="12.75">
      <c r="A809" s="134" t="e">
        <f ca="1"/>
        <v>#NAME?</v>
      </c>
      <c r="B809" s="135" t="str">
        <f ca="1">IFERROR(__xludf.DUMMYFUNCTION("""COMPUTED_VALUE"""),"Flex cable set compatible for printer")</f>
        <v>Flex cable set compatible for printer</v>
      </c>
      <c r="C809" s="136">
        <f ca="1">IFERROR(__xludf.DUMMYFUNCTION("""COMPUTED_VALUE"""),5)</f>
        <v>5</v>
      </c>
      <c r="D809" s="136" t="str">
        <f ca="1">IFERROR(__xludf.DUMMYFUNCTION("""COMPUTED_VALUE"""),"set")</f>
        <v>set</v>
      </c>
      <c r="E809" s="136"/>
      <c r="F809" s="136"/>
      <c r="G809" s="136"/>
      <c r="H809" s="136"/>
      <c r="I809" s="136"/>
      <c r="J809" s="136"/>
      <c r="K809" s="136"/>
      <c r="L809" s="136"/>
      <c r="M809" s="136"/>
      <c r="N809" s="136"/>
      <c r="O809" s="136"/>
      <c r="P809" s="136"/>
      <c r="Q809" s="136"/>
      <c r="R809" s="136"/>
      <c r="S809" s="136"/>
      <c r="T809" s="136"/>
      <c r="U809" s="136"/>
      <c r="V809" s="136"/>
      <c r="W809" s="136"/>
      <c r="X809" s="137" t="s">
        <v>101</v>
      </c>
      <c r="Y809" s="164" t="str">
        <f t="shared" ca="1" si="1"/>
        <v>Flex cable set compatible for printer</v>
      </c>
      <c r="Z809" s="154"/>
      <c r="AA809" s="136"/>
      <c r="AB809" s="136"/>
      <c r="AC809" s="139"/>
      <c r="AD809" s="139"/>
      <c r="AE809" s="139"/>
      <c r="AF809" s="139"/>
    </row>
    <row r="810" spans="1:32" ht="12.75">
      <c r="A810" s="134" t="e">
        <f ca="1"/>
        <v>#NAME?</v>
      </c>
      <c r="B810" s="135" t="str">
        <f ca="1">IFERROR(__xludf.DUMMYFUNCTION("""COMPUTED_VALUE"""),"Foldable Platform Truck, 300kgs (Steel)")</f>
        <v>Foldable Platform Truck, 300kgs (Steel)</v>
      </c>
      <c r="C810" s="136">
        <f ca="1">IFERROR(__xludf.DUMMYFUNCTION("""COMPUTED_VALUE"""),1)</f>
        <v>1</v>
      </c>
      <c r="D810" s="136" t="str">
        <f ca="1">IFERROR(__xludf.DUMMYFUNCTION("""COMPUTED_VALUE"""),"pc")</f>
        <v>pc</v>
      </c>
      <c r="E810" s="136"/>
      <c r="F810" s="136"/>
      <c r="G810" s="136"/>
      <c r="H810" s="136"/>
      <c r="I810" s="136"/>
      <c r="J810" s="136"/>
      <c r="K810" s="136"/>
      <c r="L810" s="136"/>
      <c r="M810" s="136"/>
      <c r="N810" s="136"/>
      <c r="O810" s="136"/>
      <c r="P810" s="136"/>
      <c r="Q810" s="136"/>
      <c r="R810" s="136"/>
      <c r="S810" s="136"/>
      <c r="T810" s="136"/>
      <c r="U810" s="136"/>
      <c r="V810" s="136"/>
      <c r="W810" s="136"/>
      <c r="X810" s="137" t="s">
        <v>101</v>
      </c>
      <c r="Y810" s="164" t="str">
        <f t="shared" ca="1" si="1"/>
        <v>Foldable Platform Truck, 300kgs (Steel)</v>
      </c>
      <c r="Z810" s="154"/>
      <c r="AA810" s="136"/>
      <c r="AB810" s="136"/>
      <c r="AC810" s="139"/>
      <c r="AD810" s="139"/>
      <c r="AE810" s="139"/>
      <c r="AF810" s="139"/>
    </row>
    <row r="811" spans="1:32" ht="12.75">
      <c r="A811" s="134" t="e">
        <f ca="1"/>
        <v>#NAME?</v>
      </c>
      <c r="B811" s="135" t="str">
        <f ca="1">IFERROR(__xludf.DUMMYFUNCTION("""COMPUTED_VALUE"""),"Gigabit PCI Express Network Adapter")</f>
        <v>Gigabit PCI Express Network Adapter</v>
      </c>
      <c r="C811" s="136">
        <f ca="1">IFERROR(__xludf.DUMMYFUNCTION("""COMPUTED_VALUE"""),12)</f>
        <v>12</v>
      </c>
      <c r="D811" s="136" t="str">
        <f ca="1">IFERROR(__xludf.DUMMYFUNCTION("""COMPUTED_VALUE"""),"pc")</f>
        <v>pc</v>
      </c>
      <c r="E811" s="136"/>
      <c r="F811" s="136"/>
      <c r="G811" s="136"/>
      <c r="H811" s="136"/>
      <c r="I811" s="136"/>
      <c r="J811" s="136"/>
      <c r="K811" s="136"/>
      <c r="L811" s="136"/>
      <c r="M811" s="136"/>
      <c r="N811" s="136"/>
      <c r="O811" s="136"/>
      <c r="P811" s="136"/>
      <c r="Q811" s="136"/>
      <c r="R811" s="136"/>
      <c r="S811" s="136"/>
      <c r="T811" s="136"/>
      <c r="U811" s="136"/>
      <c r="V811" s="136"/>
      <c r="W811" s="136"/>
      <c r="X811" s="137" t="s">
        <v>101</v>
      </c>
      <c r="Y811" s="164" t="str">
        <f t="shared" ca="1" si="1"/>
        <v>Gigabit PCI Express Network Adapter</v>
      </c>
      <c r="Z811" s="154"/>
      <c r="AA811" s="136"/>
      <c r="AB811" s="136"/>
      <c r="AC811" s="139"/>
      <c r="AD811" s="139"/>
      <c r="AE811" s="139"/>
      <c r="AF811" s="139"/>
    </row>
    <row r="812" spans="1:32" ht="12.75">
      <c r="A812" s="134" t="e">
        <f ca="1"/>
        <v>#NAME?</v>
      </c>
      <c r="B812" s="135" t="str">
        <f ca="1">IFERROR(__xludf.DUMMYFUNCTION("""COMPUTED_VALUE"""),"HDMI 2.0 Cable 4K 10m")</f>
        <v>HDMI 2.0 Cable 4K 10m</v>
      </c>
      <c r="C812" s="136">
        <f ca="1">IFERROR(__xludf.DUMMYFUNCTION("""COMPUTED_VALUE"""),10)</f>
        <v>10</v>
      </c>
      <c r="D812" s="136" t="str">
        <f ca="1">IFERROR(__xludf.DUMMYFUNCTION("""COMPUTED_VALUE"""),"pc")</f>
        <v>pc</v>
      </c>
      <c r="E812" s="136"/>
      <c r="F812" s="136"/>
      <c r="G812" s="136"/>
      <c r="H812" s="136"/>
      <c r="I812" s="136"/>
      <c r="J812" s="136"/>
      <c r="K812" s="136"/>
      <c r="L812" s="136"/>
      <c r="M812" s="136"/>
      <c r="N812" s="136"/>
      <c r="O812" s="136"/>
      <c r="P812" s="136"/>
      <c r="Q812" s="136"/>
      <c r="R812" s="136"/>
      <c r="S812" s="136"/>
      <c r="T812" s="136"/>
      <c r="U812" s="136"/>
      <c r="V812" s="136"/>
      <c r="W812" s="136"/>
      <c r="X812" s="137" t="s">
        <v>101</v>
      </c>
      <c r="Y812" s="164" t="str">
        <f t="shared" ca="1" si="1"/>
        <v>HDMI 2.0 Cable 4K 10m</v>
      </c>
      <c r="Z812" s="154"/>
      <c r="AA812" s="136"/>
      <c r="AB812" s="136"/>
      <c r="AC812" s="139"/>
      <c r="AD812" s="139"/>
      <c r="AE812" s="139"/>
      <c r="AF812" s="139"/>
    </row>
    <row r="813" spans="1:32" ht="12.75">
      <c r="A813" s="134" t="e">
        <f ca="1"/>
        <v>#NAME?</v>
      </c>
      <c r="B813" s="135" t="str">
        <f ca="1">IFERROR(__xludf.DUMMYFUNCTION("""COMPUTED_VALUE"""),"HDMI 2.0 Cable 4K 1m")</f>
        <v>HDMI 2.0 Cable 4K 1m</v>
      </c>
      <c r="C813" s="136">
        <f ca="1">IFERROR(__xludf.DUMMYFUNCTION("""COMPUTED_VALUE"""),24)</f>
        <v>24</v>
      </c>
      <c r="D813" s="136" t="str">
        <f ca="1">IFERROR(__xludf.DUMMYFUNCTION("""COMPUTED_VALUE"""),"pc")</f>
        <v>pc</v>
      </c>
      <c r="E813" s="136"/>
      <c r="F813" s="136"/>
      <c r="G813" s="136"/>
      <c r="H813" s="136"/>
      <c r="I813" s="136"/>
      <c r="J813" s="136"/>
      <c r="K813" s="136"/>
      <c r="L813" s="136"/>
      <c r="M813" s="136"/>
      <c r="N813" s="136"/>
      <c r="O813" s="136"/>
      <c r="P813" s="136"/>
      <c r="Q813" s="136"/>
      <c r="R813" s="136"/>
      <c r="S813" s="136"/>
      <c r="T813" s="136"/>
      <c r="U813" s="136"/>
      <c r="V813" s="136"/>
      <c r="W813" s="136"/>
      <c r="X813" s="137" t="s">
        <v>101</v>
      </c>
      <c r="Y813" s="164" t="str">
        <f t="shared" ca="1" si="1"/>
        <v>HDMI 2.0 Cable 4K 1m</v>
      </c>
      <c r="Z813" s="154"/>
      <c r="AA813" s="136"/>
      <c r="AB813" s="136"/>
      <c r="AC813" s="139"/>
      <c r="AD813" s="139"/>
      <c r="AE813" s="139"/>
      <c r="AF813" s="139"/>
    </row>
    <row r="814" spans="1:32" ht="25.5">
      <c r="A814" s="134" t="e">
        <f ca="1"/>
        <v>#NAME?</v>
      </c>
      <c r="B814" s="135" t="str">
        <f ca="1">IFERROR(__xludf.DUMMYFUNCTION("""COMPUTED_VALUE"""),"HP Printhead Black compatible with the existing HP Smart Tank 515")</f>
        <v>HP Printhead Black compatible with the existing HP Smart Tank 515</v>
      </c>
      <c r="C814" s="136">
        <f ca="1">IFERROR(__xludf.DUMMYFUNCTION("""COMPUTED_VALUE"""),12)</f>
        <v>12</v>
      </c>
      <c r="D814" s="136" t="str">
        <f ca="1">IFERROR(__xludf.DUMMYFUNCTION("""COMPUTED_VALUE"""),"pc")</f>
        <v>pc</v>
      </c>
      <c r="E814" s="136"/>
      <c r="F814" s="136"/>
      <c r="G814" s="136"/>
      <c r="H814" s="136"/>
      <c r="I814" s="136"/>
      <c r="J814" s="136"/>
      <c r="K814" s="136"/>
      <c r="L814" s="136"/>
      <c r="M814" s="136"/>
      <c r="N814" s="136"/>
      <c r="O814" s="136"/>
      <c r="P814" s="136"/>
      <c r="Q814" s="136"/>
      <c r="R814" s="136"/>
      <c r="S814" s="136"/>
      <c r="T814" s="136"/>
      <c r="U814" s="136"/>
      <c r="V814" s="136"/>
      <c r="W814" s="136"/>
      <c r="X814" s="137" t="s">
        <v>101</v>
      </c>
      <c r="Y814" s="164" t="str">
        <f t="shared" ca="1" si="1"/>
        <v>HP Printhead Black compatible with the existing HP Smart Tank 515</v>
      </c>
      <c r="Z814" s="154"/>
      <c r="AA814" s="136"/>
      <c r="AB814" s="136"/>
      <c r="AC814" s="139"/>
      <c r="AD814" s="139"/>
      <c r="AE814" s="139"/>
      <c r="AF814" s="139"/>
    </row>
    <row r="815" spans="1:32" ht="25.5">
      <c r="A815" s="134" t="e">
        <f ca="1"/>
        <v>#NAME?</v>
      </c>
      <c r="B815" s="135" t="str">
        <f ca="1">IFERROR(__xludf.DUMMYFUNCTION("""COMPUTED_VALUE"""),"HP Printhead Tri-color compatible with the existing HP Smart Tank 515")</f>
        <v>HP Printhead Tri-color compatible with the existing HP Smart Tank 515</v>
      </c>
      <c r="C815" s="136">
        <f ca="1">IFERROR(__xludf.DUMMYFUNCTION("""COMPUTED_VALUE"""),12)</f>
        <v>12</v>
      </c>
      <c r="D815" s="136" t="str">
        <f ca="1">IFERROR(__xludf.DUMMYFUNCTION("""COMPUTED_VALUE"""),"pc")</f>
        <v>pc</v>
      </c>
      <c r="E815" s="136"/>
      <c r="F815" s="136"/>
      <c r="G815" s="136"/>
      <c r="H815" s="136"/>
      <c r="I815" s="136"/>
      <c r="J815" s="136"/>
      <c r="K815" s="136"/>
      <c r="L815" s="136"/>
      <c r="M815" s="136"/>
      <c r="N815" s="136"/>
      <c r="O815" s="136"/>
      <c r="P815" s="136"/>
      <c r="Q815" s="136"/>
      <c r="R815" s="136"/>
      <c r="S815" s="136"/>
      <c r="T815" s="136"/>
      <c r="U815" s="136"/>
      <c r="V815" s="136"/>
      <c r="W815" s="136"/>
      <c r="X815" s="137" t="s">
        <v>101</v>
      </c>
      <c r="Y815" s="164" t="str">
        <f t="shared" ca="1" si="1"/>
        <v>HP Printhead Tri-color compatible with the existing HP Smart Tank 515</v>
      </c>
      <c r="Z815" s="154"/>
      <c r="AA815" s="136"/>
      <c r="AB815" s="136"/>
      <c r="AC815" s="139"/>
      <c r="AD815" s="139"/>
      <c r="AE815" s="139"/>
      <c r="AF815" s="139"/>
    </row>
    <row r="816" spans="1:32" ht="25.5">
      <c r="A816" s="134" t="e">
        <f ca="1"/>
        <v>#NAME?</v>
      </c>
      <c r="B816" s="135" t="str">
        <f ca="1">IFERROR(__xludf.DUMMYFUNCTION("""COMPUTED_VALUE"""),"Laminated 12mm Black on White label tape")</f>
        <v>Laminated 12mm Black on White label tape</v>
      </c>
      <c r="C816" s="136">
        <f ca="1">IFERROR(__xludf.DUMMYFUNCTION("""COMPUTED_VALUE"""),30)</f>
        <v>30</v>
      </c>
      <c r="D816" s="136" t="str">
        <f ca="1">IFERROR(__xludf.DUMMYFUNCTION("""COMPUTED_VALUE"""),"pc")</f>
        <v>pc</v>
      </c>
      <c r="E816" s="136"/>
      <c r="F816" s="136"/>
      <c r="G816" s="136"/>
      <c r="H816" s="136"/>
      <c r="I816" s="136"/>
      <c r="J816" s="136"/>
      <c r="K816" s="136"/>
      <c r="L816" s="136"/>
      <c r="M816" s="136"/>
      <c r="N816" s="136"/>
      <c r="O816" s="136"/>
      <c r="P816" s="136"/>
      <c r="Q816" s="136"/>
      <c r="R816" s="136"/>
      <c r="S816" s="136"/>
      <c r="T816" s="136"/>
      <c r="U816" s="136"/>
      <c r="V816" s="136"/>
      <c r="W816" s="136"/>
      <c r="X816" s="137" t="s">
        <v>101</v>
      </c>
      <c r="Y816" s="164" t="str">
        <f t="shared" ca="1" si="1"/>
        <v>Laminated 12mm Black on White label tape</v>
      </c>
      <c r="Z816" s="154"/>
      <c r="AA816" s="136"/>
      <c r="AB816" s="136"/>
      <c r="AC816" s="139"/>
      <c r="AD816" s="139"/>
      <c r="AE816" s="139"/>
      <c r="AF816" s="139"/>
    </row>
    <row r="817" spans="1:32" ht="12.75">
      <c r="A817" s="134" t="e">
        <f ca="1"/>
        <v>#NAME?</v>
      </c>
      <c r="B817" s="135" t="str">
        <f ca="1">IFERROR(__xludf.DUMMYFUNCTION("""COMPUTED_VALUE"""),"M6 Cabinet Screws 100pcs/pack")</f>
        <v>M6 Cabinet Screws 100pcs/pack</v>
      </c>
      <c r="C817" s="136">
        <f ca="1">IFERROR(__xludf.DUMMYFUNCTION("""COMPUTED_VALUE"""),3)</f>
        <v>3</v>
      </c>
      <c r="D817" s="136" t="str">
        <f ca="1">IFERROR(__xludf.DUMMYFUNCTION("""COMPUTED_VALUE"""),"pack")</f>
        <v>pack</v>
      </c>
      <c r="E817" s="136"/>
      <c r="F817" s="136"/>
      <c r="G817" s="136"/>
      <c r="H817" s="136"/>
      <c r="I817" s="136"/>
      <c r="J817" s="136"/>
      <c r="K817" s="136"/>
      <c r="L817" s="136"/>
      <c r="M817" s="136"/>
      <c r="N817" s="136"/>
      <c r="O817" s="136"/>
      <c r="P817" s="136"/>
      <c r="Q817" s="136"/>
      <c r="R817" s="136"/>
      <c r="S817" s="136"/>
      <c r="T817" s="136"/>
      <c r="U817" s="136"/>
      <c r="V817" s="136"/>
      <c r="W817" s="136"/>
      <c r="X817" s="137" t="s">
        <v>101</v>
      </c>
      <c r="Y817" s="164" t="str">
        <f t="shared" ca="1" si="1"/>
        <v>M6 Cabinet Screws 100pcs/pack</v>
      </c>
      <c r="Z817" s="154"/>
      <c r="AA817" s="136"/>
      <c r="AB817" s="136"/>
      <c r="AC817" s="139"/>
      <c r="AD817" s="139"/>
      <c r="AE817" s="139"/>
      <c r="AF817" s="139"/>
    </row>
    <row r="818" spans="1:32" ht="12.75">
      <c r="A818" s="134" t="e">
        <f ca="1"/>
        <v>#NAME?</v>
      </c>
      <c r="B818" s="135" t="str">
        <f ca="1">IFERROR(__xludf.DUMMYFUNCTION("""COMPUTED_VALUE"""),"Mini PC")</f>
        <v>Mini PC</v>
      </c>
      <c r="C818" s="136">
        <f ca="1">IFERROR(__xludf.DUMMYFUNCTION("""COMPUTED_VALUE"""),8)</f>
        <v>8</v>
      </c>
      <c r="D818" s="136" t="str">
        <f ca="1">IFERROR(__xludf.DUMMYFUNCTION("""COMPUTED_VALUE"""),"lot")</f>
        <v>lot</v>
      </c>
      <c r="E818" s="136"/>
      <c r="F818" s="136"/>
      <c r="G818" s="136"/>
      <c r="H818" s="136"/>
      <c r="I818" s="136"/>
      <c r="J818" s="136"/>
      <c r="K818" s="136"/>
      <c r="L818" s="136"/>
      <c r="M818" s="136"/>
      <c r="N818" s="136"/>
      <c r="O818" s="136"/>
      <c r="P818" s="136"/>
      <c r="Q818" s="136"/>
      <c r="R818" s="136"/>
      <c r="S818" s="136"/>
      <c r="T818" s="136"/>
      <c r="U818" s="136"/>
      <c r="V818" s="136"/>
      <c r="W818" s="136"/>
      <c r="X818" s="137" t="s">
        <v>101</v>
      </c>
      <c r="Y818" s="164" t="str">
        <f t="shared" ca="1" si="1"/>
        <v>Mini PC</v>
      </c>
      <c r="Z818" s="154"/>
      <c r="AA818" s="136"/>
      <c r="AB818" s="136"/>
      <c r="AC818" s="139"/>
      <c r="AD818" s="139"/>
      <c r="AE818" s="139"/>
      <c r="AF818" s="139"/>
    </row>
    <row r="819" spans="1:32" ht="25.5">
      <c r="A819" s="134" t="e">
        <f ca="1"/>
        <v>#NAME?</v>
      </c>
      <c r="B819" s="135" t="str">
        <f ca="1">IFERROR(__xludf.DUMMYFUNCTION("""COMPUTED_VALUE"""),"Network Cable Tester RJ45 RJ11 Network LAN Ethernet")</f>
        <v>Network Cable Tester RJ45 RJ11 Network LAN Ethernet</v>
      </c>
      <c r="C819" s="136">
        <f ca="1">IFERROR(__xludf.DUMMYFUNCTION("""COMPUTED_VALUE"""),2)</f>
        <v>2</v>
      </c>
      <c r="D819" s="136" t="str">
        <f ca="1">IFERROR(__xludf.DUMMYFUNCTION("""COMPUTED_VALUE"""),"pc")</f>
        <v>pc</v>
      </c>
      <c r="E819" s="136"/>
      <c r="F819" s="136"/>
      <c r="G819" s="136"/>
      <c r="H819" s="136"/>
      <c r="I819" s="136"/>
      <c r="J819" s="136"/>
      <c r="K819" s="136"/>
      <c r="L819" s="136"/>
      <c r="M819" s="136"/>
      <c r="N819" s="136"/>
      <c r="O819" s="136"/>
      <c r="P819" s="136"/>
      <c r="Q819" s="136"/>
      <c r="R819" s="136"/>
      <c r="S819" s="136"/>
      <c r="T819" s="136"/>
      <c r="U819" s="136"/>
      <c r="V819" s="136"/>
      <c r="W819" s="136"/>
      <c r="X819" s="137" t="s">
        <v>101</v>
      </c>
      <c r="Y819" s="164" t="str">
        <f t="shared" ca="1" si="1"/>
        <v>Network Cable Tester RJ45 RJ11 Network LAN Ethernet</v>
      </c>
      <c r="Z819" s="154"/>
      <c r="AA819" s="136"/>
      <c r="AB819" s="136"/>
      <c r="AC819" s="139"/>
      <c r="AD819" s="139"/>
      <c r="AE819" s="139"/>
      <c r="AF819" s="139"/>
    </row>
    <row r="820" spans="1:32" ht="25.5">
      <c r="A820" s="134" t="e">
        <f ca="1"/>
        <v>#NAME?</v>
      </c>
      <c r="B820" s="135" t="str">
        <f ca="1">IFERROR(__xludf.DUMMYFUNCTION("""COMPUTED_VALUE"""),"Nylon Zip Ties Cable Label Mark Tags 100pcs/pack")</f>
        <v>Nylon Zip Ties Cable Label Mark Tags 100pcs/pack</v>
      </c>
      <c r="C820" s="136">
        <f ca="1">IFERROR(__xludf.DUMMYFUNCTION("""COMPUTED_VALUE"""),5)</f>
        <v>5</v>
      </c>
      <c r="D820" s="136" t="str">
        <f ca="1">IFERROR(__xludf.DUMMYFUNCTION("""COMPUTED_VALUE"""),"pack")</f>
        <v>pack</v>
      </c>
      <c r="E820" s="136"/>
      <c r="F820" s="136"/>
      <c r="G820" s="136"/>
      <c r="H820" s="136"/>
      <c r="I820" s="136"/>
      <c r="J820" s="136"/>
      <c r="K820" s="136"/>
      <c r="L820" s="136"/>
      <c r="M820" s="136"/>
      <c r="N820" s="136"/>
      <c r="O820" s="136"/>
      <c r="P820" s="136"/>
      <c r="Q820" s="136"/>
      <c r="R820" s="136"/>
      <c r="S820" s="136"/>
      <c r="T820" s="136"/>
      <c r="U820" s="136"/>
      <c r="V820" s="136"/>
      <c r="W820" s="136"/>
      <c r="X820" s="137" t="s">
        <v>101</v>
      </c>
      <c r="Y820" s="164" t="str">
        <f t="shared" ca="1" si="1"/>
        <v>Nylon Zip Ties Cable Label Mark Tags 100pcs/pack</v>
      </c>
      <c r="Z820" s="154"/>
      <c r="AA820" s="136"/>
      <c r="AB820" s="136"/>
      <c r="AC820" s="139"/>
      <c r="AD820" s="139"/>
      <c r="AE820" s="139"/>
      <c r="AF820" s="139"/>
    </row>
    <row r="821" spans="1:32" ht="12.75">
      <c r="A821" s="134" t="e">
        <f ca="1"/>
        <v>#NAME?</v>
      </c>
      <c r="B821" s="135" t="str">
        <f ca="1">IFERROR(__xludf.DUMMYFUNCTION("""COMPUTED_VALUE"""),"Paper feeder rubber set for printer")</f>
        <v>Paper feeder rubber set for printer</v>
      </c>
      <c r="C821" s="136">
        <f ca="1">IFERROR(__xludf.DUMMYFUNCTION("""COMPUTED_VALUE"""),10)</f>
        <v>10</v>
      </c>
      <c r="D821" s="136" t="str">
        <f ca="1">IFERROR(__xludf.DUMMYFUNCTION("""COMPUTED_VALUE"""),"set")</f>
        <v>set</v>
      </c>
      <c r="E821" s="136"/>
      <c r="F821" s="136"/>
      <c r="G821" s="136"/>
      <c r="H821" s="136"/>
      <c r="I821" s="136"/>
      <c r="J821" s="136"/>
      <c r="K821" s="136"/>
      <c r="L821" s="136"/>
      <c r="M821" s="136"/>
      <c r="N821" s="136"/>
      <c r="O821" s="136"/>
      <c r="P821" s="136"/>
      <c r="Q821" s="136"/>
      <c r="R821" s="136"/>
      <c r="S821" s="136"/>
      <c r="T821" s="136"/>
      <c r="U821" s="136"/>
      <c r="V821" s="136"/>
      <c r="W821" s="136"/>
      <c r="X821" s="137" t="s">
        <v>101</v>
      </c>
      <c r="Y821" s="164" t="str">
        <f t="shared" ca="1" si="1"/>
        <v>Paper feeder rubber set for printer</v>
      </c>
      <c r="Z821" s="154"/>
      <c r="AA821" s="136"/>
      <c r="AB821" s="136"/>
      <c r="AC821" s="139"/>
      <c r="AD821" s="139"/>
      <c r="AE821" s="139"/>
      <c r="AF821" s="139"/>
    </row>
    <row r="822" spans="1:32" ht="12.75">
      <c r="A822" s="134" t="e">
        <f ca="1"/>
        <v>#NAME?</v>
      </c>
      <c r="B822" s="135" t="str">
        <f ca="1">IFERROR(__xludf.DUMMYFUNCTION("""COMPUTED_VALUE"""),"Paper feeder rubber set for printer")</f>
        <v>Paper feeder rubber set for printer</v>
      </c>
      <c r="C822" s="136">
        <f ca="1">IFERROR(__xludf.DUMMYFUNCTION("""COMPUTED_VALUE"""),10)</f>
        <v>10</v>
      </c>
      <c r="D822" s="136" t="str">
        <f ca="1">IFERROR(__xludf.DUMMYFUNCTION("""COMPUTED_VALUE"""),"set")</f>
        <v>set</v>
      </c>
      <c r="E822" s="136"/>
      <c r="F822" s="136"/>
      <c r="G822" s="136"/>
      <c r="H822" s="136"/>
      <c r="I822" s="136"/>
      <c r="J822" s="136"/>
      <c r="K822" s="136"/>
      <c r="L822" s="136"/>
      <c r="M822" s="136"/>
      <c r="N822" s="136"/>
      <c r="O822" s="136"/>
      <c r="P822" s="136"/>
      <c r="Q822" s="136"/>
      <c r="R822" s="136"/>
      <c r="S822" s="136"/>
      <c r="T822" s="136"/>
      <c r="U822" s="136"/>
      <c r="V822" s="136"/>
      <c r="W822" s="136"/>
      <c r="X822" s="137" t="s">
        <v>101</v>
      </c>
      <c r="Y822" s="164" t="str">
        <f t="shared" ca="1" si="1"/>
        <v>Paper feeder rubber set for printer</v>
      </c>
      <c r="Z822" s="154"/>
      <c r="AA822" s="136"/>
      <c r="AB822" s="136"/>
      <c r="AC822" s="139"/>
      <c r="AD822" s="139"/>
      <c r="AE822" s="139"/>
      <c r="AF822" s="139"/>
    </row>
    <row r="823" spans="1:32" ht="25.5">
      <c r="A823" s="134" t="e">
        <f ca="1"/>
        <v>#NAME?</v>
      </c>
      <c r="B823" s="135" t="str">
        <f ca="1">IFERROR(__xludf.DUMMYFUNCTION("""COMPUTED_VALUE"""),"PC-Connectable Label Maker with 10pcs 12mm Laminated Tape")</f>
        <v>PC-Connectable Label Maker with 10pcs 12mm Laminated Tape</v>
      </c>
      <c r="C823" s="136">
        <f ca="1">IFERROR(__xludf.DUMMYFUNCTION("""COMPUTED_VALUE"""),1)</f>
        <v>1</v>
      </c>
      <c r="D823" s="136" t="str">
        <f ca="1">IFERROR(__xludf.DUMMYFUNCTION("""COMPUTED_VALUE"""),"set")</f>
        <v>set</v>
      </c>
      <c r="E823" s="136"/>
      <c r="F823" s="136"/>
      <c r="G823" s="136"/>
      <c r="H823" s="136"/>
      <c r="I823" s="136"/>
      <c r="J823" s="136"/>
      <c r="K823" s="136"/>
      <c r="L823" s="136"/>
      <c r="M823" s="136"/>
      <c r="N823" s="136"/>
      <c r="O823" s="136"/>
      <c r="P823" s="136"/>
      <c r="Q823" s="136"/>
      <c r="R823" s="136"/>
      <c r="S823" s="136"/>
      <c r="T823" s="136"/>
      <c r="U823" s="136"/>
      <c r="V823" s="136"/>
      <c r="W823" s="136"/>
      <c r="X823" s="137" t="s">
        <v>101</v>
      </c>
      <c r="Y823" s="164" t="str">
        <f t="shared" ca="1" si="1"/>
        <v>PC-Connectable Label Maker with 10pcs 12mm Laminated Tape</v>
      </c>
      <c r="Z823" s="154"/>
      <c r="AA823" s="136"/>
      <c r="AB823" s="136"/>
      <c r="AC823" s="139"/>
      <c r="AD823" s="139"/>
      <c r="AE823" s="139"/>
      <c r="AF823" s="139"/>
    </row>
    <row r="824" spans="1:32" ht="12.75">
      <c r="A824" s="134" t="e">
        <f ca="1"/>
        <v>#NAME?</v>
      </c>
      <c r="B824" s="135" t="str">
        <f ca="1">IFERROR(__xludf.DUMMYFUNCTION("""COMPUTED_VALUE"""),"PVC Cable Tray (2mtr)")</f>
        <v>PVC Cable Tray (2mtr)</v>
      </c>
      <c r="C824" s="136">
        <f ca="1">IFERROR(__xludf.DUMMYFUNCTION("""COMPUTED_VALUE"""),50)</f>
        <v>50</v>
      </c>
      <c r="D824" s="136" t="str">
        <f ca="1">IFERROR(__xludf.DUMMYFUNCTION("""COMPUTED_VALUE"""),"pc")</f>
        <v>pc</v>
      </c>
      <c r="E824" s="136"/>
      <c r="F824" s="136"/>
      <c r="G824" s="136"/>
      <c r="H824" s="136"/>
      <c r="I824" s="136"/>
      <c r="J824" s="136"/>
      <c r="K824" s="136"/>
      <c r="L824" s="136"/>
      <c r="M824" s="136"/>
      <c r="N824" s="136"/>
      <c r="O824" s="136"/>
      <c r="P824" s="136"/>
      <c r="Q824" s="136"/>
      <c r="R824" s="136"/>
      <c r="S824" s="136"/>
      <c r="T824" s="136"/>
      <c r="U824" s="136"/>
      <c r="V824" s="136"/>
      <c r="W824" s="136"/>
      <c r="X824" s="137" t="s">
        <v>101</v>
      </c>
      <c r="Y824" s="164" t="str">
        <f t="shared" ca="1" si="1"/>
        <v>PVC Cable Tray (2mtr)</v>
      </c>
      <c r="Z824" s="154"/>
      <c r="AA824" s="136"/>
      <c r="AB824" s="136"/>
      <c r="AC824" s="139"/>
      <c r="AD824" s="139"/>
      <c r="AE824" s="139"/>
      <c r="AF824" s="139"/>
    </row>
    <row r="825" spans="1:32" ht="25.5">
      <c r="A825" s="134" t="e">
        <f ca="1"/>
        <v>#NAME?</v>
      </c>
      <c r="B825" s="135" t="str">
        <f ca="1">IFERROR(__xludf.DUMMYFUNCTION("""COMPUTED_VALUE"""),"Replacement Battery APCRBC175 for the existing BVX1200LI-MS")</f>
        <v>Replacement Battery APCRBC175 for the existing BVX1200LI-MS</v>
      </c>
      <c r="C825" s="136">
        <f ca="1">IFERROR(__xludf.DUMMYFUNCTION("""COMPUTED_VALUE"""),30)</f>
        <v>30</v>
      </c>
      <c r="D825" s="136" t="str">
        <f ca="1">IFERROR(__xludf.DUMMYFUNCTION("""COMPUTED_VALUE"""),"pc")</f>
        <v>pc</v>
      </c>
      <c r="E825" s="136"/>
      <c r="F825" s="136"/>
      <c r="G825" s="136"/>
      <c r="H825" s="136"/>
      <c r="I825" s="136"/>
      <c r="J825" s="136"/>
      <c r="K825" s="136"/>
      <c r="L825" s="136"/>
      <c r="M825" s="136"/>
      <c r="N825" s="136"/>
      <c r="O825" s="136"/>
      <c r="P825" s="136"/>
      <c r="Q825" s="136"/>
      <c r="R825" s="136"/>
      <c r="S825" s="136"/>
      <c r="T825" s="136"/>
      <c r="U825" s="136"/>
      <c r="V825" s="136"/>
      <c r="W825" s="136"/>
      <c r="X825" s="137" t="s">
        <v>101</v>
      </c>
      <c r="Y825" s="164" t="str">
        <f t="shared" ca="1" si="1"/>
        <v>Replacement Battery APCRBC175 for the existing BVX1200LI-MS</v>
      </c>
      <c r="Z825" s="154"/>
      <c r="AA825" s="136"/>
      <c r="AB825" s="136"/>
      <c r="AC825" s="139"/>
      <c r="AD825" s="139"/>
      <c r="AE825" s="139"/>
      <c r="AF825" s="139"/>
    </row>
    <row r="826" spans="1:32" ht="12.75">
      <c r="A826" s="134" t="e">
        <f ca="1"/>
        <v>#NAME?</v>
      </c>
      <c r="B826" s="135" t="str">
        <f ca="1">IFERROR(__xludf.DUMMYFUNCTION("""COMPUTED_VALUE"""),"Rj11 Connector")</f>
        <v>Rj11 Connector</v>
      </c>
      <c r="C826" s="136">
        <f ca="1">IFERROR(__xludf.DUMMYFUNCTION("""COMPUTED_VALUE"""),1000)</f>
        <v>1000</v>
      </c>
      <c r="D826" s="136" t="str">
        <f ca="1">IFERROR(__xludf.DUMMYFUNCTION("""COMPUTED_VALUE"""),"pc")</f>
        <v>pc</v>
      </c>
      <c r="E826" s="136"/>
      <c r="F826" s="136"/>
      <c r="G826" s="136"/>
      <c r="H826" s="136"/>
      <c r="I826" s="136"/>
      <c r="J826" s="136"/>
      <c r="K826" s="136"/>
      <c r="L826" s="136"/>
      <c r="M826" s="136"/>
      <c r="N826" s="136"/>
      <c r="O826" s="136"/>
      <c r="P826" s="136"/>
      <c r="Q826" s="136"/>
      <c r="R826" s="136"/>
      <c r="S826" s="136"/>
      <c r="T826" s="136"/>
      <c r="U826" s="136"/>
      <c r="V826" s="136"/>
      <c r="W826" s="136"/>
      <c r="X826" s="137" t="s">
        <v>101</v>
      </c>
      <c r="Y826" s="164" t="str">
        <f t="shared" ca="1" si="1"/>
        <v>Rj11 Connector</v>
      </c>
      <c r="Z826" s="154"/>
      <c r="AA826" s="136"/>
      <c r="AB826" s="136"/>
      <c r="AC826" s="139"/>
      <c r="AD826" s="139"/>
      <c r="AE826" s="139"/>
      <c r="AF826" s="139"/>
    </row>
    <row r="827" spans="1:32" ht="12.75">
      <c r="A827" s="134" t="e">
        <f ca="1"/>
        <v>#NAME?</v>
      </c>
      <c r="B827" s="135" t="str">
        <f ca="1">IFERROR(__xludf.DUMMYFUNCTION("""COMPUTED_VALUE"""),"RJ11 Telephone Converter 10pcs/pack")</f>
        <v>RJ11 Telephone Converter 10pcs/pack</v>
      </c>
      <c r="C827" s="136">
        <f ca="1">IFERROR(__xludf.DUMMYFUNCTION("""COMPUTED_VALUE"""),5)</f>
        <v>5</v>
      </c>
      <c r="D827" s="136" t="str">
        <f ca="1">IFERROR(__xludf.DUMMYFUNCTION("""COMPUTED_VALUE"""),"pack")</f>
        <v>pack</v>
      </c>
      <c r="E827" s="136"/>
      <c r="F827" s="136"/>
      <c r="G827" s="136"/>
      <c r="H827" s="136"/>
      <c r="I827" s="136"/>
      <c r="J827" s="136"/>
      <c r="K827" s="136"/>
      <c r="L827" s="136"/>
      <c r="M827" s="136"/>
      <c r="N827" s="136"/>
      <c r="O827" s="136"/>
      <c r="P827" s="136"/>
      <c r="Q827" s="136"/>
      <c r="R827" s="136"/>
      <c r="S827" s="136"/>
      <c r="T827" s="136"/>
      <c r="U827" s="136"/>
      <c r="V827" s="136"/>
      <c r="W827" s="136"/>
      <c r="X827" s="137" t="s">
        <v>101</v>
      </c>
      <c r="Y827" s="164" t="str">
        <f t="shared" ca="1" si="1"/>
        <v>RJ11 Telephone Converter 10pcs/pack</v>
      </c>
      <c r="Z827" s="154"/>
      <c r="AA827" s="136"/>
      <c r="AB827" s="136"/>
      <c r="AC827" s="139"/>
      <c r="AD827" s="139"/>
      <c r="AE827" s="139"/>
      <c r="AF827" s="139"/>
    </row>
    <row r="828" spans="1:32" ht="25.5">
      <c r="A828" s="134" t="e">
        <f ca="1"/>
        <v>#NAME?</v>
      </c>
      <c r="B828" s="135" t="str">
        <f ca="1">IFERROR(__xludf.DUMMYFUNCTION("""COMPUTED_VALUE"""),"RJ45 Connector Crimp Connection Terminals 100pcs/pack")</f>
        <v>RJ45 Connector Crimp Connection Terminals 100pcs/pack</v>
      </c>
      <c r="C828" s="136">
        <f ca="1">IFERROR(__xludf.DUMMYFUNCTION("""COMPUTED_VALUE"""),4)</f>
        <v>4</v>
      </c>
      <c r="D828" s="136" t="str">
        <f ca="1">IFERROR(__xludf.DUMMYFUNCTION("""COMPUTED_VALUE"""),"pack")</f>
        <v>pack</v>
      </c>
      <c r="E828" s="136"/>
      <c r="F828" s="136"/>
      <c r="G828" s="136"/>
      <c r="H828" s="136"/>
      <c r="I828" s="136"/>
      <c r="J828" s="136"/>
      <c r="K828" s="136"/>
      <c r="L828" s="136"/>
      <c r="M828" s="136"/>
      <c r="N828" s="136"/>
      <c r="O828" s="136"/>
      <c r="P828" s="136"/>
      <c r="Q828" s="136"/>
      <c r="R828" s="136"/>
      <c r="S828" s="136"/>
      <c r="T828" s="136"/>
      <c r="U828" s="136"/>
      <c r="V828" s="136"/>
      <c r="W828" s="136"/>
      <c r="X828" s="137" t="s">
        <v>101</v>
      </c>
      <c r="Y828" s="164" t="str">
        <f t="shared" ca="1" si="1"/>
        <v>RJ45 Connector Crimp Connection Terminals 100pcs/pack</v>
      </c>
      <c r="Z828" s="154"/>
      <c r="AA828" s="136"/>
      <c r="AB828" s="136"/>
      <c r="AC828" s="139"/>
      <c r="AD828" s="139"/>
      <c r="AE828" s="139"/>
      <c r="AF828" s="139"/>
    </row>
    <row r="829" spans="1:32" ht="12.75">
      <c r="A829" s="134" t="e">
        <f ca="1"/>
        <v>#NAME?</v>
      </c>
      <c r="B829" s="135" t="str">
        <f ca="1">IFERROR(__xludf.DUMMYFUNCTION("""COMPUTED_VALUE"""),"Rj45 Connectors for CAT6 (100pcs Clear)")</f>
        <v>Rj45 Connectors for CAT6 (100pcs Clear)</v>
      </c>
      <c r="C829" s="136">
        <f ca="1">IFERROR(__xludf.DUMMYFUNCTION("""COMPUTED_VALUE"""),10)</f>
        <v>10</v>
      </c>
      <c r="D829" s="136" t="str">
        <f ca="1">IFERROR(__xludf.DUMMYFUNCTION("""COMPUTED_VALUE"""),"box")</f>
        <v>box</v>
      </c>
      <c r="E829" s="136"/>
      <c r="F829" s="136"/>
      <c r="G829" s="136"/>
      <c r="H829" s="136"/>
      <c r="I829" s="136"/>
      <c r="J829" s="136"/>
      <c r="K829" s="136"/>
      <c r="L829" s="136"/>
      <c r="M829" s="136"/>
      <c r="N829" s="136"/>
      <c r="O829" s="136"/>
      <c r="P829" s="136"/>
      <c r="Q829" s="136"/>
      <c r="R829" s="136"/>
      <c r="S829" s="136"/>
      <c r="T829" s="136"/>
      <c r="U829" s="136"/>
      <c r="V829" s="136"/>
      <c r="W829" s="136"/>
      <c r="X829" s="137" t="s">
        <v>101</v>
      </c>
      <c r="Y829" s="164" t="str">
        <f t="shared" ca="1" si="1"/>
        <v>Rj45 Connectors for CAT6 (100pcs Clear)</v>
      </c>
      <c r="Z829" s="154"/>
      <c r="AA829" s="136"/>
      <c r="AB829" s="136"/>
      <c r="AC829" s="139"/>
      <c r="AD829" s="139"/>
      <c r="AE829" s="139"/>
      <c r="AF829" s="139"/>
    </row>
    <row r="830" spans="1:32" ht="25.5">
      <c r="A830" s="134" t="e">
        <f ca="1"/>
        <v>#NAME?</v>
      </c>
      <c r="B830" s="135" t="str">
        <f ca="1">IFERROR(__xludf.DUMMYFUNCTION("""COMPUTED_VALUE"""),"RJ45 Coupler, 8P8C Female Extender LAN Connector")</f>
        <v>RJ45 Coupler, 8P8C Female Extender LAN Connector</v>
      </c>
      <c r="C830" s="136">
        <f ca="1">IFERROR(__xludf.DUMMYFUNCTION("""COMPUTED_VALUE"""),20)</f>
        <v>20</v>
      </c>
      <c r="D830" s="136" t="str">
        <f ca="1">IFERROR(__xludf.DUMMYFUNCTION("""COMPUTED_VALUE"""),"pc")</f>
        <v>pc</v>
      </c>
      <c r="E830" s="136"/>
      <c r="F830" s="136"/>
      <c r="G830" s="136"/>
      <c r="H830" s="136"/>
      <c r="I830" s="136"/>
      <c r="J830" s="136"/>
      <c r="K830" s="136"/>
      <c r="L830" s="136"/>
      <c r="M830" s="136"/>
      <c r="N830" s="136"/>
      <c r="O830" s="136"/>
      <c r="P830" s="136"/>
      <c r="Q830" s="136"/>
      <c r="R830" s="136"/>
      <c r="S830" s="136"/>
      <c r="T830" s="136"/>
      <c r="U830" s="136"/>
      <c r="V830" s="136"/>
      <c r="W830" s="136"/>
      <c r="X830" s="137" t="s">
        <v>101</v>
      </c>
      <c r="Y830" s="164" t="str">
        <f t="shared" ca="1" si="1"/>
        <v>RJ45 Coupler, 8P8C Female Extender LAN Connector</v>
      </c>
      <c r="Z830" s="154"/>
      <c r="AA830" s="136"/>
      <c r="AB830" s="136"/>
      <c r="AC830" s="139"/>
      <c r="AD830" s="139"/>
      <c r="AE830" s="139"/>
      <c r="AF830" s="139"/>
    </row>
    <row r="831" spans="1:32" ht="25.5">
      <c r="A831" s="134" t="e">
        <f ca="1"/>
        <v>#NAME?</v>
      </c>
      <c r="B831" s="135" t="str">
        <f ca="1">IFERROR(__xludf.DUMMYFUNCTION("""COMPUTED_VALUE"""),"RJ45 Crimp Tool Pass Through Cat5 Cat5e Cat6")</f>
        <v>RJ45 Crimp Tool Pass Through Cat5 Cat5e Cat6</v>
      </c>
      <c r="C831" s="136">
        <f ca="1">IFERROR(__xludf.DUMMYFUNCTION("""COMPUTED_VALUE"""),4)</f>
        <v>4</v>
      </c>
      <c r="D831" s="136" t="str">
        <f ca="1">IFERROR(__xludf.DUMMYFUNCTION("""COMPUTED_VALUE"""),"pc")</f>
        <v>pc</v>
      </c>
      <c r="E831" s="136"/>
      <c r="F831" s="136"/>
      <c r="G831" s="136"/>
      <c r="H831" s="136"/>
      <c r="I831" s="136"/>
      <c r="J831" s="136"/>
      <c r="K831" s="136"/>
      <c r="L831" s="136"/>
      <c r="M831" s="136"/>
      <c r="N831" s="136"/>
      <c r="O831" s="136"/>
      <c r="P831" s="136"/>
      <c r="Q831" s="136"/>
      <c r="R831" s="136"/>
      <c r="S831" s="136"/>
      <c r="T831" s="136"/>
      <c r="U831" s="136"/>
      <c r="V831" s="136"/>
      <c r="W831" s="136"/>
      <c r="X831" s="137" t="s">
        <v>101</v>
      </c>
      <c r="Y831" s="164" t="str">
        <f t="shared" ca="1" si="1"/>
        <v>RJ45 Crimp Tool Pass Through Cat5 Cat5e Cat6</v>
      </c>
      <c r="Z831" s="154"/>
      <c r="AA831" s="136"/>
      <c r="AB831" s="136"/>
      <c r="AC831" s="139"/>
      <c r="AD831" s="139"/>
      <c r="AE831" s="139"/>
      <c r="AF831" s="139"/>
    </row>
    <row r="832" spans="1:32" ht="25.5">
      <c r="A832" s="134" t="e">
        <f ca="1"/>
        <v>#NAME?</v>
      </c>
      <c r="B832" s="135" t="str">
        <f ca="1">IFERROR(__xludf.DUMMYFUNCTION("""COMPUTED_VALUE"""),"Rj45 Metal Shield Connectors for CAT6 (100pcs)")</f>
        <v>Rj45 Metal Shield Connectors for CAT6 (100pcs)</v>
      </c>
      <c r="C832" s="136">
        <f ca="1">IFERROR(__xludf.DUMMYFUNCTION("""COMPUTED_VALUE"""),2)</f>
        <v>2</v>
      </c>
      <c r="D832" s="136" t="str">
        <f ca="1">IFERROR(__xludf.DUMMYFUNCTION("""COMPUTED_VALUE"""),"box")</f>
        <v>box</v>
      </c>
      <c r="E832" s="136"/>
      <c r="F832" s="136"/>
      <c r="G832" s="136"/>
      <c r="H832" s="136"/>
      <c r="I832" s="136"/>
      <c r="J832" s="136"/>
      <c r="K832" s="136"/>
      <c r="L832" s="136"/>
      <c r="M832" s="136"/>
      <c r="N832" s="136"/>
      <c r="O832" s="136"/>
      <c r="P832" s="136"/>
      <c r="Q832" s="136"/>
      <c r="R832" s="136"/>
      <c r="S832" s="136"/>
      <c r="T832" s="136"/>
      <c r="U832" s="136"/>
      <c r="V832" s="136"/>
      <c r="W832" s="136"/>
      <c r="X832" s="137" t="s">
        <v>101</v>
      </c>
      <c r="Y832" s="164" t="str">
        <f t="shared" ca="1" si="1"/>
        <v>Rj45 Metal Shield Connectors for CAT6 (100pcs)</v>
      </c>
      <c r="Z832" s="154"/>
      <c r="AA832" s="136"/>
      <c r="AB832" s="136"/>
      <c r="AC832" s="139"/>
      <c r="AD832" s="139"/>
      <c r="AE832" s="139"/>
      <c r="AF832" s="139"/>
    </row>
    <row r="833" spans="1:32" ht="12.75">
      <c r="A833" s="134" t="e">
        <f ca="1"/>
        <v>#NAME?</v>
      </c>
      <c r="B833" s="135" t="str">
        <f ca="1">IFERROR(__xludf.DUMMYFUNCTION("""COMPUTED_VALUE"""),"Single Line Telephone (Black)")</f>
        <v>Single Line Telephone (Black)</v>
      </c>
      <c r="C833" s="136">
        <f ca="1">IFERROR(__xludf.DUMMYFUNCTION("""COMPUTED_VALUE"""),100)</f>
        <v>100</v>
      </c>
      <c r="D833" s="136" t="str">
        <f ca="1">IFERROR(__xludf.DUMMYFUNCTION("""COMPUTED_VALUE"""),"box")</f>
        <v>box</v>
      </c>
      <c r="E833" s="136"/>
      <c r="F833" s="136"/>
      <c r="G833" s="136"/>
      <c r="H833" s="136"/>
      <c r="I833" s="136"/>
      <c r="J833" s="136"/>
      <c r="K833" s="136"/>
      <c r="L833" s="136"/>
      <c r="M833" s="136"/>
      <c r="N833" s="136"/>
      <c r="O833" s="136"/>
      <c r="P833" s="136"/>
      <c r="Q833" s="136"/>
      <c r="R833" s="136"/>
      <c r="S833" s="136"/>
      <c r="T833" s="136"/>
      <c r="U833" s="136"/>
      <c r="V833" s="136"/>
      <c r="W833" s="136"/>
      <c r="X833" s="137" t="s">
        <v>101</v>
      </c>
      <c r="Y833" s="164" t="str">
        <f t="shared" ca="1" si="1"/>
        <v>Single Line Telephone (Black)</v>
      </c>
      <c r="Z833" s="154"/>
      <c r="AA833" s="136"/>
      <c r="AB833" s="136"/>
      <c r="AC833" s="139"/>
      <c r="AD833" s="139"/>
      <c r="AE833" s="139"/>
      <c r="AF833" s="139"/>
    </row>
    <row r="834" spans="1:32" ht="25.5">
      <c r="A834" s="134" t="e">
        <f ca="1"/>
        <v>#NAME?</v>
      </c>
      <c r="B834" s="135" t="str">
        <f ca="1">IFERROR(__xludf.DUMMYFUNCTION("""COMPUTED_VALUE"""),"Super Strength Molding Tape Double Sided Tape 1/2"" x 15ft")</f>
        <v>Super Strength Molding Tape Double Sided Tape 1/2" x 15ft</v>
      </c>
      <c r="C834" s="136">
        <f ca="1">IFERROR(__xludf.DUMMYFUNCTION("""COMPUTED_VALUE"""),20)</f>
        <v>20</v>
      </c>
      <c r="D834" s="136" t="str">
        <f ca="1">IFERROR(__xludf.DUMMYFUNCTION("""COMPUTED_VALUE"""),"pc")</f>
        <v>pc</v>
      </c>
      <c r="E834" s="136"/>
      <c r="F834" s="136"/>
      <c r="G834" s="136"/>
      <c r="H834" s="136"/>
      <c r="I834" s="136"/>
      <c r="J834" s="136"/>
      <c r="K834" s="136"/>
      <c r="L834" s="136"/>
      <c r="M834" s="136"/>
      <c r="N834" s="136"/>
      <c r="O834" s="136"/>
      <c r="P834" s="136"/>
      <c r="Q834" s="136"/>
      <c r="R834" s="136"/>
      <c r="S834" s="136"/>
      <c r="T834" s="136"/>
      <c r="U834" s="136"/>
      <c r="V834" s="136"/>
      <c r="W834" s="136"/>
      <c r="X834" s="137" t="s">
        <v>101</v>
      </c>
      <c r="Y834" s="164" t="str">
        <f t="shared" ca="1" si="1"/>
        <v>Super Strength Molding Tape Double Sided Tape 1/2" x 15ft</v>
      </c>
      <c r="Z834" s="154"/>
      <c r="AA834" s="136"/>
      <c r="AB834" s="136"/>
      <c r="AC834" s="139"/>
      <c r="AD834" s="139"/>
      <c r="AE834" s="139"/>
      <c r="AF834" s="139"/>
    </row>
    <row r="835" spans="1:32" ht="25.5">
      <c r="A835" s="134" t="e">
        <f ca="1"/>
        <v>#NAME?</v>
      </c>
      <c r="B835" s="135" t="str">
        <f ca="1">IFERROR(__xludf.DUMMYFUNCTION("""COMPUTED_VALUE"""),"Super Strength Molding Tape Double Sided Tape 7/8"" x 15ft")</f>
        <v>Super Strength Molding Tape Double Sided Tape 7/8" x 15ft</v>
      </c>
      <c r="C835" s="136">
        <f ca="1">IFERROR(__xludf.DUMMYFUNCTION("""COMPUTED_VALUE"""),20)</f>
        <v>20</v>
      </c>
      <c r="D835" s="136" t="str">
        <f ca="1">IFERROR(__xludf.DUMMYFUNCTION("""COMPUTED_VALUE"""),"pc")</f>
        <v>pc</v>
      </c>
      <c r="E835" s="136"/>
      <c r="F835" s="136"/>
      <c r="G835" s="136"/>
      <c r="H835" s="136"/>
      <c r="I835" s="136"/>
      <c r="J835" s="136"/>
      <c r="K835" s="136"/>
      <c r="L835" s="136"/>
      <c r="M835" s="136"/>
      <c r="N835" s="136"/>
      <c r="O835" s="136"/>
      <c r="P835" s="136"/>
      <c r="Q835" s="136"/>
      <c r="R835" s="136"/>
      <c r="S835" s="136"/>
      <c r="T835" s="136"/>
      <c r="U835" s="136"/>
      <c r="V835" s="136"/>
      <c r="W835" s="136"/>
      <c r="X835" s="137" t="s">
        <v>101</v>
      </c>
      <c r="Y835" s="164" t="str">
        <f t="shared" ca="1" si="1"/>
        <v>Super Strength Molding Tape Double Sided Tape 7/8" x 15ft</v>
      </c>
      <c r="Z835" s="154"/>
      <c r="AA835" s="136"/>
      <c r="AB835" s="136"/>
      <c r="AC835" s="139"/>
      <c r="AD835" s="139"/>
      <c r="AE835" s="139"/>
      <c r="AF835" s="139"/>
    </row>
    <row r="836" spans="1:32" ht="12.75">
      <c r="A836" s="134" t="e">
        <f ca="1"/>
        <v>#NAME?</v>
      </c>
      <c r="B836" s="135" t="str">
        <f ca="1">IFERROR(__xludf.DUMMYFUNCTION("""COMPUTED_VALUE"""),"Telephone Wire (3mtrs)")</f>
        <v>Telephone Wire (3mtrs)</v>
      </c>
      <c r="C836" s="136">
        <f ca="1">IFERROR(__xludf.DUMMYFUNCTION("""COMPUTED_VALUE"""),200)</f>
        <v>200</v>
      </c>
      <c r="D836" s="136" t="str">
        <f ca="1">IFERROR(__xludf.DUMMYFUNCTION("""COMPUTED_VALUE"""),"pc")</f>
        <v>pc</v>
      </c>
      <c r="E836" s="136"/>
      <c r="F836" s="136"/>
      <c r="G836" s="136"/>
      <c r="H836" s="136"/>
      <c r="I836" s="136"/>
      <c r="J836" s="136"/>
      <c r="K836" s="136"/>
      <c r="L836" s="136"/>
      <c r="M836" s="136"/>
      <c r="N836" s="136"/>
      <c r="O836" s="136"/>
      <c r="P836" s="136"/>
      <c r="Q836" s="136"/>
      <c r="R836" s="136"/>
      <c r="S836" s="136"/>
      <c r="T836" s="136"/>
      <c r="U836" s="136"/>
      <c r="V836" s="136"/>
      <c r="W836" s="136"/>
      <c r="X836" s="137" t="s">
        <v>101</v>
      </c>
      <c r="Y836" s="164" t="str">
        <f t="shared" ca="1" si="1"/>
        <v>Telephone Wire (3mtrs)</v>
      </c>
      <c r="Z836" s="154"/>
      <c r="AA836" s="136"/>
      <c r="AB836" s="136"/>
      <c r="AC836" s="139"/>
      <c r="AD836" s="139"/>
      <c r="AE836" s="139"/>
      <c r="AF836" s="139"/>
    </row>
    <row r="837" spans="1:32" ht="12.75">
      <c r="A837" s="134" t="e">
        <f ca="1"/>
        <v>#NAME?</v>
      </c>
      <c r="B837" s="135" t="str">
        <f ca="1">IFERROR(__xludf.DUMMYFUNCTION("""COMPUTED_VALUE"""),"Thermal Paste Syringe")</f>
        <v>Thermal Paste Syringe</v>
      </c>
      <c r="C837" s="136">
        <f ca="1">IFERROR(__xludf.DUMMYFUNCTION("""COMPUTED_VALUE"""),40)</f>
        <v>40</v>
      </c>
      <c r="D837" s="136" t="str">
        <f ca="1">IFERROR(__xludf.DUMMYFUNCTION("""COMPUTED_VALUE"""),"pc")</f>
        <v>pc</v>
      </c>
      <c r="E837" s="136"/>
      <c r="F837" s="136"/>
      <c r="G837" s="136"/>
      <c r="H837" s="136"/>
      <c r="I837" s="136"/>
      <c r="J837" s="136"/>
      <c r="K837" s="136"/>
      <c r="L837" s="136"/>
      <c r="M837" s="136"/>
      <c r="N837" s="136"/>
      <c r="O837" s="136"/>
      <c r="P837" s="136"/>
      <c r="Q837" s="136"/>
      <c r="R837" s="136"/>
      <c r="S837" s="136"/>
      <c r="T837" s="136"/>
      <c r="U837" s="136"/>
      <c r="V837" s="136"/>
      <c r="W837" s="136"/>
      <c r="X837" s="137" t="s">
        <v>101</v>
      </c>
      <c r="Y837" s="164" t="str">
        <f t="shared" ca="1" si="1"/>
        <v>Thermal Paste Syringe</v>
      </c>
      <c r="Z837" s="154"/>
      <c r="AA837" s="136"/>
      <c r="AB837" s="136"/>
      <c r="AC837" s="139"/>
      <c r="AD837" s="139"/>
      <c r="AE837" s="139"/>
      <c r="AF837" s="139"/>
    </row>
    <row r="838" spans="1:32" ht="25.5">
      <c r="A838" s="134" t="e">
        <f ca="1"/>
        <v>#NAME?</v>
      </c>
      <c r="B838" s="135" t="str">
        <f ca="1">IFERROR(__xludf.DUMMYFUNCTION("""COMPUTED_VALUE"""),"Toner Cartridge for the existing ECOSYS M5521CDW")</f>
        <v>Toner Cartridge for the existing ECOSYS M5521CDW</v>
      </c>
      <c r="C838" s="136">
        <f ca="1">IFERROR(__xludf.DUMMYFUNCTION("""COMPUTED_VALUE"""),8)</f>
        <v>8</v>
      </c>
      <c r="D838" s="136" t="str">
        <f ca="1">IFERROR(__xludf.DUMMYFUNCTION("""COMPUTED_VALUE"""),"pc")</f>
        <v>pc</v>
      </c>
      <c r="E838" s="136"/>
      <c r="F838" s="136"/>
      <c r="G838" s="136"/>
      <c r="H838" s="136"/>
      <c r="I838" s="136"/>
      <c r="J838" s="136"/>
      <c r="K838" s="136"/>
      <c r="L838" s="136"/>
      <c r="M838" s="136"/>
      <c r="N838" s="136"/>
      <c r="O838" s="136"/>
      <c r="P838" s="136"/>
      <c r="Q838" s="136"/>
      <c r="R838" s="136"/>
      <c r="S838" s="136"/>
      <c r="T838" s="136"/>
      <c r="U838" s="136"/>
      <c r="V838" s="136"/>
      <c r="W838" s="136"/>
      <c r="X838" s="137" t="s">
        <v>101</v>
      </c>
      <c r="Y838" s="164" t="str">
        <f t="shared" ca="1" si="1"/>
        <v>Toner Cartridge for the existing ECOSYS M5521CDW</v>
      </c>
      <c r="Z838" s="154"/>
      <c r="AA838" s="136"/>
      <c r="AB838" s="136"/>
      <c r="AC838" s="139"/>
      <c r="AD838" s="139"/>
      <c r="AE838" s="139"/>
      <c r="AF838" s="139"/>
    </row>
    <row r="839" spans="1:32" ht="12.75">
      <c r="A839" s="134" t="e">
        <f ca="1"/>
        <v>#NAME?</v>
      </c>
      <c r="B839" s="135" t="str">
        <f ca="1">IFERROR(__xludf.DUMMYFUNCTION("""COMPUTED_VALUE"""),"Touch-style Fingerprint Reader")</f>
        <v>Touch-style Fingerprint Reader</v>
      </c>
      <c r="C839" s="136">
        <f ca="1">IFERROR(__xludf.DUMMYFUNCTION("""COMPUTED_VALUE"""),12)</f>
        <v>12</v>
      </c>
      <c r="D839" s="136" t="str">
        <f ca="1">IFERROR(__xludf.DUMMYFUNCTION("""COMPUTED_VALUE"""),"pc")</f>
        <v>pc</v>
      </c>
      <c r="E839" s="136"/>
      <c r="F839" s="136"/>
      <c r="G839" s="136"/>
      <c r="H839" s="136"/>
      <c r="I839" s="136"/>
      <c r="J839" s="136"/>
      <c r="K839" s="136"/>
      <c r="L839" s="136"/>
      <c r="M839" s="136"/>
      <c r="N839" s="136"/>
      <c r="O839" s="136"/>
      <c r="P839" s="136"/>
      <c r="Q839" s="136"/>
      <c r="R839" s="136"/>
      <c r="S839" s="136"/>
      <c r="T839" s="136"/>
      <c r="U839" s="136"/>
      <c r="V839" s="136"/>
      <c r="W839" s="136"/>
      <c r="X839" s="137" t="s">
        <v>101</v>
      </c>
      <c r="Y839" s="164" t="str">
        <f t="shared" ca="1" si="1"/>
        <v>Touch-style Fingerprint Reader</v>
      </c>
      <c r="Z839" s="154"/>
      <c r="AA839" s="136"/>
      <c r="AB839" s="136"/>
      <c r="AC839" s="139"/>
      <c r="AD839" s="139"/>
      <c r="AE839" s="139"/>
      <c r="AF839" s="139"/>
    </row>
    <row r="840" spans="1:32" ht="12.75">
      <c r="A840" s="134" t="e">
        <f ca="1"/>
        <v>#NAME?</v>
      </c>
      <c r="B840" s="135" t="str">
        <f ca="1">IFERROR(__xludf.DUMMYFUNCTION("""COMPUTED_VALUE"""),"Tox with Screw 6mm (50pcs)")</f>
        <v>Tox with Screw 6mm (50pcs)</v>
      </c>
      <c r="C840" s="136">
        <f ca="1">IFERROR(__xludf.DUMMYFUNCTION("""COMPUTED_VALUE"""),10)</f>
        <v>10</v>
      </c>
      <c r="D840" s="136" t="str">
        <f ca="1">IFERROR(__xludf.DUMMYFUNCTION("""COMPUTED_VALUE"""),"box")</f>
        <v>box</v>
      </c>
      <c r="E840" s="136"/>
      <c r="F840" s="136"/>
      <c r="G840" s="136"/>
      <c r="H840" s="136"/>
      <c r="I840" s="136"/>
      <c r="J840" s="136"/>
      <c r="K840" s="136"/>
      <c r="L840" s="136"/>
      <c r="M840" s="136"/>
      <c r="N840" s="136"/>
      <c r="O840" s="136"/>
      <c r="P840" s="136"/>
      <c r="Q840" s="136"/>
      <c r="R840" s="136"/>
      <c r="S840" s="136"/>
      <c r="T840" s="136"/>
      <c r="U840" s="136"/>
      <c r="V840" s="136"/>
      <c r="W840" s="136"/>
      <c r="X840" s="137" t="s">
        <v>101</v>
      </c>
      <c r="Y840" s="164" t="str">
        <f t="shared" ca="1" si="1"/>
        <v>Tox with Screw 6mm (50pcs)</v>
      </c>
      <c r="Z840" s="154"/>
      <c r="AA840" s="136"/>
      <c r="AB840" s="136"/>
      <c r="AC840" s="139"/>
      <c r="AD840" s="139"/>
      <c r="AE840" s="139"/>
      <c r="AF840" s="139"/>
    </row>
    <row r="841" spans="1:32" ht="12.75">
      <c r="A841" s="134" t="e">
        <f ca="1"/>
        <v>#NAME?</v>
      </c>
      <c r="B841" s="135" t="str">
        <f ca="1">IFERROR(__xludf.DUMMYFUNCTION("""COMPUTED_VALUE"""),"UPS 1200VA, AVR, 230V")</f>
        <v>UPS 1200VA, AVR, 230V</v>
      </c>
      <c r="C841" s="136">
        <f ca="1">IFERROR(__xludf.DUMMYFUNCTION("""COMPUTED_VALUE"""),40)</f>
        <v>40</v>
      </c>
      <c r="D841" s="136" t="str">
        <f ca="1">IFERROR(__xludf.DUMMYFUNCTION("""COMPUTED_VALUE"""),"pc")</f>
        <v>pc</v>
      </c>
      <c r="E841" s="136"/>
      <c r="F841" s="136"/>
      <c r="G841" s="136"/>
      <c r="H841" s="136"/>
      <c r="I841" s="136"/>
      <c r="J841" s="136"/>
      <c r="K841" s="136"/>
      <c r="L841" s="136"/>
      <c r="M841" s="136"/>
      <c r="N841" s="136"/>
      <c r="O841" s="136"/>
      <c r="P841" s="136"/>
      <c r="Q841" s="136"/>
      <c r="R841" s="136"/>
      <c r="S841" s="136"/>
      <c r="T841" s="136"/>
      <c r="U841" s="136"/>
      <c r="V841" s="136"/>
      <c r="W841" s="136"/>
      <c r="X841" s="137" t="s">
        <v>101</v>
      </c>
      <c r="Y841" s="164" t="str">
        <f t="shared" ca="1" si="1"/>
        <v>UPS 1200VA, AVR, 230V</v>
      </c>
      <c r="Z841" s="154"/>
      <c r="AA841" s="136"/>
      <c r="AB841" s="136"/>
      <c r="AC841" s="139"/>
      <c r="AD841" s="139"/>
      <c r="AE841" s="139"/>
      <c r="AF841" s="139"/>
    </row>
    <row r="842" spans="1:32" ht="25.5">
      <c r="A842" s="134" t="e">
        <f ca="1"/>
        <v>#NAME?</v>
      </c>
      <c r="B842" s="135" t="str">
        <f ca="1">IFERROR(__xludf.DUMMYFUNCTION("""COMPUTED_VALUE"""),"VDE Insulated Flat Phillips Handle Screwdrivers Set Insulated")</f>
        <v>VDE Insulated Flat Phillips Handle Screwdrivers Set Insulated</v>
      </c>
      <c r="C842" s="136">
        <f ca="1">IFERROR(__xludf.DUMMYFUNCTION("""COMPUTED_VALUE"""),2)</f>
        <v>2</v>
      </c>
      <c r="D842" s="136" t="str">
        <f ca="1">IFERROR(__xludf.DUMMYFUNCTION("""COMPUTED_VALUE"""),"set")</f>
        <v>set</v>
      </c>
      <c r="E842" s="136"/>
      <c r="F842" s="136"/>
      <c r="G842" s="136"/>
      <c r="H842" s="136"/>
      <c r="I842" s="136"/>
      <c r="J842" s="136"/>
      <c r="K842" s="136"/>
      <c r="L842" s="136"/>
      <c r="M842" s="136"/>
      <c r="N842" s="136"/>
      <c r="O842" s="136"/>
      <c r="P842" s="136"/>
      <c r="Q842" s="136"/>
      <c r="R842" s="136"/>
      <c r="S842" s="136"/>
      <c r="T842" s="136"/>
      <c r="U842" s="136"/>
      <c r="V842" s="136"/>
      <c r="W842" s="136"/>
      <c r="X842" s="137" t="s">
        <v>101</v>
      </c>
      <c r="Y842" s="164" t="str">
        <f t="shared" ca="1" si="1"/>
        <v>VDE Insulated Flat Phillips Handle Screwdrivers Set Insulated</v>
      </c>
      <c r="Z842" s="154"/>
      <c r="AA842" s="136"/>
      <c r="AB842" s="136"/>
      <c r="AC842" s="139"/>
      <c r="AD842" s="139"/>
      <c r="AE842" s="139"/>
      <c r="AF842" s="139"/>
    </row>
    <row r="843" spans="1:32" ht="12.75">
      <c r="A843" s="134" t="e">
        <f ca="1"/>
        <v>#NAME?</v>
      </c>
      <c r="B843" s="135" t="str">
        <f ca="1">IFERROR(__xludf.DUMMYFUNCTION("""COMPUTED_VALUE"""),"Velcro Straps Cable Organizer 3m/roll")</f>
        <v>Velcro Straps Cable Organizer 3m/roll</v>
      </c>
      <c r="C843" s="136">
        <f ca="1">IFERROR(__xludf.DUMMYFUNCTION("""COMPUTED_VALUE"""),30)</f>
        <v>30</v>
      </c>
      <c r="D843" s="136" t="str">
        <f ca="1">IFERROR(__xludf.DUMMYFUNCTION("""COMPUTED_VALUE"""),"roll")</f>
        <v>roll</v>
      </c>
      <c r="E843" s="136"/>
      <c r="F843" s="136"/>
      <c r="G843" s="136"/>
      <c r="H843" s="136"/>
      <c r="I843" s="136"/>
      <c r="J843" s="136"/>
      <c r="K843" s="136"/>
      <c r="L843" s="136"/>
      <c r="M843" s="136"/>
      <c r="N843" s="136"/>
      <c r="O843" s="136"/>
      <c r="P843" s="136"/>
      <c r="Q843" s="136"/>
      <c r="R843" s="136"/>
      <c r="S843" s="136"/>
      <c r="T843" s="136"/>
      <c r="U843" s="136"/>
      <c r="V843" s="136"/>
      <c r="W843" s="136"/>
      <c r="X843" s="137" t="s">
        <v>101</v>
      </c>
      <c r="Y843" s="164" t="str">
        <f t="shared" ca="1" si="1"/>
        <v>Velcro Straps Cable Organizer 3m/roll</v>
      </c>
      <c r="Z843" s="154"/>
      <c r="AA843" s="136"/>
      <c r="AB843" s="136"/>
      <c r="AC843" s="139"/>
      <c r="AD843" s="139"/>
      <c r="AE843" s="139"/>
      <c r="AF843" s="139"/>
    </row>
    <row r="844" spans="1:32" ht="12.75">
      <c r="A844" s="134" t="e">
        <f ca="1"/>
        <v>#NAME?</v>
      </c>
      <c r="B844" s="135" t="str">
        <f ca="1">IFERROR(__xludf.DUMMYFUNCTION("""COMPUTED_VALUE"""),"Webcam Professional Full HD")</f>
        <v>Webcam Professional Full HD</v>
      </c>
      <c r="C844" s="136">
        <f ca="1">IFERROR(__xludf.DUMMYFUNCTION("""COMPUTED_VALUE"""),4)</f>
        <v>4</v>
      </c>
      <c r="D844" s="136" t="str">
        <f ca="1">IFERROR(__xludf.DUMMYFUNCTION("""COMPUTED_VALUE"""),"pc")</f>
        <v>pc</v>
      </c>
      <c r="E844" s="136"/>
      <c r="F844" s="136"/>
      <c r="G844" s="136"/>
      <c r="H844" s="136"/>
      <c r="I844" s="136"/>
      <c r="J844" s="136"/>
      <c r="K844" s="136"/>
      <c r="L844" s="136"/>
      <c r="M844" s="136"/>
      <c r="N844" s="136"/>
      <c r="O844" s="136"/>
      <c r="P844" s="136"/>
      <c r="Q844" s="136"/>
      <c r="R844" s="136"/>
      <c r="S844" s="136"/>
      <c r="T844" s="136"/>
      <c r="U844" s="136"/>
      <c r="V844" s="136"/>
      <c r="W844" s="136"/>
      <c r="X844" s="137" t="s">
        <v>101</v>
      </c>
      <c r="Y844" s="164" t="str">
        <f t="shared" ca="1" si="1"/>
        <v>Webcam Professional Full HD</v>
      </c>
      <c r="Z844" s="154"/>
      <c r="AA844" s="136"/>
      <c r="AB844" s="136"/>
      <c r="AC844" s="139"/>
      <c r="AD844" s="139"/>
      <c r="AE844" s="139"/>
      <c r="AF844" s="139"/>
    </row>
    <row r="845" spans="1:32" ht="25.5">
      <c r="A845" s="134" t="e">
        <f ca="1"/>
        <v>#NAME?</v>
      </c>
      <c r="B845" s="135" t="str">
        <f ca="1">IFERROR(__xludf.DUMMYFUNCTION("""COMPUTED_VALUE"""),"White Nylon Cable Tie 2.5 x 100mm 100pcs/pack")</f>
        <v>White Nylon Cable Tie 2.5 x 100mm 100pcs/pack</v>
      </c>
      <c r="C845" s="136">
        <f ca="1">IFERROR(__xludf.DUMMYFUNCTION("""COMPUTED_VALUE"""),50)</f>
        <v>50</v>
      </c>
      <c r="D845" s="136" t="str">
        <f ca="1">IFERROR(__xludf.DUMMYFUNCTION("""COMPUTED_VALUE"""),"pack")</f>
        <v>pack</v>
      </c>
      <c r="E845" s="136"/>
      <c r="F845" s="136"/>
      <c r="G845" s="136"/>
      <c r="H845" s="136"/>
      <c r="I845" s="136"/>
      <c r="J845" s="136"/>
      <c r="K845" s="136"/>
      <c r="L845" s="136"/>
      <c r="M845" s="136"/>
      <c r="N845" s="136"/>
      <c r="O845" s="136"/>
      <c r="P845" s="136"/>
      <c r="Q845" s="136"/>
      <c r="R845" s="136"/>
      <c r="S845" s="136"/>
      <c r="T845" s="136"/>
      <c r="U845" s="136"/>
      <c r="V845" s="136"/>
      <c r="W845" s="136"/>
      <c r="X845" s="137" t="s">
        <v>101</v>
      </c>
      <c r="Y845" s="164" t="str">
        <f t="shared" ca="1" si="1"/>
        <v>White Nylon Cable Tie 2.5 x 100mm 100pcs/pack</v>
      </c>
      <c r="Z845" s="154"/>
      <c r="AA845" s="136"/>
      <c r="AB845" s="136"/>
      <c r="AC845" s="139"/>
      <c r="AD845" s="139"/>
      <c r="AE845" s="139"/>
      <c r="AF845" s="139"/>
    </row>
    <row r="846" spans="1:32" ht="25.5">
      <c r="A846" s="134" t="e">
        <f ca="1"/>
        <v>#NAME?</v>
      </c>
      <c r="B846" s="135" t="str">
        <f ca="1">IFERROR(__xludf.DUMMYFUNCTION("""COMPUTED_VALUE"""),"White Nylon Cable Tie 2.5 x 140mm 100pcs/pack")</f>
        <v>White Nylon Cable Tie 2.5 x 140mm 100pcs/pack</v>
      </c>
      <c r="C846" s="136">
        <f ca="1">IFERROR(__xludf.DUMMYFUNCTION("""COMPUTED_VALUE"""),50)</f>
        <v>50</v>
      </c>
      <c r="D846" s="136" t="str">
        <f ca="1">IFERROR(__xludf.DUMMYFUNCTION("""COMPUTED_VALUE"""),"pack")</f>
        <v>pack</v>
      </c>
      <c r="E846" s="136"/>
      <c r="F846" s="136"/>
      <c r="G846" s="136"/>
      <c r="H846" s="136"/>
      <c r="I846" s="136"/>
      <c r="J846" s="136"/>
      <c r="K846" s="136"/>
      <c r="L846" s="136"/>
      <c r="M846" s="136"/>
      <c r="N846" s="136"/>
      <c r="O846" s="136"/>
      <c r="P846" s="136"/>
      <c r="Q846" s="136"/>
      <c r="R846" s="136"/>
      <c r="S846" s="136"/>
      <c r="T846" s="136"/>
      <c r="U846" s="136"/>
      <c r="V846" s="136"/>
      <c r="W846" s="136"/>
      <c r="X846" s="137" t="s">
        <v>101</v>
      </c>
      <c r="Y846" s="164" t="str">
        <f t="shared" ca="1" si="1"/>
        <v>White Nylon Cable Tie 2.5 x 140mm 100pcs/pack</v>
      </c>
      <c r="Z846" s="154"/>
      <c r="AA846" s="136"/>
      <c r="AB846" s="136"/>
      <c r="AC846" s="139"/>
      <c r="AD846" s="139"/>
      <c r="AE846" s="139"/>
      <c r="AF846" s="139"/>
    </row>
    <row r="847" spans="1:32" ht="25.5">
      <c r="A847" s="134" t="e">
        <f ca="1"/>
        <v>#NAME?</v>
      </c>
      <c r="B847" s="135" t="str">
        <f ca="1">IFERROR(__xludf.DUMMYFUNCTION("""COMPUTED_VALUE"""),"White Nylon Cable Tie 3.6 x 140mm 100pcs/pack")</f>
        <v>White Nylon Cable Tie 3.6 x 140mm 100pcs/pack</v>
      </c>
      <c r="C847" s="136">
        <f ca="1">IFERROR(__xludf.DUMMYFUNCTION("""COMPUTED_VALUE"""),40)</f>
        <v>40</v>
      </c>
      <c r="D847" s="136" t="str">
        <f ca="1">IFERROR(__xludf.DUMMYFUNCTION("""COMPUTED_VALUE"""),"pack")</f>
        <v>pack</v>
      </c>
      <c r="E847" s="136"/>
      <c r="F847" s="136"/>
      <c r="G847" s="136"/>
      <c r="H847" s="136"/>
      <c r="I847" s="136"/>
      <c r="J847" s="136"/>
      <c r="K847" s="136"/>
      <c r="L847" s="136"/>
      <c r="M847" s="136"/>
      <c r="N847" s="136"/>
      <c r="O847" s="136"/>
      <c r="P847" s="136"/>
      <c r="Q847" s="136"/>
      <c r="R847" s="136"/>
      <c r="S847" s="136"/>
      <c r="T847" s="136"/>
      <c r="U847" s="136"/>
      <c r="V847" s="136"/>
      <c r="W847" s="136"/>
      <c r="X847" s="137" t="s">
        <v>101</v>
      </c>
      <c r="Y847" s="164" t="str">
        <f t="shared" ca="1" si="1"/>
        <v>White Nylon Cable Tie 3.6 x 140mm 100pcs/pack</v>
      </c>
      <c r="Z847" s="154"/>
      <c r="AA847" s="136"/>
      <c r="AB847" s="136"/>
      <c r="AC847" s="139"/>
      <c r="AD847" s="139"/>
      <c r="AE847" s="139"/>
      <c r="AF847" s="139"/>
    </row>
    <row r="848" spans="1:32" ht="25.5">
      <c r="A848" s="134" t="e">
        <f ca="1"/>
        <v>#NAME?</v>
      </c>
      <c r="B848" s="135" t="str">
        <f ca="1">IFERROR(__xludf.DUMMYFUNCTION("""COMPUTED_VALUE"""),"White Nylon Cable Tie 3.6 x 200mm 100pcs/pack")</f>
        <v>White Nylon Cable Tie 3.6 x 200mm 100pcs/pack</v>
      </c>
      <c r="C848" s="136">
        <f ca="1">IFERROR(__xludf.DUMMYFUNCTION("""COMPUTED_VALUE"""),40)</f>
        <v>40</v>
      </c>
      <c r="D848" s="136" t="str">
        <f ca="1">IFERROR(__xludf.DUMMYFUNCTION("""COMPUTED_VALUE"""),"pack")</f>
        <v>pack</v>
      </c>
      <c r="E848" s="136"/>
      <c r="F848" s="136"/>
      <c r="G848" s="136"/>
      <c r="H848" s="136"/>
      <c r="I848" s="136"/>
      <c r="J848" s="136"/>
      <c r="K848" s="136"/>
      <c r="L848" s="136"/>
      <c r="M848" s="136"/>
      <c r="N848" s="136"/>
      <c r="O848" s="136"/>
      <c r="P848" s="136"/>
      <c r="Q848" s="136"/>
      <c r="R848" s="136"/>
      <c r="S848" s="136"/>
      <c r="T848" s="136"/>
      <c r="U848" s="136"/>
      <c r="V848" s="136"/>
      <c r="W848" s="136"/>
      <c r="X848" s="137" t="s">
        <v>101</v>
      </c>
      <c r="Y848" s="164" t="str">
        <f t="shared" ca="1" si="1"/>
        <v>White Nylon Cable Tie 3.6 x 200mm 100pcs/pack</v>
      </c>
      <c r="Z848" s="154"/>
      <c r="AA848" s="136"/>
      <c r="AB848" s="136"/>
      <c r="AC848" s="139"/>
      <c r="AD848" s="139"/>
      <c r="AE848" s="139"/>
      <c r="AF848" s="139"/>
    </row>
    <row r="849" spans="1:32" ht="25.5">
      <c r="A849" s="134" t="e">
        <f ca="1"/>
        <v>#NAME?</v>
      </c>
      <c r="B849" s="135" t="str">
        <f ca="1">IFERROR(__xludf.DUMMYFUNCTION("""COMPUTED_VALUE"""),"White Nylon Cable Tie 3.6 x 300mm 100pcs/pack")</f>
        <v>White Nylon Cable Tie 3.6 x 300mm 100pcs/pack</v>
      </c>
      <c r="C849" s="136">
        <f ca="1">IFERROR(__xludf.DUMMYFUNCTION("""COMPUTED_VALUE"""),30)</f>
        <v>30</v>
      </c>
      <c r="D849" s="136" t="str">
        <f ca="1">IFERROR(__xludf.DUMMYFUNCTION("""COMPUTED_VALUE"""),"pack")</f>
        <v>pack</v>
      </c>
      <c r="E849" s="136"/>
      <c r="F849" s="136"/>
      <c r="G849" s="136"/>
      <c r="H849" s="136"/>
      <c r="I849" s="136"/>
      <c r="J849" s="136"/>
      <c r="K849" s="136"/>
      <c r="L849" s="136"/>
      <c r="M849" s="136"/>
      <c r="N849" s="136"/>
      <c r="O849" s="136"/>
      <c r="P849" s="136"/>
      <c r="Q849" s="136"/>
      <c r="R849" s="136"/>
      <c r="S849" s="136"/>
      <c r="T849" s="136"/>
      <c r="U849" s="136"/>
      <c r="V849" s="136"/>
      <c r="W849" s="136"/>
      <c r="X849" s="137" t="s">
        <v>101</v>
      </c>
      <c r="Y849" s="164" t="str">
        <f t="shared" ca="1" si="1"/>
        <v>White Nylon Cable Tie 3.6 x 300mm 100pcs/pack</v>
      </c>
      <c r="Z849" s="154"/>
      <c r="AA849" s="136"/>
      <c r="AB849" s="136"/>
      <c r="AC849" s="139"/>
      <c r="AD849" s="139"/>
      <c r="AE849" s="139"/>
      <c r="AF849" s="139"/>
    </row>
    <row r="850" spans="1:32" ht="25.5">
      <c r="A850" s="134" t="e">
        <f ca="1"/>
        <v>#NAME?</v>
      </c>
      <c r="B850" s="135" t="str">
        <f ca="1">IFERROR(__xludf.DUMMYFUNCTION("""COMPUTED_VALUE"""),"White Nylon Cable Tie 4.8 x 200mm 100pcs/pack")</f>
        <v>White Nylon Cable Tie 4.8 x 200mm 100pcs/pack</v>
      </c>
      <c r="C850" s="136">
        <f ca="1">IFERROR(__xludf.DUMMYFUNCTION("""COMPUTED_VALUE"""),30)</f>
        <v>30</v>
      </c>
      <c r="D850" s="136" t="str">
        <f ca="1">IFERROR(__xludf.DUMMYFUNCTION("""COMPUTED_VALUE"""),"pack")</f>
        <v>pack</v>
      </c>
      <c r="E850" s="136"/>
      <c r="F850" s="136"/>
      <c r="G850" s="136"/>
      <c r="H850" s="136"/>
      <c r="I850" s="136"/>
      <c r="J850" s="136"/>
      <c r="K850" s="136"/>
      <c r="L850" s="136"/>
      <c r="M850" s="136"/>
      <c r="N850" s="136"/>
      <c r="O850" s="136"/>
      <c r="P850" s="136"/>
      <c r="Q850" s="136"/>
      <c r="R850" s="136"/>
      <c r="S850" s="136"/>
      <c r="T850" s="136"/>
      <c r="U850" s="136"/>
      <c r="V850" s="136"/>
      <c r="W850" s="136"/>
      <c r="X850" s="137" t="s">
        <v>101</v>
      </c>
      <c r="Y850" s="164" t="str">
        <f t="shared" ca="1" si="1"/>
        <v>White Nylon Cable Tie 4.8 x 200mm 100pcs/pack</v>
      </c>
      <c r="Z850" s="154"/>
      <c r="AA850" s="136"/>
      <c r="AB850" s="136"/>
      <c r="AC850" s="139"/>
      <c r="AD850" s="139"/>
      <c r="AE850" s="139"/>
      <c r="AF850" s="139"/>
    </row>
    <row r="851" spans="1:32" ht="25.5">
      <c r="A851" s="134" t="e">
        <f ca="1"/>
        <v>#NAME?</v>
      </c>
      <c r="B851" s="135" t="str">
        <f ca="1">IFERROR(__xludf.DUMMYFUNCTION("""COMPUTED_VALUE"""),"White Nylon Cable Tie 4.8 x 250mm 100pcs/pack")</f>
        <v>White Nylon Cable Tie 4.8 x 250mm 100pcs/pack</v>
      </c>
      <c r="C851" s="136">
        <f ca="1">IFERROR(__xludf.DUMMYFUNCTION("""COMPUTED_VALUE"""),10)</f>
        <v>10</v>
      </c>
      <c r="D851" s="136" t="str">
        <f ca="1">IFERROR(__xludf.DUMMYFUNCTION("""COMPUTED_VALUE"""),"pack")</f>
        <v>pack</v>
      </c>
      <c r="E851" s="136"/>
      <c r="F851" s="136"/>
      <c r="G851" s="136"/>
      <c r="H851" s="136"/>
      <c r="I851" s="136"/>
      <c r="J851" s="136"/>
      <c r="K851" s="136"/>
      <c r="L851" s="136"/>
      <c r="M851" s="136"/>
      <c r="N851" s="136"/>
      <c r="O851" s="136"/>
      <c r="P851" s="136"/>
      <c r="Q851" s="136"/>
      <c r="R851" s="136"/>
      <c r="S851" s="136"/>
      <c r="T851" s="136"/>
      <c r="U851" s="136"/>
      <c r="V851" s="136"/>
      <c r="W851" s="136"/>
      <c r="X851" s="137" t="s">
        <v>101</v>
      </c>
      <c r="Y851" s="164" t="str">
        <f t="shared" ca="1" si="1"/>
        <v>White Nylon Cable Tie 4.8 x 250mm 100pcs/pack</v>
      </c>
      <c r="Z851" s="154"/>
      <c r="AA851" s="136"/>
      <c r="AB851" s="136"/>
      <c r="AC851" s="139"/>
      <c r="AD851" s="139"/>
      <c r="AE851" s="139"/>
      <c r="AF851" s="139"/>
    </row>
    <row r="852" spans="1:32" ht="25.5">
      <c r="A852" s="134" t="e">
        <f ca="1"/>
        <v>#NAME?</v>
      </c>
      <c r="B852" s="135" t="str">
        <f ca="1">IFERROR(__xludf.DUMMYFUNCTION("""COMPUTED_VALUE"""),"White Nylon Cable Tie 4.8 x 300mm 100pcs/pack")</f>
        <v>White Nylon Cable Tie 4.8 x 300mm 100pcs/pack</v>
      </c>
      <c r="C852" s="136">
        <f ca="1">IFERROR(__xludf.DUMMYFUNCTION("""COMPUTED_VALUE"""),10)</f>
        <v>10</v>
      </c>
      <c r="D852" s="136" t="str">
        <f ca="1">IFERROR(__xludf.DUMMYFUNCTION("""COMPUTED_VALUE"""),"pack")</f>
        <v>pack</v>
      </c>
      <c r="E852" s="136"/>
      <c r="F852" s="136"/>
      <c r="G852" s="136"/>
      <c r="H852" s="136"/>
      <c r="I852" s="136"/>
      <c r="J852" s="136"/>
      <c r="K852" s="136"/>
      <c r="L852" s="136"/>
      <c r="M852" s="136"/>
      <c r="N852" s="136"/>
      <c r="O852" s="136"/>
      <c r="P852" s="136"/>
      <c r="Q852" s="136"/>
      <c r="R852" s="136"/>
      <c r="S852" s="136"/>
      <c r="T852" s="136"/>
      <c r="U852" s="136"/>
      <c r="V852" s="136"/>
      <c r="W852" s="136"/>
      <c r="X852" s="137" t="s">
        <v>101</v>
      </c>
      <c r="Y852" s="164" t="str">
        <f t="shared" ca="1" si="1"/>
        <v>White Nylon Cable Tie 4.8 x 300mm 100pcs/pack</v>
      </c>
      <c r="Z852" s="154"/>
      <c r="AA852" s="136"/>
      <c r="AB852" s="136"/>
      <c r="AC852" s="139"/>
      <c r="AD852" s="139"/>
      <c r="AE852" s="139"/>
      <c r="AF852" s="139"/>
    </row>
    <row r="853" spans="1:32" ht="25.5">
      <c r="A853" s="134" t="e">
        <f ca="1"/>
        <v>#NAME?</v>
      </c>
      <c r="B853" s="135" t="str">
        <f ca="1">IFERROR(__xludf.DUMMYFUNCTION("""COMPUTED_VALUE"""),"White Nylon Cable Tie 4.8 x 400mm 100pcs/pack")</f>
        <v>White Nylon Cable Tie 4.8 x 400mm 100pcs/pack</v>
      </c>
      <c r="C853" s="136">
        <f ca="1">IFERROR(__xludf.DUMMYFUNCTION("""COMPUTED_VALUE"""),10)</f>
        <v>10</v>
      </c>
      <c r="D853" s="136" t="str">
        <f ca="1">IFERROR(__xludf.DUMMYFUNCTION("""COMPUTED_VALUE"""),"pack")</f>
        <v>pack</v>
      </c>
      <c r="E853" s="136"/>
      <c r="F853" s="136"/>
      <c r="G853" s="136"/>
      <c r="H853" s="136"/>
      <c r="I853" s="136"/>
      <c r="J853" s="136"/>
      <c r="K853" s="136"/>
      <c r="L853" s="136"/>
      <c r="M853" s="136"/>
      <c r="N853" s="136"/>
      <c r="O853" s="136"/>
      <c r="P853" s="136"/>
      <c r="Q853" s="136"/>
      <c r="R853" s="136"/>
      <c r="S853" s="136"/>
      <c r="T853" s="136"/>
      <c r="U853" s="136"/>
      <c r="V853" s="136"/>
      <c r="W853" s="136"/>
      <c r="X853" s="137" t="s">
        <v>101</v>
      </c>
      <c r="Y853" s="164" t="str">
        <f t="shared" ca="1" si="1"/>
        <v>White Nylon Cable Tie 4.8 x 400mm 100pcs/pack</v>
      </c>
      <c r="Z853" s="154"/>
      <c r="AA853" s="136"/>
      <c r="AB853" s="136"/>
      <c r="AC853" s="139"/>
      <c r="AD853" s="139"/>
      <c r="AE853" s="139"/>
      <c r="AF853" s="139"/>
    </row>
    <row r="854" spans="1:32" ht="12.75">
      <c r="A854" s="134" t="e">
        <f ca="1"/>
        <v>#NAME?</v>
      </c>
      <c r="B854" s="135" t="str">
        <f ca="1">IFERROR(__xludf.DUMMYFUNCTION("""COMPUTED_VALUE"""),"WiFi 6 Access Point Dual-band ")</f>
        <v xml:space="preserve">WiFi 6 Access Point Dual-band </v>
      </c>
      <c r="C854" s="136">
        <f ca="1">IFERROR(__xludf.DUMMYFUNCTION("""COMPUTED_VALUE"""),40)</f>
        <v>40</v>
      </c>
      <c r="D854" s="136" t="str">
        <f ca="1">IFERROR(__xludf.DUMMYFUNCTION("""COMPUTED_VALUE"""),"pc")</f>
        <v>pc</v>
      </c>
      <c r="E854" s="136"/>
      <c r="F854" s="136"/>
      <c r="G854" s="136"/>
      <c r="H854" s="136"/>
      <c r="I854" s="136"/>
      <c r="J854" s="136"/>
      <c r="K854" s="136"/>
      <c r="L854" s="136"/>
      <c r="M854" s="136"/>
      <c r="N854" s="136"/>
      <c r="O854" s="136"/>
      <c r="P854" s="136"/>
      <c r="Q854" s="136"/>
      <c r="R854" s="136"/>
      <c r="S854" s="136"/>
      <c r="T854" s="136"/>
      <c r="U854" s="136"/>
      <c r="V854" s="136"/>
      <c r="W854" s="136"/>
      <c r="X854" s="137" t="s">
        <v>101</v>
      </c>
      <c r="Y854" s="164" t="str">
        <f t="shared" ca="1" si="1"/>
        <v xml:space="preserve">WiFi 6 Access Point Dual-band </v>
      </c>
      <c r="Z854" s="154"/>
      <c r="AA854" s="136"/>
      <c r="AB854" s="136"/>
      <c r="AC854" s="139"/>
      <c r="AD854" s="139"/>
      <c r="AE854" s="139"/>
      <c r="AF854" s="139"/>
    </row>
    <row r="855" spans="1:32" ht="12.75">
      <c r="A855" s="134" t="e">
        <f ca="1"/>
        <v>#NAME?</v>
      </c>
      <c r="B855" s="135" t="str">
        <f ca="1">IFERROR(__xludf.DUMMYFUNCTION("""COMPUTED_VALUE"""),"Wired USB Numeric Keypad (Black)")</f>
        <v>Wired USB Numeric Keypad (Black)</v>
      </c>
      <c r="C855" s="136">
        <f ca="1">IFERROR(__xludf.DUMMYFUNCTION("""COMPUTED_VALUE"""),10)</f>
        <v>10</v>
      </c>
      <c r="D855" s="136" t="str">
        <f ca="1">IFERROR(__xludf.DUMMYFUNCTION("""COMPUTED_VALUE"""),"pc")</f>
        <v>pc</v>
      </c>
      <c r="E855" s="136"/>
      <c r="F855" s="136"/>
      <c r="G855" s="136"/>
      <c r="H855" s="136"/>
      <c r="I855" s="136"/>
      <c r="J855" s="136"/>
      <c r="K855" s="136"/>
      <c r="L855" s="136"/>
      <c r="M855" s="136"/>
      <c r="N855" s="136"/>
      <c r="O855" s="136"/>
      <c r="P855" s="136"/>
      <c r="Q855" s="136"/>
      <c r="R855" s="136"/>
      <c r="S855" s="136"/>
      <c r="T855" s="136"/>
      <c r="U855" s="136"/>
      <c r="V855" s="136"/>
      <c r="W855" s="136"/>
      <c r="X855" s="137" t="s">
        <v>101</v>
      </c>
      <c r="Y855" s="164" t="str">
        <f t="shared" ca="1" si="1"/>
        <v>Wired USB Numeric Keypad (Black)</v>
      </c>
      <c r="Z855" s="154"/>
      <c r="AA855" s="136"/>
      <c r="AB855" s="136"/>
      <c r="AC855" s="139"/>
      <c r="AD855" s="139"/>
      <c r="AE855" s="139"/>
      <c r="AF855" s="139"/>
    </row>
    <row r="856" spans="1:32" ht="12.75">
      <c r="A856" s="134"/>
      <c r="B856" s="135"/>
      <c r="C856" s="136"/>
      <c r="D856" s="136"/>
      <c r="E856" s="136"/>
      <c r="F856" s="136"/>
      <c r="G856" s="136"/>
      <c r="H856" s="136"/>
      <c r="I856" s="136"/>
      <c r="J856" s="136"/>
      <c r="K856" s="136"/>
      <c r="L856" s="136"/>
      <c r="M856" s="136"/>
      <c r="N856" s="136"/>
      <c r="O856" s="136"/>
      <c r="P856" s="136"/>
      <c r="Q856" s="136"/>
      <c r="R856" s="136"/>
      <c r="S856" s="136"/>
      <c r="T856" s="136"/>
      <c r="U856" s="136"/>
      <c r="V856" s="136"/>
      <c r="W856" s="136"/>
      <c r="X856" s="137"/>
      <c r="Y856" s="274"/>
      <c r="Z856" s="154"/>
      <c r="AA856" s="136"/>
      <c r="AB856" s="136"/>
      <c r="AC856" s="139"/>
      <c r="AD856" s="139"/>
      <c r="AE856" s="139"/>
      <c r="AF856" s="139"/>
    </row>
    <row r="857" spans="1:32" ht="12.75">
      <c r="A857" s="134"/>
      <c r="B857" s="135"/>
      <c r="C857" s="136"/>
      <c r="D857" s="136"/>
      <c r="E857" s="136"/>
      <c r="F857" s="136"/>
      <c r="G857" s="136"/>
      <c r="H857" s="136"/>
      <c r="I857" s="136"/>
      <c r="J857" s="136"/>
      <c r="K857" s="136"/>
      <c r="L857" s="136"/>
      <c r="M857" s="136"/>
      <c r="N857" s="136"/>
      <c r="O857" s="136"/>
      <c r="P857" s="136"/>
      <c r="Q857" s="136"/>
      <c r="R857" s="136"/>
      <c r="S857" s="136"/>
      <c r="T857" s="136"/>
      <c r="U857" s="136"/>
      <c r="V857" s="136"/>
      <c r="W857" s="136"/>
      <c r="X857" s="137"/>
      <c r="Y857" s="274"/>
      <c r="Z857" s="154"/>
      <c r="AA857" s="136"/>
      <c r="AB857" s="136"/>
      <c r="AC857" s="139"/>
      <c r="AD857" s="139"/>
      <c r="AE857" s="139"/>
      <c r="AF857" s="139"/>
    </row>
    <row r="858" spans="1:32" ht="12.75">
      <c r="A858" s="134"/>
      <c r="B858" s="135"/>
      <c r="C858" s="136"/>
      <c r="D858" s="136"/>
      <c r="E858" s="136"/>
      <c r="F858" s="136"/>
      <c r="G858" s="136"/>
      <c r="H858" s="136"/>
      <c r="I858" s="136"/>
      <c r="J858" s="136"/>
      <c r="K858" s="136"/>
      <c r="L858" s="136"/>
      <c r="M858" s="136"/>
      <c r="N858" s="136"/>
      <c r="O858" s="136"/>
      <c r="P858" s="136"/>
      <c r="Q858" s="136"/>
      <c r="R858" s="136"/>
      <c r="S858" s="136"/>
      <c r="T858" s="136"/>
      <c r="U858" s="136"/>
      <c r="V858" s="136"/>
      <c r="W858" s="136"/>
      <c r="X858" s="137"/>
      <c r="Y858" s="274"/>
      <c r="Z858" s="154"/>
      <c r="AA858" s="136"/>
      <c r="AB858" s="136"/>
      <c r="AC858" s="139"/>
      <c r="AD858" s="139"/>
      <c r="AE858" s="139"/>
      <c r="AF858" s="139"/>
    </row>
    <row r="859" spans="1:32" ht="12.75">
      <c r="A859" s="134"/>
      <c r="B859" s="135"/>
      <c r="C859" s="136"/>
      <c r="D859" s="136"/>
      <c r="E859" s="136"/>
      <c r="F859" s="136"/>
      <c r="G859" s="136"/>
      <c r="H859" s="136"/>
      <c r="I859" s="136"/>
      <c r="J859" s="136"/>
      <c r="K859" s="136"/>
      <c r="L859" s="136"/>
      <c r="M859" s="136"/>
      <c r="N859" s="136"/>
      <c r="O859" s="136"/>
      <c r="P859" s="136"/>
      <c r="Q859" s="136"/>
      <c r="R859" s="136"/>
      <c r="S859" s="136"/>
      <c r="T859" s="136"/>
      <c r="U859" s="136"/>
      <c r="V859" s="136"/>
      <c r="W859" s="136"/>
      <c r="X859" s="137"/>
      <c r="Y859" s="274"/>
      <c r="Z859" s="154"/>
      <c r="AA859" s="136"/>
      <c r="AB859" s="136"/>
      <c r="AC859" s="139"/>
      <c r="AD859" s="139"/>
      <c r="AE859" s="139"/>
      <c r="AF859" s="139"/>
    </row>
    <row r="860" spans="1:32" ht="12.75">
      <c r="A860" s="134"/>
      <c r="B860" s="135"/>
      <c r="C860" s="136"/>
      <c r="D860" s="136"/>
      <c r="E860" s="136"/>
      <c r="F860" s="136"/>
      <c r="G860" s="136"/>
      <c r="H860" s="136"/>
      <c r="I860" s="136"/>
      <c r="J860" s="136"/>
      <c r="K860" s="136"/>
      <c r="L860" s="136"/>
      <c r="M860" s="136"/>
      <c r="N860" s="136"/>
      <c r="O860" s="136"/>
      <c r="P860" s="136"/>
      <c r="Q860" s="136"/>
      <c r="R860" s="136"/>
      <c r="S860" s="136"/>
      <c r="T860" s="136"/>
      <c r="U860" s="136"/>
      <c r="V860" s="136"/>
      <c r="W860" s="136"/>
      <c r="X860" s="137"/>
      <c r="Y860" s="274"/>
      <c r="Z860" s="154"/>
      <c r="AA860" s="136"/>
      <c r="AB860" s="136"/>
      <c r="AC860" s="139"/>
      <c r="AD860" s="139"/>
      <c r="AE860" s="139"/>
      <c r="AF860" s="139"/>
    </row>
    <row r="861" spans="1:32" ht="12.75">
      <c r="A861" s="134"/>
      <c r="B861" s="135"/>
      <c r="C861" s="136"/>
      <c r="D861" s="136"/>
      <c r="E861" s="136"/>
      <c r="F861" s="136"/>
      <c r="G861" s="136"/>
      <c r="H861" s="136"/>
      <c r="I861" s="136"/>
      <c r="J861" s="136"/>
      <c r="K861" s="136"/>
      <c r="L861" s="136"/>
      <c r="M861" s="136"/>
      <c r="N861" s="136"/>
      <c r="O861" s="136"/>
      <c r="P861" s="136"/>
      <c r="Q861" s="136"/>
      <c r="R861" s="136"/>
      <c r="S861" s="136"/>
      <c r="T861" s="136"/>
      <c r="U861" s="136"/>
      <c r="V861" s="136"/>
      <c r="W861" s="136"/>
      <c r="X861" s="137"/>
      <c r="Y861" s="274"/>
      <c r="Z861" s="154"/>
      <c r="AA861" s="136"/>
      <c r="AB861" s="136"/>
      <c r="AC861" s="139"/>
      <c r="AD861" s="139"/>
      <c r="AE861" s="139"/>
      <c r="AF861" s="139"/>
    </row>
    <row r="862" spans="1:32" ht="12.75">
      <c r="A862" s="134"/>
      <c r="B862" s="135"/>
      <c r="C862" s="136"/>
      <c r="D862" s="136"/>
      <c r="E862" s="136"/>
      <c r="F862" s="136"/>
      <c r="G862" s="136"/>
      <c r="H862" s="136"/>
      <c r="I862" s="136"/>
      <c r="J862" s="136"/>
      <c r="K862" s="136"/>
      <c r="L862" s="136"/>
      <c r="M862" s="136"/>
      <c r="N862" s="136"/>
      <c r="O862" s="136"/>
      <c r="P862" s="136"/>
      <c r="Q862" s="136"/>
      <c r="R862" s="136"/>
      <c r="S862" s="136"/>
      <c r="T862" s="136"/>
      <c r="U862" s="136"/>
      <c r="V862" s="136"/>
      <c r="W862" s="136"/>
      <c r="X862" s="137"/>
      <c r="Y862" s="274"/>
      <c r="Z862" s="154"/>
      <c r="AA862" s="136"/>
      <c r="AB862" s="136"/>
      <c r="AC862" s="139"/>
      <c r="AD862" s="139"/>
      <c r="AE862" s="139"/>
      <c r="AF862" s="139"/>
    </row>
    <row r="863" spans="1:32" ht="12.75">
      <c r="A863" s="134"/>
      <c r="B863" s="135"/>
      <c r="C863" s="136"/>
      <c r="D863" s="136"/>
      <c r="E863" s="136"/>
      <c r="F863" s="136"/>
      <c r="G863" s="136"/>
      <c r="H863" s="136"/>
      <c r="I863" s="136"/>
      <c r="J863" s="136"/>
      <c r="K863" s="136"/>
      <c r="L863" s="136"/>
      <c r="M863" s="136"/>
      <c r="N863" s="136"/>
      <c r="O863" s="136"/>
      <c r="P863" s="136"/>
      <c r="Q863" s="136"/>
      <c r="R863" s="136"/>
      <c r="S863" s="136"/>
      <c r="T863" s="136"/>
      <c r="U863" s="136"/>
      <c r="V863" s="136"/>
      <c r="W863" s="136"/>
      <c r="X863" s="137"/>
      <c r="Y863" s="274"/>
      <c r="Z863" s="154"/>
      <c r="AA863" s="136"/>
      <c r="AB863" s="136"/>
      <c r="AC863" s="139"/>
      <c r="AD863" s="139"/>
      <c r="AE863" s="139"/>
      <c r="AF863" s="139"/>
    </row>
    <row r="864" spans="1:32" ht="12.75">
      <c r="A864" s="134"/>
      <c r="B864" s="135"/>
      <c r="C864" s="136"/>
      <c r="D864" s="136"/>
      <c r="E864" s="136"/>
      <c r="F864" s="136"/>
      <c r="G864" s="136"/>
      <c r="H864" s="136"/>
      <c r="I864" s="136"/>
      <c r="J864" s="136"/>
      <c r="K864" s="136"/>
      <c r="L864" s="136"/>
      <c r="M864" s="136"/>
      <c r="N864" s="136"/>
      <c r="O864" s="136"/>
      <c r="P864" s="136"/>
      <c r="Q864" s="136"/>
      <c r="R864" s="136"/>
      <c r="S864" s="136"/>
      <c r="T864" s="136"/>
      <c r="U864" s="136"/>
      <c r="V864" s="136"/>
      <c r="W864" s="136"/>
      <c r="X864" s="137"/>
      <c r="Y864" s="274"/>
      <c r="Z864" s="154"/>
      <c r="AA864" s="136"/>
      <c r="AB864" s="136"/>
      <c r="AC864" s="139"/>
      <c r="AD864" s="139"/>
      <c r="AE864" s="139"/>
      <c r="AF864" s="139"/>
    </row>
    <row r="865" spans="1:32" ht="12.75">
      <c r="A865" s="134"/>
      <c r="B865" s="135"/>
      <c r="C865" s="136"/>
      <c r="D865" s="136"/>
      <c r="E865" s="136"/>
      <c r="F865" s="136"/>
      <c r="G865" s="136"/>
      <c r="H865" s="136"/>
      <c r="I865" s="136"/>
      <c r="J865" s="136"/>
      <c r="K865" s="136"/>
      <c r="L865" s="136"/>
      <c r="M865" s="136"/>
      <c r="N865" s="136"/>
      <c r="O865" s="136"/>
      <c r="P865" s="136"/>
      <c r="Q865" s="136"/>
      <c r="R865" s="136"/>
      <c r="S865" s="136"/>
      <c r="T865" s="136"/>
      <c r="U865" s="136"/>
      <c r="V865" s="136"/>
      <c r="W865" s="136"/>
      <c r="X865" s="137"/>
      <c r="Y865" s="274"/>
      <c r="Z865" s="154"/>
      <c r="AA865" s="136"/>
      <c r="AB865" s="136"/>
      <c r="AC865" s="139"/>
      <c r="AD865" s="139"/>
      <c r="AE865" s="139"/>
      <c r="AF865" s="139"/>
    </row>
    <row r="866" spans="1:32" ht="12.75">
      <c r="A866" s="134"/>
      <c r="B866" s="135"/>
      <c r="C866" s="136"/>
      <c r="D866" s="136"/>
      <c r="E866" s="136"/>
      <c r="F866" s="136"/>
      <c r="G866" s="136"/>
      <c r="H866" s="136"/>
      <c r="I866" s="136"/>
      <c r="J866" s="136"/>
      <c r="K866" s="136"/>
      <c r="L866" s="136"/>
      <c r="M866" s="136"/>
      <c r="N866" s="136"/>
      <c r="O866" s="136"/>
      <c r="P866" s="136"/>
      <c r="Q866" s="136"/>
      <c r="R866" s="136"/>
      <c r="S866" s="136"/>
      <c r="T866" s="136"/>
      <c r="U866" s="136"/>
      <c r="V866" s="136"/>
      <c r="W866" s="136"/>
      <c r="X866" s="137"/>
      <c r="Y866" s="274"/>
      <c r="Z866" s="154"/>
      <c r="AA866" s="136"/>
      <c r="AB866" s="136"/>
      <c r="AC866" s="139"/>
      <c r="AD866" s="139"/>
      <c r="AE866" s="139"/>
      <c r="AF866" s="139"/>
    </row>
    <row r="867" spans="1:32" ht="12.75">
      <c r="A867" s="134"/>
      <c r="B867" s="135"/>
      <c r="C867" s="136"/>
      <c r="D867" s="136"/>
      <c r="E867" s="136"/>
      <c r="F867" s="136"/>
      <c r="G867" s="136"/>
      <c r="H867" s="136"/>
      <c r="I867" s="136"/>
      <c r="J867" s="136"/>
      <c r="K867" s="136"/>
      <c r="L867" s="136"/>
      <c r="M867" s="136"/>
      <c r="N867" s="136"/>
      <c r="O867" s="136"/>
      <c r="P867" s="136"/>
      <c r="Q867" s="136"/>
      <c r="R867" s="136"/>
      <c r="S867" s="136"/>
      <c r="T867" s="136"/>
      <c r="U867" s="136"/>
      <c r="V867" s="136"/>
      <c r="W867" s="136"/>
      <c r="X867" s="137"/>
      <c r="Y867" s="274"/>
      <c r="Z867" s="154"/>
      <c r="AA867" s="136"/>
      <c r="AB867" s="136"/>
      <c r="AC867" s="139"/>
      <c r="AD867" s="139"/>
      <c r="AE867" s="139"/>
      <c r="AF867" s="139"/>
    </row>
    <row r="868" spans="1:32" ht="12.75">
      <c r="A868" s="134"/>
      <c r="B868" s="135"/>
      <c r="C868" s="136"/>
      <c r="D868" s="136"/>
      <c r="E868" s="136"/>
      <c r="F868" s="136"/>
      <c r="G868" s="136"/>
      <c r="H868" s="136"/>
      <c r="I868" s="136"/>
      <c r="J868" s="136"/>
      <c r="K868" s="136"/>
      <c r="L868" s="136"/>
      <c r="M868" s="136"/>
      <c r="N868" s="136"/>
      <c r="O868" s="136"/>
      <c r="P868" s="136"/>
      <c r="Q868" s="136"/>
      <c r="R868" s="136"/>
      <c r="S868" s="136"/>
      <c r="T868" s="136"/>
      <c r="U868" s="136"/>
      <c r="V868" s="136"/>
      <c r="W868" s="136"/>
      <c r="X868" s="137"/>
      <c r="Y868" s="274"/>
      <c r="Z868" s="154"/>
      <c r="AA868" s="136"/>
      <c r="AB868" s="136"/>
      <c r="AC868" s="139"/>
      <c r="AD868" s="139"/>
      <c r="AE868" s="139"/>
      <c r="AF868" s="139"/>
    </row>
    <row r="869" spans="1:32" ht="12.75">
      <c r="A869" s="134"/>
      <c r="B869" s="135"/>
      <c r="C869" s="136"/>
      <c r="D869" s="136"/>
      <c r="E869" s="136"/>
      <c r="F869" s="136"/>
      <c r="G869" s="136"/>
      <c r="H869" s="136"/>
      <c r="I869" s="136"/>
      <c r="J869" s="136"/>
      <c r="K869" s="136"/>
      <c r="L869" s="136"/>
      <c r="M869" s="136"/>
      <c r="N869" s="136"/>
      <c r="O869" s="136"/>
      <c r="P869" s="136"/>
      <c r="Q869" s="136"/>
      <c r="R869" s="136"/>
      <c r="S869" s="136"/>
      <c r="T869" s="136"/>
      <c r="U869" s="136"/>
      <c r="V869" s="136"/>
      <c r="W869" s="136"/>
      <c r="X869" s="137"/>
      <c r="Y869" s="274"/>
      <c r="Z869" s="154"/>
      <c r="AA869" s="136"/>
      <c r="AB869" s="136"/>
      <c r="AC869" s="139"/>
      <c r="AD869" s="139"/>
      <c r="AE869" s="139"/>
      <c r="AF869" s="139"/>
    </row>
    <row r="870" spans="1:32" ht="12.75">
      <c r="A870" s="134"/>
      <c r="B870" s="135"/>
      <c r="C870" s="136"/>
      <c r="D870" s="136"/>
      <c r="E870" s="136"/>
      <c r="F870" s="136"/>
      <c r="G870" s="136"/>
      <c r="H870" s="136"/>
      <c r="I870" s="136"/>
      <c r="J870" s="136"/>
      <c r="K870" s="136"/>
      <c r="L870" s="136"/>
      <c r="M870" s="136"/>
      <c r="N870" s="136"/>
      <c r="O870" s="136"/>
      <c r="P870" s="136"/>
      <c r="Q870" s="136"/>
      <c r="R870" s="136"/>
      <c r="S870" s="136"/>
      <c r="T870" s="136"/>
      <c r="U870" s="136"/>
      <c r="V870" s="136"/>
      <c r="W870" s="136"/>
      <c r="X870" s="137"/>
      <c r="Y870" s="274"/>
      <c r="Z870" s="154"/>
      <c r="AA870" s="136"/>
      <c r="AB870" s="136"/>
      <c r="AC870" s="139"/>
      <c r="AD870" s="139"/>
      <c r="AE870" s="139"/>
      <c r="AF870" s="139"/>
    </row>
    <row r="871" spans="1:32" ht="12.75">
      <c r="A871" s="134"/>
      <c r="B871" s="135"/>
      <c r="C871" s="136"/>
      <c r="D871" s="136"/>
      <c r="E871" s="136"/>
      <c r="F871" s="136"/>
      <c r="G871" s="136"/>
      <c r="H871" s="136"/>
      <c r="I871" s="136"/>
      <c r="J871" s="136"/>
      <c r="K871" s="136"/>
      <c r="L871" s="136"/>
      <c r="M871" s="136"/>
      <c r="N871" s="136"/>
      <c r="O871" s="136"/>
      <c r="P871" s="136"/>
      <c r="Q871" s="136"/>
      <c r="R871" s="136"/>
      <c r="S871" s="136"/>
      <c r="T871" s="136"/>
      <c r="U871" s="136"/>
      <c r="V871" s="136"/>
      <c r="W871" s="136"/>
      <c r="X871" s="137"/>
      <c r="Y871" s="274"/>
      <c r="Z871" s="154"/>
      <c r="AA871" s="136"/>
      <c r="AB871" s="136"/>
      <c r="AC871" s="139"/>
      <c r="AD871" s="139"/>
      <c r="AE871" s="139"/>
      <c r="AF871" s="139"/>
    </row>
    <row r="872" spans="1:32" ht="12.75">
      <c r="A872" s="134"/>
      <c r="B872" s="135"/>
      <c r="C872" s="136"/>
      <c r="D872" s="136"/>
      <c r="E872" s="136"/>
      <c r="F872" s="136"/>
      <c r="G872" s="136"/>
      <c r="H872" s="136"/>
      <c r="I872" s="136"/>
      <c r="J872" s="136"/>
      <c r="K872" s="136"/>
      <c r="L872" s="136"/>
      <c r="M872" s="136"/>
      <c r="N872" s="136"/>
      <c r="O872" s="136"/>
      <c r="P872" s="136"/>
      <c r="Q872" s="136"/>
      <c r="R872" s="136"/>
      <c r="S872" s="136"/>
      <c r="T872" s="136"/>
      <c r="U872" s="136"/>
      <c r="V872" s="136"/>
      <c r="W872" s="136"/>
      <c r="X872" s="137"/>
      <c r="Y872" s="274"/>
      <c r="Z872" s="154"/>
      <c r="AA872" s="136"/>
      <c r="AB872" s="136"/>
      <c r="AC872" s="139"/>
      <c r="AD872" s="139"/>
      <c r="AE872" s="139"/>
      <c r="AF872" s="139"/>
    </row>
    <row r="873" spans="1:32" ht="12.75">
      <c r="A873" s="134"/>
      <c r="B873" s="135"/>
      <c r="C873" s="136"/>
      <c r="D873" s="136"/>
      <c r="E873" s="136"/>
      <c r="F873" s="136"/>
      <c r="G873" s="136"/>
      <c r="H873" s="136"/>
      <c r="I873" s="136"/>
      <c r="J873" s="136"/>
      <c r="K873" s="136"/>
      <c r="L873" s="136"/>
      <c r="M873" s="136"/>
      <c r="N873" s="136"/>
      <c r="O873" s="136"/>
      <c r="P873" s="136"/>
      <c r="Q873" s="136"/>
      <c r="R873" s="136"/>
      <c r="S873" s="136"/>
      <c r="T873" s="136"/>
      <c r="U873" s="136"/>
      <c r="V873" s="136"/>
      <c r="W873" s="136"/>
      <c r="X873" s="137"/>
      <c r="Y873" s="274"/>
      <c r="Z873" s="154"/>
      <c r="AA873" s="136"/>
      <c r="AB873" s="136"/>
      <c r="AC873" s="139"/>
      <c r="AD873" s="139"/>
      <c r="AE873" s="139"/>
      <c r="AF873" s="139"/>
    </row>
    <row r="874" spans="1:32" ht="12.75">
      <c r="A874" s="134"/>
      <c r="B874" s="135"/>
      <c r="C874" s="136"/>
      <c r="D874" s="136"/>
      <c r="E874" s="136"/>
      <c r="F874" s="136"/>
      <c r="G874" s="136"/>
      <c r="H874" s="136"/>
      <c r="I874" s="136"/>
      <c r="J874" s="136"/>
      <c r="K874" s="136"/>
      <c r="L874" s="136"/>
      <c r="M874" s="136"/>
      <c r="N874" s="136"/>
      <c r="O874" s="136"/>
      <c r="P874" s="136"/>
      <c r="Q874" s="136"/>
      <c r="R874" s="136"/>
      <c r="S874" s="136"/>
      <c r="T874" s="136"/>
      <c r="U874" s="136"/>
      <c r="V874" s="136"/>
      <c r="W874" s="136"/>
      <c r="X874" s="137"/>
      <c r="Y874" s="274"/>
      <c r="Z874" s="154"/>
      <c r="AA874" s="136"/>
      <c r="AB874" s="136"/>
      <c r="AC874" s="139"/>
      <c r="AD874" s="139"/>
      <c r="AE874" s="139"/>
      <c r="AF874" s="139"/>
    </row>
    <row r="875" spans="1:32" ht="12.75">
      <c r="A875" s="134"/>
      <c r="B875" s="135"/>
      <c r="C875" s="136"/>
      <c r="D875" s="136"/>
      <c r="E875" s="136"/>
      <c r="F875" s="136"/>
      <c r="G875" s="136"/>
      <c r="H875" s="136"/>
      <c r="I875" s="136"/>
      <c r="J875" s="136"/>
      <c r="K875" s="136"/>
      <c r="L875" s="136"/>
      <c r="M875" s="136"/>
      <c r="N875" s="136"/>
      <c r="O875" s="136"/>
      <c r="P875" s="136"/>
      <c r="Q875" s="136"/>
      <c r="R875" s="136"/>
      <c r="S875" s="136"/>
      <c r="T875" s="136"/>
      <c r="U875" s="136"/>
      <c r="V875" s="136"/>
      <c r="W875" s="136"/>
      <c r="X875" s="137"/>
      <c r="Y875" s="274"/>
      <c r="Z875" s="154"/>
      <c r="AA875" s="136"/>
      <c r="AB875" s="136"/>
      <c r="AC875" s="139"/>
      <c r="AD875" s="139"/>
      <c r="AE875" s="139"/>
      <c r="AF875" s="139"/>
    </row>
    <row r="876" spans="1:32" ht="12.75">
      <c r="A876" s="134"/>
      <c r="B876" s="135"/>
      <c r="C876" s="136"/>
      <c r="D876" s="136"/>
      <c r="E876" s="136"/>
      <c r="F876" s="136"/>
      <c r="G876" s="136"/>
      <c r="H876" s="136"/>
      <c r="I876" s="136"/>
      <c r="J876" s="136"/>
      <c r="K876" s="136"/>
      <c r="L876" s="136"/>
      <c r="M876" s="136"/>
      <c r="N876" s="136"/>
      <c r="O876" s="136"/>
      <c r="P876" s="136"/>
      <c r="Q876" s="136"/>
      <c r="R876" s="136"/>
      <c r="S876" s="136"/>
      <c r="T876" s="136"/>
      <c r="U876" s="136"/>
      <c r="V876" s="136"/>
      <c r="W876" s="136"/>
      <c r="X876" s="137"/>
      <c r="Y876" s="274"/>
      <c r="Z876" s="154"/>
      <c r="AA876" s="136"/>
      <c r="AB876" s="136"/>
      <c r="AC876" s="139"/>
      <c r="AD876" s="139"/>
      <c r="AE876" s="139"/>
      <c r="AF876" s="139"/>
    </row>
    <row r="877" spans="1:32" ht="12.75">
      <c r="A877" s="134"/>
      <c r="B877" s="135"/>
      <c r="C877" s="136"/>
      <c r="D877" s="136"/>
      <c r="E877" s="136"/>
      <c r="F877" s="136"/>
      <c r="G877" s="136"/>
      <c r="H877" s="136"/>
      <c r="I877" s="136"/>
      <c r="J877" s="136"/>
      <c r="K877" s="136"/>
      <c r="L877" s="136"/>
      <c r="M877" s="136"/>
      <c r="N877" s="136"/>
      <c r="O877" s="136"/>
      <c r="P877" s="136"/>
      <c r="Q877" s="136"/>
      <c r="R877" s="136"/>
      <c r="S877" s="136"/>
      <c r="T877" s="136"/>
      <c r="U877" s="136"/>
      <c r="V877" s="136"/>
      <c r="W877" s="136"/>
      <c r="X877" s="137"/>
      <c r="Y877" s="274"/>
      <c r="Z877" s="154"/>
      <c r="AA877" s="136"/>
      <c r="AB877" s="136"/>
      <c r="AC877" s="139"/>
      <c r="AD877" s="139"/>
      <c r="AE877" s="139"/>
      <c r="AF877" s="139"/>
    </row>
    <row r="878" spans="1:32" ht="12.75">
      <c r="A878" s="134"/>
      <c r="B878" s="135"/>
      <c r="C878" s="136"/>
      <c r="D878" s="136"/>
      <c r="E878" s="136"/>
      <c r="F878" s="136"/>
      <c r="G878" s="136"/>
      <c r="H878" s="136"/>
      <c r="I878" s="136"/>
      <c r="J878" s="136"/>
      <c r="K878" s="136"/>
      <c r="L878" s="136"/>
      <c r="M878" s="136"/>
      <c r="N878" s="136"/>
      <c r="O878" s="136"/>
      <c r="P878" s="136"/>
      <c r="Q878" s="136"/>
      <c r="R878" s="136"/>
      <c r="S878" s="136"/>
      <c r="T878" s="136"/>
      <c r="U878" s="136"/>
      <c r="V878" s="136"/>
      <c r="W878" s="136"/>
      <c r="X878" s="137"/>
      <c r="Y878" s="274"/>
      <c r="Z878" s="154"/>
      <c r="AA878" s="136"/>
      <c r="AB878" s="136"/>
      <c r="AC878" s="139"/>
      <c r="AD878" s="139"/>
      <c r="AE878" s="139"/>
      <c r="AF878" s="139"/>
    </row>
    <row r="879" spans="1:32" ht="12.75">
      <c r="A879" s="134"/>
      <c r="B879" s="135"/>
      <c r="C879" s="136"/>
      <c r="D879" s="136"/>
      <c r="E879" s="136"/>
      <c r="F879" s="136"/>
      <c r="G879" s="136"/>
      <c r="H879" s="136"/>
      <c r="I879" s="136"/>
      <c r="J879" s="136"/>
      <c r="K879" s="136"/>
      <c r="L879" s="136"/>
      <c r="M879" s="136"/>
      <c r="N879" s="136"/>
      <c r="O879" s="136"/>
      <c r="P879" s="136"/>
      <c r="Q879" s="136"/>
      <c r="R879" s="136"/>
      <c r="S879" s="136"/>
      <c r="T879" s="136"/>
      <c r="U879" s="136"/>
      <c r="V879" s="136"/>
      <c r="W879" s="136"/>
      <c r="X879" s="137"/>
      <c r="Y879" s="274"/>
      <c r="Z879" s="154"/>
      <c r="AA879" s="136"/>
      <c r="AB879" s="136"/>
      <c r="AC879" s="139"/>
      <c r="AD879" s="139"/>
      <c r="AE879" s="139"/>
      <c r="AF879" s="139"/>
    </row>
    <row r="880" spans="1:32" ht="12.75">
      <c r="A880" s="134"/>
      <c r="B880" s="135"/>
      <c r="C880" s="136"/>
      <c r="D880" s="136"/>
      <c r="E880" s="136"/>
      <c r="F880" s="136"/>
      <c r="G880" s="136"/>
      <c r="H880" s="136"/>
      <c r="I880" s="136"/>
      <c r="J880" s="136"/>
      <c r="K880" s="136"/>
      <c r="L880" s="136"/>
      <c r="M880" s="136"/>
      <c r="N880" s="136"/>
      <c r="O880" s="136"/>
      <c r="P880" s="136"/>
      <c r="Q880" s="136"/>
      <c r="R880" s="136"/>
      <c r="S880" s="136"/>
      <c r="T880" s="136"/>
      <c r="U880" s="136"/>
      <c r="V880" s="136"/>
      <c r="W880" s="136"/>
      <c r="X880" s="137"/>
      <c r="Y880" s="274"/>
      <c r="Z880" s="154"/>
      <c r="AA880" s="136"/>
      <c r="AB880" s="136"/>
      <c r="AC880" s="139"/>
      <c r="AD880" s="139"/>
      <c r="AE880" s="139"/>
      <c r="AF880" s="139"/>
    </row>
    <row r="881" spans="1:32" ht="12.75">
      <c r="A881" s="134"/>
      <c r="B881" s="135"/>
      <c r="C881" s="136"/>
      <c r="D881" s="136"/>
      <c r="E881" s="136"/>
      <c r="F881" s="136"/>
      <c r="G881" s="136"/>
      <c r="H881" s="136"/>
      <c r="I881" s="136"/>
      <c r="J881" s="136"/>
      <c r="K881" s="136"/>
      <c r="L881" s="136"/>
      <c r="M881" s="136"/>
      <c r="N881" s="136"/>
      <c r="O881" s="136"/>
      <c r="P881" s="136"/>
      <c r="Q881" s="136"/>
      <c r="R881" s="136"/>
      <c r="S881" s="136"/>
      <c r="T881" s="136"/>
      <c r="U881" s="136"/>
      <c r="V881" s="136"/>
      <c r="W881" s="136"/>
      <c r="X881" s="137"/>
      <c r="Y881" s="274"/>
      <c r="Z881" s="154"/>
      <c r="AA881" s="136"/>
      <c r="AB881" s="136"/>
      <c r="AC881" s="139"/>
      <c r="AD881" s="139"/>
      <c r="AE881" s="139"/>
      <c r="AF881" s="139"/>
    </row>
    <row r="882" spans="1:32" ht="12.75">
      <c r="A882" s="134"/>
      <c r="B882" s="135"/>
      <c r="C882" s="136"/>
      <c r="D882" s="136"/>
      <c r="E882" s="136"/>
      <c r="F882" s="136"/>
      <c r="G882" s="136"/>
      <c r="H882" s="136"/>
      <c r="I882" s="136"/>
      <c r="J882" s="136"/>
      <c r="K882" s="136"/>
      <c r="L882" s="136"/>
      <c r="M882" s="136"/>
      <c r="N882" s="136"/>
      <c r="O882" s="136"/>
      <c r="P882" s="136"/>
      <c r="Q882" s="136"/>
      <c r="R882" s="136"/>
      <c r="S882" s="136"/>
      <c r="T882" s="136"/>
      <c r="U882" s="136"/>
      <c r="V882" s="136"/>
      <c r="W882" s="136"/>
      <c r="X882" s="137"/>
      <c r="Y882" s="274"/>
      <c r="Z882" s="154"/>
      <c r="AA882" s="136"/>
      <c r="AB882" s="136"/>
      <c r="AC882" s="139"/>
      <c r="AD882" s="139"/>
      <c r="AE882" s="139"/>
      <c r="AF882" s="139"/>
    </row>
    <row r="883" spans="1:32" ht="12.75">
      <c r="A883" s="134"/>
      <c r="B883" s="135"/>
      <c r="C883" s="136"/>
      <c r="D883" s="136"/>
      <c r="E883" s="136"/>
      <c r="F883" s="136"/>
      <c r="G883" s="136"/>
      <c r="H883" s="136"/>
      <c r="I883" s="136"/>
      <c r="J883" s="136"/>
      <c r="K883" s="136"/>
      <c r="L883" s="136"/>
      <c r="M883" s="136"/>
      <c r="N883" s="136"/>
      <c r="O883" s="136"/>
      <c r="P883" s="136"/>
      <c r="Q883" s="136"/>
      <c r="R883" s="136"/>
      <c r="S883" s="136"/>
      <c r="T883" s="136"/>
      <c r="U883" s="136"/>
      <c r="V883" s="136"/>
      <c r="W883" s="136"/>
      <c r="X883" s="137"/>
      <c r="Y883" s="274"/>
      <c r="Z883" s="154"/>
      <c r="AA883" s="136"/>
      <c r="AB883" s="136"/>
      <c r="AC883" s="139"/>
      <c r="AD883" s="139"/>
      <c r="AE883" s="139"/>
      <c r="AF883" s="139"/>
    </row>
    <row r="884" spans="1:32" ht="12.75">
      <c r="A884" s="134"/>
      <c r="B884" s="135"/>
      <c r="C884" s="136"/>
      <c r="D884" s="136"/>
      <c r="E884" s="136"/>
      <c r="F884" s="136"/>
      <c r="G884" s="136"/>
      <c r="H884" s="136"/>
      <c r="I884" s="136"/>
      <c r="J884" s="136"/>
      <c r="K884" s="136"/>
      <c r="L884" s="136"/>
      <c r="M884" s="136"/>
      <c r="N884" s="136"/>
      <c r="O884" s="136"/>
      <c r="P884" s="136"/>
      <c r="Q884" s="136"/>
      <c r="R884" s="136"/>
      <c r="S884" s="136"/>
      <c r="T884" s="136"/>
      <c r="U884" s="136"/>
      <c r="V884" s="136"/>
      <c r="W884" s="136"/>
      <c r="X884" s="137"/>
      <c r="Y884" s="274"/>
      <c r="Z884" s="154"/>
      <c r="AA884" s="136"/>
      <c r="AB884" s="136"/>
      <c r="AC884" s="139"/>
      <c r="AD884" s="139"/>
      <c r="AE884" s="139"/>
      <c r="AF884" s="139"/>
    </row>
    <row r="885" spans="1:32" ht="12.75">
      <c r="A885" s="134"/>
      <c r="B885" s="135"/>
      <c r="C885" s="136"/>
      <c r="D885" s="136"/>
      <c r="E885" s="136"/>
      <c r="F885" s="136"/>
      <c r="G885" s="136"/>
      <c r="H885" s="136"/>
      <c r="I885" s="136"/>
      <c r="J885" s="136"/>
      <c r="K885" s="136"/>
      <c r="L885" s="136"/>
      <c r="M885" s="136"/>
      <c r="N885" s="136"/>
      <c r="O885" s="136"/>
      <c r="P885" s="136"/>
      <c r="Q885" s="136"/>
      <c r="R885" s="136"/>
      <c r="S885" s="136"/>
      <c r="T885" s="136"/>
      <c r="U885" s="136"/>
      <c r="V885" s="136"/>
      <c r="W885" s="136"/>
      <c r="X885" s="137"/>
      <c r="Y885" s="274"/>
      <c r="Z885" s="154"/>
      <c r="AA885" s="136"/>
      <c r="AB885" s="136"/>
      <c r="AC885" s="139"/>
      <c r="AD885" s="139"/>
      <c r="AE885" s="139"/>
      <c r="AF885" s="139"/>
    </row>
    <row r="886" spans="1:32" ht="12.75">
      <c r="A886" s="134"/>
      <c r="B886" s="135"/>
      <c r="C886" s="136"/>
      <c r="D886" s="136"/>
      <c r="E886" s="136"/>
      <c r="F886" s="136"/>
      <c r="G886" s="136"/>
      <c r="H886" s="136"/>
      <c r="I886" s="136"/>
      <c r="J886" s="136"/>
      <c r="K886" s="136"/>
      <c r="L886" s="136"/>
      <c r="M886" s="136"/>
      <c r="N886" s="136"/>
      <c r="O886" s="136"/>
      <c r="P886" s="136"/>
      <c r="Q886" s="136"/>
      <c r="R886" s="136"/>
      <c r="S886" s="136"/>
      <c r="T886" s="136"/>
      <c r="U886" s="136"/>
      <c r="V886" s="136"/>
      <c r="W886" s="136"/>
      <c r="X886" s="137"/>
      <c r="Y886" s="274"/>
      <c r="Z886" s="154"/>
      <c r="AA886" s="136"/>
      <c r="AB886" s="136"/>
      <c r="AC886" s="139"/>
      <c r="AD886" s="139"/>
      <c r="AE886" s="139"/>
      <c r="AF886" s="139"/>
    </row>
    <row r="887" spans="1:32" ht="12.75">
      <c r="A887" s="134"/>
      <c r="B887" s="135"/>
      <c r="C887" s="136"/>
      <c r="D887" s="136"/>
      <c r="E887" s="136"/>
      <c r="F887" s="136"/>
      <c r="G887" s="136"/>
      <c r="H887" s="136"/>
      <c r="I887" s="136"/>
      <c r="J887" s="136"/>
      <c r="K887" s="136"/>
      <c r="L887" s="136"/>
      <c r="M887" s="136"/>
      <c r="N887" s="136"/>
      <c r="O887" s="136"/>
      <c r="P887" s="136"/>
      <c r="Q887" s="136"/>
      <c r="R887" s="136"/>
      <c r="S887" s="136"/>
      <c r="T887" s="136"/>
      <c r="U887" s="136"/>
      <c r="V887" s="136"/>
      <c r="W887" s="136"/>
      <c r="X887" s="137"/>
      <c r="Y887" s="274"/>
      <c r="Z887" s="134"/>
      <c r="AA887" s="136"/>
      <c r="AB887" s="136"/>
      <c r="AC887" s="139"/>
      <c r="AD887" s="139"/>
      <c r="AE887" s="139"/>
      <c r="AF887" s="139"/>
    </row>
    <row r="888" spans="1:32" ht="12.75">
      <c r="A888" s="134"/>
      <c r="B888" s="135"/>
      <c r="C888" s="136"/>
      <c r="D888" s="136"/>
      <c r="E888" s="136"/>
      <c r="F888" s="136"/>
      <c r="G888" s="136"/>
      <c r="H888" s="136"/>
      <c r="I888" s="136"/>
      <c r="J888" s="136"/>
      <c r="K888" s="136"/>
      <c r="L888" s="136"/>
      <c r="M888" s="136"/>
      <c r="N888" s="136"/>
      <c r="O888" s="136"/>
      <c r="P888" s="136"/>
      <c r="Q888" s="136"/>
      <c r="R888" s="136"/>
      <c r="S888" s="136"/>
      <c r="T888" s="136"/>
      <c r="U888" s="136"/>
      <c r="V888" s="136"/>
      <c r="W888" s="136"/>
      <c r="X888" s="137"/>
      <c r="Y888" s="274"/>
      <c r="Z888" s="134"/>
      <c r="AA888" s="136"/>
      <c r="AB888" s="136"/>
      <c r="AC888" s="139"/>
      <c r="AD888" s="139"/>
      <c r="AE888" s="139"/>
      <c r="AF888" s="139"/>
    </row>
    <row r="889" spans="1:32" ht="12.75">
      <c r="A889" s="134"/>
      <c r="B889" s="135"/>
      <c r="C889" s="136"/>
      <c r="D889" s="136"/>
      <c r="E889" s="136"/>
      <c r="F889" s="136"/>
      <c r="G889" s="136"/>
      <c r="H889" s="136"/>
      <c r="I889" s="136"/>
      <c r="J889" s="136"/>
      <c r="K889" s="136"/>
      <c r="L889" s="136"/>
      <c r="M889" s="136"/>
      <c r="N889" s="136"/>
      <c r="O889" s="136"/>
      <c r="P889" s="136"/>
      <c r="Q889" s="136"/>
      <c r="R889" s="136"/>
      <c r="S889" s="136"/>
      <c r="T889" s="136"/>
      <c r="U889" s="136"/>
      <c r="V889" s="136"/>
      <c r="W889" s="136"/>
      <c r="X889" s="137"/>
      <c r="Y889" s="274"/>
      <c r="Z889" s="134"/>
      <c r="AA889" s="136"/>
      <c r="AB889" s="136"/>
      <c r="AC889" s="139"/>
      <c r="AD889" s="139"/>
      <c r="AE889" s="139"/>
      <c r="AF889" s="139"/>
    </row>
    <row r="890" spans="1:32" ht="12.75">
      <c r="A890" s="134"/>
      <c r="B890" s="135"/>
      <c r="C890" s="136"/>
      <c r="D890" s="136"/>
      <c r="E890" s="136"/>
      <c r="F890" s="136"/>
      <c r="G890" s="136"/>
      <c r="H890" s="136"/>
      <c r="I890" s="136"/>
      <c r="J890" s="136"/>
      <c r="K890" s="136"/>
      <c r="L890" s="136"/>
      <c r="M890" s="136"/>
      <c r="N890" s="136"/>
      <c r="O890" s="136"/>
      <c r="P890" s="136"/>
      <c r="Q890" s="136"/>
      <c r="R890" s="136"/>
      <c r="S890" s="136"/>
      <c r="T890" s="136"/>
      <c r="U890" s="136"/>
      <c r="V890" s="136"/>
      <c r="W890" s="136"/>
      <c r="X890" s="137"/>
      <c r="Y890" s="274"/>
      <c r="Z890" s="134"/>
      <c r="AA890" s="136"/>
      <c r="AB890" s="136"/>
      <c r="AC890" s="139"/>
      <c r="AD890" s="139"/>
      <c r="AE890" s="139"/>
      <c r="AF890" s="139"/>
    </row>
    <row r="891" spans="1:32" ht="12.75">
      <c r="A891" s="134"/>
      <c r="B891" s="135"/>
      <c r="C891" s="136"/>
      <c r="D891" s="136"/>
      <c r="E891" s="136"/>
      <c r="F891" s="136"/>
      <c r="G891" s="136"/>
      <c r="H891" s="136"/>
      <c r="I891" s="136"/>
      <c r="J891" s="136"/>
      <c r="K891" s="136"/>
      <c r="L891" s="136"/>
      <c r="M891" s="136"/>
      <c r="N891" s="136"/>
      <c r="O891" s="136"/>
      <c r="P891" s="136"/>
      <c r="Q891" s="136"/>
      <c r="R891" s="136"/>
      <c r="S891" s="136"/>
      <c r="T891" s="136"/>
      <c r="U891" s="136"/>
      <c r="V891" s="136"/>
      <c r="W891" s="136"/>
      <c r="X891" s="137"/>
      <c r="Y891" s="274"/>
      <c r="Z891" s="134"/>
      <c r="AA891" s="136"/>
      <c r="AB891" s="136"/>
      <c r="AC891" s="139"/>
      <c r="AD891" s="139"/>
      <c r="AE891" s="139"/>
      <c r="AF891" s="139"/>
    </row>
    <row r="892" spans="1:32" ht="12.75">
      <c r="A892" s="134"/>
      <c r="B892" s="135"/>
      <c r="C892" s="136"/>
      <c r="D892" s="136"/>
      <c r="E892" s="136"/>
      <c r="F892" s="136"/>
      <c r="G892" s="136"/>
      <c r="H892" s="136"/>
      <c r="I892" s="136"/>
      <c r="J892" s="136"/>
      <c r="K892" s="136"/>
      <c r="L892" s="136"/>
      <c r="M892" s="136"/>
      <c r="N892" s="136"/>
      <c r="O892" s="136"/>
      <c r="P892" s="136"/>
      <c r="Q892" s="136"/>
      <c r="R892" s="136"/>
      <c r="S892" s="136"/>
      <c r="T892" s="136"/>
      <c r="U892" s="136"/>
      <c r="V892" s="136"/>
      <c r="W892" s="136"/>
      <c r="X892" s="137"/>
      <c r="Y892" s="274"/>
      <c r="Z892" s="134"/>
      <c r="AA892" s="136"/>
      <c r="AB892" s="136"/>
      <c r="AC892" s="139"/>
      <c r="AD892" s="139"/>
      <c r="AE892" s="139"/>
      <c r="AF892" s="139"/>
    </row>
    <row r="893" spans="1:32" ht="12.75">
      <c r="A893" s="134"/>
      <c r="B893" s="135"/>
      <c r="C893" s="136"/>
      <c r="D893" s="136"/>
      <c r="E893" s="136"/>
      <c r="F893" s="136"/>
      <c r="G893" s="136"/>
      <c r="H893" s="136"/>
      <c r="I893" s="136"/>
      <c r="J893" s="136"/>
      <c r="K893" s="136"/>
      <c r="L893" s="136"/>
      <c r="M893" s="136"/>
      <c r="N893" s="136"/>
      <c r="O893" s="136"/>
      <c r="P893" s="136"/>
      <c r="Q893" s="136"/>
      <c r="R893" s="136"/>
      <c r="S893" s="136"/>
      <c r="T893" s="136"/>
      <c r="U893" s="136"/>
      <c r="V893" s="136"/>
      <c r="W893" s="136"/>
      <c r="X893" s="137"/>
      <c r="Y893" s="274"/>
      <c r="Z893" s="134"/>
      <c r="AA893" s="136"/>
      <c r="AB893" s="136"/>
      <c r="AC893" s="139"/>
      <c r="AD893" s="139"/>
      <c r="AE893" s="139"/>
      <c r="AF893" s="139"/>
    </row>
    <row r="894" spans="1:32" ht="12.75">
      <c r="A894" s="134"/>
      <c r="B894" s="135"/>
      <c r="C894" s="136"/>
      <c r="D894" s="136"/>
      <c r="E894" s="136"/>
      <c r="F894" s="136"/>
      <c r="G894" s="136"/>
      <c r="H894" s="136"/>
      <c r="I894" s="136"/>
      <c r="J894" s="136"/>
      <c r="K894" s="136"/>
      <c r="L894" s="136"/>
      <c r="M894" s="136"/>
      <c r="N894" s="136"/>
      <c r="O894" s="136"/>
      <c r="P894" s="136"/>
      <c r="Q894" s="136"/>
      <c r="R894" s="136"/>
      <c r="S894" s="136"/>
      <c r="T894" s="136"/>
      <c r="U894" s="136"/>
      <c r="V894" s="136"/>
      <c r="W894" s="136"/>
      <c r="X894" s="137"/>
      <c r="Y894" s="274"/>
      <c r="Z894" s="134"/>
      <c r="AA894" s="136"/>
      <c r="AB894" s="136"/>
      <c r="AC894" s="139"/>
      <c r="AD894" s="139"/>
      <c r="AE894" s="139"/>
      <c r="AF894" s="139"/>
    </row>
    <row r="895" spans="1:32" ht="12.75">
      <c r="A895" s="134"/>
      <c r="B895" s="135"/>
      <c r="C895" s="136"/>
      <c r="D895" s="136"/>
      <c r="E895" s="136"/>
      <c r="F895" s="136"/>
      <c r="G895" s="136"/>
      <c r="H895" s="136"/>
      <c r="I895" s="136"/>
      <c r="J895" s="136"/>
      <c r="K895" s="136"/>
      <c r="L895" s="136"/>
      <c r="M895" s="136"/>
      <c r="N895" s="136"/>
      <c r="O895" s="136"/>
      <c r="P895" s="136"/>
      <c r="Q895" s="136"/>
      <c r="R895" s="136"/>
      <c r="S895" s="136"/>
      <c r="T895" s="136"/>
      <c r="U895" s="136"/>
      <c r="V895" s="136"/>
      <c r="W895" s="136"/>
      <c r="X895" s="137"/>
      <c r="Y895" s="274"/>
      <c r="Z895" s="134"/>
      <c r="AA895" s="136"/>
      <c r="AB895" s="136"/>
      <c r="AC895" s="139"/>
      <c r="AD895" s="139"/>
      <c r="AE895" s="139"/>
      <c r="AF895" s="139"/>
    </row>
    <row r="896" spans="1:32" ht="12.75">
      <c r="A896" s="134"/>
      <c r="B896" s="135"/>
      <c r="C896" s="136"/>
      <c r="D896" s="136"/>
      <c r="E896" s="136"/>
      <c r="F896" s="136"/>
      <c r="G896" s="136"/>
      <c r="H896" s="136"/>
      <c r="I896" s="136"/>
      <c r="J896" s="136"/>
      <c r="K896" s="136"/>
      <c r="L896" s="136"/>
      <c r="M896" s="136"/>
      <c r="N896" s="136"/>
      <c r="O896" s="136"/>
      <c r="P896" s="136"/>
      <c r="Q896" s="136"/>
      <c r="R896" s="136"/>
      <c r="S896" s="136"/>
      <c r="T896" s="136"/>
      <c r="U896" s="136"/>
      <c r="V896" s="136"/>
      <c r="W896" s="136"/>
      <c r="X896" s="137"/>
      <c r="Y896" s="274"/>
      <c r="Z896" s="134"/>
      <c r="AA896" s="136"/>
      <c r="AB896" s="136"/>
      <c r="AC896" s="139"/>
      <c r="AD896" s="139"/>
      <c r="AE896" s="139"/>
      <c r="AF896" s="139"/>
    </row>
    <row r="897" spans="1:32" ht="12.75">
      <c r="A897" s="134"/>
      <c r="B897" s="135"/>
      <c r="C897" s="136"/>
      <c r="D897" s="136"/>
      <c r="E897" s="136"/>
      <c r="F897" s="136"/>
      <c r="G897" s="136"/>
      <c r="H897" s="136"/>
      <c r="I897" s="136"/>
      <c r="J897" s="136"/>
      <c r="K897" s="136"/>
      <c r="L897" s="136"/>
      <c r="M897" s="136"/>
      <c r="N897" s="136"/>
      <c r="O897" s="136"/>
      <c r="P897" s="136"/>
      <c r="Q897" s="136"/>
      <c r="R897" s="136"/>
      <c r="S897" s="136"/>
      <c r="T897" s="136"/>
      <c r="U897" s="136"/>
      <c r="V897" s="136"/>
      <c r="W897" s="136"/>
      <c r="X897" s="137"/>
      <c r="Y897" s="274"/>
      <c r="Z897" s="134"/>
      <c r="AA897" s="136"/>
      <c r="AB897" s="136"/>
      <c r="AC897" s="139"/>
      <c r="AD897" s="139"/>
      <c r="AE897" s="139"/>
      <c r="AF897" s="139"/>
    </row>
    <row r="898" spans="1:32" ht="12.75">
      <c r="A898" s="134"/>
      <c r="B898" s="135"/>
      <c r="C898" s="136"/>
      <c r="D898" s="136"/>
      <c r="E898" s="136"/>
      <c r="F898" s="136"/>
      <c r="G898" s="136"/>
      <c r="H898" s="136"/>
      <c r="I898" s="136"/>
      <c r="J898" s="136"/>
      <c r="K898" s="136"/>
      <c r="L898" s="136"/>
      <c r="M898" s="136"/>
      <c r="N898" s="136"/>
      <c r="O898" s="136"/>
      <c r="P898" s="136"/>
      <c r="Q898" s="136"/>
      <c r="R898" s="136"/>
      <c r="S898" s="136"/>
      <c r="T898" s="136"/>
      <c r="U898" s="136"/>
      <c r="V898" s="136"/>
      <c r="W898" s="136"/>
      <c r="X898" s="137"/>
      <c r="Y898" s="274"/>
      <c r="Z898" s="134"/>
      <c r="AA898" s="136"/>
      <c r="AB898" s="136"/>
      <c r="AC898" s="139"/>
      <c r="AD898" s="139"/>
      <c r="AE898" s="139"/>
      <c r="AF898" s="139"/>
    </row>
    <row r="899" spans="1:32" ht="12.75">
      <c r="A899" s="134"/>
      <c r="B899" s="135"/>
      <c r="C899" s="136"/>
      <c r="D899" s="136"/>
      <c r="E899" s="136"/>
      <c r="F899" s="136"/>
      <c r="G899" s="136"/>
      <c r="H899" s="136"/>
      <c r="I899" s="136"/>
      <c r="J899" s="136"/>
      <c r="K899" s="136"/>
      <c r="L899" s="136"/>
      <c r="M899" s="136"/>
      <c r="N899" s="136"/>
      <c r="O899" s="136"/>
      <c r="P899" s="136"/>
      <c r="Q899" s="136"/>
      <c r="R899" s="136"/>
      <c r="S899" s="136"/>
      <c r="T899" s="136"/>
      <c r="U899" s="136"/>
      <c r="V899" s="136"/>
      <c r="W899" s="136"/>
      <c r="X899" s="137"/>
      <c r="Y899" s="274"/>
      <c r="Z899" s="134"/>
      <c r="AA899" s="136"/>
      <c r="AB899" s="136"/>
      <c r="AC899" s="139"/>
      <c r="AD899" s="139"/>
      <c r="AE899" s="139"/>
      <c r="AF899" s="139"/>
    </row>
    <row r="900" spans="1:32" ht="12.75">
      <c r="A900" s="134"/>
      <c r="B900" s="135"/>
      <c r="C900" s="136"/>
      <c r="D900" s="136"/>
      <c r="E900" s="136"/>
      <c r="F900" s="136"/>
      <c r="G900" s="136"/>
      <c r="H900" s="136"/>
      <c r="I900" s="136"/>
      <c r="J900" s="136"/>
      <c r="K900" s="136"/>
      <c r="L900" s="136"/>
      <c r="M900" s="136"/>
      <c r="N900" s="136"/>
      <c r="O900" s="136"/>
      <c r="P900" s="136"/>
      <c r="Q900" s="136"/>
      <c r="R900" s="136"/>
      <c r="S900" s="136"/>
      <c r="T900" s="136"/>
      <c r="U900" s="136"/>
      <c r="V900" s="136"/>
      <c r="W900" s="136"/>
      <c r="X900" s="137"/>
      <c r="Y900" s="274"/>
      <c r="Z900" s="134"/>
      <c r="AA900" s="136"/>
      <c r="AB900" s="136"/>
      <c r="AC900" s="139"/>
      <c r="AD900" s="139"/>
      <c r="AE900" s="139"/>
      <c r="AF900" s="139"/>
    </row>
    <row r="901" spans="1:32" ht="12.75">
      <c r="A901" s="134"/>
      <c r="B901" s="135"/>
      <c r="C901" s="136"/>
      <c r="D901" s="136"/>
      <c r="E901" s="136"/>
      <c r="F901" s="136"/>
      <c r="G901" s="136"/>
      <c r="H901" s="136"/>
      <c r="I901" s="136"/>
      <c r="J901" s="136"/>
      <c r="K901" s="136"/>
      <c r="L901" s="136"/>
      <c r="M901" s="136"/>
      <c r="N901" s="136"/>
      <c r="O901" s="136"/>
      <c r="P901" s="136"/>
      <c r="Q901" s="136"/>
      <c r="R901" s="136"/>
      <c r="S901" s="136"/>
      <c r="T901" s="136"/>
      <c r="U901" s="136"/>
      <c r="V901" s="136"/>
      <c r="W901" s="136"/>
      <c r="X901" s="137"/>
      <c r="Y901" s="274"/>
      <c r="Z901" s="134"/>
      <c r="AA901" s="136"/>
      <c r="AB901" s="136"/>
      <c r="AC901" s="139"/>
      <c r="AD901" s="139"/>
      <c r="AE901" s="139"/>
      <c r="AF901" s="139"/>
    </row>
    <row r="902" spans="1:32" ht="12.75">
      <c r="A902" s="134"/>
      <c r="B902" s="135"/>
      <c r="C902" s="136"/>
      <c r="D902" s="136"/>
      <c r="E902" s="136"/>
      <c r="F902" s="136"/>
      <c r="G902" s="136"/>
      <c r="H902" s="136"/>
      <c r="I902" s="136"/>
      <c r="J902" s="136"/>
      <c r="K902" s="136"/>
      <c r="L902" s="136"/>
      <c r="M902" s="136"/>
      <c r="N902" s="136"/>
      <c r="O902" s="136"/>
      <c r="P902" s="136"/>
      <c r="Q902" s="136"/>
      <c r="R902" s="136"/>
      <c r="S902" s="136"/>
      <c r="T902" s="136"/>
      <c r="U902" s="136"/>
      <c r="V902" s="136"/>
      <c r="W902" s="136"/>
      <c r="X902" s="137"/>
      <c r="Y902" s="274"/>
      <c r="Z902" s="134"/>
      <c r="AA902" s="136"/>
      <c r="AB902" s="136"/>
      <c r="AC902" s="139"/>
      <c r="AD902" s="139"/>
      <c r="AE902" s="139"/>
      <c r="AF902" s="139"/>
    </row>
    <row r="903" spans="1:32" ht="12.75">
      <c r="A903" s="134"/>
      <c r="B903" s="135"/>
      <c r="C903" s="136"/>
      <c r="D903" s="136"/>
      <c r="E903" s="136"/>
      <c r="F903" s="136"/>
      <c r="G903" s="136"/>
      <c r="H903" s="136"/>
      <c r="I903" s="136"/>
      <c r="J903" s="136"/>
      <c r="K903" s="136"/>
      <c r="L903" s="136"/>
      <c r="M903" s="136"/>
      <c r="N903" s="136"/>
      <c r="O903" s="136"/>
      <c r="P903" s="136"/>
      <c r="Q903" s="136"/>
      <c r="R903" s="136"/>
      <c r="S903" s="136"/>
      <c r="T903" s="136"/>
      <c r="U903" s="136"/>
      <c r="V903" s="136"/>
      <c r="W903" s="136"/>
      <c r="X903" s="137"/>
      <c r="Y903" s="274"/>
      <c r="Z903" s="134"/>
      <c r="AA903" s="136"/>
      <c r="AB903" s="136"/>
      <c r="AC903" s="139"/>
      <c r="AD903" s="139"/>
      <c r="AE903" s="139"/>
      <c r="AF903" s="139"/>
    </row>
    <row r="904" spans="1:32" ht="12.75">
      <c r="A904" s="134"/>
      <c r="B904" s="135"/>
      <c r="C904" s="136"/>
      <c r="D904" s="136"/>
      <c r="E904" s="136"/>
      <c r="F904" s="136"/>
      <c r="G904" s="136"/>
      <c r="H904" s="136"/>
      <c r="I904" s="136"/>
      <c r="J904" s="136"/>
      <c r="K904" s="136"/>
      <c r="L904" s="136"/>
      <c r="M904" s="136"/>
      <c r="N904" s="136"/>
      <c r="O904" s="136"/>
      <c r="P904" s="136"/>
      <c r="Q904" s="136"/>
      <c r="R904" s="136"/>
      <c r="S904" s="136"/>
      <c r="T904" s="136"/>
      <c r="U904" s="136"/>
      <c r="V904" s="136"/>
      <c r="W904" s="136"/>
      <c r="X904" s="137"/>
      <c r="Y904" s="274"/>
      <c r="Z904" s="134"/>
      <c r="AA904" s="136"/>
      <c r="AB904" s="136"/>
      <c r="AC904" s="139"/>
      <c r="AD904" s="139"/>
      <c r="AE904" s="139"/>
      <c r="AF904" s="139"/>
    </row>
    <row r="905" spans="1:32" ht="12.75">
      <c r="A905" s="134"/>
      <c r="B905" s="135"/>
      <c r="C905" s="136"/>
      <c r="D905" s="136"/>
      <c r="E905" s="136"/>
      <c r="F905" s="136"/>
      <c r="G905" s="136"/>
      <c r="H905" s="136"/>
      <c r="I905" s="136"/>
      <c r="J905" s="136"/>
      <c r="K905" s="136"/>
      <c r="L905" s="136"/>
      <c r="M905" s="136"/>
      <c r="N905" s="136"/>
      <c r="O905" s="136"/>
      <c r="P905" s="136"/>
      <c r="Q905" s="136"/>
      <c r="R905" s="136"/>
      <c r="S905" s="136"/>
      <c r="T905" s="136"/>
      <c r="U905" s="136"/>
      <c r="V905" s="136"/>
      <c r="W905" s="136"/>
      <c r="X905" s="137"/>
      <c r="Y905" s="274"/>
      <c r="Z905" s="134"/>
      <c r="AA905" s="136"/>
      <c r="AB905" s="136"/>
      <c r="AC905" s="139"/>
      <c r="AD905" s="139"/>
      <c r="AE905" s="139"/>
      <c r="AF905" s="139"/>
    </row>
    <row r="906" spans="1:32" ht="12.75">
      <c r="A906" s="134"/>
      <c r="B906" s="135"/>
      <c r="C906" s="136"/>
      <c r="D906" s="136"/>
      <c r="E906" s="136"/>
      <c r="F906" s="136"/>
      <c r="G906" s="136"/>
      <c r="H906" s="136"/>
      <c r="I906" s="136"/>
      <c r="J906" s="136"/>
      <c r="K906" s="136"/>
      <c r="L906" s="136"/>
      <c r="M906" s="136"/>
      <c r="N906" s="136"/>
      <c r="O906" s="136"/>
      <c r="P906" s="136"/>
      <c r="Q906" s="136"/>
      <c r="R906" s="136"/>
      <c r="S906" s="136"/>
      <c r="T906" s="136"/>
      <c r="U906" s="136"/>
      <c r="V906" s="136"/>
      <c r="W906" s="136"/>
      <c r="X906" s="137"/>
      <c r="Y906" s="274"/>
      <c r="Z906" s="134"/>
      <c r="AA906" s="136"/>
      <c r="AB906" s="136"/>
      <c r="AC906" s="139"/>
      <c r="AD906" s="139"/>
      <c r="AE906" s="139"/>
      <c r="AF906" s="139"/>
    </row>
    <row r="907" spans="1:32" ht="12.75">
      <c r="A907" s="134"/>
      <c r="B907" s="135"/>
      <c r="C907" s="136"/>
      <c r="D907" s="136"/>
      <c r="E907" s="136"/>
      <c r="F907" s="136"/>
      <c r="G907" s="136"/>
      <c r="H907" s="136"/>
      <c r="I907" s="136"/>
      <c r="J907" s="136"/>
      <c r="K907" s="136"/>
      <c r="L907" s="136"/>
      <c r="M907" s="136"/>
      <c r="N907" s="136"/>
      <c r="O907" s="136"/>
      <c r="P907" s="136"/>
      <c r="Q907" s="136"/>
      <c r="R907" s="136"/>
      <c r="S907" s="136"/>
      <c r="T907" s="136"/>
      <c r="U907" s="136"/>
      <c r="V907" s="136"/>
      <c r="W907" s="136"/>
      <c r="X907" s="137"/>
      <c r="Y907" s="274"/>
      <c r="Z907" s="134"/>
      <c r="AA907" s="136"/>
      <c r="AB907" s="136"/>
      <c r="AC907" s="139"/>
      <c r="AD907" s="139"/>
      <c r="AE907" s="139"/>
      <c r="AF907" s="139"/>
    </row>
    <row r="908" spans="1:32" ht="12.75">
      <c r="A908" s="134"/>
      <c r="B908" s="135"/>
      <c r="C908" s="136"/>
      <c r="D908" s="136"/>
      <c r="E908" s="136"/>
      <c r="F908" s="136"/>
      <c r="G908" s="136"/>
      <c r="H908" s="136"/>
      <c r="I908" s="136"/>
      <c r="J908" s="136"/>
      <c r="K908" s="136"/>
      <c r="L908" s="136"/>
      <c r="M908" s="136"/>
      <c r="N908" s="136"/>
      <c r="O908" s="136"/>
      <c r="P908" s="136"/>
      <c r="Q908" s="136"/>
      <c r="R908" s="136"/>
      <c r="S908" s="136"/>
      <c r="T908" s="136"/>
      <c r="U908" s="136"/>
      <c r="V908" s="136"/>
      <c r="W908" s="136"/>
      <c r="X908" s="137"/>
      <c r="Y908" s="274"/>
      <c r="Z908" s="134"/>
      <c r="AA908" s="136"/>
      <c r="AB908" s="136"/>
      <c r="AC908" s="139"/>
      <c r="AD908" s="139"/>
      <c r="AE908" s="139"/>
      <c r="AF908" s="139"/>
    </row>
    <row r="909" spans="1:32" ht="12.75">
      <c r="A909" s="134"/>
      <c r="B909" s="135"/>
      <c r="C909" s="136"/>
      <c r="D909" s="136"/>
      <c r="E909" s="136"/>
      <c r="F909" s="136"/>
      <c r="G909" s="136"/>
      <c r="H909" s="136"/>
      <c r="I909" s="136"/>
      <c r="J909" s="136"/>
      <c r="K909" s="136"/>
      <c r="L909" s="136"/>
      <c r="M909" s="136"/>
      <c r="N909" s="136"/>
      <c r="O909" s="136"/>
      <c r="P909" s="136"/>
      <c r="Q909" s="136"/>
      <c r="R909" s="136"/>
      <c r="S909" s="136"/>
      <c r="T909" s="136"/>
      <c r="U909" s="136"/>
      <c r="V909" s="136"/>
      <c r="W909" s="136"/>
      <c r="X909" s="137"/>
      <c r="Y909" s="274"/>
      <c r="Z909" s="134"/>
      <c r="AA909" s="136"/>
      <c r="AB909" s="136"/>
      <c r="AC909" s="139"/>
      <c r="AD909" s="139"/>
      <c r="AE909" s="139"/>
      <c r="AF909" s="139"/>
    </row>
    <row r="910" spans="1:32" ht="12.75">
      <c r="A910" s="134"/>
      <c r="B910" s="135"/>
      <c r="C910" s="136"/>
      <c r="D910" s="136"/>
      <c r="E910" s="136"/>
      <c r="F910" s="136"/>
      <c r="G910" s="136"/>
      <c r="H910" s="136"/>
      <c r="I910" s="136"/>
      <c r="J910" s="136"/>
      <c r="K910" s="136"/>
      <c r="L910" s="136"/>
      <c r="M910" s="136"/>
      <c r="N910" s="136"/>
      <c r="O910" s="136"/>
      <c r="P910" s="136"/>
      <c r="Q910" s="136"/>
      <c r="R910" s="136"/>
      <c r="S910" s="136"/>
      <c r="T910" s="136"/>
      <c r="U910" s="136"/>
      <c r="V910" s="136"/>
      <c r="W910" s="136"/>
      <c r="X910" s="137"/>
      <c r="Y910" s="274"/>
      <c r="Z910" s="134"/>
      <c r="AA910" s="136"/>
      <c r="AB910" s="136"/>
      <c r="AC910" s="139"/>
      <c r="AD910" s="139"/>
      <c r="AE910" s="139"/>
      <c r="AF910" s="139"/>
    </row>
    <row r="911" spans="1:32" ht="12.75">
      <c r="A911" s="134"/>
      <c r="B911" s="135"/>
      <c r="C911" s="136"/>
      <c r="D911" s="136"/>
      <c r="E911" s="136"/>
      <c r="F911" s="136"/>
      <c r="G911" s="136"/>
      <c r="H911" s="136"/>
      <c r="I911" s="136"/>
      <c r="J911" s="136"/>
      <c r="K911" s="136"/>
      <c r="L911" s="136"/>
      <c r="M911" s="136"/>
      <c r="N911" s="136"/>
      <c r="O911" s="136"/>
      <c r="P911" s="136"/>
      <c r="Q911" s="136"/>
      <c r="R911" s="136"/>
      <c r="S911" s="136"/>
      <c r="T911" s="136"/>
      <c r="U911" s="136"/>
      <c r="V911" s="136"/>
      <c r="W911" s="136"/>
      <c r="X911" s="137"/>
      <c r="Y911" s="274"/>
      <c r="Z911" s="134"/>
      <c r="AA911" s="136"/>
      <c r="AB911" s="136"/>
      <c r="AC911" s="139"/>
      <c r="AD911" s="139"/>
      <c r="AE911" s="139"/>
      <c r="AF911" s="139"/>
    </row>
    <row r="912" spans="1:32" ht="12.75">
      <c r="A912" s="134"/>
      <c r="B912" s="135"/>
      <c r="C912" s="136"/>
      <c r="D912" s="136"/>
      <c r="E912" s="136"/>
      <c r="F912" s="136"/>
      <c r="G912" s="136"/>
      <c r="H912" s="136"/>
      <c r="I912" s="136"/>
      <c r="J912" s="136"/>
      <c r="K912" s="136"/>
      <c r="L912" s="136"/>
      <c r="M912" s="136"/>
      <c r="N912" s="136"/>
      <c r="O912" s="136"/>
      <c r="P912" s="136"/>
      <c r="Q912" s="136"/>
      <c r="R912" s="136"/>
      <c r="S912" s="136"/>
      <c r="T912" s="136"/>
      <c r="U912" s="136"/>
      <c r="V912" s="136"/>
      <c r="W912" s="136"/>
      <c r="X912" s="137"/>
      <c r="Y912" s="274"/>
      <c r="Z912" s="134"/>
      <c r="AA912" s="136"/>
      <c r="AB912" s="136"/>
      <c r="AC912" s="139"/>
      <c r="AD912" s="139"/>
      <c r="AE912" s="139"/>
      <c r="AF912" s="139"/>
    </row>
    <row r="913" spans="1:32" ht="12.75">
      <c r="A913" s="134"/>
      <c r="B913" s="135"/>
      <c r="C913" s="136"/>
      <c r="D913" s="136"/>
      <c r="E913" s="136"/>
      <c r="F913" s="136"/>
      <c r="G913" s="136"/>
      <c r="H913" s="136"/>
      <c r="I913" s="136"/>
      <c r="J913" s="136"/>
      <c r="K913" s="136"/>
      <c r="L913" s="136"/>
      <c r="M913" s="136"/>
      <c r="N913" s="136"/>
      <c r="O913" s="136"/>
      <c r="P913" s="136"/>
      <c r="Q913" s="136"/>
      <c r="R913" s="136"/>
      <c r="S913" s="136"/>
      <c r="T913" s="136"/>
      <c r="U913" s="136"/>
      <c r="V913" s="136"/>
      <c r="W913" s="136"/>
      <c r="X913" s="137"/>
      <c r="Y913" s="274"/>
      <c r="Z913" s="134"/>
      <c r="AA913" s="136"/>
      <c r="AB913" s="136"/>
      <c r="AC913" s="139"/>
      <c r="AD913" s="139"/>
      <c r="AE913" s="139"/>
      <c r="AF913" s="139"/>
    </row>
    <row r="914" spans="1:32" ht="12.75">
      <c r="A914" s="134"/>
      <c r="B914" s="135"/>
      <c r="C914" s="136"/>
      <c r="D914" s="136"/>
      <c r="E914" s="136"/>
      <c r="F914" s="136"/>
      <c r="G914" s="136"/>
      <c r="H914" s="136"/>
      <c r="I914" s="136"/>
      <c r="J914" s="136"/>
      <c r="K914" s="136"/>
      <c r="L914" s="136"/>
      <c r="M914" s="136"/>
      <c r="N914" s="136"/>
      <c r="O914" s="136"/>
      <c r="P914" s="136"/>
      <c r="Q914" s="136"/>
      <c r="R914" s="136"/>
      <c r="S914" s="136"/>
      <c r="T914" s="136"/>
      <c r="U914" s="136"/>
      <c r="V914" s="136"/>
      <c r="W914" s="136"/>
      <c r="X914" s="137"/>
      <c r="Y914" s="274"/>
      <c r="Z914" s="134"/>
      <c r="AA914" s="136"/>
      <c r="AB914" s="136"/>
      <c r="AC914" s="139"/>
      <c r="AD914" s="139"/>
      <c r="AE914" s="139"/>
      <c r="AF914" s="139"/>
    </row>
    <row r="915" spans="1:32" ht="12.75">
      <c r="A915" s="134"/>
      <c r="B915" s="135"/>
      <c r="C915" s="136"/>
      <c r="D915" s="136"/>
      <c r="E915" s="136"/>
      <c r="F915" s="136"/>
      <c r="G915" s="136"/>
      <c r="H915" s="136"/>
      <c r="I915" s="136"/>
      <c r="J915" s="136"/>
      <c r="K915" s="136"/>
      <c r="L915" s="136"/>
      <c r="M915" s="136"/>
      <c r="N915" s="136"/>
      <c r="O915" s="136"/>
      <c r="P915" s="136"/>
      <c r="Q915" s="136"/>
      <c r="R915" s="136"/>
      <c r="S915" s="136"/>
      <c r="T915" s="136"/>
      <c r="U915" s="136"/>
      <c r="V915" s="136"/>
      <c r="W915" s="136"/>
      <c r="X915" s="137"/>
      <c r="Y915" s="274"/>
      <c r="Z915" s="134"/>
      <c r="AA915" s="136"/>
      <c r="AB915" s="136"/>
      <c r="AC915" s="139"/>
      <c r="AD915" s="139"/>
      <c r="AE915" s="139"/>
      <c r="AF915" s="139"/>
    </row>
    <row r="916" spans="1:32" ht="12.75">
      <c r="A916" s="134"/>
      <c r="B916" s="135"/>
      <c r="C916" s="136"/>
      <c r="D916" s="136"/>
      <c r="E916" s="136"/>
      <c r="F916" s="136"/>
      <c r="G916" s="136"/>
      <c r="H916" s="136"/>
      <c r="I916" s="136"/>
      <c r="J916" s="136"/>
      <c r="K916" s="136"/>
      <c r="L916" s="136"/>
      <c r="M916" s="136"/>
      <c r="N916" s="136"/>
      <c r="O916" s="136"/>
      <c r="P916" s="136"/>
      <c r="Q916" s="136"/>
      <c r="R916" s="136"/>
      <c r="S916" s="136"/>
      <c r="T916" s="136"/>
      <c r="U916" s="136"/>
      <c r="V916" s="136"/>
      <c r="W916" s="136"/>
      <c r="X916" s="137"/>
      <c r="Y916" s="274"/>
      <c r="Z916" s="134"/>
      <c r="AA916" s="136"/>
      <c r="AB916" s="136"/>
      <c r="AC916" s="139"/>
      <c r="AD916" s="139"/>
      <c r="AE916" s="139"/>
      <c r="AF916" s="139"/>
    </row>
    <row r="917" spans="1:32" ht="12.75">
      <c r="A917" s="134"/>
      <c r="B917" s="135"/>
      <c r="C917" s="136"/>
      <c r="D917" s="136"/>
      <c r="E917" s="136"/>
      <c r="F917" s="136"/>
      <c r="G917" s="136"/>
      <c r="H917" s="136"/>
      <c r="I917" s="136"/>
      <c r="J917" s="136"/>
      <c r="K917" s="136"/>
      <c r="L917" s="136"/>
      <c r="M917" s="136"/>
      <c r="N917" s="136"/>
      <c r="O917" s="136"/>
      <c r="P917" s="136"/>
      <c r="Q917" s="136"/>
      <c r="R917" s="136"/>
      <c r="S917" s="136"/>
      <c r="T917" s="136"/>
      <c r="U917" s="136"/>
      <c r="V917" s="136"/>
      <c r="W917" s="136"/>
      <c r="X917" s="137"/>
      <c r="Y917" s="274"/>
      <c r="Z917" s="134"/>
      <c r="AA917" s="136"/>
      <c r="AB917" s="136"/>
      <c r="AC917" s="139"/>
      <c r="AD917" s="139"/>
      <c r="AE917" s="139"/>
      <c r="AF917" s="139"/>
    </row>
    <row r="918" spans="1:32" ht="12.75">
      <c r="A918" s="134"/>
      <c r="B918" s="135"/>
      <c r="C918" s="136"/>
      <c r="D918" s="136"/>
      <c r="E918" s="136"/>
      <c r="F918" s="136"/>
      <c r="G918" s="136"/>
      <c r="H918" s="136"/>
      <c r="I918" s="136"/>
      <c r="J918" s="136"/>
      <c r="K918" s="136"/>
      <c r="L918" s="136"/>
      <c r="M918" s="136"/>
      <c r="N918" s="136"/>
      <c r="O918" s="136"/>
      <c r="P918" s="136"/>
      <c r="Q918" s="136"/>
      <c r="R918" s="136"/>
      <c r="S918" s="136"/>
      <c r="T918" s="136"/>
      <c r="U918" s="136"/>
      <c r="V918" s="136"/>
      <c r="W918" s="136"/>
      <c r="X918" s="137"/>
      <c r="Y918" s="274"/>
      <c r="Z918" s="134"/>
      <c r="AA918" s="136"/>
      <c r="AB918" s="136"/>
      <c r="AC918" s="139"/>
      <c r="AD918" s="139"/>
      <c r="AE918" s="139"/>
      <c r="AF918" s="139"/>
    </row>
    <row r="919" spans="1:32" ht="12.75">
      <c r="A919" s="134"/>
      <c r="B919" s="135"/>
      <c r="C919" s="136"/>
      <c r="D919" s="136"/>
      <c r="E919" s="136"/>
      <c r="F919" s="136"/>
      <c r="G919" s="136"/>
      <c r="H919" s="136"/>
      <c r="I919" s="136"/>
      <c r="J919" s="136"/>
      <c r="K919" s="136"/>
      <c r="L919" s="136"/>
      <c r="M919" s="136"/>
      <c r="N919" s="136"/>
      <c r="O919" s="136"/>
      <c r="P919" s="136"/>
      <c r="Q919" s="136"/>
      <c r="R919" s="136"/>
      <c r="S919" s="136"/>
      <c r="T919" s="136"/>
      <c r="U919" s="136"/>
      <c r="V919" s="136"/>
      <c r="W919" s="136"/>
      <c r="X919" s="137"/>
      <c r="Y919" s="274"/>
      <c r="Z919" s="134"/>
      <c r="AA919" s="136"/>
      <c r="AB919" s="136"/>
      <c r="AC919" s="139"/>
      <c r="AD919" s="139"/>
      <c r="AE919" s="139"/>
      <c r="AF919" s="139"/>
    </row>
    <row r="920" spans="1:32" ht="12.75">
      <c r="A920" s="134"/>
      <c r="B920" s="135"/>
      <c r="C920" s="136"/>
      <c r="D920" s="136"/>
      <c r="E920" s="136"/>
      <c r="F920" s="136"/>
      <c r="G920" s="136"/>
      <c r="H920" s="136"/>
      <c r="I920" s="136"/>
      <c r="J920" s="136"/>
      <c r="K920" s="136"/>
      <c r="L920" s="136"/>
      <c r="M920" s="136"/>
      <c r="N920" s="136"/>
      <c r="O920" s="136"/>
      <c r="P920" s="136"/>
      <c r="Q920" s="136"/>
      <c r="R920" s="136"/>
      <c r="S920" s="136"/>
      <c r="T920" s="136"/>
      <c r="U920" s="136"/>
      <c r="V920" s="136"/>
      <c r="W920" s="136"/>
      <c r="X920" s="137"/>
      <c r="Y920" s="274"/>
      <c r="Z920" s="134"/>
      <c r="AA920" s="136"/>
      <c r="AB920" s="136"/>
      <c r="AC920" s="139"/>
      <c r="AD920" s="139"/>
      <c r="AE920" s="139"/>
      <c r="AF920" s="139"/>
    </row>
    <row r="921" spans="1:32" ht="12.75">
      <c r="A921" s="134"/>
      <c r="B921" s="135"/>
      <c r="C921" s="136"/>
      <c r="D921" s="136"/>
      <c r="E921" s="136"/>
      <c r="F921" s="136"/>
      <c r="G921" s="136"/>
      <c r="H921" s="136"/>
      <c r="I921" s="136"/>
      <c r="J921" s="136"/>
      <c r="K921" s="136"/>
      <c r="L921" s="136"/>
      <c r="M921" s="136"/>
      <c r="N921" s="136"/>
      <c r="O921" s="136"/>
      <c r="P921" s="136"/>
      <c r="Q921" s="136"/>
      <c r="R921" s="136"/>
      <c r="S921" s="136"/>
      <c r="T921" s="136"/>
      <c r="U921" s="136"/>
      <c r="V921" s="136"/>
      <c r="W921" s="136"/>
      <c r="X921" s="137"/>
      <c r="Y921" s="274"/>
      <c r="Z921" s="134"/>
      <c r="AA921" s="136"/>
      <c r="AB921" s="136"/>
      <c r="AC921" s="139"/>
      <c r="AD921" s="139"/>
      <c r="AE921" s="139"/>
      <c r="AF921" s="139"/>
    </row>
    <row r="922" spans="1:32" ht="12.75">
      <c r="A922" s="134"/>
      <c r="B922" s="135"/>
      <c r="C922" s="136"/>
      <c r="D922" s="136"/>
      <c r="E922" s="136"/>
      <c r="F922" s="136"/>
      <c r="G922" s="136"/>
      <c r="H922" s="136"/>
      <c r="I922" s="136"/>
      <c r="J922" s="136"/>
      <c r="K922" s="136"/>
      <c r="L922" s="136"/>
      <c r="M922" s="136"/>
      <c r="N922" s="136"/>
      <c r="O922" s="136"/>
      <c r="P922" s="136"/>
      <c r="Q922" s="136"/>
      <c r="R922" s="136"/>
      <c r="S922" s="136"/>
      <c r="T922" s="136"/>
      <c r="U922" s="136"/>
      <c r="V922" s="136"/>
      <c r="W922" s="136"/>
      <c r="X922" s="137"/>
      <c r="Y922" s="274"/>
      <c r="Z922" s="134"/>
      <c r="AA922" s="136"/>
      <c r="AB922" s="136"/>
      <c r="AC922" s="139"/>
      <c r="AD922" s="139"/>
      <c r="AE922" s="139"/>
      <c r="AF922" s="139"/>
    </row>
    <row r="923" spans="1:32" ht="12.75">
      <c r="A923" s="134"/>
      <c r="B923" s="135"/>
      <c r="C923" s="136"/>
      <c r="D923" s="136"/>
      <c r="E923" s="136"/>
      <c r="F923" s="136"/>
      <c r="G923" s="136"/>
      <c r="H923" s="136"/>
      <c r="I923" s="136"/>
      <c r="J923" s="136"/>
      <c r="K923" s="136"/>
      <c r="L923" s="136"/>
      <c r="M923" s="136"/>
      <c r="N923" s="136"/>
      <c r="O923" s="136"/>
      <c r="P923" s="136"/>
      <c r="Q923" s="136"/>
      <c r="R923" s="136"/>
      <c r="S923" s="136"/>
      <c r="T923" s="136"/>
      <c r="U923" s="136"/>
      <c r="V923" s="136"/>
      <c r="W923" s="136"/>
      <c r="X923" s="137"/>
      <c r="Y923" s="274"/>
      <c r="Z923" s="134"/>
      <c r="AA923" s="136"/>
      <c r="AB923" s="136"/>
      <c r="AC923" s="139"/>
      <c r="AD923" s="139"/>
      <c r="AE923" s="139"/>
      <c r="AF923" s="139"/>
    </row>
    <row r="924" spans="1:32" ht="12.75">
      <c r="A924" s="134"/>
      <c r="B924" s="135"/>
      <c r="C924" s="136"/>
      <c r="D924" s="136"/>
      <c r="E924" s="136"/>
      <c r="F924" s="136"/>
      <c r="G924" s="136"/>
      <c r="H924" s="136"/>
      <c r="I924" s="136"/>
      <c r="J924" s="136"/>
      <c r="K924" s="136"/>
      <c r="L924" s="136"/>
      <c r="M924" s="136"/>
      <c r="N924" s="136"/>
      <c r="O924" s="136"/>
      <c r="P924" s="136"/>
      <c r="Q924" s="136"/>
      <c r="R924" s="136"/>
      <c r="S924" s="136"/>
      <c r="T924" s="136"/>
      <c r="U924" s="136"/>
      <c r="V924" s="136"/>
      <c r="W924" s="136"/>
      <c r="X924" s="137"/>
      <c r="Y924" s="274"/>
      <c r="Z924" s="134"/>
      <c r="AA924" s="136"/>
      <c r="AB924" s="136"/>
      <c r="AC924" s="139"/>
      <c r="AD924" s="139"/>
      <c r="AE924" s="139"/>
      <c r="AF924" s="139"/>
    </row>
    <row r="925" spans="1:32" ht="12.75">
      <c r="A925" s="134"/>
      <c r="B925" s="135"/>
      <c r="C925" s="136"/>
      <c r="D925" s="136"/>
      <c r="E925" s="136"/>
      <c r="F925" s="136"/>
      <c r="G925" s="136"/>
      <c r="H925" s="136"/>
      <c r="I925" s="136"/>
      <c r="J925" s="136"/>
      <c r="K925" s="136"/>
      <c r="L925" s="136"/>
      <c r="M925" s="136"/>
      <c r="N925" s="136"/>
      <c r="O925" s="136"/>
      <c r="P925" s="136"/>
      <c r="Q925" s="136"/>
      <c r="R925" s="136"/>
      <c r="S925" s="136"/>
      <c r="T925" s="136"/>
      <c r="U925" s="136"/>
      <c r="V925" s="136"/>
      <c r="W925" s="136"/>
      <c r="X925" s="137"/>
      <c r="Y925" s="274"/>
      <c r="Z925" s="134"/>
      <c r="AA925" s="136"/>
      <c r="AB925" s="136"/>
      <c r="AC925" s="139"/>
      <c r="AD925" s="139"/>
      <c r="AE925" s="139"/>
      <c r="AF925" s="139"/>
    </row>
    <row r="926" spans="1:32" ht="12.75">
      <c r="A926" s="134"/>
      <c r="B926" s="135"/>
      <c r="C926" s="136"/>
      <c r="D926" s="136"/>
      <c r="E926" s="136"/>
      <c r="F926" s="136"/>
      <c r="G926" s="136"/>
      <c r="H926" s="136"/>
      <c r="I926" s="136"/>
      <c r="J926" s="136"/>
      <c r="K926" s="136"/>
      <c r="L926" s="136"/>
      <c r="M926" s="136"/>
      <c r="N926" s="136"/>
      <c r="O926" s="136"/>
      <c r="P926" s="136"/>
      <c r="Q926" s="136"/>
      <c r="R926" s="136"/>
      <c r="S926" s="136"/>
      <c r="T926" s="136"/>
      <c r="U926" s="136"/>
      <c r="V926" s="136"/>
      <c r="W926" s="136"/>
      <c r="X926" s="137"/>
      <c r="Y926" s="274"/>
      <c r="Z926" s="134"/>
      <c r="AA926" s="136"/>
      <c r="AB926" s="136"/>
      <c r="AC926" s="139"/>
      <c r="AD926" s="139"/>
      <c r="AE926" s="139"/>
      <c r="AF926" s="139"/>
    </row>
    <row r="927" spans="1:32" ht="12.75">
      <c r="A927" s="134"/>
      <c r="B927" s="135"/>
      <c r="C927" s="136"/>
      <c r="D927" s="136"/>
      <c r="E927" s="136"/>
      <c r="F927" s="136"/>
      <c r="G927" s="136"/>
      <c r="H927" s="136"/>
      <c r="I927" s="136"/>
      <c r="J927" s="136"/>
      <c r="K927" s="136"/>
      <c r="L927" s="136"/>
      <c r="M927" s="136"/>
      <c r="N927" s="136"/>
      <c r="O927" s="136"/>
      <c r="P927" s="136"/>
      <c r="Q927" s="136"/>
      <c r="R927" s="136"/>
      <c r="S927" s="136"/>
      <c r="T927" s="136"/>
      <c r="U927" s="136"/>
      <c r="V927" s="136"/>
      <c r="W927" s="136"/>
      <c r="X927" s="137"/>
      <c r="Y927" s="274"/>
      <c r="Z927" s="134"/>
      <c r="AA927" s="136"/>
      <c r="AB927" s="136"/>
      <c r="AC927" s="139"/>
      <c r="AD927" s="139"/>
      <c r="AE927" s="139"/>
      <c r="AF927" s="139"/>
    </row>
    <row r="928" spans="1:32" ht="12.75">
      <c r="A928" s="134"/>
      <c r="B928" s="135"/>
      <c r="C928" s="136"/>
      <c r="D928" s="136"/>
      <c r="E928" s="136"/>
      <c r="F928" s="136"/>
      <c r="G928" s="136"/>
      <c r="H928" s="136"/>
      <c r="I928" s="136"/>
      <c r="J928" s="136"/>
      <c r="K928" s="136"/>
      <c r="L928" s="136"/>
      <c r="M928" s="136"/>
      <c r="N928" s="136"/>
      <c r="O928" s="136"/>
      <c r="P928" s="136"/>
      <c r="Q928" s="136"/>
      <c r="R928" s="136"/>
      <c r="S928" s="136"/>
      <c r="T928" s="136"/>
      <c r="U928" s="136"/>
      <c r="V928" s="136"/>
      <c r="W928" s="136"/>
      <c r="X928" s="137"/>
      <c r="Y928" s="274"/>
      <c r="Z928" s="134"/>
      <c r="AA928" s="136"/>
      <c r="AB928" s="136"/>
      <c r="AC928" s="139"/>
      <c r="AD928" s="139"/>
      <c r="AE928" s="139"/>
      <c r="AF928" s="139"/>
    </row>
    <row r="929" spans="1:32" ht="12.75">
      <c r="A929" s="134"/>
      <c r="B929" s="135"/>
      <c r="C929" s="136"/>
      <c r="D929" s="136"/>
      <c r="E929" s="136"/>
      <c r="F929" s="136"/>
      <c r="G929" s="136"/>
      <c r="H929" s="136"/>
      <c r="I929" s="136"/>
      <c r="J929" s="136"/>
      <c r="K929" s="136"/>
      <c r="L929" s="136"/>
      <c r="M929" s="136"/>
      <c r="N929" s="136"/>
      <c r="O929" s="136"/>
      <c r="P929" s="136"/>
      <c r="Q929" s="136"/>
      <c r="R929" s="136"/>
      <c r="S929" s="136"/>
      <c r="T929" s="136"/>
      <c r="U929" s="136"/>
      <c r="V929" s="136"/>
      <c r="W929" s="136"/>
      <c r="X929" s="137"/>
      <c r="Y929" s="274"/>
      <c r="Z929" s="134"/>
      <c r="AA929" s="136"/>
      <c r="AB929" s="136"/>
      <c r="AC929" s="139"/>
      <c r="AD929" s="139"/>
      <c r="AE929" s="139"/>
      <c r="AF929" s="139"/>
    </row>
    <row r="930" spans="1:32" ht="12.75">
      <c r="A930" s="134"/>
      <c r="B930" s="135"/>
      <c r="C930" s="136"/>
      <c r="D930" s="136"/>
      <c r="E930" s="136"/>
      <c r="F930" s="136"/>
      <c r="G930" s="136"/>
      <c r="H930" s="136"/>
      <c r="I930" s="136"/>
      <c r="J930" s="136"/>
      <c r="K930" s="136"/>
      <c r="L930" s="136"/>
      <c r="M930" s="136"/>
      <c r="N930" s="136"/>
      <c r="O930" s="136"/>
      <c r="P930" s="136"/>
      <c r="Q930" s="136"/>
      <c r="R930" s="136"/>
      <c r="S930" s="136"/>
      <c r="T930" s="136"/>
      <c r="U930" s="136"/>
      <c r="V930" s="136"/>
      <c r="W930" s="136"/>
      <c r="X930" s="137"/>
      <c r="Y930" s="274"/>
      <c r="Z930" s="134"/>
      <c r="AA930" s="136"/>
      <c r="AB930" s="136"/>
      <c r="AC930" s="139"/>
      <c r="AD930" s="139"/>
      <c r="AE930" s="139"/>
      <c r="AF930" s="139"/>
    </row>
    <row r="931" spans="1:32" ht="12.75">
      <c r="A931" s="134"/>
      <c r="B931" s="135"/>
      <c r="C931" s="136"/>
      <c r="D931" s="136"/>
      <c r="E931" s="136"/>
      <c r="F931" s="136"/>
      <c r="G931" s="136"/>
      <c r="H931" s="136"/>
      <c r="I931" s="136"/>
      <c r="J931" s="136"/>
      <c r="K931" s="136"/>
      <c r="L931" s="136"/>
      <c r="M931" s="136"/>
      <c r="N931" s="136"/>
      <c r="O931" s="136"/>
      <c r="P931" s="136"/>
      <c r="Q931" s="136"/>
      <c r="R931" s="136"/>
      <c r="S931" s="136"/>
      <c r="T931" s="136"/>
      <c r="U931" s="136"/>
      <c r="V931" s="136"/>
      <c r="W931" s="136"/>
      <c r="X931" s="137"/>
      <c r="Y931" s="274"/>
      <c r="Z931" s="134"/>
      <c r="AA931" s="136"/>
      <c r="AB931" s="136"/>
      <c r="AC931" s="139"/>
      <c r="AD931" s="139"/>
      <c r="AE931" s="139"/>
      <c r="AF931" s="139"/>
    </row>
    <row r="932" spans="1:32" ht="12.75">
      <c r="A932" s="134"/>
      <c r="B932" s="135"/>
      <c r="C932" s="136"/>
      <c r="D932" s="136"/>
      <c r="E932" s="136"/>
      <c r="F932" s="136"/>
      <c r="G932" s="136"/>
      <c r="H932" s="136"/>
      <c r="I932" s="136"/>
      <c r="J932" s="136"/>
      <c r="K932" s="136"/>
      <c r="L932" s="136"/>
      <c r="M932" s="136"/>
      <c r="N932" s="136"/>
      <c r="O932" s="136"/>
      <c r="P932" s="136"/>
      <c r="Q932" s="136"/>
      <c r="R932" s="136"/>
      <c r="S932" s="136"/>
      <c r="T932" s="136"/>
      <c r="U932" s="136"/>
      <c r="V932" s="136"/>
      <c r="W932" s="136"/>
      <c r="X932" s="137"/>
      <c r="Y932" s="274"/>
      <c r="Z932" s="134"/>
      <c r="AA932" s="136"/>
      <c r="AB932" s="136"/>
      <c r="AC932" s="139"/>
      <c r="AD932" s="139"/>
      <c r="AE932" s="139"/>
      <c r="AF932" s="139"/>
    </row>
    <row r="933" spans="1:32" ht="12.75">
      <c r="A933" s="134"/>
      <c r="B933" s="135"/>
      <c r="C933" s="136"/>
      <c r="D933" s="136"/>
      <c r="E933" s="136"/>
      <c r="F933" s="136"/>
      <c r="G933" s="136"/>
      <c r="H933" s="136"/>
      <c r="I933" s="136"/>
      <c r="J933" s="136"/>
      <c r="K933" s="136"/>
      <c r="L933" s="136"/>
      <c r="M933" s="136"/>
      <c r="N933" s="136"/>
      <c r="O933" s="136"/>
      <c r="P933" s="136"/>
      <c r="Q933" s="136"/>
      <c r="R933" s="136"/>
      <c r="S933" s="136"/>
      <c r="T933" s="136"/>
      <c r="U933" s="136"/>
      <c r="V933" s="136"/>
      <c r="W933" s="136"/>
      <c r="X933" s="137"/>
      <c r="Y933" s="274"/>
      <c r="Z933" s="134"/>
      <c r="AA933" s="136"/>
      <c r="AB933" s="136"/>
      <c r="AC933" s="139"/>
      <c r="AD933" s="139"/>
      <c r="AE933" s="139"/>
      <c r="AF933" s="139"/>
    </row>
    <row r="934" spans="1:32" ht="12.75">
      <c r="A934" s="134"/>
      <c r="B934" s="135"/>
      <c r="C934" s="136"/>
      <c r="D934" s="136"/>
      <c r="E934" s="136"/>
      <c r="F934" s="136"/>
      <c r="G934" s="136"/>
      <c r="H934" s="136"/>
      <c r="I934" s="136"/>
      <c r="J934" s="136"/>
      <c r="K934" s="136"/>
      <c r="L934" s="136"/>
      <c r="M934" s="136"/>
      <c r="N934" s="136"/>
      <c r="O934" s="136"/>
      <c r="P934" s="136"/>
      <c r="Q934" s="136"/>
      <c r="R934" s="136"/>
      <c r="S934" s="136"/>
      <c r="T934" s="136"/>
      <c r="U934" s="136"/>
      <c r="V934" s="136"/>
      <c r="W934" s="136"/>
      <c r="X934" s="137"/>
      <c r="Y934" s="274"/>
      <c r="Z934" s="134"/>
      <c r="AA934" s="136"/>
      <c r="AB934" s="136"/>
      <c r="AC934" s="139"/>
      <c r="AD934" s="139"/>
      <c r="AE934" s="139"/>
      <c r="AF934" s="139"/>
    </row>
    <row r="935" spans="1:32" ht="12.75">
      <c r="A935" s="134"/>
      <c r="B935" s="135"/>
      <c r="C935" s="136"/>
      <c r="D935" s="136"/>
      <c r="E935" s="136"/>
      <c r="F935" s="136"/>
      <c r="G935" s="136"/>
      <c r="H935" s="136"/>
      <c r="I935" s="136"/>
      <c r="J935" s="136"/>
      <c r="K935" s="136"/>
      <c r="L935" s="136"/>
      <c r="M935" s="136"/>
      <c r="N935" s="136"/>
      <c r="O935" s="136"/>
      <c r="P935" s="136"/>
      <c r="Q935" s="136"/>
      <c r="R935" s="136"/>
      <c r="S935" s="136"/>
      <c r="T935" s="136"/>
      <c r="U935" s="136"/>
      <c r="V935" s="136"/>
      <c r="W935" s="136"/>
      <c r="X935" s="137"/>
      <c r="Y935" s="274"/>
      <c r="Z935" s="134"/>
      <c r="AA935" s="136"/>
      <c r="AB935" s="136"/>
      <c r="AC935" s="139"/>
      <c r="AD935" s="139"/>
      <c r="AE935" s="139"/>
      <c r="AF935" s="139"/>
    </row>
    <row r="936" spans="1:32" ht="12.75">
      <c r="A936" s="134"/>
      <c r="B936" s="135"/>
      <c r="C936" s="136"/>
      <c r="D936" s="136"/>
      <c r="E936" s="136"/>
      <c r="F936" s="136"/>
      <c r="G936" s="136"/>
      <c r="H936" s="136"/>
      <c r="I936" s="136"/>
      <c r="J936" s="136"/>
      <c r="K936" s="136"/>
      <c r="L936" s="136"/>
      <c r="M936" s="136"/>
      <c r="N936" s="136"/>
      <c r="O936" s="136"/>
      <c r="P936" s="136"/>
      <c r="Q936" s="136"/>
      <c r="R936" s="136"/>
      <c r="S936" s="136"/>
      <c r="T936" s="136"/>
      <c r="U936" s="136"/>
      <c r="V936" s="136"/>
      <c r="W936" s="136"/>
      <c r="X936" s="137"/>
      <c r="Y936" s="274"/>
      <c r="Z936" s="134"/>
      <c r="AA936" s="136"/>
      <c r="AB936" s="136"/>
      <c r="AC936" s="139"/>
      <c r="AD936" s="139"/>
      <c r="AE936" s="139"/>
      <c r="AF936" s="139"/>
    </row>
    <row r="937" spans="1:32" ht="12.75">
      <c r="A937" s="134"/>
      <c r="B937" s="135"/>
      <c r="C937" s="136"/>
      <c r="D937" s="136"/>
      <c r="E937" s="136"/>
      <c r="F937" s="136"/>
      <c r="G937" s="136"/>
      <c r="H937" s="136"/>
      <c r="I937" s="136"/>
      <c r="J937" s="136"/>
      <c r="K937" s="136"/>
      <c r="L937" s="136"/>
      <c r="M937" s="136"/>
      <c r="N937" s="136"/>
      <c r="O937" s="136"/>
      <c r="P937" s="136"/>
      <c r="Q937" s="136"/>
      <c r="R937" s="136"/>
      <c r="S937" s="136"/>
      <c r="T937" s="136"/>
      <c r="U937" s="136"/>
      <c r="V937" s="136"/>
      <c r="W937" s="136"/>
      <c r="X937" s="137"/>
      <c r="Y937" s="274"/>
      <c r="Z937" s="134"/>
      <c r="AA937" s="136"/>
      <c r="AB937" s="136"/>
      <c r="AC937" s="139"/>
      <c r="AD937" s="139"/>
      <c r="AE937" s="139"/>
      <c r="AF937" s="139"/>
    </row>
    <row r="938" spans="1:32" ht="12.75">
      <c r="A938" s="134"/>
      <c r="B938" s="135"/>
      <c r="C938" s="136"/>
      <c r="D938" s="136"/>
      <c r="E938" s="136"/>
      <c r="F938" s="136"/>
      <c r="G938" s="136"/>
      <c r="H938" s="136"/>
      <c r="I938" s="136"/>
      <c r="J938" s="136"/>
      <c r="K938" s="136"/>
      <c r="L938" s="136"/>
      <c r="M938" s="136"/>
      <c r="N938" s="136"/>
      <c r="O938" s="136"/>
      <c r="P938" s="136"/>
      <c r="Q938" s="136"/>
      <c r="R938" s="136"/>
      <c r="S938" s="136"/>
      <c r="T938" s="136"/>
      <c r="U938" s="136"/>
      <c r="V938" s="136"/>
      <c r="W938" s="136"/>
      <c r="X938" s="137"/>
      <c r="Y938" s="274"/>
      <c r="Z938" s="134"/>
      <c r="AA938" s="136"/>
      <c r="AB938" s="136"/>
      <c r="AC938" s="139"/>
      <c r="AD938" s="139"/>
      <c r="AE938" s="139"/>
      <c r="AF938" s="139"/>
    </row>
    <row r="939" spans="1:32" ht="12.75">
      <c r="A939" s="134"/>
      <c r="B939" s="135"/>
      <c r="C939" s="136"/>
      <c r="D939" s="136"/>
      <c r="E939" s="136"/>
      <c r="F939" s="136"/>
      <c r="G939" s="136"/>
      <c r="H939" s="136"/>
      <c r="I939" s="136"/>
      <c r="J939" s="136"/>
      <c r="K939" s="136"/>
      <c r="L939" s="136"/>
      <c r="M939" s="136"/>
      <c r="N939" s="136"/>
      <c r="O939" s="136"/>
      <c r="P939" s="136"/>
      <c r="Q939" s="136"/>
      <c r="R939" s="136"/>
      <c r="S939" s="136"/>
      <c r="T939" s="136"/>
      <c r="U939" s="136"/>
      <c r="V939" s="136"/>
      <c r="W939" s="136"/>
      <c r="X939" s="137"/>
      <c r="Y939" s="274"/>
      <c r="Z939" s="134"/>
      <c r="AA939" s="136"/>
      <c r="AB939" s="136"/>
      <c r="AC939" s="139"/>
      <c r="AD939" s="139"/>
      <c r="AE939" s="139"/>
      <c r="AF939" s="139"/>
    </row>
    <row r="940" spans="1:32" ht="12.75">
      <c r="A940" s="134"/>
      <c r="B940" s="135"/>
      <c r="C940" s="136"/>
      <c r="D940" s="136"/>
      <c r="E940" s="136"/>
      <c r="F940" s="136"/>
      <c r="G940" s="136"/>
      <c r="H940" s="136"/>
      <c r="I940" s="136"/>
      <c r="J940" s="136"/>
      <c r="K940" s="136"/>
      <c r="L940" s="136"/>
      <c r="M940" s="136"/>
      <c r="N940" s="136"/>
      <c r="O940" s="136"/>
      <c r="P940" s="136"/>
      <c r="Q940" s="136"/>
      <c r="R940" s="136"/>
      <c r="S940" s="136"/>
      <c r="T940" s="136"/>
      <c r="U940" s="136"/>
      <c r="V940" s="136"/>
      <c r="W940" s="136"/>
      <c r="X940" s="137"/>
      <c r="Y940" s="274"/>
      <c r="Z940" s="134"/>
      <c r="AA940" s="136"/>
      <c r="AB940" s="136"/>
      <c r="AC940" s="139"/>
      <c r="AD940" s="139"/>
      <c r="AE940" s="139"/>
      <c r="AF940" s="139"/>
    </row>
  </sheetData>
  <mergeCells count="1">
    <mergeCell ref="H3:W3"/>
  </mergeCells>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FF00"/>
    <outlinePr summaryBelow="0" summaryRight="0"/>
  </sheetPr>
  <dimension ref="A1:H997"/>
  <sheetViews>
    <sheetView showGridLines="0" workbookViewId="0"/>
  </sheetViews>
  <sheetFormatPr defaultColWidth="12.5703125" defaultRowHeight="15.75" customHeight="1"/>
  <cols>
    <col min="1" max="1" width="65" customWidth="1"/>
    <col min="2" max="2" width="14.5703125" customWidth="1"/>
    <col min="3" max="3" width="7.85546875" customWidth="1"/>
    <col min="5" max="5" width="15.140625" customWidth="1"/>
    <col min="6" max="6" width="22.140625" customWidth="1"/>
    <col min="7" max="7" width="14.42578125" customWidth="1"/>
    <col min="8" max="8" width="17.85546875" customWidth="1"/>
  </cols>
  <sheetData>
    <row r="1" spans="1:8" ht="12.75">
      <c r="A1" s="1349" t="s">
        <v>89</v>
      </c>
      <c r="B1" s="1351" t="s">
        <v>91</v>
      </c>
      <c r="C1" s="81" t="s">
        <v>92</v>
      </c>
      <c r="D1" s="81" t="s">
        <v>93</v>
      </c>
      <c r="E1" s="275" t="s">
        <v>94</v>
      </c>
      <c r="F1" s="276" t="s">
        <v>95</v>
      </c>
      <c r="G1" s="277" t="s">
        <v>96</v>
      </c>
      <c r="H1" s="74" t="s">
        <v>97</v>
      </c>
    </row>
    <row r="2" spans="1:8" ht="15.75" customHeight="1">
      <c r="A2" s="1350" t="s">
        <v>100</v>
      </c>
      <c r="B2" s="1422"/>
      <c r="C2" s="8" t="str">
        <f>VLOOKUP(A2,DB!$D$2:E997,2,0)</f>
        <v>pc</v>
      </c>
      <c r="D2" s="278">
        <f>VLOOKUP(A2,DB!$D$2:I997,6,0)</f>
        <v>80</v>
      </c>
      <c r="E2" s="60">
        <f t="shared" ref="E2:E146" si="0">B2*D2</f>
        <v>0</v>
      </c>
      <c r="F2" s="61">
        <v>80</v>
      </c>
      <c r="G2" s="62">
        <f t="shared" ref="G2:G146" si="1">F2*D2</f>
        <v>6400</v>
      </c>
    </row>
    <row r="3" spans="1:8" ht="15.75" customHeight="1">
      <c r="A3" s="1354" t="s">
        <v>102</v>
      </c>
      <c r="B3" s="1423"/>
      <c r="C3" s="8" t="str">
        <f>VLOOKUP(A3,DB!$D$2:E997,2,0)</f>
        <v>pc</v>
      </c>
      <c r="D3" s="278">
        <f>VLOOKUP(A3,DB!$D$2:I997,6,0)</f>
        <v>255</v>
      </c>
      <c r="E3" s="60">
        <f t="shared" si="0"/>
        <v>0</v>
      </c>
      <c r="F3" s="61">
        <v>4</v>
      </c>
      <c r="G3" s="62">
        <f t="shared" si="1"/>
        <v>1020</v>
      </c>
    </row>
    <row r="4" spans="1:8" ht="15.75" customHeight="1">
      <c r="A4" s="1354" t="s">
        <v>104</v>
      </c>
      <c r="B4" s="1423"/>
      <c r="C4" s="8" t="str">
        <f>VLOOKUP(A4,DB!$D$2:E997,2,0)</f>
        <v>pc</v>
      </c>
      <c r="D4" s="278">
        <f>VLOOKUP(A4,DB!$D$2:I997,6,0)</f>
        <v>19927.7</v>
      </c>
      <c r="E4" s="60">
        <f t="shared" si="0"/>
        <v>0</v>
      </c>
      <c r="F4" s="61">
        <v>20</v>
      </c>
      <c r="G4" s="62">
        <f t="shared" si="1"/>
        <v>398554</v>
      </c>
    </row>
    <row r="5" spans="1:8" ht="15.75" customHeight="1">
      <c r="A5" s="1354" t="s">
        <v>105</v>
      </c>
      <c r="B5" s="1423"/>
      <c r="C5" s="8" t="str">
        <f>VLOOKUP(A5,DB!$D$2:E997,2,0)</f>
        <v>pc</v>
      </c>
      <c r="D5" s="278">
        <f>VLOOKUP(A5,DB!$D$2:I997,6,0)</f>
        <v>229.5</v>
      </c>
      <c r="E5" s="60">
        <f t="shared" si="0"/>
        <v>0</v>
      </c>
      <c r="F5" s="61">
        <v>30</v>
      </c>
      <c r="G5" s="62">
        <f t="shared" si="1"/>
        <v>6885</v>
      </c>
    </row>
    <row r="6" spans="1:8" ht="15.75" customHeight="1">
      <c r="A6" s="1354" t="s">
        <v>106</v>
      </c>
      <c r="B6" s="1423"/>
      <c r="C6" s="8" t="str">
        <f>VLOOKUP(A6,DB!$D$2:E997,2,0)</f>
        <v>pc</v>
      </c>
      <c r="D6" s="278">
        <f>VLOOKUP(A6,DB!$D$2:I997,6,0)</f>
        <v>240</v>
      </c>
      <c r="E6" s="60">
        <f t="shared" si="0"/>
        <v>0</v>
      </c>
      <c r="F6" s="61">
        <v>5</v>
      </c>
      <c r="G6" s="62">
        <f t="shared" si="1"/>
        <v>1200</v>
      </c>
    </row>
    <row r="7" spans="1:8" ht="15.75" customHeight="1">
      <c r="A7" s="1354" t="s">
        <v>36</v>
      </c>
      <c r="B7" s="1423"/>
      <c r="C7" s="8" t="str">
        <f>VLOOKUP(A7,DB!$D$2:E997,2,0)</f>
        <v>pc</v>
      </c>
      <c r="D7" s="278">
        <f>VLOOKUP(A7,DB!$D$2:I997,6,0)</f>
        <v>3900</v>
      </c>
      <c r="E7" s="60">
        <f t="shared" si="0"/>
        <v>0</v>
      </c>
      <c r="F7" s="61">
        <v>20</v>
      </c>
      <c r="G7" s="62">
        <f t="shared" si="1"/>
        <v>78000</v>
      </c>
    </row>
    <row r="8" spans="1:8" ht="15.75" customHeight="1">
      <c r="A8" s="1354" t="s">
        <v>356</v>
      </c>
      <c r="B8" s="1423"/>
      <c r="C8" s="8" t="str">
        <f>VLOOKUP(A8,DB!$D$2:E997,2,0)</f>
        <v>lot</v>
      </c>
      <c r="D8" s="278">
        <f>VLOOKUP(A8,DB!$D$2:I997,6,0)</f>
        <v>6000000</v>
      </c>
      <c r="E8" s="60">
        <f t="shared" si="0"/>
        <v>0</v>
      </c>
      <c r="F8" s="61">
        <v>5</v>
      </c>
      <c r="G8" s="62">
        <f t="shared" si="1"/>
        <v>30000000</v>
      </c>
    </row>
    <row r="9" spans="1:8" ht="15.75" customHeight="1">
      <c r="A9" s="1354" t="s">
        <v>111</v>
      </c>
      <c r="B9" s="1423"/>
      <c r="C9" s="8" t="str">
        <f>VLOOKUP(A9,DB!$D$2:E997,2,0)</f>
        <v>pc</v>
      </c>
      <c r="D9" s="278">
        <f>VLOOKUP(A9,DB!$D$2:I997,6,0)</f>
        <v>4200</v>
      </c>
      <c r="E9" s="60">
        <f t="shared" si="0"/>
        <v>0</v>
      </c>
      <c r="F9" s="61">
        <v>1</v>
      </c>
      <c r="G9" s="62">
        <f t="shared" si="1"/>
        <v>4200</v>
      </c>
    </row>
    <row r="10" spans="1:8" ht="15.75" customHeight="1">
      <c r="A10" s="1354" t="s">
        <v>21</v>
      </c>
      <c r="B10" s="1423"/>
      <c r="C10" s="8" t="str">
        <f>VLOOKUP(A10,DB!$D$2:E997,2,0)</f>
        <v>set</v>
      </c>
      <c r="D10" s="278">
        <f>VLOOKUP(A10,DB!$D$2:I997,6,0)</f>
        <v>375</v>
      </c>
      <c r="E10" s="60">
        <f t="shared" si="0"/>
        <v>0</v>
      </c>
      <c r="F10" s="61">
        <v>7</v>
      </c>
      <c r="G10" s="62">
        <f t="shared" si="1"/>
        <v>2625</v>
      </c>
    </row>
    <row r="11" spans="1:8" ht="15.75" customHeight="1">
      <c r="A11" s="1354" t="s">
        <v>119</v>
      </c>
      <c r="B11" s="1423"/>
      <c r="C11" s="8" t="str">
        <f>VLOOKUP(A11,DB!$D$2:E997,2,0)</f>
        <v>pc</v>
      </c>
      <c r="D11" s="278">
        <f>VLOOKUP(A11,DB!$D$2:I997,6,0)</f>
        <v>300</v>
      </c>
      <c r="E11" s="60">
        <f t="shared" si="0"/>
        <v>0</v>
      </c>
      <c r="F11" s="61">
        <v>30</v>
      </c>
      <c r="G11" s="62">
        <f t="shared" si="1"/>
        <v>9000</v>
      </c>
    </row>
    <row r="12" spans="1:8" ht="15.75" customHeight="1">
      <c r="A12" s="1354" t="s">
        <v>120</v>
      </c>
      <c r="B12" s="1423"/>
      <c r="C12" s="8" t="str">
        <f>VLOOKUP(A12,DB!$D$2:E997,2,0)</f>
        <v>pc</v>
      </c>
      <c r="D12" s="278">
        <f>VLOOKUP(A12,DB!$D$2:I997,6,0)</f>
        <v>8700</v>
      </c>
      <c r="E12" s="60">
        <f t="shared" si="0"/>
        <v>0</v>
      </c>
      <c r="F12" s="61">
        <v>10</v>
      </c>
      <c r="G12" s="62">
        <f t="shared" si="1"/>
        <v>87000</v>
      </c>
    </row>
    <row r="13" spans="1:8" ht="15.75" customHeight="1">
      <c r="A13" s="1354" t="s">
        <v>131</v>
      </c>
      <c r="B13" s="1423"/>
      <c r="C13" s="8" t="str">
        <f>VLOOKUP(A13,DB!$D$2:E997,2,0)</f>
        <v>pc</v>
      </c>
      <c r="D13" s="278">
        <f>VLOOKUP(A13,DB!$D$2:I997,6,0)</f>
        <v>5700</v>
      </c>
      <c r="E13" s="60">
        <f t="shared" si="0"/>
        <v>0</v>
      </c>
      <c r="F13" s="61">
        <v>8</v>
      </c>
      <c r="G13" s="62">
        <f t="shared" si="1"/>
        <v>45600</v>
      </c>
    </row>
    <row r="14" spans="1:8" ht="15.75" customHeight="1">
      <c r="A14" s="1354" t="s">
        <v>135</v>
      </c>
      <c r="B14" s="1423"/>
      <c r="C14" s="8" t="str">
        <f>VLOOKUP(A14,DB!$D$2:E997,2,0)</f>
        <v>pc</v>
      </c>
      <c r="D14" s="278">
        <f>VLOOKUP(A14,DB!$D$2:I997,6,0)</f>
        <v>375</v>
      </c>
      <c r="E14" s="60">
        <f t="shared" si="0"/>
        <v>0</v>
      </c>
      <c r="F14" s="61">
        <v>7</v>
      </c>
      <c r="G14" s="62">
        <f t="shared" si="1"/>
        <v>2625</v>
      </c>
    </row>
    <row r="15" spans="1:8" ht="15.75" customHeight="1">
      <c r="A15" s="1354" t="s">
        <v>136</v>
      </c>
      <c r="B15" s="1423"/>
      <c r="C15" s="8" t="str">
        <f>VLOOKUP(A15,DB!$D$2:E997,2,0)</f>
        <v>pc</v>
      </c>
      <c r="D15" s="278">
        <f>VLOOKUP(A15,DB!$D$2:I997,6,0)</f>
        <v>300</v>
      </c>
      <c r="E15" s="60">
        <f t="shared" si="0"/>
        <v>0</v>
      </c>
      <c r="F15" s="61">
        <v>10</v>
      </c>
      <c r="G15" s="62">
        <f t="shared" si="1"/>
        <v>3000</v>
      </c>
    </row>
    <row r="16" spans="1:8" ht="15.75" customHeight="1">
      <c r="A16" s="1354" t="s">
        <v>141</v>
      </c>
      <c r="B16" s="1423"/>
      <c r="C16" s="8" t="str">
        <f>VLOOKUP(A16,DB!$D$2:E997,2,0)</f>
        <v>pc</v>
      </c>
      <c r="D16" s="278">
        <f>VLOOKUP(A16,DB!$D$2:I997,6,0)</f>
        <v>135</v>
      </c>
      <c r="E16" s="60">
        <f t="shared" si="0"/>
        <v>0</v>
      </c>
      <c r="F16" s="61">
        <v>10</v>
      </c>
      <c r="G16" s="62">
        <f t="shared" si="1"/>
        <v>1350</v>
      </c>
    </row>
    <row r="17" spans="1:7" ht="15.75" customHeight="1">
      <c r="A17" s="1354" t="s">
        <v>142</v>
      </c>
      <c r="B17" s="1423"/>
      <c r="C17" s="8" t="str">
        <f>VLOOKUP(A17,DB!$D$2:E997,2,0)</f>
        <v>pc</v>
      </c>
      <c r="D17" s="278">
        <f>VLOOKUP(A17,DB!$D$2:I997,6,0)</f>
        <v>3750</v>
      </c>
      <c r="E17" s="60">
        <f t="shared" si="0"/>
        <v>0</v>
      </c>
      <c r="F17" s="61">
        <v>60</v>
      </c>
      <c r="G17" s="62">
        <f t="shared" si="1"/>
        <v>225000</v>
      </c>
    </row>
    <row r="18" spans="1:7" ht="15.75" customHeight="1">
      <c r="A18" s="1354" t="s">
        <v>143</v>
      </c>
      <c r="B18" s="1423"/>
      <c r="C18" s="8" t="str">
        <f>VLOOKUP(A18,DB!$D$2:E997,2,0)</f>
        <v>set</v>
      </c>
      <c r="D18" s="278">
        <f>VLOOKUP(A18,DB!$D$2:I997,6,0)</f>
        <v>6000</v>
      </c>
      <c r="E18" s="60">
        <f t="shared" si="0"/>
        <v>0</v>
      </c>
      <c r="F18" s="61">
        <v>20</v>
      </c>
      <c r="G18" s="62">
        <f t="shared" si="1"/>
        <v>120000</v>
      </c>
    </row>
    <row r="19" spans="1:7" ht="15.75" customHeight="1">
      <c r="A19" s="1354" t="s">
        <v>144</v>
      </c>
      <c r="B19" s="1423"/>
      <c r="C19" s="8" t="str">
        <f>VLOOKUP(A19,DB!$D$2:E997,2,0)</f>
        <v>pc</v>
      </c>
      <c r="D19" s="278">
        <f>VLOOKUP(A19,DB!$D$2:I997,6,0)</f>
        <v>195</v>
      </c>
      <c r="E19" s="60">
        <f t="shared" si="0"/>
        <v>0</v>
      </c>
      <c r="F19" s="61">
        <v>10</v>
      </c>
      <c r="G19" s="62">
        <f t="shared" si="1"/>
        <v>1950</v>
      </c>
    </row>
    <row r="20" spans="1:7" ht="15.75" customHeight="1">
      <c r="A20" s="1354" t="s">
        <v>145</v>
      </c>
      <c r="B20" s="1423"/>
      <c r="C20" s="8" t="str">
        <f>VLOOKUP(A20,DB!$D$2:E997,2,0)</f>
        <v>pc</v>
      </c>
      <c r="D20" s="278">
        <f>VLOOKUP(A20,DB!$D$2:I997,6,0)</f>
        <v>2250</v>
      </c>
      <c r="E20" s="60">
        <f t="shared" si="0"/>
        <v>0</v>
      </c>
      <c r="F20" s="61">
        <v>20</v>
      </c>
      <c r="G20" s="62">
        <f t="shared" si="1"/>
        <v>45000</v>
      </c>
    </row>
    <row r="21" spans="1:7" ht="15.75" customHeight="1">
      <c r="A21" s="1354" t="s">
        <v>146</v>
      </c>
      <c r="B21" s="1423"/>
      <c r="C21" s="8" t="str">
        <f>VLOOKUP(A21,DB!$D$2:E997,2,0)</f>
        <v>set</v>
      </c>
      <c r="D21" s="278">
        <f>VLOOKUP(A21,DB!$D$2:I997,6,0)</f>
        <v>195000</v>
      </c>
      <c r="E21" s="60">
        <f t="shared" si="0"/>
        <v>0</v>
      </c>
      <c r="F21" s="61">
        <v>70</v>
      </c>
      <c r="G21" s="62">
        <f t="shared" si="1"/>
        <v>13650000</v>
      </c>
    </row>
    <row r="22" spans="1:7" ht="15.75" customHeight="1">
      <c r="A22" s="1354" t="s">
        <v>148</v>
      </c>
      <c r="B22" s="1423"/>
      <c r="C22" s="8" t="str">
        <f>VLOOKUP(A22,DB!$D$2:E997,2,0)</f>
        <v>pc</v>
      </c>
      <c r="D22" s="278">
        <f>VLOOKUP(A22,DB!$D$2:I997,6,0)</f>
        <v>2100</v>
      </c>
      <c r="E22" s="60">
        <f t="shared" si="0"/>
        <v>0</v>
      </c>
      <c r="F22" s="61">
        <v>7</v>
      </c>
      <c r="G22" s="62">
        <f t="shared" si="1"/>
        <v>14700</v>
      </c>
    </row>
    <row r="23" spans="1:7" ht="15.75" customHeight="1">
      <c r="A23" s="1354" t="s">
        <v>149</v>
      </c>
      <c r="B23" s="1423"/>
      <c r="C23" s="8" t="str">
        <f>VLOOKUP(A23,DB!$D$2:E997,2,0)</f>
        <v>pc</v>
      </c>
      <c r="D23" s="278">
        <f>VLOOKUP(A23,DB!$D$2:I997,6,0)</f>
        <v>3600</v>
      </c>
      <c r="E23" s="60">
        <f t="shared" si="0"/>
        <v>0</v>
      </c>
      <c r="F23" s="61">
        <v>1</v>
      </c>
      <c r="G23" s="62">
        <f t="shared" si="1"/>
        <v>3600</v>
      </c>
    </row>
    <row r="24" spans="1:7" ht="15.75" customHeight="1">
      <c r="A24" s="1354" t="s">
        <v>150</v>
      </c>
      <c r="B24" s="1423"/>
      <c r="C24" s="8" t="str">
        <f>VLOOKUP(A24,DB!$D$2:E997,2,0)</f>
        <v>pc</v>
      </c>
      <c r="D24" s="278">
        <f>VLOOKUP(A24,DB!$D$2:I997,6,0)</f>
        <v>12000</v>
      </c>
      <c r="E24" s="60">
        <f t="shared" si="0"/>
        <v>0</v>
      </c>
      <c r="F24" s="61">
        <v>2</v>
      </c>
      <c r="G24" s="62">
        <f t="shared" si="1"/>
        <v>24000</v>
      </c>
    </row>
    <row r="25" spans="1:7" ht="15.75" customHeight="1">
      <c r="A25" s="1354" t="s">
        <v>152</v>
      </c>
      <c r="B25" s="1423"/>
      <c r="C25" s="8" t="str">
        <f>VLOOKUP(A25,DB!$D$2:E997,2,0)</f>
        <v>set</v>
      </c>
      <c r="D25" s="278">
        <f>VLOOKUP(A25,DB!$D$2:I997,6,0)</f>
        <v>52500</v>
      </c>
      <c r="E25" s="60">
        <f t="shared" si="0"/>
        <v>0</v>
      </c>
      <c r="F25" s="61">
        <v>4</v>
      </c>
      <c r="G25" s="62">
        <f t="shared" si="1"/>
        <v>210000</v>
      </c>
    </row>
    <row r="26" spans="1:7" ht="15.75" customHeight="1">
      <c r="A26" s="1354" t="s">
        <v>154</v>
      </c>
      <c r="B26" s="1423"/>
      <c r="C26" s="8" t="str">
        <f>VLOOKUP(A26,DB!$D$2:E997,2,0)</f>
        <v>pack</v>
      </c>
      <c r="D26" s="278">
        <f>VLOOKUP(A26,DB!$D$2:I997,6,0)</f>
        <v>165</v>
      </c>
      <c r="E26" s="60">
        <f t="shared" si="0"/>
        <v>0</v>
      </c>
      <c r="F26" s="61">
        <v>0</v>
      </c>
      <c r="G26" s="62">
        <f t="shared" si="1"/>
        <v>0</v>
      </c>
    </row>
    <row r="27" spans="1:7" ht="15.75" customHeight="1">
      <c r="A27" s="1354" t="s">
        <v>156</v>
      </c>
      <c r="B27" s="1423"/>
      <c r="C27" s="8" t="str">
        <f>VLOOKUP(A27,DB!$D$2:E997,2,0)</f>
        <v>pack</v>
      </c>
      <c r="D27" s="278">
        <f>VLOOKUP(A27,DB!$D$2:I997,6,0)</f>
        <v>180</v>
      </c>
      <c r="E27" s="60">
        <f t="shared" si="0"/>
        <v>0</v>
      </c>
      <c r="F27" s="61">
        <v>0</v>
      </c>
      <c r="G27" s="62">
        <f t="shared" si="1"/>
        <v>0</v>
      </c>
    </row>
    <row r="28" spans="1:7" ht="15.75" customHeight="1">
      <c r="A28" s="1354" t="s">
        <v>157</v>
      </c>
      <c r="B28" s="1423"/>
      <c r="C28" s="8" t="str">
        <f>VLOOKUP(A28,DB!$D$2:E997,2,0)</f>
        <v>set</v>
      </c>
      <c r="D28" s="278">
        <f>VLOOKUP(A28,DB!$D$2:I997,6,0)</f>
        <v>27000</v>
      </c>
      <c r="E28" s="60">
        <f t="shared" si="0"/>
        <v>0</v>
      </c>
      <c r="F28" s="61">
        <v>2</v>
      </c>
      <c r="G28" s="62">
        <f t="shared" si="1"/>
        <v>54000</v>
      </c>
    </row>
    <row r="29" spans="1:7" ht="15.75" customHeight="1">
      <c r="A29" s="1354" t="s">
        <v>158</v>
      </c>
      <c r="B29" s="1423"/>
      <c r="C29" s="8" t="str">
        <f>VLOOKUP(A29,DB!$D$2:E997,2,0)</f>
        <v>set</v>
      </c>
      <c r="D29" s="278">
        <f>VLOOKUP(A29,DB!$D$2:I997,6,0)</f>
        <v>78000</v>
      </c>
      <c r="E29" s="60">
        <f t="shared" si="0"/>
        <v>0</v>
      </c>
      <c r="F29" s="61">
        <v>60</v>
      </c>
      <c r="G29" s="62">
        <f t="shared" si="1"/>
        <v>4680000</v>
      </c>
    </row>
    <row r="30" spans="1:7" ht="15.75" customHeight="1">
      <c r="A30" s="1354" t="s">
        <v>159</v>
      </c>
      <c r="B30" s="1423"/>
      <c r="C30" s="8" t="str">
        <f>VLOOKUP(A30,DB!$D$2:E997,2,0)</f>
        <v>pack</v>
      </c>
      <c r="D30" s="278">
        <f>VLOOKUP(A30,DB!$D$2:I997,6,0)</f>
        <v>67.5</v>
      </c>
      <c r="E30" s="60">
        <f t="shared" si="0"/>
        <v>0</v>
      </c>
      <c r="F30" s="61">
        <v>40</v>
      </c>
      <c r="G30" s="62">
        <f t="shared" si="1"/>
        <v>2700</v>
      </c>
    </row>
    <row r="31" spans="1:7" ht="15.75" customHeight="1">
      <c r="A31" s="1354" t="s">
        <v>160</v>
      </c>
      <c r="B31" s="1423"/>
      <c r="C31" s="8" t="str">
        <f>VLOOKUP(A31,DB!$D$2:E997,2,0)</f>
        <v>pack</v>
      </c>
      <c r="D31" s="278">
        <f>VLOOKUP(A31,DB!$D$2:I997,6,0)</f>
        <v>100.5</v>
      </c>
      <c r="E31" s="60">
        <f t="shared" si="0"/>
        <v>0</v>
      </c>
      <c r="F31" s="61">
        <v>41</v>
      </c>
      <c r="G31" s="62">
        <f t="shared" si="1"/>
        <v>4120.5</v>
      </c>
    </row>
    <row r="32" spans="1:7" ht="15.75" customHeight="1">
      <c r="A32" s="1354" t="s">
        <v>161</v>
      </c>
      <c r="B32" s="1423"/>
      <c r="C32" s="8" t="str">
        <f>VLOOKUP(A32,DB!$D$2:E997,2,0)</f>
        <v>pack</v>
      </c>
      <c r="D32" s="278">
        <f>VLOOKUP(A32,DB!$D$2:I997,6,0)</f>
        <v>120</v>
      </c>
      <c r="E32" s="60">
        <f t="shared" si="0"/>
        <v>0</v>
      </c>
      <c r="F32" s="61">
        <v>1</v>
      </c>
      <c r="G32" s="62">
        <f t="shared" si="1"/>
        <v>120</v>
      </c>
    </row>
    <row r="33" spans="1:7" ht="15.75" customHeight="1">
      <c r="A33" s="1354" t="s">
        <v>162</v>
      </c>
      <c r="B33" s="1423"/>
      <c r="C33" s="8" t="str">
        <f>VLOOKUP(A33,DB!$D$2:E997,2,0)</f>
        <v>pack</v>
      </c>
      <c r="D33" s="278">
        <f>VLOOKUP(A33,DB!$D$2:I997,6,0)</f>
        <v>150</v>
      </c>
      <c r="E33" s="60">
        <f t="shared" si="0"/>
        <v>0</v>
      </c>
      <c r="F33" s="61">
        <v>24</v>
      </c>
      <c r="G33" s="62">
        <f t="shared" si="1"/>
        <v>3600</v>
      </c>
    </row>
    <row r="34" spans="1:7" ht="15.75" customHeight="1">
      <c r="A34" s="1354" t="s">
        <v>163</v>
      </c>
      <c r="B34" s="1423"/>
      <c r="C34" s="8" t="str">
        <f>VLOOKUP(A34,DB!$D$2:E997,2,0)</f>
        <v>pack</v>
      </c>
      <c r="D34" s="278">
        <f>VLOOKUP(A34,DB!$D$2:I997,6,0)</f>
        <v>243</v>
      </c>
      <c r="E34" s="60">
        <f t="shared" si="0"/>
        <v>0</v>
      </c>
      <c r="F34" s="61">
        <v>50</v>
      </c>
      <c r="G34" s="62">
        <f t="shared" si="1"/>
        <v>12150</v>
      </c>
    </row>
    <row r="35" spans="1:7" ht="15.75" customHeight="1">
      <c r="A35" s="1354" t="s">
        <v>164</v>
      </c>
      <c r="B35" s="1423"/>
      <c r="C35" s="8" t="str">
        <f>VLOOKUP(A35,DB!$D$2:E997,2,0)</f>
        <v>pack</v>
      </c>
      <c r="D35" s="278">
        <f>VLOOKUP(A35,DB!$D$2:I997,6,0)</f>
        <v>240</v>
      </c>
      <c r="E35" s="60">
        <f t="shared" si="0"/>
        <v>0</v>
      </c>
      <c r="F35" s="61">
        <v>50</v>
      </c>
      <c r="G35" s="62">
        <f t="shared" si="1"/>
        <v>12000</v>
      </c>
    </row>
    <row r="36" spans="1:7" ht="15.75" customHeight="1">
      <c r="A36" s="1354" t="s">
        <v>165</v>
      </c>
      <c r="B36" s="1423"/>
      <c r="C36" s="8" t="str">
        <f>VLOOKUP(A36,DB!$D$2:E997,2,0)</f>
        <v>pack</v>
      </c>
      <c r="D36" s="278">
        <f>VLOOKUP(A36,DB!$D$2:I997,6,0)</f>
        <v>270</v>
      </c>
      <c r="E36" s="60">
        <f t="shared" si="0"/>
        <v>0</v>
      </c>
      <c r="F36" s="61">
        <v>40</v>
      </c>
      <c r="G36" s="62">
        <f t="shared" si="1"/>
        <v>10800</v>
      </c>
    </row>
    <row r="37" spans="1:7" ht="15.75" customHeight="1">
      <c r="A37" s="1354" t="s">
        <v>166</v>
      </c>
      <c r="B37" s="1423"/>
      <c r="C37" s="8" t="str">
        <f>VLOOKUP(A37,DB!$D$2:E997,2,0)</f>
        <v>pack</v>
      </c>
      <c r="D37" s="278">
        <f>VLOOKUP(A37,DB!$D$2:I997,6,0)</f>
        <v>345</v>
      </c>
      <c r="E37" s="60">
        <f t="shared" si="0"/>
        <v>0</v>
      </c>
      <c r="F37" s="61">
        <v>40</v>
      </c>
      <c r="G37" s="62">
        <f t="shared" si="1"/>
        <v>13800</v>
      </c>
    </row>
    <row r="38" spans="1:7" ht="15.75" customHeight="1">
      <c r="A38" s="1354" t="s">
        <v>167</v>
      </c>
      <c r="B38" s="1423"/>
      <c r="C38" s="8" t="str">
        <f>VLOOKUP(A38,DB!$D$2:E997,2,0)</f>
        <v>pack</v>
      </c>
      <c r="D38" s="278">
        <f>VLOOKUP(A38,DB!$D$2:I997,6,0)</f>
        <v>495</v>
      </c>
      <c r="E38" s="60">
        <f t="shared" si="0"/>
        <v>0</v>
      </c>
      <c r="F38" s="61">
        <v>30</v>
      </c>
      <c r="G38" s="62">
        <f t="shared" si="1"/>
        <v>14850</v>
      </c>
    </row>
    <row r="39" spans="1:7" ht="15.75" customHeight="1">
      <c r="A39" s="1354" t="s">
        <v>168</v>
      </c>
      <c r="B39" s="1423"/>
      <c r="C39" s="8" t="str">
        <f>VLOOKUP(A39,DB!$D$2:E997,2,0)</f>
        <v>set</v>
      </c>
      <c r="D39" s="278">
        <f>VLOOKUP(A39,DB!$D$2:I997,6,0)</f>
        <v>75000</v>
      </c>
      <c r="E39" s="60">
        <f t="shared" si="0"/>
        <v>0</v>
      </c>
      <c r="F39" s="61">
        <v>30</v>
      </c>
      <c r="G39" s="62">
        <f t="shared" si="1"/>
        <v>2250000</v>
      </c>
    </row>
    <row r="40" spans="1:7" ht="15.75" customHeight="1">
      <c r="A40" s="1354" t="s">
        <v>182</v>
      </c>
      <c r="B40" s="1423"/>
      <c r="C40" s="8" t="str">
        <f>VLOOKUP(A40,DB!$D$2:E997,2,0)</f>
        <v>set</v>
      </c>
      <c r="D40" s="278">
        <f>VLOOKUP(A40,DB!$D$2:I997,6,0)</f>
        <v>72000</v>
      </c>
      <c r="E40" s="60">
        <f t="shared" si="0"/>
        <v>0</v>
      </c>
      <c r="F40" s="61">
        <v>10</v>
      </c>
      <c r="G40" s="62">
        <f t="shared" si="1"/>
        <v>720000</v>
      </c>
    </row>
    <row r="41" spans="1:7" ht="15.75" customHeight="1">
      <c r="A41" s="1354" t="s">
        <v>183</v>
      </c>
      <c r="B41" s="1423"/>
      <c r="C41" s="8" t="str">
        <f>VLOOKUP(A41,DB!$D$2:E997,2,0)</f>
        <v>pc</v>
      </c>
      <c r="D41" s="278">
        <f>VLOOKUP(A41,DB!$D$2:I997,6,0)</f>
        <v>600</v>
      </c>
      <c r="E41" s="60">
        <f t="shared" si="0"/>
        <v>0</v>
      </c>
      <c r="F41" s="61">
        <v>10</v>
      </c>
      <c r="G41" s="62">
        <f t="shared" si="1"/>
        <v>6000</v>
      </c>
    </row>
    <row r="42" spans="1:7" ht="15.75" customHeight="1">
      <c r="A42" s="1354" t="s">
        <v>185</v>
      </c>
      <c r="B42" s="1423"/>
      <c r="C42" s="8" t="str">
        <f>VLOOKUP(A42,DB!$D$2:E997,2,0)</f>
        <v>pc</v>
      </c>
      <c r="D42" s="278">
        <f>VLOOKUP(A42,DB!$D$2:I997,6,0)</f>
        <v>600</v>
      </c>
      <c r="E42" s="60">
        <f t="shared" si="0"/>
        <v>0</v>
      </c>
      <c r="F42" s="61">
        <v>10</v>
      </c>
      <c r="G42" s="62">
        <f t="shared" si="1"/>
        <v>6000</v>
      </c>
    </row>
    <row r="43" spans="1:7" ht="15.75" customHeight="1">
      <c r="A43" s="1354" t="s">
        <v>186</v>
      </c>
      <c r="B43" s="1423"/>
      <c r="C43" s="8" t="str">
        <f>VLOOKUP(A43,DB!$D$2:E997,2,0)</f>
        <v>pc</v>
      </c>
      <c r="D43" s="278">
        <f>VLOOKUP(A43,DB!$D$2:I997,6,0)</f>
        <v>600</v>
      </c>
      <c r="E43" s="60">
        <f t="shared" si="0"/>
        <v>0</v>
      </c>
      <c r="F43" s="61">
        <v>75</v>
      </c>
      <c r="G43" s="62">
        <f t="shared" si="1"/>
        <v>45000</v>
      </c>
    </row>
    <row r="44" spans="1:7" ht="15.75" customHeight="1">
      <c r="A44" s="1354" t="s">
        <v>187</v>
      </c>
      <c r="B44" s="1423"/>
      <c r="C44" s="8" t="str">
        <f>VLOOKUP(A44,DB!$D$2:E997,2,0)</f>
        <v>pc</v>
      </c>
      <c r="D44" s="278">
        <f>VLOOKUP(A44,DB!$D$2:I997,6,0)</f>
        <v>600</v>
      </c>
      <c r="E44" s="60">
        <f t="shared" si="0"/>
        <v>0</v>
      </c>
      <c r="F44" s="61">
        <v>30</v>
      </c>
      <c r="G44" s="62">
        <f t="shared" si="1"/>
        <v>18000</v>
      </c>
    </row>
    <row r="45" spans="1:7" ht="15.75" customHeight="1">
      <c r="A45" s="1354" t="s">
        <v>188</v>
      </c>
      <c r="B45" s="1423"/>
      <c r="C45" s="8" t="str">
        <f>VLOOKUP(A45,DB!$D$2:E997,2,0)</f>
        <v>box</v>
      </c>
      <c r="D45" s="278">
        <f>VLOOKUP(A45,DB!$D$2:I997,6,0)</f>
        <v>15750</v>
      </c>
      <c r="E45" s="60">
        <f t="shared" si="0"/>
        <v>0</v>
      </c>
      <c r="F45" s="61">
        <v>30</v>
      </c>
      <c r="G45" s="62">
        <f t="shared" si="1"/>
        <v>472500</v>
      </c>
    </row>
    <row r="46" spans="1:7" ht="15.75" customHeight="1">
      <c r="A46" s="1354" t="s">
        <v>190</v>
      </c>
      <c r="B46" s="1423"/>
      <c r="C46" s="8" t="str">
        <f>VLOOKUP(A46,DB!$D$2:E997,2,0)</f>
        <v>pc</v>
      </c>
      <c r="D46" s="278">
        <f>VLOOKUP(A46,DB!$D$2:I997,6,0)</f>
        <v>195</v>
      </c>
      <c r="E46" s="60">
        <f t="shared" si="0"/>
        <v>0</v>
      </c>
      <c r="F46" s="61">
        <v>30</v>
      </c>
      <c r="G46" s="62">
        <f t="shared" si="1"/>
        <v>5850</v>
      </c>
    </row>
    <row r="47" spans="1:7" ht="15.75" customHeight="1">
      <c r="A47" s="1354" t="s">
        <v>191</v>
      </c>
      <c r="B47" s="1423"/>
      <c r="C47" s="8" t="str">
        <f>VLOOKUP(A47,DB!$D$2:E997,2,0)</f>
        <v>pc</v>
      </c>
      <c r="D47" s="278">
        <f>VLOOKUP(A47,DB!$D$2:I997,6,0)</f>
        <v>105</v>
      </c>
      <c r="E47" s="60">
        <f t="shared" si="0"/>
        <v>0</v>
      </c>
      <c r="F47" s="61">
        <v>30</v>
      </c>
      <c r="G47" s="62">
        <f t="shared" si="1"/>
        <v>3150</v>
      </c>
    </row>
    <row r="48" spans="1:7" ht="15.75" customHeight="1">
      <c r="A48" s="1354" t="s">
        <v>192</v>
      </c>
      <c r="B48" s="1423"/>
      <c r="C48" s="8" t="str">
        <f>VLOOKUP(A48,DB!$D$2:E997,2,0)</f>
        <v>set</v>
      </c>
      <c r="D48" s="278">
        <f>VLOOKUP(A48,DB!$D$2:I997,6,0)</f>
        <v>2970</v>
      </c>
      <c r="E48" s="60">
        <f t="shared" si="0"/>
        <v>0</v>
      </c>
      <c r="F48" s="61">
        <v>30</v>
      </c>
      <c r="G48" s="62">
        <f t="shared" si="1"/>
        <v>89100</v>
      </c>
    </row>
    <row r="49" spans="1:7" ht="15.75" customHeight="1">
      <c r="A49" s="1354" t="s">
        <v>193</v>
      </c>
      <c r="B49" s="1423"/>
      <c r="C49" s="8" t="str">
        <f>VLOOKUP(A49,DB!$D$2:E997,2,0)</f>
        <v>set</v>
      </c>
      <c r="D49" s="278">
        <f>VLOOKUP(A49,DB!$D$2:I997,6,0)</f>
        <v>67500</v>
      </c>
      <c r="E49" s="60">
        <f t="shared" si="0"/>
        <v>0</v>
      </c>
      <c r="F49" s="61">
        <v>12</v>
      </c>
      <c r="G49" s="62">
        <f t="shared" si="1"/>
        <v>810000</v>
      </c>
    </row>
    <row r="50" spans="1:7" ht="15.75" customHeight="1">
      <c r="A50" s="1354" t="s">
        <v>195</v>
      </c>
      <c r="B50" s="1423"/>
      <c r="C50" s="8" t="str">
        <f>VLOOKUP(A50,DB!$D$2:E997,2,0)</f>
        <v>pc</v>
      </c>
      <c r="D50" s="278">
        <f>VLOOKUP(A50,DB!$D$2:I997,6,0)</f>
        <v>22500</v>
      </c>
      <c r="E50" s="60">
        <f t="shared" si="0"/>
        <v>0</v>
      </c>
      <c r="F50" s="61">
        <v>1</v>
      </c>
      <c r="G50" s="62">
        <f t="shared" si="1"/>
        <v>22500</v>
      </c>
    </row>
    <row r="51" spans="1:7" ht="15.75" customHeight="1">
      <c r="A51" s="1354" t="s">
        <v>199</v>
      </c>
      <c r="B51" s="1423"/>
      <c r="C51" s="8" t="str">
        <f>VLOOKUP(A51,DB!$D$2:E997,2,0)</f>
        <v>pc</v>
      </c>
      <c r="D51" s="278">
        <f>VLOOKUP(A51,DB!$D$2:I997,6,0)</f>
        <v>435</v>
      </c>
      <c r="E51" s="60">
        <f t="shared" si="0"/>
        <v>0</v>
      </c>
      <c r="F51" s="61">
        <v>2</v>
      </c>
      <c r="G51" s="62">
        <f t="shared" si="1"/>
        <v>870</v>
      </c>
    </row>
    <row r="52" spans="1:7" ht="15.75" customHeight="1">
      <c r="A52" s="1354" t="s">
        <v>209</v>
      </c>
      <c r="B52" s="1423"/>
      <c r="C52" s="8" t="str">
        <f>VLOOKUP(A52,DB!$D$2:E997,2,0)</f>
        <v>pc</v>
      </c>
      <c r="D52" s="278">
        <f>VLOOKUP(A52,DB!$D$2:I997,6,0)</f>
        <v>435</v>
      </c>
      <c r="E52" s="60">
        <f t="shared" si="0"/>
        <v>0</v>
      </c>
      <c r="F52" s="61">
        <v>40</v>
      </c>
      <c r="G52" s="62">
        <f t="shared" si="1"/>
        <v>17400</v>
      </c>
    </row>
    <row r="53" spans="1:7" ht="15.75" customHeight="1">
      <c r="A53" s="1354" t="s">
        <v>210</v>
      </c>
      <c r="B53" s="1423"/>
      <c r="C53" s="8" t="str">
        <f>VLOOKUP(A53,DB!$D$2:E997,2,0)</f>
        <v>pc</v>
      </c>
      <c r="D53" s="278">
        <f>VLOOKUP(A53,DB!$D$2:I997,6,0)</f>
        <v>435</v>
      </c>
      <c r="E53" s="60">
        <f t="shared" si="0"/>
        <v>0</v>
      </c>
      <c r="F53" s="61">
        <v>20</v>
      </c>
      <c r="G53" s="62">
        <f t="shared" si="1"/>
        <v>8700</v>
      </c>
    </row>
    <row r="54" spans="1:7" ht="15.75" customHeight="1">
      <c r="A54" s="1354" t="s">
        <v>211</v>
      </c>
      <c r="B54" s="1423"/>
      <c r="C54" s="8" t="str">
        <f>VLOOKUP(A54,DB!$D$2:E997,2,0)</f>
        <v>pc</v>
      </c>
      <c r="D54" s="278">
        <f>VLOOKUP(A54,DB!$D$2:I997,6,0)</f>
        <v>435</v>
      </c>
      <c r="E54" s="60">
        <f t="shared" si="0"/>
        <v>0</v>
      </c>
      <c r="F54" s="61">
        <v>20</v>
      </c>
      <c r="G54" s="62">
        <f t="shared" si="1"/>
        <v>8700</v>
      </c>
    </row>
    <row r="55" spans="1:7" ht="15.75" customHeight="1">
      <c r="A55" s="1354" t="s">
        <v>212</v>
      </c>
      <c r="B55" s="1423"/>
      <c r="C55" s="8" t="str">
        <f>VLOOKUP(A55,DB!$D$2:E997,2,0)</f>
        <v>pc</v>
      </c>
      <c r="D55" s="278">
        <f>VLOOKUP(A55,DB!$D$2:I997,6,0)</f>
        <v>450</v>
      </c>
      <c r="E55" s="60">
        <f t="shared" si="0"/>
        <v>0</v>
      </c>
      <c r="F55" s="61">
        <v>20</v>
      </c>
      <c r="G55" s="62">
        <f t="shared" si="1"/>
        <v>9000</v>
      </c>
    </row>
    <row r="56" spans="1:7" ht="15.75" customHeight="1">
      <c r="A56" s="1354" t="s">
        <v>216</v>
      </c>
      <c r="B56" s="1423"/>
      <c r="C56" s="8" t="str">
        <f>VLOOKUP(A56,DB!$D$2:E997,2,0)</f>
        <v>pc</v>
      </c>
      <c r="D56" s="278">
        <f>VLOOKUP(A56,DB!$D$2:I997,6,0)</f>
        <v>450</v>
      </c>
      <c r="E56" s="60">
        <f t="shared" si="0"/>
        <v>0</v>
      </c>
      <c r="F56" s="61">
        <v>4</v>
      </c>
      <c r="G56" s="62">
        <f t="shared" si="1"/>
        <v>1800</v>
      </c>
    </row>
    <row r="57" spans="1:7" ht="15.75" customHeight="1">
      <c r="A57" s="1354" t="s">
        <v>217</v>
      </c>
      <c r="B57" s="1423"/>
      <c r="C57" s="8" t="str">
        <f>VLOOKUP(A57,DB!$D$2:E997,2,0)</f>
        <v>pc</v>
      </c>
      <c r="D57" s="278">
        <f>VLOOKUP(A57,DB!$D$2:I997,6,0)</f>
        <v>450</v>
      </c>
      <c r="E57" s="60">
        <f t="shared" si="0"/>
        <v>0</v>
      </c>
      <c r="F57" s="61">
        <v>2</v>
      </c>
      <c r="G57" s="62">
        <f t="shared" si="1"/>
        <v>900</v>
      </c>
    </row>
    <row r="58" spans="1:7" ht="15.75" customHeight="1">
      <c r="A58" s="1354" t="s">
        <v>218</v>
      </c>
      <c r="B58" s="1423"/>
      <c r="C58" s="8" t="str">
        <f>VLOOKUP(A58,DB!$D$2:E997,2,0)</f>
        <v>pc</v>
      </c>
      <c r="D58" s="278">
        <f>VLOOKUP(A58,DB!$D$2:I997,6,0)</f>
        <v>450</v>
      </c>
      <c r="E58" s="60">
        <f t="shared" si="0"/>
        <v>0</v>
      </c>
      <c r="F58" s="61">
        <v>150</v>
      </c>
      <c r="G58" s="62">
        <f t="shared" si="1"/>
        <v>67500</v>
      </c>
    </row>
    <row r="59" spans="1:7" ht="15.75" customHeight="1">
      <c r="A59" s="1354" t="s">
        <v>69</v>
      </c>
      <c r="B59" s="1423"/>
      <c r="C59" s="8" t="str">
        <f>VLOOKUP(A59,DB!$D$2:E997,2,0)</f>
        <v>pc</v>
      </c>
      <c r="D59" s="278">
        <f>VLOOKUP(A59,DB!$D$2:I997,6,0)</f>
        <v>570</v>
      </c>
      <c r="E59" s="60">
        <f t="shared" si="0"/>
        <v>0</v>
      </c>
      <c r="F59" s="61">
        <v>40</v>
      </c>
      <c r="G59" s="62">
        <f t="shared" si="1"/>
        <v>22800</v>
      </c>
    </row>
    <row r="60" spans="1:7" ht="15.75" customHeight="1">
      <c r="A60" s="1354" t="s">
        <v>219</v>
      </c>
      <c r="B60" s="1423"/>
      <c r="C60" s="8" t="str">
        <f>VLOOKUP(A60,DB!$D$2:E997,2,0)</f>
        <v>pc</v>
      </c>
      <c r="D60" s="278">
        <f>VLOOKUP(A60,DB!$D$2:I997,6,0)</f>
        <v>255</v>
      </c>
      <c r="E60" s="60">
        <f t="shared" si="0"/>
        <v>0</v>
      </c>
      <c r="F60" s="61">
        <v>2</v>
      </c>
      <c r="G60" s="62">
        <f t="shared" si="1"/>
        <v>510</v>
      </c>
    </row>
    <row r="61" spans="1:7" ht="12.75">
      <c r="A61" s="1354" t="s">
        <v>220</v>
      </c>
      <c r="B61" s="1423"/>
      <c r="C61" s="8" t="str">
        <f>VLOOKUP(A61,DB!$D$2:E997,2,0)</f>
        <v>pc</v>
      </c>
      <c r="D61" s="278">
        <f>VLOOKUP(A61,DB!$D$2:I997,6,0)</f>
        <v>1950</v>
      </c>
      <c r="E61" s="60">
        <f t="shared" si="0"/>
        <v>0</v>
      </c>
      <c r="F61" s="61">
        <v>5</v>
      </c>
      <c r="G61" s="62">
        <f t="shared" si="1"/>
        <v>9750</v>
      </c>
    </row>
    <row r="62" spans="1:7" ht="12.75">
      <c r="A62" s="1354" t="s">
        <v>221</v>
      </c>
      <c r="B62" s="1423"/>
      <c r="C62" s="8" t="str">
        <f>VLOOKUP(A62,DB!$D$2:E997,2,0)</f>
        <v>pc</v>
      </c>
      <c r="D62" s="278">
        <f>VLOOKUP(A62,DB!$D$2:I997,6,0)</f>
        <v>135</v>
      </c>
      <c r="E62" s="60">
        <f t="shared" si="0"/>
        <v>0</v>
      </c>
      <c r="F62" s="61">
        <v>35</v>
      </c>
      <c r="G62" s="62">
        <f t="shared" si="1"/>
        <v>4725</v>
      </c>
    </row>
    <row r="63" spans="1:7" ht="12.75">
      <c r="A63" s="1354" t="s">
        <v>222</v>
      </c>
      <c r="B63" s="1423"/>
      <c r="C63" s="8" t="str">
        <f>VLOOKUP(A63,DB!$D$2:E997,2,0)</f>
        <v>pc</v>
      </c>
      <c r="D63" s="278">
        <f>VLOOKUP(A63,DB!$D$2:I997,6,0)</f>
        <v>12900</v>
      </c>
      <c r="E63" s="60">
        <f t="shared" si="0"/>
        <v>0</v>
      </c>
      <c r="F63" s="61">
        <v>6</v>
      </c>
      <c r="G63" s="62">
        <f t="shared" si="1"/>
        <v>77400</v>
      </c>
    </row>
    <row r="64" spans="1:7" ht="12.75">
      <c r="A64" s="1354" t="s">
        <v>223</v>
      </c>
      <c r="B64" s="1423"/>
      <c r="C64" s="8" t="str">
        <f>VLOOKUP(A64,DB!$D$2:E997,2,0)</f>
        <v>pc</v>
      </c>
      <c r="D64" s="278">
        <f>VLOOKUP(A64,DB!$D$2:I997,6,0)</f>
        <v>3000</v>
      </c>
      <c r="E64" s="60">
        <f t="shared" si="0"/>
        <v>0</v>
      </c>
      <c r="F64" s="61">
        <v>7</v>
      </c>
      <c r="G64" s="62">
        <f t="shared" si="1"/>
        <v>21000</v>
      </c>
    </row>
    <row r="65" spans="1:7" ht="12.75">
      <c r="A65" s="1354" t="s">
        <v>224</v>
      </c>
      <c r="B65" s="1423"/>
      <c r="C65" s="8" t="str">
        <f>VLOOKUP(A65,DB!$D$2:E997,2,0)</f>
        <v>set</v>
      </c>
      <c r="D65" s="278">
        <f>VLOOKUP(A65,DB!$D$2:I997,6,0)</f>
        <v>10500</v>
      </c>
      <c r="E65" s="60">
        <f t="shared" si="0"/>
        <v>0</v>
      </c>
      <c r="F65" s="61">
        <v>1</v>
      </c>
      <c r="G65" s="62">
        <f t="shared" si="1"/>
        <v>10500</v>
      </c>
    </row>
    <row r="66" spans="1:7" ht="12.75">
      <c r="A66" s="1354" t="s">
        <v>225</v>
      </c>
      <c r="B66" s="1423"/>
      <c r="C66" s="8" t="str">
        <f>VLOOKUP(A66,DB!$D$2:E997,2,0)</f>
        <v>pc</v>
      </c>
      <c r="D66" s="278">
        <f>VLOOKUP(A66,DB!$D$2:I997,6,0)</f>
        <v>2250</v>
      </c>
      <c r="E66" s="60">
        <f t="shared" si="0"/>
        <v>0</v>
      </c>
      <c r="F66" s="61">
        <v>150</v>
      </c>
      <c r="G66" s="62">
        <f t="shared" si="1"/>
        <v>337500</v>
      </c>
    </row>
    <row r="67" spans="1:7" ht="12.75">
      <c r="A67" s="1354" t="s">
        <v>226</v>
      </c>
      <c r="B67" s="1423"/>
      <c r="C67" s="8" t="str">
        <f>VLOOKUP(A67,DB!$D$2:E997,2,0)</f>
        <v>pc</v>
      </c>
      <c r="D67" s="278">
        <f>VLOOKUP(A67,DB!$D$2:I997,6,0)</f>
        <v>268.5</v>
      </c>
      <c r="E67" s="60">
        <f t="shared" si="0"/>
        <v>0</v>
      </c>
      <c r="F67" s="61">
        <v>150</v>
      </c>
      <c r="G67" s="62">
        <f t="shared" si="1"/>
        <v>40275</v>
      </c>
    </row>
    <row r="68" spans="1:7" ht="12.75">
      <c r="A68" s="1354" t="s">
        <v>227</v>
      </c>
      <c r="B68" s="1423"/>
      <c r="C68" s="8" t="str">
        <f>VLOOKUP(A68,DB!$D$2:E997,2,0)</f>
        <v>pc</v>
      </c>
      <c r="D68" s="278">
        <f>VLOOKUP(A68,DB!$D$2:I997,6,0)</f>
        <v>435</v>
      </c>
      <c r="E68" s="60">
        <f t="shared" si="0"/>
        <v>0</v>
      </c>
      <c r="F68" s="61">
        <v>150</v>
      </c>
      <c r="G68" s="62">
        <f t="shared" si="1"/>
        <v>65250</v>
      </c>
    </row>
    <row r="69" spans="1:7" ht="12.75">
      <c r="A69" s="1354" t="s">
        <v>228</v>
      </c>
      <c r="B69" s="1423"/>
      <c r="C69" s="8" t="str">
        <f>VLOOKUP(A69,DB!$D$2:E997,2,0)</f>
        <v>pc</v>
      </c>
      <c r="D69" s="278">
        <f>VLOOKUP(A69,DB!$D$2:I997,6,0)</f>
        <v>435</v>
      </c>
      <c r="E69" s="60">
        <f t="shared" si="0"/>
        <v>0</v>
      </c>
      <c r="F69" s="61">
        <v>150</v>
      </c>
      <c r="G69" s="62">
        <f t="shared" si="1"/>
        <v>65250</v>
      </c>
    </row>
    <row r="70" spans="1:7" ht="12.75">
      <c r="A70" s="1354" t="s">
        <v>229</v>
      </c>
      <c r="B70" s="1423"/>
      <c r="C70" s="8" t="str">
        <f>VLOOKUP(A70,DB!$D$2:E997,2,0)</f>
        <v>pc</v>
      </c>
      <c r="D70" s="278">
        <f>VLOOKUP(A70,DB!$D$2:I997,6,0)</f>
        <v>435</v>
      </c>
      <c r="E70" s="60">
        <f t="shared" si="0"/>
        <v>0</v>
      </c>
      <c r="F70" s="61">
        <v>150</v>
      </c>
      <c r="G70" s="62">
        <f t="shared" si="1"/>
        <v>65250</v>
      </c>
    </row>
    <row r="71" spans="1:7" ht="12.75">
      <c r="A71" s="1354" t="s">
        <v>230</v>
      </c>
      <c r="B71" s="1423"/>
      <c r="C71" s="8" t="str">
        <f>VLOOKUP(A71,DB!$D$2:E997,2,0)</f>
        <v>pc</v>
      </c>
      <c r="D71" s="278">
        <f>VLOOKUP(A71,DB!$D$2:I997,6,0)</f>
        <v>435</v>
      </c>
      <c r="E71" s="60">
        <f t="shared" si="0"/>
        <v>0</v>
      </c>
      <c r="F71" s="61">
        <v>150</v>
      </c>
      <c r="G71" s="62">
        <f t="shared" si="1"/>
        <v>65250</v>
      </c>
    </row>
    <row r="72" spans="1:7" ht="12.75">
      <c r="A72" s="1354" t="s">
        <v>231</v>
      </c>
      <c r="B72" s="1423"/>
      <c r="C72" s="8" t="str">
        <f>VLOOKUP(A72,DB!$D$2:E997,2,0)</f>
        <v>pc</v>
      </c>
      <c r="D72" s="278">
        <f>VLOOKUP(A72,DB!$D$2:I997,6,0)</f>
        <v>1500</v>
      </c>
      <c r="E72" s="60">
        <f t="shared" si="0"/>
        <v>0</v>
      </c>
      <c r="F72" s="61">
        <v>150</v>
      </c>
      <c r="G72" s="62">
        <f t="shared" si="1"/>
        <v>225000</v>
      </c>
    </row>
    <row r="73" spans="1:7" ht="12.75">
      <c r="A73" s="1354" t="s">
        <v>232</v>
      </c>
      <c r="B73" s="1423"/>
      <c r="C73" s="8" t="str">
        <f>VLOOKUP(A73,DB!$D$2:E997,2,0)</f>
        <v>pc</v>
      </c>
      <c r="D73" s="278">
        <f>VLOOKUP(A73,DB!$D$2:I997,6,0)</f>
        <v>1500</v>
      </c>
      <c r="E73" s="60">
        <f t="shared" si="0"/>
        <v>0</v>
      </c>
      <c r="F73" s="61">
        <v>150</v>
      </c>
      <c r="G73" s="62">
        <f t="shared" si="1"/>
        <v>225000</v>
      </c>
    </row>
    <row r="74" spans="1:7" ht="12.75">
      <c r="A74" s="1354" t="s">
        <v>233</v>
      </c>
      <c r="B74" s="1423"/>
      <c r="C74" s="8" t="str">
        <f>VLOOKUP(A74,DB!$D$2:E997,2,0)</f>
        <v>pc</v>
      </c>
      <c r="D74" s="278">
        <f>VLOOKUP(A74,DB!$D$2:I997,6,0)</f>
        <v>8850</v>
      </c>
      <c r="E74" s="60">
        <f t="shared" si="0"/>
        <v>0</v>
      </c>
      <c r="F74" s="61">
        <v>20</v>
      </c>
      <c r="G74" s="62">
        <f t="shared" si="1"/>
        <v>177000</v>
      </c>
    </row>
    <row r="75" spans="1:7" ht="12.75">
      <c r="A75" s="1354" t="s">
        <v>234</v>
      </c>
      <c r="B75" s="1423"/>
      <c r="C75" s="8" t="str">
        <f>VLOOKUP(A75,DB!$D$2:E997,2,0)</f>
        <v>pc</v>
      </c>
      <c r="D75" s="278">
        <f>VLOOKUP(A75,DB!$D$2:I997,6,0)</f>
        <v>577.5</v>
      </c>
      <c r="E75" s="60">
        <f t="shared" si="0"/>
        <v>0</v>
      </c>
      <c r="F75" s="61">
        <v>200</v>
      </c>
      <c r="G75" s="62">
        <f t="shared" si="1"/>
        <v>115500</v>
      </c>
    </row>
    <row r="76" spans="1:7" ht="12.75">
      <c r="A76" s="1354" t="s">
        <v>238</v>
      </c>
      <c r="B76" s="1423"/>
      <c r="C76" s="8" t="str">
        <f>VLOOKUP(A76,DB!$D$2:E997,2,0)</f>
        <v>pack</v>
      </c>
      <c r="D76" s="278">
        <f>VLOOKUP(A76,DB!$D$2:I997,6,0)</f>
        <v>1740</v>
      </c>
      <c r="E76" s="60">
        <f t="shared" si="0"/>
        <v>0</v>
      </c>
      <c r="F76" s="61">
        <v>7</v>
      </c>
      <c r="G76" s="62">
        <f t="shared" si="1"/>
        <v>12180</v>
      </c>
    </row>
    <row r="77" spans="1:7" ht="12.75">
      <c r="A77" s="1354" t="s">
        <v>393</v>
      </c>
      <c r="B77" s="1423"/>
      <c r="C77" s="8" t="str">
        <f>VLOOKUP(A77,DB!$D$2:E997,2,0)</f>
        <v>lot</v>
      </c>
      <c r="D77" s="278">
        <f>VLOOKUP(A77,DB!$D$2:I997,6,0)</f>
        <v>3000000</v>
      </c>
      <c r="E77" s="60">
        <f t="shared" si="0"/>
        <v>0</v>
      </c>
      <c r="F77" s="61">
        <v>24</v>
      </c>
      <c r="G77" s="62">
        <f t="shared" si="1"/>
        <v>72000000</v>
      </c>
    </row>
    <row r="78" spans="1:7" ht="12.75">
      <c r="A78" s="1354" t="s">
        <v>239</v>
      </c>
      <c r="B78" s="1423"/>
      <c r="C78" s="8" t="str">
        <f>VLOOKUP(A78,DB!$D$2:E997,2,0)</f>
        <v>pc</v>
      </c>
      <c r="D78" s="278">
        <f>VLOOKUP(A78,DB!$D$2:I997,6,0)</f>
        <v>270</v>
      </c>
      <c r="E78" s="60">
        <f t="shared" si="0"/>
        <v>0</v>
      </c>
      <c r="F78" s="61">
        <v>1</v>
      </c>
      <c r="G78" s="62">
        <f t="shared" si="1"/>
        <v>270</v>
      </c>
    </row>
    <row r="79" spans="1:7" ht="12.75">
      <c r="A79" s="1354" t="s">
        <v>240</v>
      </c>
      <c r="B79" s="1423"/>
      <c r="C79" s="8" t="str">
        <f>VLOOKUP(A79,DB!$D$2:E997,2,0)</f>
        <v>pc</v>
      </c>
      <c r="D79" s="278">
        <f>VLOOKUP(A79,DB!$D$2:I997,6,0)</f>
        <v>1350</v>
      </c>
      <c r="E79" s="60">
        <f t="shared" si="0"/>
        <v>0</v>
      </c>
      <c r="F79" s="61">
        <v>2</v>
      </c>
      <c r="G79" s="62">
        <f t="shared" si="1"/>
        <v>2700</v>
      </c>
    </row>
    <row r="80" spans="1:7" ht="12.75">
      <c r="A80" s="1354" t="s">
        <v>241</v>
      </c>
      <c r="B80" s="1423"/>
      <c r="C80" s="8" t="str">
        <f>VLOOKUP(A80,DB!$D$2:E997,2,0)</f>
        <v>pack</v>
      </c>
      <c r="D80" s="278">
        <f>VLOOKUP(A80,DB!$D$2:I997,6,0)</f>
        <v>330</v>
      </c>
      <c r="E80" s="60">
        <f t="shared" si="0"/>
        <v>0</v>
      </c>
      <c r="F80" s="61">
        <v>1</v>
      </c>
      <c r="G80" s="62">
        <f t="shared" si="1"/>
        <v>330</v>
      </c>
    </row>
    <row r="81" spans="1:7" ht="12.75">
      <c r="A81" s="1354" t="s">
        <v>242</v>
      </c>
      <c r="B81" s="1423"/>
      <c r="C81" s="8" t="str">
        <f>VLOOKUP(A81,DB!$D$2:E997,2,0)</f>
        <v>pc</v>
      </c>
      <c r="D81" s="278">
        <f>VLOOKUP(A81,DB!$D$2:I997,6,0)</f>
        <v>7.5</v>
      </c>
      <c r="E81" s="60">
        <f t="shared" si="0"/>
        <v>0</v>
      </c>
      <c r="F81" s="61">
        <v>20</v>
      </c>
      <c r="G81" s="62">
        <f t="shared" si="1"/>
        <v>150</v>
      </c>
    </row>
    <row r="82" spans="1:7" ht="12.75">
      <c r="A82" s="1354" t="s">
        <v>243</v>
      </c>
      <c r="B82" s="1423"/>
      <c r="C82" s="8" t="str">
        <f>VLOOKUP(A82,DB!$D$2:E997,2,0)</f>
        <v>pc</v>
      </c>
      <c r="D82" s="278">
        <f>VLOOKUP(A82,DB!$D$2:I997,6,0)</f>
        <v>4350</v>
      </c>
      <c r="E82" s="60">
        <f t="shared" si="0"/>
        <v>0</v>
      </c>
      <c r="F82" s="61">
        <v>10</v>
      </c>
      <c r="G82" s="62">
        <f t="shared" si="1"/>
        <v>43500</v>
      </c>
    </row>
    <row r="83" spans="1:7" ht="12.75">
      <c r="A83" s="1354" t="s">
        <v>244</v>
      </c>
      <c r="B83" s="1423"/>
      <c r="C83" s="8" t="str">
        <f>VLOOKUP(A83,DB!$D$2:E997,2,0)</f>
        <v>pc</v>
      </c>
      <c r="D83" s="278">
        <f>VLOOKUP(A83,DB!$D$2:I997,6,0)</f>
        <v>31500</v>
      </c>
      <c r="E83" s="60">
        <f t="shared" si="0"/>
        <v>0</v>
      </c>
      <c r="F83" s="61">
        <v>20</v>
      </c>
      <c r="G83" s="62">
        <f t="shared" si="1"/>
        <v>630000</v>
      </c>
    </row>
    <row r="84" spans="1:7" ht="12.75">
      <c r="A84" s="1354" t="s">
        <v>245</v>
      </c>
      <c r="B84" s="1423"/>
      <c r="C84" s="8" t="str">
        <f>VLOOKUP(A84,DB!$D$2:E997,2,0)</f>
        <v>pc</v>
      </c>
      <c r="D84" s="278">
        <f>VLOOKUP(A84,DB!$D$2:I997,6,0)</f>
        <v>18</v>
      </c>
      <c r="E84" s="60">
        <f t="shared" si="0"/>
        <v>0</v>
      </c>
      <c r="F84" s="61">
        <v>10</v>
      </c>
      <c r="G84" s="62">
        <f t="shared" si="1"/>
        <v>180</v>
      </c>
    </row>
    <row r="85" spans="1:7" ht="12.75">
      <c r="A85" s="1354" t="s">
        <v>246</v>
      </c>
      <c r="B85" s="1423"/>
      <c r="C85" s="8" t="str">
        <f>VLOOKUP(A85,DB!$D$2:E997,2,0)</f>
        <v>pack</v>
      </c>
      <c r="D85" s="278">
        <f>VLOOKUP(A85,DB!$D$2:I997,6,0)</f>
        <v>825</v>
      </c>
      <c r="E85" s="60">
        <f t="shared" si="0"/>
        <v>0</v>
      </c>
      <c r="F85" s="61">
        <v>11</v>
      </c>
      <c r="G85" s="62">
        <f t="shared" si="1"/>
        <v>9075</v>
      </c>
    </row>
    <row r="86" spans="1:7" ht="12.75">
      <c r="A86" s="1354" t="s">
        <v>247</v>
      </c>
      <c r="B86" s="1423"/>
      <c r="C86" s="8" t="str">
        <f>VLOOKUP(A86,DB!$D$2:E997,2,0)</f>
        <v>pack</v>
      </c>
      <c r="D86" s="278">
        <f>VLOOKUP(A86,DB!$D$2:I997,6,0)</f>
        <v>225</v>
      </c>
      <c r="E86" s="60">
        <f t="shared" si="0"/>
        <v>0</v>
      </c>
      <c r="F86" s="61">
        <v>100</v>
      </c>
      <c r="G86" s="62">
        <f t="shared" si="1"/>
        <v>22500</v>
      </c>
    </row>
    <row r="87" spans="1:7" ht="12.75">
      <c r="A87" s="1354" t="s">
        <v>248</v>
      </c>
      <c r="B87" s="1423"/>
      <c r="C87" s="8" t="str">
        <f>VLOOKUP(A87,DB!$D$2:E997,2,0)</f>
        <v>box</v>
      </c>
      <c r="D87" s="278">
        <f>VLOOKUP(A87,DB!$D$2:I997,6,0)</f>
        <v>675</v>
      </c>
      <c r="E87" s="60">
        <f t="shared" si="0"/>
        <v>0</v>
      </c>
      <c r="F87" s="61">
        <v>100</v>
      </c>
      <c r="G87" s="62">
        <f t="shared" si="1"/>
        <v>67500</v>
      </c>
    </row>
    <row r="88" spans="1:7" ht="12.75">
      <c r="A88" s="1354" t="s">
        <v>31</v>
      </c>
      <c r="B88" s="1423"/>
      <c r="C88" s="8" t="str">
        <f>VLOOKUP(A88,DB!$D$2:E997,2,0)</f>
        <v>pc</v>
      </c>
      <c r="D88" s="278">
        <f>VLOOKUP(A88,DB!$D$2:I997,6,0)</f>
        <v>187.5</v>
      </c>
      <c r="E88" s="60">
        <f t="shared" si="0"/>
        <v>0</v>
      </c>
      <c r="F88" s="61">
        <v>100</v>
      </c>
      <c r="G88" s="62">
        <f t="shared" si="1"/>
        <v>18750</v>
      </c>
    </row>
    <row r="89" spans="1:7" ht="12.75">
      <c r="A89" s="1354" t="s">
        <v>249</v>
      </c>
      <c r="B89" s="1423"/>
      <c r="C89" s="8" t="str">
        <f>VLOOKUP(A89,DB!$D$2:E997,2,0)</f>
        <v>box</v>
      </c>
      <c r="D89" s="278">
        <f>VLOOKUP(A89,DB!$D$2:I997,6,0)</f>
        <v>600</v>
      </c>
      <c r="E89" s="60">
        <f t="shared" si="0"/>
        <v>0</v>
      </c>
      <c r="F89" s="61">
        <v>100</v>
      </c>
      <c r="G89" s="62">
        <f t="shared" si="1"/>
        <v>60000</v>
      </c>
    </row>
    <row r="90" spans="1:7" ht="12.75">
      <c r="A90" s="1354" t="s">
        <v>250</v>
      </c>
      <c r="B90" s="1423"/>
      <c r="C90" s="8" t="str">
        <f>VLOOKUP(A90,DB!$D$2:E997,2,0)</f>
        <v>box</v>
      </c>
      <c r="D90" s="278">
        <f>VLOOKUP(A90,DB!$D$2:I997,6,0)</f>
        <v>1650</v>
      </c>
      <c r="E90" s="60">
        <f t="shared" si="0"/>
        <v>0</v>
      </c>
      <c r="F90" s="61">
        <v>100</v>
      </c>
      <c r="G90" s="62">
        <f t="shared" si="1"/>
        <v>165000</v>
      </c>
    </row>
    <row r="91" spans="1:7" ht="12.75">
      <c r="A91" s="1354" t="s">
        <v>408</v>
      </c>
      <c r="B91" s="1423"/>
      <c r="C91" s="8" t="str">
        <f>VLOOKUP(A91,DB!$D$2:E997,2,0)</f>
        <v>lot</v>
      </c>
      <c r="D91" s="278">
        <f>VLOOKUP(A91,DB!$D$2:I997,6,0)</f>
        <v>648000</v>
      </c>
      <c r="E91" s="60">
        <f t="shared" si="0"/>
        <v>0</v>
      </c>
      <c r="F91" s="61">
        <v>50</v>
      </c>
      <c r="G91" s="62">
        <f t="shared" si="1"/>
        <v>32400000</v>
      </c>
    </row>
    <row r="92" spans="1:7" ht="12.75">
      <c r="A92" s="1354" t="s">
        <v>251</v>
      </c>
      <c r="B92" s="1423"/>
      <c r="C92" s="8" t="str">
        <f>VLOOKUP(A92,DB!$D$2:E997,2,0)</f>
        <v>pc</v>
      </c>
      <c r="D92" s="278">
        <f>VLOOKUP(A92,DB!$D$2:I997,6,0)</f>
        <v>4702.5</v>
      </c>
      <c r="E92" s="60">
        <f t="shared" si="0"/>
        <v>0</v>
      </c>
      <c r="F92" s="61">
        <v>14</v>
      </c>
      <c r="G92" s="62">
        <f t="shared" si="1"/>
        <v>65835</v>
      </c>
    </row>
    <row r="93" spans="1:7" ht="12.75">
      <c r="A93" s="1354" t="s">
        <v>252</v>
      </c>
      <c r="B93" s="1423"/>
      <c r="C93" s="8" t="str">
        <f>VLOOKUP(A93,DB!$D$2:E997,2,0)</f>
        <v>pc</v>
      </c>
      <c r="D93" s="278">
        <f>VLOOKUP(A93,DB!$D$2:I997,6,0)</f>
        <v>900</v>
      </c>
      <c r="E93" s="60">
        <f t="shared" si="0"/>
        <v>0</v>
      </c>
      <c r="F93" s="61">
        <v>10</v>
      </c>
      <c r="G93" s="62">
        <f t="shared" si="1"/>
        <v>9000</v>
      </c>
    </row>
    <row r="94" spans="1:7" ht="12.75">
      <c r="A94" s="1354" t="s">
        <v>253</v>
      </c>
      <c r="B94" s="1423"/>
      <c r="C94" s="8" t="str">
        <f>VLOOKUP(A94,DB!$D$2:E997,2,0)</f>
        <v>pc</v>
      </c>
      <c r="D94" s="278">
        <f>VLOOKUP(A94,DB!$D$2:I997,6,0)</f>
        <v>750</v>
      </c>
      <c r="E94" s="60">
        <f t="shared" si="0"/>
        <v>0</v>
      </c>
      <c r="F94" s="61">
        <v>2</v>
      </c>
      <c r="G94" s="62">
        <f t="shared" si="1"/>
        <v>1500</v>
      </c>
    </row>
    <row r="95" spans="1:7" ht="12.75">
      <c r="A95" s="1354" t="s">
        <v>254</v>
      </c>
      <c r="B95" s="1423"/>
      <c r="C95" s="8" t="str">
        <f>VLOOKUP(A95,DB!$D$2:E997,2,0)</f>
        <v>pc</v>
      </c>
      <c r="D95" s="278">
        <f>VLOOKUP(A95,DB!$D$2:I997,6,0)</f>
        <v>900</v>
      </c>
      <c r="E95" s="60">
        <f t="shared" si="0"/>
        <v>0</v>
      </c>
      <c r="F95" s="61">
        <v>24</v>
      </c>
      <c r="G95" s="62">
        <f t="shared" si="1"/>
        <v>21600</v>
      </c>
    </row>
    <row r="96" spans="1:7" ht="12.75">
      <c r="A96" s="1354" t="s">
        <v>255</v>
      </c>
      <c r="B96" s="1423"/>
      <c r="C96" s="8" t="str">
        <f>VLOOKUP(A96,DB!$D$2:E997,2,0)</f>
        <v>pc</v>
      </c>
      <c r="D96" s="278">
        <f>VLOOKUP(A96,DB!$D$2:I997,6,0)</f>
        <v>60</v>
      </c>
      <c r="E96" s="60">
        <f t="shared" si="0"/>
        <v>0</v>
      </c>
      <c r="F96" s="61">
        <v>82</v>
      </c>
      <c r="G96" s="62">
        <f t="shared" si="1"/>
        <v>4920</v>
      </c>
    </row>
    <row r="97" spans="1:7" ht="12.75">
      <c r="A97" s="1354" t="s">
        <v>256</v>
      </c>
      <c r="B97" s="1423"/>
      <c r="C97" s="8" t="str">
        <f>VLOOKUP(A97,DB!$D$2:E997,2,0)</f>
        <v>pc</v>
      </c>
      <c r="D97" s="278">
        <f>VLOOKUP(A97,DB!$D$2:I997,6,0)</f>
        <v>20250</v>
      </c>
      <c r="E97" s="60">
        <f t="shared" si="0"/>
        <v>0</v>
      </c>
      <c r="F97" s="61">
        <v>6</v>
      </c>
      <c r="G97" s="62">
        <f t="shared" si="1"/>
        <v>121500</v>
      </c>
    </row>
    <row r="98" spans="1:7" ht="12.75">
      <c r="A98" s="1354" t="s">
        <v>257</v>
      </c>
      <c r="B98" s="1423"/>
      <c r="C98" s="8" t="str">
        <f>VLOOKUP(A98,DB!$D$2:E997,2,0)</f>
        <v>pc</v>
      </c>
      <c r="D98" s="278">
        <f>VLOOKUP(A98,DB!$D$2:I997,6,0)</f>
        <v>7650</v>
      </c>
      <c r="E98" s="60">
        <f t="shared" si="0"/>
        <v>0</v>
      </c>
      <c r="F98" s="61">
        <v>1</v>
      </c>
      <c r="G98" s="62">
        <f t="shared" si="1"/>
        <v>7650</v>
      </c>
    </row>
    <row r="99" spans="1:7" ht="12.75">
      <c r="A99" s="1354" t="s">
        <v>258</v>
      </c>
      <c r="B99" s="1423"/>
      <c r="C99" s="8" t="str">
        <f>VLOOKUP(A99,DB!$D$2:E997,2,0)</f>
        <v>pc</v>
      </c>
      <c r="D99" s="278">
        <f>VLOOKUP(A99,DB!$D$2:I997,6,0)</f>
        <v>8850</v>
      </c>
      <c r="E99" s="60">
        <f t="shared" si="0"/>
        <v>0</v>
      </c>
      <c r="F99" s="61">
        <v>1</v>
      </c>
      <c r="G99" s="62">
        <f t="shared" si="1"/>
        <v>8850</v>
      </c>
    </row>
    <row r="100" spans="1:7" ht="12.75">
      <c r="A100" s="1354" t="s">
        <v>259</v>
      </c>
      <c r="B100" s="1423"/>
      <c r="C100" s="8" t="str">
        <f>VLOOKUP(A100,DB!$D$2:E997,2,0)</f>
        <v>pc</v>
      </c>
      <c r="D100" s="278">
        <f>VLOOKUP(A100,DB!$D$2:I997,6,0)</f>
        <v>3375</v>
      </c>
      <c r="E100" s="60">
        <f t="shared" si="0"/>
        <v>0</v>
      </c>
      <c r="F100" s="61">
        <v>2</v>
      </c>
      <c r="G100" s="62">
        <f t="shared" si="1"/>
        <v>6750</v>
      </c>
    </row>
    <row r="101" spans="1:7" ht="12.75">
      <c r="A101" s="1354" t="s">
        <v>260</v>
      </c>
      <c r="B101" s="1423"/>
      <c r="C101" s="8" t="str">
        <f>VLOOKUP(A101,DB!$D$2:E997,2,0)</f>
        <v>pc</v>
      </c>
      <c r="D101" s="278">
        <f>VLOOKUP(A101,DB!$D$2:I997,6,0)</f>
        <v>3000</v>
      </c>
      <c r="E101" s="60">
        <f t="shared" si="0"/>
        <v>0</v>
      </c>
      <c r="F101" s="61">
        <v>1</v>
      </c>
      <c r="G101" s="62">
        <f t="shared" si="1"/>
        <v>3000</v>
      </c>
    </row>
    <row r="102" spans="1:7" ht="12.75">
      <c r="A102" s="1354" t="s">
        <v>261</v>
      </c>
      <c r="B102" s="1423"/>
      <c r="C102" s="8" t="str">
        <f>VLOOKUP(A102,DB!$D$2:E997,2,0)</f>
        <v>set</v>
      </c>
      <c r="D102" s="278">
        <f>VLOOKUP(A102,DB!$D$2:I997,6,0)</f>
        <v>750</v>
      </c>
      <c r="E102" s="60">
        <f t="shared" si="0"/>
        <v>0</v>
      </c>
      <c r="F102" s="61">
        <v>6</v>
      </c>
      <c r="G102" s="62">
        <f t="shared" si="1"/>
        <v>4500</v>
      </c>
    </row>
    <row r="103" spans="1:7" ht="12.75">
      <c r="A103" s="1354" t="s">
        <v>262</v>
      </c>
      <c r="B103" s="1423"/>
      <c r="C103" s="8" t="str">
        <f>VLOOKUP(A103,DB!$D$2:E997,2,0)</f>
        <v>roll</v>
      </c>
      <c r="D103" s="278">
        <f>VLOOKUP(A103,DB!$D$2:I997,6,0)</f>
        <v>225</v>
      </c>
      <c r="E103" s="60">
        <f t="shared" si="0"/>
        <v>0</v>
      </c>
      <c r="F103" s="61">
        <v>88</v>
      </c>
      <c r="G103" s="62">
        <f t="shared" si="1"/>
        <v>19800</v>
      </c>
    </row>
    <row r="104" spans="1:7" ht="12.75">
      <c r="A104" s="1354" t="s">
        <v>264</v>
      </c>
      <c r="B104" s="1423"/>
      <c r="C104" s="8" t="str">
        <f>VLOOKUP(A104,DB!$D$2:E997,2,0)</f>
        <v>pc</v>
      </c>
      <c r="D104" s="278">
        <f>VLOOKUP(A104,DB!$D$2:I997,6,0)</f>
        <v>1800</v>
      </c>
      <c r="E104" s="60">
        <f t="shared" si="0"/>
        <v>0</v>
      </c>
      <c r="F104" s="61">
        <v>2</v>
      </c>
      <c r="G104" s="62">
        <f t="shared" si="1"/>
        <v>3600</v>
      </c>
    </row>
    <row r="105" spans="1:7" ht="12.75">
      <c r="A105" s="1354" t="s">
        <v>265</v>
      </c>
      <c r="B105" s="1423"/>
      <c r="C105" s="8" t="str">
        <f>VLOOKUP(A105,DB!$D$2:E997,2,0)</f>
        <v>pc</v>
      </c>
      <c r="D105" s="278">
        <f>VLOOKUP(A105,DB!$D$2:I997,6,0)</f>
        <v>7545</v>
      </c>
      <c r="E105" s="60">
        <f t="shared" si="0"/>
        <v>0</v>
      </c>
      <c r="F105" s="61">
        <v>5</v>
      </c>
      <c r="G105" s="62">
        <f t="shared" si="1"/>
        <v>37725</v>
      </c>
    </row>
    <row r="106" spans="1:7" ht="12.75">
      <c r="A106" s="1354" t="s">
        <v>266</v>
      </c>
      <c r="B106" s="1423"/>
      <c r="C106" s="8" t="str">
        <f>VLOOKUP(A106,DB!$D$2:E997,2,0)</f>
        <v>pack</v>
      </c>
      <c r="D106" s="278">
        <f>VLOOKUP(A106,DB!$D$2:I997,6,0)</f>
        <v>67.5</v>
      </c>
      <c r="E106" s="60">
        <f t="shared" si="0"/>
        <v>0</v>
      </c>
      <c r="F106" s="61">
        <v>1</v>
      </c>
      <c r="G106" s="62">
        <f t="shared" si="1"/>
        <v>67.5</v>
      </c>
    </row>
    <row r="107" spans="1:7" ht="12.75">
      <c r="A107" s="1354" t="s">
        <v>267</v>
      </c>
      <c r="B107" s="1423"/>
      <c r="C107" s="8" t="str">
        <f>VLOOKUP(A107,DB!$D$2:E997,2,0)</f>
        <v>pack</v>
      </c>
      <c r="D107" s="278">
        <f>VLOOKUP(A107,DB!$D$2:I997,6,0)</f>
        <v>100.5</v>
      </c>
      <c r="E107" s="60">
        <f t="shared" si="0"/>
        <v>0</v>
      </c>
      <c r="F107" s="61">
        <v>700</v>
      </c>
      <c r="G107" s="62">
        <f t="shared" si="1"/>
        <v>70350</v>
      </c>
    </row>
    <row r="108" spans="1:7" ht="12.75">
      <c r="A108" s="1354" t="s">
        <v>268</v>
      </c>
      <c r="B108" s="1423"/>
      <c r="C108" s="8" t="str">
        <f>VLOOKUP(A108,DB!$D$2:E997,2,0)</f>
        <v>pack</v>
      </c>
      <c r="D108" s="278">
        <f>VLOOKUP(A108,DB!$D$2:I997,6,0)</f>
        <v>120</v>
      </c>
      <c r="E108" s="60">
        <f t="shared" si="0"/>
        <v>0</v>
      </c>
      <c r="F108" s="61">
        <v>2</v>
      </c>
      <c r="G108" s="62">
        <f t="shared" si="1"/>
        <v>240</v>
      </c>
    </row>
    <row r="109" spans="1:7" ht="12.75">
      <c r="A109" s="1354" t="s">
        <v>269</v>
      </c>
      <c r="B109" s="1423"/>
      <c r="C109" s="8" t="str">
        <f>VLOOKUP(A109,DB!$D$2:E997,2,0)</f>
        <v>pack</v>
      </c>
      <c r="D109" s="278">
        <f>VLOOKUP(A109,DB!$D$2:I997,6,0)</f>
        <v>150</v>
      </c>
      <c r="E109" s="60">
        <f t="shared" si="0"/>
        <v>0</v>
      </c>
      <c r="F109" s="61">
        <v>3</v>
      </c>
      <c r="G109" s="62">
        <f t="shared" si="1"/>
        <v>450</v>
      </c>
    </row>
    <row r="110" spans="1:7" ht="12.75">
      <c r="A110" s="1354" t="s">
        <v>270</v>
      </c>
      <c r="B110" s="1423"/>
      <c r="C110" s="8" t="str">
        <f>VLOOKUP(A110,DB!$D$2:E997,2,0)</f>
        <v>pack</v>
      </c>
      <c r="D110" s="278">
        <f>VLOOKUP(A110,DB!$D$2:I997,6,0)</f>
        <v>243</v>
      </c>
      <c r="E110" s="60">
        <f t="shared" si="0"/>
        <v>0</v>
      </c>
      <c r="F110" s="61">
        <v>400</v>
      </c>
      <c r="G110" s="62">
        <f t="shared" si="1"/>
        <v>97200</v>
      </c>
    </row>
    <row r="111" spans="1:7" ht="12.75">
      <c r="A111" s="1354" t="s">
        <v>271</v>
      </c>
      <c r="B111" s="1423"/>
      <c r="C111" s="8" t="str">
        <f>VLOOKUP(A111,DB!$D$2:E997,2,0)</f>
        <v>pack</v>
      </c>
      <c r="D111" s="278">
        <f>VLOOKUP(A111,DB!$D$2:I997,6,0)</f>
        <v>240</v>
      </c>
      <c r="E111" s="60">
        <f t="shared" si="0"/>
        <v>0</v>
      </c>
      <c r="F111" s="61">
        <v>400</v>
      </c>
      <c r="G111" s="62">
        <f t="shared" si="1"/>
        <v>96000</v>
      </c>
    </row>
    <row r="112" spans="1:7" ht="12.75">
      <c r="A112" s="1354" t="s">
        <v>272</v>
      </c>
      <c r="B112" s="1423"/>
      <c r="C112" s="8" t="str">
        <f>VLOOKUP(A112,DB!$D$2:E997,2,0)</f>
        <v>pack</v>
      </c>
      <c r="D112" s="278">
        <f>VLOOKUP(A112,DB!$D$2:I997,6,0)</f>
        <v>270</v>
      </c>
      <c r="E112" s="60">
        <f t="shared" si="0"/>
        <v>0</v>
      </c>
      <c r="F112" s="61">
        <v>1000</v>
      </c>
      <c r="G112" s="62">
        <f t="shared" si="1"/>
        <v>270000</v>
      </c>
    </row>
    <row r="113" spans="1:7" ht="12.75">
      <c r="A113" s="1354" t="s">
        <v>273</v>
      </c>
      <c r="B113" s="1423"/>
      <c r="C113" s="8" t="str">
        <f>VLOOKUP(A113,DB!$D$2:E997,2,0)</f>
        <v>pack</v>
      </c>
      <c r="D113" s="278">
        <f>VLOOKUP(A113,DB!$D$2:I997,6,0)</f>
        <v>345</v>
      </c>
      <c r="E113" s="60">
        <f t="shared" si="0"/>
        <v>0</v>
      </c>
      <c r="F113" s="61">
        <v>5</v>
      </c>
      <c r="G113" s="62">
        <f t="shared" si="1"/>
        <v>1725</v>
      </c>
    </row>
    <row r="114" spans="1:7" ht="12.75">
      <c r="A114" s="1354" t="s">
        <v>274</v>
      </c>
      <c r="B114" s="1423"/>
      <c r="C114" s="8" t="str">
        <f>VLOOKUP(A114,DB!$D$2:E997,2,0)</f>
        <v>pack</v>
      </c>
      <c r="D114" s="278">
        <f>VLOOKUP(A114,DB!$D$2:I997,6,0)</f>
        <v>495</v>
      </c>
      <c r="E114" s="60">
        <f t="shared" si="0"/>
        <v>0</v>
      </c>
      <c r="F114" s="61">
        <v>4</v>
      </c>
      <c r="G114" s="62">
        <f t="shared" si="1"/>
        <v>1980</v>
      </c>
    </row>
    <row r="115" spans="1:7" ht="12.75">
      <c r="A115" s="1354" t="s">
        <v>275</v>
      </c>
      <c r="B115" s="1423"/>
      <c r="C115" s="8" t="str">
        <f>VLOOKUP(A115,DB!$D$2:E997,2,0)</f>
        <v>pc</v>
      </c>
      <c r="D115" s="278">
        <f>VLOOKUP(A115,DB!$D$2:I997,6,0)</f>
        <v>15750</v>
      </c>
      <c r="E115" s="60">
        <f t="shared" si="0"/>
        <v>0</v>
      </c>
      <c r="F115" s="61">
        <v>10</v>
      </c>
      <c r="G115" s="62">
        <f t="shared" si="1"/>
        <v>157500</v>
      </c>
    </row>
    <row r="116" spans="1:7" ht="12.75">
      <c r="A116" s="1355" t="s">
        <v>276</v>
      </c>
      <c r="B116" s="1424"/>
      <c r="C116" s="8" t="str">
        <f>VLOOKUP(A116,DB!$D$2:E997,2,0)</f>
        <v>pc</v>
      </c>
      <c r="D116" s="278">
        <f>VLOOKUP(A116,DB!$D$2:I997,6,0)</f>
        <v>375</v>
      </c>
      <c r="E116" s="60">
        <f t="shared" si="0"/>
        <v>0</v>
      </c>
      <c r="F116" s="61">
        <v>20</v>
      </c>
      <c r="G116" s="62">
        <f t="shared" si="1"/>
        <v>7500</v>
      </c>
    </row>
    <row r="117" spans="1:7" ht="12.75">
      <c r="A117" s="85"/>
      <c r="B117" s="59"/>
      <c r="C117" s="8" t="e">
        <f>VLOOKUP(A117,DB!$D$2:E997,2,0)</f>
        <v>#N/A</v>
      </c>
      <c r="D117" s="8" t="e">
        <f>VLOOKUP(A117,DB!$D$2:I997,6,0)</f>
        <v>#N/A</v>
      </c>
      <c r="E117" s="60" t="e">
        <f t="shared" si="0"/>
        <v>#N/A</v>
      </c>
      <c r="F117" s="61">
        <v>2</v>
      </c>
      <c r="G117" s="62" t="e">
        <f t="shared" si="1"/>
        <v>#N/A</v>
      </c>
    </row>
    <row r="118" spans="1:7" ht="12.75">
      <c r="A118" s="85"/>
      <c r="B118" s="59"/>
      <c r="C118" s="8" t="e">
        <f>VLOOKUP(A118,DB!$D$2:E997,2,0)</f>
        <v>#N/A</v>
      </c>
      <c r="D118" s="8" t="e">
        <f>VLOOKUP(A118,DB!$D$2:I997,6,0)</f>
        <v>#N/A</v>
      </c>
      <c r="E118" s="60" t="e">
        <f t="shared" si="0"/>
        <v>#N/A</v>
      </c>
      <c r="F118" s="61">
        <v>70</v>
      </c>
      <c r="G118" s="62" t="e">
        <f t="shared" si="1"/>
        <v>#N/A</v>
      </c>
    </row>
    <row r="119" spans="1:7" ht="12.75">
      <c r="A119" s="85"/>
      <c r="B119" s="59"/>
      <c r="C119" s="8" t="e">
        <f>VLOOKUP(A119,DB!$D$2:E997,2,0)</f>
        <v>#N/A</v>
      </c>
      <c r="D119" s="8" t="e">
        <f>VLOOKUP(A119,DB!$D$2:I997,6,0)</f>
        <v>#N/A</v>
      </c>
      <c r="E119" s="60" t="e">
        <f t="shared" si="0"/>
        <v>#N/A</v>
      </c>
      <c r="F119" s="61">
        <v>1</v>
      </c>
      <c r="G119" s="62" t="e">
        <f t="shared" si="1"/>
        <v>#N/A</v>
      </c>
    </row>
    <row r="120" spans="1:7" ht="12.75">
      <c r="A120" s="85"/>
      <c r="B120" s="59"/>
      <c r="C120" s="8" t="e">
        <f>VLOOKUP(A120,DB!$D$2:E997,2,0)</f>
        <v>#N/A</v>
      </c>
      <c r="D120" s="8" t="e">
        <f>VLOOKUP(A120,DB!$D$2:I997,6,0)</f>
        <v>#N/A</v>
      </c>
      <c r="E120" s="60" t="e">
        <f t="shared" si="0"/>
        <v>#N/A</v>
      </c>
      <c r="F120" s="61">
        <v>2</v>
      </c>
      <c r="G120" s="62" t="e">
        <f t="shared" si="1"/>
        <v>#N/A</v>
      </c>
    </row>
    <row r="121" spans="1:7" ht="12.75">
      <c r="A121" s="85"/>
      <c r="B121" s="59"/>
      <c r="C121" s="8" t="e">
        <f>VLOOKUP(A121,DB!$D$2:E997,2,0)</f>
        <v>#N/A</v>
      </c>
      <c r="D121" s="8" t="e">
        <f>VLOOKUP(A121,DB!$D$2:I997,6,0)</f>
        <v>#N/A</v>
      </c>
      <c r="E121" s="60" t="e">
        <f t="shared" si="0"/>
        <v>#N/A</v>
      </c>
      <c r="F121" s="61">
        <v>4</v>
      </c>
      <c r="G121" s="62" t="e">
        <f t="shared" si="1"/>
        <v>#N/A</v>
      </c>
    </row>
    <row r="122" spans="1:7" ht="12.75">
      <c r="A122" s="85"/>
      <c r="B122" s="59"/>
      <c r="C122" s="8" t="e">
        <f>VLOOKUP(A122,DB!$D$2:E997,2,0)</f>
        <v>#N/A</v>
      </c>
      <c r="D122" s="8" t="e">
        <f>VLOOKUP(A122,DB!$D$2:I997,6,0)</f>
        <v>#N/A</v>
      </c>
      <c r="E122" s="60" t="e">
        <f t="shared" si="0"/>
        <v>#N/A</v>
      </c>
      <c r="F122" s="61">
        <v>20</v>
      </c>
      <c r="G122" s="62" t="e">
        <f t="shared" si="1"/>
        <v>#N/A</v>
      </c>
    </row>
    <row r="123" spans="1:7" ht="12.75">
      <c r="A123" s="85"/>
      <c r="B123" s="59"/>
      <c r="C123" s="8" t="e">
        <f>VLOOKUP(A123,DB!$D$2:E997,2,0)</f>
        <v>#N/A</v>
      </c>
      <c r="D123" s="8" t="e">
        <f>VLOOKUP(A123,DB!$D$2:I997,6,0)</f>
        <v>#N/A</v>
      </c>
      <c r="E123" s="60" t="e">
        <f t="shared" si="0"/>
        <v>#N/A</v>
      </c>
      <c r="F123" s="61">
        <v>20</v>
      </c>
      <c r="G123" s="62" t="e">
        <f t="shared" si="1"/>
        <v>#N/A</v>
      </c>
    </row>
    <row r="124" spans="1:7" ht="12.75">
      <c r="A124" s="85"/>
      <c r="B124" s="59"/>
      <c r="C124" s="8" t="e">
        <f>VLOOKUP(A124,DB!$D$2:E997,2,0)</f>
        <v>#N/A</v>
      </c>
      <c r="D124" s="8" t="e">
        <f>VLOOKUP(A124,DB!$D$2:I997,6,0)</f>
        <v>#N/A</v>
      </c>
      <c r="E124" s="60" t="e">
        <f t="shared" si="0"/>
        <v>#N/A</v>
      </c>
      <c r="F124" s="61">
        <v>10</v>
      </c>
      <c r="G124" s="62" t="e">
        <f t="shared" si="1"/>
        <v>#N/A</v>
      </c>
    </row>
    <row r="125" spans="1:7" ht="12.75">
      <c r="A125" s="85"/>
      <c r="B125" s="59"/>
      <c r="C125" s="8" t="e">
        <f>VLOOKUP(A125,DB!$D$2:E997,2,0)</f>
        <v>#N/A</v>
      </c>
      <c r="D125" s="8" t="e">
        <f>VLOOKUP(A125,DB!$D$2:I997,6,0)</f>
        <v>#N/A</v>
      </c>
      <c r="E125" s="60" t="e">
        <f t="shared" si="0"/>
        <v>#N/A</v>
      </c>
      <c r="F125" s="61">
        <v>8</v>
      </c>
      <c r="G125" s="62" t="e">
        <f t="shared" si="1"/>
        <v>#N/A</v>
      </c>
    </row>
    <row r="126" spans="1:7" ht="12.75">
      <c r="A126" s="85"/>
      <c r="B126" s="59"/>
      <c r="C126" s="8" t="e">
        <f>VLOOKUP(A126,DB!$D$2:E997,2,0)</f>
        <v>#N/A</v>
      </c>
      <c r="D126" s="8" t="e">
        <f>VLOOKUP(A126,DB!$D$2:I997,6,0)</f>
        <v>#N/A</v>
      </c>
      <c r="E126" s="60" t="e">
        <f t="shared" si="0"/>
        <v>#N/A</v>
      </c>
      <c r="F126" s="61">
        <v>12</v>
      </c>
      <c r="G126" s="62" t="e">
        <f t="shared" si="1"/>
        <v>#N/A</v>
      </c>
    </row>
    <row r="127" spans="1:7" ht="12.75">
      <c r="A127" s="85"/>
      <c r="B127" s="59"/>
      <c r="C127" s="8" t="e">
        <f>VLOOKUP(A127,DB!$D$2:E997,2,0)</f>
        <v>#N/A</v>
      </c>
      <c r="D127" s="8" t="e">
        <f>VLOOKUP(A127,DB!$D$2:I997,6,0)</f>
        <v>#N/A</v>
      </c>
      <c r="E127" s="60" t="e">
        <f t="shared" si="0"/>
        <v>#N/A</v>
      </c>
      <c r="F127" s="61">
        <v>24</v>
      </c>
      <c r="G127" s="62" t="e">
        <f t="shared" si="1"/>
        <v>#N/A</v>
      </c>
    </row>
    <row r="128" spans="1:7" ht="12.75">
      <c r="A128" s="85"/>
      <c r="B128" s="59"/>
      <c r="C128" s="8" t="e">
        <f>VLOOKUP(A128,DB!$D$2:E997,2,0)</f>
        <v>#N/A</v>
      </c>
      <c r="D128" s="8" t="e">
        <f>VLOOKUP(A128,DB!$D$2:I997,6,0)</f>
        <v>#N/A</v>
      </c>
      <c r="E128" s="60" t="e">
        <f t="shared" si="0"/>
        <v>#N/A</v>
      </c>
      <c r="F128" s="61">
        <v>50</v>
      </c>
      <c r="G128" s="62" t="e">
        <f t="shared" si="1"/>
        <v>#N/A</v>
      </c>
    </row>
    <row r="129" spans="1:7" ht="12.75">
      <c r="A129" s="85"/>
      <c r="B129" s="59"/>
      <c r="C129" s="8" t="e">
        <f>VLOOKUP(A129,DB!$D$2:E997,2,0)</f>
        <v>#N/A</v>
      </c>
      <c r="D129" s="8" t="e">
        <f>VLOOKUP(A129,DB!$D$2:I997,6,0)</f>
        <v>#N/A</v>
      </c>
      <c r="E129" s="60" t="e">
        <f t="shared" si="0"/>
        <v>#N/A</v>
      </c>
      <c r="F129" s="61">
        <v>8</v>
      </c>
      <c r="G129" s="62" t="e">
        <f t="shared" si="1"/>
        <v>#N/A</v>
      </c>
    </row>
    <row r="130" spans="1:7" ht="12.75">
      <c r="A130" s="85"/>
      <c r="B130" s="59"/>
      <c r="C130" s="8" t="e">
        <f>VLOOKUP(A130,DB!$D$2:E997,2,0)</f>
        <v>#N/A</v>
      </c>
      <c r="D130" s="8" t="e">
        <f>VLOOKUP(A130,DB!$D$2:I997,6,0)</f>
        <v>#N/A</v>
      </c>
      <c r="E130" s="60" t="e">
        <f t="shared" si="0"/>
        <v>#N/A</v>
      </c>
      <c r="F130" s="61">
        <v>1</v>
      </c>
      <c r="G130" s="62" t="e">
        <f t="shared" si="1"/>
        <v>#N/A</v>
      </c>
    </row>
    <row r="131" spans="1:7" ht="12.75">
      <c r="A131" s="85"/>
      <c r="B131" s="59"/>
      <c r="C131" s="8" t="e">
        <f>VLOOKUP(A131,DB!$D$2:E997,2,0)</f>
        <v>#N/A</v>
      </c>
      <c r="D131" s="8" t="e">
        <f>VLOOKUP(A131,DB!$D$2:I997,6,0)</f>
        <v>#N/A</v>
      </c>
      <c r="E131" s="60" t="e">
        <f t="shared" si="0"/>
        <v>#N/A</v>
      </c>
      <c r="F131" s="61">
        <v>2</v>
      </c>
      <c r="G131" s="62" t="e">
        <f t="shared" si="1"/>
        <v>#N/A</v>
      </c>
    </row>
    <row r="132" spans="1:7" ht="12.75">
      <c r="A132" s="85"/>
      <c r="B132" s="59"/>
      <c r="C132" s="8" t="e">
        <f>VLOOKUP(A132,DB!$D$2:E997,2,0)</f>
        <v>#N/A</v>
      </c>
      <c r="D132" s="8" t="e">
        <f>VLOOKUP(A132,DB!$D$2:I997,6,0)</f>
        <v>#N/A</v>
      </c>
      <c r="E132" s="60" t="e">
        <f t="shared" si="0"/>
        <v>#N/A</v>
      </c>
      <c r="F132" s="61">
        <v>30</v>
      </c>
      <c r="G132" s="62" t="e">
        <f t="shared" si="1"/>
        <v>#N/A</v>
      </c>
    </row>
    <row r="133" spans="1:7" ht="12.75">
      <c r="A133" s="85"/>
      <c r="B133" s="59"/>
      <c r="C133" s="8" t="e">
        <f>VLOOKUP(A133,DB!$D$2:E997,2,0)</f>
        <v>#N/A</v>
      </c>
      <c r="D133" s="8" t="e">
        <f>VLOOKUP(A133,DB!$D$2:I997,6,0)</f>
        <v>#N/A</v>
      </c>
      <c r="E133" s="60" t="e">
        <f t="shared" si="0"/>
        <v>#N/A</v>
      </c>
      <c r="F133" s="61">
        <v>4</v>
      </c>
      <c r="G133" s="62" t="e">
        <f t="shared" si="1"/>
        <v>#N/A</v>
      </c>
    </row>
    <row r="134" spans="1:7" ht="12.75">
      <c r="A134" s="85"/>
      <c r="B134" s="59"/>
      <c r="C134" s="8" t="e">
        <f>VLOOKUP(A134,DB!$D$2:E997,2,0)</f>
        <v>#N/A</v>
      </c>
      <c r="D134" s="8" t="e">
        <f>VLOOKUP(A134,DB!$D$2:I997,6,0)</f>
        <v>#N/A</v>
      </c>
      <c r="E134" s="60" t="e">
        <f t="shared" si="0"/>
        <v>#N/A</v>
      </c>
      <c r="F134" s="61">
        <v>20</v>
      </c>
      <c r="G134" s="62" t="e">
        <f t="shared" si="1"/>
        <v>#N/A</v>
      </c>
    </row>
    <row r="135" spans="1:7" ht="12.75">
      <c r="A135" s="85"/>
      <c r="B135" s="59"/>
      <c r="C135" s="8" t="e">
        <f>VLOOKUP(A135,DB!$D$2:E997,2,0)</f>
        <v>#N/A</v>
      </c>
      <c r="D135" s="8" t="e">
        <f>VLOOKUP(A135,DB!$D$2:I997,6,0)</f>
        <v>#N/A</v>
      </c>
      <c r="E135" s="60" t="e">
        <f t="shared" si="0"/>
        <v>#N/A</v>
      </c>
      <c r="F135" s="61">
        <v>50</v>
      </c>
      <c r="G135" s="62" t="e">
        <f t="shared" si="1"/>
        <v>#N/A</v>
      </c>
    </row>
    <row r="136" spans="1:7" ht="12.75">
      <c r="A136" s="85"/>
      <c r="B136" s="59"/>
      <c r="C136" s="8" t="e">
        <f>VLOOKUP(A136,DB!$D$2:E997,2,0)</f>
        <v>#N/A</v>
      </c>
      <c r="D136" s="8" t="e">
        <f>VLOOKUP(A136,DB!$D$2:I997,6,0)</f>
        <v>#N/A</v>
      </c>
      <c r="E136" s="60" t="e">
        <f t="shared" si="0"/>
        <v>#N/A</v>
      </c>
      <c r="F136" s="61">
        <v>50</v>
      </c>
      <c r="G136" s="62" t="e">
        <f t="shared" si="1"/>
        <v>#N/A</v>
      </c>
    </row>
    <row r="137" spans="1:7" ht="12.75">
      <c r="A137" s="85"/>
      <c r="B137" s="59"/>
      <c r="C137" s="8" t="e">
        <f>VLOOKUP(A137,DB!$D$2:E997,2,0)</f>
        <v>#N/A</v>
      </c>
      <c r="D137" s="8" t="e">
        <f>VLOOKUP(A137,DB!$D$2:I997,6,0)</f>
        <v>#N/A</v>
      </c>
      <c r="E137" s="60" t="e">
        <f t="shared" si="0"/>
        <v>#N/A</v>
      </c>
      <c r="F137" s="61">
        <v>40</v>
      </c>
      <c r="G137" s="62" t="e">
        <f t="shared" si="1"/>
        <v>#N/A</v>
      </c>
    </row>
    <row r="138" spans="1:7" ht="12.75">
      <c r="A138" s="85"/>
      <c r="B138" s="59"/>
      <c r="C138" s="8" t="e">
        <f>VLOOKUP(A138,DB!$D$2:E997,2,0)</f>
        <v>#N/A</v>
      </c>
      <c r="D138" s="8" t="e">
        <f>VLOOKUP(A138,DB!$D$2:I997,6,0)</f>
        <v>#N/A</v>
      </c>
      <c r="E138" s="60" t="e">
        <f t="shared" si="0"/>
        <v>#N/A</v>
      </c>
      <c r="F138" s="61">
        <v>40</v>
      </c>
      <c r="G138" s="62" t="e">
        <f t="shared" si="1"/>
        <v>#N/A</v>
      </c>
    </row>
    <row r="139" spans="1:7" ht="12.75">
      <c r="A139" s="85"/>
      <c r="B139" s="59"/>
      <c r="C139" s="8" t="e">
        <f>VLOOKUP(A139,DB!$D$2:E997,2,0)</f>
        <v>#N/A</v>
      </c>
      <c r="D139" s="8" t="e">
        <f>VLOOKUP(A139,DB!$D$2:I997,6,0)</f>
        <v>#N/A</v>
      </c>
      <c r="E139" s="60" t="e">
        <f t="shared" si="0"/>
        <v>#N/A</v>
      </c>
      <c r="F139" s="61">
        <v>30</v>
      </c>
      <c r="G139" s="62" t="e">
        <f t="shared" si="1"/>
        <v>#N/A</v>
      </c>
    </row>
    <row r="140" spans="1:7" ht="12.75">
      <c r="A140" s="85"/>
      <c r="B140" s="59"/>
      <c r="C140" s="8" t="e">
        <f>VLOOKUP(A140,DB!$D$2:E997,2,0)</f>
        <v>#N/A</v>
      </c>
      <c r="D140" s="8" t="e">
        <f>VLOOKUP(A140,DB!$D$2:I997,6,0)</f>
        <v>#N/A</v>
      </c>
      <c r="E140" s="60" t="e">
        <f t="shared" si="0"/>
        <v>#N/A</v>
      </c>
      <c r="F140" s="61">
        <v>30</v>
      </c>
      <c r="G140" s="62" t="e">
        <f t="shared" si="1"/>
        <v>#N/A</v>
      </c>
    </row>
    <row r="141" spans="1:7" ht="12.75">
      <c r="A141" s="85"/>
      <c r="B141" s="59"/>
      <c r="C141" s="8" t="e">
        <f>VLOOKUP(A141,DB!$D$2:E997,2,0)</f>
        <v>#N/A</v>
      </c>
      <c r="D141" s="8" t="e">
        <f>VLOOKUP(A141,DB!$D$2:I997,6,0)</f>
        <v>#N/A</v>
      </c>
      <c r="E141" s="60" t="e">
        <f t="shared" si="0"/>
        <v>#N/A</v>
      </c>
      <c r="F141" s="61">
        <v>10</v>
      </c>
      <c r="G141" s="62" t="e">
        <f t="shared" si="1"/>
        <v>#N/A</v>
      </c>
    </row>
    <row r="142" spans="1:7" ht="12.75">
      <c r="A142" s="85"/>
      <c r="B142" s="59"/>
      <c r="C142" s="8" t="e">
        <f>VLOOKUP(A142,DB!$D$2:E997,2,0)</f>
        <v>#N/A</v>
      </c>
      <c r="D142" s="8" t="e">
        <f>VLOOKUP(A142,DB!$D$2:I997,6,0)</f>
        <v>#N/A</v>
      </c>
      <c r="E142" s="60" t="e">
        <f t="shared" si="0"/>
        <v>#N/A</v>
      </c>
      <c r="F142" s="61">
        <v>10</v>
      </c>
      <c r="G142" s="62" t="e">
        <f t="shared" si="1"/>
        <v>#N/A</v>
      </c>
    </row>
    <row r="143" spans="1:7" ht="12.75">
      <c r="A143" s="85"/>
      <c r="B143" s="59"/>
      <c r="C143" s="8" t="e">
        <f>VLOOKUP(A143,DB!$D$2:E997,2,0)</f>
        <v>#N/A</v>
      </c>
      <c r="D143" s="8" t="e">
        <f>VLOOKUP(A143,DB!$D$2:I997,6,0)</f>
        <v>#N/A</v>
      </c>
      <c r="E143" s="60" t="e">
        <f t="shared" si="0"/>
        <v>#N/A</v>
      </c>
      <c r="F143" s="61">
        <v>10</v>
      </c>
      <c r="G143" s="62" t="e">
        <f t="shared" si="1"/>
        <v>#N/A</v>
      </c>
    </row>
    <row r="144" spans="1:7" ht="12.75">
      <c r="A144" s="85"/>
      <c r="B144" s="59"/>
      <c r="C144" s="8" t="e">
        <f>VLOOKUP(A144,DB!$D$2:E997,2,0)</f>
        <v>#N/A</v>
      </c>
      <c r="D144" s="8" t="e">
        <f>VLOOKUP(A144,DB!$D$2:I997,6,0)</f>
        <v>#N/A</v>
      </c>
      <c r="E144" s="60" t="e">
        <f t="shared" si="0"/>
        <v>#N/A</v>
      </c>
      <c r="F144" s="61">
        <v>30</v>
      </c>
      <c r="G144" s="62" t="e">
        <f t="shared" si="1"/>
        <v>#N/A</v>
      </c>
    </row>
    <row r="145" spans="1:7" ht="12.75">
      <c r="A145" s="85"/>
      <c r="B145" s="59"/>
      <c r="C145" s="8" t="e">
        <f>VLOOKUP(A145,DB!$D$2:E997,2,0)</f>
        <v>#N/A</v>
      </c>
      <c r="D145" s="8" t="e">
        <f>VLOOKUP(A145,DB!$D$2:I997,6,0)</f>
        <v>#N/A</v>
      </c>
      <c r="E145" s="60" t="e">
        <f t="shared" si="0"/>
        <v>#N/A</v>
      </c>
      <c r="F145" s="61">
        <v>20</v>
      </c>
      <c r="G145" s="62" t="e">
        <f t="shared" si="1"/>
        <v>#N/A</v>
      </c>
    </row>
    <row r="146" spans="1:7" ht="12.75">
      <c r="B146" s="59"/>
      <c r="C146" s="8" t="e">
        <f>VLOOKUP(A146,DB!$D$2:E997,2,0)</f>
        <v>#N/A</v>
      </c>
      <c r="D146" s="8" t="e">
        <f>VLOOKUP(A146,DB!$D$2:I997,6,0)</f>
        <v>#N/A</v>
      </c>
      <c r="E146" s="60" t="e">
        <f t="shared" si="0"/>
        <v>#N/A</v>
      </c>
      <c r="F146" s="61">
        <v>11</v>
      </c>
      <c r="G146" s="62" t="e">
        <f t="shared" si="1"/>
        <v>#N/A</v>
      </c>
    </row>
    <row r="147" spans="1:7" ht="12.75">
      <c r="A147" s="279"/>
      <c r="B147" s="74"/>
      <c r="D147" s="280" t="s">
        <v>430</v>
      </c>
      <c r="E147" s="281" t="e">
        <f>SUM(E3:E146)</f>
        <v>#N/A</v>
      </c>
      <c r="F147" s="282" t="s">
        <v>202</v>
      </c>
      <c r="G147" s="283" t="e">
        <f>SUM(G2:G146)</f>
        <v>#N/A</v>
      </c>
    </row>
    <row r="148" spans="1:7" ht="12.75">
      <c r="A148" s="279"/>
      <c r="B148" s="74"/>
      <c r="E148" s="62"/>
      <c r="F148" s="64"/>
      <c r="G148" s="62"/>
    </row>
    <row r="149" spans="1:7" ht="12.75">
      <c r="A149" s="279"/>
      <c r="B149" s="74"/>
      <c r="E149" s="62"/>
      <c r="F149" s="64"/>
      <c r="G149" s="62"/>
    </row>
    <row r="150" spans="1:7" ht="12.75">
      <c r="A150" s="279"/>
      <c r="B150" s="74"/>
      <c r="E150" s="62"/>
      <c r="F150" s="64"/>
      <c r="G150" s="62"/>
    </row>
    <row r="151" spans="1:7" ht="12.75">
      <c r="A151" s="279"/>
      <c r="B151" s="74"/>
      <c r="E151" s="62"/>
      <c r="F151" s="64"/>
      <c r="G151" s="62"/>
    </row>
    <row r="152" spans="1:7" ht="12.75">
      <c r="A152" s="279"/>
      <c r="B152" s="74"/>
      <c r="E152" s="62"/>
      <c r="F152" s="64"/>
      <c r="G152" s="62"/>
    </row>
    <row r="153" spans="1:7" ht="12.75">
      <c r="A153" s="279"/>
      <c r="B153" s="74"/>
      <c r="E153" s="62"/>
      <c r="F153" s="64"/>
      <c r="G153" s="62"/>
    </row>
    <row r="154" spans="1:7" ht="12.75">
      <c r="A154" s="279"/>
      <c r="B154" s="74"/>
      <c r="E154" s="62"/>
      <c r="F154" s="64"/>
      <c r="G154" s="62"/>
    </row>
    <row r="155" spans="1:7" ht="12.75">
      <c r="A155" s="279"/>
      <c r="B155" s="74"/>
      <c r="E155" s="62"/>
      <c r="F155" s="64"/>
      <c r="G155" s="62"/>
    </row>
    <row r="156" spans="1:7" ht="12.75">
      <c r="A156" s="279"/>
      <c r="B156" s="74"/>
      <c r="E156" s="62"/>
      <c r="F156" s="64"/>
      <c r="G156" s="62"/>
    </row>
    <row r="157" spans="1:7" ht="12.75">
      <c r="A157" s="279"/>
      <c r="B157" s="74"/>
      <c r="E157" s="62"/>
      <c r="F157" s="64"/>
      <c r="G157" s="62"/>
    </row>
    <row r="158" spans="1:7" ht="12.75">
      <c r="A158" s="279"/>
      <c r="B158" s="74"/>
      <c r="E158" s="62"/>
      <c r="F158" s="64"/>
      <c r="G158" s="62"/>
    </row>
    <row r="159" spans="1:7" ht="12.75">
      <c r="A159" s="279"/>
      <c r="B159" s="74"/>
      <c r="E159" s="62"/>
      <c r="F159" s="64"/>
      <c r="G159" s="62"/>
    </row>
    <row r="160" spans="1:7" ht="12.75">
      <c r="A160" s="279"/>
      <c r="B160" s="74"/>
      <c r="E160" s="62"/>
      <c r="F160" s="64"/>
      <c r="G160" s="62"/>
    </row>
    <row r="161" spans="1:7" ht="12.75">
      <c r="A161" s="279"/>
      <c r="B161" s="74"/>
      <c r="E161" s="62"/>
      <c r="F161" s="64"/>
      <c r="G161" s="62"/>
    </row>
    <row r="162" spans="1:7" ht="12.75">
      <c r="A162" s="279"/>
      <c r="B162" s="74"/>
      <c r="E162" s="62"/>
      <c r="F162" s="64"/>
      <c r="G162" s="62"/>
    </row>
    <row r="163" spans="1:7" ht="12.75">
      <c r="A163" s="279"/>
      <c r="B163" s="74"/>
      <c r="E163" s="62"/>
      <c r="F163" s="64"/>
      <c r="G163" s="62"/>
    </row>
    <row r="164" spans="1:7" ht="12.75">
      <c r="A164" s="279"/>
      <c r="B164" s="74"/>
      <c r="E164" s="62"/>
      <c r="F164" s="64"/>
      <c r="G164" s="62"/>
    </row>
    <row r="165" spans="1:7" ht="12.75">
      <c r="A165" s="279"/>
      <c r="B165" s="74"/>
      <c r="E165" s="62"/>
      <c r="F165" s="64"/>
      <c r="G165" s="62"/>
    </row>
    <row r="166" spans="1:7" ht="12.75">
      <c r="A166" s="279"/>
      <c r="B166" s="74"/>
      <c r="E166" s="62"/>
      <c r="F166" s="64"/>
      <c r="G166" s="62"/>
    </row>
    <row r="167" spans="1:7" ht="12.75">
      <c r="A167" s="279"/>
      <c r="B167" s="74"/>
      <c r="E167" s="62"/>
      <c r="F167" s="64"/>
      <c r="G167" s="62"/>
    </row>
    <row r="168" spans="1:7" ht="12.75">
      <c r="A168" s="279"/>
      <c r="B168" s="74"/>
      <c r="E168" s="62"/>
      <c r="F168" s="64"/>
      <c r="G168" s="62"/>
    </row>
    <row r="169" spans="1:7" ht="12.75">
      <c r="A169" s="279"/>
      <c r="B169" s="74"/>
      <c r="E169" s="62"/>
      <c r="F169" s="64"/>
      <c r="G169" s="62"/>
    </row>
    <row r="170" spans="1:7" ht="12.75">
      <c r="A170" s="279"/>
      <c r="B170" s="74"/>
      <c r="E170" s="62"/>
      <c r="F170" s="64"/>
      <c r="G170" s="62"/>
    </row>
    <row r="171" spans="1:7" ht="12.75">
      <c r="A171" s="279"/>
      <c r="B171" s="74"/>
      <c r="E171" s="62"/>
      <c r="F171" s="64"/>
      <c r="G171" s="62"/>
    </row>
    <row r="172" spans="1:7" ht="12.75">
      <c r="A172" s="279"/>
      <c r="B172" s="74"/>
      <c r="E172" s="62"/>
      <c r="F172" s="64"/>
      <c r="G172" s="62"/>
    </row>
    <row r="173" spans="1:7" ht="12.75">
      <c r="A173" s="279"/>
      <c r="B173" s="74"/>
      <c r="E173" s="62"/>
      <c r="F173" s="64"/>
      <c r="G173" s="62"/>
    </row>
    <row r="174" spans="1:7" ht="12.75">
      <c r="A174" s="279"/>
      <c r="B174" s="74"/>
      <c r="E174" s="62"/>
      <c r="F174" s="64"/>
      <c r="G174" s="62"/>
    </row>
    <row r="175" spans="1:7" ht="12.75">
      <c r="A175" s="279"/>
      <c r="B175" s="74"/>
      <c r="E175" s="62"/>
      <c r="F175" s="64"/>
      <c r="G175" s="62"/>
    </row>
    <row r="176" spans="1:7" ht="12.75">
      <c r="A176" s="279"/>
      <c r="B176" s="74"/>
      <c r="E176" s="62"/>
      <c r="F176" s="64"/>
      <c r="G176" s="62"/>
    </row>
    <row r="177" spans="1:7" ht="12.75">
      <c r="A177" s="279"/>
      <c r="B177" s="74"/>
      <c r="E177" s="62"/>
      <c r="F177" s="64"/>
      <c r="G177" s="62"/>
    </row>
    <row r="178" spans="1:7" ht="12.75">
      <c r="A178" s="279"/>
      <c r="B178" s="74"/>
      <c r="E178" s="62"/>
      <c r="F178" s="64"/>
      <c r="G178" s="62"/>
    </row>
    <row r="179" spans="1:7" ht="12.75">
      <c r="A179" s="279"/>
      <c r="B179" s="74"/>
      <c r="E179" s="62"/>
      <c r="F179" s="64"/>
      <c r="G179" s="62"/>
    </row>
    <row r="180" spans="1:7" ht="12.75">
      <c r="A180" s="279"/>
      <c r="B180" s="74"/>
      <c r="E180" s="62"/>
      <c r="F180" s="64"/>
      <c r="G180" s="62"/>
    </row>
    <row r="181" spans="1:7" ht="12.75">
      <c r="A181" s="279"/>
      <c r="B181" s="74"/>
      <c r="E181" s="62"/>
      <c r="F181" s="64"/>
      <c r="G181" s="62"/>
    </row>
    <row r="182" spans="1:7" ht="12.75">
      <c r="A182" s="279"/>
      <c r="B182" s="74"/>
      <c r="E182" s="62"/>
      <c r="F182" s="64"/>
      <c r="G182" s="62"/>
    </row>
    <row r="183" spans="1:7" ht="12.75">
      <c r="A183" s="279"/>
      <c r="B183" s="74"/>
      <c r="E183" s="62"/>
      <c r="F183" s="64"/>
      <c r="G183" s="62"/>
    </row>
    <row r="184" spans="1:7" ht="12.75">
      <c r="A184" s="279"/>
      <c r="B184" s="74"/>
      <c r="E184" s="62"/>
      <c r="F184" s="64"/>
      <c r="G184" s="62"/>
    </row>
    <row r="185" spans="1:7" ht="12.75">
      <c r="A185" s="279"/>
      <c r="B185" s="74"/>
      <c r="E185" s="62"/>
      <c r="F185" s="64"/>
      <c r="G185" s="62"/>
    </row>
    <row r="186" spans="1:7" ht="12.75">
      <c r="A186" s="279"/>
      <c r="B186" s="74"/>
      <c r="E186" s="62"/>
      <c r="F186" s="64"/>
      <c r="G186" s="62"/>
    </row>
    <row r="187" spans="1:7" ht="12.75">
      <c r="A187" s="279"/>
      <c r="B187" s="74"/>
      <c r="E187" s="62"/>
      <c r="F187" s="64"/>
      <c r="G187" s="62"/>
    </row>
    <row r="188" spans="1:7" ht="12.75">
      <c r="A188" s="279"/>
      <c r="B188" s="74"/>
      <c r="E188" s="62"/>
      <c r="F188" s="64"/>
      <c r="G188" s="62"/>
    </row>
    <row r="189" spans="1:7" ht="12.75">
      <c r="A189" s="279"/>
      <c r="B189" s="74"/>
      <c r="E189" s="62"/>
      <c r="F189" s="64"/>
      <c r="G189" s="62"/>
    </row>
    <row r="190" spans="1:7" ht="12.75">
      <c r="A190" s="279"/>
      <c r="B190" s="74"/>
      <c r="E190" s="62"/>
      <c r="F190" s="64"/>
      <c r="G190" s="62"/>
    </row>
    <row r="191" spans="1:7" ht="12.75">
      <c r="A191" s="279"/>
      <c r="B191" s="74"/>
      <c r="E191" s="62"/>
      <c r="F191" s="64"/>
      <c r="G191" s="62"/>
    </row>
    <row r="192" spans="1:7" ht="12.75">
      <c r="A192" s="279"/>
      <c r="B192" s="74"/>
      <c r="E192" s="62"/>
      <c r="F192" s="64"/>
      <c r="G192" s="62"/>
    </row>
    <row r="193" spans="1:7" ht="12.75">
      <c r="A193" s="279"/>
      <c r="B193" s="74"/>
      <c r="E193" s="62"/>
      <c r="F193" s="64"/>
      <c r="G193" s="62"/>
    </row>
    <row r="194" spans="1:7" ht="12.75">
      <c r="A194" s="279"/>
      <c r="B194" s="74"/>
      <c r="E194" s="62"/>
      <c r="F194" s="64"/>
      <c r="G194" s="62"/>
    </row>
    <row r="195" spans="1:7" ht="12.75">
      <c r="A195" s="279"/>
      <c r="B195" s="74"/>
      <c r="E195" s="62"/>
      <c r="F195" s="64"/>
      <c r="G195" s="62"/>
    </row>
    <row r="196" spans="1:7" ht="12.75">
      <c r="A196" s="279"/>
      <c r="B196" s="74"/>
      <c r="E196" s="62"/>
      <c r="F196" s="64"/>
      <c r="G196" s="62"/>
    </row>
    <row r="197" spans="1:7" ht="12.75">
      <c r="A197" s="279"/>
      <c r="B197" s="74"/>
      <c r="E197" s="62"/>
      <c r="F197" s="64"/>
      <c r="G197" s="62"/>
    </row>
    <row r="198" spans="1:7" ht="12.75">
      <c r="A198" s="279"/>
      <c r="B198" s="74"/>
      <c r="E198" s="62"/>
      <c r="F198" s="64"/>
      <c r="G198" s="62"/>
    </row>
    <row r="199" spans="1:7" ht="12.75">
      <c r="A199" s="279"/>
      <c r="B199" s="74"/>
      <c r="E199" s="62"/>
      <c r="F199" s="64"/>
      <c r="G199" s="62"/>
    </row>
    <row r="200" spans="1:7" ht="12.75">
      <c r="A200" s="279"/>
      <c r="B200" s="74"/>
      <c r="E200" s="62"/>
      <c r="F200" s="64"/>
      <c r="G200" s="62"/>
    </row>
    <row r="201" spans="1:7" ht="12.75">
      <c r="A201" s="279"/>
      <c r="B201" s="74"/>
      <c r="E201" s="62"/>
      <c r="F201" s="64"/>
      <c r="G201" s="62"/>
    </row>
    <row r="202" spans="1:7" ht="12.75">
      <c r="A202" s="279"/>
      <c r="B202" s="74"/>
      <c r="E202" s="62"/>
      <c r="F202" s="64"/>
      <c r="G202" s="62"/>
    </row>
    <row r="203" spans="1:7" ht="12.75">
      <c r="A203" s="279"/>
      <c r="B203" s="74"/>
      <c r="E203" s="62"/>
      <c r="F203" s="64"/>
      <c r="G203" s="62"/>
    </row>
    <row r="204" spans="1:7" ht="12.75">
      <c r="A204" s="279"/>
      <c r="B204" s="74"/>
      <c r="E204" s="62"/>
      <c r="F204" s="64"/>
      <c r="G204" s="62"/>
    </row>
    <row r="205" spans="1:7" ht="12.75">
      <c r="A205" s="279"/>
      <c r="B205" s="74"/>
      <c r="E205" s="62"/>
      <c r="F205" s="64"/>
      <c r="G205" s="62"/>
    </row>
    <row r="206" spans="1:7" ht="12.75">
      <c r="A206" s="279"/>
      <c r="B206" s="74"/>
      <c r="E206" s="62"/>
      <c r="F206" s="64"/>
      <c r="G206" s="62"/>
    </row>
    <row r="207" spans="1:7" ht="12.75">
      <c r="A207" s="279"/>
      <c r="B207" s="74"/>
      <c r="E207" s="62"/>
      <c r="F207" s="64"/>
      <c r="G207" s="62"/>
    </row>
    <row r="208" spans="1:7" ht="12.75">
      <c r="A208" s="279"/>
      <c r="B208" s="74"/>
      <c r="E208" s="62"/>
      <c r="F208" s="64"/>
      <c r="G208" s="62"/>
    </row>
    <row r="209" spans="1:7" ht="12.75">
      <c r="A209" s="279"/>
      <c r="B209" s="74"/>
      <c r="E209" s="62"/>
      <c r="F209" s="64"/>
      <c r="G209" s="62"/>
    </row>
    <row r="210" spans="1:7" ht="12.75">
      <c r="A210" s="279"/>
      <c r="B210" s="74"/>
      <c r="E210" s="62"/>
      <c r="F210" s="64"/>
      <c r="G210" s="62"/>
    </row>
    <row r="211" spans="1:7" ht="12.75">
      <c r="A211" s="279"/>
      <c r="B211" s="74"/>
      <c r="E211" s="62"/>
      <c r="F211" s="64"/>
      <c r="G211" s="62"/>
    </row>
    <row r="212" spans="1:7" ht="12.75">
      <c r="A212" s="279"/>
      <c r="B212" s="74"/>
      <c r="E212" s="62"/>
      <c r="F212" s="64"/>
      <c r="G212" s="62"/>
    </row>
    <row r="213" spans="1:7" ht="12.75">
      <c r="A213" s="279"/>
      <c r="B213" s="74"/>
      <c r="E213" s="62"/>
      <c r="F213" s="64"/>
      <c r="G213" s="62"/>
    </row>
    <row r="214" spans="1:7" ht="12.75">
      <c r="A214" s="279"/>
      <c r="B214" s="74"/>
      <c r="E214" s="62"/>
      <c r="F214" s="64"/>
      <c r="G214" s="62"/>
    </row>
    <row r="215" spans="1:7" ht="12.75">
      <c r="A215" s="279"/>
      <c r="B215" s="74"/>
      <c r="E215" s="62"/>
      <c r="F215" s="64"/>
      <c r="G215" s="62"/>
    </row>
    <row r="216" spans="1:7" ht="12.75">
      <c r="A216" s="279"/>
      <c r="B216" s="74"/>
      <c r="E216" s="62"/>
      <c r="F216" s="64"/>
      <c r="G216" s="62"/>
    </row>
    <row r="217" spans="1:7" ht="12.75">
      <c r="A217" s="279"/>
      <c r="B217" s="74"/>
      <c r="E217" s="62"/>
      <c r="F217" s="64"/>
      <c r="G217" s="62"/>
    </row>
    <row r="218" spans="1:7" ht="12.75">
      <c r="A218" s="279"/>
      <c r="B218" s="74"/>
      <c r="E218" s="62"/>
      <c r="F218" s="64"/>
      <c r="G218" s="62"/>
    </row>
    <row r="219" spans="1:7" ht="12.75">
      <c r="A219" s="279"/>
      <c r="B219" s="74"/>
      <c r="E219" s="62"/>
      <c r="F219" s="64"/>
      <c r="G219" s="62"/>
    </row>
    <row r="220" spans="1:7" ht="12.75">
      <c r="A220" s="279"/>
      <c r="B220" s="74"/>
      <c r="E220" s="62"/>
      <c r="F220" s="64"/>
      <c r="G220" s="62"/>
    </row>
    <row r="221" spans="1:7" ht="12.75">
      <c r="A221" s="279"/>
      <c r="B221" s="74"/>
      <c r="E221" s="62"/>
      <c r="F221" s="64"/>
      <c r="G221" s="62"/>
    </row>
    <row r="222" spans="1:7" ht="12.75">
      <c r="A222" s="279"/>
      <c r="B222" s="74"/>
      <c r="E222" s="62"/>
      <c r="F222" s="64"/>
      <c r="G222" s="62"/>
    </row>
    <row r="223" spans="1:7" ht="12.75">
      <c r="A223" s="279"/>
      <c r="B223" s="74"/>
      <c r="E223" s="62"/>
      <c r="F223" s="64"/>
      <c r="G223" s="62"/>
    </row>
    <row r="224" spans="1:7" ht="12.75">
      <c r="A224" s="279"/>
      <c r="B224" s="74"/>
      <c r="E224" s="62"/>
      <c r="F224" s="64"/>
      <c r="G224" s="62"/>
    </row>
    <row r="225" spans="1:7" ht="12.75">
      <c r="A225" s="279"/>
      <c r="B225" s="74"/>
      <c r="E225" s="62"/>
      <c r="F225" s="64"/>
      <c r="G225" s="62"/>
    </row>
    <row r="226" spans="1:7" ht="12.75">
      <c r="A226" s="279"/>
      <c r="B226" s="74"/>
      <c r="E226" s="62"/>
      <c r="F226" s="64"/>
      <c r="G226" s="62"/>
    </row>
    <row r="227" spans="1:7" ht="12.75">
      <c r="A227" s="279"/>
      <c r="B227" s="74"/>
      <c r="E227" s="62"/>
      <c r="F227" s="64"/>
      <c r="G227" s="62"/>
    </row>
    <row r="228" spans="1:7" ht="12.75">
      <c r="A228" s="279"/>
      <c r="B228" s="74"/>
      <c r="E228" s="62"/>
      <c r="F228" s="64"/>
      <c r="G228" s="62"/>
    </row>
    <row r="229" spans="1:7" ht="12.75">
      <c r="A229" s="279"/>
      <c r="B229" s="74"/>
      <c r="E229" s="62"/>
      <c r="F229" s="64"/>
      <c r="G229" s="62"/>
    </row>
    <row r="230" spans="1:7" ht="12.75">
      <c r="A230" s="279"/>
      <c r="B230" s="74"/>
      <c r="E230" s="62"/>
      <c r="F230" s="64"/>
      <c r="G230" s="62"/>
    </row>
    <row r="231" spans="1:7" ht="12.75">
      <c r="A231" s="279"/>
      <c r="B231" s="74"/>
      <c r="E231" s="62"/>
      <c r="F231" s="64"/>
      <c r="G231" s="62"/>
    </row>
    <row r="232" spans="1:7" ht="12.75">
      <c r="A232" s="279"/>
      <c r="B232" s="74"/>
      <c r="E232" s="62"/>
      <c r="F232" s="64"/>
      <c r="G232" s="62"/>
    </row>
    <row r="233" spans="1:7" ht="12.75">
      <c r="A233" s="279"/>
      <c r="B233" s="74"/>
      <c r="E233" s="62"/>
      <c r="F233" s="64"/>
      <c r="G233" s="62"/>
    </row>
    <row r="234" spans="1:7" ht="12.75">
      <c r="A234" s="279"/>
      <c r="B234" s="74"/>
      <c r="E234" s="62"/>
      <c r="F234" s="64"/>
      <c r="G234" s="62"/>
    </row>
    <row r="235" spans="1:7" ht="12.75">
      <c r="A235" s="279"/>
      <c r="B235" s="74"/>
      <c r="E235" s="62"/>
      <c r="F235" s="64"/>
      <c r="G235" s="62"/>
    </row>
    <row r="236" spans="1:7" ht="12.75">
      <c r="A236" s="279"/>
      <c r="B236" s="74"/>
      <c r="E236" s="62"/>
      <c r="F236" s="64"/>
      <c r="G236" s="62"/>
    </row>
    <row r="237" spans="1:7" ht="12.75">
      <c r="A237" s="279"/>
      <c r="B237" s="74"/>
      <c r="E237" s="62"/>
      <c r="F237" s="64"/>
      <c r="G237" s="62"/>
    </row>
    <row r="238" spans="1:7" ht="12.75">
      <c r="A238" s="279"/>
      <c r="B238" s="74"/>
      <c r="E238" s="62"/>
      <c r="F238" s="64"/>
      <c r="G238" s="62"/>
    </row>
    <row r="239" spans="1:7" ht="12.75">
      <c r="A239" s="279"/>
      <c r="B239" s="74"/>
      <c r="E239" s="62"/>
      <c r="F239" s="64"/>
      <c r="G239" s="62"/>
    </row>
    <row r="240" spans="1:7" ht="12.75">
      <c r="A240" s="279"/>
      <c r="B240" s="74"/>
      <c r="E240" s="62"/>
      <c r="F240" s="64"/>
      <c r="G240" s="62"/>
    </row>
    <row r="241" spans="1:7" ht="12.75">
      <c r="A241" s="279"/>
      <c r="B241" s="74"/>
      <c r="E241" s="62"/>
      <c r="F241" s="64"/>
      <c r="G241" s="62"/>
    </row>
    <row r="242" spans="1:7" ht="12.75">
      <c r="A242" s="279"/>
      <c r="B242" s="74"/>
      <c r="E242" s="62"/>
      <c r="F242" s="64"/>
      <c r="G242" s="62"/>
    </row>
    <row r="243" spans="1:7" ht="12.75">
      <c r="A243" s="279"/>
      <c r="B243" s="74"/>
      <c r="E243" s="62"/>
      <c r="F243" s="64"/>
      <c r="G243" s="62"/>
    </row>
    <row r="244" spans="1:7" ht="12.75">
      <c r="A244" s="279"/>
      <c r="B244" s="74"/>
      <c r="E244" s="62"/>
      <c r="F244" s="64"/>
      <c r="G244" s="62"/>
    </row>
    <row r="245" spans="1:7" ht="12.75">
      <c r="A245" s="279"/>
      <c r="B245" s="74"/>
      <c r="E245" s="62"/>
      <c r="F245" s="64"/>
      <c r="G245" s="62"/>
    </row>
    <row r="246" spans="1:7" ht="12.75">
      <c r="A246" s="279"/>
      <c r="B246" s="74"/>
      <c r="E246" s="62"/>
      <c r="F246" s="64"/>
      <c r="G246" s="62"/>
    </row>
    <row r="247" spans="1:7" ht="12.75">
      <c r="A247" s="279"/>
      <c r="B247" s="74"/>
      <c r="E247" s="62"/>
      <c r="F247" s="64"/>
      <c r="G247" s="62"/>
    </row>
    <row r="248" spans="1:7" ht="12.75">
      <c r="A248" s="279"/>
      <c r="B248" s="74"/>
      <c r="E248" s="62"/>
      <c r="F248" s="64"/>
      <c r="G248" s="62"/>
    </row>
    <row r="249" spans="1:7" ht="12.75">
      <c r="A249" s="279"/>
      <c r="B249" s="74"/>
      <c r="E249" s="62"/>
      <c r="F249" s="64"/>
      <c r="G249" s="62"/>
    </row>
    <row r="250" spans="1:7" ht="12.75">
      <c r="A250" s="279"/>
      <c r="B250" s="74"/>
      <c r="E250" s="62"/>
      <c r="F250" s="64"/>
      <c r="G250" s="62"/>
    </row>
    <row r="251" spans="1:7" ht="12.75">
      <c r="A251" s="279"/>
      <c r="B251" s="74"/>
      <c r="E251" s="62"/>
      <c r="F251" s="64"/>
      <c r="G251" s="62"/>
    </row>
    <row r="252" spans="1:7" ht="12.75">
      <c r="A252" s="279"/>
      <c r="B252" s="74"/>
      <c r="E252" s="62"/>
      <c r="F252" s="64"/>
      <c r="G252" s="62"/>
    </row>
    <row r="253" spans="1:7" ht="12.75">
      <c r="A253" s="279"/>
      <c r="B253" s="74"/>
      <c r="E253" s="62"/>
      <c r="F253" s="64"/>
      <c r="G253" s="62"/>
    </row>
    <row r="254" spans="1:7" ht="12.75">
      <c r="A254" s="279"/>
      <c r="B254" s="74"/>
      <c r="E254" s="62"/>
      <c r="F254" s="64"/>
      <c r="G254" s="62"/>
    </row>
    <row r="255" spans="1:7" ht="12.75">
      <c r="A255" s="279"/>
      <c r="B255" s="74"/>
      <c r="E255" s="62"/>
      <c r="F255" s="64"/>
      <c r="G255" s="62"/>
    </row>
    <row r="256" spans="1:7" ht="12.75">
      <c r="A256" s="279"/>
      <c r="B256" s="74"/>
      <c r="E256" s="62"/>
      <c r="F256" s="64"/>
      <c r="G256" s="62"/>
    </row>
    <row r="257" spans="1:7" ht="12.75">
      <c r="A257" s="279"/>
      <c r="B257" s="74"/>
      <c r="E257" s="62"/>
      <c r="F257" s="64"/>
      <c r="G257" s="62"/>
    </row>
    <row r="258" spans="1:7" ht="12.75">
      <c r="A258" s="279"/>
      <c r="B258" s="74"/>
      <c r="E258" s="62"/>
      <c r="F258" s="64"/>
      <c r="G258" s="62"/>
    </row>
    <row r="259" spans="1:7" ht="12.75">
      <c r="A259" s="279"/>
      <c r="B259" s="74"/>
      <c r="E259" s="62"/>
      <c r="F259" s="64"/>
      <c r="G259" s="62"/>
    </row>
    <row r="260" spans="1:7" ht="12.75">
      <c r="A260" s="279"/>
      <c r="B260" s="74"/>
      <c r="E260" s="62"/>
      <c r="F260" s="64"/>
      <c r="G260" s="62"/>
    </row>
    <row r="261" spans="1:7" ht="12.75">
      <c r="A261" s="279"/>
      <c r="B261" s="74"/>
      <c r="E261" s="62"/>
      <c r="F261" s="64"/>
      <c r="G261" s="62"/>
    </row>
    <row r="262" spans="1:7" ht="12.75">
      <c r="A262" s="279"/>
      <c r="B262" s="74"/>
      <c r="E262" s="62"/>
      <c r="F262" s="64"/>
      <c r="G262" s="62"/>
    </row>
    <row r="263" spans="1:7" ht="12.75">
      <c r="A263" s="279"/>
      <c r="B263" s="74"/>
      <c r="E263" s="62"/>
      <c r="F263" s="64"/>
      <c r="G263" s="62"/>
    </row>
    <row r="264" spans="1:7" ht="12.75">
      <c r="A264" s="279"/>
      <c r="B264" s="74"/>
      <c r="E264" s="62"/>
      <c r="F264" s="64"/>
      <c r="G264" s="62"/>
    </row>
    <row r="265" spans="1:7" ht="12.75">
      <c r="A265" s="279"/>
      <c r="B265" s="74"/>
      <c r="E265" s="62"/>
      <c r="F265" s="64"/>
      <c r="G265" s="62"/>
    </row>
    <row r="266" spans="1:7" ht="12.75">
      <c r="A266" s="279"/>
      <c r="B266" s="74"/>
      <c r="E266" s="62"/>
      <c r="F266" s="64"/>
      <c r="G266" s="62"/>
    </row>
    <row r="267" spans="1:7" ht="12.75">
      <c r="A267" s="279"/>
      <c r="B267" s="74"/>
      <c r="E267" s="62"/>
      <c r="F267" s="64"/>
      <c r="G267" s="62"/>
    </row>
    <row r="268" spans="1:7" ht="12.75">
      <c r="A268" s="279"/>
      <c r="B268" s="74"/>
      <c r="E268" s="62"/>
      <c r="F268" s="64"/>
      <c r="G268" s="62"/>
    </row>
    <row r="269" spans="1:7" ht="12.75">
      <c r="A269" s="279"/>
      <c r="B269" s="74"/>
      <c r="E269" s="62"/>
      <c r="F269" s="64"/>
      <c r="G269" s="62"/>
    </row>
    <row r="270" spans="1:7" ht="12.75">
      <c r="A270" s="279"/>
      <c r="B270" s="74"/>
      <c r="E270" s="62"/>
      <c r="F270" s="64"/>
      <c r="G270" s="62"/>
    </row>
    <row r="271" spans="1:7" ht="12.75">
      <c r="A271" s="279"/>
      <c r="B271" s="74"/>
      <c r="E271" s="62"/>
      <c r="F271" s="64"/>
      <c r="G271" s="62"/>
    </row>
    <row r="272" spans="1:7" ht="12.75">
      <c r="A272" s="279"/>
      <c r="B272" s="74"/>
      <c r="E272" s="62"/>
      <c r="F272" s="64"/>
      <c r="G272" s="62"/>
    </row>
    <row r="273" spans="1:7" ht="12.75">
      <c r="A273" s="279"/>
      <c r="B273" s="74"/>
      <c r="E273" s="62"/>
      <c r="F273" s="64"/>
      <c r="G273" s="62"/>
    </row>
    <row r="274" spans="1:7" ht="12.75">
      <c r="A274" s="279"/>
      <c r="B274" s="74"/>
      <c r="E274" s="62"/>
      <c r="F274" s="64"/>
      <c r="G274" s="62"/>
    </row>
    <row r="275" spans="1:7" ht="12.75">
      <c r="A275" s="279"/>
      <c r="B275" s="74"/>
      <c r="E275" s="62"/>
      <c r="F275" s="64"/>
      <c r="G275" s="62"/>
    </row>
    <row r="276" spans="1:7" ht="12.75">
      <c r="A276" s="279"/>
      <c r="B276" s="74"/>
      <c r="E276" s="62"/>
      <c r="F276" s="64"/>
      <c r="G276" s="62"/>
    </row>
    <row r="277" spans="1:7" ht="12.75">
      <c r="A277" s="279"/>
      <c r="B277" s="74"/>
      <c r="E277" s="62"/>
      <c r="F277" s="64"/>
      <c r="G277" s="62"/>
    </row>
    <row r="278" spans="1:7" ht="12.75">
      <c r="A278" s="279"/>
      <c r="B278" s="74"/>
      <c r="E278" s="62"/>
      <c r="F278" s="64"/>
      <c r="G278" s="62"/>
    </row>
    <row r="279" spans="1:7" ht="12.75">
      <c r="A279" s="279"/>
      <c r="B279" s="74"/>
      <c r="E279" s="62"/>
      <c r="F279" s="64"/>
      <c r="G279" s="62"/>
    </row>
    <row r="280" spans="1:7" ht="12.75">
      <c r="A280" s="279"/>
      <c r="B280" s="74"/>
      <c r="E280" s="62"/>
      <c r="F280" s="64"/>
      <c r="G280" s="62"/>
    </row>
    <row r="281" spans="1:7" ht="12.75">
      <c r="A281" s="279"/>
      <c r="B281" s="74"/>
      <c r="E281" s="62"/>
      <c r="F281" s="64"/>
      <c r="G281" s="62"/>
    </row>
    <row r="282" spans="1:7" ht="12.75">
      <c r="A282" s="279"/>
      <c r="B282" s="74"/>
      <c r="E282" s="62"/>
      <c r="F282" s="64"/>
      <c r="G282" s="62"/>
    </row>
    <row r="283" spans="1:7" ht="12.75">
      <c r="A283" s="279"/>
      <c r="B283" s="74"/>
      <c r="E283" s="62"/>
      <c r="F283" s="64"/>
      <c r="G283" s="62"/>
    </row>
    <row r="284" spans="1:7" ht="12.75">
      <c r="A284" s="279"/>
      <c r="B284" s="74"/>
      <c r="E284" s="62"/>
      <c r="F284" s="64"/>
      <c r="G284" s="62"/>
    </row>
    <row r="285" spans="1:7" ht="12.75">
      <c r="A285" s="279"/>
      <c r="B285" s="74"/>
      <c r="E285" s="62"/>
      <c r="F285" s="64"/>
      <c r="G285" s="62"/>
    </row>
    <row r="286" spans="1:7" ht="12.75">
      <c r="A286" s="279"/>
      <c r="B286" s="74"/>
      <c r="E286" s="62"/>
      <c r="F286" s="64"/>
      <c r="G286" s="62"/>
    </row>
    <row r="287" spans="1:7" ht="12.75">
      <c r="A287" s="279"/>
      <c r="B287" s="74"/>
      <c r="E287" s="62"/>
      <c r="F287" s="64"/>
      <c r="G287" s="62"/>
    </row>
    <row r="288" spans="1:7" ht="12.75">
      <c r="A288" s="279"/>
      <c r="B288" s="74"/>
      <c r="E288" s="62"/>
      <c r="F288" s="64"/>
      <c r="G288" s="62"/>
    </row>
    <row r="289" spans="1:7" ht="12.75">
      <c r="A289" s="279"/>
      <c r="B289" s="74"/>
      <c r="E289" s="62"/>
      <c r="F289" s="64"/>
      <c r="G289" s="62"/>
    </row>
    <row r="290" spans="1:7" ht="12.75">
      <c r="A290" s="279"/>
      <c r="B290" s="74"/>
      <c r="E290" s="62"/>
      <c r="F290" s="64"/>
      <c r="G290" s="62"/>
    </row>
    <row r="291" spans="1:7" ht="12.75">
      <c r="A291" s="279"/>
      <c r="B291" s="74"/>
      <c r="E291" s="62"/>
      <c r="F291" s="64"/>
      <c r="G291" s="62"/>
    </row>
    <row r="292" spans="1:7" ht="12.75">
      <c r="A292" s="279"/>
      <c r="B292" s="74"/>
      <c r="E292" s="62"/>
      <c r="F292" s="64"/>
      <c r="G292" s="62"/>
    </row>
    <row r="293" spans="1:7" ht="12.75">
      <c r="A293" s="279"/>
      <c r="B293" s="74"/>
      <c r="E293" s="62"/>
      <c r="F293" s="64"/>
      <c r="G293" s="62"/>
    </row>
    <row r="294" spans="1:7" ht="12.75">
      <c r="A294" s="279"/>
      <c r="B294" s="74"/>
      <c r="E294" s="62"/>
      <c r="F294" s="64"/>
      <c r="G294" s="62"/>
    </row>
    <row r="295" spans="1:7" ht="12.75">
      <c r="A295" s="279"/>
      <c r="B295" s="74"/>
      <c r="E295" s="62"/>
      <c r="F295" s="64"/>
      <c r="G295" s="62"/>
    </row>
    <row r="296" spans="1:7" ht="12.75">
      <c r="A296" s="279"/>
      <c r="B296" s="74"/>
      <c r="E296" s="62"/>
      <c r="F296" s="64"/>
      <c r="G296" s="62"/>
    </row>
    <row r="297" spans="1:7" ht="12.75">
      <c r="A297" s="279"/>
      <c r="B297" s="74"/>
      <c r="E297" s="62"/>
      <c r="F297" s="64"/>
      <c r="G297" s="62"/>
    </row>
    <row r="298" spans="1:7" ht="12.75">
      <c r="A298" s="279"/>
      <c r="B298" s="74"/>
      <c r="E298" s="62"/>
      <c r="F298" s="64"/>
      <c r="G298" s="62"/>
    </row>
    <row r="299" spans="1:7" ht="12.75">
      <c r="A299" s="279"/>
      <c r="B299" s="74"/>
      <c r="E299" s="62"/>
      <c r="F299" s="64"/>
      <c r="G299" s="62"/>
    </row>
    <row r="300" spans="1:7" ht="12.75">
      <c r="A300" s="279"/>
      <c r="B300" s="74"/>
      <c r="E300" s="62"/>
      <c r="F300" s="64"/>
      <c r="G300" s="62"/>
    </row>
    <row r="301" spans="1:7" ht="12.75">
      <c r="A301" s="279"/>
      <c r="B301" s="74"/>
      <c r="E301" s="62"/>
      <c r="F301" s="64"/>
      <c r="G301" s="62"/>
    </row>
    <row r="302" spans="1:7" ht="12.75">
      <c r="A302" s="279"/>
      <c r="B302" s="74"/>
      <c r="E302" s="62"/>
      <c r="F302" s="64"/>
      <c r="G302" s="62"/>
    </row>
    <row r="303" spans="1:7" ht="12.75">
      <c r="A303" s="279"/>
      <c r="B303" s="74"/>
      <c r="E303" s="62"/>
      <c r="F303" s="64"/>
      <c r="G303" s="62"/>
    </row>
    <row r="304" spans="1:7" ht="12.75">
      <c r="A304" s="279"/>
      <c r="B304" s="74"/>
      <c r="E304" s="62"/>
      <c r="F304" s="64"/>
      <c r="G304" s="62"/>
    </row>
    <row r="305" spans="1:7" ht="12.75">
      <c r="A305" s="279"/>
      <c r="B305" s="74"/>
      <c r="E305" s="62"/>
      <c r="F305" s="64"/>
      <c r="G305" s="62"/>
    </row>
    <row r="306" spans="1:7" ht="12.75">
      <c r="A306" s="279"/>
      <c r="B306" s="74"/>
      <c r="E306" s="62"/>
      <c r="F306" s="64"/>
      <c r="G306" s="62"/>
    </row>
    <row r="307" spans="1:7" ht="12.75">
      <c r="A307" s="279"/>
      <c r="B307" s="74"/>
      <c r="E307" s="62"/>
      <c r="F307" s="64"/>
      <c r="G307" s="62"/>
    </row>
    <row r="308" spans="1:7" ht="12.75">
      <c r="A308" s="279"/>
      <c r="B308" s="74"/>
      <c r="E308" s="62"/>
      <c r="F308" s="64"/>
      <c r="G308" s="62"/>
    </row>
    <row r="309" spans="1:7" ht="12.75">
      <c r="A309" s="279"/>
      <c r="B309" s="74"/>
      <c r="E309" s="62"/>
      <c r="F309" s="64"/>
      <c r="G309" s="62"/>
    </row>
    <row r="310" spans="1:7" ht="12.75">
      <c r="A310" s="279"/>
      <c r="B310" s="74"/>
      <c r="E310" s="62"/>
      <c r="F310" s="64"/>
      <c r="G310" s="62"/>
    </row>
    <row r="311" spans="1:7" ht="12.75">
      <c r="A311" s="279"/>
      <c r="B311" s="74"/>
      <c r="E311" s="62"/>
      <c r="F311" s="64"/>
      <c r="G311" s="62"/>
    </row>
    <row r="312" spans="1:7" ht="12.75">
      <c r="A312" s="279"/>
      <c r="B312" s="74"/>
      <c r="E312" s="62"/>
      <c r="F312" s="64"/>
      <c r="G312" s="62"/>
    </row>
    <row r="313" spans="1:7" ht="12.75">
      <c r="A313" s="279"/>
      <c r="B313" s="74"/>
      <c r="E313" s="62"/>
      <c r="F313" s="64"/>
      <c r="G313" s="62"/>
    </row>
    <row r="314" spans="1:7" ht="12.75">
      <c r="A314" s="279"/>
      <c r="B314" s="74"/>
      <c r="E314" s="62"/>
      <c r="F314" s="64"/>
      <c r="G314" s="62"/>
    </row>
    <row r="315" spans="1:7" ht="12.75">
      <c r="A315" s="279"/>
      <c r="B315" s="74"/>
      <c r="E315" s="62"/>
      <c r="F315" s="64"/>
      <c r="G315" s="62"/>
    </row>
    <row r="316" spans="1:7" ht="12.75">
      <c r="A316" s="279"/>
      <c r="B316" s="74"/>
      <c r="E316" s="62"/>
      <c r="F316" s="64"/>
      <c r="G316" s="62"/>
    </row>
    <row r="317" spans="1:7" ht="12.75">
      <c r="A317" s="279"/>
      <c r="B317" s="74"/>
      <c r="E317" s="62"/>
      <c r="F317" s="64"/>
      <c r="G317" s="62"/>
    </row>
    <row r="318" spans="1:7" ht="12.75">
      <c r="A318" s="279"/>
      <c r="B318" s="74"/>
      <c r="E318" s="62"/>
      <c r="F318" s="64"/>
      <c r="G318" s="62"/>
    </row>
    <row r="319" spans="1:7" ht="12.75">
      <c r="A319" s="279"/>
      <c r="B319" s="74"/>
      <c r="E319" s="62"/>
      <c r="F319" s="64"/>
      <c r="G319" s="62"/>
    </row>
    <row r="320" spans="1:7" ht="12.75">
      <c r="A320" s="279"/>
      <c r="B320" s="74"/>
      <c r="E320" s="62"/>
      <c r="F320" s="64"/>
      <c r="G320" s="62"/>
    </row>
    <row r="321" spans="1:7" ht="12.75">
      <c r="A321" s="279"/>
      <c r="B321" s="74"/>
      <c r="E321" s="62"/>
      <c r="F321" s="64"/>
      <c r="G321" s="62"/>
    </row>
    <row r="322" spans="1:7" ht="12.75">
      <c r="A322" s="279"/>
      <c r="B322" s="74"/>
      <c r="E322" s="62"/>
      <c r="F322" s="64"/>
      <c r="G322" s="62"/>
    </row>
    <row r="323" spans="1:7" ht="12.75">
      <c r="A323" s="279"/>
      <c r="B323" s="74"/>
      <c r="E323" s="62"/>
      <c r="F323" s="64"/>
      <c r="G323" s="62"/>
    </row>
    <row r="324" spans="1:7" ht="12.75">
      <c r="A324" s="279"/>
      <c r="B324" s="74"/>
      <c r="E324" s="62"/>
      <c r="F324" s="64"/>
      <c r="G324" s="62"/>
    </row>
    <row r="325" spans="1:7" ht="12.75">
      <c r="A325" s="279"/>
      <c r="B325" s="74"/>
      <c r="E325" s="62"/>
      <c r="F325" s="64"/>
      <c r="G325" s="62"/>
    </row>
    <row r="326" spans="1:7" ht="12.75">
      <c r="A326" s="279"/>
      <c r="B326" s="74"/>
      <c r="E326" s="62"/>
      <c r="F326" s="64"/>
      <c r="G326" s="62"/>
    </row>
    <row r="327" spans="1:7" ht="12.75">
      <c r="A327" s="279"/>
      <c r="B327" s="74"/>
      <c r="E327" s="62"/>
      <c r="F327" s="64"/>
      <c r="G327" s="62"/>
    </row>
    <row r="328" spans="1:7" ht="12.75">
      <c r="A328" s="279"/>
      <c r="B328" s="74"/>
      <c r="E328" s="62"/>
      <c r="F328" s="64"/>
      <c r="G328" s="62"/>
    </row>
    <row r="329" spans="1:7" ht="12.75">
      <c r="A329" s="279"/>
      <c r="B329" s="74"/>
      <c r="E329" s="62"/>
      <c r="F329" s="64"/>
      <c r="G329" s="62"/>
    </row>
    <row r="330" spans="1:7" ht="12.75">
      <c r="A330" s="279"/>
      <c r="B330" s="74"/>
      <c r="E330" s="62"/>
      <c r="F330" s="64"/>
      <c r="G330" s="62"/>
    </row>
    <row r="331" spans="1:7" ht="12.75">
      <c r="A331" s="279"/>
      <c r="B331" s="74"/>
      <c r="E331" s="62"/>
      <c r="F331" s="64"/>
      <c r="G331" s="62"/>
    </row>
    <row r="332" spans="1:7" ht="12.75">
      <c r="A332" s="279"/>
      <c r="B332" s="74"/>
      <c r="E332" s="62"/>
      <c r="F332" s="64"/>
      <c r="G332" s="62"/>
    </row>
    <row r="333" spans="1:7" ht="12.75">
      <c r="A333" s="279"/>
      <c r="B333" s="74"/>
      <c r="E333" s="62"/>
      <c r="F333" s="64"/>
      <c r="G333" s="62"/>
    </row>
    <row r="334" spans="1:7" ht="12.75">
      <c r="A334" s="279"/>
      <c r="B334" s="74"/>
      <c r="E334" s="62"/>
      <c r="F334" s="64"/>
      <c r="G334" s="62"/>
    </row>
    <row r="335" spans="1:7" ht="12.75">
      <c r="A335" s="279"/>
      <c r="B335" s="74"/>
      <c r="E335" s="62"/>
      <c r="F335" s="64"/>
      <c r="G335" s="62"/>
    </row>
    <row r="336" spans="1:7" ht="12.75">
      <c r="A336" s="279"/>
      <c r="B336" s="74"/>
      <c r="E336" s="62"/>
      <c r="F336" s="64"/>
      <c r="G336" s="62"/>
    </row>
    <row r="337" spans="1:7" ht="12.75">
      <c r="A337" s="279"/>
      <c r="B337" s="74"/>
      <c r="E337" s="62"/>
      <c r="F337" s="64"/>
      <c r="G337" s="62"/>
    </row>
    <row r="338" spans="1:7" ht="12.75">
      <c r="A338" s="279"/>
      <c r="B338" s="74"/>
      <c r="E338" s="62"/>
      <c r="F338" s="64"/>
      <c r="G338" s="62"/>
    </row>
    <row r="339" spans="1:7" ht="12.75">
      <c r="A339" s="279"/>
      <c r="B339" s="74"/>
      <c r="E339" s="62"/>
      <c r="F339" s="64"/>
      <c r="G339" s="62"/>
    </row>
    <row r="340" spans="1:7" ht="12.75">
      <c r="A340" s="279"/>
      <c r="B340" s="74"/>
      <c r="E340" s="62"/>
      <c r="F340" s="64"/>
      <c r="G340" s="62"/>
    </row>
    <row r="341" spans="1:7" ht="12.75">
      <c r="A341" s="279"/>
      <c r="B341" s="74"/>
      <c r="E341" s="62"/>
      <c r="F341" s="64"/>
      <c r="G341" s="62"/>
    </row>
    <row r="342" spans="1:7" ht="12.75">
      <c r="A342" s="279"/>
      <c r="B342" s="74"/>
      <c r="E342" s="62"/>
      <c r="F342" s="64"/>
      <c r="G342" s="62"/>
    </row>
    <row r="343" spans="1:7" ht="12.75">
      <c r="A343" s="279"/>
      <c r="B343" s="74"/>
      <c r="E343" s="62"/>
      <c r="F343" s="64"/>
      <c r="G343" s="62"/>
    </row>
    <row r="344" spans="1:7" ht="12.75">
      <c r="A344" s="279"/>
      <c r="B344" s="74"/>
      <c r="E344" s="62"/>
      <c r="F344" s="64"/>
      <c r="G344" s="62"/>
    </row>
    <row r="345" spans="1:7" ht="12.75">
      <c r="A345" s="279"/>
      <c r="B345" s="74"/>
      <c r="E345" s="62"/>
      <c r="F345" s="64"/>
      <c r="G345" s="62"/>
    </row>
    <row r="346" spans="1:7" ht="12.75">
      <c r="A346" s="279"/>
      <c r="B346" s="74"/>
      <c r="E346" s="62"/>
      <c r="F346" s="64"/>
      <c r="G346" s="62"/>
    </row>
    <row r="347" spans="1:7" ht="12.75">
      <c r="A347" s="279"/>
      <c r="B347" s="74"/>
      <c r="E347" s="62"/>
      <c r="F347" s="64"/>
      <c r="G347" s="62"/>
    </row>
    <row r="348" spans="1:7" ht="12.75">
      <c r="A348" s="279"/>
      <c r="B348" s="74"/>
      <c r="E348" s="62"/>
      <c r="F348" s="64"/>
      <c r="G348" s="62"/>
    </row>
    <row r="349" spans="1:7" ht="12.75">
      <c r="A349" s="279"/>
      <c r="B349" s="74"/>
      <c r="E349" s="62"/>
      <c r="F349" s="64"/>
      <c r="G349" s="62"/>
    </row>
    <row r="350" spans="1:7" ht="12.75">
      <c r="A350" s="279"/>
      <c r="B350" s="74"/>
      <c r="E350" s="62"/>
      <c r="F350" s="64"/>
      <c r="G350" s="62"/>
    </row>
    <row r="351" spans="1:7" ht="12.75">
      <c r="A351" s="279"/>
      <c r="B351" s="74"/>
      <c r="E351" s="62"/>
      <c r="F351" s="64"/>
      <c r="G351" s="62"/>
    </row>
    <row r="352" spans="1:7" ht="12.75">
      <c r="A352" s="279"/>
      <c r="B352" s="74"/>
      <c r="E352" s="62"/>
      <c r="F352" s="64"/>
      <c r="G352" s="62"/>
    </row>
    <row r="353" spans="1:7" ht="12.75">
      <c r="A353" s="279"/>
      <c r="B353" s="74"/>
      <c r="E353" s="62"/>
      <c r="F353" s="64"/>
      <c r="G353" s="62"/>
    </row>
    <row r="354" spans="1:7" ht="12.75">
      <c r="A354" s="279"/>
      <c r="B354" s="74"/>
      <c r="E354" s="62"/>
      <c r="F354" s="64"/>
      <c r="G354" s="62"/>
    </row>
    <row r="355" spans="1:7" ht="12.75">
      <c r="A355" s="279"/>
      <c r="B355" s="74"/>
      <c r="E355" s="62"/>
      <c r="F355" s="64"/>
      <c r="G355" s="62"/>
    </row>
    <row r="356" spans="1:7" ht="12.75">
      <c r="A356" s="279"/>
      <c r="B356" s="74"/>
      <c r="E356" s="62"/>
      <c r="F356" s="64"/>
      <c r="G356" s="62"/>
    </row>
    <row r="357" spans="1:7" ht="12.75">
      <c r="A357" s="279"/>
      <c r="B357" s="74"/>
      <c r="E357" s="62"/>
      <c r="F357" s="64"/>
      <c r="G357" s="62"/>
    </row>
    <row r="358" spans="1:7" ht="12.75">
      <c r="A358" s="279"/>
      <c r="B358" s="74"/>
      <c r="E358" s="62"/>
      <c r="F358" s="64"/>
      <c r="G358" s="62"/>
    </row>
    <row r="359" spans="1:7" ht="12.75">
      <c r="A359" s="279"/>
      <c r="B359" s="74"/>
      <c r="E359" s="62"/>
      <c r="F359" s="64"/>
      <c r="G359" s="62"/>
    </row>
    <row r="360" spans="1:7" ht="12.75">
      <c r="A360" s="279"/>
      <c r="B360" s="74"/>
      <c r="E360" s="62"/>
      <c r="F360" s="64"/>
      <c r="G360" s="62"/>
    </row>
    <row r="361" spans="1:7" ht="12.75">
      <c r="A361" s="279"/>
      <c r="B361" s="74"/>
      <c r="E361" s="62"/>
      <c r="F361" s="64"/>
      <c r="G361" s="62"/>
    </row>
    <row r="362" spans="1:7" ht="12.75">
      <c r="A362" s="279"/>
      <c r="B362" s="74"/>
      <c r="E362" s="62"/>
      <c r="F362" s="64"/>
      <c r="G362" s="62"/>
    </row>
    <row r="363" spans="1:7" ht="12.75">
      <c r="A363" s="279"/>
      <c r="B363" s="74"/>
      <c r="E363" s="62"/>
      <c r="F363" s="64"/>
      <c r="G363" s="62"/>
    </row>
    <row r="364" spans="1:7" ht="12.75">
      <c r="A364" s="279"/>
      <c r="B364" s="74"/>
      <c r="E364" s="62"/>
      <c r="F364" s="64"/>
      <c r="G364" s="62"/>
    </row>
    <row r="365" spans="1:7" ht="12.75">
      <c r="A365" s="279"/>
      <c r="B365" s="74"/>
      <c r="E365" s="62"/>
      <c r="F365" s="64"/>
      <c r="G365" s="62"/>
    </row>
    <row r="366" spans="1:7" ht="12.75">
      <c r="A366" s="279"/>
      <c r="B366" s="74"/>
      <c r="E366" s="62"/>
      <c r="F366" s="64"/>
      <c r="G366" s="62"/>
    </row>
    <row r="367" spans="1:7" ht="12.75">
      <c r="A367" s="279"/>
      <c r="B367" s="74"/>
      <c r="E367" s="62"/>
      <c r="F367" s="64"/>
      <c r="G367" s="62"/>
    </row>
    <row r="368" spans="1:7" ht="12.75">
      <c r="A368" s="279"/>
      <c r="B368" s="74"/>
      <c r="E368" s="62"/>
      <c r="F368" s="64"/>
      <c r="G368" s="62"/>
    </row>
    <row r="369" spans="1:7" ht="12.75">
      <c r="A369" s="279"/>
      <c r="B369" s="74"/>
      <c r="E369" s="62"/>
      <c r="F369" s="64"/>
      <c r="G369" s="62"/>
    </row>
    <row r="370" spans="1:7" ht="12.75">
      <c r="A370" s="279"/>
      <c r="B370" s="74"/>
      <c r="E370" s="62"/>
      <c r="F370" s="64"/>
      <c r="G370" s="62"/>
    </row>
    <row r="371" spans="1:7" ht="12.75">
      <c r="A371" s="279"/>
      <c r="B371" s="74"/>
      <c r="E371" s="62"/>
      <c r="F371" s="64"/>
      <c r="G371" s="62"/>
    </row>
    <row r="372" spans="1:7" ht="12.75">
      <c r="A372" s="279"/>
      <c r="B372" s="74"/>
      <c r="E372" s="62"/>
      <c r="F372" s="64"/>
      <c r="G372" s="62"/>
    </row>
    <row r="373" spans="1:7" ht="12.75">
      <c r="A373" s="279"/>
      <c r="B373" s="74"/>
      <c r="E373" s="62"/>
      <c r="F373" s="64"/>
      <c r="G373" s="62"/>
    </row>
    <row r="374" spans="1:7" ht="12.75">
      <c r="A374" s="279"/>
      <c r="B374" s="74"/>
      <c r="E374" s="62"/>
      <c r="F374" s="64"/>
      <c r="G374" s="62"/>
    </row>
    <row r="375" spans="1:7" ht="12.75">
      <c r="A375" s="279"/>
      <c r="B375" s="74"/>
      <c r="E375" s="62"/>
      <c r="F375" s="64"/>
      <c r="G375" s="62"/>
    </row>
    <row r="376" spans="1:7" ht="12.75">
      <c r="A376" s="279"/>
      <c r="B376" s="74"/>
      <c r="E376" s="62"/>
      <c r="F376" s="64"/>
      <c r="G376" s="62"/>
    </row>
    <row r="377" spans="1:7" ht="12.75">
      <c r="A377" s="279"/>
      <c r="B377" s="74"/>
      <c r="E377" s="62"/>
      <c r="F377" s="64"/>
      <c r="G377" s="62"/>
    </row>
    <row r="378" spans="1:7" ht="12.75">
      <c r="A378" s="279"/>
      <c r="B378" s="74"/>
      <c r="E378" s="62"/>
      <c r="F378" s="64"/>
      <c r="G378" s="62"/>
    </row>
    <row r="379" spans="1:7" ht="12.75">
      <c r="A379" s="279"/>
      <c r="B379" s="74"/>
      <c r="E379" s="62"/>
      <c r="F379" s="64"/>
      <c r="G379" s="62"/>
    </row>
    <row r="380" spans="1:7" ht="12.75">
      <c r="A380" s="279"/>
      <c r="B380" s="74"/>
      <c r="E380" s="62"/>
      <c r="F380" s="64"/>
      <c r="G380" s="62"/>
    </row>
    <row r="381" spans="1:7" ht="12.75">
      <c r="A381" s="279"/>
      <c r="B381" s="74"/>
      <c r="E381" s="62"/>
      <c r="F381" s="64"/>
      <c r="G381" s="62"/>
    </row>
    <row r="382" spans="1:7" ht="12.75">
      <c r="A382" s="279"/>
      <c r="B382" s="74"/>
      <c r="E382" s="62"/>
      <c r="F382" s="64"/>
      <c r="G382" s="62"/>
    </row>
    <row r="383" spans="1:7" ht="12.75">
      <c r="A383" s="279"/>
      <c r="B383" s="74"/>
      <c r="E383" s="62"/>
      <c r="F383" s="64"/>
      <c r="G383" s="62"/>
    </row>
    <row r="384" spans="1:7" ht="12.75">
      <c r="A384" s="279"/>
      <c r="B384" s="74"/>
      <c r="E384" s="62"/>
      <c r="F384" s="64"/>
      <c r="G384" s="62"/>
    </row>
    <row r="385" spans="1:7" ht="12.75">
      <c r="A385" s="279"/>
      <c r="B385" s="74"/>
      <c r="E385" s="62"/>
      <c r="F385" s="64"/>
      <c r="G385" s="62"/>
    </row>
    <row r="386" spans="1:7" ht="12.75">
      <c r="A386" s="279"/>
      <c r="B386" s="74"/>
      <c r="E386" s="62"/>
      <c r="F386" s="64"/>
      <c r="G386" s="62"/>
    </row>
    <row r="387" spans="1:7" ht="12.75">
      <c r="A387" s="279"/>
      <c r="B387" s="74"/>
      <c r="E387" s="62"/>
      <c r="F387" s="64"/>
      <c r="G387" s="62"/>
    </row>
    <row r="388" spans="1:7" ht="12.75">
      <c r="A388" s="279"/>
      <c r="B388" s="74"/>
      <c r="E388" s="62"/>
      <c r="F388" s="64"/>
      <c r="G388" s="62"/>
    </row>
    <row r="389" spans="1:7" ht="12.75">
      <c r="A389" s="279"/>
      <c r="B389" s="74"/>
      <c r="E389" s="62"/>
      <c r="F389" s="64"/>
      <c r="G389" s="62"/>
    </row>
    <row r="390" spans="1:7" ht="12.75">
      <c r="A390" s="279"/>
      <c r="B390" s="74"/>
      <c r="E390" s="62"/>
      <c r="F390" s="64"/>
      <c r="G390" s="62"/>
    </row>
    <row r="391" spans="1:7" ht="12.75">
      <c r="A391" s="279"/>
      <c r="B391" s="74"/>
      <c r="E391" s="62"/>
      <c r="F391" s="64"/>
      <c r="G391" s="62"/>
    </row>
    <row r="392" spans="1:7" ht="12.75">
      <c r="A392" s="279"/>
      <c r="B392" s="74"/>
      <c r="E392" s="62"/>
      <c r="F392" s="64"/>
      <c r="G392" s="62"/>
    </row>
    <row r="393" spans="1:7" ht="12.75">
      <c r="A393" s="279"/>
      <c r="B393" s="74"/>
      <c r="E393" s="62"/>
      <c r="F393" s="64"/>
      <c r="G393" s="62"/>
    </row>
    <row r="394" spans="1:7" ht="12.75">
      <c r="A394" s="279"/>
      <c r="B394" s="74"/>
      <c r="E394" s="62"/>
      <c r="F394" s="64"/>
      <c r="G394" s="62"/>
    </row>
    <row r="395" spans="1:7" ht="12.75">
      <c r="A395" s="279"/>
      <c r="B395" s="74"/>
      <c r="E395" s="62"/>
      <c r="F395" s="64"/>
      <c r="G395" s="62"/>
    </row>
    <row r="396" spans="1:7" ht="12.75">
      <c r="A396" s="279"/>
      <c r="B396" s="74"/>
      <c r="E396" s="62"/>
      <c r="F396" s="64"/>
      <c r="G396" s="62"/>
    </row>
    <row r="397" spans="1:7" ht="12.75">
      <c r="A397" s="279"/>
      <c r="B397" s="74"/>
      <c r="E397" s="62"/>
      <c r="F397" s="64"/>
      <c r="G397" s="62"/>
    </row>
    <row r="398" spans="1:7" ht="12.75">
      <c r="A398" s="279"/>
      <c r="B398" s="74"/>
      <c r="E398" s="62"/>
      <c r="F398" s="64"/>
      <c r="G398" s="62"/>
    </row>
    <row r="399" spans="1:7" ht="12.75">
      <c r="A399" s="279"/>
      <c r="B399" s="74"/>
      <c r="E399" s="62"/>
      <c r="F399" s="64"/>
      <c r="G399" s="62"/>
    </row>
    <row r="400" spans="1:7" ht="12.75">
      <c r="A400" s="279"/>
      <c r="B400" s="74"/>
      <c r="E400" s="62"/>
      <c r="F400" s="64"/>
      <c r="G400" s="62"/>
    </row>
    <row r="401" spans="1:7" ht="12.75">
      <c r="A401" s="279"/>
      <c r="B401" s="74"/>
      <c r="E401" s="62"/>
      <c r="F401" s="64"/>
      <c r="G401" s="62"/>
    </row>
    <row r="402" spans="1:7" ht="12.75">
      <c r="A402" s="279"/>
      <c r="B402" s="74"/>
      <c r="E402" s="62"/>
      <c r="F402" s="64"/>
      <c r="G402" s="62"/>
    </row>
    <row r="403" spans="1:7" ht="12.75">
      <c r="A403" s="279"/>
      <c r="B403" s="74"/>
      <c r="E403" s="62"/>
      <c r="F403" s="64"/>
      <c r="G403" s="62"/>
    </row>
    <row r="404" spans="1:7" ht="12.75">
      <c r="A404" s="279"/>
      <c r="B404" s="74"/>
      <c r="E404" s="62"/>
      <c r="F404" s="64"/>
      <c r="G404" s="62"/>
    </row>
    <row r="405" spans="1:7" ht="12.75">
      <c r="A405" s="279"/>
      <c r="B405" s="74"/>
      <c r="E405" s="62"/>
      <c r="F405" s="64"/>
      <c r="G405" s="62"/>
    </row>
    <row r="406" spans="1:7" ht="12.75">
      <c r="A406" s="279"/>
      <c r="B406" s="74"/>
      <c r="E406" s="62"/>
      <c r="F406" s="64"/>
      <c r="G406" s="62"/>
    </row>
    <row r="407" spans="1:7" ht="12.75">
      <c r="A407" s="279"/>
      <c r="B407" s="74"/>
      <c r="E407" s="62"/>
      <c r="F407" s="64"/>
      <c r="G407" s="62"/>
    </row>
    <row r="408" spans="1:7" ht="12.75">
      <c r="A408" s="279"/>
      <c r="B408" s="74"/>
      <c r="E408" s="62"/>
      <c r="F408" s="64"/>
      <c r="G408" s="62"/>
    </row>
    <row r="409" spans="1:7" ht="12.75">
      <c r="A409" s="279"/>
      <c r="B409" s="74"/>
      <c r="E409" s="62"/>
      <c r="F409" s="64"/>
      <c r="G409" s="62"/>
    </row>
    <row r="410" spans="1:7" ht="12.75">
      <c r="A410" s="279"/>
      <c r="B410" s="74"/>
      <c r="E410" s="62"/>
      <c r="F410" s="64"/>
      <c r="G410" s="62"/>
    </row>
    <row r="411" spans="1:7" ht="12.75">
      <c r="A411" s="279"/>
      <c r="B411" s="74"/>
      <c r="E411" s="62"/>
      <c r="F411" s="64"/>
      <c r="G411" s="62"/>
    </row>
    <row r="412" spans="1:7" ht="12.75">
      <c r="A412" s="279"/>
      <c r="B412" s="74"/>
      <c r="E412" s="62"/>
      <c r="F412" s="64"/>
      <c r="G412" s="62"/>
    </row>
    <row r="413" spans="1:7" ht="12.75">
      <c r="A413" s="279"/>
      <c r="B413" s="74"/>
      <c r="E413" s="62"/>
      <c r="F413" s="64"/>
      <c r="G413" s="62"/>
    </row>
    <row r="414" spans="1:7" ht="12.75">
      <c r="A414" s="279"/>
      <c r="B414" s="74"/>
      <c r="E414" s="62"/>
      <c r="F414" s="64"/>
      <c r="G414" s="62"/>
    </row>
    <row r="415" spans="1:7" ht="12.75">
      <c r="A415" s="279"/>
      <c r="B415" s="74"/>
      <c r="E415" s="62"/>
      <c r="F415" s="64"/>
      <c r="G415" s="62"/>
    </row>
    <row r="416" spans="1:7" ht="12.75">
      <c r="A416" s="279"/>
      <c r="B416" s="74"/>
      <c r="E416" s="62"/>
      <c r="F416" s="64"/>
      <c r="G416" s="62"/>
    </row>
    <row r="417" spans="1:7" ht="12.75">
      <c r="A417" s="279"/>
      <c r="B417" s="74"/>
      <c r="E417" s="62"/>
      <c r="F417" s="64"/>
      <c r="G417" s="62"/>
    </row>
    <row r="418" spans="1:7" ht="12.75">
      <c r="A418" s="279"/>
      <c r="B418" s="74"/>
      <c r="E418" s="62"/>
      <c r="F418" s="64"/>
      <c r="G418" s="62"/>
    </row>
    <row r="419" spans="1:7" ht="12.75">
      <c r="A419" s="279"/>
      <c r="B419" s="74"/>
      <c r="E419" s="62"/>
      <c r="F419" s="64"/>
      <c r="G419" s="62"/>
    </row>
    <row r="420" spans="1:7" ht="12.75">
      <c r="A420" s="279"/>
      <c r="B420" s="74"/>
      <c r="E420" s="62"/>
      <c r="F420" s="64"/>
      <c r="G420" s="62"/>
    </row>
    <row r="421" spans="1:7" ht="12.75">
      <c r="A421" s="279"/>
      <c r="B421" s="74"/>
      <c r="E421" s="62"/>
      <c r="F421" s="64"/>
      <c r="G421" s="62"/>
    </row>
    <row r="422" spans="1:7" ht="12.75">
      <c r="A422" s="279"/>
      <c r="B422" s="74"/>
      <c r="E422" s="62"/>
      <c r="F422" s="64"/>
      <c r="G422" s="62"/>
    </row>
    <row r="423" spans="1:7" ht="12.75">
      <c r="A423" s="279"/>
      <c r="B423" s="74"/>
      <c r="E423" s="62"/>
      <c r="F423" s="64"/>
      <c r="G423" s="62"/>
    </row>
    <row r="424" spans="1:7" ht="12.75">
      <c r="A424" s="279"/>
      <c r="B424" s="74"/>
      <c r="E424" s="62"/>
      <c r="F424" s="64"/>
      <c r="G424" s="62"/>
    </row>
    <row r="425" spans="1:7" ht="12.75">
      <c r="A425" s="279"/>
      <c r="B425" s="74"/>
      <c r="E425" s="62"/>
      <c r="F425" s="64"/>
      <c r="G425" s="62"/>
    </row>
    <row r="426" spans="1:7" ht="12.75">
      <c r="A426" s="279"/>
      <c r="B426" s="74"/>
      <c r="E426" s="62"/>
      <c r="F426" s="64"/>
      <c r="G426" s="62"/>
    </row>
    <row r="427" spans="1:7" ht="12.75">
      <c r="A427" s="279"/>
      <c r="B427" s="74"/>
      <c r="E427" s="62"/>
      <c r="F427" s="64"/>
      <c r="G427" s="62"/>
    </row>
    <row r="428" spans="1:7" ht="12.75">
      <c r="A428" s="279"/>
      <c r="B428" s="74"/>
      <c r="E428" s="62"/>
      <c r="F428" s="64"/>
      <c r="G428" s="62"/>
    </row>
    <row r="429" spans="1:7" ht="12.75">
      <c r="A429" s="279"/>
      <c r="B429" s="74"/>
      <c r="E429" s="62"/>
      <c r="F429" s="64"/>
      <c r="G429" s="62"/>
    </row>
    <row r="430" spans="1:7" ht="12.75">
      <c r="A430" s="279"/>
      <c r="B430" s="74"/>
      <c r="E430" s="62"/>
      <c r="F430" s="64"/>
      <c r="G430" s="62"/>
    </row>
    <row r="431" spans="1:7" ht="12.75">
      <c r="A431" s="279"/>
      <c r="B431" s="74"/>
      <c r="E431" s="62"/>
      <c r="F431" s="64"/>
      <c r="G431" s="62"/>
    </row>
    <row r="432" spans="1:7" ht="12.75">
      <c r="A432" s="279"/>
      <c r="B432" s="74"/>
      <c r="E432" s="62"/>
      <c r="F432" s="64"/>
      <c r="G432" s="62"/>
    </row>
    <row r="433" spans="1:7" ht="12.75">
      <c r="A433" s="279"/>
      <c r="B433" s="74"/>
      <c r="E433" s="62"/>
      <c r="F433" s="64"/>
      <c r="G433" s="62"/>
    </row>
    <row r="434" spans="1:7" ht="12.75">
      <c r="A434" s="279"/>
      <c r="B434" s="74"/>
      <c r="E434" s="62"/>
      <c r="F434" s="64"/>
      <c r="G434" s="62"/>
    </row>
    <row r="435" spans="1:7" ht="12.75">
      <c r="A435" s="279"/>
      <c r="B435" s="74"/>
      <c r="E435" s="62"/>
      <c r="F435" s="64"/>
      <c r="G435" s="62"/>
    </row>
    <row r="436" spans="1:7" ht="12.75">
      <c r="A436" s="279"/>
      <c r="B436" s="74"/>
      <c r="E436" s="62"/>
      <c r="F436" s="64"/>
      <c r="G436" s="62"/>
    </row>
    <row r="437" spans="1:7" ht="12.75">
      <c r="A437" s="279"/>
      <c r="B437" s="74"/>
      <c r="E437" s="62"/>
      <c r="F437" s="64"/>
      <c r="G437" s="62"/>
    </row>
    <row r="438" spans="1:7" ht="12.75">
      <c r="A438" s="279"/>
      <c r="B438" s="74"/>
      <c r="E438" s="62"/>
      <c r="F438" s="64"/>
      <c r="G438" s="62"/>
    </row>
    <row r="439" spans="1:7" ht="12.75">
      <c r="A439" s="279"/>
      <c r="B439" s="74"/>
      <c r="E439" s="62"/>
      <c r="F439" s="64"/>
      <c r="G439" s="62"/>
    </row>
    <row r="440" spans="1:7" ht="12.75">
      <c r="A440" s="279"/>
      <c r="B440" s="74"/>
      <c r="E440" s="62"/>
      <c r="F440" s="64"/>
      <c r="G440" s="62"/>
    </row>
    <row r="441" spans="1:7" ht="12.75">
      <c r="A441" s="279"/>
      <c r="B441" s="74"/>
      <c r="E441" s="62"/>
      <c r="F441" s="64"/>
      <c r="G441" s="62"/>
    </row>
    <row r="442" spans="1:7" ht="12.75">
      <c r="A442" s="279"/>
      <c r="B442" s="74"/>
      <c r="E442" s="62"/>
      <c r="F442" s="64"/>
      <c r="G442" s="62"/>
    </row>
    <row r="443" spans="1:7" ht="12.75">
      <c r="A443" s="279"/>
      <c r="B443" s="74"/>
      <c r="E443" s="62"/>
      <c r="F443" s="64"/>
      <c r="G443" s="62"/>
    </row>
    <row r="444" spans="1:7" ht="12.75">
      <c r="A444" s="279"/>
      <c r="B444" s="74"/>
      <c r="E444" s="62"/>
      <c r="F444" s="64"/>
      <c r="G444" s="62"/>
    </row>
    <row r="445" spans="1:7" ht="12.75">
      <c r="A445" s="279"/>
      <c r="B445" s="74"/>
      <c r="E445" s="62"/>
      <c r="F445" s="64"/>
      <c r="G445" s="62"/>
    </row>
    <row r="446" spans="1:7" ht="12.75">
      <c r="A446" s="279"/>
      <c r="B446" s="74"/>
      <c r="E446" s="62"/>
      <c r="F446" s="64"/>
      <c r="G446" s="62"/>
    </row>
    <row r="447" spans="1:7" ht="12.75">
      <c r="A447" s="279"/>
      <c r="B447" s="74"/>
      <c r="E447" s="62"/>
      <c r="F447" s="64"/>
      <c r="G447" s="62"/>
    </row>
    <row r="448" spans="1:7" ht="12.75">
      <c r="A448" s="279"/>
      <c r="B448" s="74"/>
      <c r="E448" s="62"/>
      <c r="F448" s="64"/>
      <c r="G448" s="62"/>
    </row>
    <row r="449" spans="1:7" ht="12.75">
      <c r="A449" s="279"/>
      <c r="B449" s="74"/>
      <c r="E449" s="62"/>
      <c r="F449" s="64"/>
      <c r="G449" s="62"/>
    </row>
    <row r="450" spans="1:7" ht="12.75">
      <c r="A450" s="279"/>
      <c r="B450" s="74"/>
      <c r="E450" s="62"/>
      <c r="F450" s="64"/>
      <c r="G450" s="62"/>
    </row>
    <row r="451" spans="1:7" ht="12.75">
      <c r="A451" s="279"/>
      <c r="B451" s="74"/>
      <c r="E451" s="62"/>
      <c r="F451" s="64"/>
      <c r="G451" s="62"/>
    </row>
    <row r="452" spans="1:7" ht="12.75">
      <c r="A452" s="279"/>
      <c r="B452" s="74"/>
      <c r="E452" s="62"/>
      <c r="F452" s="64"/>
      <c r="G452" s="62"/>
    </row>
    <row r="453" spans="1:7" ht="12.75">
      <c r="A453" s="279"/>
      <c r="B453" s="74"/>
      <c r="E453" s="62"/>
      <c r="F453" s="64"/>
      <c r="G453" s="62"/>
    </row>
    <row r="454" spans="1:7" ht="12.75">
      <c r="A454" s="279"/>
      <c r="B454" s="74"/>
      <c r="E454" s="62"/>
      <c r="F454" s="64"/>
      <c r="G454" s="62"/>
    </row>
    <row r="455" spans="1:7" ht="12.75">
      <c r="A455" s="279"/>
      <c r="B455" s="74"/>
      <c r="E455" s="62"/>
      <c r="F455" s="64"/>
      <c r="G455" s="62"/>
    </row>
    <row r="456" spans="1:7" ht="12.75">
      <c r="A456" s="279"/>
      <c r="B456" s="74"/>
      <c r="E456" s="62"/>
      <c r="F456" s="64"/>
      <c r="G456" s="62"/>
    </row>
    <row r="457" spans="1:7" ht="12.75">
      <c r="A457" s="279"/>
      <c r="B457" s="74"/>
      <c r="E457" s="62"/>
      <c r="F457" s="64"/>
      <c r="G457" s="62"/>
    </row>
    <row r="458" spans="1:7" ht="12.75">
      <c r="A458" s="279"/>
      <c r="B458" s="74"/>
      <c r="E458" s="62"/>
      <c r="F458" s="64"/>
      <c r="G458" s="62"/>
    </row>
    <row r="459" spans="1:7" ht="12.75">
      <c r="A459" s="279"/>
      <c r="B459" s="74"/>
      <c r="E459" s="62"/>
      <c r="F459" s="64"/>
      <c r="G459" s="62"/>
    </row>
    <row r="460" spans="1:7" ht="12.75">
      <c r="A460" s="279"/>
      <c r="B460" s="74"/>
      <c r="E460" s="62"/>
      <c r="F460" s="64"/>
      <c r="G460" s="62"/>
    </row>
    <row r="461" spans="1:7" ht="12.75">
      <c r="A461" s="279"/>
      <c r="B461" s="74"/>
      <c r="E461" s="62"/>
      <c r="F461" s="64"/>
      <c r="G461" s="62"/>
    </row>
    <row r="462" spans="1:7" ht="12.75">
      <c r="A462" s="279"/>
      <c r="B462" s="74"/>
      <c r="E462" s="62"/>
      <c r="F462" s="64"/>
      <c r="G462" s="62"/>
    </row>
    <row r="463" spans="1:7" ht="12.75">
      <c r="A463" s="279"/>
      <c r="B463" s="74"/>
      <c r="E463" s="62"/>
      <c r="F463" s="64"/>
      <c r="G463" s="62"/>
    </row>
    <row r="464" spans="1:7" ht="12.75">
      <c r="A464" s="279"/>
      <c r="B464" s="74"/>
      <c r="E464" s="62"/>
      <c r="F464" s="64"/>
      <c r="G464" s="62"/>
    </row>
    <row r="465" spans="1:7" ht="12.75">
      <c r="A465" s="279"/>
      <c r="B465" s="74"/>
      <c r="E465" s="62"/>
      <c r="F465" s="64"/>
      <c r="G465" s="62"/>
    </row>
    <row r="466" spans="1:7" ht="12.75">
      <c r="A466" s="279"/>
      <c r="B466" s="74"/>
      <c r="E466" s="62"/>
      <c r="F466" s="64"/>
      <c r="G466" s="62"/>
    </row>
    <row r="467" spans="1:7" ht="12.75">
      <c r="A467" s="279"/>
      <c r="B467" s="74"/>
      <c r="E467" s="62"/>
      <c r="F467" s="64"/>
      <c r="G467" s="62"/>
    </row>
    <row r="468" spans="1:7" ht="12.75">
      <c r="A468" s="279"/>
      <c r="B468" s="74"/>
      <c r="E468" s="62"/>
      <c r="F468" s="64"/>
      <c r="G468" s="62"/>
    </row>
    <row r="469" spans="1:7" ht="12.75">
      <c r="A469" s="279"/>
      <c r="B469" s="74"/>
      <c r="E469" s="62"/>
      <c r="F469" s="64"/>
      <c r="G469" s="62"/>
    </row>
    <row r="470" spans="1:7" ht="12.75">
      <c r="A470" s="279"/>
      <c r="B470" s="74"/>
      <c r="E470" s="62"/>
      <c r="F470" s="64"/>
      <c r="G470" s="62"/>
    </row>
    <row r="471" spans="1:7" ht="12.75">
      <c r="A471" s="279"/>
      <c r="B471" s="74"/>
      <c r="E471" s="62"/>
      <c r="F471" s="64"/>
      <c r="G471" s="62"/>
    </row>
    <row r="472" spans="1:7" ht="12.75">
      <c r="A472" s="279"/>
      <c r="B472" s="74"/>
      <c r="E472" s="62"/>
      <c r="F472" s="64"/>
      <c r="G472" s="62"/>
    </row>
    <row r="473" spans="1:7" ht="12.75">
      <c r="A473" s="279"/>
      <c r="B473" s="74"/>
      <c r="E473" s="62"/>
      <c r="F473" s="64"/>
      <c r="G473" s="62"/>
    </row>
    <row r="474" spans="1:7" ht="12.75">
      <c r="A474" s="279"/>
      <c r="B474" s="74"/>
      <c r="E474" s="62"/>
      <c r="F474" s="64"/>
      <c r="G474" s="62"/>
    </row>
    <row r="475" spans="1:7" ht="12.75">
      <c r="A475" s="279"/>
      <c r="B475" s="74"/>
      <c r="E475" s="62"/>
      <c r="F475" s="64"/>
      <c r="G475" s="62"/>
    </row>
    <row r="476" spans="1:7" ht="12.75">
      <c r="A476" s="279"/>
      <c r="B476" s="74"/>
      <c r="E476" s="62"/>
      <c r="F476" s="64"/>
      <c r="G476" s="62"/>
    </row>
    <row r="477" spans="1:7" ht="12.75">
      <c r="A477" s="279"/>
      <c r="B477" s="74"/>
      <c r="E477" s="62"/>
      <c r="F477" s="64"/>
      <c r="G477" s="62"/>
    </row>
    <row r="478" spans="1:7" ht="12.75">
      <c r="A478" s="279"/>
      <c r="B478" s="74"/>
      <c r="E478" s="62"/>
      <c r="F478" s="64"/>
      <c r="G478" s="62"/>
    </row>
    <row r="479" spans="1:7" ht="12.75">
      <c r="A479" s="279"/>
      <c r="B479" s="74"/>
      <c r="E479" s="62"/>
      <c r="F479" s="64"/>
      <c r="G479" s="62"/>
    </row>
    <row r="480" spans="1:7" ht="12.75">
      <c r="A480" s="279"/>
      <c r="B480" s="74"/>
      <c r="E480" s="62"/>
      <c r="F480" s="64"/>
      <c r="G480" s="62"/>
    </row>
    <row r="481" spans="1:7" ht="12.75">
      <c r="A481" s="279"/>
      <c r="B481" s="74"/>
      <c r="E481" s="62"/>
      <c r="F481" s="64"/>
      <c r="G481" s="62"/>
    </row>
    <row r="482" spans="1:7" ht="12.75">
      <c r="A482" s="279"/>
      <c r="B482" s="74"/>
      <c r="E482" s="62"/>
      <c r="F482" s="64"/>
      <c r="G482" s="62"/>
    </row>
    <row r="483" spans="1:7" ht="12.75">
      <c r="A483" s="279"/>
      <c r="B483" s="74"/>
      <c r="E483" s="62"/>
      <c r="F483" s="64"/>
      <c r="G483" s="62"/>
    </row>
    <row r="484" spans="1:7" ht="12.75">
      <c r="A484" s="279"/>
      <c r="B484" s="74"/>
      <c r="E484" s="62"/>
      <c r="F484" s="64"/>
      <c r="G484" s="62"/>
    </row>
    <row r="485" spans="1:7" ht="12.75">
      <c r="A485" s="279"/>
      <c r="B485" s="74"/>
      <c r="E485" s="62"/>
      <c r="F485" s="64"/>
      <c r="G485" s="62"/>
    </row>
    <row r="486" spans="1:7" ht="12.75">
      <c r="A486" s="279"/>
      <c r="B486" s="74"/>
      <c r="E486" s="62"/>
      <c r="F486" s="64"/>
      <c r="G486" s="62"/>
    </row>
    <row r="487" spans="1:7" ht="12.75">
      <c r="A487" s="279"/>
      <c r="B487" s="74"/>
      <c r="E487" s="62"/>
      <c r="F487" s="64"/>
      <c r="G487" s="62"/>
    </row>
    <row r="488" spans="1:7" ht="12.75">
      <c r="A488" s="279"/>
      <c r="B488" s="74"/>
      <c r="E488" s="62"/>
      <c r="F488" s="64"/>
      <c r="G488" s="62"/>
    </row>
    <row r="489" spans="1:7" ht="12.75">
      <c r="A489" s="279"/>
      <c r="B489" s="74"/>
      <c r="E489" s="62"/>
      <c r="F489" s="64"/>
      <c r="G489" s="62"/>
    </row>
    <row r="490" spans="1:7" ht="12.75">
      <c r="A490" s="279"/>
      <c r="B490" s="74"/>
      <c r="E490" s="62"/>
      <c r="F490" s="64"/>
      <c r="G490" s="62"/>
    </row>
    <row r="491" spans="1:7" ht="12.75">
      <c r="A491" s="279"/>
      <c r="B491" s="74"/>
      <c r="E491" s="62"/>
      <c r="F491" s="64"/>
      <c r="G491" s="62"/>
    </row>
    <row r="492" spans="1:7" ht="12.75">
      <c r="A492" s="279"/>
      <c r="B492" s="74"/>
      <c r="E492" s="62"/>
      <c r="F492" s="64"/>
      <c r="G492" s="62"/>
    </row>
    <row r="493" spans="1:7" ht="12.75">
      <c r="A493" s="279"/>
      <c r="B493" s="74"/>
      <c r="E493" s="62"/>
      <c r="F493" s="64"/>
      <c r="G493" s="62"/>
    </row>
    <row r="494" spans="1:7" ht="12.75">
      <c r="A494" s="279"/>
      <c r="B494" s="74"/>
      <c r="E494" s="62"/>
      <c r="F494" s="64"/>
      <c r="G494" s="62"/>
    </row>
    <row r="495" spans="1:7" ht="12.75">
      <c r="A495" s="279"/>
      <c r="B495" s="74"/>
      <c r="E495" s="62"/>
      <c r="F495" s="64"/>
      <c r="G495" s="62"/>
    </row>
    <row r="496" spans="1:7" ht="12.75">
      <c r="A496" s="279"/>
      <c r="B496" s="74"/>
      <c r="E496" s="62"/>
      <c r="F496" s="64"/>
      <c r="G496" s="62"/>
    </row>
    <row r="497" spans="1:7" ht="12.75">
      <c r="A497" s="279"/>
      <c r="B497" s="74"/>
      <c r="E497" s="62"/>
      <c r="F497" s="64"/>
      <c r="G497" s="62"/>
    </row>
    <row r="498" spans="1:7" ht="12.75">
      <c r="A498" s="279"/>
      <c r="B498" s="74"/>
      <c r="E498" s="62"/>
      <c r="F498" s="64"/>
      <c r="G498" s="62"/>
    </row>
    <row r="499" spans="1:7" ht="12.75">
      <c r="A499" s="279"/>
      <c r="B499" s="74"/>
      <c r="E499" s="62"/>
      <c r="F499" s="64"/>
      <c r="G499" s="62"/>
    </row>
    <row r="500" spans="1:7" ht="12.75">
      <c r="A500" s="279"/>
      <c r="B500" s="74"/>
      <c r="E500" s="62"/>
      <c r="F500" s="64"/>
      <c r="G500" s="62"/>
    </row>
    <row r="501" spans="1:7" ht="12.75">
      <c r="A501" s="279"/>
      <c r="B501" s="74"/>
      <c r="E501" s="62"/>
      <c r="F501" s="64"/>
      <c r="G501" s="62"/>
    </row>
    <row r="502" spans="1:7" ht="12.75">
      <c r="A502" s="279"/>
      <c r="B502" s="74"/>
      <c r="E502" s="62"/>
      <c r="F502" s="64"/>
      <c r="G502" s="62"/>
    </row>
    <row r="503" spans="1:7" ht="12.75">
      <c r="A503" s="279"/>
      <c r="B503" s="74"/>
      <c r="E503" s="62"/>
      <c r="F503" s="64"/>
      <c r="G503" s="62"/>
    </row>
    <row r="504" spans="1:7" ht="12.75">
      <c r="A504" s="279"/>
      <c r="B504" s="74"/>
      <c r="E504" s="62"/>
      <c r="F504" s="64"/>
      <c r="G504" s="62"/>
    </row>
    <row r="505" spans="1:7" ht="12.75">
      <c r="A505" s="279"/>
      <c r="B505" s="74"/>
      <c r="E505" s="62"/>
      <c r="F505" s="64"/>
      <c r="G505" s="62"/>
    </row>
    <row r="506" spans="1:7" ht="12.75">
      <c r="A506" s="279"/>
      <c r="B506" s="74"/>
      <c r="E506" s="62"/>
      <c r="F506" s="64"/>
      <c r="G506" s="62"/>
    </row>
    <row r="507" spans="1:7" ht="12.75">
      <c r="A507" s="279"/>
      <c r="B507" s="74"/>
      <c r="E507" s="62"/>
      <c r="F507" s="64"/>
      <c r="G507" s="62"/>
    </row>
    <row r="508" spans="1:7" ht="12.75">
      <c r="A508" s="279"/>
      <c r="B508" s="74"/>
      <c r="E508" s="62"/>
      <c r="F508" s="64"/>
      <c r="G508" s="62"/>
    </row>
    <row r="509" spans="1:7" ht="12.75">
      <c r="A509" s="279"/>
      <c r="B509" s="74"/>
      <c r="E509" s="62"/>
      <c r="F509" s="64"/>
      <c r="G509" s="62"/>
    </row>
    <row r="510" spans="1:7" ht="12.75">
      <c r="A510" s="279"/>
      <c r="B510" s="74"/>
      <c r="E510" s="62"/>
      <c r="F510" s="64"/>
      <c r="G510" s="62"/>
    </row>
    <row r="511" spans="1:7" ht="12.75">
      <c r="A511" s="279"/>
      <c r="B511" s="74"/>
      <c r="E511" s="62"/>
      <c r="F511" s="64"/>
      <c r="G511" s="62"/>
    </row>
    <row r="512" spans="1:7" ht="12.75">
      <c r="A512" s="279"/>
      <c r="B512" s="74"/>
      <c r="E512" s="62"/>
      <c r="F512" s="64"/>
      <c r="G512" s="62"/>
    </row>
    <row r="513" spans="1:7" ht="12.75">
      <c r="A513" s="279"/>
      <c r="B513" s="74"/>
      <c r="E513" s="62"/>
      <c r="F513" s="64"/>
      <c r="G513" s="62"/>
    </row>
    <row r="514" spans="1:7" ht="12.75">
      <c r="A514" s="279"/>
      <c r="B514" s="74"/>
      <c r="E514" s="62"/>
      <c r="F514" s="64"/>
      <c r="G514" s="62"/>
    </row>
    <row r="515" spans="1:7" ht="12.75">
      <c r="A515" s="279"/>
      <c r="B515" s="74"/>
      <c r="E515" s="62"/>
      <c r="F515" s="64"/>
      <c r="G515" s="62"/>
    </row>
    <row r="516" spans="1:7" ht="12.75">
      <c r="A516" s="279"/>
      <c r="B516" s="74"/>
      <c r="E516" s="62"/>
      <c r="F516" s="64"/>
      <c r="G516" s="62"/>
    </row>
    <row r="517" spans="1:7" ht="12.75">
      <c r="A517" s="279"/>
      <c r="B517" s="74"/>
      <c r="E517" s="62"/>
      <c r="F517" s="64"/>
      <c r="G517" s="62"/>
    </row>
    <row r="518" spans="1:7" ht="12.75">
      <c r="A518" s="279"/>
      <c r="B518" s="74"/>
      <c r="E518" s="62"/>
      <c r="F518" s="64"/>
      <c r="G518" s="62"/>
    </row>
    <row r="519" spans="1:7" ht="12.75">
      <c r="A519" s="279"/>
      <c r="B519" s="74"/>
      <c r="E519" s="62"/>
      <c r="F519" s="64"/>
      <c r="G519" s="62"/>
    </row>
    <row r="520" spans="1:7" ht="12.75">
      <c r="A520" s="279"/>
      <c r="B520" s="74"/>
      <c r="E520" s="62"/>
      <c r="F520" s="64"/>
      <c r="G520" s="62"/>
    </row>
    <row r="521" spans="1:7" ht="12.75">
      <c r="A521" s="279"/>
      <c r="B521" s="74"/>
      <c r="E521" s="62"/>
      <c r="F521" s="64"/>
      <c r="G521" s="62"/>
    </row>
    <row r="522" spans="1:7" ht="12.75">
      <c r="A522" s="279"/>
      <c r="B522" s="74"/>
      <c r="E522" s="62"/>
      <c r="F522" s="64"/>
      <c r="G522" s="62"/>
    </row>
    <row r="523" spans="1:7" ht="12.75">
      <c r="A523" s="279"/>
      <c r="B523" s="74"/>
      <c r="E523" s="62"/>
      <c r="F523" s="64"/>
      <c r="G523" s="62"/>
    </row>
    <row r="524" spans="1:7" ht="12.75">
      <c r="A524" s="279"/>
      <c r="B524" s="74"/>
      <c r="E524" s="62"/>
      <c r="F524" s="64"/>
      <c r="G524" s="62"/>
    </row>
    <row r="525" spans="1:7" ht="12.75">
      <c r="A525" s="279"/>
      <c r="B525" s="74"/>
      <c r="E525" s="62"/>
      <c r="F525" s="64"/>
      <c r="G525" s="62"/>
    </row>
    <row r="526" spans="1:7" ht="12.75">
      <c r="A526" s="279"/>
      <c r="B526" s="74"/>
      <c r="E526" s="62"/>
      <c r="F526" s="64"/>
      <c r="G526" s="62"/>
    </row>
    <row r="527" spans="1:7" ht="12.75">
      <c r="A527" s="279"/>
      <c r="B527" s="74"/>
      <c r="E527" s="62"/>
      <c r="F527" s="64"/>
      <c r="G527" s="62"/>
    </row>
    <row r="528" spans="1:7" ht="12.75">
      <c r="A528" s="279"/>
      <c r="B528" s="74"/>
      <c r="E528" s="62"/>
      <c r="F528" s="64"/>
      <c r="G528" s="62"/>
    </row>
    <row r="529" spans="1:7" ht="12.75">
      <c r="A529" s="279"/>
      <c r="B529" s="74"/>
      <c r="E529" s="62"/>
      <c r="F529" s="64"/>
      <c r="G529" s="62"/>
    </row>
    <row r="530" spans="1:7" ht="12.75">
      <c r="A530" s="279"/>
      <c r="B530" s="74"/>
      <c r="E530" s="62"/>
      <c r="F530" s="64"/>
      <c r="G530" s="62"/>
    </row>
    <row r="531" spans="1:7" ht="12.75">
      <c r="A531" s="279"/>
      <c r="B531" s="74"/>
      <c r="E531" s="62"/>
      <c r="F531" s="64"/>
      <c r="G531" s="62"/>
    </row>
    <row r="532" spans="1:7" ht="12.75">
      <c r="A532" s="279"/>
      <c r="B532" s="74"/>
      <c r="E532" s="62"/>
      <c r="F532" s="64"/>
      <c r="G532" s="62"/>
    </row>
    <row r="533" spans="1:7" ht="12.75">
      <c r="A533" s="279"/>
      <c r="B533" s="74"/>
      <c r="E533" s="62"/>
      <c r="F533" s="64"/>
      <c r="G533" s="62"/>
    </row>
    <row r="534" spans="1:7" ht="12.75">
      <c r="A534" s="279"/>
      <c r="B534" s="74"/>
      <c r="E534" s="62"/>
      <c r="F534" s="64"/>
      <c r="G534" s="62"/>
    </row>
    <row r="535" spans="1:7" ht="12.75">
      <c r="A535" s="279"/>
      <c r="B535" s="74"/>
      <c r="E535" s="62"/>
      <c r="F535" s="64"/>
      <c r="G535" s="62"/>
    </row>
    <row r="536" spans="1:7" ht="12.75">
      <c r="A536" s="279"/>
      <c r="B536" s="74"/>
      <c r="E536" s="62"/>
      <c r="F536" s="64"/>
      <c r="G536" s="62"/>
    </row>
    <row r="537" spans="1:7" ht="12.75">
      <c r="A537" s="279"/>
      <c r="B537" s="74"/>
      <c r="E537" s="62"/>
      <c r="F537" s="64"/>
      <c r="G537" s="62"/>
    </row>
    <row r="538" spans="1:7" ht="12.75">
      <c r="A538" s="279"/>
      <c r="B538" s="74"/>
      <c r="E538" s="62"/>
      <c r="F538" s="64"/>
      <c r="G538" s="62"/>
    </row>
    <row r="539" spans="1:7" ht="12.75">
      <c r="A539" s="279"/>
      <c r="B539" s="74"/>
      <c r="E539" s="62"/>
      <c r="F539" s="64"/>
      <c r="G539" s="62"/>
    </row>
    <row r="540" spans="1:7" ht="12.75">
      <c r="A540" s="279"/>
      <c r="B540" s="74"/>
      <c r="E540" s="62"/>
      <c r="F540" s="64"/>
      <c r="G540" s="62"/>
    </row>
    <row r="541" spans="1:7" ht="12.75">
      <c r="A541" s="279"/>
      <c r="B541" s="74"/>
      <c r="E541" s="62"/>
      <c r="F541" s="64"/>
      <c r="G541" s="62"/>
    </row>
    <row r="542" spans="1:7" ht="12.75">
      <c r="A542" s="279"/>
      <c r="B542" s="74"/>
      <c r="E542" s="62"/>
      <c r="F542" s="64"/>
      <c r="G542" s="62"/>
    </row>
    <row r="543" spans="1:7" ht="12.75">
      <c r="A543" s="279"/>
      <c r="B543" s="74"/>
      <c r="E543" s="62"/>
      <c r="F543" s="64"/>
      <c r="G543" s="62"/>
    </row>
    <row r="544" spans="1:7" ht="12.75">
      <c r="A544" s="279"/>
      <c r="B544" s="74"/>
      <c r="E544" s="62"/>
      <c r="F544" s="64"/>
      <c r="G544" s="62"/>
    </row>
    <row r="545" spans="1:7" ht="12.75">
      <c r="A545" s="279"/>
      <c r="B545" s="74"/>
      <c r="E545" s="62"/>
      <c r="F545" s="64"/>
      <c r="G545" s="62"/>
    </row>
    <row r="546" spans="1:7" ht="12.75">
      <c r="A546" s="279"/>
      <c r="B546" s="74"/>
      <c r="E546" s="62"/>
      <c r="F546" s="64"/>
      <c r="G546" s="62"/>
    </row>
    <row r="547" spans="1:7" ht="12.75">
      <c r="A547" s="279"/>
      <c r="B547" s="74"/>
      <c r="E547" s="62"/>
      <c r="F547" s="64"/>
      <c r="G547" s="62"/>
    </row>
    <row r="548" spans="1:7" ht="12.75">
      <c r="A548" s="279"/>
      <c r="B548" s="74"/>
      <c r="E548" s="62"/>
      <c r="F548" s="64"/>
      <c r="G548" s="62"/>
    </row>
    <row r="549" spans="1:7" ht="12.75">
      <c r="A549" s="279"/>
      <c r="B549" s="74"/>
      <c r="E549" s="62"/>
      <c r="F549" s="64"/>
      <c r="G549" s="62"/>
    </row>
    <row r="550" spans="1:7" ht="12.75">
      <c r="A550" s="279"/>
      <c r="B550" s="74"/>
      <c r="E550" s="62"/>
      <c r="F550" s="64"/>
      <c r="G550" s="62"/>
    </row>
    <row r="551" spans="1:7" ht="12.75">
      <c r="A551" s="279"/>
      <c r="B551" s="74"/>
      <c r="E551" s="62"/>
      <c r="F551" s="64"/>
      <c r="G551" s="62"/>
    </row>
    <row r="552" spans="1:7" ht="12.75">
      <c r="A552" s="279"/>
      <c r="B552" s="74"/>
      <c r="E552" s="62"/>
      <c r="F552" s="64"/>
      <c r="G552" s="62"/>
    </row>
    <row r="553" spans="1:7" ht="12.75">
      <c r="A553" s="279"/>
      <c r="B553" s="74"/>
      <c r="E553" s="62"/>
      <c r="F553" s="64"/>
      <c r="G553" s="62"/>
    </row>
    <row r="554" spans="1:7" ht="12.75">
      <c r="A554" s="279"/>
      <c r="B554" s="74"/>
      <c r="E554" s="62"/>
      <c r="F554" s="64"/>
      <c r="G554" s="62"/>
    </row>
    <row r="555" spans="1:7" ht="12.75">
      <c r="A555" s="279"/>
      <c r="B555" s="74"/>
      <c r="E555" s="62"/>
      <c r="F555" s="64"/>
      <c r="G555" s="62"/>
    </row>
    <row r="556" spans="1:7" ht="12.75">
      <c r="A556" s="279"/>
      <c r="B556" s="74"/>
      <c r="E556" s="62"/>
      <c r="F556" s="64"/>
      <c r="G556" s="62"/>
    </row>
    <row r="557" spans="1:7" ht="12.75">
      <c r="A557" s="279"/>
      <c r="B557" s="74"/>
      <c r="E557" s="62"/>
      <c r="F557" s="64"/>
      <c r="G557" s="62"/>
    </row>
    <row r="558" spans="1:7" ht="12.75">
      <c r="A558" s="279"/>
      <c r="B558" s="74"/>
      <c r="E558" s="62"/>
      <c r="F558" s="64"/>
      <c r="G558" s="62"/>
    </row>
    <row r="559" spans="1:7" ht="12.75">
      <c r="A559" s="279"/>
      <c r="B559" s="74"/>
      <c r="E559" s="62"/>
      <c r="F559" s="64"/>
      <c r="G559" s="62"/>
    </row>
    <row r="560" spans="1:7" ht="12.75">
      <c r="A560" s="279"/>
      <c r="B560" s="74"/>
      <c r="E560" s="62"/>
      <c r="F560" s="64"/>
      <c r="G560" s="62"/>
    </row>
    <row r="561" spans="1:7" ht="12.75">
      <c r="A561" s="279"/>
      <c r="B561" s="74"/>
      <c r="E561" s="62"/>
      <c r="F561" s="64"/>
      <c r="G561" s="62"/>
    </row>
    <row r="562" spans="1:7" ht="12.75">
      <c r="A562" s="279"/>
      <c r="B562" s="74"/>
      <c r="E562" s="62"/>
      <c r="F562" s="64"/>
      <c r="G562" s="62"/>
    </row>
    <row r="563" spans="1:7" ht="12.75">
      <c r="A563" s="279"/>
      <c r="B563" s="74"/>
      <c r="E563" s="62"/>
      <c r="F563" s="64"/>
      <c r="G563" s="62"/>
    </row>
    <row r="564" spans="1:7" ht="12.75">
      <c r="A564" s="279"/>
      <c r="B564" s="74"/>
      <c r="E564" s="62"/>
      <c r="F564" s="64"/>
      <c r="G564" s="62"/>
    </row>
    <row r="565" spans="1:7" ht="12.75">
      <c r="A565" s="279"/>
      <c r="B565" s="74"/>
      <c r="E565" s="62"/>
      <c r="F565" s="64"/>
      <c r="G565" s="62"/>
    </row>
    <row r="566" spans="1:7" ht="12.75">
      <c r="A566" s="279"/>
      <c r="B566" s="74"/>
      <c r="E566" s="62"/>
      <c r="F566" s="64"/>
      <c r="G566" s="62"/>
    </row>
    <row r="567" spans="1:7" ht="12.75">
      <c r="A567" s="279"/>
      <c r="B567" s="74"/>
      <c r="E567" s="62"/>
      <c r="F567" s="64"/>
      <c r="G567" s="62"/>
    </row>
    <row r="568" spans="1:7" ht="12.75">
      <c r="A568" s="279"/>
      <c r="B568" s="74"/>
      <c r="E568" s="62"/>
      <c r="F568" s="64"/>
      <c r="G568" s="62"/>
    </row>
    <row r="569" spans="1:7" ht="12.75">
      <c r="A569" s="279"/>
      <c r="B569" s="74"/>
      <c r="E569" s="62"/>
      <c r="F569" s="64"/>
      <c r="G569" s="62"/>
    </row>
    <row r="570" spans="1:7" ht="12.75">
      <c r="A570" s="279"/>
      <c r="B570" s="74"/>
      <c r="E570" s="62"/>
      <c r="F570" s="64"/>
      <c r="G570" s="62"/>
    </row>
    <row r="571" spans="1:7" ht="12.75">
      <c r="A571" s="279"/>
      <c r="B571" s="74"/>
      <c r="E571" s="62"/>
      <c r="F571" s="64"/>
      <c r="G571" s="62"/>
    </row>
    <row r="572" spans="1:7" ht="12.75">
      <c r="A572" s="279"/>
      <c r="B572" s="74"/>
      <c r="E572" s="62"/>
      <c r="F572" s="64"/>
      <c r="G572" s="62"/>
    </row>
    <row r="573" spans="1:7" ht="12.75">
      <c r="A573" s="279"/>
      <c r="B573" s="74"/>
      <c r="E573" s="62"/>
      <c r="F573" s="64"/>
      <c r="G573" s="62"/>
    </row>
    <row r="574" spans="1:7" ht="12.75">
      <c r="A574" s="279"/>
      <c r="B574" s="74"/>
      <c r="E574" s="62"/>
      <c r="F574" s="64"/>
      <c r="G574" s="62"/>
    </row>
    <row r="575" spans="1:7" ht="12.75">
      <c r="A575" s="279"/>
      <c r="B575" s="74"/>
      <c r="E575" s="62"/>
      <c r="F575" s="64"/>
      <c r="G575" s="62"/>
    </row>
    <row r="576" spans="1:7" ht="12.75">
      <c r="A576" s="279"/>
      <c r="B576" s="74"/>
      <c r="E576" s="62"/>
      <c r="F576" s="64"/>
      <c r="G576" s="62"/>
    </row>
    <row r="577" spans="1:7" ht="12.75">
      <c r="A577" s="279"/>
      <c r="B577" s="74"/>
      <c r="E577" s="62"/>
      <c r="F577" s="64"/>
      <c r="G577" s="62"/>
    </row>
    <row r="578" spans="1:7" ht="12.75">
      <c r="A578" s="279"/>
      <c r="B578" s="74"/>
      <c r="E578" s="62"/>
      <c r="F578" s="64"/>
      <c r="G578" s="62"/>
    </row>
    <row r="579" spans="1:7" ht="12.75">
      <c r="A579" s="279"/>
      <c r="B579" s="74"/>
      <c r="E579" s="62"/>
      <c r="F579" s="64"/>
      <c r="G579" s="62"/>
    </row>
    <row r="580" spans="1:7" ht="12.75">
      <c r="A580" s="279"/>
      <c r="B580" s="74"/>
      <c r="E580" s="62"/>
      <c r="F580" s="64"/>
      <c r="G580" s="62"/>
    </row>
    <row r="581" spans="1:7" ht="12.75">
      <c r="A581" s="279"/>
      <c r="B581" s="74"/>
      <c r="E581" s="62"/>
      <c r="F581" s="64"/>
      <c r="G581" s="62"/>
    </row>
    <row r="582" spans="1:7" ht="12.75">
      <c r="A582" s="279"/>
      <c r="B582" s="74"/>
      <c r="E582" s="62"/>
      <c r="F582" s="64"/>
      <c r="G582" s="62"/>
    </row>
    <row r="583" spans="1:7" ht="12.75">
      <c r="A583" s="279"/>
      <c r="B583" s="74"/>
      <c r="E583" s="62"/>
      <c r="F583" s="64"/>
      <c r="G583" s="62"/>
    </row>
    <row r="584" spans="1:7" ht="12.75">
      <c r="A584" s="279"/>
      <c r="B584" s="74"/>
      <c r="E584" s="62"/>
      <c r="F584" s="64"/>
      <c r="G584" s="62"/>
    </row>
    <row r="585" spans="1:7" ht="12.75">
      <c r="A585" s="279"/>
      <c r="B585" s="74"/>
      <c r="E585" s="62"/>
      <c r="F585" s="64"/>
      <c r="G585" s="62"/>
    </row>
    <row r="586" spans="1:7" ht="12.75">
      <c r="A586" s="279"/>
      <c r="B586" s="74"/>
      <c r="E586" s="62"/>
      <c r="F586" s="64"/>
      <c r="G586" s="62"/>
    </row>
    <row r="587" spans="1:7" ht="12.75">
      <c r="A587" s="279"/>
      <c r="B587" s="74"/>
      <c r="E587" s="62"/>
      <c r="F587" s="64"/>
      <c r="G587" s="62"/>
    </row>
    <row r="588" spans="1:7" ht="12.75">
      <c r="A588" s="279"/>
      <c r="B588" s="74"/>
      <c r="E588" s="62"/>
      <c r="F588" s="64"/>
      <c r="G588" s="62"/>
    </row>
    <row r="589" spans="1:7" ht="12.75">
      <c r="A589" s="279"/>
      <c r="B589" s="74"/>
      <c r="E589" s="62"/>
      <c r="F589" s="64"/>
      <c r="G589" s="62"/>
    </row>
    <row r="590" spans="1:7" ht="12.75">
      <c r="A590" s="279"/>
      <c r="B590" s="74"/>
      <c r="E590" s="62"/>
      <c r="F590" s="64"/>
      <c r="G590" s="62"/>
    </row>
    <row r="591" spans="1:7" ht="12.75">
      <c r="A591" s="279"/>
      <c r="B591" s="74"/>
      <c r="E591" s="62"/>
      <c r="F591" s="64"/>
      <c r="G591" s="62"/>
    </row>
    <row r="592" spans="1:7" ht="12.75">
      <c r="A592" s="279"/>
      <c r="B592" s="74"/>
      <c r="E592" s="62"/>
      <c r="F592" s="64"/>
      <c r="G592" s="62"/>
    </row>
    <row r="593" spans="1:7" ht="12.75">
      <c r="A593" s="279"/>
      <c r="B593" s="74"/>
      <c r="E593" s="62"/>
      <c r="F593" s="64"/>
      <c r="G593" s="62"/>
    </row>
    <row r="594" spans="1:7" ht="12.75">
      <c r="A594" s="279"/>
      <c r="B594" s="74"/>
      <c r="E594" s="62"/>
      <c r="F594" s="64"/>
      <c r="G594" s="62"/>
    </row>
    <row r="595" spans="1:7" ht="12.75">
      <c r="A595" s="279"/>
      <c r="B595" s="74"/>
      <c r="E595" s="62"/>
      <c r="F595" s="64"/>
      <c r="G595" s="62"/>
    </row>
    <row r="596" spans="1:7" ht="12.75">
      <c r="A596" s="279"/>
      <c r="B596" s="74"/>
      <c r="E596" s="62"/>
      <c r="F596" s="64"/>
      <c r="G596" s="62"/>
    </row>
    <row r="597" spans="1:7" ht="12.75">
      <c r="A597" s="279"/>
      <c r="B597" s="74"/>
      <c r="E597" s="62"/>
      <c r="F597" s="64"/>
      <c r="G597" s="62"/>
    </row>
    <row r="598" spans="1:7" ht="12.75">
      <c r="A598" s="279"/>
      <c r="B598" s="74"/>
      <c r="E598" s="62"/>
      <c r="F598" s="64"/>
      <c r="G598" s="62"/>
    </row>
    <row r="599" spans="1:7" ht="12.75">
      <c r="A599" s="279"/>
      <c r="B599" s="74"/>
      <c r="E599" s="62"/>
      <c r="F599" s="64"/>
      <c r="G599" s="62"/>
    </row>
    <row r="600" spans="1:7" ht="12.75">
      <c r="A600" s="279"/>
      <c r="B600" s="74"/>
      <c r="E600" s="62"/>
      <c r="F600" s="64"/>
      <c r="G600" s="62"/>
    </row>
    <row r="601" spans="1:7" ht="12.75">
      <c r="A601" s="279"/>
      <c r="B601" s="74"/>
      <c r="E601" s="62"/>
      <c r="F601" s="64"/>
      <c r="G601" s="62"/>
    </row>
    <row r="602" spans="1:7" ht="12.75">
      <c r="A602" s="279"/>
      <c r="B602" s="74"/>
      <c r="E602" s="62"/>
      <c r="F602" s="64"/>
      <c r="G602" s="62"/>
    </row>
    <row r="603" spans="1:7" ht="12.75">
      <c r="A603" s="279"/>
      <c r="B603" s="74"/>
      <c r="E603" s="62"/>
      <c r="F603" s="64"/>
      <c r="G603" s="62"/>
    </row>
    <row r="604" spans="1:7" ht="12.75">
      <c r="A604" s="279"/>
      <c r="B604" s="74"/>
      <c r="E604" s="62"/>
      <c r="F604" s="64"/>
      <c r="G604" s="62"/>
    </row>
    <row r="605" spans="1:7" ht="12.75">
      <c r="A605" s="279"/>
      <c r="B605" s="74"/>
      <c r="E605" s="62"/>
      <c r="F605" s="64"/>
      <c r="G605" s="62"/>
    </row>
    <row r="606" spans="1:7" ht="12.75">
      <c r="A606" s="279"/>
      <c r="B606" s="74"/>
      <c r="E606" s="62"/>
      <c r="F606" s="64"/>
      <c r="G606" s="62"/>
    </row>
    <row r="607" spans="1:7" ht="12.75">
      <c r="A607" s="279"/>
      <c r="B607" s="74"/>
      <c r="E607" s="62"/>
      <c r="F607" s="64"/>
      <c r="G607" s="62"/>
    </row>
    <row r="608" spans="1:7" ht="12.75">
      <c r="A608" s="279"/>
      <c r="B608" s="74"/>
      <c r="E608" s="62"/>
      <c r="F608" s="64"/>
      <c r="G608" s="62"/>
    </row>
    <row r="609" spans="1:7" ht="12.75">
      <c r="A609" s="279"/>
      <c r="B609" s="74"/>
      <c r="E609" s="62"/>
      <c r="F609" s="64"/>
      <c r="G609" s="62"/>
    </row>
    <row r="610" spans="1:7" ht="12.75">
      <c r="A610" s="279"/>
      <c r="B610" s="74"/>
      <c r="E610" s="62"/>
      <c r="F610" s="64"/>
      <c r="G610" s="62"/>
    </row>
    <row r="611" spans="1:7" ht="12.75">
      <c r="A611" s="279"/>
      <c r="B611" s="74"/>
      <c r="E611" s="62"/>
      <c r="F611" s="64"/>
      <c r="G611" s="62"/>
    </row>
    <row r="612" spans="1:7" ht="12.75">
      <c r="A612" s="279"/>
      <c r="B612" s="74"/>
      <c r="E612" s="62"/>
      <c r="F612" s="64"/>
      <c r="G612" s="62"/>
    </row>
    <row r="613" spans="1:7" ht="12.75">
      <c r="A613" s="279"/>
      <c r="B613" s="74"/>
      <c r="E613" s="62"/>
      <c r="F613" s="64"/>
      <c r="G613" s="62"/>
    </row>
    <row r="614" spans="1:7" ht="12.75">
      <c r="A614" s="279"/>
      <c r="B614" s="74"/>
      <c r="E614" s="62"/>
      <c r="F614" s="64"/>
      <c r="G614" s="62"/>
    </row>
    <row r="615" spans="1:7" ht="12.75">
      <c r="A615" s="279"/>
      <c r="B615" s="74"/>
      <c r="E615" s="62"/>
      <c r="F615" s="64"/>
      <c r="G615" s="62"/>
    </row>
    <row r="616" spans="1:7" ht="12.75">
      <c r="A616" s="279"/>
      <c r="B616" s="74"/>
      <c r="E616" s="62"/>
      <c r="F616" s="64"/>
      <c r="G616" s="62"/>
    </row>
    <row r="617" spans="1:7" ht="12.75">
      <c r="A617" s="279"/>
      <c r="B617" s="74"/>
      <c r="E617" s="62"/>
      <c r="F617" s="64"/>
      <c r="G617" s="62"/>
    </row>
    <row r="618" spans="1:7" ht="12.75">
      <c r="A618" s="279"/>
      <c r="B618" s="74"/>
      <c r="E618" s="62"/>
      <c r="F618" s="64"/>
      <c r="G618" s="62"/>
    </row>
    <row r="619" spans="1:7" ht="12.75">
      <c r="A619" s="279"/>
      <c r="B619" s="74"/>
      <c r="E619" s="62"/>
      <c r="F619" s="64"/>
      <c r="G619" s="62"/>
    </row>
    <row r="620" spans="1:7" ht="12.75">
      <c r="A620" s="279"/>
      <c r="B620" s="74"/>
      <c r="E620" s="62"/>
      <c r="F620" s="64"/>
      <c r="G620" s="62"/>
    </row>
    <row r="621" spans="1:7" ht="12.75">
      <c r="A621" s="279"/>
      <c r="B621" s="74"/>
      <c r="E621" s="62"/>
      <c r="F621" s="64"/>
      <c r="G621" s="62"/>
    </row>
    <row r="622" spans="1:7" ht="12.75">
      <c r="A622" s="279"/>
      <c r="B622" s="74"/>
      <c r="E622" s="62"/>
      <c r="F622" s="64"/>
      <c r="G622" s="62"/>
    </row>
    <row r="623" spans="1:7" ht="12.75">
      <c r="A623" s="279"/>
      <c r="B623" s="74"/>
      <c r="E623" s="62"/>
      <c r="F623" s="64"/>
      <c r="G623" s="62"/>
    </row>
    <row r="624" spans="1:7" ht="12.75">
      <c r="A624" s="279"/>
      <c r="B624" s="74"/>
      <c r="E624" s="62"/>
      <c r="F624" s="64"/>
      <c r="G624" s="62"/>
    </row>
    <row r="625" spans="1:7" ht="12.75">
      <c r="A625" s="279"/>
      <c r="B625" s="74"/>
      <c r="E625" s="62"/>
      <c r="F625" s="64"/>
      <c r="G625" s="62"/>
    </row>
    <row r="626" spans="1:7" ht="12.75">
      <c r="A626" s="279"/>
      <c r="B626" s="74"/>
      <c r="E626" s="62"/>
      <c r="F626" s="64"/>
      <c r="G626" s="62"/>
    </row>
    <row r="627" spans="1:7" ht="12.75">
      <c r="A627" s="279"/>
      <c r="B627" s="74"/>
      <c r="E627" s="62"/>
      <c r="F627" s="64"/>
      <c r="G627" s="62"/>
    </row>
    <row r="628" spans="1:7" ht="12.75">
      <c r="A628" s="279"/>
      <c r="B628" s="74"/>
      <c r="E628" s="62"/>
      <c r="F628" s="64"/>
      <c r="G628" s="62"/>
    </row>
    <row r="629" spans="1:7" ht="12.75">
      <c r="A629" s="279"/>
      <c r="B629" s="74"/>
      <c r="E629" s="62"/>
      <c r="F629" s="64"/>
      <c r="G629" s="62"/>
    </row>
    <row r="630" spans="1:7" ht="12.75">
      <c r="A630" s="279"/>
      <c r="B630" s="74"/>
      <c r="E630" s="62"/>
      <c r="F630" s="64"/>
      <c r="G630" s="62"/>
    </row>
    <row r="631" spans="1:7" ht="12.75">
      <c r="A631" s="279"/>
      <c r="B631" s="74"/>
      <c r="E631" s="62"/>
      <c r="F631" s="64"/>
      <c r="G631" s="62"/>
    </row>
    <row r="632" spans="1:7" ht="12.75">
      <c r="A632" s="279"/>
      <c r="B632" s="74"/>
      <c r="E632" s="62"/>
      <c r="F632" s="64"/>
      <c r="G632" s="62"/>
    </row>
    <row r="633" spans="1:7" ht="12.75">
      <c r="A633" s="279"/>
      <c r="B633" s="74"/>
      <c r="E633" s="62"/>
      <c r="F633" s="64"/>
      <c r="G633" s="62"/>
    </row>
    <row r="634" spans="1:7" ht="12.75">
      <c r="A634" s="279"/>
      <c r="B634" s="74"/>
      <c r="E634" s="62"/>
      <c r="F634" s="64"/>
      <c r="G634" s="62"/>
    </row>
    <row r="635" spans="1:7" ht="12.75">
      <c r="A635" s="279"/>
      <c r="B635" s="74"/>
      <c r="E635" s="62"/>
      <c r="F635" s="64"/>
      <c r="G635" s="62"/>
    </row>
    <row r="636" spans="1:7" ht="12.75">
      <c r="A636" s="279"/>
      <c r="B636" s="74"/>
      <c r="E636" s="62"/>
      <c r="F636" s="64"/>
      <c r="G636" s="62"/>
    </row>
    <row r="637" spans="1:7" ht="12.75">
      <c r="A637" s="279"/>
      <c r="B637" s="74"/>
      <c r="E637" s="62"/>
      <c r="F637" s="64"/>
      <c r="G637" s="62"/>
    </row>
    <row r="638" spans="1:7" ht="12.75">
      <c r="A638" s="279"/>
      <c r="B638" s="74"/>
      <c r="E638" s="62"/>
      <c r="F638" s="64"/>
      <c r="G638" s="62"/>
    </row>
    <row r="639" spans="1:7" ht="12.75">
      <c r="A639" s="279"/>
      <c r="B639" s="74"/>
      <c r="E639" s="62"/>
      <c r="F639" s="64"/>
      <c r="G639" s="62"/>
    </row>
    <row r="640" spans="1:7" ht="12.75">
      <c r="A640" s="279"/>
      <c r="B640" s="74"/>
      <c r="E640" s="62"/>
      <c r="F640" s="64"/>
      <c r="G640" s="62"/>
    </row>
    <row r="641" spans="1:7" ht="12.75">
      <c r="A641" s="279"/>
      <c r="B641" s="74"/>
      <c r="E641" s="62"/>
      <c r="F641" s="64"/>
      <c r="G641" s="62"/>
    </row>
    <row r="642" spans="1:7" ht="12.75">
      <c r="A642" s="279"/>
      <c r="B642" s="74"/>
      <c r="E642" s="62"/>
      <c r="F642" s="64"/>
      <c r="G642" s="62"/>
    </row>
    <row r="643" spans="1:7" ht="12.75">
      <c r="A643" s="279"/>
      <c r="B643" s="74"/>
      <c r="E643" s="62"/>
      <c r="F643" s="64"/>
      <c r="G643" s="62"/>
    </row>
    <row r="644" spans="1:7" ht="12.75">
      <c r="A644" s="279"/>
      <c r="B644" s="74"/>
      <c r="E644" s="62"/>
      <c r="F644" s="64"/>
      <c r="G644" s="62"/>
    </row>
    <row r="645" spans="1:7" ht="12.75">
      <c r="A645" s="279"/>
      <c r="B645" s="74"/>
      <c r="E645" s="62"/>
      <c r="F645" s="64"/>
      <c r="G645" s="62"/>
    </row>
    <row r="646" spans="1:7" ht="12.75">
      <c r="A646" s="279"/>
      <c r="B646" s="74"/>
      <c r="E646" s="62"/>
      <c r="F646" s="64"/>
      <c r="G646" s="62"/>
    </row>
    <row r="647" spans="1:7" ht="12.75">
      <c r="A647" s="279"/>
      <c r="B647" s="74"/>
      <c r="E647" s="62"/>
      <c r="F647" s="64"/>
      <c r="G647" s="62"/>
    </row>
    <row r="648" spans="1:7" ht="12.75">
      <c r="A648" s="279"/>
      <c r="B648" s="74"/>
      <c r="E648" s="62"/>
      <c r="F648" s="64"/>
      <c r="G648" s="62"/>
    </row>
    <row r="649" spans="1:7" ht="12.75">
      <c r="A649" s="279"/>
      <c r="B649" s="74"/>
      <c r="E649" s="62"/>
      <c r="F649" s="64"/>
      <c r="G649" s="62"/>
    </row>
    <row r="650" spans="1:7" ht="12.75">
      <c r="A650" s="279"/>
      <c r="B650" s="74"/>
      <c r="E650" s="62"/>
      <c r="F650" s="64"/>
      <c r="G650" s="62"/>
    </row>
    <row r="651" spans="1:7" ht="12.75">
      <c r="A651" s="279"/>
      <c r="B651" s="74"/>
      <c r="E651" s="62"/>
      <c r="F651" s="64"/>
      <c r="G651" s="62"/>
    </row>
    <row r="652" spans="1:7" ht="12.75">
      <c r="A652" s="279"/>
      <c r="B652" s="74"/>
      <c r="E652" s="62"/>
      <c r="F652" s="64"/>
      <c r="G652" s="62"/>
    </row>
    <row r="653" spans="1:7" ht="12.75">
      <c r="A653" s="279"/>
      <c r="B653" s="74"/>
      <c r="E653" s="62"/>
      <c r="F653" s="64"/>
      <c r="G653" s="62"/>
    </row>
    <row r="654" spans="1:7" ht="12.75">
      <c r="A654" s="279"/>
      <c r="B654" s="74"/>
      <c r="E654" s="62"/>
      <c r="F654" s="64"/>
      <c r="G654" s="62"/>
    </row>
    <row r="655" spans="1:7" ht="12.75">
      <c r="A655" s="279"/>
      <c r="B655" s="74"/>
      <c r="E655" s="62"/>
      <c r="F655" s="64"/>
      <c r="G655" s="62"/>
    </row>
    <row r="656" spans="1:7" ht="12.75">
      <c r="A656" s="279"/>
      <c r="B656" s="74"/>
      <c r="E656" s="62"/>
      <c r="F656" s="64"/>
      <c r="G656" s="62"/>
    </row>
    <row r="657" spans="1:7" ht="12.75">
      <c r="A657" s="279"/>
      <c r="B657" s="74"/>
      <c r="E657" s="62"/>
      <c r="F657" s="64"/>
      <c r="G657" s="62"/>
    </row>
    <row r="658" spans="1:7" ht="12.75">
      <c r="A658" s="279"/>
      <c r="B658" s="74"/>
      <c r="E658" s="62"/>
      <c r="F658" s="64"/>
      <c r="G658" s="62"/>
    </row>
    <row r="659" spans="1:7" ht="12.75">
      <c r="A659" s="279"/>
      <c r="B659" s="74"/>
      <c r="E659" s="62"/>
      <c r="F659" s="64"/>
      <c r="G659" s="62"/>
    </row>
    <row r="660" spans="1:7" ht="12.75">
      <c r="A660" s="279"/>
      <c r="B660" s="74"/>
      <c r="E660" s="62"/>
      <c r="F660" s="64"/>
      <c r="G660" s="62"/>
    </row>
    <row r="661" spans="1:7" ht="12.75">
      <c r="A661" s="279"/>
      <c r="B661" s="74"/>
      <c r="E661" s="62"/>
      <c r="F661" s="64"/>
      <c r="G661" s="62"/>
    </row>
    <row r="662" spans="1:7" ht="12.75">
      <c r="A662" s="279"/>
      <c r="B662" s="74"/>
      <c r="E662" s="62"/>
      <c r="F662" s="64"/>
      <c r="G662" s="62"/>
    </row>
    <row r="663" spans="1:7" ht="12.75">
      <c r="A663" s="279"/>
      <c r="B663" s="74"/>
      <c r="E663" s="62"/>
      <c r="F663" s="64"/>
      <c r="G663" s="62"/>
    </row>
    <row r="664" spans="1:7" ht="12.75">
      <c r="A664" s="279"/>
      <c r="B664" s="74"/>
      <c r="E664" s="62"/>
      <c r="F664" s="64"/>
      <c r="G664" s="62"/>
    </row>
    <row r="665" spans="1:7" ht="12.75">
      <c r="A665" s="279"/>
      <c r="B665" s="74"/>
      <c r="E665" s="62"/>
      <c r="F665" s="64"/>
      <c r="G665" s="62"/>
    </row>
    <row r="666" spans="1:7" ht="12.75">
      <c r="A666" s="279"/>
      <c r="B666" s="74"/>
      <c r="E666" s="62"/>
      <c r="F666" s="64"/>
      <c r="G666" s="62"/>
    </row>
    <row r="667" spans="1:7" ht="12.75">
      <c r="A667" s="279"/>
      <c r="B667" s="74"/>
      <c r="E667" s="62"/>
      <c r="F667" s="64"/>
      <c r="G667" s="62"/>
    </row>
    <row r="668" spans="1:7" ht="12.75">
      <c r="A668" s="279"/>
      <c r="B668" s="74"/>
      <c r="E668" s="62"/>
      <c r="F668" s="64"/>
      <c r="G668" s="62"/>
    </row>
    <row r="669" spans="1:7" ht="12.75">
      <c r="A669" s="279"/>
      <c r="B669" s="74"/>
      <c r="E669" s="62"/>
      <c r="F669" s="64"/>
      <c r="G669" s="62"/>
    </row>
    <row r="670" spans="1:7" ht="12.75">
      <c r="A670" s="279"/>
      <c r="B670" s="74"/>
      <c r="E670" s="62"/>
      <c r="F670" s="64"/>
      <c r="G670" s="62"/>
    </row>
    <row r="671" spans="1:7" ht="12.75">
      <c r="A671" s="279"/>
      <c r="B671" s="74"/>
      <c r="E671" s="62"/>
      <c r="F671" s="64"/>
      <c r="G671" s="62"/>
    </row>
    <row r="672" spans="1:7" ht="12.75">
      <c r="A672" s="279"/>
      <c r="B672" s="74"/>
      <c r="E672" s="62"/>
      <c r="F672" s="64"/>
      <c r="G672" s="62"/>
    </row>
    <row r="673" spans="1:7" ht="12.75">
      <c r="A673" s="279"/>
      <c r="B673" s="74"/>
      <c r="E673" s="62"/>
      <c r="F673" s="64"/>
      <c r="G673" s="62"/>
    </row>
    <row r="674" spans="1:7" ht="12.75">
      <c r="A674" s="279"/>
      <c r="B674" s="74"/>
      <c r="E674" s="62"/>
      <c r="F674" s="64"/>
      <c r="G674" s="62"/>
    </row>
    <row r="675" spans="1:7" ht="12.75">
      <c r="A675" s="279"/>
      <c r="B675" s="74"/>
      <c r="E675" s="62"/>
      <c r="F675" s="64"/>
      <c r="G675" s="62"/>
    </row>
    <row r="676" spans="1:7" ht="12.75">
      <c r="A676" s="279"/>
      <c r="B676" s="74"/>
      <c r="E676" s="62"/>
      <c r="F676" s="64"/>
      <c r="G676" s="62"/>
    </row>
    <row r="677" spans="1:7" ht="12.75">
      <c r="A677" s="279"/>
      <c r="B677" s="74"/>
      <c r="E677" s="62"/>
      <c r="F677" s="64"/>
      <c r="G677" s="62"/>
    </row>
    <row r="678" spans="1:7" ht="12.75">
      <c r="A678" s="279"/>
      <c r="B678" s="74"/>
      <c r="E678" s="62"/>
      <c r="F678" s="64"/>
      <c r="G678" s="62"/>
    </row>
    <row r="679" spans="1:7" ht="12.75">
      <c r="A679" s="279"/>
      <c r="B679" s="74"/>
      <c r="E679" s="62"/>
      <c r="F679" s="64"/>
      <c r="G679" s="62"/>
    </row>
    <row r="680" spans="1:7" ht="12.75">
      <c r="A680" s="279"/>
      <c r="B680" s="74"/>
      <c r="E680" s="62"/>
      <c r="F680" s="64"/>
      <c r="G680" s="62"/>
    </row>
    <row r="681" spans="1:7" ht="12.75">
      <c r="A681" s="279"/>
      <c r="B681" s="74"/>
      <c r="E681" s="62"/>
      <c r="F681" s="64"/>
      <c r="G681" s="62"/>
    </row>
    <row r="682" spans="1:7" ht="12.75">
      <c r="A682" s="279"/>
      <c r="B682" s="74"/>
      <c r="E682" s="62"/>
      <c r="F682" s="64"/>
      <c r="G682" s="62"/>
    </row>
    <row r="683" spans="1:7" ht="12.75">
      <c r="A683" s="279"/>
      <c r="B683" s="74"/>
      <c r="E683" s="62"/>
      <c r="F683" s="64"/>
      <c r="G683" s="62"/>
    </row>
    <row r="684" spans="1:7" ht="12.75">
      <c r="A684" s="279"/>
      <c r="B684" s="74"/>
      <c r="E684" s="62"/>
      <c r="F684" s="64"/>
      <c r="G684" s="62"/>
    </row>
    <row r="685" spans="1:7" ht="12.75">
      <c r="A685" s="279"/>
      <c r="B685" s="74"/>
      <c r="E685" s="62"/>
      <c r="F685" s="64"/>
      <c r="G685" s="62"/>
    </row>
    <row r="686" spans="1:7" ht="12.75">
      <c r="A686" s="279"/>
      <c r="B686" s="74"/>
      <c r="E686" s="62"/>
      <c r="F686" s="64"/>
      <c r="G686" s="62"/>
    </row>
    <row r="687" spans="1:7" ht="12.75">
      <c r="A687" s="279"/>
      <c r="B687" s="74"/>
      <c r="E687" s="62"/>
      <c r="F687" s="64"/>
      <c r="G687" s="62"/>
    </row>
    <row r="688" spans="1:7" ht="12.75">
      <c r="A688" s="279"/>
      <c r="B688" s="74"/>
      <c r="E688" s="62"/>
      <c r="F688" s="64"/>
      <c r="G688" s="62"/>
    </row>
    <row r="689" spans="1:7" ht="12.75">
      <c r="A689" s="279"/>
      <c r="B689" s="74"/>
      <c r="E689" s="62"/>
      <c r="F689" s="64"/>
      <c r="G689" s="62"/>
    </row>
    <row r="690" spans="1:7" ht="12.75">
      <c r="A690" s="279"/>
      <c r="B690" s="74"/>
      <c r="E690" s="62"/>
      <c r="F690" s="64"/>
      <c r="G690" s="62"/>
    </row>
    <row r="691" spans="1:7" ht="12.75">
      <c r="A691" s="279"/>
      <c r="B691" s="74"/>
      <c r="E691" s="62"/>
      <c r="F691" s="64"/>
      <c r="G691" s="62"/>
    </row>
    <row r="692" spans="1:7" ht="12.75">
      <c r="A692" s="279"/>
      <c r="B692" s="74"/>
      <c r="E692" s="62"/>
      <c r="F692" s="64"/>
      <c r="G692" s="62"/>
    </row>
    <row r="693" spans="1:7" ht="12.75">
      <c r="A693" s="279"/>
      <c r="B693" s="74"/>
      <c r="E693" s="62"/>
      <c r="F693" s="64"/>
      <c r="G693" s="62"/>
    </row>
    <row r="694" spans="1:7" ht="12.75">
      <c r="A694" s="279"/>
      <c r="B694" s="74"/>
      <c r="E694" s="62"/>
      <c r="F694" s="64"/>
      <c r="G694" s="62"/>
    </row>
    <row r="695" spans="1:7" ht="12.75">
      <c r="A695" s="279"/>
      <c r="B695" s="74"/>
      <c r="E695" s="62"/>
      <c r="F695" s="64"/>
      <c r="G695" s="62"/>
    </row>
    <row r="696" spans="1:7" ht="12.75">
      <c r="A696" s="279"/>
      <c r="B696" s="74"/>
      <c r="E696" s="62"/>
      <c r="F696" s="64"/>
      <c r="G696" s="62"/>
    </row>
    <row r="697" spans="1:7" ht="12.75">
      <c r="A697" s="279"/>
      <c r="B697" s="74"/>
      <c r="E697" s="62"/>
      <c r="F697" s="64"/>
      <c r="G697" s="62"/>
    </row>
    <row r="698" spans="1:7" ht="12.75">
      <c r="A698" s="279"/>
      <c r="B698" s="74"/>
      <c r="E698" s="62"/>
      <c r="F698" s="64"/>
      <c r="G698" s="62"/>
    </row>
    <row r="699" spans="1:7" ht="12.75">
      <c r="A699" s="279"/>
      <c r="B699" s="74"/>
      <c r="E699" s="62"/>
      <c r="F699" s="64"/>
      <c r="G699" s="62"/>
    </row>
    <row r="700" spans="1:7" ht="12.75">
      <c r="A700" s="279"/>
      <c r="B700" s="74"/>
      <c r="E700" s="62"/>
      <c r="F700" s="64"/>
      <c r="G700" s="62"/>
    </row>
    <row r="701" spans="1:7" ht="12.75">
      <c r="A701" s="279"/>
      <c r="B701" s="74"/>
      <c r="E701" s="62"/>
      <c r="F701" s="64"/>
      <c r="G701" s="62"/>
    </row>
    <row r="702" spans="1:7" ht="12.75">
      <c r="A702" s="279"/>
      <c r="B702" s="74"/>
      <c r="E702" s="62"/>
      <c r="F702" s="64"/>
      <c r="G702" s="62"/>
    </row>
    <row r="703" spans="1:7" ht="12.75">
      <c r="A703" s="279"/>
      <c r="B703" s="74"/>
      <c r="E703" s="62"/>
      <c r="F703" s="64"/>
      <c r="G703" s="62"/>
    </row>
    <row r="704" spans="1:7" ht="12.75">
      <c r="A704" s="279"/>
      <c r="B704" s="74"/>
      <c r="E704" s="62"/>
      <c r="F704" s="64"/>
      <c r="G704" s="62"/>
    </row>
    <row r="705" spans="1:7" ht="12.75">
      <c r="A705" s="279"/>
      <c r="B705" s="74"/>
      <c r="E705" s="62"/>
      <c r="F705" s="64"/>
      <c r="G705" s="62"/>
    </row>
    <row r="706" spans="1:7" ht="12.75">
      <c r="A706" s="279"/>
      <c r="B706" s="74"/>
      <c r="E706" s="62"/>
      <c r="F706" s="64"/>
      <c r="G706" s="62"/>
    </row>
    <row r="707" spans="1:7" ht="12.75">
      <c r="A707" s="279"/>
      <c r="B707" s="74"/>
      <c r="E707" s="62"/>
      <c r="F707" s="64"/>
      <c r="G707" s="62"/>
    </row>
    <row r="708" spans="1:7" ht="12.75">
      <c r="A708" s="279"/>
      <c r="B708" s="74"/>
      <c r="E708" s="62"/>
      <c r="F708" s="64"/>
      <c r="G708" s="62"/>
    </row>
    <row r="709" spans="1:7" ht="12.75">
      <c r="A709" s="279"/>
      <c r="B709" s="74"/>
      <c r="E709" s="62"/>
      <c r="F709" s="64"/>
      <c r="G709" s="62"/>
    </row>
    <row r="710" spans="1:7" ht="12.75">
      <c r="A710" s="279"/>
      <c r="B710" s="74"/>
      <c r="E710" s="62"/>
      <c r="F710" s="64"/>
      <c r="G710" s="62"/>
    </row>
    <row r="711" spans="1:7" ht="12.75">
      <c r="A711" s="279"/>
      <c r="B711" s="74"/>
      <c r="E711" s="62"/>
      <c r="F711" s="64"/>
      <c r="G711" s="62"/>
    </row>
    <row r="712" spans="1:7" ht="12.75">
      <c r="A712" s="279"/>
      <c r="B712" s="74"/>
      <c r="E712" s="62"/>
      <c r="F712" s="64"/>
      <c r="G712" s="62"/>
    </row>
    <row r="713" spans="1:7" ht="12.75">
      <c r="A713" s="279"/>
      <c r="B713" s="74"/>
      <c r="E713" s="62"/>
      <c r="F713" s="64"/>
      <c r="G713" s="62"/>
    </row>
    <row r="714" spans="1:7" ht="12.75">
      <c r="A714" s="279"/>
      <c r="B714" s="74"/>
      <c r="E714" s="62"/>
      <c r="F714" s="64"/>
      <c r="G714" s="62"/>
    </row>
    <row r="715" spans="1:7" ht="12.75">
      <c r="A715" s="279"/>
      <c r="B715" s="74"/>
      <c r="E715" s="62"/>
      <c r="F715" s="64"/>
      <c r="G715" s="62"/>
    </row>
    <row r="716" spans="1:7" ht="12.75">
      <c r="A716" s="279"/>
      <c r="B716" s="74"/>
      <c r="E716" s="62"/>
      <c r="F716" s="64"/>
      <c r="G716" s="62"/>
    </row>
    <row r="717" spans="1:7" ht="12.75">
      <c r="A717" s="279"/>
      <c r="B717" s="74"/>
      <c r="E717" s="62"/>
      <c r="F717" s="64"/>
      <c r="G717" s="62"/>
    </row>
    <row r="718" spans="1:7" ht="12.75">
      <c r="A718" s="279"/>
      <c r="B718" s="74"/>
      <c r="E718" s="62"/>
      <c r="F718" s="64"/>
      <c r="G718" s="62"/>
    </row>
    <row r="719" spans="1:7" ht="12.75">
      <c r="A719" s="279"/>
      <c r="B719" s="74"/>
      <c r="E719" s="62"/>
      <c r="F719" s="64"/>
      <c r="G719" s="62"/>
    </row>
    <row r="720" spans="1:7" ht="12.75">
      <c r="A720" s="279"/>
      <c r="B720" s="74"/>
      <c r="E720" s="62"/>
      <c r="F720" s="64"/>
      <c r="G720" s="62"/>
    </row>
    <row r="721" spans="1:7" ht="12.75">
      <c r="A721" s="279"/>
      <c r="B721" s="74"/>
      <c r="E721" s="62"/>
      <c r="F721" s="64"/>
      <c r="G721" s="62"/>
    </row>
    <row r="722" spans="1:7" ht="12.75">
      <c r="A722" s="279"/>
      <c r="B722" s="74"/>
      <c r="E722" s="62"/>
      <c r="F722" s="64"/>
      <c r="G722" s="62"/>
    </row>
    <row r="723" spans="1:7" ht="12.75">
      <c r="A723" s="279"/>
      <c r="B723" s="74"/>
      <c r="E723" s="62"/>
      <c r="F723" s="64"/>
      <c r="G723" s="62"/>
    </row>
    <row r="724" spans="1:7" ht="12.75">
      <c r="A724" s="279"/>
      <c r="B724" s="74"/>
      <c r="E724" s="62"/>
      <c r="F724" s="64"/>
      <c r="G724" s="62"/>
    </row>
    <row r="725" spans="1:7" ht="12.75">
      <c r="A725" s="279"/>
      <c r="B725" s="74"/>
      <c r="E725" s="62"/>
      <c r="F725" s="64"/>
      <c r="G725" s="62"/>
    </row>
    <row r="726" spans="1:7" ht="12.75">
      <c r="A726" s="279"/>
      <c r="B726" s="74"/>
      <c r="E726" s="62"/>
      <c r="F726" s="64"/>
      <c r="G726" s="62"/>
    </row>
    <row r="727" spans="1:7" ht="12.75">
      <c r="A727" s="279"/>
      <c r="B727" s="74"/>
      <c r="E727" s="62"/>
      <c r="F727" s="64"/>
      <c r="G727" s="62"/>
    </row>
    <row r="728" spans="1:7" ht="12.75">
      <c r="A728" s="279"/>
      <c r="B728" s="74"/>
      <c r="E728" s="62"/>
      <c r="F728" s="64"/>
      <c r="G728" s="62"/>
    </row>
    <row r="729" spans="1:7" ht="12.75">
      <c r="A729" s="279"/>
      <c r="B729" s="74"/>
      <c r="E729" s="62"/>
      <c r="F729" s="64"/>
      <c r="G729" s="62"/>
    </row>
    <row r="730" spans="1:7" ht="12.75">
      <c r="A730" s="279"/>
      <c r="B730" s="74"/>
      <c r="E730" s="62"/>
      <c r="F730" s="64"/>
      <c r="G730" s="62"/>
    </row>
    <row r="731" spans="1:7" ht="12.75">
      <c r="A731" s="279"/>
      <c r="B731" s="74"/>
      <c r="E731" s="62"/>
      <c r="F731" s="64"/>
      <c r="G731" s="62"/>
    </row>
    <row r="732" spans="1:7" ht="12.75">
      <c r="A732" s="279"/>
      <c r="B732" s="74"/>
      <c r="E732" s="62"/>
      <c r="F732" s="64"/>
      <c r="G732" s="62"/>
    </row>
    <row r="733" spans="1:7" ht="12.75">
      <c r="A733" s="279"/>
      <c r="B733" s="74"/>
      <c r="E733" s="62"/>
      <c r="F733" s="64"/>
      <c r="G733" s="62"/>
    </row>
    <row r="734" spans="1:7" ht="12.75">
      <c r="A734" s="279"/>
      <c r="B734" s="74"/>
      <c r="E734" s="62"/>
      <c r="F734" s="64"/>
      <c r="G734" s="62"/>
    </row>
    <row r="735" spans="1:7" ht="12.75">
      <c r="A735" s="279"/>
      <c r="B735" s="74"/>
      <c r="E735" s="62"/>
      <c r="F735" s="64"/>
      <c r="G735" s="62"/>
    </row>
    <row r="736" spans="1:7" ht="12.75">
      <c r="A736" s="279"/>
      <c r="B736" s="74"/>
      <c r="E736" s="62"/>
      <c r="F736" s="64"/>
      <c r="G736" s="62"/>
    </row>
    <row r="737" spans="1:7" ht="12.75">
      <c r="A737" s="279"/>
      <c r="B737" s="74"/>
      <c r="E737" s="62"/>
      <c r="F737" s="64"/>
      <c r="G737" s="62"/>
    </row>
    <row r="738" spans="1:7" ht="12.75">
      <c r="A738" s="279"/>
      <c r="B738" s="74"/>
      <c r="E738" s="62"/>
      <c r="F738" s="64"/>
      <c r="G738" s="62"/>
    </row>
    <row r="739" spans="1:7" ht="12.75">
      <c r="A739" s="279"/>
      <c r="B739" s="74"/>
      <c r="E739" s="62"/>
      <c r="F739" s="64"/>
      <c r="G739" s="62"/>
    </row>
    <row r="740" spans="1:7" ht="12.75">
      <c r="A740" s="279"/>
      <c r="B740" s="74"/>
      <c r="E740" s="62"/>
      <c r="F740" s="64"/>
      <c r="G740" s="62"/>
    </row>
    <row r="741" spans="1:7" ht="12.75">
      <c r="A741" s="279"/>
      <c r="B741" s="74"/>
      <c r="E741" s="62"/>
      <c r="F741" s="64"/>
      <c r="G741" s="62"/>
    </row>
    <row r="742" spans="1:7" ht="12.75">
      <c r="A742" s="279"/>
      <c r="B742" s="74"/>
      <c r="E742" s="62"/>
      <c r="F742" s="64"/>
      <c r="G742" s="62"/>
    </row>
    <row r="743" spans="1:7" ht="12.75">
      <c r="A743" s="279"/>
      <c r="B743" s="74"/>
      <c r="E743" s="62"/>
      <c r="F743" s="64"/>
      <c r="G743" s="62"/>
    </row>
    <row r="744" spans="1:7" ht="12.75">
      <c r="A744" s="279"/>
      <c r="B744" s="74"/>
      <c r="E744" s="62"/>
      <c r="F744" s="64"/>
      <c r="G744" s="62"/>
    </row>
    <row r="745" spans="1:7" ht="12.75">
      <c r="A745" s="279"/>
      <c r="B745" s="74"/>
      <c r="E745" s="62"/>
      <c r="F745" s="64"/>
      <c r="G745" s="62"/>
    </row>
    <row r="746" spans="1:7" ht="12.75">
      <c r="A746" s="279"/>
      <c r="B746" s="74"/>
      <c r="E746" s="62"/>
      <c r="F746" s="64"/>
      <c r="G746" s="62"/>
    </row>
    <row r="747" spans="1:7" ht="12.75">
      <c r="A747" s="279"/>
      <c r="B747" s="74"/>
      <c r="E747" s="62"/>
      <c r="F747" s="64"/>
      <c r="G747" s="62"/>
    </row>
    <row r="748" spans="1:7" ht="12.75">
      <c r="A748" s="279"/>
      <c r="B748" s="74"/>
      <c r="E748" s="62"/>
      <c r="F748" s="64"/>
      <c r="G748" s="62"/>
    </row>
    <row r="749" spans="1:7" ht="12.75">
      <c r="A749" s="279"/>
      <c r="B749" s="74"/>
      <c r="E749" s="62"/>
      <c r="F749" s="64"/>
      <c r="G749" s="62"/>
    </row>
    <row r="750" spans="1:7" ht="12.75">
      <c r="A750" s="279"/>
      <c r="B750" s="74"/>
      <c r="E750" s="62"/>
      <c r="F750" s="64"/>
      <c r="G750" s="62"/>
    </row>
    <row r="751" spans="1:7" ht="12.75">
      <c r="A751" s="279"/>
      <c r="B751" s="74"/>
      <c r="E751" s="62"/>
      <c r="F751" s="64"/>
      <c r="G751" s="62"/>
    </row>
    <row r="752" spans="1:7" ht="12.75">
      <c r="A752" s="279"/>
      <c r="B752" s="74"/>
      <c r="E752" s="62"/>
      <c r="F752" s="64"/>
      <c r="G752" s="62"/>
    </row>
    <row r="753" spans="1:7" ht="12.75">
      <c r="A753" s="279"/>
      <c r="B753" s="74"/>
      <c r="E753" s="62"/>
      <c r="F753" s="64"/>
      <c r="G753" s="62"/>
    </row>
    <row r="754" spans="1:7" ht="12.75">
      <c r="A754" s="279"/>
      <c r="B754" s="74"/>
      <c r="E754" s="62"/>
      <c r="F754" s="64"/>
      <c r="G754" s="62"/>
    </row>
    <row r="755" spans="1:7" ht="12.75">
      <c r="A755" s="279"/>
      <c r="B755" s="74"/>
      <c r="E755" s="62"/>
      <c r="F755" s="64"/>
      <c r="G755" s="62"/>
    </row>
    <row r="756" spans="1:7" ht="12.75">
      <c r="A756" s="279"/>
      <c r="B756" s="74"/>
      <c r="E756" s="62"/>
      <c r="F756" s="64"/>
      <c r="G756" s="62"/>
    </row>
    <row r="757" spans="1:7" ht="12.75">
      <c r="A757" s="279"/>
      <c r="B757" s="74"/>
      <c r="E757" s="62"/>
      <c r="F757" s="64"/>
      <c r="G757" s="62"/>
    </row>
    <row r="758" spans="1:7" ht="12.75">
      <c r="A758" s="279"/>
      <c r="B758" s="74"/>
      <c r="E758" s="62"/>
      <c r="F758" s="64"/>
      <c r="G758" s="62"/>
    </row>
    <row r="759" spans="1:7" ht="12.75">
      <c r="A759" s="279"/>
      <c r="B759" s="74"/>
      <c r="E759" s="62"/>
      <c r="F759" s="64"/>
      <c r="G759" s="62"/>
    </row>
    <row r="760" spans="1:7" ht="12.75">
      <c r="A760" s="279"/>
      <c r="B760" s="74"/>
      <c r="E760" s="62"/>
      <c r="F760" s="64"/>
      <c r="G760" s="62"/>
    </row>
    <row r="761" spans="1:7" ht="12.75">
      <c r="A761" s="279"/>
      <c r="B761" s="74"/>
      <c r="E761" s="62"/>
      <c r="F761" s="64"/>
      <c r="G761" s="62"/>
    </row>
    <row r="762" spans="1:7" ht="12.75">
      <c r="A762" s="279"/>
      <c r="B762" s="74"/>
      <c r="E762" s="62"/>
      <c r="F762" s="64"/>
      <c r="G762" s="62"/>
    </row>
    <row r="763" spans="1:7" ht="12.75">
      <c r="A763" s="279"/>
      <c r="B763" s="74"/>
      <c r="E763" s="62"/>
      <c r="F763" s="64"/>
      <c r="G763" s="62"/>
    </row>
    <row r="764" spans="1:7" ht="12.75">
      <c r="A764" s="279"/>
      <c r="B764" s="74"/>
      <c r="E764" s="62"/>
      <c r="F764" s="64"/>
      <c r="G764" s="62"/>
    </row>
    <row r="765" spans="1:7" ht="12.75">
      <c r="A765" s="279"/>
      <c r="B765" s="74"/>
      <c r="E765" s="62"/>
      <c r="F765" s="64"/>
      <c r="G765" s="62"/>
    </row>
    <row r="766" spans="1:7" ht="12.75">
      <c r="A766" s="279"/>
      <c r="B766" s="74"/>
      <c r="E766" s="62"/>
      <c r="F766" s="64"/>
      <c r="G766" s="62"/>
    </row>
    <row r="767" spans="1:7" ht="12.75">
      <c r="A767" s="279"/>
      <c r="B767" s="74"/>
      <c r="E767" s="62"/>
      <c r="F767" s="64"/>
      <c r="G767" s="62"/>
    </row>
    <row r="768" spans="1:7" ht="12.75">
      <c r="A768" s="279"/>
      <c r="B768" s="74"/>
      <c r="E768" s="62"/>
      <c r="F768" s="64"/>
      <c r="G768" s="62"/>
    </row>
    <row r="769" spans="1:7" ht="12.75">
      <c r="A769" s="279"/>
      <c r="B769" s="74"/>
      <c r="E769" s="62"/>
      <c r="F769" s="64"/>
      <c r="G769" s="62"/>
    </row>
    <row r="770" spans="1:7" ht="12.75">
      <c r="A770" s="279"/>
      <c r="B770" s="74"/>
      <c r="E770" s="62"/>
      <c r="F770" s="64"/>
      <c r="G770" s="62"/>
    </row>
    <row r="771" spans="1:7" ht="12.75">
      <c r="A771" s="279"/>
      <c r="B771" s="74"/>
      <c r="E771" s="62"/>
      <c r="F771" s="64"/>
      <c r="G771" s="62"/>
    </row>
    <row r="772" spans="1:7" ht="12.75">
      <c r="A772" s="279"/>
      <c r="B772" s="74"/>
      <c r="E772" s="62"/>
      <c r="F772" s="64"/>
      <c r="G772" s="62"/>
    </row>
    <row r="773" spans="1:7" ht="12.75">
      <c r="A773" s="279"/>
      <c r="B773" s="74"/>
      <c r="E773" s="62"/>
      <c r="F773" s="64"/>
      <c r="G773" s="62"/>
    </row>
    <row r="774" spans="1:7" ht="12.75">
      <c r="A774" s="279"/>
      <c r="B774" s="74"/>
      <c r="E774" s="62"/>
      <c r="F774" s="64"/>
      <c r="G774" s="62"/>
    </row>
    <row r="775" spans="1:7" ht="12.75">
      <c r="A775" s="279"/>
      <c r="B775" s="74"/>
      <c r="E775" s="62"/>
      <c r="F775" s="64"/>
      <c r="G775" s="62"/>
    </row>
    <row r="776" spans="1:7" ht="12.75">
      <c r="A776" s="279"/>
      <c r="B776" s="74"/>
      <c r="E776" s="62"/>
      <c r="F776" s="64"/>
      <c r="G776" s="62"/>
    </row>
    <row r="777" spans="1:7" ht="12.75">
      <c r="A777" s="279"/>
      <c r="B777" s="74"/>
      <c r="E777" s="62"/>
      <c r="F777" s="64"/>
      <c r="G777" s="62"/>
    </row>
    <row r="778" spans="1:7" ht="12.75">
      <c r="A778" s="279"/>
      <c r="B778" s="74"/>
      <c r="E778" s="62"/>
      <c r="F778" s="64"/>
      <c r="G778" s="62"/>
    </row>
    <row r="779" spans="1:7" ht="12.75">
      <c r="A779" s="279"/>
      <c r="B779" s="74"/>
      <c r="E779" s="62"/>
      <c r="F779" s="64"/>
      <c r="G779" s="62"/>
    </row>
    <row r="780" spans="1:7" ht="12.75">
      <c r="A780" s="279"/>
      <c r="B780" s="74"/>
      <c r="E780" s="62"/>
      <c r="F780" s="64"/>
      <c r="G780" s="62"/>
    </row>
    <row r="781" spans="1:7" ht="12.75">
      <c r="A781" s="279"/>
      <c r="B781" s="74"/>
      <c r="E781" s="62"/>
      <c r="F781" s="64"/>
      <c r="G781" s="62"/>
    </row>
    <row r="782" spans="1:7" ht="12.75">
      <c r="A782" s="279"/>
      <c r="B782" s="74"/>
      <c r="E782" s="62"/>
      <c r="F782" s="64"/>
      <c r="G782" s="62"/>
    </row>
    <row r="783" spans="1:7" ht="12.75">
      <c r="A783" s="279"/>
      <c r="B783" s="74"/>
      <c r="E783" s="62"/>
      <c r="F783" s="64"/>
      <c r="G783" s="62"/>
    </row>
    <row r="784" spans="1:7" ht="12.75">
      <c r="A784" s="279"/>
      <c r="B784" s="74"/>
      <c r="E784" s="62"/>
      <c r="F784" s="64"/>
      <c r="G784" s="62"/>
    </row>
    <row r="785" spans="1:7" ht="12.75">
      <c r="A785" s="279"/>
      <c r="B785" s="74"/>
      <c r="E785" s="62"/>
      <c r="F785" s="64"/>
      <c r="G785" s="62"/>
    </row>
    <row r="786" spans="1:7" ht="12.75">
      <c r="A786" s="279"/>
      <c r="B786" s="74"/>
      <c r="E786" s="62"/>
      <c r="F786" s="64"/>
      <c r="G786" s="62"/>
    </row>
    <row r="787" spans="1:7" ht="12.75">
      <c r="A787" s="279"/>
      <c r="B787" s="74"/>
      <c r="E787" s="62"/>
      <c r="F787" s="64"/>
      <c r="G787" s="62"/>
    </row>
    <row r="788" spans="1:7" ht="12.75">
      <c r="A788" s="279"/>
      <c r="B788" s="74"/>
      <c r="E788" s="62"/>
      <c r="F788" s="64"/>
      <c r="G788" s="62"/>
    </row>
    <row r="789" spans="1:7" ht="12.75">
      <c r="A789" s="279"/>
      <c r="B789" s="74"/>
      <c r="E789" s="62"/>
      <c r="F789" s="64"/>
      <c r="G789" s="62"/>
    </row>
    <row r="790" spans="1:7" ht="12.75">
      <c r="A790" s="279"/>
      <c r="B790" s="74"/>
      <c r="E790" s="62"/>
      <c r="F790" s="64"/>
      <c r="G790" s="62"/>
    </row>
    <row r="791" spans="1:7" ht="12.75">
      <c r="A791" s="279"/>
      <c r="B791" s="74"/>
      <c r="E791" s="62"/>
      <c r="F791" s="64"/>
      <c r="G791" s="62"/>
    </row>
    <row r="792" spans="1:7" ht="12.75">
      <c r="A792" s="279"/>
      <c r="B792" s="74"/>
      <c r="E792" s="62"/>
      <c r="F792" s="64"/>
      <c r="G792" s="62"/>
    </row>
    <row r="793" spans="1:7" ht="12.75">
      <c r="A793" s="279"/>
      <c r="B793" s="74"/>
      <c r="E793" s="62"/>
      <c r="F793" s="64"/>
      <c r="G793" s="62"/>
    </row>
    <row r="794" spans="1:7" ht="12.75">
      <c r="A794" s="279"/>
      <c r="B794" s="74"/>
      <c r="E794" s="62"/>
      <c r="F794" s="64"/>
      <c r="G794" s="62"/>
    </row>
    <row r="795" spans="1:7" ht="12.75">
      <c r="A795" s="279"/>
      <c r="B795" s="74"/>
      <c r="E795" s="62"/>
      <c r="F795" s="64"/>
      <c r="G795" s="62"/>
    </row>
    <row r="796" spans="1:7" ht="12.75">
      <c r="A796" s="279"/>
      <c r="B796" s="74"/>
      <c r="E796" s="62"/>
      <c r="F796" s="64"/>
      <c r="G796" s="62"/>
    </row>
    <row r="797" spans="1:7" ht="12.75">
      <c r="A797" s="279"/>
      <c r="B797" s="74"/>
      <c r="E797" s="62"/>
      <c r="F797" s="64"/>
      <c r="G797" s="62"/>
    </row>
    <row r="798" spans="1:7" ht="12.75">
      <c r="A798" s="279"/>
      <c r="B798" s="74"/>
      <c r="E798" s="62"/>
      <c r="F798" s="64"/>
      <c r="G798" s="62"/>
    </row>
    <row r="799" spans="1:7" ht="12.75">
      <c r="A799" s="279"/>
      <c r="B799" s="74"/>
      <c r="E799" s="62"/>
      <c r="F799" s="64"/>
      <c r="G799" s="62"/>
    </row>
    <row r="800" spans="1:7" ht="12.75">
      <c r="A800" s="279"/>
      <c r="B800" s="74"/>
      <c r="E800" s="62"/>
      <c r="F800" s="64"/>
      <c r="G800" s="62"/>
    </row>
    <row r="801" spans="1:7" ht="12.75">
      <c r="A801" s="279"/>
      <c r="B801" s="74"/>
      <c r="E801" s="62"/>
      <c r="F801" s="64"/>
      <c r="G801" s="62"/>
    </row>
    <row r="802" spans="1:7" ht="12.75">
      <c r="A802" s="279"/>
      <c r="B802" s="74"/>
      <c r="E802" s="62"/>
      <c r="F802" s="64"/>
      <c r="G802" s="62"/>
    </row>
    <row r="803" spans="1:7" ht="12.75">
      <c r="A803" s="279"/>
      <c r="B803" s="74"/>
      <c r="E803" s="62"/>
      <c r="F803" s="64"/>
      <c r="G803" s="62"/>
    </row>
    <row r="804" spans="1:7" ht="12.75">
      <c r="A804" s="279"/>
      <c r="B804" s="74"/>
      <c r="E804" s="62"/>
      <c r="F804" s="64"/>
      <c r="G804" s="62"/>
    </row>
    <row r="805" spans="1:7" ht="12.75">
      <c r="A805" s="279"/>
      <c r="B805" s="74"/>
      <c r="E805" s="62"/>
      <c r="F805" s="64"/>
      <c r="G805" s="62"/>
    </row>
    <row r="806" spans="1:7" ht="12.75">
      <c r="A806" s="279"/>
      <c r="B806" s="74"/>
      <c r="E806" s="62"/>
      <c r="F806" s="64"/>
      <c r="G806" s="62"/>
    </row>
    <row r="807" spans="1:7" ht="12.75">
      <c r="A807" s="279"/>
      <c r="B807" s="74"/>
      <c r="E807" s="62"/>
      <c r="F807" s="64"/>
      <c r="G807" s="62"/>
    </row>
    <row r="808" spans="1:7" ht="12.75">
      <c r="A808" s="279"/>
      <c r="B808" s="74"/>
      <c r="E808" s="62"/>
      <c r="F808" s="64"/>
      <c r="G808" s="62"/>
    </row>
    <row r="809" spans="1:7" ht="12.75">
      <c r="A809" s="279"/>
      <c r="B809" s="74"/>
      <c r="E809" s="62"/>
      <c r="F809" s="64"/>
      <c r="G809" s="62"/>
    </row>
    <row r="810" spans="1:7" ht="12.75">
      <c r="A810" s="279"/>
      <c r="B810" s="74"/>
      <c r="E810" s="62"/>
      <c r="F810" s="64"/>
      <c r="G810" s="62"/>
    </row>
    <row r="811" spans="1:7" ht="12.75">
      <c r="A811" s="279"/>
      <c r="B811" s="74"/>
      <c r="E811" s="62"/>
      <c r="F811" s="64"/>
      <c r="G811" s="62"/>
    </row>
    <row r="812" spans="1:7" ht="12.75">
      <c r="A812" s="279"/>
      <c r="B812" s="74"/>
      <c r="E812" s="62"/>
      <c r="F812" s="64"/>
      <c r="G812" s="62"/>
    </row>
    <row r="813" spans="1:7" ht="12.75">
      <c r="A813" s="279"/>
      <c r="B813" s="74"/>
      <c r="E813" s="62"/>
      <c r="F813" s="64"/>
      <c r="G813" s="62"/>
    </row>
    <row r="814" spans="1:7" ht="12.75">
      <c r="A814" s="279"/>
      <c r="B814" s="74"/>
      <c r="E814" s="62"/>
      <c r="F814" s="64"/>
      <c r="G814" s="62"/>
    </row>
    <row r="815" spans="1:7" ht="12.75">
      <c r="A815" s="279"/>
      <c r="B815" s="74"/>
      <c r="E815" s="62"/>
      <c r="F815" s="64"/>
      <c r="G815" s="62"/>
    </row>
    <row r="816" spans="1:7" ht="12.75">
      <c r="A816" s="279"/>
      <c r="B816" s="74"/>
      <c r="E816" s="62"/>
      <c r="F816" s="64"/>
      <c r="G816" s="62"/>
    </row>
    <row r="817" spans="1:7" ht="12.75">
      <c r="A817" s="279"/>
      <c r="B817" s="74"/>
      <c r="E817" s="62"/>
      <c r="F817" s="64"/>
      <c r="G817" s="62"/>
    </row>
    <row r="818" spans="1:7" ht="12.75">
      <c r="A818" s="279"/>
      <c r="B818" s="74"/>
      <c r="E818" s="62"/>
      <c r="F818" s="64"/>
      <c r="G818" s="62"/>
    </row>
    <row r="819" spans="1:7" ht="12.75">
      <c r="A819" s="279"/>
      <c r="B819" s="74"/>
      <c r="E819" s="62"/>
      <c r="F819" s="64"/>
      <c r="G819" s="62"/>
    </row>
    <row r="820" spans="1:7" ht="12.75">
      <c r="A820" s="279"/>
      <c r="B820" s="74"/>
      <c r="E820" s="62"/>
      <c r="F820" s="64"/>
      <c r="G820" s="62"/>
    </row>
    <row r="821" spans="1:7" ht="12.75">
      <c r="A821" s="279"/>
      <c r="B821" s="74"/>
      <c r="E821" s="62"/>
      <c r="F821" s="64"/>
      <c r="G821" s="62"/>
    </row>
    <row r="822" spans="1:7" ht="12.75">
      <c r="A822" s="279"/>
      <c r="B822" s="74"/>
      <c r="E822" s="62"/>
      <c r="F822" s="64"/>
      <c r="G822" s="62"/>
    </row>
    <row r="823" spans="1:7" ht="12.75">
      <c r="A823" s="279"/>
      <c r="B823" s="74"/>
      <c r="E823" s="62"/>
      <c r="F823" s="64"/>
      <c r="G823" s="62"/>
    </row>
    <row r="824" spans="1:7" ht="12.75">
      <c r="A824" s="279"/>
      <c r="B824" s="74"/>
      <c r="E824" s="62"/>
      <c r="F824" s="64"/>
      <c r="G824" s="62"/>
    </row>
    <row r="825" spans="1:7" ht="12.75">
      <c r="A825" s="279"/>
      <c r="B825" s="74"/>
      <c r="E825" s="62"/>
      <c r="F825" s="64"/>
      <c r="G825" s="62"/>
    </row>
    <row r="826" spans="1:7" ht="12.75">
      <c r="A826" s="279"/>
      <c r="B826" s="74"/>
      <c r="E826" s="62"/>
      <c r="F826" s="64"/>
      <c r="G826" s="62"/>
    </row>
    <row r="827" spans="1:7" ht="12.75">
      <c r="A827" s="279"/>
      <c r="B827" s="74"/>
      <c r="E827" s="62"/>
      <c r="F827" s="64"/>
      <c r="G827" s="62"/>
    </row>
    <row r="828" spans="1:7" ht="12.75">
      <c r="A828" s="279"/>
      <c r="B828" s="74"/>
      <c r="E828" s="62"/>
      <c r="F828" s="64"/>
      <c r="G828" s="62"/>
    </row>
    <row r="829" spans="1:7" ht="12.75">
      <c r="A829" s="279"/>
      <c r="B829" s="74"/>
      <c r="E829" s="62"/>
      <c r="F829" s="64"/>
      <c r="G829" s="62"/>
    </row>
    <row r="830" spans="1:7" ht="12.75">
      <c r="A830" s="279"/>
      <c r="B830" s="74"/>
      <c r="E830" s="62"/>
      <c r="F830" s="64"/>
      <c r="G830" s="62"/>
    </row>
    <row r="831" spans="1:7" ht="12.75">
      <c r="A831" s="279"/>
      <c r="B831" s="74"/>
      <c r="E831" s="62"/>
      <c r="F831" s="64"/>
      <c r="G831" s="62"/>
    </row>
    <row r="832" spans="1:7" ht="12.75">
      <c r="A832" s="279"/>
      <c r="B832" s="74"/>
      <c r="E832" s="62"/>
      <c r="F832" s="64"/>
      <c r="G832" s="62"/>
    </row>
    <row r="833" spans="1:7" ht="12.75">
      <c r="A833" s="279"/>
      <c r="B833" s="74"/>
      <c r="E833" s="62"/>
      <c r="F833" s="64"/>
      <c r="G833" s="62"/>
    </row>
    <row r="834" spans="1:7" ht="12.75">
      <c r="A834" s="279"/>
      <c r="B834" s="74"/>
      <c r="E834" s="62"/>
      <c r="F834" s="64"/>
      <c r="G834" s="62"/>
    </row>
    <row r="835" spans="1:7" ht="12.75">
      <c r="A835" s="279"/>
      <c r="B835" s="74"/>
      <c r="E835" s="62"/>
      <c r="F835" s="64"/>
      <c r="G835" s="62"/>
    </row>
    <row r="836" spans="1:7" ht="12.75">
      <c r="A836" s="279"/>
      <c r="B836" s="74"/>
      <c r="E836" s="62"/>
      <c r="F836" s="64"/>
      <c r="G836" s="62"/>
    </row>
    <row r="837" spans="1:7" ht="12.75">
      <c r="A837" s="279"/>
      <c r="B837" s="74"/>
      <c r="E837" s="62"/>
      <c r="F837" s="64"/>
      <c r="G837" s="62"/>
    </row>
    <row r="838" spans="1:7" ht="12.75">
      <c r="A838" s="279"/>
      <c r="B838" s="74"/>
      <c r="E838" s="62"/>
      <c r="F838" s="64"/>
      <c r="G838" s="62"/>
    </row>
    <row r="839" spans="1:7" ht="12.75">
      <c r="A839" s="279"/>
      <c r="B839" s="74"/>
      <c r="E839" s="62"/>
      <c r="F839" s="64"/>
      <c r="G839" s="62"/>
    </row>
    <row r="840" spans="1:7" ht="12.75">
      <c r="A840" s="279"/>
      <c r="B840" s="74"/>
      <c r="E840" s="62"/>
      <c r="F840" s="64"/>
      <c r="G840" s="62"/>
    </row>
    <row r="841" spans="1:7" ht="12.75">
      <c r="A841" s="279"/>
      <c r="B841" s="74"/>
      <c r="E841" s="62"/>
      <c r="F841" s="64"/>
      <c r="G841" s="62"/>
    </row>
    <row r="842" spans="1:7" ht="12.75">
      <c r="A842" s="279"/>
      <c r="B842" s="74"/>
      <c r="E842" s="62"/>
      <c r="F842" s="64"/>
      <c r="G842" s="62"/>
    </row>
    <row r="843" spans="1:7" ht="12.75">
      <c r="A843" s="279"/>
      <c r="B843" s="74"/>
      <c r="E843" s="62"/>
      <c r="F843" s="64"/>
      <c r="G843" s="62"/>
    </row>
    <row r="844" spans="1:7" ht="12.75">
      <c r="A844" s="279"/>
      <c r="B844" s="74"/>
      <c r="E844" s="62"/>
      <c r="F844" s="64"/>
      <c r="G844" s="62"/>
    </row>
    <row r="845" spans="1:7" ht="12.75">
      <c r="A845" s="279"/>
      <c r="B845" s="74"/>
      <c r="E845" s="62"/>
      <c r="F845" s="64"/>
      <c r="G845" s="62"/>
    </row>
    <row r="846" spans="1:7" ht="12.75">
      <c r="A846" s="279"/>
      <c r="B846" s="74"/>
      <c r="E846" s="62"/>
      <c r="F846" s="64"/>
      <c r="G846" s="62"/>
    </row>
    <row r="847" spans="1:7" ht="12.75">
      <c r="A847" s="279"/>
      <c r="B847" s="74"/>
      <c r="E847" s="62"/>
      <c r="F847" s="64"/>
      <c r="G847" s="62"/>
    </row>
    <row r="848" spans="1:7" ht="12.75">
      <c r="A848" s="279"/>
      <c r="B848" s="74"/>
      <c r="E848" s="62"/>
      <c r="F848" s="64"/>
      <c r="G848" s="62"/>
    </row>
    <row r="849" spans="1:7" ht="12.75">
      <c r="A849" s="279"/>
      <c r="B849" s="74"/>
      <c r="E849" s="62"/>
      <c r="F849" s="64"/>
      <c r="G849" s="62"/>
    </row>
    <row r="850" spans="1:7" ht="12.75">
      <c r="A850" s="279"/>
      <c r="B850" s="74"/>
      <c r="E850" s="62"/>
      <c r="F850" s="64"/>
      <c r="G850" s="62"/>
    </row>
    <row r="851" spans="1:7" ht="12.75">
      <c r="A851" s="279"/>
      <c r="B851" s="74"/>
      <c r="E851" s="62"/>
      <c r="F851" s="64"/>
      <c r="G851" s="62"/>
    </row>
    <row r="852" spans="1:7" ht="12.75">
      <c r="A852" s="279"/>
      <c r="B852" s="74"/>
      <c r="E852" s="62"/>
      <c r="F852" s="64"/>
      <c r="G852" s="62"/>
    </row>
    <row r="853" spans="1:7" ht="12.75">
      <c r="A853" s="279"/>
      <c r="B853" s="74"/>
      <c r="E853" s="62"/>
      <c r="F853" s="64"/>
      <c r="G853" s="62"/>
    </row>
    <row r="854" spans="1:7" ht="12.75">
      <c r="A854" s="279"/>
      <c r="B854" s="74"/>
      <c r="E854" s="62"/>
      <c r="F854" s="64"/>
      <c r="G854" s="62"/>
    </row>
    <row r="855" spans="1:7" ht="12.75">
      <c r="A855" s="279"/>
      <c r="B855" s="74"/>
      <c r="E855" s="62"/>
      <c r="F855" s="64"/>
      <c r="G855" s="62"/>
    </row>
    <row r="856" spans="1:7" ht="12.75">
      <c r="A856" s="279"/>
      <c r="B856" s="74"/>
      <c r="E856" s="62"/>
      <c r="F856" s="64"/>
      <c r="G856" s="62"/>
    </row>
    <row r="857" spans="1:7" ht="12.75">
      <c r="A857" s="279"/>
      <c r="B857" s="74"/>
      <c r="E857" s="62"/>
      <c r="F857" s="64"/>
      <c r="G857" s="62"/>
    </row>
    <row r="858" spans="1:7" ht="12.75">
      <c r="A858" s="279"/>
      <c r="B858" s="74"/>
      <c r="E858" s="62"/>
      <c r="F858" s="64"/>
      <c r="G858" s="62"/>
    </row>
    <row r="859" spans="1:7" ht="12.75">
      <c r="A859" s="279"/>
      <c r="B859" s="74"/>
      <c r="E859" s="62"/>
      <c r="F859" s="64"/>
      <c r="G859" s="62"/>
    </row>
    <row r="860" spans="1:7" ht="12.75">
      <c r="A860" s="279"/>
      <c r="B860" s="74"/>
      <c r="E860" s="62"/>
      <c r="F860" s="64"/>
      <c r="G860" s="62"/>
    </row>
    <row r="861" spans="1:7" ht="12.75">
      <c r="A861" s="279"/>
      <c r="B861" s="74"/>
      <c r="E861" s="62"/>
      <c r="F861" s="64"/>
      <c r="G861" s="62"/>
    </row>
    <row r="862" spans="1:7" ht="12.75">
      <c r="A862" s="279"/>
      <c r="B862" s="74"/>
      <c r="E862" s="62"/>
      <c r="F862" s="64"/>
      <c r="G862" s="62"/>
    </row>
    <row r="863" spans="1:7" ht="12.75">
      <c r="A863" s="279"/>
      <c r="B863" s="74"/>
      <c r="E863" s="62"/>
      <c r="F863" s="64"/>
      <c r="G863" s="62"/>
    </row>
    <row r="864" spans="1:7" ht="12.75">
      <c r="A864" s="279"/>
      <c r="B864" s="74"/>
      <c r="E864" s="62"/>
      <c r="F864" s="64"/>
      <c r="G864" s="62"/>
    </row>
    <row r="865" spans="1:7" ht="12.75">
      <c r="A865" s="279"/>
      <c r="B865" s="74"/>
      <c r="E865" s="62"/>
      <c r="F865" s="64"/>
      <c r="G865" s="62"/>
    </row>
    <row r="866" spans="1:7" ht="12.75">
      <c r="A866" s="279"/>
      <c r="B866" s="74"/>
      <c r="E866" s="62"/>
      <c r="F866" s="64"/>
      <c r="G866" s="62"/>
    </row>
    <row r="867" spans="1:7" ht="12.75">
      <c r="A867" s="279"/>
      <c r="B867" s="74"/>
      <c r="E867" s="62"/>
      <c r="F867" s="64"/>
      <c r="G867" s="62"/>
    </row>
    <row r="868" spans="1:7" ht="12.75">
      <c r="A868" s="279"/>
      <c r="B868" s="74"/>
      <c r="E868" s="62"/>
      <c r="F868" s="64"/>
      <c r="G868" s="62"/>
    </row>
    <row r="869" spans="1:7" ht="12.75">
      <c r="A869" s="279"/>
      <c r="B869" s="74"/>
      <c r="E869" s="62"/>
      <c r="F869" s="64"/>
      <c r="G869" s="62"/>
    </row>
    <row r="870" spans="1:7" ht="12.75">
      <c r="A870" s="279"/>
      <c r="B870" s="74"/>
      <c r="E870" s="62"/>
      <c r="F870" s="64"/>
      <c r="G870" s="62"/>
    </row>
    <row r="871" spans="1:7" ht="12.75">
      <c r="A871" s="279"/>
      <c r="B871" s="74"/>
      <c r="E871" s="62"/>
      <c r="F871" s="64"/>
      <c r="G871" s="62"/>
    </row>
    <row r="872" spans="1:7" ht="12.75">
      <c r="A872" s="279"/>
      <c r="B872" s="74"/>
      <c r="E872" s="62"/>
      <c r="F872" s="64"/>
      <c r="G872" s="62"/>
    </row>
    <row r="873" spans="1:7" ht="12.75">
      <c r="A873" s="279"/>
      <c r="B873" s="74"/>
      <c r="E873" s="62"/>
      <c r="F873" s="64"/>
      <c r="G873" s="62"/>
    </row>
    <row r="874" spans="1:7" ht="12.75">
      <c r="A874" s="279"/>
      <c r="B874" s="74"/>
      <c r="E874" s="62"/>
      <c r="F874" s="64"/>
      <c r="G874" s="62"/>
    </row>
    <row r="875" spans="1:7" ht="12.75">
      <c r="A875" s="279"/>
      <c r="B875" s="74"/>
      <c r="E875" s="62"/>
      <c r="F875" s="64"/>
      <c r="G875" s="62"/>
    </row>
    <row r="876" spans="1:7" ht="12.75">
      <c r="A876" s="279"/>
      <c r="B876" s="74"/>
      <c r="E876" s="62"/>
      <c r="F876" s="64"/>
      <c r="G876" s="62"/>
    </row>
    <row r="877" spans="1:7" ht="12.75">
      <c r="A877" s="279"/>
      <c r="B877" s="74"/>
      <c r="E877" s="62"/>
      <c r="F877" s="64"/>
      <c r="G877" s="62"/>
    </row>
    <row r="878" spans="1:7" ht="12.75">
      <c r="A878" s="279"/>
      <c r="B878" s="74"/>
      <c r="E878" s="62"/>
      <c r="F878" s="64"/>
      <c r="G878" s="62"/>
    </row>
    <row r="879" spans="1:7" ht="12.75">
      <c r="A879" s="279"/>
      <c r="B879" s="74"/>
      <c r="E879" s="62"/>
      <c r="F879" s="64"/>
      <c r="G879" s="62"/>
    </row>
    <row r="880" spans="1:7" ht="12.75">
      <c r="A880" s="279"/>
      <c r="B880" s="74"/>
      <c r="E880" s="62"/>
      <c r="F880" s="64"/>
      <c r="G880" s="62"/>
    </row>
    <row r="881" spans="1:7" ht="12.75">
      <c r="A881" s="279"/>
      <c r="B881" s="74"/>
      <c r="E881" s="62"/>
      <c r="F881" s="64"/>
      <c r="G881" s="62"/>
    </row>
    <row r="882" spans="1:7" ht="12.75">
      <c r="A882" s="279"/>
      <c r="B882" s="74"/>
      <c r="E882" s="62"/>
      <c r="F882" s="64"/>
      <c r="G882" s="62"/>
    </row>
    <row r="883" spans="1:7" ht="12.75">
      <c r="A883" s="279"/>
      <c r="B883" s="74"/>
      <c r="E883" s="62"/>
      <c r="F883" s="64"/>
      <c r="G883" s="62"/>
    </row>
    <row r="884" spans="1:7" ht="12.75">
      <c r="A884" s="279"/>
      <c r="B884" s="74"/>
      <c r="E884" s="62"/>
      <c r="F884" s="64"/>
      <c r="G884" s="62"/>
    </row>
    <row r="885" spans="1:7" ht="12.75">
      <c r="A885" s="279"/>
      <c r="B885" s="74"/>
      <c r="E885" s="62"/>
      <c r="F885" s="64"/>
      <c r="G885" s="62"/>
    </row>
    <row r="886" spans="1:7" ht="12.75">
      <c r="A886" s="279"/>
      <c r="B886" s="74"/>
      <c r="E886" s="62"/>
      <c r="F886" s="64"/>
      <c r="G886" s="62"/>
    </row>
    <row r="887" spans="1:7" ht="12.75">
      <c r="A887" s="279"/>
      <c r="B887" s="74"/>
      <c r="E887" s="62"/>
      <c r="F887" s="64"/>
      <c r="G887" s="62"/>
    </row>
    <row r="888" spans="1:7" ht="12.75">
      <c r="A888" s="279"/>
      <c r="B888" s="74"/>
      <c r="E888" s="62"/>
      <c r="F888" s="64"/>
      <c r="G888" s="62"/>
    </row>
    <row r="889" spans="1:7" ht="12.75">
      <c r="A889" s="279"/>
      <c r="B889" s="74"/>
      <c r="E889" s="62"/>
      <c r="F889" s="64"/>
      <c r="G889" s="62"/>
    </row>
    <row r="890" spans="1:7" ht="12.75">
      <c r="A890" s="279"/>
      <c r="B890" s="74"/>
      <c r="E890" s="62"/>
      <c r="F890" s="64"/>
      <c r="G890" s="62"/>
    </row>
    <row r="891" spans="1:7" ht="12.75">
      <c r="A891" s="279"/>
      <c r="B891" s="74"/>
      <c r="E891" s="62"/>
      <c r="F891" s="64"/>
      <c r="G891" s="62"/>
    </row>
    <row r="892" spans="1:7" ht="12.75">
      <c r="A892" s="279"/>
      <c r="B892" s="74"/>
      <c r="E892" s="62"/>
      <c r="F892" s="64"/>
      <c r="G892" s="62"/>
    </row>
    <row r="893" spans="1:7" ht="12.75">
      <c r="A893" s="279"/>
      <c r="B893" s="74"/>
      <c r="E893" s="62"/>
      <c r="F893" s="64"/>
      <c r="G893" s="62"/>
    </row>
    <row r="894" spans="1:7" ht="12.75">
      <c r="A894" s="279"/>
      <c r="B894" s="74"/>
      <c r="E894" s="62"/>
      <c r="F894" s="64"/>
      <c r="G894" s="62"/>
    </row>
    <row r="895" spans="1:7" ht="12.75">
      <c r="A895" s="279"/>
      <c r="B895" s="74"/>
      <c r="E895" s="62"/>
      <c r="F895" s="64"/>
      <c r="G895" s="62"/>
    </row>
    <row r="896" spans="1:7" ht="12.75">
      <c r="A896" s="279"/>
      <c r="B896" s="74"/>
      <c r="E896" s="62"/>
      <c r="F896" s="64"/>
      <c r="G896" s="62"/>
    </row>
    <row r="897" spans="1:7" ht="12.75">
      <c r="A897" s="279"/>
      <c r="B897" s="74"/>
      <c r="E897" s="62"/>
      <c r="F897" s="64"/>
      <c r="G897" s="62"/>
    </row>
    <row r="898" spans="1:7" ht="12.75">
      <c r="A898" s="279"/>
      <c r="B898" s="74"/>
      <c r="E898" s="62"/>
      <c r="F898" s="64"/>
      <c r="G898" s="62"/>
    </row>
    <row r="899" spans="1:7" ht="12.75">
      <c r="A899" s="279"/>
      <c r="B899" s="74"/>
      <c r="E899" s="62"/>
      <c r="F899" s="64"/>
      <c r="G899" s="62"/>
    </row>
    <row r="900" spans="1:7" ht="12.75">
      <c r="A900" s="279"/>
      <c r="B900" s="74"/>
      <c r="E900" s="62"/>
      <c r="F900" s="64"/>
      <c r="G900" s="62"/>
    </row>
    <row r="901" spans="1:7" ht="12.75">
      <c r="A901" s="279"/>
      <c r="B901" s="74"/>
      <c r="E901" s="62"/>
      <c r="F901" s="64"/>
      <c r="G901" s="62"/>
    </row>
    <row r="902" spans="1:7" ht="12.75">
      <c r="A902" s="279"/>
      <c r="B902" s="74"/>
      <c r="E902" s="62"/>
      <c r="F902" s="64"/>
      <c r="G902" s="62"/>
    </row>
    <row r="903" spans="1:7" ht="12.75">
      <c r="A903" s="279"/>
      <c r="B903" s="74"/>
      <c r="E903" s="62"/>
      <c r="F903" s="64"/>
      <c r="G903" s="62"/>
    </row>
    <row r="904" spans="1:7" ht="12.75">
      <c r="A904" s="279"/>
      <c r="B904" s="74"/>
      <c r="E904" s="62"/>
      <c r="F904" s="64"/>
      <c r="G904" s="62"/>
    </row>
    <row r="905" spans="1:7" ht="12.75">
      <c r="A905" s="279"/>
      <c r="B905" s="74"/>
      <c r="E905" s="62"/>
      <c r="F905" s="64"/>
      <c r="G905" s="62"/>
    </row>
    <row r="906" spans="1:7" ht="12.75">
      <c r="A906" s="279"/>
      <c r="B906" s="74"/>
      <c r="E906" s="62"/>
      <c r="F906" s="64"/>
      <c r="G906" s="62"/>
    </row>
    <row r="907" spans="1:7" ht="12.75">
      <c r="A907" s="279"/>
      <c r="B907" s="74"/>
      <c r="E907" s="62"/>
      <c r="F907" s="64"/>
      <c r="G907" s="62"/>
    </row>
    <row r="908" spans="1:7" ht="12.75">
      <c r="A908" s="279"/>
      <c r="B908" s="74"/>
      <c r="E908" s="62"/>
      <c r="F908" s="64"/>
      <c r="G908" s="62"/>
    </row>
    <row r="909" spans="1:7" ht="12.75">
      <c r="A909" s="279"/>
      <c r="B909" s="74"/>
      <c r="E909" s="62"/>
      <c r="F909" s="64"/>
      <c r="G909" s="62"/>
    </row>
    <row r="910" spans="1:7" ht="12.75">
      <c r="A910" s="279"/>
      <c r="B910" s="74"/>
      <c r="E910" s="62"/>
      <c r="F910" s="64"/>
      <c r="G910" s="62"/>
    </row>
    <row r="911" spans="1:7" ht="12.75">
      <c r="A911" s="279"/>
      <c r="B911" s="74"/>
      <c r="E911" s="62"/>
      <c r="F911" s="64"/>
      <c r="G911" s="62"/>
    </row>
    <row r="912" spans="1:7" ht="12.75">
      <c r="A912" s="279"/>
      <c r="B912" s="74"/>
      <c r="E912" s="62"/>
      <c r="F912" s="64"/>
      <c r="G912" s="62"/>
    </row>
    <row r="913" spans="1:7" ht="12.75">
      <c r="A913" s="279"/>
      <c r="B913" s="74"/>
      <c r="E913" s="62"/>
      <c r="F913" s="64"/>
      <c r="G913" s="62"/>
    </row>
    <row r="914" spans="1:7" ht="12.75">
      <c r="A914" s="279"/>
      <c r="B914" s="74"/>
      <c r="E914" s="62"/>
      <c r="F914" s="64"/>
      <c r="G914" s="62"/>
    </row>
    <row r="915" spans="1:7" ht="12.75">
      <c r="A915" s="279"/>
      <c r="B915" s="74"/>
      <c r="E915" s="62"/>
      <c r="F915" s="64"/>
      <c r="G915" s="62"/>
    </row>
    <row r="916" spans="1:7" ht="12.75">
      <c r="A916" s="279"/>
      <c r="B916" s="74"/>
      <c r="E916" s="62"/>
      <c r="F916" s="64"/>
      <c r="G916" s="62"/>
    </row>
    <row r="917" spans="1:7" ht="12.75">
      <c r="A917" s="279"/>
      <c r="B917" s="74"/>
      <c r="E917" s="62"/>
      <c r="F917" s="64"/>
      <c r="G917" s="62"/>
    </row>
    <row r="918" spans="1:7" ht="12.75">
      <c r="A918" s="279"/>
      <c r="B918" s="74"/>
      <c r="E918" s="62"/>
      <c r="F918" s="64"/>
      <c r="G918" s="62"/>
    </row>
    <row r="919" spans="1:7" ht="12.75">
      <c r="A919" s="279"/>
      <c r="B919" s="74"/>
      <c r="E919" s="62"/>
      <c r="F919" s="64"/>
      <c r="G919" s="62"/>
    </row>
    <row r="920" spans="1:7" ht="12.75">
      <c r="A920" s="279"/>
      <c r="B920" s="74"/>
      <c r="E920" s="62"/>
      <c r="F920" s="64"/>
      <c r="G920" s="62"/>
    </row>
    <row r="921" spans="1:7" ht="12.75">
      <c r="A921" s="279"/>
      <c r="B921" s="74"/>
      <c r="E921" s="62"/>
      <c r="F921" s="64"/>
      <c r="G921" s="62"/>
    </row>
    <row r="922" spans="1:7" ht="12.75">
      <c r="A922" s="279"/>
      <c r="B922" s="74"/>
      <c r="E922" s="62"/>
      <c r="F922" s="64"/>
      <c r="G922" s="62"/>
    </row>
    <row r="923" spans="1:7" ht="12.75">
      <c r="A923" s="279"/>
      <c r="B923" s="74"/>
      <c r="E923" s="62"/>
      <c r="F923" s="64"/>
      <c r="G923" s="62"/>
    </row>
    <row r="924" spans="1:7" ht="12.75">
      <c r="A924" s="279"/>
      <c r="B924" s="74"/>
      <c r="E924" s="62"/>
      <c r="F924" s="64"/>
      <c r="G924" s="62"/>
    </row>
    <row r="925" spans="1:7" ht="12.75">
      <c r="A925" s="279"/>
      <c r="B925" s="74"/>
      <c r="E925" s="62"/>
      <c r="F925" s="64"/>
      <c r="G925" s="62"/>
    </row>
    <row r="926" spans="1:7" ht="12.75">
      <c r="A926" s="279"/>
      <c r="B926" s="74"/>
      <c r="E926" s="62"/>
      <c r="F926" s="64"/>
      <c r="G926" s="62"/>
    </row>
    <row r="927" spans="1:7" ht="12.75">
      <c r="A927" s="279"/>
      <c r="B927" s="74"/>
      <c r="E927" s="62"/>
      <c r="F927" s="64"/>
      <c r="G927" s="62"/>
    </row>
    <row r="928" spans="1:7" ht="12.75">
      <c r="A928" s="279"/>
      <c r="B928" s="74"/>
      <c r="E928" s="62"/>
      <c r="F928" s="64"/>
      <c r="G928" s="62"/>
    </row>
    <row r="929" spans="1:7" ht="12.75">
      <c r="A929" s="279"/>
      <c r="B929" s="74"/>
      <c r="E929" s="62"/>
      <c r="F929" s="64"/>
      <c r="G929" s="62"/>
    </row>
    <row r="930" spans="1:7" ht="12.75">
      <c r="A930" s="279"/>
      <c r="B930" s="74"/>
      <c r="E930" s="62"/>
      <c r="F930" s="64"/>
      <c r="G930" s="62"/>
    </row>
    <row r="931" spans="1:7" ht="12.75">
      <c r="A931" s="279"/>
      <c r="B931" s="74"/>
      <c r="E931" s="62"/>
      <c r="F931" s="64"/>
      <c r="G931" s="62"/>
    </row>
    <row r="932" spans="1:7" ht="12.75">
      <c r="A932" s="279"/>
      <c r="B932" s="74"/>
      <c r="E932" s="62"/>
      <c r="F932" s="64"/>
      <c r="G932" s="62"/>
    </row>
    <row r="933" spans="1:7" ht="12.75">
      <c r="A933" s="279"/>
      <c r="B933" s="74"/>
      <c r="E933" s="62"/>
      <c r="F933" s="64"/>
      <c r="G933" s="62"/>
    </row>
    <row r="934" spans="1:7" ht="12.75">
      <c r="A934" s="279"/>
      <c r="B934" s="74"/>
      <c r="E934" s="62"/>
      <c r="F934" s="64"/>
      <c r="G934" s="62"/>
    </row>
    <row r="935" spans="1:7" ht="12.75">
      <c r="A935" s="279"/>
      <c r="B935" s="74"/>
      <c r="E935" s="62"/>
      <c r="F935" s="64"/>
      <c r="G935" s="62"/>
    </row>
    <row r="936" spans="1:7" ht="12.75">
      <c r="A936" s="279"/>
      <c r="B936" s="74"/>
      <c r="E936" s="62"/>
      <c r="F936" s="64"/>
      <c r="G936" s="62"/>
    </row>
    <row r="937" spans="1:7" ht="12.75">
      <c r="A937" s="279"/>
      <c r="B937" s="74"/>
      <c r="E937" s="62"/>
      <c r="F937" s="64"/>
      <c r="G937" s="62"/>
    </row>
    <row r="938" spans="1:7" ht="12.75">
      <c r="A938" s="279"/>
      <c r="B938" s="74"/>
      <c r="E938" s="62"/>
      <c r="F938" s="64"/>
      <c r="G938" s="62"/>
    </row>
    <row r="939" spans="1:7" ht="12.75">
      <c r="A939" s="279"/>
      <c r="B939" s="74"/>
      <c r="E939" s="62"/>
      <c r="F939" s="64"/>
      <c r="G939" s="62"/>
    </row>
    <row r="940" spans="1:7" ht="12.75">
      <c r="A940" s="279"/>
      <c r="B940" s="74"/>
      <c r="E940" s="62"/>
      <c r="F940" s="64"/>
      <c r="G940" s="62"/>
    </row>
    <row r="941" spans="1:7" ht="12.75">
      <c r="A941" s="279"/>
      <c r="B941" s="74"/>
      <c r="E941" s="62"/>
      <c r="F941" s="64"/>
      <c r="G941" s="62"/>
    </row>
    <row r="942" spans="1:7" ht="12.75">
      <c r="A942" s="279"/>
      <c r="B942" s="74"/>
      <c r="E942" s="62"/>
      <c r="F942" s="64"/>
      <c r="G942" s="62"/>
    </row>
    <row r="943" spans="1:7" ht="12.75">
      <c r="A943" s="279"/>
      <c r="B943" s="74"/>
      <c r="E943" s="62"/>
      <c r="F943" s="64"/>
      <c r="G943" s="62"/>
    </row>
    <row r="944" spans="1:7" ht="12.75">
      <c r="A944" s="279"/>
      <c r="B944" s="74"/>
      <c r="E944" s="62"/>
      <c r="F944" s="64"/>
      <c r="G944" s="62"/>
    </row>
    <row r="945" spans="1:7" ht="12.75">
      <c r="A945" s="279"/>
      <c r="B945" s="74"/>
      <c r="E945" s="62"/>
      <c r="F945" s="64"/>
      <c r="G945" s="62"/>
    </row>
    <row r="946" spans="1:7" ht="12.75">
      <c r="A946" s="279"/>
      <c r="B946" s="74"/>
      <c r="E946" s="62"/>
      <c r="F946" s="64"/>
      <c r="G946" s="62"/>
    </row>
    <row r="947" spans="1:7" ht="12.75">
      <c r="A947" s="279"/>
      <c r="B947" s="74"/>
      <c r="E947" s="62"/>
      <c r="F947" s="64"/>
      <c r="G947" s="62"/>
    </row>
    <row r="948" spans="1:7" ht="12.75">
      <c r="A948" s="279"/>
      <c r="B948" s="74"/>
      <c r="E948" s="62"/>
      <c r="F948" s="64"/>
      <c r="G948" s="62"/>
    </row>
    <row r="949" spans="1:7" ht="12.75">
      <c r="A949" s="279"/>
      <c r="B949" s="74"/>
      <c r="E949" s="62"/>
      <c r="F949" s="64"/>
      <c r="G949" s="62"/>
    </row>
    <row r="950" spans="1:7" ht="12.75">
      <c r="A950" s="279"/>
      <c r="B950" s="74"/>
      <c r="E950" s="62"/>
      <c r="F950" s="64"/>
      <c r="G950" s="62"/>
    </row>
    <row r="951" spans="1:7" ht="12.75">
      <c r="A951" s="279"/>
      <c r="B951" s="74"/>
      <c r="E951" s="62"/>
      <c r="F951" s="64"/>
      <c r="G951" s="62"/>
    </row>
    <row r="952" spans="1:7" ht="12.75">
      <c r="A952" s="279"/>
      <c r="B952" s="74"/>
      <c r="E952" s="62"/>
      <c r="F952" s="64"/>
      <c r="G952" s="62"/>
    </row>
    <row r="953" spans="1:7" ht="12.75">
      <c r="A953" s="279"/>
      <c r="B953" s="74"/>
      <c r="E953" s="62"/>
      <c r="F953" s="64"/>
      <c r="G953" s="62"/>
    </row>
    <row r="954" spans="1:7" ht="12.75">
      <c r="A954" s="279"/>
      <c r="B954" s="74"/>
      <c r="E954" s="62"/>
      <c r="F954" s="64"/>
      <c r="G954" s="62"/>
    </row>
    <row r="955" spans="1:7" ht="12.75">
      <c r="A955" s="279"/>
      <c r="B955" s="74"/>
      <c r="E955" s="62"/>
      <c r="F955" s="64"/>
      <c r="G955" s="62"/>
    </row>
    <row r="956" spans="1:7" ht="12.75">
      <c r="A956" s="279"/>
      <c r="B956" s="74"/>
      <c r="E956" s="62"/>
      <c r="F956" s="64"/>
      <c r="G956" s="62"/>
    </row>
    <row r="957" spans="1:7" ht="12.75">
      <c r="A957" s="279"/>
      <c r="B957" s="74"/>
      <c r="E957" s="62"/>
      <c r="F957" s="64"/>
      <c r="G957" s="62"/>
    </row>
    <row r="958" spans="1:7" ht="12.75">
      <c r="A958" s="279"/>
      <c r="B958" s="74"/>
      <c r="E958" s="62"/>
      <c r="F958" s="64"/>
      <c r="G958" s="62"/>
    </row>
    <row r="959" spans="1:7" ht="12.75">
      <c r="A959" s="279"/>
      <c r="B959" s="74"/>
      <c r="E959" s="62"/>
      <c r="F959" s="64"/>
      <c r="G959" s="62"/>
    </row>
    <row r="960" spans="1:7" ht="12.75">
      <c r="A960" s="279"/>
      <c r="B960" s="74"/>
      <c r="E960" s="62"/>
      <c r="F960" s="64"/>
      <c r="G960" s="62"/>
    </row>
    <row r="961" spans="1:7" ht="12.75">
      <c r="A961" s="279"/>
      <c r="B961" s="74"/>
      <c r="E961" s="62"/>
      <c r="F961" s="64"/>
      <c r="G961" s="62"/>
    </row>
    <row r="962" spans="1:7" ht="12.75">
      <c r="A962" s="279"/>
      <c r="B962" s="74"/>
      <c r="E962" s="62"/>
      <c r="F962" s="64"/>
      <c r="G962" s="62"/>
    </row>
    <row r="963" spans="1:7" ht="12.75">
      <c r="A963" s="279"/>
      <c r="B963" s="74"/>
      <c r="E963" s="62"/>
      <c r="F963" s="64"/>
      <c r="G963" s="62"/>
    </row>
    <row r="964" spans="1:7" ht="12.75">
      <c r="A964" s="279"/>
      <c r="B964" s="74"/>
      <c r="E964" s="62"/>
      <c r="F964" s="64"/>
      <c r="G964" s="62"/>
    </row>
    <row r="965" spans="1:7" ht="12.75">
      <c r="A965" s="279"/>
      <c r="B965" s="74"/>
      <c r="E965" s="62"/>
      <c r="F965" s="64"/>
      <c r="G965" s="62"/>
    </row>
    <row r="966" spans="1:7" ht="12.75">
      <c r="A966" s="279"/>
      <c r="B966" s="74"/>
      <c r="E966" s="62"/>
      <c r="F966" s="64"/>
      <c r="G966" s="62"/>
    </row>
    <row r="967" spans="1:7" ht="12.75">
      <c r="A967" s="279"/>
      <c r="B967" s="74"/>
      <c r="E967" s="62"/>
      <c r="F967" s="64"/>
      <c r="G967" s="62"/>
    </row>
    <row r="968" spans="1:7" ht="12.75">
      <c r="A968" s="279"/>
      <c r="B968" s="74"/>
      <c r="E968" s="62"/>
      <c r="F968" s="64"/>
      <c r="G968" s="62"/>
    </row>
    <row r="969" spans="1:7" ht="12.75">
      <c r="A969" s="279"/>
      <c r="B969" s="74"/>
      <c r="E969" s="62"/>
      <c r="F969" s="64"/>
      <c r="G969" s="62"/>
    </row>
    <row r="970" spans="1:7" ht="12.75">
      <c r="A970" s="279"/>
      <c r="B970" s="74"/>
      <c r="E970" s="62"/>
      <c r="F970" s="64"/>
      <c r="G970" s="62"/>
    </row>
    <row r="971" spans="1:7" ht="12.75">
      <c r="A971" s="279"/>
      <c r="B971" s="74"/>
      <c r="E971" s="62"/>
      <c r="F971" s="64"/>
      <c r="G971" s="62"/>
    </row>
    <row r="972" spans="1:7" ht="12.75">
      <c r="A972" s="279"/>
      <c r="B972" s="74"/>
      <c r="E972" s="62"/>
      <c r="F972" s="64"/>
      <c r="G972" s="62"/>
    </row>
    <row r="973" spans="1:7" ht="12.75">
      <c r="A973" s="279"/>
      <c r="B973" s="74"/>
      <c r="E973" s="62"/>
      <c r="F973" s="64"/>
      <c r="G973" s="62"/>
    </row>
    <row r="974" spans="1:7" ht="12.75">
      <c r="A974" s="279"/>
      <c r="B974" s="74"/>
      <c r="E974" s="62"/>
      <c r="F974" s="64"/>
      <c r="G974" s="62"/>
    </row>
    <row r="975" spans="1:7" ht="12.75">
      <c r="A975" s="279"/>
      <c r="B975" s="74"/>
      <c r="E975" s="62"/>
      <c r="F975" s="64"/>
      <c r="G975" s="62"/>
    </row>
    <row r="976" spans="1:7" ht="12.75">
      <c r="A976" s="279"/>
      <c r="B976" s="74"/>
      <c r="E976" s="62"/>
      <c r="F976" s="64"/>
      <c r="G976" s="62"/>
    </row>
    <row r="977" spans="1:7" ht="12.75">
      <c r="A977" s="279"/>
      <c r="B977" s="74"/>
      <c r="E977" s="62"/>
      <c r="F977" s="64"/>
      <c r="G977" s="62"/>
    </row>
    <row r="978" spans="1:7" ht="12.75">
      <c r="A978" s="279"/>
      <c r="B978" s="74"/>
      <c r="E978" s="62"/>
      <c r="F978" s="64"/>
      <c r="G978" s="62"/>
    </row>
    <row r="979" spans="1:7" ht="12.75">
      <c r="A979" s="279"/>
      <c r="B979" s="74"/>
      <c r="E979" s="62"/>
      <c r="F979" s="64"/>
      <c r="G979" s="62"/>
    </row>
    <row r="980" spans="1:7" ht="12.75">
      <c r="A980" s="279"/>
      <c r="B980" s="74"/>
      <c r="E980" s="62"/>
      <c r="F980" s="64"/>
      <c r="G980" s="62"/>
    </row>
    <row r="981" spans="1:7" ht="12.75">
      <c r="A981" s="279"/>
      <c r="B981" s="74"/>
      <c r="E981" s="62"/>
      <c r="F981" s="64"/>
      <c r="G981" s="62"/>
    </row>
    <row r="982" spans="1:7" ht="12.75">
      <c r="A982" s="279"/>
      <c r="B982" s="74"/>
      <c r="E982" s="62"/>
      <c r="F982" s="64"/>
      <c r="G982" s="62"/>
    </row>
    <row r="983" spans="1:7" ht="12.75">
      <c r="A983" s="279"/>
      <c r="B983" s="74"/>
      <c r="E983" s="62"/>
      <c r="F983" s="64"/>
      <c r="G983" s="62"/>
    </row>
    <row r="984" spans="1:7" ht="12.75">
      <c r="A984" s="279"/>
      <c r="B984" s="74"/>
      <c r="E984" s="62"/>
      <c r="F984" s="64"/>
      <c r="G984" s="62"/>
    </row>
    <row r="985" spans="1:7" ht="12.75">
      <c r="A985" s="279"/>
      <c r="B985" s="74"/>
      <c r="E985" s="62"/>
      <c r="F985" s="64"/>
      <c r="G985" s="62"/>
    </row>
    <row r="986" spans="1:7" ht="12.75">
      <c r="A986" s="279"/>
      <c r="B986" s="74"/>
      <c r="E986" s="62"/>
      <c r="F986" s="64"/>
      <c r="G986" s="62"/>
    </row>
    <row r="987" spans="1:7" ht="12.75">
      <c r="A987" s="279"/>
      <c r="B987" s="74"/>
      <c r="E987" s="62"/>
      <c r="F987" s="64"/>
      <c r="G987" s="62"/>
    </row>
    <row r="988" spans="1:7" ht="12.75">
      <c r="A988" s="279"/>
      <c r="B988" s="74"/>
      <c r="E988" s="62"/>
      <c r="F988" s="64"/>
      <c r="G988" s="62"/>
    </row>
    <row r="989" spans="1:7" ht="12.75">
      <c r="A989" s="279"/>
      <c r="B989" s="74"/>
      <c r="E989" s="62"/>
      <c r="F989" s="64"/>
      <c r="G989" s="62"/>
    </row>
    <row r="990" spans="1:7" ht="12.75">
      <c r="A990" s="279"/>
      <c r="B990" s="74"/>
      <c r="E990" s="62"/>
      <c r="F990" s="64"/>
      <c r="G990" s="62"/>
    </row>
    <row r="991" spans="1:7" ht="12.75">
      <c r="A991" s="279"/>
      <c r="B991" s="74"/>
      <c r="E991" s="62"/>
      <c r="F991" s="64"/>
      <c r="G991" s="62"/>
    </row>
    <row r="992" spans="1:7" ht="12.75">
      <c r="A992" s="279"/>
      <c r="B992" s="74"/>
      <c r="E992" s="62"/>
      <c r="F992" s="64"/>
      <c r="G992" s="62"/>
    </row>
    <row r="993" spans="1:7" ht="12.75">
      <c r="A993" s="279"/>
      <c r="B993" s="74"/>
      <c r="E993" s="62"/>
      <c r="F993" s="64"/>
      <c r="G993" s="62"/>
    </row>
    <row r="994" spans="1:7" ht="12.75">
      <c r="A994" s="279"/>
      <c r="B994" s="74"/>
      <c r="E994" s="62"/>
      <c r="F994" s="64"/>
      <c r="G994" s="62"/>
    </row>
    <row r="995" spans="1:7" ht="12.75">
      <c r="A995" s="279"/>
      <c r="B995" s="74"/>
      <c r="E995" s="62"/>
      <c r="F995" s="64"/>
      <c r="G995" s="62"/>
    </row>
    <row r="996" spans="1:7" ht="12.75">
      <c r="A996" s="279"/>
      <c r="B996" s="74"/>
      <c r="E996" s="62"/>
      <c r="F996" s="64"/>
      <c r="G996" s="62"/>
    </row>
    <row r="997" spans="1:7" ht="12.75">
      <c r="A997" s="279"/>
      <c r="B997" s="74"/>
      <c r="E997" s="62"/>
      <c r="F997" s="64"/>
      <c r="G997" s="62"/>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9900"/>
    <outlinePr summaryBelow="0" summaryRight="0"/>
  </sheetPr>
  <dimension ref="A1:AD1997"/>
  <sheetViews>
    <sheetView workbookViewId="0">
      <pane xSplit="5" ySplit="1" topLeftCell="F2" activePane="bottomRight" state="frozen"/>
      <selection pane="topRight" activeCell="F1" sqref="F1"/>
      <selection pane="bottomLeft" activeCell="A2" sqref="A2"/>
      <selection pane="bottomRight" activeCell="F2" sqref="F2"/>
    </sheetView>
  </sheetViews>
  <sheetFormatPr defaultColWidth="12.5703125" defaultRowHeight="15.75" customHeight="1"/>
  <cols>
    <col min="1" max="1" width="3.5703125" customWidth="1"/>
    <col min="2" max="2" width="10" hidden="1" customWidth="1"/>
    <col min="3" max="3" width="13.140625" customWidth="1"/>
    <col min="4" max="4" width="55" customWidth="1"/>
    <col min="5" max="5" width="4.140625" customWidth="1"/>
    <col min="6" max="6" width="15" customWidth="1"/>
    <col min="7" max="9" width="16.42578125" customWidth="1"/>
    <col min="10" max="10" width="19.140625" customWidth="1"/>
    <col min="11" max="11" width="62.85546875" customWidth="1"/>
    <col min="12" max="13" width="108.42578125" customWidth="1"/>
    <col min="16" max="16" width="15.5703125" customWidth="1"/>
    <col min="17" max="17" width="15.85546875" customWidth="1"/>
    <col min="18" max="18" width="14.85546875" customWidth="1"/>
    <col min="20" max="20" width="16.42578125" customWidth="1"/>
  </cols>
  <sheetData>
    <row r="1" spans="1:30" ht="12.75">
      <c r="A1" s="284" t="s">
        <v>935</v>
      </c>
      <c r="B1" s="284"/>
      <c r="C1" s="284" t="s">
        <v>936</v>
      </c>
      <c r="D1" s="285" t="s">
        <v>0</v>
      </c>
      <c r="E1" s="286" t="s">
        <v>92</v>
      </c>
      <c r="F1" s="287" t="s">
        <v>937</v>
      </c>
      <c r="G1" s="287" t="s">
        <v>938</v>
      </c>
      <c r="H1" s="286" t="s">
        <v>429</v>
      </c>
      <c r="I1" s="284" t="s">
        <v>939</v>
      </c>
      <c r="J1" s="286" t="s">
        <v>940</v>
      </c>
      <c r="K1" s="288" t="s">
        <v>941</v>
      </c>
      <c r="L1" s="288"/>
      <c r="M1" s="288" t="s">
        <v>942</v>
      </c>
      <c r="N1" s="81" t="s">
        <v>943</v>
      </c>
      <c r="O1" s="81" t="s">
        <v>944</v>
      </c>
      <c r="P1" s="289" t="s">
        <v>945</v>
      </c>
      <c r="Q1" s="81" t="s">
        <v>946</v>
      </c>
      <c r="R1" s="81" t="s">
        <v>947</v>
      </c>
      <c r="S1" s="59" t="s">
        <v>948</v>
      </c>
      <c r="T1" s="81" t="s">
        <v>949</v>
      </c>
      <c r="U1" s="290"/>
      <c r="V1" s="290"/>
      <c r="W1" s="290"/>
      <c r="X1" s="290"/>
      <c r="Y1" s="290"/>
      <c r="Z1" s="290"/>
      <c r="AA1" s="290"/>
      <c r="AB1" s="290"/>
      <c r="AC1" s="290"/>
      <c r="AD1" s="290"/>
    </row>
    <row r="2" spans="1:30" ht="102">
      <c r="A2" s="291">
        <v>1</v>
      </c>
      <c r="B2" s="292" t="s">
        <v>950</v>
      </c>
      <c r="C2" s="291" t="s">
        <v>951</v>
      </c>
      <c r="D2" s="83" t="s">
        <v>357</v>
      </c>
      <c r="E2" s="59" t="s">
        <v>103</v>
      </c>
      <c r="F2" s="293" t="s">
        <v>952</v>
      </c>
      <c r="G2" s="293" t="s">
        <v>953</v>
      </c>
      <c r="H2" s="86">
        <v>8800</v>
      </c>
      <c r="I2" s="294">
        <f t="shared" ref="I2:I45" si="0">IF(H2&gt;1,H2*1.5,"")</f>
        <v>13200</v>
      </c>
      <c r="J2" s="59" t="s">
        <v>954</v>
      </c>
      <c r="K2" s="83" t="s">
        <v>955</v>
      </c>
      <c r="L2" s="83" t="str">
        <f t="shared" ref="L2:L256" si="1">D2&amp;"
"&amp;K2</f>
        <v>1TB Portable SSD
Capacity: 1TB
Interface: USB 3.2 Gen 2
Connector: USB-C
Durability: IP55-rated for water and dust resistance
Warranty: 2 years or more
Inclusion: USB-C to USB-C Cable, USB-C to USB-A Adaptor
Warranty: 1 year or more</v>
      </c>
      <c r="M2" s="83" t="s">
        <v>956</v>
      </c>
      <c r="N2" s="59" t="s">
        <v>957</v>
      </c>
      <c r="O2" s="59">
        <v>10</v>
      </c>
      <c r="P2" s="86">
        <f t="shared" ref="P2:P256" si="2">I2*O2</f>
        <v>132000</v>
      </c>
      <c r="Q2" s="59"/>
      <c r="R2" s="59"/>
      <c r="S2" s="59"/>
      <c r="T2" s="59"/>
      <c r="U2" s="290"/>
      <c r="V2" s="290"/>
      <c r="W2" s="290"/>
      <c r="X2" s="290"/>
      <c r="Y2" s="290"/>
      <c r="Z2" s="290"/>
      <c r="AA2" s="290"/>
      <c r="AB2" s="290"/>
      <c r="AC2" s="290"/>
      <c r="AD2" s="290"/>
    </row>
    <row r="3" spans="1:30" ht="76.5">
      <c r="A3" s="291">
        <f t="shared" ref="A3:A257" si="3">IF(D2="","",A2+1)</f>
        <v>2</v>
      </c>
      <c r="B3" s="291" t="s">
        <v>958</v>
      </c>
      <c r="C3" s="291" t="str">
        <f>IF(D2="","",UNIT!$B$1&amp;"-"&amp;B3)</f>
        <v>ICT-MIS-00002</v>
      </c>
      <c r="D3" s="83" t="s">
        <v>142</v>
      </c>
      <c r="E3" s="59" t="s">
        <v>103</v>
      </c>
      <c r="F3" s="295" t="s">
        <v>959</v>
      </c>
      <c r="G3" s="295" t="s">
        <v>960</v>
      </c>
      <c r="H3" s="86">
        <v>2500</v>
      </c>
      <c r="I3" s="294">
        <f t="shared" si="0"/>
        <v>3750</v>
      </c>
      <c r="J3" s="59" t="s">
        <v>954</v>
      </c>
      <c r="K3" s="83" t="s">
        <v>961</v>
      </c>
      <c r="L3" s="83" t="str">
        <f t="shared" si="1"/>
        <v>480GB 2.5" Internal SSD
Form factor: 2.5”
Interface: SATA Rev. 3.0 (6Gb/s) – with backwards compatibility to SATA Rev. 2.0 (3Gb/s)
Capacities: 480GB or more
Baseline performance: up to 450MB/s read/write or more
Warranty: 2 years or more</v>
      </c>
      <c r="M3" s="83" t="s">
        <v>962</v>
      </c>
      <c r="N3" s="59" t="s">
        <v>957</v>
      </c>
      <c r="O3" s="59">
        <v>100</v>
      </c>
      <c r="P3" s="86">
        <f t="shared" si="2"/>
        <v>375000</v>
      </c>
      <c r="Q3" s="59" t="s">
        <v>4741</v>
      </c>
      <c r="R3" s="59" t="str">
        <f t="shared" ref="R3:R4" si="4">IF(O3&lt;=Q3,"SAFE","TAGPAS")</f>
        <v>SAFE</v>
      </c>
      <c r="S3" s="59">
        <f t="shared" ref="S3:S4" si="5">IF(O3&lt;=Q3,O3,Q3)</f>
        <v>100</v>
      </c>
      <c r="T3" s="59"/>
      <c r="U3" s="290"/>
      <c r="V3" s="290"/>
      <c r="W3" s="290"/>
      <c r="X3" s="290"/>
      <c r="Y3" s="290"/>
      <c r="Z3" s="290"/>
      <c r="AA3" s="290"/>
      <c r="AB3" s="290"/>
      <c r="AC3" s="290"/>
      <c r="AD3" s="290"/>
    </row>
    <row r="4" spans="1:30" ht="51">
      <c r="A4" s="291">
        <f t="shared" si="3"/>
        <v>3</v>
      </c>
      <c r="B4" s="291" t="s">
        <v>963</v>
      </c>
      <c r="C4" s="291" t="str">
        <f>IF(D3="","",UNIT!$B$1&amp;"-"&amp;B4)</f>
        <v>ICT-MIS-00003</v>
      </c>
      <c r="D4" s="83" t="s">
        <v>964</v>
      </c>
      <c r="E4" s="59" t="s">
        <v>103</v>
      </c>
      <c r="F4" s="293" t="s">
        <v>965</v>
      </c>
      <c r="G4" s="293" t="s">
        <v>966</v>
      </c>
      <c r="H4" s="86">
        <v>1600</v>
      </c>
      <c r="I4" s="294">
        <f t="shared" si="0"/>
        <v>2400</v>
      </c>
      <c r="J4" s="59" t="s">
        <v>954</v>
      </c>
      <c r="K4" s="83" t="s">
        <v>967</v>
      </c>
      <c r="L4" s="83" t="str">
        <f t="shared" si="1"/>
        <v>8 Port Gigabit Network Switch
Interface: 8 10/100/1000 Mbps ports, Auto Negotiation
Switching Capacity: at least 16Gbps
Warranty: 1 year or more</v>
      </c>
      <c r="M4" s="83" t="s">
        <v>968</v>
      </c>
      <c r="N4" s="59"/>
      <c r="O4" s="59"/>
      <c r="P4" s="86">
        <f t="shared" si="2"/>
        <v>0</v>
      </c>
      <c r="Q4" s="59" t="s">
        <v>4741</v>
      </c>
      <c r="R4" s="59" t="str">
        <f t="shared" si="4"/>
        <v>SAFE</v>
      </c>
      <c r="S4" s="59">
        <f t="shared" si="5"/>
        <v>0</v>
      </c>
      <c r="T4" s="59"/>
      <c r="U4" s="290"/>
      <c r="V4" s="290"/>
      <c r="W4" s="290"/>
      <c r="X4" s="290"/>
      <c r="Y4" s="290"/>
      <c r="Z4" s="290"/>
      <c r="AA4" s="290"/>
      <c r="AB4" s="290"/>
      <c r="AC4" s="290"/>
      <c r="AD4" s="290"/>
    </row>
    <row r="5" spans="1:30" ht="76.5">
      <c r="A5" s="291">
        <f t="shared" si="3"/>
        <v>4</v>
      </c>
      <c r="B5" s="291" t="s">
        <v>969</v>
      </c>
      <c r="C5" s="291" t="str">
        <f>IF(D4="","",UNIT!$B$1&amp;"-"&amp;B5)</f>
        <v>ICT-MIS-00004</v>
      </c>
      <c r="D5" s="83" t="s">
        <v>363</v>
      </c>
      <c r="E5" s="59" t="s">
        <v>103</v>
      </c>
      <c r="F5" s="295" t="s">
        <v>970</v>
      </c>
      <c r="G5" s="293" t="s">
        <v>971</v>
      </c>
      <c r="H5" s="86">
        <v>3100</v>
      </c>
      <c r="I5" s="294">
        <f t="shared" si="0"/>
        <v>4650</v>
      </c>
      <c r="J5" s="59" t="s">
        <v>954</v>
      </c>
      <c r="K5" s="83" t="s">
        <v>972</v>
      </c>
      <c r="L5" s="83" t="str">
        <f t="shared" si="1"/>
        <v>8 Port Gigabit Network Switch with 4-Port PoE+
Interface: 8 10/100/1000 Mbps ports, Auto Negotiation
PoE Standard: 802.3af/at
Switching Capacity: at least 16Gbps
Fan Quantity: Fanless
Warranty: 1 year or more</v>
      </c>
      <c r="M5" s="83" t="s">
        <v>973</v>
      </c>
      <c r="N5" s="59" t="s">
        <v>957</v>
      </c>
      <c r="O5" s="59">
        <v>40</v>
      </c>
      <c r="P5" s="86">
        <f t="shared" si="2"/>
        <v>186000</v>
      </c>
      <c r="Q5" s="59"/>
      <c r="R5" s="59"/>
      <c r="S5" s="59"/>
      <c r="T5" s="59"/>
      <c r="U5" s="290"/>
      <c r="V5" s="290"/>
      <c r="W5" s="290"/>
      <c r="X5" s="290"/>
      <c r="Y5" s="290"/>
      <c r="Z5" s="290"/>
      <c r="AA5" s="290"/>
      <c r="AB5" s="290"/>
      <c r="AC5" s="290"/>
      <c r="AD5" s="290"/>
    </row>
    <row r="6" spans="1:30" ht="89.25">
      <c r="A6" s="291">
        <f t="shared" si="3"/>
        <v>5</v>
      </c>
      <c r="B6" s="291" t="s">
        <v>974</v>
      </c>
      <c r="C6" s="291" t="str">
        <f>IF(D5="","",UNIT!$B$1&amp;"-"&amp;B6)</f>
        <v>ICT-MIS-00005</v>
      </c>
      <c r="D6" s="83" t="s">
        <v>259</v>
      </c>
      <c r="E6" s="59" t="s">
        <v>103</v>
      </c>
      <c r="F6" s="293" t="s">
        <v>975</v>
      </c>
      <c r="G6" s="293" t="s">
        <v>976</v>
      </c>
      <c r="H6" s="86">
        <v>2250</v>
      </c>
      <c r="I6" s="294">
        <f t="shared" si="0"/>
        <v>3375</v>
      </c>
      <c r="J6" s="59" t="s">
        <v>954</v>
      </c>
      <c r="K6" s="83" t="s">
        <v>977</v>
      </c>
      <c r="L6" s="83" t="str">
        <f t="shared" si="1"/>
        <v>UPS 650VA, AVR, 230V
Rated power in W: 360W
Power socket outlets: 4 NEMA 5-15R
Cable length: at least 1m
Number of cables: 1
Battery type: Lead-acid battery
Warranty: 2 years or more</v>
      </c>
      <c r="M6" s="83" t="s">
        <v>978</v>
      </c>
      <c r="N6" s="59"/>
      <c r="O6" s="59"/>
      <c r="P6" s="86">
        <f t="shared" si="2"/>
        <v>0</v>
      </c>
      <c r="Q6" s="59" t="s">
        <v>4741</v>
      </c>
      <c r="R6" s="59" t="str">
        <f t="shared" ref="R6:R7" si="6">IF(O6&lt;=Q6,"SAFE","TAGPAS")</f>
        <v>SAFE</v>
      </c>
      <c r="S6" s="59">
        <f t="shared" ref="S6:S7" si="7">IF(O6&lt;=Q6,O6,Q6)</f>
        <v>0</v>
      </c>
      <c r="T6" s="59"/>
      <c r="U6" s="290"/>
      <c r="V6" s="290"/>
      <c r="W6" s="290"/>
      <c r="X6" s="290"/>
      <c r="Y6" s="290"/>
      <c r="Z6" s="290"/>
      <c r="AA6" s="290"/>
      <c r="AB6" s="290"/>
      <c r="AC6" s="290"/>
      <c r="AD6" s="290"/>
    </row>
    <row r="7" spans="1:30" ht="89.25">
      <c r="A7" s="291">
        <f t="shared" si="3"/>
        <v>6</v>
      </c>
      <c r="B7" s="291" t="s">
        <v>979</v>
      </c>
      <c r="C7" s="291" t="str">
        <f>IF(D6="","",UNIT!$B$1&amp;"-"&amp;B7)</f>
        <v>ICT-MIS-00006</v>
      </c>
      <c r="D7" s="83" t="s">
        <v>258</v>
      </c>
      <c r="E7" s="59" t="s">
        <v>103</v>
      </c>
      <c r="F7" s="293" t="s">
        <v>980</v>
      </c>
      <c r="G7" s="295" t="s">
        <v>981</v>
      </c>
      <c r="H7" s="86">
        <v>5900</v>
      </c>
      <c r="I7" s="294">
        <f t="shared" si="0"/>
        <v>8850</v>
      </c>
      <c r="J7" s="59" t="s">
        <v>954</v>
      </c>
      <c r="K7" s="83" t="s">
        <v>982</v>
      </c>
      <c r="L7" s="83" t="str">
        <f t="shared" si="1"/>
        <v>UPS 1200VA, AVR, 230V
Rated power in W: 650W
Power socket outlets: 4 universal 1 IEC 60320 C13
Cable length: at least 1m
Number of cables: 1
Battery type: Lead-acid battery
Warranty: 2 years or more</v>
      </c>
      <c r="M7" s="83" t="s">
        <v>983</v>
      </c>
      <c r="N7" s="59" t="s">
        <v>957</v>
      </c>
      <c r="O7" s="59">
        <v>40</v>
      </c>
      <c r="P7" s="86">
        <f t="shared" si="2"/>
        <v>354000</v>
      </c>
      <c r="Q7" s="59" t="s">
        <v>4741</v>
      </c>
      <c r="R7" s="59" t="str">
        <f t="shared" si="6"/>
        <v>SAFE</v>
      </c>
      <c r="S7" s="59">
        <f t="shared" si="7"/>
        <v>40</v>
      </c>
      <c r="T7" s="59"/>
      <c r="U7" s="290"/>
      <c r="V7" s="290"/>
      <c r="W7" s="290"/>
      <c r="X7" s="290"/>
      <c r="Y7" s="290"/>
      <c r="Z7" s="290"/>
      <c r="AA7" s="290"/>
      <c r="AB7" s="290"/>
      <c r="AC7" s="290"/>
      <c r="AD7" s="290"/>
    </row>
    <row r="8" spans="1:30" ht="89.25">
      <c r="A8" s="291">
        <f t="shared" si="3"/>
        <v>7</v>
      </c>
      <c r="B8" s="291" t="s">
        <v>984</v>
      </c>
      <c r="C8" s="291" t="str">
        <f>IF(D7="","",UNIT!$B$1&amp;"-"&amp;B8)</f>
        <v>ICT-MIS-00007</v>
      </c>
      <c r="D8" s="83" t="s">
        <v>985</v>
      </c>
      <c r="E8" s="59" t="s">
        <v>103</v>
      </c>
      <c r="F8" s="293" t="s">
        <v>986</v>
      </c>
      <c r="G8" s="293" t="s">
        <v>987</v>
      </c>
      <c r="H8" s="86">
        <v>4700</v>
      </c>
      <c r="I8" s="294">
        <f t="shared" si="0"/>
        <v>7050</v>
      </c>
      <c r="J8" s="59" t="s">
        <v>954</v>
      </c>
      <c r="K8" s="83" t="s">
        <v>988</v>
      </c>
      <c r="L8" s="83" t="str">
        <f t="shared" si="1"/>
        <v>24 Port Gigabit Network Switch
Interface: 24 10/100/1000 Mbps ports, Auto Negotiation
Fan Quantity: Fanless
Mounting: Rack Mountable
Switching Capacity: at least 48Gbps
Power Supply: 100-240VAC
Warranty: 1 year or more</v>
      </c>
      <c r="M8" s="83" t="s">
        <v>989</v>
      </c>
      <c r="N8" s="59"/>
      <c r="O8" s="59"/>
      <c r="P8" s="86">
        <f t="shared" si="2"/>
        <v>0</v>
      </c>
      <c r="Q8" s="59"/>
      <c r="R8" s="59"/>
      <c r="S8" s="59"/>
      <c r="T8" s="59"/>
      <c r="U8" s="290"/>
      <c r="V8" s="290"/>
      <c r="W8" s="290"/>
      <c r="X8" s="290"/>
      <c r="Y8" s="290"/>
      <c r="Z8" s="290"/>
      <c r="AA8" s="290"/>
      <c r="AB8" s="290"/>
      <c r="AC8" s="290"/>
      <c r="AD8" s="290"/>
    </row>
    <row r="9" spans="1:30" ht="25.5">
      <c r="A9" s="291">
        <f t="shared" si="3"/>
        <v>8</v>
      </c>
      <c r="B9" s="291" t="s">
        <v>990</v>
      </c>
      <c r="C9" s="291" t="str">
        <f>IF(D8="","",UNIT!$B$1&amp;"-"&amp;B9)</f>
        <v>ICT-MIS-00008</v>
      </c>
      <c r="D9" s="83" t="s">
        <v>991</v>
      </c>
      <c r="E9" s="59" t="s">
        <v>103</v>
      </c>
      <c r="F9" s="293" t="s">
        <v>992</v>
      </c>
      <c r="G9" s="293" t="s">
        <v>993</v>
      </c>
      <c r="H9" s="86">
        <v>3400</v>
      </c>
      <c r="I9" s="294">
        <f t="shared" si="0"/>
        <v>5100</v>
      </c>
      <c r="J9" s="59" t="s">
        <v>954</v>
      </c>
      <c r="K9" s="83"/>
      <c r="L9" s="83" t="str">
        <f t="shared" si="1"/>
        <v xml:space="preserve">16 Port Gigabit Network Switch
</v>
      </c>
      <c r="M9" s="83" t="s">
        <v>994</v>
      </c>
      <c r="N9" s="59"/>
      <c r="O9" s="59"/>
      <c r="P9" s="86">
        <f t="shared" si="2"/>
        <v>0</v>
      </c>
      <c r="Q9" s="59"/>
      <c r="R9" s="59"/>
      <c r="S9" s="59"/>
      <c r="T9" s="59"/>
      <c r="U9" s="290"/>
      <c r="V9" s="290"/>
      <c r="W9" s="290"/>
      <c r="X9" s="290"/>
      <c r="Y9" s="290"/>
      <c r="Z9" s="290"/>
      <c r="AA9" s="290"/>
      <c r="AB9" s="290"/>
      <c r="AC9" s="290"/>
      <c r="AD9" s="290"/>
    </row>
    <row r="10" spans="1:30" ht="76.5">
      <c r="A10" s="291">
        <f t="shared" si="3"/>
        <v>9</v>
      </c>
      <c r="B10" s="291" t="s">
        <v>995</v>
      </c>
      <c r="C10" s="291" t="str">
        <f>IF(D9="","",UNIT!$B$1&amp;"-"&amp;B10)</f>
        <v>ICT-MIS-00009</v>
      </c>
      <c r="D10" s="83" t="s">
        <v>361</v>
      </c>
      <c r="E10" s="59" t="s">
        <v>103</v>
      </c>
      <c r="F10" s="293" t="s">
        <v>996</v>
      </c>
      <c r="G10" s="293" t="s">
        <v>997</v>
      </c>
      <c r="H10" s="86">
        <v>2680</v>
      </c>
      <c r="I10" s="294">
        <f t="shared" si="0"/>
        <v>4020</v>
      </c>
      <c r="J10" s="59" t="s">
        <v>954</v>
      </c>
      <c r="K10" s="83" t="s">
        <v>998</v>
      </c>
      <c r="L10" s="83" t="str">
        <f t="shared" si="1"/>
        <v>550 Watt 80 Plus Bronze Certified PSU ATX 
PSU Form Factor: ATX
Continuous power W: 550 Watts True Rated
ATX Connector: 1
80 PLUS Efficiency: Bronze
Warranty: 2 Years or more</v>
      </c>
      <c r="M10" s="83" t="s">
        <v>999</v>
      </c>
      <c r="N10" s="59" t="s">
        <v>957</v>
      </c>
      <c r="O10" s="59">
        <v>12</v>
      </c>
      <c r="P10" s="86">
        <f t="shared" si="2"/>
        <v>48240</v>
      </c>
      <c r="Q10" s="59"/>
      <c r="R10" s="59"/>
      <c r="S10" s="59"/>
      <c r="T10" s="59"/>
      <c r="U10" s="290"/>
      <c r="V10" s="290"/>
      <c r="W10" s="290"/>
      <c r="X10" s="290"/>
      <c r="Y10" s="290"/>
      <c r="Z10" s="290"/>
      <c r="AA10" s="290"/>
      <c r="AB10" s="290"/>
      <c r="AC10" s="290"/>
      <c r="AD10" s="290"/>
    </row>
    <row r="11" spans="1:30" ht="114.75">
      <c r="A11" s="291">
        <f t="shared" si="3"/>
        <v>10</v>
      </c>
      <c r="B11" s="291" t="s">
        <v>1000</v>
      </c>
      <c r="C11" s="291" t="str">
        <f>IF(D10="","",UNIT!$B$1&amp;"-"&amp;B11)</f>
        <v>ICT-MIS-00010</v>
      </c>
      <c r="D11" s="83" t="s">
        <v>257</v>
      </c>
      <c r="E11" s="59" t="s">
        <v>103</v>
      </c>
      <c r="F11" s="293" t="s">
        <v>996</v>
      </c>
      <c r="G11" s="293" t="s">
        <v>1001</v>
      </c>
      <c r="H11" s="86">
        <v>5100</v>
      </c>
      <c r="I11" s="294">
        <f t="shared" si="0"/>
        <v>7650</v>
      </c>
      <c r="J11" s="59" t="s">
        <v>954</v>
      </c>
      <c r="K11" s="83" t="s">
        <v>1002</v>
      </c>
      <c r="L11" s="83" t="str">
        <f t="shared" si="1"/>
        <v>Touch-style Fingerprint Reader
Pixel resolution: 500dpi (native), 1000dpi (interpolated) or more
Scan capture area: 12.8-13.8 mm x 16.5-17.5 mm
8-bit grayscale (256 gray levels)
Reader size (approximate): 72-73 mm x 39-40 mm x 21.7-22.7 mm
IP64 rated
PIV-certified
USB 2.0 (High Speed)
Warranty: 1 year or more</v>
      </c>
      <c r="M11" s="83" t="s">
        <v>1003</v>
      </c>
      <c r="N11" s="59" t="s">
        <v>957</v>
      </c>
      <c r="O11" s="59">
        <v>12</v>
      </c>
      <c r="P11" s="86">
        <f t="shared" si="2"/>
        <v>91800</v>
      </c>
      <c r="Q11" s="59" t="e">
        <f>VLOOKUP(D11,'[1]Pivot 2024 Conso'!$A$2:W1997,6,0)</f>
        <v>#N/A</v>
      </c>
      <c r="R11" s="59" t="e">
        <f>IF(O11&lt;=Q11,"SAFE","TAGPAS")</f>
        <v>#N/A</v>
      </c>
      <c r="S11" s="59" t="e">
        <f>IF(O11&lt;=Q11,O11,Q11)</f>
        <v>#N/A</v>
      </c>
      <c r="T11" s="59"/>
      <c r="U11" s="290"/>
      <c r="V11" s="290"/>
      <c r="W11" s="290"/>
      <c r="X11" s="290"/>
      <c r="Y11" s="290"/>
      <c r="Z11" s="290"/>
      <c r="AA11" s="290"/>
      <c r="AB11" s="290"/>
      <c r="AC11" s="290"/>
      <c r="AD11" s="290"/>
    </row>
    <row r="12" spans="1:30" ht="38.25">
      <c r="A12" s="291">
        <f t="shared" si="3"/>
        <v>11</v>
      </c>
      <c r="B12" s="291" t="s">
        <v>1004</v>
      </c>
      <c r="C12" s="291" t="str">
        <f>IF(D11="","",UNIT!$B$1&amp;"-"&amp;B12)</f>
        <v>ICT-MIS-00011</v>
      </c>
      <c r="D12" s="83" t="s">
        <v>1005</v>
      </c>
      <c r="E12" s="59" t="s">
        <v>103</v>
      </c>
      <c r="F12" s="293" t="s">
        <v>1006</v>
      </c>
      <c r="G12" s="293" t="s">
        <v>1007</v>
      </c>
      <c r="H12" s="86">
        <v>40</v>
      </c>
      <c r="I12" s="294">
        <f t="shared" si="0"/>
        <v>60</v>
      </c>
      <c r="J12" s="59" t="s">
        <v>1008</v>
      </c>
      <c r="K12" s="83" t="s">
        <v>1009</v>
      </c>
      <c r="L12" s="83" t="str">
        <f t="shared" si="1"/>
        <v>CR2032 Lithium Coin Button Battery 3V
Chemical System: Lithium / Manganese Dioxide (Li/MnO2)
Nominal Voltage: 3.0 Volts</v>
      </c>
      <c r="M12" s="83" t="s">
        <v>1010</v>
      </c>
      <c r="N12" s="59"/>
      <c r="O12" s="59"/>
      <c r="P12" s="86">
        <f t="shared" si="2"/>
        <v>0</v>
      </c>
      <c r="Q12" s="59"/>
      <c r="R12" s="59"/>
      <c r="S12" s="59"/>
      <c r="T12" s="59"/>
      <c r="U12" s="290"/>
      <c r="V12" s="290"/>
      <c r="W12" s="290"/>
      <c r="X12" s="290"/>
      <c r="Y12" s="290"/>
      <c r="Z12" s="290"/>
      <c r="AA12" s="290"/>
      <c r="AB12" s="290"/>
      <c r="AC12" s="290"/>
      <c r="AD12" s="290"/>
    </row>
    <row r="13" spans="1:30" ht="76.5">
      <c r="A13" s="291">
        <f t="shared" si="3"/>
        <v>12</v>
      </c>
      <c r="B13" s="291" t="s">
        <v>1011</v>
      </c>
      <c r="C13" s="291" t="str">
        <f>IF(D12="","",UNIT!$B$1&amp;"-"&amp;B13)</f>
        <v>ICT-MIS-00012</v>
      </c>
      <c r="D13" s="83" t="s">
        <v>145</v>
      </c>
      <c r="E13" s="59" t="s">
        <v>103</v>
      </c>
      <c r="F13" s="295" t="s">
        <v>1012</v>
      </c>
      <c r="G13" s="295" t="s">
        <v>1013</v>
      </c>
      <c r="H13" s="86">
        <v>1500</v>
      </c>
      <c r="I13" s="294">
        <f t="shared" si="0"/>
        <v>2250</v>
      </c>
      <c r="J13" s="59" t="s">
        <v>1008</v>
      </c>
      <c r="K13" s="83" t="s">
        <v>1014</v>
      </c>
      <c r="L13" s="83" t="str">
        <f t="shared" si="1"/>
        <v>7.0 Ah Replacement Battery (For UPS)
Battery type: Lead-acid battery
Battery capacity: 7.0 Ah
Battery voltage: 12 V
Note: Compatible with the existing BX625CI-MS
Warranty: 2 years or more</v>
      </c>
      <c r="M13" s="83" t="s">
        <v>1015</v>
      </c>
      <c r="N13" s="59" t="s">
        <v>957</v>
      </c>
      <c r="O13" s="59">
        <v>200</v>
      </c>
      <c r="P13" s="86">
        <f t="shared" si="2"/>
        <v>450000</v>
      </c>
      <c r="Q13" s="59" t="e">
        <f>VLOOKUP(D13,'[1]Pivot 2024 Conso'!$A$2:W1997,6,0)</f>
        <v>#N/A</v>
      </c>
      <c r="R13" s="59" t="e">
        <f>IF(O13&lt;=Q13,"SAFE","TAGPAS")</f>
        <v>#N/A</v>
      </c>
      <c r="S13" s="59" t="e">
        <f>IF(O13&lt;=Q13,O13,Q13)</f>
        <v>#N/A</v>
      </c>
      <c r="T13" s="59"/>
      <c r="U13" s="290"/>
      <c r="V13" s="290"/>
      <c r="W13" s="290"/>
      <c r="X13" s="290"/>
      <c r="Y13" s="290"/>
      <c r="Z13" s="290"/>
      <c r="AA13" s="290"/>
      <c r="AB13" s="290"/>
      <c r="AC13" s="290"/>
      <c r="AD13" s="290"/>
    </row>
    <row r="14" spans="1:30" ht="76.5">
      <c r="A14" s="291">
        <f t="shared" si="3"/>
        <v>13</v>
      </c>
      <c r="B14" s="291" t="s">
        <v>1016</v>
      </c>
      <c r="C14" s="291" t="str">
        <f>IF(D13="","",UNIT!$B$1&amp;"-"&amp;B14)</f>
        <v>ICT-MIS-00013</v>
      </c>
      <c r="D14" s="83" t="s">
        <v>1017</v>
      </c>
      <c r="E14" s="59" t="s">
        <v>103</v>
      </c>
      <c r="F14" s="293" t="s">
        <v>1018</v>
      </c>
      <c r="G14" s="295" t="s">
        <v>1019</v>
      </c>
      <c r="H14" s="86">
        <v>1200</v>
      </c>
      <c r="I14" s="294">
        <f t="shared" si="0"/>
        <v>1800</v>
      </c>
      <c r="J14" s="59" t="s">
        <v>1008</v>
      </c>
      <c r="K14" s="83" t="s">
        <v>1020</v>
      </c>
      <c r="L14" s="83" t="str">
        <f t="shared" si="1"/>
        <v>7.2 Ah Replacement Battery (For UPS)
Battery type: Lead-acid battery
Battery capacity: 7.2 Ah
Battery voltage: 12 V
Note: Compatible with the existing ACCU-POWER SMD650
Warranty: 1 years or more</v>
      </c>
      <c r="M14" s="83" t="s">
        <v>1021</v>
      </c>
      <c r="N14" s="59"/>
      <c r="O14" s="59"/>
      <c r="P14" s="86">
        <f t="shared" si="2"/>
        <v>0</v>
      </c>
      <c r="Q14" s="59"/>
      <c r="R14" s="59"/>
      <c r="S14" s="59"/>
      <c r="T14" s="59"/>
      <c r="U14" s="290"/>
      <c r="V14" s="290"/>
      <c r="W14" s="290"/>
      <c r="X14" s="290"/>
      <c r="Y14" s="290"/>
      <c r="Z14" s="290"/>
      <c r="AA14" s="290"/>
      <c r="AB14" s="290"/>
      <c r="AC14" s="290"/>
      <c r="AD14" s="290"/>
    </row>
    <row r="15" spans="1:30" ht="25.5">
      <c r="A15" s="291">
        <f t="shared" si="3"/>
        <v>14</v>
      </c>
      <c r="B15" s="291" t="s">
        <v>1022</v>
      </c>
      <c r="C15" s="291" t="str">
        <f>IF(D14="","",UNIT!$B$1&amp;"-"&amp;B15)</f>
        <v>ICT-MIS-00014</v>
      </c>
      <c r="D15" s="83" t="s">
        <v>159</v>
      </c>
      <c r="E15" s="59" t="s">
        <v>155</v>
      </c>
      <c r="F15" s="295" t="s">
        <v>1023</v>
      </c>
      <c r="G15" s="295" t="s">
        <v>1023</v>
      </c>
      <c r="H15" s="86">
        <v>45</v>
      </c>
      <c r="I15" s="294">
        <f t="shared" si="0"/>
        <v>67.5</v>
      </c>
      <c r="J15" s="59" t="s">
        <v>1008</v>
      </c>
      <c r="K15" s="83" t="s">
        <v>1024</v>
      </c>
      <c r="L15" s="83" t="str">
        <f t="shared" si="1"/>
        <v>Black Nylon Cable Tie 2.5 x 100mm 100pcs/pack 
Black Nylon Cable Tie 2.5 x 100mm</v>
      </c>
      <c r="M15" s="83" t="s">
        <v>1025</v>
      </c>
      <c r="N15" s="59" t="s">
        <v>957</v>
      </c>
      <c r="O15" s="59">
        <v>50</v>
      </c>
      <c r="P15" s="86">
        <f t="shared" si="2"/>
        <v>3375</v>
      </c>
      <c r="Q15" s="59" t="s">
        <v>4741</v>
      </c>
      <c r="R15" s="59" t="str">
        <f t="shared" ref="R15:R38" si="8">IF(O15&lt;=Q15,"SAFE","TAGPAS")</f>
        <v>SAFE</v>
      </c>
      <c r="S15" s="59">
        <f t="shared" ref="S15:S38" si="9">IF(O15&lt;=Q15,O15,Q15)</f>
        <v>50</v>
      </c>
      <c r="T15" s="59"/>
      <c r="U15" s="290"/>
      <c r="V15" s="290"/>
      <c r="W15" s="290"/>
      <c r="X15" s="290"/>
      <c r="Y15" s="290"/>
      <c r="Z15" s="290"/>
      <c r="AA15" s="290"/>
      <c r="AB15" s="290"/>
      <c r="AC15" s="290"/>
      <c r="AD15" s="290"/>
    </row>
    <row r="16" spans="1:30" ht="25.5">
      <c r="A16" s="291">
        <f t="shared" si="3"/>
        <v>15</v>
      </c>
      <c r="B16" s="291" t="s">
        <v>1026</v>
      </c>
      <c r="C16" s="291" t="str">
        <f>IF(D15="","",UNIT!$B$1&amp;"-"&amp;B16)</f>
        <v>ICT-MIS-00015</v>
      </c>
      <c r="D16" s="83" t="s">
        <v>160</v>
      </c>
      <c r="E16" s="59" t="s">
        <v>155</v>
      </c>
      <c r="F16" s="295" t="s">
        <v>1023</v>
      </c>
      <c r="G16" s="295" t="s">
        <v>1023</v>
      </c>
      <c r="H16" s="86">
        <v>67</v>
      </c>
      <c r="I16" s="294">
        <f t="shared" si="0"/>
        <v>100.5</v>
      </c>
      <c r="J16" s="59" t="s">
        <v>1008</v>
      </c>
      <c r="K16" s="83" t="s">
        <v>1027</v>
      </c>
      <c r="L16" s="83" t="str">
        <f t="shared" si="1"/>
        <v>Black Nylon Cable Tie 2.5 x 140mm 100pcs/pack 
Black Nylon Cable Tie 2.5 x 140mm</v>
      </c>
      <c r="M16" s="83" t="s">
        <v>1025</v>
      </c>
      <c r="N16" s="59" t="s">
        <v>957</v>
      </c>
      <c r="O16" s="59">
        <v>50</v>
      </c>
      <c r="P16" s="86">
        <f t="shared" si="2"/>
        <v>5025</v>
      </c>
      <c r="Q16" s="59" t="s">
        <v>4741</v>
      </c>
      <c r="R16" s="59" t="str">
        <f t="shared" si="8"/>
        <v>SAFE</v>
      </c>
      <c r="S16" s="59">
        <f t="shared" si="9"/>
        <v>50</v>
      </c>
      <c r="T16" s="59"/>
      <c r="U16" s="290"/>
      <c r="V16" s="290"/>
      <c r="W16" s="290"/>
      <c r="X16" s="290"/>
      <c r="Y16" s="290"/>
      <c r="Z16" s="290"/>
      <c r="AA16" s="290"/>
      <c r="AB16" s="290"/>
      <c r="AC16" s="290"/>
      <c r="AD16" s="290"/>
    </row>
    <row r="17" spans="1:30" ht="25.5">
      <c r="A17" s="291">
        <f t="shared" si="3"/>
        <v>16</v>
      </c>
      <c r="B17" s="291" t="s">
        <v>1028</v>
      </c>
      <c r="C17" s="291" t="str">
        <f>IF(D16="","",UNIT!$B$1&amp;"-"&amp;B17)</f>
        <v>ICT-MIS-00016</v>
      </c>
      <c r="D17" s="83" t="s">
        <v>161</v>
      </c>
      <c r="E17" s="59" t="s">
        <v>155</v>
      </c>
      <c r="F17" s="295" t="s">
        <v>1023</v>
      </c>
      <c r="G17" s="295" t="s">
        <v>1023</v>
      </c>
      <c r="H17" s="86">
        <v>80</v>
      </c>
      <c r="I17" s="294">
        <f t="shared" si="0"/>
        <v>120</v>
      </c>
      <c r="J17" s="59" t="s">
        <v>1008</v>
      </c>
      <c r="K17" s="83" t="s">
        <v>1029</v>
      </c>
      <c r="L17" s="83" t="str">
        <f t="shared" si="1"/>
        <v>Black Nylon Cable Tie 3.6 x 140mm 100pcs/pack 
Black Nylon Cable Tie 3.6 x 140mm</v>
      </c>
      <c r="M17" s="83" t="s">
        <v>1025</v>
      </c>
      <c r="N17" s="59" t="s">
        <v>957</v>
      </c>
      <c r="O17" s="59">
        <v>40</v>
      </c>
      <c r="P17" s="86">
        <f t="shared" si="2"/>
        <v>4800</v>
      </c>
      <c r="Q17" s="59" t="s">
        <v>4741</v>
      </c>
      <c r="R17" s="59" t="str">
        <f t="shared" si="8"/>
        <v>SAFE</v>
      </c>
      <c r="S17" s="59">
        <f t="shared" si="9"/>
        <v>40</v>
      </c>
      <c r="T17" s="59"/>
      <c r="U17" s="290"/>
      <c r="V17" s="290"/>
      <c r="W17" s="290"/>
      <c r="X17" s="290"/>
      <c r="Y17" s="290"/>
      <c r="Z17" s="290"/>
      <c r="AA17" s="290"/>
      <c r="AB17" s="290"/>
      <c r="AC17" s="290"/>
      <c r="AD17" s="290"/>
    </row>
    <row r="18" spans="1:30" ht="25.5">
      <c r="A18" s="291">
        <f t="shared" si="3"/>
        <v>17</v>
      </c>
      <c r="B18" s="291" t="s">
        <v>1030</v>
      </c>
      <c r="C18" s="291" t="str">
        <f>IF(D17="","",UNIT!$B$1&amp;"-"&amp;B18)</f>
        <v>ICT-MIS-00017</v>
      </c>
      <c r="D18" s="83" t="s">
        <v>162</v>
      </c>
      <c r="E18" s="59" t="s">
        <v>155</v>
      </c>
      <c r="F18" s="295" t="s">
        <v>1023</v>
      </c>
      <c r="G18" s="295" t="s">
        <v>1023</v>
      </c>
      <c r="H18" s="86">
        <v>100</v>
      </c>
      <c r="I18" s="294">
        <f t="shared" si="0"/>
        <v>150</v>
      </c>
      <c r="J18" s="59" t="s">
        <v>1008</v>
      </c>
      <c r="K18" s="83" t="s">
        <v>1031</v>
      </c>
      <c r="L18" s="83" t="str">
        <f t="shared" si="1"/>
        <v>Black Nylon Cable Tie 3.6 x 200mm 100pcs/pack 
Black Nylon Cable Tie 3.6 x 200mm</v>
      </c>
      <c r="M18" s="83" t="s">
        <v>1025</v>
      </c>
      <c r="N18" s="59" t="s">
        <v>957</v>
      </c>
      <c r="O18" s="59">
        <v>40</v>
      </c>
      <c r="P18" s="86">
        <f t="shared" si="2"/>
        <v>6000</v>
      </c>
      <c r="Q18" s="59" t="s">
        <v>4741</v>
      </c>
      <c r="R18" s="59" t="str">
        <f t="shared" si="8"/>
        <v>SAFE</v>
      </c>
      <c r="S18" s="59">
        <f t="shared" si="9"/>
        <v>40</v>
      </c>
      <c r="T18" s="59"/>
      <c r="U18" s="290"/>
      <c r="V18" s="290"/>
      <c r="W18" s="290"/>
      <c r="X18" s="290"/>
      <c r="Y18" s="290"/>
      <c r="Z18" s="290"/>
      <c r="AA18" s="290"/>
      <c r="AB18" s="290"/>
      <c r="AC18" s="290"/>
      <c r="AD18" s="290"/>
    </row>
    <row r="19" spans="1:30" ht="25.5">
      <c r="A19" s="291">
        <f t="shared" si="3"/>
        <v>18</v>
      </c>
      <c r="B19" s="291" t="s">
        <v>1032</v>
      </c>
      <c r="C19" s="291" t="str">
        <f>IF(D18="","",UNIT!$B$1&amp;"-"&amp;B19)</f>
        <v>ICT-MIS-00018</v>
      </c>
      <c r="D19" s="83" t="s">
        <v>163</v>
      </c>
      <c r="E19" s="59" t="s">
        <v>155</v>
      </c>
      <c r="F19" s="295" t="s">
        <v>1023</v>
      </c>
      <c r="G19" s="295" t="s">
        <v>1023</v>
      </c>
      <c r="H19" s="86">
        <v>162</v>
      </c>
      <c r="I19" s="294">
        <f t="shared" si="0"/>
        <v>243</v>
      </c>
      <c r="J19" s="59" t="s">
        <v>1008</v>
      </c>
      <c r="K19" s="83" t="s">
        <v>1033</v>
      </c>
      <c r="L19" s="83" t="str">
        <f t="shared" si="1"/>
        <v>Black Nylon Cable Tie 3.6 x 300mm 100pcs/pack 
Black Nylon Cable Tie 3.6 x 300mm</v>
      </c>
      <c r="M19" s="83" t="s">
        <v>1025</v>
      </c>
      <c r="N19" s="59" t="s">
        <v>957</v>
      </c>
      <c r="O19" s="59">
        <v>30</v>
      </c>
      <c r="P19" s="86">
        <f t="shared" si="2"/>
        <v>7290</v>
      </c>
      <c r="Q19" s="59" t="s">
        <v>4741</v>
      </c>
      <c r="R19" s="59" t="str">
        <f t="shared" si="8"/>
        <v>SAFE</v>
      </c>
      <c r="S19" s="59">
        <f t="shared" si="9"/>
        <v>30</v>
      </c>
      <c r="T19" s="59"/>
      <c r="U19" s="290"/>
      <c r="V19" s="290"/>
      <c r="W19" s="290"/>
      <c r="X19" s="290"/>
      <c r="Y19" s="290"/>
      <c r="Z19" s="290"/>
      <c r="AA19" s="290"/>
      <c r="AB19" s="290"/>
      <c r="AC19" s="290"/>
      <c r="AD19" s="290"/>
    </row>
    <row r="20" spans="1:30" ht="25.5">
      <c r="A20" s="291">
        <f t="shared" si="3"/>
        <v>19</v>
      </c>
      <c r="B20" s="291" t="s">
        <v>1034</v>
      </c>
      <c r="C20" s="291" t="str">
        <f>IF(D19="","",UNIT!$B$1&amp;"-"&amp;B20)</f>
        <v>ICT-MIS-00019</v>
      </c>
      <c r="D20" s="83" t="s">
        <v>164</v>
      </c>
      <c r="E20" s="59" t="s">
        <v>155</v>
      </c>
      <c r="F20" s="295" t="s">
        <v>1023</v>
      </c>
      <c r="G20" s="295" t="s">
        <v>1023</v>
      </c>
      <c r="H20" s="86">
        <v>160</v>
      </c>
      <c r="I20" s="294">
        <f t="shared" si="0"/>
        <v>240</v>
      </c>
      <c r="J20" s="59" t="s">
        <v>1008</v>
      </c>
      <c r="K20" s="83" t="s">
        <v>1035</v>
      </c>
      <c r="L20" s="83" t="str">
        <f t="shared" si="1"/>
        <v>Black Nylon Cable Tie 4.8 x 200mm 100pcs/pack 
Black Nylon Cable Tie 4.8 x 200mm</v>
      </c>
      <c r="M20" s="83" t="s">
        <v>1025</v>
      </c>
      <c r="N20" s="59" t="s">
        <v>957</v>
      </c>
      <c r="O20" s="59">
        <v>30</v>
      </c>
      <c r="P20" s="86">
        <f t="shared" si="2"/>
        <v>7200</v>
      </c>
      <c r="Q20" s="59" t="s">
        <v>4741</v>
      </c>
      <c r="R20" s="59" t="str">
        <f t="shared" si="8"/>
        <v>SAFE</v>
      </c>
      <c r="S20" s="59">
        <f t="shared" si="9"/>
        <v>30</v>
      </c>
      <c r="T20" s="59"/>
      <c r="U20" s="290"/>
      <c r="V20" s="290"/>
      <c r="W20" s="290"/>
      <c r="X20" s="290"/>
      <c r="Y20" s="290"/>
      <c r="Z20" s="290"/>
      <c r="AA20" s="290"/>
      <c r="AB20" s="290"/>
      <c r="AC20" s="290"/>
      <c r="AD20" s="290"/>
    </row>
    <row r="21" spans="1:30" ht="25.5">
      <c r="A21" s="291">
        <f t="shared" si="3"/>
        <v>20</v>
      </c>
      <c r="B21" s="291" t="s">
        <v>1036</v>
      </c>
      <c r="C21" s="291" t="str">
        <f>IF(D20="","",UNIT!$B$1&amp;"-"&amp;B21)</f>
        <v>ICT-MIS-00020</v>
      </c>
      <c r="D21" s="83" t="s">
        <v>165</v>
      </c>
      <c r="E21" s="59" t="s">
        <v>155</v>
      </c>
      <c r="F21" s="295" t="s">
        <v>1023</v>
      </c>
      <c r="G21" s="295" t="s">
        <v>1023</v>
      </c>
      <c r="H21" s="86">
        <v>180</v>
      </c>
      <c r="I21" s="294">
        <f t="shared" si="0"/>
        <v>270</v>
      </c>
      <c r="J21" s="59" t="s">
        <v>1008</v>
      </c>
      <c r="K21" s="83" t="s">
        <v>1037</v>
      </c>
      <c r="L21" s="83" t="str">
        <f t="shared" si="1"/>
        <v>Black Nylon Cable Tie 4.8 x 250mm 100pcs/pack 
Black Nylon Cable Tie 4.8 x 250mm</v>
      </c>
      <c r="M21" s="83" t="s">
        <v>1025</v>
      </c>
      <c r="N21" s="59" t="s">
        <v>957</v>
      </c>
      <c r="O21" s="59">
        <v>10</v>
      </c>
      <c r="P21" s="86">
        <f t="shared" si="2"/>
        <v>2700</v>
      </c>
      <c r="Q21" s="59" t="s">
        <v>4741</v>
      </c>
      <c r="R21" s="59" t="str">
        <f t="shared" si="8"/>
        <v>SAFE</v>
      </c>
      <c r="S21" s="59">
        <f t="shared" si="9"/>
        <v>10</v>
      </c>
      <c r="T21" s="59"/>
      <c r="U21" s="290"/>
      <c r="V21" s="290"/>
      <c r="W21" s="290"/>
      <c r="X21" s="290"/>
      <c r="Y21" s="290"/>
      <c r="Z21" s="290"/>
      <c r="AA21" s="290"/>
      <c r="AB21" s="290"/>
      <c r="AC21" s="290"/>
      <c r="AD21" s="290"/>
    </row>
    <row r="22" spans="1:30" ht="25.5">
      <c r="A22" s="291">
        <f t="shared" si="3"/>
        <v>21</v>
      </c>
      <c r="B22" s="291" t="s">
        <v>1038</v>
      </c>
      <c r="C22" s="291" t="str">
        <f>IF(D21="","",UNIT!$B$1&amp;"-"&amp;B22)</f>
        <v>ICT-MIS-00021</v>
      </c>
      <c r="D22" s="83" t="s">
        <v>166</v>
      </c>
      <c r="E22" s="59" t="s">
        <v>155</v>
      </c>
      <c r="F22" s="295" t="s">
        <v>1023</v>
      </c>
      <c r="G22" s="295" t="s">
        <v>1023</v>
      </c>
      <c r="H22" s="86">
        <v>230</v>
      </c>
      <c r="I22" s="294">
        <f t="shared" si="0"/>
        <v>345</v>
      </c>
      <c r="J22" s="59" t="s">
        <v>1008</v>
      </c>
      <c r="K22" s="83" t="s">
        <v>1039</v>
      </c>
      <c r="L22" s="83" t="str">
        <f t="shared" si="1"/>
        <v>Black Nylon Cable Tie 4.8 x 300mm 100pcs/pack 
Black Nylon Cable Tie 4.8 x 300mm</v>
      </c>
      <c r="M22" s="83" t="s">
        <v>1025</v>
      </c>
      <c r="N22" s="59" t="s">
        <v>957</v>
      </c>
      <c r="O22" s="59">
        <v>10</v>
      </c>
      <c r="P22" s="86">
        <f t="shared" si="2"/>
        <v>3450</v>
      </c>
      <c r="Q22" s="59" t="s">
        <v>4741</v>
      </c>
      <c r="R22" s="59" t="str">
        <f t="shared" si="8"/>
        <v>SAFE</v>
      </c>
      <c r="S22" s="59">
        <f t="shared" si="9"/>
        <v>10</v>
      </c>
      <c r="T22" s="59"/>
      <c r="U22" s="290"/>
      <c r="V22" s="290"/>
      <c r="W22" s="290"/>
      <c r="X22" s="290"/>
      <c r="Y22" s="290"/>
      <c r="Z22" s="290"/>
      <c r="AA22" s="290"/>
      <c r="AB22" s="290"/>
      <c r="AC22" s="290"/>
      <c r="AD22" s="290"/>
    </row>
    <row r="23" spans="1:30" ht="25.5">
      <c r="A23" s="291">
        <f t="shared" si="3"/>
        <v>22</v>
      </c>
      <c r="B23" s="291" t="s">
        <v>1040</v>
      </c>
      <c r="C23" s="291" t="str">
        <f>IF(D22="","",UNIT!$B$1&amp;"-"&amp;B23)</f>
        <v>ICT-MIS-00022</v>
      </c>
      <c r="D23" s="83" t="s">
        <v>167</v>
      </c>
      <c r="E23" s="59" t="s">
        <v>155</v>
      </c>
      <c r="F23" s="295" t="s">
        <v>1023</v>
      </c>
      <c r="G23" s="295" t="s">
        <v>1023</v>
      </c>
      <c r="H23" s="86">
        <v>330</v>
      </c>
      <c r="I23" s="294">
        <f t="shared" si="0"/>
        <v>495</v>
      </c>
      <c r="J23" s="59" t="s">
        <v>1008</v>
      </c>
      <c r="K23" s="83" t="s">
        <v>1041</v>
      </c>
      <c r="L23" s="83" t="str">
        <f t="shared" si="1"/>
        <v>Black Nylon Cable Tie 4.8 x 400mm 100pcs/pack 
Black Nylon Cable Tie 4.8 x 400mm</v>
      </c>
      <c r="M23" s="83" t="s">
        <v>1025</v>
      </c>
      <c r="N23" s="59" t="s">
        <v>957</v>
      </c>
      <c r="O23" s="59">
        <v>10</v>
      </c>
      <c r="P23" s="86">
        <f t="shared" si="2"/>
        <v>4950</v>
      </c>
      <c r="Q23" s="59" t="s">
        <v>4741</v>
      </c>
      <c r="R23" s="59" t="str">
        <f t="shared" si="8"/>
        <v>SAFE</v>
      </c>
      <c r="S23" s="59">
        <f t="shared" si="9"/>
        <v>10</v>
      </c>
      <c r="T23" s="59"/>
      <c r="U23" s="290"/>
      <c r="V23" s="290"/>
      <c r="W23" s="290"/>
      <c r="X23" s="290"/>
      <c r="Y23" s="290"/>
      <c r="Z23" s="290"/>
      <c r="AA23" s="290"/>
      <c r="AB23" s="290"/>
      <c r="AC23" s="290"/>
      <c r="AD23" s="290"/>
    </row>
    <row r="24" spans="1:30" ht="25.5">
      <c r="A24" s="291">
        <f t="shared" si="3"/>
        <v>23</v>
      </c>
      <c r="B24" s="291" t="s">
        <v>1042</v>
      </c>
      <c r="C24" s="291" t="str">
        <f>IF(D23="","",UNIT!$B$1&amp;"-"&amp;B24)</f>
        <v>ICT-MIS-00023</v>
      </c>
      <c r="D24" s="83" t="s">
        <v>266</v>
      </c>
      <c r="E24" s="59" t="s">
        <v>155</v>
      </c>
      <c r="F24" s="295" t="s">
        <v>1023</v>
      </c>
      <c r="G24" s="295" t="s">
        <v>1023</v>
      </c>
      <c r="H24" s="86">
        <v>45</v>
      </c>
      <c r="I24" s="294">
        <f t="shared" si="0"/>
        <v>67.5</v>
      </c>
      <c r="J24" s="59" t="s">
        <v>1008</v>
      </c>
      <c r="K24" s="83" t="s">
        <v>1043</v>
      </c>
      <c r="L24" s="83" t="str">
        <f t="shared" si="1"/>
        <v>White Nylon Cable Tie 2.5 x 100mm 100pcs/pack
White Nylon Cable Tie 2.5 x 100mm</v>
      </c>
      <c r="M24" s="83" t="s">
        <v>1025</v>
      </c>
      <c r="N24" s="59" t="s">
        <v>957</v>
      </c>
      <c r="O24" s="59">
        <v>50</v>
      </c>
      <c r="P24" s="86">
        <f t="shared" si="2"/>
        <v>3375</v>
      </c>
      <c r="Q24" s="59" t="s">
        <v>4741</v>
      </c>
      <c r="R24" s="59" t="str">
        <f t="shared" si="8"/>
        <v>SAFE</v>
      </c>
      <c r="S24" s="59">
        <f t="shared" si="9"/>
        <v>50</v>
      </c>
      <c r="T24" s="59"/>
      <c r="U24" s="290"/>
      <c r="V24" s="290"/>
      <c r="W24" s="290"/>
      <c r="X24" s="290"/>
      <c r="Y24" s="290"/>
      <c r="Z24" s="290"/>
      <c r="AA24" s="290"/>
      <c r="AB24" s="290"/>
      <c r="AC24" s="290"/>
      <c r="AD24" s="290"/>
    </row>
    <row r="25" spans="1:30" ht="25.5">
      <c r="A25" s="291">
        <f t="shared" si="3"/>
        <v>24</v>
      </c>
      <c r="B25" s="291" t="s">
        <v>1044</v>
      </c>
      <c r="C25" s="291" t="str">
        <f>IF(D24="","",UNIT!$B$1&amp;"-"&amp;B25)</f>
        <v>ICT-MIS-00024</v>
      </c>
      <c r="D25" s="83" t="s">
        <v>267</v>
      </c>
      <c r="E25" s="59" t="s">
        <v>155</v>
      </c>
      <c r="F25" s="295" t="s">
        <v>1023</v>
      </c>
      <c r="G25" s="295" t="s">
        <v>1023</v>
      </c>
      <c r="H25" s="86">
        <v>67</v>
      </c>
      <c r="I25" s="294">
        <f t="shared" si="0"/>
        <v>100.5</v>
      </c>
      <c r="J25" s="59" t="s">
        <v>1008</v>
      </c>
      <c r="K25" s="83" t="s">
        <v>1045</v>
      </c>
      <c r="L25" s="83" t="str">
        <f t="shared" si="1"/>
        <v>White Nylon Cable Tie 2.5 x 140mm 100pcs/pack
White Nylon Cable Tie 2.5 x 140mm</v>
      </c>
      <c r="M25" s="83" t="s">
        <v>1025</v>
      </c>
      <c r="N25" s="59" t="s">
        <v>957</v>
      </c>
      <c r="O25" s="59">
        <v>50</v>
      </c>
      <c r="P25" s="86">
        <f t="shared" si="2"/>
        <v>5025</v>
      </c>
      <c r="Q25" s="59" t="s">
        <v>4741</v>
      </c>
      <c r="R25" s="59" t="str">
        <f t="shared" si="8"/>
        <v>SAFE</v>
      </c>
      <c r="S25" s="59">
        <f t="shared" si="9"/>
        <v>50</v>
      </c>
      <c r="T25" s="59"/>
      <c r="U25" s="290"/>
      <c r="V25" s="290"/>
      <c r="W25" s="290"/>
      <c r="X25" s="290"/>
      <c r="Y25" s="290"/>
      <c r="Z25" s="290"/>
      <c r="AA25" s="290"/>
      <c r="AB25" s="290"/>
      <c r="AC25" s="290"/>
      <c r="AD25" s="290"/>
    </row>
    <row r="26" spans="1:30" ht="25.5">
      <c r="A26" s="291">
        <f t="shared" si="3"/>
        <v>25</v>
      </c>
      <c r="B26" s="291" t="s">
        <v>1046</v>
      </c>
      <c r="C26" s="291" t="str">
        <f>IF(D25="","",UNIT!$B$1&amp;"-"&amp;B26)</f>
        <v>ICT-MIS-00025</v>
      </c>
      <c r="D26" s="83" t="s">
        <v>268</v>
      </c>
      <c r="E26" s="59" t="s">
        <v>155</v>
      </c>
      <c r="F26" s="295" t="s">
        <v>1023</v>
      </c>
      <c r="G26" s="295" t="s">
        <v>1023</v>
      </c>
      <c r="H26" s="86">
        <v>80</v>
      </c>
      <c r="I26" s="294">
        <f t="shared" si="0"/>
        <v>120</v>
      </c>
      <c r="J26" s="59" t="s">
        <v>1008</v>
      </c>
      <c r="K26" s="83" t="s">
        <v>1047</v>
      </c>
      <c r="L26" s="83" t="str">
        <f t="shared" si="1"/>
        <v>White Nylon Cable Tie 3.6 x 140mm 100pcs/pack
White Nylon Cable Tie 3.6 x 140mm</v>
      </c>
      <c r="M26" s="83" t="s">
        <v>1025</v>
      </c>
      <c r="N26" s="59" t="s">
        <v>957</v>
      </c>
      <c r="O26" s="59">
        <v>40</v>
      </c>
      <c r="P26" s="86">
        <f t="shared" si="2"/>
        <v>4800</v>
      </c>
      <c r="Q26" s="59" t="s">
        <v>4741</v>
      </c>
      <c r="R26" s="59" t="str">
        <f t="shared" si="8"/>
        <v>SAFE</v>
      </c>
      <c r="S26" s="59">
        <f t="shared" si="9"/>
        <v>40</v>
      </c>
      <c r="T26" s="59"/>
      <c r="U26" s="290"/>
      <c r="V26" s="290"/>
      <c r="W26" s="290"/>
      <c r="X26" s="290"/>
      <c r="Y26" s="290"/>
      <c r="Z26" s="290"/>
      <c r="AA26" s="290"/>
      <c r="AB26" s="290"/>
      <c r="AC26" s="290"/>
      <c r="AD26" s="290"/>
    </row>
    <row r="27" spans="1:30" ht="25.5">
      <c r="A27" s="291">
        <f t="shared" si="3"/>
        <v>26</v>
      </c>
      <c r="B27" s="291" t="s">
        <v>1048</v>
      </c>
      <c r="C27" s="291" t="str">
        <f>IF(D26="","",UNIT!$B$1&amp;"-"&amp;B27)</f>
        <v>ICT-MIS-00026</v>
      </c>
      <c r="D27" s="83" t="s">
        <v>269</v>
      </c>
      <c r="E27" s="59" t="s">
        <v>155</v>
      </c>
      <c r="F27" s="295" t="s">
        <v>1023</v>
      </c>
      <c r="G27" s="295" t="s">
        <v>1023</v>
      </c>
      <c r="H27" s="86">
        <v>100</v>
      </c>
      <c r="I27" s="294">
        <f t="shared" si="0"/>
        <v>150</v>
      </c>
      <c r="J27" s="59" t="s">
        <v>1008</v>
      </c>
      <c r="K27" s="83" t="s">
        <v>1049</v>
      </c>
      <c r="L27" s="83" t="str">
        <f t="shared" si="1"/>
        <v>White Nylon Cable Tie 3.6 x 200mm 100pcs/pack
White Nylon Cable Tie 3.6 x 200mm</v>
      </c>
      <c r="M27" s="83" t="s">
        <v>1025</v>
      </c>
      <c r="N27" s="59" t="s">
        <v>957</v>
      </c>
      <c r="O27" s="59">
        <v>40</v>
      </c>
      <c r="P27" s="86">
        <f t="shared" si="2"/>
        <v>6000</v>
      </c>
      <c r="Q27" s="59" t="s">
        <v>4741</v>
      </c>
      <c r="R27" s="59" t="str">
        <f t="shared" si="8"/>
        <v>SAFE</v>
      </c>
      <c r="S27" s="59">
        <f t="shared" si="9"/>
        <v>40</v>
      </c>
      <c r="T27" s="59"/>
      <c r="U27" s="290"/>
      <c r="V27" s="290"/>
      <c r="W27" s="290"/>
      <c r="X27" s="290"/>
      <c r="Y27" s="290"/>
      <c r="Z27" s="290"/>
      <c r="AA27" s="290"/>
      <c r="AB27" s="290"/>
      <c r="AC27" s="290"/>
      <c r="AD27" s="290"/>
    </row>
    <row r="28" spans="1:30" ht="25.5">
      <c r="A28" s="291">
        <f t="shared" si="3"/>
        <v>27</v>
      </c>
      <c r="B28" s="291" t="s">
        <v>1050</v>
      </c>
      <c r="C28" s="291" t="str">
        <f>IF(D27="","",UNIT!$B$1&amp;"-"&amp;B28)</f>
        <v>ICT-MIS-00027</v>
      </c>
      <c r="D28" s="83" t="s">
        <v>270</v>
      </c>
      <c r="E28" s="59" t="s">
        <v>155</v>
      </c>
      <c r="F28" s="295" t="s">
        <v>1023</v>
      </c>
      <c r="G28" s="295" t="s">
        <v>1023</v>
      </c>
      <c r="H28" s="86">
        <v>162</v>
      </c>
      <c r="I28" s="294">
        <f t="shared" si="0"/>
        <v>243</v>
      </c>
      <c r="J28" s="59" t="s">
        <v>1008</v>
      </c>
      <c r="K28" s="83" t="s">
        <v>1051</v>
      </c>
      <c r="L28" s="83" t="str">
        <f t="shared" si="1"/>
        <v>White Nylon Cable Tie 3.6 x 300mm 100pcs/pack
White Nylon Cable Tie 3.6 x 300mm</v>
      </c>
      <c r="M28" s="83" t="s">
        <v>1025</v>
      </c>
      <c r="N28" s="59" t="s">
        <v>957</v>
      </c>
      <c r="O28" s="59">
        <v>30</v>
      </c>
      <c r="P28" s="86">
        <f t="shared" si="2"/>
        <v>7290</v>
      </c>
      <c r="Q28" s="59" t="s">
        <v>4741</v>
      </c>
      <c r="R28" s="59" t="str">
        <f t="shared" si="8"/>
        <v>SAFE</v>
      </c>
      <c r="S28" s="59">
        <f t="shared" si="9"/>
        <v>30</v>
      </c>
      <c r="T28" s="59"/>
      <c r="U28" s="290"/>
      <c r="V28" s="290"/>
      <c r="W28" s="290"/>
      <c r="X28" s="290"/>
      <c r="Y28" s="290"/>
      <c r="Z28" s="290"/>
      <c r="AA28" s="290"/>
      <c r="AB28" s="290"/>
      <c r="AC28" s="290"/>
      <c r="AD28" s="290"/>
    </row>
    <row r="29" spans="1:30" ht="25.5">
      <c r="A29" s="291">
        <f t="shared" si="3"/>
        <v>28</v>
      </c>
      <c r="B29" s="291" t="s">
        <v>1052</v>
      </c>
      <c r="C29" s="291" t="str">
        <f>IF(D28="","",UNIT!$B$1&amp;"-"&amp;B29)</f>
        <v>ICT-MIS-00028</v>
      </c>
      <c r="D29" s="83" t="s">
        <v>271</v>
      </c>
      <c r="E29" s="59" t="s">
        <v>155</v>
      </c>
      <c r="F29" s="295" t="s">
        <v>1023</v>
      </c>
      <c r="G29" s="295" t="s">
        <v>1023</v>
      </c>
      <c r="H29" s="86">
        <v>160</v>
      </c>
      <c r="I29" s="294">
        <f t="shared" si="0"/>
        <v>240</v>
      </c>
      <c r="J29" s="59" t="s">
        <v>1008</v>
      </c>
      <c r="K29" s="83" t="s">
        <v>1053</v>
      </c>
      <c r="L29" s="83" t="str">
        <f t="shared" si="1"/>
        <v>White Nylon Cable Tie 4.8 x 200mm 100pcs/pack
White Nylon Cable Tie 4.8 x 200mm</v>
      </c>
      <c r="M29" s="83" t="s">
        <v>1025</v>
      </c>
      <c r="N29" s="59" t="s">
        <v>957</v>
      </c>
      <c r="O29" s="59">
        <v>30</v>
      </c>
      <c r="P29" s="86">
        <f t="shared" si="2"/>
        <v>7200</v>
      </c>
      <c r="Q29" s="59" t="s">
        <v>4741</v>
      </c>
      <c r="R29" s="59" t="str">
        <f t="shared" si="8"/>
        <v>SAFE</v>
      </c>
      <c r="S29" s="59">
        <f t="shared" si="9"/>
        <v>30</v>
      </c>
      <c r="T29" s="59"/>
      <c r="U29" s="290"/>
      <c r="V29" s="290"/>
      <c r="W29" s="290"/>
      <c r="X29" s="290"/>
      <c r="Y29" s="290"/>
      <c r="Z29" s="290"/>
      <c r="AA29" s="290"/>
      <c r="AB29" s="290"/>
      <c r="AC29" s="290"/>
      <c r="AD29" s="290"/>
    </row>
    <row r="30" spans="1:30" ht="25.5">
      <c r="A30" s="291">
        <f t="shared" si="3"/>
        <v>29</v>
      </c>
      <c r="B30" s="291" t="s">
        <v>1054</v>
      </c>
      <c r="C30" s="291" t="str">
        <f>IF(D29="","",UNIT!$B$1&amp;"-"&amp;B30)</f>
        <v>ICT-MIS-00029</v>
      </c>
      <c r="D30" s="83" t="s">
        <v>272</v>
      </c>
      <c r="E30" s="59" t="s">
        <v>155</v>
      </c>
      <c r="F30" s="295" t="s">
        <v>1023</v>
      </c>
      <c r="G30" s="295" t="s">
        <v>1023</v>
      </c>
      <c r="H30" s="86">
        <v>180</v>
      </c>
      <c r="I30" s="294">
        <f t="shared" si="0"/>
        <v>270</v>
      </c>
      <c r="J30" s="59" t="s">
        <v>1008</v>
      </c>
      <c r="K30" s="83" t="s">
        <v>1055</v>
      </c>
      <c r="L30" s="83" t="str">
        <f t="shared" si="1"/>
        <v>White Nylon Cable Tie 4.8 x 250mm 100pcs/pack
White Nylon Cable Tie 4.8 x 250mm</v>
      </c>
      <c r="M30" s="83" t="s">
        <v>1025</v>
      </c>
      <c r="N30" s="59" t="s">
        <v>957</v>
      </c>
      <c r="O30" s="59">
        <v>10</v>
      </c>
      <c r="P30" s="86">
        <f t="shared" si="2"/>
        <v>2700</v>
      </c>
      <c r="Q30" s="59" t="s">
        <v>4741</v>
      </c>
      <c r="R30" s="59" t="str">
        <f t="shared" si="8"/>
        <v>SAFE</v>
      </c>
      <c r="S30" s="59">
        <f t="shared" si="9"/>
        <v>10</v>
      </c>
      <c r="T30" s="59"/>
      <c r="U30" s="290"/>
      <c r="V30" s="290"/>
      <c r="W30" s="290"/>
      <c r="X30" s="290"/>
      <c r="Y30" s="290"/>
      <c r="Z30" s="290"/>
      <c r="AA30" s="290"/>
      <c r="AB30" s="290"/>
      <c r="AC30" s="290"/>
      <c r="AD30" s="290"/>
    </row>
    <row r="31" spans="1:30" ht="25.5">
      <c r="A31" s="291">
        <f t="shared" si="3"/>
        <v>30</v>
      </c>
      <c r="B31" s="291" t="s">
        <v>1056</v>
      </c>
      <c r="C31" s="291" t="str">
        <f>IF(D30="","",UNIT!$B$1&amp;"-"&amp;B31)</f>
        <v>ICT-MIS-00030</v>
      </c>
      <c r="D31" s="83" t="s">
        <v>273</v>
      </c>
      <c r="E31" s="59" t="s">
        <v>155</v>
      </c>
      <c r="F31" s="295" t="s">
        <v>1023</v>
      </c>
      <c r="G31" s="295" t="s">
        <v>1023</v>
      </c>
      <c r="H31" s="86">
        <v>230</v>
      </c>
      <c r="I31" s="294">
        <f t="shared" si="0"/>
        <v>345</v>
      </c>
      <c r="J31" s="59" t="s">
        <v>1008</v>
      </c>
      <c r="K31" s="83" t="s">
        <v>1057</v>
      </c>
      <c r="L31" s="83" t="str">
        <f t="shared" si="1"/>
        <v>White Nylon Cable Tie 4.8 x 300mm 100pcs/pack
White Nylon Cable Tie 4.8 x 300mm</v>
      </c>
      <c r="M31" s="83" t="s">
        <v>1025</v>
      </c>
      <c r="N31" s="59" t="s">
        <v>957</v>
      </c>
      <c r="O31" s="59">
        <v>10</v>
      </c>
      <c r="P31" s="86">
        <f t="shared" si="2"/>
        <v>3450</v>
      </c>
      <c r="Q31" s="59" t="s">
        <v>4741</v>
      </c>
      <c r="R31" s="59" t="str">
        <f t="shared" si="8"/>
        <v>SAFE</v>
      </c>
      <c r="S31" s="59">
        <f t="shared" si="9"/>
        <v>10</v>
      </c>
      <c r="T31" s="59"/>
      <c r="U31" s="290"/>
      <c r="V31" s="290"/>
      <c r="W31" s="290"/>
      <c r="X31" s="290"/>
      <c r="Y31" s="290"/>
      <c r="Z31" s="290"/>
      <c r="AA31" s="290"/>
      <c r="AB31" s="290"/>
      <c r="AC31" s="290"/>
      <c r="AD31" s="290"/>
    </row>
    <row r="32" spans="1:30" ht="25.5">
      <c r="A32" s="291">
        <f t="shared" si="3"/>
        <v>31</v>
      </c>
      <c r="B32" s="291" t="s">
        <v>1058</v>
      </c>
      <c r="C32" s="291" t="str">
        <f>IF(D31="","",UNIT!$B$1&amp;"-"&amp;B32)</f>
        <v>ICT-MIS-00031</v>
      </c>
      <c r="D32" s="83" t="s">
        <v>274</v>
      </c>
      <c r="E32" s="59" t="s">
        <v>155</v>
      </c>
      <c r="F32" s="295" t="s">
        <v>1023</v>
      </c>
      <c r="G32" s="295" t="s">
        <v>1023</v>
      </c>
      <c r="H32" s="86">
        <v>330</v>
      </c>
      <c r="I32" s="294">
        <f t="shared" si="0"/>
        <v>495</v>
      </c>
      <c r="J32" s="59" t="s">
        <v>1008</v>
      </c>
      <c r="K32" s="83" t="s">
        <v>1059</v>
      </c>
      <c r="L32" s="83" t="str">
        <f t="shared" si="1"/>
        <v>White Nylon Cable Tie 4.8 x 400mm 100pcs/pack
White Nylon Cable Tie 4.8 x 400mm</v>
      </c>
      <c r="M32" s="83" t="s">
        <v>1025</v>
      </c>
      <c r="N32" s="59" t="s">
        <v>957</v>
      </c>
      <c r="O32" s="59">
        <v>10</v>
      </c>
      <c r="P32" s="86">
        <f t="shared" si="2"/>
        <v>4950</v>
      </c>
      <c r="Q32" s="59" t="s">
        <v>4741</v>
      </c>
      <c r="R32" s="59" t="str">
        <f t="shared" si="8"/>
        <v>SAFE</v>
      </c>
      <c r="S32" s="59">
        <f t="shared" si="9"/>
        <v>10</v>
      </c>
      <c r="T32" s="59"/>
      <c r="U32" s="290"/>
      <c r="V32" s="290"/>
      <c r="W32" s="290"/>
      <c r="X32" s="290"/>
      <c r="Y32" s="290"/>
      <c r="Z32" s="290"/>
      <c r="AA32" s="290"/>
      <c r="AB32" s="290"/>
      <c r="AC32" s="290"/>
      <c r="AD32" s="290"/>
    </row>
    <row r="33" spans="1:30" ht="102">
      <c r="A33" s="291">
        <f t="shared" si="3"/>
        <v>32</v>
      </c>
      <c r="B33" s="291" t="s">
        <v>1060</v>
      </c>
      <c r="C33" s="291" t="str">
        <f>IF(D32="","",UNIT!$B$1&amp;"-"&amp;B33)</f>
        <v>ICT-MIS-00032</v>
      </c>
      <c r="D33" s="83" t="s">
        <v>188</v>
      </c>
      <c r="E33" s="59" t="s">
        <v>189</v>
      </c>
      <c r="F33" s="293" t="s">
        <v>1061</v>
      </c>
      <c r="G33" s="293" t="s">
        <v>1062</v>
      </c>
      <c r="H33" s="86">
        <v>10500</v>
      </c>
      <c r="I33" s="294">
        <f t="shared" si="0"/>
        <v>15750</v>
      </c>
      <c r="J33" s="59" t="s">
        <v>1008</v>
      </c>
      <c r="K33" s="83" t="s">
        <v>1063</v>
      </c>
      <c r="L33" s="83" t="str">
        <f t="shared" si="1"/>
        <v>CAT 6 Cable, U/UTP, Indoor 305 meters
AWG: 24
Stranding: Solid
Material: BC - Bare Copper
No. of Pairs: 4
Material: PO - Polyolefin
Outer Jacket: PVC - Polyvinyl Chloride
ISO/IEC Compliance: ISO/IEC 11801</v>
      </c>
      <c r="M33" s="83" t="s">
        <v>1064</v>
      </c>
      <c r="N33" s="59" t="s">
        <v>957</v>
      </c>
      <c r="O33" s="59">
        <v>12</v>
      </c>
      <c r="P33" s="86">
        <f t="shared" si="2"/>
        <v>189000</v>
      </c>
      <c r="Q33" s="59" t="s">
        <v>4741</v>
      </c>
      <c r="R33" s="59" t="str">
        <f t="shared" si="8"/>
        <v>SAFE</v>
      </c>
      <c r="S33" s="59">
        <f t="shared" si="9"/>
        <v>12</v>
      </c>
      <c r="T33" s="59"/>
      <c r="U33" s="290"/>
      <c r="V33" s="290"/>
      <c r="W33" s="290"/>
      <c r="X33" s="290"/>
      <c r="Y33" s="290"/>
      <c r="Z33" s="290"/>
      <c r="AA33" s="290"/>
      <c r="AB33" s="290"/>
      <c r="AC33" s="290"/>
      <c r="AD33" s="290"/>
    </row>
    <row r="34" spans="1:30" ht="51">
      <c r="A34" s="291">
        <f t="shared" si="3"/>
        <v>33</v>
      </c>
      <c r="B34" s="291" t="s">
        <v>1065</v>
      </c>
      <c r="C34" s="291" t="str">
        <f>IF(D33="","",UNIT!$B$1&amp;"-"&amp;B34)</f>
        <v>ICT-MIS-00033</v>
      </c>
      <c r="D34" s="83" t="s">
        <v>1066</v>
      </c>
      <c r="E34" s="59" t="s">
        <v>189</v>
      </c>
      <c r="F34" s="296" t="s">
        <v>1067</v>
      </c>
      <c r="G34" s="297" t="s">
        <v>1068</v>
      </c>
      <c r="H34" s="86">
        <v>5000</v>
      </c>
      <c r="I34" s="294">
        <f t="shared" si="0"/>
        <v>7500</v>
      </c>
      <c r="J34" s="59" t="s">
        <v>1008</v>
      </c>
      <c r="K34" s="83" t="s">
        <v>1069</v>
      </c>
      <c r="L34" s="83" t="str">
        <f t="shared" si="1"/>
        <v>CAT6 Cable, UTP, OUTDOOR 305 meters
Conductor size:  23AWG
No. of Conductor:  4P
Pure Copper</v>
      </c>
      <c r="M34" s="83" t="s">
        <v>1070</v>
      </c>
      <c r="N34" s="59"/>
      <c r="O34" s="59"/>
      <c r="P34" s="86">
        <f t="shared" si="2"/>
        <v>0</v>
      </c>
      <c r="Q34" s="59" t="s">
        <v>4741</v>
      </c>
      <c r="R34" s="59" t="str">
        <f t="shared" si="8"/>
        <v>SAFE</v>
      </c>
      <c r="S34" s="59">
        <f t="shared" si="9"/>
        <v>0</v>
      </c>
      <c r="T34" s="59"/>
      <c r="U34" s="290"/>
      <c r="V34" s="290"/>
      <c r="W34" s="290"/>
      <c r="X34" s="290"/>
      <c r="Y34" s="290"/>
      <c r="Z34" s="290"/>
      <c r="AA34" s="290"/>
      <c r="AB34" s="290"/>
      <c r="AC34" s="290"/>
      <c r="AD34" s="290"/>
    </row>
    <row r="35" spans="1:30" ht="25.5">
      <c r="A35" s="291">
        <f t="shared" si="3"/>
        <v>34</v>
      </c>
      <c r="B35" s="291" t="s">
        <v>1071</v>
      </c>
      <c r="C35" s="291" t="str">
        <f>IF(D34="","",UNIT!$B$1&amp;"-"&amp;B35)</f>
        <v>ICT-MIS-00034</v>
      </c>
      <c r="D35" s="83" t="s">
        <v>249</v>
      </c>
      <c r="E35" s="59" t="s">
        <v>189</v>
      </c>
      <c r="F35" s="293" t="s">
        <v>1072</v>
      </c>
      <c r="G35" s="293" t="s">
        <v>1072</v>
      </c>
      <c r="H35" s="86">
        <v>400</v>
      </c>
      <c r="I35" s="294">
        <f t="shared" si="0"/>
        <v>600</v>
      </c>
      <c r="J35" s="59" t="s">
        <v>1008</v>
      </c>
      <c r="K35" s="83" t="s">
        <v>1073</v>
      </c>
      <c r="L35" s="83" t="str">
        <f t="shared" si="1"/>
        <v>Rj45 Metal Shield Connectors for CAT6 (100pcs)
Rj45 Metal Shield Connectors high quality</v>
      </c>
      <c r="M35" s="83" t="s">
        <v>1074</v>
      </c>
      <c r="N35" s="59" t="s">
        <v>957</v>
      </c>
      <c r="O35" s="59">
        <v>2</v>
      </c>
      <c r="P35" s="86">
        <f t="shared" si="2"/>
        <v>1200</v>
      </c>
      <c r="Q35" s="59" t="s">
        <v>4741</v>
      </c>
      <c r="R35" s="59" t="str">
        <f t="shared" si="8"/>
        <v>SAFE</v>
      </c>
      <c r="S35" s="59">
        <f t="shared" si="9"/>
        <v>2</v>
      </c>
      <c r="T35" s="59"/>
      <c r="U35" s="290"/>
      <c r="V35" s="290"/>
      <c r="W35" s="290"/>
      <c r="X35" s="290"/>
      <c r="Y35" s="290"/>
      <c r="Z35" s="290"/>
      <c r="AA35" s="290"/>
      <c r="AB35" s="290"/>
      <c r="AC35" s="290"/>
      <c r="AD35" s="290"/>
    </row>
    <row r="36" spans="1:30" ht="25.5">
      <c r="A36" s="291">
        <f t="shared" si="3"/>
        <v>35</v>
      </c>
      <c r="B36" s="291" t="s">
        <v>1075</v>
      </c>
      <c r="C36" s="291" t="str">
        <f>IF(D35="","",UNIT!$B$1&amp;"-"&amp;B36)</f>
        <v>ICT-MIS-00035</v>
      </c>
      <c r="D36" s="83" t="s">
        <v>248</v>
      </c>
      <c r="E36" s="59" t="s">
        <v>189</v>
      </c>
      <c r="F36" s="293" t="s">
        <v>1076</v>
      </c>
      <c r="G36" s="293" t="s">
        <v>1076</v>
      </c>
      <c r="H36" s="86">
        <v>450</v>
      </c>
      <c r="I36" s="294">
        <f t="shared" si="0"/>
        <v>675</v>
      </c>
      <c r="J36" s="59" t="s">
        <v>1008</v>
      </c>
      <c r="K36" s="83" t="s">
        <v>1077</v>
      </c>
      <c r="L36" s="83" t="str">
        <f t="shared" si="1"/>
        <v>Rj45 Connectors for CAT6 (100pcs Clear)
Rj45 Connectors high quality</v>
      </c>
      <c r="M36" s="83" t="s">
        <v>1074</v>
      </c>
      <c r="N36" s="59" t="s">
        <v>957</v>
      </c>
      <c r="O36" s="59">
        <v>10</v>
      </c>
      <c r="P36" s="86">
        <f t="shared" si="2"/>
        <v>6750</v>
      </c>
      <c r="Q36" s="59" t="s">
        <v>4741</v>
      </c>
      <c r="R36" s="59" t="str">
        <f t="shared" si="8"/>
        <v>SAFE</v>
      </c>
      <c r="S36" s="59">
        <f t="shared" si="9"/>
        <v>10</v>
      </c>
      <c r="T36" s="59"/>
      <c r="U36" s="290"/>
      <c r="V36" s="290"/>
      <c r="W36" s="290"/>
      <c r="X36" s="290"/>
      <c r="Y36" s="290"/>
      <c r="Z36" s="290"/>
      <c r="AA36" s="290"/>
      <c r="AB36" s="290"/>
      <c r="AC36" s="290"/>
      <c r="AD36" s="290"/>
    </row>
    <row r="37" spans="1:30" ht="89.25">
      <c r="A37" s="291">
        <f t="shared" si="3"/>
        <v>36</v>
      </c>
      <c r="B37" s="291" t="s">
        <v>1078</v>
      </c>
      <c r="C37" s="291" t="str">
        <f>IF(D36="","",UNIT!$B$1&amp;"-"&amp;B37)</f>
        <v>ICT-MIS-00036</v>
      </c>
      <c r="D37" s="83" t="s">
        <v>250</v>
      </c>
      <c r="E37" s="59" t="s">
        <v>189</v>
      </c>
      <c r="F37" s="293" t="s">
        <v>1079</v>
      </c>
      <c r="G37" s="293" t="s">
        <v>1079</v>
      </c>
      <c r="H37" s="86">
        <v>1100</v>
      </c>
      <c r="I37" s="294">
        <f t="shared" si="0"/>
        <v>1650</v>
      </c>
      <c r="J37" s="59" t="s">
        <v>954</v>
      </c>
      <c r="K37" s="298" t="s">
        <v>1080</v>
      </c>
      <c r="L37" s="83" t="str">
        <f t="shared" si="1"/>
        <v>Single Line Telephone (Black)
3 Programmable Ringer Tones; 
Adjustable Ringer/Handset Volume; 
Time Flash; 
Switchable Tone or Pulse Dialing;
Compatible with the existing NEC SV9100 Communication Server ; With at least 1 year warranty.
Warranty: 1 year or more</v>
      </c>
      <c r="M37" s="83" t="s">
        <v>1081</v>
      </c>
      <c r="N37" s="59" t="s">
        <v>957</v>
      </c>
      <c r="O37" s="59">
        <v>100</v>
      </c>
      <c r="P37" s="86">
        <f t="shared" si="2"/>
        <v>165000</v>
      </c>
      <c r="Q37" s="59" t="s">
        <v>4741</v>
      </c>
      <c r="R37" s="59" t="str">
        <f t="shared" si="8"/>
        <v>SAFE</v>
      </c>
      <c r="S37" s="59">
        <f t="shared" si="9"/>
        <v>100</v>
      </c>
      <c r="T37" s="59"/>
      <c r="U37" s="290"/>
      <c r="V37" s="290"/>
      <c r="W37" s="290"/>
      <c r="X37" s="290"/>
      <c r="Y37" s="290"/>
      <c r="Z37" s="290"/>
      <c r="AA37" s="290"/>
      <c r="AB37" s="290"/>
      <c r="AC37" s="290"/>
      <c r="AD37" s="290"/>
    </row>
    <row r="38" spans="1:30" ht="51">
      <c r="A38" s="291">
        <f t="shared" si="3"/>
        <v>37</v>
      </c>
      <c r="B38" s="291" t="s">
        <v>1082</v>
      </c>
      <c r="C38" s="291" t="str">
        <f>IF(D37="","",UNIT!$B$1&amp;"-"&amp;B38)</f>
        <v>ICT-MIS-00037</v>
      </c>
      <c r="D38" s="83" t="s">
        <v>190</v>
      </c>
      <c r="E38" s="59" t="s">
        <v>103</v>
      </c>
      <c r="F38" s="293" t="s">
        <v>1083</v>
      </c>
      <c r="G38" s="293" t="s">
        <v>1083</v>
      </c>
      <c r="H38" s="86">
        <v>130</v>
      </c>
      <c r="I38" s="294">
        <f t="shared" si="0"/>
        <v>195</v>
      </c>
      <c r="J38" s="59" t="s">
        <v>1008</v>
      </c>
      <c r="K38" s="83" t="s">
        <v>1084</v>
      </c>
      <c r="L38" s="83" t="str">
        <f t="shared" si="1"/>
        <v>CAT6/CAT5e Tool-Less Keystone Jack; High Quality
Backwards compatible to 10/100/1000 Mbps Ethernet CAT5 CAT5E CAT6
Labeled for T568A and T568B wiring scheme next to wire clips;
It accepts 22 to 26 AWG solid Ethernet Patch Cords</v>
      </c>
      <c r="M38" s="83" t="s">
        <v>1085</v>
      </c>
      <c r="N38" s="59" t="s">
        <v>957</v>
      </c>
      <c r="O38" s="59">
        <v>300</v>
      </c>
      <c r="P38" s="86">
        <f t="shared" si="2"/>
        <v>58500</v>
      </c>
      <c r="Q38" s="59" t="s">
        <v>4741</v>
      </c>
      <c r="R38" s="59" t="str">
        <f t="shared" si="8"/>
        <v>SAFE</v>
      </c>
      <c r="S38" s="59">
        <f t="shared" si="9"/>
        <v>300</v>
      </c>
      <c r="T38" s="59"/>
      <c r="U38" s="290"/>
      <c r="V38" s="290"/>
      <c r="W38" s="290"/>
      <c r="X38" s="290"/>
      <c r="Y38" s="290"/>
      <c r="Z38" s="290"/>
      <c r="AA38" s="290"/>
      <c r="AB38" s="290"/>
      <c r="AC38" s="290"/>
      <c r="AD38" s="290"/>
    </row>
    <row r="39" spans="1:30" ht="89.25">
      <c r="A39" s="291">
        <f t="shared" si="3"/>
        <v>38</v>
      </c>
      <c r="B39" s="291" t="s">
        <v>1086</v>
      </c>
      <c r="C39" s="291" t="str">
        <f>IF(D38="","",UNIT!$B$1&amp;"-"&amp;B39)</f>
        <v>ICT-MIS-00038</v>
      </c>
      <c r="D39" s="83" t="s">
        <v>404</v>
      </c>
      <c r="E39" s="59" t="s">
        <v>118</v>
      </c>
      <c r="F39" s="293" t="s">
        <v>1087</v>
      </c>
      <c r="G39" s="293" t="s">
        <v>1087</v>
      </c>
      <c r="H39" s="86">
        <v>9900</v>
      </c>
      <c r="I39" s="294">
        <f t="shared" si="0"/>
        <v>14850</v>
      </c>
      <c r="J39" s="59" t="s">
        <v>954</v>
      </c>
      <c r="K39" s="83" t="s">
        <v>1088</v>
      </c>
      <c r="L39" s="83" t="str">
        <f t="shared" si="1"/>
        <v>PC-Connectable Label Maker with 10pcs 12mm Laminated Tape
Full-color graphical display: View label appearance before printing
PC-Connectable: Use stand-alone, or connected to a PC or Mac for added design capabilities
Multi-line labels: Prints labels with up to 7 lines of text
Includes: 10pcs 12mm TZe231 laminated tape, USB cable and AC power adapter
Warranty: 1 year or more</v>
      </c>
      <c r="M39" s="83" t="s">
        <v>1089</v>
      </c>
      <c r="N39" s="59" t="s">
        <v>957</v>
      </c>
      <c r="O39" s="59">
        <v>1</v>
      </c>
      <c r="P39" s="86">
        <f t="shared" si="2"/>
        <v>14850</v>
      </c>
      <c r="Q39" s="59"/>
      <c r="R39" s="59"/>
      <c r="S39" s="59"/>
      <c r="T39" s="59"/>
      <c r="U39" s="290"/>
      <c r="V39" s="290"/>
      <c r="W39" s="290"/>
      <c r="X39" s="290"/>
      <c r="Y39" s="290"/>
      <c r="Z39" s="290"/>
      <c r="AA39" s="290"/>
      <c r="AB39" s="290"/>
      <c r="AC39" s="290"/>
      <c r="AD39" s="290"/>
    </row>
    <row r="40" spans="1:30" ht="102">
      <c r="A40" s="291">
        <f t="shared" si="3"/>
        <v>39</v>
      </c>
      <c r="B40" s="291" t="s">
        <v>1090</v>
      </c>
      <c r="C40" s="291" t="str">
        <f>IF(D39="","",UNIT!$B$1&amp;"-"&amp;B40)</f>
        <v>ICT-MIS-00039</v>
      </c>
      <c r="D40" s="83" t="s">
        <v>120</v>
      </c>
      <c r="E40" s="59" t="s">
        <v>103</v>
      </c>
      <c r="F40" s="293" t="s">
        <v>1091</v>
      </c>
      <c r="G40" s="295" t="s">
        <v>1092</v>
      </c>
      <c r="H40" s="86">
        <v>5800</v>
      </c>
      <c r="I40" s="294">
        <f t="shared" si="0"/>
        <v>8700</v>
      </c>
      <c r="J40" s="59" t="s">
        <v>954</v>
      </c>
      <c r="K40" s="83" t="s">
        <v>1093</v>
      </c>
      <c r="L40" s="83" t="str">
        <f t="shared" si="1"/>
        <v>21.5" FHD LED Monitor
Screen Size: 21.5"
Maximum Resolution: (Full HD)1920 x 1080
Aspect Ratio: 16:9
Backlight: LED
Panel Type: TN (Twisted Nematic Film)
Ports &amp; Connectors: VGA, HDMI
Warranty: 1 year or more</v>
      </c>
      <c r="M40" s="83" t="s">
        <v>1094</v>
      </c>
      <c r="N40" s="59" t="s">
        <v>957</v>
      </c>
      <c r="O40" s="59">
        <v>6</v>
      </c>
      <c r="P40" s="86">
        <f t="shared" si="2"/>
        <v>52200</v>
      </c>
      <c r="Q40" s="59" t="e">
        <f>VLOOKUP(D40,'[1]Pivot 2024 Conso'!$A$2:W1997,6,0)</f>
        <v>#N/A</v>
      </c>
      <c r="R40" s="59" t="e">
        <f>IF(O40&lt;=Q40,"SAFE","TAGPAS")</f>
        <v>#N/A</v>
      </c>
      <c r="S40" s="59" t="e">
        <f>IF(O40&lt;=Q40,O40,Q40)</f>
        <v>#N/A</v>
      </c>
      <c r="T40" s="59"/>
      <c r="U40" s="290"/>
      <c r="V40" s="290"/>
      <c r="W40" s="290"/>
      <c r="X40" s="290"/>
      <c r="Y40" s="290"/>
      <c r="Z40" s="290"/>
      <c r="AA40" s="290"/>
      <c r="AB40" s="290"/>
      <c r="AC40" s="290"/>
      <c r="AD40" s="290"/>
    </row>
    <row r="41" spans="1:30" ht="114.75">
      <c r="A41" s="291">
        <f t="shared" si="3"/>
        <v>40</v>
      </c>
      <c r="B41" s="291" t="s">
        <v>1095</v>
      </c>
      <c r="C41" s="291" t="str">
        <f>IF(D40="","",UNIT!$B$1&amp;"-"&amp;B41)</f>
        <v>ICT-MIS-00040</v>
      </c>
      <c r="D41" s="83" t="s">
        <v>1096</v>
      </c>
      <c r="E41" s="59" t="s">
        <v>103</v>
      </c>
      <c r="F41" s="295" t="s">
        <v>1097</v>
      </c>
      <c r="G41" s="293" t="s">
        <v>1098</v>
      </c>
      <c r="H41" s="86">
        <v>4200</v>
      </c>
      <c r="I41" s="294">
        <f t="shared" si="0"/>
        <v>6300</v>
      </c>
      <c r="J41" s="59" t="s">
        <v>954</v>
      </c>
      <c r="K41" s="83" t="s">
        <v>1099</v>
      </c>
      <c r="L41" s="83" t="str">
        <f t="shared" si="1"/>
        <v>Digital Multimeter (Branded)
CAT Rating: CAT III 600 V
V AC Range: 600.0 V
V DC Range: 600.0 V
Ohms Range: 40.00 MΩ
Auto Shutoff: YES
Continuity: YES
Battery: Two AAA
Warranty: 1 year warranty or more</v>
      </c>
      <c r="M41" s="83" t="s">
        <v>1100</v>
      </c>
      <c r="N41" s="59"/>
      <c r="O41" s="59"/>
      <c r="P41" s="86">
        <f t="shared" si="2"/>
        <v>0</v>
      </c>
      <c r="Q41" s="59"/>
      <c r="R41" s="59"/>
      <c r="S41" s="59"/>
      <c r="T41" s="59"/>
      <c r="U41" s="290"/>
      <c r="V41" s="290"/>
      <c r="W41" s="290"/>
      <c r="X41" s="290"/>
      <c r="Y41" s="290"/>
      <c r="Z41" s="290"/>
      <c r="AA41" s="290"/>
      <c r="AB41" s="290"/>
      <c r="AC41" s="290"/>
      <c r="AD41" s="290"/>
    </row>
    <row r="42" spans="1:30" ht="114.75">
      <c r="A42" s="291">
        <f t="shared" si="3"/>
        <v>41</v>
      </c>
      <c r="B42" s="291" t="s">
        <v>1101</v>
      </c>
      <c r="C42" s="291" t="str">
        <f>IF(D41="","",UNIT!$B$1&amp;"-"&amp;B42)</f>
        <v>ICT-MIS-00041</v>
      </c>
      <c r="D42" s="83" t="s">
        <v>240</v>
      </c>
      <c r="E42" s="59" t="s">
        <v>103</v>
      </c>
      <c r="F42" s="293" t="s">
        <v>1102</v>
      </c>
      <c r="G42" s="293" t="s">
        <v>1102</v>
      </c>
      <c r="H42" s="86">
        <v>900</v>
      </c>
      <c r="I42" s="294">
        <f t="shared" si="0"/>
        <v>1350</v>
      </c>
      <c r="J42" s="59" t="s">
        <v>954</v>
      </c>
      <c r="K42" s="83" t="s">
        <v>1103</v>
      </c>
      <c r="L42" s="83" t="str">
        <f t="shared" si="1"/>
        <v>Network Cable Tester RJ45 RJ11 Network LAN Ethernet
Support testing RJ1 / RJ12 / RJ45 interface
Powered by a 9V battery;Powered by the type-c port charging;With a type-c cable in package
Emergency Lighting Function: The flashlight switch is located on the left side of the host
The tester can test unshielded cables and shielded cables
UTP: The lights of the main tester will turn on sequentiy from 1 to 8.
STP: The lights of the main tester will turn on sequentiy from 1 to G.
Warranty: 1 year or more</v>
      </c>
      <c r="M42" s="83" t="s">
        <v>1104</v>
      </c>
      <c r="N42" s="59" t="s">
        <v>957</v>
      </c>
      <c r="O42" s="59">
        <v>2</v>
      </c>
      <c r="P42" s="86">
        <f t="shared" si="2"/>
        <v>2700</v>
      </c>
      <c r="Q42" s="59" t="e">
        <f>VLOOKUP(D42,'[1]Pivot 2024 Conso'!$A$2:W1997,6,0)</f>
        <v>#N/A</v>
      </c>
      <c r="R42" s="59" t="e">
        <f>IF(O42&lt;=Q42,"SAFE","TAGPAS")</f>
        <v>#N/A</v>
      </c>
      <c r="S42" s="59" t="e">
        <f>IF(O42&lt;=Q42,O42,Q42)</f>
        <v>#N/A</v>
      </c>
      <c r="T42" s="59"/>
      <c r="U42" s="290"/>
      <c r="V42" s="290"/>
      <c r="W42" s="290"/>
      <c r="X42" s="290"/>
      <c r="Y42" s="290"/>
      <c r="Z42" s="290"/>
      <c r="AA42" s="290"/>
      <c r="AB42" s="290"/>
      <c r="AC42" s="290"/>
      <c r="AD42" s="290"/>
    </row>
    <row r="43" spans="1:30" ht="216.75">
      <c r="A43" s="291">
        <f t="shared" si="3"/>
        <v>42</v>
      </c>
      <c r="B43" s="291" t="s">
        <v>1105</v>
      </c>
      <c r="C43" s="291" t="str">
        <f>IF(D42="","",UNIT!$B$1&amp;"-"&amp;B43)</f>
        <v>ICT-MIS-00042</v>
      </c>
      <c r="D43" s="83" t="s">
        <v>1106</v>
      </c>
      <c r="E43" s="59" t="s">
        <v>118</v>
      </c>
      <c r="F43" s="293" t="s">
        <v>1107</v>
      </c>
      <c r="G43" s="293" t="s">
        <v>1107</v>
      </c>
      <c r="H43" s="86">
        <v>3000</v>
      </c>
      <c r="I43" s="294">
        <f t="shared" si="0"/>
        <v>4500</v>
      </c>
      <c r="J43" s="59" t="s">
        <v>954</v>
      </c>
      <c r="K43" s="83" t="s">
        <v>1108</v>
      </c>
      <c r="L43" s="83" t="str">
        <f t="shared" si="1"/>
        <v>Network Tool Kit, 14 in 1
Including:
Crimper (8P8C &amp; 8P6C/6P4C Interface, Non-Slip Handle), 
Cable Tester(9V battery/Type-C Cable Charger, LED Status Display, 3 Test Speeds Mode), 
Punch Down Tool, 
Cable Stripper &amp; 2pcs Cable stripper, 
USb Cable, 
10pcs Cat6 connectors &amp; 
10pcs Cat5e connectors &amp; 
20pcs RJ11 connectors, 
20pcs Strain Relief Boots Cover, 
Marker pen, 
20pcs nylon cable ties, 
Patch cable, 
5 pcs replacement blades
w/ Handy Case
Warranty: 1 year or more on devices</v>
      </c>
      <c r="M43" s="83" t="s">
        <v>1109</v>
      </c>
      <c r="N43" s="59"/>
      <c r="O43" s="59"/>
      <c r="P43" s="86">
        <f t="shared" si="2"/>
        <v>0</v>
      </c>
      <c r="Q43" s="59"/>
      <c r="R43" s="59"/>
      <c r="S43" s="59"/>
      <c r="T43" s="59"/>
      <c r="U43" s="290"/>
      <c r="V43" s="290"/>
      <c r="W43" s="290"/>
      <c r="X43" s="290"/>
      <c r="Y43" s="290"/>
      <c r="Z43" s="290"/>
      <c r="AA43" s="290"/>
      <c r="AB43" s="290"/>
      <c r="AC43" s="290"/>
      <c r="AD43" s="290"/>
    </row>
    <row r="44" spans="1:30" ht="38.25">
      <c r="A44" s="291">
        <f t="shared" si="3"/>
        <v>43</v>
      </c>
      <c r="B44" s="291" t="s">
        <v>1110</v>
      </c>
      <c r="C44" s="291" t="str">
        <f>IF(D43="","",UNIT!$B$1&amp;"-"&amp;B44)</f>
        <v>ICT-MIS-00043</v>
      </c>
      <c r="D44" s="83" t="s">
        <v>407</v>
      </c>
      <c r="E44" s="59" t="s">
        <v>103</v>
      </c>
      <c r="F44" s="293" t="s">
        <v>1111</v>
      </c>
      <c r="G44" s="293" t="s">
        <v>1111</v>
      </c>
      <c r="H44" s="86">
        <v>900</v>
      </c>
      <c r="I44" s="294">
        <f t="shared" si="0"/>
        <v>1350</v>
      </c>
      <c r="J44" s="59" t="s">
        <v>954</v>
      </c>
      <c r="K44" s="83" t="s">
        <v>1112</v>
      </c>
      <c r="L44" s="83" t="str">
        <f t="shared" si="1"/>
        <v>RJ45 Crimp Tool Pass Through Cat5 Cat5e Cat6
Crimper Cutter Stripper for RJ45 RJ12 RJ11 8P 6P End Pass Through connector
High Carbon Steel and PVC Non-slip Handle</v>
      </c>
      <c r="M44" s="83" t="s">
        <v>1113</v>
      </c>
      <c r="N44" s="59" t="s">
        <v>957</v>
      </c>
      <c r="O44" s="59">
        <v>4</v>
      </c>
      <c r="P44" s="86">
        <f t="shared" si="2"/>
        <v>5400</v>
      </c>
      <c r="Q44" s="59"/>
      <c r="R44" s="59"/>
      <c r="S44" s="59"/>
      <c r="T44" s="59"/>
      <c r="U44" s="290"/>
      <c r="V44" s="290"/>
      <c r="W44" s="290"/>
      <c r="X44" s="290"/>
      <c r="Y44" s="290"/>
      <c r="Z44" s="290"/>
      <c r="AA44" s="290"/>
      <c r="AB44" s="290"/>
      <c r="AC44" s="290"/>
      <c r="AD44" s="290"/>
    </row>
    <row r="45" spans="1:30" ht="25.5">
      <c r="A45" s="291">
        <f t="shared" si="3"/>
        <v>44</v>
      </c>
      <c r="B45" s="291" t="s">
        <v>1114</v>
      </c>
      <c r="C45" s="291" t="str">
        <f>IF(D44="","",UNIT!$B$1&amp;"-"&amp;B45)</f>
        <v>ICT-MIS-00044</v>
      </c>
      <c r="D45" s="83" t="s">
        <v>1115</v>
      </c>
      <c r="E45" s="59" t="s">
        <v>103</v>
      </c>
      <c r="F45" s="293" t="s">
        <v>1116</v>
      </c>
      <c r="G45" s="293" t="s">
        <v>1116</v>
      </c>
      <c r="H45" s="86">
        <v>200</v>
      </c>
      <c r="I45" s="294">
        <f t="shared" si="0"/>
        <v>300</v>
      </c>
      <c r="J45" s="59" t="s">
        <v>954</v>
      </c>
      <c r="K45" s="83" t="s">
        <v>1117</v>
      </c>
      <c r="L45" s="83" t="str">
        <f t="shared" si="1"/>
        <v>Punch Down Tool
Terminates cable into patch panels and keystone jacks with existing Krone IDC terminations</v>
      </c>
      <c r="M45" s="83" t="s">
        <v>1118</v>
      </c>
      <c r="N45" s="59"/>
      <c r="O45" s="59"/>
      <c r="P45" s="86">
        <f t="shared" si="2"/>
        <v>0</v>
      </c>
      <c r="Q45" s="59"/>
      <c r="R45" s="59"/>
      <c r="S45" s="59"/>
      <c r="T45" s="59"/>
      <c r="U45" s="290"/>
      <c r="V45" s="290"/>
      <c r="W45" s="290"/>
      <c r="X45" s="290"/>
      <c r="Y45" s="290"/>
      <c r="Z45" s="290"/>
      <c r="AA45" s="290"/>
      <c r="AB45" s="290"/>
      <c r="AC45" s="290"/>
      <c r="AD45" s="290"/>
    </row>
    <row r="46" spans="1:30" ht="51">
      <c r="A46" s="291">
        <f t="shared" si="3"/>
        <v>45</v>
      </c>
      <c r="B46" s="291" t="s">
        <v>1119</v>
      </c>
      <c r="C46" s="291" t="str">
        <f>IF(D45="","",UNIT!$B$1&amp;"-"&amp;B46)</f>
        <v>ICT-MIS-00045</v>
      </c>
      <c r="D46" s="83" t="s">
        <v>100</v>
      </c>
      <c r="E46" s="59" t="s">
        <v>103</v>
      </c>
      <c r="F46" s="293" t="s">
        <v>1120</v>
      </c>
      <c r="G46" s="293" t="s">
        <v>1120</v>
      </c>
      <c r="H46" s="86">
        <v>70</v>
      </c>
      <c r="I46" s="294">
        <v>80</v>
      </c>
      <c r="J46" s="59" t="s">
        <v>1008</v>
      </c>
      <c r="K46" s="83" t="s">
        <v>1121</v>
      </c>
      <c r="L46" s="83" t="str">
        <f t="shared" si="1"/>
        <v>1.5M Gigabit Cat6 Ethernet Patch Cable with RJ45 CAT6 High Quality
Gigabit Speed and Ready to Use Cable
Cable Category: Cat6/Cat6e
Machine Crimped</v>
      </c>
      <c r="M46" s="83" t="s">
        <v>1122</v>
      </c>
      <c r="N46" s="59" t="s">
        <v>957</v>
      </c>
      <c r="O46" s="59">
        <v>100</v>
      </c>
      <c r="P46" s="86">
        <f t="shared" si="2"/>
        <v>8000</v>
      </c>
      <c r="Q46" s="59" t="s">
        <v>4741</v>
      </c>
      <c r="R46" s="59" t="str">
        <f t="shared" ref="R46:R50" si="10">IF(O46&lt;=Q46,"SAFE","TAGPAS")</f>
        <v>SAFE</v>
      </c>
      <c r="S46" s="59">
        <f t="shared" ref="S46:S50" si="11">IF(O46&lt;=Q46,O46,Q46)</f>
        <v>100</v>
      </c>
      <c r="T46" s="59"/>
      <c r="U46" s="290"/>
      <c r="V46" s="290"/>
      <c r="W46" s="290"/>
      <c r="X46" s="290"/>
      <c r="Y46" s="290"/>
      <c r="Z46" s="290"/>
      <c r="AA46" s="290"/>
      <c r="AB46" s="290"/>
      <c r="AC46" s="290"/>
      <c r="AD46" s="290"/>
    </row>
    <row r="47" spans="1:30" ht="51">
      <c r="A47" s="291">
        <f t="shared" si="3"/>
        <v>46</v>
      </c>
      <c r="B47" s="291" t="s">
        <v>1123</v>
      </c>
      <c r="C47" s="291" t="str">
        <f>IF(D46="","",UNIT!$B$1&amp;"-"&amp;B47)</f>
        <v>ICT-MIS-00046</v>
      </c>
      <c r="D47" s="83" t="s">
        <v>141</v>
      </c>
      <c r="E47" s="59" t="s">
        <v>103</v>
      </c>
      <c r="F47" s="293" t="s">
        <v>1120</v>
      </c>
      <c r="G47" s="293" t="s">
        <v>1120</v>
      </c>
      <c r="H47" s="86">
        <v>90</v>
      </c>
      <c r="I47" s="294">
        <f t="shared" ref="I47:I134" si="12">IF(H47&gt;1,H47*1.5,"")</f>
        <v>135</v>
      </c>
      <c r="J47" s="59" t="s">
        <v>1008</v>
      </c>
      <c r="K47" s="83" t="s">
        <v>1121</v>
      </c>
      <c r="L47" s="83" t="str">
        <f t="shared" si="1"/>
        <v>3M Gigabit Cat6 Ethernet Patch Cable with RJ45 CAT6 High Quality
Gigabit Speed and Ready to Use Cable
Cable Category: Cat6/Cat6e
Machine Crimped</v>
      </c>
      <c r="M47" s="83" t="s">
        <v>1122</v>
      </c>
      <c r="N47" s="59" t="s">
        <v>957</v>
      </c>
      <c r="O47" s="59">
        <v>70</v>
      </c>
      <c r="P47" s="86">
        <f t="shared" si="2"/>
        <v>9450</v>
      </c>
      <c r="Q47" s="59" t="s">
        <v>4741</v>
      </c>
      <c r="R47" s="59" t="str">
        <f t="shared" si="10"/>
        <v>SAFE</v>
      </c>
      <c r="S47" s="59">
        <f t="shared" si="11"/>
        <v>70</v>
      </c>
      <c r="T47" s="59"/>
      <c r="U47" s="290"/>
      <c r="V47" s="290"/>
      <c r="W47" s="290"/>
      <c r="X47" s="290"/>
      <c r="Y47" s="290"/>
      <c r="Z47" s="290"/>
      <c r="AA47" s="290"/>
      <c r="AB47" s="290"/>
      <c r="AC47" s="290"/>
      <c r="AD47" s="290"/>
    </row>
    <row r="48" spans="1:30" ht="51">
      <c r="A48" s="291">
        <f t="shared" si="3"/>
        <v>47</v>
      </c>
      <c r="B48" s="291" t="s">
        <v>1124</v>
      </c>
      <c r="C48" s="291" t="str">
        <f>IF(D47="","",UNIT!$B$1&amp;"-"&amp;B48)</f>
        <v>ICT-MIS-00047</v>
      </c>
      <c r="D48" s="83" t="s">
        <v>144</v>
      </c>
      <c r="E48" s="59" t="s">
        <v>103</v>
      </c>
      <c r="F48" s="293" t="s">
        <v>1120</v>
      </c>
      <c r="G48" s="293" t="s">
        <v>1120</v>
      </c>
      <c r="H48" s="86">
        <v>130</v>
      </c>
      <c r="I48" s="294">
        <f t="shared" si="12"/>
        <v>195</v>
      </c>
      <c r="J48" s="59" t="s">
        <v>1008</v>
      </c>
      <c r="K48" s="83" t="s">
        <v>1121</v>
      </c>
      <c r="L48" s="83" t="str">
        <f t="shared" si="1"/>
        <v>5M Gigabit Cat6 Ethernet Patch Cable with RJ45 CAT6 High Quality
Gigabit Speed and Ready to Use Cable
Cable Category: Cat6/Cat6e
Machine Crimped</v>
      </c>
      <c r="M48" s="83" t="s">
        <v>1122</v>
      </c>
      <c r="N48" s="59" t="s">
        <v>957</v>
      </c>
      <c r="O48" s="59">
        <v>50</v>
      </c>
      <c r="P48" s="86">
        <f t="shared" si="2"/>
        <v>9750</v>
      </c>
      <c r="Q48" s="59" t="s">
        <v>4741</v>
      </c>
      <c r="R48" s="59" t="str">
        <f t="shared" si="10"/>
        <v>SAFE</v>
      </c>
      <c r="S48" s="59">
        <f t="shared" si="11"/>
        <v>50</v>
      </c>
      <c r="T48" s="59"/>
      <c r="U48" s="290"/>
      <c r="V48" s="290"/>
      <c r="W48" s="290"/>
      <c r="X48" s="290"/>
      <c r="Y48" s="290"/>
      <c r="Z48" s="290"/>
      <c r="AA48" s="290"/>
      <c r="AB48" s="290"/>
      <c r="AC48" s="290"/>
      <c r="AD48" s="290"/>
    </row>
    <row r="49" spans="1:30" ht="51">
      <c r="A49" s="291">
        <f t="shared" si="3"/>
        <v>48</v>
      </c>
      <c r="B49" s="291" t="s">
        <v>1125</v>
      </c>
      <c r="C49" s="291" t="str">
        <f>IF(D48="","",UNIT!$B$1&amp;"-"&amp;B49)</f>
        <v>ICT-MIS-00048</v>
      </c>
      <c r="D49" s="83" t="s">
        <v>102</v>
      </c>
      <c r="E49" s="59" t="s">
        <v>103</v>
      </c>
      <c r="F49" s="293" t="s">
        <v>1120</v>
      </c>
      <c r="G49" s="293" t="s">
        <v>1120</v>
      </c>
      <c r="H49" s="86">
        <v>170</v>
      </c>
      <c r="I49" s="294">
        <f t="shared" si="12"/>
        <v>255</v>
      </c>
      <c r="J49" s="59" t="s">
        <v>1008</v>
      </c>
      <c r="K49" s="83" t="s">
        <v>1126</v>
      </c>
      <c r="L49" s="83" t="str">
        <f t="shared" si="1"/>
        <v>10M Gigabit Cat6 Ethernet Patch Cable with RJ45 CAT6 High Quality
Gigabit Speed and Ready to Use Cable
Cable Category: Cat6/Cat6e
Machine Crimped</v>
      </c>
      <c r="M49" s="83" t="s">
        <v>1122</v>
      </c>
      <c r="N49" s="59" t="s">
        <v>957</v>
      </c>
      <c r="O49" s="59">
        <v>50</v>
      </c>
      <c r="P49" s="86">
        <f t="shared" si="2"/>
        <v>12750</v>
      </c>
      <c r="Q49" s="59" t="s">
        <v>4741</v>
      </c>
      <c r="R49" s="59" t="str">
        <f t="shared" si="10"/>
        <v>SAFE</v>
      </c>
      <c r="S49" s="59">
        <f t="shared" si="11"/>
        <v>50</v>
      </c>
      <c r="T49" s="59"/>
      <c r="U49" s="290"/>
      <c r="V49" s="290"/>
      <c r="W49" s="290"/>
      <c r="X49" s="290"/>
      <c r="Y49" s="290"/>
      <c r="Z49" s="290"/>
      <c r="AA49" s="290"/>
      <c r="AB49" s="290"/>
      <c r="AC49" s="290"/>
      <c r="AD49" s="290"/>
    </row>
    <row r="50" spans="1:30" ht="25.5">
      <c r="A50" s="291">
        <f t="shared" si="3"/>
        <v>49</v>
      </c>
      <c r="B50" s="291" t="s">
        <v>1127</v>
      </c>
      <c r="C50" s="291" t="str">
        <f>IF(D49="","",UNIT!$B$1&amp;"-"&amp;B50)</f>
        <v>ICT-MIS-00049</v>
      </c>
      <c r="D50" s="83" t="s">
        <v>245</v>
      </c>
      <c r="E50" s="59" t="s">
        <v>103</v>
      </c>
      <c r="F50" s="293" t="s">
        <v>1128</v>
      </c>
      <c r="G50" s="293" t="s">
        <v>1128</v>
      </c>
      <c r="H50" s="86">
        <v>12</v>
      </c>
      <c r="I50" s="294">
        <f t="shared" si="12"/>
        <v>18</v>
      </c>
      <c r="J50" s="59" t="s">
        <v>1008</v>
      </c>
      <c r="K50" s="82" t="s">
        <v>1129</v>
      </c>
      <c r="L50" s="83" t="str">
        <f t="shared" si="1"/>
        <v>Rj11 Connector
6P6C Telephone Connector, High Quality</v>
      </c>
      <c r="M50" s="83" t="s">
        <v>1130</v>
      </c>
      <c r="N50" s="59" t="s">
        <v>957</v>
      </c>
      <c r="O50" s="59">
        <v>1000</v>
      </c>
      <c r="P50" s="86">
        <f t="shared" si="2"/>
        <v>18000</v>
      </c>
      <c r="Q50" s="59" t="s">
        <v>4741</v>
      </c>
      <c r="R50" s="59" t="str">
        <f t="shared" si="10"/>
        <v>SAFE</v>
      </c>
      <c r="S50" s="59">
        <f t="shared" si="11"/>
        <v>1000</v>
      </c>
      <c r="T50" s="59"/>
      <c r="U50" s="290"/>
      <c r="V50" s="290"/>
      <c r="W50" s="290"/>
      <c r="X50" s="290"/>
      <c r="Y50" s="290"/>
      <c r="Z50" s="290"/>
      <c r="AA50" s="290"/>
      <c r="AB50" s="290"/>
      <c r="AC50" s="290"/>
      <c r="AD50" s="290"/>
    </row>
    <row r="51" spans="1:30" ht="102">
      <c r="A51" s="291">
        <f t="shared" si="3"/>
        <v>50</v>
      </c>
      <c r="B51" s="291" t="s">
        <v>1131</v>
      </c>
      <c r="C51" s="291" t="str">
        <f>IF(D50="","",UNIT!$B$1&amp;"-"&amp;B51)</f>
        <v>ICT-MIS-00050</v>
      </c>
      <c r="D51" s="83" t="s">
        <v>1132</v>
      </c>
      <c r="E51" s="59" t="s">
        <v>103</v>
      </c>
      <c r="F51" s="293" t="s">
        <v>1133</v>
      </c>
      <c r="G51" s="293" t="s">
        <v>1133</v>
      </c>
      <c r="H51" s="86">
        <v>2500</v>
      </c>
      <c r="I51" s="294">
        <f t="shared" si="12"/>
        <v>3750</v>
      </c>
      <c r="J51" s="59" t="s">
        <v>954</v>
      </c>
      <c r="K51" s="83" t="s">
        <v>1134</v>
      </c>
      <c r="L51" s="83" t="str">
        <f t="shared" si="1"/>
        <v>Rework Station Hot Air Soldering Station Pull Gun Remake Station Combo
Hot air station
Rated Voltage: 220V 50/60Hz AC
Power Consumption: 450 (W)
Pump model: None Brushless Fan Soft Wind
Soldering Station
Power Consumption: 50（W)
Warranty: 1 year or more</v>
      </c>
      <c r="M51" s="83" t="s">
        <v>1135</v>
      </c>
      <c r="N51" s="59"/>
      <c r="O51" s="59"/>
      <c r="P51" s="86">
        <f t="shared" si="2"/>
        <v>0</v>
      </c>
      <c r="Q51" s="59"/>
      <c r="R51" s="59"/>
      <c r="S51" s="59"/>
      <c r="T51" s="59"/>
      <c r="U51" s="290"/>
      <c r="V51" s="290"/>
      <c r="W51" s="290"/>
      <c r="X51" s="290"/>
      <c r="Y51" s="290"/>
      <c r="Z51" s="290"/>
      <c r="AA51" s="290"/>
      <c r="AB51" s="290"/>
      <c r="AC51" s="290"/>
      <c r="AD51" s="290"/>
    </row>
    <row r="52" spans="1:30" ht="102">
      <c r="A52" s="291">
        <f t="shared" si="3"/>
        <v>51</v>
      </c>
      <c r="B52" s="291" t="s">
        <v>1136</v>
      </c>
      <c r="C52" s="291" t="str">
        <f>IF(D51="","",UNIT!$B$1&amp;"-"&amp;B52)</f>
        <v>ICT-MIS-00051</v>
      </c>
      <c r="D52" s="83" t="s">
        <v>264</v>
      </c>
      <c r="E52" s="59" t="s">
        <v>103</v>
      </c>
      <c r="F52" s="293" t="s">
        <v>1137</v>
      </c>
      <c r="G52" s="293" t="s">
        <v>1137</v>
      </c>
      <c r="H52" s="86">
        <v>1200</v>
      </c>
      <c r="I52" s="294">
        <f t="shared" si="12"/>
        <v>1800</v>
      </c>
      <c r="J52" s="59" t="s">
        <v>954</v>
      </c>
      <c r="K52" s="83" t="s">
        <v>1138</v>
      </c>
      <c r="L52" s="83" t="str">
        <f t="shared" si="1"/>
        <v>Walkie Talkie Dual Band Handheld Two Way Radio
Frequency range: VHF/UHF136-174Mhz &amp; 400-520Mhz
[TX] 136 – 174MHz, 400 – 520MHz
[RX] 136 – 174MHz, 400 – 520MHz
Channel Capacity: 128 Channels
Battery: 1500mAh
Output power: 5W / 1W
Warranty: 1 year or more</v>
      </c>
      <c r="M52" s="83" t="s">
        <v>1139</v>
      </c>
      <c r="N52" s="59"/>
      <c r="O52" s="59"/>
      <c r="P52" s="86">
        <f t="shared" si="2"/>
        <v>0</v>
      </c>
      <c r="Q52" s="59" t="s">
        <v>4741</v>
      </c>
      <c r="R52" s="59"/>
      <c r="S52" s="59"/>
      <c r="T52" s="59"/>
      <c r="U52" s="290"/>
      <c r="V52" s="290"/>
      <c r="W52" s="290"/>
      <c r="X52" s="290"/>
      <c r="Y52" s="290"/>
      <c r="Z52" s="290"/>
      <c r="AA52" s="290"/>
      <c r="AB52" s="290"/>
      <c r="AC52" s="290"/>
      <c r="AD52" s="290"/>
    </row>
    <row r="53" spans="1:30" ht="127.5">
      <c r="A53" s="291">
        <f t="shared" si="3"/>
        <v>52</v>
      </c>
      <c r="B53" s="291" t="s">
        <v>1140</v>
      </c>
      <c r="C53" s="291" t="str">
        <f>IF(D52="","",UNIT!$B$1&amp;"-"&amp;B53)</f>
        <v>ICT-MIS-00052</v>
      </c>
      <c r="D53" s="83" t="s">
        <v>275</v>
      </c>
      <c r="E53" s="59" t="s">
        <v>103</v>
      </c>
      <c r="F53" s="293" t="s">
        <v>1141</v>
      </c>
      <c r="G53" s="293" t="s">
        <v>1142</v>
      </c>
      <c r="H53" s="86">
        <v>10500</v>
      </c>
      <c r="I53" s="294">
        <f t="shared" si="12"/>
        <v>15750</v>
      </c>
      <c r="J53" s="59" t="s">
        <v>954</v>
      </c>
      <c r="K53" s="83" t="s">
        <v>1143</v>
      </c>
      <c r="L53" s="83" t="str">
        <f t="shared" si="1"/>
        <v>WiFi 6 Access Point Dual-band 
Networking interface: (1) GbE RJ45 port
Power method: PoE+
Power supply: 48V, 0.5A PoE adapter
Dual-band WiFi 6 (802.11ax)
5 GHz (4x4 MU-MIMO and OFDMA)
2.4 GHz (2x2 MU-MIMO and OFDMA)
Included universal mounting plate, backing plate, and screw kit
Compatible with the existing UniFi Network Application
Warranty: 1 year or more</v>
      </c>
      <c r="M53" s="83" t="s">
        <v>1144</v>
      </c>
      <c r="N53" s="59" t="s">
        <v>957</v>
      </c>
      <c r="O53" s="59">
        <v>40</v>
      </c>
      <c r="P53" s="86">
        <f t="shared" si="2"/>
        <v>630000</v>
      </c>
      <c r="Q53" s="59" t="s">
        <v>4741</v>
      </c>
      <c r="R53" s="59" t="str">
        <f t="shared" ref="R53:R58" si="13">IF(O53&lt;=Q53,"SAFE","TAGPAS")</f>
        <v>SAFE</v>
      </c>
      <c r="S53" s="59">
        <f t="shared" ref="S53:S58" si="14">IF(O53&lt;=Q53,O53,Q53)</f>
        <v>40</v>
      </c>
      <c r="T53" s="59"/>
      <c r="U53" s="290"/>
      <c r="V53" s="290"/>
      <c r="W53" s="290"/>
      <c r="X53" s="290"/>
      <c r="Y53" s="290"/>
      <c r="Z53" s="290"/>
      <c r="AA53" s="290"/>
      <c r="AB53" s="290"/>
      <c r="AC53" s="290"/>
      <c r="AD53" s="290"/>
    </row>
    <row r="54" spans="1:30" ht="38.25">
      <c r="A54" s="291">
        <f t="shared" si="3"/>
        <v>53</v>
      </c>
      <c r="B54" s="291" t="s">
        <v>1145</v>
      </c>
      <c r="C54" s="291" t="str">
        <f>IF(D53="","",UNIT!$B$1&amp;"-"&amp;B54)</f>
        <v>ICT-MIS-00053</v>
      </c>
      <c r="D54" s="83" t="s">
        <v>255</v>
      </c>
      <c r="E54" s="59" t="s">
        <v>103</v>
      </c>
      <c r="F54" s="293" t="s">
        <v>1146</v>
      </c>
      <c r="G54" s="293" t="s">
        <v>1146</v>
      </c>
      <c r="H54" s="86">
        <v>40</v>
      </c>
      <c r="I54" s="294">
        <f t="shared" si="12"/>
        <v>60</v>
      </c>
      <c r="J54" s="59" t="s">
        <v>1008</v>
      </c>
      <c r="K54" s="83" t="s">
        <v>1147</v>
      </c>
      <c r="L54" s="83" t="str">
        <f t="shared" si="1"/>
        <v>Thermal Paste Syringe
Thermal Conductive Grease Paste For CPU GPU High Quality
30g or more</v>
      </c>
      <c r="M54" s="83" t="s">
        <v>1148</v>
      </c>
      <c r="N54" s="59" t="s">
        <v>957</v>
      </c>
      <c r="O54" s="59">
        <v>40</v>
      </c>
      <c r="P54" s="86">
        <f t="shared" si="2"/>
        <v>2400</v>
      </c>
      <c r="Q54" s="59" t="s">
        <v>4741</v>
      </c>
      <c r="R54" s="59" t="str">
        <f t="shared" si="13"/>
        <v>SAFE</v>
      </c>
      <c r="S54" s="59">
        <f t="shared" si="14"/>
        <v>40</v>
      </c>
      <c r="T54" s="59"/>
      <c r="U54" s="290"/>
      <c r="V54" s="290"/>
      <c r="W54" s="290"/>
      <c r="X54" s="290"/>
      <c r="Y54" s="290"/>
      <c r="Z54" s="290"/>
      <c r="AA54" s="290"/>
      <c r="AB54" s="290"/>
      <c r="AC54" s="290"/>
      <c r="AD54" s="290"/>
    </row>
    <row r="55" spans="1:30" ht="102">
      <c r="A55" s="291">
        <f t="shared" si="3"/>
        <v>54</v>
      </c>
      <c r="B55" s="291" t="s">
        <v>1149</v>
      </c>
      <c r="C55" s="291" t="str">
        <f>IF(D54="","",UNIT!$B$1&amp;"-"&amp;B55)</f>
        <v>ICT-MIS-00054</v>
      </c>
      <c r="D55" s="83" t="s">
        <v>1150</v>
      </c>
      <c r="E55" s="59" t="s">
        <v>103</v>
      </c>
      <c r="F55" s="293" t="s">
        <v>1151</v>
      </c>
      <c r="G55" s="293" t="s">
        <v>1152</v>
      </c>
      <c r="H55" s="86">
        <v>1100</v>
      </c>
      <c r="I55" s="294">
        <f t="shared" si="12"/>
        <v>1650</v>
      </c>
      <c r="J55" s="59" t="s">
        <v>954</v>
      </c>
      <c r="K55" s="83" t="s">
        <v>1153</v>
      </c>
      <c r="L55" s="83" t="str">
        <f t="shared" si="1"/>
        <v>WiFi Dongle High Gain Wireless Dual Band USB Adapter 
Dual Band
867 Mbps or more on the 5 GHz band
400 Mbps or more on the 2.4 GHz band
MU-MIMO technology
Antennas: 1 External High gain Antenna
Interface: USB 3.0
Warranty: 1 year or more</v>
      </c>
      <c r="M55" s="83" t="s">
        <v>1154</v>
      </c>
      <c r="N55" s="59"/>
      <c r="O55" s="59"/>
      <c r="P55" s="86">
        <f t="shared" si="2"/>
        <v>0</v>
      </c>
      <c r="Q55" s="59" t="s">
        <v>4741</v>
      </c>
      <c r="R55" s="59" t="str">
        <f t="shared" si="13"/>
        <v>SAFE</v>
      </c>
      <c r="S55" s="59">
        <f t="shared" si="14"/>
        <v>0</v>
      </c>
      <c r="T55" s="59"/>
      <c r="U55" s="290"/>
      <c r="V55" s="290"/>
      <c r="W55" s="290"/>
      <c r="X55" s="290"/>
      <c r="Y55" s="290"/>
      <c r="Z55" s="290"/>
      <c r="AA55" s="290"/>
      <c r="AB55" s="290"/>
      <c r="AC55" s="290"/>
      <c r="AD55" s="290"/>
    </row>
    <row r="56" spans="1:30" ht="76.5">
      <c r="A56" s="291">
        <f t="shared" si="3"/>
        <v>55</v>
      </c>
      <c r="B56" s="291" t="s">
        <v>1155</v>
      </c>
      <c r="C56" s="291" t="str">
        <f>IF(D55="","",UNIT!$B$1&amp;"-"&amp;B56)</f>
        <v>ICT-MIS-00055</v>
      </c>
      <c r="D56" s="83" t="s">
        <v>220</v>
      </c>
      <c r="E56" s="59" t="s">
        <v>103</v>
      </c>
      <c r="F56" s="293" t="s">
        <v>1156</v>
      </c>
      <c r="G56" s="295" t="s">
        <v>1156</v>
      </c>
      <c r="H56" s="86">
        <v>1300</v>
      </c>
      <c r="I56" s="294">
        <f t="shared" si="12"/>
        <v>1950</v>
      </c>
      <c r="J56" s="59" t="s">
        <v>1008</v>
      </c>
      <c r="K56" s="83" t="s">
        <v>1157</v>
      </c>
      <c r="L56" s="83" t="str">
        <f t="shared" si="1"/>
        <v>Ergonomic Chair Design Metal Base
Ergonomic Design with Thick Cushion and Breathable Mesh
High Back Design with Headrest
Chromed Steel Base &amp; Nylon Casters
Pneumatic Height Adjustment
360 Degrees Swivel Function</v>
      </c>
      <c r="M56" s="83" t="s">
        <v>1158</v>
      </c>
      <c r="N56" s="59" t="s">
        <v>957</v>
      </c>
      <c r="O56" s="59">
        <v>15</v>
      </c>
      <c r="P56" s="86">
        <f t="shared" si="2"/>
        <v>29250</v>
      </c>
      <c r="Q56" s="59" t="s">
        <v>4741</v>
      </c>
      <c r="R56" s="59" t="str">
        <f t="shared" si="13"/>
        <v>SAFE</v>
      </c>
      <c r="S56" s="59">
        <f t="shared" si="14"/>
        <v>15</v>
      </c>
      <c r="T56" s="59"/>
      <c r="U56" s="290"/>
      <c r="V56" s="290"/>
      <c r="W56" s="290"/>
      <c r="X56" s="290"/>
      <c r="Y56" s="290"/>
      <c r="Z56" s="290"/>
      <c r="AA56" s="290"/>
      <c r="AB56" s="290"/>
      <c r="AC56" s="290"/>
      <c r="AD56" s="290"/>
    </row>
    <row r="57" spans="1:30" ht="38.25">
      <c r="A57" s="291">
        <f t="shared" si="3"/>
        <v>56</v>
      </c>
      <c r="B57" s="291" t="s">
        <v>1159</v>
      </c>
      <c r="C57" s="291" t="str">
        <f>IF(D56="","",UNIT!$B$1&amp;"-"&amp;B57)</f>
        <v>ICT-MIS-00056</v>
      </c>
      <c r="D57" s="83" t="s">
        <v>221</v>
      </c>
      <c r="E57" s="59" t="s">
        <v>103</v>
      </c>
      <c r="F57" s="295" t="s">
        <v>1160</v>
      </c>
      <c r="G57" s="293" t="s">
        <v>1160</v>
      </c>
      <c r="H57" s="86">
        <v>90</v>
      </c>
      <c r="I57" s="294">
        <f t="shared" si="12"/>
        <v>135</v>
      </c>
      <c r="J57" s="59" t="s">
        <v>1008</v>
      </c>
      <c r="K57" s="83" t="s">
        <v>1161</v>
      </c>
      <c r="L57" s="83" t="str">
        <f t="shared" si="1"/>
        <v>Extreme Instant Glue Gel 3g
Impact, heat, and water resistant
Bonds metal, rubber, porcelain, wood, and most plastics</v>
      </c>
      <c r="M57" s="83" t="s">
        <v>1162</v>
      </c>
      <c r="N57" s="59" t="s">
        <v>957</v>
      </c>
      <c r="O57" s="59">
        <v>24</v>
      </c>
      <c r="P57" s="86">
        <f t="shared" si="2"/>
        <v>3240</v>
      </c>
      <c r="Q57" s="59" t="s">
        <v>4741</v>
      </c>
      <c r="R57" s="59" t="str">
        <f t="shared" si="13"/>
        <v>SAFE</v>
      </c>
      <c r="S57" s="59">
        <f t="shared" si="14"/>
        <v>24</v>
      </c>
      <c r="T57" s="59"/>
      <c r="U57" s="290"/>
      <c r="V57" s="290"/>
      <c r="W57" s="290"/>
      <c r="X57" s="290"/>
      <c r="Y57" s="290"/>
      <c r="Z57" s="290"/>
      <c r="AA57" s="290"/>
      <c r="AB57" s="290"/>
      <c r="AC57" s="290"/>
      <c r="AD57" s="290"/>
    </row>
    <row r="58" spans="1:30" ht="51">
      <c r="A58" s="291">
        <f t="shared" si="3"/>
        <v>57</v>
      </c>
      <c r="B58" s="291" t="s">
        <v>1163</v>
      </c>
      <c r="C58" s="291" t="str">
        <f>IF(D57="","",UNIT!$B$1&amp;"-"&amp;B58)</f>
        <v>ICT-MIS-00057</v>
      </c>
      <c r="D58" s="83" t="s">
        <v>261</v>
      </c>
      <c r="E58" s="59" t="s">
        <v>118</v>
      </c>
      <c r="F58" s="293" t="s">
        <v>1164</v>
      </c>
      <c r="G58" s="293" t="s">
        <v>1164</v>
      </c>
      <c r="H58" s="86">
        <v>500</v>
      </c>
      <c r="I58" s="294">
        <f t="shared" si="12"/>
        <v>750</v>
      </c>
      <c r="J58" s="59" t="s">
        <v>954</v>
      </c>
      <c r="K58" s="83" t="s">
        <v>1165</v>
      </c>
      <c r="L58" s="83" t="str">
        <f t="shared" si="1"/>
        <v>VDE Insulated Flat Phillips Handle Screwdrivers Set Insulated
3 pcs insulated slotted screwdrivers: 3x75mm, 4x100mm, 5.5x125mm
2 pcs insulated phillips screwdrivers: PH1x80mm, PH2x100mm
1pc 3.0x140mm voltage tester 125-250V</v>
      </c>
      <c r="M58" s="83" t="s">
        <v>1166</v>
      </c>
      <c r="N58" s="59" t="s">
        <v>957</v>
      </c>
      <c r="O58" s="59">
        <v>2</v>
      </c>
      <c r="P58" s="86">
        <f t="shared" si="2"/>
        <v>1500</v>
      </c>
      <c r="Q58" s="59" t="s">
        <v>4741</v>
      </c>
      <c r="R58" s="59" t="str">
        <f t="shared" si="13"/>
        <v>SAFE</v>
      </c>
      <c r="S58" s="59">
        <f t="shared" si="14"/>
        <v>2</v>
      </c>
      <c r="T58" s="59"/>
      <c r="U58" s="290"/>
      <c r="V58" s="290"/>
      <c r="W58" s="290"/>
      <c r="X58" s="290"/>
      <c r="Y58" s="290"/>
      <c r="Z58" s="290"/>
      <c r="AA58" s="290"/>
      <c r="AB58" s="290"/>
      <c r="AC58" s="290"/>
      <c r="AD58" s="290"/>
    </row>
    <row r="59" spans="1:30" ht="76.5">
      <c r="A59" s="291">
        <f t="shared" si="3"/>
        <v>58</v>
      </c>
      <c r="B59" s="291" t="s">
        <v>1167</v>
      </c>
      <c r="C59" s="291" t="str">
        <f>IF(D58="","",UNIT!$B$1&amp;"-"&amp;B59)</f>
        <v>ICT-MIS-00058</v>
      </c>
      <c r="D59" s="83" t="s">
        <v>366</v>
      </c>
      <c r="E59" s="59" t="s">
        <v>103</v>
      </c>
      <c r="F59" s="295" t="s">
        <v>1168</v>
      </c>
      <c r="G59" s="293" t="s">
        <v>1168</v>
      </c>
      <c r="H59" s="86">
        <v>2000</v>
      </c>
      <c r="I59" s="294">
        <f t="shared" si="12"/>
        <v>3000</v>
      </c>
      <c r="J59" s="59" t="s">
        <v>954</v>
      </c>
      <c r="K59" s="83" t="s">
        <v>1169</v>
      </c>
      <c r="L59" s="83" t="str">
        <f t="shared" si="1"/>
        <v>Aluminum Step Ladder, FT-6 (6 Steps)
Height when opened: 1.30m or more (From Top Platform to Ground)
Foldable and lightweight
Load Capacity: 300 lbs or more
22" or more Tall Extended Handrail and Extra Large Platform Area
Main Material: High Strength Aluminum</v>
      </c>
      <c r="M59" s="83" t="s">
        <v>1170</v>
      </c>
      <c r="N59" s="59" t="s">
        <v>957</v>
      </c>
      <c r="O59" s="59">
        <v>2</v>
      </c>
      <c r="P59" s="86">
        <f t="shared" si="2"/>
        <v>6000</v>
      </c>
      <c r="Q59" s="59"/>
      <c r="R59" s="59"/>
      <c r="S59" s="59"/>
      <c r="T59" s="59"/>
      <c r="U59" s="290"/>
      <c r="V59" s="290"/>
      <c r="W59" s="290"/>
      <c r="X59" s="290"/>
      <c r="Y59" s="290"/>
      <c r="Z59" s="290"/>
      <c r="AA59" s="290"/>
      <c r="AB59" s="290"/>
      <c r="AC59" s="290"/>
      <c r="AD59" s="290"/>
    </row>
    <row r="60" spans="1:30" ht="153">
      <c r="A60" s="291">
        <f t="shared" si="3"/>
        <v>59</v>
      </c>
      <c r="B60" s="291" t="s">
        <v>1171</v>
      </c>
      <c r="C60" s="291" t="str">
        <f>IF(D59="","",UNIT!$B$1&amp;"-"&amp;B60)</f>
        <v>ICT-MIS-00059</v>
      </c>
      <c r="D60" s="83" t="s">
        <v>359</v>
      </c>
      <c r="E60" s="59" t="s">
        <v>103</v>
      </c>
      <c r="F60" s="295" t="s">
        <v>1172</v>
      </c>
      <c r="G60" s="293" t="s">
        <v>1173</v>
      </c>
      <c r="H60" s="86">
        <v>19000</v>
      </c>
      <c r="I60" s="294">
        <f t="shared" si="12"/>
        <v>28500</v>
      </c>
      <c r="J60" s="59" t="s">
        <v>954</v>
      </c>
      <c r="K60" s="83" t="s">
        <v>1174</v>
      </c>
      <c r="L60" s="83" t="str">
        <f t="shared" si="1"/>
        <v>27inch Curved Monitor
Panel Size (inch) : 27
Aspect Ratio : 16:9
Display Surface : Non-Glare
Backlight Type : LED
Panel Type : VA
Resolution : 1920x1080
Curvature : 1500R
Refresh Rate (Max) : 165Hz
HDMI x 1, VGA x 1
VESA Wall Mounting 100x100mm
Warranty: 1 year or more</v>
      </c>
      <c r="M60" s="83" t="s">
        <v>1175</v>
      </c>
      <c r="N60" s="59" t="s">
        <v>957</v>
      </c>
      <c r="O60" s="59">
        <v>5</v>
      </c>
      <c r="P60" s="86">
        <f t="shared" si="2"/>
        <v>142500</v>
      </c>
      <c r="Q60" s="59"/>
      <c r="R60" s="59"/>
      <c r="S60" s="59"/>
      <c r="T60" s="59"/>
      <c r="U60" s="290"/>
      <c r="V60" s="290"/>
      <c r="W60" s="290"/>
      <c r="X60" s="290"/>
      <c r="Y60" s="290"/>
      <c r="Z60" s="290"/>
      <c r="AA60" s="290"/>
      <c r="AB60" s="290"/>
      <c r="AC60" s="290"/>
      <c r="AD60" s="290"/>
    </row>
    <row r="61" spans="1:30" ht="76.5">
      <c r="A61" s="291">
        <f t="shared" si="3"/>
        <v>60</v>
      </c>
      <c r="B61" s="291" t="s">
        <v>1176</v>
      </c>
      <c r="C61" s="291" t="str">
        <f>IF(D60="","",UNIT!$B$1&amp;"-"&amp;B61)</f>
        <v>ICT-MIS-00060</v>
      </c>
      <c r="D61" s="83" t="s">
        <v>1177</v>
      </c>
      <c r="E61" s="59" t="s">
        <v>103</v>
      </c>
      <c r="F61" s="295" t="s">
        <v>1178</v>
      </c>
      <c r="G61" s="295" t="s">
        <v>1179</v>
      </c>
      <c r="H61" s="86">
        <v>4000</v>
      </c>
      <c r="I61" s="294">
        <f t="shared" si="12"/>
        <v>6000</v>
      </c>
      <c r="J61" s="59" t="s">
        <v>954</v>
      </c>
      <c r="K61" s="83" t="s">
        <v>1180</v>
      </c>
      <c r="L61" s="83" t="str">
        <f t="shared" si="1"/>
        <v>Mechanical Keyboard
GX BLUE MECHANICAL SWITCHES
Connection Type: USB 2.0
USB Ports (Built-in): Yes, 2.0
Backlighting: Yes, RGB per key lighting
Warranty: 2 years or more</v>
      </c>
      <c r="M61" s="83" t="s">
        <v>1181</v>
      </c>
      <c r="N61" s="59"/>
      <c r="O61" s="59"/>
      <c r="P61" s="86">
        <f t="shared" si="2"/>
        <v>0</v>
      </c>
      <c r="Q61" s="59"/>
      <c r="R61" s="59"/>
      <c r="S61" s="59"/>
      <c r="T61" s="59"/>
      <c r="U61" s="290"/>
      <c r="V61" s="290"/>
      <c r="W61" s="290"/>
      <c r="X61" s="290"/>
      <c r="Y61" s="290"/>
      <c r="Z61" s="290"/>
      <c r="AA61" s="290"/>
      <c r="AB61" s="290"/>
      <c r="AC61" s="290"/>
      <c r="AD61" s="290"/>
    </row>
    <row r="62" spans="1:30" ht="102">
      <c r="A62" s="291">
        <f t="shared" si="3"/>
        <v>61</v>
      </c>
      <c r="B62" s="291" t="s">
        <v>1182</v>
      </c>
      <c r="C62" s="291" t="str">
        <f>IF(D61="","",UNIT!$B$1&amp;"-"&amp;B62)</f>
        <v>ICT-MIS-00061</v>
      </c>
      <c r="D62" s="83" t="s">
        <v>1183</v>
      </c>
      <c r="E62" s="59" t="s">
        <v>103</v>
      </c>
      <c r="F62" s="293" t="s">
        <v>1184</v>
      </c>
      <c r="G62" s="293" t="s">
        <v>1185</v>
      </c>
      <c r="H62" s="86">
        <v>4500</v>
      </c>
      <c r="I62" s="294">
        <f t="shared" si="12"/>
        <v>6750</v>
      </c>
      <c r="J62" s="59" t="s">
        <v>954</v>
      </c>
      <c r="K62" s="83" t="s">
        <v>1186</v>
      </c>
      <c r="L62" s="83" t="str">
        <f t="shared" si="1"/>
        <v>Wireless Mouse
Sensor: HERO
Resolution: 100 – 25,600 dpi
Wireless technology: LIGHTSPEED Wireless
Microprocessor: 32-bit ARM
USB charging/data cable
Built-in Battery
Warranty: 2 years or more</v>
      </c>
      <c r="M62" s="83" t="s">
        <v>1187</v>
      </c>
      <c r="N62" s="59"/>
      <c r="O62" s="59"/>
      <c r="P62" s="86">
        <f t="shared" si="2"/>
        <v>0</v>
      </c>
      <c r="Q62" s="59"/>
      <c r="R62" s="59"/>
      <c r="S62" s="59"/>
      <c r="T62" s="59"/>
      <c r="U62" s="290"/>
      <c r="V62" s="290"/>
      <c r="W62" s="290"/>
      <c r="X62" s="290"/>
      <c r="Y62" s="290"/>
      <c r="Z62" s="290"/>
      <c r="AA62" s="290"/>
      <c r="AB62" s="290"/>
      <c r="AC62" s="290"/>
      <c r="AD62" s="290"/>
    </row>
    <row r="63" spans="1:30" ht="89.25">
      <c r="A63" s="291">
        <f t="shared" si="3"/>
        <v>62</v>
      </c>
      <c r="B63" s="291" t="s">
        <v>1188</v>
      </c>
      <c r="C63" s="291" t="str">
        <f>IF(D62="","",UNIT!$B$1&amp;"-"&amp;B63)</f>
        <v>ICT-MIS-00062</v>
      </c>
      <c r="D63" s="83" t="s">
        <v>1189</v>
      </c>
      <c r="E63" s="59" t="s">
        <v>103</v>
      </c>
      <c r="F63" s="293" t="s">
        <v>1190</v>
      </c>
      <c r="G63" s="293" t="s">
        <v>1190</v>
      </c>
      <c r="H63" s="86">
        <v>9000</v>
      </c>
      <c r="I63" s="294">
        <f t="shared" si="12"/>
        <v>13500</v>
      </c>
      <c r="J63" s="59" t="s">
        <v>954</v>
      </c>
      <c r="K63" s="83" t="s">
        <v>1191</v>
      </c>
      <c r="L63" s="83" t="str">
        <f t="shared" si="1"/>
        <v>Triple Monitor Stand Mount, 3 Monitor Desk Mount
Triple Monitor Stand Mount/Arm Holder Heavy-Duty
3 Monitor Desk Mount for Three Max 27 Inch Computer Screen
VESA Bracket With Clamp/Grommet Base
Fit VESA patterns 75×75mm and 100×100mm
Full Motion Articulating Arms
Material: Alloy Steel</v>
      </c>
      <c r="M63" s="83" t="s">
        <v>1192</v>
      </c>
      <c r="N63" s="59"/>
      <c r="O63" s="59"/>
      <c r="P63" s="86">
        <f t="shared" si="2"/>
        <v>0</v>
      </c>
      <c r="Q63" s="59"/>
      <c r="R63" s="59"/>
      <c r="S63" s="59"/>
      <c r="T63" s="59"/>
      <c r="U63" s="290"/>
      <c r="V63" s="290"/>
      <c r="W63" s="290"/>
      <c r="X63" s="290"/>
      <c r="Y63" s="290"/>
      <c r="Z63" s="290"/>
      <c r="AA63" s="290"/>
      <c r="AB63" s="290"/>
      <c r="AC63" s="290"/>
      <c r="AD63" s="290"/>
    </row>
    <row r="64" spans="1:30" ht="89.25">
      <c r="A64" s="291">
        <f t="shared" si="3"/>
        <v>63</v>
      </c>
      <c r="B64" s="291" t="s">
        <v>1193</v>
      </c>
      <c r="C64" s="291" t="str">
        <f>IF(D63="","",UNIT!$B$1&amp;"-"&amp;B64)</f>
        <v>ICT-MIS-00063</v>
      </c>
      <c r="D64" s="83" t="s">
        <v>1194</v>
      </c>
      <c r="E64" s="59" t="s">
        <v>103</v>
      </c>
      <c r="F64" s="293" t="s">
        <v>1195</v>
      </c>
      <c r="G64" s="293" t="s">
        <v>1196</v>
      </c>
      <c r="H64" s="86">
        <v>8000</v>
      </c>
      <c r="I64" s="294">
        <f t="shared" si="12"/>
        <v>12000</v>
      </c>
      <c r="J64" s="59" t="s">
        <v>954</v>
      </c>
      <c r="K64" s="83" t="s">
        <v>1197</v>
      </c>
      <c r="L64" s="83" t="str">
        <f t="shared" si="1"/>
        <v>2-input 4-output USB audio interface
Audiophile 2x4, 24-Bit/192 kHz USB Audio/MIDI Interface 
with Midas Mic Preamplifiers
Input/Playback Mix control and Stereo/Mono switch for direct monitoring
USB port for connection and power
Impact-resistant metal chassis
Warranty: 2 years or more</v>
      </c>
      <c r="M64" s="83" t="s">
        <v>1198</v>
      </c>
      <c r="N64" s="59"/>
      <c r="O64" s="59"/>
      <c r="P64" s="86">
        <f t="shared" si="2"/>
        <v>0</v>
      </c>
      <c r="Q64" s="59"/>
      <c r="R64" s="59"/>
      <c r="S64" s="59"/>
      <c r="T64" s="59"/>
      <c r="U64" s="290"/>
      <c r="V64" s="290"/>
      <c r="W64" s="290"/>
      <c r="X64" s="290"/>
      <c r="Y64" s="290"/>
      <c r="Z64" s="290"/>
      <c r="AA64" s="290"/>
      <c r="AB64" s="290"/>
      <c r="AC64" s="290"/>
      <c r="AD64" s="290"/>
    </row>
    <row r="65" spans="1:30" ht="306">
      <c r="A65" s="291">
        <f t="shared" si="3"/>
        <v>64</v>
      </c>
      <c r="B65" s="291" t="s">
        <v>1199</v>
      </c>
      <c r="C65" s="291" t="str">
        <f>IF(D64="","",UNIT!$B$1&amp;"-"&amp;B65)</f>
        <v>ICT-MIS-00064</v>
      </c>
      <c r="D65" s="83" t="s">
        <v>1200</v>
      </c>
      <c r="E65" s="59" t="s">
        <v>103</v>
      </c>
      <c r="F65" s="295" t="s">
        <v>1201</v>
      </c>
      <c r="G65" s="293" t="s">
        <v>1202</v>
      </c>
      <c r="H65" s="86">
        <v>23000</v>
      </c>
      <c r="I65" s="294">
        <f t="shared" si="12"/>
        <v>34500</v>
      </c>
      <c r="J65" s="59" t="s">
        <v>954</v>
      </c>
      <c r="K65" s="83" t="s">
        <v>1203</v>
      </c>
      <c r="L65" s="83" t="str">
        <f t="shared" si="1"/>
        <v>Action Camera
Aperture F2.0
35mm Equivalent Focal Length 7.2mm
ISO Auto, 100-3200
Photo Resolution
360: 6080x3040 (2:1) or more
Pano: 4320×1440 (3:1) or more
Video Resolution
360:
5.7K@30fps, 25fps, 24fps or more
4K@50fps, 30fps or more
3K@100fps or more
Wide Angle (Steady Cam Mode):
2560x1440@50fps, 30fps or more
1920x1080@50fps, 30fps or more
Video Coding: H.264, H.265
Bluetooth BLE 4.2
Charging Method Type-C
Micro SD Card: UHS-I V30 speed class, exFAT format SD cards with a max storage of 1TB are recommended.
Warranty: 1 year or more</v>
      </c>
      <c r="M65" s="83" t="s">
        <v>1204</v>
      </c>
      <c r="N65" s="59"/>
      <c r="O65" s="59"/>
      <c r="P65" s="86">
        <f t="shared" si="2"/>
        <v>0</v>
      </c>
      <c r="Q65" s="59"/>
      <c r="R65" s="59"/>
      <c r="S65" s="59"/>
      <c r="T65" s="59"/>
      <c r="U65" s="290"/>
      <c r="V65" s="290"/>
      <c r="W65" s="290"/>
      <c r="X65" s="290"/>
      <c r="Y65" s="290"/>
      <c r="Z65" s="290"/>
      <c r="AA65" s="290"/>
      <c r="AB65" s="290"/>
      <c r="AC65" s="290"/>
      <c r="AD65" s="290"/>
    </row>
    <row r="66" spans="1:30" ht="102">
      <c r="A66" s="291">
        <f t="shared" si="3"/>
        <v>65</v>
      </c>
      <c r="B66" s="291" t="s">
        <v>1205</v>
      </c>
      <c r="C66" s="291" t="str">
        <f>IF(D65="","",UNIT!$B$1&amp;"-"&amp;B66)</f>
        <v>ICT-MIS-00065</v>
      </c>
      <c r="D66" s="83" t="s">
        <v>1206</v>
      </c>
      <c r="E66" s="59" t="s">
        <v>103</v>
      </c>
      <c r="F66" s="82" t="s">
        <v>1207</v>
      </c>
      <c r="G66" s="293" t="s">
        <v>1208</v>
      </c>
      <c r="H66" s="86">
        <v>4600</v>
      </c>
      <c r="I66" s="294">
        <f t="shared" si="12"/>
        <v>6900</v>
      </c>
      <c r="J66" s="59" t="s">
        <v>954</v>
      </c>
      <c r="K66" s="83" t="s">
        <v>1209</v>
      </c>
      <c r="L66" s="83" t="str">
        <f t="shared" si="1"/>
        <v>Webcam HD Stream 
Max Resolution: 1080p/30 fps - 720p/ 60 fps or more
Camera mega pixel: 3 or more
Focus type: Autofocus
Lens type: Glass
Built-in mic: Stereo
Tripod-ready universal mounting clip fits laptops, LCD or monitors
Warranty: 1 year or more</v>
      </c>
      <c r="M66" s="83" t="s">
        <v>1210</v>
      </c>
      <c r="N66" s="59"/>
      <c r="O66" s="59"/>
      <c r="P66" s="86">
        <f t="shared" si="2"/>
        <v>0</v>
      </c>
      <c r="Q66" s="59"/>
      <c r="R66" s="59"/>
      <c r="S66" s="59"/>
      <c r="T66" s="59"/>
      <c r="U66" s="290"/>
      <c r="V66" s="290"/>
      <c r="W66" s="290"/>
      <c r="X66" s="290"/>
      <c r="Y66" s="290"/>
      <c r="Z66" s="290"/>
      <c r="AA66" s="290"/>
      <c r="AB66" s="290"/>
      <c r="AC66" s="290"/>
      <c r="AD66" s="290"/>
    </row>
    <row r="67" spans="1:30" ht="114.75">
      <c r="A67" s="291">
        <f t="shared" si="3"/>
        <v>66</v>
      </c>
      <c r="B67" s="291" t="s">
        <v>1211</v>
      </c>
      <c r="C67" s="291" t="str">
        <f>IF(D66="","",UNIT!$B$1&amp;"-"&amp;B67)</f>
        <v>ICT-MIS-00066</v>
      </c>
      <c r="D67" s="83" t="s">
        <v>1212</v>
      </c>
      <c r="E67" s="59" t="s">
        <v>118</v>
      </c>
      <c r="F67" s="295" t="s">
        <v>1213</v>
      </c>
      <c r="G67" s="295" t="s">
        <v>1214</v>
      </c>
      <c r="H67" s="86">
        <v>15800</v>
      </c>
      <c r="I67" s="294">
        <f t="shared" si="12"/>
        <v>23700</v>
      </c>
      <c r="J67" s="59" t="s">
        <v>954</v>
      </c>
      <c r="K67" s="83" t="s">
        <v>1215</v>
      </c>
      <c r="L67" s="83" t="str">
        <f t="shared" si="1"/>
        <v>Brushless DC Motor Cordless Hammer Drill 18V Kit Set
Voltage: 18V
Max Capacity Steel: 13mm or more
Max Capacity Wood: 38mm or more
Max Capacity Masonry: 13mm or more
Max fastening torque: Hard / Soft: 54 / 30 N·m or more
Includes: 2 x Battery 3.0Ah 18V (Compatible with 18V LXT Tools), 1 x Fast Charger, 1 x Battery Cover, 1 x Hook, 1 x Carrying Case
Warranty: 1 year or more</v>
      </c>
      <c r="M67" s="83" t="s">
        <v>1216</v>
      </c>
      <c r="N67" s="59"/>
      <c r="O67" s="59"/>
      <c r="P67" s="86">
        <f t="shared" si="2"/>
        <v>0</v>
      </c>
      <c r="Q67" s="59"/>
      <c r="R67" s="59"/>
      <c r="S67" s="59"/>
      <c r="T67" s="59"/>
      <c r="U67" s="290"/>
      <c r="V67" s="290"/>
      <c r="W67" s="290"/>
      <c r="X67" s="290"/>
      <c r="Y67" s="290"/>
      <c r="Z67" s="290"/>
      <c r="AA67" s="290"/>
      <c r="AB67" s="290"/>
      <c r="AC67" s="290"/>
      <c r="AD67" s="290"/>
    </row>
    <row r="68" spans="1:30" ht="89.25">
      <c r="A68" s="291">
        <f t="shared" si="3"/>
        <v>67</v>
      </c>
      <c r="B68" s="291" t="s">
        <v>1217</v>
      </c>
      <c r="C68" s="291" t="str">
        <f>IF(D67="","",UNIT!$B$1&amp;"-"&amp;B68)</f>
        <v>ICT-MIS-00067</v>
      </c>
      <c r="D68" s="83" t="s">
        <v>377</v>
      </c>
      <c r="E68" s="59" t="s">
        <v>118</v>
      </c>
      <c r="F68" s="295" t="s">
        <v>1218</v>
      </c>
      <c r="G68" s="295" t="s">
        <v>1219</v>
      </c>
      <c r="H68" s="86">
        <v>9100</v>
      </c>
      <c r="I68" s="294">
        <f t="shared" si="12"/>
        <v>13650</v>
      </c>
      <c r="J68" s="59" t="s">
        <v>954</v>
      </c>
      <c r="K68" s="83" t="s">
        <v>1220</v>
      </c>
      <c r="L68" s="83" t="str">
        <f t="shared" si="1"/>
        <v>Cordless Blower 18V
Voltage 18v
Max air velocity 98 m/sec or more
Air volume setting dial 3 settings
No Load Speed 0 - 18,000 rpm or more
Includes: 1 x Li-ion Battery 3.0Ah 18V, 1 x Fast Charger, 1 x Battery Cover, Compatible with 18V LXT Tools
Warranty: 1 year or more</v>
      </c>
      <c r="M68" s="83" t="s">
        <v>1221</v>
      </c>
      <c r="N68" s="59" t="s">
        <v>957</v>
      </c>
      <c r="O68" s="59">
        <v>1</v>
      </c>
      <c r="P68" s="86">
        <f t="shared" si="2"/>
        <v>13650</v>
      </c>
      <c r="Q68" s="59"/>
      <c r="R68" s="59"/>
      <c r="S68" s="59"/>
      <c r="T68" s="59"/>
      <c r="U68" s="290"/>
      <c r="V68" s="290"/>
      <c r="W68" s="290"/>
      <c r="X68" s="290"/>
      <c r="Y68" s="290"/>
      <c r="Z68" s="290"/>
      <c r="AA68" s="290"/>
      <c r="AB68" s="290"/>
      <c r="AC68" s="290"/>
      <c r="AD68" s="290"/>
    </row>
    <row r="69" spans="1:30" ht="114.75">
      <c r="A69" s="291">
        <f t="shared" si="3"/>
        <v>68</v>
      </c>
      <c r="B69" s="291" t="s">
        <v>1222</v>
      </c>
      <c r="C69" s="291" t="str">
        <f>IF(D68="","",UNIT!$B$1&amp;"-"&amp;B69)</f>
        <v>ICT-MIS-00068</v>
      </c>
      <c r="D69" s="83" t="s">
        <v>1223</v>
      </c>
      <c r="E69" s="59" t="s">
        <v>118</v>
      </c>
      <c r="F69" s="295" t="s">
        <v>1224</v>
      </c>
      <c r="G69" s="295" t="s">
        <v>1225</v>
      </c>
      <c r="H69" s="86">
        <v>13000</v>
      </c>
      <c r="I69" s="294">
        <f t="shared" si="12"/>
        <v>19500</v>
      </c>
      <c r="J69" s="59" t="s">
        <v>954</v>
      </c>
      <c r="K69" s="83" t="s">
        <v>1226</v>
      </c>
      <c r="L69" s="83" t="str">
        <f t="shared" si="1"/>
        <v>Cordless Brushless Vacuum Cleaner 18V 
Capacity : 750 mL or more
Max Air Flow :1.5 m³/min or more
Suction Power w/ Normal Filter: Max / High / Normal: 60 / 45 / 15 or more
Inclusions: Floor Nozzle, Sash Nozzle, Sash Nozzle Holder, Pipe, Filter H, Easy Shake Off Filter, Hand Strap
Includes: 1 x Li-ion Battery 3.0Ah 18V, 1 x Fast Charger, 1 x Battery Cover, Compatible with 18V LXT Tools
Warranty: 1 year or more</v>
      </c>
      <c r="M69" s="83" t="s">
        <v>1227</v>
      </c>
      <c r="N69" s="59"/>
      <c r="O69" s="59"/>
      <c r="P69" s="86">
        <f t="shared" si="2"/>
        <v>0</v>
      </c>
      <c r="Q69" s="59"/>
      <c r="R69" s="59"/>
      <c r="S69" s="59"/>
      <c r="T69" s="59"/>
      <c r="U69" s="290"/>
      <c r="V69" s="290"/>
      <c r="W69" s="290"/>
      <c r="X69" s="290"/>
      <c r="Y69" s="290"/>
      <c r="Z69" s="290"/>
      <c r="AA69" s="290"/>
      <c r="AB69" s="290"/>
      <c r="AC69" s="290"/>
      <c r="AD69" s="290"/>
    </row>
    <row r="70" spans="1:30" ht="102">
      <c r="A70" s="291">
        <f t="shared" si="3"/>
        <v>69</v>
      </c>
      <c r="B70" s="291" t="s">
        <v>1228</v>
      </c>
      <c r="C70" s="291" t="str">
        <f>IF(D69="","",UNIT!$B$1&amp;"-"&amp;B70)</f>
        <v>ICT-MIS-00069</v>
      </c>
      <c r="D70" s="83" t="s">
        <v>192</v>
      </c>
      <c r="E70" s="59" t="s">
        <v>118</v>
      </c>
      <c r="F70" s="295" t="s">
        <v>1229</v>
      </c>
      <c r="G70" s="293" t="s">
        <v>1230</v>
      </c>
      <c r="H70" s="86">
        <v>1980</v>
      </c>
      <c r="I70" s="294">
        <f t="shared" si="12"/>
        <v>2970</v>
      </c>
      <c r="J70" s="59" t="s">
        <v>954</v>
      </c>
      <c r="K70" s="83" t="s">
        <v>1231</v>
      </c>
      <c r="L70" s="83" t="str">
        <f t="shared" si="1"/>
        <v>Cordless Screwdriver Kit Set
Torque (soft/hard): 2.5/5 Nm or more
Battery type: Lithium-ion
Battery voltage: 3.6 V
Max. screw diameter: 5 mm or more
Packaging dimensions (width x length x height): 
162-167mm x 280-285mm x 90-95 mm
Warranty: 1 year or more</v>
      </c>
      <c r="M70" s="83" t="s">
        <v>1232</v>
      </c>
      <c r="N70" s="59" t="s">
        <v>957</v>
      </c>
      <c r="O70" s="59">
        <v>2</v>
      </c>
      <c r="P70" s="86">
        <f t="shared" si="2"/>
        <v>5940</v>
      </c>
      <c r="Q70" s="59" t="s">
        <v>4741</v>
      </c>
      <c r="R70" s="59" t="str">
        <f t="shared" ref="R70:R73" si="15">IF(O70&lt;=Q70,"SAFE","TAGPAS")</f>
        <v>SAFE</v>
      </c>
      <c r="S70" s="59">
        <f t="shared" ref="S70:S73" si="16">IF(O70&lt;=Q70,O70,Q70)</f>
        <v>2</v>
      </c>
      <c r="T70" s="59"/>
      <c r="U70" s="290"/>
      <c r="V70" s="290"/>
      <c r="W70" s="290"/>
      <c r="X70" s="290"/>
      <c r="Y70" s="290"/>
      <c r="Z70" s="290"/>
      <c r="AA70" s="290"/>
      <c r="AB70" s="290"/>
      <c r="AC70" s="290"/>
      <c r="AD70" s="290"/>
    </row>
    <row r="71" spans="1:30" ht="63.75">
      <c r="A71" s="291">
        <f t="shared" si="3"/>
        <v>70</v>
      </c>
      <c r="B71" s="291" t="s">
        <v>1233</v>
      </c>
      <c r="C71" s="291" t="str">
        <f>IF(D70="","",UNIT!$B$1&amp;"-"&amp;B71)</f>
        <v>ICT-MIS-00070</v>
      </c>
      <c r="D71" s="83" t="s">
        <v>154</v>
      </c>
      <c r="E71" s="59" t="s">
        <v>155</v>
      </c>
      <c r="F71" s="295" t="s">
        <v>1234</v>
      </c>
      <c r="G71" s="293" t="s">
        <v>1235</v>
      </c>
      <c r="H71" s="86">
        <v>110</v>
      </c>
      <c r="I71" s="294">
        <f t="shared" si="12"/>
        <v>165</v>
      </c>
      <c r="J71" s="59" t="s">
        <v>1008</v>
      </c>
      <c r="K71" s="83" t="s">
        <v>1236</v>
      </c>
      <c r="L71" s="83" t="str">
        <f t="shared" si="1"/>
        <v>BATTERY AA 2S (2pcs/pack)
Classification: Alkaline
Chemical System: Zinc-Manganese Dioxide (Zn/MnO2)
Nominal Voltage: 1.5 volts
Terminal: Flat Contact</v>
      </c>
      <c r="M71" s="83" t="s">
        <v>1237</v>
      </c>
      <c r="N71" s="59" t="s">
        <v>957</v>
      </c>
      <c r="O71" s="59">
        <v>100</v>
      </c>
      <c r="P71" s="86">
        <f t="shared" si="2"/>
        <v>16500</v>
      </c>
      <c r="Q71" s="59" t="s">
        <v>4741</v>
      </c>
      <c r="R71" s="59" t="str">
        <f t="shared" si="15"/>
        <v>SAFE</v>
      </c>
      <c r="S71" s="59">
        <f t="shared" si="16"/>
        <v>100</v>
      </c>
      <c r="T71" s="59"/>
      <c r="U71" s="290"/>
      <c r="V71" s="290"/>
      <c r="W71" s="290"/>
      <c r="X71" s="290"/>
      <c r="Y71" s="290"/>
      <c r="Z71" s="290"/>
      <c r="AA71" s="290"/>
      <c r="AB71" s="290"/>
      <c r="AC71" s="290"/>
      <c r="AD71" s="290"/>
    </row>
    <row r="72" spans="1:30" ht="63.75">
      <c r="A72" s="291">
        <f t="shared" si="3"/>
        <v>71</v>
      </c>
      <c r="B72" s="291" t="s">
        <v>1238</v>
      </c>
      <c r="C72" s="291" t="str">
        <f>IF(D71="","",UNIT!$B$1&amp;"-"&amp;B72)</f>
        <v>ICT-MIS-00071</v>
      </c>
      <c r="D72" s="83" t="s">
        <v>156</v>
      </c>
      <c r="E72" s="59" t="s">
        <v>155</v>
      </c>
      <c r="F72" s="293" t="s">
        <v>1239</v>
      </c>
      <c r="G72" s="295" t="s">
        <v>1240</v>
      </c>
      <c r="H72" s="86">
        <v>120</v>
      </c>
      <c r="I72" s="294">
        <f t="shared" si="12"/>
        <v>180</v>
      </c>
      <c r="J72" s="59" t="s">
        <v>1008</v>
      </c>
      <c r="K72" s="83" t="s">
        <v>1236</v>
      </c>
      <c r="L72" s="83" t="str">
        <f t="shared" si="1"/>
        <v>BATTERY AAA 4S (2pcs/pack)
Classification: Alkaline
Chemical System: Zinc-Manganese Dioxide (Zn/MnO2)
Nominal Voltage: 1.5 volts
Terminal: Flat Contact</v>
      </c>
      <c r="M72" s="83" t="s">
        <v>1241</v>
      </c>
      <c r="N72" s="59" t="s">
        <v>957</v>
      </c>
      <c r="O72" s="59">
        <v>60</v>
      </c>
      <c r="P72" s="86">
        <f t="shared" si="2"/>
        <v>10800</v>
      </c>
      <c r="Q72" s="59" t="s">
        <v>4741</v>
      </c>
      <c r="R72" s="59" t="str">
        <f t="shared" si="15"/>
        <v>SAFE</v>
      </c>
      <c r="S72" s="59">
        <f t="shared" si="16"/>
        <v>60</v>
      </c>
      <c r="T72" s="59"/>
      <c r="U72" s="290"/>
      <c r="V72" s="290"/>
      <c r="W72" s="290"/>
      <c r="X72" s="290"/>
      <c r="Y72" s="290"/>
      <c r="Z72" s="290"/>
      <c r="AA72" s="290"/>
      <c r="AB72" s="290"/>
      <c r="AC72" s="290"/>
      <c r="AD72" s="290"/>
    </row>
    <row r="73" spans="1:30" ht="102">
      <c r="A73" s="291">
        <f t="shared" si="3"/>
        <v>72</v>
      </c>
      <c r="B73" s="291" t="s">
        <v>1242</v>
      </c>
      <c r="C73" s="291" t="str">
        <f>IF(D72="","",UNIT!$B$1&amp;"-"&amp;B73)</f>
        <v>ICT-MIS-00072</v>
      </c>
      <c r="D73" s="83" t="s">
        <v>265</v>
      </c>
      <c r="E73" s="59" t="s">
        <v>103</v>
      </c>
      <c r="F73" s="293" t="s">
        <v>1243</v>
      </c>
      <c r="G73" s="295" t="s">
        <v>1244</v>
      </c>
      <c r="H73" s="86">
        <v>5030</v>
      </c>
      <c r="I73" s="294">
        <f t="shared" si="12"/>
        <v>7545</v>
      </c>
      <c r="J73" s="59" t="s">
        <v>954</v>
      </c>
      <c r="K73" s="83" t="s">
        <v>1245</v>
      </c>
      <c r="L73" s="83" t="str">
        <f t="shared" si="1"/>
        <v>Webcam Professional Full HD
Full HD Camera with USB-C 
Length: 5 ft (1.5 m) USB - C3.1 cable or more
Max Video Resolution: 1080p/60 fps in MJPEG
Premium Full HD Glass lens
f/2.0 - focal length 3.7 mm
Dual omnidirectional mic with noise reduction filter
Warranty: 1 year or more</v>
      </c>
      <c r="M73" s="83" t="s">
        <v>1246</v>
      </c>
      <c r="N73" s="59" t="s">
        <v>957</v>
      </c>
      <c r="O73" s="59">
        <v>4</v>
      </c>
      <c r="P73" s="86">
        <f t="shared" si="2"/>
        <v>30180</v>
      </c>
      <c r="Q73" s="59" t="s">
        <v>4741</v>
      </c>
      <c r="R73" s="59" t="str">
        <f t="shared" si="15"/>
        <v>SAFE</v>
      </c>
      <c r="S73" s="59">
        <f t="shared" si="16"/>
        <v>4</v>
      </c>
      <c r="T73" s="59"/>
      <c r="U73" s="290"/>
      <c r="V73" s="290"/>
      <c r="W73" s="290"/>
      <c r="X73" s="290"/>
      <c r="Y73" s="290"/>
      <c r="Z73" s="290"/>
      <c r="AA73" s="290"/>
      <c r="AB73" s="290"/>
      <c r="AC73" s="290"/>
      <c r="AD73" s="290"/>
    </row>
    <row r="74" spans="1:30" ht="76.5">
      <c r="A74" s="291">
        <f t="shared" si="3"/>
        <v>73</v>
      </c>
      <c r="B74" s="291" t="s">
        <v>1247</v>
      </c>
      <c r="C74" s="291" t="str">
        <f>IF(D73="","",UNIT!$B$1&amp;"-"&amp;B74)</f>
        <v>ICT-MIS-00073</v>
      </c>
      <c r="D74" s="83" t="s">
        <v>111</v>
      </c>
      <c r="E74" s="59" t="s">
        <v>103</v>
      </c>
      <c r="F74" s="295" t="s">
        <v>1248</v>
      </c>
      <c r="G74" s="295" t="s">
        <v>1249</v>
      </c>
      <c r="H74" s="86">
        <v>2800</v>
      </c>
      <c r="I74" s="294">
        <f t="shared" si="12"/>
        <v>4200</v>
      </c>
      <c r="J74" s="59" t="s">
        <v>954</v>
      </c>
      <c r="K74" s="83" t="s">
        <v>1250</v>
      </c>
      <c r="L74" s="83" t="str">
        <f t="shared" si="1"/>
        <v>1TB Slim Portable Hard Drive External HDD
USB Type micro USB to USB Type A
Connection Interface USB 3.1 Gen 1
Capacity 1 TB
Storage Media 2.5" HDD
Warranty: 2 years or more</v>
      </c>
      <c r="M74" s="83" t="s">
        <v>1251</v>
      </c>
      <c r="N74" s="59"/>
      <c r="O74" s="59"/>
      <c r="P74" s="86">
        <f t="shared" si="2"/>
        <v>0</v>
      </c>
      <c r="Q74" s="59" t="s">
        <v>4741</v>
      </c>
      <c r="R74" s="59"/>
      <c r="S74" s="59"/>
      <c r="T74" s="59"/>
      <c r="U74" s="290"/>
      <c r="V74" s="290"/>
      <c r="W74" s="290"/>
      <c r="X74" s="290"/>
      <c r="Y74" s="290"/>
      <c r="Z74" s="290"/>
      <c r="AA74" s="290"/>
      <c r="AB74" s="290"/>
      <c r="AC74" s="290"/>
      <c r="AD74" s="290"/>
    </row>
    <row r="75" spans="1:30" ht="76.5">
      <c r="A75" s="291">
        <f t="shared" si="3"/>
        <v>74</v>
      </c>
      <c r="B75" s="291" t="s">
        <v>1252</v>
      </c>
      <c r="C75" s="291" t="str">
        <f>IF(D74="","",UNIT!$B$1&amp;"-"&amp;B75)</f>
        <v>ICT-MIS-00074</v>
      </c>
      <c r="D75" s="83" t="s">
        <v>131</v>
      </c>
      <c r="E75" s="59" t="s">
        <v>103</v>
      </c>
      <c r="F75" s="295" t="s">
        <v>1253</v>
      </c>
      <c r="G75" s="293" t="s">
        <v>1249</v>
      </c>
      <c r="H75" s="86">
        <v>3800</v>
      </c>
      <c r="I75" s="294">
        <f t="shared" si="12"/>
        <v>5700</v>
      </c>
      <c r="J75" s="59" t="s">
        <v>954</v>
      </c>
      <c r="K75" s="83" t="s">
        <v>1254</v>
      </c>
      <c r="L75" s="83" t="str">
        <f t="shared" si="1"/>
        <v>2TB Slim Portable Hard Drive External HDD
USB Type micro USB to USB Type A
Connection Interface USB 3.1 Gen 1
Capacity 2 TB
Storage Media 2.5" HDD
Warranty: 2 years or more</v>
      </c>
      <c r="M75" s="83" t="s">
        <v>1255</v>
      </c>
      <c r="N75" s="59"/>
      <c r="O75" s="59"/>
      <c r="P75" s="86">
        <f t="shared" si="2"/>
        <v>0</v>
      </c>
      <c r="Q75" s="59" t="s">
        <v>4741</v>
      </c>
      <c r="R75" s="59"/>
      <c r="S75" s="59"/>
      <c r="T75" s="59"/>
      <c r="U75" s="290"/>
      <c r="V75" s="290"/>
      <c r="W75" s="290"/>
      <c r="X75" s="290"/>
      <c r="Y75" s="290"/>
      <c r="Z75" s="290"/>
      <c r="AA75" s="290"/>
      <c r="AB75" s="290"/>
      <c r="AC75" s="290"/>
      <c r="AD75" s="290"/>
    </row>
    <row r="76" spans="1:30" ht="165.75">
      <c r="A76" s="291">
        <f t="shared" si="3"/>
        <v>75</v>
      </c>
      <c r="B76" s="291" t="s">
        <v>1256</v>
      </c>
      <c r="C76" s="291" t="str">
        <f>IF(D75="","",UNIT!$B$1&amp;"-"&amp;B76)</f>
        <v>ICT-MIS-00075</v>
      </c>
      <c r="D76" s="83" t="s">
        <v>195</v>
      </c>
      <c r="E76" s="59" t="s">
        <v>103</v>
      </c>
      <c r="F76" s="295" t="s">
        <v>1257</v>
      </c>
      <c r="G76" s="295" t="s">
        <v>1258</v>
      </c>
      <c r="H76" s="86">
        <v>15000</v>
      </c>
      <c r="I76" s="294">
        <f t="shared" si="12"/>
        <v>22500</v>
      </c>
      <c r="J76" s="59" t="s">
        <v>954</v>
      </c>
      <c r="K76" s="83" t="s">
        <v>1259</v>
      </c>
      <c r="L76" s="83" t="str">
        <f t="shared" si="1"/>
        <v>Dot Matrix Printer 24-Pin
Print Method Impact dot matrix
Number of Pins in Head: 24 pins
Print Direction: Bi-direction with logic seeking
Paper Handling
Paper Path
   Tractor: Rear in, Top out; Manual Insertion: Rear in, Top out
Paper Feeding
   Standard Friction, Push Tractor
Interface
   Standard: Bi-directional parallel interface; USB 2.0 Full-Speed; Serial
Compatible with the existing Fabric Ribbon Cartridge (Black) S015634
Warranty: 1 year or more</v>
      </c>
      <c r="M76" s="83" t="s">
        <v>1260</v>
      </c>
      <c r="N76" s="59"/>
      <c r="O76" s="59"/>
      <c r="P76" s="86">
        <f t="shared" si="2"/>
        <v>0</v>
      </c>
      <c r="Q76" s="59" t="s">
        <v>4741</v>
      </c>
      <c r="R76" s="59"/>
      <c r="S76" s="59"/>
      <c r="T76" s="59"/>
      <c r="U76" s="290"/>
      <c r="V76" s="290"/>
      <c r="W76" s="290"/>
      <c r="X76" s="290"/>
      <c r="Y76" s="290"/>
      <c r="Z76" s="290"/>
      <c r="AA76" s="290"/>
      <c r="AB76" s="290"/>
      <c r="AC76" s="290"/>
      <c r="AD76" s="290"/>
    </row>
    <row r="77" spans="1:30" ht="51">
      <c r="A77" s="291">
        <f t="shared" si="3"/>
        <v>76</v>
      </c>
      <c r="B77" s="291" t="s">
        <v>1261</v>
      </c>
      <c r="C77" s="291" t="str">
        <f>IF(D76="","",UNIT!$B$1&amp;"-"&amp;B77)</f>
        <v>ICT-MIS-00076</v>
      </c>
      <c r="D77" s="83" t="s">
        <v>1262</v>
      </c>
      <c r="E77" s="59" t="s">
        <v>103</v>
      </c>
      <c r="F77" s="295" t="s">
        <v>1263</v>
      </c>
      <c r="G77" s="293" t="s">
        <v>1264</v>
      </c>
      <c r="H77" s="86">
        <v>130</v>
      </c>
      <c r="I77" s="294">
        <f t="shared" si="12"/>
        <v>195</v>
      </c>
      <c r="J77" s="59" t="s">
        <v>954</v>
      </c>
      <c r="K77" s="83" t="s">
        <v>1265</v>
      </c>
      <c r="L77" s="83" t="str">
        <f t="shared" si="1"/>
        <v>8GB Flash Drive
Capacities: 8GB; Branded
Compatability: USB 2.0 port required for high-speed transfer
Warranty: 1 year or more</v>
      </c>
      <c r="M77" s="83" t="s">
        <v>1266</v>
      </c>
      <c r="N77" s="59"/>
      <c r="O77" s="59"/>
      <c r="P77" s="86">
        <f t="shared" si="2"/>
        <v>0</v>
      </c>
      <c r="Q77" s="59"/>
      <c r="R77" s="59"/>
      <c r="S77" s="59"/>
      <c r="T77" s="59"/>
      <c r="U77" s="290"/>
      <c r="V77" s="290"/>
      <c r="W77" s="290"/>
      <c r="X77" s="290"/>
      <c r="Y77" s="290"/>
      <c r="Z77" s="290"/>
      <c r="AA77" s="290"/>
      <c r="AB77" s="290"/>
      <c r="AC77" s="290"/>
      <c r="AD77" s="290"/>
    </row>
    <row r="78" spans="1:30" ht="51">
      <c r="A78" s="291">
        <f t="shared" si="3"/>
        <v>77</v>
      </c>
      <c r="B78" s="291" t="s">
        <v>1267</v>
      </c>
      <c r="C78" s="291" t="str">
        <f>IF(D77="","",UNIT!$B$1&amp;"-"&amp;B78)</f>
        <v>ICT-MIS-00077</v>
      </c>
      <c r="D78" s="83" t="s">
        <v>106</v>
      </c>
      <c r="E78" s="59" t="s">
        <v>103</v>
      </c>
      <c r="F78" s="295" t="s">
        <v>1263</v>
      </c>
      <c r="G78" s="293" t="s">
        <v>1264</v>
      </c>
      <c r="H78" s="86">
        <v>160</v>
      </c>
      <c r="I78" s="294">
        <f t="shared" si="12"/>
        <v>240</v>
      </c>
      <c r="J78" s="59" t="s">
        <v>954</v>
      </c>
      <c r="K78" s="83" t="s">
        <v>1268</v>
      </c>
      <c r="L78" s="83" t="str">
        <f t="shared" si="1"/>
        <v>16GB Flash Drive
Capacities: 16GB; Branded
Compatability: USB 2.0 port required for high-speed transfer
Warranty: 1 year or more</v>
      </c>
      <c r="M78" s="83" t="s">
        <v>1266</v>
      </c>
      <c r="N78" s="59"/>
      <c r="O78" s="59"/>
      <c r="P78" s="86">
        <f t="shared" si="2"/>
        <v>0</v>
      </c>
      <c r="Q78" s="59" t="s">
        <v>4741</v>
      </c>
      <c r="R78" s="59"/>
      <c r="S78" s="59"/>
      <c r="T78" s="59"/>
      <c r="U78" s="290"/>
      <c r="V78" s="290"/>
      <c r="W78" s="290"/>
      <c r="X78" s="290"/>
      <c r="Y78" s="290"/>
      <c r="Z78" s="290"/>
      <c r="AA78" s="290"/>
      <c r="AB78" s="290"/>
      <c r="AC78" s="290"/>
      <c r="AD78" s="290"/>
    </row>
    <row r="79" spans="1:30" ht="51">
      <c r="A79" s="291">
        <f t="shared" si="3"/>
        <v>78</v>
      </c>
      <c r="B79" s="291" t="s">
        <v>1269</v>
      </c>
      <c r="C79" s="291" t="str">
        <f>IF(D78="","",UNIT!$B$1&amp;"-"&amp;B79)</f>
        <v>ICT-MIS-00078</v>
      </c>
      <c r="D79" s="83" t="s">
        <v>136</v>
      </c>
      <c r="E79" s="59" t="s">
        <v>103</v>
      </c>
      <c r="F79" s="295" t="s">
        <v>1263</v>
      </c>
      <c r="G79" s="293" t="s">
        <v>1264</v>
      </c>
      <c r="H79" s="86">
        <v>200</v>
      </c>
      <c r="I79" s="294">
        <f t="shared" si="12"/>
        <v>300</v>
      </c>
      <c r="J79" s="59" t="s">
        <v>954</v>
      </c>
      <c r="K79" s="83" t="s">
        <v>1270</v>
      </c>
      <c r="L79" s="83" t="str">
        <f t="shared" si="1"/>
        <v>32GB Flash Drive
Capacities: 32GB; Branded
Compatability: USB 2.0 port required for high-speed transfer
Warranty: 1 year or more</v>
      </c>
      <c r="M79" s="83" t="s">
        <v>1266</v>
      </c>
      <c r="N79" s="59"/>
      <c r="O79" s="59"/>
      <c r="P79" s="86">
        <f t="shared" si="2"/>
        <v>0</v>
      </c>
      <c r="Q79" s="59" t="s">
        <v>4741</v>
      </c>
      <c r="R79" s="59"/>
      <c r="S79" s="59"/>
      <c r="T79" s="59"/>
      <c r="U79" s="290"/>
      <c r="V79" s="290"/>
      <c r="W79" s="290"/>
      <c r="X79" s="290"/>
      <c r="Y79" s="290"/>
      <c r="Z79" s="290"/>
      <c r="AA79" s="290"/>
      <c r="AB79" s="290"/>
      <c r="AC79" s="290"/>
      <c r="AD79" s="290"/>
    </row>
    <row r="80" spans="1:30" ht="51">
      <c r="A80" s="291">
        <f t="shared" si="3"/>
        <v>79</v>
      </c>
      <c r="B80" s="291" t="s">
        <v>1271</v>
      </c>
      <c r="C80" s="291" t="str">
        <f>IF(D79="","",UNIT!$B$1&amp;"-"&amp;B80)</f>
        <v>ICT-MIS-00079</v>
      </c>
      <c r="D80" s="83" t="s">
        <v>362</v>
      </c>
      <c r="E80" s="59" t="s">
        <v>103</v>
      </c>
      <c r="F80" s="295" t="s">
        <v>1263</v>
      </c>
      <c r="G80" s="293" t="s">
        <v>1264</v>
      </c>
      <c r="H80" s="86">
        <v>250</v>
      </c>
      <c r="I80" s="294">
        <f t="shared" si="12"/>
        <v>375</v>
      </c>
      <c r="J80" s="59" t="s">
        <v>954</v>
      </c>
      <c r="K80" s="83" t="s">
        <v>1272</v>
      </c>
      <c r="L80" s="83" t="str">
        <f t="shared" si="1"/>
        <v>64GB Flash Drive
Capacities: 64GB; Branded
Compatability: USB 2.0 port required for high-speed transfer
Warranty: 1 year or more</v>
      </c>
      <c r="M80" s="83" t="s">
        <v>1266</v>
      </c>
      <c r="N80" s="59"/>
      <c r="O80" s="59"/>
      <c r="P80" s="86">
        <f t="shared" si="2"/>
        <v>0</v>
      </c>
      <c r="Q80" s="59"/>
      <c r="R80" s="59"/>
      <c r="S80" s="59"/>
      <c r="T80" s="59"/>
      <c r="U80" s="290"/>
      <c r="V80" s="290"/>
      <c r="W80" s="290"/>
      <c r="X80" s="290"/>
      <c r="Y80" s="290"/>
      <c r="Z80" s="290"/>
      <c r="AA80" s="290"/>
      <c r="AB80" s="290"/>
      <c r="AC80" s="290"/>
      <c r="AD80" s="290"/>
    </row>
    <row r="81" spans="1:30" ht="51">
      <c r="A81" s="291">
        <f t="shared" si="3"/>
        <v>80</v>
      </c>
      <c r="B81" s="291" t="s">
        <v>1273</v>
      </c>
      <c r="C81" s="291" t="str">
        <f>IF(D80="","",UNIT!$B$1&amp;"-"&amp;B81)</f>
        <v>ICT-MIS-00080</v>
      </c>
      <c r="D81" s="83" t="s">
        <v>1274</v>
      </c>
      <c r="E81" s="59" t="s">
        <v>103</v>
      </c>
      <c r="F81" s="295" t="s">
        <v>1263</v>
      </c>
      <c r="G81" s="293" t="s">
        <v>1264</v>
      </c>
      <c r="H81" s="86">
        <v>290</v>
      </c>
      <c r="I81" s="294">
        <f t="shared" si="12"/>
        <v>435</v>
      </c>
      <c r="J81" s="59" t="s">
        <v>954</v>
      </c>
      <c r="K81" s="83" t="s">
        <v>1275</v>
      </c>
      <c r="L81" s="83" t="str">
        <f t="shared" si="1"/>
        <v>128GB Flash Drive
Capacities: 128GB; Branded
Compatability: USB 2.0 port required for high-speed transfer
Warranty: 1 year or more</v>
      </c>
      <c r="M81" s="83" t="s">
        <v>1266</v>
      </c>
      <c r="N81" s="59"/>
      <c r="O81" s="59"/>
      <c r="P81" s="86">
        <f t="shared" si="2"/>
        <v>0</v>
      </c>
      <c r="Q81" s="59"/>
      <c r="R81" s="59"/>
      <c r="S81" s="59"/>
      <c r="T81" s="59"/>
      <c r="U81" s="290"/>
      <c r="V81" s="290"/>
      <c r="W81" s="290"/>
      <c r="X81" s="290"/>
      <c r="Y81" s="290"/>
      <c r="Z81" s="290"/>
      <c r="AA81" s="290"/>
      <c r="AB81" s="290"/>
      <c r="AC81" s="290"/>
      <c r="AD81" s="290"/>
    </row>
    <row r="82" spans="1:30" ht="140.25">
      <c r="A82" s="291">
        <f t="shared" si="3"/>
        <v>81</v>
      </c>
      <c r="B82" s="291" t="s">
        <v>1276</v>
      </c>
      <c r="C82" s="291" t="str">
        <f>IF(D81="","",UNIT!$B$1&amp;"-"&amp;B82)</f>
        <v>ICT-MIS-00081</v>
      </c>
      <c r="D82" s="83" t="s">
        <v>1277</v>
      </c>
      <c r="E82" s="59" t="s">
        <v>103</v>
      </c>
      <c r="F82" s="293" t="s">
        <v>1278</v>
      </c>
      <c r="G82" s="293" t="s">
        <v>1279</v>
      </c>
      <c r="H82" s="86">
        <v>40000</v>
      </c>
      <c r="I82" s="294">
        <f t="shared" si="12"/>
        <v>60000</v>
      </c>
      <c r="J82" s="59" t="s">
        <v>954</v>
      </c>
      <c r="K82" s="83" t="s">
        <v>1280</v>
      </c>
      <c r="L82" s="83" t="str">
        <f t="shared" si="1"/>
        <v>Portable Color Document Scanner
Scanning Face: Duplex
Scanning Resolution
   100 dpi - 600 dpi (1 dpi step) and 1,200 dpi (interpolated) or more
   Optical: 300 dpi/600 dpi (Automatic) or more
Scanning Speed
   Simplex: 30 ppm, Duplex: 60 ipm or more
Double-Feed Detection: Ultrasonic
Interface: USB 3.1 Gen1 (backward compatible); LAN, Wireless LAN
Voltage: AC 100-240 V, 50/60 Hz
Warranty: 1 year or more</v>
      </c>
      <c r="M82" s="83" t="s">
        <v>1281</v>
      </c>
      <c r="N82" s="59"/>
      <c r="O82" s="59"/>
      <c r="P82" s="86">
        <f t="shared" si="2"/>
        <v>0</v>
      </c>
      <c r="Q82" s="59" t="s">
        <v>4741</v>
      </c>
      <c r="R82" s="59"/>
      <c r="S82" s="59"/>
      <c r="T82" s="59"/>
      <c r="U82" s="290"/>
      <c r="V82" s="290"/>
      <c r="W82" s="290"/>
      <c r="X82" s="290"/>
      <c r="Y82" s="290"/>
      <c r="Z82" s="290"/>
      <c r="AA82" s="290"/>
      <c r="AB82" s="290"/>
      <c r="AC82" s="290"/>
      <c r="AD82" s="290"/>
    </row>
    <row r="83" spans="1:30" ht="89.25">
      <c r="A83" s="291">
        <f t="shared" si="3"/>
        <v>82</v>
      </c>
      <c r="B83" s="291" t="s">
        <v>1282</v>
      </c>
      <c r="C83" s="291" t="str">
        <f>IF(D82="","",UNIT!$B$1&amp;"-"&amp;B83)</f>
        <v>ICT-MIS-00082</v>
      </c>
      <c r="D83" s="83" t="s">
        <v>260</v>
      </c>
      <c r="E83" s="59" t="s">
        <v>103</v>
      </c>
      <c r="F83" s="293" t="s">
        <v>1283</v>
      </c>
      <c r="G83" s="293" t="s">
        <v>1284</v>
      </c>
      <c r="H83" s="86">
        <v>2000</v>
      </c>
      <c r="I83" s="294">
        <f t="shared" si="12"/>
        <v>3000</v>
      </c>
      <c r="J83" s="59" t="s">
        <v>954</v>
      </c>
      <c r="K83" s="83" t="s">
        <v>1285</v>
      </c>
      <c r="L83" s="83" t="str">
        <f t="shared" si="1"/>
        <v>USB Computer Headset
Plug-and-play USB-A connection and a noise-canceling mic w/ In-line controls
Microphone Type: Bi-directional
Input Impedance: 32 Ohm
Frequency response (Headset): 20 Hz - 20 KHz
Frequency response (Microphone): 100 Hz - 10 KHz
Warranty: 2 years or more</v>
      </c>
      <c r="M83" s="83" t="s">
        <v>1286</v>
      </c>
      <c r="N83" s="59"/>
      <c r="O83" s="59"/>
      <c r="P83" s="86">
        <f t="shared" si="2"/>
        <v>0</v>
      </c>
      <c r="Q83" s="59" t="s">
        <v>4741</v>
      </c>
      <c r="R83" s="59"/>
      <c r="S83" s="59"/>
      <c r="T83" s="59"/>
      <c r="U83" s="290"/>
      <c r="V83" s="290"/>
      <c r="W83" s="290"/>
      <c r="X83" s="290"/>
      <c r="Y83" s="290"/>
      <c r="Z83" s="290"/>
      <c r="AA83" s="290"/>
      <c r="AB83" s="290"/>
      <c r="AC83" s="290"/>
      <c r="AD83" s="290"/>
    </row>
    <row r="84" spans="1:30" ht="25.5">
      <c r="A84" s="291">
        <f t="shared" si="3"/>
        <v>83</v>
      </c>
      <c r="B84" s="291" t="s">
        <v>1287</v>
      </c>
      <c r="C84" s="291" t="str">
        <f>IF(D83="","",UNIT!$B$1&amp;"-"&amp;B84)</f>
        <v>ICT-MIS-00083</v>
      </c>
      <c r="D84" s="83" t="s">
        <v>231</v>
      </c>
      <c r="E84" s="59" t="s">
        <v>103</v>
      </c>
      <c r="F84" s="295" t="s">
        <v>1288</v>
      </c>
      <c r="G84" s="295" t="s">
        <v>1288</v>
      </c>
      <c r="H84" s="86">
        <v>1000</v>
      </c>
      <c r="I84" s="294">
        <f t="shared" si="12"/>
        <v>1500</v>
      </c>
      <c r="J84" s="59" t="s">
        <v>1008</v>
      </c>
      <c r="K84" s="83" t="s">
        <v>231</v>
      </c>
      <c r="L84" s="83" t="str">
        <f t="shared" si="1"/>
        <v>HP Printhead Black compatible with the existing HP Smart Tank 515
HP Printhead Black compatible with the existing HP Smart Tank 515</v>
      </c>
      <c r="M84" s="83" t="s">
        <v>1289</v>
      </c>
      <c r="N84" s="59" t="s">
        <v>957</v>
      </c>
      <c r="O84" s="59">
        <v>12</v>
      </c>
      <c r="P84" s="86">
        <f t="shared" si="2"/>
        <v>18000</v>
      </c>
      <c r="Q84" s="59" t="s">
        <v>4741</v>
      </c>
      <c r="R84" s="59"/>
      <c r="S84" s="59"/>
      <c r="T84" s="59"/>
      <c r="U84" s="290"/>
      <c r="V84" s="290"/>
      <c r="W84" s="290"/>
      <c r="X84" s="290"/>
      <c r="Y84" s="290"/>
      <c r="Z84" s="290"/>
      <c r="AA84" s="290"/>
      <c r="AB84" s="290"/>
      <c r="AC84" s="290"/>
      <c r="AD84" s="290"/>
    </row>
    <row r="85" spans="1:30" ht="25.5">
      <c r="A85" s="291">
        <f t="shared" si="3"/>
        <v>84</v>
      </c>
      <c r="B85" s="291" t="s">
        <v>1290</v>
      </c>
      <c r="C85" s="291" t="str">
        <f>IF(D84="","",UNIT!$B$1&amp;"-"&amp;B85)</f>
        <v>ICT-MIS-00084</v>
      </c>
      <c r="D85" s="83" t="s">
        <v>232</v>
      </c>
      <c r="E85" s="59" t="s">
        <v>103</v>
      </c>
      <c r="F85" s="293" t="s">
        <v>1291</v>
      </c>
      <c r="G85" s="293" t="s">
        <v>1291</v>
      </c>
      <c r="H85" s="86">
        <v>1000</v>
      </c>
      <c r="I85" s="294">
        <f t="shared" si="12"/>
        <v>1500</v>
      </c>
      <c r="J85" s="59" t="s">
        <v>1008</v>
      </c>
      <c r="K85" s="83" t="s">
        <v>232</v>
      </c>
      <c r="L85" s="83" t="str">
        <f t="shared" si="1"/>
        <v>HP Printhead Tri-color compatible with the existing HP Smart Tank 515
HP Printhead Tri-color compatible with the existing HP Smart Tank 515</v>
      </c>
      <c r="M85" s="83" t="s">
        <v>1292</v>
      </c>
      <c r="N85" s="59" t="s">
        <v>957</v>
      </c>
      <c r="O85" s="59">
        <v>12</v>
      </c>
      <c r="P85" s="86">
        <f t="shared" si="2"/>
        <v>18000</v>
      </c>
      <c r="Q85" s="59" t="s">
        <v>4741</v>
      </c>
      <c r="R85" s="59"/>
      <c r="S85" s="59"/>
      <c r="T85" s="59"/>
      <c r="U85" s="290"/>
      <c r="V85" s="290"/>
      <c r="W85" s="290"/>
      <c r="X85" s="290"/>
      <c r="Y85" s="290"/>
      <c r="Z85" s="290"/>
      <c r="AA85" s="290"/>
      <c r="AB85" s="290"/>
      <c r="AC85" s="290"/>
      <c r="AD85" s="290"/>
    </row>
    <row r="86" spans="1:30" ht="153">
      <c r="A86" s="291">
        <f t="shared" si="3"/>
        <v>85</v>
      </c>
      <c r="B86" s="291" t="s">
        <v>1293</v>
      </c>
      <c r="C86" s="291" t="str">
        <f>IF(D85="","",UNIT!$B$1&amp;"-"&amp;B86)</f>
        <v>ICT-MIS-00085</v>
      </c>
      <c r="D86" s="83" t="s">
        <v>193</v>
      </c>
      <c r="E86" s="59" t="s">
        <v>118</v>
      </c>
      <c r="F86" s="293" t="s">
        <v>1294</v>
      </c>
      <c r="G86" s="293" t="s">
        <v>1295</v>
      </c>
      <c r="H86" s="86">
        <v>45000</v>
      </c>
      <c r="I86" s="294">
        <f t="shared" si="12"/>
        <v>67500</v>
      </c>
      <c r="J86" s="59" t="s">
        <v>954</v>
      </c>
      <c r="K86" s="83" t="s">
        <v>1296</v>
      </c>
      <c r="L86" s="83" t="str">
        <f t="shared" si="1"/>
        <v>Desktop Type Document Scanner
Type: Desktop Type Sheet Fed Scanner
Scanning sensor unit: CMOS CIS 1 Line Sensor
Optical resolution: 600dpi or more
Light source: RGB LED
Scanning side: Front / Back / Duplex
Interface: USB 2.0 (USB 3.0 compatible)
SCANNING SPEED
   Black and White: 60ppm / 120ipm or more
   Colour: 60ppm / 120ipm or more
Compatible with the existing software CaptureOnTouch Pro
Warranty: 1 year or more</v>
      </c>
      <c r="M86" s="83" t="s">
        <v>1297</v>
      </c>
      <c r="N86" s="59"/>
      <c r="O86" s="59"/>
      <c r="P86" s="86">
        <f t="shared" si="2"/>
        <v>0</v>
      </c>
      <c r="Q86" s="59" t="s">
        <v>4741</v>
      </c>
      <c r="R86" s="59"/>
      <c r="S86" s="59"/>
      <c r="T86" s="59"/>
      <c r="U86" s="290"/>
      <c r="V86" s="290"/>
      <c r="W86" s="290"/>
      <c r="X86" s="290"/>
      <c r="Y86" s="290"/>
      <c r="Z86" s="290"/>
      <c r="AA86" s="290"/>
      <c r="AB86" s="290"/>
      <c r="AC86" s="290"/>
      <c r="AD86" s="290"/>
    </row>
    <row r="87" spans="1:30" ht="114.75">
      <c r="A87" s="291">
        <f t="shared" si="3"/>
        <v>86</v>
      </c>
      <c r="B87" s="291" t="s">
        <v>1298</v>
      </c>
      <c r="C87" s="291" t="str">
        <f>IF(D86="","",UNIT!$B$1&amp;"-"&amp;B87)</f>
        <v>ICT-MIS-00086</v>
      </c>
      <c r="D87" s="83" t="s">
        <v>251</v>
      </c>
      <c r="E87" s="59" t="s">
        <v>103</v>
      </c>
      <c r="F87" s="293" t="s">
        <v>1299</v>
      </c>
      <c r="G87" s="295" t="s">
        <v>1300</v>
      </c>
      <c r="H87" s="86">
        <v>3135</v>
      </c>
      <c r="I87" s="294">
        <f t="shared" si="12"/>
        <v>4702.5</v>
      </c>
      <c r="J87" s="59" t="s">
        <v>954</v>
      </c>
      <c r="K87" s="83" t="s">
        <v>1301</v>
      </c>
      <c r="L87" s="83" t="str">
        <f t="shared" si="1"/>
        <v>Stereo Digital Voice Recorder with Built-in USB
Battery Type: Dry Battery
Battery Type (Provided): AAA X2
Built-In Memory: 4 GB Internal Memory, Expandable To 32 GB With Micro Sd
Built-In Microphone: Stereo
Pc Connectivity: Yes
Input And Output Terminals
Hi-Speed Usb [Input] Stereo Mic-In Jack [Output] Stereo Earphone Jack
Warranty: 1 year or more</v>
      </c>
      <c r="M87" s="83" t="s">
        <v>1302</v>
      </c>
      <c r="N87" s="59"/>
      <c r="O87" s="59"/>
      <c r="P87" s="86">
        <f t="shared" si="2"/>
        <v>0</v>
      </c>
      <c r="Q87" s="59" t="s">
        <v>4741</v>
      </c>
      <c r="R87" s="59"/>
      <c r="S87" s="59"/>
      <c r="T87" s="59"/>
      <c r="U87" s="290"/>
      <c r="V87" s="290"/>
      <c r="W87" s="290"/>
      <c r="X87" s="290"/>
      <c r="Y87" s="290"/>
      <c r="Z87" s="290"/>
      <c r="AA87" s="290"/>
      <c r="AB87" s="290"/>
      <c r="AC87" s="290"/>
      <c r="AD87" s="290"/>
    </row>
    <row r="88" spans="1:30" ht="127.5">
      <c r="A88" s="291">
        <f t="shared" si="3"/>
        <v>87</v>
      </c>
      <c r="B88" s="291" t="s">
        <v>1303</v>
      </c>
      <c r="C88" s="291" t="str">
        <f>IF(D87="","",UNIT!$B$1&amp;"-"&amp;B88)</f>
        <v>ICT-MIS-00087</v>
      </c>
      <c r="D88" s="83" t="s">
        <v>244</v>
      </c>
      <c r="E88" s="59" t="s">
        <v>103</v>
      </c>
      <c r="F88" s="295" t="s">
        <v>1304</v>
      </c>
      <c r="G88" s="295" t="s">
        <v>1305</v>
      </c>
      <c r="H88" s="86">
        <v>21000</v>
      </c>
      <c r="I88" s="294">
        <f t="shared" si="12"/>
        <v>31500</v>
      </c>
      <c r="J88" s="59" t="s">
        <v>954</v>
      </c>
      <c r="K88" s="83" t="s">
        <v>1306</v>
      </c>
      <c r="L88" s="83" t="str">
        <f t="shared" si="1"/>
        <v>Projector
Projection System: 3LCD, 3-chip technology
Native Resolution: 1024 x 768 (XGA)
Color Brightness: 3600 lumens or more
White Brightness: 3600 lumens or more
Aspect Ratio: 4:3
USB Type B: 1
Analog Input: D-Sub 15pin: 1
Digital Input: HDMI: 1
Warranty: 1 year or more</v>
      </c>
      <c r="M88" s="83" t="s">
        <v>1307</v>
      </c>
      <c r="N88" s="59"/>
      <c r="O88" s="59"/>
      <c r="P88" s="86">
        <f t="shared" si="2"/>
        <v>0</v>
      </c>
      <c r="Q88" s="59" t="s">
        <v>4741</v>
      </c>
      <c r="R88" s="59"/>
      <c r="S88" s="59"/>
      <c r="T88" s="59"/>
      <c r="U88" s="290"/>
      <c r="V88" s="290"/>
      <c r="W88" s="290"/>
      <c r="X88" s="290"/>
      <c r="Y88" s="290"/>
      <c r="Z88" s="290"/>
      <c r="AA88" s="290"/>
      <c r="AB88" s="290"/>
      <c r="AC88" s="290"/>
      <c r="AD88" s="290"/>
    </row>
    <row r="89" spans="1:30" ht="127.5">
      <c r="A89" s="291">
        <f t="shared" si="3"/>
        <v>88</v>
      </c>
      <c r="B89" s="291" t="s">
        <v>1308</v>
      </c>
      <c r="C89" s="291" t="str">
        <f>IF(D88="","",UNIT!$B$1&amp;"-"&amp;B89)</f>
        <v>ICT-MIS-00088</v>
      </c>
      <c r="D89" s="83" t="s">
        <v>256</v>
      </c>
      <c r="E89" s="59" t="s">
        <v>103</v>
      </c>
      <c r="F89" s="293" t="s">
        <v>1309</v>
      </c>
      <c r="G89" s="293" t="s">
        <v>1310</v>
      </c>
      <c r="H89" s="86">
        <v>13500</v>
      </c>
      <c r="I89" s="294">
        <f t="shared" si="12"/>
        <v>20250</v>
      </c>
      <c r="J89" s="59" t="s">
        <v>954</v>
      </c>
      <c r="K89" s="83" t="s">
        <v>1311</v>
      </c>
      <c r="L89" s="83" t="str">
        <f t="shared" si="1"/>
        <v>Thermal POS Receipt Printer
Print Method: Thermal line printing
Print Font
   Font: 9 × 17 / 12 × 24
   Column Capacity: 56 / 42 columns
Interface: Built-in USB (Type A &amp; Type B) + Built-in Ethernet
+ UIB (Serial or Parallel)
Print Speed: Max. 350 mm/sec. or more
CPU: ARM Cortex-A5 384 MHz or higher
Warranty: 1 year or more</v>
      </c>
      <c r="M89" s="83" t="s">
        <v>1312</v>
      </c>
      <c r="N89" s="59"/>
      <c r="O89" s="59"/>
      <c r="P89" s="86">
        <f t="shared" si="2"/>
        <v>0</v>
      </c>
      <c r="Q89" s="59" t="s">
        <v>4741</v>
      </c>
      <c r="R89" s="59"/>
      <c r="S89" s="59"/>
      <c r="T89" s="59"/>
      <c r="U89" s="290"/>
      <c r="V89" s="290"/>
      <c r="W89" s="290"/>
      <c r="X89" s="290"/>
      <c r="Y89" s="290"/>
      <c r="Z89" s="290"/>
      <c r="AA89" s="290"/>
      <c r="AB89" s="290"/>
      <c r="AC89" s="290"/>
      <c r="AD89" s="290"/>
    </row>
    <row r="90" spans="1:30" ht="89.25">
      <c r="A90" s="291">
        <f t="shared" si="3"/>
        <v>89</v>
      </c>
      <c r="B90" s="291" t="s">
        <v>1313</v>
      </c>
      <c r="C90" s="291" t="str">
        <f>IF(D89="","",UNIT!$B$1&amp;"-"&amp;B90)</f>
        <v>ICT-MIS-00089</v>
      </c>
      <c r="D90" s="83" t="s">
        <v>243</v>
      </c>
      <c r="E90" s="59" t="s">
        <v>103</v>
      </c>
      <c r="F90" s="293" t="s">
        <v>1314</v>
      </c>
      <c r="G90" s="293" t="s">
        <v>1315</v>
      </c>
      <c r="H90" s="86">
        <v>2900</v>
      </c>
      <c r="I90" s="294">
        <f t="shared" si="12"/>
        <v>4350</v>
      </c>
      <c r="J90" s="59" t="s">
        <v>954</v>
      </c>
      <c r="K90" s="83" t="s">
        <v>1316</v>
      </c>
      <c r="L90" s="83" t="str">
        <f t="shared" si="1"/>
        <v>Professional Presenter Wireless Presentation Clicker Remote
Laser Class: Class 2 laser
Max output: Less than 1m W
Wave Length: 522～542 nm (green light)
Battery type: 2 AAA batteries
Wireless technology: 2.4 GHz wireless technology
Warranty: 2 years or more</v>
      </c>
      <c r="M90" s="83" t="s">
        <v>1317</v>
      </c>
      <c r="N90" s="59"/>
      <c r="O90" s="59"/>
      <c r="P90" s="86">
        <f t="shared" si="2"/>
        <v>0</v>
      </c>
      <c r="Q90" s="59" t="s">
        <v>4741</v>
      </c>
      <c r="R90" s="59"/>
      <c r="S90" s="59"/>
      <c r="T90" s="59"/>
      <c r="U90" s="290"/>
      <c r="V90" s="290"/>
      <c r="W90" s="290"/>
      <c r="X90" s="290"/>
      <c r="Y90" s="290"/>
      <c r="Z90" s="290"/>
      <c r="AA90" s="290"/>
      <c r="AB90" s="290"/>
      <c r="AC90" s="290"/>
      <c r="AD90" s="290"/>
    </row>
    <row r="91" spans="1:30" ht="51">
      <c r="A91" s="291">
        <f t="shared" si="3"/>
        <v>90</v>
      </c>
      <c r="B91" s="291" t="s">
        <v>1318</v>
      </c>
      <c r="C91" s="291" t="str">
        <f>IF(D90="","",UNIT!$B$1&amp;"-"&amp;B91)</f>
        <v>ICT-MIS-00090</v>
      </c>
      <c r="D91" s="83" t="s">
        <v>242</v>
      </c>
      <c r="E91" s="59" t="s">
        <v>103</v>
      </c>
      <c r="F91" s="82" t="s">
        <v>1319</v>
      </c>
      <c r="G91" s="82" t="s">
        <v>1319</v>
      </c>
      <c r="H91" s="86">
        <v>5</v>
      </c>
      <c r="I91" s="294">
        <f t="shared" si="12"/>
        <v>7.5</v>
      </c>
      <c r="J91" s="59" t="s">
        <v>1008</v>
      </c>
      <c r="K91" s="83" t="s">
        <v>1320</v>
      </c>
      <c r="L91" s="83" t="str">
        <f t="shared" si="1"/>
        <v>Printable PVC Pre-Cut Cards
For direct ID Printing
High glossy output
size: 85-87mmx53-55mm</v>
      </c>
      <c r="M91" s="83" t="s">
        <v>1321</v>
      </c>
      <c r="N91" s="59"/>
      <c r="O91" s="59"/>
      <c r="P91" s="86">
        <f t="shared" si="2"/>
        <v>0</v>
      </c>
      <c r="Q91" s="59" t="s">
        <v>4741</v>
      </c>
      <c r="R91" s="59"/>
      <c r="S91" s="59"/>
      <c r="T91" s="59"/>
      <c r="U91" s="290"/>
      <c r="V91" s="290"/>
      <c r="W91" s="290"/>
      <c r="X91" s="290"/>
      <c r="Y91" s="290"/>
      <c r="Z91" s="290"/>
      <c r="AA91" s="290"/>
      <c r="AB91" s="290"/>
      <c r="AC91" s="290"/>
      <c r="AD91" s="290"/>
    </row>
    <row r="92" spans="1:30" ht="25.5">
      <c r="A92" s="291">
        <f t="shared" si="3"/>
        <v>91</v>
      </c>
      <c r="B92" s="291" t="s">
        <v>1322</v>
      </c>
      <c r="C92" s="291" t="str">
        <f>IF(D91="","",UNIT!$B$1&amp;"-"&amp;B92)</f>
        <v>ICT-MIS-00091</v>
      </c>
      <c r="D92" s="85" t="s">
        <v>1323</v>
      </c>
      <c r="E92" s="59" t="s">
        <v>103</v>
      </c>
      <c r="F92" s="295" t="s">
        <v>1324</v>
      </c>
      <c r="G92" s="293" t="s">
        <v>1324</v>
      </c>
      <c r="H92" s="86">
        <v>1200</v>
      </c>
      <c r="I92" s="294">
        <f t="shared" si="12"/>
        <v>1800</v>
      </c>
      <c r="J92" s="59" t="s">
        <v>1008</v>
      </c>
      <c r="K92" s="85" t="s">
        <v>1323</v>
      </c>
      <c r="L92" s="83" t="str">
        <f t="shared" si="1"/>
        <v>Black High Yield Toner Cartridge compatible with HP LaserJet Pro MFP M426fdn
Black High Yield Toner Cartridge compatible with HP LaserJet Pro MFP M426fdn</v>
      </c>
      <c r="M92" s="85" t="s">
        <v>1323</v>
      </c>
      <c r="N92" s="59"/>
      <c r="O92" s="59"/>
      <c r="P92" s="86">
        <f t="shared" si="2"/>
        <v>0</v>
      </c>
      <c r="Q92" s="59" t="s">
        <v>4741</v>
      </c>
      <c r="R92" s="59"/>
      <c r="S92" s="59"/>
      <c r="T92" s="59"/>
      <c r="U92" s="290"/>
      <c r="V92" s="290"/>
      <c r="W92" s="290"/>
      <c r="X92" s="290"/>
      <c r="Y92" s="290"/>
      <c r="Z92" s="290"/>
      <c r="AA92" s="290"/>
      <c r="AB92" s="290"/>
      <c r="AC92" s="290"/>
      <c r="AD92" s="290"/>
    </row>
    <row r="93" spans="1:30" ht="25.5">
      <c r="A93" s="291">
        <f t="shared" si="3"/>
        <v>92</v>
      </c>
      <c r="B93" s="291" t="s">
        <v>1325</v>
      </c>
      <c r="C93" s="291" t="str">
        <f>IF(D92="","",UNIT!$B$1&amp;"-"&amp;B93)</f>
        <v>ICT-MIS-00092</v>
      </c>
      <c r="D93" s="85" t="s">
        <v>740</v>
      </c>
      <c r="E93" s="59" t="s">
        <v>633</v>
      </c>
      <c r="F93" s="293" t="s">
        <v>1326</v>
      </c>
      <c r="G93" s="293" t="s">
        <v>1326</v>
      </c>
      <c r="H93" s="86">
        <v>6950</v>
      </c>
      <c r="I93" s="294">
        <f t="shared" si="12"/>
        <v>10425</v>
      </c>
      <c r="J93" s="59" t="s">
        <v>1008</v>
      </c>
      <c r="K93" s="85" t="s">
        <v>1327</v>
      </c>
      <c r="L93" s="83" t="str">
        <f t="shared" si="1"/>
        <v>HP Toner CF280XC
HP Toner CF280XC for existing HP Printer</v>
      </c>
      <c r="M93" s="85" t="s">
        <v>740</v>
      </c>
      <c r="N93" s="59"/>
      <c r="O93" s="59"/>
      <c r="P93" s="86">
        <f t="shared" si="2"/>
        <v>0</v>
      </c>
      <c r="Q93" s="59" t="s">
        <v>4741</v>
      </c>
      <c r="R93" s="59"/>
      <c r="S93" s="59"/>
      <c r="T93" s="59"/>
      <c r="U93" s="290"/>
      <c r="V93" s="290"/>
      <c r="W93" s="290"/>
      <c r="X93" s="290"/>
      <c r="Y93" s="290"/>
      <c r="Z93" s="290"/>
      <c r="AA93" s="290"/>
      <c r="AB93" s="290"/>
      <c r="AC93" s="290"/>
      <c r="AD93" s="290"/>
    </row>
    <row r="94" spans="1:30" ht="127.5">
      <c r="A94" s="291">
        <f t="shared" si="3"/>
        <v>93</v>
      </c>
      <c r="B94" s="291" t="s">
        <v>1328</v>
      </c>
      <c r="C94" s="291" t="str">
        <f>IF(D93="","",UNIT!$B$1&amp;"-"&amp;B94)</f>
        <v>ICT-MIS-00093</v>
      </c>
      <c r="D94" s="83" t="s">
        <v>369</v>
      </c>
      <c r="E94" s="59" t="s">
        <v>118</v>
      </c>
      <c r="F94" s="295" t="s">
        <v>1329</v>
      </c>
      <c r="G94" s="295" t="s">
        <v>1329</v>
      </c>
      <c r="H94" s="86">
        <v>40000</v>
      </c>
      <c r="I94" s="294">
        <f t="shared" si="12"/>
        <v>60000</v>
      </c>
      <c r="J94" s="59" t="s">
        <v>954</v>
      </c>
      <c r="K94" s="85" t="s">
        <v>1330</v>
      </c>
      <c r="L94" s="83" t="str">
        <f t="shared" si="1"/>
        <v>Camera DSLR
18-55mm IS STM Black
Type: Digital AF/AE single-lens reflex camera with built-in flash
Recording Media: SD/SDHC/SDXC memory cards
SD speed class-compatible; UHS-I compatible; Compatible with Eye-Fi cards.
Image Format: Approx. 22.3 x 14.9mm (APS-C) 
Compatible Lenses: EF lenses (including EF-S lenses, excluding EF-M lenses)
Lens Mount: EF mount
Accessories: AC Adapter AC-E6N and Charger; Camera Bag</v>
      </c>
      <c r="M94" s="83" t="s">
        <v>1331</v>
      </c>
      <c r="N94" s="59"/>
      <c r="O94" s="59"/>
      <c r="P94" s="86">
        <f t="shared" si="2"/>
        <v>0</v>
      </c>
      <c r="Q94" s="59" t="s">
        <v>4741</v>
      </c>
      <c r="R94" s="59"/>
      <c r="S94" s="59"/>
      <c r="T94" s="59"/>
      <c r="U94" s="290"/>
      <c r="V94" s="290"/>
      <c r="W94" s="290"/>
      <c r="X94" s="290"/>
      <c r="Y94" s="290"/>
      <c r="Z94" s="290"/>
      <c r="AA94" s="290"/>
      <c r="AB94" s="290"/>
      <c r="AC94" s="290"/>
      <c r="AD94" s="290"/>
    </row>
    <row r="95" spans="1:30" ht="76.5">
      <c r="A95" s="291">
        <f t="shared" si="3"/>
        <v>94</v>
      </c>
      <c r="B95" s="291" t="s">
        <v>1332</v>
      </c>
      <c r="C95" s="291" t="str">
        <f>IF(D94="","",UNIT!$B$1&amp;"-"&amp;B95)</f>
        <v>ICT-MIS-00094</v>
      </c>
      <c r="D95" s="83" t="s">
        <v>252</v>
      </c>
      <c r="E95" s="59" t="s">
        <v>103</v>
      </c>
      <c r="F95" s="293" t="s">
        <v>1333</v>
      </c>
      <c r="G95" s="293" t="s">
        <v>1334</v>
      </c>
      <c r="H95" s="86">
        <v>600</v>
      </c>
      <c r="I95" s="294">
        <f t="shared" si="12"/>
        <v>900</v>
      </c>
      <c r="J95" s="59" t="s">
        <v>954</v>
      </c>
      <c r="K95" s="83" t="s">
        <v>1335</v>
      </c>
      <c r="L95" s="83" t="str">
        <f t="shared" si="1"/>
        <v>Stereo Speakers
Total Watt (RMS): approximately 1.2W (varies by power source)
3.5 mm input: 1
USB cable for power: 1
Controls: Power and volume controls on right speaker
Warranty: 2 years or more</v>
      </c>
      <c r="M95" s="83" t="s">
        <v>1336</v>
      </c>
      <c r="N95" s="59"/>
      <c r="O95" s="59"/>
      <c r="P95" s="86">
        <f t="shared" si="2"/>
        <v>0</v>
      </c>
      <c r="Q95" s="59" t="s">
        <v>4741</v>
      </c>
      <c r="R95" s="59"/>
      <c r="S95" s="59"/>
      <c r="T95" s="59"/>
      <c r="U95" s="290"/>
      <c r="V95" s="290"/>
      <c r="W95" s="290"/>
      <c r="X95" s="290"/>
      <c r="Y95" s="290"/>
      <c r="Z95" s="290"/>
      <c r="AA95" s="290"/>
      <c r="AB95" s="290"/>
      <c r="AC95" s="290"/>
      <c r="AD95" s="290"/>
    </row>
    <row r="96" spans="1:30" ht="25.5">
      <c r="A96" s="291">
        <f t="shared" si="3"/>
        <v>95</v>
      </c>
      <c r="B96" s="291" t="s">
        <v>1337</v>
      </c>
      <c r="C96" s="291" t="str">
        <f>IF(D95="","",UNIT!$B$1&amp;"-"&amp;B96)</f>
        <v>ICT-MIS-00095</v>
      </c>
      <c r="D96" s="83" t="s">
        <v>1338</v>
      </c>
      <c r="E96" s="59" t="s">
        <v>103</v>
      </c>
      <c r="F96" s="82" t="s">
        <v>1319</v>
      </c>
      <c r="G96" s="82" t="s">
        <v>1319</v>
      </c>
      <c r="H96" s="86">
        <v>2600</v>
      </c>
      <c r="I96" s="294">
        <f t="shared" si="12"/>
        <v>3900</v>
      </c>
      <c r="J96" s="59" t="s">
        <v>1008</v>
      </c>
      <c r="K96" s="83" t="s">
        <v>1338</v>
      </c>
      <c r="L96" s="83" t="str">
        <f t="shared" si="1"/>
        <v>Kyocera ECOSYS P6230cdn Black Toner Cartridge
Kyocera ECOSYS P6230cdn Black Toner Cartridge</v>
      </c>
      <c r="M96" s="83" t="s">
        <v>1338</v>
      </c>
      <c r="N96" s="59"/>
      <c r="O96" s="59"/>
      <c r="P96" s="86">
        <f t="shared" si="2"/>
        <v>0</v>
      </c>
      <c r="Q96" s="59"/>
      <c r="R96" s="59"/>
      <c r="S96" s="59"/>
      <c r="T96" s="59"/>
      <c r="U96" s="290"/>
      <c r="V96" s="290"/>
      <c r="W96" s="290"/>
      <c r="X96" s="290"/>
      <c r="Y96" s="290"/>
      <c r="Z96" s="290"/>
      <c r="AA96" s="290"/>
      <c r="AB96" s="290"/>
      <c r="AC96" s="290"/>
      <c r="AD96" s="290"/>
    </row>
    <row r="97" spans="1:30" ht="25.5">
      <c r="A97" s="291">
        <f t="shared" si="3"/>
        <v>96</v>
      </c>
      <c r="B97" s="291" t="s">
        <v>1339</v>
      </c>
      <c r="C97" s="291" t="str">
        <f>IF(D96="","",UNIT!$B$1&amp;"-"&amp;B97)</f>
        <v>ICT-MIS-00096</v>
      </c>
      <c r="D97" s="83" t="s">
        <v>1340</v>
      </c>
      <c r="E97" s="59" t="s">
        <v>103</v>
      </c>
      <c r="F97" s="82" t="s">
        <v>1319</v>
      </c>
      <c r="G97" s="82" t="s">
        <v>1319</v>
      </c>
      <c r="H97" s="86">
        <v>2600</v>
      </c>
      <c r="I97" s="294">
        <f t="shared" si="12"/>
        <v>3900</v>
      </c>
      <c r="J97" s="59" t="s">
        <v>1008</v>
      </c>
      <c r="K97" s="83" t="s">
        <v>1340</v>
      </c>
      <c r="L97" s="83" t="str">
        <f t="shared" si="1"/>
        <v>Kyocera ECOSYS P6230cdn Yellow Toner Cartridge
Kyocera ECOSYS P6230cdn Yellow Toner Cartridge</v>
      </c>
      <c r="M97" s="83" t="s">
        <v>1340</v>
      </c>
      <c r="N97" s="59"/>
      <c r="O97" s="59"/>
      <c r="P97" s="86">
        <f t="shared" si="2"/>
        <v>0</v>
      </c>
      <c r="Q97" s="59" t="e">
        <f>VLOOKUP(D97,'[1]Pivot 2024 Conso'!$A$2:W1997,6,0)</f>
        <v>#N/A</v>
      </c>
      <c r="R97" s="59"/>
      <c r="S97" s="59"/>
      <c r="T97" s="59"/>
      <c r="U97" s="290"/>
      <c r="V97" s="290"/>
      <c r="W97" s="290"/>
      <c r="X97" s="290"/>
      <c r="Y97" s="290"/>
      <c r="Z97" s="290"/>
      <c r="AA97" s="290"/>
      <c r="AB97" s="290"/>
      <c r="AC97" s="290"/>
      <c r="AD97" s="290"/>
    </row>
    <row r="98" spans="1:30" ht="25.5">
      <c r="A98" s="291">
        <f t="shared" si="3"/>
        <v>97</v>
      </c>
      <c r="B98" s="291" t="s">
        <v>1341</v>
      </c>
      <c r="C98" s="291" t="str">
        <f>IF(D97="","",UNIT!$B$1&amp;"-"&amp;B98)</f>
        <v>ICT-MIS-00097</v>
      </c>
      <c r="D98" s="83" t="s">
        <v>1342</v>
      </c>
      <c r="E98" s="59" t="s">
        <v>103</v>
      </c>
      <c r="F98" s="82" t="s">
        <v>1319</v>
      </c>
      <c r="G98" s="82" t="s">
        <v>1319</v>
      </c>
      <c r="H98" s="86">
        <v>2600</v>
      </c>
      <c r="I98" s="294">
        <f t="shared" si="12"/>
        <v>3900</v>
      </c>
      <c r="J98" s="59" t="s">
        <v>1008</v>
      </c>
      <c r="K98" s="83" t="s">
        <v>1342</v>
      </c>
      <c r="L98" s="83" t="str">
        <f t="shared" si="1"/>
        <v>Kyocera ECOSYS P6230cdn Magenta Toner Cartridge
Kyocera ECOSYS P6230cdn Magenta Toner Cartridge</v>
      </c>
      <c r="M98" s="83" t="s">
        <v>1342</v>
      </c>
      <c r="N98" s="59"/>
      <c r="O98" s="59"/>
      <c r="P98" s="86">
        <f t="shared" si="2"/>
        <v>0</v>
      </c>
      <c r="Q98" s="59"/>
      <c r="R98" s="59"/>
      <c r="S98" s="59"/>
      <c r="T98" s="59"/>
      <c r="U98" s="290"/>
      <c r="V98" s="290"/>
      <c r="W98" s="290"/>
      <c r="X98" s="290"/>
      <c r="Y98" s="290"/>
      <c r="Z98" s="290"/>
      <c r="AA98" s="290"/>
      <c r="AB98" s="290"/>
      <c r="AC98" s="290"/>
      <c r="AD98" s="290"/>
    </row>
    <row r="99" spans="1:30" ht="25.5">
      <c r="A99" s="291">
        <f t="shared" si="3"/>
        <v>98</v>
      </c>
      <c r="B99" s="291" t="s">
        <v>1343</v>
      </c>
      <c r="C99" s="291" t="str">
        <f>IF(D98="","",UNIT!$B$1&amp;"-"&amp;B99)</f>
        <v>ICT-MIS-00098</v>
      </c>
      <c r="D99" s="83" t="s">
        <v>1344</v>
      </c>
      <c r="E99" s="59" t="s">
        <v>103</v>
      </c>
      <c r="F99" s="82" t="s">
        <v>1319</v>
      </c>
      <c r="G99" s="82" t="s">
        <v>1319</v>
      </c>
      <c r="H99" s="86">
        <v>2600</v>
      </c>
      <c r="I99" s="294">
        <f t="shared" si="12"/>
        <v>3900</v>
      </c>
      <c r="J99" s="59" t="s">
        <v>1008</v>
      </c>
      <c r="K99" s="83" t="s">
        <v>1344</v>
      </c>
      <c r="L99" s="83" t="str">
        <f t="shared" si="1"/>
        <v>Kyocera ECOSYS P6230cdn Cyan Toner Cartridge
Kyocera ECOSYS P6230cdn Cyan Toner Cartridge</v>
      </c>
      <c r="M99" s="83" t="s">
        <v>1344</v>
      </c>
      <c r="N99" s="59"/>
      <c r="O99" s="59"/>
      <c r="P99" s="86">
        <f t="shared" si="2"/>
        <v>0</v>
      </c>
      <c r="Q99" s="59"/>
      <c r="R99" s="59"/>
      <c r="S99" s="59"/>
      <c r="T99" s="59"/>
      <c r="U99" s="290"/>
      <c r="V99" s="290"/>
      <c r="W99" s="290"/>
      <c r="X99" s="290"/>
      <c r="Y99" s="290"/>
      <c r="Z99" s="290"/>
      <c r="AA99" s="290"/>
      <c r="AB99" s="290"/>
      <c r="AC99" s="290"/>
      <c r="AD99" s="290"/>
    </row>
    <row r="100" spans="1:30" ht="25.5">
      <c r="A100" s="291">
        <f t="shared" si="3"/>
        <v>99</v>
      </c>
      <c r="B100" s="291" t="s">
        <v>1345</v>
      </c>
      <c r="C100" s="291" t="str">
        <f>IF(D99="","",UNIT!$B$1&amp;"-"&amp;B100)</f>
        <v>ICT-MIS-00099</v>
      </c>
      <c r="D100" s="83" t="s">
        <v>1346</v>
      </c>
      <c r="E100" s="59" t="s">
        <v>103</v>
      </c>
      <c r="F100" s="82" t="s">
        <v>1319</v>
      </c>
      <c r="G100" s="82" t="s">
        <v>1319</v>
      </c>
      <c r="H100" s="86">
        <v>4500</v>
      </c>
      <c r="I100" s="294">
        <f t="shared" si="12"/>
        <v>6750</v>
      </c>
      <c r="J100" s="59" t="s">
        <v>1008</v>
      </c>
      <c r="K100" s="83" t="s">
        <v>1347</v>
      </c>
      <c r="L100" s="83" t="str">
        <f t="shared" si="1"/>
        <v>Kyocera TK-1147
Kyocera FS-1135MFP/L TK-1147</v>
      </c>
      <c r="M100" s="83" t="s">
        <v>1347</v>
      </c>
      <c r="N100" s="59"/>
      <c r="O100" s="59"/>
      <c r="P100" s="86">
        <f t="shared" si="2"/>
        <v>0</v>
      </c>
      <c r="Q100" s="59"/>
      <c r="R100" s="59"/>
      <c r="S100" s="59"/>
      <c r="T100" s="59"/>
      <c r="U100" s="290"/>
      <c r="V100" s="290"/>
      <c r="W100" s="290"/>
      <c r="X100" s="290"/>
      <c r="Y100" s="290"/>
      <c r="Z100" s="290"/>
      <c r="AA100" s="290"/>
      <c r="AB100" s="290"/>
      <c r="AC100" s="290"/>
      <c r="AD100" s="290"/>
    </row>
    <row r="101" spans="1:30" ht="51">
      <c r="A101" s="291">
        <f t="shared" si="3"/>
        <v>100</v>
      </c>
      <c r="B101" s="291" t="s">
        <v>1348</v>
      </c>
      <c r="C101" s="291" t="str">
        <f>IF(D100="","",UNIT!$B$1&amp;"-"&amp;B101)</f>
        <v>ICT-MIS-00100</v>
      </c>
      <c r="D101" s="83" t="s">
        <v>233</v>
      </c>
      <c r="E101" s="59" t="s">
        <v>103</v>
      </c>
      <c r="F101" s="295" t="s">
        <v>1349</v>
      </c>
      <c r="G101" s="295" t="s">
        <v>1350</v>
      </c>
      <c r="H101" s="86">
        <v>5900</v>
      </c>
      <c r="I101" s="294">
        <f t="shared" si="12"/>
        <v>8850</v>
      </c>
      <c r="J101" s="59" t="s">
        <v>1008</v>
      </c>
      <c r="K101" s="83" t="s">
        <v>1351</v>
      </c>
      <c r="L101" s="83" t="str">
        <f t="shared" si="1"/>
        <v>ID Card Printer Genuine Color Ribbon (650643)
IDP 650634 Full-Color YMCKO ribbon produces 250 images
Compatible with existing IDP SMART 30S, SMART 30D, SMART 50S, SMART 50D and SMART 50L card printers
Includes built-in cleaning roller</v>
      </c>
      <c r="M101" s="83" t="s">
        <v>1352</v>
      </c>
      <c r="N101" s="59"/>
      <c r="O101" s="59"/>
      <c r="P101" s="86">
        <f t="shared" si="2"/>
        <v>0</v>
      </c>
      <c r="Q101" s="59" t="s">
        <v>4741</v>
      </c>
      <c r="R101" s="59"/>
      <c r="S101" s="59"/>
      <c r="T101" s="59"/>
      <c r="U101" s="290"/>
      <c r="V101" s="290"/>
      <c r="W101" s="290"/>
      <c r="X101" s="290"/>
      <c r="Y101" s="290"/>
      <c r="Z101" s="290"/>
      <c r="AA101" s="290"/>
      <c r="AB101" s="290"/>
      <c r="AC101" s="290"/>
      <c r="AD101" s="290"/>
    </row>
    <row r="102" spans="1:30" ht="25.5">
      <c r="A102" s="291">
        <f t="shared" si="3"/>
        <v>101</v>
      </c>
      <c r="B102" s="291" t="s">
        <v>1353</v>
      </c>
      <c r="C102" s="291" t="str">
        <f>IF(D101="","",UNIT!$B$1&amp;"-"&amp;B102)</f>
        <v>ICT-MIS-00101</v>
      </c>
      <c r="D102" s="85" t="s">
        <v>212</v>
      </c>
      <c r="E102" s="59" t="s">
        <v>103</v>
      </c>
      <c r="F102" s="295" t="s">
        <v>1354</v>
      </c>
      <c r="G102" s="295" t="s">
        <v>1354</v>
      </c>
      <c r="H102" s="86">
        <v>300</v>
      </c>
      <c r="I102" s="294">
        <f t="shared" si="12"/>
        <v>450</v>
      </c>
      <c r="J102" s="59" t="s">
        <v>1008</v>
      </c>
      <c r="K102" s="85" t="s">
        <v>1355</v>
      </c>
      <c r="L102" s="83" t="str">
        <f t="shared" si="1"/>
        <v>Epson Genuine Ink T6641 Black
Epson Genuine Ink T6641 Black for existing EPSON Printer</v>
      </c>
      <c r="M102" s="83"/>
      <c r="N102" s="59"/>
      <c r="O102" s="59"/>
      <c r="P102" s="86">
        <f t="shared" si="2"/>
        <v>0</v>
      </c>
      <c r="Q102" s="59" t="s">
        <v>4741</v>
      </c>
      <c r="R102" s="59"/>
      <c r="S102" s="59"/>
      <c r="T102" s="59"/>
      <c r="U102" s="290"/>
      <c r="V102" s="290"/>
      <c r="W102" s="290"/>
      <c r="X102" s="290"/>
      <c r="Y102" s="290"/>
      <c r="Z102" s="290"/>
      <c r="AA102" s="290"/>
      <c r="AB102" s="290"/>
      <c r="AC102" s="290"/>
      <c r="AD102" s="290"/>
    </row>
    <row r="103" spans="1:30" ht="25.5">
      <c r="A103" s="291">
        <f t="shared" si="3"/>
        <v>102</v>
      </c>
      <c r="B103" s="291" t="s">
        <v>1356</v>
      </c>
      <c r="C103" s="291" t="str">
        <f>IF(D102="","",UNIT!$B$1&amp;"-"&amp;B103)</f>
        <v>ICT-MIS-00102</v>
      </c>
      <c r="D103" s="85" t="s">
        <v>216</v>
      </c>
      <c r="E103" s="59" t="s">
        <v>103</v>
      </c>
      <c r="F103" s="295" t="s">
        <v>1354</v>
      </c>
      <c r="G103" s="295" t="s">
        <v>1354</v>
      </c>
      <c r="H103" s="86">
        <v>300</v>
      </c>
      <c r="I103" s="294">
        <f t="shared" si="12"/>
        <v>450</v>
      </c>
      <c r="J103" s="59" t="s">
        <v>1008</v>
      </c>
      <c r="K103" s="85" t="s">
        <v>1357</v>
      </c>
      <c r="L103" s="83" t="str">
        <f t="shared" si="1"/>
        <v>Epson Genuine Ink T6642 Cyan
Epson Genuine Ink T6642 Cyan for existing EPSON Printer</v>
      </c>
      <c r="M103" s="83"/>
      <c r="N103" s="59"/>
      <c r="O103" s="59"/>
      <c r="P103" s="86">
        <f t="shared" si="2"/>
        <v>0</v>
      </c>
      <c r="Q103" s="59" t="s">
        <v>4741</v>
      </c>
      <c r="R103" s="59"/>
      <c r="S103" s="59"/>
      <c r="T103" s="59"/>
      <c r="U103" s="290"/>
      <c r="V103" s="290"/>
      <c r="W103" s="290"/>
      <c r="X103" s="290"/>
      <c r="Y103" s="290"/>
      <c r="Z103" s="290"/>
      <c r="AA103" s="290"/>
      <c r="AB103" s="290"/>
      <c r="AC103" s="290"/>
      <c r="AD103" s="290"/>
    </row>
    <row r="104" spans="1:30" ht="25.5">
      <c r="A104" s="291">
        <f t="shared" si="3"/>
        <v>103</v>
      </c>
      <c r="B104" s="291" t="s">
        <v>1358</v>
      </c>
      <c r="C104" s="291" t="str">
        <f>IF(D103="","",UNIT!$B$1&amp;"-"&amp;B104)</f>
        <v>ICT-MIS-00103</v>
      </c>
      <c r="D104" s="85" t="s">
        <v>217</v>
      </c>
      <c r="E104" s="59" t="s">
        <v>103</v>
      </c>
      <c r="F104" s="295" t="s">
        <v>1354</v>
      </c>
      <c r="G104" s="295" t="s">
        <v>1354</v>
      </c>
      <c r="H104" s="86">
        <v>300</v>
      </c>
      <c r="I104" s="294">
        <f t="shared" si="12"/>
        <v>450</v>
      </c>
      <c r="J104" s="59" t="s">
        <v>1008</v>
      </c>
      <c r="K104" s="85" t="s">
        <v>1359</v>
      </c>
      <c r="L104" s="83" t="str">
        <f t="shared" si="1"/>
        <v>Epson Genuine Ink T6643 Magenta
Epson Genuine Ink T6643 Magenta for existing EPSON Printer</v>
      </c>
      <c r="M104" s="83"/>
      <c r="N104" s="59"/>
      <c r="O104" s="59"/>
      <c r="P104" s="86">
        <f t="shared" si="2"/>
        <v>0</v>
      </c>
      <c r="Q104" s="59" t="s">
        <v>4741</v>
      </c>
      <c r="R104" s="59"/>
      <c r="S104" s="59"/>
      <c r="T104" s="59"/>
      <c r="U104" s="290"/>
      <c r="V104" s="290"/>
      <c r="W104" s="290"/>
      <c r="X104" s="290"/>
      <c r="Y104" s="290"/>
      <c r="Z104" s="290"/>
      <c r="AA104" s="290"/>
      <c r="AB104" s="290"/>
      <c r="AC104" s="290"/>
      <c r="AD104" s="290"/>
    </row>
    <row r="105" spans="1:30" ht="25.5">
      <c r="A105" s="291">
        <f t="shared" si="3"/>
        <v>104</v>
      </c>
      <c r="B105" s="291" t="s">
        <v>1360</v>
      </c>
      <c r="C105" s="291" t="str">
        <f>IF(D104="","",UNIT!$B$1&amp;"-"&amp;B105)</f>
        <v>ICT-MIS-00104</v>
      </c>
      <c r="D105" s="85" t="s">
        <v>218</v>
      </c>
      <c r="E105" s="59" t="s">
        <v>103</v>
      </c>
      <c r="F105" s="295" t="s">
        <v>1354</v>
      </c>
      <c r="G105" s="295" t="s">
        <v>1354</v>
      </c>
      <c r="H105" s="86">
        <v>300</v>
      </c>
      <c r="I105" s="294">
        <f t="shared" si="12"/>
        <v>450</v>
      </c>
      <c r="J105" s="59" t="s">
        <v>1008</v>
      </c>
      <c r="K105" s="85" t="s">
        <v>1361</v>
      </c>
      <c r="L105" s="83" t="str">
        <f t="shared" si="1"/>
        <v>Epson Genuine Ink T6644 Yellow
Epson Genuine Ink T6644 Yellow for existing EPSON Printer</v>
      </c>
      <c r="M105" s="83"/>
      <c r="N105" s="59"/>
      <c r="O105" s="59"/>
      <c r="P105" s="86">
        <f t="shared" si="2"/>
        <v>0</v>
      </c>
      <c r="Q105" s="59" t="s">
        <v>4741</v>
      </c>
      <c r="R105" s="59"/>
      <c r="S105" s="59"/>
      <c r="T105" s="59"/>
      <c r="U105" s="290"/>
      <c r="V105" s="290"/>
      <c r="W105" s="290"/>
      <c r="X105" s="290"/>
      <c r="Y105" s="290"/>
      <c r="Z105" s="290"/>
      <c r="AA105" s="290"/>
      <c r="AB105" s="290"/>
      <c r="AC105" s="290"/>
      <c r="AD105" s="290"/>
    </row>
    <row r="106" spans="1:30" ht="25.5">
      <c r="A106" s="291">
        <f t="shared" si="3"/>
        <v>105</v>
      </c>
      <c r="B106" s="291" t="s">
        <v>1362</v>
      </c>
      <c r="C106" s="291" t="str">
        <f>IF(D105="","",UNIT!$B$1&amp;"-"&amp;B106)</f>
        <v>ICT-MIS-00105</v>
      </c>
      <c r="D106" s="85" t="s">
        <v>199</v>
      </c>
      <c r="E106" s="59" t="s">
        <v>103</v>
      </c>
      <c r="F106" s="293" t="s">
        <v>1363</v>
      </c>
      <c r="G106" s="293" t="s">
        <v>1363</v>
      </c>
      <c r="H106" s="86">
        <v>290</v>
      </c>
      <c r="I106" s="294">
        <f t="shared" si="12"/>
        <v>435</v>
      </c>
      <c r="J106" s="59" t="s">
        <v>1008</v>
      </c>
      <c r="K106" s="85" t="s">
        <v>1364</v>
      </c>
      <c r="L106" s="83" t="str">
        <f t="shared" si="1"/>
        <v>Epson Genuine Ink (003) Black
Epson Genuine Ink (003) Black for existing Epson L3100, L3101, L3110, L3150</v>
      </c>
      <c r="M106" s="83"/>
      <c r="N106" s="59"/>
      <c r="O106" s="59"/>
      <c r="P106" s="86">
        <f t="shared" si="2"/>
        <v>0</v>
      </c>
      <c r="Q106" s="59" t="s">
        <v>4741</v>
      </c>
      <c r="R106" s="59"/>
      <c r="S106" s="59"/>
      <c r="T106" s="59"/>
      <c r="U106" s="290"/>
      <c r="V106" s="290"/>
      <c r="W106" s="290"/>
      <c r="X106" s="290"/>
      <c r="Y106" s="290"/>
      <c r="Z106" s="290"/>
      <c r="AA106" s="290"/>
      <c r="AB106" s="290"/>
      <c r="AC106" s="290"/>
      <c r="AD106" s="290"/>
    </row>
    <row r="107" spans="1:30" ht="25.5">
      <c r="A107" s="291">
        <f t="shared" si="3"/>
        <v>106</v>
      </c>
      <c r="B107" s="291" t="s">
        <v>1365</v>
      </c>
      <c r="C107" s="291" t="str">
        <f>IF(D106="","",UNIT!$B$1&amp;"-"&amp;B107)</f>
        <v>ICT-MIS-00106</v>
      </c>
      <c r="D107" s="85" t="s">
        <v>209</v>
      </c>
      <c r="E107" s="59" t="s">
        <v>103</v>
      </c>
      <c r="F107" s="293" t="s">
        <v>1363</v>
      </c>
      <c r="G107" s="293" t="s">
        <v>1363</v>
      </c>
      <c r="H107" s="86">
        <v>290</v>
      </c>
      <c r="I107" s="294">
        <f t="shared" si="12"/>
        <v>435</v>
      </c>
      <c r="J107" s="59" t="s">
        <v>1008</v>
      </c>
      <c r="K107" s="85" t="s">
        <v>1366</v>
      </c>
      <c r="L107" s="83" t="str">
        <f t="shared" si="1"/>
        <v>Epson Genuine Ink (003) Cyan
Epson Genuine Ink (003) Cyan for existing Epson L3100, L3101, L3110, L3150</v>
      </c>
      <c r="M107" s="83"/>
      <c r="N107" s="59"/>
      <c r="O107" s="59"/>
      <c r="P107" s="86">
        <f t="shared" si="2"/>
        <v>0</v>
      </c>
      <c r="Q107" s="59" t="s">
        <v>4741</v>
      </c>
      <c r="R107" s="59"/>
      <c r="S107" s="59"/>
      <c r="T107" s="59"/>
      <c r="U107" s="290"/>
      <c r="V107" s="290"/>
      <c r="W107" s="290"/>
      <c r="X107" s="290"/>
      <c r="Y107" s="290"/>
      <c r="Z107" s="290"/>
      <c r="AA107" s="290"/>
      <c r="AB107" s="290"/>
      <c r="AC107" s="290"/>
      <c r="AD107" s="290"/>
    </row>
    <row r="108" spans="1:30" ht="25.5">
      <c r="A108" s="291">
        <f t="shared" si="3"/>
        <v>107</v>
      </c>
      <c r="B108" s="291" t="s">
        <v>1367</v>
      </c>
      <c r="C108" s="291" t="str">
        <f>IF(D107="","",UNIT!$B$1&amp;"-"&amp;B108)</f>
        <v>ICT-MIS-00107</v>
      </c>
      <c r="D108" s="85" t="s">
        <v>211</v>
      </c>
      <c r="E108" s="59" t="s">
        <v>103</v>
      </c>
      <c r="F108" s="293" t="s">
        <v>1363</v>
      </c>
      <c r="G108" s="293" t="s">
        <v>1363</v>
      </c>
      <c r="H108" s="86">
        <v>290</v>
      </c>
      <c r="I108" s="294">
        <f t="shared" si="12"/>
        <v>435</v>
      </c>
      <c r="J108" s="59" t="s">
        <v>1008</v>
      </c>
      <c r="K108" s="85" t="s">
        <v>1368</v>
      </c>
      <c r="L108" s="83" t="str">
        <f t="shared" si="1"/>
        <v>Epson Genuine Ink (003) Yellow
Epson Genuine Ink (003) Yellow for existing Epson L3100, L3101, L3110, L3150</v>
      </c>
      <c r="M108" s="83"/>
      <c r="N108" s="59"/>
      <c r="O108" s="59"/>
      <c r="P108" s="86">
        <f t="shared" si="2"/>
        <v>0</v>
      </c>
      <c r="Q108" s="59" t="s">
        <v>4741</v>
      </c>
      <c r="R108" s="59"/>
      <c r="S108" s="59"/>
      <c r="T108" s="59"/>
      <c r="U108" s="290"/>
      <c r="V108" s="290"/>
      <c r="W108" s="290"/>
      <c r="X108" s="290"/>
      <c r="Y108" s="290"/>
      <c r="Z108" s="290"/>
      <c r="AA108" s="290"/>
      <c r="AB108" s="290"/>
      <c r="AC108" s="290"/>
      <c r="AD108" s="290"/>
    </row>
    <row r="109" spans="1:30" ht="25.5">
      <c r="A109" s="291">
        <f t="shared" si="3"/>
        <v>108</v>
      </c>
      <c r="B109" s="291" t="s">
        <v>1369</v>
      </c>
      <c r="C109" s="291" t="str">
        <f>IF(D108="","",UNIT!$B$1&amp;"-"&amp;B109)</f>
        <v>ICT-MIS-00108</v>
      </c>
      <c r="D109" s="85" t="s">
        <v>210</v>
      </c>
      <c r="E109" s="59" t="s">
        <v>103</v>
      </c>
      <c r="F109" s="293" t="s">
        <v>1363</v>
      </c>
      <c r="G109" s="293" t="s">
        <v>1363</v>
      </c>
      <c r="H109" s="86">
        <v>290</v>
      </c>
      <c r="I109" s="294">
        <f t="shared" si="12"/>
        <v>435</v>
      </c>
      <c r="J109" s="59" t="s">
        <v>1008</v>
      </c>
      <c r="K109" s="85" t="s">
        <v>1370</v>
      </c>
      <c r="L109" s="83" t="str">
        <f t="shared" si="1"/>
        <v>Epson Genuine Ink (003) Magenta
Epson Genuine Ink (003) Magenta for existing Epson L3100, L3101, L3110, L3150</v>
      </c>
      <c r="M109" s="83"/>
      <c r="N109" s="59"/>
      <c r="O109" s="59"/>
      <c r="P109" s="86">
        <f t="shared" si="2"/>
        <v>0</v>
      </c>
      <c r="Q109" s="59" t="s">
        <v>4741</v>
      </c>
      <c r="R109" s="59"/>
      <c r="S109" s="59"/>
      <c r="T109" s="59"/>
      <c r="U109" s="290"/>
      <c r="V109" s="290"/>
      <c r="W109" s="290"/>
      <c r="X109" s="290"/>
      <c r="Y109" s="290"/>
      <c r="Z109" s="290"/>
      <c r="AA109" s="290"/>
      <c r="AB109" s="290"/>
      <c r="AC109" s="290"/>
      <c r="AD109" s="290"/>
    </row>
    <row r="110" spans="1:30" ht="25.5">
      <c r="A110" s="291">
        <f t="shared" si="3"/>
        <v>109</v>
      </c>
      <c r="B110" s="291" t="s">
        <v>1371</v>
      </c>
      <c r="C110" s="291" t="str">
        <f>IF(D109="","",UNIT!$B$1&amp;"-"&amp;B110)</f>
        <v>ICT-MIS-00109</v>
      </c>
      <c r="D110" s="85" t="s">
        <v>230</v>
      </c>
      <c r="E110" s="59" t="s">
        <v>103</v>
      </c>
      <c r="F110" s="293" t="s">
        <v>1372</v>
      </c>
      <c r="G110" s="293" t="s">
        <v>1372</v>
      </c>
      <c r="H110" s="86">
        <v>290</v>
      </c>
      <c r="I110" s="294">
        <f t="shared" si="12"/>
        <v>435</v>
      </c>
      <c r="J110" s="59" t="s">
        <v>1008</v>
      </c>
      <c r="K110" s="85" t="s">
        <v>1373</v>
      </c>
      <c r="L110" s="83" t="str">
        <f t="shared" si="1"/>
        <v>HP Genuine Ink Refill - (GT53) Black
HP Genuine Ink Refill - (GT53) Black for existing HP Smart Tank 500 Series Printer</v>
      </c>
      <c r="M110" s="83"/>
      <c r="N110" s="59"/>
      <c r="O110" s="59"/>
      <c r="P110" s="86">
        <f t="shared" si="2"/>
        <v>0</v>
      </c>
      <c r="Q110" s="59" t="s">
        <v>4741</v>
      </c>
      <c r="R110" s="59"/>
      <c r="S110" s="59"/>
      <c r="T110" s="59"/>
      <c r="U110" s="290"/>
      <c r="V110" s="290"/>
      <c r="W110" s="290"/>
      <c r="X110" s="290"/>
      <c r="Y110" s="290"/>
      <c r="Z110" s="290"/>
      <c r="AA110" s="290"/>
      <c r="AB110" s="290"/>
      <c r="AC110" s="290"/>
      <c r="AD110" s="290"/>
    </row>
    <row r="111" spans="1:30" ht="25.5">
      <c r="A111" s="291">
        <f t="shared" si="3"/>
        <v>110</v>
      </c>
      <c r="B111" s="291" t="s">
        <v>1374</v>
      </c>
      <c r="C111" s="291" t="str">
        <f>IF(D110="","",UNIT!$B$1&amp;"-"&amp;B111)</f>
        <v>ICT-MIS-00110</v>
      </c>
      <c r="D111" s="85" t="s">
        <v>228</v>
      </c>
      <c r="E111" s="59" t="s">
        <v>103</v>
      </c>
      <c r="F111" s="293" t="s">
        <v>1372</v>
      </c>
      <c r="G111" s="293" t="s">
        <v>1372</v>
      </c>
      <c r="H111" s="86">
        <v>290</v>
      </c>
      <c r="I111" s="294">
        <f t="shared" si="12"/>
        <v>435</v>
      </c>
      <c r="J111" s="59" t="s">
        <v>1008</v>
      </c>
      <c r="K111" s="85" t="s">
        <v>1375</v>
      </c>
      <c r="L111" s="83" t="str">
        <f t="shared" si="1"/>
        <v>HP Genuine Ink Refill - (GT52) Magenta
HP Genuine Ink Refill - (GT52) Magenta for existing HP Smart Tank 500 Series Printer</v>
      </c>
      <c r="M111" s="83"/>
      <c r="N111" s="59"/>
      <c r="O111" s="59"/>
      <c r="P111" s="86">
        <f t="shared" si="2"/>
        <v>0</v>
      </c>
      <c r="Q111" s="59" t="s">
        <v>4741</v>
      </c>
      <c r="R111" s="59"/>
      <c r="S111" s="59"/>
      <c r="T111" s="59"/>
      <c r="U111" s="290"/>
      <c r="V111" s="290"/>
      <c r="W111" s="290"/>
      <c r="X111" s="290"/>
      <c r="Y111" s="290"/>
      <c r="Z111" s="290"/>
      <c r="AA111" s="290"/>
      <c r="AB111" s="290"/>
      <c r="AC111" s="290"/>
      <c r="AD111" s="290"/>
    </row>
    <row r="112" spans="1:30" ht="25.5">
      <c r="A112" s="291">
        <f t="shared" si="3"/>
        <v>111</v>
      </c>
      <c r="B112" s="291" t="s">
        <v>1376</v>
      </c>
      <c r="C112" s="291" t="str">
        <f>IF(D111="","",UNIT!$B$1&amp;"-"&amp;B112)</f>
        <v>ICT-MIS-00111</v>
      </c>
      <c r="D112" s="85" t="s">
        <v>227</v>
      </c>
      <c r="E112" s="59" t="s">
        <v>103</v>
      </c>
      <c r="F112" s="293" t="s">
        <v>1372</v>
      </c>
      <c r="G112" s="293" t="s">
        <v>1372</v>
      </c>
      <c r="H112" s="86">
        <v>290</v>
      </c>
      <c r="I112" s="294">
        <f t="shared" si="12"/>
        <v>435</v>
      </c>
      <c r="J112" s="59" t="s">
        <v>1008</v>
      </c>
      <c r="K112" s="85" t="s">
        <v>1377</v>
      </c>
      <c r="L112" s="83" t="str">
        <f t="shared" si="1"/>
        <v>HP Genuine Ink Refill - (GT52) Cyan
HP Genuine Ink Refill - (GT52) Cyan for existing HP Smart Tank 500 Series Printer</v>
      </c>
      <c r="M112" s="83"/>
      <c r="N112" s="59"/>
      <c r="O112" s="59"/>
      <c r="P112" s="86">
        <f t="shared" si="2"/>
        <v>0</v>
      </c>
      <c r="Q112" s="59" t="s">
        <v>4741</v>
      </c>
      <c r="R112" s="59"/>
      <c r="S112" s="59"/>
      <c r="T112" s="59"/>
      <c r="U112" s="290"/>
      <c r="V112" s="290"/>
      <c r="W112" s="290"/>
      <c r="X112" s="290"/>
      <c r="Y112" s="290"/>
      <c r="Z112" s="290"/>
      <c r="AA112" s="290"/>
      <c r="AB112" s="290"/>
      <c r="AC112" s="290"/>
      <c r="AD112" s="290"/>
    </row>
    <row r="113" spans="1:30" ht="25.5">
      <c r="A113" s="291">
        <f t="shared" si="3"/>
        <v>112</v>
      </c>
      <c r="B113" s="291" t="s">
        <v>1378</v>
      </c>
      <c r="C113" s="291" t="str">
        <f>IF(D112="","",UNIT!$B$1&amp;"-"&amp;B113)</f>
        <v>ICT-MIS-00112</v>
      </c>
      <c r="D113" s="85" t="s">
        <v>229</v>
      </c>
      <c r="E113" s="59" t="s">
        <v>103</v>
      </c>
      <c r="F113" s="293" t="s">
        <v>1372</v>
      </c>
      <c r="G113" s="293" t="s">
        <v>1372</v>
      </c>
      <c r="H113" s="86">
        <v>290</v>
      </c>
      <c r="I113" s="294">
        <f t="shared" si="12"/>
        <v>435</v>
      </c>
      <c r="J113" s="59" t="s">
        <v>1008</v>
      </c>
      <c r="K113" s="85" t="s">
        <v>1379</v>
      </c>
      <c r="L113" s="83" t="str">
        <f t="shared" si="1"/>
        <v>HP Genuine Ink Refill - (GT52) Yellow
HP Genuine Ink Refill - (GT52) Yellow for existing HP Smart Tank 500 Series Printer</v>
      </c>
      <c r="M113" s="83"/>
      <c r="N113" s="59"/>
      <c r="O113" s="59"/>
      <c r="P113" s="86">
        <f t="shared" si="2"/>
        <v>0</v>
      </c>
      <c r="Q113" s="59" t="s">
        <v>4741</v>
      </c>
      <c r="R113" s="59"/>
      <c r="S113" s="59"/>
      <c r="T113" s="59"/>
      <c r="U113" s="290"/>
      <c r="V113" s="290"/>
      <c r="W113" s="290"/>
      <c r="X113" s="290"/>
      <c r="Y113" s="290"/>
      <c r="Z113" s="290"/>
      <c r="AA113" s="290"/>
      <c r="AB113" s="290"/>
      <c r="AC113" s="290"/>
      <c r="AD113" s="290"/>
    </row>
    <row r="114" spans="1:30" ht="25.5">
      <c r="A114" s="291">
        <f t="shared" si="3"/>
        <v>113</v>
      </c>
      <c r="B114" s="291" t="s">
        <v>1380</v>
      </c>
      <c r="C114" s="291" t="str">
        <f>IF(D113="","",UNIT!$B$1&amp;"-"&amp;B114)</f>
        <v>ICT-MIS-00113</v>
      </c>
      <c r="D114" s="85" t="s">
        <v>1381</v>
      </c>
      <c r="E114" s="59" t="s">
        <v>103</v>
      </c>
      <c r="F114" s="82" t="s">
        <v>1319</v>
      </c>
      <c r="G114" s="82" t="s">
        <v>1319</v>
      </c>
      <c r="H114" s="86">
        <v>5900</v>
      </c>
      <c r="I114" s="294">
        <f t="shared" si="12"/>
        <v>8850</v>
      </c>
      <c r="J114" s="59" t="s">
        <v>1008</v>
      </c>
      <c r="K114" s="85" t="s">
        <v>741</v>
      </c>
      <c r="L114" s="83" t="str">
        <f t="shared" si="1"/>
        <v>Kyocera TK-479
Kyocera Ecosys FS-6525MFP TK 479</v>
      </c>
      <c r="M114" s="83"/>
      <c r="N114" s="59"/>
      <c r="O114" s="59"/>
      <c r="P114" s="86">
        <f t="shared" si="2"/>
        <v>0</v>
      </c>
      <c r="Q114" s="59"/>
      <c r="R114" s="59"/>
      <c r="S114" s="59"/>
      <c r="T114" s="59"/>
      <c r="U114" s="290"/>
      <c r="V114" s="290"/>
      <c r="W114" s="290"/>
      <c r="X114" s="290"/>
      <c r="Y114" s="290"/>
      <c r="Z114" s="290"/>
      <c r="AA114" s="290"/>
      <c r="AB114" s="290"/>
      <c r="AC114" s="290"/>
      <c r="AD114" s="290"/>
    </row>
    <row r="115" spans="1:30" ht="25.5">
      <c r="A115" s="291">
        <f t="shared" si="3"/>
        <v>114</v>
      </c>
      <c r="B115" s="291" t="s">
        <v>1382</v>
      </c>
      <c r="C115" s="291" t="str">
        <f>IF(D114="","",UNIT!$B$1&amp;"-"&amp;B115)</f>
        <v>ICT-MIS-00114</v>
      </c>
      <c r="D115" s="85" t="s">
        <v>1383</v>
      </c>
      <c r="E115" s="59" t="s">
        <v>103</v>
      </c>
      <c r="F115" s="82" t="s">
        <v>1319</v>
      </c>
      <c r="G115" s="82" t="s">
        <v>1319</v>
      </c>
      <c r="H115" s="86">
        <v>23500</v>
      </c>
      <c r="I115" s="294">
        <f t="shared" si="12"/>
        <v>35250</v>
      </c>
      <c r="J115" s="59" t="s">
        <v>1008</v>
      </c>
      <c r="K115" s="85" t="s">
        <v>742</v>
      </c>
      <c r="L115" s="83" t="str">
        <f t="shared" si="1"/>
        <v>Kyocera MK-479
Kyocera Ecosys FS-6525MFP MK 479</v>
      </c>
      <c r="M115" s="83"/>
      <c r="N115" s="59"/>
      <c r="O115" s="59"/>
      <c r="P115" s="86">
        <f t="shared" si="2"/>
        <v>0</v>
      </c>
      <c r="Q115" s="59"/>
      <c r="R115" s="59"/>
      <c r="S115" s="59"/>
      <c r="T115" s="59"/>
      <c r="U115" s="290"/>
      <c r="V115" s="290"/>
      <c r="W115" s="290"/>
      <c r="X115" s="290"/>
      <c r="Y115" s="290"/>
      <c r="Z115" s="290"/>
      <c r="AA115" s="290"/>
      <c r="AB115" s="290"/>
      <c r="AC115" s="290"/>
      <c r="AD115" s="290"/>
    </row>
    <row r="116" spans="1:30" ht="25.5">
      <c r="A116" s="291">
        <f t="shared" si="3"/>
        <v>115</v>
      </c>
      <c r="B116" s="291" t="s">
        <v>1384</v>
      </c>
      <c r="C116" s="291" t="str">
        <f>IF(D115="","",UNIT!$B$1&amp;"-"&amp;B116)</f>
        <v>ICT-MIS-00115</v>
      </c>
      <c r="D116" s="85" t="s">
        <v>1385</v>
      </c>
      <c r="E116" s="59" t="s">
        <v>103</v>
      </c>
      <c r="F116" s="82" t="s">
        <v>1319</v>
      </c>
      <c r="G116" s="82" t="s">
        <v>1319</v>
      </c>
      <c r="H116" s="86">
        <v>5900</v>
      </c>
      <c r="I116" s="294">
        <f t="shared" si="12"/>
        <v>8850</v>
      </c>
      <c r="J116" s="59" t="s">
        <v>1008</v>
      </c>
      <c r="K116" s="85" t="s">
        <v>743</v>
      </c>
      <c r="L116" s="83" t="str">
        <f t="shared" si="1"/>
        <v>Kyocera TK-6113
Kyocera Ecosys M4125idn TK 6113</v>
      </c>
      <c r="M116" s="83"/>
      <c r="N116" s="59"/>
      <c r="O116" s="59"/>
      <c r="P116" s="86">
        <f t="shared" si="2"/>
        <v>0</v>
      </c>
      <c r="Q116" s="59"/>
      <c r="R116" s="59"/>
      <c r="S116" s="59"/>
      <c r="T116" s="59"/>
      <c r="U116" s="290"/>
      <c r="V116" s="290"/>
      <c r="W116" s="290"/>
      <c r="X116" s="290"/>
      <c r="Y116" s="290"/>
      <c r="Z116" s="290"/>
      <c r="AA116" s="290"/>
      <c r="AB116" s="290"/>
      <c r="AC116" s="290"/>
      <c r="AD116" s="290"/>
    </row>
    <row r="117" spans="1:30" ht="25.5">
      <c r="A117" s="291">
        <f t="shared" si="3"/>
        <v>116</v>
      </c>
      <c r="B117" s="291" t="s">
        <v>1386</v>
      </c>
      <c r="C117" s="291" t="str">
        <f>IF(D116="","",UNIT!$B$1&amp;"-"&amp;B117)</f>
        <v>ICT-MIS-00116</v>
      </c>
      <c r="D117" s="85" t="s">
        <v>1387</v>
      </c>
      <c r="E117" s="59" t="s">
        <v>103</v>
      </c>
      <c r="F117" s="82" t="s">
        <v>1319</v>
      </c>
      <c r="G117" s="82" t="s">
        <v>1319</v>
      </c>
      <c r="H117" s="86">
        <v>23500</v>
      </c>
      <c r="I117" s="294">
        <f t="shared" si="12"/>
        <v>35250</v>
      </c>
      <c r="J117" s="59" t="s">
        <v>1008</v>
      </c>
      <c r="K117" s="85" t="s">
        <v>744</v>
      </c>
      <c r="L117" s="83" t="str">
        <f t="shared" si="1"/>
        <v>Kyocera MK-6113
Kyocera Ecosys M4125idn MK 6113</v>
      </c>
      <c r="M117" s="83"/>
      <c r="N117" s="59"/>
      <c r="O117" s="59"/>
      <c r="P117" s="86">
        <f t="shared" si="2"/>
        <v>0</v>
      </c>
      <c r="Q117" s="59"/>
      <c r="R117" s="59"/>
      <c r="S117" s="59"/>
      <c r="T117" s="59"/>
      <c r="U117" s="290"/>
      <c r="V117" s="290"/>
      <c r="W117" s="290"/>
      <c r="X117" s="290"/>
      <c r="Y117" s="290"/>
      <c r="Z117" s="290"/>
      <c r="AA117" s="290"/>
      <c r="AB117" s="290"/>
      <c r="AC117" s="290"/>
      <c r="AD117" s="290"/>
    </row>
    <row r="118" spans="1:30" ht="25.5">
      <c r="A118" s="291">
        <f t="shared" si="3"/>
        <v>117</v>
      </c>
      <c r="B118" s="291" t="s">
        <v>1388</v>
      </c>
      <c r="C118" s="291" t="str">
        <f>IF(D117="","",UNIT!$B$1&amp;"-"&amp;B118)</f>
        <v>ICT-MIS-00117</v>
      </c>
      <c r="D118" s="85" t="s">
        <v>1389</v>
      </c>
      <c r="E118" s="59" t="s">
        <v>103</v>
      </c>
      <c r="F118" s="82" t="s">
        <v>1319</v>
      </c>
      <c r="G118" s="82" t="s">
        <v>1319</v>
      </c>
      <c r="H118" s="86">
        <v>28500</v>
      </c>
      <c r="I118" s="294">
        <f t="shared" si="12"/>
        <v>42750</v>
      </c>
      <c r="J118" s="59" t="s">
        <v>1008</v>
      </c>
      <c r="K118" s="85" t="s">
        <v>1389</v>
      </c>
      <c r="L118" s="83" t="str">
        <f t="shared" si="1"/>
        <v>MAINTENANCE KIT FOR KYOCERA ECOSYS M4125idn
MAINTENANCE KIT FOR KYOCERA ECOSYS M4125idn</v>
      </c>
      <c r="M118" s="83"/>
      <c r="N118" s="59"/>
      <c r="O118" s="59"/>
      <c r="P118" s="86">
        <f t="shared" si="2"/>
        <v>0</v>
      </c>
      <c r="Q118" s="59"/>
      <c r="R118" s="59"/>
      <c r="S118" s="59"/>
      <c r="T118" s="59"/>
      <c r="U118" s="290"/>
      <c r="V118" s="290"/>
      <c r="W118" s="290"/>
      <c r="X118" s="290"/>
      <c r="Y118" s="290"/>
      <c r="Z118" s="290"/>
      <c r="AA118" s="290"/>
      <c r="AB118" s="290"/>
      <c r="AC118" s="290"/>
      <c r="AD118" s="290"/>
    </row>
    <row r="119" spans="1:30" ht="25.5">
      <c r="A119" s="291">
        <f t="shared" si="3"/>
        <v>118</v>
      </c>
      <c r="B119" s="291" t="s">
        <v>1390</v>
      </c>
      <c r="C119" s="291" t="str">
        <f>IF(D118="","",UNIT!$B$1&amp;"-"&amp;B119)</f>
        <v>ICT-MIS-00118</v>
      </c>
      <c r="D119" s="85" t="s">
        <v>1391</v>
      </c>
      <c r="E119" s="59" t="s">
        <v>103</v>
      </c>
      <c r="F119" s="82" t="s">
        <v>1319</v>
      </c>
      <c r="G119" s="82" t="s">
        <v>1319</v>
      </c>
      <c r="H119" s="86">
        <v>6500</v>
      </c>
      <c r="I119" s="294">
        <f t="shared" si="12"/>
        <v>9750</v>
      </c>
      <c r="J119" s="59" t="s">
        <v>1008</v>
      </c>
      <c r="K119" s="85" t="s">
        <v>1391</v>
      </c>
      <c r="L119" s="83" t="str">
        <f t="shared" si="1"/>
        <v>Kyocera MK-3165
Kyocera MK-3165</v>
      </c>
      <c r="M119" s="83"/>
      <c r="N119" s="59"/>
      <c r="O119" s="59"/>
      <c r="P119" s="86">
        <f t="shared" si="2"/>
        <v>0</v>
      </c>
      <c r="Q119" s="59"/>
      <c r="R119" s="59"/>
      <c r="S119" s="59"/>
      <c r="T119" s="59"/>
      <c r="U119" s="290"/>
      <c r="V119" s="290"/>
      <c r="W119" s="290"/>
      <c r="X119" s="290"/>
      <c r="Y119" s="290"/>
      <c r="Z119" s="290"/>
      <c r="AA119" s="290"/>
      <c r="AB119" s="290"/>
      <c r="AC119" s="290"/>
      <c r="AD119" s="290"/>
    </row>
    <row r="120" spans="1:30" ht="25.5">
      <c r="A120" s="291">
        <f t="shared" si="3"/>
        <v>119</v>
      </c>
      <c r="B120" s="291" t="s">
        <v>1392</v>
      </c>
      <c r="C120" s="291" t="str">
        <f>IF(D119="","",UNIT!$B$1&amp;"-"&amp;B120)</f>
        <v>ICT-MIS-00119</v>
      </c>
      <c r="D120" s="85" t="s">
        <v>1393</v>
      </c>
      <c r="E120" s="59" t="s">
        <v>103</v>
      </c>
      <c r="F120" s="82" t="s">
        <v>1319</v>
      </c>
      <c r="G120" s="82" t="s">
        <v>1319</v>
      </c>
      <c r="H120" s="86">
        <v>5800</v>
      </c>
      <c r="I120" s="294">
        <f t="shared" si="12"/>
        <v>8700</v>
      </c>
      <c r="J120" s="59" t="s">
        <v>1008</v>
      </c>
      <c r="K120" s="85" t="s">
        <v>1394</v>
      </c>
      <c r="L120" s="83" t="str">
        <f t="shared" si="1"/>
        <v>Kyocera TK-3165
KYOCERA TONER  TK-3165</v>
      </c>
      <c r="M120" s="83"/>
      <c r="N120" s="59"/>
      <c r="O120" s="59"/>
      <c r="P120" s="86">
        <f t="shared" si="2"/>
        <v>0</v>
      </c>
      <c r="Q120" s="59"/>
      <c r="R120" s="59"/>
      <c r="S120" s="59"/>
      <c r="T120" s="59"/>
      <c r="U120" s="290"/>
      <c r="V120" s="290"/>
      <c r="W120" s="290"/>
      <c r="X120" s="290"/>
      <c r="Y120" s="290"/>
      <c r="Z120" s="290"/>
      <c r="AA120" s="290"/>
      <c r="AB120" s="290"/>
      <c r="AC120" s="290"/>
      <c r="AD120" s="290"/>
    </row>
    <row r="121" spans="1:30" ht="25.5">
      <c r="A121" s="291">
        <f t="shared" si="3"/>
        <v>120</v>
      </c>
      <c r="B121" s="291" t="s">
        <v>1395</v>
      </c>
      <c r="C121" s="291" t="str">
        <f>IF(D120="","",UNIT!$B$1&amp;"-"&amp;B121)</f>
        <v>ICT-MIS-00120</v>
      </c>
      <c r="D121" s="83" t="s">
        <v>1396</v>
      </c>
      <c r="E121" s="59" t="s">
        <v>758</v>
      </c>
      <c r="F121" s="82"/>
      <c r="G121" s="293" t="s">
        <v>1397</v>
      </c>
      <c r="H121" s="86">
        <v>1800000</v>
      </c>
      <c r="I121" s="294">
        <f t="shared" si="12"/>
        <v>2700000</v>
      </c>
      <c r="J121" s="59" t="s">
        <v>954</v>
      </c>
      <c r="K121" s="8" t="s">
        <v>1398</v>
      </c>
      <c r="L121" s="83" t="str">
        <f t="shared" si="1"/>
        <v>Enterprise 16-Bay NAS (Network Attached Storage) with 2.5" SATA SSD
n/a</v>
      </c>
      <c r="M121" s="83"/>
      <c r="N121" s="59"/>
      <c r="O121" s="59"/>
      <c r="P121" s="86">
        <f t="shared" si="2"/>
        <v>0</v>
      </c>
      <c r="Q121" s="59"/>
      <c r="R121" s="59"/>
      <c r="S121" s="59"/>
      <c r="T121" s="59"/>
      <c r="U121" s="290"/>
      <c r="V121" s="290"/>
      <c r="W121" s="290"/>
      <c r="X121" s="290"/>
      <c r="Y121" s="290"/>
      <c r="Z121" s="290"/>
      <c r="AA121" s="290"/>
      <c r="AB121" s="290"/>
      <c r="AC121" s="290"/>
      <c r="AD121" s="290"/>
    </row>
    <row r="122" spans="1:30" ht="37.5" customHeight="1">
      <c r="A122" s="291">
        <f t="shared" si="3"/>
        <v>121</v>
      </c>
      <c r="B122" s="291" t="s">
        <v>1399</v>
      </c>
      <c r="C122" s="291" t="str">
        <f>IF(D121="","",UNIT!$B$1&amp;"-"&amp;B122)</f>
        <v>ICT-MIS-00121</v>
      </c>
      <c r="D122" s="83" t="s">
        <v>1400</v>
      </c>
      <c r="E122" s="59" t="s">
        <v>758</v>
      </c>
      <c r="F122" s="82"/>
      <c r="G122" s="82"/>
      <c r="H122" s="86">
        <v>200000</v>
      </c>
      <c r="I122" s="294">
        <f t="shared" si="12"/>
        <v>300000</v>
      </c>
      <c r="J122" s="59" t="s">
        <v>954</v>
      </c>
      <c r="K122" s="83" t="s">
        <v>1401</v>
      </c>
      <c r="L122" s="83" t="str">
        <f t="shared" si="1"/>
        <v>CCTV Command Center Display Easy Manage Software Tool
"(QTY 1) All-in-One Security Management Platform for Enterprise
Easy to Use
 · All-in-One, Plug &amp; Play.
 · Performs unified management of video, access control,
 video intercoms, alarm controller, ANPR camera and face
 recognition camera through one DSS7016DR-S2.
 Powerful
 · Up to 1,000 video channels per server.
 · Up to 5,000 video channels via distributed deployment.
 · Up to 2,000 video intercoms per server.
 High Storage Performance
 · 15 built-in storage disk interface.
 · Up to 200TB per server, maximum 1PB through distributed
 deployment.
 · Up to 600Mbps storage bandwidth.
 Stable and Reliable
 · Hot standby system design.
 · Dahua’s unique N+M redundancy mode.
 · Redundant power design of DSS7016DR-S2 makes the system
 more stable"
"(QTY 1) 3.5 SATA HDD
10TB
3.5 SATA HDD
Enterprise X16 HDD 512E SATA"
"(QTY 1) Layer 3 Managed Switch
Rich layer 3 features
High availability
Excellent manageability
Power saving design
Comprehensive security control policies
Support Intelligent Resilient Framework
Reliable hardware design with modular dual power supply
48 High-density 10/100/1000Base-T autosensing Ethernet ports and GE/10GE SFP + fiber ports onboard"
"(QTY 1) Ultra-HD Network Video Decoder
Standard 2.5U case, elegant appearance
Plug-in board design, easy to use and maintain
H.265+/ H.265/ H.264/ MPEG4/ MPEG2/ MJPEG video decoding
Ultra-high decoding ability, up to 32 Megapixels
2ch HDMI and 2ch DVI-I input, supports 4K collection
Supports 1/4/6/8/9/16/25/36 and free split
Supports alarm, RS232, RS485
Splicing screens control for zoom/merge/roam/overlay
Support redundant power, stable and reliable"</v>
      </c>
      <c r="M122" s="83"/>
      <c r="N122" s="59"/>
      <c r="O122" s="59"/>
      <c r="P122" s="86">
        <f t="shared" si="2"/>
        <v>0</v>
      </c>
      <c r="Q122" s="59"/>
      <c r="R122" s="59"/>
      <c r="S122" s="59"/>
      <c r="T122" s="59"/>
      <c r="U122" s="290"/>
      <c r="V122" s="290"/>
      <c r="W122" s="290"/>
      <c r="X122" s="290"/>
      <c r="Y122" s="290"/>
      <c r="Z122" s="290"/>
      <c r="AA122" s="290"/>
      <c r="AB122" s="290"/>
      <c r="AC122" s="290"/>
      <c r="AD122" s="290"/>
    </row>
    <row r="123" spans="1:30" ht="72.75" customHeight="1">
      <c r="A123" s="291">
        <f t="shared" si="3"/>
        <v>122</v>
      </c>
      <c r="B123" s="291" t="s">
        <v>1402</v>
      </c>
      <c r="C123" s="291" t="str">
        <f>IF(D122="","",UNIT!$B$1&amp;"-"&amp;B123)</f>
        <v>ICT-MIS-00122</v>
      </c>
      <c r="D123" s="83" t="s">
        <v>1403</v>
      </c>
      <c r="E123" s="59" t="s">
        <v>758</v>
      </c>
      <c r="F123" s="82"/>
      <c r="G123" s="82"/>
      <c r="H123" s="86">
        <v>1000000</v>
      </c>
      <c r="I123" s="294">
        <f t="shared" si="12"/>
        <v>1500000</v>
      </c>
      <c r="J123" s="59" t="s">
        <v>954</v>
      </c>
      <c r="K123" s="83" t="s">
        <v>1404</v>
      </c>
      <c r="L123" s="83" t="str">
        <f t="shared" si="1"/>
        <v>Rack-Mounted Modular Online Ups 10Kva 
1 x 10KVA/10KW UPS 230/400V LCD long backup model
(included IS-UNITY-DP SNMP/Web Card, connection cable &amp; mounting
rail kits) 
1 x Startup and commissioning within Bataan only, 7x24. (Installation,
Electrical works and supplies are not included ) 
16 x Valve Regulated Lead–Acid(VRLA) Battery (1 string x 16blocks x 12Vdc x
100Ah) for 60 minutes back up time 
16 x  Battery Inter-cell cable 
Battery Interconnection Services which includes Battery Installation/
Interconnect inside cabinet, Battery Feeder Line from UPS to BCB and
from BCB to Battery Bank. (Assumption: UPS AND BATTERY
POSITIONED BESIDES EACH OTHER) - 1 LOT services
Battery Cabinet for (1string x 16blocks x 12vdc x 100Ah)
Circuit Breaker (90A Fixed)</v>
      </c>
      <c r="M123" s="83"/>
      <c r="N123" s="59"/>
      <c r="O123" s="59"/>
      <c r="P123" s="86">
        <f t="shared" si="2"/>
        <v>0</v>
      </c>
      <c r="Q123" s="59"/>
      <c r="R123" s="59"/>
      <c r="S123" s="59"/>
      <c r="T123" s="59"/>
      <c r="U123" s="290"/>
      <c r="V123" s="290"/>
      <c r="W123" s="290"/>
      <c r="X123" s="290"/>
      <c r="Y123" s="290"/>
      <c r="Z123" s="290"/>
      <c r="AA123" s="290"/>
      <c r="AB123" s="290"/>
      <c r="AC123" s="290"/>
      <c r="AD123" s="290"/>
    </row>
    <row r="124" spans="1:30" ht="102">
      <c r="A124" s="291">
        <f t="shared" si="3"/>
        <v>123</v>
      </c>
      <c r="B124" s="291" t="s">
        <v>1405</v>
      </c>
      <c r="C124" s="291" t="str">
        <f>IF(D123="","",UNIT!$B$1&amp;"-"&amp;B124)</f>
        <v>ICT-MIS-00123</v>
      </c>
      <c r="D124" s="83" t="s">
        <v>1406</v>
      </c>
      <c r="E124" s="59" t="s">
        <v>103</v>
      </c>
      <c r="F124" s="293" t="s">
        <v>1407</v>
      </c>
      <c r="G124" s="293" t="s">
        <v>1408</v>
      </c>
      <c r="H124" s="86">
        <v>600</v>
      </c>
      <c r="I124" s="294">
        <f t="shared" si="12"/>
        <v>900</v>
      </c>
      <c r="J124" s="59" t="s">
        <v>954</v>
      </c>
      <c r="K124" s="83" t="s">
        <v>1409</v>
      </c>
      <c r="L124" s="83" t="str">
        <f t="shared" si="1"/>
        <v>Arduino Uno R3 Smd
Microcontroller: ATmega328P
USB connector: USB-B
Built-in LED Pin: 13
Digital I/O Pins: 14
Analog input pins: 6
PWM pins: 6
Power Supply Connector: Barrel Plug</v>
      </c>
      <c r="M124" s="83"/>
      <c r="N124" s="59"/>
      <c r="O124" s="59"/>
      <c r="P124" s="86">
        <f t="shared" si="2"/>
        <v>0</v>
      </c>
      <c r="Q124" s="59"/>
      <c r="R124" s="59"/>
      <c r="S124" s="59"/>
      <c r="T124" s="59"/>
      <c r="U124" s="290"/>
      <c r="V124" s="290"/>
      <c r="W124" s="290"/>
      <c r="X124" s="290"/>
      <c r="Y124" s="290"/>
      <c r="Z124" s="290"/>
      <c r="AA124" s="290"/>
      <c r="AB124" s="290"/>
      <c r="AC124" s="290"/>
      <c r="AD124" s="290"/>
    </row>
    <row r="125" spans="1:30" ht="37.5" customHeight="1">
      <c r="A125" s="291">
        <f t="shared" si="3"/>
        <v>124</v>
      </c>
      <c r="B125" s="291" t="s">
        <v>1410</v>
      </c>
      <c r="C125" s="291" t="str">
        <f>IF(D124="","",UNIT!$B$1&amp;"-"&amp;B125)</f>
        <v>ICT-MIS-00124</v>
      </c>
      <c r="D125" s="8" t="s">
        <v>1411</v>
      </c>
      <c r="E125" s="59" t="s">
        <v>758</v>
      </c>
      <c r="F125" s="82"/>
      <c r="G125" s="82"/>
      <c r="H125" s="86">
        <v>10000000</v>
      </c>
      <c r="I125" s="294">
        <f t="shared" si="12"/>
        <v>15000000</v>
      </c>
      <c r="J125" s="59" t="s">
        <v>954</v>
      </c>
      <c r="K125" s="83" t="s">
        <v>1412</v>
      </c>
      <c r="L125" s="83" t="str">
        <f t="shared" si="1"/>
        <v>Hyper Converge Infrastructure (HCI)
***Hyper-Converged Infrastructure - Head Office ( 3 Server Hardware)
"Server (QTY 3): CPU 2*Intel Xeon Gold 5220R 2.2G, 24C/48T, 128G (32G*4) Memory,
12*3.5in disk slots, 
2*240G OS disks (configured with RAID1), 
6*GE+2*10GE, no cache disk or data disk"
Memory(RAM) (QTY 12): 32GB DDR4 RDIMM
Fiber Cable (QTY 12): LC-LC, Multi-mode, 3 meters.
"Tranciever(For Server) (QTY 12): SFP+ 10GE Multimode Optical Transceiver, 
 for short distance transmission (850nm, 300M)."
Disk - HDD (QTY 15): 8TB 7200RPM 3.5
Disk - SSD (QTY 9): 1.9TB SSD Intel S4600 3D NAND TLC SSD 2.5", SATA 3.0 6Gbps
Network Interface Card (QTY 3): 2*10GE
Switch (QTY 2): 12 Gigabit electrical ports, 12 10G SFP+ optical ports, switching capacity 1.28Tbps/12.8Tbps
Transceiver(For Switch) (QTY 10): 10 gigabit SFP+
***Hyper-Converged Infrastructure - Offsite ( 2 Server Hardware)
"Server (QTY 3): CPU 2*Intel Xeon Gold 5220R 2.2G, 24C/48T, 128G (32G*4) Memory,
  12*3.5in disk slots, 
 2*240G OS disks (configured with RAID1), 
 6*GE+2*10GE, no cache disk or data disk"
Memory(RAM) (QTY 12): 32GB DDR4 RDIMM
Fiber Cable (QTY 4): LC-LC, Multi-mode, 3 meters.
"Tranciever (QTY 8): SFP+ 10GE Multimode Optical Transceiver, 
 for short distance transmission (850nm, 300M)."
Disk - HDD (QTY 12): 8TB 7200RPM 3.5
Disk - SSD (QTY 6): 1.9TB SSD Intel S4600 3D NAND TLC SSD 2.5", SATA 3.0 6Gbps
Network Interface Card (QTY 2): 2*10GE</v>
      </c>
      <c r="M125" s="83"/>
      <c r="N125" s="59"/>
      <c r="O125" s="59"/>
      <c r="P125" s="86">
        <f t="shared" si="2"/>
        <v>0</v>
      </c>
      <c r="Q125" s="59"/>
      <c r="R125" s="59"/>
      <c r="S125" s="59"/>
      <c r="T125" s="59"/>
      <c r="U125" s="290"/>
      <c r="V125" s="290"/>
      <c r="W125" s="290"/>
      <c r="X125" s="290"/>
      <c r="Y125" s="290"/>
      <c r="Z125" s="290"/>
      <c r="AA125" s="290"/>
      <c r="AB125" s="290"/>
      <c r="AC125" s="290"/>
      <c r="AD125" s="290"/>
    </row>
    <row r="126" spans="1:30" ht="114.75">
      <c r="A126" s="291">
        <f t="shared" si="3"/>
        <v>125</v>
      </c>
      <c r="B126" s="291" t="s">
        <v>1413</v>
      </c>
      <c r="C126" s="291" t="str">
        <f>IF(D125="","",UNIT!$B$1&amp;"-"&amp;B126)</f>
        <v>ICT-MIS-00125</v>
      </c>
      <c r="D126" s="83" t="s">
        <v>1414</v>
      </c>
      <c r="E126" s="59" t="s">
        <v>118</v>
      </c>
      <c r="F126" s="293" t="s">
        <v>1415</v>
      </c>
      <c r="G126" s="82"/>
      <c r="H126" s="86">
        <v>5400</v>
      </c>
      <c r="I126" s="294">
        <f t="shared" si="12"/>
        <v>8100</v>
      </c>
      <c r="J126" s="59" t="s">
        <v>954</v>
      </c>
      <c r="K126" s="83" t="s">
        <v>1416</v>
      </c>
      <c r="L126" s="83" t="str">
        <f t="shared" si="1"/>
        <v>Alarm System Device
WiFi+GSM Dual Network Alarm
4.3 inch IPS color display
5 groups of telephone alarm settings
Temperature and humidity display
Fingerprint arming and disarming
Two-way voice intercom function
Touch screen dustproof keyboard
Warranty: 1 year or more</v>
      </c>
      <c r="M126" s="83"/>
      <c r="N126" s="59"/>
      <c r="O126" s="59"/>
      <c r="P126" s="86">
        <f t="shared" si="2"/>
        <v>0</v>
      </c>
      <c r="Q126" s="59"/>
      <c r="R126" s="59"/>
      <c r="S126" s="59"/>
      <c r="T126" s="59"/>
      <c r="U126" s="290"/>
      <c r="V126" s="290"/>
      <c r="W126" s="290"/>
      <c r="X126" s="290"/>
      <c r="Y126" s="290"/>
      <c r="Z126" s="290"/>
      <c r="AA126" s="290"/>
      <c r="AB126" s="290"/>
      <c r="AC126" s="290"/>
      <c r="AD126" s="290"/>
    </row>
    <row r="127" spans="1:30" ht="38.25">
      <c r="A127" s="291">
        <f t="shared" si="3"/>
        <v>126</v>
      </c>
      <c r="B127" s="291" t="s">
        <v>1417</v>
      </c>
      <c r="C127" s="291" t="str">
        <f>IF(D126="","",UNIT!$B$1&amp;"-"&amp;B127)</f>
        <v>ICT-MIS-00126</v>
      </c>
      <c r="D127" s="83" t="s">
        <v>1418</v>
      </c>
      <c r="E127" s="59" t="s">
        <v>103</v>
      </c>
      <c r="F127" s="293" t="s">
        <v>1419</v>
      </c>
      <c r="G127" s="293" t="s">
        <v>1419</v>
      </c>
      <c r="H127" s="86">
        <v>300</v>
      </c>
      <c r="I127" s="294">
        <f t="shared" si="12"/>
        <v>450</v>
      </c>
      <c r="J127" s="59" t="s">
        <v>954</v>
      </c>
      <c r="K127" s="83" t="s">
        <v>1420</v>
      </c>
      <c r="L127" s="83" t="str">
        <f t="shared" si="1"/>
        <v>USB 2.0 Active Repeater Male to Female Extension Cable Adapter Cord
5 meters
USB 2.0 Active Repeater Male to Female Extension Cable Adapter Cord</v>
      </c>
      <c r="M127" s="83"/>
      <c r="N127" s="59"/>
      <c r="O127" s="59"/>
      <c r="P127" s="86">
        <f t="shared" si="2"/>
        <v>0</v>
      </c>
      <c r="Q127" s="59"/>
      <c r="R127" s="59"/>
      <c r="S127" s="59"/>
      <c r="T127" s="59"/>
      <c r="U127" s="290"/>
      <c r="V127" s="290"/>
      <c r="W127" s="290"/>
      <c r="X127" s="290"/>
      <c r="Y127" s="290"/>
      <c r="Z127" s="290"/>
      <c r="AA127" s="290"/>
      <c r="AB127" s="290"/>
      <c r="AC127" s="290"/>
      <c r="AD127" s="290"/>
    </row>
    <row r="128" spans="1:30" ht="127.5">
      <c r="A128" s="291">
        <f t="shared" si="3"/>
        <v>127</v>
      </c>
      <c r="B128" s="291" t="s">
        <v>1421</v>
      </c>
      <c r="C128" s="291" t="str">
        <f>IF(D127="","",UNIT!$B$1&amp;"-"&amp;B128)</f>
        <v>ICT-MIS-00127</v>
      </c>
      <c r="D128" s="83" t="s">
        <v>1422</v>
      </c>
      <c r="E128" s="59" t="s">
        <v>118</v>
      </c>
      <c r="F128" s="293" t="s">
        <v>1423</v>
      </c>
      <c r="G128" s="295" t="s">
        <v>1424</v>
      </c>
      <c r="H128" s="86">
        <v>15000</v>
      </c>
      <c r="I128" s="294">
        <f t="shared" si="12"/>
        <v>22500</v>
      </c>
      <c r="J128" s="59" t="s">
        <v>954</v>
      </c>
      <c r="K128" s="83" t="s">
        <v>1425</v>
      </c>
      <c r="L128" s="83" t="str">
        <f t="shared" si="1"/>
        <v>Omnidirectional Dual Channel Wireless Microphone System
Set: 1 x Receiver, 2 x Transmitter
Acoustic Principle: Pre-polarised pressure transducer
Polar Pattern: Omnidirectional
Power Requirements: In-built rechargeable lithiumion battery charged via USB 5V
Analog Inputs: 3.5mm TRS (lavalier microphone input)
Analog Outputs: 3.5mm TRS
Computer Connectivity: USB Type-C
Included Accessories: 3 x SC20, 1 x SC5, 3 x Furry, 1 x Pouch Bag
Warranty: 1 year or more</v>
      </c>
      <c r="M128" s="83"/>
      <c r="N128" s="59"/>
      <c r="O128" s="59"/>
      <c r="P128" s="86">
        <f t="shared" si="2"/>
        <v>0</v>
      </c>
      <c r="Q128" s="59"/>
      <c r="R128" s="59"/>
      <c r="S128" s="59"/>
      <c r="T128" s="59"/>
      <c r="U128" s="290"/>
      <c r="V128" s="290"/>
      <c r="W128" s="290"/>
      <c r="X128" s="290"/>
      <c r="Y128" s="290"/>
      <c r="Z128" s="290"/>
      <c r="AA128" s="290"/>
      <c r="AB128" s="290"/>
      <c r="AC128" s="290"/>
      <c r="AD128" s="290"/>
    </row>
    <row r="129" spans="1:30" ht="25.5">
      <c r="A129" s="291">
        <f t="shared" si="3"/>
        <v>128</v>
      </c>
      <c r="B129" s="291" t="s">
        <v>1426</v>
      </c>
      <c r="C129" s="291" t="str">
        <f>IF(D128="","",UNIT!$B$1&amp;"-"&amp;B129)</f>
        <v>ICT-MIS-00128</v>
      </c>
      <c r="D129" s="299" t="s">
        <v>1427</v>
      </c>
      <c r="E129" s="59" t="s">
        <v>103</v>
      </c>
      <c r="F129" s="82"/>
      <c r="G129" s="82"/>
      <c r="H129" s="86">
        <v>600000</v>
      </c>
      <c r="I129" s="294">
        <f t="shared" si="12"/>
        <v>900000</v>
      </c>
      <c r="J129" s="59" t="s">
        <v>954</v>
      </c>
      <c r="K129" s="299" t="s">
        <v>1428</v>
      </c>
      <c r="L129" s="83" t="str">
        <f t="shared" si="1"/>
        <v>Rack Server
Dell Poweredge R440 Server</v>
      </c>
      <c r="M129" s="83"/>
      <c r="N129" s="59"/>
      <c r="O129" s="59"/>
      <c r="P129" s="86">
        <f t="shared" si="2"/>
        <v>0</v>
      </c>
      <c r="Q129" s="59"/>
      <c r="R129" s="59"/>
      <c r="S129" s="59"/>
      <c r="T129" s="59"/>
      <c r="U129" s="290"/>
      <c r="V129" s="290"/>
      <c r="W129" s="290"/>
      <c r="X129" s="290"/>
      <c r="Y129" s="290"/>
      <c r="Z129" s="290"/>
      <c r="AA129" s="290"/>
      <c r="AB129" s="290"/>
      <c r="AC129" s="290"/>
      <c r="AD129" s="290"/>
    </row>
    <row r="130" spans="1:30" ht="25.5">
      <c r="A130" s="291">
        <f t="shared" si="3"/>
        <v>129</v>
      </c>
      <c r="B130" s="291" t="s">
        <v>1429</v>
      </c>
      <c r="C130" s="291" t="str">
        <f>IF(D129="","",UNIT!$B$1&amp;"-"&amp;B130)</f>
        <v>ICT-MIS-00129</v>
      </c>
      <c r="D130" s="83" t="s">
        <v>1430</v>
      </c>
      <c r="E130" s="59" t="s">
        <v>103</v>
      </c>
      <c r="F130" s="82"/>
      <c r="G130" s="82"/>
      <c r="H130" s="86">
        <v>300000</v>
      </c>
      <c r="I130" s="294">
        <f t="shared" si="12"/>
        <v>450000</v>
      </c>
      <c r="J130" s="59" t="s">
        <v>954</v>
      </c>
      <c r="K130" s="299" t="s">
        <v>1431</v>
      </c>
      <c r="L130" s="83" t="str">
        <f t="shared" si="1"/>
        <v>NAS (Network Attached Storage) with 2.5" SATA SSD
Diskstation Ds3622Xs+ with 2.5" SATA SSD</v>
      </c>
      <c r="M130" s="83"/>
      <c r="N130" s="59"/>
      <c r="O130" s="59"/>
      <c r="P130" s="86">
        <f t="shared" si="2"/>
        <v>0</v>
      </c>
      <c r="Q130" s="59"/>
      <c r="R130" s="59"/>
      <c r="S130" s="59"/>
      <c r="T130" s="59"/>
      <c r="U130" s="290"/>
      <c r="V130" s="290"/>
      <c r="W130" s="290"/>
      <c r="X130" s="290"/>
      <c r="Y130" s="290"/>
      <c r="Z130" s="290"/>
      <c r="AA130" s="290"/>
      <c r="AB130" s="290"/>
      <c r="AC130" s="290"/>
      <c r="AD130" s="290"/>
    </row>
    <row r="131" spans="1:30" ht="102">
      <c r="A131" s="291">
        <f t="shared" si="3"/>
        <v>130</v>
      </c>
      <c r="B131" s="291" t="s">
        <v>1432</v>
      </c>
      <c r="C131" s="291" t="str">
        <f>IF(D130="","",UNIT!$B$1&amp;"-"&amp;B131)</f>
        <v>ICT-MIS-00130</v>
      </c>
      <c r="D131" s="300" t="s">
        <v>380</v>
      </c>
      <c r="E131" s="59" t="s">
        <v>758</v>
      </c>
      <c r="F131" s="82"/>
      <c r="G131" s="82"/>
      <c r="H131" s="86">
        <v>120000</v>
      </c>
      <c r="I131" s="294">
        <f t="shared" si="12"/>
        <v>180000</v>
      </c>
      <c r="J131" s="59" t="s">
        <v>954</v>
      </c>
      <c r="K131" s="299" t="s">
        <v>1433</v>
      </c>
      <c r="L131" s="83" t="str">
        <f t="shared" si="1"/>
        <v>Distribution Stackable Managed Switch with 4x10G SFP+ Module for Multimode fiber compatible with the existing CBS350-24FP-4X
Switching Capacity in Gigabits per Second: 128 Gbps
Up to 4 units in a stack
24 10/100/1000 PoE+ ports with 370W power budget
4 10 Gigabit SFP+
Rack-mountable
Warranty: 1 year or more</v>
      </c>
      <c r="M131" s="83" t="s">
        <v>1434</v>
      </c>
      <c r="N131" s="59" t="s">
        <v>957</v>
      </c>
      <c r="O131" s="59">
        <v>6</v>
      </c>
      <c r="P131" s="86">
        <f t="shared" si="2"/>
        <v>1080000</v>
      </c>
      <c r="Q131" s="59" t="e">
        <f>VLOOKUP(D131,'[1]Pivot 2024 Conso'!$A$2:W1997,6,0)</f>
        <v>#N/A</v>
      </c>
      <c r="R131" s="59" t="e">
        <f>IF(O131&lt;=Q131,"SAFE","TAGPAS")</f>
        <v>#N/A</v>
      </c>
      <c r="S131" s="59" t="e">
        <f>IF(O131&lt;=Q131,O131,Q131)</f>
        <v>#N/A</v>
      </c>
      <c r="T131" s="59"/>
      <c r="U131" s="290"/>
      <c r="V131" s="290"/>
      <c r="W131" s="290"/>
      <c r="X131" s="290"/>
      <c r="Y131" s="290"/>
      <c r="Z131" s="290"/>
      <c r="AA131" s="290"/>
      <c r="AB131" s="290"/>
      <c r="AC131" s="290"/>
      <c r="AD131" s="290"/>
    </row>
    <row r="132" spans="1:30" ht="114.75">
      <c r="A132" s="291">
        <f t="shared" si="3"/>
        <v>131</v>
      </c>
      <c r="B132" s="291" t="s">
        <v>1435</v>
      </c>
      <c r="C132" s="291" t="str">
        <f>IF(D131="","",UNIT!$B$1&amp;"-"&amp;B132)</f>
        <v>ICT-MIS-00131</v>
      </c>
      <c r="D132" s="300" t="s">
        <v>378</v>
      </c>
      <c r="E132" s="59" t="s">
        <v>758</v>
      </c>
      <c r="F132" s="82"/>
      <c r="G132" s="82"/>
      <c r="H132" s="86">
        <v>250000</v>
      </c>
      <c r="I132" s="294">
        <f t="shared" si="12"/>
        <v>375000</v>
      </c>
      <c r="J132" s="59" t="s">
        <v>954</v>
      </c>
      <c r="K132" s="300" t="s">
        <v>1436</v>
      </c>
      <c r="L132" s="83" t="str">
        <f t="shared" si="1"/>
        <v>Core Stackable Managed Switch with 20x10G SFP+ Module for Multimode fiber compatible with the existing CBS350-24XS
Switching Capacity in Gigabits per Second: 480 Gbps
Up to 4 units in a stack
24 x 10 Gigabit SFP+
4 x 10 Gigabit copper ports (combo with 4 x SFP+)
1 x GE management port
Rack-mountable
Inclusion: 2x Direct-Attach Twinax Copper Cable Assembly with SFP+ Connectors SFP-H10GB-CU1M
Warranty: 1 year or more</v>
      </c>
      <c r="M132" s="301" t="s">
        <v>1437</v>
      </c>
      <c r="N132" s="59" t="s">
        <v>957</v>
      </c>
      <c r="O132" s="59">
        <v>2</v>
      </c>
      <c r="P132" s="86">
        <f t="shared" si="2"/>
        <v>750000</v>
      </c>
      <c r="Q132" s="59"/>
      <c r="R132" s="59"/>
      <c r="S132" s="59"/>
      <c r="T132" s="59"/>
      <c r="U132" s="290"/>
      <c r="V132" s="290"/>
      <c r="W132" s="290"/>
      <c r="X132" s="290"/>
      <c r="Y132" s="290"/>
      <c r="Z132" s="290"/>
      <c r="AA132" s="290"/>
      <c r="AB132" s="290"/>
      <c r="AC132" s="290"/>
      <c r="AD132" s="290"/>
    </row>
    <row r="133" spans="1:30" ht="38.25">
      <c r="A133" s="291">
        <f t="shared" si="3"/>
        <v>132</v>
      </c>
      <c r="B133" s="291" t="s">
        <v>1438</v>
      </c>
      <c r="C133" s="291" t="str">
        <f>IF(D132="","",UNIT!$B$1&amp;"-"&amp;B133)</f>
        <v>ICT-MIS-00132</v>
      </c>
      <c r="D133" s="299" t="s">
        <v>1439</v>
      </c>
      <c r="E133" s="59" t="s">
        <v>103</v>
      </c>
      <c r="F133" s="293" t="s">
        <v>1440</v>
      </c>
      <c r="G133" s="82"/>
      <c r="H133" s="86">
        <v>25000</v>
      </c>
      <c r="I133" s="294">
        <f t="shared" si="12"/>
        <v>37500</v>
      </c>
      <c r="J133" s="59" t="s">
        <v>954</v>
      </c>
      <c r="K133" s="299" t="s">
        <v>1441</v>
      </c>
      <c r="L133" s="83" t="str">
        <f t="shared" si="1"/>
        <v>Wireless Hdmi Transmitter And Receiver Kits
Wireless Hdmi Transmitter And Receiver Kits Full Hd 4K-30Hz 5Ghz 164Ft Wireless Display Dongle Plug And Play Streaming Laptop</v>
      </c>
      <c r="M133" s="83"/>
      <c r="N133" s="59"/>
      <c r="O133" s="59"/>
      <c r="P133" s="86">
        <f t="shared" si="2"/>
        <v>0</v>
      </c>
      <c r="Q133" s="59"/>
      <c r="R133" s="59"/>
      <c r="S133" s="59"/>
      <c r="T133" s="59"/>
      <c r="U133" s="290"/>
      <c r="V133" s="290"/>
      <c r="W133" s="290"/>
      <c r="X133" s="290"/>
      <c r="Y133" s="290"/>
      <c r="Z133" s="290"/>
      <c r="AA133" s="290"/>
      <c r="AB133" s="290"/>
      <c r="AC133" s="290"/>
      <c r="AD133" s="290"/>
    </row>
    <row r="134" spans="1:30" ht="25.5">
      <c r="A134" s="291">
        <f t="shared" si="3"/>
        <v>133</v>
      </c>
      <c r="B134" s="291" t="s">
        <v>1442</v>
      </c>
      <c r="C134" s="291" t="str">
        <f>IF(D133="","",UNIT!$B$1&amp;"-"&amp;B134)</f>
        <v>ICT-MIS-00133</v>
      </c>
      <c r="D134" s="83" t="s">
        <v>382</v>
      </c>
      <c r="E134" s="59" t="s">
        <v>758</v>
      </c>
      <c r="F134" s="82"/>
      <c r="G134" s="82"/>
      <c r="H134" s="86">
        <v>1000000</v>
      </c>
      <c r="I134" s="294">
        <f t="shared" si="12"/>
        <v>1500000</v>
      </c>
      <c r="J134" s="59" t="s">
        <v>954</v>
      </c>
      <c r="K134" s="83" t="s">
        <v>1443</v>
      </c>
      <c r="L134" s="83" t="str">
        <f t="shared" si="1"/>
        <v>Fortinet Firewall Annual Subscription, Website Hosting &amp; SMS, Google, ZOOM Subscription, Software as a service (SaaS)
Fortinet Firewall Annual Subscription, Website Hosting &amp; SMS, ZOOM Subscription</v>
      </c>
      <c r="M134" s="83"/>
      <c r="N134" s="59" t="s">
        <v>957</v>
      </c>
      <c r="O134" s="59">
        <v>1</v>
      </c>
      <c r="P134" s="86">
        <f t="shared" si="2"/>
        <v>1500000</v>
      </c>
      <c r="Q134" s="59" t="s">
        <v>4741</v>
      </c>
      <c r="R134" s="59" t="str">
        <f t="shared" ref="R134:R136" si="17">IF(O134&lt;=Q134,"SAFE","TAGPAS")</f>
        <v>SAFE</v>
      </c>
      <c r="S134" s="59">
        <f t="shared" ref="S134:S136" si="18">IF(O134&lt;=Q134,O134,Q134)</f>
        <v>1</v>
      </c>
      <c r="T134" s="59"/>
      <c r="U134" s="290"/>
      <c r="V134" s="290"/>
      <c r="W134" s="290"/>
      <c r="X134" s="290"/>
      <c r="Y134" s="290"/>
      <c r="Z134" s="290"/>
      <c r="AA134" s="290"/>
      <c r="AB134" s="290"/>
      <c r="AC134" s="290"/>
      <c r="AD134" s="290"/>
    </row>
    <row r="135" spans="1:30" ht="25.5">
      <c r="A135" s="291">
        <f t="shared" si="3"/>
        <v>134</v>
      </c>
      <c r="B135" s="291" t="s">
        <v>1444</v>
      </c>
      <c r="C135" s="291" t="str">
        <f>IF(D134="","",UNIT!$B$1&amp;"-"&amp;B135)</f>
        <v>ICT-MIS-00134</v>
      </c>
      <c r="D135" s="83" t="s">
        <v>356</v>
      </c>
      <c r="E135" s="59" t="s">
        <v>758</v>
      </c>
      <c r="F135" s="82"/>
      <c r="G135" s="82"/>
      <c r="H135" s="86">
        <v>500000</v>
      </c>
      <c r="I135" s="86">
        <v>6000000</v>
      </c>
      <c r="J135" s="59" t="s">
        <v>1445</v>
      </c>
      <c r="K135" s="83" t="s">
        <v>1446</v>
      </c>
      <c r="L135" s="83" t="str">
        <f t="shared" si="1"/>
        <v>1Gbps Internet Subscription (Leased Line)
PLDT 1Gbps Internet Subscription (Leased Line)</v>
      </c>
      <c r="M135" s="83"/>
      <c r="N135" s="59" t="s">
        <v>957</v>
      </c>
      <c r="O135" s="59">
        <v>1</v>
      </c>
      <c r="P135" s="86">
        <f t="shared" si="2"/>
        <v>6000000</v>
      </c>
      <c r="Q135" s="59" t="s">
        <v>4741</v>
      </c>
      <c r="R135" s="59" t="str">
        <f t="shared" si="17"/>
        <v>SAFE</v>
      </c>
      <c r="S135" s="59">
        <f t="shared" si="18"/>
        <v>1</v>
      </c>
      <c r="T135" s="59"/>
      <c r="U135" s="290"/>
      <c r="V135" s="290"/>
      <c r="W135" s="290"/>
      <c r="X135" s="290"/>
      <c r="Y135" s="290"/>
      <c r="Z135" s="290"/>
      <c r="AA135" s="290"/>
      <c r="AB135" s="290"/>
      <c r="AC135" s="290"/>
      <c r="AD135" s="290"/>
    </row>
    <row r="136" spans="1:30" ht="38.25">
      <c r="A136" s="291">
        <f t="shared" si="3"/>
        <v>135</v>
      </c>
      <c r="B136" s="291" t="s">
        <v>1447</v>
      </c>
      <c r="C136" s="291" t="str">
        <f>IF(D135="","",UNIT!$B$1&amp;"-"&amp;B136)</f>
        <v>ICT-MIS-00135</v>
      </c>
      <c r="D136" s="83" t="s">
        <v>393</v>
      </c>
      <c r="E136" s="59" t="s">
        <v>758</v>
      </c>
      <c r="F136" s="82"/>
      <c r="G136" s="82"/>
      <c r="H136" s="86">
        <v>2000000</v>
      </c>
      <c r="I136" s="294">
        <f t="shared" ref="I136:I169" si="19">IF(H136&gt;1,H136*1.5,"")</f>
        <v>3000000</v>
      </c>
      <c r="J136" s="59" t="s">
        <v>954</v>
      </c>
      <c r="K136" s="83" t="s">
        <v>1448</v>
      </c>
      <c r="L136" s="83" t="str">
        <f t="shared" si="1"/>
        <v>Maintenance and Upgrade of Desktop, Laptop, Server, DOH/DICT Cybersecurity Equipment compliance, Copier, Printer, Network, PABX, CCTV and Paging System
Maintenance and Upgrade of Desktop, Laptop, Server, Copier, Printer, Network, PABX, CCTV and Paging System</v>
      </c>
      <c r="M136" s="83"/>
      <c r="N136" s="59" t="s">
        <v>957</v>
      </c>
      <c r="O136" s="59">
        <v>1</v>
      </c>
      <c r="P136" s="86">
        <f t="shared" si="2"/>
        <v>3000000</v>
      </c>
      <c r="Q136" s="59" t="s">
        <v>4741</v>
      </c>
      <c r="R136" s="59" t="str">
        <f t="shared" si="17"/>
        <v>SAFE</v>
      </c>
      <c r="S136" s="59">
        <f t="shared" si="18"/>
        <v>1</v>
      </c>
      <c r="T136" s="59"/>
      <c r="U136" s="290"/>
      <c r="V136" s="290"/>
      <c r="W136" s="290"/>
      <c r="X136" s="290"/>
      <c r="Y136" s="290"/>
      <c r="Z136" s="290"/>
      <c r="AA136" s="290"/>
      <c r="AB136" s="290"/>
      <c r="AC136" s="290"/>
      <c r="AD136" s="290"/>
    </row>
    <row r="137" spans="1:30" ht="25.5">
      <c r="A137" s="291">
        <f t="shared" si="3"/>
        <v>136</v>
      </c>
      <c r="B137" s="291" t="s">
        <v>1449</v>
      </c>
      <c r="C137" s="291" t="str">
        <f>IF(D136="","",UNIT!$B$1&amp;"-"&amp;B137)</f>
        <v>ICT-MIS-00136</v>
      </c>
      <c r="D137" s="302" t="s">
        <v>1450</v>
      </c>
      <c r="E137" s="59" t="s">
        <v>758</v>
      </c>
      <c r="F137" s="82"/>
      <c r="G137" s="82"/>
      <c r="H137" s="86" t="e">
        <f>SUMIF('[2]Conso ICT 2023'!Y:Y,$D$137,'[2]Conso ICT 2023'!F:F)</f>
        <v>#VALUE!</v>
      </c>
      <c r="I137" s="294" t="e">
        <f t="shared" si="19"/>
        <v>#VALUE!</v>
      </c>
      <c r="J137" s="59" t="s">
        <v>954</v>
      </c>
      <c r="K137" s="83" t="s">
        <v>1451</v>
      </c>
      <c r="L137" s="83" t="str">
        <f t="shared" si="1"/>
        <v>*Copier Various
Various</v>
      </c>
      <c r="M137" s="83"/>
      <c r="N137" s="59"/>
      <c r="O137" s="59"/>
      <c r="P137" s="86" t="e">
        <f t="shared" si="2"/>
        <v>#VALUE!</v>
      </c>
      <c r="Q137" s="59"/>
      <c r="R137" s="59"/>
      <c r="S137" s="59"/>
      <c r="T137" s="59"/>
      <c r="U137" s="290"/>
      <c r="V137" s="290"/>
      <c r="W137" s="290"/>
      <c r="X137" s="290"/>
      <c r="Y137" s="290"/>
      <c r="Z137" s="290"/>
      <c r="AA137" s="290"/>
      <c r="AB137" s="290"/>
      <c r="AC137" s="290"/>
      <c r="AD137" s="290"/>
    </row>
    <row r="138" spans="1:30" ht="25.5">
      <c r="A138" s="291">
        <f t="shared" si="3"/>
        <v>137</v>
      </c>
      <c r="B138" s="291" t="s">
        <v>1452</v>
      </c>
      <c r="C138" s="291" t="str">
        <f>IF(D137="","",UNIT!$B$1&amp;"-"&amp;B138)</f>
        <v>ICT-MIS-00137</v>
      </c>
      <c r="D138" s="302" t="s">
        <v>1453</v>
      </c>
      <c r="E138" s="59" t="s">
        <v>758</v>
      </c>
      <c r="F138" s="82"/>
      <c r="G138" s="82"/>
      <c r="H138" s="86" t="e">
        <f>SUMIF('[2]Conso ICT 2023'!Y:Y,$D$138,'[2]Conso ICT 2023'!F:F)</f>
        <v>#VALUE!</v>
      </c>
      <c r="I138" s="294" t="e">
        <f t="shared" si="19"/>
        <v>#VALUE!</v>
      </c>
      <c r="J138" s="59" t="s">
        <v>954</v>
      </c>
      <c r="K138" s="83" t="s">
        <v>1451</v>
      </c>
      <c r="L138" s="83" t="str">
        <f t="shared" si="1"/>
        <v>*Printer Various
Various</v>
      </c>
      <c r="M138" s="83"/>
      <c r="N138" s="59"/>
      <c r="O138" s="59"/>
      <c r="P138" s="86" t="e">
        <f t="shared" si="2"/>
        <v>#VALUE!</v>
      </c>
      <c r="Q138" s="59"/>
      <c r="R138" s="59"/>
      <c r="S138" s="59"/>
      <c r="T138" s="59"/>
      <c r="U138" s="290"/>
      <c r="V138" s="290"/>
      <c r="W138" s="290"/>
      <c r="X138" s="290"/>
      <c r="Y138" s="290"/>
      <c r="Z138" s="290"/>
      <c r="AA138" s="290"/>
      <c r="AB138" s="290"/>
      <c r="AC138" s="290"/>
      <c r="AD138" s="290"/>
    </row>
    <row r="139" spans="1:30" ht="25.5">
      <c r="A139" s="291">
        <f t="shared" si="3"/>
        <v>138</v>
      </c>
      <c r="B139" s="291" t="s">
        <v>1454</v>
      </c>
      <c r="C139" s="291" t="str">
        <f>IF(D138="","",UNIT!$B$1&amp;"-"&amp;B139)</f>
        <v>ICT-MIS-00138</v>
      </c>
      <c r="D139" s="302" t="s">
        <v>1455</v>
      </c>
      <c r="E139" s="59" t="s">
        <v>758</v>
      </c>
      <c r="F139" s="82"/>
      <c r="G139" s="82"/>
      <c r="H139" s="86">
        <v>800000</v>
      </c>
      <c r="I139" s="294">
        <f t="shared" si="19"/>
        <v>1200000</v>
      </c>
      <c r="J139" s="59" t="s">
        <v>1008</v>
      </c>
      <c r="K139" s="83" t="s">
        <v>1456</v>
      </c>
      <c r="L139" s="83" t="str">
        <f t="shared" si="1"/>
        <v>Toner Kit Various
Toner Kit for existing Kyocera Machines</v>
      </c>
      <c r="M139" s="83"/>
      <c r="N139" s="59"/>
      <c r="O139" s="59"/>
      <c r="P139" s="86">
        <f t="shared" si="2"/>
        <v>0</v>
      </c>
      <c r="Q139" s="59"/>
      <c r="R139" s="59"/>
      <c r="S139" s="59"/>
      <c r="T139" s="59"/>
      <c r="U139" s="290"/>
      <c r="V139" s="290"/>
      <c r="W139" s="290"/>
      <c r="X139" s="290"/>
      <c r="Y139" s="290"/>
      <c r="Z139" s="290"/>
      <c r="AA139" s="290"/>
      <c r="AB139" s="290"/>
      <c r="AC139" s="290"/>
      <c r="AD139" s="290"/>
    </row>
    <row r="140" spans="1:30" ht="140.25">
      <c r="A140" s="291">
        <f t="shared" si="3"/>
        <v>139</v>
      </c>
      <c r="B140" s="291" t="s">
        <v>1457</v>
      </c>
      <c r="C140" s="291" t="str">
        <f>IF(D139="","",UNIT!$B$1&amp;"-"&amp;B140)</f>
        <v>ICT-MIS-00139</v>
      </c>
      <c r="D140" s="83" t="s">
        <v>400</v>
      </c>
      <c r="E140" s="59" t="s">
        <v>758</v>
      </c>
      <c r="F140" s="295" t="s">
        <v>1458</v>
      </c>
      <c r="G140" s="82"/>
      <c r="H140" s="86">
        <v>20000</v>
      </c>
      <c r="I140" s="294">
        <f t="shared" si="19"/>
        <v>30000</v>
      </c>
      <c r="J140" s="59" t="s">
        <v>954</v>
      </c>
      <c r="K140" s="83" t="s">
        <v>1459</v>
      </c>
      <c r="L140" s="83" t="str">
        <f t="shared" si="1"/>
        <v>Mini PC
Intel Core i5 12th Gen Processor or higher
10 Cores 12 Threads or higher
Base frequency: 3.3 GHz or higher
Max Turbo Frequency : 4.4 GHz or higher
16GB 3200MHZ DDR4
500GB NVMe M.2 SSD or higher
Support 4K video output to three displays simultaneously
Multi-channel audio output via HDMI or DisplayPort
Support Windows 11
WiFi 6+Bluetooth 5.2 or higher</v>
      </c>
      <c r="M140" s="83"/>
      <c r="N140" s="59" t="s">
        <v>957</v>
      </c>
      <c r="O140" s="59">
        <v>8</v>
      </c>
      <c r="P140" s="86">
        <f t="shared" si="2"/>
        <v>240000</v>
      </c>
      <c r="Q140" s="59" t="e">
        <f>VLOOKUP(D140,'[1]Pivot 2024 Conso'!$A$2:W1997,6,0)</f>
        <v>#N/A</v>
      </c>
      <c r="R140" s="59" t="e">
        <f t="shared" ref="R140:R146" si="20">IF(O140&lt;=Q140,"SAFE","TAGPAS")</f>
        <v>#N/A</v>
      </c>
      <c r="S140" s="59" t="e">
        <f t="shared" ref="S140:S146" si="21">IF(O140&lt;=Q140,O140,Q140)</f>
        <v>#N/A</v>
      </c>
      <c r="T140" s="59"/>
      <c r="U140" s="290"/>
      <c r="V140" s="290"/>
      <c r="W140" s="290"/>
      <c r="X140" s="290"/>
      <c r="Y140" s="290"/>
      <c r="Z140" s="290"/>
      <c r="AA140" s="290"/>
      <c r="AB140" s="290"/>
      <c r="AC140" s="290"/>
      <c r="AD140" s="290"/>
    </row>
    <row r="141" spans="1:30" ht="38.25">
      <c r="A141" s="291">
        <f t="shared" si="3"/>
        <v>140</v>
      </c>
      <c r="B141" s="291" t="s">
        <v>1460</v>
      </c>
      <c r="C141" s="291" t="str">
        <f>IF(D140="","",UNIT!$B$1&amp;"-"&amp;B141)</f>
        <v>ICT-MIS-00140</v>
      </c>
      <c r="D141" s="83" t="s">
        <v>355</v>
      </c>
      <c r="E141" s="59" t="s">
        <v>103</v>
      </c>
      <c r="F141" s="293" t="s">
        <v>1461</v>
      </c>
      <c r="G141" s="293" t="s">
        <v>1462</v>
      </c>
      <c r="H141" s="86">
        <v>15000</v>
      </c>
      <c r="I141" s="294">
        <f t="shared" si="19"/>
        <v>22500</v>
      </c>
      <c r="J141" s="59" t="s">
        <v>954</v>
      </c>
      <c r="K141" s="83" t="s">
        <v>1463</v>
      </c>
      <c r="L141" s="83" t="str">
        <f t="shared" si="1"/>
        <v>10 GE SFP+ transceiver module compatible with the existing FortiGATE-601E Firewall
10 GE SFP+ transceiver module, short range for all systems with SFP+ and SFP/SFP+ slots
Compatible with the existing Firewall FortiGate-601E</v>
      </c>
      <c r="M141" s="83" t="s">
        <v>1464</v>
      </c>
      <c r="N141" s="59" t="s">
        <v>957</v>
      </c>
      <c r="O141" s="59">
        <v>4</v>
      </c>
      <c r="P141" s="86">
        <f t="shared" si="2"/>
        <v>90000</v>
      </c>
      <c r="Q141" s="59"/>
      <c r="R141" s="59" t="str">
        <f t="shared" si="20"/>
        <v>TAGPAS</v>
      </c>
      <c r="S141" s="59">
        <f t="shared" si="21"/>
        <v>0</v>
      </c>
      <c r="T141" s="59"/>
      <c r="U141" s="290"/>
      <c r="V141" s="290"/>
      <c r="W141" s="290"/>
      <c r="X141" s="290"/>
      <c r="Y141" s="290"/>
      <c r="Z141" s="290"/>
      <c r="AA141" s="290"/>
      <c r="AB141" s="290"/>
      <c r="AC141" s="290"/>
      <c r="AD141" s="290"/>
    </row>
    <row r="142" spans="1:30" ht="25.5">
      <c r="A142" s="291">
        <f t="shared" si="3"/>
        <v>141</v>
      </c>
      <c r="B142" s="291" t="s">
        <v>1465</v>
      </c>
      <c r="C142" s="291" t="str">
        <f>IF(D141="","",UNIT!$B$1&amp;"-"&amp;B142)</f>
        <v>ICT-MIS-00141</v>
      </c>
      <c r="D142" s="83" t="s">
        <v>143</v>
      </c>
      <c r="E142" s="59" t="s">
        <v>118</v>
      </c>
      <c r="F142" s="293" t="s">
        <v>13</v>
      </c>
      <c r="G142" s="293" t="s">
        <v>13</v>
      </c>
      <c r="H142" s="86">
        <v>4000</v>
      </c>
      <c r="I142" s="294">
        <f t="shared" si="19"/>
        <v>6000</v>
      </c>
      <c r="J142" s="59" t="s">
        <v>954</v>
      </c>
      <c r="K142" s="83" t="s">
        <v>1466</v>
      </c>
      <c r="L142" s="83" t="str">
        <f t="shared" si="1"/>
        <v>4U 4-Layer Data Cabinet Wallmounted Data Cabinet
Wallmounted Data Cabinet 600x450x230 W/ 2pcs Fan &amp; 1pc PDU 6Slot (ASSEMBLED)</v>
      </c>
      <c r="M142" s="83"/>
      <c r="N142" s="59" t="s">
        <v>957</v>
      </c>
      <c r="O142" s="59">
        <v>20</v>
      </c>
      <c r="P142" s="86">
        <f t="shared" si="2"/>
        <v>120000</v>
      </c>
      <c r="Q142" s="59" t="s">
        <v>4741</v>
      </c>
      <c r="R142" s="59" t="str">
        <f t="shared" si="20"/>
        <v>SAFE</v>
      </c>
      <c r="S142" s="59">
        <f t="shared" si="21"/>
        <v>20</v>
      </c>
      <c r="T142" s="59"/>
      <c r="U142" s="290"/>
      <c r="V142" s="290"/>
      <c r="W142" s="290"/>
      <c r="X142" s="290"/>
      <c r="Y142" s="290"/>
      <c r="Z142" s="290"/>
      <c r="AA142" s="290"/>
      <c r="AB142" s="290"/>
      <c r="AC142" s="290"/>
      <c r="AD142" s="290"/>
    </row>
    <row r="143" spans="1:30" ht="38.25">
      <c r="A143" s="291">
        <f t="shared" si="3"/>
        <v>142</v>
      </c>
      <c r="B143" s="291" t="s">
        <v>1467</v>
      </c>
      <c r="C143" s="291" t="str">
        <f>IF(D142="","",UNIT!$B$1&amp;"-"&amp;B143)</f>
        <v>ICT-MIS-00142</v>
      </c>
      <c r="D143" s="83" t="s">
        <v>21</v>
      </c>
      <c r="E143" s="59" t="s">
        <v>118</v>
      </c>
      <c r="F143" s="296" t="s">
        <v>22</v>
      </c>
      <c r="G143" s="296" t="s">
        <v>22</v>
      </c>
      <c r="H143" s="86">
        <v>250</v>
      </c>
      <c r="I143" s="294">
        <f t="shared" si="19"/>
        <v>375</v>
      </c>
      <c r="J143" s="59" t="s">
        <v>1008</v>
      </c>
      <c r="K143" s="83" t="s">
        <v>23</v>
      </c>
      <c r="L143" s="83" t="str">
        <f t="shared" si="1"/>
        <v>2 port Wall Faceplate With Mounting Junction Box 
AMPCOM 86-type Wall Faceplate With Mounting Junction Box , Networking Telephone Socket Outlet Mount Panel For RJ45 RJ11 Module</v>
      </c>
      <c r="M143" s="83" t="s">
        <v>23</v>
      </c>
      <c r="N143" s="59" t="s">
        <v>957</v>
      </c>
      <c r="O143" s="59">
        <v>100</v>
      </c>
      <c r="P143" s="86">
        <f t="shared" si="2"/>
        <v>37500</v>
      </c>
      <c r="Q143" s="59" t="s">
        <v>4741</v>
      </c>
      <c r="R143" s="59" t="str">
        <f t="shared" si="20"/>
        <v>SAFE</v>
      </c>
      <c r="S143" s="59">
        <f t="shared" si="21"/>
        <v>100</v>
      </c>
      <c r="T143" s="59"/>
      <c r="U143" s="290"/>
      <c r="V143" s="290"/>
      <c r="W143" s="290"/>
      <c r="X143" s="290"/>
      <c r="Y143" s="290"/>
      <c r="Z143" s="290"/>
      <c r="AA143" s="290"/>
      <c r="AB143" s="290"/>
      <c r="AC143" s="290"/>
      <c r="AD143" s="290"/>
    </row>
    <row r="144" spans="1:30" ht="25.5">
      <c r="A144" s="291">
        <f t="shared" si="3"/>
        <v>143</v>
      </c>
      <c r="B144" s="291" t="s">
        <v>1468</v>
      </c>
      <c r="C144" s="291" t="str">
        <f>IF(D143="","",UNIT!$B$1&amp;"-"&amp;B144)</f>
        <v>ICT-MIS-00143</v>
      </c>
      <c r="D144" s="83" t="s">
        <v>31</v>
      </c>
      <c r="E144" s="59" t="s">
        <v>103</v>
      </c>
      <c r="F144" s="293" t="s">
        <v>1469</v>
      </c>
      <c r="G144" s="293" t="s">
        <v>1469</v>
      </c>
      <c r="H144" s="86">
        <v>125</v>
      </c>
      <c r="I144" s="294">
        <f t="shared" si="19"/>
        <v>187.5</v>
      </c>
      <c r="J144" s="59" t="s">
        <v>1008</v>
      </c>
      <c r="K144" s="83" t="s">
        <v>33</v>
      </c>
      <c r="L144" s="83" t="str">
        <f t="shared" si="1"/>
        <v>RJ45 Coupler, 8P8C Female Extender LAN Connector
RJ45 Coupler, 8P8C Female Extender LAN Connector Inline CAT6A/CAT6/CAT5E Ethernet Cable-Lightning Protection</v>
      </c>
      <c r="M144" s="83" t="s">
        <v>1470</v>
      </c>
      <c r="N144" s="59" t="s">
        <v>957</v>
      </c>
      <c r="O144" s="59">
        <v>20</v>
      </c>
      <c r="P144" s="86">
        <f t="shared" si="2"/>
        <v>3750</v>
      </c>
      <c r="Q144" s="59" t="s">
        <v>4741</v>
      </c>
      <c r="R144" s="59" t="str">
        <f t="shared" si="20"/>
        <v>SAFE</v>
      </c>
      <c r="S144" s="59">
        <f t="shared" si="21"/>
        <v>20</v>
      </c>
      <c r="T144" s="59"/>
      <c r="U144" s="290"/>
      <c r="V144" s="290"/>
      <c r="W144" s="290"/>
      <c r="X144" s="290"/>
      <c r="Y144" s="290"/>
      <c r="Z144" s="290"/>
      <c r="AA144" s="290"/>
      <c r="AB144" s="290"/>
      <c r="AC144" s="290"/>
      <c r="AD144" s="290"/>
    </row>
    <row r="145" spans="1:30" ht="25.5">
      <c r="A145" s="291">
        <f t="shared" si="3"/>
        <v>144</v>
      </c>
      <c r="B145" s="291" t="s">
        <v>1471</v>
      </c>
      <c r="C145" s="291" t="str">
        <f>IF(D144="","",UNIT!$B$1&amp;"-"&amp;B145)</f>
        <v>ICT-MIS-00144</v>
      </c>
      <c r="D145" s="83" t="s">
        <v>247</v>
      </c>
      <c r="E145" s="59" t="s">
        <v>155</v>
      </c>
      <c r="F145" s="293" t="s">
        <v>29</v>
      </c>
      <c r="G145" s="293" t="s">
        <v>29</v>
      </c>
      <c r="H145" s="86">
        <v>150</v>
      </c>
      <c r="I145" s="294">
        <f t="shared" si="19"/>
        <v>225</v>
      </c>
      <c r="J145" s="59" t="s">
        <v>1008</v>
      </c>
      <c r="K145" s="83" t="s">
        <v>30</v>
      </c>
      <c r="L145" s="83" t="str">
        <f t="shared" si="1"/>
        <v>RJ45 Connector Crimp Connection Terminals 100pcs/pack
Rj45 Connector Crimp Connection Terminals Connector Waterproof Connectors</v>
      </c>
      <c r="M145" s="83"/>
      <c r="N145" s="59" t="s">
        <v>957</v>
      </c>
      <c r="O145" s="59">
        <v>4</v>
      </c>
      <c r="P145" s="86">
        <f t="shared" si="2"/>
        <v>900</v>
      </c>
      <c r="Q145" s="59" t="s">
        <v>4741</v>
      </c>
      <c r="R145" s="59" t="str">
        <f t="shared" si="20"/>
        <v>SAFE</v>
      </c>
      <c r="S145" s="59">
        <f t="shared" si="21"/>
        <v>4</v>
      </c>
      <c r="T145" s="59"/>
      <c r="U145" s="290"/>
      <c r="V145" s="290"/>
      <c r="W145" s="290"/>
      <c r="X145" s="290"/>
      <c r="Y145" s="290"/>
      <c r="Z145" s="290"/>
      <c r="AA145" s="290"/>
      <c r="AB145" s="290"/>
      <c r="AC145" s="290"/>
      <c r="AD145" s="290"/>
    </row>
    <row r="146" spans="1:30" ht="25.5">
      <c r="A146" s="291">
        <f t="shared" si="3"/>
        <v>145</v>
      </c>
      <c r="B146" s="291" t="s">
        <v>1472</v>
      </c>
      <c r="C146" s="291" t="str">
        <f>IF(D145="","",UNIT!$B$1&amp;"-"&amp;B146)</f>
        <v>ICT-MIS-00145</v>
      </c>
      <c r="D146" s="83" t="s">
        <v>36</v>
      </c>
      <c r="E146" s="59" t="s">
        <v>103</v>
      </c>
      <c r="F146" s="295" t="s">
        <v>37</v>
      </c>
      <c r="G146" s="295" t="s">
        <v>37</v>
      </c>
      <c r="H146" s="86">
        <v>2600</v>
      </c>
      <c r="I146" s="294">
        <f t="shared" si="19"/>
        <v>3900</v>
      </c>
      <c r="J146" s="59" t="s">
        <v>954</v>
      </c>
      <c r="K146" s="83" t="s">
        <v>36</v>
      </c>
      <c r="L146" s="83" t="str">
        <f t="shared" si="1"/>
        <v>19 inches Universal PDU 6 outlets with surge protection SPD module
19 inches Universal PDU 6 outlets with surge protection SPD module</v>
      </c>
      <c r="M146" s="83" t="s">
        <v>1473</v>
      </c>
      <c r="N146" s="59" t="s">
        <v>957</v>
      </c>
      <c r="O146" s="59">
        <v>20</v>
      </c>
      <c r="P146" s="86">
        <f t="shared" si="2"/>
        <v>78000</v>
      </c>
      <c r="Q146" s="59" t="s">
        <v>4741</v>
      </c>
      <c r="R146" s="59" t="str">
        <f t="shared" si="20"/>
        <v>SAFE</v>
      </c>
      <c r="S146" s="59">
        <f t="shared" si="21"/>
        <v>20</v>
      </c>
      <c r="T146" s="59"/>
      <c r="U146" s="290"/>
      <c r="V146" s="290"/>
      <c r="W146" s="290"/>
      <c r="X146" s="290"/>
      <c r="Y146" s="290"/>
      <c r="Z146" s="290"/>
      <c r="AA146" s="290"/>
      <c r="AB146" s="290"/>
      <c r="AC146" s="290"/>
      <c r="AD146" s="290"/>
    </row>
    <row r="147" spans="1:30" ht="25.5">
      <c r="A147" s="291">
        <f t="shared" si="3"/>
        <v>146</v>
      </c>
      <c r="B147" s="291" t="s">
        <v>1474</v>
      </c>
      <c r="C147" s="291" t="str">
        <f>IF(D146="","",UNIT!$B$1&amp;"-"&amp;B147)</f>
        <v>ICT-MIS-00146</v>
      </c>
      <c r="D147" s="83" t="s">
        <v>38</v>
      </c>
      <c r="E147" s="59" t="s">
        <v>103</v>
      </c>
      <c r="F147" s="296" t="s">
        <v>39</v>
      </c>
      <c r="G147" s="296" t="s">
        <v>39</v>
      </c>
      <c r="H147" s="86">
        <v>3400</v>
      </c>
      <c r="I147" s="294">
        <f t="shared" si="19"/>
        <v>5100</v>
      </c>
      <c r="J147" s="59" t="s">
        <v>954</v>
      </c>
      <c r="K147" s="83" t="s">
        <v>1475</v>
      </c>
      <c r="L147" s="83" t="str">
        <f t="shared" si="1"/>
        <v>Patch Panel, 24 Port Patch Panel Pass-Through
RJ45 STP Thru Coupler Patch Panel with Backplane, Rack Mount 1U 19", CAT6 STP RJ45 Inline Coupler Keystone Jack</v>
      </c>
      <c r="M147" s="83"/>
      <c r="N147" s="59"/>
      <c r="O147" s="59"/>
      <c r="P147" s="86">
        <f t="shared" si="2"/>
        <v>0</v>
      </c>
      <c r="Q147" s="59"/>
      <c r="R147" s="59"/>
      <c r="S147" s="59"/>
      <c r="T147" s="59"/>
      <c r="U147" s="290"/>
      <c r="V147" s="290"/>
      <c r="W147" s="290"/>
      <c r="X147" s="290"/>
      <c r="Y147" s="290"/>
      <c r="Z147" s="290"/>
      <c r="AA147" s="290"/>
      <c r="AB147" s="290"/>
      <c r="AC147" s="290"/>
      <c r="AD147" s="290"/>
    </row>
    <row r="148" spans="1:30" ht="25.5">
      <c r="A148" s="291">
        <f t="shared" si="3"/>
        <v>147</v>
      </c>
      <c r="B148" s="291" t="s">
        <v>1476</v>
      </c>
      <c r="C148" s="291" t="str">
        <f>IF(D147="","",UNIT!$B$1&amp;"-"&amp;B148)</f>
        <v>ICT-MIS-00147</v>
      </c>
      <c r="D148" s="83" t="s">
        <v>41</v>
      </c>
      <c r="E148" s="59" t="s">
        <v>103</v>
      </c>
      <c r="F148" s="293" t="s">
        <v>1477</v>
      </c>
      <c r="G148" s="293" t="s">
        <v>1477</v>
      </c>
      <c r="H148" s="86">
        <v>120</v>
      </c>
      <c r="I148" s="294">
        <f t="shared" si="19"/>
        <v>180</v>
      </c>
      <c r="J148" s="59" t="s">
        <v>1008</v>
      </c>
      <c r="K148" s="83" t="s">
        <v>1478</v>
      </c>
      <c r="L148" s="83" t="str">
        <f t="shared" si="1"/>
        <v>Krone Punch Down Tool
Multifunction Krone KD-1 Type IDC/Network Wire CAT5E/6 And Telephone Impact Terminal Insertion Tools</v>
      </c>
      <c r="M148" s="83"/>
      <c r="N148" s="59"/>
      <c r="O148" s="59"/>
      <c r="P148" s="86">
        <f t="shared" si="2"/>
        <v>0</v>
      </c>
      <c r="Q148" s="59" t="s">
        <v>4741</v>
      </c>
      <c r="R148" s="59" t="str">
        <f t="shared" ref="R148:R163" si="22">IF(O148&lt;=Q148,"SAFE","TAGPAS")</f>
        <v>SAFE</v>
      </c>
      <c r="S148" s="59">
        <f t="shared" ref="S148:S163" si="23">IF(O148&lt;=Q148,O148,Q148)</f>
        <v>0</v>
      </c>
      <c r="T148" s="59"/>
      <c r="U148" s="290"/>
      <c r="V148" s="290"/>
      <c r="W148" s="290"/>
      <c r="X148" s="290"/>
      <c r="Y148" s="290"/>
      <c r="Z148" s="290"/>
      <c r="AA148" s="290"/>
      <c r="AB148" s="290"/>
      <c r="AC148" s="290"/>
      <c r="AD148" s="290"/>
    </row>
    <row r="149" spans="1:30" ht="25.5">
      <c r="A149" s="291">
        <f t="shared" si="3"/>
        <v>148</v>
      </c>
      <c r="B149" s="291" t="s">
        <v>1479</v>
      </c>
      <c r="C149" s="291" t="str">
        <f>IF(D148="","",UNIT!$B$1&amp;"-"&amp;B149)</f>
        <v>ICT-MIS-00148</v>
      </c>
      <c r="D149" s="83" t="s">
        <v>238</v>
      </c>
      <c r="E149" s="59" t="s">
        <v>155</v>
      </c>
      <c r="F149" s="293" t="s">
        <v>56</v>
      </c>
      <c r="G149" s="293" t="s">
        <v>56</v>
      </c>
      <c r="H149" s="86">
        <v>1160</v>
      </c>
      <c r="I149" s="294">
        <f t="shared" si="19"/>
        <v>1740</v>
      </c>
      <c r="J149" s="59" t="s">
        <v>1008</v>
      </c>
      <c r="K149" s="83" t="s">
        <v>1480</v>
      </c>
      <c r="L149" s="83" t="str">
        <f t="shared" si="1"/>
        <v>M6 Cabinet Screws 100pcs/pack
M6 x 16mm Rack Mount Cage Nuts, Screws And Washers For Rack Mount Server Cabinet</v>
      </c>
      <c r="M149" s="83"/>
      <c r="N149" s="59" t="s">
        <v>957</v>
      </c>
      <c r="O149" s="59">
        <v>3</v>
      </c>
      <c r="P149" s="86">
        <f t="shared" si="2"/>
        <v>5220</v>
      </c>
      <c r="Q149" s="59" t="s">
        <v>4741</v>
      </c>
      <c r="R149" s="59" t="str">
        <f t="shared" si="22"/>
        <v>SAFE</v>
      </c>
      <c r="S149" s="59">
        <f t="shared" si="23"/>
        <v>3</v>
      </c>
      <c r="T149" s="59"/>
      <c r="U149" s="290"/>
      <c r="V149" s="290"/>
      <c r="W149" s="290"/>
      <c r="X149" s="290"/>
      <c r="Y149" s="290"/>
      <c r="Z149" s="290"/>
      <c r="AA149" s="290"/>
      <c r="AB149" s="290"/>
      <c r="AC149" s="290"/>
      <c r="AD149" s="290"/>
    </row>
    <row r="150" spans="1:30" ht="25.5">
      <c r="A150" s="291">
        <f t="shared" si="3"/>
        <v>149</v>
      </c>
      <c r="B150" s="291" t="s">
        <v>1481</v>
      </c>
      <c r="C150" s="291" t="str">
        <f>IF(D149="","",UNIT!$B$1&amp;"-"&amp;B150)</f>
        <v>ICT-MIS-00149</v>
      </c>
      <c r="D150" s="83" t="s">
        <v>241</v>
      </c>
      <c r="E150" s="59" t="s">
        <v>155</v>
      </c>
      <c r="F150" s="293" t="s">
        <v>1482</v>
      </c>
      <c r="G150" s="293" t="s">
        <v>1482</v>
      </c>
      <c r="H150" s="86">
        <v>220</v>
      </c>
      <c r="I150" s="294">
        <f t="shared" si="19"/>
        <v>330</v>
      </c>
      <c r="J150" s="59" t="s">
        <v>1008</v>
      </c>
      <c r="K150" s="83" t="s">
        <v>1483</v>
      </c>
      <c r="L150" s="83" t="str">
        <f t="shared" si="1"/>
        <v>Nylon Zip Ties Cable Label Mark Tags 100pcs/pack
Self-Locking White</v>
      </c>
      <c r="M150" s="83"/>
      <c r="N150" s="59" t="s">
        <v>957</v>
      </c>
      <c r="O150" s="59">
        <v>5</v>
      </c>
      <c r="P150" s="86">
        <f t="shared" si="2"/>
        <v>1650</v>
      </c>
      <c r="Q150" s="59" t="s">
        <v>4741</v>
      </c>
      <c r="R150" s="59" t="str">
        <f t="shared" si="22"/>
        <v>SAFE</v>
      </c>
      <c r="S150" s="59">
        <f t="shared" si="23"/>
        <v>5</v>
      </c>
      <c r="T150" s="59"/>
      <c r="U150" s="290"/>
      <c r="V150" s="290"/>
      <c r="W150" s="290"/>
      <c r="X150" s="290"/>
      <c r="Y150" s="290"/>
      <c r="Z150" s="290"/>
      <c r="AA150" s="290"/>
      <c r="AB150" s="290"/>
      <c r="AC150" s="290"/>
      <c r="AD150" s="290"/>
    </row>
    <row r="151" spans="1:30" ht="25.5">
      <c r="A151" s="291">
        <f t="shared" si="3"/>
        <v>150</v>
      </c>
      <c r="B151" s="291" t="s">
        <v>1484</v>
      </c>
      <c r="C151" s="291" t="str">
        <f>IF(D150="","",UNIT!$B$1&amp;"-"&amp;B151)</f>
        <v>ICT-MIS-00150</v>
      </c>
      <c r="D151" s="83" t="s">
        <v>246</v>
      </c>
      <c r="E151" s="59" t="s">
        <v>155</v>
      </c>
      <c r="F151" s="293" t="s">
        <v>1485</v>
      </c>
      <c r="G151" s="293" t="s">
        <v>1485</v>
      </c>
      <c r="H151" s="86">
        <v>550</v>
      </c>
      <c r="I151" s="294">
        <f t="shared" si="19"/>
        <v>825</v>
      </c>
      <c r="J151" s="59" t="s">
        <v>1008</v>
      </c>
      <c r="K151" s="83" t="s">
        <v>1486</v>
      </c>
      <c r="L151" s="83" t="str">
        <f t="shared" si="1"/>
        <v>RJ11 Telephone Converter 10pcs/pack
RJ11 Telephone Converter RJ-11 Classic 6 Pins Female 1 to 3 Telephone Phone Cable Line Splitter Adapter</v>
      </c>
      <c r="M151" s="83"/>
      <c r="N151" s="59" t="s">
        <v>957</v>
      </c>
      <c r="O151" s="59">
        <v>5</v>
      </c>
      <c r="P151" s="86">
        <f t="shared" si="2"/>
        <v>4125</v>
      </c>
      <c r="Q151" s="59" t="s">
        <v>4741</v>
      </c>
      <c r="R151" s="59" t="str">
        <f t="shared" si="22"/>
        <v>SAFE</v>
      </c>
      <c r="S151" s="59">
        <f t="shared" si="23"/>
        <v>5</v>
      </c>
      <c r="T151" s="59"/>
      <c r="U151" s="290"/>
      <c r="V151" s="290"/>
      <c r="W151" s="290"/>
      <c r="X151" s="290"/>
      <c r="Y151" s="290"/>
      <c r="Z151" s="290"/>
      <c r="AA151" s="290"/>
      <c r="AB151" s="290"/>
      <c r="AC151" s="290"/>
      <c r="AD151" s="290"/>
    </row>
    <row r="152" spans="1:30" ht="51">
      <c r="A152" s="291">
        <f t="shared" si="3"/>
        <v>151</v>
      </c>
      <c r="B152" s="291" t="s">
        <v>1487</v>
      </c>
      <c r="C152" s="291" t="str">
        <f>IF(D151="","",UNIT!$B$1&amp;"-"&amp;B152)</f>
        <v>ICT-MIS-00151</v>
      </c>
      <c r="D152" s="83" t="s">
        <v>105</v>
      </c>
      <c r="E152" s="59" t="s">
        <v>103</v>
      </c>
      <c r="F152" s="293" t="s">
        <v>1488</v>
      </c>
      <c r="G152" s="293" t="s">
        <v>1488</v>
      </c>
      <c r="H152" s="86">
        <v>153</v>
      </c>
      <c r="I152" s="294">
        <f t="shared" si="19"/>
        <v>229.5</v>
      </c>
      <c r="J152" s="59" t="s">
        <v>1008</v>
      </c>
      <c r="K152" s="83" t="s">
        <v>1126</v>
      </c>
      <c r="L152" s="83" t="str">
        <f t="shared" si="1"/>
        <v>15M Gigabit Cat6 Ethernet Patch Cable with RJ45 CAT6 High Quality
Gigabit Speed and Ready to Use Cable
Cable Category: Cat6/Cat6e
Machine Crimped</v>
      </c>
      <c r="M152" s="83"/>
      <c r="N152" s="59" t="s">
        <v>957</v>
      </c>
      <c r="O152" s="59">
        <v>20</v>
      </c>
      <c r="P152" s="86">
        <f t="shared" si="2"/>
        <v>4590</v>
      </c>
      <c r="Q152" s="59" t="s">
        <v>4741</v>
      </c>
      <c r="R152" s="59" t="str">
        <f t="shared" si="22"/>
        <v>SAFE</v>
      </c>
      <c r="S152" s="59">
        <f t="shared" si="23"/>
        <v>20</v>
      </c>
      <c r="T152" s="59"/>
      <c r="U152" s="290"/>
      <c r="V152" s="290"/>
      <c r="W152" s="290"/>
      <c r="X152" s="290"/>
      <c r="Y152" s="290"/>
      <c r="Z152" s="290"/>
      <c r="AA152" s="290"/>
      <c r="AB152" s="290"/>
      <c r="AC152" s="290"/>
      <c r="AD152" s="290"/>
    </row>
    <row r="153" spans="1:30" ht="51">
      <c r="A153" s="291">
        <f t="shared" si="3"/>
        <v>152</v>
      </c>
      <c r="B153" s="291" t="s">
        <v>1489</v>
      </c>
      <c r="C153" s="291" t="str">
        <f>IF(D152="","",UNIT!$B$1&amp;"-"&amp;B153)</f>
        <v>ICT-MIS-00152</v>
      </c>
      <c r="D153" s="83" t="s">
        <v>119</v>
      </c>
      <c r="E153" s="59" t="s">
        <v>103</v>
      </c>
      <c r="F153" s="293" t="s">
        <v>1488</v>
      </c>
      <c r="G153" s="293" t="s">
        <v>1488</v>
      </c>
      <c r="H153" s="86">
        <v>200</v>
      </c>
      <c r="I153" s="294">
        <f t="shared" si="19"/>
        <v>300</v>
      </c>
      <c r="J153" s="59" t="s">
        <v>1008</v>
      </c>
      <c r="K153" s="83" t="s">
        <v>1126</v>
      </c>
      <c r="L153" s="83" t="str">
        <f t="shared" si="1"/>
        <v>20M Gigabit Cat6 Ethernet Patch Cable with RJ45 CAT6 High Quality
Gigabit Speed and Ready to Use Cable
Cable Category: Cat6/Cat6e
Machine Crimped</v>
      </c>
      <c r="M153" s="83"/>
      <c r="N153" s="59" t="s">
        <v>957</v>
      </c>
      <c r="O153" s="59">
        <v>20</v>
      </c>
      <c r="P153" s="86">
        <f t="shared" si="2"/>
        <v>6000</v>
      </c>
      <c r="Q153" s="59" t="s">
        <v>4741</v>
      </c>
      <c r="R153" s="59" t="str">
        <f t="shared" si="22"/>
        <v>SAFE</v>
      </c>
      <c r="S153" s="59">
        <f t="shared" si="23"/>
        <v>20</v>
      </c>
      <c r="T153" s="59"/>
      <c r="U153" s="290"/>
      <c r="V153" s="290"/>
      <c r="W153" s="290"/>
      <c r="X153" s="290"/>
      <c r="Y153" s="290"/>
      <c r="Z153" s="290"/>
      <c r="AA153" s="290"/>
      <c r="AB153" s="290"/>
      <c r="AC153" s="290"/>
      <c r="AD153" s="290"/>
    </row>
    <row r="154" spans="1:30" ht="51">
      <c r="A154" s="291">
        <f t="shared" si="3"/>
        <v>153</v>
      </c>
      <c r="B154" s="291" t="s">
        <v>1490</v>
      </c>
      <c r="C154" s="291" t="str">
        <f>IF(D153="","",UNIT!$B$1&amp;"-"&amp;B154)</f>
        <v>ICT-MIS-00153</v>
      </c>
      <c r="D154" s="83" t="s">
        <v>135</v>
      </c>
      <c r="E154" s="59" t="s">
        <v>103</v>
      </c>
      <c r="F154" s="293" t="s">
        <v>1488</v>
      </c>
      <c r="G154" s="293" t="s">
        <v>1488</v>
      </c>
      <c r="H154" s="86">
        <v>250</v>
      </c>
      <c r="I154" s="294">
        <f t="shared" si="19"/>
        <v>375</v>
      </c>
      <c r="J154" s="59" t="s">
        <v>1008</v>
      </c>
      <c r="K154" s="83" t="s">
        <v>1126</v>
      </c>
      <c r="L154" s="83" t="str">
        <f t="shared" si="1"/>
        <v>30M Gigabit Cat6 Ethernet Patch Cable with RJ45 CAT6 High Quality
Gigabit Speed and Ready to Use Cable
Cable Category: Cat6/Cat6e
Machine Crimped</v>
      </c>
      <c r="M154" s="83"/>
      <c r="N154" s="59" t="s">
        <v>957</v>
      </c>
      <c r="O154" s="59">
        <v>20</v>
      </c>
      <c r="P154" s="86">
        <f t="shared" si="2"/>
        <v>7500</v>
      </c>
      <c r="Q154" s="59" t="s">
        <v>4741</v>
      </c>
      <c r="R154" s="59" t="str">
        <f t="shared" si="22"/>
        <v>SAFE</v>
      </c>
      <c r="S154" s="59">
        <f t="shared" si="23"/>
        <v>20</v>
      </c>
      <c r="T154" s="59"/>
      <c r="U154" s="290"/>
      <c r="V154" s="290"/>
      <c r="W154" s="290"/>
      <c r="X154" s="290"/>
      <c r="Y154" s="290"/>
      <c r="Z154" s="290"/>
      <c r="AA154" s="290"/>
      <c r="AB154" s="290"/>
      <c r="AC154" s="290"/>
      <c r="AD154" s="290"/>
    </row>
    <row r="155" spans="1:30" ht="25.5">
      <c r="A155" s="291">
        <f t="shared" si="3"/>
        <v>154</v>
      </c>
      <c r="B155" s="291" t="s">
        <v>1491</v>
      </c>
      <c r="C155" s="291" t="str">
        <f>IF(D154="","",UNIT!$B$1&amp;"-"&amp;B155)</f>
        <v>ICT-MIS-00154</v>
      </c>
      <c r="D155" s="83" t="s">
        <v>254</v>
      </c>
      <c r="E155" s="59" t="s">
        <v>103</v>
      </c>
      <c r="F155" s="293" t="s">
        <v>1492</v>
      </c>
      <c r="G155" s="293" t="s">
        <v>1492</v>
      </c>
      <c r="H155" s="86">
        <v>600</v>
      </c>
      <c r="I155" s="294">
        <f t="shared" si="19"/>
        <v>900</v>
      </c>
      <c r="J155" s="59" t="s">
        <v>1008</v>
      </c>
      <c r="K155" s="83" t="s">
        <v>1493</v>
      </c>
      <c r="L155" s="83" t="str">
        <f t="shared" si="1"/>
        <v>Super Strength Molding Tape Double Sided Tape 7/8" x 15ft
Self sticking adhesive on both sides</v>
      </c>
      <c r="M155" s="83"/>
      <c r="N155" s="59" t="s">
        <v>957</v>
      </c>
      <c r="O155" s="59">
        <v>20</v>
      </c>
      <c r="P155" s="86">
        <f t="shared" si="2"/>
        <v>18000</v>
      </c>
      <c r="Q155" s="59" t="s">
        <v>4741</v>
      </c>
      <c r="R155" s="59" t="str">
        <f t="shared" si="22"/>
        <v>SAFE</v>
      </c>
      <c r="S155" s="59">
        <f t="shared" si="23"/>
        <v>20</v>
      </c>
      <c r="T155" s="59"/>
      <c r="U155" s="290"/>
      <c r="V155" s="290"/>
      <c r="W155" s="290"/>
      <c r="X155" s="290"/>
      <c r="Y155" s="290"/>
      <c r="Z155" s="290"/>
      <c r="AA155" s="290"/>
      <c r="AB155" s="290"/>
      <c r="AC155" s="290"/>
      <c r="AD155" s="290"/>
    </row>
    <row r="156" spans="1:30" ht="25.5">
      <c r="A156" s="291">
        <f t="shared" si="3"/>
        <v>155</v>
      </c>
      <c r="B156" s="291" t="s">
        <v>1494</v>
      </c>
      <c r="C156" s="291" t="str">
        <f>IF(D155="","",UNIT!$B$1&amp;"-"&amp;B156)</f>
        <v>ICT-MIS-00155</v>
      </c>
      <c r="D156" s="83" t="s">
        <v>69</v>
      </c>
      <c r="E156" s="59" t="s">
        <v>103</v>
      </c>
      <c r="F156" s="82" t="s">
        <v>70</v>
      </c>
      <c r="G156" s="82" t="s">
        <v>70</v>
      </c>
      <c r="H156" s="86">
        <v>380</v>
      </c>
      <c r="I156" s="294">
        <f t="shared" si="19"/>
        <v>570</v>
      </c>
      <c r="J156" s="59" t="s">
        <v>1008</v>
      </c>
      <c r="K156" s="83" t="s">
        <v>1495</v>
      </c>
      <c r="L156" s="83" t="str">
        <f t="shared" si="1"/>
        <v>Epson L Series Pickup Roller / feeder
Epson L Series Pickup Roller / feeder L110, L360, L300, L310 L120, L210, L220</v>
      </c>
      <c r="M156" s="83"/>
      <c r="N156" s="59" t="s">
        <v>957</v>
      </c>
      <c r="O156" s="59">
        <v>20</v>
      </c>
      <c r="P156" s="86">
        <f t="shared" si="2"/>
        <v>11400</v>
      </c>
      <c r="Q156" s="59" t="s">
        <v>4741</v>
      </c>
      <c r="R156" s="59" t="str">
        <f t="shared" si="22"/>
        <v>SAFE</v>
      </c>
      <c r="S156" s="59">
        <f t="shared" si="23"/>
        <v>20</v>
      </c>
      <c r="T156" s="59"/>
      <c r="U156" s="290"/>
      <c r="V156" s="290"/>
      <c r="W156" s="290"/>
      <c r="X156" s="290"/>
      <c r="Y156" s="290"/>
      <c r="Z156" s="290"/>
      <c r="AA156" s="290"/>
      <c r="AB156" s="290"/>
      <c r="AC156" s="290"/>
      <c r="AD156" s="290"/>
    </row>
    <row r="157" spans="1:30" ht="25.5">
      <c r="A157" s="291">
        <f t="shared" si="3"/>
        <v>156</v>
      </c>
      <c r="B157" s="291" t="s">
        <v>1496</v>
      </c>
      <c r="C157" s="291" t="str">
        <f>IF(D156="","",UNIT!$B$1&amp;"-"&amp;B157)</f>
        <v>ICT-MIS-00156</v>
      </c>
      <c r="D157" s="83" t="s">
        <v>262</v>
      </c>
      <c r="E157" s="59" t="s">
        <v>263</v>
      </c>
      <c r="F157" s="293" t="s">
        <v>1497</v>
      </c>
      <c r="G157" s="293" t="s">
        <v>1497</v>
      </c>
      <c r="H157" s="86">
        <v>150</v>
      </c>
      <c r="I157" s="294">
        <f t="shared" si="19"/>
        <v>225</v>
      </c>
      <c r="J157" s="59" t="s">
        <v>1008</v>
      </c>
      <c r="K157" s="83" t="s">
        <v>1498</v>
      </c>
      <c r="L157" s="83" t="str">
        <f t="shared" si="1"/>
        <v>Velcro Straps Cable Organizer 3m/roll
Network cable organizer Nylon</v>
      </c>
      <c r="M157" s="83"/>
      <c r="N157" s="59" t="s">
        <v>957</v>
      </c>
      <c r="O157" s="59">
        <v>30</v>
      </c>
      <c r="P157" s="86">
        <f t="shared" si="2"/>
        <v>6750</v>
      </c>
      <c r="Q157" s="59" t="s">
        <v>4741</v>
      </c>
      <c r="R157" s="59" t="str">
        <f t="shared" si="22"/>
        <v>SAFE</v>
      </c>
      <c r="S157" s="59">
        <f t="shared" si="23"/>
        <v>30</v>
      </c>
      <c r="T157" s="59"/>
      <c r="U157" s="290"/>
      <c r="V157" s="290"/>
      <c r="W157" s="290"/>
      <c r="X157" s="290"/>
      <c r="Y157" s="290"/>
      <c r="Z157" s="290"/>
      <c r="AA157" s="290"/>
      <c r="AB157" s="290"/>
      <c r="AC157" s="290"/>
      <c r="AD157" s="290"/>
    </row>
    <row r="158" spans="1:30" ht="25.5">
      <c r="A158" s="291">
        <f t="shared" si="3"/>
        <v>157</v>
      </c>
      <c r="B158" s="291" t="s">
        <v>1499</v>
      </c>
      <c r="C158" s="291" t="str">
        <f>IF(D157="","",UNIT!$B$1&amp;"-"&amp;B158)</f>
        <v>ICT-MIS-00157</v>
      </c>
      <c r="D158" s="83" t="s">
        <v>191</v>
      </c>
      <c r="E158" s="59" t="s">
        <v>103</v>
      </c>
      <c r="F158" s="293" t="s">
        <v>1500</v>
      </c>
      <c r="G158" s="293" t="s">
        <v>1500</v>
      </c>
      <c r="H158" s="86">
        <v>70</v>
      </c>
      <c r="I158" s="294">
        <f t="shared" si="19"/>
        <v>105</v>
      </c>
      <c r="J158" s="59" t="s">
        <v>1008</v>
      </c>
      <c r="K158" s="83" t="s">
        <v>1501</v>
      </c>
      <c r="L158" s="83" t="str">
        <f t="shared" si="1"/>
        <v>CCTV Outdoor Junction Box 100x100x70mm
CCTV Outdoor Junction Box IP65 Weather Water Proof Enclosure with Rubber Gasket &amp; Screws</v>
      </c>
      <c r="M158" s="83"/>
      <c r="N158" s="59" t="s">
        <v>957</v>
      </c>
      <c r="O158" s="59">
        <v>50</v>
      </c>
      <c r="P158" s="86">
        <f t="shared" si="2"/>
        <v>5250</v>
      </c>
      <c r="Q158" s="59" t="s">
        <v>4741</v>
      </c>
      <c r="R158" s="59" t="str">
        <f t="shared" si="22"/>
        <v>SAFE</v>
      </c>
      <c r="S158" s="59">
        <f t="shared" si="23"/>
        <v>50</v>
      </c>
      <c r="T158" s="59"/>
      <c r="U158" s="290"/>
      <c r="V158" s="290"/>
      <c r="W158" s="290"/>
      <c r="X158" s="290"/>
      <c r="Y158" s="290"/>
      <c r="Z158" s="290"/>
      <c r="AA158" s="290"/>
      <c r="AB158" s="290"/>
      <c r="AC158" s="290"/>
      <c r="AD158" s="290"/>
    </row>
    <row r="159" spans="1:30" ht="63.75">
      <c r="A159" s="291">
        <f t="shared" si="3"/>
        <v>158</v>
      </c>
      <c r="B159" s="291" t="s">
        <v>1502</v>
      </c>
      <c r="C159" s="291" t="str">
        <f>IF(D158="","",UNIT!$B$1&amp;"-"&amp;B159)</f>
        <v>ICT-MIS-00158</v>
      </c>
      <c r="D159" s="83" t="s">
        <v>149</v>
      </c>
      <c r="E159" s="59" t="s">
        <v>103</v>
      </c>
      <c r="F159" s="293" t="s">
        <v>1503</v>
      </c>
      <c r="G159" s="293" t="s">
        <v>1503</v>
      </c>
      <c r="H159" s="86">
        <v>2400</v>
      </c>
      <c r="I159" s="294">
        <f t="shared" si="19"/>
        <v>3600</v>
      </c>
      <c r="J159" s="59" t="s">
        <v>954</v>
      </c>
      <c r="K159" s="83" t="s">
        <v>1504</v>
      </c>
      <c r="L159" s="83" t="str">
        <f t="shared" si="1"/>
        <v>Aluminum Step Ladder, FT-7 (7 Steps)
Foldable and lightweight
Load Capacity: 300 lbs
Tall Extended Handrail and Extra Large Platform Area
High Strength Aluminum</v>
      </c>
      <c r="M159" s="83"/>
      <c r="N159" s="59" t="s">
        <v>957</v>
      </c>
      <c r="O159" s="59">
        <v>2</v>
      </c>
      <c r="P159" s="86">
        <f t="shared" si="2"/>
        <v>7200</v>
      </c>
      <c r="Q159" s="59" t="s">
        <v>4741</v>
      </c>
      <c r="R159" s="59" t="str">
        <f t="shared" si="22"/>
        <v>SAFE</v>
      </c>
      <c r="S159" s="59">
        <f t="shared" si="23"/>
        <v>2</v>
      </c>
      <c r="T159" s="59"/>
      <c r="U159" s="290"/>
      <c r="V159" s="290"/>
      <c r="W159" s="290"/>
      <c r="X159" s="290"/>
      <c r="Y159" s="290"/>
      <c r="Z159" s="290"/>
      <c r="AA159" s="290"/>
      <c r="AB159" s="290"/>
      <c r="AC159" s="290"/>
      <c r="AD159" s="290"/>
    </row>
    <row r="160" spans="1:30" ht="63.75">
      <c r="A160" s="291">
        <f t="shared" si="3"/>
        <v>159</v>
      </c>
      <c r="B160" s="291" t="s">
        <v>1505</v>
      </c>
      <c r="C160" s="291" t="str">
        <f>IF(D159="","",UNIT!$B$1&amp;"-"&amp;B160)</f>
        <v>ICT-MIS-00159</v>
      </c>
      <c r="D160" s="83" t="s">
        <v>148</v>
      </c>
      <c r="E160" s="59" t="s">
        <v>103</v>
      </c>
      <c r="F160" s="82" t="s">
        <v>1506</v>
      </c>
      <c r="G160" s="82" t="s">
        <v>1506</v>
      </c>
      <c r="H160" s="86">
        <v>1400</v>
      </c>
      <c r="I160" s="294">
        <f t="shared" si="19"/>
        <v>2100</v>
      </c>
      <c r="J160" s="59" t="s">
        <v>954</v>
      </c>
      <c r="K160" s="83" t="s">
        <v>1504</v>
      </c>
      <c r="L160" s="83" t="str">
        <f t="shared" si="1"/>
        <v>Aluminum Step Ladder, FT-4 (4 Steps)
Foldable and lightweight
Load Capacity: 300 lbs
Tall Extended Handrail and Extra Large Platform Area
High Strength Aluminum</v>
      </c>
      <c r="M160" s="83"/>
      <c r="N160" s="59" t="s">
        <v>957</v>
      </c>
      <c r="O160" s="59">
        <v>1</v>
      </c>
      <c r="P160" s="86">
        <f t="shared" si="2"/>
        <v>2100</v>
      </c>
      <c r="Q160" s="59" t="s">
        <v>4741</v>
      </c>
      <c r="R160" s="59" t="str">
        <f t="shared" si="22"/>
        <v>SAFE</v>
      </c>
      <c r="S160" s="59">
        <f t="shared" si="23"/>
        <v>1</v>
      </c>
      <c r="T160" s="59"/>
      <c r="U160" s="290"/>
      <c r="V160" s="290"/>
      <c r="W160" s="290"/>
      <c r="X160" s="290"/>
      <c r="Y160" s="290"/>
      <c r="Z160" s="290"/>
      <c r="AA160" s="290"/>
      <c r="AB160" s="290"/>
      <c r="AC160" s="290"/>
      <c r="AD160" s="290"/>
    </row>
    <row r="161" spans="1:30" ht="89.25">
      <c r="A161" s="291">
        <f t="shared" si="3"/>
        <v>160</v>
      </c>
      <c r="B161" s="291" t="s">
        <v>1507</v>
      </c>
      <c r="C161" s="291" t="str">
        <f>IF(D160="","",UNIT!$B$1&amp;"-"&amp;B161)</f>
        <v>ICT-MIS-00160</v>
      </c>
      <c r="D161" s="83" t="s">
        <v>222</v>
      </c>
      <c r="E161" s="59" t="s">
        <v>103</v>
      </c>
      <c r="F161" s="293" t="s">
        <v>1508</v>
      </c>
      <c r="G161" s="293" t="s">
        <v>1508</v>
      </c>
      <c r="H161" s="86">
        <v>8600</v>
      </c>
      <c r="I161" s="294">
        <f t="shared" si="19"/>
        <v>12900</v>
      </c>
      <c r="J161" s="59" t="s">
        <v>954</v>
      </c>
      <c r="K161" s="83" t="s">
        <v>1509</v>
      </c>
      <c r="L161" s="83" t="str">
        <f t="shared" si="1"/>
        <v>Fiberglass Extension Ladder, (8-13 ft)
Kruger Fiberglass Extension Ladder, (8-13 Rungs)
Load Capacity: 300 lbs
Reaches from 8 ft to an extendable length of 13 ft
Height: 8 ft to 13 ft
Self-leveling 2-way swivel safety shoes
Main Material: Fiberglass</v>
      </c>
      <c r="M161" s="83"/>
      <c r="N161" s="59" t="s">
        <v>957</v>
      </c>
      <c r="O161" s="59">
        <v>1</v>
      </c>
      <c r="P161" s="86">
        <f t="shared" si="2"/>
        <v>12900</v>
      </c>
      <c r="Q161" s="59" t="s">
        <v>4741</v>
      </c>
      <c r="R161" s="59" t="str">
        <f t="shared" si="22"/>
        <v>SAFE</v>
      </c>
      <c r="S161" s="59">
        <f t="shared" si="23"/>
        <v>1</v>
      </c>
      <c r="T161" s="59"/>
      <c r="U161" s="290"/>
      <c r="V161" s="290"/>
      <c r="W161" s="290"/>
      <c r="X161" s="290"/>
      <c r="Y161" s="290"/>
      <c r="Z161" s="290"/>
      <c r="AA161" s="290"/>
      <c r="AB161" s="290"/>
      <c r="AC161" s="290"/>
      <c r="AD161" s="290"/>
    </row>
    <row r="162" spans="1:30" ht="38.25">
      <c r="A162" s="291">
        <f t="shared" si="3"/>
        <v>161</v>
      </c>
      <c r="B162" s="291" t="s">
        <v>1510</v>
      </c>
      <c r="C162" s="291" t="str">
        <f>IF(D161="","",UNIT!$B$1&amp;"-"&amp;B162)</f>
        <v>ICT-MIS-00161</v>
      </c>
      <c r="D162" s="83" t="s">
        <v>223</v>
      </c>
      <c r="E162" s="59" t="s">
        <v>103</v>
      </c>
      <c r="F162" s="293" t="s">
        <v>1511</v>
      </c>
      <c r="G162" s="293" t="s">
        <v>1511</v>
      </c>
      <c r="H162" s="86">
        <v>2000</v>
      </c>
      <c r="I162" s="294">
        <f t="shared" si="19"/>
        <v>3000</v>
      </c>
      <c r="J162" s="59" t="s">
        <v>954</v>
      </c>
      <c r="K162" s="83" t="s">
        <v>1512</v>
      </c>
      <c r="L162" s="83" t="str">
        <f t="shared" si="1"/>
        <v>Foldable Platform Truck, 300kgs (Steel)
Loading Capacity: 300 kg
Wheel Size: 5”</v>
      </c>
      <c r="M162" s="83"/>
      <c r="N162" s="59" t="s">
        <v>957</v>
      </c>
      <c r="O162" s="59">
        <v>1</v>
      </c>
      <c r="P162" s="86">
        <f t="shared" si="2"/>
        <v>3000</v>
      </c>
      <c r="Q162" s="59" t="s">
        <v>4741</v>
      </c>
      <c r="R162" s="59" t="str">
        <f t="shared" si="22"/>
        <v>SAFE</v>
      </c>
      <c r="S162" s="59">
        <f t="shared" si="23"/>
        <v>1</v>
      </c>
      <c r="T162" s="59"/>
      <c r="U162" s="290"/>
      <c r="V162" s="290"/>
      <c r="W162" s="290"/>
      <c r="X162" s="290"/>
      <c r="Y162" s="290"/>
      <c r="Z162" s="290"/>
      <c r="AA162" s="290"/>
      <c r="AB162" s="290"/>
      <c r="AC162" s="290"/>
      <c r="AD162" s="290"/>
    </row>
    <row r="163" spans="1:30" ht="25.5">
      <c r="A163" s="291">
        <f t="shared" si="3"/>
        <v>162</v>
      </c>
      <c r="B163" s="291" t="s">
        <v>1513</v>
      </c>
      <c r="C163" s="291" t="str">
        <f>IF(D162="","",UNIT!$B$1&amp;"-"&amp;B163)</f>
        <v>ICT-MIS-00162</v>
      </c>
      <c r="D163" s="83" t="s">
        <v>253</v>
      </c>
      <c r="E163" s="59" t="s">
        <v>103</v>
      </c>
      <c r="F163" s="293" t="s">
        <v>1492</v>
      </c>
      <c r="G163" s="293" t="s">
        <v>1492</v>
      </c>
      <c r="H163" s="86">
        <v>500</v>
      </c>
      <c r="I163" s="294">
        <f t="shared" si="19"/>
        <v>750</v>
      </c>
      <c r="J163" s="59" t="s">
        <v>1008</v>
      </c>
      <c r="K163" s="83" t="s">
        <v>1493</v>
      </c>
      <c r="L163" s="83" t="str">
        <f t="shared" si="1"/>
        <v>Super Strength Molding Tape Double Sided Tape 1/2" x 15ft
Self sticking adhesive on both sides</v>
      </c>
      <c r="M163" s="83"/>
      <c r="N163" s="59" t="s">
        <v>957</v>
      </c>
      <c r="O163" s="59">
        <v>20</v>
      </c>
      <c r="P163" s="86">
        <f t="shared" si="2"/>
        <v>15000</v>
      </c>
      <c r="Q163" s="59" t="s">
        <v>4741</v>
      </c>
      <c r="R163" s="59" t="str">
        <f t="shared" si="22"/>
        <v>SAFE</v>
      </c>
      <c r="S163" s="59">
        <f t="shared" si="23"/>
        <v>20</v>
      </c>
      <c r="T163" s="59"/>
      <c r="U163" s="290"/>
      <c r="V163" s="290"/>
      <c r="W163" s="290"/>
      <c r="X163" s="290"/>
      <c r="Y163" s="290"/>
      <c r="Z163" s="290"/>
      <c r="AA163" s="290"/>
      <c r="AB163" s="290"/>
      <c r="AC163" s="290"/>
      <c r="AD163" s="290"/>
    </row>
    <row r="164" spans="1:30" ht="293.25">
      <c r="A164" s="291">
        <f t="shared" si="3"/>
        <v>163</v>
      </c>
      <c r="B164" s="291" t="s">
        <v>1514</v>
      </c>
      <c r="C164" s="291" t="str">
        <f>IF(D163="","",UNIT!$B$1&amp;"-"&amp;B164)</f>
        <v>ICT-MIS-00163</v>
      </c>
      <c r="D164" s="83" t="s">
        <v>158</v>
      </c>
      <c r="E164" s="59" t="s">
        <v>118</v>
      </c>
      <c r="F164" s="295" t="s">
        <v>1515</v>
      </c>
      <c r="G164" s="295" t="s">
        <v>1515</v>
      </c>
      <c r="H164" s="86">
        <v>52000</v>
      </c>
      <c r="I164" s="294">
        <f t="shared" si="19"/>
        <v>78000</v>
      </c>
      <c r="J164" s="59" t="s">
        <v>954</v>
      </c>
      <c r="K164" s="83" t="s">
        <v>1516</v>
      </c>
      <c r="L164" s="83" t="str">
        <f t="shared" si="1"/>
        <v>Black &amp; White Monochrome MULTI-FUNCTIONAL MACHINE
DIGITAL COPIER, NETWORK PRINTER, NETWORK COLORED SCANNER, &amp;
NETWORK FAX in one
Copy/print/scan speed: 40 pages per minute (A4)
Memory: 512 MB
CPU: PowerPC 440 / 800 MHz speed
With Dual-scan Document Feeder and Duplex Unit
Functions: Black&amp;White copying, network printing, network colored scanning, and network fax
Scan/Print via USB flash drive memory
Print resolution: 1200 x 1200 d.p.i.
Maintenance Kit life: 100,000 copies/prints
Maximum copy/print/fax/scan size: 8.5” x 14” Legal size on the top glass &amp; Dual-scan Document Feeder
Power Consumption: Copy/Print mode: 661 W, Ready mode: 21 W, Sleep-mode: 1 W
With supplier’s dealer/distributor certificate from the manufacturer for after-sales service
One (1) paper cassette (250 sheets) and multi-purpose bypass tray (50 sheets)
Continuous copying: up to 999, 
with dealer/distributor certificate for after-sales service
1 year spare parts warranty and 2 years service warranty</v>
      </c>
      <c r="M164" s="83" t="s">
        <v>1517</v>
      </c>
      <c r="N164" s="59"/>
      <c r="O164" s="59"/>
      <c r="P164" s="86">
        <f t="shared" si="2"/>
        <v>0</v>
      </c>
      <c r="Q164" s="59" t="s">
        <v>4741</v>
      </c>
      <c r="R164" s="59"/>
      <c r="S164" s="59"/>
      <c r="T164" s="59"/>
      <c r="U164" s="290"/>
      <c r="V164" s="290"/>
      <c r="W164" s="290"/>
      <c r="X164" s="290"/>
      <c r="Y164" s="290"/>
      <c r="Z164" s="290"/>
      <c r="AA164" s="290"/>
      <c r="AB164" s="290"/>
      <c r="AC164" s="290"/>
      <c r="AD164" s="290"/>
    </row>
    <row r="165" spans="1:30" ht="165.75">
      <c r="A165" s="291">
        <f t="shared" si="3"/>
        <v>164</v>
      </c>
      <c r="B165" s="291" t="s">
        <v>1518</v>
      </c>
      <c r="C165" s="291" t="str">
        <f>IF(D164="","",UNIT!$B$1&amp;"-"&amp;B165)</f>
        <v>ICT-MIS-00164</v>
      </c>
      <c r="D165" s="83" t="s">
        <v>157</v>
      </c>
      <c r="E165" s="59" t="s">
        <v>118</v>
      </c>
      <c r="F165" s="293" t="s">
        <v>1519</v>
      </c>
      <c r="G165" s="293" t="s">
        <v>1519</v>
      </c>
      <c r="H165" s="86">
        <v>18000</v>
      </c>
      <c r="I165" s="294">
        <f t="shared" si="19"/>
        <v>27000</v>
      </c>
      <c r="J165" s="59" t="s">
        <v>954</v>
      </c>
      <c r="K165" s="83" t="s">
        <v>1520</v>
      </c>
      <c r="L165" s="83" t="str">
        <f t="shared" si="1"/>
        <v>Black &amp; White LASER NETWORK PRINTER with DUPLEX PRINTING
Print speed: 40 pages per minute (A4)
Memory: 256 MB
Processor: Cortex A9, 800 MHz
Maintenance Kit Life: 100,000 pages
With Network Printing and Duplex Printing(automatic double-sided printing)
Maximum print size: Legal size 8.5.” x 14”
One paper cassette (250 sheets) and multi-purpose tray (100 sheets)
Print resolution: up to 1,200 d.p.i.
Standard interface: USB 2.0 (Hi-Speed), USB Host Interface, Gigabit Ethernet
with dealer/distributor certificate for after-sales service
2 years spare parts warranty and 2 years service warranty</v>
      </c>
      <c r="M165" s="83" t="s">
        <v>1521</v>
      </c>
      <c r="N165" s="59" t="s">
        <v>957</v>
      </c>
      <c r="O165" s="59">
        <v>1</v>
      </c>
      <c r="P165" s="86">
        <f t="shared" si="2"/>
        <v>27000</v>
      </c>
      <c r="Q165" s="59" t="s">
        <v>4741</v>
      </c>
      <c r="R165" s="59"/>
      <c r="S165" s="59"/>
      <c r="T165" s="59"/>
      <c r="U165" s="290"/>
      <c r="V165" s="290"/>
      <c r="W165" s="290"/>
      <c r="X165" s="290"/>
      <c r="Y165" s="290"/>
      <c r="Z165" s="290"/>
      <c r="AA165" s="290"/>
      <c r="AB165" s="290"/>
      <c r="AC165" s="290"/>
      <c r="AD165" s="290"/>
    </row>
    <row r="166" spans="1:30" ht="267.75">
      <c r="A166" s="291">
        <f t="shared" si="3"/>
        <v>165</v>
      </c>
      <c r="B166" s="291" t="s">
        <v>1522</v>
      </c>
      <c r="C166" s="291" t="str">
        <f>IF(D165="","",UNIT!$B$1&amp;"-"&amp;B166)</f>
        <v>ICT-MIS-00165</v>
      </c>
      <c r="D166" s="83" t="s">
        <v>1523</v>
      </c>
      <c r="E166" s="59" t="s">
        <v>118</v>
      </c>
      <c r="F166" s="293" t="s">
        <v>1524</v>
      </c>
      <c r="G166" s="293" t="s">
        <v>1524</v>
      </c>
      <c r="H166" s="86">
        <v>40000</v>
      </c>
      <c r="I166" s="294">
        <f t="shared" si="19"/>
        <v>60000</v>
      </c>
      <c r="J166" s="59" t="s">
        <v>954</v>
      </c>
      <c r="K166" s="83" t="s">
        <v>1525</v>
      </c>
      <c r="L166" s="83" t="str">
        <f t="shared" si="1"/>
        <v>Digital Full-Colour Laser Copier, Full-Colour Laser Network Printer, Full-Colour Laser Network Scanner
Print speed: 21 pages per minute (A4)
Scanning speed: 30 pages per minute (300 dpi B&amp;W), 23 pages per minute (300 dpi Colored)
Memory: 512 MB
CPU: Cortex-A9 / 800 MHz
Functions: Colored copying, Network Colored Printing, Network Colored Scanning, Network Faxing
Maximum copy, print, scan, fax size: 
1. Top glass or platen: A4 only
2. Single-sided Automatic Document Feeder: Legal size 8.5.” x 14”
Standard interface: USB 2.0 (Hi-Speed), USB Host Interface, Gigabit Ethernet 10BaseT/100BaseTX/1000BaseT), Wireless LAN
With Single-sided Automatic Document Feeder and duplex printing
Print/Scan to/from-USB flash drive memory
Input thickness capacity: 60 – 220 gsm through multi-purpose bypass tray
One paper cassette (250 sheets) and multi-purpose bypass tray (50 sheets)
Continuous copying: up to 999
with dealer/distributor certificate for after-sales service
1 year spare parts warranty and 2 years service warranty</v>
      </c>
      <c r="M166" s="83" t="s">
        <v>1526</v>
      </c>
      <c r="N166" s="59"/>
      <c r="O166" s="59"/>
      <c r="P166" s="86">
        <f t="shared" si="2"/>
        <v>0</v>
      </c>
      <c r="Q166" s="59" t="s">
        <v>4741</v>
      </c>
      <c r="R166" s="59" t="str">
        <f>IF(O166&lt;=Q166,"SAFE","TAGPAS")</f>
        <v>SAFE</v>
      </c>
      <c r="S166" s="59">
        <f>IF(O166&lt;=Q166,O166,Q166)</f>
        <v>0</v>
      </c>
      <c r="T166" s="59"/>
      <c r="U166" s="290"/>
      <c r="V166" s="290"/>
      <c r="W166" s="290"/>
      <c r="X166" s="290"/>
      <c r="Y166" s="290"/>
      <c r="Z166" s="290"/>
      <c r="AA166" s="290"/>
      <c r="AB166" s="290"/>
      <c r="AC166" s="290"/>
      <c r="AD166" s="290"/>
    </row>
    <row r="167" spans="1:30" ht="102">
      <c r="A167" s="291">
        <f t="shared" si="3"/>
        <v>166</v>
      </c>
      <c r="B167" s="291" t="s">
        <v>1527</v>
      </c>
      <c r="C167" s="291" t="str">
        <f>IF(D166="","",UNIT!$B$1&amp;"-"&amp;B167)</f>
        <v>ICT-MIS-00166</v>
      </c>
      <c r="D167" s="83" t="s">
        <v>365</v>
      </c>
      <c r="E167" s="59" t="s">
        <v>118</v>
      </c>
      <c r="F167" s="293" t="s">
        <v>1528</v>
      </c>
      <c r="G167" s="293" t="s">
        <v>1529</v>
      </c>
      <c r="H167" s="86">
        <v>92000</v>
      </c>
      <c r="I167" s="294">
        <f t="shared" si="19"/>
        <v>138000</v>
      </c>
      <c r="J167" s="59" t="s">
        <v>954</v>
      </c>
      <c r="K167" s="83" t="s">
        <v>1530</v>
      </c>
      <c r="L167" s="83" t="str">
        <f t="shared" si="1"/>
        <v>A3 Black &amp; White MULTI-FUNCTIONAL
HEAVY-DUTY DIGITAL COPIER
Multi-Functional Copier/Scanner/Printer, with automatic document feeder, duplex unit, &amp; job separator; supported
paper sizes: letter, A4, legal, A3; 1 GB memory, CPU speed 1.2GHz dual-core Cortex-A9; with RJ-45 port,
Maintenance Kit capacity before replacement 300,000 copies/print; can print, save and scan via USB,
with dealer/distributor certificate for after-sales service
Warranty: 1 year on parts and 2 years on service</v>
      </c>
      <c r="M167" s="83" t="s">
        <v>1531</v>
      </c>
      <c r="N167" s="59"/>
      <c r="O167" s="59"/>
      <c r="P167" s="86">
        <f t="shared" si="2"/>
        <v>0</v>
      </c>
      <c r="Q167" s="59"/>
      <c r="R167" s="59"/>
      <c r="S167" s="59"/>
      <c r="T167" s="59"/>
      <c r="U167" s="290"/>
      <c r="V167" s="290"/>
      <c r="W167" s="290"/>
      <c r="X167" s="290"/>
      <c r="Y167" s="290"/>
      <c r="Z167" s="290"/>
      <c r="AA167" s="290"/>
      <c r="AB167" s="290"/>
      <c r="AC167" s="290"/>
      <c r="AD167" s="290"/>
    </row>
    <row r="168" spans="1:30" ht="25.5">
      <c r="A168" s="291">
        <f t="shared" si="3"/>
        <v>167</v>
      </c>
      <c r="B168" s="291" t="s">
        <v>1532</v>
      </c>
      <c r="C168" s="291" t="str">
        <f>IF(D167="","",UNIT!$B$1&amp;"-"&amp;B168)</f>
        <v>ICT-MIS-00167</v>
      </c>
      <c r="D168" s="83" t="s">
        <v>234</v>
      </c>
      <c r="E168" s="59" t="s">
        <v>103</v>
      </c>
      <c r="F168" s="295" t="s">
        <v>1533</v>
      </c>
      <c r="G168" s="295" t="s">
        <v>1533</v>
      </c>
      <c r="H168" s="86">
        <v>385</v>
      </c>
      <c r="I168" s="294">
        <f t="shared" si="19"/>
        <v>577.5</v>
      </c>
      <c r="J168" s="59" t="s">
        <v>954</v>
      </c>
      <c r="K168" s="83" t="s">
        <v>1534</v>
      </c>
      <c r="L168" s="83" t="str">
        <f t="shared" si="1"/>
        <v>Keyboard, Full Size, USB 2.0
Natural Comfort Roundedge Keycaps, Laser Inscribed Keys, Drain Holes Design USB Wired Keyboard (BLACK)</v>
      </c>
      <c r="M168" s="83"/>
      <c r="N168" s="59"/>
      <c r="O168" s="59"/>
      <c r="P168" s="86">
        <f t="shared" si="2"/>
        <v>0</v>
      </c>
      <c r="Q168" s="59" t="s">
        <v>4741</v>
      </c>
      <c r="R168" s="59"/>
      <c r="S168" s="59"/>
      <c r="T168" s="59"/>
      <c r="U168" s="290"/>
      <c r="V168" s="290"/>
      <c r="W168" s="290"/>
      <c r="X168" s="290"/>
      <c r="Y168" s="290"/>
      <c r="Z168" s="290"/>
      <c r="AA168" s="290"/>
      <c r="AB168" s="290"/>
      <c r="AC168" s="290"/>
      <c r="AD168" s="290"/>
    </row>
    <row r="169" spans="1:30" ht="38.25">
      <c r="A169" s="291">
        <f t="shared" si="3"/>
        <v>168</v>
      </c>
      <c r="B169" s="291" t="s">
        <v>1535</v>
      </c>
      <c r="C169" s="291" t="str">
        <f>IF(D168="","",UNIT!$B$1&amp;"-"&amp;B169)</f>
        <v>ICT-MIS-00168</v>
      </c>
      <c r="D169" s="83" t="s">
        <v>239</v>
      </c>
      <c r="E169" s="59" t="s">
        <v>103</v>
      </c>
      <c r="F169" s="295" t="s">
        <v>1536</v>
      </c>
      <c r="G169" s="295" t="s">
        <v>1536</v>
      </c>
      <c r="H169" s="86">
        <v>180</v>
      </c>
      <c r="I169" s="294">
        <f t="shared" si="19"/>
        <v>270</v>
      </c>
      <c r="J169" s="59" t="s">
        <v>954</v>
      </c>
      <c r="K169" s="83" t="s">
        <v>1537</v>
      </c>
      <c r="L169" s="83" t="str">
        <f t="shared" si="1"/>
        <v>Mouse, Optical, USB 2.0
2x-Button, 4-Way Wheel, 1000 DPI, Durable Button Life, Dust-Resistant Wheel, Plug and Play, Screen Capture, Wired USB Mouse (Black)</v>
      </c>
      <c r="M169" s="83"/>
      <c r="N169" s="59"/>
      <c r="O169" s="59"/>
      <c r="P169" s="86">
        <f t="shared" si="2"/>
        <v>0</v>
      </c>
      <c r="Q169" s="59" t="s">
        <v>4741</v>
      </c>
      <c r="R169" s="59"/>
      <c r="S169" s="59"/>
      <c r="T169" s="59"/>
      <c r="U169" s="290"/>
      <c r="V169" s="290"/>
      <c r="W169" s="290"/>
      <c r="X169" s="290"/>
      <c r="Y169" s="290"/>
      <c r="Z169" s="290"/>
      <c r="AA169" s="290"/>
      <c r="AB169" s="290"/>
      <c r="AC169" s="290"/>
      <c r="AD169" s="290"/>
    </row>
    <row r="170" spans="1:30" ht="25.5">
      <c r="A170" s="291">
        <f t="shared" si="3"/>
        <v>169</v>
      </c>
      <c r="B170" s="291" t="s">
        <v>1538</v>
      </c>
      <c r="C170" s="291" t="str">
        <f>IF(D169="","",UNIT!$B$1&amp;"-"&amp;B170)</f>
        <v>ICT-MIS-00169</v>
      </c>
      <c r="D170" s="83" t="s">
        <v>104</v>
      </c>
      <c r="E170" s="59" t="s">
        <v>103</v>
      </c>
      <c r="F170" s="295" t="s">
        <v>1539</v>
      </c>
      <c r="G170" s="295" t="s">
        <v>1539</v>
      </c>
      <c r="H170" s="303">
        <v>15329</v>
      </c>
      <c r="I170" s="294">
        <f>IF(H170&gt;1,H170*1.3,"")</f>
        <v>19927.7</v>
      </c>
      <c r="J170" s="59" t="s">
        <v>954</v>
      </c>
      <c r="K170" s="83" t="s">
        <v>1540</v>
      </c>
      <c r="L170" s="83" t="str">
        <f t="shared" si="1"/>
        <v>10TB Surveillance Hard Drive SATA
Surveillance Hard Drive - SATA 6Gb/s 3.5-Inch for existing CCTV NVR</v>
      </c>
      <c r="M170" s="83"/>
      <c r="N170" s="59" t="s">
        <v>957</v>
      </c>
      <c r="O170" s="59">
        <v>10</v>
      </c>
      <c r="P170" s="86">
        <f t="shared" si="2"/>
        <v>199277</v>
      </c>
      <c r="Q170" s="59" t="s">
        <v>4741</v>
      </c>
      <c r="R170" s="59" t="str">
        <f>IF(O170&lt;=Q170,"SAFE","TAGPAS")</f>
        <v>SAFE</v>
      </c>
      <c r="S170" s="59">
        <f>IF(O170&lt;=Q170,O170,Q170)</f>
        <v>10</v>
      </c>
      <c r="T170" s="59"/>
      <c r="U170" s="290"/>
      <c r="V170" s="290"/>
      <c r="W170" s="290"/>
      <c r="X170" s="290"/>
      <c r="Y170" s="290"/>
      <c r="Z170" s="290"/>
      <c r="AA170" s="290"/>
      <c r="AB170" s="290"/>
      <c r="AC170" s="290"/>
      <c r="AD170" s="290"/>
    </row>
    <row r="171" spans="1:30" ht="25.5">
      <c r="A171" s="291">
        <f t="shared" si="3"/>
        <v>170</v>
      </c>
      <c r="B171" s="291" t="s">
        <v>1541</v>
      </c>
      <c r="C171" s="291" t="str">
        <f>IF(D170="","",UNIT!$B$1&amp;"-"&amp;B171)</f>
        <v>ICT-MIS-00170</v>
      </c>
      <c r="D171" s="83" t="s">
        <v>1542</v>
      </c>
      <c r="E171" s="59" t="s">
        <v>103</v>
      </c>
      <c r="F171" s="293" t="s">
        <v>1543</v>
      </c>
      <c r="G171" s="293" t="s">
        <v>1543</v>
      </c>
      <c r="H171" s="86">
        <v>5700</v>
      </c>
      <c r="I171" s="294">
        <f t="shared" ref="I171:I192" si="24">IF(H171&gt;1,H171*1.5,"")</f>
        <v>8550</v>
      </c>
      <c r="J171" s="59" t="s">
        <v>954</v>
      </c>
      <c r="K171" s="83" t="s">
        <v>1540</v>
      </c>
      <c r="L171" s="83" t="str">
        <f t="shared" si="1"/>
        <v>4TB Surveillance Hard Drive SATA
Surveillance Hard Drive - SATA 6Gb/s 3.5-Inch for existing CCTV NVR</v>
      </c>
      <c r="M171" s="83"/>
      <c r="N171" s="59"/>
      <c r="O171" s="59"/>
      <c r="P171" s="86">
        <f t="shared" si="2"/>
        <v>0</v>
      </c>
      <c r="Q171" s="59"/>
      <c r="R171" s="59"/>
      <c r="S171" s="59"/>
      <c r="T171" s="59"/>
      <c r="U171" s="290"/>
      <c r="V171" s="290"/>
      <c r="W171" s="290"/>
      <c r="X171" s="290"/>
      <c r="Y171" s="290"/>
      <c r="Z171" s="290"/>
      <c r="AA171" s="290"/>
      <c r="AB171" s="290"/>
      <c r="AC171" s="290"/>
      <c r="AD171" s="290"/>
    </row>
    <row r="172" spans="1:30" ht="25.5">
      <c r="A172" s="291">
        <f t="shared" si="3"/>
        <v>171</v>
      </c>
      <c r="B172" s="291" t="s">
        <v>1544</v>
      </c>
      <c r="C172" s="291" t="str">
        <f>IF(D171="","",UNIT!$B$1&amp;"-"&amp;B172)</f>
        <v>ICT-MIS-00171</v>
      </c>
      <c r="D172" s="83" t="s">
        <v>183</v>
      </c>
      <c r="E172" s="59" t="s">
        <v>103</v>
      </c>
      <c r="F172" s="293" t="s">
        <v>1545</v>
      </c>
      <c r="G172" s="293" t="s">
        <v>1545</v>
      </c>
      <c r="H172" s="86">
        <v>400</v>
      </c>
      <c r="I172" s="294">
        <f t="shared" si="24"/>
        <v>600</v>
      </c>
      <c r="J172" s="59" t="s">
        <v>1008</v>
      </c>
      <c r="K172" s="83" t="s">
        <v>1546</v>
      </c>
      <c r="L172" s="83" t="str">
        <f t="shared" si="1"/>
        <v>Brother Genuine Ink BT5000C
Brother Genuine Ink BT5000C for existing BROTHER Printer</v>
      </c>
      <c r="M172" s="83"/>
      <c r="N172" s="59"/>
      <c r="O172" s="59"/>
      <c r="P172" s="86">
        <f t="shared" si="2"/>
        <v>0</v>
      </c>
      <c r="Q172" s="59" t="s">
        <v>4741</v>
      </c>
      <c r="R172" s="59" t="str">
        <f t="shared" ref="R172:R175" si="25">IF(O172&lt;=Q172,"SAFE","TAGPAS")</f>
        <v>SAFE</v>
      </c>
      <c r="S172" s="59">
        <f t="shared" ref="S172:S175" si="26">IF(O172&lt;=Q172,O172,Q172)</f>
        <v>0</v>
      </c>
      <c r="T172" s="59"/>
      <c r="U172" s="290"/>
      <c r="V172" s="290"/>
      <c r="W172" s="290"/>
      <c r="X172" s="290"/>
      <c r="Y172" s="290"/>
      <c r="Z172" s="290"/>
      <c r="AA172" s="290"/>
      <c r="AB172" s="290"/>
      <c r="AC172" s="290"/>
      <c r="AD172" s="290"/>
    </row>
    <row r="173" spans="1:30" ht="25.5">
      <c r="A173" s="291">
        <f t="shared" si="3"/>
        <v>172</v>
      </c>
      <c r="B173" s="291" t="s">
        <v>1547</v>
      </c>
      <c r="C173" s="291" t="str">
        <f>IF(D172="","",UNIT!$B$1&amp;"-"&amp;B173)</f>
        <v>ICT-MIS-00172</v>
      </c>
      <c r="D173" s="83" t="s">
        <v>186</v>
      </c>
      <c r="E173" s="59" t="s">
        <v>103</v>
      </c>
      <c r="F173" s="293" t="s">
        <v>1545</v>
      </c>
      <c r="G173" s="293" t="s">
        <v>1545</v>
      </c>
      <c r="H173" s="86">
        <v>400</v>
      </c>
      <c r="I173" s="294">
        <f t="shared" si="24"/>
        <v>600</v>
      </c>
      <c r="J173" s="59" t="s">
        <v>1008</v>
      </c>
      <c r="K173" s="83" t="s">
        <v>1548</v>
      </c>
      <c r="L173" s="83" t="str">
        <f t="shared" si="1"/>
        <v>Brother Genuine Ink BT5000Y
Brother Genuine Ink BT5000Y for existing BROTHER Printer</v>
      </c>
      <c r="M173" s="83"/>
      <c r="N173" s="59"/>
      <c r="O173" s="59"/>
      <c r="P173" s="86">
        <f t="shared" si="2"/>
        <v>0</v>
      </c>
      <c r="Q173" s="59" t="s">
        <v>4741</v>
      </c>
      <c r="R173" s="59" t="str">
        <f t="shared" si="25"/>
        <v>SAFE</v>
      </c>
      <c r="S173" s="59">
        <f t="shared" si="26"/>
        <v>0</v>
      </c>
      <c r="T173" s="59"/>
      <c r="U173" s="290"/>
      <c r="V173" s="290"/>
      <c r="W173" s="290"/>
      <c r="X173" s="290"/>
      <c r="Y173" s="290"/>
      <c r="Z173" s="290"/>
      <c r="AA173" s="290"/>
      <c r="AB173" s="290"/>
      <c r="AC173" s="290"/>
      <c r="AD173" s="290"/>
    </row>
    <row r="174" spans="1:30" ht="25.5">
      <c r="A174" s="291">
        <f t="shared" si="3"/>
        <v>173</v>
      </c>
      <c r="B174" s="291" t="s">
        <v>1549</v>
      </c>
      <c r="C174" s="291" t="str">
        <f>IF(D173="","",UNIT!$B$1&amp;"-"&amp;B174)</f>
        <v>ICT-MIS-00173</v>
      </c>
      <c r="D174" s="83" t="s">
        <v>185</v>
      </c>
      <c r="E174" s="59" t="s">
        <v>103</v>
      </c>
      <c r="F174" s="293" t="s">
        <v>1545</v>
      </c>
      <c r="G174" s="293" t="s">
        <v>1545</v>
      </c>
      <c r="H174" s="86">
        <v>400</v>
      </c>
      <c r="I174" s="294">
        <f t="shared" si="24"/>
        <v>600</v>
      </c>
      <c r="J174" s="59" t="s">
        <v>1008</v>
      </c>
      <c r="K174" s="83" t="s">
        <v>1550</v>
      </c>
      <c r="L174" s="83" t="str">
        <f t="shared" si="1"/>
        <v>Brother Genuine Ink BT5000M
Brother Genuine Ink BT5000M for existing BROTHER Printer</v>
      </c>
      <c r="M174" s="83"/>
      <c r="N174" s="59"/>
      <c r="O174" s="59"/>
      <c r="P174" s="86">
        <f t="shared" si="2"/>
        <v>0</v>
      </c>
      <c r="Q174" s="59" t="s">
        <v>4741</v>
      </c>
      <c r="R174" s="59" t="str">
        <f t="shared" si="25"/>
        <v>SAFE</v>
      </c>
      <c r="S174" s="59">
        <f t="shared" si="26"/>
        <v>0</v>
      </c>
      <c r="T174" s="59"/>
      <c r="U174" s="290"/>
      <c r="V174" s="290"/>
      <c r="W174" s="290"/>
      <c r="X174" s="290"/>
      <c r="Y174" s="290"/>
      <c r="Z174" s="290"/>
      <c r="AA174" s="290"/>
      <c r="AB174" s="290"/>
      <c r="AC174" s="290"/>
      <c r="AD174" s="290"/>
    </row>
    <row r="175" spans="1:30" ht="25.5">
      <c r="A175" s="291">
        <f t="shared" si="3"/>
        <v>174</v>
      </c>
      <c r="B175" s="291" t="s">
        <v>1551</v>
      </c>
      <c r="C175" s="291" t="str">
        <f>IF(D174="","",UNIT!$B$1&amp;"-"&amp;B175)</f>
        <v>ICT-MIS-00174</v>
      </c>
      <c r="D175" s="83" t="s">
        <v>187</v>
      </c>
      <c r="E175" s="59" t="s">
        <v>103</v>
      </c>
      <c r="F175" s="293" t="s">
        <v>1545</v>
      </c>
      <c r="G175" s="293" t="s">
        <v>1545</v>
      </c>
      <c r="H175" s="86">
        <v>400</v>
      </c>
      <c r="I175" s="294">
        <f t="shared" si="24"/>
        <v>600</v>
      </c>
      <c r="J175" s="59" t="s">
        <v>1008</v>
      </c>
      <c r="K175" s="83" t="s">
        <v>1552</v>
      </c>
      <c r="L175" s="83" t="str">
        <f t="shared" si="1"/>
        <v>Brother Genuine Ink BT6000BK
Brother Genuine Ink BT5000BK for existing BROTHER Printer</v>
      </c>
      <c r="M175" s="83"/>
      <c r="N175" s="59"/>
      <c r="O175" s="59"/>
      <c r="P175" s="86">
        <f t="shared" si="2"/>
        <v>0</v>
      </c>
      <c r="Q175" s="59" t="s">
        <v>4741</v>
      </c>
      <c r="R175" s="59" t="str">
        <f t="shared" si="25"/>
        <v>SAFE</v>
      </c>
      <c r="S175" s="59">
        <f t="shared" si="26"/>
        <v>0</v>
      </c>
      <c r="T175" s="59"/>
      <c r="U175" s="290"/>
      <c r="V175" s="290"/>
      <c r="W175" s="290"/>
      <c r="X175" s="290"/>
      <c r="Y175" s="290"/>
      <c r="Z175" s="290"/>
      <c r="AA175" s="290"/>
      <c r="AB175" s="290"/>
      <c r="AC175" s="290"/>
      <c r="AD175" s="290"/>
    </row>
    <row r="176" spans="1:30" ht="25.5">
      <c r="A176" s="291">
        <f t="shared" si="3"/>
        <v>175</v>
      </c>
      <c r="B176" s="291" t="s">
        <v>1553</v>
      </c>
      <c r="C176" s="291" t="str">
        <f>IF(D175="","",UNIT!$B$1&amp;"-"&amp;B176)</f>
        <v>ICT-MIS-00175</v>
      </c>
      <c r="D176" s="83" t="s">
        <v>1554</v>
      </c>
      <c r="E176" s="59" t="s">
        <v>103</v>
      </c>
      <c r="F176" s="293" t="s">
        <v>1555</v>
      </c>
      <c r="G176" s="293" t="s">
        <v>1555</v>
      </c>
      <c r="H176" s="86">
        <v>5000</v>
      </c>
      <c r="I176" s="294">
        <f t="shared" si="24"/>
        <v>7500</v>
      </c>
      <c r="J176" s="59" t="s">
        <v>1008</v>
      </c>
      <c r="K176" s="83" t="s">
        <v>1556</v>
      </c>
      <c r="L176" s="83" t="str">
        <f t="shared" si="1"/>
        <v>Brother Toner Cartridge TN-3448
Brother Toner Cartridge TN-3448 for existing Brother MFC-L5900DW Laser Printer</v>
      </c>
      <c r="M176" s="83"/>
      <c r="N176" s="59"/>
      <c r="O176" s="59"/>
      <c r="P176" s="86">
        <f t="shared" si="2"/>
        <v>0</v>
      </c>
      <c r="Q176" s="59" t="s">
        <v>4741</v>
      </c>
      <c r="R176" s="59"/>
      <c r="S176" s="59"/>
      <c r="T176" s="59"/>
      <c r="U176" s="290"/>
      <c r="V176" s="290"/>
      <c r="W176" s="290"/>
      <c r="X176" s="290"/>
      <c r="Y176" s="290"/>
      <c r="Z176" s="290"/>
      <c r="AA176" s="290"/>
      <c r="AB176" s="290"/>
      <c r="AC176" s="290"/>
      <c r="AD176" s="290"/>
    </row>
    <row r="177" spans="1:30" ht="25.5">
      <c r="A177" s="291">
        <f t="shared" si="3"/>
        <v>176</v>
      </c>
      <c r="B177" s="291" t="s">
        <v>1557</v>
      </c>
      <c r="C177" s="291" t="str">
        <f>IF(D176="","",UNIT!$B$1&amp;"-"&amp;B177)</f>
        <v>ICT-MIS-00176</v>
      </c>
      <c r="D177" s="83" t="s">
        <v>219</v>
      </c>
      <c r="E177" s="59" t="s">
        <v>103</v>
      </c>
      <c r="F177" s="293" t="s">
        <v>1558</v>
      </c>
      <c r="G177" s="293" t="s">
        <v>1558</v>
      </c>
      <c r="H177" s="86">
        <v>170</v>
      </c>
      <c r="I177" s="294">
        <f t="shared" si="24"/>
        <v>255</v>
      </c>
      <c r="J177" s="59" t="s">
        <v>1008</v>
      </c>
      <c r="K177" s="83" t="s">
        <v>1559</v>
      </c>
      <c r="L177" s="83" t="str">
        <f t="shared" si="1"/>
        <v>EPSON LQ310 Ribbon Cartridge (SO15634)
EPSON LQ310 Ribbon Cartridge (SO15634) for existing EPSON LQ310</v>
      </c>
      <c r="M177" s="83"/>
      <c r="N177" s="59"/>
      <c r="O177" s="59"/>
      <c r="P177" s="86">
        <f t="shared" si="2"/>
        <v>0</v>
      </c>
      <c r="Q177" s="59" t="s">
        <v>4741</v>
      </c>
      <c r="R177" s="59"/>
      <c r="S177" s="59"/>
      <c r="T177" s="59"/>
      <c r="U177" s="290"/>
      <c r="V177" s="290"/>
      <c r="W177" s="290"/>
      <c r="X177" s="290"/>
      <c r="Y177" s="290"/>
      <c r="Z177" s="290"/>
      <c r="AA177" s="290"/>
      <c r="AB177" s="290"/>
      <c r="AC177" s="290"/>
      <c r="AD177" s="290"/>
    </row>
    <row r="178" spans="1:30" ht="25.5">
      <c r="A178" s="291">
        <f t="shared" si="3"/>
        <v>177</v>
      </c>
      <c r="B178" s="291" t="s">
        <v>1560</v>
      </c>
      <c r="C178" s="291" t="str">
        <f>IF(D177="","",UNIT!$B$1&amp;"-"&amp;B178)</f>
        <v>ICT-MIS-00177</v>
      </c>
      <c r="D178" s="83" t="s">
        <v>1561</v>
      </c>
      <c r="E178" s="59" t="s">
        <v>103</v>
      </c>
      <c r="F178" s="293" t="s">
        <v>1562</v>
      </c>
      <c r="G178" s="293" t="s">
        <v>1558</v>
      </c>
      <c r="H178" s="86">
        <v>500</v>
      </c>
      <c r="I178" s="294">
        <f t="shared" si="24"/>
        <v>750</v>
      </c>
      <c r="J178" s="59" t="s">
        <v>1008</v>
      </c>
      <c r="K178" s="83" t="s">
        <v>1561</v>
      </c>
      <c r="L178" s="83" t="str">
        <f t="shared" si="1"/>
        <v>Canon Ink Bottle Refill GI -790 Black
Canon Ink Bottle Refill GI -790 Black</v>
      </c>
      <c r="M178" s="83"/>
      <c r="N178" s="59"/>
      <c r="O178" s="59"/>
      <c r="P178" s="86">
        <f t="shared" si="2"/>
        <v>0</v>
      </c>
      <c r="Q178" s="59" t="s">
        <v>4741</v>
      </c>
      <c r="R178" s="59"/>
      <c r="S178" s="59"/>
      <c r="T178" s="59"/>
      <c r="U178" s="290"/>
      <c r="V178" s="290"/>
      <c r="W178" s="290"/>
      <c r="X178" s="290"/>
      <c r="Y178" s="290"/>
      <c r="Z178" s="290"/>
      <c r="AA178" s="290"/>
      <c r="AB178" s="290"/>
      <c r="AC178" s="290"/>
      <c r="AD178" s="290"/>
    </row>
    <row r="179" spans="1:30" ht="25.5">
      <c r="A179" s="291">
        <f t="shared" si="3"/>
        <v>178</v>
      </c>
      <c r="B179" s="291" t="s">
        <v>1563</v>
      </c>
      <c r="C179" s="291" t="str">
        <f>IF(D178="","",UNIT!$B$1&amp;"-"&amp;B179)</f>
        <v>ICT-MIS-00178</v>
      </c>
      <c r="D179" s="83" t="s">
        <v>1564</v>
      </c>
      <c r="E179" s="59" t="s">
        <v>103</v>
      </c>
      <c r="F179" s="293" t="s">
        <v>1562</v>
      </c>
      <c r="G179" s="293" t="s">
        <v>1558</v>
      </c>
      <c r="H179" s="86">
        <v>500</v>
      </c>
      <c r="I179" s="294">
        <f t="shared" si="24"/>
        <v>750</v>
      </c>
      <c r="J179" s="59" t="s">
        <v>1008</v>
      </c>
      <c r="K179" s="83" t="s">
        <v>1564</v>
      </c>
      <c r="L179" s="83" t="str">
        <f t="shared" si="1"/>
        <v>Canon Ink Bottle Refill GI -790 Cyan
Canon Ink Bottle Refill GI -790 Cyan</v>
      </c>
      <c r="M179" s="83"/>
      <c r="N179" s="59"/>
      <c r="O179" s="59"/>
      <c r="P179" s="86">
        <f t="shared" si="2"/>
        <v>0</v>
      </c>
      <c r="Q179" s="59" t="s">
        <v>4741</v>
      </c>
      <c r="R179" s="59"/>
      <c r="S179" s="59"/>
      <c r="T179" s="59"/>
      <c r="U179" s="290"/>
      <c r="V179" s="290"/>
      <c r="W179" s="290"/>
      <c r="X179" s="290"/>
      <c r="Y179" s="290"/>
      <c r="Z179" s="290"/>
      <c r="AA179" s="290"/>
      <c r="AB179" s="290"/>
      <c r="AC179" s="290"/>
      <c r="AD179" s="290"/>
    </row>
    <row r="180" spans="1:30" ht="25.5">
      <c r="A180" s="291">
        <f t="shared" si="3"/>
        <v>179</v>
      </c>
      <c r="B180" s="291" t="s">
        <v>1565</v>
      </c>
      <c r="C180" s="291" t="str">
        <f>IF(D179="","",UNIT!$B$1&amp;"-"&amp;B180)</f>
        <v>ICT-MIS-00179</v>
      </c>
      <c r="D180" s="83" t="s">
        <v>1566</v>
      </c>
      <c r="E180" s="59" t="s">
        <v>103</v>
      </c>
      <c r="F180" s="293" t="s">
        <v>1562</v>
      </c>
      <c r="G180" s="293" t="s">
        <v>1558</v>
      </c>
      <c r="H180" s="86">
        <v>500</v>
      </c>
      <c r="I180" s="294">
        <f t="shared" si="24"/>
        <v>750</v>
      </c>
      <c r="J180" s="59" t="s">
        <v>1008</v>
      </c>
      <c r="K180" s="83" t="s">
        <v>1566</v>
      </c>
      <c r="L180" s="83" t="str">
        <f t="shared" si="1"/>
        <v>Canon Ink Bottle Refill GI -790 Yellow
Canon Ink Bottle Refill GI -790 Yellow</v>
      </c>
      <c r="M180" s="83"/>
      <c r="N180" s="59"/>
      <c r="O180" s="59"/>
      <c r="P180" s="86">
        <f t="shared" si="2"/>
        <v>0</v>
      </c>
      <c r="Q180" s="59" t="s">
        <v>4741</v>
      </c>
      <c r="R180" s="59"/>
      <c r="S180" s="59"/>
      <c r="T180" s="59"/>
      <c r="U180" s="290"/>
      <c r="V180" s="290"/>
      <c r="W180" s="290"/>
      <c r="X180" s="290"/>
      <c r="Y180" s="290"/>
      <c r="Z180" s="290"/>
      <c r="AA180" s="290"/>
      <c r="AB180" s="290"/>
      <c r="AC180" s="290"/>
      <c r="AD180" s="290"/>
    </row>
    <row r="181" spans="1:30" ht="25.5">
      <c r="A181" s="291">
        <f t="shared" si="3"/>
        <v>180</v>
      </c>
      <c r="B181" s="291" t="s">
        <v>1567</v>
      </c>
      <c r="C181" s="291" t="str">
        <f>IF(D180="","",UNIT!$B$1&amp;"-"&amp;B181)</f>
        <v>ICT-MIS-00180</v>
      </c>
      <c r="D181" s="83" t="s">
        <v>1568</v>
      </c>
      <c r="E181" s="59" t="s">
        <v>103</v>
      </c>
      <c r="F181" s="293" t="s">
        <v>1562</v>
      </c>
      <c r="G181" s="293" t="s">
        <v>1558</v>
      </c>
      <c r="H181" s="86">
        <v>500</v>
      </c>
      <c r="I181" s="294">
        <f t="shared" si="24"/>
        <v>750</v>
      </c>
      <c r="J181" s="59" t="s">
        <v>1008</v>
      </c>
      <c r="K181" s="83" t="s">
        <v>1568</v>
      </c>
      <c r="L181" s="83" t="str">
        <f t="shared" si="1"/>
        <v>Canon Ink Bottle Refill GI -790 Magenta
Canon Ink Bottle Refill GI -790 Magenta</v>
      </c>
      <c r="M181" s="83"/>
      <c r="N181" s="59"/>
      <c r="O181" s="59"/>
      <c r="P181" s="86">
        <f t="shared" si="2"/>
        <v>0</v>
      </c>
      <c r="Q181" s="59" t="s">
        <v>4741</v>
      </c>
      <c r="R181" s="59"/>
      <c r="S181" s="59"/>
      <c r="T181" s="59"/>
      <c r="U181" s="290"/>
      <c r="V181" s="290"/>
      <c r="W181" s="290"/>
      <c r="X181" s="290"/>
      <c r="Y181" s="290"/>
      <c r="Z181" s="290"/>
      <c r="AA181" s="290"/>
      <c r="AB181" s="290"/>
      <c r="AC181" s="290"/>
      <c r="AD181" s="290"/>
    </row>
    <row r="182" spans="1:30" ht="38.25">
      <c r="A182" s="291">
        <f t="shared" si="3"/>
        <v>181</v>
      </c>
      <c r="B182" s="291" t="s">
        <v>1569</v>
      </c>
      <c r="C182" s="291" t="str">
        <f>IF(D181="","",UNIT!$B$1&amp;"-"&amp;B182)</f>
        <v>ICT-MIS-00181</v>
      </c>
      <c r="D182" s="83" t="s">
        <v>226</v>
      </c>
      <c r="E182" s="59" t="s">
        <v>103</v>
      </c>
      <c r="F182" s="293" t="s">
        <v>1570</v>
      </c>
      <c r="G182" s="293" t="s">
        <v>1570</v>
      </c>
      <c r="H182" s="86">
        <v>179</v>
      </c>
      <c r="I182" s="294">
        <f t="shared" si="24"/>
        <v>268.5</v>
      </c>
      <c r="J182" s="59" t="s">
        <v>1008</v>
      </c>
      <c r="K182" s="83" t="s">
        <v>1571</v>
      </c>
      <c r="L182" s="83" t="str">
        <f t="shared" si="1"/>
        <v>HDMI 2.0 Cable 4K 1m
HDMI 2.0 Cable 4K HDMI Male to Male High Speed HDMI Adapter
1 Meter</v>
      </c>
      <c r="M182" s="83"/>
      <c r="N182" s="59" t="s">
        <v>957</v>
      </c>
      <c r="O182" s="59">
        <v>24</v>
      </c>
      <c r="P182" s="86">
        <f t="shared" si="2"/>
        <v>6444</v>
      </c>
      <c r="Q182" s="59" t="s">
        <v>4741</v>
      </c>
      <c r="R182" s="59" t="str">
        <f t="shared" ref="R182:R185" si="27">IF(O182&lt;=Q182,"SAFE","TAGPAS")</f>
        <v>SAFE</v>
      </c>
      <c r="S182" s="59">
        <f t="shared" ref="S182:S185" si="28">IF(O182&lt;=Q182,O182,Q182)</f>
        <v>24</v>
      </c>
      <c r="T182" s="59"/>
      <c r="U182" s="290"/>
      <c r="V182" s="290"/>
      <c r="W182" s="290"/>
      <c r="X182" s="290"/>
      <c r="Y182" s="290"/>
      <c r="Z182" s="290"/>
      <c r="AA182" s="290"/>
      <c r="AB182" s="290"/>
      <c r="AC182" s="290"/>
      <c r="AD182" s="290"/>
    </row>
    <row r="183" spans="1:30" ht="38.25">
      <c r="A183" s="291">
        <f t="shared" si="3"/>
        <v>182</v>
      </c>
      <c r="B183" s="291" t="s">
        <v>1572</v>
      </c>
      <c r="C183" s="291" t="str">
        <f>IF(D182="","",UNIT!$B$1&amp;"-"&amp;B183)</f>
        <v>ICT-MIS-00182</v>
      </c>
      <c r="D183" s="83" t="s">
        <v>1573</v>
      </c>
      <c r="E183" s="59" t="s">
        <v>103</v>
      </c>
      <c r="F183" s="293" t="s">
        <v>1570</v>
      </c>
      <c r="G183" s="293" t="s">
        <v>1570</v>
      </c>
      <c r="H183" s="86">
        <v>375</v>
      </c>
      <c r="I183" s="294">
        <f t="shared" si="24"/>
        <v>562.5</v>
      </c>
      <c r="J183" s="59" t="s">
        <v>1008</v>
      </c>
      <c r="K183" s="83" t="s">
        <v>1574</v>
      </c>
      <c r="L183" s="83" t="str">
        <f t="shared" si="1"/>
        <v>HDMI 2.0 Cable 4K 3m
HDMI 2.0 Cable 4K HDMI Male to Male High Speed HDMI Adapter
3 Meter</v>
      </c>
      <c r="M183" s="83"/>
      <c r="N183" s="59"/>
      <c r="O183" s="59"/>
      <c r="P183" s="86">
        <f t="shared" si="2"/>
        <v>0</v>
      </c>
      <c r="Q183" s="59" t="s">
        <v>4741</v>
      </c>
      <c r="R183" s="59" t="str">
        <f t="shared" si="27"/>
        <v>SAFE</v>
      </c>
      <c r="S183" s="59">
        <f t="shared" si="28"/>
        <v>0</v>
      </c>
      <c r="T183" s="59"/>
      <c r="U183" s="290"/>
      <c r="V183" s="290"/>
      <c r="W183" s="290"/>
      <c r="X183" s="290"/>
      <c r="Y183" s="290"/>
      <c r="Z183" s="290"/>
      <c r="AA183" s="290"/>
      <c r="AB183" s="290"/>
      <c r="AC183" s="290"/>
      <c r="AD183" s="290"/>
    </row>
    <row r="184" spans="1:30" ht="38.25">
      <c r="A184" s="291">
        <f t="shared" si="3"/>
        <v>183</v>
      </c>
      <c r="B184" s="291" t="s">
        <v>1575</v>
      </c>
      <c r="C184" s="291" t="str">
        <f>IF(D183="","",UNIT!$B$1&amp;"-"&amp;B184)</f>
        <v>ICT-MIS-00183</v>
      </c>
      <c r="D184" s="83" t="s">
        <v>1576</v>
      </c>
      <c r="E184" s="59" t="s">
        <v>103</v>
      </c>
      <c r="F184" s="293" t="s">
        <v>1570</v>
      </c>
      <c r="G184" s="293" t="s">
        <v>1570</v>
      </c>
      <c r="H184" s="86">
        <v>525</v>
      </c>
      <c r="I184" s="294">
        <f t="shared" si="24"/>
        <v>787.5</v>
      </c>
      <c r="J184" s="59" t="s">
        <v>1008</v>
      </c>
      <c r="K184" s="83" t="s">
        <v>1577</v>
      </c>
      <c r="L184" s="83" t="str">
        <f t="shared" si="1"/>
        <v>HDMI 2.0 Cable 4K 5m
HDMI 2.0 Cable 4K HDMI Male to Male High Speed HDMI Adapter
5 Meter</v>
      </c>
      <c r="M184" s="83"/>
      <c r="N184" s="59"/>
      <c r="O184" s="59"/>
      <c r="P184" s="86">
        <f t="shared" si="2"/>
        <v>0</v>
      </c>
      <c r="Q184" s="59" t="s">
        <v>4741</v>
      </c>
      <c r="R184" s="59" t="str">
        <f t="shared" si="27"/>
        <v>SAFE</v>
      </c>
      <c r="S184" s="59">
        <f t="shared" si="28"/>
        <v>0</v>
      </c>
      <c r="T184" s="59"/>
      <c r="U184" s="290"/>
      <c r="V184" s="290"/>
      <c r="W184" s="290"/>
      <c r="X184" s="290"/>
      <c r="Y184" s="290"/>
      <c r="Z184" s="290"/>
      <c r="AA184" s="290"/>
      <c r="AB184" s="290"/>
      <c r="AC184" s="290"/>
      <c r="AD184" s="290"/>
    </row>
    <row r="185" spans="1:30" ht="38.25">
      <c r="A185" s="291">
        <f t="shared" si="3"/>
        <v>184</v>
      </c>
      <c r="B185" s="291" t="s">
        <v>1578</v>
      </c>
      <c r="C185" s="291" t="str">
        <f>IF(D184="","",UNIT!$B$1&amp;"-"&amp;B185)</f>
        <v>ICT-MIS-00184</v>
      </c>
      <c r="D185" s="83" t="s">
        <v>225</v>
      </c>
      <c r="E185" s="59" t="s">
        <v>103</v>
      </c>
      <c r="F185" s="293" t="s">
        <v>1570</v>
      </c>
      <c r="G185" s="293" t="s">
        <v>1570</v>
      </c>
      <c r="H185" s="86">
        <v>1500</v>
      </c>
      <c r="I185" s="294">
        <f t="shared" si="24"/>
        <v>2250</v>
      </c>
      <c r="J185" s="59" t="s">
        <v>1008</v>
      </c>
      <c r="K185" s="83" t="s">
        <v>1579</v>
      </c>
      <c r="L185" s="83" t="str">
        <f t="shared" si="1"/>
        <v>HDMI 2.0 Cable 4K 10m
HDMI 2.0 Cable 4K HDMI Male to Male High Speed HDMI Adapter
10 Meter</v>
      </c>
      <c r="M185" s="83"/>
      <c r="N185" s="59" t="s">
        <v>957</v>
      </c>
      <c r="O185" s="59">
        <v>10</v>
      </c>
      <c r="P185" s="86">
        <f t="shared" si="2"/>
        <v>22500</v>
      </c>
      <c r="Q185" s="59" t="s">
        <v>4741</v>
      </c>
      <c r="R185" s="59" t="str">
        <f t="shared" si="27"/>
        <v>SAFE</v>
      </c>
      <c r="S185" s="59">
        <f t="shared" si="28"/>
        <v>10</v>
      </c>
      <c r="T185" s="59"/>
      <c r="U185" s="290"/>
      <c r="V185" s="290"/>
      <c r="W185" s="290"/>
      <c r="X185" s="290"/>
      <c r="Y185" s="290"/>
      <c r="Z185" s="290"/>
      <c r="AA185" s="290"/>
      <c r="AB185" s="290"/>
      <c r="AC185" s="290"/>
      <c r="AD185" s="290"/>
    </row>
    <row r="186" spans="1:30" ht="25.5">
      <c r="A186" s="291">
        <f t="shared" si="3"/>
        <v>185</v>
      </c>
      <c r="B186" s="291" t="s">
        <v>1580</v>
      </c>
      <c r="C186" s="291" t="str">
        <f>IF(D185="","",UNIT!$B$1&amp;"-"&amp;B186)</f>
        <v>ICT-MIS-00185</v>
      </c>
      <c r="D186" s="83" t="s">
        <v>1581</v>
      </c>
      <c r="E186" s="59" t="s">
        <v>103</v>
      </c>
      <c r="F186" s="82" t="s">
        <v>1582</v>
      </c>
      <c r="G186" s="82" t="s">
        <v>1582</v>
      </c>
      <c r="H186" s="86">
        <v>580</v>
      </c>
      <c r="I186" s="294">
        <f t="shared" si="24"/>
        <v>870</v>
      </c>
      <c r="J186" s="59" t="s">
        <v>1008</v>
      </c>
      <c r="K186" s="83" t="s">
        <v>1581</v>
      </c>
      <c r="L186" s="83" t="str">
        <f t="shared" si="1"/>
        <v>RISO Ink Compatible to existing RISO SF 5130
RISO Ink Compatible to existing RISO SF 5130</v>
      </c>
      <c r="M186" s="83"/>
      <c r="N186" s="59"/>
      <c r="O186" s="59"/>
      <c r="P186" s="86">
        <f t="shared" si="2"/>
        <v>0</v>
      </c>
      <c r="Q186" s="59" t="s">
        <v>4741</v>
      </c>
      <c r="R186" s="59"/>
      <c r="S186" s="59"/>
      <c r="T186" s="59"/>
      <c r="U186" s="290"/>
      <c r="V186" s="290"/>
      <c r="W186" s="290"/>
      <c r="X186" s="290"/>
      <c r="Y186" s="290"/>
      <c r="Z186" s="290"/>
      <c r="AA186" s="290"/>
      <c r="AB186" s="290"/>
      <c r="AC186" s="290"/>
      <c r="AD186" s="290"/>
    </row>
    <row r="187" spans="1:30" ht="25.5">
      <c r="A187" s="291">
        <f t="shared" si="3"/>
        <v>186</v>
      </c>
      <c r="B187" s="291" t="s">
        <v>1583</v>
      </c>
      <c r="C187" s="291" t="str">
        <f>IF(D186="","",UNIT!$B$1&amp;"-"&amp;B187)</f>
        <v>ICT-MIS-00186</v>
      </c>
      <c r="D187" s="83" t="s">
        <v>1584</v>
      </c>
      <c r="E187" s="59" t="s">
        <v>103</v>
      </c>
      <c r="F187" s="82" t="s">
        <v>1582</v>
      </c>
      <c r="G187" s="82" t="s">
        <v>1582</v>
      </c>
      <c r="H187" s="86">
        <v>590</v>
      </c>
      <c r="I187" s="294">
        <f t="shared" si="24"/>
        <v>885</v>
      </c>
      <c r="J187" s="59" t="s">
        <v>1008</v>
      </c>
      <c r="K187" s="83" t="s">
        <v>1584</v>
      </c>
      <c r="L187" s="83" t="str">
        <f t="shared" si="1"/>
        <v>RISO Ink Compatible to existing RISO EZ 371A
RISO Ink Compatible to existing RISO EZ 371A</v>
      </c>
      <c r="M187" s="83"/>
      <c r="N187" s="59"/>
      <c r="O187" s="59"/>
      <c r="P187" s="86">
        <f t="shared" si="2"/>
        <v>0</v>
      </c>
      <c r="Q187" s="59" t="s">
        <v>4741</v>
      </c>
      <c r="R187" s="59"/>
      <c r="S187" s="59"/>
      <c r="T187" s="59"/>
      <c r="U187" s="290"/>
      <c r="V187" s="290"/>
      <c r="W187" s="290"/>
      <c r="X187" s="290"/>
      <c r="Y187" s="290"/>
      <c r="Z187" s="290"/>
      <c r="AA187" s="290"/>
      <c r="AB187" s="290"/>
      <c r="AC187" s="290"/>
      <c r="AD187" s="290"/>
    </row>
    <row r="188" spans="1:30" ht="25.5">
      <c r="A188" s="291">
        <f t="shared" si="3"/>
        <v>187</v>
      </c>
      <c r="B188" s="291" t="s">
        <v>1585</v>
      </c>
      <c r="C188" s="291" t="str">
        <f>IF(D187="","",UNIT!$B$1&amp;"-"&amp;B188)</f>
        <v>ICT-MIS-00187</v>
      </c>
      <c r="D188" s="83" t="s">
        <v>388</v>
      </c>
      <c r="E188" s="59" t="s">
        <v>103</v>
      </c>
      <c r="F188" s="293" t="s">
        <v>1586</v>
      </c>
      <c r="G188" s="293" t="s">
        <v>1586</v>
      </c>
      <c r="H188" s="86">
        <v>400</v>
      </c>
      <c r="I188" s="294">
        <f t="shared" si="24"/>
        <v>600</v>
      </c>
      <c r="J188" s="59" t="s">
        <v>1008</v>
      </c>
      <c r="K188" s="83" t="s">
        <v>388</v>
      </c>
      <c r="L188" s="83" t="str">
        <f t="shared" si="1"/>
        <v>HP 680 Tri-Color Ink Cartridge
HP 680 Tri-Color Ink Cartridge</v>
      </c>
      <c r="M188" s="83"/>
      <c r="N188" s="59"/>
      <c r="O188" s="59"/>
      <c r="P188" s="86">
        <f t="shared" si="2"/>
        <v>0</v>
      </c>
      <c r="Q188" s="59" t="s">
        <v>4741</v>
      </c>
      <c r="R188" s="59"/>
      <c r="S188" s="59"/>
      <c r="T188" s="59"/>
      <c r="U188" s="290"/>
      <c r="V188" s="290"/>
      <c r="W188" s="290"/>
      <c r="X188" s="290"/>
      <c r="Y188" s="290"/>
      <c r="Z188" s="290"/>
      <c r="AA188" s="290"/>
      <c r="AB188" s="290"/>
      <c r="AC188" s="290"/>
      <c r="AD188" s="290"/>
    </row>
    <row r="189" spans="1:30" ht="25.5">
      <c r="A189" s="291">
        <f t="shared" si="3"/>
        <v>188</v>
      </c>
      <c r="B189" s="291" t="s">
        <v>1587</v>
      </c>
      <c r="C189" s="291" t="str">
        <f>IF(D188="","",UNIT!$B$1&amp;"-"&amp;B189)</f>
        <v>ICT-MIS-00188</v>
      </c>
      <c r="D189" s="83" t="s">
        <v>1588</v>
      </c>
      <c r="E189" s="59" t="s">
        <v>103</v>
      </c>
      <c r="F189" s="293" t="s">
        <v>1589</v>
      </c>
      <c r="G189" s="293" t="s">
        <v>1589</v>
      </c>
      <c r="H189" s="86">
        <v>2500</v>
      </c>
      <c r="I189" s="294">
        <f t="shared" si="24"/>
        <v>3750</v>
      </c>
      <c r="J189" s="59" t="s">
        <v>1008</v>
      </c>
      <c r="K189" s="83" t="s">
        <v>1590</v>
      </c>
      <c r="L189" s="83" t="str">
        <f t="shared" si="1"/>
        <v>HP Laserjet P1102 Cartridge
HP Laserjet P1102/P1102W Print Cartridge</v>
      </c>
      <c r="M189" s="83"/>
      <c r="N189" s="59"/>
      <c r="O189" s="59"/>
      <c r="P189" s="86">
        <f t="shared" si="2"/>
        <v>0</v>
      </c>
      <c r="Q189" s="59" t="s">
        <v>4741</v>
      </c>
      <c r="R189" s="59"/>
      <c r="S189" s="59"/>
      <c r="T189" s="59"/>
      <c r="U189" s="290"/>
      <c r="V189" s="290"/>
      <c r="W189" s="290"/>
      <c r="X189" s="290"/>
      <c r="Y189" s="290"/>
      <c r="Z189" s="290"/>
      <c r="AA189" s="290"/>
      <c r="AB189" s="290"/>
      <c r="AC189" s="290"/>
      <c r="AD189" s="290"/>
    </row>
    <row r="190" spans="1:30" ht="63.75">
      <c r="A190" s="291">
        <f t="shared" si="3"/>
        <v>189</v>
      </c>
      <c r="B190" s="291" t="s">
        <v>1591</v>
      </c>
      <c r="C190" s="291" t="str">
        <f>IF(D189="","",UNIT!$B$1&amp;"-"&amp;B190)</f>
        <v>ICT-MIS-00189</v>
      </c>
      <c r="D190" s="83" t="s">
        <v>150</v>
      </c>
      <c r="E190" s="59" t="s">
        <v>103</v>
      </c>
      <c r="F190" s="293" t="s">
        <v>1592</v>
      </c>
      <c r="G190" s="293" t="s">
        <v>1592</v>
      </c>
      <c r="H190" s="86">
        <v>8000</v>
      </c>
      <c r="I190" s="294">
        <f t="shared" si="24"/>
        <v>12000</v>
      </c>
      <c r="J190" s="59" t="s">
        <v>954</v>
      </c>
      <c r="K190" s="83" t="s">
        <v>1593</v>
      </c>
      <c r="L190" s="83" t="str">
        <f t="shared" si="1"/>
        <v>Android Tablet 10.5"
Octa core processor
10", Wi-Fi [4GB RAM + 64GB ROM] or more
8.0 MP Rear Camera - Resolution
Quad Speakers with sound by Dolby Atmos</v>
      </c>
      <c r="M190" s="83" t="s">
        <v>1594</v>
      </c>
      <c r="N190" s="59"/>
      <c r="O190" s="59"/>
      <c r="P190" s="86">
        <f t="shared" si="2"/>
        <v>0</v>
      </c>
      <c r="Q190" s="59" t="s">
        <v>4741</v>
      </c>
      <c r="R190" s="59"/>
      <c r="S190" s="59"/>
      <c r="T190" s="59"/>
      <c r="U190" s="290"/>
      <c r="V190" s="290"/>
      <c r="W190" s="290"/>
      <c r="X190" s="290"/>
      <c r="Y190" s="290"/>
      <c r="Z190" s="290"/>
      <c r="AA190" s="290"/>
      <c r="AB190" s="290"/>
      <c r="AC190" s="290"/>
      <c r="AD190" s="290"/>
    </row>
    <row r="191" spans="1:30" ht="76.5">
      <c r="A191" s="291">
        <f t="shared" si="3"/>
        <v>190</v>
      </c>
      <c r="B191" s="291" t="s">
        <v>1595</v>
      </c>
      <c r="C191" s="291" t="str">
        <f>IF(D190="","",UNIT!$B$1&amp;"-"&amp;B191)</f>
        <v>ICT-MIS-00190</v>
      </c>
      <c r="D191" s="83" t="s">
        <v>527</v>
      </c>
      <c r="E191" s="59" t="s">
        <v>103</v>
      </c>
      <c r="F191" s="293" t="s">
        <v>1596</v>
      </c>
      <c r="G191" s="293" t="s">
        <v>1596</v>
      </c>
      <c r="H191" s="86">
        <v>15000</v>
      </c>
      <c r="I191" s="294">
        <f t="shared" si="24"/>
        <v>22500</v>
      </c>
      <c r="J191" s="59" t="s">
        <v>954</v>
      </c>
      <c r="K191" s="83" t="s">
        <v>1597</v>
      </c>
      <c r="L191" s="83" t="str">
        <f t="shared" si="1"/>
        <v>Android Tablet (USB-C) 10" screen with pen
Octa core processor
10", Wi-Fi [4GB RAM + 128GB ROM] or more
8.0 MP Rear Camera - Resolution
Quad Speakers with sound by Dolby Atmos
with Pen</v>
      </c>
      <c r="M191" s="83" t="s">
        <v>1598</v>
      </c>
      <c r="N191" s="59"/>
      <c r="O191" s="59"/>
      <c r="P191" s="86">
        <f t="shared" si="2"/>
        <v>0</v>
      </c>
      <c r="Q191" s="59" t="s">
        <v>4741</v>
      </c>
      <c r="R191" s="59"/>
      <c r="S191" s="59"/>
      <c r="T191" s="59"/>
      <c r="U191" s="290"/>
      <c r="V191" s="290"/>
      <c r="W191" s="290"/>
      <c r="X191" s="290"/>
      <c r="Y191" s="290"/>
      <c r="Z191" s="290"/>
      <c r="AA191" s="290"/>
      <c r="AB191" s="290"/>
      <c r="AC191" s="290"/>
      <c r="AD191" s="290"/>
    </row>
    <row r="192" spans="1:30" ht="51">
      <c r="A192" s="291">
        <f t="shared" si="3"/>
        <v>191</v>
      </c>
      <c r="B192" s="291" t="s">
        <v>1599</v>
      </c>
      <c r="C192" s="291" t="str">
        <f>IF(D191="","",UNIT!$B$1&amp;"-"&amp;B192)</f>
        <v>ICT-MIS-00191</v>
      </c>
      <c r="D192" s="83" t="s">
        <v>1600</v>
      </c>
      <c r="E192" s="59" t="s">
        <v>103</v>
      </c>
      <c r="F192" s="293" t="s">
        <v>1601</v>
      </c>
      <c r="G192" s="293" t="s">
        <v>1601</v>
      </c>
      <c r="H192" s="86">
        <v>17000</v>
      </c>
      <c r="I192" s="294">
        <f t="shared" si="24"/>
        <v>25500</v>
      </c>
      <c r="J192" s="59" t="s">
        <v>954</v>
      </c>
      <c r="K192" s="83" t="s">
        <v>1602</v>
      </c>
      <c r="L192" s="83" t="str">
        <f t="shared" si="1"/>
        <v>LCD Signature Pad
Sensor Type: 3rd-generation touch-screen, Rated to 1 million signatures
Pen Type: Rugged, passive pen &amp; tether, Patented, battery-less
Signing Area: 4.4” x 1.3” (112mm x 33mm) or more</v>
      </c>
      <c r="M192" s="83" t="s">
        <v>1603</v>
      </c>
      <c r="N192" s="59"/>
      <c r="O192" s="59"/>
      <c r="P192" s="86">
        <f t="shared" si="2"/>
        <v>0</v>
      </c>
      <c r="Q192" s="59" t="s">
        <v>4741</v>
      </c>
      <c r="R192" s="59"/>
      <c r="S192" s="59"/>
      <c r="T192" s="59"/>
      <c r="U192" s="290"/>
      <c r="V192" s="290"/>
      <c r="W192" s="290"/>
      <c r="X192" s="290"/>
      <c r="Y192" s="290"/>
      <c r="Z192" s="290"/>
      <c r="AA192" s="290"/>
      <c r="AB192" s="290"/>
      <c r="AC192" s="290"/>
      <c r="AD192" s="290"/>
    </row>
    <row r="193" spans="1:30" ht="25.5">
      <c r="A193" s="291">
        <f t="shared" si="3"/>
        <v>192</v>
      </c>
      <c r="B193" s="291" t="s">
        <v>1604</v>
      </c>
      <c r="C193" s="291" t="str">
        <f>IF(D192="","",UNIT!$B$1&amp;"-"&amp;B193)</f>
        <v>ICT-MIS-00192</v>
      </c>
      <c r="D193" s="83" t="s">
        <v>408</v>
      </c>
      <c r="E193" s="59" t="s">
        <v>758</v>
      </c>
      <c r="F193" s="82" t="s">
        <v>1605</v>
      </c>
      <c r="G193" s="82" t="s">
        <v>1605</v>
      </c>
      <c r="H193" s="86">
        <v>3600</v>
      </c>
      <c r="I193" s="86">
        <v>648000</v>
      </c>
      <c r="J193" s="59" t="s">
        <v>1445</v>
      </c>
      <c r="K193" s="83" t="s">
        <v>408</v>
      </c>
      <c r="L193" s="83" t="str">
        <f t="shared" si="1"/>
        <v>Smart Phone Bill for Telemedicine
Smart Phone Bill for Telemedicine</v>
      </c>
      <c r="M193" s="83"/>
      <c r="N193" s="59" t="s">
        <v>957</v>
      </c>
      <c r="O193" s="59">
        <v>1</v>
      </c>
      <c r="P193" s="86">
        <f t="shared" si="2"/>
        <v>648000</v>
      </c>
      <c r="Q193" s="59" t="s">
        <v>4741</v>
      </c>
      <c r="R193" s="59" t="str">
        <f t="shared" ref="R193:R195" si="29">IF(O193&lt;=Q193,"SAFE","TAGPAS")</f>
        <v>SAFE</v>
      </c>
      <c r="S193" s="59">
        <f t="shared" ref="S193:S195" si="30">IF(O193&lt;=Q193,O193,Q193)</f>
        <v>1</v>
      </c>
      <c r="T193" s="59"/>
      <c r="U193" s="290"/>
      <c r="V193" s="290"/>
      <c r="W193" s="290"/>
      <c r="X193" s="290"/>
      <c r="Y193" s="290"/>
      <c r="Z193" s="290"/>
      <c r="AA193" s="290"/>
      <c r="AB193" s="290"/>
      <c r="AC193" s="290"/>
      <c r="AD193" s="290"/>
    </row>
    <row r="194" spans="1:30" ht="306">
      <c r="A194" s="291">
        <f t="shared" si="3"/>
        <v>193</v>
      </c>
      <c r="B194" s="291" t="s">
        <v>1606</v>
      </c>
      <c r="C194" s="291" t="str">
        <f>IF(D193="","",UNIT!$B$1&amp;"-"&amp;B194)</f>
        <v>ICT-MIS-00193</v>
      </c>
      <c r="D194" s="83" t="s">
        <v>168</v>
      </c>
      <c r="E194" s="59" t="s">
        <v>118</v>
      </c>
      <c r="F194" s="82"/>
      <c r="G194" s="82"/>
      <c r="H194" s="86">
        <v>50000</v>
      </c>
      <c r="I194" s="294">
        <f t="shared" ref="I194:I203" si="31">IF(H194&gt;1,H194*1.5,"")</f>
        <v>75000</v>
      </c>
      <c r="J194" s="59" t="s">
        <v>954</v>
      </c>
      <c r="K194" s="83" t="s">
        <v>1607</v>
      </c>
      <c r="L194" s="83" t="str">
        <f t="shared" si="1"/>
        <v>Branded Desktop Computer Set
Processor: Intel Core i7-12700F, 25MB Cache, 4.9GHz
System Memory: 16GB DDR4 3200MHz
Display Card: 4GB DDR4 Graphic Cards
Hard Drive Storage: 512GB SSD Boot Drive +
1TB HDD Sata Drive
Monitor: 24" Full HD IPS Panel, 1920 x 1080 resolution
LAN Support: 10/100/1000 Mb/s LAN Subsystem
Gigabit Ethernet Controller
With Intel Dual Band WiFi 6 AX 201 2x2 AX + 
Bluetooth 5.2
Power Supply: 350 watts High Efficiency Power Supply
Front Ports:
Two Super Speed USB 3.0 front and Two USB 2.0 ports, 2x Audio Jack Ports, 1x Type C Port
Rear Ports:
2 X USB 3.2 Gen 2x1 Type A port(s), 2 X USB2.0 port(s), 2x PS2 Ports, 3 Audio Jack Ports (Line Out/Line In/Mic In), 1 x HDMI 2.0 Port, 1 x VGA Port, 1 x Display Port, 1 x RJ45 Port
OS: Windows 11 Pro 
Additional Features: Energy Star Version 6.1
Accessories: USB Mouse, USB Keyboard, Bluetooth,
Speaker, UPS 650VA, 360 watts
Warranty: at least 3-year limited parts warranty
and services</v>
      </c>
      <c r="M194" s="83" t="s">
        <v>1608</v>
      </c>
      <c r="N194" s="59" t="s">
        <v>957</v>
      </c>
      <c r="O194" s="59">
        <v>5</v>
      </c>
      <c r="P194" s="86">
        <f t="shared" si="2"/>
        <v>375000</v>
      </c>
      <c r="Q194" s="59" t="s">
        <v>4741</v>
      </c>
      <c r="R194" s="59" t="str">
        <f t="shared" si="29"/>
        <v>SAFE</v>
      </c>
      <c r="S194" s="59">
        <f t="shared" si="30"/>
        <v>5</v>
      </c>
      <c r="T194" s="59"/>
      <c r="U194" s="290"/>
      <c r="V194" s="290"/>
      <c r="W194" s="290"/>
      <c r="X194" s="290"/>
      <c r="Y194" s="290"/>
      <c r="Z194" s="290"/>
      <c r="AA194" s="290"/>
      <c r="AB194" s="290"/>
      <c r="AC194" s="290"/>
      <c r="AD194" s="290"/>
    </row>
    <row r="195" spans="1:30" ht="102">
      <c r="A195" s="291">
        <f t="shared" si="3"/>
        <v>194</v>
      </c>
      <c r="B195" s="291" t="s">
        <v>1609</v>
      </c>
      <c r="C195" s="291" t="str">
        <f>IF(D194="","",UNIT!$B$1&amp;"-"&amp;B195)</f>
        <v>ICT-MIS-00194</v>
      </c>
      <c r="D195" s="83" t="s">
        <v>182</v>
      </c>
      <c r="E195" s="59" t="s">
        <v>118</v>
      </c>
      <c r="F195" s="82"/>
      <c r="G195" s="82"/>
      <c r="H195" s="86">
        <v>48000</v>
      </c>
      <c r="I195" s="294">
        <f t="shared" si="31"/>
        <v>72000</v>
      </c>
      <c r="J195" s="59" t="s">
        <v>954</v>
      </c>
      <c r="K195" s="83" t="s">
        <v>1610</v>
      </c>
      <c r="L195" s="83" t="str">
        <f t="shared" si="1"/>
        <v>Branded Laptop
Core i7-1195G7 processor 2.9 GHz, at least 16GB DDR4 (8GB of onboard DDR4 system memory + 8GB of dual-channel DDR4), 1TB NVMe SSD, 15.6 inches display Full HD 1920 x 1080, Intel Iris Xe Graphics, Genuine Windows 11 Pro or higher
Gigabit Ethernet, Wi-Fi  6
with Charger
Warranty: at least 1-year limited parts warranty
and services</v>
      </c>
      <c r="M195" s="83" t="s">
        <v>1611</v>
      </c>
      <c r="N195" s="59"/>
      <c r="O195" s="59"/>
      <c r="P195" s="86">
        <f t="shared" si="2"/>
        <v>0</v>
      </c>
      <c r="Q195" s="59" t="s">
        <v>4741</v>
      </c>
      <c r="R195" s="59" t="str">
        <f t="shared" si="29"/>
        <v>SAFE</v>
      </c>
      <c r="S195" s="59">
        <f t="shared" si="30"/>
        <v>0</v>
      </c>
      <c r="T195" s="59"/>
      <c r="U195" s="290"/>
      <c r="V195" s="290"/>
      <c r="W195" s="290"/>
      <c r="X195" s="290"/>
      <c r="Y195" s="290"/>
      <c r="Z195" s="290"/>
      <c r="AA195" s="290"/>
      <c r="AB195" s="290"/>
      <c r="AC195" s="290"/>
      <c r="AD195" s="290"/>
    </row>
    <row r="196" spans="1:30" ht="51">
      <c r="A196" s="291">
        <f t="shared" si="3"/>
        <v>195</v>
      </c>
      <c r="B196" s="291" t="s">
        <v>1612</v>
      </c>
      <c r="C196" s="291" t="str">
        <f>IF(D195="","",UNIT!$B$1&amp;"-"&amp;B196)</f>
        <v>ICT-MIS-00195</v>
      </c>
      <c r="D196" s="83" t="s">
        <v>1613</v>
      </c>
      <c r="E196" s="59" t="s">
        <v>103</v>
      </c>
      <c r="F196" s="295" t="s">
        <v>1614</v>
      </c>
      <c r="G196" s="293" t="s">
        <v>1614</v>
      </c>
      <c r="H196" s="86">
        <v>35000</v>
      </c>
      <c r="I196" s="294">
        <f t="shared" si="31"/>
        <v>52500</v>
      </c>
      <c r="J196" s="59" t="s">
        <v>954</v>
      </c>
      <c r="K196" s="83" t="s">
        <v>1615</v>
      </c>
      <c r="L196" s="83" t="str">
        <f t="shared" si="1"/>
        <v>Branded CPU
Core i7-12700 12 cores 2.1GHz, 16GB RAM, 512GB M.2 SSD + 1TB HDD (HYBRID) , 2GB DDR5 Video Card
with Genuine Win10 OS or higher
Gigabit Ethernet and Wireless LAN</v>
      </c>
      <c r="M196" s="83" t="s">
        <v>1608</v>
      </c>
      <c r="N196" s="59"/>
      <c r="O196" s="59"/>
      <c r="P196" s="86">
        <f t="shared" si="2"/>
        <v>0</v>
      </c>
      <c r="Q196" s="59"/>
      <c r="R196" s="59"/>
      <c r="S196" s="59"/>
      <c r="T196" s="59"/>
      <c r="U196" s="290"/>
      <c r="V196" s="290"/>
      <c r="W196" s="290"/>
      <c r="X196" s="290"/>
      <c r="Y196" s="290"/>
      <c r="Z196" s="290"/>
      <c r="AA196" s="290"/>
      <c r="AB196" s="290"/>
      <c r="AC196" s="290"/>
      <c r="AD196" s="290"/>
    </row>
    <row r="197" spans="1:30" ht="51">
      <c r="A197" s="291">
        <f t="shared" si="3"/>
        <v>196</v>
      </c>
      <c r="B197" s="291" t="s">
        <v>1616</v>
      </c>
      <c r="C197" s="291" t="str">
        <f>IF(D196="","",UNIT!$B$1&amp;"-"&amp;B197)</f>
        <v>ICT-MIS-00196</v>
      </c>
      <c r="D197" s="83" t="s">
        <v>276</v>
      </c>
      <c r="E197" s="59" t="s">
        <v>103</v>
      </c>
      <c r="F197" s="295" t="s">
        <v>1617</v>
      </c>
      <c r="G197" s="295" t="s">
        <v>1618</v>
      </c>
      <c r="H197" s="86">
        <v>250</v>
      </c>
      <c r="I197" s="294">
        <f t="shared" si="31"/>
        <v>375</v>
      </c>
      <c r="J197" s="59" t="s">
        <v>1008</v>
      </c>
      <c r="K197" s="83" t="s">
        <v>1619</v>
      </c>
      <c r="L197" s="83" t="str">
        <f t="shared" si="1"/>
        <v>Wired USB Numeric Keypad (Black)
Sleek Round-Square Keycaps
Cable Length: 120 cm or higher
Compatible Windows XP / Vista / 7 / 8 / 8.1 / 10  or higher</v>
      </c>
      <c r="M197" s="83"/>
      <c r="N197" s="59" t="s">
        <v>957</v>
      </c>
      <c r="O197" s="59">
        <v>10</v>
      </c>
      <c r="P197" s="86">
        <f t="shared" si="2"/>
        <v>3750</v>
      </c>
      <c r="Q197" s="59" t="s">
        <v>4741</v>
      </c>
      <c r="R197" s="59" t="str">
        <f>IF(O197&lt;=Q197,"SAFE","TAGPAS")</f>
        <v>SAFE</v>
      </c>
      <c r="S197" s="59">
        <f>IF(O197&lt;=Q197,O197,Q197)</f>
        <v>10</v>
      </c>
      <c r="T197" s="59"/>
      <c r="U197" s="290"/>
      <c r="V197" s="290"/>
      <c r="W197" s="290"/>
      <c r="X197" s="290"/>
      <c r="Y197" s="290"/>
      <c r="Z197" s="290"/>
      <c r="AA197" s="290"/>
      <c r="AB197" s="290"/>
      <c r="AC197" s="290"/>
      <c r="AD197" s="290"/>
    </row>
    <row r="198" spans="1:30" ht="153">
      <c r="A198" s="291">
        <f t="shared" si="3"/>
        <v>197</v>
      </c>
      <c r="B198" s="291" t="s">
        <v>1620</v>
      </c>
      <c r="C198" s="291" t="str">
        <f>IF(D197="","",UNIT!$B$1&amp;"-"&amp;B198)</f>
        <v>ICT-MIS-00197</v>
      </c>
      <c r="D198" s="83" t="s">
        <v>146</v>
      </c>
      <c r="E198" s="59" t="s">
        <v>118</v>
      </c>
      <c r="F198" s="293" t="s">
        <v>1621</v>
      </c>
      <c r="G198" s="293" t="s">
        <v>1621</v>
      </c>
      <c r="H198" s="86">
        <v>130000</v>
      </c>
      <c r="I198" s="294">
        <f t="shared" si="31"/>
        <v>195000</v>
      </c>
      <c r="J198" s="59" t="s">
        <v>954</v>
      </c>
      <c r="K198" s="83" t="s">
        <v>1622</v>
      </c>
      <c r="L198" s="83" t="str">
        <f t="shared" si="1"/>
        <v>A3 Full-Colour Digital Copier, Full-Colour Network Printer,&amp; Full-Colour Network Scanner
Maintenance kit life: 200,000 copies or prints
Copy or print speed: 24 pages per minute(A4)
CPU: ARM Cortex-A9 Dual-core 1.2 GHz
Memory: 1,536 MB RAM
Print resolution: 1,200 dpi x 1,200 dpi
With a 50-sheet Reversing Automatic Document Feeder
With Duplex Unit for automatic back-to-back copy or print
With Job Separator for separation of copy from print job
Functions: color copying, network color printing, network color scanning
With supplier’s dealer or distributor’s certificate from the manufacturer for after-sales service
Warranty: 1 year on parts and 2 years on service</v>
      </c>
      <c r="M198" s="83" t="s">
        <v>1623</v>
      </c>
      <c r="N198" s="59"/>
      <c r="O198" s="59"/>
      <c r="P198" s="86">
        <f t="shared" si="2"/>
        <v>0</v>
      </c>
      <c r="Q198" s="59" t="s">
        <v>4741</v>
      </c>
      <c r="R198" s="59"/>
      <c r="S198" s="59"/>
      <c r="T198" s="59"/>
      <c r="U198" s="290"/>
      <c r="V198" s="290"/>
      <c r="W198" s="290"/>
      <c r="X198" s="290"/>
      <c r="Y198" s="290"/>
      <c r="Z198" s="290"/>
      <c r="AA198" s="290"/>
      <c r="AB198" s="290"/>
      <c r="AC198" s="290"/>
      <c r="AD198" s="290"/>
    </row>
    <row r="199" spans="1:30" ht="25.5">
      <c r="A199" s="291">
        <f t="shared" si="3"/>
        <v>198</v>
      </c>
      <c r="B199" s="291" t="s">
        <v>1624</v>
      </c>
      <c r="C199" s="291" t="str">
        <f>IF(D198="","",UNIT!$B$1&amp;"-"&amp;B199)</f>
        <v>ICT-MIS-00198</v>
      </c>
      <c r="D199" s="83" t="s">
        <v>224</v>
      </c>
      <c r="E199" s="59" t="s">
        <v>118</v>
      </c>
      <c r="F199" s="82" t="s">
        <v>1625</v>
      </c>
      <c r="G199" s="82" t="s">
        <v>1625</v>
      </c>
      <c r="H199" s="86">
        <v>7000</v>
      </c>
      <c r="I199" s="294">
        <f t="shared" si="31"/>
        <v>10500</v>
      </c>
      <c r="J199" s="59" t="s">
        <v>954</v>
      </c>
      <c r="K199" s="83" t="s">
        <v>224</v>
      </c>
      <c r="L199" s="83" t="str">
        <f t="shared" si="1"/>
        <v>Hand-Held Radio dual band
Hand-Held Radio dual band</v>
      </c>
      <c r="M199" s="83"/>
      <c r="N199" s="59"/>
      <c r="O199" s="59"/>
      <c r="P199" s="86">
        <f t="shared" si="2"/>
        <v>0</v>
      </c>
      <c r="Q199" s="59" t="s">
        <v>4741</v>
      </c>
      <c r="R199" s="59"/>
      <c r="S199" s="59"/>
      <c r="T199" s="59"/>
      <c r="U199" s="290"/>
      <c r="V199" s="290"/>
      <c r="W199" s="290"/>
      <c r="X199" s="290"/>
      <c r="Y199" s="290"/>
      <c r="Z199" s="290"/>
      <c r="AA199" s="290"/>
      <c r="AB199" s="290"/>
      <c r="AC199" s="290"/>
      <c r="AD199" s="290"/>
    </row>
    <row r="200" spans="1:30" ht="25.5">
      <c r="A200" s="291">
        <f t="shared" si="3"/>
        <v>199</v>
      </c>
      <c r="B200" s="291" t="s">
        <v>1626</v>
      </c>
      <c r="C200" s="291" t="str">
        <f>IF(D199="","",UNIT!$B$1&amp;"-"&amp;B200)</f>
        <v>ICT-MIS-00199</v>
      </c>
      <c r="D200" s="83" t="s">
        <v>152</v>
      </c>
      <c r="E200" s="59" t="s">
        <v>118</v>
      </c>
      <c r="F200" s="82" t="s">
        <v>1625</v>
      </c>
      <c r="G200" s="82" t="s">
        <v>1625</v>
      </c>
      <c r="H200" s="86">
        <v>35000</v>
      </c>
      <c r="I200" s="294">
        <f t="shared" si="31"/>
        <v>52500</v>
      </c>
      <c r="J200" s="59" t="s">
        <v>954</v>
      </c>
      <c r="K200" s="83" t="s">
        <v>152</v>
      </c>
      <c r="L200" s="83" t="str">
        <f t="shared" si="1"/>
        <v>Base Radio dual band with antenna
Base Radio dual band with antenna</v>
      </c>
      <c r="M200" s="83"/>
      <c r="N200" s="59"/>
      <c r="O200" s="59"/>
      <c r="P200" s="86">
        <f t="shared" si="2"/>
        <v>0</v>
      </c>
      <c r="Q200" s="59" t="s">
        <v>4741</v>
      </c>
      <c r="R200" s="59"/>
      <c r="S200" s="59"/>
      <c r="T200" s="59"/>
      <c r="U200" s="290"/>
      <c r="V200" s="290"/>
      <c r="W200" s="290"/>
      <c r="X200" s="290"/>
      <c r="Y200" s="290"/>
      <c r="Z200" s="290"/>
      <c r="AA200" s="290"/>
      <c r="AB200" s="290"/>
      <c r="AC200" s="290"/>
      <c r="AD200" s="290"/>
    </row>
    <row r="201" spans="1:30" ht="25.5">
      <c r="A201" s="291">
        <f t="shared" si="3"/>
        <v>200</v>
      </c>
      <c r="B201" s="291" t="s">
        <v>1627</v>
      </c>
      <c r="C201" s="291" t="str">
        <f>IF(D200="","",UNIT!$B$1&amp;"-"&amp;B201)</f>
        <v>ICT-MIS-00200</v>
      </c>
      <c r="D201" s="304" t="s">
        <v>1628</v>
      </c>
      <c r="E201" s="59" t="s">
        <v>758</v>
      </c>
      <c r="F201" s="82"/>
      <c r="G201" s="82"/>
      <c r="H201" s="86">
        <v>400000</v>
      </c>
      <c r="I201" s="294">
        <f t="shared" si="31"/>
        <v>600000</v>
      </c>
      <c r="J201" s="59"/>
      <c r="K201" s="83" t="s">
        <v>1629</v>
      </c>
      <c r="L201" s="83" t="str">
        <f t="shared" si="1"/>
        <v>Maintenance Kit Various
Maintenance Kit for existing Kyocera Machines</v>
      </c>
      <c r="M201" s="83"/>
      <c r="N201" s="59"/>
      <c r="O201" s="59"/>
      <c r="P201" s="86">
        <f t="shared" si="2"/>
        <v>0</v>
      </c>
      <c r="Q201" s="59"/>
      <c r="R201" s="59"/>
      <c r="S201" s="59"/>
      <c r="T201" s="59"/>
      <c r="U201" s="290"/>
      <c r="V201" s="290"/>
      <c r="W201" s="290"/>
      <c r="X201" s="290"/>
      <c r="Y201" s="290"/>
      <c r="Z201" s="290"/>
      <c r="AA201" s="290"/>
      <c r="AB201" s="290"/>
      <c r="AC201" s="290"/>
      <c r="AD201" s="290"/>
    </row>
    <row r="202" spans="1:30" ht="51">
      <c r="A202" s="291">
        <f t="shared" si="3"/>
        <v>201</v>
      </c>
      <c r="B202" s="291" t="s">
        <v>1630</v>
      </c>
      <c r="C202" s="291" t="str">
        <f>IF(D201="","",UNIT!$B$1&amp;"-"&amp;B202)</f>
        <v>ICT-MIS-00201</v>
      </c>
      <c r="D202" s="83" t="s">
        <v>1631</v>
      </c>
      <c r="E202" s="59" t="s">
        <v>118</v>
      </c>
      <c r="F202" s="293" t="s">
        <v>1632</v>
      </c>
      <c r="G202" s="293" t="s">
        <v>1632</v>
      </c>
      <c r="H202" s="86">
        <v>10000</v>
      </c>
      <c r="I202" s="294">
        <f t="shared" si="31"/>
        <v>15000</v>
      </c>
      <c r="J202" s="59" t="s">
        <v>954</v>
      </c>
      <c r="K202" s="83" t="s">
        <v>1633</v>
      </c>
      <c r="L202" s="83" t="str">
        <f t="shared" si="1"/>
        <v>Camera Tripod
With G36 Ball head for Camera
Hex key to adjust tension on leg hinges
Push-and-pull center column with ballast hook for rapid camera, lens, or sport optic positioning</v>
      </c>
      <c r="M202" s="83"/>
      <c r="N202" s="59"/>
      <c r="O202" s="59"/>
      <c r="P202" s="86">
        <f t="shared" si="2"/>
        <v>0</v>
      </c>
      <c r="Q202" s="59" t="s">
        <v>4741</v>
      </c>
      <c r="R202" s="59"/>
      <c r="S202" s="59">
        <f t="shared" ref="S202:S203" si="32">IF(O202&lt;=Q202,O202,Q202)</f>
        <v>0</v>
      </c>
      <c r="T202" s="59"/>
      <c r="U202" s="290"/>
      <c r="V202" s="290"/>
      <c r="W202" s="290"/>
      <c r="X202" s="290"/>
      <c r="Y202" s="290"/>
      <c r="Z202" s="290"/>
      <c r="AA202" s="290"/>
      <c r="AB202" s="290"/>
      <c r="AC202" s="290"/>
      <c r="AD202" s="290"/>
    </row>
    <row r="203" spans="1:30" ht="140.25">
      <c r="A203" s="291">
        <f t="shared" si="3"/>
        <v>202</v>
      </c>
      <c r="B203" s="291" t="s">
        <v>1634</v>
      </c>
      <c r="C203" s="291" t="str">
        <f>IF(D202="","",UNIT!$B$1&amp;"-"&amp;B203)</f>
        <v>ICT-MIS-00202</v>
      </c>
      <c r="D203" s="83" t="s">
        <v>1635</v>
      </c>
      <c r="E203" s="59" t="s">
        <v>118</v>
      </c>
      <c r="F203" s="295" t="s">
        <v>1636</v>
      </c>
      <c r="G203" s="295" t="s">
        <v>1636</v>
      </c>
      <c r="H203" s="86">
        <v>15000</v>
      </c>
      <c r="I203" s="294">
        <f t="shared" si="31"/>
        <v>22500</v>
      </c>
      <c r="J203" s="59" t="s">
        <v>954</v>
      </c>
      <c r="K203" s="83" t="s">
        <v>1637</v>
      </c>
      <c r="L203" s="83" t="str">
        <f t="shared" si="1"/>
        <v>Camera Gimbal
1/4"-20 Mounting Hole
RSS Camera Control Port (USB-C)
NATO Expansion Port
Capacity: 2450 mAh or more
Bluetooth 5.1
USB-C Charging Port
0.4-2 kg (0.8-4.4 lbs) Tested Payload
Pan: 360°/s
Tilt: 360°/s
Roll: 360°/s</v>
      </c>
      <c r="M203" s="83"/>
      <c r="N203" s="59"/>
      <c r="O203" s="59"/>
      <c r="P203" s="86">
        <f t="shared" si="2"/>
        <v>0</v>
      </c>
      <c r="Q203" s="59" t="s">
        <v>4741</v>
      </c>
      <c r="R203" s="59"/>
      <c r="S203" s="59">
        <f t="shared" si="32"/>
        <v>0</v>
      </c>
      <c r="T203" s="59"/>
      <c r="U203" s="290"/>
      <c r="V203" s="290"/>
      <c r="W203" s="290"/>
      <c r="X203" s="290"/>
      <c r="Y203" s="290"/>
      <c r="Z203" s="290"/>
      <c r="AA203" s="290"/>
      <c r="AB203" s="290"/>
      <c r="AC203" s="290"/>
      <c r="AD203" s="290"/>
    </row>
    <row r="204" spans="1:30" ht="25.5">
      <c r="A204" s="291">
        <f t="shared" si="3"/>
        <v>203</v>
      </c>
      <c r="B204" s="291" t="s">
        <v>1638</v>
      </c>
      <c r="C204" s="291" t="str">
        <f>IF(D203="","",UNIT!$B$1&amp;"-"&amp;B204)</f>
        <v>ICT-MIS-00203</v>
      </c>
      <c r="D204" s="83" t="s">
        <v>1639</v>
      </c>
      <c r="E204" s="59" t="s">
        <v>118</v>
      </c>
      <c r="F204" s="82"/>
      <c r="G204" s="82"/>
      <c r="H204" s="86">
        <v>100000</v>
      </c>
      <c r="I204" s="86">
        <v>100000</v>
      </c>
      <c r="J204" s="59"/>
      <c r="K204" s="83" t="s">
        <v>1639</v>
      </c>
      <c r="L204" s="83" t="str">
        <f t="shared" si="1"/>
        <v>Various IEC Materials
Various IEC Materials</v>
      </c>
      <c r="M204" s="83"/>
      <c r="N204" s="59"/>
      <c r="O204" s="59"/>
      <c r="P204" s="86">
        <f t="shared" si="2"/>
        <v>0</v>
      </c>
      <c r="Q204" s="59"/>
      <c r="R204" s="59"/>
      <c r="S204" s="59"/>
      <c r="T204" s="59"/>
      <c r="U204" s="290"/>
      <c r="V204" s="290"/>
      <c r="W204" s="290"/>
      <c r="X204" s="290"/>
      <c r="Y204" s="290"/>
      <c r="Z204" s="290"/>
      <c r="AA204" s="290"/>
      <c r="AB204" s="290"/>
      <c r="AC204" s="290"/>
      <c r="AD204" s="290"/>
    </row>
    <row r="205" spans="1:30" ht="76.5">
      <c r="A205" s="291">
        <f t="shared" si="3"/>
        <v>204</v>
      </c>
      <c r="B205" s="291" t="s">
        <v>1640</v>
      </c>
      <c r="C205" s="291" t="str">
        <f>IF(D204="","",UNIT!$B$1&amp;"-"&amp;B205)</f>
        <v>ICT-MIS-00204</v>
      </c>
      <c r="D205" s="83" t="s">
        <v>1641</v>
      </c>
      <c r="E205" s="59" t="s">
        <v>103</v>
      </c>
      <c r="F205" s="293" t="s">
        <v>1642</v>
      </c>
      <c r="G205" s="293" t="s">
        <v>1642</v>
      </c>
      <c r="H205" s="86">
        <v>1300</v>
      </c>
      <c r="I205" s="294">
        <f t="shared" ref="I205:I234" si="33">IF(H205&gt;1,H205*1.5,"")</f>
        <v>1950</v>
      </c>
      <c r="J205" s="59" t="s">
        <v>954</v>
      </c>
      <c r="K205" s="83" t="s">
        <v>1643</v>
      </c>
      <c r="L205" s="83" t="str">
        <f t="shared" si="1"/>
        <v>120GB 2.5" Internal SSD
Form factor: 2.5”
Interface: SATA Rev. 3.0 (6Gb/s) – with backwards compatibility to SATA Rev. 2.0 (3Gb/s)
Capacities: 120GB or more
Baseline performance: up to 450MB/s read/write or more
Warranty: 2 years or more</v>
      </c>
      <c r="M205" s="83"/>
      <c r="N205" s="59"/>
      <c r="O205" s="59"/>
      <c r="P205" s="86">
        <f t="shared" si="2"/>
        <v>0</v>
      </c>
      <c r="Q205" s="59"/>
      <c r="R205" s="59"/>
      <c r="S205" s="59"/>
      <c r="T205" s="59"/>
      <c r="U205" s="290"/>
      <c r="V205" s="290"/>
      <c r="W205" s="290"/>
      <c r="X205" s="290"/>
      <c r="Y205" s="290"/>
      <c r="Z205" s="290"/>
      <c r="AA205" s="290"/>
      <c r="AB205" s="290"/>
      <c r="AC205" s="290"/>
      <c r="AD205" s="290"/>
    </row>
    <row r="206" spans="1:30" ht="25.5">
      <c r="A206" s="291">
        <f t="shared" si="3"/>
        <v>205</v>
      </c>
      <c r="B206" s="291" t="s">
        <v>1644</v>
      </c>
      <c r="C206" s="291" t="str">
        <f>IF(D205="","",UNIT!$B$1&amp;"-"&amp;B206)</f>
        <v>ICT-MIS-00205</v>
      </c>
      <c r="D206" s="83" t="s">
        <v>1645</v>
      </c>
      <c r="E206" s="59" t="s">
        <v>103</v>
      </c>
      <c r="F206" s="82"/>
      <c r="G206" s="82"/>
      <c r="H206" s="86"/>
      <c r="I206" s="294" t="str">
        <f t="shared" si="33"/>
        <v/>
      </c>
      <c r="J206" s="59"/>
      <c r="K206" s="83"/>
      <c r="L206" s="83" t="str">
        <f t="shared" si="1"/>
        <v xml:space="preserve">Kyocera MK-1147
</v>
      </c>
      <c r="M206" s="83"/>
      <c r="N206" s="59"/>
      <c r="O206" s="59"/>
      <c r="P206" s="86" t="e">
        <f t="shared" si="2"/>
        <v>#VALUE!</v>
      </c>
      <c r="Q206" s="59"/>
      <c r="R206" s="59"/>
      <c r="S206" s="59"/>
      <c r="T206" s="59"/>
      <c r="U206" s="290"/>
      <c r="V206" s="290"/>
      <c r="W206" s="290"/>
      <c r="X206" s="290"/>
      <c r="Y206" s="290"/>
      <c r="Z206" s="290"/>
      <c r="AA206" s="290"/>
      <c r="AB206" s="290"/>
      <c r="AC206" s="290"/>
      <c r="AD206" s="290"/>
    </row>
    <row r="207" spans="1:30" ht="25.5">
      <c r="A207" s="291">
        <f t="shared" si="3"/>
        <v>206</v>
      </c>
      <c r="B207" s="291" t="s">
        <v>1646</v>
      </c>
      <c r="C207" s="291" t="str">
        <f>IF(D206="","",UNIT!$B$1&amp;"-"&amp;B207)</f>
        <v>ICT-MIS-00206</v>
      </c>
      <c r="D207" s="83" t="s">
        <v>1647</v>
      </c>
      <c r="E207" s="59" t="s">
        <v>103</v>
      </c>
      <c r="F207" s="82"/>
      <c r="G207" s="82"/>
      <c r="H207" s="86"/>
      <c r="I207" s="294" t="str">
        <f t="shared" si="33"/>
        <v/>
      </c>
      <c r="J207" s="59"/>
      <c r="K207" s="83"/>
      <c r="L207" s="83" t="str">
        <f t="shared" si="1"/>
        <v xml:space="preserve">Kyocera MK-1175
</v>
      </c>
      <c r="M207" s="83"/>
      <c r="N207" s="59"/>
      <c r="O207" s="59"/>
      <c r="P207" s="86" t="e">
        <f t="shared" si="2"/>
        <v>#VALUE!</v>
      </c>
      <c r="Q207" s="59"/>
      <c r="R207" s="59"/>
      <c r="S207" s="59"/>
      <c r="T207" s="59"/>
      <c r="U207" s="290"/>
      <c r="V207" s="290"/>
      <c r="W207" s="290"/>
      <c r="X207" s="290"/>
      <c r="Y207" s="290"/>
      <c r="Z207" s="290"/>
      <c r="AA207" s="290"/>
      <c r="AB207" s="290"/>
      <c r="AC207" s="290"/>
      <c r="AD207" s="290"/>
    </row>
    <row r="208" spans="1:30" ht="25.5">
      <c r="A208" s="291">
        <f t="shared" si="3"/>
        <v>207</v>
      </c>
      <c r="B208" s="291" t="s">
        <v>1648</v>
      </c>
      <c r="C208" s="291" t="str">
        <f>IF(D207="","",UNIT!$B$1&amp;"-"&amp;B208)</f>
        <v>ICT-MIS-00207</v>
      </c>
      <c r="D208" s="83" t="s">
        <v>1649</v>
      </c>
      <c r="E208" s="59" t="s">
        <v>103</v>
      </c>
      <c r="F208" s="293" t="s">
        <v>1650</v>
      </c>
      <c r="G208" s="293" t="s">
        <v>1650</v>
      </c>
      <c r="H208" s="86">
        <v>8250</v>
      </c>
      <c r="I208" s="294">
        <f t="shared" si="33"/>
        <v>12375</v>
      </c>
      <c r="J208" s="59"/>
      <c r="K208" s="83"/>
      <c r="L208" s="83" t="str">
        <f t="shared" si="1"/>
        <v xml:space="preserve">5TB External Hard Drive
</v>
      </c>
      <c r="M208" s="83"/>
      <c r="N208" s="59"/>
      <c r="O208" s="59"/>
      <c r="P208" s="86">
        <f t="shared" si="2"/>
        <v>0</v>
      </c>
      <c r="Q208" s="59"/>
      <c r="R208" s="59"/>
      <c r="S208" s="59"/>
      <c r="T208" s="59"/>
      <c r="U208" s="290"/>
      <c r="V208" s="290"/>
      <c r="W208" s="290"/>
      <c r="X208" s="290"/>
      <c r="Y208" s="290"/>
      <c r="Z208" s="290"/>
      <c r="AA208" s="290"/>
      <c r="AB208" s="290"/>
      <c r="AC208" s="290"/>
      <c r="AD208" s="290"/>
    </row>
    <row r="209" spans="1:30" ht="25.5">
      <c r="A209" s="291">
        <f t="shared" si="3"/>
        <v>208</v>
      </c>
      <c r="B209" s="291" t="s">
        <v>1651</v>
      </c>
      <c r="C209" s="291" t="str">
        <f>IF(D208="","",UNIT!$B$1&amp;"-"&amp;B209)</f>
        <v>ICT-MIS-00208</v>
      </c>
      <c r="D209" s="83" t="s">
        <v>1652</v>
      </c>
      <c r="E209" s="59" t="s">
        <v>103</v>
      </c>
      <c r="F209" s="82"/>
      <c r="G209" s="82"/>
      <c r="H209" s="86"/>
      <c r="I209" s="294" t="str">
        <f t="shared" si="33"/>
        <v/>
      </c>
      <c r="J209" s="59"/>
      <c r="K209" s="83"/>
      <c r="L209" s="83" t="str">
        <f t="shared" si="1"/>
        <v xml:space="preserve">Kyocera MK-7129
</v>
      </c>
      <c r="M209" s="83"/>
      <c r="N209" s="59"/>
      <c r="O209" s="59"/>
      <c r="P209" s="86" t="e">
        <f t="shared" si="2"/>
        <v>#VALUE!</v>
      </c>
      <c r="Q209" s="59"/>
      <c r="R209" s="59"/>
      <c r="S209" s="59"/>
      <c r="T209" s="59"/>
      <c r="U209" s="290"/>
      <c r="V209" s="290"/>
      <c r="W209" s="290"/>
      <c r="X209" s="290"/>
      <c r="Y209" s="290"/>
      <c r="Z209" s="290"/>
      <c r="AA209" s="290"/>
      <c r="AB209" s="290"/>
      <c r="AC209" s="290"/>
      <c r="AD209" s="290"/>
    </row>
    <row r="210" spans="1:30" ht="25.5">
      <c r="A210" s="291">
        <f t="shared" si="3"/>
        <v>209</v>
      </c>
      <c r="B210" s="291" t="s">
        <v>1653</v>
      </c>
      <c r="C210" s="291" t="str">
        <f>IF(D209="","",UNIT!$B$1&amp;"-"&amp;B210)</f>
        <v>ICT-MIS-00209</v>
      </c>
      <c r="D210" s="83" t="s">
        <v>1654</v>
      </c>
      <c r="E210" s="59" t="s">
        <v>103</v>
      </c>
      <c r="F210" s="82"/>
      <c r="G210" s="82"/>
      <c r="H210" s="86"/>
      <c r="I210" s="294" t="str">
        <f t="shared" si="33"/>
        <v/>
      </c>
      <c r="J210" s="59"/>
      <c r="K210" s="83"/>
      <c r="L210" s="83" t="str">
        <f t="shared" si="1"/>
        <v xml:space="preserve">Kyocera TK-7120
</v>
      </c>
      <c r="M210" s="83"/>
      <c r="N210" s="59"/>
      <c r="O210" s="59"/>
      <c r="P210" s="86" t="e">
        <f t="shared" si="2"/>
        <v>#VALUE!</v>
      </c>
      <c r="Q210" s="59"/>
      <c r="R210" s="59"/>
      <c r="S210" s="59"/>
      <c r="T210" s="59"/>
      <c r="U210" s="290"/>
      <c r="V210" s="290"/>
      <c r="W210" s="290"/>
      <c r="X210" s="290"/>
      <c r="Y210" s="290"/>
      <c r="Z210" s="290"/>
      <c r="AA210" s="290"/>
      <c r="AB210" s="290"/>
      <c r="AC210" s="290"/>
      <c r="AD210" s="290"/>
    </row>
    <row r="211" spans="1:30" ht="25.5">
      <c r="A211" s="291">
        <f t="shared" si="3"/>
        <v>210</v>
      </c>
      <c r="B211" s="291" t="s">
        <v>1655</v>
      </c>
      <c r="C211" s="291" t="str">
        <f>IF(D210="","",UNIT!$B$1&amp;"-"&amp;B211)</f>
        <v>ICT-MIS-00210</v>
      </c>
      <c r="D211" s="83" t="s">
        <v>1652</v>
      </c>
      <c r="E211" s="59" t="s">
        <v>103</v>
      </c>
      <c r="F211" s="82"/>
      <c r="G211" s="82"/>
      <c r="H211" s="86"/>
      <c r="I211" s="294" t="str">
        <f t="shared" si="33"/>
        <v/>
      </c>
      <c r="J211" s="59"/>
      <c r="K211" s="83"/>
      <c r="L211" s="83" t="str">
        <f t="shared" si="1"/>
        <v xml:space="preserve">Kyocera MK-7129
</v>
      </c>
      <c r="M211" s="83"/>
      <c r="N211" s="59"/>
      <c r="O211" s="59"/>
      <c r="P211" s="86" t="e">
        <f t="shared" si="2"/>
        <v>#VALUE!</v>
      </c>
      <c r="Q211" s="59"/>
      <c r="R211" s="59"/>
      <c r="S211" s="59"/>
      <c r="T211" s="59"/>
      <c r="U211" s="290"/>
      <c r="V211" s="290"/>
      <c r="W211" s="290"/>
      <c r="X211" s="290"/>
      <c r="Y211" s="290"/>
      <c r="Z211" s="290"/>
      <c r="AA211" s="290"/>
      <c r="AB211" s="290"/>
      <c r="AC211" s="290"/>
      <c r="AD211" s="290"/>
    </row>
    <row r="212" spans="1:30" ht="25.5">
      <c r="A212" s="291">
        <f t="shared" si="3"/>
        <v>211</v>
      </c>
      <c r="B212" s="291" t="s">
        <v>1656</v>
      </c>
      <c r="C212" s="291" t="str">
        <f>IF(D211="","",UNIT!$B$1&amp;"-"&amp;B212)</f>
        <v>ICT-MIS-00211</v>
      </c>
      <c r="D212" s="83" t="s">
        <v>1657</v>
      </c>
      <c r="E212" s="59" t="s">
        <v>103</v>
      </c>
      <c r="F212" s="82"/>
      <c r="G212" s="82"/>
      <c r="H212" s="86"/>
      <c r="I212" s="294" t="str">
        <f t="shared" si="33"/>
        <v/>
      </c>
      <c r="J212" s="59"/>
      <c r="K212" s="83"/>
      <c r="L212" s="83" t="str">
        <f t="shared" si="1"/>
        <v xml:space="preserve">Kyocera TK-1175
</v>
      </c>
      <c r="M212" s="83"/>
      <c r="N212" s="59"/>
      <c r="O212" s="59"/>
      <c r="P212" s="86" t="e">
        <f t="shared" si="2"/>
        <v>#VALUE!</v>
      </c>
      <c r="Q212" s="59"/>
      <c r="R212" s="59"/>
      <c r="S212" s="59"/>
      <c r="T212" s="59"/>
      <c r="U212" s="290"/>
      <c r="V212" s="290"/>
      <c r="W212" s="290"/>
      <c r="X212" s="290"/>
      <c r="Y212" s="290"/>
      <c r="Z212" s="290"/>
      <c r="AA212" s="290"/>
      <c r="AB212" s="290"/>
      <c r="AC212" s="290"/>
      <c r="AD212" s="290"/>
    </row>
    <row r="213" spans="1:30" ht="25.5">
      <c r="A213" s="291">
        <f t="shared" si="3"/>
        <v>212</v>
      </c>
      <c r="B213" s="291" t="s">
        <v>1658</v>
      </c>
      <c r="C213" s="291" t="str">
        <f>IF(D212="","",UNIT!$B$1&amp;"-"&amp;B213)</f>
        <v>ICT-MIS-00212</v>
      </c>
      <c r="D213" s="83" t="s">
        <v>1659</v>
      </c>
      <c r="E213" s="59"/>
      <c r="F213" s="82"/>
      <c r="G213" s="82"/>
      <c r="H213" s="86"/>
      <c r="I213" s="294" t="str">
        <f t="shared" si="33"/>
        <v/>
      </c>
      <c r="J213" s="59"/>
      <c r="K213" s="83"/>
      <c r="L213" s="83" t="str">
        <f t="shared" si="1"/>
        <v xml:space="preserve">Kyocera MK-6119
</v>
      </c>
      <c r="M213" s="83"/>
      <c r="N213" s="59"/>
      <c r="O213" s="59"/>
      <c r="P213" s="86" t="e">
        <f t="shared" si="2"/>
        <v>#VALUE!</v>
      </c>
      <c r="Q213" s="59"/>
      <c r="R213" s="59"/>
      <c r="S213" s="59"/>
      <c r="T213" s="59"/>
      <c r="U213" s="290"/>
      <c r="V213" s="290"/>
      <c r="W213" s="290"/>
      <c r="X213" s="290"/>
      <c r="Y213" s="290"/>
      <c r="Z213" s="290"/>
      <c r="AA213" s="290"/>
      <c r="AB213" s="290"/>
      <c r="AC213" s="290"/>
      <c r="AD213" s="290"/>
    </row>
    <row r="214" spans="1:30" ht="114.75">
      <c r="A214" s="291">
        <f t="shared" si="3"/>
        <v>213</v>
      </c>
      <c r="B214" s="291" t="s">
        <v>1660</v>
      </c>
      <c r="C214" s="291" t="str">
        <f>IF(D213="","",UNIT!$B$1&amp;"-"&amp;B214)</f>
        <v>ICT-MIS-00213</v>
      </c>
      <c r="D214" s="83" t="s">
        <v>364</v>
      </c>
      <c r="E214" s="59" t="s">
        <v>103</v>
      </c>
      <c r="F214" s="295" t="s">
        <v>1661</v>
      </c>
      <c r="G214" s="295" t="s">
        <v>1662</v>
      </c>
      <c r="H214" s="86">
        <v>5900</v>
      </c>
      <c r="I214" s="294">
        <f t="shared" si="33"/>
        <v>8850</v>
      </c>
      <c r="J214" s="59" t="s">
        <v>954</v>
      </c>
      <c r="K214" s="83" t="s">
        <v>1663</v>
      </c>
      <c r="L214" s="83" t="str">
        <f t="shared" si="1"/>
        <v>8-Port Gigabit L2 Managed Switch with 2 SFP Slots
8 10/100/1000Mbps RJ45 Ports
(Auto Negotiation/Auto MDI/MDIX)
2 1000Mbps SFP Slots
Bandwidth: 20Gbps or more
Supports up to 4K VLANs simultaneously
Fan Quantity: Fanless
Inclusion: Power Cord; Rackmount Kit
Warranty: 1 year or more</v>
      </c>
      <c r="M214" s="83" t="s">
        <v>973</v>
      </c>
      <c r="N214" s="59" t="s">
        <v>957</v>
      </c>
      <c r="O214" s="59">
        <v>24</v>
      </c>
      <c r="P214" s="86">
        <f t="shared" si="2"/>
        <v>212400</v>
      </c>
      <c r="Q214" s="59"/>
      <c r="R214" s="59"/>
      <c r="S214" s="59"/>
      <c r="T214" s="59"/>
      <c r="U214" s="290"/>
      <c r="V214" s="290"/>
      <c r="W214" s="290"/>
      <c r="X214" s="290"/>
      <c r="Y214" s="290"/>
      <c r="Z214" s="290"/>
      <c r="AA214" s="290"/>
      <c r="AB214" s="290"/>
      <c r="AC214" s="290"/>
      <c r="AD214" s="290"/>
    </row>
    <row r="215" spans="1:30" ht="63.75">
      <c r="A215" s="291">
        <f t="shared" si="3"/>
        <v>214</v>
      </c>
      <c r="B215" s="291" t="s">
        <v>1664</v>
      </c>
      <c r="C215" s="291" t="str">
        <f>IF(D214="","",UNIT!$B$1&amp;"-"&amp;B215)</f>
        <v>ICT-MIS-00214</v>
      </c>
      <c r="D215" s="83" t="s">
        <v>367</v>
      </c>
      <c r="E215" s="59" t="s">
        <v>103</v>
      </c>
      <c r="F215" s="82" t="s">
        <v>1665</v>
      </c>
      <c r="G215" s="295" t="s">
        <v>1666</v>
      </c>
      <c r="H215" s="86">
        <v>210</v>
      </c>
      <c r="I215" s="294">
        <f t="shared" si="33"/>
        <v>315</v>
      </c>
      <c r="J215" s="59" t="s">
        <v>1008</v>
      </c>
      <c r="K215" s="83" t="s">
        <v>1667</v>
      </c>
      <c r="L215" s="83" t="str">
        <f t="shared" si="1"/>
        <v>BATTERY 9V
Classification: Alkaline
Chemical System: Zinc-Manganese Dioxide (Zn/MnO2)
Nominal Voltage: 9 volts
Terminal: Miniature Snap</v>
      </c>
      <c r="M215" s="83" t="s">
        <v>1668</v>
      </c>
      <c r="N215" s="59" t="s">
        <v>957</v>
      </c>
      <c r="O215" s="59">
        <v>60</v>
      </c>
      <c r="P215" s="86">
        <f t="shared" si="2"/>
        <v>18900</v>
      </c>
      <c r="Q215" s="59"/>
      <c r="R215" s="59"/>
      <c r="S215" s="59"/>
      <c r="T215" s="59"/>
      <c r="U215" s="290"/>
      <c r="V215" s="290"/>
      <c r="W215" s="290"/>
      <c r="X215" s="290"/>
      <c r="Y215" s="290"/>
      <c r="Z215" s="290"/>
      <c r="AA215" s="290"/>
      <c r="AB215" s="290"/>
      <c r="AC215" s="290"/>
      <c r="AD215" s="290"/>
    </row>
    <row r="216" spans="1:30" ht="63.75">
      <c r="A216" s="291">
        <f t="shared" si="3"/>
        <v>215</v>
      </c>
      <c r="B216" s="291" t="s">
        <v>1669</v>
      </c>
      <c r="C216" s="291" t="str">
        <f>IF(D215="","",UNIT!$B$1&amp;"-"&amp;B216)</f>
        <v>ICT-MIS-00215</v>
      </c>
      <c r="D216" s="83" t="s">
        <v>383</v>
      </c>
      <c r="E216" s="59" t="s">
        <v>758</v>
      </c>
      <c r="F216" s="82"/>
      <c r="G216" s="82"/>
      <c r="H216" s="86">
        <v>850000</v>
      </c>
      <c r="I216" s="294">
        <f t="shared" si="33"/>
        <v>1275000</v>
      </c>
      <c r="J216" s="59" t="s">
        <v>954</v>
      </c>
      <c r="K216" s="83" t="s">
        <v>1670</v>
      </c>
      <c r="L216" s="83" t="str">
        <f t="shared" si="1"/>
        <v>Fortinet Firewall with Annual Subscription and 4x10G SFP+ transceiver module compatible with the existing FortiGATE-601E for HA configuration and deployment.
Fortinet Firewall with Annual Subscription and 4x10G SFP+ transceiver module compatible with the existing FortiGATE-601E for HA configuration and deployment.
Includes installation, commissioning, configuration, testing, training with certification and documentation.</v>
      </c>
      <c r="M216" s="83"/>
      <c r="N216" s="59" t="s">
        <v>957</v>
      </c>
      <c r="O216" s="59">
        <v>1</v>
      </c>
      <c r="P216" s="86">
        <f t="shared" si="2"/>
        <v>1275000</v>
      </c>
      <c r="Q216" s="59"/>
      <c r="R216" s="59"/>
      <c r="S216" s="59"/>
      <c r="T216" s="59"/>
      <c r="U216" s="290"/>
      <c r="V216" s="290"/>
      <c r="W216" s="290"/>
      <c r="X216" s="290"/>
      <c r="Y216" s="290"/>
      <c r="Z216" s="290"/>
      <c r="AA216" s="290"/>
      <c r="AB216" s="290"/>
      <c r="AC216" s="290"/>
      <c r="AD216" s="290"/>
    </row>
    <row r="217" spans="1:30" ht="63.75">
      <c r="A217" s="291">
        <f t="shared" si="3"/>
        <v>216</v>
      </c>
      <c r="B217" s="291" t="s">
        <v>1671</v>
      </c>
      <c r="C217" s="291" t="str">
        <f>IF(D216="","",UNIT!$B$1&amp;"-"&amp;B217)</f>
        <v>ICT-MIS-00216</v>
      </c>
      <c r="D217" s="83" t="s">
        <v>406</v>
      </c>
      <c r="E217" s="59" t="s">
        <v>103</v>
      </c>
      <c r="F217" s="82"/>
      <c r="G217" s="293" t="s">
        <v>1672</v>
      </c>
      <c r="H217" s="86">
        <v>2000</v>
      </c>
      <c r="I217" s="294">
        <f t="shared" si="33"/>
        <v>3000</v>
      </c>
      <c r="J217" s="59" t="s">
        <v>1008</v>
      </c>
      <c r="K217" s="83" t="s">
        <v>1673</v>
      </c>
      <c r="L217" s="83" t="str">
        <f t="shared" si="1"/>
        <v>Replacement Battery APCRBC175 for the existing BVX1200LI-MS
Battery type: Lead-acid battery
Battery capacity: 9.0 Ah
Battery voltage: 12 V
Warranty: 2 years or more</v>
      </c>
      <c r="M217" s="83"/>
      <c r="N217" s="59" t="s">
        <v>957</v>
      </c>
      <c r="O217" s="59">
        <v>30</v>
      </c>
      <c r="P217" s="86">
        <f t="shared" si="2"/>
        <v>90000</v>
      </c>
      <c r="Q217" s="59"/>
      <c r="R217" s="59"/>
      <c r="S217" s="59"/>
      <c r="T217" s="59"/>
      <c r="U217" s="290"/>
      <c r="V217" s="290"/>
      <c r="W217" s="290"/>
      <c r="X217" s="290"/>
      <c r="Y217" s="290"/>
      <c r="Z217" s="290"/>
      <c r="AA217" s="290"/>
      <c r="AB217" s="290"/>
      <c r="AC217" s="290"/>
      <c r="AD217" s="290"/>
    </row>
    <row r="218" spans="1:30" ht="38.25">
      <c r="A218" s="291">
        <f t="shared" si="3"/>
        <v>217</v>
      </c>
      <c r="B218" s="291" t="s">
        <v>1674</v>
      </c>
      <c r="C218" s="291" t="str">
        <f>IF(D217="","",UNIT!$B$1&amp;"-"&amp;B218)</f>
        <v>ICT-MIS-00217</v>
      </c>
      <c r="D218" s="83" t="s">
        <v>370</v>
      </c>
      <c r="E218" s="59" t="s">
        <v>189</v>
      </c>
      <c r="F218" s="82"/>
      <c r="G218" s="82"/>
      <c r="H218" s="86">
        <v>5000</v>
      </c>
      <c r="I218" s="294">
        <f t="shared" si="33"/>
        <v>7500</v>
      </c>
      <c r="J218" s="59" t="s">
        <v>1008</v>
      </c>
      <c r="K218" s="82" t="s">
        <v>1675</v>
      </c>
      <c r="L218" s="83" t="str">
        <f t="shared" si="1"/>
        <v>CAT6 Cable, UTP, OUTDOOR 305 meters (Pure Copper)
Conductor size:  23AWG
No. of Conductor:  4P</v>
      </c>
      <c r="M218" s="83"/>
      <c r="N218" s="59" t="s">
        <v>957</v>
      </c>
      <c r="O218" s="59">
        <v>10</v>
      </c>
      <c r="P218" s="86">
        <f t="shared" si="2"/>
        <v>75000</v>
      </c>
      <c r="Q218" s="59"/>
      <c r="R218" s="59"/>
      <c r="S218" s="59"/>
      <c r="T218" s="59"/>
      <c r="U218" s="290"/>
      <c r="V218" s="290"/>
      <c r="W218" s="290"/>
      <c r="X218" s="290"/>
      <c r="Y218" s="290"/>
      <c r="Z218" s="290"/>
      <c r="AA218" s="290"/>
      <c r="AB218" s="290"/>
      <c r="AC218" s="290"/>
      <c r="AD218" s="290"/>
    </row>
    <row r="219" spans="1:30" ht="51">
      <c r="A219" s="291">
        <f t="shared" si="3"/>
        <v>218</v>
      </c>
      <c r="B219" s="291" t="s">
        <v>1676</v>
      </c>
      <c r="C219" s="291" t="str">
        <f>IF(D218="","",UNIT!$B$1&amp;"-"&amp;B219)</f>
        <v>ICT-MIS-00218</v>
      </c>
      <c r="D219" s="83" t="s">
        <v>384</v>
      </c>
      <c r="E219" s="59" t="s">
        <v>103</v>
      </c>
      <c r="F219" s="82"/>
      <c r="G219" s="293" t="s">
        <v>1677</v>
      </c>
      <c r="H219" s="86">
        <v>500</v>
      </c>
      <c r="I219" s="294">
        <f t="shared" si="33"/>
        <v>750</v>
      </c>
      <c r="J219" s="59" t="s">
        <v>954</v>
      </c>
      <c r="K219" s="83" t="s">
        <v>1678</v>
      </c>
      <c r="L219" s="83" t="str">
        <f t="shared" si="1"/>
        <v>Gigabit PCI Express Network Adapter
32-bit PCI Express
1 10/100/1000Mbps RJ45 port
Wake-on-LAN</v>
      </c>
      <c r="M219" s="83"/>
      <c r="N219" s="59" t="s">
        <v>957</v>
      </c>
      <c r="O219" s="59">
        <v>12</v>
      </c>
      <c r="P219" s="86">
        <f t="shared" si="2"/>
        <v>9000</v>
      </c>
      <c r="Q219" s="59"/>
      <c r="R219" s="59"/>
      <c r="S219" s="59"/>
      <c r="T219" s="59"/>
      <c r="U219" s="290"/>
      <c r="V219" s="290"/>
      <c r="W219" s="290"/>
      <c r="X219" s="290"/>
      <c r="Y219" s="290"/>
      <c r="Z219" s="290"/>
      <c r="AA219" s="290"/>
      <c r="AB219" s="290"/>
      <c r="AC219" s="290"/>
      <c r="AD219" s="290"/>
    </row>
    <row r="220" spans="1:30" ht="63.75">
      <c r="A220" s="291">
        <f t="shared" si="3"/>
        <v>219</v>
      </c>
      <c r="B220" s="291" t="s">
        <v>1679</v>
      </c>
      <c r="C220" s="291" t="str">
        <f>IF(D219="","",UNIT!$B$1&amp;"-"&amp;B220)</f>
        <v>ICT-MIS-00219</v>
      </c>
      <c r="D220" s="83" t="s">
        <v>372</v>
      </c>
      <c r="E220" s="59" t="s">
        <v>103</v>
      </c>
      <c r="F220" s="82"/>
      <c r="G220" s="82"/>
      <c r="H220" s="86">
        <v>2500</v>
      </c>
      <c r="I220" s="294">
        <f t="shared" si="33"/>
        <v>3750</v>
      </c>
      <c r="J220" s="59" t="s">
        <v>1008</v>
      </c>
      <c r="K220" s="83" t="s">
        <v>1680</v>
      </c>
      <c r="L220" s="83" t="str">
        <f t="shared" si="1"/>
        <v>Collapsible Hand Truck
Heavy duty metal coated
70kg max capacity or more
Folds for compact storage
Light weight</v>
      </c>
      <c r="M220" s="83"/>
      <c r="N220" s="59" t="s">
        <v>957</v>
      </c>
      <c r="O220" s="59">
        <v>2</v>
      </c>
      <c r="P220" s="86">
        <f t="shared" si="2"/>
        <v>7500</v>
      </c>
      <c r="Q220" s="59"/>
      <c r="R220" s="59"/>
      <c r="S220" s="59"/>
      <c r="T220" s="59"/>
      <c r="U220" s="290"/>
      <c r="V220" s="290"/>
      <c r="W220" s="290"/>
      <c r="X220" s="290"/>
      <c r="Y220" s="290"/>
      <c r="Z220" s="290"/>
      <c r="AA220" s="290"/>
      <c r="AB220" s="290"/>
      <c r="AC220" s="290"/>
      <c r="AD220" s="290"/>
    </row>
    <row r="221" spans="1:30" ht="25.5">
      <c r="A221" s="291">
        <f t="shared" si="3"/>
        <v>220</v>
      </c>
      <c r="B221" s="291" t="s">
        <v>1681</v>
      </c>
      <c r="C221" s="291" t="str">
        <f>IF(D220="","",UNIT!$B$1&amp;"-"&amp;B221)</f>
        <v>ICT-MIS-00220</v>
      </c>
      <c r="D221" s="83" t="s">
        <v>409</v>
      </c>
      <c r="E221" s="59" t="s">
        <v>103</v>
      </c>
      <c r="F221" s="82"/>
      <c r="G221" s="82"/>
      <c r="H221" s="86">
        <v>50</v>
      </c>
      <c r="I221" s="294">
        <f t="shared" si="33"/>
        <v>75</v>
      </c>
      <c r="J221" s="59" t="s">
        <v>1008</v>
      </c>
      <c r="K221" s="83" t="s">
        <v>1682</v>
      </c>
      <c r="L221" s="83" t="str">
        <f t="shared" si="1"/>
        <v>Telephone Wire (3mtrs)
RJ11 To RJ11 Cable Telephone Wire Ready-To-Use</v>
      </c>
      <c r="M221" s="83"/>
      <c r="N221" s="59" t="s">
        <v>957</v>
      </c>
      <c r="O221" s="59">
        <v>200</v>
      </c>
      <c r="P221" s="86">
        <f t="shared" si="2"/>
        <v>15000</v>
      </c>
      <c r="Q221" s="59"/>
      <c r="R221" s="59"/>
      <c r="S221" s="59"/>
      <c r="T221" s="59"/>
      <c r="U221" s="290"/>
      <c r="V221" s="290"/>
      <c r="W221" s="290"/>
      <c r="X221" s="290"/>
      <c r="Y221" s="290"/>
      <c r="Z221" s="290"/>
      <c r="AA221" s="290"/>
      <c r="AB221" s="290"/>
      <c r="AC221" s="290"/>
      <c r="AD221" s="290"/>
    </row>
    <row r="222" spans="1:30" ht="89.25">
      <c r="A222" s="291">
        <f t="shared" si="3"/>
        <v>221</v>
      </c>
      <c r="B222" s="291" t="s">
        <v>1683</v>
      </c>
      <c r="C222" s="291" t="str">
        <f>IF(D221="","",UNIT!$B$1&amp;"-"&amp;B222)</f>
        <v>ICT-MIS-00221</v>
      </c>
      <c r="D222" s="83" t="s">
        <v>360</v>
      </c>
      <c r="E222" s="59" t="s">
        <v>103</v>
      </c>
      <c r="F222" s="82"/>
      <c r="G222" s="82"/>
      <c r="H222" s="86">
        <v>33000</v>
      </c>
      <c r="I222" s="294">
        <f t="shared" si="33"/>
        <v>49500</v>
      </c>
      <c r="J222" s="59" t="s">
        <v>954</v>
      </c>
      <c r="K222" s="83" t="s">
        <v>1684</v>
      </c>
      <c r="L222" s="83" t="str">
        <f t="shared" si="1"/>
        <v>42U Server Data Rack
42U Server Data Rack / Data Cabinet/Server Rack Cabinet/Network Cabine /Organizer of Critical IT Systems/With 8 Slot PDU, Lock, (Shelf/Width:600mm,  Depth 1000mm, Height:2000mm) / Heavy-duty SPCC Cold Rolled Steel Material. Full 75% Honeycomb double-section perforation Rear Door for maximised ventilation. Includes trays, power strip, ventilation fan tray &amp; cagenuts assembly. Thickness: Mounting Profile at least 2.0mm, 19-inch Panel Mounting 1.5mm, Others 1.2mm</v>
      </c>
      <c r="M222" s="83"/>
      <c r="N222" s="59" t="s">
        <v>957</v>
      </c>
      <c r="O222" s="59">
        <v>2</v>
      </c>
      <c r="P222" s="86">
        <f t="shared" si="2"/>
        <v>99000</v>
      </c>
      <c r="Q222" s="59"/>
      <c r="R222" s="59"/>
      <c r="S222" s="59"/>
      <c r="T222" s="59"/>
      <c r="U222" s="290"/>
      <c r="V222" s="290"/>
      <c r="W222" s="290"/>
      <c r="X222" s="290"/>
      <c r="Y222" s="290"/>
      <c r="Z222" s="290"/>
      <c r="AA222" s="290"/>
      <c r="AB222" s="290"/>
      <c r="AC222" s="290"/>
      <c r="AD222" s="290"/>
    </row>
    <row r="223" spans="1:30" ht="25.5">
      <c r="A223" s="291">
        <f t="shared" si="3"/>
        <v>222</v>
      </c>
      <c r="B223" s="291" t="s">
        <v>1685</v>
      </c>
      <c r="C223" s="291" t="str">
        <f>IF(D222="","",UNIT!$B$1&amp;"-"&amp;B223)</f>
        <v>ICT-MIS-00222</v>
      </c>
      <c r="D223" s="83" t="s">
        <v>405</v>
      </c>
      <c r="E223" s="59" t="s">
        <v>103</v>
      </c>
      <c r="F223" s="82"/>
      <c r="G223" s="82"/>
      <c r="H223" s="86">
        <v>420</v>
      </c>
      <c r="I223" s="294">
        <f t="shared" si="33"/>
        <v>630</v>
      </c>
      <c r="J223" s="59" t="s">
        <v>1008</v>
      </c>
      <c r="K223" s="83" t="s">
        <v>1686</v>
      </c>
      <c r="L223" s="83" t="str">
        <f t="shared" si="1"/>
        <v>PVC Cable Tray (2mtr)
80mmx80mm PVC Cable Tray/Duct Slotted PVC (White or Light Gray)</v>
      </c>
      <c r="M223" s="83"/>
      <c r="N223" s="59" t="s">
        <v>957</v>
      </c>
      <c r="O223" s="59">
        <v>50</v>
      </c>
      <c r="P223" s="86">
        <f t="shared" si="2"/>
        <v>31500</v>
      </c>
      <c r="Q223" s="59"/>
      <c r="R223" s="59"/>
      <c r="S223" s="59"/>
      <c r="T223" s="59"/>
      <c r="U223" s="290"/>
      <c r="V223" s="290"/>
      <c r="W223" s="290"/>
      <c r="X223" s="290"/>
      <c r="Y223" s="290"/>
      <c r="Z223" s="290"/>
      <c r="AA223" s="290"/>
      <c r="AB223" s="290"/>
      <c r="AC223" s="290"/>
      <c r="AD223" s="290"/>
    </row>
    <row r="224" spans="1:30" ht="25.5">
      <c r="A224" s="291">
        <f t="shared" si="3"/>
        <v>223</v>
      </c>
      <c r="B224" s="291" t="s">
        <v>1687</v>
      </c>
      <c r="C224" s="291" t="str">
        <f>IF(D223="","",UNIT!$B$1&amp;"-"&amp;B224)</f>
        <v>ICT-MIS-00223</v>
      </c>
      <c r="D224" s="305" t="s">
        <v>381</v>
      </c>
      <c r="E224" s="59" t="s">
        <v>118</v>
      </c>
      <c r="F224" s="82"/>
      <c r="G224" s="82"/>
      <c r="H224" s="86">
        <v>290</v>
      </c>
      <c r="I224" s="294">
        <f t="shared" si="33"/>
        <v>435</v>
      </c>
      <c r="J224" s="59" t="s">
        <v>1008</v>
      </c>
      <c r="K224" s="305" t="s">
        <v>293</v>
      </c>
      <c r="L224" s="83" t="str">
        <f t="shared" si="1"/>
        <v>Flex cable set compatible for printer
Flex cable set compatible with the existing Epson L3110</v>
      </c>
      <c r="M224" s="83"/>
      <c r="N224" s="59" t="s">
        <v>957</v>
      </c>
      <c r="O224" s="59">
        <v>5</v>
      </c>
      <c r="P224" s="86">
        <f t="shared" si="2"/>
        <v>2175</v>
      </c>
      <c r="Q224" s="59"/>
      <c r="R224" s="59"/>
      <c r="S224" s="59"/>
      <c r="T224" s="59"/>
      <c r="U224" s="290"/>
      <c r="V224" s="290"/>
      <c r="W224" s="290"/>
      <c r="X224" s="290"/>
      <c r="Y224" s="290"/>
      <c r="Z224" s="290"/>
      <c r="AA224" s="290"/>
      <c r="AB224" s="290"/>
      <c r="AC224" s="290"/>
      <c r="AD224" s="290"/>
    </row>
    <row r="225" spans="1:30" ht="25.5">
      <c r="A225" s="291">
        <f t="shared" si="3"/>
        <v>224</v>
      </c>
      <c r="B225" s="291" t="s">
        <v>1688</v>
      </c>
      <c r="C225" s="291" t="str">
        <f>IF(D224="","",UNIT!$B$1&amp;"-"&amp;B225)</f>
        <v>ICT-MIS-00224</v>
      </c>
      <c r="D225" s="305" t="s">
        <v>403</v>
      </c>
      <c r="E225" s="59" t="s">
        <v>118</v>
      </c>
      <c r="F225" s="82"/>
      <c r="G225" s="82"/>
      <c r="H225" s="86">
        <v>150</v>
      </c>
      <c r="I225" s="294">
        <f t="shared" si="33"/>
        <v>225</v>
      </c>
      <c r="J225" s="59" t="s">
        <v>1008</v>
      </c>
      <c r="K225" s="305" t="s">
        <v>294</v>
      </c>
      <c r="L225" s="83" t="str">
        <f t="shared" si="1"/>
        <v xml:space="preserve">Paper feeder rubber set for printer
Paper feeder rubber set compatible with the existing Epson L3110, L3210 </v>
      </c>
      <c r="M225" s="83"/>
      <c r="N225" s="59" t="s">
        <v>957</v>
      </c>
      <c r="O225" s="59">
        <v>10</v>
      </c>
      <c r="P225" s="86">
        <f t="shared" si="2"/>
        <v>2250</v>
      </c>
      <c r="Q225" s="59"/>
      <c r="R225" s="59"/>
      <c r="S225" s="59"/>
      <c r="T225" s="59"/>
      <c r="U225" s="290"/>
      <c r="V225" s="290"/>
      <c r="W225" s="290"/>
      <c r="X225" s="290"/>
      <c r="Y225" s="290"/>
      <c r="Z225" s="290"/>
      <c r="AA225" s="290"/>
      <c r="AB225" s="290"/>
      <c r="AC225" s="290"/>
      <c r="AD225" s="290"/>
    </row>
    <row r="226" spans="1:30" ht="25.5">
      <c r="A226" s="291">
        <f t="shared" si="3"/>
        <v>225</v>
      </c>
      <c r="B226" s="291" t="s">
        <v>1689</v>
      </c>
      <c r="C226" s="291" t="str">
        <f>IF(D225="","",UNIT!$B$1&amp;"-"&amp;B226)</f>
        <v>ICT-MIS-00225</v>
      </c>
      <c r="D226" s="305" t="s">
        <v>403</v>
      </c>
      <c r="E226" s="59" t="s">
        <v>118</v>
      </c>
      <c r="F226" s="82"/>
      <c r="G226" s="82"/>
      <c r="H226" s="86">
        <v>150</v>
      </c>
      <c r="I226" s="294">
        <f t="shared" si="33"/>
        <v>225</v>
      </c>
      <c r="J226" s="59" t="s">
        <v>1008</v>
      </c>
      <c r="K226" s="305" t="s">
        <v>295</v>
      </c>
      <c r="L226" s="83" t="str">
        <f t="shared" si="1"/>
        <v>Paper feeder rubber set for printer
Paper feeder rubber set compatible with the existing Epson L120</v>
      </c>
      <c r="M226" s="83"/>
      <c r="N226" s="59" t="s">
        <v>957</v>
      </c>
      <c r="O226" s="59">
        <v>10</v>
      </c>
      <c r="P226" s="86">
        <f t="shared" si="2"/>
        <v>2250</v>
      </c>
      <c r="Q226" s="59"/>
      <c r="R226" s="59"/>
      <c r="S226" s="59"/>
      <c r="T226" s="59"/>
      <c r="U226" s="290"/>
      <c r="V226" s="290"/>
      <c r="W226" s="290"/>
      <c r="X226" s="290"/>
      <c r="Y226" s="290"/>
      <c r="Z226" s="290"/>
      <c r="AA226" s="290"/>
      <c r="AB226" s="290"/>
      <c r="AC226" s="290"/>
      <c r="AD226" s="290"/>
    </row>
    <row r="227" spans="1:30" ht="25.5">
      <c r="A227" s="291">
        <f t="shared" si="3"/>
        <v>226</v>
      </c>
      <c r="B227" s="291" t="s">
        <v>1690</v>
      </c>
      <c r="C227" s="291" t="str">
        <f>IF(D226="","",UNIT!$B$1&amp;"-"&amp;B227)</f>
        <v>ICT-MIS-00226</v>
      </c>
      <c r="D227" s="83" t="s">
        <v>392</v>
      </c>
      <c r="E227" s="59" t="s">
        <v>103</v>
      </c>
      <c r="F227" s="82"/>
      <c r="G227" s="82"/>
      <c r="H227" s="86">
        <v>130</v>
      </c>
      <c r="I227" s="294">
        <f t="shared" si="33"/>
        <v>195</v>
      </c>
      <c r="J227" s="59" t="s">
        <v>1008</v>
      </c>
      <c r="K227" s="83" t="s">
        <v>296</v>
      </c>
      <c r="L227" s="83" t="str">
        <f t="shared" si="1"/>
        <v>Laminated 12mm Black on White label tape
Laminated 12mm Black on White label tape compatible with the existing brother Label Maker PT-D400</v>
      </c>
      <c r="M227" s="83"/>
      <c r="N227" s="59" t="s">
        <v>957</v>
      </c>
      <c r="O227" s="59">
        <v>30</v>
      </c>
      <c r="P227" s="86">
        <f t="shared" si="2"/>
        <v>5850</v>
      </c>
      <c r="Q227" s="59"/>
      <c r="R227" s="59"/>
      <c r="S227" s="59"/>
      <c r="T227" s="59"/>
      <c r="U227" s="290"/>
      <c r="V227" s="290"/>
      <c r="W227" s="290"/>
      <c r="X227" s="290"/>
      <c r="Y227" s="290"/>
      <c r="Z227" s="290"/>
      <c r="AA227" s="290"/>
      <c r="AB227" s="290"/>
      <c r="AC227" s="290"/>
      <c r="AD227" s="290"/>
    </row>
    <row r="228" spans="1:30" ht="25.5">
      <c r="A228" s="291">
        <f t="shared" si="3"/>
        <v>227</v>
      </c>
      <c r="B228" s="291" t="s">
        <v>1691</v>
      </c>
      <c r="C228" s="291" t="str">
        <f>IF(D227="","",UNIT!$B$1&amp;"-"&amp;B228)</f>
        <v>ICT-MIS-00227</v>
      </c>
      <c r="D228" s="84" t="s">
        <v>297</v>
      </c>
      <c r="E228" s="59" t="s">
        <v>103</v>
      </c>
      <c r="F228" s="82"/>
      <c r="G228" s="82"/>
      <c r="H228" s="86">
        <v>10</v>
      </c>
      <c r="I228" s="294">
        <f t="shared" si="33"/>
        <v>15</v>
      </c>
      <c r="J228" s="59" t="s">
        <v>1008</v>
      </c>
      <c r="K228" s="84" t="s">
        <v>297</v>
      </c>
      <c r="L228" s="83" t="str">
        <f t="shared" si="1"/>
        <v>Bolt Expansion Sleeve Anchor Concrete 5/16"
Bolt Expansion Sleeve Anchor Concrete 5/16"</v>
      </c>
      <c r="M228" s="83"/>
      <c r="N228" s="59" t="s">
        <v>957</v>
      </c>
      <c r="O228" s="59">
        <v>50</v>
      </c>
      <c r="P228" s="86">
        <f t="shared" si="2"/>
        <v>750</v>
      </c>
      <c r="Q228" s="59"/>
      <c r="R228" s="59"/>
      <c r="S228" s="59"/>
      <c r="T228" s="59"/>
      <c r="U228" s="290"/>
      <c r="V228" s="290"/>
      <c r="W228" s="290"/>
      <c r="X228" s="290"/>
      <c r="Y228" s="290"/>
      <c r="Z228" s="290"/>
      <c r="AA228" s="290"/>
      <c r="AB228" s="290"/>
      <c r="AC228" s="290"/>
      <c r="AD228" s="290"/>
    </row>
    <row r="229" spans="1:30" ht="25.5">
      <c r="A229" s="291">
        <f t="shared" si="3"/>
        <v>228</v>
      </c>
      <c r="B229" s="291" t="s">
        <v>1692</v>
      </c>
      <c r="C229" s="291" t="str">
        <f>IF(D228="","",UNIT!$B$1&amp;"-"&amp;B229)</f>
        <v>ICT-MIS-00228</v>
      </c>
      <c r="D229" s="84" t="s">
        <v>298</v>
      </c>
      <c r="E229" s="59" t="s">
        <v>103</v>
      </c>
      <c r="F229" s="82"/>
      <c r="G229" s="82"/>
      <c r="H229" s="86">
        <v>8</v>
      </c>
      <c r="I229" s="294">
        <f t="shared" si="33"/>
        <v>12</v>
      </c>
      <c r="J229" s="59" t="s">
        <v>1008</v>
      </c>
      <c r="K229" s="84" t="s">
        <v>298</v>
      </c>
      <c r="L229" s="83" t="str">
        <f t="shared" si="1"/>
        <v>Bolt Expansion Sleeve Anchor Concrete 1/4"
Bolt Expansion Sleeve Anchor Concrete 1/4"</v>
      </c>
      <c r="M229" s="83"/>
      <c r="N229" s="59" t="s">
        <v>957</v>
      </c>
      <c r="O229" s="59">
        <v>50</v>
      </c>
      <c r="P229" s="86">
        <f t="shared" si="2"/>
        <v>600</v>
      </c>
      <c r="Q229" s="59"/>
      <c r="R229" s="59"/>
      <c r="S229" s="59"/>
      <c r="T229" s="59"/>
      <c r="U229" s="290"/>
      <c r="V229" s="290"/>
      <c r="W229" s="290"/>
      <c r="X229" s="290"/>
      <c r="Y229" s="290"/>
      <c r="Z229" s="290"/>
      <c r="AA229" s="290"/>
      <c r="AB229" s="290"/>
      <c r="AC229" s="290"/>
      <c r="AD229" s="290"/>
    </row>
    <row r="230" spans="1:30" ht="25.5">
      <c r="A230" s="291">
        <f t="shared" si="3"/>
        <v>229</v>
      </c>
      <c r="B230" s="291" t="s">
        <v>1693</v>
      </c>
      <c r="C230" s="291" t="str">
        <f>IF(D229="","",UNIT!$B$1&amp;"-"&amp;B230)</f>
        <v>ICT-MIS-00229</v>
      </c>
      <c r="D230" s="1" t="s">
        <v>299</v>
      </c>
      <c r="E230" s="59" t="s">
        <v>189</v>
      </c>
      <c r="F230" s="82"/>
      <c r="G230" s="82"/>
      <c r="H230" s="86">
        <v>32</v>
      </c>
      <c r="I230" s="294">
        <f t="shared" si="33"/>
        <v>48</v>
      </c>
      <c r="J230" s="59" t="s">
        <v>1008</v>
      </c>
      <c r="K230" s="1" t="s">
        <v>299</v>
      </c>
      <c r="L230" s="83" t="str">
        <f t="shared" si="1"/>
        <v>Tox with Screw 6mm (50pcs)
Tox with Screw 6mm (50pcs)</v>
      </c>
      <c r="M230" s="83"/>
      <c r="N230" s="59" t="s">
        <v>957</v>
      </c>
      <c r="O230" s="59">
        <v>10</v>
      </c>
      <c r="P230" s="86">
        <f t="shared" si="2"/>
        <v>480</v>
      </c>
      <c r="Q230" s="59"/>
      <c r="R230" s="59"/>
      <c r="S230" s="59"/>
      <c r="T230" s="59"/>
      <c r="U230" s="290"/>
      <c r="V230" s="290"/>
      <c r="W230" s="290"/>
      <c r="X230" s="290"/>
      <c r="Y230" s="290"/>
      <c r="Z230" s="290"/>
      <c r="AA230" s="290"/>
      <c r="AB230" s="290"/>
      <c r="AC230" s="290"/>
      <c r="AD230" s="290"/>
    </row>
    <row r="231" spans="1:30" ht="102">
      <c r="A231" s="291">
        <f t="shared" si="3"/>
        <v>230</v>
      </c>
      <c r="B231" s="291" t="s">
        <v>1694</v>
      </c>
      <c r="C231" s="291" t="str">
        <f>IF(D230="","",UNIT!$B$1&amp;"-"&amp;B231)</f>
        <v>ICT-MIS-00230</v>
      </c>
      <c r="D231" s="83" t="s">
        <v>1695</v>
      </c>
      <c r="E231" s="59" t="s">
        <v>103</v>
      </c>
      <c r="F231" s="82"/>
      <c r="G231" s="82"/>
      <c r="H231" s="86">
        <v>630</v>
      </c>
      <c r="I231" s="294">
        <f t="shared" si="33"/>
        <v>945</v>
      </c>
      <c r="J231" s="59" t="s">
        <v>1008</v>
      </c>
      <c r="K231" s="83" t="s">
        <v>1696</v>
      </c>
      <c r="L231" s="83" t="str">
        <f t="shared" si="1"/>
        <v>6 Gang Extension Cord w/ Switch and 1.75 Meter Wire
Max. Capacity: 2500W
Voltage Surge Protector
1 Neon Switch w/ Circuit Breaker
6 Parallel Outlets w/ Grounding, 90° outlet orientation
With line/noise filter
Royal Cord #16/3 (1.75 meters)
Metal casing: Powder-coated</v>
      </c>
      <c r="M231" s="83"/>
      <c r="N231" s="59"/>
      <c r="O231" s="59"/>
      <c r="P231" s="86">
        <f t="shared" si="2"/>
        <v>0</v>
      </c>
      <c r="Q231" s="59"/>
      <c r="R231" s="59"/>
      <c r="S231" s="59"/>
      <c r="T231" s="59"/>
      <c r="U231" s="290"/>
      <c r="V231" s="290"/>
      <c r="W231" s="290"/>
      <c r="X231" s="290"/>
      <c r="Y231" s="290"/>
      <c r="Z231" s="290"/>
      <c r="AA231" s="290"/>
      <c r="AB231" s="290"/>
      <c r="AC231" s="290"/>
      <c r="AD231" s="290"/>
    </row>
    <row r="232" spans="1:30" ht="25.5">
      <c r="A232" s="291">
        <f t="shared" si="3"/>
        <v>231</v>
      </c>
      <c r="B232" s="291" t="s">
        <v>1697</v>
      </c>
      <c r="C232" s="291" t="str">
        <f>IF(D231="","",UNIT!$B$1&amp;"-"&amp;B232)</f>
        <v>ICT-MIS-00231</v>
      </c>
      <c r="D232" s="83" t="s">
        <v>1698</v>
      </c>
      <c r="E232" s="59" t="s">
        <v>103</v>
      </c>
      <c r="F232" s="82"/>
      <c r="G232" s="82"/>
      <c r="H232" s="86">
        <v>660</v>
      </c>
      <c r="I232" s="294">
        <f t="shared" si="33"/>
        <v>990</v>
      </c>
      <c r="J232" s="59" t="s">
        <v>1008</v>
      </c>
      <c r="K232" s="83" t="s">
        <v>301</v>
      </c>
      <c r="L232" s="83" t="str">
        <f t="shared" si="1"/>
        <v>1U PDU 8 Outlet Metal Power Strip Surge Protector
1U PDU 8 Outlet Metal Power Strip Surge Protector 10A 2500W with 1.5m or longer Extension Cord for 19 inch Server Rack</v>
      </c>
      <c r="M232" s="83"/>
      <c r="N232" s="59"/>
      <c r="O232" s="59"/>
      <c r="P232" s="86">
        <f t="shared" si="2"/>
        <v>0</v>
      </c>
      <c r="Q232" s="59"/>
      <c r="R232" s="59"/>
      <c r="S232" s="59"/>
      <c r="T232" s="59"/>
      <c r="U232" s="290"/>
      <c r="V232" s="290"/>
      <c r="W232" s="290"/>
      <c r="X232" s="290"/>
      <c r="Y232" s="290"/>
      <c r="Z232" s="290"/>
      <c r="AA232" s="290"/>
      <c r="AB232" s="290"/>
      <c r="AC232" s="290"/>
      <c r="AD232" s="290"/>
    </row>
    <row r="233" spans="1:30" ht="89.25">
      <c r="A233" s="291">
        <f t="shared" si="3"/>
        <v>232</v>
      </c>
      <c r="B233" s="291" t="s">
        <v>1699</v>
      </c>
      <c r="C233" s="291" t="str">
        <f>IF(D232="","",UNIT!$B$1&amp;"-"&amp;B233)</f>
        <v>ICT-MIS-00232</v>
      </c>
      <c r="D233" s="83" t="s">
        <v>358</v>
      </c>
      <c r="E233" s="59" t="s">
        <v>103</v>
      </c>
      <c r="F233" s="82"/>
      <c r="G233" s="293" t="s">
        <v>1700</v>
      </c>
      <c r="H233" s="86">
        <v>5000</v>
      </c>
      <c r="I233" s="294">
        <f t="shared" si="33"/>
        <v>7500</v>
      </c>
      <c r="J233" s="59" t="s">
        <v>954</v>
      </c>
      <c r="K233" s="83" t="s">
        <v>1701</v>
      </c>
      <c r="L233" s="83" t="str">
        <f t="shared" si="1"/>
        <v>2.5 &amp; 3.5 Inch SATA2.0 USB3.0 1 to 3 Clone External Hard Drive Dock
Size: 2.5 &amp; 3.5 inch HDD/SSD
Output Interface: USB3.0
Clone: 1 to 3 Standalone Clone
HDD Interface: SATA I, SATA II
Power Supply: 12V6A
Data Cable: 3Ft. or more USB3.0</v>
      </c>
      <c r="M233" s="83"/>
      <c r="N233" s="59" t="s">
        <v>957</v>
      </c>
      <c r="O233" s="59">
        <v>1</v>
      </c>
      <c r="P233" s="86">
        <f t="shared" si="2"/>
        <v>7500</v>
      </c>
      <c r="Q233" s="59"/>
      <c r="R233" s="59"/>
      <c r="S233" s="59"/>
      <c r="T233" s="59"/>
      <c r="U233" s="290"/>
      <c r="V233" s="290"/>
      <c r="W233" s="290"/>
      <c r="X233" s="290"/>
      <c r="Y233" s="290"/>
      <c r="Z233" s="290"/>
      <c r="AA233" s="290"/>
      <c r="AB233" s="290"/>
      <c r="AC233" s="290"/>
      <c r="AD233" s="290"/>
    </row>
    <row r="234" spans="1:30" ht="25.5">
      <c r="A234" s="291">
        <f t="shared" si="3"/>
        <v>233</v>
      </c>
      <c r="B234" s="291" t="s">
        <v>1702</v>
      </c>
      <c r="C234" s="291" t="str">
        <f>IF(D233="","",UNIT!$B$1&amp;"-"&amp;B234)</f>
        <v>ICT-MIS-00233</v>
      </c>
      <c r="D234" s="83" t="s">
        <v>401</v>
      </c>
      <c r="E234" s="59" t="s">
        <v>118</v>
      </c>
      <c r="F234" s="82"/>
      <c r="G234" s="82"/>
      <c r="H234" s="86">
        <v>160000</v>
      </c>
      <c r="I234" s="294">
        <f t="shared" si="33"/>
        <v>240000</v>
      </c>
      <c r="J234" s="59" t="s">
        <v>954</v>
      </c>
      <c r="K234" s="83" t="s">
        <v>1703</v>
      </c>
      <c r="L234" s="83" t="str">
        <f t="shared" si="1"/>
        <v>Multimedia Controller
c/o Sir Ian</v>
      </c>
      <c r="M234" s="83"/>
      <c r="N234" s="59" t="s">
        <v>957</v>
      </c>
      <c r="O234" s="59">
        <v>1</v>
      </c>
      <c r="P234" s="86">
        <f t="shared" si="2"/>
        <v>240000</v>
      </c>
      <c r="Q234" s="59"/>
      <c r="R234" s="59"/>
      <c r="S234" s="59"/>
      <c r="T234" s="59"/>
      <c r="U234" s="290"/>
      <c r="V234" s="290"/>
      <c r="W234" s="290"/>
      <c r="X234" s="290"/>
      <c r="Y234" s="290"/>
      <c r="Z234" s="290"/>
      <c r="AA234" s="290"/>
      <c r="AB234" s="290"/>
      <c r="AC234" s="290"/>
      <c r="AD234" s="290"/>
    </row>
    <row r="235" spans="1:30" ht="25.5">
      <c r="A235" s="291">
        <f t="shared" si="3"/>
        <v>234</v>
      </c>
      <c r="B235" s="291" t="s">
        <v>1704</v>
      </c>
      <c r="C235" s="291" t="str">
        <f>IF(D234="","",UNIT!$B$1&amp;"-"&amp;B235)</f>
        <v>ICT-MIS-00234</v>
      </c>
      <c r="D235" s="83" t="s">
        <v>373</v>
      </c>
      <c r="E235" s="59" t="s">
        <v>118</v>
      </c>
      <c r="F235" s="82"/>
      <c r="G235" s="82"/>
      <c r="H235" s="86"/>
      <c r="I235" s="294">
        <v>15390</v>
      </c>
      <c r="J235" s="59" t="s">
        <v>1008</v>
      </c>
      <c r="K235" s="83" t="s">
        <v>1705</v>
      </c>
      <c r="L235" s="83" t="str">
        <f t="shared" si="1"/>
        <v>Colored Toner Cartridge Set for the existing ECOSYS M5521CDW
TK-5234C, TK-5234M, TK-5234Y</v>
      </c>
      <c r="M235" s="83"/>
      <c r="N235" s="59" t="s">
        <v>957</v>
      </c>
      <c r="O235" s="59">
        <v>4</v>
      </c>
      <c r="P235" s="86">
        <f t="shared" si="2"/>
        <v>61560</v>
      </c>
      <c r="Q235" s="59"/>
      <c r="R235" s="59"/>
      <c r="S235" s="59"/>
      <c r="T235" s="59"/>
      <c r="U235" s="290"/>
      <c r="V235" s="290"/>
      <c r="W235" s="290"/>
      <c r="X235" s="290"/>
      <c r="Y235" s="290"/>
      <c r="Z235" s="290"/>
      <c r="AA235" s="290"/>
      <c r="AB235" s="290"/>
      <c r="AC235" s="290"/>
      <c r="AD235" s="290"/>
    </row>
    <row r="236" spans="1:30" ht="25.5">
      <c r="A236" s="291">
        <f t="shared" si="3"/>
        <v>235</v>
      </c>
      <c r="B236" s="291" t="s">
        <v>1706</v>
      </c>
      <c r="C236" s="291" t="str">
        <f>IF(D235="","",UNIT!$B$1&amp;"-"&amp;B236)</f>
        <v>ICT-MIS-00235</v>
      </c>
      <c r="D236" s="83" t="s">
        <v>376</v>
      </c>
      <c r="E236" s="59" t="s">
        <v>118</v>
      </c>
      <c r="F236" s="82"/>
      <c r="G236" s="82"/>
      <c r="H236" s="86"/>
      <c r="I236" s="294">
        <v>33075</v>
      </c>
      <c r="J236" s="59" t="s">
        <v>1008</v>
      </c>
      <c r="K236" s="83" t="s">
        <v>1707</v>
      </c>
      <c r="L236" s="83" t="str">
        <f t="shared" si="1"/>
        <v>Colored Toner Cartridge Set for the existing ECOSYS P6230CDN
TK-5275C, TK-5275M, TK-5275Y</v>
      </c>
      <c r="M236" s="83"/>
      <c r="N236" s="59"/>
      <c r="O236" s="59"/>
      <c r="P236" s="86">
        <f t="shared" si="2"/>
        <v>0</v>
      </c>
      <c r="Q236" s="59"/>
      <c r="R236" s="59"/>
      <c r="S236" s="59"/>
      <c r="T236" s="59"/>
      <c r="U236" s="290"/>
      <c r="V236" s="290"/>
      <c r="W236" s="290"/>
      <c r="X236" s="290"/>
      <c r="Y236" s="290"/>
      <c r="Z236" s="290"/>
      <c r="AA236" s="290"/>
      <c r="AB236" s="290"/>
      <c r="AC236" s="290"/>
      <c r="AD236" s="290"/>
    </row>
    <row r="237" spans="1:30" ht="25.5">
      <c r="A237" s="291">
        <f t="shared" si="3"/>
        <v>236</v>
      </c>
      <c r="B237" s="291" t="s">
        <v>1708</v>
      </c>
      <c r="C237" s="291" t="str">
        <f>IF(D236="","",UNIT!$B$1&amp;"-"&amp;B237)</f>
        <v>ICT-MIS-00236</v>
      </c>
      <c r="D237" s="83" t="s">
        <v>375</v>
      </c>
      <c r="E237" s="59" t="s">
        <v>118</v>
      </c>
      <c r="F237" s="82"/>
      <c r="G237" s="82"/>
      <c r="H237" s="86"/>
      <c r="I237" s="294">
        <v>28290</v>
      </c>
      <c r="J237" s="59" t="s">
        <v>1008</v>
      </c>
      <c r="K237" s="83" t="s">
        <v>1709</v>
      </c>
      <c r="L237" s="83" t="str">
        <f t="shared" si="1"/>
        <v>Colored Toner Cartridge Set for the existing ECOSYS M8124CIDN
TK-8113C, TK-8113M, TK-8113Y</v>
      </c>
      <c r="M237" s="83"/>
      <c r="N237" s="59"/>
      <c r="O237" s="59"/>
      <c r="P237" s="86">
        <f t="shared" si="2"/>
        <v>0</v>
      </c>
      <c r="Q237" s="59"/>
      <c r="R237" s="59"/>
      <c r="S237" s="59"/>
      <c r="T237" s="59"/>
      <c r="U237" s="290"/>
      <c r="V237" s="290"/>
      <c r="W237" s="290"/>
      <c r="X237" s="290"/>
      <c r="Y237" s="290"/>
      <c r="Z237" s="290"/>
      <c r="AA237" s="290"/>
      <c r="AB237" s="290"/>
      <c r="AC237" s="290"/>
      <c r="AD237" s="290"/>
    </row>
    <row r="238" spans="1:30" ht="25.5">
      <c r="A238" s="291">
        <f t="shared" si="3"/>
        <v>237</v>
      </c>
      <c r="B238" s="291" t="s">
        <v>1710</v>
      </c>
      <c r="C238" s="291" t="str">
        <f>IF(D237="","",UNIT!$B$1&amp;"-"&amp;B238)</f>
        <v>ICT-MIS-00237</v>
      </c>
      <c r="D238" s="83" t="s">
        <v>412</v>
      </c>
      <c r="E238" s="59" t="s">
        <v>103</v>
      </c>
      <c r="F238" s="82"/>
      <c r="G238" s="82"/>
      <c r="H238" s="86"/>
      <c r="I238" s="294">
        <v>7135</v>
      </c>
      <c r="J238" s="59" t="s">
        <v>1008</v>
      </c>
      <c r="K238" s="83" t="s">
        <v>1711</v>
      </c>
      <c r="L238" s="83" t="str">
        <f t="shared" si="1"/>
        <v>Toner Cartridge for the existing ECOSYS M2535DN/L
TK-1147</v>
      </c>
      <c r="M238" s="83"/>
      <c r="N238" s="59"/>
      <c r="O238" s="59"/>
      <c r="P238" s="86">
        <f t="shared" si="2"/>
        <v>0</v>
      </c>
      <c r="Q238" s="59"/>
      <c r="R238" s="59"/>
      <c r="S238" s="59"/>
      <c r="T238" s="59"/>
      <c r="U238" s="290"/>
      <c r="V238" s="290"/>
      <c r="W238" s="290"/>
      <c r="X238" s="290"/>
      <c r="Y238" s="290"/>
      <c r="Z238" s="290"/>
      <c r="AA238" s="290"/>
      <c r="AB238" s="290"/>
      <c r="AC238" s="290"/>
      <c r="AD238" s="290"/>
    </row>
    <row r="239" spans="1:30" ht="25.5">
      <c r="A239" s="291">
        <f t="shared" si="3"/>
        <v>238</v>
      </c>
      <c r="B239" s="291" t="s">
        <v>1712</v>
      </c>
      <c r="C239" s="291" t="str">
        <f>IF(D238="","",UNIT!$B$1&amp;"-"&amp;B239)</f>
        <v>ICT-MIS-00238</v>
      </c>
      <c r="D239" s="83" t="s">
        <v>421</v>
      </c>
      <c r="E239" s="59" t="s">
        <v>103</v>
      </c>
      <c r="F239" s="82"/>
      <c r="G239" s="82"/>
      <c r="H239" s="86"/>
      <c r="I239" s="294">
        <v>6825</v>
      </c>
      <c r="J239" s="59" t="s">
        <v>1008</v>
      </c>
      <c r="K239" s="83" t="s">
        <v>1713</v>
      </c>
      <c r="L239" s="83" t="str">
        <f t="shared" si="1"/>
        <v>Toner Cartridge for the existing ECOSYS P2040DN
TK-1168</v>
      </c>
      <c r="M239" s="83"/>
      <c r="N239" s="59"/>
      <c r="O239" s="59"/>
      <c r="P239" s="86">
        <f t="shared" si="2"/>
        <v>0</v>
      </c>
      <c r="Q239" s="59"/>
      <c r="R239" s="59"/>
      <c r="S239" s="59"/>
      <c r="T239" s="59"/>
      <c r="U239" s="290"/>
      <c r="V239" s="290"/>
      <c r="W239" s="290"/>
      <c r="X239" s="290"/>
      <c r="Y239" s="290"/>
      <c r="Z239" s="290"/>
      <c r="AA239" s="290"/>
      <c r="AB239" s="290"/>
      <c r="AC239" s="290"/>
      <c r="AD239" s="290"/>
    </row>
    <row r="240" spans="1:30" ht="25.5">
      <c r="A240" s="291">
        <f t="shared" si="3"/>
        <v>239</v>
      </c>
      <c r="B240" s="291" t="s">
        <v>1714</v>
      </c>
      <c r="C240" s="291" t="str">
        <f>IF(D239="","",UNIT!$B$1&amp;"-"&amp;B240)</f>
        <v>ICT-MIS-00239</v>
      </c>
      <c r="D240" s="83" t="s">
        <v>413</v>
      </c>
      <c r="E240" s="59" t="s">
        <v>103</v>
      </c>
      <c r="F240" s="82"/>
      <c r="G240" s="82"/>
      <c r="H240" s="86"/>
      <c r="I240" s="294">
        <v>7410</v>
      </c>
      <c r="J240" s="59" t="s">
        <v>1008</v>
      </c>
      <c r="K240" s="83" t="s">
        <v>1715</v>
      </c>
      <c r="L240" s="83" t="str">
        <f t="shared" si="1"/>
        <v>Toner Cartridge for the existing ECOSYS M2540DN/L
TK-1175</v>
      </c>
      <c r="M240" s="83"/>
      <c r="N240" s="59"/>
      <c r="O240" s="59"/>
      <c r="P240" s="86">
        <f t="shared" si="2"/>
        <v>0</v>
      </c>
      <c r="Q240" s="59"/>
      <c r="R240" s="59"/>
      <c r="S240" s="59"/>
      <c r="T240" s="59"/>
      <c r="U240" s="290"/>
      <c r="V240" s="290"/>
      <c r="W240" s="290"/>
      <c r="X240" s="290"/>
      <c r="Y240" s="290"/>
      <c r="Z240" s="290"/>
      <c r="AA240" s="290"/>
      <c r="AB240" s="290"/>
      <c r="AC240" s="290"/>
      <c r="AD240" s="290"/>
    </row>
    <row r="241" spans="1:30" ht="25.5">
      <c r="A241" s="291">
        <f t="shared" si="3"/>
        <v>240</v>
      </c>
      <c r="B241" s="291" t="s">
        <v>1716</v>
      </c>
      <c r="C241" s="291" t="str">
        <f>IF(D240="","",UNIT!$B$1&amp;"-"&amp;B241)</f>
        <v>ICT-MIS-00240</v>
      </c>
      <c r="D241" s="83" t="s">
        <v>414</v>
      </c>
      <c r="E241" s="59" t="s">
        <v>103</v>
      </c>
      <c r="F241" s="82"/>
      <c r="G241" s="82"/>
      <c r="H241" s="86"/>
      <c r="I241" s="294">
        <v>7410</v>
      </c>
      <c r="J241" s="59" t="s">
        <v>1008</v>
      </c>
      <c r="K241" s="83" t="s">
        <v>1715</v>
      </c>
      <c r="L241" s="83" t="str">
        <f t="shared" si="1"/>
        <v>Toner Cartridge for the existing ECOSYS M2640IDW/L
TK-1175</v>
      </c>
      <c r="M241" s="83"/>
      <c r="N241" s="59"/>
      <c r="O241" s="59"/>
      <c r="P241" s="86">
        <f t="shared" si="2"/>
        <v>0</v>
      </c>
      <c r="Q241" s="59"/>
      <c r="R241" s="59"/>
      <c r="S241" s="59"/>
      <c r="T241" s="59"/>
      <c r="U241" s="290"/>
      <c r="V241" s="290"/>
      <c r="W241" s="290"/>
      <c r="X241" s="290"/>
      <c r="Y241" s="290"/>
      <c r="Z241" s="290"/>
      <c r="AA241" s="290"/>
      <c r="AB241" s="290"/>
      <c r="AC241" s="290"/>
      <c r="AD241" s="290"/>
    </row>
    <row r="242" spans="1:30" ht="25.5">
      <c r="A242" s="291">
        <f t="shared" si="3"/>
        <v>241</v>
      </c>
      <c r="B242" s="291" t="s">
        <v>1717</v>
      </c>
      <c r="C242" s="291" t="str">
        <f>IF(D241="","",UNIT!$B$1&amp;"-"&amp;B242)</f>
        <v>ICT-MIS-00241</v>
      </c>
      <c r="D242" s="83" t="s">
        <v>415</v>
      </c>
      <c r="E242" s="59" t="s">
        <v>103</v>
      </c>
      <c r="F242" s="82"/>
      <c r="G242" s="82"/>
      <c r="H242" s="86"/>
      <c r="I242" s="294">
        <v>8600</v>
      </c>
      <c r="J242" s="59" t="s">
        <v>1008</v>
      </c>
      <c r="K242" s="83" t="s">
        <v>1718</v>
      </c>
      <c r="L242" s="83" t="str">
        <f t="shared" si="1"/>
        <v>Toner Cartridge for the existing ECOSYS M3145DN
TK-3165</v>
      </c>
      <c r="M242" s="83"/>
      <c r="N242" s="59"/>
      <c r="O242" s="59"/>
      <c r="P242" s="86">
        <f t="shared" si="2"/>
        <v>0</v>
      </c>
      <c r="Q242" s="59"/>
      <c r="R242" s="59"/>
      <c r="S242" s="59"/>
      <c r="T242" s="59"/>
      <c r="U242" s="290"/>
      <c r="V242" s="290"/>
      <c r="W242" s="290"/>
      <c r="X242" s="290"/>
      <c r="Y242" s="290"/>
      <c r="Z242" s="290"/>
      <c r="AA242" s="290"/>
      <c r="AB242" s="290"/>
      <c r="AC242" s="290"/>
      <c r="AD242" s="290"/>
    </row>
    <row r="243" spans="1:30" ht="25.5">
      <c r="A243" s="291">
        <f t="shared" si="3"/>
        <v>242</v>
      </c>
      <c r="B243" s="291" t="s">
        <v>1719</v>
      </c>
      <c r="C243" s="291" t="str">
        <f>IF(D242="","",UNIT!$B$1&amp;"-"&amp;B243)</f>
        <v>ICT-MIS-00242</v>
      </c>
      <c r="D243" s="83" t="s">
        <v>416</v>
      </c>
      <c r="E243" s="59" t="s">
        <v>103</v>
      </c>
      <c r="F243" s="82"/>
      <c r="G243" s="82"/>
      <c r="H243" s="86"/>
      <c r="I243" s="294">
        <v>8600</v>
      </c>
      <c r="J243" s="59" t="s">
        <v>1008</v>
      </c>
      <c r="K243" s="83" t="s">
        <v>1718</v>
      </c>
      <c r="L243" s="83" t="str">
        <f t="shared" si="1"/>
        <v>Toner Cartridge for the existing ECOSYS M3645DN
TK-3165</v>
      </c>
      <c r="M243" s="83"/>
      <c r="N243" s="59"/>
      <c r="O243" s="59"/>
      <c r="P243" s="86">
        <f t="shared" si="2"/>
        <v>0</v>
      </c>
      <c r="Q243" s="59"/>
      <c r="R243" s="59"/>
      <c r="S243" s="59"/>
      <c r="T243" s="59"/>
      <c r="U243" s="290"/>
      <c r="V243" s="290"/>
      <c r="W243" s="290"/>
      <c r="X243" s="290"/>
      <c r="Y243" s="290"/>
      <c r="Z243" s="290"/>
      <c r="AA243" s="290"/>
      <c r="AB243" s="290"/>
      <c r="AC243" s="290"/>
      <c r="AD243" s="290"/>
    </row>
    <row r="244" spans="1:30" ht="25.5">
      <c r="A244" s="291">
        <f t="shared" si="3"/>
        <v>243</v>
      </c>
      <c r="B244" s="291" t="s">
        <v>1720</v>
      </c>
      <c r="C244" s="291" t="str">
        <f>IF(D243="","",UNIT!$B$1&amp;"-"&amp;B244)</f>
        <v>ICT-MIS-00243</v>
      </c>
      <c r="D244" s="83" t="s">
        <v>423</v>
      </c>
      <c r="E244" s="59" t="s">
        <v>103</v>
      </c>
      <c r="F244" s="82"/>
      <c r="G244" s="82"/>
      <c r="H244" s="86"/>
      <c r="I244" s="294">
        <v>9700</v>
      </c>
      <c r="J244" s="59" t="s">
        <v>1008</v>
      </c>
      <c r="K244" s="83" t="s">
        <v>1721</v>
      </c>
      <c r="L244" s="83" t="str">
        <f t="shared" si="1"/>
        <v>Toner Cartridge for the existing FS-6525MFP
TK-479</v>
      </c>
      <c r="M244" s="83"/>
      <c r="N244" s="59"/>
      <c r="O244" s="59"/>
      <c r="P244" s="86">
        <f t="shared" si="2"/>
        <v>0</v>
      </c>
      <c r="Q244" s="59"/>
      <c r="R244" s="59"/>
      <c r="S244" s="59"/>
      <c r="T244" s="59"/>
      <c r="U244" s="290"/>
      <c r="V244" s="290"/>
      <c r="W244" s="290"/>
      <c r="X244" s="290"/>
      <c r="Y244" s="290"/>
      <c r="Z244" s="290"/>
      <c r="AA244" s="290"/>
      <c r="AB244" s="290"/>
      <c r="AC244" s="290"/>
      <c r="AD244" s="290"/>
    </row>
    <row r="245" spans="1:30" ht="25.5">
      <c r="A245" s="291">
        <f t="shared" si="3"/>
        <v>244</v>
      </c>
      <c r="B245" s="291" t="s">
        <v>1722</v>
      </c>
      <c r="C245" s="291" t="str">
        <f>IF(D244="","",UNIT!$B$1&amp;"-"&amp;B245)</f>
        <v>ICT-MIS-00244</v>
      </c>
      <c r="D245" s="83" t="s">
        <v>417</v>
      </c>
      <c r="E245" s="59" t="s">
        <v>103</v>
      </c>
      <c r="F245" s="82"/>
      <c r="G245" s="82"/>
      <c r="H245" s="86"/>
      <c r="I245" s="294">
        <v>9700</v>
      </c>
      <c r="J245" s="59" t="s">
        <v>1008</v>
      </c>
      <c r="K245" s="83" t="s">
        <v>1723</v>
      </c>
      <c r="L245" s="83" t="str">
        <f t="shared" si="1"/>
        <v>Toner Cartridge for the existing ECOSYS M4125IDN
TK-6113</v>
      </c>
      <c r="M245" s="83"/>
      <c r="N245" s="59"/>
      <c r="O245" s="59"/>
      <c r="P245" s="86">
        <f t="shared" si="2"/>
        <v>0</v>
      </c>
      <c r="Q245" s="59"/>
      <c r="R245" s="59"/>
      <c r="S245" s="59"/>
      <c r="T245" s="59"/>
      <c r="U245" s="290"/>
      <c r="V245" s="290"/>
      <c r="W245" s="290"/>
      <c r="X245" s="290"/>
      <c r="Y245" s="290"/>
      <c r="Z245" s="290"/>
      <c r="AA245" s="290"/>
      <c r="AB245" s="290"/>
      <c r="AC245" s="290"/>
      <c r="AD245" s="290"/>
    </row>
    <row r="246" spans="1:30" ht="25.5">
      <c r="A246" s="291">
        <f t="shared" si="3"/>
        <v>245</v>
      </c>
      <c r="B246" s="291" t="s">
        <v>1724</v>
      </c>
      <c r="C246" s="291" t="str">
        <f>IF(D245="","",UNIT!$B$1&amp;"-"&amp;B246)</f>
        <v>ICT-MIS-00245</v>
      </c>
      <c r="D246" s="83" t="s">
        <v>418</v>
      </c>
      <c r="E246" s="59" t="s">
        <v>103</v>
      </c>
      <c r="F246" s="82"/>
      <c r="G246" s="82"/>
      <c r="H246" s="86"/>
      <c r="I246" s="294">
        <v>9700</v>
      </c>
      <c r="J246" s="59" t="s">
        <v>1008</v>
      </c>
      <c r="K246" s="83" t="s">
        <v>1723</v>
      </c>
      <c r="L246" s="83" t="str">
        <f t="shared" si="1"/>
        <v>Toner Cartridge for the existing ECOSYS M4132IDN
TK-6113</v>
      </c>
      <c r="M246" s="83"/>
      <c r="N246" s="59"/>
      <c r="O246" s="59"/>
      <c r="P246" s="86">
        <f t="shared" si="2"/>
        <v>0</v>
      </c>
      <c r="Q246" s="59"/>
      <c r="R246" s="59"/>
      <c r="S246" s="59"/>
      <c r="T246" s="59"/>
      <c r="U246" s="290"/>
      <c r="V246" s="290"/>
      <c r="W246" s="290"/>
      <c r="X246" s="290"/>
      <c r="Y246" s="290"/>
      <c r="Z246" s="290"/>
      <c r="AA246" s="290"/>
      <c r="AB246" s="290"/>
      <c r="AC246" s="290"/>
      <c r="AD246" s="290"/>
    </row>
    <row r="247" spans="1:30" ht="25.5">
      <c r="A247" s="291">
        <f t="shared" si="3"/>
        <v>246</v>
      </c>
      <c r="B247" s="291" t="s">
        <v>1725</v>
      </c>
      <c r="C247" s="291" t="str">
        <f>IF(D246="","",UNIT!$B$1&amp;"-"&amp;B247)</f>
        <v>ICT-MIS-00246</v>
      </c>
      <c r="D247" s="83" t="s">
        <v>424</v>
      </c>
      <c r="E247" s="59" t="s">
        <v>103</v>
      </c>
      <c r="F247" s="82"/>
      <c r="G247" s="82"/>
      <c r="H247" s="86"/>
      <c r="I247" s="294">
        <v>9375</v>
      </c>
      <c r="J247" s="59" t="s">
        <v>1008</v>
      </c>
      <c r="K247" s="83" t="s">
        <v>605</v>
      </c>
      <c r="L247" s="83" t="str">
        <f t="shared" si="1"/>
        <v>Toner Cartridge for the existing TASKALFA 3212I
TK-7120</v>
      </c>
      <c r="M247" s="83"/>
      <c r="N247" s="59"/>
      <c r="O247" s="59"/>
      <c r="P247" s="86">
        <f t="shared" si="2"/>
        <v>0</v>
      </c>
      <c r="Q247" s="59"/>
      <c r="R247" s="59"/>
      <c r="S247" s="59"/>
      <c r="T247" s="59"/>
      <c r="U247" s="290"/>
      <c r="V247" s="290"/>
      <c r="W247" s="290"/>
      <c r="X247" s="290"/>
      <c r="Y247" s="290"/>
      <c r="Z247" s="290"/>
      <c r="AA247" s="290"/>
      <c r="AB247" s="290"/>
      <c r="AC247" s="290"/>
      <c r="AD247" s="290"/>
    </row>
    <row r="248" spans="1:30" ht="25.5">
      <c r="A248" s="291">
        <f t="shared" si="3"/>
        <v>247</v>
      </c>
      <c r="B248" s="291" t="s">
        <v>1726</v>
      </c>
      <c r="C248" s="291" t="str">
        <f>IF(D247="","",UNIT!$B$1&amp;"-"&amp;B248)</f>
        <v>ICT-MIS-00247</v>
      </c>
      <c r="D248" s="83" t="s">
        <v>394</v>
      </c>
      <c r="E248" s="59" t="s">
        <v>118</v>
      </c>
      <c r="F248" s="82"/>
      <c r="G248" s="82"/>
      <c r="H248" s="86"/>
      <c r="I248" s="294">
        <v>12285</v>
      </c>
      <c r="J248" s="59" t="s">
        <v>1008</v>
      </c>
      <c r="K248" s="83" t="s">
        <v>1727</v>
      </c>
      <c r="L248" s="83" t="str">
        <f t="shared" si="1"/>
        <v>Maintenance Kit for the existing ECOSYS M2535DN/L
MK-1147</v>
      </c>
      <c r="M248" s="83"/>
      <c r="N248" s="59"/>
      <c r="O248" s="59"/>
      <c r="P248" s="86">
        <f t="shared" si="2"/>
        <v>0</v>
      </c>
      <c r="Q248" s="59"/>
      <c r="R248" s="59"/>
      <c r="S248" s="59"/>
      <c r="T248" s="59"/>
      <c r="U248" s="290"/>
      <c r="V248" s="290"/>
      <c r="W248" s="290"/>
      <c r="X248" s="290"/>
      <c r="Y248" s="290"/>
      <c r="Z248" s="290"/>
      <c r="AA248" s="290"/>
      <c r="AB248" s="290"/>
      <c r="AC248" s="290"/>
      <c r="AD248" s="290"/>
    </row>
    <row r="249" spans="1:30" ht="25.5">
      <c r="A249" s="291">
        <f t="shared" si="3"/>
        <v>248</v>
      </c>
      <c r="B249" s="291" t="s">
        <v>1728</v>
      </c>
      <c r="C249" s="291" t="str">
        <f>IF(D248="","",UNIT!$B$1&amp;"-"&amp;B249)</f>
        <v>ICT-MIS-00248</v>
      </c>
      <c r="D249" s="83" t="s">
        <v>1729</v>
      </c>
      <c r="E249" s="59" t="s">
        <v>118</v>
      </c>
      <c r="F249" s="82"/>
      <c r="G249" s="82"/>
      <c r="H249" s="86"/>
      <c r="I249" s="294">
        <v>10780</v>
      </c>
      <c r="J249" s="59" t="s">
        <v>1008</v>
      </c>
      <c r="K249" s="83" t="s">
        <v>1730</v>
      </c>
      <c r="L249" s="83" t="str">
        <f t="shared" si="1"/>
        <v>Maintenance Kit for the existing ECOSYS P2040DN
MK-1156</v>
      </c>
      <c r="M249" s="83"/>
      <c r="N249" s="59"/>
      <c r="O249" s="59"/>
      <c r="P249" s="86">
        <f t="shared" si="2"/>
        <v>0</v>
      </c>
      <c r="Q249" s="59"/>
      <c r="R249" s="59"/>
      <c r="S249" s="59"/>
      <c r="T249" s="59"/>
      <c r="U249" s="290"/>
      <c r="V249" s="290"/>
      <c r="W249" s="290"/>
      <c r="X249" s="290"/>
      <c r="Y249" s="290"/>
      <c r="Z249" s="290"/>
      <c r="AA249" s="290"/>
      <c r="AB249" s="290"/>
      <c r="AC249" s="290"/>
      <c r="AD249" s="290"/>
    </row>
    <row r="250" spans="1:30" ht="25.5">
      <c r="A250" s="291">
        <f t="shared" si="3"/>
        <v>249</v>
      </c>
      <c r="B250" s="291" t="s">
        <v>1731</v>
      </c>
      <c r="C250" s="291" t="str">
        <f>IF(D249="","",UNIT!$B$1&amp;"-"&amp;B250)</f>
        <v>ICT-MIS-00249</v>
      </c>
      <c r="D250" s="83" t="s">
        <v>1732</v>
      </c>
      <c r="E250" s="59" t="s">
        <v>118</v>
      </c>
      <c r="F250" s="82"/>
      <c r="G250" s="82"/>
      <c r="H250" s="86"/>
      <c r="I250" s="294">
        <v>12348</v>
      </c>
      <c r="J250" s="59" t="s">
        <v>1008</v>
      </c>
      <c r="K250" s="83" t="s">
        <v>1733</v>
      </c>
      <c r="L250" s="83" t="str">
        <f t="shared" si="1"/>
        <v>Maintenance Kit for the existing ECOSYS M2540DN/L
MK-1175</v>
      </c>
      <c r="M250" s="83"/>
      <c r="N250" s="59"/>
      <c r="O250" s="59"/>
      <c r="P250" s="86">
        <f t="shared" si="2"/>
        <v>0</v>
      </c>
      <c r="Q250" s="59"/>
      <c r="R250" s="59"/>
      <c r="S250" s="59"/>
      <c r="T250" s="59"/>
      <c r="U250" s="290"/>
      <c r="V250" s="290"/>
      <c r="W250" s="290"/>
      <c r="X250" s="290"/>
      <c r="Y250" s="290"/>
      <c r="Z250" s="290"/>
      <c r="AA250" s="290"/>
      <c r="AB250" s="290"/>
      <c r="AC250" s="290"/>
      <c r="AD250" s="290"/>
    </row>
    <row r="251" spans="1:30" ht="25.5">
      <c r="A251" s="291">
        <f t="shared" si="3"/>
        <v>250</v>
      </c>
      <c r="B251" s="291" t="s">
        <v>1734</v>
      </c>
      <c r="C251" s="291" t="str">
        <f>IF(D250="","",UNIT!$B$1&amp;"-"&amp;B251)</f>
        <v>ICT-MIS-00250</v>
      </c>
      <c r="D251" s="83" t="s">
        <v>1735</v>
      </c>
      <c r="E251" s="59" t="s">
        <v>118</v>
      </c>
      <c r="F251" s="82"/>
      <c r="G251" s="82"/>
      <c r="H251" s="86"/>
      <c r="I251" s="294">
        <v>12348</v>
      </c>
      <c r="J251" s="59" t="s">
        <v>1008</v>
      </c>
      <c r="K251" s="83" t="s">
        <v>1733</v>
      </c>
      <c r="L251" s="83" t="str">
        <f t="shared" si="1"/>
        <v>Maintenance Kit for the existing ECOSYS M2640IDW/L
MK-1175</v>
      </c>
      <c r="M251" s="83"/>
      <c r="N251" s="59"/>
      <c r="O251" s="59"/>
      <c r="P251" s="86">
        <f t="shared" si="2"/>
        <v>0</v>
      </c>
      <c r="Q251" s="59"/>
      <c r="R251" s="59"/>
      <c r="S251" s="59"/>
      <c r="T251" s="59"/>
      <c r="U251" s="290"/>
      <c r="V251" s="290"/>
      <c r="W251" s="290"/>
      <c r="X251" s="290"/>
      <c r="Y251" s="290"/>
      <c r="Z251" s="290"/>
      <c r="AA251" s="290"/>
      <c r="AB251" s="290"/>
      <c r="AC251" s="290"/>
      <c r="AD251" s="290"/>
    </row>
    <row r="252" spans="1:30" ht="25.5">
      <c r="A252" s="291">
        <f t="shared" si="3"/>
        <v>251</v>
      </c>
      <c r="B252" s="291" t="s">
        <v>1736</v>
      </c>
      <c r="C252" s="291" t="str">
        <f>IF(D251="","",UNIT!$B$1&amp;"-"&amp;B252)</f>
        <v>ICT-MIS-00251</v>
      </c>
      <c r="D252" s="83" t="s">
        <v>1737</v>
      </c>
      <c r="E252" s="59" t="s">
        <v>118</v>
      </c>
      <c r="F252" s="82"/>
      <c r="G252" s="82"/>
      <c r="H252" s="86"/>
      <c r="I252" s="294">
        <v>18900</v>
      </c>
      <c r="J252" s="59" t="s">
        <v>1008</v>
      </c>
      <c r="K252" s="83" t="s">
        <v>1738</v>
      </c>
      <c r="L252" s="83" t="str">
        <f t="shared" si="1"/>
        <v>Maintenance Kit for the existing ECOSYS M3145DN
MK-3165</v>
      </c>
      <c r="M252" s="83"/>
      <c r="N252" s="59"/>
      <c r="O252" s="59"/>
      <c r="P252" s="86">
        <f t="shared" si="2"/>
        <v>0</v>
      </c>
      <c r="Q252" s="59"/>
      <c r="R252" s="59"/>
      <c r="S252" s="59"/>
      <c r="T252" s="59"/>
      <c r="U252" s="290"/>
      <c r="V252" s="290"/>
      <c r="W252" s="290"/>
      <c r="X252" s="290"/>
      <c r="Y252" s="290"/>
      <c r="Z252" s="290"/>
      <c r="AA252" s="290"/>
      <c r="AB252" s="290"/>
      <c r="AC252" s="290"/>
      <c r="AD252" s="290"/>
    </row>
    <row r="253" spans="1:30" ht="25.5">
      <c r="A253" s="291">
        <f t="shared" si="3"/>
        <v>252</v>
      </c>
      <c r="B253" s="291" t="s">
        <v>1739</v>
      </c>
      <c r="C253" s="291" t="str">
        <f>IF(D252="","",UNIT!$B$1&amp;"-"&amp;B253)</f>
        <v>ICT-MIS-00252</v>
      </c>
      <c r="D253" s="83" t="s">
        <v>395</v>
      </c>
      <c r="E253" s="59" t="s">
        <v>118</v>
      </c>
      <c r="F253" s="82"/>
      <c r="G253" s="82"/>
      <c r="H253" s="86"/>
      <c r="I253" s="294">
        <v>18900</v>
      </c>
      <c r="J253" s="59" t="s">
        <v>1008</v>
      </c>
      <c r="K253" s="83" t="s">
        <v>1738</v>
      </c>
      <c r="L253" s="83" t="str">
        <f t="shared" si="1"/>
        <v>Maintenance Kit for the existing ECOSYS M3645DN
MK-3165</v>
      </c>
      <c r="M253" s="83"/>
      <c r="N253" s="59"/>
      <c r="O253" s="59"/>
      <c r="P253" s="86">
        <f t="shared" si="2"/>
        <v>0</v>
      </c>
      <c r="Q253" s="59"/>
      <c r="R253" s="59"/>
      <c r="S253" s="59"/>
      <c r="T253" s="59"/>
      <c r="U253" s="290"/>
      <c r="V253" s="290"/>
      <c r="W253" s="290"/>
      <c r="X253" s="290"/>
      <c r="Y253" s="290"/>
      <c r="Z253" s="290"/>
      <c r="AA253" s="290"/>
      <c r="AB253" s="290"/>
      <c r="AC253" s="290"/>
      <c r="AD253" s="290"/>
    </row>
    <row r="254" spans="1:30" ht="25.5">
      <c r="A254" s="291">
        <f t="shared" si="3"/>
        <v>253</v>
      </c>
      <c r="B254" s="291" t="s">
        <v>1740</v>
      </c>
      <c r="C254" s="291" t="str">
        <f>IF(D253="","",UNIT!$B$1&amp;"-"&amp;B254)</f>
        <v>ICT-MIS-00253</v>
      </c>
      <c r="D254" s="83" t="s">
        <v>398</v>
      </c>
      <c r="E254" s="59" t="s">
        <v>118</v>
      </c>
      <c r="F254" s="82"/>
      <c r="G254" s="82"/>
      <c r="H254" s="86"/>
      <c r="I254" s="294">
        <v>36960</v>
      </c>
      <c r="J254" s="59" t="s">
        <v>1008</v>
      </c>
      <c r="K254" s="83" t="s">
        <v>1741</v>
      </c>
      <c r="L254" s="83" t="str">
        <f t="shared" si="1"/>
        <v>Maintenance Kit for the existing FS-6525MFP
MK-479</v>
      </c>
      <c r="M254" s="83"/>
      <c r="N254" s="59"/>
      <c r="O254" s="59"/>
      <c r="P254" s="86">
        <f t="shared" si="2"/>
        <v>0</v>
      </c>
      <c r="Q254" s="59"/>
      <c r="R254" s="59"/>
      <c r="S254" s="59"/>
      <c r="T254" s="59"/>
      <c r="U254" s="290"/>
      <c r="V254" s="290"/>
      <c r="W254" s="290"/>
      <c r="X254" s="290"/>
      <c r="Y254" s="290"/>
      <c r="Z254" s="290"/>
      <c r="AA254" s="290"/>
      <c r="AB254" s="290"/>
      <c r="AC254" s="290"/>
      <c r="AD254" s="290"/>
    </row>
    <row r="255" spans="1:30" ht="25.5">
      <c r="A255" s="291">
        <f t="shared" si="3"/>
        <v>254</v>
      </c>
      <c r="B255" s="291" t="s">
        <v>1742</v>
      </c>
      <c r="C255" s="291" t="str">
        <f>IF(D254="","",UNIT!$B$1&amp;"-"&amp;B255)</f>
        <v>ICT-MIS-00254</v>
      </c>
      <c r="D255" s="83" t="s">
        <v>1743</v>
      </c>
      <c r="E255" s="59" t="s">
        <v>118</v>
      </c>
      <c r="F255" s="82"/>
      <c r="G255" s="82"/>
      <c r="H255" s="86"/>
      <c r="I255" s="294">
        <v>38850</v>
      </c>
      <c r="J255" s="59" t="s">
        <v>1008</v>
      </c>
      <c r="K255" s="83" t="s">
        <v>1744</v>
      </c>
      <c r="L255" s="83" t="str">
        <f t="shared" si="1"/>
        <v>Maintenance Kit for the existing ECOSYS P6230CDN
MK-5144</v>
      </c>
      <c r="M255" s="83"/>
      <c r="N255" s="59"/>
      <c r="O255" s="59"/>
      <c r="P255" s="86">
        <f t="shared" si="2"/>
        <v>0</v>
      </c>
      <c r="Q255" s="59"/>
      <c r="R255" s="59"/>
      <c r="S255" s="59"/>
      <c r="T255" s="59"/>
      <c r="U255" s="290"/>
      <c r="V255" s="290"/>
      <c r="W255" s="290"/>
      <c r="X255" s="290"/>
      <c r="Y255" s="290"/>
      <c r="Z255" s="290"/>
      <c r="AA255" s="290"/>
      <c r="AB255" s="290"/>
      <c r="AC255" s="290"/>
      <c r="AD255" s="290"/>
    </row>
    <row r="256" spans="1:30" ht="25.5">
      <c r="A256" s="291">
        <f t="shared" si="3"/>
        <v>255</v>
      </c>
      <c r="B256" s="291" t="s">
        <v>1745</v>
      </c>
      <c r="C256" s="291" t="str">
        <f>IF(D255="","",UNIT!$B$1&amp;"-"&amp;B256)</f>
        <v>ICT-MIS-00255</v>
      </c>
      <c r="D256" s="83" t="s">
        <v>396</v>
      </c>
      <c r="E256" s="59" t="s">
        <v>118</v>
      </c>
      <c r="F256" s="82"/>
      <c r="G256" s="82"/>
      <c r="H256" s="86"/>
      <c r="I256" s="294">
        <v>36960</v>
      </c>
      <c r="J256" s="59" t="s">
        <v>1008</v>
      </c>
      <c r="K256" s="83" t="s">
        <v>1746</v>
      </c>
      <c r="L256" s="83" t="str">
        <f t="shared" si="1"/>
        <v>Maintenance Kit for the existing ECOSYS M4125IDN
MK-6119</v>
      </c>
      <c r="M256" s="83"/>
      <c r="N256" s="59"/>
      <c r="O256" s="59"/>
      <c r="P256" s="86">
        <f t="shared" si="2"/>
        <v>0</v>
      </c>
      <c r="Q256" s="59"/>
      <c r="R256" s="59"/>
      <c r="S256" s="59"/>
      <c r="T256" s="59"/>
      <c r="U256" s="290"/>
      <c r="V256" s="290"/>
      <c r="W256" s="290"/>
      <c r="X256" s="290"/>
      <c r="Y256" s="290"/>
      <c r="Z256" s="290"/>
      <c r="AA256" s="290"/>
      <c r="AB256" s="290"/>
      <c r="AC256" s="290"/>
      <c r="AD256" s="290"/>
    </row>
    <row r="257" spans="1:30" ht="25.5">
      <c r="A257" s="291">
        <f t="shared" si="3"/>
        <v>256</v>
      </c>
      <c r="B257" s="291" t="s">
        <v>1747</v>
      </c>
      <c r="C257" s="291" t="str">
        <f>IF(D256="","",UNIT!$B$1&amp;"-"&amp;B257)</f>
        <v>ICT-MIS-00256</v>
      </c>
      <c r="D257" s="83" t="s">
        <v>397</v>
      </c>
      <c r="E257" s="59" t="s">
        <v>118</v>
      </c>
      <c r="F257" s="82"/>
      <c r="G257" s="82"/>
      <c r="H257" s="86"/>
      <c r="I257" s="294">
        <v>36960</v>
      </c>
      <c r="J257" s="59" t="s">
        <v>1008</v>
      </c>
      <c r="K257" s="83" t="s">
        <v>1746</v>
      </c>
      <c r="L257" s="83" t="str">
        <f t="shared" ref="L257:L511" si="34">D257&amp;"
"&amp;K257</f>
        <v>Maintenance Kit for the existing ECOSYS M4132IDN
MK-6119</v>
      </c>
      <c r="M257" s="83"/>
      <c r="N257" s="59"/>
      <c r="O257" s="59"/>
      <c r="P257" s="86">
        <f t="shared" ref="P257:P511" si="35">I257*O257</f>
        <v>0</v>
      </c>
      <c r="Q257" s="59"/>
      <c r="R257" s="59"/>
      <c r="S257" s="59"/>
      <c r="T257" s="59"/>
      <c r="U257" s="290"/>
      <c r="V257" s="290"/>
      <c r="W257" s="290"/>
      <c r="X257" s="290"/>
      <c r="Y257" s="290"/>
      <c r="Z257" s="290"/>
      <c r="AA257" s="290"/>
      <c r="AB257" s="290"/>
      <c r="AC257" s="290"/>
      <c r="AD257" s="290"/>
    </row>
    <row r="258" spans="1:30" ht="25.5">
      <c r="A258" s="291">
        <f t="shared" ref="A258:A512" si="36">IF(D257="","",A257+1)</f>
        <v>257</v>
      </c>
      <c r="B258" s="291" t="s">
        <v>1748</v>
      </c>
      <c r="C258" s="291" t="str">
        <f>IF(D257="","",UNIT!$B$1&amp;"-"&amp;B258)</f>
        <v>ICT-MIS-00257</v>
      </c>
      <c r="D258" s="83" t="s">
        <v>399</v>
      </c>
      <c r="E258" s="59" t="s">
        <v>118</v>
      </c>
      <c r="F258" s="82"/>
      <c r="G258" s="82"/>
      <c r="H258" s="86"/>
      <c r="I258" s="294">
        <v>64785</v>
      </c>
      <c r="J258" s="59" t="s">
        <v>1008</v>
      </c>
      <c r="K258" s="83" t="s">
        <v>1749</v>
      </c>
      <c r="L258" s="83" t="str">
        <f t="shared" si="34"/>
        <v>Maintenance Kit for the existing TASKALFA 3212I
MK-7129</v>
      </c>
      <c r="M258" s="83"/>
      <c r="N258" s="59"/>
      <c r="O258" s="59"/>
      <c r="P258" s="86">
        <f t="shared" si="35"/>
        <v>0</v>
      </c>
      <c r="Q258" s="59"/>
      <c r="R258" s="59"/>
      <c r="S258" s="59"/>
      <c r="T258" s="59"/>
      <c r="U258" s="290"/>
      <c r="V258" s="290"/>
      <c r="W258" s="290"/>
      <c r="X258" s="290"/>
      <c r="Y258" s="290"/>
      <c r="Z258" s="290"/>
      <c r="AA258" s="290"/>
      <c r="AB258" s="290"/>
      <c r="AC258" s="290"/>
      <c r="AD258" s="290"/>
    </row>
    <row r="259" spans="1:30" ht="25.5">
      <c r="A259" s="291">
        <f t="shared" si="36"/>
        <v>258</v>
      </c>
      <c r="B259" s="291" t="s">
        <v>1750</v>
      </c>
      <c r="C259" s="291" t="str">
        <f>IF(D258="","",UNIT!$B$1&amp;"-"&amp;B259)</f>
        <v>ICT-MIS-00258</v>
      </c>
      <c r="D259" s="83" t="s">
        <v>1751</v>
      </c>
      <c r="E259" s="59" t="s">
        <v>118</v>
      </c>
      <c r="F259" s="82"/>
      <c r="G259" s="82"/>
      <c r="H259" s="86"/>
      <c r="I259" s="294">
        <v>122325</v>
      </c>
      <c r="J259" s="59" t="s">
        <v>1008</v>
      </c>
      <c r="K259" s="83" t="s">
        <v>1752</v>
      </c>
      <c r="L259" s="83" t="str">
        <f t="shared" si="34"/>
        <v>Maintenance Kit for the existing ECOSYS M8124CIDN
MK-8115A, MK-8115B</v>
      </c>
      <c r="M259" s="83"/>
      <c r="N259" s="59"/>
      <c r="O259" s="59"/>
      <c r="P259" s="86">
        <f t="shared" si="35"/>
        <v>0</v>
      </c>
      <c r="Q259" s="59"/>
      <c r="R259" s="59"/>
      <c r="S259" s="59"/>
      <c r="T259" s="59"/>
      <c r="U259" s="290"/>
      <c r="V259" s="290"/>
      <c r="W259" s="290"/>
      <c r="X259" s="290"/>
      <c r="Y259" s="290"/>
      <c r="Z259" s="290"/>
      <c r="AA259" s="290"/>
      <c r="AB259" s="290"/>
      <c r="AC259" s="290"/>
      <c r="AD259" s="290"/>
    </row>
    <row r="260" spans="1:30" ht="25.5">
      <c r="A260" s="291">
        <f t="shared" si="36"/>
        <v>259</v>
      </c>
      <c r="B260" s="291" t="s">
        <v>1753</v>
      </c>
      <c r="C260" s="291" t="str">
        <f>IF(D259="","",UNIT!$B$1&amp;"-"&amp;B260)</f>
        <v>ICT-MIS-00259</v>
      </c>
      <c r="D260" s="83" t="s">
        <v>419</v>
      </c>
      <c r="E260" s="59" t="s">
        <v>103</v>
      </c>
      <c r="F260" s="82"/>
      <c r="G260" s="82"/>
      <c r="H260" s="86"/>
      <c r="I260" s="294">
        <v>3585</v>
      </c>
      <c r="J260" s="59" t="s">
        <v>1008</v>
      </c>
      <c r="K260" s="83" t="s">
        <v>1754</v>
      </c>
      <c r="L260" s="83" t="str">
        <f t="shared" si="34"/>
        <v>Toner Cartridge for the existing ECOSYS M5521CDW
TK-5234K</v>
      </c>
      <c r="M260" s="83"/>
      <c r="N260" s="59" t="s">
        <v>957</v>
      </c>
      <c r="O260" s="59">
        <v>8</v>
      </c>
      <c r="P260" s="86">
        <f t="shared" si="35"/>
        <v>28680</v>
      </c>
      <c r="Q260" s="59"/>
      <c r="R260" s="59"/>
      <c r="S260" s="59"/>
      <c r="T260" s="59"/>
      <c r="U260" s="290"/>
      <c r="V260" s="290"/>
      <c r="W260" s="290"/>
      <c r="X260" s="290"/>
      <c r="Y260" s="290"/>
      <c r="Z260" s="290"/>
      <c r="AA260" s="290"/>
      <c r="AB260" s="290"/>
      <c r="AC260" s="290"/>
      <c r="AD260" s="290"/>
    </row>
    <row r="261" spans="1:30" ht="25.5">
      <c r="A261" s="291">
        <f t="shared" si="36"/>
        <v>260</v>
      </c>
      <c r="B261" s="291" t="s">
        <v>1755</v>
      </c>
      <c r="C261" s="291" t="str">
        <f>IF(D260="","",UNIT!$B$1&amp;"-"&amp;B261)</f>
        <v>ICT-MIS-00260</v>
      </c>
      <c r="D261" s="83" t="s">
        <v>422</v>
      </c>
      <c r="E261" s="59" t="s">
        <v>103</v>
      </c>
      <c r="F261" s="82"/>
      <c r="G261" s="82"/>
      <c r="H261" s="86"/>
      <c r="I261" s="294">
        <v>10475</v>
      </c>
      <c r="J261" s="59" t="s">
        <v>1008</v>
      </c>
      <c r="K261" s="83" t="s">
        <v>1756</v>
      </c>
      <c r="L261" s="83" t="str">
        <f t="shared" si="34"/>
        <v>Toner Cartridge for the existing ECOSYS P6230CDN
TK-5275K</v>
      </c>
      <c r="M261" s="83"/>
      <c r="N261" s="59"/>
      <c r="O261" s="59"/>
      <c r="P261" s="86">
        <f t="shared" si="35"/>
        <v>0</v>
      </c>
      <c r="Q261" s="59"/>
      <c r="R261" s="59"/>
      <c r="S261" s="59"/>
      <c r="T261" s="59"/>
      <c r="U261" s="290"/>
      <c r="V261" s="290"/>
      <c r="W261" s="290"/>
      <c r="X261" s="290"/>
      <c r="Y261" s="290"/>
      <c r="Z261" s="290"/>
      <c r="AA261" s="290"/>
      <c r="AB261" s="290"/>
      <c r="AC261" s="290"/>
      <c r="AD261" s="290"/>
    </row>
    <row r="262" spans="1:30" ht="25.5">
      <c r="A262" s="291">
        <f t="shared" si="36"/>
        <v>261</v>
      </c>
      <c r="B262" s="291" t="s">
        <v>1757</v>
      </c>
      <c r="C262" s="291" t="str">
        <f>IF(D261="","",UNIT!$B$1&amp;"-"&amp;B262)</f>
        <v>ICT-MIS-00261</v>
      </c>
      <c r="D262" s="83" t="s">
        <v>420</v>
      </c>
      <c r="E262" s="59" t="s">
        <v>103</v>
      </c>
      <c r="F262" s="82"/>
      <c r="G262" s="82"/>
      <c r="H262" s="86"/>
      <c r="I262" s="294">
        <v>5680</v>
      </c>
      <c r="J262" s="59" t="s">
        <v>1008</v>
      </c>
      <c r="K262" s="83" t="s">
        <v>1758</v>
      </c>
      <c r="L262" s="83" t="str">
        <f t="shared" si="34"/>
        <v>Toner Cartridge for the existing ECOSYS M8124CIDN
TK-8113K</v>
      </c>
      <c r="M262" s="83"/>
      <c r="N262" s="59"/>
      <c r="O262" s="59"/>
      <c r="P262" s="86">
        <f t="shared" si="35"/>
        <v>0</v>
      </c>
      <c r="Q262" s="59"/>
      <c r="R262" s="59"/>
      <c r="S262" s="59"/>
      <c r="T262" s="59"/>
      <c r="U262" s="290"/>
      <c r="V262" s="290"/>
      <c r="W262" s="290"/>
      <c r="X262" s="290"/>
      <c r="Y262" s="290"/>
      <c r="Z262" s="290"/>
      <c r="AA262" s="290"/>
      <c r="AB262" s="290"/>
      <c r="AC262" s="290"/>
      <c r="AD262" s="290"/>
    </row>
    <row r="263" spans="1:30" ht="25.5">
      <c r="A263" s="291">
        <f t="shared" si="36"/>
        <v>262</v>
      </c>
      <c r="B263" s="291" t="s">
        <v>1759</v>
      </c>
      <c r="C263" s="291" t="str">
        <f>IF(D262="","",UNIT!$B$1&amp;"-"&amp;B263)</f>
        <v>ICT-MIS-00262</v>
      </c>
      <c r="D263" s="83" t="s">
        <v>368</v>
      </c>
      <c r="E263" s="59" t="s">
        <v>103</v>
      </c>
      <c r="F263" s="82"/>
      <c r="G263" s="82"/>
      <c r="H263" s="86">
        <v>5000</v>
      </c>
      <c r="I263" s="294">
        <f t="shared" ref="I263:I517" si="37">IF(H263&gt;1,H263*1.5,"")</f>
        <v>7500</v>
      </c>
      <c r="J263" s="59" t="s">
        <v>1008</v>
      </c>
      <c r="K263" s="83" t="s">
        <v>1760</v>
      </c>
      <c r="L263" s="83" t="str">
        <f t="shared" si="34"/>
        <v>Black Original LaserJet Toner Cartridge
HP 80A Black Original LaserJet Toner Cartridge, CF280A</v>
      </c>
      <c r="M263" s="83"/>
      <c r="N263" s="59"/>
      <c r="O263" s="59"/>
      <c r="P263" s="86">
        <f t="shared" si="35"/>
        <v>0</v>
      </c>
      <c r="Q263" s="59"/>
      <c r="R263" s="59"/>
      <c r="S263" s="59"/>
      <c r="T263" s="59"/>
      <c r="U263" s="290"/>
      <c r="V263" s="290"/>
      <c r="W263" s="290"/>
      <c r="X263" s="290"/>
      <c r="Y263" s="290"/>
      <c r="Z263" s="290"/>
      <c r="AA263" s="290"/>
      <c r="AB263" s="290"/>
      <c r="AC263" s="290"/>
      <c r="AD263" s="290"/>
    </row>
    <row r="264" spans="1:30" ht="25.5">
      <c r="A264" s="291">
        <f t="shared" si="36"/>
        <v>263</v>
      </c>
      <c r="B264" s="291" t="s">
        <v>1761</v>
      </c>
      <c r="C264" s="291" t="str">
        <f>IF(D263="","",UNIT!$B$1&amp;"-"&amp;B264)</f>
        <v>ICT-MIS-00263</v>
      </c>
      <c r="D264" s="83" t="s">
        <v>387</v>
      </c>
      <c r="E264" s="59" t="s">
        <v>103</v>
      </c>
      <c r="F264" s="82"/>
      <c r="G264" s="82"/>
      <c r="H264" s="86">
        <v>400</v>
      </c>
      <c r="I264" s="294">
        <f t="shared" si="37"/>
        <v>600</v>
      </c>
      <c r="J264" s="59" t="s">
        <v>1008</v>
      </c>
      <c r="K264" s="83" t="s">
        <v>387</v>
      </c>
      <c r="L264" s="83" t="str">
        <f t="shared" si="34"/>
        <v>HP 680 Black Original Ink Advantage Cartridge
HP 680 Black Original Ink Advantage Cartridge</v>
      </c>
      <c r="M264" s="83"/>
      <c r="N264" s="59"/>
      <c r="O264" s="59"/>
      <c r="P264" s="86">
        <f t="shared" si="35"/>
        <v>0</v>
      </c>
      <c r="Q264" s="59"/>
      <c r="R264" s="59"/>
      <c r="S264" s="59"/>
      <c r="T264" s="59"/>
      <c r="U264" s="290"/>
      <c r="V264" s="290"/>
      <c r="W264" s="290"/>
      <c r="X264" s="290"/>
      <c r="Y264" s="290"/>
      <c r="Z264" s="290"/>
      <c r="AA264" s="290"/>
      <c r="AB264" s="290"/>
      <c r="AC264" s="290"/>
      <c r="AD264" s="290"/>
    </row>
    <row r="265" spans="1:30" ht="51">
      <c r="A265" s="291">
        <f t="shared" si="36"/>
        <v>264</v>
      </c>
      <c r="B265" s="291" t="s">
        <v>1762</v>
      </c>
      <c r="C265" s="291" t="str">
        <f>IF(D264="","",UNIT!$B$1&amp;"-"&amp;B265)</f>
        <v>ICT-MIS-00264</v>
      </c>
      <c r="D265" s="83" t="s">
        <v>379</v>
      </c>
      <c r="E265" s="59" t="s">
        <v>103</v>
      </c>
      <c r="F265" s="82"/>
      <c r="G265" s="82"/>
      <c r="H265" s="86">
        <v>2200</v>
      </c>
      <c r="I265" s="294">
        <f t="shared" si="37"/>
        <v>3300</v>
      </c>
      <c r="J265" s="59" t="s">
        <v>954</v>
      </c>
      <c r="K265" s="83" t="s">
        <v>1763</v>
      </c>
      <c r="L265" s="83" t="str">
        <f t="shared" si="34"/>
        <v>Desktop Gooseneck Condenser Microphone
Gooseneck Condenser Microphone 18" Podium Microphones with Base LED Indicator XLR Mic
with AAA Battery*2
48V Phantom Power</v>
      </c>
      <c r="M265" s="83"/>
      <c r="N265" s="59"/>
      <c r="O265" s="59"/>
      <c r="P265" s="86">
        <f t="shared" si="35"/>
        <v>0</v>
      </c>
      <c r="Q265" s="59"/>
      <c r="R265" s="59"/>
      <c r="S265" s="59"/>
      <c r="T265" s="59"/>
      <c r="U265" s="290"/>
      <c r="V265" s="290"/>
      <c r="W265" s="290"/>
      <c r="X265" s="290"/>
      <c r="Y265" s="290"/>
      <c r="Z265" s="290"/>
      <c r="AA265" s="290"/>
      <c r="AB265" s="290"/>
      <c r="AC265" s="290"/>
      <c r="AD265" s="290"/>
    </row>
    <row r="266" spans="1:30" ht="25.5">
      <c r="A266" s="291">
        <f t="shared" si="36"/>
        <v>265</v>
      </c>
      <c r="B266" s="291" t="s">
        <v>1764</v>
      </c>
      <c r="C266" s="291" t="str">
        <f>IF(D265="","",UNIT!$B$1&amp;"-"&amp;B266)</f>
        <v>ICT-MIS-00265</v>
      </c>
      <c r="D266" s="83" t="s">
        <v>385</v>
      </c>
      <c r="E266" s="59" t="s">
        <v>103</v>
      </c>
      <c r="F266" s="82"/>
      <c r="G266" s="82"/>
      <c r="H266" s="86">
        <v>2000</v>
      </c>
      <c r="I266" s="294">
        <f t="shared" si="37"/>
        <v>3000</v>
      </c>
      <c r="J266" s="59" t="s">
        <v>1008</v>
      </c>
      <c r="K266" s="83" t="s">
        <v>385</v>
      </c>
      <c r="L266" s="83" t="str">
        <f t="shared" si="34"/>
        <v>HP 107A Black Original Laser Toner Cartridge
HP 107A Black Original Laser Toner Cartridge</v>
      </c>
      <c r="M266" s="83"/>
      <c r="N266" s="59"/>
      <c r="O266" s="59"/>
      <c r="P266" s="86">
        <f t="shared" si="35"/>
        <v>0</v>
      </c>
      <c r="Q266" s="59"/>
      <c r="R266" s="59"/>
      <c r="S266" s="59"/>
      <c r="T266" s="59"/>
      <c r="U266" s="290"/>
      <c r="V266" s="290"/>
      <c r="W266" s="290"/>
      <c r="X266" s="290"/>
      <c r="Y266" s="290"/>
      <c r="Z266" s="290"/>
      <c r="AA266" s="290"/>
      <c r="AB266" s="290"/>
      <c r="AC266" s="290"/>
      <c r="AD266" s="290"/>
    </row>
    <row r="267" spans="1:30" ht="25.5">
      <c r="A267" s="291">
        <f t="shared" si="36"/>
        <v>266</v>
      </c>
      <c r="B267" s="291" t="s">
        <v>1765</v>
      </c>
      <c r="C267" s="291" t="str">
        <f>IF(D266="","",UNIT!$B$1&amp;"-"&amp;B267)</f>
        <v>ICT-MIS-00266</v>
      </c>
      <c r="D267" s="83" t="s">
        <v>386</v>
      </c>
      <c r="E267" s="59" t="s">
        <v>103</v>
      </c>
      <c r="F267" s="82"/>
      <c r="G267" s="82"/>
      <c r="H267" s="86">
        <v>2500</v>
      </c>
      <c r="I267" s="294">
        <f t="shared" si="37"/>
        <v>3750</v>
      </c>
      <c r="J267" s="59" t="s">
        <v>1008</v>
      </c>
      <c r="K267" s="83" t="s">
        <v>1766</v>
      </c>
      <c r="L267" s="83" t="str">
        <f t="shared" si="34"/>
        <v>HP 17A Black Original LaserJet Toner Cartridge
HP 17A Black Original LaserJet Toner Cartridge, CF217A</v>
      </c>
      <c r="M267" s="83"/>
      <c r="N267" s="59"/>
      <c r="O267" s="59"/>
      <c r="P267" s="86">
        <f t="shared" si="35"/>
        <v>0</v>
      </c>
      <c r="Q267" s="59"/>
      <c r="R267" s="59"/>
      <c r="S267" s="59"/>
      <c r="T267" s="59"/>
      <c r="U267" s="290"/>
      <c r="V267" s="290"/>
      <c r="W267" s="290"/>
      <c r="X267" s="290"/>
      <c r="Y267" s="290"/>
      <c r="Z267" s="290"/>
      <c r="AA267" s="290"/>
      <c r="AB267" s="290"/>
      <c r="AC267" s="290"/>
      <c r="AD267" s="290"/>
    </row>
    <row r="268" spans="1:30" ht="25.5">
      <c r="A268" s="291">
        <f t="shared" si="36"/>
        <v>267</v>
      </c>
      <c r="B268" s="291" t="s">
        <v>1767</v>
      </c>
      <c r="C268" s="291" t="str">
        <f>IF(D267="","",UNIT!$B$1&amp;"-"&amp;B268)</f>
        <v>ICT-MIS-00267</v>
      </c>
      <c r="D268" s="83" t="s">
        <v>389</v>
      </c>
      <c r="E268" s="59" t="s">
        <v>103</v>
      </c>
      <c r="F268" s="82"/>
      <c r="G268" s="82"/>
      <c r="H268" s="86">
        <v>4000</v>
      </c>
      <c r="I268" s="294">
        <f t="shared" si="37"/>
        <v>6000</v>
      </c>
      <c r="J268" s="59" t="s">
        <v>1008</v>
      </c>
      <c r="K268" s="83" t="s">
        <v>1768</v>
      </c>
      <c r="L268" s="83" t="str">
        <f t="shared" si="34"/>
        <v>HP 85A Black Original LaserJet Toner Cartridge
HP 85A Black Original LaserJet Toner Cartridge, CE285A</v>
      </c>
      <c r="M268" s="83"/>
      <c r="N268" s="59"/>
      <c r="O268" s="59"/>
      <c r="P268" s="86">
        <f t="shared" si="35"/>
        <v>0</v>
      </c>
      <c r="Q268" s="59"/>
      <c r="R268" s="59"/>
      <c r="S268" s="59"/>
      <c r="T268" s="59"/>
      <c r="U268" s="290"/>
      <c r="V268" s="290"/>
      <c r="W268" s="290"/>
      <c r="X268" s="290"/>
      <c r="Y268" s="290"/>
      <c r="Z268" s="290"/>
      <c r="AA268" s="290"/>
      <c r="AB268" s="290"/>
      <c r="AC268" s="290"/>
      <c r="AD268" s="290"/>
    </row>
    <row r="269" spans="1:30" ht="25.5">
      <c r="A269" s="291">
        <f t="shared" si="36"/>
        <v>268</v>
      </c>
      <c r="B269" s="291" t="s">
        <v>1769</v>
      </c>
      <c r="C269" s="291" t="str">
        <f>IF(D268="","",UNIT!$B$1&amp;"-"&amp;B269)</f>
        <v>ICT-MIS-00268</v>
      </c>
      <c r="D269" s="83" t="s">
        <v>371</v>
      </c>
      <c r="E269" s="59" t="s">
        <v>103</v>
      </c>
      <c r="F269" s="82"/>
      <c r="G269" s="82"/>
      <c r="H269" s="86">
        <v>10000</v>
      </c>
      <c r="I269" s="294">
        <f t="shared" si="37"/>
        <v>15000</v>
      </c>
      <c r="J269" s="59" t="s">
        <v>954</v>
      </c>
      <c r="K269" s="83"/>
      <c r="L269" s="83" t="str">
        <f t="shared" si="34"/>
        <v xml:space="preserve">Cellphone (Android)
</v>
      </c>
      <c r="M269" s="83"/>
      <c r="N269" s="59"/>
      <c r="O269" s="59"/>
      <c r="P269" s="86">
        <f t="shared" si="35"/>
        <v>0</v>
      </c>
      <c r="Q269" s="59"/>
      <c r="R269" s="59"/>
      <c r="S269" s="59"/>
      <c r="T269" s="59"/>
      <c r="U269" s="290"/>
      <c r="V269" s="290"/>
      <c r="W269" s="290"/>
      <c r="X269" s="290"/>
      <c r="Y269" s="290"/>
      <c r="Z269" s="290"/>
      <c r="AA269" s="290"/>
      <c r="AB269" s="290"/>
      <c r="AC269" s="290"/>
      <c r="AD269" s="290"/>
    </row>
    <row r="270" spans="1:30" ht="25.5">
      <c r="A270" s="291">
        <f t="shared" si="36"/>
        <v>269</v>
      </c>
      <c r="B270" s="291" t="s">
        <v>1770</v>
      </c>
      <c r="C270" s="291" t="str">
        <f>IF(D269="","",UNIT!$B$1&amp;"-"&amp;B270)</f>
        <v>ICT-MIS-00269</v>
      </c>
      <c r="D270" s="83" t="s">
        <v>411</v>
      </c>
      <c r="E270" s="59" t="s">
        <v>103</v>
      </c>
      <c r="F270" s="82"/>
      <c r="G270" s="82"/>
      <c r="H270" s="86">
        <v>15000</v>
      </c>
      <c r="I270" s="294">
        <f t="shared" si="37"/>
        <v>22500</v>
      </c>
      <c r="J270" s="59" t="s">
        <v>1008</v>
      </c>
      <c r="K270" s="83" t="s">
        <v>1771</v>
      </c>
      <c r="L270" s="83" t="str">
        <f t="shared" si="34"/>
        <v>Toner Cartridge for the existing Canon Imageclass MF543x
Canon Cartridge 056</v>
      </c>
      <c r="M270" s="83"/>
      <c r="N270" s="59"/>
      <c r="O270" s="59"/>
      <c r="P270" s="86">
        <f t="shared" si="35"/>
        <v>0</v>
      </c>
      <c r="Q270" s="59"/>
      <c r="R270" s="59"/>
      <c r="S270" s="59"/>
      <c r="T270" s="59"/>
      <c r="U270" s="290"/>
      <c r="V270" s="290"/>
      <c r="W270" s="290"/>
      <c r="X270" s="290"/>
      <c r="Y270" s="290"/>
      <c r="Z270" s="290"/>
      <c r="AA270" s="290"/>
      <c r="AB270" s="290"/>
      <c r="AC270" s="290"/>
      <c r="AD270" s="290"/>
    </row>
    <row r="271" spans="1:30" ht="25.5">
      <c r="A271" s="291">
        <f t="shared" si="36"/>
        <v>270</v>
      </c>
      <c r="B271" s="291" t="s">
        <v>1772</v>
      </c>
      <c r="C271" s="291" t="str">
        <f>IF(D270="","",UNIT!$B$1&amp;"-"&amp;B271)</f>
        <v>ICT-MIS-00270</v>
      </c>
      <c r="D271" s="83" t="s">
        <v>410</v>
      </c>
      <c r="E271" s="59" t="s">
        <v>103</v>
      </c>
      <c r="F271" s="82"/>
      <c r="G271" s="82"/>
      <c r="H271" s="86">
        <v>2650</v>
      </c>
      <c r="I271" s="294">
        <f t="shared" si="37"/>
        <v>3975</v>
      </c>
      <c r="J271" s="59" t="s">
        <v>1008</v>
      </c>
      <c r="K271" s="83" t="s">
        <v>1773</v>
      </c>
      <c r="L271" s="83" t="str">
        <f t="shared" si="34"/>
        <v>Toner Cartridge for the existing Brother DCP L2540DW
BROTHER TN-2360 TONER CARTRIDGE</v>
      </c>
      <c r="M271" s="83"/>
      <c r="N271" s="59"/>
      <c r="O271" s="59"/>
      <c r="P271" s="86">
        <f t="shared" si="35"/>
        <v>0</v>
      </c>
      <c r="Q271" s="59"/>
      <c r="R271" s="59"/>
      <c r="S271" s="59"/>
      <c r="T271" s="59"/>
      <c r="U271" s="290"/>
      <c r="V271" s="290"/>
      <c r="W271" s="290"/>
      <c r="X271" s="290"/>
      <c r="Y271" s="290"/>
      <c r="Z271" s="290"/>
      <c r="AA271" s="290"/>
      <c r="AB271" s="290"/>
      <c r="AC271" s="290"/>
      <c r="AD271" s="290"/>
    </row>
    <row r="272" spans="1:30" ht="25.5">
      <c r="A272" s="291">
        <f t="shared" si="36"/>
        <v>271</v>
      </c>
      <c r="B272" s="291" t="s">
        <v>1774</v>
      </c>
      <c r="C272" s="291" t="str">
        <f>IF(D271="","",UNIT!$B$1&amp;"-"&amp;B272)</f>
        <v>ICT-MIS-00271</v>
      </c>
      <c r="D272" s="83" t="s">
        <v>425</v>
      </c>
      <c r="E272" s="59" t="s">
        <v>103</v>
      </c>
      <c r="F272" s="82"/>
      <c r="G272" s="82"/>
      <c r="H272" s="86">
        <v>2000</v>
      </c>
      <c r="I272" s="294">
        <f t="shared" si="37"/>
        <v>3000</v>
      </c>
      <c r="J272" s="59" t="s">
        <v>1008</v>
      </c>
      <c r="K272" s="83" t="s">
        <v>477</v>
      </c>
      <c r="L272" s="83" t="str">
        <f t="shared" si="34"/>
        <v>TONER CARTRIDGE, (TN263BK) Black
BROTHER TN- 263 TONER CARTRIDGE, (TN263BK) Black</v>
      </c>
      <c r="M272" s="83"/>
      <c r="N272" s="59"/>
      <c r="O272" s="59"/>
      <c r="P272" s="86">
        <f t="shared" si="35"/>
        <v>0</v>
      </c>
      <c r="Q272" s="59"/>
      <c r="R272" s="59"/>
      <c r="S272" s="59"/>
      <c r="T272" s="59"/>
      <c r="U272" s="290"/>
      <c r="V272" s="290"/>
      <c r="W272" s="290"/>
      <c r="X272" s="290"/>
      <c r="Y272" s="290"/>
      <c r="Z272" s="290"/>
      <c r="AA272" s="290"/>
      <c r="AB272" s="290"/>
      <c r="AC272" s="290"/>
      <c r="AD272" s="290"/>
    </row>
    <row r="273" spans="1:30" ht="25.5">
      <c r="A273" s="291">
        <f t="shared" si="36"/>
        <v>272</v>
      </c>
      <c r="B273" s="291" t="s">
        <v>1775</v>
      </c>
      <c r="C273" s="291" t="str">
        <f>IF(D272="","",UNIT!$B$1&amp;"-"&amp;B273)</f>
        <v>ICT-MIS-00272</v>
      </c>
      <c r="D273" s="83" t="s">
        <v>402</v>
      </c>
      <c r="E273" s="59" t="s">
        <v>103</v>
      </c>
      <c r="F273" s="82"/>
      <c r="G273" s="82"/>
      <c r="H273" s="86">
        <v>2000</v>
      </c>
      <c r="I273" s="294">
        <f t="shared" si="37"/>
        <v>3000</v>
      </c>
      <c r="J273" s="59" t="s">
        <v>1008</v>
      </c>
      <c r="K273" s="83" t="s">
        <v>478</v>
      </c>
      <c r="L273" s="83" t="str">
        <f t="shared" si="34"/>
        <v>ONER CARTRIDGE, (TN263M) Magenta
BROTHER TN- 263 TONER CARTRIDGE, (TN263M) Magenta</v>
      </c>
      <c r="M273" s="83"/>
      <c r="N273" s="59"/>
      <c r="O273" s="59"/>
      <c r="P273" s="86">
        <f t="shared" si="35"/>
        <v>0</v>
      </c>
      <c r="Q273" s="59"/>
      <c r="R273" s="59"/>
      <c r="S273" s="59"/>
      <c r="T273" s="59"/>
      <c r="U273" s="290"/>
      <c r="V273" s="290"/>
      <c r="W273" s="290"/>
      <c r="X273" s="290"/>
      <c r="Y273" s="290"/>
      <c r="Z273" s="290"/>
      <c r="AA273" s="290"/>
      <c r="AB273" s="290"/>
      <c r="AC273" s="290"/>
      <c r="AD273" s="290"/>
    </row>
    <row r="274" spans="1:30" ht="25.5">
      <c r="A274" s="291">
        <f t="shared" si="36"/>
        <v>273</v>
      </c>
      <c r="B274" s="291" t="s">
        <v>1776</v>
      </c>
      <c r="C274" s="291" t="str">
        <f>IF(D273="","",UNIT!$B$1&amp;"-"&amp;B274)</f>
        <v>ICT-MIS-00273</v>
      </c>
      <c r="D274" s="83" t="s">
        <v>426</v>
      </c>
      <c r="E274" s="59" t="s">
        <v>103</v>
      </c>
      <c r="F274" s="82"/>
      <c r="G274" s="82"/>
      <c r="H274" s="86">
        <v>2000</v>
      </c>
      <c r="I274" s="294">
        <f t="shared" si="37"/>
        <v>3000</v>
      </c>
      <c r="J274" s="59" t="s">
        <v>1008</v>
      </c>
      <c r="K274" s="83" t="s">
        <v>479</v>
      </c>
      <c r="L274" s="83" t="str">
        <f t="shared" si="34"/>
        <v>TONER CARTRIDGE, (TN263C) Cyan
BROTHER TN- 263 TONER CARTRIDGE, (TN263C) Cyan</v>
      </c>
      <c r="M274" s="83"/>
      <c r="N274" s="59"/>
      <c r="O274" s="59"/>
      <c r="P274" s="86">
        <f t="shared" si="35"/>
        <v>0</v>
      </c>
      <c r="Q274" s="59"/>
      <c r="R274" s="59"/>
      <c r="S274" s="59"/>
      <c r="T274" s="59"/>
      <c r="U274" s="290"/>
      <c r="V274" s="290"/>
      <c r="W274" s="290"/>
      <c r="X274" s="290"/>
      <c r="Y274" s="290"/>
      <c r="Z274" s="290"/>
      <c r="AA274" s="290"/>
      <c r="AB274" s="290"/>
      <c r="AC274" s="290"/>
      <c r="AD274" s="290"/>
    </row>
    <row r="275" spans="1:30" ht="25.5">
      <c r="A275" s="291">
        <f t="shared" si="36"/>
        <v>274</v>
      </c>
      <c r="B275" s="291" t="s">
        <v>1777</v>
      </c>
      <c r="C275" s="291" t="str">
        <f>IF(D274="","",UNIT!$B$1&amp;"-"&amp;B275)</f>
        <v>ICT-MIS-00274</v>
      </c>
      <c r="D275" s="83" t="s">
        <v>427</v>
      </c>
      <c r="E275" s="59" t="s">
        <v>103</v>
      </c>
      <c r="F275" s="82"/>
      <c r="G275" s="82"/>
      <c r="H275" s="86">
        <v>2000</v>
      </c>
      <c r="I275" s="294">
        <f t="shared" si="37"/>
        <v>3000</v>
      </c>
      <c r="J275" s="59" t="s">
        <v>1008</v>
      </c>
      <c r="K275" s="83" t="s">
        <v>480</v>
      </c>
      <c r="L275" s="83" t="str">
        <f t="shared" si="34"/>
        <v>TONER CARTRIDGE, (TN263Y) Yellow
BROTHER TN- 263 TONER CARTRIDGE, (TN263Y) Yellow</v>
      </c>
      <c r="M275" s="83"/>
      <c r="N275" s="59"/>
      <c r="O275" s="59"/>
      <c r="P275" s="86">
        <f t="shared" si="35"/>
        <v>0</v>
      </c>
      <c r="Q275" s="59"/>
      <c r="R275" s="59"/>
      <c r="S275" s="59"/>
      <c r="T275" s="59"/>
      <c r="U275" s="290"/>
      <c r="V275" s="290"/>
      <c r="W275" s="290"/>
      <c r="X275" s="290"/>
      <c r="Y275" s="290"/>
      <c r="Z275" s="290"/>
      <c r="AA275" s="290"/>
      <c r="AB275" s="290"/>
      <c r="AC275" s="290"/>
      <c r="AD275" s="290"/>
    </row>
    <row r="276" spans="1:30" ht="51">
      <c r="A276" s="291">
        <f t="shared" si="36"/>
        <v>275</v>
      </c>
      <c r="B276" s="291" t="s">
        <v>1778</v>
      </c>
      <c r="C276" s="291" t="str">
        <f>IF(D275="","",UNIT!$B$1&amp;"-"&amp;B276)</f>
        <v>ICT-MIS-00275</v>
      </c>
      <c r="D276" s="83" t="s">
        <v>390</v>
      </c>
      <c r="E276" s="59" t="s">
        <v>103</v>
      </c>
      <c r="F276" s="82"/>
      <c r="G276" s="82"/>
      <c r="H276" s="86">
        <v>5000</v>
      </c>
      <c r="I276" s="294">
        <f t="shared" si="37"/>
        <v>7500</v>
      </c>
      <c r="J276" s="59" t="s">
        <v>954</v>
      </c>
      <c r="K276" s="83" t="s">
        <v>1779</v>
      </c>
      <c r="L276" s="83" t="str">
        <f t="shared" si="34"/>
        <v>Ink Tank Printer
Print speed of up to 9.0 ipm (black) and 4.8 ipm (colour)
Ultra-high page yield of 4,500 pages (black) and 7,500 pages (colour)
2-year warranty or 20,000 pages, whichever comes first</v>
      </c>
      <c r="M276" s="83"/>
      <c r="N276" s="59"/>
      <c r="O276" s="59"/>
      <c r="P276" s="86">
        <f t="shared" si="35"/>
        <v>0</v>
      </c>
      <c r="Q276" s="59"/>
      <c r="R276" s="59"/>
      <c r="S276" s="59"/>
      <c r="T276" s="59"/>
      <c r="U276" s="290"/>
      <c r="V276" s="290"/>
      <c r="W276" s="290"/>
      <c r="X276" s="290"/>
      <c r="Y276" s="290"/>
      <c r="Z276" s="290"/>
      <c r="AA276" s="290"/>
      <c r="AB276" s="290"/>
      <c r="AC276" s="290"/>
      <c r="AD276" s="290"/>
    </row>
    <row r="277" spans="1:30" ht="25.5">
      <c r="A277" s="291">
        <f t="shared" si="36"/>
        <v>276</v>
      </c>
      <c r="B277" s="291" t="s">
        <v>1780</v>
      </c>
      <c r="C277" s="291" t="str">
        <f>IF(D276="","",UNIT!$B$1&amp;"-"&amp;B277)</f>
        <v>ICT-MIS-00276</v>
      </c>
      <c r="D277" s="83"/>
      <c r="E277" s="59"/>
      <c r="F277" s="82"/>
      <c r="G277" s="82"/>
      <c r="H277" s="86"/>
      <c r="I277" s="294" t="str">
        <f t="shared" si="37"/>
        <v/>
      </c>
      <c r="J277" s="59"/>
      <c r="K277" s="83"/>
      <c r="L277" s="83" t="str">
        <f t="shared" si="34"/>
        <v xml:space="preserve">
</v>
      </c>
      <c r="M277" s="83"/>
      <c r="N277" s="59"/>
      <c r="O277" s="59"/>
      <c r="P277" s="86" t="e">
        <f t="shared" si="35"/>
        <v>#VALUE!</v>
      </c>
      <c r="Q277" s="59"/>
      <c r="R277" s="59"/>
      <c r="S277" s="59"/>
      <c r="T277" s="59"/>
      <c r="U277" s="290"/>
      <c r="V277" s="290"/>
      <c r="W277" s="290"/>
      <c r="X277" s="290"/>
      <c r="Y277" s="290"/>
      <c r="Z277" s="290"/>
      <c r="AA277" s="290"/>
      <c r="AB277" s="290"/>
      <c r="AC277" s="290"/>
      <c r="AD277" s="290"/>
    </row>
    <row r="278" spans="1:30" ht="25.5">
      <c r="A278" s="291" t="str">
        <f t="shared" si="36"/>
        <v/>
      </c>
      <c r="B278" s="291" t="s">
        <v>1781</v>
      </c>
      <c r="C278" s="291" t="str">
        <f>IF(D277="","",UNIT!$B$1&amp;"-"&amp;B278)</f>
        <v/>
      </c>
      <c r="D278" s="83"/>
      <c r="E278" s="59"/>
      <c r="F278" s="82"/>
      <c r="G278" s="82"/>
      <c r="H278" s="86"/>
      <c r="I278" s="294" t="str">
        <f t="shared" si="37"/>
        <v/>
      </c>
      <c r="J278" s="59"/>
      <c r="K278" s="83"/>
      <c r="L278" s="83" t="str">
        <f t="shared" si="34"/>
        <v xml:space="preserve">
</v>
      </c>
      <c r="M278" s="83"/>
      <c r="N278" s="59"/>
      <c r="O278" s="59"/>
      <c r="P278" s="86" t="e">
        <f t="shared" si="35"/>
        <v>#VALUE!</v>
      </c>
      <c r="Q278" s="59"/>
      <c r="R278" s="59"/>
      <c r="S278" s="59"/>
      <c r="T278" s="59"/>
      <c r="U278" s="290"/>
      <c r="V278" s="290"/>
      <c r="W278" s="290"/>
      <c r="X278" s="290"/>
      <c r="Y278" s="290"/>
      <c r="Z278" s="290"/>
      <c r="AA278" s="290"/>
      <c r="AB278" s="290"/>
      <c r="AC278" s="290"/>
      <c r="AD278" s="290"/>
    </row>
    <row r="279" spans="1:30" ht="25.5">
      <c r="A279" s="291" t="str">
        <f t="shared" si="36"/>
        <v/>
      </c>
      <c r="B279" s="291" t="s">
        <v>1782</v>
      </c>
      <c r="C279" s="291" t="str">
        <f>IF(D278="","",UNIT!$B$1&amp;"-"&amp;B279)</f>
        <v/>
      </c>
      <c r="D279" s="83"/>
      <c r="E279" s="59"/>
      <c r="F279" s="82"/>
      <c r="G279" s="82"/>
      <c r="H279" s="86"/>
      <c r="I279" s="294" t="str">
        <f t="shared" si="37"/>
        <v/>
      </c>
      <c r="J279" s="59"/>
      <c r="K279" s="83"/>
      <c r="L279" s="83" t="str">
        <f t="shared" si="34"/>
        <v xml:space="preserve">
</v>
      </c>
      <c r="M279" s="83"/>
      <c r="N279" s="59"/>
      <c r="O279" s="59"/>
      <c r="P279" s="86" t="e">
        <f t="shared" si="35"/>
        <v>#VALUE!</v>
      </c>
      <c r="Q279" s="59"/>
      <c r="R279" s="59"/>
      <c r="S279" s="59"/>
      <c r="T279" s="59"/>
      <c r="U279" s="290"/>
      <c r="V279" s="290"/>
      <c r="W279" s="290"/>
      <c r="X279" s="290"/>
      <c r="Y279" s="290"/>
      <c r="Z279" s="290"/>
      <c r="AA279" s="290"/>
      <c r="AB279" s="290"/>
      <c r="AC279" s="290"/>
      <c r="AD279" s="290"/>
    </row>
    <row r="280" spans="1:30" ht="25.5">
      <c r="A280" s="291" t="str">
        <f t="shared" si="36"/>
        <v/>
      </c>
      <c r="B280" s="291" t="s">
        <v>1783</v>
      </c>
      <c r="C280" s="291" t="str">
        <f>IF(D279="","",UNIT!$B$1&amp;"-"&amp;B280)</f>
        <v/>
      </c>
      <c r="D280" s="83"/>
      <c r="E280" s="59"/>
      <c r="F280" s="82"/>
      <c r="G280" s="82"/>
      <c r="H280" s="86"/>
      <c r="I280" s="294" t="str">
        <f t="shared" si="37"/>
        <v/>
      </c>
      <c r="J280" s="59"/>
      <c r="K280" s="83"/>
      <c r="L280" s="83" t="str">
        <f t="shared" si="34"/>
        <v xml:space="preserve">
</v>
      </c>
      <c r="M280" s="83"/>
      <c r="N280" s="59"/>
      <c r="O280" s="59"/>
      <c r="P280" s="86" t="e">
        <f t="shared" si="35"/>
        <v>#VALUE!</v>
      </c>
      <c r="Q280" s="59"/>
      <c r="R280" s="59"/>
      <c r="S280" s="59"/>
      <c r="T280" s="59"/>
      <c r="U280" s="290"/>
      <c r="V280" s="290"/>
      <c r="W280" s="290"/>
      <c r="X280" s="290"/>
      <c r="Y280" s="290"/>
      <c r="Z280" s="290"/>
      <c r="AA280" s="290"/>
      <c r="AB280" s="290"/>
      <c r="AC280" s="290"/>
      <c r="AD280" s="290"/>
    </row>
    <row r="281" spans="1:30" ht="25.5">
      <c r="A281" s="291" t="str">
        <f t="shared" si="36"/>
        <v/>
      </c>
      <c r="B281" s="291" t="s">
        <v>1784</v>
      </c>
      <c r="C281" s="291" t="str">
        <f>IF(D280="","",UNIT!$B$1&amp;"-"&amp;B281)</f>
        <v/>
      </c>
      <c r="D281" s="83"/>
      <c r="E281" s="59"/>
      <c r="F281" s="82"/>
      <c r="G281" s="82"/>
      <c r="H281" s="86"/>
      <c r="I281" s="294" t="str">
        <f t="shared" si="37"/>
        <v/>
      </c>
      <c r="J281" s="59"/>
      <c r="K281" s="83"/>
      <c r="L281" s="83" t="str">
        <f t="shared" si="34"/>
        <v xml:space="preserve">
</v>
      </c>
      <c r="M281" s="83"/>
      <c r="N281" s="59"/>
      <c r="O281" s="59"/>
      <c r="P281" s="86" t="e">
        <f t="shared" si="35"/>
        <v>#VALUE!</v>
      </c>
      <c r="Q281" s="59"/>
      <c r="R281" s="59"/>
      <c r="S281" s="59"/>
      <c r="T281" s="59"/>
      <c r="U281" s="290"/>
      <c r="V281" s="290"/>
      <c r="W281" s="290"/>
      <c r="X281" s="290"/>
      <c r="Y281" s="290"/>
      <c r="Z281" s="290"/>
      <c r="AA281" s="290"/>
      <c r="AB281" s="290"/>
      <c r="AC281" s="290"/>
      <c r="AD281" s="290"/>
    </row>
    <row r="282" spans="1:30" ht="25.5">
      <c r="A282" s="291" t="str">
        <f t="shared" si="36"/>
        <v/>
      </c>
      <c r="B282" s="291" t="s">
        <v>1785</v>
      </c>
      <c r="C282" s="291" t="str">
        <f>IF(D281="","",UNIT!$B$1&amp;"-"&amp;B282)</f>
        <v/>
      </c>
      <c r="D282" s="83"/>
      <c r="E282" s="59"/>
      <c r="F282" s="82"/>
      <c r="G282" s="82"/>
      <c r="H282" s="86"/>
      <c r="I282" s="294" t="str">
        <f t="shared" si="37"/>
        <v/>
      </c>
      <c r="J282" s="59"/>
      <c r="K282" s="83"/>
      <c r="L282" s="83" t="str">
        <f t="shared" si="34"/>
        <v xml:space="preserve">
</v>
      </c>
      <c r="M282" s="83"/>
      <c r="N282" s="59"/>
      <c r="O282" s="59"/>
      <c r="P282" s="86" t="e">
        <f t="shared" si="35"/>
        <v>#VALUE!</v>
      </c>
      <c r="Q282" s="59"/>
      <c r="R282" s="59"/>
      <c r="S282" s="59"/>
      <c r="T282" s="59"/>
      <c r="U282" s="290"/>
      <c r="V282" s="290"/>
      <c r="W282" s="290"/>
      <c r="X282" s="290"/>
      <c r="Y282" s="290"/>
      <c r="Z282" s="290"/>
      <c r="AA282" s="290"/>
      <c r="AB282" s="290"/>
      <c r="AC282" s="290"/>
      <c r="AD282" s="290"/>
    </row>
    <row r="283" spans="1:30" ht="25.5">
      <c r="A283" s="291" t="str">
        <f t="shared" si="36"/>
        <v/>
      </c>
      <c r="B283" s="291" t="s">
        <v>1786</v>
      </c>
      <c r="C283" s="291" t="str">
        <f>IF(D282="","",UNIT!$B$1&amp;"-"&amp;B283)</f>
        <v/>
      </c>
      <c r="D283" s="83"/>
      <c r="E283" s="59"/>
      <c r="F283" s="82"/>
      <c r="G283" s="82"/>
      <c r="H283" s="86"/>
      <c r="I283" s="294" t="str">
        <f t="shared" si="37"/>
        <v/>
      </c>
      <c r="J283" s="59"/>
      <c r="K283" s="83"/>
      <c r="L283" s="83" t="str">
        <f t="shared" si="34"/>
        <v xml:space="preserve">
</v>
      </c>
      <c r="M283" s="83"/>
      <c r="N283" s="59"/>
      <c r="O283" s="59"/>
      <c r="P283" s="86" t="e">
        <f t="shared" si="35"/>
        <v>#VALUE!</v>
      </c>
      <c r="Q283" s="59"/>
      <c r="R283" s="59"/>
      <c r="S283" s="59"/>
      <c r="T283" s="59"/>
      <c r="U283" s="290"/>
      <c r="V283" s="290"/>
      <c r="W283" s="290"/>
      <c r="X283" s="290"/>
      <c r="Y283" s="290"/>
      <c r="Z283" s="290"/>
      <c r="AA283" s="290"/>
      <c r="AB283" s="290"/>
      <c r="AC283" s="290"/>
      <c r="AD283" s="290"/>
    </row>
    <row r="284" spans="1:30" ht="25.5">
      <c r="A284" s="291" t="str">
        <f t="shared" si="36"/>
        <v/>
      </c>
      <c r="B284" s="291" t="s">
        <v>1787</v>
      </c>
      <c r="C284" s="291" t="str">
        <f>IF(D283="","",UNIT!$B$1&amp;"-"&amp;B284)</f>
        <v/>
      </c>
      <c r="D284" s="83"/>
      <c r="E284" s="59"/>
      <c r="F284" s="82"/>
      <c r="G284" s="82"/>
      <c r="H284" s="86"/>
      <c r="I284" s="294" t="str">
        <f t="shared" si="37"/>
        <v/>
      </c>
      <c r="J284" s="59"/>
      <c r="K284" s="83"/>
      <c r="L284" s="83" t="str">
        <f t="shared" si="34"/>
        <v xml:space="preserve">
</v>
      </c>
      <c r="M284" s="83"/>
      <c r="N284" s="59"/>
      <c r="O284" s="59"/>
      <c r="P284" s="86" t="e">
        <f t="shared" si="35"/>
        <v>#VALUE!</v>
      </c>
      <c r="Q284" s="59"/>
      <c r="R284" s="59"/>
      <c r="S284" s="59"/>
      <c r="T284" s="59"/>
      <c r="U284" s="290"/>
      <c r="V284" s="290"/>
      <c r="W284" s="290"/>
      <c r="X284" s="290"/>
      <c r="Y284" s="290"/>
      <c r="Z284" s="290"/>
      <c r="AA284" s="290"/>
      <c r="AB284" s="290"/>
      <c r="AC284" s="290"/>
      <c r="AD284" s="290"/>
    </row>
    <row r="285" spans="1:30" ht="25.5">
      <c r="A285" s="291" t="str">
        <f t="shared" si="36"/>
        <v/>
      </c>
      <c r="B285" s="291" t="s">
        <v>1788</v>
      </c>
      <c r="C285" s="291" t="str">
        <f>IF(D284="","",UNIT!$B$1&amp;"-"&amp;B285)</f>
        <v/>
      </c>
      <c r="D285" s="83"/>
      <c r="E285" s="59"/>
      <c r="F285" s="82"/>
      <c r="G285" s="82"/>
      <c r="H285" s="86"/>
      <c r="I285" s="294" t="str">
        <f t="shared" si="37"/>
        <v/>
      </c>
      <c r="J285" s="59"/>
      <c r="K285" s="83"/>
      <c r="L285" s="83" t="str">
        <f t="shared" si="34"/>
        <v xml:space="preserve">
</v>
      </c>
      <c r="M285" s="83"/>
      <c r="N285" s="59"/>
      <c r="O285" s="59"/>
      <c r="P285" s="86" t="e">
        <f t="shared" si="35"/>
        <v>#VALUE!</v>
      </c>
      <c r="Q285" s="59"/>
      <c r="R285" s="59"/>
      <c r="S285" s="59"/>
      <c r="T285" s="59"/>
      <c r="U285" s="290"/>
      <c r="V285" s="290"/>
      <c r="W285" s="290"/>
      <c r="X285" s="290"/>
      <c r="Y285" s="290"/>
      <c r="Z285" s="290"/>
      <c r="AA285" s="290"/>
      <c r="AB285" s="290"/>
      <c r="AC285" s="290"/>
      <c r="AD285" s="290"/>
    </row>
    <row r="286" spans="1:30" ht="25.5">
      <c r="A286" s="291" t="str">
        <f t="shared" si="36"/>
        <v/>
      </c>
      <c r="B286" s="291" t="s">
        <v>1789</v>
      </c>
      <c r="C286" s="291" t="str">
        <f>IF(D285="","",UNIT!$B$1&amp;"-"&amp;B286)</f>
        <v/>
      </c>
      <c r="D286" s="83"/>
      <c r="E286" s="59"/>
      <c r="F286" s="82"/>
      <c r="G286" s="82"/>
      <c r="H286" s="86"/>
      <c r="I286" s="294" t="str">
        <f t="shared" si="37"/>
        <v/>
      </c>
      <c r="J286" s="59"/>
      <c r="K286" s="83"/>
      <c r="L286" s="83" t="str">
        <f t="shared" si="34"/>
        <v xml:space="preserve">
</v>
      </c>
      <c r="M286" s="83"/>
      <c r="N286" s="59"/>
      <c r="O286" s="59"/>
      <c r="P286" s="86" t="e">
        <f t="shared" si="35"/>
        <v>#VALUE!</v>
      </c>
      <c r="Q286" s="59"/>
      <c r="R286" s="59"/>
      <c r="S286" s="59"/>
      <c r="T286" s="59"/>
      <c r="U286" s="290"/>
      <c r="V286" s="290"/>
      <c r="W286" s="290"/>
      <c r="X286" s="290"/>
      <c r="Y286" s="290"/>
      <c r="Z286" s="290"/>
      <c r="AA286" s="290"/>
      <c r="AB286" s="290"/>
      <c r="AC286" s="290"/>
      <c r="AD286" s="290"/>
    </row>
    <row r="287" spans="1:30" ht="25.5">
      <c r="A287" s="291" t="str">
        <f t="shared" si="36"/>
        <v/>
      </c>
      <c r="B287" s="291" t="s">
        <v>1790</v>
      </c>
      <c r="C287" s="291" t="str">
        <f>IF(D286="","",UNIT!$B$1&amp;"-"&amp;B287)</f>
        <v/>
      </c>
      <c r="D287" s="83"/>
      <c r="E287" s="59"/>
      <c r="F287" s="82"/>
      <c r="G287" s="82"/>
      <c r="H287" s="86"/>
      <c r="I287" s="294" t="str">
        <f t="shared" si="37"/>
        <v/>
      </c>
      <c r="J287" s="59"/>
      <c r="K287" s="83"/>
      <c r="L287" s="83" t="str">
        <f t="shared" si="34"/>
        <v xml:space="preserve">
</v>
      </c>
      <c r="M287" s="83"/>
      <c r="N287" s="59"/>
      <c r="O287" s="59"/>
      <c r="P287" s="86" t="e">
        <f t="shared" si="35"/>
        <v>#VALUE!</v>
      </c>
      <c r="Q287" s="59"/>
      <c r="R287" s="59"/>
      <c r="S287" s="59"/>
      <c r="T287" s="59"/>
      <c r="U287" s="290"/>
      <c r="V287" s="290"/>
      <c r="W287" s="290"/>
      <c r="X287" s="290"/>
      <c r="Y287" s="290"/>
      <c r="Z287" s="290"/>
      <c r="AA287" s="290"/>
      <c r="AB287" s="290"/>
      <c r="AC287" s="290"/>
      <c r="AD287" s="290"/>
    </row>
    <row r="288" spans="1:30" ht="25.5">
      <c r="A288" s="291" t="str">
        <f t="shared" si="36"/>
        <v/>
      </c>
      <c r="B288" s="291" t="s">
        <v>1791</v>
      </c>
      <c r="C288" s="291" t="str">
        <f>IF(D287="","",UNIT!$B$1&amp;"-"&amp;B288)</f>
        <v/>
      </c>
      <c r="D288" s="83"/>
      <c r="E288" s="59"/>
      <c r="F288" s="82"/>
      <c r="G288" s="82"/>
      <c r="H288" s="86"/>
      <c r="I288" s="294" t="str">
        <f t="shared" si="37"/>
        <v/>
      </c>
      <c r="J288" s="59"/>
      <c r="K288" s="83"/>
      <c r="L288" s="83" t="str">
        <f t="shared" si="34"/>
        <v xml:space="preserve">
</v>
      </c>
      <c r="M288" s="83"/>
      <c r="N288" s="59"/>
      <c r="O288" s="59"/>
      <c r="P288" s="86" t="e">
        <f t="shared" si="35"/>
        <v>#VALUE!</v>
      </c>
      <c r="Q288" s="59"/>
      <c r="R288" s="59"/>
      <c r="S288" s="59"/>
      <c r="T288" s="59"/>
      <c r="U288" s="290"/>
      <c r="V288" s="290"/>
      <c r="W288" s="290"/>
      <c r="X288" s="290"/>
      <c r="Y288" s="290"/>
      <c r="Z288" s="290"/>
      <c r="AA288" s="290"/>
      <c r="AB288" s="290"/>
      <c r="AC288" s="290"/>
      <c r="AD288" s="290"/>
    </row>
    <row r="289" spans="1:30" ht="25.5">
      <c r="A289" s="291" t="str">
        <f t="shared" si="36"/>
        <v/>
      </c>
      <c r="B289" s="291" t="s">
        <v>1792</v>
      </c>
      <c r="C289" s="291" t="str">
        <f>IF(D288="","",UNIT!$B$1&amp;"-"&amp;B289)</f>
        <v/>
      </c>
      <c r="D289" s="83"/>
      <c r="E289" s="59"/>
      <c r="F289" s="82"/>
      <c r="G289" s="82"/>
      <c r="H289" s="86"/>
      <c r="I289" s="294" t="str">
        <f t="shared" si="37"/>
        <v/>
      </c>
      <c r="J289" s="59"/>
      <c r="K289" s="83"/>
      <c r="L289" s="83" t="str">
        <f t="shared" si="34"/>
        <v xml:space="preserve">
</v>
      </c>
      <c r="M289" s="83"/>
      <c r="N289" s="59"/>
      <c r="O289" s="59"/>
      <c r="P289" s="86" t="e">
        <f t="shared" si="35"/>
        <v>#VALUE!</v>
      </c>
      <c r="Q289" s="59"/>
      <c r="R289" s="59"/>
      <c r="S289" s="59"/>
      <c r="T289" s="59"/>
      <c r="U289" s="290"/>
      <c r="V289" s="290"/>
      <c r="W289" s="290"/>
      <c r="X289" s="290"/>
      <c r="Y289" s="290"/>
      <c r="Z289" s="290"/>
      <c r="AA289" s="290"/>
      <c r="AB289" s="290"/>
      <c r="AC289" s="290"/>
      <c r="AD289" s="290"/>
    </row>
    <row r="290" spans="1:30" ht="25.5">
      <c r="A290" s="291" t="str">
        <f t="shared" si="36"/>
        <v/>
      </c>
      <c r="B290" s="291" t="s">
        <v>1793</v>
      </c>
      <c r="C290" s="291" t="str">
        <f>IF(D289="","",UNIT!$B$1&amp;"-"&amp;B290)</f>
        <v/>
      </c>
      <c r="D290" s="83"/>
      <c r="E290" s="59"/>
      <c r="F290" s="82"/>
      <c r="G290" s="82"/>
      <c r="H290" s="86"/>
      <c r="I290" s="294" t="str">
        <f t="shared" si="37"/>
        <v/>
      </c>
      <c r="J290" s="59"/>
      <c r="K290" s="83"/>
      <c r="L290" s="83" t="str">
        <f t="shared" si="34"/>
        <v xml:space="preserve">
</v>
      </c>
      <c r="M290" s="83"/>
      <c r="N290" s="59"/>
      <c r="O290" s="59"/>
      <c r="P290" s="86" t="e">
        <f t="shared" si="35"/>
        <v>#VALUE!</v>
      </c>
      <c r="Q290" s="59"/>
      <c r="R290" s="59"/>
      <c r="S290" s="59"/>
      <c r="T290" s="59"/>
      <c r="U290" s="290"/>
      <c r="V290" s="290"/>
      <c r="W290" s="290"/>
      <c r="X290" s="290"/>
      <c r="Y290" s="290"/>
      <c r="Z290" s="290"/>
      <c r="AA290" s="290"/>
      <c r="AB290" s="290"/>
      <c r="AC290" s="290"/>
      <c r="AD290" s="290"/>
    </row>
    <row r="291" spans="1:30" ht="25.5">
      <c r="A291" s="291" t="str">
        <f t="shared" si="36"/>
        <v/>
      </c>
      <c r="B291" s="291" t="s">
        <v>1794</v>
      </c>
      <c r="C291" s="291" t="str">
        <f>IF(D290="","",UNIT!$B$1&amp;"-"&amp;B291)</f>
        <v/>
      </c>
      <c r="D291" s="83"/>
      <c r="E291" s="59"/>
      <c r="F291" s="82"/>
      <c r="G291" s="82"/>
      <c r="H291" s="86"/>
      <c r="I291" s="294" t="str">
        <f t="shared" si="37"/>
        <v/>
      </c>
      <c r="J291" s="59"/>
      <c r="K291" s="83"/>
      <c r="L291" s="83" t="str">
        <f t="shared" si="34"/>
        <v xml:space="preserve">
</v>
      </c>
      <c r="M291" s="83"/>
      <c r="N291" s="59"/>
      <c r="O291" s="59"/>
      <c r="P291" s="86" t="e">
        <f t="shared" si="35"/>
        <v>#VALUE!</v>
      </c>
      <c r="Q291" s="59"/>
      <c r="R291" s="59"/>
      <c r="S291" s="59"/>
      <c r="T291" s="59"/>
      <c r="U291" s="290"/>
      <c r="V291" s="290"/>
      <c r="W291" s="290"/>
      <c r="X291" s="290"/>
      <c r="Y291" s="290"/>
      <c r="Z291" s="290"/>
      <c r="AA291" s="290"/>
      <c r="AB291" s="290"/>
      <c r="AC291" s="290"/>
      <c r="AD291" s="290"/>
    </row>
    <row r="292" spans="1:30" ht="25.5">
      <c r="A292" s="291" t="str">
        <f t="shared" si="36"/>
        <v/>
      </c>
      <c r="B292" s="291" t="s">
        <v>1795</v>
      </c>
      <c r="C292" s="291" t="str">
        <f>IF(D291="","",UNIT!$B$1&amp;"-"&amp;B292)</f>
        <v/>
      </c>
      <c r="D292" s="83"/>
      <c r="E292" s="59"/>
      <c r="F292" s="82"/>
      <c r="G292" s="82"/>
      <c r="H292" s="86"/>
      <c r="I292" s="294" t="str">
        <f t="shared" si="37"/>
        <v/>
      </c>
      <c r="J292" s="59"/>
      <c r="K292" s="83"/>
      <c r="L292" s="83" t="str">
        <f t="shared" si="34"/>
        <v xml:space="preserve">
</v>
      </c>
      <c r="M292" s="83"/>
      <c r="N292" s="59"/>
      <c r="O292" s="59"/>
      <c r="P292" s="86" t="e">
        <f t="shared" si="35"/>
        <v>#VALUE!</v>
      </c>
      <c r="Q292" s="59"/>
      <c r="R292" s="59"/>
      <c r="S292" s="59"/>
      <c r="T292" s="59"/>
      <c r="U292" s="290"/>
      <c r="V292" s="290"/>
      <c r="W292" s="290"/>
      <c r="X292" s="290"/>
      <c r="Y292" s="290"/>
      <c r="Z292" s="290"/>
      <c r="AA292" s="290"/>
      <c r="AB292" s="290"/>
      <c r="AC292" s="290"/>
      <c r="AD292" s="290"/>
    </row>
    <row r="293" spans="1:30" ht="25.5">
      <c r="A293" s="291" t="str">
        <f t="shared" si="36"/>
        <v/>
      </c>
      <c r="B293" s="291" t="s">
        <v>1796</v>
      </c>
      <c r="C293" s="291" t="str">
        <f>IF(D292="","",UNIT!$B$1&amp;"-"&amp;B293)</f>
        <v/>
      </c>
      <c r="D293" s="83"/>
      <c r="E293" s="59"/>
      <c r="F293" s="82"/>
      <c r="G293" s="82"/>
      <c r="H293" s="86"/>
      <c r="I293" s="294" t="str">
        <f t="shared" si="37"/>
        <v/>
      </c>
      <c r="J293" s="59"/>
      <c r="K293" s="83"/>
      <c r="L293" s="83" t="str">
        <f t="shared" si="34"/>
        <v xml:space="preserve">
</v>
      </c>
      <c r="M293" s="83"/>
      <c r="N293" s="59"/>
      <c r="O293" s="59"/>
      <c r="P293" s="86" t="e">
        <f t="shared" si="35"/>
        <v>#VALUE!</v>
      </c>
      <c r="Q293" s="59"/>
      <c r="R293" s="59"/>
      <c r="S293" s="59"/>
      <c r="T293" s="59"/>
      <c r="U293" s="290"/>
      <c r="V293" s="290"/>
      <c r="W293" s="290"/>
      <c r="X293" s="290"/>
      <c r="Y293" s="290"/>
      <c r="Z293" s="290"/>
      <c r="AA293" s="290"/>
      <c r="AB293" s="290"/>
      <c r="AC293" s="290"/>
      <c r="AD293" s="290"/>
    </row>
    <row r="294" spans="1:30" ht="25.5">
      <c r="A294" s="291" t="str">
        <f t="shared" si="36"/>
        <v/>
      </c>
      <c r="B294" s="291" t="s">
        <v>1797</v>
      </c>
      <c r="C294" s="291" t="str">
        <f>IF(D293="","",UNIT!$B$1&amp;"-"&amp;B294)</f>
        <v/>
      </c>
      <c r="D294" s="83"/>
      <c r="E294" s="59"/>
      <c r="F294" s="82"/>
      <c r="G294" s="82"/>
      <c r="H294" s="86"/>
      <c r="I294" s="294" t="str">
        <f t="shared" si="37"/>
        <v/>
      </c>
      <c r="J294" s="59"/>
      <c r="K294" s="83"/>
      <c r="L294" s="83" t="str">
        <f t="shared" si="34"/>
        <v xml:space="preserve">
</v>
      </c>
      <c r="M294" s="83"/>
      <c r="N294" s="59"/>
      <c r="O294" s="59"/>
      <c r="P294" s="86" t="e">
        <f t="shared" si="35"/>
        <v>#VALUE!</v>
      </c>
      <c r="Q294" s="59"/>
      <c r="R294" s="59"/>
      <c r="S294" s="59"/>
      <c r="T294" s="59"/>
      <c r="U294" s="290"/>
      <c r="V294" s="290"/>
      <c r="W294" s="290"/>
      <c r="X294" s="290"/>
      <c r="Y294" s="290"/>
      <c r="Z294" s="290"/>
      <c r="AA294" s="290"/>
      <c r="AB294" s="290"/>
      <c r="AC294" s="290"/>
      <c r="AD294" s="290"/>
    </row>
    <row r="295" spans="1:30" ht="25.5">
      <c r="A295" s="291" t="str">
        <f t="shared" si="36"/>
        <v/>
      </c>
      <c r="B295" s="291" t="s">
        <v>1798</v>
      </c>
      <c r="C295" s="291" t="str">
        <f>IF(D294="","",UNIT!$B$1&amp;"-"&amp;B295)</f>
        <v/>
      </c>
      <c r="D295" s="83"/>
      <c r="E295" s="59"/>
      <c r="F295" s="82"/>
      <c r="G295" s="82"/>
      <c r="H295" s="86"/>
      <c r="I295" s="294" t="str">
        <f t="shared" si="37"/>
        <v/>
      </c>
      <c r="J295" s="59"/>
      <c r="K295" s="83"/>
      <c r="L295" s="83" t="str">
        <f t="shared" si="34"/>
        <v xml:space="preserve">
</v>
      </c>
      <c r="M295" s="83"/>
      <c r="N295" s="59"/>
      <c r="O295" s="59"/>
      <c r="P295" s="86" t="e">
        <f t="shared" si="35"/>
        <v>#VALUE!</v>
      </c>
      <c r="Q295" s="59"/>
      <c r="R295" s="59"/>
      <c r="S295" s="59"/>
      <c r="T295" s="59"/>
      <c r="U295" s="290"/>
      <c r="V295" s="290"/>
      <c r="W295" s="290"/>
      <c r="X295" s="290"/>
      <c r="Y295" s="290"/>
      <c r="Z295" s="290"/>
      <c r="AA295" s="290"/>
      <c r="AB295" s="290"/>
      <c r="AC295" s="290"/>
      <c r="AD295" s="290"/>
    </row>
    <row r="296" spans="1:30" ht="25.5">
      <c r="A296" s="291" t="str">
        <f t="shared" si="36"/>
        <v/>
      </c>
      <c r="B296" s="291" t="s">
        <v>1799</v>
      </c>
      <c r="C296" s="291" t="str">
        <f>IF(D295="","",UNIT!$B$1&amp;"-"&amp;B296)</f>
        <v/>
      </c>
      <c r="D296" s="83"/>
      <c r="E296" s="59"/>
      <c r="F296" s="82"/>
      <c r="G296" s="82"/>
      <c r="H296" s="86"/>
      <c r="I296" s="294" t="str">
        <f t="shared" si="37"/>
        <v/>
      </c>
      <c r="J296" s="59"/>
      <c r="K296" s="83"/>
      <c r="L296" s="83" t="str">
        <f t="shared" si="34"/>
        <v xml:space="preserve">
</v>
      </c>
      <c r="M296" s="83"/>
      <c r="N296" s="59"/>
      <c r="O296" s="59"/>
      <c r="P296" s="86" t="e">
        <f t="shared" si="35"/>
        <v>#VALUE!</v>
      </c>
      <c r="Q296" s="59"/>
      <c r="R296" s="59"/>
      <c r="S296" s="59"/>
      <c r="T296" s="59"/>
      <c r="U296" s="290"/>
      <c r="V296" s="290"/>
      <c r="W296" s="290"/>
      <c r="X296" s="290"/>
      <c r="Y296" s="290"/>
      <c r="Z296" s="290"/>
      <c r="AA296" s="290"/>
      <c r="AB296" s="290"/>
      <c r="AC296" s="290"/>
      <c r="AD296" s="290"/>
    </row>
    <row r="297" spans="1:30" ht="25.5">
      <c r="A297" s="291" t="str">
        <f t="shared" si="36"/>
        <v/>
      </c>
      <c r="B297" s="291" t="s">
        <v>1800</v>
      </c>
      <c r="C297" s="291" t="str">
        <f>IF(D296="","",UNIT!$B$1&amp;"-"&amp;B297)</f>
        <v/>
      </c>
      <c r="D297" s="83"/>
      <c r="E297" s="59"/>
      <c r="F297" s="82"/>
      <c r="G297" s="82"/>
      <c r="H297" s="86"/>
      <c r="I297" s="294" t="str">
        <f t="shared" si="37"/>
        <v/>
      </c>
      <c r="J297" s="59"/>
      <c r="K297" s="83"/>
      <c r="L297" s="83" t="str">
        <f t="shared" si="34"/>
        <v xml:space="preserve">
</v>
      </c>
      <c r="M297" s="83"/>
      <c r="N297" s="59"/>
      <c r="O297" s="59"/>
      <c r="P297" s="86" t="e">
        <f t="shared" si="35"/>
        <v>#VALUE!</v>
      </c>
      <c r="Q297" s="59"/>
      <c r="R297" s="59"/>
      <c r="S297" s="59"/>
      <c r="T297" s="59"/>
      <c r="U297" s="290"/>
      <c r="V297" s="290"/>
      <c r="W297" s="290"/>
      <c r="X297" s="290"/>
      <c r="Y297" s="290"/>
      <c r="Z297" s="290"/>
      <c r="AA297" s="290"/>
      <c r="AB297" s="290"/>
      <c r="AC297" s="290"/>
      <c r="AD297" s="290"/>
    </row>
    <row r="298" spans="1:30" ht="25.5">
      <c r="A298" s="291" t="str">
        <f t="shared" si="36"/>
        <v/>
      </c>
      <c r="B298" s="291" t="s">
        <v>1801</v>
      </c>
      <c r="C298" s="291" t="str">
        <f>IF(D297="","",UNIT!$B$1&amp;"-"&amp;B298)</f>
        <v/>
      </c>
      <c r="D298" s="83"/>
      <c r="E298" s="59"/>
      <c r="F298" s="82"/>
      <c r="G298" s="82"/>
      <c r="H298" s="86"/>
      <c r="I298" s="294" t="str">
        <f t="shared" si="37"/>
        <v/>
      </c>
      <c r="J298" s="59"/>
      <c r="K298" s="83"/>
      <c r="L298" s="83" t="str">
        <f t="shared" si="34"/>
        <v xml:space="preserve">
</v>
      </c>
      <c r="M298" s="83"/>
      <c r="N298" s="59"/>
      <c r="O298" s="59"/>
      <c r="P298" s="86" t="e">
        <f t="shared" si="35"/>
        <v>#VALUE!</v>
      </c>
      <c r="Q298" s="59"/>
      <c r="R298" s="59"/>
      <c r="S298" s="59"/>
      <c r="T298" s="59"/>
      <c r="U298" s="290"/>
      <c r="V298" s="290"/>
      <c r="W298" s="290"/>
      <c r="X298" s="290"/>
      <c r="Y298" s="290"/>
      <c r="Z298" s="290"/>
      <c r="AA298" s="290"/>
      <c r="AB298" s="290"/>
      <c r="AC298" s="290"/>
      <c r="AD298" s="290"/>
    </row>
    <row r="299" spans="1:30" ht="25.5">
      <c r="A299" s="291" t="str">
        <f t="shared" si="36"/>
        <v/>
      </c>
      <c r="B299" s="291" t="s">
        <v>1802</v>
      </c>
      <c r="C299" s="291" t="str">
        <f>IF(D298="","",UNIT!$B$1&amp;"-"&amp;B299)</f>
        <v/>
      </c>
      <c r="D299" s="83"/>
      <c r="E299" s="59"/>
      <c r="F299" s="82"/>
      <c r="G299" s="82"/>
      <c r="H299" s="86"/>
      <c r="I299" s="294" t="str">
        <f t="shared" si="37"/>
        <v/>
      </c>
      <c r="J299" s="59"/>
      <c r="K299" s="83"/>
      <c r="L299" s="83" t="str">
        <f t="shared" si="34"/>
        <v xml:space="preserve">
</v>
      </c>
      <c r="M299" s="83"/>
      <c r="N299" s="59"/>
      <c r="O299" s="59"/>
      <c r="P299" s="86" t="e">
        <f t="shared" si="35"/>
        <v>#VALUE!</v>
      </c>
      <c r="Q299" s="59"/>
      <c r="R299" s="59"/>
      <c r="S299" s="59"/>
      <c r="T299" s="59"/>
      <c r="U299" s="290"/>
      <c r="V299" s="290"/>
      <c r="W299" s="290"/>
      <c r="X299" s="290"/>
      <c r="Y299" s="290"/>
      <c r="Z299" s="290"/>
      <c r="AA299" s="290"/>
      <c r="AB299" s="290"/>
      <c r="AC299" s="290"/>
      <c r="AD299" s="290"/>
    </row>
    <row r="300" spans="1:30" ht="25.5">
      <c r="A300" s="291" t="str">
        <f t="shared" si="36"/>
        <v/>
      </c>
      <c r="B300" s="291" t="s">
        <v>1803</v>
      </c>
      <c r="C300" s="291" t="str">
        <f>IF(D299="","",UNIT!$B$1&amp;"-"&amp;B300)</f>
        <v/>
      </c>
      <c r="D300" s="83"/>
      <c r="E300" s="59"/>
      <c r="F300" s="82"/>
      <c r="G300" s="82"/>
      <c r="H300" s="86"/>
      <c r="I300" s="294" t="str">
        <f t="shared" si="37"/>
        <v/>
      </c>
      <c r="J300" s="59"/>
      <c r="K300" s="83"/>
      <c r="L300" s="83" t="str">
        <f t="shared" si="34"/>
        <v xml:space="preserve">
</v>
      </c>
      <c r="M300" s="83"/>
      <c r="N300" s="59"/>
      <c r="O300" s="59"/>
      <c r="P300" s="86" t="e">
        <f t="shared" si="35"/>
        <v>#VALUE!</v>
      </c>
      <c r="Q300" s="59"/>
      <c r="R300" s="59"/>
      <c r="S300" s="59"/>
      <c r="T300" s="59"/>
      <c r="U300" s="290"/>
      <c r="V300" s="290"/>
      <c r="W300" s="290"/>
      <c r="X300" s="290"/>
      <c r="Y300" s="290"/>
      <c r="Z300" s="290"/>
      <c r="AA300" s="290"/>
      <c r="AB300" s="290"/>
      <c r="AC300" s="290"/>
      <c r="AD300" s="290"/>
    </row>
    <row r="301" spans="1:30" ht="25.5">
      <c r="A301" s="291" t="str">
        <f t="shared" si="36"/>
        <v/>
      </c>
      <c r="B301" s="291" t="s">
        <v>1804</v>
      </c>
      <c r="C301" s="291" t="str">
        <f>IF(D300="","",UNIT!$B$1&amp;"-"&amp;B301)</f>
        <v/>
      </c>
      <c r="D301" s="83"/>
      <c r="E301" s="59"/>
      <c r="F301" s="82"/>
      <c r="G301" s="82"/>
      <c r="H301" s="86"/>
      <c r="I301" s="294" t="str">
        <f t="shared" si="37"/>
        <v/>
      </c>
      <c r="J301" s="59"/>
      <c r="K301" s="83"/>
      <c r="L301" s="83" t="str">
        <f t="shared" si="34"/>
        <v xml:space="preserve">
</v>
      </c>
      <c r="M301" s="83"/>
      <c r="N301" s="59"/>
      <c r="O301" s="59"/>
      <c r="P301" s="86" t="e">
        <f t="shared" si="35"/>
        <v>#VALUE!</v>
      </c>
      <c r="Q301" s="59"/>
      <c r="R301" s="59"/>
      <c r="S301" s="59"/>
      <c r="T301" s="59"/>
      <c r="U301" s="290"/>
      <c r="V301" s="290"/>
      <c r="W301" s="290"/>
      <c r="X301" s="290"/>
      <c r="Y301" s="290"/>
      <c r="Z301" s="290"/>
      <c r="AA301" s="290"/>
      <c r="AB301" s="290"/>
      <c r="AC301" s="290"/>
      <c r="AD301" s="290"/>
    </row>
    <row r="302" spans="1:30" ht="25.5">
      <c r="A302" s="291" t="str">
        <f t="shared" si="36"/>
        <v/>
      </c>
      <c r="B302" s="291" t="s">
        <v>1805</v>
      </c>
      <c r="C302" s="291" t="str">
        <f>IF(D301="","",UNIT!$B$1&amp;"-"&amp;B302)</f>
        <v/>
      </c>
      <c r="D302" s="83"/>
      <c r="E302" s="59"/>
      <c r="F302" s="82"/>
      <c r="G302" s="82"/>
      <c r="H302" s="86"/>
      <c r="I302" s="294" t="str">
        <f t="shared" si="37"/>
        <v/>
      </c>
      <c r="J302" s="59"/>
      <c r="K302" s="83"/>
      <c r="L302" s="83" t="str">
        <f t="shared" si="34"/>
        <v xml:space="preserve">
</v>
      </c>
      <c r="M302" s="83"/>
      <c r="N302" s="59"/>
      <c r="O302" s="59"/>
      <c r="P302" s="86" t="e">
        <f t="shared" si="35"/>
        <v>#VALUE!</v>
      </c>
      <c r="Q302" s="59"/>
      <c r="R302" s="59"/>
      <c r="S302" s="59"/>
      <c r="T302" s="59"/>
      <c r="U302" s="290"/>
      <c r="V302" s="290"/>
      <c r="W302" s="290"/>
      <c r="X302" s="290"/>
      <c r="Y302" s="290"/>
      <c r="Z302" s="290"/>
      <c r="AA302" s="290"/>
      <c r="AB302" s="290"/>
      <c r="AC302" s="290"/>
      <c r="AD302" s="290"/>
    </row>
    <row r="303" spans="1:30" ht="25.5">
      <c r="A303" s="291" t="str">
        <f t="shared" si="36"/>
        <v/>
      </c>
      <c r="B303" s="291" t="s">
        <v>1806</v>
      </c>
      <c r="C303" s="291" t="str">
        <f>IF(D302="","",UNIT!$B$1&amp;"-"&amp;B303)</f>
        <v/>
      </c>
      <c r="D303" s="83"/>
      <c r="E303" s="59"/>
      <c r="F303" s="82"/>
      <c r="G303" s="82"/>
      <c r="H303" s="86"/>
      <c r="I303" s="294" t="str">
        <f t="shared" si="37"/>
        <v/>
      </c>
      <c r="J303" s="59"/>
      <c r="K303" s="83"/>
      <c r="L303" s="83" t="str">
        <f t="shared" si="34"/>
        <v xml:space="preserve">
</v>
      </c>
      <c r="M303" s="83"/>
      <c r="N303" s="59"/>
      <c r="O303" s="59"/>
      <c r="P303" s="86" t="e">
        <f t="shared" si="35"/>
        <v>#VALUE!</v>
      </c>
      <c r="Q303" s="59"/>
      <c r="R303" s="59"/>
      <c r="S303" s="59"/>
      <c r="T303" s="59"/>
      <c r="U303" s="290"/>
      <c r="V303" s="290"/>
      <c r="W303" s="290"/>
      <c r="X303" s="290"/>
      <c r="Y303" s="290"/>
      <c r="Z303" s="290"/>
      <c r="AA303" s="290"/>
      <c r="AB303" s="290"/>
      <c r="AC303" s="290"/>
      <c r="AD303" s="290"/>
    </row>
    <row r="304" spans="1:30" ht="25.5">
      <c r="A304" s="291" t="str">
        <f t="shared" si="36"/>
        <v/>
      </c>
      <c r="B304" s="291" t="s">
        <v>1807</v>
      </c>
      <c r="C304" s="291" t="str">
        <f>IF(D303="","",UNIT!$B$1&amp;"-"&amp;B304)</f>
        <v/>
      </c>
      <c r="D304" s="83"/>
      <c r="E304" s="59"/>
      <c r="F304" s="82"/>
      <c r="G304" s="82"/>
      <c r="H304" s="86"/>
      <c r="I304" s="294" t="str">
        <f t="shared" si="37"/>
        <v/>
      </c>
      <c r="J304" s="59"/>
      <c r="K304" s="83"/>
      <c r="L304" s="83" t="str">
        <f t="shared" si="34"/>
        <v xml:space="preserve">
</v>
      </c>
      <c r="M304" s="83"/>
      <c r="N304" s="59"/>
      <c r="O304" s="59"/>
      <c r="P304" s="86" t="e">
        <f t="shared" si="35"/>
        <v>#VALUE!</v>
      </c>
      <c r="Q304" s="59"/>
      <c r="R304" s="59"/>
      <c r="S304" s="59"/>
      <c r="T304" s="59"/>
      <c r="U304" s="290"/>
      <c r="V304" s="290"/>
      <c r="W304" s="290"/>
      <c r="X304" s="290"/>
      <c r="Y304" s="290"/>
      <c r="Z304" s="290"/>
      <c r="AA304" s="290"/>
      <c r="AB304" s="290"/>
      <c r="AC304" s="290"/>
      <c r="AD304" s="290"/>
    </row>
    <row r="305" spans="1:30" ht="25.5">
      <c r="A305" s="291" t="str">
        <f t="shared" si="36"/>
        <v/>
      </c>
      <c r="B305" s="291" t="s">
        <v>1808</v>
      </c>
      <c r="C305" s="291" t="str">
        <f>IF(D304="","",UNIT!$B$1&amp;"-"&amp;B305)</f>
        <v/>
      </c>
      <c r="D305" s="83"/>
      <c r="E305" s="59"/>
      <c r="F305" s="82"/>
      <c r="G305" s="82"/>
      <c r="H305" s="86"/>
      <c r="I305" s="294" t="str">
        <f t="shared" si="37"/>
        <v/>
      </c>
      <c r="J305" s="59"/>
      <c r="K305" s="83"/>
      <c r="L305" s="83" t="str">
        <f t="shared" si="34"/>
        <v xml:space="preserve">
</v>
      </c>
      <c r="M305" s="83"/>
      <c r="N305" s="59"/>
      <c r="O305" s="59"/>
      <c r="P305" s="86" t="e">
        <f t="shared" si="35"/>
        <v>#VALUE!</v>
      </c>
      <c r="Q305" s="59"/>
      <c r="R305" s="59"/>
      <c r="S305" s="59"/>
      <c r="T305" s="59"/>
      <c r="U305" s="290"/>
      <c r="V305" s="290"/>
      <c r="W305" s="290"/>
      <c r="X305" s="290"/>
      <c r="Y305" s="290"/>
      <c r="Z305" s="290"/>
      <c r="AA305" s="290"/>
      <c r="AB305" s="290"/>
      <c r="AC305" s="290"/>
      <c r="AD305" s="290"/>
    </row>
    <row r="306" spans="1:30" ht="25.5">
      <c r="A306" s="291" t="str">
        <f t="shared" si="36"/>
        <v/>
      </c>
      <c r="B306" s="291" t="s">
        <v>1809</v>
      </c>
      <c r="C306" s="291" t="str">
        <f>IF(D305="","",UNIT!$B$1&amp;"-"&amp;B306)</f>
        <v/>
      </c>
      <c r="D306" s="83"/>
      <c r="E306" s="59"/>
      <c r="F306" s="82"/>
      <c r="G306" s="82"/>
      <c r="H306" s="86"/>
      <c r="I306" s="294" t="str">
        <f t="shared" si="37"/>
        <v/>
      </c>
      <c r="J306" s="59"/>
      <c r="K306" s="83"/>
      <c r="L306" s="83" t="str">
        <f t="shared" si="34"/>
        <v xml:space="preserve">
</v>
      </c>
      <c r="M306" s="83"/>
      <c r="N306" s="59"/>
      <c r="O306" s="59"/>
      <c r="P306" s="86" t="e">
        <f t="shared" si="35"/>
        <v>#VALUE!</v>
      </c>
      <c r="Q306" s="59"/>
      <c r="R306" s="59"/>
      <c r="S306" s="59"/>
      <c r="T306" s="59"/>
      <c r="U306" s="290"/>
      <c r="V306" s="290"/>
      <c r="W306" s="290"/>
      <c r="X306" s="290"/>
      <c r="Y306" s="290"/>
      <c r="Z306" s="290"/>
      <c r="AA306" s="290"/>
      <c r="AB306" s="290"/>
      <c r="AC306" s="290"/>
      <c r="AD306" s="290"/>
    </row>
    <row r="307" spans="1:30" ht="25.5">
      <c r="A307" s="291" t="str">
        <f t="shared" si="36"/>
        <v/>
      </c>
      <c r="B307" s="291" t="s">
        <v>1810</v>
      </c>
      <c r="C307" s="291" t="str">
        <f>IF(D306="","",UNIT!$B$1&amp;"-"&amp;B307)</f>
        <v/>
      </c>
      <c r="D307" s="83"/>
      <c r="E307" s="59"/>
      <c r="F307" s="82"/>
      <c r="G307" s="82"/>
      <c r="H307" s="86"/>
      <c r="I307" s="294" t="str">
        <f t="shared" si="37"/>
        <v/>
      </c>
      <c r="J307" s="59"/>
      <c r="K307" s="83"/>
      <c r="L307" s="83" t="str">
        <f t="shared" si="34"/>
        <v xml:space="preserve">
</v>
      </c>
      <c r="M307" s="83"/>
      <c r="N307" s="59"/>
      <c r="O307" s="59"/>
      <c r="P307" s="86" t="e">
        <f t="shared" si="35"/>
        <v>#VALUE!</v>
      </c>
      <c r="Q307" s="59"/>
      <c r="R307" s="59"/>
      <c r="S307" s="59"/>
      <c r="T307" s="59"/>
      <c r="U307" s="290"/>
      <c r="V307" s="290"/>
      <c r="W307" s="290"/>
      <c r="X307" s="290"/>
      <c r="Y307" s="290"/>
      <c r="Z307" s="290"/>
      <c r="AA307" s="290"/>
      <c r="AB307" s="290"/>
      <c r="AC307" s="290"/>
      <c r="AD307" s="290"/>
    </row>
    <row r="308" spans="1:30" ht="25.5">
      <c r="A308" s="291" t="str">
        <f t="shared" si="36"/>
        <v/>
      </c>
      <c r="B308" s="291" t="s">
        <v>1811</v>
      </c>
      <c r="C308" s="291" t="str">
        <f>IF(D307="","",UNIT!$B$1&amp;"-"&amp;B308)</f>
        <v/>
      </c>
      <c r="D308" s="83"/>
      <c r="E308" s="59"/>
      <c r="F308" s="82"/>
      <c r="G308" s="82"/>
      <c r="H308" s="86"/>
      <c r="I308" s="294" t="str">
        <f t="shared" si="37"/>
        <v/>
      </c>
      <c r="J308" s="59"/>
      <c r="K308" s="83"/>
      <c r="L308" s="83" t="str">
        <f t="shared" si="34"/>
        <v xml:space="preserve">
</v>
      </c>
      <c r="M308" s="83"/>
      <c r="N308" s="59"/>
      <c r="O308" s="59"/>
      <c r="P308" s="86" t="e">
        <f t="shared" si="35"/>
        <v>#VALUE!</v>
      </c>
      <c r="Q308" s="59"/>
      <c r="R308" s="59"/>
      <c r="S308" s="59"/>
      <c r="T308" s="59"/>
      <c r="U308" s="290"/>
      <c r="V308" s="290"/>
      <c r="W308" s="290"/>
      <c r="X308" s="290"/>
      <c r="Y308" s="290"/>
      <c r="Z308" s="290"/>
      <c r="AA308" s="290"/>
      <c r="AB308" s="290"/>
      <c r="AC308" s="290"/>
      <c r="AD308" s="290"/>
    </row>
    <row r="309" spans="1:30" ht="25.5">
      <c r="A309" s="291" t="str">
        <f t="shared" si="36"/>
        <v/>
      </c>
      <c r="B309" s="291" t="s">
        <v>1812</v>
      </c>
      <c r="C309" s="291" t="str">
        <f>IF(D308="","",UNIT!$B$1&amp;"-"&amp;B309)</f>
        <v/>
      </c>
      <c r="D309" s="83"/>
      <c r="E309" s="59"/>
      <c r="F309" s="82"/>
      <c r="G309" s="82"/>
      <c r="H309" s="86"/>
      <c r="I309" s="294" t="str">
        <f t="shared" si="37"/>
        <v/>
      </c>
      <c r="J309" s="59"/>
      <c r="K309" s="83"/>
      <c r="L309" s="83" t="str">
        <f t="shared" si="34"/>
        <v xml:space="preserve">
</v>
      </c>
      <c r="M309" s="83"/>
      <c r="N309" s="59"/>
      <c r="O309" s="59"/>
      <c r="P309" s="86" t="e">
        <f t="shared" si="35"/>
        <v>#VALUE!</v>
      </c>
      <c r="Q309" s="59"/>
      <c r="R309" s="59"/>
      <c r="S309" s="59"/>
      <c r="T309" s="59"/>
      <c r="U309" s="290"/>
      <c r="V309" s="290"/>
      <c r="W309" s="290"/>
      <c r="X309" s="290"/>
      <c r="Y309" s="290"/>
      <c r="Z309" s="290"/>
      <c r="AA309" s="290"/>
      <c r="AB309" s="290"/>
      <c r="AC309" s="290"/>
      <c r="AD309" s="290"/>
    </row>
    <row r="310" spans="1:30" ht="25.5">
      <c r="A310" s="291" t="str">
        <f t="shared" si="36"/>
        <v/>
      </c>
      <c r="B310" s="291" t="s">
        <v>1813</v>
      </c>
      <c r="C310" s="291" t="str">
        <f>IF(D309="","",UNIT!$B$1&amp;"-"&amp;B310)</f>
        <v/>
      </c>
      <c r="D310" s="83"/>
      <c r="E310" s="59"/>
      <c r="F310" s="82"/>
      <c r="G310" s="82"/>
      <c r="H310" s="86"/>
      <c r="I310" s="294" t="str">
        <f t="shared" si="37"/>
        <v/>
      </c>
      <c r="J310" s="59"/>
      <c r="K310" s="83"/>
      <c r="L310" s="83" t="str">
        <f t="shared" si="34"/>
        <v xml:space="preserve">
</v>
      </c>
      <c r="M310" s="83"/>
      <c r="N310" s="59"/>
      <c r="O310" s="59"/>
      <c r="P310" s="86" t="e">
        <f t="shared" si="35"/>
        <v>#VALUE!</v>
      </c>
      <c r="Q310" s="59"/>
      <c r="R310" s="59"/>
      <c r="S310" s="59"/>
      <c r="T310" s="59"/>
      <c r="U310" s="290"/>
      <c r="V310" s="290"/>
      <c r="W310" s="290"/>
      <c r="X310" s="290"/>
      <c r="Y310" s="290"/>
      <c r="Z310" s="290"/>
      <c r="AA310" s="290"/>
      <c r="AB310" s="290"/>
      <c r="AC310" s="290"/>
      <c r="AD310" s="290"/>
    </row>
    <row r="311" spans="1:30" ht="25.5">
      <c r="A311" s="291" t="str">
        <f t="shared" si="36"/>
        <v/>
      </c>
      <c r="B311" s="291" t="s">
        <v>1814</v>
      </c>
      <c r="C311" s="291" t="str">
        <f>IF(D310="","",UNIT!$B$1&amp;"-"&amp;B311)</f>
        <v/>
      </c>
      <c r="D311" s="83"/>
      <c r="E311" s="59"/>
      <c r="F311" s="82"/>
      <c r="G311" s="82"/>
      <c r="H311" s="86"/>
      <c r="I311" s="294" t="str">
        <f t="shared" si="37"/>
        <v/>
      </c>
      <c r="J311" s="59"/>
      <c r="K311" s="83"/>
      <c r="L311" s="83" t="str">
        <f t="shared" si="34"/>
        <v xml:space="preserve">
</v>
      </c>
      <c r="M311" s="83"/>
      <c r="N311" s="59"/>
      <c r="O311" s="59"/>
      <c r="P311" s="86" t="e">
        <f t="shared" si="35"/>
        <v>#VALUE!</v>
      </c>
      <c r="Q311" s="59"/>
      <c r="R311" s="59"/>
      <c r="S311" s="59"/>
      <c r="T311" s="59"/>
      <c r="U311" s="290"/>
      <c r="V311" s="290"/>
      <c r="W311" s="290"/>
      <c r="X311" s="290"/>
      <c r="Y311" s="290"/>
      <c r="Z311" s="290"/>
      <c r="AA311" s="290"/>
      <c r="AB311" s="290"/>
      <c r="AC311" s="290"/>
      <c r="AD311" s="290"/>
    </row>
    <row r="312" spans="1:30" ht="25.5">
      <c r="A312" s="291" t="str">
        <f t="shared" si="36"/>
        <v/>
      </c>
      <c r="B312" s="291" t="s">
        <v>1815</v>
      </c>
      <c r="C312" s="291" t="str">
        <f>IF(D311="","",UNIT!$B$1&amp;"-"&amp;B312)</f>
        <v/>
      </c>
      <c r="D312" s="83"/>
      <c r="E312" s="59"/>
      <c r="F312" s="82"/>
      <c r="G312" s="82"/>
      <c r="H312" s="86"/>
      <c r="I312" s="294" t="str">
        <f t="shared" si="37"/>
        <v/>
      </c>
      <c r="J312" s="59"/>
      <c r="K312" s="83"/>
      <c r="L312" s="83" t="str">
        <f t="shared" si="34"/>
        <v xml:space="preserve">
</v>
      </c>
      <c r="M312" s="83"/>
      <c r="N312" s="59"/>
      <c r="O312" s="59"/>
      <c r="P312" s="86" t="e">
        <f t="shared" si="35"/>
        <v>#VALUE!</v>
      </c>
      <c r="Q312" s="59"/>
      <c r="R312" s="59"/>
      <c r="S312" s="59"/>
      <c r="T312" s="59"/>
      <c r="U312" s="290"/>
      <c r="V312" s="290"/>
      <c r="W312" s="290"/>
      <c r="X312" s="290"/>
      <c r="Y312" s="290"/>
      <c r="Z312" s="290"/>
      <c r="AA312" s="290"/>
      <c r="AB312" s="290"/>
      <c r="AC312" s="290"/>
      <c r="AD312" s="290"/>
    </row>
    <row r="313" spans="1:30" ht="25.5">
      <c r="A313" s="291" t="str">
        <f t="shared" si="36"/>
        <v/>
      </c>
      <c r="B313" s="291" t="s">
        <v>1816</v>
      </c>
      <c r="C313" s="291" t="str">
        <f>IF(D312="","",UNIT!$B$1&amp;"-"&amp;B313)</f>
        <v/>
      </c>
      <c r="D313" s="83"/>
      <c r="E313" s="59"/>
      <c r="F313" s="82"/>
      <c r="G313" s="82"/>
      <c r="H313" s="86"/>
      <c r="I313" s="294" t="str">
        <f t="shared" si="37"/>
        <v/>
      </c>
      <c r="J313" s="59"/>
      <c r="K313" s="83"/>
      <c r="L313" s="83" t="str">
        <f t="shared" si="34"/>
        <v xml:space="preserve">
</v>
      </c>
      <c r="M313" s="83"/>
      <c r="N313" s="59"/>
      <c r="O313" s="59"/>
      <c r="P313" s="86" t="e">
        <f t="shared" si="35"/>
        <v>#VALUE!</v>
      </c>
      <c r="Q313" s="59"/>
      <c r="R313" s="59"/>
      <c r="S313" s="59"/>
      <c r="T313" s="59"/>
      <c r="U313" s="290"/>
      <c r="V313" s="290"/>
      <c r="W313" s="290"/>
      <c r="X313" s="290"/>
      <c r="Y313" s="290"/>
      <c r="Z313" s="290"/>
      <c r="AA313" s="290"/>
      <c r="AB313" s="290"/>
      <c r="AC313" s="290"/>
      <c r="AD313" s="290"/>
    </row>
    <row r="314" spans="1:30" ht="25.5">
      <c r="A314" s="291" t="str">
        <f t="shared" si="36"/>
        <v/>
      </c>
      <c r="B314" s="291" t="s">
        <v>1817</v>
      </c>
      <c r="C314" s="291" t="str">
        <f>IF(D313="","",UNIT!$B$1&amp;"-"&amp;B314)</f>
        <v/>
      </c>
      <c r="D314" s="83"/>
      <c r="E314" s="59"/>
      <c r="F314" s="82"/>
      <c r="G314" s="82"/>
      <c r="H314" s="86"/>
      <c r="I314" s="294" t="str">
        <f t="shared" si="37"/>
        <v/>
      </c>
      <c r="J314" s="59"/>
      <c r="K314" s="83"/>
      <c r="L314" s="83" t="str">
        <f t="shared" si="34"/>
        <v xml:space="preserve">
</v>
      </c>
      <c r="M314" s="83"/>
      <c r="N314" s="59"/>
      <c r="O314" s="59"/>
      <c r="P314" s="86" t="e">
        <f t="shared" si="35"/>
        <v>#VALUE!</v>
      </c>
      <c r="Q314" s="59"/>
      <c r="R314" s="59"/>
      <c r="S314" s="59"/>
      <c r="T314" s="59"/>
      <c r="U314" s="290"/>
      <c r="V314" s="290"/>
      <c r="W314" s="290"/>
      <c r="X314" s="290"/>
      <c r="Y314" s="290"/>
      <c r="Z314" s="290"/>
      <c r="AA314" s="290"/>
      <c r="AB314" s="290"/>
      <c r="AC314" s="290"/>
      <c r="AD314" s="290"/>
    </row>
    <row r="315" spans="1:30" ht="25.5">
      <c r="A315" s="291" t="str">
        <f t="shared" si="36"/>
        <v/>
      </c>
      <c r="B315" s="291" t="s">
        <v>1818</v>
      </c>
      <c r="C315" s="291" t="str">
        <f>IF(D314="","",UNIT!$B$1&amp;"-"&amp;B315)</f>
        <v/>
      </c>
      <c r="D315" s="83"/>
      <c r="E315" s="59"/>
      <c r="F315" s="82"/>
      <c r="G315" s="82"/>
      <c r="H315" s="86"/>
      <c r="I315" s="294" t="str">
        <f t="shared" si="37"/>
        <v/>
      </c>
      <c r="J315" s="59"/>
      <c r="K315" s="83"/>
      <c r="L315" s="83" t="str">
        <f t="shared" si="34"/>
        <v xml:space="preserve">
</v>
      </c>
      <c r="M315" s="83"/>
      <c r="N315" s="59"/>
      <c r="O315" s="59"/>
      <c r="P315" s="86" t="e">
        <f t="shared" si="35"/>
        <v>#VALUE!</v>
      </c>
      <c r="Q315" s="59"/>
      <c r="R315" s="59"/>
      <c r="S315" s="59"/>
      <c r="T315" s="59"/>
      <c r="U315" s="290"/>
      <c r="V315" s="290"/>
      <c r="W315" s="290"/>
      <c r="X315" s="290"/>
      <c r="Y315" s="290"/>
      <c r="Z315" s="290"/>
      <c r="AA315" s="290"/>
      <c r="AB315" s="290"/>
      <c r="AC315" s="290"/>
      <c r="AD315" s="290"/>
    </row>
    <row r="316" spans="1:30" ht="25.5">
      <c r="A316" s="291" t="str">
        <f t="shared" si="36"/>
        <v/>
      </c>
      <c r="B316" s="291" t="s">
        <v>1819</v>
      </c>
      <c r="C316" s="291" t="str">
        <f>IF(D315="","",UNIT!$B$1&amp;"-"&amp;B316)</f>
        <v/>
      </c>
      <c r="D316" s="83"/>
      <c r="E316" s="59"/>
      <c r="F316" s="82"/>
      <c r="G316" s="82"/>
      <c r="H316" s="86"/>
      <c r="I316" s="294" t="str">
        <f t="shared" si="37"/>
        <v/>
      </c>
      <c r="J316" s="59"/>
      <c r="K316" s="83"/>
      <c r="L316" s="83" t="str">
        <f t="shared" si="34"/>
        <v xml:space="preserve">
</v>
      </c>
      <c r="M316" s="83"/>
      <c r="N316" s="59"/>
      <c r="O316" s="59"/>
      <c r="P316" s="86" t="e">
        <f t="shared" si="35"/>
        <v>#VALUE!</v>
      </c>
      <c r="Q316" s="59"/>
      <c r="R316" s="59"/>
      <c r="S316" s="59"/>
      <c r="T316" s="59"/>
      <c r="U316" s="290"/>
      <c r="V316" s="290"/>
      <c r="W316" s="290"/>
      <c r="X316" s="290"/>
      <c r="Y316" s="290"/>
      <c r="Z316" s="290"/>
      <c r="AA316" s="290"/>
      <c r="AB316" s="290"/>
      <c r="AC316" s="290"/>
      <c r="AD316" s="290"/>
    </row>
    <row r="317" spans="1:30" ht="25.5">
      <c r="A317" s="291" t="str">
        <f t="shared" si="36"/>
        <v/>
      </c>
      <c r="B317" s="291" t="s">
        <v>1820</v>
      </c>
      <c r="C317" s="291" t="str">
        <f>IF(D316="","",UNIT!$B$1&amp;"-"&amp;B317)</f>
        <v/>
      </c>
      <c r="D317" s="83"/>
      <c r="E317" s="59"/>
      <c r="F317" s="82"/>
      <c r="G317" s="82"/>
      <c r="H317" s="86"/>
      <c r="I317" s="294" t="str">
        <f t="shared" si="37"/>
        <v/>
      </c>
      <c r="J317" s="59"/>
      <c r="K317" s="83"/>
      <c r="L317" s="83" t="str">
        <f t="shared" si="34"/>
        <v xml:space="preserve">
</v>
      </c>
      <c r="M317" s="83"/>
      <c r="N317" s="59"/>
      <c r="O317" s="59"/>
      <c r="P317" s="86" t="e">
        <f t="shared" si="35"/>
        <v>#VALUE!</v>
      </c>
      <c r="Q317" s="59"/>
      <c r="R317" s="59"/>
      <c r="S317" s="59"/>
      <c r="T317" s="59"/>
      <c r="U317" s="290"/>
      <c r="V317" s="290"/>
      <c r="W317" s="290"/>
      <c r="X317" s="290"/>
      <c r="Y317" s="290"/>
      <c r="Z317" s="290"/>
      <c r="AA317" s="290"/>
      <c r="AB317" s="290"/>
      <c r="AC317" s="290"/>
      <c r="AD317" s="290"/>
    </row>
    <row r="318" spans="1:30" ht="25.5">
      <c r="A318" s="291" t="str">
        <f t="shared" si="36"/>
        <v/>
      </c>
      <c r="B318" s="291" t="s">
        <v>1821</v>
      </c>
      <c r="C318" s="291" t="str">
        <f>IF(D317="","",UNIT!$B$1&amp;"-"&amp;B318)</f>
        <v/>
      </c>
      <c r="D318" s="83"/>
      <c r="E318" s="59"/>
      <c r="F318" s="82"/>
      <c r="G318" s="82"/>
      <c r="H318" s="86"/>
      <c r="I318" s="294" t="str">
        <f t="shared" si="37"/>
        <v/>
      </c>
      <c r="J318" s="59"/>
      <c r="K318" s="83"/>
      <c r="L318" s="83" t="str">
        <f t="shared" si="34"/>
        <v xml:space="preserve">
</v>
      </c>
      <c r="M318" s="83"/>
      <c r="N318" s="59"/>
      <c r="O318" s="59"/>
      <c r="P318" s="86" t="e">
        <f t="shared" si="35"/>
        <v>#VALUE!</v>
      </c>
      <c r="Q318" s="59"/>
      <c r="R318" s="59"/>
      <c r="S318" s="59"/>
      <c r="T318" s="59"/>
      <c r="U318" s="290"/>
      <c r="V318" s="290"/>
      <c r="W318" s="290"/>
      <c r="X318" s="290"/>
      <c r="Y318" s="290"/>
      <c r="Z318" s="290"/>
      <c r="AA318" s="290"/>
      <c r="AB318" s="290"/>
      <c r="AC318" s="290"/>
      <c r="AD318" s="290"/>
    </row>
    <row r="319" spans="1:30" ht="25.5">
      <c r="A319" s="291" t="str">
        <f t="shared" si="36"/>
        <v/>
      </c>
      <c r="B319" s="291" t="s">
        <v>1822</v>
      </c>
      <c r="C319" s="291" t="str">
        <f>IF(D318="","",UNIT!$B$1&amp;"-"&amp;B319)</f>
        <v/>
      </c>
      <c r="D319" s="83"/>
      <c r="E319" s="59"/>
      <c r="F319" s="82"/>
      <c r="G319" s="82"/>
      <c r="H319" s="86"/>
      <c r="I319" s="294" t="str">
        <f t="shared" si="37"/>
        <v/>
      </c>
      <c r="J319" s="59"/>
      <c r="K319" s="83"/>
      <c r="L319" s="83" t="str">
        <f t="shared" si="34"/>
        <v xml:space="preserve">
</v>
      </c>
      <c r="M319" s="83"/>
      <c r="N319" s="59"/>
      <c r="O319" s="59"/>
      <c r="P319" s="86" t="e">
        <f t="shared" si="35"/>
        <v>#VALUE!</v>
      </c>
      <c r="Q319" s="59"/>
      <c r="R319" s="59"/>
      <c r="S319" s="59"/>
      <c r="T319" s="59"/>
      <c r="U319" s="290"/>
      <c r="V319" s="290"/>
      <c r="W319" s="290"/>
      <c r="X319" s="290"/>
      <c r="Y319" s="290"/>
      <c r="Z319" s="290"/>
      <c r="AA319" s="290"/>
      <c r="AB319" s="290"/>
      <c r="AC319" s="290"/>
      <c r="AD319" s="290"/>
    </row>
    <row r="320" spans="1:30" ht="25.5">
      <c r="A320" s="291" t="str">
        <f t="shared" si="36"/>
        <v/>
      </c>
      <c r="B320" s="291" t="s">
        <v>1823</v>
      </c>
      <c r="C320" s="291" t="str">
        <f>IF(D319="","",UNIT!$B$1&amp;"-"&amp;B320)</f>
        <v/>
      </c>
      <c r="D320" s="83"/>
      <c r="E320" s="59"/>
      <c r="F320" s="82"/>
      <c r="G320" s="82"/>
      <c r="H320" s="86"/>
      <c r="I320" s="294" t="str">
        <f t="shared" si="37"/>
        <v/>
      </c>
      <c r="J320" s="59"/>
      <c r="K320" s="83"/>
      <c r="L320" s="83" t="str">
        <f t="shared" si="34"/>
        <v xml:space="preserve">
</v>
      </c>
      <c r="M320" s="83"/>
      <c r="N320" s="59"/>
      <c r="O320" s="59"/>
      <c r="P320" s="86" t="e">
        <f t="shared" si="35"/>
        <v>#VALUE!</v>
      </c>
      <c r="Q320" s="59"/>
      <c r="R320" s="59"/>
      <c r="S320" s="59"/>
      <c r="T320" s="59"/>
      <c r="U320" s="290"/>
      <c r="V320" s="290"/>
      <c r="W320" s="290"/>
      <c r="X320" s="290"/>
      <c r="Y320" s="290"/>
      <c r="Z320" s="290"/>
      <c r="AA320" s="290"/>
      <c r="AB320" s="290"/>
      <c r="AC320" s="290"/>
      <c r="AD320" s="290"/>
    </row>
    <row r="321" spans="1:30" ht="25.5">
      <c r="A321" s="291" t="str">
        <f t="shared" si="36"/>
        <v/>
      </c>
      <c r="B321" s="291" t="s">
        <v>1824</v>
      </c>
      <c r="C321" s="291" t="str">
        <f>IF(D320="","",UNIT!$B$1&amp;"-"&amp;B321)</f>
        <v/>
      </c>
      <c r="D321" s="83"/>
      <c r="E321" s="59"/>
      <c r="F321" s="82"/>
      <c r="G321" s="82"/>
      <c r="H321" s="86"/>
      <c r="I321" s="294" t="str">
        <f t="shared" si="37"/>
        <v/>
      </c>
      <c r="J321" s="59"/>
      <c r="K321" s="83"/>
      <c r="L321" s="83" t="str">
        <f t="shared" si="34"/>
        <v xml:space="preserve">
</v>
      </c>
      <c r="M321" s="83"/>
      <c r="N321" s="59"/>
      <c r="O321" s="59"/>
      <c r="P321" s="86" t="e">
        <f t="shared" si="35"/>
        <v>#VALUE!</v>
      </c>
      <c r="Q321" s="59"/>
      <c r="R321" s="59"/>
      <c r="S321" s="59"/>
      <c r="T321" s="59"/>
      <c r="U321" s="290"/>
      <c r="V321" s="290"/>
      <c r="W321" s="290"/>
      <c r="X321" s="290"/>
      <c r="Y321" s="290"/>
      <c r="Z321" s="290"/>
      <c r="AA321" s="290"/>
      <c r="AB321" s="290"/>
      <c r="AC321" s="290"/>
      <c r="AD321" s="290"/>
    </row>
    <row r="322" spans="1:30" ht="25.5">
      <c r="A322" s="291" t="str">
        <f t="shared" si="36"/>
        <v/>
      </c>
      <c r="B322" s="291" t="s">
        <v>1825</v>
      </c>
      <c r="C322" s="291" t="str">
        <f>IF(D321="","",UNIT!$B$1&amp;"-"&amp;B322)</f>
        <v/>
      </c>
      <c r="D322" s="83"/>
      <c r="E322" s="59"/>
      <c r="F322" s="82"/>
      <c r="G322" s="82"/>
      <c r="H322" s="86"/>
      <c r="I322" s="294" t="str">
        <f t="shared" si="37"/>
        <v/>
      </c>
      <c r="J322" s="59"/>
      <c r="K322" s="83"/>
      <c r="L322" s="83" t="str">
        <f t="shared" si="34"/>
        <v xml:space="preserve">
</v>
      </c>
      <c r="M322" s="83"/>
      <c r="N322" s="59"/>
      <c r="O322" s="59"/>
      <c r="P322" s="86" t="e">
        <f t="shared" si="35"/>
        <v>#VALUE!</v>
      </c>
      <c r="Q322" s="59"/>
      <c r="R322" s="59"/>
      <c r="S322" s="59"/>
      <c r="T322" s="59"/>
      <c r="U322" s="290"/>
      <c r="V322" s="290"/>
      <c r="W322" s="290"/>
      <c r="X322" s="290"/>
      <c r="Y322" s="290"/>
      <c r="Z322" s="290"/>
      <c r="AA322" s="290"/>
      <c r="AB322" s="290"/>
      <c r="AC322" s="290"/>
      <c r="AD322" s="290"/>
    </row>
    <row r="323" spans="1:30" ht="25.5">
      <c r="A323" s="291" t="str">
        <f t="shared" si="36"/>
        <v/>
      </c>
      <c r="B323" s="291" t="s">
        <v>1826</v>
      </c>
      <c r="C323" s="291" t="str">
        <f>IF(D322="","",UNIT!$B$1&amp;"-"&amp;B323)</f>
        <v/>
      </c>
      <c r="D323" s="83"/>
      <c r="E323" s="59"/>
      <c r="F323" s="82"/>
      <c r="G323" s="82"/>
      <c r="H323" s="86"/>
      <c r="I323" s="294" t="str">
        <f t="shared" si="37"/>
        <v/>
      </c>
      <c r="J323" s="59"/>
      <c r="K323" s="83"/>
      <c r="L323" s="83" t="str">
        <f t="shared" si="34"/>
        <v xml:space="preserve">
</v>
      </c>
      <c r="M323" s="83"/>
      <c r="N323" s="59"/>
      <c r="O323" s="59"/>
      <c r="P323" s="86" t="e">
        <f t="shared" si="35"/>
        <v>#VALUE!</v>
      </c>
      <c r="Q323" s="59"/>
      <c r="R323" s="59"/>
      <c r="S323" s="59"/>
      <c r="T323" s="59"/>
      <c r="U323" s="290"/>
      <c r="V323" s="290"/>
      <c r="W323" s="290"/>
      <c r="X323" s="290"/>
      <c r="Y323" s="290"/>
      <c r="Z323" s="290"/>
      <c r="AA323" s="290"/>
      <c r="AB323" s="290"/>
      <c r="AC323" s="290"/>
      <c r="AD323" s="290"/>
    </row>
    <row r="324" spans="1:30" ht="25.5">
      <c r="A324" s="291" t="str">
        <f t="shared" si="36"/>
        <v/>
      </c>
      <c r="B324" s="291" t="s">
        <v>1827</v>
      </c>
      <c r="C324" s="291" t="str">
        <f>IF(D323="","",UNIT!$B$1&amp;"-"&amp;B324)</f>
        <v/>
      </c>
      <c r="D324" s="83"/>
      <c r="E324" s="59"/>
      <c r="F324" s="82"/>
      <c r="G324" s="82"/>
      <c r="H324" s="86"/>
      <c r="I324" s="294" t="str">
        <f t="shared" si="37"/>
        <v/>
      </c>
      <c r="J324" s="59"/>
      <c r="K324" s="83"/>
      <c r="L324" s="83" t="str">
        <f t="shared" si="34"/>
        <v xml:space="preserve">
</v>
      </c>
      <c r="M324" s="83"/>
      <c r="N324" s="59"/>
      <c r="O324" s="59"/>
      <c r="P324" s="86" t="e">
        <f t="shared" si="35"/>
        <v>#VALUE!</v>
      </c>
      <c r="Q324" s="59"/>
      <c r="R324" s="59"/>
      <c r="S324" s="59"/>
      <c r="T324" s="59"/>
      <c r="U324" s="290"/>
      <c r="V324" s="290"/>
      <c r="W324" s="290"/>
      <c r="X324" s="290"/>
      <c r="Y324" s="290"/>
      <c r="Z324" s="290"/>
      <c r="AA324" s="290"/>
      <c r="AB324" s="290"/>
      <c r="AC324" s="290"/>
      <c r="AD324" s="290"/>
    </row>
    <row r="325" spans="1:30" ht="25.5">
      <c r="A325" s="291" t="str">
        <f t="shared" si="36"/>
        <v/>
      </c>
      <c r="B325" s="291" t="s">
        <v>1828</v>
      </c>
      <c r="C325" s="291" t="str">
        <f>IF(D324="","",UNIT!$B$1&amp;"-"&amp;B325)</f>
        <v/>
      </c>
      <c r="D325" s="83"/>
      <c r="E325" s="59"/>
      <c r="F325" s="82"/>
      <c r="G325" s="82"/>
      <c r="H325" s="86"/>
      <c r="I325" s="294" t="str">
        <f t="shared" si="37"/>
        <v/>
      </c>
      <c r="J325" s="59"/>
      <c r="K325" s="83"/>
      <c r="L325" s="83" t="str">
        <f t="shared" si="34"/>
        <v xml:space="preserve">
</v>
      </c>
      <c r="M325" s="83"/>
      <c r="N325" s="59"/>
      <c r="O325" s="59"/>
      <c r="P325" s="86" t="e">
        <f t="shared" si="35"/>
        <v>#VALUE!</v>
      </c>
      <c r="Q325" s="59"/>
      <c r="R325" s="59"/>
      <c r="S325" s="59"/>
      <c r="T325" s="59"/>
      <c r="U325" s="290"/>
      <c r="V325" s="290"/>
      <c r="W325" s="290"/>
      <c r="X325" s="290"/>
      <c r="Y325" s="290"/>
      <c r="Z325" s="290"/>
      <c r="AA325" s="290"/>
      <c r="AB325" s="290"/>
      <c r="AC325" s="290"/>
      <c r="AD325" s="290"/>
    </row>
    <row r="326" spans="1:30" ht="25.5">
      <c r="A326" s="291" t="str">
        <f t="shared" si="36"/>
        <v/>
      </c>
      <c r="B326" s="291" t="s">
        <v>1829</v>
      </c>
      <c r="C326" s="291" t="str">
        <f>IF(D325="","",UNIT!$B$1&amp;"-"&amp;B326)</f>
        <v/>
      </c>
      <c r="D326" s="83"/>
      <c r="E326" s="59"/>
      <c r="F326" s="82"/>
      <c r="G326" s="82"/>
      <c r="H326" s="86"/>
      <c r="I326" s="294" t="str">
        <f t="shared" si="37"/>
        <v/>
      </c>
      <c r="J326" s="59"/>
      <c r="K326" s="83"/>
      <c r="L326" s="83" t="str">
        <f t="shared" si="34"/>
        <v xml:space="preserve">
</v>
      </c>
      <c r="M326" s="83"/>
      <c r="N326" s="59"/>
      <c r="O326" s="59"/>
      <c r="P326" s="86" t="e">
        <f t="shared" si="35"/>
        <v>#VALUE!</v>
      </c>
      <c r="Q326" s="59"/>
      <c r="R326" s="59"/>
      <c r="S326" s="59"/>
      <c r="T326" s="59"/>
      <c r="U326" s="290"/>
      <c r="V326" s="290"/>
      <c r="W326" s="290"/>
      <c r="X326" s="290"/>
      <c r="Y326" s="290"/>
      <c r="Z326" s="290"/>
      <c r="AA326" s="290"/>
      <c r="AB326" s="290"/>
      <c r="AC326" s="290"/>
      <c r="AD326" s="290"/>
    </row>
    <row r="327" spans="1:30" ht="25.5">
      <c r="A327" s="291" t="str">
        <f t="shared" si="36"/>
        <v/>
      </c>
      <c r="B327" s="291" t="s">
        <v>1830</v>
      </c>
      <c r="C327" s="291" t="str">
        <f>IF(D326="","",UNIT!$B$1&amp;"-"&amp;B327)</f>
        <v/>
      </c>
      <c r="D327" s="83"/>
      <c r="E327" s="59"/>
      <c r="F327" s="82"/>
      <c r="G327" s="82"/>
      <c r="H327" s="86"/>
      <c r="I327" s="294" t="str">
        <f t="shared" si="37"/>
        <v/>
      </c>
      <c r="J327" s="59"/>
      <c r="K327" s="83"/>
      <c r="L327" s="83" t="str">
        <f t="shared" si="34"/>
        <v xml:space="preserve">
</v>
      </c>
      <c r="M327" s="83"/>
      <c r="N327" s="59"/>
      <c r="O327" s="59"/>
      <c r="P327" s="86" t="e">
        <f t="shared" si="35"/>
        <v>#VALUE!</v>
      </c>
      <c r="Q327" s="59"/>
      <c r="R327" s="59"/>
      <c r="S327" s="59"/>
      <c r="T327" s="59"/>
      <c r="U327" s="290"/>
      <c r="V327" s="290"/>
      <c r="W327" s="290"/>
      <c r="X327" s="290"/>
      <c r="Y327" s="290"/>
      <c r="Z327" s="290"/>
      <c r="AA327" s="290"/>
      <c r="AB327" s="290"/>
      <c r="AC327" s="290"/>
      <c r="AD327" s="290"/>
    </row>
    <row r="328" spans="1:30" ht="25.5">
      <c r="A328" s="291" t="str">
        <f t="shared" si="36"/>
        <v/>
      </c>
      <c r="B328" s="291" t="s">
        <v>1831</v>
      </c>
      <c r="C328" s="291" t="str">
        <f>IF(D327="","",UNIT!$B$1&amp;"-"&amp;B328)</f>
        <v/>
      </c>
      <c r="D328" s="83"/>
      <c r="E328" s="59"/>
      <c r="F328" s="82"/>
      <c r="G328" s="82"/>
      <c r="H328" s="86"/>
      <c r="I328" s="294" t="str">
        <f t="shared" si="37"/>
        <v/>
      </c>
      <c r="J328" s="59"/>
      <c r="K328" s="83"/>
      <c r="L328" s="83" t="str">
        <f t="shared" si="34"/>
        <v xml:space="preserve">
</v>
      </c>
      <c r="M328" s="83"/>
      <c r="N328" s="59"/>
      <c r="O328" s="59"/>
      <c r="P328" s="86" t="e">
        <f t="shared" si="35"/>
        <v>#VALUE!</v>
      </c>
      <c r="Q328" s="59"/>
      <c r="R328" s="59"/>
      <c r="S328" s="59"/>
      <c r="T328" s="59"/>
      <c r="U328" s="290"/>
      <c r="V328" s="290"/>
      <c r="W328" s="290"/>
      <c r="X328" s="290"/>
      <c r="Y328" s="290"/>
      <c r="Z328" s="290"/>
      <c r="AA328" s="290"/>
      <c r="AB328" s="290"/>
      <c r="AC328" s="290"/>
      <c r="AD328" s="290"/>
    </row>
    <row r="329" spans="1:30" ht="25.5">
      <c r="A329" s="291" t="str">
        <f t="shared" si="36"/>
        <v/>
      </c>
      <c r="B329" s="291" t="s">
        <v>1832</v>
      </c>
      <c r="C329" s="291" t="str">
        <f>IF(D328="","",UNIT!$B$1&amp;"-"&amp;B329)</f>
        <v/>
      </c>
      <c r="D329" s="83"/>
      <c r="E329" s="59"/>
      <c r="F329" s="82"/>
      <c r="G329" s="82"/>
      <c r="H329" s="86"/>
      <c r="I329" s="294" t="str">
        <f t="shared" si="37"/>
        <v/>
      </c>
      <c r="J329" s="59"/>
      <c r="K329" s="83"/>
      <c r="L329" s="83" t="str">
        <f t="shared" si="34"/>
        <v xml:space="preserve">
</v>
      </c>
      <c r="M329" s="83"/>
      <c r="N329" s="59"/>
      <c r="O329" s="59"/>
      <c r="P329" s="86" t="e">
        <f t="shared" si="35"/>
        <v>#VALUE!</v>
      </c>
      <c r="Q329" s="59"/>
      <c r="R329" s="59"/>
      <c r="S329" s="59"/>
      <c r="T329" s="59"/>
      <c r="U329" s="290"/>
      <c r="V329" s="290"/>
      <c r="W329" s="290"/>
      <c r="X329" s="290"/>
      <c r="Y329" s="290"/>
      <c r="Z329" s="290"/>
      <c r="AA329" s="290"/>
      <c r="AB329" s="290"/>
      <c r="AC329" s="290"/>
      <c r="AD329" s="290"/>
    </row>
    <row r="330" spans="1:30" ht="25.5">
      <c r="A330" s="291" t="str">
        <f t="shared" si="36"/>
        <v/>
      </c>
      <c r="B330" s="291" t="s">
        <v>1833</v>
      </c>
      <c r="C330" s="291" t="str">
        <f>IF(D329="","",UNIT!$B$1&amp;"-"&amp;B330)</f>
        <v/>
      </c>
      <c r="D330" s="83"/>
      <c r="E330" s="59"/>
      <c r="F330" s="82"/>
      <c r="G330" s="82"/>
      <c r="H330" s="86"/>
      <c r="I330" s="294" t="str">
        <f t="shared" si="37"/>
        <v/>
      </c>
      <c r="J330" s="59"/>
      <c r="K330" s="83"/>
      <c r="L330" s="83" t="str">
        <f t="shared" si="34"/>
        <v xml:space="preserve">
</v>
      </c>
      <c r="M330" s="83"/>
      <c r="N330" s="59"/>
      <c r="O330" s="59"/>
      <c r="P330" s="86" t="e">
        <f t="shared" si="35"/>
        <v>#VALUE!</v>
      </c>
      <c r="Q330" s="59"/>
      <c r="R330" s="59"/>
      <c r="S330" s="59"/>
      <c r="T330" s="59"/>
      <c r="U330" s="290"/>
      <c r="V330" s="290"/>
      <c r="W330" s="290"/>
      <c r="X330" s="290"/>
      <c r="Y330" s="290"/>
      <c r="Z330" s="290"/>
      <c r="AA330" s="290"/>
      <c r="AB330" s="290"/>
      <c r="AC330" s="290"/>
      <c r="AD330" s="290"/>
    </row>
    <row r="331" spans="1:30" ht="25.5">
      <c r="A331" s="291" t="str">
        <f t="shared" si="36"/>
        <v/>
      </c>
      <c r="B331" s="291" t="s">
        <v>1834</v>
      </c>
      <c r="C331" s="291" t="str">
        <f>IF(D330="","",UNIT!$B$1&amp;"-"&amp;B331)</f>
        <v/>
      </c>
      <c r="D331" s="83"/>
      <c r="E331" s="59"/>
      <c r="F331" s="82"/>
      <c r="G331" s="82"/>
      <c r="H331" s="86"/>
      <c r="I331" s="294" t="str">
        <f t="shared" si="37"/>
        <v/>
      </c>
      <c r="J331" s="59"/>
      <c r="K331" s="83"/>
      <c r="L331" s="83" t="str">
        <f t="shared" si="34"/>
        <v xml:space="preserve">
</v>
      </c>
      <c r="M331" s="83"/>
      <c r="N331" s="59"/>
      <c r="O331" s="59"/>
      <c r="P331" s="86" t="e">
        <f t="shared" si="35"/>
        <v>#VALUE!</v>
      </c>
      <c r="Q331" s="59"/>
      <c r="R331" s="59"/>
      <c r="S331" s="59"/>
      <c r="T331" s="59"/>
      <c r="U331" s="290"/>
      <c r="V331" s="290"/>
      <c r="W331" s="290"/>
      <c r="X331" s="290"/>
      <c r="Y331" s="290"/>
      <c r="Z331" s="290"/>
      <c r="AA331" s="290"/>
      <c r="AB331" s="290"/>
      <c r="AC331" s="290"/>
      <c r="AD331" s="290"/>
    </row>
    <row r="332" spans="1:30" ht="25.5">
      <c r="A332" s="291" t="str">
        <f t="shared" si="36"/>
        <v/>
      </c>
      <c r="B332" s="291" t="s">
        <v>1835</v>
      </c>
      <c r="C332" s="291" t="str">
        <f>IF(D331="","",UNIT!$B$1&amp;"-"&amp;B332)</f>
        <v/>
      </c>
      <c r="D332" s="83"/>
      <c r="E332" s="59"/>
      <c r="F332" s="82"/>
      <c r="G332" s="82"/>
      <c r="H332" s="86"/>
      <c r="I332" s="294" t="str">
        <f t="shared" si="37"/>
        <v/>
      </c>
      <c r="J332" s="59"/>
      <c r="K332" s="83"/>
      <c r="L332" s="83" t="str">
        <f t="shared" si="34"/>
        <v xml:space="preserve">
</v>
      </c>
      <c r="M332" s="83"/>
      <c r="N332" s="59"/>
      <c r="O332" s="59"/>
      <c r="P332" s="86" t="e">
        <f t="shared" si="35"/>
        <v>#VALUE!</v>
      </c>
      <c r="Q332" s="59"/>
      <c r="R332" s="59"/>
      <c r="S332" s="59"/>
      <c r="T332" s="59"/>
      <c r="U332" s="290"/>
      <c r="V332" s="290"/>
      <c r="W332" s="290"/>
      <c r="X332" s="290"/>
      <c r="Y332" s="290"/>
      <c r="Z332" s="290"/>
      <c r="AA332" s="290"/>
      <c r="AB332" s="290"/>
      <c r="AC332" s="290"/>
      <c r="AD332" s="290"/>
    </row>
    <row r="333" spans="1:30" ht="25.5">
      <c r="A333" s="291" t="str">
        <f t="shared" si="36"/>
        <v/>
      </c>
      <c r="B333" s="291" t="s">
        <v>1836</v>
      </c>
      <c r="C333" s="291" t="str">
        <f>IF(D332="","",UNIT!$B$1&amp;"-"&amp;B333)</f>
        <v/>
      </c>
      <c r="D333" s="83"/>
      <c r="E333" s="59"/>
      <c r="F333" s="82"/>
      <c r="G333" s="82"/>
      <c r="H333" s="86"/>
      <c r="I333" s="294" t="str">
        <f t="shared" si="37"/>
        <v/>
      </c>
      <c r="J333" s="59"/>
      <c r="K333" s="83"/>
      <c r="L333" s="83" t="str">
        <f t="shared" si="34"/>
        <v xml:space="preserve">
</v>
      </c>
      <c r="M333" s="83"/>
      <c r="N333" s="59"/>
      <c r="O333" s="59"/>
      <c r="P333" s="86" t="e">
        <f t="shared" si="35"/>
        <v>#VALUE!</v>
      </c>
      <c r="Q333" s="59"/>
      <c r="R333" s="59"/>
      <c r="S333" s="59"/>
      <c r="T333" s="59"/>
      <c r="U333" s="290"/>
      <c r="V333" s="290"/>
      <c r="W333" s="290"/>
      <c r="X333" s="290"/>
      <c r="Y333" s="290"/>
      <c r="Z333" s="290"/>
      <c r="AA333" s="290"/>
      <c r="AB333" s="290"/>
      <c r="AC333" s="290"/>
      <c r="AD333" s="290"/>
    </row>
    <row r="334" spans="1:30" ht="25.5">
      <c r="A334" s="291" t="str">
        <f t="shared" si="36"/>
        <v/>
      </c>
      <c r="B334" s="291" t="s">
        <v>1837</v>
      </c>
      <c r="C334" s="291" t="str">
        <f>IF(D333="","",UNIT!$B$1&amp;"-"&amp;B334)</f>
        <v/>
      </c>
      <c r="D334" s="83"/>
      <c r="E334" s="59"/>
      <c r="F334" s="82"/>
      <c r="G334" s="82"/>
      <c r="H334" s="86"/>
      <c r="I334" s="294" t="str">
        <f t="shared" si="37"/>
        <v/>
      </c>
      <c r="J334" s="59"/>
      <c r="K334" s="83"/>
      <c r="L334" s="83" t="str">
        <f t="shared" si="34"/>
        <v xml:space="preserve">
</v>
      </c>
      <c r="M334" s="83"/>
      <c r="N334" s="59"/>
      <c r="O334" s="59"/>
      <c r="P334" s="86" t="e">
        <f t="shared" si="35"/>
        <v>#VALUE!</v>
      </c>
      <c r="Q334" s="59"/>
      <c r="R334" s="59"/>
      <c r="S334" s="59"/>
      <c r="T334" s="59"/>
      <c r="U334" s="290"/>
      <c r="V334" s="290"/>
      <c r="W334" s="290"/>
      <c r="X334" s="290"/>
      <c r="Y334" s="290"/>
      <c r="Z334" s="290"/>
      <c r="AA334" s="290"/>
      <c r="AB334" s="290"/>
      <c r="AC334" s="290"/>
      <c r="AD334" s="290"/>
    </row>
    <row r="335" spans="1:30" ht="25.5">
      <c r="A335" s="291" t="str">
        <f t="shared" si="36"/>
        <v/>
      </c>
      <c r="B335" s="291" t="s">
        <v>1838</v>
      </c>
      <c r="C335" s="291" t="str">
        <f>IF(D334="","",UNIT!$B$1&amp;"-"&amp;B335)</f>
        <v/>
      </c>
      <c r="D335" s="83"/>
      <c r="E335" s="59"/>
      <c r="F335" s="82"/>
      <c r="G335" s="82"/>
      <c r="H335" s="86"/>
      <c r="I335" s="294" t="str">
        <f t="shared" si="37"/>
        <v/>
      </c>
      <c r="J335" s="59"/>
      <c r="K335" s="83"/>
      <c r="L335" s="83" t="str">
        <f t="shared" si="34"/>
        <v xml:space="preserve">
</v>
      </c>
      <c r="M335" s="83"/>
      <c r="N335" s="59"/>
      <c r="O335" s="59"/>
      <c r="P335" s="86" t="e">
        <f t="shared" si="35"/>
        <v>#VALUE!</v>
      </c>
      <c r="Q335" s="59"/>
      <c r="R335" s="59"/>
      <c r="S335" s="59"/>
      <c r="T335" s="59"/>
      <c r="U335" s="290"/>
      <c r="V335" s="290"/>
      <c r="W335" s="290"/>
      <c r="X335" s="290"/>
      <c r="Y335" s="290"/>
      <c r="Z335" s="290"/>
      <c r="AA335" s="290"/>
      <c r="AB335" s="290"/>
      <c r="AC335" s="290"/>
      <c r="AD335" s="290"/>
    </row>
    <row r="336" spans="1:30" ht="25.5">
      <c r="A336" s="291" t="str">
        <f t="shared" si="36"/>
        <v/>
      </c>
      <c r="B336" s="291" t="s">
        <v>1839</v>
      </c>
      <c r="C336" s="291" t="str">
        <f>IF(D335="","",UNIT!$B$1&amp;"-"&amp;B336)</f>
        <v/>
      </c>
      <c r="D336" s="83"/>
      <c r="E336" s="59"/>
      <c r="F336" s="82"/>
      <c r="G336" s="82"/>
      <c r="H336" s="86"/>
      <c r="I336" s="294" t="str">
        <f t="shared" si="37"/>
        <v/>
      </c>
      <c r="J336" s="59"/>
      <c r="K336" s="83"/>
      <c r="L336" s="83" t="str">
        <f t="shared" si="34"/>
        <v xml:space="preserve">
</v>
      </c>
      <c r="M336" s="83"/>
      <c r="N336" s="59"/>
      <c r="O336" s="59"/>
      <c r="P336" s="86" t="e">
        <f t="shared" si="35"/>
        <v>#VALUE!</v>
      </c>
      <c r="Q336" s="59"/>
      <c r="R336" s="59"/>
      <c r="S336" s="59"/>
      <c r="T336" s="59"/>
      <c r="U336" s="290"/>
      <c r="V336" s="290"/>
      <c r="W336" s="290"/>
      <c r="X336" s="290"/>
      <c r="Y336" s="290"/>
      <c r="Z336" s="290"/>
      <c r="AA336" s="290"/>
      <c r="AB336" s="290"/>
      <c r="AC336" s="290"/>
      <c r="AD336" s="290"/>
    </row>
    <row r="337" spans="1:30" ht="25.5">
      <c r="A337" s="291" t="str">
        <f t="shared" si="36"/>
        <v/>
      </c>
      <c r="B337" s="291" t="s">
        <v>1840</v>
      </c>
      <c r="C337" s="291" t="str">
        <f>IF(D336="","",UNIT!$B$1&amp;"-"&amp;B337)</f>
        <v/>
      </c>
      <c r="D337" s="83"/>
      <c r="E337" s="59"/>
      <c r="F337" s="82"/>
      <c r="G337" s="82"/>
      <c r="H337" s="86"/>
      <c r="I337" s="294" t="str">
        <f t="shared" si="37"/>
        <v/>
      </c>
      <c r="J337" s="59"/>
      <c r="K337" s="83"/>
      <c r="L337" s="83" t="str">
        <f t="shared" si="34"/>
        <v xml:space="preserve">
</v>
      </c>
      <c r="M337" s="83"/>
      <c r="N337" s="59"/>
      <c r="O337" s="59"/>
      <c r="P337" s="86" t="e">
        <f t="shared" si="35"/>
        <v>#VALUE!</v>
      </c>
      <c r="Q337" s="59"/>
      <c r="R337" s="59"/>
      <c r="S337" s="59"/>
      <c r="T337" s="59"/>
      <c r="U337" s="290"/>
      <c r="V337" s="290"/>
      <c r="W337" s="290"/>
      <c r="X337" s="290"/>
      <c r="Y337" s="290"/>
      <c r="Z337" s="290"/>
      <c r="AA337" s="290"/>
      <c r="AB337" s="290"/>
      <c r="AC337" s="290"/>
      <c r="AD337" s="290"/>
    </row>
    <row r="338" spans="1:30" ht="25.5">
      <c r="A338" s="291" t="str">
        <f t="shared" si="36"/>
        <v/>
      </c>
      <c r="B338" s="291" t="s">
        <v>1841</v>
      </c>
      <c r="C338" s="291" t="str">
        <f>IF(D337="","",UNIT!$B$1&amp;"-"&amp;B338)</f>
        <v/>
      </c>
      <c r="D338" s="83"/>
      <c r="E338" s="59"/>
      <c r="F338" s="82"/>
      <c r="G338" s="82"/>
      <c r="H338" s="86"/>
      <c r="I338" s="294" t="str">
        <f t="shared" si="37"/>
        <v/>
      </c>
      <c r="J338" s="59"/>
      <c r="K338" s="83"/>
      <c r="L338" s="83" t="str">
        <f t="shared" si="34"/>
        <v xml:space="preserve">
</v>
      </c>
      <c r="M338" s="83"/>
      <c r="N338" s="59"/>
      <c r="O338" s="59"/>
      <c r="P338" s="86" t="e">
        <f t="shared" si="35"/>
        <v>#VALUE!</v>
      </c>
      <c r="Q338" s="59"/>
      <c r="R338" s="59"/>
      <c r="S338" s="59"/>
      <c r="T338" s="59"/>
      <c r="U338" s="290"/>
      <c r="V338" s="290"/>
      <c r="W338" s="290"/>
      <c r="X338" s="290"/>
      <c r="Y338" s="290"/>
      <c r="Z338" s="290"/>
      <c r="AA338" s="290"/>
      <c r="AB338" s="290"/>
      <c r="AC338" s="290"/>
      <c r="AD338" s="290"/>
    </row>
    <row r="339" spans="1:30" ht="25.5">
      <c r="A339" s="291" t="str">
        <f t="shared" si="36"/>
        <v/>
      </c>
      <c r="B339" s="291" t="s">
        <v>1842</v>
      </c>
      <c r="C339" s="291" t="str">
        <f>IF(D338="","",UNIT!$B$1&amp;"-"&amp;B339)</f>
        <v/>
      </c>
      <c r="D339" s="83"/>
      <c r="E339" s="59"/>
      <c r="F339" s="82"/>
      <c r="G339" s="82"/>
      <c r="H339" s="86"/>
      <c r="I339" s="294" t="str">
        <f t="shared" si="37"/>
        <v/>
      </c>
      <c r="J339" s="59"/>
      <c r="K339" s="83"/>
      <c r="L339" s="83" t="str">
        <f t="shared" si="34"/>
        <v xml:space="preserve">
</v>
      </c>
      <c r="M339" s="83"/>
      <c r="N339" s="59"/>
      <c r="O339" s="59"/>
      <c r="P339" s="86" t="e">
        <f t="shared" si="35"/>
        <v>#VALUE!</v>
      </c>
      <c r="Q339" s="59"/>
      <c r="R339" s="59"/>
      <c r="S339" s="59"/>
      <c r="T339" s="59"/>
      <c r="U339" s="290"/>
      <c r="V339" s="290"/>
      <c r="W339" s="290"/>
      <c r="X339" s="290"/>
      <c r="Y339" s="290"/>
      <c r="Z339" s="290"/>
      <c r="AA339" s="290"/>
      <c r="AB339" s="290"/>
      <c r="AC339" s="290"/>
      <c r="AD339" s="290"/>
    </row>
    <row r="340" spans="1:30" ht="25.5">
      <c r="A340" s="291" t="str">
        <f t="shared" si="36"/>
        <v/>
      </c>
      <c r="B340" s="291" t="s">
        <v>1843</v>
      </c>
      <c r="C340" s="291" t="str">
        <f>IF(D339="","",UNIT!$B$1&amp;"-"&amp;B340)</f>
        <v/>
      </c>
      <c r="D340" s="83"/>
      <c r="E340" s="59"/>
      <c r="F340" s="82"/>
      <c r="G340" s="82"/>
      <c r="H340" s="86"/>
      <c r="I340" s="294" t="str">
        <f t="shared" si="37"/>
        <v/>
      </c>
      <c r="J340" s="59"/>
      <c r="K340" s="83"/>
      <c r="L340" s="83" t="str">
        <f t="shared" si="34"/>
        <v xml:space="preserve">
</v>
      </c>
      <c r="M340" s="83"/>
      <c r="N340" s="59"/>
      <c r="O340" s="59"/>
      <c r="P340" s="86" t="e">
        <f t="shared" si="35"/>
        <v>#VALUE!</v>
      </c>
      <c r="Q340" s="59"/>
      <c r="R340" s="59"/>
      <c r="S340" s="59"/>
      <c r="T340" s="59"/>
      <c r="U340" s="290"/>
      <c r="V340" s="290"/>
      <c r="W340" s="290"/>
      <c r="X340" s="290"/>
      <c r="Y340" s="290"/>
      <c r="Z340" s="290"/>
      <c r="AA340" s="290"/>
      <c r="AB340" s="290"/>
      <c r="AC340" s="290"/>
      <c r="AD340" s="290"/>
    </row>
    <row r="341" spans="1:30" ht="25.5">
      <c r="A341" s="291" t="str">
        <f t="shared" si="36"/>
        <v/>
      </c>
      <c r="B341" s="291" t="s">
        <v>1844</v>
      </c>
      <c r="C341" s="291" t="str">
        <f>IF(D340="","",UNIT!$B$1&amp;"-"&amp;B341)</f>
        <v/>
      </c>
      <c r="D341" s="83"/>
      <c r="E341" s="59"/>
      <c r="F341" s="82"/>
      <c r="G341" s="82"/>
      <c r="H341" s="86"/>
      <c r="I341" s="294" t="str">
        <f t="shared" si="37"/>
        <v/>
      </c>
      <c r="J341" s="59"/>
      <c r="K341" s="83"/>
      <c r="L341" s="83" t="str">
        <f t="shared" si="34"/>
        <v xml:space="preserve">
</v>
      </c>
      <c r="M341" s="83"/>
      <c r="N341" s="59"/>
      <c r="O341" s="59"/>
      <c r="P341" s="86" t="e">
        <f t="shared" si="35"/>
        <v>#VALUE!</v>
      </c>
      <c r="Q341" s="59"/>
      <c r="R341" s="59"/>
      <c r="S341" s="59"/>
      <c r="T341" s="59"/>
      <c r="U341" s="290"/>
      <c r="V341" s="290"/>
      <c r="W341" s="290"/>
      <c r="X341" s="290"/>
      <c r="Y341" s="290"/>
      <c r="Z341" s="290"/>
      <c r="AA341" s="290"/>
      <c r="AB341" s="290"/>
      <c r="AC341" s="290"/>
      <c r="AD341" s="290"/>
    </row>
    <row r="342" spans="1:30" ht="25.5">
      <c r="A342" s="291" t="str">
        <f t="shared" si="36"/>
        <v/>
      </c>
      <c r="B342" s="291" t="s">
        <v>1845</v>
      </c>
      <c r="C342" s="291" t="str">
        <f>IF(D341="","",UNIT!$B$1&amp;"-"&amp;B342)</f>
        <v/>
      </c>
      <c r="D342" s="83"/>
      <c r="E342" s="59"/>
      <c r="F342" s="82"/>
      <c r="G342" s="82"/>
      <c r="H342" s="86"/>
      <c r="I342" s="294" t="str">
        <f t="shared" si="37"/>
        <v/>
      </c>
      <c r="J342" s="59"/>
      <c r="K342" s="83"/>
      <c r="L342" s="83" t="str">
        <f t="shared" si="34"/>
        <v xml:space="preserve">
</v>
      </c>
      <c r="M342" s="83"/>
      <c r="N342" s="59"/>
      <c r="O342" s="59"/>
      <c r="P342" s="86" t="e">
        <f t="shared" si="35"/>
        <v>#VALUE!</v>
      </c>
      <c r="Q342" s="59"/>
      <c r="R342" s="59"/>
      <c r="S342" s="59"/>
      <c r="T342" s="59"/>
      <c r="U342" s="290"/>
      <c r="V342" s="290"/>
      <c r="W342" s="290"/>
      <c r="X342" s="290"/>
      <c r="Y342" s="290"/>
      <c r="Z342" s="290"/>
      <c r="AA342" s="290"/>
      <c r="AB342" s="290"/>
      <c r="AC342" s="290"/>
      <c r="AD342" s="290"/>
    </row>
    <row r="343" spans="1:30" ht="25.5">
      <c r="A343" s="291" t="str">
        <f t="shared" si="36"/>
        <v/>
      </c>
      <c r="B343" s="291" t="s">
        <v>1846</v>
      </c>
      <c r="C343" s="291" t="str">
        <f>IF(D342="","",UNIT!$B$1&amp;"-"&amp;B343)</f>
        <v/>
      </c>
      <c r="D343" s="83"/>
      <c r="E343" s="59"/>
      <c r="F343" s="82"/>
      <c r="G343" s="82"/>
      <c r="H343" s="86"/>
      <c r="I343" s="294" t="str">
        <f t="shared" si="37"/>
        <v/>
      </c>
      <c r="J343" s="59"/>
      <c r="K343" s="83"/>
      <c r="L343" s="83" t="str">
        <f t="shared" si="34"/>
        <v xml:space="preserve">
</v>
      </c>
      <c r="M343" s="83"/>
      <c r="N343" s="59"/>
      <c r="O343" s="59"/>
      <c r="P343" s="86" t="e">
        <f t="shared" si="35"/>
        <v>#VALUE!</v>
      </c>
      <c r="Q343" s="59"/>
      <c r="R343" s="59"/>
      <c r="S343" s="59"/>
      <c r="T343" s="59"/>
      <c r="U343" s="290"/>
      <c r="V343" s="290"/>
      <c r="W343" s="290"/>
      <c r="X343" s="290"/>
      <c r="Y343" s="290"/>
      <c r="Z343" s="290"/>
      <c r="AA343" s="290"/>
      <c r="AB343" s="290"/>
      <c r="AC343" s="290"/>
      <c r="AD343" s="290"/>
    </row>
    <row r="344" spans="1:30" ht="25.5">
      <c r="A344" s="291" t="str">
        <f t="shared" si="36"/>
        <v/>
      </c>
      <c r="B344" s="291" t="s">
        <v>1847</v>
      </c>
      <c r="C344" s="291" t="str">
        <f>IF(D343="","",UNIT!$B$1&amp;"-"&amp;B344)</f>
        <v/>
      </c>
      <c r="D344" s="83"/>
      <c r="E344" s="59"/>
      <c r="F344" s="82"/>
      <c r="G344" s="82"/>
      <c r="H344" s="86"/>
      <c r="I344" s="294" t="str">
        <f t="shared" si="37"/>
        <v/>
      </c>
      <c r="J344" s="59"/>
      <c r="K344" s="83"/>
      <c r="L344" s="83" t="str">
        <f t="shared" si="34"/>
        <v xml:space="preserve">
</v>
      </c>
      <c r="M344" s="83"/>
      <c r="N344" s="59"/>
      <c r="O344" s="59"/>
      <c r="P344" s="86" t="e">
        <f t="shared" si="35"/>
        <v>#VALUE!</v>
      </c>
      <c r="Q344" s="59"/>
      <c r="R344" s="59"/>
      <c r="S344" s="59"/>
      <c r="T344" s="59"/>
      <c r="U344" s="290"/>
      <c r="V344" s="290"/>
      <c r="W344" s="290"/>
      <c r="X344" s="290"/>
      <c r="Y344" s="290"/>
      <c r="Z344" s="290"/>
      <c r="AA344" s="290"/>
      <c r="AB344" s="290"/>
      <c r="AC344" s="290"/>
      <c r="AD344" s="290"/>
    </row>
    <row r="345" spans="1:30" ht="25.5">
      <c r="A345" s="291" t="str">
        <f t="shared" si="36"/>
        <v/>
      </c>
      <c r="B345" s="291" t="s">
        <v>1848</v>
      </c>
      <c r="C345" s="291" t="str">
        <f>IF(D344="","",UNIT!$B$1&amp;"-"&amp;B345)</f>
        <v/>
      </c>
      <c r="D345" s="83"/>
      <c r="E345" s="59"/>
      <c r="F345" s="82"/>
      <c r="G345" s="82"/>
      <c r="H345" s="86"/>
      <c r="I345" s="294" t="str">
        <f t="shared" si="37"/>
        <v/>
      </c>
      <c r="J345" s="59"/>
      <c r="K345" s="83"/>
      <c r="L345" s="83" t="str">
        <f t="shared" si="34"/>
        <v xml:space="preserve">
</v>
      </c>
      <c r="M345" s="83"/>
      <c r="N345" s="59"/>
      <c r="O345" s="59"/>
      <c r="P345" s="86" t="e">
        <f t="shared" si="35"/>
        <v>#VALUE!</v>
      </c>
      <c r="Q345" s="59"/>
      <c r="R345" s="59"/>
      <c r="S345" s="59"/>
      <c r="T345" s="59"/>
      <c r="U345" s="290"/>
      <c r="V345" s="290"/>
      <c r="W345" s="290"/>
      <c r="X345" s="290"/>
      <c r="Y345" s="290"/>
      <c r="Z345" s="290"/>
      <c r="AA345" s="290"/>
      <c r="AB345" s="290"/>
      <c r="AC345" s="290"/>
      <c r="AD345" s="290"/>
    </row>
    <row r="346" spans="1:30" ht="25.5">
      <c r="A346" s="291" t="str">
        <f t="shared" si="36"/>
        <v/>
      </c>
      <c r="B346" s="291" t="s">
        <v>1849</v>
      </c>
      <c r="C346" s="291" t="str">
        <f>IF(D345="","",UNIT!$B$1&amp;"-"&amp;B346)</f>
        <v/>
      </c>
      <c r="D346" s="83"/>
      <c r="E346" s="59"/>
      <c r="F346" s="82"/>
      <c r="G346" s="82"/>
      <c r="H346" s="86"/>
      <c r="I346" s="294" t="str">
        <f t="shared" si="37"/>
        <v/>
      </c>
      <c r="J346" s="59"/>
      <c r="K346" s="83"/>
      <c r="L346" s="83" t="str">
        <f t="shared" si="34"/>
        <v xml:space="preserve">
</v>
      </c>
      <c r="M346" s="83"/>
      <c r="N346" s="59"/>
      <c r="O346" s="59"/>
      <c r="P346" s="86" t="e">
        <f t="shared" si="35"/>
        <v>#VALUE!</v>
      </c>
      <c r="Q346" s="59"/>
      <c r="R346" s="59"/>
      <c r="S346" s="59"/>
      <c r="T346" s="59"/>
      <c r="U346" s="290"/>
      <c r="V346" s="290"/>
      <c r="W346" s="290"/>
      <c r="X346" s="290"/>
      <c r="Y346" s="290"/>
      <c r="Z346" s="290"/>
      <c r="AA346" s="290"/>
      <c r="AB346" s="290"/>
      <c r="AC346" s="290"/>
      <c r="AD346" s="290"/>
    </row>
    <row r="347" spans="1:30" ht="25.5">
      <c r="A347" s="291" t="str">
        <f t="shared" si="36"/>
        <v/>
      </c>
      <c r="B347" s="291" t="s">
        <v>1850</v>
      </c>
      <c r="C347" s="291" t="str">
        <f>IF(D346="","",UNIT!$B$1&amp;"-"&amp;B347)</f>
        <v/>
      </c>
      <c r="D347" s="83"/>
      <c r="E347" s="59"/>
      <c r="F347" s="82"/>
      <c r="G347" s="82"/>
      <c r="H347" s="86"/>
      <c r="I347" s="294" t="str">
        <f t="shared" si="37"/>
        <v/>
      </c>
      <c r="J347" s="59"/>
      <c r="K347" s="83"/>
      <c r="L347" s="83" t="str">
        <f t="shared" si="34"/>
        <v xml:space="preserve">
</v>
      </c>
      <c r="M347" s="83"/>
      <c r="N347" s="59"/>
      <c r="O347" s="59"/>
      <c r="P347" s="86" t="e">
        <f t="shared" si="35"/>
        <v>#VALUE!</v>
      </c>
      <c r="Q347" s="59"/>
      <c r="R347" s="59"/>
      <c r="S347" s="59"/>
      <c r="T347" s="59"/>
      <c r="U347" s="290"/>
      <c r="V347" s="290"/>
      <c r="W347" s="290"/>
      <c r="X347" s="290"/>
      <c r="Y347" s="290"/>
      <c r="Z347" s="290"/>
      <c r="AA347" s="290"/>
      <c r="AB347" s="290"/>
      <c r="AC347" s="290"/>
      <c r="AD347" s="290"/>
    </row>
    <row r="348" spans="1:30" ht="25.5">
      <c r="A348" s="291" t="str">
        <f t="shared" si="36"/>
        <v/>
      </c>
      <c r="B348" s="291" t="s">
        <v>1851</v>
      </c>
      <c r="C348" s="291" t="str">
        <f>IF(D347="","",UNIT!$B$1&amp;"-"&amp;B348)</f>
        <v/>
      </c>
      <c r="D348" s="83"/>
      <c r="E348" s="59"/>
      <c r="F348" s="82"/>
      <c r="G348" s="82"/>
      <c r="H348" s="86"/>
      <c r="I348" s="294" t="str">
        <f t="shared" si="37"/>
        <v/>
      </c>
      <c r="J348" s="59"/>
      <c r="K348" s="83"/>
      <c r="L348" s="83" t="str">
        <f t="shared" si="34"/>
        <v xml:space="preserve">
</v>
      </c>
      <c r="M348" s="83"/>
      <c r="N348" s="59"/>
      <c r="O348" s="59"/>
      <c r="P348" s="86" t="e">
        <f t="shared" si="35"/>
        <v>#VALUE!</v>
      </c>
      <c r="Q348" s="59"/>
      <c r="R348" s="59"/>
      <c r="S348" s="59"/>
      <c r="T348" s="59"/>
      <c r="U348" s="290"/>
      <c r="V348" s="290"/>
      <c r="W348" s="290"/>
      <c r="X348" s="290"/>
      <c r="Y348" s="290"/>
      <c r="Z348" s="290"/>
      <c r="AA348" s="290"/>
      <c r="AB348" s="290"/>
      <c r="AC348" s="290"/>
      <c r="AD348" s="290"/>
    </row>
    <row r="349" spans="1:30" ht="25.5">
      <c r="A349" s="291" t="str">
        <f t="shared" si="36"/>
        <v/>
      </c>
      <c r="B349" s="291" t="s">
        <v>1852</v>
      </c>
      <c r="C349" s="291" t="str">
        <f>IF(D348="","",UNIT!$B$1&amp;"-"&amp;B349)</f>
        <v/>
      </c>
      <c r="D349" s="83"/>
      <c r="E349" s="59"/>
      <c r="F349" s="82"/>
      <c r="G349" s="82"/>
      <c r="H349" s="86"/>
      <c r="I349" s="294" t="str">
        <f t="shared" si="37"/>
        <v/>
      </c>
      <c r="J349" s="59"/>
      <c r="K349" s="83"/>
      <c r="L349" s="83" t="str">
        <f t="shared" si="34"/>
        <v xml:space="preserve">
</v>
      </c>
      <c r="M349" s="83"/>
      <c r="N349" s="59"/>
      <c r="O349" s="59"/>
      <c r="P349" s="86" t="e">
        <f t="shared" si="35"/>
        <v>#VALUE!</v>
      </c>
      <c r="Q349" s="59"/>
      <c r="R349" s="59"/>
      <c r="S349" s="59"/>
      <c r="T349" s="59"/>
      <c r="U349" s="290"/>
      <c r="V349" s="290"/>
      <c r="W349" s="290"/>
      <c r="X349" s="290"/>
      <c r="Y349" s="290"/>
      <c r="Z349" s="290"/>
      <c r="AA349" s="290"/>
      <c r="AB349" s="290"/>
      <c r="AC349" s="290"/>
      <c r="AD349" s="290"/>
    </row>
    <row r="350" spans="1:30" ht="25.5">
      <c r="A350" s="291" t="str">
        <f t="shared" si="36"/>
        <v/>
      </c>
      <c r="B350" s="291" t="s">
        <v>1853</v>
      </c>
      <c r="C350" s="291" t="str">
        <f>IF(D349="","",UNIT!$B$1&amp;"-"&amp;B350)</f>
        <v/>
      </c>
      <c r="D350" s="83"/>
      <c r="E350" s="59"/>
      <c r="F350" s="82"/>
      <c r="G350" s="82"/>
      <c r="H350" s="86"/>
      <c r="I350" s="294" t="str">
        <f t="shared" si="37"/>
        <v/>
      </c>
      <c r="J350" s="59"/>
      <c r="K350" s="83"/>
      <c r="L350" s="83" t="str">
        <f t="shared" si="34"/>
        <v xml:space="preserve">
</v>
      </c>
      <c r="M350" s="83"/>
      <c r="N350" s="59"/>
      <c r="O350" s="59"/>
      <c r="P350" s="86" t="e">
        <f t="shared" si="35"/>
        <v>#VALUE!</v>
      </c>
      <c r="Q350" s="59"/>
      <c r="R350" s="59"/>
      <c r="S350" s="59"/>
      <c r="T350" s="59"/>
      <c r="U350" s="290"/>
      <c r="V350" s="290"/>
      <c r="W350" s="290"/>
      <c r="X350" s="290"/>
      <c r="Y350" s="290"/>
      <c r="Z350" s="290"/>
      <c r="AA350" s="290"/>
      <c r="AB350" s="290"/>
      <c r="AC350" s="290"/>
      <c r="AD350" s="290"/>
    </row>
    <row r="351" spans="1:30" ht="25.5">
      <c r="A351" s="291" t="str">
        <f t="shared" si="36"/>
        <v/>
      </c>
      <c r="B351" s="291" t="s">
        <v>1854</v>
      </c>
      <c r="C351" s="291" t="str">
        <f>IF(D350="","",UNIT!$B$1&amp;"-"&amp;B351)</f>
        <v/>
      </c>
      <c r="D351" s="83"/>
      <c r="E351" s="59"/>
      <c r="F351" s="82"/>
      <c r="G351" s="82"/>
      <c r="H351" s="86"/>
      <c r="I351" s="294" t="str">
        <f t="shared" si="37"/>
        <v/>
      </c>
      <c r="J351" s="59"/>
      <c r="K351" s="83"/>
      <c r="L351" s="83" t="str">
        <f t="shared" si="34"/>
        <v xml:space="preserve">
</v>
      </c>
      <c r="M351" s="83"/>
      <c r="N351" s="59"/>
      <c r="O351" s="59"/>
      <c r="P351" s="86" t="e">
        <f t="shared" si="35"/>
        <v>#VALUE!</v>
      </c>
      <c r="Q351" s="59"/>
      <c r="R351" s="59"/>
      <c r="S351" s="59"/>
      <c r="T351" s="59"/>
      <c r="U351" s="290"/>
      <c r="V351" s="290"/>
      <c r="W351" s="290"/>
      <c r="X351" s="290"/>
      <c r="Y351" s="290"/>
      <c r="Z351" s="290"/>
      <c r="AA351" s="290"/>
      <c r="AB351" s="290"/>
      <c r="AC351" s="290"/>
      <c r="AD351" s="290"/>
    </row>
    <row r="352" spans="1:30" ht="25.5">
      <c r="A352" s="291" t="str">
        <f t="shared" si="36"/>
        <v/>
      </c>
      <c r="B352" s="291" t="s">
        <v>1855</v>
      </c>
      <c r="C352" s="291" t="str">
        <f>IF(D351="","",UNIT!$B$1&amp;"-"&amp;B352)</f>
        <v/>
      </c>
      <c r="D352" s="83"/>
      <c r="E352" s="59"/>
      <c r="F352" s="82"/>
      <c r="G352" s="82"/>
      <c r="H352" s="86"/>
      <c r="I352" s="294" t="str">
        <f t="shared" si="37"/>
        <v/>
      </c>
      <c r="J352" s="59"/>
      <c r="K352" s="83"/>
      <c r="L352" s="83" t="str">
        <f t="shared" si="34"/>
        <v xml:space="preserve">
</v>
      </c>
      <c r="M352" s="83"/>
      <c r="N352" s="59"/>
      <c r="O352" s="59"/>
      <c r="P352" s="86" t="e">
        <f t="shared" si="35"/>
        <v>#VALUE!</v>
      </c>
      <c r="Q352" s="59"/>
      <c r="R352" s="59"/>
      <c r="S352" s="59"/>
      <c r="T352" s="59"/>
      <c r="U352" s="290"/>
      <c r="V352" s="290"/>
      <c r="W352" s="290"/>
      <c r="X352" s="290"/>
      <c r="Y352" s="290"/>
      <c r="Z352" s="290"/>
      <c r="AA352" s="290"/>
      <c r="AB352" s="290"/>
      <c r="AC352" s="290"/>
      <c r="AD352" s="290"/>
    </row>
    <row r="353" spans="1:30" ht="25.5">
      <c r="A353" s="291" t="str">
        <f t="shared" si="36"/>
        <v/>
      </c>
      <c r="B353" s="291" t="s">
        <v>1856</v>
      </c>
      <c r="C353" s="291" t="str">
        <f>IF(D352="","",UNIT!$B$1&amp;"-"&amp;B353)</f>
        <v/>
      </c>
      <c r="D353" s="83"/>
      <c r="E353" s="59"/>
      <c r="F353" s="82"/>
      <c r="G353" s="82"/>
      <c r="H353" s="86"/>
      <c r="I353" s="294" t="str">
        <f t="shared" si="37"/>
        <v/>
      </c>
      <c r="J353" s="59"/>
      <c r="K353" s="83"/>
      <c r="L353" s="83" t="str">
        <f t="shared" si="34"/>
        <v xml:space="preserve">
</v>
      </c>
      <c r="M353" s="83"/>
      <c r="N353" s="59"/>
      <c r="O353" s="59"/>
      <c r="P353" s="86" t="e">
        <f t="shared" si="35"/>
        <v>#VALUE!</v>
      </c>
      <c r="Q353" s="59"/>
      <c r="R353" s="59"/>
      <c r="S353" s="59"/>
      <c r="T353" s="59"/>
      <c r="U353" s="290"/>
      <c r="V353" s="290"/>
      <c r="W353" s="290"/>
      <c r="X353" s="290"/>
      <c r="Y353" s="290"/>
      <c r="Z353" s="290"/>
      <c r="AA353" s="290"/>
      <c r="AB353" s="290"/>
      <c r="AC353" s="290"/>
      <c r="AD353" s="290"/>
    </row>
    <row r="354" spans="1:30" ht="25.5">
      <c r="A354" s="291" t="str">
        <f t="shared" si="36"/>
        <v/>
      </c>
      <c r="B354" s="291" t="s">
        <v>1857</v>
      </c>
      <c r="C354" s="291" t="str">
        <f>IF(D353="","",UNIT!$B$1&amp;"-"&amp;B354)</f>
        <v/>
      </c>
      <c r="D354" s="83"/>
      <c r="E354" s="59"/>
      <c r="F354" s="82"/>
      <c r="G354" s="82"/>
      <c r="H354" s="86"/>
      <c r="I354" s="294" t="str">
        <f t="shared" si="37"/>
        <v/>
      </c>
      <c r="J354" s="59"/>
      <c r="K354" s="83"/>
      <c r="L354" s="83" t="str">
        <f t="shared" si="34"/>
        <v xml:space="preserve">
</v>
      </c>
      <c r="M354" s="83"/>
      <c r="N354" s="59"/>
      <c r="O354" s="59"/>
      <c r="P354" s="86" t="e">
        <f t="shared" si="35"/>
        <v>#VALUE!</v>
      </c>
      <c r="Q354" s="59"/>
      <c r="R354" s="59"/>
      <c r="S354" s="59"/>
      <c r="T354" s="59"/>
      <c r="U354" s="290"/>
      <c r="V354" s="290"/>
      <c r="W354" s="290"/>
      <c r="X354" s="290"/>
      <c r="Y354" s="290"/>
      <c r="Z354" s="290"/>
      <c r="AA354" s="290"/>
      <c r="AB354" s="290"/>
      <c r="AC354" s="290"/>
      <c r="AD354" s="290"/>
    </row>
    <row r="355" spans="1:30" ht="25.5">
      <c r="A355" s="291" t="str">
        <f t="shared" si="36"/>
        <v/>
      </c>
      <c r="B355" s="291" t="s">
        <v>1858</v>
      </c>
      <c r="C355" s="291" t="str">
        <f>IF(D354="","",UNIT!$B$1&amp;"-"&amp;B355)</f>
        <v/>
      </c>
      <c r="D355" s="83"/>
      <c r="E355" s="59"/>
      <c r="F355" s="82"/>
      <c r="G355" s="82"/>
      <c r="H355" s="86"/>
      <c r="I355" s="294" t="str">
        <f t="shared" si="37"/>
        <v/>
      </c>
      <c r="J355" s="59"/>
      <c r="K355" s="83"/>
      <c r="L355" s="83" t="str">
        <f t="shared" si="34"/>
        <v xml:space="preserve">
</v>
      </c>
      <c r="M355" s="83"/>
      <c r="N355" s="59"/>
      <c r="O355" s="59"/>
      <c r="P355" s="86" t="e">
        <f t="shared" si="35"/>
        <v>#VALUE!</v>
      </c>
      <c r="Q355" s="59"/>
      <c r="R355" s="59"/>
      <c r="S355" s="59"/>
      <c r="T355" s="59"/>
      <c r="U355" s="290"/>
      <c r="V355" s="290"/>
      <c r="W355" s="290"/>
      <c r="X355" s="290"/>
      <c r="Y355" s="290"/>
      <c r="Z355" s="290"/>
      <c r="AA355" s="290"/>
      <c r="AB355" s="290"/>
      <c r="AC355" s="290"/>
      <c r="AD355" s="290"/>
    </row>
    <row r="356" spans="1:30" ht="25.5">
      <c r="A356" s="291" t="str">
        <f t="shared" si="36"/>
        <v/>
      </c>
      <c r="B356" s="291" t="s">
        <v>1859</v>
      </c>
      <c r="C356" s="291" t="str">
        <f>IF(D355="","",UNIT!$B$1&amp;"-"&amp;B356)</f>
        <v/>
      </c>
      <c r="D356" s="83"/>
      <c r="E356" s="59"/>
      <c r="F356" s="82"/>
      <c r="G356" s="82"/>
      <c r="H356" s="86"/>
      <c r="I356" s="294" t="str">
        <f t="shared" si="37"/>
        <v/>
      </c>
      <c r="J356" s="59"/>
      <c r="K356" s="83"/>
      <c r="L356" s="83" t="str">
        <f t="shared" si="34"/>
        <v xml:space="preserve">
</v>
      </c>
      <c r="M356" s="83"/>
      <c r="N356" s="59"/>
      <c r="O356" s="59"/>
      <c r="P356" s="86" t="e">
        <f t="shared" si="35"/>
        <v>#VALUE!</v>
      </c>
      <c r="Q356" s="59"/>
      <c r="R356" s="59"/>
      <c r="S356" s="59"/>
      <c r="T356" s="59"/>
      <c r="U356" s="290"/>
      <c r="V356" s="290"/>
      <c r="W356" s="290"/>
      <c r="X356" s="290"/>
      <c r="Y356" s="290"/>
      <c r="Z356" s="290"/>
      <c r="AA356" s="290"/>
      <c r="AB356" s="290"/>
      <c r="AC356" s="290"/>
      <c r="AD356" s="290"/>
    </row>
    <row r="357" spans="1:30" ht="25.5">
      <c r="A357" s="291" t="str">
        <f t="shared" si="36"/>
        <v/>
      </c>
      <c r="B357" s="291" t="s">
        <v>1860</v>
      </c>
      <c r="C357" s="291" t="str">
        <f>IF(D356="","",UNIT!$B$1&amp;"-"&amp;B357)</f>
        <v/>
      </c>
      <c r="D357" s="83"/>
      <c r="E357" s="59"/>
      <c r="F357" s="82"/>
      <c r="G357" s="82"/>
      <c r="H357" s="86"/>
      <c r="I357" s="294" t="str">
        <f t="shared" si="37"/>
        <v/>
      </c>
      <c r="J357" s="59"/>
      <c r="K357" s="83"/>
      <c r="L357" s="83" t="str">
        <f t="shared" si="34"/>
        <v xml:space="preserve">
</v>
      </c>
      <c r="M357" s="83"/>
      <c r="N357" s="59"/>
      <c r="O357" s="59"/>
      <c r="P357" s="86" t="e">
        <f t="shared" si="35"/>
        <v>#VALUE!</v>
      </c>
      <c r="Q357" s="59"/>
      <c r="R357" s="59"/>
      <c r="S357" s="59"/>
      <c r="T357" s="59"/>
      <c r="U357" s="290"/>
      <c r="V357" s="290"/>
      <c r="W357" s="290"/>
      <c r="X357" s="290"/>
      <c r="Y357" s="290"/>
      <c r="Z357" s="290"/>
      <c r="AA357" s="290"/>
      <c r="AB357" s="290"/>
      <c r="AC357" s="290"/>
      <c r="AD357" s="290"/>
    </row>
    <row r="358" spans="1:30" ht="25.5">
      <c r="A358" s="291" t="str">
        <f t="shared" si="36"/>
        <v/>
      </c>
      <c r="B358" s="291" t="s">
        <v>1861</v>
      </c>
      <c r="C358" s="291" t="str">
        <f>IF(D357="","",UNIT!$B$1&amp;"-"&amp;B358)</f>
        <v/>
      </c>
      <c r="D358" s="83"/>
      <c r="E358" s="59"/>
      <c r="F358" s="82"/>
      <c r="G358" s="82"/>
      <c r="H358" s="86"/>
      <c r="I358" s="294" t="str">
        <f t="shared" si="37"/>
        <v/>
      </c>
      <c r="J358" s="59"/>
      <c r="K358" s="83"/>
      <c r="L358" s="83" t="str">
        <f t="shared" si="34"/>
        <v xml:space="preserve">
</v>
      </c>
      <c r="M358" s="83"/>
      <c r="N358" s="59"/>
      <c r="O358" s="59"/>
      <c r="P358" s="86" t="e">
        <f t="shared" si="35"/>
        <v>#VALUE!</v>
      </c>
      <c r="Q358" s="59"/>
      <c r="R358" s="59"/>
      <c r="S358" s="59"/>
      <c r="T358" s="59"/>
      <c r="U358" s="290"/>
      <c r="V358" s="290"/>
      <c r="W358" s="290"/>
      <c r="X358" s="290"/>
      <c r="Y358" s="290"/>
      <c r="Z358" s="290"/>
      <c r="AA358" s="290"/>
      <c r="AB358" s="290"/>
      <c r="AC358" s="290"/>
      <c r="AD358" s="290"/>
    </row>
    <row r="359" spans="1:30" ht="25.5">
      <c r="A359" s="291" t="str">
        <f t="shared" si="36"/>
        <v/>
      </c>
      <c r="B359" s="291" t="s">
        <v>1862</v>
      </c>
      <c r="C359" s="291" t="str">
        <f>IF(D358="","",UNIT!$B$1&amp;"-"&amp;B359)</f>
        <v/>
      </c>
      <c r="D359" s="83"/>
      <c r="E359" s="59"/>
      <c r="F359" s="82"/>
      <c r="G359" s="82"/>
      <c r="H359" s="86"/>
      <c r="I359" s="294" t="str">
        <f t="shared" si="37"/>
        <v/>
      </c>
      <c r="J359" s="59"/>
      <c r="K359" s="83"/>
      <c r="L359" s="83" t="str">
        <f t="shared" si="34"/>
        <v xml:space="preserve">
</v>
      </c>
      <c r="M359" s="83"/>
      <c r="N359" s="59"/>
      <c r="O359" s="59"/>
      <c r="P359" s="86" t="e">
        <f t="shared" si="35"/>
        <v>#VALUE!</v>
      </c>
      <c r="Q359" s="59"/>
      <c r="R359" s="59"/>
      <c r="S359" s="59"/>
      <c r="T359" s="59"/>
      <c r="U359" s="290"/>
      <c r="V359" s="290"/>
      <c r="W359" s="290"/>
      <c r="X359" s="290"/>
      <c r="Y359" s="290"/>
      <c r="Z359" s="290"/>
      <c r="AA359" s="290"/>
      <c r="AB359" s="290"/>
      <c r="AC359" s="290"/>
      <c r="AD359" s="290"/>
    </row>
    <row r="360" spans="1:30" ht="25.5">
      <c r="A360" s="291" t="str">
        <f t="shared" si="36"/>
        <v/>
      </c>
      <c r="B360" s="291" t="s">
        <v>1863</v>
      </c>
      <c r="C360" s="291" t="str">
        <f>IF(D359="","",UNIT!$B$1&amp;"-"&amp;B360)</f>
        <v/>
      </c>
      <c r="D360" s="83"/>
      <c r="E360" s="59"/>
      <c r="F360" s="82"/>
      <c r="G360" s="82"/>
      <c r="H360" s="86"/>
      <c r="I360" s="294" t="str">
        <f t="shared" si="37"/>
        <v/>
      </c>
      <c r="J360" s="59"/>
      <c r="K360" s="83"/>
      <c r="L360" s="83" t="str">
        <f t="shared" si="34"/>
        <v xml:space="preserve">
</v>
      </c>
      <c r="M360" s="83"/>
      <c r="N360" s="59"/>
      <c r="O360" s="59"/>
      <c r="P360" s="86" t="e">
        <f t="shared" si="35"/>
        <v>#VALUE!</v>
      </c>
      <c r="Q360" s="59"/>
      <c r="R360" s="59"/>
      <c r="S360" s="59"/>
      <c r="T360" s="59"/>
      <c r="U360" s="290"/>
      <c r="V360" s="290"/>
      <c r="W360" s="290"/>
      <c r="X360" s="290"/>
      <c r="Y360" s="290"/>
      <c r="Z360" s="290"/>
      <c r="AA360" s="290"/>
      <c r="AB360" s="290"/>
      <c r="AC360" s="290"/>
      <c r="AD360" s="290"/>
    </row>
    <row r="361" spans="1:30" ht="25.5">
      <c r="A361" s="291" t="str">
        <f t="shared" si="36"/>
        <v/>
      </c>
      <c r="B361" s="291" t="s">
        <v>1864</v>
      </c>
      <c r="C361" s="291" t="str">
        <f>IF(D360="","",UNIT!$B$1&amp;"-"&amp;B361)</f>
        <v/>
      </c>
      <c r="D361" s="83"/>
      <c r="E361" s="59"/>
      <c r="F361" s="82"/>
      <c r="G361" s="82"/>
      <c r="H361" s="86"/>
      <c r="I361" s="294" t="str">
        <f t="shared" si="37"/>
        <v/>
      </c>
      <c r="J361" s="59"/>
      <c r="K361" s="83"/>
      <c r="L361" s="83" t="str">
        <f t="shared" si="34"/>
        <v xml:space="preserve">
</v>
      </c>
      <c r="M361" s="83"/>
      <c r="N361" s="59"/>
      <c r="O361" s="59"/>
      <c r="P361" s="86" t="e">
        <f t="shared" si="35"/>
        <v>#VALUE!</v>
      </c>
      <c r="Q361" s="59"/>
      <c r="R361" s="59"/>
      <c r="S361" s="59"/>
      <c r="T361" s="59"/>
      <c r="U361" s="290"/>
      <c r="V361" s="290"/>
      <c r="W361" s="290"/>
      <c r="X361" s="290"/>
      <c r="Y361" s="290"/>
      <c r="Z361" s="290"/>
      <c r="AA361" s="290"/>
      <c r="AB361" s="290"/>
      <c r="AC361" s="290"/>
      <c r="AD361" s="290"/>
    </row>
    <row r="362" spans="1:30" ht="25.5">
      <c r="A362" s="291" t="str">
        <f t="shared" si="36"/>
        <v/>
      </c>
      <c r="B362" s="291" t="s">
        <v>1865</v>
      </c>
      <c r="C362" s="291" t="str">
        <f>IF(D361="","",UNIT!$B$1&amp;"-"&amp;B362)</f>
        <v/>
      </c>
      <c r="D362" s="83"/>
      <c r="E362" s="59"/>
      <c r="F362" s="82"/>
      <c r="G362" s="82"/>
      <c r="H362" s="86"/>
      <c r="I362" s="294" t="str">
        <f t="shared" si="37"/>
        <v/>
      </c>
      <c r="J362" s="59"/>
      <c r="K362" s="83"/>
      <c r="L362" s="83" t="str">
        <f t="shared" si="34"/>
        <v xml:space="preserve">
</v>
      </c>
      <c r="M362" s="83"/>
      <c r="N362" s="59"/>
      <c r="O362" s="59"/>
      <c r="P362" s="86" t="e">
        <f t="shared" si="35"/>
        <v>#VALUE!</v>
      </c>
      <c r="Q362" s="59"/>
      <c r="R362" s="59"/>
      <c r="S362" s="59"/>
      <c r="T362" s="59"/>
      <c r="U362" s="290"/>
      <c r="V362" s="290"/>
      <c r="W362" s="290"/>
      <c r="X362" s="290"/>
      <c r="Y362" s="290"/>
      <c r="Z362" s="290"/>
      <c r="AA362" s="290"/>
      <c r="AB362" s="290"/>
      <c r="AC362" s="290"/>
      <c r="AD362" s="290"/>
    </row>
    <row r="363" spans="1:30" ht="25.5">
      <c r="A363" s="291" t="str">
        <f t="shared" si="36"/>
        <v/>
      </c>
      <c r="B363" s="291" t="s">
        <v>1866</v>
      </c>
      <c r="C363" s="291" t="str">
        <f>IF(D362="","",UNIT!$B$1&amp;"-"&amp;B363)</f>
        <v/>
      </c>
      <c r="D363" s="83"/>
      <c r="E363" s="59"/>
      <c r="F363" s="82"/>
      <c r="G363" s="82"/>
      <c r="H363" s="86"/>
      <c r="I363" s="294" t="str">
        <f t="shared" si="37"/>
        <v/>
      </c>
      <c r="J363" s="59"/>
      <c r="K363" s="83"/>
      <c r="L363" s="83" t="str">
        <f t="shared" si="34"/>
        <v xml:space="preserve">
</v>
      </c>
      <c r="M363" s="83"/>
      <c r="N363" s="59"/>
      <c r="O363" s="59"/>
      <c r="P363" s="86" t="e">
        <f t="shared" si="35"/>
        <v>#VALUE!</v>
      </c>
      <c r="Q363" s="59"/>
      <c r="R363" s="59"/>
      <c r="S363" s="59"/>
      <c r="T363" s="59"/>
      <c r="U363" s="290"/>
      <c r="V363" s="290"/>
      <c r="W363" s="290"/>
      <c r="X363" s="290"/>
      <c r="Y363" s="290"/>
      <c r="Z363" s="290"/>
      <c r="AA363" s="290"/>
      <c r="AB363" s="290"/>
      <c r="AC363" s="290"/>
      <c r="AD363" s="290"/>
    </row>
    <row r="364" spans="1:30" ht="25.5">
      <c r="A364" s="291" t="str">
        <f t="shared" si="36"/>
        <v/>
      </c>
      <c r="B364" s="291" t="s">
        <v>1867</v>
      </c>
      <c r="C364" s="291" t="str">
        <f>IF(D363="","",UNIT!$B$1&amp;"-"&amp;B364)</f>
        <v/>
      </c>
      <c r="D364" s="83"/>
      <c r="E364" s="59"/>
      <c r="F364" s="82"/>
      <c r="G364" s="82"/>
      <c r="H364" s="86"/>
      <c r="I364" s="294" t="str">
        <f t="shared" si="37"/>
        <v/>
      </c>
      <c r="J364" s="59"/>
      <c r="K364" s="83"/>
      <c r="L364" s="83" t="str">
        <f t="shared" si="34"/>
        <v xml:space="preserve">
</v>
      </c>
      <c r="M364" s="83"/>
      <c r="N364" s="59"/>
      <c r="O364" s="59"/>
      <c r="P364" s="86" t="e">
        <f t="shared" si="35"/>
        <v>#VALUE!</v>
      </c>
      <c r="Q364" s="59"/>
      <c r="R364" s="59"/>
      <c r="S364" s="59"/>
      <c r="T364" s="59"/>
      <c r="U364" s="290"/>
      <c r="V364" s="290"/>
      <c r="W364" s="290"/>
      <c r="X364" s="290"/>
      <c r="Y364" s="290"/>
      <c r="Z364" s="290"/>
      <c r="AA364" s="290"/>
      <c r="AB364" s="290"/>
      <c r="AC364" s="290"/>
      <c r="AD364" s="290"/>
    </row>
    <row r="365" spans="1:30" ht="25.5">
      <c r="A365" s="291" t="str">
        <f t="shared" si="36"/>
        <v/>
      </c>
      <c r="B365" s="291" t="s">
        <v>1868</v>
      </c>
      <c r="C365" s="291" t="str">
        <f>IF(D364="","",UNIT!$B$1&amp;"-"&amp;B365)</f>
        <v/>
      </c>
      <c r="D365" s="83"/>
      <c r="E365" s="59"/>
      <c r="F365" s="82"/>
      <c r="G365" s="82"/>
      <c r="H365" s="86"/>
      <c r="I365" s="294" t="str">
        <f t="shared" si="37"/>
        <v/>
      </c>
      <c r="J365" s="59"/>
      <c r="K365" s="83"/>
      <c r="L365" s="83" t="str">
        <f t="shared" si="34"/>
        <v xml:space="preserve">
</v>
      </c>
      <c r="M365" s="83"/>
      <c r="N365" s="59"/>
      <c r="O365" s="59"/>
      <c r="P365" s="86" t="e">
        <f t="shared" si="35"/>
        <v>#VALUE!</v>
      </c>
      <c r="Q365" s="59"/>
      <c r="R365" s="59"/>
      <c r="S365" s="59"/>
      <c r="T365" s="59"/>
      <c r="U365" s="290"/>
      <c r="V365" s="290"/>
      <c r="W365" s="290"/>
      <c r="X365" s="290"/>
      <c r="Y365" s="290"/>
      <c r="Z365" s="290"/>
      <c r="AA365" s="290"/>
      <c r="AB365" s="290"/>
      <c r="AC365" s="290"/>
      <c r="AD365" s="290"/>
    </row>
    <row r="366" spans="1:30" ht="25.5">
      <c r="A366" s="291" t="str">
        <f t="shared" si="36"/>
        <v/>
      </c>
      <c r="B366" s="291" t="s">
        <v>1869</v>
      </c>
      <c r="C366" s="291" t="str">
        <f>IF(D365="","",UNIT!$B$1&amp;"-"&amp;B366)</f>
        <v/>
      </c>
      <c r="D366" s="83"/>
      <c r="E366" s="59"/>
      <c r="F366" s="82"/>
      <c r="G366" s="82"/>
      <c r="H366" s="86"/>
      <c r="I366" s="294" t="str">
        <f t="shared" si="37"/>
        <v/>
      </c>
      <c r="J366" s="59"/>
      <c r="K366" s="83"/>
      <c r="L366" s="83" t="str">
        <f t="shared" si="34"/>
        <v xml:space="preserve">
</v>
      </c>
      <c r="M366" s="83"/>
      <c r="N366" s="59"/>
      <c r="O366" s="59"/>
      <c r="P366" s="86" t="e">
        <f t="shared" si="35"/>
        <v>#VALUE!</v>
      </c>
      <c r="Q366" s="59"/>
      <c r="R366" s="59"/>
      <c r="S366" s="59"/>
      <c r="T366" s="59"/>
      <c r="U366" s="290"/>
      <c r="V366" s="290"/>
      <c r="W366" s="290"/>
      <c r="X366" s="290"/>
      <c r="Y366" s="290"/>
      <c r="Z366" s="290"/>
      <c r="AA366" s="290"/>
      <c r="AB366" s="290"/>
      <c r="AC366" s="290"/>
      <c r="AD366" s="290"/>
    </row>
    <row r="367" spans="1:30" ht="25.5">
      <c r="A367" s="291" t="str">
        <f t="shared" si="36"/>
        <v/>
      </c>
      <c r="B367" s="291" t="s">
        <v>1870</v>
      </c>
      <c r="C367" s="291" t="str">
        <f>IF(D366="","",UNIT!$B$1&amp;"-"&amp;B367)</f>
        <v/>
      </c>
      <c r="D367" s="83"/>
      <c r="E367" s="59"/>
      <c r="F367" s="82"/>
      <c r="G367" s="82"/>
      <c r="H367" s="86"/>
      <c r="I367" s="294" t="str">
        <f t="shared" si="37"/>
        <v/>
      </c>
      <c r="J367" s="59"/>
      <c r="K367" s="83"/>
      <c r="L367" s="83" t="str">
        <f t="shared" si="34"/>
        <v xml:space="preserve">
</v>
      </c>
      <c r="M367" s="83"/>
      <c r="N367" s="59"/>
      <c r="O367" s="59"/>
      <c r="P367" s="86" t="e">
        <f t="shared" si="35"/>
        <v>#VALUE!</v>
      </c>
      <c r="Q367" s="59"/>
      <c r="R367" s="59"/>
      <c r="S367" s="59"/>
      <c r="T367" s="59"/>
      <c r="U367" s="290"/>
      <c r="V367" s="290"/>
      <c r="W367" s="290"/>
      <c r="X367" s="290"/>
      <c r="Y367" s="290"/>
      <c r="Z367" s="290"/>
      <c r="AA367" s="290"/>
      <c r="AB367" s="290"/>
      <c r="AC367" s="290"/>
      <c r="AD367" s="290"/>
    </row>
    <row r="368" spans="1:30" ht="25.5">
      <c r="A368" s="291" t="str">
        <f t="shared" si="36"/>
        <v/>
      </c>
      <c r="B368" s="291" t="s">
        <v>1871</v>
      </c>
      <c r="C368" s="291" t="str">
        <f>IF(D367="","",UNIT!$B$1&amp;"-"&amp;B368)</f>
        <v/>
      </c>
      <c r="D368" s="83"/>
      <c r="E368" s="59"/>
      <c r="F368" s="82"/>
      <c r="G368" s="82"/>
      <c r="H368" s="86"/>
      <c r="I368" s="294" t="str">
        <f t="shared" si="37"/>
        <v/>
      </c>
      <c r="J368" s="59"/>
      <c r="K368" s="83"/>
      <c r="L368" s="83" t="str">
        <f t="shared" si="34"/>
        <v xml:space="preserve">
</v>
      </c>
      <c r="M368" s="83"/>
      <c r="N368" s="59"/>
      <c r="O368" s="59"/>
      <c r="P368" s="86" t="e">
        <f t="shared" si="35"/>
        <v>#VALUE!</v>
      </c>
      <c r="Q368" s="59"/>
      <c r="R368" s="59"/>
      <c r="S368" s="59"/>
      <c r="T368" s="59"/>
      <c r="U368" s="290"/>
      <c r="V368" s="290"/>
      <c r="W368" s="290"/>
      <c r="X368" s="290"/>
      <c r="Y368" s="290"/>
      <c r="Z368" s="290"/>
      <c r="AA368" s="290"/>
      <c r="AB368" s="290"/>
      <c r="AC368" s="290"/>
      <c r="AD368" s="290"/>
    </row>
    <row r="369" spans="1:30" ht="25.5">
      <c r="A369" s="291" t="str">
        <f t="shared" si="36"/>
        <v/>
      </c>
      <c r="B369" s="291" t="s">
        <v>1872</v>
      </c>
      <c r="C369" s="291" t="str">
        <f>IF(D368="","",UNIT!$B$1&amp;"-"&amp;B369)</f>
        <v/>
      </c>
      <c r="D369" s="83"/>
      <c r="E369" s="59"/>
      <c r="F369" s="82"/>
      <c r="G369" s="82"/>
      <c r="H369" s="86"/>
      <c r="I369" s="294" t="str">
        <f t="shared" si="37"/>
        <v/>
      </c>
      <c r="J369" s="59"/>
      <c r="K369" s="83"/>
      <c r="L369" s="83" t="str">
        <f t="shared" si="34"/>
        <v xml:space="preserve">
</v>
      </c>
      <c r="M369" s="83"/>
      <c r="N369" s="59"/>
      <c r="O369" s="59"/>
      <c r="P369" s="86" t="e">
        <f t="shared" si="35"/>
        <v>#VALUE!</v>
      </c>
      <c r="Q369" s="59"/>
      <c r="R369" s="59"/>
      <c r="S369" s="59"/>
      <c r="T369" s="59"/>
      <c r="U369" s="290"/>
      <c r="V369" s="290"/>
      <c r="W369" s="290"/>
      <c r="X369" s="290"/>
      <c r="Y369" s="290"/>
      <c r="Z369" s="290"/>
      <c r="AA369" s="290"/>
      <c r="AB369" s="290"/>
      <c r="AC369" s="290"/>
      <c r="AD369" s="290"/>
    </row>
    <row r="370" spans="1:30" ht="25.5">
      <c r="A370" s="291" t="str">
        <f t="shared" si="36"/>
        <v/>
      </c>
      <c r="B370" s="291" t="s">
        <v>1873</v>
      </c>
      <c r="C370" s="291" t="str">
        <f>IF(D369="","",UNIT!$B$1&amp;"-"&amp;B370)</f>
        <v/>
      </c>
      <c r="D370" s="83"/>
      <c r="E370" s="59"/>
      <c r="F370" s="82"/>
      <c r="G370" s="82"/>
      <c r="H370" s="86"/>
      <c r="I370" s="294" t="str">
        <f t="shared" si="37"/>
        <v/>
      </c>
      <c r="J370" s="59"/>
      <c r="K370" s="83"/>
      <c r="L370" s="83" t="str">
        <f t="shared" si="34"/>
        <v xml:space="preserve">
</v>
      </c>
      <c r="M370" s="83"/>
      <c r="N370" s="59"/>
      <c r="O370" s="59"/>
      <c r="P370" s="86" t="e">
        <f t="shared" si="35"/>
        <v>#VALUE!</v>
      </c>
      <c r="Q370" s="59"/>
      <c r="R370" s="59"/>
      <c r="S370" s="59"/>
      <c r="T370" s="59"/>
      <c r="U370" s="290"/>
      <c r="V370" s="290"/>
      <c r="W370" s="290"/>
      <c r="X370" s="290"/>
      <c r="Y370" s="290"/>
      <c r="Z370" s="290"/>
      <c r="AA370" s="290"/>
      <c r="AB370" s="290"/>
      <c r="AC370" s="290"/>
      <c r="AD370" s="290"/>
    </row>
    <row r="371" spans="1:30" ht="25.5">
      <c r="A371" s="291" t="str">
        <f t="shared" si="36"/>
        <v/>
      </c>
      <c r="B371" s="291" t="s">
        <v>1874</v>
      </c>
      <c r="C371" s="291" t="str">
        <f>IF(D370="","",UNIT!$B$1&amp;"-"&amp;B371)</f>
        <v/>
      </c>
      <c r="D371" s="83"/>
      <c r="E371" s="59"/>
      <c r="F371" s="82"/>
      <c r="G371" s="82"/>
      <c r="H371" s="86"/>
      <c r="I371" s="294" t="str">
        <f t="shared" si="37"/>
        <v/>
      </c>
      <c r="J371" s="59"/>
      <c r="K371" s="83"/>
      <c r="L371" s="83" t="str">
        <f t="shared" si="34"/>
        <v xml:space="preserve">
</v>
      </c>
      <c r="M371" s="83"/>
      <c r="N371" s="59"/>
      <c r="O371" s="59"/>
      <c r="P371" s="86" t="e">
        <f t="shared" si="35"/>
        <v>#VALUE!</v>
      </c>
      <c r="Q371" s="59"/>
      <c r="R371" s="59"/>
      <c r="S371" s="59"/>
      <c r="T371" s="59"/>
      <c r="U371" s="290"/>
      <c r="V371" s="290"/>
      <c r="W371" s="290"/>
      <c r="X371" s="290"/>
      <c r="Y371" s="290"/>
      <c r="Z371" s="290"/>
      <c r="AA371" s="290"/>
      <c r="AB371" s="290"/>
      <c r="AC371" s="290"/>
      <c r="AD371" s="290"/>
    </row>
    <row r="372" spans="1:30" ht="25.5">
      <c r="A372" s="291" t="str">
        <f t="shared" si="36"/>
        <v/>
      </c>
      <c r="B372" s="291" t="s">
        <v>1875</v>
      </c>
      <c r="C372" s="291" t="str">
        <f>IF(D371="","",UNIT!$B$1&amp;"-"&amp;B372)</f>
        <v/>
      </c>
      <c r="D372" s="83"/>
      <c r="E372" s="59"/>
      <c r="F372" s="82"/>
      <c r="G372" s="82"/>
      <c r="H372" s="86"/>
      <c r="I372" s="294" t="str">
        <f t="shared" si="37"/>
        <v/>
      </c>
      <c r="J372" s="59"/>
      <c r="K372" s="83"/>
      <c r="L372" s="83" t="str">
        <f t="shared" si="34"/>
        <v xml:space="preserve">
</v>
      </c>
      <c r="M372" s="83"/>
      <c r="N372" s="59"/>
      <c r="O372" s="59"/>
      <c r="P372" s="86" t="e">
        <f t="shared" si="35"/>
        <v>#VALUE!</v>
      </c>
      <c r="Q372" s="59"/>
      <c r="R372" s="59"/>
      <c r="S372" s="59"/>
      <c r="T372" s="59"/>
      <c r="U372" s="290"/>
      <c r="V372" s="290"/>
      <c r="W372" s="290"/>
      <c r="X372" s="290"/>
      <c r="Y372" s="290"/>
      <c r="Z372" s="290"/>
      <c r="AA372" s="290"/>
      <c r="AB372" s="290"/>
      <c r="AC372" s="290"/>
      <c r="AD372" s="290"/>
    </row>
    <row r="373" spans="1:30" ht="25.5">
      <c r="A373" s="291" t="str">
        <f t="shared" si="36"/>
        <v/>
      </c>
      <c r="B373" s="291" t="s">
        <v>1876</v>
      </c>
      <c r="C373" s="291" t="str">
        <f>IF(D372="","",UNIT!$B$1&amp;"-"&amp;B373)</f>
        <v/>
      </c>
      <c r="D373" s="83"/>
      <c r="E373" s="59"/>
      <c r="F373" s="82"/>
      <c r="G373" s="82"/>
      <c r="H373" s="86"/>
      <c r="I373" s="294" t="str">
        <f t="shared" si="37"/>
        <v/>
      </c>
      <c r="J373" s="59"/>
      <c r="K373" s="83"/>
      <c r="L373" s="83" t="str">
        <f t="shared" si="34"/>
        <v xml:space="preserve">
</v>
      </c>
      <c r="M373" s="83"/>
      <c r="N373" s="59"/>
      <c r="O373" s="59"/>
      <c r="P373" s="86" t="e">
        <f t="shared" si="35"/>
        <v>#VALUE!</v>
      </c>
      <c r="Q373" s="59"/>
      <c r="R373" s="59"/>
      <c r="S373" s="59"/>
      <c r="T373" s="59"/>
      <c r="U373" s="290"/>
      <c r="V373" s="290"/>
      <c r="W373" s="290"/>
      <c r="X373" s="290"/>
      <c r="Y373" s="290"/>
      <c r="Z373" s="290"/>
      <c r="AA373" s="290"/>
      <c r="AB373" s="290"/>
      <c r="AC373" s="290"/>
      <c r="AD373" s="290"/>
    </row>
    <row r="374" spans="1:30" ht="25.5">
      <c r="A374" s="291" t="str">
        <f t="shared" si="36"/>
        <v/>
      </c>
      <c r="B374" s="291" t="s">
        <v>1877</v>
      </c>
      <c r="C374" s="291" t="str">
        <f>IF(D373="","",UNIT!$B$1&amp;"-"&amp;B374)</f>
        <v/>
      </c>
      <c r="D374" s="83"/>
      <c r="E374" s="59"/>
      <c r="F374" s="82"/>
      <c r="G374" s="82"/>
      <c r="H374" s="86"/>
      <c r="I374" s="294" t="str">
        <f t="shared" si="37"/>
        <v/>
      </c>
      <c r="J374" s="59"/>
      <c r="K374" s="83"/>
      <c r="L374" s="83" t="str">
        <f t="shared" si="34"/>
        <v xml:space="preserve">
</v>
      </c>
      <c r="M374" s="83"/>
      <c r="N374" s="59"/>
      <c r="O374" s="59"/>
      <c r="P374" s="86" t="e">
        <f t="shared" si="35"/>
        <v>#VALUE!</v>
      </c>
      <c r="Q374" s="59"/>
      <c r="R374" s="59"/>
      <c r="S374" s="59"/>
      <c r="T374" s="59"/>
      <c r="U374" s="290"/>
      <c r="V374" s="290"/>
      <c r="W374" s="290"/>
      <c r="X374" s="290"/>
      <c r="Y374" s="290"/>
      <c r="Z374" s="290"/>
      <c r="AA374" s="290"/>
      <c r="AB374" s="290"/>
      <c r="AC374" s="290"/>
      <c r="AD374" s="290"/>
    </row>
    <row r="375" spans="1:30" ht="25.5">
      <c r="A375" s="291" t="str">
        <f t="shared" si="36"/>
        <v/>
      </c>
      <c r="B375" s="291" t="s">
        <v>1878</v>
      </c>
      <c r="C375" s="291" t="str">
        <f>IF(D374="","",UNIT!$B$1&amp;"-"&amp;B375)</f>
        <v/>
      </c>
      <c r="D375" s="83"/>
      <c r="E375" s="59"/>
      <c r="F375" s="82"/>
      <c r="G375" s="82"/>
      <c r="H375" s="86"/>
      <c r="I375" s="294" t="str">
        <f t="shared" si="37"/>
        <v/>
      </c>
      <c r="J375" s="59"/>
      <c r="K375" s="83"/>
      <c r="L375" s="83" t="str">
        <f t="shared" si="34"/>
        <v xml:space="preserve">
</v>
      </c>
      <c r="M375" s="83"/>
      <c r="N375" s="59"/>
      <c r="O375" s="59"/>
      <c r="P375" s="86" t="e">
        <f t="shared" si="35"/>
        <v>#VALUE!</v>
      </c>
      <c r="Q375" s="59"/>
      <c r="R375" s="59"/>
      <c r="S375" s="59"/>
      <c r="T375" s="59"/>
      <c r="U375" s="290"/>
      <c r="V375" s="290"/>
      <c r="W375" s="290"/>
      <c r="X375" s="290"/>
      <c r="Y375" s="290"/>
      <c r="Z375" s="290"/>
      <c r="AA375" s="290"/>
      <c r="AB375" s="290"/>
      <c r="AC375" s="290"/>
      <c r="AD375" s="290"/>
    </row>
    <row r="376" spans="1:30" ht="25.5">
      <c r="A376" s="291" t="str">
        <f t="shared" si="36"/>
        <v/>
      </c>
      <c r="B376" s="291" t="s">
        <v>1879</v>
      </c>
      <c r="C376" s="291" t="str">
        <f>IF(D375="","",UNIT!$B$1&amp;"-"&amp;B376)</f>
        <v/>
      </c>
      <c r="D376" s="83"/>
      <c r="E376" s="59"/>
      <c r="F376" s="82"/>
      <c r="G376" s="82"/>
      <c r="H376" s="86"/>
      <c r="I376" s="294" t="str">
        <f t="shared" si="37"/>
        <v/>
      </c>
      <c r="J376" s="59"/>
      <c r="K376" s="83"/>
      <c r="L376" s="83" t="str">
        <f t="shared" si="34"/>
        <v xml:space="preserve">
</v>
      </c>
      <c r="M376" s="83"/>
      <c r="N376" s="59"/>
      <c r="O376" s="59"/>
      <c r="P376" s="86" t="e">
        <f t="shared" si="35"/>
        <v>#VALUE!</v>
      </c>
      <c r="Q376" s="59"/>
      <c r="R376" s="59"/>
      <c r="S376" s="59"/>
      <c r="T376" s="59"/>
      <c r="U376" s="290"/>
      <c r="V376" s="290"/>
      <c r="W376" s="290"/>
      <c r="X376" s="290"/>
      <c r="Y376" s="290"/>
      <c r="Z376" s="290"/>
      <c r="AA376" s="290"/>
      <c r="AB376" s="290"/>
      <c r="AC376" s="290"/>
      <c r="AD376" s="290"/>
    </row>
    <row r="377" spans="1:30" ht="25.5">
      <c r="A377" s="291" t="str">
        <f t="shared" si="36"/>
        <v/>
      </c>
      <c r="B377" s="291" t="s">
        <v>1880</v>
      </c>
      <c r="C377" s="291" t="str">
        <f>IF(D376="","",UNIT!$B$1&amp;"-"&amp;B377)</f>
        <v/>
      </c>
      <c r="D377" s="83"/>
      <c r="E377" s="59"/>
      <c r="F377" s="82"/>
      <c r="G377" s="82"/>
      <c r="H377" s="86"/>
      <c r="I377" s="294" t="str">
        <f t="shared" si="37"/>
        <v/>
      </c>
      <c r="J377" s="59"/>
      <c r="K377" s="83"/>
      <c r="L377" s="83" t="str">
        <f t="shared" si="34"/>
        <v xml:space="preserve">
</v>
      </c>
      <c r="M377" s="83"/>
      <c r="N377" s="59"/>
      <c r="O377" s="59"/>
      <c r="P377" s="86" t="e">
        <f t="shared" si="35"/>
        <v>#VALUE!</v>
      </c>
      <c r="Q377" s="59"/>
      <c r="R377" s="59"/>
      <c r="S377" s="59"/>
      <c r="T377" s="59"/>
      <c r="U377" s="290"/>
      <c r="V377" s="290"/>
      <c r="W377" s="290"/>
      <c r="X377" s="290"/>
      <c r="Y377" s="290"/>
      <c r="Z377" s="290"/>
      <c r="AA377" s="290"/>
      <c r="AB377" s="290"/>
      <c r="AC377" s="290"/>
      <c r="AD377" s="290"/>
    </row>
    <row r="378" spans="1:30" ht="25.5">
      <c r="A378" s="291" t="str">
        <f t="shared" si="36"/>
        <v/>
      </c>
      <c r="B378" s="291" t="s">
        <v>1881</v>
      </c>
      <c r="C378" s="291" t="str">
        <f>IF(D377="","",UNIT!$B$1&amp;"-"&amp;B378)</f>
        <v/>
      </c>
      <c r="D378" s="83"/>
      <c r="E378" s="59"/>
      <c r="F378" s="82"/>
      <c r="G378" s="82"/>
      <c r="H378" s="86"/>
      <c r="I378" s="294" t="str">
        <f t="shared" si="37"/>
        <v/>
      </c>
      <c r="J378" s="59"/>
      <c r="K378" s="83"/>
      <c r="L378" s="83" t="str">
        <f t="shared" si="34"/>
        <v xml:space="preserve">
</v>
      </c>
      <c r="M378" s="83"/>
      <c r="N378" s="59"/>
      <c r="O378" s="59"/>
      <c r="P378" s="86" t="e">
        <f t="shared" si="35"/>
        <v>#VALUE!</v>
      </c>
      <c r="Q378" s="59"/>
      <c r="R378" s="59"/>
      <c r="S378" s="59"/>
      <c r="T378" s="59"/>
      <c r="U378" s="290"/>
      <c r="V378" s="290"/>
      <c r="W378" s="290"/>
      <c r="X378" s="290"/>
      <c r="Y378" s="290"/>
      <c r="Z378" s="290"/>
      <c r="AA378" s="290"/>
      <c r="AB378" s="290"/>
      <c r="AC378" s="290"/>
      <c r="AD378" s="290"/>
    </row>
    <row r="379" spans="1:30" ht="25.5">
      <c r="A379" s="291" t="str">
        <f t="shared" si="36"/>
        <v/>
      </c>
      <c r="B379" s="291" t="s">
        <v>1882</v>
      </c>
      <c r="C379" s="291" t="str">
        <f>IF(D378="","",UNIT!$B$1&amp;"-"&amp;B379)</f>
        <v/>
      </c>
      <c r="D379" s="83"/>
      <c r="E379" s="59"/>
      <c r="F379" s="82"/>
      <c r="G379" s="82"/>
      <c r="H379" s="86"/>
      <c r="I379" s="294" t="str">
        <f t="shared" si="37"/>
        <v/>
      </c>
      <c r="J379" s="59"/>
      <c r="K379" s="83"/>
      <c r="L379" s="83" t="str">
        <f t="shared" si="34"/>
        <v xml:space="preserve">
</v>
      </c>
      <c r="M379" s="83"/>
      <c r="N379" s="59"/>
      <c r="O379" s="59"/>
      <c r="P379" s="86" t="e">
        <f t="shared" si="35"/>
        <v>#VALUE!</v>
      </c>
      <c r="Q379" s="59"/>
      <c r="R379" s="59"/>
      <c r="S379" s="59"/>
      <c r="T379" s="59"/>
      <c r="U379" s="290"/>
      <c r="V379" s="290"/>
      <c r="W379" s="290"/>
      <c r="X379" s="290"/>
      <c r="Y379" s="290"/>
      <c r="Z379" s="290"/>
      <c r="AA379" s="290"/>
      <c r="AB379" s="290"/>
      <c r="AC379" s="290"/>
      <c r="AD379" s="290"/>
    </row>
    <row r="380" spans="1:30" ht="25.5">
      <c r="A380" s="291" t="str">
        <f t="shared" si="36"/>
        <v/>
      </c>
      <c r="B380" s="291" t="s">
        <v>1883</v>
      </c>
      <c r="C380" s="291" t="str">
        <f>IF(D379="","",UNIT!$B$1&amp;"-"&amp;B380)</f>
        <v/>
      </c>
      <c r="D380" s="83"/>
      <c r="E380" s="59"/>
      <c r="F380" s="82"/>
      <c r="G380" s="82"/>
      <c r="H380" s="86"/>
      <c r="I380" s="294" t="str">
        <f t="shared" si="37"/>
        <v/>
      </c>
      <c r="J380" s="59"/>
      <c r="K380" s="83"/>
      <c r="L380" s="83" t="str">
        <f t="shared" si="34"/>
        <v xml:space="preserve">
</v>
      </c>
      <c r="M380" s="83"/>
      <c r="N380" s="59"/>
      <c r="O380" s="59"/>
      <c r="P380" s="86" t="e">
        <f t="shared" si="35"/>
        <v>#VALUE!</v>
      </c>
      <c r="Q380" s="59"/>
      <c r="R380" s="59"/>
      <c r="S380" s="59"/>
      <c r="T380" s="59"/>
      <c r="U380" s="290"/>
      <c r="V380" s="290"/>
      <c r="W380" s="290"/>
      <c r="X380" s="290"/>
      <c r="Y380" s="290"/>
      <c r="Z380" s="290"/>
      <c r="AA380" s="290"/>
      <c r="AB380" s="290"/>
      <c r="AC380" s="290"/>
      <c r="AD380" s="290"/>
    </row>
    <row r="381" spans="1:30" ht="25.5">
      <c r="A381" s="291" t="str">
        <f t="shared" si="36"/>
        <v/>
      </c>
      <c r="B381" s="291" t="s">
        <v>1884</v>
      </c>
      <c r="C381" s="291" t="str">
        <f>IF(D380="","",UNIT!$B$1&amp;"-"&amp;B381)</f>
        <v/>
      </c>
      <c r="D381" s="83"/>
      <c r="E381" s="59"/>
      <c r="F381" s="82"/>
      <c r="G381" s="82"/>
      <c r="H381" s="86"/>
      <c r="I381" s="294" t="str">
        <f t="shared" si="37"/>
        <v/>
      </c>
      <c r="J381" s="59"/>
      <c r="K381" s="83"/>
      <c r="L381" s="83" t="str">
        <f t="shared" si="34"/>
        <v xml:space="preserve">
</v>
      </c>
      <c r="M381" s="83"/>
      <c r="N381" s="59"/>
      <c r="O381" s="59"/>
      <c r="P381" s="86" t="e">
        <f t="shared" si="35"/>
        <v>#VALUE!</v>
      </c>
      <c r="Q381" s="59"/>
      <c r="R381" s="59"/>
      <c r="S381" s="59"/>
      <c r="T381" s="59"/>
      <c r="U381" s="290"/>
      <c r="V381" s="290"/>
      <c r="W381" s="290"/>
      <c r="X381" s="290"/>
      <c r="Y381" s="290"/>
      <c r="Z381" s="290"/>
      <c r="AA381" s="290"/>
      <c r="AB381" s="290"/>
      <c r="AC381" s="290"/>
      <c r="AD381" s="290"/>
    </row>
    <row r="382" spans="1:30" ht="25.5">
      <c r="A382" s="291" t="str">
        <f t="shared" si="36"/>
        <v/>
      </c>
      <c r="B382" s="291" t="s">
        <v>1885</v>
      </c>
      <c r="C382" s="291" t="str">
        <f>IF(D381="","",UNIT!$B$1&amp;"-"&amp;B382)</f>
        <v/>
      </c>
      <c r="D382" s="83"/>
      <c r="E382" s="59"/>
      <c r="F382" s="82"/>
      <c r="G382" s="82"/>
      <c r="H382" s="86"/>
      <c r="I382" s="294" t="str">
        <f t="shared" si="37"/>
        <v/>
      </c>
      <c r="J382" s="59"/>
      <c r="K382" s="83"/>
      <c r="L382" s="83" t="str">
        <f t="shared" si="34"/>
        <v xml:space="preserve">
</v>
      </c>
      <c r="M382" s="83"/>
      <c r="N382" s="59"/>
      <c r="O382" s="59"/>
      <c r="P382" s="86" t="e">
        <f t="shared" si="35"/>
        <v>#VALUE!</v>
      </c>
      <c r="Q382" s="59"/>
      <c r="R382" s="59"/>
      <c r="S382" s="59"/>
      <c r="T382" s="59"/>
      <c r="U382" s="290"/>
      <c r="V382" s="290"/>
      <c r="W382" s="290"/>
      <c r="X382" s="290"/>
      <c r="Y382" s="290"/>
      <c r="Z382" s="290"/>
      <c r="AA382" s="290"/>
      <c r="AB382" s="290"/>
      <c r="AC382" s="290"/>
      <c r="AD382" s="290"/>
    </row>
    <row r="383" spans="1:30" ht="25.5">
      <c r="A383" s="291" t="str">
        <f t="shared" si="36"/>
        <v/>
      </c>
      <c r="B383" s="291" t="s">
        <v>1886</v>
      </c>
      <c r="C383" s="291" t="str">
        <f>IF(D382="","",UNIT!$B$1&amp;"-"&amp;B383)</f>
        <v/>
      </c>
      <c r="D383" s="83"/>
      <c r="E383" s="59"/>
      <c r="F383" s="82"/>
      <c r="G383" s="82"/>
      <c r="H383" s="86"/>
      <c r="I383" s="294" t="str">
        <f t="shared" si="37"/>
        <v/>
      </c>
      <c r="J383" s="59"/>
      <c r="K383" s="83"/>
      <c r="L383" s="83" t="str">
        <f t="shared" si="34"/>
        <v xml:space="preserve">
</v>
      </c>
      <c r="M383" s="83"/>
      <c r="N383" s="59"/>
      <c r="O383" s="59"/>
      <c r="P383" s="86" t="e">
        <f t="shared" si="35"/>
        <v>#VALUE!</v>
      </c>
      <c r="Q383" s="59"/>
      <c r="R383" s="59"/>
      <c r="S383" s="59"/>
      <c r="T383" s="59"/>
      <c r="U383" s="290"/>
      <c r="V383" s="290"/>
      <c r="W383" s="290"/>
      <c r="X383" s="290"/>
      <c r="Y383" s="290"/>
      <c r="Z383" s="290"/>
      <c r="AA383" s="290"/>
      <c r="AB383" s="290"/>
      <c r="AC383" s="290"/>
      <c r="AD383" s="290"/>
    </row>
    <row r="384" spans="1:30" ht="25.5">
      <c r="A384" s="291" t="str">
        <f t="shared" si="36"/>
        <v/>
      </c>
      <c r="B384" s="291" t="s">
        <v>1887</v>
      </c>
      <c r="C384" s="291" t="str">
        <f>IF(D383="","",UNIT!$B$1&amp;"-"&amp;B384)</f>
        <v/>
      </c>
      <c r="D384" s="83"/>
      <c r="E384" s="59"/>
      <c r="F384" s="82"/>
      <c r="G384" s="82"/>
      <c r="H384" s="86"/>
      <c r="I384" s="294" t="str">
        <f t="shared" si="37"/>
        <v/>
      </c>
      <c r="J384" s="59"/>
      <c r="K384" s="83"/>
      <c r="L384" s="83" t="str">
        <f t="shared" si="34"/>
        <v xml:space="preserve">
</v>
      </c>
      <c r="M384" s="83"/>
      <c r="N384" s="59"/>
      <c r="O384" s="59"/>
      <c r="P384" s="86" t="e">
        <f t="shared" si="35"/>
        <v>#VALUE!</v>
      </c>
      <c r="Q384" s="59"/>
      <c r="R384" s="59"/>
      <c r="S384" s="59"/>
      <c r="T384" s="59"/>
      <c r="U384" s="290"/>
      <c r="V384" s="290"/>
      <c r="W384" s="290"/>
      <c r="X384" s="290"/>
      <c r="Y384" s="290"/>
      <c r="Z384" s="290"/>
      <c r="AA384" s="290"/>
      <c r="AB384" s="290"/>
      <c r="AC384" s="290"/>
      <c r="AD384" s="290"/>
    </row>
    <row r="385" spans="1:30" ht="25.5">
      <c r="A385" s="291" t="str">
        <f t="shared" si="36"/>
        <v/>
      </c>
      <c r="B385" s="291" t="s">
        <v>1888</v>
      </c>
      <c r="C385" s="291" t="str">
        <f>IF(D384="","",UNIT!$B$1&amp;"-"&amp;B385)</f>
        <v/>
      </c>
      <c r="D385" s="83"/>
      <c r="E385" s="59"/>
      <c r="F385" s="82"/>
      <c r="G385" s="82"/>
      <c r="H385" s="86"/>
      <c r="I385" s="294" t="str">
        <f t="shared" si="37"/>
        <v/>
      </c>
      <c r="J385" s="59"/>
      <c r="K385" s="83"/>
      <c r="L385" s="83" t="str">
        <f t="shared" si="34"/>
        <v xml:space="preserve">
</v>
      </c>
      <c r="M385" s="83"/>
      <c r="N385" s="59"/>
      <c r="O385" s="59"/>
      <c r="P385" s="86" t="e">
        <f t="shared" si="35"/>
        <v>#VALUE!</v>
      </c>
      <c r="Q385" s="59"/>
      <c r="R385" s="59"/>
      <c r="S385" s="59"/>
      <c r="T385" s="59"/>
      <c r="U385" s="290"/>
      <c r="V385" s="290"/>
      <c r="W385" s="290"/>
      <c r="X385" s="290"/>
      <c r="Y385" s="290"/>
      <c r="Z385" s="290"/>
      <c r="AA385" s="290"/>
      <c r="AB385" s="290"/>
      <c r="AC385" s="290"/>
      <c r="AD385" s="290"/>
    </row>
    <row r="386" spans="1:30" ht="25.5">
      <c r="A386" s="291" t="str">
        <f t="shared" si="36"/>
        <v/>
      </c>
      <c r="B386" s="291" t="s">
        <v>1889</v>
      </c>
      <c r="C386" s="291" t="str">
        <f>IF(D385="","",UNIT!$B$1&amp;"-"&amp;B386)</f>
        <v/>
      </c>
      <c r="D386" s="83"/>
      <c r="E386" s="59"/>
      <c r="F386" s="82"/>
      <c r="G386" s="82"/>
      <c r="H386" s="86"/>
      <c r="I386" s="294" t="str">
        <f t="shared" si="37"/>
        <v/>
      </c>
      <c r="J386" s="59"/>
      <c r="K386" s="83"/>
      <c r="L386" s="83" t="str">
        <f t="shared" si="34"/>
        <v xml:space="preserve">
</v>
      </c>
      <c r="M386" s="83"/>
      <c r="N386" s="59"/>
      <c r="O386" s="59"/>
      <c r="P386" s="86" t="e">
        <f t="shared" si="35"/>
        <v>#VALUE!</v>
      </c>
      <c r="Q386" s="59"/>
      <c r="R386" s="59"/>
      <c r="S386" s="59"/>
      <c r="T386" s="59"/>
      <c r="U386" s="290"/>
      <c r="V386" s="290"/>
      <c r="W386" s="290"/>
      <c r="X386" s="290"/>
      <c r="Y386" s="290"/>
      <c r="Z386" s="290"/>
      <c r="AA386" s="290"/>
      <c r="AB386" s="290"/>
      <c r="AC386" s="290"/>
      <c r="AD386" s="290"/>
    </row>
    <row r="387" spans="1:30" ht="25.5">
      <c r="A387" s="291" t="str">
        <f t="shared" si="36"/>
        <v/>
      </c>
      <c r="B387" s="291" t="s">
        <v>1890</v>
      </c>
      <c r="C387" s="291" t="str">
        <f>IF(D386="","",UNIT!$B$1&amp;"-"&amp;B387)</f>
        <v/>
      </c>
      <c r="D387" s="83"/>
      <c r="E387" s="59"/>
      <c r="F387" s="82"/>
      <c r="G387" s="82"/>
      <c r="H387" s="86"/>
      <c r="I387" s="294" t="str">
        <f t="shared" si="37"/>
        <v/>
      </c>
      <c r="J387" s="59"/>
      <c r="K387" s="83"/>
      <c r="L387" s="83" t="str">
        <f t="shared" si="34"/>
        <v xml:space="preserve">
</v>
      </c>
      <c r="M387" s="83"/>
      <c r="N387" s="59"/>
      <c r="O387" s="59"/>
      <c r="P387" s="86" t="e">
        <f t="shared" si="35"/>
        <v>#VALUE!</v>
      </c>
      <c r="Q387" s="59"/>
      <c r="R387" s="59"/>
      <c r="S387" s="59"/>
      <c r="T387" s="59"/>
      <c r="U387" s="290"/>
      <c r="V387" s="290"/>
      <c r="W387" s="290"/>
      <c r="X387" s="290"/>
      <c r="Y387" s="290"/>
      <c r="Z387" s="290"/>
      <c r="AA387" s="290"/>
      <c r="AB387" s="290"/>
      <c r="AC387" s="290"/>
      <c r="AD387" s="290"/>
    </row>
    <row r="388" spans="1:30" ht="25.5">
      <c r="A388" s="291" t="str">
        <f t="shared" si="36"/>
        <v/>
      </c>
      <c r="B388" s="291" t="s">
        <v>1891</v>
      </c>
      <c r="C388" s="291" t="str">
        <f>IF(D387="","",UNIT!$B$1&amp;"-"&amp;B388)</f>
        <v/>
      </c>
      <c r="D388" s="83"/>
      <c r="E388" s="59"/>
      <c r="F388" s="82"/>
      <c r="G388" s="82"/>
      <c r="H388" s="86"/>
      <c r="I388" s="294" t="str">
        <f t="shared" si="37"/>
        <v/>
      </c>
      <c r="J388" s="59"/>
      <c r="K388" s="83"/>
      <c r="L388" s="83" t="str">
        <f t="shared" si="34"/>
        <v xml:space="preserve">
</v>
      </c>
      <c r="M388" s="83"/>
      <c r="N388" s="59"/>
      <c r="O388" s="59"/>
      <c r="P388" s="86" t="e">
        <f t="shared" si="35"/>
        <v>#VALUE!</v>
      </c>
      <c r="Q388" s="59"/>
      <c r="R388" s="59"/>
      <c r="S388" s="59"/>
      <c r="T388" s="59"/>
      <c r="U388" s="290"/>
      <c r="V388" s="290"/>
      <c r="W388" s="290"/>
      <c r="X388" s="290"/>
      <c r="Y388" s="290"/>
      <c r="Z388" s="290"/>
      <c r="AA388" s="290"/>
      <c r="AB388" s="290"/>
      <c r="AC388" s="290"/>
      <c r="AD388" s="290"/>
    </row>
    <row r="389" spans="1:30" ht="25.5">
      <c r="A389" s="291" t="str">
        <f t="shared" si="36"/>
        <v/>
      </c>
      <c r="B389" s="291" t="s">
        <v>1892</v>
      </c>
      <c r="C389" s="291" t="str">
        <f>IF(D388="","",UNIT!$B$1&amp;"-"&amp;B389)</f>
        <v/>
      </c>
      <c r="D389" s="83"/>
      <c r="E389" s="59"/>
      <c r="F389" s="82"/>
      <c r="G389" s="82"/>
      <c r="H389" s="86"/>
      <c r="I389" s="294" t="str">
        <f t="shared" si="37"/>
        <v/>
      </c>
      <c r="J389" s="59"/>
      <c r="K389" s="83"/>
      <c r="L389" s="83" t="str">
        <f t="shared" si="34"/>
        <v xml:space="preserve">
</v>
      </c>
      <c r="M389" s="83"/>
      <c r="N389" s="59"/>
      <c r="O389" s="59"/>
      <c r="P389" s="86" t="e">
        <f t="shared" si="35"/>
        <v>#VALUE!</v>
      </c>
      <c r="Q389" s="59"/>
      <c r="R389" s="59"/>
      <c r="S389" s="59"/>
      <c r="T389" s="59"/>
      <c r="U389" s="290"/>
      <c r="V389" s="290"/>
      <c r="W389" s="290"/>
      <c r="X389" s="290"/>
      <c r="Y389" s="290"/>
      <c r="Z389" s="290"/>
      <c r="AA389" s="290"/>
      <c r="AB389" s="290"/>
      <c r="AC389" s="290"/>
      <c r="AD389" s="290"/>
    </row>
    <row r="390" spans="1:30" ht="25.5">
      <c r="A390" s="291" t="str">
        <f t="shared" si="36"/>
        <v/>
      </c>
      <c r="B390" s="291" t="s">
        <v>1893</v>
      </c>
      <c r="C390" s="291" t="str">
        <f>IF(D389="","",UNIT!$B$1&amp;"-"&amp;B390)</f>
        <v/>
      </c>
      <c r="D390" s="83"/>
      <c r="E390" s="59"/>
      <c r="F390" s="82"/>
      <c r="G390" s="82"/>
      <c r="H390" s="86"/>
      <c r="I390" s="294" t="str">
        <f t="shared" si="37"/>
        <v/>
      </c>
      <c r="J390" s="59"/>
      <c r="K390" s="83"/>
      <c r="L390" s="83" t="str">
        <f t="shared" si="34"/>
        <v xml:space="preserve">
</v>
      </c>
      <c r="M390" s="83"/>
      <c r="N390" s="59"/>
      <c r="O390" s="59"/>
      <c r="P390" s="86" t="e">
        <f t="shared" si="35"/>
        <v>#VALUE!</v>
      </c>
      <c r="Q390" s="59"/>
      <c r="R390" s="59"/>
      <c r="S390" s="59"/>
      <c r="T390" s="59"/>
      <c r="U390" s="290"/>
      <c r="V390" s="290"/>
      <c r="W390" s="290"/>
      <c r="X390" s="290"/>
      <c r="Y390" s="290"/>
      <c r="Z390" s="290"/>
      <c r="AA390" s="290"/>
      <c r="AB390" s="290"/>
      <c r="AC390" s="290"/>
      <c r="AD390" s="290"/>
    </row>
    <row r="391" spans="1:30" ht="25.5">
      <c r="A391" s="291" t="str">
        <f t="shared" si="36"/>
        <v/>
      </c>
      <c r="B391" s="291" t="s">
        <v>1894</v>
      </c>
      <c r="C391" s="291" t="str">
        <f>IF(D390="","",UNIT!$B$1&amp;"-"&amp;B391)</f>
        <v/>
      </c>
      <c r="D391" s="83"/>
      <c r="E391" s="59"/>
      <c r="F391" s="82"/>
      <c r="G391" s="82"/>
      <c r="H391" s="86"/>
      <c r="I391" s="294" t="str">
        <f t="shared" si="37"/>
        <v/>
      </c>
      <c r="J391" s="59"/>
      <c r="K391" s="83"/>
      <c r="L391" s="83" t="str">
        <f t="shared" si="34"/>
        <v xml:space="preserve">
</v>
      </c>
      <c r="M391" s="83"/>
      <c r="N391" s="59"/>
      <c r="O391" s="59"/>
      <c r="P391" s="86" t="e">
        <f t="shared" si="35"/>
        <v>#VALUE!</v>
      </c>
      <c r="Q391" s="59"/>
      <c r="R391" s="59"/>
      <c r="S391" s="59"/>
      <c r="T391" s="59"/>
      <c r="U391" s="290"/>
      <c r="V391" s="290"/>
      <c r="W391" s="290"/>
      <c r="X391" s="290"/>
      <c r="Y391" s="290"/>
      <c r="Z391" s="290"/>
      <c r="AA391" s="290"/>
      <c r="AB391" s="290"/>
      <c r="AC391" s="290"/>
      <c r="AD391" s="290"/>
    </row>
    <row r="392" spans="1:30" ht="25.5">
      <c r="A392" s="291" t="str">
        <f t="shared" si="36"/>
        <v/>
      </c>
      <c r="B392" s="291" t="s">
        <v>1895</v>
      </c>
      <c r="C392" s="291" t="str">
        <f>IF(D391="","",UNIT!$B$1&amp;"-"&amp;B392)</f>
        <v/>
      </c>
      <c r="D392" s="83"/>
      <c r="E392" s="59"/>
      <c r="F392" s="82"/>
      <c r="G392" s="82"/>
      <c r="H392" s="86"/>
      <c r="I392" s="294" t="str">
        <f t="shared" si="37"/>
        <v/>
      </c>
      <c r="J392" s="59"/>
      <c r="K392" s="83"/>
      <c r="L392" s="83" t="str">
        <f t="shared" si="34"/>
        <v xml:space="preserve">
</v>
      </c>
      <c r="M392" s="83"/>
      <c r="N392" s="59"/>
      <c r="O392" s="59"/>
      <c r="P392" s="86" t="e">
        <f t="shared" si="35"/>
        <v>#VALUE!</v>
      </c>
      <c r="Q392" s="59"/>
      <c r="R392" s="59"/>
      <c r="S392" s="59"/>
      <c r="T392" s="59"/>
      <c r="U392" s="290"/>
      <c r="V392" s="290"/>
      <c r="W392" s="290"/>
      <c r="X392" s="290"/>
      <c r="Y392" s="290"/>
      <c r="Z392" s="290"/>
      <c r="AA392" s="290"/>
      <c r="AB392" s="290"/>
      <c r="AC392" s="290"/>
      <c r="AD392" s="290"/>
    </row>
    <row r="393" spans="1:30" ht="25.5">
      <c r="A393" s="291" t="str">
        <f t="shared" si="36"/>
        <v/>
      </c>
      <c r="B393" s="291" t="s">
        <v>1896</v>
      </c>
      <c r="C393" s="291" t="str">
        <f>IF(D392="","",UNIT!$B$1&amp;"-"&amp;B393)</f>
        <v/>
      </c>
      <c r="D393" s="83"/>
      <c r="E393" s="59"/>
      <c r="F393" s="82"/>
      <c r="G393" s="82"/>
      <c r="H393" s="86"/>
      <c r="I393" s="294" t="str">
        <f t="shared" si="37"/>
        <v/>
      </c>
      <c r="J393" s="59"/>
      <c r="K393" s="83"/>
      <c r="L393" s="83" t="str">
        <f t="shared" si="34"/>
        <v xml:space="preserve">
</v>
      </c>
      <c r="M393" s="83"/>
      <c r="N393" s="59"/>
      <c r="O393" s="59"/>
      <c r="P393" s="86" t="e">
        <f t="shared" si="35"/>
        <v>#VALUE!</v>
      </c>
      <c r="Q393" s="59"/>
      <c r="R393" s="59"/>
      <c r="S393" s="59"/>
      <c r="T393" s="59"/>
      <c r="U393" s="290"/>
      <c r="V393" s="290"/>
      <c r="W393" s="290"/>
      <c r="X393" s="290"/>
      <c r="Y393" s="290"/>
      <c r="Z393" s="290"/>
      <c r="AA393" s="290"/>
      <c r="AB393" s="290"/>
      <c r="AC393" s="290"/>
      <c r="AD393" s="290"/>
    </row>
    <row r="394" spans="1:30" ht="25.5">
      <c r="A394" s="291" t="str">
        <f t="shared" si="36"/>
        <v/>
      </c>
      <c r="B394" s="291" t="s">
        <v>1897</v>
      </c>
      <c r="C394" s="291" t="str">
        <f>IF(D393="","",UNIT!$B$1&amp;"-"&amp;B394)</f>
        <v/>
      </c>
      <c r="D394" s="83"/>
      <c r="E394" s="59"/>
      <c r="F394" s="82"/>
      <c r="G394" s="82"/>
      <c r="H394" s="86"/>
      <c r="I394" s="294" t="str">
        <f t="shared" si="37"/>
        <v/>
      </c>
      <c r="J394" s="59"/>
      <c r="K394" s="83"/>
      <c r="L394" s="83" t="str">
        <f t="shared" si="34"/>
        <v xml:space="preserve">
</v>
      </c>
      <c r="M394" s="83"/>
      <c r="N394" s="59"/>
      <c r="O394" s="59"/>
      <c r="P394" s="86" t="e">
        <f t="shared" si="35"/>
        <v>#VALUE!</v>
      </c>
      <c r="Q394" s="59"/>
      <c r="R394" s="59"/>
      <c r="S394" s="59"/>
      <c r="T394" s="59"/>
      <c r="U394" s="290"/>
      <c r="V394" s="290"/>
      <c r="W394" s="290"/>
      <c r="X394" s="290"/>
      <c r="Y394" s="290"/>
      <c r="Z394" s="290"/>
      <c r="AA394" s="290"/>
      <c r="AB394" s="290"/>
      <c r="AC394" s="290"/>
      <c r="AD394" s="290"/>
    </row>
    <row r="395" spans="1:30" ht="25.5">
      <c r="A395" s="291" t="str">
        <f t="shared" si="36"/>
        <v/>
      </c>
      <c r="B395" s="291" t="s">
        <v>1898</v>
      </c>
      <c r="C395" s="291" t="str">
        <f>IF(D394="","",UNIT!$B$1&amp;"-"&amp;B395)</f>
        <v/>
      </c>
      <c r="D395" s="83"/>
      <c r="E395" s="59"/>
      <c r="F395" s="82"/>
      <c r="G395" s="82"/>
      <c r="H395" s="86"/>
      <c r="I395" s="294" t="str">
        <f t="shared" si="37"/>
        <v/>
      </c>
      <c r="J395" s="59"/>
      <c r="K395" s="83"/>
      <c r="L395" s="83" t="str">
        <f t="shared" si="34"/>
        <v xml:space="preserve">
</v>
      </c>
      <c r="M395" s="83"/>
      <c r="N395" s="59"/>
      <c r="O395" s="59"/>
      <c r="P395" s="86" t="e">
        <f t="shared" si="35"/>
        <v>#VALUE!</v>
      </c>
      <c r="Q395" s="59"/>
      <c r="R395" s="59"/>
      <c r="S395" s="59"/>
      <c r="T395" s="59"/>
      <c r="U395" s="290"/>
      <c r="V395" s="290"/>
      <c r="W395" s="290"/>
      <c r="X395" s="290"/>
      <c r="Y395" s="290"/>
      <c r="Z395" s="290"/>
      <c r="AA395" s="290"/>
      <c r="AB395" s="290"/>
      <c r="AC395" s="290"/>
      <c r="AD395" s="290"/>
    </row>
    <row r="396" spans="1:30" ht="25.5">
      <c r="A396" s="291" t="str">
        <f t="shared" si="36"/>
        <v/>
      </c>
      <c r="B396" s="291" t="s">
        <v>1899</v>
      </c>
      <c r="C396" s="291" t="str">
        <f>IF(D395="","",UNIT!$B$1&amp;"-"&amp;B396)</f>
        <v/>
      </c>
      <c r="D396" s="83"/>
      <c r="E396" s="59"/>
      <c r="F396" s="82"/>
      <c r="G396" s="82"/>
      <c r="H396" s="86"/>
      <c r="I396" s="294" t="str">
        <f t="shared" si="37"/>
        <v/>
      </c>
      <c r="J396" s="59"/>
      <c r="K396" s="83"/>
      <c r="L396" s="83" t="str">
        <f t="shared" si="34"/>
        <v xml:space="preserve">
</v>
      </c>
      <c r="M396" s="83"/>
      <c r="N396" s="59"/>
      <c r="O396" s="59"/>
      <c r="P396" s="86" t="e">
        <f t="shared" si="35"/>
        <v>#VALUE!</v>
      </c>
      <c r="Q396" s="59"/>
      <c r="R396" s="59"/>
      <c r="S396" s="59"/>
      <c r="T396" s="59"/>
      <c r="U396" s="290"/>
      <c r="V396" s="290"/>
      <c r="W396" s="290"/>
      <c r="X396" s="290"/>
      <c r="Y396" s="290"/>
      <c r="Z396" s="290"/>
      <c r="AA396" s="290"/>
      <c r="AB396" s="290"/>
      <c r="AC396" s="290"/>
      <c r="AD396" s="290"/>
    </row>
    <row r="397" spans="1:30" ht="25.5">
      <c r="A397" s="291" t="str">
        <f t="shared" si="36"/>
        <v/>
      </c>
      <c r="B397" s="291" t="s">
        <v>1900</v>
      </c>
      <c r="C397" s="291" t="str">
        <f>IF(D396="","",UNIT!$B$1&amp;"-"&amp;B397)</f>
        <v/>
      </c>
      <c r="D397" s="83"/>
      <c r="E397" s="59"/>
      <c r="F397" s="82"/>
      <c r="G397" s="82"/>
      <c r="H397" s="86"/>
      <c r="I397" s="294" t="str">
        <f t="shared" si="37"/>
        <v/>
      </c>
      <c r="J397" s="59"/>
      <c r="K397" s="83"/>
      <c r="L397" s="83" t="str">
        <f t="shared" si="34"/>
        <v xml:space="preserve">
</v>
      </c>
      <c r="M397" s="83"/>
      <c r="N397" s="59"/>
      <c r="O397" s="59"/>
      <c r="P397" s="86" t="e">
        <f t="shared" si="35"/>
        <v>#VALUE!</v>
      </c>
      <c r="Q397" s="59"/>
      <c r="R397" s="59"/>
      <c r="S397" s="59"/>
      <c r="T397" s="59"/>
      <c r="U397" s="290"/>
      <c r="V397" s="290"/>
      <c r="W397" s="290"/>
      <c r="X397" s="290"/>
      <c r="Y397" s="290"/>
      <c r="Z397" s="290"/>
      <c r="AA397" s="290"/>
      <c r="AB397" s="290"/>
      <c r="AC397" s="290"/>
      <c r="AD397" s="290"/>
    </row>
    <row r="398" spans="1:30" ht="25.5">
      <c r="A398" s="291" t="str">
        <f t="shared" si="36"/>
        <v/>
      </c>
      <c r="B398" s="291" t="s">
        <v>1901</v>
      </c>
      <c r="C398" s="291" t="str">
        <f>IF(D397="","",UNIT!$B$1&amp;"-"&amp;B398)</f>
        <v/>
      </c>
      <c r="D398" s="83"/>
      <c r="E398" s="59"/>
      <c r="F398" s="82"/>
      <c r="G398" s="82"/>
      <c r="H398" s="86"/>
      <c r="I398" s="294" t="str">
        <f t="shared" si="37"/>
        <v/>
      </c>
      <c r="J398" s="59"/>
      <c r="K398" s="83"/>
      <c r="L398" s="83" t="str">
        <f t="shared" si="34"/>
        <v xml:space="preserve">
</v>
      </c>
      <c r="M398" s="83"/>
      <c r="N398" s="59"/>
      <c r="O398" s="59"/>
      <c r="P398" s="86" t="e">
        <f t="shared" si="35"/>
        <v>#VALUE!</v>
      </c>
      <c r="Q398" s="59"/>
      <c r="R398" s="59"/>
      <c r="S398" s="59"/>
      <c r="T398" s="59"/>
      <c r="U398" s="290"/>
      <c r="V398" s="290"/>
      <c r="W398" s="290"/>
      <c r="X398" s="290"/>
      <c r="Y398" s="290"/>
      <c r="Z398" s="290"/>
      <c r="AA398" s="290"/>
      <c r="AB398" s="290"/>
      <c r="AC398" s="290"/>
      <c r="AD398" s="290"/>
    </row>
    <row r="399" spans="1:30" ht="25.5">
      <c r="A399" s="291" t="str">
        <f t="shared" si="36"/>
        <v/>
      </c>
      <c r="B399" s="291" t="s">
        <v>1902</v>
      </c>
      <c r="C399" s="291" t="str">
        <f>IF(D398="","",UNIT!$B$1&amp;"-"&amp;B399)</f>
        <v/>
      </c>
      <c r="D399" s="83"/>
      <c r="E399" s="59"/>
      <c r="F399" s="82"/>
      <c r="G399" s="82"/>
      <c r="H399" s="86"/>
      <c r="I399" s="294" t="str">
        <f t="shared" si="37"/>
        <v/>
      </c>
      <c r="J399" s="59"/>
      <c r="K399" s="83"/>
      <c r="L399" s="83" t="str">
        <f t="shared" si="34"/>
        <v xml:space="preserve">
</v>
      </c>
      <c r="M399" s="83"/>
      <c r="N399" s="59"/>
      <c r="O399" s="59"/>
      <c r="P399" s="86" t="e">
        <f t="shared" si="35"/>
        <v>#VALUE!</v>
      </c>
      <c r="Q399" s="59"/>
      <c r="R399" s="59"/>
      <c r="S399" s="59"/>
      <c r="T399" s="59"/>
      <c r="U399" s="290"/>
      <c r="V399" s="290"/>
      <c r="W399" s="290"/>
      <c r="X399" s="290"/>
      <c r="Y399" s="290"/>
      <c r="Z399" s="290"/>
      <c r="AA399" s="290"/>
      <c r="AB399" s="290"/>
      <c r="AC399" s="290"/>
      <c r="AD399" s="290"/>
    </row>
    <row r="400" spans="1:30" ht="25.5">
      <c r="A400" s="291" t="str">
        <f t="shared" si="36"/>
        <v/>
      </c>
      <c r="B400" s="291" t="s">
        <v>1903</v>
      </c>
      <c r="C400" s="291" t="str">
        <f>IF(D399="","",UNIT!$B$1&amp;"-"&amp;B400)</f>
        <v/>
      </c>
      <c r="D400" s="83"/>
      <c r="E400" s="59"/>
      <c r="F400" s="82"/>
      <c r="G400" s="82"/>
      <c r="H400" s="86"/>
      <c r="I400" s="294" t="str">
        <f t="shared" si="37"/>
        <v/>
      </c>
      <c r="J400" s="59"/>
      <c r="K400" s="83"/>
      <c r="L400" s="83" t="str">
        <f t="shared" si="34"/>
        <v xml:space="preserve">
</v>
      </c>
      <c r="M400" s="83"/>
      <c r="N400" s="59"/>
      <c r="O400" s="59"/>
      <c r="P400" s="86" t="e">
        <f t="shared" si="35"/>
        <v>#VALUE!</v>
      </c>
      <c r="Q400" s="59"/>
      <c r="R400" s="59"/>
      <c r="S400" s="59"/>
      <c r="T400" s="59"/>
      <c r="U400" s="290"/>
      <c r="V400" s="290"/>
      <c r="W400" s="290"/>
      <c r="X400" s="290"/>
      <c r="Y400" s="290"/>
      <c r="Z400" s="290"/>
      <c r="AA400" s="290"/>
      <c r="AB400" s="290"/>
      <c r="AC400" s="290"/>
      <c r="AD400" s="290"/>
    </row>
    <row r="401" spans="1:30" ht="25.5">
      <c r="A401" s="291" t="str">
        <f t="shared" si="36"/>
        <v/>
      </c>
      <c r="B401" s="291" t="s">
        <v>1904</v>
      </c>
      <c r="C401" s="291" t="str">
        <f>IF(D400="","",UNIT!$B$1&amp;"-"&amp;B401)</f>
        <v/>
      </c>
      <c r="D401" s="83"/>
      <c r="E401" s="59"/>
      <c r="F401" s="82"/>
      <c r="G401" s="82"/>
      <c r="H401" s="86"/>
      <c r="I401" s="294" t="str">
        <f t="shared" si="37"/>
        <v/>
      </c>
      <c r="J401" s="59"/>
      <c r="K401" s="83"/>
      <c r="L401" s="83" t="str">
        <f t="shared" si="34"/>
        <v xml:space="preserve">
</v>
      </c>
      <c r="M401" s="83"/>
      <c r="N401" s="59"/>
      <c r="O401" s="59"/>
      <c r="P401" s="86" t="e">
        <f t="shared" si="35"/>
        <v>#VALUE!</v>
      </c>
      <c r="Q401" s="59"/>
      <c r="R401" s="59"/>
      <c r="S401" s="59"/>
      <c r="T401" s="59"/>
      <c r="U401" s="290"/>
      <c r="V401" s="290"/>
      <c r="W401" s="290"/>
      <c r="X401" s="290"/>
      <c r="Y401" s="290"/>
      <c r="Z401" s="290"/>
      <c r="AA401" s="290"/>
      <c r="AB401" s="290"/>
      <c r="AC401" s="290"/>
      <c r="AD401" s="290"/>
    </row>
    <row r="402" spans="1:30" ht="25.5">
      <c r="A402" s="291" t="str">
        <f t="shared" si="36"/>
        <v/>
      </c>
      <c r="B402" s="291" t="s">
        <v>1905</v>
      </c>
      <c r="C402" s="291" t="str">
        <f>IF(D401="","",UNIT!$B$1&amp;"-"&amp;B402)</f>
        <v/>
      </c>
      <c r="D402" s="83"/>
      <c r="E402" s="59"/>
      <c r="F402" s="82"/>
      <c r="G402" s="82"/>
      <c r="H402" s="86"/>
      <c r="I402" s="294" t="str">
        <f t="shared" si="37"/>
        <v/>
      </c>
      <c r="J402" s="59"/>
      <c r="K402" s="83"/>
      <c r="L402" s="83" t="str">
        <f t="shared" si="34"/>
        <v xml:space="preserve">
</v>
      </c>
      <c r="M402" s="83"/>
      <c r="N402" s="59"/>
      <c r="O402" s="59"/>
      <c r="P402" s="86" t="e">
        <f t="shared" si="35"/>
        <v>#VALUE!</v>
      </c>
      <c r="Q402" s="59"/>
      <c r="R402" s="59"/>
      <c r="S402" s="59"/>
      <c r="T402" s="59"/>
      <c r="U402" s="290"/>
      <c r="V402" s="290"/>
      <c r="W402" s="290"/>
      <c r="X402" s="290"/>
      <c r="Y402" s="290"/>
      <c r="Z402" s="290"/>
      <c r="AA402" s="290"/>
      <c r="AB402" s="290"/>
      <c r="AC402" s="290"/>
      <c r="AD402" s="290"/>
    </row>
    <row r="403" spans="1:30" ht="25.5">
      <c r="A403" s="291" t="str">
        <f t="shared" si="36"/>
        <v/>
      </c>
      <c r="B403" s="291" t="s">
        <v>1906</v>
      </c>
      <c r="C403" s="291" t="str">
        <f>IF(D402="","",UNIT!$B$1&amp;"-"&amp;B403)</f>
        <v/>
      </c>
      <c r="D403" s="83"/>
      <c r="E403" s="59"/>
      <c r="F403" s="82"/>
      <c r="G403" s="82"/>
      <c r="H403" s="86"/>
      <c r="I403" s="294" t="str">
        <f t="shared" si="37"/>
        <v/>
      </c>
      <c r="J403" s="59"/>
      <c r="K403" s="83"/>
      <c r="L403" s="83" t="str">
        <f t="shared" si="34"/>
        <v xml:space="preserve">
</v>
      </c>
      <c r="M403" s="83"/>
      <c r="N403" s="59"/>
      <c r="O403" s="59"/>
      <c r="P403" s="86" t="e">
        <f t="shared" si="35"/>
        <v>#VALUE!</v>
      </c>
      <c r="Q403" s="59"/>
      <c r="R403" s="59"/>
      <c r="S403" s="59"/>
      <c r="T403" s="59"/>
      <c r="U403" s="290"/>
      <c r="V403" s="290"/>
      <c r="W403" s="290"/>
      <c r="X403" s="290"/>
      <c r="Y403" s="290"/>
      <c r="Z403" s="290"/>
      <c r="AA403" s="290"/>
      <c r="AB403" s="290"/>
      <c r="AC403" s="290"/>
      <c r="AD403" s="290"/>
    </row>
    <row r="404" spans="1:30" ht="25.5">
      <c r="A404" s="291" t="str">
        <f t="shared" si="36"/>
        <v/>
      </c>
      <c r="B404" s="291" t="s">
        <v>1907</v>
      </c>
      <c r="C404" s="291" t="str">
        <f>IF(D403="","",UNIT!$B$1&amp;"-"&amp;B404)</f>
        <v/>
      </c>
      <c r="D404" s="83"/>
      <c r="E404" s="59"/>
      <c r="F404" s="82"/>
      <c r="G404" s="82"/>
      <c r="H404" s="86"/>
      <c r="I404" s="294" t="str">
        <f t="shared" si="37"/>
        <v/>
      </c>
      <c r="J404" s="59"/>
      <c r="K404" s="83"/>
      <c r="L404" s="83" t="str">
        <f t="shared" si="34"/>
        <v xml:space="preserve">
</v>
      </c>
      <c r="M404" s="83"/>
      <c r="N404" s="59"/>
      <c r="O404" s="59"/>
      <c r="P404" s="86" t="e">
        <f t="shared" si="35"/>
        <v>#VALUE!</v>
      </c>
      <c r="Q404" s="59"/>
      <c r="R404" s="59"/>
      <c r="S404" s="59"/>
      <c r="T404" s="59"/>
      <c r="U404" s="290"/>
      <c r="V404" s="290"/>
      <c r="W404" s="290"/>
      <c r="X404" s="290"/>
      <c r="Y404" s="290"/>
      <c r="Z404" s="290"/>
      <c r="AA404" s="290"/>
      <c r="AB404" s="290"/>
      <c r="AC404" s="290"/>
      <c r="AD404" s="290"/>
    </row>
    <row r="405" spans="1:30" ht="25.5">
      <c r="A405" s="291" t="str">
        <f t="shared" si="36"/>
        <v/>
      </c>
      <c r="B405" s="291" t="s">
        <v>1908</v>
      </c>
      <c r="C405" s="291" t="str">
        <f>IF(D404="","",UNIT!$B$1&amp;"-"&amp;B405)</f>
        <v/>
      </c>
      <c r="D405" s="83"/>
      <c r="E405" s="59"/>
      <c r="F405" s="82"/>
      <c r="G405" s="82"/>
      <c r="H405" s="86"/>
      <c r="I405" s="294" t="str">
        <f t="shared" si="37"/>
        <v/>
      </c>
      <c r="J405" s="59"/>
      <c r="K405" s="83"/>
      <c r="L405" s="83" t="str">
        <f t="shared" si="34"/>
        <v xml:space="preserve">
</v>
      </c>
      <c r="M405" s="83"/>
      <c r="N405" s="59"/>
      <c r="O405" s="59"/>
      <c r="P405" s="86" t="e">
        <f t="shared" si="35"/>
        <v>#VALUE!</v>
      </c>
      <c r="Q405" s="59"/>
      <c r="R405" s="59"/>
      <c r="S405" s="59"/>
      <c r="T405" s="59"/>
      <c r="U405" s="290"/>
      <c r="V405" s="290"/>
      <c r="W405" s="290"/>
      <c r="X405" s="290"/>
      <c r="Y405" s="290"/>
      <c r="Z405" s="290"/>
      <c r="AA405" s="290"/>
      <c r="AB405" s="290"/>
      <c r="AC405" s="290"/>
      <c r="AD405" s="290"/>
    </row>
    <row r="406" spans="1:30" ht="25.5">
      <c r="A406" s="291" t="str">
        <f t="shared" si="36"/>
        <v/>
      </c>
      <c r="B406" s="291" t="s">
        <v>1909</v>
      </c>
      <c r="C406" s="291" t="str">
        <f>IF(D405="","",UNIT!$B$1&amp;"-"&amp;B406)</f>
        <v/>
      </c>
      <c r="D406" s="83"/>
      <c r="E406" s="59"/>
      <c r="F406" s="82"/>
      <c r="G406" s="82"/>
      <c r="H406" s="86"/>
      <c r="I406" s="294" t="str">
        <f t="shared" si="37"/>
        <v/>
      </c>
      <c r="J406" s="59"/>
      <c r="K406" s="83"/>
      <c r="L406" s="83" t="str">
        <f t="shared" si="34"/>
        <v xml:space="preserve">
</v>
      </c>
      <c r="M406" s="83"/>
      <c r="N406" s="59"/>
      <c r="O406" s="59"/>
      <c r="P406" s="86" t="e">
        <f t="shared" si="35"/>
        <v>#VALUE!</v>
      </c>
      <c r="Q406" s="59"/>
      <c r="R406" s="59"/>
      <c r="S406" s="59"/>
      <c r="T406" s="59"/>
      <c r="U406" s="290"/>
      <c r="V406" s="290"/>
      <c r="W406" s="290"/>
      <c r="X406" s="290"/>
      <c r="Y406" s="290"/>
      <c r="Z406" s="290"/>
      <c r="AA406" s="290"/>
      <c r="AB406" s="290"/>
      <c r="AC406" s="290"/>
      <c r="AD406" s="290"/>
    </row>
    <row r="407" spans="1:30" ht="25.5">
      <c r="A407" s="291" t="str">
        <f t="shared" si="36"/>
        <v/>
      </c>
      <c r="B407" s="291" t="s">
        <v>1910</v>
      </c>
      <c r="C407" s="291" t="str">
        <f>IF(D406="","",UNIT!$B$1&amp;"-"&amp;B407)</f>
        <v/>
      </c>
      <c r="D407" s="83"/>
      <c r="E407" s="59"/>
      <c r="F407" s="82"/>
      <c r="G407" s="82"/>
      <c r="H407" s="86"/>
      <c r="I407" s="294" t="str">
        <f t="shared" si="37"/>
        <v/>
      </c>
      <c r="J407" s="59"/>
      <c r="K407" s="83"/>
      <c r="L407" s="83" t="str">
        <f t="shared" si="34"/>
        <v xml:space="preserve">
</v>
      </c>
      <c r="M407" s="83"/>
      <c r="N407" s="59"/>
      <c r="O407" s="59"/>
      <c r="P407" s="86" t="e">
        <f t="shared" si="35"/>
        <v>#VALUE!</v>
      </c>
      <c r="Q407" s="59"/>
      <c r="R407" s="59"/>
      <c r="S407" s="59"/>
      <c r="T407" s="59"/>
      <c r="U407" s="290"/>
      <c r="V407" s="290"/>
      <c r="W407" s="290"/>
      <c r="X407" s="290"/>
      <c r="Y407" s="290"/>
      <c r="Z407" s="290"/>
      <c r="AA407" s="290"/>
      <c r="AB407" s="290"/>
      <c r="AC407" s="290"/>
      <c r="AD407" s="290"/>
    </row>
    <row r="408" spans="1:30" ht="25.5">
      <c r="A408" s="291" t="str">
        <f t="shared" si="36"/>
        <v/>
      </c>
      <c r="B408" s="291" t="s">
        <v>1911</v>
      </c>
      <c r="C408" s="291" t="str">
        <f>IF(D407="","",UNIT!$B$1&amp;"-"&amp;B408)</f>
        <v/>
      </c>
      <c r="D408" s="83"/>
      <c r="E408" s="59"/>
      <c r="F408" s="82"/>
      <c r="G408" s="82"/>
      <c r="H408" s="86"/>
      <c r="I408" s="294" t="str">
        <f t="shared" si="37"/>
        <v/>
      </c>
      <c r="J408" s="59"/>
      <c r="K408" s="83"/>
      <c r="L408" s="83" t="str">
        <f t="shared" si="34"/>
        <v xml:space="preserve">
</v>
      </c>
      <c r="M408" s="83"/>
      <c r="N408" s="59"/>
      <c r="O408" s="59"/>
      <c r="P408" s="86" t="e">
        <f t="shared" si="35"/>
        <v>#VALUE!</v>
      </c>
      <c r="Q408" s="59"/>
      <c r="R408" s="59"/>
      <c r="S408" s="59"/>
      <c r="T408" s="59"/>
      <c r="U408" s="290"/>
      <c r="V408" s="290"/>
      <c r="W408" s="290"/>
      <c r="X408" s="290"/>
      <c r="Y408" s="290"/>
      <c r="Z408" s="290"/>
      <c r="AA408" s="290"/>
      <c r="AB408" s="290"/>
      <c r="AC408" s="290"/>
      <c r="AD408" s="290"/>
    </row>
    <row r="409" spans="1:30" ht="25.5">
      <c r="A409" s="291" t="str">
        <f t="shared" si="36"/>
        <v/>
      </c>
      <c r="B409" s="291" t="s">
        <v>1912</v>
      </c>
      <c r="C409" s="291" t="str">
        <f>IF(D408="","",UNIT!$B$1&amp;"-"&amp;B409)</f>
        <v/>
      </c>
      <c r="D409" s="83"/>
      <c r="E409" s="59"/>
      <c r="F409" s="82"/>
      <c r="G409" s="82"/>
      <c r="H409" s="86"/>
      <c r="I409" s="294" t="str">
        <f t="shared" si="37"/>
        <v/>
      </c>
      <c r="J409" s="59"/>
      <c r="K409" s="83"/>
      <c r="L409" s="83" t="str">
        <f t="shared" si="34"/>
        <v xml:space="preserve">
</v>
      </c>
      <c r="M409" s="83"/>
      <c r="N409" s="59"/>
      <c r="O409" s="59"/>
      <c r="P409" s="86" t="e">
        <f t="shared" si="35"/>
        <v>#VALUE!</v>
      </c>
      <c r="Q409" s="59"/>
      <c r="R409" s="59"/>
      <c r="S409" s="59"/>
      <c r="T409" s="59"/>
      <c r="U409" s="290"/>
      <c r="V409" s="290"/>
      <c r="W409" s="290"/>
      <c r="X409" s="290"/>
      <c r="Y409" s="290"/>
      <c r="Z409" s="290"/>
      <c r="AA409" s="290"/>
      <c r="AB409" s="290"/>
      <c r="AC409" s="290"/>
      <c r="AD409" s="290"/>
    </row>
    <row r="410" spans="1:30" ht="25.5">
      <c r="A410" s="291" t="str">
        <f t="shared" si="36"/>
        <v/>
      </c>
      <c r="B410" s="291" t="s">
        <v>1913</v>
      </c>
      <c r="C410" s="291" t="str">
        <f>IF(D409="","",UNIT!$B$1&amp;"-"&amp;B410)</f>
        <v/>
      </c>
      <c r="D410" s="83"/>
      <c r="E410" s="59"/>
      <c r="F410" s="82"/>
      <c r="G410" s="82"/>
      <c r="H410" s="86"/>
      <c r="I410" s="294" t="str">
        <f t="shared" si="37"/>
        <v/>
      </c>
      <c r="J410" s="59"/>
      <c r="K410" s="83"/>
      <c r="L410" s="83" t="str">
        <f t="shared" si="34"/>
        <v xml:space="preserve">
</v>
      </c>
      <c r="M410" s="83"/>
      <c r="N410" s="59"/>
      <c r="O410" s="59"/>
      <c r="P410" s="86" t="e">
        <f t="shared" si="35"/>
        <v>#VALUE!</v>
      </c>
      <c r="Q410" s="59"/>
      <c r="R410" s="59"/>
      <c r="S410" s="59"/>
      <c r="T410" s="59"/>
      <c r="U410" s="290"/>
      <c r="V410" s="290"/>
      <c r="W410" s="290"/>
      <c r="X410" s="290"/>
      <c r="Y410" s="290"/>
      <c r="Z410" s="290"/>
      <c r="AA410" s="290"/>
      <c r="AB410" s="290"/>
      <c r="AC410" s="290"/>
      <c r="AD410" s="290"/>
    </row>
    <row r="411" spans="1:30" ht="25.5">
      <c r="A411" s="291" t="str">
        <f t="shared" si="36"/>
        <v/>
      </c>
      <c r="B411" s="291" t="s">
        <v>1914</v>
      </c>
      <c r="C411" s="291" t="str">
        <f>IF(D410="","",UNIT!$B$1&amp;"-"&amp;B411)</f>
        <v/>
      </c>
      <c r="D411" s="83"/>
      <c r="E411" s="59"/>
      <c r="F411" s="82"/>
      <c r="G411" s="82"/>
      <c r="H411" s="86"/>
      <c r="I411" s="294" t="str">
        <f t="shared" si="37"/>
        <v/>
      </c>
      <c r="J411" s="59"/>
      <c r="K411" s="83"/>
      <c r="L411" s="83" t="str">
        <f t="shared" si="34"/>
        <v xml:space="preserve">
</v>
      </c>
      <c r="M411" s="83"/>
      <c r="N411" s="59"/>
      <c r="O411" s="59"/>
      <c r="P411" s="86" t="e">
        <f t="shared" si="35"/>
        <v>#VALUE!</v>
      </c>
      <c r="Q411" s="59"/>
      <c r="R411" s="59"/>
      <c r="S411" s="59"/>
      <c r="T411" s="59"/>
      <c r="U411" s="290"/>
      <c r="V411" s="290"/>
      <c r="W411" s="290"/>
      <c r="X411" s="290"/>
      <c r="Y411" s="290"/>
      <c r="Z411" s="290"/>
      <c r="AA411" s="290"/>
      <c r="AB411" s="290"/>
      <c r="AC411" s="290"/>
      <c r="AD411" s="290"/>
    </row>
    <row r="412" spans="1:30" ht="25.5">
      <c r="A412" s="291" t="str">
        <f t="shared" si="36"/>
        <v/>
      </c>
      <c r="B412" s="291" t="s">
        <v>1915</v>
      </c>
      <c r="C412" s="291" t="str">
        <f>IF(D411="","",UNIT!$B$1&amp;"-"&amp;B412)</f>
        <v/>
      </c>
      <c r="D412" s="83"/>
      <c r="E412" s="59"/>
      <c r="F412" s="82"/>
      <c r="G412" s="82"/>
      <c r="H412" s="86"/>
      <c r="I412" s="294" t="str">
        <f t="shared" si="37"/>
        <v/>
      </c>
      <c r="J412" s="59"/>
      <c r="K412" s="83"/>
      <c r="L412" s="83" t="str">
        <f t="shared" si="34"/>
        <v xml:space="preserve">
</v>
      </c>
      <c r="M412" s="83"/>
      <c r="N412" s="59"/>
      <c r="O412" s="59"/>
      <c r="P412" s="86" t="e">
        <f t="shared" si="35"/>
        <v>#VALUE!</v>
      </c>
      <c r="Q412" s="59"/>
      <c r="R412" s="59"/>
      <c r="S412" s="59"/>
      <c r="T412" s="59"/>
      <c r="U412" s="290"/>
      <c r="V412" s="290"/>
      <c r="W412" s="290"/>
      <c r="X412" s="290"/>
      <c r="Y412" s="290"/>
      <c r="Z412" s="290"/>
      <c r="AA412" s="290"/>
      <c r="AB412" s="290"/>
      <c r="AC412" s="290"/>
      <c r="AD412" s="290"/>
    </row>
    <row r="413" spans="1:30" ht="25.5">
      <c r="A413" s="291" t="str">
        <f t="shared" si="36"/>
        <v/>
      </c>
      <c r="B413" s="291" t="s">
        <v>1916</v>
      </c>
      <c r="C413" s="291" t="str">
        <f>IF(D412="","",UNIT!$B$1&amp;"-"&amp;B413)</f>
        <v/>
      </c>
      <c r="D413" s="83"/>
      <c r="E413" s="59"/>
      <c r="F413" s="82"/>
      <c r="G413" s="82"/>
      <c r="H413" s="86"/>
      <c r="I413" s="294" t="str">
        <f t="shared" si="37"/>
        <v/>
      </c>
      <c r="J413" s="59"/>
      <c r="K413" s="83"/>
      <c r="L413" s="83" t="str">
        <f t="shared" si="34"/>
        <v xml:space="preserve">
</v>
      </c>
      <c r="M413" s="83"/>
      <c r="N413" s="59"/>
      <c r="O413" s="59"/>
      <c r="P413" s="86" t="e">
        <f t="shared" si="35"/>
        <v>#VALUE!</v>
      </c>
      <c r="Q413" s="59"/>
      <c r="R413" s="59"/>
      <c r="S413" s="59"/>
      <c r="T413" s="59"/>
      <c r="U413" s="290"/>
      <c r="V413" s="290"/>
      <c r="W413" s="290"/>
      <c r="X413" s="290"/>
      <c r="Y413" s="290"/>
      <c r="Z413" s="290"/>
      <c r="AA413" s="290"/>
      <c r="AB413" s="290"/>
      <c r="AC413" s="290"/>
      <c r="AD413" s="290"/>
    </row>
    <row r="414" spans="1:30" ht="25.5">
      <c r="A414" s="291" t="str">
        <f t="shared" si="36"/>
        <v/>
      </c>
      <c r="B414" s="291" t="s">
        <v>1917</v>
      </c>
      <c r="C414" s="291" t="str">
        <f>IF(D413="","",UNIT!$B$1&amp;"-"&amp;B414)</f>
        <v/>
      </c>
      <c r="D414" s="83"/>
      <c r="E414" s="59"/>
      <c r="F414" s="82"/>
      <c r="G414" s="82"/>
      <c r="H414" s="86"/>
      <c r="I414" s="294" t="str">
        <f t="shared" si="37"/>
        <v/>
      </c>
      <c r="J414" s="59"/>
      <c r="K414" s="83"/>
      <c r="L414" s="83" t="str">
        <f t="shared" si="34"/>
        <v xml:space="preserve">
</v>
      </c>
      <c r="M414" s="83"/>
      <c r="N414" s="59"/>
      <c r="O414" s="59"/>
      <c r="P414" s="86" t="e">
        <f t="shared" si="35"/>
        <v>#VALUE!</v>
      </c>
      <c r="Q414" s="59"/>
      <c r="R414" s="59"/>
      <c r="S414" s="59"/>
      <c r="T414" s="59"/>
      <c r="U414" s="290"/>
      <c r="V414" s="290"/>
      <c r="W414" s="290"/>
      <c r="X414" s="290"/>
      <c r="Y414" s="290"/>
      <c r="Z414" s="290"/>
      <c r="AA414" s="290"/>
      <c r="AB414" s="290"/>
      <c r="AC414" s="290"/>
      <c r="AD414" s="290"/>
    </row>
    <row r="415" spans="1:30" ht="25.5">
      <c r="A415" s="291" t="str">
        <f t="shared" si="36"/>
        <v/>
      </c>
      <c r="B415" s="291" t="s">
        <v>1918</v>
      </c>
      <c r="C415" s="291" t="str">
        <f>IF(D414="","",UNIT!$B$1&amp;"-"&amp;B415)</f>
        <v/>
      </c>
      <c r="D415" s="83"/>
      <c r="E415" s="59"/>
      <c r="F415" s="82"/>
      <c r="G415" s="82"/>
      <c r="H415" s="86"/>
      <c r="I415" s="294" t="str">
        <f t="shared" si="37"/>
        <v/>
      </c>
      <c r="J415" s="59"/>
      <c r="K415" s="83"/>
      <c r="L415" s="83" t="str">
        <f t="shared" si="34"/>
        <v xml:space="preserve">
</v>
      </c>
      <c r="M415" s="83"/>
      <c r="N415" s="59"/>
      <c r="O415" s="59"/>
      <c r="P415" s="86" t="e">
        <f t="shared" si="35"/>
        <v>#VALUE!</v>
      </c>
      <c r="Q415" s="59"/>
      <c r="R415" s="59"/>
      <c r="S415" s="59"/>
      <c r="T415" s="59"/>
      <c r="U415" s="290"/>
      <c r="V415" s="290"/>
      <c r="W415" s="290"/>
      <c r="X415" s="290"/>
      <c r="Y415" s="290"/>
      <c r="Z415" s="290"/>
      <c r="AA415" s="290"/>
      <c r="AB415" s="290"/>
      <c r="AC415" s="290"/>
      <c r="AD415" s="290"/>
    </row>
    <row r="416" spans="1:30" ht="25.5">
      <c r="A416" s="291" t="str">
        <f t="shared" si="36"/>
        <v/>
      </c>
      <c r="B416" s="291" t="s">
        <v>1919</v>
      </c>
      <c r="C416" s="291" t="str">
        <f>IF(D415="","",UNIT!$B$1&amp;"-"&amp;B416)</f>
        <v/>
      </c>
      <c r="D416" s="83"/>
      <c r="E416" s="59"/>
      <c r="F416" s="82"/>
      <c r="G416" s="82"/>
      <c r="H416" s="86"/>
      <c r="I416" s="294" t="str">
        <f t="shared" si="37"/>
        <v/>
      </c>
      <c r="J416" s="59"/>
      <c r="K416" s="83"/>
      <c r="L416" s="83" t="str">
        <f t="shared" si="34"/>
        <v xml:space="preserve">
</v>
      </c>
      <c r="M416" s="83"/>
      <c r="N416" s="59"/>
      <c r="O416" s="59"/>
      <c r="P416" s="86" t="e">
        <f t="shared" si="35"/>
        <v>#VALUE!</v>
      </c>
      <c r="Q416" s="59"/>
      <c r="R416" s="59"/>
      <c r="S416" s="59"/>
      <c r="T416" s="59"/>
      <c r="U416" s="290"/>
      <c r="V416" s="290"/>
      <c r="W416" s="290"/>
      <c r="X416" s="290"/>
      <c r="Y416" s="290"/>
      <c r="Z416" s="290"/>
      <c r="AA416" s="290"/>
      <c r="AB416" s="290"/>
      <c r="AC416" s="290"/>
      <c r="AD416" s="290"/>
    </row>
    <row r="417" spans="1:30" ht="25.5">
      <c r="A417" s="291" t="str">
        <f t="shared" si="36"/>
        <v/>
      </c>
      <c r="B417" s="291" t="s">
        <v>1920</v>
      </c>
      <c r="C417" s="291" t="str">
        <f>IF(D416="","",UNIT!$B$1&amp;"-"&amp;B417)</f>
        <v/>
      </c>
      <c r="D417" s="83"/>
      <c r="E417" s="59"/>
      <c r="F417" s="82"/>
      <c r="G417" s="82"/>
      <c r="H417" s="86"/>
      <c r="I417" s="294" t="str">
        <f t="shared" si="37"/>
        <v/>
      </c>
      <c r="J417" s="59"/>
      <c r="K417" s="83"/>
      <c r="L417" s="83" t="str">
        <f t="shared" si="34"/>
        <v xml:space="preserve">
</v>
      </c>
      <c r="M417" s="83"/>
      <c r="N417" s="59"/>
      <c r="O417" s="59"/>
      <c r="P417" s="86" t="e">
        <f t="shared" si="35"/>
        <v>#VALUE!</v>
      </c>
      <c r="Q417" s="59"/>
      <c r="R417" s="59"/>
      <c r="S417" s="59"/>
      <c r="T417" s="59"/>
      <c r="U417" s="290"/>
      <c r="V417" s="290"/>
      <c r="W417" s="290"/>
      <c r="X417" s="290"/>
      <c r="Y417" s="290"/>
      <c r="Z417" s="290"/>
      <c r="AA417" s="290"/>
      <c r="AB417" s="290"/>
      <c r="AC417" s="290"/>
      <c r="AD417" s="290"/>
    </row>
    <row r="418" spans="1:30" ht="25.5">
      <c r="A418" s="291" t="str">
        <f t="shared" si="36"/>
        <v/>
      </c>
      <c r="B418" s="291" t="s">
        <v>1921</v>
      </c>
      <c r="C418" s="291" t="str">
        <f>IF(D417="","",UNIT!$B$1&amp;"-"&amp;B418)</f>
        <v/>
      </c>
      <c r="D418" s="83"/>
      <c r="E418" s="59"/>
      <c r="F418" s="82"/>
      <c r="G418" s="82"/>
      <c r="H418" s="86"/>
      <c r="I418" s="294" t="str">
        <f t="shared" si="37"/>
        <v/>
      </c>
      <c r="J418" s="59"/>
      <c r="K418" s="83"/>
      <c r="L418" s="83" t="str">
        <f t="shared" si="34"/>
        <v xml:space="preserve">
</v>
      </c>
      <c r="M418" s="83"/>
      <c r="N418" s="59"/>
      <c r="O418" s="59"/>
      <c r="P418" s="86" t="e">
        <f t="shared" si="35"/>
        <v>#VALUE!</v>
      </c>
      <c r="Q418" s="59"/>
      <c r="R418" s="59"/>
      <c r="S418" s="59"/>
      <c r="T418" s="59"/>
      <c r="U418" s="290"/>
      <c r="V418" s="290"/>
      <c r="W418" s="290"/>
      <c r="X418" s="290"/>
      <c r="Y418" s="290"/>
      <c r="Z418" s="290"/>
      <c r="AA418" s="290"/>
      <c r="AB418" s="290"/>
      <c r="AC418" s="290"/>
      <c r="AD418" s="290"/>
    </row>
    <row r="419" spans="1:30" ht="25.5">
      <c r="A419" s="291" t="str">
        <f t="shared" si="36"/>
        <v/>
      </c>
      <c r="B419" s="291" t="s">
        <v>1922</v>
      </c>
      <c r="C419" s="291" t="str">
        <f>IF(D418="","",UNIT!$B$1&amp;"-"&amp;B419)</f>
        <v/>
      </c>
      <c r="D419" s="83"/>
      <c r="E419" s="59"/>
      <c r="F419" s="82"/>
      <c r="G419" s="82"/>
      <c r="H419" s="86"/>
      <c r="I419" s="294" t="str">
        <f t="shared" si="37"/>
        <v/>
      </c>
      <c r="J419" s="59"/>
      <c r="K419" s="83"/>
      <c r="L419" s="83" t="str">
        <f t="shared" si="34"/>
        <v xml:space="preserve">
</v>
      </c>
      <c r="M419" s="83"/>
      <c r="N419" s="59"/>
      <c r="O419" s="59"/>
      <c r="P419" s="86" t="e">
        <f t="shared" si="35"/>
        <v>#VALUE!</v>
      </c>
      <c r="Q419" s="59"/>
      <c r="R419" s="59"/>
      <c r="S419" s="59"/>
      <c r="T419" s="59"/>
      <c r="U419" s="290"/>
      <c r="V419" s="290"/>
      <c r="W419" s="290"/>
      <c r="X419" s="290"/>
      <c r="Y419" s="290"/>
      <c r="Z419" s="290"/>
      <c r="AA419" s="290"/>
      <c r="AB419" s="290"/>
      <c r="AC419" s="290"/>
      <c r="AD419" s="290"/>
    </row>
    <row r="420" spans="1:30" ht="25.5">
      <c r="A420" s="291" t="str">
        <f t="shared" si="36"/>
        <v/>
      </c>
      <c r="B420" s="291" t="s">
        <v>1923</v>
      </c>
      <c r="C420" s="291" t="str">
        <f>IF(D419="","",UNIT!$B$1&amp;"-"&amp;B420)</f>
        <v/>
      </c>
      <c r="D420" s="83"/>
      <c r="E420" s="59"/>
      <c r="F420" s="82"/>
      <c r="G420" s="82"/>
      <c r="H420" s="86"/>
      <c r="I420" s="294" t="str">
        <f t="shared" si="37"/>
        <v/>
      </c>
      <c r="J420" s="59"/>
      <c r="K420" s="83"/>
      <c r="L420" s="83" t="str">
        <f t="shared" si="34"/>
        <v xml:space="preserve">
</v>
      </c>
      <c r="M420" s="83"/>
      <c r="N420" s="59"/>
      <c r="O420" s="59"/>
      <c r="P420" s="86" t="e">
        <f t="shared" si="35"/>
        <v>#VALUE!</v>
      </c>
      <c r="Q420" s="59"/>
      <c r="R420" s="59"/>
      <c r="S420" s="59"/>
      <c r="T420" s="59"/>
      <c r="U420" s="290"/>
      <c r="V420" s="290"/>
      <c r="W420" s="290"/>
      <c r="X420" s="290"/>
      <c r="Y420" s="290"/>
      <c r="Z420" s="290"/>
      <c r="AA420" s="290"/>
      <c r="AB420" s="290"/>
      <c r="AC420" s="290"/>
      <c r="AD420" s="290"/>
    </row>
    <row r="421" spans="1:30" ht="25.5">
      <c r="A421" s="291" t="str">
        <f t="shared" si="36"/>
        <v/>
      </c>
      <c r="B421" s="291" t="s">
        <v>1924</v>
      </c>
      <c r="C421" s="291" t="str">
        <f>IF(D420="","",UNIT!$B$1&amp;"-"&amp;B421)</f>
        <v/>
      </c>
      <c r="D421" s="83"/>
      <c r="E421" s="59"/>
      <c r="F421" s="82"/>
      <c r="G421" s="82"/>
      <c r="H421" s="86"/>
      <c r="I421" s="294" t="str">
        <f t="shared" si="37"/>
        <v/>
      </c>
      <c r="J421" s="59"/>
      <c r="K421" s="83"/>
      <c r="L421" s="83" t="str">
        <f t="shared" si="34"/>
        <v xml:space="preserve">
</v>
      </c>
      <c r="M421" s="83"/>
      <c r="N421" s="59"/>
      <c r="O421" s="59"/>
      <c r="P421" s="86" t="e">
        <f t="shared" si="35"/>
        <v>#VALUE!</v>
      </c>
      <c r="Q421" s="59"/>
      <c r="R421" s="59"/>
      <c r="S421" s="59"/>
      <c r="T421" s="59"/>
      <c r="U421" s="290"/>
      <c r="V421" s="290"/>
      <c r="W421" s="290"/>
      <c r="X421" s="290"/>
      <c r="Y421" s="290"/>
      <c r="Z421" s="290"/>
      <c r="AA421" s="290"/>
      <c r="AB421" s="290"/>
      <c r="AC421" s="290"/>
      <c r="AD421" s="290"/>
    </row>
    <row r="422" spans="1:30" ht="25.5">
      <c r="A422" s="291" t="str">
        <f t="shared" si="36"/>
        <v/>
      </c>
      <c r="B422" s="291" t="s">
        <v>1925</v>
      </c>
      <c r="C422" s="291" t="str">
        <f>IF(D421="","",UNIT!$B$1&amp;"-"&amp;B422)</f>
        <v/>
      </c>
      <c r="D422" s="83"/>
      <c r="E422" s="59"/>
      <c r="F422" s="82"/>
      <c r="G422" s="82"/>
      <c r="H422" s="86"/>
      <c r="I422" s="294" t="str">
        <f t="shared" si="37"/>
        <v/>
      </c>
      <c r="J422" s="59"/>
      <c r="K422" s="83"/>
      <c r="L422" s="83" t="str">
        <f t="shared" si="34"/>
        <v xml:space="preserve">
</v>
      </c>
      <c r="M422" s="83"/>
      <c r="N422" s="59"/>
      <c r="O422" s="59"/>
      <c r="P422" s="86" t="e">
        <f t="shared" si="35"/>
        <v>#VALUE!</v>
      </c>
      <c r="Q422" s="59"/>
      <c r="R422" s="59"/>
      <c r="S422" s="59"/>
      <c r="T422" s="59"/>
      <c r="U422" s="290"/>
      <c r="V422" s="290"/>
      <c r="W422" s="290"/>
      <c r="X422" s="290"/>
      <c r="Y422" s="290"/>
      <c r="Z422" s="290"/>
      <c r="AA422" s="290"/>
      <c r="AB422" s="290"/>
      <c r="AC422" s="290"/>
      <c r="AD422" s="290"/>
    </row>
    <row r="423" spans="1:30" ht="25.5">
      <c r="A423" s="291" t="str">
        <f t="shared" si="36"/>
        <v/>
      </c>
      <c r="B423" s="291" t="s">
        <v>1926</v>
      </c>
      <c r="C423" s="291" t="str">
        <f>IF(D422="","",UNIT!$B$1&amp;"-"&amp;B423)</f>
        <v/>
      </c>
      <c r="D423" s="83"/>
      <c r="E423" s="59"/>
      <c r="F423" s="82"/>
      <c r="G423" s="82"/>
      <c r="H423" s="86"/>
      <c r="I423" s="294" t="str">
        <f t="shared" si="37"/>
        <v/>
      </c>
      <c r="J423" s="59"/>
      <c r="K423" s="83"/>
      <c r="L423" s="83" t="str">
        <f t="shared" si="34"/>
        <v xml:space="preserve">
</v>
      </c>
      <c r="M423" s="83"/>
      <c r="N423" s="59"/>
      <c r="O423" s="59"/>
      <c r="P423" s="86" t="e">
        <f t="shared" si="35"/>
        <v>#VALUE!</v>
      </c>
      <c r="Q423" s="59"/>
      <c r="R423" s="59"/>
      <c r="S423" s="59"/>
      <c r="T423" s="59"/>
      <c r="U423" s="290"/>
      <c r="V423" s="290"/>
      <c r="W423" s="290"/>
      <c r="X423" s="290"/>
      <c r="Y423" s="290"/>
      <c r="Z423" s="290"/>
      <c r="AA423" s="290"/>
      <c r="AB423" s="290"/>
      <c r="AC423" s="290"/>
      <c r="AD423" s="290"/>
    </row>
    <row r="424" spans="1:30" ht="25.5">
      <c r="A424" s="291" t="str">
        <f t="shared" si="36"/>
        <v/>
      </c>
      <c r="B424" s="291" t="s">
        <v>1927</v>
      </c>
      <c r="C424" s="291" t="str">
        <f>IF(D423="","",UNIT!$B$1&amp;"-"&amp;B424)</f>
        <v/>
      </c>
      <c r="D424" s="83"/>
      <c r="E424" s="59"/>
      <c r="F424" s="82"/>
      <c r="G424" s="82"/>
      <c r="H424" s="86"/>
      <c r="I424" s="294" t="str">
        <f t="shared" si="37"/>
        <v/>
      </c>
      <c r="J424" s="59"/>
      <c r="K424" s="83"/>
      <c r="L424" s="83" t="str">
        <f t="shared" si="34"/>
        <v xml:space="preserve">
</v>
      </c>
      <c r="M424" s="83"/>
      <c r="N424" s="59"/>
      <c r="O424" s="59"/>
      <c r="P424" s="86" t="e">
        <f t="shared" si="35"/>
        <v>#VALUE!</v>
      </c>
      <c r="Q424" s="59"/>
      <c r="R424" s="59"/>
      <c r="S424" s="59"/>
      <c r="T424" s="59"/>
      <c r="U424" s="290"/>
      <c r="V424" s="290"/>
      <c r="W424" s="290"/>
      <c r="X424" s="290"/>
      <c r="Y424" s="290"/>
      <c r="Z424" s="290"/>
      <c r="AA424" s="290"/>
      <c r="AB424" s="290"/>
      <c r="AC424" s="290"/>
      <c r="AD424" s="290"/>
    </row>
    <row r="425" spans="1:30" ht="25.5">
      <c r="A425" s="291" t="str">
        <f t="shared" si="36"/>
        <v/>
      </c>
      <c r="B425" s="291" t="s">
        <v>1928</v>
      </c>
      <c r="C425" s="291" t="str">
        <f>IF(D424="","",UNIT!$B$1&amp;"-"&amp;B425)</f>
        <v/>
      </c>
      <c r="D425" s="83"/>
      <c r="E425" s="59"/>
      <c r="F425" s="82"/>
      <c r="G425" s="82"/>
      <c r="H425" s="86"/>
      <c r="I425" s="294" t="str">
        <f t="shared" si="37"/>
        <v/>
      </c>
      <c r="J425" s="59"/>
      <c r="K425" s="83"/>
      <c r="L425" s="83" t="str">
        <f t="shared" si="34"/>
        <v xml:space="preserve">
</v>
      </c>
      <c r="M425" s="83"/>
      <c r="N425" s="59"/>
      <c r="O425" s="59"/>
      <c r="P425" s="86" t="e">
        <f t="shared" si="35"/>
        <v>#VALUE!</v>
      </c>
      <c r="Q425" s="59"/>
      <c r="R425" s="59"/>
      <c r="S425" s="59"/>
      <c r="T425" s="59"/>
      <c r="U425" s="290"/>
      <c r="V425" s="290"/>
      <c r="W425" s="290"/>
      <c r="X425" s="290"/>
      <c r="Y425" s="290"/>
      <c r="Z425" s="290"/>
      <c r="AA425" s="290"/>
      <c r="AB425" s="290"/>
      <c r="AC425" s="290"/>
      <c r="AD425" s="290"/>
    </row>
    <row r="426" spans="1:30" ht="25.5">
      <c r="A426" s="291" t="str">
        <f t="shared" si="36"/>
        <v/>
      </c>
      <c r="B426" s="291" t="s">
        <v>1929</v>
      </c>
      <c r="C426" s="291" t="str">
        <f>IF(D425="","",UNIT!$B$1&amp;"-"&amp;B426)</f>
        <v/>
      </c>
      <c r="D426" s="83"/>
      <c r="E426" s="59"/>
      <c r="F426" s="82"/>
      <c r="G426" s="82"/>
      <c r="H426" s="86"/>
      <c r="I426" s="294" t="str">
        <f t="shared" si="37"/>
        <v/>
      </c>
      <c r="J426" s="59"/>
      <c r="K426" s="83"/>
      <c r="L426" s="83" t="str">
        <f t="shared" si="34"/>
        <v xml:space="preserve">
</v>
      </c>
      <c r="M426" s="83"/>
      <c r="N426" s="59"/>
      <c r="O426" s="59"/>
      <c r="P426" s="86" t="e">
        <f t="shared" si="35"/>
        <v>#VALUE!</v>
      </c>
      <c r="Q426" s="59"/>
      <c r="R426" s="59"/>
      <c r="S426" s="59"/>
      <c r="T426" s="59"/>
      <c r="U426" s="290"/>
      <c r="V426" s="290"/>
      <c r="W426" s="290"/>
      <c r="X426" s="290"/>
      <c r="Y426" s="290"/>
      <c r="Z426" s="290"/>
      <c r="AA426" s="290"/>
      <c r="AB426" s="290"/>
      <c r="AC426" s="290"/>
      <c r="AD426" s="290"/>
    </row>
    <row r="427" spans="1:30" ht="25.5">
      <c r="A427" s="291" t="str">
        <f t="shared" si="36"/>
        <v/>
      </c>
      <c r="B427" s="291" t="s">
        <v>1930</v>
      </c>
      <c r="C427" s="291" t="str">
        <f>IF(D426="","",UNIT!$B$1&amp;"-"&amp;B427)</f>
        <v/>
      </c>
      <c r="D427" s="83"/>
      <c r="E427" s="59"/>
      <c r="F427" s="82"/>
      <c r="G427" s="82"/>
      <c r="H427" s="86"/>
      <c r="I427" s="294" t="str">
        <f t="shared" si="37"/>
        <v/>
      </c>
      <c r="J427" s="59"/>
      <c r="K427" s="83"/>
      <c r="L427" s="83" t="str">
        <f t="shared" si="34"/>
        <v xml:space="preserve">
</v>
      </c>
      <c r="M427" s="83"/>
      <c r="N427" s="59"/>
      <c r="O427" s="59"/>
      <c r="P427" s="86" t="e">
        <f t="shared" si="35"/>
        <v>#VALUE!</v>
      </c>
      <c r="Q427" s="59"/>
      <c r="R427" s="59"/>
      <c r="S427" s="59"/>
      <c r="T427" s="59"/>
      <c r="U427" s="290"/>
      <c r="V427" s="290"/>
      <c r="W427" s="290"/>
      <c r="X427" s="290"/>
      <c r="Y427" s="290"/>
      <c r="Z427" s="290"/>
      <c r="AA427" s="290"/>
      <c r="AB427" s="290"/>
      <c r="AC427" s="290"/>
      <c r="AD427" s="290"/>
    </row>
    <row r="428" spans="1:30" ht="25.5">
      <c r="A428" s="291" t="str">
        <f t="shared" si="36"/>
        <v/>
      </c>
      <c r="B428" s="291" t="s">
        <v>1931</v>
      </c>
      <c r="C428" s="291" t="str">
        <f>IF(D427="","",UNIT!$B$1&amp;"-"&amp;B428)</f>
        <v/>
      </c>
      <c r="D428" s="83"/>
      <c r="E428" s="59"/>
      <c r="F428" s="82"/>
      <c r="G428" s="82"/>
      <c r="H428" s="86"/>
      <c r="I428" s="294" t="str">
        <f t="shared" si="37"/>
        <v/>
      </c>
      <c r="J428" s="59"/>
      <c r="K428" s="83"/>
      <c r="L428" s="83" t="str">
        <f t="shared" si="34"/>
        <v xml:space="preserve">
</v>
      </c>
      <c r="M428" s="83"/>
      <c r="N428" s="59"/>
      <c r="O428" s="59"/>
      <c r="P428" s="86" t="e">
        <f t="shared" si="35"/>
        <v>#VALUE!</v>
      </c>
      <c r="Q428" s="59"/>
      <c r="R428" s="59"/>
      <c r="S428" s="59"/>
      <c r="T428" s="59"/>
      <c r="U428" s="290"/>
      <c r="V428" s="290"/>
      <c r="W428" s="290"/>
      <c r="X428" s="290"/>
      <c r="Y428" s="290"/>
      <c r="Z428" s="290"/>
      <c r="AA428" s="290"/>
      <c r="AB428" s="290"/>
      <c r="AC428" s="290"/>
      <c r="AD428" s="290"/>
    </row>
    <row r="429" spans="1:30" ht="25.5">
      <c r="A429" s="291" t="str">
        <f t="shared" si="36"/>
        <v/>
      </c>
      <c r="B429" s="291" t="s">
        <v>1932</v>
      </c>
      <c r="C429" s="291" t="str">
        <f>IF(D428="","",UNIT!$B$1&amp;"-"&amp;B429)</f>
        <v/>
      </c>
      <c r="D429" s="83"/>
      <c r="E429" s="59"/>
      <c r="F429" s="82"/>
      <c r="G429" s="82"/>
      <c r="H429" s="86"/>
      <c r="I429" s="294" t="str">
        <f t="shared" si="37"/>
        <v/>
      </c>
      <c r="J429" s="59"/>
      <c r="K429" s="83"/>
      <c r="L429" s="83" t="str">
        <f t="shared" si="34"/>
        <v xml:space="preserve">
</v>
      </c>
      <c r="M429" s="83"/>
      <c r="N429" s="59"/>
      <c r="O429" s="59"/>
      <c r="P429" s="86" t="e">
        <f t="shared" si="35"/>
        <v>#VALUE!</v>
      </c>
      <c r="Q429" s="59"/>
      <c r="R429" s="59"/>
      <c r="S429" s="59"/>
      <c r="T429" s="59"/>
      <c r="U429" s="290"/>
      <c r="V429" s="290"/>
      <c r="W429" s="290"/>
      <c r="X429" s="290"/>
      <c r="Y429" s="290"/>
      <c r="Z429" s="290"/>
      <c r="AA429" s="290"/>
      <c r="AB429" s="290"/>
      <c r="AC429" s="290"/>
      <c r="AD429" s="290"/>
    </row>
    <row r="430" spans="1:30" ht="25.5">
      <c r="A430" s="291" t="str">
        <f t="shared" si="36"/>
        <v/>
      </c>
      <c r="B430" s="291" t="s">
        <v>1933</v>
      </c>
      <c r="C430" s="291" t="str">
        <f>IF(D429="","",UNIT!$B$1&amp;"-"&amp;B430)</f>
        <v/>
      </c>
      <c r="D430" s="83"/>
      <c r="E430" s="59"/>
      <c r="F430" s="82"/>
      <c r="G430" s="82"/>
      <c r="H430" s="86"/>
      <c r="I430" s="294" t="str">
        <f t="shared" si="37"/>
        <v/>
      </c>
      <c r="J430" s="59"/>
      <c r="K430" s="83"/>
      <c r="L430" s="83" t="str">
        <f t="shared" si="34"/>
        <v xml:space="preserve">
</v>
      </c>
      <c r="M430" s="83"/>
      <c r="N430" s="59"/>
      <c r="O430" s="59"/>
      <c r="P430" s="86" t="e">
        <f t="shared" si="35"/>
        <v>#VALUE!</v>
      </c>
      <c r="Q430" s="59"/>
      <c r="R430" s="59"/>
      <c r="S430" s="59"/>
      <c r="T430" s="59"/>
      <c r="U430" s="290"/>
      <c r="V430" s="290"/>
      <c r="W430" s="290"/>
      <c r="X430" s="290"/>
      <c r="Y430" s="290"/>
      <c r="Z430" s="290"/>
      <c r="AA430" s="290"/>
      <c r="AB430" s="290"/>
      <c r="AC430" s="290"/>
      <c r="AD430" s="290"/>
    </row>
    <row r="431" spans="1:30" ht="25.5">
      <c r="A431" s="291" t="str">
        <f t="shared" si="36"/>
        <v/>
      </c>
      <c r="B431" s="291" t="s">
        <v>1934</v>
      </c>
      <c r="C431" s="291" t="str">
        <f>IF(D430="","",UNIT!$B$1&amp;"-"&amp;B431)</f>
        <v/>
      </c>
      <c r="D431" s="83"/>
      <c r="E431" s="59"/>
      <c r="F431" s="82"/>
      <c r="G431" s="82"/>
      <c r="H431" s="86"/>
      <c r="I431" s="294" t="str">
        <f t="shared" si="37"/>
        <v/>
      </c>
      <c r="J431" s="59"/>
      <c r="K431" s="83"/>
      <c r="L431" s="83" t="str">
        <f t="shared" si="34"/>
        <v xml:space="preserve">
</v>
      </c>
      <c r="M431" s="83"/>
      <c r="N431" s="59"/>
      <c r="O431" s="59"/>
      <c r="P431" s="86" t="e">
        <f t="shared" si="35"/>
        <v>#VALUE!</v>
      </c>
      <c r="Q431" s="59"/>
      <c r="R431" s="59"/>
      <c r="S431" s="59"/>
      <c r="T431" s="59"/>
      <c r="U431" s="290"/>
      <c r="V431" s="290"/>
      <c r="W431" s="290"/>
      <c r="X431" s="290"/>
      <c r="Y431" s="290"/>
      <c r="Z431" s="290"/>
      <c r="AA431" s="290"/>
      <c r="AB431" s="290"/>
      <c r="AC431" s="290"/>
      <c r="AD431" s="290"/>
    </row>
    <row r="432" spans="1:30" ht="25.5">
      <c r="A432" s="291" t="str">
        <f t="shared" si="36"/>
        <v/>
      </c>
      <c r="B432" s="291" t="s">
        <v>1935</v>
      </c>
      <c r="C432" s="291" t="str">
        <f>IF(D431="","",UNIT!$B$1&amp;"-"&amp;B432)</f>
        <v/>
      </c>
      <c r="D432" s="83"/>
      <c r="E432" s="59"/>
      <c r="F432" s="82"/>
      <c r="G432" s="82"/>
      <c r="H432" s="86"/>
      <c r="I432" s="294" t="str">
        <f t="shared" si="37"/>
        <v/>
      </c>
      <c r="J432" s="59"/>
      <c r="K432" s="83"/>
      <c r="L432" s="83" t="str">
        <f t="shared" si="34"/>
        <v xml:space="preserve">
</v>
      </c>
      <c r="M432" s="83"/>
      <c r="N432" s="59"/>
      <c r="O432" s="59"/>
      <c r="P432" s="86" t="e">
        <f t="shared" si="35"/>
        <v>#VALUE!</v>
      </c>
      <c r="Q432" s="59"/>
      <c r="R432" s="59"/>
      <c r="S432" s="59"/>
      <c r="T432" s="59"/>
      <c r="U432" s="290"/>
      <c r="V432" s="290"/>
      <c r="W432" s="290"/>
      <c r="X432" s="290"/>
      <c r="Y432" s="290"/>
      <c r="Z432" s="290"/>
      <c r="AA432" s="290"/>
      <c r="AB432" s="290"/>
      <c r="AC432" s="290"/>
      <c r="AD432" s="290"/>
    </row>
    <row r="433" spans="1:30" ht="25.5">
      <c r="A433" s="291" t="str">
        <f t="shared" si="36"/>
        <v/>
      </c>
      <c r="B433" s="291" t="s">
        <v>1936</v>
      </c>
      <c r="C433" s="291" t="str">
        <f>IF(D432="","",UNIT!$B$1&amp;"-"&amp;B433)</f>
        <v/>
      </c>
      <c r="D433" s="83"/>
      <c r="E433" s="59"/>
      <c r="F433" s="82"/>
      <c r="G433" s="82"/>
      <c r="H433" s="86"/>
      <c r="I433" s="294" t="str">
        <f t="shared" si="37"/>
        <v/>
      </c>
      <c r="J433" s="59"/>
      <c r="K433" s="83"/>
      <c r="L433" s="83" t="str">
        <f t="shared" si="34"/>
        <v xml:space="preserve">
</v>
      </c>
      <c r="M433" s="83"/>
      <c r="N433" s="59"/>
      <c r="O433" s="59"/>
      <c r="P433" s="86" t="e">
        <f t="shared" si="35"/>
        <v>#VALUE!</v>
      </c>
      <c r="Q433" s="59"/>
      <c r="R433" s="59"/>
      <c r="S433" s="59"/>
      <c r="T433" s="59"/>
      <c r="U433" s="290"/>
      <c r="V433" s="290"/>
      <c r="W433" s="290"/>
      <c r="X433" s="290"/>
      <c r="Y433" s="290"/>
      <c r="Z433" s="290"/>
      <c r="AA433" s="290"/>
      <c r="AB433" s="290"/>
      <c r="AC433" s="290"/>
      <c r="AD433" s="290"/>
    </row>
    <row r="434" spans="1:30" ht="25.5">
      <c r="A434" s="291" t="str">
        <f t="shared" si="36"/>
        <v/>
      </c>
      <c r="B434" s="291" t="s">
        <v>1937</v>
      </c>
      <c r="C434" s="291" t="str">
        <f>IF(D433="","",UNIT!$B$1&amp;"-"&amp;B434)</f>
        <v/>
      </c>
      <c r="D434" s="83"/>
      <c r="E434" s="59"/>
      <c r="F434" s="82"/>
      <c r="G434" s="82"/>
      <c r="H434" s="86"/>
      <c r="I434" s="294" t="str">
        <f t="shared" si="37"/>
        <v/>
      </c>
      <c r="J434" s="59"/>
      <c r="K434" s="83"/>
      <c r="L434" s="83" t="str">
        <f t="shared" si="34"/>
        <v xml:space="preserve">
</v>
      </c>
      <c r="M434" s="83"/>
      <c r="N434" s="59"/>
      <c r="O434" s="59"/>
      <c r="P434" s="86" t="e">
        <f t="shared" si="35"/>
        <v>#VALUE!</v>
      </c>
      <c r="Q434" s="59"/>
      <c r="R434" s="59"/>
      <c r="S434" s="59"/>
      <c r="T434" s="59"/>
      <c r="U434" s="290"/>
      <c r="V434" s="290"/>
      <c r="W434" s="290"/>
      <c r="X434" s="290"/>
      <c r="Y434" s="290"/>
      <c r="Z434" s="290"/>
      <c r="AA434" s="290"/>
      <c r="AB434" s="290"/>
      <c r="AC434" s="290"/>
      <c r="AD434" s="290"/>
    </row>
    <row r="435" spans="1:30" ht="25.5">
      <c r="A435" s="291" t="str">
        <f t="shared" si="36"/>
        <v/>
      </c>
      <c r="B435" s="291" t="s">
        <v>1938</v>
      </c>
      <c r="C435" s="291" t="str">
        <f>IF(D434="","",UNIT!$B$1&amp;"-"&amp;B435)</f>
        <v/>
      </c>
      <c r="D435" s="83"/>
      <c r="E435" s="59"/>
      <c r="F435" s="82"/>
      <c r="G435" s="82"/>
      <c r="H435" s="86"/>
      <c r="I435" s="294" t="str">
        <f t="shared" si="37"/>
        <v/>
      </c>
      <c r="J435" s="59"/>
      <c r="K435" s="83"/>
      <c r="L435" s="83" t="str">
        <f t="shared" si="34"/>
        <v xml:space="preserve">
</v>
      </c>
      <c r="M435" s="83"/>
      <c r="N435" s="59"/>
      <c r="O435" s="59"/>
      <c r="P435" s="86" t="e">
        <f t="shared" si="35"/>
        <v>#VALUE!</v>
      </c>
      <c r="Q435" s="59"/>
      <c r="R435" s="59"/>
      <c r="S435" s="59"/>
      <c r="T435" s="59"/>
      <c r="U435" s="290"/>
      <c r="V435" s="290"/>
      <c r="W435" s="290"/>
      <c r="X435" s="290"/>
      <c r="Y435" s="290"/>
      <c r="Z435" s="290"/>
      <c r="AA435" s="290"/>
      <c r="AB435" s="290"/>
      <c r="AC435" s="290"/>
      <c r="AD435" s="290"/>
    </row>
    <row r="436" spans="1:30" ht="25.5">
      <c r="A436" s="291" t="str">
        <f t="shared" si="36"/>
        <v/>
      </c>
      <c r="B436" s="291" t="s">
        <v>1939</v>
      </c>
      <c r="C436" s="291" t="str">
        <f>IF(D435="","",UNIT!$B$1&amp;"-"&amp;B436)</f>
        <v/>
      </c>
      <c r="D436" s="83"/>
      <c r="E436" s="59"/>
      <c r="F436" s="82"/>
      <c r="G436" s="82"/>
      <c r="H436" s="86"/>
      <c r="I436" s="294" t="str">
        <f t="shared" si="37"/>
        <v/>
      </c>
      <c r="J436" s="59"/>
      <c r="K436" s="83"/>
      <c r="L436" s="83" t="str">
        <f t="shared" si="34"/>
        <v xml:space="preserve">
</v>
      </c>
      <c r="M436" s="83"/>
      <c r="N436" s="59"/>
      <c r="O436" s="59"/>
      <c r="P436" s="86" t="e">
        <f t="shared" si="35"/>
        <v>#VALUE!</v>
      </c>
      <c r="Q436" s="59"/>
      <c r="R436" s="59"/>
      <c r="S436" s="59"/>
      <c r="T436" s="59"/>
      <c r="U436" s="290"/>
      <c r="V436" s="290"/>
      <c r="W436" s="290"/>
      <c r="X436" s="290"/>
      <c r="Y436" s="290"/>
      <c r="Z436" s="290"/>
      <c r="AA436" s="290"/>
      <c r="AB436" s="290"/>
      <c r="AC436" s="290"/>
      <c r="AD436" s="290"/>
    </row>
    <row r="437" spans="1:30" ht="25.5">
      <c r="A437" s="291" t="str">
        <f t="shared" si="36"/>
        <v/>
      </c>
      <c r="B437" s="291" t="s">
        <v>1940</v>
      </c>
      <c r="C437" s="291" t="str">
        <f>IF(D436="","",UNIT!$B$1&amp;"-"&amp;B437)</f>
        <v/>
      </c>
      <c r="D437" s="83"/>
      <c r="E437" s="59"/>
      <c r="F437" s="82"/>
      <c r="G437" s="82"/>
      <c r="H437" s="86"/>
      <c r="I437" s="294" t="str">
        <f t="shared" si="37"/>
        <v/>
      </c>
      <c r="J437" s="59"/>
      <c r="K437" s="83"/>
      <c r="L437" s="83" t="str">
        <f t="shared" si="34"/>
        <v xml:space="preserve">
</v>
      </c>
      <c r="M437" s="83"/>
      <c r="N437" s="59"/>
      <c r="O437" s="59"/>
      <c r="P437" s="86" t="e">
        <f t="shared" si="35"/>
        <v>#VALUE!</v>
      </c>
      <c r="Q437" s="59"/>
      <c r="R437" s="59"/>
      <c r="S437" s="59"/>
      <c r="T437" s="59"/>
      <c r="U437" s="290"/>
      <c r="V437" s="290"/>
      <c r="W437" s="290"/>
      <c r="X437" s="290"/>
      <c r="Y437" s="290"/>
      <c r="Z437" s="290"/>
      <c r="AA437" s="290"/>
      <c r="AB437" s="290"/>
      <c r="AC437" s="290"/>
      <c r="AD437" s="290"/>
    </row>
    <row r="438" spans="1:30" ht="25.5">
      <c r="A438" s="291" t="str">
        <f t="shared" si="36"/>
        <v/>
      </c>
      <c r="B438" s="291" t="s">
        <v>1941</v>
      </c>
      <c r="C438" s="291" t="str">
        <f>IF(D437="","",UNIT!$B$1&amp;"-"&amp;B438)</f>
        <v/>
      </c>
      <c r="D438" s="83"/>
      <c r="E438" s="59"/>
      <c r="F438" s="82"/>
      <c r="G438" s="82"/>
      <c r="H438" s="86"/>
      <c r="I438" s="294" t="str">
        <f t="shared" si="37"/>
        <v/>
      </c>
      <c r="J438" s="59"/>
      <c r="K438" s="83"/>
      <c r="L438" s="83" t="str">
        <f t="shared" si="34"/>
        <v xml:space="preserve">
</v>
      </c>
      <c r="M438" s="83"/>
      <c r="N438" s="59"/>
      <c r="O438" s="59"/>
      <c r="P438" s="86" t="e">
        <f t="shared" si="35"/>
        <v>#VALUE!</v>
      </c>
      <c r="Q438" s="59"/>
      <c r="R438" s="59"/>
      <c r="S438" s="59"/>
      <c r="T438" s="59"/>
      <c r="U438" s="290"/>
      <c r="V438" s="290"/>
      <c r="W438" s="290"/>
      <c r="X438" s="290"/>
      <c r="Y438" s="290"/>
      <c r="Z438" s="290"/>
      <c r="AA438" s="290"/>
      <c r="AB438" s="290"/>
      <c r="AC438" s="290"/>
      <c r="AD438" s="290"/>
    </row>
    <row r="439" spans="1:30" ht="25.5">
      <c r="A439" s="291" t="str">
        <f t="shared" si="36"/>
        <v/>
      </c>
      <c r="B439" s="291" t="s">
        <v>1942</v>
      </c>
      <c r="C439" s="291" t="str">
        <f>IF(D438="","",UNIT!$B$1&amp;"-"&amp;B439)</f>
        <v/>
      </c>
      <c r="D439" s="83"/>
      <c r="E439" s="59"/>
      <c r="F439" s="82"/>
      <c r="G439" s="82"/>
      <c r="H439" s="86"/>
      <c r="I439" s="294" t="str">
        <f t="shared" si="37"/>
        <v/>
      </c>
      <c r="J439" s="59"/>
      <c r="K439" s="83"/>
      <c r="L439" s="83" t="str">
        <f t="shared" si="34"/>
        <v xml:space="preserve">
</v>
      </c>
      <c r="M439" s="83"/>
      <c r="N439" s="59"/>
      <c r="O439" s="59"/>
      <c r="P439" s="86" t="e">
        <f t="shared" si="35"/>
        <v>#VALUE!</v>
      </c>
      <c r="Q439" s="59"/>
      <c r="R439" s="59"/>
      <c r="S439" s="59"/>
      <c r="T439" s="59"/>
      <c r="U439" s="290"/>
      <c r="V439" s="290"/>
      <c r="W439" s="290"/>
      <c r="X439" s="290"/>
      <c r="Y439" s="290"/>
      <c r="Z439" s="290"/>
      <c r="AA439" s="290"/>
      <c r="AB439" s="290"/>
      <c r="AC439" s="290"/>
      <c r="AD439" s="290"/>
    </row>
    <row r="440" spans="1:30" ht="25.5">
      <c r="A440" s="291" t="str">
        <f t="shared" si="36"/>
        <v/>
      </c>
      <c r="B440" s="291" t="s">
        <v>1943</v>
      </c>
      <c r="C440" s="291" t="str">
        <f>IF(D439="","",UNIT!$B$1&amp;"-"&amp;B440)</f>
        <v/>
      </c>
      <c r="D440" s="83"/>
      <c r="E440" s="59"/>
      <c r="F440" s="82"/>
      <c r="G440" s="82"/>
      <c r="H440" s="86"/>
      <c r="I440" s="294" t="str">
        <f t="shared" si="37"/>
        <v/>
      </c>
      <c r="J440" s="59"/>
      <c r="K440" s="83"/>
      <c r="L440" s="83" t="str">
        <f t="shared" si="34"/>
        <v xml:space="preserve">
</v>
      </c>
      <c r="M440" s="83"/>
      <c r="N440" s="59"/>
      <c r="O440" s="59"/>
      <c r="P440" s="86" t="e">
        <f t="shared" si="35"/>
        <v>#VALUE!</v>
      </c>
      <c r="Q440" s="59"/>
      <c r="R440" s="59"/>
      <c r="S440" s="59"/>
      <c r="T440" s="59"/>
      <c r="U440" s="290"/>
      <c r="V440" s="290"/>
      <c r="W440" s="290"/>
      <c r="X440" s="290"/>
      <c r="Y440" s="290"/>
      <c r="Z440" s="290"/>
      <c r="AA440" s="290"/>
      <c r="AB440" s="290"/>
      <c r="AC440" s="290"/>
      <c r="AD440" s="290"/>
    </row>
    <row r="441" spans="1:30" ht="25.5">
      <c r="A441" s="291" t="str">
        <f t="shared" si="36"/>
        <v/>
      </c>
      <c r="B441" s="291" t="s">
        <v>1944</v>
      </c>
      <c r="C441" s="291" t="str">
        <f>IF(D440="","",UNIT!$B$1&amp;"-"&amp;B441)</f>
        <v/>
      </c>
      <c r="D441" s="83"/>
      <c r="E441" s="59"/>
      <c r="F441" s="82"/>
      <c r="G441" s="82"/>
      <c r="H441" s="86"/>
      <c r="I441" s="294" t="str">
        <f t="shared" si="37"/>
        <v/>
      </c>
      <c r="J441" s="59"/>
      <c r="K441" s="83"/>
      <c r="L441" s="83" t="str">
        <f t="shared" si="34"/>
        <v xml:space="preserve">
</v>
      </c>
      <c r="M441" s="83"/>
      <c r="N441" s="59"/>
      <c r="O441" s="59"/>
      <c r="P441" s="86" t="e">
        <f t="shared" si="35"/>
        <v>#VALUE!</v>
      </c>
      <c r="Q441" s="59"/>
      <c r="R441" s="59"/>
      <c r="S441" s="59"/>
      <c r="T441" s="59"/>
      <c r="U441" s="290"/>
      <c r="V441" s="290"/>
      <c r="W441" s="290"/>
      <c r="X441" s="290"/>
      <c r="Y441" s="290"/>
      <c r="Z441" s="290"/>
      <c r="AA441" s="290"/>
      <c r="AB441" s="290"/>
      <c r="AC441" s="290"/>
      <c r="AD441" s="290"/>
    </row>
    <row r="442" spans="1:30" ht="25.5">
      <c r="A442" s="291" t="str">
        <f t="shared" si="36"/>
        <v/>
      </c>
      <c r="B442" s="291" t="s">
        <v>1945</v>
      </c>
      <c r="C442" s="291" t="str">
        <f>IF(D441="","",UNIT!$B$1&amp;"-"&amp;B442)</f>
        <v/>
      </c>
      <c r="D442" s="83"/>
      <c r="E442" s="59"/>
      <c r="F442" s="82"/>
      <c r="G442" s="82"/>
      <c r="H442" s="86"/>
      <c r="I442" s="294" t="str">
        <f t="shared" si="37"/>
        <v/>
      </c>
      <c r="J442" s="59"/>
      <c r="K442" s="83"/>
      <c r="L442" s="83" t="str">
        <f t="shared" si="34"/>
        <v xml:space="preserve">
</v>
      </c>
      <c r="M442" s="83"/>
      <c r="N442" s="59"/>
      <c r="O442" s="59"/>
      <c r="P442" s="86" t="e">
        <f t="shared" si="35"/>
        <v>#VALUE!</v>
      </c>
      <c r="Q442" s="59"/>
      <c r="R442" s="59"/>
      <c r="S442" s="59"/>
      <c r="T442" s="59"/>
      <c r="U442" s="290"/>
      <c r="V442" s="290"/>
      <c r="W442" s="290"/>
      <c r="X442" s="290"/>
      <c r="Y442" s="290"/>
      <c r="Z442" s="290"/>
      <c r="AA442" s="290"/>
      <c r="AB442" s="290"/>
      <c r="AC442" s="290"/>
      <c r="AD442" s="290"/>
    </row>
    <row r="443" spans="1:30" ht="25.5">
      <c r="A443" s="291" t="str">
        <f t="shared" si="36"/>
        <v/>
      </c>
      <c r="B443" s="291" t="s">
        <v>1946</v>
      </c>
      <c r="C443" s="291" t="str">
        <f>IF(D442="","",UNIT!$B$1&amp;"-"&amp;B443)</f>
        <v/>
      </c>
      <c r="D443" s="83"/>
      <c r="E443" s="59"/>
      <c r="F443" s="82"/>
      <c r="G443" s="82"/>
      <c r="H443" s="86"/>
      <c r="I443" s="294" t="str">
        <f t="shared" si="37"/>
        <v/>
      </c>
      <c r="J443" s="59"/>
      <c r="K443" s="83"/>
      <c r="L443" s="83" t="str">
        <f t="shared" si="34"/>
        <v xml:space="preserve">
</v>
      </c>
      <c r="M443" s="83"/>
      <c r="N443" s="59"/>
      <c r="O443" s="59"/>
      <c r="P443" s="86" t="e">
        <f t="shared" si="35"/>
        <v>#VALUE!</v>
      </c>
      <c r="Q443" s="59"/>
      <c r="R443" s="59"/>
      <c r="S443" s="59"/>
      <c r="T443" s="59"/>
      <c r="U443" s="290"/>
      <c r="V443" s="290"/>
      <c r="W443" s="290"/>
      <c r="X443" s="290"/>
      <c r="Y443" s="290"/>
      <c r="Z443" s="290"/>
      <c r="AA443" s="290"/>
      <c r="AB443" s="290"/>
      <c r="AC443" s="290"/>
      <c r="AD443" s="290"/>
    </row>
    <row r="444" spans="1:30" ht="25.5">
      <c r="A444" s="291" t="str">
        <f t="shared" si="36"/>
        <v/>
      </c>
      <c r="B444" s="291" t="s">
        <v>1947</v>
      </c>
      <c r="C444" s="291" t="str">
        <f>IF(D443="","",UNIT!$B$1&amp;"-"&amp;B444)</f>
        <v/>
      </c>
      <c r="D444" s="83"/>
      <c r="E444" s="59"/>
      <c r="F444" s="82"/>
      <c r="G444" s="82"/>
      <c r="H444" s="86"/>
      <c r="I444" s="294" t="str">
        <f t="shared" si="37"/>
        <v/>
      </c>
      <c r="J444" s="59"/>
      <c r="K444" s="83"/>
      <c r="L444" s="83" t="str">
        <f t="shared" si="34"/>
        <v xml:space="preserve">
</v>
      </c>
      <c r="M444" s="83"/>
      <c r="N444" s="59"/>
      <c r="O444" s="59"/>
      <c r="P444" s="86" t="e">
        <f t="shared" si="35"/>
        <v>#VALUE!</v>
      </c>
      <c r="Q444" s="59"/>
      <c r="R444" s="59"/>
      <c r="S444" s="59"/>
      <c r="T444" s="59"/>
      <c r="U444" s="290"/>
      <c r="V444" s="290"/>
      <c r="W444" s="290"/>
      <c r="X444" s="290"/>
      <c r="Y444" s="290"/>
      <c r="Z444" s="290"/>
      <c r="AA444" s="290"/>
      <c r="AB444" s="290"/>
      <c r="AC444" s="290"/>
      <c r="AD444" s="290"/>
    </row>
    <row r="445" spans="1:30" ht="25.5">
      <c r="A445" s="291" t="str">
        <f t="shared" si="36"/>
        <v/>
      </c>
      <c r="B445" s="291" t="s">
        <v>1948</v>
      </c>
      <c r="C445" s="291" t="str">
        <f>IF(D444="","",UNIT!$B$1&amp;"-"&amp;B445)</f>
        <v/>
      </c>
      <c r="D445" s="83"/>
      <c r="E445" s="59"/>
      <c r="F445" s="82"/>
      <c r="G445" s="82"/>
      <c r="H445" s="86"/>
      <c r="I445" s="294" t="str">
        <f t="shared" si="37"/>
        <v/>
      </c>
      <c r="J445" s="59"/>
      <c r="K445" s="83"/>
      <c r="L445" s="83" t="str">
        <f t="shared" si="34"/>
        <v xml:space="preserve">
</v>
      </c>
      <c r="M445" s="83"/>
      <c r="N445" s="59"/>
      <c r="O445" s="59"/>
      <c r="P445" s="86" t="e">
        <f t="shared" si="35"/>
        <v>#VALUE!</v>
      </c>
      <c r="Q445" s="59"/>
      <c r="R445" s="59"/>
      <c r="S445" s="59"/>
      <c r="T445" s="59"/>
      <c r="U445" s="290"/>
      <c r="V445" s="290"/>
      <c r="W445" s="290"/>
      <c r="X445" s="290"/>
      <c r="Y445" s="290"/>
      <c r="Z445" s="290"/>
      <c r="AA445" s="290"/>
      <c r="AB445" s="290"/>
      <c r="AC445" s="290"/>
      <c r="AD445" s="290"/>
    </row>
    <row r="446" spans="1:30" ht="25.5">
      <c r="A446" s="291" t="str">
        <f t="shared" si="36"/>
        <v/>
      </c>
      <c r="B446" s="291" t="s">
        <v>1949</v>
      </c>
      <c r="C446" s="291" t="str">
        <f>IF(D445="","",UNIT!$B$1&amp;"-"&amp;B446)</f>
        <v/>
      </c>
      <c r="D446" s="83"/>
      <c r="E446" s="59"/>
      <c r="F446" s="82"/>
      <c r="G446" s="82"/>
      <c r="H446" s="86"/>
      <c r="I446" s="294" t="str">
        <f t="shared" si="37"/>
        <v/>
      </c>
      <c r="J446" s="59"/>
      <c r="K446" s="83"/>
      <c r="L446" s="83" t="str">
        <f t="shared" si="34"/>
        <v xml:space="preserve">
</v>
      </c>
      <c r="M446" s="83"/>
      <c r="N446" s="59"/>
      <c r="O446" s="59"/>
      <c r="P446" s="86" t="e">
        <f t="shared" si="35"/>
        <v>#VALUE!</v>
      </c>
      <c r="Q446" s="59"/>
      <c r="R446" s="59"/>
      <c r="S446" s="59"/>
      <c r="T446" s="59"/>
      <c r="U446" s="290"/>
      <c r="V446" s="290"/>
      <c r="W446" s="290"/>
      <c r="X446" s="290"/>
      <c r="Y446" s="290"/>
      <c r="Z446" s="290"/>
      <c r="AA446" s="290"/>
      <c r="AB446" s="290"/>
      <c r="AC446" s="290"/>
      <c r="AD446" s="290"/>
    </row>
    <row r="447" spans="1:30" ht="25.5">
      <c r="A447" s="291" t="str">
        <f t="shared" si="36"/>
        <v/>
      </c>
      <c r="B447" s="291" t="s">
        <v>1950</v>
      </c>
      <c r="C447" s="291" t="str">
        <f>IF(D446="","",UNIT!$B$1&amp;"-"&amp;B447)</f>
        <v/>
      </c>
      <c r="D447" s="83"/>
      <c r="E447" s="59"/>
      <c r="F447" s="82"/>
      <c r="G447" s="82"/>
      <c r="H447" s="86"/>
      <c r="I447" s="294" t="str">
        <f t="shared" si="37"/>
        <v/>
      </c>
      <c r="J447" s="59"/>
      <c r="K447" s="83"/>
      <c r="L447" s="83" t="str">
        <f t="shared" si="34"/>
        <v xml:space="preserve">
</v>
      </c>
      <c r="M447" s="83"/>
      <c r="N447" s="59"/>
      <c r="O447" s="59"/>
      <c r="P447" s="86" t="e">
        <f t="shared" si="35"/>
        <v>#VALUE!</v>
      </c>
      <c r="Q447" s="59"/>
      <c r="R447" s="59"/>
      <c r="S447" s="59"/>
      <c r="T447" s="59"/>
      <c r="U447" s="290"/>
      <c r="V447" s="290"/>
      <c r="W447" s="290"/>
      <c r="X447" s="290"/>
      <c r="Y447" s="290"/>
      <c r="Z447" s="290"/>
      <c r="AA447" s="290"/>
      <c r="AB447" s="290"/>
      <c r="AC447" s="290"/>
      <c r="AD447" s="290"/>
    </row>
    <row r="448" spans="1:30" ht="25.5">
      <c r="A448" s="291" t="str">
        <f t="shared" si="36"/>
        <v/>
      </c>
      <c r="B448" s="291" t="s">
        <v>1951</v>
      </c>
      <c r="C448" s="291" t="str">
        <f>IF(D447="","",UNIT!$B$1&amp;"-"&amp;B448)</f>
        <v/>
      </c>
      <c r="D448" s="83"/>
      <c r="E448" s="59"/>
      <c r="F448" s="82"/>
      <c r="G448" s="82"/>
      <c r="H448" s="86"/>
      <c r="I448" s="294" t="str">
        <f t="shared" si="37"/>
        <v/>
      </c>
      <c r="J448" s="59"/>
      <c r="K448" s="83"/>
      <c r="L448" s="83" t="str">
        <f t="shared" si="34"/>
        <v xml:space="preserve">
</v>
      </c>
      <c r="M448" s="83"/>
      <c r="N448" s="59"/>
      <c r="O448" s="59"/>
      <c r="P448" s="86" t="e">
        <f t="shared" si="35"/>
        <v>#VALUE!</v>
      </c>
      <c r="Q448" s="59"/>
      <c r="R448" s="59"/>
      <c r="S448" s="59"/>
      <c r="T448" s="59"/>
      <c r="U448" s="290"/>
      <c r="V448" s="290"/>
      <c r="W448" s="290"/>
      <c r="X448" s="290"/>
      <c r="Y448" s="290"/>
      <c r="Z448" s="290"/>
      <c r="AA448" s="290"/>
      <c r="AB448" s="290"/>
      <c r="AC448" s="290"/>
      <c r="AD448" s="290"/>
    </row>
    <row r="449" spans="1:30" ht="25.5">
      <c r="A449" s="291" t="str">
        <f t="shared" si="36"/>
        <v/>
      </c>
      <c r="B449" s="291" t="s">
        <v>1952</v>
      </c>
      <c r="C449" s="291" t="str">
        <f>IF(D448="","",UNIT!$B$1&amp;"-"&amp;B449)</f>
        <v/>
      </c>
      <c r="D449" s="83"/>
      <c r="E449" s="59"/>
      <c r="F449" s="82"/>
      <c r="G449" s="82"/>
      <c r="H449" s="86"/>
      <c r="I449" s="294" t="str">
        <f t="shared" si="37"/>
        <v/>
      </c>
      <c r="J449" s="59"/>
      <c r="K449" s="83"/>
      <c r="L449" s="83" t="str">
        <f t="shared" si="34"/>
        <v xml:space="preserve">
</v>
      </c>
      <c r="M449" s="83"/>
      <c r="N449" s="59"/>
      <c r="O449" s="59"/>
      <c r="P449" s="86" t="e">
        <f t="shared" si="35"/>
        <v>#VALUE!</v>
      </c>
      <c r="Q449" s="59"/>
      <c r="R449" s="59"/>
      <c r="S449" s="59"/>
      <c r="T449" s="59"/>
      <c r="U449" s="290"/>
      <c r="V449" s="290"/>
      <c r="W449" s="290"/>
      <c r="X449" s="290"/>
      <c r="Y449" s="290"/>
      <c r="Z449" s="290"/>
      <c r="AA449" s="290"/>
      <c r="AB449" s="290"/>
      <c r="AC449" s="290"/>
      <c r="AD449" s="290"/>
    </row>
    <row r="450" spans="1:30" ht="25.5">
      <c r="A450" s="291" t="str">
        <f t="shared" si="36"/>
        <v/>
      </c>
      <c r="B450" s="291" t="s">
        <v>1953</v>
      </c>
      <c r="C450" s="291" t="str">
        <f>IF(D449="","",UNIT!$B$1&amp;"-"&amp;B450)</f>
        <v/>
      </c>
      <c r="D450" s="83"/>
      <c r="E450" s="59"/>
      <c r="F450" s="82"/>
      <c r="G450" s="82"/>
      <c r="H450" s="86"/>
      <c r="I450" s="294" t="str">
        <f t="shared" si="37"/>
        <v/>
      </c>
      <c r="J450" s="59"/>
      <c r="K450" s="83"/>
      <c r="L450" s="83" t="str">
        <f t="shared" si="34"/>
        <v xml:space="preserve">
</v>
      </c>
      <c r="M450" s="83"/>
      <c r="N450" s="59"/>
      <c r="O450" s="59"/>
      <c r="P450" s="86" t="e">
        <f t="shared" si="35"/>
        <v>#VALUE!</v>
      </c>
      <c r="Q450" s="59"/>
      <c r="R450" s="59"/>
      <c r="S450" s="59"/>
      <c r="T450" s="59"/>
      <c r="U450" s="290"/>
      <c r="V450" s="290"/>
      <c r="W450" s="290"/>
      <c r="X450" s="290"/>
      <c r="Y450" s="290"/>
      <c r="Z450" s="290"/>
      <c r="AA450" s="290"/>
      <c r="AB450" s="290"/>
      <c r="AC450" s="290"/>
      <c r="AD450" s="290"/>
    </row>
    <row r="451" spans="1:30" ht="25.5">
      <c r="A451" s="291" t="str">
        <f t="shared" si="36"/>
        <v/>
      </c>
      <c r="B451" s="291" t="s">
        <v>1954</v>
      </c>
      <c r="C451" s="291" t="str">
        <f>IF(D450="","",UNIT!$B$1&amp;"-"&amp;B451)</f>
        <v/>
      </c>
      <c r="D451" s="83"/>
      <c r="E451" s="59"/>
      <c r="F451" s="82"/>
      <c r="G451" s="82"/>
      <c r="H451" s="86"/>
      <c r="I451" s="294" t="str">
        <f t="shared" si="37"/>
        <v/>
      </c>
      <c r="J451" s="59"/>
      <c r="K451" s="83"/>
      <c r="L451" s="83" t="str">
        <f t="shared" si="34"/>
        <v xml:space="preserve">
</v>
      </c>
      <c r="M451" s="83"/>
      <c r="N451" s="59"/>
      <c r="O451" s="59"/>
      <c r="P451" s="86" t="e">
        <f t="shared" si="35"/>
        <v>#VALUE!</v>
      </c>
      <c r="Q451" s="59"/>
      <c r="R451" s="59"/>
      <c r="S451" s="59"/>
      <c r="T451" s="59"/>
      <c r="U451" s="290"/>
      <c r="V451" s="290"/>
      <c r="W451" s="290"/>
      <c r="X451" s="290"/>
      <c r="Y451" s="290"/>
      <c r="Z451" s="290"/>
      <c r="AA451" s="290"/>
      <c r="AB451" s="290"/>
      <c r="AC451" s="290"/>
      <c r="AD451" s="290"/>
    </row>
    <row r="452" spans="1:30" ht="25.5">
      <c r="A452" s="291" t="str">
        <f t="shared" si="36"/>
        <v/>
      </c>
      <c r="B452" s="291" t="s">
        <v>1955</v>
      </c>
      <c r="C452" s="291" t="str">
        <f>IF(D451="","",UNIT!$B$1&amp;"-"&amp;B452)</f>
        <v/>
      </c>
      <c r="D452" s="83"/>
      <c r="E452" s="59"/>
      <c r="F452" s="82"/>
      <c r="G452" s="82"/>
      <c r="H452" s="86"/>
      <c r="I452" s="294" t="str">
        <f t="shared" si="37"/>
        <v/>
      </c>
      <c r="J452" s="59"/>
      <c r="K452" s="83"/>
      <c r="L452" s="83" t="str">
        <f t="shared" si="34"/>
        <v xml:space="preserve">
</v>
      </c>
      <c r="M452" s="83"/>
      <c r="N452" s="59"/>
      <c r="O452" s="59"/>
      <c r="P452" s="86" t="e">
        <f t="shared" si="35"/>
        <v>#VALUE!</v>
      </c>
      <c r="Q452" s="59"/>
      <c r="R452" s="59"/>
      <c r="S452" s="59"/>
      <c r="T452" s="59"/>
      <c r="U452" s="290"/>
      <c r="V452" s="290"/>
      <c r="W452" s="290"/>
      <c r="X452" s="290"/>
      <c r="Y452" s="290"/>
      <c r="Z452" s="290"/>
      <c r="AA452" s="290"/>
      <c r="AB452" s="290"/>
      <c r="AC452" s="290"/>
      <c r="AD452" s="290"/>
    </row>
    <row r="453" spans="1:30" ht="25.5">
      <c r="A453" s="291" t="str">
        <f t="shared" si="36"/>
        <v/>
      </c>
      <c r="B453" s="291" t="s">
        <v>1956</v>
      </c>
      <c r="C453" s="291" t="str">
        <f>IF(D452="","",UNIT!$B$1&amp;"-"&amp;B453)</f>
        <v/>
      </c>
      <c r="D453" s="83"/>
      <c r="E453" s="59"/>
      <c r="F453" s="82"/>
      <c r="G453" s="82"/>
      <c r="H453" s="86"/>
      <c r="I453" s="294" t="str">
        <f t="shared" si="37"/>
        <v/>
      </c>
      <c r="J453" s="59"/>
      <c r="K453" s="83"/>
      <c r="L453" s="83" t="str">
        <f t="shared" si="34"/>
        <v xml:space="preserve">
</v>
      </c>
      <c r="M453" s="83"/>
      <c r="N453" s="59"/>
      <c r="O453" s="59"/>
      <c r="P453" s="86" t="e">
        <f t="shared" si="35"/>
        <v>#VALUE!</v>
      </c>
      <c r="Q453" s="59"/>
      <c r="R453" s="59"/>
      <c r="S453" s="59"/>
      <c r="T453" s="59"/>
      <c r="U453" s="290"/>
      <c r="V453" s="290"/>
      <c r="W453" s="290"/>
      <c r="X453" s="290"/>
      <c r="Y453" s="290"/>
      <c r="Z453" s="290"/>
      <c r="AA453" s="290"/>
      <c r="AB453" s="290"/>
      <c r="AC453" s="290"/>
      <c r="AD453" s="290"/>
    </row>
    <row r="454" spans="1:30" ht="25.5">
      <c r="A454" s="291" t="str">
        <f t="shared" si="36"/>
        <v/>
      </c>
      <c r="B454" s="291" t="s">
        <v>1957</v>
      </c>
      <c r="C454" s="291" t="str">
        <f>IF(D453="","",UNIT!$B$1&amp;"-"&amp;B454)</f>
        <v/>
      </c>
      <c r="D454" s="83"/>
      <c r="E454" s="59"/>
      <c r="F454" s="82"/>
      <c r="G454" s="82"/>
      <c r="H454" s="86"/>
      <c r="I454" s="294" t="str">
        <f t="shared" si="37"/>
        <v/>
      </c>
      <c r="J454" s="59"/>
      <c r="K454" s="83"/>
      <c r="L454" s="83" t="str">
        <f t="shared" si="34"/>
        <v xml:space="preserve">
</v>
      </c>
      <c r="M454" s="83"/>
      <c r="N454" s="59"/>
      <c r="O454" s="59"/>
      <c r="P454" s="86" t="e">
        <f t="shared" si="35"/>
        <v>#VALUE!</v>
      </c>
      <c r="Q454" s="59"/>
      <c r="R454" s="59"/>
      <c r="S454" s="59"/>
      <c r="T454" s="59"/>
      <c r="U454" s="290"/>
      <c r="V454" s="290"/>
      <c r="W454" s="290"/>
      <c r="X454" s="290"/>
      <c r="Y454" s="290"/>
      <c r="Z454" s="290"/>
      <c r="AA454" s="290"/>
      <c r="AB454" s="290"/>
      <c r="AC454" s="290"/>
      <c r="AD454" s="290"/>
    </row>
    <row r="455" spans="1:30" ht="25.5">
      <c r="A455" s="291" t="str">
        <f t="shared" si="36"/>
        <v/>
      </c>
      <c r="B455" s="291" t="s">
        <v>1958</v>
      </c>
      <c r="C455" s="291" t="str">
        <f>IF(D454="","",UNIT!$B$1&amp;"-"&amp;B455)</f>
        <v/>
      </c>
      <c r="D455" s="83"/>
      <c r="E455" s="59"/>
      <c r="F455" s="82"/>
      <c r="G455" s="82"/>
      <c r="H455" s="86"/>
      <c r="I455" s="294" t="str">
        <f t="shared" si="37"/>
        <v/>
      </c>
      <c r="J455" s="59"/>
      <c r="K455" s="83"/>
      <c r="L455" s="83" t="str">
        <f t="shared" si="34"/>
        <v xml:space="preserve">
</v>
      </c>
      <c r="M455" s="83"/>
      <c r="N455" s="59"/>
      <c r="O455" s="59"/>
      <c r="P455" s="86" t="e">
        <f t="shared" si="35"/>
        <v>#VALUE!</v>
      </c>
      <c r="Q455" s="59"/>
      <c r="R455" s="59"/>
      <c r="S455" s="59"/>
      <c r="T455" s="59"/>
      <c r="U455" s="290"/>
      <c r="V455" s="290"/>
      <c r="W455" s="290"/>
      <c r="X455" s="290"/>
      <c r="Y455" s="290"/>
      <c r="Z455" s="290"/>
      <c r="AA455" s="290"/>
      <c r="AB455" s="290"/>
      <c r="AC455" s="290"/>
      <c r="AD455" s="290"/>
    </row>
    <row r="456" spans="1:30" ht="25.5">
      <c r="A456" s="291" t="str">
        <f t="shared" si="36"/>
        <v/>
      </c>
      <c r="B456" s="291" t="s">
        <v>1959</v>
      </c>
      <c r="C456" s="291" t="str">
        <f>IF(D455="","",UNIT!$B$1&amp;"-"&amp;B456)</f>
        <v/>
      </c>
      <c r="D456" s="83"/>
      <c r="E456" s="59"/>
      <c r="F456" s="82"/>
      <c r="G456" s="82"/>
      <c r="H456" s="86"/>
      <c r="I456" s="294" t="str">
        <f t="shared" si="37"/>
        <v/>
      </c>
      <c r="J456" s="59"/>
      <c r="K456" s="83"/>
      <c r="L456" s="83" t="str">
        <f t="shared" si="34"/>
        <v xml:space="preserve">
</v>
      </c>
      <c r="M456" s="83"/>
      <c r="N456" s="59"/>
      <c r="O456" s="59"/>
      <c r="P456" s="86" t="e">
        <f t="shared" si="35"/>
        <v>#VALUE!</v>
      </c>
      <c r="Q456" s="59"/>
      <c r="R456" s="59"/>
      <c r="S456" s="59"/>
      <c r="T456" s="59"/>
      <c r="U456" s="290"/>
      <c r="V456" s="290"/>
      <c r="W456" s="290"/>
      <c r="X456" s="290"/>
      <c r="Y456" s="290"/>
      <c r="Z456" s="290"/>
      <c r="AA456" s="290"/>
      <c r="AB456" s="290"/>
      <c r="AC456" s="290"/>
      <c r="AD456" s="290"/>
    </row>
    <row r="457" spans="1:30" ht="25.5">
      <c r="A457" s="291" t="str">
        <f t="shared" si="36"/>
        <v/>
      </c>
      <c r="B457" s="291" t="s">
        <v>1960</v>
      </c>
      <c r="C457" s="291" t="str">
        <f>IF(D456="","",UNIT!$B$1&amp;"-"&amp;B457)</f>
        <v/>
      </c>
      <c r="D457" s="83"/>
      <c r="E457" s="59"/>
      <c r="F457" s="82"/>
      <c r="G457" s="82"/>
      <c r="H457" s="86"/>
      <c r="I457" s="294" t="str">
        <f t="shared" si="37"/>
        <v/>
      </c>
      <c r="J457" s="59"/>
      <c r="K457" s="83"/>
      <c r="L457" s="83" t="str">
        <f t="shared" si="34"/>
        <v xml:space="preserve">
</v>
      </c>
      <c r="M457" s="83"/>
      <c r="N457" s="59"/>
      <c r="O457" s="59"/>
      <c r="P457" s="86" t="e">
        <f t="shared" si="35"/>
        <v>#VALUE!</v>
      </c>
      <c r="Q457" s="59"/>
      <c r="R457" s="59"/>
      <c r="S457" s="59"/>
      <c r="T457" s="59"/>
      <c r="U457" s="290"/>
      <c r="V457" s="290"/>
      <c r="W457" s="290"/>
      <c r="X457" s="290"/>
      <c r="Y457" s="290"/>
      <c r="Z457" s="290"/>
      <c r="AA457" s="290"/>
      <c r="AB457" s="290"/>
      <c r="AC457" s="290"/>
      <c r="AD457" s="290"/>
    </row>
    <row r="458" spans="1:30" ht="25.5">
      <c r="A458" s="291" t="str">
        <f t="shared" si="36"/>
        <v/>
      </c>
      <c r="B458" s="291" t="s">
        <v>1961</v>
      </c>
      <c r="C458" s="291" t="str">
        <f>IF(D457="","",UNIT!$B$1&amp;"-"&amp;B458)</f>
        <v/>
      </c>
      <c r="D458" s="83"/>
      <c r="E458" s="59"/>
      <c r="F458" s="82"/>
      <c r="G458" s="82"/>
      <c r="H458" s="86"/>
      <c r="I458" s="294" t="str">
        <f t="shared" si="37"/>
        <v/>
      </c>
      <c r="J458" s="59"/>
      <c r="K458" s="83"/>
      <c r="L458" s="83" t="str">
        <f t="shared" si="34"/>
        <v xml:space="preserve">
</v>
      </c>
      <c r="M458" s="83"/>
      <c r="N458" s="59"/>
      <c r="O458" s="59"/>
      <c r="P458" s="86" t="e">
        <f t="shared" si="35"/>
        <v>#VALUE!</v>
      </c>
      <c r="Q458" s="59"/>
      <c r="R458" s="59"/>
      <c r="S458" s="59"/>
      <c r="T458" s="59"/>
      <c r="U458" s="290"/>
      <c r="V458" s="290"/>
      <c r="W458" s="290"/>
      <c r="X458" s="290"/>
      <c r="Y458" s="290"/>
      <c r="Z458" s="290"/>
      <c r="AA458" s="290"/>
      <c r="AB458" s="290"/>
      <c r="AC458" s="290"/>
      <c r="AD458" s="290"/>
    </row>
    <row r="459" spans="1:30" ht="25.5">
      <c r="A459" s="291" t="str">
        <f t="shared" si="36"/>
        <v/>
      </c>
      <c r="B459" s="291" t="s">
        <v>1962</v>
      </c>
      <c r="C459" s="291" t="str">
        <f>IF(D458="","",UNIT!$B$1&amp;"-"&amp;B459)</f>
        <v/>
      </c>
      <c r="D459" s="83"/>
      <c r="E459" s="59"/>
      <c r="F459" s="82"/>
      <c r="G459" s="82"/>
      <c r="H459" s="86"/>
      <c r="I459" s="294" t="str">
        <f t="shared" si="37"/>
        <v/>
      </c>
      <c r="J459" s="59"/>
      <c r="K459" s="83"/>
      <c r="L459" s="83" t="str">
        <f t="shared" si="34"/>
        <v xml:space="preserve">
</v>
      </c>
      <c r="M459" s="83"/>
      <c r="N459" s="59"/>
      <c r="O459" s="59"/>
      <c r="P459" s="86" t="e">
        <f t="shared" si="35"/>
        <v>#VALUE!</v>
      </c>
      <c r="Q459" s="59"/>
      <c r="R459" s="59"/>
      <c r="S459" s="59"/>
      <c r="T459" s="59"/>
      <c r="U459" s="290"/>
      <c r="V459" s="290"/>
      <c r="W459" s="290"/>
      <c r="X459" s="290"/>
      <c r="Y459" s="290"/>
      <c r="Z459" s="290"/>
      <c r="AA459" s="290"/>
      <c r="AB459" s="290"/>
      <c r="AC459" s="290"/>
      <c r="AD459" s="290"/>
    </row>
    <row r="460" spans="1:30" ht="25.5">
      <c r="A460" s="291" t="str">
        <f t="shared" si="36"/>
        <v/>
      </c>
      <c r="B460" s="291" t="s">
        <v>1963</v>
      </c>
      <c r="C460" s="291" t="str">
        <f>IF(D459="","",UNIT!$B$1&amp;"-"&amp;B460)</f>
        <v/>
      </c>
      <c r="D460" s="83"/>
      <c r="E460" s="59"/>
      <c r="F460" s="82"/>
      <c r="G460" s="82"/>
      <c r="H460" s="86"/>
      <c r="I460" s="294" t="str">
        <f t="shared" si="37"/>
        <v/>
      </c>
      <c r="J460" s="59"/>
      <c r="K460" s="83"/>
      <c r="L460" s="83" t="str">
        <f t="shared" si="34"/>
        <v xml:space="preserve">
</v>
      </c>
      <c r="M460" s="83"/>
      <c r="N460" s="59"/>
      <c r="O460" s="59"/>
      <c r="P460" s="86" t="e">
        <f t="shared" si="35"/>
        <v>#VALUE!</v>
      </c>
      <c r="Q460" s="59"/>
      <c r="R460" s="59"/>
      <c r="S460" s="59"/>
      <c r="T460" s="59"/>
      <c r="U460" s="290"/>
      <c r="V460" s="290"/>
      <c r="W460" s="290"/>
      <c r="X460" s="290"/>
      <c r="Y460" s="290"/>
      <c r="Z460" s="290"/>
      <c r="AA460" s="290"/>
      <c r="AB460" s="290"/>
      <c r="AC460" s="290"/>
      <c r="AD460" s="290"/>
    </row>
    <row r="461" spans="1:30" ht="25.5">
      <c r="A461" s="291" t="str">
        <f t="shared" si="36"/>
        <v/>
      </c>
      <c r="B461" s="291" t="s">
        <v>1964</v>
      </c>
      <c r="C461" s="291" t="str">
        <f>IF(D460="","",UNIT!$B$1&amp;"-"&amp;B461)</f>
        <v/>
      </c>
      <c r="D461" s="83"/>
      <c r="E461" s="59"/>
      <c r="F461" s="82"/>
      <c r="G461" s="82"/>
      <c r="H461" s="86"/>
      <c r="I461" s="294" t="str">
        <f t="shared" si="37"/>
        <v/>
      </c>
      <c r="J461" s="59"/>
      <c r="K461" s="83"/>
      <c r="L461" s="83" t="str">
        <f t="shared" si="34"/>
        <v xml:space="preserve">
</v>
      </c>
      <c r="M461" s="83"/>
      <c r="N461" s="59"/>
      <c r="O461" s="59"/>
      <c r="P461" s="86" t="e">
        <f t="shared" si="35"/>
        <v>#VALUE!</v>
      </c>
      <c r="Q461" s="59"/>
      <c r="R461" s="59"/>
      <c r="S461" s="59"/>
      <c r="T461" s="59"/>
      <c r="U461" s="290"/>
      <c r="V461" s="290"/>
      <c r="W461" s="290"/>
      <c r="X461" s="290"/>
      <c r="Y461" s="290"/>
      <c r="Z461" s="290"/>
      <c r="AA461" s="290"/>
      <c r="AB461" s="290"/>
      <c r="AC461" s="290"/>
      <c r="AD461" s="290"/>
    </row>
    <row r="462" spans="1:30" ht="25.5">
      <c r="A462" s="291" t="str">
        <f t="shared" si="36"/>
        <v/>
      </c>
      <c r="B462" s="291" t="s">
        <v>1965</v>
      </c>
      <c r="C462" s="291" t="str">
        <f>IF(D461="","",UNIT!$B$1&amp;"-"&amp;B462)</f>
        <v/>
      </c>
      <c r="D462" s="83"/>
      <c r="E462" s="59"/>
      <c r="F462" s="82"/>
      <c r="G462" s="82"/>
      <c r="H462" s="86"/>
      <c r="I462" s="294" t="str">
        <f t="shared" si="37"/>
        <v/>
      </c>
      <c r="J462" s="59"/>
      <c r="K462" s="83"/>
      <c r="L462" s="83" t="str">
        <f t="shared" si="34"/>
        <v xml:space="preserve">
</v>
      </c>
      <c r="M462" s="83"/>
      <c r="N462" s="59"/>
      <c r="O462" s="59"/>
      <c r="P462" s="86" t="e">
        <f t="shared" si="35"/>
        <v>#VALUE!</v>
      </c>
      <c r="Q462" s="59"/>
      <c r="R462" s="59"/>
      <c r="S462" s="59"/>
      <c r="T462" s="59"/>
      <c r="U462" s="290"/>
      <c r="V462" s="290"/>
      <c r="W462" s="290"/>
      <c r="X462" s="290"/>
      <c r="Y462" s="290"/>
      <c r="Z462" s="290"/>
      <c r="AA462" s="290"/>
      <c r="AB462" s="290"/>
      <c r="AC462" s="290"/>
      <c r="AD462" s="290"/>
    </row>
    <row r="463" spans="1:30" ht="25.5">
      <c r="A463" s="291" t="str">
        <f t="shared" si="36"/>
        <v/>
      </c>
      <c r="B463" s="291" t="s">
        <v>1966</v>
      </c>
      <c r="C463" s="291" t="str">
        <f>IF(D462="","",UNIT!$B$1&amp;"-"&amp;B463)</f>
        <v/>
      </c>
      <c r="D463" s="83"/>
      <c r="E463" s="59"/>
      <c r="F463" s="82"/>
      <c r="G463" s="82"/>
      <c r="H463" s="86"/>
      <c r="I463" s="294" t="str">
        <f t="shared" si="37"/>
        <v/>
      </c>
      <c r="J463" s="59"/>
      <c r="K463" s="83"/>
      <c r="L463" s="83" t="str">
        <f t="shared" si="34"/>
        <v xml:space="preserve">
</v>
      </c>
      <c r="M463" s="83"/>
      <c r="N463" s="59"/>
      <c r="O463" s="59"/>
      <c r="P463" s="86" t="e">
        <f t="shared" si="35"/>
        <v>#VALUE!</v>
      </c>
      <c r="Q463" s="59"/>
      <c r="R463" s="59"/>
      <c r="S463" s="59"/>
      <c r="T463" s="59"/>
      <c r="U463" s="290"/>
      <c r="V463" s="290"/>
      <c r="W463" s="290"/>
      <c r="X463" s="290"/>
      <c r="Y463" s="290"/>
      <c r="Z463" s="290"/>
      <c r="AA463" s="290"/>
      <c r="AB463" s="290"/>
      <c r="AC463" s="290"/>
      <c r="AD463" s="290"/>
    </row>
    <row r="464" spans="1:30" ht="25.5">
      <c r="A464" s="291" t="str">
        <f t="shared" si="36"/>
        <v/>
      </c>
      <c r="B464" s="291" t="s">
        <v>1967</v>
      </c>
      <c r="C464" s="291" t="str">
        <f>IF(D463="","",UNIT!$B$1&amp;"-"&amp;B464)</f>
        <v/>
      </c>
      <c r="D464" s="83"/>
      <c r="E464" s="59"/>
      <c r="F464" s="82"/>
      <c r="G464" s="82"/>
      <c r="H464" s="86"/>
      <c r="I464" s="294" t="str">
        <f t="shared" si="37"/>
        <v/>
      </c>
      <c r="J464" s="59"/>
      <c r="K464" s="83"/>
      <c r="L464" s="83" t="str">
        <f t="shared" si="34"/>
        <v xml:space="preserve">
</v>
      </c>
      <c r="M464" s="83"/>
      <c r="N464" s="59"/>
      <c r="O464" s="59"/>
      <c r="P464" s="86" t="e">
        <f t="shared" si="35"/>
        <v>#VALUE!</v>
      </c>
      <c r="Q464" s="59"/>
      <c r="R464" s="59"/>
      <c r="S464" s="59"/>
      <c r="T464" s="59"/>
      <c r="U464" s="290"/>
      <c r="V464" s="290"/>
      <c r="W464" s="290"/>
      <c r="X464" s="290"/>
      <c r="Y464" s="290"/>
      <c r="Z464" s="290"/>
      <c r="AA464" s="290"/>
      <c r="AB464" s="290"/>
      <c r="AC464" s="290"/>
      <c r="AD464" s="290"/>
    </row>
    <row r="465" spans="1:30" ht="25.5">
      <c r="A465" s="291" t="str">
        <f t="shared" si="36"/>
        <v/>
      </c>
      <c r="B465" s="291" t="s">
        <v>1968</v>
      </c>
      <c r="C465" s="291" t="str">
        <f>IF(D464="","",UNIT!$B$1&amp;"-"&amp;B465)</f>
        <v/>
      </c>
      <c r="D465" s="83"/>
      <c r="E465" s="59"/>
      <c r="F465" s="82"/>
      <c r="G465" s="82"/>
      <c r="H465" s="86"/>
      <c r="I465" s="294" t="str">
        <f t="shared" si="37"/>
        <v/>
      </c>
      <c r="J465" s="59"/>
      <c r="K465" s="83"/>
      <c r="L465" s="83" t="str">
        <f t="shared" si="34"/>
        <v xml:space="preserve">
</v>
      </c>
      <c r="M465" s="83"/>
      <c r="N465" s="59"/>
      <c r="O465" s="59"/>
      <c r="P465" s="86" t="e">
        <f t="shared" si="35"/>
        <v>#VALUE!</v>
      </c>
      <c r="Q465" s="59"/>
      <c r="R465" s="59"/>
      <c r="S465" s="59"/>
      <c r="T465" s="59"/>
      <c r="U465" s="290"/>
      <c r="V465" s="290"/>
      <c r="W465" s="290"/>
      <c r="X465" s="290"/>
      <c r="Y465" s="290"/>
      <c r="Z465" s="290"/>
      <c r="AA465" s="290"/>
      <c r="AB465" s="290"/>
      <c r="AC465" s="290"/>
      <c r="AD465" s="290"/>
    </row>
    <row r="466" spans="1:30" ht="25.5">
      <c r="A466" s="291" t="str">
        <f t="shared" si="36"/>
        <v/>
      </c>
      <c r="B466" s="291" t="s">
        <v>1969</v>
      </c>
      <c r="C466" s="291" t="str">
        <f>IF(D465="","",UNIT!$B$1&amp;"-"&amp;B466)</f>
        <v/>
      </c>
      <c r="D466" s="83"/>
      <c r="E466" s="59"/>
      <c r="F466" s="82"/>
      <c r="G466" s="82"/>
      <c r="H466" s="86"/>
      <c r="I466" s="294" t="str">
        <f t="shared" si="37"/>
        <v/>
      </c>
      <c r="J466" s="59"/>
      <c r="K466" s="83"/>
      <c r="L466" s="83" t="str">
        <f t="shared" si="34"/>
        <v xml:space="preserve">
</v>
      </c>
      <c r="M466" s="83"/>
      <c r="N466" s="59"/>
      <c r="O466" s="59"/>
      <c r="P466" s="86" t="e">
        <f t="shared" si="35"/>
        <v>#VALUE!</v>
      </c>
      <c r="Q466" s="59"/>
      <c r="R466" s="59"/>
      <c r="S466" s="59"/>
      <c r="T466" s="59"/>
      <c r="U466" s="290"/>
      <c r="V466" s="290"/>
      <c r="W466" s="290"/>
      <c r="X466" s="290"/>
      <c r="Y466" s="290"/>
      <c r="Z466" s="290"/>
      <c r="AA466" s="290"/>
      <c r="AB466" s="290"/>
      <c r="AC466" s="290"/>
      <c r="AD466" s="290"/>
    </row>
    <row r="467" spans="1:30" ht="25.5">
      <c r="A467" s="291" t="str">
        <f t="shared" si="36"/>
        <v/>
      </c>
      <c r="B467" s="291" t="s">
        <v>1970</v>
      </c>
      <c r="C467" s="291" t="str">
        <f>IF(D466="","",UNIT!$B$1&amp;"-"&amp;B467)</f>
        <v/>
      </c>
      <c r="D467" s="83"/>
      <c r="E467" s="59"/>
      <c r="F467" s="82"/>
      <c r="G467" s="82"/>
      <c r="H467" s="86"/>
      <c r="I467" s="294" t="str">
        <f t="shared" si="37"/>
        <v/>
      </c>
      <c r="J467" s="59"/>
      <c r="K467" s="83"/>
      <c r="L467" s="83" t="str">
        <f t="shared" si="34"/>
        <v xml:space="preserve">
</v>
      </c>
      <c r="M467" s="83"/>
      <c r="N467" s="59"/>
      <c r="O467" s="59"/>
      <c r="P467" s="86" t="e">
        <f t="shared" si="35"/>
        <v>#VALUE!</v>
      </c>
      <c r="Q467" s="59"/>
      <c r="R467" s="59"/>
      <c r="S467" s="59"/>
      <c r="T467" s="59"/>
      <c r="U467" s="290"/>
      <c r="V467" s="290"/>
      <c r="W467" s="290"/>
      <c r="X467" s="290"/>
      <c r="Y467" s="290"/>
      <c r="Z467" s="290"/>
      <c r="AA467" s="290"/>
      <c r="AB467" s="290"/>
      <c r="AC467" s="290"/>
      <c r="AD467" s="290"/>
    </row>
    <row r="468" spans="1:30" ht="25.5">
      <c r="A468" s="291" t="str">
        <f t="shared" si="36"/>
        <v/>
      </c>
      <c r="B468" s="291" t="s">
        <v>1971</v>
      </c>
      <c r="C468" s="291" t="str">
        <f>IF(D467="","",UNIT!$B$1&amp;"-"&amp;B468)</f>
        <v/>
      </c>
      <c r="D468" s="83"/>
      <c r="E468" s="59"/>
      <c r="F468" s="82"/>
      <c r="G468" s="82"/>
      <c r="H468" s="86"/>
      <c r="I468" s="294" t="str">
        <f t="shared" si="37"/>
        <v/>
      </c>
      <c r="J468" s="59"/>
      <c r="K468" s="83"/>
      <c r="L468" s="83" t="str">
        <f t="shared" si="34"/>
        <v xml:space="preserve">
</v>
      </c>
      <c r="M468" s="83"/>
      <c r="N468" s="59"/>
      <c r="O468" s="59"/>
      <c r="P468" s="86" t="e">
        <f t="shared" si="35"/>
        <v>#VALUE!</v>
      </c>
      <c r="Q468" s="59"/>
      <c r="R468" s="59"/>
      <c r="S468" s="59"/>
      <c r="T468" s="59"/>
      <c r="U468" s="290"/>
      <c r="V468" s="290"/>
      <c r="W468" s="290"/>
      <c r="X468" s="290"/>
      <c r="Y468" s="290"/>
      <c r="Z468" s="290"/>
      <c r="AA468" s="290"/>
      <c r="AB468" s="290"/>
      <c r="AC468" s="290"/>
      <c r="AD468" s="290"/>
    </row>
    <row r="469" spans="1:30" ht="25.5">
      <c r="A469" s="291" t="str">
        <f t="shared" si="36"/>
        <v/>
      </c>
      <c r="B469" s="291" t="s">
        <v>1972</v>
      </c>
      <c r="C469" s="291" t="str">
        <f>IF(D468="","",UNIT!$B$1&amp;"-"&amp;B469)</f>
        <v/>
      </c>
      <c r="D469" s="83"/>
      <c r="E469" s="59"/>
      <c r="F469" s="82"/>
      <c r="G469" s="82"/>
      <c r="H469" s="86"/>
      <c r="I469" s="294" t="str">
        <f t="shared" si="37"/>
        <v/>
      </c>
      <c r="J469" s="59"/>
      <c r="K469" s="83"/>
      <c r="L469" s="83" t="str">
        <f t="shared" si="34"/>
        <v xml:space="preserve">
</v>
      </c>
      <c r="M469" s="83"/>
      <c r="N469" s="59"/>
      <c r="O469" s="59"/>
      <c r="P469" s="86" t="e">
        <f t="shared" si="35"/>
        <v>#VALUE!</v>
      </c>
      <c r="Q469" s="59"/>
      <c r="R469" s="59"/>
      <c r="S469" s="59"/>
      <c r="T469" s="59"/>
      <c r="U469" s="290"/>
      <c r="V469" s="290"/>
      <c r="W469" s="290"/>
      <c r="X469" s="290"/>
      <c r="Y469" s="290"/>
      <c r="Z469" s="290"/>
      <c r="AA469" s="290"/>
      <c r="AB469" s="290"/>
      <c r="AC469" s="290"/>
      <c r="AD469" s="290"/>
    </row>
    <row r="470" spans="1:30" ht="25.5">
      <c r="A470" s="291" t="str">
        <f t="shared" si="36"/>
        <v/>
      </c>
      <c r="B470" s="291" t="s">
        <v>1973</v>
      </c>
      <c r="C470" s="291" t="str">
        <f>IF(D469="","",UNIT!$B$1&amp;"-"&amp;B470)</f>
        <v/>
      </c>
      <c r="D470" s="83"/>
      <c r="E470" s="59"/>
      <c r="F470" s="82"/>
      <c r="G470" s="82"/>
      <c r="H470" s="86"/>
      <c r="I470" s="294" t="str">
        <f t="shared" si="37"/>
        <v/>
      </c>
      <c r="J470" s="59"/>
      <c r="K470" s="83"/>
      <c r="L470" s="83" t="str">
        <f t="shared" si="34"/>
        <v xml:space="preserve">
</v>
      </c>
      <c r="M470" s="83"/>
      <c r="N470" s="59"/>
      <c r="O470" s="59"/>
      <c r="P470" s="86" t="e">
        <f t="shared" si="35"/>
        <v>#VALUE!</v>
      </c>
      <c r="Q470" s="59"/>
      <c r="R470" s="59"/>
      <c r="S470" s="59"/>
      <c r="T470" s="59"/>
      <c r="U470" s="290"/>
      <c r="V470" s="290"/>
      <c r="W470" s="290"/>
      <c r="X470" s="290"/>
      <c r="Y470" s="290"/>
      <c r="Z470" s="290"/>
      <c r="AA470" s="290"/>
      <c r="AB470" s="290"/>
      <c r="AC470" s="290"/>
      <c r="AD470" s="290"/>
    </row>
    <row r="471" spans="1:30" ht="25.5">
      <c r="A471" s="291" t="str">
        <f t="shared" si="36"/>
        <v/>
      </c>
      <c r="B471" s="291" t="s">
        <v>1974</v>
      </c>
      <c r="C471" s="291" t="str">
        <f>IF(D470="","",UNIT!$B$1&amp;"-"&amp;B471)</f>
        <v/>
      </c>
      <c r="D471" s="83"/>
      <c r="E471" s="59"/>
      <c r="F471" s="82"/>
      <c r="G471" s="82"/>
      <c r="H471" s="86"/>
      <c r="I471" s="294" t="str">
        <f t="shared" si="37"/>
        <v/>
      </c>
      <c r="J471" s="59"/>
      <c r="K471" s="83"/>
      <c r="L471" s="83" t="str">
        <f t="shared" si="34"/>
        <v xml:space="preserve">
</v>
      </c>
      <c r="M471" s="83"/>
      <c r="N471" s="59"/>
      <c r="O471" s="59"/>
      <c r="P471" s="86" t="e">
        <f t="shared" si="35"/>
        <v>#VALUE!</v>
      </c>
      <c r="Q471" s="59"/>
      <c r="R471" s="59"/>
      <c r="S471" s="59"/>
      <c r="T471" s="59"/>
      <c r="U471" s="290"/>
      <c r="V471" s="290"/>
      <c r="W471" s="290"/>
      <c r="X471" s="290"/>
      <c r="Y471" s="290"/>
      <c r="Z471" s="290"/>
      <c r="AA471" s="290"/>
      <c r="AB471" s="290"/>
      <c r="AC471" s="290"/>
      <c r="AD471" s="290"/>
    </row>
    <row r="472" spans="1:30" ht="25.5">
      <c r="A472" s="291" t="str">
        <f t="shared" si="36"/>
        <v/>
      </c>
      <c r="B472" s="291" t="s">
        <v>1975</v>
      </c>
      <c r="C472" s="291" t="str">
        <f>IF(D471="","",UNIT!$B$1&amp;"-"&amp;B472)</f>
        <v/>
      </c>
      <c r="D472" s="83"/>
      <c r="E472" s="59"/>
      <c r="F472" s="82"/>
      <c r="G472" s="82"/>
      <c r="H472" s="86"/>
      <c r="I472" s="294" t="str">
        <f t="shared" si="37"/>
        <v/>
      </c>
      <c r="J472" s="59"/>
      <c r="K472" s="83"/>
      <c r="L472" s="83" t="str">
        <f t="shared" si="34"/>
        <v xml:space="preserve">
</v>
      </c>
      <c r="M472" s="83"/>
      <c r="N472" s="59"/>
      <c r="O472" s="59"/>
      <c r="P472" s="86" t="e">
        <f t="shared" si="35"/>
        <v>#VALUE!</v>
      </c>
      <c r="Q472" s="59"/>
      <c r="R472" s="59"/>
      <c r="S472" s="59"/>
      <c r="T472" s="59"/>
      <c r="U472" s="290"/>
      <c r="V472" s="290"/>
      <c r="W472" s="290"/>
      <c r="X472" s="290"/>
      <c r="Y472" s="290"/>
      <c r="Z472" s="290"/>
      <c r="AA472" s="290"/>
      <c r="AB472" s="290"/>
      <c r="AC472" s="290"/>
      <c r="AD472" s="290"/>
    </row>
    <row r="473" spans="1:30" ht="25.5">
      <c r="A473" s="291" t="str">
        <f t="shared" si="36"/>
        <v/>
      </c>
      <c r="B473" s="291" t="s">
        <v>1976</v>
      </c>
      <c r="C473" s="291" t="str">
        <f>IF(D472="","",UNIT!$B$1&amp;"-"&amp;B473)</f>
        <v/>
      </c>
      <c r="D473" s="83"/>
      <c r="E473" s="59"/>
      <c r="F473" s="82"/>
      <c r="G473" s="82"/>
      <c r="H473" s="86"/>
      <c r="I473" s="294" t="str">
        <f t="shared" si="37"/>
        <v/>
      </c>
      <c r="J473" s="59"/>
      <c r="K473" s="83"/>
      <c r="L473" s="83" t="str">
        <f t="shared" si="34"/>
        <v xml:space="preserve">
</v>
      </c>
      <c r="M473" s="83"/>
      <c r="N473" s="59"/>
      <c r="O473" s="59"/>
      <c r="P473" s="86" t="e">
        <f t="shared" si="35"/>
        <v>#VALUE!</v>
      </c>
      <c r="Q473" s="59"/>
      <c r="R473" s="59"/>
      <c r="S473" s="59"/>
      <c r="T473" s="59"/>
      <c r="U473" s="290"/>
      <c r="V473" s="290"/>
      <c r="W473" s="290"/>
      <c r="X473" s="290"/>
      <c r="Y473" s="290"/>
      <c r="Z473" s="290"/>
      <c r="AA473" s="290"/>
      <c r="AB473" s="290"/>
      <c r="AC473" s="290"/>
      <c r="AD473" s="290"/>
    </row>
    <row r="474" spans="1:30" ht="25.5">
      <c r="A474" s="291" t="str">
        <f t="shared" si="36"/>
        <v/>
      </c>
      <c r="B474" s="291" t="s">
        <v>1977</v>
      </c>
      <c r="C474" s="291" t="str">
        <f>IF(D473="","",UNIT!$B$1&amp;"-"&amp;B474)</f>
        <v/>
      </c>
      <c r="D474" s="83"/>
      <c r="E474" s="59"/>
      <c r="F474" s="82"/>
      <c r="G474" s="82"/>
      <c r="H474" s="86"/>
      <c r="I474" s="294" t="str">
        <f t="shared" si="37"/>
        <v/>
      </c>
      <c r="J474" s="59"/>
      <c r="K474" s="83"/>
      <c r="L474" s="83" t="str">
        <f t="shared" si="34"/>
        <v xml:space="preserve">
</v>
      </c>
      <c r="M474" s="83"/>
      <c r="N474" s="59"/>
      <c r="O474" s="59"/>
      <c r="P474" s="86" t="e">
        <f t="shared" si="35"/>
        <v>#VALUE!</v>
      </c>
      <c r="Q474" s="59"/>
      <c r="R474" s="59"/>
      <c r="S474" s="59"/>
      <c r="T474" s="59"/>
      <c r="U474" s="290"/>
      <c r="V474" s="290"/>
      <c r="W474" s="290"/>
      <c r="X474" s="290"/>
      <c r="Y474" s="290"/>
      <c r="Z474" s="290"/>
      <c r="AA474" s="290"/>
      <c r="AB474" s="290"/>
      <c r="AC474" s="290"/>
      <c r="AD474" s="290"/>
    </row>
    <row r="475" spans="1:30" ht="25.5">
      <c r="A475" s="291" t="str">
        <f t="shared" si="36"/>
        <v/>
      </c>
      <c r="B475" s="291" t="s">
        <v>1978</v>
      </c>
      <c r="C475" s="291" t="str">
        <f>IF(D474="","",UNIT!$B$1&amp;"-"&amp;B475)</f>
        <v/>
      </c>
      <c r="D475" s="83"/>
      <c r="E475" s="59"/>
      <c r="F475" s="82"/>
      <c r="G475" s="82"/>
      <c r="H475" s="86"/>
      <c r="I475" s="294" t="str">
        <f t="shared" si="37"/>
        <v/>
      </c>
      <c r="J475" s="59"/>
      <c r="K475" s="83"/>
      <c r="L475" s="83" t="str">
        <f t="shared" si="34"/>
        <v xml:space="preserve">
</v>
      </c>
      <c r="M475" s="83"/>
      <c r="N475" s="59"/>
      <c r="O475" s="59"/>
      <c r="P475" s="86" t="e">
        <f t="shared" si="35"/>
        <v>#VALUE!</v>
      </c>
      <c r="Q475" s="59"/>
      <c r="R475" s="59"/>
      <c r="S475" s="59"/>
      <c r="T475" s="59"/>
      <c r="U475" s="290"/>
      <c r="V475" s="290"/>
      <c r="W475" s="290"/>
      <c r="X475" s="290"/>
      <c r="Y475" s="290"/>
      <c r="Z475" s="290"/>
      <c r="AA475" s="290"/>
      <c r="AB475" s="290"/>
      <c r="AC475" s="290"/>
      <c r="AD475" s="290"/>
    </row>
    <row r="476" spans="1:30" ht="25.5">
      <c r="A476" s="291" t="str">
        <f t="shared" si="36"/>
        <v/>
      </c>
      <c r="B476" s="291" t="s">
        <v>1979</v>
      </c>
      <c r="C476" s="291" t="str">
        <f>IF(D475="","",UNIT!$B$1&amp;"-"&amp;B476)</f>
        <v/>
      </c>
      <c r="D476" s="83"/>
      <c r="E476" s="59"/>
      <c r="F476" s="82"/>
      <c r="G476" s="82"/>
      <c r="H476" s="86"/>
      <c r="I476" s="294" t="str">
        <f t="shared" si="37"/>
        <v/>
      </c>
      <c r="J476" s="59"/>
      <c r="K476" s="83"/>
      <c r="L476" s="83" t="str">
        <f t="shared" si="34"/>
        <v xml:space="preserve">
</v>
      </c>
      <c r="M476" s="83"/>
      <c r="N476" s="59"/>
      <c r="O476" s="59"/>
      <c r="P476" s="86" t="e">
        <f t="shared" si="35"/>
        <v>#VALUE!</v>
      </c>
      <c r="Q476" s="59"/>
      <c r="R476" s="59"/>
      <c r="S476" s="59"/>
      <c r="T476" s="59"/>
      <c r="U476" s="290"/>
      <c r="V476" s="290"/>
      <c r="W476" s="290"/>
      <c r="X476" s="290"/>
      <c r="Y476" s="290"/>
      <c r="Z476" s="290"/>
      <c r="AA476" s="290"/>
      <c r="AB476" s="290"/>
      <c r="AC476" s="290"/>
      <c r="AD476" s="290"/>
    </row>
    <row r="477" spans="1:30" ht="25.5">
      <c r="A477" s="291" t="str">
        <f t="shared" si="36"/>
        <v/>
      </c>
      <c r="B477" s="291" t="s">
        <v>1980</v>
      </c>
      <c r="C477" s="291" t="str">
        <f>IF(D476="","",UNIT!$B$1&amp;"-"&amp;B477)</f>
        <v/>
      </c>
      <c r="D477" s="83"/>
      <c r="E477" s="59"/>
      <c r="F477" s="82"/>
      <c r="G477" s="82"/>
      <c r="H477" s="86"/>
      <c r="I477" s="294" t="str">
        <f t="shared" si="37"/>
        <v/>
      </c>
      <c r="J477" s="59"/>
      <c r="K477" s="83"/>
      <c r="L477" s="83" t="str">
        <f t="shared" si="34"/>
        <v xml:space="preserve">
</v>
      </c>
      <c r="M477" s="83"/>
      <c r="N477" s="59"/>
      <c r="O477" s="59"/>
      <c r="P477" s="86" t="e">
        <f t="shared" si="35"/>
        <v>#VALUE!</v>
      </c>
      <c r="Q477" s="59"/>
      <c r="R477" s="59"/>
      <c r="S477" s="59"/>
      <c r="T477" s="59"/>
      <c r="U477" s="290"/>
      <c r="V477" s="290"/>
      <c r="W477" s="290"/>
      <c r="X477" s="290"/>
      <c r="Y477" s="290"/>
      <c r="Z477" s="290"/>
      <c r="AA477" s="290"/>
      <c r="AB477" s="290"/>
      <c r="AC477" s="290"/>
      <c r="AD477" s="290"/>
    </row>
    <row r="478" spans="1:30" ht="25.5">
      <c r="A478" s="291" t="str">
        <f t="shared" si="36"/>
        <v/>
      </c>
      <c r="B478" s="291" t="s">
        <v>1981</v>
      </c>
      <c r="C478" s="291" t="str">
        <f>IF(D477="","",UNIT!$B$1&amp;"-"&amp;B478)</f>
        <v/>
      </c>
      <c r="D478" s="83"/>
      <c r="E478" s="59"/>
      <c r="F478" s="82"/>
      <c r="G478" s="82"/>
      <c r="H478" s="86"/>
      <c r="I478" s="294" t="str">
        <f t="shared" si="37"/>
        <v/>
      </c>
      <c r="J478" s="59"/>
      <c r="K478" s="83"/>
      <c r="L478" s="83" t="str">
        <f t="shared" si="34"/>
        <v xml:space="preserve">
</v>
      </c>
      <c r="M478" s="83"/>
      <c r="N478" s="59"/>
      <c r="O478" s="59"/>
      <c r="P478" s="86" t="e">
        <f t="shared" si="35"/>
        <v>#VALUE!</v>
      </c>
      <c r="Q478" s="59"/>
      <c r="R478" s="59"/>
      <c r="S478" s="59"/>
      <c r="T478" s="59"/>
      <c r="U478" s="290"/>
      <c r="V478" s="290"/>
      <c r="W478" s="290"/>
      <c r="X478" s="290"/>
      <c r="Y478" s="290"/>
      <c r="Z478" s="290"/>
      <c r="AA478" s="290"/>
      <c r="AB478" s="290"/>
      <c r="AC478" s="290"/>
      <c r="AD478" s="290"/>
    </row>
    <row r="479" spans="1:30" ht="25.5">
      <c r="A479" s="291" t="str">
        <f t="shared" si="36"/>
        <v/>
      </c>
      <c r="B479" s="291" t="s">
        <v>1982</v>
      </c>
      <c r="C479" s="291" t="str">
        <f>IF(D478="","",UNIT!$B$1&amp;"-"&amp;B479)</f>
        <v/>
      </c>
      <c r="D479" s="83"/>
      <c r="E479" s="59"/>
      <c r="F479" s="82"/>
      <c r="G479" s="82"/>
      <c r="H479" s="86"/>
      <c r="I479" s="294" t="str">
        <f t="shared" si="37"/>
        <v/>
      </c>
      <c r="J479" s="59"/>
      <c r="K479" s="83"/>
      <c r="L479" s="83" t="str">
        <f t="shared" si="34"/>
        <v xml:space="preserve">
</v>
      </c>
      <c r="M479" s="83"/>
      <c r="N479" s="59"/>
      <c r="O479" s="59"/>
      <c r="P479" s="86" t="e">
        <f t="shared" si="35"/>
        <v>#VALUE!</v>
      </c>
      <c r="Q479" s="59"/>
      <c r="R479" s="59"/>
      <c r="S479" s="59"/>
      <c r="T479" s="59"/>
      <c r="U479" s="290"/>
      <c r="V479" s="290"/>
      <c r="W479" s="290"/>
      <c r="X479" s="290"/>
      <c r="Y479" s="290"/>
      <c r="Z479" s="290"/>
      <c r="AA479" s="290"/>
      <c r="AB479" s="290"/>
      <c r="AC479" s="290"/>
      <c r="AD479" s="290"/>
    </row>
    <row r="480" spans="1:30" ht="25.5">
      <c r="A480" s="291" t="str">
        <f t="shared" si="36"/>
        <v/>
      </c>
      <c r="B480" s="291" t="s">
        <v>1983</v>
      </c>
      <c r="C480" s="291" t="str">
        <f>IF(D479="","",UNIT!$B$1&amp;"-"&amp;B480)</f>
        <v/>
      </c>
      <c r="D480" s="83"/>
      <c r="E480" s="59"/>
      <c r="F480" s="82"/>
      <c r="G480" s="82"/>
      <c r="H480" s="86"/>
      <c r="I480" s="294" t="str">
        <f t="shared" si="37"/>
        <v/>
      </c>
      <c r="J480" s="59"/>
      <c r="K480" s="83"/>
      <c r="L480" s="83" t="str">
        <f t="shared" si="34"/>
        <v xml:space="preserve">
</v>
      </c>
      <c r="M480" s="83"/>
      <c r="N480" s="59"/>
      <c r="O480" s="59"/>
      <c r="P480" s="86" t="e">
        <f t="shared" si="35"/>
        <v>#VALUE!</v>
      </c>
      <c r="Q480" s="59"/>
      <c r="R480" s="59"/>
      <c r="S480" s="59"/>
      <c r="T480" s="59"/>
      <c r="U480" s="290"/>
      <c r="V480" s="290"/>
      <c r="W480" s="290"/>
      <c r="X480" s="290"/>
      <c r="Y480" s="290"/>
      <c r="Z480" s="290"/>
      <c r="AA480" s="290"/>
      <c r="AB480" s="290"/>
      <c r="AC480" s="290"/>
      <c r="AD480" s="290"/>
    </row>
    <row r="481" spans="1:30" ht="25.5">
      <c r="A481" s="291" t="str">
        <f t="shared" si="36"/>
        <v/>
      </c>
      <c r="B481" s="291" t="s">
        <v>1984</v>
      </c>
      <c r="C481" s="291" t="str">
        <f>IF(D480="","",UNIT!$B$1&amp;"-"&amp;B481)</f>
        <v/>
      </c>
      <c r="D481" s="83"/>
      <c r="E481" s="59"/>
      <c r="F481" s="82"/>
      <c r="G481" s="82"/>
      <c r="H481" s="86"/>
      <c r="I481" s="294" t="str">
        <f t="shared" si="37"/>
        <v/>
      </c>
      <c r="J481" s="59"/>
      <c r="K481" s="83"/>
      <c r="L481" s="83" t="str">
        <f t="shared" si="34"/>
        <v xml:space="preserve">
</v>
      </c>
      <c r="M481" s="83"/>
      <c r="N481" s="59"/>
      <c r="O481" s="59"/>
      <c r="P481" s="86" t="e">
        <f t="shared" si="35"/>
        <v>#VALUE!</v>
      </c>
      <c r="Q481" s="59"/>
      <c r="R481" s="59"/>
      <c r="S481" s="59"/>
      <c r="T481" s="59"/>
      <c r="U481" s="290"/>
      <c r="V481" s="290"/>
      <c r="W481" s="290"/>
      <c r="X481" s="290"/>
      <c r="Y481" s="290"/>
      <c r="Z481" s="290"/>
      <c r="AA481" s="290"/>
      <c r="AB481" s="290"/>
      <c r="AC481" s="290"/>
      <c r="AD481" s="290"/>
    </row>
    <row r="482" spans="1:30" ht="25.5">
      <c r="A482" s="291" t="str">
        <f t="shared" si="36"/>
        <v/>
      </c>
      <c r="B482" s="291" t="s">
        <v>1985</v>
      </c>
      <c r="C482" s="291" t="str">
        <f>IF(D481="","",UNIT!$B$1&amp;"-"&amp;B482)</f>
        <v/>
      </c>
      <c r="D482" s="83"/>
      <c r="E482" s="59"/>
      <c r="F482" s="82"/>
      <c r="G482" s="82"/>
      <c r="H482" s="86"/>
      <c r="I482" s="294" t="str">
        <f t="shared" si="37"/>
        <v/>
      </c>
      <c r="J482" s="59"/>
      <c r="K482" s="83"/>
      <c r="L482" s="83" t="str">
        <f t="shared" si="34"/>
        <v xml:space="preserve">
</v>
      </c>
      <c r="M482" s="83"/>
      <c r="N482" s="59"/>
      <c r="O482" s="59"/>
      <c r="P482" s="86" t="e">
        <f t="shared" si="35"/>
        <v>#VALUE!</v>
      </c>
      <c r="Q482" s="59"/>
      <c r="R482" s="59"/>
      <c r="S482" s="59"/>
      <c r="T482" s="59"/>
      <c r="U482" s="290"/>
      <c r="V482" s="290"/>
      <c r="W482" s="290"/>
      <c r="X482" s="290"/>
      <c r="Y482" s="290"/>
      <c r="Z482" s="290"/>
      <c r="AA482" s="290"/>
      <c r="AB482" s="290"/>
      <c r="AC482" s="290"/>
      <c r="AD482" s="290"/>
    </row>
    <row r="483" spans="1:30" ht="25.5">
      <c r="A483" s="291" t="str">
        <f t="shared" si="36"/>
        <v/>
      </c>
      <c r="B483" s="291" t="s">
        <v>1986</v>
      </c>
      <c r="C483" s="291" t="str">
        <f>IF(D482="","",UNIT!$B$1&amp;"-"&amp;B483)</f>
        <v/>
      </c>
      <c r="D483" s="83"/>
      <c r="E483" s="59"/>
      <c r="F483" s="82"/>
      <c r="G483" s="82"/>
      <c r="H483" s="86"/>
      <c r="I483" s="294" t="str">
        <f t="shared" si="37"/>
        <v/>
      </c>
      <c r="J483" s="59"/>
      <c r="K483" s="83"/>
      <c r="L483" s="83" t="str">
        <f t="shared" si="34"/>
        <v xml:space="preserve">
</v>
      </c>
      <c r="M483" s="83"/>
      <c r="N483" s="59"/>
      <c r="O483" s="59"/>
      <c r="P483" s="86" t="e">
        <f t="shared" si="35"/>
        <v>#VALUE!</v>
      </c>
      <c r="Q483" s="59"/>
      <c r="R483" s="59"/>
      <c r="S483" s="59"/>
      <c r="T483" s="59"/>
      <c r="U483" s="290"/>
      <c r="V483" s="290"/>
      <c r="W483" s="290"/>
      <c r="X483" s="290"/>
      <c r="Y483" s="290"/>
      <c r="Z483" s="290"/>
      <c r="AA483" s="290"/>
      <c r="AB483" s="290"/>
      <c r="AC483" s="290"/>
      <c r="AD483" s="290"/>
    </row>
    <row r="484" spans="1:30" ht="25.5">
      <c r="A484" s="291" t="str">
        <f t="shared" si="36"/>
        <v/>
      </c>
      <c r="B484" s="291" t="s">
        <v>1987</v>
      </c>
      <c r="C484" s="291" t="str">
        <f>IF(D483="","",UNIT!$B$1&amp;"-"&amp;B484)</f>
        <v/>
      </c>
      <c r="D484" s="83"/>
      <c r="E484" s="59"/>
      <c r="F484" s="82"/>
      <c r="G484" s="82"/>
      <c r="H484" s="86"/>
      <c r="I484" s="294" t="str">
        <f t="shared" si="37"/>
        <v/>
      </c>
      <c r="J484" s="59"/>
      <c r="K484" s="83"/>
      <c r="L484" s="83" t="str">
        <f t="shared" si="34"/>
        <v xml:space="preserve">
</v>
      </c>
      <c r="M484" s="83"/>
      <c r="N484" s="59"/>
      <c r="O484" s="59"/>
      <c r="P484" s="86" t="e">
        <f t="shared" si="35"/>
        <v>#VALUE!</v>
      </c>
      <c r="Q484" s="59"/>
      <c r="R484" s="59"/>
      <c r="S484" s="59"/>
      <c r="T484" s="59"/>
      <c r="U484" s="290"/>
      <c r="V484" s="290"/>
      <c r="W484" s="290"/>
      <c r="X484" s="290"/>
      <c r="Y484" s="290"/>
      <c r="Z484" s="290"/>
      <c r="AA484" s="290"/>
      <c r="AB484" s="290"/>
      <c r="AC484" s="290"/>
      <c r="AD484" s="290"/>
    </row>
    <row r="485" spans="1:30" ht="25.5">
      <c r="A485" s="291" t="str">
        <f t="shared" si="36"/>
        <v/>
      </c>
      <c r="B485" s="291" t="s">
        <v>1988</v>
      </c>
      <c r="C485" s="291" t="str">
        <f>IF(D484="","",UNIT!$B$1&amp;"-"&amp;B485)</f>
        <v/>
      </c>
      <c r="D485" s="83"/>
      <c r="E485" s="59"/>
      <c r="F485" s="82"/>
      <c r="G485" s="82"/>
      <c r="H485" s="86"/>
      <c r="I485" s="294" t="str">
        <f t="shared" si="37"/>
        <v/>
      </c>
      <c r="J485" s="59"/>
      <c r="K485" s="83"/>
      <c r="L485" s="83" t="str">
        <f t="shared" si="34"/>
        <v xml:space="preserve">
</v>
      </c>
      <c r="M485" s="83"/>
      <c r="N485" s="59"/>
      <c r="O485" s="59"/>
      <c r="P485" s="86" t="e">
        <f t="shared" si="35"/>
        <v>#VALUE!</v>
      </c>
      <c r="Q485" s="59"/>
      <c r="R485" s="59"/>
      <c r="S485" s="59"/>
      <c r="T485" s="59"/>
      <c r="U485" s="290"/>
      <c r="V485" s="290"/>
      <c r="W485" s="290"/>
      <c r="X485" s="290"/>
      <c r="Y485" s="290"/>
      <c r="Z485" s="290"/>
      <c r="AA485" s="290"/>
      <c r="AB485" s="290"/>
      <c r="AC485" s="290"/>
      <c r="AD485" s="290"/>
    </row>
    <row r="486" spans="1:30" ht="25.5">
      <c r="A486" s="291" t="str">
        <f t="shared" si="36"/>
        <v/>
      </c>
      <c r="B486" s="291" t="s">
        <v>1989</v>
      </c>
      <c r="C486" s="291" t="str">
        <f>IF(D485="","",UNIT!$B$1&amp;"-"&amp;B486)</f>
        <v/>
      </c>
      <c r="D486" s="83"/>
      <c r="E486" s="59"/>
      <c r="F486" s="82"/>
      <c r="G486" s="82"/>
      <c r="H486" s="86"/>
      <c r="I486" s="294" t="str">
        <f t="shared" si="37"/>
        <v/>
      </c>
      <c r="J486" s="59"/>
      <c r="K486" s="83"/>
      <c r="L486" s="83" t="str">
        <f t="shared" si="34"/>
        <v xml:space="preserve">
</v>
      </c>
      <c r="M486" s="83"/>
      <c r="N486" s="59"/>
      <c r="O486" s="59"/>
      <c r="P486" s="86" t="e">
        <f t="shared" si="35"/>
        <v>#VALUE!</v>
      </c>
      <c r="Q486" s="59"/>
      <c r="R486" s="59"/>
      <c r="S486" s="59"/>
      <c r="T486" s="59"/>
      <c r="U486" s="290"/>
      <c r="V486" s="290"/>
      <c r="W486" s="290"/>
      <c r="X486" s="290"/>
      <c r="Y486" s="290"/>
      <c r="Z486" s="290"/>
      <c r="AA486" s="290"/>
      <c r="AB486" s="290"/>
      <c r="AC486" s="290"/>
      <c r="AD486" s="290"/>
    </row>
    <row r="487" spans="1:30" ht="25.5">
      <c r="A487" s="291" t="str">
        <f t="shared" si="36"/>
        <v/>
      </c>
      <c r="B487" s="291" t="s">
        <v>1990</v>
      </c>
      <c r="C487" s="291" t="str">
        <f>IF(D486="","",UNIT!$B$1&amp;"-"&amp;B487)</f>
        <v/>
      </c>
      <c r="D487" s="83"/>
      <c r="E487" s="59"/>
      <c r="F487" s="82"/>
      <c r="G487" s="82"/>
      <c r="H487" s="86"/>
      <c r="I487" s="294" t="str">
        <f t="shared" si="37"/>
        <v/>
      </c>
      <c r="J487" s="59"/>
      <c r="K487" s="83"/>
      <c r="L487" s="83" t="str">
        <f t="shared" si="34"/>
        <v xml:space="preserve">
</v>
      </c>
      <c r="M487" s="83"/>
      <c r="N487" s="59"/>
      <c r="O487" s="59"/>
      <c r="P487" s="86" t="e">
        <f t="shared" si="35"/>
        <v>#VALUE!</v>
      </c>
      <c r="Q487" s="59"/>
      <c r="R487" s="59"/>
      <c r="S487" s="59"/>
      <c r="T487" s="59"/>
      <c r="U487" s="290"/>
      <c r="V487" s="290"/>
      <c r="W487" s="290"/>
      <c r="X487" s="290"/>
      <c r="Y487" s="290"/>
      <c r="Z487" s="290"/>
      <c r="AA487" s="290"/>
      <c r="AB487" s="290"/>
      <c r="AC487" s="290"/>
      <c r="AD487" s="290"/>
    </row>
    <row r="488" spans="1:30" ht="25.5">
      <c r="A488" s="291" t="str">
        <f t="shared" si="36"/>
        <v/>
      </c>
      <c r="B488" s="291" t="s">
        <v>1991</v>
      </c>
      <c r="C488" s="291" t="str">
        <f>IF(D487="","",UNIT!$B$1&amp;"-"&amp;B488)</f>
        <v/>
      </c>
      <c r="D488" s="83"/>
      <c r="E488" s="59"/>
      <c r="F488" s="82"/>
      <c r="G488" s="82"/>
      <c r="H488" s="86"/>
      <c r="I488" s="294" t="str">
        <f t="shared" si="37"/>
        <v/>
      </c>
      <c r="J488" s="59"/>
      <c r="K488" s="83"/>
      <c r="L488" s="83" t="str">
        <f t="shared" si="34"/>
        <v xml:space="preserve">
</v>
      </c>
      <c r="M488" s="83"/>
      <c r="N488" s="59"/>
      <c r="O488" s="59"/>
      <c r="P488" s="86" t="e">
        <f t="shared" si="35"/>
        <v>#VALUE!</v>
      </c>
      <c r="Q488" s="59"/>
      <c r="R488" s="59"/>
      <c r="S488" s="59"/>
      <c r="T488" s="59"/>
      <c r="U488" s="290"/>
      <c r="V488" s="290"/>
      <c r="W488" s="290"/>
      <c r="X488" s="290"/>
      <c r="Y488" s="290"/>
      <c r="Z488" s="290"/>
      <c r="AA488" s="290"/>
      <c r="AB488" s="290"/>
      <c r="AC488" s="290"/>
      <c r="AD488" s="290"/>
    </row>
    <row r="489" spans="1:30" ht="25.5">
      <c r="A489" s="291" t="str">
        <f t="shared" si="36"/>
        <v/>
      </c>
      <c r="B489" s="291" t="s">
        <v>1992</v>
      </c>
      <c r="C489" s="291" t="str">
        <f>IF(D488="","",UNIT!$B$1&amp;"-"&amp;B489)</f>
        <v/>
      </c>
      <c r="D489" s="83"/>
      <c r="E489" s="59"/>
      <c r="F489" s="82"/>
      <c r="G489" s="82"/>
      <c r="H489" s="86"/>
      <c r="I489" s="294" t="str">
        <f t="shared" si="37"/>
        <v/>
      </c>
      <c r="J489" s="59"/>
      <c r="K489" s="83"/>
      <c r="L489" s="83" t="str">
        <f t="shared" si="34"/>
        <v xml:space="preserve">
</v>
      </c>
      <c r="M489" s="83"/>
      <c r="N489" s="59"/>
      <c r="O489" s="59"/>
      <c r="P489" s="86" t="e">
        <f t="shared" si="35"/>
        <v>#VALUE!</v>
      </c>
      <c r="Q489" s="59"/>
      <c r="R489" s="59"/>
      <c r="S489" s="59"/>
      <c r="T489" s="59"/>
      <c r="U489" s="290"/>
      <c r="V489" s="290"/>
      <c r="W489" s="290"/>
      <c r="X489" s="290"/>
      <c r="Y489" s="290"/>
      <c r="Z489" s="290"/>
      <c r="AA489" s="290"/>
      <c r="AB489" s="290"/>
      <c r="AC489" s="290"/>
      <c r="AD489" s="290"/>
    </row>
    <row r="490" spans="1:30" ht="25.5">
      <c r="A490" s="291" t="str">
        <f t="shared" si="36"/>
        <v/>
      </c>
      <c r="B490" s="291" t="s">
        <v>1993</v>
      </c>
      <c r="C490" s="291" t="str">
        <f>IF(D489="","",UNIT!$B$1&amp;"-"&amp;B490)</f>
        <v/>
      </c>
      <c r="D490" s="83"/>
      <c r="E490" s="59"/>
      <c r="F490" s="82"/>
      <c r="G490" s="82"/>
      <c r="H490" s="86"/>
      <c r="I490" s="294" t="str">
        <f t="shared" si="37"/>
        <v/>
      </c>
      <c r="J490" s="59"/>
      <c r="K490" s="83"/>
      <c r="L490" s="83" t="str">
        <f t="shared" si="34"/>
        <v xml:space="preserve">
</v>
      </c>
      <c r="M490" s="83"/>
      <c r="N490" s="59"/>
      <c r="O490" s="59"/>
      <c r="P490" s="86" t="e">
        <f t="shared" si="35"/>
        <v>#VALUE!</v>
      </c>
      <c r="Q490" s="59"/>
      <c r="R490" s="59"/>
      <c r="S490" s="59"/>
      <c r="T490" s="59"/>
      <c r="U490" s="290"/>
      <c r="V490" s="290"/>
      <c r="W490" s="290"/>
      <c r="X490" s="290"/>
      <c r="Y490" s="290"/>
      <c r="Z490" s="290"/>
      <c r="AA490" s="290"/>
      <c r="AB490" s="290"/>
      <c r="AC490" s="290"/>
      <c r="AD490" s="290"/>
    </row>
    <row r="491" spans="1:30" ht="25.5">
      <c r="A491" s="291" t="str">
        <f t="shared" si="36"/>
        <v/>
      </c>
      <c r="B491" s="291" t="s">
        <v>1994</v>
      </c>
      <c r="C491" s="291" t="str">
        <f>IF(D490="","",UNIT!$B$1&amp;"-"&amp;B491)</f>
        <v/>
      </c>
      <c r="D491" s="83"/>
      <c r="E491" s="59"/>
      <c r="F491" s="82"/>
      <c r="G491" s="82"/>
      <c r="H491" s="86"/>
      <c r="I491" s="294" t="str">
        <f t="shared" si="37"/>
        <v/>
      </c>
      <c r="J491" s="59"/>
      <c r="K491" s="83"/>
      <c r="L491" s="83" t="str">
        <f t="shared" si="34"/>
        <v xml:space="preserve">
</v>
      </c>
      <c r="M491" s="83"/>
      <c r="N491" s="59"/>
      <c r="O491" s="59"/>
      <c r="P491" s="86" t="e">
        <f t="shared" si="35"/>
        <v>#VALUE!</v>
      </c>
      <c r="Q491" s="59"/>
      <c r="R491" s="59"/>
      <c r="S491" s="59"/>
      <c r="T491" s="59"/>
      <c r="U491" s="290"/>
      <c r="V491" s="290"/>
      <c r="W491" s="290"/>
      <c r="X491" s="290"/>
      <c r="Y491" s="290"/>
      <c r="Z491" s="290"/>
      <c r="AA491" s="290"/>
      <c r="AB491" s="290"/>
      <c r="AC491" s="290"/>
      <c r="AD491" s="290"/>
    </row>
    <row r="492" spans="1:30" ht="25.5">
      <c r="A492" s="291" t="str">
        <f t="shared" si="36"/>
        <v/>
      </c>
      <c r="B492" s="291" t="s">
        <v>1995</v>
      </c>
      <c r="C492" s="291" t="str">
        <f>IF(D491="","",UNIT!$B$1&amp;"-"&amp;B492)</f>
        <v/>
      </c>
      <c r="D492" s="83"/>
      <c r="E492" s="59"/>
      <c r="F492" s="82"/>
      <c r="G492" s="82"/>
      <c r="H492" s="86"/>
      <c r="I492" s="294" t="str">
        <f t="shared" si="37"/>
        <v/>
      </c>
      <c r="J492" s="59"/>
      <c r="K492" s="83"/>
      <c r="L492" s="83" t="str">
        <f t="shared" si="34"/>
        <v xml:space="preserve">
</v>
      </c>
      <c r="M492" s="83"/>
      <c r="N492" s="59"/>
      <c r="O492" s="59"/>
      <c r="P492" s="86" t="e">
        <f t="shared" si="35"/>
        <v>#VALUE!</v>
      </c>
      <c r="Q492" s="59"/>
      <c r="R492" s="59"/>
      <c r="S492" s="59"/>
      <c r="T492" s="59"/>
      <c r="U492" s="290"/>
      <c r="V492" s="290"/>
      <c r="W492" s="290"/>
      <c r="X492" s="290"/>
      <c r="Y492" s="290"/>
      <c r="Z492" s="290"/>
      <c r="AA492" s="290"/>
      <c r="AB492" s="290"/>
      <c r="AC492" s="290"/>
      <c r="AD492" s="290"/>
    </row>
    <row r="493" spans="1:30" ht="25.5">
      <c r="A493" s="291" t="str">
        <f t="shared" si="36"/>
        <v/>
      </c>
      <c r="B493" s="291" t="s">
        <v>1996</v>
      </c>
      <c r="C493" s="291" t="str">
        <f>IF(D492="","",UNIT!$B$1&amp;"-"&amp;B493)</f>
        <v/>
      </c>
      <c r="D493" s="83"/>
      <c r="E493" s="59"/>
      <c r="F493" s="82"/>
      <c r="G493" s="82"/>
      <c r="H493" s="86"/>
      <c r="I493" s="294" t="str">
        <f t="shared" si="37"/>
        <v/>
      </c>
      <c r="J493" s="59"/>
      <c r="K493" s="83"/>
      <c r="L493" s="83" t="str">
        <f t="shared" si="34"/>
        <v xml:space="preserve">
</v>
      </c>
      <c r="M493" s="83"/>
      <c r="N493" s="59"/>
      <c r="O493" s="59"/>
      <c r="P493" s="86" t="e">
        <f t="shared" si="35"/>
        <v>#VALUE!</v>
      </c>
      <c r="Q493" s="59"/>
      <c r="R493" s="59"/>
      <c r="S493" s="59"/>
      <c r="T493" s="59"/>
      <c r="U493" s="290"/>
      <c r="V493" s="290"/>
      <c r="W493" s="290"/>
      <c r="X493" s="290"/>
      <c r="Y493" s="290"/>
      <c r="Z493" s="290"/>
      <c r="AA493" s="290"/>
      <c r="AB493" s="290"/>
      <c r="AC493" s="290"/>
      <c r="AD493" s="290"/>
    </row>
    <row r="494" spans="1:30" ht="25.5">
      <c r="A494" s="291" t="str">
        <f t="shared" si="36"/>
        <v/>
      </c>
      <c r="B494" s="291" t="s">
        <v>1997</v>
      </c>
      <c r="C494" s="291" t="str">
        <f>IF(D493="","",UNIT!$B$1&amp;"-"&amp;B494)</f>
        <v/>
      </c>
      <c r="D494" s="83"/>
      <c r="E494" s="59"/>
      <c r="F494" s="82"/>
      <c r="G494" s="82"/>
      <c r="H494" s="86"/>
      <c r="I494" s="294" t="str">
        <f t="shared" si="37"/>
        <v/>
      </c>
      <c r="J494" s="59"/>
      <c r="K494" s="83"/>
      <c r="L494" s="83" t="str">
        <f t="shared" si="34"/>
        <v xml:space="preserve">
</v>
      </c>
      <c r="M494" s="83"/>
      <c r="N494" s="59"/>
      <c r="O494" s="59"/>
      <c r="P494" s="86" t="e">
        <f t="shared" si="35"/>
        <v>#VALUE!</v>
      </c>
      <c r="Q494" s="59"/>
      <c r="R494" s="59"/>
      <c r="S494" s="59"/>
      <c r="T494" s="59"/>
      <c r="U494" s="290"/>
      <c r="V494" s="290"/>
      <c r="W494" s="290"/>
      <c r="X494" s="290"/>
      <c r="Y494" s="290"/>
      <c r="Z494" s="290"/>
      <c r="AA494" s="290"/>
      <c r="AB494" s="290"/>
      <c r="AC494" s="290"/>
      <c r="AD494" s="290"/>
    </row>
    <row r="495" spans="1:30" ht="25.5">
      <c r="A495" s="291" t="str">
        <f t="shared" si="36"/>
        <v/>
      </c>
      <c r="B495" s="291" t="s">
        <v>1998</v>
      </c>
      <c r="C495" s="291" t="str">
        <f>IF(D494="","",UNIT!$B$1&amp;"-"&amp;B495)</f>
        <v/>
      </c>
      <c r="D495" s="83"/>
      <c r="E495" s="59"/>
      <c r="F495" s="82"/>
      <c r="G495" s="82"/>
      <c r="H495" s="86"/>
      <c r="I495" s="294" t="str">
        <f t="shared" si="37"/>
        <v/>
      </c>
      <c r="J495" s="59"/>
      <c r="K495" s="83"/>
      <c r="L495" s="83" t="str">
        <f t="shared" si="34"/>
        <v xml:space="preserve">
</v>
      </c>
      <c r="M495" s="83"/>
      <c r="N495" s="59"/>
      <c r="O495" s="59"/>
      <c r="P495" s="86" t="e">
        <f t="shared" si="35"/>
        <v>#VALUE!</v>
      </c>
      <c r="Q495" s="59"/>
      <c r="R495" s="59"/>
      <c r="S495" s="59"/>
      <c r="T495" s="59"/>
      <c r="U495" s="290"/>
      <c r="V495" s="290"/>
      <c r="W495" s="290"/>
      <c r="X495" s="290"/>
      <c r="Y495" s="290"/>
      <c r="Z495" s="290"/>
      <c r="AA495" s="290"/>
      <c r="AB495" s="290"/>
      <c r="AC495" s="290"/>
      <c r="AD495" s="290"/>
    </row>
    <row r="496" spans="1:30" ht="25.5">
      <c r="A496" s="291" t="str">
        <f t="shared" si="36"/>
        <v/>
      </c>
      <c r="B496" s="291" t="s">
        <v>1999</v>
      </c>
      <c r="C496" s="291" t="str">
        <f>IF(D495="","",UNIT!$B$1&amp;"-"&amp;B496)</f>
        <v/>
      </c>
      <c r="D496" s="83"/>
      <c r="E496" s="59"/>
      <c r="F496" s="82"/>
      <c r="G496" s="82"/>
      <c r="H496" s="86"/>
      <c r="I496" s="294" t="str">
        <f t="shared" si="37"/>
        <v/>
      </c>
      <c r="J496" s="59"/>
      <c r="K496" s="83"/>
      <c r="L496" s="83" t="str">
        <f t="shared" si="34"/>
        <v xml:space="preserve">
</v>
      </c>
      <c r="M496" s="83"/>
      <c r="N496" s="59"/>
      <c r="O496" s="59"/>
      <c r="P496" s="86" t="e">
        <f t="shared" si="35"/>
        <v>#VALUE!</v>
      </c>
      <c r="Q496" s="59"/>
      <c r="R496" s="59"/>
      <c r="S496" s="59"/>
      <c r="T496" s="59"/>
      <c r="U496" s="290"/>
      <c r="V496" s="290"/>
      <c r="W496" s="290"/>
      <c r="X496" s="290"/>
      <c r="Y496" s="290"/>
      <c r="Z496" s="290"/>
      <c r="AA496" s="290"/>
      <c r="AB496" s="290"/>
      <c r="AC496" s="290"/>
      <c r="AD496" s="290"/>
    </row>
    <row r="497" spans="1:30" ht="25.5">
      <c r="A497" s="291" t="str">
        <f t="shared" si="36"/>
        <v/>
      </c>
      <c r="B497" s="291" t="s">
        <v>2000</v>
      </c>
      <c r="C497" s="291" t="str">
        <f>IF(D496="","",UNIT!$B$1&amp;"-"&amp;B497)</f>
        <v/>
      </c>
      <c r="D497" s="83"/>
      <c r="E497" s="59"/>
      <c r="F497" s="82"/>
      <c r="G497" s="82"/>
      <c r="H497" s="86"/>
      <c r="I497" s="294" t="str">
        <f t="shared" si="37"/>
        <v/>
      </c>
      <c r="J497" s="59"/>
      <c r="K497" s="83"/>
      <c r="L497" s="83" t="str">
        <f t="shared" si="34"/>
        <v xml:space="preserve">
</v>
      </c>
      <c r="M497" s="83"/>
      <c r="N497" s="59"/>
      <c r="O497" s="59"/>
      <c r="P497" s="86" t="e">
        <f t="shared" si="35"/>
        <v>#VALUE!</v>
      </c>
      <c r="Q497" s="59"/>
      <c r="R497" s="59"/>
      <c r="S497" s="59"/>
      <c r="T497" s="59"/>
      <c r="U497" s="290"/>
      <c r="V497" s="290"/>
      <c r="W497" s="290"/>
      <c r="X497" s="290"/>
      <c r="Y497" s="290"/>
      <c r="Z497" s="290"/>
      <c r="AA497" s="290"/>
      <c r="AB497" s="290"/>
      <c r="AC497" s="290"/>
      <c r="AD497" s="290"/>
    </row>
    <row r="498" spans="1:30" ht="25.5">
      <c r="A498" s="291" t="str">
        <f t="shared" si="36"/>
        <v/>
      </c>
      <c r="B498" s="291" t="s">
        <v>2001</v>
      </c>
      <c r="C498" s="291" t="str">
        <f>IF(D497="","",UNIT!$B$1&amp;"-"&amp;B498)</f>
        <v/>
      </c>
      <c r="D498" s="83"/>
      <c r="E498" s="59"/>
      <c r="F498" s="82"/>
      <c r="G498" s="82"/>
      <c r="H498" s="86"/>
      <c r="I498" s="294" t="str">
        <f t="shared" si="37"/>
        <v/>
      </c>
      <c r="J498" s="59"/>
      <c r="K498" s="83"/>
      <c r="L498" s="83" t="str">
        <f t="shared" si="34"/>
        <v xml:space="preserve">
</v>
      </c>
      <c r="M498" s="83"/>
      <c r="N498" s="59"/>
      <c r="O498" s="59"/>
      <c r="P498" s="86" t="e">
        <f t="shared" si="35"/>
        <v>#VALUE!</v>
      </c>
      <c r="Q498" s="59"/>
      <c r="R498" s="59"/>
      <c r="S498" s="59"/>
      <c r="T498" s="59"/>
      <c r="U498" s="290"/>
      <c r="V498" s="290"/>
      <c r="W498" s="290"/>
      <c r="X498" s="290"/>
      <c r="Y498" s="290"/>
      <c r="Z498" s="290"/>
      <c r="AA498" s="290"/>
      <c r="AB498" s="290"/>
      <c r="AC498" s="290"/>
      <c r="AD498" s="290"/>
    </row>
    <row r="499" spans="1:30" ht="25.5">
      <c r="A499" s="291" t="str">
        <f t="shared" si="36"/>
        <v/>
      </c>
      <c r="B499" s="291" t="s">
        <v>2002</v>
      </c>
      <c r="C499" s="291" t="str">
        <f>IF(D498="","",UNIT!$B$1&amp;"-"&amp;B499)</f>
        <v/>
      </c>
      <c r="D499" s="83"/>
      <c r="E499" s="59"/>
      <c r="F499" s="82"/>
      <c r="G499" s="82"/>
      <c r="H499" s="86"/>
      <c r="I499" s="294" t="str">
        <f t="shared" si="37"/>
        <v/>
      </c>
      <c r="J499" s="59"/>
      <c r="K499" s="83"/>
      <c r="L499" s="83" t="str">
        <f t="shared" si="34"/>
        <v xml:space="preserve">
</v>
      </c>
      <c r="M499" s="83"/>
      <c r="N499" s="59"/>
      <c r="O499" s="59"/>
      <c r="P499" s="86" t="e">
        <f t="shared" si="35"/>
        <v>#VALUE!</v>
      </c>
      <c r="Q499" s="59"/>
      <c r="R499" s="59"/>
      <c r="S499" s="59"/>
      <c r="T499" s="59"/>
      <c r="U499" s="290"/>
      <c r="V499" s="290"/>
      <c r="W499" s="290"/>
      <c r="X499" s="290"/>
      <c r="Y499" s="290"/>
      <c r="Z499" s="290"/>
      <c r="AA499" s="290"/>
      <c r="AB499" s="290"/>
      <c r="AC499" s="290"/>
      <c r="AD499" s="290"/>
    </row>
    <row r="500" spans="1:30" ht="25.5">
      <c r="A500" s="291" t="str">
        <f t="shared" si="36"/>
        <v/>
      </c>
      <c r="B500" s="291" t="s">
        <v>2003</v>
      </c>
      <c r="C500" s="291" t="str">
        <f>IF(D499="","",UNIT!$B$1&amp;"-"&amp;B500)</f>
        <v/>
      </c>
      <c r="D500" s="83"/>
      <c r="E500" s="59"/>
      <c r="F500" s="82"/>
      <c r="G500" s="82"/>
      <c r="H500" s="86"/>
      <c r="I500" s="294" t="str">
        <f t="shared" si="37"/>
        <v/>
      </c>
      <c r="J500" s="59"/>
      <c r="K500" s="83"/>
      <c r="L500" s="83" t="str">
        <f t="shared" si="34"/>
        <v xml:space="preserve">
</v>
      </c>
      <c r="M500" s="83"/>
      <c r="N500" s="59"/>
      <c r="O500" s="59"/>
      <c r="P500" s="86" t="e">
        <f t="shared" si="35"/>
        <v>#VALUE!</v>
      </c>
      <c r="Q500" s="59"/>
      <c r="R500" s="59"/>
      <c r="S500" s="59"/>
      <c r="T500" s="59"/>
      <c r="U500" s="290"/>
      <c r="V500" s="290"/>
      <c r="W500" s="290"/>
      <c r="X500" s="290"/>
      <c r="Y500" s="290"/>
      <c r="Z500" s="290"/>
      <c r="AA500" s="290"/>
      <c r="AB500" s="290"/>
      <c r="AC500" s="290"/>
      <c r="AD500" s="290"/>
    </row>
    <row r="501" spans="1:30" ht="25.5">
      <c r="A501" s="291" t="str">
        <f t="shared" si="36"/>
        <v/>
      </c>
      <c r="B501" s="291" t="s">
        <v>2004</v>
      </c>
      <c r="C501" s="291" t="str">
        <f>IF(D500="","",UNIT!$B$1&amp;"-"&amp;B501)</f>
        <v/>
      </c>
      <c r="D501" s="83"/>
      <c r="E501" s="59"/>
      <c r="F501" s="82"/>
      <c r="G501" s="82"/>
      <c r="H501" s="86"/>
      <c r="I501" s="294" t="str">
        <f t="shared" si="37"/>
        <v/>
      </c>
      <c r="J501" s="59"/>
      <c r="K501" s="83"/>
      <c r="L501" s="83" t="str">
        <f t="shared" si="34"/>
        <v xml:space="preserve">
</v>
      </c>
      <c r="M501" s="83"/>
      <c r="N501" s="59"/>
      <c r="O501" s="59"/>
      <c r="P501" s="86" t="e">
        <f t="shared" si="35"/>
        <v>#VALUE!</v>
      </c>
      <c r="Q501" s="59"/>
      <c r="R501" s="59"/>
      <c r="S501" s="59"/>
      <c r="T501" s="59"/>
      <c r="U501" s="290"/>
      <c r="V501" s="290"/>
      <c r="W501" s="290"/>
      <c r="X501" s="290"/>
      <c r="Y501" s="290"/>
      <c r="Z501" s="290"/>
      <c r="AA501" s="290"/>
      <c r="AB501" s="290"/>
      <c r="AC501" s="290"/>
      <c r="AD501" s="290"/>
    </row>
    <row r="502" spans="1:30" ht="25.5">
      <c r="A502" s="291" t="str">
        <f t="shared" si="36"/>
        <v/>
      </c>
      <c r="B502" s="291" t="s">
        <v>2005</v>
      </c>
      <c r="C502" s="291" t="str">
        <f>IF(D501="","",UNIT!$B$1&amp;"-"&amp;B502)</f>
        <v/>
      </c>
      <c r="D502" s="83"/>
      <c r="E502" s="59"/>
      <c r="F502" s="82"/>
      <c r="G502" s="82"/>
      <c r="H502" s="86"/>
      <c r="I502" s="294" t="str">
        <f t="shared" si="37"/>
        <v/>
      </c>
      <c r="J502" s="59"/>
      <c r="K502" s="83"/>
      <c r="L502" s="83" t="str">
        <f t="shared" si="34"/>
        <v xml:space="preserve">
</v>
      </c>
      <c r="M502" s="83"/>
      <c r="N502" s="59"/>
      <c r="O502" s="59"/>
      <c r="P502" s="86" t="e">
        <f t="shared" si="35"/>
        <v>#VALUE!</v>
      </c>
      <c r="Q502" s="59"/>
      <c r="R502" s="59"/>
      <c r="S502" s="59"/>
      <c r="T502" s="59"/>
      <c r="U502" s="290"/>
      <c r="V502" s="290"/>
      <c r="W502" s="290"/>
      <c r="X502" s="290"/>
      <c r="Y502" s="290"/>
      <c r="Z502" s="290"/>
      <c r="AA502" s="290"/>
      <c r="AB502" s="290"/>
      <c r="AC502" s="290"/>
      <c r="AD502" s="290"/>
    </row>
    <row r="503" spans="1:30" ht="25.5">
      <c r="A503" s="291" t="str">
        <f t="shared" si="36"/>
        <v/>
      </c>
      <c r="B503" s="291" t="s">
        <v>2006</v>
      </c>
      <c r="C503" s="291" t="str">
        <f>IF(D502="","",UNIT!$B$1&amp;"-"&amp;B503)</f>
        <v/>
      </c>
      <c r="D503" s="83"/>
      <c r="E503" s="59"/>
      <c r="F503" s="82"/>
      <c r="G503" s="82"/>
      <c r="H503" s="86"/>
      <c r="I503" s="294" t="str">
        <f t="shared" si="37"/>
        <v/>
      </c>
      <c r="J503" s="59"/>
      <c r="K503" s="83"/>
      <c r="L503" s="83" t="str">
        <f t="shared" si="34"/>
        <v xml:space="preserve">
</v>
      </c>
      <c r="M503" s="83"/>
      <c r="N503" s="59"/>
      <c r="O503" s="59"/>
      <c r="P503" s="86" t="e">
        <f t="shared" si="35"/>
        <v>#VALUE!</v>
      </c>
      <c r="Q503" s="59"/>
      <c r="R503" s="59"/>
      <c r="S503" s="59"/>
      <c r="T503" s="59"/>
      <c r="U503" s="290"/>
      <c r="V503" s="290"/>
      <c r="W503" s="290"/>
      <c r="X503" s="290"/>
      <c r="Y503" s="290"/>
      <c r="Z503" s="290"/>
      <c r="AA503" s="290"/>
      <c r="AB503" s="290"/>
      <c r="AC503" s="290"/>
      <c r="AD503" s="290"/>
    </row>
    <row r="504" spans="1:30" ht="25.5">
      <c r="A504" s="291" t="str">
        <f t="shared" si="36"/>
        <v/>
      </c>
      <c r="B504" s="291" t="s">
        <v>2007</v>
      </c>
      <c r="C504" s="291" t="str">
        <f>IF(D503="","",UNIT!$B$1&amp;"-"&amp;B504)</f>
        <v/>
      </c>
      <c r="D504" s="83"/>
      <c r="E504" s="59"/>
      <c r="F504" s="82"/>
      <c r="G504" s="82"/>
      <c r="H504" s="86"/>
      <c r="I504" s="294" t="str">
        <f t="shared" si="37"/>
        <v/>
      </c>
      <c r="J504" s="59"/>
      <c r="K504" s="83"/>
      <c r="L504" s="83" t="str">
        <f t="shared" si="34"/>
        <v xml:space="preserve">
</v>
      </c>
      <c r="M504" s="83"/>
      <c r="N504" s="59"/>
      <c r="O504" s="59"/>
      <c r="P504" s="86" t="e">
        <f t="shared" si="35"/>
        <v>#VALUE!</v>
      </c>
      <c r="Q504" s="59"/>
      <c r="R504" s="59"/>
      <c r="S504" s="59"/>
      <c r="T504" s="59"/>
      <c r="U504" s="290"/>
      <c r="V504" s="290"/>
      <c r="W504" s="290"/>
      <c r="X504" s="290"/>
      <c r="Y504" s="290"/>
      <c r="Z504" s="290"/>
      <c r="AA504" s="290"/>
      <c r="AB504" s="290"/>
      <c r="AC504" s="290"/>
      <c r="AD504" s="290"/>
    </row>
    <row r="505" spans="1:30" ht="25.5">
      <c r="A505" s="291" t="str">
        <f t="shared" si="36"/>
        <v/>
      </c>
      <c r="B505" s="291" t="s">
        <v>2008</v>
      </c>
      <c r="C505" s="291" t="str">
        <f>IF(D504="","",UNIT!$B$1&amp;"-"&amp;B505)</f>
        <v/>
      </c>
      <c r="D505" s="83"/>
      <c r="E505" s="59"/>
      <c r="F505" s="82"/>
      <c r="G505" s="82"/>
      <c r="H505" s="86"/>
      <c r="I505" s="294" t="str">
        <f t="shared" si="37"/>
        <v/>
      </c>
      <c r="J505" s="59"/>
      <c r="K505" s="83"/>
      <c r="L505" s="83" t="str">
        <f t="shared" si="34"/>
        <v xml:space="preserve">
</v>
      </c>
      <c r="M505" s="83"/>
      <c r="N505" s="59"/>
      <c r="O505" s="59"/>
      <c r="P505" s="86" t="e">
        <f t="shared" si="35"/>
        <v>#VALUE!</v>
      </c>
      <c r="Q505" s="59"/>
      <c r="R505" s="59"/>
      <c r="S505" s="59"/>
      <c r="T505" s="59"/>
      <c r="U505" s="290"/>
      <c r="V505" s="290"/>
      <c r="W505" s="290"/>
      <c r="X505" s="290"/>
      <c r="Y505" s="290"/>
      <c r="Z505" s="290"/>
      <c r="AA505" s="290"/>
      <c r="AB505" s="290"/>
      <c r="AC505" s="290"/>
      <c r="AD505" s="290"/>
    </row>
    <row r="506" spans="1:30" ht="25.5">
      <c r="A506" s="291" t="str">
        <f t="shared" si="36"/>
        <v/>
      </c>
      <c r="B506" s="291" t="s">
        <v>2009</v>
      </c>
      <c r="C506" s="291" t="str">
        <f>IF(D505="","",UNIT!$B$1&amp;"-"&amp;B506)</f>
        <v/>
      </c>
      <c r="D506" s="83"/>
      <c r="E506" s="59"/>
      <c r="F506" s="82"/>
      <c r="G506" s="82"/>
      <c r="H506" s="86"/>
      <c r="I506" s="294" t="str">
        <f t="shared" si="37"/>
        <v/>
      </c>
      <c r="J506" s="59"/>
      <c r="K506" s="83"/>
      <c r="L506" s="83" t="str">
        <f t="shared" si="34"/>
        <v xml:space="preserve">
</v>
      </c>
      <c r="M506" s="83"/>
      <c r="N506" s="59"/>
      <c r="O506" s="59"/>
      <c r="P506" s="86" t="e">
        <f t="shared" si="35"/>
        <v>#VALUE!</v>
      </c>
      <c r="Q506" s="59"/>
      <c r="R506" s="59"/>
      <c r="S506" s="59"/>
      <c r="T506" s="59"/>
      <c r="U506" s="290"/>
      <c r="V506" s="290"/>
      <c r="W506" s="290"/>
      <c r="X506" s="290"/>
      <c r="Y506" s="290"/>
      <c r="Z506" s="290"/>
      <c r="AA506" s="290"/>
      <c r="AB506" s="290"/>
      <c r="AC506" s="290"/>
      <c r="AD506" s="290"/>
    </row>
    <row r="507" spans="1:30" ht="25.5">
      <c r="A507" s="291" t="str">
        <f t="shared" si="36"/>
        <v/>
      </c>
      <c r="B507" s="291" t="s">
        <v>2010</v>
      </c>
      <c r="C507" s="291" t="str">
        <f>IF(D506="","",UNIT!$B$1&amp;"-"&amp;B507)</f>
        <v/>
      </c>
      <c r="D507" s="83"/>
      <c r="E507" s="59"/>
      <c r="F507" s="82"/>
      <c r="G507" s="82"/>
      <c r="H507" s="86"/>
      <c r="I507" s="294" t="str">
        <f t="shared" si="37"/>
        <v/>
      </c>
      <c r="J507" s="59"/>
      <c r="K507" s="83"/>
      <c r="L507" s="83" t="str">
        <f t="shared" si="34"/>
        <v xml:space="preserve">
</v>
      </c>
      <c r="M507" s="83"/>
      <c r="N507" s="59"/>
      <c r="O507" s="59"/>
      <c r="P507" s="86" t="e">
        <f t="shared" si="35"/>
        <v>#VALUE!</v>
      </c>
      <c r="Q507" s="59"/>
      <c r="R507" s="59"/>
      <c r="S507" s="59"/>
      <c r="T507" s="59"/>
      <c r="U507" s="290"/>
      <c r="V507" s="290"/>
      <c r="W507" s="290"/>
      <c r="X507" s="290"/>
      <c r="Y507" s="290"/>
      <c r="Z507" s="290"/>
      <c r="AA507" s="290"/>
      <c r="AB507" s="290"/>
      <c r="AC507" s="290"/>
      <c r="AD507" s="290"/>
    </row>
    <row r="508" spans="1:30" ht="25.5">
      <c r="A508" s="291" t="str">
        <f t="shared" si="36"/>
        <v/>
      </c>
      <c r="B508" s="291" t="s">
        <v>2011</v>
      </c>
      <c r="C508" s="291" t="str">
        <f>IF(D507="","",UNIT!$B$1&amp;"-"&amp;B508)</f>
        <v/>
      </c>
      <c r="D508" s="83"/>
      <c r="E508" s="59"/>
      <c r="F508" s="82"/>
      <c r="G508" s="82"/>
      <c r="H508" s="86"/>
      <c r="I508" s="294" t="str">
        <f t="shared" si="37"/>
        <v/>
      </c>
      <c r="J508" s="59"/>
      <c r="K508" s="83"/>
      <c r="L508" s="83" t="str">
        <f t="shared" si="34"/>
        <v xml:space="preserve">
</v>
      </c>
      <c r="M508" s="83"/>
      <c r="N508" s="59"/>
      <c r="O508" s="59"/>
      <c r="P508" s="86" t="e">
        <f t="shared" si="35"/>
        <v>#VALUE!</v>
      </c>
      <c r="Q508" s="59"/>
      <c r="R508" s="59"/>
      <c r="S508" s="59"/>
      <c r="T508" s="59"/>
      <c r="U508" s="290"/>
      <c r="V508" s="290"/>
      <c r="W508" s="290"/>
      <c r="X508" s="290"/>
      <c r="Y508" s="290"/>
      <c r="Z508" s="290"/>
      <c r="AA508" s="290"/>
      <c r="AB508" s="290"/>
      <c r="AC508" s="290"/>
      <c r="AD508" s="290"/>
    </row>
    <row r="509" spans="1:30" ht="25.5">
      <c r="A509" s="291" t="str">
        <f t="shared" si="36"/>
        <v/>
      </c>
      <c r="B509" s="291" t="s">
        <v>2012</v>
      </c>
      <c r="C509" s="291" t="str">
        <f>IF(D508="","",UNIT!$B$1&amp;"-"&amp;B509)</f>
        <v/>
      </c>
      <c r="D509" s="83"/>
      <c r="E509" s="59"/>
      <c r="F509" s="82"/>
      <c r="G509" s="82"/>
      <c r="H509" s="86"/>
      <c r="I509" s="294" t="str">
        <f t="shared" si="37"/>
        <v/>
      </c>
      <c r="J509" s="59"/>
      <c r="K509" s="83"/>
      <c r="L509" s="83" t="str">
        <f t="shared" si="34"/>
        <v xml:space="preserve">
</v>
      </c>
      <c r="M509" s="83"/>
      <c r="N509" s="59"/>
      <c r="O509" s="59"/>
      <c r="P509" s="86" t="e">
        <f t="shared" si="35"/>
        <v>#VALUE!</v>
      </c>
      <c r="Q509" s="59"/>
      <c r="R509" s="59"/>
      <c r="S509" s="59"/>
      <c r="T509" s="59"/>
      <c r="U509" s="290"/>
      <c r="V509" s="290"/>
      <c r="W509" s="290"/>
      <c r="X509" s="290"/>
      <c r="Y509" s="290"/>
      <c r="Z509" s="290"/>
      <c r="AA509" s="290"/>
      <c r="AB509" s="290"/>
      <c r="AC509" s="290"/>
      <c r="AD509" s="290"/>
    </row>
    <row r="510" spans="1:30" ht="25.5">
      <c r="A510" s="291" t="str">
        <f t="shared" si="36"/>
        <v/>
      </c>
      <c r="B510" s="291" t="s">
        <v>2013</v>
      </c>
      <c r="C510" s="291" t="str">
        <f>IF(D509="","",UNIT!$B$1&amp;"-"&amp;B510)</f>
        <v/>
      </c>
      <c r="D510" s="83"/>
      <c r="E510" s="59"/>
      <c r="F510" s="82"/>
      <c r="G510" s="82"/>
      <c r="H510" s="86"/>
      <c r="I510" s="294" t="str">
        <f t="shared" si="37"/>
        <v/>
      </c>
      <c r="J510" s="59"/>
      <c r="K510" s="83"/>
      <c r="L510" s="83" t="str">
        <f t="shared" si="34"/>
        <v xml:space="preserve">
</v>
      </c>
      <c r="M510" s="83"/>
      <c r="N510" s="59"/>
      <c r="O510" s="59"/>
      <c r="P510" s="86" t="e">
        <f t="shared" si="35"/>
        <v>#VALUE!</v>
      </c>
      <c r="Q510" s="59"/>
      <c r="R510" s="59"/>
      <c r="S510" s="59"/>
      <c r="T510" s="59"/>
      <c r="U510" s="290"/>
      <c r="V510" s="290"/>
      <c r="W510" s="290"/>
      <c r="X510" s="290"/>
      <c r="Y510" s="290"/>
      <c r="Z510" s="290"/>
      <c r="AA510" s="290"/>
      <c r="AB510" s="290"/>
      <c r="AC510" s="290"/>
      <c r="AD510" s="290"/>
    </row>
    <row r="511" spans="1:30" ht="25.5">
      <c r="A511" s="291" t="str">
        <f t="shared" si="36"/>
        <v/>
      </c>
      <c r="B511" s="291" t="s">
        <v>2014</v>
      </c>
      <c r="C511" s="291" t="str">
        <f>IF(D510="","",UNIT!$B$1&amp;"-"&amp;B511)</f>
        <v/>
      </c>
      <c r="D511" s="83"/>
      <c r="E511" s="59"/>
      <c r="F511" s="82"/>
      <c r="G511" s="82"/>
      <c r="H511" s="86"/>
      <c r="I511" s="294" t="str">
        <f t="shared" si="37"/>
        <v/>
      </c>
      <c r="J511" s="59"/>
      <c r="K511" s="83"/>
      <c r="L511" s="83" t="str">
        <f t="shared" si="34"/>
        <v xml:space="preserve">
</v>
      </c>
      <c r="M511" s="83"/>
      <c r="N511" s="59"/>
      <c r="O511" s="59"/>
      <c r="P511" s="86" t="e">
        <f t="shared" si="35"/>
        <v>#VALUE!</v>
      </c>
      <c r="Q511" s="59"/>
      <c r="R511" s="59"/>
      <c r="S511" s="59"/>
      <c r="T511" s="59"/>
      <c r="U511" s="290"/>
      <c r="V511" s="290"/>
      <c r="W511" s="290"/>
      <c r="X511" s="290"/>
      <c r="Y511" s="290"/>
      <c r="Z511" s="290"/>
      <c r="AA511" s="290"/>
      <c r="AB511" s="290"/>
      <c r="AC511" s="290"/>
      <c r="AD511" s="290"/>
    </row>
    <row r="512" spans="1:30" ht="25.5">
      <c r="A512" s="291" t="str">
        <f t="shared" si="36"/>
        <v/>
      </c>
      <c r="B512" s="291" t="s">
        <v>2015</v>
      </c>
      <c r="C512" s="291" t="str">
        <f>IF(D511="","",UNIT!$B$1&amp;"-"&amp;B512)</f>
        <v/>
      </c>
      <c r="D512" s="83"/>
      <c r="E512" s="59"/>
      <c r="F512" s="82"/>
      <c r="G512" s="82"/>
      <c r="H512" s="86"/>
      <c r="I512" s="294" t="str">
        <f t="shared" si="37"/>
        <v/>
      </c>
      <c r="J512" s="59"/>
      <c r="K512" s="83"/>
      <c r="L512" s="83" t="str">
        <f t="shared" ref="L512:L766" si="38">D512&amp;"
"&amp;K512</f>
        <v xml:space="preserve">
</v>
      </c>
      <c r="M512" s="83"/>
      <c r="N512" s="59"/>
      <c r="O512" s="59"/>
      <c r="P512" s="86" t="e">
        <f t="shared" ref="P512:P766" si="39">I512*O512</f>
        <v>#VALUE!</v>
      </c>
      <c r="Q512" s="59"/>
      <c r="R512" s="59"/>
      <c r="S512" s="59"/>
      <c r="T512" s="59"/>
      <c r="U512" s="290"/>
      <c r="V512" s="290"/>
      <c r="W512" s="290"/>
      <c r="X512" s="290"/>
      <c r="Y512" s="290"/>
      <c r="Z512" s="290"/>
      <c r="AA512" s="290"/>
      <c r="AB512" s="290"/>
      <c r="AC512" s="290"/>
      <c r="AD512" s="290"/>
    </row>
    <row r="513" spans="1:30" ht="25.5">
      <c r="A513" s="291" t="str">
        <f t="shared" ref="A513:A767" si="40">IF(D512="","",A512+1)</f>
        <v/>
      </c>
      <c r="B513" s="291" t="s">
        <v>2016</v>
      </c>
      <c r="C513" s="291" t="str">
        <f>IF(D512="","",UNIT!$B$1&amp;"-"&amp;B513)</f>
        <v/>
      </c>
      <c r="D513" s="83"/>
      <c r="E513" s="59"/>
      <c r="F513" s="82"/>
      <c r="G513" s="82"/>
      <c r="H513" s="86"/>
      <c r="I513" s="294" t="str">
        <f t="shared" si="37"/>
        <v/>
      </c>
      <c r="J513" s="59"/>
      <c r="K513" s="83"/>
      <c r="L513" s="83" t="str">
        <f t="shared" si="38"/>
        <v xml:space="preserve">
</v>
      </c>
      <c r="M513" s="83"/>
      <c r="N513" s="59"/>
      <c r="O513" s="59"/>
      <c r="P513" s="86" t="e">
        <f t="shared" si="39"/>
        <v>#VALUE!</v>
      </c>
      <c r="Q513" s="59"/>
      <c r="R513" s="59"/>
      <c r="S513" s="59"/>
      <c r="T513" s="59"/>
      <c r="U513" s="290"/>
      <c r="V513" s="290"/>
      <c r="W513" s="290"/>
      <c r="X513" s="290"/>
      <c r="Y513" s="290"/>
      <c r="Z513" s="290"/>
      <c r="AA513" s="290"/>
      <c r="AB513" s="290"/>
      <c r="AC513" s="290"/>
      <c r="AD513" s="290"/>
    </row>
    <row r="514" spans="1:30" ht="25.5">
      <c r="A514" s="291" t="str">
        <f t="shared" si="40"/>
        <v/>
      </c>
      <c r="B514" s="291" t="s">
        <v>2017</v>
      </c>
      <c r="C514" s="291" t="str">
        <f>IF(D513="","",UNIT!$B$1&amp;"-"&amp;B514)</f>
        <v/>
      </c>
      <c r="D514" s="83"/>
      <c r="E514" s="59"/>
      <c r="F514" s="82"/>
      <c r="G514" s="82"/>
      <c r="H514" s="86"/>
      <c r="I514" s="294" t="str">
        <f t="shared" si="37"/>
        <v/>
      </c>
      <c r="J514" s="59"/>
      <c r="K514" s="83"/>
      <c r="L514" s="83" t="str">
        <f t="shared" si="38"/>
        <v xml:space="preserve">
</v>
      </c>
      <c r="M514" s="83"/>
      <c r="N514" s="59"/>
      <c r="O514" s="59"/>
      <c r="P514" s="86" t="e">
        <f t="shared" si="39"/>
        <v>#VALUE!</v>
      </c>
      <c r="Q514" s="59"/>
      <c r="R514" s="59"/>
      <c r="S514" s="59"/>
      <c r="T514" s="59"/>
      <c r="U514" s="290"/>
      <c r="V514" s="290"/>
      <c r="W514" s="290"/>
      <c r="X514" s="290"/>
      <c r="Y514" s="290"/>
      <c r="Z514" s="290"/>
      <c r="AA514" s="290"/>
      <c r="AB514" s="290"/>
      <c r="AC514" s="290"/>
      <c r="AD514" s="290"/>
    </row>
    <row r="515" spans="1:30" ht="25.5">
      <c r="A515" s="291" t="str">
        <f t="shared" si="40"/>
        <v/>
      </c>
      <c r="B515" s="291" t="s">
        <v>2018</v>
      </c>
      <c r="C515" s="291" t="str">
        <f>IF(D514="","",UNIT!$B$1&amp;"-"&amp;B515)</f>
        <v/>
      </c>
      <c r="D515" s="83"/>
      <c r="E515" s="59"/>
      <c r="F515" s="82"/>
      <c r="G515" s="82"/>
      <c r="H515" s="86"/>
      <c r="I515" s="294" t="str">
        <f t="shared" si="37"/>
        <v/>
      </c>
      <c r="J515" s="59"/>
      <c r="K515" s="83"/>
      <c r="L515" s="83" t="str">
        <f t="shared" si="38"/>
        <v xml:space="preserve">
</v>
      </c>
      <c r="M515" s="83"/>
      <c r="N515" s="59"/>
      <c r="O515" s="59"/>
      <c r="P515" s="86" t="e">
        <f t="shared" si="39"/>
        <v>#VALUE!</v>
      </c>
      <c r="Q515" s="59"/>
      <c r="R515" s="59"/>
      <c r="S515" s="59"/>
      <c r="T515" s="59"/>
      <c r="U515" s="290"/>
      <c r="V515" s="290"/>
      <c r="W515" s="290"/>
      <c r="X515" s="290"/>
      <c r="Y515" s="290"/>
      <c r="Z515" s="290"/>
      <c r="AA515" s="290"/>
      <c r="AB515" s="290"/>
      <c r="AC515" s="290"/>
      <c r="AD515" s="290"/>
    </row>
    <row r="516" spans="1:30" ht="25.5">
      <c r="A516" s="291" t="str">
        <f t="shared" si="40"/>
        <v/>
      </c>
      <c r="B516" s="291" t="s">
        <v>2019</v>
      </c>
      <c r="C516" s="291" t="str">
        <f>IF(D515="","",UNIT!$B$1&amp;"-"&amp;B516)</f>
        <v/>
      </c>
      <c r="D516" s="83"/>
      <c r="E516" s="59"/>
      <c r="F516" s="82"/>
      <c r="G516" s="82"/>
      <c r="H516" s="86"/>
      <c r="I516" s="294" t="str">
        <f t="shared" si="37"/>
        <v/>
      </c>
      <c r="J516" s="59"/>
      <c r="K516" s="83"/>
      <c r="L516" s="83" t="str">
        <f t="shared" si="38"/>
        <v xml:space="preserve">
</v>
      </c>
      <c r="M516" s="83"/>
      <c r="N516" s="59"/>
      <c r="O516" s="59"/>
      <c r="P516" s="86" t="e">
        <f t="shared" si="39"/>
        <v>#VALUE!</v>
      </c>
      <c r="Q516" s="59"/>
      <c r="R516" s="59"/>
      <c r="S516" s="59"/>
      <c r="T516" s="59"/>
      <c r="U516" s="290"/>
      <c r="V516" s="290"/>
      <c r="W516" s="290"/>
      <c r="X516" s="290"/>
      <c r="Y516" s="290"/>
      <c r="Z516" s="290"/>
      <c r="AA516" s="290"/>
      <c r="AB516" s="290"/>
      <c r="AC516" s="290"/>
      <c r="AD516" s="290"/>
    </row>
    <row r="517" spans="1:30" ht="25.5">
      <c r="A517" s="291" t="str">
        <f t="shared" si="40"/>
        <v/>
      </c>
      <c r="B517" s="291" t="s">
        <v>2020</v>
      </c>
      <c r="C517" s="291" t="str">
        <f>IF(D516="","",UNIT!$B$1&amp;"-"&amp;B517)</f>
        <v/>
      </c>
      <c r="D517" s="83"/>
      <c r="E517" s="59"/>
      <c r="F517" s="82"/>
      <c r="G517" s="82"/>
      <c r="H517" s="86"/>
      <c r="I517" s="294" t="str">
        <f t="shared" si="37"/>
        <v/>
      </c>
      <c r="J517" s="59"/>
      <c r="K517" s="83"/>
      <c r="L517" s="83" t="str">
        <f t="shared" si="38"/>
        <v xml:space="preserve">
</v>
      </c>
      <c r="M517" s="83"/>
      <c r="N517" s="59"/>
      <c r="O517" s="59"/>
      <c r="P517" s="86" t="e">
        <f t="shared" si="39"/>
        <v>#VALUE!</v>
      </c>
      <c r="Q517" s="59"/>
      <c r="R517" s="59"/>
      <c r="S517" s="59"/>
      <c r="T517" s="59"/>
      <c r="U517" s="290"/>
      <c r="V517" s="290"/>
      <c r="W517" s="290"/>
      <c r="X517" s="290"/>
      <c r="Y517" s="290"/>
      <c r="Z517" s="290"/>
      <c r="AA517" s="290"/>
      <c r="AB517" s="290"/>
      <c r="AC517" s="290"/>
      <c r="AD517" s="290"/>
    </row>
    <row r="518" spans="1:30" ht="25.5">
      <c r="A518" s="291" t="str">
        <f t="shared" si="40"/>
        <v/>
      </c>
      <c r="B518" s="291" t="s">
        <v>2021</v>
      </c>
      <c r="C518" s="291" t="str">
        <f>IF(D517="","",UNIT!$B$1&amp;"-"&amp;B518)</f>
        <v/>
      </c>
      <c r="D518" s="83"/>
      <c r="E518" s="59"/>
      <c r="F518" s="82"/>
      <c r="G518" s="82"/>
      <c r="H518" s="86"/>
      <c r="I518" s="294" t="str">
        <f t="shared" ref="I518:I772" si="41">IF(H518&gt;1,H518*1.5,"")</f>
        <v/>
      </c>
      <c r="J518" s="59"/>
      <c r="K518" s="83"/>
      <c r="L518" s="83" t="str">
        <f t="shared" si="38"/>
        <v xml:space="preserve">
</v>
      </c>
      <c r="M518" s="83"/>
      <c r="N518" s="59"/>
      <c r="O518" s="59"/>
      <c r="P518" s="86" t="e">
        <f t="shared" si="39"/>
        <v>#VALUE!</v>
      </c>
      <c r="Q518" s="59"/>
      <c r="R518" s="59"/>
      <c r="S518" s="59"/>
      <c r="T518" s="59"/>
      <c r="U518" s="290"/>
      <c r="V518" s="290"/>
      <c r="W518" s="290"/>
      <c r="X518" s="290"/>
      <c r="Y518" s="290"/>
      <c r="Z518" s="290"/>
      <c r="AA518" s="290"/>
      <c r="AB518" s="290"/>
      <c r="AC518" s="290"/>
      <c r="AD518" s="290"/>
    </row>
    <row r="519" spans="1:30" ht="25.5">
      <c r="A519" s="291" t="str">
        <f t="shared" si="40"/>
        <v/>
      </c>
      <c r="B519" s="291" t="s">
        <v>2022</v>
      </c>
      <c r="C519" s="291" t="str">
        <f>IF(D518="","",UNIT!$B$1&amp;"-"&amp;B519)</f>
        <v/>
      </c>
      <c r="D519" s="83"/>
      <c r="E519" s="59"/>
      <c r="F519" s="82"/>
      <c r="G519" s="82"/>
      <c r="H519" s="86"/>
      <c r="I519" s="294" t="str">
        <f t="shared" si="41"/>
        <v/>
      </c>
      <c r="J519" s="59"/>
      <c r="K519" s="83"/>
      <c r="L519" s="83" t="str">
        <f t="shared" si="38"/>
        <v xml:space="preserve">
</v>
      </c>
      <c r="M519" s="83"/>
      <c r="N519" s="59"/>
      <c r="O519" s="59"/>
      <c r="P519" s="86" t="e">
        <f t="shared" si="39"/>
        <v>#VALUE!</v>
      </c>
      <c r="Q519" s="59"/>
      <c r="R519" s="59"/>
      <c r="S519" s="59"/>
      <c r="T519" s="59"/>
      <c r="U519" s="290"/>
      <c r="V519" s="290"/>
      <c r="W519" s="290"/>
      <c r="X519" s="290"/>
      <c r="Y519" s="290"/>
      <c r="Z519" s="290"/>
      <c r="AA519" s="290"/>
      <c r="AB519" s="290"/>
      <c r="AC519" s="290"/>
      <c r="AD519" s="290"/>
    </row>
    <row r="520" spans="1:30" ht="25.5">
      <c r="A520" s="291" t="str">
        <f t="shared" si="40"/>
        <v/>
      </c>
      <c r="B520" s="291" t="s">
        <v>2023</v>
      </c>
      <c r="C520" s="291" t="str">
        <f>IF(D519="","",UNIT!$B$1&amp;"-"&amp;B520)</f>
        <v/>
      </c>
      <c r="D520" s="83"/>
      <c r="E520" s="59"/>
      <c r="F520" s="82"/>
      <c r="G520" s="82"/>
      <c r="H520" s="86"/>
      <c r="I520" s="294" t="str">
        <f t="shared" si="41"/>
        <v/>
      </c>
      <c r="J520" s="59"/>
      <c r="K520" s="83"/>
      <c r="L520" s="83" t="str">
        <f t="shared" si="38"/>
        <v xml:space="preserve">
</v>
      </c>
      <c r="M520" s="83"/>
      <c r="N520" s="59"/>
      <c r="O520" s="59"/>
      <c r="P520" s="86" t="e">
        <f t="shared" si="39"/>
        <v>#VALUE!</v>
      </c>
      <c r="Q520" s="59"/>
      <c r="R520" s="59"/>
      <c r="S520" s="59"/>
      <c r="T520" s="59"/>
      <c r="U520" s="290"/>
      <c r="V520" s="290"/>
      <c r="W520" s="290"/>
      <c r="X520" s="290"/>
      <c r="Y520" s="290"/>
      <c r="Z520" s="290"/>
      <c r="AA520" s="290"/>
      <c r="AB520" s="290"/>
      <c r="AC520" s="290"/>
      <c r="AD520" s="290"/>
    </row>
    <row r="521" spans="1:30" ht="25.5">
      <c r="A521" s="291" t="str">
        <f t="shared" si="40"/>
        <v/>
      </c>
      <c r="B521" s="291" t="s">
        <v>2024</v>
      </c>
      <c r="C521" s="291" t="str">
        <f>IF(D520="","",UNIT!$B$1&amp;"-"&amp;B521)</f>
        <v/>
      </c>
      <c r="D521" s="83"/>
      <c r="E521" s="59"/>
      <c r="F521" s="82"/>
      <c r="G521" s="82"/>
      <c r="H521" s="86"/>
      <c r="I521" s="294" t="str">
        <f t="shared" si="41"/>
        <v/>
      </c>
      <c r="J521" s="59"/>
      <c r="K521" s="83"/>
      <c r="L521" s="83" t="str">
        <f t="shared" si="38"/>
        <v xml:space="preserve">
</v>
      </c>
      <c r="M521" s="83"/>
      <c r="N521" s="59"/>
      <c r="O521" s="59"/>
      <c r="P521" s="86" t="e">
        <f t="shared" si="39"/>
        <v>#VALUE!</v>
      </c>
      <c r="Q521" s="59"/>
      <c r="R521" s="59"/>
      <c r="S521" s="59"/>
      <c r="T521" s="59"/>
      <c r="U521" s="290"/>
      <c r="V521" s="290"/>
      <c r="W521" s="290"/>
      <c r="X521" s="290"/>
      <c r="Y521" s="290"/>
      <c r="Z521" s="290"/>
      <c r="AA521" s="290"/>
      <c r="AB521" s="290"/>
      <c r="AC521" s="290"/>
      <c r="AD521" s="290"/>
    </row>
    <row r="522" spans="1:30" ht="25.5">
      <c r="A522" s="291" t="str">
        <f t="shared" si="40"/>
        <v/>
      </c>
      <c r="B522" s="291" t="s">
        <v>2025</v>
      </c>
      <c r="C522" s="291" t="str">
        <f>IF(D521="","",UNIT!$B$1&amp;"-"&amp;B522)</f>
        <v/>
      </c>
      <c r="D522" s="83"/>
      <c r="E522" s="59"/>
      <c r="F522" s="82"/>
      <c r="G522" s="82"/>
      <c r="H522" s="86"/>
      <c r="I522" s="294" t="str">
        <f t="shared" si="41"/>
        <v/>
      </c>
      <c r="J522" s="59"/>
      <c r="K522" s="83"/>
      <c r="L522" s="83" t="str">
        <f t="shared" si="38"/>
        <v xml:space="preserve">
</v>
      </c>
      <c r="M522" s="83"/>
      <c r="N522" s="59"/>
      <c r="O522" s="59"/>
      <c r="P522" s="86" t="e">
        <f t="shared" si="39"/>
        <v>#VALUE!</v>
      </c>
      <c r="Q522" s="59"/>
      <c r="R522" s="59"/>
      <c r="S522" s="59"/>
      <c r="T522" s="59"/>
      <c r="U522" s="290"/>
      <c r="V522" s="290"/>
      <c r="W522" s="290"/>
      <c r="X522" s="290"/>
      <c r="Y522" s="290"/>
      <c r="Z522" s="290"/>
      <c r="AA522" s="290"/>
      <c r="AB522" s="290"/>
      <c r="AC522" s="290"/>
      <c r="AD522" s="290"/>
    </row>
    <row r="523" spans="1:30" ht="25.5">
      <c r="A523" s="291" t="str">
        <f t="shared" si="40"/>
        <v/>
      </c>
      <c r="B523" s="291" t="s">
        <v>2026</v>
      </c>
      <c r="C523" s="291" t="str">
        <f>IF(D522="","",UNIT!$B$1&amp;"-"&amp;B523)</f>
        <v/>
      </c>
      <c r="D523" s="83"/>
      <c r="E523" s="59"/>
      <c r="F523" s="82"/>
      <c r="G523" s="82"/>
      <c r="H523" s="86"/>
      <c r="I523" s="294" t="str">
        <f t="shared" si="41"/>
        <v/>
      </c>
      <c r="J523" s="59"/>
      <c r="K523" s="83"/>
      <c r="L523" s="83" t="str">
        <f t="shared" si="38"/>
        <v xml:space="preserve">
</v>
      </c>
      <c r="M523" s="83"/>
      <c r="N523" s="59"/>
      <c r="O523" s="59"/>
      <c r="P523" s="86" t="e">
        <f t="shared" si="39"/>
        <v>#VALUE!</v>
      </c>
      <c r="Q523" s="59"/>
      <c r="R523" s="59"/>
      <c r="S523" s="59"/>
      <c r="T523" s="59"/>
      <c r="U523" s="290"/>
      <c r="V523" s="290"/>
      <c r="W523" s="290"/>
      <c r="X523" s="290"/>
      <c r="Y523" s="290"/>
      <c r="Z523" s="290"/>
      <c r="AA523" s="290"/>
      <c r="AB523" s="290"/>
      <c r="AC523" s="290"/>
      <c r="AD523" s="290"/>
    </row>
    <row r="524" spans="1:30" ht="25.5">
      <c r="A524" s="291" t="str">
        <f t="shared" si="40"/>
        <v/>
      </c>
      <c r="B524" s="291" t="s">
        <v>2027</v>
      </c>
      <c r="C524" s="291" t="str">
        <f>IF(D523="","",UNIT!$B$1&amp;"-"&amp;B524)</f>
        <v/>
      </c>
      <c r="D524" s="83"/>
      <c r="E524" s="59"/>
      <c r="F524" s="82"/>
      <c r="G524" s="82"/>
      <c r="H524" s="86"/>
      <c r="I524" s="294" t="str">
        <f t="shared" si="41"/>
        <v/>
      </c>
      <c r="J524" s="59"/>
      <c r="K524" s="83"/>
      <c r="L524" s="83" t="str">
        <f t="shared" si="38"/>
        <v xml:space="preserve">
</v>
      </c>
      <c r="M524" s="83"/>
      <c r="N524" s="59"/>
      <c r="O524" s="59"/>
      <c r="P524" s="86" t="e">
        <f t="shared" si="39"/>
        <v>#VALUE!</v>
      </c>
      <c r="Q524" s="59"/>
      <c r="R524" s="59"/>
      <c r="S524" s="59"/>
      <c r="T524" s="59"/>
      <c r="U524" s="290"/>
      <c r="V524" s="290"/>
      <c r="W524" s="290"/>
      <c r="X524" s="290"/>
      <c r="Y524" s="290"/>
      <c r="Z524" s="290"/>
      <c r="AA524" s="290"/>
      <c r="AB524" s="290"/>
      <c r="AC524" s="290"/>
      <c r="AD524" s="290"/>
    </row>
    <row r="525" spans="1:30" ht="25.5">
      <c r="A525" s="291" t="str">
        <f t="shared" si="40"/>
        <v/>
      </c>
      <c r="B525" s="291" t="s">
        <v>2028</v>
      </c>
      <c r="C525" s="291" t="str">
        <f>IF(D524="","",UNIT!$B$1&amp;"-"&amp;B525)</f>
        <v/>
      </c>
      <c r="D525" s="83"/>
      <c r="E525" s="59"/>
      <c r="F525" s="82"/>
      <c r="G525" s="82"/>
      <c r="H525" s="86"/>
      <c r="I525" s="294" t="str">
        <f t="shared" si="41"/>
        <v/>
      </c>
      <c r="J525" s="59"/>
      <c r="K525" s="83"/>
      <c r="L525" s="83" t="str">
        <f t="shared" si="38"/>
        <v xml:space="preserve">
</v>
      </c>
      <c r="M525" s="83"/>
      <c r="N525" s="59"/>
      <c r="O525" s="59"/>
      <c r="P525" s="86" t="e">
        <f t="shared" si="39"/>
        <v>#VALUE!</v>
      </c>
      <c r="Q525" s="59"/>
      <c r="R525" s="59"/>
      <c r="S525" s="59"/>
      <c r="T525" s="59"/>
      <c r="U525" s="290"/>
      <c r="V525" s="290"/>
      <c r="W525" s="290"/>
      <c r="X525" s="290"/>
      <c r="Y525" s="290"/>
      <c r="Z525" s="290"/>
      <c r="AA525" s="290"/>
      <c r="AB525" s="290"/>
      <c r="AC525" s="290"/>
      <c r="AD525" s="290"/>
    </row>
    <row r="526" spans="1:30" ht="25.5">
      <c r="A526" s="291" t="str">
        <f t="shared" si="40"/>
        <v/>
      </c>
      <c r="B526" s="291" t="s">
        <v>2029</v>
      </c>
      <c r="C526" s="291" t="str">
        <f>IF(D525="","",UNIT!$B$1&amp;"-"&amp;B526)</f>
        <v/>
      </c>
      <c r="D526" s="83"/>
      <c r="E526" s="59"/>
      <c r="F526" s="82"/>
      <c r="G526" s="82"/>
      <c r="H526" s="86"/>
      <c r="I526" s="294" t="str">
        <f t="shared" si="41"/>
        <v/>
      </c>
      <c r="J526" s="59"/>
      <c r="K526" s="83"/>
      <c r="L526" s="83" t="str">
        <f t="shared" si="38"/>
        <v xml:space="preserve">
</v>
      </c>
      <c r="M526" s="83"/>
      <c r="N526" s="59"/>
      <c r="O526" s="59"/>
      <c r="P526" s="86" t="e">
        <f t="shared" si="39"/>
        <v>#VALUE!</v>
      </c>
      <c r="Q526" s="59"/>
      <c r="R526" s="59"/>
      <c r="S526" s="59"/>
      <c r="T526" s="59"/>
      <c r="U526" s="290"/>
      <c r="V526" s="290"/>
      <c r="W526" s="290"/>
      <c r="X526" s="290"/>
      <c r="Y526" s="290"/>
      <c r="Z526" s="290"/>
      <c r="AA526" s="290"/>
      <c r="AB526" s="290"/>
      <c r="AC526" s="290"/>
      <c r="AD526" s="290"/>
    </row>
    <row r="527" spans="1:30" ht="25.5">
      <c r="A527" s="291" t="str">
        <f t="shared" si="40"/>
        <v/>
      </c>
      <c r="B527" s="291" t="s">
        <v>2030</v>
      </c>
      <c r="C527" s="291" t="str">
        <f>IF(D526="","",UNIT!$B$1&amp;"-"&amp;B527)</f>
        <v/>
      </c>
      <c r="D527" s="83"/>
      <c r="E527" s="59"/>
      <c r="F527" s="82"/>
      <c r="G527" s="82"/>
      <c r="H527" s="86"/>
      <c r="I527" s="294" t="str">
        <f t="shared" si="41"/>
        <v/>
      </c>
      <c r="J527" s="59"/>
      <c r="K527" s="83"/>
      <c r="L527" s="83" t="str">
        <f t="shared" si="38"/>
        <v xml:space="preserve">
</v>
      </c>
      <c r="M527" s="83"/>
      <c r="N527" s="59"/>
      <c r="O527" s="59"/>
      <c r="P527" s="86" t="e">
        <f t="shared" si="39"/>
        <v>#VALUE!</v>
      </c>
      <c r="Q527" s="59"/>
      <c r="R527" s="59"/>
      <c r="S527" s="59"/>
      <c r="T527" s="59"/>
      <c r="U527" s="290"/>
      <c r="V527" s="290"/>
      <c r="W527" s="290"/>
      <c r="X527" s="290"/>
      <c r="Y527" s="290"/>
      <c r="Z527" s="290"/>
      <c r="AA527" s="290"/>
      <c r="AB527" s="290"/>
      <c r="AC527" s="290"/>
      <c r="AD527" s="290"/>
    </row>
    <row r="528" spans="1:30" ht="25.5">
      <c r="A528" s="291" t="str">
        <f t="shared" si="40"/>
        <v/>
      </c>
      <c r="B528" s="291" t="s">
        <v>2031</v>
      </c>
      <c r="C528" s="291" t="str">
        <f>IF(D527="","",UNIT!$B$1&amp;"-"&amp;B528)</f>
        <v/>
      </c>
      <c r="D528" s="83"/>
      <c r="E528" s="59"/>
      <c r="F528" s="82"/>
      <c r="G528" s="82"/>
      <c r="H528" s="86"/>
      <c r="I528" s="294" t="str">
        <f t="shared" si="41"/>
        <v/>
      </c>
      <c r="J528" s="59"/>
      <c r="K528" s="83"/>
      <c r="L528" s="83" t="str">
        <f t="shared" si="38"/>
        <v xml:space="preserve">
</v>
      </c>
      <c r="M528" s="83"/>
      <c r="N528" s="59"/>
      <c r="O528" s="59"/>
      <c r="P528" s="86" t="e">
        <f t="shared" si="39"/>
        <v>#VALUE!</v>
      </c>
      <c r="Q528" s="59"/>
      <c r="R528" s="59"/>
      <c r="S528" s="59"/>
      <c r="T528" s="59"/>
      <c r="U528" s="290"/>
      <c r="V528" s="290"/>
      <c r="W528" s="290"/>
      <c r="X528" s="290"/>
      <c r="Y528" s="290"/>
      <c r="Z528" s="290"/>
      <c r="AA528" s="290"/>
      <c r="AB528" s="290"/>
      <c r="AC528" s="290"/>
      <c r="AD528" s="290"/>
    </row>
    <row r="529" spans="1:30" ht="25.5">
      <c r="A529" s="291" t="str">
        <f t="shared" si="40"/>
        <v/>
      </c>
      <c r="B529" s="291" t="s">
        <v>2032</v>
      </c>
      <c r="C529" s="291" t="str">
        <f>IF(D528="","",UNIT!$B$1&amp;"-"&amp;B529)</f>
        <v/>
      </c>
      <c r="D529" s="83"/>
      <c r="E529" s="59"/>
      <c r="F529" s="82"/>
      <c r="G529" s="82"/>
      <c r="H529" s="86"/>
      <c r="I529" s="294" t="str">
        <f t="shared" si="41"/>
        <v/>
      </c>
      <c r="J529" s="59"/>
      <c r="K529" s="83"/>
      <c r="L529" s="83" t="str">
        <f t="shared" si="38"/>
        <v xml:space="preserve">
</v>
      </c>
      <c r="M529" s="83"/>
      <c r="N529" s="59"/>
      <c r="O529" s="59"/>
      <c r="P529" s="86" t="e">
        <f t="shared" si="39"/>
        <v>#VALUE!</v>
      </c>
      <c r="Q529" s="59"/>
      <c r="R529" s="59"/>
      <c r="S529" s="59"/>
      <c r="T529" s="59"/>
      <c r="U529" s="290"/>
      <c r="V529" s="290"/>
      <c r="W529" s="290"/>
      <c r="X529" s="290"/>
      <c r="Y529" s="290"/>
      <c r="Z529" s="290"/>
      <c r="AA529" s="290"/>
      <c r="AB529" s="290"/>
      <c r="AC529" s="290"/>
      <c r="AD529" s="290"/>
    </row>
    <row r="530" spans="1:30" ht="25.5">
      <c r="A530" s="291" t="str">
        <f t="shared" si="40"/>
        <v/>
      </c>
      <c r="B530" s="291" t="s">
        <v>2033</v>
      </c>
      <c r="C530" s="291" t="str">
        <f>IF(D529="","",UNIT!$B$1&amp;"-"&amp;B530)</f>
        <v/>
      </c>
      <c r="D530" s="83"/>
      <c r="E530" s="59"/>
      <c r="F530" s="82"/>
      <c r="G530" s="82"/>
      <c r="H530" s="86"/>
      <c r="I530" s="294" t="str">
        <f t="shared" si="41"/>
        <v/>
      </c>
      <c r="J530" s="59"/>
      <c r="K530" s="83"/>
      <c r="L530" s="83" t="str">
        <f t="shared" si="38"/>
        <v xml:space="preserve">
</v>
      </c>
      <c r="M530" s="83"/>
      <c r="N530" s="59"/>
      <c r="O530" s="59"/>
      <c r="P530" s="86" t="e">
        <f t="shared" si="39"/>
        <v>#VALUE!</v>
      </c>
      <c r="Q530" s="59"/>
      <c r="R530" s="59"/>
      <c r="S530" s="59"/>
      <c r="T530" s="59"/>
      <c r="U530" s="290"/>
      <c r="V530" s="290"/>
      <c r="W530" s="290"/>
      <c r="X530" s="290"/>
      <c r="Y530" s="290"/>
      <c r="Z530" s="290"/>
      <c r="AA530" s="290"/>
      <c r="AB530" s="290"/>
      <c r="AC530" s="290"/>
      <c r="AD530" s="290"/>
    </row>
    <row r="531" spans="1:30" ht="25.5">
      <c r="A531" s="291" t="str">
        <f t="shared" si="40"/>
        <v/>
      </c>
      <c r="B531" s="291" t="s">
        <v>2034</v>
      </c>
      <c r="C531" s="291" t="str">
        <f>IF(D530="","",UNIT!$B$1&amp;"-"&amp;B531)</f>
        <v/>
      </c>
      <c r="D531" s="83"/>
      <c r="E531" s="59"/>
      <c r="F531" s="82"/>
      <c r="G531" s="82"/>
      <c r="H531" s="86"/>
      <c r="I531" s="294" t="str">
        <f t="shared" si="41"/>
        <v/>
      </c>
      <c r="J531" s="59"/>
      <c r="K531" s="83"/>
      <c r="L531" s="83" t="str">
        <f t="shared" si="38"/>
        <v xml:space="preserve">
</v>
      </c>
      <c r="M531" s="83"/>
      <c r="N531" s="59"/>
      <c r="O531" s="59"/>
      <c r="P531" s="86" t="e">
        <f t="shared" si="39"/>
        <v>#VALUE!</v>
      </c>
      <c r="Q531" s="59"/>
      <c r="R531" s="59"/>
      <c r="S531" s="59"/>
      <c r="T531" s="59"/>
      <c r="U531" s="290"/>
      <c r="V531" s="290"/>
      <c r="W531" s="290"/>
      <c r="X531" s="290"/>
      <c r="Y531" s="290"/>
      <c r="Z531" s="290"/>
      <c r="AA531" s="290"/>
      <c r="AB531" s="290"/>
      <c r="AC531" s="290"/>
      <c r="AD531" s="290"/>
    </row>
    <row r="532" spans="1:30" ht="25.5">
      <c r="A532" s="291" t="str">
        <f t="shared" si="40"/>
        <v/>
      </c>
      <c r="B532" s="291" t="s">
        <v>2035</v>
      </c>
      <c r="C532" s="291" t="str">
        <f>IF(D531="","",UNIT!$B$1&amp;"-"&amp;B532)</f>
        <v/>
      </c>
      <c r="D532" s="83"/>
      <c r="E532" s="59"/>
      <c r="F532" s="82"/>
      <c r="G532" s="82"/>
      <c r="H532" s="86"/>
      <c r="I532" s="294" t="str">
        <f t="shared" si="41"/>
        <v/>
      </c>
      <c r="J532" s="59"/>
      <c r="K532" s="83"/>
      <c r="L532" s="83" t="str">
        <f t="shared" si="38"/>
        <v xml:space="preserve">
</v>
      </c>
      <c r="M532" s="83"/>
      <c r="N532" s="59"/>
      <c r="O532" s="59"/>
      <c r="P532" s="86" t="e">
        <f t="shared" si="39"/>
        <v>#VALUE!</v>
      </c>
      <c r="Q532" s="59"/>
      <c r="R532" s="59"/>
      <c r="S532" s="59"/>
      <c r="T532" s="59"/>
      <c r="U532" s="290"/>
      <c r="V532" s="290"/>
      <c r="W532" s="290"/>
      <c r="X532" s="290"/>
      <c r="Y532" s="290"/>
      <c r="Z532" s="290"/>
      <c r="AA532" s="290"/>
      <c r="AB532" s="290"/>
      <c r="AC532" s="290"/>
      <c r="AD532" s="290"/>
    </row>
    <row r="533" spans="1:30" ht="25.5">
      <c r="A533" s="291" t="str">
        <f t="shared" si="40"/>
        <v/>
      </c>
      <c r="B533" s="291" t="s">
        <v>2036</v>
      </c>
      <c r="C533" s="291" t="str">
        <f>IF(D532="","",UNIT!$B$1&amp;"-"&amp;B533)</f>
        <v/>
      </c>
      <c r="D533" s="83"/>
      <c r="E533" s="59"/>
      <c r="F533" s="82"/>
      <c r="G533" s="82"/>
      <c r="H533" s="86"/>
      <c r="I533" s="294" t="str">
        <f t="shared" si="41"/>
        <v/>
      </c>
      <c r="J533" s="59"/>
      <c r="K533" s="83"/>
      <c r="L533" s="83" t="str">
        <f t="shared" si="38"/>
        <v xml:space="preserve">
</v>
      </c>
      <c r="M533" s="83"/>
      <c r="N533" s="59"/>
      <c r="O533" s="59"/>
      <c r="P533" s="86" t="e">
        <f t="shared" si="39"/>
        <v>#VALUE!</v>
      </c>
      <c r="Q533" s="59"/>
      <c r="R533" s="59"/>
      <c r="S533" s="59"/>
      <c r="T533" s="59"/>
      <c r="U533" s="290"/>
      <c r="V533" s="290"/>
      <c r="W533" s="290"/>
      <c r="X533" s="290"/>
      <c r="Y533" s="290"/>
      <c r="Z533" s="290"/>
      <c r="AA533" s="290"/>
      <c r="AB533" s="290"/>
      <c r="AC533" s="290"/>
      <c r="AD533" s="290"/>
    </row>
    <row r="534" spans="1:30" ht="25.5">
      <c r="A534" s="291" t="str">
        <f t="shared" si="40"/>
        <v/>
      </c>
      <c r="B534" s="291" t="s">
        <v>2037</v>
      </c>
      <c r="C534" s="291" t="str">
        <f>IF(D533="","",UNIT!$B$1&amp;"-"&amp;B534)</f>
        <v/>
      </c>
      <c r="D534" s="83"/>
      <c r="E534" s="59"/>
      <c r="F534" s="82"/>
      <c r="G534" s="82"/>
      <c r="H534" s="86"/>
      <c r="I534" s="294" t="str">
        <f t="shared" si="41"/>
        <v/>
      </c>
      <c r="J534" s="59"/>
      <c r="K534" s="83"/>
      <c r="L534" s="83" t="str">
        <f t="shared" si="38"/>
        <v xml:space="preserve">
</v>
      </c>
      <c r="M534" s="83"/>
      <c r="N534" s="59"/>
      <c r="O534" s="59"/>
      <c r="P534" s="86" t="e">
        <f t="shared" si="39"/>
        <v>#VALUE!</v>
      </c>
      <c r="Q534" s="59"/>
      <c r="R534" s="59"/>
      <c r="S534" s="59"/>
      <c r="T534" s="59"/>
      <c r="U534" s="290"/>
      <c r="V534" s="290"/>
      <c r="W534" s="290"/>
      <c r="X534" s="290"/>
      <c r="Y534" s="290"/>
      <c r="Z534" s="290"/>
      <c r="AA534" s="290"/>
      <c r="AB534" s="290"/>
      <c r="AC534" s="290"/>
      <c r="AD534" s="290"/>
    </row>
    <row r="535" spans="1:30" ht="25.5">
      <c r="A535" s="291" t="str">
        <f t="shared" si="40"/>
        <v/>
      </c>
      <c r="B535" s="291" t="s">
        <v>2038</v>
      </c>
      <c r="C535" s="291" t="str">
        <f>IF(D534="","",UNIT!$B$1&amp;"-"&amp;B535)</f>
        <v/>
      </c>
      <c r="D535" s="83"/>
      <c r="E535" s="59"/>
      <c r="F535" s="82"/>
      <c r="G535" s="82"/>
      <c r="H535" s="86"/>
      <c r="I535" s="294" t="str">
        <f t="shared" si="41"/>
        <v/>
      </c>
      <c r="J535" s="59"/>
      <c r="K535" s="83"/>
      <c r="L535" s="83" t="str">
        <f t="shared" si="38"/>
        <v xml:space="preserve">
</v>
      </c>
      <c r="M535" s="83"/>
      <c r="N535" s="59"/>
      <c r="O535" s="59"/>
      <c r="P535" s="86" t="e">
        <f t="shared" si="39"/>
        <v>#VALUE!</v>
      </c>
      <c r="Q535" s="59"/>
      <c r="R535" s="59"/>
      <c r="S535" s="59"/>
      <c r="T535" s="59"/>
      <c r="U535" s="290"/>
      <c r="V535" s="290"/>
      <c r="W535" s="290"/>
      <c r="X535" s="290"/>
      <c r="Y535" s="290"/>
      <c r="Z535" s="290"/>
      <c r="AA535" s="290"/>
      <c r="AB535" s="290"/>
      <c r="AC535" s="290"/>
      <c r="AD535" s="290"/>
    </row>
    <row r="536" spans="1:30" ht="25.5">
      <c r="A536" s="291" t="str">
        <f t="shared" si="40"/>
        <v/>
      </c>
      <c r="B536" s="291" t="s">
        <v>2039</v>
      </c>
      <c r="C536" s="291" t="str">
        <f>IF(D535="","",UNIT!$B$1&amp;"-"&amp;B536)</f>
        <v/>
      </c>
      <c r="D536" s="83"/>
      <c r="E536" s="59"/>
      <c r="F536" s="82"/>
      <c r="G536" s="82"/>
      <c r="H536" s="86"/>
      <c r="I536" s="294" t="str">
        <f t="shared" si="41"/>
        <v/>
      </c>
      <c r="J536" s="59"/>
      <c r="K536" s="83"/>
      <c r="L536" s="83" t="str">
        <f t="shared" si="38"/>
        <v xml:space="preserve">
</v>
      </c>
      <c r="M536" s="83"/>
      <c r="N536" s="59"/>
      <c r="O536" s="59"/>
      <c r="P536" s="86" t="e">
        <f t="shared" si="39"/>
        <v>#VALUE!</v>
      </c>
      <c r="Q536" s="59"/>
      <c r="R536" s="59"/>
      <c r="S536" s="59"/>
      <c r="T536" s="59"/>
      <c r="U536" s="290"/>
      <c r="V536" s="290"/>
      <c r="W536" s="290"/>
      <c r="X536" s="290"/>
      <c r="Y536" s="290"/>
      <c r="Z536" s="290"/>
      <c r="AA536" s="290"/>
      <c r="AB536" s="290"/>
      <c r="AC536" s="290"/>
      <c r="AD536" s="290"/>
    </row>
    <row r="537" spans="1:30" ht="25.5">
      <c r="A537" s="291" t="str">
        <f t="shared" si="40"/>
        <v/>
      </c>
      <c r="B537" s="291" t="s">
        <v>2040</v>
      </c>
      <c r="C537" s="291" t="str">
        <f>IF(D536="","",UNIT!$B$1&amp;"-"&amp;B537)</f>
        <v/>
      </c>
      <c r="D537" s="83"/>
      <c r="E537" s="59"/>
      <c r="F537" s="82"/>
      <c r="G537" s="82"/>
      <c r="H537" s="86"/>
      <c r="I537" s="294" t="str">
        <f t="shared" si="41"/>
        <v/>
      </c>
      <c r="J537" s="59"/>
      <c r="K537" s="83"/>
      <c r="L537" s="83" t="str">
        <f t="shared" si="38"/>
        <v xml:space="preserve">
</v>
      </c>
      <c r="M537" s="83"/>
      <c r="N537" s="59"/>
      <c r="O537" s="59"/>
      <c r="P537" s="86" t="e">
        <f t="shared" si="39"/>
        <v>#VALUE!</v>
      </c>
      <c r="Q537" s="59"/>
      <c r="R537" s="59"/>
      <c r="S537" s="59"/>
      <c r="T537" s="59"/>
      <c r="U537" s="290"/>
      <c r="V537" s="290"/>
      <c r="W537" s="290"/>
      <c r="X537" s="290"/>
      <c r="Y537" s="290"/>
      <c r="Z537" s="290"/>
      <c r="AA537" s="290"/>
      <c r="AB537" s="290"/>
      <c r="AC537" s="290"/>
      <c r="AD537" s="290"/>
    </row>
    <row r="538" spans="1:30" ht="25.5">
      <c r="A538" s="291" t="str">
        <f t="shared" si="40"/>
        <v/>
      </c>
      <c r="B538" s="291" t="s">
        <v>2041</v>
      </c>
      <c r="C538" s="291" t="str">
        <f>IF(D537="","",UNIT!$B$1&amp;"-"&amp;B538)</f>
        <v/>
      </c>
      <c r="D538" s="83"/>
      <c r="E538" s="59"/>
      <c r="F538" s="82"/>
      <c r="G538" s="82"/>
      <c r="H538" s="86"/>
      <c r="I538" s="294" t="str">
        <f t="shared" si="41"/>
        <v/>
      </c>
      <c r="J538" s="59"/>
      <c r="K538" s="83"/>
      <c r="L538" s="83" t="str">
        <f t="shared" si="38"/>
        <v xml:space="preserve">
</v>
      </c>
      <c r="M538" s="83"/>
      <c r="N538" s="59"/>
      <c r="O538" s="59"/>
      <c r="P538" s="86" t="e">
        <f t="shared" si="39"/>
        <v>#VALUE!</v>
      </c>
      <c r="Q538" s="59"/>
      <c r="R538" s="59"/>
      <c r="S538" s="59"/>
      <c r="T538" s="59"/>
      <c r="U538" s="290"/>
      <c r="V538" s="290"/>
      <c r="W538" s="290"/>
      <c r="X538" s="290"/>
      <c r="Y538" s="290"/>
      <c r="Z538" s="290"/>
      <c r="AA538" s="290"/>
      <c r="AB538" s="290"/>
      <c r="AC538" s="290"/>
      <c r="AD538" s="290"/>
    </row>
    <row r="539" spans="1:30" ht="25.5">
      <c r="A539" s="291" t="str">
        <f t="shared" si="40"/>
        <v/>
      </c>
      <c r="B539" s="291" t="s">
        <v>2042</v>
      </c>
      <c r="C539" s="291" t="str">
        <f>IF(D538="","",UNIT!$B$1&amp;"-"&amp;B539)</f>
        <v/>
      </c>
      <c r="D539" s="83"/>
      <c r="E539" s="59"/>
      <c r="F539" s="82"/>
      <c r="G539" s="82"/>
      <c r="H539" s="86"/>
      <c r="I539" s="294" t="str">
        <f t="shared" si="41"/>
        <v/>
      </c>
      <c r="J539" s="59"/>
      <c r="K539" s="83"/>
      <c r="L539" s="83" t="str">
        <f t="shared" si="38"/>
        <v xml:space="preserve">
</v>
      </c>
      <c r="M539" s="83"/>
      <c r="N539" s="59"/>
      <c r="O539" s="59"/>
      <c r="P539" s="86" t="e">
        <f t="shared" si="39"/>
        <v>#VALUE!</v>
      </c>
      <c r="Q539" s="59"/>
      <c r="R539" s="59"/>
      <c r="S539" s="59"/>
      <c r="T539" s="59"/>
      <c r="U539" s="290"/>
      <c r="V539" s="290"/>
      <c r="W539" s="290"/>
      <c r="X539" s="290"/>
      <c r="Y539" s="290"/>
      <c r="Z539" s="290"/>
      <c r="AA539" s="290"/>
      <c r="AB539" s="290"/>
      <c r="AC539" s="290"/>
      <c r="AD539" s="290"/>
    </row>
    <row r="540" spans="1:30" ht="25.5">
      <c r="A540" s="291" t="str">
        <f t="shared" si="40"/>
        <v/>
      </c>
      <c r="B540" s="291" t="s">
        <v>2043</v>
      </c>
      <c r="C540" s="291" t="str">
        <f>IF(D539="","",UNIT!$B$1&amp;"-"&amp;B540)</f>
        <v/>
      </c>
      <c r="D540" s="83"/>
      <c r="E540" s="59"/>
      <c r="F540" s="82"/>
      <c r="G540" s="82"/>
      <c r="H540" s="86"/>
      <c r="I540" s="294" t="str">
        <f t="shared" si="41"/>
        <v/>
      </c>
      <c r="J540" s="59"/>
      <c r="K540" s="83"/>
      <c r="L540" s="83" t="str">
        <f t="shared" si="38"/>
        <v xml:space="preserve">
</v>
      </c>
      <c r="M540" s="83"/>
      <c r="N540" s="59"/>
      <c r="O540" s="59"/>
      <c r="P540" s="86" t="e">
        <f t="shared" si="39"/>
        <v>#VALUE!</v>
      </c>
      <c r="Q540" s="59"/>
      <c r="R540" s="59"/>
      <c r="S540" s="59"/>
      <c r="T540" s="59"/>
      <c r="U540" s="290"/>
      <c r="V540" s="290"/>
      <c r="W540" s="290"/>
      <c r="X540" s="290"/>
      <c r="Y540" s="290"/>
      <c r="Z540" s="290"/>
      <c r="AA540" s="290"/>
      <c r="AB540" s="290"/>
      <c r="AC540" s="290"/>
      <c r="AD540" s="290"/>
    </row>
    <row r="541" spans="1:30" ht="25.5">
      <c r="A541" s="291" t="str">
        <f t="shared" si="40"/>
        <v/>
      </c>
      <c r="B541" s="291" t="s">
        <v>2044</v>
      </c>
      <c r="C541" s="291" t="str">
        <f>IF(D540="","",UNIT!$B$1&amp;"-"&amp;B541)</f>
        <v/>
      </c>
      <c r="D541" s="83"/>
      <c r="E541" s="59"/>
      <c r="F541" s="82"/>
      <c r="G541" s="82"/>
      <c r="H541" s="86"/>
      <c r="I541" s="294" t="str">
        <f t="shared" si="41"/>
        <v/>
      </c>
      <c r="J541" s="59"/>
      <c r="K541" s="83"/>
      <c r="L541" s="83" t="str">
        <f t="shared" si="38"/>
        <v xml:space="preserve">
</v>
      </c>
      <c r="M541" s="83"/>
      <c r="N541" s="59"/>
      <c r="O541" s="59"/>
      <c r="P541" s="86" t="e">
        <f t="shared" si="39"/>
        <v>#VALUE!</v>
      </c>
      <c r="Q541" s="59"/>
      <c r="R541" s="59"/>
      <c r="S541" s="59"/>
      <c r="T541" s="59"/>
      <c r="U541" s="290"/>
      <c r="V541" s="290"/>
      <c r="W541" s="290"/>
      <c r="X541" s="290"/>
      <c r="Y541" s="290"/>
      <c r="Z541" s="290"/>
      <c r="AA541" s="290"/>
      <c r="AB541" s="290"/>
      <c r="AC541" s="290"/>
      <c r="AD541" s="290"/>
    </row>
    <row r="542" spans="1:30" ht="25.5">
      <c r="A542" s="291" t="str">
        <f t="shared" si="40"/>
        <v/>
      </c>
      <c r="B542" s="291" t="s">
        <v>2045</v>
      </c>
      <c r="C542" s="291" t="str">
        <f>IF(D541="","",UNIT!$B$1&amp;"-"&amp;B542)</f>
        <v/>
      </c>
      <c r="D542" s="83"/>
      <c r="E542" s="59"/>
      <c r="F542" s="82"/>
      <c r="G542" s="82"/>
      <c r="H542" s="86"/>
      <c r="I542" s="294" t="str">
        <f t="shared" si="41"/>
        <v/>
      </c>
      <c r="J542" s="59"/>
      <c r="K542" s="83"/>
      <c r="L542" s="83" t="str">
        <f t="shared" si="38"/>
        <v xml:space="preserve">
</v>
      </c>
      <c r="M542" s="83"/>
      <c r="N542" s="59"/>
      <c r="O542" s="59"/>
      <c r="P542" s="86" t="e">
        <f t="shared" si="39"/>
        <v>#VALUE!</v>
      </c>
      <c r="Q542" s="59"/>
      <c r="R542" s="59"/>
      <c r="S542" s="59"/>
      <c r="T542" s="59"/>
      <c r="U542" s="290"/>
      <c r="V542" s="290"/>
      <c r="W542" s="290"/>
      <c r="X542" s="290"/>
      <c r="Y542" s="290"/>
      <c r="Z542" s="290"/>
      <c r="AA542" s="290"/>
      <c r="AB542" s="290"/>
      <c r="AC542" s="290"/>
      <c r="AD542" s="290"/>
    </row>
    <row r="543" spans="1:30" ht="25.5">
      <c r="A543" s="291" t="str">
        <f t="shared" si="40"/>
        <v/>
      </c>
      <c r="B543" s="291" t="s">
        <v>2046</v>
      </c>
      <c r="C543" s="291" t="str">
        <f>IF(D542="","",UNIT!$B$1&amp;"-"&amp;B543)</f>
        <v/>
      </c>
      <c r="D543" s="83"/>
      <c r="E543" s="59"/>
      <c r="F543" s="82"/>
      <c r="G543" s="82"/>
      <c r="H543" s="86"/>
      <c r="I543" s="294" t="str">
        <f t="shared" si="41"/>
        <v/>
      </c>
      <c r="J543" s="59"/>
      <c r="K543" s="83"/>
      <c r="L543" s="83" t="str">
        <f t="shared" si="38"/>
        <v xml:space="preserve">
</v>
      </c>
      <c r="M543" s="83"/>
      <c r="N543" s="59"/>
      <c r="O543" s="59"/>
      <c r="P543" s="86" t="e">
        <f t="shared" si="39"/>
        <v>#VALUE!</v>
      </c>
      <c r="Q543" s="59"/>
      <c r="R543" s="59"/>
      <c r="S543" s="59"/>
      <c r="T543" s="59"/>
      <c r="U543" s="290"/>
      <c r="V543" s="290"/>
      <c r="W543" s="290"/>
      <c r="X543" s="290"/>
      <c r="Y543" s="290"/>
      <c r="Z543" s="290"/>
      <c r="AA543" s="290"/>
      <c r="AB543" s="290"/>
      <c r="AC543" s="290"/>
      <c r="AD543" s="290"/>
    </row>
    <row r="544" spans="1:30" ht="25.5">
      <c r="A544" s="291" t="str">
        <f t="shared" si="40"/>
        <v/>
      </c>
      <c r="B544" s="291" t="s">
        <v>2047</v>
      </c>
      <c r="C544" s="291" t="str">
        <f>IF(D543="","",UNIT!$B$1&amp;"-"&amp;B544)</f>
        <v/>
      </c>
      <c r="D544" s="83"/>
      <c r="E544" s="59"/>
      <c r="F544" s="82"/>
      <c r="G544" s="82"/>
      <c r="H544" s="86"/>
      <c r="I544" s="294" t="str">
        <f t="shared" si="41"/>
        <v/>
      </c>
      <c r="J544" s="59"/>
      <c r="K544" s="83"/>
      <c r="L544" s="83" t="str">
        <f t="shared" si="38"/>
        <v xml:space="preserve">
</v>
      </c>
      <c r="M544" s="83"/>
      <c r="N544" s="59"/>
      <c r="O544" s="59"/>
      <c r="P544" s="86" t="e">
        <f t="shared" si="39"/>
        <v>#VALUE!</v>
      </c>
      <c r="Q544" s="59"/>
      <c r="R544" s="59"/>
      <c r="S544" s="59"/>
      <c r="T544" s="59"/>
      <c r="U544" s="290"/>
      <c r="V544" s="290"/>
      <c r="W544" s="290"/>
      <c r="X544" s="290"/>
      <c r="Y544" s="290"/>
      <c r="Z544" s="290"/>
      <c r="AA544" s="290"/>
      <c r="AB544" s="290"/>
      <c r="AC544" s="290"/>
      <c r="AD544" s="290"/>
    </row>
    <row r="545" spans="1:30" ht="25.5">
      <c r="A545" s="291" t="str">
        <f t="shared" si="40"/>
        <v/>
      </c>
      <c r="B545" s="291" t="s">
        <v>2048</v>
      </c>
      <c r="C545" s="291" t="str">
        <f>IF(D544="","",UNIT!$B$1&amp;"-"&amp;B545)</f>
        <v/>
      </c>
      <c r="D545" s="83"/>
      <c r="E545" s="59"/>
      <c r="F545" s="82"/>
      <c r="G545" s="82"/>
      <c r="H545" s="86"/>
      <c r="I545" s="294" t="str">
        <f t="shared" si="41"/>
        <v/>
      </c>
      <c r="J545" s="59"/>
      <c r="K545" s="83"/>
      <c r="L545" s="83" t="str">
        <f t="shared" si="38"/>
        <v xml:space="preserve">
</v>
      </c>
      <c r="M545" s="83"/>
      <c r="N545" s="59"/>
      <c r="O545" s="59"/>
      <c r="P545" s="86" t="e">
        <f t="shared" si="39"/>
        <v>#VALUE!</v>
      </c>
      <c r="Q545" s="59"/>
      <c r="R545" s="59"/>
      <c r="S545" s="59"/>
      <c r="T545" s="59"/>
      <c r="U545" s="290"/>
      <c r="V545" s="290"/>
      <c r="W545" s="290"/>
      <c r="X545" s="290"/>
      <c r="Y545" s="290"/>
      <c r="Z545" s="290"/>
      <c r="AA545" s="290"/>
      <c r="AB545" s="290"/>
      <c r="AC545" s="290"/>
      <c r="AD545" s="290"/>
    </row>
    <row r="546" spans="1:30" ht="25.5">
      <c r="A546" s="291" t="str">
        <f t="shared" si="40"/>
        <v/>
      </c>
      <c r="B546" s="291" t="s">
        <v>2049</v>
      </c>
      <c r="C546" s="291" t="str">
        <f>IF(D545="","",UNIT!$B$1&amp;"-"&amp;B546)</f>
        <v/>
      </c>
      <c r="D546" s="83"/>
      <c r="E546" s="59"/>
      <c r="F546" s="82"/>
      <c r="G546" s="82"/>
      <c r="H546" s="86"/>
      <c r="I546" s="294" t="str">
        <f t="shared" si="41"/>
        <v/>
      </c>
      <c r="J546" s="59"/>
      <c r="K546" s="83"/>
      <c r="L546" s="83" t="str">
        <f t="shared" si="38"/>
        <v xml:space="preserve">
</v>
      </c>
      <c r="M546" s="83"/>
      <c r="N546" s="59"/>
      <c r="O546" s="59"/>
      <c r="P546" s="86" t="e">
        <f t="shared" si="39"/>
        <v>#VALUE!</v>
      </c>
      <c r="Q546" s="59"/>
      <c r="R546" s="59"/>
      <c r="S546" s="59"/>
      <c r="T546" s="59"/>
      <c r="U546" s="290"/>
      <c r="V546" s="290"/>
      <c r="W546" s="290"/>
      <c r="X546" s="290"/>
      <c r="Y546" s="290"/>
      <c r="Z546" s="290"/>
      <c r="AA546" s="290"/>
      <c r="AB546" s="290"/>
      <c r="AC546" s="290"/>
      <c r="AD546" s="290"/>
    </row>
    <row r="547" spans="1:30" ht="25.5">
      <c r="A547" s="291" t="str">
        <f t="shared" si="40"/>
        <v/>
      </c>
      <c r="B547" s="291" t="s">
        <v>2050</v>
      </c>
      <c r="C547" s="291" t="str">
        <f>IF(D546="","",UNIT!$B$1&amp;"-"&amp;B547)</f>
        <v/>
      </c>
      <c r="D547" s="83"/>
      <c r="E547" s="59"/>
      <c r="F547" s="82"/>
      <c r="G547" s="82"/>
      <c r="H547" s="86"/>
      <c r="I547" s="294" t="str">
        <f t="shared" si="41"/>
        <v/>
      </c>
      <c r="J547" s="59"/>
      <c r="K547" s="83"/>
      <c r="L547" s="83" t="str">
        <f t="shared" si="38"/>
        <v xml:space="preserve">
</v>
      </c>
      <c r="M547" s="83"/>
      <c r="N547" s="59"/>
      <c r="O547" s="59"/>
      <c r="P547" s="86" t="e">
        <f t="shared" si="39"/>
        <v>#VALUE!</v>
      </c>
      <c r="Q547" s="59"/>
      <c r="R547" s="59"/>
      <c r="S547" s="59"/>
      <c r="T547" s="59"/>
      <c r="U547" s="290"/>
      <c r="V547" s="290"/>
      <c r="W547" s="290"/>
      <c r="X547" s="290"/>
      <c r="Y547" s="290"/>
      <c r="Z547" s="290"/>
      <c r="AA547" s="290"/>
      <c r="AB547" s="290"/>
      <c r="AC547" s="290"/>
      <c r="AD547" s="290"/>
    </row>
    <row r="548" spans="1:30" ht="25.5">
      <c r="A548" s="291" t="str">
        <f t="shared" si="40"/>
        <v/>
      </c>
      <c r="B548" s="291" t="s">
        <v>2051</v>
      </c>
      <c r="C548" s="291" t="str">
        <f>IF(D547="","",UNIT!$B$1&amp;"-"&amp;B548)</f>
        <v/>
      </c>
      <c r="D548" s="83"/>
      <c r="E548" s="59"/>
      <c r="F548" s="82"/>
      <c r="G548" s="82"/>
      <c r="H548" s="86"/>
      <c r="I548" s="294" t="str">
        <f t="shared" si="41"/>
        <v/>
      </c>
      <c r="J548" s="59"/>
      <c r="K548" s="83"/>
      <c r="L548" s="83" t="str">
        <f t="shared" si="38"/>
        <v xml:space="preserve">
</v>
      </c>
      <c r="M548" s="83"/>
      <c r="N548" s="59"/>
      <c r="O548" s="59"/>
      <c r="P548" s="86" t="e">
        <f t="shared" si="39"/>
        <v>#VALUE!</v>
      </c>
      <c r="Q548" s="59"/>
      <c r="R548" s="59"/>
      <c r="S548" s="59"/>
      <c r="T548" s="59"/>
      <c r="U548" s="290"/>
      <c r="V548" s="290"/>
      <c r="W548" s="290"/>
      <c r="X548" s="290"/>
      <c r="Y548" s="290"/>
      <c r="Z548" s="290"/>
      <c r="AA548" s="290"/>
      <c r="AB548" s="290"/>
      <c r="AC548" s="290"/>
      <c r="AD548" s="290"/>
    </row>
    <row r="549" spans="1:30" ht="25.5">
      <c r="A549" s="291" t="str">
        <f t="shared" si="40"/>
        <v/>
      </c>
      <c r="B549" s="291" t="s">
        <v>2052</v>
      </c>
      <c r="C549" s="291" t="str">
        <f>IF(D548="","",UNIT!$B$1&amp;"-"&amp;B549)</f>
        <v/>
      </c>
      <c r="D549" s="83"/>
      <c r="E549" s="59"/>
      <c r="F549" s="82"/>
      <c r="G549" s="82"/>
      <c r="H549" s="86"/>
      <c r="I549" s="294" t="str">
        <f t="shared" si="41"/>
        <v/>
      </c>
      <c r="J549" s="59"/>
      <c r="K549" s="83"/>
      <c r="L549" s="83" t="str">
        <f t="shared" si="38"/>
        <v xml:space="preserve">
</v>
      </c>
      <c r="M549" s="83"/>
      <c r="N549" s="59"/>
      <c r="O549" s="59"/>
      <c r="P549" s="86" t="e">
        <f t="shared" si="39"/>
        <v>#VALUE!</v>
      </c>
      <c r="Q549" s="59"/>
      <c r="R549" s="59"/>
      <c r="S549" s="59"/>
      <c r="T549" s="59"/>
      <c r="U549" s="290"/>
      <c r="V549" s="290"/>
      <c r="W549" s="290"/>
      <c r="X549" s="290"/>
      <c r="Y549" s="290"/>
      <c r="Z549" s="290"/>
      <c r="AA549" s="290"/>
      <c r="AB549" s="290"/>
      <c r="AC549" s="290"/>
      <c r="AD549" s="290"/>
    </row>
    <row r="550" spans="1:30" ht="25.5">
      <c r="A550" s="291" t="str">
        <f t="shared" si="40"/>
        <v/>
      </c>
      <c r="B550" s="291" t="s">
        <v>2053</v>
      </c>
      <c r="C550" s="291" t="str">
        <f>IF(D549="","",UNIT!$B$1&amp;"-"&amp;B550)</f>
        <v/>
      </c>
      <c r="D550" s="83"/>
      <c r="E550" s="59"/>
      <c r="F550" s="82"/>
      <c r="G550" s="82"/>
      <c r="H550" s="86"/>
      <c r="I550" s="294" t="str">
        <f t="shared" si="41"/>
        <v/>
      </c>
      <c r="J550" s="59"/>
      <c r="K550" s="83"/>
      <c r="L550" s="83" t="str">
        <f t="shared" si="38"/>
        <v xml:space="preserve">
</v>
      </c>
      <c r="M550" s="83"/>
      <c r="N550" s="59"/>
      <c r="O550" s="59"/>
      <c r="P550" s="86" t="e">
        <f t="shared" si="39"/>
        <v>#VALUE!</v>
      </c>
      <c r="Q550" s="59"/>
      <c r="R550" s="59"/>
      <c r="S550" s="59"/>
      <c r="T550" s="59"/>
      <c r="U550" s="290"/>
      <c r="V550" s="290"/>
      <c r="W550" s="290"/>
      <c r="X550" s="290"/>
      <c r="Y550" s="290"/>
      <c r="Z550" s="290"/>
      <c r="AA550" s="290"/>
      <c r="AB550" s="290"/>
      <c r="AC550" s="290"/>
      <c r="AD550" s="290"/>
    </row>
    <row r="551" spans="1:30" ht="25.5">
      <c r="A551" s="291" t="str">
        <f t="shared" si="40"/>
        <v/>
      </c>
      <c r="B551" s="291" t="s">
        <v>2054</v>
      </c>
      <c r="C551" s="291" t="str">
        <f>IF(D550="","",UNIT!$B$1&amp;"-"&amp;B551)</f>
        <v/>
      </c>
      <c r="D551" s="83"/>
      <c r="E551" s="59"/>
      <c r="F551" s="82"/>
      <c r="G551" s="82"/>
      <c r="H551" s="86"/>
      <c r="I551" s="294" t="str">
        <f t="shared" si="41"/>
        <v/>
      </c>
      <c r="J551" s="59"/>
      <c r="K551" s="83"/>
      <c r="L551" s="83" t="str">
        <f t="shared" si="38"/>
        <v xml:space="preserve">
</v>
      </c>
      <c r="M551" s="83"/>
      <c r="N551" s="59"/>
      <c r="O551" s="59"/>
      <c r="P551" s="86" t="e">
        <f t="shared" si="39"/>
        <v>#VALUE!</v>
      </c>
      <c r="Q551" s="59"/>
      <c r="R551" s="59"/>
      <c r="S551" s="59"/>
      <c r="T551" s="59"/>
      <c r="U551" s="290"/>
      <c r="V551" s="290"/>
      <c r="W551" s="290"/>
      <c r="X551" s="290"/>
      <c r="Y551" s="290"/>
      <c r="Z551" s="290"/>
      <c r="AA551" s="290"/>
      <c r="AB551" s="290"/>
      <c r="AC551" s="290"/>
      <c r="AD551" s="290"/>
    </row>
    <row r="552" spans="1:30" ht="25.5">
      <c r="A552" s="291" t="str">
        <f t="shared" si="40"/>
        <v/>
      </c>
      <c r="B552" s="291" t="s">
        <v>2055</v>
      </c>
      <c r="C552" s="291" t="str">
        <f>IF(D551="","",UNIT!$B$1&amp;"-"&amp;B552)</f>
        <v/>
      </c>
      <c r="D552" s="83"/>
      <c r="E552" s="59"/>
      <c r="F552" s="82"/>
      <c r="G552" s="82"/>
      <c r="H552" s="86"/>
      <c r="I552" s="294" t="str">
        <f t="shared" si="41"/>
        <v/>
      </c>
      <c r="J552" s="59"/>
      <c r="K552" s="83"/>
      <c r="L552" s="83" t="str">
        <f t="shared" si="38"/>
        <v xml:space="preserve">
</v>
      </c>
      <c r="M552" s="83"/>
      <c r="N552" s="59"/>
      <c r="O552" s="59"/>
      <c r="P552" s="86" t="e">
        <f t="shared" si="39"/>
        <v>#VALUE!</v>
      </c>
      <c r="Q552" s="59"/>
      <c r="R552" s="59"/>
      <c r="S552" s="59"/>
      <c r="T552" s="59"/>
      <c r="U552" s="290"/>
      <c r="V552" s="290"/>
      <c r="W552" s="290"/>
      <c r="X552" s="290"/>
      <c r="Y552" s="290"/>
      <c r="Z552" s="290"/>
      <c r="AA552" s="290"/>
      <c r="AB552" s="290"/>
      <c r="AC552" s="290"/>
      <c r="AD552" s="290"/>
    </row>
    <row r="553" spans="1:30" ht="25.5">
      <c r="A553" s="291" t="str">
        <f t="shared" si="40"/>
        <v/>
      </c>
      <c r="B553" s="291" t="s">
        <v>2056</v>
      </c>
      <c r="C553" s="291" t="str">
        <f>IF(D552="","",UNIT!$B$1&amp;"-"&amp;B553)</f>
        <v/>
      </c>
      <c r="D553" s="83"/>
      <c r="E553" s="59"/>
      <c r="F553" s="82"/>
      <c r="G553" s="82"/>
      <c r="H553" s="86"/>
      <c r="I553" s="294" t="str">
        <f t="shared" si="41"/>
        <v/>
      </c>
      <c r="J553" s="59"/>
      <c r="K553" s="83"/>
      <c r="L553" s="83" t="str">
        <f t="shared" si="38"/>
        <v xml:space="preserve">
</v>
      </c>
      <c r="M553" s="83"/>
      <c r="N553" s="59"/>
      <c r="O553" s="59"/>
      <c r="P553" s="86" t="e">
        <f t="shared" si="39"/>
        <v>#VALUE!</v>
      </c>
      <c r="Q553" s="59"/>
      <c r="R553" s="59"/>
      <c r="S553" s="59"/>
      <c r="T553" s="59"/>
      <c r="U553" s="290"/>
      <c r="V553" s="290"/>
      <c r="W553" s="290"/>
      <c r="X553" s="290"/>
      <c r="Y553" s="290"/>
      <c r="Z553" s="290"/>
      <c r="AA553" s="290"/>
      <c r="AB553" s="290"/>
      <c r="AC553" s="290"/>
      <c r="AD553" s="290"/>
    </row>
    <row r="554" spans="1:30" ht="25.5">
      <c r="A554" s="291" t="str">
        <f t="shared" si="40"/>
        <v/>
      </c>
      <c r="B554" s="291" t="s">
        <v>2057</v>
      </c>
      <c r="C554" s="291" t="str">
        <f>IF(D553="","",UNIT!$B$1&amp;"-"&amp;B554)</f>
        <v/>
      </c>
      <c r="D554" s="83"/>
      <c r="E554" s="59"/>
      <c r="F554" s="82"/>
      <c r="G554" s="82"/>
      <c r="H554" s="86"/>
      <c r="I554" s="294" t="str">
        <f t="shared" si="41"/>
        <v/>
      </c>
      <c r="J554" s="59"/>
      <c r="K554" s="83"/>
      <c r="L554" s="83" t="str">
        <f t="shared" si="38"/>
        <v xml:space="preserve">
</v>
      </c>
      <c r="M554" s="83"/>
      <c r="N554" s="59"/>
      <c r="O554" s="59"/>
      <c r="P554" s="86" t="e">
        <f t="shared" si="39"/>
        <v>#VALUE!</v>
      </c>
      <c r="Q554" s="59"/>
      <c r="R554" s="59"/>
      <c r="S554" s="59"/>
      <c r="T554" s="59"/>
      <c r="U554" s="290"/>
      <c r="V554" s="290"/>
      <c r="W554" s="290"/>
      <c r="X554" s="290"/>
      <c r="Y554" s="290"/>
      <c r="Z554" s="290"/>
      <c r="AA554" s="290"/>
      <c r="AB554" s="290"/>
      <c r="AC554" s="290"/>
      <c r="AD554" s="290"/>
    </row>
    <row r="555" spans="1:30" ht="25.5">
      <c r="A555" s="291" t="str">
        <f t="shared" si="40"/>
        <v/>
      </c>
      <c r="B555" s="291" t="s">
        <v>2058</v>
      </c>
      <c r="C555" s="291" t="str">
        <f>IF(D554="","",UNIT!$B$1&amp;"-"&amp;B555)</f>
        <v/>
      </c>
      <c r="D555" s="83"/>
      <c r="E555" s="59"/>
      <c r="F555" s="82"/>
      <c r="G555" s="82"/>
      <c r="H555" s="86"/>
      <c r="I555" s="294" t="str">
        <f t="shared" si="41"/>
        <v/>
      </c>
      <c r="J555" s="59"/>
      <c r="K555" s="83"/>
      <c r="L555" s="83" t="str">
        <f t="shared" si="38"/>
        <v xml:space="preserve">
</v>
      </c>
      <c r="M555" s="83"/>
      <c r="N555" s="59"/>
      <c r="O555" s="59"/>
      <c r="P555" s="86" t="e">
        <f t="shared" si="39"/>
        <v>#VALUE!</v>
      </c>
      <c r="Q555" s="59"/>
      <c r="R555" s="59"/>
      <c r="S555" s="59"/>
      <c r="T555" s="59"/>
      <c r="U555" s="290"/>
      <c r="V555" s="290"/>
      <c r="W555" s="290"/>
      <c r="X555" s="290"/>
      <c r="Y555" s="290"/>
      <c r="Z555" s="290"/>
      <c r="AA555" s="290"/>
      <c r="AB555" s="290"/>
      <c r="AC555" s="290"/>
      <c r="AD555" s="290"/>
    </row>
    <row r="556" spans="1:30" ht="25.5">
      <c r="A556" s="291" t="str">
        <f t="shared" si="40"/>
        <v/>
      </c>
      <c r="B556" s="291" t="s">
        <v>2059</v>
      </c>
      <c r="C556" s="291" t="str">
        <f>IF(D555="","",UNIT!$B$1&amp;"-"&amp;B556)</f>
        <v/>
      </c>
      <c r="D556" s="83"/>
      <c r="E556" s="59"/>
      <c r="F556" s="82"/>
      <c r="G556" s="82"/>
      <c r="H556" s="86"/>
      <c r="I556" s="294" t="str">
        <f t="shared" si="41"/>
        <v/>
      </c>
      <c r="J556" s="59"/>
      <c r="K556" s="83"/>
      <c r="L556" s="83" t="str">
        <f t="shared" si="38"/>
        <v xml:space="preserve">
</v>
      </c>
      <c r="M556" s="83"/>
      <c r="N556" s="59"/>
      <c r="O556" s="59"/>
      <c r="P556" s="86" t="e">
        <f t="shared" si="39"/>
        <v>#VALUE!</v>
      </c>
      <c r="Q556" s="59"/>
      <c r="R556" s="59"/>
      <c r="S556" s="59"/>
      <c r="T556" s="59"/>
      <c r="U556" s="290"/>
      <c r="V556" s="290"/>
      <c r="W556" s="290"/>
      <c r="X556" s="290"/>
      <c r="Y556" s="290"/>
      <c r="Z556" s="290"/>
      <c r="AA556" s="290"/>
      <c r="AB556" s="290"/>
      <c r="AC556" s="290"/>
      <c r="AD556" s="290"/>
    </row>
    <row r="557" spans="1:30" ht="25.5">
      <c r="A557" s="291" t="str">
        <f t="shared" si="40"/>
        <v/>
      </c>
      <c r="B557" s="291" t="s">
        <v>2060</v>
      </c>
      <c r="C557" s="291" t="str">
        <f>IF(D556="","",UNIT!$B$1&amp;"-"&amp;B557)</f>
        <v/>
      </c>
      <c r="D557" s="83"/>
      <c r="E557" s="59"/>
      <c r="F557" s="82"/>
      <c r="G557" s="82"/>
      <c r="H557" s="86"/>
      <c r="I557" s="294" t="str">
        <f t="shared" si="41"/>
        <v/>
      </c>
      <c r="J557" s="59"/>
      <c r="K557" s="83"/>
      <c r="L557" s="83" t="str">
        <f t="shared" si="38"/>
        <v xml:space="preserve">
</v>
      </c>
      <c r="M557" s="83"/>
      <c r="N557" s="59"/>
      <c r="O557" s="59"/>
      <c r="P557" s="86" t="e">
        <f t="shared" si="39"/>
        <v>#VALUE!</v>
      </c>
      <c r="Q557" s="59"/>
      <c r="R557" s="59"/>
      <c r="S557" s="59"/>
      <c r="T557" s="59"/>
      <c r="U557" s="290"/>
      <c r="V557" s="290"/>
      <c r="W557" s="290"/>
      <c r="X557" s="290"/>
      <c r="Y557" s="290"/>
      <c r="Z557" s="290"/>
      <c r="AA557" s="290"/>
      <c r="AB557" s="290"/>
      <c r="AC557" s="290"/>
      <c r="AD557" s="290"/>
    </row>
    <row r="558" spans="1:30" ht="25.5">
      <c r="A558" s="291" t="str">
        <f t="shared" si="40"/>
        <v/>
      </c>
      <c r="B558" s="291" t="s">
        <v>2061</v>
      </c>
      <c r="C558" s="291" t="str">
        <f>IF(D557="","",UNIT!$B$1&amp;"-"&amp;B558)</f>
        <v/>
      </c>
      <c r="D558" s="83"/>
      <c r="E558" s="59"/>
      <c r="F558" s="82"/>
      <c r="G558" s="82"/>
      <c r="H558" s="86"/>
      <c r="I558" s="294" t="str">
        <f t="shared" si="41"/>
        <v/>
      </c>
      <c r="J558" s="59"/>
      <c r="K558" s="83"/>
      <c r="L558" s="83" t="str">
        <f t="shared" si="38"/>
        <v xml:space="preserve">
</v>
      </c>
      <c r="M558" s="83"/>
      <c r="N558" s="59"/>
      <c r="O558" s="59"/>
      <c r="P558" s="86" t="e">
        <f t="shared" si="39"/>
        <v>#VALUE!</v>
      </c>
      <c r="Q558" s="59"/>
      <c r="R558" s="59"/>
      <c r="S558" s="59"/>
      <c r="T558" s="59"/>
      <c r="U558" s="290"/>
      <c r="V558" s="290"/>
      <c r="W558" s="290"/>
      <c r="X558" s="290"/>
      <c r="Y558" s="290"/>
      <c r="Z558" s="290"/>
      <c r="AA558" s="290"/>
      <c r="AB558" s="290"/>
      <c r="AC558" s="290"/>
      <c r="AD558" s="290"/>
    </row>
    <row r="559" spans="1:30" ht="25.5">
      <c r="A559" s="291" t="str">
        <f t="shared" si="40"/>
        <v/>
      </c>
      <c r="B559" s="291" t="s">
        <v>2062</v>
      </c>
      <c r="C559" s="291" t="str">
        <f>IF(D558="","",UNIT!$B$1&amp;"-"&amp;B559)</f>
        <v/>
      </c>
      <c r="D559" s="83"/>
      <c r="E559" s="59"/>
      <c r="F559" s="82"/>
      <c r="G559" s="82"/>
      <c r="H559" s="86"/>
      <c r="I559" s="294" t="str">
        <f t="shared" si="41"/>
        <v/>
      </c>
      <c r="J559" s="59"/>
      <c r="K559" s="83"/>
      <c r="L559" s="83" t="str">
        <f t="shared" si="38"/>
        <v xml:space="preserve">
</v>
      </c>
      <c r="M559" s="83"/>
      <c r="N559" s="59"/>
      <c r="O559" s="59"/>
      <c r="P559" s="86" t="e">
        <f t="shared" si="39"/>
        <v>#VALUE!</v>
      </c>
      <c r="Q559" s="59"/>
      <c r="R559" s="59"/>
      <c r="S559" s="59"/>
      <c r="T559" s="59"/>
      <c r="U559" s="290"/>
      <c r="V559" s="290"/>
      <c r="W559" s="290"/>
      <c r="X559" s="290"/>
      <c r="Y559" s="290"/>
      <c r="Z559" s="290"/>
      <c r="AA559" s="290"/>
      <c r="AB559" s="290"/>
      <c r="AC559" s="290"/>
      <c r="AD559" s="290"/>
    </row>
    <row r="560" spans="1:30" ht="25.5">
      <c r="A560" s="291" t="str">
        <f t="shared" si="40"/>
        <v/>
      </c>
      <c r="B560" s="291" t="s">
        <v>2063</v>
      </c>
      <c r="C560" s="291" t="str">
        <f>IF(D559="","",UNIT!$B$1&amp;"-"&amp;B560)</f>
        <v/>
      </c>
      <c r="D560" s="83"/>
      <c r="E560" s="59"/>
      <c r="F560" s="82"/>
      <c r="G560" s="82"/>
      <c r="H560" s="86"/>
      <c r="I560" s="294" t="str">
        <f t="shared" si="41"/>
        <v/>
      </c>
      <c r="J560" s="59"/>
      <c r="K560" s="83"/>
      <c r="L560" s="83" t="str">
        <f t="shared" si="38"/>
        <v xml:space="preserve">
</v>
      </c>
      <c r="M560" s="83"/>
      <c r="N560" s="59"/>
      <c r="O560" s="59"/>
      <c r="P560" s="86" t="e">
        <f t="shared" si="39"/>
        <v>#VALUE!</v>
      </c>
      <c r="Q560" s="59"/>
      <c r="R560" s="59"/>
      <c r="S560" s="59"/>
      <c r="T560" s="59"/>
      <c r="U560" s="290"/>
      <c r="V560" s="290"/>
      <c r="W560" s="290"/>
      <c r="X560" s="290"/>
      <c r="Y560" s="290"/>
      <c r="Z560" s="290"/>
      <c r="AA560" s="290"/>
      <c r="AB560" s="290"/>
      <c r="AC560" s="290"/>
      <c r="AD560" s="290"/>
    </row>
    <row r="561" spans="1:30" ht="25.5">
      <c r="A561" s="291" t="str">
        <f t="shared" si="40"/>
        <v/>
      </c>
      <c r="B561" s="291" t="s">
        <v>2064</v>
      </c>
      <c r="C561" s="291" t="str">
        <f>IF(D560="","",UNIT!$B$1&amp;"-"&amp;B561)</f>
        <v/>
      </c>
      <c r="D561" s="83"/>
      <c r="E561" s="59"/>
      <c r="F561" s="82"/>
      <c r="G561" s="82"/>
      <c r="H561" s="86"/>
      <c r="I561" s="294" t="str">
        <f t="shared" si="41"/>
        <v/>
      </c>
      <c r="J561" s="59"/>
      <c r="K561" s="83"/>
      <c r="L561" s="83" t="str">
        <f t="shared" si="38"/>
        <v xml:space="preserve">
</v>
      </c>
      <c r="M561" s="83"/>
      <c r="N561" s="59"/>
      <c r="O561" s="59"/>
      <c r="P561" s="86" t="e">
        <f t="shared" si="39"/>
        <v>#VALUE!</v>
      </c>
      <c r="Q561" s="59"/>
      <c r="R561" s="59"/>
      <c r="S561" s="59"/>
      <c r="T561" s="59"/>
      <c r="U561" s="290"/>
      <c r="V561" s="290"/>
      <c r="W561" s="290"/>
      <c r="X561" s="290"/>
      <c r="Y561" s="290"/>
      <c r="Z561" s="290"/>
      <c r="AA561" s="290"/>
      <c r="AB561" s="290"/>
      <c r="AC561" s="290"/>
      <c r="AD561" s="290"/>
    </row>
    <row r="562" spans="1:30" ht="25.5">
      <c r="A562" s="291" t="str">
        <f t="shared" si="40"/>
        <v/>
      </c>
      <c r="B562" s="291" t="s">
        <v>2065</v>
      </c>
      <c r="C562" s="291" t="str">
        <f>IF(D561="","",UNIT!$B$1&amp;"-"&amp;B562)</f>
        <v/>
      </c>
      <c r="D562" s="83"/>
      <c r="E562" s="59"/>
      <c r="F562" s="82"/>
      <c r="G562" s="82"/>
      <c r="H562" s="86"/>
      <c r="I562" s="294" t="str">
        <f t="shared" si="41"/>
        <v/>
      </c>
      <c r="J562" s="59"/>
      <c r="K562" s="83"/>
      <c r="L562" s="83" t="str">
        <f t="shared" si="38"/>
        <v xml:space="preserve">
</v>
      </c>
      <c r="M562" s="83"/>
      <c r="N562" s="59"/>
      <c r="O562" s="59"/>
      <c r="P562" s="86" t="e">
        <f t="shared" si="39"/>
        <v>#VALUE!</v>
      </c>
      <c r="Q562" s="59"/>
      <c r="R562" s="59"/>
      <c r="S562" s="59"/>
      <c r="T562" s="59"/>
      <c r="U562" s="290"/>
      <c r="V562" s="290"/>
      <c r="W562" s="290"/>
      <c r="X562" s="290"/>
      <c r="Y562" s="290"/>
      <c r="Z562" s="290"/>
      <c r="AA562" s="290"/>
      <c r="AB562" s="290"/>
      <c r="AC562" s="290"/>
      <c r="AD562" s="290"/>
    </row>
    <row r="563" spans="1:30" ht="25.5">
      <c r="A563" s="291" t="str">
        <f t="shared" si="40"/>
        <v/>
      </c>
      <c r="B563" s="291" t="s">
        <v>2066</v>
      </c>
      <c r="C563" s="291" t="str">
        <f>IF(D562="","",UNIT!$B$1&amp;"-"&amp;B563)</f>
        <v/>
      </c>
      <c r="D563" s="83"/>
      <c r="E563" s="59"/>
      <c r="F563" s="82"/>
      <c r="G563" s="82"/>
      <c r="H563" s="86"/>
      <c r="I563" s="294" t="str">
        <f t="shared" si="41"/>
        <v/>
      </c>
      <c r="J563" s="59"/>
      <c r="K563" s="83"/>
      <c r="L563" s="83" t="str">
        <f t="shared" si="38"/>
        <v xml:space="preserve">
</v>
      </c>
      <c r="M563" s="83"/>
      <c r="N563" s="59"/>
      <c r="O563" s="59"/>
      <c r="P563" s="86" t="e">
        <f t="shared" si="39"/>
        <v>#VALUE!</v>
      </c>
      <c r="Q563" s="59"/>
      <c r="R563" s="59"/>
      <c r="S563" s="59"/>
      <c r="T563" s="59"/>
      <c r="U563" s="290"/>
      <c r="V563" s="290"/>
      <c r="W563" s="290"/>
      <c r="X563" s="290"/>
      <c r="Y563" s="290"/>
      <c r="Z563" s="290"/>
      <c r="AA563" s="290"/>
      <c r="AB563" s="290"/>
      <c r="AC563" s="290"/>
      <c r="AD563" s="290"/>
    </row>
    <row r="564" spans="1:30" ht="25.5">
      <c r="A564" s="291" t="str">
        <f t="shared" si="40"/>
        <v/>
      </c>
      <c r="B564" s="291" t="s">
        <v>2067</v>
      </c>
      <c r="C564" s="291" t="str">
        <f>IF(D563="","",UNIT!$B$1&amp;"-"&amp;B564)</f>
        <v/>
      </c>
      <c r="D564" s="83"/>
      <c r="E564" s="59"/>
      <c r="F564" s="82"/>
      <c r="G564" s="82"/>
      <c r="H564" s="86"/>
      <c r="I564" s="294" t="str">
        <f t="shared" si="41"/>
        <v/>
      </c>
      <c r="J564" s="59"/>
      <c r="K564" s="83"/>
      <c r="L564" s="83" t="str">
        <f t="shared" si="38"/>
        <v xml:space="preserve">
</v>
      </c>
      <c r="M564" s="83"/>
      <c r="N564" s="59"/>
      <c r="O564" s="59"/>
      <c r="P564" s="86" t="e">
        <f t="shared" si="39"/>
        <v>#VALUE!</v>
      </c>
      <c r="Q564" s="59"/>
      <c r="R564" s="59"/>
      <c r="S564" s="59"/>
      <c r="T564" s="59"/>
      <c r="U564" s="290"/>
      <c r="V564" s="290"/>
      <c r="W564" s="290"/>
      <c r="X564" s="290"/>
      <c r="Y564" s="290"/>
      <c r="Z564" s="290"/>
      <c r="AA564" s="290"/>
      <c r="AB564" s="290"/>
      <c r="AC564" s="290"/>
      <c r="AD564" s="290"/>
    </row>
    <row r="565" spans="1:30" ht="25.5">
      <c r="A565" s="291" t="str">
        <f t="shared" si="40"/>
        <v/>
      </c>
      <c r="B565" s="291" t="s">
        <v>2068</v>
      </c>
      <c r="C565" s="291" t="str">
        <f>IF(D564="","",UNIT!$B$1&amp;"-"&amp;B565)</f>
        <v/>
      </c>
      <c r="D565" s="83"/>
      <c r="E565" s="59"/>
      <c r="F565" s="82"/>
      <c r="G565" s="82"/>
      <c r="H565" s="86"/>
      <c r="I565" s="294" t="str">
        <f t="shared" si="41"/>
        <v/>
      </c>
      <c r="J565" s="59"/>
      <c r="K565" s="83"/>
      <c r="L565" s="83" t="str">
        <f t="shared" si="38"/>
        <v xml:space="preserve">
</v>
      </c>
      <c r="M565" s="83"/>
      <c r="N565" s="59"/>
      <c r="O565" s="59"/>
      <c r="P565" s="86" t="e">
        <f t="shared" si="39"/>
        <v>#VALUE!</v>
      </c>
      <c r="Q565" s="59"/>
      <c r="R565" s="59"/>
      <c r="S565" s="59"/>
      <c r="T565" s="59"/>
      <c r="U565" s="290"/>
      <c r="V565" s="290"/>
      <c r="W565" s="290"/>
      <c r="X565" s="290"/>
      <c r="Y565" s="290"/>
      <c r="Z565" s="290"/>
      <c r="AA565" s="290"/>
      <c r="AB565" s="290"/>
      <c r="AC565" s="290"/>
      <c r="AD565" s="290"/>
    </row>
    <row r="566" spans="1:30" ht="25.5">
      <c r="A566" s="291" t="str">
        <f t="shared" si="40"/>
        <v/>
      </c>
      <c r="B566" s="291" t="s">
        <v>2069</v>
      </c>
      <c r="C566" s="291" t="str">
        <f>IF(D565="","",UNIT!$B$1&amp;"-"&amp;B566)</f>
        <v/>
      </c>
      <c r="D566" s="83"/>
      <c r="E566" s="59"/>
      <c r="F566" s="82"/>
      <c r="G566" s="82"/>
      <c r="H566" s="86"/>
      <c r="I566" s="294" t="str">
        <f t="shared" si="41"/>
        <v/>
      </c>
      <c r="J566" s="59"/>
      <c r="K566" s="83"/>
      <c r="L566" s="83" t="str">
        <f t="shared" si="38"/>
        <v xml:space="preserve">
</v>
      </c>
      <c r="M566" s="83"/>
      <c r="N566" s="59"/>
      <c r="O566" s="59"/>
      <c r="P566" s="86" t="e">
        <f t="shared" si="39"/>
        <v>#VALUE!</v>
      </c>
      <c r="Q566" s="59"/>
      <c r="R566" s="59"/>
      <c r="S566" s="59"/>
      <c r="T566" s="59"/>
      <c r="U566" s="290"/>
      <c r="V566" s="290"/>
      <c r="W566" s="290"/>
      <c r="X566" s="290"/>
      <c r="Y566" s="290"/>
      <c r="Z566" s="290"/>
      <c r="AA566" s="290"/>
      <c r="AB566" s="290"/>
      <c r="AC566" s="290"/>
      <c r="AD566" s="290"/>
    </row>
    <row r="567" spans="1:30" ht="25.5">
      <c r="A567" s="291" t="str">
        <f t="shared" si="40"/>
        <v/>
      </c>
      <c r="B567" s="291" t="s">
        <v>2070</v>
      </c>
      <c r="C567" s="291" t="str">
        <f>IF(D566="","",UNIT!$B$1&amp;"-"&amp;B567)</f>
        <v/>
      </c>
      <c r="D567" s="83"/>
      <c r="E567" s="59"/>
      <c r="F567" s="82"/>
      <c r="G567" s="82"/>
      <c r="H567" s="86"/>
      <c r="I567" s="294" t="str">
        <f t="shared" si="41"/>
        <v/>
      </c>
      <c r="J567" s="59"/>
      <c r="K567" s="83"/>
      <c r="L567" s="83" t="str">
        <f t="shared" si="38"/>
        <v xml:space="preserve">
</v>
      </c>
      <c r="M567" s="83"/>
      <c r="N567" s="59"/>
      <c r="O567" s="59"/>
      <c r="P567" s="86" t="e">
        <f t="shared" si="39"/>
        <v>#VALUE!</v>
      </c>
      <c r="Q567" s="59"/>
      <c r="R567" s="59"/>
      <c r="S567" s="59"/>
      <c r="T567" s="59"/>
      <c r="U567" s="290"/>
      <c r="V567" s="290"/>
      <c r="W567" s="290"/>
      <c r="X567" s="290"/>
      <c r="Y567" s="290"/>
      <c r="Z567" s="290"/>
      <c r="AA567" s="290"/>
      <c r="AB567" s="290"/>
      <c r="AC567" s="290"/>
      <c r="AD567" s="290"/>
    </row>
    <row r="568" spans="1:30" ht="25.5">
      <c r="A568" s="291" t="str">
        <f t="shared" si="40"/>
        <v/>
      </c>
      <c r="B568" s="291" t="s">
        <v>2071</v>
      </c>
      <c r="C568" s="291" t="str">
        <f>IF(D567="","",UNIT!$B$1&amp;"-"&amp;B568)</f>
        <v/>
      </c>
      <c r="D568" s="83"/>
      <c r="E568" s="59"/>
      <c r="F568" s="82"/>
      <c r="G568" s="82"/>
      <c r="H568" s="86"/>
      <c r="I568" s="294" t="str">
        <f t="shared" si="41"/>
        <v/>
      </c>
      <c r="J568" s="59"/>
      <c r="K568" s="83"/>
      <c r="L568" s="83" t="str">
        <f t="shared" si="38"/>
        <v xml:space="preserve">
</v>
      </c>
      <c r="M568" s="83"/>
      <c r="N568" s="59"/>
      <c r="O568" s="59"/>
      <c r="P568" s="86" t="e">
        <f t="shared" si="39"/>
        <v>#VALUE!</v>
      </c>
      <c r="Q568" s="59"/>
      <c r="R568" s="59"/>
      <c r="S568" s="59"/>
      <c r="T568" s="59"/>
      <c r="U568" s="290"/>
      <c r="V568" s="290"/>
      <c r="W568" s="290"/>
      <c r="X568" s="290"/>
      <c r="Y568" s="290"/>
      <c r="Z568" s="290"/>
      <c r="AA568" s="290"/>
      <c r="AB568" s="290"/>
      <c r="AC568" s="290"/>
      <c r="AD568" s="290"/>
    </row>
    <row r="569" spans="1:30" ht="25.5">
      <c r="A569" s="291" t="str">
        <f t="shared" si="40"/>
        <v/>
      </c>
      <c r="B569" s="291" t="s">
        <v>2072</v>
      </c>
      <c r="C569" s="291" t="str">
        <f>IF(D568="","",UNIT!$B$1&amp;"-"&amp;B569)</f>
        <v/>
      </c>
      <c r="D569" s="83"/>
      <c r="E569" s="59"/>
      <c r="F569" s="82"/>
      <c r="G569" s="82"/>
      <c r="H569" s="86"/>
      <c r="I569" s="294" t="str">
        <f t="shared" si="41"/>
        <v/>
      </c>
      <c r="J569" s="59"/>
      <c r="K569" s="83"/>
      <c r="L569" s="83" t="str">
        <f t="shared" si="38"/>
        <v xml:space="preserve">
</v>
      </c>
      <c r="M569" s="83"/>
      <c r="N569" s="59"/>
      <c r="O569" s="59"/>
      <c r="P569" s="86" t="e">
        <f t="shared" si="39"/>
        <v>#VALUE!</v>
      </c>
      <c r="Q569" s="59"/>
      <c r="R569" s="59"/>
      <c r="S569" s="59"/>
      <c r="T569" s="59"/>
      <c r="U569" s="290"/>
      <c r="V569" s="290"/>
      <c r="W569" s="290"/>
      <c r="X569" s="290"/>
      <c r="Y569" s="290"/>
      <c r="Z569" s="290"/>
      <c r="AA569" s="290"/>
      <c r="AB569" s="290"/>
      <c r="AC569" s="290"/>
      <c r="AD569" s="290"/>
    </row>
    <row r="570" spans="1:30" ht="25.5">
      <c r="A570" s="291" t="str">
        <f t="shared" si="40"/>
        <v/>
      </c>
      <c r="B570" s="291" t="s">
        <v>2073</v>
      </c>
      <c r="C570" s="291" t="str">
        <f>IF(D569="","",UNIT!$B$1&amp;"-"&amp;B570)</f>
        <v/>
      </c>
      <c r="D570" s="83"/>
      <c r="E570" s="59"/>
      <c r="F570" s="82"/>
      <c r="G570" s="82"/>
      <c r="H570" s="86"/>
      <c r="I570" s="294" t="str">
        <f t="shared" si="41"/>
        <v/>
      </c>
      <c r="J570" s="59"/>
      <c r="K570" s="83"/>
      <c r="L570" s="83" t="str">
        <f t="shared" si="38"/>
        <v xml:space="preserve">
</v>
      </c>
      <c r="M570" s="83"/>
      <c r="N570" s="59"/>
      <c r="O570" s="59"/>
      <c r="P570" s="86" t="e">
        <f t="shared" si="39"/>
        <v>#VALUE!</v>
      </c>
      <c r="Q570" s="59"/>
      <c r="R570" s="59"/>
      <c r="S570" s="59"/>
      <c r="T570" s="59"/>
      <c r="U570" s="290"/>
      <c r="V570" s="290"/>
      <c r="W570" s="290"/>
      <c r="X570" s="290"/>
      <c r="Y570" s="290"/>
      <c r="Z570" s="290"/>
      <c r="AA570" s="290"/>
      <c r="AB570" s="290"/>
      <c r="AC570" s="290"/>
      <c r="AD570" s="290"/>
    </row>
    <row r="571" spans="1:30" ht="25.5">
      <c r="A571" s="291" t="str">
        <f t="shared" si="40"/>
        <v/>
      </c>
      <c r="B571" s="291" t="s">
        <v>2074</v>
      </c>
      <c r="C571" s="291" t="str">
        <f>IF(D570="","",UNIT!$B$1&amp;"-"&amp;B571)</f>
        <v/>
      </c>
      <c r="D571" s="83"/>
      <c r="E571" s="59"/>
      <c r="F571" s="82"/>
      <c r="G571" s="82"/>
      <c r="H571" s="86"/>
      <c r="I571" s="294" t="str">
        <f t="shared" si="41"/>
        <v/>
      </c>
      <c r="J571" s="59"/>
      <c r="K571" s="83"/>
      <c r="L571" s="83" t="str">
        <f t="shared" si="38"/>
        <v xml:space="preserve">
</v>
      </c>
      <c r="M571" s="83"/>
      <c r="N571" s="59"/>
      <c r="O571" s="59"/>
      <c r="P571" s="86" t="e">
        <f t="shared" si="39"/>
        <v>#VALUE!</v>
      </c>
      <c r="Q571" s="59"/>
      <c r="R571" s="59"/>
      <c r="S571" s="59"/>
      <c r="T571" s="59"/>
      <c r="U571" s="290"/>
      <c r="V571" s="290"/>
      <c r="W571" s="290"/>
      <c r="X571" s="290"/>
      <c r="Y571" s="290"/>
      <c r="Z571" s="290"/>
      <c r="AA571" s="290"/>
      <c r="AB571" s="290"/>
      <c r="AC571" s="290"/>
      <c r="AD571" s="290"/>
    </row>
    <row r="572" spans="1:30" ht="25.5">
      <c r="A572" s="291" t="str">
        <f t="shared" si="40"/>
        <v/>
      </c>
      <c r="B572" s="291" t="s">
        <v>2075</v>
      </c>
      <c r="C572" s="291" t="str">
        <f>IF(D571="","",UNIT!$B$1&amp;"-"&amp;B572)</f>
        <v/>
      </c>
      <c r="D572" s="83"/>
      <c r="E572" s="59"/>
      <c r="F572" s="82"/>
      <c r="G572" s="82"/>
      <c r="H572" s="86"/>
      <c r="I572" s="294" t="str">
        <f t="shared" si="41"/>
        <v/>
      </c>
      <c r="J572" s="59"/>
      <c r="K572" s="83"/>
      <c r="L572" s="83" t="str">
        <f t="shared" si="38"/>
        <v xml:space="preserve">
</v>
      </c>
      <c r="M572" s="83"/>
      <c r="N572" s="59"/>
      <c r="O572" s="59"/>
      <c r="P572" s="86" t="e">
        <f t="shared" si="39"/>
        <v>#VALUE!</v>
      </c>
      <c r="Q572" s="59"/>
      <c r="R572" s="59"/>
      <c r="S572" s="59"/>
      <c r="T572" s="59"/>
      <c r="U572" s="290"/>
      <c r="V572" s="290"/>
      <c r="W572" s="290"/>
      <c r="X572" s="290"/>
      <c r="Y572" s="290"/>
      <c r="Z572" s="290"/>
      <c r="AA572" s="290"/>
      <c r="AB572" s="290"/>
      <c r="AC572" s="290"/>
      <c r="AD572" s="290"/>
    </row>
    <row r="573" spans="1:30" ht="25.5">
      <c r="A573" s="291" t="str">
        <f t="shared" si="40"/>
        <v/>
      </c>
      <c r="B573" s="291" t="s">
        <v>2076</v>
      </c>
      <c r="C573" s="291" t="str">
        <f>IF(D572="","",UNIT!$B$1&amp;"-"&amp;B573)</f>
        <v/>
      </c>
      <c r="D573" s="83"/>
      <c r="E573" s="59"/>
      <c r="F573" s="82"/>
      <c r="G573" s="82"/>
      <c r="H573" s="86"/>
      <c r="I573" s="294" t="str">
        <f t="shared" si="41"/>
        <v/>
      </c>
      <c r="J573" s="59"/>
      <c r="K573" s="83"/>
      <c r="L573" s="83" t="str">
        <f t="shared" si="38"/>
        <v xml:space="preserve">
</v>
      </c>
      <c r="M573" s="83"/>
      <c r="N573" s="59"/>
      <c r="O573" s="59"/>
      <c r="P573" s="86" t="e">
        <f t="shared" si="39"/>
        <v>#VALUE!</v>
      </c>
      <c r="Q573" s="59"/>
      <c r="R573" s="59"/>
      <c r="S573" s="59"/>
      <c r="T573" s="59"/>
      <c r="U573" s="290"/>
      <c r="V573" s="290"/>
      <c r="W573" s="290"/>
      <c r="X573" s="290"/>
      <c r="Y573" s="290"/>
      <c r="Z573" s="290"/>
      <c r="AA573" s="290"/>
      <c r="AB573" s="290"/>
      <c r="AC573" s="290"/>
      <c r="AD573" s="290"/>
    </row>
    <row r="574" spans="1:30" ht="25.5">
      <c r="A574" s="291" t="str">
        <f t="shared" si="40"/>
        <v/>
      </c>
      <c r="B574" s="291" t="s">
        <v>2077</v>
      </c>
      <c r="C574" s="291" t="str">
        <f>IF(D573="","",UNIT!$B$1&amp;"-"&amp;B574)</f>
        <v/>
      </c>
      <c r="D574" s="83"/>
      <c r="E574" s="59"/>
      <c r="F574" s="82"/>
      <c r="G574" s="82"/>
      <c r="H574" s="86"/>
      <c r="I574" s="294" t="str">
        <f t="shared" si="41"/>
        <v/>
      </c>
      <c r="J574" s="59"/>
      <c r="K574" s="83"/>
      <c r="L574" s="83" t="str">
        <f t="shared" si="38"/>
        <v xml:space="preserve">
</v>
      </c>
      <c r="M574" s="83"/>
      <c r="N574" s="59"/>
      <c r="O574" s="59"/>
      <c r="P574" s="86" t="e">
        <f t="shared" si="39"/>
        <v>#VALUE!</v>
      </c>
      <c r="Q574" s="59"/>
      <c r="R574" s="59"/>
      <c r="S574" s="59"/>
      <c r="T574" s="59"/>
      <c r="U574" s="290"/>
      <c r="V574" s="290"/>
      <c r="W574" s="290"/>
      <c r="X574" s="290"/>
      <c r="Y574" s="290"/>
      <c r="Z574" s="290"/>
      <c r="AA574" s="290"/>
      <c r="AB574" s="290"/>
      <c r="AC574" s="290"/>
      <c r="AD574" s="290"/>
    </row>
    <row r="575" spans="1:30" ht="25.5">
      <c r="A575" s="291" t="str">
        <f t="shared" si="40"/>
        <v/>
      </c>
      <c r="B575" s="291" t="s">
        <v>2078</v>
      </c>
      <c r="C575" s="291" t="str">
        <f>IF(D574="","",UNIT!$B$1&amp;"-"&amp;B575)</f>
        <v/>
      </c>
      <c r="D575" s="83"/>
      <c r="E575" s="59"/>
      <c r="F575" s="82"/>
      <c r="G575" s="82"/>
      <c r="H575" s="86"/>
      <c r="I575" s="294" t="str">
        <f t="shared" si="41"/>
        <v/>
      </c>
      <c r="J575" s="59"/>
      <c r="K575" s="83"/>
      <c r="L575" s="83" t="str">
        <f t="shared" si="38"/>
        <v xml:space="preserve">
</v>
      </c>
      <c r="M575" s="83"/>
      <c r="N575" s="59"/>
      <c r="O575" s="59"/>
      <c r="P575" s="86" t="e">
        <f t="shared" si="39"/>
        <v>#VALUE!</v>
      </c>
      <c r="Q575" s="59"/>
      <c r="R575" s="59"/>
      <c r="S575" s="59"/>
      <c r="T575" s="59"/>
      <c r="U575" s="290"/>
      <c r="V575" s="290"/>
      <c r="W575" s="290"/>
      <c r="X575" s="290"/>
      <c r="Y575" s="290"/>
      <c r="Z575" s="290"/>
      <c r="AA575" s="290"/>
      <c r="AB575" s="290"/>
      <c r="AC575" s="290"/>
      <c r="AD575" s="290"/>
    </row>
    <row r="576" spans="1:30" ht="25.5">
      <c r="A576" s="291" t="str">
        <f t="shared" si="40"/>
        <v/>
      </c>
      <c r="B576" s="291" t="s">
        <v>2079</v>
      </c>
      <c r="C576" s="291" t="str">
        <f>IF(D575="","",UNIT!$B$1&amp;"-"&amp;B576)</f>
        <v/>
      </c>
      <c r="D576" s="83"/>
      <c r="E576" s="59"/>
      <c r="F576" s="82"/>
      <c r="G576" s="82"/>
      <c r="H576" s="86"/>
      <c r="I576" s="294" t="str">
        <f t="shared" si="41"/>
        <v/>
      </c>
      <c r="J576" s="59"/>
      <c r="K576" s="83"/>
      <c r="L576" s="83" t="str">
        <f t="shared" si="38"/>
        <v xml:space="preserve">
</v>
      </c>
      <c r="M576" s="83"/>
      <c r="N576" s="59"/>
      <c r="O576" s="59"/>
      <c r="P576" s="86" t="e">
        <f t="shared" si="39"/>
        <v>#VALUE!</v>
      </c>
      <c r="Q576" s="59"/>
      <c r="R576" s="59"/>
      <c r="S576" s="59"/>
      <c r="T576" s="59"/>
      <c r="U576" s="290"/>
      <c r="V576" s="290"/>
      <c r="W576" s="290"/>
      <c r="X576" s="290"/>
      <c r="Y576" s="290"/>
      <c r="Z576" s="290"/>
      <c r="AA576" s="290"/>
      <c r="AB576" s="290"/>
      <c r="AC576" s="290"/>
      <c r="AD576" s="290"/>
    </row>
    <row r="577" spans="1:30" ht="25.5">
      <c r="A577" s="291" t="str">
        <f t="shared" si="40"/>
        <v/>
      </c>
      <c r="B577" s="291" t="s">
        <v>2080</v>
      </c>
      <c r="C577" s="291" t="str">
        <f>IF(D576="","",UNIT!$B$1&amp;"-"&amp;B577)</f>
        <v/>
      </c>
      <c r="D577" s="83"/>
      <c r="E577" s="59"/>
      <c r="F577" s="82"/>
      <c r="G577" s="82"/>
      <c r="H577" s="86"/>
      <c r="I577" s="294" t="str">
        <f t="shared" si="41"/>
        <v/>
      </c>
      <c r="J577" s="59"/>
      <c r="K577" s="83"/>
      <c r="L577" s="83" t="str">
        <f t="shared" si="38"/>
        <v xml:space="preserve">
</v>
      </c>
      <c r="M577" s="83"/>
      <c r="N577" s="59"/>
      <c r="O577" s="59"/>
      <c r="P577" s="86" t="e">
        <f t="shared" si="39"/>
        <v>#VALUE!</v>
      </c>
      <c r="Q577" s="59"/>
      <c r="R577" s="59"/>
      <c r="S577" s="59"/>
      <c r="T577" s="59"/>
      <c r="U577" s="290"/>
      <c r="V577" s="290"/>
      <c r="W577" s="290"/>
      <c r="X577" s="290"/>
      <c r="Y577" s="290"/>
      <c r="Z577" s="290"/>
      <c r="AA577" s="290"/>
      <c r="AB577" s="290"/>
      <c r="AC577" s="290"/>
      <c r="AD577" s="290"/>
    </row>
    <row r="578" spans="1:30" ht="25.5">
      <c r="A578" s="291" t="str">
        <f t="shared" si="40"/>
        <v/>
      </c>
      <c r="B578" s="291" t="s">
        <v>2081</v>
      </c>
      <c r="C578" s="291" t="str">
        <f>IF(D577="","",UNIT!$B$1&amp;"-"&amp;B578)</f>
        <v/>
      </c>
      <c r="D578" s="83"/>
      <c r="E578" s="59"/>
      <c r="F578" s="82"/>
      <c r="G578" s="82"/>
      <c r="H578" s="86"/>
      <c r="I578" s="294" t="str">
        <f t="shared" si="41"/>
        <v/>
      </c>
      <c r="J578" s="59"/>
      <c r="K578" s="83"/>
      <c r="L578" s="83" t="str">
        <f t="shared" si="38"/>
        <v xml:space="preserve">
</v>
      </c>
      <c r="M578" s="83"/>
      <c r="N578" s="59"/>
      <c r="O578" s="59"/>
      <c r="P578" s="86" t="e">
        <f t="shared" si="39"/>
        <v>#VALUE!</v>
      </c>
      <c r="Q578" s="59"/>
      <c r="R578" s="59"/>
      <c r="S578" s="59"/>
      <c r="T578" s="59"/>
      <c r="U578" s="290"/>
      <c r="V578" s="290"/>
      <c r="W578" s="290"/>
      <c r="X578" s="290"/>
      <c r="Y578" s="290"/>
      <c r="Z578" s="290"/>
      <c r="AA578" s="290"/>
      <c r="AB578" s="290"/>
      <c r="AC578" s="290"/>
      <c r="AD578" s="290"/>
    </row>
    <row r="579" spans="1:30" ht="25.5">
      <c r="A579" s="291" t="str">
        <f t="shared" si="40"/>
        <v/>
      </c>
      <c r="B579" s="291" t="s">
        <v>2082</v>
      </c>
      <c r="C579" s="291" t="str">
        <f>IF(D578="","",UNIT!$B$1&amp;"-"&amp;B579)</f>
        <v/>
      </c>
      <c r="D579" s="83"/>
      <c r="E579" s="59"/>
      <c r="F579" s="82"/>
      <c r="G579" s="82"/>
      <c r="H579" s="86"/>
      <c r="I579" s="294" t="str">
        <f t="shared" si="41"/>
        <v/>
      </c>
      <c r="J579" s="59"/>
      <c r="K579" s="83"/>
      <c r="L579" s="83" t="str">
        <f t="shared" si="38"/>
        <v xml:space="preserve">
</v>
      </c>
      <c r="M579" s="83"/>
      <c r="N579" s="59"/>
      <c r="O579" s="59"/>
      <c r="P579" s="86" t="e">
        <f t="shared" si="39"/>
        <v>#VALUE!</v>
      </c>
      <c r="Q579" s="59"/>
      <c r="R579" s="59"/>
      <c r="S579" s="59"/>
      <c r="T579" s="59"/>
      <c r="U579" s="290"/>
      <c r="V579" s="290"/>
      <c r="W579" s="290"/>
      <c r="X579" s="290"/>
      <c r="Y579" s="290"/>
      <c r="Z579" s="290"/>
      <c r="AA579" s="290"/>
      <c r="AB579" s="290"/>
      <c r="AC579" s="290"/>
      <c r="AD579" s="290"/>
    </row>
    <row r="580" spans="1:30" ht="25.5">
      <c r="A580" s="291" t="str">
        <f t="shared" si="40"/>
        <v/>
      </c>
      <c r="B580" s="291" t="s">
        <v>2083</v>
      </c>
      <c r="C580" s="291" t="str">
        <f>IF(D579="","",UNIT!$B$1&amp;"-"&amp;B580)</f>
        <v/>
      </c>
      <c r="D580" s="83"/>
      <c r="E580" s="59"/>
      <c r="F580" s="82"/>
      <c r="G580" s="82"/>
      <c r="H580" s="86"/>
      <c r="I580" s="294" t="str">
        <f t="shared" si="41"/>
        <v/>
      </c>
      <c r="J580" s="59"/>
      <c r="K580" s="83"/>
      <c r="L580" s="83" t="str">
        <f t="shared" si="38"/>
        <v xml:space="preserve">
</v>
      </c>
      <c r="M580" s="83"/>
      <c r="N580" s="59"/>
      <c r="O580" s="59"/>
      <c r="P580" s="86" t="e">
        <f t="shared" si="39"/>
        <v>#VALUE!</v>
      </c>
      <c r="Q580" s="59"/>
      <c r="R580" s="59"/>
      <c r="S580" s="59"/>
      <c r="T580" s="59"/>
      <c r="U580" s="290"/>
      <c r="V580" s="290"/>
      <c r="W580" s="290"/>
      <c r="X580" s="290"/>
      <c r="Y580" s="290"/>
      <c r="Z580" s="290"/>
      <c r="AA580" s="290"/>
      <c r="AB580" s="290"/>
      <c r="AC580" s="290"/>
      <c r="AD580" s="290"/>
    </row>
    <row r="581" spans="1:30" ht="25.5">
      <c r="A581" s="291" t="str">
        <f t="shared" si="40"/>
        <v/>
      </c>
      <c r="B581" s="291" t="s">
        <v>2084</v>
      </c>
      <c r="C581" s="291" t="str">
        <f>IF(D580="","",UNIT!$B$1&amp;"-"&amp;B581)</f>
        <v/>
      </c>
      <c r="D581" s="83"/>
      <c r="E581" s="59"/>
      <c r="F581" s="82"/>
      <c r="G581" s="82"/>
      <c r="H581" s="86"/>
      <c r="I581" s="294" t="str">
        <f t="shared" si="41"/>
        <v/>
      </c>
      <c r="J581" s="59"/>
      <c r="K581" s="83"/>
      <c r="L581" s="83" t="str">
        <f t="shared" si="38"/>
        <v xml:space="preserve">
</v>
      </c>
      <c r="M581" s="83"/>
      <c r="N581" s="59"/>
      <c r="O581" s="59"/>
      <c r="P581" s="86" t="e">
        <f t="shared" si="39"/>
        <v>#VALUE!</v>
      </c>
      <c r="Q581" s="59"/>
      <c r="R581" s="59"/>
      <c r="S581" s="59"/>
      <c r="T581" s="59"/>
      <c r="U581" s="290"/>
      <c r="V581" s="290"/>
      <c r="W581" s="290"/>
      <c r="X581" s="290"/>
      <c r="Y581" s="290"/>
      <c r="Z581" s="290"/>
      <c r="AA581" s="290"/>
      <c r="AB581" s="290"/>
      <c r="AC581" s="290"/>
      <c r="AD581" s="290"/>
    </row>
    <row r="582" spans="1:30" ht="25.5">
      <c r="A582" s="291" t="str">
        <f t="shared" si="40"/>
        <v/>
      </c>
      <c r="B582" s="291" t="s">
        <v>2085</v>
      </c>
      <c r="C582" s="291" t="str">
        <f>IF(D581="","",UNIT!$B$1&amp;"-"&amp;B582)</f>
        <v/>
      </c>
      <c r="D582" s="83"/>
      <c r="E582" s="59"/>
      <c r="F582" s="82"/>
      <c r="G582" s="82"/>
      <c r="H582" s="86"/>
      <c r="I582" s="294" t="str">
        <f t="shared" si="41"/>
        <v/>
      </c>
      <c r="J582" s="59"/>
      <c r="K582" s="83"/>
      <c r="L582" s="83" t="str">
        <f t="shared" si="38"/>
        <v xml:space="preserve">
</v>
      </c>
      <c r="M582" s="83"/>
      <c r="N582" s="59"/>
      <c r="O582" s="59"/>
      <c r="P582" s="86" t="e">
        <f t="shared" si="39"/>
        <v>#VALUE!</v>
      </c>
      <c r="Q582" s="59"/>
      <c r="R582" s="59"/>
      <c r="S582" s="59"/>
      <c r="T582" s="59"/>
      <c r="U582" s="290"/>
      <c r="V582" s="290"/>
      <c r="W582" s="290"/>
      <c r="X582" s="290"/>
      <c r="Y582" s="290"/>
      <c r="Z582" s="290"/>
      <c r="AA582" s="290"/>
      <c r="AB582" s="290"/>
      <c r="AC582" s="290"/>
      <c r="AD582" s="290"/>
    </row>
    <row r="583" spans="1:30" ht="25.5">
      <c r="A583" s="291" t="str">
        <f t="shared" si="40"/>
        <v/>
      </c>
      <c r="B583" s="291" t="s">
        <v>2086</v>
      </c>
      <c r="C583" s="291" t="str">
        <f>IF(D582="","",UNIT!$B$1&amp;"-"&amp;B583)</f>
        <v/>
      </c>
      <c r="D583" s="83"/>
      <c r="E583" s="59"/>
      <c r="F583" s="82"/>
      <c r="G583" s="82"/>
      <c r="H583" s="86"/>
      <c r="I583" s="294" t="str">
        <f t="shared" si="41"/>
        <v/>
      </c>
      <c r="J583" s="59"/>
      <c r="K583" s="83"/>
      <c r="L583" s="83" t="str">
        <f t="shared" si="38"/>
        <v xml:space="preserve">
</v>
      </c>
      <c r="M583" s="83"/>
      <c r="N583" s="59"/>
      <c r="O583" s="59"/>
      <c r="P583" s="86" t="e">
        <f t="shared" si="39"/>
        <v>#VALUE!</v>
      </c>
      <c r="Q583" s="59"/>
      <c r="R583" s="59"/>
      <c r="S583" s="59"/>
      <c r="T583" s="59"/>
      <c r="U583" s="290"/>
      <c r="V583" s="290"/>
      <c r="W583" s="290"/>
      <c r="X583" s="290"/>
      <c r="Y583" s="290"/>
      <c r="Z583" s="290"/>
      <c r="AA583" s="290"/>
      <c r="AB583" s="290"/>
      <c r="AC583" s="290"/>
      <c r="AD583" s="290"/>
    </row>
    <row r="584" spans="1:30" ht="25.5">
      <c r="A584" s="291" t="str">
        <f t="shared" si="40"/>
        <v/>
      </c>
      <c r="B584" s="291" t="s">
        <v>2087</v>
      </c>
      <c r="C584" s="291" t="str">
        <f>IF(D583="","",UNIT!$B$1&amp;"-"&amp;B584)</f>
        <v/>
      </c>
      <c r="D584" s="83"/>
      <c r="E584" s="59"/>
      <c r="F584" s="82"/>
      <c r="G584" s="82"/>
      <c r="H584" s="86"/>
      <c r="I584" s="294" t="str">
        <f t="shared" si="41"/>
        <v/>
      </c>
      <c r="J584" s="59"/>
      <c r="K584" s="83"/>
      <c r="L584" s="83" t="str">
        <f t="shared" si="38"/>
        <v xml:space="preserve">
</v>
      </c>
      <c r="M584" s="83"/>
      <c r="N584" s="59"/>
      <c r="O584" s="59"/>
      <c r="P584" s="86" t="e">
        <f t="shared" si="39"/>
        <v>#VALUE!</v>
      </c>
      <c r="Q584" s="59"/>
      <c r="R584" s="59"/>
      <c r="S584" s="59"/>
      <c r="T584" s="59"/>
      <c r="U584" s="290"/>
      <c r="V584" s="290"/>
      <c r="W584" s="290"/>
      <c r="X584" s="290"/>
      <c r="Y584" s="290"/>
      <c r="Z584" s="290"/>
      <c r="AA584" s="290"/>
      <c r="AB584" s="290"/>
      <c r="AC584" s="290"/>
      <c r="AD584" s="290"/>
    </row>
    <row r="585" spans="1:30" ht="25.5">
      <c r="A585" s="291" t="str">
        <f t="shared" si="40"/>
        <v/>
      </c>
      <c r="B585" s="291" t="s">
        <v>2088</v>
      </c>
      <c r="C585" s="291" t="str">
        <f>IF(D584="","",UNIT!$B$1&amp;"-"&amp;B585)</f>
        <v/>
      </c>
      <c r="D585" s="83"/>
      <c r="E585" s="59"/>
      <c r="F585" s="82"/>
      <c r="G585" s="82"/>
      <c r="H585" s="86"/>
      <c r="I585" s="294" t="str">
        <f t="shared" si="41"/>
        <v/>
      </c>
      <c r="J585" s="59"/>
      <c r="K585" s="83"/>
      <c r="L585" s="83" t="str">
        <f t="shared" si="38"/>
        <v xml:space="preserve">
</v>
      </c>
      <c r="M585" s="83"/>
      <c r="N585" s="59"/>
      <c r="O585" s="59"/>
      <c r="P585" s="86" t="e">
        <f t="shared" si="39"/>
        <v>#VALUE!</v>
      </c>
      <c r="Q585" s="59"/>
      <c r="R585" s="59"/>
      <c r="S585" s="59"/>
      <c r="T585" s="59"/>
      <c r="U585" s="290"/>
      <c r="V585" s="290"/>
      <c r="W585" s="290"/>
      <c r="X585" s="290"/>
      <c r="Y585" s="290"/>
      <c r="Z585" s="290"/>
      <c r="AA585" s="290"/>
      <c r="AB585" s="290"/>
      <c r="AC585" s="290"/>
      <c r="AD585" s="290"/>
    </row>
    <row r="586" spans="1:30" ht="25.5">
      <c r="A586" s="291" t="str">
        <f t="shared" si="40"/>
        <v/>
      </c>
      <c r="B586" s="291" t="s">
        <v>2089</v>
      </c>
      <c r="C586" s="291" t="str">
        <f>IF(D585="","",UNIT!$B$1&amp;"-"&amp;B586)</f>
        <v/>
      </c>
      <c r="D586" s="83"/>
      <c r="E586" s="59"/>
      <c r="F586" s="82"/>
      <c r="G586" s="82"/>
      <c r="H586" s="86"/>
      <c r="I586" s="294" t="str">
        <f t="shared" si="41"/>
        <v/>
      </c>
      <c r="J586" s="59"/>
      <c r="K586" s="83"/>
      <c r="L586" s="83" t="str">
        <f t="shared" si="38"/>
        <v xml:space="preserve">
</v>
      </c>
      <c r="M586" s="83"/>
      <c r="N586" s="59"/>
      <c r="O586" s="59"/>
      <c r="P586" s="86" t="e">
        <f t="shared" si="39"/>
        <v>#VALUE!</v>
      </c>
      <c r="Q586" s="59"/>
      <c r="R586" s="59"/>
      <c r="S586" s="59"/>
      <c r="T586" s="59"/>
      <c r="U586" s="290"/>
      <c r="V586" s="290"/>
      <c r="W586" s="290"/>
      <c r="X586" s="290"/>
      <c r="Y586" s="290"/>
      <c r="Z586" s="290"/>
      <c r="AA586" s="290"/>
      <c r="AB586" s="290"/>
      <c r="AC586" s="290"/>
      <c r="AD586" s="290"/>
    </row>
    <row r="587" spans="1:30" ht="25.5">
      <c r="A587" s="291" t="str">
        <f t="shared" si="40"/>
        <v/>
      </c>
      <c r="B587" s="291" t="s">
        <v>2090</v>
      </c>
      <c r="C587" s="291" t="str">
        <f>IF(D586="","",UNIT!$B$1&amp;"-"&amp;B587)</f>
        <v/>
      </c>
      <c r="D587" s="83"/>
      <c r="E587" s="59"/>
      <c r="F587" s="82"/>
      <c r="G587" s="82"/>
      <c r="H587" s="86"/>
      <c r="I587" s="294" t="str">
        <f t="shared" si="41"/>
        <v/>
      </c>
      <c r="J587" s="59"/>
      <c r="K587" s="83"/>
      <c r="L587" s="83" t="str">
        <f t="shared" si="38"/>
        <v xml:space="preserve">
</v>
      </c>
      <c r="M587" s="83"/>
      <c r="N587" s="59"/>
      <c r="O587" s="59"/>
      <c r="P587" s="86" t="e">
        <f t="shared" si="39"/>
        <v>#VALUE!</v>
      </c>
      <c r="Q587" s="59"/>
      <c r="R587" s="59"/>
      <c r="S587" s="59"/>
      <c r="T587" s="59"/>
      <c r="U587" s="290"/>
      <c r="V587" s="290"/>
      <c r="W587" s="290"/>
      <c r="X587" s="290"/>
      <c r="Y587" s="290"/>
      <c r="Z587" s="290"/>
      <c r="AA587" s="290"/>
      <c r="AB587" s="290"/>
      <c r="AC587" s="290"/>
      <c r="AD587" s="290"/>
    </row>
    <row r="588" spans="1:30" ht="25.5">
      <c r="A588" s="291" t="str">
        <f t="shared" si="40"/>
        <v/>
      </c>
      <c r="B588" s="291" t="s">
        <v>2091</v>
      </c>
      <c r="C588" s="291" t="str">
        <f>IF(D587="","",UNIT!$B$1&amp;"-"&amp;B588)</f>
        <v/>
      </c>
      <c r="D588" s="83"/>
      <c r="E588" s="59"/>
      <c r="F588" s="82"/>
      <c r="G588" s="82"/>
      <c r="H588" s="86"/>
      <c r="I588" s="294" t="str">
        <f t="shared" si="41"/>
        <v/>
      </c>
      <c r="J588" s="59"/>
      <c r="K588" s="83"/>
      <c r="L588" s="83" t="str">
        <f t="shared" si="38"/>
        <v xml:space="preserve">
</v>
      </c>
      <c r="M588" s="83"/>
      <c r="N588" s="59"/>
      <c r="O588" s="59"/>
      <c r="P588" s="86" t="e">
        <f t="shared" si="39"/>
        <v>#VALUE!</v>
      </c>
      <c r="Q588" s="59"/>
      <c r="R588" s="59"/>
      <c r="S588" s="59"/>
      <c r="T588" s="59"/>
      <c r="U588" s="290"/>
      <c r="V588" s="290"/>
      <c r="W588" s="290"/>
      <c r="X588" s="290"/>
      <c r="Y588" s="290"/>
      <c r="Z588" s="290"/>
      <c r="AA588" s="290"/>
      <c r="AB588" s="290"/>
      <c r="AC588" s="290"/>
      <c r="AD588" s="290"/>
    </row>
    <row r="589" spans="1:30" ht="25.5">
      <c r="A589" s="291" t="str">
        <f t="shared" si="40"/>
        <v/>
      </c>
      <c r="B589" s="291" t="s">
        <v>2092</v>
      </c>
      <c r="C589" s="291" t="str">
        <f>IF(D588="","",UNIT!$B$1&amp;"-"&amp;B589)</f>
        <v/>
      </c>
      <c r="D589" s="83"/>
      <c r="E589" s="59"/>
      <c r="F589" s="82"/>
      <c r="G589" s="82"/>
      <c r="H589" s="86"/>
      <c r="I589" s="294" t="str">
        <f t="shared" si="41"/>
        <v/>
      </c>
      <c r="J589" s="59"/>
      <c r="K589" s="83"/>
      <c r="L589" s="83" t="str">
        <f t="shared" si="38"/>
        <v xml:space="preserve">
</v>
      </c>
      <c r="M589" s="83"/>
      <c r="N589" s="59"/>
      <c r="O589" s="59"/>
      <c r="P589" s="86" t="e">
        <f t="shared" si="39"/>
        <v>#VALUE!</v>
      </c>
      <c r="Q589" s="59"/>
      <c r="R589" s="59"/>
      <c r="S589" s="59"/>
      <c r="T589" s="59"/>
      <c r="U589" s="290"/>
      <c r="V589" s="290"/>
      <c r="W589" s="290"/>
      <c r="X589" s="290"/>
      <c r="Y589" s="290"/>
      <c r="Z589" s="290"/>
      <c r="AA589" s="290"/>
      <c r="AB589" s="290"/>
      <c r="AC589" s="290"/>
      <c r="AD589" s="290"/>
    </row>
    <row r="590" spans="1:30" ht="25.5">
      <c r="A590" s="291" t="str">
        <f t="shared" si="40"/>
        <v/>
      </c>
      <c r="B590" s="291" t="s">
        <v>2093</v>
      </c>
      <c r="C590" s="291" t="str">
        <f>IF(D589="","",UNIT!$B$1&amp;"-"&amp;B590)</f>
        <v/>
      </c>
      <c r="D590" s="83"/>
      <c r="E590" s="59"/>
      <c r="F590" s="82"/>
      <c r="G590" s="82"/>
      <c r="H590" s="86"/>
      <c r="I590" s="294" t="str">
        <f t="shared" si="41"/>
        <v/>
      </c>
      <c r="J590" s="59"/>
      <c r="K590" s="83"/>
      <c r="L590" s="83" t="str">
        <f t="shared" si="38"/>
        <v xml:space="preserve">
</v>
      </c>
      <c r="M590" s="83"/>
      <c r="N590" s="59"/>
      <c r="O590" s="59"/>
      <c r="P590" s="86" t="e">
        <f t="shared" si="39"/>
        <v>#VALUE!</v>
      </c>
      <c r="Q590" s="59"/>
      <c r="R590" s="59"/>
      <c r="S590" s="59"/>
      <c r="T590" s="59"/>
      <c r="U590" s="290"/>
      <c r="V590" s="290"/>
      <c r="W590" s="290"/>
      <c r="X590" s="290"/>
      <c r="Y590" s="290"/>
      <c r="Z590" s="290"/>
      <c r="AA590" s="290"/>
      <c r="AB590" s="290"/>
      <c r="AC590" s="290"/>
      <c r="AD590" s="290"/>
    </row>
    <row r="591" spans="1:30" ht="25.5">
      <c r="A591" s="291" t="str">
        <f t="shared" si="40"/>
        <v/>
      </c>
      <c r="B591" s="291" t="s">
        <v>2094</v>
      </c>
      <c r="C591" s="291" t="str">
        <f>IF(D590="","",UNIT!$B$1&amp;"-"&amp;B591)</f>
        <v/>
      </c>
      <c r="D591" s="83"/>
      <c r="E591" s="59"/>
      <c r="F591" s="82"/>
      <c r="G591" s="82"/>
      <c r="H591" s="86"/>
      <c r="I591" s="294" t="str">
        <f t="shared" si="41"/>
        <v/>
      </c>
      <c r="J591" s="59"/>
      <c r="K591" s="83"/>
      <c r="L591" s="83" t="str">
        <f t="shared" si="38"/>
        <v xml:space="preserve">
</v>
      </c>
      <c r="M591" s="83"/>
      <c r="N591" s="59"/>
      <c r="O591" s="59"/>
      <c r="P591" s="86" t="e">
        <f t="shared" si="39"/>
        <v>#VALUE!</v>
      </c>
      <c r="Q591" s="59"/>
      <c r="R591" s="59"/>
      <c r="S591" s="59"/>
      <c r="T591" s="59"/>
      <c r="U591" s="290"/>
      <c r="V591" s="290"/>
      <c r="W591" s="290"/>
      <c r="X591" s="290"/>
      <c r="Y591" s="290"/>
      <c r="Z591" s="290"/>
      <c r="AA591" s="290"/>
      <c r="AB591" s="290"/>
      <c r="AC591" s="290"/>
      <c r="AD591" s="290"/>
    </row>
    <row r="592" spans="1:30" ht="25.5">
      <c r="A592" s="291" t="str">
        <f t="shared" si="40"/>
        <v/>
      </c>
      <c r="B592" s="291" t="s">
        <v>2095</v>
      </c>
      <c r="C592" s="291" t="str">
        <f>IF(D591="","",UNIT!$B$1&amp;"-"&amp;B592)</f>
        <v/>
      </c>
      <c r="D592" s="83"/>
      <c r="E592" s="59"/>
      <c r="F592" s="82"/>
      <c r="G592" s="82"/>
      <c r="H592" s="86"/>
      <c r="I592" s="294" t="str">
        <f t="shared" si="41"/>
        <v/>
      </c>
      <c r="J592" s="59"/>
      <c r="K592" s="83"/>
      <c r="L592" s="83" t="str">
        <f t="shared" si="38"/>
        <v xml:space="preserve">
</v>
      </c>
      <c r="M592" s="83"/>
      <c r="N592" s="59"/>
      <c r="O592" s="59"/>
      <c r="P592" s="86" t="e">
        <f t="shared" si="39"/>
        <v>#VALUE!</v>
      </c>
      <c r="Q592" s="59"/>
      <c r="R592" s="59"/>
      <c r="S592" s="59"/>
      <c r="T592" s="59"/>
      <c r="U592" s="290"/>
      <c r="V592" s="290"/>
      <c r="W592" s="290"/>
      <c r="X592" s="290"/>
      <c r="Y592" s="290"/>
      <c r="Z592" s="290"/>
      <c r="AA592" s="290"/>
      <c r="AB592" s="290"/>
      <c r="AC592" s="290"/>
      <c r="AD592" s="290"/>
    </row>
    <row r="593" spans="1:30" ht="25.5">
      <c r="A593" s="291" t="str">
        <f t="shared" si="40"/>
        <v/>
      </c>
      <c r="B593" s="291" t="s">
        <v>2096</v>
      </c>
      <c r="C593" s="291" t="str">
        <f>IF(D592="","",UNIT!$B$1&amp;"-"&amp;B593)</f>
        <v/>
      </c>
      <c r="D593" s="83"/>
      <c r="E593" s="59"/>
      <c r="F593" s="82"/>
      <c r="G593" s="82"/>
      <c r="H593" s="86"/>
      <c r="I593" s="294" t="str">
        <f t="shared" si="41"/>
        <v/>
      </c>
      <c r="J593" s="59"/>
      <c r="K593" s="83"/>
      <c r="L593" s="83" t="str">
        <f t="shared" si="38"/>
        <v xml:space="preserve">
</v>
      </c>
      <c r="M593" s="83"/>
      <c r="N593" s="59"/>
      <c r="O593" s="59"/>
      <c r="P593" s="86" t="e">
        <f t="shared" si="39"/>
        <v>#VALUE!</v>
      </c>
      <c r="Q593" s="59"/>
      <c r="R593" s="59"/>
      <c r="S593" s="59"/>
      <c r="T593" s="59"/>
      <c r="U593" s="290"/>
      <c r="V593" s="290"/>
      <c r="W593" s="290"/>
      <c r="X593" s="290"/>
      <c r="Y593" s="290"/>
      <c r="Z593" s="290"/>
      <c r="AA593" s="290"/>
      <c r="AB593" s="290"/>
      <c r="AC593" s="290"/>
      <c r="AD593" s="290"/>
    </row>
    <row r="594" spans="1:30" ht="25.5">
      <c r="A594" s="291" t="str">
        <f t="shared" si="40"/>
        <v/>
      </c>
      <c r="B594" s="291" t="s">
        <v>2097</v>
      </c>
      <c r="C594" s="291" t="str">
        <f>IF(D593="","",UNIT!$B$1&amp;"-"&amp;B594)</f>
        <v/>
      </c>
      <c r="D594" s="83"/>
      <c r="E594" s="59"/>
      <c r="F594" s="82"/>
      <c r="G594" s="82"/>
      <c r="H594" s="86"/>
      <c r="I594" s="294" t="str">
        <f t="shared" si="41"/>
        <v/>
      </c>
      <c r="J594" s="59"/>
      <c r="K594" s="83"/>
      <c r="L594" s="83" t="str">
        <f t="shared" si="38"/>
        <v xml:space="preserve">
</v>
      </c>
      <c r="M594" s="83"/>
      <c r="N594" s="59"/>
      <c r="O594" s="59"/>
      <c r="P594" s="86" t="e">
        <f t="shared" si="39"/>
        <v>#VALUE!</v>
      </c>
      <c r="Q594" s="59"/>
      <c r="R594" s="59"/>
      <c r="S594" s="59"/>
      <c r="T594" s="59"/>
      <c r="U594" s="290"/>
      <c r="V594" s="290"/>
      <c r="W594" s="290"/>
      <c r="X594" s="290"/>
      <c r="Y594" s="290"/>
      <c r="Z594" s="290"/>
      <c r="AA594" s="290"/>
      <c r="AB594" s="290"/>
      <c r="AC594" s="290"/>
      <c r="AD594" s="290"/>
    </row>
    <row r="595" spans="1:30" ht="25.5">
      <c r="A595" s="291" t="str">
        <f t="shared" si="40"/>
        <v/>
      </c>
      <c r="B595" s="291" t="s">
        <v>2098</v>
      </c>
      <c r="C595" s="291" t="str">
        <f>IF(D594="","",UNIT!$B$1&amp;"-"&amp;B595)</f>
        <v/>
      </c>
      <c r="D595" s="83"/>
      <c r="E595" s="59"/>
      <c r="F595" s="82"/>
      <c r="G595" s="82"/>
      <c r="H595" s="86"/>
      <c r="I595" s="294" t="str">
        <f t="shared" si="41"/>
        <v/>
      </c>
      <c r="J595" s="59"/>
      <c r="K595" s="83"/>
      <c r="L595" s="83" t="str">
        <f t="shared" si="38"/>
        <v xml:space="preserve">
</v>
      </c>
      <c r="M595" s="83"/>
      <c r="N595" s="59"/>
      <c r="O595" s="59"/>
      <c r="P595" s="86" t="e">
        <f t="shared" si="39"/>
        <v>#VALUE!</v>
      </c>
      <c r="Q595" s="59"/>
      <c r="R595" s="59"/>
      <c r="S595" s="59"/>
      <c r="T595" s="59"/>
      <c r="U595" s="290"/>
      <c r="V595" s="290"/>
      <c r="W595" s="290"/>
      <c r="X595" s="290"/>
      <c r="Y595" s="290"/>
      <c r="Z595" s="290"/>
      <c r="AA595" s="290"/>
      <c r="AB595" s="290"/>
      <c r="AC595" s="290"/>
      <c r="AD595" s="290"/>
    </row>
    <row r="596" spans="1:30" ht="25.5">
      <c r="A596" s="291" t="str">
        <f t="shared" si="40"/>
        <v/>
      </c>
      <c r="B596" s="291" t="s">
        <v>2099</v>
      </c>
      <c r="C596" s="291" t="str">
        <f>IF(D595="","",UNIT!$B$1&amp;"-"&amp;B596)</f>
        <v/>
      </c>
      <c r="D596" s="83"/>
      <c r="E596" s="59"/>
      <c r="F596" s="82"/>
      <c r="G596" s="82"/>
      <c r="H596" s="86"/>
      <c r="I596" s="294" t="str">
        <f t="shared" si="41"/>
        <v/>
      </c>
      <c r="J596" s="59"/>
      <c r="K596" s="83"/>
      <c r="L596" s="83" t="str">
        <f t="shared" si="38"/>
        <v xml:space="preserve">
</v>
      </c>
      <c r="M596" s="83"/>
      <c r="N596" s="59"/>
      <c r="O596" s="59"/>
      <c r="P596" s="86" t="e">
        <f t="shared" si="39"/>
        <v>#VALUE!</v>
      </c>
      <c r="Q596" s="59"/>
      <c r="R596" s="59"/>
      <c r="S596" s="59"/>
      <c r="T596" s="59"/>
      <c r="U596" s="290"/>
      <c r="V596" s="290"/>
      <c r="W596" s="290"/>
      <c r="X596" s="290"/>
      <c r="Y596" s="290"/>
      <c r="Z596" s="290"/>
      <c r="AA596" s="290"/>
      <c r="AB596" s="290"/>
      <c r="AC596" s="290"/>
      <c r="AD596" s="290"/>
    </row>
    <row r="597" spans="1:30" ht="25.5">
      <c r="A597" s="291" t="str">
        <f t="shared" si="40"/>
        <v/>
      </c>
      <c r="B597" s="291" t="s">
        <v>2100</v>
      </c>
      <c r="C597" s="291" t="str">
        <f>IF(D596="","",UNIT!$B$1&amp;"-"&amp;B597)</f>
        <v/>
      </c>
      <c r="D597" s="83"/>
      <c r="E597" s="59"/>
      <c r="F597" s="82"/>
      <c r="G597" s="82"/>
      <c r="H597" s="86"/>
      <c r="I597" s="294" t="str">
        <f t="shared" si="41"/>
        <v/>
      </c>
      <c r="J597" s="59"/>
      <c r="K597" s="83"/>
      <c r="L597" s="83" t="str">
        <f t="shared" si="38"/>
        <v xml:space="preserve">
</v>
      </c>
      <c r="M597" s="83"/>
      <c r="N597" s="59"/>
      <c r="O597" s="59"/>
      <c r="P597" s="86" t="e">
        <f t="shared" si="39"/>
        <v>#VALUE!</v>
      </c>
      <c r="Q597" s="59"/>
      <c r="R597" s="59"/>
      <c r="S597" s="59"/>
      <c r="T597" s="59"/>
      <c r="U597" s="290"/>
      <c r="V597" s="290"/>
      <c r="W597" s="290"/>
      <c r="X597" s="290"/>
      <c r="Y597" s="290"/>
      <c r="Z597" s="290"/>
      <c r="AA597" s="290"/>
      <c r="AB597" s="290"/>
      <c r="AC597" s="290"/>
      <c r="AD597" s="290"/>
    </row>
    <row r="598" spans="1:30" ht="25.5">
      <c r="A598" s="291" t="str">
        <f t="shared" si="40"/>
        <v/>
      </c>
      <c r="B598" s="291" t="s">
        <v>2101</v>
      </c>
      <c r="C598" s="291" t="str">
        <f>IF(D597="","",UNIT!$B$1&amp;"-"&amp;B598)</f>
        <v/>
      </c>
      <c r="D598" s="83"/>
      <c r="E598" s="59"/>
      <c r="F598" s="82"/>
      <c r="G598" s="82"/>
      <c r="H598" s="86"/>
      <c r="I598" s="294" t="str">
        <f t="shared" si="41"/>
        <v/>
      </c>
      <c r="J598" s="59"/>
      <c r="K598" s="83"/>
      <c r="L598" s="83" t="str">
        <f t="shared" si="38"/>
        <v xml:space="preserve">
</v>
      </c>
      <c r="M598" s="83"/>
      <c r="N598" s="59"/>
      <c r="O598" s="59"/>
      <c r="P598" s="86" t="e">
        <f t="shared" si="39"/>
        <v>#VALUE!</v>
      </c>
      <c r="Q598" s="59"/>
      <c r="R598" s="59"/>
      <c r="S598" s="59"/>
      <c r="T598" s="59"/>
      <c r="U598" s="290"/>
      <c r="V598" s="290"/>
      <c r="W598" s="290"/>
      <c r="X598" s="290"/>
      <c r="Y598" s="290"/>
      <c r="Z598" s="290"/>
      <c r="AA598" s="290"/>
      <c r="AB598" s="290"/>
      <c r="AC598" s="290"/>
      <c r="AD598" s="290"/>
    </row>
    <row r="599" spans="1:30" ht="25.5">
      <c r="A599" s="291" t="str">
        <f t="shared" si="40"/>
        <v/>
      </c>
      <c r="B599" s="291" t="s">
        <v>2102</v>
      </c>
      <c r="C599" s="291" t="str">
        <f>IF(D598="","",UNIT!$B$1&amp;"-"&amp;B599)</f>
        <v/>
      </c>
      <c r="D599" s="83"/>
      <c r="E599" s="59"/>
      <c r="F599" s="82"/>
      <c r="G599" s="82"/>
      <c r="H599" s="86"/>
      <c r="I599" s="294" t="str">
        <f t="shared" si="41"/>
        <v/>
      </c>
      <c r="J599" s="59"/>
      <c r="K599" s="83"/>
      <c r="L599" s="83" t="str">
        <f t="shared" si="38"/>
        <v xml:space="preserve">
</v>
      </c>
      <c r="M599" s="83"/>
      <c r="N599" s="59"/>
      <c r="O599" s="59"/>
      <c r="P599" s="86" t="e">
        <f t="shared" si="39"/>
        <v>#VALUE!</v>
      </c>
      <c r="Q599" s="59"/>
      <c r="R599" s="59"/>
      <c r="S599" s="59"/>
      <c r="T599" s="59"/>
      <c r="U599" s="290"/>
      <c r="V599" s="290"/>
      <c r="W599" s="290"/>
      <c r="X599" s="290"/>
      <c r="Y599" s="290"/>
      <c r="Z599" s="290"/>
      <c r="AA599" s="290"/>
      <c r="AB599" s="290"/>
      <c r="AC599" s="290"/>
      <c r="AD599" s="290"/>
    </row>
    <row r="600" spans="1:30" ht="25.5">
      <c r="A600" s="291" t="str">
        <f t="shared" si="40"/>
        <v/>
      </c>
      <c r="B600" s="291" t="s">
        <v>2103</v>
      </c>
      <c r="C600" s="291" t="str">
        <f>IF(D599="","",UNIT!$B$1&amp;"-"&amp;B600)</f>
        <v/>
      </c>
      <c r="D600" s="83"/>
      <c r="E600" s="59"/>
      <c r="F600" s="82"/>
      <c r="G600" s="82"/>
      <c r="H600" s="86"/>
      <c r="I600" s="294" t="str">
        <f t="shared" si="41"/>
        <v/>
      </c>
      <c r="J600" s="59"/>
      <c r="K600" s="83"/>
      <c r="L600" s="83" t="str">
        <f t="shared" si="38"/>
        <v xml:space="preserve">
</v>
      </c>
      <c r="M600" s="83"/>
      <c r="N600" s="59"/>
      <c r="O600" s="59"/>
      <c r="P600" s="86" t="e">
        <f t="shared" si="39"/>
        <v>#VALUE!</v>
      </c>
      <c r="Q600" s="59"/>
      <c r="R600" s="59"/>
      <c r="S600" s="59"/>
      <c r="T600" s="59"/>
      <c r="U600" s="290"/>
      <c r="V600" s="290"/>
      <c r="W600" s="290"/>
      <c r="X600" s="290"/>
      <c r="Y600" s="290"/>
      <c r="Z600" s="290"/>
      <c r="AA600" s="290"/>
      <c r="AB600" s="290"/>
      <c r="AC600" s="290"/>
      <c r="AD600" s="290"/>
    </row>
    <row r="601" spans="1:30" ht="25.5">
      <c r="A601" s="291" t="str">
        <f t="shared" si="40"/>
        <v/>
      </c>
      <c r="B601" s="291" t="s">
        <v>2104</v>
      </c>
      <c r="C601" s="291" t="str">
        <f>IF(D600="","",UNIT!$B$1&amp;"-"&amp;B601)</f>
        <v/>
      </c>
      <c r="D601" s="83"/>
      <c r="E601" s="59"/>
      <c r="F601" s="82"/>
      <c r="G601" s="82"/>
      <c r="H601" s="86"/>
      <c r="I601" s="294" t="str">
        <f t="shared" si="41"/>
        <v/>
      </c>
      <c r="J601" s="59"/>
      <c r="K601" s="83"/>
      <c r="L601" s="83" t="str">
        <f t="shared" si="38"/>
        <v xml:space="preserve">
</v>
      </c>
      <c r="M601" s="83"/>
      <c r="N601" s="59"/>
      <c r="O601" s="59"/>
      <c r="P601" s="86" t="e">
        <f t="shared" si="39"/>
        <v>#VALUE!</v>
      </c>
      <c r="Q601" s="59"/>
      <c r="R601" s="59"/>
      <c r="S601" s="59"/>
      <c r="T601" s="59"/>
      <c r="U601" s="290"/>
      <c r="V601" s="290"/>
      <c r="W601" s="290"/>
      <c r="X601" s="290"/>
      <c r="Y601" s="290"/>
      <c r="Z601" s="290"/>
      <c r="AA601" s="290"/>
      <c r="AB601" s="290"/>
      <c r="AC601" s="290"/>
      <c r="AD601" s="290"/>
    </row>
    <row r="602" spans="1:30" ht="25.5">
      <c r="A602" s="291" t="str">
        <f t="shared" si="40"/>
        <v/>
      </c>
      <c r="B602" s="291" t="s">
        <v>2105</v>
      </c>
      <c r="C602" s="291" t="str">
        <f>IF(D601="","",UNIT!$B$1&amp;"-"&amp;B602)</f>
        <v/>
      </c>
      <c r="D602" s="83"/>
      <c r="E602" s="59"/>
      <c r="F602" s="82"/>
      <c r="G602" s="82"/>
      <c r="H602" s="86"/>
      <c r="I602" s="294" t="str">
        <f t="shared" si="41"/>
        <v/>
      </c>
      <c r="J602" s="59"/>
      <c r="K602" s="83"/>
      <c r="L602" s="83" t="str">
        <f t="shared" si="38"/>
        <v xml:space="preserve">
</v>
      </c>
      <c r="M602" s="83"/>
      <c r="N602" s="59"/>
      <c r="O602" s="59"/>
      <c r="P602" s="86" t="e">
        <f t="shared" si="39"/>
        <v>#VALUE!</v>
      </c>
      <c r="Q602" s="59"/>
      <c r="R602" s="59"/>
      <c r="S602" s="59"/>
      <c r="T602" s="59"/>
      <c r="U602" s="290"/>
      <c r="V602" s="290"/>
      <c r="W602" s="290"/>
      <c r="X602" s="290"/>
      <c r="Y602" s="290"/>
      <c r="Z602" s="290"/>
      <c r="AA602" s="290"/>
      <c r="AB602" s="290"/>
      <c r="AC602" s="290"/>
      <c r="AD602" s="290"/>
    </row>
    <row r="603" spans="1:30" ht="25.5">
      <c r="A603" s="291" t="str">
        <f t="shared" si="40"/>
        <v/>
      </c>
      <c r="B603" s="291" t="s">
        <v>2106</v>
      </c>
      <c r="C603" s="291" t="str">
        <f>IF(D602="","",UNIT!$B$1&amp;"-"&amp;B603)</f>
        <v/>
      </c>
      <c r="D603" s="83"/>
      <c r="E603" s="59"/>
      <c r="F603" s="82"/>
      <c r="G603" s="82"/>
      <c r="H603" s="86"/>
      <c r="I603" s="294" t="str">
        <f t="shared" si="41"/>
        <v/>
      </c>
      <c r="J603" s="59"/>
      <c r="K603" s="83"/>
      <c r="L603" s="83" t="str">
        <f t="shared" si="38"/>
        <v xml:space="preserve">
</v>
      </c>
      <c r="M603" s="83"/>
      <c r="N603" s="59"/>
      <c r="O603" s="59"/>
      <c r="P603" s="86" t="e">
        <f t="shared" si="39"/>
        <v>#VALUE!</v>
      </c>
      <c r="Q603" s="59"/>
      <c r="R603" s="59"/>
      <c r="S603" s="59"/>
      <c r="T603" s="59"/>
      <c r="U603" s="290"/>
      <c r="V603" s="290"/>
      <c r="W603" s="290"/>
      <c r="X603" s="290"/>
      <c r="Y603" s="290"/>
      <c r="Z603" s="290"/>
      <c r="AA603" s="290"/>
      <c r="AB603" s="290"/>
      <c r="AC603" s="290"/>
      <c r="AD603" s="290"/>
    </row>
    <row r="604" spans="1:30" ht="25.5">
      <c r="A604" s="291" t="str">
        <f t="shared" si="40"/>
        <v/>
      </c>
      <c r="B604" s="291" t="s">
        <v>2107</v>
      </c>
      <c r="C604" s="291" t="str">
        <f>IF(D603="","",UNIT!$B$1&amp;"-"&amp;B604)</f>
        <v/>
      </c>
      <c r="D604" s="83"/>
      <c r="E604" s="59"/>
      <c r="F604" s="82"/>
      <c r="G604" s="82"/>
      <c r="H604" s="86"/>
      <c r="I604" s="294" t="str">
        <f t="shared" si="41"/>
        <v/>
      </c>
      <c r="J604" s="59"/>
      <c r="K604" s="83"/>
      <c r="L604" s="83" t="str">
        <f t="shared" si="38"/>
        <v xml:space="preserve">
</v>
      </c>
      <c r="M604" s="83"/>
      <c r="N604" s="59"/>
      <c r="O604" s="59"/>
      <c r="P604" s="86" t="e">
        <f t="shared" si="39"/>
        <v>#VALUE!</v>
      </c>
      <c r="Q604" s="59"/>
      <c r="R604" s="59"/>
      <c r="S604" s="59"/>
      <c r="T604" s="59"/>
      <c r="U604" s="290"/>
      <c r="V604" s="290"/>
      <c r="W604" s="290"/>
      <c r="X604" s="290"/>
      <c r="Y604" s="290"/>
      <c r="Z604" s="290"/>
      <c r="AA604" s="290"/>
      <c r="AB604" s="290"/>
      <c r="AC604" s="290"/>
      <c r="AD604" s="290"/>
    </row>
    <row r="605" spans="1:30" ht="25.5">
      <c r="A605" s="291" t="str">
        <f t="shared" si="40"/>
        <v/>
      </c>
      <c r="B605" s="291" t="s">
        <v>2108</v>
      </c>
      <c r="C605" s="291" t="str">
        <f>IF(D604="","",UNIT!$B$1&amp;"-"&amp;B605)</f>
        <v/>
      </c>
      <c r="D605" s="83"/>
      <c r="E605" s="59"/>
      <c r="F605" s="82"/>
      <c r="G605" s="82"/>
      <c r="H605" s="86"/>
      <c r="I605" s="294" t="str">
        <f t="shared" si="41"/>
        <v/>
      </c>
      <c r="J605" s="59"/>
      <c r="K605" s="83"/>
      <c r="L605" s="83" t="str">
        <f t="shared" si="38"/>
        <v xml:space="preserve">
</v>
      </c>
      <c r="M605" s="83"/>
      <c r="N605" s="59"/>
      <c r="O605" s="59"/>
      <c r="P605" s="86" t="e">
        <f t="shared" si="39"/>
        <v>#VALUE!</v>
      </c>
      <c r="Q605" s="59"/>
      <c r="R605" s="59"/>
      <c r="S605" s="59"/>
      <c r="T605" s="59"/>
      <c r="U605" s="290"/>
      <c r="V605" s="290"/>
      <c r="W605" s="290"/>
      <c r="X605" s="290"/>
      <c r="Y605" s="290"/>
      <c r="Z605" s="290"/>
      <c r="AA605" s="290"/>
      <c r="AB605" s="290"/>
      <c r="AC605" s="290"/>
      <c r="AD605" s="290"/>
    </row>
    <row r="606" spans="1:30" ht="25.5">
      <c r="A606" s="291" t="str">
        <f t="shared" si="40"/>
        <v/>
      </c>
      <c r="B606" s="291" t="s">
        <v>2109</v>
      </c>
      <c r="C606" s="291" t="str">
        <f>IF(D605="","",UNIT!$B$1&amp;"-"&amp;B606)</f>
        <v/>
      </c>
      <c r="D606" s="83"/>
      <c r="E606" s="59"/>
      <c r="F606" s="82"/>
      <c r="G606" s="82"/>
      <c r="H606" s="86"/>
      <c r="I606" s="294" t="str">
        <f t="shared" si="41"/>
        <v/>
      </c>
      <c r="J606" s="59"/>
      <c r="K606" s="83"/>
      <c r="L606" s="83" t="str">
        <f t="shared" si="38"/>
        <v xml:space="preserve">
</v>
      </c>
      <c r="M606" s="83"/>
      <c r="N606" s="59"/>
      <c r="O606" s="59"/>
      <c r="P606" s="86" t="e">
        <f t="shared" si="39"/>
        <v>#VALUE!</v>
      </c>
      <c r="Q606" s="59"/>
      <c r="R606" s="59"/>
      <c r="S606" s="59"/>
      <c r="T606" s="59"/>
      <c r="U606" s="290"/>
      <c r="V606" s="290"/>
      <c r="W606" s="290"/>
      <c r="X606" s="290"/>
      <c r="Y606" s="290"/>
      <c r="Z606" s="290"/>
      <c r="AA606" s="290"/>
      <c r="AB606" s="290"/>
      <c r="AC606" s="290"/>
      <c r="AD606" s="290"/>
    </row>
    <row r="607" spans="1:30" ht="25.5">
      <c r="A607" s="291" t="str">
        <f t="shared" si="40"/>
        <v/>
      </c>
      <c r="B607" s="291" t="s">
        <v>2110</v>
      </c>
      <c r="C607" s="291" t="str">
        <f>IF(D606="","",UNIT!$B$1&amp;"-"&amp;B607)</f>
        <v/>
      </c>
      <c r="D607" s="83"/>
      <c r="E607" s="59"/>
      <c r="F607" s="82"/>
      <c r="G607" s="82"/>
      <c r="H607" s="86"/>
      <c r="I607" s="294" t="str">
        <f t="shared" si="41"/>
        <v/>
      </c>
      <c r="J607" s="59"/>
      <c r="K607" s="83"/>
      <c r="L607" s="83" t="str">
        <f t="shared" si="38"/>
        <v xml:space="preserve">
</v>
      </c>
      <c r="M607" s="83"/>
      <c r="N607" s="59"/>
      <c r="O607" s="59"/>
      <c r="P607" s="86" t="e">
        <f t="shared" si="39"/>
        <v>#VALUE!</v>
      </c>
      <c r="Q607" s="59"/>
      <c r="R607" s="59"/>
      <c r="S607" s="59"/>
      <c r="T607" s="59"/>
      <c r="U607" s="290"/>
      <c r="V607" s="290"/>
      <c r="W607" s="290"/>
      <c r="X607" s="290"/>
      <c r="Y607" s="290"/>
      <c r="Z607" s="290"/>
      <c r="AA607" s="290"/>
      <c r="AB607" s="290"/>
      <c r="AC607" s="290"/>
      <c r="AD607" s="290"/>
    </row>
    <row r="608" spans="1:30" ht="25.5">
      <c r="A608" s="291" t="str">
        <f t="shared" si="40"/>
        <v/>
      </c>
      <c r="B608" s="291" t="s">
        <v>2111</v>
      </c>
      <c r="C608" s="291" t="str">
        <f>IF(D607="","",UNIT!$B$1&amp;"-"&amp;B608)</f>
        <v/>
      </c>
      <c r="D608" s="83"/>
      <c r="E608" s="59"/>
      <c r="F608" s="82"/>
      <c r="G608" s="82"/>
      <c r="H608" s="86"/>
      <c r="I608" s="294" t="str">
        <f t="shared" si="41"/>
        <v/>
      </c>
      <c r="J608" s="59"/>
      <c r="K608" s="83"/>
      <c r="L608" s="83" t="str">
        <f t="shared" si="38"/>
        <v xml:space="preserve">
</v>
      </c>
      <c r="M608" s="83"/>
      <c r="N608" s="59"/>
      <c r="O608" s="59"/>
      <c r="P608" s="86" t="e">
        <f t="shared" si="39"/>
        <v>#VALUE!</v>
      </c>
      <c r="Q608" s="59"/>
      <c r="R608" s="59"/>
      <c r="S608" s="59"/>
      <c r="T608" s="59"/>
      <c r="U608" s="290"/>
      <c r="V608" s="290"/>
      <c r="W608" s="290"/>
      <c r="X608" s="290"/>
      <c r="Y608" s="290"/>
      <c r="Z608" s="290"/>
      <c r="AA608" s="290"/>
      <c r="AB608" s="290"/>
      <c r="AC608" s="290"/>
      <c r="AD608" s="290"/>
    </row>
    <row r="609" spans="1:30" ht="25.5">
      <c r="A609" s="291" t="str">
        <f t="shared" si="40"/>
        <v/>
      </c>
      <c r="B609" s="291" t="s">
        <v>2112</v>
      </c>
      <c r="C609" s="291" t="str">
        <f>IF(D608="","",UNIT!$B$1&amp;"-"&amp;B609)</f>
        <v/>
      </c>
      <c r="D609" s="83"/>
      <c r="E609" s="59"/>
      <c r="F609" s="82"/>
      <c r="G609" s="82"/>
      <c r="H609" s="86"/>
      <c r="I609" s="294" t="str">
        <f t="shared" si="41"/>
        <v/>
      </c>
      <c r="J609" s="59"/>
      <c r="K609" s="83"/>
      <c r="L609" s="83" t="str">
        <f t="shared" si="38"/>
        <v xml:space="preserve">
</v>
      </c>
      <c r="M609" s="83"/>
      <c r="N609" s="59"/>
      <c r="O609" s="59"/>
      <c r="P609" s="86" t="e">
        <f t="shared" si="39"/>
        <v>#VALUE!</v>
      </c>
      <c r="Q609" s="59"/>
      <c r="R609" s="59"/>
      <c r="S609" s="59"/>
      <c r="T609" s="59"/>
      <c r="U609" s="290"/>
      <c r="V609" s="290"/>
      <c r="W609" s="290"/>
      <c r="X609" s="290"/>
      <c r="Y609" s="290"/>
      <c r="Z609" s="290"/>
      <c r="AA609" s="290"/>
      <c r="AB609" s="290"/>
      <c r="AC609" s="290"/>
      <c r="AD609" s="290"/>
    </row>
    <row r="610" spans="1:30" ht="25.5">
      <c r="A610" s="291" t="str">
        <f t="shared" si="40"/>
        <v/>
      </c>
      <c r="B610" s="291" t="s">
        <v>2113</v>
      </c>
      <c r="C610" s="291" t="str">
        <f>IF(D609="","",UNIT!$B$1&amp;"-"&amp;B610)</f>
        <v/>
      </c>
      <c r="D610" s="83"/>
      <c r="E610" s="59"/>
      <c r="F610" s="82"/>
      <c r="G610" s="82"/>
      <c r="H610" s="86"/>
      <c r="I610" s="294" t="str">
        <f t="shared" si="41"/>
        <v/>
      </c>
      <c r="J610" s="59"/>
      <c r="K610" s="83"/>
      <c r="L610" s="83" t="str">
        <f t="shared" si="38"/>
        <v xml:space="preserve">
</v>
      </c>
      <c r="M610" s="83"/>
      <c r="N610" s="59"/>
      <c r="O610" s="59"/>
      <c r="P610" s="86" t="e">
        <f t="shared" si="39"/>
        <v>#VALUE!</v>
      </c>
      <c r="Q610" s="59"/>
      <c r="R610" s="59"/>
      <c r="S610" s="59"/>
      <c r="T610" s="59"/>
      <c r="U610" s="290"/>
      <c r="V610" s="290"/>
      <c r="W610" s="290"/>
      <c r="X610" s="290"/>
      <c r="Y610" s="290"/>
      <c r="Z610" s="290"/>
      <c r="AA610" s="290"/>
      <c r="AB610" s="290"/>
      <c r="AC610" s="290"/>
      <c r="AD610" s="290"/>
    </row>
    <row r="611" spans="1:30" ht="25.5">
      <c r="A611" s="291" t="str">
        <f t="shared" si="40"/>
        <v/>
      </c>
      <c r="B611" s="291" t="s">
        <v>2114</v>
      </c>
      <c r="C611" s="291" t="str">
        <f>IF(D610="","",UNIT!$B$1&amp;"-"&amp;B611)</f>
        <v/>
      </c>
      <c r="D611" s="83"/>
      <c r="E611" s="59"/>
      <c r="F611" s="82"/>
      <c r="G611" s="82"/>
      <c r="H611" s="86"/>
      <c r="I611" s="294" t="str">
        <f t="shared" si="41"/>
        <v/>
      </c>
      <c r="J611" s="59"/>
      <c r="K611" s="83"/>
      <c r="L611" s="83" t="str">
        <f t="shared" si="38"/>
        <v xml:space="preserve">
</v>
      </c>
      <c r="M611" s="83"/>
      <c r="N611" s="59"/>
      <c r="O611" s="59"/>
      <c r="P611" s="86" t="e">
        <f t="shared" si="39"/>
        <v>#VALUE!</v>
      </c>
      <c r="Q611" s="59"/>
      <c r="R611" s="59"/>
      <c r="S611" s="59"/>
      <c r="T611" s="59"/>
      <c r="U611" s="290"/>
      <c r="V611" s="290"/>
      <c r="W611" s="290"/>
      <c r="X611" s="290"/>
      <c r="Y611" s="290"/>
      <c r="Z611" s="290"/>
      <c r="AA611" s="290"/>
      <c r="AB611" s="290"/>
      <c r="AC611" s="290"/>
      <c r="AD611" s="290"/>
    </row>
    <row r="612" spans="1:30" ht="25.5">
      <c r="A612" s="291" t="str">
        <f t="shared" si="40"/>
        <v/>
      </c>
      <c r="B612" s="291" t="s">
        <v>2115</v>
      </c>
      <c r="C612" s="291" t="str">
        <f>IF(D611="","",UNIT!$B$1&amp;"-"&amp;B612)</f>
        <v/>
      </c>
      <c r="D612" s="83"/>
      <c r="E612" s="59"/>
      <c r="F612" s="82"/>
      <c r="G612" s="82"/>
      <c r="H612" s="86"/>
      <c r="I612" s="294" t="str">
        <f t="shared" si="41"/>
        <v/>
      </c>
      <c r="J612" s="59"/>
      <c r="K612" s="83"/>
      <c r="L612" s="83" t="str">
        <f t="shared" si="38"/>
        <v xml:space="preserve">
</v>
      </c>
      <c r="M612" s="83"/>
      <c r="N612" s="59"/>
      <c r="O612" s="59"/>
      <c r="P612" s="86" t="e">
        <f t="shared" si="39"/>
        <v>#VALUE!</v>
      </c>
      <c r="Q612" s="59"/>
      <c r="R612" s="59"/>
      <c r="S612" s="59"/>
      <c r="T612" s="59"/>
      <c r="U612" s="290"/>
      <c r="V612" s="290"/>
      <c r="W612" s="290"/>
      <c r="X612" s="290"/>
      <c r="Y612" s="290"/>
      <c r="Z612" s="290"/>
      <c r="AA612" s="290"/>
      <c r="AB612" s="290"/>
      <c r="AC612" s="290"/>
      <c r="AD612" s="290"/>
    </row>
    <row r="613" spans="1:30" ht="25.5">
      <c r="A613" s="291" t="str">
        <f t="shared" si="40"/>
        <v/>
      </c>
      <c r="B613" s="291" t="s">
        <v>2116</v>
      </c>
      <c r="C613" s="291" t="str">
        <f>IF(D612="","",UNIT!$B$1&amp;"-"&amp;B613)</f>
        <v/>
      </c>
      <c r="D613" s="83"/>
      <c r="E613" s="59"/>
      <c r="F613" s="82"/>
      <c r="G613" s="82"/>
      <c r="H613" s="86"/>
      <c r="I613" s="294" t="str">
        <f t="shared" si="41"/>
        <v/>
      </c>
      <c r="J613" s="59"/>
      <c r="K613" s="83"/>
      <c r="L613" s="83" t="str">
        <f t="shared" si="38"/>
        <v xml:space="preserve">
</v>
      </c>
      <c r="M613" s="83"/>
      <c r="N613" s="59"/>
      <c r="O613" s="59"/>
      <c r="P613" s="86" t="e">
        <f t="shared" si="39"/>
        <v>#VALUE!</v>
      </c>
      <c r="Q613" s="59"/>
      <c r="R613" s="59"/>
      <c r="S613" s="59"/>
      <c r="T613" s="59"/>
      <c r="U613" s="290"/>
      <c r="V613" s="290"/>
      <c r="W613" s="290"/>
      <c r="X613" s="290"/>
      <c r="Y613" s="290"/>
      <c r="Z613" s="290"/>
      <c r="AA613" s="290"/>
      <c r="AB613" s="290"/>
      <c r="AC613" s="290"/>
      <c r="AD613" s="290"/>
    </row>
    <row r="614" spans="1:30" ht="25.5">
      <c r="A614" s="291" t="str">
        <f t="shared" si="40"/>
        <v/>
      </c>
      <c r="B614" s="291" t="s">
        <v>2117</v>
      </c>
      <c r="C614" s="291" t="str">
        <f>IF(D613="","",UNIT!$B$1&amp;"-"&amp;B614)</f>
        <v/>
      </c>
      <c r="D614" s="83"/>
      <c r="E614" s="59"/>
      <c r="F614" s="82"/>
      <c r="G614" s="82"/>
      <c r="H614" s="86"/>
      <c r="I614" s="294" t="str">
        <f t="shared" si="41"/>
        <v/>
      </c>
      <c r="J614" s="59"/>
      <c r="K614" s="83"/>
      <c r="L614" s="83" t="str">
        <f t="shared" si="38"/>
        <v xml:space="preserve">
</v>
      </c>
      <c r="M614" s="83"/>
      <c r="N614" s="59"/>
      <c r="O614" s="59"/>
      <c r="P614" s="86" t="e">
        <f t="shared" si="39"/>
        <v>#VALUE!</v>
      </c>
      <c r="Q614" s="59"/>
      <c r="R614" s="59"/>
      <c r="S614" s="59"/>
      <c r="T614" s="59"/>
      <c r="U614" s="290"/>
      <c r="V614" s="290"/>
      <c r="W614" s="290"/>
      <c r="X614" s="290"/>
      <c r="Y614" s="290"/>
      <c r="Z614" s="290"/>
      <c r="AA614" s="290"/>
      <c r="AB614" s="290"/>
      <c r="AC614" s="290"/>
      <c r="AD614" s="290"/>
    </row>
    <row r="615" spans="1:30" ht="25.5">
      <c r="A615" s="291" t="str">
        <f t="shared" si="40"/>
        <v/>
      </c>
      <c r="B615" s="291" t="s">
        <v>2118</v>
      </c>
      <c r="C615" s="291" t="str">
        <f>IF(D614="","",UNIT!$B$1&amp;"-"&amp;B615)</f>
        <v/>
      </c>
      <c r="D615" s="83"/>
      <c r="E615" s="59"/>
      <c r="F615" s="82"/>
      <c r="G615" s="82"/>
      <c r="H615" s="86"/>
      <c r="I615" s="294" t="str">
        <f t="shared" si="41"/>
        <v/>
      </c>
      <c r="J615" s="59"/>
      <c r="K615" s="83"/>
      <c r="L615" s="83" t="str">
        <f t="shared" si="38"/>
        <v xml:space="preserve">
</v>
      </c>
      <c r="M615" s="83"/>
      <c r="N615" s="59"/>
      <c r="O615" s="59"/>
      <c r="P615" s="86" t="e">
        <f t="shared" si="39"/>
        <v>#VALUE!</v>
      </c>
      <c r="Q615" s="59"/>
      <c r="R615" s="59"/>
      <c r="S615" s="59"/>
      <c r="T615" s="59"/>
      <c r="U615" s="290"/>
      <c r="V615" s="290"/>
      <c r="W615" s="290"/>
      <c r="X615" s="290"/>
      <c r="Y615" s="290"/>
      <c r="Z615" s="290"/>
      <c r="AA615" s="290"/>
      <c r="AB615" s="290"/>
      <c r="AC615" s="290"/>
      <c r="AD615" s="290"/>
    </row>
    <row r="616" spans="1:30" ht="25.5">
      <c r="A616" s="291" t="str">
        <f t="shared" si="40"/>
        <v/>
      </c>
      <c r="B616" s="291" t="s">
        <v>2119</v>
      </c>
      <c r="C616" s="291" t="str">
        <f>IF(D615="","",UNIT!$B$1&amp;"-"&amp;B616)</f>
        <v/>
      </c>
      <c r="D616" s="83"/>
      <c r="E616" s="59"/>
      <c r="F616" s="82"/>
      <c r="G616" s="82"/>
      <c r="H616" s="86"/>
      <c r="I616" s="294" t="str">
        <f t="shared" si="41"/>
        <v/>
      </c>
      <c r="J616" s="59"/>
      <c r="K616" s="83"/>
      <c r="L616" s="83" t="str">
        <f t="shared" si="38"/>
        <v xml:space="preserve">
</v>
      </c>
      <c r="M616" s="83"/>
      <c r="N616" s="59"/>
      <c r="O616" s="59"/>
      <c r="P616" s="86" t="e">
        <f t="shared" si="39"/>
        <v>#VALUE!</v>
      </c>
      <c r="Q616" s="59"/>
      <c r="R616" s="59"/>
      <c r="S616" s="59"/>
      <c r="T616" s="59"/>
      <c r="U616" s="290"/>
      <c r="V616" s="290"/>
      <c r="W616" s="290"/>
      <c r="X616" s="290"/>
      <c r="Y616" s="290"/>
      <c r="Z616" s="290"/>
      <c r="AA616" s="290"/>
      <c r="AB616" s="290"/>
      <c r="AC616" s="290"/>
      <c r="AD616" s="290"/>
    </row>
    <row r="617" spans="1:30" ht="25.5">
      <c r="A617" s="291" t="str">
        <f t="shared" si="40"/>
        <v/>
      </c>
      <c r="B617" s="291" t="s">
        <v>2120</v>
      </c>
      <c r="C617" s="291" t="str">
        <f>IF(D616="","",UNIT!$B$1&amp;"-"&amp;B617)</f>
        <v/>
      </c>
      <c r="D617" s="83"/>
      <c r="E617" s="59"/>
      <c r="F617" s="82"/>
      <c r="G617" s="82"/>
      <c r="H617" s="86"/>
      <c r="I617" s="294" t="str">
        <f t="shared" si="41"/>
        <v/>
      </c>
      <c r="J617" s="59"/>
      <c r="K617" s="83"/>
      <c r="L617" s="83" t="str">
        <f t="shared" si="38"/>
        <v xml:space="preserve">
</v>
      </c>
      <c r="M617" s="83"/>
      <c r="N617" s="59"/>
      <c r="O617" s="59"/>
      <c r="P617" s="86" t="e">
        <f t="shared" si="39"/>
        <v>#VALUE!</v>
      </c>
      <c r="Q617" s="59"/>
      <c r="R617" s="59"/>
      <c r="S617" s="59"/>
      <c r="T617" s="59"/>
      <c r="U617" s="290"/>
      <c r="V617" s="290"/>
      <c r="W617" s="290"/>
      <c r="X617" s="290"/>
      <c r="Y617" s="290"/>
      <c r="Z617" s="290"/>
      <c r="AA617" s="290"/>
      <c r="AB617" s="290"/>
      <c r="AC617" s="290"/>
      <c r="AD617" s="290"/>
    </row>
    <row r="618" spans="1:30" ht="25.5">
      <c r="A618" s="291" t="str">
        <f t="shared" si="40"/>
        <v/>
      </c>
      <c r="B618" s="291" t="s">
        <v>2121</v>
      </c>
      <c r="C618" s="291" t="str">
        <f>IF(D617="","",UNIT!$B$1&amp;"-"&amp;B618)</f>
        <v/>
      </c>
      <c r="D618" s="83"/>
      <c r="E618" s="59"/>
      <c r="F618" s="82"/>
      <c r="G618" s="82"/>
      <c r="H618" s="86"/>
      <c r="I618" s="294" t="str">
        <f t="shared" si="41"/>
        <v/>
      </c>
      <c r="J618" s="59"/>
      <c r="K618" s="83"/>
      <c r="L618" s="83" t="str">
        <f t="shared" si="38"/>
        <v xml:space="preserve">
</v>
      </c>
      <c r="M618" s="83"/>
      <c r="N618" s="59"/>
      <c r="O618" s="59"/>
      <c r="P618" s="86" t="e">
        <f t="shared" si="39"/>
        <v>#VALUE!</v>
      </c>
      <c r="Q618" s="59"/>
      <c r="R618" s="59"/>
      <c r="S618" s="59"/>
      <c r="T618" s="59"/>
      <c r="U618" s="290"/>
      <c r="V618" s="290"/>
      <c r="W618" s="290"/>
      <c r="X618" s="290"/>
      <c r="Y618" s="290"/>
      <c r="Z618" s="290"/>
      <c r="AA618" s="290"/>
      <c r="AB618" s="290"/>
      <c r="AC618" s="290"/>
      <c r="AD618" s="290"/>
    </row>
    <row r="619" spans="1:30" ht="25.5">
      <c r="A619" s="291" t="str">
        <f t="shared" si="40"/>
        <v/>
      </c>
      <c r="B619" s="291" t="s">
        <v>2122</v>
      </c>
      <c r="C619" s="291" t="str">
        <f>IF(D618="","",UNIT!$B$1&amp;"-"&amp;B619)</f>
        <v/>
      </c>
      <c r="D619" s="83"/>
      <c r="E619" s="59"/>
      <c r="F619" s="82"/>
      <c r="G619" s="82"/>
      <c r="H619" s="86"/>
      <c r="I619" s="294" t="str">
        <f t="shared" si="41"/>
        <v/>
      </c>
      <c r="J619" s="59"/>
      <c r="K619" s="83"/>
      <c r="L619" s="83" t="str">
        <f t="shared" si="38"/>
        <v xml:space="preserve">
</v>
      </c>
      <c r="M619" s="83"/>
      <c r="N619" s="59"/>
      <c r="O619" s="59"/>
      <c r="P619" s="86" t="e">
        <f t="shared" si="39"/>
        <v>#VALUE!</v>
      </c>
      <c r="Q619" s="59"/>
      <c r="R619" s="59"/>
      <c r="S619" s="59"/>
      <c r="T619" s="59"/>
      <c r="U619" s="290"/>
      <c r="V619" s="290"/>
      <c r="W619" s="290"/>
      <c r="X619" s="290"/>
      <c r="Y619" s="290"/>
      <c r="Z619" s="290"/>
      <c r="AA619" s="290"/>
      <c r="AB619" s="290"/>
      <c r="AC619" s="290"/>
      <c r="AD619" s="290"/>
    </row>
    <row r="620" spans="1:30" ht="25.5">
      <c r="A620" s="291" t="str">
        <f t="shared" si="40"/>
        <v/>
      </c>
      <c r="B620" s="291" t="s">
        <v>2123</v>
      </c>
      <c r="C620" s="291" t="str">
        <f>IF(D619="","",UNIT!$B$1&amp;"-"&amp;B620)</f>
        <v/>
      </c>
      <c r="D620" s="83"/>
      <c r="E620" s="59"/>
      <c r="F620" s="82"/>
      <c r="G620" s="82"/>
      <c r="H620" s="86"/>
      <c r="I620" s="294" t="str">
        <f t="shared" si="41"/>
        <v/>
      </c>
      <c r="J620" s="59"/>
      <c r="K620" s="83"/>
      <c r="L620" s="83" t="str">
        <f t="shared" si="38"/>
        <v xml:space="preserve">
</v>
      </c>
      <c r="M620" s="83"/>
      <c r="N620" s="59"/>
      <c r="O620" s="59"/>
      <c r="P620" s="86" t="e">
        <f t="shared" si="39"/>
        <v>#VALUE!</v>
      </c>
      <c r="Q620" s="59"/>
      <c r="R620" s="59"/>
      <c r="S620" s="59"/>
      <c r="T620" s="59"/>
      <c r="U620" s="290"/>
      <c r="V620" s="290"/>
      <c r="W620" s="290"/>
      <c r="X620" s="290"/>
      <c r="Y620" s="290"/>
      <c r="Z620" s="290"/>
      <c r="AA620" s="290"/>
      <c r="AB620" s="290"/>
      <c r="AC620" s="290"/>
      <c r="AD620" s="290"/>
    </row>
    <row r="621" spans="1:30" ht="25.5">
      <c r="A621" s="291" t="str">
        <f t="shared" si="40"/>
        <v/>
      </c>
      <c r="B621" s="291" t="s">
        <v>2124</v>
      </c>
      <c r="C621" s="291" t="str">
        <f>IF(D620="","",UNIT!$B$1&amp;"-"&amp;B621)</f>
        <v/>
      </c>
      <c r="D621" s="83"/>
      <c r="E621" s="59"/>
      <c r="F621" s="82"/>
      <c r="G621" s="82"/>
      <c r="H621" s="86"/>
      <c r="I621" s="294" t="str">
        <f t="shared" si="41"/>
        <v/>
      </c>
      <c r="J621" s="59"/>
      <c r="K621" s="83"/>
      <c r="L621" s="83" t="str">
        <f t="shared" si="38"/>
        <v xml:space="preserve">
</v>
      </c>
      <c r="M621" s="83"/>
      <c r="N621" s="59"/>
      <c r="O621" s="59"/>
      <c r="P621" s="86" t="e">
        <f t="shared" si="39"/>
        <v>#VALUE!</v>
      </c>
      <c r="Q621" s="59"/>
      <c r="R621" s="59"/>
      <c r="S621" s="59"/>
      <c r="T621" s="59"/>
      <c r="U621" s="290"/>
      <c r="V621" s="290"/>
      <c r="W621" s="290"/>
      <c r="X621" s="290"/>
      <c r="Y621" s="290"/>
      <c r="Z621" s="290"/>
      <c r="AA621" s="290"/>
      <c r="AB621" s="290"/>
      <c r="AC621" s="290"/>
      <c r="AD621" s="290"/>
    </row>
    <row r="622" spans="1:30" ht="25.5">
      <c r="A622" s="291" t="str">
        <f t="shared" si="40"/>
        <v/>
      </c>
      <c r="B622" s="291" t="s">
        <v>2125</v>
      </c>
      <c r="C622" s="291" t="str">
        <f>IF(D621="","",UNIT!$B$1&amp;"-"&amp;B622)</f>
        <v/>
      </c>
      <c r="D622" s="83"/>
      <c r="E622" s="59"/>
      <c r="F622" s="82"/>
      <c r="G622" s="82"/>
      <c r="H622" s="86"/>
      <c r="I622" s="294" t="str">
        <f t="shared" si="41"/>
        <v/>
      </c>
      <c r="J622" s="59"/>
      <c r="K622" s="83"/>
      <c r="L622" s="83" t="str">
        <f t="shared" si="38"/>
        <v xml:space="preserve">
</v>
      </c>
      <c r="M622" s="83"/>
      <c r="N622" s="59"/>
      <c r="O622" s="59"/>
      <c r="P622" s="86" t="e">
        <f t="shared" si="39"/>
        <v>#VALUE!</v>
      </c>
      <c r="Q622" s="59"/>
      <c r="R622" s="59"/>
      <c r="S622" s="59"/>
      <c r="T622" s="59"/>
      <c r="U622" s="290"/>
      <c r="V622" s="290"/>
      <c r="W622" s="290"/>
      <c r="X622" s="290"/>
      <c r="Y622" s="290"/>
      <c r="Z622" s="290"/>
      <c r="AA622" s="290"/>
      <c r="AB622" s="290"/>
      <c r="AC622" s="290"/>
      <c r="AD622" s="290"/>
    </row>
    <row r="623" spans="1:30" ht="25.5">
      <c r="A623" s="291" t="str">
        <f t="shared" si="40"/>
        <v/>
      </c>
      <c r="B623" s="291" t="s">
        <v>2126</v>
      </c>
      <c r="C623" s="291" t="str">
        <f>IF(D622="","",UNIT!$B$1&amp;"-"&amp;B623)</f>
        <v/>
      </c>
      <c r="D623" s="83"/>
      <c r="E623" s="59"/>
      <c r="F623" s="82"/>
      <c r="G623" s="82"/>
      <c r="H623" s="86"/>
      <c r="I623" s="294" t="str">
        <f t="shared" si="41"/>
        <v/>
      </c>
      <c r="J623" s="59"/>
      <c r="K623" s="83"/>
      <c r="L623" s="83" t="str">
        <f t="shared" si="38"/>
        <v xml:space="preserve">
</v>
      </c>
      <c r="M623" s="83"/>
      <c r="N623" s="59"/>
      <c r="O623" s="59"/>
      <c r="P623" s="86" t="e">
        <f t="shared" si="39"/>
        <v>#VALUE!</v>
      </c>
      <c r="Q623" s="59"/>
      <c r="R623" s="59"/>
      <c r="S623" s="59"/>
      <c r="T623" s="59"/>
      <c r="U623" s="290"/>
      <c r="V623" s="290"/>
      <c r="W623" s="290"/>
      <c r="X623" s="290"/>
      <c r="Y623" s="290"/>
      <c r="Z623" s="290"/>
      <c r="AA623" s="290"/>
      <c r="AB623" s="290"/>
      <c r="AC623" s="290"/>
      <c r="AD623" s="290"/>
    </row>
    <row r="624" spans="1:30" ht="25.5">
      <c r="A624" s="291" t="str">
        <f t="shared" si="40"/>
        <v/>
      </c>
      <c r="B624" s="291" t="s">
        <v>2127</v>
      </c>
      <c r="C624" s="291" t="str">
        <f>IF(D623="","",UNIT!$B$1&amp;"-"&amp;B624)</f>
        <v/>
      </c>
      <c r="D624" s="83"/>
      <c r="E624" s="59"/>
      <c r="F624" s="82"/>
      <c r="G624" s="82"/>
      <c r="H624" s="86"/>
      <c r="I624" s="294" t="str">
        <f t="shared" si="41"/>
        <v/>
      </c>
      <c r="J624" s="59"/>
      <c r="K624" s="83"/>
      <c r="L624" s="83" t="str">
        <f t="shared" si="38"/>
        <v xml:space="preserve">
</v>
      </c>
      <c r="M624" s="83"/>
      <c r="N624" s="59"/>
      <c r="O624" s="59"/>
      <c r="P624" s="86" t="e">
        <f t="shared" si="39"/>
        <v>#VALUE!</v>
      </c>
      <c r="Q624" s="59"/>
      <c r="R624" s="59"/>
      <c r="S624" s="59"/>
      <c r="T624" s="59"/>
      <c r="U624" s="290"/>
      <c r="V624" s="290"/>
      <c r="W624" s="290"/>
      <c r="X624" s="290"/>
      <c r="Y624" s="290"/>
      <c r="Z624" s="290"/>
      <c r="AA624" s="290"/>
      <c r="AB624" s="290"/>
      <c r="AC624" s="290"/>
      <c r="AD624" s="290"/>
    </row>
    <row r="625" spans="1:30" ht="25.5">
      <c r="A625" s="291" t="str">
        <f t="shared" si="40"/>
        <v/>
      </c>
      <c r="B625" s="291" t="s">
        <v>2128</v>
      </c>
      <c r="C625" s="291" t="str">
        <f>IF(D624="","",UNIT!$B$1&amp;"-"&amp;B625)</f>
        <v/>
      </c>
      <c r="D625" s="83"/>
      <c r="E625" s="59"/>
      <c r="F625" s="82"/>
      <c r="G625" s="82"/>
      <c r="H625" s="86"/>
      <c r="I625" s="294" t="str">
        <f t="shared" si="41"/>
        <v/>
      </c>
      <c r="J625" s="59"/>
      <c r="K625" s="83"/>
      <c r="L625" s="83" t="str">
        <f t="shared" si="38"/>
        <v xml:space="preserve">
</v>
      </c>
      <c r="M625" s="83"/>
      <c r="N625" s="59"/>
      <c r="O625" s="59"/>
      <c r="P625" s="86" t="e">
        <f t="shared" si="39"/>
        <v>#VALUE!</v>
      </c>
      <c r="Q625" s="59"/>
      <c r="R625" s="59"/>
      <c r="S625" s="59"/>
      <c r="T625" s="59"/>
      <c r="U625" s="290"/>
      <c r="V625" s="290"/>
      <c r="W625" s="290"/>
      <c r="X625" s="290"/>
      <c r="Y625" s="290"/>
      <c r="Z625" s="290"/>
      <c r="AA625" s="290"/>
      <c r="AB625" s="290"/>
      <c r="AC625" s="290"/>
      <c r="AD625" s="290"/>
    </row>
    <row r="626" spans="1:30" ht="25.5">
      <c r="A626" s="291" t="str">
        <f t="shared" si="40"/>
        <v/>
      </c>
      <c r="B626" s="291" t="s">
        <v>2129</v>
      </c>
      <c r="C626" s="291" t="str">
        <f>IF(D625="","",UNIT!$B$1&amp;"-"&amp;B626)</f>
        <v/>
      </c>
      <c r="D626" s="83"/>
      <c r="E626" s="59"/>
      <c r="F626" s="82"/>
      <c r="G626" s="82"/>
      <c r="H626" s="86"/>
      <c r="I626" s="294" t="str">
        <f t="shared" si="41"/>
        <v/>
      </c>
      <c r="J626" s="59"/>
      <c r="K626" s="83"/>
      <c r="L626" s="83" t="str">
        <f t="shared" si="38"/>
        <v xml:space="preserve">
</v>
      </c>
      <c r="M626" s="83"/>
      <c r="N626" s="59"/>
      <c r="O626" s="59"/>
      <c r="P626" s="86" t="e">
        <f t="shared" si="39"/>
        <v>#VALUE!</v>
      </c>
      <c r="Q626" s="59"/>
      <c r="R626" s="59"/>
      <c r="S626" s="59"/>
      <c r="T626" s="59"/>
      <c r="U626" s="290"/>
      <c r="V626" s="290"/>
      <c r="W626" s="290"/>
      <c r="X626" s="290"/>
      <c r="Y626" s="290"/>
      <c r="Z626" s="290"/>
      <c r="AA626" s="290"/>
      <c r="AB626" s="290"/>
      <c r="AC626" s="290"/>
      <c r="AD626" s="290"/>
    </row>
    <row r="627" spans="1:30" ht="25.5">
      <c r="A627" s="291" t="str">
        <f t="shared" si="40"/>
        <v/>
      </c>
      <c r="B627" s="291" t="s">
        <v>2130</v>
      </c>
      <c r="C627" s="291" t="str">
        <f>IF(D626="","",UNIT!$B$1&amp;"-"&amp;B627)</f>
        <v/>
      </c>
      <c r="D627" s="83"/>
      <c r="E627" s="59"/>
      <c r="F627" s="82"/>
      <c r="G627" s="82"/>
      <c r="H627" s="86"/>
      <c r="I627" s="294" t="str">
        <f t="shared" si="41"/>
        <v/>
      </c>
      <c r="J627" s="59"/>
      <c r="K627" s="83"/>
      <c r="L627" s="83" t="str">
        <f t="shared" si="38"/>
        <v xml:space="preserve">
</v>
      </c>
      <c r="M627" s="83"/>
      <c r="N627" s="59"/>
      <c r="O627" s="59"/>
      <c r="P627" s="86" t="e">
        <f t="shared" si="39"/>
        <v>#VALUE!</v>
      </c>
      <c r="Q627" s="59"/>
      <c r="R627" s="59"/>
      <c r="S627" s="59"/>
      <c r="T627" s="59"/>
      <c r="U627" s="290"/>
      <c r="V627" s="290"/>
      <c r="W627" s="290"/>
      <c r="X627" s="290"/>
      <c r="Y627" s="290"/>
      <c r="Z627" s="290"/>
      <c r="AA627" s="290"/>
      <c r="AB627" s="290"/>
      <c r="AC627" s="290"/>
      <c r="AD627" s="290"/>
    </row>
    <row r="628" spans="1:30" ht="25.5">
      <c r="A628" s="291" t="str">
        <f t="shared" si="40"/>
        <v/>
      </c>
      <c r="B628" s="291" t="s">
        <v>2131</v>
      </c>
      <c r="C628" s="291" t="str">
        <f>IF(D627="","",UNIT!$B$1&amp;"-"&amp;B628)</f>
        <v/>
      </c>
      <c r="D628" s="83"/>
      <c r="E628" s="59"/>
      <c r="F628" s="82"/>
      <c r="G628" s="82"/>
      <c r="H628" s="86"/>
      <c r="I628" s="294" t="str">
        <f t="shared" si="41"/>
        <v/>
      </c>
      <c r="J628" s="59"/>
      <c r="K628" s="83"/>
      <c r="L628" s="83" t="str">
        <f t="shared" si="38"/>
        <v xml:space="preserve">
</v>
      </c>
      <c r="M628" s="83"/>
      <c r="N628" s="59"/>
      <c r="O628" s="59"/>
      <c r="P628" s="86" t="e">
        <f t="shared" si="39"/>
        <v>#VALUE!</v>
      </c>
      <c r="Q628" s="59"/>
      <c r="R628" s="59"/>
      <c r="S628" s="59"/>
      <c r="T628" s="59"/>
      <c r="U628" s="290"/>
      <c r="V628" s="290"/>
      <c r="W628" s="290"/>
      <c r="X628" s="290"/>
      <c r="Y628" s="290"/>
      <c r="Z628" s="290"/>
      <c r="AA628" s="290"/>
      <c r="AB628" s="290"/>
      <c r="AC628" s="290"/>
      <c r="AD628" s="290"/>
    </row>
    <row r="629" spans="1:30" ht="25.5">
      <c r="A629" s="291" t="str">
        <f t="shared" si="40"/>
        <v/>
      </c>
      <c r="B629" s="291" t="s">
        <v>2132</v>
      </c>
      <c r="C629" s="291" t="str">
        <f>IF(D628="","",UNIT!$B$1&amp;"-"&amp;B629)</f>
        <v/>
      </c>
      <c r="D629" s="83"/>
      <c r="E629" s="59"/>
      <c r="F629" s="82"/>
      <c r="G629" s="82"/>
      <c r="H629" s="86"/>
      <c r="I629" s="294" t="str">
        <f t="shared" si="41"/>
        <v/>
      </c>
      <c r="J629" s="59"/>
      <c r="K629" s="83"/>
      <c r="L629" s="83" t="str">
        <f t="shared" si="38"/>
        <v xml:space="preserve">
</v>
      </c>
      <c r="M629" s="83"/>
      <c r="N629" s="59"/>
      <c r="O629" s="59"/>
      <c r="P629" s="86" t="e">
        <f t="shared" si="39"/>
        <v>#VALUE!</v>
      </c>
      <c r="Q629" s="59"/>
      <c r="R629" s="59"/>
      <c r="S629" s="59"/>
      <c r="T629" s="59"/>
      <c r="U629" s="290"/>
      <c r="V629" s="290"/>
      <c r="W629" s="290"/>
      <c r="X629" s="290"/>
      <c r="Y629" s="290"/>
      <c r="Z629" s="290"/>
      <c r="AA629" s="290"/>
      <c r="AB629" s="290"/>
      <c r="AC629" s="290"/>
      <c r="AD629" s="290"/>
    </row>
    <row r="630" spans="1:30" ht="25.5">
      <c r="A630" s="291" t="str">
        <f t="shared" si="40"/>
        <v/>
      </c>
      <c r="B630" s="291" t="s">
        <v>2133</v>
      </c>
      <c r="C630" s="291" t="str">
        <f>IF(D629="","",UNIT!$B$1&amp;"-"&amp;B630)</f>
        <v/>
      </c>
      <c r="D630" s="83"/>
      <c r="E630" s="59"/>
      <c r="F630" s="82"/>
      <c r="G630" s="82"/>
      <c r="H630" s="86"/>
      <c r="I630" s="294" t="str">
        <f t="shared" si="41"/>
        <v/>
      </c>
      <c r="J630" s="59"/>
      <c r="K630" s="83"/>
      <c r="L630" s="83" t="str">
        <f t="shared" si="38"/>
        <v xml:space="preserve">
</v>
      </c>
      <c r="M630" s="83"/>
      <c r="N630" s="59"/>
      <c r="O630" s="59"/>
      <c r="P630" s="86" t="e">
        <f t="shared" si="39"/>
        <v>#VALUE!</v>
      </c>
      <c r="Q630" s="59"/>
      <c r="R630" s="59"/>
      <c r="S630" s="59"/>
      <c r="T630" s="59"/>
      <c r="U630" s="290"/>
      <c r="V630" s="290"/>
      <c r="W630" s="290"/>
      <c r="X630" s="290"/>
      <c r="Y630" s="290"/>
      <c r="Z630" s="290"/>
      <c r="AA630" s="290"/>
      <c r="AB630" s="290"/>
      <c r="AC630" s="290"/>
      <c r="AD630" s="290"/>
    </row>
    <row r="631" spans="1:30" ht="25.5">
      <c r="A631" s="291" t="str">
        <f t="shared" si="40"/>
        <v/>
      </c>
      <c r="B631" s="291" t="s">
        <v>2134</v>
      </c>
      <c r="C631" s="291" t="str">
        <f>IF(D630="","",UNIT!$B$1&amp;"-"&amp;B631)</f>
        <v/>
      </c>
      <c r="D631" s="83"/>
      <c r="E631" s="59"/>
      <c r="F631" s="82"/>
      <c r="G631" s="82"/>
      <c r="H631" s="86"/>
      <c r="I631" s="294" t="str">
        <f t="shared" si="41"/>
        <v/>
      </c>
      <c r="J631" s="59"/>
      <c r="K631" s="83"/>
      <c r="L631" s="83" t="str">
        <f t="shared" si="38"/>
        <v xml:space="preserve">
</v>
      </c>
      <c r="M631" s="83"/>
      <c r="N631" s="59"/>
      <c r="O631" s="59"/>
      <c r="P631" s="86" t="e">
        <f t="shared" si="39"/>
        <v>#VALUE!</v>
      </c>
      <c r="Q631" s="59"/>
      <c r="R631" s="59"/>
      <c r="S631" s="59"/>
      <c r="T631" s="59"/>
      <c r="U631" s="290"/>
      <c r="V631" s="290"/>
      <c r="W631" s="290"/>
      <c r="X631" s="290"/>
      <c r="Y631" s="290"/>
      <c r="Z631" s="290"/>
      <c r="AA631" s="290"/>
      <c r="AB631" s="290"/>
      <c r="AC631" s="290"/>
      <c r="AD631" s="290"/>
    </row>
    <row r="632" spans="1:30" ht="25.5">
      <c r="A632" s="291" t="str">
        <f t="shared" si="40"/>
        <v/>
      </c>
      <c r="B632" s="291" t="s">
        <v>2135</v>
      </c>
      <c r="C632" s="291" t="str">
        <f>IF(D631="","",UNIT!$B$1&amp;"-"&amp;B632)</f>
        <v/>
      </c>
      <c r="D632" s="83"/>
      <c r="E632" s="59"/>
      <c r="F632" s="82"/>
      <c r="G632" s="82"/>
      <c r="H632" s="86"/>
      <c r="I632" s="294" t="str">
        <f t="shared" si="41"/>
        <v/>
      </c>
      <c r="J632" s="59"/>
      <c r="K632" s="83"/>
      <c r="L632" s="83" t="str">
        <f t="shared" si="38"/>
        <v xml:space="preserve">
</v>
      </c>
      <c r="M632" s="83"/>
      <c r="N632" s="59"/>
      <c r="O632" s="59"/>
      <c r="P632" s="86" t="e">
        <f t="shared" si="39"/>
        <v>#VALUE!</v>
      </c>
      <c r="Q632" s="59"/>
      <c r="R632" s="59"/>
      <c r="S632" s="59"/>
      <c r="T632" s="59"/>
      <c r="U632" s="290"/>
      <c r="V632" s="290"/>
      <c r="W632" s="290"/>
      <c r="X632" s="290"/>
      <c r="Y632" s="290"/>
      <c r="Z632" s="290"/>
      <c r="AA632" s="290"/>
      <c r="AB632" s="290"/>
      <c r="AC632" s="290"/>
      <c r="AD632" s="290"/>
    </row>
    <row r="633" spans="1:30" ht="25.5">
      <c r="A633" s="291" t="str">
        <f t="shared" si="40"/>
        <v/>
      </c>
      <c r="B633" s="291" t="s">
        <v>2136</v>
      </c>
      <c r="C633" s="291" t="str">
        <f>IF(D632="","",UNIT!$B$1&amp;"-"&amp;B633)</f>
        <v/>
      </c>
      <c r="D633" s="83"/>
      <c r="E633" s="59"/>
      <c r="F633" s="82"/>
      <c r="G633" s="82"/>
      <c r="H633" s="86"/>
      <c r="I633" s="294" t="str">
        <f t="shared" si="41"/>
        <v/>
      </c>
      <c r="J633" s="59"/>
      <c r="K633" s="83"/>
      <c r="L633" s="83" t="str">
        <f t="shared" si="38"/>
        <v xml:space="preserve">
</v>
      </c>
      <c r="M633" s="83"/>
      <c r="N633" s="59"/>
      <c r="O633" s="59"/>
      <c r="P633" s="86" t="e">
        <f t="shared" si="39"/>
        <v>#VALUE!</v>
      </c>
      <c r="Q633" s="59"/>
      <c r="R633" s="59"/>
      <c r="S633" s="59"/>
      <c r="T633" s="59"/>
      <c r="U633" s="290"/>
      <c r="V633" s="290"/>
      <c r="W633" s="290"/>
      <c r="X633" s="290"/>
      <c r="Y633" s="290"/>
      <c r="Z633" s="290"/>
      <c r="AA633" s="290"/>
      <c r="AB633" s="290"/>
      <c r="AC633" s="290"/>
      <c r="AD633" s="290"/>
    </row>
    <row r="634" spans="1:30" ht="25.5">
      <c r="A634" s="291" t="str">
        <f t="shared" si="40"/>
        <v/>
      </c>
      <c r="B634" s="291" t="s">
        <v>2137</v>
      </c>
      <c r="C634" s="291" t="str">
        <f>IF(D633="","",UNIT!$B$1&amp;"-"&amp;B634)</f>
        <v/>
      </c>
      <c r="D634" s="83"/>
      <c r="E634" s="59"/>
      <c r="F634" s="82"/>
      <c r="G634" s="82"/>
      <c r="H634" s="86"/>
      <c r="I634" s="294" t="str">
        <f t="shared" si="41"/>
        <v/>
      </c>
      <c r="J634" s="59"/>
      <c r="K634" s="83"/>
      <c r="L634" s="83" t="str">
        <f t="shared" si="38"/>
        <v xml:space="preserve">
</v>
      </c>
      <c r="M634" s="83"/>
      <c r="N634" s="59"/>
      <c r="O634" s="59"/>
      <c r="P634" s="86" t="e">
        <f t="shared" si="39"/>
        <v>#VALUE!</v>
      </c>
      <c r="Q634" s="59"/>
      <c r="R634" s="59"/>
      <c r="S634" s="59"/>
      <c r="T634" s="59"/>
      <c r="U634" s="290"/>
      <c r="V634" s="290"/>
      <c r="W634" s="290"/>
      <c r="X634" s="290"/>
      <c r="Y634" s="290"/>
      <c r="Z634" s="290"/>
      <c r="AA634" s="290"/>
      <c r="AB634" s="290"/>
      <c r="AC634" s="290"/>
      <c r="AD634" s="290"/>
    </row>
    <row r="635" spans="1:30" ht="25.5">
      <c r="A635" s="291" t="str">
        <f t="shared" si="40"/>
        <v/>
      </c>
      <c r="B635" s="291" t="s">
        <v>2138</v>
      </c>
      <c r="C635" s="291" t="str">
        <f>IF(D634="","",UNIT!$B$1&amp;"-"&amp;B635)</f>
        <v/>
      </c>
      <c r="D635" s="83"/>
      <c r="E635" s="59"/>
      <c r="F635" s="82"/>
      <c r="G635" s="82"/>
      <c r="H635" s="86"/>
      <c r="I635" s="294" t="str">
        <f t="shared" si="41"/>
        <v/>
      </c>
      <c r="J635" s="59"/>
      <c r="K635" s="83"/>
      <c r="L635" s="83" t="str">
        <f t="shared" si="38"/>
        <v xml:space="preserve">
</v>
      </c>
      <c r="M635" s="83"/>
      <c r="N635" s="59"/>
      <c r="O635" s="59"/>
      <c r="P635" s="86" t="e">
        <f t="shared" si="39"/>
        <v>#VALUE!</v>
      </c>
      <c r="Q635" s="59"/>
      <c r="R635" s="59"/>
      <c r="S635" s="59"/>
      <c r="T635" s="59"/>
      <c r="U635" s="290"/>
      <c r="V635" s="290"/>
      <c r="W635" s="290"/>
      <c r="X635" s="290"/>
      <c r="Y635" s="290"/>
      <c r="Z635" s="290"/>
      <c r="AA635" s="290"/>
      <c r="AB635" s="290"/>
      <c r="AC635" s="290"/>
      <c r="AD635" s="290"/>
    </row>
    <row r="636" spans="1:30" ht="25.5">
      <c r="A636" s="291" t="str">
        <f t="shared" si="40"/>
        <v/>
      </c>
      <c r="B636" s="291" t="s">
        <v>2139</v>
      </c>
      <c r="C636" s="291" t="str">
        <f>IF(D635="","",UNIT!$B$1&amp;"-"&amp;B636)</f>
        <v/>
      </c>
      <c r="D636" s="83"/>
      <c r="E636" s="59"/>
      <c r="F636" s="82"/>
      <c r="G636" s="82"/>
      <c r="H636" s="86"/>
      <c r="I636" s="294" t="str">
        <f t="shared" si="41"/>
        <v/>
      </c>
      <c r="J636" s="59"/>
      <c r="K636" s="83"/>
      <c r="L636" s="83" t="str">
        <f t="shared" si="38"/>
        <v xml:space="preserve">
</v>
      </c>
      <c r="M636" s="83"/>
      <c r="N636" s="59"/>
      <c r="O636" s="59"/>
      <c r="P636" s="86" t="e">
        <f t="shared" si="39"/>
        <v>#VALUE!</v>
      </c>
      <c r="Q636" s="59"/>
      <c r="R636" s="59"/>
      <c r="S636" s="59"/>
      <c r="T636" s="59"/>
      <c r="U636" s="290"/>
      <c r="V636" s="290"/>
      <c r="W636" s="290"/>
      <c r="X636" s="290"/>
      <c r="Y636" s="290"/>
      <c r="Z636" s="290"/>
      <c r="AA636" s="290"/>
      <c r="AB636" s="290"/>
      <c r="AC636" s="290"/>
      <c r="AD636" s="290"/>
    </row>
    <row r="637" spans="1:30" ht="25.5">
      <c r="A637" s="291" t="str">
        <f t="shared" si="40"/>
        <v/>
      </c>
      <c r="B637" s="291" t="s">
        <v>2140</v>
      </c>
      <c r="C637" s="291" t="str">
        <f>IF(D636="","",UNIT!$B$1&amp;"-"&amp;B637)</f>
        <v/>
      </c>
      <c r="D637" s="83"/>
      <c r="E637" s="59"/>
      <c r="F637" s="82"/>
      <c r="G637" s="82"/>
      <c r="H637" s="86"/>
      <c r="I637" s="294" t="str">
        <f t="shared" si="41"/>
        <v/>
      </c>
      <c r="J637" s="59"/>
      <c r="K637" s="83"/>
      <c r="L637" s="83" t="str">
        <f t="shared" si="38"/>
        <v xml:space="preserve">
</v>
      </c>
      <c r="M637" s="83"/>
      <c r="N637" s="59"/>
      <c r="O637" s="59"/>
      <c r="P637" s="86" t="e">
        <f t="shared" si="39"/>
        <v>#VALUE!</v>
      </c>
      <c r="Q637" s="59"/>
      <c r="R637" s="59"/>
      <c r="S637" s="59"/>
      <c r="T637" s="59"/>
      <c r="U637" s="290"/>
      <c r="V637" s="290"/>
      <c r="W637" s="290"/>
      <c r="X637" s="290"/>
      <c r="Y637" s="290"/>
      <c r="Z637" s="290"/>
      <c r="AA637" s="290"/>
      <c r="AB637" s="290"/>
      <c r="AC637" s="290"/>
      <c r="AD637" s="290"/>
    </row>
    <row r="638" spans="1:30" ht="25.5">
      <c r="A638" s="291" t="str">
        <f t="shared" si="40"/>
        <v/>
      </c>
      <c r="B638" s="291" t="s">
        <v>2141</v>
      </c>
      <c r="C638" s="291" t="str">
        <f>IF(D637="","",UNIT!$B$1&amp;"-"&amp;B638)</f>
        <v/>
      </c>
      <c r="D638" s="83"/>
      <c r="E638" s="59"/>
      <c r="F638" s="82"/>
      <c r="G638" s="82"/>
      <c r="H638" s="86"/>
      <c r="I638" s="294" t="str">
        <f t="shared" si="41"/>
        <v/>
      </c>
      <c r="J638" s="59"/>
      <c r="K638" s="83"/>
      <c r="L638" s="83" t="str">
        <f t="shared" si="38"/>
        <v xml:space="preserve">
</v>
      </c>
      <c r="M638" s="83"/>
      <c r="N638" s="59"/>
      <c r="O638" s="59"/>
      <c r="P638" s="86" t="e">
        <f t="shared" si="39"/>
        <v>#VALUE!</v>
      </c>
      <c r="Q638" s="59"/>
      <c r="R638" s="59"/>
      <c r="S638" s="59"/>
      <c r="T638" s="59"/>
      <c r="U638" s="290"/>
      <c r="V638" s="290"/>
      <c r="W638" s="290"/>
      <c r="X638" s="290"/>
      <c r="Y638" s="290"/>
      <c r="Z638" s="290"/>
      <c r="AA638" s="290"/>
      <c r="AB638" s="290"/>
      <c r="AC638" s="290"/>
      <c r="AD638" s="290"/>
    </row>
    <row r="639" spans="1:30" ht="25.5">
      <c r="A639" s="291" t="str">
        <f t="shared" si="40"/>
        <v/>
      </c>
      <c r="B639" s="291" t="s">
        <v>2142</v>
      </c>
      <c r="C639" s="291" t="str">
        <f>IF(D638="","",UNIT!$B$1&amp;"-"&amp;B639)</f>
        <v/>
      </c>
      <c r="D639" s="83"/>
      <c r="E639" s="59"/>
      <c r="F639" s="82"/>
      <c r="G639" s="82"/>
      <c r="H639" s="86"/>
      <c r="I639" s="294" t="str">
        <f t="shared" si="41"/>
        <v/>
      </c>
      <c r="J639" s="59"/>
      <c r="K639" s="83"/>
      <c r="L639" s="83" t="str">
        <f t="shared" si="38"/>
        <v xml:space="preserve">
</v>
      </c>
      <c r="M639" s="83"/>
      <c r="N639" s="59"/>
      <c r="O639" s="59"/>
      <c r="P639" s="86" t="e">
        <f t="shared" si="39"/>
        <v>#VALUE!</v>
      </c>
      <c r="Q639" s="59"/>
      <c r="R639" s="59"/>
      <c r="S639" s="59"/>
      <c r="T639" s="59"/>
      <c r="U639" s="290"/>
      <c r="V639" s="290"/>
      <c r="W639" s="290"/>
      <c r="X639" s="290"/>
      <c r="Y639" s="290"/>
      <c r="Z639" s="290"/>
      <c r="AA639" s="290"/>
      <c r="AB639" s="290"/>
      <c r="AC639" s="290"/>
      <c r="AD639" s="290"/>
    </row>
    <row r="640" spans="1:30" ht="25.5">
      <c r="A640" s="291" t="str">
        <f t="shared" si="40"/>
        <v/>
      </c>
      <c r="B640" s="291" t="s">
        <v>2143</v>
      </c>
      <c r="C640" s="291" t="str">
        <f>IF(D639="","",UNIT!$B$1&amp;"-"&amp;B640)</f>
        <v/>
      </c>
      <c r="D640" s="83"/>
      <c r="E640" s="59"/>
      <c r="F640" s="82"/>
      <c r="G640" s="82"/>
      <c r="H640" s="86"/>
      <c r="I640" s="294" t="str">
        <f t="shared" si="41"/>
        <v/>
      </c>
      <c r="J640" s="59"/>
      <c r="K640" s="83"/>
      <c r="L640" s="83" t="str">
        <f t="shared" si="38"/>
        <v xml:space="preserve">
</v>
      </c>
      <c r="M640" s="83"/>
      <c r="N640" s="59"/>
      <c r="O640" s="59"/>
      <c r="P640" s="86" t="e">
        <f t="shared" si="39"/>
        <v>#VALUE!</v>
      </c>
      <c r="Q640" s="59"/>
      <c r="R640" s="59"/>
      <c r="S640" s="59"/>
      <c r="T640" s="59"/>
      <c r="U640" s="290"/>
      <c r="V640" s="290"/>
      <c r="W640" s="290"/>
      <c r="X640" s="290"/>
      <c r="Y640" s="290"/>
      <c r="Z640" s="290"/>
      <c r="AA640" s="290"/>
      <c r="AB640" s="290"/>
      <c r="AC640" s="290"/>
      <c r="AD640" s="290"/>
    </row>
    <row r="641" spans="1:30" ht="25.5">
      <c r="A641" s="291" t="str">
        <f t="shared" si="40"/>
        <v/>
      </c>
      <c r="B641" s="291" t="s">
        <v>2144</v>
      </c>
      <c r="C641" s="291" t="str">
        <f>IF(D640="","",UNIT!$B$1&amp;"-"&amp;B641)</f>
        <v/>
      </c>
      <c r="D641" s="83"/>
      <c r="E641" s="59"/>
      <c r="F641" s="82"/>
      <c r="G641" s="82"/>
      <c r="H641" s="86"/>
      <c r="I641" s="294" t="str">
        <f t="shared" si="41"/>
        <v/>
      </c>
      <c r="J641" s="59"/>
      <c r="K641" s="83"/>
      <c r="L641" s="83" t="str">
        <f t="shared" si="38"/>
        <v xml:space="preserve">
</v>
      </c>
      <c r="M641" s="83"/>
      <c r="N641" s="59"/>
      <c r="O641" s="59"/>
      <c r="P641" s="86" t="e">
        <f t="shared" si="39"/>
        <v>#VALUE!</v>
      </c>
      <c r="Q641" s="59"/>
      <c r="R641" s="59"/>
      <c r="S641" s="59"/>
      <c r="T641" s="59"/>
      <c r="U641" s="290"/>
      <c r="V641" s="290"/>
      <c r="W641" s="290"/>
      <c r="X641" s="290"/>
      <c r="Y641" s="290"/>
      <c r="Z641" s="290"/>
      <c r="AA641" s="290"/>
      <c r="AB641" s="290"/>
      <c r="AC641" s="290"/>
      <c r="AD641" s="290"/>
    </row>
    <row r="642" spans="1:30" ht="25.5">
      <c r="A642" s="291" t="str">
        <f t="shared" si="40"/>
        <v/>
      </c>
      <c r="B642" s="291" t="s">
        <v>2145</v>
      </c>
      <c r="C642" s="291" t="str">
        <f>IF(D641="","",UNIT!$B$1&amp;"-"&amp;B642)</f>
        <v/>
      </c>
      <c r="D642" s="83"/>
      <c r="E642" s="59"/>
      <c r="F642" s="82"/>
      <c r="G642" s="82"/>
      <c r="H642" s="86"/>
      <c r="I642" s="294" t="str">
        <f t="shared" si="41"/>
        <v/>
      </c>
      <c r="J642" s="59"/>
      <c r="K642" s="83"/>
      <c r="L642" s="83" t="str">
        <f t="shared" si="38"/>
        <v xml:space="preserve">
</v>
      </c>
      <c r="M642" s="83"/>
      <c r="N642" s="59"/>
      <c r="O642" s="59"/>
      <c r="P642" s="86" t="e">
        <f t="shared" si="39"/>
        <v>#VALUE!</v>
      </c>
      <c r="Q642" s="59"/>
      <c r="R642" s="59"/>
      <c r="S642" s="59"/>
      <c r="T642" s="59"/>
      <c r="U642" s="290"/>
      <c r="V642" s="290"/>
      <c r="W642" s="290"/>
      <c r="X642" s="290"/>
      <c r="Y642" s="290"/>
      <c r="Z642" s="290"/>
      <c r="AA642" s="290"/>
      <c r="AB642" s="290"/>
      <c r="AC642" s="290"/>
      <c r="AD642" s="290"/>
    </row>
    <row r="643" spans="1:30" ht="25.5">
      <c r="A643" s="291" t="str">
        <f t="shared" si="40"/>
        <v/>
      </c>
      <c r="B643" s="291" t="s">
        <v>2146</v>
      </c>
      <c r="C643" s="291" t="str">
        <f>IF(D642="","",UNIT!$B$1&amp;"-"&amp;B643)</f>
        <v/>
      </c>
      <c r="D643" s="83"/>
      <c r="E643" s="59"/>
      <c r="F643" s="82"/>
      <c r="G643" s="82"/>
      <c r="H643" s="86"/>
      <c r="I643" s="294" t="str">
        <f t="shared" si="41"/>
        <v/>
      </c>
      <c r="J643" s="59"/>
      <c r="K643" s="83"/>
      <c r="L643" s="83" t="str">
        <f t="shared" si="38"/>
        <v xml:space="preserve">
</v>
      </c>
      <c r="M643" s="83"/>
      <c r="N643" s="59"/>
      <c r="O643" s="59"/>
      <c r="P643" s="86" t="e">
        <f t="shared" si="39"/>
        <v>#VALUE!</v>
      </c>
      <c r="Q643" s="59"/>
      <c r="R643" s="59"/>
      <c r="S643" s="59"/>
      <c r="T643" s="59"/>
      <c r="U643" s="290"/>
      <c r="V643" s="290"/>
      <c r="W643" s="290"/>
      <c r="X643" s="290"/>
      <c r="Y643" s="290"/>
      <c r="Z643" s="290"/>
      <c r="AA643" s="290"/>
      <c r="AB643" s="290"/>
      <c r="AC643" s="290"/>
      <c r="AD643" s="290"/>
    </row>
    <row r="644" spans="1:30" ht="25.5">
      <c r="A644" s="291" t="str">
        <f t="shared" si="40"/>
        <v/>
      </c>
      <c r="B644" s="291" t="s">
        <v>2147</v>
      </c>
      <c r="C644" s="291" t="str">
        <f>IF(D643="","",UNIT!$B$1&amp;"-"&amp;B644)</f>
        <v/>
      </c>
      <c r="D644" s="83"/>
      <c r="E644" s="59"/>
      <c r="F644" s="82"/>
      <c r="G644" s="82"/>
      <c r="H644" s="86"/>
      <c r="I644" s="294" t="str">
        <f t="shared" si="41"/>
        <v/>
      </c>
      <c r="J644" s="59"/>
      <c r="K644" s="83"/>
      <c r="L644" s="83" t="str">
        <f t="shared" si="38"/>
        <v xml:space="preserve">
</v>
      </c>
      <c r="M644" s="83"/>
      <c r="N644" s="59"/>
      <c r="O644" s="59"/>
      <c r="P644" s="86" t="e">
        <f t="shared" si="39"/>
        <v>#VALUE!</v>
      </c>
      <c r="Q644" s="59"/>
      <c r="R644" s="59"/>
      <c r="S644" s="59"/>
      <c r="T644" s="59"/>
      <c r="U644" s="290"/>
      <c r="V644" s="290"/>
      <c r="W644" s="290"/>
      <c r="X644" s="290"/>
      <c r="Y644" s="290"/>
      <c r="Z644" s="290"/>
      <c r="AA644" s="290"/>
      <c r="AB644" s="290"/>
      <c r="AC644" s="290"/>
      <c r="AD644" s="290"/>
    </row>
    <row r="645" spans="1:30" ht="25.5">
      <c r="A645" s="291" t="str">
        <f t="shared" si="40"/>
        <v/>
      </c>
      <c r="B645" s="291" t="s">
        <v>2148</v>
      </c>
      <c r="C645" s="291" t="str">
        <f>IF(D644="","",UNIT!$B$1&amp;"-"&amp;B645)</f>
        <v/>
      </c>
      <c r="D645" s="83"/>
      <c r="E645" s="59"/>
      <c r="F645" s="82"/>
      <c r="G645" s="82"/>
      <c r="H645" s="86"/>
      <c r="I645" s="294" t="str">
        <f t="shared" si="41"/>
        <v/>
      </c>
      <c r="J645" s="59"/>
      <c r="K645" s="83"/>
      <c r="L645" s="83" t="str">
        <f t="shared" si="38"/>
        <v xml:space="preserve">
</v>
      </c>
      <c r="M645" s="83"/>
      <c r="N645" s="59"/>
      <c r="O645" s="59"/>
      <c r="P645" s="86" t="e">
        <f t="shared" si="39"/>
        <v>#VALUE!</v>
      </c>
      <c r="Q645" s="59"/>
      <c r="R645" s="59"/>
      <c r="S645" s="59"/>
      <c r="T645" s="59"/>
      <c r="U645" s="290"/>
      <c r="V645" s="290"/>
      <c r="W645" s="290"/>
      <c r="X645" s="290"/>
      <c r="Y645" s="290"/>
      <c r="Z645" s="290"/>
      <c r="AA645" s="290"/>
      <c r="AB645" s="290"/>
      <c r="AC645" s="290"/>
      <c r="AD645" s="290"/>
    </row>
    <row r="646" spans="1:30" ht="25.5">
      <c r="A646" s="291" t="str">
        <f t="shared" si="40"/>
        <v/>
      </c>
      <c r="B646" s="291" t="s">
        <v>2149</v>
      </c>
      <c r="C646" s="291" t="str">
        <f>IF(D645="","",UNIT!$B$1&amp;"-"&amp;B646)</f>
        <v/>
      </c>
      <c r="D646" s="83"/>
      <c r="E646" s="59"/>
      <c r="F646" s="82"/>
      <c r="G646" s="82"/>
      <c r="H646" s="86"/>
      <c r="I646" s="294" t="str">
        <f t="shared" si="41"/>
        <v/>
      </c>
      <c r="J646" s="59"/>
      <c r="K646" s="83"/>
      <c r="L646" s="83" t="str">
        <f t="shared" si="38"/>
        <v xml:space="preserve">
</v>
      </c>
      <c r="M646" s="83"/>
      <c r="N646" s="59"/>
      <c r="O646" s="59"/>
      <c r="P646" s="86" t="e">
        <f t="shared" si="39"/>
        <v>#VALUE!</v>
      </c>
      <c r="Q646" s="59"/>
      <c r="R646" s="59"/>
      <c r="S646" s="59"/>
      <c r="T646" s="59"/>
      <c r="U646" s="290"/>
      <c r="V646" s="290"/>
      <c r="W646" s="290"/>
      <c r="X646" s="290"/>
      <c r="Y646" s="290"/>
      <c r="Z646" s="290"/>
      <c r="AA646" s="290"/>
      <c r="AB646" s="290"/>
      <c r="AC646" s="290"/>
      <c r="AD646" s="290"/>
    </row>
    <row r="647" spans="1:30" ht="25.5">
      <c r="A647" s="291" t="str">
        <f t="shared" si="40"/>
        <v/>
      </c>
      <c r="B647" s="291" t="s">
        <v>2150</v>
      </c>
      <c r="C647" s="291" t="str">
        <f>IF(D646="","",UNIT!$B$1&amp;"-"&amp;B647)</f>
        <v/>
      </c>
      <c r="D647" s="83"/>
      <c r="E647" s="59"/>
      <c r="F647" s="82"/>
      <c r="G647" s="82"/>
      <c r="H647" s="86"/>
      <c r="I647" s="294" t="str">
        <f t="shared" si="41"/>
        <v/>
      </c>
      <c r="J647" s="59"/>
      <c r="K647" s="83"/>
      <c r="L647" s="83" t="str">
        <f t="shared" si="38"/>
        <v xml:space="preserve">
</v>
      </c>
      <c r="M647" s="83"/>
      <c r="N647" s="59"/>
      <c r="O647" s="59"/>
      <c r="P647" s="86" t="e">
        <f t="shared" si="39"/>
        <v>#VALUE!</v>
      </c>
      <c r="Q647" s="59"/>
      <c r="R647" s="59"/>
      <c r="S647" s="59"/>
      <c r="T647" s="59"/>
      <c r="U647" s="290"/>
      <c r="V647" s="290"/>
      <c r="W647" s="290"/>
      <c r="X647" s="290"/>
      <c r="Y647" s="290"/>
      <c r="Z647" s="290"/>
      <c r="AA647" s="290"/>
      <c r="AB647" s="290"/>
      <c r="AC647" s="290"/>
      <c r="AD647" s="290"/>
    </row>
    <row r="648" spans="1:30" ht="25.5">
      <c r="A648" s="291" t="str">
        <f t="shared" si="40"/>
        <v/>
      </c>
      <c r="B648" s="291" t="s">
        <v>2151</v>
      </c>
      <c r="C648" s="291" t="str">
        <f>IF(D647="","",UNIT!$B$1&amp;"-"&amp;B648)</f>
        <v/>
      </c>
      <c r="D648" s="83"/>
      <c r="E648" s="59"/>
      <c r="F648" s="82"/>
      <c r="G648" s="82"/>
      <c r="H648" s="86"/>
      <c r="I648" s="294" t="str">
        <f t="shared" si="41"/>
        <v/>
      </c>
      <c r="J648" s="59"/>
      <c r="K648" s="83"/>
      <c r="L648" s="83" t="str">
        <f t="shared" si="38"/>
        <v xml:space="preserve">
</v>
      </c>
      <c r="M648" s="83"/>
      <c r="N648" s="59"/>
      <c r="O648" s="59"/>
      <c r="P648" s="86" t="e">
        <f t="shared" si="39"/>
        <v>#VALUE!</v>
      </c>
      <c r="Q648" s="59"/>
      <c r="R648" s="59"/>
      <c r="S648" s="59"/>
      <c r="T648" s="59"/>
      <c r="U648" s="290"/>
      <c r="V648" s="290"/>
      <c r="W648" s="290"/>
      <c r="X648" s="290"/>
      <c r="Y648" s="290"/>
      <c r="Z648" s="290"/>
      <c r="AA648" s="290"/>
      <c r="AB648" s="290"/>
      <c r="AC648" s="290"/>
      <c r="AD648" s="290"/>
    </row>
    <row r="649" spans="1:30" ht="25.5">
      <c r="A649" s="291" t="str">
        <f t="shared" si="40"/>
        <v/>
      </c>
      <c r="B649" s="291" t="s">
        <v>2152</v>
      </c>
      <c r="C649" s="291" t="str">
        <f>IF(D648="","",UNIT!$B$1&amp;"-"&amp;B649)</f>
        <v/>
      </c>
      <c r="D649" s="83"/>
      <c r="E649" s="59"/>
      <c r="F649" s="82"/>
      <c r="G649" s="82"/>
      <c r="H649" s="86"/>
      <c r="I649" s="294" t="str">
        <f t="shared" si="41"/>
        <v/>
      </c>
      <c r="J649" s="59"/>
      <c r="K649" s="83"/>
      <c r="L649" s="83" t="str">
        <f t="shared" si="38"/>
        <v xml:space="preserve">
</v>
      </c>
      <c r="M649" s="83"/>
      <c r="N649" s="59"/>
      <c r="O649" s="59"/>
      <c r="P649" s="86" t="e">
        <f t="shared" si="39"/>
        <v>#VALUE!</v>
      </c>
      <c r="Q649" s="59"/>
      <c r="R649" s="59"/>
      <c r="S649" s="59"/>
      <c r="T649" s="59"/>
      <c r="U649" s="290"/>
      <c r="V649" s="290"/>
      <c r="W649" s="290"/>
      <c r="X649" s="290"/>
      <c r="Y649" s="290"/>
      <c r="Z649" s="290"/>
      <c r="AA649" s="290"/>
      <c r="AB649" s="290"/>
      <c r="AC649" s="290"/>
      <c r="AD649" s="290"/>
    </row>
    <row r="650" spans="1:30" ht="25.5">
      <c r="A650" s="291" t="str">
        <f t="shared" si="40"/>
        <v/>
      </c>
      <c r="B650" s="291" t="s">
        <v>2153</v>
      </c>
      <c r="C650" s="291" t="str">
        <f>IF(D649="","",UNIT!$B$1&amp;"-"&amp;B650)</f>
        <v/>
      </c>
      <c r="D650" s="83"/>
      <c r="E650" s="59"/>
      <c r="F650" s="82"/>
      <c r="G650" s="82"/>
      <c r="H650" s="86"/>
      <c r="I650" s="294" t="str">
        <f t="shared" si="41"/>
        <v/>
      </c>
      <c r="J650" s="59"/>
      <c r="K650" s="83"/>
      <c r="L650" s="83" t="str">
        <f t="shared" si="38"/>
        <v xml:space="preserve">
</v>
      </c>
      <c r="M650" s="83"/>
      <c r="N650" s="59"/>
      <c r="O650" s="59"/>
      <c r="P650" s="86" t="e">
        <f t="shared" si="39"/>
        <v>#VALUE!</v>
      </c>
      <c r="Q650" s="59"/>
      <c r="R650" s="59"/>
      <c r="S650" s="59"/>
      <c r="T650" s="59"/>
      <c r="U650" s="290"/>
      <c r="V650" s="290"/>
      <c r="W650" s="290"/>
      <c r="X650" s="290"/>
      <c r="Y650" s="290"/>
      <c r="Z650" s="290"/>
      <c r="AA650" s="290"/>
      <c r="AB650" s="290"/>
      <c r="AC650" s="290"/>
      <c r="AD650" s="290"/>
    </row>
    <row r="651" spans="1:30" ht="25.5">
      <c r="A651" s="291" t="str">
        <f t="shared" si="40"/>
        <v/>
      </c>
      <c r="B651" s="291" t="s">
        <v>2154</v>
      </c>
      <c r="C651" s="291" t="str">
        <f>IF(D650="","",UNIT!$B$1&amp;"-"&amp;B651)</f>
        <v/>
      </c>
      <c r="D651" s="83"/>
      <c r="E651" s="59"/>
      <c r="F651" s="82"/>
      <c r="G651" s="82"/>
      <c r="H651" s="86"/>
      <c r="I651" s="294" t="str">
        <f t="shared" si="41"/>
        <v/>
      </c>
      <c r="J651" s="59"/>
      <c r="K651" s="83"/>
      <c r="L651" s="83" t="str">
        <f t="shared" si="38"/>
        <v xml:space="preserve">
</v>
      </c>
      <c r="M651" s="83"/>
      <c r="N651" s="59"/>
      <c r="O651" s="59"/>
      <c r="P651" s="86" t="e">
        <f t="shared" si="39"/>
        <v>#VALUE!</v>
      </c>
      <c r="Q651" s="59"/>
      <c r="R651" s="59"/>
      <c r="S651" s="59"/>
      <c r="T651" s="59"/>
      <c r="U651" s="290"/>
      <c r="V651" s="290"/>
      <c r="W651" s="290"/>
      <c r="X651" s="290"/>
      <c r="Y651" s="290"/>
      <c r="Z651" s="290"/>
      <c r="AA651" s="290"/>
      <c r="AB651" s="290"/>
      <c r="AC651" s="290"/>
      <c r="AD651" s="290"/>
    </row>
    <row r="652" spans="1:30" ht="25.5">
      <c r="A652" s="291" t="str">
        <f t="shared" si="40"/>
        <v/>
      </c>
      <c r="B652" s="291" t="s">
        <v>2155</v>
      </c>
      <c r="C652" s="291" t="str">
        <f>IF(D651="","",UNIT!$B$1&amp;"-"&amp;B652)</f>
        <v/>
      </c>
      <c r="D652" s="83"/>
      <c r="E652" s="59"/>
      <c r="F652" s="82"/>
      <c r="G652" s="82"/>
      <c r="H652" s="86"/>
      <c r="I652" s="294" t="str">
        <f t="shared" si="41"/>
        <v/>
      </c>
      <c r="J652" s="59"/>
      <c r="K652" s="83"/>
      <c r="L652" s="83" t="str">
        <f t="shared" si="38"/>
        <v xml:space="preserve">
</v>
      </c>
      <c r="M652" s="83"/>
      <c r="N652" s="59"/>
      <c r="O652" s="59"/>
      <c r="P652" s="86" t="e">
        <f t="shared" si="39"/>
        <v>#VALUE!</v>
      </c>
      <c r="Q652" s="59"/>
      <c r="R652" s="59"/>
      <c r="S652" s="59"/>
      <c r="T652" s="59"/>
      <c r="U652" s="290"/>
      <c r="V652" s="290"/>
      <c r="W652" s="290"/>
      <c r="X652" s="290"/>
      <c r="Y652" s="290"/>
      <c r="Z652" s="290"/>
      <c r="AA652" s="290"/>
      <c r="AB652" s="290"/>
      <c r="AC652" s="290"/>
      <c r="AD652" s="290"/>
    </row>
    <row r="653" spans="1:30" ht="25.5">
      <c r="A653" s="291" t="str">
        <f t="shared" si="40"/>
        <v/>
      </c>
      <c r="B653" s="291" t="s">
        <v>2156</v>
      </c>
      <c r="C653" s="291" t="str">
        <f>IF(D652="","",UNIT!$B$1&amp;"-"&amp;B653)</f>
        <v/>
      </c>
      <c r="D653" s="83"/>
      <c r="E653" s="59"/>
      <c r="F653" s="82"/>
      <c r="G653" s="82"/>
      <c r="H653" s="86"/>
      <c r="I653" s="294" t="str">
        <f t="shared" si="41"/>
        <v/>
      </c>
      <c r="J653" s="59"/>
      <c r="K653" s="83"/>
      <c r="L653" s="83" t="str">
        <f t="shared" si="38"/>
        <v xml:space="preserve">
</v>
      </c>
      <c r="M653" s="83"/>
      <c r="N653" s="59"/>
      <c r="O653" s="59"/>
      <c r="P653" s="86" t="e">
        <f t="shared" si="39"/>
        <v>#VALUE!</v>
      </c>
      <c r="Q653" s="59"/>
      <c r="R653" s="59"/>
      <c r="S653" s="59"/>
      <c r="T653" s="59"/>
      <c r="U653" s="290"/>
      <c r="V653" s="290"/>
      <c r="W653" s="290"/>
      <c r="X653" s="290"/>
      <c r="Y653" s="290"/>
      <c r="Z653" s="290"/>
      <c r="AA653" s="290"/>
      <c r="AB653" s="290"/>
      <c r="AC653" s="290"/>
      <c r="AD653" s="290"/>
    </row>
    <row r="654" spans="1:30" ht="25.5">
      <c r="A654" s="291" t="str">
        <f t="shared" si="40"/>
        <v/>
      </c>
      <c r="B654" s="291" t="s">
        <v>2157</v>
      </c>
      <c r="C654" s="291" t="str">
        <f>IF(D653="","",UNIT!$B$1&amp;"-"&amp;B654)</f>
        <v/>
      </c>
      <c r="D654" s="83"/>
      <c r="E654" s="59"/>
      <c r="F654" s="82"/>
      <c r="G654" s="82"/>
      <c r="H654" s="86"/>
      <c r="I654" s="294" t="str">
        <f t="shared" si="41"/>
        <v/>
      </c>
      <c r="J654" s="59"/>
      <c r="K654" s="83"/>
      <c r="L654" s="83" t="str">
        <f t="shared" si="38"/>
        <v xml:space="preserve">
</v>
      </c>
      <c r="M654" s="83"/>
      <c r="N654" s="59"/>
      <c r="O654" s="59"/>
      <c r="P654" s="86" t="e">
        <f t="shared" si="39"/>
        <v>#VALUE!</v>
      </c>
      <c r="Q654" s="59"/>
      <c r="R654" s="59"/>
      <c r="S654" s="59"/>
      <c r="T654" s="59"/>
      <c r="U654" s="290"/>
      <c r="V654" s="290"/>
      <c r="W654" s="290"/>
      <c r="X654" s="290"/>
      <c r="Y654" s="290"/>
      <c r="Z654" s="290"/>
      <c r="AA654" s="290"/>
      <c r="AB654" s="290"/>
      <c r="AC654" s="290"/>
      <c r="AD654" s="290"/>
    </row>
    <row r="655" spans="1:30" ht="25.5">
      <c r="A655" s="291" t="str">
        <f t="shared" si="40"/>
        <v/>
      </c>
      <c r="B655" s="291" t="s">
        <v>2158</v>
      </c>
      <c r="C655" s="291" t="str">
        <f>IF(D654="","",UNIT!$B$1&amp;"-"&amp;B655)</f>
        <v/>
      </c>
      <c r="D655" s="83"/>
      <c r="E655" s="59"/>
      <c r="F655" s="82"/>
      <c r="G655" s="82"/>
      <c r="H655" s="86"/>
      <c r="I655" s="294" t="str">
        <f t="shared" si="41"/>
        <v/>
      </c>
      <c r="J655" s="59"/>
      <c r="K655" s="83"/>
      <c r="L655" s="83" t="str">
        <f t="shared" si="38"/>
        <v xml:space="preserve">
</v>
      </c>
      <c r="M655" s="83"/>
      <c r="N655" s="59"/>
      <c r="O655" s="59"/>
      <c r="P655" s="86" t="e">
        <f t="shared" si="39"/>
        <v>#VALUE!</v>
      </c>
      <c r="Q655" s="59"/>
      <c r="R655" s="59"/>
      <c r="S655" s="59"/>
      <c r="T655" s="59"/>
      <c r="U655" s="290"/>
      <c r="V655" s="290"/>
      <c r="W655" s="290"/>
      <c r="X655" s="290"/>
      <c r="Y655" s="290"/>
      <c r="Z655" s="290"/>
      <c r="AA655" s="290"/>
      <c r="AB655" s="290"/>
      <c r="AC655" s="290"/>
      <c r="AD655" s="290"/>
    </row>
    <row r="656" spans="1:30" ht="25.5">
      <c r="A656" s="291" t="str">
        <f t="shared" si="40"/>
        <v/>
      </c>
      <c r="B656" s="291" t="s">
        <v>2159</v>
      </c>
      <c r="C656" s="291" t="str">
        <f>IF(D655="","",UNIT!$B$1&amp;"-"&amp;B656)</f>
        <v/>
      </c>
      <c r="D656" s="83"/>
      <c r="E656" s="59"/>
      <c r="F656" s="82"/>
      <c r="G656" s="82"/>
      <c r="H656" s="86"/>
      <c r="I656" s="294" t="str">
        <f t="shared" si="41"/>
        <v/>
      </c>
      <c r="J656" s="59"/>
      <c r="K656" s="83"/>
      <c r="L656" s="83" t="str">
        <f t="shared" si="38"/>
        <v xml:space="preserve">
</v>
      </c>
      <c r="M656" s="83"/>
      <c r="N656" s="59"/>
      <c r="O656" s="59"/>
      <c r="P656" s="86" t="e">
        <f t="shared" si="39"/>
        <v>#VALUE!</v>
      </c>
      <c r="Q656" s="59"/>
      <c r="R656" s="59"/>
      <c r="S656" s="59"/>
      <c r="T656" s="59"/>
      <c r="U656" s="290"/>
      <c r="V656" s="290"/>
      <c r="W656" s="290"/>
      <c r="X656" s="290"/>
      <c r="Y656" s="290"/>
      <c r="Z656" s="290"/>
      <c r="AA656" s="290"/>
      <c r="AB656" s="290"/>
      <c r="AC656" s="290"/>
      <c r="AD656" s="290"/>
    </row>
    <row r="657" spans="1:30" ht="25.5">
      <c r="A657" s="291" t="str">
        <f t="shared" si="40"/>
        <v/>
      </c>
      <c r="B657" s="291" t="s">
        <v>2160</v>
      </c>
      <c r="C657" s="291" t="str">
        <f>IF(D656="","",UNIT!$B$1&amp;"-"&amp;B657)</f>
        <v/>
      </c>
      <c r="D657" s="83"/>
      <c r="E657" s="59"/>
      <c r="F657" s="82"/>
      <c r="G657" s="82"/>
      <c r="H657" s="86"/>
      <c r="I657" s="294" t="str">
        <f t="shared" si="41"/>
        <v/>
      </c>
      <c r="J657" s="59"/>
      <c r="K657" s="83"/>
      <c r="L657" s="83" t="str">
        <f t="shared" si="38"/>
        <v xml:space="preserve">
</v>
      </c>
      <c r="M657" s="83"/>
      <c r="N657" s="59"/>
      <c r="O657" s="59"/>
      <c r="P657" s="86" t="e">
        <f t="shared" si="39"/>
        <v>#VALUE!</v>
      </c>
      <c r="Q657" s="59"/>
      <c r="R657" s="59"/>
      <c r="S657" s="59"/>
      <c r="T657" s="59"/>
      <c r="U657" s="290"/>
      <c r="V657" s="290"/>
      <c r="W657" s="290"/>
      <c r="X657" s="290"/>
      <c r="Y657" s="290"/>
      <c r="Z657" s="290"/>
      <c r="AA657" s="290"/>
      <c r="AB657" s="290"/>
      <c r="AC657" s="290"/>
      <c r="AD657" s="290"/>
    </row>
    <row r="658" spans="1:30" ht="25.5">
      <c r="A658" s="291" t="str">
        <f t="shared" si="40"/>
        <v/>
      </c>
      <c r="B658" s="291" t="s">
        <v>2161</v>
      </c>
      <c r="C658" s="291" t="str">
        <f>IF(D657="","",UNIT!$B$1&amp;"-"&amp;B658)</f>
        <v/>
      </c>
      <c r="D658" s="83"/>
      <c r="E658" s="59"/>
      <c r="F658" s="82"/>
      <c r="G658" s="82"/>
      <c r="H658" s="86"/>
      <c r="I658" s="294" t="str">
        <f t="shared" si="41"/>
        <v/>
      </c>
      <c r="J658" s="59"/>
      <c r="K658" s="83"/>
      <c r="L658" s="83" t="str">
        <f t="shared" si="38"/>
        <v xml:space="preserve">
</v>
      </c>
      <c r="M658" s="83"/>
      <c r="N658" s="59"/>
      <c r="O658" s="59"/>
      <c r="P658" s="86" t="e">
        <f t="shared" si="39"/>
        <v>#VALUE!</v>
      </c>
      <c r="Q658" s="59"/>
      <c r="R658" s="59"/>
      <c r="S658" s="59"/>
      <c r="T658" s="59"/>
      <c r="U658" s="290"/>
      <c r="V658" s="290"/>
      <c r="W658" s="290"/>
      <c r="X658" s="290"/>
      <c r="Y658" s="290"/>
      <c r="Z658" s="290"/>
      <c r="AA658" s="290"/>
      <c r="AB658" s="290"/>
      <c r="AC658" s="290"/>
      <c r="AD658" s="290"/>
    </row>
    <row r="659" spans="1:30" ht="25.5">
      <c r="A659" s="291" t="str">
        <f t="shared" si="40"/>
        <v/>
      </c>
      <c r="B659" s="291" t="s">
        <v>2162</v>
      </c>
      <c r="C659" s="291" t="str">
        <f>IF(D658="","",UNIT!$B$1&amp;"-"&amp;B659)</f>
        <v/>
      </c>
      <c r="D659" s="83"/>
      <c r="E659" s="59"/>
      <c r="F659" s="82"/>
      <c r="G659" s="82"/>
      <c r="H659" s="86"/>
      <c r="I659" s="294" t="str">
        <f t="shared" si="41"/>
        <v/>
      </c>
      <c r="J659" s="59"/>
      <c r="K659" s="83"/>
      <c r="L659" s="83" t="str">
        <f t="shared" si="38"/>
        <v xml:space="preserve">
</v>
      </c>
      <c r="M659" s="83"/>
      <c r="N659" s="59"/>
      <c r="O659" s="59"/>
      <c r="P659" s="86" t="e">
        <f t="shared" si="39"/>
        <v>#VALUE!</v>
      </c>
      <c r="Q659" s="59"/>
      <c r="R659" s="59"/>
      <c r="S659" s="59"/>
      <c r="T659" s="59"/>
      <c r="U659" s="290"/>
      <c r="V659" s="290"/>
      <c r="W659" s="290"/>
      <c r="X659" s="290"/>
      <c r="Y659" s="290"/>
      <c r="Z659" s="290"/>
      <c r="AA659" s="290"/>
      <c r="AB659" s="290"/>
      <c r="AC659" s="290"/>
      <c r="AD659" s="290"/>
    </row>
    <row r="660" spans="1:30" ht="25.5">
      <c r="A660" s="291" t="str">
        <f t="shared" si="40"/>
        <v/>
      </c>
      <c r="B660" s="291" t="s">
        <v>2163</v>
      </c>
      <c r="C660" s="291" t="str">
        <f>IF(D659="","",UNIT!$B$1&amp;"-"&amp;B660)</f>
        <v/>
      </c>
      <c r="D660" s="83"/>
      <c r="E660" s="59"/>
      <c r="F660" s="82"/>
      <c r="G660" s="82"/>
      <c r="H660" s="86"/>
      <c r="I660" s="294" t="str">
        <f t="shared" si="41"/>
        <v/>
      </c>
      <c r="J660" s="59"/>
      <c r="K660" s="83"/>
      <c r="L660" s="83" t="str">
        <f t="shared" si="38"/>
        <v xml:space="preserve">
</v>
      </c>
      <c r="M660" s="83"/>
      <c r="N660" s="59"/>
      <c r="O660" s="59"/>
      <c r="P660" s="86" t="e">
        <f t="shared" si="39"/>
        <v>#VALUE!</v>
      </c>
      <c r="Q660" s="59"/>
      <c r="R660" s="59"/>
      <c r="S660" s="59"/>
      <c r="T660" s="59"/>
      <c r="U660" s="290"/>
      <c r="V660" s="290"/>
      <c r="W660" s="290"/>
      <c r="X660" s="290"/>
      <c r="Y660" s="290"/>
      <c r="Z660" s="290"/>
      <c r="AA660" s="290"/>
      <c r="AB660" s="290"/>
      <c r="AC660" s="290"/>
      <c r="AD660" s="290"/>
    </row>
    <row r="661" spans="1:30" ht="25.5">
      <c r="A661" s="291" t="str">
        <f t="shared" si="40"/>
        <v/>
      </c>
      <c r="B661" s="291" t="s">
        <v>2164</v>
      </c>
      <c r="C661" s="291" t="str">
        <f>IF(D660="","",UNIT!$B$1&amp;"-"&amp;B661)</f>
        <v/>
      </c>
      <c r="D661" s="83"/>
      <c r="E661" s="59"/>
      <c r="F661" s="82"/>
      <c r="G661" s="82"/>
      <c r="H661" s="86"/>
      <c r="I661" s="294" t="str">
        <f t="shared" si="41"/>
        <v/>
      </c>
      <c r="J661" s="59"/>
      <c r="K661" s="83"/>
      <c r="L661" s="83" t="str">
        <f t="shared" si="38"/>
        <v xml:space="preserve">
</v>
      </c>
      <c r="M661" s="83"/>
      <c r="N661" s="59"/>
      <c r="O661" s="59"/>
      <c r="P661" s="86" t="e">
        <f t="shared" si="39"/>
        <v>#VALUE!</v>
      </c>
      <c r="Q661" s="59"/>
      <c r="R661" s="59"/>
      <c r="S661" s="59"/>
      <c r="T661" s="59"/>
      <c r="U661" s="290"/>
      <c r="V661" s="290"/>
      <c r="W661" s="290"/>
      <c r="X661" s="290"/>
      <c r="Y661" s="290"/>
      <c r="Z661" s="290"/>
      <c r="AA661" s="290"/>
      <c r="AB661" s="290"/>
      <c r="AC661" s="290"/>
      <c r="AD661" s="290"/>
    </row>
    <row r="662" spans="1:30" ht="25.5">
      <c r="A662" s="291" t="str">
        <f t="shared" si="40"/>
        <v/>
      </c>
      <c r="B662" s="291" t="s">
        <v>2165</v>
      </c>
      <c r="C662" s="291" t="str">
        <f>IF(D661="","",UNIT!$B$1&amp;"-"&amp;B662)</f>
        <v/>
      </c>
      <c r="D662" s="83"/>
      <c r="E662" s="59"/>
      <c r="F662" s="82"/>
      <c r="G662" s="82"/>
      <c r="H662" s="86"/>
      <c r="I662" s="294" t="str">
        <f t="shared" si="41"/>
        <v/>
      </c>
      <c r="J662" s="59"/>
      <c r="K662" s="83"/>
      <c r="L662" s="83" t="str">
        <f t="shared" si="38"/>
        <v xml:space="preserve">
</v>
      </c>
      <c r="M662" s="83"/>
      <c r="N662" s="59"/>
      <c r="O662" s="59"/>
      <c r="P662" s="86" t="e">
        <f t="shared" si="39"/>
        <v>#VALUE!</v>
      </c>
      <c r="Q662" s="59"/>
      <c r="R662" s="59"/>
      <c r="S662" s="59"/>
      <c r="T662" s="59"/>
      <c r="U662" s="290"/>
      <c r="V662" s="290"/>
      <c r="W662" s="290"/>
      <c r="X662" s="290"/>
      <c r="Y662" s="290"/>
      <c r="Z662" s="290"/>
      <c r="AA662" s="290"/>
      <c r="AB662" s="290"/>
      <c r="AC662" s="290"/>
      <c r="AD662" s="290"/>
    </row>
    <row r="663" spans="1:30" ht="25.5">
      <c r="A663" s="291" t="str">
        <f t="shared" si="40"/>
        <v/>
      </c>
      <c r="B663" s="291" t="s">
        <v>2166</v>
      </c>
      <c r="C663" s="291" t="str">
        <f>IF(D662="","",UNIT!$B$1&amp;"-"&amp;B663)</f>
        <v/>
      </c>
      <c r="D663" s="83"/>
      <c r="E663" s="59"/>
      <c r="F663" s="82"/>
      <c r="G663" s="82"/>
      <c r="H663" s="86"/>
      <c r="I663" s="294" t="str">
        <f t="shared" si="41"/>
        <v/>
      </c>
      <c r="J663" s="59"/>
      <c r="K663" s="83"/>
      <c r="L663" s="83" t="str">
        <f t="shared" si="38"/>
        <v xml:space="preserve">
</v>
      </c>
      <c r="M663" s="83"/>
      <c r="N663" s="59"/>
      <c r="O663" s="59"/>
      <c r="P663" s="86" t="e">
        <f t="shared" si="39"/>
        <v>#VALUE!</v>
      </c>
      <c r="Q663" s="59"/>
      <c r="R663" s="59"/>
      <c r="S663" s="59"/>
      <c r="T663" s="59"/>
      <c r="U663" s="290"/>
      <c r="V663" s="290"/>
      <c r="W663" s="290"/>
      <c r="X663" s="290"/>
      <c r="Y663" s="290"/>
      <c r="Z663" s="290"/>
      <c r="AA663" s="290"/>
      <c r="AB663" s="290"/>
      <c r="AC663" s="290"/>
      <c r="AD663" s="290"/>
    </row>
    <row r="664" spans="1:30" ht="25.5">
      <c r="A664" s="291" t="str">
        <f t="shared" si="40"/>
        <v/>
      </c>
      <c r="B664" s="291" t="s">
        <v>2167</v>
      </c>
      <c r="C664" s="291" t="str">
        <f>IF(D663="","",UNIT!$B$1&amp;"-"&amp;B664)</f>
        <v/>
      </c>
      <c r="D664" s="83"/>
      <c r="E664" s="59"/>
      <c r="F664" s="82"/>
      <c r="G664" s="82"/>
      <c r="H664" s="86"/>
      <c r="I664" s="294" t="str">
        <f t="shared" si="41"/>
        <v/>
      </c>
      <c r="J664" s="59"/>
      <c r="K664" s="83"/>
      <c r="L664" s="83" t="str">
        <f t="shared" si="38"/>
        <v xml:space="preserve">
</v>
      </c>
      <c r="M664" s="83"/>
      <c r="N664" s="59"/>
      <c r="O664" s="59"/>
      <c r="P664" s="86" t="e">
        <f t="shared" si="39"/>
        <v>#VALUE!</v>
      </c>
      <c r="Q664" s="59"/>
      <c r="R664" s="59"/>
      <c r="S664" s="59"/>
      <c r="T664" s="59"/>
      <c r="U664" s="290"/>
      <c r="V664" s="290"/>
      <c r="W664" s="290"/>
      <c r="X664" s="290"/>
      <c r="Y664" s="290"/>
      <c r="Z664" s="290"/>
      <c r="AA664" s="290"/>
      <c r="AB664" s="290"/>
      <c r="AC664" s="290"/>
      <c r="AD664" s="290"/>
    </row>
    <row r="665" spans="1:30" ht="25.5">
      <c r="A665" s="291" t="str">
        <f t="shared" si="40"/>
        <v/>
      </c>
      <c r="B665" s="291" t="s">
        <v>2168</v>
      </c>
      <c r="C665" s="291" t="str">
        <f>IF(D664="","",UNIT!$B$1&amp;"-"&amp;B665)</f>
        <v/>
      </c>
      <c r="D665" s="83"/>
      <c r="E665" s="59"/>
      <c r="F665" s="82"/>
      <c r="G665" s="82"/>
      <c r="H665" s="86"/>
      <c r="I665" s="294" t="str">
        <f t="shared" si="41"/>
        <v/>
      </c>
      <c r="J665" s="59"/>
      <c r="K665" s="83"/>
      <c r="L665" s="83" t="str">
        <f t="shared" si="38"/>
        <v xml:space="preserve">
</v>
      </c>
      <c r="M665" s="83"/>
      <c r="N665" s="59"/>
      <c r="O665" s="59"/>
      <c r="P665" s="86" t="e">
        <f t="shared" si="39"/>
        <v>#VALUE!</v>
      </c>
      <c r="Q665" s="59"/>
      <c r="R665" s="59"/>
      <c r="S665" s="59"/>
      <c r="T665" s="59"/>
      <c r="U665" s="290"/>
      <c r="V665" s="290"/>
      <c r="W665" s="290"/>
      <c r="X665" s="290"/>
      <c r="Y665" s="290"/>
      <c r="Z665" s="290"/>
      <c r="AA665" s="290"/>
      <c r="AB665" s="290"/>
      <c r="AC665" s="290"/>
      <c r="AD665" s="290"/>
    </row>
    <row r="666" spans="1:30" ht="25.5">
      <c r="A666" s="291" t="str">
        <f t="shared" si="40"/>
        <v/>
      </c>
      <c r="B666" s="291" t="s">
        <v>2169</v>
      </c>
      <c r="C666" s="291" t="str">
        <f>IF(D665="","",UNIT!$B$1&amp;"-"&amp;B666)</f>
        <v/>
      </c>
      <c r="D666" s="83"/>
      <c r="E666" s="59"/>
      <c r="F666" s="82"/>
      <c r="G666" s="82"/>
      <c r="H666" s="86"/>
      <c r="I666" s="294" t="str">
        <f t="shared" si="41"/>
        <v/>
      </c>
      <c r="J666" s="59"/>
      <c r="K666" s="83"/>
      <c r="L666" s="83" t="str">
        <f t="shared" si="38"/>
        <v xml:space="preserve">
</v>
      </c>
      <c r="M666" s="83"/>
      <c r="N666" s="59"/>
      <c r="O666" s="59"/>
      <c r="P666" s="86" t="e">
        <f t="shared" si="39"/>
        <v>#VALUE!</v>
      </c>
      <c r="Q666" s="59"/>
      <c r="R666" s="59"/>
      <c r="S666" s="59"/>
      <c r="T666" s="59"/>
      <c r="U666" s="290"/>
      <c r="V666" s="290"/>
      <c r="W666" s="290"/>
      <c r="X666" s="290"/>
      <c r="Y666" s="290"/>
      <c r="Z666" s="290"/>
      <c r="AA666" s="290"/>
      <c r="AB666" s="290"/>
      <c r="AC666" s="290"/>
      <c r="AD666" s="290"/>
    </row>
    <row r="667" spans="1:30" ht="25.5">
      <c r="A667" s="291" t="str">
        <f t="shared" si="40"/>
        <v/>
      </c>
      <c r="B667" s="291" t="s">
        <v>2170</v>
      </c>
      <c r="C667" s="291" t="str">
        <f>IF(D666="","",UNIT!$B$1&amp;"-"&amp;B667)</f>
        <v/>
      </c>
      <c r="D667" s="83"/>
      <c r="E667" s="59"/>
      <c r="F667" s="82"/>
      <c r="G667" s="82"/>
      <c r="H667" s="86"/>
      <c r="I667" s="294" t="str">
        <f t="shared" si="41"/>
        <v/>
      </c>
      <c r="J667" s="59"/>
      <c r="K667" s="83"/>
      <c r="L667" s="83" t="str">
        <f t="shared" si="38"/>
        <v xml:space="preserve">
</v>
      </c>
      <c r="M667" s="83"/>
      <c r="N667" s="59"/>
      <c r="O667" s="59"/>
      <c r="P667" s="86" t="e">
        <f t="shared" si="39"/>
        <v>#VALUE!</v>
      </c>
      <c r="Q667" s="59"/>
      <c r="R667" s="59"/>
      <c r="S667" s="59"/>
      <c r="T667" s="59"/>
      <c r="U667" s="290"/>
      <c r="V667" s="290"/>
      <c r="W667" s="290"/>
      <c r="X667" s="290"/>
      <c r="Y667" s="290"/>
      <c r="Z667" s="290"/>
      <c r="AA667" s="290"/>
      <c r="AB667" s="290"/>
      <c r="AC667" s="290"/>
      <c r="AD667" s="290"/>
    </row>
    <row r="668" spans="1:30" ht="25.5">
      <c r="A668" s="291" t="str">
        <f t="shared" si="40"/>
        <v/>
      </c>
      <c r="B668" s="291" t="s">
        <v>2171</v>
      </c>
      <c r="C668" s="291" t="str">
        <f>IF(D667="","",UNIT!$B$1&amp;"-"&amp;B668)</f>
        <v/>
      </c>
      <c r="D668" s="83"/>
      <c r="E668" s="59"/>
      <c r="F668" s="82"/>
      <c r="G668" s="82"/>
      <c r="H668" s="86"/>
      <c r="I668" s="294" t="str">
        <f t="shared" si="41"/>
        <v/>
      </c>
      <c r="J668" s="59"/>
      <c r="K668" s="83"/>
      <c r="L668" s="83" t="str">
        <f t="shared" si="38"/>
        <v xml:space="preserve">
</v>
      </c>
      <c r="M668" s="83"/>
      <c r="N668" s="59"/>
      <c r="O668" s="59"/>
      <c r="P668" s="86" t="e">
        <f t="shared" si="39"/>
        <v>#VALUE!</v>
      </c>
      <c r="Q668" s="59"/>
      <c r="R668" s="59"/>
      <c r="S668" s="59"/>
      <c r="T668" s="59"/>
      <c r="U668" s="290"/>
      <c r="V668" s="290"/>
      <c r="W668" s="290"/>
      <c r="X668" s="290"/>
      <c r="Y668" s="290"/>
      <c r="Z668" s="290"/>
      <c r="AA668" s="290"/>
      <c r="AB668" s="290"/>
      <c r="AC668" s="290"/>
      <c r="AD668" s="290"/>
    </row>
    <row r="669" spans="1:30" ht="25.5">
      <c r="A669" s="291" t="str">
        <f t="shared" si="40"/>
        <v/>
      </c>
      <c r="B669" s="291" t="s">
        <v>2172</v>
      </c>
      <c r="C669" s="291" t="str">
        <f>IF(D668="","",UNIT!$B$1&amp;"-"&amp;B669)</f>
        <v/>
      </c>
      <c r="D669" s="83"/>
      <c r="E669" s="59"/>
      <c r="F669" s="82"/>
      <c r="G669" s="82"/>
      <c r="H669" s="86"/>
      <c r="I669" s="294" t="str">
        <f t="shared" si="41"/>
        <v/>
      </c>
      <c r="J669" s="59"/>
      <c r="K669" s="83"/>
      <c r="L669" s="83" t="str">
        <f t="shared" si="38"/>
        <v xml:space="preserve">
</v>
      </c>
      <c r="M669" s="83"/>
      <c r="N669" s="59"/>
      <c r="O669" s="59"/>
      <c r="P669" s="86" t="e">
        <f t="shared" si="39"/>
        <v>#VALUE!</v>
      </c>
      <c r="Q669" s="59"/>
      <c r="R669" s="59"/>
      <c r="S669" s="59"/>
      <c r="T669" s="59"/>
      <c r="U669" s="290"/>
      <c r="V669" s="290"/>
      <c r="W669" s="290"/>
      <c r="X669" s="290"/>
      <c r="Y669" s="290"/>
      <c r="Z669" s="290"/>
      <c r="AA669" s="290"/>
      <c r="AB669" s="290"/>
      <c r="AC669" s="290"/>
      <c r="AD669" s="290"/>
    </row>
    <row r="670" spans="1:30" ht="25.5">
      <c r="A670" s="291" t="str">
        <f t="shared" si="40"/>
        <v/>
      </c>
      <c r="B670" s="291" t="s">
        <v>2173</v>
      </c>
      <c r="C670" s="291" t="str">
        <f>IF(D669="","",UNIT!$B$1&amp;"-"&amp;B670)</f>
        <v/>
      </c>
      <c r="D670" s="83"/>
      <c r="E670" s="59"/>
      <c r="F670" s="82"/>
      <c r="G670" s="82"/>
      <c r="H670" s="86"/>
      <c r="I670" s="294" t="str">
        <f t="shared" si="41"/>
        <v/>
      </c>
      <c r="J670" s="59"/>
      <c r="K670" s="83"/>
      <c r="L670" s="83" t="str">
        <f t="shared" si="38"/>
        <v xml:space="preserve">
</v>
      </c>
      <c r="M670" s="83"/>
      <c r="N670" s="59"/>
      <c r="O670" s="59"/>
      <c r="P670" s="86" t="e">
        <f t="shared" si="39"/>
        <v>#VALUE!</v>
      </c>
      <c r="Q670" s="59"/>
      <c r="R670" s="59"/>
      <c r="S670" s="59"/>
      <c r="T670" s="59"/>
      <c r="U670" s="290"/>
      <c r="V670" s="290"/>
      <c r="W670" s="290"/>
      <c r="X670" s="290"/>
      <c r="Y670" s="290"/>
      <c r="Z670" s="290"/>
      <c r="AA670" s="290"/>
      <c r="AB670" s="290"/>
      <c r="AC670" s="290"/>
      <c r="AD670" s="290"/>
    </row>
    <row r="671" spans="1:30" ht="25.5">
      <c r="A671" s="291" t="str">
        <f t="shared" si="40"/>
        <v/>
      </c>
      <c r="B671" s="291" t="s">
        <v>2174</v>
      </c>
      <c r="C671" s="291" t="str">
        <f>IF(D670="","",UNIT!$B$1&amp;"-"&amp;B671)</f>
        <v/>
      </c>
      <c r="D671" s="83"/>
      <c r="E671" s="59"/>
      <c r="F671" s="82"/>
      <c r="G671" s="82"/>
      <c r="H671" s="86"/>
      <c r="I671" s="294" t="str">
        <f t="shared" si="41"/>
        <v/>
      </c>
      <c r="J671" s="59"/>
      <c r="K671" s="83"/>
      <c r="L671" s="83" t="str">
        <f t="shared" si="38"/>
        <v xml:space="preserve">
</v>
      </c>
      <c r="M671" s="83"/>
      <c r="N671" s="59"/>
      <c r="O671" s="59"/>
      <c r="P671" s="86" t="e">
        <f t="shared" si="39"/>
        <v>#VALUE!</v>
      </c>
      <c r="Q671" s="59"/>
      <c r="R671" s="59"/>
      <c r="S671" s="59"/>
      <c r="T671" s="59"/>
      <c r="U671" s="290"/>
      <c r="V671" s="290"/>
      <c r="W671" s="290"/>
      <c r="X671" s="290"/>
      <c r="Y671" s="290"/>
      <c r="Z671" s="290"/>
      <c r="AA671" s="290"/>
      <c r="AB671" s="290"/>
      <c r="AC671" s="290"/>
      <c r="AD671" s="290"/>
    </row>
    <row r="672" spans="1:30" ht="25.5">
      <c r="A672" s="291" t="str">
        <f t="shared" si="40"/>
        <v/>
      </c>
      <c r="B672" s="291" t="s">
        <v>2175</v>
      </c>
      <c r="C672" s="291" t="str">
        <f>IF(D671="","",UNIT!$B$1&amp;"-"&amp;B672)</f>
        <v/>
      </c>
      <c r="D672" s="83"/>
      <c r="E672" s="59"/>
      <c r="F672" s="82"/>
      <c r="G672" s="82"/>
      <c r="H672" s="86"/>
      <c r="I672" s="294" t="str">
        <f t="shared" si="41"/>
        <v/>
      </c>
      <c r="J672" s="59"/>
      <c r="K672" s="83"/>
      <c r="L672" s="83" t="str">
        <f t="shared" si="38"/>
        <v xml:space="preserve">
</v>
      </c>
      <c r="M672" s="83"/>
      <c r="N672" s="59"/>
      <c r="O672" s="59"/>
      <c r="P672" s="86" t="e">
        <f t="shared" si="39"/>
        <v>#VALUE!</v>
      </c>
      <c r="Q672" s="59"/>
      <c r="R672" s="59"/>
      <c r="S672" s="59"/>
      <c r="T672" s="59"/>
      <c r="U672" s="290"/>
      <c r="V672" s="290"/>
      <c r="W672" s="290"/>
      <c r="X672" s="290"/>
      <c r="Y672" s="290"/>
      <c r="Z672" s="290"/>
      <c r="AA672" s="290"/>
      <c r="AB672" s="290"/>
      <c r="AC672" s="290"/>
      <c r="AD672" s="290"/>
    </row>
    <row r="673" spans="1:30" ht="25.5">
      <c r="A673" s="291" t="str">
        <f t="shared" si="40"/>
        <v/>
      </c>
      <c r="B673" s="291" t="s">
        <v>2176</v>
      </c>
      <c r="C673" s="291" t="str">
        <f>IF(D672="","",UNIT!$B$1&amp;"-"&amp;B673)</f>
        <v/>
      </c>
      <c r="D673" s="83"/>
      <c r="E673" s="59"/>
      <c r="F673" s="82"/>
      <c r="G673" s="82"/>
      <c r="H673" s="86"/>
      <c r="I673" s="294" t="str">
        <f t="shared" si="41"/>
        <v/>
      </c>
      <c r="J673" s="59"/>
      <c r="K673" s="83"/>
      <c r="L673" s="83" t="str">
        <f t="shared" si="38"/>
        <v xml:space="preserve">
</v>
      </c>
      <c r="M673" s="83"/>
      <c r="N673" s="59"/>
      <c r="O673" s="59"/>
      <c r="P673" s="86" t="e">
        <f t="shared" si="39"/>
        <v>#VALUE!</v>
      </c>
      <c r="Q673" s="59"/>
      <c r="R673" s="59"/>
      <c r="S673" s="59"/>
      <c r="T673" s="59"/>
      <c r="U673" s="290"/>
      <c r="V673" s="290"/>
      <c r="W673" s="290"/>
      <c r="X673" s="290"/>
      <c r="Y673" s="290"/>
      <c r="Z673" s="290"/>
      <c r="AA673" s="290"/>
      <c r="AB673" s="290"/>
      <c r="AC673" s="290"/>
      <c r="AD673" s="290"/>
    </row>
    <row r="674" spans="1:30" ht="25.5">
      <c r="A674" s="291" t="str">
        <f t="shared" si="40"/>
        <v/>
      </c>
      <c r="B674" s="291" t="s">
        <v>2177</v>
      </c>
      <c r="C674" s="291" t="str">
        <f>IF(D673="","",UNIT!$B$1&amp;"-"&amp;B674)</f>
        <v/>
      </c>
      <c r="D674" s="83"/>
      <c r="E674" s="59"/>
      <c r="F674" s="82"/>
      <c r="G674" s="82"/>
      <c r="H674" s="86"/>
      <c r="I674" s="294" t="str">
        <f t="shared" si="41"/>
        <v/>
      </c>
      <c r="J674" s="59"/>
      <c r="K674" s="83"/>
      <c r="L674" s="83" t="str">
        <f t="shared" si="38"/>
        <v xml:space="preserve">
</v>
      </c>
      <c r="M674" s="83"/>
      <c r="N674" s="59"/>
      <c r="O674" s="59"/>
      <c r="P674" s="86" t="e">
        <f t="shared" si="39"/>
        <v>#VALUE!</v>
      </c>
      <c r="Q674" s="59"/>
      <c r="R674" s="59"/>
      <c r="S674" s="59"/>
      <c r="T674" s="59"/>
      <c r="U674" s="290"/>
      <c r="V674" s="290"/>
      <c r="W674" s="290"/>
      <c r="X674" s="290"/>
      <c r="Y674" s="290"/>
      <c r="Z674" s="290"/>
      <c r="AA674" s="290"/>
      <c r="AB674" s="290"/>
      <c r="AC674" s="290"/>
      <c r="AD674" s="290"/>
    </row>
    <row r="675" spans="1:30" ht="25.5">
      <c r="A675" s="291" t="str">
        <f t="shared" si="40"/>
        <v/>
      </c>
      <c r="B675" s="291" t="s">
        <v>2178</v>
      </c>
      <c r="C675" s="291" t="str">
        <f>IF(D674="","",UNIT!$B$1&amp;"-"&amp;B675)</f>
        <v/>
      </c>
      <c r="D675" s="83"/>
      <c r="E675" s="59"/>
      <c r="F675" s="82"/>
      <c r="G675" s="82"/>
      <c r="H675" s="86"/>
      <c r="I675" s="294" t="str">
        <f t="shared" si="41"/>
        <v/>
      </c>
      <c r="J675" s="59"/>
      <c r="K675" s="83"/>
      <c r="L675" s="83" t="str">
        <f t="shared" si="38"/>
        <v xml:space="preserve">
</v>
      </c>
      <c r="M675" s="83"/>
      <c r="N675" s="59"/>
      <c r="O675" s="59"/>
      <c r="P675" s="86" t="e">
        <f t="shared" si="39"/>
        <v>#VALUE!</v>
      </c>
      <c r="Q675" s="59"/>
      <c r="R675" s="59"/>
      <c r="S675" s="59"/>
      <c r="T675" s="59"/>
      <c r="U675" s="290"/>
      <c r="V675" s="290"/>
      <c r="W675" s="290"/>
      <c r="X675" s="290"/>
      <c r="Y675" s="290"/>
      <c r="Z675" s="290"/>
      <c r="AA675" s="290"/>
      <c r="AB675" s="290"/>
      <c r="AC675" s="290"/>
      <c r="AD675" s="290"/>
    </row>
    <row r="676" spans="1:30" ht="25.5">
      <c r="A676" s="291" t="str">
        <f t="shared" si="40"/>
        <v/>
      </c>
      <c r="B676" s="291" t="s">
        <v>2179</v>
      </c>
      <c r="C676" s="291" t="str">
        <f>IF(D675="","",UNIT!$B$1&amp;"-"&amp;B676)</f>
        <v/>
      </c>
      <c r="D676" s="83"/>
      <c r="E676" s="59"/>
      <c r="F676" s="82"/>
      <c r="G676" s="82"/>
      <c r="H676" s="86"/>
      <c r="I676" s="294" t="str">
        <f t="shared" si="41"/>
        <v/>
      </c>
      <c r="J676" s="59"/>
      <c r="K676" s="83"/>
      <c r="L676" s="83" t="str">
        <f t="shared" si="38"/>
        <v xml:space="preserve">
</v>
      </c>
      <c r="M676" s="83"/>
      <c r="N676" s="59"/>
      <c r="O676" s="59"/>
      <c r="P676" s="86" t="e">
        <f t="shared" si="39"/>
        <v>#VALUE!</v>
      </c>
      <c r="Q676" s="59"/>
      <c r="R676" s="59"/>
      <c r="S676" s="59"/>
      <c r="T676" s="59"/>
      <c r="U676" s="290"/>
      <c r="V676" s="290"/>
      <c r="W676" s="290"/>
      <c r="X676" s="290"/>
      <c r="Y676" s="290"/>
      <c r="Z676" s="290"/>
      <c r="AA676" s="290"/>
      <c r="AB676" s="290"/>
      <c r="AC676" s="290"/>
      <c r="AD676" s="290"/>
    </row>
    <row r="677" spans="1:30" ht="25.5">
      <c r="A677" s="291" t="str">
        <f t="shared" si="40"/>
        <v/>
      </c>
      <c r="B677" s="291" t="s">
        <v>2180</v>
      </c>
      <c r="C677" s="291" t="str">
        <f>IF(D676="","",UNIT!$B$1&amp;"-"&amp;B677)</f>
        <v/>
      </c>
      <c r="D677" s="83"/>
      <c r="E677" s="59"/>
      <c r="F677" s="82"/>
      <c r="G677" s="82"/>
      <c r="H677" s="86"/>
      <c r="I677" s="294" t="str">
        <f t="shared" si="41"/>
        <v/>
      </c>
      <c r="J677" s="59"/>
      <c r="K677" s="83"/>
      <c r="L677" s="83" t="str">
        <f t="shared" si="38"/>
        <v xml:space="preserve">
</v>
      </c>
      <c r="M677" s="83"/>
      <c r="N677" s="59"/>
      <c r="O677" s="59"/>
      <c r="P677" s="86" t="e">
        <f t="shared" si="39"/>
        <v>#VALUE!</v>
      </c>
      <c r="Q677" s="59"/>
      <c r="R677" s="59"/>
      <c r="S677" s="59"/>
      <c r="T677" s="59"/>
      <c r="U677" s="290"/>
      <c r="V677" s="290"/>
      <c r="W677" s="290"/>
      <c r="X677" s="290"/>
      <c r="Y677" s="290"/>
      <c r="Z677" s="290"/>
      <c r="AA677" s="290"/>
      <c r="AB677" s="290"/>
      <c r="AC677" s="290"/>
      <c r="AD677" s="290"/>
    </row>
    <row r="678" spans="1:30" ht="25.5">
      <c r="A678" s="291" t="str">
        <f t="shared" si="40"/>
        <v/>
      </c>
      <c r="B678" s="291" t="s">
        <v>2181</v>
      </c>
      <c r="C678" s="291" t="str">
        <f>IF(D677="","",UNIT!$B$1&amp;"-"&amp;B678)</f>
        <v/>
      </c>
      <c r="D678" s="83"/>
      <c r="E678" s="59"/>
      <c r="F678" s="82"/>
      <c r="G678" s="82"/>
      <c r="H678" s="86"/>
      <c r="I678" s="294" t="str">
        <f t="shared" si="41"/>
        <v/>
      </c>
      <c r="J678" s="59"/>
      <c r="K678" s="83"/>
      <c r="L678" s="83" t="str">
        <f t="shared" si="38"/>
        <v xml:space="preserve">
</v>
      </c>
      <c r="M678" s="83"/>
      <c r="N678" s="59"/>
      <c r="O678" s="59"/>
      <c r="P678" s="86" t="e">
        <f t="shared" si="39"/>
        <v>#VALUE!</v>
      </c>
      <c r="Q678" s="59"/>
      <c r="R678" s="59"/>
      <c r="S678" s="59"/>
      <c r="T678" s="59"/>
      <c r="U678" s="290"/>
      <c r="V678" s="290"/>
      <c r="W678" s="290"/>
      <c r="X678" s="290"/>
      <c r="Y678" s="290"/>
      <c r="Z678" s="290"/>
      <c r="AA678" s="290"/>
      <c r="AB678" s="290"/>
      <c r="AC678" s="290"/>
      <c r="AD678" s="290"/>
    </row>
    <row r="679" spans="1:30" ht="25.5">
      <c r="A679" s="291" t="str">
        <f t="shared" si="40"/>
        <v/>
      </c>
      <c r="B679" s="291" t="s">
        <v>2182</v>
      </c>
      <c r="C679" s="291" t="str">
        <f>IF(D678="","",UNIT!$B$1&amp;"-"&amp;B679)</f>
        <v/>
      </c>
      <c r="D679" s="83"/>
      <c r="E679" s="59"/>
      <c r="F679" s="82"/>
      <c r="G679" s="82"/>
      <c r="H679" s="86"/>
      <c r="I679" s="294" t="str">
        <f t="shared" si="41"/>
        <v/>
      </c>
      <c r="J679" s="59"/>
      <c r="K679" s="83"/>
      <c r="L679" s="83" t="str">
        <f t="shared" si="38"/>
        <v xml:space="preserve">
</v>
      </c>
      <c r="M679" s="83"/>
      <c r="N679" s="59"/>
      <c r="O679" s="59"/>
      <c r="P679" s="86" t="e">
        <f t="shared" si="39"/>
        <v>#VALUE!</v>
      </c>
      <c r="Q679" s="59"/>
      <c r="R679" s="59"/>
      <c r="S679" s="59"/>
      <c r="T679" s="59"/>
      <c r="U679" s="290"/>
      <c r="V679" s="290"/>
      <c r="W679" s="290"/>
      <c r="X679" s="290"/>
      <c r="Y679" s="290"/>
      <c r="Z679" s="290"/>
      <c r="AA679" s="290"/>
      <c r="AB679" s="290"/>
      <c r="AC679" s="290"/>
      <c r="AD679" s="290"/>
    </row>
    <row r="680" spans="1:30" ht="25.5">
      <c r="A680" s="291" t="str">
        <f t="shared" si="40"/>
        <v/>
      </c>
      <c r="B680" s="291" t="s">
        <v>2183</v>
      </c>
      <c r="C680" s="291" t="str">
        <f>IF(D679="","",UNIT!$B$1&amp;"-"&amp;B680)</f>
        <v/>
      </c>
      <c r="D680" s="83"/>
      <c r="E680" s="59"/>
      <c r="F680" s="82"/>
      <c r="G680" s="82"/>
      <c r="H680" s="86"/>
      <c r="I680" s="294" t="str">
        <f t="shared" si="41"/>
        <v/>
      </c>
      <c r="J680" s="59"/>
      <c r="K680" s="83"/>
      <c r="L680" s="83" t="str">
        <f t="shared" si="38"/>
        <v xml:space="preserve">
</v>
      </c>
      <c r="M680" s="83"/>
      <c r="N680" s="59"/>
      <c r="O680" s="59"/>
      <c r="P680" s="86" t="e">
        <f t="shared" si="39"/>
        <v>#VALUE!</v>
      </c>
      <c r="Q680" s="59"/>
      <c r="R680" s="59"/>
      <c r="S680" s="59"/>
      <c r="T680" s="59"/>
      <c r="U680" s="290"/>
      <c r="V680" s="290"/>
      <c r="W680" s="290"/>
      <c r="X680" s="290"/>
      <c r="Y680" s="290"/>
      <c r="Z680" s="290"/>
      <c r="AA680" s="290"/>
      <c r="AB680" s="290"/>
      <c r="AC680" s="290"/>
      <c r="AD680" s="290"/>
    </row>
    <row r="681" spans="1:30" ht="25.5">
      <c r="A681" s="291" t="str">
        <f t="shared" si="40"/>
        <v/>
      </c>
      <c r="B681" s="291" t="s">
        <v>2184</v>
      </c>
      <c r="C681" s="291" t="str">
        <f>IF(D680="","",UNIT!$B$1&amp;"-"&amp;B681)</f>
        <v/>
      </c>
      <c r="D681" s="83"/>
      <c r="E681" s="59"/>
      <c r="F681" s="82"/>
      <c r="G681" s="82"/>
      <c r="H681" s="86"/>
      <c r="I681" s="294" t="str">
        <f t="shared" si="41"/>
        <v/>
      </c>
      <c r="J681" s="59"/>
      <c r="K681" s="83"/>
      <c r="L681" s="83" t="str">
        <f t="shared" si="38"/>
        <v xml:space="preserve">
</v>
      </c>
      <c r="M681" s="83"/>
      <c r="N681" s="59"/>
      <c r="O681" s="59"/>
      <c r="P681" s="86" t="e">
        <f t="shared" si="39"/>
        <v>#VALUE!</v>
      </c>
      <c r="Q681" s="59"/>
      <c r="R681" s="59"/>
      <c r="S681" s="59"/>
      <c r="T681" s="59"/>
      <c r="U681" s="290"/>
      <c r="V681" s="290"/>
      <c r="W681" s="290"/>
      <c r="X681" s="290"/>
      <c r="Y681" s="290"/>
      <c r="Z681" s="290"/>
      <c r="AA681" s="290"/>
      <c r="AB681" s="290"/>
      <c r="AC681" s="290"/>
      <c r="AD681" s="290"/>
    </row>
    <row r="682" spans="1:30" ht="25.5">
      <c r="A682" s="291" t="str">
        <f t="shared" si="40"/>
        <v/>
      </c>
      <c r="B682" s="291" t="s">
        <v>2185</v>
      </c>
      <c r="C682" s="291" t="str">
        <f>IF(D681="","",UNIT!$B$1&amp;"-"&amp;B682)</f>
        <v/>
      </c>
      <c r="D682" s="83"/>
      <c r="E682" s="59"/>
      <c r="F682" s="82"/>
      <c r="G682" s="82"/>
      <c r="H682" s="86"/>
      <c r="I682" s="294" t="str">
        <f t="shared" si="41"/>
        <v/>
      </c>
      <c r="J682" s="59"/>
      <c r="K682" s="83"/>
      <c r="L682" s="83" t="str">
        <f t="shared" si="38"/>
        <v xml:space="preserve">
</v>
      </c>
      <c r="M682" s="83"/>
      <c r="N682" s="59"/>
      <c r="O682" s="59"/>
      <c r="P682" s="86" t="e">
        <f t="shared" si="39"/>
        <v>#VALUE!</v>
      </c>
      <c r="Q682" s="59"/>
      <c r="R682" s="59"/>
      <c r="S682" s="59"/>
      <c r="T682" s="59"/>
      <c r="U682" s="290"/>
      <c r="V682" s="290"/>
      <c r="W682" s="290"/>
      <c r="X682" s="290"/>
      <c r="Y682" s="290"/>
      <c r="Z682" s="290"/>
      <c r="AA682" s="290"/>
      <c r="AB682" s="290"/>
      <c r="AC682" s="290"/>
      <c r="AD682" s="290"/>
    </row>
    <row r="683" spans="1:30" ht="25.5">
      <c r="A683" s="291" t="str">
        <f t="shared" si="40"/>
        <v/>
      </c>
      <c r="B683" s="291" t="s">
        <v>2186</v>
      </c>
      <c r="C683" s="291" t="str">
        <f>IF(D682="","",UNIT!$B$1&amp;"-"&amp;B683)</f>
        <v/>
      </c>
      <c r="D683" s="83"/>
      <c r="E683" s="59"/>
      <c r="F683" s="82"/>
      <c r="G683" s="82"/>
      <c r="H683" s="86"/>
      <c r="I683" s="294" t="str">
        <f t="shared" si="41"/>
        <v/>
      </c>
      <c r="J683" s="59"/>
      <c r="K683" s="83"/>
      <c r="L683" s="83" t="str">
        <f t="shared" si="38"/>
        <v xml:space="preserve">
</v>
      </c>
      <c r="M683" s="83"/>
      <c r="N683" s="59"/>
      <c r="O683" s="59"/>
      <c r="P683" s="86" t="e">
        <f t="shared" si="39"/>
        <v>#VALUE!</v>
      </c>
      <c r="Q683" s="59"/>
      <c r="R683" s="59"/>
      <c r="S683" s="59"/>
      <c r="T683" s="59"/>
      <c r="U683" s="290"/>
      <c r="V683" s="290"/>
      <c r="W683" s="290"/>
      <c r="X683" s="290"/>
      <c r="Y683" s="290"/>
      <c r="Z683" s="290"/>
      <c r="AA683" s="290"/>
      <c r="AB683" s="290"/>
      <c r="AC683" s="290"/>
      <c r="AD683" s="290"/>
    </row>
    <row r="684" spans="1:30" ht="25.5">
      <c r="A684" s="291" t="str">
        <f t="shared" si="40"/>
        <v/>
      </c>
      <c r="B684" s="291" t="s">
        <v>2187</v>
      </c>
      <c r="C684" s="291" t="str">
        <f>IF(D683="","",UNIT!$B$1&amp;"-"&amp;B684)</f>
        <v/>
      </c>
      <c r="D684" s="83"/>
      <c r="E684" s="59"/>
      <c r="F684" s="82"/>
      <c r="G684" s="82"/>
      <c r="H684" s="86"/>
      <c r="I684" s="294" t="str">
        <f t="shared" si="41"/>
        <v/>
      </c>
      <c r="J684" s="59"/>
      <c r="K684" s="83"/>
      <c r="L684" s="83" t="str">
        <f t="shared" si="38"/>
        <v xml:space="preserve">
</v>
      </c>
      <c r="M684" s="83"/>
      <c r="N684" s="59"/>
      <c r="O684" s="59"/>
      <c r="P684" s="86" t="e">
        <f t="shared" si="39"/>
        <v>#VALUE!</v>
      </c>
      <c r="Q684" s="59"/>
      <c r="R684" s="59"/>
      <c r="S684" s="59"/>
      <c r="T684" s="59"/>
      <c r="U684" s="290"/>
      <c r="V684" s="290"/>
      <c r="W684" s="290"/>
      <c r="X684" s="290"/>
      <c r="Y684" s="290"/>
      <c r="Z684" s="290"/>
      <c r="AA684" s="290"/>
      <c r="AB684" s="290"/>
      <c r="AC684" s="290"/>
      <c r="AD684" s="290"/>
    </row>
    <row r="685" spans="1:30" ht="25.5">
      <c r="A685" s="291" t="str">
        <f t="shared" si="40"/>
        <v/>
      </c>
      <c r="B685" s="291" t="s">
        <v>2188</v>
      </c>
      <c r="C685" s="291" t="str">
        <f>IF(D684="","",UNIT!$B$1&amp;"-"&amp;B685)</f>
        <v/>
      </c>
      <c r="D685" s="83"/>
      <c r="E685" s="59"/>
      <c r="F685" s="82"/>
      <c r="G685" s="82"/>
      <c r="H685" s="86"/>
      <c r="I685" s="294" t="str">
        <f t="shared" si="41"/>
        <v/>
      </c>
      <c r="J685" s="59"/>
      <c r="K685" s="83"/>
      <c r="L685" s="83" t="str">
        <f t="shared" si="38"/>
        <v xml:space="preserve">
</v>
      </c>
      <c r="M685" s="83"/>
      <c r="N685" s="59"/>
      <c r="O685" s="59"/>
      <c r="P685" s="86" t="e">
        <f t="shared" si="39"/>
        <v>#VALUE!</v>
      </c>
      <c r="Q685" s="59"/>
      <c r="R685" s="59"/>
      <c r="S685" s="59"/>
      <c r="T685" s="59"/>
      <c r="U685" s="290"/>
      <c r="V685" s="290"/>
      <c r="W685" s="290"/>
      <c r="X685" s="290"/>
      <c r="Y685" s="290"/>
      <c r="Z685" s="290"/>
      <c r="AA685" s="290"/>
      <c r="AB685" s="290"/>
      <c r="AC685" s="290"/>
      <c r="AD685" s="290"/>
    </row>
    <row r="686" spans="1:30" ht="25.5">
      <c r="A686" s="291" t="str">
        <f t="shared" si="40"/>
        <v/>
      </c>
      <c r="B686" s="291" t="s">
        <v>2189</v>
      </c>
      <c r="C686" s="291" t="str">
        <f>IF(D685="","",UNIT!$B$1&amp;"-"&amp;B686)</f>
        <v/>
      </c>
      <c r="D686" s="83"/>
      <c r="E686" s="59"/>
      <c r="F686" s="82"/>
      <c r="G686" s="82"/>
      <c r="H686" s="86"/>
      <c r="I686" s="294" t="str">
        <f t="shared" si="41"/>
        <v/>
      </c>
      <c r="J686" s="59"/>
      <c r="K686" s="83"/>
      <c r="L686" s="83" t="str">
        <f t="shared" si="38"/>
        <v xml:space="preserve">
</v>
      </c>
      <c r="M686" s="83"/>
      <c r="N686" s="59"/>
      <c r="O686" s="59"/>
      <c r="P686" s="86" t="e">
        <f t="shared" si="39"/>
        <v>#VALUE!</v>
      </c>
      <c r="Q686" s="59"/>
      <c r="R686" s="59"/>
      <c r="S686" s="59"/>
      <c r="T686" s="59"/>
      <c r="U686" s="290"/>
      <c r="V686" s="290"/>
      <c r="W686" s="290"/>
      <c r="X686" s="290"/>
      <c r="Y686" s="290"/>
      <c r="Z686" s="290"/>
      <c r="AA686" s="290"/>
      <c r="AB686" s="290"/>
      <c r="AC686" s="290"/>
      <c r="AD686" s="290"/>
    </row>
    <row r="687" spans="1:30" ht="25.5">
      <c r="A687" s="291" t="str">
        <f t="shared" si="40"/>
        <v/>
      </c>
      <c r="B687" s="291" t="s">
        <v>2190</v>
      </c>
      <c r="C687" s="291" t="str">
        <f>IF(D686="","",UNIT!$B$1&amp;"-"&amp;B687)</f>
        <v/>
      </c>
      <c r="D687" s="83"/>
      <c r="E687" s="59"/>
      <c r="F687" s="82"/>
      <c r="G687" s="82"/>
      <c r="H687" s="86"/>
      <c r="I687" s="294" t="str">
        <f t="shared" si="41"/>
        <v/>
      </c>
      <c r="J687" s="59"/>
      <c r="K687" s="83"/>
      <c r="L687" s="83" t="str">
        <f t="shared" si="38"/>
        <v xml:space="preserve">
</v>
      </c>
      <c r="M687" s="83"/>
      <c r="N687" s="59"/>
      <c r="O687" s="59"/>
      <c r="P687" s="86" t="e">
        <f t="shared" si="39"/>
        <v>#VALUE!</v>
      </c>
      <c r="Q687" s="59"/>
      <c r="R687" s="59"/>
      <c r="S687" s="59"/>
      <c r="T687" s="59"/>
      <c r="U687" s="290"/>
      <c r="V687" s="290"/>
      <c r="W687" s="290"/>
      <c r="X687" s="290"/>
      <c r="Y687" s="290"/>
      <c r="Z687" s="290"/>
      <c r="AA687" s="290"/>
      <c r="AB687" s="290"/>
      <c r="AC687" s="290"/>
      <c r="AD687" s="290"/>
    </row>
    <row r="688" spans="1:30" ht="25.5">
      <c r="A688" s="291" t="str">
        <f t="shared" si="40"/>
        <v/>
      </c>
      <c r="B688" s="291" t="s">
        <v>2191</v>
      </c>
      <c r="C688" s="291" t="str">
        <f>IF(D687="","",UNIT!$B$1&amp;"-"&amp;B688)</f>
        <v/>
      </c>
      <c r="D688" s="83"/>
      <c r="E688" s="59"/>
      <c r="F688" s="82"/>
      <c r="G688" s="82"/>
      <c r="H688" s="86"/>
      <c r="I688" s="294" t="str">
        <f t="shared" si="41"/>
        <v/>
      </c>
      <c r="J688" s="59"/>
      <c r="K688" s="83"/>
      <c r="L688" s="83" t="str">
        <f t="shared" si="38"/>
        <v xml:space="preserve">
</v>
      </c>
      <c r="M688" s="83"/>
      <c r="N688" s="59"/>
      <c r="O688" s="59"/>
      <c r="P688" s="86" t="e">
        <f t="shared" si="39"/>
        <v>#VALUE!</v>
      </c>
      <c r="Q688" s="59"/>
      <c r="R688" s="59"/>
      <c r="S688" s="59"/>
      <c r="T688" s="59"/>
      <c r="U688" s="290"/>
      <c r="V688" s="290"/>
      <c r="W688" s="290"/>
      <c r="X688" s="290"/>
      <c r="Y688" s="290"/>
      <c r="Z688" s="290"/>
      <c r="AA688" s="290"/>
      <c r="AB688" s="290"/>
      <c r="AC688" s="290"/>
      <c r="AD688" s="290"/>
    </row>
    <row r="689" spans="1:30" ht="25.5">
      <c r="A689" s="291" t="str">
        <f t="shared" si="40"/>
        <v/>
      </c>
      <c r="B689" s="291" t="s">
        <v>2192</v>
      </c>
      <c r="C689" s="291" t="str">
        <f>IF(D688="","",UNIT!$B$1&amp;"-"&amp;B689)</f>
        <v/>
      </c>
      <c r="D689" s="83"/>
      <c r="E689" s="59"/>
      <c r="F689" s="82"/>
      <c r="G689" s="82"/>
      <c r="H689" s="86"/>
      <c r="I689" s="294" t="str">
        <f t="shared" si="41"/>
        <v/>
      </c>
      <c r="J689" s="59"/>
      <c r="K689" s="83"/>
      <c r="L689" s="83" t="str">
        <f t="shared" si="38"/>
        <v xml:space="preserve">
</v>
      </c>
      <c r="M689" s="83"/>
      <c r="N689" s="59"/>
      <c r="O689" s="59"/>
      <c r="P689" s="86" t="e">
        <f t="shared" si="39"/>
        <v>#VALUE!</v>
      </c>
      <c r="Q689" s="59"/>
      <c r="R689" s="59"/>
      <c r="S689" s="59"/>
      <c r="T689" s="59"/>
      <c r="U689" s="290"/>
      <c r="V689" s="290"/>
      <c r="W689" s="290"/>
      <c r="X689" s="290"/>
      <c r="Y689" s="290"/>
      <c r="Z689" s="290"/>
      <c r="AA689" s="290"/>
      <c r="AB689" s="290"/>
      <c r="AC689" s="290"/>
      <c r="AD689" s="290"/>
    </row>
    <row r="690" spans="1:30" ht="25.5">
      <c r="A690" s="291" t="str">
        <f t="shared" si="40"/>
        <v/>
      </c>
      <c r="B690" s="291" t="s">
        <v>2193</v>
      </c>
      <c r="C690" s="291" t="str">
        <f>IF(D689="","",UNIT!$B$1&amp;"-"&amp;B690)</f>
        <v/>
      </c>
      <c r="D690" s="83"/>
      <c r="E690" s="59"/>
      <c r="F690" s="82"/>
      <c r="G690" s="82"/>
      <c r="H690" s="86"/>
      <c r="I690" s="294" t="str">
        <f t="shared" si="41"/>
        <v/>
      </c>
      <c r="J690" s="59"/>
      <c r="K690" s="83"/>
      <c r="L690" s="83" t="str">
        <f t="shared" si="38"/>
        <v xml:space="preserve">
</v>
      </c>
      <c r="M690" s="83"/>
      <c r="N690" s="59"/>
      <c r="O690" s="59"/>
      <c r="P690" s="86" t="e">
        <f t="shared" si="39"/>
        <v>#VALUE!</v>
      </c>
      <c r="Q690" s="59"/>
      <c r="R690" s="59"/>
      <c r="S690" s="59"/>
      <c r="T690" s="59"/>
      <c r="U690" s="290"/>
      <c r="V690" s="290"/>
      <c r="W690" s="290"/>
      <c r="X690" s="290"/>
      <c r="Y690" s="290"/>
      <c r="Z690" s="290"/>
      <c r="AA690" s="290"/>
      <c r="AB690" s="290"/>
      <c r="AC690" s="290"/>
      <c r="AD690" s="290"/>
    </row>
    <row r="691" spans="1:30" ht="25.5">
      <c r="A691" s="291" t="str">
        <f t="shared" si="40"/>
        <v/>
      </c>
      <c r="B691" s="291" t="s">
        <v>2194</v>
      </c>
      <c r="C691" s="291" t="str">
        <f>IF(D690="","",UNIT!$B$1&amp;"-"&amp;B691)</f>
        <v/>
      </c>
      <c r="D691" s="83"/>
      <c r="E691" s="59"/>
      <c r="F691" s="82"/>
      <c r="G691" s="82"/>
      <c r="H691" s="86"/>
      <c r="I691" s="294" t="str">
        <f t="shared" si="41"/>
        <v/>
      </c>
      <c r="J691" s="59"/>
      <c r="K691" s="83"/>
      <c r="L691" s="83" t="str">
        <f t="shared" si="38"/>
        <v xml:space="preserve">
</v>
      </c>
      <c r="M691" s="83"/>
      <c r="N691" s="59"/>
      <c r="O691" s="59"/>
      <c r="P691" s="86" t="e">
        <f t="shared" si="39"/>
        <v>#VALUE!</v>
      </c>
      <c r="Q691" s="59"/>
      <c r="R691" s="59"/>
      <c r="S691" s="59"/>
      <c r="T691" s="59"/>
      <c r="U691" s="290"/>
      <c r="V691" s="290"/>
      <c r="W691" s="290"/>
      <c r="X691" s="290"/>
      <c r="Y691" s="290"/>
      <c r="Z691" s="290"/>
      <c r="AA691" s="290"/>
      <c r="AB691" s="290"/>
      <c r="AC691" s="290"/>
      <c r="AD691" s="290"/>
    </row>
    <row r="692" spans="1:30" ht="25.5">
      <c r="A692" s="291" t="str">
        <f t="shared" si="40"/>
        <v/>
      </c>
      <c r="B692" s="291" t="s">
        <v>2195</v>
      </c>
      <c r="C692" s="291" t="str">
        <f>IF(D691="","",UNIT!$B$1&amp;"-"&amp;B692)</f>
        <v/>
      </c>
      <c r="D692" s="83"/>
      <c r="E692" s="59"/>
      <c r="F692" s="82"/>
      <c r="G692" s="82"/>
      <c r="H692" s="86"/>
      <c r="I692" s="294" t="str">
        <f t="shared" si="41"/>
        <v/>
      </c>
      <c r="J692" s="59"/>
      <c r="K692" s="83"/>
      <c r="L692" s="83" t="str">
        <f t="shared" si="38"/>
        <v xml:space="preserve">
</v>
      </c>
      <c r="M692" s="83"/>
      <c r="N692" s="59"/>
      <c r="O692" s="59"/>
      <c r="P692" s="86" t="e">
        <f t="shared" si="39"/>
        <v>#VALUE!</v>
      </c>
      <c r="Q692" s="59"/>
      <c r="R692" s="59"/>
      <c r="S692" s="59"/>
      <c r="T692" s="59"/>
      <c r="U692" s="290"/>
      <c r="V692" s="290"/>
      <c r="W692" s="290"/>
      <c r="X692" s="290"/>
      <c r="Y692" s="290"/>
      <c r="Z692" s="290"/>
      <c r="AA692" s="290"/>
      <c r="AB692" s="290"/>
      <c r="AC692" s="290"/>
      <c r="AD692" s="290"/>
    </row>
    <row r="693" spans="1:30" ht="25.5">
      <c r="A693" s="291" t="str">
        <f t="shared" si="40"/>
        <v/>
      </c>
      <c r="B693" s="291" t="s">
        <v>2196</v>
      </c>
      <c r="C693" s="291" t="str">
        <f>IF(D692="","",UNIT!$B$1&amp;"-"&amp;B693)</f>
        <v/>
      </c>
      <c r="D693" s="83"/>
      <c r="E693" s="59"/>
      <c r="F693" s="82"/>
      <c r="G693" s="82"/>
      <c r="H693" s="86"/>
      <c r="I693" s="294" t="str">
        <f t="shared" si="41"/>
        <v/>
      </c>
      <c r="J693" s="59"/>
      <c r="K693" s="83"/>
      <c r="L693" s="83" t="str">
        <f t="shared" si="38"/>
        <v xml:space="preserve">
</v>
      </c>
      <c r="M693" s="83"/>
      <c r="N693" s="59"/>
      <c r="O693" s="59"/>
      <c r="P693" s="86" t="e">
        <f t="shared" si="39"/>
        <v>#VALUE!</v>
      </c>
      <c r="Q693" s="59"/>
      <c r="R693" s="59"/>
      <c r="S693" s="59"/>
      <c r="T693" s="59"/>
      <c r="U693" s="290"/>
      <c r="V693" s="290"/>
      <c r="W693" s="290"/>
      <c r="X693" s="290"/>
      <c r="Y693" s="290"/>
      <c r="Z693" s="290"/>
      <c r="AA693" s="290"/>
      <c r="AB693" s="290"/>
      <c r="AC693" s="290"/>
      <c r="AD693" s="290"/>
    </row>
    <row r="694" spans="1:30" ht="25.5">
      <c r="A694" s="291" t="str">
        <f t="shared" si="40"/>
        <v/>
      </c>
      <c r="B694" s="291" t="s">
        <v>2197</v>
      </c>
      <c r="C694" s="291" t="str">
        <f>IF(D693="","",UNIT!$B$1&amp;"-"&amp;B694)</f>
        <v/>
      </c>
      <c r="D694" s="83"/>
      <c r="E694" s="59"/>
      <c r="F694" s="82"/>
      <c r="G694" s="82"/>
      <c r="H694" s="86"/>
      <c r="I694" s="294" t="str">
        <f t="shared" si="41"/>
        <v/>
      </c>
      <c r="J694" s="59"/>
      <c r="K694" s="83"/>
      <c r="L694" s="83" t="str">
        <f t="shared" si="38"/>
        <v xml:space="preserve">
</v>
      </c>
      <c r="M694" s="83"/>
      <c r="N694" s="59"/>
      <c r="O694" s="59"/>
      <c r="P694" s="86" t="e">
        <f t="shared" si="39"/>
        <v>#VALUE!</v>
      </c>
      <c r="Q694" s="59"/>
      <c r="R694" s="59"/>
      <c r="S694" s="59"/>
      <c r="T694" s="59"/>
      <c r="U694" s="290"/>
      <c r="V694" s="290"/>
      <c r="W694" s="290"/>
      <c r="X694" s="290"/>
      <c r="Y694" s="290"/>
      <c r="Z694" s="290"/>
      <c r="AA694" s="290"/>
      <c r="AB694" s="290"/>
      <c r="AC694" s="290"/>
      <c r="AD694" s="290"/>
    </row>
    <row r="695" spans="1:30" ht="25.5">
      <c r="A695" s="291" t="str">
        <f t="shared" si="40"/>
        <v/>
      </c>
      <c r="B695" s="291" t="s">
        <v>2198</v>
      </c>
      <c r="C695" s="291" t="str">
        <f>IF(D694="","",UNIT!$B$1&amp;"-"&amp;B695)</f>
        <v/>
      </c>
      <c r="D695" s="83"/>
      <c r="E695" s="59"/>
      <c r="F695" s="82"/>
      <c r="G695" s="82"/>
      <c r="H695" s="86"/>
      <c r="I695" s="294" t="str">
        <f t="shared" si="41"/>
        <v/>
      </c>
      <c r="J695" s="59"/>
      <c r="K695" s="83"/>
      <c r="L695" s="83" t="str">
        <f t="shared" si="38"/>
        <v xml:space="preserve">
</v>
      </c>
      <c r="M695" s="83"/>
      <c r="N695" s="59"/>
      <c r="O695" s="59"/>
      <c r="P695" s="86" t="e">
        <f t="shared" si="39"/>
        <v>#VALUE!</v>
      </c>
      <c r="Q695" s="59"/>
      <c r="R695" s="59"/>
      <c r="S695" s="59"/>
      <c r="T695" s="59"/>
      <c r="U695" s="290"/>
      <c r="V695" s="290"/>
      <c r="W695" s="290"/>
      <c r="X695" s="290"/>
      <c r="Y695" s="290"/>
      <c r="Z695" s="290"/>
      <c r="AA695" s="290"/>
      <c r="AB695" s="290"/>
      <c r="AC695" s="290"/>
      <c r="AD695" s="290"/>
    </row>
    <row r="696" spans="1:30" ht="25.5">
      <c r="A696" s="291" t="str">
        <f t="shared" si="40"/>
        <v/>
      </c>
      <c r="B696" s="291" t="s">
        <v>2199</v>
      </c>
      <c r="C696" s="291" t="str">
        <f>IF(D695="","",UNIT!$B$1&amp;"-"&amp;B696)</f>
        <v/>
      </c>
      <c r="D696" s="83"/>
      <c r="E696" s="59"/>
      <c r="F696" s="82"/>
      <c r="G696" s="82"/>
      <c r="H696" s="86"/>
      <c r="I696" s="294" t="str">
        <f t="shared" si="41"/>
        <v/>
      </c>
      <c r="J696" s="59"/>
      <c r="K696" s="83"/>
      <c r="L696" s="83" t="str">
        <f t="shared" si="38"/>
        <v xml:space="preserve">
</v>
      </c>
      <c r="M696" s="83"/>
      <c r="N696" s="59"/>
      <c r="O696" s="59"/>
      <c r="P696" s="86" t="e">
        <f t="shared" si="39"/>
        <v>#VALUE!</v>
      </c>
      <c r="Q696" s="59"/>
      <c r="R696" s="59"/>
      <c r="S696" s="59"/>
      <c r="T696" s="59"/>
      <c r="U696" s="290"/>
      <c r="V696" s="290"/>
      <c r="W696" s="290"/>
      <c r="X696" s="290"/>
      <c r="Y696" s="290"/>
      <c r="Z696" s="290"/>
      <c r="AA696" s="290"/>
      <c r="AB696" s="290"/>
      <c r="AC696" s="290"/>
      <c r="AD696" s="290"/>
    </row>
    <row r="697" spans="1:30" ht="25.5">
      <c r="A697" s="291" t="str">
        <f t="shared" si="40"/>
        <v/>
      </c>
      <c r="B697" s="291" t="s">
        <v>2200</v>
      </c>
      <c r="C697" s="291" t="str">
        <f>IF(D696="","",UNIT!$B$1&amp;"-"&amp;B697)</f>
        <v/>
      </c>
      <c r="D697" s="83"/>
      <c r="E697" s="59"/>
      <c r="F697" s="82"/>
      <c r="G697" s="82"/>
      <c r="H697" s="86"/>
      <c r="I697" s="294" t="str">
        <f t="shared" si="41"/>
        <v/>
      </c>
      <c r="J697" s="59"/>
      <c r="K697" s="83"/>
      <c r="L697" s="83" t="str">
        <f t="shared" si="38"/>
        <v xml:space="preserve">
</v>
      </c>
      <c r="M697" s="83"/>
      <c r="N697" s="59"/>
      <c r="O697" s="59"/>
      <c r="P697" s="86" t="e">
        <f t="shared" si="39"/>
        <v>#VALUE!</v>
      </c>
      <c r="Q697" s="59"/>
      <c r="R697" s="59"/>
      <c r="S697" s="59"/>
      <c r="T697" s="59"/>
      <c r="U697" s="290"/>
      <c r="V697" s="290"/>
      <c r="W697" s="290"/>
      <c r="X697" s="290"/>
      <c r="Y697" s="290"/>
      <c r="Z697" s="290"/>
      <c r="AA697" s="290"/>
      <c r="AB697" s="290"/>
      <c r="AC697" s="290"/>
      <c r="AD697" s="290"/>
    </row>
    <row r="698" spans="1:30" ht="25.5">
      <c r="A698" s="291" t="str">
        <f t="shared" si="40"/>
        <v/>
      </c>
      <c r="B698" s="291" t="s">
        <v>2201</v>
      </c>
      <c r="C698" s="291" t="str">
        <f>IF(D697="","",UNIT!$B$1&amp;"-"&amp;B698)</f>
        <v/>
      </c>
      <c r="D698" s="83"/>
      <c r="E698" s="59"/>
      <c r="F698" s="82"/>
      <c r="G698" s="82"/>
      <c r="H698" s="86"/>
      <c r="I698" s="294" t="str">
        <f t="shared" si="41"/>
        <v/>
      </c>
      <c r="J698" s="59"/>
      <c r="K698" s="83"/>
      <c r="L698" s="83" t="str">
        <f t="shared" si="38"/>
        <v xml:space="preserve">
</v>
      </c>
      <c r="M698" s="83"/>
      <c r="N698" s="59"/>
      <c r="O698" s="59"/>
      <c r="P698" s="86" t="e">
        <f t="shared" si="39"/>
        <v>#VALUE!</v>
      </c>
      <c r="Q698" s="59"/>
      <c r="R698" s="59"/>
      <c r="S698" s="59"/>
      <c r="T698" s="59"/>
      <c r="U698" s="290"/>
      <c r="V698" s="290"/>
      <c r="W698" s="290"/>
      <c r="X698" s="290"/>
      <c r="Y698" s="290"/>
      <c r="Z698" s="290"/>
      <c r="AA698" s="290"/>
      <c r="AB698" s="290"/>
      <c r="AC698" s="290"/>
      <c r="AD698" s="290"/>
    </row>
    <row r="699" spans="1:30" ht="25.5">
      <c r="A699" s="291" t="str">
        <f t="shared" si="40"/>
        <v/>
      </c>
      <c r="B699" s="291" t="s">
        <v>2202</v>
      </c>
      <c r="C699" s="291" t="str">
        <f>IF(D698="","",UNIT!$B$1&amp;"-"&amp;B699)</f>
        <v/>
      </c>
      <c r="D699" s="83"/>
      <c r="E699" s="59"/>
      <c r="F699" s="82"/>
      <c r="G699" s="82"/>
      <c r="H699" s="86"/>
      <c r="I699" s="294" t="str">
        <f t="shared" si="41"/>
        <v/>
      </c>
      <c r="J699" s="59"/>
      <c r="K699" s="83"/>
      <c r="L699" s="83" t="str">
        <f t="shared" si="38"/>
        <v xml:space="preserve">
</v>
      </c>
      <c r="M699" s="83"/>
      <c r="N699" s="59"/>
      <c r="O699" s="59"/>
      <c r="P699" s="86" t="e">
        <f t="shared" si="39"/>
        <v>#VALUE!</v>
      </c>
      <c r="Q699" s="59"/>
      <c r="R699" s="59"/>
      <c r="S699" s="59"/>
      <c r="T699" s="59"/>
      <c r="U699" s="290"/>
      <c r="V699" s="290"/>
      <c r="W699" s="290"/>
      <c r="X699" s="290"/>
      <c r="Y699" s="290"/>
      <c r="Z699" s="290"/>
      <c r="AA699" s="290"/>
      <c r="AB699" s="290"/>
      <c r="AC699" s="290"/>
      <c r="AD699" s="290"/>
    </row>
    <row r="700" spans="1:30" ht="25.5">
      <c r="A700" s="291" t="str">
        <f t="shared" si="40"/>
        <v/>
      </c>
      <c r="B700" s="291" t="s">
        <v>2203</v>
      </c>
      <c r="C700" s="291" t="str">
        <f>IF(D699="","",UNIT!$B$1&amp;"-"&amp;B700)</f>
        <v/>
      </c>
      <c r="D700" s="83"/>
      <c r="E700" s="59"/>
      <c r="F700" s="82"/>
      <c r="G700" s="82"/>
      <c r="H700" s="86"/>
      <c r="I700" s="294" t="str">
        <f t="shared" si="41"/>
        <v/>
      </c>
      <c r="J700" s="59"/>
      <c r="K700" s="83"/>
      <c r="L700" s="83" t="str">
        <f t="shared" si="38"/>
        <v xml:space="preserve">
</v>
      </c>
      <c r="M700" s="83"/>
      <c r="N700" s="59"/>
      <c r="O700" s="59"/>
      <c r="P700" s="86" t="e">
        <f t="shared" si="39"/>
        <v>#VALUE!</v>
      </c>
      <c r="Q700" s="59"/>
      <c r="R700" s="59"/>
      <c r="S700" s="59"/>
      <c r="T700" s="59"/>
      <c r="U700" s="290"/>
      <c r="V700" s="290"/>
      <c r="W700" s="290"/>
      <c r="X700" s="290"/>
      <c r="Y700" s="290"/>
      <c r="Z700" s="290"/>
      <c r="AA700" s="290"/>
      <c r="AB700" s="290"/>
      <c r="AC700" s="290"/>
      <c r="AD700" s="290"/>
    </row>
    <row r="701" spans="1:30" ht="25.5">
      <c r="A701" s="291" t="str">
        <f t="shared" si="40"/>
        <v/>
      </c>
      <c r="B701" s="291" t="s">
        <v>2204</v>
      </c>
      <c r="C701" s="291" t="str">
        <f>IF(D700="","",UNIT!$B$1&amp;"-"&amp;B701)</f>
        <v/>
      </c>
      <c r="D701" s="83"/>
      <c r="E701" s="59"/>
      <c r="F701" s="82"/>
      <c r="G701" s="82"/>
      <c r="H701" s="86"/>
      <c r="I701" s="294" t="str">
        <f t="shared" si="41"/>
        <v/>
      </c>
      <c r="J701" s="59"/>
      <c r="K701" s="83"/>
      <c r="L701" s="83" t="str">
        <f t="shared" si="38"/>
        <v xml:space="preserve">
</v>
      </c>
      <c r="M701" s="83"/>
      <c r="N701" s="59"/>
      <c r="O701" s="59"/>
      <c r="P701" s="86" t="e">
        <f t="shared" si="39"/>
        <v>#VALUE!</v>
      </c>
      <c r="Q701" s="59"/>
      <c r="R701" s="59"/>
      <c r="S701" s="59"/>
      <c r="T701" s="59"/>
      <c r="U701" s="290"/>
      <c r="V701" s="290"/>
      <c r="W701" s="290"/>
      <c r="X701" s="290"/>
      <c r="Y701" s="290"/>
      <c r="Z701" s="290"/>
      <c r="AA701" s="290"/>
      <c r="AB701" s="290"/>
      <c r="AC701" s="290"/>
      <c r="AD701" s="290"/>
    </row>
    <row r="702" spans="1:30" ht="25.5">
      <c r="A702" s="291" t="str">
        <f t="shared" si="40"/>
        <v/>
      </c>
      <c r="B702" s="291" t="s">
        <v>2205</v>
      </c>
      <c r="C702" s="291" t="str">
        <f>IF(D701="","",UNIT!$B$1&amp;"-"&amp;B702)</f>
        <v/>
      </c>
      <c r="D702" s="83"/>
      <c r="E702" s="59"/>
      <c r="F702" s="82"/>
      <c r="G702" s="82"/>
      <c r="H702" s="86"/>
      <c r="I702" s="294" t="str">
        <f t="shared" si="41"/>
        <v/>
      </c>
      <c r="J702" s="59"/>
      <c r="K702" s="83"/>
      <c r="L702" s="83" t="str">
        <f t="shared" si="38"/>
        <v xml:space="preserve">
</v>
      </c>
      <c r="M702" s="83"/>
      <c r="N702" s="59"/>
      <c r="O702" s="59"/>
      <c r="P702" s="86" t="e">
        <f t="shared" si="39"/>
        <v>#VALUE!</v>
      </c>
      <c r="Q702" s="59"/>
      <c r="R702" s="59"/>
      <c r="S702" s="59"/>
      <c r="T702" s="59"/>
      <c r="U702" s="290"/>
      <c r="V702" s="290"/>
      <c r="W702" s="290"/>
      <c r="X702" s="290"/>
      <c r="Y702" s="290"/>
      <c r="Z702" s="290"/>
      <c r="AA702" s="290"/>
      <c r="AB702" s="290"/>
      <c r="AC702" s="290"/>
      <c r="AD702" s="290"/>
    </row>
    <row r="703" spans="1:30" ht="25.5">
      <c r="A703" s="291" t="str">
        <f t="shared" si="40"/>
        <v/>
      </c>
      <c r="B703" s="291" t="s">
        <v>2206</v>
      </c>
      <c r="C703" s="291" t="str">
        <f>IF(D702="","",UNIT!$B$1&amp;"-"&amp;B703)</f>
        <v/>
      </c>
      <c r="D703" s="83"/>
      <c r="E703" s="59"/>
      <c r="F703" s="82"/>
      <c r="G703" s="82"/>
      <c r="H703" s="86"/>
      <c r="I703" s="294" t="str">
        <f t="shared" si="41"/>
        <v/>
      </c>
      <c r="J703" s="59"/>
      <c r="K703" s="83"/>
      <c r="L703" s="83" t="str">
        <f t="shared" si="38"/>
        <v xml:space="preserve">
</v>
      </c>
      <c r="M703" s="83"/>
      <c r="N703" s="59"/>
      <c r="O703" s="59"/>
      <c r="P703" s="86" t="e">
        <f t="shared" si="39"/>
        <v>#VALUE!</v>
      </c>
      <c r="Q703" s="59"/>
      <c r="R703" s="59"/>
      <c r="S703" s="59"/>
      <c r="T703" s="59"/>
      <c r="U703" s="290"/>
      <c r="V703" s="290"/>
      <c r="W703" s="290"/>
      <c r="X703" s="290"/>
      <c r="Y703" s="290"/>
      <c r="Z703" s="290"/>
      <c r="AA703" s="290"/>
      <c r="AB703" s="290"/>
      <c r="AC703" s="290"/>
      <c r="AD703" s="290"/>
    </row>
    <row r="704" spans="1:30" ht="25.5">
      <c r="A704" s="291" t="str">
        <f t="shared" si="40"/>
        <v/>
      </c>
      <c r="B704" s="291" t="s">
        <v>2207</v>
      </c>
      <c r="C704" s="291" t="str">
        <f>IF(D703="","",UNIT!$B$1&amp;"-"&amp;B704)</f>
        <v/>
      </c>
      <c r="D704" s="83"/>
      <c r="E704" s="59"/>
      <c r="F704" s="82"/>
      <c r="G704" s="82"/>
      <c r="H704" s="86"/>
      <c r="I704" s="294" t="str">
        <f t="shared" si="41"/>
        <v/>
      </c>
      <c r="J704" s="59"/>
      <c r="K704" s="83"/>
      <c r="L704" s="83" t="str">
        <f t="shared" si="38"/>
        <v xml:space="preserve">
</v>
      </c>
      <c r="M704" s="83"/>
      <c r="N704" s="59"/>
      <c r="O704" s="59"/>
      <c r="P704" s="86" t="e">
        <f t="shared" si="39"/>
        <v>#VALUE!</v>
      </c>
      <c r="Q704" s="59"/>
      <c r="R704" s="59"/>
      <c r="S704" s="59"/>
      <c r="T704" s="59"/>
      <c r="U704" s="290"/>
      <c r="V704" s="290"/>
      <c r="W704" s="290"/>
      <c r="X704" s="290"/>
      <c r="Y704" s="290"/>
      <c r="Z704" s="290"/>
      <c r="AA704" s="290"/>
      <c r="AB704" s="290"/>
      <c r="AC704" s="290"/>
      <c r="AD704" s="290"/>
    </row>
    <row r="705" spans="1:30" ht="25.5">
      <c r="A705" s="291" t="str">
        <f t="shared" si="40"/>
        <v/>
      </c>
      <c r="B705" s="291" t="s">
        <v>2208</v>
      </c>
      <c r="C705" s="291" t="str">
        <f>IF(D704="","",UNIT!$B$1&amp;"-"&amp;B705)</f>
        <v/>
      </c>
      <c r="D705" s="83"/>
      <c r="E705" s="59"/>
      <c r="F705" s="82"/>
      <c r="G705" s="82"/>
      <c r="H705" s="86"/>
      <c r="I705" s="294" t="str">
        <f t="shared" si="41"/>
        <v/>
      </c>
      <c r="J705" s="59"/>
      <c r="K705" s="83"/>
      <c r="L705" s="83" t="str">
        <f t="shared" si="38"/>
        <v xml:space="preserve">
</v>
      </c>
      <c r="M705" s="83"/>
      <c r="N705" s="59"/>
      <c r="O705" s="59"/>
      <c r="P705" s="86" t="e">
        <f t="shared" si="39"/>
        <v>#VALUE!</v>
      </c>
      <c r="Q705" s="59"/>
      <c r="R705" s="59"/>
      <c r="S705" s="59"/>
      <c r="T705" s="59"/>
      <c r="U705" s="290"/>
      <c r="V705" s="290"/>
      <c r="W705" s="290"/>
      <c r="X705" s="290"/>
      <c r="Y705" s="290"/>
      <c r="Z705" s="290"/>
      <c r="AA705" s="290"/>
      <c r="AB705" s="290"/>
      <c r="AC705" s="290"/>
      <c r="AD705" s="290"/>
    </row>
    <row r="706" spans="1:30" ht="25.5">
      <c r="A706" s="291" t="str">
        <f t="shared" si="40"/>
        <v/>
      </c>
      <c r="B706" s="291" t="s">
        <v>2209</v>
      </c>
      <c r="C706" s="291" t="str">
        <f>IF(D705="","",UNIT!$B$1&amp;"-"&amp;B706)</f>
        <v/>
      </c>
      <c r="D706" s="83"/>
      <c r="E706" s="59"/>
      <c r="F706" s="82"/>
      <c r="G706" s="82"/>
      <c r="H706" s="86"/>
      <c r="I706" s="294" t="str">
        <f t="shared" si="41"/>
        <v/>
      </c>
      <c r="J706" s="59"/>
      <c r="K706" s="83"/>
      <c r="L706" s="83" t="str">
        <f t="shared" si="38"/>
        <v xml:space="preserve">
</v>
      </c>
      <c r="M706" s="83"/>
      <c r="N706" s="59"/>
      <c r="O706" s="59"/>
      <c r="P706" s="86" t="e">
        <f t="shared" si="39"/>
        <v>#VALUE!</v>
      </c>
      <c r="Q706" s="59"/>
      <c r="R706" s="59"/>
      <c r="S706" s="59"/>
      <c r="T706" s="59"/>
      <c r="U706" s="290"/>
      <c r="V706" s="290"/>
      <c r="W706" s="290"/>
      <c r="X706" s="290"/>
      <c r="Y706" s="290"/>
      <c r="Z706" s="290"/>
      <c r="AA706" s="290"/>
      <c r="AB706" s="290"/>
      <c r="AC706" s="290"/>
      <c r="AD706" s="290"/>
    </row>
    <row r="707" spans="1:30" ht="25.5">
      <c r="A707" s="291" t="str">
        <f t="shared" si="40"/>
        <v/>
      </c>
      <c r="B707" s="291" t="s">
        <v>2210</v>
      </c>
      <c r="C707" s="291" t="str">
        <f>IF(D706="","",UNIT!$B$1&amp;"-"&amp;B707)</f>
        <v/>
      </c>
      <c r="D707" s="83"/>
      <c r="E707" s="59"/>
      <c r="F707" s="82"/>
      <c r="G707" s="82"/>
      <c r="H707" s="86"/>
      <c r="I707" s="294" t="str">
        <f t="shared" si="41"/>
        <v/>
      </c>
      <c r="J707" s="59"/>
      <c r="K707" s="83"/>
      <c r="L707" s="83" t="str">
        <f t="shared" si="38"/>
        <v xml:space="preserve">
</v>
      </c>
      <c r="M707" s="83"/>
      <c r="N707" s="59"/>
      <c r="O707" s="59"/>
      <c r="P707" s="86" t="e">
        <f t="shared" si="39"/>
        <v>#VALUE!</v>
      </c>
      <c r="Q707" s="59"/>
      <c r="R707" s="59"/>
      <c r="S707" s="59"/>
      <c r="T707" s="59"/>
      <c r="U707" s="290"/>
      <c r="V707" s="290"/>
      <c r="W707" s="290"/>
      <c r="X707" s="290"/>
      <c r="Y707" s="290"/>
      <c r="Z707" s="290"/>
      <c r="AA707" s="290"/>
      <c r="AB707" s="290"/>
      <c r="AC707" s="290"/>
      <c r="AD707" s="290"/>
    </row>
    <row r="708" spans="1:30" ht="25.5">
      <c r="A708" s="291" t="str">
        <f t="shared" si="40"/>
        <v/>
      </c>
      <c r="B708" s="291" t="s">
        <v>2211</v>
      </c>
      <c r="C708" s="291" t="str">
        <f>IF(D707="","",UNIT!$B$1&amp;"-"&amp;B708)</f>
        <v/>
      </c>
      <c r="D708" s="83"/>
      <c r="E708" s="59"/>
      <c r="F708" s="82"/>
      <c r="G708" s="82"/>
      <c r="H708" s="86"/>
      <c r="I708" s="294" t="str">
        <f t="shared" si="41"/>
        <v/>
      </c>
      <c r="J708" s="59"/>
      <c r="K708" s="83"/>
      <c r="L708" s="83" t="str">
        <f t="shared" si="38"/>
        <v xml:space="preserve">
</v>
      </c>
      <c r="M708" s="83"/>
      <c r="N708" s="59"/>
      <c r="O708" s="59"/>
      <c r="P708" s="86" t="e">
        <f t="shared" si="39"/>
        <v>#VALUE!</v>
      </c>
      <c r="Q708" s="59"/>
      <c r="R708" s="59"/>
      <c r="S708" s="59"/>
      <c r="T708" s="59"/>
      <c r="U708" s="290"/>
      <c r="V708" s="290"/>
      <c r="W708" s="290"/>
      <c r="X708" s="290"/>
      <c r="Y708" s="290"/>
      <c r="Z708" s="290"/>
      <c r="AA708" s="290"/>
      <c r="AB708" s="290"/>
      <c r="AC708" s="290"/>
      <c r="AD708" s="290"/>
    </row>
    <row r="709" spans="1:30" ht="25.5">
      <c r="A709" s="291" t="str">
        <f t="shared" si="40"/>
        <v/>
      </c>
      <c r="B709" s="291" t="s">
        <v>2212</v>
      </c>
      <c r="C709" s="291" t="str">
        <f>IF(D708="","",UNIT!$B$1&amp;"-"&amp;B709)</f>
        <v/>
      </c>
      <c r="D709" s="83"/>
      <c r="E709" s="59"/>
      <c r="F709" s="82"/>
      <c r="G709" s="82"/>
      <c r="H709" s="86"/>
      <c r="I709" s="294" t="str">
        <f t="shared" si="41"/>
        <v/>
      </c>
      <c r="J709" s="59"/>
      <c r="K709" s="83"/>
      <c r="L709" s="83" t="str">
        <f t="shared" si="38"/>
        <v xml:space="preserve">
</v>
      </c>
      <c r="M709" s="83"/>
      <c r="N709" s="59"/>
      <c r="O709" s="59"/>
      <c r="P709" s="86" t="e">
        <f t="shared" si="39"/>
        <v>#VALUE!</v>
      </c>
      <c r="Q709" s="59"/>
      <c r="R709" s="59"/>
      <c r="S709" s="59"/>
      <c r="T709" s="59"/>
      <c r="U709" s="290"/>
      <c r="V709" s="290"/>
      <c r="W709" s="290"/>
      <c r="X709" s="290"/>
      <c r="Y709" s="290"/>
      <c r="Z709" s="290"/>
      <c r="AA709" s="290"/>
      <c r="AB709" s="290"/>
      <c r="AC709" s="290"/>
      <c r="AD709" s="290"/>
    </row>
    <row r="710" spans="1:30" ht="25.5">
      <c r="A710" s="291" t="str">
        <f t="shared" si="40"/>
        <v/>
      </c>
      <c r="B710" s="291" t="s">
        <v>2213</v>
      </c>
      <c r="C710" s="291" t="str">
        <f>IF(D709="","",UNIT!$B$1&amp;"-"&amp;B710)</f>
        <v/>
      </c>
      <c r="D710" s="83"/>
      <c r="E710" s="59"/>
      <c r="F710" s="82"/>
      <c r="G710" s="82"/>
      <c r="H710" s="86"/>
      <c r="I710" s="294" t="str">
        <f t="shared" si="41"/>
        <v/>
      </c>
      <c r="J710" s="59"/>
      <c r="K710" s="83"/>
      <c r="L710" s="83" t="str">
        <f t="shared" si="38"/>
        <v xml:space="preserve">
</v>
      </c>
      <c r="M710" s="83"/>
      <c r="N710" s="59"/>
      <c r="O710" s="59"/>
      <c r="P710" s="86" t="e">
        <f t="shared" si="39"/>
        <v>#VALUE!</v>
      </c>
      <c r="Q710" s="59"/>
      <c r="R710" s="59"/>
      <c r="S710" s="59"/>
      <c r="T710" s="59"/>
      <c r="U710" s="290"/>
      <c r="V710" s="290"/>
      <c r="W710" s="290"/>
      <c r="X710" s="290"/>
      <c r="Y710" s="290"/>
      <c r="Z710" s="290"/>
      <c r="AA710" s="290"/>
      <c r="AB710" s="290"/>
      <c r="AC710" s="290"/>
      <c r="AD710" s="290"/>
    </row>
    <row r="711" spans="1:30" ht="25.5">
      <c r="A711" s="291" t="str">
        <f t="shared" si="40"/>
        <v/>
      </c>
      <c r="B711" s="291" t="s">
        <v>2214</v>
      </c>
      <c r="C711" s="291" t="str">
        <f>IF(D710="","",UNIT!$B$1&amp;"-"&amp;B711)</f>
        <v/>
      </c>
      <c r="D711" s="83"/>
      <c r="E711" s="59"/>
      <c r="F711" s="82"/>
      <c r="G711" s="82"/>
      <c r="H711" s="86"/>
      <c r="I711" s="294" t="str">
        <f t="shared" si="41"/>
        <v/>
      </c>
      <c r="J711" s="59"/>
      <c r="K711" s="83"/>
      <c r="L711" s="83" t="str">
        <f t="shared" si="38"/>
        <v xml:space="preserve">
</v>
      </c>
      <c r="M711" s="83"/>
      <c r="N711" s="59"/>
      <c r="O711" s="59"/>
      <c r="P711" s="86" t="e">
        <f t="shared" si="39"/>
        <v>#VALUE!</v>
      </c>
      <c r="Q711" s="59"/>
      <c r="R711" s="59"/>
      <c r="S711" s="59"/>
      <c r="T711" s="59"/>
      <c r="U711" s="290"/>
      <c r="V711" s="290"/>
      <c r="W711" s="290"/>
      <c r="X711" s="290"/>
      <c r="Y711" s="290"/>
      <c r="Z711" s="290"/>
      <c r="AA711" s="290"/>
      <c r="AB711" s="290"/>
      <c r="AC711" s="290"/>
      <c r="AD711" s="290"/>
    </row>
    <row r="712" spans="1:30" ht="25.5">
      <c r="A712" s="291" t="str">
        <f t="shared" si="40"/>
        <v/>
      </c>
      <c r="B712" s="291" t="s">
        <v>2215</v>
      </c>
      <c r="C712" s="291" t="str">
        <f>IF(D711="","",UNIT!$B$1&amp;"-"&amp;B712)</f>
        <v/>
      </c>
      <c r="D712" s="83"/>
      <c r="E712" s="59"/>
      <c r="F712" s="82"/>
      <c r="G712" s="82"/>
      <c r="H712" s="86"/>
      <c r="I712" s="294" t="str">
        <f t="shared" si="41"/>
        <v/>
      </c>
      <c r="J712" s="59"/>
      <c r="K712" s="83"/>
      <c r="L712" s="83" t="str">
        <f t="shared" si="38"/>
        <v xml:space="preserve">
</v>
      </c>
      <c r="M712" s="83"/>
      <c r="N712" s="59"/>
      <c r="O712" s="59"/>
      <c r="P712" s="86" t="e">
        <f t="shared" si="39"/>
        <v>#VALUE!</v>
      </c>
      <c r="Q712" s="59"/>
      <c r="R712" s="59"/>
      <c r="S712" s="59"/>
      <c r="T712" s="59"/>
      <c r="U712" s="290"/>
      <c r="V712" s="290"/>
      <c r="W712" s="290"/>
      <c r="X712" s="290"/>
      <c r="Y712" s="290"/>
      <c r="Z712" s="290"/>
      <c r="AA712" s="290"/>
      <c r="AB712" s="290"/>
      <c r="AC712" s="290"/>
      <c r="AD712" s="290"/>
    </row>
    <row r="713" spans="1:30" ht="25.5">
      <c r="A713" s="291" t="str">
        <f t="shared" si="40"/>
        <v/>
      </c>
      <c r="B713" s="291" t="s">
        <v>2216</v>
      </c>
      <c r="C713" s="291" t="str">
        <f>IF(D712="","",UNIT!$B$1&amp;"-"&amp;B713)</f>
        <v/>
      </c>
      <c r="D713" s="83"/>
      <c r="E713" s="59"/>
      <c r="F713" s="82"/>
      <c r="G713" s="82"/>
      <c r="H713" s="86"/>
      <c r="I713" s="294" t="str">
        <f t="shared" si="41"/>
        <v/>
      </c>
      <c r="J713" s="59"/>
      <c r="K713" s="83"/>
      <c r="L713" s="83" t="str">
        <f t="shared" si="38"/>
        <v xml:space="preserve">
</v>
      </c>
      <c r="M713" s="83"/>
      <c r="N713" s="59"/>
      <c r="O713" s="59"/>
      <c r="P713" s="86" t="e">
        <f t="shared" si="39"/>
        <v>#VALUE!</v>
      </c>
      <c r="Q713" s="59"/>
      <c r="R713" s="59"/>
      <c r="S713" s="59"/>
      <c r="T713" s="59"/>
      <c r="U713" s="290"/>
      <c r="V713" s="290"/>
      <c r="W713" s="290"/>
      <c r="X713" s="290"/>
      <c r="Y713" s="290"/>
      <c r="Z713" s="290"/>
      <c r="AA713" s="290"/>
      <c r="AB713" s="290"/>
      <c r="AC713" s="290"/>
      <c r="AD713" s="290"/>
    </row>
    <row r="714" spans="1:30" ht="25.5">
      <c r="A714" s="291" t="str">
        <f t="shared" si="40"/>
        <v/>
      </c>
      <c r="B714" s="291" t="s">
        <v>2217</v>
      </c>
      <c r="C714" s="291" t="str">
        <f>IF(D713="","",UNIT!$B$1&amp;"-"&amp;B714)</f>
        <v/>
      </c>
      <c r="D714" s="83"/>
      <c r="E714" s="59"/>
      <c r="F714" s="82"/>
      <c r="G714" s="82"/>
      <c r="H714" s="86"/>
      <c r="I714" s="294" t="str">
        <f t="shared" si="41"/>
        <v/>
      </c>
      <c r="J714" s="59"/>
      <c r="K714" s="83"/>
      <c r="L714" s="83" t="str">
        <f t="shared" si="38"/>
        <v xml:space="preserve">
</v>
      </c>
      <c r="M714" s="83"/>
      <c r="N714" s="59"/>
      <c r="O714" s="59"/>
      <c r="P714" s="86" t="e">
        <f t="shared" si="39"/>
        <v>#VALUE!</v>
      </c>
      <c r="Q714" s="59"/>
      <c r="R714" s="59"/>
      <c r="S714" s="59"/>
      <c r="T714" s="59"/>
      <c r="U714" s="290"/>
      <c r="V714" s="290"/>
      <c r="W714" s="290"/>
      <c r="X714" s="290"/>
      <c r="Y714" s="290"/>
      <c r="Z714" s="290"/>
      <c r="AA714" s="290"/>
      <c r="AB714" s="290"/>
      <c r="AC714" s="290"/>
      <c r="AD714" s="290"/>
    </row>
    <row r="715" spans="1:30" ht="25.5">
      <c r="A715" s="291" t="str">
        <f t="shared" si="40"/>
        <v/>
      </c>
      <c r="B715" s="291" t="s">
        <v>2218</v>
      </c>
      <c r="C715" s="291" t="str">
        <f>IF(D714="","",UNIT!$B$1&amp;"-"&amp;B715)</f>
        <v/>
      </c>
      <c r="D715" s="83"/>
      <c r="E715" s="59"/>
      <c r="F715" s="82"/>
      <c r="G715" s="82"/>
      <c r="H715" s="86"/>
      <c r="I715" s="294" t="str">
        <f t="shared" si="41"/>
        <v/>
      </c>
      <c r="J715" s="59"/>
      <c r="K715" s="83"/>
      <c r="L715" s="83" t="str">
        <f t="shared" si="38"/>
        <v xml:space="preserve">
</v>
      </c>
      <c r="M715" s="83"/>
      <c r="N715" s="59"/>
      <c r="O715" s="59"/>
      <c r="P715" s="86" t="e">
        <f t="shared" si="39"/>
        <v>#VALUE!</v>
      </c>
      <c r="Q715" s="59"/>
      <c r="R715" s="59"/>
      <c r="S715" s="59"/>
      <c r="T715" s="59"/>
      <c r="U715" s="290"/>
      <c r="V715" s="290"/>
      <c r="W715" s="290"/>
      <c r="X715" s="290"/>
      <c r="Y715" s="290"/>
      <c r="Z715" s="290"/>
      <c r="AA715" s="290"/>
      <c r="AB715" s="290"/>
      <c r="AC715" s="290"/>
      <c r="AD715" s="290"/>
    </row>
    <row r="716" spans="1:30" ht="25.5">
      <c r="A716" s="291" t="str">
        <f t="shared" si="40"/>
        <v/>
      </c>
      <c r="B716" s="291" t="s">
        <v>2219</v>
      </c>
      <c r="C716" s="291" t="str">
        <f>IF(D715="","",UNIT!$B$1&amp;"-"&amp;B716)</f>
        <v/>
      </c>
      <c r="D716" s="83"/>
      <c r="E716" s="59"/>
      <c r="F716" s="82"/>
      <c r="G716" s="82"/>
      <c r="H716" s="86"/>
      <c r="I716" s="294" t="str">
        <f t="shared" si="41"/>
        <v/>
      </c>
      <c r="J716" s="59"/>
      <c r="K716" s="83"/>
      <c r="L716" s="83" t="str">
        <f t="shared" si="38"/>
        <v xml:space="preserve">
</v>
      </c>
      <c r="M716" s="83"/>
      <c r="N716" s="59"/>
      <c r="O716" s="59"/>
      <c r="P716" s="86" t="e">
        <f t="shared" si="39"/>
        <v>#VALUE!</v>
      </c>
      <c r="Q716" s="59"/>
      <c r="R716" s="59"/>
      <c r="S716" s="59"/>
      <c r="T716" s="59"/>
      <c r="U716" s="290"/>
      <c r="V716" s="290"/>
      <c r="W716" s="290"/>
      <c r="X716" s="290"/>
      <c r="Y716" s="290"/>
      <c r="Z716" s="290"/>
      <c r="AA716" s="290"/>
      <c r="AB716" s="290"/>
      <c r="AC716" s="290"/>
      <c r="AD716" s="290"/>
    </row>
    <row r="717" spans="1:30" ht="25.5">
      <c r="A717" s="291" t="str">
        <f t="shared" si="40"/>
        <v/>
      </c>
      <c r="B717" s="291" t="s">
        <v>2220</v>
      </c>
      <c r="C717" s="291" t="str">
        <f>IF(D716="","",UNIT!$B$1&amp;"-"&amp;B717)</f>
        <v/>
      </c>
      <c r="D717" s="83"/>
      <c r="E717" s="59"/>
      <c r="F717" s="82"/>
      <c r="G717" s="82"/>
      <c r="H717" s="86"/>
      <c r="I717" s="294" t="str">
        <f t="shared" si="41"/>
        <v/>
      </c>
      <c r="J717" s="59"/>
      <c r="K717" s="83"/>
      <c r="L717" s="83" t="str">
        <f t="shared" si="38"/>
        <v xml:space="preserve">
</v>
      </c>
      <c r="M717" s="83"/>
      <c r="N717" s="59"/>
      <c r="O717" s="59"/>
      <c r="P717" s="86" t="e">
        <f t="shared" si="39"/>
        <v>#VALUE!</v>
      </c>
      <c r="Q717" s="59"/>
      <c r="R717" s="59"/>
      <c r="S717" s="59"/>
      <c r="T717" s="59"/>
      <c r="U717" s="290"/>
      <c r="V717" s="290"/>
      <c r="W717" s="290"/>
      <c r="X717" s="290"/>
      <c r="Y717" s="290"/>
      <c r="Z717" s="290"/>
      <c r="AA717" s="290"/>
      <c r="AB717" s="290"/>
      <c r="AC717" s="290"/>
      <c r="AD717" s="290"/>
    </row>
    <row r="718" spans="1:30" ht="25.5">
      <c r="A718" s="291" t="str">
        <f t="shared" si="40"/>
        <v/>
      </c>
      <c r="B718" s="291" t="s">
        <v>2221</v>
      </c>
      <c r="C718" s="291" t="str">
        <f>IF(D717="","",UNIT!$B$1&amp;"-"&amp;B718)</f>
        <v/>
      </c>
      <c r="D718" s="83"/>
      <c r="E718" s="59"/>
      <c r="F718" s="82"/>
      <c r="G718" s="82"/>
      <c r="H718" s="86"/>
      <c r="I718" s="294" t="str">
        <f t="shared" si="41"/>
        <v/>
      </c>
      <c r="J718" s="59"/>
      <c r="K718" s="83"/>
      <c r="L718" s="83" t="str">
        <f t="shared" si="38"/>
        <v xml:space="preserve">
</v>
      </c>
      <c r="M718" s="83"/>
      <c r="N718" s="59"/>
      <c r="O718" s="59"/>
      <c r="P718" s="86" t="e">
        <f t="shared" si="39"/>
        <v>#VALUE!</v>
      </c>
      <c r="Q718" s="59"/>
      <c r="R718" s="59"/>
      <c r="S718" s="59"/>
      <c r="T718" s="59"/>
      <c r="U718" s="290"/>
      <c r="V718" s="290"/>
      <c r="W718" s="290"/>
      <c r="X718" s="290"/>
      <c r="Y718" s="290"/>
      <c r="Z718" s="290"/>
      <c r="AA718" s="290"/>
      <c r="AB718" s="290"/>
      <c r="AC718" s="290"/>
      <c r="AD718" s="290"/>
    </row>
    <row r="719" spans="1:30" ht="25.5">
      <c r="A719" s="291" t="str">
        <f t="shared" si="40"/>
        <v/>
      </c>
      <c r="B719" s="291" t="s">
        <v>2222</v>
      </c>
      <c r="C719" s="291" t="str">
        <f>IF(D718="","",UNIT!$B$1&amp;"-"&amp;B719)</f>
        <v/>
      </c>
      <c r="D719" s="83"/>
      <c r="E719" s="59"/>
      <c r="F719" s="82"/>
      <c r="G719" s="82"/>
      <c r="H719" s="86"/>
      <c r="I719" s="294" t="str">
        <f t="shared" si="41"/>
        <v/>
      </c>
      <c r="J719" s="59"/>
      <c r="K719" s="83"/>
      <c r="L719" s="83" t="str">
        <f t="shared" si="38"/>
        <v xml:space="preserve">
</v>
      </c>
      <c r="M719" s="83"/>
      <c r="N719" s="59"/>
      <c r="O719" s="59"/>
      <c r="P719" s="86" t="e">
        <f t="shared" si="39"/>
        <v>#VALUE!</v>
      </c>
      <c r="Q719" s="59"/>
      <c r="R719" s="59"/>
      <c r="S719" s="59"/>
      <c r="T719" s="59"/>
      <c r="U719" s="290"/>
      <c r="V719" s="290"/>
      <c r="W719" s="290"/>
      <c r="X719" s="290"/>
      <c r="Y719" s="290"/>
      <c r="Z719" s="290"/>
      <c r="AA719" s="290"/>
      <c r="AB719" s="290"/>
      <c r="AC719" s="290"/>
      <c r="AD719" s="290"/>
    </row>
    <row r="720" spans="1:30" ht="25.5">
      <c r="A720" s="291" t="str">
        <f t="shared" si="40"/>
        <v/>
      </c>
      <c r="B720" s="291" t="s">
        <v>2223</v>
      </c>
      <c r="C720" s="291" t="str">
        <f>IF(D719="","",UNIT!$B$1&amp;"-"&amp;B720)</f>
        <v/>
      </c>
      <c r="D720" s="83"/>
      <c r="E720" s="59"/>
      <c r="F720" s="82"/>
      <c r="G720" s="82"/>
      <c r="H720" s="86"/>
      <c r="I720" s="294" t="str">
        <f t="shared" si="41"/>
        <v/>
      </c>
      <c r="J720" s="59"/>
      <c r="K720" s="83"/>
      <c r="L720" s="83" t="str">
        <f t="shared" si="38"/>
        <v xml:space="preserve">
</v>
      </c>
      <c r="M720" s="83"/>
      <c r="N720" s="59"/>
      <c r="O720" s="59"/>
      <c r="P720" s="86" t="e">
        <f t="shared" si="39"/>
        <v>#VALUE!</v>
      </c>
      <c r="Q720" s="59"/>
      <c r="R720" s="59"/>
      <c r="S720" s="59"/>
      <c r="T720" s="59"/>
      <c r="U720" s="290"/>
      <c r="V720" s="290"/>
      <c r="W720" s="290"/>
      <c r="X720" s="290"/>
      <c r="Y720" s="290"/>
      <c r="Z720" s="290"/>
      <c r="AA720" s="290"/>
      <c r="AB720" s="290"/>
      <c r="AC720" s="290"/>
      <c r="AD720" s="290"/>
    </row>
    <row r="721" spans="1:30" ht="25.5">
      <c r="A721" s="291" t="str">
        <f t="shared" si="40"/>
        <v/>
      </c>
      <c r="B721" s="291" t="s">
        <v>2224</v>
      </c>
      <c r="C721" s="291" t="str">
        <f>IF(D720="","",UNIT!$B$1&amp;"-"&amp;B721)</f>
        <v/>
      </c>
      <c r="D721" s="83"/>
      <c r="E721" s="59"/>
      <c r="F721" s="82"/>
      <c r="G721" s="82"/>
      <c r="H721" s="86"/>
      <c r="I721" s="294" t="str">
        <f t="shared" si="41"/>
        <v/>
      </c>
      <c r="J721" s="59"/>
      <c r="K721" s="83"/>
      <c r="L721" s="83" t="str">
        <f t="shared" si="38"/>
        <v xml:space="preserve">
</v>
      </c>
      <c r="M721" s="83"/>
      <c r="N721" s="59"/>
      <c r="O721" s="59"/>
      <c r="P721" s="86" t="e">
        <f t="shared" si="39"/>
        <v>#VALUE!</v>
      </c>
      <c r="Q721" s="59"/>
      <c r="R721" s="59"/>
      <c r="S721" s="59"/>
      <c r="T721" s="59"/>
      <c r="U721" s="290"/>
      <c r="V721" s="290"/>
      <c r="W721" s="290"/>
      <c r="X721" s="290"/>
      <c r="Y721" s="290"/>
      <c r="Z721" s="290"/>
      <c r="AA721" s="290"/>
      <c r="AB721" s="290"/>
      <c r="AC721" s="290"/>
      <c r="AD721" s="290"/>
    </row>
    <row r="722" spans="1:30" ht="25.5">
      <c r="A722" s="291" t="str">
        <f t="shared" si="40"/>
        <v/>
      </c>
      <c r="B722" s="291" t="s">
        <v>2225</v>
      </c>
      <c r="C722" s="291" t="str">
        <f>IF(D721="","",UNIT!$B$1&amp;"-"&amp;B722)</f>
        <v/>
      </c>
      <c r="D722" s="83"/>
      <c r="E722" s="59"/>
      <c r="F722" s="82"/>
      <c r="G722" s="82"/>
      <c r="H722" s="86"/>
      <c r="I722" s="294" t="str">
        <f t="shared" si="41"/>
        <v/>
      </c>
      <c r="J722" s="59"/>
      <c r="K722" s="83"/>
      <c r="L722" s="83" t="str">
        <f t="shared" si="38"/>
        <v xml:space="preserve">
</v>
      </c>
      <c r="M722" s="83"/>
      <c r="N722" s="59"/>
      <c r="O722" s="59"/>
      <c r="P722" s="86" t="e">
        <f t="shared" si="39"/>
        <v>#VALUE!</v>
      </c>
      <c r="Q722" s="59"/>
      <c r="R722" s="59"/>
      <c r="S722" s="59"/>
      <c r="T722" s="59"/>
      <c r="U722" s="290"/>
      <c r="V722" s="290"/>
      <c r="W722" s="290"/>
      <c r="X722" s="290"/>
      <c r="Y722" s="290"/>
      <c r="Z722" s="290"/>
      <c r="AA722" s="290"/>
      <c r="AB722" s="290"/>
      <c r="AC722" s="290"/>
      <c r="AD722" s="290"/>
    </row>
    <row r="723" spans="1:30" ht="25.5">
      <c r="A723" s="291" t="str">
        <f t="shared" si="40"/>
        <v/>
      </c>
      <c r="B723" s="291" t="s">
        <v>2226</v>
      </c>
      <c r="C723" s="291" t="str">
        <f>IF(D722="","",UNIT!$B$1&amp;"-"&amp;B723)</f>
        <v/>
      </c>
      <c r="D723" s="83"/>
      <c r="E723" s="59"/>
      <c r="F723" s="82"/>
      <c r="G723" s="82"/>
      <c r="H723" s="86"/>
      <c r="I723" s="294" t="str">
        <f t="shared" si="41"/>
        <v/>
      </c>
      <c r="J723" s="59"/>
      <c r="K723" s="83"/>
      <c r="L723" s="83" t="str">
        <f t="shared" si="38"/>
        <v xml:space="preserve">
</v>
      </c>
      <c r="M723" s="83"/>
      <c r="N723" s="59"/>
      <c r="O723" s="59"/>
      <c r="P723" s="86" t="e">
        <f t="shared" si="39"/>
        <v>#VALUE!</v>
      </c>
      <c r="Q723" s="59"/>
      <c r="R723" s="59"/>
      <c r="S723" s="59"/>
      <c r="T723" s="59"/>
      <c r="U723" s="290"/>
      <c r="V723" s="290"/>
      <c r="W723" s="290"/>
      <c r="X723" s="290"/>
      <c r="Y723" s="290"/>
      <c r="Z723" s="290"/>
      <c r="AA723" s="290"/>
      <c r="AB723" s="290"/>
      <c r="AC723" s="290"/>
      <c r="AD723" s="290"/>
    </row>
    <row r="724" spans="1:30" ht="25.5">
      <c r="A724" s="291" t="str">
        <f t="shared" si="40"/>
        <v/>
      </c>
      <c r="B724" s="291" t="s">
        <v>2227</v>
      </c>
      <c r="C724" s="291" t="str">
        <f>IF(D723="","",UNIT!$B$1&amp;"-"&amp;B724)</f>
        <v/>
      </c>
      <c r="D724" s="83"/>
      <c r="E724" s="59"/>
      <c r="F724" s="82"/>
      <c r="G724" s="82"/>
      <c r="H724" s="86"/>
      <c r="I724" s="294" t="str">
        <f t="shared" si="41"/>
        <v/>
      </c>
      <c r="J724" s="59"/>
      <c r="K724" s="83"/>
      <c r="L724" s="83" t="str">
        <f t="shared" si="38"/>
        <v xml:space="preserve">
</v>
      </c>
      <c r="M724" s="83"/>
      <c r="N724" s="59"/>
      <c r="O724" s="59"/>
      <c r="P724" s="86" t="e">
        <f t="shared" si="39"/>
        <v>#VALUE!</v>
      </c>
      <c r="Q724" s="59"/>
      <c r="R724" s="59"/>
      <c r="S724" s="59"/>
      <c r="T724" s="59"/>
      <c r="U724" s="290"/>
      <c r="V724" s="290"/>
      <c r="W724" s="290"/>
      <c r="X724" s="290"/>
      <c r="Y724" s="290"/>
      <c r="Z724" s="290"/>
      <c r="AA724" s="290"/>
      <c r="AB724" s="290"/>
      <c r="AC724" s="290"/>
      <c r="AD724" s="290"/>
    </row>
    <row r="725" spans="1:30" ht="25.5">
      <c r="A725" s="291" t="str">
        <f t="shared" si="40"/>
        <v/>
      </c>
      <c r="B725" s="291" t="s">
        <v>2228</v>
      </c>
      <c r="C725" s="291" t="str">
        <f>IF(D724="","",UNIT!$B$1&amp;"-"&amp;B725)</f>
        <v/>
      </c>
      <c r="D725" s="83"/>
      <c r="E725" s="59"/>
      <c r="F725" s="82"/>
      <c r="G725" s="82"/>
      <c r="H725" s="86"/>
      <c r="I725" s="294" t="str">
        <f t="shared" si="41"/>
        <v/>
      </c>
      <c r="J725" s="59"/>
      <c r="K725" s="83"/>
      <c r="L725" s="83" t="str">
        <f t="shared" si="38"/>
        <v xml:space="preserve">
</v>
      </c>
      <c r="M725" s="83"/>
      <c r="N725" s="59"/>
      <c r="O725" s="59"/>
      <c r="P725" s="86" t="e">
        <f t="shared" si="39"/>
        <v>#VALUE!</v>
      </c>
      <c r="Q725" s="59"/>
      <c r="R725" s="59"/>
      <c r="S725" s="59"/>
      <c r="T725" s="59"/>
      <c r="U725" s="290"/>
      <c r="V725" s="290"/>
      <c r="W725" s="290"/>
      <c r="X725" s="290"/>
      <c r="Y725" s="290"/>
      <c r="Z725" s="290"/>
      <c r="AA725" s="290"/>
      <c r="AB725" s="290"/>
      <c r="AC725" s="290"/>
      <c r="AD725" s="290"/>
    </row>
    <row r="726" spans="1:30" ht="25.5">
      <c r="A726" s="291" t="str">
        <f t="shared" si="40"/>
        <v/>
      </c>
      <c r="B726" s="291" t="s">
        <v>2229</v>
      </c>
      <c r="C726" s="291" t="str">
        <f>IF(D725="","",UNIT!$B$1&amp;"-"&amp;B726)</f>
        <v/>
      </c>
      <c r="D726" s="83"/>
      <c r="E726" s="59"/>
      <c r="F726" s="82"/>
      <c r="G726" s="82"/>
      <c r="H726" s="86"/>
      <c r="I726" s="294" t="str">
        <f t="shared" si="41"/>
        <v/>
      </c>
      <c r="J726" s="59"/>
      <c r="K726" s="83"/>
      <c r="L726" s="83" t="str">
        <f t="shared" si="38"/>
        <v xml:space="preserve">
</v>
      </c>
      <c r="M726" s="83"/>
      <c r="N726" s="59"/>
      <c r="O726" s="59"/>
      <c r="P726" s="86" t="e">
        <f t="shared" si="39"/>
        <v>#VALUE!</v>
      </c>
      <c r="Q726" s="59"/>
      <c r="R726" s="59"/>
      <c r="S726" s="59"/>
      <c r="T726" s="59"/>
      <c r="U726" s="290"/>
      <c r="V726" s="290"/>
      <c r="W726" s="290"/>
      <c r="X726" s="290"/>
      <c r="Y726" s="290"/>
      <c r="Z726" s="290"/>
      <c r="AA726" s="290"/>
      <c r="AB726" s="290"/>
      <c r="AC726" s="290"/>
      <c r="AD726" s="290"/>
    </row>
    <row r="727" spans="1:30" ht="25.5">
      <c r="A727" s="291" t="str">
        <f t="shared" si="40"/>
        <v/>
      </c>
      <c r="B727" s="291" t="s">
        <v>2230</v>
      </c>
      <c r="C727" s="291" t="str">
        <f>IF(D726="","",UNIT!$B$1&amp;"-"&amp;B727)</f>
        <v/>
      </c>
      <c r="D727" s="83"/>
      <c r="E727" s="59"/>
      <c r="F727" s="82"/>
      <c r="G727" s="82"/>
      <c r="H727" s="86"/>
      <c r="I727" s="294" t="str">
        <f t="shared" si="41"/>
        <v/>
      </c>
      <c r="J727" s="59"/>
      <c r="K727" s="83"/>
      <c r="L727" s="83" t="str">
        <f t="shared" si="38"/>
        <v xml:space="preserve">
</v>
      </c>
      <c r="M727" s="83"/>
      <c r="N727" s="59"/>
      <c r="O727" s="59"/>
      <c r="P727" s="86" t="e">
        <f t="shared" si="39"/>
        <v>#VALUE!</v>
      </c>
      <c r="Q727" s="59"/>
      <c r="R727" s="59"/>
      <c r="S727" s="59"/>
      <c r="T727" s="59"/>
      <c r="U727" s="290"/>
      <c r="V727" s="290"/>
      <c r="W727" s="290"/>
      <c r="X727" s="290"/>
      <c r="Y727" s="290"/>
      <c r="Z727" s="290"/>
      <c r="AA727" s="290"/>
      <c r="AB727" s="290"/>
      <c r="AC727" s="290"/>
      <c r="AD727" s="290"/>
    </row>
    <row r="728" spans="1:30" ht="25.5">
      <c r="A728" s="291" t="str">
        <f t="shared" si="40"/>
        <v/>
      </c>
      <c r="B728" s="291" t="s">
        <v>2231</v>
      </c>
      <c r="C728" s="291" t="str">
        <f>IF(D727="","",UNIT!$B$1&amp;"-"&amp;B728)</f>
        <v/>
      </c>
      <c r="D728" s="83"/>
      <c r="E728" s="59"/>
      <c r="F728" s="82"/>
      <c r="G728" s="82"/>
      <c r="H728" s="86"/>
      <c r="I728" s="294" t="str">
        <f t="shared" si="41"/>
        <v/>
      </c>
      <c r="J728" s="59"/>
      <c r="K728" s="83"/>
      <c r="L728" s="83" t="str">
        <f t="shared" si="38"/>
        <v xml:space="preserve">
</v>
      </c>
      <c r="M728" s="83"/>
      <c r="N728" s="59"/>
      <c r="O728" s="59"/>
      <c r="P728" s="86" t="e">
        <f t="shared" si="39"/>
        <v>#VALUE!</v>
      </c>
      <c r="Q728" s="59"/>
      <c r="R728" s="59"/>
      <c r="S728" s="59"/>
      <c r="T728" s="59"/>
      <c r="U728" s="290"/>
      <c r="V728" s="290"/>
      <c r="W728" s="290"/>
      <c r="X728" s="290"/>
      <c r="Y728" s="290"/>
      <c r="Z728" s="290"/>
      <c r="AA728" s="290"/>
      <c r="AB728" s="290"/>
      <c r="AC728" s="290"/>
      <c r="AD728" s="290"/>
    </row>
    <row r="729" spans="1:30" ht="25.5">
      <c r="A729" s="291" t="str">
        <f t="shared" si="40"/>
        <v/>
      </c>
      <c r="B729" s="291" t="s">
        <v>2232</v>
      </c>
      <c r="C729" s="291" t="str">
        <f>IF(D728="","",UNIT!$B$1&amp;"-"&amp;B729)</f>
        <v/>
      </c>
      <c r="D729" s="83"/>
      <c r="E729" s="59"/>
      <c r="F729" s="82"/>
      <c r="G729" s="82"/>
      <c r="H729" s="86"/>
      <c r="I729" s="294" t="str">
        <f t="shared" si="41"/>
        <v/>
      </c>
      <c r="J729" s="59"/>
      <c r="K729" s="83"/>
      <c r="L729" s="83" t="str">
        <f t="shared" si="38"/>
        <v xml:space="preserve">
</v>
      </c>
      <c r="M729" s="83"/>
      <c r="N729" s="59"/>
      <c r="O729" s="59"/>
      <c r="P729" s="86" t="e">
        <f t="shared" si="39"/>
        <v>#VALUE!</v>
      </c>
      <c r="Q729" s="59"/>
      <c r="R729" s="59"/>
      <c r="S729" s="59"/>
      <c r="T729" s="59"/>
      <c r="U729" s="290"/>
      <c r="V729" s="290"/>
      <c r="W729" s="290"/>
      <c r="X729" s="290"/>
      <c r="Y729" s="290"/>
      <c r="Z729" s="290"/>
      <c r="AA729" s="290"/>
      <c r="AB729" s="290"/>
      <c r="AC729" s="290"/>
      <c r="AD729" s="290"/>
    </row>
    <row r="730" spans="1:30" ht="25.5">
      <c r="A730" s="291" t="str">
        <f t="shared" si="40"/>
        <v/>
      </c>
      <c r="B730" s="291" t="s">
        <v>2233</v>
      </c>
      <c r="C730" s="291" t="str">
        <f>IF(D729="","",UNIT!$B$1&amp;"-"&amp;B730)</f>
        <v/>
      </c>
      <c r="D730" s="83"/>
      <c r="E730" s="59"/>
      <c r="F730" s="82"/>
      <c r="G730" s="82"/>
      <c r="H730" s="86"/>
      <c r="I730" s="294" t="str">
        <f t="shared" si="41"/>
        <v/>
      </c>
      <c r="J730" s="59"/>
      <c r="K730" s="83"/>
      <c r="L730" s="83" t="str">
        <f t="shared" si="38"/>
        <v xml:space="preserve">
</v>
      </c>
      <c r="M730" s="83"/>
      <c r="N730" s="59"/>
      <c r="O730" s="59"/>
      <c r="P730" s="86" t="e">
        <f t="shared" si="39"/>
        <v>#VALUE!</v>
      </c>
      <c r="Q730" s="59"/>
      <c r="R730" s="59"/>
      <c r="S730" s="59"/>
      <c r="T730" s="59"/>
      <c r="U730" s="290"/>
      <c r="V730" s="290"/>
      <c r="W730" s="290"/>
      <c r="X730" s="290"/>
      <c r="Y730" s="290"/>
      <c r="Z730" s="290"/>
      <c r="AA730" s="290"/>
      <c r="AB730" s="290"/>
      <c r="AC730" s="290"/>
      <c r="AD730" s="290"/>
    </row>
    <row r="731" spans="1:30" ht="25.5">
      <c r="A731" s="291" t="str">
        <f t="shared" si="40"/>
        <v/>
      </c>
      <c r="B731" s="291" t="s">
        <v>2234</v>
      </c>
      <c r="C731" s="291" t="str">
        <f>IF(D730="","",UNIT!$B$1&amp;"-"&amp;B731)</f>
        <v/>
      </c>
      <c r="D731" s="83"/>
      <c r="E731" s="59"/>
      <c r="F731" s="82"/>
      <c r="G731" s="82"/>
      <c r="H731" s="86"/>
      <c r="I731" s="294" t="str">
        <f t="shared" si="41"/>
        <v/>
      </c>
      <c r="J731" s="59"/>
      <c r="K731" s="83"/>
      <c r="L731" s="83" t="str">
        <f t="shared" si="38"/>
        <v xml:space="preserve">
</v>
      </c>
      <c r="M731" s="83"/>
      <c r="N731" s="59"/>
      <c r="O731" s="59"/>
      <c r="P731" s="86" t="e">
        <f t="shared" si="39"/>
        <v>#VALUE!</v>
      </c>
      <c r="Q731" s="59"/>
      <c r="R731" s="59"/>
      <c r="S731" s="59"/>
      <c r="T731" s="59"/>
      <c r="U731" s="290"/>
      <c r="V731" s="290"/>
      <c r="W731" s="290"/>
      <c r="X731" s="290"/>
      <c r="Y731" s="290"/>
      <c r="Z731" s="290"/>
      <c r="AA731" s="290"/>
      <c r="AB731" s="290"/>
      <c r="AC731" s="290"/>
      <c r="AD731" s="290"/>
    </row>
    <row r="732" spans="1:30" ht="25.5">
      <c r="A732" s="291" t="str">
        <f t="shared" si="40"/>
        <v/>
      </c>
      <c r="B732" s="291" t="s">
        <v>2235</v>
      </c>
      <c r="C732" s="291" t="str">
        <f>IF(D731="","",UNIT!$B$1&amp;"-"&amp;B732)</f>
        <v/>
      </c>
      <c r="D732" s="83"/>
      <c r="E732" s="59"/>
      <c r="F732" s="82"/>
      <c r="G732" s="82"/>
      <c r="H732" s="86"/>
      <c r="I732" s="294" t="str">
        <f t="shared" si="41"/>
        <v/>
      </c>
      <c r="J732" s="59"/>
      <c r="K732" s="83"/>
      <c r="L732" s="83" t="str">
        <f t="shared" si="38"/>
        <v xml:space="preserve">
</v>
      </c>
      <c r="M732" s="83"/>
      <c r="N732" s="59"/>
      <c r="O732" s="59"/>
      <c r="P732" s="86" t="e">
        <f t="shared" si="39"/>
        <v>#VALUE!</v>
      </c>
      <c r="Q732" s="59"/>
      <c r="R732" s="59"/>
      <c r="S732" s="59"/>
      <c r="T732" s="59"/>
      <c r="U732" s="290"/>
      <c r="V732" s="290"/>
      <c r="W732" s="290"/>
      <c r="X732" s="290"/>
      <c r="Y732" s="290"/>
      <c r="Z732" s="290"/>
      <c r="AA732" s="290"/>
      <c r="AB732" s="290"/>
      <c r="AC732" s="290"/>
      <c r="AD732" s="290"/>
    </row>
    <row r="733" spans="1:30" ht="25.5">
      <c r="A733" s="291" t="str">
        <f t="shared" si="40"/>
        <v/>
      </c>
      <c r="B733" s="291" t="s">
        <v>2236</v>
      </c>
      <c r="C733" s="291" t="str">
        <f>IF(D732="","",UNIT!$B$1&amp;"-"&amp;B733)</f>
        <v/>
      </c>
      <c r="D733" s="83"/>
      <c r="E733" s="59"/>
      <c r="F733" s="82"/>
      <c r="G733" s="82"/>
      <c r="H733" s="86"/>
      <c r="I733" s="294" t="str">
        <f t="shared" si="41"/>
        <v/>
      </c>
      <c r="J733" s="59"/>
      <c r="K733" s="83"/>
      <c r="L733" s="83" t="str">
        <f t="shared" si="38"/>
        <v xml:space="preserve">
</v>
      </c>
      <c r="M733" s="83"/>
      <c r="N733" s="59"/>
      <c r="O733" s="59"/>
      <c r="P733" s="86" t="e">
        <f t="shared" si="39"/>
        <v>#VALUE!</v>
      </c>
      <c r="Q733" s="59"/>
      <c r="R733" s="59"/>
      <c r="S733" s="59"/>
      <c r="T733" s="59"/>
      <c r="U733" s="290"/>
      <c r="V733" s="290"/>
      <c r="W733" s="290"/>
      <c r="X733" s="290"/>
      <c r="Y733" s="290"/>
      <c r="Z733" s="290"/>
      <c r="AA733" s="290"/>
      <c r="AB733" s="290"/>
      <c r="AC733" s="290"/>
      <c r="AD733" s="290"/>
    </row>
    <row r="734" spans="1:30" ht="25.5">
      <c r="A734" s="291" t="str">
        <f t="shared" si="40"/>
        <v/>
      </c>
      <c r="B734" s="291" t="s">
        <v>2237</v>
      </c>
      <c r="C734" s="291" t="str">
        <f>IF(D733="","",UNIT!$B$1&amp;"-"&amp;B734)</f>
        <v/>
      </c>
      <c r="D734" s="83"/>
      <c r="E734" s="59"/>
      <c r="F734" s="82"/>
      <c r="G734" s="82"/>
      <c r="H734" s="86"/>
      <c r="I734" s="294" t="str">
        <f t="shared" si="41"/>
        <v/>
      </c>
      <c r="J734" s="59"/>
      <c r="K734" s="83"/>
      <c r="L734" s="83" t="str">
        <f t="shared" si="38"/>
        <v xml:space="preserve">
</v>
      </c>
      <c r="M734" s="83"/>
      <c r="N734" s="59"/>
      <c r="O734" s="59"/>
      <c r="P734" s="86" t="e">
        <f t="shared" si="39"/>
        <v>#VALUE!</v>
      </c>
      <c r="Q734" s="59"/>
      <c r="R734" s="59"/>
      <c r="S734" s="59"/>
      <c r="T734" s="59"/>
      <c r="U734" s="290"/>
      <c r="V734" s="290"/>
      <c r="W734" s="290"/>
      <c r="X734" s="290"/>
      <c r="Y734" s="290"/>
      <c r="Z734" s="290"/>
      <c r="AA734" s="290"/>
      <c r="AB734" s="290"/>
      <c r="AC734" s="290"/>
      <c r="AD734" s="290"/>
    </row>
    <row r="735" spans="1:30" ht="25.5">
      <c r="A735" s="291" t="str">
        <f t="shared" si="40"/>
        <v/>
      </c>
      <c r="B735" s="291" t="s">
        <v>2238</v>
      </c>
      <c r="C735" s="291" t="str">
        <f>IF(D734="","",UNIT!$B$1&amp;"-"&amp;B735)</f>
        <v/>
      </c>
      <c r="D735" s="83"/>
      <c r="E735" s="59"/>
      <c r="F735" s="82"/>
      <c r="G735" s="82"/>
      <c r="H735" s="86"/>
      <c r="I735" s="294" t="str">
        <f t="shared" si="41"/>
        <v/>
      </c>
      <c r="J735" s="59"/>
      <c r="K735" s="83"/>
      <c r="L735" s="83" t="str">
        <f t="shared" si="38"/>
        <v xml:space="preserve">
</v>
      </c>
      <c r="M735" s="83"/>
      <c r="N735" s="59"/>
      <c r="O735" s="59"/>
      <c r="P735" s="86" t="e">
        <f t="shared" si="39"/>
        <v>#VALUE!</v>
      </c>
      <c r="Q735" s="59"/>
      <c r="R735" s="59"/>
      <c r="S735" s="59"/>
      <c r="T735" s="59"/>
      <c r="U735" s="290"/>
      <c r="V735" s="290"/>
      <c r="W735" s="290"/>
      <c r="X735" s="290"/>
      <c r="Y735" s="290"/>
      <c r="Z735" s="290"/>
      <c r="AA735" s="290"/>
      <c r="AB735" s="290"/>
      <c r="AC735" s="290"/>
      <c r="AD735" s="290"/>
    </row>
    <row r="736" spans="1:30" ht="25.5">
      <c r="A736" s="291" t="str">
        <f t="shared" si="40"/>
        <v/>
      </c>
      <c r="B736" s="291" t="s">
        <v>2239</v>
      </c>
      <c r="C736" s="291" t="str">
        <f>IF(D735="","",UNIT!$B$1&amp;"-"&amp;B736)</f>
        <v/>
      </c>
      <c r="D736" s="83"/>
      <c r="E736" s="59"/>
      <c r="F736" s="82"/>
      <c r="G736" s="82"/>
      <c r="H736" s="86"/>
      <c r="I736" s="294" t="str">
        <f t="shared" si="41"/>
        <v/>
      </c>
      <c r="J736" s="59"/>
      <c r="K736" s="83"/>
      <c r="L736" s="83" t="str">
        <f t="shared" si="38"/>
        <v xml:space="preserve">
</v>
      </c>
      <c r="M736" s="83"/>
      <c r="N736" s="59"/>
      <c r="O736" s="59"/>
      <c r="P736" s="86" t="e">
        <f t="shared" si="39"/>
        <v>#VALUE!</v>
      </c>
      <c r="Q736" s="59"/>
      <c r="R736" s="59"/>
      <c r="S736" s="59"/>
      <c r="T736" s="59"/>
      <c r="U736" s="290"/>
      <c r="V736" s="290"/>
      <c r="W736" s="290"/>
      <c r="X736" s="290"/>
      <c r="Y736" s="290"/>
      <c r="Z736" s="290"/>
      <c r="AA736" s="290"/>
      <c r="AB736" s="290"/>
      <c r="AC736" s="290"/>
      <c r="AD736" s="290"/>
    </row>
    <row r="737" spans="1:30" ht="25.5">
      <c r="A737" s="291" t="str">
        <f t="shared" si="40"/>
        <v/>
      </c>
      <c r="B737" s="291" t="s">
        <v>2240</v>
      </c>
      <c r="C737" s="291" t="str">
        <f>IF(D736="","",UNIT!$B$1&amp;"-"&amp;B737)</f>
        <v/>
      </c>
      <c r="D737" s="83"/>
      <c r="E737" s="59"/>
      <c r="F737" s="82"/>
      <c r="G737" s="82"/>
      <c r="H737" s="86"/>
      <c r="I737" s="294" t="str">
        <f t="shared" si="41"/>
        <v/>
      </c>
      <c r="J737" s="59"/>
      <c r="K737" s="83"/>
      <c r="L737" s="83" t="str">
        <f t="shared" si="38"/>
        <v xml:space="preserve">
</v>
      </c>
      <c r="M737" s="83"/>
      <c r="N737" s="59"/>
      <c r="O737" s="59"/>
      <c r="P737" s="86" t="e">
        <f t="shared" si="39"/>
        <v>#VALUE!</v>
      </c>
      <c r="Q737" s="59"/>
      <c r="R737" s="59"/>
      <c r="S737" s="59"/>
      <c r="T737" s="59"/>
      <c r="U737" s="290"/>
      <c r="V737" s="290"/>
      <c r="W737" s="290"/>
      <c r="X737" s="290"/>
      <c r="Y737" s="290"/>
      <c r="Z737" s="290"/>
      <c r="AA737" s="290"/>
      <c r="AB737" s="290"/>
      <c r="AC737" s="290"/>
      <c r="AD737" s="290"/>
    </row>
    <row r="738" spans="1:30" ht="25.5">
      <c r="A738" s="291" t="str">
        <f t="shared" si="40"/>
        <v/>
      </c>
      <c r="B738" s="291" t="s">
        <v>2241</v>
      </c>
      <c r="C738" s="291" t="str">
        <f>IF(D737="","",UNIT!$B$1&amp;"-"&amp;B738)</f>
        <v/>
      </c>
      <c r="D738" s="83"/>
      <c r="E738" s="59"/>
      <c r="F738" s="82"/>
      <c r="G738" s="82"/>
      <c r="H738" s="86"/>
      <c r="I738" s="294" t="str">
        <f t="shared" si="41"/>
        <v/>
      </c>
      <c r="J738" s="59"/>
      <c r="K738" s="83"/>
      <c r="L738" s="83" t="str">
        <f t="shared" si="38"/>
        <v xml:space="preserve">
</v>
      </c>
      <c r="M738" s="83"/>
      <c r="N738" s="59"/>
      <c r="O738" s="59"/>
      <c r="P738" s="86" t="e">
        <f t="shared" si="39"/>
        <v>#VALUE!</v>
      </c>
      <c r="Q738" s="59"/>
      <c r="R738" s="59"/>
      <c r="S738" s="59"/>
      <c r="T738" s="59"/>
      <c r="U738" s="290"/>
      <c r="V738" s="290"/>
      <c r="W738" s="290"/>
      <c r="X738" s="290"/>
      <c r="Y738" s="290"/>
      <c r="Z738" s="290"/>
      <c r="AA738" s="290"/>
      <c r="AB738" s="290"/>
      <c r="AC738" s="290"/>
      <c r="AD738" s="290"/>
    </row>
    <row r="739" spans="1:30" ht="25.5">
      <c r="A739" s="291" t="str">
        <f t="shared" si="40"/>
        <v/>
      </c>
      <c r="B739" s="291" t="s">
        <v>2242</v>
      </c>
      <c r="C739" s="291" t="str">
        <f>IF(D738="","",UNIT!$B$1&amp;"-"&amp;B739)</f>
        <v/>
      </c>
      <c r="D739" s="83"/>
      <c r="E739" s="59"/>
      <c r="F739" s="82"/>
      <c r="G739" s="82"/>
      <c r="H739" s="86"/>
      <c r="I739" s="294" t="str">
        <f t="shared" si="41"/>
        <v/>
      </c>
      <c r="J739" s="59"/>
      <c r="K739" s="83"/>
      <c r="L739" s="83" t="str">
        <f t="shared" si="38"/>
        <v xml:space="preserve">
</v>
      </c>
      <c r="M739" s="83"/>
      <c r="N739" s="59"/>
      <c r="O739" s="59"/>
      <c r="P739" s="86" t="e">
        <f t="shared" si="39"/>
        <v>#VALUE!</v>
      </c>
      <c r="Q739" s="59"/>
      <c r="R739" s="59"/>
      <c r="S739" s="59"/>
      <c r="T739" s="59"/>
      <c r="U739" s="290"/>
      <c r="V739" s="290"/>
      <c r="W739" s="290"/>
      <c r="X739" s="290"/>
      <c r="Y739" s="290"/>
      <c r="Z739" s="290"/>
      <c r="AA739" s="290"/>
      <c r="AB739" s="290"/>
      <c r="AC739" s="290"/>
      <c r="AD739" s="290"/>
    </row>
    <row r="740" spans="1:30" ht="25.5">
      <c r="A740" s="291" t="str">
        <f t="shared" si="40"/>
        <v/>
      </c>
      <c r="B740" s="291" t="s">
        <v>2243</v>
      </c>
      <c r="C740" s="291" t="str">
        <f>IF(D739="","",UNIT!$B$1&amp;"-"&amp;B740)</f>
        <v/>
      </c>
      <c r="D740" s="83"/>
      <c r="E740" s="59"/>
      <c r="F740" s="82"/>
      <c r="G740" s="82"/>
      <c r="H740" s="86"/>
      <c r="I740" s="294" t="str">
        <f t="shared" si="41"/>
        <v/>
      </c>
      <c r="J740" s="59"/>
      <c r="K740" s="83"/>
      <c r="L740" s="83" t="str">
        <f t="shared" si="38"/>
        <v xml:space="preserve">
</v>
      </c>
      <c r="M740" s="83"/>
      <c r="N740" s="59"/>
      <c r="O740" s="59"/>
      <c r="P740" s="86" t="e">
        <f t="shared" si="39"/>
        <v>#VALUE!</v>
      </c>
      <c r="Q740" s="59"/>
      <c r="R740" s="59"/>
      <c r="S740" s="59"/>
      <c r="T740" s="59"/>
      <c r="U740" s="290"/>
      <c r="V740" s="290"/>
      <c r="W740" s="290"/>
      <c r="X740" s="290"/>
      <c r="Y740" s="290"/>
      <c r="Z740" s="290"/>
      <c r="AA740" s="290"/>
      <c r="AB740" s="290"/>
      <c r="AC740" s="290"/>
      <c r="AD740" s="290"/>
    </row>
    <row r="741" spans="1:30" ht="25.5">
      <c r="A741" s="291" t="str">
        <f t="shared" si="40"/>
        <v/>
      </c>
      <c r="B741" s="291" t="s">
        <v>2244</v>
      </c>
      <c r="C741" s="291" t="str">
        <f>IF(D740="","",UNIT!$B$1&amp;"-"&amp;B741)</f>
        <v/>
      </c>
      <c r="D741" s="83"/>
      <c r="E741" s="59"/>
      <c r="F741" s="82"/>
      <c r="G741" s="82"/>
      <c r="H741" s="86"/>
      <c r="I741" s="294" t="str">
        <f t="shared" si="41"/>
        <v/>
      </c>
      <c r="J741" s="59"/>
      <c r="K741" s="83"/>
      <c r="L741" s="83" t="str">
        <f t="shared" si="38"/>
        <v xml:space="preserve">
</v>
      </c>
      <c r="M741" s="83"/>
      <c r="N741" s="59"/>
      <c r="O741" s="59"/>
      <c r="P741" s="86" t="e">
        <f t="shared" si="39"/>
        <v>#VALUE!</v>
      </c>
      <c r="Q741" s="59"/>
      <c r="R741" s="59"/>
      <c r="S741" s="59"/>
      <c r="T741" s="59"/>
      <c r="U741" s="290"/>
      <c r="V741" s="290"/>
      <c r="W741" s="290"/>
      <c r="X741" s="290"/>
      <c r="Y741" s="290"/>
      <c r="Z741" s="290"/>
      <c r="AA741" s="290"/>
      <c r="AB741" s="290"/>
      <c r="AC741" s="290"/>
      <c r="AD741" s="290"/>
    </row>
    <row r="742" spans="1:30" ht="25.5">
      <c r="A742" s="291" t="str">
        <f t="shared" si="40"/>
        <v/>
      </c>
      <c r="B742" s="291" t="s">
        <v>2245</v>
      </c>
      <c r="C742" s="291" t="str">
        <f>IF(D741="","",UNIT!$B$1&amp;"-"&amp;B742)</f>
        <v/>
      </c>
      <c r="D742" s="83"/>
      <c r="E742" s="59"/>
      <c r="F742" s="82"/>
      <c r="G742" s="82"/>
      <c r="H742" s="86"/>
      <c r="I742" s="294" t="str">
        <f t="shared" si="41"/>
        <v/>
      </c>
      <c r="J742" s="59"/>
      <c r="K742" s="83"/>
      <c r="L742" s="83" t="str">
        <f t="shared" si="38"/>
        <v xml:space="preserve">
</v>
      </c>
      <c r="M742" s="83"/>
      <c r="N742" s="59"/>
      <c r="O742" s="59"/>
      <c r="P742" s="86" t="e">
        <f t="shared" si="39"/>
        <v>#VALUE!</v>
      </c>
      <c r="Q742" s="59"/>
      <c r="R742" s="59"/>
      <c r="S742" s="59"/>
      <c r="T742" s="59"/>
      <c r="U742" s="290"/>
      <c r="V742" s="290"/>
      <c r="W742" s="290"/>
      <c r="X742" s="290"/>
      <c r="Y742" s="290"/>
      <c r="Z742" s="290"/>
      <c r="AA742" s="290"/>
      <c r="AB742" s="290"/>
      <c r="AC742" s="290"/>
      <c r="AD742" s="290"/>
    </row>
    <row r="743" spans="1:30" ht="25.5">
      <c r="A743" s="291" t="str">
        <f t="shared" si="40"/>
        <v/>
      </c>
      <c r="B743" s="291" t="s">
        <v>2246</v>
      </c>
      <c r="C743" s="291" t="str">
        <f>IF(D742="","",UNIT!$B$1&amp;"-"&amp;B743)</f>
        <v/>
      </c>
      <c r="D743" s="83"/>
      <c r="E743" s="59"/>
      <c r="F743" s="82"/>
      <c r="G743" s="82"/>
      <c r="H743" s="86"/>
      <c r="I743" s="294" t="str">
        <f t="shared" si="41"/>
        <v/>
      </c>
      <c r="J743" s="59"/>
      <c r="K743" s="83"/>
      <c r="L743" s="83" t="str">
        <f t="shared" si="38"/>
        <v xml:space="preserve">
</v>
      </c>
      <c r="M743" s="83"/>
      <c r="N743" s="59"/>
      <c r="O743" s="59"/>
      <c r="P743" s="86" t="e">
        <f t="shared" si="39"/>
        <v>#VALUE!</v>
      </c>
      <c r="Q743" s="59"/>
      <c r="R743" s="59"/>
      <c r="S743" s="59"/>
      <c r="T743" s="59"/>
      <c r="U743" s="290"/>
      <c r="V743" s="290"/>
      <c r="W743" s="290"/>
      <c r="X743" s="290"/>
      <c r="Y743" s="290"/>
      <c r="Z743" s="290"/>
      <c r="AA743" s="290"/>
      <c r="AB743" s="290"/>
      <c r="AC743" s="290"/>
      <c r="AD743" s="290"/>
    </row>
    <row r="744" spans="1:30" ht="25.5">
      <c r="A744" s="291" t="str">
        <f t="shared" si="40"/>
        <v/>
      </c>
      <c r="B744" s="291" t="s">
        <v>2247</v>
      </c>
      <c r="C744" s="291" t="str">
        <f>IF(D743="","",UNIT!$B$1&amp;"-"&amp;B744)</f>
        <v/>
      </c>
      <c r="D744" s="83"/>
      <c r="E744" s="59"/>
      <c r="F744" s="82"/>
      <c r="G744" s="82"/>
      <c r="H744" s="86"/>
      <c r="I744" s="294" t="str">
        <f t="shared" si="41"/>
        <v/>
      </c>
      <c r="J744" s="59"/>
      <c r="K744" s="83"/>
      <c r="L744" s="83" t="str">
        <f t="shared" si="38"/>
        <v xml:space="preserve">
</v>
      </c>
      <c r="M744" s="83"/>
      <c r="N744" s="59"/>
      <c r="O744" s="59"/>
      <c r="P744" s="86" t="e">
        <f t="shared" si="39"/>
        <v>#VALUE!</v>
      </c>
      <c r="Q744" s="59"/>
      <c r="R744" s="59"/>
      <c r="S744" s="59"/>
      <c r="T744" s="59"/>
      <c r="U744" s="290"/>
      <c r="V744" s="290"/>
      <c r="W744" s="290"/>
      <c r="X744" s="290"/>
      <c r="Y744" s="290"/>
      <c r="Z744" s="290"/>
      <c r="AA744" s="290"/>
      <c r="AB744" s="290"/>
      <c r="AC744" s="290"/>
      <c r="AD744" s="290"/>
    </row>
    <row r="745" spans="1:30" ht="25.5">
      <c r="A745" s="291" t="str">
        <f t="shared" si="40"/>
        <v/>
      </c>
      <c r="B745" s="291" t="s">
        <v>2248</v>
      </c>
      <c r="C745" s="291" t="str">
        <f>IF(D744="","",UNIT!$B$1&amp;"-"&amp;B745)</f>
        <v/>
      </c>
      <c r="D745" s="83"/>
      <c r="E745" s="59"/>
      <c r="F745" s="82"/>
      <c r="G745" s="82"/>
      <c r="H745" s="86"/>
      <c r="I745" s="294" t="str">
        <f t="shared" si="41"/>
        <v/>
      </c>
      <c r="J745" s="59"/>
      <c r="K745" s="83"/>
      <c r="L745" s="83" t="str">
        <f t="shared" si="38"/>
        <v xml:space="preserve">
</v>
      </c>
      <c r="M745" s="83"/>
      <c r="N745" s="59"/>
      <c r="O745" s="59"/>
      <c r="P745" s="86" t="e">
        <f t="shared" si="39"/>
        <v>#VALUE!</v>
      </c>
      <c r="Q745" s="59"/>
      <c r="R745" s="59"/>
      <c r="S745" s="59"/>
      <c r="T745" s="59"/>
      <c r="U745" s="290"/>
      <c r="V745" s="290"/>
      <c r="W745" s="290"/>
      <c r="X745" s="290"/>
      <c r="Y745" s="290"/>
      <c r="Z745" s="290"/>
      <c r="AA745" s="290"/>
      <c r="AB745" s="290"/>
      <c r="AC745" s="290"/>
      <c r="AD745" s="290"/>
    </row>
    <row r="746" spans="1:30" ht="25.5">
      <c r="A746" s="291" t="str">
        <f t="shared" si="40"/>
        <v/>
      </c>
      <c r="B746" s="291" t="s">
        <v>2249</v>
      </c>
      <c r="C746" s="291" t="str">
        <f>IF(D745="","",UNIT!$B$1&amp;"-"&amp;B746)</f>
        <v/>
      </c>
      <c r="D746" s="83"/>
      <c r="E746" s="59"/>
      <c r="F746" s="82"/>
      <c r="G746" s="82"/>
      <c r="H746" s="86"/>
      <c r="I746" s="294" t="str">
        <f t="shared" si="41"/>
        <v/>
      </c>
      <c r="J746" s="59"/>
      <c r="K746" s="83"/>
      <c r="L746" s="83" t="str">
        <f t="shared" si="38"/>
        <v xml:space="preserve">
</v>
      </c>
      <c r="M746" s="83"/>
      <c r="N746" s="59"/>
      <c r="O746" s="59"/>
      <c r="P746" s="86" t="e">
        <f t="shared" si="39"/>
        <v>#VALUE!</v>
      </c>
      <c r="Q746" s="59"/>
      <c r="R746" s="59"/>
      <c r="S746" s="59"/>
      <c r="T746" s="59"/>
      <c r="U746" s="290"/>
      <c r="V746" s="290"/>
      <c r="W746" s="290"/>
      <c r="X746" s="290"/>
      <c r="Y746" s="290"/>
      <c r="Z746" s="290"/>
      <c r="AA746" s="290"/>
      <c r="AB746" s="290"/>
      <c r="AC746" s="290"/>
      <c r="AD746" s="290"/>
    </row>
    <row r="747" spans="1:30" ht="25.5">
      <c r="A747" s="291" t="str">
        <f t="shared" si="40"/>
        <v/>
      </c>
      <c r="B747" s="291" t="s">
        <v>2250</v>
      </c>
      <c r="C747" s="291" t="str">
        <f>IF(D746="","",UNIT!$B$1&amp;"-"&amp;B747)</f>
        <v/>
      </c>
      <c r="D747" s="83"/>
      <c r="E747" s="59"/>
      <c r="F747" s="82"/>
      <c r="G747" s="82"/>
      <c r="H747" s="86"/>
      <c r="I747" s="294" t="str">
        <f t="shared" si="41"/>
        <v/>
      </c>
      <c r="J747" s="59"/>
      <c r="K747" s="83"/>
      <c r="L747" s="83" t="str">
        <f t="shared" si="38"/>
        <v xml:space="preserve">
</v>
      </c>
      <c r="M747" s="83"/>
      <c r="N747" s="59"/>
      <c r="O747" s="59"/>
      <c r="P747" s="86" t="e">
        <f t="shared" si="39"/>
        <v>#VALUE!</v>
      </c>
      <c r="Q747" s="59"/>
      <c r="R747" s="59"/>
      <c r="S747" s="59"/>
      <c r="T747" s="59"/>
      <c r="U747" s="290"/>
      <c r="V747" s="290"/>
      <c r="W747" s="290"/>
      <c r="X747" s="290"/>
      <c r="Y747" s="290"/>
      <c r="Z747" s="290"/>
      <c r="AA747" s="290"/>
      <c r="AB747" s="290"/>
      <c r="AC747" s="290"/>
      <c r="AD747" s="290"/>
    </row>
    <row r="748" spans="1:30" ht="25.5">
      <c r="A748" s="291" t="str">
        <f t="shared" si="40"/>
        <v/>
      </c>
      <c r="B748" s="291" t="s">
        <v>2251</v>
      </c>
      <c r="C748" s="291" t="str">
        <f>IF(D747="","",UNIT!$B$1&amp;"-"&amp;B748)</f>
        <v/>
      </c>
      <c r="D748" s="83"/>
      <c r="E748" s="59"/>
      <c r="F748" s="82"/>
      <c r="G748" s="82"/>
      <c r="H748" s="86"/>
      <c r="I748" s="294" t="str">
        <f t="shared" si="41"/>
        <v/>
      </c>
      <c r="J748" s="59"/>
      <c r="K748" s="83"/>
      <c r="L748" s="83" t="str">
        <f t="shared" si="38"/>
        <v xml:space="preserve">
</v>
      </c>
      <c r="M748" s="83"/>
      <c r="N748" s="59"/>
      <c r="O748" s="59"/>
      <c r="P748" s="86" t="e">
        <f t="shared" si="39"/>
        <v>#VALUE!</v>
      </c>
      <c r="Q748" s="59"/>
      <c r="R748" s="59"/>
      <c r="S748" s="59"/>
      <c r="T748" s="59"/>
      <c r="U748" s="290"/>
      <c r="V748" s="290"/>
      <c r="W748" s="290"/>
      <c r="X748" s="290"/>
      <c r="Y748" s="290"/>
      <c r="Z748" s="290"/>
      <c r="AA748" s="290"/>
      <c r="AB748" s="290"/>
      <c r="AC748" s="290"/>
      <c r="AD748" s="290"/>
    </row>
    <row r="749" spans="1:30" ht="25.5">
      <c r="A749" s="291" t="str">
        <f t="shared" si="40"/>
        <v/>
      </c>
      <c r="B749" s="291" t="s">
        <v>2252</v>
      </c>
      <c r="C749" s="291" t="str">
        <f>IF(D748="","",UNIT!$B$1&amp;"-"&amp;B749)</f>
        <v/>
      </c>
      <c r="D749" s="83"/>
      <c r="E749" s="59"/>
      <c r="F749" s="82"/>
      <c r="G749" s="82"/>
      <c r="H749" s="86"/>
      <c r="I749" s="294" t="str">
        <f t="shared" si="41"/>
        <v/>
      </c>
      <c r="J749" s="59"/>
      <c r="K749" s="83"/>
      <c r="L749" s="83" t="str">
        <f t="shared" si="38"/>
        <v xml:space="preserve">
</v>
      </c>
      <c r="M749" s="83"/>
      <c r="N749" s="59"/>
      <c r="O749" s="59"/>
      <c r="P749" s="86" t="e">
        <f t="shared" si="39"/>
        <v>#VALUE!</v>
      </c>
      <c r="Q749" s="59"/>
      <c r="R749" s="59"/>
      <c r="S749" s="59"/>
      <c r="T749" s="59"/>
      <c r="U749" s="290"/>
      <c r="V749" s="290"/>
      <c r="W749" s="290"/>
      <c r="X749" s="290"/>
      <c r="Y749" s="290"/>
      <c r="Z749" s="290"/>
      <c r="AA749" s="290"/>
      <c r="AB749" s="290"/>
      <c r="AC749" s="290"/>
      <c r="AD749" s="290"/>
    </row>
    <row r="750" spans="1:30" ht="25.5">
      <c r="A750" s="291" t="str">
        <f t="shared" si="40"/>
        <v/>
      </c>
      <c r="B750" s="291" t="s">
        <v>2253</v>
      </c>
      <c r="C750" s="291" t="str">
        <f>IF(D749="","",UNIT!$B$1&amp;"-"&amp;B750)</f>
        <v/>
      </c>
      <c r="D750" s="83"/>
      <c r="E750" s="59"/>
      <c r="F750" s="82"/>
      <c r="G750" s="82"/>
      <c r="H750" s="86"/>
      <c r="I750" s="294" t="str">
        <f t="shared" si="41"/>
        <v/>
      </c>
      <c r="J750" s="59"/>
      <c r="K750" s="83"/>
      <c r="L750" s="83" t="str">
        <f t="shared" si="38"/>
        <v xml:space="preserve">
</v>
      </c>
      <c r="M750" s="83"/>
      <c r="N750" s="59"/>
      <c r="O750" s="59"/>
      <c r="P750" s="86" t="e">
        <f t="shared" si="39"/>
        <v>#VALUE!</v>
      </c>
      <c r="Q750" s="59"/>
      <c r="R750" s="59"/>
      <c r="S750" s="59"/>
      <c r="T750" s="59"/>
      <c r="U750" s="290"/>
      <c r="V750" s="290"/>
      <c r="W750" s="290"/>
      <c r="X750" s="290"/>
      <c r="Y750" s="290"/>
      <c r="Z750" s="290"/>
      <c r="AA750" s="290"/>
      <c r="AB750" s="290"/>
      <c r="AC750" s="290"/>
      <c r="AD750" s="290"/>
    </row>
    <row r="751" spans="1:30" ht="25.5">
      <c r="A751" s="291" t="str">
        <f t="shared" si="40"/>
        <v/>
      </c>
      <c r="B751" s="291" t="s">
        <v>2254</v>
      </c>
      <c r="C751" s="291" t="str">
        <f>IF(D750="","",UNIT!$B$1&amp;"-"&amp;B751)</f>
        <v/>
      </c>
      <c r="D751" s="83"/>
      <c r="E751" s="59"/>
      <c r="F751" s="82"/>
      <c r="G751" s="82"/>
      <c r="H751" s="86"/>
      <c r="I751" s="294" t="str">
        <f t="shared" si="41"/>
        <v/>
      </c>
      <c r="J751" s="59"/>
      <c r="K751" s="83"/>
      <c r="L751" s="83" t="str">
        <f t="shared" si="38"/>
        <v xml:space="preserve">
</v>
      </c>
      <c r="M751" s="83"/>
      <c r="N751" s="59"/>
      <c r="O751" s="59"/>
      <c r="P751" s="86" t="e">
        <f t="shared" si="39"/>
        <v>#VALUE!</v>
      </c>
      <c r="Q751" s="59"/>
      <c r="R751" s="59"/>
      <c r="S751" s="59"/>
      <c r="T751" s="59"/>
      <c r="U751" s="290"/>
      <c r="V751" s="290"/>
      <c r="W751" s="290"/>
      <c r="X751" s="290"/>
      <c r="Y751" s="290"/>
      <c r="Z751" s="290"/>
      <c r="AA751" s="290"/>
      <c r="AB751" s="290"/>
      <c r="AC751" s="290"/>
      <c r="AD751" s="290"/>
    </row>
    <row r="752" spans="1:30" ht="25.5">
      <c r="A752" s="291" t="str">
        <f t="shared" si="40"/>
        <v/>
      </c>
      <c r="B752" s="291" t="s">
        <v>2255</v>
      </c>
      <c r="C752" s="291" t="str">
        <f>IF(D751="","",UNIT!$B$1&amp;"-"&amp;B752)</f>
        <v/>
      </c>
      <c r="D752" s="83"/>
      <c r="E752" s="59"/>
      <c r="F752" s="82"/>
      <c r="G752" s="82"/>
      <c r="H752" s="86"/>
      <c r="I752" s="294" t="str">
        <f t="shared" si="41"/>
        <v/>
      </c>
      <c r="J752" s="59"/>
      <c r="K752" s="83"/>
      <c r="L752" s="83" t="str">
        <f t="shared" si="38"/>
        <v xml:space="preserve">
</v>
      </c>
      <c r="M752" s="83"/>
      <c r="N752" s="59"/>
      <c r="O752" s="59"/>
      <c r="P752" s="86" t="e">
        <f t="shared" si="39"/>
        <v>#VALUE!</v>
      </c>
      <c r="Q752" s="59"/>
      <c r="R752" s="59"/>
      <c r="S752" s="59"/>
      <c r="T752" s="59"/>
      <c r="U752" s="290"/>
      <c r="V752" s="290"/>
      <c r="W752" s="290"/>
      <c r="X752" s="290"/>
      <c r="Y752" s="290"/>
      <c r="Z752" s="290"/>
      <c r="AA752" s="290"/>
      <c r="AB752" s="290"/>
      <c r="AC752" s="290"/>
      <c r="AD752" s="290"/>
    </row>
    <row r="753" spans="1:30" ht="25.5">
      <c r="A753" s="291" t="str">
        <f t="shared" si="40"/>
        <v/>
      </c>
      <c r="B753" s="291" t="s">
        <v>2256</v>
      </c>
      <c r="C753" s="291" t="str">
        <f>IF(D752="","",UNIT!$B$1&amp;"-"&amp;B753)</f>
        <v/>
      </c>
      <c r="D753" s="83"/>
      <c r="E753" s="59"/>
      <c r="F753" s="82"/>
      <c r="G753" s="82"/>
      <c r="H753" s="86"/>
      <c r="I753" s="294" t="str">
        <f t="shared" si="41"/>
        <v/>
      </c>
      <c r="J753" s="59"/>
      <c r="K753" s="83"/>
      <c r="L753" s="83" t="str">
        <f t="shared" si="38"/>
        <v xml:space="preserve">
</v>
      </c>
      <c r="M753" s="83"/>
      <c r="N753" s="59"/>
      <c r="O753" s="59"/>
      <c r="P753" s="86" t="e">
        <f t="shared" si="39"/>
        <v>#VALUE!</v>
      </c>
      <c r="Q753" s="59"/>
      <c r="R753" s="59"/>
      <c r="S753" s="59"/>
      <c r="T753" s="59"/>
      <c r="U753" s="290"/>
      <c r="V753" s="290"/>
      <c r="W753" s="290"/>
      <c r="X753" s="290"/>
      <c r="Y753" s="290"/>
      <c r="Z753" s="290"/>
      <c r="AA753" s="290"/>
      <c r="AB753" s="290"/>
      <c r="AC753" s="290"/>
      <c r="AD753" s="290"/>
    </row>
    <row r="754" spans="1:30" ht="25.5">
      <c r="A754" s="291" t="str">
        <f t="shared" si="40"/>
        <v/>
      </c>
      <c r="B754" s="291" t="s">
        <v>2257</v>
      </c>
      <c r="C754" s="291" t="str">
        <f>IF(D753="","",UNIT!$B$1&amp;"-"&amp;B754)</f>
        <v/>
      </c>
      <c r="D754" s="83"/>
      <c r="E754" s="59"/>
      <c r="F754" s="82"/>
      <c r="G754" s="82"/>
      <c r="H754" s="86"/>
      <c r="I754" s="294" t="str">
        <f t="shared" si="41"/>
        <v/>
      </c>
      <c r="J754" s="59"/>
      <c r="K754" s="83"/>
      <c r="L754" s="83" t="str">
        <f t="shared" si="38"/>
        <v xml:space="preserve">
</v>
      </c>
      <c r="M754" s="83"/>
      <c r="N754" s="59"/>
      <c r="O754" s="59"/>
      <c r="P754" s="86" t="e">
        <f t="shared" si="39"/>
        <v>#VALUE!</v>
      </c>
      <c r="Q754" s="59"/>
      <c r="R754" s="59"/>
      <c r="S754" s="59"/>
      <c r="T754" s="59"/>
      <c r="U754" s="290"/>
      <c r="V754" s="290"/>
      <c r="W754" s="290"/>
      <c r="X754" s="290"/>
      <c r="Y754" s="290"/>
      <c r="Z754" s="290"/>
      <c r="AA754" s="290"/>
      <c r="AB754" s="290"/>
      <c r="AC754" s="290"/>
      <c r="AD754" s="290"/>
    </row>
    <row r="755" spans="1:30" ht="25.5">
      <c r="A755" s="291" t="str">
        <f t="shared" si="40"/>
        <v/>
      </c>
      <c r="B755" s="291" t="s">
        <v>2258</v>
      </c>
      <c r="C755" s="291" t="str">
        <f>IF(D754="","",UNIT!$B$1&amp;"-"&amp;B755)</f>
        <v/>
      </c>
      <c r="D755" s="83"/>
      <c r="E755" s="59"/>
      <c r="F755" s="82"/>
      <c r="G755" s="82"/>
      <c r="H755" s="86"/>
      <c r="I755" s="294" t="str">
        <f t="shared" si="41"/>
        <v/>
      </c>
      <c r="J755" s="59"/>
      <c r="K755" s="83"/>
      <c r="L755" s="83" t="str">
        <f t="shared" si="38"/>
        <v xml:space="preserve">
</v>
      </c>
      <c r="M755" s="83"/>
      <c r="N755" s="59"/>
      <c r="O755" s="59"/>
      <c r="P755" s="86" t="e">
        <f t="shared" si="39"/>
        <v>#VALUE!</v>
      </c>
      <c r="Q755" s="59"/>
      <c r="R755" s="59"/>
      <c r="S755" s="59"/>
      <c r="T755" s="59"/>
      <c r="U755" s="290"/>
      <c r="V755" s="290"/>
      <c r="W755" s="290"/>
      <c r="X755" s="290"/>
      <c r="Y755" s="290"/>
      <c r="Z755" s="290"/>
      <c r="AA755" s="290"/>
      <c r="AB755" s="290"/>
      <c r="AC755" s="290"/>
      <c r="AD755" s="290"/>
    </row>
    <row r="756" spans="1:30" ht="25.5">
      <c r="A756" s="291" t="str">
        <f t="shared" si="40"/>
        <v/>
      </c>
      <c r="B756" s="291" t="s">
        <v>2259</v>
      </c>
      <c r="C756" s="291" t="str">
        <f>IF(D755="","",UNIT!$B$1&amp;"-"&amp;B756)</f>
        <v/>
      </c>
      <c r="D756" s="83"/>
      <c r="E756" s="59"/>
      <c r="F756" s="82"/>
      <c r="G756" s="82"/>
      <c r="H756" s="86"/>
      <c r="I756" s="294" t="str">
        <f t="shared" si="41"/>
        <v/>
      </c>
      <c r="J756" s="59"/>
      <c r="K756" s="83"/>
      <c r="L756" s="83" t="str">
        <f t="shared" si="38"/>
        <v xml:space="preserve">
</v>
      </c>
      <c r="M756" s="83"/>
      <c r="N756" s="59"/>
      <c r="O756" s="59"/>
      <c r="P756" s="86" t="e">
        <f t="shared" si="39"/>
        <v>#VALUE!</v>
      </c>
      <c r="Q756" s="59"/>
      <c r="R756" s="59"/>
      <c r="S756" s="59"/>
      <c r="T756" s="59"/>
      <c r="U756" s="290"/>
      <c r="V756" s="290"/>
      <c r="W756" s="290"/>
      <c r="X756" s="290"/>
      <c r="Y756" s="290"/>
      <c r="Z756" s="290"/>
      <c r="AA756" s="290"/>
      <c r="AB756" s="290"/>
      <c r="AC756" s="290"/>
      <c r="AD756" s="290"/>
    </row>
    <row r="757" spans="1:30" ht="25.5">
      <c r="A757" s="291" t="str">
        <f t="shared" si="40"/>
        <v/>
      </c>
      <c r="B757" s="291" t="s">
        <v>2260</v>
      </c>
      <c r="C757" s="291" t="str">
        <f>IF(D756="","",UNIT!$B$1&amp;"-"&amp;B757)</f>
        <v/>
      </c>
      <c r="D757" s="83"/>
      <c r="E757" s="59"/>
      <c r="F757" s="82"/>
      <c r="G757" s="82"/>
      <c r="H757" s="86"/>
      <c r="I757" s="294" t="str">
        <f t="shared" si="41"/>
        <v/>
      </c>
      <c r="J757" s="59"/>
      <c r="K757" s="83"/>
      <c r="L757" s="83" t="str">
        <f t="shared" si="38"/>
        <v xml:space="preserve">
</v>
      </c>
      <c r="M757" s="83"/>
      <c r="N757" s="59"/>
      <c r="O757" s="59"/>
      <c r="P757" s="86" t="e">
        <f t="shared" si="39"/>
        <v>#VALUE!</v>
      </c>
      <c r="Q757" s="59"/>
      <c r="R757" s="59"/>
      <c r="S757" s="59"/>
      <c r="T757" s="59"/>
      <c r="U757" s="290"/>
      <c r="V757" s="290"/>
      <c r="W757" s="290"/>
      <c r="X757" s="290"/>
      <c r="Y757" s="290"/>
      <c r="Z757" s="290"/>
      <c r="AA757" s="290"/>
      <c r="AB757" s="290"/>
      <c r="AC757" s="290"/>
      <c r="AD757" s="290"/>
    </row>
    <row r="758" spans="1:30" ht="25.5">
      <c r="A758" s="291" t="str">
        <f t="shared" si="40"/>
        <v/>
      </c>
      <c r="B758" s="291" t="s">
        <v>2261</v>
      </c>
      <c r="C758" s="291" t="str">
        <f>IF(D757="","",UNIT!$B$1&amp;"-"&amp;B758)</f>
        <v/>
      </c>
      <c r="D758" s="83"/>
      <c r="E758" s="59"/>
      <c r="F758" s="82"/>
      <c r="G758" s="82"/>
      <c r="H758" s="86"/>
      <c r="I758" s="294" t="str">
        <f t="shared" si="41"/>
        <v/>
      </c>
      <c r="J758" s="59"/>
      <c r="K758" s="83"/>
      <c r="L758" s="83" t="str">
        <f t="shared" si="38"/>
        <v xml:space="preserve">
</v>
      </c>
      <c r="M758" s="83"/>
      <c r="N758" s="59"/>
      <c r="O758" s="59"/>
      <c r="P758" s="86" t="e">
        <f t="shared" si="39"/>
        <v>#VALUE!</v>
      </c>
      <c r="Q758" s="59"/>
      <c r="R758" s="59"/>
      <c r="S758" s="59"/>
      <c r="T758" s="59"/>
      <c r="U758" s="290"/>
      <c r="V758" s="290"/>
      <c r="W758" s="290"/>
      <c r="X758" s="290"/>
      <c r="Y758" s="290"/>
      <c r="Z758" s="290"/>
      <c r="AA758" s="290"/>
      <c r="AB758" s="290"/>
      <c r="AC758" s="290"/>
      <c r="AD758" s="290"/>
    </row>
    <row r="759" spans="1:30" ht="25.5">
      <c r="A759" s="291" t="str">
        <f t="shared" si="40"/>
        <v/>
      </c>
      <c r="B759" s="291" t="s">
        <v>2262</v>
      </c>
      <c r="C759" s="291" t="str">
        <f>IF(D758="","",UNIT!$B$1&amp;"-"&amp;B759)</f>
        <v/>
      </c>
      <c r="D759" s="83"/>
      <c r="E759" s="59"/>
      <c r="F759" s="82"/>
      <c r="G759" s="82"/>
      <c r="H759" s="86"/>
      <c r="I759" s="294" t="str">
        <f t="shared" si="41"/>
        <v/>
      </c>
      <c r="J759" s="59"/>
      <c r="K759" s="83"/>
      <c r="L759" s="83" t="str">
        <f t="shared" si="38"/>
        <v xml:space="preserve">
</v>
      </c>
      <c r="M759" s="83"/>
      <c r="N759" s="59"/>
      <c r="O759" s="59"/>
      <c r="P759" s="86" t="e">
        <f t="shared" si="39"/>
        <v>#VALUE!</v>
      </c>
      <c r="Q759" s="59"/>
      <c r="R759" s="59"/>
      <c r="S759" s="59"/>
      <c r="T759" s="59"/>
      <c r="U759" s="290"/>
      <c r="V759" s="290"/>
      <c r="W759" s="290"/>
      <c r="X759" s="290"/>
      <c r="Y759" s="290"/>
      <c r="Z759" s="290"/>
      <c r="AA759" s="290"/>
      <c r="AB759" s="290"/>
      <c r="AC759" s="290"/>
      <c r="AD759" s="290"/>
    </row>
    <row r="760" spans="1:30" ht="25.5">
      <c r="A760" s="291" t="str">
        <f t="shared" si="40"/>
        <v/>
      </c>
      <c r="B760" s="291" t="s">
        <v>2263</v>
      </c>
      <c r="C760" s="291" t="str">
        <f>IF(D759="","",UNIT!$B$1&amp;"-"&amp;B760)</f>
        <v/>
      </c>
      <c r="D760" s="83"/>
      <c r="E760" s="59"/>
      <c r="F760" s="82"/>
      <c r="G760" s="82"/>
      <c r="H760" s="86"/>
      <c r="I760" s="294" t="str">
        <f t="shared" si="41"/>
        <v/>
      </c>
      <c r="J760" s="59"/>
      <c r="K760" s="83"/>
      <c r="L760" s="83" t="str">
        <f t="shared" si="38"/>
        <v xml:space="preserve">
</v>
      </c>
      <c r="M760" s="83"/>
      <c r="N760" s="59"/>
      <c r="O760" s="59"/>
      <c r="P760" s="86" t="e">
        <f t="shared" si="39"/>
        <v>#VALUE!</v>
      </c>
      <c r="Q760" s="59"/>
      <c r="R760" s="59"/>
      <c r="S760" s="59"/>
      <c r="T760" s="59"/>
      <c r="U760" s="290"/>
      <c r="V760" s="290"/>
      <c r="W760" s="290"/>
      <c r="X760" s="290"/>
      <c r="Y760" s="290"/>
      <c r="Z760" s="290"/>
      <c r="AA760" s="290"/>
      <c r="AB760" s="290"/>
      <c r="AC760" s="290"/>
      <c r="AD760" s="290"/>
    </row>
    <row r="761" spans="1:30" ht="25.5">
      <c r="A761" s="291" t="str">
        <f t="shared" si="40"/>
        <v/>
      </c>
      <c r="B761" s="291" t="s">
        <v>2264</v>
      </c>
      <c r="C761" s="291" t="str">
        <f>IF(D760="","",UNIT!$B$1&amp;"-"&amp;B761)</f>
        <v/>
      </c>
      <c r="D761" s="83"/>
      <c r="E761" s="59"/>
      <c r="F761" s="82"/>
      <c r="G761" s="82"/>
      <c r="H761" s="86"/>
      <c r="I761" s="294" t="str">
        <f t="shared" si="41"/>
        <v/>
      </c>
      <c r="J761" s="59"/>
      <c r="K761" s="83"/>
      <c r="L761" s="83" t="str">
        <f t="shared" si="38"/>
        <v xml:space="preserve">
</v>
      </c>
      <c r="M761" s="83"/>
      <c r="N761" s="59"/>
      <c r="O761" s="59"/>
      <c r="P761" s="86" t="e">
        <f t="shared" si="39"/>
        <v>#VALUE!</v>
      </c>
      <c r="Q761" s="59"/>
      <c r="R761" s="59"/>
      <c r="S761" s="59"/>
      <c r="T761" s="59"/>
      <c r="U761" s="290"/>
      <c r="V761" s="290"/>
      <c r="W761" s="290"/>
      <c r="X761" s="290"/>
      <c r="Y761" s="290"/>
      <c r="Z761" s="290"/>
      <c r="AA761" s="290"/>
      <c r="AB761" s="290"/>
      <c r="AC761" s="290"/>
      <c r="AD761" s="290"/>
    </row>
    <row r="762" spans="1:30" ht="25.5">
      <c r="A762" s="291" t="str">
        <f t="shared" si="40"/>
        <v/>
      </c>
      <c r="B762" s="291" t="s">
        <v>2265</v>
      </c>
      <c r="C762" s="291" t="str">
        <f>IF(D761="","",UNIT!$B$1&amp;"-"&amp;B762)</f>
        <v/>
      </c>
      <c r="D762" s="83"/>
      <c r="E762" s="59"/>
      <c r="F762" s="82"/>
      <c r="G762" s="82"/>
      <c r="H762" s="86"/>
      <c r="I762" s="294" t="str">
        <f t="shared" si="41"/>
        <v/>
      </c>
      <c r="J762" s="59"/>
      <c r="K762" s="83"/>
      <c r="L762" s="83" t="str">
        <f t="shared" si="38"/>
        <v xml:space="preserve">
</v>
      </c>
      <c r="M762" s="83"/>
      <c r="N762" s="59"/>
      <c r="O762" s="59"/>
      <c r="P762" s="86" t="e">
        <f t="shared" si="39"/>
        <v>#VALUE!</v>
      </c>
      <c r="Q762" s="59"/>
      <c r="R762" s="59"/>
      <c r="S762" s="59"/>
      <c r="T762" s="59"/>
      <c r="U762" s="290"/>
      <c r="V762" s="290"/>
      <c r="W762" s="290"/>
      <c r="X762" s="290"/>
      <c r="Y762" s="290"/>
      <c r="Z762" s="290"/>
      <c r="AA762" s="290"/>
      <c r="AB762" s="290"/>
      <c r="AC762" s="290"/>
      <c r="AD762" s="290"/>
    </row>
    <row r="763" spans="1:30" ht="25.5">
      <c r="A763" s="291" t="str">
        <f t="shared" si="40"/>
        <v/>
      </c>
      <c r="B763" s="291" t="s">
        <v>2266</v>
      </c>
      <c r="C763" s="291" t="str">
        <f>IF(D762="","",UNIT!$B$1&amp;"-"&amp;B763)</f>
        <v/>
      </c>
      <c r="D763" s="83"/>
      <c r="E763" s="59"/>
      <c r="F763" s="82"/>
      <c r="G763" s="82"/>
      <c r="H763" s="86"/>
      <c r="I763" s="294" t="str">
        <f t="shared" si="41"/>
        <v/>
      </c>
      <c r="J763" s="59"/>
      <c r="K763" s="83"/>
      <c r="L763" s="83" t="str">
        <f t="shared" si="38"/>
        <v xml:space="preserve">
</v>
      </c>
      <c r="M763" s="83"/>
      <c r="N763" s="59"/>
      <c r="O763" s="59"/>
      <c r="P763" s="86" t="e">
        <f t="shared" si="39"/>
        <v>#VALUE!</v>
      </c>
      <c r="Q763" s="59"/>
      <c r="R763" s="59"/>
      <c r="S763" s="59"/>
      <c r="T763" s="59"/>
      <c r="U763" s="290"/>
      <c r="V763" s="290"/>
      <c r="W763" s="290"/>
      <c r="X763" s="290"/>
      <c r="Y763" s="290"/>
      <c r="Z763" s="290"/>
      <c r="AA763" s="290"/>
      <c r="AB763" s="290"/>
      <c r="AC763" s="290"/>
      <c r="AD763" s="290"/>
    </row>
    <row r="764" spans="1:30" ht="25.5">
      <c r="A764" s="291" t="str">
        <f t="shared" si="40"/>
        <v/>
      </c>
      <c r="B764" s="291" t="s">
        <v>2267</v>
      </c>
      <c r="C764" s="291" t="str">
        <f>IF(D763="","",UNIT!$B$1&amp;"-"&amp;B764)</f>
        <v/>
      </c>
      <c r="D764" s="83"/>
      <c r="E764" s="59"/>
      <c r="F764" s="82"/>
      <c r="G764" s="82"/>
      <c r="H764" s="86"/>
      <c r="I764" s="294" t="str">
        <f t="shared" si="41"/>
        <v/>
      </c>
      <c r="J764" s="59"/>
      <c r="K764" s="83"/>
      <c r="L764" s="83" t="str">
        <f t="shared" si="38"/>
        <v xml:space="preserve">
</v>
      </c>
      <c r="M764" s="83"/>
      <c r="N764" s="59"/>
      <c r="O764" s="59"/>
      <c r="P764" s="86" t="e">
        <f t="shared" si="39"/>
        <v>#VALUE!</v>
      </c>
      <c r="Q764" s="59"/>
      <c r="R764" s="59"/>
      <c r="S764" s="59"/>
      <c r="T764" s="59"/>
      <c r="U764" s="290"/>
      <c r="V764" s="290"/>
      <c r="W764" s="290"/>
      <c r="X764" s="290"/>
      <c r="Y764" s="290"/>
      <c r="Z764" s="290"/>
      <c r="AA764" s="290"/>
      <c r="AB764" s="290"/>
      <c r="AC764" s="290"/>
      <c r="AD764" s="290"/>
    </row>
    <row r="765" spans="1:30" ht="25.5">
      <c r="A765" s="291" t="str">
        <f t="shared" si="40"/>
        <v/>
      </c>
      <c r="B765" s="291" t="s">
        <v>2268</v>
      </c>
      <c r="C765" s="291" t="str">
        <f>IF(D764="","",UNIT!$B$1&amp;"-"&amp;B765)</f>
        <v/>
      </c>
      <c r="D765" s="83"/>
      <c r="E765" s="59"/>
      <c r="F765" s="82"/>
      <c r="G765" s="82"/>
      <c r="H765" s="86"/>
      <c r="I765" s="294" t="str">
        <f t="shared" si="41"/>
        <v/>
      </c>
      <c r="J765" s="59"/>
      <c r="K765" s="83"/>
      <c r="L765" s="83" t="str">
        <f t="shared" si="38"/>
        <v xml:space="preserve">
</v>
      </c>
      <c r="M765" s="83"/>
      <c r="N765" s="59"/>
      <c r="O765" s="59"/>
      <c r="P765" s="86" t="e">
        <f t="shared" si="39"/>
        <v>#VALUE!</v>
      </c>
      <c r="Q765" s="59"/>
      <c r="R765" s="59"/>
      <c r="S765" s="59"/>
      <c r="T765" s="59"/>
      <c r="U765" s="290"/>
      <c r="V765" s="290"/>
      <c r="W765" s="290"/>
      <c r="X765" s="290"/>
      <c r="Y765" s="290"/>
      <c r="Z765" s="290"/>
      <c r="AA765" s="290"/>
      <c r="AB765" s="290"/>
      <c r="AC765" s="290"/>
      <c r="AD765" s="290"/>
    </row>
    <row r="766" spans="1:30" ht="25.5">
      <c r="A766" s="291" t="str">
        <f t="shared" si="40"/>
        <v/>
      </c>
      <c r="B766" s="291" t="s">
        <v>2269</v>
      </c>
      <c r="C766" s="291" t="str">
        <f>IF(D765="","",UNIT!$B$1&amp;"-"&amp;B766)</f>
        <v/>
      </c>
      <c r="D766" s="83"/>
      <c r="E766" s="59"/>
      <c r="F766" s="82"/>
      <c r="G766" s="82"/>
      <c r="H766" s="86"/>
      <c r="I766" s="294" t="str">
        <f t="shared" si="41"/>
        <v/>
      </c>
      <c r="J766" s="59"/>
      <c r="K766" s="83"/>
      <c r="L766" s="83" t="str">
        <f t="shared" si="38"/>
        <v xml:space="preserve">
</v>
      </c>
      <c r="M766" s="83"/>
      <c r="N766" s="59"/>
      <c r="O766" s="59"/>
      <c r="P766" s="86" t="e">
        <f t="shared" si="39"/>
        <v>#VALUE!</v>
      </c>
      <c r="Q766" s="59"/>
      <c r="R766" s="59"/>
      <c r="S766" s="59"/>
      <c r="T766" s="59"/>
      <c r="U766" s="290"/>
      <c r="V766" s="290"/>
      <c r="W766" s="290"/>
      <c r="X766" s="290"/>
      <c r="Y766" s="290"/>
      <c r="Z766" s="290"/>
      <c r="AA766" s="290"/>
      <c r="AB766" s="290"/>
      <c r="AC766" s="290"/>
      <c r="AD766" s="290"/>
    </row>
    <row r="767" spans="1:30" ht="25.5">
      <c r="A767" s="291" t="str">
        <f t="shared" si="40"/>
        <v/>
      </c>
      <c r="B767" s="291" t="s">
        <v>2270</v>
      </c>
      <c r="C767" s="291" t="str">
        <f>IF(D766="","",UNIT!$B$1&amp;"-"&amp;B767)</f>
        <v/>
      </c>
      <c r="D767" s="83"/>
      <c r="E767" s="59"/>
      <c r="F767" s="82"/>
      <c r="G767" s="82"/>
      <c r="H767" s="86"/>
      <c r="I767" s="294" t="str">
        <f t="shared" si="41"/>
        <v/>
      </c>
      <c r="J767" s="59"/>
      <c r="K767" s="83"/>
      <c r="L767" s="83" t="str">
        <f t="shared" ref="L767:L1021" si="42">D767&amp;"
"&amp;K767</f>
        <v xml:space="preserve">
</v>
      </c>
      <c r="M767" s="83"/>
      <c r="N767" s="59"/>
      <c r="O767" s="59"/>
      <c r="P767" s="86" t="e">
        <f t="shared" ref="P767:P1021" si="43">I767*O767</f>
        <v>#VALUE!</v>
      </c>
      <c r="Q767" s="59"/>
      <c r="R767" s="59"/>
      <c r="S767" s="59"/>
      <c r="T767" s="59"/>
      <c r="U767" s="290"/>
      <c r="V767" s="290"/>
      <c r="W767" s="290"/>
      <c r="X767" s="290"/>
      <c r="Y767" s="290"/>
      <c r="Z767" s="290"/>
      <c r="AA767" s="290"/>
      <c r="AB767" s="290"/>
      <c r="AC767" s="290"/>
      <c r="AD767" s="290"/>
    </row>
    <row r="768" spans="1:30" ht="25.5">
      <c r="A768" s="291" t="str">
        <f t="shared" ref="A768:A997" si="44">IF(D767="","",A767+1)</f>
        <v/>
      </c>
      <c r="B768" s="291" t="s">
        <v>2271</v>
      </c>
      <c r="C768" s="291" t="str">
        <f>IF(D767="","",UNIT!$B$1&amp;"-"&amp;B768)</f>
        <v/>
      </c>
      <c r="D768" s="83"/>
      <c r="E768" s="59"/>
      <c r="F768" s="82"/>
      <c r="G768" s="82"/>
      <c r="H768" s="86"/>
      <c r="I768" s="294" t="str">
        <f t="shared" si="41"/>
        <v/>
      </c>
      <c r="J768" s="59"/>
      <c r="K768" s="83"/>
      <c r="L768" s="83" t="str">
        <f t="shared" si="42"/>
        <v xml:space="preserve">
</v>
      </c>
      <c r="M768" s="83"/>
      <c r="N768" s="59"/>
      <c r="O768" s="59"/>
      <c r="P768" s="86" t="e">
        <f t="shared" si="43"/>
        <v>#VALUE!</v>
      </c>
      <c r="Q768" s="59"/>
      <c r="R768" s="59"/>
      <c r="S768" s="59"/>
      <c r="T768" s="59"/>
      <c r="U768" s="290"/>
      <c r="V768" s="290"/>
      <c r="W768" s="290"/>
      <c r="X768" s="290"/>
      <c r="Y768" s="290"/>
      <c r="Z768" s="290"/>
      <c r="AA768" s="290"/>
      <c r="AB768" s="290"/>
      <c r="AC768" s="290"/>
      <c r="AD768" s="290"/>
    </row>
    <row r="769" spans="1:30" ht="25.5">
      <c r="A769" s="291" t="str">
        <f t="shared" si="44"/>
        <v/>
      </c>
      <c r="B769" s="291" t="s">
        <v>2272</v>
      </c>
      <c r="C769" s="291" t="str">
        <f>IF(D768="","",UNIT!$B$1&amp;"-"&amp;B769)</f>
        <v/>
      </c>
      <c r="D769" s="83"/>
      <c r="E769" s="59"/>
      <c r="F769" s="82"/>
      <c r="G769" s="82"/>
      <c r="H769" s="86"/>
      <c r="I769" s="294" t="str">
        <f t="shared" si="41"/>
        <v/>
      </c>
      <c r="J769" s="59"/>
      <c r="K769" s="83"/>
      <c r="L769" s="83" t="str">
        <f t="shared" si="42"/>
        <v xml:space="preserve">
</v>
      </c>
      <c r="M769" s="83"/>
      <c r="N769" s="59"/>
      <c r="O769" s="59"/>
      <c r="P769" s="86" t="e">
        <f t="shared" si="43"/>
        <v>#VALUE!</v>
      </c>
      <c r="Q769" s="59"/>
      <c r="R769" s="59"/>
      <c r="S769" s="59"/>
      <c r="T769" s="59"/>
      <c r="U769" s="290"/>
      <c r="V769" s="290"/>
      <c r="W769" s="290"/>
      <c r="X769" s="290"/>
      <c r="Y769" s="290"/>
      <c r="Z769" s="290"/>
      <c r="AA769" s="290"/>
      <c r="AB769" s="290"/>
      <c r="AC769" s="290"/>
      <c r="AD769" s="290"/>
    </row>
    <row r="770" spans="1:30" ht="25.5">
      <c r="A770" s="291" t="str">
        <f t="shared" si="44"/>
        <v/>
      </c>
      <c r="B770" s="291" t="s">
        <v>2273</v>
      </c>
      <c r="C770" s="291" t="str">
        <f>IF(D769="","",UNIT!$B$1&amp;"-"&amp;B770)</f>
        <v/>
      </c>
      <c r="D770" s="83"/>
      <c r="E770" s="59"/>
      <c r="F770" s="82"/>
      <c r="G770" s="82"/>
      <c r="H770" s="86"/>
      <c r="I770" s="294" t="str">
        <f t="shared" si="41"/>
        <v/>
      </c>
      <c r="J770" s="59"/>
      <c r="K770" s="83"/>
      <c r="L770" s="83" t="str">
        <f t="shared" si="42"/>
        <v xml:space="preserve">
</v>
      </c>
      <c r="M770" s="83"/>
      <c r="N770" s="59"/>
      <c r="O770" s="59"/>
      <c r="P770" s="86" t="e">
        <f t="shared" si="43"/>
        <v>#VALUE!</v>
      </c>
      <c r="Q770" s="59"/>
      <c r="R770" s="59"/>
      <c r="S770" s="59"/>
      <c r="T770" s="59"/>
      <c r="U770" s="290"/>
      <c r="V770" s="290"/>
      <c r="W770" s="290"/>
      <c r="X770" s="290"/>
      <c r="Y770" s="290"/>
      <c r="Z770" s="290"/>
      <c r="AA770" s="290"/>
      <c r="AB770" s="290"/>
      <c r="AC770" s="290"/>
      <c r="AD770" s="290"/>
    </row>
    <row r="771" spans="1:30" ht="25.5">
      <c r="A771" s="291" t="str">
        <f t="shared" si="44"/>
        <v/>
      </c>
      <c r="B771" s="291" t="s">
        <v>2274</v>
      </c>
      <c r="C771" s="291" t="str">
        <f>IF(D770="","",UNIT!$B$1&amp;"-"&amp;B771)</f>
        <v/>
      </c>
      <c r="D771" s="83"/>
      <c r="E771" s="59"/>
      <c r="F771" s="82"/>
      <c r="G771" s="82"/>
      <c r="H771" s="86"/>
      <c r="I771" s="294" t="str">
        <f t="shared" si="41"/>
        <v/>
      </c>
      <c r="J771" s="59"/>
      <c r="K771" s="83"/>
      <c r="L771" s="83" t="str">
        <f t="shared" si="42"/>
        <v xml:space="preserve">
</v>
      </c>
      <c r="M771" s="83"/>
      <c r="N771" s="59"/>
      <c r="O771" s="59"/>
      <c r="P771" s="86" t="e">
        <f t="shared" si="43"/>
        <v>#VALUE!</v>
      </c>
      <c r="Q771" s="59"/>
      <c r="R771" s="59"/>
      <c r="S771" s="59"/>
      <c r="T771" s="59"/>
      <c r="U771" s="290"/>
      <c r="V771" s="290"/>
      <c r="W771" s="290"/>
      <c r="X771" s="290"/>
      <c r="Y771" s="290"/>
      <c r="Z771" s="290"/>
      <c r="AA771" s="290"/>
      <c r="AB771" s="290"/>
      <c r="AC771" s="290"/>
      <c r="AD771" s="290"/>
    </row>
    <row r="772" spans="1:30" ht="25.5">
      <c r="A772" s="291" t="str">
        <f t="shared" si="44"/>
        <v/>
      </c>
      <c r="B772" s="291" t="s">
        <v>2275</v>
      </c>
      <c r="C772" s="291" t="str">
        <f>IF(D771="","",UNIT!$B$1&amp;"-"&amp;B772)</f>
        <v/>
      </c>
      <c r="D772" s="83"/>
      <c r="E772" s="59"/>
      <c r="F772" s="82"/>
      <c r="G772" s="82"/>
      <c r="H772" s="86"/>
      <c r="I772" s="294" t="str">
        <f t="shared" si="41"/>
        <v/>
      </c>
      <c r="J772" s="59"/>
      <c r="K772" s="83"/>
      <c r="L772" s="83" t="str">
        <f t="shared" si="42"/>
        <v xml:space="preserve">
</v>
      </c>
      <c r="M772" s="83"/>
      <c r="N772" s="59"/>
      <c r="O772" s="59"/>
      <c r="P772" s="86" t="e">
        <f t="shared" si="43"/>
        <v>#VALUE!</v>
      </c>
      <c r="Q772" s="59"/>
      <c r="R772" s="59"/>
      <c r="S772" s="59"/>
      <c r="T772" s="59"/>
      <c r="U772" s="290"/>
      <c r="V772" s="290"/>
      <c r="W772" s="290"/>
      <c r="X772" s="290"/>
      <c r="Y772" s="290"/>
      <c r="Z772" s="290"/>
      <c r="AA772" s="290"/>
      <c r="AB772" s="290"/>
      <c r="AC772" s="290"/>
      <c r="AD772" s="290"/>
    </row>
    <row r="773" spans="1:30" ht="25.5">
      <c r="A773" s="291" t="str">
        <f t="shared" si="44"/>
        <v/>
      </c>
      <c r="B773" s="291" t="s">
        <v>2276</v>
      </c>
      <c r="C773" s="291" t="str">
        <f>IF(D772="","",UNIT!$B$1&amp;"-"&amp;B773)</f>
        <v/>
      </c>
      <c r="D773" s="83"/>
      <c r="E773" s="59"/>
      <c r="F773" s="82"/>
      <c r="G773" s="82"/>
      <c r="H773" s="86"/>
      <c r="I773" s="294" t="str">
        <f t="shared" ref="I773:I997" si="45">IF(H773&gt;1,H773*1.5,"")</f>
        <v/>
      </c>
      <c r="J773" s="59"/>
      <c r="K773" s="83"/>
      <c r="L773" s="83" t="str">
        <f t="shared" si="42"/>
        <v xml:space="preserve">
</v>
      </c>
      <c r="M773" s="83"/>
      <c r="N773" s="59"/>
      <c r="O773" s="59"/>
      <c r="P773" s="86" t="e">
        <f t="shared" si="43"/>
        <v>#VALUE!</v>
      </c>
      <c r="Q773" s="59"/>
      <c r="R773" s="59"/>
      <c r="S773" s="59"/>
      <c r="T773" s="59"/>
      <c r="U773" s="290"/>
      <c r="V773" s="290"/>
      <c r="W773" s="290"/>
      <c r="X773" s="290"/>
      <c r="Y773" s="290"/>
      <c r="Z773" s="290"/>
      <c r="AA773" s="290"/>
      <c r="AB773" s="290"/>
      <c r="AC773" s="290"/>
      <c r="AD773" s="290"/>
    </row>
    <row r="774" spans="1:30" ht="25.5">
      <c r="A774" s="291" t="str">
        <f t="shared" si="44"/>
        <v/>
      </c>
      <c r="B774" s="291" t="s">
        <v>2277</v>
      </c>
      <c r="C774" s="291" t="str">
        <f>IF(D773="","",UNIT!$B$1&amp;"-"&amp;B774)</f>
        <v/>
      </c>
      <c r="D774" s="83"/>
      <c r="E774" s="59"/>
      <c r="F774" s="82"/>
      <c r="G774" s="82"/>
      <c r="H774" s="86"/>
      <c r="I774" s="294" t="str">
        <f t="shared" si="45"/>
        <v/>
      </c>
      <c r="J774" s="59"/>
      <c r="K774" s="83"/>
      <c r="L774" s="83" t="str">
        <f t="shared" si="42"/>
        <v xml:space="preserve">
</v>
      </c>
      <c r="M774" s="83"/>
      <c r="N774" s="59"/>
      <c r="O774" s="59"/>
      <c r="P774" s="86" t="e">
        <f t="shared" si="43"/>
        <v>#VALUE!</v>
      </c>
      <c r="Q774" s="59"/>
      <c r="R774" s="59"/>
      <c r="S774" s="59"/>
      <c r="T774" s="59"/>
      <c r="U774" s="290"/>
      <c r="V774" s="290"/>
      <c r="W774" s="290"/>
      <c r="X774" s="290"/>
      <c r="Y774" s="290"/>
      <c r="Z774" s="290"/>
      <c r="AA774" s="290"/>
      <c r="AB774" s="290"/>
      <c r="AC774" s="290"/>
      <c r="AD774" s="290"/>
    </row>
    <row r="775" spans="1:30" ht="25.5">
      <c r="A775" s="291" t="str">
        <f t="shared" si="44"/>
        <v/>
      </c>
      <c r="B775" s="291" t="s">
        <v>2278</v>
      </c>
      <c r="C775" s="291" t="str">
        <f>IF(D774="","",UNIT!$B$1&amp;"-"&amp;B775)</f>
        <v/>
      </c>
      <c r="D775" s="83"/>
      <c r="E775" s="59"/>
      <c r="F775" s="82"/>
      <c r="G775" s="82"/>
      <c r="H775" s="86"/>
      <c r="I775" s="294" t="str">
        <f t="shared" si="45"/>
        <v/>
      </c>
      <c r="J775" s="59"/>
      <c r="K775" s="83"/>
      <c r="L775" s="83" t="str">
        <f t="shared" si="42"/>
        <v xml:space="preserve">
</v>
      </c>
      <c r="M775" s="83"/>
      <c r="N775" s="59"/>
      <c r="O775" s="59"/>
      <c r="P775" s="86" t="e">
        <f t="shared" si="43"/>
        <v>#VALUE!</v>
      </c>
      <c r="Q775" s="59"/>
      <c r="R775" s="59"/>
      <c r="S775" s="59"/>
      <c r="T775" s="59"/>
      <c r="U775" s="290"/>
      <c r="V775" s="290"/>
      <c r="W775" s="290"/>
      <c r="X775" s="290"/>
      <c r="Y775" s="290"/>
      <c r="Z775" s="290"/>
      <c r="AA775" s="290"/>
      <c r="AB775" s="290"/>
      <c r="AC775" s="290"/>
      <c r="AD775" s="290"/>
    </row>
    <row r="776" spans="1:30" ht="25.5">
      <c r="A776" s="291" t="str">
        <f t="shared" si="44"/>
        <v/>
      </c>
      <c r="B776" s="291" t="s">
        <v>2279</v>
      </c>
      <c r="C776" s="291" t="str">
        <f>IF(D775="","",UNIT!$B$1&amp;"-"&amp;B776)</f>
        <v/>
      </c>
      <c r="D776" s="83"/>
      <c r="E776" s="59"/>
      <c r="F776" s="82"/>
      <c r="G776" s="82"/>
      <c r="H776" s="86"/>
      <c r="I776" s="294" t="str">
        <f t="shared" si="45"/>
        <v/>
      </c>
      <c r="J776" s="59"/>
      <c r="K776" s="83"/>
      <c r="L776" s="83" t="str">
        <f t="shared" si="42"/>
        <v xml:space="preserve">
</v>
      </c>
      <c r="M776" s="83"/>
      <c r="N776" s="59"/>
      <c r="O776" s="59"/>
      <c r="P776" s="86" t="e">
        <f t="shared" si="43"/>
        <v>#VALUE!</v>
      </c>
      <c r="Q776" s="59"/>
      <c r="R776" s="59"/>
      <c r="S776" s="59"/>
      <c r="T776" s="59"/>
      <c r="U776" s="290"/>
      <c r="V776" s="290"/>
      <c r="W776" s="290"/>
      <c r="X776" s="290"/>
      <c r="Y776" s="290"/>
      <c r="Z776" s="290"/>
      <c r="AA776" s="290"/>
      <c r="AB776" s="290"/>
      <c r="AC776" s="290"/>
      <c r="AD776" s="290"/>
    </row>
    <row r="777" spans="1:30" ht="25.5">
      <c r="A777" s="291" t="str">
        <f t="shared" si="44"/>
        <v/>
      </c>
      <c r="B777" s="291" t="s">
        <v>2280</v>
      </c>
      <c r="C777" s="291" t="str">
        <f>IF(D776="","",UNIT!$B$1&amp;"-"&amp;B777)</f>
        <v/>
      </c>
      <c r="D777" s="83"/>
      <c r="E777" s="59"/>
      <c r="F777" s="82"/>
      <c r="G777" s="82"/>
      <c r="H777" s="86"/>
      <c r="I777" s="294" t="str">
        <f t="shared" si="45"/>
        <v/>
      </c>
      <c r="J777" s="59"/>
      <c r="K777" s="83"/>
      <c r="L777" s="83" t="str">
        <f t="shared" si="42"/>
        <v xml:space="preserve">
</v>
      </c>
      <c r="M777" s="83"/>
      <c r="N777" s="59"/>
      <c r="O777" s="59"/>
      <c r="P777" s="86" t="e">
        <f t="shared" si="43"/>
        <v>#VALUE!</v>
      </c>
      <c r="Q777" s="59"/>
      <c r="R777" s="59"/>
      <c r="S777" s="59"/>
      <c r="T777" s="59"/>
      <c r="U777" s="290"/>
      <c r="V777" s="290"/>
      <c r="W777" s="290"/>
      <c r="X777" s="290"/>
      <c r="Y777" s="290"/>
      <c r="Z777" s="290"/>
      <c r="AA777" s="290"/>
      <c r="AB777" s="290"/>
      <c r="AC777" s="290"/>
      <c r="AD777" s="290"/>
    </row>
    <row r="778" spans="1:30" ht="25.5">
      <c r="A778" s="291" t="str">
        <f t="shared" si="44"/>
        <v/>
      </c>
      <c r="B778" s="291" t="s">
        <v>2281</v>
      </c>
      <c r="C778" s="291" t="str">
        <f>IF(D777="","",UNIT!$B$1&amp;"-"&amp;B778)</f>
        <v/>
      </c>
      <c r="D778" s="83"/>
      <c r="E778" s="59"/>
      <c r="F778" s="82"/>
      <c r="G778" s="82"/>
      <c r="H778" s="86"/>
      <c r="I778" s="294" t="str">
        <f t="shared" si="45"/>
        <v/>
      </c>
      <c r="J778" s="59"/>
      <c r="K778" s="83"/>
      <c r="L778" s="83" t="str">
        <f t="shared" si="42"/>
        <v xml:space="preserve">
</v>
      </c>
      <c r="M778" s="83"/>
      <c r="N778" s="59"/>
      <c r="O778" s="59"/>
      <c r="P778" s="86" t="e">
        <f t="shared" si="43"/>
        <v>#VALUE!</v>
      </c>
      <c r="Q778" s="59"/>
      <c r="R778" s="59"/>
      <c r="S778" s="59"/>
      <c r="T778" s="59"/>
      <c r="U778" s="290"/>
      <c r="V778" s="290"/>
      <c r="W778" s="290"/>
      <c r="X778" s="290"/>
      <c r="Y778" s="290"/>
      <c r="Z778" s="290"/>
      <c r="AA778" s="290"/>
      <c r="AB778" s="290"/>
      <c r="AC778" s="290"/>
      <c r="AD778" s="290"/>
    </row>
    <row r="779" spans="1:30" ht="25.5">
      <c r="A779" s="291" t="str">
        <f t="shared" si="44"/>
        <v/>
      </c>
      <c r="B779" s="291" t="s">
        <v>2282</v>
      </c>
      <c r="C779" s="291" t="str">
        <f>IF(D778="","",UNIT!$B$1&amp;"-"&amp;B779)</f>
        <v/>
      </c>
      <c r="D779" s="83"/>
      <c r="E779" s="59"/>
      <c r="F779" s="82"/>
      <c r="G779" s="82"/>
      <c r="H779" s="86"/>
      <c r="I779" s="294" t="str">
        <f t="shared" si="45"/>
        <v/>
      </c>
      <c r="J779" s="59"/>
      <c r="K779" s="83"/>
      <c r="L779" s="83" t="str">
        <f t="shared" si="42"/>
        <v xml:space="preserve">
</v>
      </c>
      <c r="M779" s="83"/>
      <c r="N779" s="59"/>
      <c r="O779" s="59"/>
      <c r="P779" s="86" t="e">
        <f t="shared" si="43"/>
        <v>#VALUE!</v>
      </c>
      <c r="Q779" s="59"/>
      <c r="R779" s="59"/>
      <c r="S779" s="59"/>
      <c r="T779" s="59"/>
      <c r="U779" s="290"/>
      <c r="V779" s="290"/>
      <c r="W779" s="290"/>
      <c r="X779" s="290"/>
      <c r="Y779" s="290"/>
      <c r="Z779" s="290"/>
      <c r="AA779" s="290"/>
      <c r="AB779" s="290"/>
      <c r="AC779" s="290"/>
      <c r="AD779" s="290"/>
    </row>
    <row r="780" spans="1:30" ht="25.5">
      <c r="A780" s="291" t="str">
        <f t="shared" si="44"/>
        <v/>
      </c>
      <c r="B780" s="291" t="s">
        <v>2283</v>
      </c>
      <c r="C780" s="291" t="str">
        <f>IF(D779="","",UNIT!$B$1&amp;"-"&amp;B780)</f>
        <v/>
      </c>
      <c r="D780" s="83"/>
      <c r="E780" s="59"/>
      <c r="F780" s="82"/>
      <c r="G780" s="82"/>
      <c r="H780" s="86"/>
      <c r="I780" s="294" t="str">
        <f t="shared" si="45"/>
        <v/>
      </c>
      <c r="J780" s="59"/>
      <c r="K780" s="83"/>
      <c r="L780" s="83" t="str">
        <f t="shared" si="42"/>
        <v xml:space="preserve">
</v>
      </c>
      <c r="M780" s="83"/>
      <c r="N780" s="59"/>
      <c r="O780" s="59"/>
      <c r="P780" s="86" t="e">
        <f t="shared" si="43"/>
        <v>#VALUE!</v>
      </c>
      <c r="Q780" s="59"/>
      <c r="R780" s="59"/>
      <c r="S780" s="59"/>
      <c r="T780" s="59"/>
      <c r="U780" s="290"/>
      <c r="V780" s="290"/>
      <c r="W780" s="290"/>
      <c r="X780" s="290"/>
      <c r="Y780" s="290"/>
      <c r="Z780" s="290"/>
      <c r="AA780" s="290"/>
      <c r="AB780" s="290"/>
      <c r="AC780" s="290"/>
      <c r="AD780" s="290"/>
    </row>
    <row r="781" spans="1:30" ht="25.5">
      <c r="A781" s="291" t="str">
        <f t="shared" si="44"/>
        <v/>
      </c>
      <c r="B781" s="291" t="s">
        <v>2284</v>
      </c>
      <c r="C781" s="291" t="str">
        <f>IF(D780="","",UNIT!$B$1&amp;"-"&amp;B781)</f>
        <v/>
      </c>
      <c r="D781" s="83"/>
      <c r="E781" s="59"/>
      <c r="F781" s="82"/>
      <c r="G781" s="82"/>
      <c r="H781" s="86"/>
      <c r="I781" s="294" t="str">
        <f t="shared" si="45"/>
        <v/>
      </c>
      <c r="J781" s="59"/>
      <c r="K781" s="83"/>
      <c r="L781" s="83" t="str">
        <f t="shared" si="42"/>
        <v xml:space="preserve">
</v>
      </c>
      <c r="M781" s="83"/>
      <c r="N781" s="59"/>
      <c r="O781" s="59"/>
      <c r="P781" s="86" t="e">
        <f t="shared" si="43"/>
        <v>#VALUE!</v>
      </c>
      <c r="Q781" s="59"/>
      <c r="R781" s="59"/>
      <c r="S781" s="59"/>
      <c r="T781" s="59"/>
      <c r="U781" s="290"/>
      <c r="V781" s="290"/>
      <c r="W781" s="290"/>
      <c r="X781" s="290"/>
      <c r="Y781" s="290"/>
      <c r="Z781" s="290"/>
      <c r="AA781" s="290"/>
      <c r="AB781" s="290"/>
      <c r="AC781" s="290"/>
      <c r="AD781" s="290"/>
    </row>
    <row r="782" spans="1:30" ht="25.5">
      <c r="A782" s="291" t="str">
        <f t="shared" si="44"/>
        <v/>
      </c>
      <c r="B782" s="291" t="s">
        <v>2285</v>
      </c>
      <c r="C782" s="291" t="str">
        <f>IF(D781="","",UNIT!$B$1&amp;"-"&amp;B782)</f>
        <v/>
      </c>
      <c r="D782" s="83"/>
      <c r="E782" s="59"/>
      <c r="F782" s="82"/>
      <c r="G782" s="82"/>
      <c r="H782" s="86"/>
      <c r="I782" s="294" t="str">
        <f t="shared" si="45"/>
        <v/>
      </c>
      <c r="J782" s="59"/>
      <c r="K782" s="83"/>
      <c r="L782" s="83" t="str">
        <f t="shared" si="42"/>
        <v xml:space="preserve">
</v>
      </c>
      <c r="M782" s="83"/>
      <c r="N782" s="59"/>
      <c r="O782" s="59"/>
      <c r="P782" s="86" t="e">
        <f t="shared" si="43"/>
        <v>#VALUE!</v>
      </c>
      <c r="Q782" s="59"/>
      <c r="R782" s="59"/>
      <c r="S782" s="59"/>
      <c r="T782" s="59"/>
      <c r="U782" s="290"/>
      <c r="V782" s="290"/>
      <c r="W782" s="290"/>
      <c r="X782" s="290"/>
      <c r="Y782" s="290"/>
      <c r="Z782" s="290"/>
      <c r="AA782" s="290"/>
      <c r="AB782" s="290"/>
      <c r="AC782" s="290"/>
      <c r="AD782" s="290"/>
    </row>
    <row r="783" spans="1:30" ht="25.5">
      <c r="A783" s="291" t="str">
        <f t="shared" si="44"/>
        <v/>
      </c>
      <c r="B783" s="291" t="s">
        <v>2286</v>
      </c>
      <c r="C783" s="291" t="str">
        <f>IF(D782="","",UNIT!$B$1&amp;"-"&amp;B783)</f>
        <v/>
      </c>
      <c r="D783" s="83"/>
      <c r="E783" s="59"/>
      <c r="F783" s="82"/>
      <c r="G783" s="82"/>
      <c r="H783" s="86"/>
      <c r="I783" s="294" t="str">
        <f t="shared" si="45"/>
        <v/>
      </c>
      <c r="J783" s="59"/>
      <c r="K783" s="83"/>
      <c r="L783" s="83" t="str">
        <f t="shared" si="42"/>
        <v xml:space="preserve">
</v>
      </c>
      <c r="M783" s="83"/>
      <c r="N783" s="59"/>
      <c r="O783" s="59"/>
      <c r="P783" s="86" t="e">
        <f t="shared" si="43"/>
        <v>#VALUE!</v>
      </c>
      <c r="Q783" s="59"/>
      <c r="R783" s="59"/>
      <c r="S783" s="59"/>
      <c r="T783" s="59"/>
      <c r="U783" s="290"/>
      <c r="V783" s="290"/>
      <c r="W783" s="290"/>
      <c r="X783" s="290"/>
      <c r="Y783" s="290"/>
      <c r="Z783" s="290"/>
      <c r="AA783" s="290"/>
      <c r="AB783" s="290"/>
      <c r="AC783" s="290"/>
      <c r="AD783" s="290"/>
    </row>
    <row r="784" spans="1:30" ht="25.5">
      <c r="A784" s="291" t="str">
        <f t="shared" si="44"/>
        <v/>
      </c>
      <c r="B784" s="291" t="s">
        <v>2287</v>
      </c>
      <c r="C784" s="291" t="str">
        <f>IF(D783="","",UNIT!$B$1&amp;"-"&amp;B784)</f>
        <v/>
      </c>
      <c r="D784" s="83"/>
      <c r="E784" s="59"/>
      <c r="F784" s="82"/>
      <c r="G784" s="82"/>
      <c r="H784" s="86"/>
      <c r="I784" s="294" t="str">
        <f t="shared" si="45"/>
        <v/>
      </c>
      <c r="J784" s="59"/>
      <c r="K784" s="83"/>
      <c r="L784" s="83" t="str">
        <f t="shared" si="42"/>
        <v xml:space="preserve">
</v>
      </c>
      <c r="M784" s="83"/>
      <c r="N784" s="59"/>
      <c r="O784" s="59"/>
      <c r="P784" s="86" t="e">
        <f t="shared" si="43"/>
        <v>#VALUE!</v>
      </c>
      <c r="Q784" s="59"/>
      <c r="R784" s="59"/>
      <c r="S784" s="59"/>
      <c r="T784" s="59"/>
      <c r="U784" s="290"/>
      <c r="V784" s="290"/>
      <c r="W784" s="290"/>
      <c r="X784" s="290"/>
      <c r="Y784" s="290"/>
      <c r="Z784" s="290"/>
      <c r="AA784" s="290"/>
      <c r="AB784" s="290"/>
      <c r="AC784" s="290"/>
      <c r="AD784" s="290"/>
    </row>
    <row r="785" spans="1:30" ht="25.5">
      <c r="A785" s="291" t="str">
        <f t="shared" si="44"/>
        <v/>
      </c>
      <c r="B785" s="291" t="s">
        <v>2288</v>
      </c>
      <c r="C785" s="291" t="str">
        <f>IF(D784="","",UNIT!$B$1&amp;"-"&amp;B785)</f>
        <v/>
      </c>
      <c r="D785" s="83"/>
      <c r="E785" s="59"/>
      <c r="F785" s="82"/>
      <c r="G785" s="82"/>
      <c r="H785" s="86"/>
      <c r="I785" s="294" t="str">
        <f t="shared" si="45"/>
        <v/>
      </c>
      <c r="J785" s="59"/>
      <c r="K785" s="83"/>
      <c r="L785" s="83" t="str">
        <f t="shared" si="42"/>
        <v xml:space="preserve">
</v>
      </c>
      <c r="M785" s="83"/>
      <c r="N785" s="59"/>
      <c r="O785" s="59"/>
      <c r="P785" s="86" t="e">
        <f t="shared" si="43"/>
        <v>#VALUE!</v>
      </c>
      <c r="Q785" s="59"/>
      <c r="R785" s="59"/>
      <c r="S785" s="59"/>
      <c r="T785" s="59"/>
      <c r="U785" s="290"/>
      <c r="V785" s="290"/>
      <c r="W785" s="290"/>
      <c r="X785" s="290"/>
      <c r="Y785" s="290"/>
      <c r="Z785" s="290"/>
      <c r="AA785" s="290"/>
      <c r="AB785" s="290"/>
      <c r="AC785" s="290"/>
      <c r="AD785" s="290"/>
    </row>
    <row r="786" spans="1:30" ht="25.5">
      <c r="A786" s="291" t="str">
        <f t="shared" si="44"/>
        <v/>
      </c>
      <c r="B786" s="291" t="s">
        <v>2289</v>
      </c>
      <c r="C786" s="291" t="str">
        <f>IF(D785="","",UNIT!$B$1&amp;"-"&amp;B786)</f>
        <v/>
      </c>
      <c r="D786" s="83"/>
      <c r="E786" s="59"/>
      <c r="F786" s="82"/>
      <c r="G786" s="82"/>
      <c r="H786" s="86"/>
      <c r="I786" s="294" t="str">
        <f t="shared" si="45"/>
        <v/>
      </c>
      <c r="J786" s="59"/>
      <c r="K786" s="83"/>
      <c r="L786" s="83" t="str">
        <f t="shared" si="42"/>
        <v xml:space="preserve">
</v>
      </c>
      <c r="M786" s="83"/>
      <c r="N786" s="59"/>
      <c r="O786" s="59"/>
      <c r="P786" s="86" t="e">
        <f t="shared" si="43"/>
        <v>#VALUE!</v>
      </c>
      <c r="Q786" s="59"/>
      <c r="R786" s="59"/>
      <c r="S786" s="59"/>
      <c r="T786" s="59"/>
      <c r="U786" s="290"/>
      <c r="V786" s="290"/>
      <c r="W786" s="290"/>
      <c r="X786" s="290"/>
      <c r="Y786" s="290"/>
      <c r="Z786" s="290"/>
      <c r="AA786" s="290"/>
      <c r="AB786" s="290"/>
      <c r="AC786" s="290"/>
      <c r="AD786" s="290"/>
    </row>
    <row r="787" spans="1:30" ht="25.5">
      <c r="A787" s="291" t="str">
        <f t="shared" si="44"/>
        <v/>
      </c>
      <c r="B787" s="291" t="s">
        <v>2290</v>
      </c>
      <c r="C787" s="291" t="str">
        <f>IF(D786="","",UNIT!$B$1&amp;"-"&amp;B787)</f>
        <v/>
      </c>
      <c r="D787" s="83"/>
      <c r="E787" s="59"/>
      <c r="F787" s="82"/>
      <c r="G787" s="82"/>
      <c r="H787" s="86"/>
      <c r="I787" s="294" t="str">
        <f t="shared" si="45"/>
        <v/>
      </c>
      <c r="J787" s="59"/>
      <c r="K787" s="83"/>
      <c r="L787" s="83" t="str">
        <f t="shared" si="42"/>
        <v xml:space="preserve">
</v>
      </c>
      <c r="M787" s="83"/>
      <c r="N787" s="59"/>
      <c r="O787" s="59"/>
      <c r="P787" s="86" t="e">
        <f t="shared" si="43"/>
        <v>#VALUE!</v>
      </c>
      <c r="Q787" s="59"/>
      <c r="R787" s="59"/>
      <c r="S787" s="59"/>
      <c r="T787" s="59"/>
      <c r="U787" s="290"/>
      <c r="V787" s="290"/>
      <c r="W787" s="290"/>
      <c r="X787" s="290"/>
      <c r="Y787" s="290"/>
      <c r="Z787" s="290"/>
      <c r="AA787" s="290"/>
      <c r="AB787" s="290"/>
      <c r="AC787" s="290"/>
      <c r="AD787" s="290"/>
    </row>
    <row r="788" spans="1:30" ht="25.5">
      <c r="A788" s="291" t="str">
        <f t="shared" si="44"/>
        <v/>
      </c>
      <c r="B788" s="291" t="s">
        <v>2291</v>
      </c>
      <c r="C788" s="291" t="str">
        <f>IF(D787="","",UNIT!$B$1&amp;"-"&amp;B788)</f>
        <v/>
      </c>
      <c r="D788" s="83"/>
      <c r="E788" s="59"/>
      <c r="F788" s="82"/>
      <c r="G788" s="82"/>
      <c r="H788" s="86"/>
      <c r="I788" s="294" t="str">
        <f t="shared" si="45"/>
        <v/>
      </c>
      <c r="J788" s="59"/>
      <c r="K788" s="83"/>
      <c r="L788" s="83" t="str">
        <f t="shared" si="42"/>
        <v xml:space="preserve">
</v>
      </c>
      <c r="M788" s="83"/>
      <c r="N788" s="59"/>
      <c r="O788" s="59"/>
      <c r="P788" s="86" t="e">
        <f t="shared" si="43"/>
        <v>#VALUE!</v>
      </c>
      <c r="Q788" s="59"/>
      <c r="R788" s="59"/>
      <c r="S788" s="59"/>
      <c r="T788" s="59"/>
      <c r="U788" s="290"/>
      <c r="V788" s="290"/>
      <c r="W788" s="290"/>
      <c r="X788" s="290"/>
      <c r="Y788" s="290"/>
      <c r="Z788" s="290"/>
      <c r="AA788" s="290"/>
      <c r="AB788" s="290"/>
      <c r="AC788" s="290"/>
      <c r="AD788" s="290"/>
    </row>
    <row r="789" spans="1:30" ht="25.5">
      <c r="A789" s="291" t="str">
        <f t="shared" si="44"/>
        <v/>
      </c>
      <c r="B789" s="291" t="s">
        <v>2292</v>
      </c>
      <c r="C789" s="291" t="str">
        <f>IF(D788="","",UNIT!$B$1&amp;"-"&amp;B789)</f>
        <v/>
      </c>
      <c r="D789" s="83"/>
      <c r="E789" s="59"/>
      <c r="F789" s="82"/>
      <c r="G789" s="82"/>
      <c r="H789" s="86"/>
      <c r="I789" s="294" t="str">
        <f t="shared" si="45"/>
        <v/>
      </c>
      <c r="J789" s="59"/>
      <c r="K789" s="83"/>
      <c r="L789" s="83" t="str">
        <f t="shared" si="42"/>
        <v xml:space="preserve">
</v>
      </c>
      <c r="M789" s="83"/>
      <c r="N789" s="59"/>
      <c r="O789" s="59"/>
      <c r="P789" s="86" t="e">
        <f t="shared" si="43"/>
        <v>#VALUE!</v>
      </c>
      <c r="Q789" s="59"/>
      <c r="R789" s="59"/>
      <c r="S789" s="59"/>
      <c r="T789" s="59"/>
      <c r="U789" s="290"/>
      <c r="V789" s="290"/>
      <c r="W789" s="290"/>
      <c r="X789" s="290"/>
      <c r="Y789" s="290"/>
      <c r="Z789" s="290"/>
      <c r="AA789" s="290"/>
      <c r="AB789" s="290"/>
      <c r="AC789" s="290"/>
      <c r="AD789" s="290"/>
    </row>
    <row r="790" spans="1:30" ht="25.5">
      <c r="A790" s="291" t="str">
        <f t="shared" si="44"/>
        <v/>
      </c>
      <c r="B790" s="291" t="s">
        <v>2293</v>
      </c>
      <c r="C790" s="291" t="str">
        <f>IF(D789="","",UNIT!$B$1&amp;"-"&amp;B790)</f>
        <v/>
      </c>
      <c r="D790" s="83"/>
      <c r="E790" s="59"/>
      <c r="F790" s="82"/>
      <c r="G790" s="82"/>
      <c r="H790" s="86"/>
      <c r="I790" s="294" t="str">
        <f t="shared" si="45"/>
        <v/>
      </c>
      <c r="J790" s="59"/>
      <c r="K790" s="83"/>
      <c r="L790" s="83" t="str">
        <f t="shared" si="42"/>
        <v xml:space="preserve">
</v>
      </c>
      <c r="M790" s="83"/>
      <c r="N790" s="59"/>
      <c r="O790" s="59"/>
      <c r="P790" s="86" t="e">
        <f t="shared" si="43"/>
        <v>#VALUE!</v>
      </c>
      <c r="Q790" s="59"/>
      <c r="R790" s="59"/>
      <c r="S790" s="59"/>
      <c r="T790" s="59"/>
      <c r="U790" s="290"/>
      <c r="V790" s="290"/>
      <c r="W790" s="290"/>
      <c r="X790" s="290"/>
      <c r="Y790" s="290"/>
      <c r="Z790" s="290"/>
      <c r="AA790" s="290"/>
      <c r="AB790" s="290"/>
      <c r="AC790" s="290"/>
      <c r="AD790" s="290"/>
    </row>
    <row r="791" spans="1:30" ht="25.5">
      <c r="A791" s="291" t="str">
        <f t="shared" si="44"/>
        <v/>
      </c>
      <c r="B791" s="291" t="s">
        <v>2294</v>
      </c>
      <c r="C791" s="291" t="str">
        <f>IF(D790="","",UNIT!$B$1&amp;"-"&amp;B791)</f>
        <v/>
      </c>
      <c r="D791" s="83"/>
      <c r="E791" s="59"/>
      <c r="F791" s="82"/>
      <c r="G791" s="82"/>
      <c r="H791" s="86"/>
      <c r="I791" s="294" t="str">
        <f t="shared" si="45"/>
        <v/>
      </c>
      <c r="J791" s="59"/>
      <c r="K791" s="83"/>
      <c r="L791" s="83" t="str">
        <f t="shared" si="42"/>
        <v xml:space="preserve">
</v>
      </c>
      <c r="M791" s="83"/>
      <c r="N791" s="59"/>
      <c r="O791" s="59"/>
      <c r="P791" s="86" t="e">
        <f t="shared" si="43"/>
        <v>#VALUE!</v>
      </c>
      <c r="Q791" s="59"/>
      <c r="R791" s="59"/>
      <c r="S791" s="59"/>
      <c r="T791" s="59"/>
      <c r="U791" s="290"/>
      <c r="V791" s="290"/>
      <c r="W791" s="290"/>
      <c r="X791" s="290"/>
      <c r="Y791" s="290"/>
      <c r="Z791" s="290"/>
      <c r="AA791" s="290"/>
      <c r="AB791" s="290"/>
      <c r="AC791" s="290"/>
      <c r="AD791" s="290"/>
    </row>
    <row r="792" spans="1:30" ht="25.5">
      <c r="A792" s="291" t="str">
        <f t="shared" si="44"/>
        <v/>
      </c>
      <c r="B792" s="291" t="s">
        <v>2295</v>
      </c>
      <c r="C792" s="291" t="str">
        <f>IF(D791="","",UNIT!$B$1&amp;"-"&amp;B792)</f>
        <v/>
      </c>
      <c r="D792" s="83"/>
      <c r="E792" s="59"/>
      <c r="F792" s="82"/>
      <c r="G792" s="82"/>
      <c r="H792" s="86"/>
      <c r="I792" s="294" t="str">
        <f t="shared" si="45"/>
        <v/>
      </c>
      <c r="J792" s="59"/>
      <c r="K792" s="83"/>
      <c r="L792" s="83" t="str">
        <f t="shared" si="42"/>
        <v xml:space="preserve">
</v>
      </c>
      <c r="M792" s="83"/>
      <c r="N792" s="59"/>
      <c r="O792" s="59"/>
      <c r="P792" s="86" t="e">
        <f t="shared" si="43"/>
        <v>#VALUE!</v>
      </c>
      <c r="Q792" s="59"/>
      <c r="R792" s="59"/>
      <c r="S792" s="59"/>
      <c r="T792" s="59"/>
      <c r="U792" s="290"/>
      <c r="V792" s="290"/>
      <c r="W792" s="290"/>
      <c r="X792" s="290"/>
      <c r="Y792" s="290"/>
      <c r="Z792" s="290"/>
      <c r="AA792" s="290"/>
      <c r="AB792" s="290"/>
      <c r="AC792" s="290"/>
      <c r="AD792" s="290"/>
    </row>
    <row r="793" spans="1:30" ht="25.5">
      <c r="A793" s="291" t="str">
        <f t="shared" si="44"/>
        <v/>
      </c>
      <c r="B793" s="291" t="s">
        <v>2296</v>
      </c>
      <c r="C793" s="291" t="str">
        <f>IF(D792="","",UNIT!$B$1&amp;"-"&amp;B793)</f>
        <v/>
      </c>
      <c r="D793" s="83"/>
      <c r="E793" s="59"/>
      <c r="F793" s="82"/>
      <c r="G793" s="82"/>
      <c r="H793" s="86"/>
      <c r="I793" s="294" t="str">
        <f t="shared" si="45"/>
        <v/>
      </c>
      <c r="J793" s="59"/>
      <c r="K793" s="83"/>
      <c r="L793" s="83" t="str">
        <f t="shared" si="42"/>
        <v xml:space="preserve">
</v>
      </c>
      <c r="M793" s="83"/>
      <c r="N793" s="59"/>
      <c r="O793" s="59"/>
      <c r="P793" s="86" t="e">
        <f t="shared" si="43"/>
        <v>#VALUE!</v>
      </c>
      <c r="Q793" s="59"/>
      <c r="R793" s="59"/>
      <c r="S793" s="59"/>
      <c r="T793" s="59"/>
      <c r="U793" s="290"/>
      <c r="V793" s="290"/>
      <c r="W793" s="290"/>
      <c r="X793" s="290"/>
      <c r="Y793" s="290"/>
      <c r="Z793" s="290"/>
      <c r="AA793" s="290"/>
      <c r="AB793" s="290"/>
      <c r="AC793" s="290"/>
      <c r="AD793" s="290"/>
    </row>
    <row r="794" spans="1:30" ht="25.5">
      <c r="A794" s="291" t="str">
        <f t="shared" si="44"/>
        <v/>
      </c>
      <c r="B794" s="291" t="s">
        <v>2297</v>
      </c>
      <c r="C794" s="291" t="str">
        <f>IF(D793="","",UNIT!$B$1&amp;"-"&amp;B794)</f>
        <v/>
      </c>
      <c r="D794" s="83"/>
      <c r="E794" s="59"/>
      <c r="F794" s="82"/>
      <c r="G794" s="82"/>
      <c r="H794" s="86"/>
      <c r="I794" s="294" t="str">
        <f t="shared" si="45"/>
        <v/>
      </c>
      <c r="J794" s="59"/>
      <c r="K794" s="83"/>
      <c r="L794" s="83" t="str">
        <f t="shared" si="42"/>
        <v xml:space="preserve">
</v>
      </c>
      <c r="M794" s="83"/>
      <c r="N794" s="59"/>
      <c r="O794" s="59"/>
      <c r="P794" s="86" t="e">
        <f t="shared" si="43"/>
        <v>#VALUE!</v>
      </c>
      <c r="Q794" s="59"/>
      <c r="R794" s="59"/>
      <c r="S794" s="59"/>
      <c r="T794" s="59"/>
      <c r="U794" s="290"/>
      <c r="V794" s="290"/>
      <c r="W794" s="290"/>
      <c r="X794" s="290"/>
      <c r="Y794" s="290"/>
      <c r="Z794" s="290"/>
      <c r="AA794" s="290"/>
      <c r="AB794" s="290"/>
      <c r="AC794" s="290"/>
      <c r="AD794" s="290"/>
    </row>
    <row r="795" spans="1:30" ht="25.5">
      <c r="A795" s="291" t="str">
        <f t="shared" si="44"/>
        <v/>
      </c>
      <c r="B795" s="291" t="s">
        <v>2298</v>
      </c>
      <c r="C795" s="291" t="str">
        <f>IF(D794="","",UNIT!$B$1&amp;"-"&amp;B795)</f>
        <v/>
      </c>
      <c r="D795" s="83"/>
      <c r="E795" s="59"/>
      <c r="F795" s="82"/>
      <c r="G795" s="82"/>
      <c r="H795" s="86"/>
      <c r="I795" s="294" t="str">
        <f t="shared" si="45"/>
        <v/>
      </c>
      <c r="J795" s="59"/>
      <c r="K795" s="83"/>
      <c r="L795" s="83" t="str">
        <f t="shared" si="42"/>
        <v xml:space="preserve">
</v>
      </c>
      <c r="M795" s="83"/>
      <c r="N795" s="59"/>
      <c r="O795" s="59"/>
      <c r="P795" s="86" t="e">
        <f t="shared" si="43"/>
        <v>#VALUE!</v>
      </c>
      <c r="Q795" s="59"/>
      <c r="R795" s="59"/>
      <c r="S795" s="59"/>
      <c r="T795" s="59"/>
      <c r="U795" s="290"/>
      <c r="V795" s="290"/>
      <c r="W795" s="290"/>
      <c r="X795" s="290"/>
      <c r="Y795" s="290"/>
      <c r="Z795" s="290"/>
      <c r="AA795" s="290"/>
      <c r="AB795" s="290"/>
      <c r="AC795" s="290"/>
      <c r="AD795" s="290"/>
    </row>
    <row r="796" spans="1:30" ht="25.5">
      <c r="A796" s="291" t="str">
        <f t="shared" si="44"/>
        <v/>
      </c>
      <c r="B796" s="291" t="s">
        <v>2299</v>
      </c>
      <c r="C796" s="291" t="str">
        <f>IF(D795="","",UNIT!$B$1&amp;"-"&amp;B796)</f>
        <v/>
      </c>
      <c r="D796" s="83"/>
      <c r="E796" s="59"/>
      <c r="F796" s="82"/>
      <c r="G796" s="82"/>
      <c r="H796" s="86"/>
      <c r="I796" s="294" t="str">
        <f t="shared" si="45"/>
        <v/>
      </c>
      <c r="J796" s="59"/>
      <c r="K796" s="83"/>
      <c r="L796" s="83" t="str">
        <f t="shared" si="42"/>
        <v xml:space="preserve">
</v>
      </c>
      <c r="M796" s="83"/>
      <c r="N796" s="59"/>
      <c r="O796" s="59"/>
      <c r="P796" s="86" t="e">
        <f t="shared" si="43"/>
        <v>#VALUE!</v>
      </c>
      <c r="Q796" s="59"/>
      <c r="R796" s="59"/>
      <c r="S796" s="59"/>
      <c r="T796" s="59"/>
      <c r="U796" s="290"/>
      <c r="V796" s="290"/>
      <c r="W796" s="290"/>
      <c r="X796" s="290"/>
      <c r="Y796" s="290"/>
      <c r="Z796" s="290"/>
      <c r="AA796" s="290"/>
      <c r="AB796" s="290"/>
      <c r="AC796" s="290"/>
      <c r="AD796" s="290"/>
    </row>
    <row r="797" spans="1:30" ht="25.5">
      <c r="A797" s="291" t="str">
        <f t="shared" si="44"/>
        <v/>
      </c>
      <c r="B797" s="291" t="s">
        <v>2300</v>
      </c>
      <c r="C797" s="291" t="str">
        <f>IF(D796="","",UNIT!$B$1&amp;"-"&amp;B797)</f>
        <v/>
      </c>
      <c r="D797" s="83"/>
      <c r="E797" s="59"/>
      <c r="F797" s="82"/>
      <c r="G797" s="82"/>
      <c r="H797" s="86"/>
      <c r="I797" s="294" t="str">
        <f t="shared" si="45"/>
        <v/>
      </c>
      <c r="J797" s="59"/>
      <c r="K797" s="83"/>
      <c r="L797" s="83" t="str">
        <f t="shared" si="42"/>
        <v xml:space="preserve">
</v>
      </c>
      <c r="M797" s="83"/>
      <c r="N797" s="59"/>
      <c r="O797" s="59"/>
      <c r="P797" s="86" t="e">
        <f t="shared" si="43"/>
        <v>#VALUE!</v>
      </c>
      <c r="Q797" s="59"/>
      <c r="R797" s="59"/>
      <c r="S797" s="59"/>
      <c r="T797" s="59"/>
      <c r="U797" s="290"/>
      <c r="V797" s="290"/>
      <c r="W797" s="290"/>
      <c r="X797" s="290"/>
      <c r="Y797" s="290"/>
      <c r="Z797" s="290"/>
      <c r="AA797" s="290"/>
      <c r="AB797" s="290"/>
      <c r="AC797" s="290"/>
      <c r="AD797" s="290"/>
    </row>
    <row r="798" spans="1:30" ht="25.5">
      <c r="A798" s="291" t="str">
        <f t="shared" si="44"/>
        <v/>
      </c>
      <c r="B798" s="291" t="s">
        <v>2301</v>
      </c>
      <c r="C798" s="291" t="str">
        <f>IF(D797="","",UNIT!$B$1&amp;"-"&amp;B798)</f>
        <v/>
      </c>
      <c r="D798" s="83"/>
      <c r="E798" s="59"/>
      <c r="F798" s="82"/>
      <c r="G798" s="82"/>
      <c r="H798" s="86"/>
      <c r="I798" s="294" t="str">
        <f t="shared" si="45"/>
        <v/>
      </c>
      <c r="J798" s="59"/>
      <c r="K798" s="83"/>
      <c r="L798" s="83" t="str">
        <f t="shared" si="42"/>
        <v xml:space="preserve">
</v>
      </c>
      <c r="M798" s="83"/>
      <c r="N798" s="59"/>
      <c r="O798" s="59"/>
      <c r="P798" s="86" t="e">
        <f t="shared" si="43"/>
        <v>#VALUE!</v>
      </c>
      <c r="Q798" s="59"/>
      <c r="R798" s="59"/>
      <c r="S798" s="59"/>
      <c r="T798" s="59"/>
      <c r="U798" s="290"/>
      <c r="V798" s="290"/>
      <c r="W798" s="290"/>
      <c r="X798" s="290"/>
      <c r="Y798" s="290"/>
      <c r="Z798" s="290"/>
      <c r="AA798" s="290"/>
      <c r="AB798" s="290"/>
      <c r="AC798" s="290"/>
      <c r="AD798" s="290"/>
    </row>
    <row r="799" spans="1:30" ht="25.5">
      <c r="A799" s="291" t="str">
        <f t="shared" si="44"/>
        <v/>
      </c>
      <c r="B799" s="291" t="s">
        <v>2302</v>
      </c>
      <c r="C799" s="291" t="str">
        <f>IF(D798="","",UNIT!$B$1&amp;"-"&amp;B799)</f>
        <v/>
      </c>
      <c r="D799" s="83"/>
      <c r="E799" s="59"/>
      <c r="F799" s="82"/>
      <c r="G799" s="82"/>
      <c r="H799" s="86"/>
      <c r="I799" s="294" t="str">
        <f t="shared" si="45"/>
        <v/>
      </c>
      <c r="J799" s="59"/>
      <c r="K799" s="83"/>
      <c r="L799" s="83" t="str">
        <f t="shared" si="42"/>
        <v xml:space="preserve">
</v>
      </c>
      <c r="M799" s="83"/>
      <c r="N799" s="59"/>
      <c r="O799" s="59"/>
      <c r="P799" s="86" t="e">
        <f t="shared" si="43"/>
        <v>#VALUE!</v>
      </c>
      <c r="Q799" s="59"/>
      <c r="R799" s="59"/>
      <c r="S799" s="59"/>
      <c r="T799" s="59"/>
      <c r="U799" s="290"/>
      <c r="V799" s="290"/>
      <c r="W799" s="290"/>
      <c r="X799" s="290"/>
      <c r="Y799" s="290"/>
      <c r="Z799" s="290"/>
      <c r="AA799" s="290"/>
      <c r="AB799" s="290"/>
      <c r="AC799" s="290"/>
      <c r="AD799" s="290"/>
    </row>
    <row r="800" spans="1:30" ht="25.5">
      <c r="A800" s="291" t="str">
        <f t="shared" si="44"/>
        <v/>
      </c>
      <c r="B800" s="291" t="s">
        <v>2303</v>
      </c>
      <c r="C800" s="291" t="str">
        <f>IF(D799="","",UNIT!$B$1&amp;"-"&amp;B800)</f>
        <v/>
      </c>
      <c r="D800" s="83"/>
      <c r="E800" s="59"/>
      <c r="F800" s="82"/>
      <c r="G800" s="82"/>
      <c r="H800" s="86"/>
      <c r="I800" s="294" t="str">
        <f t="shared" si="45"/>
        <v/>
      </c>
      <c r="J800" s="59"/>
      <c r="K800" s="83"/>
      <c r="L800" s="83" t="str">
        <f t="shared" si="42"/>
        <v xml:space="preserve">
</v>
      </c>
      <c r="M800" s="83"/>
      <c r="N800" s="59"/>
      <c r="O800" s="59"/>
      <c r="P800" s="86" t="e">
        <f t="shared" si="43"/>
        <v>#VALUE!</v>
      </c>
      <c r="Q800" s="59"/>
      <c r="R800" s="59"/>
      <c r="S800" s="59"/>
      <c r="T800" s="59"/>
      <c r="U800" s="290"/>
      <c r="V800" s="290"/>
      <c r="W800" s="290"/>
      <c r="X800" s="290"/>
      <c r="Y800" s="290"/>
      <c r="Z800" s="290"/>
      <c r="AA800" s="290"/>
      <c r="AB800" s="290"/>
      <c r="AC800" s="290"/>
      <c r="AD800" s="290"/>
    </row>
    <row r="801" spans="1:30" ht="25.5">
      <c r="A801" s="291" t="str">
        <f t="shared" si="44"/>
        <v/>
      </c>
      <c r="B801" s="291" t="s">
        <v>2304</v>
      </c>
      <c r="C801" s="291" t="str">
        <f>IF(D800="","",UNIT!$B$1&amp;"-"&amp;B801)</f>
        <v/>
      </c>
      <c r="D801" s="83"/>
      <c r="E801" s="59"/>
      <c r="F801" s="82"/>
      <c r="G801" s="82"/>
      <c r="H801" s="86"/>
      <c r="I801" s="294" t="str">
        <f t="shared" si="45"/>
        <v/>
      </c>
      <c r="J801" s="59"/>
      <c r="K801" s="83"/>
      <c r="L801" s="83" t="str">
        <f t="shared" si="42"/>
        <v xml:space="preserve">
</v>
      </c>
      <c r="M801" s="83"/>
      <c r="N801" s="59"/>
      <c r="O801" s="59"/>
      <c r="P801" s="86" t="e">
        <f t="shared" si="43"/>
        <v>#VALUE!</v>
      </c>
      <c r="Q801" s="59"/>
      <c r="R801" s="59"/>
      <c r="S801" s="59"/>
      <c r="T801" s="59"/>
      <c r="U801" s="290"/>
      <c r="V801" s="290"/>
      <c r="W801" s="290"/>
      <c r="X801" s="290"/>
      <c r="Y801" s="290"/>
      <c r="Z801" s="290"/>
      <c r="AA801" s="290"/>
      <c r="AB801" s="290"/>
      <c r="AC801" s="290"/>
      <c r="AD801" s="290"/>
    </row>
    <row r="802" spans="1:30" ht="25.5">
      <c r="A802" s="291" t="str">
        <f t="shared" si="44"/>
        <v/>
      </c>
      <c r="B802" s="291" t="s">
        <v>2305</v>
      </c>
      <c r="C802" s="291" t="str">
        <f>IF(D801="","",UNIT!$B$1&amp;"-"&amp;B802)</f>
        <v/>
      </c>
      <c r="D802" s="83"/>
      <c r="E802" s="59"/>
      <c r="F802" s="82"/>
      <c r="G802" s="82"/>
      <c r="H802" s="86"/>
      <c r="I802" s="294" t="str">
        <f t="shared" si="45"/>
        <v/>
      </c>
      <c r="J802" s="59"/>
      <c r="K802" s="83"/>
      <c r="L802" s="83" t="str">
        <f t="shared" si="42"/>
        <v xml:space="preserve">
</v>
      </c>
      <c r="M802" s="83"/>
      <c r="N802" s="59"/>
      <c r="O802" s="59"/>
      <c r="P802" s="86" t="e">
        <f t="shared" si="43"/>
        <v>#VALUE!</v>
      </c>
      <c r="Q802" s="59"/>
      <c r="R802" s="59"/>
      <c r="S802" s="59"/>
      <c r="T802" s="59"/>
      <c r="U802" s="290"/>
      <c r="V802" s="290"/>
      <c r="W802" s="290"/>
      <c r="X802" s="290"/>
      <c r="Y802" s="290"/>
      <c r="Z802" s="290"/>
      <c r="AA802" s="290"/>
      <c r="AB802" s="290"/>
      <c r="AC802" s="290"/>
      <c r="AD802" s="290"/>
    </row>
    <row r="803" spans="1:30" ht="25.5">
      <c r="A803" s="291" t="str">
        <f t="shared" si="44"/>
        <v/>
      </c>
      <c r="B803" s="291" t="s">
        <v>2306</v>
      </c>
      <c r="C803" s="291" t="str">
        <f>IF(D802="","",UNIT!$B$1&amp;"-"&amp;B803)</f>
        <v/>
      </c>
      <c r="D803" s="83"/>
      <c r="E803" s="59"/>
      <c r="F803" s="82"/>
      <c r="G803" s="82"/>
      <c r="H803" s="86"/>
      <c r="I803" s="294" t="str">
        <f t="shared" si="45"/>
        <v/>
      </c>
      <c r="J803" s="59"/>
      <c r="K803" s="83"/>
      <c r="L803" s="83" t="str">
        <f t="shared" si="42"/>
        <v xml:space="preserve">
</v>
      </c>
      <c r="M803" s="83"/>
      <c r="N803" s="59"/>
      <c r="O803" s="59"/>
      <c r="P803" s="86" t="e">
        <f t="shared" si="43"/>
        <v>#VALUE!</v>
      </c>
      <c r="Q803" s="59"/>
      <c r="R803" s="59"/>
      <c r="S803" s="59"/>
      <c r="T803" s="59"/>
      <c r="U803" s="290"/>
      <c r="V803" s="290"/>
      <c r="W803" s="290"/>
      <c r="X803" s="290"/>
      <c r="Y803" s="290"/>
      <c r="Z803" s="290"/>
      <c r="AA803" s="290"/>
      <c r="AB803" s="290"/>
      <c r="AC803" s="290"/>
      <c r="AD803" s="290"/>
    </row>
    <row r="804" spans="1:30" ht="25.5">
      <c r="A804" s="291" t="str">
        <f t="shared" si="44"/>
        <v/>
      </c>
      <c r="B804" s="291" t="s">
        <v>2307</v>
      </c>
      <c r="C804" s="291" t="str">
        <f>IF(D803="","",UNIT!$B$1&amp;"-"&amp;B804)</f>
        <v/>
      </c>
      <c r="D804" s="83"/>
      <c r="E804" s="59"/>
      <c r="F804" s="82"/>
      <c r="G804" s="82"/>
      <c r="H804" s="86"/>
      <c r="I804" s="294" t="str">
        <f t="shared" si="45"/>
        <v/>
      </c>
      <c r="J804" s="59"/>
      <c r="K804" s="83"/>
      <c r="L804" s="83" t="str">
        <f t="shared" si="42"/>
        <v xml:space="preserve">
</v>
      </c>
      <c r="M804" s="83"/>
      <c r="N804" s="59"/>
      <c r="O804" s="59"/>
      <c r="P804" s="86" t="e">
        <f t="shared" si="43"/>
        <v>#VALUE!</v>
      </c>
      <c r="Q804" s="59"/>
      <c r="R804" s="59"/>
      <c r="S804" s="59"/>
      <c r="T804" s="59"/>
      <c r="U804" s="290"/>
      <c r="V804" s="290"/>
      <c r="W804" s="290"/>
      <c r="X804" s="290"/>
      <c r="Y804" s="290"/>
      <c r="Z804" s="290"/>
      <c r="AA804" s="290"/>
      <c r="AB804" s="290"/>
      <c r="AC804" s="290"/>
      <c r="AD804" s="290"/>
    </row>
    <row r="805" spans="1:30" ht="25.5">
      <c r="A805" s="291" t="str">
        <f t="shared" si="44"/>
        <v/>
      </c>
      <c r="B805" s="291" t="s">
        <v>2308</v>
      </c>
      <c r="C805" s="291" t="str">
        <f>IF(D804="","",UNIT!$B$1&amp;"-"&amp;B805)</f>
        <v/>
      </c>
      <c r="D805" s="83"/>
      <c r="E805" s="59"/>
      <c r="F805" s="82"/>
      <c r="G805" s="82"/>
      <c r="H805" s="86"/>
      <c r="I805" s="294" t="str">
        <f t="shared" si="45"/>
        <v/>
      </c>
      <c r="J805" s="59"/>
      <c r="K805" s="83"/>
      <c r="L805" s="83" t="str">
        <f t="shared" si="42"/>
        <v xml:space="preserve">
</v>
      </c>
      <c r="M805" s="83"/>
      <c r="N805" s="59"/>
      <c r="O805" s="59"/>
      <c r="P805" s="86" t="e">
        <f t="shared" si="43"/>
        <v>#VALUE!</v>
      </c>
      <c r="Q805" s="59"/>
      <c r="R805" s="59"/>
      <c r="S805" s="59"/>
      <c r="T805" s="59"/>
      <c r="U805" s="290"/>
      <c r="V805" s="290"/>
      <c r="W805" s="290"/>
      <c r="X805" s="290"/>
      <c r="Y805" s="290"/>
      <c r="Z805" s="290"/>
      <c r="AA805" s="290"/>
      <c r="AB805" s="290"/>
      <c r="AC805" s="290"/>
      <c r="AD805" s="290"/>
    </row>
    <row r="806" spans="1:30" ht="25.5">
      <c r="A806" s="291" t="str">
        <f t="shared" si="44"/>
        <v/>
      </c>
      <c r="B806" s="291" t="s">
        <v>2309</v>
      </c>
      <c r="C806" s="291" t="str">
        <f>IF(D805="","",UNIT!$B$1&amp;"-"&amp;B806)</f>
        <v/>
      </c>
      <c r="D806" s="83"/>
      <c r="E806" s="59"/>
      <c r="F806" s="82"/>
      <c r="G806" s="82"/>
      <c r="H806" s="86"/>
      <c r="I806" s="294" t="str">
        <f t="shared" si="45"/>
        <v/>
      </c>
      <c r="J806" s="59"/>
      <c r="K806" s="83"/>
      <c r="L806" s="83" t="str">
        <f t="shared" si="42"/>
        <v xml:space="preserve">
</v>
      </c>
      <c r="M806" s="83"/>
      <c r="N806" s="59"/>
      <c r="O806" s="59"/>
      <c r="P806" s="86" t="e">
        <f t="shared" si="43"/>
        <v>#VALUE!</v>
      </c>
      <c r="Q806" s="59"/>
      <c r="R806" s="59"/>
      <c r="S806" s="59"/>
      <c r="T806" s="59"/>
      <c r="U806" s="290"/>
      <c r="V806" s="290"/>
      <c r="W806" s="290"/>
      <c r="X806" s="290"/>
      <c r="Y806" s="290"/>
      <c r="Z806" s="290"/>
      <c r="AA806" s="290"/>
      <c r="AB806" s="290"/>
      <c r="AC806" s="290"/>
      <c r="AD806" s="290"/>
    </row>
    <row r="807" spans="1:30" ht="25.5">
      <c r="A807" s="291" t="str">
        <f t="shared" si="44"/>
        <v/>
      </c>
      <c r="B807" s="291" t="s">
        <v>2310</v>
      </c>
      <c r="C807" s="291" t="str">
        <f>IF(D806="","",UNIT!$B$1&amp;"-"&amp;B807)</f>
        <v/>
      </c>
      <c r="D807" s="83"/>
      <c r="E807" s="59"/>
      <c r="F807" s="82"/>
      <c r="G807" s="82"/>
      <c r="H807" s="86"/>
      <c r="I807" s="294" t="str">
        <f t="shared" si="45"/>
        <v/>
      </c>
      <c r="J807" s="59"/>
      <c r="K807" s="83"/>
      <c r="L807" s="83" t="str">
        <f t="shared" si="42"/>
        <v xml:space="preserve">
</v>
      </c>
      <c r="M807" s="83"/>
      <c r="N807" s="59"/>
      <c r="O807" s="59"/>
      <c r="P807" s="86" t="e">
        <f t="shared" si="43"/>
        <v>#VALUE!</v>
      </c>
      <c r="Q807" s="59"/>
      <c r="R807" s="59"/>
      <c r="S807" s="59"/>
      <c r="T807" s="59"/>
      <c r="U807" s="290"/>
      <c r="V807" s="290"/>
      <c r="W807" s="290"/>
      <c r="X807" s="290"/>
      <c r="Y807" s="290"/>
      <c r="Z807" s="290"/>
      <c r="AA807" s="290"/>
      <c r="AB807" s="290"/>
      <c r="AC807" s="290"/>
      <c r="AD807" s="290"/>
    </row>
    <row r="808" spans="1:30" ht="25.5">
      <c r="A808" s="291" t="str">
        <f t="shared" si="44"/>
        <v/>
      </c>
      <c r="B808" s="291" t="s">
        <v>2311</v>
      </c>
      <c r="C808" s="291" t="str">
        <f>IF(D807="","",UNIT!$B$1&amp;"-"&amp;B808)</f>
        <v/>
      </c>
      <c r="D808" s="83"/>
      <c r="E808" s="59"/>
      <c r="F808" s="82"/>
      <c r="G808" s="82"/>
      <c r="H808" s="86"/>
      <c r="I808" s="294" t="str">
        <f t="shared" si="45"/>
        <v/>
      </c>
      <c r="J808" s="59"/>
      <c r="K808" s="83"/>
      <c r="L808" s="83" t="str">
        <f t="shared" si="42"/>
        <v xml:space="preserve">
</v>
      </c>
      <c r="M808" s="83"/>
      <c r="N808" s="59"/>
      <c r="O808" s="59"/>
      <c r="P808" s="86" t="e">
        <f t="shared" si="43"/>
        <v>#VALUE!</v>
      </c>
      <c r="Q808" s="59"/>
      <c r="R808" s="59"/>
      <c r="S808" s="59"/>
      <c r="T808" s="59"/>
      <c r="U808" s="290"/>
      <c r="V808" s="290"/>
      <c r="W808" s="290"/>
      <c r="X808" s="290"/>
      <c r="Y808" s="290"/>
      <c r="Z808" s="290"/>
      <c r="AA808" s="290"/>
      <c r="AB808" s="290"/>
      <c r="AC808" s="290"/>
      <c r="AD808" s="290"/>
    </row>
    <row r="809" spans="1:30" ht="25.5">
      <c r="A809" s="291" t="str">
        <f t="shared" si="44"/>
        <v/>
      </c>
      <c r="B809" s="291" t="s">
        <v>2312</v>
      </c>
      <c r="C809" s="291" t="str">
        <f>IF(D808="","",UNIT!$B$1&amp;"-"&amp;B809)</f>
        <v/>
      </c>
      <c r="D809" s="83"/>
      <c r="E809" s="59"/>
      <c r="F809" s="82"/>
      <c r="G809" s="82"/>
      <c r="H809" s="86"/>
      <c r="I809" s="294" t="str">
        <f t="shared" si="45"/>
        <v/>
      </c>
      <c r="J809" s="59"/>
      <c r="K809" s="83"/>
      <c r="L809" s="83" t="str">
        <f t="shared" si="42"/>
        <v xml:space="preserve">
</v>
      </c>
      <c r="M809" s="83"/>
      <c r="N809" s="59"/>
      <c r="O809" s="59"/>
      <c r="P809" s="86" t="e">
        <f t="shared" si="43"/>
        <v>#VALUE!</v>
      </c>
      <c r="Q809" s="59"/>
      <c r="R809" s="59"/>
      <c r="S809" s="59"/>
      <c r="T809" s="59"/>
      <c r="U809" s="290"/>
      <c r="V809" s="290"/>
      <c r="W809" s="290"/>
      <c r="X809" s="290"/>
      <c r="Y809" s="290"/>
      <c r="Z809" s="290"/>
      <c r="AA809" s="290"/>
      <c r="AB809" s="290"/>
      <c r="AC809" s="290"/>
      <c r="AD809" s="290"/>
    </row>
    <row r="810" spans="1:30" ht="25.5">
      <c r="A810" s="291" t="str">
        <f t="shared" si="44"/>
        <v/>
      </c>
      <c r="B810" s="291" t="s">
        <v>2313</v>
      </c>
      <c r="C810" s="291" t="str">
        <f>IF(D809="","",UNIT!$B$1&amp;"-"&amp;B810)</f>
        <v/>
      </c>
      <c r="D810" s="83"/>
      <c r="E810" s="59"/>
      <c r="F810" s="82"/>
      <c r="G810" s="82"/>
      <c r="H810" s="86"/>
      <c r="I810" s="294" t="str">
        <f t="shared" si="45"/>
        <v/>
      </c>
      <c r="J810" s="59"/>
      <c r="K810" s="83"/>
      <c r="L810" s="83" t="str">
        <f t="shared" si="42"/>
        <v xml:space="preserve">
</v>
      </c>
      <c r="M810" s="83"/>
      <c r="N810" s="59"/>
      <c r="O810" s="59"/>
      <c r="P810" s="86" t="e">
        <f t="shared" si="43"/>
        <v>#VALUE!</v>
      </c>
      <c r="Q810" s="59"/>
      <c r="R810" s="59"/>
      <c r="S810" s="59"/>
      <c r="T810" s="59"/>
      <c r="U810" s="290"/>
      <c r="V810" s="290"/>
      <c r="W810" s="290"/>
      <c r="X810" s="290"/>
      <c r="Y810" s="290"/>
      <c r="Z810" s="290"/>
      <c r="AA810" s="290"/>
      <c r="AB810" s="290"/>
      <c r="AC810" s="290"/>
      <c r="AD810" s="290"/>
    </row>
    <row r="811" spans="1:30" ht="25.5">
      <c r="A811" s="291" t="str">
        <f t="shared" si="44"/>
        <v/>
      </c>
      <c r="B811" s="291" t="s">
        <v>2314</v>
      </c>
      <c r="C811" s="291" t="str">
        <f>IF(D810="","",UNIT!$B$1&amp;"-"&amp;B811)</f>
        <v/>
      </c>
      <c r="D811" s="83"/>
      <c r="E811" s="59"/>
      <c r="F811" s="82"/>
      <c r="G811" s="82"/>
      <c r="H811" s="86"/>
      <c r="I811" s="294" t="str">
        <f t="shared" si="45"/>
        <v/>
      </c>
      <c r="J811" s="59"/>
      <c r="K811" s="83"/>
      <c r="L811" s="83" t="str">
        <f t="shared" si="42"/>
        <v xml:space="preserve">
</v>
      </c>
      <c r="M811" s="83"/>
      <c r="N811" s="59"/>
      <c r="O811" s="59"/>
      <c r="P811" s="86" t="e">
        <f t="shared" si="43"/>
        <v>#VALUE!</v>
      </c>
      <c r="Q811" s="59"/>
      <c r="R811" s="59"/>
      <c r="S811" s="59"/>
      <c r="T811" s="59"/>
      <c r="U811" s="290"/>
      <c r="V811" s="290"/>
      <c r="W811" s="290"/>
      <c r="X811" s="290"/>
      <c r="Y811" s="290"/>
      <c r="Z811" s="290"/>
      <c r="AA811" s="290"/>
      <c r="AB811" s="290"/>
      <c r="AC811" s="290"/>
      <c r="AD811" s="290"/>
    </row>
    <row r="812" spans="1:30" ht="25.5">
      <c r="A812" s="291" t="str">
        <f t="shared" si="44"/>
        <v/>
      </c>
      <c r="B812" s="291" t="s">
        <v>2315</v>
      </c>
      <c r="C812" s="291" t="str">
        <f>IF(D811="","",UNIT!$B$1&amp;"-"&amp;B812)</f>
        <v/>
      </c>
      <c r="D812" s="83"/>
      <c r="E812" s="59"/>
      <c r="F812" s="82"/>
      <c r="G812" s="82"/>
      <c r="H812" s="86"/>
      <c r="I812" s="294" t="str">
        <f t="shared" si="45"/>
        <v/>
      </c>
      <c r="J812" s="59"/>
      <c r="K812" s="83"/>
      <c r="L812" s="83" t="str">
        <f t="shared" si="42"/>
        <v xml:space="preserve">
</v>
      </c>
      <c r="M812" s="83"/>
      <c r="N812" s="59"/>
      <c r="O812" s="59"/>
      <c r="P812" s="86" t="e">
        <f t="shared" si="43"/>
        <v>#VALUE!</v>
      </c>
      <c r="Q812" s="59"/>
      <c r="R812" s="59"/>
      <c r="S812" s="59"/>
      <c r="T812" s="59"/>
      <c r="U812" s="290"/>
      <c r="V812" s="290"/>
      <c r="W812" s="290"/>
      <c r="X812" s="290"/>
      <c r="Y812" s="290"/>
      <c r="Z812" s="290"/>
      <c r="AA812" s="290"/>
      <c r="AB812" s="290"/>
      <c r="AC812" s="290"/>
      <c r="AD812" s="290"/>
    </row>
    <row r="813" spans="1:30" ht="25.5">
      <c r="A813" s="291" t="str">
        <f t="shared" si="44"/>
        <v/>
      </c>
      <c r="B813" s="291" t="s">
        <v>2316</v>
      </c>
      <c r="C813" s="291" t="str">
        <f>IF(D812="","",UNIT!$B$1&amp;"-"&amp;B813)</f>
        <v/>
      </c>
      <c r="D813" s="83"/>
      <c r="E813" s="59"/>
      <c r="F813" s="82"/>
      <c r="G813" s="82"/>
      <c r="H813" s="86"/>
      <c r="I813" s="294" t="str">
        <f t="shared" si="45"/>
        <v/>
      </c>
      <c r="J813" s="59"/>
      <c r="K813" s="83"/>
      <c r="L813" s="83" t="str">
        <f t="shared" si="42"/>
        <v xml:space="preserve">
</v>
      </c>
      <c r="M813" s="83"/>
      <c r="N813" s="59"/>
      <c r="O813" s="59"/>
      <c r="P813" s="86" t="e">
        <f t="shared" si="43"/>
        <v>#VALUE!</v>
      </c>
      <c r="Q813" s="59"/>
      <c r="R813" s="59"/>
      <c r="S813" s="59"/>
      <c r="T813" s="59"/>
      <c r="U813" s="290"/>
      <c r="V813" s="290"/>
      <c r="W813" s="290"/>
      <c r="X813" s="290"/>
      <c r="Y813" s="290"/>
      <c r="Z813" s="290"/>
      <c r="AA813" s="290"/>
      <c r="AB813" s="290"/>
      <c r="AC813" s="290"/>
      <c r="AD813" s="290"/>
    </row>
    <row r="814" spans="1:30" ht="25.5">
      <c r="A814" s="291" t="str">
        <f t="shared" si="44"/>
        <v/>
      </c>
      <c r="B814" s="291" t="s">
        <v>2317</v>
      </c>
      <c r="C814" s="291" t="str">
        <f>IF(D813="","",UNIT!$B$1&amp;"-"&amp;B814)</f>
        <v/>
      </c>
      <c r="D814" s="83"/>
      <c r="E814" s="59"/>
      <c r="F814" s="82"/>
      <c r="G814" s="82"/>
      <c r="H814" s="86"/>
      <c r="I814" s="294" t="str">
        <f t="shared" si="45"/>
        <v/>
      </c>
      <c r="J814" s="59"/>
      <c r="K814" s="83"/>
      <c r="L814" s="83" t="str">
        <f t="shared" si="42"/>
        <v xml:space="preserve">
</v>
      </c>
      <c r="M814" s="83"/>
      <c r="N814" s="59"/>
      <c r="O814" s="59"/>
      <c r="P814" s="86" t="e">
        <f t="shared" si="43"/>
        <v>#VALUE!</v>
      </c>
      <c r="Q814" s="59"/>
      <c r="R814" s="59"/>
      <c r="S814" s="59"/>
      <c r="T814" s="59"/>
      <c r="U814" s="290"/>
      <c r="V814" s="290"/>
      <c r="W814" s="290"/>
      <c r="X814" s="290"/>
      <c r="Y814" s="290"/>
      <c r="Z814" s="290"/>
      <c r="AA814" s="290"/>
      <c r="AB814" s="290"/>
      <c r="AC814" s="290"/>
      <c r="AD814" s="290"/>
    </row>
    <row r="815" spans="1:30" ht="25.5">
      <c r="A815" s="291" t="str">
        <f t="shared" si="44"/>
        <v/>
      </c>
      <c r="B815" s="291" t="s">
        <v>2318</v>
      </c>
      <c r="C815" s="291" t="str">
        <f>IF(D814="","",UNIT!$B$1&amp;"-"&amp;B815)</f>
        <v/>
      </c>
      <c r="D815" s="83"/>
      <c r="E815" s="59"/>
      <c r="F815" s="82"/>
      <c r="G815" s="82"/>
      <c r="H815" s="86"/>
      <c r="I815" s="294" t="str">
        <f t="shared" si="45"/>
        <v/>
      </c>
      <c r="J815" s="59"/>
      <c r="K815" s="83"/>
      <c r="L815" s="83" t="str">
        <f t="shared" si="42"/>
        <v xml:space="preserve">
</v>
      </c>
      <c r="M815" s="83"/>
      <c r="N815" s="59"/>
      <c r="O815" s="59"/>
      <c r="P815" s="86" t="e">
        <f t="shared" si="43"/>
        <v>#VALUE!</v>
      </c>
      <c r="Q815" s="59"/>
      <c r="R815" s="59"/>
      <c r="S815" s="59"/>
      <c r="T815" s="59"/>
      <c r="U815" s="290"/>
      <c r="V815" s="290"/>
      <c r="W815" s="290"/>
      <c r="X815" s="290"/>
      <c r="Y815" s="290"/>
      <c r="Z815" s="290"/>
      <c r="AA815" s="290"/>
      <c r="AB815" s="290"/>
      <c r="AC815" s="290"/>
      <c r="AD815" s="290"/>
    </row>
    <row r="816" spans="1:30" ht="25.5">
      <c r="A816" s="291" t="str">
        <f t="shared" si="44"/>
        <v/>
      </c>
      <c r="B816" s="291" t="s">
        <v>2319</v>
      </c>
      <c r="C816" s="291" t="str">
        <f>IF(D815="","",UNIT!$B$1&amp;"-"&amp;B816)</f>
        <v/>
      </c>
      <c r="D816" s="83"/>
      <c r="E816" s="59"/>
      <c r="F816" s="82"/>
      <c r="G816" s="82"/>
      <c r="H816" s="86"/>
      <c r="I816" s="294" t="str">
        <f t="shared" si="45"/>
        <v/>
      </c>
      <c r="J816" s="59"/>
      <c r="K816" s="83"/>
      <c r="L816" s="83" t="str">
        <f t="shared" si="42"/>
        <v xml:space="preserve">
</v>
      </c>
      <c r="M816" s="83"/>
      <c r="N816" s="59"/>
      <c r="O816" s="59"/>
      <c r="P816" s="86" t="e">
        <f t="shared" si="43"/>
        <v>#VALUE!</v>
      </c>
      <c r="Q816" s="59"/>
      <c r="R816" s="59"/>
      <c r="S816" s="59"/>
      <c r="T816" s="59"/>
      <c r="U816" s="290"/>
      <c r="V816" s="290"/>
      <c r="W816" s="290"/>
      <c r="X816" s="290"/>
      <c r="Y816" s="290"/>
      <c r="Z816" s="290"/>
      <c r="AA816" s="290"/>
      <c r="AB816" s="290"/>
      <c r="AC816" s="290"/>
      <c r="AD816" s="290"/>
    </row>
    <row r="817" spans="1:30" ht="25.5">
      <c r="A817" s="291" t="str">
        <f t="shared" si="44"/>
        <v/>
      </c>
      <c r="B817" s="291" t="s">
        <v>2320</v>
      </c>
      <c r="C817" s="291" t="str">
        <f>IF(D816="","",UNIT!$B$1&amp;"-"&amp;B817)</f>
        <v/>
      </c>
      <c r="D817" s="83"/>
      <c r="E817" s="59"/>
      <c r="F817" s="82"/>
      <c r="G817" s="82"/>
      <c r="H817" s="86"/>
      <c r="I817" s="294" t="str">
        <f t="shared" si="45"/>
        <v/>
      </c>
      <c r="J817" s="59"/>
      <c r="K817" s="83"/>
      <c r="L817" s="83" t="str">
        <f t="shared" si="42"/>
        <v xml:space="preserve">
</v>
      </c>
      <c r="M817" s="83"/>
      <c r="N817" s="59"/>
      <c r="O817" s="59"/>
      <c r="P817" s="86" t="e">
        <f t="shared" si="43"/>
        <v>#VALUE!</v>
      </c>
      <c r="Q817" s="59"/>
      <c r="R817" s="59"/>
      <c r="S817" s="59"/>
      <c r="T817" s="59"/>
      <c r="U817" s="290"/>
      <c r="V817" s="290"/>
      <c r="W817" s="290"/>
      <c r="X817" s="290"/>
      <c r="Y817" s="290"/>
      <c r="Z817" s="290"/>
      <c r="AA817" s="290"/>
      <c r="AB817" s="290"/>
      <c r="AC817" s="290"/>
      <c r="AD817" s="290"/>
    </row>
    <row r="818" spans="1:30" ht="25.5">
      <c r="A818" s="291" t="str">
        <f t="shared" si="44"/>
        <v/>
      </c>
      <c r="B818" s="291" t="s">
        <v>2321</v>
      </c>
      <c r="C818" s="291" t="str">
        <f>IF(D817="","",UNIT!$B$1&amp;"-"&amp;B818)</f>
        <v/>
      </c>
      <c r="D818" s="83"/>
      <c r="E818" s="59"/>
      <c r="F818" s="82"/>
      <c r="G818" s="82"/>
      <c r="H818" s="86"/>
      <c r="I818" s="294" t="str">
        <f t="shared" si="45"/>
        <v/>
      </c>
      <c r="J818" s="59"/>
      <c r="K818" s="83"/>
      <c r="L818" s="83" t="str">
        <f t="shared" si="42"/>
        <v xml:space="preserve">
</v>
      </c>
      <c r="M818" s="83"/>
      <c r="N818" s="59"/>
      <c r="O818" s="59"/>
      <c r="P818" s="86" t="e">
        <f t="shared" si="43"/>
        <v>#VALUE!</v>
      </c>
      <c r="Q818" s="59"/>
      <c r="R818" s="59"/>
      <c r="S818" s="59"/>
      <c r="T818" s="59"/>
      <c r="U818" s="290"/>
      <c r="V818" s="290"/>
      <c r="W818" s="290"/>
      <c r="X818" s="290"/>
      <c r="Y818" s="290"/>
      <c r="Z818" s="290"/>
      <c r="AA818" s="290"/>
      <c r="AB818" s="290"/>
      <c r="AC818" s="290"/>
      <c r="AD818" s="290"/>
    </row>
    <row r="819" spans="1:30" ht="25.5">
      <c r="A819" s="291" t="str">
        <f t="shared" si="44"/>
        <v/>
      </c>
      <c r="B819" s="291" t="s">
        <v>2322</v>
      </c>
      <c r="C819" s="291" t="str">
        <f>IF(D818="","",UNIT!$B$1&amp;"-"&amp;B819)</f>
        <v/>
      </c>
      <c r="D819" s="83"/>
      <c r="E819" s="59"/>
      <c r="F819" s="82"/>
      <c r="G819" s="82"/>
      <c r="H819" s="86"/>
      <c r="I819" s="294" t="str">
        <f t="shared" si="45"/>
        <v/>
      </c>
      <c r="J819" s="59"/>
      <c r="K819" s="83"/>
      <c r="L819" s="83" t="str">
        <f t="shared" si="42"/>
        <v xml:space="preserve">
</v>
      </c>
      <c r="M819" s="83"/>
      <c r="N819" s="59"/>
      <c r="O819" s="59"/>
      <c r="P819" s="86" t="e">
        <f t="shared" si="43"/>
        <v>#VALUE!</v>
      </c>
      <c r="Q819" s="59"/>
      <c r="R819" s="59"/>
      <c r="S819" s="59"/>
      <c r="T819" s="59"/>
      <c r="U819" s="290"/>
      <c r="V819" s="290"/>
      <c r="W819" s="290"/>
      <c r="X819" s="290"/>
      <c r="Y819" s="290"/>
      <c r="Z819" s="290"/>
      <c r="AA819" s="290"/>
      <c r="AB819" s="290"/>
      <c r="AC819" s="290"/>
      <c r="AD819" s="290"/>
    </row>
    <row r="820" spans="1:30" ht="25.5">
      <c r="A820" s="291" t="str">
        <f t="shared" si="44"/>
        <v/>
      </c>
      <c r="B820" s="291" t="s">
        <v>2323</v>
      </c>
      <c r="C820" s="291" t="str">
        <f>IF(D819="","",UNIT!$B$1&amp;"-"&amp;B820)</f>
        <v/>
      </c>
      <c r="D820" s="83"/>
      <c r="E820" s="59"/>
      <c r="F820" s="82"/>
      <c r="G820" s="82"/>
      <c r="H820" s="86"/>
      <c r="I820" s="294" t="str">
        <f t="shared" si="45"/>
        <v/>
      </c>
      <c r="J820" s="59"/>
      <c r="K820" s="83"/>
      <c r="L820" s="83" t="str">
        <f t="shared" si="42"/>
        <v xml:space="preserve">
</v>
      </c>
      <c r="M820" s="83"/>
      <c r="N820" s="59"/>
      <c r="O820" s="59"/>
      <c r="P820" s="86" t="e">
        <f t="shared" si="43"/>
        <v>#VALUE!</v>
      </c>
      <c r="Q820" s="59"/>
      <c r="R820" s="59"/>
      <c r="S820" s="59"/>
      <c r="T820" s="59"/>
      <c r="U820" s="290"/>
      <c r="V820" s="290"/>
      <c r="W820" s="290"/>
      <c r="X820" s="290"/>
      <c r="Y820" s="290"/>
      <c r="Z820" s="290"/>
      <c r="AA820" s="290"/>
      <c r="AB820" s="290"/>
      <c r="AC820" s="290"/>
      <c r="AD820" s="290"/>
    </row>
    <row r="821" spans="1:30" ht="25.5">
      <c r="A821" s="291" t="str">
        <f t="shared" si="44"/>
        <v/>
      </c>
      <c r="B821" s="291" t="s">
        <v>2324</v>
      </c>
      <c r="C821" s="291" t="str">
        <f>IF(D820="","",UNIT!$B$1&amp;"-"&amp;B821)</f>
        <v/>
      </c>
      <c r="D821" s="83"/>
      <c r="E821" s="59"/>
      <c r="F821" s="82"/>
      <c r="G821" s="82"/>
      <c r="H821" s="86"/>
      <c r="I821" s="294" t="str">
        <f t="shared" si="45"/>
        <v/>
      </c>
      <c r="J821" s="59"/>
      <c r="K821" s="83"/>
      <c r="L821" s="83" t="str">
        <f t="shared" si="42"/>
        <v xml:space="preserve">
</v>
      </c>
      <c r="M821" s="83"/>
      <c r="N821" s="59"/>
      <c r="O821" s="59"/>
      <c r="P821" s="86" t="e">
        <f t="shared" si="43"/>
        <v>#VALUE!</v>
      </c>
      <c r="Q821" s="59"/>
      <c r="R821" s="59"/>
      <c r="S821" s="59"/>
      <c r="T821" s="59"/>
      <c r="U821" s="290"/>
      <c r="V821" s="290"/>
      <c r="W821" s="290"/>
      <c r="X821" s="290"/>
      <c r="Y821" s="290"/>
      <c r="Z821" s="290"/>
      <c r="AA821" s="290"/>
      <c r="AB821" s="290"/>
      <c r="AC821" s="290"/>
      <c r="AD821" s="290"/>
    </row>
    <row r="822" spans="1:30" ht="25.5">
      <c r="A822" s="291" t="str">
        <f t="shared" si="44"/>
        <v/>
      </c>
      <c r="B822" s="291" t="s">
        <v>2325</v>
      </c>
      <c r="C822" s="291" t="str">
        <f>IF(D821="","",UNIT!$B$1&amp;"-"&amp;B822)</f>
        <v/>
      </c>
      <c r="D822" s="83"/>
      <c r="E822" s="59"/>
      <c r="F822" s="82"/>
      <c r="G822" s="82"/>
      <c r="H822" s="86"/>
      <c r="I822" s="294" t="str">
        <f t="shared" si="45"/>
        <v/>
      </c>
      <c r="J822" s="59"/>
      <c r="K822" s="83"/>
      <c r="L822" s="83" t="str">
        <f t="shared" si="42"/>
        <v xml:space="preserve">
</v>
      </c>
      <c r="M822" s="83"/>
      <c r="N822" s="59"/>
      <c r="O822" s="59"/>
      <c r="P822" s="86" t="e">
        <f t="shared" si="43"/>
        <v>#VALUE!</v>
      </c>
      <c r="Q822" s="59"/>
      <c r="R822" s="59"/>
      <c r="S822" s="59"/>
      <c r="T822" s="59"/>
      <c r="U822" s="290"/>
      <c r="V822" s="290"/>
      <c r="W822" s="290"/>
      <c r="X822" s="290"/>
      <c r="Y822" s="290"/>
      <c r="Z822" s="290"/>
      <c r="AA822" s="290"/>
      <c r="AB822" s="290"/>
      <c r="AC822" s="290"/>
      <c r="AD822" s="290"/>
    </row>
    <row r="823" spans="1:30" ht="25.5">
      <c r="A823" s="291" t="str">
        <f t="shared" si="44"/>
        <v/>
      </c>
      <c r="B823" s="291" t="s">
        <v>2326</v>
      </c>
      <c r="C823" s="291" t="str">
        <f>IF(D822="","",UNIT!$B$1&amp;"-"&amp;B823)</f>
        <v/>
      </c>
      <c r="D823" s="83"/>
      <c r="E823" s="59"/>
      <c r="F823" s="82"/>
      <c r="G823" s="82"/>
      <c r="H823" s="86"/>
      <c r="I823" s="294" t="str">
        <f t="shared" si="45"/>
        <v/>
      </c>
      <c r="J823" s="59"/>
      <c r="K823" s="83"/>
      <c r="L823" s="83" t="str">
        <f t="shared" si="42"/>
        <v xml:space="preserve">
</v>
      </c>
      <c r="M823" s="83"/>
      <c r="N823" s="59"/>
      <c r="O823" s="59"/>
      <c r="P823" s="86" t="e">
        <f t="shared" si="43"/>
        <v>#VALUE!</v>
      </c>
      <c r="Q823" s="59"/>
      <c r="R823" s="59"/>
      <c r="S823" s="59"/>
      <c r="T823" s="59"/>
      <c r="U823" s="290"/>
      <c r="V823" s="290"/>
      <c r="W823" s="290"/>
      <c r="X823" s="290"/>
      <c r="Y823" s="290"/>
      <c r="Z823" s="290"/>
      <c r="AA823" s="290"/>
      <c r="AB823" s="290"/>
      <c r="AC823" s="290"/>
      <c r="AD823" s="290"/>
    </row>
    <row r="824" spans="1:30" ht="25.5">
      <c r="A824" s="291" t="str">
        <f t="shared" si="44"/>
        <v/>
      </c>
      <c r="B824" s="291" t="s">
        <v>2327</v>
      </c>
      <c r="C824" s="291" t="str">
        <f>IF(D823="","",UNIT!$B$1&amp;"-"&amp;B824)</f>
        <v/>
      </c>
      <c r="D824" s="83"/>
      <c r="E824" s="59"/>
      <c r="F824" s="82"/>
      <c r="G824" s="82"/>
      <c r="H824" s="86"/>
      <c r="I824" s="294" t="str">
        <f t="shared" si="45"/>
        <v/>
      </c>
      <c r="J824" s="59"/>
      <c r="K824" s="83"/>
      <c r="L824" s="83" t="str">
        <f t="shared" si="42"/>
        <v xml:space="preserve">
</v>
      </c>
      <c r="M824" s="83"/>
      <c r="N824" s="59"/>
      <c r="O824" s="59"/>
      <c r="P824" s="86" t="e">
        <f t="shared" si="43"/>
        <v>#VALUE!</v>
      </c>
      <c r="Q824" s="59"/>
      <c r="R824" s="59"/>
      <c r="S824" s="59"/>
      <c r="T824" s="59"/>
      <c r="U824" s="290"/>
      <c r="V824" s="290"/>
      <c r="W824" s="290"/>
      <c r="X824" s="290"/>
      <c r="Y824" s="290"/>
      <c r="Z824" s="290"/>
      <c r="AA824" s="290"/>
      <c r="AB824" s="290"/>
      <c r="AC824" s="290"/>
      <c r="AD824" s="290"/>
    </row>
    <row r="825" spans="1:30" ht="25.5">
      <c r="A825" s="291" t="str">
        <f t="shared" si="44"/>
        <v/>
      </c>
      <c r="B825" s="291" t="s">
        <v>2328</v>
      </c>
      <c r="C825" s="291" t="str">
        <f>IF(D824="","",UNIT!$B$1&amp;"-"&amp;B825)</f>
        <v/>
      </c>
      <c r="D825" s="83"/>
      <c r="E825" s="59"/>
      <c r="F825" s="82"/>
      <c r="G825" s="82"/>
      <c r="H825" s="86"/>
      <c r="I825" s="294" t="str">
        <f t="shared" si="45"/>
        <v/>
      </c>
      <c r="J825" s="59"/>
      <c r="K825" s="83"/>
      <c r="L825" s="83" t="str">
        <f t="shared" si="42"/>
        <v xml:space="preserve">
</v>
      </c>
      <c r="M825" s="83"/>
      <c r="N825" s="59"/>
      <c r="O825" s="59"/>
      <c r="P825" s="86" t="e">
        <f t="shared" si="43"/>
        <v>#VALUE!</v>
      </c>
      <c r="Q825" s="59"/>
      <c r="R825" s="59"/>
      <c r="S825" s="59"/>
      <c r="T825" s="59"/>
      <c r="U825" s="290"/>
      <c r="V825" s="290"/>
      <c r="W825" s="290"/>
      <c r="X825" s="290"/>
      <c r="Y825" s="290"/>
      <c r="Z825" s="290"/>
      <c r="AA825" s="290"/>
      <c r="AB825" s="290"/>
      <c r="AC825" s="290"/>
      <c r="AD825" s="290"/>
    </row>
    <row r="826" spans="1:30" ht="25.5">
      <c r="A826" s="291" t="str">
        <f t="shared" si="44"/>
        <v/>
      </c>
      <c r="B826" s="291" t="s">
        <v>2329</v>
      </c>
      <c r="C826" s="291" t="str">
        <f>IF(D825="","",UNIT!$B$1&amp;"-"&amp;B826)</f>
        <v/>
      </c>
      <c r="D826" s="83"/>
      <c r="E826" s="59"/>
      <c r="F826" s="82"/>
      <c r="G826" s="82"/>
      <c r="H826" s="86"/>
      <c r="I826" s="294" t="str">
        <f t="shared" si="45"/>
        <v/>
      </c>
      <c r="J826" s="59"/>
      <c r="K826" s="83"/>
      <c r="L826" s="83" t="str">
        <f t="shared" si="42"/>
        <v xml:space="preserve">
</v>
      </c>
      <c r="M826" s="83"/>
      <c r="N826" s="59"/>
      <c r="O826" s="59"/>
      <c r="P826" s="86" t="e">
        <f t="shared" si="43"/>
        <v>#VALUE!</v>
      </c>
      <c r="Q826" s="59"/>
      <c r="R826" s="59"/>
      <c r="S826" s="59"/>
      <c r="T826" s="59"/>
      <c r="U826" s="290"/>
      <c r="V826" s="290"/>
      <c r="W826" s="290"/>
      <c r="X826" s="290"/>
      <c r="Y826" s="290"/>
      <c r="Z826" s="290"/>
      <c r="AA826" s="290"/>
      <c r="AB826" s="290"/>
      <c r="AC826" s="290"/>
      <c r="AD826" s="290"/>
    </row>
    <row r="827" spans="1:30" ht="25.5">
      <c r="A827" s="291" t="str">
        <f t="shared" si="44"/>
        <v/>
      </c>
      <c r="B827" s="291" t="s">
        <v>2330</v>
      </c>
      <c r="C827" s="291" t="str">
        <f>IF(D826="","",UNIT!$B$1&amp;"-"&amp;B827)</f>
        <v/>
      </c>
      <c r="D827" s="83"/>
      <c r="E827" s="59"/>
      <c r="F827" s="82"/>
      <c r="G827" s="82"/>
      <c r="H827" s="86"/>
      <c r="I827" s="294" t="str">
        <f t="shared" si="45"/>
        <v/>
      </c>
      <c r="J827" s="59"/>
      <c r="K827" s="83"/>
      <c r="L827" s="83" t="str">
        <f t="shared" si="42"/>
        <v xml:space="preserve">
</v>
      </c>
      <c r="M827" s="83"/>
      <c r="N827" s="59"/>
      <c r="O827" s="59"/>
      <c r="P827" s="86" t="e">
        <f t="shared" si="43"/>
        <v>#VALUE!</v>
      </c>
      <c r="Q827" s="59"/>
      <c r="R827" s="59"/>
      <c r="S827" s="59"/>
      <c r="T827" s="59"/>
      <c r="U827" s="290"/>
      <c r="V827" s="290"/>
      <c r="W827" s="290"/>
      <c r="X827" s="290"/>
      <c r="Y827" s="290"/>
      <c r="Z827" s="290"/>
      <c r="AA827" s="290"/>
      <c r="AB827" s="290"/>
      <c r="AC827" s="290"/>
      <c r="AD827" s="290"/>
    </row>
    <row r="828" spans="1:30" ht="25.5">
      <c r="A828" s="291" t="str">
        <f t="shared" si="44"/>
        <v/>
      </c>
      <c r="B828" s="291" t="s">
        <v>2331</v>
      </c>
      <c r="C828" s="291" t="str">
        <f>IF(D827="","",UNIT!$B$1&amp;"-"&amp;B828)</f>
        <v/>
      </c>
      <c r="D828" s="83"/>
      <c r="E828" s="59"/>
      <c r="F828" s="82"/>
      <c r="G828" s="82"/>
      <c r="H828" s="86"/>
      <c r="I828" s="294" t="str">
        <f t="shared" si="45"/>
        <v/>
      </c>
      <c r="J828" s="59"/>
      <c r="K828" s="83"/>
      <c r="L828" s="83" t="str">
        <f t="shared" si="42"/>
        <v xml:space="preserve">
</v>
      </c>
      <c r="M828" s="83"/>
      <c r="N828" s="59"/>
      <c r="O828" s="59"/>
      <c r="P828" s="86" t="e">
        <f t="shared" si="43"/>
        <v>#VALUE!</v>
      </c>
      <c r="Q828" s="59"/>
      <c r="R828" s="59"/>
      <c r="S828" s="59"/>
      <c r="T828" s="59"/>
      <c r="U828" s="290"/>
      <c r="V828" s="290"/>
      <c r="W828" s="290"/>
      <c r="X828" s="290"/>
      <c r="Y828" s="290"/>
      <c r="Z828" s="290"/>
      <c r="AA828" s="290"/>
      <c r="AB828" s="290"/>
      <c r="AC828" s="290"/>
      <c r="AD828" s="290"/>
    </row>
    <row r="829" spans="1:30" ht="25.5">
      <c r="A829" s="291" t="str">
        <f t="shared" si="44"/>
        <v/>
      </c>
      <c r="B829" s="291" t="s">
        <v>2332</v>
      </c>
      <c r="C829" s="291" t="str">
        <f>IF(D828="","",UNIT!$B$1&amp;"-"&amp;B829)</f>
        <v/>
      </c>
      <c r="D829" s="83"/>
      <c r="E829" s="59"/>
      <c r="F829" s="82"/>
      <c r="G829" s="82"/>
      <c r="H829" s="86"/>
      <c r="I829" s="294" t="str">
        <f t="shared" si="45"/>
        <v/>
      </c>
      <c r="J829" s="59"/>
      <c r="K829" s="83"/>
      <c r="L829" s="83" t="str">
        <f t="shared" si="42"/>
        <v xml:space="preserve">
</v>
      </c>
      <c r="M829" s="83"/>
      <c r="N829" s="59"/>
      <c r="O829" s="59"/>
      <c r="P829" s="86" t="e">
        <f t="shared" si="43"/>
        <v>#VALUE!</v>
      </c>
      <c r="Q829" s="59"/>
      <c r="R829" s="59"/>
      <c r="S829" s="59"/>
      <c r="T829" s="59"/>
      <c r="U829" s="290"/>
      <c r="V829" s="290"/>
      <c r="W829" s="290"/>
      <c r="X829" s="290"/>
      <c r="Y829" s="290"/>
      <c r="Z829" s="290"/>
      <c r="AA829" s="290"/>
      <c r="AB829" s="290"/>
      <c r="AC829" s="290"/>
      <c r="AD829" s="290"/>
    </row>
    <row r="830" spans="1:30" ht="25.5">
      <c r="A830" s="291" t="str">
        <f t="shared" si="44"/>
        <v/>
      </c>
      <c r="B830" s="291" t="s">
        <v>2333</v>
      </c>
      <c r="C830" s="291" t="str">
        <f>IF(D829="","",UNIT!$B$1&amp;"-"&amp;B830)</f>
        <v/>
      </c>
      <c r="D830" s="83"/>
      <c r="E830" s="59"/>
      <c r="F830" s="82"/>
      <c r="G830" s="82"/>
      <c r="H830" s="86"/>
      <c r="I830" s="294" t="str">
        <f t="shared" si="45"/>
        <v/>
      </c>
      <c r="J830" s="59"/>
      <c r="K830" s="83"/>
      <c r="L830" s="83" t="str">
        <f t="shared" si="42"/>
        <v xml:space="preserve">
</v>
      </c>
      <c r="M830" s="83"/>
      <c r="N830" s="59"/>
      <c r="O830" s="59"/>
      <c r="P830" s="86" t="e">
        <f t="shared" si="43"/>
        <v>#VALUE!</v>
      </c>
      <c r="Q830" s="59"/>
      <c r="R830" s="59"/>
      <c r="S830" s="59"/>
      <c r="T830" s="59"/>
      <c r="U830" s="290"/>
      <c r="V830" s="290"/>
      <c r="W830" s="290"/>
      <c r="X830" s="290"/>
      <c r="Y830" s="290"/>
      <c r="Z830" s="290"/>
      <c r="AA830" s="290"/>
      <c r="AB830" s="290"/>
      <c r="AC830" s="290"/>
      <c r="AD830" s="290"/>
    </row>
    <row r="831" spans="1:30" ht="25.5">
      <c r="A831" s="291" t="str">
        <f t="shared" si="44"/>
        <v/>
      </c>
      <c r="B831" s="291" t="s">
        <v>2334</v>
      </c>
      <c r="C831" s="291" t="str">
        <f>IF(D830="","",UNIT!$B$1&amp;"-"&amp;B831)</f>
        <v/>
      </c>
      <c r="D831" s="83"/>
      <c r="E831" s="59"/>
      <c r="F831" s="82"/>
      <c r="G831" s="82"/>
      <c r="H831" s="86"/>
      <c r="I831" s="294" t="str">
        <f t="shared" si="45"/>
        <v/>
      </c>
      <c r="J831" s="59"/>
      <c r="K831" s="83"/>
      <c r="L831" s="83" t="str">
        <f t="shared" si="42"/>
        <v xml:space="preserve">
</v>
      </c>
      <c r="M831" s="83"/>
      <c r="N831" s="59"/>
      <c r="O831" s="59"/>
      <c r="P831" s="86" t="e">
        <f t="shared" si="43"/>
        <v>#VALUE!</v>
      </c>
      <c r="Q831" s="59"/>
      <c r="R831" s="59"/>
      <c r="S831" s="59"/>
      <c r="T831" s="59"/>
      <c r="U831" s="290"/>
      <c r="V831" s="290"/>
      <c r="W831" s="290"/>
      <c r="X831" s="290"/>
      <c r="Y831" s="290"/>
      <c r="Z831" s="290"/>
      <c r="AA831" s="290"/>
      <c r="AB831" s="290"/>
      <c r="AC831" s="290"/>
      <c r="AD831" s="290"/>
    </row>
    <row r="832" spans="1:30" ht="25.5">
      <c r="A832" s="291" t="str">
        <f t="shared" si="44"/>
        <v/>
      </c>
      <c r="B832" s="291" t="s">
        <v>2335</v>
      </c>
      <c r="C832" s="291" t="str">
        <f>IF(D831="","",UNIT!$B$1&amp;"-"&amp;B832)</f>
        <v/>
      </c>
      <c r="D832" s="83"/>
      <c r="E832" s="59"/>
      <c r="F832" s="82"/>
      <c r="G832" s="82"/>
      <c r="H832" s="86"/>
      <c r="I832" s="294" t="str">
        <f t="shared" si="45"/>
        <v/>
      </c>
      <c r="J832" s="59"/>
      <c r="K832" s="83"/>
      <c r="L832" s="83" t="str">
        <f t="shared" si="42"/>
        <v xml:space="preserve">
</v>
      </c>
      <c r="M832" s="83"/>
      <c r="N832" s="59"/>
      <c r="O832" s="59"/>
      <c r="P832" s="86" t="e">
        <f t="shared" si="43"/>
        <v>#VALUE!</v>
      </c>
      <c r="Q832" s="59"/>
      <c r="R832" s="59"/>
      <c r="S832" s="59"/>
      <c r="T832" s="59"/>
      <c r="U832" s="290"/>
      <c r="V832" s="290"/>
      <c r="W832" s="290"/>
      <c r="X832" s="290"/>
      <c r="Y832" s="290"/>
      <c r="Z832" s="290"/>
      <c r="AA832" s="290"/>
      <c r="AB832" s="290"/>
      <c r="AC832" s="290"/>
      <c r="AD832" s="290"/>
    </row>
    <row r="833" spans="1:30" ht="25.5">
      <c r="A833" s="291" t="str">
        <f t="shared" si="44"/>
        <v/>
      </c>
      <c r="B833" s="291" t="s">
        <v>2336</v>
      </c>
      <c r="C833" s="291" t="str">
        <f>IF(D832="","",UNIT!$B$1&amp;"-"&amp;B833)</f>
        <v/>
      </c>
      <c r="D833" s="83"/>
      <c r="E833" s="59"/>
      <c r="F833" s="82"/>
      <c r="G833" s="82"/>
      <c r="H833" s="86"/>
      <c r="I833" s="294" t="str">
        <f t="shared" si="45"/>
        <v/>
      </c>
      <c r="J833" s="59"/>
      <c r="K833" s="83"/>
      <c r="L833" s="83" t="str">
        <f t="shared" si="42"/>
        <v xml:space="preserve">
</v>
      </c>
      <c r="M833" s="83"/>
      <c r="N833" s="59"/>
      <c r="O833" s="59"/>
      <c r="P833" s="86" t="e">
        <f t="shared" si="43"/>
        <v>#VALUE!</v>
      </c>
      <c r="Q833" s="59"/>
      <c r="R833" s="59"/>
      <c r="S833" s="59"/>
      <c r="T833" s="59"/>
      <c r="U833" s="290"/>
      <c r="V833" s="290"/>
      <c r="W833" s="290"/>
      <c r="X833" s="290"/>
      <c r="Y833" s="290"/>
      <c r="Z833" s="290"/>
      <c r="AA833" s="290"/>
      <c r="AB833" s="290"/>
      <c r="AC833" s="290"/>
      <c r="AD833" s="290"/>
    </row>
    <row r="834" spans="1:30" ht="25.5">
      <c r="A834" s="291" t="str">
        <f t="shared" si="44"/>
        <v/>
      </c>
      <c r="B834" s="291" t="s">
        <v>2337</v>
      </c>
      <c r="C834" s="291" t="str">
        <f>IF(D833="","",UNIT!$B$1&amp;"-"&amp;B834)</f>
        <v/>
      </c>
      <c r="D834" s="83"/>
      <c r="E834" s="59"/>
      <c r="F834" s="82"/>
      <c r="G834" s="82"/>
      <c r="H834" s="86"/>
      <c r="I834" s="294" t="str">
        <f t="shared" si="45"/>
        <v/>
      </c>
      <c r="J834" s="59"/>
      <c r="K834" s="83"/>
      <c r="L834" s="83" t="str">
        <f t="shared" si="42"/>
        <v xml:space="preserve">
</v>
      </c>
      <c r="M834" s="83"/>
      <c r="N834" s="59"/>
      <c r="O834" s="59"/>
      <c r="P834" s="86" t="e">
        <f t="shared" si="43"/>
        <v>#VALUE!</v>
      </c>
      <c r="Q834" s="59"/>
      <c r="R834" s="59"/>
      <c r="S834" s="59"/>
      <c r="T834" s="59"/>
      <c r="U834" s="290"/>
      <c r="V834" s="290"/>
      <c r="W834" s="290"/>
      <c r="X834" s="290"/>
      <c r="Y834" s="290"/>
      <c r="Z834" s="290"/>
      <c r="AA834" s="290"/>
      <c r="AB834" s="290"/>
      <c r="AC834" s="290"/>
      <c r="AD834" s="290"/>
    </row>
    <row r="835" spans="1:30" ht="25.5">
      <c r="A835" s="291" t="str">
        <f t="shared" si="44"/>
        <v/>
      </c>
      <c r="B835" s="291" t="s">
        <v>2338</v>
      </c>
      <c r="C835" s="291" t="str">
        <f>IF(D834="","",UNIT!$B$1&amp;"-"&amp;B835)</f>
        <v/>
      </c>
      <c r="D835" s="83"/>
      <c r="E835" s="59"/>
      <c r="F835" s="82"/>
      <c r="G835" s="82"/>
      <c r="H835" s="86"/>
      <c r="I835" s="294" t="str">
        <f t="shared" si="45"/>
        <v/>
      </c>
      <c r="J835" s="59"/>
      <c r="K835" s="83"/>
      <c r="L835" s="83" t="str">
        <f t="shared" si="42"/>
        <v xml:space="preserve">
</v>
      </c>
      <c r="M835" s="83"/>
      <c r="N835" s="59"/>
      <c r="O835" s="59"/>
      <c r="P835" s="86" t="e">
        <f t="shared" si="43"/>
        <v>#VALUE!</v>
      </c>
      <c r="Q835" s="59"/>
      <c r="R835" s="59"/>
      <c r="S835" s="59"/>
      <c r="T835" s="59"/>
      <c r="U835" s="290"/>
      <c r="V835" s="290"/>
      <c r="W835" s="290"/>
      <c r="X835" s="290"/>
      <c r="Y835" s="290"/>
      <c r="Z835" s="290"/>
      <c r="AA835" s="290"/>
      <c r="AB835" s="290"/>
      <c r="AC835" s="290"/>
      <c r="AD835" s="290"/>
    </row>
    <row r="836" spans="1:30" ht="25.5">
      <c r="A836" s="291" t="str">
        <f t="shared" si="44"/>
        <v/>
      </c>
      <c r="B836" s="291" t="s">
        <v>2339</v>
      </c>
      <c r="C836" s="291" t="str">
        <f>IF(D835="","",UNIT!$B$1&amp;"-"&amp;B836)</f>
        <v/>
      </c>
      <c r="D836" s="83"/>
      <c r="E836" s="59"/>
      <c r="F836" s="82"/>
      <c r="G836" s="82"/>
      <c r="H836" s="86"/>
      <c r="I836" s="294" t="str">
        <f t="shared" si="45"/>
        <v/>
      </c>
      <c r="J836" s="59"/>
      <c r="K836" s="83"/>
      <c r="L836" s="83" t="str">
        <f t="shared" si="42"/>
        <v xml:space="preserve">
</v>
      </c>
      <c r="M836" s="83"/>
      <c r="N836" s="59"/>
      <c r="O836" s="59"/>
      <c r="P836" s="86" t="e">
        <f t="shared" si="43"/>
        <v>#VALUE!</v>
      </c>
      <c r="Q836" s="59"/>
      <c r="R836" s="59"/>
      <c r="S836" s="59"/>
      <c r="T836" s="59"/>
      <c r="U836" s="290"/>
      <c r="V836" s="290"/>
      <c r="W836" s="290"/>
      <c r="X836" s="290"/>
      <c r="Y836" s="290"/>
      <c r="Z836" s="290"/>
      <c r="AA836" s="290"/>
      <c r="AB836" s="290"/>
      <c r="AC836" s="290"/>
      <c r="AD836" s="290"/>
    </row>
    <row r="837" spans="1:30" ht="25.5">
      <c r="A837" s="291" t="str">
        <f t="shared" si="44"/>
        <v/>
      </c>
      <c r="B837" s="291" t="s">
        <v>2340</v>
      </c>
      <c r="C837" s="291" t="str">
        <f>IF(D836="","",UNIT!$B$1&amp;"-"&amp;B837)</f>
        <v/>
      </c>
      <c r="D837" s="83"/>
      <c r="E837" s="59"/>
      <c r="F837" s="82"/>
      <c r="G837" s="82"/>
      <c r="H837" s="86"/>
      <c r="I837" s="294" t="str">
        <f t="shared" si="45"/>
        <v/>
      </c>
      <c r="J837" s="59"/>
      <c r="K837" s="83"/>
      <c r="L837" s="83" t="str">
        <f t="shared" si="42"/>
        <v xml:space="preserve">
</v>
      </c>
      <c r="M837" s="83"/>
      <c r="N837" s="59"/>
      <c r="O837" s="59"/>
      <c r="P837" s="86" t="e">
        <f t="shared" si="43"/>
        <v>#VALUE!</v>
      </c>
      <c r="Q837" s="59"/>
      <c r="R837" s="59"/>
      <c r="S837" s="59"/>
      <c r="T837" s="59"/>
      <c r="U837" s="290"/>
      <c r="V837" s="290"/>
      <c r="W837" s="290"/>
      <c r="X837" s="290"/>
      <c r="Y837" s="290"/>
      <c r="Z837" s="290"/>
      <c r="AA837" s="290"/>
      <c r="AB837" s="290"/>
      <c r="AC837" s="290"/>
      <c r="AD837" s="290"/>
    </row>
    <row r="838" spans="1:30" ht="25.5">
      <c r="A838" s="291" t="str">
        <f t="shared" si="44"/>
        <v/>
      </c>
      <c r="B838" s="291" t="s">
        <v>2341</v>
      </c>
      <c r="C838" s="291" t="str">
        <f>IF(D837="","",UNIT!$B$1&amp;"-"&amp;B838)</f>
        <v/>
      </c>
      <c r="D838" s="83"/>
      <c r="E838" s="59"/>
      <c r="F838" s="82"/>
      <c r="G838" s="82"/>
      <c r="H838" s="86"/>
      <c r="I838" s="294" t="str">
        <f t="shared" si="45"/>
        <v/>
      </c>
      <c r="J838" s="59"/>
      <c r="K838" s="83"/>
      <c r="L838" s="83" t="str">
        <f t="shared" si="42"/>
        <v xml:space="preserve">
</v>
      </c>
      <c r="M838" s="83"/>
      <c r="N838" s="59"/>
      <c r="O838" s="59"/>
      <c r="P838" s="86" t="e">
        <f t="shared" si="43"/>
        <v>#VALUE!</v>
      </c>
      <c r="Q838" s="59"/>
      <c r="R838" s="59"/>
      <c r="S838" s="59"/>
      <c r="T838" s="59"/>
      <c r="U838" s="290"/>
      <c r="V838" s="290"/>
      <c r="W838" s="290"/>
      <c r="X838" s="290"/>
      <c r="Y838" s="290"/>
      <c r="Z838" s="290"/>
      <c r="AA838" s="290"/>
      <c r="AB838" s="290"/>
      <c r="AC838" s="290"/>
      <c r="AD838" s="290"/>
    </row>
    <row r="839" spans="1:30" ht="25.5">
      <c r="A839" s="291" t="str">
        <f t="shared" si="44"/>
        <v/>
      </c>
      <c r="B839" s="291" t="s">
        <v>2342</v>
      </c>
      <c r="C839" s="291" t="str">
        <f>IF(D838="","",UNIT!$B$1&amp;"-"&amp;B839)</f>
        <v/>
      </c>
      <c r="D839" s="83"/>
      <c r="E839" s="59"/>
      <c r="F839" s="82"/>
      <c r="G839" s="82"/>
      <c r="H839" s="86"/>
      <c r="I839" s="294" t="str">
        <f t="shared" si="45"/>
        <v/>
      </c>
      <c r="J839" s="59"/>
      <c r="K839" s="83"/>
      <c r="L839" s="83" t="str">
        <f t="shared" si="42"/>
        <v xml:space="preserve">
</v>
      </c>
      <c r="M839" s="83"/>
      <c r="N839" s="59"/>
      <c r="O839" s="59"/>
      <c r="P839" s="86" t="e">
        <f t="shared" si="43"/>
        <v>#VALUE!</v>
      </c>
      <c r="Q839" s="59"/>
      <c r="R839" s="59"/>
      <c r="S839" s="59"/>
      <c r="T839" s="59"/>
      <c r="U839" s="290"/>
      <c r="V839" s="290"/>
      <c r="W839" s="290"/>
      <c r="X839" s="290"/>
      <c r="Y839" s="290"/>
      <c r="Z839" s="290"/>
      <c r="AA839" s="290"/>
      <c r="AB839" s="290"/>
      <c r="AC839" s="290"/>
      <c r="AD839" s="290"/>
    </row>
    <row r="840" spans="1:30" ht="25.5">
      <c r="A840" s="291" t="str">
        <f t="shared" si="44"/>
        <v/>
      </c>
      <c r="B840" s="291" t="s">
        <v>2343</v>
      </c>
      <c r="C840" s="291" t="str">
        <f>IF(D839="","",UNIT!$B$1&amp;"-"&amp;B840)</f>
        <v/>
      </c>
      <c r="D840" s="83"/>
      <c r="E840" s="59"/>
      <c r="F840" s="82"/>
      <c r="G840" s="82"/>
      <c r="H840" s="86"/>
      <c r="I840" s="294" t="str">
        <f t="shared" si="45"/>
        <v/>
      </c>
      <c r="J840" s="59"/>
      <c r="K840" s="83"/>
      <c r="L840" s="83" t="str">
        <f t="shared" si="42"/>
        <v xml:space="preserve">
</v>
      </c>
      <c r="M840" s="83"/>
      <c r="N840" s="59"/>
      <c r="O840" s="59"/>
      <c r="P840" s="86" t="e">
        <f t="shared" si="43"/>
        <v>#VALUE!</v>
      </c>
      <c r="Q840" s="59"/>
      <c r="R840" s="59"/>
      <c r="S840" s="59"/>
      <c r="T840" s="59"/>
      <c r="U840" s="290"/>
      <c r="V840" s="290"/>
      <c r="W840" s="290"/>
      <c r="X840" s="290"/>
      <c r="Y840" s="290"/>
      <c r="Z840" s="290"/>
      <c r="AA840" s="290"/>
      <c r="AB840" s="290"/>
      <c r="AC840" s="290"/>
      <c r="AD840" s="290"/>
    </row>
    <row r="841" spans="1:30" ht="25.5">
      <c r="A841" s="291" t="str">
        <f t="shared" si="44"/>
        <v/>
      </c>
      <c r="B841" s="291" t="s">
        <v>2344</v>
      </c>
      <c r="C841" s="291" t="str">
        <f>IF(D840="","",UNIT!$B$1&amp;"-"&amp;B841)</f>
        <v/>
      </c>
      <c r="D841" s="83"/>
      <c r="E841" s="59"/>
      <c r="F841" s="82"/>
      <c r="G841" s="82"/>
      <c r="H841" s="86"/>
      <c r="I841" s="294" t="str">
        <f t="shared" si="45"/>
        <v/>
      </c>
      <c r="J841" s="59"/>
      <c r="K841" s="83"/>
      <c r="L841" s="83" t="str">
        <f t="shared" si="42"/>
        <v xml:space="preserve">
</v>
      </c>
      <c r="M841" s="83"/>
      <c r="N841" s="59"/>
      <c r="O841" s="59"/>
      <c r="P841" s="86" t="e">
        <f t="shared" si="43"/>
        <v>#VALUE!</v>
      </c>
      <c r="Q841" s="59"/>
      <c r="R841" s="59"/>
      <c r="S841" s="59"/>
      <c r="T841" s="59"/>
      <c r="U841" s="290"/>
      <c r="V841" s="290"/>
      <c r="W841" s="290"/>
      <c r="X841" s="290"/>
      <c r="Y841" s="290"/>
      <c r="Z841" s="290"/>
      <c r="AA841" s="290"/>
      <c r="AB841" s="290"/>
      <c r="AC841" s="290"/>
      <c r="AD841" s="290"/>
    </row>
    <row r="842" spans="1:30" ht="25.5">
      <c r="A842" s="291" t="str">
        <f t="shared" si="44"/>
        <v/>
      </c>
      <c r="B842" s="291" t="s">
        <v>2345</v>
      </c>
      <c r="C842" s="291" t="str">
        <f>IF(D841="","",UNIT!$B$1&amp;"-"&amp;B842)</f>
        <v/>
      </c>
      <c r="D842" s="83"/>
      <c r="E842" s="59"/>
      <c r="F842" s="82"/>
      <c r="G842" s="82"/>
      <c r="H842" s="86"/>
      <c r="I842" s="294" t="str">
        <f t="shared" si="45"/>
        <v/>
      </c>
      <c r="J842" s="59"/>
      <c r="K842" s="83"/>
      <c r="L842" s="83" t="str">
        <f t="shared" si="42"/>
        <v xml:space="preserve">
</v>
      </c>
      <c r="M842" s="83"/>
      <c r="N842" s="59"/>
      <c r="O842" s="59"/>
      <c r="P842" s="86" t="e">
        <f t="shared" si="43"/>
        <v>#VALUE!</v>
      </c>
      <c r="Q842" s="59"/>
      <c r="R842" s="59"/>
      <c r="S842" s="59"/>
      <c r="T842" s="59"/>
      <c r="U842" s="290"/>
      <c r="V842" s="290"/>
      <c r="W842" s="290"/>
      <c r="X842" s="290"/>
      <c r="Y842" s="290"/>
      <c r="Z842" s="290"/>
      <c r="AA842" s="290"/>
      <c r="AB842" s="290"/>
      <c r="AC842" s="290"/>
      <c r="AD842" s="290"/>
    </row>
    <row r="843" spans="1:30" ht="25.5">
      <c r="A843" s="291" t="str">
        <f t="shared" si="44"/>
        <v/>
      </c>
      <c r="B843" s="291" t="s">
        <v>2346</v>
      </c>
      <c r="C843" s="291" t="str">
        <f>IF(D842="","",UNIT!$B$1&amp;"-"&amp;B843)</f>
        <v/>
      </c>
      <c r="D843" s="83"/>
      <c r="E843" s="59"/>
      <c r="F843" s="82"/>
      <c r="G843" s="82"/>
      <c r="H843" s="86"/>
      <c r="I843" s="294" t="str">
        <f t="shared" si="45"/>
        <v/>
      </c>
      <c r="J843" s="59"/>
      <c r="K843" s="83"/>
      <c r="L843" s="83" t="str">
        <f t="shared" si="42"/>
        <v xml:space="preserve">
</v>
      </c>
      <c r="M843" s="83"/>
      <c r="N843" s="59"/>
      <c r="O843" s="59"/>
      <c r="P843" s="86" t="e">
        <f t="shared" si="43"/>
        <v>#VALUE!</v>
      </c>
      <c r="Q843" s="59"/>
      <c r="R843" s="59"/>
      <c r="S843" s="59"/>
      <c r="T843" s="59"/>
      <c r="U843" s="290"/>
      <c r="V843" s="290"/>
      <c r="W843" s="290"/>
      <c r="X843" s="290"/>
      <c r="Y843" s="290"/>
      <c r="Z843" s="290"/>
      <c r="AA843" s="290"/>
      <c r="AB843" s="290"/>
      <c r="AC843" s="290"/>
      <c r="AD843" s="290"/>
    </row>
    <row r="844" spans="1:30" ht="25.5">
      <c r="A844" s="291" t="str">
        <f t="shared" si="44"/>
        <v/>
      </c>
      <c r="B844" s="291" t="s">
        <v>2347</v>
      </c>
      <c r="C844" s="291" t="str">
        <f>IF(D843="","",UNIT!$B$1&amp;"-"&amp;B844)</f>
        <v/>
      </c>
      <c r="D844" s="83"/>
      <c r="E844" s="59"/>
      <c r="F844" s="82"/>
      <c r="G844" s="82"/>
      <c r="H844" s="86"/>
      <c r="I844" s="294" t="str">
        <f t="shared" si="45"/>
        <v/>
      </c>
      <c r="J844" s="59"/>
      <c r="K844" s="83"/>
      <c r="L844" s="83" t="str">
        <f t="shared" si="42"/>
        <v xml:space="preserve">
</v>
      </c>
      <c r="M844" s="83"/>
      <c r="N844" s="59"/>
      <c r="O844" s="59"/>
      <c r="P844" s="86" t="e">
        <f t="shared" si="43"/>
        <v>#VALUE!</v>
      </c>
      <c r="Q844" s="59"/>
      <c r="R844" s="59"/>
      <c r="S844" s="59"/>
      <c r="T844" s="59"/>
      <c r="U844" s="290"/>
      <c r="V844" s="290"/>
      <c r="W844" s="290"/>
      <c r="X844" s="290"/>
      <c r="Y844" s="290"/>
      <c r="Z844" s="290"/>
      <c r="AA844" s="290"/>
      <c r="AB844" s="290"/>
      <c r="AC844" s="290"/>
      <c r="AD844" s="290"/>
    </row>
    <row r="845" spans="1:30" ht="25.5">
      <c r="A845" s="291" t="str">
        <f t="shared" si="44"/>
        <v/>
      </c>
      <c r="B845" s="291" t="s">
        <v>2348</v>
      </c>
      <c r="C845" s="291" t="str">
        <f>IF(D844="","",UNIT!$B$1&amp;"-"&amp;B845)</f>
        <v/>
      </c>
      <c r="D845" s="83"/>
      <c r="E845" s="59"/>
      <c r="F845" s="82"/>
      <c r="G845" s="82"/>
      <c r="H845" s="86"/>
      <c r="I845" s="294" t="str">
        <f t="shared" si="45"/>
        <v/>
      </c>
      <c r="J845" s="59"/>
      <c r="K845" s="83"/>
      <c r="L845" s="83" t="str">
        <f t="shared" si="42"/>
        <v xml:space="preserve">
</v>
      </c>
      <c r="M845" s="83"/>
      <c r="N845" s="59"/>
      <c r="O845" s="59"/>
      <c r="P845" s="86" t="e">
        <f t="shared" si="43"/>
        <v>#VALUE!</v>
      </c>
      <c r="Q845" s="59"/>
      <c r="R845" s="59"/>
      <c r="S845" s="59"/>
      <c r="T845" s="59"/>
      <c r="U845" s="290"/>
      <c r="V845" s="290"/>
      <c r="W845" s="290"/>
      <c r="X845" s="290"/>
      <c r="Y845" s="290"/>
      <c r="Z845" s="290"/>
      <c r="AA845" s="290"/>
      <c r="AB845" s="290"/>
      <c r="AC845" s="290"/>
      <c r="AD845" s="290"/>
    </row>
    <row r="846" spans="1:30" ht="25.5">
      <c r="A846" s="291" t="str">
        <f t="shared" si="44"/>
        <v/>
      </c>
      <c r="B846" s="291" t="s">
        <v>2349</v>
      </c>
      <c r="C846" s="291" t="str">
        <f>IF(D845="","",UNIT!$B$1&amp;"-"&amp;B846)</f>
        <v/>
      </c>
      <c r="D846" s="83"/>
      <c r="E846" s="59"/>
      <c r="F846" s="82"/>
      <c r="G846" s="82"/>
      <c r="H846" s="86"/>
      <c r="I846" s="294" t="str">
        <f t="shared" si="45"/>
        <v/>
      </c>
      <c r="J846" s="59"/>
      <c r="K846" s="83"/>
      <c r="L846" s="83" t="str">
        <f t="shared" si="42"/>
        <v xml:space="preserve">
</v>
      </c>
      <c r="M846" s="83"/>
      <c r="N846" s="59"/>
      <c r="O846" s="59"/>
      <c r="P846" s="86" t="e">
        <f t="shared" si="43"/>
        <v>#VALUE!</v>
      </c>
      <c r="Q846" s="59"/>
      <c r="R846" s="59"/>
      <c r="S846" s="59"/>
      <c r="T846" s="59"/>
      <c r="U846" s="290"/>
      <c r="V846" s="290"/>
      <c r="W846" s="290"/>
      <c r="X846" s="290"/>
      <c r="Y846" s="290"/>
      <c r="Z846" s="290"/>
      <c r="AA846" s="290"/>
      <c r="AB846" s="290"/>
      <c r="AC846" s="290"/>
      <c r="AD846" s="290"/>
    </row>
    <row r="847" spans="1:30" ht="25.5">
      <c r="A847" s="291" t="str">
        <f t="shared" si="44"/>
        <v/>
      </c>
      <c r="B847" s="291" t="s">
        <v>2350</v>
      </c>
      <c r="C847" s="291" t="str">
        <f>IF(D846="","",UNIT!$B$1&amp;"-"&amp;B847)</f>
        <v/>
      </c>
      <c r="D847" s="83"/>
      <c r="E847" s="59"/>
      <c r="F847" s="82"/>
      <c r="G847" s="82"/>
      <c r="H847" s="86"/>
      <c r="I847" s="294" t="str">
        <f t="shared" si="45"/>
        <v/>
      </c>
      <c r="J847" s="59"/>
      <c r="K847" s="83"/>
      <c r="L847" s="83" t="str">
        <f t="shared" si="42"/>
        <v xml:space="preserve">
</v>
      </c>
      <c r="M847" s="83"/>
      <c r="N847" s="59"/>
      <c r="O847" s="59"/>
      <c r="P847" s="86" t="e">
        <f t="shared" si="43"/>
        <v>#VALUE!</v>
      </c>
      <c r="Q847" s="59"/>
      <c r="R847" s="59"/>
      <c r="S847" s="59"/>
      <c r="T847" s="59"/>
      <c r="U847" s="290"/>
      <c r="V847" s="290"/>
      <c r="W847" s="290"/>
      <c r="X847" s="290"/>
      <c r="Y847" s="290"/>
      <c r="Z847" s="290"/>
      <c r="AA847" s="290"/>
      <c r="AB847" s="290"/>
      <c r="AC847" s="290"/>
      <c r="AD847" s="290"/>
    </row>
    <row r="848" spans="1:30" ht="25.5">
      <c r="A848" s="291" t="str">
        <f t="shared" si="44"/>
        <v/>
      </c>
      <c r="B848" s="291" t="s">
        <v>2351</v>
      </c>
      <c r="C848" s="291" t="str">
        <f>IF(D847="","",UNIT!$B$1&amp;"-"&amp;B848)</f>
        <v/>
      </c>
      <c r="D848" s="83"/>
      <c r="E848" s="59"/>
      <c r="F848" s="82"/>
      <c r="G848" s="82"/>
      <c r="H848" s="86"/>
      <c r="I848" s="294" t="str">
        <f t="shared" si="45"/>
        <v/>
      </c>
      <c r="J848" s="59"/>
      <c r="K848" s="83"/>
      <c r="L848" s="83" t="str">
        <f t="shared" si="42"/>
        <v xml:space="preserve">
</v>
      </c>
      <c r="M848" s="83"/>
      <c r="N848" s="59"/>
      <c r="O848" s="59"/>
      <c r="P848" s="86" t="e">
        <f t="shared" si="43"/>
        <v>#VALUE!</v>
      </c>
      <c r="Q848" s="59"/>
      <c r="R848" s="59"/>
      <c r="S848" s="59"/>
      <c r="T848" s="59"/>
      <c r="U848" s="290"/>
      <c r="V848" s="290"/>
      <c r="W848" s="290"/>
      <c r="X848" s="290"/>
      <c r="Y848" s="290"/>
      <c r="Z848" s="290"/>
      <c r="AA848" s="290"/>
      <c r="AB848" s="290"/>
      <c r="AC848" s="290"/>
      <c r="AD848" s="290"/>
    </row>
    <row r="849" spans="1:30" ht="25.5">
      <c r="A849" s="291" t="str">
        <f t="shared" si="44"/>
        <v/>
      </c>
      <c r="B849" s="291" t="s">
        <v>2352</v>
      </c>
      <c r="C849" s="291" t="str">
        <f>IF(D848="","",UNIT!$B$1&amp;"-"&amp;B849)</f>
        <v/>
      </c>
      <c r="D849" s="83"/>
      <c r="E849" s="59"/>
      <c r="F849" s="82"/>
      <c r="G849" s="82"/>
      <c r="H849" s="86"/>
      <c r="I849" s="294" t="str">
        <f t="shared" si="45"/>
        <v/>
      </c>
      <c r="J849" s="59"/>
      <c r="K849" s="83"/>
      <c r="L849" s="83" t="str">
        <f t="shared" si="42"/>
        <v xml:space="preserve">
</v>
      </c>
      <c r="M849" s="83"/>
      <c r="N849" s="59"/>
      <c r="O849" s="59"/>
      <c r="P849" s="86" t="e">
        <f t="shared" si="43"/>
        <v>#VALUE!</v>
      </c>
      <c r="Q849" s="59"/>
      <c r="R849" s="59"/>
      <c r="S849" s="59"/>
      <c r="T849" s="59"/>
      <c r="U849" s="290"/>
      <c r="V849" s="290"/>
      <c r="W849" s="290"/>
      <c r="X849" s="290"/>
      <c r="Y849" s="290"/>
      <c r="Z849" s="290"/>
      <c r="AA849" s="290"/>
      <c r="AB849" s="290"/>
      <c r="AC849" s="290"/>
      <c r="AD849" s="290"/>
    </row>
    <row r="850" spans="1:30" ht="25.5">
      <c r="A850" s="291" t="str">
        <f t="shared" si="44"/>
        <v/>
      </c>
      <c r="B850" s="291" t="s">
        <v>2353</v>
      </c>
      <c r="C850" s="291" t="str">
        <f>IF(D849="","",UNIT!$B$1&amp;"-"&amp;B850)</f>
        <v/>
      </c>
      <c r="D850" s="83"/>
      <c r="E850" s="59"/>
      <c r="F850" s="82"/>
      <c r="G850" s="82"/>
      <c r="H850" s="86"/>
      <c r="I850" s="294" t="str">
        <f t="shared" si="45"/>
        <v/>
      </c>
      <c r="J850" s="59"/>
      <c r="K850" s="83"/>
      <c r="L850" s="83" t="str">
        <f t="shared" si="42"/>
        <v xml:space="preserve">
</v>
      </c>
      <c r="M850" s="83"/>
      <c r="N850" s="59"/>
      <c r="O850" s="59"/>
      <c r="P850" s="86" t="e">
        <f t="shared" si="43"/>
        <v>#VALUE!</v>
      </c>
      <c r="Q850" s="59"/>
      <c r="R850" s="59"/>
      <c r="S850" s="59"/>
      <c r="T850" s="59"/>
      <c r="U850" s="290"/>
      <c r="V850" s="290"/>
      <c r="W850" s="290"/>
      <c r="X850" s="290"/>
      <c r="Y850" s="290"/>
      <c r="Z850" s="290"/>
      <c r="AA850" s="290"/>
      <c r="AB850" s="290"/>
      <c r="AC850" s="290"/>
      <c r="AD850" s="290"/>
    </row>
    <row r="851" spans="1:30" ht="25.5">
      <c r="A851" s="291" t="str">
        <f t="shared" si="44"/>
        <v/>
      </c>
      <c r="B851" s="291" t="s">
        <v>2354</v>
      </c>
      <c r="C851" s="291" t="str">
        <f>IF(D850="","",UNIT!$B$1&amp;"-"&amp;B851)</f>
        <v/>
      </c>
      <c r="D851" s="83"/>
      <c r="E851" s="59"/>
      <c r="F851" s="82"/>
      <c r="G851" s="82"/>
      <c r="H851" s="86"/>
      <c r="I851" s="294" t="str">
        <f t="shared" si="45"/>
        <v/>
      </c>
      <c r="J851" s="59"/>
      <c r="K851" s="83"/>
      <c r="L851" s="83" t="str">
        <f t="shared" si="42"/>
        <v xml:space="preserve">
</v>
      </c>
      <c r="M851" s="83"/>
      <c r="N851" s="59"/>
      <c r="O851" s="59"/>
      <c r="P851" s="86" t="e">
        <f t="shared" si="43"/>
        <v>#VALUE!</v>
      </c>
      <c r="Q851" s="59"/>
      <c r="R851" s="59"/>
      <c r="S851" s="59"/>
      <c r="T851" s="59"/>
      <c r="U851" s="290"/>
      <c r="V851" s="290"/>
      <c r="W851" s="290"/>
      <c r="X851" s="290"/>
      <c r="Y851" s="290"/>
      <c r="Z851" s="290"/>
      <c r="AA851" s="290"/>
      <c r="AB851" s="290"/>
      <c r="AC851" s="290"/>
      <c r="AD851" s="290"/>
    </row>
    <row r="852" spans="1:30" ht="25.5">
      <c r="A852" s="291" t="str">
        <f t="shared" si="44"/>
        <v/>
      </c>
      <c r="B852" s="291" t="s">
        <v>2355</v>
      </c>
      <c r="C852" s="291" t="str">
        <f>IF(D851="","",UNIT!$B$1&amp;"-"&amp;B852)</f>
        <v/>
      </c>
      <c r="D852" s="83"/>
      <c r="E852" s="59"/>
      <c r="F852" s="82"/>
      <c r="G852" s="82"/>
      <c r="H852" s="86"/>
      <c r="I852" s="294" t="str">
        <f t="shared" si="45"/>
        <v/>
      </c>
      <c r="J852" s="59"/>
      <c r="K852" s="83"/>
      <c r="L852" s="83" t="str">
        <f t="shared" si="42"/>
        <v xml:space="preserve">
</v>
      </c>
      <c r="M852" s="83"/>
      <c r="N852" s="59"/>
      <c r="O852" s="59"/>
      <c r="P852" s="86" t="e">
        <f t="shared" si="43"/>
        <v>#VALUE!</v>
      </c>
      <c r="Q852" s="59"/>
      <c r="R852" s="59"/>
      <c r="S852" s="59"/>
      <c r="T852" s="59"/>
      <c r="U852" s="290"/>
      <c r="V852" s="290"/>
      <c r="W852" s="290"/>
      <c r="X852" s="290"/>
      <c r="Y852" s="290"/>
      <c r="Z852" s="290"/>
      <c r="AA852" s="290"/>
      <c r="AB852" s="290"/>
      <c r="AC852" s="290"/>
      <c r="AD852" s="290"/>
    </row>
    <row r="853" spans="1:30" ht="25.5">
      <c r="A853" s="291" t="str">
        <f t="shared" si="44"/>
        <v/>
      </c>
      <c r="B853" s="291" t="s">
        <v>2356</v>
      </c>
      <c r="C853" s="291" t="str">
        <f>IF(D852="","",UNIT!$B$1&amp;"-"&amp;B853)</f>
        <v/>
      </c>
      <c r="D853" s="83"/>
      <c r="E853" s="59"/>
      <c r="F853" s="82"/>
      <c r="G853" s="82"/>
      <c r="H853" s="86"/>
      <c r="I853" s="294" t="str">
        <f t="shared" si="45"/>
        <v/>
      </c>
      <c r="J853" s="59"/>
      <c r="K853" s="83"/>
      <c r="L853" s="83" t="str">
        <f t="shared" si="42"/>
        <v xml:space="preserve">
</v>
      </c>
      <c r="M853" s="83"/>
      <c r="N853" s="59"/>
      <c r="O853" s="59"/>
      <c r="P853" s="86" t="e">
        <f t="shared" si="43"/>
        <v>#VALUE!</v>
      </c>
      <c r="Q853" s="59"/>
      <c r="R853" s="59"/>
      <c r="S853" s="59"/>
      <c r="T853" s="59"/>
      <c r="U853" s="290"/>
      <c r="V853" s="290"/>
      <c r="W853" s="290"/>
      <c r="X853" s="290"/>
      <c r="Y853" s="290"/>
      <c r="Z853" s="290"/>
      <c r="AA853" s="290"/>
      <c r="AB853" s="290"/>
      <c r="AC853" s="290"/>
      <c r="AD853" s="290"/>
    </row>
    <row r="854" spans="1:30" ht="25.5">
      <c r="A854" s="291" t="str">
        <f t="shared" si="44"/>
        <v/>
      </c>
      <c r="B854" s="291" t="s">
        <v>2357</v>
      </c>
      <c r="C854" s="291" t="str">
        <f>IF(D853="","",UNIT!$B$1&amp;"-"&amp;B854)</f>
        <v/>
      </c>
      <c r="D854" s="83"/>
      <c r="E854" s="59"/>
      <c r="F854" s="82"/>
      <c r="G854" s="82"/>
      <c r="H854" s="86"/>
      <c r="I854" s="294" t="str">
        <f t="shared" si="45"/>
        <v/>
      </c>
      <c r="J854" s="59"/>
      <c r="K854" s="83"/>
      <c r="L854" s="83" t="str">
        <f t="shared" si="42"/>
        <v xml:space="preserve">
</v>
      </c>
      <c r="M854" s="83"/>
      <c r="N854" s="59"/>
      <c r="O854" s="59"/>
      <c r="P854" s="86" t="e">
        <f t="shared" si="43"/>
        <v>#VALUE!</v>
      </c>
      <c r="Q854" s="59"/>
      <c r="R854" s="59"/>
      <c r="S854" s="59"/>
      <c r="T854" s="59"/>
      <c r="U854" s="290"/>
      <c r="V854" s="290"/>
      <c r="W854" s="290"/>
      <c r="X854" s="290"/>
      <c r="Y854" s="290"/>
      <c r="Z854" s="290"/>
      <c r="AA854" s="290"/>
      <c r="AB854" s="290"/>
      <c r="AC854" s="290"/>
      <c r="AD854" s="290"/>
    </row>
    <row r="855" spans="1:30" ht="25.5">
      <c r="A855" s="291" t="str">
        <f t="shared" si="44"/>
        <v/>
      </c>
      <c r="B855" s="291" t="s">
        <v>2358</v>
      </c>
      <c r="C855" s="291" t="str">
        <f>IF(D854="","",UNIT!$B$1&amp;"-"&amp;B855)</f>
        <v/>
      </c>
      <c r="D855" s="83"/>
      <c r="E855" s="59"/>
      <c r="F855" s="82"/>
      <c r="G855" s="82"/>
      <c r="H855" s="86"/>
      <c r="I855" s="294" t="str">
        <f t="shared" si="45"/>
        <v/>
      </c>
      <c r="J855" s="59"/>
      <c r="K855" s="83"/>
      <c r="L855" s="83" t="str">
        <f t="shared" si="42"/>
        <v xml:space="preserve">
</v>
      </c>
      <c r="M855" s="83"/>
      <c r="N855" s="59"/>
      <c r="O855" s="59"/>
      <c r="P855" s="86" t="e">
        <f t="shared" si="43"/>
        <v>#VALUE!</v>
      </c>
      <c r="Q855" s="59"/>
      <c r="R855" s="59"/>
      <c r="S855" s="59"/>
      <c r="T855" s="59"/>
      <c r="U855" s="290"/>
      <c r="V855" s="290"/>
      <c r="W855" s="290"/>
      <c r="X855" s="290"/>
      <c r="Y855" s="290"/>
      <c r="Z855" s="290"/>
      <c r="AA855" s="290"/>
      <c r="AB855" s="290"/>
      <c r="AC855" s="290"/>
      <c r="AD855" s="290"/>
    </row>
    <row r="856" spans="1:30" ht="25.5">
      <c r="A856" s="291" t="str">
        <f t="shared" si="44"/>
        <v/>
      </c>
      <c r="B856" s="291" t="s">
        <v>2359</v>
      </c>
      <c r="C856" s="291" t="str">
        <f>IF(D855="","",UNIT!$B$1&amp;"-"&amp;B856)</f>
        <v/>
      </c>
      <c r="D856" s="83"/>
      <c r="E856" s="59"/>
      <c r="F856" s="82"/>
      <c r="G856" s="82"/>
      <c r="H856" s="86"/>
      <c r="I856" s="294" t="str">
        <f t="shared" si="45"/>
        <v/>
      </c>
      <c r="J856" s="59"/>
      <c r="K856" s="83"/>
      <c r="L856" s="83" t="str">
        <f t="shared" si="42"/>
        <v xml:space="preserve">
</v>
      </c>
      <c r="M856" s="83"/>
      <c r="N856" s="59"/>
      <c r="O856" s="59"/>
      <c r="P856" s="86" t="e">
        <f t="shared" si="43"/>
        <v>#VALUE!</v>
      </c>
      <c r="Q856" s="59"/>
      <c r="R856" s="59"/>
      <c r="S856" s="59"/>
      <c r="T856" s="59"/>
      <c r="U856" s="290"/>
      <c r="V856" s="290"/>
      <c r="W856" s="290"/>
      <c r="X856" s="290"/>
      <c r="Y856" s="290"/>
      <c r="Z856" s="290"/>
      <c r="AA856" s="290"/>
      <c r="AB856" s="290"/>
      <c r="AC856" s="290"/>
      <c r="AD856" s="290"/>
    </row>
    <row r="857" spans="1:30" ht="25.5">
      <c r="A857" s="291" t="str">
        <f t="shared" si="44"/>
        <v/>
      </c>
      <c r="B857" s="291" t="s">
        <v>2360</v>
      </c>
      <c r="C857" s="291" t="str">
        <f>IF(D856="","",UNIT!$B$1&amp;"-"&amp;B857)</f>
        <v/>
      </c>
      <c r="D857" s="83"/>
      <c r="E857" s="59"/>
      <c r="F857" s="82"/>
      <c r="G857" s="82"/>
      <c r="H857" s="86"/>
      <c r="I857" s="294" t="str">
        <f t="shared" si="45"/>
        <v/>
      </c>
      <c r="J857" s="59"/>
      <c r="K857" s="83"/>
      <c r="L857" s="83" t="str">
        <f t="shared" si="42"/>
        <v xml:space="preserve">
</v>
      </c>
      <c r="M857" s="83"/>
      <c r="N857" s="59"/>
      <c r="O857" s="59"/>
      <c r="P857" s="86" t="e">
        <f t="shared" si="43"/>
        <v>#VALUE!</v>
      </c>
      <c r="Q857" s="59"/>
      <c r="R857" s="59"/>
      <c r="S857" s="59"/>
      <c r="T857" s="59"/>
      <c r="U857" s="290"/>
      <c r="V857" s="290"/>
      <c r="W857" s="290"/>
      <c r="X857" s="290"/>
      <c r="Y857" s="290"/>
      <c r="Z857" s="290"/>
      <c r="AA857" s="290"/>
      <c r="AB857" s="290"/>
      <c r="AC857" s="290"/>
      <c r="AD857" s="290"/>
    </row>
    <row r="858" spans="1:30" ht="25.5">
      <c r="A858" s="291" t="str">
        <f t="shared" si="44"/>
        <v/>
      </c>
      <c r="B858" s="291" t="s">
        <v>2361</v>
      </c>
      <c r="C858" s="291" t="str">
        <f>IF(D857="","",UNIT!$B$1&amp;"-"&amp;B858)</f>
        <v/>
      </c>
      <c r="D858" s="83"/>
      <c r="E858" s="59"/>
      <c r="F858" s="82"/>
      <c r="G858" s="82"/>
      <c r="H858" s="86"/>
      <c r="I858" s="294" t="str">
        <f t="shared" si="45"/>
        <v/>
      </c>
      <c r="J858" s="59"/>
      <c r="K858" s="83"/>
      <c r="L858" s="83" t="str">
        <f t="shared" si="42"/>
        <v xml:space="preserve">
</v>
      </c>
      <c r="M858" s="83"/>
      <c r="N858" s="59"/>
      <c r="O858" s="59"/>
      <c r="P858" s="86" t="e">
        <f t="shared" si="43"/>
        <v>#VALUE!</v>
      </c>
      <c r="Q858" s="59"/>
      <c r="R858" s="59"/>
      <c r="S858" s="59"/>
      <c r="T858" s="59"/>
      <c r="U858" s="290"/>
      <c r="V858" s="290"/>
      <c r="W858" s="290"/>
      <c r="X858" s="290"/>
      <c r="Y858" s="290"/>
      <c r="Z858" s="290"/>
      <c r="AA858" s="290"/>
      <c r="AB858" s="290"/>
      <c r="AC858" s="290"/>
      <c r="AD858" s="290"/>
    </row>
    <row r="859" spans="1:30" ht="25.5">
      <c r="A859" s="291" t="str">
        <f t="shared" si="44"/>
        <v/>
      </c>
      <c r="B859" s="291" t="s">
        <v>2362</v>
      </c>
      <c r="C859" s="291" t="str">
        <f>IF(D858="","",UNIT!$B$1&amp;"-"&amp;B859)</f>
        <v/>
      </c>
      <c r="D859" s="83"/>
      <c r="E859" s="59"/>
      <c r="F859" s="82"/>
      <c r="G859" s="82"/>
      <c r="H859" s="86"/>
      <c r="I859" s="294" t="str">
        <f t="shared" si="45"/>
        <v/>
      </c>
      <c r="J859" s="59"/>
      <c r="K859" s="83"/>
      <c r="L859" s="83" t="str">
        <f t="shared" si="42"/>
        <v xml:space="preserve">
</v>
      </c>
      <c r="M859" s="83"/>
      <c r="N859" s="59"/>
      <c r="O859" s="59"/>
      <c r="P859" s="86" t="e">
        <f t="shared" si="43"/>
        <v>#VALUE!</v>
      </c>
      <c r="Q859" s="59"/>
      <c r="R859" s="59"/>
      <c r="S859" s="59"/>
      <c r="T859" s="59"/>
      <c r="U859" s="290"/>
      <c r="V859" s="290"/>
      <c r="W859" s="290"/>
      <c r="X859" s="290"/>
      <c r="Y859" s="290"/>
      <c r="Z859" s="290"/>
      <c r="AA859" s="290"/>
      <c r="AB859" s="290"/>
      <c r="AC859" s="290"/>
      <c r="AD859" s="290"/>
    </row>
    <row r="860" spans="1:30" ht="25.5">
      <c r="A860" s="291" t="str">
        <f t="shared" si="44"/>
        <v/>
      </c>
      <c r="B860" s="291" t="s">
        <v>2363</v>
      </c>
      <c r="C860" s="291" t="str">
        <f>IF(D859="","",UNIT!$B$1&amp;"-"&amp;B860)</f>
        <v/>
      </c>
      <c r="D860" s="83"/>
      <c r="E860" s="59"/>
      <c r="F860" s="82"/>
      <c r="G860" s="82"/>
      <c r="H860" s="86"/>
      <c r="I860" s="294" t="str">
        <f t="shared" si="45"/>
        <v/>
      </c>
      <c r="J860" s="59"/>
      <c r="K860" s="83"/>
      <c r="L860" s="83" t="str">
        <f t="shared" si="42"/>
        <v xml:space="preserve">
</v>
      </c>
      <c r="M860" s="83"/>
      <c r="N860" s="59"/>
      <c r="O860" s="59"/>
      <c r="P860" s="86" t="e">
        <f t="shared" si="43"/>
        <v>#VALUE!</v>
      </c>
      <c r="Q860" s="59"/>
      <c r="R860" s="59"/>
      <c r="S860" s="59"/>
      <c r="T860" s="59"/>
      <c r="U860" s="290"/>
      <c r="V860" s="290"/>
      <c r="W860" s="290"/>
      <c r="X860" s="290"/>
      <c r="Y860" s="290"/>
      <c r="Z860" s="290"/>
      <c r="AA860" s="290"/>
      <c r="AB860" s="290"/>
      <c r="AC860" s="290"/>
      <c r="AD860" s="290"/>
    </row>
    <row r="861" spans="1:30" ht="25.5">
      <c r="A861" s="291" t="str">
        <f t="shared" si="44"/>
        <v/>
      </c>
      <c r="B861" s="291" t="s">
        <v>2364</v>
      </c>
      <c r="C861" s="291" t="str">
        <f>IF(D860="","",UNIT!$B$1&amp;"-"&amp;B861)</f>
        <v/>
      </c>
      <c r="D861" s="83"/>
      <c r="E861" s="59"/>
      <c r="F861" s="82"/>
      <c r="G861" s="82"/>
      <c r="H861" s="86"/>
      <c r="I861" s="294" t="str">
        <f t="shared" si="45"/>
        <v/>
      </c>
      <c r="J861" s="59"/>
      <c r="K861" s="83"/>
      <c r="L861" s="83" t="str">
        <f t="shared" si="42"/>
        <v xml:space="preserve">
</v>
      </c>
      <c r="M861" s="83"/>
      <c r="N861" s="59"/>
      <c r="O861" s="59"/>
      <c r="P861" s="86" t="e">
        <f t="shared" si="43"/>
        <v>#VALUE!</v>
      </c>
      <c r="Q861" s="59"/>
      <c r="R861" s="59"/>
      <c r="S861" s="59"/>
      <c r="T861" s="59"/>
      <c r="U861" s="290"/>
      <c r="V861" s="290"/>
      <c r="W861" s="290"/>
      <c r="X861" s="290"/>
      <c r="Y861" s="290"/>
      <c r="Z861" s="290"/>
      <c r="AA861" s="290"/>
      <c r="AB861" s="290"/>
      <c r="AC861" s="290"/>
      <c r="AD861" s="290"/>
    </row>
    <row r="862" spans="1:30" ht="25.5">
      <c r="A862" s="291" t="str">
        <f t="shared" si="44"/>
        <v/>
      </c>
      <c r="B862" s="291" t="s">
        <v>2365</v>
      </c>
      <c r="C862" s="291" t="str">
        <f>IF(D861="","",UNIT!$B$1&amp;"-"&amp;B862)</f>
        <v/>
      </c>
      <c r="D862" s="83"/>
      <c r="E862" s="59"/>
      <c r="F862" s="82"/>
      <c r="G862" s="82"/>
      <c r="H862" s="86"/>
      <c r="I862" s="294" t="str">
        <f t="shared" si="45"/>
        <v/>
      </c>
      <c r="J862" s="59"/>
      <c r="K862" s="83"/>
      <c r="L862" s="83" t="str">
        <f t="shared" si="42"/>
        <v xml:space="preserve">
</v>
      </c>
      <c r="M862" s="83"/>
      <c r="N862" s="59"/>
      <c r="O862" s="59"/>
      <c r="P862" s="86" t="e">
        <f t="shared" si="43"/>
        <v>#VALUE!</v>
      </c>
      <c r="Q862" s="59"/>
      <c r="R862" s="59"/>
      <c r="S862" s="59"/>
      <c r="T862" s="59"/>
      <c r="U862" s="290"/>
      <c r="V862" s="290"/>
      <c r="W862" s="290"/>
      <c r="X862" s="290"/>
      <c r="Y862" s="290"/>
      <c r="Z862" s="290"/>
      <c r="AA862" s="290"/>
      <c r="AB862" s="290"/>
      <c r="AC862" s="290"/>
      <c r="AD862" s="290"/>
    </row>
    <row r="863" spans="1:30" ht="25.5">
      <c r="A863" s="291" t="str">
        <f t="shared" si="44"/>
        <v/>
      </c>
      <c r="B863" s="291" t="s">
        <v>2366</v>
      </c>
      <c r="C863" s="291" t="str">
        <f>IF(D862="","",UNIT!$B$1&amp;"-"&amp;B863)</f>
        <v/>
      </c>
      <c r="D863" s="83"/>
      <c r="E863" s="59"/>
      <c r="F863" s="82"/>
      <c r="G863" s="82"/>
      <c r="H863" s="86"/>
      <c r="I863" s="294" t="str">
        <f t="shared" si="45"/>
        <v/>
      </c>
      <c r="J863" s="59"/>
      <c r="K863" s="83"/>
      <c r="L863" s="83" t="str">
        <f t="shared" si="42"/>
        <v xml:space="preserve">
</v>
      </c>
      <c r="M863" s="83"/>
      <c r="N863" s="59"/>
      <c r="O863" s="59"/>
      <c r="P863" s="86" t="e">
        <f t="shared" si="43"/>
        <v>#VALUE!</v>
      </c>
      <c r="Q863" s="59"/>
      <c r="R863" s="59"/>
      <c r="S863" s="59"/>
      <c r="T863" s="59"/>
      <c r="U863" s="290"/>
      <c r="V863" s="290"/>
      <c r="W863" s="290"/>
      <c r="X863" s="290"/>
      <c r="Y863" s="290"/>
      <c r="Z863" s="290"/>
      <c r="AA863" s="290"/>
      <c r="AB863" s="290"/>
      <c r="AC863" s="290"/>
      <c r="AD863" s="290"/>
    </row>
    <row r="864" spans="1:30" ht="25.5">
      <c r="A864" s="291" t="str">
        <f t="shared" si="44"/>
        <v/>
      </c>
      <c r="B864" s="291" t="s">
        <v>2367</v>
      </c>
      <c r="C864" s="291" t="str">
        <f>IF(D863="","",UNIT!$B$1&amp;"-"&amp;B864)</f>
        <v/>
      </c>
      <c r="D864" s="83"/>
      <c r="E864" s="59"/>
      <c r="F864" s="82"/>
      <c r="G864" s="82"/>
      <c r="H864" s="86"/>
      <c r="I864" s="294" t="str">
        <f t="shared" si="45"/>
        <v/>
      </c>
      <c r="J864" s="59"/>
      <c r="K864" s="83"/>
      <c r="L864" s="83" t="str">
        <f t="shared" si="42"/>
        <v xml:space="preserve">
</v>
      </c>
      <c r="M864" s="83"/>
      <c r="N864" s="59"/>
      <c r="O864" s="59"/>
      <c r="P864" s="86" t="e">
        <f t="shared" si="43"/>
        <v>#VALUE!</v>
      </c>
      <c r="Q864" s="59"/>
      <c r="R864" s="59"/>
      <c r="S864" s="59"/>
      <c r="T864" s="59"/>
      <c r="U864" s="290"/>
      <c r="V864" s="290"/>
      <c r="W864" s="290"/>
      <c r="X864" s="290"/>
      <c r="Y864" s="290"/>
      <c r="Z864" s="290"/>
      <c r="AA864" s="290"/>
      <c r="AB864" s="290"/>
      <c r="AC864" s="290"/>
      <c r="AD864" s="290"/>
    </row>
    <row r="865" spans="1:30" ht="25.5">
      <c r="A865" s="291" t="str">
        <f t="shared" si="44"/>
        <v/>
      </c>
      <c r="B865" s="291" t="s">
        <v>2368</v>
      </c>
      <c r="C865" s="291" t="str">
        <f>IF(D864="","",UNIT!$B$1&amp;"-"&amp;B865)</f>
        <v/>
      </c>
      <c r="D865" s="83"/>
      <c r="E865" s="59"/>
      <c r="F865" s="82"/>
      <c r="G865" s="82"/>
      <c r="H865" s="86"/>
      <c r="I865" s="294" t="str">
        <f t="shared" si="45"/>
        <v/>
      </c>
      <c r="J865" s="59"/>
      <c r="K865" s="83"/>
      <c r="L865" s="83" t="str">
        <f t="shared" si="42"/>
        <v xml:space="preserve">
</v>
      </c>
      <c r="M865" s="83"/>
      <c r="N865" s="59"/>
      <c r="O865" s="59"/>
      <c r="P865" s="86" t="e">
        <f t="shared" si="43"/>
        <v>#VALUE!</v>
      </c>
      <c r="Q865" s="59"/>
      <c r="R865" s="59"/>
      <c r="S865" s="59"/>
      <c r="T865" s="59"/>
      <c r="U865" s="290"/>
      <c r="V865" s="290"/>
      <c r="W865" s="290"/>
      <c r="X865" s="290"/>
      <c r="Y865" s="290"/>
      <c r="Z865" s="290"/>
      <c r="AA865" s="290"/>
      <c r="AB865" s="290"/>
      <c r="AC865" s="290"/>
      <c r="AD865" s="290"/>
    </row>
    <row r="866" spans="1:30" ht="25.5">
      <c r="A866" s="291" t="str">
        <f t="shared" si="44"/>
        <v/>
      </c>
      <c r="B866" s="291" t="s">
        <v>2369</v>
      </c>
      <c r="C866" s="291" t="str">
        <f>IF(D865="","",UNIT!$B$1&amp;"-"&amp;B866)</f>
        <v/>
      </c>
      <c r="D866" s="83"/>
      <c r="E866" s="59"/>
      <c r="F866" s="82"/>
      <c r="G866" s="82"/>
      <c r="H866" s="86"/>
      <c r="I866" s="294" t="str">
        <f t="shared" si="45"/>
        <v/>
      </c>
      <c r="J866" s="59"/>
      <c r="K866" s="83"/>
      <c r="L866" s="83" t="str">
        <f t="shared" si="42"/>
        <v xml:space="preserve">
</v>
      </c>
      <c r="M866" s="83"/>
      <c r="N866" s="59"/>
      <c r="O866" s="59"/>
      <c r="P866" s="86" t="e">
        <f t="shared" si="43"/>
        <v>#VALUE!</v>
      </c>
      <c r="Q866" s="59"/>
      <c r="R866" s="59"/>
      <c r="S866" s="59"/>
      <c r="T866" s="59"/>
      <c r="U866" s="290"/>
      <c r="V866" s="290"/>
      <c r="W866" s="290"/>
      <c r="X866" s="290"/>
      <c r="Y866" s="290"/>
      <c r="Z866" s="290"/>
      <c r="AA866" s="290"/>
      <c r="AB866" s="290"/>
      <c r="AC866" s="290"/>
      <c r="AD866" s="290"/>
    </row>
    <row r="867" spans="1:30" ht="25.5">
      <c r="A867" s="291" t="str">
        <f t="shared" si="44"/>
        <v/>
      </c>
      <c r="B867" s="291" t="s">
        <v>2370</v>
      </c>
      <c r="C867" s="291" t="str">
        <f>IF(D866="","",UNIT!$B$1&amp;"-"&amp;B867)</f>
        <v/>
      </c>
      <c r="D867" s="83"/>
      <c r="E867" s="59"/>
      <c r="F867" s="82"/>
      <c r="G867" s="82"/>
      <c r="H867" s="86"/>
      <c r="I867" s="294" t="str">
        <f t="shared" si="45"/>
        <v/>
      </c>
      <c r="J867" s="59"/>
      <c r="K867" s="83"/>
      <c r="L867" s="83" t="str">
        <f t="shared" si="42"/>
        <v xml:space="preserve">
</v>
      </c>
      <c r="M867" s="83"/>
      <c r="N867" s="59"/>
      <c r="O867" s="59"/>
      <c r="P867" s="86" t="e">
        <f t="shared" si="43"/>
        <v>#VALUE!</v>
      </c>
      <c r="Q867" s="59"/>
      <c r="R867" s="59"/>
      <c r="S867" s="59"/>
      <c r="T867" s="59"/>
      <c r="U867" s="290"/>
      <c r="V867" s="290"/>
      <c r="W867" s="290"/>
      <c r="X867" s="290"/>
      <c r="Y867" s="290"/>
      <c r="Z867" s="290"/>
      <c r="AA867" s="290"/>
      <c r="AB867" s="290"/>
      <c r="AC867" s="290"/>
      <c r="AD867" s="290"/>
    </row>
    <row r="868" spans="1:30" ht="25.5">
      <c r="A868" s="291" t="str">
        <f t="shared" si="44"/>
        <v/>
      </c>
      <c r="B868" s="291" t="s">
        <v>2371</v>
      </c>
      <c r="C868" s="291" t="str">
        <f>IF(D867="","",UNIT!$B$1&amp;"-"&amp;B868)</f>
        <v/>
      </c>
      <c r="D868" s="83"/>
      <c r="E868" s="59"/>
      <c r="F868" s="82"/>
      <c r="G868" s="82"/>
      <c r="H868" s="86"/>
      <c r="I868" s="294" t="str">
        <f t="shared" si="45"/>
        <v/>
      </c>
      <c r="J868" s="59"/>
      <c r="K868" s="83"/>
      <c r="L868" s="83" t="str">
        <f t="shared" si="42"/>
        <v xml:space="preserve">
</v>
      </c>
      <c r="M868" s="83"/>
      <c r="N868" s="59"/>
      <c r="O868" s="59"/>
      <c r="P868" s="86" t="e">
        <f t="shared" si="43"/>
        <v>#VALUE!</v>
      </c>
      <c r="Q868" s="59"/>
      <c r="R868" s="59"/>
      <c r="S868" s="59"/>
      <c r="T868" s="59"/>
      <c r="U868" s="290"/>
      <c r="V868" s="290"/>
      <c r="W868" s="290"/>
      <c r="X868" s="290"/>
      <c r="Y868" s="290"/>
      <c r="Z868" s="290"/>
      <c r="AA868" s="290"/>
      <c r="AB868" s="290"/>
      <c r="AC868" s="290"/>
      <c r="AD868" s="290"/>
    </row>
    <row r="869" spans="1:30" ht="25.5">
      <c r="A869" s="291" t="str">
        <f t="shared" si="44"/>
        <v/>
      </c>
      <c r="B869" s="291" t="s">
        <v>2372</v>
      </c>
      <c r="C869" s="291" t="str">
        <f>IF(D868="","",UNIT!$B$1&amp;"-"&amp;B869)</f>
        <v/>
      </c>
      <c r="D869" s="83"/>
      <c r="E869" s="59"/>
      <c r="F869" s="82"/>
      <c r="G869" s="82"/>
      <c r="H869" s="86"/>
      <c r="I869" s="294" t="str">
        <f t="shared" si="45"/>
        <v/>
      </c>
      <c r="J869" s="59"/>
      <c r="K869" s="83"/>
      <c r="L869" s="83" t="str">
        <f t="shared" si="42"/>
        <v xml:space="preserve">
</v>
      </c>
      <c r="M869" s="83"/>
      <c r="N869" s="59"/>
      <c r="O869" s="59"/>
      <c r="P869" s="86" t="e">
        <f t="shared" si="43"/>
        <v>#VALUE!</v>
      </c>
      <c r="Q869" s="59"/>
      <c r="R869" s="59"/>
      <c r="S869" s="59"/>
      <c r="T869" s="59"/>
      <c r="U869" s="290"/>
      <c r="V869" s="290"/>
      <c r="W869" s="290"/>
      <c r="X869" s="290"/>
      <c r="Y869" s="290"/>
      <c r="Z869" s="290"/>
      <c r="AA869" s="290"/>
      <c r="AB869" s="290"/>
      <c r="AC869" s="290"/>
      <c r="AD869" s="290"/>
    </row>
    <row r="870" spans="1:30" ht="25.5">
      <c r="A870" s="291" t="str">
        <f t="shared" si="44"/>
        <v/>
      </c>
      <c r="B870" s="291" t="s">
        <v>2373</v>
      </c>
      <c r="C870" s="291" t="str">
        <f>IF(D869="","",UNIT!$B$1&amp;"-"&amp;B870)</f>
        <v/>
      </c>
      <c r="D870" s="83"/>
      <c r="E870" s="59"/>
      <c r="F870" s="82"/>
      <c r="G870" s="82"/>
      <c r="H870" s="86"/>
      <c r="I870" s="294" t="str">
        <f t="shared" si="45"/>
        <v/>
      </c>
      <c r="J870" s="59"/>
      <c r="K870" s="83"/>
      <c r="L870" s="83" t="str">
        <f t="shared" si="42"/>
        <v xml:space="preserve">
</v>
      </c>
      <c r="M870" s="83"/>
      <c r="N870" s="59"/>
      <c r="O870" s="59"/>
      <c r="P870" s="86" t="e">
        <f t="shared" si="43"/>
        <v>#VALUE!</v>
      </c>
      <c r="Q870" s="59"/>
      <c r="R870" s="59"/>
      <c r="S870" s="59"/>
      <c r="T870" s="59"/>
      <c r="U870" s="290"/>
      <c r="V870" s="290"/>
      <c r="W870" s="290"/>
      <c r="X870" s="290"/>
      <c r="Y870" s="290"/>
      <c r="Z870" s="290"/>
      <c r="AA870" s="290"/>
      <c r="AB870" s="290"/>
      <c r="AC870" s="290"/>
      <c r="AD870" s="290"/>
    </row>
    <row r="871" spans="1:30" ht="25.5">
      <c r="A871" s="291" t="str">
        <f t="shared" si="44"/>
        <v/>
      </c>
      <c r="B871" s="291" t="s">
        <v>2374</v>
      </c>
      <c r="C871" s="291" t="str">
        <f>IF(D870="","",UNIT!$B$1&amp;"-"&amp;B871)</f>
        <v/>
      </c>
      <c r="D871" s="83"/>
      <c r="E871" s="59"/>
      <c r="F871" s="82"/>
      <c r="G871" s="82"/>
      <c r="H871" s="86"/>
      <c r="I871" s="294" t="str">
        <f t="shared" si="45"/>
        <v/>
      </c>
      <c r="J871" s="59"/>
      <c r="K871" s="83"/>
      <c r="L871" s="83" t="str">
        <f t="shared" si="42"/>
        <v xml:space="preserve">
</v>
      </c>
      <c r="M871" s="83"/>
      <c r="N871" s="59"/>
      <c r="O871" s="59"/>
      <c r="P871" s="86" t="e">
        <f t="shared" si="43"/>
        <v>#VALUE!</v>
      </c>
      <c r="Q871" s="59"/>
      <c r="R871" s="59"/>
      <c r="S871" s="59"/>
      <c r="T871" s="59"/>
      <c r="U871" s="290"/>
      <c r="V871" s="290"/>
      <c r="W871" s="290"/>
      <c r="X871" s="290"/>
      <c r="Y871" s="290"/>
      <c r="Z871" s="290"/>
      <c r="AA871" s="290"/>
      <c r="AB871" s="290"/>
      <c r="AC871" s="290"/>
      <c r="AD871" s="290"/>
    </row>
    <row r="872" spans="1:30" ht="25.5">
      <c r="A872" s="291" t="str">
        <f t="shared" si="44"/>
        <v/>
      </c>
      <c r="B872" s="291" t="s">
        <v>2375</v>
      </c>
      <c r="C872" s="291" t="str">
        <f>IF(D871="","",UNIT!$B$1&amp;"-"&amp;B872)</f>
        <v/>
      </c>
      <c r="D872" s="83"/>
      <c r="E872" s="59"/>
      <c r="F872" s="82"/>
      <c r="G872" s="82"/>
      <c r="H872" s="86"/>
      <c r="I872" s="294" t="str">
        <f t="shared" si="45"/>
        <v/>
      </c>
      <c r="J872" s="59"/>
      <c r="K872" s="83"/>
      <c r="L872" s="83" t="str">
        <f t="shared" si="42"/>
        <v xml:space="preserve">
</v>
      </c>
      <c r="M872" s="83"/>
      <c r="N872" s="59"/>
      <c r="O872" s="59"/>
      <c r="P872" s="86" t="e">
        <f t="shared" si="43"/>
        <v>#VALUE!</v>
      </c>
      <c r="Q872" s="59"/>
      <c r="R872" s="59"/>
      <c r="S872" s="59"/>
      <c r="T872" s="59"/>
      <c r="U872" s="290"/>
      <c r="V872" s="290"/>
      <c r="W872" s="290"/>
      <c r="X872" s="290"/>
      <c r="Y872" s="290"/>
      <c r="Z872" s="290"/>
      <c r="AA872" s="290"/>
      <c r="AB872" s="290"/>
      <c r="AC872" s="290"/>
      <c r="AD872" s="290"/>
    </row>
    <row r="873" spans="1:30" ht="25.5">
      <c r="A873" s="291" t="str">
        <f t="shared" si="44"/>
        <v/>
      </c>
      <c r="B873" s="291" t="s">
        <v>2376</v>
      </c>
      <c r="C873" s="291" t="str">
        <f>IF(D872="","",UNIT!$B$1&amp;"-"&amp;B873)</f>
        <v/>
      </c>
      <c r="D873" s="83"/>
      <c r="E873" s="59"/>
      <c r="F873" s="82"/>
      <c r="G873" s="82"/>
      <c r="H873" s="86"/>
      <c r="I873" s="294" t="str">
        <f t="shared" si="45"/>
        <v/>
      </c>
      <c r="J873" s="59"/>
      <c r="K873" s="83"/>
      <c r="L873" s="83" t="str">
        <f t="shared" si="42"/>
        <v xml:space="preserve">
</v>
      </c>
      <c r="M873" s="83"/>
      <c r="N873" s="59"/>
      <c r="O873" s="59"/>
      <c r="P873" s="86" t="e">
        <f t="shared" si="43"/>
        <v>#VALUE!</v>
      </c>
      <c r="Q873" s="59"/>
      <c r="R873" s="59"/>
      <c r="S873" s="59"/>
      <c r="T873" s="59"/>
      <c r="U873" s="290"/>
      <c r="V873" s="290"/>
      <c r="W873" s="290"/>
      <c r="X873" s="290"/>
      <c r="Y873" s="290"/>
      <c r="Z873" s="290"/>
      <c r="AA873" s="290"/>
      <c r="AB873" s="290"/>
      <c r="AC873" s="290"/>
      <c r="AD873" s="290"/>
    </row>
    <row r="874" spans="1:30" ht="25.5">
      <c r="A874" s="291" t="str">
        <f t="shared" si="44"/>
        <v/>
      </c>
      <c r="B874" s="291" t="s">
        <v>2377</v>
      </c>
      <c r="C874" s="291" t="str">
        <f>IF(D873="","",UNIT!$B$1&amp;"-"&amp;B874)</f>
        <v/>
      </c>
      <c r="D874" s="83"/>
      <c r="E874" s="59"/>
      <c r="F874" s="82"/>
      <c r="G874" s="82"/>
      <c r="H874" s="86"/>
      <c r="I874" s="294" t="str">
        <f t="shared" si="45"/>
        <v/>
      </c>
      <c r="J874" s="59"/>
      <c r="K874" s="83"/>
      <c r="L874" s="83" t="str">
        <f t="shared" si="42"/>
        <v xml:space="preserve">
</v>
      </c>
      <c r="M874" s="83"/>
      <c r="N874" s="59"/>
      <c r="O874" s="59"/>
      <c r="P874" s="86" t="e">
        <f t="shared" si="43"/>
        <v>#VALUE!</v>
      </c>
      <c r="Q874" s="59"/>
      <c r="R874" s="59"/>
      <c r="S874" s="59"/>
      <c r="T874" s="59"/>
      <c r="U874" s="290"/>
      <c r="V874" s="290"/>
      <c r="W874" s="290"/>
      <c r="X874" s="290"/>
      <c r="Y874" s="290"/>
      <c r="Z874" s="290"/>
      <c r="AA874" s="290"/>
      <c r="AB874" s="290"/>
      <c r="AC874" s="290"/>
      <c r="AD874" s="290"/>
    </row>
    <row r="875" spans="1:30" ht="25.5">
      <c r="A875" s="291" t="str">
        <f t="shared" si="44"/>
        <v/>
      </c>
      <c r="B875" s="291" t="s">
        <v>2378</v>
      </c>
      <c r="C875" s="291" t="str">
        <f>IF(D874="","",UNIT!$B$1&amp;"-"&amp;B875)</f>
        <v/>
      </c>
      <c r="D875" s="83"/>
      <c r="E875" s="59"/>
      <c r="F875" s="82"/>
      <c r="G875" s="82"/>
      <c r="H875" s="86"/>
      <c r="I875" s="294" t="str">
        <f t="shared" si="45"/>
        <v/>
      </c>
      <c r="J875" s="59"/>
      <c r="K875" s="83"/>
      <c r="L875" s="83" t="str">
        <f t="shared" si="42"/>
        <v xml:space="preserve">
</v>
      </c>
      <c r="M875" s="83"/>
      <c r="N875" s="59"/>
      <c r="O875" s="59"/>
      <c r="P875" s="86" t="e">
        <f t="shared" si="43"/>
        <v>#VALUE!</v>
      </c>
      <c r="Q875" s="59"/>
      <c r="R875" s="59"/>
      <c r="S875" s="59"/>
      <c r="T875" s="59"/>
      <c r="U875" s="290"/>
      <c r="V875" s="290"/>
      <c r="W875" s="290"/>
      <c r="X875" s="290"/>
      <c r="Y875" s="290"/>
      <c r="Z875" s="290"/>
      <c r="AA875" s="290"/>
      <c r="AB875" s="290"/>
      <c r="AC875" s="290"/>
      <c r="AD875" s="290"/>
    </row>
    <row r="876" spans="1:30" ht="25.5">
      <c r="A876" s="291" t="str">
        <f t="shared" si="44"/>
        <v/>
      </c>
      <c r="B876" s="291" t="s">
        <v>2379</v>
      </c>
      <c r="C876" s="291" t="str">
        <f>IF(D875="","",UNIT!$B$1&amp;"-"&amp;B876)</f>
        <v/>
      </c>
      <c r="D876" s="83"/>
      <c r="E876" s="59"/>
      <c r="F876" s="82"/>
      <c r="G876" s="82"/>
      <c r="H876" s="86"/>
      <c r="I876" s="294" t="str">
        <f t="shared" si="45"/>
        <v/>
      </c>
      <c r="J876" s="59"/>
      <c r="K876" s="83"/>
      <c r="L876" s="83" t="str">
        <f t="shared" si="42"/>
        <v xml:space="preserve">
</v>
      </c>
      <c r="M876" s="83"/>
      <c r="N876" s="59"/>
      <c r="O876" s="59"/>
      <c r="P876" s="86" t="e">
        <f t="shared" si="43"/>
        <v>#VALUE!</v>
      </c>
      <c r="Q876" s="59"/>
      <c r="R876" s="59"/>
      <c r="S876" s="59"/>
      <c r="T876" s="59"/>
      <c r="U876" s="290"/>
      <c r="V876" s="290"/>
      <c r="W876" s="290"/>
      <c r="X876" s="290"/>
      <c r="Y876" s="290"/>
      <c r="Z876" s="290"/>
      <c r="AA876" s="290"/>
      <c r="AB876" s="290"/>
      <c r="AC876" s="290"/>
      <c r="AD876" s="290"/>
    </row>
    <row r="877" spans="1:30" ht="25.5">
      <c r="A877" s="291" t="str">
        <f t="shared" si="44"/>
        <v/>
      </c>
      <c r="B877" s="291" t="s">
        <v>2380</v>
      </c>
      <c r="C877" s="291" t="str">
        <f>IF(D876="","",UNIT!$B$1&amp;"-"&amp;B877)</f>
        <v/>
      </c>
      <c r="D877" s="83"/>
      <c r="E877" s="59"/>
      <c r="F877" s="82"/>
      <c r="G877" s="82"/>
      <c r="H877" s="86"/>
      <c r="I877" s="294" t="str">
        <f t="shared" si="45"/>
        <v/>
      </c>
      <c r="J877" s="59"/>
      <c r="K877" s="83"/>
      <c r="L877" s="83" t="str">
        <f t="shared" si="42"/>
        <v xml:space="preserve">
</v>
      </c>
      <c r="M877" s="83"/>
      <c r="N877" s="59"/>
      <c r="O877" s="59"/>
      <c r="P877" s="86" t="e">
        <f t="shared" si="43"/>
        <v>#VALUE!</v>
      </c>
      <c r="Q877" s="59"/>
      <c r="R877" s="59"/>
      <c r="S877" s="59"/>
      <c r="T877" s="59"/>
      <c r="U877" s="290"/>
      <c r="V877" s="290"/>
      <c r="W877" s="290"/>
      <c r="X877" s="290"/>
      <c r="Y877" s="290"/>
      <c r="Z877" s="290"/>
      <c r="AA877" s="290"/>
      <c r="AB877" s="290"/>
      <c r="AC877" s="290"/>
      <c r="AD877" s="290"/>
    </row>
    <row r="878" spans="1:30" ht="25.5">
      <c r="A878" s="291" t="str">
        <f t="shared" si="44"/>
        <v/>
      </c>
      <c r="B878" s="291" t="s">
        <v>2381</v>
      </c>
      <c r="C878" s="291" t="str">
        <f>IF(D877="","",UNIT!$B$1&amp;"-"&amp;B878)</f>
        <v/>
      </c>
      <c r="D878" s="83"/>
      <c r="E878" s="59"/>
      <c r="F878" s="82"/>
      <c r="G878" s="82"/>
      <c r="H878" s="86"/>
      <c r="I878" s="294" t="str">
        <f t="shared" si="45"/>
        <v/>
      </c>
      <c r="J878" s="59"/>
      <c r="K878" s="83"/>
      <c r="L878" s="83" t="str">
        <f t="shared" si="42"/>
        <v xml:space="preserve">
</v>
      </c>
      <c r="M878" s="83"/>
      <c r="N878" s="59"/>
      <c r="O878" s="59"/>
      <c r="P878" s="86" t="e">
        <f t="shared" si="43"/>
        <v>#VALUE!</v>
      </c>
      <c r="Q878" s="59"/>
      <c r="R878" s="59"/>
      <c r="S878" s="59"/>
      <c r="T878" s="59"/>
      <c r="U878" s="290"/>
      <c r="V878" s="290"/>
      <c r="W878" s="290"/>
      <c r="X878" s="290"/>
      <c r="Y878" s="290"/>
      <c r="Z878" s="290"/>
      <c r="AA878" s="290"/>
      <c r="AB878" s="290"/>
      <c r="AC878" s="290"/>
      <c r="AD878" s="290"/>
    </row>
    <row r="879" spans="1:30" ht="25.5">
      <c r="A879" s="291" t="str">
        <f t="shared" si="44"/>
        <v/>
      </c>
      <c r="B879" s="291" t="s">
        <v>2382</v>
      </c>
      <c r="C879" s="291" t="str">
        <f>IF(D878="","",UNIT!$B$1&amp;"-"&amp;B879)</f>
        <v/>
      </c>
      <c r="D879" s="83"/>
      <c r="E879" s="59"/>
      <c r="F879" s="82"/>
      <c r="G879" s="82"/>
      <c r="H879" s="86"/>
      <c r="I879" s="294" t="str">
        <f t="shared" si="45"/>
        <v/>
      </c>
      <c r="J879" s="59"/>
      <c r="K879" s="83"/>
      <c r="L879" s="83" t="str">
        <f t="shared" si="42"/>
        <v xml:space="preserve">
</v>
      </c>
      <c r="M879" s="83"/>
      <c r="N879" s="59"/>
      <c r="O879" s="59"/>
      <c r="P879" s="86" t="e">
        <f t="shared" si="43"/>
        <v>#VALUE!</v>
      </c>
      <c r="Q879" s="59"/>
      <c r="R879" s="59"/>
      <c r="S879" s="59"/>
      <c r="T879" s="59"/>
      <c r="U879" s="290"/>
      <c r="V879" s="290"/>
      <c r="W879" s="290"/>
      <c r="X879" s="290"/>
      <c r="Y879" s="290"/>
      <c r="Z879" s="290"/>
      <c r="AA879" s="290"/>
      <c r="AB879" s="290"/>
      <c r="AC879" s="290"/>
      <c r="AD879" s="290"/>
    </row>
    <row r="880" spans="1:30" ht="25.5">
      <c r="A880" s="291" t="str">
        <f t="shared" si="44"/>
        <v/>
      </c>
      <c r="B880" s="291" t="s">
        <v>2383</v>
      </c>
      <c r="C880" s="291" t="str">
        <f>IF(D879="","",UNIT!$B$1&amp;"-"&amp;B880)</f>
        <v/>
      </c>
      <c r="D880" s="83"/>
      <c r="E880" s="59"/>
      <c r="F880" s="82"/>
      <c r="G880" s="82"/>
      <c r="H880" s="86"/>
      <c r="I880" s="294" t="str">
        <f t="shared" si="45"/>
        <v/>
      </c>
      <c r="J880" s="59"/>
      <c r="K880" s="83"/>
      <c r="L880" s="83" t="str">
        <f t="shared" si="42"/>
        <v xml:space="preserve">
</v>
      </c>
      <c r="M880" s="83"/>
      <c r="N880" s="59"/>
      <c r="O880" s="59"/>
      <c r="P880" s="86" t="e">
        <f t="shared" si="43"/>
        <v>#VALUE!</v>
      </c>
      <c r="Q880" s="59"/>
      <c r="R880" s="59"/>
      <c r="S880" s="59"/>
      <c r="T880" s="59"/>
      <c r="U880" s="290"/>
      <c r="V880" s="290"/>
      <c r="W880" s="290"/>
      <c r="X880" s="290"/>
      <c r="Y880" s="290"/>
      <c r="Z880" s="290"/>
      <c r="AA880" s="290"/>
      <c r="AB880" s="290"/>
      <c r="AC880" s="290"/>
      <c r="AD880" s="290"/>
    </row>
    <row r="881" spans="1:30" ht="25.5">
      <c r="A881" s="291" t="str">
        <f t="shared" si="44"/>
        <v/>
      </c>
      <c r="B881" s="291" t="s">
        <v>2384</v>
      </c>
      <c r="C881" s="291" t="str">
        <f>IF(D880="","",UNIT!$B$1&amp;"-"&amp;B881)</f>
        <v/>
      </c>
      <c r="D881" s="83"/>
      <c r="E881" s="59"/>
      <c r="F881" s="82"/>
      <c r="G881" s="82"/>
      <c r="H881" s="86"/>
      <c r="I881" s="294" t="str">
        <f t="shared" si="45"/>
        <v/>
      </c>
      <c r="J881" s="59"/>
      <c r="K881" s="83"/>
      <c r="L881" s="83" t="str">
        <f t="shared" si="42"/>
        <v xml:space="preserve">
</v>
      </c>
      <c r="M881" s="83"/>
      <c r="N881" s="59"/>
      <c r="O881" s="59"/>
      <c r="P881" s="86" t="e">
        <f t="shared" si="43"/>
        <v>#VALUE!</v>
      </c>
      <c r="Q881" s="59"/>
      <c r="R881" s="59"/>
      <c r="S881" s="59"/>
      <c r="T881" s="59"/>
      <c r="U881" s="290"/>
      <c r="V881" s="290"/>
      <c r="W881" s="290"/>
      <c r="X881" s="290"/>
      <c r="Y881" s="290"/>
      <c r="Z881" s="290"/>
      <c r="AA881" s="290"/>
      <c r="AB881" s="290"/>
      <c r="AC881" s="290"/>
      <c r="AD881" s="290"/>
    </row>
    <row r="882" spans="1:30" ht="25.5">
      <c r="A882" s="291" t="str">
        <f t="shared" si="44"/>
        <v/>
      </c>
      <c r="B882" s="291" t="s">
        <v>2385</v>
      </c>
      <c r="C882" s="291" t="str">
        <f>IF(D881="","",UNIT!$B$1&amp;"-"&amp;B882)</f>
        <v/>
      </c>
      <c r="D882" s="83"/>
      <c r="E882" s="59"/>
      <c r="F882" s="82"/>
      <c r="G882" s="82"/>
      <c r="H882" s="86"/>
      <c r="I882" s="294" t="str">
        <f t="shared" si="45"/>
        <v/>
      </c>
      <c r="J882" s="59"/>
      <c r="K882" s="83"/>
      <c r="L882" s="83" t="str">
        <f t="shared" si="42"/>
        <v xml:space="preserve">
</v>
      </c>
      <c r="M882" s="83"/>
      <c r="N882" s="59"/>
      <c r="O882" s="59"/>
      <c r="P882" s="86" t="e">
        <f t="shared" si="43"/>
        <v>#VALUE!</v>
      </c>
      <c r="Q882" s="59"/>
      <c r="R882" s="59"/>
      <c r="S882" s="59"/>
      <c r="T882" s="59"/>
      <c r="U882" s="290"/>
      <c r="V882" s="290"/>
      <c r="W882" s="290"/>
      <c r="X882" s="290"/>
      <c r="Y882" s="290"/>
      <c r="Z882" s="290"/>
      <c r="AA882" s="290"/>
      <c r="AB882" s="290"/>
      <c r="AC882" s="290"/>
      <c r="AD882" s="290"/>
    </row>
    <row r="883" spans="1:30" ht="25.5">
      <c r="A883" s="291" t="str">
        <f t="shared" si="44"/>
        <v/>
      </c>
      <c r="B883" s="291" t="s">
        <v>2386</v>
      </c>
      <c r="C883" s="291" t="str">
        <f>IF(D882="","",UNIT!$B$1&amp;"-"&amp;B883)</f>
        <v/>
      </c>
      <c r="D883" s="83"/>
      <c r="E883" s="59"/>
      <c r="F883" s="82"/>
      <c r="G883" s="82"/>
      <c r="H883" s="86"/>
      <c r="I883" s="294" t="str">
        <f t="shared" si="45"/>
        <v/>
      </c>
      <c r="J883" s="59"/>
      <c r="K883" s="83"/>
      <c r="L883" s="83" t="str">
        <f t="shared" si="42"/>
        <v xml:space="preserve">
</v>
      </c>
      <c r="M883" s="83"/>
      <c r="N883" s="59"/>
      <c r="O883" s="59"/>
      <c r="P883" s="86" t="e">
        <f t="shared" si="43"/>
        <v>#VALUE!</v>
      </c>
      <c r="Q883" s="59"/>
      <c r="R883" s="59"/>
      <c r="S883" s="59"/>
      <c r="T883" s="59"/>
      <c r="U883" s="290"/>
      <c r="V883" s="290"/>
      <c r="W883" s="290"/>
      <c r="X883" s="290"/>
      <c r="Y883" s="290"/>
      <c r="Z883" s="290"/>
      <c r="AA883" s="290"/>
      <c r="AB883" s="290"/>
      <c r="AC883" s="290"/>
      <c r="AD883" s="290"/>
    </row>
    <row r="884" spans="1:30" ht="25.5">
      <c r="A884" s="291" t="str">
        <f t="shared" si="44"/>
        <v/>
      </c>
      <c r="B884" s="291" t="s">
        <v>2387</v>
      </c>
      <c r="C884" s="291" t="str">
        <f>IF(D883="","",UNIT!$B$1&amp;"-"&amp;B884)</f>
        <v/>
      </c>
      <c r="D884" s="83"/>
      <c r="E884" s="59"/>
      <c r="F884" s="82"/>
      <c r="G884" s="82"/>
      <c r="H884" s="86"/>
      <c r="I884" s="294" t="str">
        <f t="shared" si="45"/>
        <v/>
      </c>
      <c r="J884" s="59"/>
      <c r="K884" s="83"/>
      <c r="L884" s="83" t="str">
        <f t="shared" si="42"/>
        <v xml:space="preserve">
</v>
      </c>
      <c r="M884" s="83"/>
      <c r="N884" s="59"/>
      <c r="O884" s="59"/>
      <c r="P884" s="86" t="e">
        <f t="shared" si="43"/>
        <v>#VALUE!</v>
      </c>
      <c r="Q884" s="59"/>
      <c r="R884" s="59"/>
      <c r="S884" s="59"/>
      <c r="T884" s="59"/>
      <c r="U884" s="290"/>
      <c r="V884" s="290"/>
      <c r="W884" s="290"/>
      <c r="X884" s="290"/>
      <c r="Y884" s="290"/>
      <c r="Z884" s="290"/>
      <c r="AA884" s="290"/>
      <c r="AB884" s="290"/>
      <c r="AC884" s="290"/>
      <c r="AD884" s="290"/>
    </row>
    <row r="885" spans="1:30" ht="25.5">
      <c r="A885" s="291" t="str">
        <f t="shared" si="44"/>
        <v/>
      </c>
      <c r="B885" s="291" t="s">
        <v>2388</v>
      </c>
      <c r="C885" s="291" t="str">
        <f>IF(D884="","",UNIT!$B$1&amp;"-"&amp;B885)</f>
        <v/>
      </c>
      <c r="D885" s="83"/>
      <c r="E885" s="59"/>
      <c r="F885" s="82"/>
      <c r="G885" s="82"/>
      <c r="H885" s="86"/>
      <c r="I885" s="294" t="str">
        <f t="shared" si="45"/>
        <v/>
      </c>
      <c r="J885" s="59"/>
      <c r="K885" s="83"/>
      <c r="L885" s="83" t="str">
        <f t="shared" si="42"/>
        <v xml:space="preserve">
</v>
      </c>
      <c r="M885" s="83"/>
      <c r="N885" s="59"/>
      <c r="O885" s="59"/>
      <c r="P885" s="86" t="e">
        <f t="shared" si="43"/>
        <v>#VALUE!</v>
      </c>
      <c r="Q885" s="59"/>
      <c r="R885" s="59"/>
      <c r="S885" s="59"/>
      <c r="T885" s="59"/>
      <c r="U885" s="290"/>
      <c r="V885" s="290"/>
      <c r="W885" s="290"/>
      <c r="X885" s="290"/>
      <c r="Y885" s="290"/>
      <c r="Z885" s="290"/>
      <c r="AA885" s="290"/>
      <c r="AB885" s="290"/>
      <c r="AC885" s="290"/>
      <c r="AD885" s="290"/>
    </row>
    <row r="886" spans="1:30" ht="25.5">
      <c r="A886" s="291" t="str">
        <f t="shared" si="44"/>
        <v/>
      </c>
      <c r="B886" s="291" t="s">
        <v>2389</v>
      </c>
      <c r="C886" s="291" t="str">
        <f>IF(D885="","",UNIT!$B$1&amp;"-"&amp;B886)</f>
        <v/>
      </c>
      <c r="D886" s="83"/>
      <c r="E886" s="59"/>
      <c r="F886" s="82"/>
      <c r="G886" s="82"/>
      <c r="H886" s="86"/>
      <c r="I886" s="294" t="str">
        <f t="shared" si="45"/>
        <v/>
      </c>
      <c r="J886" s="59"/>
      <c r="K886" s="83"/>
      <c r="L886" s="83" t="str">
        <f t="shared" si="42"/>
        <v xml:space="preserve">
</v>
      </c>
      <c r="M886" s="83"/>
      <c r="N886" s="59"/>
      <c r="O886" s="59"/>
      <c r="P886" s="86" t="e">
        <f t="shared" si="43"/>
        <v>#VALUE!</v>
      </c>
      <c r="Q886" s="59"/>
      <c r="R886" s="59"/>
      <c r="S886" s="59"/>
      <c r="T886" s="59"/>
      <c r="U886" s="290"/>
      <c r="V886" s="290"/>
      <c r="W886" s="290"/>
      <c r="X886" s="290"/>
      <c r="Y886" s="290"/>
      <c r="Z886" s="290"/>
      <c r="AA886" s="290"/>
      <c r="AB886" s="290"/>
      <c r="AC886" s="290"/>
      <c r="AD886" s="290"/>
    </row>
    <row r="887" spans="1:30" ht="25.5">
      <c r="A887" s="291" t="str">
        <f t="shared" si="44"/>
        <v/>
      </c>
      <c r="B887" s="291" t="s">
        <v>2390</v>
      </c>
      <c r="C887" s="291" t="str">
        <f>IF(D886="","",UNIT!$B$1&amp;"-"&amp;B887)</f>
        <v/>
      </c>
      <c r="D887" s="83"/>
      <c r="E887" s="59"/>
      <c r="F887" s="82"/>
      <c r="G887" s="82"/>
      <c r="H887" s="86"/>
      <c r="I887" s="294" t="str">
        <f t="shared" si="45"/>
        <v/>
      </c>
      <c r="J887" s="59"/>
      <c r="K887" s="83"/>
      <c r="L887" s="83" t="str">
        <f t="shared" si="42"/>
        <v xml:space="preserve">
</v>
      </c>
      <c r="M887" s="83"/>
      <c r="N887" s="59"/>
      <c r="O887" s="59"/>
      <c r="P887" s="86" t="e">
        <f t="shared" si="43"/>
        <v>#VALUE!</v>
      </c>
      <c r="Q887" s="59"/>
      <c r="R887" s="59"/>
      <c r="S887" s="59"/>
      <c r="T887" s="59"/>
      <c r="U887" s="290"/>
      <c r="V887" s="290"/>
      <c r="W887" s="290"/>
      <c r="X887" s="290"/>
      <c r="Y887" s="290"/>
      <c r="Z887" s="290"/>
      <c r="AA887" s="290"/>
      <c r="AB887" s="290"/>
      <c r="AC887" s="290"/>
      <c r="AD887" s="290"/>
    </row>
    <row r="888" spans="1:30" ht="25.5">
      <c r="A888" s="291" t="str">
        <f t="shared" si="44"/>
        <v/>
      </c>
      <c r="B888" s="291" t="s">
        <v>2391</v>
      </c>
      <c r="C888" s="291" t="str">
        <f>IF(D887="","",UNIT!$B$1&amp;"-"&amp;B888)</f>
        <v/>
      </c>
      <c r="D888" s="83"/>
      <c r="E888" s="59"/>
      <c r="F888" s="82"/>
      <c r="G888" s="82"/>
      <c r="H888" s="86"/>
      <c r="I888" s="294" t="str">
        <f t="shared" si="45"/>
        <v/>
      </c>
      <c r="J888" s="59"/>
      <c r="K888" s="83"/>
      <c r="L888" s="83" t="str">
        <f t="shared" si="42"/>
        <v xml:space="preserve">
</v>
      </c>
      <c r="M888" s="83"/>
      <c r="N888" s="59"/>
      <c r="O888" s="59"/>
      <c r="P888" s="86" t="e">
        <f t="shared" si="43"/>
        <v>#VALUE!</v>
      </c>
      <c r="Q888" s="59"/>
      <c r="R888" s="59"/>
      <c r="S888" s="59"/>
      <c r="T888" s="59"/>
      <c r="U888" s="290"/>
      <c r="V888" s="290"/>
      <c r="W888" s="290"/>
      <c r="X888" s="290"/>
      <c r="Y888" s="290"/>
      <c r="Z888" s="290"/>
      <c r="AA888" s="290"/>
      <c r="AB888" s="290"/>
      <c r="AC888" s="290"/>
      <c r="AD888" s="290"/>
    </row>
    <row r="889" spans="1:30" ht="25.5">
      <c r="A889" s="291" t="str">
        <f t="shared" si="44"/>
        <v/>
      </c>
      <c r="B889" s="291" t="s">
        <v>2392</v>
      </c>
      <c r="C889" s="291" t="str">
        <f>IF(D888="","",UNIT!$B$1&amp;"-"&amp;B889)</f>
        <v/>
      </c>
      <c r="D889" s="83"/>
      <c r="E889" s="59"/>
      <c r="F889" s="82"/>
      <c r="G889" s="82"/>
      <c r="H889" s="86"/>
      <c r="I889" s="294" t="str">
        <f t="shared" si="45"/>
        <v/>
      </c>
      <c r="J889" s="59"/>
      <c r="K889" s="83"/>
      <c r="L889" s="83" t="str">
        <f t="shared" si="42"/>
        <v xml:space="preserve">
</v>
      </c>
      <c r="M889" s="83"/>
      <c r="N889" s="59"/>
      <c r="O889" s="59"/>
      <c r="P889" s="86" t="e">
        <f t="shared" si="43"/>
        <v>#VALUE!</v>
      </c>
      <c r="Q889" s="59"/>
      <c r="R889" s="59"/>
      <c r="S889" s="59"/>
      <c r="T889" s="59"/>
      <c r="U889" s="290"/>
      <c r="V889" s="290"/>
      <c r="W889" s="290"/>
      <c r="X889" s="290"/>
      <c r="Y889" s="290"/>
      <c r="Z889" s="290"/>
      <c r="AA889" s="290"/>
      <c r="AB889" s="290"/>
      <c r="AC889" s="290"/>
      <c r="AD889" s="290"/>
    </row>
    <row r="890" spans="1:30" ht="25.5">
      <c r="A890" s="291" t="str">
        <f t="shared" si="44"/>
        <v/>
      </c>
      <c r="B890" s="291" t="s">
        <v>2393</v>
      </c>
      <c r="C890" s="291" t="str">
        <f>IF(D889="","",UNIT!$B$1&amp;"-"&amp;B890)</f>
        <v/>
      </c>
      <c r="D890" s="83"/>
      <c r="E890" s="59"/>
      <c r="F890" s="82"/>
      <c r="G890" s="82"/>
      <c r="H890" s="86"/>
      <c r="I890" s="294" t="str">
        <f t="shared" si="45"/>
        <v/>
      </c>
      <c r="J890" s="59"/>
      <c r="K890" s="83"/>
      <c r="L890" s="83" t="str">
        <f t="shared" si="42"/>
        <v xml:space="preserve">
</v>
      </c>
      <c r="M890" s="83"/>
      <c r="N890" s="59"/>
      <c r="O890" s="59"/>
      <c r="P890" s="86" t="e">
        <f t="shared" si="43"/>
        <v>#VALUE!</v>
      </c>
      <c r="Q890" s="59"/>
      <c r="R890" s="59"/>
      <c r="S890" s="59"/>
      <c r="T890" s="59"/>
      <c r="U890" s="290"/>
      <c r="V890" s="290"/>
      <c r="W890" s="290"/>
      <c r="X890" s="290"/>
      <c r="Y890" s="290"/>
      <c r="Z890" s="290"/>
      <c r="AA890" s="290"/>
      <c r="AB890" s="290"/>
      <c r="AC890" s="290"/>
      <c r="AD890" s="290"/>
    </row>
    <row r="891" spans="1:30" ht="25.5">
      <c r="A891" s="291" t="str">
        <f t="shared" si="44"/>
        <v/>
      </c>
      <c r="B891" s="291" t="s">
        <v>2394</v>
      </c>
      <c r="C891" s="291" t="str">
        <f>IF(D890="","",UNIT!$B$1&amp;"-"&amp;B891)</f>
        <v/>
      </c>
      <c r="D891" s="83"/>
      <c r="E891" s="59"/>
      <c r="F891" s="82"/>
      <c r="G891" s="82"/>
      <c r="H891" s="86"/>
      <c r="I891" s="294" t="str">
        <f t="shared" si="45"/>
        <v/>
      </c>
      <c r="J891" s="59"/>
      <c r="K891" s="83"/>
      <c r="L891" s="83" t="str">
        <f t="shared" si="42"/>
        <v xml:space="preserve">
</v>
      </c>
      <c r="M891" s="83"/>
      <c r="N891" s="59"/>
      <c r="O891" s="59"/>
      <c r="P891" s="86" t="e">
        <f t="shared" si="43"/>
        <v>#VALUE!</v>
      </c>
      <c r="Q891" s="59"/>
      <c r="R891" s="59"/>
      <c r="S891" s="59"/>
      <c r="T891" s="59"/>
      <c r="U891" s="290"/>
      <c r="V891" s="290"/>
      <c r="W891" s="290"/>
      <c r="X891" s="290"/>
      <c r="Y891" s="290"/>
      <c r="Z891" s="290"/>
      <c r="AA891" s="290"/>
      <c r="AB891" s="290"/>
      <c r="AC891" s="290"/>
      <c r="AD891" s="290"/>
    </row>
    <row r="892" spans="1:30" ht="25.5">
      <c r="A892" s="291" t="str">
        <f t="shared" si="44"/>
        <v/>
      </c>
      <c r="B892" s="291" t="s">
        <v>2395</v>
      </c>
      <c r="C892" s="291" t="str">
        <f>IF(D891="","",UNIT!$B$1&amp;"-"&amp;B892)</f>
        <v/>
      </c>
      <c r="D892" s="83"/>
      <c r="E892" s="59"/>
      <c r="F892" s="82"/>
      <c r="G892" s="82"/>
      <c r="H892" s="86"/>
      <c r="I892" s="294" t="str">
        <f t="shared" si="45"/>
        <v/>
      </c>
      <c r="J892" s="59"/>
      <c r="K892" s="83"/>
      <c r="L892" s="83" t="str">
        <f t="shared" si="42"/>
        <v xml:space="preserve">
</v>
      </c>
      <c r="M892" s="83"/>
      <c r="N892" s="59"/>
      <c r="O892" s="59"/>
      <c r="P892" s="86" t="e">
        <f t="shared" si="43"/>
        <v>#VALUE!</v>
      </c>
      <c r="Q892" s="59"/>
      <c r="R892" s="59"/>
      <c r="S892" s="59"/>
      <c r="T892" s="59"/>
      <c r="U892" s="290"/>
      <c r="V892" s="290"/>
      <c r="W892" s="290"/>
      <c r="X892" s="290"/>
      <c r="Y892" s="290"/>
      <c r="Z892" s="290"/>
      <c r="AA892" s="290"/>
      <c r="AB892" s="290"/>
      <c r="AC892" s="290"/>
      <c r="AD892" s="290"/>
    </row>
    <row r="893" spans="1:30" ht="25.5">
      <c r="A893" s="291" t="str">
        <f t="shared" si="44"/>
        <v/>
      </c>
      <c r="B893" s="291" t="s">
        <v>2396</v>
      </c>
      <c r="C893" s="291" t="str">
        <f>IF(D892="","",UNIT!$B$1&amp;"-"&amp;B893)</f>
        <v/>
      </c>
      <c r="D893" s="83"/>
      <c r="E893" s="59"/>
      <c r="F893" s="82"/>
      <c r="G893" s="82"/>
      <c r="H893" s="86"/>
      <c r="I893" s="294" t="str">
        <f t="shared" si="45"/>
        <v/>
      </c>
      <c r="J893" s="59"/>
      <c r="K893" s="83"/>
      <c r="L893" s="83" t="str">
        <f t="shared" si="42"/>
        <v xml:space="preserve">
</v>
      </c>
      <c r="M893" s="83"/>
      <c r="N893" s="59"/>
      <c r="O893" s="59"/>
      <c r="P893" s="86" t="e">
        <f t="shared" si="43"/>
        <v>#VALUE!</v>
      </c>
      <c r="Q893" s="59"/>
      <c r="R893" s="59"/>
      <c r="S893" s="59"/>
      <c r="T893" s="59"/>
      <c r="U893" s="290"/>
      <c r="V893" s="290"/>
      <c r="W893" s="290"/>
      <c r="X893" s="290"/>
      <c r="Y893" s="290"/>
      <c r="Z893" s="290"/>
      <c r="AA893" s="290"/>
      <c r="AB893" s="290"/>
      <c r="AC893" s="290"/>
      <c r="AD893" s="290"/>
    </row>
    <row r="894" spans="1:30" ht="25.5">
      <c r="A894" s="291" t="str">
        <f t="shared" si="44"/>
        <v/>
      </c>
      <c r="B894" s="291" t="s">
        <v>2397</v>
      </c>
      <c r="C894" s="291" t="str">
        <f>IF(D893="","",UNIT!$B$1&amp;"-"&amp;B894)</f>
        <v/>
      </c>
      <c r="D894" s="83"/>
      <c r="E894" s="59"/>
      <c r="F894" s="82"/>
      <c r="G894" s="82"/>
      <c r="H894" s="86"/>
      <c r="I894" s="294" t="str">
        <f t="shared" si="45"/>
        <v/>
      </c>
      <c r="J894" s="59"/>
      <c r="K894" s="83"/>
      <c r="L894" s="83" t="str">
        <f t="shared" si="42"/>
        <v xml:space="preserve">
</v>
      </c>
      <c r="M894" s="83"/>
      <c r="N894" s="59"/>
      <c r="O894" s="59"/>
      <c r="P894" s="86" t="e">
        <f t="shared" si="43"/>
        <v>#VALUE!</v>
      </c>
      <c r="Q894" s="59"/>
      <c r="R894" s="59"/>
      <c r="S894" s="59"/>
      <c r="T894" s="59"/>
      <c r="U894" s="290"/>
      <c r="V894" s="290"/>
      <c r="W894" s="290"/>
      <c r="X894" s="290"/>
      <c r="Y894" s="290"/>
      <c r="Z894" s="290"/>
      <c r="AA894" s="290"/>
      <c r="AB894" s="290"/>
      <c r="AC894" s="290"/>
      <c r="AD894" s="290"/>
    </row>
    <row r="895" spans="1:30" ht="25.5">
      <c r="A895" s="291" t="str">
        <f t="shared" si="44"/>
        <v/>
      </c>
      <c r="B895" s="291" t="s">
        <v>2398</v>
      </c>
      <c r="C895" s="291" t="str">
        <f>IF(D894="","",UNIT!$B$1&amp;"-"&amp;B895)</f>
        <v/>
      </c>
      <c r="D895" s="83"/>
      <c r="E895" s="59"/>
      <c r="F895" s="82"/>
      <c r="G895" s="82"/>
      <c r="H895" s="86"/>
      <c r="I895" s="294" t="str">
        <f t="shared" si="45"/>
        <v/>
      </c>
      <c r="J895" s="59"/>
      <c r="K895" s="83"/>
      <c r="L895" s="83" t="str">
        <f t="shared" si="42"/>
        <v xml:space="preserve">
</v>
      </c>
      <c r="M895" s="83"/>
      <c r="N895" s="59"/>
      <c r="O895" s="59"/>
      <c r="P895" s="86" t="e">
        <f t="shared" si="43"/>
        <v>#VALUE!</v>
      </c>
      <c r="Q895" s="59"/>
      <c r="R895" s="59"/>
      <c r="S895" s="59"/>
      <c r="T895" s="59"/>
      <c r="U895" s="290"/>
      <c r="V895" s="290"/>
      <c r="W895" s="290"/>
      <c r="X895" s="290"/>
      <c r="Y895" s="290"/>
      <c r="Z895" s="290"/>
      <c r="AA895" s="290"/>
      <c r="AB895" s="290"/>
      <c r="AC895" s="290"/>
      <c r="AD895" s="290"/>
    </row>
    <row r="896" spans="1:30" ht="25.5">
      <c r="A896" s="291" t="str">
        <f t="shared" si="44"/>
        <v/>
      </c>
      <c r="B896" s="291" t="s">
        <v>2399</v>
      </c>
      <c r="C896" s="291" t="str">
        <f>IF(D895="","",UNIT!$B$1&amp;"-"&amp;B896)</f>
        <v/>
      </c>
      <c r="D896" s="83"/>
      <c r="E896" s="59"/>
      <c r="F896" s="82"/>
      <c r="G896" s="82"/>
      <c r="H896" s="86"/>
      <c r="I896" s="294" t="str">
        <f t="shared" si="45"/>
        <v/>
      </c>
      <c r="J896" s="59"/>
      <c r="K896" s="83"/>
      <c r="L896" s="83" t="str">
        <f t="shared" si="42"/>
        <v xml:space="preserve">
</v>
      </c>
      <c r="M896" s="83"/>
      <c r="N896" s="59"/>
      <c r="O896" s="59"/>
      <c r="P896" s="86" t="e">
        <f t="shared" si="43"/>
        <v>#VALUE!</v>
      </c>
      <c r="Q896" s="59"/>
      <c r="R896" s="59"/>
      <c r="S896" s="59"/>
      <c r="T896" s="59"/>
      <c r="U896" s="290"/>
      <c r="V896" s="290"/>
      <c r="W896" s="290"/>
      <c r="X896" s="290"/>
      <c r="Y896" s="290"/>
      <c r="Z896" s="290"/>
      <c r="AA896" s="290"/>
      <c r="AB896" s="290"/>
      <c r="AC896" s="290"/>
      <c r="AD896" s="290"/>
    </row>
    <row r="897" spans="1:30" ht="25.5">
      <c r="A897" s="291" t="str">
        <f t="shared" si="44"/>
        <v/>
      </c>
      <c r="B897" s="291" t="s">
        <v>2400</v>
      </c>
      <c r="C897" s="291" t="str">
        <f>IF(D896="","",UNIT!$B$1&amp;"-"&amp;B897)</f>
        <v/>
      </c>
      <c r="D897" s="83"/>
      <c r="E897" s="59"/>
      <c r="F897" s="82"/>
      <c r="G897" s="82"/>
      <c r="H897" s="86"/>
      <c r="I897" s="294" t="str">
        <f t="shared" si="45"/>
        <v/>
      </c>
      <c r="J897" s="59"/>
      <c r="K897" s="83"/>
      <c r="L897" s="83" t="str">
        <f t="shared" si="42"/>
        <v xml:space="preserve">
</v>
      </c>
      <c r="M897" s="83"/>
      <c r="N897" s="59"/>
      <c r="O897" s="59"/>
      <c r="P897" s="86" t="e">
        <f t="shared" si="43"/>
        <v>#VALUE!</v>
      </c>
      <c r="Q897" s="59"/>
      <c r="R897" s="59"/>
      <c r="S897" s="59"/>
      <c r="T897" s="59"/>
      <c r="U897" s="290"/>
      <c r="V897" s="290"/>
      <c r="W897" s="290"/>
      <c r="X897" s="290"/>
      <c r="Y897" s="290"/>
      <c r="Z897" s="290"/>
      <c r="AA897" s="290"/>
      <c r="AB897" s="290"/>
      <c r="AC897" s="290"/>
      <c r="AD897" s="290"/>
    </row>
    <row r="898" spans="1:30" ht="25.5">
      <c r="A898" s="291" t="str">
        <f t="shared" si="44"/>
        <v/>
      </c>
      <c r="B898" s="291" t="s">
        <v>2401</v>
      </c>
      <c r="C898" s="291" t="str">
        <f>IF(D897="","",UNIT!$B$1&amp;"-"&amp;B898)</f>
        <v/>
      </c>
      <c r="D898" s="83"/>
      <c r="E898" s="59"/>
      <c r="F898" s="82"/>
      <c r="G898" s="82"/>
      <c r="H898" s="86"/>
      <c r="I898" s="294" t="str">
        <f t="shared" si="45"/>
        <v/>
      </c>
      <c r="J898" s="59"/>
      <c r="K898" s="83"/>
      <c r="L898" s="83" t="str">
        <f t="shared" si="42"/>
        <v xml:space="preserve">
</v>
      </c>
      <c r="M898" s="83"/>
      <c r="N898" s="59"/>
      <c r="O898" s="59"/>
      <c r="P898" s="86" t="e">
        <f t="shared" si="43"/>
        <v>#VALUE!</v>
      </c>
      <c r="Q898" s="59"/>
      <c r="R898" s="59"/>
      <c r="S898" s="59"/>
      <c r="T898" s="59"/>
      <c r="U898" s="290"/>
      <c r="V898" s="290"/>
      <c r="W898" s="290"/>
      <c r="X898" s="290"/>
      <c r="Y898" s="290"/>
      <c r="Z898" s="290"/>
      <c r="AA898" s="290"/>
      <c r="AB898" s="290"/>
      <c r="AC898" s="290"/>
      <c r="AD898" s="290"/>
    </row>
    <row r="899" spans="1:30" ht="25.5">
      <c r="A899" s="291" t="str">
        <f t="shared" si="44"/>
        <v/>
      </c>
      <c r="B899" s="291" t="s">
        <v>2402</v>
      </c>
      <c r="C899" s="291" t="str">
        <f>IF(D898="","",UNIT!$B$1&amp;"-"&amp;B899)</f>
        <v/>
      </c>
      <c r="D899" s="83"/>
      <c r="E899" s="59"/>
      <c r="F899" s="82"/>
      <c r="G899" s="82"/>
      <c r="H899" s="86"/>
      <c r="I899" s="294" t="str">
        <f t="shared" si="45"/>
        <v/>
      </c>
      <c r="J899" s="59"/>
      <c r="K899" s="83"/>
      <c r="L899" s="83" t="str">
        <f t="shared" si="42"/>
        <v xml:space="preserve">
</v>
      </c>
      <c r="M899" s="83"/>
      <c r="N899" s="59"/>
      <c r="O899" s="59"/>
      <c r="P899" s="86" t="e">
        <f t="shared" si="43"/>
        <v>#VALUE!</v>
      </c>
      <c r="Q899" s="59"/>
      <c r="R899" s="59"/>
      <c r="S899" s="59"/>
      <c r="T899" s="59"/>
      <c r="U899" s="290"/>
      <c r="V899" s="290"/>
      <c r="W899" s="290"/>
      <c r="X899" s="290"/>
      <c r="Y899" s="290"/>
      <c r="Z899" s="290"/>
      <c r="AA899" s="290"/>
      <c r="AB899" s="290"/>
      <c r="AC899" s="290"/>
      <c r="AD899" s="290"/>
    </row>
    <row r="900" spans="1:30" ht="25.5">
      <c r="A900" s="291" t="str">
        <f t="shared" si="44"/>
        <v/>
      </c>
      <c r="B900" s="291" t="s">
        <v>2403</v>
      </c>
      <c r="C900" s="291" t="str">
        <f>IF(D899="","",UNIT!$B$1&amp;"-"&amp;B900)</f>
        <v/>
      </c>
      <c r="D900" s="83"/>
      <c r="E900" s="59"/>
      <c r="F900" s="82"/>
      <c r="G900" s="82"/>
      <c r="H900" s="86"/>
      <c r="I900" s="294" t="str">
        <f t="shared" si="45"/>
        <v/>
      </c>
      <c r="J900" s="59"/>
      <c r="K900" s="83"/>
      <c r="L900" s="83" t="str">
        <f t="shared" si="42"/>
        <v xml:space="preserve">
</v>
      </c>
      <c r="M900" s="83"/>
      <c r="N900" s="59"/>
      <c r="O900" s="59"/>
      <c r="P900" s="86" t="e">
        <f t="shared" si="43"/>
        <v>#VALUE!</v>
      </c>
      <c r="Q900" s="59"/>
      <c r="R900" s="59"/>
      <c r="S900" s="59"/>
      <c r="T900" s="59"/>
      <c r="U900" s="290"/>
      <c r="V900" s="290"/>
      <c r="W900" s="290"/>
      <c r="X900" s="290"/>
      <c r="Y900" s="290"/>
      <c r="Z900" s="290"/>
      <c r="AA900" s="290"/>
      <c r="AB900" s="290"/>
      <c r="AC900" s="290"/>
      <c r="AD900" s="290"/>
    </row>
    <row r="901" spans="1:30" ht="25.5">
      <c r="A901" s="291" t="str">
        <f t="shared" si="44"/>
        <v/>
      </c>
      <c r="B901" s="291" t="s">
        <v>2404</v>
      </c>
      <c r="C901" s="291" t="str">
        <f>IF(D900="","",UNIT!$B$1&amp;"-"&amp;B901)</f>
        <v/>
      </c>
      <c r="D901" s="83"/>
      <c r="E901" s="59"/>
      <c r="F901" s="82"/>
      <c r="G901" s="82"/>
      <c r="H901" s="86"/>
      <c r="I901" s="294" t="str">
        <f t="shared" si="45"/>
        <v/>
      </c>
      <c r="J901" s="59"/>
      <c r="K901" s="83"/>
      <c r="L901" s="83" t="str">
        <f t="shared" si="42"/>
        <v xml:space="preserve">
</v>
      </c>
      <c r="M901" s="83"/>
      <c r="N901" s="59"/>
      <c r="O901" s="59"/>
      <c r="P901" s="86" t="e">
        <f t="shared" si="43"/>
        <v>#VALUE!</v>
      </c>
      <c r="Q901" s="59"/>
      <c r="R901" s="59"/>
      <c r="S901" s="59"/>
      <c r="T901" s="59"/>
      <c r="U901" s="290"/>
      <c r="V901" s="290"/>
      <c r="W901" s="290"/>
      <c r="X901" s="290"/>
      <c r="Y901" s="290"/>
      <c r="Z901" s="290"/>
      <c r="AA901" s="290"/>
      <c r="AB901" s="290"/>
      <c r="AC901" s="290"/>
      <c r="AD901" s="290"/>
    </row>
    <row r="902" spans="1:30" ht="25.5">
      <c r="A902" s="291" t="str">
        <f t="shared" si="44"/>
        <v/>
      </c>
      <c r="B902" s="291" t="s">
        <v>2405</v>
      </c>
      <c r="C902" s="291" t="str">
        <f>IF(D901="","",UNIT!$B$1&amp;"-"&amp;B902)</f>
        <v/>
      </c>
      <c r="D902" s="83"/>
      <c r="E902" s="59"/>
      <c r="F902" s="82"/>
      <c r="G902" s="82"/>
      <c r="H902" s="86"/>
      <c r="I902" s="294" t="str">
        <f t="shared" si="45"/>
        <v/>
      </c>
      <c r="J902" s="59"/>
      <c r="K902" s="83"/>
      <c r="L902" s="83" t="str">
        <f t="shared" si="42"/>
        <v xml:space="preserve">
</v>
      </c>
      <c r="M902" s="83"/>
      <c r="N902" s="59"/>
      <c r="O902" s="59"/>
      <c r="P902" s="86" t="e">
        <f t="shared" si="43"/>
        <v>#VALUE!</v>
      </c>
      <c r="Q902" s="59"/>
      <c r="R902" s="59"/>
      <c r="S902" s="59"/>
      <c r="T902" s="59"/>
      <c r="U902" s="290"/>
      <c r="V902" s="290"/>
      <c r="W902" s="290"/>
      <c r="X902" s="290"/>
      <c r="Y902" s="290"/>
      <c r="Z902" s="290"/>
      <c r="AA902" s="290"/>
      <c r="AB902" s="290"/>
      <c r="AC902" s="290"/>
      <c r="AD902" s="290"/>
    </row>
    <row r="903" spans="1:30" ht="25.5">
      <c r="A903" s="291" t="str">
        <f t="shared" si="44"/>
        <v/>
      </c>
      <c r="B903" s="291" t="s">
        <v>2406</v>
      </c>
      <c r="C903" s="291" t="str">
        <f>IF(D902="","",UNIT!$B$1&amp;"-"&amp;B903)</f>
        <v/>
      </c>
      <c r="D903" s="83"/>
      <c r="E903" s="59"/>
      <c r="F903" s="82"/>
      <c r="G903" s="82"/>
      <c r="H903" s="86"/>
      <c r="I903" s="294" t="str">
        <f t="shared" si="45"/>
        <v/>
      </c>
      <c r="J903" s="59"/>
      <c r="K903" s="83"/>
      <c r="L903" s="83" t="str">
        <f t="shared" si="42"/>
        <v xml:space="preserve">
</v>
      </c>
      <c r="M903" s="83"/>
      <c r="N903" s="59"/>
      <c r="O903" s="59"/>
      <c r="P903" s="86" t="e">
        <f t="shared" si="43"/>
        <v>#VALUE!</v>
      </c>
      <c r="Q903" s="59"/>
      <c r="R903" s="59"/>
      <c r="S903" s="59"/>
      <c r="T903" s="59"/>
      <c r="U903" s="290"/>
      <c r="V903" s="290"/>
      <c r="W903" s="290"/>
      <c r="X903" s="290"/>
      <c r="Y903" s="290"/>
      <c r="Z903" s="290"/>
      <c r="AA903" s="290"/>
      <c r="AB903" s="290"/>
      <c r="AC903" s="290"/>
      <c r="AD903" s="290"/>
    </row>
    <row r="904" spans="1:30" ht="25.5">
      <c r="A904" s="291" t="str">
        <f t="shared" si="44"/>
        <v/>
      </c>
      <c r="B904" s="291" t="s">
        <v>2407</v>
      </c>
      <c r="C904" s="291" t="str">
        <f>IF(D903="","",UNIT!$B$1&amp;"-"&amp;B904)</f>
        <v/>
      </c>
      <c r="D904" s="83"/>
      <c r="E904" s="59"/>
      <c r="F904" s="82"/>
      <c r="G904" s="82"/>
      <c r="H904" s="86"/>
      <c r="I904" s="294" t="str">
        <f t="shared" si="45"/>
        <v/>
      </c>
      <c r="J904" s="59"/>
      <c r="K904" s="83"/>
      <c r="L904" s="83" t="str">
        <f t="shared" si="42"/>
        <v xml:space="preserve">
</v>
      </c>
      <c r="M904" s="83"/>
      <c r="N904" s="59"/>
      <c r="O904" s="59"/>
      <c r="P904" s="86" t="e">
        <f t="shared" si="43"/>
        <v>#VALUE!</v>
      </c>
      <c r="Q904" s="59"/>
      <c r="R904" s="59"/>
      <c r="S904" s="59"/>
      <c r="T904" s="59"/>
      <c r="U904" s="290"/>
      <c r="V904" s="290"/>
      <c r="W904" s="290"/>
      <c r="X904" s="290"/>
      <c r="Y904" s="290"/>
      <c r="Z904" s="290"/>
      <c r="AA904" s="290"/>
      <c r="AB904" s="290"/>
      <c r="AC904" s="290"/>
      <c r="AD904" s="290"/>
    </row>
    <row r="905" spans="1:30" ht="25.5">
      <c r="A905" s="291" t="str">
        <f t="shared" si="44"/>
        <v/>
      </c>
      <c r="B905" s="291" t="s">
        <v>2408</v>
      </c>
      <c r="C905" s="291" t="str">
        <f>IF(D904="","",UNIT!$B$1&amp;"-"&amp;B905)</f>
        <v/>
      </c>
      <c r="D905" s="83"/>
      <c r="E905" s="59"/>
      <c r="F905" s="82"/>
      <c r="G905" s="82"/>
      <c r="H905" s="86"/>
      <c r="I905" s="294" t="str">
        <f t="shared" si="45"/>
        <v/>
      </c>
      <c r="J905" s="59"/>
      <c r="K905" s="83"/>
      <c r="L905" s="83" t="str">
        <f t="shared" si="42"/>
        <v xml:space="preserve">
</v>
      </c>
      <c r="M905" s="83"/>
      <c r="N905" s="59"/>
      <c r="O905" s="59"/>
      <c r="P905" s="86" t="e">
        <f t="shared" si="43"/>
        <v>#VALUE!</v>
      </c>
      <c r="Q905" s="59"/>
      <c r="R905" s="59"/>
      <c r="S905" s="59"/>
      <c r="T905" s="59"/>
      <c r="U905" s="290"/>
      <c r="V905" s="290"/>
      <c r="W905" s="290"/>
      <c r="X905" s="290"/>
      <c r="Y905" s="290"/>
      <c r="Z905" s="290"/>
      <c r="AA905" s="290"/>
      <c r="AB905" s="290"/>
      <c r="AC905" s="290"/>
      <c r="AD905" s="290"/>
    </row>
    <row r="906" spans="1:30" ht="25.5">
      <c r="A906" s="291" t="str">
        <f t="shared" si="44"/>
        <v/>
      </c>
      <c r="B906" s="291" t="s">
        <v>2409</v>
      </c>
      <c r="C906" s="291" t="str">
        <f>IF(D905="","",UNIT!$B$1&amp;"-"&amp;B906)</f>
        <v/>
      </c>
      <c r="D906" s="83"/>
      <c r="E906" s="59"/>
      <c r="F906" s="82"/>
      <c r="G906" s="82"/>
      <c r="H906" s="86"/>
      <c r="I906" s="294" t="str">
        <f t="shared" si="45"/>
        <v/>
      </c>
      <c r="J906" s="59"/>
      <c r="K906" s="83"/>
      <c r="L906" s="83" t="str">
        <f t="shared" si="42"/>
        <v xml:space="preserve">
</v>
      </c>
      <c r="M906" s="83"/>
      <c r="N906" s="59"/>
      <c r="O906" s="59"/>
      <c r="P906" s="86" t="e">
        <f t="shared" si="43"/>
        <v>#VALUE!</v>
      </c>
      <c r="Q906" s="59"/>
      <c r="R906" s="59"/>
      <c r="S906" s="59"/>
      <c r="T906" s="59"/>
      <c r="U906" s="290"/>
      <c r="V906" s="290"/>
      <c r="W906" s="290"/>
      <c r="X906" s="290"/>
      <c r="Y906" s="290"/>
      <c r="Z906" s="290"/>
      <c r="AA906" s="290"/>
      <c r="AB906" s="290"/>
      <c r="AC906" s="290"/>
      <c r="AD906" s="290"/>
    </row>
    <row r="907" spans="1:30" ht="25.5">
      <c r="A907" s="291" t="str">
        <f t="shared" si="44"/>
        <v/>
      </c>
      <c r="B907" s="291" t="s">
        <v>2410</v>
      </c>
      <c r="C907" s="291" t="str">
        <f>IF(D906="","",UNIT!$B$1&amp;"-"&amp;B907)</f>
        <v/>
      </c>
      <c r="D907" s="83"/>
      <c r="E907" s="59"/>
      <c r="F907" s="82"/>
      <c r="G907" s="82"/>
      <c r="H907" s="86"/>
      <c r="I907" s="294" t="str">
        <f t="shared" si="45"/>
        <v/>
      </c>
      <c r="J907" s="59"/>
      <c r="K907" s="83"/>
      <c r="L907" s="83" t="str">
        <f t="shared" si="42"/>
        <v xml:space="preserve">
</v>
      </c>
      <c r="M907" s="83"/>
      <c r="N907" s="59"/>
      <c r="O907" s="59"/>
      <c r="P907" s="86" t="e">
        <f t="shared" si="43"/>
        <v>#VALUE!</v>
      </c>
      <c r="Q907" s="59"/>
      <c r="R907" s="59"/>
      <c r="S907" s="59"/>
      <c r="T907" s="59"/>
      <c r="U907" s="290"/>
      <c r="V907" s="290"/>
      <c r="W907" s="290"/>
      <c r="X907" s="290"/>
      <c r="Y907" s="290"/>
      <c r="Z907" s="290"/>
      <c r="AA907" s="290"/>
      <c r="AB907" s="290"/>
      <c r="AC907" s="290"/>
      <c r="AD907" s="290"/>
    </row>
    <row r="908" spans="1:30" ht="25.5">
      <c r="A908" s="291" t="str">
        <f t="shared" si="44"/>
        <v/>
      </c>
      <c r="B908" s="291" t="s">
        <v>2411</v>
      </c>
      <c r="C908" s="291" t="str">
        <f>IF(D907="","",UNIT!$B$1&amp;"-"&amp;B908)</f>
        <v/>
      </c>
      <c r="D908" s="83"/>
      <c r="E908" s="59"/>
      <c r="F908" s="82"/>
      <c r="G908" s="82"/>
      <c r="H908" s="86"/>
      <c r="I908" s="294" t="str">
        <f t="shared" si="45"/>
        <v/>
      </c>
      <c r="J908" s="59"/>
      <c r="K908" s="83"/>
      <c r="L908" s="83" t="str">
        <f t="shared" si="42"/>
        <v xml:space="preserve">
</v>
      </c>
      <c r="M908" s="83"/>
      <c r="N908" s="59"/>
      <c r="O908" s="59"/>
      <c r="P908" s="86" t="e">
        <f t="shared" si="43"/>
        <v>#VALUE!</v>
      </c>
      <c r="Q908" s="59"/>
      <c r="R908" s="59"/>
      <c r="S908" s="59"/>
      <c r="T908" s="59"/>
      <c r="U908" s="290"/>
      <c r="V908" s="290"/>
      <c r="W908" s="290"/>
      <c r="X908" s="290"/>
      <c r="Y908" s="290"/>
      <c r="Z908" s="290"/>
      <c r="AA908" s="290"/>
      <c r="AB908" s="290"/>
      <c r="AC908" s="290"/>
      <c r="AD908" s="290"/>
    </row>
    <row r="909" spans="1:30" ht="25.5">
      <c r="A909" s="291" t="str">
        <f t="shared" si="44"/>
        <v/>
      </c>
      <c r="B909" s="291" t="s">
        <v>2412</v>
      </c>
      <c r="C909" s="291" t="str">
        <f>IF(D908="","",UNIT!$B$1&amp;"-"&amp;B909)</f>
        <v/>
      </c>
      <c r="D909" s="83"/>
      <c r="E909" s="59"/>
      <c r="F909" s="82"/>
      <c r="G909" s="82"/>
      <c r="H909" s="86"/>
      <c r="I909" s="294" t="str">
        <f t="shared" si="45"/>
        <v/>
      </c>
      <c r="J909" s="59"/>
      <c r="K909" s="83"/>
      <c r="L909" s="83" t="str">
        <f t="shared" si="42"/>
        <v xml:space="preserve">
</v>
      </c>
      <c r="M909" s="83"/>
      <c r="N909" s="59"/>
      <c r="O909" s="59"/>
      <c r="P909" s="86" t="e">
        <f t="shared" si="43"/>
        <v>#VALUE!</v>
      </c>
      <c r="Q909" s="59"/>
      <c r="R909" s="59"/>
      <c r="S909" s="59"/>
      <c r="T909" s="59"/>
      <c r="U909" s="290"/>
      <c r="V909" s="290"/>
      <c r="W909" s="290"/>
      <c r="X909" s="290"/>
      <c r="Y909" s="290"/>
      <c r="Z909" s="290"/>
      <c r="AA909" s="290"/>
      <c r="AB909" s="290"/>
      <c r="AC909" s="290"/>
      <c r="AD909" s="290"/>
    </row>
    <row r="910" spans="1:30" ht="25.5">
      <c r="A910" s="291" t="str">
        <f t="shared" si="44"/>
        <v/>
      </c>
      <c r="B910" s="291" t="s">
        <v>2413</v>
      </c>
      <c r="C910" s="291" t="str">
        <f>IF(D909="","",UNIT!$B$1&amp;"-"&amp;B910)</f>
        <v/>
      </c>
      <c r="D910" s="83"/>
      <c r="E910" s="59"/>
      <c r="F910" s="82"/>
      <c r="G910" s="82"/>
      <c r="H910" s="86"/>
      <c r="I910" s="294" t="str">
        <f t="shared" si="45"/>
        <v/>
      </c>
      <c r="J910" s="59"/>
      <c r="K910" s="83"/>
      <c r="L910" s="83" t="str">
        <f t="shared" si="42"/>
        <v xml:space="preserve">
</v>
      </c>
      <c r="M910" s="83"/>
      <c r="N910" s="59"/>
      <c r="O910" s="59"/>
      <c r="P910" s="86" t="e">
        <f t="shared" si="43"/>
        <v>#VALUE!</v>
      </c>
      <c r="Q910" s="59"/>
      <c r="R910" s="59"/>
      <c r="S910" s="59"/>
      <c r="T910" s="59"/>
      <c r="U910" s="290"/>
      <c r="V910" s="290"/>
      <c r="W910" s="290"/>
      <c r="X910" s="290"/>
      <c r="Y910" s="290"/>
      <c r="Z910" s="290"/>
      <c r="AA910" s="290"/>
      <c r="AB910" s="290"/>
      <c r="AC910" s="290"/>
      <c r="AD910" s="290"/>
    </row>
    <row r="911" spans="1:30" ht="25.5">
      <c r="A911" s="291" t="str">
        <f t="shared" si="44"/>
        <v/>
      </c>
      <c r="B911" s="291" t="s">
        <v>2414</v>
      </c>
      <c r="C911" s="291" t="str">
        <f>IF(D910="","",UNIT!$B$1&amp;"-"&amp;B911)</f>
        <v/>
      </c>
      <c r="D911" s="83"/>
      <c r="E911" s="59"/>
      <c r="F911" s="82"/>
      <c r="G911" s="82"/>
      <c r="H911" s="86"/>
      <c r="I911" s="294" t="str">
        <f t="shared" si="45"/>
        <v/>
      </c>
      <c r="J911" s="59"/>
      <c r="K911" s="83"/>
      <c r="L911" s="83" t="str">
        <f t="shared" si="42"/>
        <v xml:space="preserve">
</v>
      </c>
      <c r="M911" s="83"/>
      <c r="N911" s="59"/>
      <c r="O911" s="59"/>
      <c r="P911" s="86" t="e">
        <f t="shared" si="43"/>
        <v>#VALUE!</v>
      </c>
      <c r="Q911" s="59"/>
      <c r="R911" s="59"/>
      <c r="S911" s="59"/>
      <c r="T911" s="59"/>
      <c r="U911" s="290"/>
      <c r="V911" s="290"/>
      <c r="W911" s="290"/>
      <c r="X911" s="290"/>
      <c r="Y911" s="290"/>
      <c r="Z911" s="290"/>
      <c r="AA911" s="290"/>
      <c r="AB911" s="290"/>
      <c r="AC911" s="290"/>
      <c r="AD911" s="290"/>
    </row>
    <row r="912" spans="1:30" ht="25.5">
      <c r="A912" s="291" t="str">
        <f t="shared" si="44"/>
        <v/>
      </c>
      <c r="B912" s="291" t="s">
        <v>2415</v>
      </c>
      <c r="C912" s="291" t="str">
        <f>IF(D911="","",UNIT!$B$1&amp;"-"&amp;B912)</f>
        <v/>
      </c>
      <c r="D912" s="83"/>
      <c r="E912" s="59"/>
      <c r="F912" s="82"/>
      <c r="G912" s="82"/>
      <c r="H912" s="86"/>
      <c r="I912" s="294" t="str">
        <f t="shared" si="45"/>
        <v/>
      </c>
      <c r="J912" s="59"/>
      <c r="K912" s="83"/>
      <c r="L912" s="83" t="str">
        <f t="shared" si="42"/>
        <v xml:space="preserve">
</v>
      </c>
      <c r="M912" s="83"/>
      <c r="N912" s="59"/>
      <c r="O912" s="59"/>
      <c r="P912" s="86" t="e">
        <f t="shared" si="43"/>
        <v>#VALUE!</v>
      </c>
      <c r="Q912" s="59"/>
      <c r="R912" s="59"/>
      <c r="S912" s="59"/>
      <c r="T912" s="59"/>
      <c r="U912" s="290"/>
      <c r="V912" s="290"/>
      <c r="W912" s="290"/>
      <c r="X912" s="290"/>
      <c r="Y912" s="290"/>
      <c r="Z912" s="290"/>
      <c r="AA912" s="290"/>
      <c r="AB912" s="290"/>
      <c r="AC912" s="290"/>
      <c r="AD912" s="290"/>
    </row>
    <row r="913" spans="1:30" ht="25.5">
      <c r="A913" s="291" t="str">
        <f t="shared" si="44"/>
        <v/>
      </c>
      <c r="B913" s="291" t="s">
        <v>2416</v>
      </c>
      <c r="C913" s="291" t="str">
        <f>IF(D912="","",UNIT!$B$1&amp;"-"&amp;B913)</f>
        <v/>
      </c>
      <c r="D913" s="83"/>
      <c r="E913" s="59"/>
      <c r="F913" s="82"/>
      <c r="G913" s="82"/>
      <c r="H913" s="86"/>
      <c r="I913" s="294" t="str">
        <f t="shared" si="45"/>
        <v/>
      </c>
      <c r="J913" s="59"/>
      <c r="K913" s="83"/>
      <c r="L913" s="83" t="str">
        <f t="shared" si="42"/>
        <v xml:space="preserve">
</v>
      </c>
      <c r="M913" s="83"/>
      <c r="N913" s="59"/>
      <c r="O913" s="59"/>
      <c r="P913" s="86" t="e">
        <f t="shared" si="43"/>
        <v>#VALUE!</v>
      </c>
      <c r="Q913" s="59"/>
      <c r="R913" s="59"/>
      <c r="S913" s="59"/>
      <c r="T913" s="59"/>
      <c r="U913" s="290"/>
      <c r="V913" s="290"/>
      <c r="W913" s="290"/>
      <c r="X913" s="290"/>
      <c r="Y913" s="290"/>
      <c r="Z913" s="290"/>
      <c r="AA913" s="290"/>
      <c r="AB913" s="290"/>
      <c r="AC913" s="290"/>
      <c r="AD913" s="290"/>
    </row>
    <row r="914" spans="1:30" ht="25.5">
      <c r="A914" s="291" t="str">
        <f t="shared" si="44"/>
        <v/>
      </c>
      <c r="B914" s="291" t="s">
        <v>2417</v>
      </c>
      <c r="C914" s="291" t="str">
        <f>IF(D913="","",UNIT!$B$1&amp;"-"&amp;B914)</f>
        <v/>
      </c>
      <c r="D914" s="83"/>
      <c r="E914" s="59"/>
      <c r="F914" s="82"/>
      <c r="G914" s="82"/>
      <c r="H914" s="86"/>
      <c r="I914" s="294" t="str">
        <f t="shared" si="45"/>
        <v/>
      </c>
      <c r="J914" s="59"/>
      <c r="K914" s="83"/>
      <c r="L914" s="83" t="str">
        <f t="shared" si="42"/>
        <v xml:space="preserve">
</v>
      </c>
      <c r="M914" s="83"/>
      <c r="N914" s="59"/>
      <c r="O914" s="59"/>
      <c r="P914" s="86" t="e">
        <f t="shared" si="43"/>
        <v>#VALUE!</v>
      </c>
      <c r="Q914" s="59"/>
      <c r="R914" s="59"/>
      <c r="S914" s="59"/>
      <c r="T914" s="59"/>
      <c r="U914" s="290"/>
      <c r="V914" s="290"/>
      <c r="W914" s="290"/>
      <c r="X914" s="290"/>
      <c r="Y914" s="290"/>
      <c r="Z914" s="290"/>
      <c r="AA914" s="290"/>
      <c r="AB914" s="290"/>
      <c r="AC914" s="290"/>
      <c r="AD914" s="290"/>
    </row>
    <row r="915" spans="1:30" ht="25.5">
      <c r="A915" s="291" t="str">
        <f t="shared" si="44"/>
        <v/>
      </c>
      <c r="B915" s="291" t="s">
        <v>2418</v>
      </c>
      <c r="C915" s="291" t="str">
        <f>IF(D914="","",UNIT!$B$1&amp;"-"&amp;B915)</f>
        <v/>
      </c>
      <c r="D915" s="83"/>
      <c r="E915" s="59"/>
      <c r="F915" s="82"/>
      <c r="G915" s="82"/>
      <c r="H915" s="86"/>
      <c r="I915" s="294" t="str">
        <f t="shared" si="45"/>
        <v/>
      </c>
      <c r="J915" s="59"/>
      <c r="K915" s="83"/>
      <c r="L915" s="83" t="str">
        <f t="shared" si="42"/>
        <v xml:space="preserve">
</v>
      </c>
      <c r="M915" s="83"/>
      <c r="N915" s="59"/>
      <c r="O915" s="59"/>
      <c r="P915" s="86" t="e">
        <f t="shared" si="43"/>
        <v>#VALUE!</v>
      </c>
      <c r="Q915" s="59"/>
      <c r="R915" s="59"/>
      <c r="S915" s="59"/>
      <c r="T915" s="59"/>
      <c r="U915" s="290"/>
      <c r="V915" s="290"/>
      <c r="W915" s="290"/>
      <c r="X915" s="290"/>
      <c r="Y915" s="290"/>
      <c r="Z915" s="290"/>
      <c r="AA915" s="290"/>
      <c r="AB915" s="290"/>
      <c r="AC915" s="290"/>
      <c r="AD915" s="290"/>
    </row>
    <row r="916" spans="1:30" ht="25.5">
      <c r="A916" s="291" t="str">
        <f t="shared" si="44"/>
        <v/>
      </c>
      <c r="B916" s="291" t="s">
        <v>2419</v>
      </c>
      <c r="C916" s="291" t="str">
        <f>IF(D915="","",UNIT!$B$1&amp;"-"&amp;B916)</f>
        <v/>
      </c>
      <c r="D916" s="83"/>
      <c r="E916" s="59"/>
      <c r="F916" s="82"/>
      <c r="G916" s="82"/>
      <c r="H916" s="86"/>
      <c r="I916" s="294" t="str">
        <f t="shared" si="45"/>
        <v/>
      </c>
      <c r="J916" s="59"/>
      <c r="K916" s="83"/>
      <c r="L916" s="83" t="str">
        <f t="shared" si="42"/>
        <v xml:space="preserve">
</v>
      </c>
      <c r="M916" s="83"/>
      <c r="N916" s="59"/>
      <c r="O916" s="59"/>
      <c r="P916" s="86" t="e">
        <f t="shared" si="43"/>
        <v>#VALUE!</v>
      </c>
      <c r="Q916" s="59"/>
      <c r="R916" s="59"/>
      <c r="S916" s="59"/>
      <c r="T916" s="59"/>
      <c r="U916" s="290"/>
      <c r="V916" s="290"/>
      <c r="W916" s="290"/>
      <c r="X916" s="290"/>
      <c r="Y916" s="290"/>
      <c r="Z916" s="290"/>
      <c r="AA916" s="290"/>
      <c r="AB916" s="290"/>
      <c r="AC916" s="290"/>
      <c r="AD916" s="290"/>
    </row>
    <row r="917" spans="1:30" ht="25.5">
      <c r="A917" s="291" t="str">
        <f t="shared" si="44"/>
        <v/>
      </c>
      <c r="B917" s="291" t="s">
        <v>2420</v>
      </c>
      <c r="C917" s="291" t="str">
        <f>IF(D916="","",UNIT!$B$1&amp;"-"&amp;B917)</f>
        <v/>
      </c>
      <c r="D917" s="83"/>
      <c r="E917" s="59"/>
      <c r="F917" s="82"/>
      <c r="G917" s="82"/>
      <c r="H917" s="86"/>
      <c r="I917" s="294" t="str">
        <f t="shared" si="45"/>
        <v/>
      </c>
      <c r="J917" s="59"/>
      <c r="K917" s="83"/>
      <c r="L917" s="83" t="str">
        <f t="shared" si="42"/>
        <v xml:space="preserve">
</v>
      </c>
      <c r="M917" s="83"/>
      <c r="N917" s="59"/>
      <c r="O917" s="59"/>
      <c r="P917" s="86" t="e">
        <f t="shared" si="43"/>
        <v>#VALUE!</v>
      </c>
      <c r="Q917" s="59"/>
      <c r="R917" s="59"/>
      <c r="S917" s="59"/>
      <c r="T917" s="59"/>
      <c r="U917" s="290"/>
      <c r="V917" s="290"/>
      <c r="W917" s="290"/>
      <c r="X917" s="290"/>
      <c r="Y917" s="290"/>
      <c r="Z917" s="290"/>
      <c r="AA917" s="290"/>
      <c r="AB917" s="290"/>
      <c r="AC917" s="290"/>
      <c r="AD917" s="290"/>
    </row>
    <row r="918" spans="1:30" ht="25.5">
      <c r="A918" s="291" t="str">
        <f t="shared" si="44"/>
        <v/>
      </c>
      <c r="B918" s="291" t="s">
        <v>2421</v>
      </c>
      <c r="C918" s="291" t="str">
        <f>IF(D917="","",UNIT!$B$1&amp;"-"&amp;B918)</f>
        <v/>
      </c>
      <c r="D918" s="83"/>
      <c r="E918" s="59"/>
      <c r="F918" s="82"/>
      <c r="G918" s="82"/>
      <c r="H918" s="86"/>
      <c r="I918" s="294" t="str">
        <f t="shared" si="45"/>
        <v/>
      </c>
      <c r="J918" s="59"/>
      <c r="K918" s="83"/>
      <c r="L918" s="83" t="str">
        <f t="shared" si="42"/>
        <v xml:space="preserve">
</v>
      </c>
      <c r="M918" s="83"/>
      <c r="N918" s="59"/>
      <c r="O918" s="59"/>
      <c r="P918" s="86" t="e">
        <f t="shared" si="43"/>
        <v>#VALUE!</v>
      </c>
      <c r="Q918" s="59"/>
      <c r="R918" s="59"/>
      <c r="S918" s="59"/>
      <c r="T918" s="59"/>
      <c r="U918" s="290"/>
      <c r="V918" s="290"/>
      <c r="W918" s="290"/>
      <c r="X918" s="290"/>
      <c r="Y918" s="290"/>
      <c r="Z918" s="290"/>
      <c r="AA918" s="290"/>
      <c r="AB918" s="290"/>
      <c r="AC918" s="290"/>
      <c r="AD918" s="290"/>
    </row>
    <row r="919" spans="1:30" ht="25.5">
      <c r="A919" s="291" t="str">
        <f t="shared" si="44"/>
        <v/>
      </c>
      <c r="B919" s="291" t="s">
        <v>2422</v>
      </c>
      <c r="C919" s="291" t="str">
        <f>IF(D918="","",UNIT!$B$1&amp;"-"&amp;B919)</f>
        <v/>
      </c>
      <c r="D919" s="83"/>
      <c r="E919" s="59"/>
      <c r="F919" s="82"/>
      <c r="G919" s="82"/>
      <c r="H919" s="86"/>
      <c r="I919" s="294" t="str">
        <f t="shared" si="45"/>
        <v/>
      </c>
      <c r="J919" s="59"/>
      <c r="K919" s="83"/>
      <c r="L919" s="83" t="str">
        <f t="shared" si="42"/>
        <v xml:space="preserve">
</v>
      </c>
      <c r="M919" s="83"/>
      <c r="N919" s="59"/>
      <c r="O919" s="59"/>
      <c r="P919" s="86" t="e">
        <f t="shared" si="43"/>
        <v>#VALUE!</v>
      </c>
      <c r="Q919" s="59"/>
      <c r="R919" s="59"/>
      <c r="S919" s="59"/>
      <c r="T919" s="59"/>
      <c r="U919" s="290"/>
      <c r="V919" s="290"/>
      <c r="W919" s="290"/>
      <c r="X919" s="290"/>
      <c r="Y919" s="290"/>
      <c r="Z919" s="290"/>
      <c r="AA919" s="290"/>
      <c r="AB919" s="290"/>
      <c r="AC919" s="290"/>
      <c r="AD919" s="290"/>
    </row>
    <row r="920" spans="1:30" ht="25.5">
      <c r="A920" s="291" t="str">
        <f t="shared" si="44"/>
        <v/>
      </c>
      <c r="B920" s="291" t="s">
        <v>2423</v>
      </c>
      <c r="C920" s="291" t="str">
        <f>IF(D919="","",UNIT!$B$1&amp;"-"&amp;B920)</f>
        <v/>
      </c>
      <c r="D920" s="83"/>
      <c r="E920" s="59"/>
      <c r="F920" s="82"/>
      <c r="G920" s="82"/>
      <c r="H920" s="86"/>
      <c r="I920" s="294" t="str">
        <f t="shared" si="45"/>
        <v/>
      </c>
      <c r="J920" s="59"/>
      <c r="K920" s="83"/>
      <c r="L920" s="83" t="str">
        <f t="shared" si="42"/>
        <v xml:space="preserve">
</v>
      </c>
      <c r="M920" s="83"/>
      <c r="N920" s="59"/>
      <c r="O920" s="59"/>
      <c r="P920" s="86" t="e">
        <f t="shared" si="43"/>
        <v>#VALUE!</v>
      </c>
      <c r="Q920" s="59"/>
      <c r="R920" s="59"/>
      <c r="S920" s="59"/>
      <c r="T920" s="59"/>
      <c r="U920" s="290"/>
      <c r="V920" s="290"/>
      <c r="W920" s="290"/>
      <c r="X920" s="290"/>
      <c r="Y920" s="290"/>
      <c r="Z920" s="290"/>
      <c r="AA920" s="290"/>
      <c r="AB920" s="290"/>
      <c r="AC920" s="290"/>
      <c r="AD920" s="290"/>
    </row>
    <row r="921" spans="1:30" ht="25.5">
      <c r="A921" s="291" t="str">
        <f t="shared" si="44"/>
        <v/>
      </c>
      <c r="B921" s="291" t="s">
        <v>2424</v>
      </c>
      <c r="C921" s="291" t="str">
        <f>IF(D920="","",UNIT!$B$1&amp;"-"&amp;B921)</f>
        <v/>
      </c>
      <c r="D921" s="83"/>
      <c r="E921" s="59"/>
      <c r="F921" s="82"/>
      <c r="G921" s="82"/>
      <c r="H921" s="86"/>
      <c r="I921" s="294" t="str">
        <f t="shared" si="45"/>
        <v/>
      </c>
      <c r="J921" s="59"/>
      <c r="K921" s="83"/>
      <c r="L921" s="83" t="str">
        <f t="shared" si="42"/>
        <v xml:space="preserve">
</v>
      </c>
      <c r="M921" s="83"/>
      <c r="N921" s="59"/>
      <c r="O921" s="59"/>
      <c r="P921" s="86" t="e">
        <f t="shared" si="43"/>
        <v>#VALUE!</v>
      </c>
      <c r="Q921" s="59"/>
      <c r="R921" s="59"/>
      <c r="S921" s="59"/>
      <c r="T921" s="59"/>
      <c r="U921" s="290"/>
      <c r="V921" s="290"/>
      <c r="W921" s="290"/>
      <c r="X921" s="290"/>
      <c r="Y921" s="290"/>
      <c r="Z921" s="290"/>
      <c r="AA921" s="290"/>
      <c r="AB921" s="290"/>
      <c r="AC921" s="290"/>
      <c r="AD921" s="290"/>
    </row>
    <row r="922" spans="1:30" ht="25.5">
      <c r="A922" s="291" t="str">
        <f t="shared" si="44"/>
        <v/>
      </c>
      <c r="B922" s="291" t="s">
        <v>2425</v>
      </c>
      <c r="C922" s="291" t="str">
        <f>IF(D921="","",UNIT!$B$1&amp;"-"&amp;B922)</f>
        <v/>
      </c>
      <c r="D922" s="83"/>
      <c r="E922" s="59"/>
      <c r="F922" s="82"/>
      <c r="G922" s="82"/>
      <c r="H922" s="86"/>
      <c r="I922" s="294" t="str">
        <f t="shared" si="45"/>
        <v/>
      </c>
      <c r="J922" s="59"/>
      <c r="K922" s="83"/>
      <c r="L922" s="83" t="str">
        <f t="shared" si="42"/>
        <v xml:space="preserve">
</v>
      </c>
      <c r="M922" s="83"/>
      <c r="N922" s="59"/>
      <c r="O922" s="59"/>
      <c r="P922" s="86" t="e">
        <f t="shared" si="43"/>
        <v>#VALUE!</v>
      </c>
      <c r="Q922" s="59"/>
      <c r="R922" s="59"/>
      <c r="S922" s="59"/>
      <c r="T922" s="59"/>
      <c r="U922" s="290"/>
      <c r="V922" s="290"/>
      <c r="W922" s="290"/>
      <c r="X922" s="290"/>
      <c r="Y922" s="290"/>
      <c r="Z922" s="290"/>
      <c r="AA922" s="290"/>
      <c r="AB922" s="290"/>
      <c r="AC922" s="290"/>
      <c r="AD922" s="290"/>
    </row>
    <row r="923" spans="1:30" ht="25.5">
      <c r="A923" s="291" t="str">
        <f t="shared" si="44"/>
        <v/>
      </c>
      <c r="B923" s="291" t="s">
        <v>2426</v>
      </c>
      <c r="C923" s="291" t="str">
        <f>IF(D922="","",UNIT!$B$1&amp;"-"&amp;B923)</f>
        <v/>
      </c>
      <c r="D923" s="83"/>
      <c r="E923" s="59"/>
      <c r="F923" s="82"/>
      <c r="G923" s="82"/>
      <c r="H923" s="86"/>
      <c r="I923" s="294" t="str">
        <f t="shared" si="45"/>
        <v/>
      </c>
      <c r="J923" s="59"/>
      <c r="K923" s="83"/>
      <c r="L923" s="83" t="str">
        <f t="shared" si="42"/>
        <v xml:space="preserve">
</v>
      </c>
      <c r="M923" s="83"/>
      <c r="N923" s="59"/>
      <c r="O923" s="59"/>
      <c r="P923" s="86" t="e">
        <f t="shared" si="43"/>
        <v>#VALUE!</v>
      </c>
      <c r="Q923" s="59"/>
      <c r="R923" s="59"/>
      <c r="S923" s="59"/>
      <c r="T923" s="59"/>
      <c r="U923" s="290"/>
      <c r="V923" s="290"/>
      <c r="W923" s="290"/>
      <c r="X923" s="290"/>
      <c r="Y923" s="290"/>
      <c r="Z923" s="290"/>
      <c r="AA923" s="290"/>
      <c r="AB923" s="290"/>
      <c r="AC923" s="290"/>
      <c r="AD923" s="290"/>
    </row>
    <row r="924" spans="1:30" ht="25.5">
      <c r="A924" s="291" t="str">
        <f t="shared" si="44"/>
        <v/>
      </c>
      <c r="B924" s="291" t="s">
        <v>2427</v>
      </c>
      <c r="C924" s="291" t="str">
        <f>IF(D923="","",UNIT!$B$1&amp;"-"&amp;B924)</f>
        <v/>
      </c>
      <c r="D924" s="83"/>
      <c r="E924" s="59"/>
      <c r="F924" s="82"/>
      <c r="G924" s="82"/>
      <c r="H924" s="86"/>
      <c r="I924" s="294" t="str">
        <f t="shared" si="45"/>
        <v/>
      </c>
      <c r="J924" s="59"/>
      <c r="K924" s="83"/>
      <c r="L924" s="83" t="str">
        <f t="shared" si="42"/>
        <v xml:space="preserve">
</v>
      </c>
      <c r="M924" s="83"/>
      <c r="N924" s="59"/>
      <c r="O924" s="59"/>
      <c r="P924" s="86" t="e">
        <f t="shared" si="43"/>
        <v>#VALUE!</v>
      </c>
      <c r="Q924" s="59"/>
      <c r="R924" s="59"/>
      <c r="S924" s="59"/>
      <c r="T924" s="59"/>
      <c r="U924" s="290"/>
      <c r="V924" s="290"/>
      <c r="W924" s="290"/>
      <c r="X924" s="290"/>
      <c r="Y924" s="290"/>
      <c r="Z924" s="290"/>
      <c r="AA924" s="290"/>
      <c r="AB924" s="290"/>
      <c r="AC924" s="290"/>
      <c r="AD924" s="290"/>
    </row>
    <row r="925" spans="1:30" ht="25.5">
      <c r="A925" s="291" t="str">
        <f t="shared" si="44"/>
        <v/>
      </c>
      <c r="B925" s="291" t="s">
        <v>2428</v>
      </c>
      <c r="C925" s="291" t="str">
        <f>IF(D924="","",UNIT!$B$1&amp;"-"&amp;B925)</f>
        <v/>
      </c>
      <c r="D925" s="83"/>
      <c r="E925" s="59"/>
      <c r="F925" s="82"/>
      <c r="G925" s="82"/>
      <c r="H925" s="86"/>
      <c r="I925" s="294" t="str">
        <f t="shared" si="45"/>
        <v/>
      </c>
      <c r="J925" s="59"/>
      <c r="K925" s="83"/>
      <c r="L925" s="83" t="str">
        <f t="shared" si="42"/>
        <v xml:space="preserve">
</v>
      </c>
      <c r="M925" s="83"/>
      <c r="N925" s="59"/>
      <c r="O925" s="59"/>
      <c r="P925" s="86" t="e">
        <f t="shared" si="43"/>
        <v>#VALUE!</v>
      </c>
      <c r="Q925" s="59"/>
      <c r="R925" s="59"/>
      <c r="S925" s="59"/>
      <c r="T925" s="59"/>
      <c r="U925" s="290"/>
      <c r="V925" s="290"/>
      <c r="W925" s="290"/>
      <c r="X925" s="290"/>
      <c r="Y925" s="290"/>
      <c r="Z925" s="290"/>
      <c r="AA925" s="290"/>
      <c r="AB925" s="290"/>
      <c r="AC925" s="290"/>
      <c r="AD925" s="290"/>
    </row>
    <row r="926" spans="1:30" ht="25.5">
      <c r="A926" s="291" t="str">
        <f t="shared" si="44"/>
        <v/>
      </c>
      <c r="B926" s="291" t="s">
        <v>2429</v>
      </c>
      <c r="C926" s="291" t="str">
        <f>IF(D925="","",UNIT!$B$1&amp;"-"&amp;B926)</f>
        <v/>
      </c>
      <c r="D926" s="83"/>
      <c r="E926" s="59"/>
      <c r="F926" s="82"/>
      <c r="G926" s="82"/>
      <c r="H926" s="86"/>
      <c r="I926" s="294" t="str">
        <f t="shared" si="45"/>
        <v/>
      </c>
      <c r="J926" s="59"/>
      <c r="K926" s="83"/>
      <c r="L926" s="83" t="str">
        <f t="shared" si="42"/>
        <v xml:space="preserve">
</v>
      </c>
      <c r="M926" s="83"/>
      <c r="N926" s="59"/>
      <c r="O926" s="59"/>
      <c r="P926" s="86" t="e">
        <f t="shared" si="43"/>
        <v>#VALUE!</v>
      </c>
      <c r="Q926" s="59"/>
      <c r="R926" s="59"/>
      <c r="S926" s="59"/>
      <c r="T926" s="59"/>
      <c r="U926" s="290"/>
      <c r="V926" s="290"/>
      <c r="W926" s="290"/>
      <c r="X926" s="290"/>
      <c r="Y926" s="290"/>
      <c r="Z926" s="290"/>
      <c r="AA926" s="290"/>
      <c r="AB926" s="290"/>
      <c r="AC926" s="290"/>
      <c r="AD926" s="290"/>
    </row>
    <row r="927" spans="1:30" ht="25.5">
      <c r="A927" s="291" t="str">
        <f t="shared" si="44"/>
        <v/>
      </c>
      <c r="B927" s="291" t="s">
        <v>2430</v>
      </c>
      <c r="C927" s="291" t="str">
        <f>IF(D926="","",UNIT!$B$1&amp;"-"&amp;B927)</f>
        <v/>
      </c>
      <c r="D927" s="83"/>
      <c r="E927" s="59"/>
      <c r="F927" s="82"/>
      <c r="G927" s="82"/>
      <c r="H927" s="86"/>
      <c r="I927" s="294" t="str">
        <f t="shared" si="45"/>
        <v/>
      </c>
      <c r="J927" s="59"/>
      <c r="K927" s="83"/>
      <c r="L927" s="83" t="str">
        <f t="shared" si="42"/>
        <v xml:space="preserve">
</v>
      </c>
      <c r="M927" s="83"/>
      <c r="N927" s="59"/>
      <c r="O927" s="59"/>
      <c r="P927" s="86" t="e">
        <f t="shared" si="43"/>
        <v>#VALUE!</v>
      </c>
      <c r="Q927" s="59"/>
      <c r="R927" s="59"/>
      <c r="S927" s="59"/>
      <c r="T927" s="59"/>
      <c r="U927" s="290"/>
      <c r="V927" s="290"/>
      <c r="W927" s="290"/>
      <c r="X927" s="290"/>
      <c r="Y927" s="290"/>
      <c r="Z927" s="290"/>
      <c r="AA927" s="290"/>
      <c r="AB927" s="290"/>
      <c r="AC927" s="290"/>
      <c r="AD927" s="290"/>
    </row>
    <row r="928" spans="1:30" ht="25.5">
      <c r="A928" s="291" t="str">
        <f t="shared" si="44"/>
        <v/>
      </c>
      <c r="B928" s="291" t="s">
        <v>2431</v>
      </c>
      <c r="C928" s="291" t="str">
        <f>IF(D927="","",UNIT!$B$1&amp;"-"&amp;B928)</f>
        <v/>
      </c>
      <c r="D928" s="83"/>
      <c r="E928" s="59"/>
      <c r="F928" s="82"/>
      <c r="G928" s="82"/>
      <c r="H928" s="86"/>
      <c r="I928" s="294" t="str">
        <f t="shared" si="45"/>
        <v/>
      </c>
      <c r="J928" s="59"/>
      <c r="K928" s="83"/>
      <c r="L928" s="83" t="str">
        <f t="shared" si="42"/>
        <v xml:space="preserve">
</v>
      </c>
      <c r="M928" s="83"/>
      <c r="N928" s="59"/>
      <c r="O928" s="59"/>
      <c r="P928" s="86" t="e">
        <f t="shared" si="43"/>
        <v>#VALUE!</v>
      </c>
      <c r="Q928" s="59"/>
      <c r="R928" s="59"/>
      <c r="S928" s="59"/>
      <c r="T928" s="59"/>
      <c r="U928" s="290"/>
      <c r="V928" s="290"/>
      <c r="W928" s="290"/>
      <c r="X928" s="290"/>
      <c r="Y928" s="290"/>
      <c r="Z928" s="290"/>
      <c r="AA928" s="290"/>
      <c r="AB928" s="290"/>
      <c r="AC928" s="290"/>
      <c r="AD928" s="290"/>
    </row>
    <row r="929" spans="1:30" ht="25.5">
      <c r="A929" s="291" t="str">
        <f t="shared" si="44"/>
        <v/>
      </c>
      <c r="B929" s="291" t="s">
        <v>2432</v>
      </c>
      <c r="C929" s="291" t="str">
        <f>IF(D928="","",UNIT!$B$1&amp;"-"&amp;B929)</f>
        <v/>
      </c>
      <c r="D929" s="83"/>
      <c r="E929" s="59"/>
      <c r="F929" s="82"/>
      <c r="G929" s="82"/>
      <c r="H929" s="86"/>
      <c r="I929" s="294" t="str">
        <f t="shared" si="45"/>
        <v/>
      </c>
      <c r="J929" s="59"/>
      <c r="K929" s="83"/>
      <c r="L929" s="83" t="str">
        <f t="shared" si="42"/>
        <v xml:space="preserve">
</v>
      </c>
      <c r="M929" s="83"/>
      <c r="N929" s="59"/>
      <c r="O929" s="59"/>
      <c r="P929" s="86" t="e">
        <f t="shared" si="43"/>
        <v>#VALUE!</v>
      </c>
      <c r="Q929" s="59"/>
      <c r="R929" s="59"/>
      <c r="S929" s="59"/>
      <c r="T929" s="59"/>
      <c r="U929" s="290"/>
      <c r="V929" s="290"/>
      <c r="W929" s="290"/>
      <c r="X929" s="290"/>
      <c r="Y929" s="290"/>
      <c r="Z929" s="290"/>
      <c r="AA929" s="290"/>
      <c r="AB929" s="290"/>
      <c r="AC929" s="290"/>
      <c r="AD929" s="290"/>
    </row>
    <row r="930" spans="1:30" ht="25.5">
      <c r="A930" s="291" t="str">
        <f t="shared" si="44"/>
        <v/>
      </c>
      <c r="B930" s="291" t="s">
        <v>2433</v>
      </c>
      <c r="C930" s="291" t="str">
        <f>IF(D929="","",UNIT!$B$1&amp;"-"&amp;B930)</f>
        <v/>
      </c>
      <c r="D930" s="83"/>
      <c r="E930" s="59"/>
      <c r="F930" s="82"/>
      <c r="G930" s="82"/>
      <c r="H930" s="86"/>
      <c r="I930" s="294" t="str">
        <f t="shared" si="45"/>
        <v/>
      </c>
      <c r="J930" s="59"/>
      <c r="K930" s="83"/>
      <c r="L930" s="83" t="str">
        <f t="shared" si="42"/>
        <v xml:space="preserve">
</v>
      </c>
      <c r="M930" s="83"/>
      <c r="N930" s="59"/>
      <c r="O930" s="59"/>
      <c r="P930" s="86" t="e">
        <f t="shared" si="43"/>
        <v>#VALUE!</v>
      </c>
      <c r="Q930" s="59"/>
      <c r="R930" s="59"/>
      <c r="S930" s="59"/>
      <c r="T930" s="59"/>
      <c r="U930" s="290"/>
      <c r="V930" s="290"/>
      <c r="W930" s="290"/>
      <c r="X930" s="290"/>
      <c r="Y930" s="290"/>
      <c r="Z930" s="290"/>
      <c r="AA930" s="290"/>
      <c r="AB930" s="290"/>
      <c r="AC930" s="290"/>
      <c r="AD930" s="290"/>
    </row>
    <row r="931" spans="1:30" ht="25.5">
      <c r="A931" s="291" t="str">
        <f t="shared" si="44"/>
        <v/>
      </c>
      <c r="B931" s="291" t="s">
        <v>2434</v>
      </c>
      <c r="C931" s="291" t="str">
        <f>IF(D930="","",UNIT!$B$1&amp;"-"&amp;B931)</f>
        <v/>
      </c>
      <c r="D931" s="83"/>
      <c r="E931" s="59"/>
      <c r="F931" s="82"/>
      <c r="G931" s="82"/>
      <c r="H931" s="86"/>
      <c r="I931" s="294" t="str">
        <f t="shared" si="45"/>
        <v/>
      </c>
      <c r="J931" s="59"/>
      <c r="K931" s="83"/>
      <c r="L931" s="83" t="str">
        <f t="shared" si="42"/>
        <v xml:space="preserve">
</v>
      </c>
      <c r="M931" s="83"/>
      <c r="N931" s="59"/>
      <c r="O931" s="59"/>
      <c r="P931" s="86" t="e">
        <f t="shared" si="43"/>
        <v>#VALUE!</v>
      </c>
      <c r="Q931" s="59"/>
      <c r="R931" s="59"/>
      <c r="S931" s="59"/>
      <c r="T931" s="59"/>
      <c r="U931" s="290"/>
      <c r="V931" s="290"/>
      <c r="W931" s="290"/>
      <c r="X931" s="290"/>
      <c r="Y931" s="290"/>
      <c r="Z931" s="290"/>
      <c r="AA931" s="290"/>
      <c r="AB931" s="290"/>
      <c r="AC931" s="290"/>
      <c r="AD931" s="290"/>
    </row>
    <row r="932" spans="1:30" ht="25.5">
      <c r="A932" s="291" t="str">
        <f t="shared" si="44"/>
        <v/>
      </c>
      <c r="B932" s="291" t="s">
        <v>2435</v>
      </c>
      <c r="C932" s="291" t="str">
        <f>IF(D931="","",UNIT!$B$1&amp;"-"&amp;B932)</f>
        <v/>
      </c>
      <c r="D932" s="83"/>
      <c r="E932" s="59"/>
      <c r="F932" s="82"/>
      <c r="G932" s="82"/>
      <c r="H932" s="86"/>
      <c r="I932" s="294" t="str">
        <f t="shared" si="45"/>
        <v/>
      </c>
      <c r="J932" s="59"/>
      <c r="K932" s="83"/>
      <c r="L932" s="83" t="str">
        <f t="shared" si="42"/>
        <v xml:space="preserve">
</v>
      </c>
      <c r="M932" s="83"/>
      <c r="N932" s="59"/>
      <c r="O932" s="59"/>
      <c r="P932" s="86" t="e">
        <f t="shared" si="43"/>
        <v>#VALUE!</v>
      </c>
      <c r="Q932" s="59"/>
      <c r="R932" s="59"/>
      <c r="S932" s="59"/>
      <c r="T932" s="59"/>
      <c r="U932" s="290"/>
      <c r="V932" s="290"/>
      <c r="W932" s="290"/>
      <c r="X932" s="290"/>
      <c r="Y932" s="290"/>
      <c r="Z932" s="290"/>
      <c r="AA932" s="290"/>
      <c r="AB932" s="290"/>
      <c r="AC932" s="290"/>
      <c r="AD932" s="290"/>
    </row>
    <row r="933" spans="1:30" ht="25.5">
      <c r="A933" s="291" t="str">
        <f t="shared" si="44"/>
        <v/>
      </c>
      <c r="B933" s="291" t="s">
        <v>2436</v>
      </c>
      <c r="C933" s="291" t="str">
        <f>IF(D932="","",UNIT!$B$1&amp;"-"&amp;B933)</f>
        <v/>
      </c>
      <c r="D933" s="83"/>
      <c r="E933" s="59"/>
      <c r="F933" s="82"/>
      <c r="G933" s="82"/>
      <c r="H933" s="86"/>
      <c r="I933" s="294" t="str">
        <f t="shared" si="45"/>
        <v/>
      </c>
      <c r="J933" s="59"/>
      <c r="K933" s="83"/>
      <c r="L933" s="83" t="str">
        <f t="shared" si="42"/>
        <v xml:space="preserve">
</v>
      </c>
      <c r="M933" s="83"/>
      <c r="N933" s="59"/>
      <c r="O933" s="59"/>
      <c r="P933" s="86" t="e">
        <f t="shared" si="43"/>
        <v>#VALUE!</v>
      </c>
      <c r="Q933" s="59"/>
      <c r="R933" s="59"/>
      <c r="S933" s="59"/>
      <c r="T933" s="59"/>
      <c r="U933" s="290"/>
      <c r="V933" s="290"/>
      <c r="W933" s="290"/>
      <c r="X933" s="290"/>
      <c r="Y933" s="290"/>
      <c r="Z933" s="290"/>
      <c r="AA933" s="290"/>
      <c r="AB933" s="290"/>
      <c r="AC933" s="290"/>
      <c r="AD933" s="290"/>
    </row>
    <row r="934" spans="1:30" ht="25.5">
      <c r="A934" s="291" t="str">
        <f t="shared" si="44"/>
        <v/>
      </c>
      <c r="B934" s="291" t="s">
        <v>2437</v>
      </c>
      <c r="C934" s="291" t="str">
        <f>IF(D933="","",UNIT!$B$1&amp;"-"&amp;B934)</f>
        <v/>
      </c>
      <c r="D934" s="83"/>
      <c r="E934" s="59"/>
      <c r="F934" s="82"/>
      <c r="G934" s="82"/>
      <c r="H934" s="86"/>
      <c r="I934" s="294" t="str">
        <f t="shared" si="45"/>
        <v/>
      </c>
      <c r="J934" s="59"/>
      <c r="K934" s="83"/>
      <c r="L934" s="83" t="str">
        <f t="shared" si="42"/>
        <v xml:space="preserve">
</v>
      </c>
      <c r="M934" s="83"/>
      <c r="N934" s="59"/>
      <c r="O934" s="59"/>
      <c r="P934" s="86" t="e">
        <f t="shared" si="43"/>
        <v>#VALUE!</v>
      </c>
      <c r="Q934" s="59"/>
      <c r="R934" s="59"/>
      <c r="S934" s="59"/>
      <c r="T934" s="59"/>
      <c r="U934" s="290"/>
      <c r="V934" s="290"/>
      <c r="W934" s="290"/>
      <c r="X934" s="290"/>
      <c r="Y934" s="290"/>
      <c r="Z934" s="290"/>
      <c r="AA934" s="290"/>
      <c r="AB934" s="290"/>
      <c r="AC934" s="290"/>
      <c r="AD934" s="290"/>
    </row>
    <row r="935" spans="1:30" ht="25.5">
      <c r="A935" s="291" t="str">
        <f t="shared" si="44"/>
        <v/>
      </c>
      <c r="B935" s="291" t="s">
        <v>2438</v>
      </c>
      <c r="C935" s="291" t="str">
        <f>IF(D934="","",UNIT!$B$1&amp;"-"&amp;B935)</f>
        <v/>
      </c>
      <c r="D935" s="83"/>
      <c r="E935" s="59"/>
      <c r="F935" s="82"/>
      <c r="G935" s="82"/>
      <c r="H935" s="86"/>
      <c r="I935" s="294" t="str">
        <f t="shared" si="45"/>
        <v/>
      </c>
      <c r="J935" s="59"/>
      <c r="K935" s="83"/>
      <c r="L935" s="83" t="str">
        <f t="shared" si="42"/>
        <v xml:space="preserve">
</v>
      </c>
      <c r="M935" s="83"/>
      <c r="N935" s="59"/>
      <c r="O935" s="59"/>
      <c r="P935" s="86" t="e">
        <f t="shared" si="43"/>
        <v>#VALUE!</v>
      </c>
      <c r="Q935" s="59"/>
      <c r="R935" s="59"/>
      <c r="S935" s="59"/>
      <c r="T935" s="59"/>
      <c r="U935" s="290"/>
      <c r="V935" s="290"/>
      <c r="W935" s="290"/>
      <c r="X935" s="290"/>
      <c r="Y935" s="290"/>
      <c r="Z935" s="290"/>
      <c r="AA935" s="290"/>
      <c r="AB935" s="290"/>
      <c r="AC935" s="290"/>
      <c r="AD935" s="290"/>
    </row>
    <row r="936" spans="1:30" ht="25.5">
      <c r="A936" s="291" t="str">
        <f t="shared" si="44"/>
        <v/>
      </c>
      <c r="B936" s="291" t="s">
        <v>2439</v>
      </c>
      <c r="C936" s="291" t="str">
        <f>IF(D935="","",UNIT!$B$1&amp;"-"&amp;B936)</f>
        <v/>
      </c>
      <c r="D936" s="83"/>
      <c r="E936" s="59"/>
      <c r="F936" s="82"/>
      <c r="G936" s="82"/>
      <c r="H936" s="86"/>
      <c r="I936" s="294" t="str">
        <f t="shared" si="45"/>
        <v/>
      </c>
      <c r="J936" s="59"/>
      <c r="K936" s="83"/>
      <c r="L936" s="83" t="str">
        <f t="shared" si="42"/>
        <v xml:space="preserve">
</v>
      </c>
      <c r="M936" s="83"/>
      <c r="N936" s="59"/>
      <c r="O936" s="59"/>
      <c r="P936" s="86" t="e">
        <f t="shared" si="43"/>
        <v>#VALUE!</v>
      </c>
      <c r="Q936" s="59"/>
      <c r="R936" s="59"/>
      <c r="S936" s="59"/>
      <c r="T936" s="59"/>
      <c r="U936" s="290"/>
      <c r="V936" s="290"/>
      <c r="W936" s="290"/>
      <c r="X936" s="290"/>
      <c r="Y936" s="290"/>
      <c r="Z936" s="290"/>
      <c r="AA936" s="290"/>
      <c r="AB936" s="290"/>
      <c r="AC936" s="290"/>
      <c r="AD936" s="290"/>
    </row>
    <row r="937" spans="1:30" ht="25.5">
      <c r="A937" s="291" t="str">
        <f t="shared" si="44"/>
        <v/>
      </c>
      <c r="B937" s="291" t="s">
        <v>2440</v>
      </c>
      <c r="C937" s="291" t="str">
        <f>IF(D936="","",UNIT!$B$1&amp;"-"&amp;B937)</f>
        <v/>
      </c>
      <c r="D937" s="83"/>
      <c r="E937" s="59"/>
      <c r="F937" s="82"/>
      <c r="G937" s="82"/>
      <c r="H937" s="86"/>
      <c r="I937" s="294" t="str">
        <f t="shared" si="45"/>
        <v/>
      </c>
      <c r="J937" s="59"/>
      <c r="K937" s="83"/>
      <c r="L937" s="83" t="str">
        <f t="shared" si="42"/>
        <v xml:space="preserve">
</v>
      </c>
      <c r="M937" s="83"/>
      <c r="N937" s="59"/>
      <c r="O937" s="59"/>
      <c r="P937" s="86" t="e">
        <f t="shared" si="43"/>
        <v>#VALUE!</v>
      </c>
      <c r="Q937" s="59"/>
      <c r="R937" s="59"/>
      <c r="S937" s="59"/>
      <c r="T937" s="59"/>
      <c r="U937" s="290"/>
      <c r="V937" s="290"/>
      <c r="W937" s="290"/>
      <c r="X937" s="290"/>
      <c r="Y937" s="290"/>
      <c r="Z937" s="290"/>
      <c r="AA937" s="290"/>
      <c r="AB937" s="290"/>
      <c r="AC937" s="290"/>
      <c r="AD937" s="290"/>
    </row>
    <row r="938" spans="1:30" ht="25.5">
      <c r="A938" s="291" t="str">
        <f t="shared" si="44"/>
        <v/>
      </c>
      <c r="B938" s="291" t="s">
        <v>2441</v>
      </c>
      <c r="C938" s="291" t="str">
        <f>IF(D937="","",UNIT!$B$1&amp;"-"&amp;B938)</f>
        <v/>
      </c>
      <c r="D938" s="83"/>
      <c r="E938" s="59"/>
      <c r="F938" s="82"/>
      <c r="G938" s="82"/>
      <c r="H938" s="86"/>
      <c r="I938" s="294" t="str">
        <f t="shared" si="45"/>
        <v/>
      </c>
      <c r="J938" s="59"/>
      <c r="K938" s="83"/>
      <c r="L938" s="83" t="str">
        <f t="shared" si="42"/>
        <v xml:space="preserve">
</v>
      </c>
      <c r="M938" s="83"/>
      <c r="N938" s="59"/>
      <c r="O938" s="59"/>
      <c r="P938" s="86" t="e">
        <f t="shared" si="43"/>
        <v>#VALUE!</v>
      </c>
      <c r="Q938" s="59"/>
      <c r="R938" s="59"/>
      <c r="S938" s="59"/>
      <c r="T938" s="59"/>
      <c r="U938" s="290"/>
      <c r="V938" s="290"/>
      <c r="W938" s="290"/>
      <c r="X938" s="290"/>
      <c r="Y938" s="290"/>
      <c r="Z938" s="290"/>
      <c r="AA938" s="290"/>
      <c r="AB938" s="290"/>
      <c r="AC938" s="290"/>
      <c r="AD938" s="290"/>
    </row>
    <row r="939" spans="1:30" ht="25.5">
      <c r="A939" s="291" t="str">
        <f t="shared" si="44"/>
        <v/>
      </c>
      <c r="B939" s="291" t="s">
        <v>2442</v>
      </c>
      <c r="C939" s="291" t="str">
        <f>IF(D938="","",UNIT!$B$1&amp;"-"&amp;B939)</f>
        <v/>
      </c>
      <c r="D939" s="83"/>
      <c r="E939" s="59"/>
      <c r="F939" s="82"/>
      <c r="G939" s="82"/>
      <c r="H939" s="86"/>
      <c r="I939" s="294" t="str">
        <f t="shared" si="45"/>
        <v/>
      </c>
      <c r="J939" s="59"/>
      <c r="K939" s="83"/>
      <c r="L939" s="83" t="str">
        <f t="shared" si="42"/>
        <v xml:space="preserve">
</v>
      </c>
      <c r="M939" s="83"/>
      <c r="N939" s="59"/>
      <c r="O939" s="59"/>
      <c r="P939" s="86" t="e">
        <f t="shared" si="43"/>
        <v>#VALUE!</v>
      </c>
      <c r="Q939" s="59"/>
      <c r="R939" s="59"/>
      <c r="S939" s="59"/>
      <c r="T939" s="59"/>
      <c r="U939" s="290"/>
      <c r="V939" s="290"/>
      <c r="W939" s="290"/>
      <c r="X939" s="290"/>
      <c r="Y939" s="290"/>
      <c r="Z939" s="290"/>
      <c r="AA939" s="290"/>
      <c r="AB939" s="290"/>
      <c r="AC939" s="290"/>
      <c r="AD939" s="290"/>
    </row>
    <row r="940" spans="1:30" ht="25.5">
      <c r="A940" s="291" t="str">
        <f t="shared" si="44"/>
        <v/>
      </c>
      <c r="B940" s="291" t="s">
        <v>2443</v>
      </c>
      <c r="C940" s="291" t="str">
        <f>IF(D939="","",UNIT!$B$1&amp;"-"&amp;B940)</f>
        <v/>
      </c>
      <c r="D940" s="83"/>
      <c r="E940" s="59"/>
      <c r="F940" s="82"/>
      <c r="G940" s="82"/>
      <c r="H940" s="86"/>
      <c r="I940" s="294" t="str">
        <f t="shared" si="45"/>
        <v/>
      </c>
      <c r="J940" s="59"/>
      <c r="K940" s="83"/>
      <c r="L940" s="83" t="str">
        <f t="shared" si="42"/>
        <v xml:space="preserve">
</v>
      </c>
      <c r="M940" s="83"/>
      <c r="N940" s="59"/>
      <c r="O940" s="59"/>
      <c r="P940" s="86" t="e">
        <f t="shared" si="43"/>
        <v>#VALUE!</v>
      </c>
      <c r="Q940" s="59"/>
      <c r="R940" s="59"/>
      <c r="S940" s="59"/>
      <c r="T940" s="59"/>
      <c r="U940" s="290"/>
      <c r="V940" s="290"/>
      <c r="W940" s="290"/>
      <c r="X940" s="290"/>
      <c r="Y940" s="290"/>
      <c r="Z940" s="290"/>
      <c r="AA940" s="290"/>
      <c r="AB940" s="290"/>
      <c r="AC940" s="290"/>
      <c r="AD940" s="290"/>
    </row>
    <row r="941" spans="1:30" ht="25.5">
      <c r="A941" s="291" t="str">
        <f t="shared" si="44"/>
        <v/>
      </c>
      <c r="B941" s="291" t="s">
        <v>2444</v>
      </c>
      <c r="C941" s="291" t="str">
        <f>IF(D940="","",UNIT!$B$1&amp;"-"&amp;B941)</f>
        <v/>
      </c>
      <c r="D941" s="83"/>
      <c r="E941" s="59"/>
      <c r="F941" s="82"/>
      <c r="G941" s="82"/>
      <c r="H941" s="86"/>
      <c r="I941" s="294" t="str">
        <f t="shared" si="45"/>
        <v/>
      </c>
      <c r="J941" s="59"/>
      <c r="K941" s="83"/>
      <c r="L941" s="83" t="str">
        <f t="shared" si="42"/>
        <v xml:space="preserve">
</v>
      </c>
      <c r="M941" s="83"/>
      <c r="N941" s="59"/>
      <c r="O941" s="59"/>
      <c r="P941" s="86" t="e">
        <f t="shared" si="43"/>
        <v>#VALUE!</v>
      </c>
      <c r="Q941" s="59"/>
      <c r="R941" s="59"/>
      <c r="S941" s="59"/>
      <c r="T941" s="59"/>
      <c r="U941" s="290"/>
      <c r="V941" s="290"/>
      <c r="W941" s="290"/>
      <c r="X941" s="290"/>
      <c r="Y941" s="290"/>
      <c r="Z941" s="290"/>
      <c r="AA941" s="290"/>
      <c r="AB941" s="290"/>
      <c r="AC941" s="290"/>
      <c r="AD941" s="290"/>
    </row>
    <row r="942" spans="1:30" ht="25.5">
      <c r="A942" s="291" t="str">
        <f t="shared" si="44"/>
        <v/>
      </c>
      <c r="B942" s="291" t="s">
        <v>2445</v>
      </c>
      <c r="C942" s="291" t="str">
        <f>IF(D941="","",UNIT!$B$1&amp;"-"&amp;B942)</f>
        <v/>
      </c>
      <c r="D942" s="83"/>
      <c r="E942" s="59"/>
      <c r="F942" s="82"/>
      <c r="G942" s="82"/>
      <c r="H942" s="86"/>
      <c r="I942" s="294" t="str">
        <f t="shared" si="45"/>
        <v/>
      </c>
      <c r="J942" s="59"/>
      <c r="K942" s="83"/>
      <c r="L942" s="83" t="str">
        <f t="shared" si="42"/>
        <v xml:space="preserve">
</v>
      </c>
      <c r="M942" s="83"/>
      <c r="N942" s="59"/>
      <c r="O942" s="59"/>
      <c r="P942" s="86" t="e">
        <f t="shared" si="43"/>
        <v>#VALUE!</v>
      </c>
      <c r="Q942" s="59"/>
      <c r="R942" s="59"/>
      <c r="S942" s="59"/>
      <c r="T942" s="59"/>
      <c r="U942" s="290"/>
      <c r="V942" s="290"/>
      <c r="W942" s="290"/>
      <c r="X942" s="290"/>
      <c r="Y942" s="290"/>
      <c r="Z942" s="290"/>
      <c r="AA942" s="290"/>
      <c r="AB942" s="290"/>
      <c r="AC942" s="290"/>
      <c r="AD942" s="290"/>
    </row>
    <row r="943" spans="1:30" ht="25.5">
      <c r="A943" s="291" t="str">
        <f t="shared" si="44"/>
        <v/>
      </c>
      <c r="B943" s="291" t="s">
        <v>2446</v>
      </c>
      <c r="C943" s="291" t="str">
        <f>IF(D942="","",UNIT!$B$1&amp;"-"&amp;B943)</f>
        <v/>
      </c>
      <c r="D943" s="83"/>
      <c r="E943" s="59"/>
      <c r="F943" s="82"/>
      <c r="G943" s="82"/>
      <c r="H943" s="86"/>
      <c r="I943" s="294" t="str">
        <f t="shared" si="45"/>
        <v/>
      </c>
      <c r="J943" s="59"/>
      <c r="K943" s="83"/>
      <c r="L943" s="83" t="str">
        <f t="shared" si="42"/>
        <v xml:space="preserve">
</v>
      </c>
      <c r="M943" s="83"/>
      <c r="N943" s="59"/>
      <c r="O943" s="59"/>
      <c r="P943" s="86" t="e">
        <f t="shared" si="43"/>
        <v>#VALUE!</v>
      </c>
      <c r="Q943" s="59"/>
      <c r="R943" s="59"/>
      <c r="S943" s="59"/>
      <c r="T943" s="59"/>
      <c r="U943" s="290"/>
      <c r="V943" s="290"/>
      <c r="W943" s="290"/>
      <c r="X943" s="290"/>
      <c r="Y943" s="290"/>
      <c r="Z943" s="290"/>
      <c r="AA943" s="290"/>
      <c r="AB943" s="290"/>
      <c r="AC943" s="290"/>
      <c r="AD943" s="290"/>
    </row>
    <row r="944" spans="1:30" ht="25.5">
      <c r="A944" s="291" t="str">
        <f t="shared" si="44"/>
        <v/>
      </c>
      <c r="B944" s="291" t="s">
        <v>2447</v>
      </c>
      <c r="C944" s="291" t="str">
        <f>IF(D943="","",UNIT!$B$1&amp;"-"&amp;B944)</f>
        <v/>
      </c>
      <c r="D944" s="83"/>
      <c r="E944" s="59"/>
      <c r="F944" s="82"/>
      <c r="G944" s="82"/>
      <c r="H944" s="86"/>
      <c r="I944" s="294" t="str">
        <f t="shared" si="45"/>
        <v/>
      </c>
      <c r="J944" s="59"/>
      <c r="K944" s="83"/>
      <c r="L944" s="83" t="str">
        <f t="shared" si="42"/>
        <v xml:space="preserve">
</v>
      </c>
      <c r="M944" s="83"/>
      <c r="N944" s="59"/>
      <c r="O944" s="59"/>
      <c r="P944" s="86" t="e">
        <f t="shared" si="43"/>
        <v>#VALUE!</v>
      </c>
      <c r="Q944" s="59"/>
      <c r="R944" s="59"/>
      <c r="S944" s="59"/>
      <c r="T944" s="59"/>
      <c r="U944" s="290"/>
      <c r="V944" s="290"/>
      <c r="W944" s="290"/>
      <c r="X944" s="290"/>
      <c r="Y944" s="290"/>
      <c r="Z944" s="290"/>
      <c r="AA944" s="290"/>
      <c r="AB944" s="290"/>
      <c r="AC944" s="290"/>
      <c r="AD944" s="290"/>
    </row>
    <row r="945" spans="1:30" ht="25.5">
      <c r="A945" s="291" t="str">
        <f t="shared" si="44"/>
        <v/>
      </c>
      <c r="B945" s="291" t="s">
        <v>2448</v>
      </c>
      <c r="C945" s="291" t="str">
        <f>IF(D944="","",UNIT!$B$1&amp;"-"&amp;B945)</f>
        <v/>
      </c>
      <c r="D945" s="83"/>
      <c r="E945" s="59"/>
      <c r="F945" s="82"/>
      <c r="G945" s="82"/>
      <c r="H945" s="86"/>
      <c r="I945" s="294" t="str">
        <f t="shared" si="45"/>
        <v/>
      </c>
      <c r="J945" s="59"/>
      <c r="K945" s="83"/>
      <c r="L945" s="83" t="str">
        <f t="shared" si="42"/>
        <v xml:space="preserve">
</v>
      </c>
      <c r="M945" s="83"/>
      <c r="N945" s="59"/>
      <c r="O945" s="59"/>
      <c r="P945" s="86" t="e">
        <f t="shared" si="43"/>
        <v>#VALUE!</v>
      </c>
      <c r="Q945" s="59"/>
      <c r="R945" s="59"/>
      <c r="S945" s="59"/>
      <c r="T945" s="59"/>
      <c r="U945" s="290"/>
      <c r="V945" s="290"/>
      <c r="W945" s="290"/>
      <c r="X945" s="290"/>
      <c r="Y945" s="290"/>
      <c r="Z945" s="290"/>
      <c r="AA945" s="290"/>
      <c r="AB945" s="290"/>
      <c r="AC945" s="290"/>
      <c r="AD945" s="290"/>
    </row>
    <row r="946" spans="1:30" ht="25.5">
      <c r="A946" s="291" t="str">
        <f t="shared" si="44"/>
        <v/>
      </c>
      <c r="B946" s="291" t="s">
        <v>2449</v>
      </c>
      <c r="C946" s="291" t="str">
        <f>IF(D945="","",UNIT!$B$1&amp;"-"&amp;B946)</f>
        <v/>
      </c>
      <c r="D946" s="83"/>
      <c r="E946" s="59"/>
      <c r="F946" s="82"/>
      <c r="G946" s="82"/>
      <c r="H946" s="86"/>
      <c r="I946" s="294" t="str">
        <f t="shared" si="45"/>
        <v/>
      </c>
      <c r="J946" s="59"/>
      <c r="K946" s="83"/>
      <c r="L946" s="83" t="str">
        <f t="shared" si="42"/>
        <v xml:space="preserve">
</v>
      </c>
      <c r="M946" s="83"/>
      <c r="N946" s="59"/>
      <c r="O946" s="59"/>
      <c r="P946" s="86" t="e">
        <f t="shared" si="43"/>
        <v>#VALUE!</v>
      </c>
      <c r="Q946" s="59"/>
      <c r="R946" s="59"/>
      <c r="S946" s="59"/>
      <c r="T946" s="59"/>
      <c r="U946" s="290"/>
      <c r="V946" s="290"/>
      <c r="W946" s="290"/>
      <c r="X946" s="290"/>
      <c r="Y946" s="290"/>
      <c r="Z946" s="290"/>
      <c r="AA946" s="290"/>
      <c r="AB946" s="290"/>
      <c r="AC946" s="290"/>
      <c r="AD946" s="290"/>
    </row>
    <row r="947" spans="1:30" ht="25.5">
      <c r="A947" s="291" t="str">
        <f t="shared" si="44"/>
        <v/>
      </c>
      <c r="B947" s="291" t="s">
        <v>2450</v>
      </c>
      <c r="C947" s="291" t="str">
        <f>IF(D946="","",UNIT!$B$1&amp;"-"&amp;B947)</f>
        <v/>
      </c>
      <c r="D947" s="83"/>
      <c r="E947" s="59"/>
      <c r="F947" s="82"/>
      <c r="G947" s="82"/>
      <c r="H947" s="86"/>
      <c r="I947" s="294" t="str">
        <f t="shared" si="45"/>
        <v/>
      </c>
      <c r="J947" s="59"/>
      <c r="K947" s="83"/>
      <c r="L947" s="83" t="str">
        <f t="shared" si="42"/>
        <v xml:space="preserve">
</v>
      </c>
      <c r="M947" s="83"/>
      <c r="N947" s="59"/>
      <c r="O947" s="59"/>
      <c r="P947" s="86" t="e">
        <f t="shared" si="43"/>
        <v>#VALUE!</v>
      </c>
      <c r="Q947" s="59"/>
      <c r="R947" s="59"/>
      <c r="S947" s="59"/>
      <c r="T947" s="59"/>
      <c r="U947" s="290"/>
      <c r="V947" s="290"/>
      <c r="W947" s="290"/>
      <c r="X947" s="290"/>
      <c r="Y947" s="290"/>
      <c r="Z947" s="290"/>
      <c r="AA947" s="290"/>
      <c r="AB947" s="290"/>
      <c r="AC947" s="290"/>
      <c r="AD947" s="290"/>
    </row>
    <row r="948" spans="1:30" ht="25.5">
      <c r="A948" s="291" t="str">
        <f t="shared" si="44"/>
        <v/>
      </c>
      <c r="B948" s="291" t="s">
        <v>2451</v>
      </c>
      <c r="C948" s="291" t="str">
        <f>IF(D947="","",UNIT!$B$1&amp;"-"&amp;B948)</f>
        <v/>
      </c>
      <c r="D948" s="83"/>
      <c r="E948" s="59"/>
      <c r="F948" s="82"/>
      <c r="G948" s="82"/>
      <c r="H948" s="86"/>
      <c r="I948" s="294" t="str">
        <f t="shared" si="45"/>
        <v/>
      </c>
      <c r="J948" s="59"/>
      <c r="K948" s="83"/>
      <c r="L948" s="83" t="str">
        <f t="shared" si="42"/>
        <v xml:space="preserve">
</v>
      </c>
      <c r="M948" s="83"/>
      <c r="N948" s="59"/>
      <c r="O948" s="59"/>
      <c r="P948" s="86" t="e">
        <f t="shared" si="43"/>
        <v>#VALUE!</v>
      </c>
      <c r="Q948" s="59"/>
      <c r="R948" s="59"/>
      <c r="S948" s="59"/>
      <c r="T948" s="59"/>
      <c r="U948" s="290"/>
      <c r="V948" s="290"/>
      <c r="W948" s="290"/>
      <c r="X948" s="290"/>
      <c r="Y948" s="290"/>
      <c r="Z948" s="290"/>
      <c r="AA948" s="290"/>
      <c r="AB948" s="290"/>
      <c r="AC948" s="290"/>
      <c r="AD948" s="290"/>
    </row>
    <row r="949" spans="1:30" ht="25.5">
      <c r="A949" s="291" t="str">
        <f t="shared" si="44"/>
        <v/>
      </c>
      <c r="B949" s="291" t="s">
        <v>2452</v>
      </c>
      <c r="C949" s="291" t="str">
        <f>IF(D948="","",UNIT!$B$1&amp;"-"&amp;B949)</f>
        <v/>
      </c>
      <c r="D949" s="83"/>
      <c r="E949" s="59"/>
      <c r="F949" s="82"/>
      <c r="G949" s="82"/>
      <c r="H949" s="86"/>
      <c r="I949" s="294" t="str">
        <f t="shared" si="45"/>
        <v/>
      </c>
      <c r="J949" s="59"/>
      <c r="K949" s="83"/>
      <c r="L949" s="83" t="str">
        <f t="shared" si="42"/>
        <v xml:space="preserve">
</v>
      </c>
      <c r="M949" s="83"/>
      <c r="N949" s="59"/>
      <c r="O949" s="59"/>
      <c r="P949" s="86" t="e">
        <f t="shared" si="43"/>
        <v>#VALUE!</v>
      </c>
      <c r="Q949" s="59"/>
      <c r="R949" s="59"/>
      <c r="S949" s="59"/>
      <c r="T949" s="59"/>
      <c r="U949" s="290"/>
      <c r="V949" s="290"/>
      <c r="W949" s="290"/>
      <c r="X949" s="290"/>
      <c r="Y949" s="290"/>
      <c r="Z949" s="290"/>
      <c r="AA949" s="290"/>
      <c r="AB949" s="290"/>
      <c r="AC949" s="290"/>
      <c r="AD949" s="290"/>
    </row>
    <row r="950" spans="1:30" ht="25.5">
      <c r="A950" s="291" t="str">
        <f t="shared" si="44"/>
        <v/>
      </c>
      <c r="B950" s="291" t="s">
        <v>2453</v>
      </c>
      <c r="C950" s="291" t="str">
        <f>IF(D949="","",UNIT!$B$1&amp;"-"&amp;B950)</f>
        <v/>
      </c>
      <c r="D950" s="83"/>
      <c r="E950" s="59"/>
      <c r="F950" s="82"/>
      <c r="G950" s="82"/>
      <c r="H950" s="86"/>
      <c r="I950" s="294" t="str">
        <f t="shared" si="45"/>
        <v/>
      </c>
      <c r="J950" s="59"/>
      <c r="K950" s="83"/>
      <c r="L950" s="83" t="str">
        <f t="shared" si="42"/>
        <v xml:space="preserve">
</v>
      </c>
      <c r="M950" s="83"/>
      <c r="N950" s="59"/>
      <c r="O950" s="59"/>
      <c r="P950" s="86" t="e">
        <f t="shared" si="43"/>
        <v>#VALUE!</v>
      </c>
      <c r="Q950" s="59"/>
      <c r="R950" s="59"/>
      <c r="S950" s="59"/>
      <c r="T950" s="59"/>
      <c r="U950" s="290"/>
      <c r="V950" s="290"/>
      <c r="W950" s="290"/>
      <c r="X950" s="290"/>
      <c r="Y950" s="290"/>
      <c r="Z950" s="290"/>
      <c r="AA950" s="290"/>
      <c r="AB950" s="290"/>
      <c r="AC950" s="290"/>
      <c r="AD950" s="290"/>
    </row>
    <row r="951" spans="1:30" ht="25.5">
      <c r="A951" s="291" t="str">
        <f t="shared" si="44"/>
        <v/>
      </c>
      <c r="B951" s="291" t="s">
        <v>2454</v>
      </c>
      <c r="C951" s="291" t="str">
        <f>IF(D950="","",UNIT!$B$1&amp;"-"&amp;B951)</f>
        <v/>
      </c>
      <c r="D951" s="83"/>
      <c r="E951" s="59"/>
      <c r="F951" s="82"/>
      <c r="G951" s="82"/>
      <c r="H951" s="86"/>
      <c r="I951" s="294" t="str">
        <f t="shared" si="45"/>
        <v/>
      </c>
      <c r="J951" s="59"/>
      <c r="K951" s="83"/>
      <c r="L951" s="83" t="str">
        <f t="shared" si="42"/>
        <v xml:space="preserve">
</v>
      </c>
      <c r="M951" s="83"/>
      <c r="N951" s="59"/>
      <c r="O951" s="59"/>
      <c r="P951" s="86" t="e">
        <f t="shared" si="43"/>
        <v>#VALUE!</v>
      </c>
      <c r="Q951" s="59"/>
      <c r="R951" s="59"/>
      <c r="S951" s="59"/>
      <c r="T951" s="59"/>
      <c r="U951" s="290"/>
      <c r="V951" s="290"/>
      <c r="W951" s="290"/>
      <c r="X951" s="290"/>
      <c r="Y951" s="290"/>
      <c r="Z951" s="290"/>
      <c r="AA951" s="290"/>
      <c r="AB951" s="290"/>
      <c r="AC951" s="290"/>
      <c r="AD951" s="290"/>
    </row>
    <row r="952" spans="1:30" ht="25.5">
      <c r="A952" s="291" t="str">
        <f t="shared" si="44"/>
        <v/>
      </c>
      <c r="B952" s="291" t="s">
        <v>2455</v>
      </c>
      <c r="C952" s="291" t="str">
        <f>IF(D951="","",UNIT!$B$1&amp;"-"&amp;B952)</f>
        <v/>
      </c>
      <c r="D952" s="83"/>
      <c r="E952" s="59"/>
      <c r="F952" s="82"/>
      <c r="G952" s="82"/>
      <c r="H952" s="86"/>
      <c r="I952" s="294" t="str">
        <f t="shared" si="45"/>
        <v/>
      </c>
      <c r="J952" s="59"/>
      <c r="K952" s="83"/>
      <c r="L952" s="83" t="str">
        <f t="shared" si="42"/>
        <v xml:space="preserve">
</v>
      </c>
      <c r="M952" s="83"/>
      <c r="N952" s="59"/>
      <c r="O952" s="59"/>
      <c r="P952" s="86" t="e">
        <f t="shared" si="43"/>
        <v>#VALUE!</v>
      </c>
      <c r="Q952" s="59"/>
      <c r="R952" s="59"/>
      <c r="S952" s="59"/>
      <c r="T952" s="59"/>
      <c r="U952" s="290"/>
      <c r="V952" s="290"/>
      <c r="W952" s="290"/>
      <c r="X952" s="290"/>
      <c r="Y952" s="290"/>
      <c r="Z952" s="290"/>
      <c r="AA952" s="290"/>
      <c r="AB952" s="290"/>
      <c r="AC952" s="290"/>
      <c r="AD952" s="290"/>
    </row>
    <row r="953" spans="1:30" ht="25.5">
      <c r="A953" s="291" t="str">
        <f t="shared" si="44"/>
        <v/>
      </c>
      <c r="B953" s="291" t="s">
        <v>2456</v>
      </c>
      <c r="C953" s="291" t="str">
        <f>IF(D952="","",UNIT!$B$1&amp;"-"&amp;B953)</f>
        <v/>
      </c>
      <c r="D953" s="83"/>
      <c r="E953" s="59"/>
      <c r="F953" s="82"/>
      <c r="G953" s="82"/>
      <c r="H953" s="86"/>
      <c r="I953" s="294" t="str">
        <f t="shared" si="45"/>
        <v/>
      </c>
      <c r="J953" s="59"/>
      <c r="K953" s="83"/>
      <c r="L953" s="83" t="str">
        <f t="shared" si="42"/>
        <v xml:space="preserve">
</v>
      </c>
      <c r="M953" s="83"/>
      <c r="N953" s="59"/>
      <c r="O953" s="59"/>
      <c r="P953" s="86" t="e">
        <f t="shared" si="43"/>
        <v>#VALUE!</v>
      </c>
      <c r="Q953" s="59"/>
      <c r="R953" s="59"/>
      <c r="S953" s="59"/>
      <c r="T953" s="59"/>
      <c r="U953" s="290"/>
      <c r="V953" s="290"/>
      <c r="W953" s="290"/>
      <c r="X953" s="290"/>
      <c r="Y953" s="290"/>
      <c r="Z953" s="290"/>
      <c r="AA953" s="290"/>
      <c r="AB953" s="290"/>
      <c r="AC953" s="290"/>
      <c r="AD953" s="290"/>
    </row>
    <row r="954" spans="1:30" ht="25.5">
      <c r="A954" s="291" t="str">
        <f t="shared" si="44"/>
        <v/>
      </c>
      <c r="B954" s="291" t="s">
        <v>2457</v>
      </c>
      <c r="C954" s="291" t="str">
        <f>IF(D953="","",UNIT!$B$1&amp;"-"&amp;B954)</f>
        <v/>
      </c>
      <c r="D954" s="83"/>
      <c r="E954" s="59"/>
      <c r="F954" s="82"/>
      <c r="G954" s="82"/>
      <c r="H954" s="86"/>
      <c r="I954" s="294" t="str">
        <f t="shared" si="45"/>
        <v/>
      </c>
      <c r="J954" s="59"/>
      <c r="K954" s="83"/>
      <c r="L954" s="83" t="str">
        <f t="shared" si="42"/>
        <v xml:space="preserve">
</v>
      </c>
      <c r="M954" s="83"/>
      <c r="N954" s="59"/>
      <c r="O954" s="59"/>
      <c r="P954" s="86" t="e">
        <f t="shared" si="43"/>
        <v>#VALUE!</v>
      </c>
      <c r="Q954" s="59"/>
      <c r="R954" s="59"/>
      <c r="S954" s="59"/>
      <c r="T954" s="59"/>
      <c r="U954" s="290"/>
      <c r="V954" s="290"/>
      <c r="W954" s="290"/>
      <c r="X954" s="290"/>
      <c r="Y954" s="290"/>
      <c r="Z954" s="290"/>
      <c r="AA954" s="290"/>
      <c r="AB954" s="290"/>
      <c r="AC954" s="290"/>
      <c r="AD954" s="290"/>
    </row>
    <row r="955" spans="1:30" ht="25.5">
      <c r="A955" s="291" t="str">
        <f t="shared" si="44"/>
        <v/>
      </c>
      <c r="B955" s="291" t="s">
        <v>2458</v>
      </c>
      <c r="C955" s="291" t="str">
        <f>IF(D954="","",UNIT!$B$1&amp;"-"&amp;B955)</f>
        <v/>
      </c>
      <c r="D955" s="83"/>
      <c r="E955" s="59"/>
      <c r="F955" s="82"/>
      <c r="G955" s="82"/>
      <c r="H955" s="86"/>
      <c r="I955" s="294" t="str">
        <f t="shared" si="45"/>
        <v/>
      </c>
      <c r="J955" s="59"/>
      <c r="K955" s="83"/>
      <c r="L955" s="83" t="str">
        <f t="shared" si="42"/>
        <v xml:space="preserve">
</v>
      </c>
      <c r="M955" s="83"/>
      <c r="N955" s="59"/>
      <c r="O955" s="59"/>
      <c r="P955" s="86" t="e">
        <f t="shared" si="43"/>
        <v>#VALUE!</v>
      </c>
      <c r="Q955" s="59"/>
      <c r="R955" s="59"/>
      <c r="S955" s="59"/>
      <c r="T955" s="59"/>
      <c r="U955" s="290"/>
      <c r="V955" s="290"/>
      <c r="W955" s="290"/>
      <c r="X955" s="290"/>
      <c r="Y955" s="290"/>
      <c r="Z955" s="290"/>
      <c r="AA955" s="290"/>
      <c r="AB955" s="290"/>
      <c r="AC955" s="290"/>
      <c r="AD955" s="290"/>
    </row>
    <row r="956" spans="1:30" ht="25.5">
      <c r="A956" s="291" t="str">
        <f t="shared" si="44"/>
        <v/>
      </c>
      <c r="B956" s="291" t="s">
        <v>2459</v>
      </c>
      <c r="C956" s="291" t="str">
        <f>IF(D955="","",UNIT!$B$1&amp;"-"&amp;B956)</f>
        <v/>
      </c>
      <c r="D956" s="83"/>
      <c r="E956" s="59"/>
      <c r="F956" s="82"/>
      <c r="G956" s="82"/>
      <c r="H956" s="86"/>
      <c r="I956" s="294" t="str">
        <f t="shared" si="45"/>
        <v/>
      </c>
      <c r="J956" s="59"/>
      <c r="K956" s="83"/>
      <c r="L956" s="83" t="str">
        <f t="shared" si="42"/>
        <v xml:space="preserve">
</v>
      </c>
      <c r="M956" s="83"/>
      <c r="N956" s="59"/>
      <c r="O956" s="59"/>
      <c r="P956" s="86" t="e">
        <f t="shared" si="43"/>
        <v>#VALUE!</v>
      </c>
      <c r="Q956" s="59"/>
      <c r="R956" s="59"/>
      <c r="S956" s="59"/>
      <c r="T956" s="59"/>
      <c r="U956" s="290"/>
      <c r="V956" s="290"/>
      <c r="W956" s="290"/>
      <c r="X956" s="290"/>
      <c r="Y956" s="290"/>
      <c r="Z956" s="290"/>
      <c r="AA956" s="290"/>
      <c r="AB956" s="290"/>
      <c r="AC956" s="290"/>
      <c r="AD956" s="290"/>
    </row>
    <row r="957" spans="1:30" ht="25.5">
      <c r="A957" s="291" t="str">
        <f t="shared" si="44"/>
        <v/>
      </c>
      <c r="B957" s="291" t="s">
        <v>2460</v>
      </c>
      <c r="C957" s="291" t="str">
        <f>IF(D956="","",UNIT!$B$1&amp;"-"&amp;B957)</f>
        <v/>
      </c>
      <c r="D957" s="83"/>
      <c r="E957" s="59"/>
      <c r="F957" s="82"/>
      <c r="G957" s="82"/>
      <c r="H957" s="86"/>
      <c r="I957" s="294" t="str">
        <f t="shared" si="45"/>
        <v/>
      </c>
      <c r="J957" s="59"/>
      <c r="K957" s="83"/>
      <c r="L957" s="83" t="str">
        <f t="shared" si="42"/>
        <v xml:space="preserve">
</v>
      </c>
      <c r="M957" s="83"/>
      <c r="N957" s="59"/>
      <c r="O957" s="59"/>
      <c r="P957" s="86" t="e">
        <f t="shared" si="43"/>
        <v>#VALUE!</v>
      </c>
      <c r="Q957" s="59"/>
      <c r="R957" s="59"/>
      <c r="S957" s="59"/>
      <c r="T957" s="59"/>
      <c r="U957" s="290"/>
      <c r="V957" s="290"/>
      <c r="W957" s="290"/>
      <c r="X957" s="290"/>
      <c r="Y957" s="290"/>
      <c r="Z957" s="290"/>
      <c r="AA957" s="290"/>
      <c r="AB957" s="290"/>
      <c r="AC957" s="290"/>
      <c r="AD957" s="290"/>
    </row>
    <row r="958" spans="1:30" ht="25.5">
      <c r="A958" s="291" t="str">
        <f t="shared" si="44"/>
        <v/>
      </c>
      <c r="B958" s="291" t="s">
        <v>2461</v>
      </c>
      <c r="C958" s="291" t="str">
        <f>IF(D957="","",UNIT!$B$1&amp;"-"&amp;B958)</f>
        <v/>
      </c>
      <c r="D958" s="83"/>
      <c r="E958" s="59"/>
      <c r="F958" s="82"/>
      <c r="G958" s="82"/>
      <c r="H958" s="86"/>
      <c r="I958" s="294" t="str">
        <f t="shared" si="45"/>
        <v/>
      </c>
      <c r="J958" s="59"/>
      <c r="K958" s="83"/>
      <c r="L958" s="83" t="str">
        <f t="shared" si="42"/>
        <v xml:space="preserve">
</v>
      </c>
      <c r="M958" s="83"/>
      <c r="N958" s="59"/>
      <c r="O958" s="59"/>
      <c r="P958" s="86" t="e">
        <f t="shared" si="43"/>
        <v>#VALUE!</v>
      </c>
      <c r="Q958" s="59"/>
      <c r="R958" s="59"/>
      <c r="S958" s="59"/>
      <c r="T958" s="59"/>
      <c r="U958" s="290"/>
      <c r="V958" s="290"/>
      <c r="W958" s="290"/>
      <c r="X958" s="290"/>
      <c r="Y958" s="290"/>
      <c r="Z958" s="290"/>
      <c r="AA958" s="290"/>
      <c r="AB958" s="290"/>
      <c r="AC958" s="290"/>
      <c r="AD958" s="290"/>
    </row>
    <row r="959" spans="1:30" ht="25.5">
      <c r="A959" s="291" t="str">
        <f t="shared" si="44"/>
        <v/>
      </c>
      <c r="B959" s="291" t="s">
        <v>2462</v>
      </c>
      <c r="C959" s="291" t="str">
        <f>IF(D958="","",UNIT!$B$1&amp;"-"&amp;B959)</f>
        <v/>
      </c>
      <c r="D959" s="83"/>
      <c r="E959" s="59"/>
      <c r="F959" s="82"/>
      <c r="G959" s="82"/>
      <c r="H959" s="86"/>
      <c r="I959" s="294" t="str">
        <f t="shared" si="45"/>
        <v/>
      </c>
      <c r="J959" s="59"/>
      <c r="K959" s="83"/>
      <c r="L959" s="83" t="str">
        <f t="shared" si="42"/>
        <v xml:space="preserve">
</v>
      </c>
      <c r="M959" s="83"/>
      <c r="N959" s="59"/>
      <c r="O959" s="59"/>
      <c r="P959" s="86" t="e">
        <f t="shared" si="43"/>
        <v>#VALUE!</v>
      </c>
      <c r="Q959" s="59"/>
      <c r="R959" s="59"/>
      <c r="S959" s="59"/>
      <c r="T959" s="59"/>
      <c r="U959" s="290"/>
      <c r="V959" s="290"/>
      <c r="W959" s="290"/>
      <c r="X959" s="290"/>
      <c r="Y959" s="290"/>
      <c r="Z959" s="290"/>
      <c r="AA959" s="290"/>
      <c r="AB959" s="290"/>
      <c r="AC959" s="290"/>
      <c r="AD959" s="290"/>
    </row>
    <row r="960" spans="1:30" ht="25.5">
      <c r="A960" s="291" t="str">
        <f t="shared" si="44"/>
        <v/>
      </c>
      <c r="B960" s="291" t="s">
        <v>2463</v>
      </c>
      <c r="C960" s="291" t="str">
        <f>IF(D959="","",UNIT!$B$1&amp;"-"&amp;B960)</f>
        <v/>
      </c>
      <c r="D960" s="83"/>
      <c r="E960" s="59"/>
      <c r="F960" s="82"/>
      <c r="G960" s="82"/>
      <c r="H960" s="86"/>
      <c r="I960" s="294" t="str">
        <f t="shared" si="45"/>
        <v/>
      </c>
      <c r="J960" s="59"/>
      <c r="K960" s="83"/>
      <c r="L960" s="83" t="str">
        <f t="shared" si="42"/>
        <v xml:space="preserve">
</v>
      </c>
      <c r="M960" s="83"/>
      <c r="N960" s="59"/>
      <c r="O960" s="59"/>
      <c r="P960" s="86" t="e">
        <f t="shared" si="43"/>
        <v>#VALUE!</v>
      </c>
      <c r="Q960" s="59"/>
      <c r="R960" s="59"/>
      <c r="S960" s="59"/>
      <c r="T960" s="59"/>
      <c r="U960" s="290"/>
      <c r="V960" s="290"/>
      <c r="W960" s="290"/>
      <c r="X960" s="290"/>
      <c r="Y960" s="290"/>
      <c r="Z960" s="290"/>
      <c r="AA960" s="290"/>
      <c r="AB960" s="290"/>
      <c r="AC960" s="290"/>
      <c r="AD960" s="290"/>
    </row>
    <row r="961" spans="1:30" ht="25.5">
      <c r="A961" s="291" t="str">
        <f t="shared" si="44"/>
        <v/>
      </c>
      <c r="B961" s="291" t="s">
        <v>2464</v>
      </c>
      <c r="C961" s="291" t="str">
        <f>IF(D960="","",UNIT!$B$1&amp;"-"&amp;B961)</f>
        <v/>
      </c>
      <c r="D961" s="83"/>
      <c r="E961" s="59"/>
      <c r="F961" s="82"/>
      <c r="G961" s="82"/>
      <c r="H961" s="86"/>
      <c r="I961" s="294" t="str">
        <f t="shared" si="45"/>
        <v/>
      </c>
      <c r="J961" s="59"/>
      <c r="K961" s="83"/>
      <c r="L961" s="83" t="str">
        <f t="shared" si="42"/>
        <v xml:space="preserve">
</v>
      </c>
      <c r="M961" s="83"/>
      <c r="N961" s="59"/>
      <c r="O961" s="59"/>
      <c r="P961" s="86" t="e">
        <f t="shared" si="43"/>
        <v>#VALUE!</v>
      </c>
      <c r="Q961" s="59"/>
      <c r="R961" s="59"/>
      <c r="S961" s="59"/>
      <c r="T961" s="59"/>
      <c r="U961" s="290"/>
      <c r="V961" s="290"/>
      <c r="W961" s="290"/>
      <c r="X961" s="290"/>
      <c r="Y961" s="290"/>
      <c r="Z961" s="290"/>
      <c r="AA961" s="290"/>
      <c r="AB961" s="290"/>
      <c r="AC961" s="290"/>
      <c r="AD961" s="290"/>
    </row>
    <row r="962" spans="1:30" ht="25.5">
      <c r="A962" s="291" t="str">
        <f t="shared" si="44"/>
        <v/>
      </c>
      <c r="B962" s="291" t="s">
        <v>2465</v>
      </c>
      <c r="C962" s="291" t="str">
        <f>IF(D961="","",UNIT!$B$1&amp;"-"&amp;B962)</f>
        <v/>
      </c>
      <c r="D962" s="83"/>
      <c r="E962" s="59"/>
      <c r="F962" s="82"/>
      <c r="G962" s="82"/>
      <c r="H962" s="86"/>
      <c r="I962" s="294" t="str">
        <f t="shared" si="45"/>
        <v/>
      </c>
      <c r="J962" s="59"/>
      <c r="K962" s="83"/>
      <c r="L962" s="83" t="str">
        <f t="shared" si="42"/>
        <v xml:space="preserve">
</v>
      </c>
      <c r="M962" s="83"/>
      <c r="N962" s="59"/>
      <c r="O962" s="59"/>
      <c r="P962" s="86" t="e">
        <f t="shared" si="43"/>
        <v>#VALUE!</v>
      </c>
      <c r="Q962" s="59"/>
      <c r="R962" s="59"/>
      <c r="S962" s="59"/>
      <c r="T962" s="59"/>
      <c r="U962" s="290"/>
      <c r="V962" s="290"/>
      <c r="W962" s="290"/>
      <c r="X962" s="290"/>
      <c r="Y962" s="290"/>
      <c r="Z962" s="290"/>
      <c r="AA962" s="290"/>
      <c r="AB962" s="290"/>
      <c r="AC962" s="290"/>
      <c r="AD962" s="290"/>
    </row>
    <row r="963" spans="1:30" ht="25.5">
      <c r="A963" s="291" t="str">
        <f t="shared" si="44"/>
        <v/>
      </c>
      <c r="B963" s="291" t="s">
        <v>2466</v>
      </c>
      <c r="C963" s="291" t="str">
        <f>IF(D962="","",UNIT!$B$1&amp;"-"&amp;B963)</f>
        <v/>
      </c>
      <c r="D963" s="83"/>
      <c r="E963" s="59"/>
      <c r="F963" s="82"/>
      <c r="G963" s="82"/>
      <c r="H963" s="86"/>
      <c r="I963" s="294" t="str">
        <f t="shared" si="45"/>
        <v/>
      </c>
      <c r="J963" s="59"/>
      <c r="K963" s="83"/>
      <c r="L963" s="83" t="str">
        <f t="shared" si="42"/>
        <v xml:space="preserve">
</v>
      </c>
      <c r="M963" s="83"/>
      <c r="N963" s="59"/>
      <c r="O963" s="59"/>
      <c r="P963" s="86" t="e">
        <f t="shared" si="43"/>
        <v>#VALUE!</v>
      </c>
      <c r="Q963" s="59"/>
      <c r="R963" s="59"/>
      <c r="S963" s="59"/>
      <c r="T963" s="59"/>
      <c r="U963" s="290"/>
      <c r="V963" s="290"/>
      <c r="W963" s="290"/>
      <c r="X963" s="290"/>
      <c r="Y963" s="290"/>
      <c r="Z963" s="290"/>
      <c r="AA963" s="290"/>
      <c r="AB963" s="290"/>
      <c r="AC963" s="290"/>
      <c r="AD963" s="290"/>
    </row>
    <row r="964" spans="1:30" ht="25.5">
      <c r="A964" s="291" t="str">
        <f t="shared" si="44"/>
        <v/>
      </c>
      <c r="B964" s="291" t="s">
        <v>2467</v>
      </c>
      <c r="C964" s="291" t="str">
        <f>IF(D963="","",UNIT!$B$1&amp;"-"&amp;B964)</f>
        <v/>
      </c>
      <c r="D964" s="83"/>
      <c r="E964" s="59"/>
      <c r="F964" s="82"/>
      <c r="G964" s="82"/>
      <c r="H964" s="86"/>
      <c r="I964" s="294" t="str">
        <f t="shared" si="45"/>
        <v/>
      </c>
      <c r="J964" s="59"/>
      <c r="K964" s="83"/>
      <c r="L964" s="83" t="str">
        <f t="shared" si="42"/>
        <v xml:space="preserve">
</v>
      </c>
      <c r="M964" s="83"/>
      <c r="N964" s="59"/>
      <c r="O964" s="59"/>
      <c r="P964" s="86" t="e">
        <f t="shared" si="43"/>
        <v>#VALUE!</v>
      </c>
      <c r="Q964" s="59"/>
      <c r="R964" s="59"/>
      <c r="S964" s="59"/>
      <c r="T964" s="59"/>
      <c r="U964" s="290"/>
      <c r="V964" s="290"/>
      <c r="W964" s="290"/>
      <c r="X964" s="290"/>
      <c r="Y964" s="290"/>
      <c r="Z964" s="290"/>
      <c r="AA964" s="290"/>
      <c r="AB964" s="290"/>
      <c r="AC964" s="290"/>
      <c r="AD964" s="290"/>
    </row>
    <row r="965" spans="1:30" ht="25.5">
      <c r="A965" s="291" t="str">
        <f t="shared" si="44"/>
        <v/>
      </c>
      <c r="B965" s="291" t="s">
        <v>2468</v>
      </c>
      <c r="C965" s="291" t="str">
        <f>IF(D964="","",UNIT!$B$1&amp;"-"&amp;B965)</f>
        <v/>
      </c>
      <c r="D965" s="83"/>
      <c r="E965" s="59"/>
      <c r="F965" s="82"/>
      <c r="G965" s="82"/>
      <c r="H965" s="86"/>
      <c r="I965" s="294" t="str">
        <f t="shared" si="45"/>
        <v/>
      </c>
      <c r="J965" s="59"/>
      <c r="K965" s="83"/>
      <c r="L965" s="83" t="str">
        <f t="shared" si="42"/>
        <v xml:space="preserve">
</v>
      </c>
      <c r="M965" s="83"/>
      <c r="N965" s="59"/>
      <c r="O965" s="59"/>
      <c r="P965" s="86" t="e">
        <f t="shared" si="43"/>
        <v>#VALUE!</v>
      </c>
      <c r="Q965" s="59"/>
      <c r="R965" s="59"/>
      <c r="S965" s="59"/>
      <c r="T965" s="59"/>
      <c r="U965" s="290"/>
      <c r="V965" s="290"/>
      <c r="W965" s="290"/>
      <c r="X965" s="290"/>
      <c r="Y965" s="290"/>
      <c r="Z965" s="290"/>
      <c r="AA965" s="290"/>
      <c r="AB965" s="290"/>
      <c r="AC965" s="290"/>
      <c r="AD965" s="290"/>
    </row>
    <row r="966" spans="1:30" ht="25.5">
      <c r="A966" s="291" t="str">
        <f t="shared" si="44"/>
        <v/>
      </c>
      <c r="B966" s="291" t="s">
        <v>2469</v>
      </c>
      <c r="C966" s="291" t="str">
        <f>IF(D965="","",UNIT!$B$1&amp;"-"&amp;B966)</f>
        <v/>
      </c>
      <c r="D966" s="83"/>
      <c r="E966" s="59"/>
      <c r="F966" s="82"/>
      <c r="G966" s="82"/>
      <c r="H966" s="86"/>
      <c r="I966" s="294" t="str">
        <f t="shared" si="45"/>
        <v/>
      </c>
      <c r="J966" s="59"/>
      <c r="K966" s="83"/>
      <c r="L966" s="83" t="str">
        <f t="shared" si="42"/>
        <v xml:space="preserve">
</v>
      </c>
      <c r="M966" s="83"/>
      <c r="N966" s="59"/>
      <c r="O966" s="59"/>
      <c r="P966" s="86" t="e">
        <f t="shared" si="43"/>
        <v>#VALUE!</v>
      </c>
      <c r="Q966" s="59"/>
      <c r="R966" s="59"/>
      <c r="S966" s="59"/>
      <c r="T966" s="59"/>
      <c r="U966" s="290"/>
      <c r="V966" s="290"/>
      <c r="W966" s="290"/>
      <c r="X966" s="290"/>
      <c r="Y966" s="290"/>
      <c r="Z966" s="290"/>
      <c r="AA966" s="290"/>
      <c r="AB966" s="290"/>
      <c r="AC966" s="290"/>
      <c r="AD966" s="290"/>
    </row>
    <row r="967" spans="1:30" ht="25.5">
      <c r="A967" s="291" t="str">
        <f t="shared" si="44"/>
        <v/>
      </c>
      <c r="B967" s="291" t="s">
        <v>2470</v>
      </c>
      <c r="C967" s="291" t="str">
        <f>IF(D966="","",UNIT!$B$1&amp;"-"&amp;B967)</f>
        <v/>
      </c>
      <c r="D967" s="83"/>
      <c r="E967" s="59"/>
      <c r="F967" s="82"/>
      <c r="G967" s="82"/>
      <c r="H967" s="86"/>
      <c r="I967" s="294" t="str">
        <f t="shared" si="45"/>
        <v/>
      </c>
      <c r="J967" s="59"/>
      <c r="K967" s="83"/>
      <c r="L967" s="83" t="str">
        <f t="shared" si="42"/>
        <v xml:space="preserve">
</v>
      </c>
      <c r="M967" s="83"/>
      <c r="N967" s="59"/>
      <c r="O967" s="59"/>
      <c r="P967" s="86" t="e">
        <f t="shared" si="43"/>
        <v>#VALUE!</v>
      </c>
      <c r="Q967" s="59"/>
      <c r="R967" s="59"/>
      <c r="S967" s="59"/>
      <c r="T967" s="59"/>
      <c r="U967" s="290"/>
      <c r="V967" s="290"/>
      <c r="W967" s="290"/>
      <c r="X967" s="290"/>
      <c r="Y967" s="290"/>
      <c r="Z967" s="290"/>
      <c r="AA967" s="290"/>
      <c r="AB967" s="290"/>
      <c r="AC967" s="290"/>
      <c r="AD967" s="290"/>
    </row>
    <row r="968" spans="1:30" ht="25.5">
      <c r="A968" s="291" t="str">
        <f t="shared" si="44"/>
        <v/>
      </c>
      <c r="B968" s="291" t="s">
        <v>2471</v>
      </c>
      <c r="C968" s="291" t="str">
        <f>IF(D967="","",UNIT!$B$1&amp;"-"&amp;B968)</f>
        <v/>
      </c>
      <c r="D968" s="83"/>
      <c r="E968" s="59"/>
      <c r="F968" s="82"/>
      <c r="G968" s="82"/>
      <c r="H968" s="86"/>
      <c r="I968" s="294" t="str">
        <f t="shared" si="45"/>
        <v/>
      </c>
      <c r="J968" s="59"/>
      <c r="K968" s="83"/>
      <c r="L968" s="83" t="str">
        <f t="shared" si="42"/>
        <v xml:space="preserve">
</v>
      </c>
      <c r="M968" s="83"/>
      <c r="N968" s="59"/>
      <c r="O968" s="59"/>
      <c r="P968" s="86" t="e">
        <f t="shared" si="43"/>
        <v>#VALUE!</v>
      </c>
      <c r="Q968" s="59"/>
      <c r="R968" s="59"/>
      <c r="S968" s="59"/>
      <c r="T968" s="59"/>
      <c r="U968" s="290"/>
      <c r="V968" s="290"/>
      <c r="W968" s="290"/>
      <c r="X968" s="290"/>
      <c r="Y968" s="290"/>
      <c r="Z968" s="290"/>
      <c r="AA968" s="290"/>
      <c r="AB968" s="290"/>
      <c r="AC968" s="290"/>
      <c r="AD968" s="290"/>
    </row>
    <row r="969" spans="1:30" ht="25.5">
      <c r="A969" s="291" t="str">
        <f t="shared" si="44"/>
        <v/>
      </c>
      <c r="B969" s="291" t="s">
        <v>2472</v>
      </c>
      <c r="C969" s="291" t="str">
        <f>IF(D968="","",UNIT!$B$1&amp;"-"&amp;B969)</f>
        <v/>
      </c>
      <c r="D969" s="83"/>
      <c r="E969" s="59"/>
      <c r="F969" s="82"/>
      <c r="G969" s="82"/>
      <c r="H969" s="86"/>
      <c r="I969" s="294" t="str">
        <f t="shared" si="45"/>
        <v/>
      </c>
      <c r="J969" s="59"/>
      <c r="K969" s="83"/>
      <c r="L969" s="83" t="str">
        <f t="shared" si="42"/>
        <v xml:space="preserve">
</v>
      </c>
      <c r="M969" s="83"/>
      <c r="N969" s="59"/>
      <c r="O969" s="59"/>
      <c r="P969" s="86" t="e">
        <f t="shared" si="43"/>
        <v>#VALUE!</v>
      </c>
      <c r="Q969" s="59"/>
      <c r="R969" s="59"/>
      <c r="S969" s="59"/>
      <c r="T969" s="59"/>
      <c r="U969" s="290"/>
      <c r="V969" s="290"/>
      <c r="W969" s="290"/>
      <c r="X969" s="290"/>
      <c r="Y969" s="290"/>
      <c r="Z969" s="290"/>
      <c r="AA969" s="290"/>
      <c r="AB969" s="290"/>
      <c r="AC969" s="290"/>
      <c r="AD969" s="290"/>
    </row>
    <row r="970" spans="1:30" ht="25.5">
      <c r="A970" s="291" t="str">
        <f t="shared" si="44"/>
        <v/>
      </c>
      <c r="B970" s="291" t="s">
        <v>2473</v>
      </c>
      <c r="C970" s="291" t="str">
        <f>IF(D969="","",UNIT!$B$1&amp;"-"&amp;B970)</f>
        <v/>
      </c>
      <c r="D970" s="83"/>
      <c r="E970" s="59"/>
      <c r="F970" s="82"/>
      <c r="G970" s="82"/>
      <c r="H970" s="86"/>
      <c r="I970" s="294" t="str">
        <f t="shared" si="45"/>
        <v/>
      </c>
      <c r="J970" s="59"/>
      <c r="K970" s="83"/>
      <c r="L970" s="83" t="str">
        <f t="shared" si="42"/>
        <v xml:space="preserve">
</v>
      </c>
      <c r="M970" s="83"/>
      <c r="N970" s="59"/>
      <c r="O970" s="59"/>
      <c r="P970" s="86" t="e">
        <f t="shared" si="43"/>
        <v>#VALUE!</v>
      </c>
      <c r="Q970" s="59"/>
      <c r="R970" s="59"/>
      <c r="S970" s="59"/>
      <c r="T970" s="59"/>
      <c r="U970" s="290"/>
      <c r="V970" s="290"/>
      <c r="W970" s="290"/>
      <c r="X970" s="290"/>
      <c r="Y970" s="290"/>
      <c r="Z970" s="290"/>
      <c r="AA970" s="290"/>
      <c r="AB970" s="290"/>
      <c r="AC970" s="290"/>
      <c r="AD970" s="290"/>
    </row>
    <row r="971" spans="1:30" ht="25.5">
      <c r="A971" s="291" t="str">
        <f t="shared" si="44"/>
        <v/>
      </c>
      <c r="B971" s="291" t="s">
        <v>2474</v>
      </c>
      <c r="C971" s="291" t="str">
        <f>IF(D970="","",UNIT!$B$1&amp;"-"&amp;B971)</f>
        <v/>
      </c>
      <c r="D971" s="83"/>
      <c r="E971" s="59"/>
      <c r="F971" s="82"/>
      <c r="G971" s="82"/>
      <c r="H971" s="86"/>
      <c r="I971" s="294" t="str">
        <f t="shared" si="45"/>
        <v/>
      </c>
      <c r="J971" s="59"/>
      <c r="K971" s="83"/>
      <c r="L971" s="83" t="str">
        <f t="shared" si="42"/>
        <v xml:space="preserve">
</v>
      </c>
      <c r="M971" s="83"/>
      <c r="N971" s="59"/>
      <c r="O971" s="59"/>
      <c r="P971" s="86" t="e">
        <f t="shared" si="43"/>
        <v>#VALUE!</v>
      </c>
      <c r="Q971" s="59"/>
      <c r="R971" s="59"/>
      <c r="S971" s="59"/>
      <c r="T971" s="59"/>
      <c r="U971" s="290"/>
      <c r="V971" s="290"/>
      <c r="W971" s="290"/>
      <c r="X971" s="290"/>
      <c r="Y971" s="290"/>
      <c r="Z971" s="290"/>
      <c r="AA971" s="290"/>
      <c r="AB971" s="290"/>
      <c r="AC971" s="290"/>
      <c r="AD971" s="290"/>
    </row>
    <row r="972" spans="1:30" ht="25.5">
      <c r="A972" s="291" t="str">
        <f t="shared" si="44"/>
        <v/>
      </c>
      <c r="B972" s="291" t="s">
        <v>2475</v>
      </c>
      <c r="C972" s="291" t="str">
        <f>IF(D971="","",UNIT!$B$1&amp;"-"&amp;B972)</f>
        <v/>
      </c>
      <c r="D972" s="83"/>
      <c r="E972" s="59"/>
      <c r="F972" s="82"/>
      <c r="G972" s="82"/>
      <c r="H972" s="86"/>
      <c r="I972" s="294" t="str">
        <f t="shared" si="45"/>
        <v/>
      </c>
      <c r="J972" s="59"/>
      <c r="K972" s="83"/>
      <c r="L972" s="83" t="str">
        <f t="shared" si="42"/>
        <v xml:space="preserve">
</v>
      </c>
      <c r="M972" s="83"/>
      <c r="N972" s="59"/>
      <c r="O972" s="59"/>
      <c r="P972" s="86" t="e">
        <f t="shared" si="43"/>
        <v>#VALUE!</v>
      </c>
      <c r="Q972" s="59"/>
      <c r="R972" s="59"/>
      <c r="S972" s="59"/>
      <c r="T972" s="59"/>
      <c r="U972" s="290"/>
      <c r="V972" s="290"/>
      <c r="W972" s="290"/>
      <c r="X972" s="290"/>
      <c r="Y972" s="290"/>
      <c r="Z972" s="290"/>
      <c r="AA972" s="290"/>
      <c r="AB972" s="290"/>
      <c r="AC972" s="290"/>
      <c r="AD972" s="290"/>
    </row>
    <row r="973" spans="1:30" ht="25.5">
      <c r="A973" s="291" t="str">
        <f t="shared" si="44"/>
        <v/>
      </c>
      <c r="B973" s="291" t="s">
        <v>2476</v>
      </c>
      <c r="C973" s="291" t="str">
        <f>IF(D972="","",UNIT!$B$1&amp;"-"&amp;B973)</f>
        <v/>
      </c>
      <c r="D973" s="83"/>
      <c r="E973" s="59"/>
      <c r="F973" s="82"/>
      <c r="G973" s="82"/>
      <c r="H973" s="86"/>
      <c r="I973" s="294" t="str">
        <f t="shared" si="45"/>
        <v/>
      </c>
      <c r="J973" s="59"/>
      <c r="K973" s="83"/>
      <c r="L973" s="83" t="str">
        <f t="shared" si="42"/>
        <v xml:space="preserve">
</v>
      </c>
      <c r="M973" s="83"/>
      <c r="N973" s="59"/>
      <c r="O973" s="59"/>
      <c r="P973" s="86" t="e">
        <f t="shared" si="43"/>
        <v>#VALUE!</v>
      </c>
      <c r="Q973" s="59"/>
      <c r="R973" s="59"/>
      <c r="S973" s="59"/>
      <c r="T973" s="59"/>
      <c r="U973" s="290"/>
      <c r="V973" s="290"/>
      <c r="W973" s="290"/>
      <c r="X973" s="290"/>
      <c r="Y973" s="290"/>
      <c r="Z973" s="290"/>
      <c r="AA973" s="290"/>
      <c r="AB973" s="290"/>
      <c r="AC973" s="290"/>
      <c r="AD973" s="290"/>
    </row>
    <row r="974" spans="1:30" ht="25.5">
      <c r="A974" s="291" t="str">
        <f t="shared" si="44"/>
        <v/>
      </c>
      <c r="B974" s="291" t="s">
        <v>2477</v>
      </c>
      <c r="C974" s="291" t="str">
        <f>IF(D973="","",UNIT!$B$1&amp;"-"&amp;B974)</f>
        <v/>
      </c>
      <c r="D974" s="83"/>
      <c r="E974" s="59"/>
      <c r="F974" s="82"/>
      <c r="G974" s="82"/>
      <c r="H974" s="86"/>
      <c r="I974" s="294" t="str">
        <f t="shared" si="45"/>
        <v/>
      </c>
      <c r="J974" s="59"/>
      <c r="K974" s="83"/>
      <c r="L974" s="83" t="str">
        <f t="shared" si="42"/>
        <v xml:space="preserve">
</v>
      </c>
      <c r="M974" s="83"/>
      <c r="N974" s="59"/>
      <c r="O974" s="59"/>
      <c r="P974" s="86" t="e">
        <f t="shared" si="43"/>
        <v>#VALUE!</v>
      </c>
      <c r="Q974" s="59"/>
      <c r="R974" s="59"/>
      <c r="S974" s="59"/>
      <c r="T974" s="59"/>
      <c r="U974" s="290"/>
      <c r="V974" s="290"/>
      <c r="W974" s="290"/>
      <c r="X974" s="290"/>
      <c r="Y974" s="290"/>
      <c r="Z974" s="290"/>
      <c r="AA974" s="290"/>
      <c r="AB974" s="290"/>
      <c r="AC974" s="290"/>
      <c r="AD974" s="290"/>
    </row>
    <row r="975" spans="1:30" ht="25.5">
      <c r="A975" s="291" t="str">
        <f t="shared" si="44"/>
        <v/>
      </c>
      <c r="B975" s="291" t="s">
        <v>2478</v>
      </c>
      <c r="C975" s="291" t="str">
        <f>IF(D974="","",UNIT!$B$1&amp;"-"&amp;B975)</f>
        <v/>
      </c>
      <c r="D975" s="83"/>
      <c r="E975" s="59"/>
      <c r="F975" s="82"/>
      <c r="G975" s="82"/>
      <c r="H975" s="86"/>
      <c r="I975" s="294" t="str">
        <f t="shared" si="45"/>
        <v/>
      </c>
      <c r="J975" s="59"/>
      <c r="K975" s="83"/>
      <c r="L975" s="83" t="str">
        <f t="shared" si="42"/>
        <v xml:space="preserve">
</v>
      </c>
      <c r="M975" s="83"/>
      <c r="N975" s="59"/>
      <c r="O975" s="59"/>
      <c r="P975" s="86" t="e">
        <f t="shared" si="43"/>
        <v>#VALUE!</v>
      </c>
      <c r="Q975" s="59"/>
      <c r="R975" s="59"/>
      <c r="S975" s="59"/>
      <c r="T975" s="59"/>
      <c r="U975" s="290"/>
      <c r="V975" s="290"/>
      <c r="W975" s="290"/>
      <c r="X975" s="290"/>
      <c r="Y975" s="290"/>
      <c r="Z975" s="290"/>
      <c r="AA975" s="290"/>
      <c r="AB975" s="290"/>
      <c r="AC975" s="290"/>
      <c r="AD975" s="290"/>
    </row>
    <row r="976" spans="1:30" ht="25.5">
      <c r="A976" s="291" t="str">
        <f t="shared" si="44"/>
        <v/>
      </c>
      <c r="B976" s="291" t="s">
        <v>2479</v>
      </c>
      <c r="C976" s="291" t="str">
        <f>IF(D975="","",UNIT!$B$1&amp;"-"&amp;B976)</f>
        <v/>
      </c>
      <c r="D976" s="83"/>
      <c r="E976" s="59"/>
      <c r="F976" s="82"/>
      <c r="G976" s="82"/>
      <c r="H976" s="86"/>
      <c r="I976" s="294" t="str">
        <f t="shared" si="45"/>
        <v/>
      </c>
      <c r="J976" s="59"/>
      <c r="K976" s="83"/>
      <c r="L976" s="83" t="str">
        <f t="shared" si="42"/>
        <v xml:space="preserve">
</v>
      </c>
      <c r="M976" s="83"/>
      <c r="N976" s="59"/>
      <c r="O976" s="59"/>
      <c r="P976" s="86" t="e">
        <f t="shared" si="43"/>
        <v>#VALUE!</v>
      </c>
      <c r="Q976" s="59"/>
      <c r="R976" s="59"/>
      <c r="S976" s="59"/>
      <c r="T976" s="59"/>
      <c r="U976" s="290"/>
      <c r="V976" s="290"/>
      <c r="W976" s="290"/>
      <c r="X976" s="290"/>
      <c r="Y976" s="290"/>
      <c r="Z976" s="290"/>
      <c r="AA976" s="290"/>
      <c r="AB976" s="290"/>
      <c r="AC976" s="290"/>
      <c r="AD976" s="290"/>
    </row>
    <row r="977" spans="1:30" ht="25.5">
      <c r="A977" s="291" t="str">
        <f t="shared" si="44"/>
        <v/>
      </c>
      <c r="B977" s="291" t="s">
        <v>2480</v>
      </c>
      <c r="C977" s="291" t="str">
        <f>IF(D976="","",UNIT!$B$1&amp;"-"&amp;B977)</f>
        <v/>
      </c>
      <c r="D977" s="83"/>
      <c r="E977" s="59"/>
      <c r="F977" s="82"/>
      <c r="G977" s="82"/>
      <c r="H977" s="86"/>
      <c r="I977" s="294" t="str">
        <f t="shared" si="45"/>
        <v/>
      </c>
      <c r="J977" s="59"/>
      <c r="K977" s="83"/>
      <c r="L977" s="83" t="str">
        <f t="shared" si="42"/>
        <v xml:space="preserve">
</v>
      </c>
      <c r="M977" s="83"/>
      <c r="N977" s="59"/>
      <c r="O977" s="59"/>
      <c r="P977" s="86" t="e">
        <f t="shared" si="43"/>
        <v>#VALUE!</v>
      </c>
      <c r="Q977" s="59"/>
      <c r="R977" s="59"/>
      <c r="S977" s="59"/>
      <c r="T977" s="59"/>
      <c r="U977" s="290"/>
      <c r="V977" s="290"/>
      <c r="W977" s="290"/>
      <c r="X977" s="290"/>
      <c r="Y977" s="290"/>
      <c r="Z977" s="290"/>
      <c r="AA977" s="290"/>
      <c r="AB977" s="290"/>
      <c r="AC977" s="290"/>
      <c r="AD977" s="290"/>
    </row>
    <row r="978" spans="1:30" ht="25.5">
      <c r="A978" s="291" t="str">
        <f t="shared" si="44"/>
        <v/>
      </c>
      <c r="B978" s="291" t="s">
        <v>2481</v>
      </c>
      <c r="C978" s="291" t="str">
        <f>IF(D977="","",UNIT!$B$1&amp;"-"&amp;B978)</f>
        <v/>
      </c>
      <c r="D978" s="83"/>
      <c r="E978" s="59"/>
      <c r="F978" s="82"/>
      <c r="G978" s="82"/>
      <c r="H978" s="86"/>
      <c r="I978" s="294" t="str">
        <f t="shared" si="45"/>
        <v/>
      </c>
      <c r="J978" s="59"/>
      <c r="K978" s="83"/>
      <c r="L978" s="83" t="str">
        <f t="shared" si="42"/>
        <v xml:space="preserve">
</v>
      </c>
      <c r="M978" s="83"/>
      <c r="N978" s="59"/>
      <c r="O978" s="59"/>
      <c r="P978" s="86" t="e">
        <f t="shared" si="43"/>
        <v>#VALUE!</v>
      </c>
      <c r="Q978" s="59"/>
      <c r="R978" s="59"/>
      <c r="S978" s="59"/>
      <c r="T978" s="59"/>
      <c r="U978" s="290"/>
      <c r="V978" s="290"/>
      <c r="W978" s="290"/>
      <c r="X978" s="290"/>
      <c r="Y978" s="290"/>
      <c r="Z978" s="290"/>
      <c r="AA978" s="290"/>
      <c r="AB978" s="290"/>
      <c r="AC978" s="290"/>
      <c r="AD978" s="290"/>
    </row>
    <row r="979" spans="1:30" ht="25.5">
      <c r="A979" s="291" t="str">
        <f t="shared" si="44"/>
        <v/>
      </c>
      <c r="B979" s="291" t="s">
        <v>2482</v>
      </c>
      <c r="C979" s="291" t="str">
        <f>IF(D978="","",UNIT!$B$1&amp;"-"&amp;B979)</f>
        <v/>
      </c>
      <c r="D979" s="83"/>
      <c r="E979" s="59"/>
      <c r="F979" s="82"/>
      <c r="G979" s="82"/>
      <c r="H979" s="86"/>
      <c r="I979" s="294" t="str">
        <f t="shared" si="45"/>
        <v/>
      </c>
      <c r="J979" s="59"/>
      <c r="K979" s="83"/>
      <c r="L979" s="83" t="str">
        <f t="shared" si="42"/>
        <v xml:space="preserve">
</v>
      </c>
      <c r="M979" s="83"/>
      <c r="N979" s="59"/>
      <c r="O979" s="59"/>
      <c r="P979" s="86" t="e">
        <f t="shared" si="43"/>
        <v>#VALUE!</v>
      </c>
      <c r="Q979" s="59"/>
      <c r="R979" s="59"/>
      <c r="S979" s="59"/>
      <c r="T979" s="59"/>
      <c r="U979" s="290"/>
      <c r="V979" s="290"/>
      <c r="W979" s="290"/>
      <c r="X979" s="290"/>
      <c r="Y979" s="290"/>
      <c r="Z979" s="290"/>
      <c r="AA979" s="290"/>
      <c r="AB979" s="290"/>
      <c r="AC979" s="290"/>
      <c r="AD979" s="290"/>
    </row>
    <row r="980" spans="1:30" ht="25.5">
      <c r="A980" s="291" t="str">
        <f t="shared" si="44"/>
        <v/>
      </c>
      <c r="B980" s="291" t="s">
        <v>2483</v>
      </c>
      <c r="C980" s="291" t="str">
        <f>IF(D979="","",UNIT!$B$1&amp;"-"&amp;B980)</f>
        <v/>
      </c>
      <c r="D980" s="83"/>
      <c r="E980" s="59"/>
      <c r="F980" s="82"/>
      <c r="G980" s="82"/>
      <c r="H980" s="86"/>
      <c r="I980" s="294" t="str">
        <f t="shared" si="45"/>
        <v/>
      </c>
      <c r="J980" s="59"/>
      <c r="K980" s="83"/>
      <c r="L980" s="83" t="str">
        <f t="shared" si="42"/>
        <v xml:space="preserve">
</v>
      </c>
      <c r="M980" s="83"/>
      <c r="N980" s="59"/>
      <c r="O980" s="59"/>
      <c r="P980" s="86" t="e">
        <f t="shared" si="43"/>
        <v>#VALUE!</v>
      </c>
      <c r="Q980" s="59"/>
      <c r="R980" s="59"/>
      <c r="S980" s="59"/>
      <c r="T980" s="59"/>
      <c r="U980" s="290"/>
      <c r="V980" s="290"/>
      <c r="W980" s="290"/>
      <c r="X980" s="290"/>
      <c r="Y980" s="290"/>
      <c r="Z980" s="290"/>
      <c r="AA980" s="290"/>
      <c r="AB980" s="290"/>
      <c r="AC980" s="290"/>
      <c r="AD980" s="290"/>
    </row>
    <row r="981" spans="1:30" ht="25.5">
      <c r="A981" s="291" t="str">
        <f t="shared" si="44"/>
        <v/>
      </c>
      <c r="B981" s="291" t="s">
        <v>2484</v>
      </c>
      <c r="C981" s="291" t="str">
        <f>IF(D980="","",UNIT!$B$1&amp;"-"&amp;B981)</f>
        <v/>
      </c>
      <c r="D981" s="83"/>
      <c r="E981" s="59"/>
      <c r="F981" s="82"/>
      <c r="G981" s="82"/>
      <c r="H981" s="86"/>
      <c r="I981" s="294" t="str">
        <f t="shared" si="45"/>
        <v/>
      </c>
      <c r="J981" s="59"/>
      <c r="K981" s="83"/>
      <c r="L981" s="83" t="str">
        <f t="shared" si="42"/>
        <v xml:space="preserve">
</v>
      </c>
      <c r="M981" s="83"/>
      <c r="N981" s="59"/>
      <c r="O981" s="59"/>
      <c r="P981" s="86" t="e">
        <f t="shared" si="43"/>
        <v>#VALUE!</v>
      </c>
      <c r="Q981" s="59"/>
      <c r="R981" s="59"/>
      <c r="S981" s="59"/>
      <c r="T981" s="59"/>
      <c r="U981" s="290"/>
      <c r="V981" s="290"/>
      <c r="W981" s="290"/>
      <c r="X981" s="290"/>
      <c r="Y981" s="290"/>
      <c r="Z981" s="290"/>
      <c r="AA981" s="290"/>
      <c r="AB981" s="290"/>
      <c r="AC981" s="290"/>
      <c r="AD981" s="290"/>
    </row>
    <row r="982" spans="1:30" ht="25.5">
      <c r="A982" s="291" t="str">
        <f t="shared" si="44"/>
        <v/>
      </c>
      <c r="B982" s="291" t="s">
        <v>2485</v>
      </c>
      <c r="C982" s="291" t="str">
        <f>IF(D981="","",UNIT!$B$1&amp;"-"&amp;B982)</f>
        <v/>
      </c>
      <c r="D982" s="83"/>
      <c r="E982" s="59"/>
      <c r="F982" s="82"/>
      <c r="G982" s="82"/>
      <c r="H982" s="86"/>
      <c r="I982" s="294" t="str">
        <f t="shared" si="45"/>
        <v/>
      </c>
      <c r="J982" s="59"/>
      <c r="K982" s="83"/>
      <c r="L982" s="83" t="str">
        <f t="shared" si="42"/>
        <v xml:space="preserve">
</v>
      </c>
      <c r="M982" s="83"/>
      <c r="N982" s="59"/>
      <c r="O982" s="59"/>
      <c r="P982" s="86" t="e">
        <f t="shared" si="43"/>
        <v>#VALUE!</v>
      </c>
      <c r="Q982" s="59"/>
      <c r="R982" s="59"/>
      <c r="S982" s="59"/>
      <c r="T982" s="59"/>
      <c r="U982" s="290"/>
      <c r="V982" s="290"/>
      <c r="W982" s="290"/>
      <c r="X982" s="290"/>
      <c r="Y982" s="290"/>
      <c r="Z982" s="290"/>
      <c r="AA982" s="290"/>
      <c r="AB982" s="290"/>
      <c r="AC982" s="290"/>
      <c r="AD982" s="290"/>
    </row>
    <row r="983" spans="1:30" ht="25.5">
      <c r="A983" s="291" t="str">
        <f t="shared" si="44"/>
        <v/>
      </c>
      <c r="B983" s="291" t="s">
        <v>2486</v>
      </c>
      <c r="C983" s="291" t="str">
        <f>IF(D982="","",UNIT!$B$1&amp;"-"&amp;B983)</f>
        <v/>
      </c>
      <c r="D983" s="83"/>
      <c r="E983" s="59"/>
      <c r="F983" s="82"/>
      <c r="G983" s="82"/>
      <c r="H983" s="86"/>
      <c r="I983" s="294" t="str">
        <f t="shared" si="45"/>
        <v/>
      </c>
      <c r="J983" s="59"/>
      <c r="K983" s="83"/>
      <c r="L983" s="83" t="str">
        <f t="shared" si="42"/>
        <v xml:space="preserve">
</v>
      </c>
      <c r="M983" s="83"/>
      <c r="N983" s="59"/>
      <c r="O983" s="59"/>
      <c r="P983" s="86" t="e">
        <f t="shared" si="43"/>
        <v>#VALUE!</v>
      </c>
      <c r="Q983" s="59"/>
      <c r="R983" s="59"/>
      <c r="S983" s="59"/>
      <c r="T983" s="59"/>
      <c r="U983" s="290"/>
      <c r="V983" s="290"/>
      <c r="W983" s="290"/>
      <c r="X983" s="290"/>
      <c r="Y983" s="290"/>
      <c r="Z983" s="290"/>
      <c r="AA983" s="290"/>
      <c r="AB983" s="290"/>
      <c r="AC983" s="290"/>
      <c r="AD983" s="290"/>
    </row>
    <row r="984" spans="1:30" ht="25.5">
      <c r="A984" s="291" t="str">
        <f t="shared" si="44"/>
        <v/>
      </c>
      <c r="B984" s="291" t="s">
        <v>2487</v>
      </c>
      <c r="C984" s="291" t="str">
        <f>IF(D983="","",UNIT!$B$1&amp;"-"&amp;B984)</f>
        <v/>
      </c>
      <c r="D984" s="83"/>
      <c r="E984" s="59"/>
      <c r="F984" s="82"/>
      <c r="G984" s="82"/>
      <c r="H984" s="86"/>
      <c r="I984" s="294" t="str">
        <f t="shared" si="45"/>
        <v/>
      </c>
      <c r="J984" s="59"/>
      <c r="K984" s="83"/>
      <c r="L984" s="83" t="str">
        <f t="shared" si="42"/>
        <v xml:space="preserve">
</v>
      </c>
      <c r="M984" s="83"/>
      <c r="N984" s="59"/>
      <c r="O984" s="59"/>
      <c r="P984" s="86" t="e">
        <f t="shared" si="43"/>
        <v>#VALUE!</v>
      </c>
      <c r="Q984" s="59"/>
      <c r="R984" s="59"/>
      <c r="S984" s="59"/>
      <c r="T984" s="59"/>
      <c r="U984" s="290"/>
      <c r="V984" s="290"/>
      <c r="W984" s="290"/>
      <c r="X984" s="290"/>
      <c r="Y984" s="290"/>
      <c r="Z984" s="290"/>
      <c r="AA984" s="290"/>
      <c r="AB984" s="290"/>
      <c r="AC984" s="290"/>
      <c r="AD984" s="290"/>
    </row>
    <row r="985" spans="1:30" ht="25.5">
      <c r="A985" s="291" t="str">
        <f t="shared" si="44"/>
        <v/>
      </c>
      <c r="B985" s="291" t="s">
        <v>2488</v>
      </c>
      <c r="C985" s="291" t="str">
        <f>IF(D984="","",UNIT!$B$1&amp;"-"&amp;B985)</f>
        <v/>
      </c>
      <c r="D985" s="83"/>
      <c r="E985" s="59"/>
      <c r="F985" s="82"/>
      <c r="G985" s="82"/>
      <c r="H985" s="86"/>
      <c r="I985" s="294" t="str">
        <f t="shared" si="45"/>
        <v/>
      </c>
      <c r="J985" s="59"/>
      <c r="K985" s="83"/>
      <c r="L985" s="83" t="str">
        <f t="shared" si="42"/>
        <v xml:space="preserve">
</v>
      </c>
      <c r="M985" s="83"/>
      <c r="N985" s="59"/>
      <c r="O985" s="59"/>
      <c r="P985" s="86" t="e">
        <f t="shared" si="43"/>
        <v>#VALUE!</v>
      </c>
      <c r="Q985" s="59"/>
      <c r="R985" s="59"/>
      <c r="S985" s="59"/>
      <c r="T985" s="59"/>
      <c r="U985" s="290"/>
      <c r="V985" s="290"/>
      <c r="W985" s="290"/>
      <c r="X985" s="290"/>
      <c r="Y985" s="290"/>
      <c r="Z985" s="290"/>
      <c r="AA985" s="290"/>
      <c r="AB985" s="290"/>
      <c r="AC985" s="290"/>
      <c r="AD985" s="290"/>
    </row>
    <row r="986" spans="1:30" ht="25.5">
      <c r="A986" s="291" t="str">
        <f t="shared" si="44"/>
        <v/>
      </c>
      <c r="B986" s="291" t="s">
        <v>2489</v>
      </c>
      <c r="C986" s="291" t="str">
        <f>IF(D985="","",UNIT!$B$1&amp;"-"&amp;B986)</f>
        <v/>
      </c>
      <c r="D986" s="83"/>
      <c r="E986" s="59"/>
      <c r="F986" s="82"/>
      <c r="G986" s="82"/>
      <c r="H986" s="86"/>
      <c r="I986" s="294" t="str">
        <f t="shared" si="45"/>
        <v/>
      </c>
      <c r="J986" s="59"/>
      <c r="K986" s="83"/>
      <c r="L986" s="83" t="str">
        <f t="shared" si="42"/>
        <v xml:space="preserve">
</v>
      </c>
      <c r="M986" s="83"/>
      <c r="N986" s="59"/>
      <c r="O986" s="59"/>
      <c r="P986" s="86" t="e">
        <f t="shared" si="43"/>
        <v>#VALUE!</v>
      </c>
      <c r="Q986" s="59"/>
      <c r="R986" s="59"/>
      <c r="S986" s="59"/>
      <c r="T986" s="59"/>
      <c r="U986" s="290"/>
      <c r="V986" s="290"/>
      <c r="W986" s="290"/>
      <c r="X986" s="290"/>
      <c r="Y986" s="290"/>
      <c r="Z986" s="290"/>
      <c r="AA986" s="290"/>
      <c r="AB986" s="290"/>
      <c r="AC986" s="290"/>
      <c r="AD986" s="290"/>
    </row>
    <row r="987" spans="1:30" ht="25.5">
      <c r="A987" s="291" t="str">
        <f t="shared" si="44"/>
        <v/>
      </c>
      <c r="B987" s="291" t="s">
        <v>2490</v>
      </c>
      <c r="C987" s="291" t="str">
        <f>IF(D986="","",UNIT!$B$1&amp;"-"&amp;B987)</f>
        <v/>
      </c>
      <c r="D987" s="83"/>
      <c r="E987" s="59"/>
      <c r="F987" s="82"/>
      <c r="G987" s="82"/>
      <c r="H987" s="86"/>
      <c r="I987" s="294" t="str">
        <f t="shared" si="45"/>
        <v/>
      </c>
      <c r="J987" s="59"/>
      <c r="K987" s="83"/>
      <c r="L987" s="83" t="str">
        <f t="shared" si="42"/>
        <v xml:space="preserve">
</v>
      </c>
      <c r="M987" s="83"/>
      <c r="N987" s="59"/>
      <c r="O987" s="59"/>
      <c r="P987" s="86" t="e">
        <f t="shared" si="43"/>
        <v>#VALUE!</v>
      </c>
      <c r="Q987" s="59"/>
      <c r="R987" s="59"/>
      <c r="S987" s="59"/>
      <c r="T987" s="59"/>
      <c r="U987" s="290"/>
      <c r="V987" s="290"/>
      <c r="W987" s="290"/>
      <c r="X987" s="290"/>
      <c r="Y987" s="290"/>
      <c r="Z987" s="290"/>
      <c r="AA987" s="290"/>
      <c r="AB987" s="290"/>
      <c r="AC987" s="290"/>
      <c r="AD987" s="290"/>
    </row>
    <row r="988" spans="1:30" ht="25.5">
      <c r="A988" s="291" t="str">
        <f t="shared" si="44"/>
        <v/>
      </c>
      <c r="B988" s="291" t="s">
        <v>2491</v>
      </c>
      <c r="C988" s="291" t="str">
        <f>IF(D987="","",UNIT!$B$1&amp;"-"&amp;B988)</f>
        <v/>
      </c>
      <c r="D988" s="83"/>
      <c r="E988" s="59"/>
      <c r="F988" s="82"/>
      <c r="G988" s="82"/>
      <c r="H988" s="86"/>
      <c r="I988" s="294" t="str">
        <f t="shared" si="45"/>
        <v/>
      </c>
      <c r="J988" s="59"/>
      <c r="K988" s="83"/>
      <c r="L988" s="83" t="str">
        <f t="shared" si="42"/>
        <v xml:space="preserve">
</v>
      </c>
      <c r="M988" s="83"/>
      <c r="N988" s="59"/>
      <c r="O988" s="59"/>
      <c r="P988" s="86" t="e">
        <f t="shared" si="43"/>
        <v>#VALUE!</v>
      </c>
      <c r="Q988" s="59"/>
      <c r="R988" s="59"/>
      <c r="S988" s="59"/>
      <c r="T988" s="59"/>
      <c r="U988" s="290"/>
      <c r="V988" s="290"/>
      <c r="W988" s="290"/>
      <c r="X988" s="290"/>
      <c r="Y988" s="290"/>
      <c r="Z988" s="290"/>
      <c r="AA988" s="290"/>
      <c r="AB988" s="290"/>
      <c r="AC988" s="290"/>
      <c r="AD988" s="290"/>
    </row>
    <row r="989" spans="1:30" ht="25.5">
      <c r="A989" s="291" t="str">
        <f t="shared" si="44"/>
        <v/>
      </c>
      <c r="B989" s="291" t="s">
        <v>2492</v>
      </c>
      <c r="C989" s="291" t="str">
        <f>IF(D988="","",UNIT!$B$1&amp;"-"&amp;B989)</f>
        <v/>
      </c>
      <c r="D989" s="83"/>
      <c r="E989" s="59"/>
      <c r="F989" s="82"/>
      <c r="G989" s="82"/>
      <c r="H989" s="86"/>
      <c r="I989" s="294" t="str">
        <f t="shared" si="45"/>
        <v/>
      </c>
      <c r="J989" s="59"/>
      <c r="K989" s="83"/>
      <c r="L989" s="83" t="str">
        <f t="shared" si="42"/>
        <v xml:space="preserve">
</v>
      </c>
      <c r="M989" s="83"/>
      <c r="N989" s="59"/>
      <c r="O989" s="59"/>
      <c r="P989" s="86" t="e">
        <f t="shared" si="43"/>
        <v>#VALUE!</v>
      </c>
      <c r="Q989" s="59"/>
      <c r="R989" s="59"/>
      <c r="S989" s="59"/>
      <c r="T989" s="59"/>
      <c r="U989" s="290"/>
      <c r="V989" s="290"/>
      <c r="W989" s="290"/>
      <c r="X989" s="290"/>
      <c r="Y989" s="290"/>
      <c r="Z989" s="290"/>
      <c r="AA989" s="290"/>
      <c r="AB989" s="290"/>
      <c r="AC989" s="290"/>
      <c r="AD989" s="290"/>
    </row>
    <row r="990" spans="1:30" ht="25.5">
      <c r="A990" s="291" t="str">
        <f t="shared" si="44"/>
        <v/>
      </c>
      <c r="B990" s="291" t="s">
        <v>2493</v>
      </c>
      <c r="C990" s="291" t="str">
        <f>IF(D989="","",UNIT!$B$1&amp;"-"&amp;B990)</f>
        <v/>
      </c>
      <c r="D990" s="83"/>
      <c r="E990" s="59"/>
      <c r="F990" s="82"/>
      <c r="G990" s="82"/>
      <c r="H990" s="86"/>
      <c r="I990" s="294" t="str">
        <f t="shared" si="45"/>
        <v/>
      </c>
      <c r="J990" s="59"/>
      <c r="K990" s="83"/>
      <c r="L990" s="83" t="str">
        <f t="shared" si="42"/>
        <v xml:space="preserve">
</v>
      </c>
      <c r="M990" s="83"/>
      <c r="N990" s="59"/>
      <c r="O990" s="59"/>
      <c r="P990" s="86" t="e">
        <f t="shared" si="43"/>
        <v>#VALUE!</v>
      </c>
      <c r="Q990" s="59"/>
      <c r="R990" s="59"/>
      <c r="S990" s="59"/>
      <c r="T990" s="59"/>
      <c r="U990" s="290"/>
      <c r="V990" s="290"/>
      <c r="W990" s="290"/>
      <c r="X990" s="290"/>
      <c r="Y990" s="290"/>
      <c r="Z990" s="290"/>
      <c r="AA990" s="290"/>
      <c r="AB990" s="290"/>
      <c r="AC990" s="290"/>
      <c r="AD990" s="290"/>
    </row>
    <row r="991" spans="1:30" ht="25.5">
      <c r="A991" s="291" t="str">
        <f t="shared" si="44"/>
        <v/>
      </c>
      <c r="B991" s="291" t="s">
        <v>2494</v>
      </c>
      <c r="C991" s="291" t="str">
        <f>IF(D990="","",UNIT!$B$1&amp;"-"&amp;B991)</f>
        <v/>
      </c>
      <c r="D991" s="83"/>
      <c r="E991" s="59"/>
      <c r="F991" s="82"/>
      <c r="G991" s="82"/>
      <c r="H991" s="86"/>
      <c r="I991" s="294" t="str">
        <f t="shared" si="45"/>
        <v/>
      </c>
      <c r="J991" s="59"/>
      <c r="K991" s="83"/>
      <c r="L991" s="83" t="str">
        <f t="shared" si="42"/>
        <v xml:space="preserve">
</v>
      </c>
      <c r="M991" s="83"/>
      <c r="N991" s="59"/>
      <c r="O991" s="59"/>
      <c r="P991" s="86" t="e">
        <f t="shared" si="43"/>
        <v>#VALUE!</v>
      </c>
      <c r="Q991" s="59"/>
      <c r="R991" s="59"/>
      <c r="S991" s="59"/>
      <c r="T991" s="59"/>
      <c r="U991" s="290"/>
      <c r="V991" s="290"/>
      <c r="W991" s="290"/>
      <c r="X991" s="290"/>
      <c r="Y991" s="290"/>
      <c r="Z991" s="290"/>
      <c r="AA991" s="290"/>
      <c r="AB991" s="290"/>
      <c r="AC991" s="290"/>
      <c r="AD991" s="290"/>
    </row>
    <row r="992" spans="1:30" ht="25.5">
      <c r="A992" s="291" t="str">
        <f t="shared" si="44"/>
        <v/>
      </c>
      <c r="B992" s="291" t="s">
        <v>2495</v>
      </c>
      <c r="C992" s="291" t="str">
        <f>IF(D991="","",UNIT!$B$1&amp;"-"&amp;B992)</f>
        <v/>
      </c>
      <c r="D992" s="83"/>
      <c r="E992" s="59"/>
      <c r="F992" s="82"/>
      <c r="G992" s="82"/>
      <c r="H992" s="86"/>
      <c r="I992" s="294" t="str">
        <f t="shared" si="45"/>
        <v/>
      </c>
      <c r="J992" s="59"/>
      <c r="K992" s="83"/>
      <c r="L992" s="83" t="str">
        <f t="shared" si="42"/>
        <v xml:space="preserve">
</v>
      </c>
      <c r="M992" s="83"/>
      <c r="N992" s="59"/>
      <c r="O992" s="59"/>
      <c r="P992" s="86" t="e">
        <f t="shared" si="43"/>
        <v>#VALUE!</v>
      </c>
      <c r="Q992" s="59"/>
      <c r="R992" s="59"/>
      <c r="S992" s="59"/>
      <c r="T992" s="59"/>
      <c r="U992" s="290"/>
      <c r="V992" s="290"/>
      <c r="W992" s="290"/>
      <c r="X992" s="290"/>
      <c r="Y992" s="290"/>
      <c r="Z992" s="290"/>
      <c r="AA992" s="290"/>
      <c r="AB992" s="290"/>
      <c r="AC992" s="290"/>
      <c r="AD992" s="290"/>
    </row>
    <row r="993" spans="1:30" ht="25.5">
      <c r="A993" s="291" t="str">
        <f t="shared" si="44"/>
        <v/>
      </c>
      <c r="B993" s="291" t="s">
        <v>2496</v>
      </c>
      <c r="C993" s="291" t="str">
        <f>IF(D992="","",UNIT!$B$1&amp;"-"&amp;B993)</f>
        <v/>
      </c>
      <c r="D993" s="83"/>
      <c r="E993" s="59"/>
      <c r="F993" s="82"/>
      <c r="G993" s="82"/>
      <c r="H993" s="86"/>
      <c r="I993" s="294" t="str">
        <f t="shared" si="45"/>
        <v/>
      </c>
      <c r="J993" s="59"/>
      <c r="K993" s="83"/>
      <c r="L993" s="83" t="str">
        <f t="shared" si="42"/>
        <v xml:space="preserve">
</v>
      </c>
      <c r="M993" s="83"/>
      <c r="N993" s="59"/>
      <c r="O993" s="59"/>
      <c r="P993" s="86" t="e">
        <f t="shared" si="43"/>
        <v>#VALUE!</v>
      </c>
      <c r="Q993" s="59"/>
      <c r="R993" s="59"/>
      <c r="S993" s="59"/>
      <c r="T993" s="59"/>
      <c r="U993" s="290"/>
      <c r="V993" s="290"/>
      <c r="W993" s="290"/>
      <c r="X993" s="290"/>
      <c r="Y993" s="290"/>
      <c r="Z993" s="290"/>
      <c r="AA993" s="290"/>
      <c r="AB993" s="290"/>
      <c r="AC993" s="290"/>
      <c r="AD993" s="290"/>
    </row>
    <row r="994" spans="1:30" ht="25.5">
      <c r="A994" s="291" t="str">
        <f t="shared" si="44"/>
        <v/>
      </c>
      <c r="B994" s="291" t="s">
        <v>2497</v>
      </c>
      <c r="C994" s="291" t="str">
        <f>IF(D993="","",UNIT!$B$1&amp;"-"&amp;B994)</f>
        <v/>
      </c>
      <c r="D994" s="83"/>
      <c r="E994" s="59"/>
      <c r="F994" s="82"/>
      <c r="G994" s="82"/>
      <c r="H994" s="86"/>
      <c r="I994" s="294" t="str">
        <f t="shared" si="45"/>
        <v/>
      </c>
      <c r="J994" s="59"/>
      <c r="K994" s="83"/>
      <c r="L994" s="83" t="str">
        <f t="shared" si="42"/>
        <v xml:space="preserve">
</v>
      </c>
      <c r="M994" s="83"/>
      <c r="N994" s="59"/>
      <c r="O994" s="59"/>
      <c r="P994" s="86" t="e">
        <f t="shared" si="43"/>
        <v>#VALUE!</v>
      </c>
      <c r="Q994" s="59"/>
      <c r="R994" s="59"/>
      <c r="S994" s="59"/>
      <c r="T994" s="59"/>
      <c r="U994" s="290"/>
      <c r="V994" s="290"/>
      <c r="W994" s="290"/>
      <c r="X994" s="290"/>
      <c r="Y994" s="290"/>
      <c r="Z994" s="290"/>
      <c r="AA994" s="290"/>
      <c r="AB994" s="290"/>
      <c r="AC994" s="290"/>
      <c r="AD994" s="290"/>
    </row>
    <row r="995" spans="1:30" ht="25.5">
      <c r="A995" s="291" t="str">
        <f t="shared" si="44"/>
        <v/>
      </c>
      <c r="B995" s="291" t="s">
        <v>2498</v>
      </c>
      <c r="C995" s="291" t="str">
        <f>IF(D994="","",UNIT!$B$1&amp;"-"&amp;B995)</f>
        <v/>
      </c>
      <c r="D995" s="83"/>
      <c r="E995" s="59"/>
      <c r="F995" s="82"/>
      <c r="G995" s="82"/>
      <c r="H995" s="86"/>
      <c r="I995" s="294" t="str">
        <f t="shared" si="45"/>
        <v/>
      </c>
      <c r="J995" s="59"/>
      <c r="K995" s="83"/>
      <c r="L995" s="83" t="str">
        <f t="shared" si="42"/>
        <v xml:space="preserve">
</v>
      </c>
      <c r="M995" s="83"/>
      <c r="N995" s="59"/>
      <c r="O995" s="59"/>
      <c r="P995" s="86" t="e">
        <f t="shared" si="43"/>
        <v>#VALUE!</v>
      </c>
      <c r="Q995" s="59"/>
      <c r="R995" s="59"/>
      <c r="S995" s="59"/>
      <c r="T995" s="59"/>
      <c r="U995" s="290"/>
      <c r="V995" s="290"/>
      <c r="W995" s="290"/>
      <c r="X995" s="290"/>
      <c r="Y995" s="290"/>
      <c r="Z995" s="290"/>
      <c r="AA995" s="290"/>
      <c r="AB995" s="290"/>
      <c r="AC995" s="290"/>
      <c r="AD995" s="290"/>
    </row>
    <row r="996" spans="1:30" ht="25.5">
      <c r="A996" s="291" t="str">
        <f t="shared" si="44"/>
        <v/>
      </c>
      <c r="B996" s="291" t="s">
        <v>2499</v>
      </c>
      <c r="C996" s="291" t="str">
        <f>IF(D995="","",UNIT!$B$1&amp;"-"&amp;B996)</f>
        <v/>
      </c>
      <c r="D996" s="83"/>
      <c r="E996" s="59"/>
      <c r="F996" s="82"/>
      <c r="G996" s="82"/>
      <c r="H996" s="86"/>
      <c r="I996" s="294" t="str">
        <f t="shared" si="45"/>
        <v/>
      </c>
      <c r="J996" s="59"/>
      <c r="K996" s="83"/>
      <c r="L996" s="83" t="str">
        <f t="shared" si="42"/>
        <v xml:space="preserve">
</v>
      </c>
      <c r="M996" s="83"/>
      <c r="N996" s="59"/>
      <c r="O996" s="59"/>
      <c r="P996" s="86" t="e">
        <f t="shared" si="43"/>
        <v>#VALUE!</v>
      </c>
      <c r="Q996" s="59"/>
      <c r="R996" s="59"/>
      <c r="S996" s="59"/>
      <c r="T996" s="59"/>
      <c r="U996" s="290"/>
      <c r="V996" s="290"/>
      <c r="W996" s="290"/>
      <c r="X996" s="290"/>
      <c r="Y996" s="290"/>
      <c r="Z996" s="290"/>
      <c r="AA996" s="290"/>
      <c r="AB996" s="290"/>
      <c r="AC996" s="290"/>
      <c r="AD996" s="290"/>
    </row>
    <row r="997" spans="1:30" ht="25.5">
      <c r="A997" s="291" t="str">
        <f t="shared" si="44"/>
        <v/>
      </c>
      <c r="B997" s="291" t="s">
        <v>2500</v>
      </c>
      <c r="C997" s="291" t="str">
        <f>IF(D996="","",UNIT!$B$1&amp;"-"&amp;B997)</f>
        <v/>
      </c>
      <c r="D997" s="83"/>
      <c r="E997" s="59"/>
      <c r="F997" s="82"/>
      <c r="G997" s="82"/>
      <c r="H997" s="86"/>
      <c r="I997" s="294" t="str">
        <f t="shared" si="45"/>
        <v/>
      </c>
      <c r="J997" s="59"/>
      <c r="K997" s="83"/>
      <c r="L997" s="83" t="str">
        <f t="shared" si="42"/>
        <v xml:space="preserve">
</v>
      </c>
      <c r="M997" s="83"/>
      <c r="N997" s="59"/>
      <c r="O997" s="59"/>
      <c r="P997" s="86" t="e">
        <f t="shared" si="43"/>
        <v>#VALUE!</v>
      </c>
      <c r="Q997" s="59"/>
      <c r="R997" s="59"/>
      <c r="S997" s="59"/>
      <c r="T997" s="59"/>
      <c r="U997" s="290"/>
      <c r="V997" s="290"/>
      <c r="W997" s="290"/>
      <c r="X997" s="290"/>
      <c r="Y997" s="290"/>
      <c r="Z997" s="290"/>
      <c r="AA997" s="290"/>
      <c r="AB997" s="290"/>
      <c r="AC997" s="290"/>
      <c r="AD997" s="290"/>
    </row>
    <row r="998" spans="1:30" ht="25.5">
      <c r="A998" s="291"/>
      <c r="B998" s="291"/>
      <c r="C998" s="291"/>
      <c r="D998" s="83"/>
      <c r="E998" s="59"/>
      <c r="F998" s="82"/>
      <c r="G998" s="82"/>
      <c r="H998" s="86"/>
      <c r="I998" s="294"/>
      <c r="J998" s="59"/>
      <c r="K998" s="83"/>
      <c r="L998" s="83" t="str">
        <f t="shared" si="42"/>
        <v xml:space="preserve">
</v>
      </c>
      <c r="M998" s="83"/>
      <c r="N998" s="59"/>
      <c r="O998" s="59"/>
      <c r="P998" s="86">
        <f t="shared" si="43"/>
        <v>0</v>
      </c>
      <c r="Q998" s="59"/>
      <c r="R998" s="59"/>
      <c r="S998" s="59"/>
      <c r="T998" s="59"/>
      <c r="U998" s="290"/>
      <c r="V998" s="290"/>
      <c r="W998" s="290"/>
      <c r="X998" s="290"/>
      <c r="Y998" s="290"/>
      <c r="Z998" s="290"/>
      <c r="AA998" s="290"/>
      <c r="AB998" s="290"/>
      <c r="AC998" s="290"/>
      <c r="AD998" s="290"/>
    </row>
    <row r="999" spans="1:30" ht="25.5">
      <c r="A999" s="291"/>
      <c r="B999" s="291"/>
      <c r="C999" s="291"/>
      <c r="D999" s="83"/>
      <c r="E999" s="59"/>
      <c r="F999" s="82"/>
      <c r="G999" s="82"/>
      <c r="H999" s="86"/>
      <c r="I999" s="294"/>
      <c r="J999" s="59"/>
      <c r="K999" s="83"/>
      <c r="L999" s="83" t="str">
        <f t="shared" si="42"/>
        <v xml:space="preserve">
</v>
      </c>
      <c r="M999" s="83"/>
      <c r="N999" s="59"/>
      <c r="O999" s="59"/>
      <c r="P999" s="86">
        <f t="shared" si="43"/>
        <v>0</v>
      </c>
      <c r="Q999" s="59"/>
      <c r="R999" s="59"/>
      <c r="S999" s="59"/>
      <c r="T999" s="59"/>
      <c r="U999" s="290"/>
      <c r="V999" s="290"/>
      <c r="W999" s="290"/>
      <c r="X999" s="290"/>
      <c r="Y999" s="290"/>
      <c r="Z999" s="290"/>
      <c r="AA999" s="290"/>
      <c r="AB999" s="290"/>
      <c r="AC999" s="290"/>
      <c r="AD999" s="290"/>
    </row>
    <row r="1000" spans="1:30" ht="25.5">
      <c r="A1000" s="291"/>
      <c r="B1000" s="291"/>
      <c r="C1000" s="291"/>
      <c r="D1000" s="83"/>
      <c r="E1000" s="59"/>
      <c r="F1000" s="82"/>
      <c r="G1000" s="82"/>
      <c r="H1000" s="86"/>
      <c r="I1000" s="294"/>
      <c r="J1000" s="59"/>
      <c r="K1000" s="83"/>
      <c r="L1000" s="83" t="str">
        <f t="shared" si="42"/>
        <v xml:space="preserve">
</v>
      </c>
      <c r="M1000" s="83"/>
      <c r="N1000" s="59"/>
      <c r="O1000" s="59"/>
      <c r="P1000" s="86">
        <f t="shared" si="43"/>
        <v>0</v>
      </c>
      <c r="Q1000" s="59"/>
      <c r="R1000" s="59"/>
      <c r="S1000" s="59"/>
      <c r="T1000" s="59"/>
      <c r="U1000" s="290"/>
      <c r="V1000" s="290"/>
      <c r="W1000" s="290"/>
      <c r="X1000" s="290"/>
      <c r="Y1000" s="290"/>
      <c r="Z1000" s="290"/>
      <c r="AA1000" s="290"/>
      <c r="AB1000" s="290"/>
      <c r="AC1000" s="290"/>
      <c r="AD1000" s="290"/>
    </row>
    <row r="1001" spans="1:30" ht="25.5">
      <c r="A1001" s="291"/>
      <c r="B1001" s="291"/>
      <c r="C1001" s="291"/>
      <c r="D1001" s="83"/>
      <c r="E1001" s="59"/>
      <c r="F1001" s="82"/>
      <c r="G1001" s="82"/>
      <c r="H1001" s="86"/>
      <c r="I1001" s="294"/>
      <c r="J1001" s="59"/>
      <c r="K1001" s="83"/>
      <c r="L1001" s="83" t="str">
        <f t="shared" si="42"/>
        <v xml:space="preserve">
</v>
      </c>
      <c r="M1001" s="83"/>
      <c r="N1001" s="59"/>
      <c r="O1001" s="59"/>
      <c r="P1001" s="86">
        <f t="shared" si="43"/>
        <v>0</v>
      </c>
      <c r="Q1001" s="59"/>
      <c r="R1001" s="59"/>
      <c r="S1001" s="59"/>
      <c r="T1001" s="59"/>
      <c r="U1001" s="290"/>
      <c r="V1001" s="290"/>
      <c r="W1001" s="290"/>
      <c r="X1001" s="290"/>
      <c r="Y1001" s="290"/>
      <c r="Z1001" s="290"/>
      <c r="AA1001" s="290"/>
      <c r="AB1001" s="290"/>
      <c r="AC1001" s="290"/>
      <c r="AD1001" s="290"/>
    </row>
    <row r="1002" spans="1:30" ht="25.5">
      <c r="A1002" s="291"/>
      <c r="B1002" s="291"/>
      <c r="C1002" s="291"/>
      <c r="D1002" s="83"/>
      <c r="E1002" s="59"/>
      <c r="F1002" s="82"/>
      <c r="G1002" s="82"/>
      <c r="H1002" s="86"/>
      <c r="I1002" s="294"/>
      <c r="J1002" s="59"/>
      <c r="K1002" s="83"/>
      <c r="L1002" s="83" t="str">
        <f t="shared" si="42"/>
        <v xml:space="preserve">
</v>
      </c>
      <c r="M1002" s="83"/>
      <c r="N1002" s="59"/>
      <c r="O1002" s="59"/>
      <c r="P1002" s="86">
        <f t="shared" si="43"/>
        <v>0</v>
      </c>
      <c r="Q1002" s="59"/>
      <c r="R1002" s="59"/>
      <c r="S1002" s="59"/>
      <c r="T1002" s="59"/>
      <c r="U1002" s="290"/>
      <c r="V1002" s="290"/>
      <c r="W1002" s="290"/>
      <c r="X1002" s="290"/>
      <c r="Y1002" s="290"/>
      <c r="Z1002" s="290"/>
      <c r="AA1002" s="290"/>
      <c r="AB1002" s="290"/>
      <c r="AC1002" s="290"/>
      <c r="AD1002" s="290"/>
    </row>
    <row r="1003" spans="1:30" ht="25.5">
      <c r="A1003" s="291"/>
      <c r="B1003" s="291"/>
      <c r="C1003" s="291"/>
      <c r="D1003" s="83"/>
      <c r="E1003" s="59"/>
      <c r="F1003" s="82"/>
      <c r="G1003" s="82"/>
      <c r="H1003" s="86"/>
      <c r="I1003" s="294"/>
      <c r="J1003" s="59"/>
      <c r="K1003" s="83"/>
      <c r="L1003" s="83" t="str">
        <f t="shared" si="42"/>
        <v xml:space="preserve">
</v>
      </c>
      <c r="M1003" s="83"/>
      <c r="N1003" s="59"/>
      <c r="O1003" s="59"/>
      <c r="P1003" s="86">
        <f t="shared" si="43"/>
        <v>0</v>
      </c>
      <c r="Q1003" s="59"/>
      <c r="R1003" s="59"/>
      <c r="S1003" s="59"/>
      <c r="T1003" s="59"/>
      <c r="U1003" s="290"/>
      <c r="V1003" s="290"/>
      <c r="W1003" s="290"/>
      <c r="X1003" s="290"/>
      <c r="Y1003" s="290"/>
      <c r="Z1003" s="290"/>
      <c r="AA1003" s="290"/>
      <c r="AB1003" s="290"/>
      <c r="AC1003" s="290"/>
      <c r="AD1003" s="290"/>
    </row>
    <row r="1004" spans="1:30" ht="25.5">
      <c r="A1004" s="291"/>
      <c r="B1004" s="291"/>
      <c r="C1004" s="291"/>
      <c r="D1004" s="83"/>
      <c r="E1004" s="59"/>
      <c r="F1004" s="82"/>
      <c r="G1004" s="82"/>
      <c r="H1004" s="86"/>
      <c r="I1004" s="294"/>
      <c r="J1004" s="59"/>
      <c r="K1004" s="83"/>
      <c r="L1004" s="83" t="str">
        <f t="shared" si="42"/>
        <v xml:space="preserve">
</v>
      </c>
      <c r="M1004" s="83"/>
      <c r="N1004" s="59"/>
      <c r="O1004" s="59"/>
      <c r="P1004" s="86">
        <f t="shared" si="43"/>
        <v>0</v>
      </c>
      <c r="Q1004" s="59"/>
      <c r="R1004" s="59"/>
      <c r="S1004" s="59"/>
      <c r="T1004" s="59"/>
      <c r="U1004" s="290"/>
      <c r="V1004" s="290"/>
      <c r="W1004" s="290"/>
      <c r="X1004" s="290"/>
      <c r="Y1004" s="290"/>
      <c r="Z1004" s="290"/>
      <c r="AA1004" s="290"/>
      <c r="AB1004" s="290"/>
      <c r="AC1004" s="290"/>
      <c r="AD1004" s="290"/>
    </row>
    <row r="1005" spans="1:30" ht="25.5">
      <c r="A1005" s="291"/>
      <c r="B1005" s="291"/>
      <c r="C1005" s="291"/>
      <c r="D1005" s="83"/>
      <c r="E1005" s="59"/>
      <c r="F1005" s="82"/>
      <c r="G1005" s="82"/>
      <c r="H1005" s="86"/>
      <c r="I1005" s="294"/>
      <c r="J1005" s="59"/>
      <c r="K1005" s="83"/>
      <c r="L1005" s="83" t="str">
        <f t="shared" si="42"/>
        <v xml:space="preserve">
</v>
      </c>
      <c r="M1005" s="83"/>
      <c r="N1005" s="59"/>
      <c r="O1005" s="59"/>
      <c r="P1005" s="86">
        <f t="shared" si="43"/>
        <v>0</v>
      </c>
      <c r="Q1005" s="59"/>
      <c r="R1005" s="59"/>
      <c r="S1005" s="59"/>
      <c r="T1005" s="59"/>
      <c r="U1005" s="290"/>
      <c r="V1005" s="290"/>
      <c r="W1005" s="290"/>
      <c r="X1005" s="290"/>
      <c r="Y1005" s="290"/>
      <c r="Z1005" s="290"/>
      <c r="AA1005" s="290"/>
      <c r="AB1005" s="290"/>
      <c r="AC1005" s="290"/>
      <c r="AD1005" s="290"/>
    </row>
    <row r="1006" spans="1:30" ht="25.5">
      <c r="A1006" s="291"/>
      <c r="B1006" s="291"/>
      <c r="C1006" s="291"/>
      <c r="D1006" s="83"/>
      <c r="E1006" s="59"/>
      <c r="F1006" s="82"/>
      <c r="G1006" s="82"/>
      <c r="H1006" s="86"/>
      <c r="I1006" s="294"/>
      <c r="J1006" s="59"/>
      <c r="K1006" s="83"/>
      <c r="L1006" s="83" t="str">
        <f t="shared" si="42"/>
        <v xml:space="preserve">
</v>
      </c>
      <c r="M1006" s="83"/>
      <c r="N1006" s="59"/>
      <c r="O1006" s="59"/>
      <c r="P1006" s="86">
        <f t="shared" si="43"/>
        <v>0</v>
      </c>
      <c r="Q1006" s="59"/>
      <c r="R1006" s="59"/>
      <c r="S1006" s="59"/>
      <c r="T1006" s="59"/>
      <c r="U1006" s="290"/>
      <c r="V1006" s="290"/>
      <c r="W1006" s="290"/>
      <c r="X1006" s="290"/>
      <c r="Y1006" s="290"/>
      <c r="Z1006" s="290"/>
      <c r="AA1006" s="290"/>
      <c r="AB1006" s="290"/>
      <c r="AC1006" s="290"/>
      <c r="AD1006" s="290"/>
    </row>
    <row r="1007" spans="1:30" ht="25.5">
      <c r="A1007" s="291"/>
      <c r="B1007" s="291"/>
      <c r="C1007" s="291"/>
      <c r="D1007" s="83"/>
      <c r="E1007" s="59"/>
      <c r="F1007" s="82"/>
      <c r="G1007" s="82"/>
      <c r="H1007" s="86"/>
      <c r="I1007" s="294"/>
      <c r="J1007" s="59"/>
      <c r="K1007" s="83"/>
      <c r="L1007" s="83" t="str">
        <f t="shared" si="42"/>
        <v xml:space="preserve">
</v>
      </c>
      <c r="M1007" s="83"/>
      <c r="N1007" s="59"/>
      <c r="O1007" s="59"/>
      <c r="P1007" s="86">
        <f t="shared" si="43"/>
        <v>0</v>
      </c>
      <c r="Q1007" s="59"/>
      <c r="R1007" s="59"/>
      <c r="S1007" s="59"/>
      <c r="T1007" s="59"/>
      <c r="U1007" s="290"/>
      <c r="V1007" s="290"/>
      <c r="W1007" s="290"/>
      <c r="X1007" s="290"/>
      <c r="Y1007" s="290"/>
      <c r="Z1007" s="290"/>
      <c r="AA1007" s="290"/>
      <c r="AB1007" s="290"/>
      <c r="AC1007" s="290"/>
      <c r="AD1007" s="290"/>
    </row>
    <row r="1008" spans="1:30" ht="25.5">
      <c r="A1008" s="291"/>
      <c r="B1008" s="291"/>
      <c r="C1008" s="291"/>
      <c r="D1008" s="83"/>
      <c r="E1008" s="59"/>
      <c r="F1008" s="82"/>
      <c r="G1008" s="82"/>
      <c r="H1008" s="86"/>
      <c r="I1008" s="294"/>
      <c r="J1008" s="59"/>
      <c r="K1008" s="83"/>
      <c r="L1008" s="83" t="str">
        <f t="shared" si="42"/>
        <v xml:space="preserve">
</v>
      </c>
      <c r="M1008" s="83"/>
      <c r="N1008" s="59"/>
      <c r="O1008" s="59"/>
      <c r="P1008" s="86">
        <f t="shared" si="43"/>
        <v>0</v>
      </c>
      <c r="Q1008" s="59"/>
      <c r="R1008" s="59"/>
      <c r="S1008" s="59"/>
      <c r="T1008" s="59"/>
      <c r="U1008" s="290"/>
      <c r="V1008" s="290"/>
      <c r="W1008" s="290"/>
      <c r="X1008" s="290"/>
      <c r="Y1008" s="290"/>
      <c r="Z1008" s="290"/>
      <c r="AA1008" s="290"/>
      <c r="AB1008" s="290"/>
      <c r="AC1008" s="290"/>
      <c r="AD1008" s="290"/>
    </row>
    <row r="1009" spans="1:30" ht="25.5">
      <c r="A1009" s="291"/>
      <c r="B1009" s="291"/>
      <c r="C1009" s="291"/>
      <c r="D1009" s="83"/>
      <c r="E1009" s="59"/>
      <c r="F1009" s="82"/>
      <c r="G1009" s="82"/>
      <c r="H1009" s="86"/>
      <c r="I1009" s="294"/>
      <c r="J1009" s="59"/>
      <c r="K1009" s="83"/>
      <c r="L1009" s="83" t="str">
        <f t="shared" si="42"/>
        <v xml:space="preserve">
</v>
      </c>
      <c r="M1009" s="83"/>
      <c r="N1009" s="59"/>
      <c r="O1009" s="59"/>
      <c r="P1009" s="86">
        <f t="shared" si="43"/>
        <v>0</v>
      </c>
      <c r="Q1009" s="59"/>
      <c r="R1009" s="59"/>
      <c r="S1009" s="59"/>
      <c r="T1009" s="59"/>
      <c r="U1009" s="290"/>
      <c r="V1009" s="290"/>
      <c r="W1009" s="290"/>
      <c r="X1009" s="290"/>
      <c r="Y1009" s="290"/>
      <c r="Z1009" s="290"/>
      <c r="AA1009" s="290"/>
      <c r="AB1009" s="290"/>
      <c r="AC1009" s="290"/>
      <c r="AD1009" s="290"/>
    </row>
    <row r="1010" spans="1:30" ht="25.5">
      <c r="A1010" s="291"/>
      <c r="B1010" s="291"/>
      <c r="C1010" s="291"/>
      <c r="D1010" s="83"/>
      <c r="E1010" s="59"/>
      <c r="F1010" s="82"/>
      <c r="G1010" s="82"/>
      <c r="H1010" s="86"/>
      <c r="I1010" s="294"/>
      <c r="J1010" s="59"/>
      <c r="K1010" s="83"/>
      <c r="L1010" s="83" t="str">
        <f t="shared" si="42"/>
        <v xml:space="preserve">
</v>
      </c>
      <c r="M1010" s="83"/>
      <c r="N1010" s="59"/>
      <c r="O1010" s="59"/>
      <c r="P1010" s="86">
        <f t="shared" si="43"/>
        <v>0</v>
      </c>
      <c r="Q1010" s="59"/>
      <c r="R1010" s="59"/>
      <c r="S1010" s="59"/>
      <c r="T1010" s="59"/>
      <c r="U1010" s="290"/>
      <c r="V1010" s="290"/>
      <c r="W1010" s="290"/>
      <c r="X1010" s="290"/>
      <c r="Y1010" s="290"/>
      <c r="Z1010" s="290"/>
      <c r="AA1010" s="290"/>
      <c r="AB1010" s="290"/>
      <c r="AC1010" s="290"/>
      <c r="AD1010" s="290"/>
    </row>
    <row r="1011" spans="1:30" ht="25.5">
      <c r="A1011" s="291"/>
      <c r="B1011" s="291"/>
      <c r="C1011" s="291"/>
      <c r="D1011" s="83"/>
      <c r="E1011" s="59"/>
      <c r="F1011" s="82"/>
      <c r="G1011" s="82"/>
      <c r="H1011" s="86"/>
      <c r="I1011" s="294"/>
      <c r="J1011" s="59"/>
      <c r="K1011" s="83"/>
      <c r="L1011" s="83" t="str">
        <f t="shared" si="42"/>
        <v xml:space="preserve">
</v>
      </c>
      <c r="M1011" s="83"/>
      <c r="N1011" s="59"/>
      <c r="O1011" s="59"/>
      <c r="P1011" s="86">
        <f t="shared" si="43"/>
        <v>0</v>
      </c>
      <c r="Q1011" s="59"/>
      <c r="R1011" s="59"/>
      <c r="S1011" s="59"/>
      <c r="T1011" s="59"/>
      <c r="U1011" s="290"/>
      <c r="V1011" s="290"/>
      <c r="W1011" s="290"/>
      <c r="X1011" s="290"/>
      <c r="Y1011" s="290"/>
      <c r="Z1011" s="290"/>
      <c r="AA1011" s="290"/>
      <c r="AB1011" s="290"/>
      <c r="AC1011" s="290"/>
      <c r="AD1011" s="290"/>
    </row>
    <row r="1012" spans="1:30" ht="25.5">
      <c r="A1012" s="291"/>
      <c r="B1012" s="291"/>
      <c r="C1012" s="291"/>
      <c r="D1012" s="83"/>
      <c r="E1012" s="59"/>
      <c r="F1012" s="82"/>
      <c r="G1012" s="82"/>
      <c r="H1012" s="86"/>
      <c r="I1012" s="294"/>
      <c r="J1012" s="59"/>
      <c r="K1012" s="83"/>
      <c r="L1012" s="83" t="str">
        <f t="shared" si="42"/>
        <v xml:space="preserve">
</v>
      </c>
      <c r="M1012" s="83"/>
      <c r="N1012" s="59"/>
      <c r="O1012" s="59"/>
      <c r="P1012" s="86">
        <f t="shared" si="43"/>
        <v>0</v>
      </c>
      <c r="Q1012" s="59"/>
      <c r="R1012" s="59"/>
      <c r="S1012" s="59"/>
      <c r="T1012" s="59"/>
      <c r="U1012" s="290"/>
      <c r="V1012" s="290"/>
      <c r="W1012" s="290"/>
      <c r="X1012" s="290"/>
      <c r="Y1012" s="290"/>
      <c r="Z1012" s="290"/>
      <c r="AA1012" s="290"/>
      <c r="AB1012" s="290"/>
      <c r="AC1012" s="290"/>
      <c r="AD1012" s="290"/>
    </row>
    <row r="1013" spans="1:30" ht="25.5">
      <c r="A1013" s="291"/>
      <c r="B1013" s="291"/>
      <c r="C1013" s="291"/>
      <c r="D1013" s="83"/>
      <c r="E1013" s="59"/>
      <c r="F1013" s="82"/>
      <c r="G1013" s="82"/>
      <c r="H1013" s="86"/>
      <c r="I1013" s="294"/>
      <c r="J1013" s="59"/>
      <c r="K1013" s="83"/>
      <c r="L1013" s="83" t="str">
        <f t="shared" si="42"/>
        <v xml:space="preserve">
</v>
      </c>
      <c r="M1013" s="83"/>
      <c r="N1013" s="59"/>
      <c r="O1013" s="59"/>
      <c r="P1013" s="86">
        <f t="shared" si="43"/>
        <v>0</v>
      </c>
      <c r="Q1013" s="59"/>
      <c r="R1013" s="59"/>
      <c r="S1013" s="59"/>
      <c r="T1013" s="59"/>
      <c r="U1013" s="290"/>
      <c r="V1013" s="290"/>
      <c r="W1013" s="290"/>
      <c r="X1013" s="290"/>
      <c r="Y1013" s="290"/>
      <c r="Z1013" s="290"/>
      <c r="AA1013" s="290"/>
      <c r="AB1013" s="290"/>
      <c r="AC1013" s="290"/>
      <c r="AD1013" s="290"/>
    </row>
    <row r="1014" spans="1:30" ht="25.5">
      <c r="A1014" s="291"/>
      <c r="B1014" s="291"/>
      <c r="C1014" s="291"/>
      <c r="D1014" s="83"/>
      <c r="E1014" s="59"/>
      <c r="F1014" s="82"/>
      <c r="G1014" s="82"/>
      <c r="H1014" s="86"/>
      <c r="I1014" s="294"/>
      <c r="J1014" s="59"/>
      <c r="K1014" s="83"/>
      <c r="L1014" s="83" t="str">
        <f t="shared" si="42"/>
        <v xml:space="preserve">
</v>
      </c>
      <c r="M1014" s="83"/>
      <c r="N1014" s="59"/>
      <c r="O1014" s="59"/>
      <c r="P1014" s="86">
        <f t="shared" si="43"/>
        <v>0</v>
      </c>
      <c r="Q1014" s="59"/>
      <c r="R1014" s="59"/>
      <c r="S1014" s="59"/>
      <c r="T1014" s="59"/>
      <c r="U1014" s="290"/>
      <c r="V1014" s="290"/>
      <c r="W1014" s="290"/>
      <c r="X1014" s="290"/>
      <c r="Y1014" s="290"/>
      <c r="Z1014" s="290"/>
      <c r="AA1014" s="290"/>
      <c r="AB1014" s="290"/>
      <c r="AC1014" s="290"/>
      <c r="AD1014" s="290"/>
    </row>
    <row r="1015" spans="1:30" ht="25.5">
      <c r="A1015" s="291"/>
      <c r="B1015" s="291"/>
      <c r="C1015" s="291"/>
      <c r="D1015" s="83"/>
      <c r="E1015" s="59"/>
      <c r="F1015" s="82"/>
      <c r="G1015" s="82"/>
      <c r="H1015" s="86"/>
      <c r="I1015" s="294"/>
      <c r="J1015" s="59"/>
      <c r="K1015" s="83"/>
      <c r="L1015" s="83" t="str">
        <f t="shared" si="42"/>
        <v xml:space="preserve">
</v>
      </c>
      <c r="M1015" s="83"/>
      <c r="N1015" s="59"/>
      <c r="O1015" s="59"/>
      <c r="P1015" s="86">
        <f t="shared" si="43"/>
        <v>0</v>
      </c>
      <c r="Q1015" s="59"/>
      <c r="R1015" s="59"/>
      <c r="S1015" s="59"/>
      <c r="T1015" s="59"/>
      <c r="U1015" s="290"/>
      <c r="V1015" s="290"/>
      <c r="W1015" s="290"/>
      <c r="X1015" s="290"/>
      <c r="Y1015" s="290"/>
      <c r="Z1015" s="290"/>
      <c r="AA1015" s="290"/>
      <c r="AB1015" s="290"/>
      <c r="AC1015" s="290"/>
      <c r="AD1015" s="290"/>
    </row>
    <row r="1016" spans="1:30" ht="25.5">
      <c r="A1016" s="291"/>
      <c r="B1016" s="291"/>
      <c r="C1016" s="291"/>
      <c r="D1016" s="83"/>
      <c r="E1016" s="59"/>
      <c r="F1016" s="82"/>
      <c r="G1016" s="82"/>
      <c r="H1016" s="86"/>
      <c r="I1016" s="294"/>
      <c r="J1016" s="59"/>
      <c r="K1016" s="83"/>
      <c r="L1016" s="83" t="str">
        <f t="shared" si="42"/>
        <v xml:space="preserve">
</v>
      </c>
      <c r="M1016" s="83"/>
      <c r="N1016" s="59"/>
      <c r="O1016" s="59"/>
      <c r="P1016" s="86">
        <f t="shared" si="43"/>
        <v>0</v>
      </c>
      <c r="Q1016" s="59"/>
      <c r="R1016" s="59"/>
      <c r="S1016" s="59"/>
      <c r="T1016" s="59"/>
      <c r="U1016" s="290"/>
      <c r="V1016" s="290"/>
      <c r="W1016" s="290"/>
      <c r="X1016" s="290"/>
      <c r="Y1016" s="290"/>
      <c r="Z1016" s="290"/>
      <c r="AA1016" s="290"/>
      <c r="AB1016" s="290"/>
      <c r="AC1016" s="290"/>
      <c r="AD1016" s="290"/>
    </row>
    <row r="1017" spans="1:30" ht="25.5">
      <c r="A1017" s="291"/>
      <c r="B1017" s="291"/>
      <c r="C1017" s="291"/>
      <c r="D1017" s="83"/>
      <c r="E1017" s="59"/>
      <c r="F1017" s="82"/>
      <c r="G1017" s="82"/>
      <c r="H1017" s="86"/>
      <c r="I1017" s="294"/>
      <c r="J1017" s="59"/>
      <c r="K1017" s="83"/>
      <c r="L1017" s="83" t="str">
        <f t="shared" si="42"/>
        <v xml:space="preserve">
</v>
      </c>
      <c r="M1017" s="83"/>
      <c r="N1017" s="59"/>
      <c r="O1017" s="59"/>
      <c r="P1017" s="86">
        <f t="shared" si="43"/>
        <v>0</v>
      </c>
      <c r="Q1017" s="59"/>
      <c r="R1017" s="59"/>
      <c r="S1017" s="59"/>
      <c r="T1017" s="59"/>
      <c r="U1017" s="290"/>
      <c r="V1017" s="290"/>
      <c r="W1017" s="290"/>
      <c r="X1017" s="290"/>
      <c r="Y1017" s="290"/>
      <c r="Z1017" s="290"/>
      <c r="AA1017" s="290"/>
      <c r="AB1017" s="290"/>
      <c r="AC1017" s="290"/>
      <c r="AD1017" s="290"/>
    </row>
    <row r="1018" spans="1:30" ht="25.5">
      <c r="A1018" s="291"/>
      <c r="B1018" s="291"/>
      <c r="C1018" s="291"/>
      <c r="D1018" s="83"/>
      <c r="E1018" s="59"/>
      <c r="F1018" s="82"/>
      <c r="G1018" s="82"/>
      <c r="H1018" s="86"/>
      <c r="I1018" s="294"/>
      <c r="J1018" s="59"/>
      <c r="K1018" s="83"/>
      <c r="L1018" s="83" t="str">
        <f t="shared" si="42"/>
        <v xml:space="preserve">
</v>
      </c>
      <c r="M1018" s="83"/>
      <c r="N1018" s="59"/>
      <c r="O1018" s="59"/>
      <c r="P1018" s="86">
        <f t="shared" si="43"/>
        <v>0</v>
      </c>
      <c r="Q1018" s="59"/>
      <c r="R1018" s="59"/>
      <c r="S1018" s="59"/>
      <c r="T1018" s="59"/>
      <c r="U1018" s="290"/>
      <c r="V1018" s="290"/>
      <c r="W1018" s="290"/>
      <c r="X1018" s="290"/>
      <c r="Y1018" s="290"/>
      <c r="Z1018" s="290"/>
      <c r="AA1018" s="290"/>
      <c r="AB1018" s="290"/>
      <c r="AC1018" s="290"/>
      <c r="AD1018" s="290"/>
    </row>
    <row r="1019" spans="1:30" ht="25.5">
      <c r="A1019" s="291"/>
      <c r="B1019" s="291"/>
      <c r="C1019" s="291"/>
      <c r="D1019" s="83"/>
      <c r="E1019" s="59"/>
      <c r="F1019" s="82"/>
      <c r="G1019" s="82"/>
      <c r="H1019" s="86"/>
      <c r="I1019" s="294"/>
      <c r="J1019" s="59"/>
      <c r="K1019" s="83"/>
      <c r="L1019" s="83" t="str">
        <f t="shared" si="42"/>
        <v xml:space="preserve">
</v>
      </c>
      <c r="M1019" s="83"/>
      <c r="N1019" s="59"/>
      <c r="O1019" s="59"/>
      <c r="P1019" s="86">
        <f t="shared" si="43"/>
        <v>0</v>
      </c>
      <c r="Q1019" s="59"/>
      <c r="R1019" s="59"/>
      <c r="S1019" s="59"/>
      <c r="T1019" s="59"/>
      <c r="U1019" s="290"/>
      <c r="V1019" s="290"/>
      <c r="W1019" s="290"/>
      <c r="X1019" s="290"/>
      <c r="Y1019" s="290"/>
      <c r="Z1019" s="290"/>
      <c r="AA1019" s="290"/>
      <c r="AB1019" s="290"/>
      <c r="AC1019" s="290"/>
      <c r="AD1019" s="290"/>
    </row>
    <row r="1020" spans="1:30" ht="25.5">
      <c r="A1020" s="291"/>
      <c r="B1020" s="291"/>
      <c r="C1020" s="291"/>
      <c r="D1020" s="83"/>
      <c r="E1020" s="59"/>
      <c r="F1020" s="82"/>
      <c r="G1020" s="82"/>
      <c r="H1020" s="86"/>
      <c r="I1020" s="294"/>
      <c r="J1020" s="59"/>
      <c r="K1020" s="83"/>
      <c r="L1020" s="83" t="str">
        <f t="shared" si="42"/>
        <v xml:space="preserve">
</v>
      </c>
      <c r="M1020" s="83"/>
      <c r="N1020" s="59"/>
      <c r="O1020" s="59"/>
      <c r="P1020" s="86">
        <f t="shared" si="43"/>
        <v>0</v>
      </c>
      <c r="Q1020" s="59"/>
      <c r="R1020" s="59"/>
      <c r="S1020" s="59"/>
      <c r="T1020" s="59"/>
      <c r="U1020" s="290"/>
      <c r="V1020" s="290"/>
      <c r="W1020" s="290"/>
      <c r="X1020" s="290"/>
      <c r="Y1020" s="290"/>
      <c r="Z1020" s="290"/>
      <c r="AA1020" s="290"/>
      <c r="AB1020" s="290"/>
      <c r="AC1020" s="290"/>
      <c r="AD1020" s="290"/>
    </row>
    <row r="1021" spans="1:30" ht="25.5">
      <c r="A1021" s="291"/>
      <c r="B1021" s="291"/>
      <c r="C1021" s="291"/>
      <c r="D1021" s="83"/>
      <c r="E1021" s="59"/>
      <c r="F1021" s="82"/>
      <c r="G1021" s="82"/>
      <c r="H1021" s="86"/>
      <c r="I1021" s="294"/>
      <c r="J1021" s="59"/>
      <c r="K1021" s="83"/>
      <c r="L1021" s="83" t="str">
        <f t="shared" si="42"/>
        <v xml:space="preserve">
</v>
      </c>
      <c r="M1021" s="83"/>
      <c r="N1021" s="59"/>
      <c r="O1021" s="59"/>
      <c r="P1021" s="86">
        <f t="shared" si="43"/>
        <v>0</v>
      </c>
      <c r="Q1021" s="59"/>
      <c r="R1021" s="59"/>
      <c r="S1021" s="59"/>
      <c r="T1021" s="59"/>
      <c r="U1021" s="290"/>
      <c r="V1021" s="290"/>
      <c r="W1021" s="290"/>
      <c r="X1021" s="290"/>
      <c r="Y1021" s="290"/>
      <c r="Z1021" s="290"/>
      <c r="AA1021" s="290"/>
      <c r="AB1021" s="290"/>
      <c r="AC1021" s="290"/>
      <c r="AD1021" s="290"/>
    </row>
    <row r="1022" spans="1:30" ht="25.5">
      <c r="A1022" s="291"/>
      <c r="B1022" s="291"/>
      <c r="C1022" s="291"/>
      <c r="D1022" s="83"/>
      <c r="E1022" s="59"/>
      <c r="F1022" s="82"/>
      <c r="G1022" s="82"/>
      <c r="H1022" s="86"/>
      <c r="I1022" s="294"/>
      <c r="J1022" s="59"/>
      <c r="K1022" s="83"/>
      <c r="L1022" s="83" t="str">
        <f t="shared" ref="L1022:L1276" si="46">D1022&amp;"
"&amp;K1022</f>
        <v xml:space="preserve">
</v>
      </c>
      <c r="M1022" s="83"/>
      <c r="N1022" s="59"/>
      <c r="O1022" s="59"/>
      <c r="P1022" s="86">
        <f t="shared" ref="P1022:P1276" si="47">I1022*O1022</f>
        <v>0</v>
      </c>
      <c r="Q1022" s="59"/>
      <c r="R1022" s="59"/>
      <c r="S1022" s="59"/>
      <c r="T1022" s="59"/>
      <c r="U1022" s="290"/>
      <c r="V1022" s="290"/>
      <c r="W1022" s="290"/>
      <c r="X1022" s="290"/>
      <c r="Y1022" s="290"/>
      <c r="Z1022" s="290"/>
      <c r="AA1022" s="290"/>
      <c r="AB1022" s="290"/>
      <c r="AC1022" s="290"/>
      <c r="AD1022" s="290"/>
    </row>
    <row r="1023" spans="1:30" ht="25.5">
      <c r="A1023" s="291"/>
      <c r="B1023" s="291"/>
      <c r="C1023" s="291"/>
      <c r="D1023" s="83"/>
      <c r="E1023" s="59"/>
      <c r="F1023" s="82"/>
      <c r="G1023" s="82"/>
      <c r="H1023" s="86"/>
      <c r="I1023" s="294"/>
      <c r="J1023" s="59"/>
      <c r="K1023" s="83"/>
      <c r="L1023" s="83" t="str">
        <f t="shared" si="46"/>
        <v xml:space="preserve">
</v>
      </c>
      <c r="M1023" s="83"/>
      <c r="N1023" s="59"/>
      <c r="O1023" s="59"/>
      <c r="P1023" s="86">
        <f t="shared" si="47"/>
        <v>0</v>
      </c>
      <c r="Q1023" s="59"/>
      <c r="R1023" s="59"/>
      <c r="S1023" s="59"/>
      <c r="T1023" s="59"/>
      <c r="U1023" s="290"/>
      <c r="V1023" s="290"/>
      <c r="W1023" s="290"/>
      <c r="X1023" s="290"/>
      <c r="Y1023" s="290"/>
      <c r="Z1023" s="290"/>
      <c r="AA1023" s="290"/>
      <c r="AB1023" s="290"/>
      <c r="AC1023" s="290"/>
      <c r="AD1023" s="290"/>
    </row>
    <row r="1024" spans="1:30" ht="25.5">
      <c r="A1024" s="291"/>
      <c r="B1024" s="291"/>
      <c r="C1024" s="291"/>
      <c r="D1024" s="83"/>
      <c r="E1024" s="59"/>
      <c r="F1024" s="82"/>
      <c r="G1024" s="82"/>
      <c r="H1024" s="86"/>
      <c r="I1024" s="294"/>
      <c r="J1024" s="59"/>
      <c r="K1024" s="83"/>
      <c r="L1024" s="83" t="str">
        <f t="shared" si="46"/>
        <v xml:space="preserve">
</v>
      </c>
      <c r="M1024" s="83"/>
      <c r="N1024" s="59"/>
      <c r="O1024" s="59"/>
      <c r="P1024" s="86">
        <f t="shared" si="47"/>
        <v>0</v>
      </c>
      <c r="Q1024" s="59"/>
      <c r="R1024" s="59"/>
      <c r="S1024" s="59"/>
      <c r="T1024" s="59"/>
      <c r="U1024" s="290"/>
      <c r="V1024" s="290"/>
      <c r="W1024" s="290"/>
      <c r="X1024" s="290"/>
      <c r="Y1024" s="290"/>
      <c r="Z1024" s="290"/>
      <c r="AA1024" s="290"/>
      <c r="AB1024" s="290"/>
      <c r="AC1024" s="290"/>
      <c r="AD1024" s="290"/>
    </row>
    <row r="1025" spans="1:30" ht="25.5">
      <c r="A1025" s="291"/>
      <c r="B1025" s="291"/>
      <c r="C1025" s="291"/>
      <c r="D1025" s="83"/>
      <c r="E1025" s="59"/>
      <c r="F1025" s="82"/>
      <c r="G1025" s="82"/>
      <c r="H1025" s="86"/>
      <c r="I1025" s="294"/>
      <c r="J1025" s="59"/>
      <c r="K1025" s="83"/>
      <c r="L1025" s="83" t="str">
        <f t="shared" si="46"/>
        <v xml:space="preserve">
</v>
      </c>
      <c r="M1025" s="83"/>
      <c r="N1025" s="59"/>
      <c r="O1025" s="59"/>
      <c r="P1025" s="86">
        <f t="shared" si="47"/>
        <v>0</v>
      </c>
      <c r="Q1025" s="59"/>
      <c r="R1025" s="59"/>
      <c r="S1025" s="59"/>
      <c r="T1025" s="59"/>
      <c r="U1025" s="290"/>
      <c r="V1025" s="290"/>
      <c r="W1025" s="290"/>
      <c r="X1025" s="290"/>
      <c r="Y1025" s="290"/>
      <c r="Z1025" s="290"/>
      <c r="AA1025" s="290"/>
      <c r="AB1025" s="290"/>
      <c r="AC1025" s="290"/>
      <c r="AD1025" s="290"/>
    </row>
    <row r="1026" spans="1:30" ht="25.5">
      <c r="A1026" s="291"/>
      <c r="B1026" s="291"/>
      <c r="C1026" s="291"/>
      <c r="D1026" s="83"/>
      <c r="E1026" s="59"/>
      <c r="F1026" s="82"/>
      <c r="G1026" s="82"/>
      <c r="H1026" s="86"/>
      <c r="I1026" s="294"/>
      <c r="J1026" s="59"/>
      <c r="K1026" s="83"/>
      <c r="L1026" s="83" t="str">
        <f t="shared" si="46"/>
        <v xml:space="preserve">
</v>
      </c>
      <c r="M1026" s="83"/>
      <c r="N1026" s="59"/>
      <c r="O1026" s="59"/>
      <c r="P1026" s="86">
        <f t="shared" si="47"/>
        <v>0</v>
      </c>
      <c r="Q1026" s="59"/>
      <c r="R1026" s="59"/>
      <c r="S1026" s="59"/>
      <c r="T1026" s="59"/>
      <c r="U1026" s="290"/>
      <c r="V1026" s="290"/>
      <c r="W1026" s="290"/>
      <c r="X1026" s="290"/>
      <c r="Y1026" s="290"/>
      <c r="Z1026" s="290"/>
      <c r="AA1026" s="290"/>
      <c r="AB1026" s="290"/>
      <c r="AC1026" s="290"/>
      <c r="AD1026" s="290"/>
    </row>
    <row r="1027" spans="1:30" ht="25.5">
      <c r="A1027" s="291"/>
      <c r="B1027" s="291"/>
      <c r="C1027" s="291"/>
      <c r="D1027" s="83"/>
      <c r="E1027" s="59"/>
      <c r="F1027" s="82"/>
      <c r="G1027" s="82"/>
      <c r="H1027" s="86"/>
      <c r="I1027" s="294"/>
      <c r="J1027" s="59"/>
      <c r="K1027" s="83"/>
      <c r="L1027" s="83" t="str">
        <f t="shared" si="46"/>
        <v xml:space="preserve">
</v>
      </c>
      <c r="M1027" s="83"/>
      <c r="N1027" s="59"/>
      <c r="O1027" s="59"/>
      <c r="P1027" s="86">
        <f t="shared" si="47"/>
        <v>0</v>
      </c>
      <c r="Q1027" s="59"/>
      <c r="R1027" s="59"/>
      <c r="S1027" s="59"/>
      <c r="T1027" s="59"/>
      <c r="U1027" s="290"/>
      <c r="V1027" s="290"/>
      <c r="W1027" s="290"/>
      <c r="X1027" s="290"/>
      <c r="Y1027" s="290"/>
      <c r="Z1027" s="290"/>
      <c r="AA1027" s="290"/>
      <c r="AB1027" s="290"/>
      <c r="AC1027" s="290"/>
      <c r="AD1027" s="290"/>
    </row>
    <row r="1028" spans="1:30" ht="25.5">
      <c r="A1028" s="291"/>
      <c r="B1028" s="291"/>
      <c r="C1028" s="291"/>
      <c r="D1028" s="83"/>
      <c r="E1028" s="59"/>
      <c r="F1028" s="82"/>
      <c r="G1028" s="82"/>
      <c r="H1028" s="86"/>
      <c r="I1028" s="294"/>
      <c r="J1028" s="59"/>
      <c r="K1028" s="83"/>
      <c r="L1028" s="83" t="str">
        <f t="shared" si="46"/>
        <v xml:space="preserve">
</v>
      </c>
      <c r="M1028" s="83"/>
      <c r="N1028" s="59"/>
      <c r="O1028" s="59"/>
      <c r="P1028" s="86">
        <f t="shared" si="47"/>
        <v>0</v>
      </c>
      <c r="Q1028" s="59"/>
      <c r="R1028" s="59"/>
      <c r="S1028" s="59"/>
      <c r="T1028" s="59"/>
      <c r="U1028" s="290"/>
      <c r="V1028" s="290"/>
      <c r="W1028" s="290"/>
      <c r="X1028" s="290"/>
      <c r="Y1028" s="290"/>
      <c r="Z1028" s="290"/>
      <c r="AA1028" s="290"/>
      <c r="AB1028" s="290"/>
      <c r="AC1028" s="290"/>
      <c r="AD1028" s="290"/>
    </row>
    <row r="1029" spans="1:30" ht="25.5">
      <c r="A1029" s="291"/>
      <c r="B1029" s="291"/>
      <c r="C1029" s="291"/>
      <c r="D1029" s="83"/>
      <c r="E1029" s="59"/>
      <c r="F1029" s="82"/>
      <c r="G1029" s="82"/>
      <c r="H1029" s="86"/>
      <c r="I1029" s="294"/>
      <c r="J1029" s="59"/>
      <c r="K1029" s="83"/>
      <c r="L1029" s="83" t="str">
        <f t="shared" si="46"/>
        <v xml:space="preserve">
</v>
      </c>
      <c r="M1029" s="83"/>
      <c r="N1029" s="59"/>
      <c r="O1029" s="59"/>
      <c r="P1029" s="86">
        <f t="shared" si="47"/>
        <v>0</v>
      </c>
      <c r="Q1029" s="59"/>
      <c r="R1029" s="59"/>
      <c r="S1029" s="59"/>
      <c r="T1029" s="59"/>
      <c r="U1029" s="290"/>
      <c r="V1029" s="290"/>
      <c r="W1029" s="290"/>
      <c r="X1029" s="290"/>
      <c r="Y1029" s="290"/>
      <c r="Z1029" s="290"/>
      <c r="AA1029" s="290"/>
      <c r="AB1029" s="290"/>
      <c r="AC1029" s="290"/>
      <c r="AD1029" s="290"/>
    </row>
    <row r="1030" spans="1:30" ht="25.5">
      <c r="A1030" s="291"/>
      <c r="B1030" s="291"/>
      <c r="C1030" s="291"/>
      <c r="D1030" s="83"/>
      <c r="E1030" s="59"/>
      <c r="F1030" s="82"/>
      <c r="G1030" s="82"/>
      <c r="H1030" s="86"/>
      <c r="I1030" s="294"/>
      <c r="J1030" s="59"/>
      <c r="K1030" s="83"/>
      <c r="L1030" s="83" t="str">
        <f t="shared" si="46"/>
        <v xml:space="preserve">
</v>
      </c>
      <c r="M1030" s="83"/>
      <c r="N1030" s="59"/>
      <c r="O1030" s="59"/>
      <c r="P1030" s="86">
        <f t="shared" si="47"/>
        <v>0</v>
      </c>
      <c r="Q1030" s="59"/>
      <c r="R1030" s="59"/>
      <c r="S1030" s="59"/>
      <c r="T1030" s="59"/>
      <c r="U1030" s="290"/>
      <c r="V1030" s="290"/>
      <c r="W1030" s="290"/>
      <c r="X1030" s="290"/>
      <c r="Y1030" s="290"/>
      <c r="Z1030" s="290"/>
      <c r="AA1030" s="290"/>
      <c r="AB1030" s="290"/>
      <c r="AC1030" s="290"/>
      <c r="AD1030" s="290"/>
    </row>
    <row r="1031" spans="1:30" ht="25.5">
      <c r="A1031" s="291"/>
      <c r="B1031" s="291"/>
      <c r="C1031" s="291"/>
      <c r="D1031" s="83"/>
      <c r="E1031" s="59"/>
      <c r="F1031" s="82"/>
      <c r="G1031" s="82"/>
      <c r="H1031" s="86"/>
      <c r="I1031" s="294"/>
      <c r="J1031" s="59"/>
      <c r="K1031" s="83"/>
      <c r="L1031" s="83" t="str">
        <f t="shared" si="46"/>
        <v xml:space="preserve">
</v>
      </c>
      <c r="M1031" s="83"/>
      <c r="N1031" s="59"/>
      <c r="O1031" s="59"/>
      <c r="P1031" s="86">
        <f t="shared" si="47"/>
        <v>0</v>
      </c>
      <c r="Q1031" s="59"/>
      <c r="R1031" s="59"/>
      <c r="S1031" s="59"/>
      <c r="T1031" s="59"/>
      <c r="U1031" s="290"/>
      <c r="V1031" s="290"/>
      <c r="W1031" s="290"/>
      <c r="X1031" s="290"/>
      <c r="Y1031" s="290"/>
      <c r="Z1031" s="290"/>
      <c r="AA1031" s="290"/>
      <c r="AB1031" s="290"/>
      <c r="AC1031" s="290"/>
      <c r="AD1031" s="290"/>
    </row>
    <row r="1032" spans="1:30" ht="25.5">
      <c r="A1032" s="291"/>
      <c r="B1032" s="291"/>
      <c r="C1032" s="291"/>
      <c r="D1032" s="83"/>
      <c r="E1032" s="59"/>
      <c r="F1032" s="82"/>
      <c r="G1032" s="82"/>
      <c r="H1032" s="86"/>
      <c r="I1032" s="294"/>
      <c r="J1032" s="59"/>
      <c r="K1032" s="83"/>
      <c r="L1032" s="83" t="str">
        <f t="shared" si="46"/>
        <v xml:space="preserve">
</v>
      </c>
      <c r="M1032" s="83"/>
      <c r="N1032" s="59"/>
      <c r="O1032" s="59"/>
      <c r="P1032" s="86">
        <f t="shared" si="47"/>
        <v>0</v>
      </c>
      <c r="Q1032" s="59"/>
      <c r="R1032" s="59"/>
      <c r="S1032" s="59"/>
      <c r="T1032" s="59"/>
      <c r="U1032" s="290"/>
      <c r="V1032" s="290"/>
      <c r="W1032" s="290"/>
      <c r="X1032" s="290"/>
      <c r="Y1032" s="290"/>
      <c r="Z1032" s="290"/>
      <c r="AA1032" s="290"/>
      <c r="AB1032" s="290"/>
      <c r="AC1032" s="290"/>
      <c r="AD1032" s="290"/>
    </row>
    <row r="1033" spans="1:30" ht="25.5">
      <c r="A1033" s="291"/>
      <c r="B1033" s="291"/>
      <c r="C1033" s="291"/>
      <c r="D1033" s="83"/>
      <c r="E1033" s="59"/>
      <c r="F1033" s="82"/>
      <c r="G1033" s="82"/>
      <c r="H1033" s="86"/>
      <c r="I1033" s="294"/>
      <c r="J1033" s="59"/>
      <c r="K1033" s="83"/>
      <c r="L1033" s="83" t="str">
        <f t="shared" si="46"/>
        <v xml:space="preserve">
</v>
      </c>
      <c r="M1033" s="83"/>
      <c r="N1033" s="59"/>
      <c r="O1033" s="59"/>
      <c r="P1033" s="86">
        <f t="shared" si="47"/>
        <v>0</v>
      </c>
      <c r="Q1033" s="59"/>
      <c r="R1033" s="59"/>
      <c r="S1033" s="59"/>
      <c r="T1033" s="59"/>
      <c r="U1033" s="290"/>
      <c r="V1033" s="290"/>
      <c r="W1033" s="290"/>
      <c r="X1033" s="290"/>
      <c r="Y1033" s="290"/>
      <c r="Z1033" s="290"/>
      <c r="AA1033" s="290"/>
      <c r="AB1033" s="290"/>
      <c r="AC1033" s="290"/>
      <c r="AD1033" s="290"/>
    </row>
    <row r="1034" spans="1:30" ht="25.5">
      <c r="A1034" s="291"/>
      <c r="B1034" s="291"/>
      <c r="C1034" s="291"/>
      <c r="D1034" s="83"/>
      <c r="E1034" s="59"/>
      <c r="F1034" s="82"/>
      <c r="G1034" s="82"/>
      <c r="H1034" s="86"/>
      <c r="I1034" s="294"/>
      <c r="J1034" s="59"/>
      <c r="K1034" s="83"/>
      <c r="L1034" s="83" t="str">
        <f t="shared" si="46"/>
        <v xml:space="preserve">
</v>
      </c>
      <c r="M1034" s="83"/>
      <c r="N1034" s="59"/>
      <c r="O1034" s="59"/>
      <c r="P1034" s="86">
        <f t="shared" si="47"/>
        <v>0</v>
      </c>
      <c r="Q1034" s="59"/>
      <c r="R1034" s="59"/>
      <c r="S1034" s="59"/>
      <c r="T1034" s="59"/>
      <c r="U1034" s="290"/>
      <c r="V1034" s="290"/>
      <c r="W1034" s="290"/>
      <c r="X1034" s="290"/>
      <c r="Y1034" s="290"/>
      <c r="Z1034" s="290"/>
      <c r="AA1034" s="290"/>
      <c r="AB1034" s="290"/>
      <c r="AC1034" s="290"/>
      <c r="AD1034" s="290"/>
    </row>
    <row r="1035" spans="1:30" ht="25.5">
      <c r="A1035" s="291"/>
      <c r="B1035" s="291"/>
      <c r="C1035" s="291"/>
      <c r="D1035" s="83"/>
      <c r="E1035" s="59"/>
      <c r="F1035" s="82"/>
      <c r="G1035" s="82"/>
      <c r="H1035" s="86"/>
      <c r="I1035" s="294"/>
      <c r="J1035" s="59"/>
      <c r="K1035" s="83"/>
      <c r="L1035" s="83" t="str">
        <f t="shared" si="46"/>
        <v xml:space="preserve">
</v>
      </c>
      <c r="M1035" s="83"/>
      <c r="N1035" s="59"/>
      <c r="O1035" s="59"/>
      <c r="P1035" s="86">
        <f t="shared" si="47"/>
        <v>0</v>
      </c>
      <c r="Q1035" s="59"/>
      <c r="R1035" s="59"/>
      <c r="S1035" s="59"/>
      <c r="T1035" s="59"/>
      <c r="U1035" s="290"/>
      <c r="V1035" s="290"/>
      <c r="W1035" s="290"/>
      <c r="X1035" s="290"/>
      <c r="Y1035" s="290"/>
      <c r="Z1035" s="290"/>
      <c r="AA1035" s="290"/>
      <c r="AB1035" s="290"/>
      <c r="AC1035" s="290"/>
      <c r="AD1035" s="290"/>
    </row>
    <row r="1036" spans="1:30" ht="25.5">
      <c r="A1036" s="291"/>
      <c r="B1036" s="291"/>
      <c r="C1036" s="291"/>
      <c r="D1036" s="83"/>
      <c r="E1036" s="59"/>
      <c r="F1036" s="82"/>
      <c r="G1036" s="82"/>
      <c r="H1036" s="86"/>
      <c r="I1036" s="294"/>
      <c r="J1036" s="59"/>
      <c r="K1036" s="83"/>
      <c r="L1036" s="83" t="str">
        <f t="shared" si="46"/>
        <v xml:space="preserve">
</v>
      </c>
      <c r="M1036" s="83"/>
      <c r="N1036" s="59"/>
      <c r="O1036" s="59"/>
      <c r="P1036" s="86">
        <f t="shared" si="47"/>
        <v>0</v>
      </c>
      <c r="Q1036" s="59"/>
      <c r="R1036" s="59"/>
      <c r="S1036" s="59"/>
      <c r="T1036" s="59"/>
      <c r="U1036" s="290"/>
      <c r="V1036" s="290"/>
      <c r="W1036" s="290"/>
      <c r="X1036" s="290"/>
      <c r="Y1036" s="290"/>
      <c r="Z1036" s="290"/>
      <c r="AA1036" s="290"/>
      <c r="AB1036" s="290"/>
      <c r="AC1036" s="290"/>
      <c r="AD1036" s="290"/>
    </row>
    <row r="1037" spans="1:30" ht="25.5">
      <c r="A1037" s="291"/>
      <c r="B1037" s="291"/>
      <c r="C1037" s="291"/>
      <c r="D1037" s="83"/>
      <c r="E1037" s="59"/>
      <c r="F1037" s="82"/>
      <c r="G1037" s="82"/>
      <c r="H1037" s="86"/>
      <c r="I1037" s="294"/>
      <c r="J1037" s="59"/>
      <c r="K1037" s="83"/>
      <c r="L1037" s="83" t="str">
        <f t="shared" si="46"/>
        <v xml:space="preserve">
</v>
      </c>
      <c r="M1037" s="83"/>
      <c r="N1037" s="59"/>
      <c r="O1037" s="59"/>
      <c r="P1037" s="86">
        <f t="shared" si="47"/>
        <v>0</v>
      </c>
      <c r="Q1037" s="59"/>
      <c r="R1037" s="59"/>
      <c r="S1037" s="59"/>
      <c r="T1037" s="59"/>
      <c r="U1037" s="290"/>
      <c r="V1037" s="290"/>
      <c r="W1037" s="290"/>
      <c r="X1037" s="290"/>
      <c r="Y1037" s="290"/>
      <c r="Z1037" s="290"/>
      <c r="AA1037" s="290"/>
      <c r="AB1037" s="290"/>
      <c r="AC1037" s="290"/>
      <c r="AD1037" s="290"/>
    </row>
    <row r="1038" spans="1:30" ht="25.5">
      <c r="A1038" s="291"/>
      <c r="B1038" s="291"/>
      <c r="C1038" s="291"/>
      <c r="D1038" s="83"/>
      <c r="E1038" s="59"/>
      <c r="F1038" s="82"/>
      <c r="G1038" s="82"/>
      <c r="H1038" s="86"/>
      <c r="I1038" s="294"/>
      <c r="J1038" s="59"/>
      <c r="K1038" s="83"/>
      <c r="L1038" s="83" t="str">
        <f t="shared" si="46"/>
        <v xml:space="preserve">
</v>
      </c>
      <c r="M1038" s="83"/>
      <c r="N1038" s="59"/>
      <c r="O1038" s="59"/>
      <c r="P1038" s="86">
        <f t="shared" si="47"/>
        <v>0</v>
      </c>
      <c r="Q1038" s="59"/>
      <c r="R1038" s="59"/>
      <c r="S1038" s="59"/>
      <c r="T1038" s="59"/>
      <c r="U1038" s="290"/>
      <c r="V1038" s="290"/>
      <c r="W1038" s="290"/>
      <c r="X1038" s="290"/>
      <c r="Y1038" s="290"/>
      <c r="Z1038" s="290"/>
      <c r="AA1038" s="290"/>
      <c r="AB1038" s="290"/>
      <c r="AC1038" s="290"/>
      <c r="AD1038" s="290"/>
    </row>
    <row r="1039" spans="1:30" ht="25.5">
      <c r="A1039" s="291"/>
      <c r="B1039" s="291"/>
      <c r="C1039" s="291"/>
      <c r="D1039" s="83"/>
      <c r="E1039" s="59"/>
      <c r="F1039" s="82"/>
      <c r="G1039" s="82"/>
      <c r="H1039" s="86"/>
      <c r="I1039" s="294"/>
      <c r="J1039" s="59"/>
      <c r="K1039" s="83"/>
      <c r="L1039" s="83" t="str">
        <f t="shared" si="46"/>
        <v xml:space="preserve">
</v>
      </c>
      <c r="M1039" s="83"/>
      <c r="N1039" s="59"/>
      <c r="O1039" s="59"/>
      <c r="P1039" s="86">
        <f t="shared" si="47"/>
        <v>0</v>
      </c>
      <c r="Q1039" s="59"/>
      <c r="R1039" s="59"/>
      <c r="S1039" s="59"/>
      <c r="T1039" s="59"/>
      <c r="U1039" s="290"/>
      <c r="V1039" s="290"/>
      <c r="W1039" s="290"/>
      <c r="X1039" s="290"/>
      <c r="Y1039" s="290"/>
      <c r="Z1039" s="290"/>
      <c r="AA1039" s="290"/>
      <c r="AB1039" s="290"/>
      <c r="AC1039" s="290"/>
      <c r="AD1039" s="290"/>
    </row>
    <row r="1040" spans="1:30" ht="25.5">
      <c r="A1040" s="291"/>
      <c r="B1040" s="291"/>
      <c r="C1040" s="291"/>
      <c r="D1040" s="83"/>
      <c r="E1040" s="59"/>
      <c r="F1040" s="82"/>
      <c r="G1040" s="82"/>
      <c r="H1040" s="86"/>
      <c r="I1040" s="294"/>
      <c r="J1040" s="59"/>
      <c r="K1040" s="83"/>
      <c r="L1040" s="83" t="str">
        <f t="shared" si="46"/>
        <v xml:space="preserve">
</v>
      </c>
      <c r="M1040" s="83"/>
      <c r="N1040" s="59"/>
      <c r="O1040" s="59"/>
      <c r="P1040" s="86">
        <f t="shared" si="47"/>
        <v>0</v>
      </c>
      <c r="Q1040" s="59"/>
      <c r="R1040" s="59"/>
      <c r="S1040" s="59"/>
      <c r="T1040" s="59"/>
      <c r="U1040" s="290"/>
      <c r="V1040" s="290"/>
      <c r="W1040" s="290"/>
      <c r="X1040" s="290"/>
      <c r="Y1040" s="290"/>
      <c r="Z1040" s="290"/>
      <c r="AA1040" s="290"/>
      <c r="AB1040" s="290"/>
      <c r="AC1040" s="290"/>
      <c r="AD1040" s="290"/>
    </row>
    <row r="1041" spans="1:30" ht="25.5">
      <c r="A1041" s="291"/>
      <c r="B1041" s="291"/>
      <c r="C1041" s="291"/>
      <c r="D1041" s="83"/>
      <c r="E1041" s="59"/>
      <c r="F1041" s="82"/>
      <c r="G1041" s="82"/>
      <c r="H1041" s="86"/>
      <c r="I1041" s="294"/>
      <c r="J1041" s="59"/>
      <c r="K1041" s="83"/>
      <c r="L1041" s="83" t="str">
        <f t="shared" si="46"/>
        <v xml:space="preserve">
</v>
      </c>
      <c r="M1041" s="83"/>
      <c r="N1041" s="59"/>
      <c r="O1041" s="59"/>
      <c r="P1041" s="86">
        <f t="shared" si="47"/>
        <v>0</v>
      </c>
      <c r="Q1041" s="59"/>
      <c r="R1041" s="59"/>
      <c r="S1041" s="59"/>
      <c r="T1041" s="59"/>
      <c r="U1041" s="290"/>
      <c r="V1041" s="290"/>
      <c r="W1041" s="290"/>
      <c r="X1041" s="290"/>
      <c r="Y1041" s="290"/>
      <c r="Z1041" s="290"/>
      <c r="AA1041" s="290"/>
      <c r="AB1041" s="290"/>
      <c r="AC1041" s="290"/>
      <c r="AD1041" s="290"/>
    </row>
    <row r="1042" spans="1:30" ht="25.5">
      <c r="A1042" s="291"/>
      <c r="B1042" s="291"/>
      <c r="C1042" s="291"/>
      <c r="D1042" s="83"/>
      <c r="E1042" s="59"/>
      <c r="F1042" s="82"/>
      <c r="G1042" s="82"/>
      <c r="H1042" s="86"/>
      <c r="I1042" s="294"/>
      <c r="J1042" s="59"/>
      <c r="K1042" s="83"/>
      <c r="L1042" s="83" t="str">
        <f t="shared" si="46"/>
        <v xml:space="preserve">
</v>
      </c>
      <c r="M1042" s="83"/>
      <c r="N1042" s="59"/>
      <c r="O1042" s="59"/>
      <c r="P1042" s="86">
        <f t="shared" si="47"/>
        <v>0</v>
      </c>
      <c r="Q1042" s="59"/>
      <c r="R1042" s="59"/>
      <c r="S1042" s="59"/>
      <c r="T1042" s="59"/>
      <c r="U1042" s="290"/>
      <c r="V1042" s="290"/>
      <c r="W1042" s="290"/>
      <c r="X1042" s="290"/>
      <c r="Y1042" s="290"/>
      <c r="Z1042" s="290"/>
      <c r="AA1042" s="290"/>
      <c r="AB1042" s="290"/>
      <c r="AC1042" s="290"/>
      <c r="AD1042" s="290"/>
    </row>
    <row r="1043" spans="1:30" ht="25.5">
      <c r="A1043" s="291"/>
      <c r="B1043" s="291"/>
      <c r="C1043" s="291"/>
      <c r="D1043" s="83"/>
      <c r="E1043" s="59"/>
      <c r="F1043" s="82"/>
      <c r="G1043" s="82"/>
      <c r="H1043" s="86"/>
      <c r="I1043" s="294"/>
      <c r="J1043" s="59"/>
      <c r="K1043" s="83"/>
      <c r="L1043" s="83" t="str">
        <f t="shared" si="46"/>
        <v xml:space="preserve">
</v>
      </c>
      <c r="M1043" s="83"/>
      <c r="N1043" s="59"/>
      <c r="O1043" s="59"/>
      <c r="P1043" s="86">
        <f t="shared" si="47"/>
        <v>0</v>
      </c>
      <c r="Q1043" s="59"/>
      <c r="R1043" s="59"/>
      <c r="S1043" s="59"/>
      <c r="T1043" s="59"/>
      <c r="U1043" s="290"/>
      <c r="V1043" s="290"/>
      <c r="W1043" s="290"/>
      <c r="X1043" s="290"/>
      <c r="Y1043" s="290"/>
      <c r="Z1043" s="290"/>
      <c r="AA1043" s="290"/>
      <c r="AB1043" s="290"/>
      <c r="AC1043" s="290"/>
      <c r="AD1043" s="290"/>
    </row>
    <row r="1044" spans="1:30" ht="25.5">
      <c r="A1044" s="291"/>
      <c r="B1044" s="291"/>
      <c r="C1044" s="291"/>
      <c r="D1044" s="83"/>
      <c r="E1044" s="59"/>
      <c r="F1044" s="82"/>
      <c r="G1044" s="82"/>
      <c r="H1044" s="86"/>
      <c r="I1044" s="294"/>
      <c r="J1044" s="59"/>
      <c r="K1044" s="83"/>
      <c r="L1044" s="83" t="str">
        <f t="shared" si="46"/>
        <v xml:space="preserve">
</v>
      </c>
      <c r="M1044" s="83"/>
      <c r="N1044" s="59"/>
      <c r="O1044" s="59"/>
      <c r="P1044" s="86">
        <f t="shared" si="47"/>
        <v>0</v>
      </c>
      <c r="Q1044" s="59"/>
      <c r="R1044" s="59"/>
      <c r="S1044" s="59"/>
      <c r="T1044" s="59"/>
      <c r="U1044" s="290"/>
      <c r="V1044" s="290"/>
      <c r="W1044" s="290"/>
      <c r="X1044" s="290"/>
      <c r="Y1044" s="290"/>
      <c r="Z1044" s="290"/>
      <c r="AA1044" s="290"/>
      <c r="AB1044" s="290"/>
      <c r="AC1044" s="290"/>
      <c r="AD1044" s="290"/>
    </row>
    <row r="1045" spans="1:30" ht="25.5">
      <c r="A1045" s="291"/>
      <c r="B1045" s="291"/>
      <c r="C1045" s="291"/>
      <c r="D1045" s="83"/>
      <c r="E1045" s="59"/>
      <c r="F1045" s="82"/>
      <c r="G1045" s="82"/>
      <c r="H1045" s="86"/>
      <c r="I1045" s="294"/>
      <c r="J1045" s="59"/>
      <c r="K1045" s="83"/>
      <c r="L1045" s="83" t="str">
        <f t="shared" si="46"/>
        <v xml:space="preserve">
</v>
      </c>
      <c r="M1045" s="83"/>
      <c r="N1045" s="59"/>
      <c r="O1045" s="59"/>
      <c r="P1045" s="86">
        <f t="shared" si="47"/>
        <v>0</v>
      </c>
      <c r="Q1045" s="59"/>
      <c r="R1045" s="59"/>
      <c r="S1045" s="59"/>
      <c r="T1045" s="59"/>
      <c r="U1045" s="290"/>
      <c r="V1045" s="290"/>
      <c r="W1045" s="290"/>
      <c r="X1045" s="290"/>
      <c r="Y1045" s="290"/>
      <c r="Z1045" s="290"/>
      <c r="AA1045" s="290"/>
      <c r="AB1045" s="290"/>
      <c r="AC1045" s="290"/>
      <c r="AD1045" s="290"/>
    </row>
    <row r="1046" spans="1:30" ht="25.5">
      <c r="A1046" s="291"/>
      <c r="B1046" s="291"/>
      <c r="C1046" s="291"/>
      <c r="D1046" s="83"/>
      <c r="E1046" s="59"/>
      <c r="F1046" s="82"/>
      <c r="G1046" s="82"/>
      <c r="H1046" s="86"/>
      <c r="I1046" s="294"/>
      <c r="J1046" s="59"/>
      <c r="K1046" s="83"/>
      <c r="L1046" s="83" t="str">
        <f t="shared" si="46"/>
        <v xml:space="preserve">
</v>
      </c>
      <c r="M1046" s="83"/>
      <c r="N1046" s="59"/>
      <c r="O1046" s="59"/>
      <c r="P1046" s="86">
        <f t="shared" si="47"/>
        <v>0</v>
      </c>
      <c r="Q1046" s="59"/>
      <c r="R1046" s="59"/>
      <c r="S1046" s="59"/>
      <c r="T1046" s="59"/>
      <c r="U1046" s="290"/>
      <c r="V1046" s="290"/>
      <c r="W1046" s="290"/>
      <c r="X1046" s="290"/>
      <c r="Y1046" s="290"/>
      <c r="Z1046" s="290"/>
      <c r="AA1046" s="290"/>
      <c r="AB1046" s="290"/>
      <c r="AC1046" s="290"/>
      <c r="AD1046" s="290"/>
    </row>
    <row r="1047" spans="1:30" ht="25.5">
      <c r="A1047" s="291"/>
      <c r="B1047" s="291"/>
      <c r="C1047" s="291"/>
      <c r="D1047" s="83"/>
      <c r="E1047" s="59"/>
      <c r="F1047" s="82"/>
      <c r="G1047" s="82"/>
      <c r="H1047" s="86"/>
      <c r="I1047" s="294"/>
      <c r="J1047" s="59"/>
      <c r="K1047" s="83"/>
      <c r="L1047" s="83" t="str">
        <f t="shared" si="46"/>
        <v xml:space="preserve">
</v>
      </c>
      <c r="M1047" s="83"/>
      <c r="N1047" s="59"/>
      <c r="O1047" s="59"/>
      <c r="P1047" s="86">
        <f t="shared" si="47"/>
        <v>0</v>
      </c>
      <c r="Q1047" s="59"/>
      <c r="R1047" s="59"/>
      <c r="S1047" s="59"/>
      <c r="T1047" s="59"/>
      <c r="U1047" s="290"/>
      <c r="V1047" s="290"/>
      <c r="W1047" s="290"/>
      <c r="X1047" s="290"/>
      <c r="Y1047" s="290"/>
      <c r="Z1047" s="290"/>
      <c r="AA1047" s="290"/>
      <c r="AB1047" s="290"/>
      <c r="AC1047" s="290"/>
      <c r="AD1047" s="290"/>
    </row>
    <row r="1048" spans="1:30" ht="25.5">
      <c r="A1048" s="291"/>
      <c r="B1048" s="291"/>
      <c r="C1048" s="291"/>
      <c r="D1048" s="83"/>
      <c r="E1048" s="59"/>
      <c r="F1048" s="82"/>
      <c r="G1048" s="82"/>
      <c r="H1048" s="86"/>
      <c r="I1048" s="294"/>
      <c r="J1048" s="59"/>
      <c r="K1048" s="83"/>
      <c r="L1048" s="83" t="str">
        <f t="shared" si="46"/>
        <v xml:space="preserve">
</v>
      </c>
      <c r="M1048" s="83"/>
      <c r="N1048" s="59"/>
      <c r="O1048" s="59"/>
      <c r="P1048" s="86">
        <f t="shared" si="47"/>
        <v>0</v>
      </c>
      <c r="Q1048" s="59"/>
      <c r="R1048" s="59"/>
      <c r="S1048" s="59"/>
      <c r="T1048" s="59"/>
      <c r="U1048" s="290"/>
      <c r="V1048" s="290"/>
      <c r="W1048" s="290"/>
      <c r="X1048" s="290"/>
      <c r="Y1048" s="290"/>
      <c r="Z1048" s="290"/>
      <c r="AA1048" s="290"/>
      <c r="AB1048" s="290"/>
      <c r="AC1048" s="290"/>
      <c r="AD1048" s="290"/>
    </row>
    <row r="1049" spans="1:30" ht="25.5">
      <c r="A1049" s="291"/>
      <c r="B1049" s="291"/>
      <c r="C1049" s="291"/>
      <c r="D1049" s="83"/>
      <c r="E1049" s="59"/>
      <c r="F1049" s="82"/>
      <c r="G1049" s="82"/>
      <c r="H1049" s="86"/>
      <c r="I1049" s="294"/>
      <c r="J1049" s="59"/>
      <c r="K1049" s="83"/>
      <c r="L1049" s="83" t="str">
        <f t="shared" si="46"/>
        <v xml:space="preserve">
</v>
      </c>
      <c r="M1049" s="83"/>
      <c r="N1049" s="59"/>
      <c r="O1049" s="59"/>
      <c r="P1049" s="86">
        <f t="shared" si="47"/>
        <v>0</v>
      </c>
      <c r="Q1049" s="59"/>
      <c r="R1049" s="59"/>
      <c r="S1049" s="59"/>
      <c r="T1049" s="59"/>
      <c r="U1049" s="290"/>
      <c r="V1049" s="290"/>
      <c r="W1049" s="290"/>
      <c r="X1049" s="290"/>
      <c r="Y1049" s="290"/>
      <c r="Z1049" s="290"/>
      <c r="AA1049" s="290"/>
      <c r="AB1049" s="290"/>
      <c r="AC1049" s="290"/>
      <c r="AD1049" s="290"/>
    </row>
    <row r="1050" spans="1:30" ht="25.5">
      <c r="A1050" s="291"/>
      <c r="B1050" s="291"/>
      <c r="C1050" s="291"/>
      <c r="D1050" s="83"/>
      <c r="E1050" s="59"/>
      <c r="F1050" s="82"/>
      <c r="G1050" s="82"/>
      <c r="H1050" s="86"/>
      <c r="I1050" s="294"/>
      <c r="J1050" s="59"/>
      <c r="K1050" s="83"/>
      <c r="L1050" s="83" t="str">
        <f t="shared" si="46"/>
        <v xml:space="preserve">
</v>
      </c>
      <c r="M1050" s="83"/>
      <c r="N1050" s="59"/>
      <c r="O1050" s="59"/>
      <c r="P1050" s="86">
        <f t="shared" si="47"/>
        <v>0</v>
      </c>
      <c r="Q1050" s="59"/>
      <c r="R1050" s="59"/>
      <c r="S1050" s="59"/>
      <c r="T1050" s="59"/>
      <c r="U1050" s="290"/>
      <c r="V1050" s="290"/>
      <c r="W1050" s="290"/>
      <c r="X1050" s="290"/>
      <c r="Y1050" s="290"/>
      <c r="Z1050" s="290"/>
      <c r="AA1050" s="290"/>
      <c r="AB1050" s="290"/>
      <c r="AC1050" s="290"/>
      <c r="AD1050" s="290"/>
    </row>
    <row r="1051" spans="1:30" ht="25.5">
      <c r="A1051" s="291"/>
      <c r="B1051" s="291"/>
      <c r="C1051" s="291"/>
      <c r="D1051" s="83"/>
      <c r="E1051" s="59"/>
      <c r="F1051" s="82"/>
      <c r="G1051" s="82"/>
      <c r="H1051" s="86"/>
      <c r="I1051" s="294"/>
      <c r="J1051" s="59"/>
      <c r="K1051" s="83"/>
      <c r="L1051" s="83" t="str">
        <f t="shared" si="46"/>
        <v xml:space="preserve">
</v>
      </c>
      <c r="M1051" s="83"/>
      <c r="N1051" s="59"/>
      <c r="O1051" s="59"/>
      <c r="P1051" s="86">
        <f t="shared" si="47"/>
        <v>0</v>
      </c>
      <c r="Q1051" s="59"/>
      <c r="R1051" s="59"/>
      <c r="S1051" s="59"/>
      <c r="T1051" s="59"/>
      <c r="U1051" s="290"/>
      <c r="V1051" s="290"/>
      <c r="W1051" s="290"/>
      <c r="X1051" s="290"/>
      <c r="Y1051" s="290"/>
      <c r="Z1051" s="290"/>
      <c r="AA1051" s="290"/>
      <c r="AB1051" s="290"/>
      <c r="AC1051" s="290"/>
      <c r="AD1051" s="290"/>
    </row>
    <row r="1052" spans="1:30" ht="25.5">
      <c r="A1052" s="291"/>
      <c r="B1052" s="291"/>
      <c r="C1052" s="291"/>
      <c r="D1052" s="83"/>
      <c r="E1052" s="59"/>
      <c r="F1052" s="82"/>
      <c r="G1052" s="82"/>
      <c r="H1052" s="86"/>
      <c r="I1052" s="294"/>
      <c r="J1052" s="59"/>
      <c r="K1052" s="83"/>
      <c r="L1052" s="83" t="str">
        <f t="shared" si="46"/>
        <v xml:space="preserve">
</v>
      </c>
      <c r="M1052" s="83"/>
      <c r="N1052" s="59"/>
      <c r="O1052" s="59"/>
      <c r="P1052" s="86">
        <f t="shared" si="47"/>
        <v>0</v>
      </c>
      <c r="Q1052" s="59"/>
      <c r="R1052" s="59"/>
      <c r="S1052" s="59"/>
      <c r="T1052" s="59"/>
      <c r="U1052" s="290"/>
      <c r="V1052" s="290"/>
      <c r="W1052" s="290"/>
      <c r="X1052" s="290"/>
      <c r="Y1052" s="290"/>
      <c r="Z1052" s="290"/>
      <c r="AA1052" s="290"/>
      <c r="AB1052" s="290"/>
      <c r="AC1052" s="290"/>
      <c r="AD1052" s="290"/>
    </row>
    <row r="1053" spans="1:30" ht="25.5">
      <c r="A1053" s="291"/>
      <c r="B1053" s="291"/>
      <c r="C1053" s="291"/>
      <c r="D1053" s="83"/>
      <c r="E1053" s="59"/>
      <c r="F1053" s="82"/>
      <c r="G1053" s="82"/>
      <c r="H1053" s="86"/>
      <c r="I1053" s="294"/>
      <c r="J1053" s="59"/>
      <c r="K1053" s="83"/>
      <c r="L1053" s="83" t="str">
        <f t="shared" si="46"/>
        <v xml:space="preserve">
</v>
      </c>
      <c r="M1053" s="83"/>
      <c r="N1053" s="59"/>
      <c r="O1053" s="59"/>
      <c r="P1053" s="86">
        <f t="shared" si="47"/>
        <v>0</v>
      </c>
      <c r="Q1053" s="59"/>
      <c r="R1053" s="59"/>
      <c r="S1053" s="59"/>
      <c r="T1053" s="59"/>
      <c r="U1053" s="290"/>
      <c r="V1053" s="290"/>
      <c r="W1053" s="290"/>
      <c r="X1053" s="290"/>
      <c r="Y1053" s="290"/>
      <c r="Z1053" s="290"/>
      <c r="AA1053" s="290"/>
      <c r="AB1053" s="290"/>
      <c r="AC1053" s="290"/>
      <c r="AD1053" s="290"/>
    </row>
    <row r="1054" spans="1:30" ht="25.5">
      <c r="A1054" s="291"/>
      <c r="B1054" s="291"/>
      <c r="C1054" s="291"/>
      <c r="D1054" s="83"/>
      <c r="E1054" s="59"/>
      <c r="F1054" s="82"/>
      <c r="G1054" s="82"/>
      <c r="H1054" s="86"/>
      <c r="I1054" s="294"/>
      <c r="J1054" s="59"/>
      <c r="K1054" s="83"/>
      <c r="L1054" s="83" t="str">
        <f t="shared" si="46"/>
        <v xml:space="preserve">
</v>
      </c>
      <c r="M1054" s="83"/>
      <c r="N1054" s="59"/>
      <c r="O1054" s="59"/>
      <c r="P1054" s="86">
        <f t="shared" si="47"/>
        <v>0</v>
      </c>
      <c r="Q1054" s="59"/>
      <c r="R1054" s="59"/>
      <c r="S1054" s="59"/>
      <c r="T1054" s="59"/>
      <c r="U1054" s="290"/>
      <c r="V1054" s="290"/>
      <c r="W1054" s="290"/>
      <c r="X1054" s="290"/>
      <c r="Y1054" s="290"/>
      <c r="Z1054" s="290"/>
      <c r="AA1054" s="290"/>
      <c r="AB1054" s="290"/>
      <c r="AC1054" s="290"/>
      <c r="AD1054" s="290"/>
    </row>
    <row r="1055" spans="1:30" ht="25.5">
      <c r="A1055" s="291"/>
      <c r="B1055" s="291"/>
      <c r="C1055" s="291"/>
      <c r="D1055" s="83"/>
      <c r="E1055" s="59"/>
      <c r="F1055" s="82"/>
      <c r="G1055" s="82"/>
      <c r="H1055" s="86"/>
      <c r="I1055" s="294"/>
      <c r="J1055" s="59"/>
      <c r="K1055" s="83"/>
      <c r="L1055" s="83" t="str">
        <f t="shared" si="46"/>
        <v xml:space="preserve">
</v>
      </c>
      <c r="M1055" s="83"/>
      <c r="N1055" s="59"/>
      <c r="O1055" s="59"/>
      <c r="P1055" s="86">
        <f t="shared" si="47"/>
        <v>0</v>
      </c>
      <c r="Q1055" s="59"/>
      <c r="R1055" s="59"/>
      <c r="S1055" s="59"/>
      <c r="T1055" s="59"/>
      <c r="U1055" s="290"/>
      <c r="V1055" s="290"/>
      <c r="W1055" s="290"/>
      <c r="X1055" s="290"/>
      <c r="Y1055" s="290"/>
      <c r="Z1055" s="290"/>
      <c r="AA1055" s="290"/>
      <c r="AB1055" s="290"/>
      <c r="AC1055" s="290"/>
      <c r="AD1055" s="290"/>
    </row>
    <row r="1056" spans="1:30" ht="25.5">
      <c r="A1056" s="291"/>
      <c r="B1056" s="291"/>
      <c r="C1056" s="291"/>
      <c r="D1056" s="83"/>
      <c r="E1056" s="59"/>
      <c r="F1056" s="82"/>
      <c r="G1056" s="82"/>
      <c r="H1056" s="86"/>
      <c r="I1056" s="294"/>
      <c r="J1056" s="59"/>
      <c r="K1056" s="83"/>
      <c r="L1056" s="83" t="str">
        <f t="shared" si="46"/>
        <v xml:space="preserve">
</v>
      </c>
      <c r="M1056" s="83"/>
      <c r="N1056" s="59"/>
      <c r="O1056" s="59"/>
      <c r="P1056" s="86">
        <f t="shared" si="47"/>
        <v>0</v>
      </c>
      <c r="Q1056" s="59"/>
      <c r="R1056" s="59"/>
      <c r="S1056" s="59"/>
      <c r="T1056" s="59"/>
      <c r="U1056" s="290"/>
      <c r="V1056" s="290"/>
      <c r="W1056" s="290"/>
      <c r="X1056" s="290"/>
      <c r="Y1056" s="290"/>
      <c r="Z1056" s="290"/>
      <c r="AA1056" s="290"/>
      <c r="AB1056" s="290"/>
      <c r="AC1056" s="290"/>
      <c r="AD1056" s="290"/>
    </row>
    <row r="1057" spans="1:30" ht="25.5">
      <c r="A1057" s="291"/>
      <c r="B1057" s="291"/>
      <c r="C1057" s="291"/>
      <c r="D1057" s="83"/>
      <c r="E1057" s="59"/>
      <c r="F1057" s="82"/>
      <c r="G1057" s="82"/>
      <c r="H1057" s="86"/>
      <c r="I1057" s="294"/>
      <c r="J1057" s="59"/>
      <c r="K1057" s="83"/>
      <c r="L1057" s="83" t="str">
        <f t="shared" si="46"/>
        <v xml:space="preserve">
</v>
      </c>
      <c r="M1057" s="83"/>
      <c r="N1057" s="59"/>
      <c r="O1057" s="59"/>
      <c r="P1057" s="86">
        <f t="shared" si="47"/>
        <v>0</v>
      </c>
      <c r="Q1057" s="59"/>
      <c r="R1057" s="59"/>
      <c r="S1057" s="59"/>
      <c r="T1057" s="59"/>
      <c r="U1057" s="290"/>
      <c r="V1057" s="290"/>
      <c r="W1057" s="290"/>
      <c r="X1057" s="290"/>
      <c r="Y1057" s="290"/>
      <c r="Z1057" s="290"/>
      <c r="AA1057" s="290"/>
      <c r="AB1057" s="290"/>
      <c r="AC1057" s="290"/>
      <c r="AD1057" s="290"/>
    </row>
    <row r="1058" spans="1:30" ht="25.5">
      <c r="A1058" s="291"/>
      <c r="B1058" s="291"/>
      <c r="C1058" s="291"/>
      <c r="D1058" s="83"/>
      <c r="E1058" s="59"/>
      <c r="F1058" s="82"/>
      <c r="G1058" s="82"/>
      <c r="H1058" s="86"/>
      <c r="I1058" s="294"/>
      <c r="J1058" s="59"/>
      <c r="K1058" s="83"/>
      <c r="L1058" s="83" t="str">
        <f t="shared" si="46"/>
        <v xml:space="preserve">
</v>
      </c>
      <c r="M1058" s="83"/>
      <c r="N1058" s="59"/>
      <c r="O1058" s="59"/>
      <c r="P1058" s="86">
        <f t="shared" si="47"/>
        <v>0</v>
      </c>
      <c r="Q1058" s="59"/>
      <c r="R1058" s="59"/>
      <c r="S1058" s="59"/>
      <c r="T1058" s="59"/>
      <c r="U1058" s="290"/>
      <c r="V1058" s="290"/>
      <c r="W1058" s="290"/>
      <c r="X1058" s="290"/>
      <c r="Y1058" s="290"/>
      <c r="Z1058" s="290"/>
      <c r="AA1058" s="290"/>
      <c r="AB1058" s="290"/>
      <c r="AC1058" s="290"/>
      <c r="AD1058" s="290"/>
    </row>
    <row r="1059" spans="1:30" ht="25.5">
      <c r="A1059" s="291"/>
      <c r="B1059" s="291"/>
      <c r="C1059" s="291"/>
      <c r="D1059" s="83"/>
      <c r="E1059" s="59"/>
      <c r="F1059" s="82"/>
      <c r="G1059" s="82"/>
      <c r="H1059" s="86"/>
      <c r="I1059" s="294"/>
      <c r="J1059" s="59"/>
      <c r="K1059" s="83"/>
      <c r="L1059" s="83" t="str">
        <f t="shared" si="46"/>
        <v xml:space="preserve">
</v>
      </c>
      <c r="M1059" s="83"/>
      <c r="N1059" s="59"/>
      <c r="O1059" s="59"/>
      <c r="P1059" s="86">
        <f t="shared" si="47"/>
        <v>0</v>
      </c>
      <c r="Q1059" s="59"/>
      <c r="R1059" s="59"/>
      <c r="S1059" s="59"/>
      <c r="T1059" s="59"/>
      <c r="U1059" s="290"/>
      <c r="V1059" s="290"/>
      <c r="W1059" s="290"/>
      <c r="X1059" s="290"/>
      <c r="Y1059" s="290"/>
      <c r="Z1059" s="290"/>
      <c r="AA1059" s="290"/>
      <c r="AB1059" s="290"/>
      <c r="AC1059" s="290"/>
      <c r="AD1059" s="290"/>
    </row>
    <row r="1060" spans="1:30" ht="25.5">
      <c r="A1060" s="291"/>
      <c r="B1060" s="291"/>
      <c r="C1060" s="291"/>
      <c r="D1060" s="83"/>
      <c r="E1060" s="59"/>
      <c r="F1060" s="82"/>
      <c r="G1060" s="82"/>
      <c r="H1060" s="86"/>
      <c r="I1060" s="294"/>
      <c r="J1060" s="59"/>
      <c r="K1060" s="83"/>
      <c r="L1060" s="83" t="str">
        <f t="shared" si="46"/>
        <v xml:space="preserve">
</v>
      </c>
      <c r="M1060" s="83"/>
      <c r="N1060" s="59"/>
      <c r="O1060" s="59"/>
      <c r="P1060" s="86">
        <f t="shared" si="47"/>
        <v>0</v>
      </c>
      <c r="Q1060" s="59"/>
      <c r="R1060" s="59"/>
      <c r="S1060" s="59"/>
      <c r="T1060" s="59"/>
      <c r="U1060" s="290"/>
      <c r="V1060" s="290"/>
      <c r="W1060" s="290"/>
      <c r="X1060" s="290"/>
      <c r="Y1060" s="290"/>
      <c r="Z1060" s="290"/>
      <c r="AA1060" s="290"/>
      <c r="AB1060" s="290"/>
      <c r="AC1060" s="290"/>
      <c r="AD1060" s="290"/>
    </row>
    <row r="1061" spans="1:30" ht="25.5">
      <c r="A1061" s="291"/>
      <c r="B1061" s="291"/>
      <c r="C1061" s="291"/>
      <c r="D1061" s="83"/>
      <c r="E1061" s="59"/>
      <c r="F1061" s="82"/>
      <c r="G1061" s="82"/>
      <c r="H1061" s="86"/>
      <c r="I1061" s="294"/>
      <c r="J1061" s="59"/>
      <c r="K1061" s="83"/>
      <c r="L1061" s="83" t="str">
        <f t="shared" si="46"/>
        <v xml:space="preserve">
</v>
      </c>
      <c r="M1061" s="83"/>
      <c r="N1061" s="59"/>
      <c r="O1061" s="59"/>
      <c r="P1061" s="86">
        <f t="shared" si="47"/>
        <v>0</v>
      </c>
      <c r="Q1061" s="59"/>
      <c r="R1061" s="59"/>
      <c r="S1061" s="59"/>
      <c r="T1061" s="59"/>
      <c r="U1061" s="290"/>
      <c r="V1061" s="290"/>
      <c r="W1061" s="290"/>
      <c r="X1061" s="290"/>
      <c r="Y1061" s="290"/>
      <c r="Z1061" s="290"/>
      <c r="AA1061" s="290"/>
      <c r="AB1061" s="290"/>
      <c r="AC1061" s="290"/>
      <c r="AD1061" s="290"/>
    </row>
    <row r="1062" spans="1:30" ht="25.5">
      <c r="A1062" s="291"/>
      <c r="B1062" s="291"/>
      <c r="C1062" s="291"/>
      <c r="D1062" s="83"/>
      <c r="E1062" s="59"/>
      <c r="F1062" s="82"/>
      <c r="G1062" s="82"/>
      <c r="H1062" s="86"/>
      <c r="I1062" s="294"/>
      <c r="J1062" s="59"/>
      <c r="K1062" s="83"/>
      <c r="L1062" s="83" t="str">
        <f t="shared" si="46"/>
        <v xml:space="preserve">
</v>
      </c>
      <c r="M1062" s="83"/>
      <c r="N1062" s="59"/>
      <c r="O1062" s="59"/>
      <c r="P1062" s="86">
        <f t="shared" si="47"/>
        <v>0</v>
      </c>
      <c r="Q1062" s="59"/>
      <c r="R1062" s="59"/>
      <c r="S1062" s="59"/>
      <c r="T1062" s="59"/>
      <c r="U1062" s="290"/>
      <c r="V1062" s="290"/>
      <c r="W1062" s="290"/>
      <c r="X1062" s="290"/>
      <c r="Y1062" s="290"/>
      <c r="Z1062" s="290"/>
      <c r="AA1062" s="290"/>
      <c r="AB1062" s="290"/>
      <c r="AC1062" s="290"/>
      <c r="AD1062" s="290"/>
    </row>
    <row r="1063" spans="1:30" ht="25.5">
      <c r="A1063" s="291"/>
      <c r="B1063" s="291"/>
      <c r="C1063" s="291"/>
      <c r="D1063" s="83"/>
      <c r="E1063" s="59"/>
      <c r="F1063" s="82"/>
      <c r="G1063" s="82"/>
      <c r="H1063" s="86"/>
      <c r="I1063" s="294"/>
      <c r="J1063" s="59"/>
      <c r="K1063" s="83"/>
      <c r="L1063" s="83" t="str">
        <f t="shared" si="46"/>
        <v xml:space="preserve">
</v>
      </c>
      <c r="M1063" s="83"/>
      <c r="N1063" s="59"/>
      <c r="O1063" s="59"/>
      <c r="P1063" s="86">
        <f t="shared" si="47"/>
        <v>0</v>
      </c>
      <c r="Q1063" s="59"/>
      <c r="R1063" s="59"/>
      <c r="S1063" s="59"/>
      <c r="T1063" s="59"/>
      <c r="U1063" s="290"/>
      <c r="V1063" s="290"/>
      <c r="W1063" s="290"/>
      <c r="X1063" s="290"/>
      <c r="Y1063" s="290"/>
      <c r="Z1063" s="290"/>
      <c r="AA1063" s="290"/>
      <c r="AB1063" s="290"/>
      <c r="AC1063" s="290"/>
      <c r="AD1063" s="290"/>
    </row>
    <row r="1064" spans="1:30" ht="25.5">
      <c r="A1064" s="291"/>
      <c r="B1064" s="291"/>
      <c r="C1064" s="291"/>
      <c r="D1064" s="83"/>
      <c r="E1064" s="59"/>
      <c r="F1064" s="82"/>
      <c r="G1064" s="82"/>
      <c r="H1064" s="86"/>
      <c r="I1064" s="294"/>
      <c r="J1064" s="59"/>
      <c r="K1064" s="83"/>
      <c r="L1064" s="83" t="str">
        <f t="shared" si="46"/>
        <v xml:space="preserve">
</v>
      </c>
      <c r="M1064" s="83"/>
      <c r="N1064" s="59"/>
      <c r="O1064" s="59"/>
      <c r="P1064" s="86">
        <f t="shared" si="47"/>
        <v>0</v>
      </c>
      <c r="Q1064" s="59"/>
      <c r="R1064" s="59"/>
      <c r="S1064" s="59"/>
      <c r="T1064" s="59"/>
      <c r="U1064" s="290"/>
      <c r="V1064" s="290"/>
      <c r="W1064" s="290"/>
      <c r="X1064" s="290"/>
      <c r="Y1064" s="290"/>
      <c r="Z1064" s="290"/>
      <c r="AA1064" s="290"/>
      <c r="AB1064" s="290"/>
      <c r="AC1064" s="290"/>
      <c r="AD1064" s="290"/>
    </row>
    <row r="1065" spans="1:30" ht="25.5">
      <c r="A1065" s="291"/>
      <c r="B1065" s="291"/>
      <c r="C1065" s="291"/>
      <c r="D1065" s="83"/>
      <c r="E1065" s="59"/>
      <c r="F1065" s="82"/>
      <c r="G1065" s="82"/>
      <c r="H1065" s="86"/>
      <c r="I1065" s="294"/>
      <c r="J1065" s="59"/>
      <c r="K1065" s="83"/>
      <c r="L1065" s="83" t="str">
        <f t="shared" si="46"/>
        <v xml:space="preserve">
</v>
      </c>
      <c r="M1065" s="83"/>
      <c r="N1065" s="59"/>
      <c r="O1065" s="59"/>
      <c r="P1065" s="86">
        <f t="shared" si="47"/>
        <v>0</v>
      </c>
      <c r="Q1065" s="59"/>
      <c r="R1065" s="59"/>
      <c r="S1065" s="59"/>
      <c r="T1065" s="59"/>
      <c r="U1065" s="290"/>
      <c r="V1065" s="290"/>
      <c r="W1065" s="290"/>
      <c r="X1065" s="290"/>
      <c r="Y1065" s="290"/>
      <c r="Z1065" s="290"/>
      <c r="AA1065" s="290"/>
      <c r="AB1065" s="290"/>
      <c r="AC1065" s="290"/>
      <c r="AD1065" s="290"/>
    </row>
    <row r="1066" spans="1:30" ht="25.5">
      <c r="A1066" s="291"/>
      <c r="B1066" s="291"/>
      <c r="C1066" s="291"/>
      <c r="D1066" s="83"/>
      <c r="E1066" s="59"/>
      <c r="F1066" s="82"/>
      <c r="G1066" s="82"/>
      <c r="H1066" s="86"/>
      <c r="I1066" s="294"/>
      <c r="J1066" s="59"/>
      <c r="K1066" s="83"/>
      <c r="L1066" s="83" t="str">
        <f t="shared" si="46"/>
        <v xml:space="preserve">
</v>
      </c>
      <c r="M1066" s="83"/>
      <c r="N1066" s="59"/>
      <c r="O1066" s="59"/>
      <c r="P1066" s="86">
        <f t="shared" si="47"/>
        <v>0</v>
      </c>
      <c r="Q1066" s="59"/>
      <c r="R1066" s="59"/>
      <c r="S1066" s="59"/>
      <c r="T1066" s="59"/>
      <c r="U1066" s="290"/>
      <c r="V1066" s="290"/>
      <c r="W1066" s="290"/>
      <c r="X1066" s="290"/>
      <c r="Y1066" s="290"/>
      <c r="Z1066" s="290"/>
      <c r="AA1066" s="290"/>
      <c r="AB1066" s="290"/>
      <c r="AC1066" s="290"/>
      <c r="AD1066" s="290"/>
    </row>
    <row r="1067" spans="1:30" ht="25.5">
      <c r="A1067" s="291"/>
      <c r="B1067" s="291"/>
      <c r="C1067" s="291"/>
      <c r="D1067" s="83"/>
      <c r="E1067" s="59"/>
      <c r="F1067" s="82"/>
      <c r="G1067" s="82"/>
      <c r="H1067" s="86"/>
      <c r="I1067" s="294"/>
      <c r="J1067" s="59"/>
      <c r="K1067" s="83"/>
      <c r="L1067" s="83" t="str">
        <f t="shared" si="46"/>
        <v xml:space="preserve">
</v>
      </c>
      <c r="M1067" s="83"/>
      <c r="N1067" s="59"/>
      <c r="O1067" s="59"/>
      <c r="P1067" s="86">
        <f t="shared" si="47"/>
        <v>0</v>
      </c>
      <c r="Q1067" s="59"/>
      <c r="R1067" s="59"/>
      <c r="S1067" s="59"/>
      <c r="T1067" s="59"/>
      <c r="U1067" s="290"/>
      <c r="V1067" s="290"/>
      <c r="W1067" s="290"/>
      <c r="X1067" s="290"/>
      <c r="Y1067" s="290"/>
      <c r="Z1067" s="290"/>
      <c r="AA1067" s="290"/>
      <c r="AB1067" s="290"/>
      <c r="AC1067" s="290"/>
      <c r="AD1067" s="290"/>
    </row>
    <row r="1068" spans="1:30" ht="25.5">
      <c r="A1068" s="291"/>
      <c r="B1068" s="291"/>
      <c r="C1068" s="291"/>
      <c r="D1068" s="83"/>
      <c r="E1068" s="59"/>
      <c r="F1068" s="82"/>
      <c r="G1068" s="82"/>
      <c r="H1068" s="86"/>
      <c r="I1068" s="294"/>
      <c r="J1068" s="59"/>
      <c r="K1068" s="83"/>
      <c r="L1068" s="83" t="str">
        <f t="shared" si="46"/>
        <v xml:space="preserve">
</v>
      </c>
      <c r="M1068" s="83"/>
      <c r="N1068" s="59"/>
      <c r="O1068" s="59"/>
      <c r="P1068" s="86">
        <f t="shared" si="47"/>
        <v>0</v>
      </c>
      <c r="Q1068" s="59"/>
      <c r="R1068" s="59"/>
      <c r="S1068" s="59"/>
      <c r="T1068" s="59"/>
      <c r="U1068" s="290"/>
      <c r="V1068" s="290"/>
      <c r="W1068" s="290"/>
      <c r="X1068" s="290"/>
      <c r="Y1068" s="290"/>
      <c r="Z1068" s="290"/>
      <c r="AA1068" s="290"/>
      <c r="AB1068" s="290"/>
      <c r="AC1068" s="290"/>
      <c r="AD1068" s="290"/>
    </row>
    <row r="1069" spans="1:30" ht="25.5">
      <c r="A1069" s="291"/>
      <c r="B1069" s="291"/>
      <c r="C1069" s="291"/>
      <c r="D1069" s="83"/>
      <c r="E1069" s="59"/>
      <c r="F1069" s="82"/>
      <c r="G1069" s="82"/>
      <c r="H1069" s="86"/>
      <c r="I1069" s="294"/>
      <c r="J1069" s="59"/>
      <c r="K1069" s="83"/>
      <c r="L1069" s="83" t="str">
        <f t="shared" si="46"/>
        <v xml:space="preserve">
</v>
      </c>
      <c r="M1069" s="83"/>
      <c r="N1069" s="59"/>
      <c r="O1069" s="59"/>
      <c r="P1069" s="86">
        <f t="shared" si="47"/>
        <v>0</v>
      </c>
      <c r="Q1069" s="59"/>
      <c r="R1069" s="59"/>
      <c r="S1069" s="59"/>
      <c r="T1069" s="59"/>
      <c r="U1069" s="290"/>
      <c r="V1069" s="290"/>
      <c r="W1069" s="290"/>
      <c r="X1069" s="290"/>
      <c r="Y1069" s="290"/>
      <c r="Z1069" s="290"/>
      <c r="AA1069" s="290"/>
      <c r="AB1069" s="290"/>
      <c r="AC1069" s="290"/>
      <c r="AD1069" s="290"/>
    </row>
    <row r="1070" spans="1:30" ht="25.5">
      <c r="A1070" s="291"/>
      <c r="B1070" s="291"/>
      <c r="C1070" s="291"/>
      <c r="D1070" s="83"/>
      <c r="E1070" s="59"/>
      <c r="F1070" s="82"/>
      <c r="G1070" s="82"/>
      <c r="H1070" s="86"/>
      <c r="I1070" s="294"/>
      <c r="J1070" s="59"/>
      <c r="K1070" s="83"/>
      <c r="L1070" s="83" t="str">
        <f t="shared" si="46"/>
        <v xml:space="preserve">
</v>
      </c>
      <c r="M1070" s="83"/>
      <c r="N1070" s="59"/>
      <c r="O1070" s="59"/>
      <c r="P1070" s="86">
        <f t="shared" si="47"/>
        <v>0</v>
      </c>
      <c r="Q1070" s="59"/>
      <c r="R1070" s="59"/>
      <c r="S1070" s="59"/>
      <c r="T1070" s="59"/>
      <c r="U1070" s="290"/>
      <c r="V1070" s="290"/>
      <c r="W1070" s="290"/>
      <c r="X1070" s="290"/>
      <c r="Y1070" s="290"/>
      <c r="Z1070" s="290"/>
      <c r="AA1070" s="290"/>
      <c r="AB1070" s="290"/>
      <c r="AC1070" s="290"/>
      <c r="AD1070" s="290"/>
    </row>
    <row r="1071" spans="1:30" ht="25.5">
      <c r="A1071" s="291"/>
      <c r="B1071" s="291"/>
      <c r="C1071" s="291"/>
      <c r="D1071" s="83"/>
      <c r="E1071" s="59"/>
      <c r="F1071" s="82"/>
      <c r="G1071" s="82"/>
      <c r="H1071" s="86"/>
      <c r="I1071" s="294"/>
      <c r="J1071" s="59"/>
      <c r="K1071" s="83"/>
      <c r="L1071" s="83" t="str">
        <f t="shared" si="46"/>
        <v xml:space="preserve">
</v>
      </c>
      <c r="M1071" s="83"/>
      <c r="N1071" s="59"/>
      <c r="O1071" s="59"/>
      <c r="P1071" s="86">
        <f t="shared" si="47"/>
        <v>0</v>
      </c>
      <c r="Q1071" s="59"/>
      <c r="R1071" s="59"/>
      <c r="S1071" s="59"/>
      <c r="T1071" s="59"/>
      <c r="U1071" s="290"/>
      <c r="V1071" s="290"/>
      <c r="W1071" s="290"/>
      <c r="X1071" s="290"/>
      <c r="Y1071" s="290"/>
      <c r="Z1071" s="290"/>
      <c r="AA1071" s="290"/>
      <c r="AB1071" s="290"/>
      <c r="AC1071" s="290"/>
      <c r="AD1071" s="290"/>
    </row>
    <row r="1072" spans="1:30" ht="25.5">
      <c r="A1072" s="291"/>
      <c r="B1072" s="291"/>
      <c r="C1072" s="291"/>
      <c r="D1072" s="83"/>
      <c r="E1072" s="59"/>
      <c r="F1072" s="82"/>
      <c r="G1072" s="82"/>
      <c r="H1072" s="86"/>
      <c r="I1072" s="294"/>
      <c r="J1072" s="59"/>
      <c r="K1072" s="83"/>
      <c r="L1072" s="83" t="str">
        <f t="shared" si="46"/>
        <v xml:space="preserve">
</v>
      </c>
      <c r="M1072" s="83"/>
      <c r="N1072" s="59"/>
      <c r="O1072" s="59"/>
      <c r="P1072" s="86">
        <f t="shared" si="47"/>
        <v>0</v>
      </c>
      <c r="Q1072" s="59"/>
      <c r="R1072" s="59"/>
      <c r="S1072" s="59"/>
      <c r="T1072" s="59"/>
      <c r="U1072" s="290"/>
      <c r="V1072" s="290"/>
      <c r="W1072" s="290"/>
      <c r="X1072" s="290"/>
      <c r="Y1072" s="290"/>
      <c r="Z1072" s="290"/>
      <c r="AA1072" s="290"/>
      <c r="AB1072" s="290"/>
      <c r="AC1072" s="290"/>
      <c r="AD1072" s="290"/>
    </row>
    <row r="1073" spans="1:30" ht="25.5">
      <c r="A1073" s="291"/>
      <c r="B1073" s="291"/>
      <c r="C1073" s="291"/>
      <c r="D1073" s="83"/>
      <c r="E1073" s="59"/>
      <c r="F1073" s="82"/>
      <c r="G1073" s="82"/>
      <c r="H1073" s="86"/>
      <c r="I1073" s="294"/>
      <c r="J1073" s="59"/>
      <c r="K1073" s="83"/>
      <c r="L1073" s="83" t="str">
        <f t="shared" si="46"/>
        <v xml:space="preserve">
</v>
      </c>
      <c r="M1073" s="83"/>
      <c r="N1073" s="59"/>
      <c r="O1073" s="59"/>
      <c r="P1073" s="86">
        <f t="shared" si="47"/>
        <v>0</v>
      </c>
      <c r="Q1073" s="59"/>
      <c r="R1073" s="59"/>
      <c r="S1073" s="59"/>
      <c r="T1073" s="59"/>
      <c r="U1073" s="290"/>
      <c r="V1073" s="290"/>
      <c r="W1073" s="290"/>
      <c r="X1073" s="290"/>
      <c r="Y1073" s="290"/>
      <c r="Z1073" s="290"/>
      <c r="AA1073" s="290"/>
      <c r="AB1073" s="290"/>
      <c r="AC1073" s="290"/>
      <c r="AD1073" s="290"/>
    </row>
    <row r="1074" spans="1:30" ht="25.5">
      <c r="A1074" s="291"/>
      <c r="B1074" s="291"/>
      <c r="C1074" s="291"/>
      <c r="D1074" s="83"/>
      <c r="E1074" s="59"/>
      <c r="F1074" s="82"/>
      <c r="G1074" s="82"/>
      <c r="H1074" s="86"/>
      <c r="I1074" s="294"/>
      <c r="J1074" s="59"/>
      <c r="K1074" s="83"/>
      <c r="L1074" s="83" t="str">
        <f t="shared" si="46"/>
        <v xml:space="preserve">
</v>
      </c>
      <c r="M1074" s="83"/>
      <c r="N1074" s="59"/>
      <c r="O1074" s="59"/>
      <c r="P1074" s="86">
        <f t="shared" si="47"/>
        <v>0</v>
      </c>
      <c r="Q1074" s="59"/>
      <c r="R1074" s="59"/>
      <c r="S1074" s="59"/>
      <c r="T1074" s="59"/>
      <c r="U1074" s="290"/>
      <c r="V1074" s="290"/>
      <c r="W1074" s="290"/>
      <c r="X1074" s="290"/>
      <c r="Y1074" s="290"/>
      <c r="Z1074" s="290"/>
      <c r="AA1074" s="290"/>
      <c r="AB1074" s="290"/>
      <c r="AC1074" s="290"/>
      <c r="AD1074" s="290"/>
    </row>
    <row r="1075" spans="1:30" ht="25.5">
      <c r="A1075" s="291"/>
      <c r="B1075" s="291"/>
      <c r="C1075" s="291"/>
      <c r="D1075" s="83"/>
      <c r="E1075" s="59"/>
      <c r="F1075" s="82"/>
      <c r="G1075" s="82"/>
      <c r="H1075" s="86"/>
      <c r="I1075" s="294"/>
      <c r="J1075" s="59"/>
      <c r="K1075" s="83"/>
      <c r="L1075" s="83" t="str">
        <f t="shared" si="46"/>
        <v xml:space="preserve">
</v>
      </c>
      <c r="M1075" s="83"/>
      <c r="N1075" s="59"/>
      <c r="O1075" s="59"/>
      <c r="P1075" s="86">
        <f t="shared" si="47"/>
        <v>0</v>
      </c>
      <c r="Q1075" s="59"/>
      <c r="R1075" s="59"/>
      <c r="S1075" s="59"/>
      <c r="T1075" s="59"/>
      <c r="U1075" s="290"/>
      <c r="V1075" s="290"/>
      <c r="W1075" s="290"/>
      <c r="X1075" s="290"/>
      <c r="Y1075" s="290"/>
      <c r="Z1075" s="290"/>
      <c r="AA1075" s="290"/>
      <c r="AB1075" s="290"/>
      <c r="AC1075" s="290"/>
      <c r="AD1075" s="290"/>
    </row>
    <row r="1076" spans="1:30" ht="25.5">
      <c r="A1076" s="291"/>
      <c r="B1076" s="291"/>
      <c r="C1076" s="291"/>
      <c r="D1076" s="83"/>
      <c r="E1076" s="59"/>
      <c r="F1076" s="82"/>
      <c r="G1076" s="82"/>
      <c r="H1076" s="86"/>
      <c r="I1076" s="294"/>
      <c r="J1076" s="59"/>
      <c r="K1076" s="83"/>
      <c r="L1076" s="83" t="str">
        <f t="shared" si="46"/>
        <v xml:space="preserve">
</v>
      </c>
      <c r="M1076" s="83"/>
      <c r="N1076" s="59"/>
      <c r="O1076" s="59"/>
      <c r="P1076" s="86">
        <f t="shared" si="47"/>
        <v>0</v>
      </c>
      <c r="Q1076" s="59"/>
      <c r="R1076" s="59"/>
      <c r="S1076" s="59"/>
      <c r="T1076" s="59"/>
      <c r="U1076" s="290"/>
      <c r="V1076" s="290"/>
      <c r="W1076" s="290"/>
      <c r="X1076" s="290"/>
      <c r="Y1076" s="290"/>
      <c r="Z1076" s="290"/>
      <c r="AA1076" s="290"/>
      <c r="AB1076" s="290"/>
      <c r="AC1076" s="290"/>
      <c r="AD1076" s="290"/>
    </row>
    <row r="1077" spans="1:30" ht="25.5">
      <c r="A1077" s="291"/>
      <c r="B1077" s="291"/>
      <c r="C1077" s="291"/>
      <c r="D1077" s="83"/>
      <c r="E1077" s="59"/>
      <c r="F1077" s="82"/>
      <c r="G1077" s="82"/>
      <c r="H1077" s="86"/>
      <c r="I1077" s="294"/>
      <c r="J1077" s="59"/>
      <c r="K1077" s="83"/>
      <c r="L1077" s="83" t="str">
        <f t="shared" si="46"/>
        <v xml:space="preserve">
</v>
      </c>
      <c r="M1077" s="83"/>
      <c r="N1077" s="59"/>
      <c r="O1077" s="59"/>
      <c r="P1077" s="86">
        <f t="shared" si="47"/>
        <v>0</v>
      </c>
      <c r="Q1077" s="59"/>
      <c r="R1077" s="59"/>
      <c r="S1077" s="59"/>
      <c r="T1077" s="59"/>
      <c r="U1077" s="290"/>
      <c r="V1077" s="290"/>
      <c r="W1077" s="290"/>
      <c r="X1077" s="290"/>
      <c r="Y1077" s="290"/>
      <c r="Z1077" s="290"/>
      <c r="AA1077" s="290"/>
      <c r="AB1077" s="290"/>
      <c r="AC1077" s="290"/>
      <c r="AD1077" s="290"/>
    </row>
    <row r="1078" spans="1:30" ht="25.5">
      <c r="A1078" s="291"/>
      <c r="B1078" s="291"/>
      <c r="C1078" s="291"/>
      <c r="D1078" s="83"/>
      <c r="E1078" s="59"/>
      <c r="F1078" s="82"/>
      <c r="G1078" s="82"/>
      <c r="H1078" s="86"/>
      <c r="I1078" s="294"/>
      <c r="J1078" s="59"/>
      <c r="K1078" s="83"/>
      <c r="L1078" s="83" t="str">
        <f t="shared" si="46"/>
        <v xml:space="preserve">
</v>
      </c>
      <c r="M1078" s="83"/>
      <c r="N1078" s="59"/>
      <c r="O1078" s="59"/>
      <c r="P1078" s="86">
        <f t="shared" si="47"/>
        <v>0</v>
      </c>
      <c r="Q1078" s="59"/>
      <c r="R1078" s="59"/>
      <c r="S1078" s="59"/>
      <c r="T1078" s="59"/>
      <c r="U1078" s="290"/>
      <c r="V1078" s="290"/>
      <c r="W1078" s="290"/>
      <c r="X1078" s="290"/>
      <c r="Y1078" s="290"/>
      <c r="Z1078" s="290"/>
      <c r="AA1078" s="290"/>
      <c r="AB1078" s="290"/>
      <c r="AC1078" s="290"/>
      <c r="AD1078" s="290"/>
    </row>
    <row r="1079" spans="1:30" ht="25.5">
      <c r="A1079" s="291"/>
      <c r="B1079" s="291"/>
      <c r="C1079" s="291"/>
      <c r="D1079" s="83"/>
      <c r="E1079" s="59"/>
      <c r="F1079" s="82"/>
      <c r="G1079" s="82"/>
      <c r="H1079" s="86"/>
      <c r="I1079" s="294"/>
      <c r="J1079" s="59"/>
      <c r="K1079" s="83"/>
      <c r="L1079" s="83" t="str">
        <f t="shared" si="46"/>
        <v xml:space="preserve">
</v>
      </c>
      <c r="M1079" s="83"/>
      <c r="N1079" s="59"/>
      <c r="O1079" s="59"/>
      <c r="P1079" s="86">
        <f t="shared" si="47"/>
        <v>0</v>
      </c>
      <c r="Q1079" s="59"/>
      <c r="R1079" s="59"/>
      <c r="S1079" s="59"/>
      <c r="T1079" s="59"/>
      <c r="U1079" s="290"/>
      <c r="V1079" s="290"/>
      <c r="W1079" s="290"/>
      <c r="X1079" s="290"/>
      <c r="Y1079" s="290"/>
      <c r="Z1079" s="290"/>
      <c r="AA1079" s="290"/>
      <c r="AB1079" s="290"/>
      <c r="AC1079" s="290"/>
      <c r="AD1079" s="290"/>
    </row>
    <row r="1080" spans="1:30" ht="25.5">
      <c r="A1080" s="291"/>
      <c r="B1080" s="291"/>
      <c r="C1080" s="291"/>
      <c r="D1080" s="83"/>
      <c r="E1080" s="59"/>
      <c r="F1080" s="82"/>
      <c r="G1080" s="82"/>
      <c r="H1080" s="86"/>
      <c r="I1080" s="294"/>
      <c r="J1080" s="59"/>
      <c r="K1080" s="83"/>
      <c r="L1080" s="83" t="str">
        <f t="shared" si="46"/>
        <v xml:space="preserve">
</v>
      </c>
      <c r="M1080" s="83"/>
      <c r="N1080" s="59"/>
      <c r="O1080" s="59"/>
      <c r="P1080" s="86">
        <f t="shared" si="47"/>
        <v>0</v>
      </c>
      <c r="Q1080" s="59"/>
      <c r="R1080" s="59"/>
      <c r="S1080" s="59"/>
      <c r="T1080" s="59"/>
      <c r="U1080" s="290"/>
      <c r="V1080" s="290"/>
      <c r="W1080" s="290"/>
      <c r="X1080" s="290"/>
      <c r="Y1080" s="290"/>
      <c r="Z1080" s="290"/>
      <c r="AA1080" s="290"/>
      <c r="AB1080" s="290"/>
      <c r="AC1080" s="290"/>
      <c r="AD1080" s="290"/>
    </row>
    <row r="1081" spans="1:30" ht="25.5">
      <c r="A1081" s="291"/>
      <c r="B1081" s="291"/>
      <c r="C1081" s="291"/>
      <c r="D1081" s="83"/>
      <c r="E1081" s="59"/>
      <c r="F1081" s="82"/>
      <c r="G1081" s="82"/>
      <c r="H1081" s="86"/>
      <c r="I1081" s="294"/>
      <c r="J1081" s="59"/>
      <c r="K1081" s="83"/>
      <c r="L1081" s="83" t="str">
        <f t="shared" si="46"/>
        <v xml:space="preserve">
</v>
      </c>
      <c r="M1081" s="83"/>
      <c r="N1081" s="59"/>
      <c r="O1081" s="59"/>
      <c r="P1081" s="86">
        <f t="shared" si="47"/>
        <v>0</v>
      </c>
      <c r="Q1081" s="59"/>
      <c r="R1081" s="59"/>
      <c r="S1081" s="59"/>
      <c r="T1081" s="59"/>
      <c r="U1081" s="290"/>
      <c r="V1081" s="290"/>
      <c r="W1081" s="290"/>
      <c r="X1081" s="290"/>
      <c r="Y1081" s="290"/>
      <c r="Z1081" s="290"/>
      <c r="AA1081" s="290"/>
      <c r="AB1081" s="290"/>
      <c r="AC1081" s="290"/>
      <c r="AD1081" s="290"/>
    </row>
    <row r="1082" spans="1:30" ht="25.5">
      <c r="A1082" s="291"/>
      <c r="B1082" s="291"/>
      <c r="C1082" s="291"/>
      <c r="D1082" s="83"/>
      <c r="E1082" s="59"/>
      <c r="F1082" s="82"/>
      <c r="G1082" s="82"/>
      <c r="H1082" s="86"/>
      <c r="I1082" s="294"/>
      <c r="J1082" s="59"/>
      <c r="K1082" s="83"/>
      <c r="L1082" s="83" t="str">
        <f t="shared" si="46"/>
        <v xml:space="preserve">
</v>
      </c>
      <c r="M1082" s="83"/>
      <c r="N1082" s="59"/>
      <c r="O1082" s="59"/>
      <c r="P1082" s="86">
        <f t="shared" si="47"/>
        <v>0</v>
      </c>
      <c r="Q1082" s="59"/>
      <c r="R1082" s="59"/>
      <c r="S1082" s="59"/>
      <c r="T1082" s="59"/>
      <c r="U1082" s="290"/>
      <c r="V1082" s="290"/>
      <c r="W1082" s="290"/>
      <c r="X1082" s="290"/>
      <c r="Y1082" s="290"/>
      <c r="Z1082" s="290"/>
      <c r="AA1082" s="290"/>
      <c r="AB1082" s="290"/>
      <c r="AC1082" s="290"/>
      <c r="AD1082" s="290"/>
    </row>
    <row r="1083" spans="1:30" ht="25.5">
      <c r="A1083" s="291"/>
      <c r="B1083" s="291"/>
      <c r="C1083" s="291"/>
      <c r="D1083" s="83"/>
      <c r="E1083" s="59"/>
      <c r="F1083" s="82"/>
      <c r="G1083" s="82"/>
      <c r="H1083" s="86"/>
      <c r="I1083" s="294"/>
      <c r="J1083" s="59"/>
      <c r="K1083" s="83"/>
      <c r="L1083" s="83" t="str">
        <f t="shared" si="46"/>
        <v xml:space="preserve">
</v>
      </c>
      <c r="M1083" s="83"/>
      <c r="N1083" s="59"/>
      <c r="O1083" s="59"/>
      <c r="P1083" s="86">
        <f t="shared" si="47"/>
        <v>0</v>
      </c>
      <c r="Q1083" s="59"/>
      <c r="R1083" s="59"/>
      <c r="S1083" s="59"/>
      <c r="T1083" s="59"/>
      <c r="U1083" s="290"/>
      <c r="V1083" s="290"/>
      <c r="W1083" s="290"/>
      <c r="X1083" s="290"/>
      <c r="Y1083" s="290"/>
      <c r="Z1083" s="290"/>
      <c r="AA1083" s="290"/>
      <c r="AB1083" s="290"/>
      <c r="AC1083" s="290"/>
      <c r="AD1083" s="290"/>
    </row>
    <row r="1084" spans="1:30" ht="25.5">
      <c r="A1084" s="291"/>
      <c r="B1084" s="291"/>
      <c r="C1084" s="291"/>
      <c r="D1084" s="83"/>
      <c r="E1084" s="59"/>
      <c r="F1084" s="82"/>
      <c r="G1084" s="82"/>
      <c r="H1084" s="86"/>
      <c r="I1084" s="294"/>
      <c r="J1084" s="59"/>
      <c r="K1084" s="83"/>
      <c r="L1084" s="83" t="str">
        <f t="shared" si="46"/>
        <v xml:space="preserve">
</v>
      </c>
      <c r="M1084" s="83"/>
      <c r="N1084" s="59"/>
      <c r="O1084" s="59"/>
      <c r="P1084" s="86">
        <f t="shared" si="47"/>
        <v>0</v>
      </c>
      <c r="Q1084" s="59"/>
      <c r="R1084" s="59"/>
      <c r="S1084" s="59"/>
      <c r="T1084" s="59"/>
      <c r="U1084" s="290"/>
      <c r="V1084" s="290"/>
      <c r="W1084" s="290"/>
      <c r="X1084" s="290"/>
      <c r="Y1084" s="290"/>
      <c r="Z1084" s="290"/>
      <c r="AA1084" s="290"/>
      <c r="AB1084" s="290"/>
      <c r="AC1084" s="290"/>
      <c r="AD1084" s="290"/>
    </row>
    <row r="1085" spans="1:30" ht="25.5">
      <c r="A1085" s="291"/>
      <c r="B1085" s="291"/>
      <c r="C1085" s="291"/>
      <c r="D1085" s="83"/>
      <c r="E1085" s="59"/>
      <c r="F1085" s="82"/>
      <c r="G1085" s="82"/>
      <c r="H1085" s="86"/>
      <c r="I1085" s="294"/>
      <c r="J1085" s="59"/>
      <c r="K1085" s="83"/>
      <c r="L1085" s="83" t="str">
        <f t="shared" si="46"/>
        <v xml:space="preserve">
</v>
      </c>
      <c r="M1085" s="83"/>
      <c r="N1085" s="59"/>
      <c r="O1085" s="59"/>
      <c r="P1085" s="86">
        <f t="shared" si="47"/>
        <v>0</v>
      </c>
      <c r="Q1085" s="59"/>
      <c r="R1085" s="59"/>
      <c r="S1085" s="59"/>
      <c r="T1085" s="59"/>
      <c r="U1085" s="290"/>
      <c r="V1085" s="290"/>
      <c r="W1085" s="290"/>
      <c r="X1085" s="290"/>
      <c r="Y1085" s="290"/>
      <c r="Z1085" s="290"/>
      <c r="AA1085" s="290"/>
      <c r="AB1085" s="290"/>
      <c r="AC1085" s="290"/>
      <c r="AD1085" s="290"/>
    </row>
    <row r="1086" spans="1:30" ht="25.5">
      <c r="A1086" s="291"/>
      <c r="B1086" s="291"/>
      <c r="C1086" s="291"/>
      <c r="D1086" s="83"/>
      <c r="E1086" s="59"/>
      <c r="F1086" s="82"/>
      <c r="G1086" s="82"/>
      <c r="H1086" s="86"/>
      <c r="I1086" s="294"/>
      <c r="J1086" s="59"/>
      <c r="K1086" s="83"/>
      <c r="L1086" s="83" t="str">
        <f t="shared" si="46"/>
        <v xml:space="preserve">
</v>
      </c>
      <c r="M1086" s="83"/>
      <c r="N1086" s="59"/>
      <c r="O1086" s="59"/>
      <c r="P1086" s="86">
        <f t="shared" si="47"/>
        <v>0</v>
      </c>
      <c r="Q1086" s="59"/>
      <c r="R1086" s="59"/>
      <c r="S1086" s="59"/>
      <c r="T1086" s="59"/>
      <c r="U1086" s="290"/>
      <c r="V1086" s="290"/>
      <c r="W1086" s="290"/>
      <c r="X1086" s="290"/>
      <c r="Y1086" s="290"/>
      <c r="Z1086" s="290"/>
      <c r="AA1086" s="290"/>
      <c r="AB1086" s="290"/>
      <c r="AC1086" s="290"/>
      <c r="AD1086" s="290"/>
    </row>
    <row r="1087" spans="1:30" ht="25.5">
      <c r="A1087" s="291"/>
      <c r="B1087" s="291"/>
      <c r="C1087" s="291"/>
      <c r="D1087" s="83"/>
      <c r="E1087" s="59"/>
      <c r="F1087" s="82"/>
      <c r="G1087" s="82"/>
      <c r="H1087" s="86"/>
      <c r="I1087" s="294"/>
      <c r="J1087" s="59"/>
      <c r="K1087" s="83"/>
      <c r="L1087" s="83" t="str">
        <f t="shared" si="46"/>
        <v xml:space="preserve">
</v>
      </c>
      <c r="M1087" s="83"/>
      <c r="N1087" s="59"/>
      <c r="O1087" s="59"/>
      <c r="P1087" s="86">
        <f t="shared" si="47"/>
        <v>0</v>
      </c>
      <c r="Q1087" s="59"/>
      <c r="R1087" s="59"/>
      <c r="S1087" s="59"/>
      <c r="T1087" s="59"/>
      <c r="U1087" s="290"/>
      <c r="V1087" s="290"/>
      <c r="W1087" s="290"/>
      <c r="X1087" s="290"/>
      <c r="Y1087" s="290"/>
      <c r="Z1087" s="290"/>
      <c r="AA1087" s="290"/>
      <c r="AB1087" s="290"/>
      <c r="AC1087" s="290"/>
      <c r="AD1087" s="290"/>
    </row>
    <row r="1088" spans="1:30" ht="25.5">
      <c r="A1088" s="291"/>
      <c r="B1088" s="291"/>
      <c r="C1088" s="291"/>
      <c r="D1088" s="83"/>
      <c r="E1088" s="59"/>
      <c r="F1088" s="82"/>
      <c r="G1088" s="82"/>
      <c r="H1088" s="86"/>
      <c r="I1088" s="294"/>
      <c r="J1088" s="59"/>
      <c r="K1088" s="83"/>
      <c r="L1088" s="83" t="str">
        <f t="shared" si="46"/>
        <v xml:space="preserve">
</v>
      </c>
      <c r="M1088" s="83"/>
      <c r="N1088" s="59"/>
      <c r="O1088" s="59"/>
      <c r="P1088" s="86">
        <f t="shared" si="47"/>
        <v>0</v>
      </c>
      <c r="Q1088" s="59"/>
      <c r="R1088" s="59"/>
      <c r="S1088" s="59"/>
      <c r="T1088" s="59"/>
      <c r="U1088" s="290"/>
      <c r="V1088" s="290"/>
      <c r="W1088" s="290"/>
      <c r="X1088" s="290"/>
      <c r="Y1088" s="290"/>
      <c r="Z1088" s="290"/>
      <c r="AA1088" s="290"/>
      <c r="AB1088" s="290"/>
      <c r="AC1088" s="290"/>
      <c r="AD1088" s="290"/>
    </row>
    <row r="1089" spans="1:30" ht="25.5">
      <c r="A1089" s="291"/>
      <c r="B1089" s="291"/>
      <c r="C1089" s="291"/>
      <c r="D1089" s="83"/>
      <c r="E1089" s="59"/>
      <c r="F1089" s="82"/>
      <c r="G1089" s="82"/>
      <c r="H1089" s="86"/>
      <c r="I1089" s="294"/>
      <c r="J1089" s="59"/>
      <c r="K1089" s="83"/>
      <c r="L1089" s="83" t="str">
        <f t="shared" si="46"/>
        <v xml:space="preserve">
</v>
      </c>
      <c r="M1089" s="83"/>
      <c r="N1089" s="59"/>
      <c r="O1089" s="59"/>
      <c r="P1089" s="86">
        <f t="shared" si="47"/>
        <v>0</v>
      </c>
      <c r="Q1089" s="59"/>
      <c r="R1089" s="59"/>
      <c r="S1089" s="59"/>
      <c r="T1089" s="59"/>
      <c r="U1089" s="290"/>
      <c r="V1089" s="290"/>
      <c r="W1089" s="290"/>
      <c r="X1089" s="290"/>
      <c r="Y1089" s="290"/>
      <c r="Z1089" s="290"/>
      <c r="AA1089" s="290"/>
      <c r="AB1089" s="290"/>
      <c r="AC1089" s="290"/>
      <c r="AD1089" s="290"/>
    </row>
    <row r="1090" spans="1:30" ht="25.5">
      <c r="A1090" s="291"/>
      <c r="B1090" s="291"/>
      <c r="C1090" s="291"/>
      <c r="D1090" s="83"/>
      <c r="E1090" s="59"/>
      <c r="F1090" s="82"/>
      <c r="G1090" s="82"/>
      <c r="H1090" s="86"/>
      <c r="I1090" s="294"/>
      <c r="J1090" s="59"/>
      <c r="K1090" s="83"/>
      <c r="L1090" s="83" t="str">
        <f t="shared" si="46"/>
        <v xml:space="preserve">
</v>
      </c>
      <c r="M1090" s="83"/>
      <c r="N1090" s="59"/>
      <c r="O1090" s="59"/>
      <c r="P1090" s="86">
        <f t="shared" si="47"/>
        <v>0</v>
      </c>
      <c r="Q1090" s="59"/>
      <c r="R1090" s="59"/>
      <c r="S1090" s="59"/>
      <c r="T1090" s="59"/>
      <c r="U1090" s="290"/>
      <c r="V1090" s="290"/>
      <c r="W1090" s="290"/>
      <c r="X1090" s="290"/>
      <c r="Y1090" s="290"/>
      <c r="Z1090" s="290"/>
      <c r="AA1090" s="290"/>
      <c r="AB1090" s="290"/>
      <c r="AC1090" s="290"/>
      <c r="AD1090" s="290"/>
    </row>
    <row r="1091" spans="1:30" ht="25.5">
      <c r="A1091" s="291"/>
      <c r="B1091" s="291"/>
      <c r="C1091" s="291"/>
      <c r="D1091" s="83"/>
      <c r="E1091" s="59"/>
      <c r="F1091" s="82"/>
      <c r="G1091" s="82"/>
      <c r="H1091" s="86"/>
      <c r="I1091" s="294"/>
      <c r="J1091" s="59"/>
      <c r="K1091" s="83"/>
      <c r="L1091" s="83" t="str">
        <f t="shared" si="46"/>
        <v xml:space="preserve">
</v>
      </c>
      <c r="M1091" s="83"/>
      <c r="N1091" s="59"/>
      <c r="O1091" s="59"/>
      <c r="P1091" s="86">
        <f t="shared" si="47"/>
        <v>0</v>
      </c>
      <c r="Q1091" s="59"/>
      <c r="R1091" s="59"/>
      <c r="S1091" s="59"/>
      <c r="T1091" s="59"/>
      <c r="U1091" s="290"/>
      <c r="V1091" s="290"/>
      <c r="W1091" s="290"/>
      <c r="X1091" s="290"/>
      <c r="Y1091" s="290"/>
      <c r="Z1091" s="290"/>
      <c r="AA1091" s="290"/>
      <c r="AB1091" s="290"/>
      <c r="AC1091" s="290"/>
      <c r="AD1091" s="290"/>
    </row>
    <row r="1092" spans="1:30" ht="25.5">
      <c r="A1092" s="291"/>
      <c r="B1092" s="291"/>
      <c r="C1092" s="291"/>
      <c r="D1092" s="83"/>
      <c r="E1092" s="59"/>
      <c r="F1092" s="82"/>
      <c r="G1092" s="82"/>
      <c r="H1092" s="86"/>
      <c r="I1092" s="294"/>
      <c r="J1092" s="59"/>
      <c r="K1092" s="83"/>
      <c r="L1092" s="83" t="str">
        <f t="shared" si="46"/>
        <v xml:space="preserve">
</v>
      </c>
      <c r="M1092" s="83"/>
      <c r="N1092" s="59"/>
      <c r="O1092" s="59"/>
      <c r="P1092" s="86">
        <f t="shared" si="47"/>
        <v>0</v>
      </c>
      <c r="Q1092" s="59"/>
      <c r="R1092" s="59"/>
      <c r="S1092" s="59"/>
      <c r="T1092" s="59"/>
      <c r="U1092" s="290"/>
      <c r="V1092" s="290"/>
      <c r="W1092" s="290"/>
      <c r="X1092" s="290"/>
      <c r="Y1092" s="290"/>
      <c r="Z1092" s="290"/>
      <c r="AA1092" s="290"/>
      <c r="AB1092" s="290"/>
      <c r="AC1092" s="290"/>
      <c r="AD1092" s="290"/>
    </row>
    <row r="1093" spans="1:30" ht="25.5">
      <c r="A1093" s="291"/>
      <c r="B1093" s="291"/>
      <c r="C1093" s="291"/>
      <c r="D1093" s="83"/>
      <c r="E1093" s="59"/>
      <c r="F1093" s="82"/>
      <c r="G1093" s="82"/>
      <c r="H1093" s="86"/>
      <c r="I1093" s="294"/>
      <c r="J1093" s="59"/>
      <c r="K1093" s="83"/>
      <c r="L1093" s="83" t="str">
        <f t="shared" si="46"/>
        <v xml:space="preserve">
</v>
      </c>
      <c r="M1093" s="83"/>
      <c r="N1093" s="59"/>
      <c r="O1093" s="59"/>
      <c r="P1093" s="86">
        <f t="shared" si="47"/>
        <v>0</v>
      </c>
      <c r="Q1093" s="59"/>
      <c r="R1093" s="59"/>
      <c r="S1093" s="59"/>
      <c r="T1093" s="59"/>
      <c r="U1093" s="290"/>
      <c r="V1093" s="290"/>
      <c r="W1093" s="290"/>
      <c r="X1093" s="290"/>
      <c r="Y1093" s="290"/>
      <c r="Z1093" s="290"/>
      <c r="AA1093" s="290"/>
      <c r="AB1093" s="290"/>
      <c r="AC1093" s="290"/>
      <c r="AD1093" s="290"/>
    </row>
    <row r="1094" spans="1:30" ht="25.5">
      <c r="A1094" s="291"/>
      <c r="B1094" s="291"/>
      <c r="C1094" s="291"/>
      <c r="D1094" s="83"/>
      <c r="E1094" s="59"/>
      <c r="F1094" s="82"/>
      <c r="G1094" s="82"/>
      <c r="H1094" s="86"/>
      <c r="I1094" s="294"/>
      <c r="J1094" s="59"/>
      <c r="K1094" s="83"/>
      <c r="L1094" s="83" t="str">
        <f t="shared" si="46"/>
        <v xml:space="preserve">
</v>
      </c>
      <c r="M1094" s="83"/>
      <c r="N1094" s="59"/>
      <c r="O1094" s="59"/>
      <c r="P1094" s="86">
        <f t="shared" si="47"/>
        <v>0</v>
      </c>
      <c r="Q1094" s="59"/>
      <c r="R1094" s="59"/>
      <c r="S1094" s="59"/>
      <c r="T1094" s="59"/>
      <c r="U1094" s="290"/>
      <c r="V1094" s="290"/>
      <c r="W1094" s="290"/>
      <c r="X1094" s="290"/>
      <c r="Y1094" s="290"/>
      <c r="Z1094" s="290"/>
      <c r="AA1094" s="290"/>
      <c r="AB1094" s="290"/>
      <c r="AC1094" s="290"/>
      <c r="AD1094" s="290"/>
    </row>
    <row r="1095" spans="1:30" ht="25.5">
      <c r="A1095" s="291"/>
      <c r="B1095" s="291"/>
      <c r="C1095" s="291"/>
      <c r="D1095" s="83"/>
      <c r="E1095" s="59"/>
      <c r="F1095" s="82"/>
      <c r="G1095" s="82"/>
      <c r="H1095" s="86"/>
      <c r="I1095" s="294"/>
      <c r="J1095" s="59"/>
      <c r="K1095" s="83"/>
      <c r="L1095" s="83" t="str">
        <f t="shared" si="46"/>
        <v xml:space="preserve">
</v>
      </c>
      <c r="M1095" s="83"/>
      <c r="N1095" s="59"/>
      <c r="O1095" s="59"/>
      <c r="P1095" s="86">
        <f t="shared" si="47"/>
        <v>0</v>
      </c>
      <c r="Q1095" s="59"/>
      <c r="R1095" s="59"/>
      <c r="S1095" s="59"/>
      <c r="T1095" s="59"/>
      <c r="U1095" s="290"/>
      <c r="V1095" s="290"/>
      <c r="W1095" s="290"/>
      <c r="X1095" s="290"/>
      <c r="Y1095" s="290"/>
      <c r="Z1095" s="290"/>
      <c r="AA1095" s="290"/>
      <c r="AB1095" s="290"/>
      <c r="AC1095" s="290"/>
      <c r="AD1095" s="290"/>
    </row>
    <row r="1096" spans="1:30" ht="25.5">
      <c r="A1096" s="291"/>
      <c r="B1096" s="291"/>
      <c r="C1096" s="291"/>
      <c r="D1096" s="83"/>
      <c r="E1096" s="59"/>
      <c r="F1096" s="82"/>
      <c r="G1096" s="82"/>
      <c r="H1096" s="86"/>
      <c r="I1096" s="294"/>
      <c r="J1096" s="59"/>
      <c r="K1096" s="83"/>
      <c r="L1096" s="83" t="str">
        <f t="shared" si="46"/>
        <v xml:space="preserve">
</v>
      </c>
      <c r="M1096" s="83"/>
      <c r="N1096" s="59"/>
      <c r="O1096" s="59"/>
      <c r="P1096" s="86">
        <f t="shared" si="47"/>
        <v>0</v>
      </c>
      <c r="Q1096" s="59"/>
      <c r="R1096" s="59"/>
      <c r="S1096" s="59"/>
      <c r="T1096" s="59"/>
      <c r="U1096" s="290"/>
      <c r="V1096" s="290"/>
      <c r="W1096" s="290"/>
      <c r="X1096" s="290"/>
      <c r="Y1096" s="290"/>
      <c r="Z1096" s="290"/>
      <c r="AA1096" s="290"/>
      <c r="AB1096" s="290"/>
      <c r="AC1096" s="290"/>
      <c r="AD1096" s="290"/>
    </row>
    <row r="1097" spans="1:30" ht="25.5">
      <c r="A1097" s="291"/>
      <c r="B1097" s="291"/>
      <c r="C1097" s="291"/>
      <c r="D1097" s="83"/>
      <c r="E1097" s="59"/>
      <c r="F1097" s="82"/>
      <c r="G1097" s="82"/>
      <c r="H1097" s="86"/>
      <c r="I1097" s="294"/>
      <c r="J1097" s="59"/>
      <c r="K1097" s="83"/>
      <c r="L1097" s="83" t="str">
        <f t="shared" si="46"/>
        <v xml:space="preserve">
</v>
      </c>
      <c r="M1097" s="83"/>
      <c r="N1097" s="59"/>
      <c r="O1097" s="59"/>
      <c r="P1097" s="86">
        <f t="shared" si="47"/>
        <v>0</v>
      </c>
      <c r="Q1097" s="59"/>
      <c r="R1097" s="59"/>
      <c r="S1097" s="59"/>
      <c r="T1097" s="59"/>
      <c r="U1097" s="290"/>
      <c r="V1097" s="290"/>
      <c r="W1097" s="290"/>
      <c r="X1097" s="290"/>
      <c r="Y1097" s="290"/>
      <c r="Z1097" s="290"/>
      <c r="AA1097" s="290"/>
      <c r="AB1097" s="290"/>
      <c r="AC1097" s="290"/>
      <c r="AD1097" s="290"/>
    </row>
    <row r="1098" spans="1:30" ht="25.5">
      <c r="A1098" s="291"/>
      <c r="B1098" s="291"/>
      <c r="C1098" s="291"/>
      <c r="D1098" s="83"/>
      <c r="E1098" s="59"/>
      <c r="F1098" s="82"/>
      <c r="G1098" s="82"/>
      <c r="H1098" s="86"/>
      <c r="I1098" s="294"/>
      <c r="J1098" s="59"/>
      <c r="K1098" s="83"/>
      <c r="L1098" s="83" t="str">
        <f t="shared" si="46"/>
        <v xml:space="preserve">
</v>
      </c>
      <c r="M1098" s="83"/>
      <c r="N1098" s="59"/>
      <c r="O1098" s="59"/>
      <c r="P1098" s="86">
        <f t="shared" si="47"/>
        <v>0</v>
      </c>
      <c r="Q1098" s="59"/>
      <c r="R1098" s="59"/>
      <c r="S1098" s="59"/>
      <c r="T1098" s="59"/>
      <c r="U1098" s="290"/>
      <c r="V1098" s="290"/>
      <c r="W1098" s="290"/>
      <c r="X1098" s="290"/>
      <c r="Y1098" s="290"/>
      <c r="Z1098" s="290"/>
      <c r="AA1098" s="290"/>
      <c r="AB1098" s="290"/>
      <c r="AC1098" s="290"/>
      <c r="AD1098" s="290"/>
    </row>
    <row r="1099" spans="1:30" ht="25.5">
      <c r="A1099" s="291"/>
      <c r="B1099" s="291"/>
      <c r="C1099" s="291"/>
      <c r="D1099" s="83"/>
      <c r="E1099" s="59"/>
      <c r="F1099" s="82"/>
      <c r="G1099" s="82"/>
      <c r="H1099" s="86"/>
      <c r="I1099" s="294"/>
      <c r="J1099" s="59"/>
      <c r="K1099" s="83"/>
      <c r="L1099" s="83" t="str">
        <f t="shared" si="46"/>
        <v xml:space="preserve">
</v>
      </c>
      <c r="M1099" s="83"/>
      <c r="N1099" s="59"/>
      <c r="O1099" s="59"/>
      <c r="P1099" s="86">
        <f t="shared" si="47"/>
        <v>0</v>
      </c>
      <c r="Q1099" s="59"/>
      <c r="R1099" s="59"/>
      <c r="S1099" s="59"/>
      <c r="T1099" s="59"/>
      <c r="U1099" s="290"/>
      <c r="V1099" s="290"/>
      <c r="W1099" s="290"/>
      <c r="X1099" s="290"/>
      <c r="Y1099" s="290"/>
      <c r="Z1099" s="290"/>
      <c r="AA1099" s="290"/>
      <c r="AB1099" s="290"/>
      <c r="AC1099" s="290"/>
      <c r="AD1099" s="290"/>
    </row>
    <row r="1100" spans="1:30" ht="25.5">
      <c r="A1100" s="291"/>
      <c r="B1100" s="291"/>
      <c r="C1100" s="291"/>
      <c r="D1100" s="83"/>
      <c r="E1100" s="59"/>
      <c r="F1100" s="82"/>
      <c r="G1100" s="82"/>
      <c r="H1100" s="86"/>
      <c r="I1100" s="294"/>
      <c r="J1100" s="59"/>
      <c r="K1100" s="83"/>
      <c r="L1100" s="83" t="str">
        <f t="shared" si="46"/>
        <v xml:space="preserve">
</v>
      </c>
      <c r="M1100" s="83"/>
      <c r="N1100" s="59"/>
      <c r="O1100" s="59"/>
      <c r="P1100" s="86">
        <f t="shared" si="47"/>
        <v>0</v>
      </c>
      <c r="Q1100" s="59"/>
      <c r="R1100" s="59"/>
      <c r="S1100" s="59"/>
      <c r="T1100" s="59"/>
      <c r="U1100" s="290"/>
      <c r="V1100" s="290"/>
      <c r="W1100" s="290"/>
      <c r="X1100" s="290"/>
      <c r="Y1100" s="290"/>
      <c r="Z1100" s="290"/>
      <c r="AA1100" s="290"/>
      <c r="AB1100" s="290"/>
      <c r="AC1100" s="290"/>
      <c r="AD1100" s="290"/>
    </row>
    <row r="1101" spans="1:30" ht="25.5">
      <c r="A1101" s="291"/>
      <c r="B1101" s="291"/>
      <c r="C1101" s="291"/>
      <c r="D1101" s="83"/>
      <c r="E1101" s="59"/>
      <c r="F1101" s="82"/>
      <c r="G1101" s="82"/>
      <c r="H1101" s="86"/>
      <c r="I1101" s="294"/>
      <c r="J1101" s="59"/>
      <c r="K1101" s="83"/>
      <c r="L1101" s="83" t="str">
        <f t="shared" si="46"/>
        <v xml:space="preserve">
</v>
      </c>
      <c r="M1101" s="83"/>
      <c r="N1101" s="59"/>
      <c r="O1101" s="59"/>
      <c r="P1101" s="86">
        <f t="shared" si="47"/>
        <v>0</v>
      </c>
      <c r="Q1101" s="59"/>
      <c r="R1101" s="59"/>
      <c r="S1101" s="59"/>
      <c r="T1101" s="59"/>
      <c r="U1101" s="290"/>
      <c r="V1101" s="290"/>
      <c r="W1101" s="290"/>
      <c r="X1101" s="290"/>
      <c r="Y1101" s="290"/>
      <c r="Z1101" s="290"/>
      <c r="AA1101" s="290"/>
      <c r="AB1101" s="290"/>
      <c r="AC1101" s="290"/>
      <c r="AD1101" s="290"/>
    </row>
    <row r="1102" spans="1:30" ht="25.5">
      <c r="A1102" s="291"/>
      <c r="B1102" s="291"/>
      <c r="C1102" s="291"/>
      <c r="D1102" s="83"/>
      <c r="E1102" s="59"/>
      <c r="F1102" s="82"/>
      <c r="G1102" s="82"/>
      <c r="H1102" s="86"/>
      <c r="I1102" s="294"/>
      <c r="J1102" s="59"/>
      <c r="K1102" s="83"/>
      <c r="L1102" s="83" t="str">
        <f t="shared" si="46"/>
        <v xml:space="preserve">
</v>
      </c>
      <c r="M1102" s="83"/>
      <c r="N1102" s="59"/>
      <c r="O1102" s="59"/>
      <c r="P1102" s="86">
        <f t="shared" si="47"/>
        <v>0</v>
      </c>
      <c r="Q1102" s="59"/>
      <c r="R1102" s="59"/>
      <c r="S1102" s="59"/>
      <c r="T1102" s="59"/>
      <c r="U1102" s="290"/>
      <c r="V1102" s="290"/>
      <c r="W1102" s="290"/>
      <c r="X1102" s="290"/>
      <c r="Y1102" s="290"/>
      <c r="Z1102" s="290"/>
      <c r="AA1102" s="290"/>
      <c r="AB1102" s="290"/>
      <c r="AC1102" s="290"/>
      <c r="AD1102" s="290"/>
    </row>
    <row r="1103" spans="1:30" ht="25.5">
      <c r="A1103" s="291"/>
      <c r="B1103" s="291"/>
      <c r="C1103" s="291"/>
      <c r="D1103" s="83"/>
      <c r="E1103" s="59"/>
      <c r="F1103" s="82"/>
      <c r="G1103" s="82"/>
      <c r="H1103" s="86"/>
      <c r="I1103" s="294"/>
      <c r="J1103" s="59"/>
      <c r="K1103" s="83"/>
      <c r="L1103" s="83" t="str">
        <f t="shared" si="46"/>
        <v xml:space="preserve">
</v>
      </c>
      <c r="M1103" s="83"/>
      <c r="N1103" s="59"/>
      <c r="O1103" s="59"/>
      <c r="P1103" s="86">
        <f t="shared" si="47"/>
        <v>0</v>
      </c>
      <c r="Q1103" s="59"/>
      <c r="R1103" s="59"/>
      <c r="S1103" s="59"/>
      <c r="T1103" s="59"/>
      <c r="U1103" s="290"/>
      <c r="V1103" s="290"/>
      <c r="W1103" s="290"/>
      <c r="X1103" s="290"/>
      <c r="Y1103" s="290"/>
      <c r="Z1103" s="290"/>
      <c r="AA1103" s="290"/>
      <c r="AB1103" s="290"/>
      <c r="AC1103" s="290"/>
      <c r="AD1103" s="290"/>
    </row>
    <row r="1104" spans="1:30" ht="25.5">
      <c r="A1104" s="291"/>
      <c r="B1104" s="291"/>
      <c r="C1104" s="291"/>
      <c r="D1104" s="83"/>
      <c r="E1104" s="59"/>
      <c r="F1104" s="82"/>
      <c r="G1104" s="82"/>
      <c r="H1104" s="86"/>
      <c r="I1104" s="294"/>
      <c r="J1104" s="59"/>
      <c r="K1104" s="83"/>
      <c r="L1104" s="83" t="str">
        <f t="shared" si="46"/>
        <v xml:space="preserve">
</v>
      </c>
      <c r="M1104" s="83"/>
      <c r="N1104" s="59"/>
      <c r="O1104" s="59"/>
      <c r="P1104" s="86">
        <f t="shared" si="47"/>
        <v>0</v>
      </c>
      <c r="Q1104" s="59"/>
      <c r="R1104" s="59"/>
      <c r="S1104" s="59"/>
      <c r="T1104" s="59"/>
      <c r="U1104" s="290"/>
      <c r="V1104" s="290"/>
      <c r="W1104" s="290"/>
      <c r="X1104" s="290"/>
      <c r="Y1104" s="290"/>
      <c r="Z1104" s="290"/>
      <c r="AA1104" s="290"/>
      <c r="AB1104" s="290"/>
      <c r="AC1104" s="290"/>
      <c r="AD1104" s="290"/>
    </row>
    <row r="1105" spans="1:30" ht="25.5">
      <c r="A1105" s="291"/>
      <c r="B1105" s="291"/>
      <c r="C1105" s="291"/>
      <c r="D1105" s="83"/>
      <c r="E1105" s="59"/>
      <c r="F1105" s="82"/>
      <c r="G1105" s="82"/>
      <c r="H1105" s="86"/>
      <c r="I1105" s="294"/>
      <c r="J1105" s="59"/>
      <c r="K1105" s="83"/>
      <c r="L1105" s="83" t="str">
        <f t="shared" si="46"/>
        <v xml:space="preserve">
</v>
      </c>
      <c r="M1105" s="83"/>
      <c r="N1105" s="59"/>
      <c r="O1105" s="59"/>
      <c r="P1105" s="86">
        <f t="shared" si="47"/>
        <v>0</v>
      </c>
      <c r="Q1105" s="59"/>
      <c r="R1105" s="59"/>
      <c r="S1105" s="59"/>
      <c r="T1105" s="59"/>
      <c r="U1105" s="290"/>
      <c r="V1105" s="290"/>
      <c r="W1105" s="290"/>
      <c r="X1105" s="290"/>
      <c r="Y1105" s="290"/>
      <c r="Z1105" s="290"/>
      <c r="AA1105" s="290"/>
      <c r="AB1105" s="290"/>
      <c r="AC1105" s="290"/>
      <c r="AD1105" s="290"/>
    </row>
    <row r="1106" spans="1:30" ht="25.5">
      <c r="A1106" s="291"/>
      <c r="B1106" s="291"/>
      <c r="C1106" s="291"/>
      <c r="D1106" s="83"/>
      <c r="E1106" s="59"/>
      <c r="F1106" s="82"/>
      <c r="G1106" s="82"/>
      <c r="H1106" s="86"/>
      <c r="I1106" s="294"/>
      <c r="J1106" s="59"/>
      <c r="K1106" s="83"/>
      <c r="L1106" s="83" t="str">
        <f t="shared" si="46"/>
        <v xml:space="preserve">
</v>
      </c>
      <c r="M1106" s="83"/>
      <c r="N1106" s="59"/>
      <c r="O1106" s="59"/>
      <c r="P1106" s="86">
        <f t="shared" si="47"/>
        <v>0</v>
      </c>
      <c r="Q1106" s="59"/>
      <c r="R1106" s="59"/>
      <c r="S1106" s="59"/>
      <c r="T1106" s="59"/>
      <c r="U1106" s="290"/>
      <c r="V1106" s="290"/>
      <c r="W1106" s="290"/>
      <c r="X1106" s="290"/>
      <c r="Y1106" s="290"/>
      <c r="Z1106" s="290"/>
      <c r="AA1106" s="290"/>
      <c r="AB1106" s="290"/>
      <c r="AC1106" s="290"/>
      <c r="AD1106" s="290"/>
    </row>
    <row r="1107" spans="1:30" ht="25.5">
      <c r="A1107" s="291"/>
      <c r="B1107" s="291"/>
      <c r="C1107" s="291"/>
      <c r="D1107" s="83"/>
      <c r="E1107" s="59"/>
      <c r="F1107" s="82"/>
      <c r="G1107" s="82"/>
      <c r="H1107" s="86"/>
      <c r="I1107" s="294"/>
      <c r="J1107" s="59"/>
      <c r="K1107" s="83"/>
      <c r="L1107" s="83" t="str">
        <f t="shared" si="46"/>
        <v xml:space="preserve">
</v>
      </c>
      <c r="M1107" s="83"/>
      <c r="N1107" s="59"/>
      <c r="O1107" s="59"/>
      <c r="P1107" s="86">
        <f t="shared" si="47"/>
        <v>0</v>
      </c>
      <c r="Q1107" s="59"/>
      <c r="R1107" s="59"/>
      <c r="S1107" s="59"/>
      <c r="T1107" s="59"/>
      <c r="U1107" s="290"/>
      <c r="V1107" s="290"/>
      <c r="W1107" s="290"/>
      <c r="X1107" s="290"/>
      <c r="Y1107" s="290"/>
      <c r="Z1107" s="290"/>
      <c r="AA1107" s="290"/>
      <c r="AB1107" s="290"/>
      <c r="AC1107" s="290"/>
      <c r="AD1107" s="290"/>
    </row>
    <row r="1108" spans="1:30" ht="25.5">
      <c r="A1108" s="291"/>
      <c r="B1108" s="291"/>
      <c r="C1108" s="291"/>
      <c r="D1108" s="83"/>
      <c r="E1108" s="59"/>
      <c r="F1108" s="82"/>
      <c r="G1108" s="82"/>
      <c r="H1108" s="86"/>
      <c r="I1108" s="294"/>
      <c r="J1108" s="59"/>
      <c r="K1108" s="83"/>
      <c r="L1108" s="83" t="str">
        <f t="shared" si="46"/>
        <v xml:space="preserve">
</v>
      </c>
      <c r="M1108" s="83"/>
      <c r="N1108" s="59"/>
      <c r="O1108" s="59"/>
      <c r="P1108" s="86">
        <f t="shared" si="47"/>
        <v>0</v>
      </c>
      <c r="Q1108" s="59"/>
      <c r="R1108" s="59"/>
      <c r="S1108" s="59"/>
      <c r="T1108" s="59"/>
      <c r="U1108" s="290"/>
      <c r="V1108" s="290"/>
      <c r="W1108" s="290"/>
      <c r="X1108" s="290"/>
      <c r="Y1108" s="290"/>
      <c r="Z1108" s="290"/>
      <c r="AA1108" s="290"/>
      <c r="AB1108" s="290"/>
      <c r="AC1108" s="290"/>
      <c r="AD1108" s="290"/>
    </row>
    <row r="1109" spans="1:30" ht="25.5">
      <c r="A1109" s="291"/>
      <c r="B1109" s="291"/>
      <c r="C1109" s="291"/>
      <c r="D1109" s="83"/>
      <c r="E1109" s="59"/>
      <c r="F1109" s="82"/>
      <c r="G1109" s="82"/>
      <c r="H1109" s="86"/>
      <c r="I1109" s="294"/>
      <c r="J1109" s="59"/>
      <c r="K1109" s="83"/>
      <c r="L1109" s="83" t="str">
        <f t="shared" si="46"/>
        <v xml:space="preserve">
</v>
      </c>
      <c r="M1109" s="83"/>
      <c r="N1109" s="59"/>
      <c r="O1109" s="59"/>
      <c r="P1109" s="86">
        <f t="shared" si="47"/>
        <v>0</v>
      </c>
      <c r="Q1109" s="59"/>
      <c r="R1109" s="59"/>
      <c r="S1109" s="59"/>
      <c r="T1109" s="59"/>
      <c r="U1109" s="290"/>
      <c r="V1109" s="290"/>
      <c r="W1109" s="290"/>
      <c r="X1109" s="290"/>
      <c r="Y1109" s="290"/>
      <c r="Z1109" s="290"/>
      <c r="AA1109" s="290"/>
      <c r="AB1109" s="290"/>
      <c r="AC1109" s="290"/>
      <c r="AD1109" s="290"/>
    </row>
    <row r="1110" spans="1:30" ht="25.5">
      <c r="A1110" s="291"/>
      <c r="B1110" s="291"/>
      <c r="C1110" s="291"/>
      <c r="D1110" s="83"/>
      <c r="E1110" s="59"/>
      <c r="F1110" s="82"/>
      <c r="G1110" s="82"/>
      <c r="H1110" s="86"/>
      <c r="I1110" s="294"/>
      <c r="J1110" s="59"/>
      <c r="K1110" s="83"/>
      <c r="L1110" s="83" t="str">
        <f t="shared" si="46"/>
        <v xml:space="preserve">
</v>
      </c>
      <c r="M1110" s="83"/>
      <c r="N1110" s="59"/>
      <c r="O1110" s="59"/>
      <c r="P1110" s="86">
        <f t="shared" si="47"/>
        <v>0</v>
      </c>
      <c r="Q1110" s="59"/>
      <c r="R1110" s="59"/>
      <c r="S1110" s="59"/>
      <c r="T1110" s="59"/>
      <c r="U1110" s="290"/>
      <c r="V1110" s="290"/>
      <c r="W1110" s="290"/>
      <c r="X1110" s="290"/>
      <c r="Y1110" s="290"/>
      <c r="Z1110" s="290"/>
      <c r="AA1110" s="290"/>
      <c r="AB1110" s="290"/>
      <c r="AC1110" s="290"/>
      <c r="AD1110" s="290"/>
    </row>
    <row r="1111" spans="1:30" ht="25.5">
      <c r="A1111" s="291"/>
      <c r="B1111" s="291"/>
      <c r="C1111" s="291"/>
      <c r="D1111" s="83"/>
      <c r="E1111" s="59"/>
      <c r="F1111" s="82"/>
      <c r="G1111" s="82"/>
      <c r="H1111" s="86"/>
      <c r="I1111" s="294"/>
      <c r="J1111" s="59"/>
      <c r="K1111" s="83"/>
      <c r="L1111" s="83" t="str">
        <f t="shared" si="46"/>
        <v xml:space="preserve">
</v>
      </c>
      <c r="M1111" s="83"/>
      <c r="N1111" s="59"/>
      <c r="O1111" s="59"/>
      <c r="P1111" s="86">
        <f t="shared" si="47"/>
        <v>0</v>
      </c>
      <c r="Q1111" s="59"/>
      <c r="R1111" s="59"/>
      <c r="S1111" s="59"/>
      <c r="T1111" s="59"/>
      <c r="U1111" s="290"/>
      <c r="V1111" s="290"/>
      <c r="W1111" s="290"/>
      <c r="X1111" s="290"/>
      <c r="Y1111" s="290"/>
      <c r="Z1111" s="290"/>
      <c r="AA1111" s="290"/>
      <c r="AB1111" s="290"/>
      <c r="AC1111" s="290"/>
      <c r="AD1111" s="290"/>
    </row>
    <row r="1112" spans="1:30" ht="25.5">
      <c r="A1112" s="291"/>
      <c r="B1112" s="291"/>
      <c r="C1112" s="291"/>
      <c r="D1112" s="83"/>
      <c r="E1112" s="59"/>
      <c r="F1112" s="82"/>
      <c r="G1112" s="82"/>
      <c r="H1112" s="86"/>
      <c r="I1112" s="294"/>
      <c r="J1112" s="59"/>
      <c r="K1112" s="83"/>
      <c r="L1112" s="83" t="str">
        <f t="shared" si="46"/>
        <v xml:space="preserve">
</v>
      </c>
      <c r="M1112" s="83"/>
      <c r="N1112" s="59"/>
      <c r="O1112" s="59"/>
      <c r="P1112" s="86">
        <f t="shared" si="47"/>
        <v>0</v>
      </c>
      <c r="Q1112" s="59"/>
      <c r="R1112" s="59"/>
      <c r="S1112" s="59"/>
      <c r="T1112" s="59"/>
      <c r="U1112" s="290"/>
      <c r="V1112" s="290"/>
      <c r="W1112" s="290"/>
      <c r="X1112" s="290"/>
      <c r="Y1112" s="290"/>
      <c r="Z1112" s="290"/>
      <c r="AA1112" s="290"/>
      <c r="AB1112" s="290"/>
      <c r="AC1112" s="290"/>
      <c r="AD1112" s="290"/>
    </row>
    <row r="1113" spans="1:30" ht="25.5">
      <c r="A1113" s="291"/>
      <c r="B1113" s="291"/>
      <c r="C1113" s="291"/>
      <c r="D1113" s="83"/>
      <c r="E1113" s="59"/>
      <c r="F1113" s="82"/>
      <c r="G1113" s="82"/>
      <c r="H1113" s="86"/>
      <c r="I1113" s="294"/>
      <c r="J1113" s="59"/>
      <c r="K1113" s="83"/>
      <c r="L1113" s="83" t="str">
        <f t="shared" si="46"/>
        <v xml:space="preserve">
</v>
      </c>
      <c r="M1113" s="83"/>
      <c r="N1113" s="59"/>
      <c r="O1113" s="59"/>
      <c r="P1113" s="86">
        <f t="shared" si="47"/>
        <v>0</v>
      </c>
      <c r="Q1113" s="59"/>
      <c r="R1113" s="59"/>
      <c r="S1113" s="59"/>
      <c r="T1113" s="59"/>
      <c r="U1113" s="290"/>
      <c r="V1113" s="290"/>
      <c r="W1113" s="290"/>
      <c r="X1113" s="290"/>
      <c r="Y1113" s="290"/>
      <c r="Z1113" s="290"/>
      <c r="AA1113" s="290"/>
      <c r="AB1113" s="290"/>
      <c r="AC1113" s="290"/>
      <c r="AD1113" s="290"/>
    </row>
    <row r="1114" spans="1:30" ht="25.5">
      <c r="A1114" s="291"/>
      <c r="B1114" s="291"/>
      <c r="C1114" s="291"/>
      <c r="D1114" s="83"/>
      <c r="E1114" s="59"/>
      <c r="F1114" s="82"/>
      <c r="G1114" s="82"/>
      <c r="H1114" s="86"/>
      <c r="I1114" s="294"/>
      <c r="J1114" s="59"/>
      <c r="K1114" s="83"/>
      <c r="L1114" s="83" t="str">
        <f t="shared" si="46"/>
        <v xml:space="preserve">
</v>
      </c>
      <c r="M1114" s="83"/>
      <c r="N1114" s="59"/>
      <c r="O1114" s="59"/>
      <c r="P1114" s="86">
        <f t="shared" si="47"/>
        <v>0</v>
      </c>
      <c r="Q1114" s="59"/>
      <c r="R1114" s="59"/>
      <c r="S1114" s="59"/>
      <c r="T1114" s="59"/>
      <c r="U1114" s="290"/>
      <c r="V1114" s="290"/>
      <c r="W1114" s="290"/>
      <c r="X1114" s="290"/>
      <c r="Y1114" s="290"/>
      <c r="Z1114" s="290"/>
      <c r="AA1114" s="290"/>
      <c r="AB1114" s="290"/>
      <c r="AC1114" s="290"/>
      <c r="AD1114" s="290"/>
    </row>
    <row r="1115" spans="1:30" ht="25.5">
      <c r="A1115" s="291"/>
      <c r="B1115" s="291"/>
      <c r="C1115" s="291"/>
      <c r="D1115" s="83"/>
      <c r="E1115" s="59"/>
      <c r="F1115" s="82"/>
      <c r="G1115" s="82"/>
      <c r="H1115" s="86"/>
      <c r="I1115" s="294"/>
      <c r="J1115" s="59"/>
      <c r="K1115" s="83"/>
      <c r="L1115" s="83" t="str">
        <f t="shared" si="46"/>
        <v xml:space="preserve">
</v>
      </c>
      <c r="M1115" s="83"/>
      <c r="N1115" s="59"/>
      <c r="O1115" s="59"/>
      <c r="P1115" s="86">
        <f t="shared" si="47"/>
        <v>0</v>
      </c>
      <c r="Q1115" s="59"/>
      <c r="R1115" s="59"/>
      <c r="S1115" s="59"/>
      <c r="T1115" s="59"/>
      <c r="U1115" s="290"/>
      <c r="V1115" s="290"/>
      <c r="W1115" s="290"/>
      <c r="X1115" s="290"/>
      <c r="Y1115" s="290"/>
      <c r="Z1115" s="290"/>
      <c r="AA1115" s="290"/>
      <c r="AB1115" s="290"/>
      <c r="AC1115" s="290"/>
      <c r="AD1115" s="290"/>
    </row>
    <row r="1116" spans="1:30" ht="25.5">
      <c r="A1116" s="291"/>
      <c r="B1116" s="291"/>
      <c r="C1116" s="291"/>
      <c r="D1116" s="83"/>
      <c r="E1116" s="59"/>
      <c r="F1116" s="82"/>
      <c r="G1116" s="82"/>
      <c r="H1116" s="86"/>
      <c r="I1116" s="294"/>
      <c r="J1116" s="59"/>
      <c r="K1116" s="83"/>
      <c r="L1116" s="83" t="str">
        <f t="shared" si="46"/>
        <v xml:space="preserve">
</v>
      </c>
      <c r="M1116" s="83"/>
      <c r="N1116" s="59"/>
      <c r="O1116" s="59"/>
      <c r="P1116" s="86">
        <f t="shared" si="47"/>
        <v>0</v>
      </c>
      <c r="Q1116" s="59"/>
      <c r="R1116" s="59"/>
      <c r="S1116" s="59"/>
      <c r="T1116" s="59"/>
      <c r="U1116" s="290"/>
      <c r="V1116" s="290"/>
      <c r="W1116" s="290"/>
      <c r="X1116" s="290"/>
      <c r="Y1116" s="290"/>
      <c r="Z1116" s="290"/>
      <c r="AA1116" s="290"/>
      <c r="AB1116" s="290"/>
      <c r="AC1116" s="290"/>
      <c r="AD1116" s="290"/>
    </row>
    <row r="1117" spans="1:30" ht="25.5">
      <c r="A1117" s="291"/>
      <c r="B1117" s="291"/>
      <c r="C1117" s="291"/>
      <c r="D1117" s="83"/>
      <c r="E1117" s="59"/>
      <c r="F1117" s="82"/>
      <c r="G1117" s="82"/>
      <c r="H1117" s="86"/>
      <c r="I1117" s="294"/>
      <c r="J1117" s="59"/>
      <c r="K1117" s="83"/>
      <c r="L1117" s="83" t="str">
        <f t="shared" si="46"/>
        <v xml:space="preserve">
</v>
      </c>
      <c r="M1117" s="83"/>
      <c r="N1117" s="59"/>
      <c r="O1117" s="59"/>
      <c r="P1117" s="86">
        <f t="shared" si="47"/>
        <v>0</v>
      </c>
      <c r="Q1117" s="59"/>
      <c r="R1117" s="59"/>
      <c r="S1117" s="59"/>
      <c r="T1117" s="59"/>
      <c r="U1117" s="290"/>
      <c r="V1117" s="290"/>
      <c r="W1117" s="290"/>
      <c r="X1117" s="290"/>
      <c r="Y1117" s="290"/>
      <c r="Z1117" s="290"/>
      <c r="AA1117" s="290"/>
      <c r="AB1117" s="290"/>
      <c r="AC1117" s="290"/>
      <c r="AD1117" s="290"/>
    </row>
    <row r="1118" spans="1:30" ht="25.5">
      <c r="A1118" s="291"/>
      <c r="B1118" s="291"/>
      <c r="C1118" s="291"/>
      <c r="D1118" s="83"/>
      <c r="E1118" s="59"/>
      <c r="F1118" s="82"/>
      <c r="G1118" s="82"/>
      <c r="H1118" s="86"/>
      <c r="I1118" s="294"/>
      <c r="J1118" s="59"/>
      <c r="K1118" s="83"/>
      <c r="L1118" s="83" t="str">
        <f t="shared" si="46"/>
        <v xml:space="preserve">
</v>
      </c>
      <c r="M1118" s="83"/>
      <c r="N1118" s="59"/>
      <c r="O1118" s="59"/>
      <c r="P1118" s="86">
        <f t="shared" si="47"/>
        <v>0</v>
      </c>
      <c r="Q1118" s="59"/>
      <c r="R1118" s="59"/>
      <c r="S1118" s="59"/>
      <c r="T1118" s="59"/>
      <c r="U1118" s="290"/>
      <c r="V1118" s="290"/>
      <c r="W1118" s="290"/>
      <c r="X1118" s="290"/>
      <c r="Y1118" s="290"/>
      <c r="Z1118" s="290"/>
      <c r="AA1118" s="290"/>
      <c r="AB1118" s="290"/>
      <c r="AC1118" s="290"/>
      <c r="AD1118" s="290"/>
    </row>
    <row r="1119" spans="1:30" ht="25.5">
      <c r="A1119" s="291"/>
      <c r="B1119" s="291"/>
      <c r="C1119" s="291"/>
      <c r="D1119" s="83"/>
      <c r="E1119" s="59"/>
      <c r="F1119" s="82"/>
      <c r="G1119" s="82"/>
      <c r="H1119" s="86"/>
      <c r="I1119" s="294"/>
      <c r="J1119" s="59"/>
      <c r="K1119" s="83"/>
      <c r="L1119" s="83" t="str">
        <f t="shared" si="46"/>
        <v xml:space="preserve">
</v>
      </c>
      <c r="M1119" s="83"/>
      <c r="N1119" s="59"/>
      <c r="O1119" s="59"/>
      <c r="P1119" s="86">
        <f t="shared" si="47"/>
        <v>0</v>
      </c>
      <c r="Q1119" s="59"/>
      <c r="R1119" s="59"/>
      <c r="S1119" s="59"/>
      <c r="T1119" s="59"/>
      <c r="U1119" s="290"/>
      <c r="V1119" s="290"/>
      <c r="W1119" s="290"/>
      <c r="X1119" s="290"/>
      <c r="Y1119" s="290"/>
      <c r="Z1119" s="290"/>
      <c r="AA1119" s="290"/>
      <c r="AB1119" s="290"/>
      <c r="AC1119" s="290"/>
      <c r="AD1119" s="290"/>
    </row>
    <row r="1120" spans="1:30" ht="25.5">
      <c r="A1120" s="291"/>
      <c r="B1120" s="291"/>
      <c r="C1120" s="291"/>
      <c r="D1120" s="83"/>
      <c r="E1120" s="59"/>
      <c r="F1120" s="82"/>
      <c r="G1120" s="82"/>
      <c r="H1120" s="86"/>
      <c r="I1120" s="294"/>
      <c r="J1120" s="59"/>
      <c r="K1120" s="83"/>
      <c r="L1120" s="83" t="str">
        <f t="shared" si="46"/>
        <v xml:space="preserve">
</v>
      </c>
      <c r="M1120" s="83"/>
      <c r="N1120" s="59"/>
      <c r="O1120" s="59"/>
      <c r="P1120" s="86">
        <f t="shared" si="47"/>
        <v>0</v>
      </c>
      <c r="Q1120" s="59"/>
      <c r="R1120" s="59"/>
      <c r="S1120" s="59"/>
      <c r="T1120" s="59"/>
      <c r="U1120" s="290"/>
      <c r="V1120" s="290"/>
      <c r="W1120" s="290"/>
      <c r="X1120" s="290"/>
      <c r="Y1120" s="290"/>
      <c r="Z1120" s="290"/>
      <c r="AA1120" s="290"/>
      <c r="AB1120" s="290"/>
      <c r="AC1120" s="290"/>
      <c r="AD1120" s="290"/>
    </row>
    <row r="1121" spans="1:30" ht="25.5">
      <c r="A1121" s="291"/>
      <c r="B1121" s="291"/>
      <c r="C1121" s="291"/>
      <c r="D1121" s="83"/>
      <c r="E1121" s="59"/>
      <c r="F1121" s="82"/>
      <c r="G1121" s="82"/>
      <c r="H1121" s="86"/>
      <c r="I1121" s="294"/>
      <c r="J1121" s="59"/>
      <c r="K1121" s="83"/>
      <c r="L1121" s="83" t="str">
        <f t="shared" si="46"/>
        <v xml:space="preserve">
</v>
      </c>
      <c r="M1121" s="83"/>
      <c r="N1121" s="59"/>
      <c r="O1121" s="59"/>
      <c r="P1121" s="86">
        <f t="shared" si="47"/>
        <v>0</v>
      </c>
      <c r="Q1121" s="59"/>
      <c r="R1121" s="59"/>
      <c r="S1121" s="59"/>
      <c r="T1121" s="59"/>
      <c r="U1121" s="290"/>
      <c r="V1121" s="290"/>
      <c r="W1121" s="290"/>
      <c r="X1121" s="290"/>
      <c r="Y1121" s="290"/>
      <c r="Z1121" s="290"/>
      <c r="AA1121" s="290"/>
      <c r="AB1121" s="290"/>
      <c r="AC1121" s="290"/>
      <c r="AD1121" s="290"/>
    </row>
    <row r="1122" spans="1:30" ht="25.5">
      <c r="A1122" s="291"/>
      <c r="B1122" s="291"/>
      <c r="C1122" s="291"/>
      <c r="D1122" s="83"/>
      <c r="E1122" s="59"/>
      <c r="F1122" s="82"/>
      <c r="G1122" s="82"/>
      <c r="H1122" s="86"/>
      <c r="I1122" s="294"/>
      <c r="J1122" s="59"/>
      <c r="K1122" s="83"/>
      <c r="L1122" s="83" t="str">
        <f t="shared" si="46"/>
        <v xml:space="preserve">
</v>
      </c>
      <c r="M1122" s="83"/>
      <c r="N1122" s="59"/>
      <c r="O1122" s="59"/>
      <c r="P1122" s="86">
        <f t="shared" si="47"/>
        <v>0</v>
      </c>
      <c r="Q1122" s="59"/>
      <c r="R1122" s="59"/>
      <c r="S1122" s="59"/>
      <c r="T1122" s="59"/>
      <c r="U1122" s="290"/>
      <c r="V1122" s="290"/>
      <c r="W1122" s="290"/>
      <c r="X1122" s="290"/>
      <c r="Y1122" s="290"/>
      <c r="Z1122" s="290"/>
      <c r="AA1122" s="290"/>
      <c r="AB1122" s="290"/>
      <c r="AC1122" s="290"/>
      <c r="AD1122" s="290"/>
    </row>
    <row r="1123" spans="1:30" ht="25.5">
      <c r="A1123" s="291"/>
      <c r="B1123" s="291"/>
      <c r="C1123" s="291"/>
      <c r="D1123" s="83"/>
      <c r="E1123" s="59"/>
      <c r="F1123" s="82"/>
      <c r="G1123" s="82"/>
      <c r="H1123" s="86"/>
      <c r="I1123" s="294"/>
      <c r="J1123" s="59"/>
      <c r="K1123" s="83"/>
      <c r="L1123" s="83" t="str">
        <f t="shared" si="46"/>
        <v xml:space="preserve">
</v>
      </c>
      <c r="M1123" s="83"/>
      <c r="N1123" s="59"/>
      <c r="O1123" s="59"/>
      <c r="P1123" s="86">
        <f t="shared" si="47"/>
        <v>0</v>
      </c>
      <c r="Q1123" s="59"/>
      <c r="R1123" s="59"/>
      <c r="S1123" s="59"/>
      <c r="T1123" s="59"/>
      <c r="U1123" s="290"/>
      <c r="V1123" s="290"/>
      <c r="W1123" s="290"/>
      <c r="X1123" s="290"/>
      <c r="Y1123" s="290"/>
      <c r="Z1123" s="290"/>
      <c r="AA1123" s="290"/>
      <c r="AB1123" s="290"/>
      <c r="AC1123" s="290"/>
      <c r="AD1123" s="290"/>
    </row>
    <row r="1124" spans="1:30" ht="25.5">
      <c r="A1124" s="291"/>
      <c r="B1124" s="291"/>
      <c r="C1124" s="291"/>
      <c r="D1124" s="83"/>
      <c r="E1124" s="59"/>
      <c r="F1124" s="82"/>
      <c r="G1124" s="82"/>
      <c r="H1124" s="86"/>
      <c r="I1124" s="294"/>
      <c r="J1124" s="59"/>
      <c r="K1124" s="83"/>
      <c r="L1124" s="83" t="str">
        <f t="shared" si="46"/>
        <v xml:space="preserve">
</v>
      </c>
      <c r="M1124" s="83"/>
      <c r="N1124" s="59"/>
      <c r="O1124" s="59"/>
      <c r="P1124" s="86">
        <f t="shared" si="47"/>
        <v>0</v>
      </c>
      <c r="Q1124" s="59"/>
      <c r="R1124" s="59"/>
      <c r="S1124" s="59"/>
      <c r="T1124" s="59"/>
      <c r="U1124" s="290"/>
      <c r="V1124" s="290"/>
      <c r="W1124" s="290"/>
      <c r="X1124" s="290"/>
      <c r="Y1124" s="290"/>
      <c r="Z1124" s="290"/>
      <c r="AA1124" s="290"/>
      <c r="AB1124" s="290"/>
      <c r="AC1124" s="290"/>
      <c r="AD1124" s="290"/>
    </row>
    <row r="1125" spans="1:30" ht="25.5">
      <c r="A1125" s="291"/>
      <c r="B1125" s="291"/>
      <c r="C1125" s="291"/>
      <c r="D1125" s="83"/>
      <c r="E1125" s="59"/>
      <c r="F1125" s="82"/>
      <c r="G1125" s="82"/>
      <c r="H1125" s="86"/>
      <c r="I1125" s="294"/>
      <c r="J1125" s="59"/>
      <c r="K1125" s="83"/>
      <c r="L1125" s="83" t="str">
        <f t="shared" si="46"/>
        <v xml:space="preserve">
</v>
      </c>
      <c r="M1125" s="83"/>
      <c r="N1125" s="59"/>
      <c r="O1125" s="59"/>
      <c r="P1125" s="86">
        <f t="shared" si="47"/>
        <v>0</v>
      </c>
      <c r="Q1125" s="59"/>
      <c r="R1125" s="59"/>
      <c r="S1125" s="59"/>
      <c r="T1125" s="59"/>
      <c r="U1125" s="290"/>
      <c r="V1125" s="290"/>
      <c r="W1125" s="290"/>
      <c r="X1125" s="290"/>
      <c r="Y1125" s="290"/>
      <c r="Z1125" s="290"/>
      <c r="AA1125" s="290"/>
      <c r="AB1125" s="290"/>
      <c r="AC1125" s="290"/>
      <c r="AD1125" s="290"/>
    </row>
    <row r="1126" spans="1:30" ht="25.5">
      <c r="A1126" s="291"/>
      <c r="B1126" s="291"/>
      <c r="C1126" s="291"/>
      <c r="D1126" s="83"/>
      <c r="E1126" s="59"/>
      <c r="F1126" s="82"/>
      <c r="G1126" s="82"/>
      <c r="H1126" s="86"/>
      <c r="I1126" s="294"/>
      <c r="J1126" s="59"/>
      <c r="K1126" s="83"/>
      <c r="L1126" s="83" t="str">
        <f t="shared" si="46"/>
        <v xml:space="preserve">
</v>
      </c>
      <c r="M1126" s="83"/>
      <c r="N1126" s="59"/>
      <c r="O1126" s="59"/>
      <c r="P1126" s="86">
        <f t="shared" si="47"/>
        <v>0</v>
      </c>
      <c r="Q1126" s="59"/>
      <c r="R1126" s="59"/>
      <c r="S1126" s="59"/>
      <c r="T1126" s="59"/>
      <c r="U1126" s="290"/>
      <c r="V1126" s="290"/>
      <c r="W1126" s="290"/>
      <c r="X1126" s="290"/>
      <c r="Y1126" s="290"/>
      <c r="Z1126" s="290"/>
      <c r="AA1126" s="290"/>
      <c r="AB1126" s="290"/>
      <c r="AC1126" s="290"/>
      <c r="AD1126" s="290"/>
    </row>
    <row r="1127" spans="1:30" ht="25.5">
      <c r="A1127" s="291"/>
      <c r="B1127" s="291"/>
      <c r="C1127" s="291"/>
      <c r="D1127" s="83"/>
      <c r="E1127" s="59"/>
      <c r="F1127" s="82"/>
      <c r="G1127" s="82"/>
      <c r="H1127" s="86"/>
      <c r="I1127" s="294"/>
      <c r="J1127" s="59"/>
      <c r="K1127" s="83"/>
      <c r="L1127" s="83" t="str">
        <f t="shared" si="46"/>
        <v xml:space="preserve">
</v>
      </c>
      <c r="M1127" s="83"/>
      <c r="N1127" s="59"/>
      <c r="O1127" s="59"/>
      <c r="P1127" s="86">
        <f t="shared" si="47"/>
        <v>0</v>
      </c>
      <c r="Q1127" s="59"/>
      <c r="R1127" s="59"/>
      <c r="S1127" s="59"/>
      <c r="T1127" s="59"/>
      <c r="U1127" s="290"/>
      <c r="V1127" s="290"/>
      <c r="W1127" s="290"/>
      <c r="X1127" s="290"/>
      <c r="Y1127" s="290"/>
      <c r="Z1127" s="290"/>
      <c r="AA1127" s="290"/>
      <c r="AB1127" s="290"/>
      <c r="AC1127" s="290"/>
      <c r="AD1127" s="290"/>
    </row>
    <row r="1128" spans="1:30" ht="25.5">
      <c r="A1128" s="291"/>
      <c r="B1128" s="291"/>
      <c r="C1128" s="291"/>
      <c r="D1128" s="83"/>
      <c r="E1128" s="59"/>
      <c r="F1128" s="82"/>
      <c r="G1128" s="82"/>
      <c r="H1128" s="86"/>
      <c r="I1128" s="294"/>
      <c r="J1128" s="59"/>
      <c r="K1128" s="83"/>
      <c r="L1128" s="83" t="str">
        <f t="shared" si="46"/>
        <v xml:space="preserve">
</v>
      </c>
      <c r="M1128" s="83"/>
      <c r="N1128" s="59"/>
      <c r="O1128" s="59"/>
      <c r="P1128" s="86">
        <f t="shared" si="47"/>
        <v>0</v>
      </c>
      <c r="Q1128" s="59"/>
      <c r="R1128" s="59"/>
      <c r="S1128" s="59"/>
      <c r="T1128" s="59"/>
      <c r="U1128" s="290"/>
      <c r="V1128" s="290"/>
      <c r="W1128" s="290"/>
      <c r="X1128" s="290"/>
      <c r="Y1128" s="290"/>
      <c r="Z1128" s="290"/>
      <c r="AA1128" s="290"/>
      <c r="AB1128" s="290"/>
      <c r="AC1128" s="290"/>
      <c r="AD1128" s="290"/>
    </row>
    <row r="1129" spans="1:30" ht="25.5">
      <c r="A1129" s="291"/>
      <c r="B1129" s="291"/>
      <c r="C1129" s="291"/>
      <c r="D1129" s="83"/>
      <c r="E1129" s="59"/>
      <c r="F1129" s="82"/>
      <c r="G1129" s="82"/>
      <c r="H1129" s="86"/>
      <c r="I1129" s="294"/>
      <c r="J1129" s="59"/>
      <c r="K1129" s="83"/>
      <c r="L1129" s="83" t="str">
        <f t="shared" si="46"/>
        <v xml:space="preserve">
</v>
      </c>
      <c r="M1129" s="83"/>
      <c r="N1129" s="59"/>
      <c r="O1129" s="59"/>
      <c r="P1129" s="86">
        <f t="shared" si="47"/>
        <v>0</v>
      </c>
      <c r="Q1129" s="59"/>
      <c r="R1129" s="59"/>
      <c r="S1129" s="59"/>
      <c r="T1129" s="59"/>
      <c r="U1129" s="290"/>
      <c r="V1129" s="290"/>
      <c r="W1129" s="290"/>
      <c r="X1129" s="290"/>
      <c r="Y1129" s="290"/>
      <c r="Z1129" s="290"/>
      <c r="AA1129" s="290"/>
      <c r="AB1129" s="290"/>
      <c r="AC1129" s="290"/>
      <c r="AD1129" s="290"/>
    </row>
    <row r="1130" spans="1:30" ht="25.5">
      <c r="A1130" s="291"/>
      <c r="B1130" s="291"/>
      <c r="C1130" s="291"/>
      <c r="D1130" s="83"/>
      <c r="E1130" s="59"/>
      <c r="F1130" s="82"/>
      <c r="G1130" s="82"/>
      <c r="H1130" s="86"/>
      <c r="I1130" s="294"/>
      <c r="J1130" s="59"/>
      <c r="K1130" s="83"/>
      <c r="L1130" s="83" t="str">
        <f t="shared" si="46"/>
        <v xml:space="preserve">
</v>
      </c>
      <c r="M1130" s="83"/>
      <c r="N1130" s="59"/>
      <c r="O1130" s="59"/>
      <c r="P1130" s="86">
        <f t="shared" si="47"/>
        <v>0</v>
      </c>
      <c r="Q1130" s="59"/>
      <c r="R1130" s="59"/>
      <c r="S1130" s="59"/>
      <c r="T1130" s="59"/>
      <c r="U1130" s="290"/>
      <c r="V1130" s="290"/>
      <c r="W1130" s="290"/>
      <c r="X1130" s="290"/>
      <c r="Y1130" s="290"/>
      <c r="Z1130" s="290"/>
      <c r="AA1130" s="290"/>
      <c r="AB1130" s="290"/>
      <c r="AC1130" s="290"/>
      <c r="AD1130" s="290"/>
    </row>
    <row r="1131" spans="1:30" ht="25.5">
      <c r="A1131" s="291"/>
      <c r="B1131" s="291"/>
      <c r="C1131" s="291"/>
      <c r="D1131" s="83"/>
      <c r="E1131" s="59"/>
      <c r="F1131" s="82"/>
      <c r="G1131" s="82"/>
      <c r="H1131" s="86"/>
      <c r="I1131" s="294"/>
      <c r="J1131" s="59"/>
      <c r="K1131" s="83"/>
      <c r="L1131" s="83" t="str">
        <f t="shared" si="46"/>
        <v xml:space="preserve">
</v>
      </c>
      <c r="M1131" s="83"/>
      <c r="N1131" s="59"/>
      <c r="O1131" s="59"/>
      <c r="P1131" s="86">
        <f t="shared" si="47"/>
        <v>0</v>
      </c>
      <c r="Q1131" s="59"/>
      <c r="R1131" s="59"/>
      <c r="S1131" s="59"/>
      <c r="T1131" s="59"/>
      <c r="U1131" s="290"/>
      <c r="V1131" s="290"/>
      <c r="W1131" s="290"/>
      <c r="X1131" s="290"/>
      <c r="Y1131" s="290"/>
      <c r="Z1131" s="290"/>
      <c r="AA1131" s="290"/>
      <c r="AB1131" s="290"/>
      <c r="AC1131" s="290"/>
      <c r="AD1131" s="290"/>
    </row>
    <row r="1132" spans="1:30" ht="25.5">
      <c r="A1132" s="291"/>
      <c r="B1132" s="291"/>
      <c r="C1132" s="291"/>
      <c r="D1132" s="83"/>
      <c r="E1132" s="59"/>
      <c r="F1132" s="82"/>
      <c r="G1132" s="82"/>
      <c r="H1132" s="86"/>
      <c r="I1132" s="294"/>
      <c r="J1132" s="59"/>
      <c r="K1132" s="83"/>
      <c r="L1132" s="83" t="str">
        <f t="shared" si="46"/>
        <v xml:space="preserve">
</v>
      </c>
      <c r="M1132" s="83"/>
      <c r="N1132" s="59"/>
      <c r="O1132" s="59"/>
      <c r="P1132" s="86">
        <f t="shared" si="47"/>
        <v>0</v>
      </c>
      <c r="Q1132" s="59"/>
      <c r="R1132" s="59"/>
      <c r="S1132" s="59"/>
      <c r="T1132" s="59"/>
      <c r="U1132" s="290"/>
      <c r="V1132" s="290"/>
      <c r="W1132" s="290"/>
      <c r="X1132" s="290"/>
      <c r="Y1132" s="290"/>
      <c r="Z1132" s="290"/>
      <c r="AA1132" s="290"/>
      <c r="AB1132" s="290"/>
      <c r="AC1132" s="290"/>
      <c r="AD1132" s="290"/>
    </row>
    <row r="1133" spans="1:30" ht="25.5">
      <c r="A1133" s="291"/>
      <c r="B1133" s="291"/>
      <c r="C1133" s="291"/>
      <c r="D1133" s="83"/>
      <c r="E1133" s="59"/>
      <c r="F1133" s="82"/>
      <c r="G1133" s="82"/>
      <c r="H1133" s="86"/>
      <c r="I1133" s="294"/>
      <c r="J1133" s="59"/>
      <c r="K1133" s="83"/>
      <c r="L1133" s="83" t="str">
        <f t="shared" si="46"/>
        <v xml:space="preserve">
</v>
      </c>
      <c r="M1133" s="83"/>
      <c r="N1133" s="59"/>
      <c r="O1133" s="59"/>
      <c r="P1133" s="86">
        <f t="shared" si="47"/>
        <v>0</v>
      </c>
      <c r="Q1133" s="59"/>
      <c r="R1133" s="59"/>
      <c r="S1133" s="59"/>
      <c r="T1133" s="59"/>
      <c r="U1133" s="290"/>
      <c r="V1133" s="290"/>
      <c r="W1133" s="290"/>
      <c r="X1133" s="290"/>
      <c r="Y1133" s="290"/>
      <c r="Z1133" s="290"/>
      <c r="AA1133" s="290"/>
      <c r="AB1133" s="290"/>
      <c r="AC1133" s="290"/>
      <c r="AD1133" s="290"/>
    </row>
    <row r="1134" spans="1:30" ht="25.5">
      <c r="A1134" s="291"/>
      <c r="B1134" s="291"/>
      <c r="C1134" s="291"/>
      <c r="D1134" s="83"/>
      <c r="E1134" s="59"/>
      <c r="F1134" s="82"/>
      <c r="G1134" s="82"/>
      <c r="H1134" s="86"/>
      <c r="I1134" s="294"/>
      <c r="J1134" s="59"/>
      <c r="K1134" s="83"/>
      <c r="L1134" s="83" t="str">
        <f t="shared" si="46"/>
        <v xml:space="preserve">
</v>
      </c>
      <c r="M1134" s="83"/>
      <c r="N1134" s="59"/>
      <c r="O1134" s="59"/>
      <c r="P1134" s="86">
        <f t="shared" si="47"/>
        <v>0</v>
      </c>
      <c r="Q1134" s="59"/>
      <c r="R1134" s="59"/>
      <c r="S1134" s="59"/>
      <c r="T1134" s="59"/>
      <c r="U1134" s="290"/>
      <c r="V1134" s="290"/>
      <c r="W1134" s="290"/>
      <c r="X1134" s="290"/>
      <c r="Y1134" s="290"/>
      <c r="Z1134" s="290"/>
      <c r="AA1134" s="290"/>
      <c r="AB1134" s="290"/>
      <c r="AC1134" s="290"/>
      <c r="AD1134" s="290"/>
    </row>
    <row r="1135" spans="1:30" ht="25.5">
      <c r="A1135" s="291"/>
      <c r="B1135" s="291"/>
      <c r="C1135" s="291"/>
      <c r="D1135" s="83"/>
      <c r="E1135" s="59"/>
      <c r="F1135" s="82"/>
      <c r="G1135" s="82"/>
      <c r="H1135" s="86"/>
      <c r="I1135" s="294"/>
      <c r="J1135" s="59"/>
      <c r="K1135" s="83"/>
      <c r="L1135" s="83" t="str">
        <f t="shared" si="46"/>
        <v xml:space="preserve">
</v>
      </c>
      <c r="M1135" s="83"/>
      <c r="N1135" s="59"/>
      <c r="O1135" s="59"/>
      <c r="P1135" s="86">
        <f t="shared" si="47"/>
        <v>0</v>
      </c>
      <c r="Q1135" s="59"/>
      <c r="R1135" s="59"/>
      <c r="S1135" s="59"/>
      <c r="T1135" s="59"/>
      <c r="U1135" s="290"/>
      <c r="V1135" s="290"/>
      <c r="W1135" s="290"/>
      <c r="X1135" s="290"/>
      <c r="Y1135" s="290"/>
      <c r="Z1135" s="290"/>
      <c r="AA1135" s="290"/>
      <c r="AB1135" s="290"/>
      <c r="AC1135" s="290"/>
      <c r="AD1135" s="290"/>
    </row>
    <row r="1136" spans="1:30" ht="25.5">
      <c r="A1136" s="291"/>
      <c r="B1136" s="291"/>
      <c r="C1136" s="291"/>
      <c r="D1136" s="83"/>
      <c r="E1136" s="59"/>
      <c r="F1136" s="82"/>
      <c r="G1136" s="82"/>
      <c r="H1136" s="86"/>
      <c r="I1136" s="294"/>
      <c r="J1136" s="59"/>
      <c r="K1136" s="83"/>
      <c r="L1136" s="83" t="str">
        <f t="shared" si="46"/>
        <v xml:space="preserve">
</v>
      </c>
      <c r="M1136" s="83"/>
      <c r="N1136" s="59"/>
      <c r="O1136" s="59"/>
      <c r="P1136" s="86">
        <f t="shared" si="47"/>
        <v>0</v>
      </c>
      <c r="Q1136" s="59"/>
      <c r="R1136" s="59"/>
      <c r="S1136" s="59"/>
      <c r="T1136" s="59"/>
      <c r="U1136" s="290"/>
      <c r="V1136" s="290"/>
      <c r="W1136" s="290"/>
      <c r="X1136" s="290"/>
      <c r="Y1136" s="290"/>
      <c r="Z1136" s="290"/>
      <c r="AA1136" s="290"/>
      <c r="AB1136" s="290"/>
      <c r="AC1136" s="290"/>
      <c r="AD1136" s="290"/>
    </row>
    <row r="1137" spans="1:30" ht="25.5">
      <c r="A1137" s="291"/>
      <c r="B1137" s="291"/>
      <c r="C1137" s="291"/>
      <c r="D1137" s="83"/>
      <c r="E1137" s="59"/>
      <c r="F1137" s="82"/>
      <c r="G1137" s="82"/>
      <c r="H1137" s="86"/>
      <c r="I1137" s="294"/>
      <c r="J1137" s="59"/>
      <c r="K1137" s="83"/>
      <c r="L1137" s="83" t="str">
        <f t="shared" si="46"/>
        <v xml:space="preserve">
</v>
      </c>
      <c r="M1137" s="83"/>
      <c r="N1137" s="59"/>
      <c r="O1137" s="59"/>
      <c r="P1137" s="86">
        <f t="shared" si="47"/>
        <v>0</v>
      </c>
      <c r="Q1137" s="59"/>
      <c r="R1137" s="59"/>
      <c r="S1137" s="59"/>
      <c r="T1137" s="59"/>
      <c r="U1137" s="290"/>
      <c r="V1137" s="290"/>
      <c r="W1137" s="290"/>
      <c r="X1137" s="290"/>
      <c r="Y1137" s="290"/>
      <c r="Z1137" s="290"/>
      <c r="AA1137" s="290"/>
      <c r="AB1137" s="290"/>
      <c r="AC1137" s="290"/>
      <c r="AD1137" s="290"/>
    </row>
    <row r="1138" spans="1:30" ht="25.5">
      <c r="A1138" s="291"/>
      <c r="B1138" s="291"/>
      <c r="C1138" s="291"/>
      <c r="D1138" s="83"/>
      <c r="E1138" s="59"/>
      <c r="F1138" s="82"/>
      <c r="G1138" s="82"/>
      <c r="H1138" s="86"/>
      <c r="I1138" s="294"/>
      <c r="J1138" s="59"/>
      <c r="K1138" s="83"/>
      <c r="L1138" s="83" t="str">
        <f t="shared" si="46"/>
        <v xml:space="preserve">
</v>
      </c>
      <c r="M1138" s="83"/>
      <c r="N1138" s="59"/>
      <c r="O1138" s="59"/>
      <c r="P1138" s="86">
        <f t="shared" si="47"/>
        <v>0</v>
      </c>
      <c r="Q1138" s="59"/>
      <c r="R1138" s="59"/>
      <c r="S1138" s="59"/>
      <c r="T1138" s="59"/>
      <c r="U1138" s="290"/>
      <c r="V1138" s="290"/>
      <c r="W1138" s="290"/>
      <c r="X1138" s="290"/>
      <c r="Y1138" s="290"/>
      <c r="Z1138" s="290"/>
      <c r="AA1138" s="290"/>
      <c r="AB1138" s="290"/>
      <c r="AC1138" s="290"/>
      <c r="AD1138" s="290"/>
    </row>
    <row r="1139" spans="1:30" ht="25.5">
      <c r="A1139" s="291"/>
      <c r="B1139" s="291"/>
      <c r="C1139" s="291"/>
      <c r="D1139" s="83"/>
      <c r="E1139" s="59"/>
      <c r="F1139" s="82"/>
      <c r="G1139" s="82"/>
      <c r="H1139" s="86"/>
      <c r="I1139" s="294"/>
      <c r="J1139" s="59"/>
      <c r="K1139" s="83"/>
      <c r="L1139" s="83" t="str">
        <f t="shared" si="46"/>
        <v xml:space="preserve">
</v>
      </c>
      <c r="M1139" s="83"/>
      <c r="N1139" s="59"/>
      <c r="O1139" s="59"/>
      <c r="P1139" s="86">
        <f t="shared" si="47"/>
        <v>0</v>
      </c>
      <c r="Q1139" s="59"/>
      <c r="R1139" s="59"/>
      <c r="S1139" s="59"/>
      <c r="T1139" s="59"/>
      <c r="U1139" s="290"/>
      <c r="V1139" s="290"/>
      <c r="W1139" s="290"/>
      <c r="X1139" s="290"/>
      <c r="Y1139" s="290"/>
      <c r="Z1139" s="290"/>
      <c r="AA1139" s="290"/>
      <c r="AB1139" s="290"/>
      <c r="AC1139" s="290"/>
      <c r="AD1139" s="290"/>
    </row>
    <row r="1140" spans="1:30" ht="25.5">
      <c r="A1140" s="291"/>
      <c r="B1140" s="291"/>
      <c r="C1140" s="291"/>
      <c r="D1140" s="83"/>
      <c r="E1140" s="59"/>
      <c r="F1140" s="82"/>
      <c r="G1140" s="82"/>
      <c r="H1140" s="86"/>
      <c r="I1140" s="294"/>
      <c r="J1140" s="59"/>
      <c r="K1140" s="83"/>
      <c r="L1140" s="83" t="str">
        <f t="shared" si="46"/>
        <v xml:space="preserve">
</v>
      </c>
      <c r="M1140" s="83"/>
      <c r="N1140" s="59"/>
      <c r="O1140" s="59"/>
      <c r="P1140" s="86">
        <f t="shared" si="47"/>
        <v>0</v>
      </c>
      <c r="Q1140" s="59"/>
      <c r="R1140" s="59"/>
      <c r="S1140" s="59"/>
      <c r="T1140" s="59"/>
      <c r="U1140" s="290"/>
      <c r="V1140" s="290"/>
      <c r="W1140" s="290"/>
      <c r="X1140" s="290"/>
      <c r="Y1140" s="290"/>
      <c r="Z1140" s="290"/>
      <c r="AA1140" s="290"/>
      <c r="AB1140" s="290"/>
      <c r="AC1140" s="290"/>
      <c r="AD1140" s="290"/>
    </row>
    <row r="1141" spans="1:30" ht="25.5">
      <c r="A1141" s="291"/>
      <c r="B1141" s="291"/>
      <c r="C1141" s="291"/>
      <c r="D1141" s="83"/>
      <c r="E1141" s="59"/>
      <c r="F1141" s="82"/>
      <c r="G1141" s="82"/>
      <c r="H1141" s="86"/>
      <c r="I1141" s="294"/>
      <c r="J1141" s="59"/>
      <c r="K1141" s="83"/>
      <c r="L1141" s="83" t="str">
        <f t="shared" si="46"/>
        <v xml:space="preserve">
</v>
      </c>
      <c r="M1141" s="83"/>
      <c r="N1141" s="59"/>
      <c r="O1141" s="59"/>
      <c r="P1141" s="86">
        <f t="shared" si="47"/>
        <v>0</v>
      </c>
      <c r="Q1141" s="59"/>
      <c r="R1141" s="59"/>
      <c r="S1141" s="59"/>
      <c r="T1141" s="59"/>
      <c r="U1141" s="290"/>
      <c r="V1141" s="290"/>
      <c r="W1141" s="290"/>
      <c r="X1141" s="290"/>
      <c r="Y1141" s="290"/>
      <c r="Z1141" s="290"/>
      <c r="AA1141" s="290"/>
      <c r="AB1141" s="290"/>
      <c r="AC1141" s="290"/>
      <c r="AD1141" s="290"/>
    </row>
    <row r="1142" spans="1:30" ht="25.5">
      <c r="A1142" s="291"/>
      <c r="B1142" s="291"/>
      <c r="C1142" s="291"/>
      <c r="D1142" s="83"/>
      <c r="E1142" s="59"/>
      <c r="F1142" s="82"/>
      <c r="G1142" s="82"/>
      <c r="H1142" s="86"/>
      <c r="I1142" s="294"/>
      <c r="J1142" s="59"/>
      <c r="K1142" s="83"/>
      <c r="L1142" s="83" t="str">
        <f t="shared" si="46"/>
        <v xml:space="preserve">
</v>
      </c>
      <c r="M1142" s="83"/>
      <c r="N1142" s="59"/>
      <c r="O1142" s="59"/>
      <c r="P1142" s="86">
        <f t="shared" si="47"/>
        <v>0</v>
      </c>
      <c r="Q1142" s="59"/>
      <c r="R1142" s="59"/>
      <c r="S1142" s="59"/>
      <c r="T1142" s="59"/>
      <c r="U1142" s="290"/>
      <c r="V1142" s="290"/>
      <c r="W1142" s="290"/>
      <c r="X1142" s="290"/>
      <c r="Y1142" s="290"/>
      <c r="Z1142" s="290"/>
      <c r="AA1142" s="290"/>
      <c r="AB1142" s="290"/>
      <c r="AC1142" s="290"/>
      <c r="AD1142" s="290"/>
    </row>
    <row r="1143" spans="1:30" ht="25.5">
      <c r="A1143" s="291"/>
      <c r="B1143" s="291"/>
      <c r="C1143" s="291"/>
      <c r="D1143" s="83"/>
      <c r="E1143" s="59"/>
      <c r="F1143" s="82"/>
      <c r="G1143" s="82"/>
      <c r="H1143" s="86"/>
      <c r="I1143" s="294"/>
      <c r="J1143" s="59"/>
      <c r="K1143" s="83"/>
      <c r="L1143" s="83" t="str">
        <f t="shared" si="46"/>
        <v xml:space="preserve">
</v>
      </c>
      <c r="M1143" s="83"/>
      <c r="N1143" s="59"/>
      <c r="O1143" s="59"/>
      <c r="P1143" s="86">
        <f t="shared" si="47"/>
        <v>0</v>
      </c>
      <c r="Q1143" s="59"/>
      <c r="R1143" s="59"/>
      <c r="S1143" s="59"/>
      <c r="T1143" s="59"/>
      <c r="U1143" s="290"/>
      <c r="V1143" s="290"/>
      <c r="W1143" s="290"/>
      <c r="X1143" s="290"/>
      <c r="Y1143" s="290"/>
      <c r="Z1143" s="290"/>
      <c r="AA1143" s="290"/>
      <c r="AB1143" s="290"/>
      <c r="AC1143" s="290"/>
      <c r="AD1143" s="290"/>
    </row>
    <row r="1144" spans="1:30" ht="25.5">
      <c r="A1144" s="291"/>
      <c r="B1144" s="291"/>
      <c r="C1144" s="291"/>
      <c r="D1144" s="83"/>
      <c r="E1144" s="59"/>
      <c r="F1144" s="82"/>
      <c r="G1144" s="82"/>
      <c r="H1144" s="86"/>
      <c r="I1144" s="294"/>
      <c r="J1144" s="59"/>
      <c r="K1144" s="83"/>
      <c r="L1144" s="83" t="str">
        <f t="shared" si="46"/>
        <v xml:space="preserve">
</v>
      </c>
      <c r="M1144" s="83"/>
      <c r="N1144" s="59"/>
      <c r="O1144" s="59"/>
      <c r="P1144" s="86">
        <f t="shared" si="47"/>
        <v>0</v>
      </c>
      <c r="Q1144" s="59"/>
      <c r="R1144" s="59"/>
      <c r="S1144" s="59"/>
      <c r="T1144" s="59"/>
      <c r="U1144" s="290"/>
      <c r="V1144" s="290"/>
      <c r="W1144" s="290"/>
      <c r="X1144" s="290"/>
      <c r="Y1144" s="290"/>
      <c r="Z1144" s="290"/>
      <c r="AA1144" s="290"/>
      <c r="AB1144" s="290"/>
      <c r="AC1144" s="290"/>
      <c r="AD1144" s="290"/>
    </row>
    <row r="1145" spans="1:30" ht="25.5">
      <c r="A1145" s="291"/>
      <c r="B1145" s="291"/>
      <c r="C1145" s="291"/>
      <c r="D1145" s="83"/>
      <c r="E1145" s="59"/>
      <c r="F1145" s="82"/>
      <c r="G1145" s="82"/>
      <c r="H1145" s="86"/>
      <c r="I1145" s="294"/>
      <c r="J1145" s="59"/>
      <c r="K1145" s="83"/>
      <c r="L1145" s="83" t="str">
        <f t="shared" si="46"/>
        <v xml:space="preserve">
</v>
      </c>
      <c r="M1145" s="83"/>
      <c r="N1145" s="59"/>
      <c r="O1145" s="59"/>
      <c r="P1145" s="86">
        <f t="shared" si="47"/>
        <v>0</v>
      </c>
      <c r="Q1145" s="59"/>
      <c r="R1145" s="59"/>
      <c r="S1145" s="59"/>
      <c r="T1145" s="59"/>
      <c r="U1145" s="290"/>
      <c r="V1145" s="290"/>
      <c r="W1145" s="290"/>
      <c r="X1145" s="290"/>
      <c r="Y1145" s="290"/>
      <c r="Z1145" s="290"/>
      <c r="AA1145" s="290"/>
      <c r="AB1145" s="290"/>
      <c r="AC1145" s="290"/>
      <c r="AD1145" s="290"/>
    </row>
    <row r="1146" spans="1:30" ht="25.5">
      <c r="A1146" s="291"/>
      <c r="B1146" s="291"/>
      <c r="C1146" s="291"/>
      <c r="D1146" s="83"/>
      <c r="E1146" s="59"/>
      <c r="F1146" s="82"/>
      <c r="G1146" s="82"/>
      <c r="H1146" s="86"/>
      <c r="I1146" s="294"/>
      <c r="J1146" s="59"/>
      <c r="K1146" s="83"/>
      <c r="L1146" s="83" t="str">
        <f t="shared" si="46"/>
        <v xml:space="preserve">
</v>
      </c>
      <c r="M1146" s="83"/>
      <c r="N1146" s="59"/>
      <c r="O1146" s="59"/>
      <c r="P1146" s="86">
        <f t="shared" si="47"/>
        <v>0</v>
      </c>
      <c r="Q1146" s="59"/>
      <c r="R1146" s="59"/>
      <c r="S1146" s="59"/>
      <c r="T1146" s="59"/>
      <c r="U1146" s="290"/>
      <c r="V1146" s="290"/>
      <c r="W1146" s="290"/>
      <c r="X1146" s="290"/>
      <c r="Y1146" s="290"/>
      <c r="Z1146" s="290"/>
      <c r="AA1146" s="290"/>
      <c r="AB1146" s="290"/>
      <c r="AC1146" s="290"/>
      <c r="AD1146" s="290"/>
    </row>
    <row r="1147" spans="1:30" ht="25.5">
      <c r="A1147" s="291"/>
      <c r="B1147" s="291"/>
      <c r="C1147" s="291"/>
      <c r="D1147" s="83"/>
      <c r="E1147" s="59"/>
      <c r="F1147" s="82"/>
      <c r="G1147" s="82"/>
      <c r="H1147" s="86"/>
      <c r="I1147" s="294"/>
      <c r="J1147" s="59"/>
      <c r="K1147" s="83"/>
      <c r="L1147" s="83" t="str">
        <f t="shared" si="46"/>
        <v xml:space="preserve">
</v>
      </c>
      <c r="M1147" s="83"/>
      <c r="N1147" s="59"/>
      <c r="O1147" s="59"/>
      <c r="P1147" s="86">
        <f t="shared" si="47"/>
        <v>0</v>
      </c>
      <c r="Q1147" s="59"/>
      <c r="R1147" s="59"/>
      <c r="S1147" s="59"/>
      <c r="T1147" s="59"/>
      <c r="U1147" s="290"/>
      <c r="V1147" s="290"/>
      <c r="W1147" s="290"/>
      <c r="X1147" s="290"/>
      <c r="Y1147" s="290"/>
      <c r="Z1147" s="290"/>
      <c r="AA1147" s="290"/>
      <c r="AB1147" s="290"/>
      <c r="AC1147" s="290"/>
      <c r="AD1147" s="290"/>
    </row>
    <row r="1148" spans="1:30" ht="25.5">
      <c r="A1148" s="291"/>
      <c r="B1148" s="291"/>
      <c r="C1148" s="291"/>
      <c r="D1148" s="83"/>
      <c r="E1148" s="59"/>
      <c r="F1148" s="82"/>
      <c r="G1148" s="82"/>
      <c r="H1148" s="86"/>
      <c r="I1148" s="294"/>
      <c r="J1148" s="59"/>
      <c r="K1148" s="83"/>
      <c r="L1148" s="83" t="str">
        <f t="shared" si="46"/>
        <v xml:space="preserve">
</v>
      </c>
      <c r="M1148" s="83"/>
      <c r="N1148" s="59"/>
      <c r="O1148" s="59"/>
      <c r="P1148" s="86">
        <f t="shared" si="47"/>
        <v>0</v>
      </c>
      <c r="Q1148" s="59"/>
      <c r="R1148" s="59"/>
      <c r="S1148" s="59"/>
      <c r="T1148" s="59"/>
      <c r="U1148" s="290"/>
      <c r="V1148" s="290"/>
      <c r="W1148" s="290"/>
      <c r="X1148" s="290"/>
      <c r="Y1148" s="290"/>
      <c r="Z1148" s="290"/>
      <c r="AA1148" s="290"/>
      <c r="AB1148" s="290"/>
      <c r="AC1148" s="290"/>
      <c r="AD1148" s="290"/>
    </row>
    <row r="1149" spans="1:30" ht="25.5">
      <c r="A1149" s="291"/>
      <c r="B1149" s="291"/>
      <c r="C1149" s="291"/>
      <c r="D1149" s="83"/>
      <c r="E1149" s="59"/>
      <c r="F1149" s="82"/>
      <c r="G1149" s="82"/>
      <c r="H1149" s="86"/>
      <c r="I1149" s="294"/>
      <c r="J1149" s="59"/>
      <c r="K1149" s="83"/>
      <c r="L1149" s="83" t="str">
        <f t="shared" si="46"/>
        <v xml:space="preserve">
</v>
      </c>
      <c r="M1149" s="83"/>
      <c r="N1149" s="59"/>
      <c r="O1149" s="59"/>
      <c r="P1149" s="86">
        <f t="shared" si="47"/>
        <v>0</v>
      </c>
      <c r="Q1149" s="59"/>
      <c r="R1149" s="59"/>
      <c r="S1149" s="59"/>
      <c r="T1149" s="59"/>
      <c r="U1149" s="290"/>
      <c r="V1149" s="290"/>
      <c r="W1149" s="290"/>
      <c r="X1149" s="290"/>
      <c r="Y1149" s="290"/>
      <c r="Z1149" s="290"/>
      <c r="AA1149" s="290"/>
      <c r="AB1149" s="290"/>
      <c r="AC1149" s="290"/>
      <c r="AD1149" s="290"/>
    </row>
    <row r="1150" spans="1:30" ht="25.5">
      <c r="A1150" s="291"/>
      <c r="B1150" s="291"/>
      <c r="C1150" s="291"/>
      <c r="D1150" s="83"/>
      <c r="E1150" s="59"/>
      <c r="F1150" s="82"/>
      <c r="G1150" s="82"/>
      <c r="H1150" s="86"/>
      <c r="I1150" s="294"/>
      <c r="J1150" s="59"/>
      <c r="K1150" s="83"/>
      <c r="L1150" s="83" t="str">
        <f t="shared" si="46"/>
        <v xml:space="preserve">
</v>
      </c>
      <c r="M1150" s="83"/>
      <c r="N1150" s="59"/>
      <c r="O1150" s="59"/>
      <c r="P1150" s="86">
        <f t="shared" si="47"/>
        <v>0</v>
      </c>
      <c r="Q1150" s="59"/>
      <c r="R1150" s="59"/>
      <c r="S1150" s="59"/>
      <c r="T1150" s="59"/>
      <c r="U1150" s="290"/>
      <c r="V1150" s="290"/>
      <c r="W1150" s="290"/>
      <c r="X1150" s="290"/>
      <c r="Y1150" s="290"/>
      <c r="Z1150" s="290"/>
      <c r="AA1150" s="290"/>
      <c r="AB1150" s="290"/>
      <c r="AC1150" s="290"/>
      <c r="AD1150" s="290"/>
    </row>
    <row r="1151" spans="1:30" ht="25.5">
      <c r="A1151" s="291"/>
      <c r="B1151" s="291"/>
      <c r="C1151" s="291"/>
      <c r="D1151" s="83"/>
      <c r="E1151" s="59"/>
      <c r="F1151" s="82"/>
      <c r="G1151" s="82"/>
      <c r="H1151" s="86"/>
      <c r="I1151" s="294"/>
      <c r="J1151" s="59"/>
      <c r="K1151" s="83"/>
      <c r="L1151" s="83" t="str">
        <f t="shared" si="46"/>
        <v xml:space="preserve">
</v>
      </c>
      <c r="M1151" s="83"/>
      <c r="N1151" s="59"/>
      <c r="O1151" s="59"/>
      <c r="P1151" s="86">
        <f t="shared" si="47"/>
        <v>0</v>
      </c>
      <c r="Q1151" s="59"/>
      <c r="R1151" s="59"/>
      <c r="S1151" s="59"/>
      <c r="T1151" s="59"/>
      <c r="U1151" s="290"/>
      <c r="V1151" s="290"/>
      <c r="W1151" s="290"/>
      <c r="X1151" s="290"/>
      <c r="Y1151" s="290"/>
      <c r="Z1151" s="290"/>
      <c r="AA1151" s="290"/>
      <c r="AB1151" s="290"/>
      <c r="AC1151" s="290"/>
      <c r="AD1151" s="290"/>
    </row>
    <row r="1152" spans="1:30" ht="25.5">
      <c r="A1152" s="291"/>
      <c r="B1152" s="291"/>
      <c r="C1152" s="291"/>
      <c r="D1152" s="83"/>
      <c r="E1152" s="59"/>
      <c r="F1152" s="82"/>
      <c r="G1152" s="82"/>
      <c r="H1152" s="86"/>
      <c r="I1152" s="294"/>
      <c r="J1152" s="59"/>
      <c r="K1152" s="83"/>
      <c r="L1152" s="83" t="str">
        <f t="shared" si="46"/>
        <v xml:space="preserve">
</v>
      </c>
      <c r="M1152" s="83"/>
      <c r="N1152" s="59"/>
      <c r="O1152" s="59"/>
      <c r="P1152" s="86">
        <f t="shared" si="47"/>
        <v>0</v>
      </c>
      <c r="Q1152" s="59"/>
      <c r="R1152" s="59"/>
      <c r="S1152" s="59"/>
      <c r="T1152" s="59"/>
      <c r="U1152" s="290"/>
      <c r="V1152" s="290"/>
      <c r="W1152" s="290"/>
      <c r="X1152" s="290"/>
      <c r="Y1152" s="290"/>
      <c r="Z1152" s="290"/>
      <c r="AA1152" s="290"/>
      <c r="AB1152" s="290"/>
      <c r="AC1152" s="290"/>
      <c r="AD1152" s="290"/>
    </row>
    <row r="1153" spans="1:30" ht="25.5">
      <c r="A1153" s="291"/>
      <c r="B1153" s="291"/>
      <c r="C1153" s="291"/>
      <c r="D1153" s="83"/>
      <c r="E1153" s="59"/>
      <c r="F1153" s="82"/>
      <c r="G1153" s="82"/>
      <c r="H1153" s="86"/>
      <c r="I1153" s="294"/>
      <c r="J1153" s="59"/>
      <c r="K1153" s="83"/>
      <c r="L1153" s="83" t="str">
        <f t="shared" si="46"/>
        <v xml:space="preserve">
</v>
      </c>
      <c r="M1153" s="83"/>
      <c r="N1153" s="59"/>
      <c r="O1153" s="59"/>
      <c r="P1153" s="86">
        <f t="shared" si="47"/>
        <v>0</v>
      </c>
      <c r="Q1153" s="59"/>
      <c r="R1153" s="59"/>
      <c r="S1153" s="59"/>
      <c r="T1153" s="59"/>
      <c r="U1153" s="290"/>
      <c r="V1153" s="290"/>
      <c r="W1153" s="290"/>
      <c r="X1153" s="290"/>
      <c r="Y1153" s="290"/>
      <c r="Z1153" s="290"/>
      <c r="AA1153" s="290"/>
      <c r="AB1153" s="290"/>
      <c r="AC1153" s="290"/>
      <c r="AD1153" s="290"/>
    </row>
    <row r="1154" spans="1:30" ht="25.5">
      <c r="A1154" s="291"/>
      <c r="B1154" s="291"/>
      <c r="C1154" s="291"/>
      <c r="D1154" s="83"/>
      <c r="E1154" s="59"/>
      <c r="F1154" s="82"/>
      <c r="G1154" s="82"/>
      <c r="H1154" s="86"/>
      <c r="I1154" s="294"/>
      <c r="J1154" s="59"/>
      <c r="K1154" s="83"/>
      <c r="L1154" s="83" t="str">
        <f t="shared" si="46"/>
        <v xml:space="preserve">
</v>
      </c>
      <c r="M1154" s="83"/>
      <c r="N1154" s="59"/>
      <c r="O1154" s="59"/>
      <c r="P1154" s="86">
        <f t="shared" si="47"/>
        <v>0</v>
      </c>
      <c r="Q1154" s="59"/>
      <c r="R1154" s="59"/>
      <c r="S1154" s="59"/>
      <c r="T1154" s="59"/>
      <c r="U1154" s="290"/>
      <c r="V1154" s="290"/>
      <c r="W1154" s="290"/>
      <c r="X1154" s="290"/>
      <c r="Y1154" s="290"/>
      <c r="Z1154" s="290"/>
      <c r="AA1154" s="290"/>
      <c r="AB1154" s="290"/>
      <c r="AC1154" s="290"/>
      <c r="AD1154" s="290"/>
    </row>
    <row r="1155" spans="1:30" ht="25.5">
      <c r="A1155" s="291"/>
      <c r="B1155" s="291"/>
      <c r="C1155" s="291"/>
      <c r="D1155" s="83"/>
      <c r="E1155" s="59"/>
      <c r="F1155" s="82"/>
      <c r="G1155" s="82"/>
      <c r="H1155" s="86"/>
      <c r="I1155" s="294"/>
      <c r="J1155" s="59"/>
      <c r="K1155" s="83"/>
      <c r="L1155" s="83" t="str">
        <f t="shared" si="46"/>
        <v xml:space="preserve">
</v>
      </c>
      <c r="M1155" s="83"/>
      <c r="N1155" s="59"/>
      <c r="O1155" s="59"/>
      <c r="P1155" s="86">
        <f t="shared" si="47"/>
        <v>0</v>
      </c>
      <c r="Q1155" s="59"/>
      <c r="R1155" s="59"/>
      <c r="S1155" s="59"/>
      <c r="T1155" s="59"/>
      <c r="U1155" s="290"/>
      <c r="V1155" s="290"/>
      <c r="W1155" s="290"/>
      <c r="X1155" s="290"/>
      <c r="Y1155" s="290"/>
      <c r="Z1155" s="290"/>
      <c r="AA1155" s="290"/>
      <c r="AB1155" s="290"/>
      <c r="AC1155" s="290"/>
      <c r="AD1155" s="290"/>
    </row>
    <row r="1156" spans="1:30" ht="25.5">
      <c r="A1156" s="291"/>
      <c r="B1156" s="291"/>
      <c r="C1156" s="291"/>
      <c r="D1156" s="83"/>
      <c r="E1156" s="59"/>
      <c r="F1156" s="82"/>
      <c r="G1156" s="82"/>
      <c r="H1156" s="86"/>
      <c r="I1156" s="294"/>
      <c r="J1156" s="59"/>
      <c r="K1156" s="83"/>
      <c r="L1156" s="83" t="str">
        <f t="shared" si="46"/>
        <v xml:space="preserve">
</v>
      </c>
      <c r="M1156" s="83"/>
      <c r="N1156" s="59"/>
      <c r="O1156" s="59"/>
      <c r="P1156" s="86">
        <f t="shared" si="47"/>
        <v>0</v>
      </c>
      <c r="Q1156" s="59"/>
      <c r="R1156" s="59"/>
      <c r="S1156" s="59"/>
      <c r="T1156" s="59"/>
      <c r="U1156" s="290"/>
      <c r="V1156" s="290"/>
      <c r="W1156" s="290"/>
      <c r="X1156" s="290"/>
      <c r="Y1156" s="290"/>
      <c r="Z1156" s="290"/>
      <c r="AA1156" s="290"/>
      <c r="AB1156" s="290"/>
      <c r="AC1156" s="290"/>
      <c r="AD1156" s="290"/>
    </row>
    <row r="1157" spans="1:30" ht="25.5">
      <c r="A1157" s="291"/>
      <c r="B1157" s="291"/>
      <c r="C1157" s="291"/>
      <c r="D1157" s="83"/>
      <c r="E1157" s="59"/>
      <c r="F1157" s="82"/>
      <c r="G1157" s="82"/>
      <c r="H1157" s="86"/>
      <c r="I1157" s="294"/>
      <c r="J1157" s="59"/>
      <c r="K1157" s="83"/>
      <c r="L1157" s="83" t="str">
        <f t="shared" si="46"/>
        <v xml:space="preserve">
</v>
      </c>
      <c r="M1157" s="83"/>
      <c r="N1157" s="59"/>
      <c r="O1157" s="59"/>
      <c r="P1157" s="86">
        <f t="shared" si="47"/>
        <v>0</v>
      </c>
      <c r="Q1157" s="59"/>
      <c r="R1157" s="59"/>
      <c r="S1157" s="59"/>
      <c r="T1157" s="59"/>
      <c r="U1157" s="290"/>
      <c r="V1157" s="290"/>
      <c r="W1157" s="290"/>
      <c r="X1157" s="290"/>
      <c r="Y1157" s="290"/>
      <c r="Z1157" s="290"/>
      <c r="AA1157" s="290"/>
      <c r="AB1157" s="290"/>
      <c r="AC1157" s="290"/>
      <c r="AD1157" s="290"/>
    </row>
    <row r="1158" spans="1:30" ht="25.5">
      <c r="A1158" s="291"/>
      <c r="B1158" s="291"/>
      <c r="C1158" s="291"/>
      <c r="D1158" s="83"/>
      <c r="E1158" s="59"/>
      <c r="F1158" s="82"/>
      <c r="G1158" s="82"/>
      <c r="H1158" s="86"/>
      <c r="I1158" s="294"/>
      <c r="J1158" s="59"/>
      <c r="K1158" s="83"/>
      <c r="L1158" s="83" t="str">
        <f t="shared" si="46"/>
        <v xml:space="preserve">
</v>
      </c>
      <c r="M1158" s="83"/>
      <c r="N1158" s="59"/>
      <c r="O1158" s="59"/>
      <c r="P1158" s="86">
        <f t="shared" si="47"/>
        <v>0</v>
      </c>
      <c r="Q1158" s="59"/>
      <c r="R1158" s="59"/>
      <c r="S1158" s="59"/>
      <c r="T1158" s="59"/>
      <c r="U1158" s="290"/>
      <c r="V1158" s="290"/>
      <c r="W1158" s="290"/>
      <c r="X1158" s="290"/>
      <c r="Y1158" s="290"/>
      <c r="Z1158" s="290"/>
      <c r="AA1158" s="290"/>
      <c r="AB1158" s="290"/>
      <c r="AC1158" s="290"/>
      <c r="AD1158" s="290"/>
    </row>
    <row r="1159" spans="1:30" ht="25.5">
      <c r="A1159" s="291"/>
      <c r="B1159" s="291"/>
      <c r="C1159" s="291"/>
      <c r="D1159" s="83"/>
      <c r="E1159" s="59"/>
      <c r="F1159" s="82"/>
      <c r="G1159" s="82"/>
      <c r="H1159" s="86"/>
      <c r="I1159" s="294"/>
      <c r="J1159" s="59"/>
      <c r="K1159" s="83"/>
      <c r="L1159" s="83" t="str">
        <f t="shared" si="46"/>
        <v xml:space="preserve">
</v>
      </c>
      <c r="M1159" s="83"/>
      <c r="N1159" s="59"/>
      <c r="O1159" s="59"/>
      <c r="P1159" s="86">
        <f t="shared" si="47"/>
        <v>0</v>
      </c>
      <c r="Q1159" s="59"/>
      <c r="R1159" s="59"/>
      <c r="S1159" s="59"/>
      <c r="T1159" s="59"/>
      <c r="U1159" s="290"/>
      <c r="V1159" s="290"/>
      <c r="W1159" s="290"/>
      <c r="X1159" s="290"/>
      <c r="Y1159" s="290"/>
      <c r="Z1159" s="290"/>
      <c r="AA1159" s="290"/>
      <c r="AB1159" s="290"/>
      <c r="AC1159" s="290"/>
      <c r="AD1159" s="290"/>
    </row>
    <row r="1160" spans="1:30" ht="25.5">
      <c r="A1160" s="291"/>
      <c r="B1160" s="291"/>
      <c r="C1160" s="291"/>
      <c r="D1160" s="83"/>
      <c r="E1160" s="59"/>
      <c r="F1160" s="82"/>
      <c r="G1160" s="82"/>
      <c r="H1160" s="86"/>
      <c r="I1160" s="294"/>
      <c r="J1160" s="59"/>
      <c r="K1160" s="83"/>
      <c r="L1160" s="83" t="str">
        <f t="shared" si="46"/>
        <v xml:space="preserve">
</v>
      </c>
      <c r="M1160" s="83"/>
      <c r="N1160" s="59"/>
      <c r="O1160" s="59"/>
      <c r="P1160" s="86">
        <f t="shared" si="47"/>
        <v>0</v>
      </c>
      <c r="Q1160" s="59"/>
      <c r="R1160" s="59"/>
      <c r="S1160" s="59"/>
      <c r="T1160" s="59"/>
      <c r="U1160" s="290"/>
      <c r="V1160" s="290"/>
      <c r="W1160" s="290"/>
      <c r="X1160" s="290"/>
      <c r="Y1160" s="290"/>
      <c r="Z1160" s="290"/>
      <c r="AA1160" s="290"/>
      <c r="AB1160" s="290"/>
      <c r="AC1160" s="290"/>
      <c r="AD1160" s="290"/>
    </row>
    <row r="1161" spans="1:30" ht="25.5">
      <c r="A1161" s="291"/>
      <c r="B1161" s="291"/>
      <c r="C1161" s="291"/>
      <c r="D1161" s="83"/>
      <c r="E1161" s="59"/>
      <c r="F1161" s="82"/>
      <c r="G1161" s="82"/>
      <c r="H1161" s="86"/>
      <c r="I1161" s="294"/>
      <c r="J1161" s="59"/>
      <c r="K1161" s="83"/>
      <c r="L1161" s="83" t="str">
        <f t="shared" si="46"/>
        <v xml:space="preserve">
</v>
      </c>
      <c r="M1161" s="83"/>
      <c r="N1161" s="59"/>
      <c r="O1161" s="59"/>
      <c r="P1161" s="86">
        <f t="shared" si="47"/>
        <v>0</v>
      </c>
      <c r="Q1161" s="59"/>
      <c r="R1161" s="59"/>
      <c r="S1161" s="59"/>
      <c r="T1161" s="59"/>
      <c r="U1161" s="290"/>
      <c r="V1161" s="290"/>
      <c r="W1161" s="290"/>
      <c r="X1161" s="290"/>
      <c r="Y1161" s="290"/>
      <c r="Z1161" s="290"/>
      <c r="AA1161" s="290"/>
      <c r="AB1161" s="290"/>
      <c r="AC1161" s="290"/>
      <c r="AD1161" s="290"/>
    </row>
    <row r="1162" spans="1:30" ht="25.5">
      <c r="A1162" s="291"/>
      <c r="B1162" s="291"/>
      <c r="C1162" s="291"/>
      <c r="D1162" s="83"/>
      <c r="E1162" s="59"/>
      <c r="F1162" s="82"/>
      <c r="G1162" s="82"/>
      <c r="H1162" s="86"/>
      <c r="I1162" s="294"/>
      <c r="J1162" s="59"/>
      <c r="K1162" s="83"/>
      <c r="L1162" s="83" t="str">
        <f t="shared" si="46"/>
        <v xml:space="preserve">
</v>
      </c>
      <c r="M1162" s="83"/>
      <c r="N1162" s="59"/>
      <c r="O1162" s="59"/>
      <c r="P1162" s="86">
        <f t="shared" si="47"/>
        <v>0</v>
      </c>
      <c r="Q1162" s="59"/>
      <c r="R1162" s="59"/>
      <c r="S1162" s="59"/>
      <c r="T1162" s="59"/>
      <c r="U1162" s="290"/>
      <c r="V1162" s="290"/>
      <c r="W1162" s="290"/>
      <c r="X1162" s="290"/>
      <c r="Y1162" s="290"/>
      <c r="Z1162" s="290"/>
      <c r="AA1162" s="290"/>
      <c r="AB1162" s="290"/>
      <c r="AC1162" s="290"/>
      <c r="AD1162" s="290"/>
    </row>
    <row r="1163" spans="1:30" ht="25.5">
      <c r="A1163" s="291"/>
      <c r="B1163" s="291"/>
      <c r="C1163" s="291"/>
      <c r="D1163" s="83"/>
      <c r="E1163" s="59"/>
      <c r="F1163" s="82"/>
      <c r="G1163" s="82"/>
      <c r="H1163" s="86"/>
      <c r="I1163" s="294"/>
      <c r="J1163" s="59"/>
      <c r="K1163" s="83"/>
      <c r="L1163" s="83" t="str">
        <f t="shared" si="46"/>
        <v xml:space="preserve">
</v>
      </c>
      <c r="M1163" s="83"/>
      <c r="N1163" s="59"/>
      <c r="O1163" s="59"/>
      <c r="P1163" s="86">
        <f t="shared" si="47"/>
        <v>0</v>
      </c>
      <c r="Q1163" s="59"/>
      <c r="R1163" s="59"/>
      <c r="S1163" s="59"/>
      <c r="T1163" s="59"/>
      <c r="U1163" s="290"/>
      <c r="V1163" s="290"/>
      <c r="W1163" s="290"/>
      <c r="X1163" s="290"/>
      <c r="Y1163" s="290"/>
      <c r="Z1163" s="290"/>
      <c r="AA1163" s="290"/>
      <c r="AB1163" s="290"/>
      <c r="AC1163" s="290"/>
      <c r="AD1163" s="290"/>
    </row>
    <row r="1164" spans="1:30" ht="25.5">
      <c r="A1164" s="291"/>
      <c r="B1164" s="291"/>
      <c r="C1164" s="291"/>
      <c r="D1164" s="83"/>
      <c r="E1164" s="59"/>
      <c r="F1164" s="82"/>
      <c r="G1164" s="82"/>
      <c r="H1164" s="86"/>
      <c r="I1164" s="294"/>
      <c r="J1164" s="59"/>
      <c r="K1164" s="83"/>
      <c r="L1164" s="83" t="str">
        <f t="shared" si="46"/>
        <v xml:space="preserve">
</v>
      </c>
      <c r="M1164" s="83"/>
      <c r="N1164" s="59"/>
      <c r="O1164" s="59"/>
      <c r="P1164" s="86">
        <f t="shared" si="47"/>
        <v>0</v>
      </c>
      <c r="Q1164" s="59"/>
      <c r="R1164" s="59"/>
      <c r="S1164" s="59"/>
      <c r="T1164" s="59"/>
      <c r="U1164" s="290"/>
      <c r="V1164" s="290"/>
      <c r="W1164" s="290"/>
      <c r="X1164" s="290"/>
      <c r="Y1164" s="290"/>
      <c r="Z1164" s="290"/>
      <c r="AA1164" s="290"/>
      <c r="AB1164" s="290"/>
      <c r="AC1164" s="290"/>
      <c r="AD1164" s="290"/>
    </row>
    <row r="1165" spans="1:30" ht="25.5">
      <c r="A1165" s="291"/>
      <c r="B1165" s="291"/>
      <c r="C1165" s="291"/>
      <c r="D1165" s="83"/>
      <c r="E1165" s="59"/>
      <c r="F1165" s="82"/>
      <c r="G1165" s="82"/>
      <c r="H1165" s="86"/>
      <c r="I1165" s="294"/>
      <c r="J1165" s="59"/>
      <c r="K1165" s="83"/>
      <c r="L1165" s="83" t="str">
        <f t="shared" si="46"/>
        <v xml:space="preserve">
</v>
      </c>
      <c r="M1165" s="83"/>
      <c r="N1165" s="59"/>
      <c r="O1165" s="59"/>
      <c r="P1165" s="86">
        <f t="shared" si="47"/>
        <v>0</v>
      </c>
      <c r="Q1165" s="59"/>
      <c r="R1165" s="59"/>
      <c r="S1165" s="59"/>
      <c r="T1165" s="59"/>
      <c r="U1165" s="290"/>
      <c r="V1165" s="290"/>
      <c r="W1165" s="290"/>
      <c r="X1165" s="290"/>
      <c r="Y1165" s="290"/>
      <c r="Z1165" s="290"/>
      <c r="AA1165" s="290"/>
      <c r="AB1165" s="290"/>
      <c r="AC1165" s="290"/>
      <c r="AD1165" s="290"/>
    </row>
    <row r="1166" spans="1:30" ht="25.5">
      <c r="A1166" s="291"/>
      <c r="B1166" s="291"/>
      <c r="C1166" s="291"/>
      <c r="D1166" s="83"/>
      <c r="E1166" s="59"/>
      <c r="F1166" s="82"/>
      <c r="G1166" s="82"/>
      <c r="H1166" s="86"/>
      <c r="I1166" s="294"/>
      <c r="J1166" s="59"/>
      <c r="K1166" s="83"/>
      <c r="L1166" s="83" t="str">
        <f t="shared" si="46"/>
        <v xml:space="preserve">
</v>
      </c>
      <c r="M1166" s="83"/>
      <c r="N1166" s="59"/>
      <c r="O1166" s="59"/>
      <c r="P1166" s="86">
        <f t="shared" si="47"/>
        <v>0</v>
      </c>
      <c r="Q1166" s="59"/>
      <c r="R1166" s="59"/>
      <c r="S1166" s="59"/>
      <c r="T1166" s="59"/>
      <c r="U1166" s="290"/>
      <c r="V1166" s="290"/>
      <c r="W1166" s="290"/>
      <c r="X1166" s="290"/>
      <c r="Y1166" s="290"/>
      <c r="Z1166" s="290"/>
      <c r="AA1166" s="290"/>
      <c r="AB1166" s="290"/>
      <c r="AC1166" s="290"/>
      <c r="AD1166" s="290"/>
    </row>
    <row r="1167" spans="1:30" ht="25.5">
      <c r="A1167" s="291"/>
      <c r="B1167" s="291"/>
      <c r="C1167" s="291"/>
      <c r="D1167" s="83"/>
      <c r="E1167" s="59"/>
      <c r="F1167" s="82"/>
      <c r="G1167" s="82"/>
      <c r="H1167" s="86"/>
      <c r="I1167" s="294"/>
      <c r="J1167" s="59"/>
      <c r="K1167" s="83"/>
      <c r="L1167" s="83" t="str">
        <f t="shared" si="46"/>
        <v xml:space="preserve">
</v>
      </c>
      <c r="M1167" s="83"/>
      <c r="N1167" s="59"/>
      <c r="O1167" s="59"/>
      <c r="P1167" s="86">
        <f t="shared" si="47"/>
        <v>0</v>
      </c>
      <c r="Q1167" s="59"/>
      <c r="R1167" s="59"/>
      <c r="S1167" s="59"/>
      <c r="T1167" s="59"/>
      <c r="U1167" s="290"/>
      <c r="V1167" s="290"/>
      <c r="W1167" s="290"/>
      <c r="X1167" s="290"/>
      <c r="Y1167" s="290"/>
      <c r="Z1167" s="290"/>
      <c r="AA1167" s="290"/>
      <c r="AB1167" s="290"/>
      <c r="AC1167" s="290"/>
      <c r="AD1167" s="290"/>
    </row>
    <row r="1168" spans="1:30" ht="25.5">
      <c r="A1168" s="291"/>
      <c r="B1168" s="291"/>
      <c r="C1168" s="291"/>
      <c r="D1168" s="83"/>
      <c r="E1168" s="59"/>
      <c r="F1168" s="82"/>
      <c r="G1168" s="82"/>
      <c r="H1168" s="86"/>
      <c r="I1168" s="294"/>
      <c r="J1168" s="59"/>
      <c r="K1168" s="83"/>
      <c r="L1168" s="83" t="str">
        <f t="shared" si="46"/>
        <v xml:space="preserve">
</v>
      </c>
      <c r="M1168" s="83"/>
      <c r="N1168" s="59"/>
      <c r="O1168" s="59"/>
      <c r="P1168" s="86">
        <f t="shared" si="47"/>
        <v>0</v>
      </c>
      <c r="Q1168" s="59"/>
      <c r="R1168" s="59"/>
      <c r="S1168" s="59"/>
      <c r="T1168" s="59"/>
      <c r="U1168" s="290"/>
      <c r="V1168" s="290"/>
      <c r="W1168" s="290"/>
      <c r="X1168" s="290"/>
      <c r="Y1168" s="290"/>
      <c r="Z1168" s="290"/>
      <c r="AA1168" s="290"/>
      <c r="AB1168" s="290"/>
      <c r="AC1168" s="290"/>
      <c r="AD1168" s="290"/>
    </row>
    <row r="1169" spans="1:30" ht="25.5">
      <c r="A1169" s="291"/>
      <c r="B1169" s="291"/>
      <c r="C1169" s="291"/>
      <c r="D1169" s="83"/>
      <c r="E1169" s="59"/>
      <c r="F1169" s="82"/>
      <c r="G1169" s="82"/>
      <c r="H1169" s="86"/>
      <c r="I1169" s="294"/>
      <c r="J1169" s="59"/>
      <c r="K1169" s="83"/>
      <c r="L1169" s="83" t="str">
        <f t="shared" si="46"/>
        <v xml:space="preserve">
</v>
      </c>
      <c r="M1169" s="83"/>
      <c r="N1169" s="59"/>
      <c r="O1169" s="59"/>
      <c r="P1169" s="86">
        <f t="shared" si="47"/>
        <v>0</v>
      </c>
      <c r="Q1169" s="59"/>
      <c r="R1169" s="59"/>
      <c r="S1169" s="59"/>
      <c r="T1169" s="59"/>
      <c r="U1169" s="290"/>
      <c r="V1169" s="290"/>
      <c r="W1169" s="290"/>
      <c r="X1169" s="290"/>
      <c r="Y1169" s="290"/>
      <c r="Z1169" s="290"/>
      <c r="AA1169" s="290"/>
      <c r="AB1169" s="290"/>
      <c r="AC1169" s="290"/>
      <c r="AD1169" s="290"/>
    </row>
    <row r="1170" spans="1:30" ht="25.5">
      <c r="A1170" s="291"/>
      <c r="B1170" s="291"/>
      <c r="C1170" s="291"/>
      <c r="D1170" s="83"/>
      <c r="E1170" s="59"/>
      <c r="F1170" s="82"/>
      <c r="G1170" s="82"/>
      <c r="H1170" s="86"/>
      <c r="I1170" s="294"/>
      <c r="J1170" s="59"/>
      <c r="K1170" s="83"/>
      <c r="L1170" s="83" t="str">
        <f t="shared" si="46"/>
        <v xml:space="preserve">
</v>
      </c>
      <c r="M1170" s="83"/>
      <c r="N1170" s="59"/>
      <c r="O1170" s="59"/>
      <c r="P1170" s="86">
        <f t="shared" si="47"/>
        <v>0</v>
      </c>
      <c r="Q1170" s="59"/>
      <c r="R1170" s="59"/>
      <c r="S1170" s="59"/>
      <c r="T1170" s="59"/>
      <c r="U1170" s="290"/>
      <c r="V1170" s="290"/>
      <c r="W1170" s="290"/>
      <c r="X1170" s="290"/>
      <c r="Y1170" s="290"/>
      <c r="Z1170" s="290"/>
      <c r="AA1170" s="290"/>
      <c r="AB1170" s="290"/>
      <c r="AC1170" s="290"/>
      <c r="AD1170" s="290"/>
    </row>
    <row r="1171" spans="1:30" ht="25.5">
      <c r="A1171" s="291"/>
      <c r="B1171" s="291"/>
      <c r="C1171" s="291"/>
      <c r="D1171" s="83"/>
      <c r="E1171" s="59"/>
      <c r="F1171" s="82"/>
      <c r="G1171" s="82"/>
      <c r="H1171" s="86"/>
      <c r="I1171" s="294"/>
      <c r="J1171" s="59"/>
      <c r="K1171" s="83"/>
      <c r="L1171" s="83" t="str">
        <f t="shared" si="46"/>
        <v xml:space="preserve">
</v>
      </c>
      <c r="M1171" s="83"/>
      <c r="N1171" s="59"/>
      <c r="O1171" s="59"/>
      <c r="P1171" s="86">
        <f t="shared" si="47"/>
        <v>0</v>
      </c>
      <c r="Q1171" s="59"/>
      <c r="R1171" s="59"/>
      <c r="S1171" s="59"/>
      <c r="T1171" s="59"/>
      <c r="U1171" s="290"/>
      <c r="V1171" s="290"/>
      <c r="W1171" s="290"/>
      <c r="X1171" s="290"/>
      <c r="Y1171" s="290"/>
      <c r="Z1171" s="290"/>
      <c r="AA1171" s="290"/>
      <c r="AB1171" s="290"/>
      <c r="AC1171" s="290"/>
      <c r="AD1171" s="290"/>
    </row>
    <row r="1172" spans="1:30" ht="25.5">
      <c r="A1172" s="291"/>
      <c r="B1172" s="291"/>
      <c r="C1172" s="291"/>
      <c r="D1172" s="83"/>
      <c r="E1172" s="59"/>
      <c r="F1172" s="82"/>
      <c r="G1172" s="82"/>
      <c r="H1172" s="86"/>
      <c r="I1172" s="294"/>
      <c r="J1172" s="59"/>
      <c r="K1172" s="83"/>
      <c r="L1172" s="83" t="str">
        <f t="shared" si="46"/>
        <v xml:space="preserve">
</v>
      </c>
      <c r="M1172" s="83"/>
      <c r="N1172" s="59"/>
      <c r="O1172" s="59"/>
      <c r="P1172" s="86">
        <f t="shared" si="47"/>
        <v>0</v>
      </c>
      <c r="Q1172" s="59"/>
      <c r="R1172" s="59"/>
      <c r="S1172" s="59"/>
      <c r="T1172" s="59"/>
      <c r="U1172" s="290"/>
      <c r="V1172" s="290"/>
      <c r="W1172" s="290"/>
      <c r="X1172" s="290"/>
      <c r="Y1172" s="290"/>
      <c r="Z1172" s="290"/>
      <c r="AA1172" s="290"/>
      <c r="AB1172" s="290"/>
      <c r="AC1172" s="290"/>
      <c r="AD1172" s="290"/>
    </row>
    <row r="1173" spans="1:30" ht="25.5">
      <c r="A1173" s="291"/>
      <c r="B1173" s="291"/>
      <c r="C1173" s="291"/>
      <c r="D1173" s="83"/>
      <c r="E1173" s="59"/>
      <c r="F1173" s="82"/>
      <c r="G1173" s="82"/>
      <c r="H1173" s="86"/>
      <c r="I1173" s="294"/>
      <c r="J1173" s="59"/>
      <c r="K1173" s="83"/>
      <c r="L1173" s="83" t="str">
        <f t="shared" si="46"/>
        <v xml:space="preserve">
</v>
      </c>
      <c r="M1173" s="83"/>
      <c r="N1173" s="59"/>
      <c r="O1173" s="59"/>
      <c r="P1173" s="86">
        <f t="shared" si="47"/>
        <v>0</v>
      </c>
      <c r="Q1173" s="59"/>
      <c r="R1173" s="59"/>
      <c r="S1173" s="59"/>
      <c r="T1173" s="59"/>
      <c r="U1173" s="290"/>
      <c r="V1173" s="290"/>
      <c r="W1173" s="290"/>
      <c r="X1173" s="290"/>
      <c r="Y1173" s="290"/>
      <c r="Z1173" s="290"/>
      <c r="AA1173" s="290"/>
      <c r="AB1173" s="290"/>
      <c r="AC1173" s="290"/>
      <c r="AD1173" s="290"/>
    </row>
    <row r="1174" spans="1:30" ht="25.5">
      <c r="A1174" s="291"/>
      <c r="B1174" s="291"/>
      <c r="C1174" s="291"/>
      <c r="D1174" s="83"/>
      <c r="E1174" s="59"/>
      <c r="F1174" s="82"/>
      <c r="G1174" s="82"/>
      <c r="H1174" s="86"/>
      <c r="I1174" s="294"/>
      <c r="J1174" s="59"/>
      <c r="K1174" s="83"/>
      <c r="L1174" s="83" t="str">
        <f t="shared" si="46"/>
        <v xml:space="preserve">
</v>
      </c>
      <c r="M1174" s="83"/>
      <c r="N1174" s="59"/>
      <c r="O1174" s="59"/>
      <c r="P1174" s="86">
        <f t="shared" si="47"/>
        <v>0</v>
      </c>
      <c r="Q1174" s="59"/>
      <c r="R1174" s="59"/>
      <c r="S1174" s="59"/>
      <c r="T1174" s="59"/>
      <c r="U1174" s="290"/>
      <c r="V1174" s="290"/>
      <c r="W1174" s="290"/>
      <c r="X1174" s="290"/>
      <c r="Y1174" s="290"/>
      <c r="Z1174" s="290"/>
      <c r="AA1174" s="290"/>
      <c r="AB1174" s="290"/>
      <c r="AC1174" s="290"/>
      <c r="AD1174" s="290"/>
    </row>
    <row r="1175" spans="1:30" ht="25.5">
      <c r="A1175" s="291"/>
      <c r="B1175" s="291"/>
      <c r="C1175" s="291"/>
      <c r="D1175" s="83"/>
      <c r="E1175" s="59"/>
      <c r="F1175" s="82"/>
      <c r="G1175" s="82"/>
      <c r="H1175" s="86"/>
      <c r="I1175" s="294"/>
      <c r="J1175" s="59"/>
      <c r="K1175" s="83"/>
      <c r="L1175" s="83" t="str">
        <f t="shared" si="46"/>
        <v xml:space="preserve">
</v>
      </c>
      <c r="M1175" s="83"/>
      <c r="N1175" s="59"/>
      <c r="O1175" s="59"/>
      <c r="P1175" s="86">
        <f t="shared" si="47"/>
        <v>0</v>
      </c>
      <c r="Q1175" s="59"/>
      <c r="R1175" s="59"/>
      <c r="S1175" s="59"/>
      <c r="T1175" s="59"/>
      <c r="U1175" s="290"/>
      <c r="V1175" s="290"/>
      <c r="W1175" s="290"/>
      <c r="X1175" s="290"/>
      <c r="Y1175" s="290"/>
      <c r="Z1175" s="290"/>
      <c r="AA1175" s="290"/>
      <c r="AB1175" s="290"/>
      <c r="AC1175" s="290"/>
      <c r="AD1175" s="290"/>
    </row>
    <row r="1176" spans="1:30" ht="25.5">
      <c r="A1176" s="291"/>
      <c r="B1176" s="291"/>
      <c r="C1176" s="291"/>
      <c r="D1176" s="83"/>
      <c r="E1176" s="59"/>
      <c r="F1176" s="82"/>
      <c r="G1176" s="82"/>
      <c r="H1176" s="86"/>
      <c r="I1176" s="294"/>
      <c r="J1176" s="59"/>
      <c r="K1176" s="83"/>
      <c r="L1176" s="83" t="str">
        <f t="shared" si="46"/>
        <v xml:space="preserve">
</v>
      </c>
      <c r="M1176" s="83"/>
      <c r="N1176" s="59"/>
      <c r="O1176" s="59"/>
      <c r="P1176" s="86">
        <f t="shared" si="47"/>
        <v>0</v>
      </c>
      <c r="Q1176" s="59"/>
      <c r="R1176" s="59"/>
      <c r="S1176" s="59"/>
      <c r="T1176" s="59"/>
      <c r="U1176" s="290"/>
      <c r="V1176" s="290"/>
      <c r="W1176" s="290"/>
      <c r="X1176" s="290"/>
      <c r="Y1176" s="290"/>
      <c r="Z1176" s="290"/>
      <c r="AA1176" s="290"/>
      <c r="AB1176" s="290"/>
      <c r="AC1176" s="290"/>
      <c r="AD1176" s="290"/>
    </row>
    <row r="1177" spans="1:30" ht="25.5">
      <c r="A1177" s="291"/>
      <c r="B1177" s="291"/>
      <c r="C1177" s="291"/>
      <c r="D1177" s="83"/>
      <c r="E1177" s="59"/>
      <c r="F1177" s="82"/>
      <c r="G1177" s="82"/>
      <c r="H1177" s="86"/>
      <c r="I1177" s="294"/>
      <c r="J1177" s="59"/>
      <c r="K1177" s="83"/>
      <c r="L1177" s="83" t="str">
        <f t="shared" si="46"/>
        <v xml:space="preserve">
</v>
      </c>
      <c r="M1177" s="83"/>
      <c r="N1177" s="59"/>
      <c r="O1177" s="59"/>
      <c r="P1177" s="86">
        <f t="shared" si="47"/>
        <v>0</v>
      </c>
      <c r="Q1177" s="59"/>
      <c r="R1177" s="59"/>
      <c r="S1177" s="59"/>
      <c r="T1177" s="59"/>
      <c r="U1177" s="290"/>
      <c r="V1177" s="290"/>
      <c r="W1177" s="290"/>
      <c r="X1177" s="290"/>
      <c r="Y1177" s="290"/>
      <c r="Z1177" s="290"/>
      <c r="AA1177" s="290"/>
      <c r="AB1177" s="290"/>
      <c r="AC1177" s="290"/>
      <c r="AD1177" s="290"/>
    </row>
    <row r="1178" spans="1:30" ht="25.5">
      <c r="A1178" s="291"/>
      <c r="B1178" s="291"/>
      <c r="C1178" s="291"/>
      <c r="D1178" s="83"/>
      <c r="E1178" s="59"/>
      <c r="F1178" s="82"/>
      <c r="G1178" s="82"/>
      <c r="H1178" s="86"/>
      <c r="I1178" s="294"/>
      <c r="J1178" s="59"/>
      <c r="K1178" s="83"/>
      <c r="L1178" s="83" t="str">
        <f t="shared" si="46"/>
        <v xml:space="preserve">
</v>
      </c>
      <c r="M1178" s="83"/>
      <c r="N1178" s="59"/>
      <c r="O1178" s="59"/>
      <c r="P1178" s="86">
        <f t="shared" si="47"/>
        <v>0</v>
      </c>
      <c r="Q1178" s="59"/>
      <c r="R1178" s="59"/>
      <c r="S1178" s="59"/>
      <c r="T1178" s="59"/>
      <c r="U1178" s="290"/>
      <c r="V1178" s="290"/>
      <c r="W1178" s="290"/>
      <c r="X1178" s="290"/>
      <c r="Y1178" s="290"/>
      <c r="Z1178" s="290"/>
      <c r="AA1178" s="290"/>
      <c r="AB1178" s="290"/>
      <c r="AC1178" s="290"/>
      <c r="AD1178" s="290"/>
    </row>
    <row r="1179" spans="1:30" ht="25.5">
      <c r="A1179" s="291"/>
      <c r="B1179" s="291"/>
      <c r="C1179" s="291"/>
      <c r="D1179" s="83"/>
      <c r="E1179" s="59"/>
      <c r="F1179" s="82"/>
      <c r="G1179" s="82"/>
      <c r="H1179" s="86"/>
      <c r="I1179" s="294"/>
      <c r="J1179" s="59"/>
      <c r="K1179" s="83"/>
      <c r="L1179" s="83" t="str">
        <f t="shared" si="46"/>
        <v xml:space="preserve">
</v>
      </c>
      <c r="M1179" s="83"/>
      <c r="N1179" s="59"/>
      <c r="O1179" s="59"/>
      <c r="P1179" s="86">
        <f t="shared" si="47"/>
        <v>0</v>
      </c>
      <c r="Q1179" s="59"/>
      <c r="R1179" s="59"/>
      <c r="S1179" s="59"/>
      <c r="T1179" s="59"/>
      <c r="U1179" s="290"/>
      <c r="V1179" s="290"/>
      <c r="W1179" s="290"/>
      <c r="X1179" s="290"/>
      <c r="Y1179" s="290"/>
      <c r="Z1179" s="290"/>
      <c r="AA1179" s="290"/>
      <c r="AB1179" s="290"/>
      <c r="AC1179" s="290"/>
      <c r="AD1179" s="290"/>
    </row>
    <row r="1180" spans="1:30" ht="25.5">
      <c r="A1180" s="291"/>
      <c r="B1180" s="291"/>
      <c r="C1180" s="291"/>
      <c r="D1180" s="83"/>
      <c r="E1180" s="59"/>
      <c r="F1180" s="82"/>
      <c r="G1180" s="82"/>
      <c r="H1180" s="86"/>
      <c r="I1180" s="294"/>
      <c r="J1180" s="59"/>
      <c r="K1180" s="83"/>
      <c r="L1180" s="83" t="str">
        <f t="shared" si="46"/>
        <v xml:space="preserve">
</v>
      </c>
      <c r="M1180" s="83"/>
      <c r="N1180" s="59"/>
      <c r="O1180" s="59"/>
      <c r="P1180" s="86">
        <f t="shared" si="47"/>
        <v>0</v>
      </c>
      <c r="Q1180" s="59"/>
      <c r="R1180" s="59"/>
      <c r="S1180" s="59"/>
      <c r="T1180" s="59"/>
      <c r="U1180" s="290"/>
      <c r="V1180" s="290"/>
      <c r="W1180" s="290"/>
      <c r="X1180" s="290"/>
      <c r="Y1180" s="290"/>
      <c r="Z1180" s="290"/>
      <c r="AA1180" s="290"/>
      <c r="AB1180" s="290"/>
      <c r="AC1180" s="290"/>
      <c r="AD1180" s="290"/>
    </row>
    <row r="1181" spans="1:30" ht="25.5">
      <c r="A1181" s="291"/>
      <c r="B1181" s="291"/>
      <c r="C1181" s="291"/>
      <c r="D1181" s="83"/>
      <c r="E1181" s="59"/>
      <c r="F1181" s="82"/>
      <c r="G1181" s="82"/>
      <c r="H1181" s="86"/>
      <c r="I1181" s="294"/>
      <c r="J1181" s="59"/>
      <c r="K1181" s="83"/>
      <c r="L1181" s="83" t="str">
        <f t="shared" si="46"/>
        <v xml:space="preserve">
</v>
      </c>
      <c r="M1181" s="83"/>
      <c r="N1181" s="59"/>
      <c r="O1181" s="59"/>
      <c r="P1181" s="86">
        <f t="shared" si="47"/>
        <v>0</v>
      </c>
      <c r="Q1181" s="59"/>
      <c r="R1181" s="59"/>
      <c r="S1181" s="59"/>
      <c r="T1181" s="59"/>
      <c r="U1181" s="290"/>
      <c r="V1181" s="290"/>
      <c r="W1181" s="290"/>
      <c r="X1181" s="290"/>
      <c r="Y1181" s="290"/>
      <c r="Z1181" s="290"/>
      <c r="AA1181" s="290"/>
      <c r="AB1181" s="290"/>
      <c r="AC1181" s="290"/>
      <c r="AD1181" s="290"/>
    </row>
    <row r="1182" spans="1:30" ht="25.5">
      <c r="A1182" s="291"/>
      <c r="B1182" s="291"/>
      <c r="C1182" s="291"/>
      <c r="D1182" s="83"/>
      <c r="E1182" s="59"/>
      <c r="F1182" s="82"/>
      <c r="G1182" s="82"/>
      <c r="H1182" s="86"/>
      <c r="I1182" s="294"/>
      <c r="J1182" s="59"/>
      <c r="K1182" s="83"/>
      <c r="L1182" s="83" t="str">
        <f t="shared" si="46"/>
        <v xml:space="preserve">
</v>
      </c>
      <c r="M1182" s="83"/>
      <c r="N1182" s="59"/>
      <c r="O1182" s="59"/>
      <c r="P1182" s="86">
        <f t="shared" si="47"/>
        <v>0</v>
      </c>
      <c r="Q1182" s="59"/>
      <c r="R1182" s="59"/>
      <c r="S1182" s="59"/>
      <c r="T1182" s="59"/>
      <c r="U1182" s="290"/>
      <c r="V1182" s="290"/>
      <c r="W1182" s="290"/>
      <c r="X1182" s="290"/>
      <c r="Y1182" s="290"/>
      <c r="Z1182" s="290"/>
      <c r="AA1182" s="290"/>
      <c r="AB1182" s="290"/>
      <c r="AC1182" s="290"/>
      <c r="AD1182" s="290"/>
    </row>
    <row r="1183" spans="1:30" ht="25.5">
      <c r="A1183" s="291"/>
      <c r="B1183" s="291"/>
      <c r="C1183" s="291"/>
      <c r="D1183" s="83"/>
      <c r="E1183" s="59"/>
      <c r="F1183" s="82"/>
      <c r="G1183" s="82"/>
      <c r="H1183" s="86"/>
      <c r="I1183" s="294"/>
      <c r="J1183" s="59"/>
      <c r="K1183" s="83"/>
      <c r="L1183" s="83" t="str">
        <f t="shared" si="46"/>
        <v xml:space="preserve">
</v>
      </c>
      <c r="M1183" s="83"/>
      <c r="N1183" s="59"/>
      <c r="O1183" s="59"/>
      <c r="P1183" s="86">
        <f t="shared" si="47"/>
        <v>0</v>
      </c>
      <c r="Q1183" s="59"/>
      <c r="R1183" s="59"/>
      <c r="S1183" s="59"/>
      <c r="T1183" s="59"/>
      <c r="U1183" s="290"/>
      <c r="V1183" s="290"/>
      <c r="W1183" s="290"/>
      <c r="X1183" s="290"/>
      <c r="Y1183" s="290"/>
      <c r="Z1183" s="290"/>
      <c r="AA1183" s="290"/>
      <c r="AB1183" s="290"/>
      <c r="AC1183" s="290"/>
      <c r="AD1183" s="290"/>
    </row>
    <row r="1184" spans="1:30" ht="25.5">
      <c r="A1184" s="291"/>
      <c r="B1184" s="291"/>
      <c r="C1184" s="291"/>
      <c r="D1184" s="83"/>
      <c r="E1184" s="59"/>
      <c r="F1184" s="82"/>
      <c r="G1184" s="82"/>
      <c r="H1184" s="86"/>
      <c r="I1184" s="294"/>
      <c r="J1184" s="59"/>
      <c r="K1184" s="83"/>
      <c r="L1184" s="83" t="str">
        <f t="shared" si="46"/>
        <v xml:space="preserve">
</v>
      </c>
      <c r="M1184" s="83"/>
      <c r="N1184" s="59"/>
      <c r="O1184" s="59"/>
      <c r="P1184" s="86">
        <f t="shared" si="47"/>
        <v>0</v>
      </c>
      <c r="Q1184" s="59"/>
      <c r="R1184" s="59"/>
      <c r="S1184" s="59"/>
      <c r="T1184" s="59"/>
      <c r="U1184" s="290"/>
      <c r="V1184" s="290"/>
      <c r="W1184" s="290"/>
      <c r="X1184" s="290"/>
      <c r="Y1184" s="290"/>
      <c r="Z1184" s="290"/>
      <c r="AA1184" s="290"/>
      <c r="AB1184" s="290"/>
      <c r="AC1184" s="290"/>
      <c r="AD1184" s="290"/>
    </row>
    <row r="1185" spans="1:30" ht="25.5">
      <c r="A1185" s="291"/>
      <c r="B1185" s="291"/>
      <c r="C1185" s="291"/>
      <c r="D1185" s="83"/>
      <c r="E1185" s="59"/>
      <c r="F1185" s="82"/>
      <c r="G1185" s="82"/>
      <c r="H1185" s="86"/>
      <c r="I1185" s="294"/>
      <c r="J1185" s="59"/>
      <c r="K1185" s="83"/>
      <c r="L1185" s="83" t="str">
        <f t="shared" si="46"/>
        <v xml:space="preserve">
</v>
      </c>
      <c r="M1185" s="83"/>
      <c r="N1185" s="59"/>
      <c r="O1185" s="59"/>
      <c r="P1185" s="86">
        <f t="shared" si="47"/>
        <v>0</v>
      </c>
      <c r="Q1185" s="59"/>
      <c r="R1185" s="59"/>
      <c r="S1185" s="59"/>
      <c r="T1185" s="59"/>
      <c r="U1185" s="290"/>
      <c r="V1185" s="290"/>
      <c r="W1185" s="290"/>
      <c r="X1185" s="290"/>
      <c r="Y1185" s="290"/>
      <c r="Z1185" s="290"/>
      <c r="AA1185" s="290"/>
      <c r="AB1185" s="290"/>
      <c r="AC1185" s="290"/>
      <c r="AD1185" s="290"/>
    </row>
    <row r="1186" spans="1:30" ht="25.5">
      <c r="A1186" s="291"/>
      <c r="B1186" s="291"/>
      <c r="C1186" s="291"/>
      <c r="D1186" s="83"/>
      <c r="E1186" s="59"/>
      <c r="F1186" s="82"/>
      <c r="G1186" s="82"/>
      <c r="H1186" s="86"/>
      <c r="I1186" s="294"/>
      <c r="J1186" s="59"/>
      <c r="K1186" s="83"/>
      <c r="L1186" s="83" t="str">
        <f t="shared" si="46"/>
        <v xml:space="preserve">
</v>
      </c>
      <c r="M1186" s="83"/>
      <c r="N1186" s="59"/>
      <c r="O1186" s="59"/>
      <c r="P1186" s="86">
        <f t="shared" si="47"/>
        <v>0</v>
      </c>
      <c r="Q1186" s="59"/>
      <c r="R1186" s="59"/>
      <c r="S1186" s="59"/>
      <c r="T1186" s="59"/>
      <c r="U1186" s="290"/>
      <c r="V1186" s="290"/>
      <c r="W1186" s="290"/>
      <c r="X1186" s="290"/>
      <c r="Y1186" s="290"/>
      <c r="Z1186" s="290"/>
      <c r="AA1186" s="290"/>
      <c r="AB1186" s="290"/>
      <c r="AC1186" s="290"/>
      <c r="AD1186" s="290"/>
    </row>
    <row r="1187" spans="1:30" ht="25.5">
      <c r="A1187" s="291"/>
      <c r="B1187" s="291"/>
      <c r="C1187" s="291"/>
      <c r="D1187" s="83"/>
      <c r="E1187" s="59"/>
      <c r="F1187" s="82"/>
      <c r="G1187" s="82"/>
      <c r="H1187" s="86"/>
      <c r="I1187" s="294"/>
      <c r="J1187" s="59"/>
      <c r="K1187" s="83"/>
      <c r="L1187" s="83" t="str">
        <f t="shared" si="46"/>
        <v xml:space="preserve">
</v>
      </c>
      <c r="M1187" s="83"/>
      <c r="N1187" s="59"/>
      <c r="O1187" s="59"/>
      <c r="P1187" s="86">
        <f t="shared" si="47"/>
        <v>0</v>
      </c>
      <c r="Q1187" s="59"/>
      <c r="R1187" s="59"/>
      <c r="S1187" s="59"/>
      <c r="T1187" s="59"/>
      <c r="U1187" s="290"/>
      <c r="V1187" s="290"/>
      <c r="W1187" s="290"/>
      <c r="X1187" s="290"/>
      <c r="Y1187" s="290"/>
      <c r="Z1187" s="290"/>
      <c r="AA1187" s="290"/>
      <c r="AB1187" s="290"/>
      <c r="AC1187" s="290"/>
      <c r="AD1187" s="290"/>
    </row>
    <row r="1188" spans="1:30" ht="25.5">
      <c r="A1188" s="291"/>
      <c r="B1188" s="291"/>
      <c r="C1188" s="291"/>
      <c r="D1188" s="83"/>
      <c r="E1188" s="59"/>
      <c r="F1188" s="82"/>
      <c r="G1188" s="82"/>
      <c r="H1188" s="86"/>
      <c r="I1188" s="294"/>
      <c r="J1188" s="59"/>
      <c r="K1188" s="83"/>
      <c r="L1188" s="83" t="str">
        <f t="shared" si="46"/>
        <v xml:space="preserve">
</v>
      </c>
      <c r="M1188" s="83"/>
      <c r="N1188" s="59"/>
      <c r="O1188" s="59"/>
      <c r="P1188" s="86">
        <f t="shared" si="47"/>
        <v>0</v>
      </c>
      <c r="Q1188" s="59"/>
      <c r="R1188" s="59"/>
      <c r="S1188" s="59"/>
      <c r="T1188" s="59"/>
      <c r="U1188" s="290"/>
      <c r="V1188" s="290"/>
      <c r="W1188" s="290"/>
      <c r="X1188" s="290"/>
      <c r="Y1188" s="290"/>
      <c r="Z1188" s="290"/>
      <c r="AA1188" s="290"/>
      <c r="AB1188" s="290"/>
      <c r="AC1188" s="290"/>
      <c r="AD1188" s="290"/>
    </row>
    <row r="1189" spans="1:30" ht="25.5">
      <c r="A1189" s="291"/>
      <c r="B1189" s="291"/>
      <c r="C1189" s="291"/>
      <c r="D1189" s="83"/>
      <c r="E1189" s="59"/>
      <c r="F1189" s="82"/>
      <c r="G1189" s="82"/>
      <c r="H1189" s="86"/>
      <c r="I1189" s="294"/>
      <c r="J1189" s="59"/>
      <c r="K1189" s="83"/>
      <c r="L1189" s="83" t="str">
        <f t="shared" si="46"/>
        <v xml:space="preserve">
</v>
      </c>
      <c r="M1189" s="83"/>
      <c r="N1189" s="59"/>
      <c r="O1189" s="59"/>
      <c r="P1189" s="86">
        <f t="shared" si="47"/>
        <v>0</v>
      </c>
      <c r="Q1189" s="59"/>
      <c r="R1189" s="59"/>
      <c r="S1189" s="59"/>
      <c r="T1189" s="59"/>
      <c r="U1189" s="290"/>
      <c r="V1189" s="290"/>
      <c r="W1189" s="290"/>
      <c r="X1189" s="290"/>
      <c r="Y1189" s="290"/>
      <c r="Z1189" s="290"/>
      <c r="AA1189" s="290"/>
      <c r="AB1189" s="290"/>
      <c r="AC1189" s="290"/>
      <c r="AD1189" s="290"/>
    </row>
    <row r="1190" spans="1:30" ht="25.5">
      <c r="A1190" s="291"/>
      <c r="B1190" s="291"/>
      <c r="C1190" s="291"/>
      <c r="D1190" s="83"/>
      <c r="E1190" s="59"/>
      <c r="F1190" s="82"/>
      <c r="G1190" s="82"/>
      <c r="H1190" s="86"/>
      <c r="I1190" s="294"/>
      <c r="J1190" s="59"/>
      <c r="K1190" s="83"/>
      <c r="L1190" s="83" t="str">
        <f t="shared" si="46"/>
        <v xml:space="preserve">
</v>
      </c>
      <c r="M1190" s="83"/>
      <c r="N1190" s="59"/>
      <c r="O1190" s="59"/>
      <c r="P1190" s="86">
        <f t="shared" si="47"/>
        <v>0</v>
      </c>
      <c r="Q1190" s="59"/>
      <c r="R1190" s="59"/>
      <c r="S1190" s="59"/>
      <c r="T1190" s="59"/>
      <c r="U1190" s="290"/>
      <c r="V1190" s="290"/>
      <c r="W1190" s="290"/>
      <c r="X1190" s="290"/>
      <c r="Y1190" s="290"/>
      <c r="Z1190" s="290"/>
      <c r="AA1190" s="290"/>
      <c r="AB1190" s="290"/>
      <c r="AC1190" s="290"/>
      <c r="AD1190" s="290"/>
    </row>
    <row r="1191" spans="1:30" ht="25.5">
      <c r="A1191" s="291"/>
      <c r="B1191" s="291"/>
      <c r="C1191" s="291"/>
      <c r="D1191" s="83"/>
      <c r="E1191" s="59"/>
      <c r="F1191" s="82"/>
      <c r="G1191" s="82"/>
      <c r="H1191" s="86"/>
      <c r="I1191" s="294"/>
      <c r="J1191" s="59"/>
      <c r="K1191" s="83"/>
      <c r="L1191" s="83" t="str">
        <f t="shared" si="46"/>
        <v xml:space="preserve">
</v>
      </c>
      <c r="M1191" s="83"/>
      <c r="N1191" s="59"/>
      <c r="O1191" s="59"/>
      <c r="P1191" s="86">
        <f t="shared" si="47"/>
        <v>0</v>
      </c>
      <c r="Q1191" s="59"/>
      <c r="R1191" s="59"/>
      <c r="S1191" s="59"/>
      <c r="T1191" s="59"/>
      <c r="U1191" s="290"/>
      <c r="V1191" s="290"/>
      <c r="W1191" s="290"/>
      <c r="X1191" s="290"/>
      <c r="Y1191" s="290"/>
      <c r="Z1191" s="290"/>
      <c r="AA1191" s="290"/>
      <c r="AB1191" s="290"/>
      <c r="AC1191" s="290"/>
      <c r="AD1191" s="290"/>
    </row>
    <row r="1192" spans="1:30" ht="25.5">
      <c r="A1192" s="291"/>
      <c r="B1192" s="291"/>
      <c r="C1192" s="291"/>
      <c r="D1192" s="83"/>
      <c r="E1192" s="59"/>
      <c r="F1192" s="82"/>
      <c r="G1192" s="82"/>
      <c r="H1192" s="86"/>
      <c r="I1192" s="294"/>
      <c r="J1192" s="59"/>
      <c r="K1192" s="83"/>
      <c r="L1192" s="83" t="str">
        <f t="shared" si="46"/>
        <v xml:space="preserve">
</v>
      </c>
      <c r="M1192" s="83"/>
      <c r="N1192" s="59"/>
      <c r="O1192" s="59"/>
      <c r="P1192" s="86">
        <f t="shared" si="47"/>
        <v>0</v>
      </c>
      <c r="Q1192" s="59"/>
      <c r="R1192" s="59"/>
      <c r="S1192" s="59"/>
      <c r="T1192" s="59"/>
      <c r="U1192" s="290"/>
      <c r="V1192" s="290"/>
      <c r="W1192" s="290"/>
      <c r="X1192" s="290"/>
      <c r="Y1192" s="290"/>
      <c r="Z1192" s="290"/>
      <c r="AA1192" s="290"/>
      <c r="AB1192" s="290"/>
      <c r="AC1192" s="290"/>
      <c r="AD1192" s="290"/>
    </row>
    <row r="1193" spans="1:30" ht="25.5">
      <c r="A1193" s="291"/>
      <c r="B1193" s="291"/>
      <c r="C1193" s="291"/>
      <c r="D1193" s="83"/>
      <c r="E1193" s="59"/>
      <c r="F1193" s="82"/>
      <c r="G1193" s="82"/>
      <c r="H1193" s="86"/>
      <c r="I1193" s="294"/>
      <c r="J1193" s="59"/>
      <c r="K1193" s="83"/>
      <c r="L1193" s="83" t="str">
        <f t="shared" si="46"/>
        <v xml:space="preserve">
</v>
      </c>
      <c r="M1193" s="83"/>
      <c r="N1193" s="59"/>
      <c r="O1193" s="59"/>
      <c r="P1193" s="86">
        <f t="shared" si="47"/>
        <v>0</v>
      </c>
      <c r="Q1193" s="59"/>
      <c r="R1193" s="59"/>
      <c r="S1193" s="59"/>
      <c r="T1193" s="59"/>
      <c r="U1193" s="290"/>
      <c r="V1193" s="290"/>
      <c r="W1193" s="290"/>
      <c r="X1193" s="290"/>
      <c r="Y1193" s="290"/>
      <c r="Z1193" s="290"/>
      <c r="AA1193" s="290"/>
      <c r="AB1193" s="290"/>
      <c r="AC1193" s="290"/>
      <c r="AD1193" s="290"/>
    </row>
    <row r="1194" spans="1:30" ht="25.5">
      <c r="A1194" s="291"/>
      <c r="B1194" s="291"/>
      <c r="C1194" s="291"/>
      <c r="D1194" s="83"/>
      <c r="E1194" s="59"/>
      <c r="F1194" s="82"/>
      <c r="G1194" s="82"/>
      <c r="H1194" s="86"/>
      <c r="I1194" s="294"/>
      <c r="J1194" s="59"/>
      <c r="K1194" s="83"/>
      <c r="L1194" s="83" t="str">
        <f t="shared" si="46"/>
        <v xml:space="preserve">
</v>
      </c>
      <c r="M1194" s="83"/>
      <c r="N1194" s="59"/>
      <c r="O1194" s="59"/>
      <c r="P1194" s="86">
        <f t="shared" si="47"/>
        <v>0</v>
      </c>
      <c r="Q1194" s="59"/>
      <c r="R1194" s="59"/>
      <c r="S1194" s="59"/>
      <c r="T1194" s="59"/>
      <c r="U1194" s="290"/>
      <c r="V1194" s="290"/>
      <c r="W1194" s="290"/>
      <c r="X1194" s="290"/>
      <c r="Y1194" s="290"/>
      <c r="Z1194" s="290"/>
      <c r="AA1194" s="290"/>
      <c r="AB1194" s="290"/>
      <c r="AC1194" s="290"/>
      <c r="AD1194" s="290"/>
    </row>
    <row r="1195" spans="1:30" ht="25.5">
      <c r="A1195" s="291"/>
      <c r="B1195" s="291"/>
      <c r="C1195" s="291"/>
      <c r="D1195" s="83"/>
      <c r="E1195" s="59"/>
      <c r="F1195" s="82"/>
      <c r="G1195" s="82"/>
      <c r="H1195" s="86"/>
      <c r="I1195" s="294"/>
      <c r="J1195" s="59"/>
      <c r="K1195" s="83"/>
      <c r="L1195" s="83" t="str">
        <f t="shared" si="46"/>
        <v xml:space="preserve">
</v>
      </c>
      <c r="M1195" s="83"/>
      <c r="N1195" s="59"/>
      <c r="O1195" s="59"/>
      <c r="P1195" s="86">
        <f t="shared" si="47"/>
        <v>0</v>
      </c>
      <c r="Q1195" s="59"/>
      <c r="R1195" s="59"/>
      <c r="S1195" s="59"/>
      <c r="T1195" s="59"/>
      <c r="U1195" s="290"/>
      <c r="V1195" s="290"/>
      <c r="W1195" s="290"/>
      <c r="X1195" s="290"/>
      <c r="Y1195" s="290"/>
      <c r="Z1195" s="290"/>
      <c r="AA1195" s="290"/>
      <c r="AB1195" s="290"/>
      <c r="AC1195" s="290"/>
      <c r="AD1195" s="290"/>
    </row>
    <row r="1196" spans="1:30" ht="25.5">
      <c r="A1196" s="291"/>
      <c r="B1196" s="291"/>
      <c r="C1196" s="291"/>
      <c r="D1196" s="83"/>
      <c r="E1196" s="59"/>
      <c r="F1196" s="82"/>
      <c r="G1196" s="82"/>
      <c r="H1196" s="86"/>
      <c r="I1196" s="294"/>
      <c r="J1196" s="59"/>
      <c r="K1196" s="83"/>
      <c r="L1196" s="83" t="str">
        <f t="shared" si="46"/>
        <v xml:space="preserve">
</v>
      </c>
      <c r="M1196" s="83"/>
      <c r="N1196" s="59"/>
      <c r="O1196" s="59"/>
      <c r="P1196" s="86">
        <f t="shared" si="47"/>
        <v>0</v>
      </c>
      <c r="Q1196" s="59"/>
      <c r="R1196" s="59"/>
      <c r="S1196" s="59"/>
      <c r="T1196" s="59"/>
      <c r="U1196" s="290"/>
      <c r="V1196" s="290"/>
      <c r="W1196" s="290"/>
      <c r="X1196" s="290"/>
      <c r="Y1196" s="290"/>
      <c r="Z1196" s="290"/>
      <c r="AA1196" s="290"/>
      <c r="AB1196" s="290"/>
      <c r="AC1196" s="290"/>
      <c r="AD1196" s="290"/>
    </row>
    <row r="1197" spans="1:30" ht="25.5">
      <c r="A1197" s="291"/>
      <c r="B1197" s="291"/>
      <c r="C1197" s="291"/>
      <c r="D1197" s="83"/>
      <c r="E1197" s="59"/>
      <c r="F1197" s="82"/>
      <c r="G1197" s="82"/>
      <c r="H1197" s="86"/>
      <c r="I1197" s="294"/>
      <c r="J1197" s="59"/>
      <c r="K1197" s="83"/>
      <c r="L1197" s="83" t="str">
        <f t="shared" si="46"/>
        <v xml:space="preserve">
</v>
      </c>
      <c r="M1197" s="83"/>
      <c r="N1197" s="59"/>
      <c r="O1197" s="59"/>
      <c r="P1197" s="86">
        <f t="shared" si="47"/>
        <v>0</v>
      </c>
      <c r="Q1197" s="59"/>
      <c r="R1197" s="59"/>
      <c r="S1197" s="59"/>
      <c r="T1197" s="59"/>
      <c r="U1197" s="290"/>
      <c r="V1197" s="290"/>
      <c r="W1197" s="290"/>
      <c r="X1197" s="290"/>
      <c r="Y1197" s="290"/>
      <c r="Z1197" s="290"/>
      <c r="AA1197" s="290"/>
      <c r="AB1197" s="290"/>
      <c r="AC1197" s="290"/>
      <c r="AD1197" s="290"/>
    </row>
    <row r="1198" spans="1:30" ht="25.5">
      <c r="A1198" s="291"/>
      <c r="B1198" s="291"/>
      <c r="C1198" s="291"/>
      <c r="D1198" s="83"/>
      <c r="E1198" s="59"/>
      <c r="F1198" s="82"/>
      <c r="G1198" s="82"/>
      <c r="H1198" s="86"/>
      <c r="I1198" s="294"/>
      <c r="J1198" s="59"/>
      <c r="K1198" s="83"/>
      <c r="L1198" s="83" t="str">
        <f t="shared" si="46"/>
        <v xml:space="preserve">
</v>
      </c>
      <c r="M1198" s="83"/>
      <c r="N1198" s="59"/>
      <c r="O1198" s="59"/>
      <c r="P1198" s="86">
        <f t="shared" si="47"/>
        <v>0</v>
      </c>
      <c r="Q1198" s="59"/>
      <c r="R1198" s="59"/>
      <c r="S1198" s="59"/>
      <c r="T1198" s="59"/>
      <c r="U1198" s="290"/>
      <c r="V1198" s="290"/>
      <c r="W1198" s="290"/>
      <c r="X1198" s="290"/>
      <c r="Y1198" s="290"/>
      <c r="Z1198" s="290"/>
      <c r="AA1198" s="290"/>
      <c r="AB1198" s="290"/>
      <c r="AC1198" s="290"/>
      <c r="AD1198" s="290"/>
    </row>
    <row r="1199" spans="1:30" ht="25.5">
      <c r="A1199" s="291"/>
      <c r="B1199" s="291"/>
      <c r="C1199" s="291"/>
      <c r="D1199" s="83"/>
      <c r="E1199" s="59"/>
      <c r="F1199" s="82"/>
      <c r="G1199" s="82"/>
      <c r="H1199" s="86"/>
      <c r="I1199" s="294"/>
      <c r="J1199" s="59"/>
      <c r="K1199" s="83"/>
      <c r="L1199" s="83" t="str">
        <f t="shared" si="46"/>
        <v xml:space="preserve">
</v>
      </c>
      <c r="M1199" s="83"/>
      <c r="N1199" s="59"/>
      <c r="O1199" s="59"/>
      <c r="P1199" s="86">
        <f t="shared" si="47"/>
        <v>0</v>
      </c>
      <c r="Q1199" s="59"/>
      <c r="R1199" s="59"/>
      <c r="S1199" s="59"/>
      <c r="T1199" s="59"/>
      <c r="U1199" s="290"/>
      <c r="V1199" s="290"/>
      <c r="W1199" s="290"/>
      <c r="X1199" s="290"/>
      <c r="Y1199" s="290"/>
      <c r="Z1199" s="290"/>
      <c r="AA1199" s="290"/>
      <c r="AB1199" s="290"/>
      <c r="AC1199" s="290"/>
      <c r="AD1199" s="290"/>
    </row>
    <row r="1200" spans="1:30" ht="25.5">
      <c r="A1200" s="291"/>
      <c r="B1200" s="291"/>
      <c r="C1200" s="291"/>
      <c r="D1200" s="83"/>
      <c r="E1200" s="59"/>
      <c r="F1200" s="82"/>
      <c r="G1200" s="82"/>
      <c r="H1200" s="86"/>
      <c r="I1200" s="294"/>
      <c r="J1200" s="59"/>
      <c r="K1200" s="83"/>
      <c r="L1200" s="83" t="str">
        <f t="shared" si="46"/>
        <v xml:space="preserve">
</v>
      </c>
      <c r="M1200" s="83"/>
      <c r="N1200" s="59"/>
      <c r="O1200" s="59"/>
      <c r="P1200" s="86">
        <f t="shared" si="47"/>
        <v>0</v>
      </c>
      <c r="Q1200" s="59"/>
      <c r="R1200" s="59"/>
      <c r="S1200" s="59"/>
      <c r="T1200" s="59"/>
      <c r="U1200" s="290"/>
      <c r="V1200" s="290"/>
      <c r="W1200" s="290"/>
      <c r="X1200" s="290"/>
      <c r="Y1200" s="290"/>
      <c r="Z1200" s="290"/>
      <c r="AA1200" s="290"/>
      <c r="AB1200" s="290"/>
      <c r="AC1200" s="290"/>
      <c r="AD1200" s="290"/>
    </row>
    <row r="1201" spans="1:30" ht="25.5">
      <c r="A1201" s="291"/>
      <c r="B1201" s="291"/>
      <c r="C1201" s="291"/>
      <c r="D1201" s="83"/>
      <c r="E1201" s="59"/>
      <c r="F1201" s="82"/>
      <c r="G1201" s="82"/>
      <c r="H1201" s="86"/>
      <c r="I1201" s="294"/>
      <c r="J1201" s="59"/>
      <c r="K1201" s="83"/>
      <c r="L1201" s="83" t="str">
        <f t="shared" si="46"/>
        <v xml:space="preserve">
</v>
      </c>
      <c r="M1201" s="83"/>
      <c r="N1201" s="59"/>
      <c r="O1201" s="59"/>
      <c r="P1201" s="86">
        <f t="shared" si="47"/>
        <v>0</v>
      </c>
      <c r="Q1201" s="59"/>
      <c r="R1201" s="59"/>
      <c r="S1201" s="59"/>
      <c r="T1201" s="59"/>
      <c r="U1201" s="290"/>
      <c r="V1201" s="290"/>
      <c r="W1201" s="290"/>
      <c r="X1201" s="290"/>
      <c r="Y1201" s="290"/>
      <c r="Z1201" s="290"/>
      <c r="AA1201" s="290"/>
      <c r="AB1201" s="290"/>
      <c r="AC1201" s="290"/>
      <c r="AD1201" s="290"/>
    </row>
    <row r="1202" spans="1:30" ht="25.5">
      <c r="A1202" s="291"/>
      <c r="B1202" s="291"/>
      <c r="C1202" s="291"/>
      <c r="D1202" s="83"/>
      <c r="E1202" s="59"/>
      <c r="F1202" s="82"/>
      <c r="G1202" s="82"/>
      <c r="H1202" s="86"/>
      <c r="I1202" s="294"/>
      <c r="J1202" s="59"/>
      <c r="K1202" s="83"/>
      <c r="L1202" s="83" t="str">
        <f t="shared" si="46"/>
        <v xml:space="preserve">
</v>
      </c>
      <c r="M1202" s="83"/>
      <c r="N1202" s="59"/>
      <c r="O1202" s="59"/>
      <c r="P1202" s="86">
        <f t="shared" si="47"/>
        <v>0</v>
      </c>
      <c r="Q1202" s="59"/>
      <c r="R1202" s="59"/>
      <c r="S1202" s="59"/>
      <c r="T1202" s="59"/>
      <c r="U1202" s="290"/>
      <c r="V1202" s="290"/>
      <c r="W1202" s="290"/>
      <c r="X1202" s="290"/>
      <c r="Y1202" s="290"/>
      <c r="Z1202" s="290"/>
      <c r="AA1202" s="290"/>
      <c r="AB1202" s="290"/>
      <c r="AC1202" s="290"/>
      <c r="AD1202" s="290"/>
    </row>
    <row r="1203" spans="1:30" ht="25.5">
      <c r="A1203" s="291"/>
      <c r="B1203" s="291"/>
      <c r="C1203" s="291"/>
      <c r="D1203" s="83"/>
      <c r="E1203" s="59"/>
      <c r="F1203" s="82"/>
      <c r="G1203" s="82"/>
      <c r="H1203" s="86"/>
      <c r="I1203" s="294"/>
      <c r="J1203" s="59"/>
      <c r="K1203" s="83"/>
      <c r="L1203" s="83" t="str">
        <f t="shared" si="46"/>
        <v xml:space="preserve">
</v>
      </c>
      <c r="M1203" s="83"/>
      <c r="N1203" s="59"/>
      <c r="O1203" s="59"/>
      <c r="P1203" s="86">
        <f t="shared" si="47"/>
        <v>0</v>
      </c>
      <c r="Q1203" s="59"/>
      <c r="R1203" s="59"/>
      <c r="S1203" s="59"/>
      <c r="T1203" s="59"/>
      <c r="U1203" s="290"/>
      <c r="V1203" s="290"/>
      <c r="W1203" s="290"/>
      <c r="X1203" s="290"/>
      <c r="Y1203" s="290"/>
      <c r="Z1203" s="290"/>
      <c r="AA1203" s="290"/>
      <c r="AB1203" s="290"/>
      <c r="AC1203" s="290"/>
      <c r="AD1203" s="290"/>
    </row>
    <row r="1204" spans="1:30" ht="25.5">
      <c r="A1204" s="291"/>
      <c r="B1204" s="291"/>
      <c r="C1204" s="291"/>
      <c r="D1204" s="83"/>
      <c r="E1204" s="59"/>
      <c r="F1204" s="82"/>
      <c r="G1204" s="82"/>
      <c r="H1204" s="86"/>
      <c r="I1204" s="294"/>
      <c r="J1204" s="59"/>
      <c r="K1204" s="83"/>
      <c r="L1204" s="83" t="str">
        <f t="shared" si="46"/>
        <v xml:space="preserve">
</v>
      </c>
      <c r="M1204" s="83"/>
      <c r="N1204" s="59"/>
      <c r="O1204" s="59"/>
      <c r="P1204" s="86">
        <f t="shared" si="47"/>
        <v>0</v>
      </c>
      <c r="Q1204" s="59"/>
      <c r="R1204" s="59"/>
      <c r="S1204" s="59"/>
      <c r="T1204" s="59"/>
      <c r="U1204" s="290"/>
      <c r="V1204" s="290"/>
      <c r="W1204" s="290"/>
      <c r="X1204" s="290"/>
      <c r="Y1204" s="290"/>
      <c r="Z1204" s="290"/>
      <c r="AA1204" s="290"/>
      <c r="AB1204" s="290"/>
      <c r="AC1204" s="290"/>
      <c r="AD1204" s="290"/>
    </row>
    <row r="1205" spans="1:30" ht="25.5">
      <c r="A1205" s="291"/>
      <c r="B1205" s="291"/>
      <c r="C1205" s="291"/>
      <c r="D1205" s="83"/>
      <c r="E1205" s="59"/>
      <c r="F1205" s="82"/>
      <c r="G1205" s="82"/>
      <c r="H1205" s="86"/>
      <c r="I1205" s="294"/>
      <c r="J1205" s="59"/>
      <c r="K1205" s="83"/>
      <c r="L1205" s="83" t="str">
        <f t="shared" si="46"/>
        <v xml:space="preserve">
</v>
      </c>
      <c r="M1205" s="83"/>
      <c r="N1205" s="59"/>
      <c r="O1205" s="59"/>
      <c r="P1205" s="86">
        <f t="shared" si="47"/>
        <v>0</v>
      </c>
      <c r="Q1205" s="59"/>
      <c r="R1205" s="59"/>
      <c r="S1205" s="59"/>
      <c r="T1205" s="59"/>
      <c r="U1205" s="290"/>
      <c r="V1205" s="290"/>
      <c r="W1205" s="290"/>
      <c r="X1205" s="290"/>
      <c r="Y1205" s="290"/>
      <c r="Z1205" s="290"/>
      <c r="AA1205" s="290"/>
      <c r="AB1205" s="290"/>
      <c r="AC1205" s="290"/>
      <c r="AD1205" s="290"/>
    </row>
    <row r="1206" spans="1:30" ht="25.5">
      <c r="A1206" s="291"/>
      <c r="B1206" s="291"/>
      <c r="C1206" s="291"/>
      <c r="D1206" s="83"/>
      <c r="E1206" s="59"/>
      <c r="F1206" s="82"/>
      <c r="G1206" s="82"/>
      <c r="H1206" s="86"/>
      <c r="I1206" s="294"/>
      <c r="J1206" s="59"/>
      <c r="K1206" s="83"/>
      <c r="L1206" s="83" t="str">
        <f t="shared" si="46"/>
        <v xml:space="preserve">
</v>
      </c>
      <c r="M1206" s="83"/>
      <c r="N1206" s="59"/>
      <c r="O1206" s="59"/>
      <c r="P1206" s="86">
        <f t="shared" si="47"/>
        <v>0</v>
      </c>
      <c r="Q1206" s="59"/>
      <c r="R1206" s="59"/>
      <c r="S1206" s="59"/>
      <c r="T1206" s="59"/>
      <c r="U1206" s="290"/>
      <c r="V1206" s="290"/>
      <c r="W1206" s="290"/>
      <c r="X1206" s="290"/>
      <c r="Y1206" s="290"/>
      <c r="Z1206" s="290"/>
      <c r="AA1206" s="290"/>
      <c r="AB1206" s="290"/>
      <c r="AC1206" s="290"/>
      <c r="AD1206" s="290"/>
    </row>
    <row r="1207" spans="1:30" ht="25.5">
      <c r="A1207" s="291"/>
      <c r="B1207" s="291"/>
      <c r="C1207" s="291"/>
      <c r="D1207" s="83"/>
      <c r="E1207" s="59"/>
      <c r="F1207" s="82"/>
      <c r="G1207" s="82"/>
      <c r="H1207" s="86"/>
      <c r="I1207" s="294"/>
      <c r="J1207" s="59"/>
      <c r="K1207" s="83"/>
      <c r="L1207" s="83" t="str">
        <f t="shared" si="46"/>
        <v xml:space="preserve">
</v>
      </c>
      <c r="M1207" s="83"/>
      <c r="N1207" s="59"/>
      <c r="O1207" s="59"/>
      <c r="P1207" s="86">
        <f t="shared" si="47"/>
        <v>0</v>
      </c>
      <c r="Q1207" s="59"/>
      <c r="R1207" s="59"/>
      <c r="S1207" s="59"/>
      <c r="T1207" s="59"/>
      <c r="U1207" s="290"/>
      <c r="V1207" s="290"/>
      <c r="W1207" s="290"/>
      <c r="X1207" s="290"/>
      <c r="Y1207" s="290"/>
      <c r="Z1207" s="290"/>
      <c r="AA1207" s="290"/>
      <c r="AB1207" s="290"/>
      <c r="AC1207" s="290"/>
      <c r="AD1207" s="290"/>
    </row>
    <row r="1208" spans="1:30" ht="25.5">
      <c r="A1208" s="291"/>
      <c r="B1208" s="291"/>
      <c r="C1208" s="291"/>
      <c r="D1208" s="83"/>
      <c r="E1208" s="59"/>
      <c r="F1208" s="82"/>
      <c r="G1208" s="82"/>
      <c r="H1208" s="86"/>
      <c r="I1208" s="294"/>
      <c r="J1208" s="59"/>
      <c r="K1208" s="83"/>
      <c r="L1208" s="83" t="str">
        <f t="shared" si="46"/>
        <v xml:space="preserve">
</v>
      </c>
      <c r="M1208" s="83"/>
      <c r="N1208" s="59"/>
      <c r="O1208" s="59"/>
      <c r="P1208" s="86">
        <f t="shared" si="47"/>
        <v>0</v>
      </c>
      <c r="Q1208" s="59"/>
      <c r="R1208" s="59"/>
      <c r="S1208" s="59"/>
      <c r="T1208" s="59"/>
      <c r="U1208" s="290"/>
      <c r="V1208" s="290"/>
      <c r="W1208" s="290"/>
      <c r="X1208" s="290"/>
      <c r="Y1208" s="290"/>
      <c r="Z1208" s="290"/>
      <c r="AA1208" s="290"/>
      <c r="AB1208" s="290"/>
      <c r="AC1208" s="290"/>
      <c r="AD1208" s="290"/>
    </row>
    <row r="1209" spans="1:30" ht="25.5">
      <c r="A1209" s="291"/>
      <c r="B1209" s="291"/>
      <c r="C1209" s="291"/>
      <c r="D1209" s="83"/>
      <c r="E1209" s="59"/>
      <c r="F1209" s="82"/>
      <c r="G1209" s="82"/>
      <c r="H1209" s="86"/>
      <c r="I1209" s="294"/>
      <c r="J1209" s="59"/>
      <c r="K1209" s="83"/>
      <c r="L1209" s="83" t="str">
        <f t="shared" si="46"/>
        <v xml:space="preserve">
</v>
      </c>
      <c r="M1209" s="83"/>
      <c r="N1209" s="59"/>
      <c r="O1209" s="59"/>
      <c r="P1209" s="86">
        <f t="shared" si="47"/>
        <v>0</v>
      </c>
      <c r="Q1209" s="59"/>
      <c r="R1209" s="59"/>
      <c r="S1209" s="59"/>
      <c r="T1209" s="59"/>
      <c r="U1209" s="290"/>
      <c r="V1209" s="290"/>
      <c r="W1209" s="290"/>
      <c r="X1209" s="290"/>
      <c r="Y1209" s="290"/>
      <c r="Z1209" s="290"/>
      <c r="AA1209" s="290"/>
      <c r="AB1209" s="290"/>
      <c r="AC1209" s="290"/>
      <c r="AD1209" s="290"/>
    </row>
    <row r="1210" spans="1:30" ht="25.5">
      <c r="A1210" s="291"/>
      <c r="B1210" s="291"/>
      <c r="C1210" s="291"/>
      <c r="D1210" s="83"/>
      <c r="E1210" s="59"/>
      <c r="F1210" s="82"/>
      <c r="G1210" s="82"/>
      <c r="H1210" s="86"/>
      <c r="I1210" s="294"/>
      <c r="J1210" s="59"/>
      <c r="K1210" s="83"/>
      <c r="L1210" s="83" t="str">
        <f t="shared" si="46"/>
        <v xml:space="preserve">
</v>
      </c>
      <c r="M1210" s="83"/>
      <c r="N1210" s="59"/>
      <c r="O1210" s="59"/>
      <c r="P1210" s="86">
        <f t="shared" si="47"/>
        <v>0</v>
      </c>
      <c r="Q1210" s="59"/>
      <c r="R1210" s="59"/>
      <c r="S1210" s="59"/>
      <c r="T1210" s="59"/>
      <c r="U1210" s="290"/>
      <c r="V1210" s="290"/>
      <c r="W1210" s="290"/>
      <c r="X1210" s="290"/>
      <c r="Y1210" s="290"/>
      <c r="Z1210" s="290"/>
      <c r="AA1210" s="290"/>
      <c r="AB1210" s="290"/>
      <c r="AC1210" s="290"/>
      <c r="AD1210" s="290"/>
    </row>
    <row r="1211" spans="1:30" ht="25.5">
      <c r="A1211" s="291"/>
      <c r="B1211" s="291"/>
      <c r="C1211" s="291"/>
      <c r="D1211" s="83"/>
      <c r="E1211" s="59"/>
      <c r="F1211" s="82"/>
      <c r="G1211" s="82"/>
      <c r="H1211" s="86"/>
      <c r="I1211" s="294"/>
      <c r="J1211" s="59"/>
      <c r="K1211" s="83"/>
      <c r="L1211" s="83" t="str">
        <f t="shared" si="46"/>
        <v xml:space="preserve">
</v>
      </c>
      <c r="M1211" s="83"/>
      <c r="N1211" s="59"/>
      <c r="O1211" s="59"/>
      <c r="P1211" s="86">
        <f t="shared" si="47"/>
        <v>0</v>
      </c>
      <c r="Q1211" s="59"/>
      <c r="R1211" s="59"/>
      <c r="S1211" s="59"/>
      <c r="T1211" s="59"/>
      <c r="U1211" s="290"/>
      <c r="V1211" s="290"/>
      <c r="W1211" s="290"/>
      <c r="X1211" s="290"/>
      <c r="Y1211" s="290"/>
      <c r="Z1211" s="290"/>
      <c r="AA1211" s="290"/>
      <c r="AB1211" s="290"/>
      <c r="AC1211" s="290"/>
      <c r="AD1211" s="290"/>
    </row>
    <row r="1212" spans="1:30" ht="25.5">
      <c r="A1212" s="291"/>
      <c r="B1212" s="291"/>
      <c r="C1212" s="291"/>
      <c r="D1212" s="83"/>
      <c r="E1212" s="59"/>
      <c r="F1212" s="82"/>
      <c r="G1212" s="82"/>
      <c r="H1212" s="86"/>
      <c r="I1212" s="294"/>
      <c r="J1212" s="59"/>
      <c r="K1212" s="83"/>
      <c r="L1212" s="83" t="str">
        <f t="shared" si="46"/>
        <v xml:space="preserve">
</v>
      </c>
      <c r="M1212" s="83"/>
      <c r="N1212" s="59"/>
      <c r="O1212" s="59"/>
      <c r="P1212" s="86">
        <f t="shared" si="47"/>
        <v>0</v>
      </c>
      <c r="Q1212" s="59"/>
      <c r="R1212" s="59"/>
      <c r="S1212" s="59"/>
      <c r="T1212" s="59"/>
      <c r="U1212" s="290"/>
      <c r="V1212" s="290"/>
      <c r="W1212" s="290"/>
      <c r="X1212" s="290"/>
      <c r="Y1212" s="290"/>
      <c r="Z1212" s="290"/>
      <c r="AA1212" s="290"/>
      <c r="AB1212" s="290"/>
      <c r="AC1212" s="290"/>
      <c r="AD1212" s="290"/>
    </row>
    <row r="1213" spans="1:30" ht="25.5">
      <c r="A1213" s="291"/>
      <c r="B1213" s="291"/>
      <c r="C1213" s="291"/>
      <c r="D1213" s="83"/>
      <c r="E1213" s="59"/>
      <c r="F1213" s="82"/>
      <c r="G1213" s="82"/>
      <c r="H1213" s="86"/>
      <c r="I1213" s="294"/>
      <c r="J1213" s="59"/>
      <c r="K1213" s="83"/>
      <c r="L1213" s="83" t="str">
        <f t="shared" si="46"/>
        <v xml:space="preserve">
</v>
      </c>
      <c r="M1213" s="83"/>
      <c r="N1213" s="59"/>
      <c r="O1213" s="59"/>
      <c r="P1213" s="86">
        <f t="shared" si="47"/>
        <v>0</v>
      </c>
      <c r="Q1213" s="59"/>
      <c r="R1213" s="59"/>
      <c r="S1213" s="59"/>
      <c r="T1213" s="59"/>
      <c r="U1213" s="290"/>
      <c r="V1213" s="290"/>
      <c r="W1213" s="290"/>
      <c r="X1213" s="290"/>
      <c r="Y1213" s="290"/>
      <c r="Z1213" s="290"/>
      <c r="AA1213" s="290"/>
      <c r="AB1213" s="290"/>
      <c r="AC1213" s="290"/>
      <c r="AD1213" s="290"/>
    </row>
    <row r="1214" spans="1:30" ht="25.5">
      <c r="A1214" s="291"/>
      <c r="B1214" s="291"/>
      <c r="C1214" s="291"/>
      <c r="D1214" s="83"/>
      <c r="E1214" s="59"/>
      <c r="F1214" s="82"/>
      <c r="G1214" s="82"/>
      <c r="H1214" s="86"/>
      <c r="I1214" s="294"/>
      <c r="J1214" s="59"/>
      <c r="K1214" s="83"/>
      <c r="L1214" s="83" t="str">
        <f t="shared" si="46"/>
        <v xml:space="preserve">
</v>
      </c>
      <c r="M1214" s="83"/>
      <c r="N1214" s="59"/>
      <c r="O1214" s="59"/>
      <c r="P1214" s="86">
        <f t="shared" si="47"/>
        <v>0</v>
      </c>
      <c r="Q1214" s="59"/>
      <c r="R1214" s="59"/>
      <c r="S1214" s="59"/>
      <c r="T1214" s="59"/>
      <c r="U1214" s="290"/>
      <c r="V1214" s="290"/>
      <c r="W1214" s="290"/>
      <c r="X1214" s="290"/>
      <c r="Y1214" s="290"/>
      <c r="Z1214" s="290"/>
      <c r="AA1214" s="290"/>
      <c r="AB1214" s="290"/>
      <c r="AC1214" s="290"/>
      <c r="AD1214" s="290"/>
    </row>
    <row r="1215" spans="1:30" ht="25.5">
      <c r="A1215" s="291"/>
      <c r="B1215" s="291"/>
      <c r="C1215" s="291"/>
      <c r="D1215" s="83"/>
      <c r="E1215" s="59"/>
      <c r="F1215" s="82"/>
      <c r="G1215" s="82"/>
      <c r="H1215" s="86"/>
      <c r="I1215" s="294"/>
      <c r="J1215" s="59"/>
      <c r="K1215" s="83"/>
      <c r="L1215" s="83" t="str">
        <f t="shared" si="46"/>
        <v xml:space="preserve">
</v>
      </c>
      <c r="M1215" s="83"/>
      <c r="N1215" s="59"/>
      <c r="O1215" s="59"/>
      <c r="P1215" s="86">
        <f t="shared" si="47"/>
        <v>0</v>
      </c>
      <c r="Q1215" s="59"/>
      <c r="R1215" s="59"/>
      <c r="S1215" s="59"/>
      <c r="T1215" s="59"/>
      <c r="U1215" s="290"/>
      <c r="V1215" s="290"/>
      <c r="W1215" s="290"/>
      <c r="X1215" s="290"/>
      <c r="Y1215" s="290"/>
      <c r="Z1215" s="290"/>
      <c r="AA1215" s="290"/>
      <c r="AB1215" s="290"/>
      <c r="AC1215" s="290"/>
      <c r="AD1215" s="290"/>
    </row>
    <row r="1216" spans="1:30" ht="25.5">
      <c r="A1216" s="291"/>
      <c r="B1216" s="291"/>
      <c r="C1216" s="291"/>
      <c r="D1216" s="83"/>
      <c r="E1216" s="59"/>
      <c r="F1216" s="82"/>
      <c r="G1216" s="82"/>
      <c r="H1216" s="86"/>
      <c r="I1216" s="294"/>
      <c r="J1216" s="59"/>
      <c r="K1216" s="83"/>
      <c r="L1216" s="83" t="str">
        <f t="shared" si="46"/>
        <v xml:space="preserve">
</v>
      </c>
      <c r="M1216" s="83"/>
      <c r="N1216" s="59"/>
      <c r="O1216" s="59"/>
      <c r="P1216" s="86">
        <f t="shared" si="47"/>
        <v>0</v>
      </c>
      <c r="Q1216" s="59"/>
      <c r="R1216" s="59"/>
      <c r="S1216" s="59"/>
      <c r="T1216" s="59"/>
      <c r="U1216" s="290"/>
      <c r="V1216" s="290"/>
      <c r="W1216" s="290"/>
      <c r="X1216" s="290"/>
      <c r="Y1216" s="290"/>
      <c r="Z1216" s="290"/>
      <c r="AA1216" s="290"/>
      <c r="AB1216" s="290"/>
      <c r="AC1216" s="290"/>
      <c r="AD1216" s="290"/>
    </row>
    <row r="1217" spans="1:30" ht="25.5">
      <c r="A1217" s="291"/>
      <c r="B1217" s="291"/>
      <c r="C1217" s="291"/>
      <c r="D1217" s="83"/>
      <c r="E1217" s="59"/>
      <c r="F1217" s="82"/>
      <c r="G1217" s="82"/>
      <c r="H1217" s="86"/>
      <c r="I1217" s="294"/>
      <c r="J1217" s="59"/>
      <c r="K1217" s="83"/>
      <c r="L1217" s="83" t="str">
        <f t="shared" si="46"/>
        <v xml:space="preserve">
</v>
      </c>
      <c r="M1217" s="83"/>
      <c r="N1217" s="59"/>
      <c r="O1217" s="59"/>
      <c r="P1217" s="86">
        <f t="shared" si="47"/>
        <v>0</v>
      </c>
      <c r="Q1217" s="59"/>
      <c r="R1217" s="59"/>
      <c r="S1217" s="59"/>
      <c r="T1217" s="59"/>
      <c r="U1217" s="290"/>
      <c r="V1217" s="290"/>
      <c r="W1217" s="290"/>
      <c r="X1217" s="290"/>
      <c r="Y1217" s="290"/>
      <c r="Z1217" s="290"/>
      <c r="AA1217" s="290"/>
      <c r="AB1217" s="290"/>
      <c r="AC1217" s="290"/>
      <c r="AD1217" s="290"/>
    </row>
    <row r="1218" spans="1:30" ht="25.5">
      <c r="A1218" s="291"/>
      <c r="B1218" s="291"/>
      <c r="C1218" s="291"/>
      <c r="D1218" s="83"/>
      <c r="E1218" s="59"/>
      <c r="F1218" s="82"/>
      <c r="G1218" s="82"/>
      <c r="H1218" s="86"/>
      <c r="I1218" s="294"/>
      <c r="J1218" s="59"/>
      <c r="K1218" s="83"/>
      <c r="L1218" s="83" t="str">
        <f t="shared" si="46"/>
        <v xml:space="preserve">
</v>
      </c>
      <c r="M1218" s="83"/>
      <c r="N1218" s="59"/>
      <c r="O1218" s="59"/>
      <c r="P1218" s="86">
        <f t="shared" si="47"/>
        <v>0</v>
      </c>
      <c r="Q1218" s="59"/>
      <c r="R1218" s="59"/>
      <c r="S1218" s="59"/>
      <c r="T1218" s="59"/>
      <c r="U1218" s="290"/>
      <c r="V1218" s="290"/>
      <c r="W1218" s="290"/>
      <c r="X1218" s="290"/>
      <c r="Y1218" s="290"/>
      <c r="Z1218" s="290"/>
      <c r="AA1218" s="290"/>
      <c r="AB1218" s="290"/>
      <c r="AC1218" s="290"/>
      <c r="AD1218" s="290"/>
    </row>
    <row r="1219" spans="1:30" ht="25.5">
      <c r="A1219" s="291"/>
      <c r="B1219" s="291"/>
      <c r="C1219" s="291"/>
      <c r="D1219" s="83"/>
      <c r="E1219" s="59"/>
      <c r="F1219" s="82"/>
      <c r="G1219" s="82"/>
      <c r="H1219" s="86"/>
      <c r="I1219" s="294"/>
      <c r="J1219" s="59"/>
      <c r="K1219" s="83"/>
      <c r="L1219" s="83" t="str">
        <f t="shared" si="46"/>
        <v xml:space="preserve">
</v>
      </c>
      <c r="M1219" s="83"/>
      <c r="N1219" s="59"/>
      <c r="O1219" s="59"/>
      <c r="P1219" s="86">
        <f t="shared" si="47"/>
        <v>0</v>
      </c>
      <c r="Q1219" s="59"/>
      <c r="R1219" s="59"/>
      <c r="S1219" s="59"/>
      <c r="T1219" s="59"/>
      <c r="U1219" s="290"/>
      <c r="V1219" s="290"/>
      <c r="W1219" s="290"/>
      <c r="X1219" s="290"/>
      <c r="Y1219" s="290"/>
      <c r="Z1219" s="290"/>
      <c r="AA1219" s="290"/>
      <c r="AB1219" s="290"/>
      <c r="AC1219" s="290"/>
      <c r="AD1219" s="290"/>
    </row>
    <row r="1220" spans="1:30" ht="25.5">
      <c r="A1220" s="291"/>
      <c r="B1220" s="291"/>
      <c r="C1220" s="291"/>
      <c r="D1220" s="83"/>
      <c r="E1220" s="59"/>
      <c r="F1220" s="82"/>
      <c r="G1220" s="82"/>
      <c r="H1220" s="86"/>
      <c r="I1220" s="294"/>
      <c r="J1220" s="59"/>
      <c r="K1220" s="83"/>
      <c r="L1220" s="83" t="str">
        <f t="shared" si="46"/>
        <v xml:space="preserve">
</v>
      </c>
      <c r="M1220" s="83"/>
      <c r="N1220" s="59"/>
      <c r="O1220" s="59"/>
      <c r="P1220" s="86">
        <f t="shared" si="47"/>
        <v>0</v>
      </c>
      <c r="Q1220" s="59"/>
      <c r="R1220" s="59"/>
      <c r="S1220" s="59"/>
      <c r="T1220" s="59"/>
      <c r="U1220" s="290"/>
      <c r="V1220" s="290"/>
      <c r="W1220" s="290"/>
      <c r="X1220" s="290"/>
      <c r="Y1220" s="290"/>
      <c r="Z1220" s="290"/>
      <c r="AA1220" s="290"/>
      <c r="AB1220" s="290"/>
      <c r="AC1220" s="290"/>
      <c r="AD1220" s="290"/>
    </row>
    <row r="1221" spans="1:30" ht="25.5">
      <c r="A1221" s="291"/>
      <c r="B1221" s="291"/>
      <c r="C1221" s="291"/>
      <c r="D1221" s="83"/>
      <c r="E1221" s="59"/>
      <c r="F1221" s="82"/>
      <c r="G1221" s="82"/>
      <c r="H1221" s="86"/>
      <c r="I1221" s="294"/>
      <c r="J1221" s="59"/>
      <c r="K1221" s="83"/>
      <c r="L1221" s="83" t="str">
        <f t="shared" si="46"/>
        <v xml:space="preserve">
</v>
      </c>
      <c r="M1221" s="83"/>
      <c r="N1221" s="59"/>
      <c r="O1221" s="59"/>
      <c r="P1221" s="86">
        <f t="shared" si="47"/>
        <v>0</v>
      </c>
      <c r="Q1221" s="59"/>
      <c r="R1221" s="59"/>
      <c r="S1221" s="59"/>
      <c r="T1221" s="59"/>
      <c r="U1221" s="290"/>
      <c r="V1221" s="290"/>
      <c r="W1221" s="290"/>
      <c r="X1221" s="290"/>
      <c r="Y1221" s="290"/>
      <c r="Z1221" s="290"/>
      <c r="AA1221" s="290"/>
      <c r="AB1221" s="290"/>
      <c r="AC1221" s="290"/>
      <c r="AD1221" s="290"/>
    </row>
    <row r="1222" spans="1:30" ht="25.5">
      <c r="A1222" s="291"/>
      <c r="B1222" s="291"/>
      <c r="C1222" s="291"/>
      <c r="D1222" s="83"/>
      <c r="E1222" s="59"/>
      <c r="F1222" s="82"/>
      <c r="G1222" s="82"/>
      <c r="H1222" s="86"/>
      <c r="I1222" s="294"/>
      <c r="J1222" s="59"/>
      <c r="K1222" s="83"/>
      <c r="L1222" s="83" t="str">
        <f t="shared" si="46"/>
        <v xml:space="preserve">
</v>
      </c>
      <c r="M1222" s="83"/>
      <c r="N1222" s="59"/>
      <c r="O1222" s="59"/>
      <c r="P1222" s="86">
        <f t="shared" si="47"/>
        <v>0</v>
      </c>
      <c r="Q1222" s="59"/>
      <c r="R1222" s="59"/>
      <c r="S1222" s="59"/>
      <c r="T1222" s="59"/>
      <c r="U1222" s="290"/>
      <c r="V1222" s="290"/>
      <c r="W1222" s="290"/>
      <c r="X1222" s="290"/>
      <c r="Y1222" s="290"/>
      <c r="Z1222" s="290"/>
      <c r="AA1222" s="290"/>
      <c r="AB1222" s="290"/>
      <c r="AC1222" s="290"/>
      <c r="AD1222" s="290"/>
    </row>
    <row r="1223" spans="1:30" ht="25.5">
      <c r="A1223" s="291"/>
      <c r="B1223" s="291"/>
      <c r="C1223" s="291"/>
      <c r="D1223" s="83"/>
      <c r="E1223" s="59"/>
      <c r="F1223" s="82"/>
      <c r="G1223" s="82"/>
      <c r="H1223" s="86"/>
      <c r="I1223" s="294"/>
      <c r="J1223" s="59"/>
      <c r="K1223" s="83"/>
      <c r="L1223" s="83" t="str">
        <f t="shared" si="46"/>
        <v xml:space="preserve">
</v>
      </c>
      <c r="M1223" s="83"/>
      <c r="N1223" s="59"/>
      <c r="O1223" s="59"/>
      <c r="P1223" s="86">
        <f t="shared" si="47"/>
        <v>0</v>
      </c>
      <c r="Q1223" s="59"/>
      <c r="R1223" s="59"/>
      <c r="S1223" s="59"/>
      <c r="T1223" s="59"/>
      <c r="U1223" s="290"/>
      <c r="V1223" s="290"/>
      <c r="W1223" s="290"/>
      <c r="X1223" s="290"/>
      <c r="Y1223" s="290"/>
      <c r="Z1223" s="290"/>
      <c r="AA1223" s="290"/>
      <c r="AB1223" s="290"/>
      <c r="AC1223" s="290"/>
      <c r="AD1223" s="290"/>
    </row>
    <row r="1224" spans="1:30" ht="25.5">
      <c r="A1224" s="291"/>
      <c r="B1224" s="291"/>
      <c r="C1224" s="291"/>
      <c r="D1224" s="83"/>
      <c r="E1224" s="59"/>
      <c r="F1224" s="82"/>
      <c r="G1224" s="82"/>
      <c r="H1224" s="86"/>
      <c r="I1224" s="294"/>
      <c r="J1224" s="59"/>
      <c r="K1224" s="83"/>
      <c r="L1224" s="83" t="str">
        <f t="shared" si="46"/>
        <v xml:space="preserve">
</v>
      </c>
      <c r="M1224" s="83"/>
      <c r="N1224" s="59"/>
      <c r="O1224" s="59"/>
      <c r="P1224" s="86">
        <f t="shared" si="47"/>
        <v>0</v>
      </c>
      <c r="Q1224" s="59"/>
      <c r="R1224" s="59"/>
      <c r="S1224" s="59"/>
      <c r="T1224" s="59"/>
      <c r="U1224" s="290"/>
      <c r="V1224" s="290"/>
      <c r="W1224" s="290"/>
      <c r="X1224" s="290"/>
      <c r="Y1224" s="290"/>
      <c r="Z1224" s="290"/>
      <c r="AA1224" s="290"/>
      <c r="AB1224" s="290"/>
      <c r="AC1224" s="290"/>
      <c r="AD1224" s="290"/>
    </row>
    <row r="1225" spans="1:30" ht="25.5">
      <c r="A1225" s="291"/>
      <c r="B1225" s="291"/>
      <c r="C1225" s="291"/>
      <c r="D1225" s="83"/>
      <c r="E1225" s="59"/>
      <c r="F1225" s="82"/>
      <c r="G1225" s="82"/>
      <c r="H1225" s="86"/>
      <c r="I1225" s="294"/>
      <c r="J1225" s="59"/>
      <c r="K1225" s="83"/>
      <c r="L1225" s="83" t="str">
        <f t="shared" si="46"/>
        <v xml:space="preserve">
</v>
      </c>
      <c r="M1225" s="83"/>
      <c r="N1225" s="59"/>
      <c r="O1225" s="59"/>
      <c r="P1225" s="86">
        <f t="shared" si="47"/>
        <v>0</v>
      </c>
      <c r="Q1225" s="59"/>
      <c r="R1225" s="59"/>
      <c r="S1225" s="59"/>
      <c r="T1225" s="59"/>
      <c r="U1225" s="290"/>
      <c r="V1225" s="290"/>
      <c r="W1225" s="290"/>
      <c r="X1225" s="290"/>
      <c r="Y1225" s="290"/>
      <c r="Z1225" s="290"/>
      <c r="AA1225" s="290"/>
      <c r="AB1225" s="290"/>
      <c r="AC1225" s="290"/>
      <c r="AD1225" s="290"/>
    </row>
    <row r="1226" spans="1:30" ht="25.5">
      <c r="A1226" s="291"/>
      <c r="B1226" s="291"/>
      <c r="C1226" s="291"/>
      <c r="D1226" s="83"/>
      <c r="E1226" s="59"/>
      <c r="F1226" s="82"/>
      <c r="G1226" s="82"/>
      <c r="H1226" s="86"/>
      <c r="I1226" s="294"/>
      <c r="J1226" s="59"/>
      <c r="K1226" s="83"/>
      <c r="L1226" s="83" t="str">
        <f t="shared" si="46"/>
        <v xml:space="preserve">
</v>
      </c>
      <c r="M1226" s="83"/>
      <c r="N1226" s="59"/>
      <c r="O1226" s="59"/>
      <c r="P1226" s="86">
        <f t="shared" si="47"/>
        <v>0</v>
      </c>
      <c r="Q1226" s="59"/>
      <c r="R1226" s="59"/>
      <c r="S1226" s="59"/>
      <c r="T1226" s="59"/>
      <c r="U1226" s="290"/>
      <c r="V1226" s="290"/>
      <c r="W1226" s="290"/>
      <c r="X1226" s="290"/>
      <c r="Y1226" s="290"/>
      <c r="Z1226" s="290"/>
      <c r="AA1226" s="290"/>
      <c r="AB1226" s="290"/>
      <c r="AC1226" s="290"/>
      <c r="AD1226" s="290"/>
    </row>
    <row r="1227" spans="1:30" ht="25.5">
      <c r="A1227" s="291"/>
      <c r="B1227" s="291"/>
      <c r="C1227" s="291"/>
      <c r="D1227" s="83"/>
      <c r="E1227" s="59"/>
      <c r="F1227" s="82"/>
      <c r="G1227" s="82"/>
      <c r="H1227" s="86"/>
      <c r="I1227" s="294"/>
      <c r="J1227" s="59"/>
      <c r="K1227" s="83"/>
      <c r="L1227" s="83" t="str">
        <f t="shared" si="46"/>
        <v xml:space="preserve">
</v>
      </c>
      <c r="M1227" s="83"/>
      <c r="N1227" s="59"/>
      <c r="O1227" s="59"/>
      <c r="P1227" s="86">
        <f t="shared" si="47"/>
        <v>0</v>
      </c>
      <c r="Q1227" s="59"/>
      <c r="R1227" s="59"/>
      <c r="S1227" s="59"/>
      <c r="T1227" s="59"/>
      <c r="U1227" s="290"/>
      <c r="V1227" s="290"/>
      <c r="W1227" s="290"/>
      <c r="X1227" s="290"/>
      <c r="Y1227" s="290"/>
      <c r="Z1227" s="290"/>
      <c r="AA1227" s="290"/>
      <c r="AB1227" s="290"/>
      <c r="AC1227" s="290"/>
      <c r="AD1227" s="290"/>
    </row>
    <row r="1228" spans="1:30" ht="25.5">
      <c r="A1228" s="291"/>
      <c r="B1228" s="291"/>
      <c r="C1228" s="291"/>
      <c r="D1228" s="83"/>
      <c r="E1228" s="59"/>
      <c r="F1228" s="82"/>
      <c r="G1228" s="82"/>
      <c r="H1228" s="86"/>
      <c r="I1228" s="294"/>
      <c r="J1228" s="59"/>
      <c r="K1228" s="83"/>
      <c r="L1228" s="83" t="str">
        <f t="shared" si="46"/>
        <v xml:space="preserve">
</v>
      </c>
      <c r="M1228" s="83"/>
      <c r="N1228" s="59"/>
      <c r="O1228" s="59"/>
      <c r="P1228" s="86">
        <f t="shared" si="47"/>
        <v>0</v>
      </c>
      <c r="Q1228" s="59"/>
      <c r="R1228" s="59"/>
      <c r="S1228" s="59"/>
      <c r="T1228" s="59"/>
      <c r="U1228" s="290"/>
      <c r="V1228" s="290"/>
      <c r="W1228" s="290"/>
      <c r="X1228" s="290"/>
      <c r="Y1228" s="290"/>
      <c r="Z1228" s="290"/>
      <c r="AA1228" s="290"/>
      <c r="AB1228" s="290"/>
      <c r="AC1228" s="290"/>
      <c r="AD1228" s="290"/>
    </row>
    <row r="1229" spans="1:30" ht="25.5">
      <c r="A1229" s="291"/>
      <c r="B1229" s="291"/>
      <c r="C1229" s="291"/>
      <c r="D1229" s="83"/>
      <c r="E1229" s="59"/>
      <c r="F1229" s="82"/>
      <c r="G1229" s="82"/>
      <c r="H1229" s="86"/>
      <c r="I1229" s="294"/>
      <c r="J1229" s="59"/>
      <c r="K1229" s="83"/>
      <c r="L1229" s="83" t="str">
        <f t="shared" si="46"/>
        <v xml:space="preserve">
</v>
      </c>
      <c r="M1229" s="83"/>
      <c r="N1229" s="59"/>
      <c r="O1229" s="59"/>
      <c r="P1229" s="86">
        <f t="shared" si="47"/>
        <v>0</v>
      </c>
      <c r="Q1229" s="59"/>
      <c r="R1229" s="59"/>
      <c r="S1229" s="59"/>
      <c r="T1229" s="59"/>
      <c r="U1229" s="290"/>
      <c r="V1229" s="290"/>
      <c r="W1229" s="290"/>
      <c r="X1229" s="290"/>
      <c r="Y1229" s="290"/>
      <c r="Z1229" s="290"/>
      <c r="AA1229" s="290"/>
      <c r="AB1229" s="290"/>
      <c r="AC1229" s="290"/>
      <c r="AD1229" s="290"/>
    </row>
    <row r="1230" spans="1:30" ht="25.5">
      <c r="A1230" s="291"/>
      <c r="B1230" s="291"/>
      <c r="C1230" s="291"/>
      <c r="D1230" s="83"/>
      <c r="E1230" s="59"/>
      <c r="F1230" s="82"/>
      <c r="G1230" s="82"/>
      <c r="H1230" s="86"/>
      <c r="I1230" s="294"/>
      <c r="J1230" s="59"/>
      <c r="K1230" s="83"/>
      <c r="L1230" s="83" t="str">
        <f t="shared" si="46"/>
        <v xml:space="preserve">
</v>
      </c>
      <c r="M1230" s="83"/>
      <c r="N1230" s="59"/>
      <c r="O1230" s="59"/>
      <c r="P1230" s="86">
        <f t="shared" si="47"/>
        <v>0</v>
      </c>
      <c r="Q1230" s="59"/>
      <c r="R1230" s="59"/>
      <c r="S1230" s="59"/>
      <c r="T1230" s="59"/>
      <c r="U1230" s="290"/>
      <c r="V1230" s="290"/>
      <c r="W1230" s="290"/>
      <c r="X1230" s="290"/>
      <c r="Y1230" s="290"/>
      <c r="Z1230" s="290"/>
      <c r="AA1230" s="290"/>
      <c r="AB1230" s="290"/>
      <c r="AC1230" s="290"/>
      <c r="AD1230" s="290"/>
    </row>
    <row r="1231" spans="1:30" ht="25.5">
      <c r="A1231" s="291"/>
      <c r="B1231" s="291"/>
      <c r="C1231" s="291"/>
      <c r="D1231" s="83"/>
      <c r="E1231" s="59"/>
      <c r="F1231" s="82"/>
      <c r="G1231" s="82"/>
      <c r="H1231" s="86"/>
      <c r="I1231" s="294"/>
      <c r="J1231" s="59"/>
      <c r="K1231" s="83"/>
      <c r="L1231" s="83" t="str">
        <f t="shared" si="46"/>
        <v xml:space="preserve">
</v>
      </c>
      <c r="M1231" s="83"/>
      <c r="N1231" s="59"/>
      <c r="O1231" s="59"/>
      <c r="P1231" s="86">
        <f t="shared" si="47"/>
        <v>0</v>
      </c>
      <c r="Q1231" s="59"/>
      <c r="R1231" s="59"/>
      <c r="S1231" s="59"/>
      <c r="T1231" s="59"/>
      <c r="U1231" s="290"/>
      <c r="V1231" s="290"/>
      <c r="W1231" s="290"/>
      <c r="X1231" s="290"/>
      <c r="Y1231" s="290"/>
      <c r="Z1231" s="290"/>
      <c r="AA1231" s="290"/>
      <c r="AB1231" s="290"/>
      <c r="AC1231" s="290"/>
      <c r="AD1231" s="290"/>
    </row>
    <row r="1232" spans="1:30" ht="25.5">
      <c r="A1232" s="291"/>
      <c r="B1232" s="291"/>
      <c r="C1232" s="291"/>
      <c r="D1232" s="83"/>
      <c r="E1232" s="59"/>
      <c r="F1232" s="82"/>
      <c r="G1232" s="82"/>
      <c r="H1232" s="86"/>
      <c r="I1232" s="294"/>
      <c r="J1232" s="59"/>
      <c r="K1232" s="83"/>
      <c r="L1232" s="83" t="str">
        <f t="shared" si="46"/>
        <v xml:space="preserve">
</v>
      </c>
      <c r="M1232" s="83"/>
      <c r="N1232" s="59"/>
      <c r="O1232" s="59"/>
      <c r="P1232" s="86">
        <f t="shared" si="47"/>
        <v>0</v>
      </c>
      <c r="Q1232" s="59"/>
      <c r="R1232" s="59"/>
      <c r="S1232" s="59"/>
      <c r="T1232" s="59"/>
      <c r="U1232" s="290"/>
      <c r="V1232" s="290"/>
      <c r="W1232" s="290"/>
      <c r="X1232" s="290"/>
      <c r="Y1232" s="290"/>
      <c r="Z1232" s="290"/>
      <c r="AA1232" s="290"/>
      <c r="AB1232" s="290"/>
      <c r="AC1232" s="290"/>
      <c r="AD1232" s="290"/>
    </row>
    <row r="1233" spans="1:30" ht="25.5">
      <c r="A1233" s="291"/>
      <c r="B1233" s="291"/>
      <c r="C1233" s="291"/>
      <c r="D1233" s="83"/>
      <c r="E1233" s="59"/>
      <c r="F1233" s="82"/>
      <c r="G1233" s="82"/>
      <c r="H1233" s="86"/>
      <c r="I1233" s="294"/>
      <c r="J1233" s="59"/>
      <c r="K1233" s="83"/>
      <c r="L1233" s="83" t="str">
        <f t="shared" si="46"/>
        <v xml:space="preserve">
</v>
      </c>
      <c r="M1233" s="83"/>
      <c r="N1233" s="59"/>
      <c r="O1233" s="59"/>
      <c r="P1233" s="86">
        <f t="shared" si="47"/>
        <v>0</v>
      </c>
      <c r="Q1233" s="59"/>
      <c r="R1233" s="59"/>
      <c r="S1233" s="59"/>
      <c r="T1233" s="59"/>
      <c r="U1233" s="290"/>
      <c r="V1233" s="290"/>
      <c r="W1233" s="290"/>
      <c r="X1233" s="290"/>
      <c r="Y1233" s="290"/>
      <c r="Z1233" s="290"/>
      <c r="AA1233" s="290"/>
      <c r="AB1233" s="290"/>
      <c r="AC1233" s="290"/>
      <c r="AD1233" s="290"/>
    </row>
    <row r="1234" spans="1:30" ht="25.5">
      <c r="A1234" s="291"/>
      <c r="B1234" s="291"/>
      <c r="C1234" s="291"/>
      <c r="D1234" s="83"/>
      <c r="E1234" s="59"/>
      <c r="F1234" s="82"/>
      <c r="G1234" s="82"/>
      <c r="H1234" s="86"/>
      <c r="I1234" s="294"/>
      <c r="J1234" s="59"/>
      <c r="K1234" s="83"/>
      <c r="L1234" s="83" t="str">
        <f t="shared" si="46"/>
        <v xml:space="preserve">
</v>
      </c>
      <c r="M1234" s="83"/>
      <c r="N1234" s="59"/>
      <c r="O1234" s="59"/>
      <c r="P1234" s="86">
        <f t="shared" si="47"/>
        <v>0</v>
      </c>
      <c r="Q1234" s="59"/>
      <c r="R1234" s="59"/>
      <c r="S1234" s="59"/>
      <c r="T1234" s="59"/>
      <c r="U1234" s="290"/>
      <c r="V1234" s="290"/>
      <c r="W1234" s="290"/>
      <c r="X1234" s="290"/>
      <c r="Y1234" s="290"/>
      <c r="Z1234" s="290"/>
      <c r="AA1234" s="290"/>
      <c r="AB1234" s="290"/>
      <c r="AC1234" s="290"/>
      <c r="AD1234" s="290"/>
    </row>
    <row r="1235" spans="1:30" ht="25.5">
      <c r="A1235" s="291"/>
      <c r="B1235" s="291"/>
      <c r="C1235" s="291"/>
      <c r="D1235" s="83"/>
      <c r="E1235" s="59"/>
      <c r="F1235" s="82"/>
      <c r="G1235" s="82"/>
      <c r="H1235" s="86"/>
      <c r="I1235" s="294"/>
      <c r="J1235" s="59"/>
      <c r="K1235" s="83"/>
      <c r="L1235" s="83" t="str">
        <f t="shared" si="46"/>
        <v xml:space="preserve">
</v>
      </c>
      <c r="M1235" s="83"/>
      <c r="N1235" s="59"/>
      <c r="O1235" s="59"/>
      <c r="P1235" s="86">
        <f t="shared" si="47"/>
        <v>0</v>
      </c>
      <c r="Q1235" s="59"/>
      <c r="R1235" s="59"/>
      <c r="S1235" s="59"/>
      <c r="T1235" s="59"/>
      <c r="U1235" s="290"/>
      <c r="V1235" s="290"/>
      <c r="W1235" s="290"/>
      <c r="X1235" s="290"/>
      <c r="Y1235" s="290"/>
      <c r="Z1235" s="290"/>
      <c r="AA1235" s="290"/>
      <c r="AB1235" s="290"/>
      <c r="AC1235" s="290"/>
      <c r="AD1235" s="290"/>
    </row>
    <row r="1236" spans="1:30" ht="25.5">
      <c r="A1236" s="291"/>
      <c r="B1236" s="291"/>
      <c r="C1236" s="291"/>
      <c r="D1236" s="83"/>
      <c r="E1236" s="59"/>
      <c r="F1236" s="82"/>
      <c r="G1236" s="82"/>
      <c r="H1236" s="86"/>
      <c r="I1236" s="294"/>
      <c r="J1236" s="59"/>
      <c r="K1236" s="83"/>
      <c r="L1236" s="83" t="str">
        <f t="shared" si="46"/>
        <v xml:space="preserve">
</v>
      </c>
      <c r="M1236" s="83"/>
      <c r="N1236" s="59"/>
      <c r="O1236" s="59"/>
      <c r="P1236" s="86">
        <f t="shared" si="47"/>
        <v>0</v>
      </c>
      <c r="Q1236" s="59"/>
      <c r="R1236" s="59"/>
      <c r="S1236" s="59"/>
      <c r="T1236" s="59"/>
      <c r="U1236" s="290"/>
      <c r="V1236" s="290"/>
      <c r="W1236" s="290"/>
      <c r="X1236" s="290"/>
      <c r="Y1236" s="290"/>
      <c r="Z1236" s="290"/>
      <c r="AA1236" s="290"/>
      <c r="AB1236" s="290"/>
      <c r="AC1236" s="290"/>
      <c r="AD1236" s="290"/>
    </row>
    <row r="1237" spans="1:30" ht="25.5">
      <c r="A1237" s="291"/>
      <c r="B1237" s="291"/>
      <c r="C1237" s="291"/>
      <c r="D1237" s="83"/>
      <c r="E1237" s="59"/>
      <c r="F1237" s="82"/>
      <c r="G1237" s="82"/>
      <c r="H1237" s="86"/>
      <c r="I1237" s="294"/>
      <c r="J1237" s="59"/>
      <c r="K1237" s="83"/>
      <c r="L1237" s="83" t="str">
        <f t="shared" si="46"/>
        <v xml:space="preserve">
</v>
      </c>
      <c r="M1237" s="83"/>
      <c r="N1237" s="59"/>
      <c r="O1237" s="59"/>
      <c r="P1237" s="86">
        <f t="shared" si="47"/>
        <v>0</v>
      </c>
      <c r="Q1237" s="59"/>
      <c r="R1237" s="59"/>
      <c r="S1237" s="59"/>
      <c r="T1237" s="59"/>
      <c r="U1237" s="290"/>
      <c r="V1237" s="290"/>
      <c r="W1237" s="290"/>
      <c r="X1237" s="290"/>
      <c r="Y1237" s="290"/>
      <c r="Z1237" s="290"/>
      <c r="AA1237" s="290"/>
      <c r="AB1237" s="290"/>
      <c r="AC1237" s="290"/>
      <c r="AD1237" s="290"/>
    </row>
    <row r="1238" spans="1:30" ht="25.5">
      <c r="A1238" s="291"/>
      <c r="B1238" s="291"/>
      <c r="C1238" s="291"/>
      <c r="D1238" s="83"/>
      <c r="E1238" s="59"/>
      <c r="F1238" s="82"/>
      <c r="G1238" s="82"/>
      <c r="H1238" s="86"/>
      <c r="I1238" s="294"/>
      <c r="J1238" s="59"/>
      <c r="K1238" s="83"/>
      <c r="L1238" s="83" t="str">
        <f t="shared" si="46"/>
        <v xml:space="preserve">
</v>
      </c>
      <c r="M1238" s="83"/>
      <c r="N1238" s="59"/>
      <c r="O1238" s="59"/>
      <c r="P1238" s="86">
        <f t="shared" si="47"/>
        <v>0</v>
      </c>
      <c r="Q1238" s="59"/>
      <c r="R1238" s="59"/>
      <c r="S1238" s="59"/>
      <c r="T1238" s="59"/>
      <c r="U1238" s="290"/>
      <c r="V1238" s="290"/>
      <c r="W1238" s="290"/>
      <c r="X1238" s="290"/>
      <c r="Y1238" s="290"/>
      <c r="Z1238" s="290"/>
      <c r="AA1238" s="290"/>
      <c r="AB1238" s="290"/>
      <c r="AC1238" s="290"/>
      <c r="AD1238" s="290"/>
    </row>
    <row r="1239" spans="1:30" ht="25.5">
      <c r="A1239" s="291"/>
      <c r="B1239" s="291"/>
      <c r="C1239" s="291"/>
      <c r="D1239" s="83"/>
      <c r="E1239" s="59"/>
      <c r="F1239" s="82"/>
      <c r="G1239" s="82"/>
      <c r="H1239" s="86"/>
      <c r="I1239" s="294"/>
      <c r="J1239" s="59"/>
      <c r="K1239" s="83"/>
      <c r="L1239" s="83" t="str">
        <f t="shared" si="46"/>
        <v xml:space="preserve">
</v>
      </c>
      <c r="M1239" s="83"/>
      <c r="N1239" s="59"/>
      <c r="O1239" s="59"/>
      <c r="P1239" s="86">
        <f t="shared" si="47"/>
        <v>0</v>
      </c>
      <c r="Q1239" s="59"/>
      <c r="R1239" s="59"/>
      <c r="S1239" s="59"/>
      <c r="T1239" s="59"/>
      <c r="U1239" s="290"/>
      <c r="V1239" s="290"/>
      <c r="W1239" s="290"/>
      <c r="X1239" s="290"/>
      <c r="Y1239" s="290"/>
      <c r="Z1239" s="290"/>
      <c r="AA1239" s="290"/>
      <c r="AB1239" s="290"/>
      <c r="AC1239" s="290"/>
      <c r="AD1239" s="290"/>
    </row>
    <row r="1240" spans="1:30" ht="25.5">
      <c r="A1240" s="291"/>
      <c r="B1240" s="291"/>
      <c r="C1240" s="291"/>
      <c r="D1240" s="83"/>
      <c r="E1240" s="59"/>
      <c r="F1240" s="82"/>
      <c r="G1240" s="82"/>
      <c r="H1240" s="86"/>
      <c r="I1240" s="294"/>
      <c r="J1240" s="59"/>
      <c r="K1240" s="83"/>
      <c r="L1240" s="83" t="str">
        <f t="shared" si="46"/>
        <v xml:space="preserve">
</v>
      </c>
      <c r="M1240" s="83"/>
      <c r="N1240" s="59"/>
      <c r="O1240" s="59"/>
      <c r="P1240" s="86">
        <f t="shared" si="47"/>
        <v>0</v>
      </c>
      <c r="Q1240" s="59"/>
      <c r="R1240" s="59"/>
      <c r="S1240" s="59"/>
      <c r="T1240" s="59"/>
      <c r="U1240" s="290"/>
      <c r="V1240" s="290"/>
      <c r="W1240" s="290"/>
      <c r="X1240" s="290"/>
      <c r="Y1240" s="290"/>
      <c r="Z1240" s="290"/>
      <c r="AA1240" s="290"/>
      <c r="AB1240" s="290"/>
      <c r="AC1240" s="290"/>
      <c r="AD1240" s="290"/>
    </row>
    <row r="1241" spans="1:30" ht="25.5">
      <c r="A1241" s="291"/>
      <c r="B1241" s="291"/>
      <c r="C1241" s="291"/>
      <c r="D1241" s="83"/>
      <c r="E1241" s="59"/>
      <c r="F1241" s="82"/>
      <c r="G1241" s="82"/>
      <c r="H1241" s="86"/>
      <c r="I1241" s="294"/>
      <c r="J1241" s="59"/>
      <c r="K1241" s="83"/>
      <c r="L1241" s="83" t="str">
        <f t="shared" si="46"/>
        <v xml:space="preserve">
</v>
      </c>
      <c r="M1241" s="83"/>
      <c r="N1241" s="59"/>
      <c r="O1241" s="59"/>
      <c r="P1241" s="86">
        <f t="shared" si="47"/>
        <v>0</v>
      </c>
      <c r="Q1241" s="59"/>
      <c r="R1241" s="59"/>
      <c r="S1241" s="59"/>
      <c r="T1241" s="59"/>
      <c r="U1241" s="290"/>
      <c r="V1241" s="290"/>
      <c r="W1241" s="290"/>
      <c r="X1241" s="290"/>
      <c r="Y1241" s="290"/>
      <c r="Z1241" s="290"/>
      <c r="AA1241" s="290"/>
      <c r="AB1241" s="290"/>
      <c r="AC1241" s="290"/>
      <c r="AD1241" s="290"/>
    </row>
    <row r="1242" spans="1:30" ht="25.5">
      <c r="A1242" s="291"/>
      <c r="B1242" s="291"/>
      <c r="C1242" s="291"/>
      <c r="D1242" s="83"/>
      <c r="E1242" s="59"/>
      <c r="F1242" s="82"/>
      <c r="G1242" s="82"/>
      <c r="H1242" s="86"/>
      <c r="I1242" s="294"/>
      <c r="J1242" s="59"/>
      <c r="K1242" s="83"/>
      <c r="L1242" s="83" t="str">
        <f t="shared" si="46"/>
        <v xml:space="preserve">
</v>
      </c>
      <c r="M1242" s="83"/>
      <c r="N1242" s="59"/>
      <c r="O1242" s="59"/>
      <c r="P1242" s="86">
        <f t="shared" si="47"/>
        <v>0</v>
      </c>
      <c r="Q1242" s="59"/>
      <c r="R1242" s="59"/>
      <c r="S1242" s="59"/>
      <c r="T1242" s="59"/>
      <c r="U1242" s="290"/>
      <c r="V1242" s="290"/>
      <c r="W1242" s="290"/>
      <c r="X1242" s="290"/>
      <c r="Y1242" s="290"/>
      <c r="Z1242" s="290"/>
      <c r="AA1242" s="290"/>
      <c r="AB1242" s="290"/>
      <c r="AC1242" s="290"/>
      <c r="AD1242" s="290"/>
    </row>
    <row r="1243" spans="1:30" ht="25.5">
      <c r="A1243" s="291"/>
      <c r="B1243" s="291"/>
      <c r="C1243" s="291"/>
      <c r="D1243" s="83"/>
      <c r="E1243" s="59"/>
      <c r="F1243" s="82"/>
      <c r="G1243" s="82"/>
      <c r="H1243" s="86"/>
      <c r="I1243" s="294"/>
      <c r="J1243" s="59"/>
      <c r="K1243" s="83"/>
      <c r="L1243" s="83" t="str">
        <f t="shared" si="46"/>
        <v xml:space="preserve">
</v>
      </c>
      <c r="M1243" s="83"/>
      <c r="N1243" s="59"/>
      <c r="O1243" s="59"/>
      <c r="P1243" s="86">
        <f t="shared" si="47"/>
        <v>0</v>
      </c>
      <c r="Q1243" s="59"/>
      <c r="R1243" s="59"/>
      <c r="S1243" s="59"/>
      <c r="T1243" s="59"/>
      <c r="U1243" s="290"/>
      <c r="V1243" s="290"/>
      <c r="W1243" s="290"/>
      <c r="X1243" s="290"/>
      <c r="Y1243" s="290"/>
      <c r="Z1243" s="290"/>
      <c r="AA1243" s="290"/>
      <c r="AB1243" s="290"/>
      <c r="AC1243" s="290"/>
      <c r="AD1243" s="290"/>
    </row>
    <row r="1244" spans="1:30" ht="25.5">
      <c r="A1244" s="291"/>
      <c r="B1244" s="291"/>
      <c r="C1244" s="291"/>
      <c r="D1244" s="83"/>
      <c r="E1244" s="59"/>
      <c r="F1244" s="82"/>
      <c r="G1244" s="82"/>
      <c r="H1244" s="86"/>
      <c r="I1244" s="294"/>
      <c r="J1244" s="59"/>
      <c r="K1244" s="83"/>
      <c r="L1244" s="83" t="str">
        <f t="shared" si="46"/>
        <v xml:space="preserve">
</v>
      </c>
      <c r="M1244" s="83"/>
      <c r="N1244" s="59"/>
      <c r="O1244" s="59"/>
      <c r="P1244" s="86">
        <f t="shared" si="47"/>
        <v>0</v>
      </c>
      <c r="Q1244" s="59"/>
      <c r="R1244" s="59"/>
      <c r="S1244" s="59"/>
      <c r="T1244" s="59"/>
      <c r="U1244" s="290"/>
      <c r="V1244" s="290"/>
      <c r="W1244" s="290"/>
      <c r="X1244" s="290"/>
      <c r="Y1244" s="290"/>
      <c r="Z1244" s="290"/>
      <c r="AA1244" s="290"/>
      <c r="AB1244" s="290"/>
      <c r="AC1244" s="290"/>
      <c r="AD1244" s="290"/>
    </row>
    <row r="1245" spans="1:30" ht="25.5">
      <c r="A1245" s="291"/>
      <c r="B1245" s="291"/>
      <c r="C1245" s="291"/>
      <c r="D1245" s="83"/>
      <c r="E1245" s="59"/>
      <c r="F1245" s="82"/>
      <c r="G1245" s="82"/>
      <c r="H1245" s="86"/>
      <c r="I1245" s="294"/>
      <c r="J1245" s="59"/>
      <c r="K1245" s="83"/>
      <c r="L1245" s="83" t="str">
        <f t="shared" si="46"/>
        <v xml:space="preserve">
</v>
      </c>
      <c r="M1245" s="83"/>
      <c r="N1245" s="59"/>
      <c r="O1245" s="59"/>
      <c r="P1245" s="86">
        <f t="shared" si="47"/>
        <v>0</v>
      </c>
      <c r="Q1245" s="59"/>
      <c r="R1245" s="59"/>
      <c r="S1245" s="59"/>
      <c r="T1245" s="59"/>
      <c r="U1245" s="290"/>
      <c r="V1245" s="290"/>
      <c r="W1245" s="290"/>
      <c r="X1245" s="290"/>
      <c r="Y1245" s="290"/>
      <c r="Z1245" s="290"/>
      <c r="AA1245" s="290"/>
      <c r="AB1245" s="290"/>
      <c r="AC1245" s="290"/>
      <c r="AD1245" s="290"/>
    </row>
    <row r="1246" spans="1:30" ht="25.5">
      <c r="A1246" s="291"/>
      <c r="B1246" s="291"/>
      <c r="C1246" s="291"/>
      <c r="D1246" s="83"/>
      <c r="E1246" s="59"/>
      <c r="F1246" s="82"/>
      <c r="G1246" s="82"/>
      <c r="H1246" s="86"/>
      <c r="I1246" s="294"/>
      <c r="J1246" s="59"/>
      <c r="K1246" s="83"/>
      <c r="L1246" s="83" t="str">
        <f t="shared" si="46"/>
        <v xml:space="preserve">
</v>
      </c>
      <c r="M1246" s="83"/>
      <c r="N1246" s="59"/>
      <c r="O1246" s="59"/>
      <c r="P1246" s="86">
        <f t="shared" si="47"/>
        <v>0</v>
      </c>
      <c r="Q1246" s="59"/>
      <c r="R1246" s="59"/>
      <c r="S1246" s="59"/>
      <c r="T1246" s="59"/>
      <c r="U1246" s="290"/>
      <c r="V1246" s="290"/>
      <c r="W1246" s="290"/>
      <c r="X1246" s="290"/>
      <c r="Y1246" s="290"/>
      <c r="Z1246" s="290"/>
      <c r="AA1246" s="290"/>
      <c r="AB1246" s="290"/>
      <c r="AC1246" s="290"/>
      <c r="AD1246" s="290"/>
    </row>
    <row r="1247" spans="1:30" ht="25.5">
      <c r="A1247" s="291"/>
      <c r="B1247" s="291"/>
      <c r="C1247" s="291"/>
      <c r="D1247" s="83"/>
      <c r="E1247" s="59"/>
      <c r="F1247" s="82"/>
      <c r="G1247" s="82"/>
      <c r="H1247" s="86"/>
      <c r="I1247" s="294"/>
      <c r="J1247" s="59"/>
      <c r="K1247" s="83"/>
      <c r="L1247" s="83" t="str">
        <f t="shared" si="46"/>
        <v xml:space="preserve">
</v>
      </c>
      <c r="M1247" s="83"/>
      <c r="N1247" s="59"/>
      <c r="O1247" s="59"/>
      <c r="P1247" s="86">
        <f t="shared" si="47"/>
        <v>0</v>
      </c>
      <c r="Q1247" s="59"/>
      <c r="R1247" s="59"/>
      <c r="S1247" s="59"/>
      <c r="T1247" s="59"/>
      <c r="U1247" s="290"/>
      <c r="V1247" s="290"/>
      <c r="W1247" s="290"/>
      <c r="X1247" s="290"/>
      <c r="Y1247" s="290"/>
      <c r="Z1247" s="290"/>
      <c r="AA1247" s="290"/>
      <c r="AB1247" s="290"/>
      <c r="AC1247" s="290"/>
      <c r="AD1247" s="290"/>
    </row>
    <row r="1248" spans="1:30" ht="25.5">
      <c r="A1248" s="291"/>
      <c r="B1248" s="291"/>
      <c r="C1248" s="291"/>
      <c r="D1248" s="83"/>
      <c r="E1248" s="59"/>
      <c r="F1248" s="82"/>
      <c r="G1248" s="82"/>
      <c r="H1248" s="86"/>
      <c r="I1248" s="294"/>
      <c r="J1248" s="59"/>
      <c r="K1248" s="83"/>
      <c r="L1248" s="83" t="str">
        <f t="shared" si="46"/>
        <v xml:space="preserve">
</v>
      </c>
      <c r="M1248" s="83"/>
      <c r="N1248" s="59"/>
      <c r="O1248" s="59"/>
      <c r="P1248" s="86">
        <f t="shared" si="47"/>
        <v>0</v>
      </c>
      <c r="Q1248" s="59"/>
      <c r="R1248" s="59"/>
      <c r="S1248" s="59"/>
      <c r="T1248" s="59"/>
      <c r="U1248" s="290"/>
      <c r="V1248" s="290"/>
      <c r="W1248" s="290"/>
      <c r="X1248" s="290"/>
      <c r="Y1248" s="290"/>
      <c r="Z1248" s="290"/>
      <c r="AA1248" s="290"/>
      <c r="AB1248" s="290"/>
      <c r="AC1248" s="290"/>
      <c r="AD1248" s="290"/>
    </row>
    <row r="1249" spans="1:30" ht="25.5">
      <c r="A1249" s="291"/>
      <c r="B1249" s="291"/>
      <c r="C1249" s="291"/>
      <c r="D1249" s="83"/>
      <c r="E1249" s="59"/>
      <c r="F1249" s="82"/>
      <c r="G1249" s="82"/>
      <c r="H1249" s="86"/>
      <c r="I1249" s="294"/>
      <c r="J1249" s="59"/>
      <c r="K1249" s="83"/>
      <c r="L1249" s="83" t="str">
        <f t="shared" si="46"/>
        <v xml:space="preserve">
</v>
      </c>
      <c r="M1249" s="83"/>
      <c r="N1249" s="59"/>
      <c r="O1249" s="59"/>
      <c r="P1249" s="86">
        <f t="shared" si="47"/>
        <v>0</v>
      </c>
      <c r="Q1249" s="59"/>
      <c r="R1249" s="59"/>
      <c r="S1249" s="59"/>
      <c r="T1249" s="59"/>
      <c r="U1249" s="290"/>
      <c r="V1249" s="290"/>
      <c r="W1249" s="290"/>
      <c r="X1249" s="290"/>
      <c r="Y1249" s="290"/>
      <c r="Z1249" s="290"/>
      <c r="AA1249" s="290"/>
      <c r="AB1249" s="290"/>
      <c r="AC1249" s="290"/>
      <c r="AD1249" s="290"/>
    </row>
    <row r="1250" spans="1:30" ht="25.5">
      <c r="A1250" s="291"/>
      <c r="B1250" s="291"/>
      <c r="C1250" s="291"/>
      <c r="D1250" s="83"/>
      <c r="E1250" s="59"/>
      <c r="F1250" s="82"/>
      <c r="G1250" s="82"/>
      <c r="H1250" s="86"/>
      <c r="I1250" s="294"/>
      <c r="J1250" s="59"/>
      <c r="K1250" s="83"/>
      <c r="L1250" s="83" t="str">
        <f t="shared" si="46"/>
        <v xml:space="preserve">
</v>
      </c>
      <c r="M1250" s="83"/>
      <c r="N1250" s="59"/>
      <c r="O1250" s="59"/>
      <c r="P1250" s="86">
        <f t="shared" si="47"/>
        <v>0</v>
      </c>
      <c r="Q1250" s="59"/>
      <c r="R1250" s="59"/>
      <c r="S1250" s="59"/>
      <c r="T1250" s="59"/>
      <c r="U1250" s="290"/>
      <c r="V1250" s="290"/>
      <c r="W1250" s="290"/>
      <c r="X1250" s="290"/>
      <c r="Y1250" s="290"/>
      <c r="Z1250" s="290"/>
      <c r="AA1250" s="290"/>
      <c r="AB1250" s="290"/>
      <c r="AC1250" s="290"/>
      <c r="AD1250" s="290"/>
    </row>
    <row r="1251" spans="1:30" ht="25.5">
      <c r="A1251" s="291"/>
      <c r="B1251" s="291"/>
      <c r="C1251" s="291"/>
      <c r="D1251" s="83"/>
      <c r="E1251" s="59"/>
      <c r="F1251" s="82"/>
      <c r="G1251" s="82"/>
      <c r="H1251" s="86"/>
      <c r="I1251" s="294"/>
      <c r="J1251" s="59"/>
      <c r="K1251" s="83"/>
      <c r="L1251" s="83" t="str">
        <f t="shared" si="46"/>
        <v xml:space="preserve">
</v>
      </c>
      <c r="M1251" s="83"/>
      <c r="N1251" s="59"/>
      <c r="O1251" s="59"/>
      <c r="P1251" s="86">
        <f t="shared" si="47"/>
        <v>0</v>
      </c>
      <c r="Q1251" s="59"/>
      <c r="R1251" s="59"/>
      <c r="S1251" s="59"/>
      <c r="T1251" s="59"/>
      <c r="U1251" s="290"/>
      <c r="V1251" s="290"/>
      <c r="W1251" s="290"/>
      <c r="X1251" s="290"/>
      <c r="Y1251" s="290"/>
      <c r="Z1251" s="290"/>
      <c r="AA1251" s="290"/>
      <c r="AB1251" s="290"/>
      <c r="AC1251" s="290"/>
      <c r="AD1251" s="290"/>
    </row>
    <row r="1252" spans="1:30" ht="25.5">
      <c r="A1252" s="291"/>
      <c r="B1252" s="291"/>
      <c r="C1252" s="291"/>
      <c r="D1252" s="83"/>
      <c r="E1252" s="59"/>
      <c r="F1252" s="82"/>
      <c r="G1252" s="82"/>
      <c r="H1252" s="86"/>
      <c r="I1252" s="294"/>
      <c r="J1252" s="59"/>
      <c r="K1252" s="83"/>
      <c r="L1252" s="83" t="str">
        <f t="shared" si="46"/>
        <v xml:space="preserve">
</v>
      </c>
      <c r="M1252" s="83"/>
      <c r="N1252" s="59"/>
      <c r="O1252" s="59"/>
      <c r="P1252" s="86">
        <f t="shared" si="47"/>
        <v>0</v>
      </c>
      <c r="Q1252" s="59"/>
      <c r="R1252" s="59"/>
      <c r="S1252" s="59"/>
      <c r="T1252" s="59"/>
      <c r="U1252" s="290"/>
      <c r="V1252" s="290"/>
      <c r="W1252" s="290"/>
      <c r="X1252" s="290"/>
      <c r="Y1252" s="290"/>
      <c r="Z1252" s="290"/>
      <c r="AA1252" s="290"/>
      <c r="AB1252" s="290"/>
      <c r="AC1252" s="290"/>
      <c r="AD1252" s="290"/>
    </row>
    <row r="1253" spans="1:30" ht="25.5">
      <c r="A1253" s="291"/>
      <c r="B1253" s="291"/>
      <c r="C1253" s="291"/>
      <c r="D1253" s="83"/>
      <c r="E1253" s="59"/>
      <c r="F1253" s="82"/>
      <c r="G1253" s="82"/>
      <c r="H1253" s="86"/>
      <c r="I1253" s="294"/>
      <c r="J1253" s="59"/>
      <c r="K1253" s="83"/>
      <c r="L1253" s="83" t="str">
        <f t="shared" si="46"/>
        <v xml:space="preserve">
</v>
      </c>
      <c r="M1253" s="83"/>
      <c r="N1253" s="59"/>
      <c r="O1253" s="59"/>
      <c r="P1253" s="86">
        <f t="shared" si="47"/>
        <v>0</v>
      </c>
      <c r="Q1253" s="59"/>
      <c r="R1253" s="59"/>
      <c r="S1253" s="59"/>
      <c r="T1253" s="59"/>
      <c r="U1253" s="290"/>
      <c r="V1253" s="290"/>
      <c r="W1253" s="290"/>
      <c r="X1253" s="290"/>
      <c r="Y1253" s="290"/>
      <c r="Z1253" s="290"/>
      <c r="AA1253" s="290"/>
      <c r="AB1253" s="290"/>
      <c r="AC1253" s="290"/>
      <c r="AD1253" s="290"/>
    </row>
    <row r="1254" spans="1:30" ht="25.5">
      <c r="A1254" s="291"/>
      <c r="B1254" s="291"/>
      <c r="C1254" s="291"/>
      <c r="D1254" s="83"/>
      <c r="E1254" s="59"/>
      <c r="F1254" s="82"/>
      <c r="G1254" s="82"/>
      <c r="H1254" s="86"/>
      <c r="I1254" s="294"/>
      <c r="J1254" s="59"/>
      <c r="K1254" s="83"/>
      <c r="L1254" s="83" t="str">
        <f t="shared" si="46"/>
        <v xml:space="preserve">
</v>
      </c>
      <c r="M1254" s="83"/>
      <c r="N1254" s="59"/>
      <c r="O1254" s="59"/>
      <c r="P1254" s="86">
        <f t="shared" si="47"/>
        <v>0</v>
      </c>
      <c r="Q1254" s="59"/>
      <c r="R1254" s="59"/>
      <c r="S1254" s="59"/>
      <c r="T1254" s="59"/>
      <c r="U1254" s="290"/>
      <c r="V1254" s="290"/>
      <c r="W1254" s="290"/>
      <c r="X1254" s="290"/>
      <c r="Y1254" s="290"/>
      <c r="Z1254" s="290"/>
      <c r="AA1254" s="290"/>
      <c r="AB1254" s="290"/>
      <c r="AC1254" s="290"/>
      <c r="AD1254" s="290"/>
    </row>
    <row r="1255" spans="1:30" ht="25.5">
      <c r="A1255" s="291"/>
      <c r="B1255" s="291"/>
      <c r="C1255" s="291"/>
      <c r="D1255" s="83"/>
      <c r="E1255" s="59"/>
      <c r="F1255" s="82"/>
      <c r="G1255" s="82"/>
      <c r="H1255" s="86"/>
      <c r="I1255" s="294"/>
      <c r="J1255" s="59"/>
      <c r="K1255" s="83"/>
      <c r="L1255" s="83" t="str">
        <f t="shared" si="46"/>
        <v xml:space="preserve">
</v>
      </c>
      <c r="M1255" s="83"/>
      <c r="N1255" s="59"/>
      <c r="O1255" s="59"/>
      <c r="P1255" s="86">
        <f t="shared" si="47"/>
        <v>0</v>
      </c>
      <c r="Q1255" s="59"/>
      <c r="R1255" s="59"/>
      <c r="S1255" s="59"/>
      <c r="T1255" s="59"/>
      <c r="U1255" s="290"/>
      <c r="V1255" s="290"/>
      <c r="W1255" s="290"/>
      <c r="X1255" s="290"/>
      <c r="Y1255" s="290"/>
      <c r="Z1255" s="290"/>
      <c r="AA1255" s="290"/>
      <c r="AB1255" s="290"/>
      <c r="AC1255" s="290"/>
      <c r="AD1255" s="290"/>
    </row>
    <row r="1256" spans="1:30" ht="25.5">
      <c r="A1256" s="291"/>
      <c r="B1256" s="291"/>
      <c r="C1256" s="291"/>
      <c r="D1256" s="83"/>
      <c r="E1256" s="59"/>
      <c r="F1256" s="82"/>
      <c r="G1256" s="82"/>
      <c r="H1256" s="86"/>
      <c r="I1256" s="294"/>
      <c r="J1256" s="59"/>
      <c r="K1256" s="83"/>
      <c r="L1256" s="83" t="str">
        <f t="shared" si="46"/>
        <v xml:space="preserve">
</v>
      </c>
      <c r="M1256" s="83"/>
      <c r="N1256" s="59"/>
      <c r="O1256" s="59"/>
      <c r="P1256" s="86">
        <f t="shared" si="47"/>
        <v>0</v>
      </c>
      <c r="Q1256" s="59"/>
      <c r="R1256" s="59"/>
      <c r="S1256" s="59"/>
      <c r="T1256" s="59"/>
      <c r="U1256" s="290"/>
      <c r="V1256" s="290"/>
      <c r="W1256" s="290"/>
      <c r="X1256" s="290"/>
      <c r="Y1256" s="290"/>
      <c r="Z1256" s="290"/>
      <c r="AA1256" s="290"/>
      <c r="AB1256" s="290"/>
      <c r="AC1256" s="290"/>
      <c r="AD1256" s="290"/>
    </row>
    <row r="1257" spans="1:30" ht="25.5">
      <c r="A1257" s="291"/>
      <c r="B1257" s="291"/>
      <c r="C1257" s="291"/>
      <c r="D1257" s="83"/>
      <c r="E1257" s="59"/>
      <c r="F1257" s="82"/>
      <c r="G1257" s="82"/>
      <c r="H1257" s="86"/>
      <c r="I1257" s="294"/>
      <c r="J1257" s="59"/>
      <c r="K1257" s="83"/>
      <c r="L1257" s="83" t="str">
        <f t="shared" si="46"/>
        <v xml:space="preserve">
</v>
      </c>
      <c r="M1257" s="83"/>
      <c r="N1257" s="59"/>
      <c r="O1257" s="59"/>
      <c r="P1257" s="86">
        <f t="shared" si="47"/>
        <v>0</v>
      </c>
      <c r="Q1257" s="59"/>
      <c r="R1257" s="59"/>
      <c r="S1257" s="59"/>
      <c r="T1257" s="59"/>
      <c r="U1257" s="290"/>
      <c r="V1257" s="290"/>
      <c r="W1257" s="290"/>
      <c r="X1257" s="290"/>
      <c r="Y1257" s="290"/>
      <c r="Z1257" s="290"/>
      <c r="AA1257" s="290"/>
      <c r="AB1257" s="290"/>
      <c r="AC1257" s="290"/>
      <c r="AD1257" s="290"/>
    </row>
    <row r="1258" spans="1:30" ht="25.5">
      <c r="A1258" s="291"/>
      <c r="B1258" s="291"/>
      <c r="C1258" s="291"/>
      <c r="D1258" s="83"/>
      <c r="E1258" s="59"/>
      <c r="F1258" s="82"/>
      <c r="G1258" s="82"/>
      <c r="H1258" s="86"/>
      <c r="I1258" s="294"/>
      <c r="J1258" s="59"/>
      <c r="K1258" s="83"/>
      <c r="L1258" s="83" t="str">
        <f t="shared" si="46"/>
        <v xml:space="preserve">
</v>
      </c>
      <c r="M1258" s="83"/>
      <c r="N1258" s="59"/>
      <c r="O1258" s="59"/>
      <c r="P1258" s="86">
        <f t="shared" si="47"/>
        <v>0</v>
      </c>
      <c r="Q1258" s="59"/>
      <c r="R1258" s="59"/>
      <c r="S1258" s="59"/>
      <c r="T1258" s="59"/>
      <c r="U1258" s="290"/>
      <c r="V1258" s="290"/>
      <c r="W1258" s="290"/>
      <c r="X1258" s="290"/>
      <c r="Y1258" s="290"/>
      <c r="Z1258" s="290"/>
      <c r="AA1258" s="290"/>
      <c r="AB1258" s="290"/>
      <c r="AC1258" s="290"/>
      <c r="AD1258" s="290"/>
    </row>
    <row r="1259" spans="1:30" ht="25.5">
      <c r="A1259" s="291"/>
      <c r="B1259" s="291"/>
      <c r="C1259" s="291"/>
      <c r="D1259" s="83"/>
      <c r="E1259" s="59"/>
      <c r="F1259" s="82"/>
      <c r="G1259" s="82"/>
      <c r="H1259" s="86"/>
      <c r="I1259" s="294"/>
      <c r="J1259" s="59"/>
      <c r="K1259" s="83"/>
      <c r="L1259" s="83" t="str">
        <f t="shared" si="46"/>
        <v xml:space="preserve">
</v>
      </c>
      <c r="M1259" s="83"/>
      <c r="N1259" s="59"/>
      <c r="O1259" s="59"/>
      <c r="P1259" s="86">
        <f t="shared" si="47"/>
        <v>0</v>
      </c>
      <c r="Q1259" s="59"/>
      <c r="R1259" s="59"/>
      <c r="S1259" s="59"/>
      <c r="T1259" s="59"/>
      <c r="U1259" s="290"/>
      <c r="V1259" s="290"/>
      <c r="W1259" s="290"/>
      <c r="X1259" s="290"/>
      <c r="Y1259" s="290"/>
      <c r="Z1259" s="290"/>
      <c r="AA1259" s="290"/>
      <c r="AB1259" s="290"/>
      <c r="AC1259" s="290"/>
      <c r="AD1259" s="290"/>
    </row>
    <row r="1260" spans="1:30" ht="25.5">
      <c r="A1260" s="291"/>
      <c r="B1260" s="291"/>
      <c r="C1260" s="291"/>
      <c r="D1260" s="83"/>
      <c r="E1260" s="59"/>
      <c r="F1260" s="82"/>
      <c r="G1260" s="82"/>
      <c r="H1260" s="86"/>
      <c r="I1260" s="294"/>
      <c r="J1260" s="59"/>
      <c r="K1260" s="83"/>
      <c r="L1260" s="83" t="str">
        <f t="shared" si="46"/>
        <v xml:space="preserve">
</v>
      </c>
      <c r="M1260" s="83"/>
      <c r="N1260" s="59"/>
      <c r="O1260" s="59"/>
      <c r="P1260" s="86">
        <f t="shared" si="47"/>
        <v>0</v>
      </c>
      <c r="Q1260" s="59"/>
      <c r="R1260" s="59"/>
      <c r="S1260" s="59"/>
      <c r="T1260" s="59"/>
      <c r="U1260" s="290"/>
      <c r="V1260" s="290"/>
      <c r="W1260" s="290"/>
      <c r="X1260" s="290"/>
      <c r="Y1260" s="290"/>
      <c r="Z1260" s="290"/>
      <c r="AA1260" s="290"/>
      <c r="AB1260" s="290"/>
      <c r="AC1260" s="290"/>
      <c r="AD1260" s="290"/>
    </row>
    <row r="1261" spans="1:30" ht="25.5">
      <c r="A1261" s="291"/>
      <c r="B1261" s="291"/>
      <c r="C1261" s="291"/>
      <c r="D1261" s="83"/>
      <c r="E1261" s="59"/>
      <c r="F1261" s="82"/>
      <c r="G1261" s="82"/>
      <c r="H1261" s="86"/>
      <c r="I1261" s="294"/>
      <c r="J1261" s="59"/>
      <c r="K1261" s="83"/>
      <c r="L1261" s="83" t="str">
        <f t="shared" si="46"/>
        <v xml:space="preserve">
</v>
      </c>
      <c r="M1261" s="83"/>
      <c r="N1261" s="59"/>
      <c r="O1261" s="59"/>
      <c r="P1261" s="86">
        <f t="shared" si="47"/>
        <v>0</v>
      </c>
      <c r="Q1261" s="59"/>
      <c r="R1261" s="59"/>
      <c r="S1261" s="59"/>
      <c r="T1261" s="59"/>
      <c r="U1261" s="290"/>
      <c r="V1261" s="290"/>
      <c r="W1261" s="290"/>
      <c r="X1261" s="290"/>
      <c r="Y1261" s="290"/>
      <c r="Z1261" s="290"/>
      <c r="AA1261" s="290"/>
      <c r="AB1261" s="290"/>
      <c r="AC1261" s="290"/>
      <c r="AD1261" s="290"/>
    </row>
    <row r="1262" spans="1:30" ht="25.5">
      <c r="A1262" s="291"/>
      <c r="B1262" s="291"/>
      <c r="C1262" s="291"/>
      <c r="D1262" s="83"/>
      <c r="E1262" s="59"/>
      <c r="F1262" s="82"/>
      <c r="G1262" s="82"/>
      <c r="H1262" s="86"/>
      <c r="I1262" s="294"/>
      <c r="J1262" s="59"/>
      <c r="K1262" s="83"/>
      <c r="L1262" s="83" t="str">
        <f t="shared" si="46"/>
        <v xml:space="preserve">
</v>
      </c>
      <c r="M1262" s="83"/>
      <c r="N1262" s="59"/>
      <c r="O1262" s="59"/>
      <c r="P1262" s="86">
        <f t="shared" si="47"/>
        <v>0</v>
      </c>
      <c r="Q1262" s="59"/>
      <c r="R1262" s="59"/>
      <c r="S1262" s="59"/>
      <c r="T1262" s="59"/>
      <c r="U1262" s="290"/>
      <c r="V1262" s="290"/>
      <c r="W1262" s="290"/>
      <c r="X1262" s="290"/>
      <c r="Y1262" s="290"/>
      <c r="Z1262" s="290"/>
      <c r="AA1262" s="290"/>
      <c r="AB1262" s="290"/>
      <c r="AC1262" s="290"/>
      <c r="AD1262" s="290"/>
    </row>
    <row r="1263" spans="1:30" ht="25.5">
      <c r="A1263" s="291"/>
      <c r="B1263" s="291"/>
      <c r="C1263" s="291"/>
      <c r="D1263" s="83"/>
      <c r="E1263" s="59"/>
      <c r="F1263" s="82"/>
      <c r="G1263" s="82"/>
      <c r="H1263" s="86"/>
      <c r="I1263" s="294"/>
      <c r="J1263" s="59"/>
      <c r="K1263" s="83"/>
      <c r="L1263" s="83" t="str">
        <f t="shared" si="46"/>
        <v xml:space="preserve">
</v>
      </c>
      <c r="M1263" s="83"/>
      <c r="N1263" s="59"/>
      <c r="O1263" s="59"/>
      <c r="P1263" s="86">
        <f t="shared" si="47"/>
        <v>0</v>
      </c>
      <c r="Q1263" s="59"/>
      <c r="R1263" s="59"/>
      <c r="S1263" s="59"/>
      <c r="T1263" s="59"/>
      <c r="U1263" s="290"/>
      <c r="V1263" s="290"/>
      <c r="W1263" s="290"/>
      <c r="X1263" s="290"/>
      <c r="Y1263" s="290"/>
      <c r="Z1263" s="290"/>
      <c r="AA1263" s="290"/>
      <c r="AB1263" s="290"/>
      <c r="AC1263" s="290"/>
      <c r="AD1263" s="290"/>
    </row>
    <row r="1264" spans="1:30" ht="25.5">
      <c r="A1264" s="291"/>
      <c r="B1264" s="291"/>
      <c r="C1264" s="291"/>
      <c r="D1264" s="83"/>
      <c r="E1264" s="59"/>
      <c r="F1264" s="82"/>
      <c r="G1264" s="82"/>
      <c r="H1264" s="86"/>
      <c r="I1264" s="294"/>
      <c r="J1264" s="59"/>
      <c r="K1264" s="83"/>
      <c r="L1264" s="83" t="str">
        <f t="shared" si="46"/>
        <v xml:space="preserve">
</v>
      </c>
      <c r="M1264" s="83"/>
      <c r="N1264" s="59"/>
      <c r="O1264" s="59"/>
      <c r="P1264" s="86">
        <f t="shared" si="47"/>
        <v>0</v>
      </c>
      <c r="Q1264" s="59"/>
      <c r="R1264" s="59"/>
      <c r="S1264" s="59"/>
      <c r="T1264" s="59"/>
      <c r="U1264" s="290"/>
      <c r="V1264" s="290"/>
      <c r="W1264" s="290"/>
      <c r="X1264" s="290"/>
      <c r="Y1264" s="290"/>
      <c r="Z1264" s="290"/>
      <c r="AA1264" s="290"/>
      <c r="AB1264" s="290"/>
      <c r="AC1264" s="290"/>
      <c r="AD1264" s="290"/>
    </row>
    <row r="1265" spans="1:30" ht="25.5">
      <c r="A1265" s="291"/>
      <c r="B1265" s="291"/>
      <c r="C1265" s="291"/>
      <c r="D1265" s="83"/>
      <c r="E1265" s="59"/>
      <c r="F1265" s="82"/>
      <c r="G1265" s="82"/>
      <c r="H1265" s="86"/>
      <c r="I1265" s="294"/>
      <c r="J1265" s="59"/>
      <c r="K1265" s="83"/>
      <c r="L1265" s="83" t="str">
        <f t="shared" si="46"/>
        <v xml:space="preserve">
</v>
      </c>
      <c r="M1265" s="83"/>
      <c r="N1265" s="59"/>
      <c r="O1265" s="59"/>
      <c r="P1265" s="86">
        <f t="shared" si="47"/>
        <v>0</v>
      </c>
      <c r="Q1265" s="59"/>
      <c r="R1265" s="59"/>
      <c r="S1265" s="59"/>
      <c r="T1265" s="59"/>
      <c r="U1265" s="290"/>
      <c r="V1265" s="290"/>
      <c r="W1265" s="290"/>
      <c r="X1265" s="290"/>
      <c r="Y1265" s="290"/>
      <c r="Z1265" s="290"/>
      <c r="AA1265" s="290"/>
      <c r="AB1265" s="290"/>
      <c r="AC1265" s="290"/>
      <c r="AD1265" s="290"/>
    </row>
    <row r="1266" spans="1:30" ht="25.5">
      <c r="A1266" s="291"/>
      <c r="B1266" s="291"/>
      <c r="C1266" s="291"/>
      <c r="D1266" s="83"/>
      <c r="E1266" s="59"/>
      <c r="F1266" s="82"/>
      <c r="G1266" s="82"/>
      <c r="H1266" s="86"/>
      <c r="I1266" s="294"/>
      <c r="J1266" s="59"/>
      <c r="K1266" s="83"/>
      <c r="L1266" s="83" t="str">
        <f t="shared" si="46"/>
        <v xml:space="preserve">
</v>
      </c>
      <c r="M1266" s="83"/>
      <c r="N1266" s="59"/>
      <c r="O1266" s="59"/>
      <c r="P1266" s="86">
        <f t="shared" si="47"/>
        <v>0</v>
      </c>
      <c r="Q1266" s="59"/>
      <c r="R1266" s="59"/>
      <c r="S1266" s="59"/>
      <c r="T1266" s="59"/>
      <c r="U1266" s="290"/>
      <c r="V1266" s="290"/>
      <c r="W1266" s="290"/>
      <c r="X1266" s="290"/>
      <c r="Y1266" s="290"/>
      <c r="Z1266" s="290"/>
      <c r="AA1266" s="290"/>
      <c r="AB1266" s="290"/>
      <c r="AC1266" s="290"/>
      <c r="AD1266" s="290"/>
    </row>
    <row r="1267" spans="1:30" ht="25.5">
      <c r="A1267" s="291"/>
      <c r="B1267" s="291"/>
      <c r="C1267" s="291"/>
      <c r="D1267" s="83"/>
      <c r="E1267" s="59"/>
      <c r="F1267" s="82"/>
      <c r="G1267" s="82"/>
      <c r="H1267" s="86"/>
      <c r="I1267" s="294"/>
      <c r="J1267" s="59"/>
      <c r="K1267" s="83"/>
      <c r="L1267" s="83" t="str">
        <f t="shared" si="46"/>
        <v xml:space="preserve">
</v>
      </c>
      <c r="M1267" s="83"/>
      <c r="N1267" s="59"/>
      <c r="O1267" s="59"/>
      <c r="P1267" s="86">
        <f t="shared" si="47"/>
        <v>0</v>
      </c>
      <c r="Q1267" s="59"/>
      <c r="R1267" s="59"/>
      <c r="S1267" s="59"/>
      <c r="T1267" s="59"/>
      <c r="U1267" s="290"/>
      <c r="V1267" s="290"/>
      <c r="W1267" s="290"/>
      <c r="X1267" s="290"/>
      <c r="Y1267" s="290"/>
      <c r="Z1267" s="290"/>
      <c r="AA1267" s="290"/>
      <c r="AB1267" s="290"/>
      <c r="AC1267" s="290"/>
      <c r="AD1267" s="290"/>
    </row>
    <row r="1268" spans="1:30" ht="25.5">
      <c r="A1268" s="291"/>
      <c r="B1268" s="291"/>
      <c r="C1268" s="291"/>
      <c r="D1268" s="83"/>
      <c r="E1268" s="59"/>
      <c r="F1268" s="82"/>
      <c r="G1268" s="82"/>
      <c r="H1268" s="86"/>
      <c r="I1268" s="294"/>
      <c r="J1268" s="59"/>
      <c r="K1268" s="83"/>
      <c r="L1268" s="83" t="str">
        <f t="shared" si="46"/>
        <v xml:space="preserve">
</v>
      </c>
      <c r="M1268" s="83"/>
      <c r="N1268" s="59"/>
      <c r="O1268" s="59"/>
      <c r="P1268" s="86">
        <f t="shared" si="47"/>
        <v>0</v>
      </c>
      <c r="Q1268" s="59"/>
      <c r="R1268" s="59"/>
      <c r="S1268" s="59"/>
      <c r="T1268" s="59"/>
      <c r="U1268" s="290"/>
      <c r="V1268" s="290"/>
      <c r="W1268" s="290"/>
      <c r="X1268" s="290"/>
      <c r="Y1268" s="290"/>
      <c r="Z1268" s="290"/>
      <c r="AA1268" s="290"/>
      <c r="AB1268" s="290"/>
      <c r="AC1268" s="290"/>
      <c r="AD1268" s="290"/>
    </row>
    <row r="1269" spans="1:30" ht="25.5">
      <c r="A1269" s="291"/>
      <c r="B1269" s="291"/>
      <c r="C1269" s="291"/>
      <c r="D1269" s="83"/>
      <c r="E1269" s="59"/>
      <c r="F1269" s="82"/>
      <c r="G1269" s="82"/>
      <c r="H1269" s="86"/>
      <c r="I1269" s="294"/>
      <c r="J1269" s="59"/>
      <c r="K1269" s="83"/>
      <c r="L1269" s="83" t="str">
        <f t="shared" si="46"/>
        <v xml:space="preserve">
</v>
      </c>
      <c r="M1269" s="83"/>
      <c r="N1269" s="59"/>
      <c r="O1269" s="59"/>
      <c r="P1269" s="86">
        <f t="shared" si="47"/>
        <v>0</v>
      </c>
      <c r="Q1269" s="59"/>
      <c r="R1269" s="59"/>
      <c r="S1269" s="59"/>
      <c r="T1269" s="59"/>
      <c r="U1269" s="290"/>
      <c r="V1269" s="290"/>
      <c r="W1269" s="290"/>
      <c r="X1269" s="290"/>
      <c r="Y1269" s="290"/>
      <c r="Z1269" s="290"/>
      <c r="AA1269" s="290"/>
      <c r="AB1269" s="290"/>
      <c r="AC1269" s="290"/>
      <c r="AD1269" s="290"/>
    </row>
    <row r="1270" spans="1:30" ht="25.5">
      <c r="A1270" s="291"/>
      <c r="B1270" s="291"/>
      <c r="C1270" s="291"/>
      <c r="D1270" s="83"/>
      <c r="E1270" s="59"/>
      <c r="F1270" s="82"/>
      <c r="G1270" s="82"/>
      <c r="H1270" s="86"/>
      <c r="I1270" s="294"/>
      <c r="J1270" s="59"/>
      <c r="K1270" s="83"/>
      <c r="L1270" s="83" t="str">
        <f t="shared" si="46"/>
        <v xml:space="preserve">
</v>
      </c>
      <c r="M1270" s="83"/>
      <c r="N1270" s="59"/>
      <c r="O1270" s="59"/>
      <c r="P1270" s="86">
        <f t="shared" si="47"/>
        <v>0</v>
      </c>
      <c r="Q1270" s="59"/>
      <c r="R1270" s="59"/>
      <c r="S1270" s="59"/>
      <c r="T1270" s="59"/>
      <c r="U1270" s="290"/>
      <c r="V1270" s="290"/>
      <c r="W1270" s="290"/>
      <c r="X1270" s="290"/>
      <c r="Y1270" s="290"/>
      <c r="Z1270" s="290"/>
      <c r="AA1270" s="290"/>
      <c r="AB1270" s="290"/>
      <c r="AC1270" s="290"/>
      <c r="AD1270" s="290"/>
    </row>
    <row r="1271" spans="1:30" ht="25.5">
      <c r="A1271" s="291"/>
      <c r="B1271" s="291"/>
      <c r="C1271" s="291"/>
      <c r="D1271" s="83"/>
      <c r="E1271" s="59"/>
      <c r="F1271" s="82"/>
      <c r="G1271" s="82"/>
      <c r="H1271" s="86"/>
      <c r="I1271" s="294"/>
      <c r="J1271" s="59"/>
      <c r="K1271" s="83"/>
      <c r="L1271" s="83" t="str">
        <f t="shared" si="46"/>
        <v xml:space="preserve">
</v>
      </c>
      <c r="M1271" s="83"/>
      <c r="N1271" s="59"/>
      <c r="O1271" s="59"/>
      <c r="P1271" s="86">
        <f t="shared" si="47"/>
        <v>0</v>
      </c>
      <c r="Q1271" s="59"/>
      <c r="R1271" s="59"/>
      <c r="S1271" s="59"/>
      <c r="T1271" s="59"/>
      <c r="U1271" s="290"/>
      <c r="V1271" s="290"/>
      <c r="W1271" s="290"/>
      <c r="X1271" s="290"/>
      <c r="Y1271" s="290"/>
      <c r="Z1271" s="290"/>
      <c r="AA1271" s="290"/>
      <c r="AB1271" s="290"/>
      <c r="AC1271" s="290"/>
      <c r="AD1271" s="290"/>
    </row>
    <row r="1272" spans="1:30" ht="25.5">
      <c r="A1272" s="291"/>
      <c r="B1272" s="291"/>
      <c r="C1272" s="291"/>
      <c r="D1272" s="83"/>
      <c r="E1272" s="59"/>
      <c r="F1272" s="82"/>
      <c r="G1272" s="82"/>
      <c r="H1272" s="86"/>
      <c r="I1272" s="294"/>
      <c r="J1272" s="59"/>
      <c r="K1272" s="83"/>
      <c r="L1272" s="83" t="str">
        <f t="shared" si="46"/>
        <v xml:space="preserve">
</v>
      </c>
      <c r="M1272" s="83"/>
      <c r="N1272" s="59"/>
      <c r="O1272" s="59"/>
      <c r="P1272" s="86">
        <f t="shared" si="47"/>
        <v>0</v>
      </c>
      <c r="Q1272" s="59"/>
      <c r="R1272" s="59"/>
      <c r="S1272" s="59"/>
      <c r="T1272" s="59"/>
      <c r="U1272" s="290"/>
      <c r="V1272" s="290"/>
      <c r="W1272" s="290"/>
      <c r="X1272" s="290"/>
      <c r="Y1272" s="290"/>
      <c r="Z1272" s="290"/>
      <c r="AA1272" s="290"/>
      <c r="AB1272" s="290"/>
      <c r="AC1272" s="290"/>
      <c r="AD1272" s="290"/>
    </row>
    <row r="1273" spans="1:30" ht="25.5">
      <c r="A1273" s="291"/>
      <c r="B1273" s="291"/>
      <c r="C1273" s="291"/>
      <c r="D1273" s="83"/>
      <c r="E1273" s="59"/>
      <c r="F1273" s="82"/>
      <c r="G1273" s="82"/>
      <c r="H1273" s="86"/>
      <c r="I1273" s="294"/>
      <c r="J1273" s="59"/>
      <c r="K1273" s="83"/>
      <c r="L1273" s="83" t="str">
        <f t="shared" si="46"/>
        <v xml:space="preserve">
</v>
      </c>
      <c r="M1273" s="83"/>
      <c r="N1273" s="59"/>
      <c r="O1273" s="59"/>
      <c r="P1273" s="86">
        <f t="shared" si="47"/>
        <v>0</v>
      </c>
      <c r="Q1273" s="59"/>
      <c r="R1273" s="59"/>
      <c r="S1273" s="59"/>
      <c r="T1273" s="59"/>
      <c r="U1273" s="290"/>
      <c r="V1273" s="290"/>
      <c r="W1273" s="290"/>
      <c r="X1273" s="290"/>
      <c r="Y1273" s="290"/>
      <c r="Z1273" s="290"/>
      <c r="AA1273" s="290"/>
      <c r="AB1273" s="290"/>
      <c r="AC1273" s="290"/>
      <c r="AD1273" s="290"/>
    </row>
    <row r="1274" spans="1:30" ht="25.5">
      <c r="A1274" s="291"/>
      <c r="B1274" s="291"/>
      <c r="C1274" s="291"/>
      <c r="D1274" s="83"/>
      <c r="E1274" s="59"/>
      <c r="F1274" s="82"/>
      <c r="G1274" s="82"/>
      <c r="H1274" s="86"/>
      <c r="I1274" s="294"/>
      <c r="J1274" s="59"/>
      <c r="K1274" s="83"/>
      <c r="L1274" s="83" t="str">
        <f t="shared" si="46"/>
        <v xml:space="preserve">
</v>
      </c>
      <c r="M1274" s="83"/>
      <c r="N1274" s="59"/>
      <c r="O1274" s="59"/>
      <c r="P1274" s="86">
        <f t="shared" si="47"/>
        <v>0</v>
      </c>
      <c r="Q1274" s="59"/>
      <c r="R1274" s="59"/>
      <c r="S1274" s="59"/>
      <c r="T1274" s="59"/>
      <c r="U1274" s="290"/>
      <c r="V1274" s="290"/>
      <c r="W1274" s="290"/>
      <c r="X1274" s="290"/>
      <c r="Y1274" s="290"/>
      <c r="Z1274" s="290"/>
      <c r="AA1274" s="290"/>
      <c r="AB1274" s="290"/>
      <c r="AC1274" s="290"/>
      <c r="AD1274" s="290"/>
    </row>
    <row r="1275" spans="1:30" ht="25.5">
      <c r="A1275" s="291"/>
      <c r="B1275" s="291"/>
      <c r="C1275" s="291"/>
      <c r="D1275" s="83"/>
      <c r="E1275" s="59"/>
      <c r="F1275" s="82"/>
      <c r="G1275" s="82"/>
      <c r="H1275" s="86"/>
      <c r="I1275" s="294"/>
      <c r="J1275" s="59"/>
      <c r="K1275" s="83"/>
      <c r="L1275" s="83" t="str">
        <f t="shared" si="46"/>
        <v xml:space="preserve">
</v>
      </c>
      <c r="M1275" s="83"/>
      <c r="N1275" s="59"/>
      <c r="O1275" s="59"/>
      <c r="P1275" s="86">
        <f t="shared" si="47"/>
        <v>0</v>
      </c>
      <c r="Q1275" s="59"/>
      <c r="R1275" s="59"/>
      <c r="S1275" s="59"/>
      <c r="T1275" s="59"/>
      <c r="U1275" s="290"/>
      <c r="V1275" s="290"/>
      <c r="W1275" s="290"/>
      <c r="X1275" s="290"/>
      <c r="Y1275" s="290"/>
      <c r="Z1275" s="290"/>
      <c r="AA1275" s="290"/>
      <c r="AB1275" s="290"/>
      <c r="AC1275" s="290"/>
      <c r="AD1275" s="290"/>
    </row>
    <row r="1276" spans="1:30" ht="25.5">
      <c r="A1276" s="291"/>
      <c r="B1276" s="291"/>
      <c r="C1276" s="291"/>
      <c r="D1276" s="83"/>
      <c r="E1276" s="59"/>
      <c r="F1276" s="82"/>
      <c r="G1276" s="82"/>
      <c r="H1276" s="86"/>
      <c r="I1276" s="294"/>
      <c r="J1276" s="59"/>
      <c r="K1276" s="83"/>
      <c r="L1276" s="83" t="str">
        <f t="shared" si="46"/>
        <v xml:space="preserve">
</v>
      </c>
      <c r="M1276" s="83"/>
      <c r="N1276" s="59"/>
      <c r="O1276" s="59"/>
      <c r="P1276" s="86">
        <f t="shared" si="47"/>
        <v>0</v>
      </c>
      <c r="Q1276" s="59"/>
      <c r="R1276" s="59"/>
      <c r="S1276" s="59"/>
      <c r="T1276" s="59"/>
      <c r="U1276" s="290"/>
      <c r="V1276" s="290"/>
      <c r="W1276" s="290"/>
      <c r="X1276" s="290"/>
      <c r="Y1276" s="290"/>
      <c r="Z1276" s="290"/>
      <c r="AA1276" s="290"/>
      <c r="AB1276" s="290"/>
      <c r="AC1276" s="290"/>
      <c r="AD1276" s="290"/>
    </row>
    <row r="1277" spans="1:30" ht="25.5">
      <c r="A1277" s="291"/>
      <c r="B1277" s="291"/>
      <c r="C1277" s="291"/>
      <c r="D1277" s="83"/>
      <c r="E1277" s="59"/>
      <c r="F1277" s="82"/>
      <c r="G1277" s="82"/>
      <c r="H1277" s="86"/>
      <c r="I1277" s="294"/>
      <c r="J1277" s="59"/>
      <c r="K1277" s="83"/>
      <c r="L1277" s="83" t="str">
        <f t="shared" ref="L1277:L1531" si="48">D1277&amp;"
"&amp;K1277</f>
        <v xml:space="preserve">
</v>
      </c>
      <c r="M1277" s="83"/>
      <c r="N1277" s="59"/>
      <c r="O1277" s="59"/>
      <c r="P1277" s="86">
        <f t="shared" ref="P1277:P1531" si="49">I1277*O1277</f>
        <v>0</v>
      </c>
      <c r="Q1277" s="59"/>
      <c r="R1277" s="59"/>
      <c r="S1277" s="59"/>
      <c r="T1277" s="59"/>
      <c r="U1277" s="290"/>
      <c r="V1277" s="290"/>
      <c r="W1277" s="290"/>
      <c r="X1277" s="290"/>
      <c r="Y1277" s="290"/>
      <c r="Z1277" s="290"/>
      <c r="AA1277" s="290"/>
      <c r="AB1277" s="290"/>
      <c r="AC1277" s="290"/>
      <c r="AD1277" s="290"/>
    </row>
    <row r="1278" spans="1:30" ht="25.5">
      <c r="A1278" s="291"/>
      <c r="B1278" s="291"/>
      <c r="C1278" s="291"/>
      <c r="D1278" s="83"/>
      <c r="E1278" s="59"/>
      <c r="F1278" s="82"/>
      <c r="G1278" s="82"/>
      <c r="H1278" s="86"/>
      <c r="I1278" s="294"/>
      <c r="J1278" s="59"/>
      <c r="K1278" s="83"/>
      <c r="L1278" s="83" t="str">
        <f t="shared" si="48"/>
        <v xml:space="preserve">
</v>
      </c>
      <c r="M1278" s="83"/>
      <c r="N1278" s="59"/>
      <c r="O1278" s="59"/>
      <c r="P1278" s="86">
        <f t="shared" si="49"/>
        <v>0</v>
      </c>
      <c r="Q1278" s="59"/>
      <c r="R1278" s="59"/>
      <c r="S1278" s="59"/>
      <c r="T1278" s="59"/>
      <c r="U1278" s="290"/>
      <c r="V1278" s="290"/>
      <c r="W1278" s="290"/>
      <c r="X1278" s="290"/>
      <c r="Y1278" s="290"/>
      <c r="Z1278" s="290"/>
      <c r="AA1278" s="290"/>
      <c r="AB1278" s="290"/>
      <c r="AC1278" s="290"/>
      <c r="AD1278" s="290"/>
    </row>
    <row r="1279" spans="1:30" ht="25.5">
      <c r="A1279" s="291"/>
      <c r="B1279" s="291"/>
      <c r="C1279" s="291"/>
      <c r="D1279" s="83"/>
      <c r="E1279" s="59"/>
      <c r="F1279" s="82"/>
      <c r="G1279" s="82"/>
      <c r="H1279" s="86"/>
      <c r="I1279" s="294"/>
      <c r="J1279" s="59"/>
      <c r="K1279" s="83"/>
      <c r="L1279" s="83" t="str">
        <f t="shared" si="48"/>
        <v xml:space="preserve">
</v>
      </c>
      <c r="M1279" s="83"/>
      <c r="N1279" s="59"/>
      <c r="O1279" s="59"/>
      <c r="P1279" s="86">
        <f t="shared" si="49"/>
        <v>0</v>
      </c>
      <c r="Q1279" s="59"/>
      <c r="R1279" s="59"/>
      <c r="S1279" s="59"/>
      <c r="T1279" s="59"/>
      <c r="U1279" s="290"/>
      <c r="V1279" s="290"/>
      <c r="W1279" s="290"/>
      <c r="X1279" s="290"/>
      <c r="Y1279" s="290"/>
      <c r="Z1279" s="290"/>
      <c r="AA1279" s="290"/>
      <c r="AB1279" s="290"/>
      <c r="AC1279" s="290"/>
      <c r="AD1279" s="290"/>
    </row>
    <row r="1280" spans="1:30" ht="25.5">
      <c r="A1280" s="291"/>
      <c r="B1280" s="291"/>
      <c r="C1280" s="291"/>
      <c r="D1280" s="83"/>
      <c r="E1280" s="59"/>
      <c r="F1280" s="82"/>
      <c r="G1280" s="82"/>
      <c r="H1280" s="86"/>
      <c r="I1280" s="294"/>
      <c r="J1280" s="59"/>
      <c r="K1280" s="83"/>
      <c r="L1280" s="83" t="str">
        <f t="shared" si="48"/>
        <v xml:space="preserve">
</v>
      </c>
      <c r="M1280" s="83"/>
      <c r="N1280" s="59"/>
      <c r="O1280" s="59"/>
      <c r="P1280" s="86">
        <f t="shared" si="49"/>
        <v>0</v>
      </c>
      <c r="Q1280" s="59"/>
      <c r="R1280" s="59"/>
      <c r="S1280" s="59"/>
      <c r="T1280" s="59"/>
      <c r="U1280" s="290"/>
      <c r="V1280" s="290"/>
      <c r="W1280" s="290"/>
      <c r="X1280" s="290"/>
      <c r="Y1280" s="290"/>
      <c r="Z1280" s="290"/>
      <c r="AA1280" s="290"/>
      <c r="AB1280" s="290"/>
      <c r="AC1280" s="290"/>
      <c r="AD1280" s="290"/>
    </row>
    <row r="1281" spans="1:30" ht="25.5">
      <c r="A1281" s="291"/>
      <c r="B1281" s="291"/>
      <c r="C1281" s="291"/>
      <c r="D1281" s="83"/>
      <c r="E1281" s="59"/>
      <c r="F1281" s="82"/>
      <c r="G1281" s="82"/>
      <c r="H1281" s="86"/>
      <c r="I1281" s="294"/>
      <c r="J1281" s="59"/>
      <c r="K1281" s="83"/>
      <c r="L1281" s="83" t="str">
        <f t="shared" si="48"/>
        <v xml:space="preserve">
</v>
      </c>
      <c r="M1281" s="83"/>
      <c r="N1281" s="59"/>
      <c r="O1281" s="59"/>
      <c r="P1281" s="86">
        <f t="shared" si="49"/>
        <v>0</v>
      </c>
      <c r="Q1281" s="59"/>
      <c r="R1281" s="59"/>
      <c r="S1281" s="59"/>
      <c r="T1281" s="59"/>
      <c r="U1281" s="290"/>
      <c r="V1281" s="290"/>
      <c r="W1281" s="290"/>
      <c r="X1281" s="290"/>
      <c r="Y1281" s="290"/>
      <c r="Z1281" s="290"/>
      <c r="AA1281" s="290"/>
      <c r="AB1281" s="290"/>
      <c r="AC1281" s="290"/>
      <c r="AD1281" s="290"/>
    </row>
    <row r="1282" spans="1:30" ht="25.5">
      <c r="A1282" s="291"/>
      <c r="B1282" s="291"/>
      <c r="C1282" s="291"/>
      <c r="D1282" s="83"/>
      <c r="E1282" s="59"/>
      <c r="F1282" s="82"/>
      <c r="G1282" s="82"/>
      <c r="H1282" s="86"/>
      <c r="I1282" s="294"/>
      <c r="J1282" s="59"/>
      <c r="K1282" s="83"/>
      <c r="L1282" s="83" t="str">
        <f t="shared" si="48"/>
        <v xml:space="preserve">
</v>
      </c>
      <c r="M1282" s="83"/>
      <c r="N1282" s="59"/>
      <c r="O1282" s="59"/>
      <c r="P1282" s="86">
        <f t="shared" si="49"/>
        <v>0</v>
      </c>
      <c r="Q1282" s="59"/>
      <c r="R1282" s="59"/>
      <c r="S1282" s="59"/>
      <c r="T1282" s="59"/>
      <c r="U1282" s="290"/>
      <c r="V1282" s="290"/>
      <c r="W1282" s="290"/>
      <c r="X1282" s="290"/>
      <c r="Y1282" s="290"/>
      <c r="Z1282" s="290"/>
      <c r="AA1282" s="290"/>
      <c r="AB1282" s="290"/>
      <c r="AC1282" s="290"/>
      <c r="AD1282" s="290"/>
    </row>
    <row r="1283" spans="1:30" ht="25.5">
      <c r="A1283" s="291"/>
      <c r="B1283" s="291"/>
      <c r="C1283" s="291"/>
      <c r="D1283" s="83"/>
      <c r="E1283" s="59"/>
      <c r="F1283" s="82"/>
      <c r="G1283" s="82"/>
      <c r="H1283" s="86"/>
      <c r="I1283" s="294"/>
      <c r="J1283" s="59"/>
      <c r="K1283" s="83"/>
      <c r="L1283" s="83" t="str">
        <f t="shared" si="48"/>
        <v xml:space="preserve">
</v>
      </c>
      <c r="M1283" s="83"/>
      <c r="N1283" s="59"/>
      <c r="O1283" s="59"/>
      <c r="P1283" s="86">
        <f t="shared" si="49"/>
        <v>0</v>
      </c>
      <c r="Q1283" s="59"/>
      <c r="R1283" s="59"/>
      <c r="S1283" s="59"/>
      <c r="T1283" s="59"/>
      <c r="U1283" s="290"/>
      <c r="V1283" s="290"/>
      <c r="W1283" s="290"/>
      <c r="X1283" s="290"/>
      <c r="Y1283" s="290"/>
      <c r="Z1283" s="290"/>
      <c r="AA1283" s="290"/>
      <c r="AB1283" s="290"/>
      <c r="AC1283" s="290"/>
      <c r="AD1283" s="290"/>
    </row>
    <row r="1284" spans="1:30" ht="25.5">
      <c r="A1284" s="291"/>
      <c r="B1284" s="291"/>
      <c r="C1284" s="291"/>
      <c r="D1284" s="83"/>
      <c r="E1284" s="59"/>
      <c r="F1284" s="82"/>
      <c r="G1284" s="82"/>
      <c r="H1284" s="86"/>
      <c r="I1284" s="294"/>
      <c r="J1284" s="59"/>
      <c r="K1284" s="83"/>
      <c r="L1284" s="83" t="str">
        <f t="shared" si="48"/>
        <v xml:space="preserve">
</v>
      </c>
      <c r="M1284" s="83"/>
      <c r="N1284" s="59"/>
      <c r="O1284" s="59"/>
      <c r="P1284" s="86">
        <f t="shared" si="49"/>
        <v>0</v>
      </c>
      <c r="Q1284" s="59"/>
      <c r="R1284" s="59"/>
      <c r="S1284" s="59"/>
      <c r="T1284" s="59"/>
      <c r="U1284" s="290"/>
      <c r="V1284" s="290"/>
      <c r="W1284" s="290"/>
      <c r="X1284" s="290"/>
      <c r="Y1284" s="290"/>
      <c r="Z1284" s="290"/>
      <c r="AA1284" s="290"/>
      <c r="AB1284" s="290"/>
      <c r="AC1284" s="290"/>
      <c r="AD1284" s="290"/>
    </row>
    <row r="1285" spans="1:30" ht="25.5">
      <c r="A1285" s="291"/>
      <c r="B1285" s="291"/>
      <c r="C1285" s="291"/>
      <c r="D1285" s="83"/>
      <c r="E1285" s="59"/>
      <c r="F1285" s="82"/>
      <c r="G1285" s="82"/>
      <c r="H1285" s="86"/>
      <c r="I1285" s="294"/>
      <c r="J1285" s="59"/>
      <c r="K1285" s="83"/>
      <c r="L1285" s="83" t="str">
        <f t="shared" si="48"/>
        <v xml:space="preserve">
</v>
      </c>
      <c r="M1285" s="83"/>
      <c r="N1285" s="59"/>
      <c r="O1285" s="59"/>
      <c r="P1285" s="86">
        <f t="shared" si="49"/>
        <v>0</v>
      </c>
      <c r="Q1285" s="59"/>
      <c r="R1285" s="59"/>
      <c r="S1285" s="59"/>
      <c r="T1285" s="59"/>
      <c r="U1285" s="290"/>
      <c r="V1285" s="290"/>
      <c r="W1285" s="290"/>
      <c r="X1285" s="290"/>
      <c r="Y1285" s="290"/>
      <c r="Z1285" s="290"/>
      <c r="AA1285" s="290"/>
      <c r="AB1285" s="290"/>
      <c r="AC1285" s="290"/>
      <c r="AD1285" s="290"/>
    </row>
    <row r="1286" spans="1:30" ht="25.5">
      <c r="A1286" s="291"/>
      <c r="B1286" s="291"/>
      <c r="C1286" s="291"/>
      <c r="D1286" s="83"/>
      <c r="E1286" s="59"/>
      <c r="F1286" s="82"/>
      <c r="G1286" s="82"/>
      <c r="H1286" s="86"/>
      <c r="I1286" s="294"/>
      <c r="J1286" s="59"/>
      <c r="K1286" s="83"/>
      <c r="L1286" s="83" t="str">
        <f t="shared" si="48"/>
        <v xml:space="preserve">
</v>
      </c>
      <c r="M1286" s="83"/>
      <c r="N1286" s="59"/>
      <c r="O1286" s="59"/>
      <c r="P1286" s="86">
        <f t="shared" si="49"/>
        <v>0</v>
      </c>
      <c r="Q1286" s="59"/>
      <c r="R1286" s="59"/>
      <c r="S1286" s="59"/>
      <c r="T1286" s="59"/>
      <c r="U1286" s="290"/>
      <c r="V1286" s="290"/>
      <c r="W1286" s="290"/>
      <c r="X1286" s="290"/>
      <c r="Y1286" s="290"/>
      <c r="Z1286" s="290"/>
      <c r="AA1286" s="290"/>
      <c r="AB1286" s="290"/>
      <c r="AC1286" s="290"/>
      <c r="AD1286" s="290"/>
    </row>
    <row r="1287" spans="1:30" ht="25.5">
      <c r="A1287" s="291"/>
      <c r="B1287" s="291"/>
      <c r="C1287" s="291"/>
      <c r="D1287" s="83"/>
      <c r="E1287" s="59"/>
      <c r="F1287" s="82"/>
      <c r="G1287" s="82"/>
      <c r="H1287" s="86"/>
      <c r="I1287" s="294"/>
      <c r="J1287" s="59"/>
      <c r="K1287" s="83"/>
      <c r="L1287" s="83" t="str">
        <f t="shared" si="48"/>
        <v xml:space="preserve">
</v>
      </c>
      <c r="M1287" s="83"/>
      <c r="N1287" s="59"/>
      <c r="O1287" s="59"/>
      <c r="P1287" s="86">
        <f t="shared" si="49"/>
        <v>0</v>
      </c>
      <c r="Q1287" s="59"/>
      <c r="R1287" s="59"/>
      <c r="S1287" s="59"/>
      <c r="T1287" s="59"/>
      <c r="U1287" s="290"/>
      <c r="V1287" s="290"/>
      <c r="W1287" s="290"/>
      <c r="X1287" s="290"/>
      <c r="Y1287" s="290"/>
      <c r="Z1287" s="290"/>
      <c r="AA1287" s="290"/>
      <c r="AB1287" s="290"/>
      <c r="AC1287" s="290"/>
      <c r="AD1287" s="290"/>
    </row>
    <row r="1288" spans="1:30" ht="25.5">
      <c r="A1288" s="291"/>
      <c r="B1288" s="291"/>
      <c r="C1288" s="291"/>
      <c r="D1288" s="83"/>
      <c r="E1288" s="59"/>
      <c r="F1288" s="82"/>
      <c r="G1288" s="82"/>
      <c r="H1288" s="86"/>
      <c r="I1288" s="294"/>
      <c r="J1288" s="59"/>
      <c r="K1288" s="83"/>
      <c r="L1288" s="83" t="str">
        <f t="shared" si="48"/>
        <v xml:space="preserve">
</v>
      </c>
      <c r="M1288" s="83"/>
      <c r="N1288" s="59"/>
      <c r="O1288" s="59"/>
      <c r="P1288" s="86">
        <f t="shared" si="49"/>
        <v>0</v>
      </c>
      <c r="Q1288" s="59"/>
      <c r="R1288" s="59"/>
      <c r="S1288" s="59"/>
      <c r="T1288" s="59"/>
      <c r="U1288" s="290"/>
      <c r="V1288" s="290"/>
      <c r="W1288" s="290"/>
      <c r="X1288" s="290"/>
      <c r="Y1288" s="290"/>
      <c r="Z1288" s="290"/>
      <c r="AA1288" s="290"/>
      <c r="AB1288" s="290"/>
      <c r="AC1288" s="290"/>
      <c r="AD1288" s="290"/>
    </row>
    <row r="1289" spans="1:30" ht="25.5">
      <c r="A1289" s="291"/>
      <c r="B1289" s="291"/>
      <c r="C1289" s="291"/>
      <c r="D1289" s="83"/>
      <c r="E1289" s="59"/>
      <c r="F1289" s="82"/>
      <c r="G1289" s="82"/>
      <c r="H1289" s="86"/>
      <c r="I1289" s="294"/>
      <c r="J1289" s="59"/>
      <c r="K1289" s="83"/>
      <c r="L1289" s="83" t="str">
        <f t="shared" si="48"/>
        <v xml:space="preserve">
</v>
      </c>
      <c r="M1289" s="83"/>
      <c r="N1289" s="59"/>
      <c r="O1289" s="59"/>
      <c r="P1289" s="86">
        <f t="shared" si="49"/>
        <v>0</v>
      </c>
      <c r="Q1289" s="59"/>
      <c r="R1289" s="59"/>
      <c r="S1289" s="59"/>
      <c r="T1289" s="59"/>
      <c r="U1289" s="290"/>
      <c r="V1289" s="290"/>
      <c r="W1289" s="290"/>
      <c r="X1289" s="290"/>
      <c r="Y1289" s="290"/>
      <c r="Z1289" s="290"/>
      <c r="AA1289" s="290"/>
      <c r="AB1289" s="290"/>
      <c r="AC1289" s="290"/>
      <c r="AD1289" s="290"/>
    </row>
    <row r="1290" spans="1:30" ht="25.5">
      <c r="A1290" s="291"/>
      <c r="B1290" s="291"/>
      <c r="C1290" s="291"/>
      <c r="D1290" s="83"/>
      <c r="E1290" s="59"/>
      <c r="F1290" s="82"/>
      <c r="G1290" s="82"/>
      <c r="H1290" s="86"/>
      <c r="I1290" s="294"/>
      <c r="J1290" s="59"/>
      <c r="K1290" s="83"/>
      <c r="L1290" s="83" t="str">
        <f t="shared" si="48"/>
        <v xml:space="preserve">
</v>
      </c>
      <c r="M1290" s="83"/>
      <c r="N1290" s="59"/>
      <c r="O1290" s="59"/>
      <c r="P1290" s="86">
        <f t="shared" si="49"/>
        <v>0</v>
      </c>
      <c r="Q1290" s="59"/>
      <c r="R1290" s="59"/>
      <c r="S1290" s="59"/>
      <c r="T1290" s="59"/>
      <c r="U1290" s="290"/>
      <c r="V1290" s="290"/>
      <c r="W1290" s="290"/>
      <c r="X1290" s="290"/>
      <c r="Y1290" s="290"/>
      <c r="Z1290" s="290"/>
      <c r="AA1290" s="290"/>
      <c r="AB1290" s="290"/>
      <c r="AC1290" s="290"/>
      <c r="AD1290" s="290"/>
    </row>
    <row r="1291" spans="1:30" ht="25.5">
      <c r="A1291" s="291"/>
      <c r="B1291" s="291"/>
      <c r="C1291" s="291"/>
      <c r="D1291" s="83"/>
      <c r="E1291" s="59"/>
      <c r="F1291" s="82"/>
      <c r="G1291" s="82"/>
      <c r="H1291" s="86"/>
      <c r="I1291" s="294"/>
      <c r="J1291" s="59"/>
      <c r="K1291" s="83"/>
      <c r="L1291" s="83" t="str">
        <f t="shared" si="48"/>
        <v xml:space="preserve">
</v>
      </c>
      <c r="M1291" s="83"/>
      <c r="N1291" s="59"/>
      <c r="O1291" s="59"/>
      <c r="P1291" s="86">
        <f t="shared" si="49"/>
        <v>0</v>
      </c>
      <c r="Q1291" s="59"/>
      <c r="R1291" s="59"/>
      <c r="S1291" s="59"/>
      <c r="T1291" s="59"/>
      <c r="U1291" s="290"/>
      <c r="V1291" s="290"/>
      <c r="W1291" s="290"/>
      <c r="X1291" s="290"/>
      <c r="Y1291" s="290"/>
      <c r="Z1291" s="290"/>
      <c r="AA1291" s="290"/>
      <c r="AB1291" s="290"/>
      <c r="AC1291" s="290"/>
      <c r="AD1291" s="290"/>
    </row>
    <row r="1292" spans="1:30" ht="25.5">
      <c r="A1292" s="291"/>
      <c r="B1292" s="291"/>
      <c r="C1292" s="291"/>
      <c r="D1292" s="83"/>
      <c r="E1292" s="59"/>
      <c r="F1292" s="82"/>
      <c r="G1292" s="82"/>
      <c r="H1292" s="86"/>
      <c r="I1292" s="294"/>
      <c r="J1292" s="59"/>
      <c r="K1292" s="83"/>
      <c r="L1292" s="83" t="str">
        <f t="shared" si="48"/>
        <v xml:space="preserve">
</v>
      </c>
      <c r="M1292" s="83"/>
      <c r="N1292" s="59"/>
      <c r="O1292" s="59"/>
      <c r="P1292" s="86">
        <f t="shared" si="49"/>
        <v>0</v>
      </c>
      <c r="Q1292" s="59"/>
      <c r="R1292" s="59"/>
      <c r="S1292" s="59"/>
      <c r="T1292" s="59"/>
      <c r="U1292" s="290"/>
      <c r="V1292" s="290"/>
      <c r="W1292" s="290"/>
      <c r="X1292" s="290"/>
      <c r="Y1292" s="290"/>
      <c r="Z1292" s="290"/>
      <c r="AA1292" s="290"/>
      <c r="AB1292" s="290"/>
      <c r="AC1292" s="290"/>
      <c r="AD1292" s="290"/>
    </row>
    <row r="1293" spans="1:30" ht="25.5">
      <c r="A1293" s="291"/>
      <c r="B1293" s="291"/>
      <c r="C1293" s="291"/>
      <c r="D1293" s="83"/>
      <c r="E1293" s="59"/>
      <c r="F1293" s="82"/>
      <c r="G1293" s="82"/>
      <c r="H1293" s="86"/>
      <c r="I1293" s="294"/>
      <c r="J1293" s="59"/>
      <c r="K1293" s="83"/>
      <c r="L1293" s="83" t="str">
        <f t="shared" si="48"/>
        <v xml:space="preserve">
</v>
      </c>
      <c r="M1293" s="83"/>
      <c r="N1293" s="59"/>
      <c r="O1293" s="59"/>
      <c r="P1293" s="86">
        <f t="shared" si="49"/>
        <v>0</v>
      </c>
      <c r="Q1293" s="59"/>
      <c r="R1293" s="59"/>
      <c r="S1293" s="59"/>
      <c r="T1293" s="59"/>
      <c r="U1293" s="290"/>
      <c r="V1293" s="290"/>
      <c r="W1293" s="290"/>
      <c r="X1293" s="290"/>
      <c r="Y1293" s="290"/>
      <c r="Z1293" s="290"/>
      <c r="AA1293" s="290"/>
      <c r="AB1293" s="290"/>
      <c r="AC1293" s="290"/>
      <c r="AD1293" s="290"/>
    </row>
    <row r="1294" spans="1:30" ht="25.5">
      <c r="A1294" s="291"/>
      <c r="B1294" s="291"/>
      <c r="C1294" s="291"/>
      <c r="D1294" s="83"/>
      <c r="E1294" s="59"/>
      <c r="F1294" s="82"/>
      <c r="G1294" s="82"/>
      <c r="H1294" s="86"/>
      <c r="I1294" s="294"/>
      <c r="J1294" s="59"/>
      <c r="K1294" s="83"/>
      <c r="L1294" s="83" t="str">
        <f t="shared" si="48"/>
        <v xml:space="preserve">
</v>
      </c>
      <c r="M1294" s="83"/>
      <c r="N1294" s="59"/>
      <c r="O1294" s="59"/>
      <c r="P1294" s="86">
        <f t="shared" si="49"/>
        <v>0</v>
      </c>
      <c r="Q1294" s="59"/>
      <c r="R1294" s="59"/>
      <c r="S1294" s="59"/>
      <c r="T1294" s="59"/>
      <c r="U1294" s="290"/>
      <c r="V1294" s="290"/>
      <c r="W1294" s="290"/>
      <c r="X1294" s="290"/>
      <c r="Y1294" s="290"/>
      <c r="Z1294" s="290"/>
      <c r="AA1294" s="290"/>
      <c r="AB1294" s="290"/>
      <c r="AC1294" s="290"/>
      <c r="AD1294" s="290"/>
    </row>
    <row r="1295" spans="1:30" ht="25.5">
      <c r="A1295" s="291"/>
      <c r="B1295" s="291"/>
      <c r="C1295" s="291"/>
      <c r="D1295" s="83"/>
      <c r="E1295" s="59"/>
      <c r="F1295" s="82"/>
      <c r="G1295" s="82"/>
      <c r="H1295" s="86"/>
      <c r="I1295" s="294"/>
      <c r="J1295" s="59"/>
      <c r="K1295" s="83"/>
      <c r="L1295" s="83" t="str">
        <f t="shared" si="48"/>
        <v xml:space="preserve">
</v>
      </c>
      <c r="M1295" s="83"/>
      <c r="N1295" s="59"/>
      <c r="O1295" s="59"/>
      <c r="P1295" s="86">
        <f t="shared" si="49"/>
        <v>0</v>
      </c>
      <c r="Q1295" s="59"/>
      <c r="R1295" s="59"/>
      <c r="S1295" s="59"/>
      <c r="T1295" s="59"/>
      <c r="U1295" s="290"/>
      <c r="V1295" s="290"/>
      <c r="W1295" s="290"/>
      <c r="X1295" s="290"/>
      <c r="Y1295" s="290"/>
      <c r="Z1295" s="290"/>
      <c r="AA1295" s="290"/>
      <c r="AB1295" s="290"/>
      <c r="AC1295" s="290"/>
      <c r="AD1295" s="290"/>
    </row>
    <row r="1296" spans="1:30" ht="25.5">
      <c r="A1296" s="291"/>
      <c r="B1296" s="291"/>
      <c r="C1296" s="291"/>
      <c r="D1296" s="83"/>
      <c r="E1296" s="59"/>
      <c r="F1296" s="82"/>
      <c r="G1296" s="82"/>
      <c r="H1296" s="86"/>
      <c r="I1296" s="294"/>
      <c r="J1296" s="59"/>
      <c r="K1296" s="83"/>
      <c r="L1296" s="83" t="str">
        <f t="shared" si="48"/>
        <v xml:space="preserve">
</v>
      </c>
      <c r="M1296" s="83"/>
      <c r="N1296" s="59"/>
      <c r="O1296" s="59"/>
      <c r="P1296" s="86">
        <f t="shared" si="49"/>
        <v>0</v>
      </c>
      <c r="Q1296" s="59"/>
      <c r="R1296" s="59"/>
      <c r="S1296" s="59"/>
      <c r="T1296" s="59"/>
      <c r="U1296" s="290"/>
      <c r="V1296" s="290"/>
      <c r="W1296" s="290"/>
      <c r="X1296" s="290"/>
      <c r="Y1296" s="290"/>
      <c r="Z1296" s="290"/>
      <c r="AA1296" s="290"/>
      <c r="AB1296" s="290"/>
      <c r="AC1296" s="290"/>
      <c r="AD1296" s="290"/>
    </row>
    <row r="1297" spans="1:30" ht="25.5">
      <c r="A1297" s="291"/>
      <c r="B1297" s="291"/>
      <c r="C1297" s="291"/>
      <c r="D1297" s="83"/>
      <c r="E1297" s="59"/>
      <c r="F1297" s="82"/>
      <c r="G1297" s="82"/>
      <c r="H1297" s="86"/>
      <c r="I1297" s="294"/>
      <c r="J1297" s="59"/>
      <c r="K1297" s="83"/>
      <c r="L1297" s="83" t="str">
        <f t="shared" si="48"/>
        <v xml:space="preserve">
</v>
      </c>
      <c r="M1297" s="83"/>
      <c r="N1297" s="59"/>
      <c r="O1297" s="59"/>
      <c r="P1297" s="86">
        <f t="shared" si="49"/>
        <v>0</v>
      </c>
      <c r="Q1297" s="59"/>
      <c r="R1297" s="59"/>
      <c r="S1297" s="59"/>
      <c r="T1297" s="59"/>
      <c r="U1297" s="290"/>
      <c r="V1297" s="290"/>
      <c r="W1297" s="290"/>
      <c r="X1297" s="290"/>
      <c r="Y1297" s="290"/>
      <c r="Z1297" s="290"/>
      <c r="AA1297" s="290"/>
      <c r="AB1297" s="290"/>
      <c r="AC1297" s="290"/>
      <c r="AD1297" s="290"/>
    </row>
    <row r="1298" spans="1:30" ht="25.5">
      <c r="A1298" s="291"/>
      <c r="B1298" s="291"/>
      <c r="C1298" s="291"/>
      <c r="D1298" s="83"/>
      <c r="E1298" s="59"/>
      <c r="F1298" s="82"/>
      <c r="G1298" s="82"/>
      <c r="H1298" s="86"/>
      <c r="I1298" s="294"/>
      <c r="J1298" s="59"/>
      <c r="K1298" s="83"/>
      <c r="L1298" s="83" t="str">
        <f t="shared" si="48"/>
        <v xml:space="preserve">
</v>
      </c>
      <c r="M1298" s="83"/>
      <c r="N1298" s="59"/>
      <c r="O1298" s="59"/>
      <c r="P1298" s="86">
        <f t="shared" si="49"/>
        <v>0</v>
      </c>
      <c r="Q1298" s="59"/>
      <c r="R1298" s="59"/>
      <c r="S1298" s="59"/>
      <c r="T1298" s="59"/>
      <c r="U1298" s="290"/>
      <c r="V1298" s="290"/>
      <c r="W1298" s="290"/>
      <c r="X1298" s="290"/>
      <c r="Y1298" s="290"/>
      <c r="Z1298" s="290"/>
      <c r="AA1298" s="290"/>
      <c r="AB1298" s="290"/>
      <c r="AC1298" s="290"/>
      <c r="AD1298" s="290"/>
    </row>
    <row r="1299" spans="1:30" ht="25.5">
      <c r="A1299" s="291"/>
      <c r="B1299" s="291"/>
      <c r="C1299" s="291"/>
      <c r="D1299" s="83"/>
      <c r="E1299" s="59"/>
      <c r="F1299" s="82"/>
      <c r="G1299" s="82"/>
      <c r="H1299" s="86"/>
      <c r="I1299" s="294"/>
      <c r="J1299" s="59"/>
      <c r="K1299" s="83"/>
      <c r="L1299" s="83" t="str">
        <f t="shared" si="48"/>
        <v xml:space="preserve">
</v>
      </c>
      <c r="M1299" s="83"/>
      <c r="N1299" s="59"/>
      <c r="O1299" s="59"/>
      <c r="P1299" s="86">
        <f t="shared" si="49"/>
        <v>0</v>
      </c>
      <c r="Q1299" s="59"/>
      <c r="R1299" s="59"/>
      <c r="S1299" s="59"/>
      <c r="T1299" s="59"/>
      <c r="U1299" s="290"/>
      <c r="V1299" s="290"/>
      <c r="W1299" s="290"/>
      <c r="X1299" s="290"/>
      <c r="Y1299" s="290"/>
      <c r="Z1299" s="290"/>
      <c r="AA1299" s="290"/>
      <c r="AB1299" s="290"/>
      <c r="AC1299" s="290"/>
      <c r="AD1299" s="290"/>
    </row>
    <row r="1300" spans="1:30" ht="25.5">
      <c r="A1300" s="291"/>
      <c r="B1300" s="291"/>
      <c r="C1300" s="291"/>
      <c r="D1300" s="83"/>
      <c r="E1300" s="59"/>
      <c r="F1300" s="82"/>
      <c r="G1300" s="82"/>
      <c r="H1300" s="86"/>
      <c r="I1300" s="294"/>
      <c r="J1300" s="59"/>
      <c r="K1300" s="83"/>
      <c r="L1300" s="83" t="str">
        <f t="shared" si="48"/>
        <v xml:space="preserve">
</v>
      </c>
      <c r="M1300" s="83"/>
      <c r="N1300" s="59"/>
      <c r="O1300" s="59"/>
      <c r="P1300" s="86">
        <f t="shared" si="49"/>
        <v>0</v>
      </c>
      <c r="Q1300" s="59"/>
      <c r="R1300" s="59"/>
      <c r="S1300" s="59"/>
      <c r="T1300" s="59"/>
      <c r="U1300" s="290"/>
      <c r="V1300" s="290"/>
      <c r="W1300" s="290"/>
      <c r="X1300" s="290"/>
      <c r="Y1300" s="290"/>
      <c r="Z1300" s="290"/>
      <c r="AA1300" s="290"/>
      <c r="AB1300" s="290"/>
      <c r="AC1300" s="290"/>
      <c r="AD1300" s="290"/>
    </row>
    <row r="1301" spans="1:30" ht="25.5">
      <c r="A1301" s="291"/>
      <c r="B1301" s="291"/>
      <c r="C1301" s="291"/>
      <c r="D1301" s="83"/>
      <c r="E1301" s="59"/>
      <c r="F1301" s="82"/>
      <c r="G1301" s="82"/>
      <c r="H1301" s="86"/>
      <c r="I1301" s="294"/>
      <c r="J1301" s="59"/>
      <c r="K1301" s="83"/>
      <c r="L1301" s="83" t="str">
        <f t="shared" si="48"/>
        <v xml:space="preserve">
</v>
      </c>
      <c r="M1301" s="83"/>
      <c r="N1301" s="59"/>
      <c r="O1301" s="59"/>
      <c r="P1301" s="86">
        <f t="shared" si="49"/>
        <v>0</v>
      </c>
      <c r="Q1301" s="59"/>
      <c r="R1301" s="59"/>
      <c r="S1301" s="59"/>
      <c r="T1301" s="59"/>
      <c r="U1301" s="290"/>
      <c r="V1301" s="290"/>
      <c r="W1301" s="290"/>
      <c r="X1301" s="290"/>
      <c r="Y1301" s="290"/>
      <c r="Z1301" s="290"/>
      <c r="AA1301" s="290"/>
      <c r="AB1301" s="290"/>
      <c r="AC1301" s="290"/>
      <c r="AD1301" s="290"/>
    </row>
    <row r="1302" spans="1:30" ht="25.5">
      <c r="A1302" s="291"/>
      <c r="B1302" s="291"/>
      <c r="C1302" s="291"/>
      <c r="D1302" s="83"/>
      <c r="E1302" s="59"/>
      <c r="F1302" s="82"/>
      <c r="G1302" s="82"/>
      <c r="H1302" s="86"/>
      <c r="I1302" s="294"/>
      <c r="J1302" s="59"/>
      <c r="K1302" s="83"/>
      <c r="L1302" s="83" t="str">
        <f t="shared" si="48"/>
        <v xml:space="preserve">
</v>
      </c>
      <c r="M1302" s="83"/>
      <c r="N1302" s="59"/>
      <c r="O1302" s="59"/>
      <c r="P1302" s="86">
        <f t="shared" si="49"/>
        <v>0</v>
      </c>
      <c r="Q1302" s="59"/>
      <c r="R1302" s="59"/>
      <c r="S1302" s="59"/>
      <c r="T1302" s="59"/>
      <c r="U1302" s="290"/>
      <c r="V1302" s="290"/>
      <c r="W1302" s="290"/>
      <c r="X1302" s="290"/>
      <c r="Y1302" s="290"/>
      <c r="Z1302" s="290"/>
      <c r="AA1302" s="290"/>
      <c r="AB1302" s="290"/>
      <c r="AC1302" s="290"/>
      <c r="AD1302" s="290"/>
    </row>
    <row r="1303" spans="1:30" ht="25.5">
      <c r="A1303" s="291"/>
      <c r="B1303" s="291"/>
      <c r="C1303" s="291"/>
      <c r="D1303" s="83"/>
      <c r="E1303" s="59"/>
      <c r="F1303" s="82"/>
      <c r="G1303" s="82"/>
      <c r="H1303" s="86"/>
      <c r="I1303" s="294"/>
      <c r="J1303" s="59"/>
      <c r="K1303" s="83"/>
      <c r="L1303" s="83" t="str">
        <f t="shared" si="48"/>
        <v xml:space="preserve">
</v>
      </c>
      <c r="M1303" s="83"/>
      <c r="N1303" s="59"/>
      <c r="O1303" s="59"/>
      <c r="P1303" s="86">
        <f t="shared" si="49"/>
        <v>0</v>
      </c>
      <c r="Q1303" s="59"/>
      <c r="R1303" s="59"/>
      <c r="S1303" s="59"/>
      <c r="T1303" s="59"/>
      <c r="U1303" s="290"/>
      <c r="V1303" s="290"/>
      <c r="W1303" s="290"/>
      <c r="X1303" s="290"/>
      <c r="Y1303" s="290"/>
      <c r="Z1303" s="290"/>
      <c r="AA1303" s="290"/>
      <c r="AB1303" s="290"/>
      <c r="AC1303" s="290"/>
      <c r="AD1303" s="290"/>
    </row>
    <row r="1304" spans="1:30" ht="25.5">
      <c r="A1304" s="291"/>
      <c r="B1304" s="291"/>
      <c r="C1304" s="291"/>
      <c r="D1304" s="83"/>
      <c r="E1304" s="59"/>
      <c r="F1304" s="82"/>
      <c r="G1304" s="82"/>
      <c r="H1304" s="86"/>
      <c r="I1304" s="294"/>
      <c r="J1304" s="59"/>
      <c r="K1304" s="83"/>
      <c r="L1304" s="83" t="str">
        <f t="shared" si="48"/>
        <v xml:space="preserve">
</v>
      </c>
      <c r="M1304" s="83"/>
      <c r="N1304" s="59"/>
      <c r="O1304" s="59"/>
      <c r="P1304" s="86">
        <f t="shared" si="49"/>
        <v>0</v>
      </c>
      <c r="Q1304" s="59"/>
      <c r="R1304" s="59"/>
      <c r="S1304" s="59"/>
      <c r="T1304" s="59"/>
      <c r="U1304" s="290"/>
      <c r="V1304" s="290"/>
      <c r="W1304" s="290"/>
      <c r="X1304" s="290"/>
      <c r="Y1304" s="290"/>
      <c r="Z1304" s="290"/>
      <c r="AA1304" s="290"/>
      <c r="AB1304" s="290"/>
      <c r="AC1304" s="290"/>
      <c r="AD1304" s="290"/>
    </row>
    <row r="1305" spans="1:30" ht="25.5">
      <c r="A1305" s="291"/>
      <c r="B1305" s="291"/>
      <c r="C1305" s="291"/>
      <c r="D1305" s="83"/>
      <c r="E1305" s="59"/>
      <c r="F1305" s="82"/>
      <c r="G1305" s="82"/>
      <c r="H1305" s="86"/>
      <c r="I1305" s="294"/>
      <c r="J1305" s="59"/>
      <c r="K1305" s="83"/>
      <c r="L1305" s="83" t="str">
        <f t="shared" si="48"/>
        <v xml:space="preserve">
</v>
      </c>
      <c r="M1305" s="83"/>
      <c r="N1305" s="59"/>
      <c r="O1305" s="59"/>
      <c r="P1305" s="86">
        <f t="shared" si="49"/>
        <v>0</v>
      </c>
      <c r="Q1305" s="59"/>
      <c r="R1305" s="59"/>
      <c r="S1305" s="59"/>
      <c r="T1305" s="59"/>
      <c r="U1305" s="290"/>
      <c r="V1305" s="290"/>
      <c r="W1305" s="290"/>
      <c r="X1305" s="290"/>
      <c r="Y1305" s="290"/>
      <c r="Z1305" s="290"/>
      <c r="AA1305" s="290"/>
      <c r="AB1305" s="290"/>
      <c r="AC1305" s="290"/>
      <c r="AD1305" s="290"/>
    </row>
    <row r="1306" spans="1:30" ht="25.5">
      <c r="A1306" s="291"/>
      <c r="B1306" s="291"/>
      <c r="C1306" s="291"/>
      <c r="D1306" s="83"/>
      <c r="E1306" s="59"/>
      <c r="F1306" s="82"/>
      <c r="G1306" s="82"/>
      <c r="H1306" s="86"/>
      <c r="I1306" s="294"/>
      <c r="J1306" s="59"/>
      <c r="K1306" s="83"/>
      <c r="L1306" s="83" t="str">
        <f t="shared" si="48"/>
        <v xml:space="preserve">
</v>
      </c>
      <c r="M1306" s="83"/>
      <c r="N1306" s="59"/>
      <c r="O1306" s="59"/>
      <c r="P1306" s="86">
        <f t="shared" si="49"/>
        <v>0</v>
      </c>
      <c r="Q1306" s="59"/>
      <c r="R1306" s="59"/>
      <c r="S1306" s="59"/>
      <c r="T1306" s="59"/>
      <c r="U1306" s="290"/>
      <c r="V1306" s="290"/>
      <c r="W1306" s="290"/>
      <c r="X1306" s="290"/>
      <c r="Y1306" s="290"/>
      <c r="Z1306" s="290"/>
      <c r="AA1306" s="290"/>
      <c r="AB1306" s="290"/>
      <c r="AC1306" s="290"/>
      <c r="AD1306" s="290"/>
    </row>
    <row r="1307" spans="1:30" ht="25.5">
      <c r="A1307" s="291"/>
      <c r="B1307" s="291"/>
      <c r="C1307" s="291"/>
      <c r="D1307" s="83"/>
      <c r="E1307" s="59"/>
      <c r="F1307" s="82"/>
      <c r="G1307" s="82"/>
      <c r="H1307" s="86"/>
      <c r="I1307" s="294"/>
      <c r="J1307" s="59"/>
      <c r="K1307" s="83"/>
      <c r="L1307" s="83" t="str">
        <f t="shared" si="48"/>
        <v xml:space="preserve">
</v>
      </c>
      <c r="M1307" s="83"/>
      <c r="N1307" s="59"/>
      <c r="O1307" s="59"/>
      <c r="P1307" s="86">
        <f t="shared" si="49"/>
        <v>0</v>
      </c>
      <c r="Q1307" s="59"/>
      <c r="R1307" s="59"/>
      <c r="S1307" s="59"/>
      <c r="T1307" s="59"/>
      <c r="U1307" s="290"/>
      <c r="V1307" s="290"/>
      <c r="W1307" s="290"/>
      <c r="X1307" s="290"/>
      <c r="Y1307" s="290"/>
      <c r="Z1307" s="290"/>
      <c r="AA1307" s="290"/>
      <c r="AB1307" s="290"/>
      <c r="AC1307" s="290"/>
      <c r="AD1307" s="290"/>
    </row>
    <row r="1308" spans="1:30" ht="25.5">
      <c r="A1308" s="291"/>
      <c r="B1308" s="291"/>
      <c r="C1308" s="291"/>
      <c r="D1308" s="83"/>
      <c r="E1308" s="59"/>
      <c r="F1308" s="82"/>
      <c r="G1308" s="82"/>
      <c r="H1308" s="86"/>
      <c r="I1308" s="294"/>
      <c r="J1308" s="59"/>
      <c r="K1308" s="83"/>
      <c r="L1308" s="83" t="str">
        <f t="shared" si="48"/>
        <v xml:space="preserve">
</v>
      </c>
      <c r="M1308" s="83"/>
      <c r="N1308" s="59"/>
      <c r="O1308" s="59"/>
      <c r="P1308" s="86">
        <f t="shared" si="49"/>
        <v>0</v>
      </c>
      <c r="Q1308" s="59"/>
      <c r="R1308" s="59"/>
      <c r="S1308" s="59"/>
      <c r="T1308" s="59"/>
      <c r="U1308" s="290"/>
      <c r="V1308" s="290"/>
      <c r="W1308" s="290"/>
      <c r="X1308" s="290"/>
      <c r="Y1308" s="290"/>
      <c r="Z1308" s="290"/>
      <c r="AA1308" s="290"/>
      <c r="AB1308" s="290"/>
      <c r="AC1308" s="290"/>
      <c r="AD1308" s="290"/>
    </row>
    <row r="1309" spans="1:30" ht="25.5">
      <c r="A1309" s="291"/>
      <c r="B1309" s="291"/>
      <c r="C1309" s="291"/>
      <c r="D1309" s="83"/>
      <c r="E1309" s="59"/>
      <c r="F1309" s="82"/>
      <c r="G1309" s="82"/>
      <c r="H1309" s="86"/>
      <c r="I1309" s="294"/>
      <c r="J1309" s="59"/>
      <c r="K1309" s="83"/>
      <c r="L1309" s="83" t="str">
        <f t="shared" si="48"/>
        <v xml:space="preserve">
</v>
      </c>
      <c r="M1309" s="83"/>
      <c r="N1309" s="59"/>
      <c r="O1309" s="59"/>
      <c r="P1309" s="86">
        <f t="shared" si="49"/>
        <v>0</v>
      </c>
      <c r="Q1309" s="59"/>
      <c r="R1309" s="59"/>
      <c r="S1309" s="59"/>
      <c r="T1309" s="59"/>
      <c r="U1309" s="290"/>
      <c r="V1309" s="290"/>
      <c r="W1309" s="290"/>
      <c r="X1309" s="290"/>
      <c r="Y1309" s="290"/>
      <c r="Z1309" s="290"/>
      <c r="AA1309" s="290"/>
      <c r="AB1309" s="290"/>
      <c r="AC1309" s="290"/>
      <c r="AD1309" s="290"/>
    </row>
    <row r="1310" spans="1:30" ht="25.5">
      <c r="A1310" s="291"/>
      <c r="B1310" s="291"/>
      <c r="C1310" s="291"/>
      <c r="D1310" s="83"/>
      <c r="E1310" s="59"/>
      <c r="F1310" s="82"/>
      <c r="G1310" s="82"/>
      <c r="H1310" s="86"/>
      <c r="I1310" s="294"/>
      <c r="J1310" s="59"/>
      <c r="K1310" s="83"/>
      <c r="L1310" s="83" t="str">
        <f t="shared" si="48"/>
        <v xml:space="preserve">
</v>
      </c>
      <c r="M1310" s="83"/>
      <c r="N1310" s="59"/>
      <c r="O1310" s="59"/>
      <c r="P1310" s="86">
        <f t="shared" si="49"/>
        <v>0</v>
      </c>
      <c r="Q1310" s="59"/>
      <c r="R1310" s="59"/>
      <c r="S1310" s="59"/>
      <c r="T1310" s="59"/>
      <c r="U1310" s="290"/>
      <c r="V1310" s="290"/>
      <c r="W1310" s="290"/>
      <c r="X1310" s="290"/>
      <c r="Y1310" s="290"/>
      <c r="Z1310" s="290"/>
      <c r="AA1310" s="290"/>
      <c r="AB1310" s="290"/>
      <c r="AC1310" s="290"/>
      <c r="AD1310" s="290"/>
    </row>
    <row r="1311" spans="1:30" ht="25.5">
      <c r="A1311" s="291"/>
      <c r="B1311" s="291"/>
      <c r="C1311" s="291"/>
      <c r="D1311" s="83"/>
      <c r="E1311" s="59"/>
      <c r="F1311" s="82"/>
      <c r="G1311" s="82"/>
      <c r="H1311" s="86"/>
      <c r="I1311" s="294"/>
      <c r="J1311" s="59"/>
      <c r="K1311" s="83"/>
      <c r="L1311" s="83" t="str">
        <f t="shared" si="48"/>
        <v xml:space="preserve">
</v>
      </c>
      <c r="M1311" s="83"/>
      <c r="N1311" s="59"/>
      <c r="O1311" s="59"/>
      <c r="P1311" s="86">
        <f t="shared" si="49"/>
        <v>0</v>
      </c>
      <c r="Q1311" s="59"/>
      <c r="R1311" s="59"/>
      <c r="S1311" s="59"/>
      <c r="T1311" s="59"/>
      <c r="U1311" s="290"/>
      <c r="V1311" s="290"/>
      <c r="W1311" s="290"/>
      <c r="X1311" s="290"/>
      <c r="Y1311" s="290"/>
      <c r="Z1311" s="290"/>
      <c r="AA1311" s="290"/>
      <c r="AB1311" s="290"/>
      <c r="AC1311" s="290"/>
      <c r="AD1311" s="290"/>
    </row>
    <row r="1312" spans="1:30" ht="25.5">
      <c r="A1312" s="291"/>
      <c r="B1312" s="291"/>
      <c r="C1312" s="291"/>
      <c r="D1312" s="83"/>
      <c r="E1312" s="59"/>
      <c r="F1312" s="82"/>
      <c r="G1312" s="82"/>
      <c r="H1312" s="86"/>
      <c r="I1312" s="294"/>
      <c r="J1312" s="59"/>
      <c r="K1312" s="83"/>
      <c r="L1312" s="83" t="str">
        <f t="shared" si="48"/>
        <v xml:space="preserve">
</v>
      </c>
      <c r="M1312" s="83"/>
      <c r="N1312" s="59"/>
      <c r="O1312" s="59"/>
      <c r="P1312" s="86">
        <f t="shared" si="49"/>
        <v>0</v>
      </c>
      <c r="Q1312" s="59"/>
      <c r="R1312" s="59"/>
      <c r="S1312" s="59"/>
      <c r="T1312" s="59"/>
      <c r="U1312" s="290"/>
      <c r="V1312" s="290"/>
      <c r="W1312" s="290"/>
      <c r="X1312" s="290"/>
      <c r="Y1312" s="290"/>
      <c r="Z1312" s="290"/>
      <c r="AA1312" s="290"/>
      <c r="AB1312" s="290"/>
      <c r="AC1312" s="290"/>
      <c r="AD1312" s="290"/>
    </row>
    <row r="1313" spans="1:30" ht="25.5">
      <c r="A1313" s="291"/>
      <c r="B1313" s="291"/>
      <c r="C1313" s="291"/>
      <c r="D1313" s="83"/>
      <c r="E1313" s="59"/>
      <c r="F1313" s="82"/>
      <c r="G1313" s="82"/>
      <c r="H1313" s="86"/>
      <c r="I1313" s="294"/>
      <c r="J1313" s="59"/>
      <c r="K1313" s="83"/>
      <c r="L1313" s="83" t="str">
        <f t="shared" si="48"/>
        <v xml:space="preserve">
</v>
      </c>
      <c r="M1313" s="83"/>
      <c r="N1313" s="59"/>
      <c r="O1313" s="59"/>
      <c r="P1313" s="86">
        <f t="shared" si="49"/>
        <v>0</v>
      </c>
      <c r="Q1313" s="59"/>
      <c r="R1313" s="59"/>
      <c r="S1313" s="59"/>
      <c r="T1313" s="59"/>
      <c r="U1313" s="290"/>
      <c r="V1313" s="290"/>
      <c r="W1313" s="290"/>
      <c r="X1313" s="290"/>
      <c r="Y1313" s="290"/>
      <c r="Z1313" s="290"/>
      <c r="AA1313" s="290"/>
      <c r="AB1313" s="290"/>
      <c r="AC1313" s="290"/>
      <c r="AD1313" s="290"/>
    </row>
    <row r="1314" spans="1:30" ht="25.5">
      <c r="A1314" s="291"/>
      <c r="B1314" s="291"/>
      <c r="C1314" s="291"/>
      <c r="D1314" s="83"/>
      <c r="E1314" s="59"/>
      <c r="F1314" s="82"/>
      <c r="G1314" s="82"/>
      <c r="H1314" s="86"/>
      <c r="I1314" s="294"/>
      <c r="J1314" s="59"/>
      <c r="K1314" s="83"/>
      <c r="L1314" s="83" t="str">
        <f t="shared" si="48"/>
        <v xml:space="preserve">
</v>
      </c>
      <c r="M1314" s="83"/>
      <c r="N1314" s="59"/>
      <c r="O1314" s="59"/>
      <c r="P1314" s="86">
        <f t="shared" si="49"/>
        <v>0</v>
      </c>
      <c r="Q1314" s="59"/>
      <c r="R1314" s="59"/>
      <c r="S1314" s="59"/>
      <c r="T1314" s="59"/>
      <c r="U1314" s="290"/>
      <c r="V1314" s="290"/>
      <c r="W1314" s="290"/>
      <c r="X1314" s="290"/>
      <c r="Y1314" s="290"/>
      <c r="Z1314" s="290"/>
      <c r="AA1314" s="290"/>
      <c r="AB1314" s="290"/>
      <c r="AC1314" s="290"/>
      <c r="AD1314" s="290"/>
    </row>
    <row r="1315" spans="1:30" ht="25.5">
      <c r="A1315" s="291"/>
      <c r="B1315" s="291"/>
      <c r="C1315" s="291"/>
      <c r="D1315" s="83"/>
      <c r="E1315" s="59"/>
      <c r="F1315" s="82"/>
      <c r="G1315" s="82"/>
      <c r="H1315" s="86"/>
      <c r="I1315" s="294"/>
      <c r="J1315" s="59"/>
      <c r="K1315" s="83"/>
      <c r="L1315" s="83" t="str">
        <f t="shared" si="48"/>
        <v xml:space="preserve">
</v>
      </c>
      <c r="M1315" s="83"/>
      <c r="N1315" s="59"/>
      <c r="O1315" s="59"/>
      <c r="P1315" s="86">
        <f t="shared" si="49"/>
        <v>0</v>
      </c>
      <c r="Q1315" s="59"/>
      <c r="R1315" s="59"/>
      <c r="S1315" s="59"/>
      <c r="T1315" s="59"/>
      <c r="U1315" s="290"/>
      <c r="V1315" s="290"/>
      <c r="W1315" s="290"/>
      <c r="X1315" s="290"/>
      <c r="Y1315" s="290"/>
      <c r="Z1315" s="290"/>
      <c r="AA1315" s="290"/>
      <c r="AB1315" s="290"/>
      <c r="AC1315" s="290"/>
      <c r="AD1315" s="290"/>
    </row>
    <row r="1316" spans="1:30" ht="25.5">
      <c r="A1316" s="291"/>
      <c r="B1316" s="291"/>
      <c r="C1316" s="291"/>
      <c r="D1316" s="83"/>
      <c r="E1316" s="59"/>
      <c r="F1316" s="82"/>
      <c r="G1316" s="82"/>
      <c r="H1316" s="86"/>
      <c r="I1316" s="294"/>
      <c r="J1316" s="59"/>
      <c r="K1316" s="83"/>
      <c r="L1316" s="83" t="str">
        <f t="shared" si="48"/>
        <v xml:space="preserve">
</v>
      </c>
      <c r="M1316" s="83"/>
      <c r="N1316" s="59"/>
      <c r="O1316" s="59"/>
      <c r="P1316" s="86">
        <f t="shared" si="49"/>
        <v>0</v>
      </c>
      <c r="Q1316" s="59"/>
      <c r="R1316" s="59"/>
      <c r="S1316" s="59"/>
      <c r="T1316" s="59"/>
      <c r="U1316" s="290"/>
      <c r="V1316" s="290"/>
      <c r="W1316" s="290"/>
      <c r="X1316" s="290"/>
      <c r="Y1316" s="290"/>
      <c r="Z1316" s="290"/>
      <c r="AA1316" s="290"/>
      <c r="AB1316" s="290"/>
      <c r="AC1316" s="290"/>
      <c r="AD1316" s="290"/>
    </row>
    <row r="1317" spans="1:30" ht="25.5">
      <c r="A1317" s="291"/>
      <c r="B1317" s="291"/>
      <c r="C1317" s="291"/>
      <c r="D1317" s="83"/>
      <c r="E1317" s="59"/>
      <c r="F1317" s="82"/>
      <c r="G1317" s="82"/>
      <c r="H1317" s="86"/>
      <c r="I1317" s="294"/>
      <c r="J1317" s="59"/>
      <c r="K1317" s="83"/>
      <c r="L1317" s="83" t="str">
        <f t="shared" si="48"/>
        <v xml:space="preserve">
</v>
      </c>
      <c r="M1317" s="83"/>
      <c r="N1317" s="59"/>
      <c r="O1317" s="59"/>
      <c r="P1317" s="86">
        <f t="shared" si="49"/>
        <v>0</v>
      </c>
      <c r="Q1317" s="59"/>
      <c r="R1317" s="59"/>
      <c r="S1317" s="59"/>
      <c r="T1317" s="59"/>
      <c r="U1317" s="290"/>
      <c r="V1317" s="290"/>
      <c r="W1317" s="290"/>
      <c r="X1317" s="290"/>
      <c r="Y1317" s="290"/>
      <c r="Z1317" s="290"/>
      <c r="AA1317" s="290"/>
      <c r="AB1317" s="290"/>
      <c r="AC1317" s="290"/>
      <c r="AD1317" s="290"/>
    </row>
    <row r="1318" spans="1:30" ht="25.5">
      <c r="A1318" s="291"/>
      <c r="B1318" s="291"/>
      <c r="C1318" s="291"/>
      <c r="D1318" s="83"/>
      <c r="E1318" s="59"/>
      <c r="F1318" s="82"/>
      <c r="G1318" s="82"/>
      <c r="H1318" s="86"/>
      <c r="I1318" s="294"/>
      <c r="J1318" s="59"/>
      <c r="K1318" s="83"/>
      <c r="L1318" s="83" t="str">
        <f t="shared" si="48"/>
        <v xml:space="preserve">
</v>
      </c>
      <c r="M1318" s="83"/>
      <c r="N1318" s="59"/>
      <c r="O1318" s="59"/>
      <c r="P1318" s="86">
        <f t="shared" si="49"/>
        <v>0</v>
      </c>
      <c r="Q1318" s="59"/>
      <c r="R1318" s="59"/>
      <c r="S1318" s="59"/>
      <c r="T1318" s="59"/>
      <c r="U1318" s="290"/>
      <c r="V1318" s="290"/>
      <c r="W1318" s="290"/>
      <c r="X1318" s="290"/>
      <c r="Y1318" s="290"/>
      <c r="Z1318" s="290"/>
      <c r="AA1318" s="290"/>
      <c r="AB1318" s="290"/>
      <c r="AC1318" s="290"/>
      <c r="AD1318" s="290"/>
    </row>
    <row r="1319" spans="1:30" ht="25.5">
      <c r="A1319" s="291"/>
      <c r="B1319" s="291"/>
      <c r="C1319" s="291"/>
      <c r="D1319" s="83"/>
      <c r="E1319" s="59"/>
      <c r="F1319" s="82"/>
      <c r="G1319" s="82"/>
      <c r="H1319" s="86"/>
      <c r="I1319" s="294"/>
      <c r="J1319" s="59"/>
      <c r="K1319" s="83"/>
      <c r="L1319" s="83" t="str">
        <f t="shared" si="48"/>
        <v xml:space="preserve">
</v>
      </c>
      <c r="M1319" s="83"/>
      <c r="N1319" s="59"/>
      <c r="O1319" s="59"/>
      <c r="P1319" s="86">
        <f t="shared" si="49"/>
        <v>0</v>
      </c>
      <c r="Q1319" s="59"/>
      <c r="R1319" s="59"/>
      <c r="S1319" s="59"/>
      <c r="T1319" s="59"/>
      <c r="U1319" s="290"/>
      <c r="V1319" s="290"/>
      <c r="W1319" s="290"/>
      <c r="X1319" s="290"/>
      <c r="Y1319" s="290"/>
      <c r="Z1319" s="290"/>
      <c r="AA1319" s="290"/>
      <c r="AB1319" s="290"/>
      <c r="AC1319" s="290"/>
      <c r="AD1319" s="290"/>
    </row>
    <row r="1320" spans="1:30" ht="25.5">
      <c r="A1320" s="291"/>
      <c r="B1320" s="291"/>
      <c r="C1320" s="291"/>
      <c r="D1320" s="83"/>
      <c r="E1320" s="59"/>
      <c r="F1320" s="82"/>
      <c r="G1320" s="82"/>
      <c r="H1320" s="86"/>
      <c r="I1320" s="294"/>
      <c r="J1320" s="59"/>
      <c r="K1320" s="83"/>
      <c r="L1320" s="83" t="str">
        <f t="shared" si="48"/>
        <v xml:space="preserve">
</v>
      </c>
      <c r="M1320" s="83"/>
      <c r="N1320" s="59"/>
      <c r="O1320" s="59"/>
      <c r="P1320" s="86">
        <f t="shared" si="49"/>
        <v>0</v>
      </c>
      <c r="Q1320" s="59"/>
      <c r="R1320" s="59"/>
      <c r="S1320" s="59"/>
      <c r="T1320" s="59"/>
      <c r="U1320" s="290"/>
      <c r="V1320" s="290"/>
      <c r="W1320" s="290"/>
      <c r="X1320" s="290"/>
      <c r="Y1320" s="290"/>
      <c r="Z1320" s="290"/>
      <c r="AA1320" s="290"/>
      <c r="AB1320" s="290"/>
      <c r="AC1320" s="290"/>
      <c r="AD1320" s="290"/>
    </row>
    <row r="1321" spans="1:30" ht="25.5">
      <c r="A1321" s="291"/>
      <c r="B1321" s="291"/>
      <c r="C1321" s="291"/>
      <c r="D1321" s="83"/>
      <c r="E1321" s="59"/>
      <c r="F1321" s="82"/>
      <c r="G1321" s="82"/>
      <c r="H1321" s="86"/>
      <c r="I1321" s="294"/>
      <c r="J1321" s="59"/>
      <c r="K1321" s="83"/>
      <c r="L1321" s="83" t="str">
        <f t="shared" si="48"/>
        <v xml:space="preserve">
</v>
      </c>
      <c r="M1321" s="83"/>
      <c r="N1321" s="59"/>
      <c r="O1321" s="59"/>
      <c r="P1321" s="86">
        <f t="shared" si="49"/>
        <v>0</v>
      </c>
      <c r="Q1321" s="59"/>
      <c r="R1321" s="59"/>
      <c r="S1321" s="59"/>
      <c r="T1321" s="59"/>
      <c r="U1321" s="290"/>
      <c r="V1321" s="290"/>
      <c r="W1321" s="290"/>
      <c r="X1321" s="290"/>
      <c r="Y1321" s="290"/>
      <c r="Z1321" s="290"/>
      <c r="AA1321" s="290"/>
      <c r="AB1321" s="290"/>
      <c r="AC1321" s="290"/>
      <c r="AD1321" s="290"/>
    </row>
    <row r="1322" spans="1:30" ht="25.5">
      <c r="A1322" s="291"/>
      <c r="B1322" s="291"/>
      <c r="C1322" s="291"/>
      <c r="D1322" s="83"/>
      <c r="E1322" s="59"/>
      <c r="F1322" s="82"/>
      <c r="G1322" s="82"/>
      <c r="H1322" s="86"/>
      <c r="I1322" s="294"/>
      <c r="J1322" s="59"/>
      <c r="K1322" s="83"/>
      <c r="L1322" s="83" t="str">
        <f t="shared" si="48"/>
        <v xml:space="preserve">
</v>
      </c>
      <c r="M1322" s="83"/>
      <c r="N1322" s="59"/>
      <c r="O1322" s="59"/>
      <c r="P1322" s="86">
        <f t="shared" si="49"/>
        <v>0</v>
      </c>
      <c r="Q1322" s="59"/>
      <c r="R1322" s="59"/>
      <c r="S1322" s="59"/>
      <c r="T1322" s="59"/>
      <c r="U1322" s="290"/>
      <c r="V1322" s="290"/>
      <c r="W1322" s="290"/>
      <c r="X1322" s="290"/>
      <c r="Y1322" s="290"/>
      <c r="Z1322" s="290"/>
      <c r="AA1322" s="290"/>
      <c r="AB1322" s="290"/>
      <c r="AC1322" s="290"/>
      <c r="AD1322" s="290"/>
    </row>
    <row r="1323" spans="1:30" ht="25.5">
      <c r="A1323" s="291"/>
      <c r="B1323" s="291"/>
      <c r="C1323" s="291"/>
      <c r="D1323" s="83"/>
      <c r="E1323" s="59"/>
      <c r="F1323" s="82"/>
      <c r="G1323" s="82"/>
      <c r="H1323" s="86"/>
      <c r="I1323" s="294"/>
      <c r="J1323" s="59"/>
      <c r="K1323" s="83"/>
      <c r="L1323" s="83" t="str">
        <f t="shared" si="48"/>
        <v xml:space="preserve">
</v>
      </c>
      <c r="M1323" s="83"/>
      <c r="N1323" s="59"/>
      <c r="O1323" s="59"/>
      <c r="P1323" s="86">
        <f t="shared" si="49"/>
        <v>0</v>
      </c>
      <c r="Q1323" s="59"/>
      <c r="R1323" s="59"/>
      <c r="S1323" s="59"/>
      <c r="T1323" s="59"/>
      <c r="U1323" s="290"/>
      <c r="V1323" s="290"/>
      <c r="W1323" s="290"/>
      <c r="X1323" s="290"/>
      <c r="Y1323" s="290"/>
      <c r="Z1323" s="290"/>
      <c r="AA1323" s="290"/>
      <c r="AB1323" s="290"/>
      <c r="AC1323" s="290"/>
      <c r="AD1323" s="290"/>
    </row>
    <row r="1324" spans="1:30" ht="25.5">
      <c r="A1324" s="291"/>
      <c r="B1324" s="291"/>
      <c r="C1324" s="291"/>
      <c r="D1324" s="83"/>
      <c r="E1324" s="59"/>
      <c r="F1324" s="82"/>
      <c r="G1324" s="82"/>
      <c r="H1324" s="86"/>
      <c r="I1324" s="294"/>
      <c r="J1324" s="59"/>
      <c r="K1324" s="83"/>
      <c r="L1324" s="83" t="str">
        <f t="shared" si="48"/>
        <v xml:space="preserve">
</v>
      </c>
      <c r="M1324" s="83"/>
      <c r="N1324" s="59"/>
      <c r="O1324" s="59"/>
      <c r="P1324" s="86">
        <f t="shared" si="49"/>
        <v>0</v>
      </c>
      <c r="Q1324" s="59"/>
      <c r="R1324" s="59"/>
      <c r="S1324" s="59"/>
      <c r="T1324" s="59"/>
      <c r="U1324" s="290"/>
      <c r="V1324" s="290"/>
      <c r="W1324" s="290"/>
      <c r="X1324" s="290"/>
      <c r="Y1324" s="290"/>
      <c r="Z1324" s="290"/>
      <c r="AA1324" s="290"/>
      <c r="AB1324" s="290"/>
      <c r="AC1324" s="290"/>
      <c r="AD1324" s="290"/>
    </row>
    <row r="1325" spans="1:30" ht="25.5">
      <c r="A1325" s="291"/>
      <c r="B1325" s="291"/>
      <c r="C1325" s="291"/>
      <c r="D1325" s="83"/>
      <c r="E1325" s="59"/>
      <c r="F1325" s="82"/>
      <c r="G1325" s="82"/>
      <c r="H1325" s="86"/>
      <c r="I1325" s="294"/>
      <c r="J1325" s="59"/>
      <c r="K1325" s="83"/>
      <c r="L1325" s="83" t="str">
        <f t="shared" si="48"/>
        <v xml:space="preserve">
</v>
      </c>
      <c r="M1325" s="83"/>
      <c r="N1325" s="59"/>
      <c r="O1325" s="59"/>
      <c r="P1325" s="86">
        <f t="shared" si="49"/>
        <v>0</v>
      </c>
      <c r="Q1325" s="59"/>
      <c r="R1325" s="59"/>
      <c r="S1325" s="59"/>
      <c r="T1325" s="59"/>
      <c r="U1325" s="290"/>
      <c r="V1325" s="290"/>
      <c r="W1325" s="290"/>
      <c r="X1325" s="290"/>
      <c r="Y1325" s="290"/>
      <c r="Z1325" s="290"/>
      <c r="AA1325" s="290"/>
      <c r="AB1325" s="290"/>
      <c r="AC1325" s="290"/>
      <c r="AD1325" s="290"/>
    </row>
    <row r="1326" spans="1:30" ht="25.5">
      <c r="A1326" s="291"/>
      <c r="B1326" s="291"/>
      <c r="C1326" s="291"/>
      <c r="D1326" s="83"/>
      <c r="E1326" s="59"/>
      <c r="F1326" s="82"/>
      <c r="G1326" s="82"/>
      <c r="H1326" s="86"/>
      <c r="I1326" s="294"/>
      <c r="J1326" s="59"/>
      <c r="K1326" s="83"/>
      <c r="L1326" s="83" t="str">
        <f t="shared" si="48"/>
        <v xml:space="preserve">
</v>
      </c>
      <c r="M1326" s="83"/>
      <c r="N1326" s="59"/>
      <c r="O1326" s="59"/>
      <c r="P1326" s="86">
        <f t="shared" si="49"/>
        <v>0</v>
      </c>
      <c r="Q1326" s="59"/>
      <c r="R1326" s="59"/>
      <c r="S1326" s="59"/>
      <c r="T1326" s="59"/>
      <c r="U1326" s="290"/>
      <c r="V1326" s="290"/>
      <c r="W1326" s="290"/>
      <c r="X1326" s="290"/>
      <c r="Y1326" s="290"/>
      <c r="Z1326" s="290"/>
      <c r="AA1326" s="290"/>
      <c r="AB1326" s="290"/>
      <c r="AC1326" s="290"/>
      <c r="AD1326" s="290"/>
    </row>
    <row r="1327" spans="1:30" ht="25.5">
      <c r="A1327" s="291"/>
      <c r="B1327" s="291"/>
      <c r="C1327" s="291"/>
      <c r="D1327" s="83"/>
      <c r="E1327" s="59"/>
      <c r="F1327" s="82"/>
      <c r="G1327" s="82"/>
      <c r="H1327" s="86"/>
      <c r="I1327" s="294"/>
      <c r="J1327" s="59"/>
      <c r="K1327" s="83"/>
      <c r="L1327" s="83" t="str">
        <f t="shared" si="48"/>
        <v xml:space="preserve">
</v>
      </c>
      <c r="M1327" s="83"/>
      <c r="N1327" s="59"/>
      <c r="O1327" s="59"/>
      <c r="P1327" s="86">
        <f t="shared" si="49"/>
        <v>0</v>
      </c>
      <c r="Q1327" s="59"/>
      <c r="R1327" s="59"/>
      <c r="S1327" s="59"/>
      <c r="T1327" s="59"/>
      <c r="U1327" s="290"/>
      <c r="V1327" s="290"/>
      <c r="W1327" s="290"/>
      <c r="X1327" s="290"/>
      <c r="Y1327" s="290"/>
      <c r="Z1327" s="290"/>
      <c r="AA1327" s="290"/>
      <c r="AB1327" s="290"/>
      <c r="AC1327" s="290"/>
      <c r="AD1327" s="290"/>
    </row>
    <row r="1328" spans="1:30" ht="25.5">
      <c r="A1328" s="291"/>
      <c r="B1328" s="291"/>
      <c r="C1328" s="291"/>
      <c r="D1328" s="83"/>
      <c r="E1328" s="59"/>
      <c r="F1328" s="82"/>
      <c r="G1328" s="82"/>
      <c r="H1328" s="86"/>
      <c r="I1328" s="294"/>
      <c r="J1328" s="59"/>
      <c r="K1328" s="83"/>
      <c r="L1328" s="83" t="str">
        <f t="shared" si="48"/>
        <v xml:space="preserve">
</v>
      </c>
      <c r="M1328" s="83"/>
      <c r="N1328" s="59"/>
      <c r="O1328" s="59"/>
      <c r="P1328" s="86">
        <f t="shared" si="49"/>
        <v>0</v>
      </c>
      <c r="Q1328" s="59"/>
      <c r="R1328" s="59"/>
      <c r="S1328" s="59"/>
      <c r="T1328" s="59"/>
      <c r="U1328" s="290"/>
      <c r="V1328" s="290"/>
      <c r="W1328" s="290"/>
      <c r="X1328" s="290"/>
      <c r="Y1328" s="290"/>
      <c r="Z1328" s="290"/>
      <c r="AA1328" s="290"/>
      <c r="AB1328" s="290"/>
      <c r="AC1328" s="290"/>
      <c r="AD1328" s="290"/>
    </row>
    <row r="1329" spans="1:30" ht="25.5">
      <c r="A1329" s="291"/>
      <c r="B1329" s="291"/>
      <c r="C1329" s="291"/>
      <c r="D1329" s="83"/>
      <c r="E1329" s="59"/>
      <c r="F1329" s="82"/>
      <c r="G1329" s="82"/>
      <c r="H1329" s="86"/>
      <c r="I1329" s="294"/>
      <c r="J1329" s="59"/>
      <c r="K1329" s="83"/>
      <c r="L1329" s="83" t="str">
        <f t="shared" si="48"/>
        <v xml:space="preserve">
</v>
      </c>
      <c r="M1329" s="83"/>
      <c r="N1329" s="59"/>
      <c r="O1329" s="59"/>
      <c r="P1329" s="86">
        <f t="shared" si="49"/>
        <v>0</v>
      </c>
      <c r="Q1329" s="59"/>
      <c r="R1329" s="59"/>
      <c r="S1329" s="59"/>
      <c r="T1329" s="59"/>
      <c r="U1329" s="290"/>
      <c r="V1329" s="290"/>
      <c r="W1329" s="290"/>
      <c r="X1329" s="290"/>
      <c r="Y1329" s="290"/>
      <c r="Z1329" s="290"/>
      <c r="AA1329" s="290"/>
      <c r="AB1329" s="290"/>
      <c r="AC1329" s="290"/>
      <c r="AD1329" s="290"/>
    </row>
    <row r="1330" spans="1:30" ht="25.5">
      <c r="A1330" s="291"/>
      <c r="B1330" s="291"/>
      <c r="C1330" s="291"/>
      <c r="D1330" s="83"/>
      <c r="E1330" s="59"/>
      <c r="F1330" s="82"/>
      <c r="G1330" s="82"/>
      <c r="H1330" s="86"/>
      <c r="I1330" s="294"/>
      <c r="J1330" s="59"/>
      <c r="K1330" s="83"/>
      <c r="L1330" s="83" t="str">
        <f t="shared" si="48"/>
        <v xml:space="preserve">
</v>
      </c>
      <c r="M1330" s="83"/>
      <c r="N1330" s="59"/>
      <c r="O1330" s="59"/>
      <c r="P1330" s="86">
        <f t="shared" si="49"/>
        <v>0</v>
      </c>
      <c r="Q1330" s="59"/>
      <c r="R1330" s="59"/>
      <c r="S1330" s="59"/>
      <c r="T1330" s="59"/>
      <c r="U1330" s="290"/>
      <c r="V1330" s="290"/>
      <c r="W1330" s="290"/>
      <c r="X1330" s="290"/>
      <c r="Y1330" s="290"/>
      <c r="Z1330" s="290"/>
      <c r="AA1330" s="290"/>
      <c r="AB1330" s="290"/>
      <c r="AC1330" s="290"/>
      <c r="AD1330" s="290"/>
    </row>
    <row r="1331" spans="1:30" ht="25.5">
      <c r="A1331" s="291"/>
      <c r="B1331" s="291"/>
      <c r="C1331" s="291"/>
      <c r="D1331" s="83"/>
      <c r="E1331" s="59"/>
      <c r="F1331" s="82"/>
      <c r="G1331" s="82"/>
      <c r="H1331" s="86"/>
      <c r="I1331" s="294"/>
      <c r="J1331" s="59"/>
      <c r="K1331" s="83"/>
      <c r="L1331" s="83" t="str">
        <f t="shared" si="48"/>
        <v xml:space="preserve">
</v>
      </c>
      <c r="M1331" s="83"/>
      <c r="N1331" s="59"/>
      <c r="O1331" s="59"/>
      <c r="P1331" s="86">
        <f t="shared" si="49"/>
        <v>0</v>
      </c>
      <c r="Q1331" s="59"/>
      <c r="R1331" s="59"/>
      <c r="S1331" s="59"/>
      <c r="T1331" s="59"/>
      <c r="U1331" s="290"/>
      <c r="V1331" s="290"/>
      <c r="W1331" s="290"/>
      <c r="X1331" s="290"/>
      <c r="Y1331" s="290"/>
      <c r="Z1331" s="290"/>
      <c r="AA1331" s="290"/>
      <c r="AB1331" s="290"/>
      <c r="AC1331" s="290"/>
      <c r="AD1331" s="290"/>
    </row>
    <row r="1332" spans="1:30" ht="25.5">
      <c r="A1332" s="291"/>
      <c r="B1332" s="291"/>
      <c r="C1332" s="291"/>
      <c r="D1332" s="83"/>
      <c r="E1332" s="59"/>
      <c r="F1332" s="82"/>
      <c r="G1332" s="82"/>
      <c r="H1332" s="86"/>
      <c r="I1332" s="294"/>
      <c r="J1332" s="59"/>
      <c r="K1332" s="83"/>
      <c r="L1332" s="83" t="str">
        <f t="shared" si="48"/>
        <v xml:space="preserve">
</v>
      </c>
      <c r="M1332" s="83"/>
      <c r="N1332" s="59"/>
      <c r="O1332" s="59"/>
      <c r="P1332" s="86">
        <f t="shared" si="49"/>
        <v>0</v>
      </c>
      <c r="Q1332" s="59"/>
      <c r="R1332" s="59"/>
      <c r="S1332" s="59"/>
      <c r="T1332" s="59"/>
      <c r="U1332" s="290"/>
      <c r="V1332" s="290"/>
      <c r="W1332" s="290"/>
      <c r="X1332" s="290"/>
      <c r="Y1332" s="290"/>
      <c r="Z1332" s="290"/>
      <c r="AA1332" s="290"/>
      <c r="AB1332" s="290"/>
      <c r="AC1332" s="290"/>
      <c r="AD1332" s="290"/>
    </row>
    <row r="1333" spans="1:30" ht="25.5">
      <c r="A1333" s="291"/>
      <c r="B1333" s="291"/>
      <c r="C1333" s="291"/>
      <c r="D1333" s="83"/>
      <c r="E1333" s="59"/>
      <c r="F1333" s="82"/>
      <c r="G1333" s="82"/>
      <c r="H1333" s="86"/>
      <c r="I1333" s="294"/>
      <c r="J1333" s="59"/>
      <c r="K1333" s="83"/>
      <c r="L1333" s="83" t="str">
        <f t="shared" si="48"/>
        <v xml:space="preserve">
</v>
      </c>
      <c r="M1333" s="83"/>
      <c r="N1333" s="59"/>
      <c r="O1333" s="59"/>
      <c r="P1333" s="86">
        <f t="shared" si="49"/>
        <v>0</v>
      </c>
      <c r="Q1333" s="59"/>
      <c r="R1333" s="59"/>
      <c r="S1333" s="59"/>
      <c r="T1333" s="59"/>
      <c r="U1333" s="290"/>
      <c r="V1333" s="290"/>
      <c r="W1333" s="290"/>
      <c r="X1333" s="290"/>
      <c r="Y1333" s="290"/>
      <c r="Z1333" s="290"/>
      <c r="AA1333" s="290"/>
      <c r="AB1333" s="290"/>
      <c r="AC1333" s="290"/>
      <c r="AD1333" s="290"/>
    </row>
    <row r="1334" spans="1:30" ht="25.5">
      <c r="A1334" s="291"/>
      <c r="B1334" s="291"/>
      <c r="C1334" s="291"/>
      <c r="D1334" s="83"/>
      <c r="E1334" s="59"/>
      <c r="F1334" s="82"/>
      <c r="G1334" s="82"/>
      <c r="H1334" s="86"/>
      <c r="I1334" s="294"/>
      <c r="J1334" s="59"/>
      <c r="K1334" s="83"/>
      <c r="L1334" s="83" t="str">
        <f t="shared" si="48"/>
        <v xml:space="preserve">
</v>
      </c>
      <c r="M1334" s="83"/>
      <c r="N1334" s="59"/>
      <c r="O1334" s="59"/>
      <c r="P1334" s="86">
        <f t="shared" si="49"/>
        <v>0</v>
      </c>
      <c r="Q1334" s="59"/>
      <c r="R1334" s="59"/>
      <c r="S1334" s="59"/>
      <c r="T1334" s="59"/>
      <c r="U1334" s="290"/>
      <c r="V1334" s="290"/>
      <c r="W1334" s="290"/>
      <c r="X1334" s="290"/>
      <c r="Y1334" s="290"/>
      <c r="Z1334" s="290"/>
      <c r="AA1334" s="290"/>
      <c r="AB1334" s="290"/>
      <c r="AC1334" s="290"/>
      <c r="AD1334" s="290"/>
    </row>
    <row r="1335" spans="1:30" ht="25.5">
      <c r="A1335" s="291"/>
      <c r="B1335" s="291"/>
      <c r="C1335" s="291"/>
      <c r="D1335" s="83"/>
      <c r="E1335" s="59"/>
      <c r="F1335" s="82"/>
      <c r="G1335" s="82"/>
      <c r="H1335" s="86"/>
      <c r="I1335" s="294"/>
      <c r="J1335" s="59"/>
      <c r="K1335" s="83"/>
      <c r="L1335" s="83" t="str">
        <f t="shared" si="48"/>
        <v xml:space="preserve">
</v>
      </c>
      <c r="M1335" s="83"/>
      <c r="N1335" s="59"/>
      <c r="O1335" s="59"/>
      <c r="P1335" s="86">
        <f t="shared" si="49"/>
        <v>0</v>
      </c>
      <c r="Q1335" s="59"/>
      <c r="R1335" s="59"/>
      <c r="S1335" s="59"/>
      <c r="T1335" s="59"/>
      <c r="U1335" s="290"/>
      <c r="V1335" s="290"/>
      <c r="W1335" s="290"/>
      <c r="X1335" s="290"/>
      <c r="Y1335" s="290"/>
      <c r="Z1335" s="290"/>
      <c r="AA1335" s="290"/>
      <c r="AB1335" s="290"/>
      <c r="AC1335" s="290"/>
      <c r="AD1335" s="290"/>
    </row>
    <row r="1336" spans="1:30" ht="25.5">
      <c r="A1336" s="291"/>
      <c r="B1336" s="291"/>
      <c r="C1336" s="291"/>
      <c r="D1336" s="83"/>
      <c r="E1336" s="59"/>
      <c r="F1336" s="82"/>
      <c r="G1336" s="82"/>
      <c r="H1336" s="86"/>
      <c r="I1336" s="294"/>
      <c r="J1336" s="59"/>
      <c r="K1336" s="83"/>
      <c r="L1336" s="83" t="str">
        <f t="shared" si="48"/>
        <v xml:space="preserve">
</v>
      </c>
      <c r="M1336" s="83"/>
      <c r="N1336" s="59"/>
      <c r="O1336" s="59"/>
      <c r="P1336" s="86">
        <f t="shared" si="49"/>
        <v>0</v>
      </c>
      <c r="Q1336" s="59"/>
      <c r="R1336" s="59"/>
      <c r="S1336" s="59"/>
      <c r="T1336" s="59"/>
      <c r="U1336" s="290"/>
      <c r="V1336" s="290"/>
      <c r="W1336" s="290"/>
      <c r="X1336" s="290"/>
      <c r="Y1336" s="290"/>
      <c r="Z1336" s="290"/>
      <c r="AA1336" s="290"/>
      <c r="AB1336" s="290"/>
      <c r="AC1336" s="290"/>
      <c r="AD1336" s="290"/>
    </row>
    <row r="1337" spans="1:30" ht="25.5">
      <c r="A1337" s="291"/>
      <c r="B1337" s="291"/>
      <c r="C1337" s="291"/>
      <c r="D1337" s="83"/>
      <c r="E1337" s="59"/>
      <c r="F1337" s="82"/>
      <c r="G1337" s="82"/>
      <c r="H1337" s="86"/>
      <c r="I1337" s="294"/>
      <c r="J1337" s="59"/>
      <c r="K1337" s="83"/>
      <c r="L1337" s="83" t="str">
        <f t="shared" si="48"/>
        <v xml:space="preserve">
</v>
      </c>
      <c r="M1337" s="83"/>
      <c r="N1337" s="59"/>
      <c r="O1337" s="59"/>
      <c r="P1337" s="86">
        <f t="shared" si="49"/>
        <v>0</v>
      </c>
      <c r="Q1337" s="59"/>
      <c r="R1337" s="59"/>
      <c r="S1337" s="59"/>
      <c r="T1337" s="59"/>
      <c r="U1337" s="290"/>
      <c r="V1337" s="290"/>
      <c r="W1337" s="290"/>
      <c r="X1337" s="290"/>
      <c r="Y1337" s="290"/>
      <c r="Z1337" s="290"/>
      <c r="AA1337" s="290"/>
      <c r="AB1337" s="290"/>
      <c r="AC1337" s="290"/>
      <c r="AD1337" s="290"/>
    </row>
    <row r="1338" spans="1:30" ht="25.5">
      <c r="A1338" s="291"/>
      <c r="B1338" s="291"/>
      <c r="C1338" s="291"/>
      <c r="D1338" s="83"/>
      <c r="E1338" s="59"/>
      <c r="F1338" s="82"/>
      <c r="G1338" s="82"/>
      <c r="H1338" s="86"/>
      <c r="I1338" s="294"/>
      <c r="J1338" s="59"/>
      <c r="K1338" s="83"/>
      <c r="L1338" s="83" t="str">
        <f t="shared" si="48"/>
        <v xml:space="preserve">
</v>
      </c>
      <c r="M1338" s="83"/>
      <c r="N1338" s="59"/>
      <c r="O1338" s="59"/>
      <c r="P1338" s="86">
        <f t="shared" si="49"/>
        <v>0</v>
      </c>
      <c r="Q1338" s="59"/>
      <c r="R1338" s="59"/>
      <c r="S1338" s="59"/>
      <c r="T1338" s="59"/>
      <c r="U1338" s="290"/>
      <c r="V1338" s="290"/>
      <c r="W1338" s="290"/>
      <c r="X1338" s="290"/>
      <c r="Y1338" s="290"/>
      <c r="Z1338" s="290"/>
      <c r="AA1338" s="290"/>
      <c r="AB1338" s="290"/>
      <c r="AC1338" s="290"/>
      <c r="AD1338" s="290"/>
    </row>
    <row r="1339" spans="1:30" ht="25.5">
      <c r="A1339" s="291"/>
      <c r="B1339" s="291"/>
      <c r="C1339" s="291"/>
      <c r="D1339" s="83"/>
      <c r="E1339" s="59"/>
      <c r="F1339" s="82"/>
      <c r="G1339" s="82"/>
      <c r="H1339" s="86"/>
      <c r="I1339" s="294"/>
      <c r="J1339" s="59"/>
      <c r="K1339" s="83"/>
      <c r="L1339" s="83" t="str">
        <f t="shared" si="48"/>
        <v xml:space="preserve">
</v>
      </c>
      <c r="M1339" s="83"/>
      <c r="N1339" s="59"/>
      <c r="O1339" s="59"/>
      <c r="P1339" s="86">
        <f t="shared" si="49"/>
        <v>0</v>
      </c>
      <c r="Q1339" s="59"/>
      <c r="R1339" s="59"/>
      <c r="S1339" s="59"/>
      <c r="T1339" s="59"/>
      <c r="U1339" s="290"/>
      <c r="V1339" s="290"/>
      <c r="W1339" s="290"/>
      <c r="X1339" s="290"/>
      <c r="Y1339" s="290"/>
      <c r="Z1339" s="290"/>
      <c r="AA1339" s="290"/>
      <c r="AB1339" s="290"/>
      <c r="AC1339" s="290"/>
      <c r="AD1339" s="290"/>
    </row>
    <row r="1340" spans="1:30" ht="25.5">
      <c r="A1340" s="291"/>
      <c r="B1340" s="291"/>
      <c r="C1340" s="291"/>
      <c r="D1340" s="83"/>
      <c r="E1340" s="59"/>
      <c r="F1340" s="82"/>
      <c r="G1340" s="82"/>
      <c r="H1340" s="86"/>
      <c r="I1340" s="294"/>
      <c r="J1340" s="59"/>
      <c r="K1340" s="83"/>
      <c r="L1340" s="83" t="str">
        <f t="shared" si="48"/>
        <v xml:space="preserve">
</v>
      </c>
      <c r="M1340" s="83"/>
      <c r="N1340" s="59"/>
      <c r="O1340" s="59"/>
      <c r="P1340" s="86">
        <f t="shared" si="49"/>
        <v>0</v>
      </c>
      <c r="Q1340" s="59"/>
      <c r="R1340" s="59"/>
      <c r="S1340" s="59"/>
      <c r="T1340" s="59"/>
      <c r="U1340" s="290"/>
      <c r="V1340" s="290"/>
      <c r="W1340" s="290"/>
      <c r="X1340" s="290"/>
      <c r="Y1340" s="290"/>
      <c r="Z1340" s="290"/>
      <c r="AA1340" s="290"/>
      <c r="AB1340" s="290"/>
      <c r="AC1340" s="290"/>
      <c r="AD1340" s="290"/>
    </row>
    <row r="1341" spans="1:30" ht="25.5">
      <c r="A1341" s="291"/>
      <c r="B1341" s="291"/>
      <c r="C1341" s="291"/>
      <c r="D1341" s="83"/>
      <c r="E1341" s="59"/>
      <c r="F1341" s="82"/>
      <c r="G1341" s="82"/>
      <c r="H1341" s="86"/>
      <c r="I1341" s="294"/>
      <c r="J1341" s="59"/>
      <c r="K1341" s="83"/>
      <c r="L1341" s="83" t="str">
        <f t="shared" si="48"/>
        <v xml:space="preserve">
</v>
      </c>
      <c r="M1341" s="83"/>
      <c r="N1341" s="59"/>
      <c r="O1341" s="59"/>
      <c r="P1341" s="86">
        <f t="shared" si="49"/>
        <v>0</v>
      </c>
      <c r="Q1341" s="59"/>
      <c r="R1341" s="59"/>
      <c r="S1341" s="59"/>
      <c r="T1341" s="59"/>
      <c r="U1341" s="290"/>
      <c r="V1341" s="290"/>
      <c r="W1341" s="290"/>
      <c r="X1341" s="290"/>
      <c r="Y1341" s="290"/>
      <c r="Z1341" s="290"/>
      <c r="AA1341" s="290"/>
      <c r="AB1341" s="290"/>
      <c r="AC1341" s="290"/>
      <c r="AD1341" s="290"/>
    </row>
    <row r="1342" spans="1:30" ht="25.5">
      <c r="A1342" s="291"/>
      <c r="B1342" s="291"/>
      <c r="C1342" s="291"/>
      <c r="D1342" s="83"/>
      <c r="E1342" s="59"/>
      <c r="F1342" s="82"/>
      <c r="G1342" s="82"/>
      <c r="H1342" s="86"/>
      <c r="I1342" s="294"/>
      <c r="J1342" s="59"/>
      <c r="K1342" s="83"/>
      <c r="L1342" s="83" t="str">
        <f t="shared" si="48"/>
        <v xml:space="preserve">
</v>
      </c>
      <c r="M1342" s="83"/>
      <c r="N1342" s="59"/>
      <c r="O1342" s="59"/>
      <c r="P1342" s="86">
        <f t="shared" si="49"/>
        <v>0</v>
      </c>
      <c r="Q1342" s="59"/>
      <c r="R1342" s="59"/>
      <c r="S1342" s="59"/>
      <c r="T1342" s="59"/>
      <c r="U1342" s="290"/>
      <c r="V1342" s="290"/>
      <c r="W1342" s="290"/>
      <c r="X1342" s="290"/>
      <c r="Y1342" s="290"/>
      <c r="Z1342" s="290"/>
      <c r="AA1342" s="290"/>
      <c r="AB1342" s="290"/>
      <c r="AC1342" s="290"/>
      <c r="AD1342" s="290"/>
    </row>
    <row r="1343" spans="1:30" ht="25.5">
      <c r="A1343" s="291"/>
      <c r="B1343" s="291"/>
      <c r="C1343" s="291"/>
      <c r="D1343" s="83"/>
      <c r="E1343" s="59"/>
      <c r="F1343" s="82"/>
      <c r="G1343" s="82"/>
      <c r="H1343" s="86"/>
      <c r="I1343" s="294"/>
      <c r="J1343" s="59"/>
      <c r="K1343" s="83"/>
      <c r="L1343" s="83" t="str">
        <f t="shared" si="48"/>
        <v xml:space="preserve">
</v>
      </c>
      <c r="M1343" s="83"/>
      <c r="N1343" s="59"/>
      <c r="O1343" s="59"/>
      <c r="P1343" s="86">
        <f t="shared" si="49"/>
        <v>0</v>
      </c>
      <c r="Q1343" s="59"/>
      <c r="R1343" s="59"/>
      <c r="S1343" s="59"/>
      <c r="T1343" s="59"/>
      <c r="U1343" s="290"/>
      <c r="V1343" s="290"/>
      <c r="W1343" s="290"/>
      <c r="X1343" s="290"/>
      <c r="Y1343" s="290"/>
      <c r="Z1343" s="290"/>
      <c r="AA1343" s="290"/>
      <c r="AB1343" s="290"/>
      <c r="AC1343" s="290"/>
      <c r="AD1343" s="290"/>
    </row>
    <row r="1344" spans="1:30" ht="25.5">
      <c r="A1344" s="291"/>
      <c r="B1344" s="291"/>
      <c r="C1344" s="291"/>
      <c r="D1344" s="83"/>
      <c r="E1344" s="59"/>
      <c r="F1344" s="82"/>
      <c r="G1344" s="82"/>
      <c r="H1344" s="86"/>
      <c r="I1344" s="294"/>
      <c r="J1344" s="59"/>
      <c r="K1344" s="83"/>
      <c r="L1344" s="83" t="str">
        <f t="shared" si="48"/>
        <v xml:space="preserve">
</v>
      </c>
      <c r="M1344" s="83"/>
      <c r="N1344" s="59"/>
      <c r="O1344" s="59"/>
      <c r="P1344" s="86">
        <f t="shared" si="49"/>
        <v>0</v>
      </c>
      <c r="Q1344" s="59"/>
      <c r="R1344" s="59"/>
      <c r="S1344" s="59"/>
      <c r="T1344" s="59"/>
      <c r="U1344" s="290"/>
      <c r="V1344" s="290"/>
      <c r="W1344" s="290"/>
      <c r="X1344" s="290"/>
      <c r="Y1344" s="290"/>
      <c r="Z1344" s="290"/>
      <c r="AA1344" s="290"/>
      <c r="AB1344" s="290"/>
      <c r="AC1344" s="290"/>
      <c r="AD1344" s="290"/>
    </row>
    <row r="1345" spans="1:30" ht="25.5">
      <c r="A1345" s="291"/>
      <c r="B1345" s="291"/>
      <c r="C1345" s="291"/>
      <c r="D1345" s="83"/>
      <c r="E1345" s="59"/>
      <c r="F1345" s="82"/>
      <c r="G1345" s="82"/>
      <c r="H1345" s="86"/>
      <c r="I1345" s="294"/>
      <c r="J1345" s="59"/>
      <c r="K1345" s="83"/>
      <c r="L1345" s="83" t="str">
        <f t="shared" si="48"/>
        <v xml:space="preserve">
</v>
      </c>
      <c r="M1345" s="83"/>
      <c r="N1345" s="59"/>
      <c r="O1345" s="59"/>
      <c r="P1345" s="86">
        <f t="shared" si="49"/>
        <v>0</v>
      </c>
      <c r="Q1345" s="59"/>
      <c r="R1345" s="59"/>
      <c r="S1345" s="59"/>
      <c r="T1345" s="59"/>
      <c r="U1345" s="290"/>
      <c r="V1345" s="290"/>
      <c r="W1345" s="290"/>
      <c r="X1345" s="290"/>
      <c r="Y1345" s="290"/>
      <c r="Z1345" s="290"/>
      <c r="AA1345" s="290"/>
      <c r="AB1345" s="290"/>
      <c r="AC1345" s="290"/>
      <c r="AD1345" s="290"/>
    </row>
    <row r="1346" spans="1:30" ht="25.5">
      <c r="A1346" s="291"/>
      <c r="B1346" s="291"/>
      <c r="C1346" s="291"/>
      <c r="D1346" s="83"/>
      <c r="E1346" s="59"/>
      <c r="F1346" s="82"/>
      <c r="G1346" s="82"/>
      <c r="H1346" s="86"/>
      <c r="I1346" s="294"/>
      <c r="J1346" s="59"/>
      <c r="K1346" s="83"/>
      <c r="L1346" s="83" t="str">
        <f t="shared" si="48"/>
        <v xml:space="preserve">
</v>
      </c>
      <c r="M1346" s="83"/>
      <c r="N1346" s="59"/>
      <c r="O1346" s="59"/>
      <c r="P1346" s="86">
        <f t="shared" si="49"/>
        <v>0</v>
      </c>
      <c r="Q1346" s="59"/>
      <c r="R1346" s="59"/>
      <c r="S1346" s="59"/>
      <c r="T1346" s="59"/>
      <c r="U1346" s="290"/>
      <c r="V1346" s="290"/>
      <c r="W1346" s="290"/>
      <c r="X1346" s="290"/>
      <c r="Y1346" s="290"/>
      <c r="Z1346" s="290"/>
      <c r="AA1346" s="290"/>
      <c r="AB1346" s="290"/>
      <c r="AC1346" s="290"/>
      <c r="AD1346" s="290"/>
    </row>
    <row r="1347" spans="1:30" ht="25.5">
      <c r="A1347" s="291"/>
      <c r="B1347" s="291"/>
      <c r="C1347" s="291"/>
      <c r="D1347" s="83"/>
      <c r="E1347" s="59"/>
      <c r="F1347" s="82"/>
      <c r="G1347" s="82"/>
      <c r="H1347" s="86"/>
      <c r="I1347" s="294"/>
      <c r="J1347" s="59"/>
      <c r="K1347" s="83"/>
      <c r="L1347" s="83" t="str">
        <f t="shared" si="48"/>
        <v xml:space="preserve">
</v>
      </c>
      <c r="M1347" s="83"/>
      <c r="N1347" s="59"/>
      <c r="O1347" s="59"/>
      <c r="P1347" s="86">
        <f t="shared" si="49"/>
        <v>0</v>
      </c>
      <c r="Q1347" s="59"/>
      <c r="R1347" s="59"/>
      <c r="S1347" s="59"/>
      <c r="T1347" s="59"/>
      <c r="U1347" s="290"/>
      <c r="V1347" s="290"/>
      <c r="W1347" s="290"/>
      <c r="X1347" s="290"/>
      <c r="Y1347" s="290"/>
      <c r="Z1347" s="290"/>
      <c r="AA1347" s="290"/>
      <c r="AB1347" s="290"/>
      <c r="AC1347" s="290"/>
      <c r="AD1347" s="290"/>
    </row>
    <row r="1348" spans="1:30" ht="25.5">
      <c r="A1348" s="291"/>
      <c r="B1348" s="291"/>
      <c r="C1348" s="291"/>
      <c r="D1348" s="83"/>
      <c r="E1348" s="59"/>
      <c r="F1348" s="82"/>
      <c r="G1348" s="82"/>
      <c r="H1348" s="86"/>
      <c r="I1348" s="294"/>
      <c r="J1348" s="59"/>
      <c r="K1348" s="83"/>
      <c r="L1348" s="83" t="str">
        <f t="shared" si="48"/>
        <v xml:space="preserve">
</v>
      </c>
      <c r="M1348" s="83"/>
      <c r="N1348" s="59"/>
      <c r="O1348" s="59"/>
      <c r="P1348" s="86">
        <f t="shared" si="49"/>
        <v>0</v>
      </c>
      <c r="Q1348" s="59"/>
      <c r="R1348" s="59"/>
      <c r="S1348" s="59"/>
      <c r="T1348" s="59"/>
      <c r="U1348" s="290"/>
      <c r="V1348" s="290"/>
      <c r="W1348" s="290"/>
      <c r="X1348" s="290"/>
      <c r="Y1348" s="290"/>
      <c r="Z1348" s="290"/>
      <c r="AA1348" s="290"/>
      <c r="AB1348" s="290"/>
      <c r="AC1348" s="290"/>
      <c r="AD1348" s="290"/>
    </row>
    <row r="1349" spans="1:30" ht="25.5">
      <c r="A1349" s="291"/>
      <c r="B1349" s="291"/>
      <c r="C1349" s="291"/>
      <c r="D1349" s="83"/>
      <c r="E1349" s="59"/>
      <c r="F1349" s="82"/>
      <c r="G1349" s="82"/>
      <c r="H1349" s="86"/>
      <c r="I1349" s="294"/>
      <c r="J1349" s="59"/>
      <c r="K1349" s="83"/>
      <c r="L1349" s="83" t="str">
        <f t="shared" si="48"/>
        <v xml:space="preserve">
</v>
      </c>
      <c r="M1349" s="83"/>
      <c r="N1349" s="59"/>
      <c r="O1349" s="59"/>
      <c r="P1349" s="86">
        <f t="shared" si="49"/>
        <v>0</v>
      </c>
      <c r="Q1349" s="59"/>
      <c r="R1349" s="59"/>
      <c r="S1349" s="59"/>
      <c r="T1349" s="59"/>
      <c r="U1349" s="290"/>
      <c r="V1349" s="290"/>
      <c r="W1349" s="290"/>
      <c r="X1349" s="290"/>
      <c r="Y1349" s="290"/>
      <c r="Z1349" s="290"/>
      <c r="AA1349" s="290"/>
      <c r="AB1349" s="290"/>
      <c r="AC1349" s="290"/>
      <c r="AD1349" s="290"/>
    </row>
    <row r="1350" spans="1:30" ht="25.5">
      <c r="A1350" s="291"/>
      <c r="B1350" s="291"/>
      <c r="C1350" s="291"/>
      <c r="D1350" s="83"/>
      <c r="E1350" s="59"/>
      <c r="F1350" s="82"/>
      <c r="G1350" s="82"/>
      <c r="H1350" s="86"/>
      <c r="I1350" s="294"/>
      <c r="J1350" s="59"/>
      <c r="K1350" s="83"/>
      <c r="L1350" s="83" t="str">
        <f t="shared" si="48"/>
        <v xml:space="preserve">
</v>
      </c>
      <c r="M1350" s="83"/>
      <c r="N1350" s="59"/>
      <c r="O1350" s="59"/>
      <c r="P1350" s="86">
        <f t="shared" si="49"/>
        <v>0</v>
      </c>
      <c r="Q1350" s="59"/>
      <c r="R1350" s="59"/>
      <c r="S1350" s="59"/>
      <c r="T1350" s="59"/>
      <c r="U1350" s="290"/>
      <c r="V1350" s="290"/>
      <c r="W1350" s="290"/>
      <c r="X1350" s="290"/>
      <c r="Y1350" s="290"/>
      <c r="Z1350" s="290"/>
      <c r="AA1350" s="290"/>
      <c r="AB1350" s="290"/>
      <c r="AC1350" s="290"/>
      <c r="AD1350" s="290"/>
    </row>
    <row r="1351" spans="1:30" ht="25.5">
      <c r="A1351" s="291"/>
      <c r="B1351" s="291"/>
      <c r="C1351" s="291"/>
      <c r="D1351" s="83"/>
      <c r="E1351" s="59"/>
      <c r="F1351" s="82"/>
      <c r="G1351" s="82"/>
      <c r="H1351" s="86"/>
      <c r="I1351" s="294"/>
      <c r="J1351" s="59"/>
      <c r="K1351" s="83"/>
      <c r="L1351" s="83" t="str">
        <f t="shared" si="48"/>
        <v xml:space="preserve">
</v>
      </c>
      <c r="M1351" s="83"/>
      <c r="N1351" s="59"/>
      <c r="O1351" s="59"/>
      <c r="P1351" s="86">
        <f t="shared" si="49"/>
        <v>0</v>
      </c>
      <c r="Q1351" s="59"/>
      <c r="R1351" s="59"/>
      <c r="S1351" s="59"/>
      <c r="T1351" s="59"/>
      <c r="U1351" s="290"/>
      <c r="V1351" s="290"/>
      <c r="W1351" s="290"/>
      <c r="X1351" s="290"/>
      <c r="Y1351" s="290"/>
      <c r="Z1351" s="290"/>
      <c r="AA1351" s="290"/>
      <c r="AB1351" s="290"/>
      <c r="AC1351" s="290"/>
      <c r="AD1351" s="290"/>
    </row>
    <row r="1352" spans="1:30" ht="25.5">
      <c r="A1352" s="291"/>
      <c r="B1352" s="291"/>
      <c r="C1352" s="291"/>
      <c r="D1352" s="83"/>
      <c r="E1352" s="59"/>
      <c r="F1352" s="82"/>
      <c r="G1352" s="82"/>
      <c r="H1352" s="86"/>
      <c r="I1352" s="294"/>
      <c r="J1352" s="59"/>
      <c r="K1352" s="83"/>
      <c r="L1352" s="83" t="str">
        <f t="shared" si="48"/>
        <v xml:space="preserve">
</v>
      </c>
      <c r="M1352" s="83"/>
      <c r="N1352" s="59"/>
      <c r="O1352" s="59"/>
      <c r="P1352" s="86">
        <f t="shared" si="49"/>
        <v>0</v>
      </c>
      <c r="Q1352" s="59"/>
      <c r="R1352" s="59"/>
      <c r="S1352" s="59"/>
      <c r="T1352" s="59"/>
      <c r="U1352" s="290"/>
      <c r="V1352" s="290"/>
      <c r="W1352" s="290"/>
      <c r="X1352" s="290"/>
      <c r="Y1352" s="290"/>
      <c r="Z1352" s="290"/>
      <c r="AA1352" s="290"/>
      <c r="AB1352" s="290"/>
      <c r="AC1352" s="290"/>
      <c r="AD1352" s="290"/>
    </row>
    <row r="1353" spans="1:30" ht="25.5">
      <c r="A1353" s="291"/>
      <c r="B1353" s="291"/>
      <c r="C1353" s="291"/>
      <c r="D1353" s="83"/>
      <c r="E1353" s="59"/>
      <c r="F1353" s="82"/>
      <c r="G1353" s="82"/>
      <c r="H1353" s="86"/>
      <c r="I1353" s="294"/>
      <c r="J1353" s="59"/>
      <c r="K1353" s="83"/>
      <c r="L1353" s="83" t="str">
        <f t="shared" si="48"/>
        <v xml:space="preserve">
</v>
      </c>
      <c r="M1353" s="83"/>
      <c r="N1353" s="59"/>
      <c r="O1353" s="59"/>
      <c r="P1353" s="86">
        <f t="shared" si="49"/>
        <v>0</v>
      </c>
      <c r="Q1353" s="59"/>
      <c r="R1353" s="59"/>
      <c r="S1353" s="59"/>
      <c r="T1353" s="59"/>
      <c r="U1353" s="290"/>
      <c r="V1353" s="290"/>
      <c r="W1353" s="290"/>
      <c r="X1353" s="290"/>
      <c r="Y1353" s="290"/>
      <c r="Z1353" s="290"/>
      <c r="AA1353" s="290"/>
      <c r="AB1353" s="290"/>
      <c r="AC1353" s="290"/>
      <c r="AD1353" s="290"/>
    </row>
    <row r="1354" spans="1:30" ht="25.5">
      <c r="A1354" s="291"/>
      <c r="B1354" s="291"/>
      <c r="C1354" s="291"/>
      <c r="D1354" s="83"/>
      <c r="E1354" s="59"/>
      <c r="F1354" s="82"/>
      <c r="G1354" s="82"/>
      <c r="H1354" s="86"/>
      <c r="I1354" s="294"/>
      <c r="J1354" s="59"/>
      <c r="K1354" s="83"/>
      <c r="L1354" s="83" t="str">
        <f t="shared" si="48"/>
        <v xml:space="preserve">
</v>
      </c>
      <c r="M1354" s="83"/>
      <c r="N1354" s="59"/>
      <c r="O1354" s="59"/>
      <c r="P1354" s="86">
        <f t="shared" si="49"/>
        <v>0</v>
      </c>
      <c r="Q1354" s="59"/>
      <c r="R1354" s="59"/>
      <c r="S1354" s="59"/>
      <c r="T1354" s="59"/>
      <c r="U1354" s="290"/>
      <c r="V1354" s="290"/>
      <c r="W1354" s="290"/>
      <c r="X1354" s="290"/>
      <c r="Y1354" s="290"/>
      <c r="Z1354" s="290"/>
      <c r="AA1354" s="290"/>
      <c r="AB1354" s="290"/>
      <c r="AC1354" s="290"/>
      <c r="AD1354" s="290"/>
    </row>
    <row r="1355" spans="1:30" ht="25.5">
      <c r="A1355" s="291"/>
      <c r="B1355" s="291"/>
      <c r="C1355" s="291"/>
      <c r="D1355" s="83"/>
      <c r="E1355" s="59"/>
      <c r="F1355" s="82"/>
      <c r="G1355" s="82"/>
      <c r="H1355" s="86"/>
      <c r="I1355" s="294"/>
      <c r="J1355" s="59"/>
      <c r="K1355" s="83"/>
      <c r="L1355" s="83" t="str">
        <f t="shared" si="48"/>
        <v xml:space="preserve">
</v>
      </c>
      <c r="M1355" s="83"/>
      <c r="N1355" s="59"/>
      <c r="O1355" s="59"/>
      <c r="P1355" s="86">
        <f t="shared" si="49"/>
        <v>0</v>
      </c>
      <c r="Q1355" s="59"/>
      <c r="R1355" s="59"/>
      <c r="S1355" s="59"/>
      <c r="T1355" s="59"/>
      <c r="U1355" s="290"/>
      <c r="V1355" s="290"/>
      <c r="W1355" s="290"/>
      <c r="X1355" s="290"/>
      <c r="Y1355" s="290"/>
      <c r="Z1355" s="290"/>
      <c r="AA1355" s="290"/>
      <c r="AB1355" s="290"/>
      <c r="AC1355" s="290"/>
      <c r="AD1355" s="290"/>
    </row>
    <row r="1356" spans="1:30" ht="25.5">
      <c r="A1356" s="291"/>
      <c r="B1356" s="291"/>
      <c r="C1356" s="291"/>
      <c r="D1356" s="83"/>
      <c r="E1356" s="59"/>
      <c r="F1356" s="82"/>
      <c r="G1356" s="82"/>
      <c r="H1356" s="86"/>
      <c r="I1356" s="294"/>
      <c r="J1356" s="59"/>
      <c r="K1356" s="83"/>
      <c r="L1356" s="83" t="str">
        <f t="shared" si="48"/>
        <v xml:space="preserve">
</v>
      </c>
      <c r="M1356" s="83"/>
      <c r="N1356" s="59"/>
      <c r="O1356" s="59"/>
      <c r="P1356" s="86">
        <f t="shared" si="49"/>
        <v>0</v>
      </c>
      <c r="Q1356" s="59"/>
      <c r="R1356" s="59"/>
      <c r="S1356" s="59"/>
      <c r="T1356" s="59"/>
      <c r="U1356" s="290"/>
      <c r="V1356" s="290"/>
      <c r="W1356" s="290"/>
      <c r="X1356" s="290"/>
      <c r="Y1356" s="290"/>
      <c r="Z1356" s="290"/>
      <c r="AA1356" s="290"/>
      <c r="AB1356" s="290"/>
      <c r="AC1356" s="290"/>
      <c r="AD1356" s="290"/>
    </row>
    <row r="1357" spans="1:30" ht="25.5">
      <c r="A1357" s="291"/>
      <c r="B1357" s="291"/>
      <c r="C1357" s="291"/>
      <c r="D1357" s="83"/>
      <c r="E1357" s="59"/>
      <c r="F1357" s="82"/>
      <c r="G1357" s="82"/>
      <c r="H1357" s="86"/>
      <c r="I1357" s="294"/>
      <c r="J1357" s="59"/>
      <c r="K1357" s="83"/>
      <c r="L1357" s="83" t="str">
        <f t="shared" si="48"/>
        <v xml:space="preserve">
</v>
      </c>
      <c r="M1357" s="83"/>
      <c r="N1357" s="59"/>
      <c r="O1357" s="59"/>
      <c r="P1357" s="86">
        <f t="shared" si="49"/>
        <v>0</v>
      </c>
      <c r="Q1357" s="59"/>
      <c r="R1357" s="59"/>
      <c r="S1357" s="59"/>
      <c r="T1357" s="59"/>
      <c r="U1357" s="290"/>
      <c r="V1357" s="290"/>
      <c r="W1357" s="290"/>
      <c r="X1357" s="290"/>
      <c r="Y1357" s="290"/>
      <c r="Z1357" s="290"/>
      <c r="AA1357" s="290"/>
      <c r="AB1357" s="290"/>
      <c r="AC1357" s="290"/>
      <c r="AD1357" s="290"/>
    </row>
    <row r="1358" spans="1:30" ht="25.5">
      <c r="A1358" s="291"/>
      <c r="B1358" s="291"/>
      <c r="C1358" s="291"/>
      <c r="D1358" s="83"/>
      <c r="E1358" s="59"/>
      <c r="F1358" s="82"/>
      <c r="G1358" s="82"/>
      <c r="H1358" s="86"/>
      <c r="I1358" s="294"/>
      <c r="J1358" s="59"/>
      <c r="K1358" s="83"/>
      <c r="L1358" s="83" t="str">
        <f t="shared" si="48"/>
        <v xml:space="preserve">
</v>
      </c>
      <c r="M1358" s="83"/>
      <c r="N1358" s="59"/>
      <c r="O1358" s="59"/>
      <c r="P1358" s="86">
        <f t="shared" si="49"/>
        <v>0</v>
      </c>
      <c r="Q1358" s="59"/>
      <c r="R1358" s="59"/>
      <c r="S1358" s="59"/>
      <c r="T1358" s="59"/>
      <c r="U1358" s="290"/>
      <c r="V1358" s="290"/>
      <c r="W1358" s="290"/>
      <c r="X1358" s="290"/>
      <c r="Y1358" s="290"/>
      <c r="Z1358" s="290"/>
      <c r="AA1358" s="290"/>
      <c r="AB1358" s="290"/>
      <c r="AC1358" s="290"/>
      <c r="AD1358" s="290"/>
    </row>
    <row r="1359" spans="1:30" ht="25.5">
      <c r="A1359" s="291"/>
      <c r="B1359" s="291"/>
      <c r="C1359" s="291"/>
      <c r="D1359" s="83"/>
      <c r="E1359" s="59"/>
      <c r="F1359" s="82"/>
      <c r="G1359" s="82"/>
      <c r="H1359" s="86"/>
      <c r="I1359" s="294"/>
      <c r="J1359" s="59"/>
      <c r="K1359" s="83"/>
      <c r="L1359" s="83" t="str">
        <f t="shared" si="48"/>
        <v xml:space="preserve">
</v>
      </c>
      <c r="M1359" s="83"/>
      <c r="N1359" s="59"/>
      <c r="O1359" s="59"/>
      <c r="P1359" s="86">
        <f t="shared" si="49"/>
        <v>0</v>
      </c>
      <c r="Q1359" s="59"/>
      <c r="R1359" s="59"/>
      <c r="S1359" s="59"/>
      <c r="T1359" s="59"/>
      <c r="U1359" s="290"/>
      <c r="V1359" s="290"/>
      <c r="W1359" s="290"/>
      <c r="X1359" s="290"/>
      <c r="Y1359" s="290"/>
      <c r="Z1359" s="290"/>
      <c r="AA1359" s="290"/>
      <c r="AB1359" s="290"/>
      <c r="AC1359" s="290"/>
      <c r="AD1359" s="290"/>
    </row>
    <row r="1360" spans="1:30" ht="25.5">
      <c r="A1360" s="291"/>
      <c r="B1360" s="291"/>
      <c r="C1360" s="291"/>
      <c r="D1360" s="83"/>
      <c r="E1360" s="59"/>
      <c r="F1360" s="82"/>
      <c r="G1360" s="82"/>
      <c r="H1360" s="86"/>
      <c r="I1360" s="294"/>
      <c r="J1360" s="59"/>
      <c r="K1360" s="83"/>
      <c r="L1360" s="83" t="str">
        <f t="shared" si="48"/>
        <v xml:space="preserve">
</v>
      </c>
      <c r="M1360" s="83"/>
      <c r="N1360" s="59"/>
      <c r="O1360" s="59"/>
      <c r="P1360" s="86">
        <f t="shared" si="49"/>
        <v>0</v>
      </c>
      <c r="Q1360" s="59"/>
      <c r="R1360" s="59"/>
      <c r="S1360" s="59"/>
      <c r="T1360" s="59"/>
      <c r="U1360" s="290"/>
      <c r="V1360" s="290"/>
      <c r="W1360" s="290"/>
      <c r="X1360" s="290"/>
      <c r="Y1360" s="290"/>
      <c r="Z1360" s="290"/>
      <c r="AA1360" s="290"/>
      <c r="AB1360" s="290"/>
      <c r="AC1360" s="290"/>
      <c r="AD1360" s="290"/>
    </row>
    <row r="1361" spans="1:30" ht="25.5">
      <c r="A1361" s="291"/>
      <c r="B1361" s="291"/>
      <c r="C1361" s="291"/>
      <c r="D1361" s="83"/>
      <c r="E1361" s="59"/>
      <c r="F1361" s="82"/>
      <c r="G1361" s="82"/>
      <c r="H1361" s="86"/>
      <c r="I1361" s="294"/>
      <c r="J1361" s="59"/>
      <c r="K1361" s="83"/>
      <c r="L1361" s="83" t="str">
        <f t="shared" si="48"/>
        <v xml:space="preserve">
</v>
      </c>
      <c r="M1361" s="83"/>
      <c r="N1361" s="59"/>
      <c r="O1361" s="59"/>
      <c r="P1361" s="86">
        <f t="shared" si="49"/>
        <v>0</v>
      </c>
      <c r="Q1361" s="59"/>
      <c r="R1361" s="59"/>
      <c r="S1361" s="59"/>
      <c r="T1361" s="59"/>
      <c r="U1361" s="290"/>
      <c r="V1361" s="290"/>
      <c r="W1361" s="290"/>
      <c r="X1361" s="290"/>
      <c r="Y1361" s="290"/>
      <c r="Z1361" s="290"/>
      <c r="AA1361" s="290"/>
      <c r="AB1361" s="290"/>
      <c r="AC1361" s="290"/>
      <c r="AD1361" s="290"/>
    </row>
    <row r="1362" spans="1:30" ht="25.5">
      <c r="A1362" s="291"/>
      <c r="B1362" s="291"/>
      <c r="C1362" s="291"/>
      <c r="D1362" s="83"/>
      <c r="E1362" s="59"/>
      <c r="F1362" s="82"/>
      <c r="G1362" s="82"/>
      <c r="H1362" s="86"/>
      <c r="I1362" s="294"/>
      <c r="J1362" s="59"/>
      <c r="K1362" s="83"/>
      <c r="L1362" s="83" t="str">
        <f t="shared" si="48"/>
        <v xml:space="preserve">
</v>
      </c>
      <c r="M1362" s="83"/>
      <c r="N1362" s="59"/>
      <c r="O1362" s="59"/>
      <c r="P1362" s="86">
        <f t="shared" si="49"/>
        <v>0</v>
      </c>
      <c r="Q1362" s="59"/>
      <c r="R1362" s="59"/>
      <c r="S1362" s="59"/>
      <c r="T1362" s="59"/>
      <c r="U1362" s="290"/>
      <c r="V1362" s="290"/>
      <c r="W1362" s="290"/>
      <c r="X1362" s="290"/>
      <c r="Y1362" s="290"/>
      <c r="Z1362" s="290"/>
      <c r="AA1362" s="290"/>
      <c r="AB1362" s="290"/>
      <c r="AC1362" s="290"/>
      <c r="AD1362" s="290"/>
    </row>
    <row r="1363" spans="1:30" ht="25.5">
      <c r="A1363" s="291"/>
      <c r="B1363" s="291"/>
      <c r="C1363" s="291"/>
      <c r="D1363" s="83"/>
      <c r="E1363" s="59"/>
      <c r="F1363" s="82"/>
      <c r="G1363" s="82"/>
      <c r="H1363" s="86"/>
      <c r="I1363" s="294"/>
      <c r="J1363" s="59"/>
      <c r="K1363" s="83"/>
      <c r="L1363" s="83" t="str">
        <f t="shared" si="48"/>
        <v xml:space="preserve">
</v>
      </c>
      <c r="M1363" s="83"/>
      <c r="N1363" s="59"/>
      <c r="O1363" s="59"/>
      <c r="P1363" s="86">
        <f t="shared" si="49"/>
        <v>0</v>
      </c>
      <c r="Q1363" s="59"/>
      <c r="R1363" s="59"/>
      <c r="S1363" s="59"/>
      <c r="T1363" s="59"/>
      <c r="U1363" s="290"/>
      <c r="V1363" s="290"/>
      <c r="W1363" s="290"/>
      <c r="X1363" s="290"/>
      <c r="Y1363" s="290"/>
      <c r="Z1363" s="290"/>
      <c r="AA1363" s="290"/>
      <c r="AB1363" s="290"/>
      <c r="AC1363" s="290"/>
      <c r="AD1363" s="290"/>
    </row>
    <row r="1364" spans="1:30" ht="25.5">
      <c r="A1364" s="291"/>
      <c r="B1364" s="291"/>
      <c r="C1364" s="291"/>
      <c r="D1364" s="83"/>
      <c r="E1364" s="59"/>
      <c r="F1364" s="82"/>
      <c r="G1364" s="82"/>
      <c r="H1364" s="86"/>
      <c r="I1364" s="294"/>
      <c r="J1364" s="59"/>
      <c r="K1364" s="83"/>
      <c r="L1364" s="83" t="str">
        <f t="shared" si="48"/>
        <v xml:space="preserve">
</v>
      </c>
      <c r="M1364" s="83"/>
      <c r="N1364" s="59"/>
      <c r="O1364" s="59"/>
      <c r="P1364" s="86">
        <f t="shared" si="49"/>
        <v>0</v>
      </c>
      <c r="Q1364" s="59"/>
      <c r="R1364" s="59"/>
      <c r="S1364" s="59"/>
      <c r="T1364" s="59"/>
      <c r="U1364" s="290"/>
      <c r="V1364" s="290"/>
      <c r="W1364" s="290"/>
      <c r="X1364" s="290"/>
      <c r="Y1364" s="290"/>
      <c r="Z1364" s="290"/>
      <c r="AA1364" s="290"/>
      <c r="AB1364" s="290"/>
      <c r="AC1364" s="290"/>
      <c r="AD1364" s="290"/>
    </row>
    <row r="1365" spans="1:30" ht="25.5">
      <c r="A1365" s="291"/>
      <c r="B1365" s="291"/>
      <c r="C1365" s="291"/>
      <c r="D1365" s="83"/>
      <c r="E1365" s="59"/>
      <c r="F1365" s="82"/>
      <c r="G1365" s="82"/>
      <c r="H1365" s="86"/>
      <c r="I1365" s="294"/>
      <c r="J1365" s="59"/>
      <c r="K1365" s="83"/>
      <c r="L1365" s="83" t="str">
        <f t="shared" si="48"/>
        <v xml:space="preserve">
</v>
      </c>
      <c r="M1365" s="83"/>
      <c r="N1365" s="59"/>
      <c r="O1365" s="59"/>
      <c r="P1365" s="86">
        <f t="shared" si="49"/>
        <v>0</v>
      </c>
      <c r="Q1365" s="59"/>
      <c r="R1365" s="59"/>
      <c r="S1365" s="59"/>
      <c r="T1365" s="59"/>
      <c r="U1365" s="290"/>
      <c r="V1365" s="290"/>
      <c r="W1365" s="290"/>
      <c r="X1365" s="290"/>
      <c r="Y1365" s="290"/>
      <c r="Z1365" s="290"/>
      <c r="AA1365" s="290"/>
      <c r="AB1365" s="290"/>
      <c r="AC1365" s="290"/>
      <c r="AD1365" s="290"/>
    </row>
    <row r="1366" spans="1:30" ht="25.5">
      <c r="A1366" s="291"/>
      <c r="B1366" s="291"/>
      <c r="C1366" s="291"/>
      <c r="D1366" s="83"/>
      <c r="E1366" s="59"/>
      <c r="F1366" s="82"/>
      <c r="G1366" s="82"/>
      <c r="H1366" s="86"/>
      <c r="I1366" s="294"/>
      <c r="J1366" s="59"/>
      <c r="K1366" s="83"/>
      <c r="L1366" s="83" t="str">
        <f t="shared" si="48"/>
        <v xml:space="preserve">
</v>
      </c>
      <c r="M1366" s="83"/>
      <c r="N1366" s="59"/>
      <c r="O1366" s="59"/>
      <c r="P1366" s="86">
        <f t="shared" si="49"/>
        <v>0</v>
      </c>
      <c r="Q1366" s="59"/>
      <c r="R1366" s="59"/>
      <c r="S1366" s="59"/>
      <c r="T1366" s="59"/>
      <c r="U1366" s="290"/>
      <c r="V1366" s="290"/>
      <c r="W1366" s="290"/>
      <c r="X1366" s="290"/>
      <c r="Y1366" s="290"/>
      <c r="Z1366" s="290"/>
      <c r="AA1366" s="290"/>
      <c r="AB1366" s="290"/>
      <c r="AC1366" s="290"/>
      <c r="AD1366" s="290"/>
    </row>
    <row r="1367" spans="1:30" ht="25.5">
      <c r="A1367" s="291"/>
      <c r="B1367" s="291"/>
      <c r="C1367" s="291"/>
      <c r="D1367" s="83"/>
      <c r="E1367" s="59"/>
      <c r="F1367" s="82"/>
      <c r="G1367" s="82"/>
      <c r="H1367" s="86"/>
      <c r="I1367" s="294"/>
      <c r="J1367" s="59"/>
      <c r="K1367" s="83"/>
      <c r="L1367" s="83" t="str">
        <f t="shared" si="48"/>
        <v xml:space="preserve">
</v>
      </c>
      <c r="M1367" s="83"/>
      <c r="N1367" s="59"/>
      <c r="O1367" s="59"/>
      <c r="P1367" s="86">
        <f t="shared" si="49"/>
        <v>0</v>
      </c>
      <c r="Q1367" s="59"/>
      <c r="R1367" s="59"/>
      <c r="S1367" s="59"/>
      <c r="T1367" s="59"/>
      <c r="U1367" s="290"/>
      <c r="V1367" s="290"/>
      <c r="W1367" s="290"/>
      <c r="X1367" s="290"/>
      <c r="Y1367" s="290"/>
      <c r="Z1367" s="290"/>
      <c r="AA1367" s="290"/>
      <c r="AB1367" s="290"/>
      <c r="AC1367" s="290"/>
      <c r="AD1367" s="290"/>
    </row>
    <row r="1368" spans="1:30" ht="25.5">
      <c r="A1368" s="291"/>
      <c r="B1368" s="291"/>
      <c r="C1368" s="291"/>
      <c r="D1368" s="83"/>
      <c r="E1368" s="59"/>
      <c r="F1368" s="82"/>
      <c r="G1368" s="82"/>
      <c r="H1368" s="86"/>
      <c r="I1368" s="294"/>
      <c r="J1368" s="59"/>
      <c r="K1368" s="83"/>
      <c r="L1368" s="83" t="str">
        <f t="shared" si="48"/>
        <v xml:space="preserve">
</v>
      </c>
      <c r="M1368" s="83"/>
      <c r="N1368" s="59"/>
      <c r="O1368" s="59"/>
      <c r="P1368" s="86">
        <f t="shared" si="49"/>
        <v>0</v>
      </c>
      <c r="Q1368" s="59"/>
      <c r="R1368" s="59"/>
      <c r="S1368" s="59"/>
      <c r="T1368" s="59"/>
      <c r="U1368" s="290"/>
      <c r="V1368" s="290"/>
      <c r="W1368" s="290"/>
      <c r="X1368" s="290"/>
      <c r="Y1368" s="290"/>
      <c r="Z1368" s="290"/>
      <c r="AA1368" s="290"/>
      <c r="AB1368" s="290"/>
      <c r="AC1368" s="290"/>
      <c r="AD1368" s="290"/>
    </row>
    <row r="1369" spans="1:30" ht="25.5">
      <c r="A1369" s="291"/>
      <c r="B1369" s="291"/>
      <c r="C1369" s="291"/>
      <c r="D1369" s="83"/>
      <c r="E1369" s="59"/>
      <c r="F1369" s="82"/>
      <c r="G1369" s="82"/>
      <c r="H1369" s="86"/>
      <c r="I1369" s="294"/>
      <c r="J1369" s="59"/>
      <c r="K1369" s="83"/>
      <c r="L1369" s="83" t="str">
        <f t="shared" si="48"/>
        <v xml:space="preserve">
</v>
      </c>
      <c r="M1369" s="83"/>
      <c r="N1369" s="59"/>
      <c r="O1369" s="59"/>
      <c r="P1369" s="86">
        <f t="shared" si="49"/>
        <v>0</v>
      </c>
      <c r="Q1369" s="59"/>
      <c r="R1369" s="59"/>
      <c r="S1369" s="59"/>
      <c r="T1369" s="59"/>
      <c r="U1369" s="290"/>
      <c r="V1369" s="290"/>
      <c r="W1369" s="290"/>
      <c r="X1369" s="290"/>
      <c r="Y1369" s="290"/>
      <c r="Z1369" s="290"/>
      <c r="AA1369" s="290"/>
      <c r="AB1369" s="290"/>
      <c r="AC1369" s="290"/>
      <c r="AD1369" s="290"/>
    </row>
    <row r="1370" spans="1:30" ht="25.5">
      <c r="A1370" s="291"/>
      <c r="B1370" s="291"/>
      <c r="C1370" s="291"/>
      <c r="D1370" s="83"/>
      <c r="E1370" s="59"/>
      <c r="F1370" s="82"/>
      <c r="G1370" s="82"/>
      <c r="H1370" s="86"/>
      <c r="I1370" s="294"/>
      <c r="J1370" s="59"/>
      <c r="K1370" s="83"/>
      <c r="L1370" s="83" t="str">
        <f t="shared" si="48"/>
        <v xml:space="preserve">
</v>
      </c>
      <c r="M1370" s="83"/>
      <c r="N1370" s="59"/>
      <c r="O1370" s="59"/>
      <c r="P1370" s="86">
        <f t="shared" si="49"/>
        <v>0</v>
      </c>
      <c r="Q1370" s="59"/>
      <c r="R1370" s="59"/>
      <c r="S1370" s="59"/>
      <c r="T1370" s="59"/>
      <c r="U1370" s="290"/>
      <c r="V1370" s="290"/>
      <c r="W1370" s="290"/>
      <c r="X1370" s="290"/>
      <c r="Y1370" s="290"/>
      <c r="Z1370" s="290"/>
      <c r="AA1370" s="290"/>
      <c r="AB1370" s="290"/>
      <c r="AC1370" s="290"/>
      <c r="AD1370" s="290"/>
    </row>
    <row r="1371" spans="1:30" ht="25.5">
      <c r="A1371" s="291"/>
      <c r="B1371" s="291"/>
      <c r="C1371" s="291"/>
      <c r="D1371" s="83"/>
      <c r="E1371" s="59"/>
      <c r="F1371" s="82"/>
      <c r="G1371" s="82"/>
      <c r="H1371" s="86"/>
      <c r="I1371" s="294"/>
      <c r="J1371" s="59"/>
      <c r="K1371" s="83"/>
      <c r="L1371" s="83" t="str">
        <f t="shared" si="48"/>
        <v xml:space="preserve">
</v>
      </c>
      <c r="M1371" s="83"/>
      <c r="N1371" s="59"/>
      <c r="O1371" s="59"/>
      <c r="P1371" s="86">
        <f t="shared" si="49"/>
        <v>0</v>
      </c>
      <c r="Q1371" s="59"/>
      <c r="R1371" s="59"/>
      <c r="S1371" s="59"/>
      <c r="T1371" s="59"/>
      <c r="U1371" s="290"/>
      <c r="V1371" s="290"/>
      <c r="W1371" s="290"/>
      <c r="X1371" s="290"/>
      <c r="Y1371" s="290"/>
      <c r="Z1371" s="290"/>
      <c r="AA1371" s="290"/>
      <c r="AB1371" s="290"/>
      <c r="AC1371" s="290"/>
      <c r="AD1371" s="290"/>
    </row>
    <row r="1372" spans="1:30" ht="25.5">
      <c r="A1372" s="291"/>
      <c r="B1372" s="291"/>
      <c r="C1372" s="291"/>
      <c r="D1372" s="83"/>
      <c r="E1372" s="59"/>
      <c r="F1372" s="82"/>
      <c r="G1372" s="82"/>
      <c r="H1372" s="86"/>
      <c r="I1372" s="294"/>
      <c r="J1372" s="59"/>
      <c r="K1372" s="83"/>
      <c r="L1372" s="83" t="str">
        <f t="shared" si="48"/>
        <v xml:space="preserve">
</v>
      </c>
      <c r="M1372" s="83"/>
      <c r="N1372" s="59"/>
      <c r="O1372" s="59"/>
      <c r="P1372" s="86">
        <f t="shared" si="49"/>
        <v>0</v>
      </c>
      <c r="Q1372" s="59"/>
      <c r="R1372" s="59"/>
      <c r="S1372" s="59"/>
      <c r="T1372" s="59"/>
      <c r="U1372" s="290"/>
      <c r="V1372" s="290"/>
      <c r="W1372" s="290"/>
      <c r="X1372" s="290"/>
      <c r="Y1372" s="290"/>
      <c r="Z1372" s="290"/>
      <c r="AA1372" s="290"/>
      <c r="AB1372" s="290"/>
      <c r="AC1372" s="290"/>
      <c r="AD1372" s="290"/>
    </row>
    <row r="1373" spans="1:30" ht="25.5">
      <c r="A1373" s="291"/>
      <c r="B1373" s="291"/>
      <c r="C1373" s="291"/>
      <c r="D1373" s="83"/>
      <c r="E1373" s="59"/>
      <c r="F1373" s="82"/>
      <c r="G1373" s="82"/>
      <c r="H1373" s="86"/>
      <c r="I1373" s="294"/>
      <c r="J1373" s="59"/>
      <c r="K1373" s="83"/>
      <c r="L1373" s="83" t="str">
        <f t="shared" si="48"/>
        <v xml:space="preserve">
</v>
      </c>
      <c r="M1373" s="83"/>
      <c r="N1373" s="59"/>
      <c r="O1373" s="59"/>
      <c r="P1373" s="86">
        <f t="shared" si="49"/>
        <v>0</v>
      </c>
      <c r="Q1373" s="59"/>
      <c r="R1373" s="59"/>
      <c r="S1373" s="59"/>
      <c r="T1373" s="59"/>
      <c r="U1373" s="290"/>
      <c r="V1373" s="290"/>
      <c r="W1373" s="290"/>
      <c r="X1373" s="290"/>
      <c r="Y1373" s="290"/>
      <c r="Z1373" s="290"/>
      <c r="AA1373" s="290"/>
      <c r="AB1373" s="290"/>
      <c r="AC1373" s="290"/>
      <c r="AD1373" s="290"/>
    </row>
    <row r="1374" spans="1:30" ht="25.5">
      <c r="A1374" s="291"/>
      <c r="B1374" s="291"/>
      <c r="C1374" s="291"/>
      <c r="D1374" s="83"/>
      <c r="E1374" s="59"/>
      <c r="F1374" s="82"/>
      <c r="G1374" s="82"/>
      <c r="H1374" s="86"/>
      <c r="I1374" s="294"/>
      <c r="J1374" s="59"/>
      <c r="K1374" s="83"/>
      <c r="L1374" s="83" t="str">
        <f t="shared" si="48"/>
        <v xml:space="preserve">
</v>
      </c>
      <c r="M1374" s="83"/>
      <c r="N1374" s="59"/>
      <c r="O1374" s="59"/>
      <c r="P1374" s="86">
        <f t="shared" si="49"/>
        <v>0</v>
      </c>
      <c r="Q1374" s="59"/>
      <c r="R1374" s="59"/>
      <c r="S1374" s="59"/>
      <c r="T1374" s="59"/>
      <c r="U1374" s="290"/>
      <c r="V1374" s="290"/>
      <c r="W1374" s="290"/>
      <c r="X1374" s="290"/>
      <c r="Y1374" s="290"/>
      <c r="Z1374" s="290"/>
      <c r="AA1374" s="290"/>
      <c r="AB1374" s="290"/>
      <c r="AC1374" s="290"/>
      <c r="AD1374" s="290"/>
    </row>
    <row r="1375" spans="1:30" ht="25.5">
      <c r="A1375" s="291"/>
      <c r="B1375" s="291"/>
      <c r="C1375" s="291"/>
      <c r="D1375" s="83"/>
      <c r="E1375" s="59"/>
      <c r="F1375" s="82"/>
      <c r="G1375" s="82"/>
      <c r="H1375" s="86"/>
      <c r="I1375" s="294"/>
      <c r="J1375" s="59"/>
      <c r="K1375" s="83"/>
      <c r="L1375" s="83" t="str">
        <f t="shared" si="48"/>
        <v xml:space="preserve">
</v>
      </c>
      <c r="M1375" s="83"/>
      <c r="N1375" s="59"/>
      <c r="O1375" s="59"/>
      <c r="P1375" s="86">
        <f t="shared" si="49"/>
        <v>0</v>
      </c>
      <c r="Q1375" s="59"/>
      <c r="R1375" s="59"/>
      <c r="S1375" s="59"/>
      <c r="T1375" s="59"/>
      <c r="U1375" s="290"/>
      <c r="V1375" s="290"/>
      <c r="W1375" s="290"/>
      <c r="X1375" s="290"/>
      <c r="Y1375" s="290"/>
      <c r="Z1375" s="290"/>
      <c r="AA1375" s="290"/>
      <c r="AB1375" s="290"/>
      <c r="AC1375" s="290"/>
      <c r="AD1375" s="290"/>
    </row>
    <row r="1376" spans="1:30" ht="25.5">
      <c r="A1376" s="291"/>
      <c r="B1376" s="291"/>
      <c r="C1376" s="291"/>
      <c r="D1376" s="83"/>
      <c r="E1376" s="59"/>
      <c r="F1376" s="82"/>
      <c r="G1376" s="82"/>
      <c r="H1376" s="86"/>
      <c r="I1376" s="294"/>
      <c r="J1376" s="59"/>
      <c r="K1376" s="83"/>
      <c r="L1376" s="83" t="str">
        <f t="shared" si="48"/>
        <v xml:space="preserve">
</v>
      </c>
      <c r="M1376" s="83"/>
      <c r="N1376" s="59"/>
      <c r="O1376" s="59"/>
      <c r="P1376" s="86">
        <f t="shared" si="49"/>
        <v>0</v>
      </c>
      <c r="Q1376" s="59"/>
      <c r="R1376" s="59"/>
      <c r="S1376" s="59"/>
      <c r="T1376" s="59"/>
      <c r="U1376" s="290"/>
      <c r="V1376" s="290"/>
      <c r="W1376" s="290"/>
      <c r="X1376" s="290"/>
      <c r="Y1376" s="290"/>
      <c r="Z1376" s="290"/>
      <c r="AA1376" s="290"/>
      <c r="AB1376" s="290"/>
      <c r="AC1376" s="290"/>
      <c r="AD1376" s="290"/>
    </row>
    <row r="1377" spans="1:30" ht="25.5">
      <c r="A1377" s="291"/>
      <c r="B1377" s="291"/>
      <c r="C1377" s="291"/>
      <c r="D1377" s="83"/>
      <c r="E1377" s="59"/>
      <c r="F1377" s="82"/>
      <c r="G1377" s="82"/>
      <c r="H1377" s="86"/>
      <c r="I1377" s="294"/>
      <c r="J1377" s="59"/>
      <c r="K1377" s="83"/>
      <c r="L1377" s="83" t="str">
        <f t="shared" si="48"/>
        <v xml:space="preserve">
</v>
      </c>
      <c r="M1377" s="83"/>
      <c r="N1377" s="59"/>
      <c r="O1377" s="59"/>
      <c r="P1377" s="86">
        <f t="shared" si="49"/>
        <v>0</v>
      </c>
      <c r="Q1377" s="59"/>
      <c r="R1377" s="59"/>
      <c r="S1377" s="59"/>
      <c r="T1377" s="59"/>
      <c r="U1377" s="290"/>
      <c r="V1377" s="290"/>
      <c r="W1377" s="290"/>
      <c r="X1377" s="290"/>
      <c r="Y1377" s="290"/>
      <c r="Z1377" s="290"/>
      <c r="AA1377" s="290"/>
      <c r="AB1377" s="290"/>
      <c r="AC1377" s="290"/>
      <c r="AD1377" s="290"/>
    </row>
    <row r="1378" spans="1:30" ht="25.5">
      <c r="A1378" s="291"/>
      <c r="B1378" s="291"/>
      <c r="C1378" s="291"/>
      <c r="D1378" s="83"/>
      <c r="E1378" s="59"/>
      <c r="F1378" s="82"/>
      <c r="G1378" s="82"/>
      <c r="H1378" s="86"/>
      <c r="I1378" s="294"/>
      <c r="J1378" s="59"/>
      <c r="K1378" s="83"/>
      <c r="L1378" s="83" t="str">
        <f t="shared" si="48"/>
        <v xml:space="preserve">
</v>
      </c>
      <c r="M1378" s="83"/>
      <c r="N1378" s="59"/>
      <c r="O1378" s="59"/>
      <c r="P1378" s="86">
        <f t="shared" si="49"/>
        <v>0</v>
      </c>
      <c r="Q1378" s="59"/>
      <c r="R1378" s="59"/>
      <c r="S1378" s="59"/>
      <c r="T1378" s="59"/>
      <c r="U1378" s="290"/>
      <c r="V1378" s="290"/>
      <c r="W1378" s="290"/>
      <c r="X1378" s="290"/>
      <c r="Y1378" s="290"/>
      <c r="Z1378" s="290"/>
      <c r="AA1378" s="290"/>
      <c r="AB1378" s="290"/>
      <c r="AC1378" s="290"/>
      <c r="AD1378" s="290"/>
    </row>
    <row r="1379" spans="1:30" ht="25.5">
      <c r="A1379" s="291"/>
      <c r="B1379" s="291"/>
      <c r="C1379" s="291"/>
      <c r="D1379" s="83"/>
      <c r="E1379" s="59"/>
      <c r="F1379" s="82"/>
      <c r="G1379" s="82"/>
      <c r="H1379" s="86"/>
      <c r="I1379" s="294"/>
      <c r="J1379" s="59"/>
      <c r="K1379" s="83"/>
      <c r="L1379" s="83" t="str">
        <f t="shared" si="48"/>
        <v xml:space="preserve">
</v>
      </c>
      <c r="M1379" s="83"/>
      <c r="N1379" s="59"/>
      <c r="O1379" s="59"/>
      <c r="P1379" s="86">
        <f t="shared" si="49"/>
        <v>0</v>
      </c>
      <c r="Q1379" s="59"/>
      <c r="R1379" s="59"/>
      <c r="S1379" s="59"/>
      <c r="T1379" s="59"/>
      <c r="U1379" s="290"/>
      <c r="V1379" s="290"/>
      <c r="W1379" s="290"/>
      <c r="X1379" s="290"/>
      <c r="Y1379" s="290"/>
      <c r="Z1379" s="290"/>
      <c r="AA1379" s="290"/>
      <c r="AB1379" s="290"/>
      <c r="AC1379" s="290"/>
      <c r="AD1379" s="290"/>
    </row>
    <row r="1380" spans="1:30" ht="25.5">
      <c r="A1380" s="291"/>
      <c r="B1380" s="291"/>
      <c r="C1380" s="291"/>
      <c r="D1380" s="83"/>
      <c r="E1380" s="59"/>
      <c r="F1380" s="82"/>
      <c r="G1380" s="82"/>
      <c r="H1380" s="86"/>
      <c r="I1380" s="294"/>
      <c r="J1380" s="59"/>
      <c r="K1380" s="83"/>
      <c r="L1380" s="83" t="str">
        <f t="shared" si="48"/>
        <v xml:space="preserve">
</v>
      </c>
      <c r="M1380" s="83"/>
      <c r="N1380" s="59"/>
      <c r="O1380" s="59"/>
      <c r="P1380" s="86">
        <f t="shared" si="49"/>
        <v>0</v>
      </c>
      <c r="Q1380" s="59"/>
      <c r="R1380" s="59"/>
      <c r="S1380" s="59"/>
      <c r="T1380" s="59"/>
      <c r="U1380" s="290"/>
      <c r="V1380" s="290"/>
      <c r="W1380" s="290"/>
      <c r="X1380" s="290"/>
      <c r="Y1380" s="290"/>
      <c r="Z1380" s="290"/>
      <c r="AA1380" s="290"/>
      <c r="AB1380" s="290"/>
      <c r="AC1380" s="290"/>
      <c r="AD1380" s="290"/>
    </row>
    <row r="1381" spans="1:30" ht="25.5">
      <c r="A1381" s="291"/>
      <c r="B1381" s="291"/>
      <c r="C1381" s="291"/>
      <c r="D1381" s="83"/>
      <c r="E1381" s="59"/>
      <c r="F1381" s="82"/>
      <c r="G1381" s="82"/>
      <c r="H1381" s="86"/>
      <c r="I1381" s="294"/>
      <c r="J1381" s="59"/>
      <c r="K1381" s="83"/>
      <c r="L1381" s="83" t="str">
        <f t="shared" si="48"/>
        <v xml:space="preserve">
</v>
      </c>
      <c r="M1381" s="83"/>
      <c r="N1381" s="59"/>
      <c r="O1381" s="59"/>
      <c r="P1381" s="86">
        <f t="shared" si="49"/>
        <v>0</v>
      </c>
      <c r="Q1381" s="59"/>
      <c r="R1381" s="59"/>
      <c r="S1381" s="59"/>
      <c r="T1381" s="59"/>
      <c r="U1381" s="290"/>
      <c r="V1381" s="290"/>
      <c r="W1381" s="290"/>
      <c r="X1381" s="290"/>
      <c r="Y1381" s="290"/>
      <c r="Z1381" s="290"/>
      <c r="AA1381" s="290"/>
      <c r="AB1381" s="290"/>
      <c r="AC1381" s="290"/>
      <c r="AD1381" s="290"/>
    </row>
    <row r="1382" spans="1:30" ht="25.5">
      <c r="A1382" s="291"/>
      <c r="B1382" s="291"/>
      <c r="C1382" s="291"/>
      <c r="D1382" s="83"/>
      <c r="E1382" s="59"/>
      <c r="F1382" s="82"/>
      <c r="G1382" s="82"/>
      <c r="H1382" s="86"/>
      <c r="I1382" s="294"/>
      <c r="J1382" s="59"/>
      <c r="K1382" s="83"/>
      <c r="L1382" s="83" t="str">
        <f t="shared" si="48"/>
        <v xml:space="preserve">
</v>
      </c>
      <c r="M1382" s="83"/>
      <c r="N1382" s="59"/>
      <c r="O1382" s="59"/>
      <c r="P1382" s="86">
        <f t="shared" si="49"/>
        <v>0</v>
      </c>
      <c r="Q1382" s="59"/>
      <c r="R1382" s="59"/>
      <c r="S1382" s="59"/>
      <c r="T1382" s="59"/>
      <c r="U1382" s="290"/>
      <c r="V1382" s="290"/>
      <c r="W1382" s="290"/>
      <c r="X1382" s="290"/>
      <c r="Y1382" s="290"/>
      <c r="Z1382" s="290"/>
      <c r="AA1382" s="290"/>
      <c r="AB1382" s="290"/>
      <c r="AC1382" s="290"/>
      <c r="AD1382" s="290"/>
    </row>
    <row r="1383" spans="1:30" ht="25.5">
      <c r="A1383" s="291"/>
      <c r="B1383" s="291"/>
      <c r="C1383" s="291"/>
      <c r="D1383" s="83"/>
      <c r="E1383" s="59"/>
      <c r="F1383" s="82"/>
      <c r="G1383" s="82"/>
      <c r="H1383" s="86"/>
      <c r="I1383" s="294"/>
      <c r="J1383" s="59"/>
      <c r="K1383" s="83"/>
      <c r="L1383" s="83" t="str">
        <f t="shared" si="48"/>
        <v xml:space="preserve">
</v>
      </c>
      <c r="M1383" s="83"/>
      <c r="N1383" s="59"/>
      <c r="O1383" s="59"/>
      <c r="P1383" s="86">
        <f t="shared" si="49"/>
        <v>0</v>
      </c>
      <c r="Q1383" s="59"/>
      <c r="R1383" s="59"/>
      <c r="S1383" s="59"/>
      <c r="T1383" s="59"/>
      <c r="U1383" s="290"/>
      <c r="V1383" s="290"/>
      <c r="W1383" s="290"/>
      <c r="X1383" s="290"/>
      <c r="Y1383" s="290"/>
      <c r="Z1383" s="290"/>
      <c r="AA1383" s="290"/>
      <c r="AB1383" s="290"/>
      <c r="AC1383" s="290"/>
      <c r="AD1383" s="290"/>
    </row>
    <row r="1384" spans="1:30" ht="25.5">
      <c r="A1384" s="291"/>
      <c r="B1384" s="291"/>
      <c r="C1384" s="291"/>
      <c r="D1384" s="83"/>
      <c r="E1384" s="59"/>
      <c r="F1384" s="82"/>
      <c r="G1384" s="82"/>
      <c r="H1384" s="86"/>
      <c r="I1384" s="294"/>
      <c r="J1384" s="59"/>
      <c r="K1384" s="83"/>
      <c r="L1384" s="83" t="str">
        <f t="shared" si="48"/>
        <v xml:space="preserve">
</v>
      </c>
      <c r="M1384" s="83"/>
      <c r="N1384" s="59"/>
      <c r="O1384" s="59"/>
      <c r="P1384" s="86">
        <f t="shared" si="49"/>
        <v>0</v>
      </c>
      <c r="Q1384" s="59"/>
      <c r="R1384" s="59"/>
      <c r="S1384" s="59"/>
      <c r="T1384" s="59"/>
      <c r="U1384" s="290"/>
      <c r="V1384" s="290"/>
      <c r="W1384" s="290"/>
      <c r="X1384" s="290"/>
      <c r="Y1384" s="290"/>
      <c r="Z1384" s="290"/>
      <c r="AA1384" s="290"/>
      <c r="AB1384" s="290"/>
      <c r="AC1384" s="290"/>
      <c r="AD1384" s="290"/>
    </row>
    <row r="1385" spans="1:30" ht="25.5">
      <c r="A1385" s="291"/>
      <c r="B1385" s="291"/>
      <c r="C1385" s="291"/>
      <c r="D1385" s="83"/>
      <c r="E1385" s="59"/>
      <c r="F1385" s="82"/>
      <c r="G1385" s="82"/>
      <c r="H1385" s="86"/>
      <c r="I1385" s="294"/>
      <c r="J1385" s="59"/>
      <c r="K1385" s="83"/>
      <c r="L1385" s="83" t="str">
        <f t="shared" si="48"/>
        <v xml:space="preserve">
</v>
      </c>
      <c r="M1385" s="83"/>
      <c r="N1385" s="59"/>
      <c r="O1385" s="59"/>
      <c r="P1385" s="86">
        <f t="shared" si="49"/>
        <v>0</v>
      </c>
      <c r="Q1385" s="59"/>
      <c r="R1385" s="59"/>
      <c r="S1385" s="59"/>
      <c r="T1385" s="59"/>
      <c r="U1385" s="290"/>
      <c r="V1385" s="290"/>
      <c r="W1385" s="290"/>
      <c r="X1385" s="290"/>
      <c r="Y1385" s="290"/>
      <c r="Z1385" s="290"/>
      <c r="AA1385" s="290"/>
      <c r="AB1385" s="290"/>
      <c r="AC1385" s="290"/>
      <c r="AD1385" s="290"/>
    </row>
    <row r="1386" spans="1:30" ht="25.5">
      <c r="A1386" s="291"/>
      <c r="B1386" s="291"/>
      <c r="C1386" s="291"/>
      <c r="D1386" s="83"/>
      <c r="E1386" s="59"/>
      <c r="F1386" s="82"/>
      <c r="G1386" s="82"/>
      <c r="H1386" s="86"/>
      <c r="I1386" s="294"/>
      <c r="J1386" s="59"/>
      <c r="K1386" s="83"/>
      <c r="L1386" s="83" t="str">
        <f t="shared" si="48"/>
        <v xml:space="preserve">
</v>
      </c>
      <c r="M1386" s="83"/>
      <c r="N1386" s="59"/>
      <c r="O1386" s="59"/>
      <c r="P1386" s="86">
        <f t="shared" si="49"/>
        <v>0</v>
      </c>
      <c r="Q1386" s="59"/>
      <c r="R1386" s="59"/>
      <c r="S1386" s="59"/>
      <c r="T1386" s="59"/>
      <c r="U1386" s="290"/>
      <c r="V1386" s="290"/>
      <c r="W1386" s="290"/>
      <c r="X1386" s="290"/>
      <c r="Y1386" s="290"/>
      <c r="Z1386" s="290"/>
      <c r="AA1386" s="290"/>
      <c r="AB1386" s="290"/>
      <c r="AC1386" s="290"/>
      <c r="AD1386" s="290"/>
    </row>
    <row r="1387" spans="1:30" ht="25.5">
      <c r="A1387" s="291"/>
      <c r="B1387" s="291"/>
      <c r="C1387" s="291"/>
      <c r="D1387" s="83"/>
      <c r="E1387" s="59"/>
      <c r="F1387" s="82"/>
      <c r="G1387" s="82"/>
      <c r="H1387" s="86"/>
      <c r="I1387" s="294"/>
      <c r="J1387" s="59"/>
      <c r="K1387" s="83"/>
      <c r="L1387" s="83" t="str">
        <f t="shared" si="48"/>
        <v xml:space="preserve">
</v>
      </c>
      <c r="M1387" s="83"/>
      <c r="N1387" s="59"/>
      <c r="O1387" s="59"/>
      <c r="P1387" s="86">
        <f t="shared" si="49"/>
        <v>0</v>
      </c>
      <c r="Q1387" s="59"/>
      <c r="R1387" s="59"/>
      <c r="S1387" s="59"/>
      <c r="T1387" s="59"/>
      <c r="U1387" s="290"/>
      <c r="V1387" s="290"/>
      <c r="W1387" s="290"/>
      <c r="X1387" s="290"/>
      <c r="Y1387" s="290"/>
      <c r="Z1387" s="290"/>
      <c r="AA1387" s="290"/>
      <c r="AB1387" s="290"/>
      <c r="AC1387" s="290"/>
      <c r="AD1387" s="290"/>
    </row>
    <row r="1388" spans="1:30" ht="25.5">
      <c r="A1388" s="291"/>
      <c r="B1388" s="291"/>
      <c r="C1388" s="291"/>
      <c r="D1388" s="83"/>
      <c r="E1388" s="59"/>
      <c r="F1388" s="82"/>
      <c r="G1388" s="82"/>
      <c r="H1388" s="86"/>
      <c r="I1388" s="294"/>
      <c r="J1388" s="59"/>
      <c r="K1388" s="83"/>
      <c r="L1388" s="83" t="str">
        <f t="shared" si="48"/>
        <v xml:space="preserve">
</v>
      </c>
      <c r="M1388" s="83"/>
      <c r="N1388" s="59"/>
      <c r="O1388" s="59"/>
      <c r="P1388" s="86">
        <f t="shared" si="49"/>
        <v>0</v>
      </c>
      <c r="Q1388" s="59"/>
      <c r="R1388" s="59"/>
      <c r="S1388" s="59"/>
      <c r="T1388" s="59"/>
      <c r="U1388" s="290"/>
      <c r="V1388" s="290"/>
      <c r="W1388" s="290"/>
      <c r="X1388" s="290"/>
      <c r="Y1388" s="290"/>
      <c r="Z1388" s="290"/>
      <c r="AA1388" s="290"/>
      <c r="AB1388" s="290"/>
      <c r="AC1388" s="290"/>
      <c r="AD1388" s="290"/>
    </row>
    <row r="1389" spans="1:30" ht="25.5">
      <c r="A1389" s="291"/>
      <c r="B1389" s="291"/>
      <c r="C1389" s="291"/>
      <c r="D1389" s="83"/>
      <c r="E1389" s="59"/>
      <c r="F1389" s="82"/>
      <c r="G1389" s="82"/>
      <c r="H1389" s="86"/>
      <c r="I1389" s="294"/>
      <c r="J1389" s="59"/>
      <c r="K1389" s="83"/>
      <c r="L1389" s="83" t="str">
        <f t="shared" si="48"/>
        <v xml:space="preserve">
</v>
      </c>
      <c r="M1389" s="83"/>
      <c r="N1389" s="59"/>
      <c r="O1389" s="59"/>
      <c r="P1389" s="86">
        <f t="shared" si="49"/>
        <v>0</v>
      </c>
      <c r="Q1389" s="59"/>
      <c r="R1389" s="59"/>
      <c r="S1389" s="59"/>
      <c r="T1389" s="59"/>
      <c r="U1389" s="290"/>
      <c r="V1389" s="290"/>
      <c r="W1389" s="290"/>
      <c r="X1389" s="290"/>
      <c r="Y1389" s="290"/>
      <c r="Z1389" s="290"/>
      <c r="AA1389" s="290"/>
      <c r="AB1389" s="290"/>
      <c r="AC1389" s="290"/>
      <c r="AD1389" s="290"/>
    </row>
    <row r="1390" spans="1:30" ht="25.5">
      <c r="A1390" s="291"/>
      <c r="B1390" s="291"/>
      <c r="C1390" s="291"/>
      <c r="D1390" s="83"/>
      <c r="E1390" s="59"/>
      <c r="F1390" s="82"/>
      <c r="G1390" s="82"/>
      <c r="H1390" s="86"/>
      <c r="I1390" s="294"/>
      <c r="J1390" s="59"/>
      <c r="K1390" s="83"/>
      <c r="L1390" s="83" t="str">
        <f t="shared" si="48"/>
        <v xml:space="preserve">
</v>
      </c>
      <c r="M1390" s="83"/>
      <c r="N1390" s="59"/>
      <c r="O1390" s="59"/>
      <c r="P1390" s="86">
        <f t="shared" si="49"/>
        <v>0</v>
      </c>
      <c r="Q1390" s="59"/>
      <c r="R1390" s="59"/>
      <c r="S1390" s="59"/>
      <c r="T1390" s="59"/>
      <c r="U1390" s="290"/>
      <c r="V1390" s="290"/>
      <c r="W1390" s="290"/>
      <c r="X1390" s="290"/>
      <c r="Y1390" s="290"/>
      <c r="Z1390" s="290"/>
      <c r="AA1390" s="290"/>
      <c r="AB1390" s="290"/>
      <c r="AC1390" s="290"/>
      <c r="AD1390" s="290"/>
    </row>
    <row r="1391" spans="1:30" ht="25.5">
      <c r="A1391" s="291"/>
      <c r="B1391" s="291"/>
      <c r="C1391" s="291"/>
      <c r="D1391" s="83"/>
      <c r="E1391" s="59"/>
      <c r="F1391" s="82"/>
      <c r="G1391" s="82"/>
      <c r="H1391" s="86"/>
      <c r="I1391" s="294"/>
      <c r="J1391" s="59"/>
      <c r="K1391" s="83"/>
      <c r="L1391" s="83" t="str">
        <f t="shared" si="48"/>
        <v xml:space="preserve">
</v>
      </c>
      <c r="M1391" s="83"/>
      <c r="N1391" s="59"/>
      <c r="O1391" s="59"/>
      <c r="P1391" s="86">
        <f t="shared" si="49"/>
        <v>0</v>
      </c>
      <c r="Q1391" s="59"/>
      <c r="R1391" s="59"/>
      <c r="S1391" s="59"/>
      <c r="T1391" s="59"/>
      <c r="U1391" s="290"/>
      <c r="V1391" s="290"/>
      <c r="W1391" s="290"/>
      <c r="X1391" s="290"/>
      <c r="Y1391" s="290"/>
      <c r="Z1391" s="290"/>
      <c r="AA1391" s="290"/>
      <c r="AB1391" s="290"/>
      <c r="AC1391" s="290"/>
      <c r="AD1391" s="290"/>
    </row>
    <row r="1392" spans="1:30" ht="25.5">
      <c r="A1392" s="291"/>
      <c r="B1392" s="291"/>
      <c r="C1392" s="291"/>
      <c r="D1392" s="83"/>
      <c r="E1392" s="59"/>
      <c r="F1392" s="82"/>
      <c r="G1392" s="82"/>
      <c r="H1392" s="86"/>
      <c r="I1392" s="294"/>
      <c r="J1392" s="59"/>
      <c r="K1392" s="83"/>
      <c r="L1392" s="83" t="str">
        <f t="shared" si="48"/>
        <v xml:space="preserve">
</v>
      </c>
      <c r="M1392" s="83"/>
      <c r="N1392" s="59"/>
      <c r="O1392" s="59"/>
      <c r="P1392" s="86">
        <f t="shared" si="49"/>
        <v>0</v>
      </c>
      <c r="Q1392" s="59"/>
      <c r="R1392" s="59"/>
      <c r="S1392" s="59"/>
      <c r="T1392" s="59"/>
      <c r="U1392" s="290"/>
      <c r="V1392" s="290"/>
      <c r="W1392" s="290"/>
      <c r="X1392" s="290"/>
      <c r="Y1392" s="290"/>
      <c r="Z1392" s="290"/>
      <c r="AA1392" s="290"/>
      <c r="AB1392" s="290"/>
      <c r="AC1392" s="290"/>
      <c r="AD1392" s="290"/>
    </row>
    <row r="1393" spans="1:30" ht="25.5">
      <c r="A1393" s="291"/>
      <c r="B1393" s="291"/>
      <c r="C1393" s="291"/>
      <c r="D1393" s="83"/>
      <c r="E1393" s="59"/>
      <c r="F1393" s="82"/>
      <c r="G1393" s="82"/>
      <c r="H1393" s="86"/>
      <c r="I1393" s="294"/>
      <c r="J1393" s="59"/>
      <c r="K1393" s="83"/>
      <c r="L1393" s="83" t="str">
        <f t="shared" si="48"/>
        <v xml:space="preserve">
</v>
      </c>
      <c r="M1393" s="83"/>
      <c r="N1393" s="59"/>
      <c r="O1393" s="59"/>
      <c r="P1393" s="86">
        <f t="shared" si="49"/>
        <v>0</v>
      </c>
      <c r="Q1393" s="59"/>
      <c r="R1393" s="59"/>
      <c r="S1393" s="59"/>
      <c r="T1393" s="59"/>
      <c r="U1393" s="290"/>
      <c r="V1393" s="290"/>
      <c r="W1393" s="290"/>
      <c r="X1393" s="290"/>
      <c r="Y1393" s="290"/>
      <c r="Z1393" s="290"/>
      <c r="AA1393" s="290"/>
      <c r="AB1393" s="290"/>
      <c r="AC1393" s="290"/>
      <c r="AD1393" s="290"/>
    </row>
    <row r="1394" spans="1:30" ht="25.5">
      <c r="A1394" s="291"/>
      <c r="B1394" s="291"/>
      <c r="C1394" s="291"/>
      <c r="D1394" s="83"/>
      <c r="E1394" s="59"/>
      <c r="F1394" s="82"/>
      <c r="G1394" s="82"/>
      <c r="H1394" s="86"/>
      <c r="I1394" s="294"/>
      <c r="J1394" s="59"/>
      <c r="K1394" s="83"/>
      <c r="L1394" s="83" t="str">
        <f t="shared" si="48"/>
        <v xml:space="preserve">
</v>
      </c>
      <c r="M1394" s="83"/>
      <c r="N1394" s="59"/>
      <c r="O1394" s="59"/>
      <c r="P1394" s="86">
        <f t="shared" si="49"/>
        <v>0</v>
      </c>
      <c r="Q1394" s="59"/>
      <c r="R1394" s="59"/>
      <c r="S1394" s="59"/>
      <c r="T1394" s="59"/>
      <c r="U1394" s="290"/>
      <c r="V1394" s="290"/>
      <c r="W1394" s="290"/>
      <c r="X1394" s="290"/>
      <c r="Y1394" s="290"/>
      <c r="Z1394" s="290"/>
      <c r="AA1394" s="290"/>
      <c r="AB1394" s="290"/>
      <c r="AC1394" s="290"/>
      <c r="AD1394" s="290"/>
    </row>
    <row r="1395" spans="1:30" ht="25.5">
      <c r="A1395" s="291"/>
      <c r="B1395" s="291"/>
      <c r="C1395" s="291"/>
      <c r="D1395" s="83"/>
      <c r="E1395" s="59"/>
      <c r="F1395" s="82"/>
      <c r="G1395" s="82"/>
      <c r="H1395" s="86"/>
      <c r="I1395" s="294"/>
      <c r="J1395" s="59"/>
      <c r="K1395" s="83"/>
      <c r="L1395" s="83" t="str">
        <f t="shared" si="48"/>
        <v xml:space="preserve">
</v>
      </c>
      <c r="M1395" s="83"/>
      <c r="N1395" s="59"/>
      <c r="O1395" s="59"/>
      <c r="P1395" s="86">
        <f t="shared" si="49"/>
        <v>0</v>
      </c>
      <c r="Q1395" s="59"/>
      <c r="R1395" s="59"/>
      <c r="S1395" s="59"/>
      <c r="T1395" s="59"/>
      <c r="U1395" s="290"/>
      <c r="V1395" s="290"/>
      <c r="W1395" s="290"/>
      <c r="X1395" s="290"/>
      <c r="Y1395" s="290"/>
      <c r="Z1395" s="290"/>
      <c r="AA1395" s="290"/>
      <c r="AB1395" s="290"/>
      <c r="AC1395" s="290"/>
      <c r="AD1395" s="290"/>
    </row>
    <row r="1396" spans="1:30" ht="25.5">
      <c r="A1396" s="291"/>
      <c r="B1396" s="291"/>
      <c r="C1396" s="291"/>
      <c r="D1396" s="83"/>
      <c r="E1396" s="59"/>
      <c r="F1396" s="82"/>
      <c r="G1396" s="82"/>
      <c r="H1396" s="86"/>
      <c r="I1396" s="294"/>
      <c r="J1396" s="59"/>
      <c r="K1396" s="83"/>
      <c r="L1396" s="83" t="str">
        <f t="shared" si="48"/>
        <v xml:space="preserve">
</v>
      </c>
      <c r="M1396" s="83"/>
      <c r="N1396" s="59"/>
      <c r="O1396" s="59"/>
      <c r="P1396" s="86">
        <f t="shared" si="49"/>
        <v>0</v>
      </c>
      <c r="Q1396" s="59"/>
      <c r="R1396" s="59"/>
      <c r="S1396" s="59"/>
      <c r="T1396" s="59"/>
      <c r="U1396" s="290"/>
      <c r="V1396" s="290"/>
      <c r="W1396" s="290"/>
      <c r="X1396" s="290"/>
      <c r="Y1396" s="290"/>
      <c r="Z1396" s="290"/>
      <c r="AA1396" s="290"/>
      <c r="AB1396" s="290"/>
      <c r="AC1396" s="290"/>
      <c r="AD1396" s="290"/>
    </row>
    <row r="1397" spans="1:30" ht="25.5">
      <c r="A1397" s="291"/>
      <c r="B1397" s="291"/>
      <c r="C1397" s="291"/>
      <c r="D1397" s="83"/>
      <c r="E1397" s="59"/>
      <c r="F1397" s="82"/>
      <c r="G1397" s="82"/>
      <c r="H1397" s="86"/>
      <c r="I1397" s="294"/>
      <c r="J1397" s="59"/>
      <c r="K1397" s="83"/>
      <c r="L1397" s="83" t="str">
        <f t="shared" si="48"/>
        <v xml:space="preserve">
</v>
      </c>
      <c r="M1397" s="83"/>
      <c r="N1397" s="59"/>
      <c r="O1397" s="59"/>
      <c r="P1397" s="86">
        <f t="shared" si="49"/>
        <v>0</v>
      </c>
      <c r="Q1397" s="59"/>
      <c r="R1397" s="59"/>
      <c r="S1397" s="59"/>
      <c r="T1397" s="59"/>
      <c r="U1397" s="290"/>
      <c r="V1397" s="290"/>
      <c r="W1397" s="290"/>
      <c r="X1397" s="290"/>
      <c r="Y1397" s="290"/>
      <c r="Z1397" s="290"/>
      <c r="AA1397" s="290"/>
      <c r="AB1397" s="290"/>
      <c r="AC1397" s="290"/>
      <c r="AD1397" s="290"/>
    </row>
    <row r="1398" spans="1:30" ht="25.5">
      <c r="A1398" s="291"/>
      <c r="B1398" s="291"/>
      <c r="C1398" s="291"/>
      <c r="D1398" s="83"/>
      <c r="E1398" s="59"/>
      <c r="F1398" s="82"/>
      <c r="G1398" s="82"/>
      <c r="H1398" s="86"/>
      <c r="I1398" s="294"/>
      <c r="J1398" s="59"/>
      <c r="K1398" s="83"/>
      <c r="L1398" s="83" t="str">
        <f t="shared" si="48"/>
        <v xml:space="preserve">
</v>
      </c>
      <c r="M1398" s="83"/>
      <c r="N1398" s="59"/>
      <c r="O1398" s="59"/>
      <c r="P1398" s="86">
        <f t="shared" si="49"/>
        <v>0</v>
      </c>
      <c r="Q1398" s="59"/>
      <c r="R1398" s="59"/>
      <c r="S1398" s="59"/>
      <c r="T1398" s="59"/>
      <c r="U1398" s="290"/>
      <c r="V1398" s="290"/>
      <c r="W1398" s="290"/>
      <c r="X1398" s="290"/>
      <c r="Y1398" s="290"/>
      <c r="Z1398" s="290"/>
      <c r="AA1398" s="290"/>
      <c r="AB1398" s="290"/>
      <c r="AC1398" s="290"/>
      <c r="AD1398" s="290"/>
    </row>
    <row r="1399" spans="1:30" ht="25.5">
      <c r="A1399" s="291"/>
      <c r="B1399" s="291"/>
      <c r="C1399" s="291"/>
      <c r="D1399" s="83"/>
      <c r="E1399" s="59"/>
      <c r="F1399" s="82"/>
      <c r="G1399" s="82"/>
      <c r="H1399" s="86"/>
      <c r="I1399" s="294"/>
      <c r="J1399" s="59"/>
      <c r="K1399" s="83"/>
      <c r="L1399" s="83" t="str">
        <f t="shared" si="48"/>
        <v xml:space="preserve">
</v>
      </c>
      <c r="M1399" s="83"/>
      <c r="N1399" s="59"/>
      <c r="O1399" s="59"/>
      <c r="P1399" s="86">
        <f t="shared" si="49"/>
        <v>0</v>
      </c>
      <c r="Q1399" s="59"/>
      <c r="R1399" s="59"/>
      <c r="S1399" s="59"/>
      <c r="T1399" s="59"/>
      <c r="U1399" s="290"/>
      <c r="V1399" s="290"/>
      <c r="W1399" s="290"/>
      <c r="X1399" s="290"/>
      <c r="Y1399" s="290"/>
      <c r="Z1399" s="290"/>
      <c r="AA1399" s="290"/>
      <c r="AB1399" s="290"/>
      <c r="AC1399" s="290"/>
      <c r="AD1399" s="290"/>
    </row>
    <row r="1400" spans="1:30" ht="25.5">
      <c r="A1400" s="291"/>
      <c r="B1400" s="291"/>
      <c r="C1400" s="291"/>
      <c r="D1400" s="83"/>
      <c r="E1400" s="59"/>
      <c r="F1400" s="82"/>
      <c r="G1400" s="82"/>
      <c r="H1400" s="86"/>
      <c r="I1400" s="294"/>
      <c r="J1400" s="59"/>
      <c r="K1400" s="83"/>
      <c r="L1400" s="83" t="str">
        <f t="shared" si="48"/>
        <v xml:space="preserve">
</v>
      </c>
      <c r="M1400" s="83"/>
      <c r="N1400" s="59"/>
      <c r="O1400" s="59"/>
      <c r="P1400" s="86">
        <f t="shared" si="49"/>
        <v>0</v>
      </c>
      <c r="Q1400" s="59"/>
      <c r="R1400" s="59"/>
      <c r="S1400" s="59"/>
      <c r="T1400" s="59"/>
      <c r="U1400" s="290"/>
      <c r="V1400" s="290"/>
      <c r="W1400" s="290"/>
      <c r="X1400" s="290"/>
      <c r="Y1400" s="290"/>
      <c r="Z1400" s="290"/>
      <c r="AA1400" s="290"/>
      <c r="AB1400" s="290"/>
      <c r="AC1400" s="290"/>
      <c r="AD1400" s="290"/>
    </row>
    <row r="1401" spans="1:30" ht="25.5">
      <c r="A1401" s="291"/>
      <c r="B1401" s="291"/>
      <c r="C1401" s="291"/>
      <c r="D1401" s="83"/>
      <c r="E1401" s="59"/>
      <c r="F1401" s="82"/>
      <c r="G1401" s="82"/>
      <c r="H1401" s="86"/>
      <c r="I1401" s="294"/>
      <c r="J1401" s="59"/>
      <c r="K1401" s="83"/>
      <c r="L1401" s="83" t="str">
        <f t="shared" si="48"/>
        <v xml:space="preserve">
</v>
      </c>
      <c r="M1401" s="83"/>
      <c r="N1401" s="59"/>
      <c r="O1401" s="59"/>
      <c r="P1401" s="86">
        <f t="shared" si="49"/>
        <v>0</v>
      </c>
      <c r="Q1401" s="59"/>
      <c r="R1401" s="59"/>
      <c r="S1401" s="59"/>
      <c r="T1401" s="59"/>
      <c r="U1401" s="290"/>
      <c r="V1401" s="290"/>
      <c r="W1401" s="290"/>
      <c r="X1401" s="290"/>
      <c r="Y1401" s="290"/>
      <c r="Z1401" s="290"/>
      <c r="AA1401" s="290"/>
      <c r="AB1401" s="290"/>
      <c r="AC1401" s="290"/>
      <c r="AD1401" s="290"/>
    </row>
    <row r="1402" spans="1:30" ht="25.5">
      <c r="A1402" s="291"/>
      <c r="B1402" s="291"/>
      <c r="C1402" s="291"/>
      <c r="D1402" s="83"/>
      <c r="E1402" s="59"/>
      <c r="F1402" s="82"/>
      <c r="G1402" s="82"/>
      <c r="H1402" s="86"/>
      <c r="I1402" s="294"/>
      <c r="J1402" s="59"/>
      <c r="K1402" s="83"/>
      <c r="L1402" s="83" t="str">
        <f t="shared" si="48"/>
        <v xml:space="preserve">
</v>
      </c>
      <c r="M1402" s="83"/>
      <c r="N1402" s="59"/>
      <c r="O1402" s="59"/>
      <c r="P1402" s="86">
        <f t="shared" si="49"/>
        <v>0</v>
      </c>
      <c r="Q1402" s="59"/>
      <c r="R1402" s="59"/>
      <c r="S1402" s="59"/>
      <c r="T1402" s="59"/>
      <c r="U1402" s="290"/>
      <c r="V1402" s="290"/>
      <c r="W1402" s="290"/>
      <c r="X1402" s="290"/>
      <c r="Y1402" s="290"/>
      <c r="Z1402" s="290"/>
      <c r="AA1402" s="290"/>
      <c r="AB1402" s="290"/>
      <c r="AC1402" s="290"/>
      <c r="AD1402" s="290"/>
    </row>
    <row r="1403" spans="1:30" ht="25.5">
      <c r="A1403" s="291"/>
      <c r="B1403" s="291"/>
      <c r="C1403" s="291"/>
      <c r="D1403" s="83"/>
      <c r="E1403" s="59"/>
      <c r="F1403" s="82"/>
      <c r="G1403" s="82"/>
      <c r="H1403" s="86"/>
      <c r="I1403" s="294"/>
      <c r="J1403" s="59"/>
      <c r="K1403" s="83"/>
      <c r="L1403" s="83" t="str">
        <f t="shared" si="48"/>
        <v xml:space="preserve">
</v>
      </c>
      <c r="M1403" s="83"/>
      <c r="N1403" s="59"/>
      <c r="O1403" s="59"/>
      <c r="P1403" s="86">
        <f t="shared" si="49"/>
        <v>0</v>
      </c>
      <c r="Q1403" s="59"/>
      <c r="R1403" s="59"/>
      <c r="S1403" s="59"/>
      <c r="T1403" s="59"/>
      <c r="U1403" s="290"/>
      <c r="V1403" s="290"/>
      <c r="W1403" s="290"/>
      <c r="X1403" s="290"/>
      <c r="Y1403" s="290"/>
      <c r="Z1403" s="290"/>
      <c r="AA1403" s="290"/>
      <c r="AB1403" s="290"/>
      <c r="AC1403" s="290"/>
      <c r="AD1403" s="290"/>
    </row>
    <row r="1404" spans="1:30" ht="25.5">
      <c r="A1404" s="291"/>
      <c r="B1404" s="291"/>
      <c r="C1404" s="291"/>
      <c r="D1404" s="83"/>
      <c r="E1404" s="59"/>
      <c r="F1404" s="82"/>
      <c r="G1404" s="82"/>
      <c r="H1404" s="86"/>
      <c r="I1404" s="294"/>
      <c r="J1404" s="59"/>
      <c r="K1404" s="83"/>
      <c r="L1404" s="83" t="str">
        <f t="shared" si="48"/>
        <v xml:space="preserve">
</v>
      </c>
      <c r="M1404" s="83"/>
      <c r="N1404" s="59"/>
      <c r="O1404" s="59"/>
      <c r="P1404" s="86">
        <f t="shared" si="49"/>
        <v>0</v>
      </c>
      <c r="Q1404" s="59"/>
      <c r="R1404" s="59"/>
      <c r="S1404" s="59"/>
      <c r="T1404" s="59"/>
      <c r="U1404" s="290"/>
      <c r="V1404" s="290"/>
      <c r="W1404" s="290"/>
      <c r="X1404" s="290"/>
      <c r="Y1404" s="290"/>
      <c r="Z1404" s="290"/>
      <c r="AA1404" s="290"/>
      <c r="AB1404" s="290"/>
      <c r="AC1404" s="290"/>
      <c r="AD1404" s="290"/>
    </row>
    <row r="1405" spans="1:30" ht="25.5">
      <c r="A1405" s="291"/>
      <c r="B1405" s="291"/>
      <c r="C1405" s="291"/>
      <c r="D1405" s="83"/>
      <c r="E1405" s="59"/>
      <c r="F1405" s="82"/>
      <c r="G1405" s="82"/>
      <c r="H1405" s="86"/>
      <c r="I1405" s="294"/>
      <c r="J1405" s="59"/>
      <c r="K1405" s="83"/>
      <c r="L1405" s="83" t="str">
        <f t="shared" si="48"/>
        <v xml:space="preserve">
</v>
      </c>
      <c r="M1405" s="83"/>
      <c r="N1405" s="59"/>
      <c r="O1405" s="59"/>
      <c r="P1405" s="86">
        <f t="shared" si="49"/>
        <v>0</v>
      </c>
      <c r="Q1405" s="59"/>
      <c r="R1405" s="59"/>
      <c r="S1405" s="59"/>
      <c r="T1405" s="59"/>
      <c r="U1405" s="290"/>
      <c r="V1405" s="290"/>
      <c r="W1405" s="290"/>
      <c r="X1405" s="290"/>
      <c r="Y1405" s="290"/>
      <c r="Z1405" s="290"/>
      <c r="AA1405" s="290"/>
      <c r="AB1405" s="290"/>
      <c r="AC1405" s="290"/>
      <c r="AD1405" s="290"/>
    </row>
    <row r="1406" spans="1:30" ht="25.5">
      <c r="A1406" s="291"/>
      <c r="B1406" s="291"/>
      <c r="C1406" s="291"/>
      <c r="D1406" s="83"/>
      <c r="E1406" s="59"/>
      <c r="F1406" s="82"/>
      <c r="G1406" s="82"/>
      <c r="H1406" s="86"/>
      <c r="I1406" s="294"/>
      <c r="J1406" s="59"/>
      <c r="K1406" s="83"/>
      <c r="L1406" s="83" t="str">
        <f t="shared" si="48"/>
        <v xml:space="preserve">
</v>
      </c>
      <c r="M1406" s="83"/>
      <c r="N1406" s="59"/>
      <c r="O1406" s="59"/>
      <c r="P1406" s="86">
        <f t="shared" si="49"/>
        <v>0</v>
      </c>
      <c r="Q1406" s="59"/>
      <c r="R1406" s="59"/>
      <c r="S1406" s="59"/>
      <c r="T1406" s="59"/>
      <c r="U1406" s="290"/>
      <c r="V1406" s="290"/>
      <c r="W1406" s="290"/>
      <c r="X1406" s="290"/>
      <c r="Y1406" s="290"/>
      <c r="Z1406" s="290"/>
      <c r="AA1406" s="290"/>
      <c r="AB1406" s="290"/>
      <c r="AC1406" s="290"/>
      <c r="AD1406" s="290"/>
    </row>
    <row r="1407" spans="1:30" ht="25.5">
      <c r="A1407" s="291"/>
      <c r="B1407" s="291"/>
      <c r="C1407" s="291"/>
      <c r="D1407" s="83"/>
      <c r="E1407" s="59"/>
      <c r="F1407" s="82"/>
      <c r="G1407" s="82"/>
      <c r="H1407" s="86"/>
      <c r="I1407" s="294"/>
      <c r="J1407" s="59"/>
      <c r="K1407" s="83"/>
      <c r="L1407" s="83" t="str">
        <f t="shared" si="48"/>
        <v xml:space="preserve">
</v>
      </c>
      <c r="M1407" s="83"/>
      <c r="N1407" s="59"/>
      <c r="O1407" s="59"/>
      <c r="P1407" s="86">
        <f t="shared" si="49"/>
        <v>0</v>
      </c>
      <c r="Q1407" s="59"/>
      <c r="R1407" s="59"/>
      <c r="S1407" s="59"/>
      <c r="T1407" s="59"/>
      <c r="U1407" s="290"/>
      <c r="V1407" s="290"/>
      <c r="W1407" s="290"/>
      <c r="X1407" s="290"/>
      <c r="Y1407" s="290"/>
      <c r="Z1407" s="290"/>
      <c r="AA1407" s="290"/>
      <c r="AB1407" s="290"/>
      <c r="AC1407" s="290"/>
      <c r="AD1407" s="290"/>
    </row>
    <row r="1408" spans="1:30" ht="25.5">
      <c r="A1408" s="291"/>
      <c r="B1408" s="291"/>
      <c r="C1408" s="291"/>
      <c r="D1408" s="83"/>
      <c r="E1408" s="59"/>
      <c r="F1408" s="82"/>
      <c r="G1408" s="82"/>
      <c r="H1408" s="86"/>
      <c r="I1408" s="294"/>
      <c r="J1408" s="59"/>
      <c r="K1408" s="83"/>
      <c r="L1408" s="83" t="str">
        <f t="shared" si="48"/>
        <v xml:space="preserve">
</v>
      </c>
      <c r="M1408" s="83"/>
      <c r="N1408" s="59"/>
      <c r="O1408" s="59"/>
      <c r="P1408" s="86">
        <f t="shared" si="49"/>
        <v>0</v>
      </c>
      <c r="Q1408" s="59"/>
      <c r="R1408" s="59"/>
      <c r="S1408" s="59"/>
      <c r="T1408" s="59"/>
      <c r="U1408" s="290"/>
      <c r="V1408" s="290"/>
      <c r="W1408" s="290"/>
      <c r="X1408" s="290"/>
      <c r="Y1408" s="290"/>
      <c r="Z1408" s="290"/>
      <c r="AA1408" s="290"/>
      <c r="AB1408" s="290"/>
      <c r="AC1408" s="290"/>
      <c r="AD1408" s="290"/>
    </row>
    <row r="1409" spans="1:30" ht="25.5">
      <c r="A1409" s="291"/>
      <c r="B1409" s="291"/>
      <c r="C1409" s="291"/>
      <c r="D1409" s="83"/>
      <c r="E1409" s="59"/>
      <c r="F1409" s="82"/>
      <c r="G1409" s="82"/>
      <c r="H1409" s="86"/>
      <c r="I1409" s="294"/>
      <c r="J1409" s="59"/>
      <c r="K1409" s="83"/>
      <c r="L1409" s="83" t="str">
        <f t="shared" si="48"/>
        <v xml:space="preserve">
</v>
      </c>
      <c r="M1409" s="83"/>
      <c r="N1409" s="59"/>
      <c r="O1409" s="59"/>
      <c r="P1409" s="86">
        <f t="shared" si="49"/>
        <v>0</v>
      </c>
      <c r="Q1409" s="59"/>
      <c r="R1409" s="59"/>
      <c r="S1409" s="59"/>
      <c r="T1409" s="59"/>
      <c r="U1409" s="290"/>
      <c r="V1409" s="290"/>
      <c r="W1409" s="290"/>
      <c r="X1409" s="290"/>
      <c r="Y1409" s="290"/>
      <c r="Z1409" s="290"/>
      <c r="AA1409" s="290"/>
      <c r="AB1409" s="290"/>
      <c r="AC1409" s="290"/>
      <c r="AD1409" s="290"/>
    </row>
    <row r="1410" spans="1:30" ht="25.5">
      <c r="A1410" s="291"/>
      <c r="B1410" s="291"/>
      <c r="C1410" s="291"/>
      <c r="D1410" s="83"/>
      <c r="E1410" s="59"/>
      <c r="F1410" s="82"/>
      <c r="G1410" s="82"/>
      <c r="H1410" s="86"/>
      <c r="I1410" s="294"/>
      <c r="J1410" s="59"/>
      <c r="K1410" s="83"/>
      <c r="L1410" s="83" t="str">
        <f t="shared" si="48"/>
        <v xml:space="preserve">
</v>
      </c>
      <c r="M1410" s="83"/>
      <c r="N1410" s="59"/>
      <c r="O1410" s="59"/>
      <c r="P1410" s="86">
        <f t="shared" si="49"/>
        <v>0</v>
      </c>
      <c r="Q1410" s="59"/>
      <c r="R1410" s="59"/>
      <c r="S1410" s="59"/>
      <c r="T1410" s="59"/>
      <c r="U1410" s="290"/>
      <c r="V1410" s="290"/>
      <c r="W1410" s="290"/>
      <c r="X1410" s="290"/>
      <c r="Y1410" s="290"/>
      <c r="Z1410" s="290"/>
      <c r="AA1410" s="290"/>
      <c r="AB1410" s="290"/>
      <c r="AC1410" s="290"/>
      <c r="AD1410" s="290"/>
    </row>
    <row r="1411" spans="1:30" ht="25.5">
      <c r="A1411" s="291"/>
      <c r="B1411" s="291"/>
      <c r="C1411" s="291"/>
      <c r="D1411" s="83"/>
      <c r="E1411" s="59"/>
      <c r="F1411" s="82"/>
      <c r="G1411" s="82"/>
      <c r="H1411" s="86"/>
      <c r="I1411" s="294"/>
      <c r="J1411" s="59"/>
      <c r="K1411" s="83"/>
      <c r="L1411" s="83" t="str">
        <f t="shared" si="48"/>
        <v xml:space="preserve">
</v>
      </c>
      <c r="M1411" s="83"/>
      <c r="N1411" s="59"/>
      <c r="O1411" s="59"/>
      <c r="P1411" s="86">
        <f t="shared" si="49"/>
        <v>0</v>
      </c>
      <c r="Q1411" s="59"/>
      <c r="R1411" s="59"/>
      <c r="S1411" s="59"/>
      <c r="T1411" s="59"/>
      <c r="U1411" s="290"/>
      <c r="V1411" s="290"/>
      <c r="W1411" s="290"/>
      <c r="X1411" s="290"/>
      <c r="Y1411" s="290"/>
      <c r="Z1411" s="290"/>
      <c r="AA1411" s="290"/>
      <c r="AB1411" s="290"/>
      <c r="AC1411" s="290"/>
      <c r="AD1411" s="290"/>
    </row>
    <row r="1412" spans="1:30" ht="25.5">
      <c r="A1412" s="291"/>
      <c r="B1412" s="291"/>
      <c r="C1412" s="291"/>
      <c r="D1412" s="83"/>
      <c r="E1412" s="59"/>
      <c r="F1412" s="82"/>
      <c r="G1412" s="82"/>
      <c r="H1412" s="86"/>
      <c r="I1412" s="294"/>
      <c r="J1412" s="59"/>
      <c r="K1412" s="83"/>
      <c r="L1412" s="83" t="str">
        <f t="shared" si="48"/>
        <v xml:space="preserve">
</v>
      </c>
      <c r="M1412" s="83"/>
      <c r="N1412" s="59"/>
      <c r="O1412" s="59"/>
      <c r="P1412" s="86">
        <f t="shared" si="49"/>
        <v>0</v>
      </c>
      <c r="Q1412" s="59"/>
      <c r="R1412" s="59"/>
      <c r="S1412" s="59"/>
      <c r="T1412" s="59"/>
      <c r="U1412" s="290"/>
      <c r="V1412" s="290"/>
      <c r="W1412" s="290"/>
      <c r="X1412" s="290"/>
      <c r="Y1412" s="290"/>
      <c r="Z1412" s="290"/>
      <c r="AA1412" s="290"/>
      <c r="AB1412" s="290"/>
      <c r="AC1412" s="290"/>
      <c r="AD1412" s="290"/>
    </row>
    <row r="1413" spans="1:30" ht="25.5">
      <c r="A1413" s="291"/>
      <c r="B1413" s="291"/>
      <c r="C1413" s="291"/>
      <c r="D1413" s="83"/>
      <c r="E1413" s="59"/>
      <c r="F1413" s="82"/>
      <c r="G1413" s="82"/>
      <c r="H1413" s="86"/>
      <c r="I1413" s="294"/>
      <c r="J1413" s="59"/>
      <c r="K1413" s="83"/>
      <c r="L1413" s="83" t="str">
        <f t="shared" si="48"/>
        <v xml:space="preserve">
</v>
      </c>
      <c r="M1413" s="83"/>
      <c r="N1413" s="59"/>
      <c r="O1413" s="59"/>
      <c r="P1413" s="86">
        <f t="shared" si="49"/>
        <v>0</v>
      </c>
      <c r="Q1413" s="59"/>
      <c r="R1413" s="59"/>
      <c r="S1413" s="59"/>
      <c r="T1413" s="59"/>
      <c r="U1413" s="290"/>
      <c r="V1413" s="290"/>
      <c r="W1413" s="290"/>
      <c r="X1413" s="290"/>
      <c r="Y1413" s="290"/>
      <c r="Z1413" s="290"/>
      <c r="AA1413" s="290"/>
      <c r="AB1413" s="290"/>
      <c r="AC1413" s="290"/>
      <c r="AD1413" s="290"/>
    </row>
    <row r="1414" spans="1:30" ht="25.5">
      <c r="A1414" s="291"/>
      <c r="B1414" s="291"/>
      <c r="C1414" s="291"/>
      <c r="D1414" s="83"/>
      <c r="E1414" s="59"/>
      <c r="F1414" s="82"/>
      <c r="G1414" s="82"/>
      <c r="H1414" s="86"/>
      <c r="I1414" s="294"/>
      <c r="J1414" s="59"/>
      <c r="K1414" s="83"/>
      <c r="L1414" s="83" t="str">
        <f t="shared" si="48"/>
        <v xml:space="preserve">
</v>
      </c>
      <c r="M1414" s="83"/>
      <c r="N1414" s="59"/>
      <c r="O1414" s="59"/>
      <c r="P1414" s="86">
        <f t="shared" si="49"/>
        <v>0</v>
      </c>
      <c r="Q1414" s="59"/>
      <c r="R1414" s="59"/>
      <c r="S1414" s="59"/>
      <c r="T1414" s="59"/>
      <c r="U1414" s="290"/>
      <c r="V1414" s="290"/>
      <c r="W1414" s="290"/>
      <c r="X1414" s="290"/>
      <c r="Y1414" s="290"/>
      <c r="Z1414" s="290"/>
      <c r="AA1414" s="290"/>
      <c r="AB1414" s="290"/>
      <c r="AC1414" s="290"/>
      <c r="AD1414" s="290"/>
    </row>
    <row r="1415" spans="1:30" ht="25.5">
      <c r="A1415" s="291"/>
      <c r="B1415" s="291"/>
      <c r="C1415" s="291"/>
      <c r="D1415" s="83"/>
      <c r="E1415" s="59"/>
      <c r="F1415" s="82"/>
      <c r="G1415" s="82"/>
      <c r="H1415" s="86"/>
      <c r="I1415" s="294"/>
      <c r="J1415" s="59"/>
      <c r="K1415" s="83"/>
      <c r="L1415" s="83" t="str">
        <f t="shared" si="48"/>
        <v xml:space="preserve">
</v>
      </c>
      <c r="M1415" s="83"/>
      <c r="N1415" s="59"/>
      <c r="O1415" s="59"/>
      <c r="P1415" s="86">
        <f t="shared" si="49"/>
        <v>0</v>
      </c>
      <c r="Q1415" s="59"/>
      <c r="R1415" s="59"/>
      <c r="S1415" s="59"/>
      <c r="T1415" s="59"/>
      <c r="U1415" s="290"/>
      <c r="V1415" s="290"/>
      <c r="W1415" s="290"/>
      <c r="X1415" s="290"/>
      <c r="Y1415" s="290"/>
      <c r="Z1415" s="290"/>
      <c r="AA1415" s="290"/>
      <c r="AB1415" s="290"/>
      <c r="AC1415" s="290"/>
      <c r="AD1415" s="290"/>
    </row>
    <row r="1416" spans="1:30" ht="25.5">
      <c r="A1416" s="291"/>
      <c r="B1416" s="291"/>
      <c r="C1416" s="291"/>
      <c r="D1416" s="83"/>
      <c r="E1416" s="59"/>
      <c r="F1416" s="82"/>
      <c r="G1416" s="82"/>
      <c r="H1416" s="86"/>
      <c r="I1416" s="294"/>
      <c r="J1416" s="59"/>
      <c r="K1416" s="83"/>
      <c r="L1416" s="83" t="str">
        <f t="shared" si="48"/>
        <v xml:space="preserve">
</v>
      </c>
      <c r="M1416" s="83"/>
      <c r="N1416" s="59"/>
      <c r="O1416" s="59"/>
      <c r="P1416" s="86">
        <f t="shared" si="49"/>
        <v>0</v>
      </c>
      <c r="Q1416" s="59"/>
      <c r="R1416" s="59"/>
      <c r="S1416" s="59"/>
      <c r="T1416" s="59"/>
      <c r="U1416" s="290"/>
      <c r="V1416" s="290"/>
      <c r="W1416" s="290"/>
      <c r="X1416" s="290"/>
      <c r="Y1416" s="290"/>
      <c r="Z1416" s="290"/>
      <c r="AA1416" s="290"/>
      <c r="AB1416" s="290"/>
      <c r="AC1416" s="290"/>
      <c r="AD1416" s="290"/>
    </row>
    <row r="1417" spans="1:30" ht="25.5">
      <c r="A1417" s="291"/>
      <c r="B1417" s="291"/>
      <c r="C1417" s="291"/>
      <c r="D1417" s="83"/>
      <c r="E1417" s="59"/>
      <c r="F1417" s="82"/>
      <c r="G1417" s="82"/>
      <c r="H1417" s="86"/>
      <c r="I1417" s="294"/>
      <c r="J1417" s="59"/>
      <c r="K1417" s="83"/>
      <c r="L1417" s="83" t="str">
        <f t="shared" si="48"/>
        <v xml:space="preserve">
</v>
      </c>
      <c r="M1417" s="83"/>
      <c r="N1417" s="59"/>
      <c r="O1417" s="59"/>
      <c r="P1417" s="86">
        <f t="shared" si="49"/>
        <v>0</v>
      </c>
      <c r="Q1417" s="59"/>
      <c r="R1417" s="59"/>
      <c r="S1417" s="59"/>
      <c r="T1417" s="59"/>
      <c r="U1417" s="290"/>
      <c r="V1417" s="290"/>
      <c r="W1417" s="290"/>
      <c r="X1417" s="290"/>
      <c r="Y1417" s="290"/>
      <c r="Z1417" s="290"/>
      <c r="AA1417" s="290"/>
      <c r="AB1417" s="290"/>
      <c r="AC1417" s="290"/>
      <c r="AD1417" s="290"/>
    </row>
    <row r="1418" spans="1:30" ht="25.5">
      <c r="A1418" s="291"/>
      <c r="B1418" s="291"/>
      <c r="C1418" s="291"/>
      <c r="D1418" s="83"/>
      <c r="E1418" s="59"/>
      <c r="F1418" s="82"/>
      <c r="G1418" s="82"/>
      <c r="H1418" s="86"/>
      <c r="I1418" s="294"/>
      <c r="J1418" s="59"/>
      <c r="K1418" s="83"/>
      <c r="L1418" s="83" t="str">
        <f t="shared" si="48"/>
        <v xml:space="preserve">
</v>
      </c>
      <c r="M1418" s="83"/>
      <c r="N1418" s="59"/>
      <c r="O1418" s="59"/>
      <c r="P1418" s="86">
        <f t="shared" si="49"/>
        <v>0</v>
      </c>
      <c r="Q1418" s="59"/>
      <c r="R1418" s="59"/>
      <c r="S1418" s="59"/>
      <c r="T1418" s="59"/>
      <c r="U1418" s="290"/>
      <c r="V1418" s="290"/>
      <c r="W1418" s="290"/>
      <c r="X1418" s="290"/>
      <c r="Y1418" s="290"/>
      <c r="Z1418" s="290"/>
      <c r="AA1418" s="290"/>
      <c r="AB1418" s="290"/>
      <c r="AC1418" s="290"/>
      <c r="AD1418" s="290"/>
    </row>
    <row r="1419" spans="1:30" ht="25.5">
      <c r="A1419" s="291"/>
      <c r="B1419" s="291"/>
      <c r="C1419" s="291"/>
      <c r="D1419" s="83"/>
      <c r="E1419" s="59"/>
      <c r="F1419" s="82"/>
      <c r="G1419" s="82"/>
      <c r="H1419" s="86"/>
      <c r="I1419" s="294"/>
      <c r="J1419" s="59"/>
      <c r="K1419" s="83"/>
      <c r="L1419" s="83" t="str">
        <f t="shared" si="48"/>
        <v xml:space="preserve">
</v>
      </c>
      <c r="M1419" s="83"/>
      <c r="N1419" s="59"/>
      <c r="O1419" s="59"/>
      <c r="P1419" s="86">
        <f t="shared" si="49"/>
        <v>0</v>
      </c>
      <c r="Q1419" s="59"/>
      <c r="R1419" s="59"/>
      <c r="S1419" s="59"/>
      <c r="T1419" s="59"/>
      <c r="U1419" s="290"/>
      <c r="V1419" s="290"/>
      <c r="W1419" s="290"/>
      <c r="X1419" s="290"/>
      <c r="Y1419" s="290"/>
      <c r="Z1419" s="290"/>
      <c r="AA1419" s="290"/>
      <c r="AB1419" s="290"/>
      <c r="AC1419" s="290"/>
      <c r="AD1419" s="290"/>
    </row>
    <row r="1420" spans="1:30" ht="25.5">
      <c r="A1420" s="291"/>
      <c r="B1420" s="291"/>
      <c r="C1420" s="291"/>
      <c r="D1420" s="83"/>
      <c r="E1420" s="59"/>
      <c r="F1420" s="82"/>
      <c r="G1420" s="82"/>
      <c r="H1420" s="86"/>
      <c r="I1420" s="294"/>
      <c r="J1420" s="59"/>
      <c r="K1420" s="83"/>
      <c r="L1420" s="83" t="str">
        <f t="shared" si="48"/>
        <v xml:space="preserve">
</v>
      </c>
      <c r="M1420" s="83"/>
      <c r="N1420" s="59"/>
      <c r="O1420" s="59"/>
      <c r="P1420" s="86">
        <f t="shared" si="49"/>
        <v>0</v>
      </c>
      <c r="Q1420" s="59"/>
      <c r="R1420" s="59"/>
      <c r="S1420" s="59"/>
      <c r="T1420" s="59"/>
      <c r="U1420" s="290"/>
      <c r="V1420" s="290"/>
      <c r="W1420" s="290"/>
      <c r="X1420" s="290"/>
      <c r="Y1420" s="290"/>
      <c r="Z1420" s="290"/>
      <c r="AA1420" s="290"/>
      <c r="AB1420" s="290"/>
      <c r="AC1420" s="290"/>
      <c r="AD1420" s="290"/>
    </row>
    <row r="1421" spans="1:30" ht="25.5">
      <c r="A1421" s="291"/>
      <c r="B1421" s="291"/>
      <c r="C1421" s="291"/>
      <c r="D1421" s="83"/>
      <c r="E1421" s="59"/>
      <c r="F1421" s="82"/>
      <c r="G1421" s="82"/>
      <c r="H1421" s="86"/>
      <c r="I1421" s="294"/>
      <c r="J1421" s="59"/>
      <c r="K1421" s="83"/>
      <c r="L1421" s="83" t="str">
        <f t="shared" si="48"/>
        <v xml:space="preserve">
</v>
      </c>
      <c r="M1421" s="83"/>
      <c r="N1421" s="59"/>
      <c r="O1421" s="59"/>
      <c r="P1421" s="86">
        <f t="shared" si="49"/>
        <v>0</v>
      </c>
      <c r="Q1421" s="59"/>
      <c r="R1421" s="59"/>
      <c r="S1421" s="59"/>
      <c r="T1421" s="59"/>
      <c r="U1421" s="290"/>
      <c r="V1421" s="290"/>
      <c r="W1421" s="290"/>
      <c r="X1421" s="290"/>
      <c r="Y1421" s="290"/>
      <c r="Z1421" s="290"/>
      <c r="AA1421" s="290"/>
      <c r="AB1421" s="290"/>
      <c r="AC1421" s="290"/>
      <c r="AD1421" s="290"/>
    </row>
    <row r="1422" spans="1:30" ht="25.5">
      <c r="A1422" s="291"/>
      <c r="B1422" s="291"/>
      <c r="C1422" s="291"/>
      <c r="D1422" s="83"/>
      <c r="E1422" s="59"/>
      <c r="F1422" s="82"/>
      <c r="G1422" s="82"/>
      <c r="H1422" s="86"/>
      <c r="I1422" s="294"/>
      <c r="J1422" s="59"/>
      <c r="K1422" s="83"/>
      <c r="L1422" s="83" t="str">
        <f t="shared" si="48"/>
        <v xml:space="preserve">
</v>
      </c>
      <c r="M1422" s="83"/>
      <c r="N1422" s="59"/>
      <c r="O1422" s="59"/>
      <c r="P1422" s="86">
        <f t="shared" si="49"/>
        <v>0</v>
      </c>
      <c r="Q1422" s="59"/>
      <c r="R1422" s="59"/>
      <c r="S1422" s="59"/>
      <c r="T1422" s="59"/>
      <c r="U1422" s="290"/>
      <c r="V1422" s="290"/>
      <c r="W1422" s="290"/>
      <c r="X1422" s="290"/>
      <c r="Y1422" s="290"/>
      <c r="Z1422" s="290"/>
      <c r="AA1422" s="290"/>
      <c r="AB1422" s="290"/>
      <c r="AC1422" s="290"/>
      <c r="AD1422" s="290"/>
    </row>
    <row r="1423" spans="1:30" ht="25.5">
      <c r="A1423" s="291"/>
      <c r="B1423" s="291"/>
      <c r="C1423" s="291"/>
      <c r="D1423" s="83"/>
      <c r="E1423" s="59"/>
      <c r="F1423" s="82"/>
      <c r="G1423" s="82"/>
      <c r="H1423" s="86"/>
      <c r="I1423" s="294"/>
      <c r="J1423" s="59"/>
      <c r="K1423" s="83"/>
      <c r="L1423" s="83" t="str">
        <f t="shared" si="48"/>
        <v xml:space="preserve">
</v>
      </c>
      <c r="M1423" s="83"/>
      <c r="N1423" s="59"/>
      <c r="O1423" s="59"/>
      <c r="P1423" s="86">
        <f t="shared" si="49"/>
        <v>0</v>
      </c>
      <c r="Q1423" s="59"/>
      <c r="R1423" s="59"/>
      <c r="S1423" s="59"/>
      <c r="T1423" s="59"/>
      <c r="U1423" s="290"/>
      <c r="V1423" s="290"/>
      <c r="W1423" s="290"/>
      <c r="X1423" s="290"/>
      <c r="Y1423" s="290"/>
      <c r="Z1423" s="290"/>
      <c r="AA1423" s="290"/>
      <c r="AB1423" s="290"/>
      <c r="AC1423" s="290"/>
      <c r="AD1423" s="290"/>
    </row>
    <row r="1424" spans="1:30" ht="25.5">
      <c r="A1424" s="291"/>
      <c r="B1424" s="291"/>
      <c r="C1424" s="291"/>
      <c r="D1424" s="83"/>
      <c r="E1424" s="59"/>
      <c r="F1424" s="82"/>
      <c r="G1424" s="82"/>
      <c r="H1424" s="86"/>
      <c r="I1424" s="294"/>
      <c r="J1424" s="59"/>
      <c r="K1424" s="83"/>
      <c r="L1424" s="83" t="str">
        <f t="shared" si="48"/>
        <v xml:space="preserve">
</v>
      </c>
      <c r="M1424" s="83"/>
      <c r="N1424" s="59"/>
      <c r="O1424" s="59"/>
      <c r="P1424" s="86">
        <f t="shared" si="49"/>
        <v>0</v>
      </c>
      <c r="Q1424" s="59"/>
      <c r="R1424" s="59"/>
      <c r="S1424" s="59"/>
      <c r="T1424" s="59"/>
      <c r="U1424" s="290"/>
      <c r="V1424" s="290"/>
      <c r="W1424" s="290"/>
      <c r="X1424" s="290"/>
      <c r="Y1424" s="290"/>
      <c r="Z1424" s="290"/>
      <c r="AA1424" s="290"/>
      <c r="AB1424" s="290"/>
      <c r="AC1424" s="290"/>
      <c r="AD1424" s="290"/>
    </row>
    <row r="1425" spans="1:30" ht="25.5">
      <c r="A1425" s="291"/>
      <c r="B1425" s="291"/>
      <c r="C1425" s="291"/>
      <c r="D1425" s="83"/>
      <c r="E1425" s="59"/>
      <c r="F1425" s="82"/>
      <c r="G1425" s="82"/>
      <c r="H1425" s="86"/>
      <c r="I1425" s="294"/>
      <c r="J1425" s="59"/>
      <c r="K1425" s="83"/>
      <c r="L1425" s="83" t="str">
        <f t="shared" si="48"/>
        <v xml:space="preserve">
</v>
      </c>
      <c r="M1425" s="83"/>
      <c r="N1425" s="59"/>
      <c r="O1425" s="59"/>
      <c r="P1425" s="86">
        <f t="shared" si="49"/>
        <v>0</v>
      </c>
      <c r="Q1425" s="59"/>
      <c r="R1425" s="59"/>
      <c r="S1425" s="59"/>
      <c r="T1425" s="59"/>
      <c r="U1425" s="290"/>
      <c r="V1425" s="290"/>
      <c r="W1425" s="290"/>
      <c r="X1425" s="290"/>
      <c r="Y1425" s="290"/>
      <c r="Z1425" s="290"/>
      <c r="AA1425" s="290"/>
      <c r="AB1425" s="290"/>
      <c r="AC1425" s="290"/>
      <c r="AD1425" s="290"/>
    </row>
    <row r="1426" spans="1:30" ht="25.5">
      <c r="A1426" s="291"/>
      <c r="B1426" s="291"/>
      <c r="C1426" s="291"/>
      <c r="D1426" s="83"/>
      <c r="E1426" s="59"/>
      <c r="F1426" s="82"/>
      <c r="G1426" s="82"/>
      <c r="H1426" s="86"/>
      <c r="I1426" s="294"/>
      <c r="J1426" s="59"/>
      <c r="K1426" s="83"/>
      <c r="L1426" s="83" t="str">
        <f t="shared" si="48"/>
        <v xml:space="preserve">
</v>
      </c>
      <c r="M1426" s="83"/>
      <c r="N1426" s="59"/>
      <c r="O1426" s="59"/>
      <c r="P1426" s="86">
        <f t="shared" si="49"/>
        <v>0</v>
      </c>
      <c r="Q1426" s="59"/>
      <c r="R1426" s="59"/>
      <c r="S1426" s="59"/>
      <c r="T1426" s="59"/>
      <c r="U1426" s="290"/>
      <c r="V1426" s="290"/>
      <c r="W1426" s="290"/>
      <c r="X1426" s="290"/>
      <c r="Y1426" s="290"/>
      <c r="Z1426" s="290"/>
      <c r="AA1426" s="290"/>
      <c r="AB1426" s="290"/>
      <c r="AC1426" s="290"/>
      <c r="AD1426" s="290"/>
    </row>
    <row r="1427" spans="1:30" ht="25.5">
      <c r="A1427" s="291"/>
      <c r="B1427" s="291"/>
      <c r="C1427" s="291"/>
      <c r="D1427" s="83"/>
      <c r="E1427" s="59"/>
      <c r="F1427" s="82"/>
      <c r="G1427" s="82"/>
      <c r="H1427" s="86"/>
      <c r="I1427" s="294"/>
      <c r="J1427" s="59"/>
      <c r="K1427" s="83"/>
      <c r="L1427" s="83" t="str">
        <f t="shared" si="48"/>
        <v xml:space="preserve">
</v>
      </c>
      <c r="M1427" s="83"/>
      <c r="N1427" s="59"/>
      <c r="O1427" s="59"/>
      <c r="P1427" s="86">
        <f t="shared" si="49"/>
        <v>0</v>
      </c>
      <c r="Q1427" s="59"/>
      <c r="R1427" s="59"/>
      <c r="S1427" s="59"/>
      <c r="T1427" s="59"/>
      <c r="U1427" s="290"/>
      <c r="V1427" s="290"/>
      <c r="W1427" s="290"/>
      <c r="X1427" s="290"/>
      <c r="Y1427" s="290"/>
      <c r="Z1427" s="290"/>
      <c r="AA1427" s="290"/>
      <c r="AB1427" s="290"/>
      <c r="AC1427" s="290"/>
      <c r="AD1427" s="290"/>
    </row>
    <row r="1428" spans="1:30" ht="25.5">
      <c r="A1428" s="291"/>
      <c r="B1428" s="291"/>
      <c r="C1428" s="291"/>
      <c r="D1428" s="83"/>
      <c r="E1428" s="59"/>
      <c r="F1428" s="82"/>
      <c r="G1428" s="82"/>
      <c r="H1428" s="86"/>
      <c r="I1428" s="294"/>
      <c r="J1428" s="59"/>
      <c r="K1428" s="83"/>
      <c r="L1428" s="83" t="str">
        <f t="shared" si="48"/>
        <v xml:space="preserve">
</v>
      </c>
      <c r="M1428" s="83"/>
      <c r="N1428" s="59"/>
      <c r="O1428" s="59"/>
      <c r="P1428" s="86">
        <f t="shared" si="49"/>
        <v>0</v>
      </c>
      <c r="Q1428" s="59"/>
      <c r="R1428" s="59"/>
      <c r="S1428" s="59"/>
      <c r="T1428" s="59"/>
      <c r="U1428" s="290"/>
      <c r="V1428" s="290"/>
      <c r="W1428" s="290"/>
      <c r="X1428" s="290"/>
      <c r="Y1428" s="290"/>
      <c r="Z1428" s="290"/>
      <c r="AA1428" s="290"/>
      <c r="AB1428" s="290"/>
      <c r="AC1428" s="290"/>
      <c r="AD1428" s="290"/>
    </row>
    <row r="1429" spans="1:30" ht="25.5">
      <c r="A1429" s="291"/>
      <c r="B1429" s="291"/>
      <c r="C1429" s="291"/>
      <c r="D1429" s="83"/>
      <c r="E1429" s="59"/>
      <c r="F1429" s="82"/>
      <c r="G1429" s="82"/>
      <c r="H1429" s="86"/>
      <c r="I1429" s="294"/>
      <c r="J1429" s="59"/>
      <c r="K1429" s="83"/>
      <c r="L1429" s="83" t="str">
        <f t="shared" si="48"/>
        <v xml:space="preserve">
</v>
      </c>
      <c r="M1429" s="83"/>
      <c r="N1429" s="59"/>
      <c r="O1429" s="59"/>
      <c r="P1429" s="86">
        <f t="shared" si="49"/>
        <v>0</v>
      </c>
      <c r="Q1429" s="59"/>
      <c r="R1429" s="59"/>
      <c r="S1429" s="59"/>
      <c r="T1429" s="59"/>
      <c r="U1429" s="290"/>
      <c r="V1429" s="290"/>
      <c r="W1429" s="290"/>
      <c r="X1429" s="290"/>
      <c r="Y1429" s="290"/>
      <c r="Z1429" s="290"/>
      <c r="AA1429" s="290"/>
      <c r="AB1429" s="290"/>
      <c r="AC1429" s="290"/>
      <c r="AD1429" s="290"/>
    </row>
    <row r="1430" spans="1:30" ht="25.5">
      <c r="A1430" s="291"/>
      <c r="B1430" s="291"/>
      <c r="C1430" s="291"/>
      <c r="D1430" s="83"/>
      <c r="E1430" s="59"/>
      <c r="F1430" s="82"/>
      <c r="G1430" s="82"/>
      <c r="H1430" s="86"/>
      <c r="I1430" s="294"/>
      <c r="J1430" s="59"/>
      <c r="K1430" s="83"/>
      <c r="L1430" s="83" t="str">
        <f t="shared" si="48"/>
        <v xml:space="preserve">
</v>
      </c>
      <c r="M1430" s="83"/>
      <c r="N1430" s="59"/>
      <c r="O1430" s="59"/>
      <c r="P1430" s="86">
        <f t="shared" si="49"/>
        <v>0</v>
      </c>
      <c r="Q1430" s="59"/>
      <c r="R1430" s="59"/>
      <c r="S1430" s="59"/>
      <c r="T1430" s="59"/>
      <c r="U1430" s="290"/>
      <c r="V1430" s="290"/>
      <c r="W1430" s="290"/>
      <c r="X1430" s="290"/>
      <c r="Y1430" s="290"/>
      <c r="Z1430" s="290"/>
      <c r="AA1430" s="290"/>
      <c r="AB1430" s="290"/>
      <c r="AC1430" s="290"/>
      <c r="AD1430" s="290"/>
    </row>
    <row r="1431" spans="1:30" ht="25.5">
      <c r="A1431" s="291"/>
      <c r="B1431" s="291"/>
      <c r="C1431" s="291"/>
      <c r="D1431" s="83"/>
      <c r="E1431" s="59"/>
      <c r="F1431" s="82"/>
      <c r="G1431" s="82"/>
      <c r="H1431" s="86"/>
      <c r="I1431" s="294"/>
      <c r="J1431" s="59"/>
      <c r="K1431" s="83"/>
      <c r="L1431" s="83" t="str">
        <f t="shared" si="48"/>
        <v xml:space="preserve">
</v>
      </c>
      <c r="M1431" s="83"/>
      <c r="N1431" s="59"/>
      <c r="O1431" s="59"/>
      <c r="P1431" s="86">
        <f t="shared" si="49"/>
        <v>0</v>
      </c>
      <c r="Q1431" s="59"/>
      <c r="R1431" s="59"/>
      <c r="S1431" s="59"/>
      <c r="T1431" s="59"/>
      <c r="U1431" s="290"/>
      <c r="V1431" s="290"/>
      <c r="W1431" s="290"/>
      <c r="X1431" s="290"/>
      <c r="Y1431" s="290"/>
      <c r="Z1431" s="290"/>
      <c r="AA1431" s="290"/>
      <c r="AB1431" s="290"/>
      <c r="AC1431" s="290"/>
      <c r="AD1431" s="290"/>
    </row>
    <row r="1432" spans="1:30" ht="25.5">
      <c r="A1432" s="291"/>
      <c r="B1432" s="291"/>
      <c r="C1432" s="291"/>
      <c r="D1432" s="83"/>
      <c r="E1432" s="59"/>
      <c r="F1432" s="82"/>
      <c r="G1432" s="82"/>
      <c r="H1432" s="86"/>
      <c r="I1432" s="294"/>
      <c r="J1432" s="59"/>
      <c r="K1432" s="83"/>
      <c r="L1432" s="83" t="str">
        <f t="shared" si="48"/>
        <v xml:space="preserve">
</v>
      </c>
      <c r="M1432" s="83"/>
      <c r="N1432" s="59"/>
      <c r="O1432" s="59"/>
      <c r="P1432" s="86">
        <f t="shared" si="49"/>
        <v>0</v>
      </c>
      <c r="Q1432" s="59"/>
      <c r="R1432" s="59"/>
      <c r="S1432" s="59"/>
      <c r="T1432" s="59"/>
      <c r="U1432" s="290"/>
      <c r="V1432" s="290"/>
      <c r="W1432" s="290"/>
      <c r="X1432" s="290"/>
      <c r="Y1432" s="290"/>
      <c r="Z1432" s="290"/>
      <c r="AA1432" s="290"/>
      <c r="AB1432" s="290"/>
      <c r="AC1432" s="290"/>
      <c r="AD1432" s="290"/>
    </row>
    <row r="1433" spans="1:30" ht="25.5">
      <c r="A1433" s="291"/>
      <c r="B1433" s="291"/>
      <c r="C1433" s="291"/>
      <c r="D1433" s="83"/>
      <c r="E1433" s="59"/>
      <c r="F1433" s="82"/>
      <c r="G1433" s="82"/>
      <c r="H1433" s="86"/>
      <c r="I1433" s="294"/>
      <c r="J1433" s="59"/>
      <c r="K1433" s="83"/>
      <c r="L1433" s="83" t="str">
        <f t="shared" si="48"/>
        <v xml:space="preserve">
</v>
      </c>
      <c r="M1433" s="83"/>
      <c r="N1433" s="59"/>
      <c r="O1433" s="59"/>
      <c r="P1433" s="86">
        <f t="shared" si="49"/>
        <v>0</v>
      </c>
      <c r="Q1433" s="59"/>
      <c r="R1433" s="59"/>
      <c r="S1433" s="59"/>
      <c r="T1433" s="59"/>
      <c r="U1433" s="290"/>
      <c r="V1433" s="290"/>
      <c r="W1433" s="290"/>
      <c r="X1433" s="290"/>
      <c r="Y1433" s="290"/>
      <c r="Z1433" s="290"/>
      <c r="AA1433" s="290"/>
      <c r="AB1433" s="290"/>
      <c r="AC1433" s="290"/>
      <c r="AD1433" s="290"/>
    </row>
    <row r="1434" spans="1:30" ht="25.5">
      <c r="A1434" s="291"/>
      <c r="B1434" s="291"/>
      <c r="C1434" s="291"/>
      <c r="D1434" s="83"/>
      <c r="E1434" s="59"/>
      <c r="F1434" s="82"/>
      <c r="G1434" s="82"/>
      <c r="H1434" s="86"/>
      <c r="I1434" s="294"/>
      <c r="J1434" s="59"/>
      <c r="K1434" s="83"/>
      <c r="L1434" s="83" t="str">
        <f t="shared" si="48"/>
        <v xml:space="preserve">
</v>
      </c>
      <c r="M1434" s="83"/>
      <c r="N1434" s="59"/>
      <c r="O1434" s="59"/>
      <c r="P1434" s="86">
        <f t="shared" si="49"/>
        <v>0</v>
      </c>
      <c r="Q1434" s="59"/>
      <c r="R1434" s="59"/>
      <c r="S1434" s="59"/>
      <c r="T1434" s="59"/>
      <c r="U1434" s="290"/>
      <c r="V1434" s="290"/>
      <c r="W1434" s="290"/>
      <c r="X1434" s="290"/>
      <c r="Y1434" s="290"/>
      <c r="Z1434" s="290"/>
      <c r="AA1434" s="290"/>
      <c r="AB1434" s="290"/>
      <c r="AC1434" s="290"/>
      <c r="AD1434" s="290"/>
    </row>
    <row r="1435" spans="1:30" ht="25.5">
      <c r="A1435" s="291"/>
      <c r="B1435" s="291"/>
      <c r="C1435" s="291"/>
      <c r="D1435" s="83"/>
      <c r="E1435" s="59"/>
      <c r="F1435" s="82"/>
      <c r="G1435" s="82"/>
      <c r="H1435" s="86"/>
      <c r="I1435" s="294"/>
      <c r="J1435" s="59"/>
      <c r="K1435" s="83"/>
      <c r="L1435" s="83" t="str">
        <f t="shared" si="48"/>
        <v xml:space="preserve">
</v>
      </c>
      <c r="M1435" s="83"/>
      <c r="N1435" s="59"/>
      <c r="O1435" s="59"/>
      <c r="P1435" s="86">
        <f t="shared" si="49"/>
        <v>0</v>
      </c>
      <c r="Q1435" s="59"/>
      <c r="R1435" s="59"/>
      <c r="S1435" s="59"/>
      <c r="T1435" s="59"/>
      <c r="U1435" s="290"/>
      <c r="V1435" s="290"/>
      <c r="W1435" s="290"/>
      <c r="X1435" s="290"/>
      <c r="Y1435" s="290"/>
      <c r="Z1435" s="290"/>
      <c r="AA1435" s="290"/>
      <c r="AB1435" s="290"/>
      <c r="AC1435" s="290"/>
      <c r="AD1435" s="290"/>
    </row>
    <row r="1436" spans="1:30" ht="25.5">
      <c r="A1436" s="291"/>
      <c r="B1436" s="291"/>
      <c r="C1436" s="291"/>
      <c r="D1436" s="83"/>
      <c r="E1436" s="59"/>
      <c r="F1436" s="82"/>
      <c r="G1436" s="82"/>
      <c r="H1436" s="86"/>
      <c r="I1436" s="294"/>
      <c r="J1436" s="59"/>
      <c r="K1436" s="83"/>
      <c r="L1436" s="83" t="str">
        <f t="shared" si="48"/>
        <v xml:space="preserve">
</v>
      </c>
      <c r="M1436" s="83"/>
      <c r="N1436" s="59"/>
      <c r="O1436" s="59"/>
      <c r="P1436" s="86">
        <f t="shared" si="49"/>
        <v>0</v>
      </c>
      <c r="Q1436" s="59"/>
      <c r="R1436" s="59"/>
      <c r="S1436" s="59"/>
      <c r="T1436" s="59"/>
      <c r="U1436" s="290"/>
      <c r="V1436" s="290"/>
      <c r="W1436" s="290"/>
      <c r="X1436" s="290"/>
      <c r="Y1436" s="290"/>
      <c r="Z1436" s="290"/>
      <c r="AA1436" s="290"/>
      <c r="AB1436" s="290"/>
      <c r="AC1436" s="290"/>
      <c r="AD1436" s="290"/>
    </row>
    <row r="1437" spans="1:30" ht="25.5">
      <c r="A1437" s="291"/>
      <c r="B1437" s="291"/>
      <c r="C1437" s="291"/>
      <c r="D1437" s="83"/>
      <c r="E1437" s="59"/>
      <c r="F1437" s="82"/>
      <c r="G1437" s="82"/>
      <c r="H1437" s="86"/>
      <c r="I1437" s="294"/>
      <c r="J1437" s="59"/>
      <c r="K1437" s="83"/>
      <c r="L1437" s="83" t="str">
        <f t="shared" si="48"/>
        <v xml:space="preserve">
</v>
      </c>
      <c r="M1437" s="83"/>
      <c r="N1437" s="59"/>
      <c r="O1437" s="59"/>
      <c r="P1437" s="86">
        <f t="shared" si="49"/>
        <v>0</v>
      </c>
      <c r="Q1437" s="59"/>
      <c r="R1437" s="59"/>
      <c r="S1437" s="59"/>
      <c r="T1437" s="59"/>
      <c r="U1437" s="290"/>
      <c r="V1437" s="290"/>
      <c r="W1437" s="290"/>
      <c r="X1437" s="290"/>
      <c r="Y1437" s="290"/>
      <c r="Z1437" s="290"/>
      <c r="AA1437" s="290"/>
      <c r="AB1437" s="290"/>
      <c r="AC1437" s="290"/>
      <c r="AD1437" s="290"/>
    </row>
    <row r="1438" spans="1:30" ht="25.5">
      <c r="A1438" s="291"/>
      <c r="B1438" s="291"/>
      <c r="C1438" s="291"/>
      <c r="D1438" s="83"/>
      <c r="E1438" s="59"/>
      <c r="F1438" s="82"/>
      <c r="G1438" s="82"/>
      <c r="H1438" s="86"/>
      <c r="I1438" s="294"/>
      <c r="J1438" s="59"/>
      <c r="K1438" s="83"/>
      <c r="L1438" s="83" t="str">
        <f t="shared" si="48"/>
        <v xml:space="preserve">
</v>
      </c>
      <c r="M1438" s="83"/>
      <c r="N1438" s="59"/>
      <c r="O1438" s="59"/>
      <c r="P1438" s="86">
        <f t="shared" si="49"/>
        <v>0</v>
      </c>
      <c r="Q1438" s="59"/>
      <c r="R1438" s="59"/>
      <c r="S1438" s="59"/>
      <c r="T1438" s="59"/>
      <c r="U1438" s="290"/>
      <c r="V1438" s="290"/>
      <c r="W1438" s="290"/>
      <c r="X1438" s="290"/>
      <c r="Y1438" s="290"/>
      <c r="Z1438" s="290"/>
      <c r="AA1438" s="290"/>
      <c r="AB1438" s="290"/>
      <c r="AC1438" s="290"/>
      <c r="AD1438" s="290"/>
    </row>
    <row r="1439" spans="1:30" ht="25.5">
      <c r="A1439" s="291"/>
      <c r="B1439" s="291"/>
      <c r="C1439" s="291"/>
      <c r="D1439" s="83"/>
      <c r="E1439" s="59"/>
      <c r="F1439" s="82"/>
      <c r="G1439" s="82"/>
      <c r="H1439" s="86"/>
      <c r="I1439" s="294"/>
      <c r="J1439" s="59"/>
      <c r="K1439" s="83"/>
      <c r="L1439" s="83" t="str">
        <f t="shared" si="48"/>
        <v xml:space="preserve">
</v>
      </c>
      <c r="M1439" s="83"/>
      <c r="N1439" s="59"/>
      <c r="O1439" s="59"/>
      <c r="P1439" s="86">
        <f t="shared" si="49"/>
        <v>0</v>
      </c>
      <c r="Q1439" s="59"/>
      <c r="R1439" s="59"/>
      <c r="S1439" s="59"/>
      <c r="T1439" s="59"/>
      <c r="U1439" s="290"/>
      <c r="V1439" s="290"/>
      <c r="W1439" s="290"/>
      <c r="X1439" s="290"/>
      <c r="Y1439" s="290"/>
      <c r="Z1439" s="290"/>
      <c r="AA1439" s="290"/>
      <c r="AB1439" s="290"/>
      <c r="AC1439" s="290"/>
      <c r="AD1439" s="290"/>
    </row>
    <row r="1440" spans="1:30" ht="25.5">
      <c r="A1440" s="291"/>
      <c r="B1440" s="291"/>
      <c r="C1440" s="291"/>
      <c r="D1440" s="83"/>
      <c r="E1440" s="59"/>
      <c r="F1440" s="82"/>
      <c r="G1440" s="82"/>
      <c r="H1440" s="86"/>
      <c r="I1440" s="294"/>
      <c r="J1440" s="59"/>
      <c r="K1440" s="83"/>
      <c r="L1440" s="83" t="str">
        <f t="shared" si="48"/>
        <v xml:space="preserve">
</v>
      </c>
      <c r="M1440" s="83"/>
      <c r="N1440" s="59"/>
      <c r="O1440" s="59"/>
      <c r="P1440" s="86">
        <f t="shared" si="49"/>
        <v>0</v>
      </c>
      <c r="Q1440" s="59"/>
      <c r="R1440" s="59"/>
      <c r="S1440" s="59"/>
      <c r="T1440" s="59"/>
      <c r="U1440" s="290"/>
      <c r="V1440" s="290"/>
      <c r="W1440" s="290"/>
      <c r="X1440" s="290"/>
      <c r="Y1440" s="290"/>
      <c r="Z1440" s="290"/>
      <c r="AA1440" s="290"/>
      <c r="AB1440" s="290"/>
      <c r="AC1440" s="290"/>
      <c r="AD1440" s="290"/>
    </row>
    <row r="1441" spans="1:30" ht="25.5">
      <c r="A1441" s="291"/>
      <c r="B1441" s="291"/>
      <c r="C1441" s="291"/>
      <c r="D1441" s="83"/>
      <c r="E1441" s="59"/>
      <c r="F1441" s="82"/>
      <c r="G1441" s="82"/>
      <c r="H1441" s="86"/>
      <c r="I1441" s="294"/>
      <c r="J1441" s="59"/>
      <c r="K1441" s="83"/>
      <c r="L1441" s="83" t="str">
        <f t="shared" si="48"/>
        <v xml:space="preserve">
</v>
      </c>
      <c r="M1441" s="83"/>
      <c r="N1441" s="59"/>
      <c r="O1441" s="59"/>
      <c r="P1441" s="86">
        <f t="shared" si="49"/>
        <v>0</v>
      </c>
      <c r="Q1441" s="59"/>
      <c r="R1441" s="59"/>
      <c r="S1441" s="59"/>
      <c r="T1441" s="59"/>
      <c r="U1441" s="290"/>
      <c r="V1441" s="290"/>
      <c r="W1441" s="290"/>
      <c r="X1441" s="290"/>
      <c r="Y1441" s="290"/>
      <c r="Z1441" s="290"/>
      <c r="AA1441" s="290"/>
      <c r="AB1441" s="290"/>
      <c r="AC1441" s="290"/>
      <c r="AD1441" s="290"/>
    </row>
    <row r="1442" spans="1:30" ht="25.5">
      <c r="A1442" s="291"/>
      <c r="B1442" s="291"/>
      <c r="C1442" s="291"/>
      <c r="D1442" s="83"/>
      <c r="E1442" s="59"/>
      <c r="F1442" s="82"/>
      <c r="G1442" s="82"/>
      <c r="H1442" s="86"/>
      <c r="I1442" s="294"/>
      <c r="J1442" s="59"/>
      <c r="K1442" s="83"/>
      <c r="L1442" s="83" t="str">
        <f t="shared" si="48"/>
        <v xml:space="preserve">
</v>
      </c>
      <c r="M1442" s="83"/>
      <c r="N1442" s="59"/>
      <c r="O1442" s="59"/>
      <c r="P1442" s="86">
        <f t="shared" si="49"/>
        <v>0</v>
      </c>
      <c r="Q1442" s="59"/>
      <c r="R1442" s="59"/>
      <c r="S1442" s="59"/>
      <c r="T1442" s="59"/>
      <c r="U1442" s="290"/>
      <c r="V1442" s="290"/>
      <c r="W1442" s="290"/>
      <c r="X1442" s="290"/>
      <c r="Y1442" s="290"/>
      <c r="Z1442" s="290"/>
      <c r="AA1442" s="290"/>
      <c r="AB1442" s="290"/>
      <c r="AC1442" s="290"/>
      <c r="AD1442" s="290"/>
    </row>
    <row r="1443" spans="1:30" ht="25.5">
      <c r="A1443" s="291"/>
      <c r="B1443" s="291"/>
      <c r="C1443" s="291"/>
      <c r="D1443" s="83"/>
      <c r="E1443" s="59"/>
      <c r="F1443" s="82"/>
      <c r="G1443" s="82"/>
      <c r="H1443" s="86"/>
      <c r="I1443" s="294"/>
      <c r="J1443" s="59"/>
      <c r="K1443" s="83"/>
      <c r="L1443" s="83" t="str">
        <f t="shared" si="48"/>
        <v xml:space="preserve">
</v>
      </c>
      <c r="M1443" s="83"/>
      <c r="N1443" s="59"/>
      <c r="O1443" s="59"/>
      <c r="P1443" s="86">
        <f t="shared" si="49"/>
        <v>0</v>
      </c>
      <c r="Q1443" s="59"/>
      <c r="R1443" s="59"/>
      <c r="S1443" s="59"/>
      <c r="T1443" s="59"/>
      <c r="U1443" s="290"/>
      <c r="V1443" s="290"/>
      <c r="W1443" s="290"/>
      <c r="X1443" s="290"/>
      <c r="Y1443" s="290"/>
      <c r="Z1443" s="290"/>
      <c r="AA1443" s="290"/>
      <c r="AB1443" s="290"/>
      <c r="AC1443" s="290"/>
      <c r="AD1443" s="290"/>
    </row>
    <row r="1444" spans="1:30" ht="25.5">
      <c r="A1444" s="291"/>
      <c r="B1444" s="291"/>
      <c r="C1444" s="291"/>
      <c r="D1444" s="83"/>
      <c r="E1444" s="59"/>
      <c r="F1444" s="82"/>
      <c r="G1444" s="82"/>
      <c r="H1444" s="86"/>
      <c r="I1444" s="294"/>
      <c r="J1444" s="59"/>
      <c r="K1444" s="83"/>
      <c r="L1444" s="83" t="str">
        <f t="shared" si="48"/>
        <v xml:space="preserve">
</v>
      </c>
      <c r="M1444" s="83"/>
      <c r="N1444" s="59"/>
      <c r="O1444" s="59"/>
      <c r="P1444" s="86">
        <f t="shared" si="49"/>
        <v>0</v>
      </c>
      <c r="Q1444" s="59"/>
      <c r="R1444" s="59"/>
      <c r="S1444" s="59"/>
      <c r="T1444" s="59"/>
      <c r="U1444" s="290"/>
      <c r="V1444" s="290"/>
      <c r="W1444" s="290"/>
      <c r="X1444" s="290"/>
      <c r="Y1444" s="290"/>
      <c r="Z1444" s="290"/>
      <c r="AA1444" s="290"/>
      <c r="AB1444" s="290"/>
      <c r="AC1444" s="290"/>
      <c r="AD1444" s="290"/>
    </row>
    <row r="1445" spans="1:30" ht="25.5">
      <c r="A1445" s="291"/>
      <c r="B1445" s="291"/>
      <c r="C1445" s="291"/>
      <c r="D1445" s="83"/>
      <c r="E1445" s="59"/>
      <c r="F1445" s="82"/>
      <c r="G1445" s="82"/>
      <c r="H1445" s="86"/>
      <c r="I1445" s="294"/>
      <c r="J1445" s="59"/>
      <c r="K1445" s="83"/>
      <c r="L1445" s="83" t="str">
        <f t="shared" si="48"/>
        <v xml:space="preserve">
</v>
      </c>
      <c r="M1445" s="83"/>
      <c r="N1445" s="59"/>
      <c r="O1445" s="59"/>
      <c r="P1445" s="86">
        <f t="shared" si="49"/>
        <v>0</v>
      </c>
      <c r="Q1445" s="59"/>
      <c r="R1445" s="59"/>
      <c r="S1445" s="59"/>
      <c r="T1445" s="59"/>
      <c r="U1445" s="290"/>
      <c r="V1445" s="290"/>
      <c r="W1445" s="290"/>
      <c r="X1445" s="290"/>
      <c r="Y1445" s="290"/>
      <c r="Z1445" s="290"/>
      <c r="AA1445" s="290"/>
      <c r="AB1445" s="290"/>
      <c r="AC1445" s="290"/>
      <c r="AD1445" s="290"/>
    </row>
    <row r="1446" spans="1:30" ht="25.5">
      <c r="A1446" s="291"/>
      <c r="B1446" s="291"/>
      <c r="C1446" s="291"/>
      <c r="D1446" s="83"/>
      <c r="E1446" s="59"/>
      <c r="F1446" s="82"/>
      <c r="G1446" s="82"/>
      <c r="H1446" s="86"/>
      <c r="I1446" s="294"/>
      <c r="J1446" s="59"/>
      <c r="K1446" s="83"/>
      <c r="L1446" s="83" t="str">
        <f t="shared" si="48"/>
        <v xml:space="preserve">
</v>
      </c>
      <c r="M1446" s="83"/>
      <c r="N1446" s="59"/>
      <c r="O1446" s="59"/>
      <c r="P1446" s="86">
        <f t="shared" si="49"/>
        <v>0</v>
      </c>
      <c r="Q1446" s="59"/>
      <c r="R1446" s="59"/>
      <c r="S1446" s="59"/>
      <c r="T1446" s="59"/>
      <c r="U1446" s="290"/>
      <c r="V1446" s="290"/>
      <c r="W1446" s="290"/>
      <c r="X1446" s="290"/>
      <c r="Y1446" s="290"/>
      <c r="Z1446" s="290"/>
      <c r="AA1446" s="290"/>
      <c r="AB1446" s="290"/>
      <c r="AC1446" s="290"/>
      <c r="AD1446" s="290"/>
    </row>
    <row r="1447" spans="1:30" ht="25.5">
      <c r="A1447" s="291"/>
      <c r="B1447" s="291"/>
      <c r="C1447" s="291"/>
      <c r="D1447" s="83"/>
      <c r="E1447" s="59"/>
      <c r="F1447" s="82"/>
      <c r="G1447" s="82"/>
      <c r="H1447" s="86"/>
      <c r="I1447" s="294"/>
      <c r="J1447" s="59"/>
      <c r="K1447" s="83"/>
      <c r="L1447" s="83" t="str">
        <f t="shared" si="48"/>
        <v xml:space="preserve">
</v>
      </c>
      <c r="M1447" s="83"/>
      <c r="N1447" s="59"/>
      <c r="O1447" s="59"/>
      <c r="P1447" s="86">
        <f t="shared" si="49"/>
        <v>0</v>
      </c>
      <c r="Q1447" s="59"/>
      <c r="R1447" s="59"/>
      <c r="S1447" s="59"/>
      <c r="T1447" s="59"/>
      <c r="U1447" s="290"/>
      <c r="V1447" s="290"/>
      <c r="W1447" s="290"/>
      <c r="X1447" s="290"/>
      <c r="Y1447" s="290"/>
      <c r="Z1447" s="290"/>
      <c r="AA1447" s="290"/>
      <c r="AB1447" s="290"/>
      <c r="AC1447" s="290"/>
      <c r="AD1447" s="290"/>
    </row>
    <row r="1448" spans="1:30" ht="25.5">
      <c r="A1448" s="291"/>
      <c r="B1448" s="291"/>
      <c r="C1448" s="291"/>
      <c r="D1448" s="83"/>
      <c r="E1448" s="59"/>
      <c r="F1448" s="82"/>
      <c r="G1448" s="82"/>
      <c r="H1448" s="86"/>
      <c r="I1448" s="294"/>
      <c r="J1448" s="59"/>
      <c r="K1448" s="83"/>
      <c r="L1448" s="83" t="str">
        <f t="shared" si="48"/>
        <v xml:space="preserve">
</v>
      </c>
      <c r="M1448" s="83"/>
      <c r="N1448" s="59"/>
      <c r="O1448" s="59"/>
      <c r="P1448" s="86">
        <f t="shared" si="49"/>
        <v>0</v>
      </c>
      <c r="Q1448" s="59"/>
      <c r="R1448" s="59"/>
      <c r="S1448" s="59"/>
      <c r="T1448" s="59"/>
      <c r="U1448" s="290"/>
      <c r="V1448" s="290"/>
      <c r="W1448" s="290"/>
      <c r="X1448" s="290"/>
      <c r="Y1448" s="290"/>
      <c r="Z1448" s="290"/>
      <c r="AA1448" s="290"/>
      <c r="AB1448" s="290"/>
      <c r="AC1448" s="290"/>
      <c r="AD1448" s="290"/>
    </row>
    <row r="1449" spans="1:30" ht="25.5">
      <c r="A1449" s="291"/>
      <c r="B1449" s="291"/>
      <c r="C1449" s="291"/>
      <c r="D1449" s="83"/>
      <c r="E1449" s="59"/>
      <c r="F1449" s="82"/>
      <c r="G1449" s="82"/>
      <c r="H1449" s="86"/>
      <c r="I1449" s="294"/>
      <c r="J1449" s="59"/>
      <c r="K1449" s="83"/>
      <c r="L1449" s="83" t="str">
        <f t="shared" si="48"/>
        <v xml:space="preserve">
</v>
      </c>
      <c r="M1449" s="83"/>
      <c r="N1449" s="59"/>
      <c r="O1449" s="59"/>
      <c r="P1449" s="86">
        <f t="shared" si="49"/>
        <v>0</v>
      </c>
      <c r="Q1449" s="59"/>
      <c r="R1449" s="59"/>
      <c r="S1449" s="59"/>
      <c r="T1449" s="59"/>
      <c r="U1449" s="290"/>
      <c r="V1449" s="290"/>
      <c r="W1449" s="290"/>
      <c r="X1449" s="290"/>
      <c r="Y1449" s="290"/>
      <c r="Z1449" s="290"/>
      <c r="AA1449" s="290"/>
      <c r="AB1449" s="290"/>
      <c r="AC1449" s="290"/>
      <c r="AD1449" s="290"/>
    </row>
    <row r="1450" spans="1:30" ht="25.5">
      <c r="A1450" s="291"/>
      <c r="B1450" s="291"/>
      <c r="C1450" s="291"/>
      <c r="D1450" s="83"/>
      <c r="E1450" s="59"/>
      <c r="F1450" s="82"/>
      <c r="G1450" s="82"/>
      <c r="H1450" s="86"/>
      <c r="I1450" s="294"/>
      <c r="J1450" s="59"/>
      <c r="K1450" s="83"/>
      <c r="L1450" s="83" t="str">
        <f t="shared" si="48"/>
        <v xml:space="preserve">
</v>
      </c>
      <c r="M1450" s="83"/>
      <c r="N1450" s="59"/>
      <c r="O1450" s="59"/>
      <c r="P1450" s="86">
        <f t="shared" si="49"/>
        <v>0</v>
      </c>
      <c r="Q1450" s="59"/>
      <c r="R1450" s="59"/>
      <c r="S1450" s="59"/>
      <c r="T1450" s="59"/>
      <c r="U1450" s="290"/>
      <c r="V1450" s="290"/>
      <c r="W1450" s="290"/>
      <c r="X1450" s="290"/>
      <c r="Y1450" s="290"/>
      <c r="Z1450" s="290"/>
      <c r="AA1450" s="290"/>
      <c r="AB1450" s="290"/>
      <c r="AC1450" s="290"/>
      <c r="AD1450" s="290"/>
    </row>
    <row r="1451" spans="1:30" ht="25.5">
      <c r="A1451" s="291"/>
      <c r="B1451" s="291"/>
      <c r="C1451" s="291"/>
      <c r="D1451" s="83"/>
      <c r="E1451" s="59"/>
      <c r="F1451" s="82"/>
      <c r="G1451" s="82"/>
      <c r="H1451" s="86"/>
      <c r="I1451" s="294"/>
      <c r="J1451" s="59"/>
      <c r="K1451" s="83"/>
      <c r="L1451" s="83" t="str">
        <f t="shared" si="48"/>
        <v xml:space="preserve">
</v>
      </c>
      <c r="M1451" s="83"/>
      <c r="N1451" s="59"/>
      <c r="O1451" s="59"/>
      <c r="P1451" s="86">
        <f t="shared" si="49"/>
        <v>0</v>
      </c>
      <c r="Q1451" s="59"/>
      <c r="R1451" s="59"/>
      <c r="S1451" s="59"/>
      <c r="T1451" s="59"/>
      <c r="U1451" s="290"/>
      <c r="V1451" s="290"/>
      <c r="W1451" s="290"/>
      <c r="X1451" s="290"/>
      <c r="Y1451" s="290"/>
      <c r="Z1451" s="290"/>
      <c r="AA1451" s="290"/>
      <c r="AB1451" s="290"/>
      <c r="AC1451" s="290"/>
      <c r="AD1451" s="290"/>
    </row>
    <row r="1452" spans="1:30" ht="25.5">
      <c r="A1452" s="291"/>
      <c r="B1452" s="291"/>
      <c r="C1452" s="291"/>
      <c r="D1452" s="83"/>
      <c r="E1452" s="59"/>
      <c r="F1452" s="82"/>
      <c r="G1452" s="82"/>
      <c r="H1452" s="86"/>
      <c r="I1452" s="294"/>
      <c r="J1452" s="59"/>
      <c r="K1452" s="83"/>
      <c r="L1452" s="83" t="str">
        <f t="shared" si="48"/>
        <v xml:space="preserve">
</v>
      </c>
      <c r="M1452" s="83"/>
      <c r="N1452" s="59"/>
      <c r="O1452" s="59"/>
      <c r="P1452" s="86">
        <f t="shared" si="49"/>
        <v>0</v>
      </c>
      <c r="Q1452" s="59"/>
      <c r="R1452" s="59"/>
      <c r="S1452" s="59"/>
      <c r="T1452" s="59"/>
      <c r="U1452" s="290"/>
      <c r="V1452" s="290"/>
      <c r="W1452" s="290"/>
      <c r="X1452" s="290"/>
      <c r="Y1452" s="290"/>
      <c r="Z1452" s="290"/>
      <c r="AA1452" s="290"/>
      <c r="AB1452" s="290"/>
      <c r="AC1452" s="290"/>
      <c r="AD1452" s="290"/>
    </row>
    <row r="1453" spans="1:30" ht="25.5">
      <c r="A1453" s="291"/>
      <c r="B1453" s="291"/>
      <c r="C1453" s="291"/>
      <c r="D1453" s="83"/>
      <c r="E1453" s="59"/>
      <c r="F1453" s="82"/>
      <c r="G1453" s="82"/>
      <c r="H1453" s="86"/>
      <c r="I1453" s="294"/>
      <c r="J1453" s="59"/>
      <c r="K1453" s="83"/>
      <c r="L1453" s="83" t="str">
        <f t="shared" si="48"/>
        <v xml:space="preserve">
</v>
      </c>
      <c r="M1453" s="83"/>
      <c r="N1453" s="59"/>
      <c r="O1453" s="59"/>
      <c r="P1453" s="86">
        <f t="shared" si="49"/>
        <v>0</v>
      </c>
      <c r="Q1453" s="59"/>
      <c r="R1453" s="59"/>
      <c r="S1453" s="59"/>
      <c r="T1453" s="59"/>
      <c r="U1453" s="290"/>
      <c r="V1453" s="290"/>
      <c r="W1453" s="290"/>
      <c r="X1453" s="290"/>
      <c r="Y1453" s="290"/>
      <c r="Z1453" s="290"/>
      <c r="AA1453" s="290"/>
      <c r="AB1453" s="290"/>
      <c r="AC1453" s="290"/>
      <c r="AD1453" s="290"/>
    </row>
    <row r="1454" spans="1:30" ht="25.5">
      <c r="A1454" s="291"/>
      <c r="B1454" s="291"/>
      <c r="C1454" s="291"/>
      <c r="D1454" s="83"/>
      <c r="E1454" s="59"/>
      <c r="F1454" s="82"/>
      <c r="G1454" s="82"/>
      <c r="H1454" s="86"/>
      <c r="I1454" s="294"/>
      <c r="J1454" s="59"/>
      <c r="K1454" s="83"/>
      <c r="L1454" s="83" t="str">
        <f t="shared" si="48"/>
        <v xml:space="preserve">
</v>
      </c>
      <c r="M1454" s="83"/>
      <c r="N1454" s="59"/>
      <c r="O1454" s="59"/>
      <c r="P1454" s="86">
        <f t="shared" si="49"/>
        <v>0</v>
      </c>
      <c r="Q1454" s="59"/>
      <c r="R1454" s="59"/>
      <c r="S1454" s="59"/>
      <c r="T1454" s="59"/>
      <c r="U1454" s="290"/>
      <c r="V1454" s="290"/>
      <c r="W1454" s="290"/>
      <c r="X1454" s="290"/>
      <c r="Y1454" s="290"/>
      <c r="Z1454" s="290"/>
      <c r="AA1454" s="290"/>
      <c r="AB1454" s="290"/>
      <c r="AC1454" s="290"/>
      <c r="AD1454" s="290"/>
    </row>
    <row r="1455" spans="1:30" ht="25.5">
      <c r="A1455" s="291"/>
      <c r="B1455" s="291"/>
      <c r="C1455" s="291"/>
      <c r="D1455" s="83"/>
      <c r="E1455" s="59"/>
      <c r="F1455" s="82"/>
      <c r="G1455" s="82"/>
      <c r="H1455" s="86"/>
      <c r="I1455" s="294"/>
      <c r="J1455" s="59"/>
      <c r="K1455" s="83"/>
      <c r="L1455" s="83" t="str">
        <f t="shared" si="48"/>
        <v xml:space="preserve">
</v>
      </c>
      <c r="M1455" s="83"/>
      <c r="N1455" s="59"/>
      <c r="O1455" s="59"/>
      <c r="P1455" s="86">
        <f t="shared" si="49"/>
        <v>0</v>
      </c>
      <c r="Q1455" s="59"/>
      <c r="R1455" s="59"/>
      <c r="S1455" s="59"/>
      <c r="T1455" s="59"/>
      <c r="U1455" s="290"/>
      <c r="V1455" s="290"/>
      <c r="W1455" s="290"/>
      <c r="X1455" s="290"/>
      <c r="Y1455" s="290"/>
      <c r="Z1455" s="290"/>
      <c r="AA1455" s="290"/>
      <c r="AB1455" s="290"/>
      <c r="AC1455" s="290"/>
      <c r="AD1455" s="290"/>
    </row>
    <row r="1456" spans="1:30" ht="25.5">
      <c r="A1456" s="291"/>
      <c r="B1456" s="291"/>
      <c r="C1456" s="291"/>
      <c r="D1456" s="83"/>
      <c r="E1456" s="59"/>
      <c r="F1456" s="82"/>
      <c r="G1456" s="82"/>
      <c r="H1456" s="86"/>
      <c r="I1456" s="294"/>
      <c r="J1456" s="59"/>
      <c r="K1456" s="83"/>
      <c r="L1456" s="83" t="str">
        <f t="shared" si="48"/>
        <v xml:space="preserve">
</v>
      </c>
      <c r="M1456" s="83"/>
      <c r="N1456" s="59"/>
      <c r="O1456" s="59"/>
      <c r="P1456" s="86">
        <f t="shared" si="49"/>
        <v>0</v>
      </c>
      <c r="Q1456" s="59"/>
      <c r="R1456" s="59"/>
      <c r="S1456" s="59"/>
      <c r="T1456" s="59"/>
      <c r="U1456" s="290"/>
      <c r="V1456" s="290"/>
      <c r="W1456" s="290"/>
      <c r="X1456" s="290"/>
      <c r="Y1456" s="290"/>
      <c r="Z1456" s="290"/>
      <c r="AA1456" s="290"/>
      <c r="AB1456" s="290"/>
      <c r="AC1456" s="290"/>
      <c r="AD1456" s="290"/>
    </row>
    <row r="1457" spans="1:30" ht="25.5">
      <c r="A1457" s="291"/>
      <c r="B1457" s="291"/>
      <c r="C1457" s="291"/>
      <c r="D1457" s="83"/>
      <c r="E1457" s="59"/>
      <c r="F1457" s="82"/>
      <c r="G1457" s="82"/>
      <c r="H1457" s="86"/>
      <c r="I1457" s="294"/>
      <c r="J1457" s="59"/>
      <c r="K1457" s="83"/>
      <c r="L1457" s="83" t="str">
        <f t="shared" si="48"/>
        <v xml:space="preserve">
</v>
      </c>
      <c r="M1457" s="83"/>
      <c r="N1457" s="59"/>
      <c r="O1457" s="59"/>
      <c r="P1457" s="86">
        <f t="shared" si="49"/>
        <v>0</v>
      </c>
      <c r="Q1457" s="59"/>
      <c r="R1457" s="59"/>
      <c r="S1457" s="59"/>
      <c r="T1457" s="59"/>
      <c r="U1457" s="290"/>
      <c r="V1457" s="290"/>
      <c r="W1457" s="290"/>
      <c r="X1457" s="290"/>
      <c r="Y1457" s="290"/>
      <c r="Z1457" s="290"/>
      <c r="AA1457" s="290"/>
      <c r="AB1457" s="290"/>
      <c r="AC1457" s="290"/>
      <c r="AD1457" s="290"/>
    </row>
    <row r="1458" spans="1:30" ht="25.5">
      <c r="A1458" s="291"/>
      <c r="B1458" s="291"/>
      <c r="C1458" s="291"/>
      <c r="D1458" s="83"/>
      <c r="E1458" s="59"/>
      <c r="F1458" s="82"/>
      <c r="G1458" s="82"/>
      <c r="H1458" s="86"/>
      <c r="I1458" s="294"/>
      <c r="J1458" s="59"/>
      <c r="K1458" s="83"/>
      <c r="L1458" s="83" t="str">
        <f t="shared" si="48"/>
        <v xml:space="preserve">
</v>
      </c>
      <c r="M1458" s="83"/>
      <c r="N1458" s="59"/>
      <c r="O1458" s="59"/>
      <c r="P1458" s="86">
        <f t="shared" si="49"/>
        <v>0</v>
      </c>
      <c r="Q1458" s="59"/>
      <c r="R1458" s="59"/>
      <c r="S1458" s="59"/>
      <c r="T1458" s="59"/>
      <c r="U1458" s="290"/>
      <c r="V1458" s="290"/>
      <c r="W1458" s="290"/>
      <c r="X1458" s="290"/>
      <c r="Y1458" s="290"/>
      <c r="Z1458" s="290"/>
      <c r="AA1458" s="290"/>
      <c r="AB1458" s="290"/>
      <c r="AC1458" s="290"/>
      <c r="AD1458" s="290"/>
    </row>
    <row r="1459" spans="1:30" ht="25.5">
      <c r="A1459" s="291"/>
      <c r="B1459" s="291"/>
      <c r="C1459" s="291"/>
      <c r="D1459" s="83"/>
      <c r="E1459" s="59"/>
      <c r="F1459" s="82"/>
      <c r="G1459" s="82"/>
      <c r="H1459" s="86"/>
      <c r="I1459" s="294"/>
      <c r="J1459" s="59"/>
      <c r="K1459" s="83"/>
      <c r="L1459" s="83" t="str">
        <f t="shared" si="48"/>
        <v xml:space="preserve">
</v>
      </c>
      <c r="M1459" s="83"/>
      <c r="N1459" s="59"/>
      <c r="O1459" s="59"/>
      <c r="P1459" s="86">
        <f t="shared" si="49"/>
        <v>0</v>
      </c>
      <c r="Q1459" s="59"/>
      <c r="R1459" s="59"/>
      <c r="S1459" s="59"/>
      <c r="T1459" s="59"/>
      <c r="U1459" s="290"/>
      <c r="V1459" s="290"/>
      <c r="W1459" s="290"/>
      <c r="X1459" s="290"/>
      <c r="Y1459" s="290"/>
      <c r="Z1459" s="290"/>
      <c r="AA1459" s="290"/>
      <c r="AB1459" s="290"/>
      <c r="AC1459" s="290"/>
      <c r="AD1459" s="290"/>
    </row>
    <row r="1460" spans="1:30" ht="25.5">
      <c r="A1460" s="291"/>
      <c r="B1460" s="291"/>
      <c r="C1460" s="291"/>
      <c r="D1460" s="83"/>
      <c r="E1460" s="59"/>
      <c r="F1460" s="82"/>
      <c r="G1460" s="82"/>
      <c r="H1460" s="86"/>
      <c r="I1460" s="294"/>
      <c r="J1460" s="59"/>
      <c r="K1460" s="83"/>
      <c r="L1460" s="83" t="str">
        <f t="shared" si="48"/>
        <v xml:space="preserve">
</v>
      </c>
      <c r="M1460" s="83"/>
      <c r="N1460" s="59"/>
      <c r="O1460" s="59"/>
      <c r="P1460" s="86">
        <f t="shared" si="49"/>
        <v>0</v>
      </c>
      <c r="Q1460" s="59"/>
      <c r="R1460" s="59"/>
      <c r="S1460" s="59"/>
      <c r="T1460" s="59"/>
      <c r="U1460" s="290"/>
      <c r="V1460" s="290"/>
      <c r="W1460" s="290"/>
      <c r="X1460" s="290"/>
      <c r="Y1460" s="290"/>
      <c r="Z1460" s="290"/>
      <c r="AA1460" s="290"/>
      <c r="AB1460" s="290"/>
      <c r="AC1460" s="290"/>
      <c r="AD1460" s="290"/>
    </row>
    <row r="1461" spans="1:30" ht="25.5">
      <c r="A1461" s="291"/>
      <c r="B1461" s="291"/>
      <c r="C1461" s="291"/>
      <c r="D1461" s="83"/>
      <c r="E1461" s="59"/>
      <c r="F1461" s="82"/>
      <c r="G1461" s="82"/>
      <c r="H1461" s="86"/>
      <c r="I1461" s="294"/>
      <c r="J1461" s="59"/>
      <c r="K1461" s="83"/>
      <c r="L1461" s="83" t="str">
        <f t="shared" si="48"/>
        <v xml:space="preserve">
</v>
      </c>
      <c r="M1461" s="83"/>
      <c r="N1461" s="59"/>
      <c r="O1461" s="59"/>
      <c r="P1461" s="86">
        <f t="shared" si="49"/>
        <v>0</v>
      </c>
      <c r="Q1461" s="59"/>
      <c r="R1461" s="59"/>
      <c r="S1461" s="59"/>
      <c r="T1461" s="59"/>
      <c r="U1461" s="290"/>
      <c r="V1461" s="290"/>
      <c r="W1461" s="290"/>
      <c r="X1461" s="290"/>
      <c r="Y1461" s="290"/>
      <c r="Z1461" s="290"/>
      <c r="AA1461" s="290"/>
      <c r="AB1461" s="290"/>
      <c r="AC1461" s="290"/>
      <c r="AD1461" s="290"/>
    </row>
    <row r="1462" spans="1:30" ht="25.5">
      <c r="A1462" s="291"/>
      <c r="B1462" s="291"/>
      <c r="C1462" s="291"/>
      <c r="D1462" s="83"/>
      <c r="E1462" s="59"/>
      <c r="F1462" s="82"/>
      <c r="G1462" s="82"/>
      <c r="H1462" s="86"/>
      <c r="I1462" s="294"/>
      <c r="J1462" s="59"/>
      <c r="K1462" s="83"/>
      <c r="L1462" s="83" t="str">
        <f t="shared" si="48"/>
        <v xml:space="preserve">
</v>
      </c>
      <c r="M1462" s="83"/>
      <c r="N1462" s="59"/>
      <c r="O1462" s="59"/>
      <c r="P1462" s="86">
        <f t="shared" si="49"/>
        <v>0</v>
      </c>
      <c r="Q1462" s="59"/>
      <c r="R1462" s="59"/>
      <c r="S1462" s="59"/>
      <c r="T1462" s="59"/>
      <c r="U1462" s="290"/>
      <c r="V1462" s="290"/>
      <c r="W1462" s="290"/>
      <c r="X1462" s="290"/>
      <c r="Y1462" s="290"/>
      <c r="Z1462" s="290"/>
      <c r="AA1462" s="290"/>
      <c r="AB1462" s="290"/>
      <c r="AC1462" s="290"/>
      <c r="AD1462" s="290"/>
    </row>
    <row r="1463" spans="1:30" ht="25.5">
      <c r="A1463" s="291"/>
      <c r="B1463" s="291"/>
      <c r="C1463" s="291"/>
      <c r="D1463" s="83"/>
      <c r="E1463" s="59"/>
      <c r="F1463" s="82"/>
      <c r="G1463" s="82"/>
      <c r="H1463" s="86"/>
      <c r="I1463" s="294"/>
      <c r="J1463" s="59"/>
      <c r="K1463" s="83"/>
      <c r="L1463" s="83" t="str">
        <f t="shared" si="48"/>
        <v xml:space="preserve">
</v>
      </c>
      <c r="M1463" s="83"/>
      <c r="N1463" s="59"/>
      <c r="O1463" s="59"/>
      <c r="P1463" s="86">
        <f t="shared" si="49"/>
        <v>0</v>
      </c>
      <c r="Q1463" s="59"/>
      <c r="R1463" s="59"/>
      <c r="S1463" s="59"/>
      <c r="T1463" s="59"/>
      <c r="U1463" s="290"/>
      <c r="V1463" s="290"/>
      <c r="W1463" s="290"/>
      <c r="X1463" s="290"/>
      <c r="Y1463" s="290"/>
      <c r="Z1463" s="290"/>
      <c r="AA1463" s="290"/>
      <c r="AB1463" s="290"/>
      <c r="AC1463" s="290"/>
      <c r="AD1463" s="290"/>
    </row>
    <row r="1464" spans="1:30" ht="25.5">
      <c r="A1464" s="291"/>
      <c r="B1464" s="291"/>
      <c r="C1464" s="291"/>
      <c r="D1464" s="83"/>
      <c r="E1464" s="59"/>
      <c r="F1464" s="82"/>
      <c r="G1464" s="82"/>
      <c r="H1464" s="86"/>
      <c r="I1464" s="294"/>
      <c r="J1464" s="59"/>
      <c r="K1464" s="83"/>
      <c r="L1464" s="83" t="str">
        <f t="shared" si="48"/>
        <v xml:space="preserve">
</v>
      </c>
      <c r="M1464" s="83"/>
      <c r="N1464" s="59"/>
      <c r="O1464" s="59"/>
      <c r="P1464" s="86">
        <f t="shared" si="49"/>
        <v>0</v>
      </c>
      <c r="Q1464" s="59"/>
      <c r="R1464" s="59"/>
      <c r="S1464" s="59"/>
      <c r="T1464" s="59"/>
      <c r="U1464" s="290"/>
      <c r="V1464" s="290"/>
      <c r="W1464" s="290"/>
      <c r="X1464" s="290"/>
      <c r="Y1464" s="290"/>
      <c r="Z1464" s="290"/>
      <c r="AA1464" s="290"/>
      <c r="AB1464" s="290"/>
      <c r="AC1464" s="290"/>
      <c r="AD1464" s="290"/>
    </row>
    <row r="1465" spans="1:30" ht="25.5">
      <c r="A1465" s="291"/>
      <c r="B1465" s="291"/>
      <c r="C1465" s="291"/>
      <c r="D1465" s="83"/>
      <c r="E1465" s="59"/>
      <c r="F1465" s="82"/>
      <c r="G1465" s="82"/>
      <c r="H1465" s="86"/>
      <c r="I1465" s="294"/>
      <c r="J1465" s="59"/>
      <c r="K1465" s="83"/>
      <c r="L1465" s="83" t="str">
        <f t="shared" si="48"/>
        <v xml:space="preserve">
</v>
      </c>
      <c r="M1465" s="83"/>
      <c r="N1465" s="59"/>
      <c r="O1465" s="59"/>
      <c r="P1465" s="86">
        <f t="shared" si="49"/>
        <v>0</v>
      </c>
      <c r="Q1465" s="59"/>
      <c r="R1465" s="59"/>
      <c r="S1465" s="59"/>
      <c r="T1465" s="59"/>
      <c r="U1465" s="290"/>
      <c r="V1465" s="290"/>
      <c r="W1465" s="290"/>
      <c r="X1465" s="290"/>
      <c r="Y1465" s="290"/>
      <c r="Z1465" s="290"/>
      <c r="AA1465" s="290"/>
      <c r="AB1465" s="290"/>
      <c r="AC1465" s="290"/>
      <c r="AD1465" s="290"/>
    </row>
    <row r="1466" spans="1:30" ht="25.5">
      <c r="A1466" s="291"/>
      <c r="B1466" s="291"/>
      <c r="C1466" s="291"/>
      <c r="D1466" s="83"/>
      <c r="E1466" s="59"/>
      <c r="F1466" s="82"/>
      <c r="G1466" s="82"/>
      <c r="H1466" s="86"/>
      <c r="I1466" s="294"/>
      <c r="J1466" s="59"/>
      <c r="K1466" s="83"/>
      <c r="L1466" s="83" t="str">
        <f t="shared" si="48"/>
        <v xml:space="preserve">
</v>
      </c>
      <c r="M1466" s="83"/>
      <c r="N1466" s="59"/>
      <c r="O1466" s="59"/>
      <c r="P1466" s="86">
        <f t="shared" si="49"/>
        <v>0</v>
      </c>
      <c r="Q1466" s="59"/>
      <c r="R1466" s="59"/>
      <c r="S1466" s="59"/>
      <c r="T1466" s="59"/>
      <c r="U1466" s="290"/>
      <c r="V1466" s="290"/>
      <c r="W1466" s="290"/>
      <c r="X1466" s="290"/>
      <c r="Y1466" s="290"/>
      <c r="Z1466" s="290"/>
      <c r="AA1466" s="290"/>
      <c r="AB1466" s="290"/>
      <c r="AC1466" s="290"/>
      <c r="AD1466" s="290"/>
    </row>
    <row r="1467" spans="1:30" ht="25.5">
      <c r="A1467" s="291"/>
      <c r="B1467" s="291"/>
      <c r="C1467" s="291"/>
      <c r="D1467" s="83"/>
      <c r="E1467" s="59"/>
      <c r="F1467" s="82"/>
      <c r="G1467" s="82"/>
      <c r="H1467" s="86"/>
      <c r="I1467" s="294"/>
      <c r="J1467" s="59"/>
      <c r="K1467" s="83"/>
      <c r="L1467" s="83" t="str">
        <f t="shared" si="48"/>
        <v xml:space="preserve">
</v>
      </c>
      <c r="M1467" s="83"/>
      <c r="N1467" s="59"/>
      <c r="O1467" s="59"/>
      <c r="P1467" s="86">
        <f t="shared" si="49"/>
        <v>0</v>
      </c>
      <c r="Q1467" s="59"/>
      <c r="R1467" s="59"/>
      <c r="S1467" s="59"/>
      <c r="T1467" s="59"/>
      <c r="U1467" s="290"/>
      <c r="V1467" s="290"/>
      <c r="W1467" s="290"/>
      <c r="X1467" s="290"/>
      <c r="Y1467" s="290"/>
      <c r="Z1467" s="290"/>
      <c r="AA1467" s="290"/>
      <c r="AB1467" s="290"/>
      <c r="AC1467" s="290"/>
      <c r="AD1467" s="290"/>
    </row>
    <row r="1468" spans="1:30" ht="25.5">
      <c r="A1468" s="291"/>
      <c r="B1468" s="291"/>
      <c r="C1468" s="291"/>
      <c r="D1468" s="83"/>
      <c r="E1468" s="59"/>
      <c r="F1468" s="82"/>
      <c r="G1468" s="82"/>
      <c r="H1468" s="86"/>
      <c r="I1468" s="294"/>
      <c r="J1468" s="59"/>
      <c r="K1468" s="83"/>
      <c r="L1468" s="83" t="str">
        <f t="shared" si="48"/>
        <v xml:space="preserve">
</v>
      </c>
      <c r="M1468" s="83"/>
      <c r="N1468" s="59"/>
      <c r="O1468" s="59"/>
      <c r="P1468" s="86">
        <f t="shared" si="49"/>
        <v>0</v>
      </c>
      <c r="Q1468" s="59"/>
      <c r="R1468" s="59"/>
      <c r="S1468" s="59"/>
      <c r="T1468" s="59"/>
      <c r="U1468" s="290"/>
      <c r="V1468" s="290"/>
      <c r="W1468" s="290"/>
      <c r="X1468" s="290"/>
      <c r="Y1468" s="290"/>
      <c r="Z1468" s="290"/>
      <c r="AA1468" s="290"/>
      <c r="AB1468" s="290"/>
      <c r="AC1468" s="290"/>
      <c r="AD1468" s="290"/>
    </row>
    <row r="1469" spans="1:30" ht="25.5">
      <c r="A1469" s="291"/>
      <c r="B1469" s="291"/>
      <c r="C1469" s="291"/>
      <c r="D1469" s="83"/>
      <c r="E1469" s="59"/>
      <c r="F1469" s="82"/>
      <c r="G1469" s="82"/>
      <c r="H1469" s="86"/>
      <c r="I1469" s="294"/>
      <c r="J1469" s="59"/>
      <c r="K1469" s="83"/>
      <c r="L1469" s="83" t="str">
        <f t="shared" si="48"/>
        <v xml:space="preserve">
</v>
      </c>
      <c r="M1469" s="83"/>
      <c r="N1469" s="59"/>
      <c r="O1469" s="59"/>
      <c r="P1469" s="86">
        <f t="shared" si="49"/>
        <v>0</v>
      </c>
      <c r="Q1469" s="59"/>
      <c r="R1469" s="59"/>
      <c r="S1469" s="59"/>
      <c r="T1469" s="59"/>
      <c r="U1469" s="290"/>
      <c r="V1469" s="290"/>
      <c r="W1469" s="290"/>
      <c r="X1469" s="290"/>
      <c r="Y1469" s="290"/>
      <c r="Z1469" s="290"/>
      <c r="AA1469" s="290"/>
      <c r="AB1469" s="290"/>
      <c r="AC1469" s="290"/>
      <c r="AD1469" s="290"/>
    </row>
    <row r="1470" spans="1:30" ht="25.5">
      <c r="A1470" s="291"/>
      <c r="B1470" s="291"/>
      <c r="C1470" s="291"/>
      <c r="D1470" s="83"/>
      <c r="E1470" s="59"/>
      <c r="F1470" s="82"/>
      <c r="G1470" s="82"/>
      <c r="H1470" s="86"/>
      <c r="I1470" s="294"/>
      <c r="J1470" s="59"/>
      <c r="K1470" s="83"/>
      <c r="L1470" s="83" t="str">
        <f t="shared" si="48"/>
        <v xml:space="preserve">
</v>
      </c>
      <c r="M1470" s="83"/>
      <c r="N1470" s="59"/>
      <c r="O1470" s="59"/>
      <c r="P1470" s="86">
        <f t="shared" si="49"/>
        <v>0</v>
      </c>
      <c r="Q1470" s="59"/>
      <c r="R1470" s="59"/>
      <c r="S1470" s="59"/>
      <c r="T1470" s="59"/>
      <c r="U1470" s="290"/>
      <c r="V1470" s="290"/>
      <c r="W1470" s="290"/>
      <c r="X1470" s="290"/>
      <c r="Y1470" s="290"/>
      <c r="Z1470" s="290"/>
      <c r="AA1470" s="290"/>
      <c r="AB1470" s="290"/>
      <c r="AC1470" s="290"/>
      <c r="AD1470" s="290"/>
    </row>
    <row r="1471" spans="1:30" ht="25.5">
      <c r="A1471" s="291"/>
      <c r="B1471" s="291"/>
      <c r="C1471" s="291"/>
      <c r="D1471" s="83"/>
      <c r="E1471" s="59"/>
      <c r="F1471" s="82"/>
      <c r="G1471" s="82"/>
      <c r="H1471" s="86"/>
      <c r="I1471" s="294"/>
      <c r="J1471" s="59"/>
      <c r="K1471" s="83"/>
      <c r="L1471" s="83" t="str">
        <f t="shared" si="48"/>
        <v xml:space="preserve">
</v>
      </c>
      <c r="M1471" s="83"/>
      <c r="N1471" s="59"/>
      <c r="O1471" s="59"/>
      <c r="P1471" s="86">
        <f t="shared" si="49"/>
        <v>0</v>
      </c>
      <c r="Q1471" s="59"/>
      <c r="R1471" s="59"/>
      <c r="S1471" s="59"/>
      <c r="T1471" s="59"/>
      <c r="U1471" s="290"/>
      <c r="V1471" s="290"/>
      <c r="W1471" s="290"/>
      <c r="X1471" s="290"/>
      <c r="Y1471" s="290"/>
      <c r="Z1471" s="290"/>
      <c r="AA1471" s="290"/>
      <c r="AB1471" s="290"/>
      <c r="AC1471" s="290"/>
      <c r="AD1471" s="290"/>
    </row>
    <row r="1472" spans="1:30" ht="25.5">
      <c r="A1472" s="291"/>
      <c r="B1472" s="291"/>
      <c r="C1472" s="291"/>
      <c r="D1472" s="83"/>
      <c r="E1472" s="59"/>
      <c r="F1472" s="82"/>
      <c r="G1472" s="82"/>
      <c r="H1472" s="86"/>
      <c r="I1472" s="294"/>
      <c r="J1472" s="59"/>
      <c r="K1472" s="83"/>
      <c r="L1472" s="83" t="str">
        <f t="shared" si="48"/>
        <v xml:space="preserve">
</v>
      </c>
      <c r="M1472" s="83"/>
      <c r="N1472" s="59"/>
      <c r="O1472" s="59"/>
      <c r="P1472" s="86">
        <f t="shared" si="49"/>
        <v>0</v>
      </c>
      <c r="Q1472" s="59"/>
      <c r="R1472" s="59"/>
      <c r="S1472" s="59"/>
      <c r="T1472" s="59"/>
      <c r="U1472" s="290"/>
      <c r="V1472" s="290"/>
      <c r="W1472" s="290"/>
      <c r="X1472" s="290"/>
      <c r="Y1472" s="290"/>
      <c r="Z1472" s="290"/>
      <c r="AA1472" s="290"/>
      <c r="AB1472" s="290"/>
      <c r="AC1472" s="290"/>
      <c r="AD1472" s="290"/>
    </row>
    <row r="1473" spans="1:30" ht="25.5">
      <c r="A1473" s="291"/>
      <c r="B1473" s="291"/>
      <c r="C1473" s="291"/>
      <c r="D1473" s="83"/>
      <c r="E1473" s="59"/>
      <c r="F1473" s="82"/>
      <c r="G1473" s="82"/>
      <c r="H1473" s="86"/>
      <c r="I1473" s="294"/>
      <c r="J1473" s="59"/>
      <c r="K1473" s="83"/>
      <c r="L1473" s="83" t="str">
        <f t="shared" si="48"/>
        <v xml:space="preserve">
</v>
      </c>
      <c r="M1473" s="83"/>
      <c r="N1473" s="59"/>
      <c r="O1473" s="59"/>
      <c r="P1473" s="86">
        <f t="shared" si="49"/>
        <v>0</v>
      </c>
      <c r="Q1473" s="59"/>
      <c r="R1473" s="59"/>
      <c r="S1473" s="59"/>
      <c r="T1473" s="59"/>
      <c r="U1473" s="290"/>
      <c r="V1473" s="290"/>
      <c r="W1473" s="290"/>
      <c r="X1473" s="290"/>
      <c r="Y1473" s="290"/>
      <c r="Z1473" s="290"/>
      <c r="AA1473" s="290"/>
      <c r="AB1473" s="290"/>
      <c r="AC1473" s="290"/>
      <c r="AD1473" s="290"/>
    </row>
    <row r="1474" spans="1:30" ht="25.5">
      <c r="A1474" s="291"/>
      <c r="B1474" s="291"/>
      <c r="C1474" s="291"/>
      <c r="D1474" s="83"/>
      <c r="E1474" s="59"/>
      <c r="F1474" s="82"/>
      <c r="G1474" s="82"/>
      <c r="H1474" s="86"/>
      <c r="I1474" s="294"/>
      <c r="J1474" s="59"/>
      <c r="K1474" s="83"/>
      <c r="L1474" s="83" t="str">
        <f t="shared" si="48"/>
        <v xml:space="preserve">
</v>
      </c>
      <c r="M1474" s="83"/>
      <c r="N1474" s="59"/>
      <c r="O1474" s="59"/>
      <c r="P1474" s="86">
        <f t="shared" si="49"/>
        <v>0</v>
      </c>
      <c r="Q1474" s="59"/>
      <c r="R1474" s="59"/>
      <c r="S1474" s="59"/>
      <c r="T1474" s="59"/>
      <c r="U1474" s="290"/>
      <c r="V1474" s="290"/>
      <c r="W1474" s="290"/>
      <c r="X1474" s="290"/>
      <c r="Y1474" s="290"/>
      <c r="Z1474" s="290"/>
      <c r="AA1474" s="290"/>
      <c r="AB1474" s="290"/>
      <c r="AC1474" s="290"/>
      <c r="AD1474" s="290"/>
    </row>
    <row r="1475" spans="1:30" ht="25.5">
      <c r="A1475" s="291"/>
      <c r="B1475" s="291"/>
      <c r="C1475" s="291"/>
      <c r="D1475" s="83"/>
      <c r="E1475" s="59"/>
      <c r="F1475" s="82"/>
      <c r="G1475" s="82"/>
      <c r="H1475" s="86"/>
      <c r="I1475" s="294"/>
      <c r="J1475" s="59"/>
      <c r="K1475" s="83"/>
      <c r="L1475" s="83" t="str">
        <f t="shared" si="48"/>
        <v xml:space="preserve">
</v>
      </c>
      <c r="M1475" s="83"/>
      <c r="N1475" s="59"/>
      <c r="O1475" s="59"/>
      <c r="P1475" s="86">
        <f t="shared" si="49"/>
        <v>0</v>
      </c>
      <c r="Q1475" s="59"/>
      <c r="R1475" s="59"/>
      <c r="S1475" s="59"/>
      <c r="T1475" s="59"/>
      <c r="U1475" s="290"/>
      <c r="V1475" s="290"/>
      <c r="W1475" s="290"/>
      <c r="X1475" s="290"/>
      <c r="Y1475" s="290"/>
      <c r="Z1475" s="290"/>
      <c r="AA1475" s="290"/>
      <c r="AB1475" s="290"/>
      <c r="AC1475" s="290"/>
      <c r="AD1475" s="290"/>
    </row>
    <row r="1476" spans="1:30" ht="25.5">
      <c r="A1476" s="291"/>
      <c r="B1476" s="291"/>
      <c r="C1476" s="291"/>
      <c r="D1476" s="83"/>
      <c r="E1476" s="59"/>
      <c r="F1476" s="82"/>
      <c r="G1476" s="82"/>
      <c r="H1476" s="86"/>
      <c r="I1476" s="294"/>
      <c r="J1476" s="59"/>
      <c r="K1476" s="83"/>
      <c r="L1476" s="83" t="str">
        <f t="shared" si="48"/>
        <v xml:space="preserve">
</v>
      </c>
      <c r="M1476" s="83"/>
      <c r="N1476" s="59"/>
      <c r="O1476" s="59"/>
      <c r="P1476" s="86">
        <f t="shared" si="49"/>
        <v>0</v>
      </c>
      <c r="Q1476" s="59"/>
      <c r="R1476" s="59"/>
      <c r="S1476" s="59"/>
      <c r="T1476" s="59"/>
      <c r="U1476" s="290"/>
      <c r="V1476" s="290"/>
      <c r="W1476" s="290"/>
      <c r="X1476" s="290"/>
      <c r="Y1476" s="290"/>
      <c r="Z1476" s="290"/>
      <c r="AA1476" s="290"/>
      <c r="AB1476" s="290"/>
      <c r="AC1476" s="290"/>
      <c r="AD1476" s="290"/>
    </row>
    <row r="1477" spans="1:30" ht="25.5">
      <c r="A1477" s="291"/>
      <c r="B1477" s="291"/>
      <c r="C1477" s="291"/>
      <c r="D1477" s="83"/>
      <c r="E1477" s="59"/>
      <c r="F1477" s="82"/>
      <c r="G1477" s="82"/>
      <c r="H1477" s="86"/>
      <c r="I1477" s="294"/>
      <c r="J1477" s="59"/>
      <c r="K1477" s="83"/>
      <c r="L1477" s="83" t="str">
        <f t="shared" si="48"/>
        <v xml:space="preserve">
</v>
      </c>
      <c r="M1477" s="83"/>
      <c r="N1477" s="59"/>
      <c r="O1477" s="59"/>
      <c r="P1477" s="86">
        <f t="shared" si="49"/>
        <v>0</v>
      </c>
      <c r="Q1477" s="59"/>
      <c r="R1477" s="59"/>
      <c r="S1477" s="59"/>
      <c r="T1477" s="59"/>
      <c r="U1477" s="290"/>
      <c r="V1477" s="290"/>
      <c r="W1477" s="290"/>
      <c r="X1477" s="290"/>
      <c r="Y1477" s="290"/>
      <c r="Z1477" s="290"/>
      <c r="AA1477" s="290"/>
      <c r="AB1477" s="290"/>
      <c r="AC1477" s="290"/>
      <c r="AD1477" s="290"/>
    </row>
    <row r="1478" spans="1:30" ht="25.5">
      <c r="A1478" s="291"/>
      <c r="B1478" s="291"/>
      <c r="C1478" s="291"/>
      <c r="D1478" s="83"/>
      <c r="E1478" s="59"/>
      <c r="F1478" s="82"/>
      <c r="G1478" s="82"/>
      <c r="H1478" s="86"/>
      <c r="I1478" s="294"/>
      <c r="J1478" s="59"/>
      <c r="K1478" s="83"/>
      <c r="L1478" s="83" t="str">
        <f t="shared" si="48"/>
        <v xml:space="preserve">
</v>
      </c>
      <c r="M1478" s="83"/>
      <c r="N1478" s="59"/>
      <c r="O1478" s="59"/>
      <c r="P1478" s="86">
        <f t="shared" si="49"/>
        <v>0</v>
      </c>
      <c r="Q1478" s="59"/>
      <c r="R1478" s="59"/>
      <c r="S1478" s="59"/>
      <c r="T1478" s="59"/>
      <c r="U1478" s="290"/>
      <c r="V1478" s="290"/>
      <c r="W1478" s="290"/>
      <c r="X1478" s="290"/>
      <c r="Y1478" s="290"/>
      <c r="Z1478" s="290"/>
      <c r="AA1478" s="290"/>
      <c r="AB1478" s="290"/>
      <c r="AC1478" s="290"/>
      <c r="AD1478" s="290"/>
    </row>
    <row r="1479" spans="1:30" ht="25.5">
      <c r="A1479" s="291"/>
      <c r="B1479" s="291"/>
      <c r="C1479" s="291"/>
      <c r="D1479" s="83"/>
      <c r="E1479" s="59"/>
      <c r="F1479" s="82"/>
      <c r="G1479" s="82"/>
      <c r="H1479" s="86"/>
      <c r="I1479" s="294"/>
      <c r="J1479" s="59"/>
      <c r="K1479" s="83"/>
      <c r="L1479" s="83" t="str">
        <f t="shared" si="48"/>
        <v xml:space="preserve">
</v>
      </c>
      <c r="M1479" s="83"/>
      <c r="N1479" s="59"/>
      <c r="O1479" s="59"/>
      <c r="P1479" s="86">
        <f t="shared" si="49"/>
        <v>0</v>
      </c>
      <c r="Q1479" s="59"/>
      <c r="R1479" s="59"/>
      <c r="S1479" s="59"/>
      <c r="T1479" s="59"/>
      <c r="U1479" s="290"/>
      <c r="V1479" s="290"/>
      <c r="W1479" s="290"/>
      <c r="X1479" s="290"/>
      <c r="Y1479" s="290"/>
      <c r="Z1479" s="290"/>
      <c r="AA1479" s="290"/>
      <c r="AB1479" s="290"/>
      <c r="AC1479" s="290"/>
      <c r="AD1479" s="290"/>
    </row>
    <row r="1480" spans="1:30" ht="25.5">
      <c r="A1480" s="291"/>
      <c r="B1480" s="291"/>
      <c r="C1480" s="291"/>
      <c r="D1480" s="83"/>
      <c r="E1480" s="59"/>
      <c r="F1480" s="82"/>
      <c r="G1480" s="82"/>
      <c r="H1480" s="86"/>
      <c r="I1480" s="294"/>
      <c r="J1480" s="59"/>
      <c r="K1480" s="83"/>
      <c r="L1480" s="83" t="str">
        <f t="shared" si="48"/>
        <v xml:space="preserve">
</v>
      </c>
      <c r="M1480" s="83"/>
      <c r="N1480" s="59"/>
      <c r="O1480" s="59"/>
      <c r="P1480" s="86">
        <f t="shared" si="49"/>
        <v>0</v>
      </c>
      <c r="Q1480" s="59"/>
      <c r="R1480" s="59"/>
      <c r="S1480" s="59"/>
      <c r="T1480" s="59"/>
      <c r="U1480" s="290"/>
      <c r="V1480" s="290"/>
      <c r="W1480" s="290"/>
      <c r="X1480" s="290"/>
      <c r="Y1480" s="290"/>
      <c r="Z1480" s="290"/>
      <c r="AA1480" s="290"/>
      <c r="AB1480" s="290"/>
      <c r="AC1480" s="290"/>
      <c r="AD1480" s="290"/>
    </row>
    <row r="1481" spans="1:30" ht="25.5">
      <c r="A1481" s="291"/>
      <c r="B1481" s="291"/>
      <c r="C1481" s="291"/>
      <c r="D1481" s="83"/>
      <c r="E1481" s="59"/>
      <c r="F1481" s="82"/>
      <c r="G1481" s="82"/>
      <c r="H1481" s="86"/>
      <c r="I1481" s="294"/>
      <c r="J1481" s="59"/>
      <c r="K1481" s="83"/>
      <c r="L1481" s="83" t="str">
        <f t="shared" si="48"/>
        <v xml:space="preserve">
</v>
      </c>
      <c r="M1481" s="83"/>
      <c r="N1481" s="59"/>
      <c r="O1481" s="59"/>
      <c r="P1481" s="86">
        <f t="shared" si="49"/>
        <v>0</v>
      </c>
      <c r="Q1481" s="59"/>
      <c r="R1481" s="59"/>
      <c r="S1481" s="59"/>
      <c r="T1481" s="59"/>
      <c r="U1481" s="290"/>
      <c r="V1481" s="290"/>
      <c r="W1481" s="290"/>
      <c r="X1481" s="290"/>
      <c r="Y1481" s="290"/>
      <c r="Z1481" s="290"/>
      <c r="AA1481" s="290"/>
      <c r="AB1481" s="290"/>
      <c r="AC1481" s="290"/>
      <c r="AD1481" s="290"/>
    </row>
    <row r="1482" spans="1:30" ht="25.5">
      <c r="A1482" s="291"/>
      <c r="B1482" s="291"/>
      <c r="C1482" s="291"/>
      <c r="D1482" s="83"/>
      <c r="E1482" s="59"/>
      <c r="F1482" s="82"/>
      <c r="G1482" s="82"/>
      <c r="H1482" s="86"/>
      <c r="I1482" s="294"/>
      <c r="J1482" s="59"/>
      <c r="K1482" s="83"/>
      <c r="L1482" s="83" t="str">
        <f t="shared" si="48"/>
        <v xml:space="preserve">
</v>
      </c>
      <c r="M1482" s="83"/>
      <c r="N1482" s="59"/>
      <c r="O1482" s="59"/>
      <c r="P1482" s="86">
        <f t="shared" si="49"/>
        <v>0</v>
      </c>
      <c r="Q1482" s="59"/>
      <c r="R1482" s="59"/>
      <c r="S1482" s="59"/>
      <c r="T1482" s="59"/>
      <c r="U1482" s="290"/>
      <c r="V1482" s="290"/>
      <c r="W1482" s="290"/>
      <c r="X1482" s="290"/>
      <c r="Y1482" s="290"/>
      <c r="Z1482" s="290"/>
      <c r="AA1482" s="290"/>
      <c r="AB1482" s="290"/>
      <c r="AC1482" s="290"/>
      <c r="AD1482" s="290"/>
    </row>
    <row r="1483" spans="1:30" ht="25.5">
      <c r="A1483" s="291"/>
      <c r="B1483" s="291"/>
      <c r="C1483" s="291"/>
      <c r="D1483" s="83"/>
      <c r="E1483" s="59"/>
      <c r="F1483" s="82"/>
      <c r="G1483" s="82"/>
      <c r="H1483" s="86"/>
      <c r="I1483" s="294"/>
      <c r="J1483" s="59"/>
      <c r="K1483" s="83"/>
      <c r="L1483" s="83" t="str">
        <f t="shared" si="48"/>
        <v xml:space="preserve">
</v>
      </c>
      <c r="M1483" s="83"/>
      <c r="N1483" s="59"/>
      <c r="O1483" s="59"/>
      <c r="P1483" s="86">
        <f t="shared" si="49"/>
        <v>0</v>
      </c>
      <c r="Q1483" s="59"/>
      <c r="R1483" s="59"/>
      <c r="S1483" s="59"/>
      <c r="T1483" s="59"/>
      <c r="U1483" s="290"/>
      <c r="V1483" s="290"/>
      <c r="W1483" s="290"/>
      <c r="X1483" s="290"/>
      <c r="Y1483" s="290"/>
      <c r="Z1483" s="290"/>
      <c r="AA1483" s="290"/>
      <c r="AB1483" s="290"/>
      <c r="AC1483" s="290"/>
      <c r="AD1483" s="290"/>
    </row>
    <row r="1484" spans="1:30" ht="25.5">
      <c r="A1484" s="291"/>
      <c r="B1484" s="291"/>
      <c r="C1484" s="291"/>
      <c r="D1484" s="83"/>
      <c r="E1484" s="59"/>
      <c r="F1484" s="82"/>
      <c r="G1484" s="82"/>
      <c r="H1484" s="86"/>
      <c r="I1484" s="294"/>
      <c r="J1484" s="59"/>
      <c r="K1484" s="83"/>
      <c r="L1484" s="83" t="str">
        <f t="shared" si="48"/>
        <v xml:space="preserve">
</v>
      </c>
      <c r="M1484" s="83"/>
      <c r="N1484" s="59"/>
      <c r="O1484" s="59"/>
      <c r="P1484" s="86">
        <f t="shared" si="49"/>
        <v>0</v>
      </c>
      <c r="Q1484" s="59"/>
      <c r="R1484" s="59"/>
      <c r="S1484" s="59"/>
      <c r="T1484" s="59"/>
      <c r="U1484" s="290"/>
      <c r="V1484" s="290"/>
      <c r="W1484" s="290"/>
      <c r="X1484" s="290"/>
      <c r="Y1484" s="290"/>
      <c r="Z1484" s="290"/>
      <c r="AA1484" s="290"/>
      <c r="AB1484" s="290"/>
      <c r="AC1484" s="290"/>
      <c r="AD1484" s="290"/>
    </row>
    <row r="1485" spans="1:30" ht="25.5">
      <c r="A1485" s="291"/>
      <c r="B1485" s="291"/>
      <c r="C1485" s="291"/>
      <c r="D1485" s="83"/>
      <c r="E1485" s="59"/>
      <c r="F1485" s="82"/>
      <c r="G1485" s="82"/>
      <c r="H1485" s="86"/>
      <c r="I1485" s="294"/>
      <c r="J1485" s="59"/>
      <c r="K1485" s="83"/>
      <c r="L1485" s="83" t="str">
        <f t="shared" si="48"/>
        <v xml:space="preserve">
</v>
      </c>
      <c r="M1485" s="83"/>
      <c r="N1485" s="59"/>
      <c r="O1485" s="59"/>
      <c r="P1485" s="86">
        <f t="shared" si="49"/>
        <v>0</v>
      </c>
      <c r="Q1485" s="59"/>
      <c r="R1485" s="59"/>
      <c r="S1485" s="59"/>
      <c r="T1485" s="59"/>
      <c r="U1485" s="290"/>
      <c r="V1485" s="290"/>
      <c r="W1485" s="290"/>
      <c r="X1485" s="290"/>
      <c r="Y1485" s="290"/>
      <c r="Z1485" s="290"/>
      <c r="AA1485" s="290"/>
      <c r="AB1485" s="290"/>
      <c r="AC1485" s="290"/>
      <c r="AD1485" s="290"/>
    </row>
    <row r="1486" spans="1:30" ht="25.5">
      <c r="A1486" s="291"/>
      <c r="B1486" s="291"/>
      <c r="C1486" s="291"/>
      <c r="D1486" s="83"/>
      <c r="E1486" s="59"/>
      <c r="F1486" s="82"/>
      <c r="G1486" s="82"/>
      <c r="H1486" s="86"/>
      <c r="I1486" s="294"/>
      <c r="J1486" s="59"/>
      <c r="K1486" s="83"/>
      <c r="L1486" s="83" t="str">
        <f t="shared" si="48"/>
        <v xml:space="preserve">
</v>
      </c>
      <c r="M1486" s="83"/>
      <c r="N1486" s="59"/>
      <c r="O1486" s="59"/>
      <c r="P1486" s="86">
        <f t="shared" si="49"/>
        <v>0</v>
      </c>
      <c r="Q1486" s="59"/>
      <c r="R1486" s="59"/>
      <c r="S1486" s="59"/>
      <c r="T1486" s="59"/>
      <c r="U1486" s="290"/>
      <c r="V1486" s="290"/>
      <c r="W1486" s="290"/>
      <c r="X1486" s="290"/>
      <c r="Y1486" s="290"/>
      <c r="Z1486" s="290"/>
      <c r="AA1486" s="290"/>
      <c r="AB1486" s="290"/>
      <c r="AC1486" s="290"/>
      <c r="AD1486" s="290"/>
    </row>
    <row r="1487" spans="1:30" ht="25.5">
      <c r="A1487" s="291"/>
      <c r="B1487" s="291"/>
      <c r="C1487" s="291"/>
      <c r="D1487" s="83"/>
      <c r="E1487" s="59"/>
      <c r="F1487" s="82"/>
      <c r="G1487" s="82"/>
      <c r="H1487" s="86"/>
      <c r="I1487" s="294"/>
      <c r="J1487" s="59"/>
      <c r="K1487" s="83"/>
      <c r="L1487" s="83" t="str">
        <f t="shared" si="48"/>
        <v xml:space="preserve">
</v>
      </c>
      <c r="M1487" s="83"/>
      <c r="N1487" s="59"/>
      <c r="O1487" s="59"/>
      <c r="P1487" s="86">
        <f t="shared" si="49"/>
        <v>0</v>
      </c>
      <c r="Q1487" s="59"/>
      <c r="R1487" s="59"/>
      <c r="S1487" s="59"/>
      <c r="T1487" s="59"/>
      <c r="U1487" s="290"/>
      <c r="V1487" s="290"/>
      <c r="W1487" s="290"/>
      <c r="X1487" s="290"/>
      <c r="Y1487" s="290"/>
      <c r="Z1487" s="290"/>
      <c r="AA1487" s="290"/>
      <c r="AB1487" s="290"/>
      <c r="AC1487" s="290"/>
      <c r="AD1487" s="290"/>
    </row>
    <row r="1488" spans="1:30" ht="25.5">
      <c r="A1488" s="291"/>
      <c r="B1488" s="291"/>
      <c r="C1488" s="291"/>
      <c r="D1488" s="83"/>
      <c r="E1488" s="59"/>
      <c r="F1488" s="82"/>
      <c r="G1488" s="82"/>
      <c r="H1488" s="86"/>
      <c r="I1488" s="294"/>
      <c r="J1488" s="59"/>
      <c r="K1488" s="83"/>
      <c r="L1488" s="83" t="str">
        <f t="shared" si="48"/>
        <v xml:space="preserve">
</v>
      </c>
      <c r="M1488" s="83"/>
      <c r="N1488" s="59"/>
      <c r="O1488" s="59"/>
      <c r="P1488" s="86">
        <f t="shared" si="49"/>
        <v>0</v>
      </c>
      <c r="Q1488" s="59"/>
      <c r="R1488" s="59"/>
      <c r="S1488" s="59"/>
      <c r="T1488" s="59"/>
      <c r="U1488" s="290"/>
      <c r="V1488" s="290"/>
      <c r="W1488" s="290"/>
      <c r="X1488" s="290"/>
      <c r="Y1488" s="290"/>
      <c r="Z1488" s="290"/>
      <c r="AA1488" s="290"/>
      <c r="AB1488" s="290"/>
      <c r="AC1488" s="290"/>
      <c r="AD1488" s="290"/>
    </row>
    <row r="1489" spans="1:30" ht="25.5">
      <c r="A1489" s="291"/>
      <c r="B1489" s="291"/>
      <c r="C1489" s="291"/>
      <c r="D1489" s="83"/>
      <c r="E1489" s="59"/>
      <c r="F1489" s="82"/>
      <c r="G1489" s="82"/>
      <c r="H1489" s="86"/>
      <c r="I1489" s="294"/>
      <c r="J1489" s="59"/>
      <c r="K1489" s="83"/>
      <c r="L1489" s="83" t="str">
        <f t="shared" si="48"/>
        <v xml:space="preserve">
</v>
      </c>
      <c r="M1489" s="83"/>
      <c r="N1489" s="59"/>
      <c r="O1489" s="59"/>
      <c r="P1489" s="86">
        <f t="shared" si="49"/>
        <v>0</v>
      </c>
      <c r="Q1489" s="59"/>
      <c r="R1489" s="59"/>
      <c r="S1489" s="59"/>
      <c r="T1489" s="59"/>
      <c r="U1489" s="290"/>
      <c r="V1489" s="290"/>
      <c r="W1489" s="290"/>
      <c r="X1489" s="290"/>
      <c r="Y1489" s="290"/>
      <c r="Z1489" s="290"/>
      <c r="AA1489" s="290"/>
      <c r="AB1489" s="290"/>
      <c r="AC1489" s="290"/>
      <c r="AD1489" s="290"/>
    </row>
    <row r="1490" spans="1:30" ht="25.5">
      <c r="A1490" s="291"/>
      <c r="B1490" s="291"/>
      <c r="C1490" s="291"/>
      <c r="D1490" s="83"/>
      <c r="E1490" s="59"/>
      <c r="F1490" s="82"/>
      <c r="G1490" s="82"/>
      <c r="H1490" s="86"/>
      <c r="I1490" s="294"/>
      <c r="J1490" s="59"/>
      <c r="K1490" s="83"/>
      <c r="L1490" s="83" t="str">
        <f t="shared" si="48"/>
        <v xml:space="preserve">
</v>
      </c>
      <c r="M1490" s="83"/>
      <c r="N1490" s="59"/>
      <c r="O1490" s="59"/>
      <c r="P1490" s="86">
        <f t="shared" si="49"/>
        <v>0</v>
      </c>
      <c r="Q1490" s="59"/>
      <c r="R1490" s="59"/>
      <c r="S1490" s="59"/>
      <c r="T1490" s="59"/>
      <c r="U1490" s="290"/>
      <c r="V1490" s="290"/>
      <c r="W1490" s="290"/>
      <c r="X1490" s="290"/>
      <c r="Y1490" s="290"/>
      <c r="Z1490" s="290"/>
      <c r="AA1490" s="290"/>
      <c r="AB1490" s="290"/>
      <c r="AC1490" s="290"/>
      <c r="AD1490" s="290"/>
    </row>
    <row r="1491" spans="1:30" ht="25.5">
      <c r="A1491" s="291"/>
      <c r="B1491" s="291"/>
      <c r="C1491" s="291"/>
      <c r="D1491" s="83"/>
      <c r="E1491" s="59"/>
      <c r="F1491" s="82"/>
      <c r="G1491" s="82"/>
      <c r="H1491" s="86"/>
      <c r="I1491" s="294"/>
      <c r="J1491" s="59"/>
      <c r="K1491" s="83"/>
      <c r="L1491" s="83" t="str">
        <f t="shared" si="48"/>
        <v xml:space="preserve">
</v>
      </c>
      <c r="M1491" s="83"/>
      <c r="N1491" s="59"/>
      <c r="O1491" s="59"/>
      <c r="P1491" s="86">
        <f t="shared" si="49"/>
        <v>0</v>
      </c>
      <c r="Q1491" s="59"/>
      <c r="R1491" s="59"/>
      <c r="S1491" s="59"/>
      <c r="T1491" s="59"/>
      <c r="U1491" s="290"/>
      <c r="V1491" s="290"/>
      <c r="W1491" s="290"/>
      <c r="X1491" s="290"/>
      <c r="Y1491" s="290"/>
      <c r="Z1491" s="290"/>
      <c r="AA1491" s="290"/>
      <c r="AB1491" s="290"/>
      <c r="AC1491" s="290"/>
      <c r="AD1491" s="290"/>
    </row>
    <row r="1492" spans="1:30" ht="25.5">
      <c r="A1492" s="291"/>
      <c r="B1492" s="291"/>
      <c r="C1492" s="291"/>
      <c r="D1492" s="83"/>
      <c r="E1492" s="59"/>
      <c r="F1492" s="82"/>
      <c r="G1492" s="82"/>
      <c r="H1492" s="86"/>
      <c r="I1492" s="294"/>
      <c r="J1492" s="59"/>
      <c r="K1492" s="83"/>
      <c r="L1492" s="83" t="str">
        <f t="shared" si="48"/>
        <v xml:space="preserve">
</v>
      </c>
      <c r="M1492" s="83"/>
      <c r="N1492" s="59"/>
      <c r="O1492" s="59"/>
      <c r="P1492" s="86">
        <f t="shared" si="49"/>
        <v>0</v>
      </c>
      <c r="Q1492" s="59"/>
      <c r="R1492" s="59"/>
      <c r="S1492" s="59"/>
      <c r="T1492" s="59"/>
      <c r="U1492" s="290"/>
      <c r="V1492" s="290"/>
      <c r="W1492" s="290"/>
      <c r="X1492" s="290"/>
      <c r="Y1492" s="290"/>
      <c r="Z1492" s="290"/>
      <c r="AA1492" s="290"/>
      <c r="AB1492" s="290"/>
      <c r="AC1492" s="290"/>
      <c r="AD1492" s="290"/>
    </row>
    <row r="1493" spans="1:30" ht="25.5">
      <c r="A1493" s="291"/>
      <c r="B1493" s="291"/>
      <c r="C1493" s="291"/>
      <c r="D1493" s="83"/>
      <c r="E1493" s="59"/>
      <c r="F1493" s="82"/>
      <c r="G1493" s="82"/>
      <c r="H1493" s="86"/>
      <c r="I1493" s="294"/>
      <c r="J1493" s="59"/>
      <c r="K1493" s="83"/>
      <c r="L1493" s="83" t="str">
        <f t="shared" si="48"/>
        <v xml:space="preserve">
</v>
      </c>
      <c r="M1493" s="83"/>
      <c r="N1493" s="59"/>
      <c r="O1493" s="59"/>
      <c r="P1493" s="86">
        <f t="shared" si="49"/>
        <v>0</v>
      </c>
      <c r="Q1493" s="59"/>
      <c r="R1493" s="59"/>
      <c r="S1493" s="59"/>
      <c r="T1493" s="59"/>
      <c r="U1493" s="290"/>
      <c r="V1493" s="290"/>
      <c r="W1493" s="290"/>
      <c r="X1493" s="290"/>
      <c r="Y1493" s="290"/>
      <c r="Z1493" s="290"/>
      <c r="AA1493" s="290"/>
      <c r="AB1493" s="290"/>
      <c r="AC1493" s="290"/>
      <c r="AD1493" s="290"/>
    </row>
    <row r="1494" spans="1:30" ht="25.5">
      <c r="A1494" s="291"/>
      <c r="B1494" s="291"/>
      <c r="C1494" s="291"/>
      <c r="D1494" s="83"/>
      <c r="E1494" s="59"/>
      <c r="F1494" s="82"/>
      <c r="G1494" s="82"/>
      <c r="H1494" s="86"/>
      <c r="I1494" s="294"/>
      <c r="J1494" s="59"/>
      <c r="K1494" s="83"/>
      <c r="L1494" s="83" t="str">
        <f t="shared" si="48"/>
        <v xml:space="preserve">
</v>
      </c>
      <c r="M1494" s="83"/>
      <c r="N1494" s="59"/>
      <c r="O1494" s="59"/>
      <c r="P1494" s="86">
        <f t="shared" si="49"/>
        <v>0</v>
      </c>
      <c r="Q1494" s="59"/>
      <c r="R1494" s="59"/>
      <c r="S1494" s="59"/>
      <c r="T1494" s="59"/>
      <c r="U1494" s="290"/>
      <c r="V1494" s="290"/>
      <c r="W1494" s="290"/>
      <c r="X1494" s="290"/>
      <c r="Y1494" s="290"/>
      <c r="Z1494" s="290"/>
      <c r="AA1494" s="290"/>
      <c r="AB1494" s="290"/>
      <c r="AC1494" s="290"/>
      <c r="AD1494" s="290"/>
    </row>
    <row r="1495" spans="1:30" ht="25.5">
      <c r="A1495" s="291"/>
      <c r="B1495" s="291"/>
      <c r="C1495" s="291"/>
      <c r="D1495" s="83"/>
      <c r="E1495" s="59"/>
      <c r="F1495" s="82"/>
      <c r="G1495" s="82"/>
      <c r="H1495" s="86"/>
      <c r="I1495" s="294"/>
      <c r="J1495" s="59"/>
      <c r="K1495" s="83"/>
      <c r="L1495" s="83" t="str">
        <f t="shared" si="48"/>
        <v xml:space="preserve">
</v>
      </c>
      <c r="M1495" s="83"/>
      <c r="N1495" s="59"/>
      <c r="O1495" s="59"/>
      <c r="P1495" s="86">
        <f t="shared" si="49"/>
        <v>0</v>
      </c>
      <c r="Q1495" s="59"/>
      <c r="R1495" s="59"/>
      <c r="S1495" s="59"/>
      <c r="T1495" s="59"/>
      <c r="U1495" s="290"/>
      <c r="V1495" s="290"/>
      <c r="W1495" s="290"/>
      <c r="X1495" s="290"/>
      <c r="Y1495" s="290"/>
      <c r="Z1495" s="290"/>
      <c r="AA1495" s="290"/>
      <c r="AB1495" s="290"/>
      <c r="AC1495" s="290"/>
      <c r="AD1495" s="290"/>
    </row>
    <row r="1496" spans="1:30" ht="25.5">
      <c r="A1496" s="291"/>
      <c r="B1496" s="291"/>
      <c r="C1496" s="291"/>
      <c r="D1496" s="83"/>
      <c r="E1496" s="59"/>
      <c r="F1496" s="82"/>
      <c r="G1496" s="82"/>
      <c r="H1496" s="86"/>
      <c r="I1496" s="294"/>
      <c r="J1496" s="59"/>
      <c r="K1496" s="83"/>
      <c r="L1496" s="83" t="str">
        <f t="shared" si="48"/>
        <v xml:space="preserve">
</v>
      </c>
      <c r="M1496" s="83"/>
      <c r="N1496" s="59"/>
      <c r="O1496" s="59"/>
      <c r="P1496" s="86">
        <f t="shared" si="49"/>
        <v>0</v>
      </c>
      <c r="Q1496" s="59"/>
      <c r="R1496" s="59"/>
      <c r="S1496" s="59"/>
      <c r="T1496" s="59"/>
      <c r="U1496" s="290"/>
      <c r="V1496" s="290"/>
      <c r="W1496" s="290"/>
      <c r="X1496" s="290"/>
      <c r="Y1496" s="290"/>
      <c r="Z1496" s="290"/>
      <c r="AA1496" s="290"/>
      <c r="AB1496" s="290"/>
      <c r="AC1496" s="290"/>
      <c r="AD1496" s="290"/>
    </row>
    <row r="1497" spans="1:30" ht="25.5">
      <c r="A1497" s="291"/>
      <c r="B1497" s="291"/>
      <c r="C1497" s="291"/>
      <c r="D1497" s="83"/>
      <c r="E1497" s="59"/>
      <c r="F1497" s="82"/>
      <c r="G1497" s="82"/>
      <c r="H1497" s="86"/>
      <c r="I1497" s="294"/>
      <c r="J1497" s="59"/>
      <c r="K1497" s="83"/>
      <c r="L1497" s="83" t="str">
        <f t="shared" si="48"/>
        <v xml:space="preserve">
</v>
      </c>
      <c r="M1497" s="83"/>
      <c r="N1497" s="59"/>
      <c r="O1497" s="59"/>
      <c r="P1497" s="86">
        <f t="shared" si="49"/>
        <v>0</v>
      </c>
      <c r="Q1497" s="59"/>
      <c r="R1497" s="59"/>
      <c r="S1497" s="59"/>
      <c r="T1497" s="59"/>
      <c r="U1497" s="290"/>
      <c r="V1497" s="290"/>
      <c r="W1497" s="290"/>
      <c r="X1497" s="290"/>
      <c r="Y1497" s="290"/>
      <c r="Z1497" s="290"/>
      <c r="AA1497" s="290"/>
      <c r="AB1497" s="290"/>
      <c r="AC1497" s="290"/>
      <c r="AD1497" s="290"/>
    </row>
    <row r="1498" spans="1:30" ht="25.5">
      <c r="A1498" s="291"/>
      <c r="B1498" s="291"/>
      <c r="C1498" s="291"/>
      <c r="D1498" s="83"/>
      <c r="E1498" s="59"/>
      <c r="F1498" s="82"/>
      <c r="G1498" s="82"/>
      <c r="H1498" s="86"/>
      <c r="I1498" s="294"/>
      <c r="J1498" s="59"/>
      <c r="K1498" s="83"/>
      <c r="L1498" s="83" t="str">
        <f t="shared" si="48"/>
        <v xml:space="preserve">
</v>
      </c>
      <c r="M1498" s="83"/>
      <c r="N1498" s="59"/>
      <c r="O1498" s="59"/>
      <c r="P1498" s="86">
        <f t="shared" si="49"/>
        <v>0</v>
      </c>
      <c r="Q1498" s="59"/>
      <c r="R1498" s="59"/>
      <c r="S1498" s="59"/>
      <c r="T1498" s="59"/>
      <c r="U1498" s="290"/>
      <c r="V1498" s="290"/>
      <c r="W1498" s="290"/>
      <c r="X1498" s="290"/>
      <c r="Y1498" s="290"/>
      <c r="Z1498" s="290"/>
      <c r="AA1498" s="290"/>
      <c r="AB1498" s="290"/>
      <c r="AC1498" s="290"/>
      <c r="AD1498" s="290"/>
    </row>
    <row r="1499" spans="1:30" ht="25.5">
      <c r="A1499" s="291"/>
      <c r="B1499" s="291"/>
      <c r="C1499" s="291"/>
      <c r="D1499" s="83"/>
      <c r="E1499" s="59"/>
      <c r="F1499" s="82"/>
      <c r="G1499" s="82"/>
      <c r="H1499" s="86"/>
      <c r="I1499" s="294"/>
      <c r="J1499" s="59"/>
      <c r="K1499" s="83"/>
      <c r="L1499" s="83" t="str">
        <f t="shared" si="48"/>
        <v xml:space="preserve">
</v>
      </c>
      <c r="M1499" s="83"/>
      <c r="N1499" s="59"/>
      <c r="O1499" s="59"/>
      <c r="P1499" s="86">
        <f t="shared" si="49"/>
        <v>0</v>
      </c>
      <c r="Q1499" s="59"/>
      <c r="R1499" s="59"/>
      <c r="S1499" s="59"/>
      <c r="T1499" s="59"/>
      <c r="U1499" s="290"/>
      <c r="V1499" s="290"/>
      <c r="W1499" s="290"/>
      <c r="X1499" s="290"/>
      <c r="Y1499" s="290"/>
      <c r="Z1499" s="290"/>
      <c r="AA1499" s="290"/>
      <c r="AB1499" s="290"/>
      <c r="AC1499" s="290"/>
      <c r="AD1499" s="290"/>
    </row>
    <row r="1500" spans="1:30" ht="25.5">
      <c r="A1500" s="291"/>
      <c r="B1500" s="291"/>
      <c r="C1500" s="291"/>
      <c r="D1500" s="83"/>
      <c r="E1500" s="59"/>
      <c r="F1500" s="82"/>
      <c r="G1500" s="82"/>
      <c r="H1500" s="86"/>
      <c r="I1500" s="294"/>
      <c r="J1500" s="59"/>
      <c r="K1500" s="83"/>
      <c r="L1500" s="83" t="str">
        <f t="shared" si="48"/>
        <v xml:space="preserve">
</v>
      </c>
      <c r="M1500" s="83"/>
      <c r="N1500" s="59"/>
      <c r="O1500" s="59"/>
      <c r="P1500" s="86">
        <f t="shared" si="49"/>
        <v>0</v>
      </c>
      <c r="Q1500" s="59"/>
      <c r="R1500" s="59"/>
      <c r="S1500" s="59"/>
      <c r="T1500" s="59"/>
      <c r="U1500" s="290"/>
      <c r="V1500" s="290"/>
      <c r="W1500" s="290"/>
      <c r="X1500" s="290"/>
      <c r="Y1500" s="290"/>
      <c r="Z1500" s="290"/>
      <c r="AA1500" s="290"/>
      <c r="AB1500" s="290"/>
      <c r="AC1500" s="290"/>
      <c r="AD1500" s="290"/>
    </row>
    <row r="1501" spans="1:30" ht="25.5">
      <c r="A1501" s="291"/>
      <c r="B1501" s="291"/>
      <c r="C1501" s="291"/>
      <c r="D1501" s="83"/>
      <c r="E1501" s="59"/>
      <c r="F1501" s="82"/>
      <c r="G1501" s="82"/>
      <c r="H1501" s="86"/>
      <c r="I1501" s="294"/>
      <c r="J1501" s="59"/>
      <c r="K1501" s="83"/>
      <c r="L1501" s="83" t="str">
        <f t="shared" si="48"/>
        <v xml:space="preserve">
</v>
      </c>
      <c r="M1501" s="83"/>
      <c r="N1501" s="59"/>
      <c r="O1501" s="59"/>
      <c r="P1501" s="86">
        <f t="shared" si="49"/>
        <v>0</v>
      </c>
      <c r="Q1501" s="59"/>
      <c r="R1501" s="59"/>
      <c r="S1501" s="59"/>
      <c r="T1501" s="59"/>
      <c r="U1501" s="290"/>
      <c r="V1501" s="290"/>
      <c r="W1501" s="290"/>
      <c r="X1501" s="290"/>
      <c r="Y1501" s="290"/>
      <c r="Z1501" s="290"/>
      <c r="AA1501" s="290"/>
      <c r="AB1501" s="290"/>
      <c r="AC1501" s="290"/>
      <c r="AD1501" s="290"/>
    </row>
    <row r="1502" spans="1:30" ht="25.5">
      <c r="A1502" s="291"/>
      <c r="B1502" s="291"/>
      <c r="C1502" s="291"/>
      <c r="D1502" s="83"/>
      <c r="E1502" s="59"/>
      <c r="F1502" s="82"/>
      <c r="G1502" s="82"/>
      <c r="H1502" s="86"/>
      <c r="I1502" s="294"/>
      <c r="J1502" s="59"/>
      <c r="K1502" s="83"/>
      <c r="L1502" s="83" t="str">
        <f t="shared" si="48"/>
        <v xml:space="preserve">
</v>
      </c>
      <c r="M1502" s="83"/>
      <c r="N1502" s="59"/>
      <c r="O1502" s="59"/>
      <c r="P1502" s="86">
        <f t="shared" si="49"/>
        <v>0</v>
      </c>
      <c r="Q1502" s="59"/>
      <c r="R1502" s="59"/>
      <c r="S1502" s="59"/>
      <c r="T1502" s="59"/>
      <c r="U1502" s="290"/>
      <c r="V1502" s="290"/>
      <c r="W1502" s="290"/>
      <c r="X1502" s="290"/>
      <c r="Y1502" s="290"/>
      <c r="Z1502" s="290"/>
      <c r="AA1502" s="290"/>
      <c r="AB1502" s="290"/>
      <c r="AC1502" s="290"/>
      <c r="AD1502" s="290"/>
    </row>
    <row r="1503" spans="1:30" ht="25.5">
      <c r="A1503" s="291"/>
      <c r="B1503" s="291"/>
      <c r="C1503" s="291"/>
      <c r="D1503" s="83"/>
      <c r="E1503" s="59"/>
      <c r="F1503" s="82"/>
      <c r="G1503" s="82"/>
      <c r="H1503" s="86"/>
      <c r="I1503" s="294"/>
      <c r="J1503" s="59"/>
      <c r="K1503" s="83"/>
      <c r="L1503" s="83" t="str">
        <f t="shared" si="48"/>
        <v xml:space="preserve">
</v>
      </c>
      <c r="M1503" s="83"/>
      <c r="N1503" s="59"/>
      <c r="O1503" s="59"/>
      <c r="P1503" s="86">
        <f t="shared" si="49"/>
        <v>0</v>
      </c>
      <c r="Q1503" s="59"/>
      <c r="R1503" s="59"/>
      <c r="S1503" s="59"/>
      <c r="T1503" s="59"/>
      <c r="U1503" s="290"/>
      <c r="V1503" s="290"/>
      <c r="W1503" s="290"/>
      <c r="X1503" s="290"/>
      <c r="Y1503" s="290"/>
      <c r="Z1503" s="290"/>
      <c r="AA1503" s="290"/>
      <c r="AB1503" s="290"/>
      <c r="AC1503" s="290"/>
      <c r="AD1503" s="290"/>
    </row>
    <row r="1504" spans="1:30" ht="25.5">
      <c r="A1504" s="291"/>
      <c r="B1504" s="291"/>
      <c r="C1504" s="291"/>
      <c r="D1504" s="83"/>
      <c r="E1504" s="59"/>
      <c r="F1504" s="82"/>
      <c r="G1504" s="82"/>
      <c r="H1504" s="86"/>
      <c r="I1504" s="294"/>
      <c r="J1504" s="59"/>
      <c r="K1504" s="83"/>
      <c r="L1504" s="83" t="str">
        <f t="shared" si="48"/>
        <v xml:space="preserve">
</v>
      </c>
      <c r="M1504" s="83"/>
      <c r="N1504" s="59"/>
      <c r="O1504" s="59"/>
      <c r="P1504" s="86">
        <f t="shared" si="49"/>
        <v>0</v>
      </c>
      <c r="Q1504" s="59"/>
      <c r="R1504" s="59"/>
      <c r="S1504" s="59"/>
      <c r="T1504" s="59"/>
      <c r="U1504" s="290"/>
      <c r="V1504" s="290"/>
      <c r="W1504" s="290"/>
      <c r="X1504" s="290"/>
      <c r="Y1504" s="290"/>
      <c r="Z1504" s="290"/>
      <c r="AA1504" s="290"/>
      <c r="AB1504" s="290"/>
      <c r="AC1504" s="290"/>
      <c r="AD1504" s="290"/>
    </row>
    <row r="1505" spans="1:30" ht="25.5">
      <c r="A1505" s="291"/>
      <c r="B1505" s="291"/>
      <c r="C1505" s="291"/>
      <c r="D1505" s="83"/>
      <c r="E1505" s="59"/>
      <c r="F1505" s="82"/>
      <c r="G1505" s="82"/>
      <c r="H1505" s="86"/>
      <c r="I1505" s="294"/>
      <c r="J1505" s="59"/>
      <c r="K1505" s="83"/>
      <c r="L1505" s="83" t="str">
        <f t="shared" si="48"/>
        <v xml:space="preserve">
</v>
      </c>
      <c r="M1505" s="83"/>
      <c r="N1505" s="59"/>
      <c r="O1505" s="59"/>
      <c r="P1505" s="86">
        <f t="shared" si="49"/>
        <v>0</v>
      </c>
      <c r="Q1505" s="59"/>
      <c r="R1505" s="59"/>
      <c r="S1505" s="59"/>
      <c r="T1505" s="59"/>
      <c r="U1505" s="290"/>
      <c r="V1505" s="290"/>
      <c r="W1505" s="290"/>
      <c r="X1505" s="290"/>
      <c r="Y1505" s="290"/>
      <c r="Z1505" s="290"/>
      <c r="AA1505" s="290"/>
      <c r="AB1505" s="290"/>
      <c r="AC1505" s="290"/>
      <c r="AD1505" s="290"/>
    </row>
    <row r="1506" spans="1:30" ht="25.5">
      <c r="A1506" s="291"/>
      <c r="B1506" s="291"/>
      <c r="C1506" s="291"/>
      <c r="D1506" s="83"/>
      <c r="E1506" s="59"/>
      <c r="F1506" s="82"/>
      <c r="G1506" s="82"/>
      <c r="H1506" s="86"/>
      <c r="I1506" s="294"/>
      <c r="J1506" s="59"/>
      <c r="K1506" s="83"/>
      <c r="L1506" s="83" t="str">
        <f t="shared" si="48"/>
        <v xml:space="preserve">
</v>
      </c>
      <c r="M1506" s="83"/>
      <c r="N1506" s="59"/>
      <c r="O1506" s="59"/>
      <c r="P1506" s="86">
        <f t="shared" si="49"/>
        <v>0</v>
      </c>
      <c r="Q1506" s="59"/>
      <c r="R1506" s="59"/>
      <c r="S1506" s="59"/>
      <c r="T1506" s="59"/>
      <c r="U1506" s="290"/>
      <c r="V1506" s="290"/>
      <c r="W1506" s="290"/>
      <c r="X1506" s="290"/>
      <c r="Y1506" s="290"/>
      <c r="Z1506" s="290"/>
      <c r="AA1506" s="290"/>
      <c r="AB1506" s="290"/>
      <c r="AC1506" s="290"/>
      <c r="AD1506" s="290"/>
    </row>
    <row r="1507" spans="1:30" ht="25.5">
      <c r="A1507" s="291"/>
      <c r="B1507" s="291"/>
      <c r="C1507" s="291"/>
      <c r="D1507" s="83"/>
      <c r="E1507" s="59"/>
      <c r="F1507" s="82"/>
      <c r="G1507" s="82"/>
      <c r="H1507" s="86"/>
      <c r="I1507" s="294"/>
      <c r="J1507" s="59"/>
      <c r="K1507" s="83"/>
      <c r="L1507" s="83" t="str">
        <f t="shared" si="48"/>
        <v xml:space="preserve">
</v>
      </c>
      <c r="M1507" s="83"/>
      <c r="N1507" s="59"/>
      <c r="O1507" s="59"/>
      <c r="P1507" s="86">
        <f t="shared" si="49"/>
        <v>0</v>
      </c>
      <c r="Q1507" s="59"/>
      <c r="R1507" s="59"/>
      <c r="S1507" s="59"/>
      <c r="T1507" s="59"/>
      <c r="U1507" s="290"/>
      <c r="V1507" s="290"/>
      <c r="W1507" s="290"/>
      <c r="X1507" s="290"/>
      <c r="Y1507" s="290"/>
      <c r="Z1507" s="290"/>
      <c r="AA1507" s="290"/>
      <c r="AB1507" s="290"/>
      <c r="AC1507" s="290"/>
      <c r="AD1507" s="290"/>
    </row>
    <row r="1508" spans="1:30" ht="25.5">
      <c r="A1508" s="291"/>
      <c r="B1508" s="291"/>
      <c r="C1508" s="291"/>
      <c r="D1508" s="83"/>
      <c r="E1508" s="59"/>
      <c r="F1508" s="82"/>
      <c r="G1508" s="82"/>
      <c r="H1508" s="86"/>
      <c r="I1508" s="294"/>
      <c r="J1508" s="59"/>
      <c r="K1508" s="83"/>
      <c r="L1508" s="83" t="str">
        <f t="shared" si="48"/>
        <v xml:space="preserve">
</v>
      </c>
      <c r="M1508" s="83"/>
      <c r="N1508" s="59"/>
      <c r="O1508" s="59"/>
      <c r="P1508" s="86">
        <f t="shared" si="49"/>
        <v>0</v>
      </c>
      <c r="Q1508" s="59"/>
      <c r="R1508" s="59"/>
      <c r="S1508" s="59"/>
      <c r="T1508" s="59"/>
      <c r="U1508" s="290"/>
      <c r="V1508" s="290"/>
      <c r="W1508" s="290"/>
      <c r="X1508" s="290"/>
      <c r="Y1508" s="290"/>
      <c r="Z1508" s="290"/>
      <c r="AA1508" s="290"/>
      <c r="AB1508" s="290"/>
      <c r="AC1508" s="290"/>
      <c r="AD1508" s="290"/>
    </row>
    <row r="1509" spans="1:30" ht="25.5">
      <c r="A1509" s="291"/>
      <c r="B1509" s="291"/>
      <c r="C1509" s="291"/>
      <c r="D1509" s="83"/>
      <c r="E1509" s="59"/>
      <c r="F1509" s="82"/>
      <c r="G1509" s="82"/>
      <c r="H1509" s="86"/>
      <c r="I1509" s="294"/>
      <c r="J1509" s="59"/>
      <c r="K1509" s="83"/>
      <c r="L1509" s="83" t="str">
        <f t="shared" si="48"/>
        <v xml:space="preserve">
</v>
      </c>
      <c r="M1509" s="83"/>
      <c r="N1509" s="59"/>
      <c r="O1509" s="59"/>
      <c r="P1509" s="86">
        <f t="shared" si="49"/>
        <v>0</v>
      </c>
      <c r="Q1509" s="59"/>
      <c r="R1509" s="59"/>
      <c r="S1509" s="59"/>
      <c r="T1509" s="59"/>
      <c r="U1509" s="290"/>
      <c r="V1509" s="290"/>
      <c r="W1509" s="290"/>
      <c r="X1509" s="290"/>
      <c r="Y1509" s="290"/>
      <c r="Z1509" s="290"/>
      <c r="AA1509" s="290"/>
      <c r="AB1509" s="290"/>
      <c r="AC1509" s="290"/>
      <c r="AD1509" s="290"/>
    </row>
    <row r="1510" spans="1:30" ht="25.5">
      <c r="A1510" s="291"/>
      <c r="B1510" s="291"/>
      <c r="C1510" s="291"/>
      <c r="D1510" s="83"/>
      <c r="E1510" s="59"/>
      <c r="F1510" s="82"/>
      <c r="G1510" s="82"/>
      <c r="H1510" s="86"/>
      <c r="I1510" s="294"/>
      <c r="J1510" s="59"/>
      <c r="K1510" s="83"/>
      <c r="L1510" s="83" t="str">
        <f t="shared" si="48"/>
        <v xml:space="preserve">
</v>
      </c>
      <c r="M1510" s="83"/>
      <c r="N1510" s="59"/>
      <c r="O1510" s="59"/>
      <c r="P1510" s="86">
        <f t="shared" si="49"/>
        <v>0</v>
      </c>
      <c r="Q1510" s="59"/>
      <c r="R1510" s="59"/>
      <c r="S1510" s="59"/>
      <c r="T1510" s="59"/>
      <c r="U1510" s="290"/>
      <c r="V1510" s="290"/>
      <c r="W1510" s="290"/>
      <c r="X1510" s="290"/>
      <c r="Y1510" s="290"/>
      <c r="Z1510" s="290"/>
      <c r="AA1510" s="290"/>
      <c r="AB1510" s="290"/>
      <c r="AC1510" s="290"/>
      <c r="AD1510" s="290"/>
    </row>
    <row r="1511" spans="1:30" ht="25.5">
      <c r="A1511" s="291"/>
      <c r="B1511" s="291"/>
      <c r="C1511" s="291"/>
      <c r="D1511" s="83"/>
      <c r="E1511" s="59"/>
      <c r="F1511" s="82"/>
      <c r="G1511" s="82"/>
      <c r="H1511" s="86"/>
      <c r="I1511" s="294"/>
      <c r="J1511" s="59"/>
      <c r="K1511" s="83"/>
      <c r="L1511" s="83" t="str">
        <f t="shared" si="48"/>
        <v xml:space="preserve">
</v>
      </c>
      <c r="M1511" s="83"/>
      <c r="N1511" s="59"/>
      <c r="O1511" s="59"/>
      <c r="P1511" s="86">
        <f t="shared" si="49"/>
        <v>0</v>
      </c>
      <c r="Q1511" s="59"/>
      <c r="R1511" s="59"/>
      <c r="S1511" s="59"/>
      <c r="T1511" s="59"/>
      <c r="U1511" s="290"/>
      <c r="V1511" s="290"/>
      <c r="W1511" s="290"/>
      <c r="X1511" s="290"/>
      <c r="Y1511" s="290"/>
      <c r="Z1511" s="290"/>
      <c r="AA1511" s="290"/>
      <c r="AB1511" s="290"/>
      <c r="AC1511" s="290"/>
      <c r="AD1511" s="290"/>
    </row>
    <row r="1512" spans="1:30" ht="25.5">
      <c r="A1512" s="291"/>
      <c r="B1512" s="291"/>
      <c r="C1512" s="291"/>
      <c r="D1512" s="83"/>
      <c r="E1512" s="59"/>
      <c r="F1512" s="82"/>
      <c r="G1512" s="82"/>
      <c r="H1512" s="86"/>
      <c r="I1512" s="294"/>
      <c r="J1512" s="59"/>
      <c r="K1512" s="83"/>
      <c r="L1512" s="83" t="str">
        <f t="shared" si="48"/>
        <v xml:space="preserve">
</v>
      </c>
      <c r="M1512" s="83"/>
      <c r="N1512" s="59"/>
      <c r="O1512" s="59"/>
      <c r="P1512" s="86">
        <f t="shared" si="49"/>
        <v>0</v>
      </c>
      <c r="Q1512" s="59"/>
      <c r="R1512" s="59"/>
      <c r="S1512" s="59"/>
      <c r="T1512" s="59"/>
      <c r="U1512" s="290"/>
      <c r="V1512" s="290"/>
      <c r="W1512" s="290"/>
      <c r="X1512" s="290"/>
      <c r="Y1512" s="290"/>
      <c r="Z1512" s="290"/>
      <c r="AA1512" s="290"/>
      <c r="AB1512" s="290"/>
      <c r="AC1512" s="290"/>
      <c r="AD1512" s="290"/>
    </row>
    <row r="1513" spans="1:30" ht="25.5">
      <c r="A1513" s="291"/>
      <c r="B1513" s="291"/>
      <c r="C1513" s="291"/>
      <c r="D1513" s="83"/>
      <c r="E1513" s="59"/>
      <c r="F1513" s="82"/>
      <c r="G1513" s="82"/>
      <c r="H1513" s="86"/>
      <c r="I1513" s="294"/>
      <c r="J1513" s="59"/>
      <c r="K1513" s="83"/>
      <c r="L1513" s="83" t="str">
        <f t="shared" si="48"/>
        <v xml:space="preserve">
</v>
      </c>
      <c r="M1513" s="83"/>
      <c r="N1513" s="59"/>
      <c r="O1513" s="59"/>
      <c r="P1513" s="86">
        <f t="shared" si="49"/>
        <v>0</v>
      </c>
      <c r="Q1513" s="59"/>
      <c r="R1513" s="59"/>
      <c r="S1513" s="59"/>
      <c r="T1513" s="59"/>
      <c r="U1513" s="290"/>
      <c r="V1513" s="290"/>
      <c r="W1513" s="290"/>
      <c r="X1513" s="290"/>
      <c r="Y1513" s="290"/>
      <c r="Z1513" s="290"/>
      <c r="AA1513" s="290"/>
      <c r="AB1513" s="290"/>
      <c r="AC1513" s="290"/>
      <c r="AD1513" s="290"/>
    </row>
    <row r="1514" spans="1:30" ht="25.5">
      <c r="A1514" s="291"/>
      <c r="B1514" s="291"/>
      <c r="C1514" s="291"/>
      <c r="D1514" s="83"/>
      <c r="E1514" s="59"/>
      <c r="F1514" s="82"/>
      <c r="G1514" s="82"/>
      <c r="H1514" s="86"/>
      <c r="I1514" s="294"/>
      <c r="J1514" s="59"/>
      <c r="K1514" s="83"/>
      <c r="L1514" s="83" t="str">
        <f t="shared" si="48"/>
        <v xml:space="preserve">
</v>
      </c>
      <c r="M1514" s="83"/>
      <c r="N1514" s="59"/>
      <c r="O1514" s="59"/>
      <c r="P1514" s="86">
        <f t="shared" si="49"/>
        <v>0</v>
      </c>
      <c r="Q1514" s="59"/>
      <c r="R1514" s="59"/>
      <c r="S1514" s="59"/>
      <c r="T1514" s="59"/>
      <c r="U1514" s="290"/>
      <c r="V1514" s="290"/>
      <c r="W1514" s="290"/>
      <c r="X1514" s="290"/>
      <c r="Y1514" s="290"/>
      <c r="Z1514" s="290"/>
      <c r="AA1514" s="290"/>
      <c r="AB1514" s="290"/>
      <c r="AC1514" s="290"/>
      <c r="AD1514" s="290"/>
    </row>
    <row r="1515" spans="1:30" ht="25.5">
      <c r="A1515" s="291"/>
      <c r="B1515" s="291"/>
      <c r="C1515" s="291"/>
      <c r="D1515" s="83"/>
      <c r="E1515" s="59"/>
      <c r="F1515" s="82"/>
      <c r="G1515" s="82"/>
      <c r="H1515" s="86"/>
      <c r="I1515" s="294"/>
      <c r="J1515" s="59"/>
      <c r="K1515" s="83"/>
      <c r="L1515" s="83" t="str">
        <f t="shared" si="48"/>
        <v xml:space="preserve">
</v>
      </c>
      <c r="M1515" s="83"/>
      <c r="N1515" s="59"/>
      <c r="O1515" s="59"/>
      <c r="P1515" s="86">
        <f t="shared" si="49"/>
        <v>0</v>
      </c>
      <c r="Q1515" s="59"/>
      <c r="R1515" s="59"/>
      <c r="S1515" s="59"/>
      <c r="T1515" s="59"/>
      <c r="U1515" s="290"/>
      <c r="V1515" s="290"/>
      <c r="W1515" s="290"/>
      <c r="X1515" s="290"/>
      <c r="Y1515" s="290"/>
      <c r="Z1515" s="290"/>
      <c r="AA1515" s="290"/>
      <c r="AB1515" s="290"/>
      <c r="AC1515" s="290"/>
      <c r="AD1515" s="290"/>
    </row>
    <row r="1516" spans="1:30" ht="25.5">
      <c r="A1516" s="291"/>
      <c r="B1516" s="291"/>
      <c r="C1516" s="291"/>
      <c r="D1516" s="83"/>
      <c r="E1516" s="59"/>
      <c r="F1516" s="82"/>
      <c r="G1516" s="82"/>
      <c r="H1516" s="86"/>
      <c r="I1516" s="294"/>
      <c r="J1516" s="59"/>
      <c r="K1516" s="83"/>
      <c r="L1516" s="83" t="str">
        <f t="shared" si="48"/>
        <v xml:space="preserve">
</v>
      </c>
      <c r="M1516" s="83"/>
      <c r="N1516" s="59"/>
      <c r="O1516" s="59"/>
      <c r="P1516" s="86">
        <f t="shared" si="49"/>
        <v>0</v>
      </c>
      <c r="Q1516" s="59"/>
      <c r="R1516" s="59"/>
      <c r="S1516" s="59"/>
      <c r="T1516" s="59"/>
      <c r="U1516" s="290"/>
      <c r="V1516" s="290"/>
      <c r="W1516" s="290"/>
      <c r="X1516" s="290"/>
      <c r="Y1516" s="290"/>
      <c r="Z1516" s="290"/>
      <c r="AA1516" s="290"/>
      <c r="AB1516" s="290"/>
      <c r="AC1516" s="290"/>
      <c r="AD1516" s="290"/>
    </row>
    <row r="1517" spans="1:30" ht="25.5">
      <c r="A1517" s="291"/>
      <c r="B1517" s="291"/>
      <c r="C1517" s="291"/>
      <c r="D1517" s="83"/>
      <c r="E1517" s="59"/>
      <c r="F1517" s="82"/>
      <c r="G1517" s="82"/>
      <c r="H1517" s="86"/>
      <c r="I1517" s="294"/>
      <c r="J1517" s="59"/>
      <c r="K1517" s="83"/>
      <c r="L1517" s="83" t="str">
        <f t="shared" si="48"/>
        <v xml:space="preserve">
</v>
      </c>
      <c r="M1517" s="83"/>
      <c r="N1517" s="59"/>
      <c r="O1517" s="59"/>
      <c r="P1517" s="86">
        <f t="shared" si="49"/>
        <v>0</v>
      </c>
      <c r="Q1517" s="59"/>
      <c r="R1517" s="59"/>
      <c r="S1517" s="59"/>
      <c r="T1517" s="59"/>
      <c r="U1517" s="290"/>
      <c r="V1517" s="290"/>
      <c r="W1517" s="290"/>
      <c r="X1517" s="290"/>
      <c r="Y1517" s="290"/>
      <c r="Z1517" s="290"/>
      <c r="AA1517" s="290"/>
      <c r="AB1517" s="290"/>
      <c r="AC1517" s="290"/>
      <c r="AD1517" s="290"/>
    </row>
    <row r="1518" spans="1:30" ht="25.5">
      <c r="A1518" s="291"/>
      <c r="B1518" s="291"/>
      <c r="C1518" s="291"/>
      <c r="D1518" s="83"/>
      <c r="E1518" s="59"/>
      <c r="F1518" s="82"/>
      <c r="G1518" s="82"/>
      <c r="H1518" s="86"/>
      <c r="I1518" s="294"/>
      <c r="J1518" s="59"/>
      <c r="K1518" s="83"/>
      <c r="L1518" s="83" t="str">
        <f t="shared" si="48"/>
        <v xml:space="preserve">
</v>
      </c>
      <c r="M1518" s="83"/>
      <c r="N1518" s="59"/>
      <c r="O1518" s="59"/>
      <c r="P1518" s="86">
        <f t="shared" si="49"/>
        <v>0</v>
      </c>
      <c r="Q1518" s="59"/>
      <c r="R1518" s="59"/>
      <c r="S1518" s="59"/>
      <c r="T1518" s="59"/>
      <c r="U1518" s="290"/>
      <c r="V1518" s="290"/>
      <c r="W1518" s="290"/>
      <c r="X1518" s="290"/>
      <c r="Y1518" s="290"/>
      <c r="Z1518" s="290"/>
      <c r="AA1518" s="290"/>
      <c r="AB1518" s="290"/>
      <c r="AC1518" s="290"/>
      <c r="AD1518" s="290"/>
    </row>
    <row r="1519" spans="1:30" ht="25.5">
      <c r="A1519" s="291"/>
      <c r="B1519" s="291"/>
      <c r="C1519" s="291"/>
      <c r="D1519" s="83"/>
      <c r="E1519" s="59"/>
      <c r="F1519" s="82"/>
      <c r="G1519" s="82"/>
      <c r="H1519" s="86"/>
      <c r="I1519" s="294"/>
      <c r="J1519" s="59"/>
      <c r="K1519" s="83"/>
      <c r="L1519" s="83" t="str">
        <f t="shared" si="48"/>
        <v xml:space="preserve">
</v>
      </c>
      <c r="M1519" s="83"/>
      <c r="N1519" s="59"/>
      <c r="O1519" s="59"/>
      <c r="P1519" s="86">
        <f t="shared" si="49"/>
        <v>0</v>
      </c>
      <c r="Q1519" s="59"/>
      <c r="R1519" s="59"/>
      <c r="S1519" s="59"/>
      <c r="T1519" s="59"/>
      <c r="U1519" s="290"/>
      <c r="V1519" s="290"/>
      <c r="W1519" s="290"/>
      <c r="X1519" s="290"/>
      <c r="Y1519" s="290"/>
      <c r="Z1519" s="290"/>
      <c r="AA1519" s="290"/>
      <c r="AB1519" s="290"/>
      <c r="AC1519" s="290"/>
      <c r="AD1519" s="290"/>
    </row>
    <row r="1520" spans="1:30" ht="25.5">
      <c r="A1520" s="291"/>
      <c r="B1520" s="291"/>
      <c r="C1520" s="291"/>
      <c r="D1520" s="83"/>
      <c r="E1520" s="59"/>
      <c r="F1520" s="82"/>
      <c r="G1520" s="82"/>
      <c r="H1520" s="86"/>
      <c r="I1520" s="294"/>
      <c r="J1520" s="59"/>
      <c r="K1520" s="83"/>
      <c r="L1520" s="83" t="str">
        <f t="shared" si="48"/>
        <v xml:space="preserve">
</v>
      </c>
      <c r="M1520" s="83"/>
      <c r="N1520" s="59"/>
      <c r="O1520" s="59"/>
      <c r="P1520" s="86">
        <f t="shared" si="49"/>
        <v>0</v>
      </c>
      <c r="Q1520" s="59"/>
      <c r="R1520" s="59"/>
      <c r="S1520" s="59"/>
      <c r="T1520" s="59"/>
      <c r="U1520" s="290"/>
      <c r="V1520" s="290"/>
      <c r="W1520" s="290"/>
      <c r="X1520" s="290"/>
      <c r="Y1520" s="290"/>
      <c r="Z1520" s="290"/>
      <c r="AA1520" s="290"/>
      <c r="AB1520" s="290"/>
      <c r="AC1520" s="290"/>
      <c r="AD1520" s="290"/>
    </row>
    <row r="1521" spans="1:30" ht="25.5">
      <c r="A1521" s="291"/>
      <c r="B1521" s="291"/>
      <c r="C1521" s="291"/>
      <c r="D1521" s="83"/>
      <c r="E1521" s="59"/>
      <c r="F1521" s="82"/>
      <c r="G1521" s="82"/>
      <c r="H1521" s="86"/>
      <c r="I1521" s="294"/>
      <c r="J1521" s="59"/>
      <c r="K1521" s="83"/>
      <c r="L1521" s="83" t="str">
        <f t="shared" si="48"/>
        <v xml:space="preserve">
</v>
      </c>
      <c r="M1521" s="83"/>
      <c r="N1521" s="59"/>
      <c r="O1521" s="59"/>
      <c r="P1521" s="86">
        <f t="shared" si="49"/>
        <v>0</v>
      </c>
      <c r="Q1521" s="59"/>
      <c r="R1521" s="59"/>
      <c r="S1521" s="59"/>
      <c r="T1521" s="59"/>
      <c r="U1521" s="290"/>
      <c r="V1521" s="290"/>
      <c r="W1521" s="290"/>
      <c r="X1521" s="290"/>
      <c r="Y1521" s="290"/>
      <c r="Z1521" s="290"/>
      <c r="AA1521" s="290"/>
      <c r="AB1521" s="290"/>
      <c r="AC1521" s="290"/>
      <c r="AD1521" s="290"/>
    </row>
    <row r="1522" spans="1:30" ht="25.5">
      <c r="A1522" s="291"/>
      <c r="B1522" s="291"/>
      <c r="C1522" s="291"/>
      <c r="D1522" s="83"/>
      <c r="E1522" s="59"/>
      <c r="F1522" s="82"/>
      <c r="G1522" s="82"/>
      <c r="H1522" s="86"/>
      <c r="I1522" s="294"/>
      <c r="J1522" s="59"/>
      <c r="K1522" s="83"/>
      <c r="L1522" s="83" t="str">
        <f t="shared" si="48"/>
        <v xml:space="preserve">
</v>
      </c>
      <c r="M1522" s="83"/>
      <c r="N1522" s="59"/>
      <c r="O1522" s="59"/>
      <c r="P1522" s="86">
        <f t="shared" si="49"/>
        <v>0</v>
      </c>
      <c r="Q1522" s="59"/>
      <c r="R1522" s="59"/>
      <c r="S1522" s="59"/>
      <c r="T1522" s="59"/>
      <c r="U1522" s="290"/>
      <c r="V1522" s="290"/>
      <c r="W1522" s="290"/>
      <c r="X1522" s="290"/>
      <c r="Y1522" s="290"/>
      <c r="Z1522" s="290"/>
      <c r="AA1522" s="290"/>
      <c r="AB1522" s="290"/>
      <c r="AC1522" s="290"/>
      <c r="AD1522" s="290"/>
    </row>
    <row r="1523" spans="1:30" ht="25.5">
      <c r="A1523" s="291"/>
      <c r="B1523" s="291"/>
      <c r="C1523" s="291"/>
      <c r="D1523" s="83"/>
      <c r="E1523" s="59"/>
      <c r="F1523" s="82"/>
      <c r="G1523" s="82"/>
      <c r="H1523" s="86"/>
      <c r="I1523" s="294"/>
      <c r="J1523" s="59"/>
      <c r="K1523" s="83"/>
      <c r="L1523" s="83" t="str">
        <f t="shared" si="48"/>
        <v xml:space="preserve">
</v>
      </c>
      <c r="M1523" s="83"/>
      <c r="N1523" s="59"/>
      <c r="O1523" s="59"/>
      <c r="P1523" s="86">
        <f t="shared" si="49"/>
        <v>0</v>
      </c>
      <c r="Q1523" s="59"/>
      <c r="R1523" s="59"/>
      <c r="S1523" s="59"/>
      <c r="T1523" s="59"/>
      <c r="U1523" s="290"/>
      <c r="V1523" s="290"/>
      <c r="W1523" s="290"/>
      <c r="X1523" s="290"/>
      <c r="Y1523" s="290"/>
      <c r="Z1523" s="290"/>
      <c r="AA1523" s="290"/>
      <c r="AB1523" s="290"/>
      <c r="AC1523" s="290"/>
      <c r="AD1523" s="290"/>
    </row>
    <row r="1524" spans="1:30" ht="25.5">
      <c r="A1524" s="291"/>
      <c r="B1524" s="291"/>
      <c r="C1524" s="291"/>
      <c r="D1524" s="83"/>
      <c r="E1524" s="59"/>
      <c r="F1524" s="82"/>
      <c r="G1524" s="82"/>
      <c r="H1524" s="86"/>
      <c r="I1524" s="294"/>
      <c r="J1524" s="59"/>
      <c r="K1524" s="83"/>
      <c r="L1524" s="83" t="str">
        <f t="shared" si="48"/>
        <v xml:space="preserve">
</v>
      </c>
      <c r="M1524" s="83"/>
      <c r="N1524" s="59"/>
      <c r="O1524" s="59"/>
      <c r="P1524" s="86">
        <f t="shared" si="49"/>
        <v>0</v>
      </c>
      <c r="Q1524" s="59"/>
      <c r="R1524" s="59"/>
      <c r="S1524" s="59"/>
      <c r="T1524" s="59"/>
      <c r="U1524" s="290"/>
      <c r="V1524" s="290"/>
      <c r="W1524" s="290"/>
      <c r="X1524" s="290"/>
      <c r="Y1524" s="290"/>
      <c r="Z1524" s="290"/>
      <c r="AA1524" s="290"/>
      <c r="AB1524" s="290"/>
      <c r="AC1524" s="290"/>
      <c r="AD1524" s="290"/>
    </row>
    <row r="1525" spans="1:30" ht="25.5">
      <c r="A1525" s="291"/>
      <c r="B1525" s="291"/>
      <c r="C1525" s="291"/>
      <c r="D1525" s="83"/>
      <c r="E1525" s="59"/>
      <c r="F1525" s="82"/>
      <c r="G1525" s="82"/>
      <c r="H1525" s="86"/>
      <c r="I1525" s="294"/>
      <c r="J1525" s="59"/>
      <c r="K1525" s="83"/>
      <c r="L1525" s="83" t="str">
        <f t="shared" si="48"/>
        <v xml:space="preserve">
</v>
      </c>
      <c r="M1525" s="83"/>
      <c r="N1525" s="59"/>
      <c r="O1525" s="59"/>
      <c r="P1525" s="86">
        <f t="shared" si="49"/>
        <v>0</v>
      </c>
      <c r="Q1525" s="59"/>
      <c r="R1525" s="59"/>
      <c r="S1525" s="59"/>
      <c r="T1525" s="59"/>
      <c r="U1525" s="290"/>
      <c r="V1525" s="290"/>
      <c r="W1525" s="290"/>
      <c r="X1525" s="290"/>
      <c r="Y1525" s="290"/>
      <c r="Z1525" s="290"/>
      <c r="AA1525" s="290"/>
      <c r="AB1525" s="290"/>
      <c r="AC1525" s="290"/>
      <c r="AD1525" s="290"/>
    </row>
    <row r="1526" spans="1:30" ht="25.5">
      <c r="A1526" s="291"/>
      <c r="B1526" s="291"/>
      <c r="C1526" s="291"/>
      <c r="D1526" s="83"/>
      <c r="E1526" s="59"/>
      <c r="F1526" s="82"/>
      <c r="G1526" s="82"/>
      <c r="H1526" s="86"/>
      <c r="I1526" s="294"/>
      <c r="J1526" s="59"/>
      <c r="K1526" s="83"/>
      <c r="L1526" s="83" t="str">
        <f t="shared" si="48"/>
        <v xml:space="preserve">
</v>
      </c>
      <c r="M1526" s="83"/>
      <c r="N1526" s="59"/>
      <c r="O1526" s="59"/>
      <c r="P1526" s="86">
        <f t="shared" si="49"/>
        <v>0</v>
      </c>
      <c r="Q1526" s="59"/>
      <c r="R1526" s="59"/>
      <c r="S1526" s="59"/>
      <c r="T1526" s="59"/>
      <c r="U1526" s="290"/>
      <c r="V1526" s="290"/>
      <c r="W1526" s="290"/>
      <c r="X1526" s="290"/>
      <c r="Y1526" s="290"/>
      <c r="Z1526" s="290"/>
      <c r="AA1526" s="290"/>
      <c r="AB1526" s="290"/>
      <c r="AC1526" s="290"/>
      <c r="AD1526" s="290"/>
    </row>
    <row r="1527" spans="1:30" ht="25.5">
      <c r="A1527" s="291"/>
      <c r="B1527" s="291"/>
      <c r="C1527" s="291"/>
      <c r="D1527" s="83"/>
      <c r="E1527" s="59"/>
      <c r="F1527" s="82"/>
      <c r="G1527" s="82"/>
      <c r="H1527" s="86"/>
      <c r="I1527" s="294"/>
      <c r="J1527" s="59"/>
      <c r="K1527" s="83"/>
      <c r="L1527" s="83" t="str">
        <f t="shared" si="48"/>
        <v xml:space="preserve">
</v>
      </c>
      <c r="M1527" s="83"/>
      <c r="N1527" s="59"/>
      <c r="O1527" s="59"/>
      <c r="P1527" s="86">
        <f t="shared" si="49"/>
        <v>0</v>
      </c>
      <c r="Q1527" s="59"/>
      <c r="R1527" s="59"/>
      <c r="S1527" s="59"/>
      <c r="T1527" s="59"/>
      <c r="U1527" s="290"/>
      <c r="V1527" s="290"/>
      <c r="W1527" s="290"/>
      <c r="X1527" s="290"/>
      <c r="Y1527" s="290"/>
      <c r="Z1527" s="290"/>
      <c r="AA1527" s="290"/>
      <c r="AB1527" s="290"/>
      <c r="AC1527" s="290"/>
      <c r="AD1527" s="290"/>
    </row>
    <row r="1528" spans="1:30" ht="25.5">
      <c r="A1528" s="291"/>
      <c r="B1528" s="291"/>
      <c r="C1528" s="291"/>
      <c r="D1528" s="83"/>
      <c r="E1528" s="59"/>
      <c r="F1528" s="82"/>
      <c r="G1528" s="82"/>
      <c r="H1528" s="86"/>
      <c r="I1528" s="294"/>
      <c r="J1528" s="59"/>
      <c r="K1528" s="83"/>
      <c r="L1528" s="83" t="str">
        <f t="shared" si="48"/>
        <v xml:space="preserve">
</v>
      </c>
      <c r="M1528" s="83"/>
      <c r="N1528" s="59"/>
      <c r="O1528" s="59"/>
      <c r="P1528" s="86">
        <f t="shared" si="49"/>
        <v>0</v>
      </c>
      <c r="Q1528" s="59"/>
      <c r="R1528" s="59"/>
      <c r="S1528" s="59"/>
      <c r="T1528" s="59"/>
      <c r="U1528" s="290"/>
      <c r="V1528" s="290"/>
      <c r="W1528" s="290"/>
      <c r="X1528" s="290"/>
      <c r="Y1528" s="290"/>
      <c r="Z1528" s="290"/>
      <c r="AA1528" s="290"/>
      <c r="AB1528" s="290"/>
      <c r="AC1528" s="290"/>
      <c r="AD1528" s="290"/>
    </row>
    <row r="1529" spans="1:30" ht="25.5">
      <c r="A1529" s="291"/>
      <c r="B1529" s="291"/>
      <c r="C1529" s="291"/>
      <c r="D1529" s="83"/>
      <c r="E1529" s="59"/>
      <c r="F1529" s="82"/>
      <c r="G1529" s="82"/>
      <c r="H1529" s="86"/>
      <c r="I1529" s="294"/>
      <c r="J1529" s="59"/>
      <c r="K1529" s="83"/>
      <c r="L1529" s="83" t="str">
        <f t="shared" si="48"/>
        <v xml:space="preserve">
</v>
      </c>
      <c r="M1529" s="83"/>
      <c r="N1529" s="59"/>
      <c r="O1529" s="59"/>
      <c r="P1529" s="86">
        <f t="shared" si="49"/>
        <v>0</v>
      </c>
      <c r="Q1529" s="59"/>
      <c r="R1529" s="59"/>
      <c r="S1529" s="59"/>
      <c r="T1529" s="59"/>
      <c r="U1529" s="290"/>
      <c r="V1529" s="290"/>
      <c r="W1529" s="290"/>
      <c r="X1529" s="290"/>
      <c r="Y1529" s="290"/>
      <c r="Z1529" s="290"/>
      <c r="AA1529" s="290"/>
      <c r="AB1529" s="290"/>
      <c r="AC1529" s="290"/>
      <c r="AD1529" s="290"/>
    </row>
    <row r="1530" spans="1:30" ht="25.5">
      <c r="A1530" s="291"/>
      <c r="B1530" s="291"/>
      <c r="C1530" s="291"/>
      <c r="D1530" s="83"/>
      <c r="E1530" s="59"/>
      <c r="F1530" s="82"/>
      <c r="G1530" s="82"/>
      <c r="H1530" s="86"/>
      <c r="I1530" s="294"/>
      <c r="J1530" s="59"/>
      <c r="K1530" s="83"/>
      <c r="L1530" s="83" t="str">
        <f t="shared" si="48"/>
        <v xml:space="preserve">
</v>
      </c>
      <c r="M1530" s="83"/>
      <c r="N1530" s="59"/>
      <c r="O1530" s="59"/>
      <c r="P1530" s="86">
        <f t="shared" si="49"/>
        <v>0</v>
      </c>
      <c r="Q1530" s="59"/>
      <c r="R1530" s="59"/>
      <c r="S1530" s="59"/>
      <c r="T1530" s="59"/>
      <c r="U1530" s="290"/>
      <c r="V1530" s="290"/>
      <c r="W1530" s="290"/>
      <c r="X1530" s="290"/>
      <c r="Y1530" s="290"/>
      <c r="Z1530" s="290"/>
      <c r="AA1530" s="290"/>
      <c r="AB1530" s="290"/>
      <c r="AC1530" s="290"/>
      <c r="AD1530" s="290"/>
    </row>
    <row r="1531" spans="1:30" ht="25.5">
      <c r="A1531" s="291"/>
      <c r="B1531" s="291"/>
      <c r="C1531" s="291"/>
      <c r="D1531" s="83"/>
      <c r="E1531" s="59"/>
      <c r="F1531" s="82"/>
      <c r="G1531" s="82"/>
      <c r="H1531" s="86"/>
      <c r="I1531" s="294"/>
      <c r="J1531" s="59"/>
      <c r="K1531" s="83"/>
      <c r="L1531" s="83" t="str">
        <f t="shared" si="48"/>
        <v xml:space="preserve">
</v>
      </c>
      <c r="M1531" s="83"/>
      <c r="N1531" s="59"/>
      <c r="O1531" s="59"/>
      <c r="P1531" s="86">
        <f t="shared" si="49"/>
        <v>0</v>
      </c>
      <c r="Q1531" s="59"/>
      <c r="R1531" s="59"/>
      <c r="S1531" s="59"/>
      <c r="T1531" s="59"/>
      <c r="U1531" s="290"/>
      <c r="V1531" s="290"/>
      <c r="W1531" s="290"/>
      <c r="X1531" s="290"/>
      <c r="Y1531" s="290"/>
      <c r="Z1531" s="290"/>
      <c r="AA1531" s="290"/>
      <c r="AB1531" s="290"/>
      <c r="AC1531" s="290"/>
      <c r="AD1531" s="290"/>
    </row>
    <row r="1532" spans="1:30" ht="25.5">
      <c r="A1532" s="291"/>
      <c r="B1532" s="291"/>
      <c r="C1532" s="291"/>
      <c r="D1532" s="83"/>
      <c r="E1532" s="59"/>
      <c r="F1532" s="82"/>
      <c r="G1532" s="82"/>
      <c r="H1532" s="86"/>
      <c r="I1532" s="294"/>
      <c r="J1532" s="59"/>
      <c r="K1532" s="83"/>
      <c r="L1532" s="83" t="str">
        <f t="shared" ref="L1532:L1786" si="50">D1532&amp;"
"&amp;K1532</f>
        <v xml:space="preserve">
</v>
      </c>
      <c r="M1532" s="83"/>
      <c r="N1532" s="59"/>
      <c r="O1532" s="59"/>
      <c r="P1532" s="86">
        <f t="shared" ref="P1532:P1786" si="51">I1532*O1532</f>
        <v>0</v>
      </c>
      <c r="Q1532" s="59"/>
      <c r="R1532" s="59"/>
      <c r="S1532" s="59"/>
      <c r="T1532" s="59"/>
      <c r="U1532" s="290"/>
      <c r="V1532" s="290"/>
      <c r="W1532" s="290"/>
      <c r="X1532" s="290"/>
      <c r="Y1532" s="290"/>
      <c r="Z1532" s="290"/>
      <c r="AA1532" s="290"/>
      <c r="AB1532" s="290"/>
      <c r="AC1532" s="290"/>
      <c r="AD1532" s="290"/>
    </row>
    <row r="1533" spans="1:30" ht="25.5">
      <c r="A1533" s="291"/>
      <c r="B1533" s="291"/>
      <c r="C1533" s="291"/>
      <c r="D1533" s="83"/>
      <c r="E1533" s="59"/>
      <c r="F1533" s="82"/>
      <c r="G1533" s="82"/>
      <c r="H1533" s="86"/>
      <c r="I1533" s="294"/>
      <c r="J1533" s="59"/>
      <c r="K1533" s="83"/>
      <c r="L1533" s="83" t="str">
        <f t="shared" si="50"/>
        <v xml:space="preserve">
</v>
      </c>
      <c r="M1533" s="83"/>
      <c r="N1533" s="59"/>
      <c r="O1533" s="59"/>
      <c r="P1533" s="86">
        <f t="shared" si="51"/>
        <v>0</v>
      </c>
      <c r="Q1533" s="59"/>
      <c r="R1533" s="59"/>
      <c r="S1533" s="59"/>
      <c r="T1533" s="59"/>
      <c r="U1533" s="290"/>
      <c r="V1533" s="290"/>
      <c r="W1533" s="290"/>
      <c r="X1533" s="290"/>
      <c r="Y1533" s="290"/>
      <c r="Z1533" s="290"/>
      <c r="AA1533" s="290"/>
      <c r="AB1533" s="290"/>
      <c r="AC1533" s="290"/>
      <c r="AD1533" s="290"/>
    </row>
    <row r="1534" spans="1:30" ht="25.5">
      <c r="A1534" s="291"/>
      <c r="B1534" s="291"/>
      <c r="C1534" s="291"/>
      <c r="D1534" s="83"/>
      <c r="E1534" s="59"/>
      <c r="F1534" s="82"/>
      <c r="G1534" s="82"/>
      <c r="H1534" s="86"/>
      <c r="I1534" s="294"/>
      <c r="J1534" s="59"/>
      <c r="K1534" s="83"/>
      <c r="L1534" s="83" t="str">
        <f t="shared" si="50"/>
        <v xml:space="preserve">
</v>
      </c>
      <c r="M1534" s="83"/>
      <c r="N1534" s="59"/>
      <c r="O1534" s="59"/>
      <c r="P1534" s="86">
        <f t="shared" si="51"/>
        <v>0</v>
      </c>
      <c r="Q1534" s="59"/>
      <c r="R1534" s="59"/>
      <c r="S1534" s="59"/>
      <c r="T1534" s="59"/>
      <c r="U1534" s="290"/>
      <c r="V1534" s="290"/>
      <c r="W1534" s="290"/>
      <c r="X1534" s="290"/>
      <c r="Y1534" s="290"/>
      <c r="Z1534" s="290"/>
      <c r="AA1534" s="290"/>
      <c r="AB1534" s="290"/>
      <c r="AC1534" s="290"/>
      <c r="AD1534" s="290"/>
    </row>
    <row r="1535" spans="1:30" ht="25.5">
      <c r="A1535" s="291"/>
      <c r="B1535" s="291"/>
      <c r="C1535" s="291"/>
      <c r="D1535" s="83"/>
      <c r="E1535" s="59"/>
      <c r="F1535" s="82"/>
      <c r="G1535" s="82"/>
      <c r="H1535" s="86"/>
      <c r="I1535" s="294"/>
      <c r="J1535" s="59"/>
      <c r="K1535" s="83"/>
      <c r="L1535" s="83" t="str">
        <f t="shared" si="50"/>
        <v xml:space="preserve">
</v>
      </c>
      <c r="M1535" s="83"/>
      <c r="N1535" s="59"/>
      <c r="O1535" s="59"/>
      <c r="P1535" s="86">
        <f t="shared" si="51"/>
        <v>0</v>
      </c>
      <c r="Q1535" s="59"/>
      <c r="R1535" s="59"/>
      <c r="S1535" s="59"/>
      <c r="T1535" s="59"/>
      <c r="U1535" s="290"/>
      <c r="V1535" s="290"/>
      <c r="W1535" s="290"/>
      <c r="X1535" s="290"/>
      <c r="Y1535" s="290"/>
      <c r="Z1535" s="290"/>
      <c r="AA1535" s="290"/>
      <c r="AB1535" s="290"/>
      <c r="AC1535" s="290"/>
      <c r="AD1535" s="290"/>
    </row>
    <row r="1536" spans="1:30" ht="25.5">
      <c r="A1536" s="291"/>
      <c r="B1536" s="291"/>
      <c r="C1536" s="291"/>
      <c r="D1536" s="83"/>
      <c r="E1536" s="59"/>
      <c r="F1536" s="82"/>
      <c r="G1536" s="82"/>
      <c r="H1536" s="86"/>
      <c r="I1536" s="294"/>
      <c r="J1536" s="59"/>
      <c r="K1536" s="83"/>
      <c r="L1536" s="83" t="str">
        <f t="shared" si="50"/>
        <v xml:space="preserve">
</v>
      </c>
      <c r="M1536" s="83"/>
      <c r="N1536" s="59"/>
      <c r="O1536" s="59"/>
      <c r="P1536" s="86">
        <f t="shared" si="51"/>
        <v>0</v>
      </c>
      <c r="Q1536" s="59"/>
      <c r="R1536" s="59"/>
      <c r="S1536" s="59"/>
      <c r="T1536" s="59"/>
      <c r="U1536" s="290"/>
      <c r="V1536" s="290"/>
      <c r="W1536" s="290"/>
      <c r="X1536" s="290"/>
      <c r="Y1536" s="290"/>
      <c r="Z1536" s="290"/>
      <c r="AA1536" s="290"/>
      <c r="AB1536" s="290"/>
      <c r="AC1536" s="290"/>
      <c r="AD1536" s="290"/>
    </row>
    <row r="1537" spans="1:30" ht="25.5">
      <c r="A1537" s="291"/>
      <c r="B1537" s="291"/>
      <c r="C1537" s="291"/>
      <c r="D1537" s="83"/>
      <c r="E1537" s="59"/>
      <c r="F1537" s="82"/>
      <c r="G1537" s="82"/>
      <c r="H1537" s="86"/>
      <c r="I1537" s="294"/>
      <c r="J1537" s="59"/>
      <c r="K1537" s="83"/>
      <c r="L1537" s="83" t="str">
        <f t="shared" si="50"/>
        <v xml:space="preserve">
</v>
      </c>
      <c r="M1537" s="83"/>
      <c r="N1537" s="59"/>
      <c r="O1537" s="59"/>
      <c r="P1537" s="86">
        <f t="shared" si="51"/>
        <v>0</v>
      </c>
      <c r="Q1537" s="59"/>
      <c r="R1537" s="59"/>
      <c r="S1537" s="59"/>
      <c r="T1537" s="59"/>
      <c r="U1537" s="290"/>
      <c r="V1537" s="290"/>
      <c r="W1537" s="290"/>
      <c r="X1537" s="290"/>
      <c r="Y1537" s="290"/>
      <c r="Z1537" s="290"/>
      <c r="AA1537" s="290"/>
      <c r="AB1537" s="290"/>
      <c r="AC1537" s="290"/>
      <c r="AD1537" s="290"/>
    </row>
    <row r="1538" spans="1:30" ht="25.5">
      <c r="A1538" s="291"/>
      <c r="B1538" s="291"/>
      <c r="C1538" s="291"/>
      <c r="D1538" s="83"/>
      <c r="E1538" s="59"/>
      <c r="F1538" s="82"/>
      <c r="G1538" s="82"/>
      <c r="H1538" s="86"/>
      <c r="I1538" s="294"/>
      <c r="J1538" s="59"/>
      <c r="K1538" s="83"/>
      <c r="L1538" s="83" t="str">
        <f t="shared" si="50"/>
        <v xml:space="preserve">
</v>
      </c>
      <c r="M1538" s="83"/>
      <c r="N1538" s="59"/>
      <c r="O1538" s="59"/>
      <c r="P1538" s="86">
        <f t="shared" si="51"/>
        <v>0</v>
      </c>
      <c r="Q1538" s="59"/>
      <c r="R1538" s="59"/>
      <c r="S1538" s="59"/>
      <c r="T1538" s="59"/>
      <c r="U1538" s="290"/>
      <c r="V1538" s="290"/>
      <c r="W1538" s="290"/>
      <c r="X1538" s="290"/>
      <c r="Y1538" s="290"/>
      <c r="Z1538" s="290"/>
      <c r="AA1538" s="290"/>
      <c r="AB1538" s="290"/>
      <c r="AC1538" s="290"/>
      <c r="AD1538" s="290"/>
    </row>
    <row r="1539" spans="1:30" ht="25.5">
      <c r="A1539" s="291"/>
      <c r="B1539" s="291"/>
      <c r="C1539" s="291"/>
      <c r="D1539" s="83"/>
      <c r="E1539" s="59"/>
      <c r="F1539" s="82"/>
      <c r="G1539" s="82"/>
      <c r="H1539" s="86"/>
      <c r="I1539" s="294"/>
      <c r="J1539" s="59"/>
      <c r="K1539" s="83"/>
      <c r="L1539" s="83" t="str">
        <f t="shared" si="50"/>
        <v xml:space="preserve">
</v>
      </c>
      <c r="M1539" s="83"/>
      <c r="N1539" s="59"/>
      <c r="O1539" s="59"/>
      <c r="P1539" s="86">
        <f t="shared" si="51"/>
        <v>0</v>
      </c>
      <c r="Q1539" s="59"/>
      <c r="R1539" s="59"/>
      <c r="S1539" s="59"/>
      <c r="T1539" s="59"/>
      <c r="U1539" s="290"/>
      <c r="V1539" s="290"/>
      <c r="W1539" s="290"/>
      <c r="X1539" s="290"/>
      <c r="Y1539" s="290"/>
      <c r="Z1539" s="290"/>
      <c r="AA1539" s="290"/>
      <c r="AB1539" s="290"/>
      <c r="AC1539" s="290"/>
      <c r="AD1539" s="290"/>
    </row>
    <row r="1540" spans="1:30" ht="25.5">
      <c r="A1540" s="291"/>
      <c r="B1540" s="291"/>
      <c r="C1540" s="291"/>
      <c r="D1540" s="83"/>
      <c r="E1540" s="59"/>
      <c r="F1540" s="82"/>
      <c r="G1540" s="82"/>
      <c r="H1540" s="86"/>
      <c r="I1540" s="294"/>
      <c r="J1540" s="59"/>
      <c r="K1540" s="83"/>
      <c r="L1540" s="83" t="str">
        <f t="shared" si="50"/>
        <v xml:space="preserve">
</v>
      </c>
      <c r="M1540" s="83"/>
      <c r="N1540" s="59"/>
      <c r="O1540" s="59"/>
      <c r="P1540" s="86">
        <f t="shared" si="51"/>
        <v>0</v>
      </c>
      <c r="Q1540" s="59"/>
      <c r="R1540" s="59"/>
      <c r="S1540" s="59"/>
      <c r="T1540" s="59"/>
      <c r="U1540" s="290"/>
      <c r="V1540" s="290"/>
      <c r="W1540" s="290"/>
      <c r="X1540" s="290"/>
      <c r="Y1540" s="290"/>
      <c r="Z1540" s="290"/>
      <c r="AA1540" s="290"/>
      <c r="AB1540" s="290"/>
      <c r="AC1540" s="290"/>
      <c r="AD1540" s="290"/>
    </row>
    <row r="1541" spans="1:30" ht="25.5">
      <c r="A1541" s="291"/>
      <c r="B1541" s="291"/>
      <c r="C1541" s="291"/>
      <c r="D1541" s="83"/>
      <c r="E1541" s="59"/>
      <c r="F1541" s="82"/>
      <c r="G1541" s="82"/>
      <c r="H1541" s="86"/>
      <c r="I1541" s="294"/>
      <c r="J1541" s="59"/>
      <c r="K1541" s="83"/>
      <c r="L1541" s="83" t="str">
        <f t="shared" si="50"/>
        <v xml:space="preserve">
</v>
      </c>
      <c r="M1541" s="83"/>
      <c r="N1541" s="59"/>
      <c r="O1541" s="59"/>
      <c r="P1541" s="86">
        <f t="shared" si="51"/>
        <v>0</v>
      </c>
      <c r="Q1541" s="59"/>
      <c r="R1541" s="59"/>
      <c r="S1541" s="59"/>
      <c r="T1541" s="59"/>
      <c r="U1541" s="290"/>
      <c r="V1541" s="290"/>
      <c r="W1541" s="290"/>
      <c r="X1541" s="290"/>
      <c r="Y1541" s="290"/>
      <c r="Z1541" s="290"/>
      <c r="AA1541" s="290"/>
      <c r="AB1541" s="290"/>
      <c r="AC1541" s="290"/>
      <c r="AD1541" s="290"/>
    </row>
    <row r="1542" spans="1:30" ht="25.5">
      <c r="A1542" s="291"/>
      <c r="B1542" s="291"/>
      <c r="C1542" s="291"/>
      <c r="D1542" s="83"/>
      <c r="E1542" s="59"/>
      <c r="F1542" s="82"/>
      <c r="G1542" s="82"/>
      <c r="H1542" s="86"/>
      <c r="I1542" s="294"/>
      <c r="J1542" s="59"/>
      <c r="K1542" s="83"/>
      <c r="L1542" s="83" t="str">
        <f t="shared" si="50"/>
        <v xml:space="preserve">
</v>
      </c>
      <c r="M1542" s="83"/>
      <c r="N1542" s="59"/>
      <c r="O1542" s="59"/>
      <c r="P1542" s="86">
        <f t="shared" si="51"/>
        <v>0</v>
      </c>
      <c r="Q1542" s="59"/>
      <c r="R1542" s="59"/>
      <c r="S1542" s="59"/>
      <c r="T1542" s="59"/>
      <c r="U1542" s="290"/>
      <c r="V1542" s="290"/>
      <c r="W1542" s="290"/>
      <c r="X1542" s="290"/>
      <c r="Y1542" s="290"/>
      <c r="Z1542" s="290"/>
      <c r="AA1542" s="290"/>
      <c r="AB1542" s="290"/>
      <c r="AC1542" s="290"/>
      <c r="AD1542" s="290"/>
    </row>
    <row r="1543" spans="1:30" ht="25.5">
      <c r="A1543" s="291"/>
      <c r="B1543" s="291"/>
      <c r="C1543" s="291"/>
      <c r="D1543" s="83"/>
      <c r="E1543" s="59"/>
      <c r="F1543" s="82"/>
      <c r="G1543" s="82"/>
      <c r="H1543" s="86"/>
      <c r="I1543" s="294"/>
      <c r="J1543" s="59"/>
      <c r="K1543" s="83"/>
      <c r="L1543" s="83" t="str">
        <f t="shared" si="50"/>
        <v xml:space="preserve">
</v>
      </c>
      <c r="M1543" s="83"/>
      <c r="N1543" s="59"/>
      <c r="O1543" s="59"/>
      <c r="P1543" s="86">
        <f t="shared" si="51"/>
        <v>0</v>
      </c>
      <c r="Q1543" s="59"/>
      <c r="R1543" s="59"/>
      <c r="S1543" s="59"/>
      <c r="T1543" s="59"/>
      <c r="U1543" s="290"/>
      <c r="V1543" s="290"/>
      <c r="W1543" s="290"/>
      <c r="X1543" s="290"/>
      <c r="Y1543" s="290"/>
      <c r="Z1543" s="290"/>
      <c r="AA1543" s="290"/>
      <c r="AB1543" s="290"/>
      <c r="AC1543" s="290"/>
      <c r="AD1543" s="290"/>
    </row>
    <row r="1544" spans="1:30" ht="25.5">
      <c r="A1544" s="291"/>
      <c r="B1544" s="291"/>
      <c r="C1544" s="291"/>
      <c r="D1544" s="83"/>
      <c r="E1544" s="59"/>
      <c r="F1544" s="82"/>
      <c r="G1544" s="82"/>
      <c r="H1544" s="86"/>
      <c r="I1544" s="294"/>
      <c r="J1544" s="59"/>
      <c r="K1544" s="83"/>
      <c r="L1544" s="83" t="str">
        <f t="shared" si="50"/>
        <v xml:space="preserve">
</v>
      </c>
      <c r="M1544" s="83"/>
      <c r="N1544" s="59"/>
      <c r="O1544" s="59"/>
      <c r="P1544" s="86">
        <f t="shared" si="51"/>
        <v>0</v>
      </c>
      <c r="Q1544" s="59"/>
      <c r="R1544" s="59"/>
      <c r="S1544" s="59"/>
      <c r="T1544" s="59"/>
      <c r="U1544" s="290"/>
      <c r="V1544" s="290"/>
      <c r="W1544" s="290"/>
      <c r="X1544" s="290"/>
      <c r="Y1544" s="290"/>
      <c r="Z1544" s="290"/>
      <c r="AA1544" s="290"/>
      <c r="AB1544" s="290"/>
      <c r="AC1544" s="290"/>
      <c r="AD1544" s="290"/>
    </row>
    <row r="1545" spans="1:30" ht="25.5">
      <c r="A1545" s="291"/>
      <c r="B1545" s="291"/>
      <c r="C1545" s="291"/>
      <c r="D1545" s="83"/>
      <c r="E1545" s="59"/>
      <c r="F1545" s="82"/>
      <c r="G1545" s="82"/>
      <c r="H1545" s="86"/>
      <c r="I1545" s="294"/>
      <c r="J1545" s="59"/>
      <c r="K1545" s="83"/>
      <c r="L1545" s="83" t="str">
        <f t="shared" si="50"/>
        <v xml:space="preserve">
</v>
      </c>
      <c r="M1545" s="83"/>
      <c r="N1545" s="59"/>
      <c r="O1545" s="59"/>
      <c r="P1545" s="86">
        <f t="shared" si="51"/>
        <v>0</v>
      </c>
      <c r="Q1545" s="59"/>
      <c r="R1545" s="59"/>
      <c r="S1545" s="59"/>
      <c r="T1545" s="59"/>
      <c r="U1545" s="290"/>
      <c r="V1545" s="290"/>
      <c r="W1545" s="290"/>
      <c r="X1545" s="290"/>
      <c r="Y1545" s="290"/>
      <c r="Z1545" s="290"/>
      <c r="AA1545" s="290"/>
      <c r="AB1545" s="290"/>
      <c r="AC1545" s="290"/>
      <c r="AD1545" s="290"/>
    </row>
    <row r="1546" spans="1:30" ht="25.5">
      <c r="A1546" s="291"/>
      <c r="B1546" s="291"/>
      <c r="C1546" s="291"/>
      <c r="D1546" s="83"/>
      <c r="E1546" s="59"/>
      <c r="F1546" s="82"/>
      <c r="G1546" s="82"/>
      <c r="H1546" s="86"/>
      <c r="I1546" s="294"/>
      <c r="J1546" s="59"/>
      <c r="K1546" s="83"/>
      <c r="L1546" s="83" t="str">
        <f t="shared" si="50"/>
        <v xml:space="preserve">
</v>
      </c>
      <c r="M1546" s="83"/>
      <c r="N1546" s="59"/>
      <c r="O1546" s="59"/>
      <c r="P1546" s="86">
        <f t="shared" si="51"/>
        <v>0</v>
      </c>
      <c r="Q1546" s="59"/>
      <c r="R1546" s="59"/>
      <c r="S1546" s="59"/>
      <c r="T1546" s="59"/>
      <c r="U1546" s="290"/>
      <c r="V1546" s="290"/>
      <c r="W1546" s="290"/>
      <c r="X1546" s="290"/>
      <c r="Y1546" s="290"/>
      <c r="Z1546" s="290"/>
      <c r="AA1546" s="290"/>
      <c r="AB1546" s="290"/>
      <c r="AC1546" s="290"/>
      <c r="AD1546" s="290"/>
    </row>
    <row r="1547" spans="1:30" ht="25.5">
      <c r="A1547" s="291"/>
      <c r="B1547" s="291"/>
      <c r="C1547" s="291"/>
      <c r="D1547" s="83"/>
      <c r="E1547" s="59"/>
      <c r="F1547" s="82"/>
      <c r="G1547" s="82"/>
      <c r="H1547" s="86"/>
      <c r="I1547" s="294"/>
      <c r="J1547" s="59"/>
      <c r="K1547" s="83"/>
      <c r="L1547" s="83" t="str">
        <f t="shared" si="50"/>
        <v xml:space="preserve">
</v>
      </c>
      <c r="M1547" s="83"/>
      <c r="N1547" s="59"/>
      <c r="O1547" s="59"/>
      <c r="P1547" s="86">
        <f t="shared" si="51"/>
        <v>0</v>
      </c>
      <c r="Q1547" s="59"/>
      <c r="R1547" s="59"/>
      <c r="S1547" s="59"/>
      <c r="T1547" s="59"/>
      <c r="U1547" s="290"/>
      <c r="V1547" s="290"/>
      <c r="W1547" s="290"/>
      <c r="X1547" s="290"/>
      <c r="Y1547" s="290"/>
      <c r="Z1547" s="290"/>
      <c r="AA1547" s="290"/>
      <c r="AB1547" s="290"/>
      <c r="AC1547" s="290"/>
      <c r="AD1547" s="290"/>
    </row>
    <row r="1548" spans="1:30" ht="25.5">
      <c r="A1548" s="291"/>
      <c r="B1548" s="291"/>
      <c r="C1548" s="291"/>
      <c r="D1548" s="83"/>
      <c r="E1548" s="59"/>
      <c r="F1548" s="82"/>
      <c r="G1548" s="82"/>
      <c r="H1548" s="86"/>
      <c r="I1548" s="294"/>
      <c r="J1548" s="59"/>
      <c r="K1548" s="83"/>
      <c r="L1548" s="83" t="str">
        <f t="shared" si="50"/>
        <v xml:space="preserve">
</v>
      </c>
      <c r="M1548" s="83"/>
      <c r="N1548" s="59"/>
      <c r="O1548" s="59"/>
      <c r="P1548" s="86">
        <f t="shared" si="51"/>
        <v>0</v>
      </c>
      <c r="Q1548" s="59"/>
      <c r="R1548" s="59"/>
      <c r="S1548" s="59"/>
      <c r="T1548" s="59"/>
      <c r="U1548" s="290"/>
      <c r="V1548" s="290"/>
      <c r="W1548" s="290"/>
      <c r="X1548" s="290"/>
      <c r="Y1548" s="290"/>
      <c r="Z1548" s="290"/>
      <c r="AA1548" s="290"/>
      <c r="AB1548" s="290"/>
      <c r="AC1548" s="290"/>
      <c r="AD1548" s="290"/>
    </row>
    <row r="1549" spans="1:30" ht="25.5">
      <c r="A1549" s="291"/>
      <c r="B1549" s="291"/>
      <c r="C1549" s="291"/>
      <c r="D1549" s="83"/>
      <c r="E1549" s="59"/>
      <c r="F1549" s="82"/>
      <c r="G1549" s="82"/>
      <c r="H1549" s="86"/>
      <c r="I1549" s="294"/>
      <c r="J1549" s="59"/>
      <c r="K1549" s="83"/>
      <c r="L1549" s="83" t="str">
        <f t="shared" si="50"/>
        <v xml:space="preserve">
</v>
      </c>
      <c r="M1549" s="83"/>
      <c r="N1549" s="59"/>
      <c r="O1549" s="59"/>
      <c r="P1549" s="86">
        <f t="shared" si="51"/>
        <v>0</v>
      </c>
      <c r="Q1549" s="59"/>
      <c r="R1549" s="59"/>
      <c r="S1549" s="59"/>
      <c r="T1549" s="59"/>
      <c r="U1549" s="290"/>
      <c r="V1549" s="290"/>
      <c r="W1549" s="290"/>
      <c r="X1549" s="290"/>
      <c r="Y1549" s="290"/>
      <c r="Z1549" s="290"/>
      <c r="AA1549" s="290"/>
      <c r="AB1549" s="290"/>
      <c r="AC1549" s="290"/>
      <c r="AD1549" s="290"/>
    </row>
    <row r="1550" spans="1:30" ht="25.5">
      <c r="A1550" s="291"/>
      <c r="B1550" s="291"/>
      <c r="C1550" s="291"/>
      <c r="D1550" s="83"/>
      <c r="E1550" s="59"/>
      <c r="F1550" s="82"/>
      <c r="G1550" s="82"/>
      <c r="H1550" s="86"/>
      <c r="I1550" s="294"/>
      <c r="J1550" s="59"/>
      <c r="K1550" s="83"/>
      <c r="L1550" s="83" t="str">
        <f t="shared" si="50"/>
        <v xml:space="preserve">
</v>
      </c>
      <c r="M1550" s="83"/>
      <c r="N1550" s="59"/>
      <c r="O1550" s="59"/>
      <c r="P1550" s="86">
        <f t="shared" si="51"/>
        <v>0</v>
      </c>
      <c r="Q1550" s="59"/>
      <c r="R1550" s="59"/>
      <c r="S1550" s="59"/>
      <c r="T1550" s="59"/>
      <c r="U1550" s="290"/>
      <c r="V1550" s="290"/>
      <c r="W1550" s="290"/>
      <c r="X1550" s="290"/>
      <c r="Y1550" s="290"/>
      <c r="Z1550" s="290"/>
      <c r="AA1550" s="290"/>
      <c r="AB1550" s="290"/>
      <c r="AC1550" s="290"/>
      <c r="AD1550" s="290"/>
    </row>
    <row r="1551" spans="1:30" ht="25.5">
      <c r="A1551" s="291"/>
      <c r="B1551" s="291"/>
      <c r="C1551" s="291"/>
      <c r="D1551" s="83"/>
      <c r="E1551" s="59"/>
      <c r="F1551" s="82"/>
      <c r="G1551" s="82"/>
      <c r="H1551" s="86"/>
      <c r="I1551" s="294"/>
      <c r="J1551" s="59"/>
      <c r="K1551" s="83"/>
      <c r="L1551" s="83" t="str">
        <f t="shared" si="50"/>
        <v xml:space="preserve">
</v>
      </c>
      <c r="M1551" s="83"/>
      <c r="N1551" s="59"/>
      <c r="O1551" s="59"/>
      <c r="P1551" s="86">
        <f t="shared" si="51"/>
        <v>0</v>
      </c>
      <c r="Q1551" s="59"/>
      <c r="R1551" s="59"/>
      <c r="S1551" s="59"/>
      <c r="T1551" s="59"/>
      <c r="U1551" s="290"/>
      <c r="V1551" s="290"/>
      <c r="W1551" s="290"/>
      <c r="X1551" s="290"/>
      <c r="Y1551" s="290"/>
      <c r="Z1551" s="290"/>
      <c r="AA1551" s="290"/>
      <c r="AB1551" s="290"/>
      <c r="AC1551" s="290"/>
      <c r="AD1551" s="290"/>
    </row>
    <row r="1552" spans="1:30" ht="25.5">
      <c r="A1552" s="291"/>
      <c r="B1552" s="291"/>
      <c r="C1552" s="291"/>
      <c r="D1552" s="83"/>
      <c r="E1552" s="59"/>
      <c r="F1552" s="82"/>
      <c r="G1552" s="82"/>
      <c r="H1552" s="86"/>
      <c r="I1552" s="294"/>
      <c r="J1552" s="59"/>
      <c r="K1552" s="83"/>
      <c r="L1552" s="83" t="str">
        <f t="shared" si="50"/>
        <v xml:space="preserve">
</v>
      </c>
      <c r="M1552" s="83"/>
      <c r="N1552" s="59"/>
      <c r="O1552" s="59"/>
      <c r="P1552" s="86">
        <f t="shared" si="51"/>
        <v>0</v>
      </c>
      <c r="Q1552" s="59"/>
      <c r="R1552" s="59"/>
      <c r="S1552" s="59"/>
      <c r="T1552" s="59"/>
      <c r="U1552" s="290"/>
      <c r="V1552" s="290"/>
      <c r="W1552" s="290"/>
      <c r="X1552" s="290"/>
      <c r="Y1552" s="290"/>
      <c r="Z1552" s="290"/>
      <c r="AA1552" s="290"/>
      <c r="AB1552" s="290"/>
      <c r="AC1552" s="290"/>
      <c r="AD1552" s="290"/>
    </row>
    <row r="1553" spans="1:30" ht="25.5">
      <c r="A1553" s="291"/>
      <c r="B1553" s="291"/>
      <c r="C1553" s="291"/>
      <c r="D1553" s="83"/>
      <c r="E1553" s="59"/>
      <c r="F1553" s="82"/>
      <c r="G1553" s="82"/>
      <c r="H1553" s="86"/>
      <c r="I1553" s="294"/>
      <c r="J1553" s="59"/>
      <c r="K1553" s="83"/>
      <c r="L1553" s="83" t="str">
        <f t="shared" si="50"/>
        <v xml:space="preserve">
</v>
      </c>
      <c r="M1553" s="83"/>
      <c r="N1553" s="59"/>
      <c r="O1553" s="59"/>
      <c r="P1553" s="86">
        <f t="shared" si="51"/>
        <v>0</v>
      </c>
      <c r="Q1553" s="59"/>
      <c r="R1553" s="59"/>
      <c r="S1553" s="59"/>
      <c r="T1553" s="59"/>
      <c r="U1553" s="290"/>
      <c r="V1553" s="290"/>
      <c r="W1553" s="290"/>
      <c r="X1553" s="290"/>
      <c r="Y1553" s="290"/>
      <c r="Z1553" s="290"/>
      <c r="AA1553" s="290"/>
      <c r="AB1553" s="290"/>
      <c r="AC1553" s="290"/>
      <c r="AD1553" s="290"/>
    </row>
    <row r="1554" spans="1:30" ht="25.5">
      <c r="A1554" s="291"/>
      <c r="B1554" s="291"/>
      <c r="C1554" s="291"/>
      <c r="D1554" s="83"/>
      <c r="E1554" s="59"/>
      <c r="F1554" s="82"/>
      <c r="G1554" s="82"/>
      <c r="H1554" s="86"/>
      <c r="I1554" s="294"/>
      <c r="J1554" s="59"/>
      <c r="K1554" s="83"/>
      <c r="L1554" s="83" t="str">
        <f t="shared" si="50"/>
        <v xml:space="preserve">
</v>
      </c>
      <c r="M1554" s="83"/>
      <c r="N1554" s="59"/>
      <c r="O1554" s="59"/>
      <c r="P1554" s="86">
        <f t="shared" si="51"/>
        <v>0</v>
      </c>
      <c r="Q1554" s="59"/>
      <c r="R1554" s="59"/>
      <c r="S1554" s="59"/>
      <c r="T1554" s="59"/>
      <c r="U1554" s="290"/>
      <c r="V1554" s="290"/>
      <c r="W1554" s="290"/>
      <c r="X1554" s="290"/>
      <c r="Y1554" s="290"/>
      <c r="Z1554" s="290"/>
      <c r="AA1554" s="290"/>
      <c r="AB1554" s="290"/>
      <c r="AC1554" s="290"/>
      <c r="AD1554" s="290"/>
    </row>
    <row r="1555" spans="1:30" ht="25.5">
      <c r="A1555" s="291"/>
      <c r="B1555" s="291"/>
      <c r="C1555" s="291"/>
      <c r="D1555" s="83"/>
      <c r="E1555" s="59"/>
      <c r="F1555" s="82"/>
      <c r="G1555" s="82"/>
      <c r="H1555" s="86"/>
      <c r="I1555" s="294"/>
      <c r="J1555" s="59"/>
      <c r="K1555" s="83"/>
      <c r="L1555" s="83" t="str">
        <f t="shared" si="50"/>
        <v xml:space="preserve">
</v>
      </c>
      <c r="M1555" s="83"/>
      <c r="N1555" s="59"/>
      <c r="O1555" s="59"/>
      <c r="P1555" s="86">
        <f t="shared" si="51"/>
        <v>0</v>
      </c>
      <c r="Q1555" s="59"/>
      <c r="R1555" s="59"/>
      <c r="S1555" s="59"/>
      <c r="T1555" s="59"/>
      <c r="U1555" s="290"/>
      <c r="V1555" s="290"/>
      <c r="W1555" s="290"/>
      <c r="X1555" s="290"/>
      <c r="Y1555" s="290"/>
      <c r="Z1555" s="290"/>
      <c r="AA1555" s="290"/>
      <c r="AB1555" s="290"/>
      <c r="AC1555" s="290"/>
      <c r="AD1555" s="290"/>
    </row>
    <row r="1556" spans="1:30" ht="25.5">
      <c r="A1556" s="291"/>
      <c r="B1556" s="291"/>
      <c r="C1556" s="291"/>
      <c r="D1556" s="83"/>
      <c r="E1556" s="59"/>
      <c r="F1556" s="82"/>
      <c r="G1556" s="82"/>
      <c r="H1556" s="86"/>
      <c r="I1556" s="294"/>
      <c r="J1556" s="59"/>
      <c r="K1556" s="83"/>
      <c r="L1556" s="83" t="str">
        <f t="shared" si="50"/>
        <v xml:space="preserve">
</v>
      </c>
      <c r="M1556" s="83"/>
      <c r="N1556" s="59"/>
      <c r="O1556" s="59"/>
      <c r="P1556" s="86">
        <f t="shared" si="51"/>
        <v>0</v>
      </c>
      <c r="Q1556" s="59"/>
      <c r="R1556" s="59"/>
      <c r="S1556" s="59"/>
      <c r="T1556" s="59"/>
      <c r="U1556" s="290"/>
      <c r="V1556" s="290"/>
      <c r="W1556" s="290"/>
      <c r="X1556" s="290"/>
      <c r="Y1556" s="290"/>
      <c r="Z1556" s="290"/>
      <c r="AA1556" s="290"/>
      <c r="AB1556" s="290"/>
      <c r="AC1556" s="290"/>
      <c r="AD1556" s="290"/>
    </row>
    <row r="1557" spans="1:30" ht="25.5">
      <c r="A1557" s="291"/>
      <c r="B1557" s="291"/>
      <c r="C1557" s="291"/>
      <c r="D1557" s="83"/>
      <c r="E1557" s="59"/>
      <c r="F1557" s="82"/>
      <c r="G1557" s="82"/>
      <c r="H1557" s="86"/>
      <c r="I1557" s="294"/>
      <c r="J1557" s="59"/>
      <c r="K1557" s="83"/>
      <c r="L1557" s="83" t="str">
        <f t="shared" si="50"/>
        <v xml:space="preserve">
</v>
      </c>
      <c r="M1557" s="83"/>
      <c r="N1557" s="59"/>
      <c r="O1557" s="59"/>
      <c r="P1557" s="86">
        <f t="shared" si="51"/>
        <v>0</v>
      </c>
      <c r="Q1557" s="59"/>
      <c r="R1557" s="59"/>
      <c r="S1557" s="59"/>
      <c r="T1557" s="59"/>
      <c r="U1557" s="290"/>
      <c r="V1557" s="290"/>
      <c r="W1557" s="290"/>
      <c r="X1557" s="290"/>
      <c r="Y1557" s="290"/>
      <c r="Z1557" s="290"/>
      <c r="AA1557" s="290"/>
      <c r="AB1557" s="290"/>
      <c r="AC1557" s="290"/>
      <c r="AD1557" s="290"/>
    </row>
    <row r="1558" spans="1:30" ht="25.5">
      <c r="A1558" s="291"/>
      <c r="B1558" s="291"/>
      <c r="C1558" s="291"/>
      <c r="D1558" s="83"/>
      <c r="E1558" s="59"/>
      <c r="F1558" s="82"/>
      <c r="G1558" s="82"/>
      <c r="H1558" s="86"/>
      <c r="I1558" s="294"/>
      <c r="J1558" s="59"/>
      <c r="K1558" s="83"/>
      <c r="L1558" s="83" t="str">
        <f t="shared" si="50"/>
        <v xml:space="preserve">
</v>
      </c>
      <c r="M1558" s="83"/>
      <c r="N1558" s="59"/>
      <c r="O1558" s="59"/>
      <c r="P1558" s="86">
        <f t="shared" si="51"/>
        <v>0</v>
      </c>
      <c r="Q1558" s="59"/>
      <c r="R1558" s="59"/>
      <c r="S1558" s="59"/>
      <c r="T1558" s="59"/>
      <c r="U1558" s="290"/>
      <c r="V1558" s="290"/>
      <c r="W1558" s="290"/>
      <c r="X1558" s="290"/>
      <c r="Y1558" s="290"/>
      <c r="Z1558" s="290"/>
      <c r="AA1558" s="290"/>
      <c r="AB1558" s="290"/>
      <c r="AC1558" s="290"/>
      <c r="AD1558" s="290"/>
    </row>
    <row r="1559" spans="1:30" ht="25.5">
      <c r="A1559" s="291"/>
      <c r="B1559" s="291"/>
      <c r="C1559" s="291"/>
      <c r="D1559" s="83"/>
      <c r="E1559" s="59"/>
      <c r="F1559" s="82"/>
      <c r="G1559" s="82"/>
      <c r="H1559" s="86"/>
      <c r="I1559" s="294"/>
      <c r="J1559" s="59"/>
      <c r="K1559" s="83"/>
      <c r="L1559" s="83" t="str">
        <f t="shared" si="50"/>
        <v xml:space="preserve">
</v>
      </c>
      <c r="M1559" s="83"/>
      <c r="N1559" s="59"/>
      <c r="O1559" s="59"/>
      <c r="P1559" s="86">
        <f t="shared" si="51"/>
        <v>0</v>
      </c>
      <c r="Q1559" s="59"/>
      <c r="R1559" s="59"/>
      <c r="S1559" s="59"/>
      <c r="T1559" s="59"/>
      <c r="U1559" s="290"/>
      <c r="V1559" s="290"/>
      <c r="W1559" s="290"/>
      <c r="X1559" s="290"/>
      <c r="Y1559" s="290"/>
      <c r="Z1559" s="290"/>
      <c r="AA1559" s="290"/>
      <c r="AB1559" s="290"/>
      <c r="AC1559" s="290"/>
      <c r="AD1559" s="290"/>
    </row>
    <row r="1560" spans="1:30" ht="25.5">
      <c r="A1560" s="291"/>
      <c r="B1560" s="291"/>
      <c r="C1560" s="291"/>
      <c r="D1560" s="83"/>
      <c r="E1560" s="59"/>
      <c r="F1560" s="82"/>
      <c r="G1560" s="82"/>
      <c r="H1560" s="86"/>
      <c r="I1560" s="294"/>
      <c r="J1560" s="59"/>
      <c r="K1560" s="83"/>
      <c r="L1560" s="83" t="str">
        <f t="shared" si="50"/>
        <v xml:space="preserve">
</v>
      </c>
      <c r="M1560" s="83"/>
      <c r="N1560" s="59"/>
      <c r="O1560" s="59"/>
      <c r="P1560" s="86">
        <f t="shared" si="51"/>
        <v>0</v>
      </c>
      <c r="Q1560" s="59"/>
      <c r="R1560" s="59"/>
      <c r="S1560" s="59"/>
      <c r="T1560" s="59"/>
      <c r="U1560" s="290"/>
      <c r="V1560" s="290"/>
      <c r="W1560" s="290"/>
      <c r="X1560" s="290"/>
      <c r="Y1560" s="290"/>
      <c r="Z1560" s="290"/>
      <c r="AA1560" s="290"/>
      <c r="AB1560" s="290"/>
      <c r="AC1560" s="290"/>
      <c r="AD1560" s="290"/>
    </row>
    <row r="1561" spans="1:30" ht="25.5">
      <c r="A1561" s="291"/>
      <c r="B1561" s="291"/>
      <c r="C1561" s="291"/>
      <c r="D1561" s="83"/>
      <c r="E1561" s="59"/>
      <c r="F1561" s="82"/>
      <c r="G1561" s="82"/>
      <c r="H1561" s="86"/>
      <c r="I1561" s="294"/>
      <c r="J1561" s="59"/>
      <c r="K1561" s="83"/>
      <c r="L1561" s="83" t="str">
        <f t="shared" si="50"/>
        <v xml:space="preserve">
</v>
      </c>
      <c r="M1561" s="83"/>
      <c r="N1561" s="59"/>
      <c r="O1561" s="59"/>
      <c r="P1561" s="86">
        <f t="shared" si="51"/>
        <v>0</v>
      </c>
      <c r="Q1561" s="59"/>
      <c r="R1561" s="59"/>
      <c r="S1561" s="59"/>
      <c r="T1561" s="59"/>
      <c r="U1561" s="290"/>
      <c r="V1561" s="290"/>
      <c r="W1561" s="290"/>
      <c r="X1561" s="290"/>
      <c r="Y1561" s="290"/>
      <c r="Z1561" s="290"/>
      <c r="AA1561" s="290"/>
      <c r="AB1561" s="290"/>
      <c r="AC1561" s="290"/>
      <c r="AD1561" s="290"/>
    </row>
    <row r="1562" spans="1:30" ht="25.5">
      <c r="A1562" s="291"/>
      <c r="B1562" s="291"/>
      <c r="C1562" s="291"/>
      <c r="D1562" s="83"/>
      <c r="E1562" s="59"/>
      <c r="F1562" s="82"/>
      <c r="G1562" s="82"/>
      <c r="H1562" s="86"/>
      <c r="I1562" s="294"/>
      <c r="J1562" s="59"/>
      <c r="K1562" s="83"/>
      <c r="L1562" s="83" t="str">
        <f t="shared" si="50"/>
        <v xml:space="preserve">
</v>
      </c>
      <c r="M1562" s="83"/>
      <c r="N1562" s="59"/>
      <c r="O1562" s="59"/>
      <c r="P1562" s="86">
        <f t="shared" si="51"/>
        <v>0</v>
      </c>
      <c r="Q1562" s="59"/>
      <c r="R1562" s="59"/>
      <c r="S1562" s="59"/>
      <c r="T1562" s="59"/>
      <c r="U1562" s="290"/>
      <c r="V1562" s="290"/>
      <c r="W1562" s="290"/>
      <c r="X1562" s="290"/>
      <c r="Y1562" s="290"/>
      <c r="Z1562" s="290"/>
      <c r="AA1562" s="290"/>
      <c r="AB1562" s="290"/>
      <c r="AC1562" s="290"/>
      <c r="AD1562" s="290"/>
    </row>
    <row r="1563" spans="1:30" ht="25.5">
      <c r="A1563" s="291"/>
      <c r="B1563" s="291"/>
      <c r="C1563" s="291"/>
      <c r="D1563" s="83"/>
      <c r="E1563" s="59"/>
      <c r="F1563" s="82"/>
      <c r="G1563" s="82"/>
      <c r="H1563" s="86"/>
      <c r="I1563" s="294"/>
      <c r="J1563" s="59"/>
      <c r="K1563" s="83"/>
      <c r="L1563" s="83" t="str">
        <f t="shared" si="50"/>
        <v xml:space="preserve">
</v>
      </c>
      <c r="M1563" s="83"/>
      <c r="N1563" s="59"/>
      <c r="O1563" s="59"/>
      <c r="P1563" s="86">
        <f t="shared" si="51"/>
        <v>0</v>
      </c>
      <c r="Q1563" s="59"/>
      <c r="R1563" s="59"/>
      <c r="S1563" s="59"/>
      <c r="T1563" s="59"/>
      <c r="U1563" s="290"/>
      <c r="V1563" s="290"/>
      <c r="W1563" s="290"/>
      <c r="X1563" s="290"/>
      <c r="Y1563" s="290"/>
      <c r="Z1563" s="290"/>
      <c r="AA1563" s="290"/>
      <c r="AB1563" s="290"/>
      <c r="AC1563" s="290"/>
      <c r="AD1563" s="290"/>
    </row>
    <row r="1564" spans="1:30" ht="25.5">
      <c r="A1564" s="291"/>
      <c r="B1564" s="291"/>
      <c r="C1564" s="291"/>
      <c r="D1564" s="83"/>
      <c r="E1564" s="59"/>
      <c r="F1564" s="82"/>
      <c r="G1564" s="82"/>
      <c r="H1564" s="86"/>
      <c r="I1564" s="294"/>
      <c r="J1564" s="59"/>
      <c r="K1564" s="83"/>
      <c r="L1564" s="83" t="str">
        <f t="shared" si="50"/>
        <v xml:space="preserve">
</v>
      </c>
      <c r="M1564" s="83"/>
      <c r="N1564" s="59"/>
      <c r="O1564" s="59"/>
      <c r="P1564" s="86">
        <f t="shared" si="51"/>
        <v>0</v>
      </c>
      <c r="Q1564" s="59"/>
      <c r="R1564" s="59"/>
      <c r="S1564" s="59"/>
      <c r="T1564" s="59"/>
      <c r="U1564" s="290"/>
      <c r="V1564" s="290"/>
      <c r="W1564" s="290"/>
      <c r="X1564" s="290"/>
      <c r="Y1564" s="290"/>
      <c r="Z1564" s="290"/>
      <c r="AA1564" s="290"/>
      <c r="AB1564" s="290"/>
      <c r="AC1564" s="290"/>
      <c r="AD1564" s="290"/>
    </row>
    <row r="1565" spans="1:30" ht="25.5">
      <c r="A1565" s="291"/>
      <c r="B1565" s="291"/>
      <c r="C1565" s="291"/>
      <c r="D1565" s="83"/>
      <c r="E1565" s="59"/>
      <c r="F1565" s="82"/>
      <c r="G1565" s="82"/>
      <c r="H1565" s="86"/>
      <c r="I1565" s="294"/>
      <c r="J1565" s="59"/>
      <c r="K1565" s="83"/>
      <c r="L1565" s="83" t="str">
        <f t="shared" si="50"/>
        <v xml:space="preserve">
</v>
      </c>
      <c r="M1565" s="83"/>
      <c r="N1565" s="59"/>
      <c r="O1565" s="59"/>
      <c r="P1565" s="86">
        <f t="shared" si="51"/>
        <v>0</v>
      </c>
      <c r="Q1565" s="59"/>
      <c r="R1565" s="59"/>
      <c r="S1565" s="59"/>
      <c r="T1565" s="59"/>
      <c r="U1565" s="290"/>
      <c r="V1565" s="290"/>
      <c r="W1565" s="290"/>
      <c r="X1565" s="290"/>
      <c r="Y1565" s="290"/>
      <c r="Z1565" s="290"/>
      <c r="AA1565" s="290"/>
      <c r="AB1565" s="290"/>
      <c r="AC1565" s="290"/>
      <c r="AD1565" s="290"/>
    </row>
    <row r="1566" spans="1:30" ht="25.5">
      <c r="A1566" s="291"/>
      <c r="B1566" s="291"/>
      <c r="C1566" s="291"/>
      <c r="D1566" s="83"/>
      <c r="E1566" s="59"/>
      <c r="F1566" s="82"/>
      <c r="G1566" s="82"/>
      <c r="H1566" s="86"/>
      <c r="I1566" s="294"/>
      <c r="J1566" s="59"/>
      <c r="K1566" s="83"/>
      <c r="L1566" s="83" t="str">
        <f t="shared" si="50"/>
        <v xml:space="preserve">
</v>
      </c>
      <c r="M1566" s="83"/>
      <c r="N1566" s="59"/>
      <c r="O1566" s="59"/>
      <c r="P1566" s="86">
        <f t="shared" si="51"/>
        <v>0</v>
      </c>
      <c r="Q1566" s="59"/>
      <c r="R1566" s="59"/>
      <c r="S1566" s="59"/>
      <c r="T1566" s="59"/>
      <c r="U1566" s="290"/>
      <c r="V1566" s="290"/>
      <c r="W1566" s="290"/>
      <c r="X1566" s="290"/>
      <c r="Y1566" s="290"/>
      <c r="Z1566" s="290"/>
      <c r="AA1566" s="290"/>
      <c r="AB1566" s="290"/>
      <c r="AC1566" s="290"/>
      <c r="AD1566" s="290"/>
    </row>
    <row r="1567" spans="1:30" ht="25.5">
      <c r="A1567" s="291"/>
      <c r="B1567" s="291"/>
      <c r="C1567" s="291"/>
      <c r="D1567" s="83"/>
      <c r="E1567" s="59"/>
      <c r="F1567" s="82"/>
      <c r="G1567" s="82"/>
      <c r="H1567" s="86"/>
      <c r="I1567" s="294"/>
      <c r="J1567" s="59"/>
      <c r="K1567" s="83"/>
      <c r="L1567" s="83" t="str">
        <f t="shared" si="50"/>
        <v xml:space="preserve">
</v>
      </c>
      <c r="M1567" s="83"/>
      <c r="N1567" s="59"/>
      <c r="O1567" s="59"/>
      <c r="P1567" s="86">
        <f t="shared" si="51"/>
        <v>0</v>
      </c>
      <c r="Q1567" s="59"/>
      <c r="R1567" s="59"/>
      <c r="S1567" s="59"/>
      <c r="T1567" s="59"/>
      <c r="U1567" s="290"/>
      <c r="V1567" s="290"/>
      <c r="W1567" s="290"/>
      <c r="X1567" s="290"/>
      <c r="Y1567" s="290"/>
      <c r="Z1567" s="290"/>
      <c r="AA1567" s="290"/>
      <c r="AB1567" s="290"/>
      <c r="AC1567" s="290"/>
      <c r="AD1567" s="290"/>
    </row>
    <row r="1568" spans="1:30" ht="25.5">
      <c r="A1568" s="291"/>
      <c r="B1568" s="291"/>
      <c r="C1568" s="291"/>
      <c r="D1568" s="83"/>
      <c r="E1568" s="59"/>
      <c r="F1568" s="82"/>
      <c r="G1568" s="82"/>
      <c r="H1568" s="86"/>
      <c r="I1568" s="294"/>
      <c r="J1568" s="59"/>
      <c r="K1568" s="83"/>
      <c r="L1568" s="83" t="str">
        <f t="shared" si="50"/>
        <v xml:space="preserve">
</v>
      </c>
      <c r="M1568" s="83"/>
      <c r="N1568" s="59"/>
      <c r="O1568" s="59"/>
      <c r="P1568" s="86">
        <f t="shared" si="51"/>
        <v>0</v>
      </c>
      <c r="Q1568" s="59"/>
      <c r="R1568" s="59"/>
      <c r="S1568" s="59"/>
      <c r="T1568" s="59"/>
      <c r="U1568" s="290"/>
      <c r="V1568" s="290"/>
      <c r="W1568" s="290"/>
      <c r="X1568" s="290"/>
      <c r="Y1568" s="290"/>
      <c r="Z1568" s="290"/>
      <c r="AA1568" s="290"/>
      <c r="AB1568" s="290"/>
      <c r="AC1568" s="290"/>
      <c r="AD1568" s="290"/>
    </row>
    <row r="1569" spans="1:30" ht="25.5">
      <c r="A1569" s="291"/>
      <c r="B1569" s="291"/>
      <c r="C1569" s="291"/>
      <c r="D1569" s="83"/>
      <c r="E1569" s="59"/>
      <c r="F1569" s="82"/>
      <c r="G1569" s="82"/>
      <c r="H1569" s="86"/>
      <c r="I1569" s="294"/>
      <c r="J1569" s="59"/>
      <c r="K1569" s="83"/>
      <c r="L1569" s="83" t="str">
        <f t="shared" si="50"/>
        <v xml:space="preserve">
</v>
      </c>
      <c r="M1569" s="83"/>
      <c r="N1569" s="59"/>
      <c r="O1569" s="59"/>
      <c r="P1569" s="86">
        <f t="shared" si="51"/>
        <v>0</v>
      </c>
      <c r="Q1569" s="59"/>
      <c r="R1569" s="59"/>
      <c r="S1569" s="59"/>
      <c r="T1569" s="59"/>
      <c r="U1569" s="290"/>
      <c r="V1569" s="290"/>
      <c r="W1569" s="290"/>
      <c r="X1569" s="290"/>
      <c r="Y1569" s="290"/>
      <c r="Z1569" s="290"/>
      <c r="AA1569" s="290"/>
      <c r="AB1569" s="290"/>
      <c r="AC1569" s="290"/>
      <c r="AD1569" s="290"/>
    </row>
    <row r="1570" spans="1:30" ht="25.5">
      <c r="A1570" s="291"/>
      <c r="B1570" s="291"/>
      <c r="C1570" s="291"/>
      <c r="D1570" s="83"/>
      <c r="E1570" s="59"/>
      <c r="F1570" s="82"/>
      <c r="G1570" s="82"/>
      <c r="H1570" s="86"/>
      <c r="I1570" s="294"/>
      <c r="J1570" s="59"/>
      <c r="K1570" s="83"/>
      <c r="L1570" s="83" t="str">
        <f t="shared" si="50"/>
        <v xml:space="preserve">
</v>
      </c>
      <c r="M1570" s="83"/>
      <c r="N1570" s="59"/>
      <c r="O1570" s="59"/>
      <c r="P1570" s="86">
        <f t="shared" si="51"/>
        <v>0</v>
      </c>
      <c r="Q1570" s="59"/>
      <c r="R1570" s="59"/>
      <c r="S1570" s="59"/>
      <c r="T1570" s="59"/>
      <c r="U1570" s="290"/>
      <c r="V1570" s="290"/>
      <c r="W1570" s="290"/>
      <c r="X1570" s="290"/>
      <c r="Y1570" s="290"/>
      <c r="Z1570" s="290"/>
      <c r="AA1570" s="290"/>
      <c r="AB1570" s="290"/>
      <c r="AC1570" s="290"/>
      <c r="AD1570" s="290"/>
    </row>
    <row r="1571" spans="1:30" ht="25.5">
      <c r="A1571" s="291"/>
      <c r="B1571" s="291"/>
      <c r="C1571" s="291"/>
      <c r="D1571" s="83"/>
      <c r="E1571" s="59"/>
      <c r="F1571" s="82"/>
      <c r="G1571" s="82"/>
      <c r="H1571" s="86"/>
      <c r="I1571" s="294"/>
      <c r="J1571" s="59"/>
      <c r="K1571" s="83"/>
      <c r="L1571" s="83" t="str">
        <f t="shared" si="50"/>
        <v xml:space="preserve">
</v>
      </c>
      <c r="M1571" s="83"/>
      <c r="N1571" s="59"/>
      <c r="O1571" s="59"/>
      <c r="P1571" s="86">
        <f t="shared" si="51"/>
        <v>0</v>
      </c>
      <c r="Q1571" s="59"/>
      <c r="R1571" s="59"/>
      <c r="S1571" s="59"/>
      <c r="T1571" s="59"/>
      <c r="U1571" s="290"/>
      <c r="V1571" s="290"/>
      <c r="W1571" s="290"/>
      <c r="X1571" s="290"/>
      <c r="Y1571" s="290"/>
      <c r="Z1571" s="290"/>
      <c r="AA1571" s="290"/>
      <c r="AB1571" s="290"/>
      <c r="AC1571" s="290"/>
      <c r="AD1571" s="290"/>
    </row>
    <row r="1572" spans="1:30" ht="25.5">
      <c r="A1572" s="291"/>
      <c r="B1572" s="291"/>
      <c r="C1572" s="291"/>
      <c r="D1572" s="83"/>
      <c r="E1572" s="59"/>
      <c r="F1572" s="82"/>
      <c r="G1572" s="82"/>
      <c r="H1572" s="86"/>
      <c r="I1572" s="294"/>
      <c r="J1572" s="59"/>
      <c r="K1572" s="83"/>
      <c r="L1572" s="83" t="str">
        <f t="shared" si="50"/>
        <v xml:space="preserve">
</v>
      </c>
      <c r="M1572" s="83"/>
      <c r="N1572" s="59"/>
      <c r="O1572" s="59"/>
      <c r="P1572" s="86">
        <f t="shared" si="51"/>
        <v>0</v>
      </c>
      <c r="Q1572" s="59"/>
      <c r="R1572" s="59"/>
      <c r="S1572" s="59"/>
      <c r="T1572" s="59"/>
      <c r="U1572" s="290"/>
      <c r="V1572" s="290"/>
      <c r="W1572" s="290"/>
      <c r="X1572" s="290"/>
      <c r="Y1572" s="290"/>
      <c r="Z1572" s="290"/>
      <c r="AA1572" s="290"/>
      <c r="AB1572" s="290"/>
      <c r="AC1572" s="290"/>
      <c r="AD1572" s="290"/>
    </row>
    <row r="1573" spans="1:30" ht="25.5">
      <c r="A1573" s="291"/>
      <c r="B1573" s="291"/>
      <c r="C1573" s="291"/>
      <c r="D1573" s="83"/>
      <c r="E1573" s="59"/>
      <c r="F1573" s="82"/>
      <c r="G1573" s="82"/>
      <c r="H1573" s="86"/>
      <c r="I1573" s="294"/>
      <c r="J1573" s="59"/>
      <c r="K1573" s="83"/>
      <c r="L1573" s="83" t="str">
        <f t="shared" si="50"/>
        <v xml:space="preserve">
</v>
      </c>
      <c r="M1573" s="83"/>
      <c r="N1573" s="59"/>
      <c r="O1573" s="59"/>
      <c r="P1573" s="86">
        <f t="shared" si="51"/>
        <v>0</v>
      </c>
      <c r="Q1573" s="59"/>
      <c r="R1573" s="59"/>
      <c r="S1573" s="59"/>
      <c r="T1573" s="59"/>
      <c r="U1573" s="290"/>
      <c r="V1573" s="290"/>
      <c r="W1573" s="290"/>
      <c r="X1573" s="290"/>
      <c r="Y1573" s="290"/>
      <c r="Z1573" s="290"/>
      <c r="AA1573" s="290"/>
      <c r="AB1573" s="290"/>
      <c r="AC1573" s="290"/>
      <c r="AD1573" s="290"/>
    </row>
    <row r="1574" spans="1:30" ht="25.5">
      <c r="A1574" s="291"/>
      <c r="B1574" s="291"/>
      <c r="C1574" s="291"/>
      <c r="D1574" s="83"/>
      <c r="E1574" s="59"/>
      <c r="F1574" s="82"/>
      <c r="G1574" s="82"/>
      <c r="H1574" s="86"/>
      <c r="I1574" s="294"/>
      <c r="J1574" s="59"/>
      <c r="K1574" s="83"/>
      <c r="L1574" s="83" t="str">
        <f t="shared" si="50"/>
        <v xml:space="preserve">
</v>
      </c>
      <c r="M1574" s="83"/>
      <c r="N1574" s="59"/>
      <c r="O1574" s="59"/>
      <c r="P1574" s="86">
        <f t="shared" si="51"/>
        <v>0</v>
      </c>
      <c r="Q1574" s="59"/>
      <c r="R1574" s="59"/>
      <c r="S1574" s="59"/>
      <c r="T1574" s="59"/>
      <c r="U1574" s="290"/>
      <c r="V1574" s="290"/>
      <c r="W1574" s="290"/>
      <c r="X1574" s="290"/>
      <c r="Y1574" s="290"/>
      <c r="Z1574" s="290"/>
      <c r="AA1574" s="290"/>
      <c r="AB1574" s="290"/>
      <c r="AC1574" s="290"/>
      <c r="AD1574" s="290"/>
    </row>
    <row r="1575" spans="1:30" ht="25.5">
      <c r="A1575" s="291"/>
      <c r="B1575" s="291"/>
      <c r="C1575" s="291"/>
      <c r="D1575" s="83"/>
      <c r="E1575" s="59"/>
      <c r="F1575" s="82"/>
      <c r="G1575" s="82"/>
      <c r="H1575" s="86"/>
      <c r="I1575" s="294"/>
      <c r="J1575" s="59"/>
      <c r="K1575" s="83"/>
      <c r="L1575" s="83" t="str">
        <f t="shared" si="50"/>
        <v xml:space="preserve">
</v>
      </c>
      <c r="M1575" s="83"/>
      <c r="N1575" s="59"/>
      <c r="O1575" s="59"/>
      <c r="P1575" s="86">
        <f t="shared" si="51"/>
        <v>0</v>
      </c>
      <c r="Q1575" s="59"/>
      <c r="R1575" s="59"/>
      <c r="S1575" s="59"/>
      <c r="T1575" s="59"/>
      <c r="U1575" s="290"/>
      <c r="V1575" s="290"/>
      <c r="W1575" s="290"/>
      <c r="X1575" s="290"/>
      <c r="Y1575" s="290"/>
      <c r="Z1575" s="290"/>
      <c r="AA1575" s="290"/>
      <c r="AB1575" s="290"/>
      <c r="AC1575" s="290"/>
      <c r="AD1575" s="290"/>
    </row>
    <row r="1576" spans="1:30" ht="25.5">
      <c r="A1576" s="291"/>
      <c r="B1576" s="291"/>
      <c r="C1576" s="291"/>
      <c r="D1576" s="83"/>
      <c r="E1576" s="59"/>
      <c r="F1576" s="82"/>
      <c r="G1576" s="82"/>
      <c r="H1576" s="86"/>
      <c r="I1576" s="294"/>
      <c r="J1576" s="59"/>
      <c r="K1576" s="83"/>
      <c r="L1576" s="83" t="str">
        <f t="shared" si="50"/>
        <v xml:space="preserve">
</v>
      </c>
      <c r="M1576" s="83"/>
      <c r="N1576" s="59"/>
      <c r="O1576" s="59"/>
      <c r="P1576" s="86">
        <f t="shared" si="51"/>
        <v>0</v>
      </c>
      <c r="Q1576" s="59"/>
      <c r="R1576" s="59"/>
      <c r="S1576" s="59"/>
      <c r="T1576" s="59"/>
      <c r="U1576" s="290"/>
      <c r="V1576" s="290"/>
      <c r="W1576" s="290"/>
      <c r="X1576" s="290"/>
      <c r="Y1576" s="290"/>
      <c r="Z1576" s="290"/>
      <c r="AA1576" s="290"/>
      <c r="AB1576" s="290"/>
      <c r="AC1576" s="290"/>
      <c r="AD1576" s="290"/>
    </row>
    <row r="1577" spans="1:30" ht="25.5">
      <c r="A1577" s="291"/>
      <c r="B1577" s="291"/>
      <c r="C1577" s="291"/>
      <c r="D1577" s="83"/>
      <c r="E1577" s="59"/>
      <c r="F1577" s="82"/>
      <c r="G1577" s="82"/>
      <c r="H1577" s="86"/>
      <c r="I1577" s="294"/>
      <c r="J1577" s="59"/>
      <c r="K1577" s="83"/>
      <c r="L1577" s="83" t="str">
        <f t="shared" si="50"/>
        <v xml:space="preserve">
</v>
      </c>
      <c r="M1577" s="83"/>
      <c r="N1577" s="59"/>
      <c r="O1577" s="59"/>
      <c r="P1577" s="86">
        <f t="shared" si="51"/>
        <v>0</v>
      </c>
      <c r="Q1577" s="59"/>
      <c r="R1577" s="59"/>
      <c r="S1577" s="59"/>
      <c r="T1577" s="59"/>
      <c r="U1577" s="290"/>
      <c r="V1577" s="290"/>
      <c r="W1577" s="290"/>
      <c r="X1577" s="290"/>
      <c r="Y1577" s="290"/>
      <c r="Z1577" s="290"/>
      <c r="AA1577" s="290"/>
      <c r="AB1577" s="290"/>
      <c r="AC1577" s="290"/>
      <c r="AD1577" s="290"/>
    </row>
    <row r="1578" spans="1:30" ht="25.5">
      <c r="A1578" s="291"/>
      <c r="B1578" s="291"/>
      <c r="C1578" s="291"/>
      <c r="D1578" s="83"/>
      <c r="E1578" s="59"/>
      <c r="F1578" s="82"/>
      <c r="G1578" s="82"/>
      <c r="H1578" s="86"/>
      <c r="I1578" s="294"/>
      <c r="J1578" s="59"/>
      <c r="K1578" s="83"/>
      <c r="L1578" s="83" t="str">
        <f t="shared" si="50"/>
        <v xml:space="preserve">
</v>
      </c>
      <c r="M1578" s="83"/>
      <c r="N1578" s="59"/>
      <c r="O1578" s="59"/>
      <c r="P1578" s="86">
        <f t="shared" si="51"/>
        <v>0</v>
      </c>
      <c r="Q1578" s="59"/>
      <c r="R1578" s="59"/>
      <c r="S1578" s="59"/>
      <c r="T1578" s="59"/>
      <c r="U1578" s="290"/>
      <c r="V1578" s="290"/>
      <c r="W1578" s="290"/>
      <c r="X1578" s="290"/>
      <c r="Y1578" s="290"/>
      <c r="Z1578" s="290"/>
      <c r="AA1578" s="290"/>
      <c r="AB1578" s="290"/>
      <c r="AC1578" s="290"/>
      <c r="AD1578" s="290"/>
    </row>
    <row r="1579" spans="1:30" ht="25.5">
      <c r="A1579" s="291"/>
      <c r="B1579" s="291"/>
      <c r="C1579" s="291"/>
      <c r="D1579" s="83"/>
      <c r="E1579" s="59"/>
      <c r="F1579" s="82"/>
      <c r="G1579" s="82"/>
      <c r="H1579" s="86"/>
      <c r="I1579" s="294"/>
      <c r="J1579" s="59"/>
      <c r="K1579" s="83"/>
      <c r="L1579" s="83" t="str">
        <f t="shared" si="50"/>
        <v xml:space="preserve">
</v>
      </c>
      <c r="M1579" s="83"/>
      <c r="N1579" s="59"/>
      <c r="O1579" s="59"/>
      <c r="P1579" s="86">
        <f t="shared" si="51"/>
        <v>0</v>
      </c>
      <c r="Q1579" s="59"/>
      <c r="R1579" s="59"/>
      <c r="S1579" s="59"/>
      <c r="T1579" s="59"/>
      <c r="U1579" s="290"/>
      <c r="V1579" s="290"/>
      <c r="W1579" s="290"/>
      <c r="X1579" s="290"/>
      <c r="Y1579" s="290"/>
      <c r="Z1579" s="290"/>
      <c r="AA1579" s="290"/>
      <c r="AB1579" s="290"/>
      <c r="AC1579" s="290"/>
      <c r="AD1579" s="290"/>
    </row>
    <row r="1580" spans="1:30" ht="25.5">
      <c r="A1580" s="291"/>
      <c r="B1580" s="291"/>
      <c r="C1580" s="291"/>
      <c r="D1580" s="83"/>
      <c r="E1580" s="59"/>
      <c r="F1580" s="82"/>
      <c r="G1580" s="82"/>
      <c r="H1580" s="86"/>
      <c r="I1580" s="294"/>
      <c r="J1580" s="59"/>
      <c r="K1580" s="83"/>
      <c r="L1580" s="83" t="str">
        <f t="shared" si="50"/>
        <v xml:space="preserve">
</v>
      </c>
      <c r="M1580" s="83"/>
      <c r="N1580" s="59"/>
      <c r="O1580" s="59"/>
      <c r="P1580" s="86">
        <f t="shared" si="51"/>
        <v>0</v>
      </c>
      <c r="Q1580" s="59"/>
      <c r="R1580" s="59"/>
      <c r="S1580" s="59"/>
      <c r="T1580" s="59"/>
      <c r="U1580" s="290"/>
      <c r="V1580" s="290"/>
      <c r="W1580" s="290"/>
      <c r="X1580" s="290"/>
      <c r="Y1580" s="290"/>
      <c r="Z1580" s="290"/>
      <c r="AA1580" s="290"/>
      <c r="AB1580" s="290"/>
      <c r="AC1580" s="290"/>
      <c r="AD1580" s="290"/>
    </row>
    <row r="1581" spans="1:30" ht="25.5">
      <c r="A1581" s="291"/>
      <c r="B1581" s="291"/>
      <c r="C1581" s="291"/>
      <c r="D1581" s="83"/>
      <c r="E1581" s="59"/>
      <c r="F1581" s="82"/>
      <c r="G1581" s="82"/>
      <c r="H1581" s="86"/>
      <c r="I1581" s="294"/>
      <c r="J1581" s="59"/>
      <c r="K1581" s="83"/>
      <c r="L1581" s="83" t="str">
        <f t="shared" si="50"/>
        <v xml:space="preserve">
</v>
      </c>
      <c r="M1581" s="83"/>
      <c r="N1581" s="59"/>
      <c r="O1581" s="59"/>
      <c r="P1581" s="86">
        <f t="shared" si="51"/>
        <v>0</v>
      </c>
      <c r="Q1581" s="59"/>
      <c r="R1581" s="59"/>
      <c r="S1581" s="59"/>
      <c r="T1581" s="59"/>
      <c r="U1581" s="290"/>
      <c r="V1581" s="290"/>
      <c r="W1581" s="290"/>
      <c r="X1581" s="290"/>
      <c r="Y1581" s="290"/>
      <c r="Z1581" s="290"/>
      <c r="AA1581" s="290"/>
      <c r="AB1581" s="290"/>
      <c r="AC1581" s="290"/>
      <c r="AD1581" s="290"/>
    </row>
    <row r="1582" spans="1:30" ht="25.5">
      <c r="A1582" s="291"/>
      <c r="B1582" s="291"/>
      <c r="C1582" s="291"/>
      <c r="D1582" s="83"/>
      <c r="E1582" s="59"/>
      <c r="F1582" s="82"/>
      <c r="G1582" s="82"/>
      <c r="H1582" s="86"/>
      <c r="I1582" s="294"/>
      <c r="J1582" s="59"/>
      <c r="K1582" s="83"/>
      <c r="L1582" s="83" t="str">
        <f t="shared" si="50"/>
        <v xml:space="preserve">
</v>
      </c>
      <c r="M1582" s="83"/>
      <c r="N1582" s="59"/>
      <c r="O1582" s="59"/>
      <c r="P1582" s="86">
        <f t="shared" si="51"/>
        <v>0</v>
      </c>
      <c r="Q1582" s="59"/>
      <c r="R1582" s="59"/>
      <c r="S1582" s="59"/>
      <c r="T1582" s="59"/>
      <c r="U1582" s="290"/>
      <c r="V1582" s="290"/>
      <c r="W1582" s="290"/>
      <c r="X1582" s="290"/>
      <c r="Y1582" s="290"/>
      <c r="Z1582" s="290"/>
      <c r="AA1582" s="290"/>
      <c r="AB1582" s="290"/>
      <c r="AC1582" s="290"/>
      <c r="AD1582" s="290"/>
    </row>
    <row r="1583" spans="1:30" ht="25.5">
      <c r="A1583" s="291"/>
      <c r="B1583" s="291"/>
      <c r="C1583" s="291"/>
      <c r="D1583" s="83"/>
      <c r="E1583" s="59"/>
      <c r="F1583" s="82"/>
      <c r="G1583" s="82"/>
      <c r="H1583" s="86"/>
      <c r="I1583" s="294"/>
      <c r="J1583" s="59"/>
      <c r="K1583" s="83"/>
      <c r="L1583" s="83" t="str">
        <f t="shared" si="50"/>
        <v xml:space="preserve">
</v>
      </c>
      <c r="M1583" s="83"/>
      <c r="N1583" s="59"/>
      <c r="O1583" s="59"/>
      <c r="P1583" s="86">
        <f t="shared" si="51"/>
        <v>0</v>
      </c>
      <c r="Q1583" s="59"/>
      <c r="R1583" s="59"/>
      <c r="S1583" s="59"/>
      <c r="T1583" s="59"/>
      <c r="U1583" s="290"/>
      <c r="V1583" s="290"/>
      <c r="W1583" s="290"/>
      <c r="X1583" s="290"/>
      <c r="Y1583" s="290"/>
      <c r="Z1583" s="290"/>
      <c r="AA1583" s="290"/>
      <c r="AB1583" s="290"/>
      <c r="AC1583" s="290"/>
      <c r="AD1583" s="290"/>
    </row>
    <row r="1584" spans="1:30" ht="25.5">
      <c r="A1584" s="291"/>
      <c r="B1584" s="291"/>
      <c r="C1584" s="291"/>
      <c r="D1584" s="83"/>
      <c r="E1584" s="59"/>
      <c r="F1584" s="82"/>
      <c r="G1584" s="82"/>
      <c r="H1584" s="86"/>
      <c r="I1584" s="294"/>
      <c r="J1584" s="59"/>
      <c r="K1584" s="83"/>
      <c r="L1584" s="83" t="str">
        <f t="shared" si="50"/>
        <v xml:space="preserve">
</v>
      </c>
      <c r="M1584" s="83"/>
      <c r="N1584" s="59"/>
      <c r="O1584" s="59"/>
      <c r="P1584" s="86">
        <f t="shared" si="51"/>
        <v>0</v>
      </c>
      <c r="Q1584" s="59"/>
      <c r="R1584" s="59"/>
      <c r="S1584" s="59"/>
      <c r="T1584" s="59"/>
      <c r="U1584" s="290"/>
      <c r="V1584" s="290"/>
      <c r="W1584" s="290"/>
      <c r="X1584" s="290"/>
      <c r="Y1584" s="290"/>
      <c r="Z1584" s="290"/>
      <c r="AA1584" s="290"/>
      <c r="AB1584" s="290"/>
      <c r="AC1584" s="290"/>
      <c r="AD1584" s="290"/>
    </row>
    <row r="1585" spans="1:30" ht="25.5">
      <c r="A1585" s="291"/>
      <c r="B1585" s="291"/>
      <c r="C1585" s="291"/>
      <c r="D1585" s="83"/>
      <c r="E1585" s="59"/>
      <c r="F1585" s="82"/>
      <c r="G1585" s="82"/>
      <c r="H1585" s="86"/>
      <c r="I1585" s="294"/>
      <c r="J1585" s="59"/>
      <c r="K1585" s="83"/>
      <c r="L1585" s="83" t="str">
        <f t="shared" si="50"/>
        <v xml:space="preserve">
</v>
      </c>
      <c r="M1585" s="83"/>
      <c r="N1585" s="59"/>
      <c r="O1585" s="59"/>
      <c r="P1585" s="86">
        <f t="shared" si="51"/>
        <v>0</v>
      </c>
      <c r="Q1585" s="59"/>
      <c r="R1585" s="59"/>
      <c r="S1585" s="59"/>
      <c r="T1585" s="59"/>
      <c r="U1585" s="290"/>
      <c r="V1585" s="290"/>
      <c r="W1585" s="290"/>
      <c r="X1585" s="290"/>
      <c r="Y1585" s="290"/>
      <c r="Z1585" s="290"/>
      <c r="AA1585" s="290"/>
      <c r="AB1585" s="290"/>
      <c r="AC1585" s="290"/>
      <c r="AD1585" s="290"/>
    </row>
    <row r="1586" spans="1:30" ht="25.5">
      <c r="A1586" s="291"/>
      <c r="B1586" s="291"/>
      <c r="C1586" s="291"/>
      <c r="D1586" s="83"/>
      <c r="E1586" s="59"/>
      <c r="F1586" s="82"/>
      <c r="G1586" s="82"/>
      <c r="H1586" s="86"/>
      <c r="I1586" s="294"/>
      <c r="J1586" s="59"/>
      <c r="K1586" s="83"/>
      <c r="L1586" s="83" t="str">
        <f t="shared" si="50"/>
        <v xml:space="preserve">
</v>
      </c>
      <c r="M1586" s="83"/>
      <c r="N1586" s="59"/>
      <c r="O1586" s="59"/>
      <c r="P1586" s="86">
        <f t="shared" si="51"/>
        <v>0</v>
      </c>
      <c r="Q1586" s="59"/>
      <c r="R1586" s="59"/>
      <c r="S1586" s="59"/>
      <c r="T1586" s="59"/>
      <c r="U1586" s="290"/>
      <c r="V1586" s="290"/>
      <c r="W1586" s="290"/>
      <c r="X1586" s="290"/>
      <c r="Y1586" s="290"/>
      <c r="Z1586" s="290"/>
      <c r="AA1586" s="290"/>
      <c r="AB1586" s="290"/>
      <c r="AC1586" s="290"/>
      <c r="AD1586" s="290"/>
    </row>
    <row r="1587" spans="1:30" ht="25.5">
      <c r="A1587" s="291"/>
      <c r="B1587" s="291"/>
      <c r="C1587" s="291"/>
      <c r="D1587" s="83"/>
      <c r="E1587" s="59"/>
      <c r="F1587" s="82"/>
      <c r="G1587" s="82"/>
      <c r="H1587" s="86"/>
      <c r="I1587" s="294"/>
      <c r="J1587" s="59"/>
      <c r="K1587" s="83"/>
      <c r="L1587" s="83" t="str">
        <f t="shared" si="50"/>
        <v xml:space="preserve">
</v>
      </c>
      <c r="M1587" s="83"/>
      <c r="N1587" s="59"/>
      <c r="O1587" s="59"/>
      <c r="P1587" s="86">
        <f t="shared" si="51"/>
        <v>0</v>
      </c>
      <c r="Q1587" s="59"/>
      <c r="R1587" s="59"/>
      <c r="S1587" s="59"/>
      <c r="T1587" s="59"/>
      <c r="U1587" s="290"/>
      <c r="V1587" s="290"/>
      <c r="W1587" s="290"/>
      <c r="X1587" s="290"/>
      <c r="Y1587" s="290"/>
      <c r="Z1587" s="290"/>
      <c r="AA1587" s="290"/>
      <c r="AB1587" s="290"/>
      <c r="AC1587" s="290"/>
      <c r="AD1587" s="290"/>
    </row>
    <row r="1588" spans="1:30" ht="25.5">
      <c r="A1588" s="291"/>
      <c r="B1588" s="291"/>
      <c r="C1588" s="291"/>
      <c r="D1588" s="83"/>
      <c r="E1588" s="59"/>
      <c r="F1588" s="82"/>
      <c r="G1588" s="82"/>
      <c r="H1588" s="86"/>
      <c r="I1588" s="294"/>
      <c r="J1588" s="59"/>
      <c r="K1588" s="83"/>
      <c r="L1588" s="83" t="str">
        <f t="shared" si="50"/>
        <v xml:space="preserve">
</v>
      </c>
      <c r="M1588" s="83"/>
      <c r="N1588" s="59"/>
      <c r="O1588" s="59"/>
      <c r="P1588" s="86">
        <f t="shared" si="51"/>
        <v>0</v>
      </c>
      <c r="Q1588" s="59"/>
      <c r="R1588" s="59"/>
      <c r="S1588" s="59"/>
      <c r="T1588" s="59"/>
      <c r="U1588" s="290"/>
      <c r="V1588" s="290"/>
      <c r="W1588" s="290"/>
      <c r="X1588" s="290"/>
      <c r="Y1588" s="290"/>
      <c r="Z1588" s="290"/>
      <c r="AA1588" s="290"/>
      <c r="AB1588" s="290"/>
      <c r="AC1588" s="290"/>
      <c r="AD1588" s="290"/>
    </row>
    <row r="1589" spans="1:30" ht="25.5">
      <c r="A1589" s="291"/>
      <c r="B1589" s="291"/>
      <c r="C1589" s="291"/>
      <c r="D1589" s="83"/>
      <c r="E1589" s="59"/>
      <c r="F1589" s="82"/>
      <c r="G1589" s="82"/>
      <c r="H1589" s="86"/>
      <c r="I1589" s="294"/>
      <c r="J1589" s="59"/>
      <c r="K1589" s="83"/>
      <c r="L1589" s="83" t="str">
        <f t="shared" si="50"/>
        <v xml:space="preserve">
</v>
      </c>
      <c r="M1589" s="83"/>
      <c r="N1589" s="59"/>
      <c r="O1589" s="59"/>
      <c r="P1589" s="86">
        <f t="shared" si="51"/>
        <v>0</v>
      </c>
      <c r="Q1589" s="59"/>
      <c r="R1589" s="59"/>
      <c r="S1589" s="59"/>
      <c r="T1589" s="59"/>
      <c r="U1589" s="290"/>
      <c r="V1589" s="290"/>
      <c r="W1589" s="290"/>
      <c r="X1589" s="290"/>
      <c r="Y1589" s="290"/>
      <c r="Z1589" s="290"/>
      <c r="AA1589" s="290"/>
      <c r="AB1589" s="290"/>
      <c r="AC1589" s="290"/>
      <c r="AD1589" s="290"/>
    </row>
    <row r="1590" spans="1:30" ht="25.5">
      <c r="A1590" s="291"/>
      <c r="B1590" s="291"/>
      <c r="C1590" s="291"/>
      <c r="D1590" s="83"/>
      <c r="E1590" s="59"/>
      <c r="F1590" s="82"/>
      <c r="G1590" s="82"/>
      <c r="H1590" s="86"/>
      <c r="I1590" s="294"/>
      <c r="J1590" s="59"/>
      <c r="K1590" s="83"/>
      <c r="L1590" s="83" t="str">
        <f t="shared" si="50"/>
        <v xml:space="preserve">
</v>
      </c>
      <c r="M1590" s="83"/>
      <c r="N1590" s="59"/>
      <c r="O1590" s="59"/>
      <c r="P1590" s="86">
        <f t="shared" si="51"/>
        <v>0</v>
      </c>
      <c r="Q1590" s="59"/>
      <c r="R1590" s="59"/>
      <c r="S1590" s="59"/>
      <c r="T1590" s="59"/>
      <c r="U1590" s="290"/>
      <c r="V1590" s="290"/>
      <c r="W1590" s="290"/>
      <c r="X1590" s="290"/>
      <c r="Y1590" s="290"/>
      <c r="Z1590" s="290"/>
      <c r="AA1590" s="290"/>
      <c r="AB1590" s="290"/>
      <c r="AC1590" s="290"/>
      <c r="AD1590" s="290"/>
    </row>
    <row r="1591" spans="1:30" ht="25.5">
      <c r="A1591" s="291"/>
      <c r="B1591" s="291"/>
      <c r="C1591" s="291"/>
      <c r="D1591" s="83"/>
      <c r="E1591" s="59"/>
      <c r="F1591" s="82"/>
      <c r="G1591" s="82"/>
      <c r="H1591" s="86"/>
      <c r="I1591" s="294"/>
      <c r="J1591" s="59"/>
      <c r="K1591" s="83"/>
      <c r="L1591" s="83" t="str">
        <f t="shared" si="50"/>
        <v xml:space="preserve">
</v>
      </c>
      <c r="M1591" s="83"/>
      <c r="N1591" s="59"/>
      <c r="O1591" s="59"/>
      <c r="P1591" s="86">
        <f t="shared" si="51"/>
        <v>0</v>
      </c>
      <c r="Q1591" s="59"/>
      <c r="R1591" s="59"/>
      <c r="S1591" s="59"/>
      <c r="T1591" s="59"/>
      <c r="U1591" s="290"/>
      <c r="V1591" s="290"/>
      <c r="W1591" s="290"/>
      <c r="X1591" s="290"/>
      <c r="Y1591" s="290"/>
      <c r="Z1591" s="290"/>
      <c r="AA1591" s="290"/>
      <c r="AB1591" s="290"/>
      <c r="AC1591" s="290"/>
      <c r="AD1591" s="290"/>
    </row>
    <row r="1592" spans="1:30" ht="25.5">
      <c r="A1592" s="291"/>
      <c r="B1592" s="291"/>
      <c r="C1592" s="291"/>
      <c r="D1592" s="83"/>
      <c r="E1592" s="59"/>
      <c r="F1592" s="82"/>
      <c r="G1592" s="82"/>
      <c r="H1592" s="86"/>
      <c r="I1592" s="294"/>
      <c r="J1592" s="59"/>
      <c r="K1592" s="83"/>
      <c r="L1592" s="83" t="str">
        <f t="shared" si="50"/>
        <v xml:space="preserve">
</v>
      </c>
      <c r="M1592" s="83"/>
      <c r="N1592" s="59"/>
      <c r="O1592" s="59"/>
      <c r="P1592" s="86">
        <f t="shared" si="51"/>
        <v>0</v>
      </c>
      <c r="Q1592" s="59"/>
      <c r="R1592" s="59"/>
      <c r="S1592" s="59"/>
      <c r="T1592" s="59"/>
      <c r="U1592" s="290"/>
      <c r="V1592" s="290"/>
      <c r="W1592" s="290"/>
      <c r="X1592" s="290"/>
      <c r="Y1592" s="290"/>
      <c r="Z1592" s="290"/>
      <c r="AA1592" s="290"/>
      <c r="AB1592" s="290"/>
      <c r="AC1592" s="290"/>
      <c r="AD1592" s="290"/>
    </row>
    <row r="1593" spans="1:30" ht="25.5">
      <c r="A1593" s="291"/>
      <c r="B1593" s="291"/>
      <c r="C1593" s="291"/>
      <c r="D1593" s="83"/>
      <c r="E1593" s="59"/>
      <c r="F1593" s="82"/>
      <c r="G1593" s="82"/>
      <c r="H1593" s="86"/>
      <c r="I1593" s="294"/>
      <c r="J1593" s="59"/>
      <c r="K1593" s="83"/>
      <c r="L1593" s="83" t="str">
        <f t="shared" si="50"/>
        <v xml:space="preserve">
</v>
      </c>
      <c r="M1593" s="83"/>
      <c r="N1593" s="59"/>
      <c r="O1593" s="59"/>
      <c r="P1593" s="86">
        <f t="shared" si="51"/>
        <v>0</v>
      </c>
      <c r="Q1593" s="59"/>
      <c r="R1593" s="59"/>
      <c r="S1593" s="59"/>
      <c r="T1593" s="59"/>
      <c r="U1593" s="290"/>
      <c r="V1593" s="290"/>
      <c r="W1593" s="290"/>
      <c r="X1593" s="290"/>
      <c r="Y1593" s="290"/>
      <c r="Z1593" s="290"/>
      <c r="AA1593" s="290"/>
      <c r="AB1593" s="290"/>
      <c r="AC1593" s="290"/>
      <c r="AD1593" s="290"/>
    </row>
    <row r="1594" spans="1:30" ht="25.5">
      <c r="A1594" s="291"/>
      <c r="B1594" s="291"/>
      <c r="C1594" s="291"/>
      <c r="D1594" s="83"/>
      <c r="E1594" s="59"/>
      <c r="F1594" s="82"/>
      <c r="G1594" s="82"/>
      <c r="H1594" s="86"/>
      <c r="I1594" s="294"/>
      <c r="J1594" s="59"/>
      <c r="K1594" s="83"/>
      <c r="L1594" s="83" t="str">
        <f t="shared" si="50"/>
        <v xml:space="preserve">
</v>
      </c>
      <c r="M1594" s="83"/>
      <c r="N1594" s="59"/>
      <c r="O1594" s="59"/>
      <c r="P1594" s="86">
        <f t="shared" si="51"/>
        <v>0</v>
      </c>
      <c r="Q1594" s="59"/>
      <c r="R1594" s="59"/>
      <c r="S1594" s="59"/>
      <c r="T1594" s="59"/>
      <c r="U1594" s="290"/>
      <c r="V1594" s="290"/>
      <c r="W1594" s="290"/>
      <c r="X1594" s="290"/>
      <c r="Y1594" s="290"/>
      <c r="Z1594" s="290"/>
      <c r="AA1594" s="290"/>
      <c r="AB1594" s="290"/>
      <c r="AC1594" s="290"/>
      <c r="AD1594" s="290"/>
    </row>
    <row r="1595" spans="1:30" ht="25.5">
      <c r="A1595" s="291"/>
      <c r="B1595" s="291"/>
      <c r="C1595" s="291"/>
      <c r="D1595" s="83"/>
      <c r="E1595" s="59"/>
      <c r="F1595" s="82"/>
      <c r="G1595" s="82"/>
      <c r="H1595" s="86"/>
      <c r="I1595" s="294"/>
      <c r="J1595" s="59"/>
      <c r="K1595" s="83"/>
      <c r="L1595" s="83" t="str">
        <f t="shared" si="50"/>
        <v xml:space="preserve">
</v>
      </c>
      <c r="M1595" s="83"/>
      <c r="N1595" s="59"/>
      <c r="O1595" s="59"/>
      <c r="P1595" s="86">
        <f t="shared" si="51"/>
        <v>0</v>
      </c>
      <c r="Q1595" s="59"/>
      <c r="R1595" s="59"/>
      <c r="S1595" s="59"/>
      <c r="T1595" s="59"/>
      <c r="U1595" s="290"/>
      <c r="V1595" s="290"/>
      <c r="W1595" s="290"/>
      <c r="X1595" s="290"/>
      <c r="Y1595" s="290"/>
      <c r="Z1595" s="290"/>
      <c r="AA1595" s="290"/>
      <c r="AB1595" s="290"/>
      <c r="AC1595" s="290"/>
      <c r="AD1595" s="290"/>
    </row>
    <row r="1596" spans="1:30" ht="25.5">
      <c r="A1596" s="291"/>
      <c r="B1596" s="291"/>
      <c r="C1596" s="291"/>
      <c r="D1596" s="83"/>
      <c r="E1596" s="59"/>
      <c r="F1596" s="82"/>
      <c r="G1596" s="82"/>
      <c r="H1596" s="86"/>
      <c r="I1596" s="294"/>
      <c r="J1596" s="59"/>
      <c r="K1596" s="83"/>
      <c r="L1596" s="83" t="str">
        <f t="shared" si="50"/>
        <v xml:space="preserve">
</v>
      </c>
      <c r="M1596" s="83"/>
      <c r="N1596" s="59"/>
      <c r="O1596" s="59"/>
      <c r="P1596" s="86">
        <f t="shared" si="51"/>
        <v>0</v>
      </c>
      <c r="Q1596" s="59"/>
      <c r="R1596" s="59"/>
      <c r="S1596" s="59"/>
      <c r="T1596" s="59"/>
      <c r="U1596" s="290"/>
      <c r="V1596" s="290"/>
      <c r="W1596" s="290"/>
      <c r="X1596" s="290"/>
      <c r="Y1596" s="290"/>
      <c r="Z1596" s="290"/>
      <c r="AA1596" s="290"/>
      <c r="AB1596" s="290"/>
      <c r="AC1596" s="290"/>
      <c r="AD1596" s="290"/>
    </row>
    <row r="1597" spans="1:30" ht="25.5">
      <c r="A1597" s="291"/>
      <c r="B1597" s="291"/>
      <c r="C1597" s="291"/>
      <c r="D1597" s="83"/>
      <c r="E1597" s="59"/>
      <c r="F1597" s="82"/>
      <c r="G1597" s="82"/>
      <c r="H1597" s="86"/>
      <c r="I1597" s="294"/>
      <c r="J1597" s="59"/>
      <c r="K1597" s="83"/>
      <c r="L1597" s="83" t="str">
        <f t="shared" si="50"/>
        <v xml:space="preserve">
</v>
      </c>
      <c r="M1597" s="83"/>
      <c r="N1597" s="59"/>
      <c r="O1597" s="59"/>
      <c r="P1597" s="86">
        <f t="shared" si="51"/>
        <v>0</v>
      </c>
      <c r="Q1597" s="59"/>
      <c r="R1597" s="59"/>
      <c r="S1597" s="59"/>
      <c r="T1597" s="59"/>
      <c r="U1597" s="290"/>
      <c r="V1597" s="290"/>
      <c r="W1597" s="290"/>
      <c r="X1597" s="290"/>
      <c r="Y1597" s="290"/>
      <c r="Z1597" s="290"/>
      <c r="AA1597" s="290"/>
      <c r="AB1597" s="290"/>
      <c r="AC1597" s="290"/>
      <c r="AD1597" s="290"/>
    </row>
    <row r="1598" spans="1:30" ht="25.5">
      <c r="A1598" s="291"/>
      <c r="B1598" s="291"/>
      <c r="C1598" s="291"/>
      <c r="D1598" s="83"/>
      <c r="E1598" s="59"/>
      <c r="F1598" s="82"/>
      <c r="G1598" s="82"/>
      <c r="H1598" s="86"/>
      <c r="I1598" s="294"/>
      <c r="J1598" s="59"/>
      <c r="K1598" s="83"/>
      <c r="L1598" s="83" t="str">
        <f t="shared" si="50"/>
        <v xml:space="preserve">
</v>
      </c>
      <c r="M1598" s="83"/>
      <c r="N1598" s="59"/>
      <c r="O1598" s="59"/>
      <c r="P1598" s="86">
        <f t="shared" si="51"/>
        <v>0</v>
      </c>
      <c r="Q1598" s="59"/>
      <c r="R1598" s="59"/>
      <c r="S1598" s="59"/>
      <c r="T1598" s="59"/>
      <c r="U1598" s="290"/>
      <c r="V1598" s="290"/>
      <c r="W1598" s="290"/>
      <c r="X1598" s="290"/>
      <c r="Y1598" s="290"/>
      <c r="Z1598" s="290"/>
      <c r="AA1598" s="290"/>
      <c r="AB1598" s="290"/>
      <c r="AC1598" s="290"/>
      <c r="AD1598" s="290"/>
    </row>
    <row r="1599" spans="1:30" ht="25.5">
      <c r="A1599" s="291"/>
      <c r="B1599" s="291"/>
      <c r="C1599" s="291"/>
      <c r="D1599" s="83"/>
      <c r="E1599" s="59"/>
      <c r="F1599" s="82"/>
      <c r="G1599" s="82"/>
      <c r="H1599" s="86"/>
      <c r="I1599" s="294"/>
      <c r="J1599" s="59"/>
      <c r="K1599" s="83"/>
      <c r="L1599" s="83" t="str">
        <f t="shared" si="50"/>
        <v xml:space="preserve">
</v>
      </c>
      <c r="M1599" s="83"/>
      <c r="N1599" s="59"/>
      <c r="O1599" s="59"/>
      <c r="P1599" s="86">
        <f t="shared" si="51"/>
        <v>0</v>
      </c>
      <c r="Q1599" s="59"/>
      <c r="R1599" s="59"/>
      <c r="S1599" s="59"/>
      <c r="T1599" s="59"/>
      <c r="U1599" s="290"/>
      <c r="V1599" s="290"/>
      <c r="W1599" s="290"/>
      <c r="X1599" s="290"/>
      <c r="Y1599" s="290"/>
      <c r="Z1599" s="290"/>
      <c r="AA1599" s="290"/>
      <c r="AB1599" s="290"/>
      <c r="AC1599" s="290"/>
      <c r="AD1599" s="290"/>
    </row>
    <row r="1600" spans="1:30" ht="25.5">
      <c r="A1600" s="291"/>
      <c r="B1600" s="291"/>
      <c r="C1600" s="291"/>
      <c r="D1600" s="83"/>
      <c r="E1600" s="59"/>
      <c r="F1600" s="82"/>
      <c r="G1600" s="82"/>
      <c r="H1600" s="86"/>
      <c r="I1600" s="294"/>
      <c r="J1600" s="59"/>
      <c r="K1600" s="83"/>
      <c r="L1600" s="83" t="str">
        <f t="shared" si="50"/>
        <v xml:space="preserve">
</v>
      </c>
      <c r="M1600" s="83"/>
      <c r="N1600" s="59"/>
      <c r="O1600" s="59"/>
      <c r="P1600" s="86">
        <f t="shared" si="51"/>
        <v>0</v>
      </c>
      <c r="Q1600" s="59"/>
      <c r="R1600" s="59"/>
      <c r="S1600" s="59"/>
      <c r="T1600" s="59"/>
      <c r="U1600" s="290"/>
      <c r="V1600" s="290"/>
      <c r="W1600" s="290"/>
      <c r="X1600" s="290"/>
      <c r="Y1600" s="290"/>
      <c r="Z1600" s="290"/>
      <c r="AA1600" s="290"/>
      <c r="AB1600" s="290"/>
      <c r="AC1600" s="290"/>
      <c r="AD1600" s="290"/>
    </row>
    <row r="1601" spans="1:30" ht="25.5">
      <c r="A1601" s="291"/>
      <c r="B1601" s="291"/>
      <c r="C1601" s="291"/>
      <c r="D1601" s="83"/>
      <c r="E1601" s="59"/>
      <c r="F1601" s="82"/>
      <c r="G1601" s="82"/>
      <c r="H1601" s="86"/>
      <c r="I1601" s="294"/>
      <c r="J1601" s="59"/>
      <c r="K1601" s="83"/>
      <c r="L1601" s="83" t="str">
        <f t="shared" si="50"/>
        <v xml:space="preserve">
</v>
      </c>
      <c r="M1601" s="83"/>
      <c r="N1601" s="59"/>
      <c r="O1601" s="59"/>
      <c r="P1601" s="86">
        <f t="shared" si="51"/>
        <v>0</v>
      </c>
      <c r="Q1601" s="59"/>
      <c r="R1601" s="59"/>
      <c r="S1601" s="59"/>
      <c r="T1601" s="59"/>
      <c r="U1601" s="290"/>
      <c r="V1601" s="290"/>
      <c r="W1601" s="290"/>
      <c r="X1601" s="290"/>
      <c r="Y1601" s="290"/>
      <c r="Z1601" s="290"/>
      <c r="AA1601" s="290"/>
      <c r="AB1601" s="290"/>
      <c r="AC1601" s="290"/>
      <c r="AD1601" s="290"/>
    </row>
    <row r="1602" spans="1:30" ht="25.5">
      <c r="A1602" s="291"/>
      <c r="B1602" s="291"/>
      <c r="C1602" s="291"/>
      <c r="D1602" s="83"/>
      <c r="E1602" s="59"/>
      <c r="F1602" s="82"/>
      <c r="G1602" s="82"/>
      <c r="H1602" s="86"/>
      <c r="I1602" s="294"/>
      <c r="J1602" s="59"/>
      <c r="K1602" s="83"/>
      <c r="L1602" s="83" t="str">
        <f t="shared" si="50"/>
        <v xml:space="preserve">
</v>
      </c>
      <c r="M1602" s="83"/>
      <c r="N1602" s="59"/>
      <c r="O1602" s="59"/>
      <c r="P1602" s="86">
        <f t="shared" si="51"/>
        <v>0</v>
      </c>
      <c r="Q1602" s="59"/>
      <c r="R1602" s="59"/>
      <c r="S1602" s="59"/>
      <c r="T1602" s="59"/>
      <c r="U1602" s="290"/>
      <c r="V1602" s="290"/>
      <c r="W1602" s="290"/>
      <c r="X1602" s="290"/>
      <c r="Y1602" s="290"/>
      <c r="Z1602" s="290"/>
      <c r="AA1602" s="290"/>
      <c r="AB1602" s="290"/>
      <c r="AC1602" s="290"/>
      <c r="AD1602" s="290"/>
    </row>
    <row r="1603" spans="1:30" ht="25.5">
      <c r="A1603" s="291"/>
      <c r="B1603" s="291"/>
      <c r="C1603" s="291"/>
      <c r="D1603" s="83"/>
      <c r="E1603" s="59"/>
      <c r="F1603" s="82"/>
      <c r="G1603" s="82"/>
      <c r="H1603" s="86"/>
      <c r="I1603" s="294"/>
      <c r="J1603" s="59"/>
      <c r="K1603" s="83"/>
      <c r="L1603" s="83" t="str">
        <f t="shared" si="50"/>
        <v xml:space="preserve">
</v>
      </c>
      <c r="M1603" s="83"/>
      <c r="N1603" s="59"/>
      <c r="O1603" s="59"/>
      <c r="P1603" s="86">
        <f t="shared" si="51"/>
        <v>0</v>
      </c>
      <c r="Q1603" s="59"/>
      <c r="R1603" s="59"/>
      <c r="S1603" s="59"/>
      <c r="T1603" s="59"/>
      <c r="U1603" s="290"/>
      <c r="V1603" s="290"/>
      <c r="W1603" s="290"/>
      <c r="X1603" s="290"/>
      <c r="Y1603" s="290"/>
      <c r="Z1603" s="290"/>
      <c r="AA1603" s="290"/>
      <c r="AB1603" s="290"/>
      <c r="AC1603" s="290"/>
      <c r="AD1603" s="290"/>
    </row>
    <row r="1604" spans="1:30" ht="25.5">
      <c r="A1604" s="291"/>
      <c r="B1604" s="291"/>
      <c r="C1604" s="291"/>
      <c r="D1604" s="83"/>
      <c r="E1604" s="59"/>
      <c r="F1604" s="82"/>
      <c r="G1604" s="82"/>
      <c r="H1604" s="86"/>
      <c r="I1604" s="294"/>
      <c r="J1604" s="59"/>
      <c r="K1604" s="83"/>
      <c r="L1604" s="83" t="str">
        <f t="shared" si="50"/>
        <v xml:space="preserve">
</v>
      </c>
      <c r="M1604" s="83"/>
      <c r="N1604" s="59"/>
      <c r="O1604" s="59"/>
      <c r="P1604" s="86">
        <f t="shared" si="51"/>
        <v>0</v>
      </c>
      <c r="Q1604" s="59"/>
      <c r="R1604" s="59"/>
      <c r="S1604" s="59"/>
      <c r="T1604" s="59"/>
      <c r="U1604" s="290"/>
      <c r="V1604" s="290"/>
      <c r="W1604" s="290"/>
      <c r="X1604" s="290"/>
      <c r="Y1604" s="290"/>
      <c r="Z1604" s="290"/>
      <c r="AA1604" s="290"/>
      <c r="AB1604" s="290"/>
      <c r="AC1604" s="290"/>
      <c r="AD1604" s="290"/>
    </row>
    <row r="1605" spans="1:30" ht="25.5">
      <c r="A1605" s="291"/>
      <c r="B1605" s="291"/>
      <c r="C1605" s="291"/>
      <c r="D1605" s="83"/>
      <c r="E1605" s="59"/>
      <c r="F1605" s="82"/>
      <c r="G1605" s="82"/>
      <c r="H1605" s="86"/>
      <c r="I1605" s="294"/>
      <c r="J1605" s="59"/>
      <c r="K1605" s="83"/>
      <c r="L1605" s="83" t="str">
        <f t="shared" si="50"/>
        <v xml:space="preserve">
</v>
      </c>
      <c r="M1605" s="83"/>
      <c r="N1605" s="59"/>
      <c r="O1605" s="59"/>
      <c r="P1605" s="86">
        <f t="shared" si="51"/>
        <v>0</v>
      </c>
      <c r="Q1605" s="59"/>
      <c r="R1605" s="59"/>
      <c r="S1605" s="59"/>
      <c r="T1605" s="59"/>
      <c r="U1605" s="290"/>
      <c r="V1605" s="290"/>
      <c r="W1605" s="290"/>
      <c r="X1605" s="290"/>
      <c r="Y1605" s="290"/>
      <c r="Z1605" s="290"/>
      <c r="AA1605" s="290"/>
      <c r="AB1605" s="290"/>
      <c r="AC1605" s="290"/>
      <c r="AD1605" s="290"/>
    </row>
    <row r="1606" spans="1:30" ht="25.5">
      <c r="A1606" s="291"/>
      <c r="B1606" s="291"/>
      <c r="C1606" s="291"/>
      <c r="D1606" s="83"/>
      <c r="E1606" s="59"/>
      <c r="F1606" s="82"/>
      <c r="G1606" s="82"/>
      <c r="H1606" s="86"/>
      <c r="I1606" s="294"/>
      <c r="J1606" s="59"/>
      <c r="K1606" s="83"/>
      <c r="L1606" s="83" t="str">
        <f t="shared" si="50"/>
        <v xml:space="preserve">
</v>
      </c>
      <c r="M1606" s="83"/>
      <c r="N1606" s="59"/>
      <c r="O1606" s="59"/>
      <c r="P1606" s="86">
        <f t="shared" si="51"/>
        <v>0</v>
      </c>
      <c r="Q1606" s="59"/>
      <c r="R1606" s="59"/>
      <c r="S1606" s="59"/>
      <c r="T1606" s="59"/>
      <c r="U1606" s="290"/>
      <c r="V1606" s="290"/>
      <c r="W1606" s="290"/>
      <c r="X1606" s="290"/>
      <c r="Y1606" s="290"/>
      <c r="Z1606" s="290"/>
      <c r="AA1606" s="290"/>
      <c r="AB1606" s="290"/>
      <c r="AC1606" s="290"/>
      <c r="AD1606" s="290"/>
    </row>
    <row r="1607" spans="1:30" ht="25.5">
      <c r="A1607" s="291"/>
      <c r="B1607" s="291"/>
      <c r="C1607" s="291"/>
      <c r="D1607" s="83"/>
      <c r="E1607" s="59"/>
      <c r="F1607" s="82"/>
      <c r="G1607" s="82"/>
      <c r="H1607" s="86"/>
      <c r="I1607" s="294"/>
      <c r="J1607" s="59"/>
      <c r="K1607" s="83"/>
      <c r="L1607" s="83" t="str">
        <f t="shared" si="50"/>
        <v xml:space="preserve">
</v>
      </c>
      <c r="M1607" s="83"/>
      <c r="N1607" s="59"/>
      <c r="O1607" s="59"/>
      <c r="P1607" s="86">
        <f t="shared" si="51"/>
        <v>0</v>
      </c>
      <c r="Q1607" s="59"/>
      <c r="R1607" s="59"/>
      <c r="S1607" s="59"/>
      <c r="T1607" s="59"/>
      <c r="U1607" s="290"/>
      <c r="V1607" s="290"/>
      <c r="W1607" s="290"/>
      <c r="X1607" s="290"/>
      <c r="Y1607" s="290"/>
      <c r="Z1607" s="290"/>
      <c r="AA1607" s="290"/>
      <c r="AB1607" s="290"/>
      <c r="AC1607" s="290"/>
      <c r="AD1607" s="290"/>
    </row>
    <row r="1608" spans="1:30" ht="25.5">
      <c r="A1608" s="291"/>
      <c r="B1608" s="291"/>
      <c r="C1608" s="291"/>
      <c r="D1608" s="83"/>
      <c r="E1608" s="59"/>
      <c r="F1608" s="82"/>
      <c r="G1608" s="82"/>
      <c r="H1608" s="86"/>
      <c r="I1608" s="294"/>
      <c r="J1608" s="59"/>
      <c r="K1608" s="83"/>
      <c r="L1608" s="83" t="str">
        <f t="shared" si="50"/>
        <v xml:space="preserve">
</v>
      </c>
      <c r="M1608" s="83"/>
      <c r="N1608" s="59"/>
      <c r="O1608" s="59"/>
      <c r="P1608" s="86">
        <f t="shared" si="51"/>
        <v>0</v>
      </c>
      <c r="Q1608" s="59"/>
      <c r="R1608" s="59"/>
      <c r="S1608" s="59"/>
      <c r="T1608" s="59"/>
      <c r="U1608" s="290"/>
      <c r="V1608" s="290"/>
      <c r="W1608" s="290"/>
      <c r="X1608" s="290"/>
      <c r="Y1608" s="290"/>
      <c r="Z1608" s="290"/>
      <c r="AA1608" s="290"/>
      <c r="AB1608" s="290"/>
      <c r="AC1608" s="290"/>
      <c r="AD1608" s="290"/>
    </row>
    <row r="1609" spans="1:30" ht="25.5">
      <c r="A1609" s="291"/>
      <c r="B1609" s="291"/>
      <c r="C1609" s="291"/>
      <c r="D1609" s="83"/>
      <c r="E1609" s="59"/>
      <c r="F1609" s="82"/>
      <c r="G1609" s="82"/>
      <c r="H1609" s="86"/>
      <c r="I1609" s="294"/>
      <c r="J1609" s="59"/>
      <c r="K1609" s="83"/>
      <c r="L1609" s="83" t="str">
        <f t="shared" si="50"/>
        <v xml:space="preserve">
</v>
      </c>
      <c r="M1609" s="83"/>
      <c r="N1609" s="59"/>
      <c r="O1609" s="59"/>
      <c r="P1609" s="86">
        <f t="shared" si="51"/>
        <v>0</v>
      </c>
      <c r="Q1609" s="59"/>
      <c r="R1609" s="59"/>
      <c r="S1609" s="59"/>
      <c r="T1609" s="59"/>
      <c r="U1609" s="290"/>
      <c r="V1609" s="290"/>
      <c r="W1609" s="290"/>
      <c r="X1609" s="290"/>
      <c r="Y1609" s="290"/>
      <c r="Z1609" s="290"/>
      <c r="AA1609" s="290"/>
      <c r="AB1609" s="290"/>
      <c r="AC1609" s="290"/>
      <c r="AD1609" s="290"/>
    </row>
    <row r="1610" spans="1:30" ht="25.5">
      <c r="A1610" s="291"/>
      <c r="B1610" s="291"/>
      <c r="C1610" s="291"/>
      <c r="D1610" s="83"/>
      <c r="E1610" s="59"/>
      <c r="F1610" s="82"/>
      <c r="G1610" s="82"/>
      <c r="H1610" s="86"/>
      <c r="I1610" s="294"/>
      <c r="J1610" s="59"/>
      <c r="K1610" s="83"/>
      <c r="L1610" s="83" t="str">
        <f t="shared" si="50"/>
        <v xml:space="preserve">
</v>
      </c>
      <c r="M1610" s="83"/>
      <c r="N1610" s="59"/>
      <c r="O1610" s="59"/>
      <c r="P1610" s="86">
        <f t="shared" si="51"/>
        <v>0</v>
      </c>
      <c r="Q1610" s="59"/>
      <c r="R1610" s="59"/>
      <c r="S1610" s="59"/>
      <c r="T1610" s="59"/>
      <c r="U1610" s="290"/>
      <c r="V1610" s="290"/>
      <c r="W1610" s="290"/>
      <c r="X1610" s="290"/>
      <c r="Y1610" s="290"/>
      <c r="Z1610" s="290"/>
      <c r="AA1610" s="290"/>
      <c r="AB1610" s="290"/>
      <c r="AC1610" s="290"/>
      <c r="AD1610" s="290"/>
    </row>
    <row r="1611" spans="1:30" ht="25.5">
      <c r="A1611" s="291"/>
      <c r="B1611" s="291"/>
      <c r="C1611" s="291"/>
      <c r="D1611" s="83"/>
      <c r="E1611" s="59"/>
      <c r="F1611" s="82"/>
      <c r="G1611" s="82"/>
      <c r="H1611" s="86"/>
      <c r="I1611" s="294"/>
      <c r="J1611" s="59"/>
      <c r="K1611" s="83"/>
      <c r="L1611" s="83" t="str">
        <f t="shared" si="50"/>
        <v xml:space="preserve">
</v>
      </c>
      <c r="M1611" s="83"/>
      <c r="N1611" s="59"/>
      <c r="O1611" s="59"/>
      <c r="P1611" s="86">
        <f t="shared" si="51"/>
        <v>0</v>
      </c>
      <c r="Q1611" s="59"/>
      <c r="R1611" s="59"/>
      <c r="S1611" s="59"/>
      <c r="T1611" s="59"/>
      <c r="U1611" s="290"/>
      <c r="V1611" s="290"/>
      <c r="W1611" s="290"/>
      <c r="X1611" s="290"/>
      <c r="Y1611" s="290"/>
      <c r="Z1611" s="290"/>
      <c r="AA1611" s="290"/>
      <c r="AB1611" s="290"/>
      <c r="AC1611" s="290"/>
      <c r="AD1611" s="290"/>
    </row>
    <row r="1612" spans="1:30" ht="25.5">
      <c r="A1612" s="291"/>
      <c r="B1612" s="291"/>
      <c r="C1612" s="291"/>
      <c r="D1612" s="83"/>
      <c r="E1612" s="59"/>
      <c r="F1612" s="82"/>
      <c r="G1612" s="82"/>
      <c r="H1612" s="86"/>
      <c r="I1612" s="294"/>
      <c r="J1612" s="59"/>
      <c r="K1612" s="83"/>
      <c r="L1612" s="83" t="str">
        <f t="shared" si="50"/>
        <v xml:space="preserve">
</v>
      </c>
      <c r="M1612" s="83"/>
      <c r="N1612" s="59"/>
      <c r="O1612" s="59"/>
      <c r="P1612" s="86">
        <f t="shared" si="51"/>
        <v>0</v>
      </c>
      <c r="Q1612" s="59"/>
      <c r="R1612" s="59"/>
      <c r="S1612" s="59"/>
      <c r="T1612" s="59"/>
      <c r="U1612" s="290"/>
      <c r="V1612" s="290"/>
      <c r="W1612" s="290"/>
      <c r="X1612" s="290"/>
      <c r="Y1612" s="290"/>
      <c r="Z1612" s="290"/>
      <c r="AA1612" s="290"/>
      <c r="AB1612" s="290"/>
      <c r="AC1612" s="290"/>
      <c r="AD1612" s="290"/>
    </row>
    <row r="1613" spans="1:30" ht="25.5">
      <c r="A1613" s="291"/>
      <c r="B1613" s="291"/>
      <c r="C1613" s="291"/>
      <c r="D1613" s="83"/>
      <c r="E1613" s="59"/>
      <c r="F1613" s="82"/>
      <c r="G1613" s="82"/>
      <c r="H1613" s="86"/>
      <c r="I1613" s="294"/>
      <c r="J1613" s="59"/>
      <c r="K1613" s="83"/>
      <c r="L1613" s="83" t="str">
        <f t="shared" si="50"/>
        <v xml:space="preserve">
</v>
      </c>
      <c r="M1613" s="83"/>
      <c r="N1613" s="59"/>
      <c r="O1613" s="59"/>
      <c r="P1613" s="86">
        <f t="shared" si="51"/>
        <v>0</v>
      </c>
      <c r="Q1613" s="59"/>
      <c r="R1613" s="59"/>
      <c r="S1613" s="59"/>
      <c r="T1613" s="59"/>
      <c r="U1613" s="290"/>
      <c r="V1613" s="290"/>
      <c r="W1613" s="290"/>
      <c r="X1613" s="290"/>
      <c r="Y1613" s="290"/>
      <c r="Z1613" s="290"/>
      <c r="AA1613" s="290"/>
      <c r="AB1613" s="290"/>
      <c r="AC1613" s="290"/>
      <c r="AD1613" s="290"/>
    </row>
    <row r="1614" spans="1:30" ht="25.5">
      <c r="A1614" s="291"/>
      <c r="B1614" s="291"/>
      <c r="C1614" s="291"/>
      <c r="D1614" s="83"/>
      <c r="E1614" s="59"/>
      <c r="F1614" s="82"/>
      <c r="G1614" s="82"/>
      <c r="H1614" s="86"/>
      <c r="I1614" s="294"/>
      <c r="J1614" s="59"/>
      <c r="K1614" s="83"/>
      <c r="L1614" s="83" t="str">
        <f t="shared" si="50"/>
        <v xml:space="preserve">
</v>
      </c>
      <c r="M1614" s="83"/>
      <c r="N1614" s="59"/>
      <c r="O1614" s="59"/>
      <c r="P1614" s="86">
        <f t="shared" si="51"/>
        <v>0</v>
      </c>
      <c r="Q1614" s="59"/>
      <c r="R1614" s="59"/>
      <c r="S1614" s="59"/>
      <c r="T1614" s="59"/>
      <c r="U1614" s="290"/>
      <c r="V1614" s="290"/>
      <c r="W1614" s="290"/>
      <c r="X1614" s="290"/>
      <c r="Y1614" s="290"/>
      <c r="Z1614" s="290"/>
      <c r="AA1614" s="290"/>
      <c r="AB1614" s="290"/>
      <c r="AC1614" s="290"/>
      <c r="AD1614" s="290"/>
    </row>
    <row r="1615" spans="1:30" ht="25.5">
      <c r="A1615" s="291"/>
      <c r="B1615" s="291"/>
      <c r="C1615" s="291"/>
      <c r="D1615" s="83"/>
      <c r="E1615" s="59"/>
      <c r="F1615" s="82"/>
      <c r="G1615" s="82"/>
      <c r="H1615" s="86"/>
      <c r="I1615" s="294"/>
      <c r="J1615" s="59"/>
      <c r="K1615" s="83"/>
      <c r="L1615" s="83" t="str">
        <f t="shared" si="50"/>
        <v xml:space="preserve">
</v>
      </c>
      <c r="M1615" s="83"/>
      <c r="N1615" s="59"/>
      <c r="O1615" s="59"/>
      <c r="P1615" s="86">
        <f t="shared" si="51"/>
        <v>0</v>
      </c>
      <c r="Q1615" s="59"/>
      <c r="R1615" s="59"/>
      <c r="S1615" s="59"/>
      <c r="T1615" s="59"/>
      <c r="U1615" s="290"/>
      <c r="V1615" s="290"/>
      <c r="W1615" s="290"/>
      <c r="X1615" s="290"/>
      <c r="Y1615" s="290"/>
      <c r="Z1615" s="290"/>
      <c r="AA1615" s="290"/>
      <c r="AB1615" s="290"/>
      <c r="AC1615" s="290"/>
      <c r="AD1615" s="290"/>
    </row>
    <row r="1616" spans="1:30" ht="25.5">
      <c r="A1616" s="291"/>
      <c r="B1616" s="291"/>
      <c r="C1616" s="291"/>
      <c r="D1616" s="83"/>
      <c r="E1616" s="59"/>
      <c r="F1616" s="82"/>
      <c r="G1616" s="82"/>
      <c r="H1616" s="86"/>
      <c r="I1616" s="294"/>
      <c r="J1616" s="59"/>
      <c r="K1616" s="83"/>
      <c r="L1616" s="83" t="str">
        <f t="shared" si="50"/>
        <v xml:space="preserve">
</v>
      </c>
      <c r="M1616" s="83"/>
      <c r="N1616" s="59"/>
      <c r="O1616" s="59"/>
      <c r="P1616" s="86">
        <f t="shared" si="51"/>
        <v>0</v>
      </c>
      <c r="Q1616" s="59"/>
      <c r="R1616" s="59"/>
      <c r="S1616" s="59"/>
      <c r="T1616" s="59"/>
      <c r="U1616" s="290"/>
      <c r="V1616" s="290"/>
      <c r="W1616" s="290"/>
      <c r="X1616" s="290"/>
      <c r="Y1616" s="290"/>
      <c r="Z1616" s="290"/>
      <c r="AA1616" s="290"/>
      <c r="AB1616" s="290"/>
      <c r="AC1616" s="290"/>
      <c r="AD1616" s="290"/>
    </row>
    <row r="1617" spans="1:30" ht="25.5">
      <c r="A1617" s="291"/>
      <c r="B1617" s="291"/>
      <c r="C1617" s="291"/>
      <c r="D1617" s="83"/>
      <c r="E1617" s="59"/>
      <c r="F1617" s="82"/>
      <c r="G1617" s="82"/>
      <c r="H1617" s="86"/>
      <c r="I1617" s="294"/>
      <c r="J1617" s="59"/>
      <c r="K1617" s="83"/>
      <c r="L1617" s="83" t="str">
        <f t="shared" si="50"/>
        <v xml:space="preserve">
</v>
      </c>
      <c r="M1617" s="83"/>
      <c r="N1617" s="59"/>
      <c r="O1617" s="59"/>
      <c r="P1617" s="86">
        <f t="shared" si="51"/>
        <v>0</v>
      </c>
      <c r="Q1617" s="59"/>
      <c r="R1617" s="59"/>
      <c r="S1617" s="59"/>
      <c r="T1617" s="59"/>
      <c r="U1617" s="290"/>
      <c r="V1617" s="290"/>
      <c r="W1617" s="290"/>
      <c r="X1617" s="290"/>
      <c r="Y1617" s="290"/>
      <c r="Z1617" s="290"/>
      <c r="AA1617" s="290"/>
      <c r="AB1617" s="290"/>
      <c r="AC1617" s="290"/>
      <c r="AD1617" s="290"/>
    </row>
    <row r="1618" spans="1:30" ht="25.5">
      <c r="A1618" s="291"/>
      <c r="B1618" s="291"/>
      <c r="C1618" s="291"/>
      <c r="D1618" s="83"/>
      <c r="E1618" s="59"/>
      <c r="F1618" s="82"/>
      <c r="G1618" s="82"/>
      <c r="H1618" s="86"/>
      <c r="I1618" s="294"/>
      <c r="J1618" s="59"/>
      <c r="K1618" s="83"/>
      <c r="L1618" s="83" t="str">
        <f t="shared" si="50"/>
        <v xml:space="preserve">
</v>
      </c>
      <c r="M1618" s="83"/>
      <c r="N1618" s="59"/>
      <c r="O1618" s="59"/>
      <c r="P1618" s="86">
        <f t="shared" si="51"/>
        <v>0</v>
      </c>
      <c r="Q1618" s="59"/>
      <c r="R1618" s="59"/>
      <c r="S1618" s="59"/>
      <c r="T1618" s="59"/>
      <c r="U1618" s="290"/>
      <c r="V1618" s="290"/>
      <c r="W1618" s="290"/>
      <c r="X1618" s="290"/>
      <c r="Y1618" s="290"/>
      <c r="Z1618" s="290"/>
      <c r="AA1618" s="290"/>
      <c r="AB1618" s="290"/>
      <c r="AC1618" s="290"/>
      <c r="AD1618" s="290"/>
    </row>
    <row r="1619" spans="1:30" ht="25.5">
      <c r="A1619" s="291"/>
      <c r="B1619" s="291"/>
      <c r="C1619" s="291"/>
      <c r="D1619" s="83"/>
      <c r="E1619" s="59"/>
      <c r="F1619" s="82"/>
      <c r="G1619" s="82"/>
      <c r="H1619" s="86"/>
      <c r="I1619" s="294"/>
      <c r="J1619" s="59"/>
      <c r="K1619" s="83"/>
      <c r="L1619" s="83" t="str">
        <f t="shared" si="50"/>
        <v xml:space="preserve">
</v>
      </c>
      <c r="M1619" s="83"/>
      <c r="N1619" s="59"/>
      <c r="O1619" s="59"/>
      <c r="P1619" s="86">
        <f t="shared" si="51"/>
        <v>0</v>
      </c>
      <c r="Q1619" s="59"/>
      <c r="R1619" s="59"/>
      <c r="S1619" s="59"/>
      <c r="T1619" s="59"/>
      <c r="U1619" s="290"/>
      <c r="V1619" s="290"/>
      <c r="W1619" s="290"/>
      <c r="X1619" s="290"/>
      <c r="Y1619" s="290"/>
      <c r="Z1619" s="290"/>
      <c r="AA1619" s="290"/>
      <c r="AB1619" s="290"/>
      <c r="AC1619" s="290"/>
      <c r="AD1619" s="290"/>
    </row>
    <row r="1620" spans="1:30" ht="25.5">
      <c r="A1620" s="291"/>
      <c r="B1620" s="291"/>
      <c r="C1620" s="291"/>
      <c r="D1620" s="83"/>
      <c r="E1620" s="59"/>
      <c r="F1620" s="82"/>
      <c r="G1620" s="82"/>
      <c r="H1620" s="86"/>
      <c r="I1620" s="294"/>
      <c r="J1620" s="59"/>
      <c r="K1620" s="83"/>
      <c r="L1620" s="83" t="str">
        <f t="shared" si="50"/>
        <v xml:space="preserve">
</v>
      </c>
      <c r="M1620" s="83"/>
      <c r="N1620" s="59"/>
      <c r="O1620" s="59"/>
      <c r="P1620" s="86">
        <f t="shared" si="51"/>
        <v>0</v>
      </c>
      <c r="Q1620" s="59"/>
      <c r="R1620" s="59"/>
      <c r="S1620" s="59"/>
      <c r="T1620" s="59"/>
      <c r="U1620" s="290"/>
      <c r="V1620" s="290"/>
      <c r="W1620" s="290"/>
      <c r="X1620" s="290"/>
      <c r="Y1620" s="290"/>
      <c r="Z1620" s="290"/>
      <c r="AA1620" s="290"/>
      <c r="AB1620" s="290"/>
      <c r="AC1620" s="290"/>
      <c r="AD1620" s="290"/>
    </row>
    <row r="1621" spans="1:30" ht="25.5">
      <c r="A1621" s="291"/>
      <c r="B1621" s="291"/>
      <c r="C1621" s="291"/>
      <c r="D1621" s="83"/>
      <c r="E1621" s="59"/>
      <c r="F1621" s="82"/>
      <c r="G1621" s="82"/>
      <c r="H1621" s="86"/>
      <c r="I1621" s="294"/>
      <c r="J1621" s="59"/>
      <c r="K1621" s="83"/>
      <c r="L1621" s="83" t="str">
        <f t="shared" si="50"/>
        <v xml:space="preserve">
</v>
      </c>
      <c r="M1621" s="83"/>
      <c r="N1621" s="59"/>
      <c r="O1621" s="59"/>
      <c r="P1621" s="86">
        <f t="shared" si="51"/>
        <v>0</v>
      </c>
      <c r="Q1621" s="59"/>
      <c r="R1621" s="59"/>
      <c r="S1621" s="59"/>
      <c r="T1621" s="59"/>
      <c r="U1621" s="290"/>
      <c r="V1621" s="290"/>
      <c r="W1621" s="290"/>
      <c r="X1621" s="290"/>
      <c r="Y1621" s="290"/>
      <c r="Z1621" s="290"/>
      <c r="AA1621" s="290"/>
      <c r="AB1621" s="290"/>
      <c r="AC1621" s="290"/>
      <c r="AD1621" s="290"/>
    </row>
    <row r="1622" spans="1:30" ht="25.5">
      <c r="A1622" s="291"/>
      <c r="B1622" s="291"/>
      <c r="C1622" s="291"/>
      <c r="D1622" s="83"/>
      <c r="E1622" s="59"/>
      <c r="F1622" s="82"/>
      <c r="G1622" s="82"/>
      <c r="H1622" s="86"/>
      <c r="I1622" s="294"/>
      <c r="J1622" s="59"/>
      <c r="K1622" s="83"/>
      <c r="L1622" s="83" t="str">
        <f t="shared" si="50"/>
        <v xml:space="preserve">
</v>
      </c>
      <c r="M1622" s="83"/>
      <c r="N1622" s="59"/>
      <c r="O1622" s="59"/>
      <c r="P1622" s="86">
        <f t="shared" si="51"/>
        <v>0</v>
      </c>
      <c r="Q1622" s="59"/>
      <c r="R1622" s="59"/>
      <c r="S1622" s="59"/>
      <c r="T1622" s="59"/>
      <c r="U1622" s="290"/>
      <c r="V1622" s="290"/>
      <c r="W1622" s="290"/>
      <c r="X1622" s="290"/>
      <c r="Y1622" s="290"/>
      <c r="Z1622" s="290"/>
      <c r="AA1622" s="290"/>
      <c r="AB1622" s="290"/>
      <c r="AC1622" s="290"/>
      <c r="AD1622" s="290"/>
    </row>
    <row r="1623" spans="1:30" ht="25.5">
      <c r="A1623" s="291"/>
      <c r="B1623" s="291"/>
      <c r="C1623" s="291"/>
      <c r="D1623" s="83"/>
      <c r="E1623" s="59"/>
      <c r="F1623" s="82"/>
      <c r="G1623" s="82"/>
      <c r="H1623" s="86"/>
      <c r="I1623" s="294"/>
      <c r="J1623" s="59"/>
      <c r="K1623" s="83"/>
      <c r="L1623" s="83" t="str">
        <f t="shared" si="50"/>
        <v xml:space="preserve">
</v>
      </c>
      <c r="M1623" s="83"/>
      <c r="N1623" s="59"/>
      <c r="O1623" s="59"/>
      <c r="P1623" s="86">
        <f t="shared" si="51"/>
        <v>0</v>
      </c>
      <c r="Q1623" s="59"/>
      <c r="R1623" s="59"/>
      <c r="S1623" s="59"/>
      <c r="T1623" s="59"/>
      <c r="U1623" s="290"/>
      <c r="V1623" s="290"/>
      <c r="W1623" s="290"/>
      <c r="X1623" s="290"/>
      <c r="Y1623" s="290"/>
      <c r="Z1623" s="290"/>
      <c r="AA1623" s="290"/>
      <c r="AB1623" s="290"/>
      <c r="AC1623" s="290"/>
      <c r="AD1623" s="290"/>
    </row>
    <row r="1624" spans="1:30" ht="25.5">
      <c r="A1624" s="291"/>
      <c r="B1624" s="291"/>
      <c r="C1624" s="291"/>
      <c r="D1624" s="83"/>
      <c r="E1624" s="59"/>
      <c r="F1624" s="82"/>
      <c r="G1624" s="82"/>
      <c r="H1624" s="86"/>
      <c r="I1624" s="294"/>
      <c r="J1624" s="59"/>
      <c r="K1624" s="83"/>
      <c r="L1624" s="83" t="str">
        <f t="shared" si="50"/>
        <v xml:space="preserve">
</v>
      </c>
      <c r="M1624" s="83"/>
      <c r="N1624" s="59"/>
      <c r="O1624" s="59"/>
      <c r="P1624" s="86">
        <f t="shared" si="51"/>
        <v>0</v>
      </c>
      <c r="Q1624" s="59"/>
      <c r="R1624" s="59"/>
      <c r="S1624" s="59"/>
      <c r="T1624" s="59"/>
      <c r="U1624" s="290"/>
      <c r="V1624" s="290"/>
      <c r="W1624" s="290"/>
      <c r="X1624" s="290"/>
      <c r="Y1624" s="290"/>
      <c r="Z1624" s="290"/>
      <c r="AA1624" s="290"/>
      <c r="AB1624" s="290"/>
      <c r="AC1624" s="290"/>
      <c r="AD1624" s="290"/>
    </row>
    <row r="1625" spans="1:30" ht="25.5">
      <c r="A1625" s="291"/>
      <c r="B1625" s="291"/>
      <c r="C1625" s="291"/>
      <c r="D1625" s="83"/>
      <c r="E1625" s="59"/>
      <c r="F1625" s="82"/>
      <c r="G1625" s="82"/>
      <c r="H1625" s="86"/>
      <c r="I1625" s="294"/>
      <c r="J1625" s="59"/>
      <c r="K1625" s="83"/>
      <c r="L1625" s="83" t="str">
        <f t="shared" si="50"/>
        <v xml:space="preserve">
</v>
      </c>
      <c r="M1625" s="83"/>
      <c r="N1625" s="59"/>
      <c r="O1625" s="59"/>
      <c r="P1625" s="86">
        <f t="shared" si="51"/>
        <v>0</v>
      </c>
      <c r="Q1625" s="59"/>
      <c r="R1625" s="59"/>
      <c r="S1625" s="59"/>
      <c r="T1625" s="59"/>
      <c r="U1625" s="290"/>
      <c r="V1625" s="290"/>
      <c r="W1625" s="290"/>
      <c r="X1625" s="290"/>
      <c r="Y1625" s="290"/>
      <c r="Z1625" s="290"/>
      <c r="AA1625" s="290"/>
      <c r="AB1625" s="290"/>
      <c r="AC1625" s="290"/>
      <c r="AD1625" s="290"/>
    </row>
    <row r="1626" spans="1:30" ht="25.5">
      <c r="A1626" s="291"/>
      <c r="B1626" s="291"/>
      <c r="C1626" s="291"/>
      <c r="D1626" s="83"/>
      <c r="E1626" s="59"/>
      <c r="F1626" s="82"/>
      <c r="G1626" s="82"/>
      <c r="H1626" s="86"/>
      <c r="I1626" s="294"/>
      <c r="J1626" s="59"/>
      <c r="K1626" s="83"/>
      <c r="L1626" s="83" t="str">
        <f t="shared" si="50"/>
        <v xml:space="preserve">
</v>
      </c>
      <c r="M1626" s="83"/>
      <c r="N1626" s="59"/>
      <c r="O1626" s="59"/>
      <c r="P1626" s="86">
        <f t="shared" si="51"/>
        <v>0</v>
      </c>
      <c r="Q1626" s="59"/>
      <c r="R1626" s="59"/>
      <c r="S1626" s="59"/>
      <c r="T1626" s="59"/>
      <c r="U1626" s="290"/>
      <c r="V1626" s="290"/>
      <c r="W1626" s="290"/>
      <c r="X1626" s="290"/>
      <c r="Y1626" s="290"/>
      <c r="Z1626" s="290"/>
      <c r="AA1626" s="290"/>
      <c r="AB1626" s="290"/>
      <c r="AC1626" s="290"/>
      <c r="AD1626" s="290"/>
    </row>
    <row r="1627" spans="1:30" ht="25.5">
      <c r="A1627" s="291"/>
      <c r="B1627" s="291"/>
      <c r="C1627" s="291"/>
      <c r="D1627" s="83"/>
      <c r="E1627" s="59"/>
      <c r="F1627" s="82"/>
      <c r="G1627" s="82"/>
      <c r="H1627" s="86"/>
      <c r="I1627" s="294"/>
      <c r="J1627" s="59"/>
      <c r="K1627" s="83"/>
      <c r="L1627" s="83" t="str">
        <f t="shared" si="50"/>
        <v xml:space="preserve">
</v>
      </c>
      <c r="M1627" s="83"/>
      <c r="N1627" s="59"/>
      <c r="O1627" s="59"/>
      <c r="P1627" s="86">
        <f t="shared" si="51"/>
        <v>0</v>
      </c>
      <c r="Q1627" s="59"/>
      <c r="R1627" s="59"/>
      <c r="S1627" s="59"/>
      <c r="T1627" s="59"/>
      <c r="U1627" s="290"/>
      <c r="V1627" s="290"/>
      <c r="W1627" s="290"/>
      <c r="X1627" s="290"/>
      <c r="Y1627" s="290"/>
      <c r="Z1627" s="290"/>
      <c r="AA1627" s="290"/>
      <c r="AB1627" s="290"/>
      <c r="AC1627" s="290"/>
      <c r="AD1627" s="290"/>
    </row>
    <row r="1628" spans="1:30" ht="25.5">
      <c r="A1628" s="291"/>
      <c r="B1628" s="291"/>
      <c r="C1628" s="291"/>
      <c r="D1628" s="83"/>
      <c r="E1628" s="59"/>
      <c r="F1628" s="82"/>
      <c r="G1628" s="82"/>
      <c r="H1628" s="86"/>
      <c r="I1628" s="294"/>
      <c r="J1628" s="59"/>
      <c r="K1628" s="83"/>
      <c r="L1628" s="83" t="str">
        <f t="shared" si="50"/>
        <v xml:space="preserve">
</v>
      </c>
      <c r="M1628" s="83"/>
      <c r="N1628" s="59"/>
      <c r="O1628" s="59"/>
      <c r="P1628" s="86">
        <f t="shared" si="51"/>
        <v>0</v>
      </c>
      <c r="Q1628" s="59"/>
      <c r="R1628" s="59"/>
      <c r="S1628" s="59"/>
      <c r="T1628" s="59"/>
      <c r="U1628" s="290"/>
      <c r="V1628" s="290"/>
      <c r="W1628" s="290"/>
      <c r="X1628" s="290"/>
      <c r="Y1628" s="290"/>
      <c r="Z1628" s="290"/>
      <c r="AA1628" s="290"/>
      <c r="AB1628" s="290"/>
      <c r="AC1628" s="290"/>
      <c r="AD1628" s="290"/>
    </row>
    <row r="1629" spans="1:30" ht="25.5">
      <c r="A1629" s="291"/>
      <c r="B1629" s="291"/>
      <c r="C1629" s="291"/>
      <c r="D1629" s="83"/>
      <c r="E1629" s="59"/>
      <c r="F1629" s="82"/>
      <c r="G1629" s="82"/>
      <c r="H1629" s="86"/>
      <c r="I1629" s="294"/>
      <c r="J1629" s="59"/>
      <c r="K1629" s="83"/>
      <c r="L1629" s="83" t="str">
        <f t="shared" si="50"/>
        <v xml:space="preserve">
</v>
      </c>
      <c r="M1629" s="83"/>
      <c r="N1629" s="59"/>
      <c r="O1629" s="59"/>
      <c r="P1629" s="86">
        <f t="shared" si="51"/>
        <v>0</v>
      </c>
      <c r="Q1629" s="59"/>
      <c r="R1629" s="59"/>
      <c r="S1629" s="59"/>
      <c r="T1629" s="59"/>
      <c r="U1629" s="290"/>
      <c r="V1629" s="290"/>
      <c r="W1629" s="290"/>
      <c r="X1629" s="290"/>
      <c r="Y1629" s="290"/>
      <c r="Z1629" s="290"/>
      <c r="AA1629" s="290"/>
      <c r="AB1629" s="290"/>
      <c r="AC1629" s="290"/>
      <c r="AD1629" s="290"/>
    </row>
    <row r="1630" spans="1:30" ht="25.5">
      <c r="A1630" s="291"/>
      <c r="B1630" s="291"/>
      <c r="C1630" s="291"/>
      <c r="D1630" s="83"/>
      <c r="E1630" s="59"/>
      <c r="F1630" s="82"/>
      <c r="G1630" s="82"/>
      <c r="H1630" s="86"/>
      <c r="I1630" s="294"/>
      <c r="J1630" s="59"/>
      <c r="K1630" s="83"/>
      <c r="L1630" s="83" t="str">
        <f t="shared" si="50"/>
        <v xml:space="preserve">
</v>
      </c>
      <c r="M1630" s="83"/>
      <c r="N1630" s="59"/>
      <c r="O1630" s="59"/>
      <c r="P1630" s="86">
        <f t="shared" si="51"/>
        <v>0</v>
      </c>
      <c r="Q1630" s="59"/>
      <c r="R1630" s="59"/>
      <c r="S1630" s="59"/>
      <c r="T1630" s="59"/>
      <c r="U1630" s="290"/>
      <c r="V1630" s="290"/>
      <c r="W1630" s="290"/>
      <c r="X1630" s="290"/>
      <c r="Y1630" s="290"/>
      <c r="Z1630" s="290"/>
      <c r="AA1630" s="290"/>
      <c r="AB1630" s="290"/>
      <c r="AC1630" s="290"/>
      <c r="AD1630" s="290"/>
    </row>
    <row r="1631" spans="1:30" ht="25.5">
      <c r="A1631" s="291"/>
      <c r="B1631" s="291"/>
      <c r="C1631" s="291"/>
      <c r="D1631" s="83"/>
      <c r="E1631" s="59"/>
      <c r="F1631" s="82"/>
      <c r="G1631" s="82"/>
      <c r="H1631" s="86"/>
      <c r="I1631" s="294"/>
      <c r="J1631" s="59"/>
      <c r="K1631" s="83"/>
      <c r="L1631" s="83" t="str">
        <f t="shared" si="50"/>
        <v xml:space="preserve">
</v>
      </c>
      <c r="M1631" s="83"/>
      <c r="N1631" s="59"/>
      <c r="O1631" s="59"/>
      <c r="P1631" s="86">
        <f t="shared" si="51"/>
        <v>0</v>
      </c>
      <c r="Q1631" s="59"/>
      <c r="R1631" s="59"/>
      <c r="S1631" s="59"/>
      <c r="T1631" s="59"/>
      <c r="U1631" s="290"/>
      <c r="V1631" s="290"/>
      <c r="W1631" s="290"/>
      <c r="X1631" s="290"/>
      <c r="Y1631" s="290"/>
      <c r="Z1631" s="290"/>
      <c r="AA1631" s="290"/>
      <c r="AB1631" s="290"/>
      <c r="AC1631" s="290"/>
      <c r="AD1631" s="290"/>
    </row>
    <row r="1632" spans="1:30" ht="25.5">
      <c r="A1632" s="291"/>
      <c r="B1632" s="291"/>
      <c r="C1632" s="291"/>
      <c r="D1632" s="83"/>
      <c r="E1632" s="59"/>
      <c r="F1632" s="82"/>
      <c r="G1632" s="82"/>
      <c r="H1632" s="86"/>
      <c r="I1632" s="294"/>
      <c r="J1632" s="59"/>
      <c r="K1632" s="83"/>
      <c r="L1632" s="83" t="str">
        <f t="shared" si="50"/>
        <v xml:space="preserve">
</v>
      </c>
      <c r="M1632" s="83"/>
      <c r="N1632" s="59"/>
      <c r="O1632" s="59"/>
      <c r="P1632" s="86">
        <f t="shared" si="51"/>
        <v>0</v>
      </c>
      <c r="Q1632" s="59"/>
      <c r="R1632" s="59"/>
      <c r="S1632" s="59"/>
      <c r="T1632" s="59"/>
      <c r="U1632" s="290"/>
      <c r="V1632" s="290"/>
      <c r="W1632" s="290"/>
      <c r="X1632" s="290"/>
      <c r="Y1632" s="290"/>
      <c r="Z1632" s="290"/>
      <c r="AA1632" s="290"/>
      <c r="AB1632" s="290"/>
      <c r="AC1632" s="290"/>
      <c r="AD1632" s="290"/>
    </row>
    <row r="1633" spans="1:30" ht="25.5">
      <c r="A1633" s="291"/>
      <c r="B1633" s="291"/>
      <c r="C1633" s="291"/>
      <c r="D1633" s="83"/>
      <c r="E1633" s="59"/>
      <c r="F1633" s="82"/>
      <c r="G1633" s="82"/>
      <c r="H1633" s="86"/>
      <c r="I1633" s="294"/>
      <c r="J1633" s="59"/>
      <c r="K1633" s="83"/>
      <c r="L1633" s="83" t="str">
        <f t="shared" si="50"/>
        <v xml:space="preserve">
</v>
      </c>
      <c r="M1633" s="83"/>
      <c r="N1633" s="59"/>
      <c r="O1633" s="59"/>
      <c r="P1633" s="86">
        <f t="shared" si="51"/>
        <v>0</v>
      </c>
      <c r="Q1633" s="59"/>
      <c r="R1633" s="59"/>
      <c r="S1633" s="59"/>
      <c r="T1633" s="59"/>
      <c r="U1633" s="290"/>
      <c r="V1633" s="290"/>
      <c r="W1633" s="290"/>
      <c r="X1633" s="290"/>
      <c r="Y1633" s="290"/>
      <c r="Z1633" s="290"/>
      <c r="AA1633" s="290"/>
      <c r="AB1633" s="290"/>
      <c r="AC1633" s="290"/>
      <c r="AD1633" s="290"/>
    </row>
    <row r="1634" spans="1:30" ht="25.5">
      <c r="A1634" s="291"/>
      <c r="B1634" s="291"/>
      <c r="C1634" s="291"/>
      <c r="D1634" s="83"/>
      <c r="E1634" s="59"/>
      <c r="F1634" s="82"/>
      <c r="G1634" s="82"/>
      <c r="H1634" s="86"/>
      <c r="I1634" s="294"/>
      <c r="J1634" s="59"/>
      <c r="K1634" s="83"/>
      <c r="L1634" s="83" t="str">
        <f t="shared" si="50"/>
        <v xml:space="preserve">
</v>
      </c>
      <c r="M1634" s="83"/>
      <c r="N1634" s="59"/>
      <c r="O1634" s="59"/>
      <c r="P1634" s="86">
        <f t="shared" si="51"/>
        <v>0</v>
      </c>
      <c r="Q1634" s="59"/>
      <c r="R1634" s="59"/>
      <c r="S1634" s="59"/>
      <c r="T1634" s="59"/>
      <c r="U1634" s="290"/>
      <c r="V1634" s="290"/>
      <c r="W1634" s="290"/>
      <c r="X1634" s="290"/>
      <c r="Y1634" s="290"/>
      <c r="Z1634" s="290"/>
      <c r="AA1634" s="290"/>
      <c r="AB1634" s="290"/>
      <c r="AC1634" s="290"/>
      <c r="AD1634" s="290"/>
    </row>
    <row r="1635" spans="1:30" ht="25.5">
      <c r="A1635" s="291"/>
      <c r="B1635" s="291"/>
      <c r="C1635" s="291"/>
      <c r="D1635" s="83"/>
      <c r="E1635" s="59"/>
      <c r="F1635" s="82"/>
      <c r="G1635" s="82"/>
      <c r="H1635" s="86"/>
      <c r="I1635" s="294"/>
      <c r="J1635" s="59"/>
      <c r="K1635" s="83"/>
      <c r="L1635" s="83" t="str">
        <f t="shared" si="50"/>
        <v xml:space="preserve">
</v>
      </c>
      <c r="M1635" s="83"/>
      <c r="N1635" s="59"/>
      <c r="O1635" s="59"/>
      <c r="P1635" s="86">
        <f t="shared" si="51"/>
        <v>0</v>
      </c>
      <c r="Q1635" s="59"/>
      <c r="R1635" s="59"/>
      <c r="S1635" s="59"/>
      <c r="T1635" s="59"/>
      <c r="U1635" s="290"/>
      <c r="V1635" s="290"/>
      <c r="W1635" s="290"/>
      <c r="X1635" s="290"/>
      <c r="Y1635" s="290"/>
      <c r="Z1635" s="290"/>
      <c r="AA1635" s="290"/>
      <c r="AB1635" s="290"/>
      <c r="AC1635" s="290"/>
      <c r="AD1635" s="290"/>
    </row>
    <row r="1636" spans="1:30" ht="25.5">
      <c r="A1636" s="291"/>
      <c r="B1636" s="291"/>
      <c r="C1636" s="291"/>
      <c r="D1636" s="83"/>
      <c r="E1636" s="59"/>
      <c r="F1636" s="82"/>
      <c r="G1636" s="82"/>
      <c r="H1636" s="86"/>
      <c r="I1636" s="294"/>
      <c r="J1636" s="59"/>
      <c r="K1636" s="83"/>
      <c r="L1636" s="83" t="str">
        <f t="shared" si="50"/>
        <v xml:space="preserve">
</v>
      </c>
      <c r="M1636" s="83"/>
      <c r="N1636" s="59"/>
      <c r="O1636" s="59"/>
      <c r="P1636" s="86">
        <f t="shared" si="51"/>
        <v>0</v>
      </c>
      <c r="Q1636" s="59"/>
      <c r="R1636" s="59"/>
      <c r="S1636" s="59"/>
      <c r="T1636" s="59"/>
      <c r="U1636" s="290"/>
      <c r="V1636" s="290"/>
      <c r="W1636" s="290"/>
      <c r="X1636" s="290"/>
      <c r="Y1636" s="290"/>
      <c r="Z1636" s="290"/>
      <c r="AA1636" s="290"/>
      <c r="AB1636" s="290"/>
      <c r="AC1636" s="290"/>
      <c r="AD1636" s="290"/>
    </row>
    <row r="1637" spans="1:30" ht="25.5">
      <c r="A1637" s="291"/>
      <c r="B1637" s="291"/>
      <c r="C1637" s="291"/>
      <c r="D1637" s="83"/>
      <c r="E1637" s="59"/>
      <c r="F1637" s="82"/>
      <c r="G1637" s="82"/>
      <c r="H1637" s="86"/>
      <c r="I1637" s="294"/>
      <c r="J1637" s="59"/>
      <c r="K1637" s="83"/>
      <c r="L1637" s="83" t="str">
        <f t="shared" si="50"/>
        <v xml:space="preserve">
</v>
      </c>
      <c r="M1637" s="83"/>
      <c r="N1637" s="59"/>
      <c r="O1637" s="59"/>
      <c r="P1637" s="86">
        <f t="shared" si="51"/>
        <v>0</v>
      </c>
      <c r="Q1637" s="59"/>
      <c r="R1637" s="59"/>
      <c r="S1637" s="59"/>
      <c r="T1637" s="59"/>
      <c r="U1637" s="290"/>
      <c r="V1637" s="290"/>
      <c r="W1637" s="290"/>
      <c r="X1637" s="290"/>
      <c r="Y1637" s="290"/>
      <c r="Z1637" s="290"/>
      <c r="AA1637" s="290"/>
      <c r="AB1637" s="290"/>
      <c r="AC1637" s="290"/>
      <c r="AD1637" s="290"/>
    </row>
    <row r="1638" spans="1:30" ht="25.5">
      <c r="A1638" s="291"/>
      <c r="B1638" s="291"/>
      <c r="C1638" s="291"/>
      <c r="D1638" s="83"/>
      <c r="E1638" s="59"/>
      <c r="F1638" s="82"/>
      <c r="G1638" s="82"/>
      <c r="H1638" s="86"/>
      <c r="I1638" s="294"/>
      <c r="J1638" s="59"/>
      <c r="K1638" s="83"/>
      <c r="L1638" s="83" t="str">
        <f t="shared" si="50"/>
        <v xml:space="preserve">
</v>
      </c>
      <c r="M1638" s="83"/>
      <c r="N1638" s="59"/>
      <c r="O1638" s="59"/>
      <c r="P1638" s="86">
        <f t="shared" si="51"/>
        <v>0</v>
      </c>
      <c r="Q1638" s="59"/>
      <c r="R1638" s="59"/>
      <c r="S1638" s="59"/>
      <c r="T1638" s="59"/>
      <c r="U1638" s="290"/>
      <c r="V1638" s="290"/>
      <c r="W1638" s="290"/>
      <c r="X1638" s="290"/>
      <c r="Y1638" s="290"/>
      <c r="Z1638" s="290"/>
      <c r="AA1638" s="290"/>
      <c r="AB1638" s="290"/>
      <c r="AC1638" s="290"/>
      <c r="AD1638" s="290"/>
    </row>
    <row r="1639" spans="1:30" ht="25.5">
      <c r="A1639" s="291"/>
      <c r="B1639" s="291"/>
      <c r="C1639" s="291"/>
      <c r="D1639" s="83"/>
      <c r="E1639" s="59"/>
      <c r="F1639" s="82"/>
      <c r="G1639" s="82"/>
      <c r="H1639" s="86"/>
      <c r="I1639" s="294"/>
      <c r="J1639" s="59"/>
      <c r="K1639" s="83"/>
      <c r="L1639" s="83" t="str">
        <f t="shared" si="50"/>
        <v xml:space="preserve">
</v>
      </c>
      <c r="M1639" s="83"/>
      <c r="N1639" s="59"/>
      <c r="O1639" s="59"/>
      <c r="P1639" s="86">
        <f t="shared" si="51"/>
        <v>0</v>
      </c>
      <c r="Q1639" s="59"/>
      <c r="R1639" s="59"/>
      <c r="S1639" s="59"/>
      <c r="T1639" s="59"/>
      <c r="U1639" s="290"/>
      <c r="V1639" s="290"/>
      <c r="W1639" s="290"/>
      <c r="X1639" s="290"/>
      <c r="Y1639" s="290"/>
      <c r="Z1639" s="290"/>
      <c r="AA1639" s="290"/>
      <c r="AB1639" s="290"/>
      <c r="AC1639" s="290"/>
      <c r="AD1639" s="290"/>
    </row>
    <row r="1640" spans="1:30" ht="25.5">
      <c r="A1640" s="291"/>
      <c r="B1640" s="291"/>
      <c r="C1640" s="291"/>
      <c r="D1640" s="83"/>
      <c r="E1640" s="59"/>
      <c r="F1640" s="82"/>
      <c r="G1640" s="82"/>
      <c r="H1640" s="86"/>
      <c r="I1640" s="294"/>
      <c r="J1640" s="59"/>
      <c r="K1640" s="83"/>
      <c r="L1640" s="83" t="str">
        <f t="shared" si="50"/>
        <v xml:space="preserve">
</v>
      </c>
      <c r="M1640" s="83"/>
      <c r="N1640" s="59"/>
      <c r="O1640" s="59"/>
      <c r="P1640" s="86">
        <f t="shared" si="51"/>
        <v>0</v>
      </c>
      <c r="Q1640" s="59"/>
      <c r="R1640" s="59"/>
      <c r="S1640" s="59"/>
      <c r="T1640" s="59"/>
      <c r="U1640" s="290"/>
      <c r="V1640" s="290"/>
      <c r="W1640" s="290"/>
      <c r="X1640" s="290"/>
      <c r="Y1640" s="290"/>
      <c r="Z1640" s="290"/>
      <c r="AA1640" s="290"/>
      <c r="AB1640" s="290"/>
      <c r="AC1640" s="290"/>
      <c r="AD1640" s="290"/>
    </row>
    <row r="1641" spans="1:30" ht="25.5">
      <c r="A1641" s="291"/>
      <c r="B1641" s="291"/>
      <c r="C1641" s="291"/>
      <c r="D1641" s="83"/>
      <c r="E1641" s="59"/>
      <c r="F1641" s="82"/>
      <c r="G1641" s="82"/>
      <c r="H1641" s="86"/>
      <c r="I1641" s="294"/>
      <c r="J1641" s="59"/>
      <c r="K1641" s="83"/>
      <c r="L1641" s="83" t="str">
        <f t="shared" si="50"/>
        <v xml:space="preserve">
</v>
      </c>
      <c r="M1641" s="83"/>
      <c r="N1641" s="59"/>
      <c r="O1641" s="59"/>
      <c r="P1641" s="86">
        <f t="shared" si="51"/>
        <v>0</v>
      </c>
      <c r="Q1641" s="59"/>
      <c r="R1641" s="59"/>
      <c r="S1641" s="59"/>
      <c r="T1641" s="59"/>
      <c r="U1641" s="290"/>
      <c r="V1641" s="290"/>
      <c r="W1641" s="290"/>
      <c r="X1641" s="290"/>
      <c r="Y1641" s="290"/>
      <c r="Z1641" s="290"/>
      <c r="AA1641" s="290"/>
      <c r="AB1641" s="290"/>
      <c r="AC1641" s="290"/>
      <c r="AD1641" s="290"/>
    </row>
    <row r="1642" spans="1:30" ht="25.5">
      <c r="A1642" s="291"/>
      <c r="B1642" s="291"/>
      <c r="C1642" s="291"/>
      <c r="D1642" s="83"/>
      <c r="E1642" s="59"/>
      <c r="F1642" s="82"/>
      <c r="G1642" s="82"/>
      <c r="H1642" s="86"/>
      <c r="I1642" s="294"/>
      <c r="J1642" s="59"/>
      <c r="K1642" s="83"/>
      <c r="L1642" s="83" t="str">
        <f t="shared" si="50"/>
        <v xml:space="preserve">
</v>
      </c>
      <c r="M1642" s="83"/>
      <c r="N1642" s="59"/>
      <c r="O1642" s="59"/>
      <c r="P1642" s="86">
        <f t="shared" si="51"/>
        <v>0</v>
      </c>
      <c r="Q1642" s="59"/>
      <c r="R1642" s="59"/>
      <c r="S1642" s="59"/>
      <c r="T1642" s="59"/>
      <c r="U1642" s="290"/>
      <c r="V1642" s="290"/>
      <c r="W1642" s="290"/>
      <c r="X1642" s="290"/>
      <c r="Y1642" s="290"/>
      <c r="Z1642" s="290"/>
      <c r="AA1642" s="290"/>
      <c r="AB1642" s="290"/>
      <c r="AC1642" s="290"/>
      <c r="AD1642" s="290"/>
    </row>
    <row r="1643" spans="1:30" ht="25.5">
      <c r="A1643" s="291"/>
      <c r="B1643" s="291"/>
      <c r="C1643" s="291"/>
      <c r="D1643" s="83"/>
      <c r="E1643" s="59"/>
      <c r="F1643" s="82"/>
      <c r="G1643" s="82"/>
      <c r="H1643" s="86"/>
      <c r="I1643" s="294"/>
      <c r="J1643" s="59"/>
      <c r="K1643" s="83"/>
      <c r="L1643" s="83" t="str">
        <f t="shared" si="50"/>
        <v xml:space="preserve">
</v>
      </c>
      <c r="M1643" s="83"/>
      <c r="N1643" s="59"/>
      <c r="O1643" s="59"/>
      <c r="P1643" s="86">
        <f t="shared" si="51"/>
        <v>0</v>
      </c>
      <c r="Q1643" s="59"/>
      <c r="R1643" s="59"/>
      <c r="S1643" s="59"/>
      <c r="T1643" s="59"/>
      <c r="U1643" s="290"/>
      <c r="V1643" s="290"/>
      <c r="W1643" s="290"/>
      <c r="X1643" s="290"/>
      <c r="Y1643" s="290"/>
      <c r="Z1643" s="290"/>
      <c r="AA1643" s="290"/>
      <c r="AB1643" s="290"/>
      <c r="AC1643" s="290"/>
      <c r="AD1643" s="290"/>
    </row>
    <row r="1644" spans="1:30" ht="25.5">
      <c r="A1644" s="291"/>
      <c r="B1644" s="291"/>
      <c r="C1644" s="291"/>
      <c r="D1644" s="83"/>
      <c r="E1644" s="59"/>
      <c r="F1644" s="82"/>
      <c r="G1644" s="82"/>
      <c r="H1644" s="86"/>
      <c r="I1644" s="294"/>
      <c r="J1644" s="59"/>
      <c r="K1644" s="83"/>
      <c r="L1644" s="83" t="str">
        <f t="shared" si="50"/>
        <v xml:space="preserve">
</v>
      </c>
      <c r="M1644" s="83"/>
      <c r="N1644" s="59"/>
      <c r="O1644" s="59"/>
      <c r="P1644" s="86">
        <f t="shared" si="51"/>
        <v>0</v>
      </c>
      <c r="Q1644" s="59"/>
      <c r="R1644" s="59"/>
      <c r="S1644" s="59"/>
      <c r="T1644" s="59"/>
      <c r="U1644" s="290"/>
      <c r="V1644" s="290"/>
      <c r="W1644" s="290"/>
      <c r="X1644" s="290"/>
      <c r="Y1644" s="290"/>
      <c r="Z1644" s="290"/>
      <c r="AA1644" s="290"/>
      <c r="AB1644" s="290"/>
      <c r="AC1644" s="290"/>
      <c r="AD1644" s="290"/>
    </row>
    <row r="1645" spans="1:30" ht="25.5">
      <c r="A1645" s="291"/>
      <c r="B1645" s="291"/>
      <c r="C1645" s="291"/>
      <c r="D1645" s="83"/>
      <c r="E1645" s="59"/>
      <c r="F1645" s="82"/>
      <c r="G1645" s="82"/>
      <c r="H1645" s="86"/>
      <c r="I1645" s="294"/>
      <c r="J1645" s="59"/>
      <c r="K1645" s="83"/>
      <c r="L1645" s="83" t="str">
        <f t="shared" si="50"/>
        <v xml:space="preserve">
</v>
      </c>
      <c r="M1645" s="83"/>
      <c r="N1645" s="59"/>
      <c r="O1645" s="59"/>
      <c r="P1645" s="86">
        <f t="shared" si="51"/>
        <v>0</v>
      </c>
      <c r="Q1645" s="59"/>
      <c r="R1645" s="59"/>
      <c r="S1645" s="59"/>
      <c r="T1645" s="59"/>
      <c r="U1645" s="290"/>
      <c r="V1645" s="290"/>
      <c r="W1645" s="290"/>
      <c r="X1645" s="290"/>
      <c r="Y1645" s="290"/>
      <c r="Z1645" s="290"/>
      <c r="AA1645" s="290"/>
      <c r="AB1645" s="290"/>
      <c r="AC1645" s="290"/>
      <c r="AD1645" s="290"/>
    </row>
    <row r="1646" spans="1:30" ht="25.5">
      <c r="A1646" s="291"/>
      <c r="B1646" s="291"/>
      <c r="C1646" s="291"/>
      <c r="D1646" s="83"/>
      <c r="E1646" s="59"/>
      <c r="F1646" s="82"/>
      <c r="G1646" s="82"/>
      <c r="H1646" s="86"/>
      <c r="I1646" s="294"/>
      <c r="J1646" s="59"/>
      <c r="K1646" s="83"/>
      <c r="L1646" s="83" t="str">
        <f t="shared" si="50"/>
        <v xml:space="preserve">
</v>
      </c>
      <c r="M1646" s="83"/>
      <c r="N1646" s="59"/>
      <c r="O1646" s="59"/>
      <c r="P1646" s="86">
        <f t="shared" si="51"/>
        <v>0</v>
      </c>
      <c r="Q1646" s="59"/>
      <c r="R1646" s="59"/>
      <c r="S1646" s="59"/>
      <c r="T1646" s="59"/>
      <c r="U1646" s="290"/>
      <c r="V1646" s="290"/>
      <c r="W1646" s="290"/>
      <c r="X1646" s="290"/>
      <c r="Y1646" s="290"/>
      <c r="Z1646" s="290"/>
      <c r="AA1646" s="290"/>
      <c r="AB1646" s="290"/>
      <c r="AC1646" s="290"/>
      <c r="AD1646" s="290"/>
    </row>
    <row r="1647" spans="1:30" ht="25.5">
      <c r="A1647" s="291"/>
      <c r="B1647" s="291"/>
      <c r="C1647" s="291"/>
      <c r="D1647" s="83"/>
      <c r="E1647" s="59"/>
      <c r="F1647" s="82"/>
      <c r="G1647" s="82"/>
      <c r="H1647" s="86"/>
      <c r="I1647" s="294"/>
      <c r="J1647" s="59"/>
      <c r="K1647" s="83"/>
      <c r="L1647" s="83" t="str">
        <f t="shared" si="50"/>
        <v xml:space="preserve">
</v>
      </c>
      <c r="M1647" s="83"/>
      <c r="N1647" s="59"/>
      <c r="O1647" s="59"/>
      <c r="P1647" s="86">
        <f t="shared" si="51"/>
        <v>0</v>
      </c>
      <c r="Q1647" s="59"/>
      <c r="R1647" s="59"/>
      <c r="S1647" s="59"/>
      <c r="T1647" s="59"/>
      <c r="U1647" s="290"/>
      <c r="V1647" s="290"/>
      <c r="W1647" s="290"/>
      <c r="X1647" s="290"/>
      <c r="Y1647" s="290"/>
      <c r="Z1647" s="290"/>
      <c r="AA1647" s="290"/>
      <c r="AB1647" s="290"/>
      <c r="AC1647" s="290"/>
      <c r="AD1647" s="290"/>
    </row>
    <row r="1648" spans="1:30" ht="25.5">
      <c r="A1648" s="291"/>
      <c r="B1648" s="291"/>
      <c r="C1648" s="291"/>
      <c r="D1648" s="83"/>
      <c r="E1648" s="59"/>
      <c r="F1648" s="82"/>
      <c r="G1648" s="82"/>
      <c r="H1648" s="86"/>
      <c r="I1648" s="294"/>
      <c r="J1648" s="59"/>
      <c r="K1648" s="83"/>
      <c r="L1648" s="83" t="str">
        <f t="shared" si="50"/>
        <v xml:space="preserve">
</v>
      </c>
      <c r="M1648" s="83"/>
      <c r="N1648" s="59"/>
      <c r="O1648" s="59"/>
      <c r="P1648" s="86">
        <f t="shared" si="51"/>
        <v>0</v>
      </c>
      <c r="Q1648" s="59"/>
      <c r="R1648" s="59"/>
      <c r="S1648" s="59"/>
      <c r="T1648" s="59"/>
      <c r="U1648" s="290"/>
      <c r="V1648" s="290"/>
      <c r="W1648" s="290"/>
      <c r="X1648" s="290"/>
      <c r="Y1648" s="290"/>
      <c r="Z1648" s="290"/>
      <c r="AA1648" s="290"/>
      <c r="AB1648" s="290"/>
      <c r="AC1648" s="290"/>
      <c r="AD1648" s="290"/>
    </row>
    <row r="1649" spans="1:30" ht="25.5">
      <c r="A1649" s="291"/>
      <c r="B1649" s="291"/>
      <c r="C1649" s="291"/>
      <c r="D1649" s="83"/>
      <c r="E1649" s="59"/>
      <c r="F1649" s="82"/>
      <c r="G1649" s="82"/>
      <c r="H1649" s="86"/>
      <c r="I1649" s="294"/>
      <c r="J1649" s="59"/>
      <c r="K1649" s="83"/>
      <c r="L1649" s="83" t="str">
        <f t="shared" si="50"/>
        <v xml:space="preserve">
</v>
      </c>
      <c r="M1649" s="83"/>
      <c r="N1649" s="59"/>
      <c r="O1649" s="59"/>
      <c r="P1649" s="86">
        <f t="shared" si="51"/>
        <v>0</v>
      </c>
      <c r="Q1649" s="59"/>
      <c r="R1649" s="59"/>
      <c r="S1649" s="59"/>
      <c r="T1649" s="59"/>
      <c r="U1649" s="290"/>
      <c r="V1649" s="290"/>
      <c r="W1649" s="290"/>
      <c r="X1649" s="290"/>
      <c r="Y1649" s="290"/>
      <c r="Z1649" s="290"/>
      <c r="AA1649" s="290"/>
      <c r="AB1649" s="290"/>
      <c r="AC1649" s="290"/>
      <c r="AD1649" s="290"/>
    </row>
    <row r="1650" spans="1:30" ht="25.5">
      <c r="A1650" s="291"/>
      <c r="B1650" s="291"/>
      <c r="C1650" s="291"/>
      <c r="D1650" s="83"/>
      <c r="E1650" s="59"/>
      <c r="F1650" s="82"/>
      <c r="G1650" s="82"/>
      <c r="H1650" s="86"/>
      <c r="I1650" s="294"/>
      <c r="J1650" s="59"/>
      <c r="K1650" s="83"/>
      <c r="L1650" s="83" t="str">
        <f t="shared" si="50"/>
        <v xml:space="preserve">
</v>
      </c>
      <c r="M1650" s="83"/>
      <c r="N1650" s="59"/>
      <c r="O1650" s="59"/>
      <c r="P1650" s="86">
        <f t="shared" si="51"/>
        <v>0</v>
      </c>
      <c r="Q1650" s="59"/>
      <c r="R1650" s="59"/>
      <c r="S1650" s="59"/>
      <c r="T1650" s="59"/>
      <c r="U1650" s="290"/>
      <c r="V1650" s="290"/>
      <c r="W1650" s="290"/>
      <c r="X1650" s="290"/>
      <c r="Y1650" s="290"/>
      <c r="Z1650" s="290"/>
      <c r="AA1650" s="290"/>
      <c r="AB1650" s="290"/>
      <c r="AC1650" s="290"/>
      <c r="AD1650" s="290"/>
    </row>
    <row r="1651" spans="1:30" ht="25.5">
      <c r="A1651" s="291"/>
      <c r="B1651" s="291"/>
      <c r="C1651" s="291"/>
      <c r="D1651" s="83"/>
      <c r="E1651" s="59"/>
      <c r="F1651" s="82"/>
      <c r="G1651" s="82"/>
      <c r="H1651" s="86"/>
      <c r="I1651" s="294"/>
      <c r="J1651" s="59"/>
      <c r="K1651" s="83"/>
      <c r="L1651" s="83" t="str">
        <f t="shared" si="50"/>
        <v xml:space="preserve">
</v>
      </c>
      <c r="M1651" s="83"/>
      <c r="N1651" s="59"/>
      <c r="O1651" s="59"/>
      <c r="P1651" s="86">
        <f t="shared" si="51"/>
        <v>0</v>
      </c>
      <c r="Q1651" s="59"/>
      <c r="R1651" s="59"/>
      <c r="S1651" s="59"/>
      <c r="T1651" s="59"/>
      <c r="U1651" s="290"/>
      <c r="V1651" s="290"/>
      <c r="W1651" s="290"/>
      <c r="X1651" s="290"/>
      <c r="Y1651" s="290"/>
      <c r="Z1651" s="290"/>
      <c r="AA1651" s="290"/>
      <c r="AB1651" s="290"/>
      <c r="AC1651" s="290"/>
      <c r="AD1651" s="290"/>
    </row>
    <row r="1652" spans="1:30" ht="25.5">
      <c r="A1652" s="291"/>
      <c r="B1652" s="291"/>
      <c r="C1652" s="291"/>
      <c r="D1652" s="83"/>
      <c r="E1652" s="59"/>
      <c r="F1652" s="82"/>
      <c r="G1652" s="82"/>
      <c r="H1652" s="86"/>
      <c r="I1652" s="294"/>
      <c r="J1652" s="59"/>
      <c r="K1652" s="83"/>
      <c r="L1652" s="83" t="str">
        <f t="shared" si="50"/>
        <v xml:space="preserve">
</v>
      </c>
      <c r="M1652" s="83"/>
      <c r="N1652" s="59"/>
      <c r="O1652" s="59"/>
      <c r="P1652" s="86">
        <f t="shared" si="51"/>
        <v>0</v>
      </c>
      <c r="Q1652" s="59"/>
      <c r="R1652" s="59"/>
      <c r="S1652" s="59"/>
      <c r="T1652" s="59"/>
      <c r="U1652" s="290"/>
      <c r="V1652" s="290"/>
      <c r="W1652" s="290"/>
      <c r="X1652" s="290"/>
      <c r="Y1652" s="290"/>
      <c r="Z1652" s="290"/>
      <c r="AA1652" s="290"/>
      <c r="AB1652" s="290"/>
      <c r="AC1652" s="290"/>
      <c r="AD1652" s="290"/>
    </row>
    <row r="1653" spans="1:30" ht="25.5">
      <c r="A1653" s="291"/>
      <c r="B1653" s="291"/>
      <c r="C1653" s="291"/>
      <c r="D1653" s="83"/>
      <c r="E1653" s="59"/>
      <c r="F1653" s="82"/>
      <c r="G1653" s="82"/>
      <c r="H1653" s="86"/>
      <c r="I1653" s="294"/>
      <c r="J1653" s="59"/>
      <c r="K1653" s="83"/>
      <c r="L1653" s="83" t="str">
        <f t="shared" si="50"/>
        <v xml:space="preserve">
</v>
      </c>
      <c r="M1653" s="83"/>
      <c r="N1653" s="59"/>
      <c r="O1653" s="59"/>
      <c r="P1653" s="86">
        <f t="shared" si="51"/>
        <v>0</v>
      </c>
      <c r="Q1653" s="59"/>
      <c r="R1653" s="59"/>
      <c r="S1653" s="59"/>
      <c r="T1653" s="59"/>
      <c r="U1653" s="290"/>
      <c r="V1653" s="290"/>
      <c r="W1653" s="290"/>
      <c r="X1653" s="290"/>
      <c r="Y1653" s="290"/>
      <c r="Z1653" s="290"/>
      <c r="AA1653" s="290"/>
      <c r="AB1653" s="290"/>
      <c r="AC1653" s="290"/>
      <c r="AD1653" s="290"/>
    </row>
    <row r="1654" spans="1:30" ht="25.5">
      <c r="A1654" s="291"/>
      <c r="B1654" s="291"/>
      <c r="C1654" s="291"/>
      <c r="D1654" s="83"/>
      <c r="E1654" s="59"/>
      <c r="F1654" s="82"/>
      <c r="G1654" s="82"/>
      <c r="H1654" s="86"/>
      <c r="I1654" s="294"/>
      <c r="J1654" s="59"/>
      <c r="K1654" s="83"/>
      <c r="L1654" s="83" t="str">
        <f t="shared" si="50"/>
        <v xml:space="preserve">
</v>
      </c>
      <c r="M1654" s="83"/>
      <c r="N1654" s="59"/>
      <c r="O1654" s="59"/>
      <c r="P1654" s="86">
        <f t="shared" si="51"/>
        <v>0</v>
      </c>
      <c r="Q1654" s="59"/>
      <c r="R1654" s="59"/>
      <c r="S1654" s="59"/>
      <c r="T1654" s="59"/>
      <c r="U1654" s="290"/>
      <c r="V1654" s="290"/>
      <c r="W1654" s="290"/>
      <c r="X1654" s="290"/>
      <c r="Y1654" s="290"/>
      <c r="Z1654" s="290"/>
      <c r="AA1654" s="290"/>
      <c r="AB1654" s="290"/>
      <c r="AC1654" s="290"/>
      <c r="AD1654" s="290"/>
    </row>
    <row r="1655" spans="1:30" ht="25.5">
      <c r="A1655" s="291"/>
      <c r="B1655" s="291"/>
      <c r="C1655" s="291"/>
      <c r="D1655" s="83"/>
      <c r="E1655" s="59"/>
      <c r="F1655" s="82"/>
      <c r="G1655" s="82"/>
      <c r="H1655" s="86"/>
      <c r="I1655" s="294"/>
      <c r="J1655" s="59"/>
      <c r="K1655" s="83"/>
      <c r="L1655" s="83" t="str">
        <f t="shared" si="50"/>
        <v xml:space="preserve">
</v>
      </c>
      <c r="M1655" s="83"/>
      <c r="N1655" s="59"/>
      <c r="O1655" s="59"/>
      <c r="P1655" s="86">
        <f t="shared" si="51"/>
        <v>0</v>
      </c>
      <c r="Q1655" s="59"/>
      <c r="R1655" s="59"/>
      <c r="S1655" s="59"/>
      <c r="T1655" s="59"/>
      <c r="U1655" s="290"/>
      <c r="V1655" s="290"/>
      <c r="W1655" s="290"/>
      <c r="X1655" s="290"/>
      <c r="Y1655" s="290"/>
      <c r="Z1655" s="290"/>
      <c r="AA1655" s="290"/>
      <c r="AB1655" s="290"/>
      <c r="AC1655" s="290"/>
      <c r="AD1655" s="290"/>
    </row>
    <row r="1656" spans="1:30" ht="25.5">
      <c r="A1656" s="291"/>
      <c r="B1656" s="291"/>
      <c r="C1656" s="291"/>
      <c r="D1656" s="83"/>
      <c r="E1656" s="59"/>
      <c r="F1656" s="82"/>
      <c r="G1656" s="82"/>
      <c r="H1656" s="86"/>
      <c r="I1656" s="294"/>
      <c r="J1656" s="59"/>
      <c r="K1656" s="83"/>
      <c r="L1656" s="83" t="str">
        <f t="shared" si="50"/>
        <v xml:space="preserve">
</v>
      </c>
      <c r="M1656" s="83"/>
      <c r="N1656" s="59"/>
      <c r="O1656" s="59"/>
      <c r="P1656" s="86">
        <f t="shared" si="51"/>
        <v>0</v>
      </c>
      <c r="Q1656" s="59"/>
      <c r="R1656" s="59"/>
      <c r="S1656" s="59"/>
      <c r="T1656" s="59"/>
      <c r="U1656" s="290"/>
      <c r="V1656" s="290"/>
      <c r="W1656" s="290"/>
      <c r="X1656" s="290"/>
      <c r="Y1656" s="290"/>
      <c r="Z1656" s="290"/>
      <c r="AA1656" s="290"/>
      <c r="AB1656" s="290"/>
      <c r="AC1656" s="290"/>
      <c r="AD1656" s="290"/>
    </row>
    <row r="1657" spans="1:30" ht="25.5">
      <c r="A1657" s="291"/>
      <c r="B1657" s="291"/>
      <c r="C1657" s="291"/>
      <c r="D1657" s="83"/>
      <c r="E1657" s="59"/>
      <c r="F1657" s="82"/>
      <c r="G1657" s="82"/>
      <c r="H1657" s="86"/>
      <c r="I1657" s="294"/>
      <c r="J1657" s="59"/>
      <c r="K1657" s="83"/>
      <c r="L1657" s="83" t="str">
        <f t="shared" si="50"/>
        <v xml:space="preserve">
</v>
      </c>
      <c r="M1657" s="83"/>
      <c r="N1657" s="59"/>
      <c r="O1657" s="59"/>
      <c r="P1657" s="86">
        <f t="shared" si="51"/>
        <v>0</v>
      </c>
      <c r="Q1657" s="59"/>
      <c r="R1657" s="59"/>
      <c r="S1657" s="59"/>
      <c r="T1657" s="59"/>
      <c r="U1657" s="290"/>
      <c r="V1657" s="290"/>
      <c r="W1657" s="290"/>
      <c r="X1657" s="290"/>
      <c r="Y1657" s="290"/>
      <c r="Z1657" s="290"/>
      <c r="AA1657" s="290"/>
      <c r="AB1657" s="290"/>
      <c r="AC1657" s="290"/>
      <c r="AD1657" s="290"/>
    </row>
    <row r="1658" spans="1:30" ht="25.5">
      <c r="A1658" s="291"/>
      <c r="B1658" s="291"/>
      <c r="C1658" s="291"/>
      <c r="D1658" s="83"/>
      <c r="E1658" s="59"/>
      <c r="F1658" s="82"/>
      <c r="G1658" s="82"/>
      <c r="H1658" s="86"/>
      <c r="I1658" s="294"/>
      <c r="J1658" s="59"/>
      <c r="K1658" s="83"/>
      <c r="L1658" s="83" t="str">
        <f t="shared" si="50"/>
        <v xml:space="preserve">
</v>
      </c>
      <c r="M1658" s="83"/>
      <c r="N1658" s="59"/>
      <c r="O1658" s="59"/>
      <c r="P1658" s="86">
        <f t="shared" si="51"/>
        <v>0</v>
      </c>
      <c r="Q1658" s="59"/>
      <c r="R1658" s="59"/>
      <c r="S1658" s="59"/>
      <c r="T1658" s="59"/>
      <c r="U1658" s="290"/>
      <c r="V1658" s="290"/>
      <c r="W1658" s="290"/>
      <c r="X1658" s="290"/>
      <c r="Y1658" s="290"/>
      <c r="Z1658" s="290"/>
      <c r="AA1658" s="290"/>
      <c r="AB1658" s="290"/>
      <c r="AC1658" s="290"/>
      <c r="AD1658" s="290"/>
    </row>
    <row r="1659" spans="1:30" ht="25.5">
      <c r="A1659" s="291"/>
      <c r="B1659" s="291"/>
      <c r="C1659" s="291"/>
      <c r="D1659" s="83"/>
      <c r="E1659" s="59"/>
      <c r="F1659" s="82"/>
      <c r="G1659" s="82"/>
      <c r="H1659" s="86"/>
      <c r="I1659" s="294"/>
      <c r="J1659" s="59"/>
      <c r="K1659" s="83"/>
      <c r="L1659" s="83" t="str">
        <f t="shared" si="50"/>
        <v xml:space="preserve">
</v>
      </c>
      <c r="M1659" s="83"/>
      <c r="N1659" s="59"/>
      <c r="O1659" s="59"/>
      <c r="P1659" s="86">
        <f t="shared" si="51"/>
        <v>0</v>
      </c>
      <c r="Q1659" s="59"/>
      <c r="R1659" s="59"/>
      <c r="S1659" s="59"/>
      <c r="T1659" s="59"/>
      <c r="U1659" s="290"/>
      <c r="V1659" s="290"/>
      <c r="W1659" s="290"/>
      <c r="X1659" s="290"/>
      <c r="Y1659" s="290"/>
      <c r="Z1659" s="290"/>
      <c r="AA1659" s="290"/>
      <c r="AB1659" s="290"/>
      <c r="AC1659" s="290"/>
      <c r="AD1659" s="290"/>
    </row>
    <row r="1660" spans="1:30" ht="25.5">
      <c r="A1660" s="291"/>
      <c r="B1660" s="291"/>
      <c r="C1660" s="291"/>
      <c r="D1660" s="83"/>
      <c r="E1660" s="59"/>
      <c r="F1660" s="82"/>
      <c r="G1660" s="82"/>
      <c r="H1660" s="86"/>
      <c r="I1660" s="294"/>
      <c r="J1660" s="59"/>
      <c r="K1660" s="83"/>
      <c r="L1660" s="83" t="str">
        <f t="shared" si="50"/>
        <v xml:space="preserve">
</v>
      </c>
      <c r="M1660" s="83"/>
      <c r="N1660" s="59"/>
      <c r="O1660" s="59"/>
      <c r="P1660" s="86">
        <f t="shared" si="51"/>
        <v>0</v>
      </c>
      <c r="Q1660" s="59"/>
      <c r="R1660" s="59"/>
      <c r="S1660" s="59"/>
      <c r="T1660" s="59"/>
      <c r="U1660" s="290"/>
      <c r="V1660" s="290"/>
      <c r="W1660" s="290"/>
      <c r="X1660" s="290"/>
      <c r="Y1660" s="290"/>
      <c r="Z1660" s="290"/>
      <c r="AA1660" s="290"/>
      <c r="AB1660" s="290"/>
      <c r="AC1660" s="290"/>
      <c r="AD1660" s="290"/>
    </row>
    <row r="1661" spans="1:30" ht="25.5">
      <c r="A1661" s="291"/>
      <c r="B1661" s="291"/>
      <c r="C1661" s="291"/>
      <c r="D1661" s="83"/>
      <c r="E1661" s="59"/>
      <c r="F1661" s="82"/>
      <c r="G1661" s="82"/>
      <c r="H1661" s="86"/>
      <c r="I1661" s="294"/>
      <c r="J1661" s="59"/>
      <c r="K1661" s="83"/>
      <c r="L1661" s="83" t="str">
        <f t="shared" si="50"/>
        <v xml:space="preserve">
</v>
      </c>
      <c r="M1661" s="83"/>
      <c r="N1661" s="59"/>
      <c r="O1661" s="59"/>
      <c r="P1661" s="86">
        <f t="shared" si="51"/>
        <v>0</v>
      </c>
      <c r="Q1661" s="59"/>
      <c r="R1661" s="59"/>
      <c r="S1661" s="59"/>
      <c r="T1661" s="59"/>
      <c r="U1661" s="290"/>
      <c r="V1661" s="290"/>
      <c r="W1661" s="290"/>
      <c r="X1661" s="290"/>
      <c r="Y1661" s="290"/>
      <c r="Z1661" s="290"/>
      <c r="AA1661" s="290"/>
      <c r="AB1661" s="290"/>
      <c r="AC1661" s="290"/>
      <c r="AD1661" s="290"/>
    </row>
    <row r="1662" spans="1:30" ht="25.5">
      <c r="A1662" s="291"/>
      <c r="B1662" s="291"/>
      <c r="C1662" s="291"/>
      <c r="D1662" s="83"/>
      <c r="E1662" s="59"/>
      <c r="F1662" s="82"/>
      <c r="G1662" s="82"/>
      <c r="H1662" s="86"/>
      <c r="I1662" s="294"/>
      <c r="J1662" s="59"/>
      <c r="K1662" s="83"/>
      <c r="L1662" s="83" t="str">
        <f t="shared" si="50"/>
        <v xml:space="preserve">
</v>
      </c>
      <c r="M1662" s="83"/>
      <c r="N1662" s="59"/>
      <c r="O1662" s="59"/>
      <c r="P1662" s="86">
        <f t="shared" si="51"/>
        <v>0</v>
      </c>
      <c r="Q1662" s="59"/>
      <c r="R1662" s="59"/>
      <c r="S1662" s="59"/>
      <c r="T1662" s="59"/>
      <c r="U1662" s="290"/>
      <c r="V1662" s="290"/>
      <c r="W1662" s="290"/>
      <c r="X1662" s="290"/>
      <c r="Y1662" s="290"/>
      <c r="Z1662" s="290"/>
      <c r="AA1662" s="290"/>
      <c r="AB1662" s="290"/>
      <c r="AC1662" s="290"/>
      <c r="AD1662" s="290"/>
    </row>
    <row r="1663" spans="1:30" ht="25.5">
      <c r="A1663" s="291"/>
      <c r="B1663" s="291"/>
      <c r="C1663" s="291"/>
      <c r="D1663" s="83"/>
      <c r="E1663" s="59"/>
      <c r="F1663" s="82"/>
      <c r="G1663" s="82"/>
      <c r="H1663" s="86"/>
      <c r="I1663" s="294"/>
      <c r="J1663" s="59"/>
      <c r="K1663" s="83"/>
      <c r="L1663" s="83" t="str">
        <f t="shared" si="50"/>
        <v xml:space="preserve">
</v>
      </c>
      <c r="M1663" s="83"/>
      <c r="N1663" s="59"/>
      <c r="O1663" s="59"/>
      <c r="P1663" s="86">
        <f t="shared" si="51"/>
        <v>0</v>
      </c>
      <c r="Q1663" s="59"/>
      <c r="R1663" s="59"/>
      <c r="S1663" s="59"/>
      <c r="T1663" s="59"/>
      <c r="U1663" s="290"/>
      <c r="V1663" s="290"/>
      <c r="W1663" s="290"/>
      <c r="X1663" s="290"/>
      <c r="Y1663" s="290"/>
      <c r="Z1663" s="290"/>
      <c r="AA1663" s="290"/>
      <c r="AB1663" s="290"/>
      <c r="AC1663" s="290"/>
      <c r="AD1663" s="290"/>
    </row>
    <row r="1664" spans="1:30" ht="25.5">
      <c r="A1664" s="291"/>
      <c r="B1664" s="291"/>
      <c r="C1664" s="291"/>
      <c r="D1664" s="83"/>
      <c r="E1664" s="59"/>
      <c r="F1664" s="82"/>
      <c r="G1664" s="82"/>
      <c r="H1664" s="86"/>
      <c r="I1664" s="294"/>
      <c r="J1664" s="59"/>
      <c r="K1664" s="83"/>
      <c r="L1664" s="83" t="str">
        <f t="shared" si="50"/>
        <v xml:space="preserve">
</v>
      </c>
      <c r="M1664" s="83"/>
      <c r="N1664" s="59"/>
      <c r="O1664" s="59"/>
      <c r="P1664" s="86">
        <f t="shared" si="51"/>
        <v>0</v>
      </c>
      <c r="Q1664" s="59"/>
      <c r="R1664" s="59"/>
      <c r="S1664" s="59"/>
      <c r="T1664" s="59"/>
      <c r="U1664" s="290"/>
      <c r="V1664" s="290"/>
      <c r="W1664" s="290"/>
      <c r="X1664" s="290"/>
      <c r="Y1664" s="290"/>
      <c r="Z1664" s="290"/>
      <c r="AA1664" s="290"/>
      <c r="AB1664" s="290"/>
      <c r="AC1664" s="290"/>
      <c r="AD1664" s="290"/>
    </row>
    <row r="1665" spans="1:30" ht="25.5">
      <c r="A1665" s="291"/>
      <c r="B1665" s="291"/>
      <c r="C1665" s="291"/>
      <c r="D1665" s="83"/>
      <c r="E1665" s="59"/>
      <c r="F1665" s="82"/>
      <c r="G1665" s="82"/>
      <c r="H1665" s="86"/>
      <c r="I1665" s="294"/>
      <c r="J1665" s="59"/>
      <c r="K1665" s="83"/>
      <c r="L1665" s="83" t="str">
        <f t="shared" si="50"/>
        <v xml:space="preserve">
</v>
      </c>
      <c r="M1665" s="83"/>
      <c r="N1665" s="59"/>
      <c r="O1665" s="59"/>
      <c r="P1665" s="86">
        <f t="shared" si="51"/>
        <v>0</v>
      </c>
      <c r="Q1665" s="59"/>
      <c r="R1665" s="59"/>
      <c r="S1665" s="59"/>
      <c r="T1665" s="59"/>
      <c r="U1665" s="290"/>
      <c r="V1665" s="290"/>
      <c r="W1665" s="290"/>
      <c r="X1665" s="290"/>
      <c r="Y1665" s="290"/>
      <c r="Z1665" s="290"/>
      <c r="AA1665" s="290"/>
      <c r="AB1665" s="290"/>
      <c r="AC1665" s="290"/>
      <c r="AD1665" s="290"/>
    </row>
    <row r="1666" spans="1:30" ht="25.5">
      <c r="A1666" s="291"/>
      <c r="B1666" s="291"/>
      <c r="C1666" s="291"/>
      <c r="D1666" s="83"/>
      <c r="E1666" s="59"/>
      <c r="F1666" s="82"/>
      <c r="G1666" s="82"/>
      <c r="H1666" s="86"/>
      <c r="I1666" s="294"/>
      <c r="J1666" s="59"/>
      <c r="K1666" s="83"/>
      <c r="L1666" s="83" t="str">
        <f t="shared" si="50"/>
        <v xml:space="preserve">
</v>
      </c>
      <c r="M1666" s="83"/>
      <c r="N1666" s="59"/>
      <c r="O1666" s="59"/>
      <c r="P1666" s="86">
        <f t="shared" si="51"/>
        <v>0</v>
      </c>
      <c r="Q1666" s="59"/>
      <c r="R1666" s="59"/>
      <c r="S1666" s="59"/>
      <c r="T1666" s="59"/>
      <c r="U1666" s="290"/>
      <c r="V1666" s="290"/>
      <c r="W1666" s="290"/>
      <c r="X1666" s="290"/>
      <c r="Y1666" s="290"/>
      <c r="Z1666" s="290"/>
      <c r="AA1666" s="290"/>
      <c r="AB1666" s="290"/>
      <c r="AC1666" s="290"/>
      <c r="AD1666" s="290"/>
    </row>
    <row r="1667" spans="1:30" ht="25.5">
      <c r="A1667" s="291"/>
      <c r="B1667" s="291"/>
      <c r="C1667" s="291"/>
      <c r="D1667" s="83"/>
      <c r="E1667" s="59"/>
      <c r="F1667" s="82"/>
      <c r="G1667" s="82"/>
      <c r="H1667" s="86"/>
      <c r="I1667" s="294"/>
      <c r="J1667" s="59"/>
      <c r="K1667" s="83"/>
      <c r="L1667" s="83" t="str">
        <f t="shared" si="50"/>
        <v xml:space="preserve">
</v>
      </c>
      <c r="M1667" s="83"/>
      <c r="N1667" s="59"/>
      <c r="O1667" s="59"/>
      <c r="P1667" s="86">
        <f t="shared" si="51"/>
        <v>0</v>
      </c>
      <c r="Q1667" s="59"/>
      <c r="R1667" s="59"/>
      <c r="S1667" s="59"/>
      <c r="T1667" s="59"/>
      <c r="U1667" s="290"/>
      <c r="V1667" s="290"/>
      <c r="W1667" s="290"/>
      <c r="X1667" s="290"/>
      <c r="Y1667" s="290"/>
      <c r="Z1667" s="290"/>
      <c r="AA1667" s="290"/>
      <c r="AB1667" s="290"/>
      <c r="AC1667" s="290"/>
      <c r="AD1667" s="290"/>
    </row>
    <row r="1668" spans="1:30" ht="25.5">
      <c r="A1668" s="291"/>
      <c r="B1668" s="291"/>
      <c r="C1668" s="291"/>
      <c r="D1668" s="83"/>
      <c r="E1668" s="59"/>
      <c r="F1668" s="82"/>
      <c r="G1668" s="82"/>
      <c r="H1668" s="86"/>
      <c r="I1668" s="294"/>
      <c r="J1668" s="59"/>
      <c r="K1668" s="83"/>
      <c r="L1668" s="83" t="str">
        <f t="shared" si="50"/>
        <v xml:space="preserve">
</v>
      </c>
      <c r="M1668" s="83"/>
      <c r="N1668" s="59"/>
      <c r="O1668" s="59"/>
      <c r="P1668" s="86">
        <f t="shared" si="51"/>
        <v>0</v>
      </c>
      <c r="Q1668" s="59"/>
      <c r="R1668" s="59"/>
      <c r="S1668" s="59"/>
      <c r="T1668" s="59"/>
      <c r="U1668" s="290"/>
      <c r="V1668" s="290"/>
      <c r="W1668" s="290"/>
      <c r="X1668" s="290"/>
      <c r="Y1668" s="290"/>
      <c r="Z1668" s="290"/>
      <c r="AA1668" s="290"/>
      <c r="AB1668" s="290"/>
      <c r="AC1668" s="290"/>
      <c r="AD1668" s="290"/>
    </row>
    <row r="1669" spans="1:30" ht="25.5">
      <c r="A1669" s="291"/>
      <c r="B1669" s="291"/>
      <c r="C1669" s="291"/>
      <c r="D1669" s="83"/>
      <c r="E1669" s="59"/>
      <c r="F1669" s="82"/>
      <c r="G1669" s="82"/>
      <c r="H1669" s="86"/>
      <c r="I1669" s="294"/>
      <c r="J1669" s="59"/>
      <c r="K1669" s="83"/>
      <c r="L1669" s="83" t="str">
        <f t="shared" si="50"/>
        <v xml:space="preserve">
</v>
      </c>
      <c r="M1669" s="83"/>
      <c r="N1669" s="59"/>
      <c r="O1669" s="59"/>
      <c r="P1669" s="86">
        <f t="shared" si="51"/>
        <v>0</v>
      </c>
      <c r="Q1669" s="59"/>
      <c r="R1669" s="59"/>
      <c r="S1669" s="59"/>
      <c r="T1669" s="59"/>
      <c r="U1669" s="290"/>
      <c r="V1669" s="290"/>
      <c r="W1669" s="290"/>
      <c r="X1669" s="290"/>
      <c r="Y1669" s="290"/>
      <c r="Z1669" s="290"/>
      <c r="AA1669" s="290"/>
      <c r="AB1669" s="290"/>
      <c r="AC1669" s="290"/>
      <c r="AD1669" s="290"/>
    </row>
    <row r="1670" spans="1:30" ht="25.5">
      <c r="A1670" s="291"/>
      <c r="B1670" s="291"/>
      <c r="C1670" s="291"/>
      <c r="D1670" s="83"/>
      <c r="E1670" s="59"/>
      <c r="F1670" s="82"/>
      <c r="G1670" s="82"/>
      <c r="H1670" s="86"/>
      <c r="I1670" s="294"/>
      <c r="J1670" s="59"/>
      <c r="K1670" s="83"/>
      <c r="L1670" s="83" t="str">
        <f t="shared" si="50"/>
        <v xml:space="preserve">
</v>
      </c>
      <c r="M1670" s="83"/>
      <c r="N1670" s="59"/>
      <c r="O1670" s="59"/>
      <c r="P1670" s="86">
        <f t="shared" si="51"/>
        <v>0</v>
      </c>
      <c r="Q1670" s="59"/>
      <c r="R1670" s="59"/>
      <c r="S1670" s="59"/>
      <c r="T1670" s="59"/>
      <c r="U1670" s="290"/>
      <c r="V1670" s="290"/>
      <c r="W1670" s="290"/>
      <c r="X1670" s="290"/>
      <c r="Y1670" s="290"/>
      <c r="Z1670" s="290"/>
      <c r="AA1670" s="290"/>
      <c r="AB1670" s="290"/>
      <c r="AC1670" s="290"/>
      <c r="AD1670" s="290"/>
    </row>
    <row r="1671" spans="1:30" ht="25.5">
      <c r="A1671" s="291"/>
      <c r="B1671" s="291"/>
      <c r="C1671" s="291"/>
      <c r="D1671" s="83"/>
      <c r="E1671" s="59"/>
      <c r="F1671" s="82"/>
      <c r="G1671" s="82"/>
      <c r="H1671" s="86"/>
      <c r="I1671" s="294"/>
      <c r="J1671" s="59"/>
      <c r="K1671" s="83"/>
      <c r="L1671" s="83" t="str">
        <f t="shared" si="50"/>
        <v xml:space="preserve">
</v>
      </c>
      <c r="M1671" s="83"/>
      <c r="N1671" s="59"/>
      <c r="O1671" s="59"/>
      <c r="P1671" s="86">
        <f t="shared" si="51"/>
        <v>0</v>
      </c>
      <c r="Q1671" s="59"/>
      <c r="R1671" s="59"/>
      <c r="S1671" s="59"/>
      <c r="T1671" s="59"/>
      <c r="U1671" s="290"/>
      <c r="V1671" s="290"/>
      <c r="W1671" s="290"/>
      <c r="X1671" s="290"/>
      <c r="Y1671" s="290"/>
      <c r="Z1671" s="290"/>
      <c r="AA1671" s="290"/>
      <c r="AB1671" s="290"/>
      <c r="AC1671" s="290"/>
      <c r="AD1671" s="290"/>
    </row>
    <row r="1672" spans="1:30" ht="25.5">
      <c r="A1672" s="291"/>
      <c r="B1672" s="291"/>
      <c r="C1672" s="291"/>
      <c r="D1672" s="83"/>
      <c r="E1672" s="59"/>
      <c r="F1672" s="82"/>
      <c r="G1672" s="82"/>
      <c r="H1672" s="86"/>
      <c r="I1672" s="294"/>
      <c r="J1672" s="59"/>
      <c r="K1672" s="83"/>
      <c r="L1672" s="83" t="str">
        <f t="shared" si="50"/>
        <v xml:space="preserve">
</v>
      </c>
      <c r="M1672" s="83"/>
      <c r="N1672" s="59"/>
      <c r="O1672" s="59"/>
      <c r="P1672" s="86">
        <f t="shared" si="51"/>
        <v>0</v>
      </c>
      <c r="Q1672" s="59"/>
      <c r="R1672" s="59"/>
      <c r="S1672" s="59"/>
      <c r="T1672" s="59"/>
      <c r="U1672" s="290"/>
      <c r="V1672" s="290"/>
      <c r="W1672" s="290"/>
      <c r="X1672" s="290"/>
      <c r="Y1672" s="290"/>
      <c r="Z1672" s="290"/>
      <c r="AA1672" s="290"/>
      <c r="AB1672" s="290"/>
      <c r="AC1672" s="290"/>
      <c r="AD1672" s="290"/>
    </row>
    <row r="1673" spans="1:30" ht="25.5">
      <c r="A1673" s="291"/>
      <c r="B1673" s="291"/>
      <c r="C1673" s="291"/>
      <c r="D1673" s="83"/>
      <c r="E1673" s="59"/>
      <c r="F1673" s="82"/>
      <c r="G1673" s="82"/>
      <c r="H1673" s="86"/>
      <c r="I1673" s="294"/>
      <c r="J1673" s="59"/>
      <c r="K1673" s="83"/>
      <c r="L1673" s="83" t="str">
        <f t="shared" si="50"/>
        <v xml:space="preserve">
</v>
      </c>
      <c r="M1673" s="83"/>
      <c r="N1673" s="59"/>
      <c r="O1673" s="59"/>
      <c r="P1673" s="86">
        <f t="shared" si="51"/>
        <v>0</v>
      </c>
      <c r="Q1673" s="59"/>
      <c r="R1673" s="59"/>
      <c r="S1673" s="59"/>
      <c r="T1673" s="59"/>
      <c r="U1673" s="290"/>
      <c r="V1673" s="290"/>
      <c r="W1673" s="290"/>
      <c r="X1673" s="290"/>
      <c r="Y1673" s="290"/>
      <c r="Z1673" s="290"/>
      <c r="AA1673" s="290"/>
      <c r="AB1673" s="290"/>
      <c r="AC1673" s="290"/>
      <c r="AD1673" s="290"/>
    </row>
    <row r="1674" spans="1:30" ht="25.5">
      <c r="A1674" s="291"/>
      <c r="B1674" s="291"/>
      <c r="C1674" s="291"/>
      <c r="D1674" s="83"/>
      <c r="E1674" s="59"/>
      <c r="F1674" s="82"/>
      <c r="G1674" s="82"/>
      <c r="H1674" s="86"/>
      <c r="I1674" s="294"/>
      <c r="J1674" s="59"/>
      <c r="K1674" s="83"/>
      <c r="L1674" s="83" t="str">
        <f t="shared" si="50"/>
        <v xml:space="preserve">
</v>
      </c>
      <c r="M1674" s="83"/>
      <c r="N1674" s="59"/>
      <c r="O1674" s="59"/>
      <c r="P1674" s="86">
        <f t="shared" si="51"/>
        <v>0</v>
      </c>
      <c r="Q1674" s="59"/>
      <c r="R1674" s="59"/>
      <c r="S1674" s="59"/>
      <c r="T1674" s="59"/>
      <c r="U1674" s="290"/>
      <c r="V1674" s="290"/>
      <c r="W1674" s="290"/>
      <c r="X1674" s="290"/>
      <c r="Y1674" s="290"/>
      <c r="Z1674" s="290"/>
      <c r="AA1674" s="290"/>
      <c r="AB1674" s="290"/>
      <c r="AC1674" s="290"/>
      <c r="AD1674" s="290"/>
    </row>
    <row r="1675" spans="1:30" ht="25.5">
      <c r="A1675" s="291"/>
      <c r="B1675" s="291"/>
      <c r="C1675" s="291"/>
      <c r="D1675" s="83"/>
      <c r="E1675" s="59"/>
      <c r="F1675" s="82"/>
      <c r="G1675" s="82"/>
      <c r="H1675" s="86"/>
      <c r="I1675" s="294"/>
      <c r="J1675" s="59"/>
      <c r="K1675" s="83"/>
      <c r="L1675" s="83" t="str">
        <f t="shared" si="50"/>
        <v xml:space="preserve">
</v>
      </c>
      <c r="M1675" s="83"/>
      <c r="N1675" s="59"/>
      <c r="O1675" s="59"/>
      <c r="P1675" s="86">
        <f t="shared" si="51"/>
        <v>0</v>
      </c>
      <c r="Q1675" s="59"/>
      <c r="R1675" s="59"/>
      <c r="S1675" s="59"/>
      <c r="T1675" s="59"/>
      <c r="U1675" s="290"/>
      <c r="V1675" s="290"/>
      <c r="W1675" s="290"/>
      <c r="X1675" s="290"/>
      <c r="Y1675" s="290"/>
      <c r="Z1675" s="290"/>
      <c r="AA1675" s="290"/>
      <c r="AB1675" s="290"/>
      <c r="AC1675" s="290"/>
      <c r="AD1675" s="290"/>
    </row>
    <row r="1676" spans="1:30" ht="25.5">
      <c r="A1676" s="291"/>
      <c r="B1676" s="291"/>
      <c r="C1676" s="291"/>
      <c r="D1676" s="83"/>
      <c r="E1676" s="59"/>
      <c r="F1676" s="82"/>
      <c r="G1676" s="82"/>
      <c r="H1676" s="86"/>
      <c r="I1676" s="294"/>
      <c r="J1676" s="59"/>
      <c r="K1676" s="83"/>
      <c r="L1676" s="83" t="str">
        <f t="shared" si="50"/>
        <v xml:space="preserve">
</v>
      </c>
      <c r="M1676" s="83"/>
      <c r="N1676" s="59"/>
      <c r="O1676" s="59"/>
      <c r="P1676" s="86">
        <f t="shared" si="51"/>
        <v>0</v>
      </c>
      <c r="Q1676" s="59"/>
      <c r="R1676" s="59"/>
      <c r="S1676" s="59"/>
      <c r="T1676" s="59"/>
      <c r="U1676" s="290"/>
      <c r="V1676" s="290"/>
      <c r="W1676" s="290"/>
      <c r="X1676" s="290"/>
      <c r="Y1676" s="290"/>
      <c r="Z1676" s="290"/>
      <c r="AA1676" s="290"/>
      <c r="AB1676" s="290"/>
      <c r="AC1676" s="290"/>
      <c r="AD1676" s="290"/>
    </row>
    <row r="1677" spans="1:30" ht="25.5">
      <c r="A1677" s="291"/>
      <c r="B1677" s="291"/>
      <c r="C1677" s="291"/>
      <c r="D1677" s="83"/>
      <c r="E1677" s="59"/>
      <c r="F1677" s="82"/>
      <c r="G1677" s="82"/>
      <c r="H1677" s="86"/>
      <c r="I1677" s="294"/>
      <c r="J1677" s="59"/>
      <c r="K1677" s="83"/>
      <c r="L1677" s="83" t="str">
        <f t="shared" si="50"/>
        <v xml:space="preserve">
</v>
      </c>
      <c r="M1677" s="83"/>
      <c r="N1677" s="59"/>
      <c r="O1677" s="59"/>
      <c r="P1677" s="86">
        <f t="shared" si="51"/>
        <v>0</v>
      </c>
      <c r="Q1677" s="59"/>
      <c r="R1677" s="59"/>
      <c r="S1677" s="59"/>
      <c r="T1677" s="59"/>
      <c r="U1677" s="290"/>
      <c r="V1677" s="290"/>
      <c r="W1677" s="290"/>
      <c r="X1677" s="290"/>
      <c r="Y1677" s="290"/>
      <c r="Z1677" s="290"/>
      <c r="AA1677" s="290"/>
      <c r="AB1677" s="290"/>
      <c r="AC1677" s="290"/>
      <c r="AD1677" s="290"/>
    </row>
    <row r="1678" spans="1:30" ht="25.5">
      <c r="A1678" s="291"/>
      <c r="B1678" s="291"/>
      <c r="C1678" s="291"/>
      <c r="D1678" s="83"/>
      <c r="E1678" s="59"/>
      <c r="F1678" s="82"/>
      <c r="G1678" s="82"/>
      <c r="H1678" s="86"/>
      <c r="I1678" s="294"/>
      <c r="J1678" s="59"/>
      <c r="K1678" s="83"/>
      <c r="L1678" s="83" t="str">
        <f t="shared" si="50"/>
        <v xml:space="preserve">
</v>
      </c>
      <c r="M1678" s="83"/>
      <c r="N1678" s="59"/>
      <c r="O1678" s="59"/>
      <c r="P1678" s="86">
        <f t="shared" si="51"/>
        <v>0</v>
      </c>
      <c r="Q1678" s="59"/>
      <c r="R1678" s="59"/>
      <c r="S1678" s="59"/>
      <c r="T1678" s="59"/>
      <c r="U1678" s="290"/>
      <c r="V1678" s="290"/>
      <c r="W1678" s="290"/>
      <c r="X1678" s="290"/>
      <c r="Y1678" s="290"/>
      <c r="Z1678" s="290"/>
      <c r="AA1678" s="290"/>
      <c r="AB1678" s="290"/>
      <c r="AC1678" s="290"/>
      <c r="AD1678" s="290"/>
    </row>
    <row r="1679" spans="1:30" ht="25.5">
      <c r="A1679" s="291"/>
      <c r="B1679" s="291"/>
      <c r="C1679" s="291"/>
      <c r="D1679" s="83"/>
      <c r="E1679" s="59"/>
      <c r="F1679" s="82"/>
      <c r="G1679" s="82"/>
      <c r="H1679" s="86"/>
      <c r="I1679" s="294"/>
      <c r="J1679" s="59"/>
      <c r="K1679" s="83"/>
      <c r="L1679" s="83" t="str">
        <f t="shared" si="50"/>
        <v xml:space="preserve">
</v>
      </c>
      <c r="M1679" s="83"/>
      <c r="N1679" s="59"/>
      <c r="O1679" s="59"/>
      <c r="P1679" s="86">
        <f t="shared" si="51"/>
        <v>0</v>
      </c>
      <c r="Q1679" s="59"/>
      <c r="R1679" s="59"/>
      <c r="S1679" s="59"/>
      <c r="T1679" s="59"/>
      <c r="U1679" s="290"/>
      <c r="V1679" s="290"/>
      <c r="W1679" s="290"/>
      <c r="X1679" s="290"/>
      <c r="Y1679" s="290"/>
      <c r="Z1679" s="290"/>
      <c r="AA1679" s="290"/>
      <c r="AB1679" s="290"/>
      <c r="AC1679" s="290"/>
      <c r="AD1679" s="290"/>
    </row>
    <row r="1680" spans="1:30" ht="25.5">
      <c r="A1680" s="291"/>
      <c r="B1680" s="291"/>
      <c r="C1680" s="291"/>
      <c r="D1680" s="83"/>
      <c r="E1680" s="59"/>
      <c r="F1680" s="82"/>
      <c r="G1680" s="82"/>
      <c r="H1680" s="86"/>
      <c r="I1680" s="294"/>
      <c r="J1680" s="59"/>
      <c r="K1680" s="83"/>
      <c r="L1680" s="83" t="str">
        <f t="shared" si="50"/>
        <v xml:space="preserve">
</v>
      </c>
      <c r="M1680" s="83"/>
      <c r="N1680" s="59"/>
      <c r="O1680" s="59"/>
      <c r="P1680" s="86">
        <f t="shared" si="51"/>
        <v>0</v>
      </c>
      <c r="Q1680" s="59"/>
      <c r="R1680" s="59"/>
      <c r="S1680" s="59"/>
      <c r="T1680" s="59"/>
      <c r="U1680" s="290"/>
      <c r="V1680" s="290"/>
      <c r="W1680" s="290"/>
      <c r="X1680" s="290"/>
      <c r="Y1680" s="290"/>
      <c r="Z1680" s="290"/>
      <c r="AA1680" s="290"/>
      <c r="AB1680" s="290"/>
      <c r="AC1680" s="290"/>
      <c r="AD1680" s="290"/>
    </row>
    <row r="1681" spans="1:30" ht="25.5">
      <c r="A1681" s="291"/>
      <c r="B1681" s="291"/>
      <c r="C1681" s="291"/>
      <c r="D1681" s="83"/>
      <c r="E1681" s="59"/>
      <c r="F1681" s="82"/>
      <c r="G1681" s="82"/>
      <c r="H1681" s="86"/>
      <c r="I1681" s="294"/>
      <c r="J1681" s="59"/>
      <c r="K1681" s="83"/>
      <c r="L1681" s="83" t="str">
        <f t="shared" si="50"/>
        <v xml:space="preserve">
</v>
      </c>
      <c r="M1681" s="83"/>
      <c r="N1681" s="59"/>
      <c r="O1681" s="59"/>
      <c r="P1681" s="86">
        <f t="shared" si="51"/>
        <v>0</v>
      </c>
      <c r="Q1681" s="59"/>
      <c r="R1681" s="59"/>
      <c r="S1681" s="59"/>
      <c r="T1681" s="59"/>
      <c r="U1681" s="290"/>
      <c r="V1681" s="290"/>
      <c r="W1681" s="290"/>
      <c r="X1681" s="290"/>
      <c r="Y1681" s="290"/>
      <c r="Z1681" s="290"/>
      <c r="AA1681" s="290"/>
      <c r="AB1681" s="290"/>
      <c r="AC1681" s="290"/>
      <c r="AD1681" s="290"/>
    </row>
    <row r="1682" spans="1:30" ht="25.5">
      <c r="A1682" s="291"/>
      <c r="B1682" s="291"/>
      <c r="C1682" s="291"/>
      <c r="D1682" s="83"/>
      <c r="E1682" s="59"/>
      <c r="F1682" s="82"/>
      <c r="G1682" s="82"/>
      <c r="H1682" s="86"/>
      <c r="I1682" s="294"/>
      <c r="J1682" s="59"/>
      <c r="K1682" s="83"/>
      <c r="L1682" s="83" t="str">
        <f t="shared" si="50"/>
        <v xml:space="preserve">
</v>
      </c>
      <c r="M1682" s="83"/>
      <c r="N1682" s="59"/>
      <c r="O1682" s="59"/>
      <c r="P1682" s="86">
        <f t="shared" si="51"/>
        <v>0</v>
      </c>
      <c r="Q1682" s="59"/>
      <c r="R1682" s="59"/>
      <c r="S1682" s="59"/>
      <c r="T1682" s="59"/>
      <c r="U1682" s="290"/>
      <c r="V1682" s="290"/>
      <c r="W1682" s="290"/>
      <c r="X1682" s="290"/>
      <c r="Y1682" s="290"/>
      <c r="Z1682" s="290"/>
      <c r="AA1682" s="290"/>
      <c r="AB1682" s="290"/>
      <c r="AC1682" s="290"/>
      <c r="AD1682" s="290"/>
    </row>
    <row r="1683" spans="1:30" ht="25.5">
      <c r="A1683" s="291"/>
      <c r="B1683" s="291"/>
      <c r="C1683" s="291"/>
      <c r="D1683" s="83"/>
      <c r="E1683" s="59"/>
      <c r="F1683" s="82"/>
      <c r="G1683" s="82"/>
      <c r="H1683" s="86"/>
      <c r="I1683" s="294"/>
      <c r="J1683" s="59"/>
      <c r="K1683" s="83"/>
      <c r="L1683" s="83" t="str">
        <f t="shared" si="50"/>
        <v xml:space="preserve">
</v>
      </c>
      <c r="M1683" s="83"/>
      <c r="N1683" s="59"/>
      <c r="O1683" s="59"/>
      <c r="P1683" s="86">
        <f t="shared" si="51"/>
        <v>0</v>
      </c>
      <c r="Q1683" s="59"/>
      <c r="R1683" s="59"/>
      <c r="S1683" s="59"/>
      <c r="T1683" s="59"/>
      <c r="U1683" s="290"/>
      <c r="V1683" s="290"/>
      <c r="W1683" s="290"/>
      <c r="X1683" s="290"/>
      <c r="Y1683" s="290"/>
      <c r="Z1683" s="290"/>
      <c r="AA1683" s="290"/>
      <c r="AB1683" s="290"/>
      <c r="AC1683" s="290"/>
      <c r="AD1683" s="290"/>
    </row>
    <row r="1684" spans="1:30" ht="25.5">
      <c r="A1684" s="291"/>
      <c r="B1684" s="291"/>
      <c r="C1684" s="291"/>
      <c r="D1684" s="83"/>
      <c r="E1684" s="59"/>
      <c r="F1684" s="82"/>
      <c r="G1684" s="82"/>
      <c r="H1684" s="86"/>
      <c r="I1684" s="294"/>
      <c r="J1684" s="59"/>
      <c r="K1684" s="83"/>
      <c r="L1684" s="83" t="str">
        <f t="shared" si="50"/>
        <v xml:space="preserve">
</v>
      </c>
      <c r="M1684" s="83"/>
      <c r="N1684" s="59"/>
      <c r="O1684" s="59"/>
      <c r="P1684" s="86">
        <f t="shared" si="51"/>
        <v>0</v>
      </c>
      <c r="Q1684" s="59"/>
      <c r="R1684" s="59"/>
      <c r="S1684" s="59"/>
      <c r="T1684" s="59"/>
      <c r="U1684" s="290"/>
      <c r="V1684" s="290"/>
      <c r="W1684" s="290"/>
      <c r="X1684" s="290"/>
      <c r="Y1684" s="290"/>
      <c r="Z1684" s="290"/>
      <c r="AA1684" s="290"/>
      <c r="AB1684" s="290"/>
      <c r="AC1684" s="290"/>
      <c r="AD1684" s="290"/>
    </row>
    <row r="1685" spans="1:30" ht="25.5">
      <c r="A1685" s="291"/>
      <c r="B1685" s="291"/>
      <c r="C1685" s="291"/>
      <c r="D1685" s="83"/>
      <c r="E1685" s="59"/>
      <c r="F1685" s="82"/>
      <c r="G1685" s="82"/>
      <c r="H1685" s="86"/>
      <c r="I1685" s="294"/>
      <c r="J1685" s="59"/>
      <c r="K1685" s="83"/>
      <c r="L1685" s="83" t="str">
        <f t="shared" si="50"/>
        <v xml:space="preserve">
</v>
      </c>
      <c r="M1685" s="83"/>
      <c r="N1685" s="59"/>
      <c r="O1685" s="59"/>
      <c r="P1685" s="86">
        <f t="shared" si="51"/>
        <v>0</v>
      </c>
      <c r="Q1685" s="59"/>
      <c r="R1685" s="59"/>
      <c r="S1685" s="59"/>
      <c r="T1685" s="59"/>
      <c r="U1685" s="290"/>
      <c r="V1685" s="290"/>
      <c r="W1685" s="290"/>
      <c r="X1685" s="290"/>
      <c r="Y1685" s="290"/>
      <c r="Z1685" s="290"/>
      <c r="AA1685" s="290"/>
      <c r="AB1685" s="290"/>
      <c r="AC1685" s="290"/>
      <c r="AD1685" s="290"/>
    </row>
    <row r="1686" spans="1:30" ht="25.5">
      <c r="A1686" s="291"/>
      <c r="B1686" s="291"/>
      <c r="C1686" s="291"/>
      <c r="D1686" s="83"/>
      <c r="E1686" s="59"/>
      <c r="F1686" s="82"/>
      <c r="G1686" s="82"/>
      <c r="H1686" s="86"/>
      <c r="I1686" s="294"/>
      <c r="J1686" s="59"/>
      <c r="K1686" s="83"/>
      <c r="L1686" s="83" t="str">
        <f t="shared" si="50"/>
        <v xml:space="preserve">
</v>
      </c>
      <c r="M1686" s="83"/>
      <c r="N1686" s="59"/>
      <c r="O1686" s="59"/>
      <c r="P1686" s="86">
        <f t="shared" si="51"/>
        <v>0</v>
      </c>
      <c r="Q1686" s="59"/>
      <c r="R1686" s="59"/>
      <c r="S1686" s="59"/>
      <c r="T1686" s="59"/>
      <c r="U1686" s="290"/>
      <c r="V1686" s="290"/>
      <c r="W1686" s="290"/>
      <c r="X1686" s="290"/>
      <c r="Y1686" s="290"/>
      <c r="Z1686" s="290"/>
      <c r="AA1686" s="290"/>
      <c r="AB1686" s="290"/>
      <c r="AC1686" s="290"/>
      <c r="AD1686" s="290"/>
    </row>
    <row r="1687" spans="1:30" ht="25.5">
      <c r="A1687" s="291"/>
      <c r="B1687" s="291"/>
      <c r="C1687" s="291"/>
      <c r="D1687" s="83"/>
      <c r="E1687" s="59"/>
      <c r="F1687" s="82"/>
      <c r="G1687" s="82"/>
      <c r="H1687" s="86"/>
      <c r="I1687" s="294"/>
      <c r="J1687" s="59"/>
      <c r="K1687" s="83"/>
      <c r="L1687" s="83" t="str">
        <f t="shared" si="50"/>
        <v xml:space="preserve">
</v>
      </c>
      <c r="M1687" s="83"/>
      <c r="N1687" s="59"/>
      <c r="O1687" s="59"/>
      <c r="P1687" s="86">
        <f t="shared" si="51"/>
        <v>0</v>
      </c>
      <c r="Q1687" s="59"/>
      <c r="R1687" s="59"/>
      <c r="S1687" s="59"/>
      <c r="T1687" s="59"/>
      <c r="U1687" s="290"/>
      <c r="V1687" s="290"/>
      <c r="W1687" s="290"/>
      <c r="X1687" s="290"/>
      <c r="Y1687" s="290"/>
      <c r="Z1687" s="290"/>
      <c r="AA1687" s="290"/>
      <c r="AB1687" s="290"/>
      <c r="AC1687" s="290"/>
      <c r="AD1687" s="290"/>
    </row>
    <row r="1688" spans="1:30" ht="25.5">
      <c r="A1688" s="291"/>
      <c r="B1688" s="291"/>
      <c r="C1688" s="291"/>
      <c r="D1688" s="83"/>
      <c r="E1688" s="59"/>
      <c r="F1688" s="82"/>
      <c r="G1688" s="82"/>
      <c r="H1688" s="86"/>
      <c r="I1688" s="294"/>
      <c r="J1688" s="59"/>
      <c r="K1688" s="83"/>
      <c r="L1688" s="83" t="str">
        <f t="shared" si="50"/>
        <v xml:space="preserve">
</v>
      </c>
      <c r="M1688" s="83"/>
      <c r="N1688" s="59"/>
      <c r="O1688" s="59"/>
      <c r="P1688" s="86">
        <f t="shared" si="51"/>
        <v>0</v>
      </c>
      <c r="Q1688" s="59"/>
      <c r="R1688" s="59"/>
      <c r="S1688" s="59"/>
      <c r="T1688" s="59"/>
      <c r="U1688" s="290"/>
      <c r="V1688" s="290"/>
      <c r="W1688" s="290"/>
      <c r="X1688" s="290"/>
      <c r="Y1688" s="290"/>
      <c r="Z1688" s="290"/>
      <c r="AA1688" s="290"/>
      <c r="AB1688" s="290"/>
      <c r="AC1688" s="290"/>
      <c r="AD1688" s="290"/>
    </row>
    <row r="1689" spans="1:30" ht="25.5">
      <c r="A1689" s="291"/>
      <c r="B1689" s="291"/>
      <c r="C1689" s="291"/>
      <c r="D1689" s="83"/>
      <c r="E1689" s="59"/>
      <c r="F1689" s="82"/>
      <c r="G1689" s="82"/>
      <c r="H1689" s="86"/>
      <c r="I1689" s="294"/>
      <c r="J1689" s="59"/>
      <c r="K1689" s="83"/>
      <c r="L1689" s="83" t="str">
        <f t="shared" si="50"/>
        <v xml:space="preserve">
</v>
      </c>
      <c r="M1689" s="83"/>
      <c r="N1689" s="59"/>
      <c r="O1689" s="59"/>
      <c r="P1689" s="86">
        <f t="shared" si="51"/>
        <v>0</v>
      </c>
      <c r="Q1689" s="59"/>
      <c r="R1689" s="59"/>
      <c r="S1689" s="59"/>
      <c r="T1689" s="59"/>
      <c r="U1689" s="290"/>
      <c r="V1689" s="290"/>
      <c r="W1689" s="290"/>
      <c r="X1689" s="290"/>
      <c r="Y1689" s="290"/>
      <c r="Z1689" s="290"/>
      <c r="AA1689" s="290"/>
      <c r="AB1689" s="290"/>
      <c r="AC1689" s="290"/>
      <c r="AD1689" s="290"/>
    </row>
    <row r="1690" spans="1:30" ht="25.5">
      <c r="A1690" s="291"/>
      <c r="B1690" s="291"/>
      <c r="C1690" s="291"/>
      <c r="D1690" s="83"/>
      <c r="E1690" s="59"/>
      <c r="F1690" s="82"/>
      <c r="G1690" s="82"/>
      <c r="H1690" s="86"/>
      <c r="I1690" s="294"/>
      <c r="J1690" s="59"/>
      <c r="K1690" s="83"/>
      <c r="L1690" s="83" t="str">
        <f t="shared" si="50"/>
        <v xml:space="preserve">
</v>
      </c>
      <c r="M1690" s="83"/>
      <c r="N1690" s="59"/>
      <c r="O1690" s="59"/>
      <c r="P1690" s="86">
        <f t="shared" si="51"/>
        <v>0</v>
      </c>
      <c r="Q1690" s="59"/>
      <c r="R1690" s="59"/>
      <c r="S1690" s="59"/>
      <c r="T1690" s="59"/>
      <c r="U1690" s="290"/>
      <c r="V1690" s="290"/>
      <c r="W1690" s="290"/>
      <c r="X1690" s="290"/>
      <c r="Y1690" s="290"/>
      <c r="Z1690" s="290"/>
      <c r="AA1690" s="290"/>
      <c r="AB1690" s="290"/>
      <c r="AC1690" s="290"/>
      <c r="AD1690" s="290"/>
    </row>
    <row r="1691" spans="1:30" ht="25.5">
      <c r="A1691" s="291"/>
      <c r="B1691" s="291"/>
      <c r="C1691" s="291"/>
      <c r="D1691" s="83"/>
      <c r="E1691" s="59"/>
      <c r="F1691" s="82"/>
      <c r="G1691" s="82"/>
      <c r="H1691" s="86"/>
      <c r="I1691" s="294"/>
      <c r="J1691" s="59"/>
      <c r="K1691" s="83"/>
      <c r="L1691" s="83" t="str">
        <f t="shared" si="50"/>
        <v xml:space="preserve">
</v>
      </c>
      <c r="M1691" s="83"/>
      <c r="N1691" s="59"/>
      <c r="O1691" s="59"/>
      <c r="P1691" s="86">
        <f t="shared" si="51"/>
        <v>0</v>
      </c>
      <c r="Q1691" s="59"/>
      <c r="R1691" s="59"/>
      <c r="S1691" s="59"/>
      <c r="T1691" s="59"/>
      <c r="U1691" s="290"/>
      <c r="V1691" s="290"/>
      <c r="W1691" s="290"/>
      <c r="X1691" s="290"/>
      <c r="Y1691" s="290"/>
      <c r="Z1691" s="290"/>
      <c r="AA1691" s="290"/>
      <c r="AB1691" s="290"/>
      <c r="AC1691" s="290"/>
      <c r="AD1691" s="290"/>
    </row>
    <row r="1692" spans="1:30" ht="25.5">
      <c r="A1692" s="291"/>
      <c r="B1692" s="291"/>
      <c r="C1692" s="291"/>
      <c r="D1692" s="83"/>
      <c r="E1692" s="59"/>
      <c r="F1692" s="82"/>
      <c r="G1692" s="82"/>
      <c r="H1692" s="86"/>
      <c r="I1692" s="294"/>
      <c r="J1692" s="59"/>
      <c r="K1692" s="83"/>
      <c r="L1692" s="83" t="str">
        <f t="shared" si="50"/>
        <v xml:space="preserve">
</v>
      </c>
      <c r="M1692" s="83"/>
      <c r="N1692" s="59"/>
      <c r="O1692" s="59"/>
      <c r="P1692" s="86">
        <f t="shared" si="51"/>
        <v>0</v>
      </c>
      <c r="Q1692" s="59"/>
      <c r="R1692" s="59"/>
      <c r="S1692" s="59"/>
      <c r="T1692" s="59"/>
      <c r="U1692" s="290"/>
      <c r="V1692" s="290"/>
      <c r="W1692" s="290"/>
      <c r="X1692" s="290"/>
      <c r="Y1692" s="290"/>
      <c r="Z1692" s="290"/>
      <c r="AA1692" s="290"/>
      <c r="AB1692" s="290"/>
      <c r="AC1692" s="290"/>
      <c r="AD1692" s="290"/>
    </row>
    <row r="1693" spans="1:30" ht="25.5">
      <c r="A1693" s="291"/>
      <c r="B1693" s="291"/>
      <c r="C1693" s="291"/>
      <c r="D1693" s="83"/>
      <c r="E1693" s="59"/>
      <c r="F1693" s="82"/>
      <c r="G1693" s="82"/>
      <c r="H1693" s="86"/>
      <c r="I1693" s="294"/>
      <c r="J1693" s="59"/>
      <c r="K1693" s="83"/>
      <c r="L1693" s="83" t="str">
        <f t="shared" si="50"/>
        <v xml:space="preserve">
</v>
      </c>
      <c r="M1693" s="83"/>
      <c r="N1693" s="59"/>
      <c r="O1693" s="59"/>
      <c r="P1693" s="86">
        <f t="shared" si="51"/>
        <v>0</v>
      </c>
      <c r="Q1693" s="59"/>
      <c r="R1693" s="59"/>
      <c r="S1693" s="59"/>
      <c r="T1693" s="59"/>
      <c r="U1693" s="290"/>
      <c r="V1693" s="290"/>
      <c r="W1693" s="290"/>
      <c r="X1693" s="290"/>
      <c r="Y1693" s="290"/>
      <c r="Z1693" s="290"/>
      <c r="AA1693" s="290"/>
      <c r="AB1693" s="290"/>
      <c r="AC1693" s="290"/>
      <c r="AD1693" s="290"/>
    </row>
    <row r="1694" spans="1:30" ht="25.5">
      <c r="A1694" s="291"/>
      <c r="B1694" s="291"/>
      <c r="C1694" s="291"/>
      <c r="D1694" s="83"/>
      <c r="E1694" s="59"/>
      <c r="F1694" s="82"/>
      <c r="G1694" s="82"/>
      <c r="H1694" s="86"/>
      <c r="I1694" s="294"/>
      <c r="J1694" s="59"/>
      <c r="K1694" s="83"/>
      <c r="L1694" s="83" t="str">
        <f t="shared" si="50"/>
        <v xml:space="preserve">
</v>
      </c>
      <c r="M1694" s="83"/>
      <c r="N1694" s="59"/>
      <c r="O1694" s="59"/>
      <c r="P1694" s="86">
        <f t="shared" si="51"/>
        <v>0</v>
      </c>
      <c r="Q1694" s="59"/>
      <c r="R1694" s="59"/>
      <c r="S1694" s="59"/>
      <c r="T1694" s="59"/>
      <c r="U1694" s="290"/>
      <c r="V1694" s="290"/>
      <c r="W1694" s="290"/>
      <c r="X1694" s="290"/>
      <c r="Y1694" s="290"/>
      <c r="Z1694" s="290"/>
      <c r="AA1694" s="290"/>
      <c r="AB1694" s="290"/>
      <c r="AC1694" s="290"/>
      <c r="AD1694" s="290"/>
    </row>
    <row r="1695" spans="1:30" ht="25.5">
      <c r="A1695" s="291"/>
      <c r="B1695" s="291"/>
      <c r="C1695" s="291"/>
      <c r="D1695" s="83"/>
      <c r="E1695" s="59"/>
      <c r="F1695" s="82"/>
      <c r="G1695" s="82"/>
      <c r="H1695" s="86"/>
      <c r="I1695" s="294"/>
      <c r="J1695" s="59"/>
      <c r="K1695" s="83"/>
      <c r="L1695" s="83" t="str">
        <f t="shared" si="50"/>
        <v xml:space="preserve">
</v>
      </c>
      <c r="M1695" s="83"/>
      <c r="N1695" s="59"/>
      <c r="O1695" s="59"/>
      <c r="P1695" s="86">
        <f t="shared" si="51"/>
        <v>0</v>
      </c>
      <c r="Q1695" s="59"/>
      <c r="R1695" s="59"/>
      <c r="S1695" s="59"/>
      <c r="T1695" s="59"/>
      <c r="U1695" s="290"/>
      <c r="V1695" s="290"/>
      <c r="W1695" s="290"/>
      <c r="X1695" s="290"/>
      <c r="Y1695" s="290"/>
      <c r="Z1695" s="290"/>
      <c r="AA1695" s="290"/>
      <c r="AB1695" s="290"/>
      <c r="AC1695" s="290"/>
      <c r="AD1695" s="290"/>
    </row>
    <row r="1696" spans="1:30" ht="25.5">
      <c r="A1696" s="291"/>
      <c r="B1696" s="291"/>
      <c r="C1696" s="291"/>
      <c r="D1696" s="83"/>
      <c r="E1696" s="59"/>
      <c r="F1696" s="82"/>
      <c r="G1696" s="82"/>
      <c r="H1696" s="86"/>
      <c r="I1696" s="294"/>
      <c r="J1696" s="59"/>
      <c r="K1696" s="83"/>
      <c r="L1696" s="83" t="str">
        <f t="shared" si="50"/>
        <v xml:space="preserve">
</v>
      </c>
      <c r="M1696" s="83"/>
      <c r="N1696" s="59"/>
      <c r="O1696" s="59"/>
      <c r="P1696" s="86">
        <f t="shared" si="51"/>
        <v>0</v>
      </c>
      <c r="Q1696" s="59"/>
      <c r="R1696" s="59"/>
      <c r="S1696" s="59"/>
      <c r="T1696" s="59"/>
      <c r="U1696" s="290"/>
      <c r="V1696" s="290"/>
      <c r="W1696" s="290"/>
      <c r="X1696" s="290"/>
      <c r="Y1696" s="290"/>
      <c r="Z1696" s="290"/>
      <c r="AA1696" s="290"/>
      <c r="AB1696" s="290"/>
      <c r="AC1696" s="290"/>
      <c r="AD1696" s="290"/>
    </row>
    <row r="1697" spans="1:30" ht="25.5">
      <c r="A1697" s="291"/>
      <c r="B1697" s="291"/>
      <c r="C1697" s="291"/>
      <c r="D1697" s="83"/>
      <c r="E1697" s="59"/>
      <c r="F1697" s="82"/>
      <c r="G1697" s="82"/>
      <c r="H1697" s="86"/>
      <c r="I1697" s="294"/>
      <c r="J1697" s="59"/>
      <c r="K1697" s="83"/>
      <c r="L1697" s="83" t="str">
        <f t="shared" si="50"/>
        <v xml:space="preserve">
</v>
      </c>
      <c r="M1697" s="83"/>
      <c r="N1697" s="59"/>
      <c r="O1697" s="59"/>
      <c r="P1697" s="86">
        <f t="shared" si="51"/>
        <v>0</v>
      </c>
      <c r="Q1697" s="59"/>
      <c r="R1697" s="59"/>
      <c r="S1697" s="59"/>
      <c r="T1697" s="59"/>
      <c r="U1697" s="290"/>
      <c r="V1697" s="290"/>
      <c r="W1697" s="290"/>
      <c r="X1697" s="290"/>
      <c r="Y1697" s="290"/>
      <c r="Z1697" s="290"/>
      <c r="AA1697" s="290"/>
      <c r="AB1697" s="290"/>
      <c r="AC1697" s="290"/>
      <c r="AD1697" s="290"/>
    </row>
    <row r="1698" spans="1:30" ht="25.5">
      <c r="A1698" s="291"/>
      <c r="B1698" s="291"/>
      <c r="C1698" s="291"/>
      <c r="D1698" s="83"/>
      <c r="E1698" s="59"/>
      <c r="F1698" s="82"/>
      <c r="G1698" s="82"/>
      <c r="H1698" s="86"/>
      <c r="I1698" s="294"/>
      <c r="J1698" s="59"/>
      <c r="K1698" s="83"/>
      <c r="L1698" s="83" t="str">
        <f t="shared" si="50"/>
        <v xml:space="preserve">
</v>
      </c>
      <c r="M1698" s="83"/>
      <c r="N1698" s="59"/>
      <c r="O1698" s="59"/>
      <c r="P1698" s="86">
        <f t="shared" si="51"/>
        <v>0</v>
      </c>
      <c r="Q1698" s="59"/>
      <c r="R1698" s="59"/>
      <c r="S1698" s="59"/>
      <c r="T1698" s="59"/>
      <c r="U1698" s="290"/>
      <c r="V1698" s="290"/>
      <c r="W1698" s="290"/>
      <c r="X1698" s="290"/>
      <c r="Y1698" s="290"/>
      <c r="Z1698" s="290"/>
      <c r="AA1698" s="290"/>
      <c r="AB1698" s="290"/>
      <c r="AC1698" s="290"/>
      <c r="AD1698" s="290"/>
    </row>
    <row r="1699" spans="1:30" ht="25.5">
      <c r="A1699" s="291"/>
      <c r="B1699" s="291"/>
      <c r="C1699" s="291"/>
      <c r="D1699" s="83"/>
      <c r="E1699" s="59"/>
      <c r="F1699" s="82"/>
      <c r="G1699" s="82"/>
      <c r="H1699" s="86"/>
      <c r="I1699" s="294"/>
      <c r="J1699" s="59"/>
      <c r="K1699" s="83"/>
      <c r="L1699" s="83" t="str">
        <f t="shared" si="50"/>
        <v xml:space="preserve">
</v>
      </c>
      <c r="M1699" s="83"/>
      <c r="N1699" s="59"/>
      <c r="O1699" s="59"/>
      <c r="P1699" s="86">
        <f t="shared" si="51"/>
        <v>0</v>
      </c>
      <c r="Q1699" s="59"/>
      <c r="R1699" s="59"/>
      <c r="S1699" s="59"/>
      <c r="T1699" s="59"/>
      <c r="U1699" s="290"/>
      <c r="V1699" s="290"/>
      <c r="W1699" s="290"/>
      <c r="X1699" s="290"/>
      <c r="Y1699" s="290"/>
      <c r="Z1699" s="290"/>
      <c r="AA1699" s="290"/>
      <c r="AB1699" s="290"/>
      <c r="AC1699" s="290"/>
      <c r="AD1699" s="290"/>
    </row>
    <row r="1700" spans="1:30" ht="25.5">
      <c r="A1700" s="291"/>
      <c r="B1700" s="291"/>
      <c r="C1700" s="291"/>
      <c r="D1700" s="83"/>
      <c r="E1700" s="59"/>
      <c r="F1700" s="82"/>
      <c r="G1700" s="82"/>
      <c r="H1700" s="86"/>
      <c r="I1700" s="294"/>
      <c r="J1700" s="59"/>
      <c r="K1700" s="83"/>
      <c r="L1700" s="83" t="str">
        <f t="shared" si="50"/>
        <v xml:space="preserve">
</v>
      </c>
      <c r="M1700" s="83"/>
      <c r="N1700" s="59"/>
      <c r="O1700" s="59"/>
      <c r="P1700" s="86">
        <f t="shared" si="51"/>
        <v>0</v>
      </c>
      <c r="Q1700" s="59"/>
      <c r="R1700" s="59"/>
      <c r="S1700" s="59"/>
      <c r="T1700" s="59"/>
      <c r="U1700" s="290"/>
      <c r="V1700" s="290"/>
      <c r="W1700" s="290"/>
      <c r="X1700" s="290"/>
      <c r="Y1700" s="290"/>
      <c r="Z1700" s="290"/>
      <c r="AA1700" s="290"/>
      <c r="AB1700" s="290"/>
      <c r="AC1700" s="290"/>
      <c r="AD1700" s="290"/>
    </row>
    <row r="1701" spans="1:30" ht="25.5">
      <c r="A1701" s="291"/>
      <c r="B1701" s="291"/>
      <c r="C1701" s="291"/>
      <c r="D1701" s="83"/>
      <c r="E1701" s="59"/>
      <c r="F1701" s="82"/>
      <c r="G1701" s="82"/>
      <c r="H1701" s="86"/>
      <c r="I1701" s="294"/>
      <c r="J1701" s="59"/>
      <c r="K1701" s="83"/>
      <c r="L1701" s="83" t="str">
        <f t="shared" si="50"/>
        <v xml:space="preserve">
</v>
      </c>
      <c r="M1701" s="83"/>
      <c r="N1701" s="59"/>
      <c r="O1701" s="59"/>
      <c r="P1701" s="86">
        <f t="shared" si="51"/>
        <v>0</v>
      </c>
      <c r="Q1701" s="59"/>
      <c r="R1701" s="59"/>
      <c r="S1701" s="59"/>
      <c r="T1701" s="59"/>
      <c r="U1701" s="290"/>
      <c r="V1701" s="290"/>
      <c r="W1701" s="290"/>
      <c r="X1701" s="290"/>
      <c r="Y1701" s="290"/>
      <c r="Z1701" s="290"/>
      <c r="AA1701" s="290"/>
      <c r="AB1701" s="290"/>
      <c r="AC1701" s="290"/>
      <c r="AD1701" s="290"/>
    </row>
    <row r="1702" spans="1:30" ht="25.5">
      <c r="A1702" s="291"/>
      <c r="B1702" s="291"/>
      <c r="C1702" s="291"/>
      <c r="D1702" s="83"/>
      <c r="E1702" s="59"/>
      <c r="F1702" s="82"/>
      <c r="G1702" s="82"/>
      <c r="H1702" s="86"/>
      <c r="I1702" s="294"/>
      <c r="J1702" s="59"/>
      <c r="K1702" s="83"/>
      <c r="L1702" s="83" t="str">
        <f t="shared" si="50"/>
        <v xml:space="preserve">
</v>
      </c>
      <c r="M1702" s="83"/>
      <c r="N1702" s="59"/>
      <c r="O1702" s="59"/>
      <c r="P1702" s="86">
        <f t="shared" si="51"/>
        <v>0</v>
      </c>
      <c r="Q1702" s="59"/>
      <c r="R1702" s="59"/>
      <c r="S1702" s="59"/>
      <c r="T1702" s="59"/>
      <c r="U1702" s="290"/>
      <c r="V1702" s="290"/>
      <c r="W1702" s="290"/>
      <c r="X1702" s="290"/>
      <c r="Y1702" s="290"/>
      <c r="Z1702" s="290"/>
      <c r="AA1702" s="290"/>
      <c r="AB1702" s="290"/>
      <c r="AC1702" s="290"/>
      <c r="AD1702" s="290"/>
    </row>
    <row r="1703" spans="1:30" ht="25.5">
      <c r="A1703" s="291"/>
      <c r="B1703" s="291"/>
      <c r="C1703" s="291"/>
      <c r="D1703" s="83"/>
      <c r="E1703" s="59"/>
      <c r="F1703" s="82"/>
      <c r="G1703" s="82"/>
      <c r="H1703" s="86"/>
      <c r="I1703" s="294"/>
      <c r="J1703" s="59"/>
      <c r="K1703" s="83"/>
      <c r="L1703" s="83" t="str">
        <f t="shared" si="50"/>
        <v xml:space="preserve">
</v>
      </c>
      <c r="M1703" s="83"/>
      <c r="N1703" s="59"/>
      <c r="O1703" s="59"/>
      <c r="P1703" s="86">
        <f t="shared" si="51"/>
        <v>0</v>
      </c>
      <c r="Q1703" s="59"/>
      <c r="R1703" s="59"/>
      <c r="S1703" s="59"/>
      <c r="T1703" s="59"/>
      <c r="U1703" s="290"/>
      <c r="V1703" s="290"/>
      <c r="W1703" s="290"/>
      <c r="X1703" s="290"/>
      <c r="Y1703" s="290"/>
      <c r="Z1703" s="290"/>
      <c r="AA1703" s="290"/>
      <c r="AB1703" s="290"/>
      <c r="AC1703" s="290"/>
      <c r="AD1703" s="290"/>
    </row>
    <row r="1704" spans="1:30" ht="25.5">
      <c r="A1704" s="291"/>
      <c r="B1704" s="291"/>
      <c r="C1704" s="291"/>
      <c r="D1704" s="83"/>
      <c r="E1704" s="59"/>
      <c r="F1704" s="82"/>
      <c r="G1704" s="82"/>
      <c r="H1704" s="86"/>
      <c r="I1704" s="294"/>
      <c r="J1704" s="59"/>
      <c r="K1704" s="83"/>
      <c r="L1704" s="83" t="str">
        <f t="shared" si="50"/>
        <v xml:space="preserve">
</v>
      </c>
      <c r="M1704" s="83"/>
      <c r="N1704" s="59"/>
      <c r="O1704" s="59"/>
      <c r="P1704" s="86">
        <f t="shared" si="51"/>
        <v>0</v>
      </c>
      <c r="Q1704" s="59"/>
      <c r="R1704" s="59"/>
      <c r="S1704" s="59"/>
      <c r="T1704" s="59"/>
      <c r="U1704" s="290"/>
      <c r="V1704" s="290"/>
      <c r="W1704" s="290"/>
      <c r="X1704" s="290"/>
      <c r="Y1704" s="290"/>
      <c r="Z1704" s="290"/>
      <c r="AA1704" s="290"/>
      <c r="AB1704" s="290"/>
      <c r="AC1704" s="290"/>
      <c r="AD1704" s="290"/>
    </row>
    <row r="1705" spans="1:30" ht="25.5">
      <c r="A1705" s="291"/>
      <c r="B1705" s="291"/>
      <c r="C1705" s="291"/>
      <c r="D1705" s="83"/>
      <c r="E1705" s="59"/>
      <c r="F1705" s="82"/>
      <c r="G1705" s="82"/>
      <c r="H1705" s="86"/>
      <c r="I1705" s="294"/>
      <c r="J1705" s="59"/>
      <c r="K1705" s="83"/>
      <c r="L1705" s="83" t="str">
        <f t="shared" si="50"/>
        <v xml:space="preserve">
</v>
      </c>
      <c r="M1705" s="83"/>
      <c r="N1705" s="59"/>
      <c r="O1705" s="59"/>
      <c r="P1705" s="86">
        <f t="shared" si="51"/>
        <v>0</v>
      </c>
      <c r="Q1705" s="59"/>
      <c r="R1705" s="59"/>
      <c r="S1705" s="59"/>
      <c r="T1705" s="59"/>
      <c r="U1705" s="290"/>
      <c r="V1705" s="290"/>
      <c r="W1705" s="290"/>
      <c r="X1705" s="290"/>
      <c r="Y1705" s="290"/>
      <c r="Z1705" s="290"/>
      <c r="AA1705" s="290"/>
      <c r="AB1705" s="290"/>
      <c r="AC1705" s="290"/>
      <c r="AD1705" s="290"/>
    </row>
    <row r="1706" spans="1:30" ht="25.5">
      <c r="A1706" s="291"/>
      <c r="B1706" s="291"/>
      <c r="C1706" s="291"/>
      <c r="D1706" s="83"/>
      <c r="E1706" s="59"/>
      <c r="F1706" s="82"/>
      <c r="G1706" s="82"/>
      <c r="H1706" s="86"/>
      <c r="I1706" s="294"/>
      <c r="J1706" s="59"/>
      <c r="K1706" s="83"/>
      <c r="L1706" s="83" t="str">
        <f t="shared" si="50"/>
        <v xml:space="preserve">
</v>
      </c>
      <c r="M1706" s="83"/>
      <c r="N1706" s="59"/>
      <c r="O1706" s="59"/>
      <c r="P1706" s="86">
        <f t="shared" si="51"/>
        <v>0</v>
      </c>
      <c r="Q1706" s="59"/>
      <c r="R1706" s="59"/>
      <c r="S1706" s="59"/>
      <c r="T1706" s="59"/>
      <c r="U1706" s="290"/>
      <c r="V1706" s="290"/>
      <c r="W1706" s="290"/>
      <c r="X1706" s="290"/>
      <c r="Y1706" s="290"/>
      <c r="Z1706" s="290"/>
      <c r="AA1706" s="290"/>
      <c r="AB1706" s="290"/>
      <c r="AC1706" s="290"/>
      <c r="AD1706" s="290"/>
    </row>
    <row r="1707" spans="1:30" ht="25.5">
      <c r="A1707" s="291"/>
      <c r="B1707" s="291"/>
      <c r="C1707" s="291"/>
      <c r="D1707" s="83"/>
      <c r="E1707" s="59"/>
      <c r="F1707" s="82"/>
      <c r="G1707" s="82"/>
      <c r="H1707" s="86"/>
      <c r="I1707" s="294"/>
      <c r="J1707" s="59"/>
      <c r="K1707" s="83"/>
      <c r="L1707" s="83" t="str">
        <f t="shared" si="50"/>
        <v xml:space="preserve">
</v>
      </c>
      <c r="M1707" s="83"/>
      <c r="N1707" s="59"/>
      <c r="O1707" s="59"/>
      <c r="P1707" s="86">
        <f t="shared" si="51"/>
        <v>0</v>
      </c>
      <c r="Q1707" s="59"/>
      <c r="R1707" s="59"/>
      <c r="S1707" s="59"/>
      <c r="T1707" s="59"/>
      <c r="U1707" s="290"/>
      <c r="V1707" s="290"/>
      <c r="W1707" s="290"/>
      <c r="X1707" s="290"/>
      <c r="Y1707" s="290"/>
      <c r="Z1707" s="290"/>
      <c r="AA1707" s="290"/>
      <c r="AB1707" s="290"/>
      <c r="AC1707" s="290"/>
      <c r="AD1707" s="290"/>
    </row>
    <row r="1708" spans="1:30" ht="25.5">
      <c r="A1708" s="291"/>
      <c r="B1708" s="291"/>
      <c r="C1708" s="291"/>
      <c r="D1708" s="83"/>
      <c r="E1708" s="59"/>
      <c r="F1708" s="82"/>
      <c r="G1708" s="82"/>
      <c r="H1708" s="86"/>
      <c r="I1708" s="294"/>
      <c r="J1708" s="59"/>
      <c r="K1708" s="83"/>
      <c r="L1708" s="83" t="str">
        <f t="shared" si="50"/>
        <v xml:space="preserve">
</v>
      </c>
      <c r="M1708" s="83"/>
      <c r="N1708" s="59"/>
      <c r="O1708" s="59"/>
      <c r="P1708" s="86">
        <f t="shared" si="51"/>
        <v>0</v>
      </c>
      <c r="Q1708" s="59"/>
      <c r="R1708" s="59"/>
      <c r="S1708" s="59"/>
      <c r="T1708" s="59"/>
      <c r="U1708" s="290"/>
      <c r="V1708" s="290"/>
      <c r="W1708" s="290"/>
      <c r="X1708" s="290"/>
      <c r="Y1708" s="290"/>
      <c r="Z1708" s="290"/>
      <c r="AA1708" s="290"/>
      <c r="AB1708" s="290"/>
      <c r="AC1708" s="290"/>
      <c r="AD1708" s="290"/>
    </row>
    <row r="1709" spans="1:30" ht="25.5">
      <c r="A1709" s="291"/>
      <c r="B1709" s="291"/>
      <c r="C1709" s="291"/>
      <c r="D1709" s="83"/>
      <c r="E1709" s="59"/>
      <c r="F1709" s="82"/>
      <c r="G1709" s="82"/>
      <c r="H1709" s="86"/>
      <c r="I1709" s="294"/>
      <c r="J1709" s="59"/>
      <c r="K1709" s="83"/>
      <c r="L1709" s="83" t="str">
        <f t="shared" si="50"/>
        <v xml:space="preserve">
</v>
      </c>
      <c r="M1709" s="83"/>
      <c r="N1709" s="59"/>
      <c r="O1709" s="59"/>
      <c r="P1709" s="86">
        <f t="shared" si="51"/>
        <v>0</v>
      </c>
      <c r="Q1709" s="59"/>
      <c r="R1709" s="59"/>
      <c r="S1709" s="59"/>
      <c r="T1709" s="59"/>
      <c r="U1709" s="290"/>
      <c r="V1709" s="290"/>
      <c r="W1709" s="290"/>
      <c r="X1709" s="290"/>
      <c r="Y1709" s="290"/>
      <c r="Z1709" s="290"/>
      <c r="AA1709" s="290"/>
      <c r="AB1709" s="290"/>
      <c r="AC1709" s="290"/>
      <c r="AD1709" s="290"/>
    </row>
    <row r="1710" spans="1:30" ht="25.5">
      <c r="A1710" s="291"/>
      <c r="B1710" s="291"/>
      <c r="C1710" s="291"/>
      <c r="D1710" s="83"/>
      <c r="E1710" s="59"/>
      <c r="F1710" s="82"/>
      <c r="G1710" s="82"/>
      <c r="H1710" s="86"/>
      <c r="I1710" s="294"/>
      <c r="J1710" s="59"/>
      <c r="K1710" s="83"/>
      <c r="L1710" s="83" t="str">
        <f t="shared" si="50"/>
        <v xml:space="preserve">
</v>
      </c>
      <c r="M1710" s="83"/>
      <c r="N1710" s="59"/>
      <c r="O1710" s="59"/>
      <c r="P1710" s="86">
        <f t="shared" si="51"/>
        <v>0</v>
      </c>
      <c r="Q1710" s="59"/>
      <c r="R1710" s="59"/>
      <c r="S1710" s="59"/>
      <c r="T1710" s="59"/>
      <c r="U1710" s="290"/>
      <c r="V1710" s="290"/>
      <c r="W1710" s="290"/>
      <c r="X1710" s="290"/>
      <c r="Y1710" s="290"/>
      <c r="Z1710" s="290"/>
      <c r="AA1710" s="290"/>
      <c r="AB1710" s="290"/>
      <c r="AC1710" s="290"/>
      <c r="AD1710" s="290"/>
    </row>
    <row r="1711" spans="1:30" ht="25.5">
      <c r="A1711" s="291"/>
      <c r="B1711" s="291"/>
      <c r="C1711" s="291"/>
      <c r="D1711" s="83"/>
      <c r="E1711" s="59"/>
      <c r="F1711" s="82"/>
      <c r="G1711" s="82"/>
      <c r="H1711" s="86"/>
      <c r="I1711" s="294"/>
      <c r="J1711" s="59"/>
      <c r="K1711" s="83"/>
      <c r="L1711" s="83" t="str">
        <f t="shared" si="50"/>
        <v xml:space="preserve">
</v>
      </c>
      <c r="M1711" s="83"/>
      <c r="N1711" s="59"/>
      <c r="O1711" s="59"/>
      <c r="P1711" s="86">
        <f t="shared" si="51"/>
        <v>0</v>
      </c>
      <c r="Q1711" s="59"/>
      <c r="R1711" s="59"/>
      <c r="S1711" s="59"/>
      <c r="T1711" s="59"/>
      <c r="U1711" s="290"/>
      <c r="V1711" s="290"/>
      <c r="W1711" s="290"/>
      <c r="X1711" s="290"/>
      <c r="Y1711" s="290"/>
      <c r="Z1711" s="290"/>
      <c r="AA1711" s="290"/>
      <c r="AB1711" s="290"/>
      <c r="AC1711" s="290"/>
      <c r="AD1711" s="290"/>
    </row>
    <row r="1712" spans="1:30" ht="25.5">
      <c r="A1712" s="291"/>
      <c r="B1712" s="291"/>
      <c r="C1712" s="291"/>
      <c r="D1712" s="83"/>
      <c r="E1712" s="59"/>
      <c r="F1712" s="82"/>
      <c r="G1712" s="82"/>
      <c r="H1712" s="86"/>
      <c r="I1712" s="294"/>
      <c r="J1712" s="59"/>
      <c r="K1712" s="83"/>
      <c r="L1712" s="83" t="str">
        <f t="shared" si="50"/>
        <v xml:space="preserve">
</v>
      </c>
      <c r="M1712" s="83"/>
      <c r="N1712" s="59"/>
      <c r="O1712" s="59"/>
      <c r="P1712" s="86">
        <f t="shared" si="51"/>
        <v>0</v>
      </c>
      <c r="Q1712" s="59"/>
      <c r="R1712" s="59"/>
      <c r="S1712" s="59"/>
      <c r="T1712" s="59"/>
      <c r="U1712" s="290"/>
      <c r="V1712" s="290"/>
      <c r="W1712" s="290"/>
      <c r="X1712" s="290"/>
      <c r="Y1712" s="290"/>
      <c r="Z1712" s="290"/>
      <c r="AA1712" s="290"/>
      <c r="AB1712" s="290"/>
      <c r="AC1712" s="290"/>
      <c r="AD1712" s="290"/>
    </row>
    <row r="1713" spans="1:30" ht="25.5">
      <c r="A1713" s="291"/>
      <c r="B1713" s="291"/>
      <c r="C1713" s="291"/>
      <c r="D1713" s="83"/>
      <c r="E1713" s="59"/>
      <c r="F1713" s="82"/>
      <c r="G1713" s="82"/>
      <c r="H1713" s="86"/>
      <c r="I1713" s="294"/>
      <c r="J1713" s="59"/>
      <c r="K1713" s="83"/>
      <c r="L1713" s="83" t="str">
        <f t="shared" si="50"/>
        <v xml:space="preserve">
</v>
      </c>
      <c r="M1713" s="83"/>
      <c r="N1713" s="59"/>
      <c r="O1713" s="59"/>
      <c r="P1713" s="86">
        <f t="shared" si="51"/>
        <v>0</v>
      </c>
      <c r="Q1713" s="59"/>
      <c r="R1713" s="59"/>
      <c r="S1713" s="59"/>
      <c r="T1713" s="59"/>
      <c r="U1713" s="290"/>
      <c r="V1713" s="290"/>
      <c r="W1713" s="290"/>
      <c r="X1713" s="290"/>
      <c r="Y1713" s="290"/>
      <c r="Z1713" s="290"/>
      <c r="AA1713" s="290"/>
      <c r="AB1713" s="290"/>
      <c r="AC1713" s="290"/>
      <c r="AD1713" s="290"/>
    </row>
    <row r="1714" spans="1:30" ht="25.5">
      <c r="A1714" s="291"/>
      <c r="B1714" s="291"/>
      <c r="C1714" s="291"/>
      <c r="D1714" s="83"/>
      <c r="E1714" s="59"/>
      <c r="F1714" s="82"/>
      <c r="G1714" s="82"/>
      <c r="H1714" s="86"/>
      <c r="I1714" s="294"/>
      <c r="J1714" s="59"/>
      <c r="K1714" s="83"/>
      <c r="L1714" s="83" t="str">
        <f t="shared" si="50"/>
        <v xml:space="preserve">
</v>
      </c>
      <c r="M1714" s="83"/>
      <c r="N1714" s="59"/>
      <c r="O1714" s="59"/>
      <c r="P1714" s="86">
        <f t="shared" si="51"/>
        <v>0</v>
      </c>
      <c r="Q1714" s="59"/>
      <c r="R1714" s="59"/>
      <c r="S1714" s="59"/>
      <c r="T1714" s="59"/>
      <c r="U1714" s="290"/>
      <c r="V1714" s="290"/>
      <c r="W1714" s="290"/>
      <c r="X1714" s="290"/>
      <c r="Y1714" s="290"/>
      <c r="Z1714" s="290"/>
      <c r="AA1714" s="290"/>
      <c r="AB1714" s="290"/>
      <c r="AC1714" s="290"/>
      <c r="AD1714" s="290"/>
    </row>
    <row r="1715" spans="1:30" ht="25.5">
      <c r="A1715" s="291"/>
      <c r="B1715" s="291"/>
      <c r="C1715" s="291"/>
      <c r="D1715" s="83"/>
      <c r="E1715" s="59"/>
      <c r="F1715" s="82"/>
      <c r="G1715" s="82"/>
      <c r="H1715" s="86"/>
      <c r="I1715" s="294"/>
      <c r="J1715" s="59"/>
      <c r="K1715" s="83"/>
      <c r="L1715" s="83" t="str">
        <f t="shared" si="50"/>
        <v xml:space="preserve">
</v>
      </c>
      <c r="M1715" s="83"/>
      <c r="N1715" s="59"/>
      <c r="O1715" s="59"/>
      <c r="P1715" s="86">
        <f t="shared" si="51"/>
        <v>0</v>
      </c>
      <c r="Q1715" s="59"/>
      <c r="R1715" s="59"/>
      <c r="S1715" s="59"/>
      <c r="T1715" s="59"/>
      <c r="U1715" s="290"/>
      <c r="V1715" s="290"/>
      <c r="W1715" s="290"/>
      <c r="X1715" s="290"/>
      <c r="Y1715" s="290"/>
      <c r="Z1715" s="290"/>
      <c r="AA1715" s="290"/>
      <c r="AB1715" s="290"/>
      <c r="AC1715" s="290"/>
      <c r="AD1715" s="290"/>
    </row>
    <row r="1716" spans="1:30" ht="25.5">
      <c r="A1716" s="291"/>
      <c r="B1716" s="291"/>
      <c r="C1716" s="291"/>
      <c r="D1716" s="83"/>
      <c r="E1716" s="59"/>
      <c r="F1716" s="82"/>
      <c r="G1716" s="82"/>
      <c r="H1716" s="86"/>
      <c r="I1716" s="294"/>
      <c r="J1716" s="59"/>
      <c r="K1716" s="83"/>
      <c r="L1716" s="83" t="str">
        <f t="shared" si="50"/>
        <v xml:space="preserve">
</v>
      </c>
      <c r="M1716" s="83"/>
      <c r="N1716" s="59"/>
      <c r="O1716" s="59"/>
      <c r="P1716" s="86">
        <f t="shared" si="51"/>
        <v>0</v>
      </c>
      <c r="Q1716" s="59"/>
      <c r="R1716" s="59"/>
      <c r="S1716" s="59"/>
      <c r="T1716" s="59"/>
      <c r="U1716" s="290"/>
      <c r="V1716" s="290"/>
      <c r="W1716" s="290"/>
      <c r="X1716" s="290"/>
      <c r="Y1716" s="290"/>
      <c r="Z1716" s="290"/>
      <c r="AA1716" s="290"/>
      <c r="AB1716" s="290"/>
      <c r="AC1716" s="290"/>
      <c r="AD1716" s="290"/>
    </row>
    <row r="1717" spans="1:30" ht="25.5">
      <c r="A1717" s="291"/>
      <c r="B1717" s="291"/>
      <c r="C1717" s="291"/>
      <c r="D1717" s="83"/>
      <c r="E1717" s="59"/>
      <c r="F1717" s="82"/>
      <c r="G1717" s="82"/>
      <c r="H1717" s="86"/>
      <c r="I1717" s="294"/>
      <c r="J1717" s="59"/>
      <c r="K1717" s="83"/>
      <c r="L1717" s="83" t="str">
        <f t="shared" si="50"/>
        <v xml:space="preserve">
</v>
      </c>
      <c r="M1717" s="83"/>
      <c r="N1717" s="59"/>
      <c r="O1717" s="59"/>
      <c r="P1717" s="86">
        <f t="shared" si="51"/>
        <v>0</v>
      </c>
      <c r="Q1717" s="59"/>
      <c r="R1717" s="59"/>
      <c r="S1717" s="59"/>
      <c r="T1717" s="59"/>
      <c r="U1717" s="290"/>
      <c r="V1717" s="290"/>
      <c r="W1717" s="290"/>
      <c r="X1717" s="290"/>
      <c r="Y1717" s="290"/>
      <c r="Z1717" s="290"/>
      <c r="AA1717" s="290"/>
      <c r="AB1717" s="290"/>
      <c r="AC1717" s="290"/>
      <c r="AD1717" s="290"/>
    </row>
    <row r="1718" spans="1:30" ht="25.5">
      <c r="A1718" s="291"/>
      <c r="B1718" s="291"/>
      <c r="C1718" s="291"/>
      <c r="D1718" s="83"/>
      <c r="E1718" s="59"/>
      <c r="F1718" s="82"/>
      <c r="G1718" s="82"/>
      <c r="H1718" s="86"/>
      <c r="I1718" s="294"/>
      <c r="J1718" s="59"/>
      <c r="K1718" s="83"/>
      <c r="L1718" s="83" t="str">
        <f t="shared" si="50"/>
        <v xml:space="preserve">
</v>
      </c>
      <c r="M1718" s="83"/>
      <c r="N1718" s="59"/>
      <c r="O1718" s="59"/>
      <c r="P1718" s="86">
        <f t="shared" si="51"/>
        <v>0</v>
      </c>
      <c r="Q1718" s="59"/>
      <c r="R1718" s="59"/>
      <c r="S1718" s="59"/>
      <c r="T1718" s="59"/>
      <c r="U1718" s="290"/>
      <c r="V1718" s="290"/>
      <c r="W1718" s="290"/>
      <c r="X1718" s="290"/>
      <c r="Y1718" s="290"/>
      <c r="Z1718" s="290"/>
      <c r="AA1718" s="290"/>
      <c r="AB1718" s="290"/>
      <c r="AC1718" s="290"/>
      <c r="AD1718" s="290"/>
    </row>
    <row r="1719" spans="1:30" ht="25.5">
      <c r="A1719" s="291"/>
      <c r="B1719" s="291"/>
      <c r="C1719" s="291"/>
      <c r="D1719" s="83"/>
      <c r="E1719" s="59"/>
      <c r="F1719" s="82"/>
      <c r="G1719" s="82"/>
      <c r="H1719" s="86"/>
      <c r="I1719" s="294"/>
      <c r="J1719" s="59"/>
      <c r="K1719" s="83"/>
      <c r="L1719" s="83" t="str">
        <f t="shared" si="50"/>
        <v xml:space="preserve">
</v>
      </c>
      <c r="M1719" s="83"/>
      <c r="N1719" s="59"/>
      <c r="O1719" s="59"/>
      <c r="P1719" s="86">
        <f t="shared" si="51"/>
        <v>0</v>
      </c>
      <c r="Q1719" s="59"/>
      <c r="R1719" s="59"/>
      <c r="S1719" s="59"/>
      <c r="T1719" s="59"/>
      <c r="U1719" s="290"/>
      <c r="V1719" s="290"/>
      <c r="W1719" s="290"/>
      <c r="X1719" s="290"/>
      <c r="Y1719" s="290"/>
      <c r="Z1719" s="290"/>
      <c r="AA1719" s="290"/>
      <c r="AB1719" s="290"/>
      <c r="AC1719" s="290"/>
      <c r="AD1719" s="290"/>
    </row>
    <row r="1720" spans="1:30" ht="25.5">
      <c r="A1720" s="291"/>
      <c r="B1720" s="291"/>
      <c r="C1720" s="291"/>
      <c r="D1720" s="83"/>
      <c r="E1720" s="59"/>
      <c r="F1720" s="82"/>
      <c r="G1720" s="82"/>
      <c r="H1720" s="86"/>
      <c r="I1720" s="294"/>
      <c r="J1720" s="59"/>
      <c r="K1720" s="83"/>
      <c r="L1720" s="83" t="str">
        <f t="shared" si="50"/>
        <v xml:space="preserve">
</v>
      </c>
      <c r="M1720" s="83"/>
      <c r="N1720" s="59"/>
      <c r="O1720" s="59"/>
      <c r="P1720" s="86">
        <f t="shared" si="51"/>
        <v>0</v>
      </c>
      <c r="Q1720" s="59"/>
      <c r="R1720" s="59"/>
      <c r="S1720" s="59"/>
      <c r="T1720" s="59"/>
      <c r="U1720" s="290"/>
      <c r="V1720" s="290"/>
      <c r="W1720" s="290"/>
      <c r="X1720" s="290"/>
      <c r="Y1720" s="290"/>
      <c r="Z1720" s="290"/>
      <c r="AA1720" s="290"/>
      <c r="AB1720" s="290"/>
      <c r="AC1720" s="290"/>
      <c r="AD1720" s="290"/>
    </row>
    <row r="1721" spans="1:30" ht="25.5">
      <c r="A1721" s="291"/>
      <c r="B1721" s="291"/>
      <c r="C1721" s="291"/>
      <c r="D1721" s="83"/>
      <c r="E1721" s="59"/>
      <c r="F1721" s="82"/>
      <c r="G1721" s="82"/>
      <c r="H1721" s="86"/>
      <c r="I1721" s="294"/>
      <c r="J1721" s="59"/>
      <c r="K1721" s="83"/>
      <c r="L1721" s="83" t="str">
        <f t="shared" si="50"/>
        <v xml:space="preserve">
</v>
      </c>
      <c r="M1721" s="83"/>
      <c r="N1721" s="59"/>
      <c r="O1721" s="59"/>
      <c r="P1721" s="86">
        <f t="shared" si="51"/>
        <v>0</v>
      </c>
      <c r="Q1721" s="59"/>
      <c r="R1721" s="59"/>
      <c r="S1721" s="59"/>
      <c r="T1721" s="59"/>
      <c r="U1721" s="290"/>
      <c r="V1721" s="290"/>
      <c r="W1721" s="290"/>
      <c r="X1721" s="290"/>
      <c r="Y1721" s="290"/>
      <c r="Z1721" s="290"/>
      <c r="AA1721" s="290"/>
      <c r="AB1721" s="290"/>
      <c r="AC1721" s="290"/>
      <c r="AD1721" s="290"/>
    </row>
    <row r="1722" spans="1:30" ht="25.5">
      <c r="A1722" s="291"/>
      <c r="B1722" s="291"/>
      <c r="C1722" s="291"/>
      <c r="D1722" s="83"/>
      <c r="E1722" s="59"/>
      <c r="F1722" s="82"/>
      <c r="G1722" s="82"/>
      <c r="H1722" s="86"/>
      <c r="I1722" s="294"/>
      <c r="J1722" s="59"/>
      <c r="K1722" s="83"/>
      <c r="L1722" s="83" t="str">
        <f t="shared" si="50"/>
        <v xml:space="preserve">
</v>
      </c>
      <c r="M1722" s="83"/>
      <c r="N1722" s="59"/>
      <c r="O1722" s="59"/>
      <c r="P1722" s="86">
        <f t="shared" si="51"/>
        <v>0</v>
      </c>
      <c r="Q1722" s="59"/>
      <c r="R1722" s="59"/>
      <c r="S1722" s="59"/>
      <c r="T1722" s="59"/>
      <c r="U1722" s="290"/>
      <c r="V1722" s="290"/>
      <c r="W1722" s="290"/>
      <c r="X1722" s="290"/>
      <c r="Y1722" s="290"/>
      <c r="Z1722" s="290"/>
      <c r="AA1722" s="290"/>
      <c r="AB1722" s="290"/>
      <c r="AC1722" s="290"/>
      <c r="AD1722" s="290"/>
    </row>
    <row r="1723" spans="1:30" ht="25.5">
      <c r="A1723" s="291"/>
      <c r="B1723" s="291"/>
      <c r="C1723" s="291"/>
      <c r="D1723" s="83"/>
      <c r="E1723" s="59"/>
      <c r="F1723" s="82"/>
      <c r="G1723" s="82"/>
      <c r="H1723" s="86"/>
      <c r="I1723" s="294"/>
      <c r="J1723" s="59"/>
      <c r="K1723" s="83"/>
      <c r="L1723" s="83" t="str">
        <f t="shared" si="50"/>
        <v xml:space="preserve">
</v>
      </c>
      <c r="M1723" s="83"/>
      <c r="N1723" s="59"/>
      <c r="O1723" s="59"/>
      <c r="P1723" s="86">
        <f t="shared" si="51"/>
        <v>0</v>
      </c>
      <c r="Q1723" s="59"/>
      <c r="R1723" s="59"/>
      <c r="S1723" s="59"/>
      <c r="T1723" s="59"/>
      <c r="U1723" s="290"/>
      <c r="V1723" s="290"/>
      <c r="W1723" s="290"/>
      <c r="X1723" s="290"/>
      <c r="Y1723" s="290"/>
      <c r="Z1723" s="290"/>
      <c r="AA1723" s="290"/>
      <c r="AB1723" s="290"/>
      <c r="AC1723" s="290"/>
      <c r="AD1723" s="290"/>
    </row>
    <row r="1724" spans="1:30" ht="25.5">
      <c r="A1724" s="291"/>
      <c r="B1724" s="291"/>
      <c r="C1724" s="291"/>
      <c r="D1724" s="83"/>
      <c r="E1724" s="59"/>
      <c r="F1724" s="82"/>
      <c r="G1724" s="82"/>
      <c r="H1724" s="86"/>
      <c r="I1724" s="294"/>
      <c r="J1724" s="59"/>
      <c r="K1724" s="83"/>
      <c r="L1724" s="83" t="str">
        <f t="shared" si="50"/>
        <v xml:space="preserve">
</v>
      </c>
      <c r="M1724" s="83"/>
      <c r="N1724" s="59"/>
      <c r="O1724" s="59"/>
      <c r="P1724" s="86">
        <f t="shared" si="51"/>
        <v>0</v>
      </c>
      <c r="Q1724" s="59"/>
      <c r="R1724" s="59"/>
      <c r="S1724" s="59"/>
      <c r="T1724" s="59"/>
      <c r="U1724" s="290"/>
      <c r="V1724" s="290"/>
      <c r="W1724" s="290"/>
      <c r="X1724" s="290"/>
      <c r="Y1724" s="290"/>
      <c r="Z1724" s="290"/>
      <c r="AA1724" s="290"/>
      <c r="AB1724" s="290"/>
      <c r="AC1724" s="290"/>
      <c r="AD1724" s="290"/>
    </row>
    <row r="1725" spans="1:30" ht="25.5">
      <c r="A1725" s="291"/>
      <c r="B1725" s="291"/>
      <c r="C1725" s="291"/>
      <c r="D1725" s="83"/>
      <c r="E1725" s="59"/>
      <c r="F1725" s="82"/>
      <c r="G1725" s="82"/>
      <c r="H1725" s="86"/>
      <c r="I1725" s="294"/>
      <c r="J1725" s="59"/>
      <c r="K1725" s="83"/>
      <c r="L1725" s="83" t="str">
        <f t="shared" si="50"/>
        <v xml:space="preserve">
</v>
      </c>
      <c r="M1725" s="83"/>
      <c r="N1725" s="59"/>
      <c r="O1725" s="59"/>
      <c r="P1725" s="86">
        <f t="shared" si="51"/>
        <v>0</v>
      </c>
      <c r="Q1725" s="59"/>
      <c r="R1725" s="59"/>
      <c r="S1725" s="59"/>
      <c r="T1725" s="59"/>
      <c r="U1725" s="290"/>
      <c r="V1725" s="290"/>
      <c r="W1725" s="290"/>
      <c r="X1725" s="290"/>
      <c r="Y1725" s="290"/>
      <c r="Z1725" s="290"/>
      <c r="AA1725" s="290"/>
      <c r="AB1725" s="290"/>
      <c r="AC1725" s="290"/>
      <c r="AD1725" s="290"/>
    </row>
    <row r="1726" spans="1:30" ht="25.5">
      <c r="A1726" s="291"/>
      <c r="B1726" s="291"/>
      <c r="C1726" s="291"/>
      <c r="D1726" s="83"/>
      <c r="E1726" s="59"/>
      <c r="F1726" s="82"/>
      <c r="G1726" s="82"/>
      <c r="H1726" s="86"/>
      <c r="I1726" s="294"/>
      <c r="J1726" s="59"/>
      <c r="K1726" s="83"/>
      <c r="L1726" s="83" t="str">
        <f t="shared" si="50"/>
        <v xml:space="preserve">
</v>
      </c>
      <c r="M1726" s="83"/>
      <c r="N1726" s="59"/>
      <c r="O1726" s="59"/>
      <c r="P1726" s="86">
        <f t="shared" si="51"/>
        <v>0</v>
      </c>
      <c r="Q1726" s="59"/>
      <c r="R1726" s="59"/>
      <c r="S1726" s="59"/>
      <c r="T1726" s="59"/>
      <c r="U1726" s="290"/>
      <c r="V1726" s="290"/>
      <c r="W1726" s="290"/>
      <c r="X1726" s="290"/>
      <c r="Y1726" s="290"/>
      <c r="Z1726" s="290"/>
      <c r="AA1726" s="290"/>
      <c r="AB1726" s="290"/>
      <c r="AC1726" s="290"/>
      <c r="AD1726" s="290"/>
    </row>
    <row r="1727" spans="1:30" ht="25.5">
      <c r="A1727" s="291"/>
      <c r="B1727" s="291"/>
      <c r="C1727" s="291"/>
      <c r="D1727" s="83"/>
      <c r="E1727" s="59"/>
      <c r="F1727" s="82"/>
      <c r="G1727" s="82"/>
      <c r="H1727" s="86"/>
      <c r="I1727" s="294"/>
      <c r="J1727" s="59"/>
      <c r="K1727" s="83"/>
      <c r="L1727" s="83" t="str">
        <f t="shared" si="50"/>
        <v xml:space="preserve">
</v>
      </c>
      <c r="M1727" s="83"/>
      <c r="N1727" s="59"/>
      <c r="O1727" s="59"/>
      <c r="P1727" s="86">
        <f t="shared" si="51"/>
        <v>0</v>
      </c>
      <c r="Q1727" s="59"/>
      <c r="R1727" s="59"/>
      <c r="S1727" s="59"/>
      <c r="T1727" s="59"/>
      <c r="U1727" s="290"/>
      <c r="V1727" s="290"/>
      <c r="W1727" s="290"/>
      <c r="X1727" s="290"/>
      <c r="Y1727" s="290"/>
      <c r="Z1727" s="290"/>
      <c r="AA1727" s="290"/>
      <c r="AB1727" s="290"/>
      <c r="AC1727" s="290"/>
      <c r="AD1727" s="290"/>
    </row>
    <row r="1728" spans="1:30" ht="25.5">
      <c r="A1728" s="291"/>
      <c r="B1728" s="291"/>
      <c r="C1728" s="291"/>
      <c r="D1728" s="83"/>
      <c r="E1728" s="59"/>
      <c r="F1728" s="82"/>
      <c r="G1728" s="82"/>
      <c r="H1728" s="86"/>
      <c r="I1728" s="294"/>
      <c r="J1728" s="59"/>
      <c r="K1728" s="83"/>
      <c r="L1728" s="83" t="str">
        <f t="shared" si="50"/>
        <v xml:space="preserve">
</v>
      </c>
      <c r="M1728" s="83"/>
      <c r="N1728" s="59"/>
      <c r="O1728" s="59"/>
      <c r="P1728" s="86">
        <f t="shared" si="51"/>
        <v>0</v>
      </c>
      <c r="Q1728" s="59"/>
      <c r="R1728" s="59"/>
      <c r="S1728" s="59"/>
      <c r="T1728" s="59"/>
      <c r="U1728" s="290"/>
      <c r="V1728" s="290"/>
      <c r="W1728" s="290"/>
      <c r="X1728" s="290"/>
      <c r="Y1728" s="290"/>
      <c r="Z1728" s="290"/>
      <c r="AA1728" s="290"/>
      <c r="AB1728" s="290"/>
      <c r="AC1728" s="290"/>
      <c r="AD1728" s="290"/>
    </row>
    <row r="1729" spans="1:30" ht="25.5">
      <c r="A1729" s="291"/>
      <c r="B1729" s="291"/>
      <c r="C1729" s="291"/>
      <c r="D1729" s="83"/>
      <c r="E1729" s="59"/>
      <c r="F1729" s="82"/>
      <c r="G1729" s="82"/>
      <c r="H1729" s="86"/>
      <c r="I1729" s="294"/>
      <c r="J1729" s="59"/>
      <c r="K1729" s="83"/>
      <c r="L1729" s="83" t="str">
        <f t="shared" si="50"/>
        <v xml:space="preserve">
</v>
      </c>
      <c r="M1729" s="83"/>
      <c r="N1729" s="59"/>
      <c r="O1729" s="59"/>
      <c r="P1729" s="86">
        <f t="shared" si="51"/>
        <v>0</v>
      </c>
      <c r="Q1729" s="59"/>
      <c r="R1729" s="59"/>
      <c r="S1729" s="59"/>
      <c r="T1729" s="59"/>
      <c r="U1729" s="290"/>
      <c r="V1729" s="290"/>
      <c r="W1729" s="290"/>
      <c r="X1729" s="290"/>
      <c r="Y1729" s="290"/>
      <c r="Z1729" s="290"/>
      <c r="AA1729" s="290"/>
      <c r="AB1729" s="290"/>
      <c r="AC1729" s="290"/>
      <c r="AD1729" s="290"/>
    </row>
    <row r="1730" spans="1:30" ht="25.5">
      <c r="A1730" s="291"/>
      <c r="B1730" s="291"/>
      <c r="C1730" s="291"/>
      <c r="D1730" s="83"/>
      <c r="E1730" s="59"/>
      <c r="F1730" s="82"/>
      <c r="G1730" s="82"/>
      <c r="H1730" s="86"/>
      <c r="I1730" s="294"/>
      <c r="J1730" s="59"/>
      <c r="K1730" s="83"/>
      <c r="L1730" s="83" t="str">
        <f t="shared" si="50"/>
        <v xml:space="preserve">
</v>
      </c>
      <c r="M1730" s="83"/>
      <c r="N1730" s="59"/>
      <c r="O1730" s="59"/>
      <c r="P1730" s="86">
        <f t="shared" si="51"/>
        <v>0</v>
      </c>
      <c r="Q1730" s="59"/>
      <c r="R1730" s="59"/>
      <c r="S1730" s="59"/>
      <c r="T1730" s="59"/>
      <c r="U1730" s="290"/>
      <c r="V1730" s="290"/>
      <c r="W1730" s="290"/>
      <c r="X1730" s="290"/>
      <c r="Y1730" s="290"/>
      <c r="Z1730" s="290"/>
      <c r="AA1730" s="290"/>
      <c r="AB1730" s="290"/>
      <c r="AC1730" s="290"/>
      <c r="AD1730" s="290"/>
    </row>
    <row r="1731" spans="1:30" ht="25.5">
      <c r="A1731" s="291"/>
      <c r="B1731" s="291"/>
      <c r="C1731" s="291"/>
      <c r="D1731" s="83"/>
      <c r="E1731" s="59"/>
      <c r="F1731" s="82"/>
      <c r="G1731" s="82"/>
      <c r="H1731" s="86"/>
      <c r="I1731" s="294"/>
      <c r="J1731" s="59"/>
      <c r="K1731" s="83"/>
      <c r="L1731" s="83" t="str">
        <f t="shared" si="50"/>
        <v xml:space="preserve">
</v>
      </c>
      <c r="M1731" s="83"/>
      <c r="N1731" s="59"/>
      <c r="O1731" s="59"/>
      <c r="P1731" s="86">
        <f t="shared" si="51"/>
        <v>0</v>
      </c>
      <c r="Q1731" s="59"/>
      <c r="R1731" s="59"/>
      <c r="S1731" s="59"/>
      <c r="T1731" s="59"/>
      <c r="U1731" s="290"/>
      <c r="V1731" s="290"/>
      <c r="W1731" s="290"/>
      <c r="X1731" s="290"/>
      <c r="Y1731" s="290"/>
      <c r="Z1731" s="290"/>
      <c r="AA1731" s="290"/>
      <c r="AB1731" s="290"/>
      <c r="AC1731" s="290"/>
      <c r="AD1731" s="290"/>
    </row>
    <row r="1732" spans="1:30" ht="25.5">
      <c r="A1732" s="291"/>
      <c r="B1732" s="291"/>
      <c r="C1732" s="291"/>
      <c r="D1732" s="83"/>
      <c r="E1732" s="59"/>
      <c r="F1732" s="82"/>
      <c r="G1732" s="82"/>
      <c r="H1732" s="86"/>
      <c r="I1732" s="294"/>
      <c r="J1732" s="59"/>
      <c r="K1732" s="83"/>
      <c r="L1732" s="83" t="str">
        <f t="shared" si="50"/>
        <v xml:space="preserve">
</v>
      </c>
      <c r="M1732" s="83"/>
      <c r="N1732" s="59"/>
      <c r="O1732" s="59"/>
      <c r="P1732" s="86">
        <f t="shared" si="51"/>
        <v>0</v>
      </c>
      <c r="Q1732" s="59"/>
      <c r="R1732" s="59"/>
      <c r="S1732" s="59"/>
      <c r="T1732" s="59"/>
      <c r="U1732" s="290"/>
      <c r="V1732" s="290"/>
      <c r="W1732" s="290"/>
      <c r="X1732" s="290"/>
      <c r="Y1732" s="290"/>
      <c r="Z1732" s="290"/>
      <c r="AA1732" s="290"/>
      <c r="AB1732" s="290"/>
      <c r="AC1732" s="290"/>
      <c r="AD1732" s="290"/>
    </row>
    <row r="1733" spans="1:30" ht="25.5">
      <c r="A1733" s="291"/>
      <c r="B1733" s="291"/>
      <c r="C1733" s="291"/>
      <c r="D1733" s="83"/>
      <c r="E1733" s="59"/>
      <c r="F1733" s="82"/>
      <c r="G1733" s="82"/>
      <c r="H1733" s="86"/>
      <c r="I1733" s="294"/>
      <c r="J1733" s="59"/>
      <c r="K1733" s="83"/>
      <c r="L1733" s="83" t="str">
        <f t="shared" si="50"/>
        <v xml:space="preserve">
</v>
      </c>
      <c r="M1733" s="83"/>
      <c r="N1733" s="59"/>
      <c r="O1733" s="59"/>
      <c r="P1733" s="86">
        <f t="shared" si="51"/>
        <v>0</v>
      </c>
      <c r="Q1733" s="59"/>
      <c r="R1733" s="59"/>
      <c r="S1733" s="59"/>
      <c r="T1733" s="59"/>
      <c r="U1733" s="290"/>
      <c r="V1733" s="290"/>
      <c r="W1733" s="290"/>
      <c r="X1733" s="290"/>
      <c r="Y1733" s="290"/>
      <c r="Z1733" s="290"/>
      <c r="AA1733" s="290"/>
      <c r="AB1733" s="290"/>
      <c r="AC1733" s="290"/>
      <c r="AD1733" s="290"/>
    </row>
    <row r="1734" spans="1:30" ht="25.5">
      <c r="A1734" s="291"/>
      <c r="B1734" s="291"/>
      <c r="C1734" s="291"/>
      <c r="D1734" s="83"/>
      <c r="E1734" s="59"/>
      <c r="F1734" s="82"/>
      <c r="G1734" s="82"/>
      <c r="H1734" s="86"/>
      <c r="I1734" s="294"/>
      <c r="J1734" s="59"/>
      <c r="K1734" s="83"/>
      <c r="L1734" s="83" t="str">
        <f t="shared" si="50"/>
        <v xml:space="preserve">
</v>
      </c>
      <c r="M1734" s="83"/>
      <c r="N1734" s="59"/>
      <c r="O1734" s="59"/>
      <c r="P1734" s="86">
        <f t="shared" si="51"/>
        <v>0</v>
      </c>
      <c r="Q1734" s="59"/>
      <c r="R1734" s="59"/>
      <c r="S1734" s="59"/>
      <c r="T1734" s="59"/>
      <c r="U1734" s="290"/>
      <c r="V1734" s="290"/>
      <c r="W1734" s="290"/>
      <c r="X1734" s="290"/>
      <c r="Y1734" s="290"/>
      <c r="Z1734" s="290"/>
      <c r="AA1734" s="290"/>
      <c r="AB1734" s="290"/>
      <c r="AC1734" s="290"/>
      <c r="AD1734" s="290"/>
    </row>
    <row r="1735" spans="1:30" ht="25.5">
      <c r="A1735" s="291"/>
      <c r="B1735" s="291"/>
      <c r="C1735" s="291"/>
      <c r="D1735" s="83"/>
      <c r="E1735" s="59"/>
      <c r="F1735" s="82"/>
      <c r="G1735" s="82"/>
      <c r="H1735" s="86"/>
      <c r="I1735" s="294"/>
      <c r="J1735" s="59"/>
      <c r="K1735" s="83"/>
      <c r="L1735" s="83" t="str">
        <f t="shared" si="50"/>
        <v xml:space="preserve">
</v>
      </c>
      <c r="M1735" s="83"/>
      <c r="N1735" s="59"/>
      <c r="O1735" s="59"/>
      <c r="P1735" s="86">
        <f t="shared" si="51"/>
        <v>0</v>
      </c>
      <c r="Q1735" s="59"/>
      <c r="R1735" s="59"/>
      <c r="S1735" s="59"/>
      <c r="T1735" s="59"/>
      <c r="U1735" s="290"/>
      <c r="V1735" s="290"/>
      <c r="W1735" s="290"/>
      <c r="X1735" s="290"/>
      <c r="Y1735" s="290"/>
      <c r="Z1735" s="290"/>
      <c r="AA1735" s="290"/>
      <c r="AB1735" s="290"/>
      <c r="AC1735" s="290"/>
      <c r="AD1735" s="290"/>
    </row>
    <row r="1736" spans="1:30" ht="25.5">
      <c r="A1736" s="291"/>
      <c r="B1736" s="291"/>
      <c r="C1736" s="291"/>
      <c r="D1736" s="83"/>
      <c r="E1736" s="59"/>
      <c r="F1736" s="82"/>
      <c r="G1736" s="82"/>
      <c r="H1736" s="86"/>
      <c r="I1736" s="294"/>
      <c r="J1736" s="59"/>
      <c r="K1736" s="83"/>
      <c r="L1736" s="83" t="str">
        <f t="shared" si="50"/>
        <v xml:space="preserve">
</v>
      </c>
      <c r="M1736" s="83"/>
      <c r="N1736" s="59"/>
      <c r="O1736" s="59"/>
      <c r="P1736" s="86">
        <f t="shared" si="51"/>
        <v>0</v>
      </c>
      <c r="Q1736" s="59"/>
      <c r="R1736" s="59"/>
      <c r="S1736" s="59"/>
      <c r="T1736" s="59"/>
      <c r="U1736" s="290"/>
      <c r="V1736" s="290"/>
      <c r="W1736" s="290"/>
      <c r="X1736" s="290"/>
      <c r="Y1736" s="290"/>
      <c r="Z1736" s="290"/>
      <c r="AA1736" s="290"/>
      <c r="AB1736" s="290"/>
      <c r="AC1736" s="290"/>
      <c r="AD1736" s="290"/>
    </row>
    <row r="1737" spans="1:30" ht="25.5">
      <c r="A1737" s="291"/>
      <c r="B1737" s="291"/>
      <c r="C1737" s="291"/>
      <c r="D1737" s="83"/>
      <c r="E1737" s="59"/>
      <c r="F1737" s="82"/>
      <c r="G1737" s="82"/>
      <c r="H1737" s="86"/>
      <c r="I1737" s="294"/>
      <c r="J1737" s="59"/>
      <c r="K1737" s="83"/>
      <c r="L1737" s="83" t="str">
        <f t="shared" si="50"/>
        <v xml:space="preserve">
</v>
      </c>
      <c r="M1737" s="83"/>
      <c r="N1737" s="59"/>
      <c r="O1737" s="59"/>
      <c r="P1737" s="86">
        <f t="shared" si="51"/>
        <v>0</v>
      </c>
      <c r="Q1737" s="59"/>
      <c r="R1737" s="59"/>
      <c r="S1737" s="59"/>
      <c r="T1737" s="59"/>
      <c r="U1737" s="290"/>
      <c r="V1737" s="290"/>
      <c r="W1737" s="290"/>
      <c r="X1737" s="290"/>
      <c r="Y1737" s="290"/>
      <c r="Z1737" s="290"/>
      <c r="AA1737" s="290"/>
      <c r="AB1737" s="290"/>
      <c r="AC1737" s="290"/>
      <c r="AD1737" s="290"/>
    </row>
    <row r="1738" spans="1:30" ht="25.5">
      <c r="A1738" s="291"/>
      <c r="B1738" s="291"/>
      <c r="C1738" s="291"/>
      <c r="D1738" s="83"/>
      <c r="E1738" s="59"/>
      <c r="F1738" s="82"/>
      <c r="G1738" s="82"/>
      <c r="H1738" s="86"/>
      <c r="I1738" s="294"/>
      <c r="J1738" s="59"/>
      <c r="K1738" s="83"/>
      <c r="L1738" s="83" t="str">
        <f t="shared" si="50"/>
        <v xml:space="preserve">
</v>
      </c>
      <c r="M1738" s="83"/>
      <c r="N1738" s="59"/>
      <c r="O1738" s="59"/>
      <c r="P1738" s="86">
        <f t="shared" si="51"/>
        <v>0</v>
      </c>
      <c r="Q1738" s="59"/>
      <c r="R1738" s="59"/>
      <c r="S1738" s="59"/>
      <c r="T1738" s="59"/>
      <c r="U1738" s="290"/>
      <c r="V1738" s="290"/>
      <c r="W1738" s="290"/>
      <c r="X1738" s="290"/>
      <c r="Y1738" s="290"/>
      <c r="Z1738" s="290"/>
      <c r="AA1738" s="290"/>
      <c r="AB1738" s="290"/>
      <c r="AC1738" s="290"/>
      <c r="AD1738" s="290"/>
    </row>
    <row r="1739" spans="1:30" ht="25.5">
      <c r="A1739" s="291"/>
      <c r="B1739" s="291"/>
      <c r="C1739" s="291"/>
      <c r="D1739" s="83"/>
      <c r="E1739" s="59"/>
      <c r="F1739" s="82"/>
      <c r="G1739" s="82"/>
      <c r="H1739" s="86"/>
      <c r="I1739" s="294"/>
      <c r="J1739" s="59"/>
      <c r="K1739" s="83"/>
      <c r="L1739" s="83" t="str">
        <f t="shared" si="50"/>
        <v xml:space="preserve">
</v>
      </c>
      <c r="M1739" s="83"/>
      <c r="N1739" s="59"/>
      <c r="O1739" s="59"/>
      <c r="P1739" s="86">
        <f t="shared" si="51"/>
        <v>0</v>
      </c>
      <c r="Q1739" s="59"/>
      <c r="R1739" s="59"/>
      <c r="S1739" s="59"/>
      <c r="T1739" s="59"/>
      <c r="U1739" s="290"/>
      <c r="V1739" s="290"/>
      <c r="W1739" s="290"/>
      <c r="X1739" s="290"/>
      <c r="Y1739" s="290"/>
      <c r="Z1739" s="290"/>
      <c r="AA1739" s="290"/>
      <c r="AB1739" s="290"/>
      <c r="AC1739" s="290"/>
      <c r="AD1739" s="290"/>
    </row>
    <row r="1740" spans="1:30" ht="25.5">
      <c r="A1740" s="291"/>
      <c r="B1740" s="291"/>
      <c r="C1740" s="291"/>
      <c r="D1740" s="83"/>
      <c r="E1740" s="59"/>
      <c r="F1740" s="82"/>
      <c r="G1740" s="82"/>
      <c r="H1740" s="86"/>
      <c r="I1740" s="294"/>
      <c r="J1740" s="59"/>
      <c r="K1740" s="83"/>
      <c r="L1740" s="83" t="str">
        <f t="shared" si="50"/>
        <v xml:space="preserve">
</v>
      </c>
      <c r="M1740" s="83"/>
      <c r="N1740" s="59"/>
      <c r="O1740" s="59"/>
      <c r="P1740" s="86">
        <f t="shared" si="51"/>
        <v>0</v>
      </c>
      <c r="Q1740" s="59"/>
      <c r="R1740" s="59"/>
      <c r="S1740" s="59"/>
      <c r="T1740" s="59"/>
      <c r="U1740" s="290"/>
      <c r="V1740" s="290"/>
      <c r="W1740" s="290"/>
      <c r="X1740" s="290"/>
      <c r="Y1740" s="290"/>
      <c r="Z1740" s="290"/>
      <c r="AA1740" s="290"/>
      <c r="AB1740" s="290"/>
      <c r="AC1740" s="290"/>
      <c r="AD1740" s="290"/>
    </row>
    <row r="1741" spans="1:30" ht="25.5">
      <c r="A1741" s="291"/>
      <c r="B1741" s="291"/>
      <c r="C1741" s="291"/>
      <c r="D1741" s="83"/>
      <c r="E1741" s="59"/>
      <c r="F1741" s="82"/>
      <c r="G1741" s="82"/>
      <c r="H1741" s="86"/>
      <c r="I1741" s="294"/>
      <c r="J1741" s="59"/>
      <c r="K1741" s="83"/>
      <c r="L1741" s="83" t="str">
        <f t="shared" si="50"/>
        <v xml:space="preserve">
</v>
      </c>
      <c r="M1741" s="83"/>
      <c r="N1741" s="59"/>
      <c r="O1741" s="59"/>
      <c r="P1741" s="86">
        <f t="shared" si="51"/>
        <v>0</v>
      </c>
      <c r="Q1741" s="59"/>
      <c r="R1741" s="59"/>
      <c r="S1741" s="59"/>
      <c r="T1741" s="59"/>
      <c r="U1741" s="290"/>
      <c r="V1741" s="290"/>
      <c r="W1741" s="290"/>
      <c r="X1741" s="290"/>
      <c r="Y1741" s="290"/>
      <c r="Z1741" s="290"/>
      <c r="AA1741" s="290"/>
      <c r="AB1741" s="290"/>
      <c r="AC1741" s="290"/>
      <c r="AD1741" s="290"/>
    </row>
    <row r="1742" spans="1:30" ht="25.5">
      <c r="A1742" s="291"/>
      <c r="B1742" s="291"/>
      <c r="C1742" s="291"/>
      <c r="D1742" s="83"/>
      <c r="E1742" s="59"/>
      <c r="F1742" s="82"/>
      <c r="G1742" s="82"/>
      <c r="H1742" s="86"/>
      <c r="I1742" s="294"/>
      <c r="J1742" s="59"/>
      <c r="K1742" s="83"/>
      <c r="L1742" s="83" t="str">
        <f t="shared" si="50"/>
        <v xml:space="preserve">
</v>
      </c>
      <c r="M1742" s="83"/>
      <c r="N1742" s="59"/>
      <c r="O1742" s="59"/>
      <c r="P1742" s="86">
        <f t="shared" si="51"/>
        <v>0</v>
      </c>
      <c r="Q1742" s="59"/>
      <c r="R1742" s="59"/>
      <c r="S1742" s="59"/>
      <c r="T1742" s="59"/>
      <c r="U1742" s="290"/>
      <c r="V1742" s="290"/>
      <c r="W1742" s="290"/>
      <c r="X1742" s="290"/>
      <c r="Y1742" s="290"/>
      <c r="Z1742" s="290"/>
      <c r="AA1742" s="290"/>
      <c r="AB1742" s="290"/>
      <c r="AC1742" s="290"/>
      <c r="AD1742" s="290"/>
    </row>
    <row r="1743" spans="1:30" ht="25.5">
      <c r="A1743" s="291"/>
      <c r="B1743" s="291"/>
      <c r="C1743" s="291"/>
      <c r="D1743" s="83"/>
      <c r="E1743" s="59"/>
      <c r="F1743" s="82"/>
      <c r="G1743" s="82"/>
      <c r="H1743" s="86"/>
      <c r="I1743" s="294"/>
      <c r="J1743" s="59"/>
      <c r="K1743" s="83"/>
      <c r="L1743" s="83" t="str">
        <f t="shared" si="50"/>
        <v xml:space="preserve">
</v>
      </c>
      <c r="M1743" s="83"/>
      <c r="N1743" s="59"/>
      <c r="O1743" s="59"/>
      <c r="P1743" s="86">
        <f t="shared" si="51"/>
        <v>0</v>
      </c>
      <c r="Q1743" s="59"/>
      <c r="R1743" s="59"/>
      <c r="S1743" s="59"/>
      <c r="T1743" s="59"/>
      <c r="U1743" s="290"/>
      <c r="V1743" s="290"/>
      <c r="W1743" s="290"/>
      <c r="X1743" s="290"/>
      <c r="Y1743" s="290"/>
      <c r="Z1743" s="290"/>
      <c r="AA1743" s="290"/>
      <c r="AB1743" s="290"/>
      <c r="AC1743" s="290"/>
      <c r="AD1743" s="290"/>
    </row>
    <row r="1744" spans="1:30" ht="25.5">
      <c r="A1744" s="291"/>
      <c r="B1744" s="291"/>
      <c r="C1744" s="291"/>
      <c r="D1744" s="83"/>
      <c r="E1744" s="59"/>
      <c r="F1744" s="82"/>
      <c r="G1744" s="82"/>
      <c r="H1744" s="86"/>
      <c r="I1744" s="294"/>
      <c r="J1744" s="59"/>
      <c r="K1744" s="83"/>
      <c r="L1744" s="83" t="str">
        <f t="shared" si="50"/>
        <v xml:space="preserve">
</v>
      </c>
      <c r="M1744" s="83"/>
      <c r="N1744" s="59"/>
      <c r="O1744" s="59"/>
      <c r="P1744" s="86">
        <f t="shared" si="51"/>
        <v>0</v>
      </c>
      <c r="Q1744" s="59"/>
      <c r="R1744" s="59"/>
      <c r="S1744" s="59"/>
      <c r="T1744" s="59"/>
      <c r="U1744" s="290"/>
      <c r="V1744" s="290"/>
      <c r="W1744" s="290"/>
      <c r="X1744" s="290"/>
      <c r="Y1744" s="290"/>
      <c r="Z1744" s="290"/>
      <c r="AA1744" s="290"/>
      <c r="AB1744" s="290"/>
      <c r="AC1744" s="290"/>
      <c r="AD1744" s="290"/>
    </row>
    <row r="1745" spans="1:30" ht="25.5">
      <c r="A1745" s="291"/>
      <c r="B1745" s="291"/>
      <c r="C1745" s="291"/>
      <c r="D1745" s="83"/>
      <c r="E1745" s="59"/>
      <c r="F1745" s="82"/>
      <c r="G1745" s="82"/>
      <c r="H1745" s="86"/>
      <c r="I1745" s="294"/>
      <c r="J1745" s="59"/>
      <c r="K1745" s="83"/>
      <c r="L1745" s="83" t="str">
        <f t="shared" si="50"/>
        <v xml:space="preserve">
</v>
      </c>
      <c r="M1745" s="83"/>
      <c r="N1745" s="59"/>
      <c r="O1745" s="59"/>
      <c r="P1745" s="86">
        <f t="shared" si="51"/>
        <v>0</v>
      </c>
      <c r="Q1745" s="59"/>
      <c r="R1745" s="59"/>
      <c r="S1745" s="59"/>
      <c r="T1745" s="59"/>
      <c r="U1745" s="290"/>
      <c r="V1745" s="290"/>
      <c r="W1745" s="290"/>
      <c r="X1745" s="290"/>
      <c r="Y1745" s="290"/>
      <c r="Z1745" s="290"/>
      <c r="AA1745" s="290"/>
      <c r="AB1745" s="290"/>
      <c r="AC1745" s="290"/>
      <c r="AD1745" s="290"/>
    </row>
    <row r="1746" spans="1:30" ht="25.5">
      <c r="A1746" s="291"/>
      <c r="B1746" s="291"/>
      <c r="C1746" s="291"/>
      <c r="D1746" s="83"/>
      <c r="E1746" s="59"/>
      <c r="F1746" s="82"/>
      <c r="G1746" s="82"/>
      <c r="H1746" s="86"/>
      <c r="I1746" s="294"/>
      <c r="J1746" s="59"/>
      <c r="K1746" s="83"/>
      <c r="L1746" s="83" t="str">
        <f t="shared" si="50"/>
        <v xml:space="preserve">
</v>
      </c>
      <c r="M1746" s="83"/>
      <c r="N1746" s="59"/>
      <c r="O1746" s="59"/>
      <c r="P1746" s="86">
        <f t="shared" si="51"/>
        <v>0</v>
      </c>
      <c r="Q1746" s="59"/>
      <c r="R1746" s="59"/>
      <c r="S1746" s="59"/>
      <c r="T1746" s="59"/>
      <c r="U1746" s="290"/>
      <c r="V1746" s="290"/>
      <c r="W1746" s="290"/>
      <c r="X1746" s="290"/>
      <c r="Y1746" s="290"/>
      <c r="Z1746" s="290"/>
      <c r="AA1746" s="290"/>
      <c r="AB1746" s="290"/>
      <c r="AC1746" s="290"/>
      <c r="AD1746" s="290"/>
    </row>
    <row r="1747" spans="1:30" ht="25.5">
      <c r="A1747" s="291"/>
      <c r="B1747" s="291"/>
      <c r="C1747" s="291"/>
      <c r="D1747" s="83"/>
      <c r="E1747" s="59"/>
      <c r="F1747" s="82"/>
      <c r="G1747" s="82"/>
      <c r="H1747" s="86"/>
      <c r="I1747" s="294"/>
      <c r="J1747" s="59"/>
      <c r="K1747" s="83"/>
      <c r="L1747" s="83" t="str">
        <f t="shared" si="50"/>
        <v xml:space="preserve">
</v>
      </c>
      <c r="M1747" s="83"/>
      <c r="N1747" s="59"/>
      <c r="O1747" s="59"/>
      <c r="P1747" s="86">
        <f t="shared" si="51"/>
        <v>0</v>
      </c>
      <c r="Q1747" s="59"/>
      <c r="R1747" s="59"/>
      <c r="S1747" s="59"/>
      <c r="T1747" s="59"/>
      <c r="U1747" s="290"/>
      <c r="V1747" s="290"/>
      <c r="W1747" s="290"/>
      <c r="X1747" s="290"/>
      <c r="Y1747" s="290"/>
      <c r="Z1747" s="290"/>
      <c r="AA1747" s="290"/>
      <c r="AB1747" s="290"/>
      <c r="AC1747" s="290"/>
      <c r="AD1747" s="290"/>
    </row>
    <row r="1748" spans="1:30" ht="25.5">
      <c r="A1748" s="291"/>
      <c r="B1748" s="291"/>
      <c r="C1748" s="291"/>
      <c r="D1748" s="83"/>
      <c r="E1748" s="59"/>
      <c r="F1748" s="82"/>
      <c r="G1748" s="82"/>
      <c r="H1748" s="86"/>
      <c r="I1748" s="294"/>
      <c r="J1748" s="59"/>
      <c r="K1748" s="83"/>
      <c r="L1748" s="83" t="str">
        <f t="shared" si="50"/>
        <v xml:space="preserve">
</v>
      </c>
      <c r="M1748" s="83"/>
      <c r="N1748" s="59"/>
      <c r="O1748" s="59"/>
      <c r="P1748" s="86">
        <f t="shared" si="51"/>
        <v>0</v>
      </c>
      <c r="Q1748" s="59"/>
      <c r="R1748" s="59"/>
      <c r="S1748" s="59"/>
      <c r="T1748" s="59"/>
      <c r="U1748" s="290"/>
      <c r="V1748" s="290"/>
      <c r="W1748" s="290"/>
      <c r="X1748" s="290"/>
      <c r="Y1748" s="290"/>
      <c r="Z1748" s="290"/>
      <c r="AA1748" s="290"/>
      <c r="AB1748" s="290"/>
      <c r="AC1748" s="290"/>
      <c r="AD1748" s="290"/>
    </row>
    <row r="1749" spans="1:30" ht="25.5">
      <c r="A1749" s="291"/>
      <c r="B1749" s="291"/>
      <c r="C1749" s="291"/>
      <c r="D1749" s="83"/>
      <c r="E1749" s="59"/>
      <c r="F1749" s="82"/>
      <c r="G1749" s="82"/>
      <c r="H1749" s="86"/>
      <c r="I1749" s="294"/>
      <c r="J1749" s="59"/>
      <c r="K1749" s="83"/>
      <c r="L1749" s="83" t="str">
        <f t="shared" si="50"/>
        <v xml:space="preserve">
</v>
      </c>
      <c r="M1749" s="83"/>
      <c r="N1749" s="59"/>
      <c r="O1749" s="59"/>
      <c r="P1749" s="86">
        <f t="shared" si="51"/>
        <v>0</v>
      </c>
      <c r="Q1749" s="59"/>
      <c r="R1749" s="59"/>
      <c r="S1749" s="59"/>
      <c r="T1749" s="59"/>
      <c r="U1749" s="290"/>
      <c r="V1749" s="290"/>
      <c r="W1749" s="290"/>
      <c r="X1749" s="290"/>
      <c r="Y1749" s="290"/>
      <c r="Z1749" s="290"/>
      <c r="AA1749" s="290"/>
      <c r="AB1749" s="290"/>
      <c r="AC1749" s="290"/>
      <c r="AD1749" s="290"/>
    </row>
    <row r="1750" spans="1:30" ht="25.5">
      <c r="A1750" s="291"/>
      <c r="B1750" s="291"/>
      <c r="C1750" s="291"/>
      <c r="D1750" s="83"/>
      <c r="E1750" s="59"/>
      <c r="F1750" s="82"/>
      <c r="G1750" s="82"/>
      <c r="H1750" s="86"/>
      <c r="I1750" s="294"/>
      <c r="J1750" s="59"/>
      <c r="K1750" s="83"/>
      <c r="L1750" s="83" t="str">
        <f t="shared" si="50"/>
        <v xml:space="preserve">
</v>
      </c>
      <c r="M1750" s="83"/>
      <c r="N1750" s="59"/>
      <c r="O1750" s="59"/>
      <c r="P1750" s="86">
        <f t="shared" si="51"/>
        <v>0</v>
      </c>
      <c r="Q1750" s="59"/>
      <c r="R1750" s="59"/>
      <c r="S1750" s="59"/>
      <c r="T1750" s="59"/>
      <c r="U1750" s="290"/>
      <c r="V1750" s="290"/>
      <c r="W1750" s="290"/>
      <c r="X1750" s="290"/>
      <c r="Y1750" s="290"/>
      <c r="Z1750" s="290"/>
      <c r="AA1750" s="290"/>
      <c r="AB1750" s="290"/>
      <c r="AC1750" s="290"/>
      <c r="AD1750" s="290"/>
    </row>
    <row r="1751" spans="1:30" ht="25.5">
      <c r="A1751" s="291"/>
      <c r="B1751" s="291"/>
      <c r="C1751" s="291"/>
      <c r="D1751" s="83"/>
      <c r="E1751" s="59"/>
      <c r="F1751" s="82"/>
      <c r="G1751" s="82"/>
      <c r="H1751" s="86"/>
      <c r="I1751" s="294"/>
      <c r="J1751" s="59"/>
      <c r="K1751" s="83"/>
      <c r="L1751" s="83" t="str">
        <f t="shared" si="50"/>
        <v xml:space="preserve">
</v>
      </c>
      <c r="M1751" s="83"/>
      <c r="N1751" s="59"/>
      <c r="O1751" s="59"/>
      <c r="P1751" s="86">
        <f t="shared" si="51"/>
        <v>0</v>
      </c>
      <c r="Q1751" s="59"/>
      <c r="R1751" s="59"/>
      <c r="S1751" s="59"/>
      <c r="T1751" s="59"/>
      <c r="U1751" s="290"/>
      <c r="V1751" s="290"/>
      <c r="W1751" s="290"/>
      <c r="X1751" s="290"/>
      <c r="Y1751" s="290"/>
      <c r="Z1751" s="290"/>
      <c r="AA1751" s="290"/>
      <c r="AB1751" s="290"/>
      <c r="AC1751" s="290"/>
      <c r="AD1751" s="290"/>
    </row>
    <row r="1752" spans="1:30" ht="25.5">
      <c r="A1752" s="291"/>
      <c r="B1752" s="291"/>
      <c r="C1752" s="291"/>
      <c r="D1752" s="83"/>
      <c r="E1752" s="59"/>
      <c r="F1752" s="82"/>
      <c r="G1752" s="82"/>
      <c r="H1752" s="86"/>
      <c r="I1752" s="294"/>
      <c r="J1752" s="59"/>
      <c r="K1752" s="83"/>
      <c r="L1752" s="83" t="str">
        <f t="shared" si="50"/>
        <v xml:space="preserve">
</v>
      </c>
      <c r="M1752" s="83"/>
      <c r="N1752" s="59"/>
      <c r="O1752" s="59"/>
      <c r="P1752" s="86">
        <f t="shared" si="51"/>
        <v>0</v>
      </c>
      <c r="Q1752" s="59"/>
      <c r="R1752" s="59"/>
      <c r="S1752" s="59"/>
      <c r="T1752" s="59"/>
      <c r="U1752" s="290"/>
      <c r="V1752" s="290"/>
      <c r="W1752" s="290"/>
      <c r="X1752" s="290"/>
      <c r="Y1752" s="290"/>
      <c r="Z1752" s="290"/>
      <c r="AA1752" s="290"/>
      <c r="AB1752" s="290"/>
      <c r="AC1752" s="290"/>
      <c r="AD1752" s="290"/>
    </row>
    <row r="1753" spans="1:30" ht="25.5">
      <c r="A1753" s="291"/>
      <c r="B1753" s="291"/>
      <c r="C1753" s="291"/>
      <c r="D1753" s="83"/>
      <c r="E1753" s="59"/>
      <c r="F1753" s="82"/>
      <c r="G1753" s="82"/>
      <c r="H1753" s="86"/>
      <c r="I1753" s="294"/>
      <c r="J1753" s="59"/>
      <c r="K1753" s="83"/>
      <c r="L1753" s="83" t="str">
        <f t="shared" si="50"/>
        <v xml:space="preserve">
</v>
      </c>
      <c r="M1753" s="83"/>
      <c r="N1753" s="59"/>
      <c r="O1753" s="59"/>
      <c r="P1753" s="86">
        <f t="shared" si="51"/>
        <v>0</v>
      </c>
      <c r="Q1753" s="59"/>
      <c r="R1753" s="59"/>
      <c r="S1753" s="59"/>
      <c r="T1753" s="59"/>
      <c r="U1753" s="290"/>
      <c r="V1753" s="290"/>
      <c r="W1753" s="290"/>
      <c r="X1753" s="290"/>
      <c r="Y1753" s="290"/>
      <c r="Z1753" s="290"/>
      <c r="AA1753" s="290"/>
      <c r="AB1753" s="290"/>
      <c r="AC1753" s="290"/>
      <c r="AD1753" s="290"/>
    </row>
    <row r="1754" spans="1:30" ht="25.5">
      <c r="A1754" s="291"/>
      <c r="B1754" s="291"/>
      <c r="C1754" s="291"/>
      <c r="D1754" s="83"/>
      <c r="E1754" s="59"/>
      <c r="F1754" s="82"/>
      <c r="G1754" s="82"/>
      <c r="H1754" s="86"/>
      <c r="I1754" s="294"/>
      <c r="J1754" s="59"/>
      <c r="K1754" s="83"/>
      <c r="L1754" s="83" t="str">
        <f t="shared" si="50"/>
        <v xml:space="preserve">
</v>
      </c>
      <c r="M1754" s="83"/>
      <c r="N1754" s="59"/>
      <c r="O1754" s="59"/>
      <c r="P1754" s="86">
        <f t="shared" si="51"/>
        <v>0</v>
      </c>
      <c r="Q1754" s="59"/>
      <c r="R1754" s="59"/>
      <c r="S1754" s="59"/>
      <c r="T1754" s="59"/>
      <c r="U1754" s="290"/>
      <c r="V1754" s="290"/>
      <c r="W1754" s="290"/>
      <c r="X1754" s="290"/>
      <c r="Y1754" s="290"/>
      <c r="Z1754" s="290"/>
      <c r="AA1754" s="290"/>
      <c r="AB1754" s="290"/>
      <c r="AC1754" s="290"/>
      <c r="AD1754" s="290"/>
    </row>
    <row r="1755" spans="1:30" ht="25.5">
      <c r="A1755" s="291"/>
      <c r="B1755" s="291"/>
      <c r="C1755" s="291"/>
      <c r="D1755" s="83"/>
      <c r="E1755" s="59"/>
      <c r="F1755" s="82"/>
      <c r="G1755" s="82"/>
      <c r="H1755" s="86"/>
      <c r="I1755" s="294"/>
      <c r="J1755" s="59"/>
      <c r="K1755" s="83"/>
      <c r="L1755" s="83" t="str">
        <f t="shared" si="50"/>
        <v xml:space="preserve">
</v>
      </c>
      <c r="M1755" s="83"/>
      <c r="N1755" s="59"/>
      <c r="O1755" s="59"/>
      <c r="P1755" s="86">
        <f t="shared" si="51"/>
        <v>0</v>
      </c>
      <c r="Q1755" s="59"/>
      <c r="R1755" s="59"/>
      <c r="S1755" s="59"/>
      <c r="T1755" s="59"/>
      <c r="U1755" s="290"/>
      <c r="V1755" s="290"/>
      <c r="W1755" s="290"/>
      <c r="X1755" s="290"/>
      <c r="Y1755" s="290"/>
      <c r="Z1755" s="290"/>
      <c r="AA1755" s="290"/>
      <c r="AB1755" s="290"/>
      <c r="AC1755" s="290"/>
      <c r="AD1755" s="290"/>
    </row>
    <row r="1756" spans="1:30" ht="25.5">
      <c r="A1756" s="291"/>
      <c r="B1756" s="291"/>
      <c r="C1756" s="291"/>
      <c r="D1756" s="83"/>
      <c r="E1756" s="59"/>
      <c r="F1756" s="82"/>
      <c r="G1756" s="82"/>
      <c r="H1756" s="86"/>
      <c r="I1756" s="294"/>
      <c r="J1756" s="59"/>
      <c r="K1756" s="83"/>
      <c r="L1756" s="83" t="str">
        <f t="shared" si="50"/>
        <v xml:space="preserve">
</v>
      </c>
      <c r="M1756" s="83"/>
      <c r="N1756" s="59"/>
      <c r="O1756" s="59"/>
      <c r="P1756" s="86">
        <f t="shared" si="51"/>
        <v>0</v>
      </c>
      <c r="Q1756" s="59"/>
      <c r="R1756" s="59"/>
      <c r="S1756" s="59"/>
      <c r="T1756" s="59"/>
      <c r="U1756" s="290"/>
      <c r="V1756" s="290"/>
      <c r="W1756" s="290"/>
      <c r="X1756" s="290"/>
      <c r="Y1756" s="290"/>
      <c r="Z1756" s="290"/>
      <c r="AA1756" s="290"/>
      <c r="AB1756" s="290"/>
      <c r="AC1756" s="290"/>
      <c r="AD1756" s="290"/>
    </row>
    <row r="1757" spans="1:30" ht="25.5">
      <c r="A1757" s="291"/>
      <c r="B1757" s="291"/>
      <c r="C1757" s="291"/>
      <c r="D1757" s="83"/>
      <c r="E1757" s="59"/>
      <c r="F1757" s="82"/>
      <c r="G1757" s="82"/>
      <c r="H1757" s="86"/>
      <c r="I1757" s="294"/>
      <c r="J1757" s="59"/>
      <c r="K1757" s="83"/>
      <c r="L1757" s="83" t="str">
        <f t="shared" si="50"/>
        <v xml:space="preserve">
</v>
      </c>
      <c r="M1757" s="83"/>
      <c r="N1757" s="59"/>
      <c r="O1757" s="59"/>
      <c r="P1757" s="86">
        <f t="shared" si="51"/>
        <v>0</v>
      </c>
      <c r="Q1757" s="59"/>
      <c r="R1757" s="59"/>
      <c r="S1757" s="59"/>
      <c r="T1757" s="59"/>
      <c r="U1757" s="290"/>
      <c r="V1757" s="290"/>
      <c r="W1757" s="290"/>
      <c r="X1757" s="290"/>
      <c r="Y1757" s="290"/>
      <c r="Z1757" s="290"/>
      <c r="AA1757" s="290"/>
      <c r="AB1757" s="290"/>
      <c r="AC1757" s="290"/>
      <c r="AD1757" s="290"/>
    </row>
    <row r="1758" spans="1:30" ht="25.5">
      <c r="A1758" s="291"/>
      <c r="B1758" s="291"/>
      <c r="C1758" s="291"/>
      <c r="D1758" s="83"/>
      <c r="E1758" s="59"/>
      <c r="F1758" s="82"/>
      <c r="G1758" s="82"/>
      <c r="H1758" s="86"/>
      <c r="I1758" s="294"/>
      <c r="J1758" s="59"/>
      <c r="K1758" s="83"/>
      <c r="L1758" s="83" t="str">
        <f t="shared" si="50"/>
        <v xml:space="preserve">
</v>
      </c>
      <c r="M1758" s="83"/>
      <c r="N1758" s="59"/>
      <c r="O1758" s="59"/>
      <c r="P1758" s="86">
        <f t="shared" si="51"/>
        <v>0</v>
      </c>
      <c r="Q1758" s="59"/>
      <c r="R1758" s="59"/>
      <c r="S1758" s="59"/>
      <c r="T1758" s="59"/>
      <c r="U1758" s="290"/>
      <c r="V1758" s="290"/>
      <c r="W1758" s="290"/>
      <c r="X1758" s="290"/>
      <c r="Y1758" s="290"/>
      <c r="Z1758" s="290"/>
      <c r="AA1758" s="290"/>
      <c r="AB1758" s="290"/>
      <c r="AC1758" s="290"/>
      <c r="AD1758" s="290"/>
    </row>
    <row r="1759" spans="1:30" ht="25.5">
      <c r="A1759" s="291"/>
      <c r="B1759" s="291"/>
      <c r="C1759" s="291"/>
      <c r="D1759" s="83"/>
      <c r="E1759" s="59"/>
      <c r="F1759" s="82"/>
      <c r="G1759" s="82"/>
      <c r="H1759" s="86"/>
      <c r="I1759" s="294"/>
      <c r="J1759" s="59"/>
      <c r="K1759" s="83"/>
      <c r="L1759" s="83" t="str">
        <f t="shared" si="50"/>
        <v xml:space="preserve">
</v>
      </c>
      <c r="M1759" s="83"/>
      <c r="N1759" s="59"/>
      <c r="O1759" s="59"/>
      <c r="P1759" s="86">
        <f t="shared" si="51"/>
        <v>0</v>
      </c>
      <c r="Q1759" s="59"/>
      <c r="R1759" s="59"/>
      <c r="S1759" s="59"/>
      <c r="T1759" s="59"/>
      <c r="U1759" s="290"/>
      <c r="V1759" s="290"/>
      <c r="W1759" s="290"/>
      <c r="X1759" s="290"/>
      <c r="Y1759" s="290"/>
      <c r="Z1759" s="290"/>
      <c r="AA1759" s="290"/>
      <c r="AB1759" s="290"/>
      <c r="AC1759" s="290"/>
      <c r="AD1759" s="290"/>
    </row>
    <row r="1760" spans="1:30" ht="25.5">
      <c r="A1760" s="291"/>
      <c r="B1760" s="291"/>
      <c r="C1760" s="291"/>
      <c r="D1760" s="83"/>
      <c r="E1760" s="59"/>
      <c r="F1760" s="82"/>
      <c r="G1760" s="82"/>
      <c r="H1760" s="86"/>
      <c r="I1760" s="294"/>
      <c r="J1760" s="59"/>
      <c r="K1760" s="83"/>
      <c r="L1760" s="83" t="str">
        <f t="shared" si="50"/>
        <v xml:space="preserve">
</v>
      </c>
      <c r="M1760" s="83"/>
      <c r="N1760" s="59"/>
      <c r="O1760" s="59"/>
      <c r="P1760" s="86">
        <f t="shared" si="51"/>
        <v>0</v>
      </c>
      <c r="Q1760" s="59"/>
      <c r="R1760" s="59"/>
      <c r="S1760" s="59"/>
      <c r="T1760" s="59"/>
      <c r="U1760" s="290"/>
      <c r="V1760" s="290"/>
      <c r="W1760" s="290"/>
      <c r="X1760" s="290"/>
      <c r="Y1760" s="290"/>
      <c r="Z1760" s="290"/>
      <c r="AA1760" s="290"/>
      <c r="AB1760" s="290"/>
      <c r="AC1760" s="290"/>
      <c r="AD1760" s="290"/>
    </row>
    <row r="1761" spans="1:30" ht="25.5">
      <c r="A1761" s="291"/>
      <c r="B1761" s="291"/>
      <c r="C1761" s="291"/>
      <c r="D1761" s="83"/>
      <c r="E1761" s="59"/>
      <c r="F1761" s="82"/>
      <c r="G1761" s="82"/>
      <c r="H1761" s="86"/>
      <c r="I1761" s="294"/>
      <c r="J1761" s="59"/>
      <c r="K1761" s="83"/>
      <c r="L1761" s="83" t="str">
        <f t="shared" si="50"/>
        <v xml:space="preserve">
</v>
      </c>
      <c r="M1761" s="83"/>
      <c r="N1761" s="59"/>
      <c r="O1761" s="59"/>
      <c r="P1761" s="86">
        <f t="shared" si="51"/>
        <v>0</v>
      </c>
      <c r="Q1761" s="59"/>
      <c r="R1761" s="59"/>
      <c r="S1761" s="59"/>
      <c r="T1761" s="59"/>
      <c r="U1761" s="290"/>
      <c r="V1761" s="290"/>
      <c r="W1761" s="290"/>
      <c r="X1761" s="290"/>
      <c r="Y1761" s="290"/>
      <c r="Z1761" s="290"/>
      <c r="AA1761" s="290"/>
      <c r="AB1761" s="290"/>
      <c r="AC1761" s="290"/>
      <c r="AD1761" s="290"/>
    </row>
    <row r="1762" spans="1:30" ht="25.5">
      <c r="A1762" s="291"/>
      <c r="B1762" s="291"/>
      <c r="C1762" s="291"/>
      <c r="D1762" s="83"/>
      <c r="E1762" s="59"/>
      <c r="F1762" s="82"/>
      <c r="G1762" s="82"/>
      <c r="H1762" s="86"/>
      <c r="I1762" s="294"/>
      <c r="J1762" s="59"/>
      <c r="K1762" s="83"/>
      <c r="L1762" s="83" t="str">
        <f t="shared" si="50"/>
        <v xml:space="preserve">
</v>
      </c>
      <c r="M1762" s="83"/>
      <c r="N1762" s="59"/>
      <c r="O1762" s="59"/>
      <c r="P1762" s="86">
        <f t="shared" si="51"/>
        <v>0</v>
      </c>
      <c r="Q1762" s="59"/>
      <c r="R1762" s="59"/>
      <c r="S1762" s="59"/>
      <c r="T1762" s="59"/>
      <c r="U1762" s="290"/>
      <c r="V1762" s="290"/>
      <c r="W1762" s="290"/>
      <c r="X1762" s="290"/>
      <c r="Y1762" s="290"/>
      <c r="Z1762" s="290"/>
      <c r="AA1762" s="290"/>
      <c r="AB1762" s="290"/>
      <c r="AC1762" s="290"/>
      <c r="AD1762" s="290"/>
    </row>
    <row r="1763" spans="1:30" ht="25.5">
      <c r="A1763" s="291"/>
      <c r="B1763" s="291"/>
      <c r="C1763" s="291"/>
      <c r="D1763" s="83"/>
      <c r="E1763" s="59"/>
      <c r="F1763" s="82"/>
      <c r="G1763" s="82"/>
      <c r="H1763" s="86"/>
      <c r="I1763" s="294"/>
      <c r="J1763" s="59"/>
      <c r="K1763" s="83"/>
      <c r="L1763" s="83" t="str">
        <f t="shared" si="50"/>
        <v xml:space="preserve">
</v>
      </c>
      <c r="M1763" s="83"/>
      <c r="N1763" s="59"/>
      <c r="O1763" s="59"/>
      <c r="P1763" s="86">
        <f t="shared" si="51"/>
        <v>0</v>
      </c>
      <c r="Q1763" s="59"/>
      <c r="R1763" s="59"/>
      <c r="S1763" s="59"/>
      <c r="T1763" s="59"/>
      <c r="U1763" s="290"/>
      <c r="V1763" s="290"/>
      <c r="W1763" s="290"/>
      <c r="X1763" s="290"/>
      <c r="Y1763" s="290"/>
      <c r="Z1763" s="290"/>
      <c r="AA1763" s="290"/>
      <c r="AB1763" s="290"/>
      <c r="AC1763" s="290"/>
      <c r="AD1763" s="290"/>
    </row>
    <row r="1764" spans="1:30" ht="25.5">
      <c r="A1764" s="291"/>
      <c r="B1764" s="291"/>
      <c r="C1764" s="291"/>
      <c r="D1764" s="83"/>
      <c r="E1764" s="59"/>
      <c r="F1764" s="82"/>
      <c r="G1764" s="82"/>
      <c r="H1764" s="86"/>
      <c r="I1764" s="294"/>
      <c r="J1764" s="59"/>
      <c r="K1764" s="83"/>
      <c r="L1764" s="83" t="str">
        <f t="shared" si="50"/>
        <v xml:space="preserve">
</v>
      </c>
      <c r="M1764" s="83"/>
      <c r="N1764" s="59"/>
      <c r="O1764" s="59"/>
      <c r="P1764" s="86">
        <f t="shared" si="51"/>
        <v>0</v>
      </c>
      <c r="Q1764" s="59"/>
      <c r="R1764" s="59"/>
      <c r="S1764" s="59"/>
      <c r="T1764" s="59"/>
      <c r="U1764" s="290"/>
      <c r="V1764" s="290"/>
      <c r="W1764" s="290"/>
      <c r="X1764" s="290"/>
      <c r="Y1764" s="290"/>
      <c r="Z1764" s="290"/>
      <c r="AA1764" s="290"/>
      <c r="AB1764" s="290"/>
      <c r="AC1764" s="290"/>
      <c r="AD1764" s="290"/>
    </row>
    <row r="1765" spans="1:30" ht="25.5">
      <c r="A1765" s="291"/>
      <c r="B1765" s="291"/>
      <c r="C1765" s="291"/>
      <c r="D1765" s="83"/>
      <c r="E1765" s="59"/>
      <c r="F1765" s="82"/>
      <c r="G1765" s="82"/>
      <c r="H1765" s="86"/>
      <c r="I1765" s="294"/>
      <c r="J1765" s="59"/>
      <c r="K1765" s="83"/>
      <c r="L1765" s="83" t="str">
        <f t="shared" si="50"/>
        <v xml:space="preserve">
</v>
      </c>
      <c r="M1765" s="83"/>
      <c r="N1765" s="59"/>
      <c r="O1765" s="59"/>
      <c r="P1765" s="86">
        <f t="shared" si="51"/>
        <v>0</v>
      </c>
      <c r="Q1765" s="59"/>
      <c r="R1765" s="59"/>
      <c r="S1765" s="59"/>
      <c r="T1765" s="59"/>
      <c r="U1765" s="290"/>
      <c r="V1765" s="290"/>
      <c r="W1765" s="290"/>
      <c r="X1765" s="290"/>
      <c r="Y1765" s="290"/>
      <c r="Z1765" s="290"/>
      <c r="AA1765" s="290"/>
      <c r="AB1765" s="290"/>
      <c r="AC1765" s="290"/>
      <c r="AD1765" s="290"/>
    </row>
    <row r="1766" spans="1:30" ht="25.5">
      <c r="A1766" s="291"/>
      <c r="B1766" s="291"/>
      <c r="C1766" s="291"/>
      <c r="D1766" s="83"/>
      <c r="E1766" s="59"/>
      <c r="F1766" s="82"/>
      <c r="G1766" s="82"/>
      <c r="H1766" s="86"/>
      <c r="I1766" s="294"/>
      <c r="J1766" s="59"/>
      <c r="K1766" s="83"/>
      <c r="L1766" s="83" t="str">
        <f t="shared" si="50"/>
        <v xml:space="preserve">
</v>
      </c>
      <c r="M1766" s="83"/>
      <c r="N1766" s="59"/>
      <c r="O1766" s="59"/>
      <c r="P1766" s="86">
        <f t="shared" si="51"/>
        <v>0</v>
      </c>
      <c r="Q1766" s="59"/>
      <c r="R1766" s="59"/>
      <c r="S1766" s="59"/>
      <c r="T1766" s="59"/>
      <c r="U1766" s="290"/>
      <c r="V1766" s="290"/>
      <c r="W1766" s="290"/>
      <c r="X1766" s="290"/>
      <c r="Y1766" s="290"/>
      <c r="Z1766" s="290"/>
      <c r="AA1766" s="290"/>
      <c r="AB1766" s="290"/>
      <c r="AC1766" s="290"/>
      <c r="AD1766" s="290"/>
    </row>
    <row r="1767" spans="1:30" ht="25.5">
      <c r="A1767" s="291"/>
      <c r="B1767" s="291"/>
      <c r="C1767" s="291"/>
      <c r="D1767" s="83"/>
      <c r="E1767" s="59"/>
      <c r="F1767" s="82"/>
      <c r="G1767" s="82"/>
      <c r="H1767" s="86"/>
      <c r="I1767" s="294"/>
      <c r="J1767" s="59"/>
      <c r="K1767" s="83"/>
      <c r="L1767" s="83" t="str">
        <f t="shared" si="50"/>
        <v xml:space="preserve">
</v>
      </c>
      <c r="M1767" s="83"/>
      <c r="N1767" s="59"/>
      <c r="O1767" s="59"/>
      <c r="P1767" s="86">
        <f t="shared" si="51"/>
        <v>0</v>
      </c>
      <c r="Q1767" s="59"/>
      <c r="R1767" s="59"/>
      <c r="S1767" s="59"/>
      <c r="T1767" s="59"/>
      <c r="U1767" s="290"/>
      <c r="V1767" s="290"/>
      <c r="W1767" s="290"/>
      <c r="X1767" s="290"/>
      <c r="Y1767" s="290"/>
      <c r="Z1767" s="290"/>
      <c r="AA1767" s="290"/>
      <c r="AB1767" s="290"/>
      <c r="AC1767" s="290"/>
      <c r="AD1767" s="290"/>
    </row>
    <row r="1768" spans="1:30" ht="25.5">
      <c r="A1768" s="291"/>
      <c r="B1768" s="291"/>
      <c r="C1768" s="291"/>
      <c r="D1768" s="83"/>
      <c r="E1768" s="59"/>
      <c r="F1768" s="82"/>
      <c r="G1768" s="82"/>
      <c r="H1768" s="86"/>
      <c r="I1768" s="294"/>
      <c r="J1768" s="59"/>
      <c r="K1768" s="83"/>
      <c r="L1768" s="83" t="str">
        <f t="shared" si="50"/>
        <v xml:space="preserve">
</v>
      </c>
      <c r="M1768" s="83"/>
      <c r="N1768" s="59"/>
      <c r="O1768" s="59"/>
      <c r="P1768" s="86">
        <f t="shared" si="51"/>
        <v>0</v>
      </c>
      <c r="Q1768" s="59"/>
      <c r="R1768" s="59"/>
      <c r="S1768" s="59"/>
      <c r="T1768" s="59"/>
      <c r="U1768" s="290"/>
      <c r="V1768" s="290"/>
      <c r="W1768" s="290"/>
      <c r="X1768" s="290"/>
      <c r="Y1768" s="290"/>
      <c r="Z1768" s="290"/>
      <c r="AA1768" s="290"/>
      <c r="AB1768" s="290"/>
      <c r="AC1768" s="290"/>
      <c r="AD1768" s="290"/>
    </row>
    <row r="1769" spans="1:30" ht="25.5">
      <c r="A1769" s="291"/>
      <c r="B1769" s="291"/>
      <c r="C1769" s="291"/>
      <c r="D1769" s="83"/>
      <c r="E1769" s="59"/>
      <c r="F1769" s="82"/>
      <c r="G1769" s="82"/>
      <c r="H1769" s="86"/>
      <c r="I1769" s="294"/>
      <c r="J1769" s="59"/>
      <c r="K1769" s="83"/>
      <c r="L1769" s="83" t="str">
        <f t="shared" si="50"/>
        <v xml:space="preserve">
</v>
      </c>
      <c r="M1769" s="83"/>
      <c r="N1769" s="59"/>
      <c r="O1769" s="59"/>
      <c r="P1769" s="86">
        <f t="shared" si="51"/>
        <v>0</v>
      </c>
      <c r="Q1769" s="59"/>
      <c r="R1769" s="59"/>
      <c r="S1769" s="59"/>
      <c r="T1769" s="59"/>
      <c r="U1769" s="290"/>
      <c r="V1769" s="290"/>
      <c r="W1769" s="290"/>
      <c r="X1769" s="290"/>
      <c r="Y1769" s="290"/>
      <c r="Z1769" s="290"/>
      <c r="AA1769" s="290"/>
      <c r="AB1769" s="290"/>
      <c r="AC1769" s="290"/>
      <c r="AD1769" s="290"/>
    </row>
    <row r="1770" spans="1:30" ht="25.5">
      <c r="A1770" s="291"/>
      <c r="B1770" s="291"/>
      <c r="C1770" s="291"/>
      <c r="D1770" s="83"/>
      <c r="E1770" s="59"/>
      <c r="F1770" s="82"/>
      <c r="G1770" s="82"/>
      <c r="H1770" s="86"/>
      <c r="I1770" s="294"/>
      <c r="J1770" s="59"/>
      <c r="K1770" s="83"/>
      <c r="L1770" s="83" t="str">
        <f t="shared" si="50"/>
        <v xml:space="preserve">
</v>
      </c>
      <c r="M1770" s="83"/>
      <c r="N1770" s="59"/>
      <c r="O1770" s="59"/>
      <c r="P1770" s="86">
        <f t="shared" si="51"/>
        <v>0</v>
      </c>
      <c r="Q1770" s="59"/>
      <c r="R1770" s="59"/>
      <c r="S1770" s="59"/>
      <c r="T1770" s="59"/>
      <c r="U1770" s="290"/>
      <c r="V1770" s="290"/>
      <c r="W1770" s="290"/>
      <c r="X1770" s="290"/>
      <c r="Y1770" s="290"/>
      <c r="Z1770" s="290"/>
      <c r="AA1770" s="290"/>
      <c r="AB1770" s="290"/>
      <c r="AC1770" s="290"/>
      <c r="AD1770" s="290"/>
    </row>
    <row r="1771" spans="1:30" ht="25.5">
      <c r="A1771" s="291"/>
      <c r="B1771" s="291"/>
      <c r="C1771" s="291"/>
      <c r="D1771" s="83"/>
      <c r="E1771" s="59"/>
      <c r="F1771" s="82"/>
      <c r="G1771" s="82"/>
      <c r="H1771" s="86"/>
      <c r="I1771" s="294"/>
      <c r="J1771" s="59"/>
      <c r="K1771" s="83"/>
      <c r="L1771" s="83" t="str">
        <f t="shared" si="50"/>
        <v xml:space="preserve">
</v>
      </c>
      <c r="M1771" s="83"/>
      <c r="N1771" s="59"/>
      <c r="O1771" s="59"/>
      <c r="P1771" s="86">
        <f t="shared" si="51"/>
        <v>0</v>
      </c>
      <c r="Q1771" s="59"/>
      <c r="R1771" s="59"/>
      <c r="S1771" s="59"/>
      <c r="T1771" s="59"/>
      <c r="U1771" s="290"/>
      <c r="V1771" s="290"/>
      <c r="W1771" s="290"/>
      <c r="X1771" s="290"/>
      <c r="Y1771" s="290"/>
      <c r="Z1771" s="290"/>
      <c r="AA1771" s="290"/>
      <c r="AB1771" s="290"/>
      <c r="AC1771" s="290"/>
      <c r="AD1771" s="290"/>
    </row>
    <row r="1772" spans="1:30" ht="25.5">
      <c r="A1772" s="291"/>
      <c r="B1772" s="291"/>
      <c r="C1772" s="291"/>
      <c r="D1772" s="83"/>
      <c r="E1772" s="59"/>
      <c r="F1772" s="82"/>
      <c r="G1772" s="82"/>
      <c r="H1772" s="86"/>
      <c r="I1772" s="294"/>
      <c r="J1772" s="59"/>
      <c r="K1772" s="83"/>
      <c r="L1772" s="83" t="str">
        <f t="shared" si="50"/>
        <v xml:space="preserve">
</v>
      </c>
      <c r="M1772" s="83"/>
      <c r="N1772" s="59"/>
      <c r="O1772" s="59"/>
      <c r="P1772" s="86">
        <f t="shared" si="51"/>
        <v>0</v>
      </c>
      <c r="Q1772" s="59"/>
      <c r="R1772" s="59"/>
      <c r="S1772" s="59"/>
      <c r="T1772" s="59"/>
      <c r="U1772" s="290"/>
      <c r="V1772" s="290"/>
      <c r="W1772" s="290"/>
      <c r="X1772" s="290"/>
      <c r="Y1772" s="290"/>
      <c r="Z1772" s="290"/>
      <c r="AA1772" s="290"/>
      <c r="AB1772" s="290"/>
      <c r="AC1772" s="290"/>
      <c r="AD1772" s="290"/>
    </row>
    <row r="1773" spans="1:30" ht="25.5">
      <c r="A1773" s="291"/>
      <c r="B1773" s="291"/>
      <c r="C1773" s="291"/>
      <c r="D1773" s="83"/>
      <c r="E1773" s="59"/>
      <c r="F1773" s="82"/>
      <c r="G1773" s="82"/>
      <c r="H1773" s="86"/>
      <c r="I1773" s="294"/>
      <c r="J1773" s="59"/>
      <c r="K1773" s="83"/>
      <c r="L1773" s="83" t="str">
        <f t="shared" si="50"/>
        <v xml:space="preserve">
</v>
      </c>
      <c r="M1773" s="83"/>
      <c r="N1773" s="59"/>
      <c r="O1773" s="59"/>
      <c r="P1773" s="86">
        <f t="shared" si="51"/>
        <v>0</v>
      </c>
      <c r="Q1773" s="59"/>
      <c r="R1773" s="59"/>
      <c r="S1773" s="59"/>
      <c r="T1773" s="59"/>
      <c r="U1773" s="290"/>
      <c r="V1773" s="290"/>
      <c r="W1773" s="290"/>
      <c r="X1773" s="290"/>
      <c r="Y1773" s="290"/>
      <c r="Z1773" s="290"/>
      <c r="AA1773" s="290"/>
      <c r="AB1773" s="290"/>
      <c r="AC1773" s="290"/>
      <c r="AD1773" s="290"/>
    </row>
    <row r="1774" spans="1:30" ht="25.5">
      <c r="A1774" s="291"/>
      <c r="B1774" s="291"/>
      <c r="C1774" s="291"/>
      <c r="D1774" s="83"/>
      <c r="E1774" s="59"/>
      <c r="F1774" s="82"/>
      <c r="G1774" s="82"/>
      <c r="H1774" s="86"/>
      <c r="I1774" s="294"/>
      <c r="J1774" s="59"/>
      <c r="K1774" s="83"/>
      <c r="L1774" s="83" t="str">
        <f t="shared" si="50"/>
        <v xml:space="preserve">
</v>
      </c>
      <c r="M1774" s="83"/>
      <c r="N1774" s="59"/>
      <c r="O1774" s="59"/>
      <c r="P1774" s="86">
        <f t="shared" si="51"/>
        <v>0</v>
      </c>
      <c r="Q1774" s="59"/>
      <c r="R1774" s="59"/>
      <c r="S1774" s="59"/>
      <c r="T1774" s="59"/>
      <c r="U1774" s="290"/>
      <c r="V1774" s="290"/>
      <c r="W1774" s="290"/>
      <c r="X1774" s="290"/>
      <c r="Y1774" s="290"/>
      <c r="Z1774" s="290"/>
      <c r="AA1774" s="290"/>
      <c r="AB1774" s="290"/>
      <c r="AC1774" s="290"/>
      <c r="AD1774" s="290"/>
    </row>
    <row r="1775" spans="1:30" ht="25.5">
      <c r="A1775" s="291"/>
      <c r="B1775" s="291"/>
      <c r="C1775" s="291"/>
      <c r="D1775" s="83"/>
      <c r="E1775" s="59"/>
      <c r="F1775" s="82"/>
      <c r="G1775" s="82"/>
      <c r="H1775" s="86"/>
      <c r="I1775" s="294"/>
      <c r="J1775" s="59"/>
      <c r="K1775" s="83"/>
      <c r="L1775" s="83" t="str">
        <f t="shared" si="50"/>
        <v xml:space="preserve">
</v>
      </c>
      <c r="M1775" s="83"/>
      <c r="N1775" s="59"/>
      <c r="O1775" s="59"/>
      <c r="P1775" s="86">
        <f t="shared" si="51"/>
        <v>0</v>
      </c>
      <c r="Q1775" s="59"/>
      <c r="R1775" s="59"/>
      <c r="S1775" s="59"/>
      <c r="T1775" s="59"/>
      <c r="U1775" s="290"/>
      <c r="V1775" s="290"/>
      <c r="W1775" s="290"/>
      <c r="X1775" s="290"/>
      <c r="Y1775" s="290"/>
      <c r="Z1775" s="290"/>
      <c r="AA1775" s="290"/>
      <c r="AB1775" s="290"/>
      <c r="AC1775" s="290"/>
      <c r="AD1775" s="290"/>
    </row>
    <row r="1776" spans="1:30" ht="25.5">
      <c r="A1776" s="291"/>
      <c r="B1776" s="291"/>
      <c r="C1776" s="291"/>
      <c r="D1776" s="83"/>
      <c r="E1776" s="59"/>
      <c r="F1776" s="82"/>
      <c r="G1776" s="82"/>
      <c r="H1776" s="86"/>
      <c r="I1776" s="294"/>
      <c r="J1776" s="59"/>
      <c r="K1776" s="83"/>
      <c r="L1776" s="83" t="str">
        <f t="shared" si="50"/>
        <v xml:space="preserve">
</v>
      </c>
      <c r="M1776" s="83"/>
      <c r="N1776" s="59"/>
      <c r="O1776" s="59"/>
      <c r="P1776" s="86">
        <f t="shared" si="51"/>
        <v>0</v>
      </c>
      <c r="Q1776" s="59"/>
      <c r="R1776" s="59"/>
      <c r="S1776" s="59"/>
      <c r="T1776" s="59"/>
      <c r="U1776" s="290"/>
      <c r="V1776" s="290"/>
      <c r="W1776" s="290"/>
      <c r="X1776" s="290"/>
      <c r="Y1776" s="290"/>
      <c r="Z1776" s="290"/>
      <c r="AA1776" s="290"/>
      <c r="AB1776" s="290"/>
      <c r="AC1776" s="290"/>
      <c r="AD1776" s="290"/>
    </row>
    <row r="1777" spans="1:30" ht="25.5">
      <c r="A1777" s="291"/>
      <c r="B1777" s="291"/>
      <c r="C1777" s="291"/>
      <c r="D1777" s="83"/>
      <c r="E1777" s="59"/>
      <c r="F1777" s="82"/>
      <c r="G1777" s="82"/>
      <c r="H1777" s="86"/>
      <c r="I1777" s="294"/>
      <c r="J1777" s="59"/>
      <c r="K1777" s="83"/>
      <c r="L1777" s="83" t="str">
        <f t="shared" si="50"/>
        <v xml:space="preserve">
</v>
      </c>
      <c r="M1777" s="83"/>
      <c r="N1777" s="59"/>
      <c r="O1777" s="59"/>
      <c r="P1777" s="86">
        <f t="shared" si="51"/>
        <v>0</v>
      </c>
      <c r="Q1777" s="59"/>
      <c r="R1777" s="59"/>
      <c r="S1777" s="59"/>
      <c r="T1777" s="59"/>
      <c r="U1777" s="290"/>
      <c r="V1777" s="290"/>
      <c r="W1777" s="290"/>
      <c r="X1777" s="290"/>
      <c r="Y1777" s="290"/>
      <c r="Z1777" s="290"/>
      <c r="AA1777" s="290"/>
      <c r="AB1777" s="290"/>
      <c r="AC1777" s="290"/>
      <c r="AD1777" s="290"/>
    </row>
    <row r="1778" spans="1:30" ht="25.5">
      <c r="A1778" s="291"/>
      <c r="B1778" s="291"/>
      <c r="C1778" s="291"/>
      <c r="D1778" s="83"/>
      <c r="E1778" s="59"/>
      <c r="F1778" s="82"/>
      <c r="G1778" s="82"/>
      <c r="H1778" s="86"/>
      <c r="I1778" s="294"/>
      <c r="J1778" s="59"/>
      <c r="K1778" s="83"/>
      <c r="L1778" s="83" t="str">
        <f t="shared" si="50"/>
        <v xml:space="preserve">
</v>
      </c>
      <c r="M1778" s="83"/>
      <c r="N1778" s="59"/>
      <c r="O1778" s="59"/>
      <c r="P1778" s="86">
        <f t="shared" si="51"/>
        <v>0</v>
      </c>
      <c r="Q1778" s="59"/>
      <c r="R1778" s="59"/>
      <c r="S1778" s="59"/>
      <c r="T1778" s="59"/>
      <c r="U1778" s="290"/>
      <c r="V1778" s="290"/>
      <c r="W1778" s="290"/>
      <c r="X1778" s="290"/>
      <c r="Y1778" s="290"/>
      <c r="Z1778" s="290"/>
      <c r="AA1778" s="290"/>
      <c r="AB1778" s="290"/>
      <c r="AC1778" s="290"/>
      <c r="AD1778" s="290"/>
    </row>
    <row r="1779" spans="1:30" ht="25.5">
      <c r="A1779" s="291"/>
      <c r="B1779" s="291"/>
      <c r="C1779" s="291"/>
      <c r="D1779" s="83"/>
      <c r="E1779" s="59"/>
      <c r="F1779" s="82"/>
      <c r="G1779" s="82"/>
      <c r="H1779" s="86"/>
      <c r="I1779" s="294"/>
      <c r="J1779" s="59"/>
      <c r="K1779" s="83"/>
      <c r="L1779" s="83" t="str">
        <f t="shared" si="50"/>
        <v xml:space="preserve">
</v>
      </c>
      <c r="M1779" s="83"/>
      <c r="N1779" s="59"/>
      <c r="O1779" s="59"/>
      <c r="P1779" s="86">
        <f t="shared" si="51"/>
        <v>0</v>
      </c>
      <c r="Q1779" s="59"/>
      <c r="R1779" s="59"/>
      <c r="S1779" s="59"/>
      <c r="T1779" s="59"/>
      <c r="U1779" s="290"/>
      <c r="V1779" s="290"/>
      <c r="W1779" s="290"/>
      <c r="X1779" s="290"/>
      <c r="Y1779" s="290"/>
      <c r="Z1779" s="290"/>
      <c r="AA1779" s="290"/>
      <c r="AB1779" s="290"/>
      <c r="AC1779" s="290"/>
      <c r="AD1779" s="290"/>
    </row>
    <row r="1780" spans="1:30" ht="25.5">
      <c r="A1780" s="291"/>
      <c r="B1780" s="291"/>
      <c r="C1780" s="291"/>
      <c r="D1780" s="83"/>
      <c r="E1780" s="59"/>
      <c r="F1780" s="82"/>
      <c r="G1780" s="82"/>
      <c r="H1780" s="86"/>
      <c r="I1780" s="294"/>
      <c r="J1780" s="59"/>
      <c r="K1780" s="83"/>
      <c r="L1780" s="83" t="str">
        <f t="shared" si="50"/>
        <v xml:space="preserve">
</v>
      </c>
      <c r="M1780" s="83"/>
      <c r="N1780" s="59"/>
      <c r="O1780" s="59"/>
      <c r="P1780" s="86">
        <f t="shared" si="51"/>
        <v>0</v>
      </c>
      <c r="Q1780" s="59"/>
      <c r="R1780" s="59"/>
      <c r="S1780" s="59"/>
      <c r="T1780" s="59"/>
      <c r="U1780" s="290"/>
      <c r="V1780" s="290"/>
      <c r="W1780" s="290"/>
      <c r="X1780" s="290"/>
      <c r="Y1780" s="290"/>
      <c r="Z1780" s="290"/>
      <c r="AA1780" s="290"/>
      <c r="AB1780" s="290"/>
      <c r="AC1780" s="290"/>
      <c r="AD1780" s="290"/>
    </row>
    <row r="1781" spans="1:30" ht="25.5">
      <c r="A1781" s="291"/>
      <c r="B1781" s="291"/>
      <c r="C1781" s="291"/>
      <c r="D1781" s="83"/>
      <c r="E1781" s="59"/>
      <c r="F1781" s="82"/>
      <c r="G1781" s="82"/>
      <c r="H1781" s="86"/>
      <c r="I1781" s="294"/>
      <c r="J1781" s="59"/>
      <c r="K1781" s="83"/>
      <c r="L1781" s="83" t="str">
        <f t="shared" si="50"/>
        <v xml:space="preserve">
</v>
      </c>
      <c r="M1781" s="83"/>
      <c r="N1781" s="59"/>
      <c r="O1781" s="59"/>
      <c r="P1781" s="86">
        <f t="shared" si="51"/>
        <v>0</v>
      </c>
      <c r="Q1781" s="59"/>
      <c r="R1781" s="59"/>
      <c r="S1781" s="59"/>
      <c r="T1781" s="59"/>
      <c r="U1781" s="290"/>
      <c r="V1781" s="290"/>
      <c r="W1781" s="290"/>
      <c r="X1781" s="290"/>
      <c r="Y1781" s="290"/>
      <c r="Z1781" s="290"/>
      <c r="AA1781" s="290"/>
      <c r="AB1781" s="290"/>
      <c r="AC1781" s="290"/>
      <c r="AD1781" s="290"/>
    </row>
    <row r="1782" spans="1:30" ht="25.5">
      <c r="A1782" s="291"/>
      <c r="B1782" s="291"/>
      <c r="C1782" s="291"/>
      <c r="D1782" s="83"/>
      <c r="E1782" s="59"/>
      <c r="F1782" s="82"/>
      <c r="G1782" s="82"/>
      <c r="H1782" s="86"/>
      <c r="I1782" s="294"/>
      <c r="J1782" s="59"/>
      <c r="K1782" s="83"/>
      <c r="L1782" s="83" t="str">
        <f t="shared" si="50"/>
        <v xml:space="preserve">
</v>
      </c>
      <c r="M1782" s="83"/>
      <c r="N1782" s="59"/>
      <c r="O1782" s="59"/>
      <c r="P1782" s="86">
        <f t="shared" si="51"/>
        <v>0</v>
      </c>
      <c r="Q1782" s="59"/>
      <c r="R1782" s="59"/>
      <c r="S1782" s="59"/>
      <c r="T1782" s="59"/>
      <c r="U1782" s="290"/>
      <c r="V1782" s="290"/>
      <c r="W1782" s="290"/>
      <c r="X1782" s="290"/>
      <c r="Y1782" s="290"/>
      <c r="Z1782" s="290"/>
      <c r="AA1782" s="290"/>
      <c r="AB1782" s="290"/>
      <c r="AC1782" s="290"/>
      <c r="AD1782" s="290"/>
    </row>
    <row r="1783" spans="1:30" ht="25.5">
      <c r="A1783" s="291"/>
      <c r="B1783" s="291"/>
      <c r="C1783" s="291"/>
      <c r="D1783" s="83"/>
      <c r="E1783" s="59"/>
      <c r="F1783" s="82"/>
      <c r="G1783" s="82"/>
      <c r="H1783" s="86"/>
      <c r="I1783" s="294"/>
      <c r="J1783" s="59"/>
      <c r="K1783" s="83"/>
      <c r="L1783" s="83" t="str">
        <f t="shared" si="50"/>
        <v xml:space="preserve">
</v>
      </c>
      <c r="M1783" s="83"/>
      <c r="N1783" s="59"/>
      <c r="O1783" s="59"/>
      <c r="P1783" s="86">
        <f t="shared" si="51"/>
        <v>0</v>
      </c>
      <c r="Q1783" s="59"/>
      <c r="R1783" s="59"/>
      <c r="S1783" s="59"/>
      <c r="T1783" s="59"/>
      <c r="U1783" s="290"/>
      <c r="V1783" s="290"/>
      <c r="W1783" s="290"/>
      <c r="X1783" s="290"/>
      <c r="Y1783" s="290"/>
      <c r="Z1783" s="290"/>
      <c r="AA1783" s="290"/>
      <c r="AB1783" s="290"/>
      <c r="AC1783" s="290"/>
      <c r="AD1783" s="290"/>
    </row>
    <row r="1784" spans="1:30" ht="25.5">
      <c r="A1784" s="291"/>
      <c r="B1784" s="291"/>
      <c r="C1784" s="291"/>
      <c r="D1784" s="83"/>
      <c r="E1784" s="59"/>
      <c r="F1784" s="82"/>
      <c r="G1784" s="82"/>
      <c r="H1784" s="86"/>
      <c r="I1784" s="294"/>
      <c r="J1784" s="59"/>
      <c r="K1784" s="83"/>
      <c r="L1784" s="83" t="str">
        <f t="shared" si="50"/>
        <v xml:space="preserve">
</v>
      </c>
      <c r="M1784" s="83"/>
      <c r="N1784" s="59"/>
      <c r="O1784" s="59"/>
      <c r="P1784" s="86">
        <f t="shared" si="51"/>
        <v>0</v>
      </c>
      <c r="Q1784" s="59"/>
      <c r="R1784" s="59"/>
      <c r="S1784" s="59"/>
      <c r="T1784" s="59"/>
      <c r="U1784" s="290"/>
      <c r="V1784" s="290"/>
      <c r="W1784" s="290"/>
      <c r="X1784" s="290"/>
      <c r="Y1784" s="290"/>
      <c r="Z1784" s="290"/>
      <c r="AA1784" s="290"/>
      <c r="AB1784" s="290"/>
      <c r="AC1784" s="290"/>
      <c r="AD1784" s="290"/>
    </row>
    <row r="1785" spans="1:30" ht="25.5">
      <c r="A1785" s="291"/>
      <c r="B1785" s="291"/>
      <c r="C1785" s="291"/>
      <c r="D1785" s="83"/>
      <c r="E1785" s="59"/>
      <c r="F1785" s="82"/>
      <c r="G1785" s="82"/>
      <c r="H1785" s="86"/>
      <c r="I1785" s="294"/>
      <c r="J1785" s="59"/>
      <c r="K1785" s="83"/>
      <c r="L1785" s="83" t="str">
        <f t="shared" si="50"/>
        <v xml:space="preserve">
</v>
      </c>
      <c r="M1785" s="83"/>
      <c r="N1785" s="59"/>
      <c r="O1785" s="59"/>
      <c r="P1785" s="86">
        <f t="shared" si="51"/>
        <v>0</v>
      </c>
      <c r="Q1785" s="59"/>
      <c r="R1785" s="59"/>
      <c r="S1785" s="59"/>
      <c r="T1785" s="59"/>
      <c r="U1785" s="290"/>
      <c r="V1785" s="290"/>
      <c r="W1785" s="290"/>
      <c r="X1785" s="290"/>
      <c r="Y1785" s="290"/>
      <c r="Z1785" s="290"/>
      <c r="AA1785" s="290"/>
      <c r="AB1785" s="290"/>
      <c r="AC1785" s="290"/>
      <c r="AD1785" s="290"/>
    </row>
    <row r="1786" spans="1:30" ht="25.5">
      <c r="A1786" s="291"/>
      <c r="B1786" s="291"/>
      <c r="C1786" s="291"/>
      <c r="D1786" s="83"/>
      <c r="E1786" s="59"/>
      <c r="F1786" s="82"/>
      <c r="G1786" s="82"/>
      <c r="H1786" s="86"/>
      <c r="I1786" s="294"/>
      <c r="J1786" s="59"/>
      <c r="K1786" s="83"/>
      <c r="L1786" s="83" t="str">
        <f t="shared" si="50"/>
        <v xml:space="preserve">
</v>
      </c>
      <c r="M1786" s="83"/>
      <c r="N1786" s="59"/>
      <c r="O1786" s="59"/>
      <c r="P1786" s="86">
        <f t="shared" si="51"/>
        <v>0</v>
      </c>
      <c r="Q1786" s="59"/>
      <c r="R1786" s="59"/>
      <c r="S1786" s="59"/>
      <c r="T1786" s="59"/>
      <c r="U1786" s="290"/>
      <c r="V1786" s="290"/>
      <c r="W1786" s="290"/>
      <c r="X1786" s="290"/>
      <c r="Y1786" s="290"/>
      <c r="Z1786" s="290"/>
      <c r="AA1786" s="290"/>
      <c r="AB1786" s="290"/>
      <c r="AC1786" s="290"/>
      <c r="AD1786" s="290"/>
    </row>
    <row r="1787" spans="1:30" ht="25.5">
      <c r="A1787" s="291"/>
      <c r="B1787" s="291"/>
      <c r="C1787" s="291"/>
      <c r="D1787" s="83"/>
      <c r="E1787" s="59"/>
      <c r="F1787" s="82"/>
      <c r="G1787" s="82"/>
      <c r="H1787" s="86"/>
      <c r="I1787" s="294"/>
      <c r="J1787" s="59"/>
      <c r="K1787" s="83"/>
      <c r="L1787" s="83" t="str">
        <f t="shared" ref="L1787:L1997" si="52">D1787&amp;"
"&amp;K1787</f>
        <v xml:space="preserve">
</v>
      </c>
      <c r="M1787" s="83"/>
      <c r="N1787" s="59"/>
      <c r="O1787" s="59"/>
      <c r="P1787" s="86">
        <f t="shared" ref="P1787:P1997" si="53">I1787*O1787</f>
        <v>0</v>
      </c>
      <c r="Q1787" s="59"/>
      <c r="R1787" s="59"/>
      <c r="S1787" s="59"/>
      <c r="T1787" s="59"/>
      <c r="U1787" s="290"/>
      <c r="V1787" s="290"/>
      <c r="W1787" s="290"/>
      <c r="X1787" s="290"/>
      <c r="Y1787" s="290"/>
      <c r="Z1787" s="290"/>
      <c r="AA1787" s="290"/>
      <c r="AB1787" s="290"/>
      <c r="AC1787" s="290"/>
      <c r="AD1787" s="290"/>
    </row>
    <row r="1788" spans="1:30" ht="25.5">
      <c r="A1788" s="291"/>
      <c r="B1788" s="291"/>
      <c r="C1788" s="291"/>
      <c r="D1788" s="83"/>
      <c r="E1788" s="59"/>
      <c r="F1788" s="82"/>
      <c r="G1788" s="82"/>
      <c r="H1788" s="86"/>
      <c r="I1788" s="294"/>
      <c r="J1788" s="59"/>
      <c r="K1788" s="83"/>
      <c r="L1788" s="83" t="str">
        <f t="shared" si="52"/>
        <v xml:space="preserve">
</v>
      </c>
      <c r="M1788" s="83"/>
      <c r="N1788" s="59"/>
      <c r="O1788" s="59"/>
      <c r="P1788" s="86">
        <f t="shared" si="53"/>
        <v>0</v>
      </c>
      <c r="Q1788" s="59"/>
      <c r="R1788" s="59"/>
      <c r="S1788" s="59"/>
      <c r="T1788" s="59"/>
      <c r="U1788" s="290"/>
      <c r="V1788" s="290"/>
      <c r="W1788" s="290"/>
      <c r="X1788" s="290"/>
      <c r="Y1788" s="290"/>
      <c r="Z1788" s="290"/>
      <c r="AA1788" s="290"/>
      <c r="AB1788" s="290"/>
      <c r="AC1788" s="290"/>
      <c r="AD1788" s="290"/>
    </row>
    <row r="1789" spans="1:30" ht="25.5">
      <c r="A1789" s="291"/>
      <c r="B1789" s="291"/>
      <c r="C1789" s="291"/>
      <c r="D1789" s="83"/>
      <c r="E1789" s="59"/>
      <c r="F1789" s="82"/>
      <c r="G1789" s="82"/>
      <c r="H1789" s="86"/>
      <c r="I1789" s="294"/>
      <c r="J1789" s="59"/>
      <c r="K1789" s="83"/>
      <c r="L1789" s="83" t="str">
        <f t="shared" si="52"/>
        <v xml:space="preserve">
</v>
      </c>
      <c r="M1789" s="83"/>
      <c r="N1789" s="59"/>
      <c r="O1789" s="59"/>
      <c r="P1789" s="86">
        <f t="shared" si="53"/>
        <v>0</v>
      </c>
      <c r="Q1789" s="59"/>
      <c r="R1789" s="59"/>
      <c r="S1789" s="59"/>
      <c r="T1789" s="59"/>
      <c r="U1789" s="290"/>
      <c r="V1789" s="290"/>
      <c r="W1789" s="290"/>
      <c r="X1789" s="290"/>
      <c r="Y1789" s="290"/>
      <c r="Z1789" s="290"/>
      <c r="AA1789" s="290"/>
      <c r="AB1789" s="290"/>
      <c r="AC1789" s="290"/>
      <c r="AD1789" s="290"/>
    </row>
    <row r="1790" spans="1:30" ht="25.5">
      <c r="A1790" s="291"/>
      <c r="B1790" s="291"/>
      <c r="C1790" s="291"/>
      <c r="D1790" s="83"/>
      <c r="E1790" s="59"/>
      <c r="F1790" s="82"/>
      <c r="G1790" s="82"/>
      <c r="H1790" s="86"/>
      <c r="I1790" s="294"/>
      <c r="J1790" s="59"/>
      <c r="K1790" s="83"/>
      <c r="L1790" s="83" t="str">
        <f t="shared" si="52"/>
        <v xml:space="preserve">
</v>
      </c>
      <c r="M1790" s="83"/>
      <c r="N1790" s="59"/>
      <c r="O1790" s="59"/>
      <c r="P1790" s="86">
        <f t="shared" si="53"/>
        <v>0</v>
      </c>
      <c r="Q1790" s="59"/>
      <c r="R1790" s="59"/>
      <c r="S1790" s="59"/>
      <c r="T1790" s="59"/>
      <c r="U1790" s="290"/>
      <c r="V1790" s="290"/>
      <c r="W1790" s="290"/>
      <c r="X1790" s="290"/>
      <c r="Y1790" s="290"/>
      <c r="Z1790" s="290"/>
      <c r="AA1790" s="290"/>
      <c r="AB1790" s="290"/>
      <c r="AC1790" s="290"/>
      <c r="AD1790" s="290"/>
    </row>
    <row r="1791" spans="1:30" ht="25.5">
      <c r="A1791" s="291"/>
      <c r="B1791" s="291"/>
      <c r="C1791" s="291"/>
      <c r="D1791" s="83"/>
      <c r="E1791" s="59"/>
      <c r="F1791" s="82"/>
      <c r="G1791" s="82"/>
      <c r="H1791" s="86"/>
      <c r="I1791" s="294"/>
      <c r="J1791" s="59"/>
      <c r="K1791" s="83"/>
      <c r="L1791" s="83" t="str">
        <f t="shared" si="52"/>
        <v xml:space="preserve">
</v>
      </c>
      <c r="M1791" s="83"/>
      <c r="N1791" s="59"/>
      <c r="O1791" s="59"/>
      <c r="P1791" s="86">
        <f t="shared" si="53"/>
        <v>0</v>
      </c>
      <c r="Q1791" s="59"/>
      <c r="R1791" s="59"/>
      <c r="S1791" s="59"/>
      <c r="T1791" s="59"/>
      <c r="U1791" s="290"/>
      <c r="V1791" s="290"/>
      <c r="W1791" s="290"/>
      <c r="X1791" s="290"/>
      <c r="Y1791" s="290"/>
      <c r="Z1791" s="290"/>
      <c r="AA1791" s="290"/>
      <c r="AB1791" s="290"/>
      <c r="AC1791" s="290"/>
      <c r="AD1791" s="290"/>
    </row>
    <row r="1792" spans="1:30" ht="25.5">
      <c r="A1792" s="291"/>
      <c r="B1792" s="291"/>
      <c r="C1792" s="291"/>
      <c r="D1792" s="83"/>
      <c r="E1792" s="59"/>
      <c r="F1792" s="82"/>
      <c r="G1792" s="82"/>
      <c r="H1792" s="86"/>
      <c r="I1792" s="294"/>
      <c r="J1792" s="59"/>
      <c r="K1792" s="83"/>
      <c r="L1792" s="83" t="str">
        <f t="shared" si="52"/>
        <v xml:space="preserve">
</v>
      </c>
      <c r="M1792" s="83"/>
      <c r="N1792" s="59"/>
      <c r="O1792" s="59"/>
      <c r="P1792" s="86">
        <f t="shared" si="53"/>
        <v>0</v>
      </c>
      <c r="Q1792" s="59"/>
      <c r="R1792" s="59"/>
      <c r="S1792" s="59"/>
      <c r="T1792" s="59"/>
      <c r="U1792" s="290"/>
      <c r="V1792" s="290"/>
      <c r="W1792" s="290"/>
      <c r="X1792" s="290"/>
      <c r="Y1792" s="290"/>
      <c r="Z1792" s="290"/>
      <c r="AA1792" s="290"/>
      <c r="AB1792" s="290"/>
      <c r="AC1792" s="290"/>
      <c r="AD1792" s="290"/>
    </row>
    <row r="1793" spans="1:30" ht="25.5">
      <c r="A1793" s="291"/>
      <c r="B1793" s="291"/>
      <c r="C1793" s="291"/>
      <c r="D1793" s="83"/>
      <c r="E1793" s="59"/>
      <c r="F1793" s="82"/>
      <c r="G1793" s="82"/>
      <c r="H1793" s="86"/>
      <c r="I1793" s="294"/>
      <c r="J1793" s="59"/>
      <c r="K1793" s="83"/>
      <c r="L1793" s="83" t="str">
        <f t="shared" si="52"/>
        <v xml:space="preserve">
</v>
      </c>
      <c r="M1793" s="83"/>
      <c r="N1793" s="59"/>
      <c r="O1793" s="59"/>
      <c r="P1793" s="86">
        <f t="shared" si="53"/>
        <v>0</v>
      </c>
      <c r="Q1793" s="59"/>
      <c r="R1793" s="59"/>
      <c r="S1793" s="59"/>
      <c r="T1793" s="59"/>
      <c r="U1793" s="290"/>
      <c r="V1793" s="290"/>
      <c r="W1793" s="290"/>
      <c r="X1793" s="290"/>
      <c r="Y1793" s="290"/>
      <c r="Z1793" s="290"/>
      <c r="AA1793" s="290"/>
      <c r="AB1793" s="290"/>
      <c r="AC1793" s="290"/>
      <c r="AD1793" s="290"/>
    </row>
    <row r="1794" spans="1:30" ht="25.5">
      <c r="A1794" s="291"/>
      <c r="B1794" s="291"/>
      <c r="C1794" s="291"/>
      <c r="D1794" s="83"/>
      <c r="E1794" s="59"/>
      <c r="F1794" s="82"/>
      <c r="G1794" s="82"/>
      <c r="H1794" s="86"/>
      <c r="I1794" s="294"/>
      <c r="J1794" s="59"/>
      <c r="K1794" s="83"/>
      <c r="L1794" s="83" t="str">
        <f t="shared" si="52"/>
        <v xml:space="preserve">
</v>
      </c>
      <c r="M1794" s="83"/>
      <c r="N1794" s="59"/>
      <c r="O1794" s="59"/>
      <c r="P1794" s="86">
        <f t="shared" si="53"/>
        <v>0</v>
      </c>
      <c r="Q1794" s="59"/>
      <c r="R1794" s="59"/>
      <c r="S1794" s="59"/>
      <c r="T1794" s="59"/>
      <c r="U1794" s="290"/>
      <c r="V1794" s="290"/>
      <c r="W1794" s="290"/>
      <c r="X1794" s="290"/>
      <c r="Y1794" s="290"/>
      <c r="Z1794" s="290"/>
      <c r="AA1794" s="290"/>
      <c r="AB1794" s="290"/>
      <c r="AC1794" s="290"/>
      <c r="AD1794" s="290"/>
    </row>
    <row r="1795" spans="1:30" ht="25.5">
      <c r="A1795" s="291"/>
      <c r="B1795" s="291"/>
      <c r="C1795" s="291"/>
      <c r="D1795" s="83"/>
      <c r="E1795" s="59"/>
      <c r="F1795" s="82"/>
      <c r="G1795" s="82"/>
      <c r="H1795" s="86"/>
      <c r="I1795" s="294"/>
      <c r="J1795" s="59"/>
      <c r="K1795" s="83"/>
      <c r="L1795" s="83" t="str">
        <f t="shared" si="52"/>
        <v xml:space="preserve">
</v>
      </c>
      <c r="M1795" s="83"/>
      <c r="N1795" s="59"/>
      <c r="O1795" s="59"/>
      <c r="P1795" s="86">
        <f t="shared" si="53"/>
        <v>0</v>
      </c>
      <c r="Q1795" s="59"/>
      <c r="R1795" s="59"/>
      <c r="S1795" s="59"/>
      <c r="T1795" s="59"/>
      <c r="U1795" s="290"/>
      <c r="V1795" s="290"/>
      <c r="W1795" s="290"/>
      <c r="X1795" s="290"/>
      <c r="Y1795" s="290"/>
      <c r="Z1795" s="290"/>
      <c r="AA1795" s="290"/>
      <c r="AB1795" s="290"/>
      <c r="AC1795" s="290"/>
      <c r="AD1795" s="290"/>
    </row>
    <row r="1796" spans="1:30" ht="25.5">
      <c r="A1796" s="291"/>
      <c r="B1796" s="291"/>
      <c r="C1796" s="291"/>
      <c r="D1796" s="83"/>
      <c r="E1796" s="59"/>
      <c r="F1796" s="82"/>
      <c r="G1796" s="82"/>
      <c r="H1796" s="86"/>
      <c r="I1796" s="294"/>
      <c r="J1796" s="59"/>
      <c r="K1796" s="83"/>
      <c r="L1796" s="83" t="str">
        <f t="shared" si="52"/>
        <v xml:space="preserve">
</v>
      </c>
      <c r="M1796" s="83"/>
      <c r="N1796" s="59"/>
      <c r="O1796" s="59"/>
      <c r="P1796" s="86">
        <f t="shared" si="53"/>
        <v>0</v>
      </c>
      <c r="Q1796" s="59"/>
      <c r="R1796" s="59"/>
      <c r="S1796" s="59"/>
      <c r="T1796" s="59"/>
      <c r="U1796" s="290"/>
      <c r="V1796" s="290"/>
      <c r="W1796" s="290"/>
      <c r="X1796" s="290"/>
      <c r="Y1796" s="290"/>
      <c r="Z1796" s="290"/>
      <c r="AA1796" s="290"/>
      <c r="AB1796" s="290"/>
      <c r="AC1796" s="290"/>
      <c r="AD1796" s="290"/>
    </row>
    <row r="1797" spans="1:30" ht="25.5">
      <c r="A1797" s="291"/>
      <c r="B1797" s="291"/>
      <c r="C1797" s="291"/>
      <c r="D1797" s="83"/>
      <c r="E1797" s="59"/>
      <c r="F1797" s="82"/>
      <c r="G1797" s="82"/>
      <c r="H1797" s="86"/>
      <c r="I1797" s="294"/>
      <c r="J1797" s="59"/>
      <c r="K1797" s="83"/>
      <c r="L1797" s="83" t="str">
        <f t="shared" si="52"/>
        <v xml:space="preserve">
</v>
      </c>
      <c r="M1797" s="83"/>
      <c r="N1797" s="59"/>
      <c r="O1797" s="59"/>
      <c r="P1797" s="86">
        <f t="shared" si="53"/>
        <v>0</v>
      </c>
      <c r="Q1797" s="59"/>
      <c r="R1797" s="59"/>
      <c r="S1797" s="59"/>
      <c r="T1797" s="59"/>
      <c r="U1797" s="290"/>
      <c r="V1797" s="290"/>
      <c r="W1797" s="290"/>
      <c r="X1797" s="290"/>
      <c r="Y1797" s="290"/>
      <c r="Z1797" s="290"/>
      <c r="AA1797" s="290"/>
      <c r="AB1797" s="290"/>
      <c r="AC1797" s="290"/>
      <c r="AD1797" s="290"/>
    </row>
    <row r="1798" spans="1:30" ht="25.5">
      <c r="A1798" s="291"/>
      <c r="B1798" s="291"/>
      <c r="C1798" s="291"/>
      <c r="D1798" s="83"/>
      <c r="E1798" s="59"/>
      <c r="F1798" s="82"/>
      <c r="G1798" s="82"/>
      <c r="H1798" s="86"/>
      <c r="I1798" s="294"/>
      <c r="J1798" s="59"/>
      <c r="K1798" s="83"/>
      <c r="L1798" s="83" t="str">
        <f t="shared" si="52"/>
        <v xml:space="preserve">
</v>
      </c>
      <c r="M1798" s="83"/>
      <c r="N1798" s="59"/>
      <c r="O1798" s="59"/>
      <c r="P1798" s="86">
        <f t="shared" si="53"/>
        <v>0</v>
      </c>
      <c r="Q1798" s="59"/>
      <c r="R1798" s="59"/>
      <c r="S1798" s="59"/>
      <c r="T1798" s="59"/>
      <c r="U1798" s="290"/>
      <c r="V1798" s="290"/>
      <c r="W1798" s="290"/>
      <c r="X1798" s="290"/>
      <c r="Y1798" s="290"/>
      <c r="Z1798" s="290"/>
      <c r="AA1798" s="290"/>
      <c r="AB1798" s="290"/>
      <c r="AC1798" s="290"/>
      <c r="AD1798" s="290"/>
    </row>
    <row r="1799" spans="1:30" ht="25.5">
      <c r="A1799" s="291"/>
      <c r="B1799" s="291"/>
      <c r="C1799" s="291"/>
      <c r="D1799" s="83"/>
      <c r="E1799" s="59"/>
      <c r="F1799" s="82"/>
      <c r="G1799" s="82"/>
      <c r="H1799" s="86"/>
      <c r="I1799" s="294"/>
      <c r="J1799" s="59"/>
      <c r="K1799" s="83"/>
      <c r="L1799" s="83" t="str">
        <f t="shared" si="52"/>
        <v xml:space="preserve">
</v>
      </c>
      <c r="M1799" s="83"/>
      <c r="N1799" s="59"/>
      <c r="O1799" s="59"/>
      <c r="P1799" s="86">
        <f t="shared" si="53"/>
        <v>0</v>
      </c>
      <c r="Q1799" s="59"/>
      <c r="R1799" s="59"/>
      <c r="S1799" s="59"/>
      <c r="T1799" s="59"/>
      <c r="U1799" s="290"/>
      <c r="V1799" s="290"/>
      <c r="W1799" s="290"/>
      <c r="X1799" s="290"/>
      <c r="Y1799" s="290"/>
      <c r="Z1799" s="290"/>
      <c r="AA1799" s="290"/>
      <c r="AB1799" s="290"/>
      <c r="AC1799" s="290"/>
      <c r="AD1799" s="290"/>
    </row>
    <row r="1800" spans="1:30" ht="25.5">
      <c r="A1800" s="291"/>
      <c r="B1800" s="291"/>
      <c r="C1800" s="291"/>
      <c r="D1800" s="83"/>
      <c r="E1800" s="59"/>
      <c r="F1800" s="82"/>
      <c r="G1800" s="82"/>
      <c r="H1800" s="86"/>
      <c r="I1800" s="294"/>
      <c r="J1800" s="59"/>
      <c r="K1800" s="83"/>
      <c r="L1800" s="83" t="str">
        <f t="shared" si="52"/>
        <v xml:space="preserve">
</v>
      </c>
      <c r="M1800" s="83"/>
      <c r="N1800" s="59"/>
      <c r="O1800" s="59"/>
      <c r="P1800" s="86">
        <f t="shared" si="53"/>
        <v>0</v>
      </c>
      <c r="Q1800" s="59"/>
      <c r="R1800" s="59"/>
      <c r="S1800" s="59"/>
      <c r="T1800" s="59"/>
      <c r="U1800" s="290"/>
      <c r="V1800" s="290"/>
      <c r="W1800" s="290"/>
      <c r="X1800" s="290"/>
      <c r="Y1800" s="290"/>
      <c r="Z1800" s="290"/>
      <c r="AA1800" s="290"/>
      <c r="AB1800" s="290"/>
      <c r="AC1800" s="290"/>
      <c r="AD1800" s="290"/>
    </row>
    <row r="1801" spans="1:30" ht="25.5">
      <c r="A1801" s="291"/>
      <c r="B1801" s="291"/>
      <c r="C1801" s="291"/>
      <c r="D1801" s="83"/>
      <c r="E1801" s="59"/>
      <c r="F1801" s="82"/>
      <c r="G1801" s="82"/>
      <c r="H1801" s="86"/>
      <c r="I1801" s="294"/>
      <c r="J1801" s="59"/>
      <c r="K1801" s="83"/>
      <c r="L1801" s="83" t="str">
        <f t="shared" si="52"/>
        <v xml:space="preserve">
</v>
      </c>
      <c r="M1801" s="83"/>
      <c r="N1801" s="59"/>
      <c r="O1801" s="59"/>
      <c r="P1801" s="86">
        <f t="shared" si="53"/>
        <v>0</v>
      </c>
      <c r="Q1801" s="59"/>
      <c r="R1801" s="59"/>
      <c r="S1801" s="59"/>
      <c r="T1801" s="59"/>
      <c r="U1801" s="290"/>
      <c r="V1801" s="290"/>
      <c r="W1801" s="290"/>
      <c r="X1801" s="290"/>
      <c r="Y1801" s="290"/>
      <c r="Z1801" s="290"/>
      <c r="AA1801" s="290"/>
      <c r="AB1801" s="290"/>
      <c r="AC1801" s="290"/>
      <c r="AD1801" s="290"/>
    </row>
    <row r="1802" spans="1:30" ht="25.5">
      <c r="A1802" s="291"/>
      <c r="B1802" s="291"/>
      <c r="C1802" s="291"/>
      <c r="D1802" s="83"/>
      <c r="E1802" s="59"/>
      <c r="F1802" s="82"/>
      <c r="G1802" s="82"/>
      <c r="H1802" s="86"/>
      <c r="I1802" s="294"/>
      <c r="J1802" s="59"/>
      <c r="K1802" s="83"/>
      <c r="L1802" s="83" t="str">
        <f t="shared" si="52"/>
        <v xml:space="preserve">
</v>
      </c>
      <c r="M1802" s="83"/>
      <c r="N1802" s="59"/>
      <c r="O1802" s="59"/>
      <c r="P1802" s="86">
        <f t="shared" si="53"/>
        <v>0</v>
      </c>
      <c r="Q1802" s="59"/>
      <c r="R1802" s="59"/>
      <c r="S1802" s="59"/>
      <c r="T1802" s="59"/>
      <c r="U1802" s="290"/>
      <c r="V1802" s="290"/>
      <c r="W1802" s="290"/>
      <c r="X1802" s="290"/>
      <c r="Y1802" s="290"/>
      <c r="Z1802" s="290"/>
      <c r="AA1802" s="290"/>
      <c r="AB1802" s="290"/>
      <c r="AC1802" s="290"/>
      <c r="AD1802" s="290"/>
    </row>
    <row r="1803" spans="1:30" ht="25.5">
      <c r="A1803" s="291"/>
      <c r="B1803" s="291"/>
      <c r="C1803" s="291"/>
      <c r="D1803" s="83"/>
      <c r="E1803" s="59"/>
      <c r="F1803" s="82"/>
      <c r="G1803" s="82"/>
      <c r="H1803" s="86"/>
      <c r="I1803" s="294"/>
      <c r="J1803" s="59"/>
      <c r="K1803" s="83"/>
      <c r="L1803" s="83" t="str">
        <f t="shared" si="52"/>
        <v xml:space="preserve">
</v>
      </c>
      <c r="M1803" s="83"/>
      <c r="N1803" s="59"/>
      <c r="O1803" s="59"/>
      <c r="P1803" s="86">
        <f t="shared" si="53"/>
        <v>0</v>
      </c>
      <c r="Q1803" s="59"/>
      <c r="R1803" s="59"/>
      <c r="S1803" s="59"/>
      <c r="T1803" s="59"/>
      <c r="U1803" s="290"/>
      <c r="V1803" s="290"/>
      <c r="W1803" s="290"/>
      <c r="X1803" s="290"/>
      <c r="Y1803" s="290"/>
      <c r="Z1803" s="290"/>
      <c r="AA1803" s="290"/>
      <c r="AB1803" s="290"/>
      <c r="AC1803" s="290"/>
      <c r="AD1803" s="290"/>
    </row>
    <row r="1804" spans="1:30" ht="25.5">
      <c r="A1804" s="291"/>
      <c r="B1804" s="291"/>
      <c r="C1804" s="291"/>
      <c r="D1804" s="83"/>
      <c r="E1804" s="59"/>
      <c r="F1804" s="82"/>
      <c r="G1804" s="82"/>
      <c r="H1804" s="86"/>
      <c r="I1804" s="294"/>
      <c r="J1804" s="59"/>
      <c r="K1804" s="83"/>
      <c r="L1804" s="83" t="str">
        <f t="shared" si="52"/>
        <v xml:space="preserve">
</v>
      </c>
      <c r="M1804" s="83"/>
      <c r="N1804" s="59"/>
      <c r="O1804" s="59"/>
      <c r="P1804" s="86">
        <f t="shared" si="53"/>
        <v>0</v>
      </c>
      <c r="Q1804" s="59"/>
      <c r="R1804" s="59"/>
      <c r="S1804" s="59"/>
      <c r="T1804" s="59"/>
      <c r="U1804" s="290"/>
      <c r="V1804" s="290"/>
      <c r="W1804" s="290"/>
      <c r="X1804" s="290"/>
      <c r="Y1804" s="290"/>
      <c r="Z1804" s="290"/>
      <c r="AA1804" s="290"/>
      <c r="AB1804" s="290"/>
      <c r="AC1804" s="290"/>
      <c r="AD1804" s="290"/>
    </row>
    <row r="1805" spans="1:30" ht="25.5">
      <c r="A1805" s="291"/>
      <c r="B1805" s="291"/>
      <c r="C1805" s="291"/>
      <c r="D1805" s="83"/>
      <c r="E1805" s="59"/>
      <c r="F1805" s="82"/>
      <c r="G1805" s="82"/>
      <c r="H1805" s="86"/>
      <c r="I1805" s="294"/>
      <c r="J1805" s="59"/>
      <c r="K1805" s="83"/>
      <c r="L1805" s="83" t="str">
        <f t="shared" si="52"/>
        <v xml:space="preserve">
</v>
      </c>
      <c r="M1805" s="83"/>
      <c r="N1805" s="59"/>
      <c r="O1805" s="59"/>
      <c r="P1805" s="86">
        <f t="shared" si="53"/>
        <v>0</v>
      </c>
      <c r="Q1805" s="59"/>
      <c r="R1805" s="59"/>
      <c r="S1805" s="59"/>
      <c r="T1805" s="59"/>
      <c r="U1805" s="290"/>
      <c r="V1805" s="290"/>
      <c r="W1805" s="290"/>
      <c r="X1805" s="290"/>
      <c r="Y1805" s="290"/>
      <c r="Z1805" s="290"/>
      <c r="AA1805" s="290"/>
      <c r="AB1805" s="290"/>
      <c r="AC1805" s="290"/>
      <c r="AD1805" s="290"/>
    </row>
    <row r="1806" spans="1:30" ht="25.5">
      <c r="A1806" s="291"/>
      <c r="B1806" s="291"/>
      <c r="C1806" s="291"/>
      <c r="D1806" s="83"/>
      <c r="E1806" s="59"/>
      <c r="F1806" s="82"/>
      <c r="G1806" s="82"/>
      <c r="H1806" s="86"/>
      <c r="I1806" s="294"/>
      <c r="J1806" s="59"/>
      <c r="K1806" s="83"/>
      <c r="L1806" s="83" t="str">
        <f t="shared" si="52"/>
        <v xml:space="preserve">
</v>
      </c>
      <c r="M1806" s="83"/>
      <c r="N1806" s="59"/>
      <c r="O1806" s="59"/>
      <c r="P1806" s="86">
        <f t="shared" si="53"/>
        <v>0</v>
      </c>
      <c r="Q1806" s="59"/>
      <c r="R1806" s="59"/>
      <c r="S1806" s="59"/>
      <c r="T1806" s="59"/>
      <c r="U1806" s="290"/>
      <c r="V1806" s="290"/>
      <c r="W1806" s="290"/>
      <c r="X1806" s="290"/>
      <c r="Y1806" s="290"/>
      <c r="Z1806" s="290"/>
      <c r="AA1806" s="290"/>
      <c r="AB1806" s="290"/>
      <c r="AC1806" s="290"/>
      <c r="AD1806" s="290"/>
    </row>
    <row r="1807" spans="1:30" ht="25.5">
      <c r="A1807" s="291"/>
      <c r="B1807" s="291"/>
      <c r="C1807" s="291"/>
      <c r="D1807" s="83"/>
      <c r="E1807" s="59"/>
      <c r="F1807" s="82"/>
      <c r="G1807" s="82"/>
      <c r="H1807" s="86"/>
      <c r="I1807" s="294"/>
      <c r="J1807" s="59"/>
      <c r="K1807" s="83"/>
      <c r="L1807" s="83" t="str">
        <f t="shared" si="52"/>
        <v xml:space="preserve">
</v>
      </c>
      <c r="M1807" s="83"/>
      <c r="N1807" s="59"/>
      <c r="O1807" s="59"/>
      <c r="P1807" s="86">
        <f t="shared" si="53"/>
        <v>0</v>
      </c>
      <c r="Q1807" s="59"/>
      <c r="R1807" s="59"/>
      <c r="S1807" s="59"/>
      <c r="T1807" s="59"/>
      <c r="U1807" s="290"/>
      <c r="V1807" s="290"/>
      <c r="W1807" s="290"/>
      <c r="X1807" s="290"/>
      <c r="Y1807" s="290"/>
      <c r="Z1807" s="290"/>
      <c r="AA1807" s="290"/>
      <c r="AB1807" s="290"/>
      <c r="AC1807" s="290"/>
      <c r="AD1807" s="290"/>
    </row>
    <row r="1808" spans="1:30" ht="25.5">
      <c r="A1808" s="291"/>
      <c r="B1808" s="291"/>
      <c r="C1808" s="291"/>
      <c r="D1808" s="83"/>
      <c r="E1808" s="59"/>
      <c r="F1808" s="82"/>
      <c r="G1808" s="82"/>
      <c r="H1808" s="86"/>
      <c r="I1808" s="294"/>
      <c r="J1808" s="59"/>
      <c r="K1808" s="83"/>
      <c r="L1808" s="83" t="str">
        <f t="shared" si="52"/>
        <v xml:space="preserve">
</v>
      </c>
      <c r="M1808" s="83"/>
      <c r="N1808" s="59"/>
      <c r="O1808" s="59"/>
      <c r="P1808" s="86">
        <f t="shared" si="53"/>
        <v>0</v>
      </c>
      <c r="Q1808" s="59"/>
      <c r="R1808" s="59"/>
      <c r="S1808" s="59"/>
      <c r="T1808" s="59"/>
      <c r="U1808" s="290"/>
      <c r="V1808" s="290"/>
      <c r="W1808" s="290"/>
      <c r="X1808" s="290"/>
      <c r="Y1808" s="290"/>
      <c r="Z1808" s="290"/>
      <c r="AA1808" s="290"/>
      <c r="AB1808" s="290"/>
      <c r="AC1808" s="290"/>
      <c r="AD1808" s="290"/>
    </row>
    <row r="1809" spans="1:30" ht="25.5">
      <c r="A1809" s="291"/>
      <c r="B1809" s="291"/>
      <c r="C1809" s="291"/>
      <c r="D1809" s="83"/>
      <c r="E1809" s="59"/>
      <c r="F1809" s="82"/>
      <c r="G1809" s="82"/>
      <c r="H1809" s="86"/>
      <c r="I1809" s="294"/>
      <c r="J1809" s="59"/>
      <c r="K1809" s="83"/>
      <c r="L1809" s="83" t="str">
        <f t="shared" si="52"/>
        <v xml:space="preserve">
</v>
      </c>
      <c r="M1809" s="83"/>
      <c r="N1809" s="59"/>
      <c r="O1809" s="59"/>
      <c r="P1809" s="86">
        <f t="shared" si="53"/>
        <v>0</v>
      </c>
      <c r="Q1809" s="59"/>
      <c r="R1809" s="59"/>
      <c r="S1809" s="59"/>
      <c r="T1809" s="59"/>
      <c r="U1809" s="290"/>
      <c r="V1809" s="290"/>
      <c r="W1809" s="290"/>
      <c r="X1809" s="290"/>
      <c r="Y1809" s="290"/>
      <c r="Z1809" s="290"/>
      <c r="AA1809" s="290"/>
      <c r="AB1809" s="290"/>
      <c r="AC1809" s="290"/>
      <c r="AD1809" s="290"/>
    </row>
    <row r="1810" spans="1:30" ht="25.5">
      <c r="A1810" s="291"/>
      <c r="B1810" s="291"/>
      <c r="C1810" s="291"/>
      <c r="D1810" s="83"/>
      <c r="E1810" s="59"/>
      <c r="F1810" s="82"/>
      <c r="G1810" s="82"/>
      <c r="H1810" s="86"/>
      <c r="I1810" s="294"/>
      <c r="J1810" s="59"/>
      <c r="K1810" s="83"/>
      <c r="L1810" s="83" t="str">
        <f t="shared" si="52"/>
        <v xml:space="preserve">
</v>
      </c>
      <c r="M1810" s="83"/>
      <c r="N1810" s="59"/>
      <c r="O1810" s="59"/>
      <c r="P1810" s="86">
        <f t="shared" si="53"/>
        <v>0</v>
      </c>
      <c r="Q1810" s="59"/>
      <c r="R1810" s="59"/>
      <c r="S1810" s="59"/>
      <c r="T1810" s="59"/>
      <c r="U1810" s="290"/>
      <c r="V1810" s="290"/>
      <c r="W1810" s="290"/>
      <c r="X1810" s="290"/>
      <c r="Y1810" s="290"/>
      <c r="Z1810" s="290"/>
      <c r="AA1810" s="290"/>
      <c r="AB1810" s="290"/>
      <c r="AC1810" s="290"/>
      <c r="AD1810" s="290"/>
    </row>
    <row r="1811" spans="1:30" ht="25.5">
      <c r="A1811" s="291"/>
      <c r="B1811" s="291"/>
      <c r="C1811" s="291"/>
      <c r="D1811" s="83"/>
      <c r="E1811" s="59"/>
      <c r="F1811" s="82"/>
      <c r="G1811" s="82"/>
      <c r="H1811" s="86"/>
      <c r="I1811" s="294"/>
      <c r="J1811" s="59"/>
      <c r="K1811" s="83"/>
      <c r="L1811" s="83" t="str">
        <f t="shared" si="52"/>
        <v xml:space="preserve">
</v>
      </c>
      <c r="M1811" s="83"/>
      <c r="N1811" s="59"/>
      <c r="O1811" s="59"/>
      <c r="P1811" s="86">
        <f t="shared" si="53"/>
        <v>0</v>
      </c>
      <c r="Q1811" s="59"/>
      <c r="R1811" s="59"/>
      <c r="S1811" s="59"/>
      <c r="T1811" s="59"/>
      <c r="U1811" s="290"/>
      <c r="V1811" s="290"/>
      <c r="W1811" s="290"/>
      <c r="X1811" s="290"/>
      <c r="Y1811" s="290"/>
      <c r="Z1811" s="290"/>
      <c r="AA1811" s="290"/>
      <c r="AB1811" s="290"/>
      <c r="AC1811" s="290"/>
      <c r="AD1811" s="290"/>
    </row>
    <row r="1812" spans="1:30" ht="25.5">
      <c r="A1812" s="291"/>
      <c r="B1812" s="291"/>
      <c r="C1812" s="291"/>
      <c r="D1812" s="83"/>
      <c r="E1812" s="59"/>
      <c r="F1812" s="82"/>
      <c r="G1812" s="82"/>
      <c r="H1812" s="86"/>
      <c r="I1812" s="294"/>
      <c r="J1812" s="59"/>
      <c r="K1812" s="83"/>
      <c r="L1812" s="83" t="str">
        <f t="shared" si="52"/>
        <v xml:space="preserve">
</v>
      </c>
      <c r="M1812" s="83"/>
      <c r="N1812" s="59"/>
      <c r="O1812" s="59"/>
      <c r="P1812" s="86">
        <f t="shared" si="53"/>
        <v>0</v>
      </c>
      <c r="Q1812" s="59"/>
      <c r="R1812" s="59"/>
      <c r="S1812" s="59"/>
      <c r="T1812" s="59"/>
      <c r="U1812" s="290"/>
      <c r="V1812" s="290"/>
      <c r="W1812" s="290"/>
      <c r="X1812" s="290"/>
      <c r="Y1812" s="290"/>
      <c r="Z1812" s="290"/>
      <c r="AA1812" s="290"/>
      <c r="AB1812" s="290"/>
      <c r="AC1812" s="290"/>
      <c r="AD1812" s="290"/>
    </row>
    <row r="1813" spans="1:30" ht="25.5">
      <c r="A1813" s="291"/>
      <c r="B1813" s="291"/>
      <c r="C1813" s="291"/>
      <c r="D1813" s="83"/>
      <c r="E1813" s="59"/>
      <c r="F1813" s="82"/>
      <c r="G1813" s="82"/>
      <c r="H1813" s="86"/>
      <c r="I1813" s="294"/>
      <c r="J1813" s="59"/>
      <c r="K1813" s="83"/>
      <c r="L1813" s="83" t="str">
        <f t="shared" si="52"/>
        <v xml:space="preserve">
</v>
      </c>
      <c r="M1813" s="83"/>
      <c r="N1813" s="59"/>
      <c r="O1813" s="59"/>
      <c r="P1813" s="86">
        <f t="shared" si="53"/>
        <v>0</v>
      </c>
      <c r="Q1813" s="59"/>
      <c r="R1813" s="59"/>
      <c r="S1813" s="59"/>
      <c r="T1813" s="59"/>
      <c r="U1813" s="290"/>
      <c r="V1813" s="290"/>
      <c r="W1813" s="290"/>
      <c r="X1813" s="290"/>
      <c r="Y1813" s="290"/>
      <c r="Z1813" s="290"/>
      <c r="AA1813" s="290"/>
      <c r="AB1813" s="290"/>
      <c r="AC1813" s="290"/>
      <c r="AD1813" s="290"/>
    </row>
    <row r="1814" spans="1:30" ht="25.5">
      <c r="A1814" s="291"/>
      <c r="B1814" s="291"/>
      <c r="C1814" s="291"/>
      <c r="D1814" s="83"/>
      <c r="E1814" s="59"/>
      <c r="F1814" s="82"/>
      <c r="G1814" s="82"/>
      <c r="H1814" s="86"/>
      <c r="I1814" s="294"/>
      <c r="J1814" s="59"/>
      <c r="K1814" s="83"/>
      <c r="L1814" s="83" t="str">
        <f t="shared" si="52"/>
        <v xml:space="preserve">
</v>
      </c>
      <c r="M1814" s="83"/>
      <c r="N1814" s="59"/>
      <c r="O1814" s="59"/>
      <c r="P1814" s="86">
        <f t="shared" si="53"/>
        <v>0</v>
      </c>
      <c r="Q1814" s="59"/>
      <c r="R1814" s="59"/>
      <c r="S1814" s="59"/>
      <c r="T1814" s="59"/>
      <c r="U1814" s="290"/>
      <c r="V1814" s="290"/>
      <c r="W1814" s="290"/>
      <c r="X1814" s="290"/>
      <c r="Y1814" s="290"/>
      <c r="Z1814" s="290"/>
      <c r="AA1814" s="290"/>
      <c r="AB1814" s="290"/>
      <c r="AC1814" s="290"/>
      <c r="AD1814" s="290"/>
    </row>
    <row r="1815" spans="1:30" ht="25.5">
      <c r="A1815" s="291"/>
      <c r="B1815" s="291"/>
      <c r="C1815" s="291"/>
      <c r="D1815" s="83"/>
      <c r="E1815" s="59"/>
      <c r="F1815" s="82"/>
      <c r="G1815" s="82"/>
      <c r="H1815" s="86"/>
      <c r="I1815" s="294"/>
      <c r="J1815" s="59"/>
      <c r="K1815" s="83"/>
      <c r="L1815" s="83" t="str">
        <f t="shared" si="52"/>
        <v xml:space="preserve">
</v>
      </c>
      <c r="M1815" s="83"/>
      <c r="N1815" s="59"/>
      <c r="O1815" s="59"/>
      <c r="P1815" s="86">
        <f t="shared" si="53"/>
        <v>0</v>
      </c>
      <c r="Q1815" s="59"/>
      <c r="R1815" s="59"/>
      <c r="S1815" s="59"/>
      <c r="T1815" s="59"/>
      <c r="U1815" s="290"/>
      <c r="V1815" s="290"/>
      <c r="W1815" s="290"/>
      <c r="X1815" s="290"/>
      <c r="Y1815" s="290"/>
      <c r="Z1815" s="290"/>
      <c r="AA1815" s="290"/>
      <c r="AB1815" s="290"/>
      <c r="AC1815" s="290"/>
      <c r="AD1815" s="290"/>
    </row>
    <row r="1816" spans="1:30" ht="25.5">
      <c r="A1816" s="291"/>
      <c r="B1816" s="291"/>
      <c r="C1816" s="291"/>
      <c r="D1816" s="83"/>
      <c r="E1816" s="59"/>
      <c r="F1816" s="82"/>
      <c r="G1816" s="82"/>
      <c r="H1816" s="86"/>
      <c r="I1816" s="294"/>
      <c r="J1816" s="59"/>
      <c r="K1816" s="83"/>
      <c r="L1816" s="83" t="str">
        <f t="shared" si="52"/>
        <v xml:space="preserve">
</v>
      </c>
      <c r="M1816" s="83"/>
      <c r="N1816" s="59"/>
      <c r="O1816" s="59"/>
      <c r="P1816" s="86">
        <f t="shared" si="53"/>
        <v>0</v>
      </c>
      <c r="Q1816" s="59"/>
      <c r="R1816" s="59"/>
      <c r="S1816" s="59"/>
      <c r="T1816" s="59"/>
      <c r="U1816" s="290"/>
      <c r="V1816" s="290"/>
      <c r="W1816" s="290"/>
      <c r="X1816" s="290"/>
      <c r="Y1816" s="290"/>
      <c r="Z1816" s="290"/>
      <c r="AA1816" s="290"/>
      <c r="AB1816" s="290"/>
      <c r="AC1816" s="290"/>
      <c r="AD1816" s="290"/>
    </row>
    <row r="1817" spans="1:30" ht="25.5">
      <c r="A1817" s="291"/>
      <c r="B1817" s="291"/>
      <c r="C1817" s="291"/>
      <c r="D1817" s="83"/>
      <c r="E1817" s="59"/>
      <c r="F1817" s="82"/>
      <c r="G1817" s="82"/>
      <c r="H1817" s="86"/>
      <c r="I1817" s="294"/>
      <c r="J1817" s="59"/>
      <c r="K1817" s="83"/>
      <c r="L1817" s="83" t="str">
        <f t="shared" si="52"/>
        <v xml:space="preserve">
</v>
      </c>
      <c r="M1817" s="83"/>
      <c r="N1817" s="59"/>
      <c r="O1817" s="59"/>
      <c r="P1817" s="86">
        <f t="shared" si="53"/>
        <v>0</v>
      </c>
      <c r="Q1817" s="59"/>
      <c r="R1817" s="59"/>
      <c r="S1817" s="59"/>
      <c r="T1817" s="59"/>
      <c r="U1817" s="290"/>
      <c r="V1817" s="290"/>
      <c r="W1817" s="290"/>
      <c r="X1817" s="290"/>
      <c r="Y1817" s="290"/>
      <c r="Z1817" s="290"/>
      <c r="AA1817" s="290"/>
      <c r="AB1817" s="290"/>
      <c r="AC1817" s="290"/>
      <c r="AD1817" s="290"/>
    </row>
    <row r="1818" spans="1:30" ht="25.5">
      <c r="A1818" s="291"/>
      <c r="B1818" s="291"/>
      <c r="C1818" s="291"/>
      <c r="D1818" s="83"/>
      <c r="E1818" s="59"/>
      <c r="F1818" s="82"/>
      <c r="G1818" s="82"/>
      <c r="H1818" s="86"/>
      <c r="I1818" s="294"/>
      <c r="J1818" s="59"/>
      <c r="K1818" s="83"/>
      <c r="L1818" s="83" t="str">
        <f t="shared" si="52"/>
        <v xml:space="preserve">
</v>
      </c>
      <c r="M1818" s="83"/>
      <c r="N1818" s="59"/>
      <c r="O1818" s="59"/>
      <c r="P1818" s="86">
        <f t="shared" si="53"/>
        <v>0</v>
      </c>
      <c r="Q1818" s="59"/>
      <c r="R1818" s="59"/>
      <c r="S1818" s="59"/>
      <c r="T1818" s="59"/>
      <c r="U1818" s="290"/>
      <c r="V1818" s="290"/>
      <c r="W1818" s="290"/>
      <c r="X1818" s="290"/>
      <c r="Y1818" s="290"/>
      <c r="Z1818" s="290"/>
      <c r="AA1818" s="290"/>
      <c r="AB1818" s="290"/>
      <c r="AC1818" s="290"/>
      <c r="AD1818" s="290"/>
    </row>
    <row r="1819" spans="1:30" ht="25.5">
      <c r="A1819" s="291"/>
      <c r="B1819" s="291"/>
      <c r="C1819" s="291"/>
      <c r="D1819" s="83"/>
      <c r="E1819" s="59"/>
      <c r="F1819" s="82"/>
      <c r="G1819" s="82"/>
      <c r="H1819" s="86"/>
      <c r="I1819" s="294"/>
      <c r="J1819" s="59"/>
      <c r="K1819" s="83"/>
      <c r="L1819" s="83" t="str">
        <f t="shared" si="52"/>
        <v xml:space="preserve">
</v>
      </c>
      <c r="M1819" s="83"/>
      <c r="N1819" s="59"/>
      <c r="O1819" s="59"/>
      <c r="P1819" s="86">
        <f t="shared" si="53"/>
        <v>0</v>
      </c>
      <c r="Q1819" s="59"/>
      <c r="R1819" s="59"/>
      <c r="S1819" s="59"/>
      <c r="T1819" s="59"/>
      <c r="U1819" s="290"/>
      <c r="V1819" s="290"/>
      <c r="W1819" s="290"/>
      <c r="X1819" s="290"/>
      <c r="Y1819" s="290"/>
      <c r="Z1819" s="290"/>
      <c r="AA1819" s="290"/>
      <c r="AB1819" s="290"/>
      <c r="AC1819" s="290"/>
      <c r="AD1819" s="290"/>
    </row>
    <row r="1820" spans="1:30" ht="25.5">
      <c r="A1820" s="291"/>
      <c r="B1820" s="291"/>
      <c r="C1820" s="291"/>
      <c r="D1820" s="83"/>
      <c r="E1820" s="59"/>
      <c r="F1820" s="82"/>
      <c r="G1820" s="82"/>
      <c r="H1820" s="86"/>
      <c r="I1820" s="294"/>
      <c r="J1820" s="59"/>
      <c r="K1820" s="83"/>
      <c r="L1820" s="83" t="str">
        <f t="shared" si="52"/>
        <v xml:space="preserve">
</v>
      </c>
      <c r="M1820" s="83"/>
      <c r="N1820" s="59"/>
      <c r="O1820" s="59"/>
      <c r="P1820" s="86">
        <f t="shared" si="53"/>
        <v>0</v>
      </c>
      <c r="Q1820" s="59"/>
      <c r="R1820" s="59"/>
      <c r="S1820" s="59"/>
      <c r="T1820" s="59"/>
      <c r="U1820" s="290"/>
      <c r="V1820" s="290"/>
      <c r="W1820" s="290"/>
      <c r="X1820" s="290"/>
      <c r="Y1820" s="290"/>
      <c r="Z1820" s="290"/>
      <c r="AA1820" s="290"/>
      <c r="AB1820" s="290"/>
      <c r="AC1820" s="290"/>
      <c r="AD1820" s="290"/>
    </row>
    <row r="1821" spans="1:30" ht="25.5">
      <c r="A1821" s="291"/>
      <c r="B1821" s="291"/>
      <c r="C1821" s="291"/>
      <c r="D1821" s="83"/>
      <c r="E1821" s="59"/>
      <c r="F1821" s="82"/>
      <c r="G1821" s="82"/>
      <c r="H1821" s="86"/>
      <c r="I1821" s="294"/>
      <c r="J1821" s="59"/>
      <c r="K1821" s="83"/>
      <c r="L1821" s="83" t="str">
        <f t="shared" si="52"/>
        <v xml:space="preserve">
</v>
      </c>
      <c r="M1821" s="83"/>
      <c r="N1821" s="59"/>
      <c r="O1821" s="59"/>
      <c r="P1821" s="86">
        <f t="shared" si="53"/>
        <v>0</v>
      </c>
      <c r="Q1821" s="59"/>
      <c r="R1821" s="59"/>
      <c r="S1821" s="59"/>
      <c r="T1821" s="59"/>
      <c r="U1821" s="290"/>
      <c r="V1821" s="290"/>
      <c r="W1821" s="290"/>
      <c r="X1821" s="290"/>
      <c r="Y1821" s="290"/>
      <c r="Z1821" s="290"/>
      <c r="AA1821" s="290"/>
      <c r="AB1821" s="290"/>
      <c r="AC1821" s="290"/>
      <c r="AD1821" s="290"/>
    </row>
    <row r="1822" spans="1:30" ht="25.5">
      <c r="A1822" s="291"/>
      <c r="B1822" s="291"/>
      <c r="C1822" s="291"/>
      <c r="D1822" s="83"/>
      <c r="E1822" s="59"/>
      <c r="F1822" s="82"/>
      <c r="G1822" s="82"/>
      <c r="H1822" s="86"/>
      <c r="I1822" s="294"/>
      <c r="J1822" s="59"/>
      <c r="K1822" s="83"/>
      <c r="L1822" s="83" t="str">
        <f t="shared" si="52"/>
        <v xml:space="preserve">
</v>
      </c>
      <c r="M1822" s="83"/>
      <c r="N1822" s="59"/>
      <c r="O1822" s="59"/>
      <c r="P1822" s="86">
        <f t="shared" si="53"/>
        <v>0</v>
      </c>
      <c r="Q1822" s="59"/>
      <c r="R1822" s="59"/>
      <c r="S1822" s="59"/>
      <c r="T1822" s="59"/>
      <c r="U1822" s="290"/>
      <c r="V1822" s="290"/>
      <c r="W1822" s="290"/>
      <c r="X1822" s="290"/>
      <c r="Y1822" s="290"/>
      <c r="Z1822" s="290"/>
      <c r="AA1822" s="290"/>
      <c r="AB1822" s="290"/>
      <c r="AC1822" s="290"/>
      <c r="AD1822" s="290"/>
    </row>
    <row r="1823" spans="1:30" ht="25.5">
      <c r="A1823" s="291"/>
      <c r="B1823" s="291"/>
      <c r="C1823" s="291"/>
      <c r="D1823" s="83"/>
      <c r="E1823" s="59"/>
      <c r="F1823" s="82"/>
      <c r="G1823" s="82"/>
      <c r="H1823" s="86"/>
      <c r="I1823" s="294"/>
      <c r="J1823" s="59"/>
      <c r="K1823" s="83"/>
      <c r="L1823" s="83" t="str">
        <f t="shared" si="52"/>
        <v xml:space="preserve">
</v>
      </c>
      <c r="M1823" s="83"/>
      <c r="N1823" s="59"/>
      <c r="O1823" s="59"/>
      <c r="P1823" s="86">
        <f t="shared" si="53"/>
        <v>0</v>
      </c>
      <c r="Q1823" s="59"/>
      <c r="R1823" s="59"/>
      <c r="S1823" s="59"/>
      <c r="T1823" s="59"/>
      <c r="U1823" s="290"/>
      <c r="V1823" s="290"/>
      <c r="W1823" s="290"/>
      <c r="X1823" s="290"/>
      <c r="Y1823" s="290"/>
      <c r="Z1823" s="290"/>
      <c r="AA1823" s="290"/>
      <c r="AB1823" s="290"/>
      <c r="AC1823" s="290"/>
      <c r="AD1823" s="290"/>
    </row>
    <row r="1824" spans="1:30" ht="25.5">
      <c r="A1824" s="291"/>
      <c r="B1824" s="291"/>
      <c r="C1824" s="291"/>
      <c r="D1824" s="83"/>
      <c r="E1824" s="59"/>
      <c r="F1824" s="82"/>
      <c r="G1824" s="82"/>
      <c r="H1824" s="86"/>
      <c r="I1824" s="294"/>
      <c r="J1824" s="59"/>
      <c r="K1824" s="83"/>
      <c r="L1824" s="83" t="str">
        <f t="shared" si="52"/>
        <v xml:space="preserve">
</v>
      </c>
      <c r="M1824" s="83"/>
      <c r="N1824" s="59"/>
      <c r="O1824" s="59"/>
      <c r="P1824" s="86">
        <f t="shared" si="53"/>
        <v>0</v>
      </c>
      <c r="Q1824" s="59"/>
      <c r="R1824" s="59"/>
      <c r="S1824" s="59"/>
      <c r="T1824" s="59"/>
      <c r="U1824" s="290"/>
      <c r="V1824" s="290"/>
      <c r="W1824" s="290"/>
      <c r="X1824" s="290"/>
      <c r="Y1824" s="290"/>
      <c r="Z1824" s="290"/>
      <c r="AA1824" s="290"/>
      <c r="AB1824" s="290"/>
      <c r="AC1824" s="290"/>
      <c r="AD1824" s="290"/>
    </row>
    <row r="1825" spans="1:30" ht="25.5">
      <c r="A1825" s="291"/>
      <c r="B1825" s="291"/>
      <c r="C1825" s="291"/>
      <c r="D1825" s="83"/>
      <c r="E1825" s="59"/>
      <c r="F1825" s="82"/>
      <c r="G1825" s="82"/>
      <c r="H1825" s="86"/>
      <c r="I1825" s="294"/>
      <c r="J1825" s="59"/>
      <c r="K1825" s="83"/>
      <c r="L1825" s="83" t="str">
        <f t="shared" si="52"/>
        <v xml:space="preserve">
</v>
      </c>
      <c r="M1825" s="83"/>
      <c r="N1825" s="59"/>
      <c r="O1825" s="59"/>
      <c r="P1825" s="86">
        <f t="shared" si="53"/>
        <v>0</v>
      </c>
      <c r="Q1825" s="59"/>
      <c r="R1825" s="59"/>
      <c r="S1825" s="59"/>
      <c r="T1825" s="59"/>
      <c r="U1825" s="290"/>
      <c r="V1825" s="290"/>
      <c r="W1825" s="290"/>
      <c r="X1825" s="290"/>
      <c r="Y1825" s="290"/>
      <c r="Z1825" s="290"/>
      <c r="AA1825" s="290"/>
      <c r="AB1825" s="290"/>
      <c r="AC1825" s="290"/>
      <c r="AD1825" s="290"/>
    </row>
    <row r="1826" spans="1:30" ht="25.5">
      <c r="A1826" s="291"/>
      <c r="B1826" s="291"/>
      <c r="C1826" s="291"/>
      <c r="D1826" s="83"/>
      <c r="E1826" s="59"/>
      <c r="F1826" s="82"/>
      <c r="G1826" s="82"/>
      <c r="H1826" s="86"/>
      <c r="I1826" s="294"/>
      <c r="J1826" s="59"/>
      <c r="K1826" s="83"/>
      <c r="L1826" s="83" t="str">
        <f t="shared" si="52"/>
        <v xml:space="preserve">
</v>
      </c>
      <c r="M1826" s="83"/>
      <c r="N1826" s="59"/>
      <c r="O1826" s="59"/>
      <c r="P1826" s="86">
        <f t="shared" si="53"/>
        <v>0</v>
      </c>
      <c r="Q1826" s="59"/>
      <c r="R1826" s="59"/>
      <c r="S1826" s="59"/>
      <c r="T1826" s="59"/>
      <c r="U1826" s="290"/>
      <c r="V1826" s="290"/>
      <c r="W1826" s="290"/>
      <c r="X1826" s="290"/>
      <c r="Y1826" s="290"/>
      <c r="Z1826" s="290"/>
      <c r="AA1826" s="290"/>
      <c r="AB1826" s="290"/>
      <c r="AC1826" s="290"/>
      <c r="AD1826" s="290"/>
    </row>
    <row r="1827" spans="1:30" ht="25.5">
      <c r="A1827" s="291"/>
      <c r="B1827" s="291"/>
      <c r="C1827" s="291"/>
      <c r="D1827" s="83"/>
      <c r="E1827" s="59"/>
      <c r="F1827" s="82"/>
      <c r="G1827" s="82"/>
      <c r="H1827" s="86"/>
      <c r="I1827" s="294"/>
      <c r="J1827" s="59"/>
      <c r="K1827" s="83"/>
      <c r="L1827" s="83" t="str">
        <f t="shared" si="52"/>
        <v xml:space="preserve">
</v>
      </c>
      <c r="M1827" s="83"/>
      <c r="N1827" s="59"/>
      <c r="O1827" s="59"/>
      <c r="P1827" s="86">
        <f t="shared" si="53"/>
        <v>0</v>
      </c>
      <c r="Q1827" s="59"/>
      <c r="R1827" s="59"/>
      <c r="S1827" s="59"/>
      <c r="T1827" s="59"/>
      <c r="U1827" s="290"/>
      <c r="V1827" s="290"/>
      <c r="W1827" s="290"/>
      <c r="X1827" s="290"/>
      <c r="Y1827" s="290"/>
      <c r="Z1827" s="290"/>
      <c r="AA1827" s="290"/>
      <c r="AB1827" s="290"/>
      <c r="AC1827" s="290"/>
      <c r="AD1827" s="290"/>
    </row>
    <row r="1828" spans="1:30" ht="25.5">
      <c r="A1828" s="291"/>
      <c r="B1828" s="291"/>
      <c r="C1828" s="291"/>
      <c r="D1828" s="83"/>
      <c r="E1828" s="59"/>
      <c r="F1828" s="82"/>
      <c r="G1828" s="82"/>
      <c r="H1828" s="86"/>
      <c r="I1828" s="294"/>
      <c r="J1828" s="59"/>
      <c r="K1828" s="83"/>
      <c r="L1828" s="83" t="str">
        <f t="shared" si="52"/>
        <v xml:space="preserve">
</v>
      </c>
      <c r="M1828" s="83"/>
      <c r="N1828" s="59"/>
      <c r="O1828" s="59"/>
      <c r="P1828" s="86">
        <f t="shared" si="53"/>
        <v>0</v>
      </c>
      <c r="Q1828" s="59"/>
      <c r="R1828" s="59"/>
      <c r="S1828" s="59"/>
      <c r="T1828" s="59"/>
      <c r="U1828" s="290"/>
      <c r="V1828" s="290"/>
      <c r="W1828" s="290"/>
      <c r="X1828" s="290"/>
      <c r="Y1828" s="290"/>
      <c r="Z1828" s="290"/>
      <c r="AA1828" s="290"/>
      <c r="AB1828" s="290"/>
      <c r="AC1828" s="290"/>
      <c r="AD1828" s="290"/>
    </row>
    <row r="1829" spans="1:30" ht="25.5">
      <c r="A1829" s="291"/>
      <c r="B1829" s="291"/>
      <c r="C1829" s="291"/>
      <c r="D1829" s="83"/>
      <c r="E1829" s="59"/>
      <c r="F1829" s="82"/>
      <c r="G1829" s="82"/>
      <c r="H1829" s="86"/>
      <c r="I1829" s="294"/>
      <c r="J1829" s="59"/>
      <c r="K1829" s="83"/>
      <c r="L1829" s="83" t="str">
        <f t="shared" si="52"/>
        <v xml:space="preserve">
</v>
      </c>
      <c r="M1829" s="83"/>
      <c r="N1829" s="59"/>
      <c r="O1829" s="59"/>
      <c r="P1829" s="86">
        <f t="shared" si="53"/>
        <v>0</v>
      </c>
      <c r="Q1829" s="59"/>
      <c r="R1829" s="59"/>
      <c r="S1829" s="59"/>
      <c r="T1829" s="59"/>
      <c r="U1829" s="290"/>
      <c r="V1829" s="290"/>
      <c r="W1829" s="290"/>
      <c r="X1829" s="290"/>
      <c r="Y1829" s="290"/>
      <c r="Z1829" s="290"/>
      <c r="AA1829" s="290"/>
      <c r="AB1829" s="290"/>
      <c r="AC1829" s="290"/>
      <c r="AD1829" s="290"/>
    </row>
    <row r="1830" spans="1:30" ht="25.5">
      <c r="A1830" s="291"/>
      <c r="B1830" s="291"/>
      <c r="C1830" s="291"/>
      <c r="D1830" s="83"/>
      <c r="E1830" s="59"/>
      <c r="F1830" s="82"/>
      <c r="G1830" s="82"/>
      <c r="H1830" s="86"/>
      <c r="I1830" s="294"/>
      <c r="J1830" s="59"/>
      <c r="K1830" s="83"/>
      <c r="L1830" s="83" t="str">
        <f t="shared" si="52"/>
        <v xml:space="preserve">
</v>
      </c>
      <c r="M1830" s="83"/>
      <c r="N1830" s="59"/>
      <c r="O1830" s="59"/>
      <c r="P1830" s="86">
        <f t="shared" si="53"/>
        <v>0</v>
      </c>
      <c r="Q1830" s="59"/>
      <c r="R1830" s="59"/>
      <c r="S1830" s="59"/>
      <c r="T1830" s="59"/>
      <c r="U1830" s="290"/>
      <c r="V1830" s="290"/>
      <c r="W1830" s="290"/>
      <c r="X1830" s="290"/>
      <c r="Y1830" s="290"/>
      <c r="Z1830" s="290"/>
      <c r="AA1830" s="290"/>
      <c r="AB1830" s="290"/>
      <c r="AC1830" s="290"/>
      <c r="AD1830" s="290"/>
    </row>
    <row r="1831" spans="1:30" ht="25.5">
      <c r="A1831" s="291"/>
      <c r="B1831" s="291"/>
      <c r="C1831" s="291"/>
      <c r="D1831" s="83"/>
      <c r="E1831" s="59"/>
      <c r="F1831" s="82"/>
      <c r="G1831" s="82"/>
      <c r="H1831" s="86"/>
      <c r="I1831" s="294"/>
      <c r="J1831" s="59"/>
      <c r="K1831" s="83"/>
      <c r="L1831" s="83" t="str">
        <f t="shared" si="52"/>
        <v xml:space="preserve">
</v>
      </c>
      <c r="M1831" s="83"/>
      <c r="N1831" s="59"/>
      <c r="O1831" s="59"/>
      <c r="P1831" s="86">
        <f t="shared" si="53"/>
        <v>0</v>
      </c>
      <c r="Q1831" s="59"/>
      <c r="R1831" s="59"/>
      <c r="S1831" s="59"/>
      <c r="T1831" s="59"/>
      <c r="U1831" s="290"/>
      <c r="V1831" s="290"/>
      <c r="W1831" s="290"/>
      <c r="X1831" s="290"/>
      <c r="Y1831" s="290"/>
      <c r="Z1831" s="290"/>
      <c r="AA1831" s="290"/>
      <c r="AB1831" s="290"/>
      <c r="AC1831" s="290"/>
      <c r="AD1831" s="290"/>
    </row>
    <row r="1832" spans="1:30" ht="25.5">
      <c r="A1832" s="291"/>
      <c r="B1832" s="291"/>
      <c r="C1832" s="291"/>
      <c r="D1832" s="83"/>
      <c r="E1832" s="59"/>
      <c r="F1832" s="82"/>
      <c r="G1832" s="82"/>
      <c r="H1832" s="86"/>
      <c r="I1832" s="294"/>
      <c r="J1832" s="59"/>
      <c r="K1832" s="83"/>
      <c r="L1832" s="83" t="str">
        <f t="shared" si="52"/>
        <v xml:space="preserve">
</v>
      </c>
      <c r="M1832" s="83"/>
      <c r="N1832" s="59"/>
      <c r="O1832" s="59"/>
      <c r="P1832" s="86">
        <f t="shared" si="53"/>
        <v>0</v>
      </c>
      <c r="Q1832" s="59"/>
      <c r="R1832" s="59"/>
      <c r="S1832" s="59"/>
      <c r="T1832" s="59"/>
      <c r="U1832" s="290"/>
      <c r="V1832" s="290"/>
      <c r="W1832" s="290"/>
      <c r="X1832" s="290"/>
      <c r="Y1832" s="290"/>
      <c r="Z1832" s="290"/>
      <c r="AA1832" s="290"/>
      <c r="AB1832" s="290"/>
      <c r="AC1832" s="290"/>
      <c r="AD1832" s="290"/>
    </row>
    <row r="1833" spans="1:30" ht="25.5">
      <c r="A1833" s="291"/>
      <c r="B1833" s="291"/>
      <c r="C1833" s="291"/>
      <c r="D1833" s="83"/>
      <c r="E1833" s="59"/>
      <c r="F1833" s="82"/>
      <c r="G1833" s="82"/>
      <c r="H1833" s="86"/>
      <c r="I1833" s="294"/>
      <c r="J1833" s="59"/>
      <c r="K1833" s="83"/>
      <c r="L1833" s="83" t="str">
        <f t="shared" si="52"/>
        <v xml:space="preserve">
</v>
      </c>
      <c r="M1833" s="83"/>
      <c r="N1833" s="59"/>
      <c r="O1833" s="59"/>
      <c r="P1833" s="86">
        <f t="shared" si="53"/>
        <v>0</v>
      </c>
      <c r="Q1833" s="59"/>
      <c r="R1833" s="59"/>
      <c r="S1833" s="59"/>
      <c r="T1833" s="59"/>
      <c r="U1833" s="290"/>
      <c r="V1833" s="290"/>
      <c r="W1833" s="290"/>
      <c r="X1833" s="290"/>
      <c r="Y1833" s="290"/>
      <c r="Z1833" s="290"/>
      <c r="AA1833" s="290"/>
      <c r="AB1833" s="290"/>
      <c r="AC1833" s="290"/>
      <c r="AD1833" s="290"/>
    </row>
    <row r="1834" spans="1:30" ht="25.5">
      <c r="A1834" s="291"/>
      <c r="B1834" s="291"/>
      <c r="C1834" s="291"/>
      <c r="D1834" s="83"/>
      <c r="E1834" s="59"/>
      <c r="F1834" s="82"/>
      <c r="G1834" s="82"/>
      <c r="H1834" s="86"/>
      <c r="I1834" s="294"/>
      <c r="J1834" s="59"/>
      <c r="K1834" s="83"/>
      <c r="L1834" s="83" t="str">
        <f t="shared" si="52"/>
        <v xml:space="preserve">
</v>
      </c>
      <c r="M1834" s="83"/>
      <c r="N1834" s="59"/>
      <c r="O1834" s="59"/>
      <c r="P1834" s="86">
        <f t="shared" si="53"/>
        <v>0</v>
      </c>
      <c r="Q1834" s="59"/>
      <c r="R1834" s="59"/>
      <c r="S1834" s="59"/>
      <c r="T1834" s="59"/>
      <c r="U1834" s="290"/>
      <c r="V1834" s="290"/>
      <c r="W1834" s="290"/>
      <c r="X1834" s="290"/>
      <c r="Y1834" s="290"/>
      <c r="Z1834" s="290"/>
      <c r="AA1834" s="290"/>
      <c r="AB1834" s="290"/>
      <c r="AC1834" s="290"/>
      <c r="AD1834" s="290"/>
    </row>
    <row r="1835" spans="1:30" ht="25.5">
      <c r="A1835" s="291"/>
      <c r="B1835" s="291"/>
      <c r="C1835" s="291"/>
      <c r="D1835" s="83"/>
      <c r="E1835" s="59"/>
      <c r="F1835" s="82"/>
      <c r="G1835" s="82"/>
      <c r="H1835" s="86"/>
      <c r="I1835" s="294"/>
      <c r="J1835" s="59"/>
      <c r="K1835" s="83"/>
      <c r="L1835" s="83" t="str">
        <f t="shared" si="52"/>
        <v xml:space="preserve">
</v>
      </c>
      <c r="M1835" s="83"/>
      <c r="N1835" s="59"/>
      <c r="O1835" s="59"/>
      <c r="P1835" s="86">
        <f t="shared" si="53"/>
        <v>0</v>
      </c>
      <c r="Q1835" s="59"/>
      <c r="R1835" s="59"/>
      <c r="S1835" s="59"/>
      <c r="T1835" s="59"/>
      <c r="U1835" s="290"/>
      <c r="V1835" s="290"/>
      <c r="W1835" s="290"/>
      <c r="X1835" s="290"/>
      <c r="Y1835" s="290"/>
      <c r="Z1835" s="290"/>
      <c r="AA1835" s="290"/>
      <c r="AB1835" s="290"/>
      <c r="AC1835" s="290"/>
      <c r="AD1835" s="290"/>
    </row>
    <row r="1836" spans="1:30" ht="25.5">
      <c r="A1836" s="291"/>
      <c r="B1836" s="291"/>
      <c r="C1836" s="291"/>
      <c r="D1836" s="83"/>
      <c r="E1836" s="59"/>
      <c r="F1836" s="82"/>
      <c r="G1836" s="82"/>
      <c r="H1836" s="86"/>
      <c r="I1836" s="294"/>
      <c r="J1836" s="59"/>
      <c r="K1836" s="83"/>
      <c r="L1836" s="83" t="str">
        <f t="shared" si="52"/>
        <v xml:space="preserve">
</v>
      </c>
      <c r="M1836" s="83"/>
      <c r="N1836" s="59"/>
      <c r="O1836" s="59"/>
      <c r="P1836" s="86">
        <f t="shared" si="53"/>
        <v>0</v>
      </c>
      <c r="Q1836" s="59"/>
      <c r="R1836" s="59"/>
      <c r="S1836" s="59"/>
      <c r="T1836" s="59"/>
      <c r="U1836" s="290"/>
      <c r="V1836" s="290"/>
      <c r="W1836" s="290"/>
      <c r="X1836" s="290"/>
      <c r="Y1836" s="290"/>
      <c r="Z1836" s="290"/>
      <c r="AA1836" s="290"/>
      <c r="AB1836" s="290"/>
      <c r="AC1836" s="290"/>
      <c r="AD1836" s="290"/>
    </row>
    <row r="1837" spans="1:30" ht="25.5">
      <c r="A1837" s="291"/>
      <c r="B1837" s="291"/>
      <c r="C1837" s="291"/>
      <c r="D1837" s="83"/>
      <c r="E1837" s="59"/>
      <c r="F1837" s="82"/>
      <c r="G1837" s="82"/>
      <c r="H1837" s="86"/>
      <c r="I1837" s="294"/>
      <c r="J1837" s="59"/>
      <c r="K1837" s="83"/>
      <c r="L1837" s="83" t="str">
        <f t="shared" si="52"/>
        <v xml:space="preserve">
</v>
      </c>
      <c r="M1837" s="83"/>
      <c r="N1837" s="59"/>
      <c r="O1837" s="59"/>
      <c r="P1837" s="86">
        <f t="shared" si="53"/>
        <v>0</v>
      </c>
      <c r="Q1837" s="59"/>
      <c r="R1837" s="59"/>
      <c r="S1837" s="59"/>
      <c r="T1837" s="59"/>
      <c r="U1837" s="290"/>
      <c r="V1837" s="290"/>
      <c r="W1837" s="290"/>
      <c r="X1837" s="290"/>
      <c r="Y1837" s="290"/>
      <c r="Z1837" s="290"/>
      <c r="AA1837" s="290"/>
      <c r="AB1837" s="290"/>
      <c r="AC1837" s="290"/>
      <c r="AD1837" s="290"/>
    </row>
    <row r="1838" spans="1:30" ht="25.5">
      <c r="A1838" s="291"/>
      <c r="B1838" s="291"/>
      <c r="C1838" s="291"/>
      <c r="D1838" s="83"/>
      <c r="E1838" s="59"/>
      <c r="F1838" s="82"/>
      <c r="G1838" s="82"/>
      <c r="H1838" s="86"/>
      <c r="I1838" s="294"/>
      <c r="J1838" s="59"/>
      <c r="K1838" s="83"/>
      <c r="L1838" s="83" t="str">
        <f t="shared" si="52"/>
        <v xml:space="preserve">
</v>
      </c>
      <c r="M1838" s="83"/>
      <c r="N1838" s="59"/>
      <c r="O1838" s="59"/>
      <c r="P1838" s="86">
        <f t="shared" si="53"/>
        <v>0</v>
      </c>
      <c r="Q1838" s="59"/>
      <c r="R1838" s="59"/>
      <c r="S1838" s="59"/>
      <c r="T1838" s="59"/>
      <c r="U1838" s="290"/>
      <c r="V1838" s="290"/>
      <c r="W1838" s="290"/>
      <c r="X1838" s="290"/>
      <c r="Y1838" s="290"/>
      <c r="Z1838" s="290"/>
      <c r="AA1838" s="290"/>
      <c r="AB1838" s="290"/>
      <c r="AC1838" s="290"/>
      <c r="AD1838" s="290"/>
    </row>
    <row r="1839" spans="1:30" ht="25.5">
      <c r="A1839" s="291"/>
      <c r="B1839" s="291"/>
      <c r="C1839" s="291"/>
      <c r="D1839" s="83"/>
      <c r="E1839" s="59"/>
      <c r="F1839" s="82"/>
      <c r="G1839" s="82"/>
      <c r="H1839" s="86"/>
      <c r="I1839" s="294"/>
      <c r="J1839" s="59"/>
      <c r="K1839" s="83"/>
      <c r="L1839" s="83" t="str">
        <f t="shared" si="52"/>
        <v xml:space="preserve">
</v>
      </c>
      <c r="M1839" s="83"/>
      <c r="N1839" s="59"/>
      <c r="O1839" s="59"/>
      <c r="P1839" s="86">
        <f t="shared" si="53"/>
        <v>0</v>
      </c>
      <c r="Q1839" s="59"/>
      <c r="R1839" s="59"/>
      <c r="S1839" s="59"/>
      <c r="T1839" s="59"/>
      <c r="U1839" s="290"/>
      <c r="V1839" s="290"/>
      <c r="W1839" s="290"/>
      <c r="X1839" s="290"/>
      <c r="Y1839" s="290"/>
      <c r="Z1839" s="290"/>
      <c r="AA1839" s="290"/>
      <c r="AB1839" s="290"/>
      <c r="AC1839" s="290"/>
      <c r="AD1839" s="290"/>
    </row>
    <row r="1840" spans="1:30" ht="25.5">
      <c r="A1840" s="291"/>
      <c r="B1840" s="291"/>
      <c r="C1840" s="291"/>
      <c r="D1840" s="83"/>
      <c r="E1840" s="59"/>
      <c r="F1840" s="82"/>
      <c r="G1840" s="82"/>
      <c r="H1840" s="86"/>
      <c r="I1840" s="294"/>
      <c r="J1840" s="59"/>
      <c r="K1840" s="83"/>
      <c r="L1840" s="83" t="str">
        <f t="shared" si="52"/>
        <v xml:space="preserve">
</v>
      </c>
      <c r="M1840" s="83"/>
      <c r="N1840" s="59"/>
      <c r="O1840" s="59"/>
      <c r="P1840" s="86">
        <f t="shared" si="53"/>
        <v>0</v>
      </c>
      <c r="Q1840" s="59"/>
      <c r="R1840" s="59"/>
      <c r="S1840" s="59"/>
      <c r="T1840" s="59"/>
      <c r="U1840" s="290"/>
      <c r="V1840" s="290"/>
      <c r="W1840" s="290"/>
      <c r="X1840" s="290"/>
      <c r="Y1840" s="290"/>
      <c r="Z1840" s="290"/>
      <c r="AA1840" s="290"/>
      <c r="AB1840" s="290"/>
      <c r="AC1840" s="290"/>
      <c r="AD1840" s="290"/>
    </row>
    <row r="1841" spans="1:30" ht="25.5">
      <c r="A1841" s="291"/>
      <c r="B1841" s="291"/>
      <c r="C1841" s="291"/>
      <c r="D1841" s="83"/>
      <c r="E1841" s="59"/>
      <c r="F1841" s="82"/>
      <c r="G1841" s="82"/>
      <c r="H1841" s="86"/>
      <c r="I1841" s="294"/>
      <c r="J1841" s="59"/>
      <c r="K1841" s="83"/>
      <c r="L1841" s="83" t="str">
        <f t="shared" si="52"/>
        <v xml:space="preserve">
</v>
      </c>
      <c r="M1841" s="83"/>
      <c r="N1841" s="59"/>
      <c r="O1841" s="59"/>
      <c r="P1841" s="86">
        <f t="shared" si="53"/>
        <v>0</v>
      </c>
      <c r="Q1841" s="59"/>
      <c r="R1841" s="59"/>
      <c r="S1841" s="59"/>
      <c r="T1841" s="59"/>
      <c r="U1841" s="290"/>
      <c r="V1841" s="290"/>
      <c r="W1841" s="290"/>
      <c r="X1841" s="290"/>
      <c r="Y1841" s="290"/>
      <c r="Z1841" s="290"/>
      <c r="AA1841" s="290"/>
      <c r="AB1841" s="290"/>
      <c r="AC1841" s="290"/>
      <c r="AD1841" s="290"/>
    </row>
    <row r="1842" spans="1:30" ht="25.5">
      <c r="A1842" s="291"/>
      <c r="B1842" s="291"/>
      <c r="C1842" s="291"/>
      <c r="D1842" s="83"/>
      <c r="E1842" s="59"/>
      <c r="F1842" s="82"/>
      <c r="G1842" s="82"/>
      <c r="H1842" s="86"/>
      <c r="I1842" s="294"/>
      <c r="J1842" s="59"/>
      <c r="K1842" s="83"/>
      <c r="L1842" s="83" t="str">
        <f t="shared" si="52"/>
        <v xml:space="preserve">
</v>
      </c>
      <c r="M1842" s="83"/>
      <c r="N1842" s="59"/>
      <c r="O1842" s="59"/>
      <c r="P1842" s="86">
        <f t="shared" si="53"/>
        <v>0</v>
      </c>
      <c r="Q1842" s="59"/>
      <c r="R1842" s="59"/>
      <c r="S1842" s="59"/>
      <c r="T1842" s="59"/>
      <c r="U1842" s="290"/>
      <c r="V1842" s="290"/>
      <c r="W1842" s="290"/>
      <c r="X1842" s="290"/>
      <c r="Y1842" s="290"/>
      <c r="Z1842" s="290"/>
      <c r="AA1842" s="290"/>
      <c r="AB1842" s="290"/>
      <c r="AC1842" s="290"/>
      <c r="AD1842" s="290"/>
    </row>
    <row r="1843" spans="1:30" ht="25.5">
      <c r="A1843" s="291"/>
      <c r="B1843" s="291"/>
      <c r="C1843" s="291"/>
      <c r="D1843" s="83"/>
      <c r="E1843" s="59"/>
      <c r="F1843" s="82"/>
      <c r="G1843" s="82"/>
      <c r="H1843" s="86"/>
      <c r="I1843" s="294"/>
      <c r="J1843" s="59"/>
      <c r="K1843" s="83"/>
      <c r="L1843" s="83" t="str">
        <f t="shared" si="52"/>
        <v xml:space="preserve">
</v>
      </c>
      <c r="M1843" s="83"/>
      <c r="N1843" s="59"/>
      <c r="O1843" s="59"/>
      <c r="P1843" s="86">
        <f t="shared" si="53"/>
        <v>0</v>
      </c>
      <c r="Q1843" s="59"/>
      <c r="R1843" s="59"/>
      <c r="S1843" s="59"/>
      <c r="T1843" s="59"/>
      <c r="U1843" s="290"/>
      <c r="V1843" s="290"/>
      <c r="W1843" s="290"/>
      <c r="X1843" s="290"/>
      <c r="Y1843" s="290"/>
      <c r="Z1843" s="290"/>
      <c r="AA1843" s="290"/>
      <c r="AB1843" s="290"/>
      <c r="AC1843" s="290"/>
      <c r="AD1843" s="290"/>
    </row>
    <row r="1844" spans="1:30" ht="25.5">
      <c r="A1844" s="291"/>
      <c r="B1844" s="291"/>
      <c r="C1844" s="291"/>
      <c r="D1844" s="83"/>
      <c r="E1844" s="59"/>
      <c r="F1844" s="82"/>
      <c r="G1844" s="82"/>
      <c r="H1844" s="86"/>
      <c r="I1844" s="294"/>
      <c r="J1844" s="59"/>
      <c r="K1844" s="83"/>
      <c r="L1844" s="83" t="str">
        <f t="shared" si="52"/>
        <v xml:space="preserve">
</v>
      </c>
      <c r="M1844" s="83"/>
      <c r="N1844" s="59"/>
      <c r="O1844" s="59"/>
      <c r="P1844" s="86">
        <f t="shared" si="53"/>
        <v>0</v>
      </c>
      <c r="Q1844" s="59"/>
      <c r="R1844" s="59"/>
      <c r="S1844" s="59"/>
      <c r="T1844" s="59"/>
      <c r="U1844" s="290"/>
      <c r="V1844" s="290"/>
      <c r="W1844" s="290"/>
      <c r="X1844" s="290"/>
      <c r="Y1844" s="290"/>
      <c r="Z1844" s="290"/>
      <c r="AA1844" s="290"/>
      <c r="AB1844" s="290"/>
      <c r="AC1844" s="290"/>
      <c r="AD1844" s="290"/>
    </row>
    <row r="1845" spans="1:30" ht="25.5">
      <c r="A1845" s="291"/>
      <c r="B1845" s="291"/>
      <c r="C1845" s="291"/>
      <c r="D1845" s="83"/>
      <c r="E1845" s="59"/>
      <c r="F1845" s="82"/>
      <c r="G1845" s="82"/>
      <c r="H1845" s="86"/>
      <c r="I1845" s="294"/>
      <c r="J1845" s="59"/>
      <c r="K1845" s="83"/>
      <c r="L1845" s="83" t="str">
        <f t="shared" si="52"/>
        <v xml:space="preserve">
</v>
      </c>
      <c r="M1845" s="83"/>
      <c r="N1845" s="59"/>
      <c r="O1845" s="59"/>
      <c r="P1845" s="86">
        <f t="shared" si="53"/>
        <v>0</v>
      </c>
      <c r="Q1845" s="59"/>
      <c r="R1845" s="59"/>
      <c r="S1845" s="59"/>
      <c r="T1845" s="59"/>
      <c r="U1845" s="290"/>
      <c r="V1845" s="290"/>
      <c r="W1845" s="290"/>
      <c r="X1845" s="290"/>
      <c r="Y1845" s="290"/>
      <c r="Z1845" s="290"/>
      <c r="AA1845" s="290"/>
      <c r="AB1845" s="290"/>
      <c r="AC1845" s="290"/>
      <c r="AD1845" s="290"/>
    </row>
    <row r="1846" spans="1:30" ht="25.5">
      <c r="A1846" s="291"/>
      <c r="B1846" s="291"/>
      <c r="C1846" s="291"/>
      <c r="D1846" s="83"/>
      <c r="E1846" s="59"/>
      <c r="F1846" s="82"/>
      <c r="G1846" s="82"/>
      <c r="H1846" s="86"/>
      <c r="I1846" s="294"/>
      <c r="J1846" s="59"/>
      <c r="K1846" s="83"/>
      <c r="L1846" s="83" t="str">
        <f t="shared" si="52"/>
        <v xml:space="preserve">
</v>
      </c>
      <c r="M1846" s="83"/>
      <c r="N1846" s="59"/>
      <c r="O1846" s="59"/>
      <c r="P1846" s="86">
        <f t="shared" si="53"/>
        <v>0</v>
      </c>
      <c r="Q1846" s="59"/>
      <c r="R1846" s="59"/>
      <c r="S1846" s="59"/>
      <c r="T1846" s="59"/>
      <c r="U1846" s="290"/>
      <c r="V1846" s="290"/>
      <c r="W1846" s="290"/>
      <c r="X1846" s="290"/>
      <c r="Y1846" s="290"/>
      <c r="Z1846" s="290"/>
      <c r="AA1846" s="290"/>
      <c r="AB1846" s="290"/>
      <c r="AC1846" s="290"/>
      <c r="AD1846" s="290"/>
    </row>
    <row r="1847" spans="1:30" ht="25.5">
      <c r="A1847" s="291"/>
      <c r="B1847" s="291"/>
      <c r="C1847" s="291"/>
      <c r="D1847" s="83"/>
      <c r="E1847" s="59"/>
      <c r="F1847" s="82"/>
      <c r="G1847" s="82"/>
      <c r="H1847" s="86"/>
      <c r="I1847" s="294"/>
      <c r="J1847" s="59"/>
      <c r="K1847" s="83"/>
      <c r="L1847" s="83" t="str">
        <f t="shared" si="52"/>
        <v xml:space="preserve">
</v>
      </c>
      <c r="M1847" s="83"/>
      <c r="N1847" s="59"/>
      <c r="O1847" s="59"/>
      <c r="P1847" s="86">
        <f t="shared" si="53"/>
        <v>0</v>
      </c>
      <c r="Q1847" s="59"/>
      <c r="R1847" s="59"/>
      <c r="S1847" s="59"/>
      <c r="T1847" s="59"/>
      <c r="U1847" s="290"/>
      <c r="V1847" s="290"/>
      <c r="W1847" s="290"/>
      <c r="X1847" s="290"/>
      <c r="Y1847" s="290"/>
      <c r="Z1847" s="290"/>
      <c r="AA1847" s="290"/>
      <c r="AB1847" s="290"/>
      <c r="AC1847" s="290"/>
      <c r="AD1847" s="290"/>
    </row>
    <row r="1848" spans="1:30" ht="25.5">
      <c r="A1848" s="291"/>
      <c r="B1848" s="291"/>
      <c r="C1848" s="291"/>
      <c r="D1848" s="83"/>
      <c r="E1848" s="59"/>
      <c r="F1848" s="82"/>
      <c r="G1848" s="82"/>
      <c r="H1848" s="86"/>
      <c r="I1848" s="294"/>
      <c r="J1848" s="59"/>
      <c r="K1848" s="83"/>
      <c r="L1848" s="83" t="str">
        <f t="shared" si="52"/>
        <v xml:space="preserve">
</v>
      </c>
      <c r="M1848" s="83"/>
      <c r="N1848" s="59"/>
      <c r="O1848" s="59"/>
      <c r="P1848" s="86">
        <f t="shared" si="53"/>
        <v>0</v>
      </c>
      <c r="Q1848" s="59"/>
      <c r="R1848" s="59"/>
      <c r="S1848" s="59"/>
      <c r="T1848" s="59"/>
      <c r="U1848" s="290"/>
      <c r="V1848" s="290"/>
      <c r="W1848" s="290"/>
      <c r="X1848" s="290"/>
      <c r="Y1848" s="290"/>
      <c r="Z1848" s="290"/>
      <c r="AA1848" s="290"/>
      <c r="AB1848" s="290"/>
      <c r="AC1848" s="290"/>
      <c r="AD1848" s="290"/>
    </row>
    <row r="1849" spans="1:30" ht="25.5">
      <c r="A1849" s="291"/>
      <c r="B1849" s="291"/>
      <c r="C1849" s="291"/>
      <c r="D1849" s="83"/>
      <c r="E1849" s="59"/>
      <c r="F1849" s="82"/>
      <c r="G1849" s="82"/>
      <c r="H1849" s="86"/>
      <c r="I1849" s="294"/>
      <c r="J1849" s="59"/>
      <c r="K1849" s="83"/>
      <c r="L1849" s="83" t="str">
        <f t="shared" si="52"/>
        <v xml:space="preserve">
</v>
      </c>
      <c r="M1849" s="83"/>
      <c r="N1849" s="59"/>
      <c r="O1849" s="59"/>
      <c r="P1849" s="86">
        <f t="shared" si="53"/>
        <v>0</v>
      </c>
      <c r="Q1849" s="59"/>
      <c r="R1849" s="59"/>
      <c r="S1849" s="59"/>
      <c r="T1849" s="59"/>
      <c r="U1849" s="290"/>
      <c r="V1849" s="290"/>
      <c r="W1849" s="290"/>
      <c r="X1849" s="290"/>
      <c r="Y1849" s="290"/>
      <c r="Z1849" s="290"/>
      <c r="AA1849" s="290"/>
      <c r="AB1849" s="290"/>
      <c r="AC1849" s="290"/>
      <c r="AD1849" s="290"/>
    </row>
    <row r="1850" spans="1:30" ht="25.5">
      <c r="A1850" s="291"/>
      <c r="B1850" s="291"/>
      <c r="C1850" s="291"/>
      <c r="D1850" s="83"/>
      <c r="E1850" s="59"/>
      <c r="F1850" s="82"/>
      <c r="G1850" s="82"/>
      <c r="H1850" s="86"/>
      <c r="I1850" s="294"/>
      <c r="J1850" s="59"/>
      <c r="K1850" s="83"/>
      <c r="L1850" s="83" t="str">
        <f t="shared" si="52"/>
        <v xml:space="preserve">
</v>
      </c>
      <c r="M1850" s="83"/>
      <c r="N1850" s="59"/>
      <c r="O1850" s="59"/>
      <c r="P1850" s="86">
        <f t="shared" si="53"/>
        <v>0</v>
      </c>
      <c r="Q1850" s="59"/>
      <c r="R1850" s="59"/>
      <c r="S1850" s="59"/>
      <c r="T1850" s="59"/>
      <c r="U1850" s="290"/>
      <c r="V1850" s="290"/>
      <c r="W1850" s="290"/>
      <c r="X1850" s="290"/>
      <c r="Y1850" s="290"/>
      <c r="Z1850" s="290"/>
      <c r="AA1850" s="290"/>
      <c r="AB1850" s="290"/>
      <c r="AC1850" s="290"/>
      <c r="AD1850" s="290"/>
    </row>
    <row r="1851" spans="1:30" ht="25.5">
      <c r="A1851" s="291"/>
      <c r="B1851" s="291"/>
      <c r="C1851" s="291"/>
      <c r="D1851" s="83"/>
      <c r="E1851" s="59"/>
      <c r="F1851" s="82"/>
      <c r="G1851" s="82"/>
      <c r="H1851" s="86"/>
      <c r="I1851" s="294"/>
      <c r="J1851" s="59"/>
      <c r="K1851" s="83"/>
      <c r="L1851" s="83" t="str">
        <f t="shared" si="52"/>
        <v xml:space="preserve">
</v>
      </c>
      <c r="M1851" s="83"/>
      <c r="N1851" s="59"/>
      <c r="O1851" s="59"/>
      <c r="P1851" s="86">
        <f t="shared" si="53"/>
        <v>0</v>
      </c>
      <c r="Q1851" s="59"/>
      <c r="R1851" s="59"/>
      <c r="S1851" s="59"/>
      <c r="T1851" s="59"/>
      <c r="U1851" s="290"/>
      <c r="V1851" s="290"/>
      <c r="W1851" s="290"/>
      <c r="X1851" s="290"/>
      <c r="Y1851" s="290"/>
      <c r="Z1851" s="290"/>
      <c r="AA1851" s="290"/>
      <c r="AB1851" s="290"/>
      <c r="AC1851" s="290"/>
      <c r="AD1851" s="290"/>
    </row>
    <row r="1852" spans="1:30" ht="25.5">
      <c r="A1852" s="291"/>
      <c r="B1852" s="291"/>
      <c r="C1852" s="291"/>
      <c r="D1852" s="83"/>
      <c r="E1852" s="59"/>
      <c r="F1852" s="82"/>
      <c r="G1852" s="82"/>
      <c r="H1852" s="86"/>
      <c r="I1852" s="294"/>
      <c r="J1852" s="59"/>
      <c r="K1852" s="83"/>
      <c r="L1852" s="83" t="str">
        <f t="shared" si="52"/>
        <v xml:space="preserve">
</v>
      </c>
      <c r="M1852" s="83"/>
      <c r="N1852" s="59"/>
      <c r="O1852" s="59"/>
      <c r="P1852" s="86">
        <f t="shared" si="53"/>
        <v>0</v>
      </c>
      <c r="Q1852" s="59"/>
      <c r="R1852" s="59"/>
      <c r="S1852" s="59"/>
      <c r="T1852" s="59"/>
      <c r="U1852" s="290"/>
      <c r="V1852" s="290"/>
      <c r="W1852" s="290"/>
      <c r="X1852" s="290"/>
      <c r="Y1852" s="290"/>
      <c r="Z1852" s="290"/>
      <c r="AA1852" s="290"/>
      <c r="AB1852" s="290"/>
      <c r="AC1852" s="290"/>
      <c r="AD1852" s="290"/>
    </row>
    <row r="1853" spans="1:30" ht="25.5">
      <c r="A1853" s="291"/>
      <c r="B1853" s="291"/>
      <c r="C1853" s="291"/>
      <c r="D1853" s="83"/>
      <c r="E1853" s="59"/>
      <c r="F1853" s="82"/>
      <c r="G1853" s="82"/>
      <c r="H1853" s="86"/>
      <c r="I1853" s="294"/>
      <c r="J1853" s="59"/>
      <c r="K1853" s="83"/>
      <c r="L1853" s="83" t="str">
        <f t="shared" si="52"/>
        <v xml:space="preserve">
</v>
      </c>
      <c r="M1853" s="83"/>
      <c r="N1853" s="59"/>
      <c r="O1853" s="59"/>
      <c r="P1853" s="86">
        <f t="shared" si="53"/>
        <v>0</v>
      </c>
      <c r="Q1853" s="59"/>
      <c r="R1853" s="59"/>
      <c r="S1853" s="59"/>
      <c r="T1853" s="59"/>
      <c r="U1853" s="290"/>
      <c r="V1853" s="290"/>
      <c r="W1853" s="290"/>
      <c r="X1853" s="290"/>
      <c r="Y1853" s="290"/>
      <c r="Z1853" s="290"/>
      <c r="AA1853" s="290"/>
      <c r="AB1853" s="290"/>
      <c r="AC1853" s="290"/>
      <c r="AD1853" s="290"/>
    </row>
    <row r="1854" spans="1:30" ht="25.5">
      <c r="A1854" s="291"/>
      <c r="B1854" s="291"/>
      <c r="C1854" s="291"/>
      <c r="D1854" s="83"/>
      <c r="E1854" s="59"/>
      <c r="F1854" s="82"/>
      <c r="G1854" s="82"/>
      <c r="H1854" s="86"/>
      <c r="I1854" s="294"/>
      <c r="J1854" s="59"/>
      <c r="K1854" s="83"/>
      <c r="L1854" s="83" t="str">
        <f t="shared" si="52"/>
        <v xml:space="preserve">
</v>
      </c>
      <c r="M1854" s="83"/>
      <c r="N1854" s="59"/>
      <c r="O1854" s="59"/>
      <c r="P1854" s="86">
        <f t="shared" si="53"/>
        <v>0</v>
      </c>
      <c r="Q1854" s="59"/>
      <c r="R1854" s="59"/>
      <c r="S1854" s="59"/>
      <c r="T1854" s="59"/>
      <c r="U1854" s="290"/>
      <c r="V1854" s="290"/>
      <c r="W1854" s="290"/>
      <c r="X1854" s="290"/>
      <c r="Y1854" s="290"/>
      <c r="Z1854" s="290"/>
      <c r="AA1854" s="290"/>
      <c r="AB1854" s="290"/>
      <c r="AC1854" s="290"/>
      <c r="AD1854" s="290"/>
    </row>
    <row r="1855" spans="1:30" ht="25.5">
      <c r="A1855" s="291"/>
      <c r="B1855" s="291"/>
      <c r="C1855" s="291"/>
      <c r="D1855" s="83"/>
      <c r="E1855" s="59"/>
      <c r="F1855" s="82"/>
      <c r="G1855" s="82"/>
      <c r="H1855" s="86"/>
      <c r="I1855" s="294"/>
      <c r="J1855" s="59"/>
      <c r="K1855" s="83"/>
      <c r="L1855" s="83" t="str">
        <f t="shared" si="52"/>
        <v xml:space="preserve">
</v>
      </c>
      <c r="M1855" s="83"/>
      <c r="N1855" s="59"/>
      <c r="O1855" s="59"/>
      <c r="P1855" s="86">
        <f t="shared" si="53"/>
        <v>0</v>
      </c>
      <c r="Q1855" s="59"/>
      <c r="R1855" s="59"/>
      <c r="S1855" s="59"/>
      <c r="T1855" s="59"/>
      <c r="U1855" s="290"/>
      <c r="V1855" s="290"/>
      <c r="W1855" s="290"/>
      <c r="X1855" s="290"/>
      <c r="Y1855" s="290"/>
      <c r="Z1855" s="290"/>
      <c r="AA1855" s="290"/>
      <c r="AB1855" s="290"/>
      <c r="AC1855" s="290"/>
      <c r="AD1855" s="290"/>
    </row>
    <row r="1856" spans="1:30" ht="25.5">
      <c r="A1856" s="291"/>
      <c r="B1856" s="291"/>
      <c r="C1856" s="291"/>
      <c r="D1856" s="83"/>
      <c r="E1856" s="59"/>
      <c r="F1856" s="82"/>
      <c r="G1856" s="82"/>
      <c r="H1856" s="86"/>
      <c r="I1856" s="294"/>
      <c r="J1856" s="59"/>
      <c r="K1856" s="83"/>
      <c r="L1856" s="83" t="str">
        <f t="shared" si="52"/>
        <v xml:space="preserve">
</v>
      </c>
      <c r="M1856" s="83"/>
      <c r="N1856" s="59"/>
      <c r="O1856" s="59"/>
      <c r="P1856" s="86">
        <f t="shared" si="53"/>
        <v>0</v>
      </c>
      <c r="Q1856" s="59"/>
      <c r="R1856" s="59"/>
      <c r="S1856" s="59"/>
      <c r="T1856" s="59"/>
      <c r="U1856" s="290"/>
      <c r="V1856" s="290"/>
      <c r="W1856" s="290"/>
      <c r="X1856" s="290"/>
      <c r="Y1856" s="290"/>
      <c r="Z1856" s="290"/>
      <c r="AA1856" s="290"/>
      <c r="AB1856" s="290"/>
      <c r="AC1856" s="290"/>
      <c r="AD1856" s="290"/>
    </row>
    <row r="1857" spans="1:30" ht="25.5">
      <c r="A1857" s="291"/>
      <c r="B1857" s="291"/>
      <c r="C1857" s="291"/>
      <c r="D1857" s="83"/>
      <c r="E1857" s="59"/>
      <c r="F1857" s="82"/>
      <c r="G1857" s="82"/>
      <c r="H1857" s="86"/>
      <c r="I1857" s="294"/>
      <c r="J1857" s="59"/>
      <c r="K1857" s="83"/>
      <c r="L1857" s="83" t="str">
        <f t="shared" si="52"/>
        <v xml:space="preserve">
</v>
      </c>
      <c r="M1857" s="83"/>
      <c r="N1857" s="59"/>
      <c r="O1857" s="59"/>
      <c r="P1857" s="86">
        <f t="shared" si="53"/>
        <v>0</v>
      </c>
      <c r="Q1857" s="59"/>
      <c r="R1857" s="59"/>
      <c r="S1857" s="59"/>
      <c r="T1857" s="59"/>
      <c r="U1857" s="290"/>
      <c r="V1857" s="290"/>
      <c r="W1857" s="290"/>
      <c r="X1857" s="290"/>
      <c r="Y1857" s="290"/>
      <c r="Z1857" s="290"/>
      <c r="AA1857" s="290"/>
      <c r="AB1857" s="290"/>
      <c r="AC1857" s="290"/>
      <c r="AD1857" s="290"/>
    </row>
    <row r="1858" spans="1:30" ht="25.5">
      <c r="A1858" s="291"/>
      <c r="B1858" s="291"/>
      <c r="C1858" s="291"/>
      <c r="D1858" s="83"/>
      <c r="E1858" s="59"/>
      <c r="F1858" s="82"/>
      <c r="G1858" s="82"/>
      <c r="H1858" s="86"/>
      <c r="I1858" s="294"/>
      <c r="J1858" s="59"/>
      <c r="K1858" s="83"/>
      <c r="L1858" s="83" t="str">
        <f t="shared" si="52"/>
        <v xml:space="preserve">
</v>
      </c>
      <c r="M1858" s="83"/>
      <c r="N1858" s="59"/>
      <c r="O1858" s="59"/>
      <c r="P1858" s="86">
        <f t="shared" si="53"/>
        <v>0</v>
      </c>
      <c r="Q1858" s="59"/>
      <c r="R1858" s="59"/>
      <c r="S1858" s="59"/>
      <c r="T1858" s="59"/>
      <c r="U1858" s="290"/>
      <c r="V1858" s="290"/>
      <c r="W1858" s="290"/>
      <c r="X1858" s="290"/>
      <c r="Y1858" s="290"/>
      <c r="Z1858" s="290"/>
      <c r="AA1858" s="290"/>
      <c r="AB1858" s="290"/>
      <c r="AC1858" s="290"/>
      <c r="AD1858" s="290"/>
    </row>
    <row r="1859" spans="1:30" ht="25.5">
      <c r="A1859" s="291"/>
      <c r="B1859" s="291"/>
      <c r="C1859" s="291"/>
      <c r="D1859" s="83"/>
      <c r="E1859" s="59"/>
      <c r="F1859" s="82"/>
      <c r="G1859" s="82"/>
      <c r="H1859" s="86"/>
      <c r="I1859" s="294"/>
      <c r="J1859" s="59"/>
      <c r="K1859" s="83"/>
      <c r="L1859" s="83" t="str">
        <f t="shared" si="52"/>
        <v xml:space="preserve">
</v>
      </c>
      <c r="M1859" s="83"/>
      <c r="N1859" s="59"/>
      <c r="O1859" s="59"/>
      <c r="P1859" s="86">
        <f t="shared" si="53"/>
        <v>0</v>
      </c>
      <c r="Q1859" s="59"/>
      <c r="R1859" s="59"/>
      <c r="S1859" s="59"/>
      <c r="T1859" s="59"/>
      <c r="U1859" s="290"/>
      <c r="V1859" s="290"/>
      <c r="W1859" s="290"/>
      <c r="X1859" s="290"/>
      <c r="Y1859" s="290"/>
      <c r="Z1859" s="290"/>
      <c r="AA1859" s="290"/>
      <c r="AB1859" s="290"/>
      <c r="AC1859" s="290"/>
      <c r="AD1859" s="290"/>
    </row>
    <row r="1860" spans="1:30" ht="25.5">
      <c r="A1860" s="291"/>
      <c r="B1860" s="291"/>
      <c r="C1860" s="291"/>
      <c r="D1860" s="83"/>
      <c r="E1860" s="59"/>
      <c r="F1860" s="82"/>
      <c r="G1860" s="82"/>
      <c r="H1860" s="86"/>
      <c r="I1860" s="294"/>
      <c r="J1860" s="59"/>
      <c r="K1860" s="83"/>
      <c r="L1860" s="83" t="str">
        <f t="shared" si="52"/>
        <v xml:space="preserve">
</v>
      </c>
      <c r="M1860" s="83"/>
      <c r="N1860" s="59"/>
      <c r="O1860" s="59"/>
      <c r="P1860" s="86">
        <f t="shared" si="53"/>
        <v>0</v>
      </c>
      <c r="Q1860" s="59"/>
      <c r="R1860" s="59"/>
      <c r="S1860" s="59"/>
      <c r="T1860" s="59"/>
      <c r="U1860" s="290"/>
      <c r="V1860" s="290"/>
      <c r="W1860" s="290"/>
      <c r="X1860" s="290"/>
      <c r="Y1860" s="290"/>
      <c r="Z1860" s="290"/>
      <c r="AA1860" s="290"/>
      <c r="AB1860" s="290"/>
      <c r="AC1860" s="290"/>
      <c r="AD1860" s="290"/>
    </row>
    <row r="1861" spans="1:30" ht="25.5">
      <c r="A1861" s="291"/>
      <c r="B1861" s="291"/>
      <c r="C1861" s="291"/>
      <c r="D1861" s="83"/>
      <c r="E1861" s="59"/>
      <c r="F1861" s="82"/>
      <c r="G1861" s="82"/>
      <c r="H1861" s="86"/>
      <c r="I1861" s="294"/>
      <c r="J1861" s="59"/>
      <c r="K1861" s="83"/>
      <c r="L1861" s="83" t="str">
        <f t="shared" si="52"/>
        <v xml:space="preserve">
</v>
      </c>
      <c r="M1861" s="83"/>
      <c r="N1861" s="59"/>
      <c r="O1861" s="59"/>
      <c r="P1861" s="86">
        <f t="shared" si="53"/>
        <v>0</v>
      </c>
      <c r="Q1861" s="59"/>
      <c r="R1861" s="59"/>
      <c r="S1861" s="59"/>
      <c r="T1861" s="59"/>
      <c r="U1861" s="290"/>
      <c r="V1861" s="290"/>
      <c r="W1861" s="290"/>
      <c r="X1861" s="290"/>
      <c r="Y1861" s="290"/>
      <c r="Z1861" s="290"/>
      <c r="AA1861" s="290"/>
      <c r="AB1861" s="290"/>
      <c r="AC1861" s="290"/>
      <c r="AD1861" s="290"/>
    </row>
    <row r="1862" spans="1:30" ht="25.5">
      <c r="A1862" s="291"/>
      <c r="B1862" s="291"/>
      <c r="C1862" s="291"/>
      <c r="D1862" s="83"/>
      <c r="E1862" s="59"/>
      <c r="F1862" s="82"/>
      <c r="G1862" s="82"/>
      <c r="H1862" s="86"/>
      <c r="I1862" s="294"/>
      <c r="J1862" s="59"/>
      <c r="K1862" s="83"/>
      <c r="L1862" s="83" t="str">
        <f t="shared" si="52"/>
        <v xml:space="preserve">
</v>
      </c>
      <c r="M1862" s="83"/>
      <c r="N1862" s="59"/>
      <c r="O1862" s="59"/>
      <c r="P1862" s="86">
        <f t="shared" si="53"/>
        <v>0</v>
      </c>
      <c r="Q1862" s="59"/>
      <c r="R1862" s="59"/>
      <c r="S1862" s="59"/>
      <c r="T1862" s="59"/>
      <c r="U1862" s="290"/>
      <c r="V1862" s="290"/>
      <c r="W1862" s="290"/>
      <c r="X1862" s="290"/>
      <c r="Y1862" s="290"/>
      <c r="Z1862" s="290"/>
      <c r="AA1862" s="290"/>
      <c r="AB1862" s="290"/>
      <c r="AC1862" s="290"/>
      <c r="AD1862" s="290"/>
    </row>
    <row r="1863" spans="1:30" ht="25.5">
      <c r="A1863" s="291"/>
      <c r="B1863" s="291"/>
      <c r="C1863" s="291"/>
      <c r="D1863" s="83"/>
      <c r="E1863" s="59"/>
      <c r="F1863" s="82"/>
      <c r="G1863" s="82"/>
      <c r="H1863" s="86"/>
      <c r="I1863" s="294"/>
      <c r="J1863" s="59"/>
      <c r="K1863" s="83"/>
      <c r="L1863" s="83" t="str">
        <f t="shared" si="52"/>
        <v xml:space="preserve">
</v>
      </c>
      <c r="M1863" s="83"/>
      <c r="N1863" s="59"/>
      <c r="O1863" s="59"/>
      <c r="P1863" s="86">
        <f t="shared" si="53"/>
        <v>0</v>
      </c>
      <c r="Q1863" s="59"/>
      <c r="R1863" s="59"/>
      <c r="S1863" s="59"/>
      <c r="T1863" s="59"/>
      <c r="U1863" s="290"/>
      <c r="V1863" s="290"/>
      <c r="W1863" s="290"/>
      <c r="X1863" s="290"/>
      <c r="Y1863" s="290"/>
      <c r="Z1863" s="290"/>
      <c r="AA1863" s="290"/>
      <c r="AB1863" s="290"/>
      <c r="AC1863" s="290"/>
      <c r="AD1863" s="290"/>
    </row>
    <row r="1864" spans="1:30" ht="25.5">
      <c r="A1864" s="291"/>
      <c r="B1864" s="291"/>
      <c r="C1864" s="291"/>
      <c r="D1864" s="83"/>
      <c r="E1864" s="59"/>
      <c r="F1864" s="82"/>
      <c r="G1864" s="82"/>
      <c r="H1864" s="86"/>
      <c r="I1864" s="294"/>
      <c r="J1864" s="59"/>
      <c r="K1864" s="83"/>
      <c r="L1864" s="83" t="str">
        <f t="shared" si="52"/>
        <v xml:space="preserve">
</v>
      </c>
      <c r="M1864" s="83"/>
      <c r="N1864" s="59"/>
      <c r="O1864" s="59"/>
      <c r="P1864" s="86">
        <f t="shared" si="53"/>
        <v>0</v>
      </c>
      <c r="Q1864" s="59"/>
      <c r="R1864" s="59"/>
      <c r="S1864" s="59"/>
      <c r="T1864" s="59"/>
      <c r="U1864" s="290"/>
      <c r="V1864" s="290"/>
      <c r="W1864" s="290"/>
      <c r="X1864" s="290"/>
      <c r="Y1864" s="290"/>
      <c r="Z1864" s="290"/>
      <c r="AA1864" s="290"/>
      <c r="AB1864" s="290"/>
      <c r="AC1864" s="290"/>
      <c r="AD1864" s="290"/>
    </row>
    <row r="1865" spans="1:30" ht="25.5">
      <c r="A1865" s="291"/>
      <c r="B1865" s="291"/>
      <c r="C1865" s="291"/>
      <c r="D1865" s="83"/>
      <c r="E1865" s="59"/>
      <c r="F1865" s="82"/>
      <c r="G1865" s="82"/>
      <c r="H1865" s="86"/>
      <c r="I1865" s="294"/>
      <c r="J1865" s="59"/>
      <c r="K1865" s="83"/>
      <c r="L1865" s="83" t="str">
        <f t="shared" si="52"/>
        <v xml:space="preserve">
</v>
      </c>
      <c r="M1865" s="83"/>
      <c r="N1865" s="59"/>
      <c r="O1865" s="59"/>
      <c r="P1865" s="86">
        <f t="shared" si="53"/>
        <v>0</v>
      </c>
      <c r="Q1865" s="59"/>
      <c r="R1865" s="59"/>
      <c r="S1865" s="59"/>
      <c r="T1865" s="59"/>
      <c r="U1865" s="290"/>
      <c r="V1865" s="290"/>
      <c r="W1865" s="290"/>
      <c r="X1865" s="290"/>
      <c r="Y1865" s="290"/>
      <c r="Z1865" s="290"/>
      <c r="AA1865" s="290"/>
      <c r="AB1865" s="290"/>
      <c r="AC1865" s="290"/>
      <c r="AD1865" s="290"/>
    </row>
    <row r="1866" spans="1:30" ht="25.5">
      <c r="A1866" s="291"/>
      <c r="B1866" s="291"/>
      <c r="C1866" s="291"/>
      <c r="D1866" s="83"/>
      <c r="E1866" s="59"/>
      <c r="F1866" s="82"/>
      <c r="G1866" s="82"/>
      <c r="H1866" s="86"/>
      <c r="I1866" s="294"/>
      <c r="J1866" s="59"/>
      <c r="K1866" s="83"/>
      <c r="L1866" s="83" t="str">
        <f t="shared" si="52"/>
        <v xml:space="preserve">
</v>
      </c>
      <c r="M1866" s="83"/>
      <c r="N1866" s="59"/>
      <c r="O1866" s="59"/>
      <c r="P1866" s="86">
        <f t="shared" si="53"/>
        <v>0</v>
      </c>
      <c r="Q1866" s="59"/>
      <c r="R1866" s="59"/>
      <c r="S1866" s="59"/>
      <c r="T1866" s="59"/>
      <c r="U1866" s="290"/>
      <c r="V1866" s="290"/>
      <c r="W1866" s="290"/>
      <c r="X1866" s="290"/>
      <c r="Y1866" s="290"/>
      <c r="Z1866" s="290"/>
      <c r="AA1866" s="290"/>
      <c r="AB1866" s="290"/>
      <c r="AC1866" s="290"/>
      <c r="AD1866" s="290"/>
    </row>
    <row r="1867" spans="1:30" ht="25.5">
      <c r="A1867" s="291"/>
      <c r="B1867" s="291"/>
      <c r="C1867" s="291"/>
      <c r="D1867" s="83"/>
      <c r="E1867" s="59"/>
      <c r="F1867" s="82"/>
      <c r="G1867" s="82"/>
      <c r="H1867" s="86"/>
      <c r="I1867" s="294"/>
      <c r="J1867" s="59"/>
      <c r="K1867" s="83"/>
      <c r="L1867" s="83" t="str">
        <f t="shared" si="52"/>
        <v xml:space="preserve">
</v>
      </c>
      <c r="M1867" s="83"/>
      <c r="N1867" s="59"/>
      <c r="O1867" s="59"/>
      <c r="P1867" s="86">
        <f t="shared" si="53"/>
        <v>0</v>
      </c>
      <c r="Q1867" s="59"/>
      <c r="R1867" s="59"/>
      <c r="S1867" s="59"/>
      <c r="T1867" s="59"/>
      <c r="U1867" s="290"/>
      <c r="V1867" s="290"/>
      <c r="W1867" s="290"/>
      <c r="X1867" s="290"/>
      <c r="Y1867" s="290"/>
      <c r="Z1867" s="290"/>
      <c r="AA1867" s="290"/>
      <c r="AB1867" s="290"/>
      <c r="AC1867" s="290"/>
      <c r="AD1867" s="290"/>
    </row>
    <row r="1868" spans="1:30" ht="25.5">
      <c r="A1868" s="291"/>
      <c r="B1868" s="291"/>
      <c r="C1868" s="291"/>
      <c r="D1868" s="83"/>
      <c r="E1868" s="59"/>
      <c r="F1868" s="82"/>
      <c r="G1868" s="82"/>
      <c r="H1868" s="86"/>
      <c r="I1868" s="294"/>
      <c r="J1868" s="59"/>
      <c r="K1868" s="83"/>
      <c r="L1868" s="83" t="str">
        <f t="shared" si="52"/>
        <v xml:space="preserve">
</v>
      </c>
      <c r="M1868" s="83"/>
      <c r="N1868" s="59"/>
      <c r="O1868" s="59"/>
      <c r="P1868" s="86">
        <f t="shared" si="53"/>
        <v>0</v>
      </c>
      <c r="Q1868" s="59"/>
      <c r="R1868" s="59"/>
      <c r="S1868" s="59"/>
      <c r="T1868" s="59"/>
      <c r="U1868" s="290"/>
      <c r="V1868" s="290"/>
      <c r="W1868" s="290"/>
      <c r="X1868" s="290"/>
      <c r="Y1868" s="290"/>
      <c r="Z1868" s="290"/>
      <c r="AA1868" s="290"/>
      <c r="AB1868" s="290"/>
      <c r="AC1868" s="290"/>
      <c r="AD1868" s="290"/>
    </row>
    <row r="1869" spans="1:30" ht="25.5">
      <c r="A1869" s="291"/>
      <c r="B1869" s="291"/>
      <c r="C1869" s="291"/>
      <c r="D1869" s="83"/>
      <c r="E1869" s="59"/>
      <c r="F1869" s="82"/>
      <c r="G1869" s="82"/>
      <c r="H1869" s="86"/>
      <c r="I1869" s="294"/>
      <c r="J1869" s="59"/>
      <c r="K1869" s="83"/>
      <c r="L1869" s="83" t="str">
        <f t="shared" si="52"/>
        <v xml:space="preserve">
</v>
      </c>
      <c r="M1869" s="83"/>
      <c r="N1869" s="59"/>
      <c r="O1869" s="59"/>
      <c r="P1869" s="86">
        <f t="shared" si="53"/>
        <v>0</v>
      </c>
      <c r="Q1869" s="59"/>
      <c r="R1869" s="59"/>
      <c r="S1869" s="59"/>
      <c r="T1869" s="59"/>
      <c r="U1869" s="290"/>
      <c r="V1869" s="290"/>
      <c r="W1869" s="290"/>
      <c r="X1869" s="290"/>
      <c r="Y1869" s="290"/>
      <c r="Z1869" s="290"/>
      <c r="AA1869" s="290"/>
      <c r="AB1869" s="290"/>
      <c r="AC1869" s="290"/>
      <c r="AD1869" s="290"/>
    </row>
    <row r="1870" spans="1:30" ht="25.5">
      <c r="A1870" s="291"/>
      <c r="B1870" s="291"/>
      <c r="C1870" s="291"/>
      <c r="D1870" s="83"/>
      <c r="E1870" s="59"/>
      <c r="F1870" s="82"/>
      <c r="G1870" s="82"/>
      <c r="H1870" s="86"/>
      <c r="I1870" s="294"/>
      <c r="J1870" s="59"/>
      <c r="K1870" s="83"/>
      <c r="L1870" s="83" t="str">
        <f t="shared" si="52"/>
        <v xml:space="preserve">
</v>
      </c>
      <c r="M1870" s="83"/>
      <c r="N1870" s="59"/>
      <c r="O1870" s="59"/>
      <c r="P1870" s="86">
        <f t="shared" si="53"/>
        <v>0</v>
      </c>
      <c r="Q1870" s="59"/>
      <c r="R1870" s="59"/>
      <c r="S1870" s="59"/>
      <c r="T1870" s="59"/>
      <c r="U1870" s="290"/>
      <c r="V1870" s="290"/>
      <c r="W1870" s="290"/>
      <c r="X1870" s="290"/>
      <c r="Y1870" s="290"/>
      <c r="Z1870" s="290"/>
      <c r="AA1870" s="290"/>
      <c r="AB1870" s="290"/>
      <c r="AC1870" s="290"/>
      <c r="AD1870" s="290"/>
    </row>
    <row r="1871" spans="1:30" ht="25.5">
      <c r="A1871" s="291"/>
      <c r="B1871" s="291"/>
      <c r="C1871" s="291"/>
      <c r="D1871" s="83"/>
      <c r="E1871" s="59"/>
      <c r="F1871" s="82"/>
      <c r="G1871" s="82"/>
      <c r="H1871" s="86"/>
      <c r="I1871" s="294"/>
      <c r="J1871" s="59"/>
      <c r="K1871" s="83"/>
      <c r="L1871" s="83" t="str">
        <f t="shared" si="52"/>
        <v xml:space="preserve">
</v>
      </c>
      <c r="M1871" s="83"/>
      <c r="N1871" s="59"/>
      <c r="O1871" s="59"/>
      <c r="P1871" s="86">
        <f t="shared" si="53"/>
        <v>0</v>
      </c>
      <c r="Q1871" s="59"/>
      <c r="R1871" s="59"/>
      <c r="S1871" s="59"/>
      <c r="T1871" s="59"/>
      <c r="U1871" s="290"/>
      <c r="V1871" s="290"/>
      <c r="W1871" s="290"/>
      <c r="X1871" s="290"/>
      <c r="Y1871" s="290"/>
      <c r="Z1871" s="290"/>
      <c r="AA1871" s="290"/>
      <c r="AB1871" s="290"/>
      <c r="AC1871" s="290"/>
      <c r="AD1871" s="290"/>
    </row>
    <row r="1872" spans="1:30" ht="25.5">
      <c r="A1872" s="291"/>
      <c r="B1872" s="291"/>
      <c r="C1872" s="291"/>
      <c r="D1872" s="83"/>
      <c r="E1872" s="59"/>
      <c r="F1872" s="82"/>
      <c r="G1872" s="82"/>
      <c r="H1872" s="86"/>
      <c r="I1872" s="294"/>
      <c r="J1872" s="59"/>
      <c r="K1872" s="83"/>
      <c r="L1872" s="83" t="str">
        <f t="shared" si="52"/>
        <v xml:space="preserve">
</v>
      </c>
      <c r="M1872" s="83"/>
      <c r="N1872" s="59"/>
      <c r="O1872" s="59"/>
      <c r="P1872" s="86">
        <f t="shared" si="53"/>
        <v>0</v>
      </c>
      <c r="Q1872" s="59"/>
      <c r="R1872" s="59"/>
      <c r="S1872" s="59"/>
      <c r="T1872" s="59"/>
      <c r="U1872" s="290"/>
      <c r="V1872" s="290"/>
      <c r="W1872" s="290"/>
      <c r="X1872" s="290"/>
      <c r="Y1872" s="290"/>
      <c r="Z1872" s="290"/>
      <c r="AA1872" s="290"/>
      <c r="AB1872" s="290"/>
      <c r="AC1872" s="290"/>
      <c r="AD1872" s="290"/>
    </row>
    <row r="1873" spans="1:30" ht="25.5">
      <c r="A1873" s="291"/>
      <c r="B1873" s="291"/>
      <c r="C1873" s="291"/>
      <c r="D1873" s="83"/>
      <c r="E1873" s="59"/>
      <c r="F1873" s="82"/>
      <c r="G1873" s="82"/>
      <c r="H1873" s="86"/>
      <c r="I1873" s="294"/>
      <c r="J1873" s="59"/>
      <c r="K1873" s="83"/>
      <c r="L1873" s="83" t="str">
        <f t="shared" si="52"/>
        <v xml:space="preserve">
</v>
      </c>
      <c r="M1873" s="83"/>
      <c r="N1873" s="59"/>
      <c r="O1873" s="59"/>
      <c r="P1873" s="86">
        <f t="shared" si="53"/>
        <v>0</v>
      </c>
      <c r="Q1873" s="59"/>
      <c r="R1873" s="59"/>
      <c r="S1873" s="59"/>
      <c r="T1873" s="59"/>
      <c r="U1873" s="290"/>
      <c r="V1873" s="290"/>
      <c r="W1873" s="290"/>
      <c r="X1873" s="290"/>
      <c r="Y1873" s="290"/>
      <c r="Z1873" s="290"/>
      <c r="AA1873" s="290"/>
      <c r="AB1873" s="290"/>
      <c r="AC1873" s="290"/>
      <c r="AD1873" s="290"/>
    </row>
    <row r="1874" spans="1:30" ht="25.5">
      <c r="A1874" s="291"/>
      <c r="B1874" s="291"/>
      <c r="C1874" s="291"/>
      <c r="D1874" s="83"/>
      <c r="E1874" s="59"/>
      <c r="F1874" s="82"/>
      <c r="G1874" s="82"/>
      <c r="H1874" s="86"/>
      <c r="I1874" s="294"/>
      <c r="J1874" s="59"/>
      <c r="K1874" s="83"/>
      <c r="L1874" s="83" t="str">
        <f t="shared" si="52"/>
        <v xml:space="preserve">
</v>
      </c>
      <c r="M1874" s="83"/>
      <c r="N1874" s="59"/>
      <c r="O1874" s="59"/>
      <c r="P1874" s="86">
        <f t="shared" si="53"/>
        <v>0</v>
      </c>
      <c r="Q1874" s="59"/>
      <c r="R1874" s="59"/>
      <c r="S1874" s="59"/>
      <c r="T1874" s="59"/>
      <c r="U1874" s="290"/>
      <c r="V1874" s="290"/>
      <c r="W1874" s="290"/>
      <c r="X1874" s="290"/>
      <c r="Y1874" s="290"/>
      <c r="Z1874" s="290"/>
      <c r="AA1874" s="290"/>
      <c r="AB1874" s="290"/>
      <c r="AC1874" s="290"/>
      <c r="AD1874" s="290"/>
    </row>
    <row r="1875" spans="1:30" ht="25.5">
      <c r="A1875" s="291"/>
      <c r="B1875" s="291"/>
      <c r="C1875" s="291"/>
      <c r="D1875" s="83"/>
      <c r="E1875" s="59"/>
      <c r="F1875" s="82"/>
      <c r="G1875" s="82"/>
      <c r="H1875" s="86"/>
      <c r="I1875" s="294"/>
      <c r="J1875" s="59"/>
      <c r="K1875" s="83"/>
      <c r="L1875" s="83" t="str">
        <f t="shared" si="52"/>
        <v xml:space="preserve">
</v>
      </c>
      <c r="M1875" s="83"/>
      <c r="N1875" s="59"/>
      <c r="O1875" s="59"/>
      <c r="P1875" s="86">
        <f t="shared" si="53"/>
        <v>0</v>
      </c>
      <c r="Q1875" s="59"/>
      <c r="R1875" s="59"/>
      <c r="S1875" s="59"/>
      <c r="T1875" s="59"/>
      <c r="U1875" s="290"/>
      <c r="V1875" s="290"/>
      <c r="W1875" s="290"/>
      <c r="X1875" s="290"/>
      <c r="Y1875" s="290"/>
      <c r="Z1875" s="290"/>
      <c r="AA1875" s="290"/>
      <c r="AB1875" s="290"/>
      <c r="AC1875" s="290"/>
      <c r="AD1875" s="290"/>
    </row>
    <row r="1876" spans="1:30" ht="25.5">
      <c r="A1876" s="291"/>
      <c r="B1876" s="291"/>
      <c r="C1876" s="291"/>
      <c r="D1876" s="83"/>
      <c r="E1876" s="59"/>
      <c r="F1876" s="82"/>
      <c r="G1876" s="82"/>
      <c r="H1876" s="86"/>
      <c r="I1876" s="294"/>
      <c r="J1876" s="59"/>
      <c r="K1876" s="83"/>
      <c r="L1876" s="83" t="str">
        <f t="shared" si="52"/>
        <v xml:space="preserve">
</v>
      </c>
      <c r="M1876" s="83"/>
      <c r="N1876" s="59"/>
      <c r="O1876" s="59"/>
      <c r="P1876" s="86">
        <f t="shared" si="53"/>
        <v>0</v>
      </c>
      <c r="Q1876" s="59"/>
      <c r="R1876" s="59"/>
      <c r="S1876" s="59"/>
      <c r="T1876" s="59"/>
      <c r="U1876" s="290"/>
      <c r="V1876" s="290"/>
      <c r="W1876" s="290"/>
      <c r="X1876" s="290"/>
      <c r="Y1876" s="290"/>
      <c r="Z1876" s="290"/>
      <c r="AA1876" s="290"/>
      <c r="AB1876" s="290"/>
      <c r="AC1876" s="290"/>
      <c r="AD1876" s="290"/>
    </row>
    <row r="1877" spans="1:30" ht="25.5">
      <c r="A1877" s="291"/>
      <c r="B1877" s="291"/>
      <c r="C1877" s="291"/>
      <c r="D1877" s="83"/>
      <c r="E1877" s="59"/>
      <c r="F1877" s="82"/>
      <c r="G1877" s="82"/>
      <c r="H1877" s="86"/>
      <c r="I1877" s="294"/>
      <c r="J1877" s="59"/>
      <c r="K1877" s="83"/>
      <c r="L1877" s="83" t="str">
        <f t="shared" si="52"/>
        <v xml:space="preserve">
</v>
      </c>
      <c r="M1877" s="83"/>
      <c r="N1877" s="59"/>
      <c r="O1877" s="59"/>
      <c r="P1877" s="86">
        <f t="shared" si="53"/>
        <v>0</v>
      </c>
      <c r="Q1877" s="59"/>
      <c r="R1877" s="59"/>
      <c r="S1877" s="59"/>
      <c r="T1877" s="59"/>
      <c r="U1877" s="290"/>
      <c r="V1877" s="290"/>
      <c r="W1877" s="290"/>
      <c r="X1877" s="290"/>
      <c r="Y1877" s="290"/>
      <c r="Z1877" s="290"/>
      <c r="AA1877" s="290"/>
      <c r="AB1877" s="290"/>
      <c r="AC1877" s="290"/>
      <c r="AD1877" s="290"/>
    </row>
    <row r="1878" spans="1:30" ht="25.5">
      <c r="A1878" s="291"/>
      <c r="B1878" s="291"/>
      <c r="C1878" s="291"/>
      <c r="D1878" s="83"/>
      <c r="E1878" s="59"/>
      <c r="F1878" s="82"/>
      <c r="G1878" s="82"/>
      <c r="H1878" s="86"/>
      <c r="I1878" s="294"/>
      <c r="J1878" s="59"/>
      <c r="K1878" s="83"/>
      <c r="L1878" s="83" t="str">
        <f t="shared" si="52"/>
        <v xml:space="preserve">
</v>
      </c>
      <c r="M1878" s="83"/>
      <c r="N1878" s="59"/>
      <c r="O1878" s="59"/>
      <c r="P1878" s="86">
        <f t="shared" si="53"/>
        <v>0</v>
      </c>
      <c r="Q1878" s="59"/>
      <c r="R1878" s="59"/>
      <c r="S1878" s="59"/>
      <c r="T1878" s="59"/>
      <c r="U1878" s="290"/>
      <c r="V1878" s="290"/>
      <c r="W1878" s="290"/>
      <c r="X1878" s="290"/>
      <c r="Y1878" s="290"/>
      <c r="Z1878" s="290"/>
      <c r="AA1878" s="290"/>
      <c r="AB1878" s="290"/>
      <c r="AC1878" s="290"/>
      <c r="AD1878" s="290"/>
    </row>
    <row r="1879" spans="1:30" ht="25.5">
      <c r="A1879" s="291"/>
      <c r="B1879" s="291"/>
      <c r="C1879" s="291"/>
      <c r="D1879" s="83"/>
      <c r="E1879" s="59"/>
      <c r="F1879" s="82"/>
      <c r="G1879" s="82"/>
      <c r="H1879" s="86"/>
      <c r="I1879" s="294"/>
      <c r="J1879" s="59"/>
      <c r="K1879" s="83"/>
      <c r="L1879" s="83" t="str">
        <f t="shared" si="52"/>
        <v xml:space="preserve">
</v>
      </c>
      <c r="M1879" s="83"/>
      <c r="N1879" s="59"/>
      <c r="O1879" s="59"/>
      <c r="P1879" s="86">
        <f t="shared" si="53"/>
        <v>0</v>
      </c>
      <c r="Q1879" s="59"/>
      <c r="R1879" s="59"/>
      <c r="S1879" s="59"/>
      <c r="T1879" s="59"/>
      <c r="U1879" s="290"/>
      <c r="V1879" s="290"/>
      <c r="W1879" s="290"/>
      <c r="X1879" s="290"/>
      <c r="Y1879" s="290"/>
      <c r="Z1879" s="290"/>
      <c r="AA1879" s="290"/>
      <c r="AB1879" s="290"/>
      <c r="AC1879" s="290"/>
      <c r="AD1879" s="290"/>
    </row>
    <row r="1880" spans="1:30" ht="25.5">
      <c r="A1880" s="291"/>
      <c r="B1880" s="291"/>
      <c r="C1880" s="291"/>
      <c r="D1880" s="83"/>
      <c r="E1880" s="59"/>
      <c r="F1880" s="82"/>
      <c r="G1880" s="82"/>
      <c r="H1880" s="86"/>
      <c r="I1880" s="294"/>
      <c r="J1880" s="59"/>
      <c r="K1880" s="83"/>
      <c r="L1880" s="83" t="str">
        <f t="shared" si="52"/>
        <v xml:space="preserve">
</v>
      </c>
      <c r="M1880" s="83"/>
      <c r="N1880" s="59"/>
      <c r="O1880" s="59"/>
      <c r="P1880" s="86">
        <f t="shared" si="53"/>
        <v>0</v>
      </c>
      <c r="Q1880" s="59"/>
      <c r="R1880" s="59"/>
      <c r="S1880" s="59"/>
      <c r="T1880" s="59"/>
      <c r="U1880" s="290"/>
      <c r="V1880" s="290"/>
      <c r="W1880" s="290"/>
      <c r="X1880" s="290"/>
      <c r="Y1880" s="290"/>
      <c r="Z1880" s="290"/>
      <c r="AA1880" s="290"/>
      <c r="AB1880" s="290"/>
      <c r="AC1880" s="290"/>
      <c r="AD1880" s="290"/>
    </row>
    <row r="1881" spans="1:30" ht="25.5">
      <c r="A1881" s="291"/>
      <c r="B1881" s="291"/>
      <c r="C1881" s="291"/>
      <c r="D1881" s="83"/>
      <c r="E1881" s="59"/>
      <c r="F1881" s="82"/>
      <c r="G1881" s="82"/>
      <c r="H1881" s="86"/>
      <c r="I1881" s="294"/>
      <c r="J1881" s="59"/>
      <c r="K1881" s="83"/>
      <c r="L1881" s="83" t="str">
        <f t="shared" si="52"/>
        <v xml:space="preserve">
</v>
      </c>
      <c r="M1881" s="83"/>
      <c r="N1881" s="59"/>
      <c r="O1881" s="59"/>
      <c r="P1881" s="86">
        <f t="shared" si="53"/>
        <v>0</v>
      </c>
      <c r="Q1881" s="59"/>
      <c r="R1881" s="59"/>
      <c r="S1881" s="59"/>
      <c r="T1881" s="59"/>
      <c r="U1881" s="290"/>
      <c r="V1881" s="290"/>
      <c r="W1881" s="290"/>
      <c r="X1881" s="290"/>
      <c r="Y1881" s="290"/>
      <c r="Z1881" s="290"/>
      <c r="AA1881" s="290"/>
      <c r="AB1881" s="290"/>
      <c r="AC1881" s="290"/>
      <c r="AD1881" s="290"/>
    </row>
    <row r="1882" spans="1:30" ht="25.5">
      <c r="A1882" s="291"/>
      <c r="B1882" s="291"/>
      <c r="C1882" s="291"/>
      <c r="D1882" s="83"/>
      <c r="E1882" s="59"/>
      <c r="F1882" s="82"/>
      <c r="G1882" s="82"/>
      <c r="H1882" s="86"/>
      <c r="I1882" s="294"/>
      <c r="J1882" s="59"/>
      <c r="K1882" s="83"/>
      <c r="L1882" s="83" t="str">
        <f t="shared" si="52"/>
        <v xml:space="preserve">
</v>
      </c>
      <c r="M1882" s="83"/>
      <c r="N1882" s="59"/>
      <c r="O1882" s="59"/>
      <c r="P1882" s="86">
        <f t="shared" si="53"/>
        <v>0</v>
      </c>
      <c r="Q1882" s="59"/>
      <c r="R1882" s="59"/>
      <c r="S1882" s="59"/>
      <c r="T1882" s="59"/>
      <c r="U1882" s="290"/>
      <c r="V1882" s="290"/>
      <c r="W1882" s="290"/>
      <c r="X1882" s="290"/>
      <c r="Y1882" s="290"/>
      <c r="Z1882" s="290"/>
      <c r="AA1882" s="290"/>
      <c r="AB1882" s="290"/>
      <c r="AC1882" s="290"/>
      <c r="AD1882" s="290"/>
    </row>
    <row r="1883" spans="1:30" ht="25.5">
      <c r="A1883" s="291"/>
      <c r="B1883" s="291"/>
      <c r="C1883" s="291"/>
      <c r="D1883" s="83"/>
      <c r="E1883" s="59"/>
      <c r="F1883" s="82"/>
      <c r="G1883" s="82"/>
      <c r="H1883" s="86"/>
      <c r="I1883" s="294"/>
      <c r="J1883" s="59"/>
      <c r="K1883" s="83"/>
      <c r="L1883" s="83" t="str">
        <f t="shared" si="52"/>
        <v xml:space="preserve">
</v>
      </c>
      <c r="M1883" s="83"/>
      <c r="N1883" s="59"/>
      <c r="O1883" s="59"/>
      <c r="P1883" s="86">
        <f t="shared" si="53"/>
        <v>0</v>
      </c>
      <c r="Q1883" s="59"/>
      <c r="R1883" s="59"/>
      <c r="S1883" s="59"/>
      <c r="T1883" s="59"/>
      <c r="U1883" s="290"/>
      <c r="V1883" s="290"/>
      <c r="W1883" s="290"/>
      <c r="X1883" s="290"/>
      <c r="Y1883" s="290"/>
      <c r="Z1883" s="290"/>
      <c r="AA1883" s="290"/>
      <c r="AB1883" s="290"/>
      <c r="AC1883" s="290"/>
      <c r="AD1883" s="290"/>
    </row>
    <row r="1884" spans="1:30" ht="25.5">
      <c r="A1884" s="291"/>
      <c r="B1884" s="291"/>
      <c r="C1884" s="291"/>
      <c r="D1884" s="83"/>
      <c r="E1884" s="59"/>
      <c r="F1884" s="82"/>
      <c r="G1884" s="82"/>
      <c r="H1884" s="86"/>
      <c r="I1884" s="294"/>
      <c r="J1884" s="59"/>
      <c r="K1884" s="83"/>
      <c r="L1884" s="83" t="str">
        <f t="shared" si="52"/>
        <v xml:space="preserve">
</v>
      </c>
      <c r="M1884" s="83"/>
      <c r="N1884" s="59"/>
      <c r="O1884" s="59"/>
      <c r="P1884" s="86">
        <f t="shared" si="53"/>
        <v>0</v>
      </c>
      <c r="Q1884" s="59"/>
      <c r="R1884" s="59"/>
      <c r="S1884" s="59"/>
      <c r="T1884" s="59"/>
      <c r="U1884" s="290"/>
      <c r="V1884" s="290"/>
      <c r="W1884" s="290"/>
      <c r="X1884" s="290"/>
      <c r="Y1884" s="290"/>
      <c r="Z1884" s="290"/>
      <c r="AA1884" s="290"/>
      <c r="AB1884" s="290"/>
      <c r="AC1884" s="290"/>
      <c r="AD1884" s="290"/>
    </row>
    <row r="1885" spans="1:30" ht="25.5">
      <c r="A1885" s="291"/>
      <c r="B1885" s="291"/>
      <c r="C1885" s="291"/>
      <c r="D1885" s="83"/>
      <c r="E1885" s="59"/>
      <c r="F1885" s="82"/>
      <c r="G1885" s="82"/>
      <c r="H1885" s="86"/>
      <c r="I1885" s="294"/>
      <c r="J1885" s="59"/>
      <c r="K1885" s="83"/>
      <c r="L1885" s="83" t="str">
        <f t="shared" si="52"/>
        <v xml:space="preserve">
</v>
      </c>
      <c r="M1885" s="83"/>
      <c r="N1885" s="59"/>
      <c r="O1885" s="59"/>
      <c r="P1885" s="86">
        <f t="shared" si="53"/>
        <v>0</v>
      </c>
      <c r="Q1885" s="59"/>
      <c r="R1885" s="59"/>
      <c r="S1885" s="59"/>
      <c r="T1885" s="59"/>
      <c r="U1885" s="290"/>
      <c r="V1885" s="290"/>
      <c r="W1885" s="290"/>
      <c r="X1885" s="290"/>
      <c r="Y1885" s="290"/>
      <c r="Z1885" s="290"/>
      <c r="AA1885" s="290"/>
      <c r="AB1885" s="290"/>
      <c r="AC1885" s="290"/>
      <c r="AD1885" s="290"/>
    </row>
    <row r="1886" spans="1:30" ht="25.5">
      <c r="A1886" s="291"/>
      <c r="B1886" s="291"/>
      <c r="C1886" s="291"/>
      <c r="D1886" s="83"/>
      <c r="E1886" s="59"/>
      <c r="F1886" s="82"/>
      <c r="G1886" s="82"/>
      <c r="H1886" s="86"/>
      <c r="I1886" s="294"/>
      <c r="J1886" s="59"/>
      <c r="K1886" s="83"/>
      <c r="L1886" s="83" t="str">
        <f t="shared" si="52"/>
        <v xml:space="preserve">
</v>
      </c>
      <c r="M1886" s="83"/>
      <c r="N1886" s="59"/>
      <c r="O1886" s="59"/>
      <c r="P1886" s="86">
        <f t="shared" si="53"/>
        <v>0</v>
      </c>
      <c r="Q1886" s="59"/>
      <c r="R1886" s="59"/>
      <c r="S1886" s="59"/>
      <c r="T1886" s="59"/>
      <c r="U1886" s="290"/>
      <c r="V1886" s="290"/>
      <c r="W1886" s="290"/>
      <c r="X1886" s="290"/>
      <c r="Y1886" s="290"/>
      <c r="Z1886" s="290"/>
      <c r="AA1886" s="290"/>
      <c r="AB1886" s="290"/>
      <c r="AC1886" s="290"/>
      <c r="AD1886" s="290"/>
    </row>
    <row r="1887" spans="1:30" ht="25.5">
      <c r="A1887" s="291"/>
      <c r="B1887" s="291"/>
      <c r="C1887" s="291"/>
      <c r="D1887" s="83"/>
      <c r="E1887" s="59"/>
      <c r="F1887" s="82"/>
      <c r="G1887" s="82"/>
      <c r="H1887" s="86"/>
      <c r="I1887" s="294"/>
      <c r="J1887" s="59"/>
      <c r="K1887" s="83"/>
      <c r="L1887" s="83" t="str">
        <f t="shared" si="52"/>
        <v xml:space="preserve">
</v>
      </c>
      <c r="M1887" s="83"/>
      <c r="N1887" s="59"/>
      <c r="O1887" s="59"/>
      <c r="P1887" s="86">
        <f t="shared" si="53"/>
        <v>0</v>
      </c>
      <c r="Q1887" s="59"/>
      <c r="R1887" s="59"/>
      <c r="S1887" s="59"/>
      <c r="T1887" s="59"/>
      <c r="U1887" s="290"/>
      <c r="V1887" s="290"/>
      <c r="W1887" s="290"/>
      <c r="X1887" s="290"/>
      <c r="Y1887" s="290"/>
      <c r="Z1887" s="290"/>
      <c r="AA1887" s="290"/>
      <c r="AB1887" s="290"/>
      <c r="AC1887" s="290"/>
      <c r="AD1887" s="290"/>
    </row>
    <row r="1888" spans="1:30" ht="25.5">
      <c r="A1888" s="291"/>
      <c r="B1888" s="291"/>
      <c r="C1888" s="291"/>
      <c r="D1888" s="83"/>
      <c r="E1888" s="59"/>
      <c r="F1888" s="82"/>
      <c r="G1888" s="82"/>
      <c r="H1888" s="86"/>
      <c r="I1888" s="294"/>
      <c r="J1888" s="59"/>
      <c r="K1888" s="83"/>
      <c r="L1888" s="83" t="str">
        <f t="shared" si="52"/>
        <v xml:space="preserve">
</v>
      </c>
      <c r="M1888" s="83"/>
      <c r="N1888" s="59"/>
      <c r="O1888" s="59"/>
      <c r="P1888" s="86">
        <f t="shared" si="53"/>
        <v>0</v>
      </c>
      <c r="Q1888" s="59"/>
      <c r="R1888" s="59"/>
      <c r="S1888" s="59"/>
      <c r="T1888" s="59"/>
      <c r="U1888" s="290"/>
      <c r="V1888" s="290"/>
      <c r="W1888" s="290"/>
      <c r="X1888" s="290"/>
      <c r="Y1888" s="290"/>
      <c r="Z1888" s="290"/>
      <c r="AA1888" s="290"/>
      <c r="AB1888" s="290"/>
      <c r="AC1888" s="290"/>
      <c r="AD1888" s="290"/>
    </row>
    <row r="1889" spans="1:30" ht="25.5">
      <c r="A1889" s="291"/>
      <c r="B1889" s="291"/>
      <c r="C1889" s="291"/>
      <c r="D1889" s="83"/>
      <c r="E1889" s="59"/>
      <c r="F1889" s="82"/>
      <c r="G1889" s="82"/>
      <c r="H1889" s="86"/>
      <c r="I1889" s="294"/>
      <c r="J1889" s="59"/>
      <c r="K1889" s="83"/>
      <c r="L1889" s="83" t="str">
        <f t="shared" si="52"/>
        <v xml:space="preserve">
</v>
      </c>
      <c r="M1889" s="83"/>
      <c r="N1889" s="59"/>
      <c r="O1889" s="59"/>
      <c r="P1889" s="86">
        <f t="shared" si="53"/>
        <v>0</v>
      </c>
      <c r="Q1889" s="59"/>
      <c r="R1889" s="59"/>
      <c r="S1889" s="59"/>
      <c r="T1889" s="59"/>
      <c r="U1889" s="290"/>
      <c r="V1889" s="290"/>
      <c r="W1889" s="290"/>
      <c r="X1889" s="290"/>
      <c r="Y1889" s="290"/>
      <c r="Z1889" s="290"/>
      <c r="AA1889" s="290"/>
      <c r="AB1889" s="290"/>
      <c r="AC1889" s="290"/>
      <c r="AD1889" s="290"/>
    </row>
    <row r="1890" spans="1:30" ht="25.5">
      <c r="A1890" s="291"/>
      <c r="B1890" s="291"/>
      <c r="C1890" s="291"/>
      <c r="D1890" s="83"/>
      <c r="E1890" s="59"/>
      <c r="F1890" s="82"/>
      <c r="G1890" s="82"/>
      <c r="H1890" s="86"/>
      <c r="I1890" s="294"/>
      <c r="J1890" s="59"/>
      <c r="K1890" s="83"/>
      <c r="L1890" s="83" t="str">
        <f t="shared" si="52"/>
        <v xml:space="preserve">
</v>
      </c>
      <c r="M1890" s="83"/>
      <c r="N1890" s="59"/>
      <c r="O1890" s="59"/>
      <c r="P1890" s="86">
        <f t="shared" si="53"/>
        <v>0</v>
      </c>
      <c r="Q1890" s="59"/>
      <c r="R1890" s="59"/>
      <c r="S1890" s="59"/>
      <c r="T1890" s="59"/>
      <c r="U1890" s="290"/>
      <c r="V1890" s="290"/>
      <c r="W1890" s="290"/>
      <c r="X1890" s="290"/>
      <c r="Y1890" s="290"/>
      <c r="Z1890" s="290"/>
      <c r="AA1890" s="290"/>
      <c r="AB1890" s="290"/>
      <c r="AC1890" s="290"/>
      <c r="AD1890" s="290"/>
    </row>
    <row r="1891" spans="1:30" ht="25.5">
      <c r="A1891" s="291"/>
      <c r="B1891" s="291"/>
      <c r="C1891" s="291"/>
      <c r="D1891" s="83"/>
      <c r="E1891" s="59"/>
      <c r="F1891" s="82"/>
      <c r="G1891" s="82"/>
      <c r="H1891" s="86"/>
      <c r="I1891" s="294"/>
      <c r="J1891" s="59"/>
      <c r="K1891" s="83"/>
      <c r="L1891" s="83" t="str">
        <f t="shared" si="52"/>
        <v xml:space="preserve">
</v>
      </c>
      <c r="M1891" s="83"/>
      <c r="N1891" s="59"/>
      <c r="O1891" s="59"/>
      <c r="P1891" s="86">
        <f t="shared" si="53"/>
        <v>0</v>
      </c>
      <c r="Q1891" s="59"/>
      <c r="R1891" s="59"/>
      <c r="S1891" s="59"/>
      <c r="T1891" s="59"/>
      <c r="U1891" s="290"/>
      <c r="V1891" s="290"/>
      <c r="W1891" s="290"/>
      <c r="X1891" s="290"/>
      <c r="Y1891" s="290"/>
      <c r="Z1891" s="290"/>
      <c r="AA1891" s="290"/>
      <c r="AB1891" s="290"/>
      <c r="AC1891" s="290"/>
      <c r="AD1891" s="290"/>
    </row>
    <row r="1892" spans="1:30" ht="25.5">
      <c r="A1892" s="291"/>
      <c r="B1892" s="291"/>
      <c r="C1892" s="291"/>
      <c r="D1892" s="83"/>
      <c r="E1892" s="59"/>
      <c r="F1892" s="82"/>
      <c r="G1892" s="82"/>
      <c r="H1892" s="86"/>
      <c r="I1892" s="294"/>
      <c r="J1892" s="59"/>
      <c r="K1892" s="83"/>
      <c r="L1892" s="83" t="str">
        <f t="shared" si="52"/>
        <v xml:space="preserve">
</v>
      </c>
      <c r="M1892" s="83"/>
      <c r="N1892" s="59"/>
      <c r="O1892" s="59"/>
      <c r="P1892" s="86">
        <f t="shared" si="53"/>
        <v>0</v>
      </c>
      <c r="Q1892" s="59"/>
      <c r="R1892" s="59"/>
      <c r="S1892" s="59"/>
      <c r="T1892" s="59"/>
      <c r="U1892" s="290"/>
      <c r="V1892" s="290"/>
      <c r="W1892" s="290"/>
      <c r="X1892" s="290"/>
      <c r="Y1892" s="290"/>
      <c r="Z1892" s="290"/>
      <c r="AA1892" s="290"/>
      <c r="AB1892" s="290"/>
      <c r="AC1892" s="290"/>
      <c r="AD1892" s="290"/>
    </row>
    <row r="1893" spans="1:30" ht="25.5">
      <c r="A1893" s="291"/>
      <c r="B1893" s="291"/>
      <c r="C1893" s="291"/>
      <c r="D1893" s="83"/>
      <c r="E1893" s="59"/>
      <c r="F1893" s="82"/>
      <c r="G1893" s="82"/>
      <c r="H1893" s="86"/>
      <c r="I1893" s="294"/>
      <c r="J1893" s="59"/>
      <c r="K1893" s="83"/>
      <c r="L1893" s="83" t="str">
        <f t="shared" si="52"/>
        <v xml:space="preserve">
</v>
      </c>
      <c r="M1893" s="83"/>
      <c r="N1893" s="59"/>
      <c r="O1893" s="59"/>
      <c r="P1893" s="86">
        <f t="shared" si="53"/>
        <v>0</v>
      </c>
      <c r="Q1893" s="59"/>
      <c r="R1893" s="59"/>
      <c r="S1893" s="59"/>
      <c r="T1893" s="59"/>
      <c r="U1893" s="290"/>
      <c r="V1893" s="290"/>
      <c r="W1893" s="290"/>
      <c r="X1893" s="290"/>
      <c r="Y1893" s="290"/>
      <c r="Z1893" s="290"/>
      <c r="AA1893" s="290"/>
      <c r="AB1893" s="290"/>
      <c r="AC1893" s="290"/>
      <c r="AD1893" s="290"/>
    </row>
    <row r="1894" spans="1:30" ht="25.5">
      <c r="A1894" s="291"/>
      <c r="B1894" s="291"/>
      <c r="C1894" s="291"/>
      <c r="D1894" s="83"/>
      <c r="E1894" s="59"/>
      <c r="F1894" s="82"/>
      <c r="G1894" s="82"/>
      <c r="H1894" s="86"/>
      <c r="I1894" s="294"/>
      <c r="J1894" s="59"/>
      <c r="K1894" s="83"/>
      <c r="L1894" s="83" t="str">
        <f t="shared" si="52"/>
        <v xml:space="preserve">
</v>
      </c>
      <c r="M1894" s="83"/>
      <c r="N1894" s="59"/>
      <c r="O1894" s="59"/>
      <c r="P1894" s="86">
        <f t="shared" si="53"/>
        <v>0</v>
      </c>
      <c r="Q1894" s="59"/>
      <c r="R1894" s="59"/>
      <c r="S1894" s="59"/>
      <c r="T1894" s="59"/>
      <c r="U1894" s="290"/>
      <c r="V1894" s="290"/>
      <c r="W1894" s="290"/>
      <c r="X1894" s="290"/>
      <c r="Y1894" s="290"/>
      <c r="Z1894" s="290"/>
      <c r="AA1894" s="290"/>
      <c r="AB1894" s="290"/>
      <c r="AC1894" s="290"/>
      <c r="AD1894" s="290"/>
    </row>
    <row r="1895" spans="1:30" ht="25.5">
      <c r="A1895" s="291"/>
      <c r="B1895" s="291"/>
      <c r="C1895" s="291"/>
      <c r="D1895" s="83"/>
      <c r="E1895" s="59"/>
      <c r="F1895" s="82"/>
      <c r="G1895" s="82"/>
      <c r="H1895" s="86"/>
      <c r="I1895" s="294"/>
      <c r="J1895" s="59"/>
      <c r="K1895" s="83"/>
      <c r="L1895" s="83" t="str">
        <f t="shared" si="52"/>
        <v xml:space="preserve">
</v>
      </c>
      <c r="M1895" s="83"/>
      <c r="N1895" s="59"/>
      <c r="O1895" s="59"/>
      <c r="P1895" s="86">
        <f t="shared" si="53"/>
        <v>0</v>
      </c>
      <c r="Q1895" s="59"/>
      <c r="R1895" s="59"/>
      <c r="S1895" s="59"/>
      <c r="T1895" s="59"/>
      <c r="U1895" s="290"/>
      <c r="V1895" s="290"/>
      <c r="W1895" s="290"/>
      <c r="X1895" s="290"/>
      <c r="Y1895" s="290"/>
      <c r="Z1895" s="290"/>
      <c r="AA1895" s="290"/>
      <c r="AB1895" s="290"/>
      <c r="AC1895" s="290"/>
      <c r="AD1895" s="290"/>
    </row>
    <row r="1896" spans="1:30" ht="25.5">
      <c r="A1896" s="291"/>
      <c r="B1896" s="291"/>
      <c r="C1896" s="291"/>
      <c r="D1896" s="83"/>
      <c r="E1896" s="59"/>
      <c r="F1896" s="82"/>
      <c r="G1896" s="82"/>
      <c r="H1896" s="86"/>
      <c r="I1896" s="294"/>
      <c r="J1896" s="59"/>
      <c r="K1896" s="83"/>
      <c r="L1896" s="83" t="str">
        <f t="shared" si="52"/>
        <v xml:space="preserve">
</v>
      </c>
      <c r="M1896" s="83"/>
      <c r="N1896" s="59"/>
      <c r="O1896" s="59"/>
      <c r="P1896" s="86">
        <f t="shared" si="53"/>
        <v>0</v>
      </c>
      <c r="Q1896" s="59"/>
      <c r="R1896" s="59"/>
      <c r="S1896" s="59"/>
      <c r="T1896" s="59"/>
      <c r="U1896" s="290"/>
      <c r="V1896" s="290"/>
      <c r="W1896" s="290"/>
      <c r="X1896" s="290"/>
      <c r="Y1896" s="290"/>
      <c r="Z1896" s="290"/>
      <c r="AA1896" s="290"/>
      <c r="AB1896" s="290"/>
      <c r="AC1896" s="290"/>
      <c r="AD1896" s="290"/>
    </row>
    <row r="1897" spans="1:30" ht="25.5">
      <c r="A1897" s="291"/>
      <c r="B1897" s="291"/>
      <c r="C1897" s="291"/>
      <c r="D1897" s="83"/>
      <c r="E1897" s="59"/>
      <c r="F1897" s="82"/>
      <c r="G1897" s="82"/>
      <c r="H1897" s="86"/>
      <c r="I1897" s="294"/>
      <c r="J1897" s="59"/>
      <c r="K1897" s="83"/>
      <c r="L1897" s="83" t="str">
        <f t="shared" si="52"/>
        <v xml:space="preserve">
</v>
      </c>
      <c r="M1897" s="83"/>
      <c r="N1897" s="59"/>
      <c r="O1897" s="59"/>
      <c r="P1897" s="86">
        <f t="shared" si="53"/>
        <v>0</v>
      </c>
      <c r="Q1897" s="59"/>
      <c r="R1897" s="59"/>
      <c r="S1897" s="59"/>
      <c r="T1897" s="59"/>
      <c r="U1897" s="290"/>
      <c r="V1897" s="290"/>
      <c r="W1897" s="290"/>
      <c r="X1897" s="290"/>
      <c r="Y1897" s="290"/>
      <c r="Z1897" s="290"/>
      <c r="AA1897" s="290"/>
      <c r="AB1897" s="290"/>
      <c r="AC1897" s="290"/>
      <c r="AD1897" s="290"/>
    </row>
    <row r="1898" spans="1:30" ht="25.5">
      <c r="A1898" s="291"/>
      <c r="B1898" s="291"/>
      <c r="C1898" s="291"/>
      <c r="D1898" s="83"/>
      <c r="E1898" s="59"/>
      <c r="F1898" s="82"/>
      <c r="G1898" s="82"/>
      <c r="H1898" s="86"/>
      <c r="I1898" s="294"/>
      <c r="J1898" s="59"/>
      <c r="K1898" s="83"/>
      <c r="L1898" s="83" t="str">
        <f t="shared" si="52"/>
        <v xml:space="preserve">
</v>
      </c>
      <c r="M1898" s="83"/>
      <c r="N1898" s="59"/>
      <c r="O1898" s="59"/>
      <c r="P1898" s="86">
        <f t="shared" si="53"/>
        <v>0</v>
      </c>
      <c r="Q1898" s="59"/>
      <c r="R1898" s="59"/>
      <c r="S1898" s="59"/>
      <c r="T1898" s="59"/>
      <c r="U1898" s="290"/>
      <c r="V1898" s="290"/>
      <c r="W1898" s="290"/>
      <c r="X1898" s="290"/>
      <c r="Y1898" s="290"/>
      <c r="Z1898" s="290"/>
      <c r="AA1898" s="290"/>
      <c r="AB1898" s="290"/>
      <c r="AC1898" s="290"/>
      <c r="AD1898" s="290"/>
    </row>
    <row r="1899" spans="1:30" ht="25.5">
      <c r="A1899" s="291"/>
      <c r="B1899" s="291"/>
      <c r="C1899" s="291"/>
      <c r="D1899" s="83"/>
      <c r="E1899" s="59"/>
      <c r="F1899" s="82"/>
      <c r="G1899" s="82"/>
      <c r="H1899" s="86"/>
      <c r="I1899" s="294"/>
      <c r="J1899" s="59"/>
      <c r="K1899" s="83"/>
      <c r="L1899" s="83" t="str">
        <f t="shared" si="52"/>
        <v xml:space="preserve">
</v>
      </c>
      <c r="M1899" s="83"/>
      <c r="N1899" s="59"/>
      <c r="O1899" s="59"/>
      <c r="P1899" s="86">
        <f t="shared" si="53"/>
        <v>0</v>
      </c>
      <c r="Q1899" s="59"/>
      <c r="R1899" s="59"/>
      <c r="S1899" s="59"/>
      <c r="T1899" s="59"/>
      <c r="U1899" s="290"/>
      <c r="V1899" s="290"/>
      <c r="W1899" s="290"/>
      <c r="X1899" s="290"/>
      <c r="Y1899" s="290"/>
      <c r="Z1899" s="290"/>
      <c r="AA1899" s="290"/>
      <c r="AB1899" s="290"/>
      <c r="AC1899" s="290"/>
      <c r="AD1899" s="290"/>
    </row>
    <row r="1900" spans="1:30" ht="25.5">
      <c r="A1900" s="291"/>
      <c r="B1900" s="291"/>
      <c r="C1900" s="291"/>
      <c r="D1900" s="83"/>
      <c r="E1900" s="59"/>
      <c r="F1900" s="82"/>
      <c r="G1900" s="82"/>
      <c r="H1900" s="86"/>
      <c r="I1900" s="294"/>
      <c r="J1900" s="59"/>
      <c r="K1900" s="83"/>
      <c r="L1900" s="83" t="str">
        <f t="shared" si="52"/>
        <v xml:space="preserve">
</v>
      </c>
      <c r="M1900" s="83"/>
      <c r="N1900" s="59"/>
      <c r="O1900" s="59"/>
      <c r="P1900" s="86">
        <f t="shared" si="53"/>
        <v>0</v>
      </c>
      <c r="Q1900" s="59"/>
      <c r="R1900" s="59"/>
      <c r="S1900" s="59"/>
      <c r="T1900" s="59"/>
      <c r="U1900" s="290"/>
      <c r="V1900" s="290"/>
      <c r="W1900" s="290"/>
      <c r="X1900" s="290"/>
      <c r="Y1900" s="290"/>
      <c r="Z1900" s="290"/>
      <c r="AA1900" s="290"/>
      <c r="AB1900" s="290"/>
      <c r="AC1900" s="290"/>
      <c r="AD1900" s="290"/>
    </row>
    <row r="1901" spans="1:30" ht="25.5">
      <c r="A1901" s="291"/>
      <c r="B1901" s="291"/>
      <c r="C1901" s="291"/>
      <c r="D1901" s="83"/>
      <c r="E1901" s="59"/>
      <c r="F1901" s="82"/>
      <c r="G1901" s="82"/>
      <c r="H1901" s="86"/>
      <c r="I1901" s="294"/>
      <c r="J1901" s="59"/>
      <c r="K1901" s="83"/>
      <c r="L1901" s="83" t="str">
        <f t="shared" si="52"/>
        <v xml:space="preserve">
</v>
      </c>
      <c r="M1901" s="83"/>
      <c r="N1901" s="59"/>
      <c r="O1901" s="59"/>
      <c r="P1901" s="86">
        <f t="shared" si="53"/>
        <v>0</v>
      </c>
      <c r="Q1901" s="59"/>
      <c r="R1901" s="59"/>
      <c r="S1901" s="59"/>
      <c r="T1901" s="59"/>
      <c r="U1901" s="290"/>
      <c r="V1901" s="290"/>
      <c r="W1901" s="290"/>
      <c r="X1901" s="290"/>
      <c r="Y1901" s="290"/>
      <c r="Z1901" s="290"/>
      <c r="AA1901" s="290"/>
      <c r="AB1901" s="290"/>
      <c r="AC1901" s="290"/>
      <c r="AD1901" s="290"/>
    </row>
    <row r="1902" spans="1:30" ht="25.5">
      <c r="A1902" s="291"/>
      <c r="B1902" s="291"/>
      <c r="C1902" s="291"/>
      <c r="D1902" s="83"/>
      <c r="E1902" s="59"/>
      <c r="F1902" s="82"/>
      <c r="G1902" s="82"/>
      <c r="H1902" s="86"/>
      <c r="I1902" s="294"/>
      <c r="J1902" s="59"/>
      <c r="K1902" s="83"/>
      <c r="L1902" s="83" t="str">
        <f t="shared" si="52"/>
        <v xml:space="preserve">
</v>
      </c>
      <c r="M1902" s="83"/>
      <c r="N1902" s="59"/>
      <c r="O1902" s="59"/>
      <c r="P1902" s="86">
        <f t="shared" si="53"/>
        <v>0</v>
      </c>
      <c r="Q1902" s="59"/>
      <c r="R1902" s="59"/>
      <c r="S1902" s="59"/>
      <c r="T1902" s="59"/>
      <c r="U1902" s="290"/>
      <c r="V1902" s="290"/>
      <c r="W1902" s="290"/>
      <c r="X1902" s="290"/>
      <c r="Y1902" s="290"/>
      <c r="Z1902" s="290"/>
      <c r="AA1902" s="290"/>
      <c r="AB1902" s="290"/>
      <c r="AC1902" s="290"/>
      <c r="AD1902" s="290"/>
    </row>
    <row r="1903" spans="1:30" ht="25.5">
      <c r="A1903" s="291"/>
      <c r="B1903" s="291"/>
      <c r="C1903" s="291"/>
      <c r="D1903" s="83"/>
      <c r="E1903" s="59"/>
      <c r="F1903" s="82"/>
      <c r="G1903" s="82"/>
      <c r="H1903" s="86"/>
      <c r="I1903" s="294"/>
      <c r="J1903" s="59"/>
      <c r="K1903" s="83"/>
      <c r="L1903" s="83" t="str">
        <f t="shared" si="52"/>
        <v xml:space="preserve">
</v>
      </c>
      <c r="M1903" s="83"/>
      <c r="N1903" s="59"/>
      <c r="O1903" s="59"/>
      <c r="P1903" s="86">
        <f t="shared" si="53"/>
        <v>0</v>
      </c>
      <c r="Q1903" s="59"/>
      <c r="R1903" s="59"/>
      <c r="S1903" s="59"/>
      <c r="T1903" s="59"/>
      <c r="U1903" s="290"/>
      <c r="V1903" s="290"/>
      <c r="W1903" s="290"/>
      <c r="X1903" s="290"/>
      <c r="Y1903" s="290"/>
      <c r="Z1903" s="290"/>
      <c r="AA1903" s="290"/>
      <c r="AB1903" s="290"/>
      <c r="AC1903" s="290"/>
      <c r="AD1903" s="290"/>
    </row>
    <row r="1904" spans="1:30" ht="25.5">
      <c r="A1904" s="291"/>
      <c r="B1904" s="291"/>
      <c r="C1904" s="291"/>
      <c r="D1904" s="83"/>
      <c r="E1904" s="59"/>
      <c r="F1904" s="82"/>
      <c r="G1904" s="82"/>
      <c r="H1904" s="86"/>
      <c r="I1904" s="294"/>
      <c r="J1904" s="59"/>
      <c r="K1904" s="83"/>
      <c r="L1904" s="83" t="str">
        <f t="shared" si="52"/>
        <v xml:space="preserve">
</v>
      </c>
      <c r="M1904" s="83"/>
      <c r="N1904" s="59"/>
      <c r="O1904" s="59"/>
      <c r="P1904" s="86">
        <f t="shared" si="53"/>
        <v>0</v>
      </c>
      <c r="Q1904" s="59"/>
      <c r="R1904" s="59"/>
      <c r="S1904" s="59"/>
      <c r="T1904" s="59"/>
      <c r="U1904" s="290"/>
      <c r="V1904" s="290"/>
      <c r="W1904" s="290"/>
      <c r="X1904" s="290"/>
      <c r="Y1904" s="290"/>
      <c r="Z1904" s="290"/>
      <c r="AA1904" s="290"/>
      <c r="AB1904" s="290"/>
      <c r="AC1904" s="290"/>
      <c r="AD1904" s="290"/>
    </row>
    <row r="1905" spans="1:30" ht="25.5">
      <c r="A1905" s="291"/>
      <c r="B1905" s="291"/>
      <c r="C1905" s="291"/>
      <c r="D1905" s="83"/>
      <c r="E1905" s="59"/>
      <c r="F1905" s="82"/>
      <c r="G1905" s="82"/>
      <c r="H1905" s="86"/>
      <c r="I1905" s="294"/>
      <c r="J1905" s="59"/>
      <c r="K1905" s="83"/>
      <c r="L1905" s="83" t="str">
        <f t="shared" si="52"/>
        <v xml:space="preserve">
</v>
      </c>
      <c r="M1905" s="83"/>
      <c r="N1905" s="59"/>
      <c r="O1905" s="59"/>
      <c r="P1905" s="86">
        <f t="shared" si="53"/>
        <v>0</v>
      </c>
      <c r="Q1905" s="59"/>
      <c r="R1905" s="59"/>
      <c r="S1905" s="59"/>
      <c r="T1905" s="59"/>
      <c r="U1905" s="290"/>
      <c r="V1905" s="290"/>
      <c r="W1905" s="290"/>
      <c r="X1905" s="290"/>
      <c r="Y1905" s="290"/>
      <c r="Z1905" s="290"/>
      <c r="AA1905" s="290"/>
      <c r="AB1905" s="290"/>
      <c r="AC1905" s="290"/>
      <c r="AD1905" s="290"/>
    </row>
    <row r="1906" spans="1:30" ht="25.5">
      <c r="A1906" s="291"/>
      <c r="B1906" s="291"/>
      <c r="C1906" s="291"/>
      <c r="D1906" s="83"/>
      <c r="E1906" s="59"/>
      <c r="F1906" s="82"/>
      <c r="G1906" s="82"/>
      <c r="H1906" s="86"/>
      <c r="I1906" s="294"/>
      <c r="J1906" s="59"/>
      <c r="K1906" s="83"/>
      <c r="L1906" s="83" t="str">
        <f t="shared" si="52"/>
        <v xml:space="preserve">
</v>
      </c>
      <c r="M1906" s="83"/>
      <c r="N1906" s="59"/>
      <c r="O1906" s="59"/>
      <c r="P1906" s="86">
        <f t="shared" si="53"/>
        <v>0</v>
      </c>
      <c r="Q1906" s="59"/>
      <c r="R1906" s="59"/>
      <c r="S1906" s="59"/>
      <c r="T1906" s="59"/>
      <c r="U1906" s="290"/>
      <c r="V1906" s="290"/>
      <c r="W1906" s="290"/>
      <c r="X1906" s="290"/>
      <c r="Y1906" s="290"/>
      <c r="Z1906" s="290"/>
      <c r="AA1906" s="290"/>
      <c r="AB1906" s="290"/>
      <c r="AC1906" s="290"/>
      <c r="AD1906" s="290"/>
    </row>
    <row r="1907" spans="1:30" ht="25.5">
      <c r="A1907" s="291"/>
      <c r="B1907" s="291"/>
      <c r="C1907" s="291"/>
      <c r="D1907" s="83"/>
      <c r="E1907" s="59"/>
      <c r="F1907" s="82"/>
      <c r="G1907" s="82"/>
      <c r="H1907" s="86"/>
      <c r="I1907" s="294"/>
      <c r="J1907" s="59"/>
      <c r="K1907" s="83"/>
      <c r="L1907" s="83" t="str">
        <f t="shared" si="52"/>
        <v xml:space="preserve">
</v>
      </c>
      <c r="M1907" s="83"/>
      <c r="N1907" s="59"/>
      <c r="O1907" s="59"/>
      <c r="P1907" s="86">
        <f t="shared" si="53"/>
        <v>0</v>
      </c>
      <c r="Q1907" s="59"/>
      <c r="R1907" s="59"/>
      <c r="S1907" s="59"/>
      <c r="T1907" s="59"/>
      <c r="U1907" s="290"/>
      <c r="V1907" s="290"/>
      <c r="W1907" s="290"/>
      <c r="X1907" s="290"/>
      <c r="Y1907" s="290"/>
      <c r="Z1907" s="290"/>
      <c r="AA1907" s="290"/>
      <c r="AB1907" s="290"/>
      <c r="AC1907" s="290"/>
      <c r="AD1907" s="290"/>
    </row>
    <row r="1908" spans="1:30" ht="25.5">
      <c r="A1908" s="291"/>
      <c r="B1908" s="291"/>
      <c r="C1908" s="291"/>
      <c r="D1908" s="83"/>
      <c r="E1908" s="59"/>
      <c r="F1908" s="82"/>
      <c r="G1908" s="82"/>
      <c r="H1908" s="86"/>
      <c r="I1908" s="294"/>
      <c r="J1908" s="59"/>
      <c r="K1908" s="83"/>
      <c r="L1908" s="83" t="str">
        <f t="shared" si="52"/>
        <v xml:space="preserve">
</v>
      </c>
      <c r="M1908" s="83"/>
      <c r="N1908" s="59"/>
      <c r="O1908" s="59"/>
      <c r="P1908" s="86">
        <f t="shared" si="53"/>
        <v>0</v>
      </c>
      <c r="Q1908" s="59"/>
      <c r="R1908" s="59"/>
      <c r="S1908" s="59"/>
      <c r="T1908" s="59"/>
      <c r="U1908" s="290"/>
      <c r="V1908" s="290"/>
      <c r="W1908" s="290"/>
      <c r="X1908" s="290"/>
      <c r="Y1908" s="290"/>
      <c r="Z1908" s="290"/>
      <c r="AA1908" s="290"/>
      <c r="AB1908" s="290"/>
      <c r="AC1908" s="290"/>
      <c r="AD1908" s="290"/>
    </row>
    <row r="1909" spans="1:30" ht="25.5">
      <c r="A1909" s="291"/>
      <c r="B1909" s="291"/>
      <c r="C1909" s="291"/>
      <c r="D1909" s="83"/>
      <c r="E1909" s="59"/>
      <c r="F1909" s="82"/>
      <c r="G1909" s="82"/>
      <c r="H1909" s="86"/>
      <c r="I1909" s="294"/>
      <c r="J1909" s="59"/>
      <c r="K1909" s="83"/>
      <c r="L1909" s="83" t="str">
        <f t="shared" si="52"/>
        <v xml:space="preserve">
</v>
      </c>
      <c r="M1909" s="83"/>
      <c r="N1909" s="59"/>
      <c r="O1909" s="59"/>
      <c r="P1909" s="86">
        <f t="shared" si="53"/>
        <v>0</v>
      </c>
      <c r="Q1909" s="59"/>
      <c r="R1909" s="59"/>
      <c r="S1909" s="59"/>
      <c r="T1909" s="59"/>
      <c r="U1909" s="290"/>
      <c r="V1909" s="290"/>
      <c r="W1909" s="290"/>
      <c r="X1909" s="290"/>
      <c r="Y1909" s="290"/>
      <c r="Z1909" s="290"/>
      <c r="AA1909" s="290"/>
      <c r="AB1909" s="290"/>
      <c r="AC1909" s="290"/>
      <c r="AD1909" s="290"/>
    </row>
    <row r="1910" spans="1:30" ht="25.5">
      <c r="A1910" s="291"/>
      <c r="B1910" s="291"/>
      <c r="C1910" s="291"/>
      <c r="D1910" s="83"/>
      <c r="E1910" s="59"/>
      <c r="F1910" s="82"/>
      <c r="G1910" s="82"/>
      <c r="H1910" s="86"/>
      <c r="I1910" s="294"/>
      <c r="J1910" s="59"/>
      <c r="K1910" s="83"/>
      <c r="L1910" s="83" t="str">
        <f t="shared" si="52"/>
        <v xml:space="preserve">
</v>
      </c>
      <c r="M1910" s="83"/>
      <c r="N1910" s="59"/>
      <c r="O1910" s="59"/>
      <c r="P1910" s="86">
        <f t="shared" si="53"/>
        <v>0</v>
      </c>
      <c r="Q1910" s="59"/>
      <c r="R1910" s="59"/>
      <c r="S1910" s="59"/>
      <c r="T1910" s="59"/>
      <c r="U1910" s="290"/>
      <c r="V1910" s="290"/>
      <c r="W1910" s="290"/>
      <c r="X1910" s="290"/>
      <c r="Y1910" s="290"/>
      <c r="Z1910" s="290"/>
      <c r="AA1910" s="290"/>
      <c r="AB1910" s="290"/>
      <c r="AC1910" s="290"/>
      <c r="AD1910" s="290"/>
    </row>
    <row r="1911" spans="1:30" ht="25.5">
      <c r="A1911" s="291"/>
      <c r="B1911" s="291"/>
      <c r="C1911" s="291"/>
      <c r="D1911" s="83"/>
      <c r="E1911" s="59"/>
      <c r="F1911" s="82"/>
      <c r="G1911" s="82"/>
      <c r="H1911" s="86"/>
      <c r="I1911" s="294"/>
      <c r="J1911" s="59"/>
      <c r="K1911" s="83"/>
      <c r="L1911" s="83" t="str">
        <f t="shared" si="52"/>
        <v xml:space="preserve">
</v>
      </c>
      <c r="M1911" s="83"/>
      <c r="N1911" s="59"/>
      <c r="O1911" s="59"/>
      <c r="P1911" s="86">
        <f t="shared" si="53"/>
        <v>0</v>
      </c>
      <c r="Q1911" s="59"/>
      <c r="R1911" s="59"/>
      <c r="S1911" s="59"/>
      <c r="T1911" s="59"/>
      <c r="U1911" s="290"/>
      <c r="V1911" s="290"/>
      <c r="W1911" s="290"/>
      <c r="X1911" s="290"/>
      <c r="Y1911" s="290"/>
      <c r="Z1911" s="290"/>
      <c r="AA1911" s="290"/>
      <c r="AB1911" s="290"/>
      <c r="AC1911" s="290"/>
      <c r="AD1911" s="290"/>
    </row>
    <row r="1912" spans="1:30" ht="25.5">
      <c r="A1912" s="291"/>
      <c r="B1912" s="291"/>
      <c r="C1912" s="291"/>
      <c r="D1912" s="83"/>
      <c r="E1912" s="59"/>
      <c r="F1912" s="82"/>
      <c r="G1912" s="82"/>
      <c r="H1912" s="86"/>
      <c r="I1912" s="294"/>
      <c r="J1912" s="59"/>
      <c r="K1912" s="83"/>
      <c r="L1912" s="83" t="str">
        <f t="shared" si="52"/>
        <v xml:space="preserve">
</v>
      </c>
      <c r="M1912" s="83"/>
      <c r="N1912" s="59"/>
      <c r="O1912" s="59"/>
      <c r="P1912" s="86">
        <f t="shared" si="53"/>
        <v>0</v>
      </c>
      <c r="Q1912" s="59"/>
      <c r="R1912" s="59"/>
      <c r="S1912" s="59"/>
      <c r="T1912" s="59"/>
      <c r="U1912" s="290"/>
      <c r="V1912" s="290"/>
      <c r="W1912" s="290"/>
      <c r="X1912" s="290"/>
      <c r="Y1912" s="290"/>
      <c r="Z1912" s="290"/>
      <c r="AA1912" s="290"/>
      <c r="AB1912" s="290"/>
      <c r="AC1912" s="290"/>
      <c r="AD1912" s="290"/>
    </row>
    <row r="1913" spans="1:30" ht="25.5">
      <c r="A1913" s="291"/>
      <c r="B1913" s="291"/>
      <c r="C1913" s="291"/>
      <c r="D1913" s="83"/>
      <c r="E1913" s="59"/>
      <c r="F1913" s="82"/>
      <c r="G1913" s="82"/>
      <c r="H1913" s="86"/>
      <c r="I1913" s="294"/>
      <c r="J1913" s="59"/>
      <c r="K1913" s="83"/>
      <c r="L1913" s="83" t="str">
        <f t="shared" si="52"/>
        <v xml:space="preserve">
</v>
      </c>
      <c r="M1913" s="83"/>
      <c r="N1913" s="59"/>
      <c r="O1913" s="59"/>
      <c r="P1913" s="86">
        <f t="shared" si="53"/>
        <v>0</v>
      </c>
      <c r="Q1913" s="59"/>
      <c r="R1913" s="59"/>
      <c r="S1913" s="59"/>
      <c r="T1913" s="59"/>
      <c r="U1913" s="290"/>
      <c r="V1913" s="290"/>
      <c r="W1913" s="290"/>
      <c r="X1913" s="290"/>
      <c r="Y1913" s="290"/>
      <c r="Z1913" s="290"/>
      <c r="AA1913" s="290"/>
      <c r="AB1913" s="290"/>
      <c r="AC1913" s="290"/>
      <c r="AD1913" s="290"/>
    </row>
    <row r="1914" spans="1:30" ht="25.5">
      <c r="A1914" s="291"/>
      <c r="B1914" s="291"/>
      <c r="C1914" s="291"/>
      <c r="D1914" s="83"/>
      <c r="E1914" s="59"/>
      <c r="F1914" s="82"/>
      <c r="G1914" s="82"/>
      <c r="H1914" s="86"/>
      <c r="I1914" s="294"/>
      <c r="J1914" s="59"/>
      <c r="K1914" s="83"/>
      <c r="L1914" s="83" t="str">
        <f t="shared" si="52"/>
        <v xml:space="preserve">
</v>
      </c>
      <c r="M1914" s="83"/>
      <c r="N1914" s="59"/>
      <c r="O1914" s="59"/>
      <c r="P1914" s="86">
        <f t="shared" si="53"/>
        <v>0</v>
      </c>
      <c r="Q1914" s="59"/>
      <c r="R1914" s="59"/>
      <c r="S1914" s="59"/>
      <c r="T1914" s="59"/>
      <c r="U1914" s="290"/>
      <c r="V1914" s="290"/>
      <c r="W1914" s="290"/>
      <c r="X1914" s="290"/>
      <c r="Y1914" s="290"/>
      <c r="Z1914" s="290"/>
      <c r="AA1914" s="290"/>
      <c r="AB1914" s="290"/>
      <c r="AC1914" s="290"/>
      <c r="AD1914" s="290"/>
    </row>
    <row r="1915" spans="1:30" ht="25.5">
      <c r="A1915" s="291"/>
      <c r="B1915" s="291"/>
      <c r="C1915" s="291"/>
      <c r="D1915" s="83"/>
      <c r="E1915" s="59"/>
      <c r="F1915" s="82"/>
      <c r="G1915" s="82"/>
      <c r="H1915" s="86"/>
      <c r="I1915" s="294"/>
      <c r="J1915" s="59"/>
      <c r="K1915" s="83"/>
      <c r="L1915" s="83" t="str">
        <f t="shared" si="52"/>
        <v xml:space="preserve">
</v>
      </c>
      <c r="M1915" s="83"/>
      <c r="N1915" s="59"/>
      <c r="O1915" s="59"/>
      <c r="P1915" s="86">
        <f t="shared" si="53"/>
        <v>0</v>
      </c>
      <c r="Q1915" s="59"/>
      <c r="R1915" s="59"/>
      <c r="S1915" s="59"/>
      <c r="T1915" s="59"/>
      <c r="U1915" s="290"/>
      <c r="V1915" s="290"/>
      <c r="W1915" s="290"/>
      <c r="X1915" s="290"/>
      <c r="Y1915" s="290"/>
      <c r="Z1915" s="290"/>
      <c r="AA1915" s="290"/>
      <c r="AB1915" s="290"/>
      <c r="AC1915" s="290"/>
      <c r="AD1915" s="290"/>
    </row>
    <row r="1916" spans="1:30" ht="25.5">
      <c r="A1916" s="291"/>
      <c r="B1916" s="291"/>
      <c r="C1916" s="291"/>
      <c r="D1916" s="83"/>
      <c r="E1916" s="59"/>
      <c r="F1916" s="82"/>
      <c r="G1916" s="82"/>
      <c r="H1916" s="86"/>
      <c r="I1916" s="294"/>
      <c r="J1916" s="59"/>
      <c r="K1916" s="83"/>
      <c r="L1916" s="83" t="str">
        <f t="shared" si="52"/>
        <v xml:space="preserve">
</v>
      </c>
      <c r="M1916" s="83"/>
      <c r="N1916" s="59"/>
      <c r="O1916" s="59"/>
      <c r="P1916" s="86">
        <f t="shared" si="53"/>
        <v>0</v>
      </c>
      <c r="Q1916" s="59"/>
      <c r="R1916" s="59"/>
      <c r="S1916" s="59"/>
      <c r="T1916" s="59"/>
      <c r="U1916" s="290"/>
      <c r="V1916" s="290"/>
      <c r="W1916" s="290"/>
      <c r="X1916" s="290"/>
      <c r="Y1916" s="290"/>
      <c r="Z1916" s="290"/>
      <c r="AA1916" s="290"/>
      <c r="AB1916" s="290"/>
      <c r="AC1916" s="290"/>
      <c r="AD1916" s="290"/>
    </row>
    <row r="1917" spans="1:30" ht="25.5">
      <c r="A1917" s="291"/>
      <c r="B1917" s="291"/>
      <c r="C1917" s="291"/>
      <c r="D1917" s="83"/>
      <c r="E1917" s="59"/>
      <c r="F1917" s="82"/>
      <c r="G1917" s="82"/>
      <c r="H1917" s="86"/>
      <c r="I1917" s="294"/>
      <c r="J1917" s="59"/>
      <c r="K1917" s="83"/>
      <c r="L1917" s="83" t="str">
        <f t="shared" si="52"/>
        <v xml:space="preserve">
</v>
      </c>
      <c r="M1917" s="83"/>
      <c r="N1917" s="59"/>
      <c r="O1917" s="59"/>
      <c r="P1917" s="86">
        <f t="shared" si="53"/>
        <v>0</v>
      </c>
      <c r="Q1917" s="59"/>
      <c r="R1917" s="59"/>
      <c r="S1917" s="59"/>
      <c r="T1917" s="59"/>
      <c r="U1917" s="290"/>
      <c r="V1917" s="290"/>
      <c r="W1917" s="290"/>
      <c r="X1917" s="290"/>
      <c r="Y1917" s="290"/>
      <c r="Z1917" s="290"/>
      <c r="AA1917" s="290"/>
      <c r="AB1917" s="290"/>
      <c r="AC1917" s="290"/>
      <c r="AD1917" s="290"/>
    </row>
    <row r="1918" spans="1:30" ht="25.5">
      <c r="A1918" s="291"/>
      <c r="B1918" s="291"/>
      <c r="C1918" s="291"/>
      <c r="D1918" s="83"/>
      <c r="E1918" s="59"/>
      <c r="F1918" s="82"/>
      <c r="G1918" s="82"/>
      <c r="H1918" s="86"/>
      <c r="I1918" s="294"/>
      <c r="J1918" s="59"/>
      <c r="K1918" s="83"/>
      <c r="L1918" s="83" t="str">
        <f t="shared" si="52"/>
        <v xml:space="preserve">
</v>
      </c>
      <c r="M1918" s="83"/>
      <c r="N1918" s="59"/>
      <c r="O1918" s="59"/>
      <c r="P1918" s="86">
        <f t="shared" si="53"/>
        <v>0</v>
      </c>
      <c r="Q1918" s="59"/>
      <c r="R1918" s="59"/>
      <c r="S1918" s="59"/>
      <c r="T1918" s="59"/>
      <c r="U1918" s="290"/>
      <c r="V1918" s="290"/>
      <c r="W1918" s="290"/>
      <c r="X1918" s="290"/>
      <c r="Y1918" s="290"/>
      <c r="Z1918" s="290"/>
      <c r="AA1918" s="290"/>
      <c r="AB1918" s="290"/>
      <c r="AC1918" s="290"/>
      <c r="AD1918" s="290"/>
    </row>
    <row r="1919" spans="1:30" ht="25.5">
      <c r="A1919" s="291"/>
      <c r="B1919" s="291"/>
      <c r="C1919" s="291"/>
      <c r="D1919" s="83"/>
      <c r="E1919" s="59"/>
      <c r="F1919" s="82"/>
      <c r="G1919" s="82"/>
      <c r="H1919" s="86"/>
      <c r="I1919" s="294"/>
      <c r="J1919" s="59"/>
      <c r="K1919" s="83"/>
      <c r="L1919" s="83" t="str">
        <f t="shared" si="52"/>
        <v xml:space="preserve">
</v>
      </c>
      <c r="M1919" s="83"/>
      <c r="N1919" s="59"/>
      <c r="O1919" s="59"/>
      <c r="P1919" s="86">
        <f t="shared" si="53"/>
        <v>0</v>
      </c>
      <c r="Q1919" s="59"/>
      <c r="R1919" s="59"/>
      <c r="S1919" s="59"/>
      <c r="T1919" s="59"/>
      <c r="U1919" s="290"/>
      <c r="V1919" s="290"/>
      <c r="W1919" s="290"/>
      <c r="X1919" s="290"/>
      <c r="Y1919" s="290"/>
      <c r="Z1919" s="290"/>
      <c r="AA1919" s="290"/>
      <c r="AB1919" s="290"/>
      <c r="AC1919" s="290"/>
      <c r="AD1919" s="290"/>
    </row>
    <row r="1920" spans="1:30" ht="25.5">
      <c r="A1920" s="291"/>
      <c r="B1920" s="291"/>
      <c r="C1920" s="291"/>
      <c r="D1920" s="83"/>
      <c r="E1920" s="59"/>
      <c r="F1920" s="82"/>
      <c r="G1920" s="82"/>
      <c r="H1920" s="86"/>
      <c r="I1920" s="294"/>
      <c r="J1920" s="59"/>
      <c r="K1920" s="83"/>
      <c r="L1920" s="83" t="str">
        <f t="shared" si="52"/>
        <v xml:space="preserve">
</v>
      </c>
      <c r="M1920" s="83"/>
      <c r="N1920" s="59"/>
      <c r="O1920" s="59"/>
      <c r="P1920" s="86">
        <f t="shared" si="53"/>
        <v>0</v>
      </c>
      <c r="Q1920" s="59"/>
      <c r="R1920" s="59"/>
      <c r="S1920" s="59"/>
      <c r="T1920" s="59"/>
      <c r="U1920" s="290"/>
      <c r="V1920" s="290"/>
      <c r="W1920" s="290"/>
      <c r="X1920" s="290"/>
      <c r="Y1920" s="290"/>
      <c r="Z1920" s="290"/>
      <c r="AA1920" s="290"/>
      <c r="AB1920" s="290"/>
      <c r="AC1920" s="290"/>
      <c r="AD1920" s="290"/>
    </row>
    <row r="1921" spans="1:30" ht="25.5">
      <c r="A1921" s="291"/>
      <c r="B1921" s="291"/>
      <c r="C1921" s="291"/>
      <c r="D1921" s="83"/>
      <c r="E1921" s="59"/>
      <c r="F1921" s="82"/>
      <c r="G1921" s="82"/>
      <c r="H1921" s="86"/>
      <c r="I1921" s="294"/>
      <c r="J1921" s="59"/>
      <c r="K1921" s="83"/>
      <c r="L1921" s="83" t="str">
        <f t="shared" si="52"/>
        <v xml:space="preserve">
</v>
      </c>
      <c r="M1921" s="83"/>
      <c r="N1921" s="59"/>
      <c r="O1921" s="59"/>
      <c r="P1921" s="86">
        <f t="shared" si="53"/>
        <v>0</v>
      </c>
      <c r="Q1921" s="59"/>
      <c r="R1921" s="59"/>
      <c r="S1921" s="59"/>
      <c r="T1921" s="59"/>
      <c r="U1921" s="290"/>
      <c r="V1921" s="290"/>
      <c r="W1921" s="290"/>
      <c r="X1921" s="290"/>
      <c r="Y1921" s="290"/>
      <c r="Z1921" s="290"/>
      <c r="AA1921" s="290"/>
      <c r="AB1921" s="290"/>
      <c r="AC1921" s="290"/>
      <c r="AD1921" s="290"/>
    </row>
    <row r="1922" spans="1:30" ht="25.5">
      <c r="A1922" s="291"/>
      <c r="B1922" s="291"/>
      <c r="C1922" s="291"/>
      <c r="D1922" s="83"/>
      <c r="E1922" s="59"/>
      <c r="F1922" s="82"/>
      <c r="G1922" s="82"/>
      <c r="H1922" s="86"/>
      <c r="I1922" s="294"/>
      <c r="J1922" s="59"/>
      <c r="K1922" s="83"/>
      <c r="L1922" s="83" t="str">
        <f t="shared" si="52"/>
        <v xml:space="preserve">
</v>
      </c>
      <c r="M1922" s="83"/>
      <c r="N1922" s="59"/>
      <c r="O1922" s="59"/>
      <c r="P1922" s="86">
        <f t="shared" si="53"/>
        <v>0</v>
      </c>
      <c r="Q1922" s="59"/>
      <c r="R1922" s="59"/>
      <c r="S1922" s="59"/>
      <c r="T1922" s="59"/>
      <c r="U1922" s="290"/>
      <c r="V1922" s="290"/>
      <c r="W1922" s="290"/>
      <c r="X1922" s="290"/>
      <c r="Y1922" s="290"/>
      <c r="Z1922" s="290"/>
      <c r="AA1922" s="290"/>
      <c r="AB1922" s="290"/>
      <c r="AC1922" s="290"/>
      <c r="AD1922" s="290"/>
    </row>
    <row r="1923" spans="1:30" ht="25.5">
      <c r="A1923" s="291"/>
      <c r="B1923" s="291"/>
      <c r="C1923" s="291"/>
      <c r="D1923" s="83"/>
      <c r="E1923" s="59"/>
      <c r="F1923" s="82"/>
      <c r="G1923" s="82"/>
      <c r="H1923" s="86"/>
      <c r="I1923" s="294"/>
      <c r="J1923" s="59"/>
      <c r="K1923" s="83"/>
      <c r="L1923" s="83" t="str">
        <f t="shared" si="52"/>
        <v xml:space="preserve">
</v>
      </c>
      <c r="M1923" s="83"/>
      <c r="N1923" s="59"/>
      <c r="O1923" s="59"/>
      <c r="P1923" s="86">
        <f t="shared" si="53"/>
        <v>0</v>
      </c>
      <c r="Q1923" s="59"/>
      <c r="R1923" s="59"/>
      <c r="S1923" s="59"/>
      <c r="T1923" s="59"/>
      <c r="U1923" s="290"/>
      <c r="V1923" s="290"/>
      <c r="W1923" s="290"/>
      <c r="X1923" s="290"/>
      <c r="Y1923" s="290"/>
      <c r="Z1923" s="290"/>
      <c r="AA1923" s="290"/>
      <c r="AB1923" s="290"/>
      <c r="AC1923" s="290"/>
      <c r="AD1923" s="290"/>
    </row>
    <row r="1924" spans="1:30" ht="25.5">
      <c r="A1924" s="291"/>
      <c r="B1924" s="291"/>
      <c r="C1924" s="291"/>
      <c r="D1924" s="83"/>
      <c r="E1924" s="59"/>
      <c r="F1924" s="82"/>
      <c r="G1924" s="82"/>
      <c r="H1924" s="86"/>
      <c r="I1924" s="294"/>
      <c r="J1924" s="59"/>
      <c r="K1924" s="83"/>
      <c r="L1924" s="83" t="str">
        <f t="shared" si="52"/>
        <v xml:space="preserve">
</v>
      </c>
      <c r="M1924" s="83"/>
      <c r="N1924" s="59"/>
      <c r="O1924" s="59"/>
      <c r="P1924" s="86">
        <f t="shared" si="53"/>
        <v>0</v>
      </c>
      <c r="Q1924" s="59"/>
      <c r="R1924" s="59"/>
      <c r="S1924" s="59"/>
      <c r="T1924" s="59"/>
      <c r="U1924" s="290"/>
      <c r="V1924" s="290"/>
      <c r="W1924" s="290"/>
      <c r="X1924" s="290"/>
      <c r="Y1924" s="290"/>
      <c r="Z1924" s="290"/>
      <c r="AA1924" s="290"/>
      <c r="AB1924" s="290"/>
      <c r="AC1924" s="290"/>
      <c r="AD1924" s="290"/>
    </row>
    <row r="1925" spans="1:30" ht="25.5">
      <c r="A1925" s="291"/>
      <c r="B1925" s="291"/>
      <c r="C1925" s="291"/>
      <c r="D1925" s="83"/>
      <c r="E1925" s="59"/>
      <c r="F1925" s="82"/>
      <c r="G1925" s="82"/>
      <c r="H1925" s="86"/>
      <c r="I1925" s="294"/>
      <c r="J1925" s="59"/>
      <c r="K1925" s="83"/>
      <c r="L1925" s="83" t="str">
        <f t="shared" si="52"/>
        <v xml:space="preserve">
</v>
      </c>
      <c r="M1925" s="83"/>
      <c r="N1925" s="59"/>
      <c r="O1925" s="59"/>
      <c r="P1925" s="86">
        <f t="shared" si="53"/>
        <v>0</v>
      </c>
      <c r="Q1925" s="59"/>
      <c r="R1925" s="59"/>
      <c r="S1925" s="59"/>
      <c r="T1925" s="59"/>
      <c r="U1925" s="290"/>
      <c r="V1925" s="290"/>
      <c r="W1925" s="290"/>
      <c r="X1925" s="290"/>
      <c r="Y1925" s="290"/>
      <c r="Z1925" s="290"/>
      <c r="AA1925" s="290"/>
      <c r="AB1925" s="290"/>
      <c r="AC1925" s="290"/>
      <c r="AD1925" s="290"/>
    </row>
    <row r="1926" spans="1:30" ht="25.5">
      <c r="A1926" s="291"/>
      <c r="B1926" s="291"/>
      <c r="C1926" s="291"/>
      <c r="D1926" s="83"/>
      <c r="E1926" s="59"/>
      <c r="F1926" s="82"/>
      <c r="G1926" s="82"/>
      <c r="H1926" s="86"/>
      <c r="I1926" s="294"/>
      <c r="J1926" s="59"/>
      <c r="K1926" s="83"/>
      <c r="L1926" s="83" t="str">
        <f t="shared" si="52"/>
        <v xml:space="preserve">
</v>
      </c>
      <c r="M1926" s="83"/>
      <c r="N1926" s="59"/>
      <c r="O1926" s="59"/>
      <c r="P1926" s="86">
        <f t="shared" si="53"/>
        <v>0</v>
      </c>
      <c r="Q1926" s="59"/>
      <c r="R1926" s="59"/>
      <c r="S1926" s="59"/>
      <c r="T1926" s="59"/>
      <c r="U1926" s="290"/>
      <c r="V1926" s="290"/>
      <c r="W1926" s="290"/>
      <c r="X1926" s="290"/>
      <c r="Y1926" s="290"/>
      <c r="Z1926" s="290"/>
      <c r="AA1926" s="290"/>
      <c r="AB1926" s="290"/>
      <c r="AC1926" s="290"/>
      <c r="AD1926" s="290"/>
    </row>
    <row r="1927" spans="1:30" ht="25.5">
      <c r="A1927" s="291"/>
      <c r="B1927" s="291"/>
      <c r="C1927" s="291"/>
      <c r="D1927" s="83"/>
      <c r="E1927" s="59"/>
      <c r="F1927" s="82"/>
      <c r="G1927" s="82"/>
      <c r="H1927" s="86"/>
      <c r="I1927" s="294"/>
      <c r="J1927" s="59"/>
      <c r="K1927" s="83"/>
      <c r="L1927" s="83" t="str">
        <f t="shared" si="52"/>
        <v xml:space="preserve">
</v>
      </c>
      <c r="M1927" s="83"/>
      <c r="N1927" s="59"/>
      <c r="O1927" s="59"/>
      <c r="P1927" s="86">
        <f t="shared" si="53"/>
        <v>0</v>
      </c>
      <c r="Q1927" s="59"/>
      <c r="R1927" s="59"/>
      <c r="S1927" s="59"/>
      <c r="T1927" s="59"/>
      <c r="U1927" s="290"/>
      <c r="V1927" s="290"/>
      <c r="W1927" s="290"/>
      <c r="X1927" s="290"/>
      <c r="Y1927" s="290"/>
      <c r="Z1927" s="290"/>
      <c r="AA1927" s="290"/>
      <c r="AB1927" s="290"/>
      <c r="AC1927" s="290"/>
      <c r="AD1927" s="290"/>
    </row>
    <row r="1928" spans="1:30" ht="25.5">
      <c r="A1928" s="291"/>
      <c r="B1928" s="291"/>
      <c r="C1928" s="291"/>
      <c r="D1928" s="83"/>
      <c r="E1928" s="59"/>
      <c r="F1928" s="82"/>
      <c r="G1928" s="82"/>
      <c r="H1928" s="86"/>
      <c r="I1928" s="294"/>
      <c r="J1928" s="59"/>
      <c r="K1928" s="83"/>
      <c r="L1928" s="83" t="str">
        <f t="shared" si="52"/>
        <v xml:space="preserve">
</v>
      </c>
      <c r="M1928" s="83"/>
      <c r="N1928" s="59"/>
      <c r="O1928" s="59"/>
      <c r="P1928" s="86">
        <f t="shared" si="53"/>
        <v>0</v>
      </c>
      <c r="Q1928" s="59"/>
      <c r="R1928" s="59"/>
      <c r="S1928" s="59"/>
      <c r="T1928" s="59"/>
      <c r="U1928" s="290"/>
      <c r="V1928" s="290"/>
      <c r="W1928" s="290"/>
      <c r="X1928" s="290"/>
      <c r="Y1928" s="290"/>
      <c r="Z1928" s="290"/>
      <c r="AA1928" s="290"/>
      <c r="AB1928" s="290"/>
      <c r="AC1928" s="290"/>
      <c r="AD1928" s="290"/>
    </row>
    <row r="1929" spans="1:30" ht="25.5">
      <c r="A1929" s="291"/>
      <c r="B1929" s="291"/>
      <c r="C1929" s="291"/>
      <c r="D1929" s="83"/>
      <c r="E1929" s="59"/>
      <c r="F1929" s="82"/>
      <c r="G1929" s="82"/>
      <c r="H1929" s="86"/>
      <c r="I1929" s="294"/>
      <c r="J1929" s="59"/>
      <c r="K1929" s="83"/>
      <c r="L1929" s="83" t="str">
        <f t="shared" si="52"/>
        <v xml:space="preserve">
</v>
      </c>
      <c r="M1929" s="83"/>
      <c r="N1929" s="59"/>
      <c r="O1929" s="59"/>
      <c r="P1929" s="86">
        <f t="shared" si="53"/>
        <v>0</v>
      </c>
      <c r="Q1929" s="59"/>
      <c r="R1929" s="59"/>
      <c r="S1929" s="59"/>
      <c r="T1929" s="59"/>
      <c r="U1929" s="290"/>
      <c r="V1929" s="290"/>
      <c r="W1929" s="290"/>
      <c r="X1929" s="290"/>
      <c r="Y1929" s="290"/>
      <c r="Z1929" s="290"/>
      <c r="AA1929" s="290"/>
      <c r="AB1929" s="290"/>
      <c r="AC1929" s="290"/>
      <c r="AD1929" s="290"/>
    </row>
    <row r="1930" spans="1:30" ht="25.5">
      <c r="A1930" s="291"/>
      <c r="B1930" s="291"/>
      <c r="C1930" s="291"/>
      <c r="D1930" s="83"/>
      <c r="E1930" s="59"/>
      <c r="F1930" s="82"/>
      <c r="G1930" s="82"/>
      <c r="H1930" s="86"/>
      <c r="I1930" s="294"/>
      <c r="J1930" s="59"/>
      <c r="K1930" s="83"/>
      <c r="L1930" s="83" t="str">
        <f t="shared" si="52"/>
        <v xml:space="preserve">
</v>
      </c>
      <c r="M1930" s="83"/>
      <c r="N1930" s="59"/>
      <c r="O1930" s="59"/>
      <c r="P1930" s="86">
        <f t="shared" si="53"/>
        <v>0</v>
      </c>
      <c r="Q1930" s="59"/>
      <c r="R1930" s="59"/>
      <c r="S1930" s="59"/>
      <c r="T1930" s="59"/>
      <c r="U1930" s="290"/>
      <c r="V1930" s="290"/>
      <c r="W1930" s="290"/>
      <c r="X1930" s="290"/>
      <c r="Y1930" s="290"/>
      <c r="Z1930" s="290"/>
      <c r="AA1930" s="290"/>
      <c r="AB1930" s="290"/>
      <c r="AC1930" s="290"/>
      <c r="AD1930" s="290"/>
    </row>
    <row r="1931" spans="1:30" ht="25.5">
      <c r="A1931" s="291"/>
      <c r="B1931" s="291"/>
      <c r="C1931" s="291"/>
      <c r="D1931" s="83"/>
      <c r="E1931" s="59"/>
      <c r="F1931" s="82"/>
      <c r="G1931" s="82"/>
      <c r="H1931" s="86"/>
      <c r="I1931" s="294"/>
      <c r="J1931" s="59"/>
      <c r="K1931" s="83"/>
      <c r="L1931" s="83" t="str">
        <f t="shared" si="52"/>
        <v xml:space="preserve">
</v>
      </c>
      <c r="M1931" s="83"/>
      <c r="N1931" s="59"/>
      <c r="O1931" s="59"/>
      <c r="P1931" s="86">
        <f t="shared" si="53"/>
        <v>0</v>
      </c>
      <c r="Q1931" s="59"/>
      <c r="R1931" s="59"/>
      <c r="S1931" s="59"/>
      <c r="T1931" s="59"/>
      <c r="U1931" s="290"/>
      <c r="V1931" s="290"/>
      <c r="W1931" s="290"/>
      <c r="X1931" s="290"/>
      <c r="Y1931" s="290"/>
      <c r="Z1931" s="290"/>
      <c r="AA1931" s="290"/>
      <c r="AB1931" s="290"/>
      <c r="AC1931" s="290"/>
      <c r="AD1931" s="290"/>
    </row>
    <row r="1932" spans="1:30" ht="25.5">
      <c r="A1932" s="291"/>
      <c r="B1932" s="291"/>
      <c r="C1932" s="291"/>
      <c r="D1932" s="83"/>
      <c r="E1932" s="59"/>
      <c r="F1932" s="82"/>
      <c r="G1932" s="82"/>
      <c r="H1932" s="86"/>
      <c r="I1932" s="294"/>
      <c r="J1932" s="59"/>
      <c r="K1932" s="83"/>
      <c r="L1932" s="83" t="str">
        <f t="shared" si="52"/>
        <v xml:space="preserve">
</v>
      </c>
      <c r="M1932" s="83"/>
      <c r="N1932" s="59"/>
      <c r="O1932" s="59"/>
      <c r="P1932" s="86">
        <f t="shared" si="53"/>
        <v>0</v>
      </c>
      <c r="Q1932" s="59"/>
      <c r="R1932" s="59"/>
      <c r="S1932" s="59"/>
      <c r="T1932" s="59"/>
      <c r="U1932" s="290"/>
      <c r="V1932" s="290"/>
      <c r="W1932" s="290"/>
      <c r="X1932" s="290"/>
      <c r="Y1932" s="290"/>
      <c r="Z1932" s="290"/>
      <c r="AA1932" s="290"/>
      <c r="AB1932" s="290"/>
      <c r="AC1932" s="290"/>
      <c r="AD1932" s="290"/>
    </row>
    <row r="1933" spans="1:30" ht="25.5">
      <c r="A1933" s="291"/>
      <c r="B1933" s="291"/>
      <c r="C1933" s="291"/>
      <c r="D1933" s="83"/>
      <c r="E1933" s="59"/>
      <c r="F1933" s="82"/>
      <c r="G1933" s="82"/>
      <c r="H1933" s="86"/>
      <c r="I1933" s="294"/>
      <c r="J1933" s="59"/>
      <c r="K1933" s="83"/>
      <c r="L1933" s="83" t="str">
        <f t="shared" si="52"/>
        <v xml:space="preserve">
</v>
      </c>
      <c r="M1933" s="83"/>
      <c r="N1933" s="59"/>
      <c r="O1933" s="59"/>
      <c r="P1933" s="86">
        <f t="shared" si="53"/>
        <v>0</v>
      </c>
      <c r="Q1933" s="59"/>
      <c r="R1933" s="59"/>
      <c r="S1933" s="59"/>
      <c r="T1933" s="59"/>
      <c r="U1933" s="290"/>
      <c r="V1933" s="290"/>
      <c r="W1933" s="290"/>
      <c r="X1933" s="290"/>
      <c r="Y1933" s="290"/>
      <c r="Z1933" s="290"/>
      <c r="AA1933" s="290"/>
      <c r="AB1933" s="290"/>
      <c r="AC1933" s="290"/>
      <c r="AD1933" s="290"/>
    </row>
    <row r="1934" spans="1:30" ht="25.5">
      <c r="A1934" s="291"/>
      <c r="B1934" s="291"/>
      <c r="C1934" s="291"/>
      <c r="D1934" s="83"/>
      <c r="E1934" s="59"/>
      <c r="F1934" s="82"/>
      <c r="G1934" s="82"/>
      <c r="H1934" s="86"/>
      <c r="I1934" s="294"/>
      <c r="J1934" s="59"/>
      <c r="K1934" s="83"/>
      <c r="L1934" s="83" t="str">
        <f t="shared" si="52"/>
        <v xml:space="preserve">
</v>
      </c>
      <c r="M1934" s="83"/>
      <c r="N1934" s="59"/>
      <c r="O1934" s="59"/>
      <c r="P1934" s="86">
        <f t="shared" si="53"/>
        <v>0</v>
      </c>
      <c r="Q1934" s="59"/>
      <c r="R1934" s="59"/>
      <c r="S1934" s="59"/>
      <c r="T1934" s="59"/>
      <c r="U1934" s="290"/>
      <c r="V1934" s="290"/>
      <c r="W1934" s="290"/>
      <c r="X1934" s="290"/>
      <c r="Y1934" s="290"/>
      <c r="Z1934" s="290"/>
      <c r="AA1934" s="290"/>
      <c r="AB1934" s="290"/>
      <c r="AC1934" s="290"/>
      <c r="AD1934" s="290"/>
    </row>
    <row r="1935" spans="1:30" ht="25.5">
      <c r="A1935" s="291"/>
      <c r="B1935" s="291"/>
      <c r="C1935" s="291"/>
      <c r="D1935" s="83"/>
      <c r="E1935" s="59"/>
      <c r="F1935" s="82"/>
      <c r="G1935" s="82"/>
      <c r="H1935" s="86"/>
      <c r="I1935" s="294"/>
      <c r="J1935" s="59"/>
      <c r="K1935" s="83"/>
      <c r="L1935" s="83" t="str">
        <f t="shared" si="52"/>
        <v xml:space="preserve">
</v>
      </c>
      <c r="M1935" s="83"/>
      <c r="N1935" s="59"/>
      <c r="O1935" s="59"/>
      <c r="P1935" s="86">
        <f t="shared" si="53"/>
        <v>0</v>
      </c>
      <c r="Q1935" s="59"/>
      <c r="R1935" s="59"/>
      <c r="S1935" s="59"/>
      <c r="T1935" s="59"/>
      <c r="U1935" s="290"/>
      <c r="V1935" s="290"/>
      <c r="W1935" s="290"/>
      <c r="X1935" s="290"/>
      <c r="Y1935" s="290"/>
      <c r="Z1935" s="290"/>
      <c r="AA1935" s="290"/>
      <c r="AB1935" s="290"/>
      <c r="AC1935" s="290"/>
      <c r="AD1935" s="290"/>
    </row>
    <row r="1936" spans="1:30" ht="25.5">
      <c r="A1936" s="291"/>
      <c r="B1936" s="291"/>
      <c r="C1936" s="291"/>
      <c r="D1936" s="83"/>
      <c r="E1936" s="59"/>
      <c r="F1936" s="82"/>
      <c r="G1936" s="82"/>
      <c r="H1936" s="86"/>
      <c r="I1936" s="294"/>
      <c r="J1936" s="59"/>
      <c r="K1936" s="83"/>
      <c r="L1936" s="83" t="str">
        <f t="shared" si="52"/>
        <v xml:space="preserve">
</v>
      </c>
      <c r="M1936" s="83"/>
      <c r="N1936" s="59"/>
      <c r="O1936" s="59"/>
      <c r="P1936" s="86">
        <f t="shared" si="53"/>
        <v>0</v>
      </c>
      <c r="Q1936" s="59"/>
      <c r="R1936" s="59"/>
      <c r="S1936" s="59"/>
      <c r="T1936" s="59"/>
      <c r="U1936" s="290"/>
      <c r="V1936" s="290"/>
      <c r="W1936" s="290"/>
      <c r="X1936" s="290"/>
      <c r="Y1936" s="290"/>
      <c r="Z1936" s="290"/>
      <c r="AA1936" s="290"/>
      <c r="AB1936" s="290"/>
      <c r="AC1936" s="290"/>
      <c r="AD1936" s="290"/>
    </row>
    <row r="1937" spans="1:30" ht="25.5">
      <c r="A1937" s="291"/>
      <c r="B1937" s="291"/>
      <c r="C1937" s="291"/>
      <c r="D1937" s="83"/>
      <c r="E1937" s="59"/>
      <c r="F1937" s="82"/>
      <c r="G1937" s="82"/>
      <c r="H1937" s="86"/>
      <c r="I1937" s="294"/>
      <c r="J1937" s="59"/>
      <c r="K1937" s="83"/>
      <c r="L1937" s="83" t="str">
        <f t="shared" si="52"/>
        <v xml:space="preserve">
</v>
      </c>
      <c r="M1937" s="83"/>
      <c r="N1937" s="59"/>
      <c r="O1937" s="59"/>
      <c r="P1937" s="86">
        <f t="shared" si="53"/>
        <v>0</v>
      </c>
      <c r="Q1937" s="59"/>
      <c r="R1937" s="59"/>
      <c r="S1937" s="59"/>
      <c r="T1937" s="59"/>
      <c r="U1937" s="290"/>
      <c r="V1937" s="290"/>
      <c r="W1937" s="290"/>
      <c r="X1937" s="290"/>
      <c r="Y1937" s="290"/>
      <c r="Z1937" s="290"/>
      <c r="AA1937" s="290"/>
      <c r="AB1937" s="290"/>
      <c r="AC1937" s="290"/>
      <c r="AD1937" s="290"/>
    </row>
    <row r="1938" spans="1:30" ht="25.5">
      <c r="A1938" s="291"/>
      <c r="B1938" s="291"/>
      <c r="C1938" s="291"/>
      <c r="D1938" s="83"/>
      <c r="E1938" s="59"/>
      <c r="F1938" s="82"/>
      <c r="G1938" s="82"/>
      <c r="H1938" s="86"/>
      <c r="I1938" s="294"/>
      <c r="J1938" s="59"/>
      <c r="K1938" s="83"/>
      <c r="L1938" s="83" t="str">
        <f t="shared" si="52"/>
        <v xml:space="preserve">
</v>
      </c>
      <c r="M1938" s="83"/>
      <c r="N1938" s="59"/>
      <c r="O1938" s="59"/>
      <c r="P1938" s="86">
        <f t="shared" si="53"/>
        <v>0</v>
      </c>
      <c r="Q1938" s="59"/>
      <c r="R1938" s="59"/>
      <c r="S1938" s="59"/>
      <c r="T1938" s="59"/>
      <c r="U1938" s="290"/>
      <c r="V1938" s="290"/>
      <c r="W1938" s="290"/>
      <c r="X1938" s="290"/>
      <c r="Y1938" s="290"/>
      <c r="Z1938" s="290"/>
      <c r="AA1938" s="290"/>
      <c r="AB1938" s="290"/>
      <c r="AC1938" s="290"/>
      <c r="AD1938" s="290"/>
    </row>
    <row r="1939" spans="1:30" ht="25.5">
      <c r="A1939" s="291"/>
      <c r="B1939" s="291"/>
      <c r="C1939" s="291"/>
      <c r="D1939" s="83"/>
      <c r="E1939" s="59"/>
      <c r="F1939" s="82"/>
      <c r="G1939" s="82"/>
      <c r="H1939" s="86"/>
      <c r="I1939" s="294"/>
      <c r="J1939" s="59"/>
      <c r="K1939" s="83"/>
      <c r="L1939" s="83" t="str">
        <f t="shared" si="52"/>
        <v xml:space="preserve">
</v>
      </c>
      <c r="M1939" s="83"/>
      <c r="N1939" s="59"/>
      <c r="O1939" s="59"/>
      <c r="P1939" s="86">
        <f t="shared" si="53"/>
        <v>0</v>
      </c>
      <c r="Q1939" s="59"/>
      <c r="R1939" s="59"/>
      <c r="S1939" s="59"/>
      <c r="T1939" s="59"/>
      <c r="U1939" s="290"/>
      <c r="V1939" s="290"/>
      <c r="W1939" s="290"/>
      <c r="X1939" s="290"/>
      <c r="Y1939" s="290"/>
      <c r="Z1939" s="290"/>
      <c r="AA1939" s="290"/>
      <c r="AB1939" s="290"/>
      <c r="AC1939" s="290"/>
      <c r="AD1939" s="290"/>
    </row>
    <row r="1940" spans="1:30" ht="25.5">
      <c r="A1940" s="291"/>
      <c r="B1940" s="291"/>
      <c r="C1940" s="291"/>
      <c r="D1940" s="83"/>
      <c r="E1940" s="59"/>
      <c r="F1940" s="82"/>
      <c r="G1940" s="82"/>
      <c r="H1940" s="86"/>
      <c r="I1940" s="294"/>
      <c r="J1940" s="59"/>
      <c r="K1940" s="83"/>
      <c r="L1940" s="83" t="str">
        <f t="shared" si="52"/>
        <v xml:space="preserve">
</v>
      </c>
      <c r="M1940" s="83"/>
      <c r="N1940" s="59"/>
      <c r="O1940" s="59"/>
      <c r="P1940" s="86">
        <f t="shared" si="53"/>
        <v>0</v>
      </c>
      <c r="Q1940" s="59"/>
      <c r="R1940" s="59"/>
      <c r="S1940" s="59"/>
      <c r="T1940" s="59"/>
      <c r="U1940" s="290"/>
      <c r="V1940" s="290"/>
      <c r="W1940" s="290"/>
      <c r="X1940" s="290"/>
      <c r="Y1940" s="290"/>
      <c r="Z1940" s="290"/>
      <c r="AA1940" s="290"/>
      <c r="AB1940" s="290"/>
      <c r="AC1940" s="290"/>
      <c r="AD1940" s="290"/>
    </row>
    <row r="1941" spans="1:30" ht="25.5">
      <c r="A1941" s="291"/>
      <c r="B1941" s="291"/>
      <c r="C1941" s="291"/>
      <c r="D1941" s="83"/>
      <c r="E1941" s="59"/>
      <c r="F1941" s="82"/>
      <c r="G1941" s="82"/>
      <c r="H1941" s="86"/>
      <c r="I1941" s="294"/>
      <c r="J1941" s="59"/>
      <c r="K1941" s="83"/>
      <c r="L1941" s="83" t="str">
        <f t="shared" si="52"/>
        <v xml:space="preserve">
</v>
      </c>
      <c r="M1941" s="83"/>
      <c r="N1941" s="59"/>
      <c r="O1941" s="59"/>
      <c r="P1941" s="86">
        <f t="shared" si="53"/>
        <v>0</v>
      </c>
      <c r="Q1941" s="59"/>
      <c r="R1941" s="59"/>
      <c r="S1941" s="59"/>
      <c r="T1941" s="59"/>
      <c r="U1941" s="290"/>
      <c r="V1941" s="290"/>
      <c r="W1941" s="290"/>
      <c r="X1941" s="290"/>
      <c r="Y1941" s="290"/>
      <c r="Z1941" s="290"/>
      <c r="AA1941" s="290"/>
      <c r="AB1941" s="290"/>
      <c r="AC1941" s="290"/>
      <c r="AD1941" s="290"/>
    </row>
    <row r="1942" spans="1:30" ht="25.5">
      <c r="A1942" s="291"/>
      <c r="B1942" s="291"/>
      <c r="C1942" s="291"/>
      <c r="D1942" s="83"/>
      <c r="E1942" s="59"/>
      <c r="F1942" s="82"/>
      <c r="G1942" s="82"/>
      <c r="H1942" s="86"/>
      <c r="I1942" s="294"/>
      <c r="J1942" s="59"/>
      <c r="K1942" s="83"/>
      <c r="L1942" s="83" t="str">
        <f t="shared" si="52"/>
        <v xml:space="preserve">
</v>
      </c>
      <c r="M1942" s="83"/>
      <c r="N1942" s="59"/>
      <c r="O1942" s="59"/>
      <c r="P1942" s="86">
        <f t="shared" si="53"/>
        <v>0</v>
      </c>
      <c r="Q1942" s="59"/>
      <c r="R1942" s="59"/>
      <c r="S1942" s="59"/>
      <c r="T1942" s="59"/>
      <c r="U1942" s="290"/>
      <c r="V1942" s="290"/>
      <c r="W1942" s="290"/>
      <c r="X1942" s="290"/>
      <c r="Y1942" s="290"/>
      <c r="Z1942" s="290"/>
      <c r="AA1942" s="290"/>
      <c r="AB1942" s="290"/>
      <c r="AC1942" s="290"/>
      <c r="AD1942" s="290"/>
    </row>
    <row r="1943" spans="1:30" ht="25.5">
      <c r="A1943" s="291"/>
      <c r="B1943" s="291"/>
      <c r="C1943" s="291"/>
      <c r="D1943" s="83"/>
      <c r="E1943" s="59"/>
      <c r="F1943" s="82"/>
      <c r="G1943" s="82"/>
      <c r="H1943" s="86"/>
      <c r="I1943" s="294"/>
      <c r="J1943" s="59"/>
      <c r="K1943" s="83"/>
      <c r="L1943" s="83" t="str">
        <f t="shared" si="52"/>
        <v xml:space="preserve">
</v>
      </c>
      <c r="M1943" s="83"/>
      <c r="N1943" s="59"/>
      <c r="O1943" s="59"/>
      <c r="P1943" s="86">
        <f t="shared" si="53"/>
        <v>0</v>
      </c>
      <c r="Q1943" s="59"/>
      <c r="R1943" s="59"/>
      <c r="S1943" s="59"/>
      <c r="T1943" s="59"/>
      <c r="U1943" s="290"/>
      <c r="V1943" s="290"/>
      <c r="W1943" s="290"/>
      <c r="X1943" s="290"/>
      <c r="Y1943" s="290"/>
      <c r="Z1943" s="290"/>
      <c r="AA1943" s="290"/>
      <c r="AB1943" s="290"/>
      <c r="AC1943" s="290"/>
      <c r="AD1943" s="290"/>
    </row>
    <row r="1944" spans="1:30" ht="25.5">
      <c r="A1944" s="291"/>
      <c r="B1944" s="291"/>
      <c r="C1944" s="291"/>
      <c r="D1944" s="83"/>
      <c r="E1944" s="59"/>
      <c r="F1944" s="82"/>
      <c r="G1944" s="82"/>
      <c r="H1944" s="86"/>
      <c r="I1944" s="294"/>
      <c r="J1944" s="59"/>
      <c r="K1944" s="83"/>
      <c r="L1944" s="83" t="str">
        <f t="shared" si="52"/>
        <v xml:space="preserve">
</v>
      </c>
      <c r="M1944" s="83"/>
      <c r="N1944" s="59"/>
      <c r="O1944" s="59"/>
      <c r="P1944" s="86">
        <f t="shared" si="53"/>
        <v>0</v>
      </c>
      <c r="Q1944" s="59"/>
      <c r="R1944" s="59"/>
      <c r="S1944" s="59"/>
      <c r="T1944" s="59"/>
      <c r="U1944" s="290"/>
      <c r="V1944" s="290"/>
      <c r="W1944" s="290"/>
      <c r="X1944" s="290"/>
      <c r="Y1944" s="290"/>
      <c r="Z1944" s="290"/>
      <c r="AA1944" s="290"/>
      <c r="AB1944" s="290"/>
      <c r="AC1944" s="290"/>
      <c r="AD1944" s="290"/>
    </row>
    <row r="1945" spans="1:30" ht="25.5">
      <c r="A1945" s="291"/>
      <c r="B1945" s="291"/>
      <c r="C1945" s="291"/>
      <c r="D1945" s="83"/>
      <c r="E1945" s="59"/>
      <c r="F1945" s="82"/>
      <c r="G1945" s="82"/>
      <c r="H1945" s="86"/>
      <c r="I1945" s="294"/>
      <c r="J1945" s="59"/>
      <c r="K1945" s="83"/>
      <c r="L1945" s="83" t="str">
        <f t="shared" si="52"/>
        <v xml:space="preserve">
</v>
      </c>
      <c r="M1945" s="83"/>
      <c r="N1945" s="59"/>
      <c r="O1945" s="59"/>
      <c r="P1945" s="86">
        <f t="shared" si="53"/>
        <v>0</v>
      </c>
      <c r="Q1945" s="59"/>
      <c r="R1945" s="59"/>
      <c r="S1945" s="59"/>
      <c r="T1945" s="59"/>
      <c r="U1945" s="290"/>
      <c r="V1945" s="290"/>
      <c r="W1945" s="290"/>
      <c r="X1945" s="290"/>
      <c r="Y1945" s="290"/>
      <c r="Z1945" s="290"/>
      <c r="AA1945" s="290"/>
      <c r="AB1945" s="290"/>
      <c r="AC1945" s="290"/>
      <c r="AD1945" s="290"/>
    </row>
    <row r="1946" spans="1:30" ht="25.5">
      <c r="A1946" s="291"/>
      <c r="B1946" s="291"/>
      <c r="C1946" s="291"/>
      <c r="D1946" s="83"/>
      <c r="E1946" s="59"/>
      <c r="F1946" s="82"/>
      <c r="G1946" s="82"/>
      <c r="H1946" s="86"/>
      <c r="I1946" s="294"/>
      <c r="J1946" s="59"/>
      <c r="K1946" s="83"/>
      <c r="L1946" s="83" t="str">
        <f t="shared" si="52"/>
        <v xml:space="preserve">
</v>
      </c>
      <c r="M1946" s="83"/>
      <c r="N1946" s="59"/>
      <c r="O1946" s="59"/>
      <c r="P1946" s="86">
        <f t="shared" si="53"/>
        <v>0</v>
      </c>
      <c r="Q1946" s="59"/>
      <c r="R1946" s="59"/>
      <c r="S1946" s="59"/>
      <c r="T1946" s="59"/>
      <c r="U1946" s="290"/>
      <c r="V1946" s="290"/>
      <c r="W1946" s="290"/>
      <c r="X1946" s="290"/>
      <c r="Y1946" s="290"/>
      <c r="Z1946" s="290"/>
      <c r="AA1946" s="290"/>
      <c r="AB1946" s="290"/>
      <c r="AC1946" s="290"/>
      <c r="AD1946" s="290"/>
    </row>
    <row r="1947" spans="1:30" ht="25.5">
      <c r="A1947" s="291"/>
      <c r="B1947" s="291"/>
      <c r="C1947" s="291"/>
      <c r="D1947" s="83"/>
      <c r="E1947" s="59"/>
      <c r="F1947" s="82"/>
      <c r="G1947" s="82"/>
      <c r="H1947" s="86"/>
      <c r="I1947" s="294"/>
      <c r="J1947" s="59"/>
      <c r="K1947" s="83"/>
      <c r="L1947" s="83" t="str">
        <f t="shared" si="52"/>
        <v xml:space="preserve">
</v>
      </c>
      <c r="M1947" s="83"/>
      <c r="N1947" s="59"/>
      <c r="O1947" s="59"/>
      <c r="P1947" s="86">
        <f t="shared" si="53"/>
        <v>0</v>
      </c>
      <c r="Q1947" s="59"/>
      <c r="R1947" s="59"/>
      <c r="S1947" s="59"/>
      <c r="T1947" s="59"/>
      <c r="U1947" s="290"/>
      <c r="V1947" s="290"/>
      <c r="W1947" s="290"/>
      <c r="X1947" s="290"/>
      <c r="Y1947" s="290"/>
      <c r="Z1947" s="290"/>
      <c r="AA1947" s="290"/>
      <c r="AB1947" s="290"/>
      <c r="AC1947" s="290"/>
      <c r="AD1947" s="290"/>
    </row>
    <row r="1948" spans="1:30" ht="25.5">
      <c r="A1948" s="291"/>
      <c r="B1948" s="291"/>
      <c r="C1948" s="291"/>
      <c r="D1948" s="83"/>
      <c r="E1948" s="59"/>
      <c r="F1948" s="82"/>
      <c r="G1948" s="82"/>
      <c r="H1948" s="86"/>
      <c r="I1948" s="294"/>
      <c r="J1948" s="59"/>
      <c r="K1948" s="83"/>
      <c r="L1948" s="83" t="str">
        <f t="shared" si="52"/>
        <v xml:space="preserve">
</v>
      </c>
      <c r="M1948" s="83"/>
      <c r="N1948" s="59"/>
      <c r="O1948" s="59"/>
      <c r="P1948" s="86">
        <f t="shared" si="53"/>
        <v>0</v>
      </c>
      <c r="Q1948" s="59"/>
      <c r="R1948" s="59"/>
      <c r="S1948" s="59"/>
      <c r="T1948" s="59"/>
      <c r="U1948" s="290"/>
      <c r="V1948" s="290"/>
      <c r="W1948" s="290"/>
      <c r="X1948" s="290"/>
      <c r="Y1948" s="290"/>
      <c r="Z1948" s="290"/>
      <c r="AA1948" s="290"/>
      <c r="AB1948" s="290"/>
      <c r="AC1948" s="290"/>
      <c r="AD1948" s="290"/>
    </row>
    <row r="1949" spans="1:30" ht="25.5">
      <c r="A1949" s="291"/>
      <c r="B1949" s="291"/>
      <c r="C1949" s="291"/>
      <c r="D1949" s="83"/>
      <c r="E1949" s="59"/>
      <c r="F1949" s="82"/>
      <c r="G1949" s="82"/>
      <c r="H1949" s="86"/>
      <c r="I1949" s="294"/>
      <c r="J1949" s="59"/>
      <c r="K1949" s="83"/>
      <c r="L1949" s="83" t="str">
        <f t="shared" si="52"/>
        <v xml:space="preserve">
</v>
      </c>
      <c r="M1949" s="83"/>
      <c r="N1949" s="59"/>
      <c r="O1949" s="59"/>
      <c r="P1949" s="86">
        <f t="shared" si="53"/>
        <v>0</v>
      </c>
      <c r="Q1949" s="59"/>
      <c r="R1949" s="59"/>
      <c r="S1949" s="59"/>
      <c r="T1949" s="59"/>
      <c r="U1949" s="290"/>
      <c r="V1949" s="290"/>
      <c r="W1949" s="290"/>
      <c r="X1949" s="290"/>
      <c r="Y1949" s="290"/>
      <c r="Z1949" s="290"/>
      <c r="AA1949" s="290"/>
      <c r="AB1949" s="290"/>
      <c r="AC1949" s="290"/>
      <c r="AD1949" s="290"/>
    </row>
    <row r="1950" spans="1:30" ht="25.5">
      <c r="A1950" s="291"/>
      <c r="B1950" s="291"/>
      <c r="C1950" s="291"/>
      <c r="D1950" s="83"/>
      <c r="E1950" s="59"/>
      <c r="F1950" s="82"/>
      <c r="G1950" s="82"/>
      <c r="H1950" s="86"/>
      <c r="I1950" s="294"/>
      <c r="J1950" s="59"/>
      <c r="K1950" s="83"/>
      <c r="L1950" s="83" t="str">
        <f t="shared" si="52"/>
        <v xml:space="preserve">
</v>
      </c>
      <c r="M1950" s="83"/>
      <c r="N1950" s="59"/>
      <c r="O1950" s="59"/>
      <c r="P1950" s="86">
        <f t="shared" si="53"/>
        <v>0</v>
      </c>
      <c r="Q1950" s="59"/>
      <c r="R1950" s="59"/>
      <c r="S1950" s="59"/>
      <c r="T1950" s="59"/>
      <c r="U1950" s="290"/>
      <c r="V1950" s="290"/>
      <c r="W1950" s="290"/>
      <c r="X1950" s="290"/>
      <c r="Y1950" s="290"/>
      <c r="Z1950" s="290"/>
      <c r="AA1950" s="290"/>
      <c r="AB1950" s="290"/>
      <c r="AC1950" s="290"/>
      <c r="AD1950" s="290"/>
    </row>
    <row r="1951" spans="1:30" ht="25.5">
      <c r="A1951" s="291"/>
      <c r="B1951" s="291"/>
      <c r="C1951" s="291"/>
      <c r="D1951" s="83"/>
      <c r="E1951" s="59"/>
      <c r="F1951" s="82"/>
      <c r="G1951" s="82"/>
      <c r="H1951" s="86"/>
      <c r="I1951" s="294"/>
      <c r="J1951" s="59"/>
      <c r="K1951" s="83"/>
      <c r="L1951" s="83" t="str">
        <f t="shared" si="52"/>
        <v xml:space="preserve">
</v>
      </c>
      <c r="M1951" s="83"/>
      <c r="N1951" s="59"/>
      <c r="O1951" s="59"/>
      <c r="P1951" s="86">
        <f t="shared" si="53"/>
        <v>0</v>
      </c>
      <c r="Q1951" s="59"/>
      <c r="R1951" s="59"/>
      <c r="S1951" s="59"/>
      <c r="T1951" s="59"/>
      <c r="U1951" s="290"/>
      <c r="V1951" s="290"/>
      <c r="W1951" s="290"/>
      <c r="X1951" s="290"/>
      <c r="Y1951" s="290"/>
      <c r="Z1951" s="290"/>
      <c r="AA1951" s="290"/>
      <c r="AB1951" s="290"/>
      <c r="AC1951" s="290"/>
      <c r="AD1951" s="290"/>
    </row>
    <row r="1952" spans="1:30" ht="25.5">
      <c r="A1952" s="291"/>
      <c r="B1952" s="291"/>
      <c r="C1952" s="291"/>
      <c r="D1952" s="83"/>
      <c r="E1952" s="59"/>
      <c r="F1952" s="82"/>
      <c r="G1952" s="82"/>
      <c r="H1952" s="86"/>
      <c r="I1952" s="294"/>
      <c r="J1952" s="59"/>
      <c r="K1952" s="83"/>
      <c r="L1952" s="83" t="str">
        <f t="shared" si="52"/>
        <v xml:space="preserve">
</v>
      </c>
      <c r="M1952" s="83"/>
      <c r="N1952" s="59"/>
      <c r="O1952" s="59"/>
      <c r="P1952" s="86">
        <f t="shared" si="53"/>
        <v>0</v>
      </c>
      <c r="Q1952" s="59"/>
      <c r="R1952" s="59"/>
      <c r="S1952" s="59"/>
      <c r="T1952" s="59"/>
      <c r="U1952" s="290"/>
      <c r="V1952" s="290"/>
      <c r="W1952" s="290"/>
      <c r="X1952" s="290"/>
      <c r="Y1952" s="290"/>
      <c r="Z1952" s="290"/>
      <c r="AA1952" s="290"/>
      <c r="AB1952" s="290"/>
      <c r="AC1952" s="290"/>
      <c r="AD1952" s="290"/>
    </row>
    <row r="1953" spans="1:30" ht="25.5">
      <c r="A1953" s="291"/>
      <c r="B1953" s="291"/>
      <c r="C1953" s="291"/>
      <c r="D1953" s="83"/>
      <c r="E1953" s="59"/>
      <c r="F1953" s="82"/>
      <c r="G1953" s="82"/>
      <c r="H1953" s="86"/>
      <c r="I1953" s="294"/>
      <c r="J1953" s="59"/>
      <c r="K1953" s="83"/>
      <c r="L1953" s="83" t="str">
        <f t="shared" si="52"/>
        <v xml:space="preserve">
</v>
      </c>
      <c r="M1953" s="83"/>
      <c r="N1953" s="59"/>
      <c r="O1953" s="59"/>
      <c r="P1953" s="86">
        <f t="shared" si="53"/>
        <v>0</v>
      </c>
      <c r="Q1953" s="59"/>
      <c r="R1953" s="59"/>
      <c r="S1953" s="59"/>
      <c r="T1953" s="59"/>
      <c r="U1953" s="290"/>
      <c r="V1953" s="290"/>
      <c r="W1953" s="290"/>
      <c r="X1953" s="290"/>
      <c r="Y1953" s="290"/>
      <c r="Z1953" s="290"/>
      <c r="AA1953" s="290"/>
      <c r="AB1953" s="290"/>
      <c r="AC1953" s="290"/>
      <c r="AD1953" s="290"/>
    </row>
    <row r="1954" spans="1:30" ht="25.5">
      <c r="A1954" s="291"/>
      <c r="B1954" s="291"/>
      <c r="C1954" s="291"/>
      <c r="D1954" s="83"/>
      <c r="E1954" s="59"/>
      <c r="F1954" s="82"/>
      <c r="G1954" s="82"/>
      <c r="H1954" s="86"/>
      <c r="I1954" s="294"/>
      <c r="J1954" s="59"/>
      <c r="K1954" s="83"/>
      <c r="L1954" s="83" t="str">
        <f t="shared" si="52"/>
        <v xml:space="preserve">
</v>
      </c>
      <c r="M1954" s="83"/>
      <c r="N1954" s="59"/>
      <c r="O1954" s="59"/>
      <c r="P1954" s="86">
        <f t="shared" si="53"/>
        <v>0</v>
      </c>
      <c r="Q1954" s="59"/>
      <c r="R1954" s="59"/>
      <c r="S1954" s="59"/>
      <c r="T1954" s="59"/>
      <c r="U1954" s="290"/>
      <c r="V1954" s="290"/>
      <c r="W1954" s="290"/>
      <c r="X1954" s="290"/>
      <c r="Y1954" s="290"/>
      <c r="Z1954" s="290"/>
      <c r="AA1954" s="290"/>
      <c r="AB1954" s="290"/>
      <c r="AC1954" s="290"/>
      <c r="AD1954" s="290"/>
    </row>
    <row r="1955" spans="1:30" ht="25.5">
      <c r="A1955" s="291"/>
      <c r="B1955" s="291"/>
      <c r="C1955" s="291"/>
      <c r="D1955" s="83"/>
      <c r="E1955" s="59"/>
      <c r="F1955" s="82"/>
      <c r="G1955" s="82"/>
      <c r="H1955" s="86"/>
      <c r="I1955" s="294"/>
      <c r="J1955" s="59"/>
      <c r="K1955" s="83"/>
      <c r="L1955" s="83" t="str">
        <f t="shared" si="52"/>
        <v xml:space="preserve">
</v>
      </c>
      <c r="M1955" s="83"/>
      <c r="N1955" s="59"/>
      <c r="O1955" s="59"/>
      <c r="P1955" s="86">
        <f t="shared" si="53"/>
        <v>0</v>
      </c>
      <c r="Q1955" s="59"/>
      <c r="R1955" s="59"/>
      <c r="S1955" s="59"/>
      <c r="T1955" s="59"/>
      <c r="U1955" s="290"/>
      <c r="V1955" s="290"/>
      <c r="W1955" s="290"/>
      <c r="X1955" s="290"/>
      <c r="Y1955" s="290"/>
      <c r="Z1955" s="290"/>
      <c r="AA1955" s="290"/>
      <c r="AB1955" s="290"/>
      <c r="AC1955" s="290"/>
      <c r="AD1955" s="290"/>
    </row>
    <row r="1956" spans="1:30" ht="25.5">
      <c r="A1956" s="291"/>
      <c r="B1956" s="291"/>
      <c r="C1956" s="291"/>
      <c r="D1956" s="83"/>
      <c r="E1956" s="59"/>
      <c r="F1956" s="82"/>
      <c r="G1956" s="82"/>
      <c r="H1956" s="86"/>
      <c r="I1956" s="294"/>
      <c r="J1956" s="59"/>
      <c r="K1956" s="83"/>
      <c r="L1956" s="83" t="str">
        <f t="shared" si="52"/>
        <v xml:space="preserve">
</v>
      </c>
      <c r="M1956" s="83"/>
      <c r="N1956" s="59"/>
      <c r="O1956" s="59"/>
      <c r="P1956" s="86">
        <f t="shared" si="53"/>
        <v>0</v>
      </c>
      <c r="Q1956" s="59"/>
      <c r="R1956" s="59"/>
      <c r="S1956" s="59"/>
      <c r="T1956" s="59"/>
      <c r="U1956" s="290"/>
      <c r="V1956" s="290"/>
      <c r="W1956" s="290"/>
      <c r="X1956" s="290"/>
      <c r="Y1956" s="290"/>
      <c r="Z1956" s="290"/>
      <c r="AA1956" s="290"/>
      <c r="AB1956" s="290"/>
      <c r="AC1956" s="290"/>
      <c r="AD1956" s="290"/>
    </row>
    <row r="1957" spans="1:30" ht="25.5">
      <c r="A1957" s="291"/>
      <c r="B1957" s="291"/>
      <c r="C1957" s="291"/>
      <c r="D1957" s="83"/>
      <c r="E1957" s="59"/>
      <c r="F1957" s="82"/>
      <c r="G1957" s="82"/>
      <c r="H1957" s="86"/>
      <c r="I1957" s="294"/>
      <c r="J1957" s="59"/>
      <c r="K1957" s="83"/>
      <c r="L1957" s="83" t="str">
        <f t="shared" si="52"/>
        <v xml:space="preserve">
</v>
      </c>
      <c r="M1957" s="83"/>
      <c r="N1957" s="59"/>
      <c r="O1957" s="59"/>
      <c r="P1957" s="86">
        <f t="shared" si="53"/>
        <v>0</v>
      </c>
      <c r="Q1957" s="59"/>
      <c r="R1957" s="59"/>
      <c r="S1957" s="59"/>
      <c r="T1957" s="59"/>
      <c r="U1957" s="290"/>
      <c r="V1957" s="290"/>
      <c r="W1957" s="290"/>
      <c r="X1957" s="290"/>
      <c r="Y1957" s="290"/>
      <c r="Z1957" s="290"/>
      <c r="AA1957" s="290"/>
      <c r="AB1957" s="290"/>
      <c r="AC1957" s="290"/>
      <c r="AD1957" s="290"/>
    </row>
    <row r="1958" spans="1:30" ht="25.5">
      <c r="A1958" s="291"/>
      <c r="B1958" s="291"/>
      <c r="C1958" s="291"/>
      <c r="D1958" s="83"/>
      <c r="E1958" s="59"/>
      <c r="F1958" s="82"/>
      <c r="G1958" s="82"/>
      <c r="H1958" s="86"/>
      <c r="I1958" s="294"/>
      <c r="J1958" s="59"/>
      <c r="K1958" s="83"/>
      <c r="L1958" s="83" t="str">
        <f t="shared" si="52"/>
        <v xml:space="preserve">
</v>
      </c>
      <c r="M1958" s="83"/>
      <c r="N1958" s="59"/>
      <c r="O1958" s="59"/>
      <c r="P1958" s="86">
        <f t="shared" si="53"/>
        <v>0</v>
      </c>
      <c r="Q1958" s="59"/>
      <c r="R1958" s="59"/>
      <c r="S1958" s="59"/>
      <c r="T1958" s="59"/>
      <c r="U1958" s="290"/>
      <c r="V1958" s="290"/>
      <c r="W1958" s="290"/>
      <c r="X1958" s="290"/>
      <c r="Y1958" s="290"/>
      <c r="Z1958" s="290"/>
      <c r="AA1958" s="290"/>
      <c r="AB1958" s="290"/>
      <c r="AC1958" s="290"/>
      <c r="AD1958" s="290"/>
    </row>
    <row r="1959" spans="1:30" ht="25.5">
      <c r="A1959" s="291"/>
      <c r="B1959" s="291"/>
      <c r="C1959" s="291"/>
      <c r="D1959" s="83"/>
      <c r="E1959" s="59"/>
      <c r="F1959" s="82"/>
      <c r="G1959" s="82"/>
      <c r="H1959" s="86"/>
      <c r="I1959" s="294"/>
      <c r="J1959" s="59"/>
      <c r="K1959" s="83"/>
      <c r="L1959" s="83" t="str">
        <f t="shared" si="52"/>
        <v xml:space="preserve">
</v>
      </c>
      <c r="M1959" s="83"/>
      <c r="N1959" s="59"/>
      <c r="O1959" s="59"/>
      <c r="P1959" s="86">
        <f t="shared" si="53"/>
        <v>0</v>
      </c>
      <c r="Q1959" s="59"/>
      <c r="R1959" s="59"/>
      <c r="S1959" s="59"/>
      <c r="T1959" s="59"/>
      <c r="U1959" s="290"/>
      <c r="V1959" s="290"/>
      <c r="W1959" s="290"/>
      <c r="X1959" s="290"/>
      <c r="Y1959" s="290"/>
      <c r="Z1959" s="290"/>
      <c r="AA1959" s="290"/>
      <c r="AB1959" s="290"/>
      <c r="AC1959" s="290"/>
      <c r="AD1959" s="290"/>
    </row>
    <row r="1960" spans="1:30" ht="25.5">
      <c r="A1960" s="291"/>
      <c r="B1960" s="291"/>
      <c r="C1960" s="291"/>
      <c r="D1960" s="83"/>
      <c r="E1960" s="59"/>
      <c r="F1960" s="82"/>
      <c r="G1960" s="82"/>
      <c r="H1960" s="86"/>
      <c r="I1960" s="294"/>
      <c r="J1960" s="59"/>
      <c r="K1960" s="83"/>
      <c r="L1960" s="83" t="str">
        <f t="shared" si="52"/>
        <v xml:space="preserve">
</v>
      </c>
      <c r="M1960" s="83"/>
      <c r="N1960" s="59"/>
      <c r="O1960" s="59"/>
      <c r="P1960" s="86">
        <f t="shared" si="53"/>
        <v>0</v>
      </c>
      <c r="Q1960" s="59"/>
      <c r="R1960" s="59"/>
      <c r="S1960" s="59"/>
      <c r="T1960" s="59"/>
      <c r="U1960" s="290"/>
      <c r="V1960" s="290"/>
      <c r="W1960" s="290"/>
      <c r="X1960" s="290"/>
      <c r="Y1960" s="290"/>
      <c r="Z1960" s="290"/>
      <c r="AA1960" s="290"/>
      <c r="AB1960" s="290"/>
      <c r="AC1960" s="290"/>
      <c r="AD1960" s="290"/>
    </row>
    <row r="1961" spans="1:30" ht="25.5">
      <c r="A1961" s="291"/>
      <c r="B1961" s="291"/>
      <c r="C1961" s="291"/>
      <c r="D1961" s="83"/>
      <c r="E1961" s="59"/>
      <c r="F1961" s="82"/>
      <c r="G1961" s="82"/>
      <c r="H1961" s="86"/>
      <c r="I1961" s="294"/>
      <c r="J1961" s="59"/>
      <c r="K1961" s="83"/>
      <c r="L1961" s="83" t="str">
        <f t="shared" si="52"/>
        <v xml:space="preserve">
</v>
      </c>
      <c r="M1961" s="83"/>
      <c r="N1961" s="59"/>
      <c r="O1961" s="59"/>
      <c r="P1961" s="86">
        <f t="shared" si="53"/>
        <v>0</v>
      </c>
      <c r="Q1961" s="59"/>
      <c r="R1961" s="59"/>
      <c r="S1961" s="59"/>
      <c r="T1961" s="59"/>
      <c r="U1961" s="290"/>
      <c r="V1961" s="290"/>
      <c r="W1961" s="290"/>
      <c r="X1961" s="290"/>
      <c r="Y1961" s="290"/>
      <c r="Z1961" s="290"/>
      <c r="AA1961" s="290"/>
      <c r="AB1961" s="290"/>
      <c r="AC1961" s="290"/>
      <c r="AD1961" s="290"/>
    </row>
    <row r="1962" spans="1:30" ht="25.5">
      <c r="A1962" s="291"/>
      <c r="B1962" s="291"/>
      <c r="C1962" s="291"/>
      <c r="D1962" s="83"/>
      <c r="E1962" s="59"/>
      <c r="F1962" s="82"/>
      <c r="G1962" s="82"/>
      <c r="H1962" s="86"/>
      <c r="I1962" s="294"/>
      <c r="J1962" s="59"/>
      <c r="K1962" s="83"/>
      <c r="L1962" s="83" t="str">
        <f t="shared" si="52"/>
        <v xml:space="preserve">
</v>
      </c>
      <c r="M1962" s="83"/>
      <c r="N1962" s="59"/>
      <c r="O1962" s="59"/>
      <c r="P1962" s="86">
        <f t="shared" si="53"/>
        <v>0</v>
      </c>
      <c r="Q1962" s="59"/>
      <c r="R1962" s="59"/>
      <c r="S1962" s="59"/>
      <c r="T1962" s="59"/>
      <c r="U1962" s="290"/>
      <c r="V1962" s="290"/>
      <c r="W1962" s="290"/>
      <c r="X1962" s="290"/>
      <c r="Y1962" s="290"/>
      <c r="Z1962" s="290"/>
      <c r="AA1962" s="290"/>
      <c r="AB1962" s="290"/>
      <c r="AC1962" s="290"/>
      <c r="AD1962" s="290"/>
    </row>
    <row r="1963" spans="1:30" ht="25.5">
      <c r="A1963" s="291"/>
      <c r="B1963" s="291"/>
      <c r="C1963" s="291"/>
      <c r="D1963" s="83"/>
      <c r="E1963" s="59"/>
      <c r="F1963" s="82"/>
      <c r="G1963" s="82"/>
      <c r="H1963" s="86"/>
      <c r="I1963" s="294"/>
      <c r="J1963" s="59"/>
      <c r="K1963" s="83"/>
      <c r="L1963" s="83" t="str">
        <f t="shared" si="52"/>
        <v xml:space="preserve">
</v>
      </c>
      <c r="M1963" s="83"/>
      <c r="N1963" s="59"/>
      <c r="O1963" s="59"/>
      <c r="P1963" s="86">
        <f t="shared" si="53"/>
        <v>0</v>
      </c>
      <c r="Q1963" s="59"/>
      <c r="R1963" s="59"/>
      <c r="S1963" s="59"/>
      <c r="T1963" s="59"/>
      <c r="U1963" s="290"/>
      <c r="V1963" s="290"/>
      <c r="W1963" s="290"/>
      <c r="X1963" s="290"/>
      <c r="Y1963" s="290"/>
      <c r="Z1963" s="290"/>
      <c r="AA1963" s="290"/>
      <c r="AB1963" s="290"/>
      <c r="AC1963" s="290"/>
      <c r="AD1963" s="290"/>
    </row>
    <row r="1964" spans="1:30" ht="25.5">
      <c r="A1964" s="291"/>
      <c r="B1964" s="291"/>
      <c r="C1964" s="291"/>
      <c r="D1964" s="83"/>
      <c r="E1964" s="59"/>
      <c r="F1964" s="82"/>
      <c r="G1964" s="82"/>
      <c r="H1964" s="86"/>
      <c r="I1964" s="294"/>
      <c r="J1964" s="59"/>
      <c r="K1964" s="83"/>
      <c r="L1964" s="83" t="str">
        <f t="shared" si="52"/>
        <v xml:space="preserve">
</v>
      </c>
      <c r="M1964" s="83"/>
      <c r="N1964" s="59"/>
      <c r="O1964" s="59"/>
      <c r="P1964" s="86">
        <f t="shared" si="53"/>
        <v>0</v>
      </c>
      <c r="Q1964" s="59"/>
      <c r="R1964" s="59"/>
      <c r="S1964" s="59"/>
      <c r="T1964" s="59"/>
      <c r="U1964" s="290"/>
      <c r="V1964" s="290"/>
      <c r="W1964" s="290"/>
      <c r="X1964" s="290"/>
      <c r="Y1964" s="290"/>
      <c r="Z1964" s="290"/>
      <c r="AA1964" s="290"/>
      <c r="AB1964" s="290"/>
      <c r="AC1964" s="290"/>
      <c r="AD1964" s="290"/>
    </row>
    <row r="1965" spans="1:30" ht="25.5">
      <c r="A1965" s="291"/>
      <c r="B1965" s="291"/>
      <c r="C1965" s="291"/>
      <c r="D1965" s="83"/>
      <c r="E1965" s="59"/>
      <c r="F1965" s="82"/>
      <c r="G1965" s="82"/>
      <c r="H1965" s="86"/>
      <c r="I1965" s="294"/>
      <c r="J1965" s="59"/>
      <c r="K1965" s="83"/>
      <c r="L1965" s="83" t="str">
        <f t="shared" si="52"/>
        <v xml:space="preserve">
</v>
      </c>
      <c r="M1965" s="83"/>
      <c r="N1965" s="59"/>
      <c r="O1965" s="59"/>
      <c r="P1965" s="86">
        <f t="shared" si="53"/>
        <v>0</v>
      </c>
      <c r="Q1965" s="59"/>
      <c r="R1965" s="59"/>
      <c r="S1965" s="59"/>
      <c r="T1965" s="59"/>
      <c r="U1965" s="290"/>
      <c r="V1965" s="290"/>
      <c r="W1965" s="290"/>
      <c r="X1965" s="290"/>
      <c r="Y1965" s="290"/>
      <c r="Z1965" s="290"/>
      <c r="AA1965" s="290"/>
      <c r="AB1965" s="290"/>
      <c r="AC1965" s="290"/>
      <c r="AD1965" s="290"/>
    </row>
    <row r="1966" spans="1:30" ht="25.5">
      <c r="A1966" s="291"/>
      <c r="B1966" s="291"/>
      <c r="C1966" s="291"/>
      <c r="D1966" s="83"/>
      <c r="E1966" s="59"/>
      <c r="F1966" s="82"/>
      <c r="G1966" s="82"/>
      <c r="H1966" s="86"/>
      <c r="I1966" s="294"/>
      <c r="J1966" s="59"/>
      <c r="K1966" s="83"/>
      <c r="L1966" s="83" t="str">
        <f t="shared" si="52"/>
        <v xml:space="preserve">
</v>
      </c>
      <c r="M1966" s="83"/>
      <c r="N1966" s="59"/>
      <c r="O1966" s="59"/>
      <c r="P1966" s="86">
        <f t="shared" si="53"/>
        <v>0</v>
      </c>
      <c r="Q1966" s="59"/>
      <c r="R1966" s="59"/>
      <c r="S1966" s="59"/>
      <c r="T1966" s="59"/>
      <c r="U1966" s="290"/>
      <c r="V1966" s="290"/>
      <c r="W1966" s="290"/>
      <c r="X1966" s="290"/>
      <c r="Y1966" s="290"/>
      <c r="Z1966" s="290"/>
      <c r="AA1966" s="290"/>
      <c r="AB1966" s="290"/>
      <c r="AC1966" s="290"/>
      <c r="AD1966" s="290"/>
    </row>
    <row r="1967" spans="1:30" ht="25.5">
      <c r="A1967" s="291"/>
      <c r="B1967" s="291"/>
      <c r="C1967" s="291"/>
      <c r="D1967" s="83"/>
      <c r="E1967" s="59"/>
      <c r="F1967" s="82"/>
      <c r="G1967" s="82"/>
      <c r="H1967" s="86"/>
      <c r="I1967" s="294"/>
      <c r="J1967" s="59"/>
      <c r="K1967" s="83"/>
      <c r="L1967" s="83" t="str">
        <f t="shared" si="52"/>
        <v xml:space="preserve">
</v>
      </c>
      <c r="M1967" s="83"/>
      <c r="N1967" s="59"/>
      <c r="O1967" s="59"/>
      <c r="P1967" s="86">
        <f t="shared" si="53"/>
        <v>0</v>
      </c>
      <c r="Q1967" s="59"/>
      <c r="R1967" s="59"/>
      <c r="S1967" s="59"/>
      <c r="T1967" s="59"/>
      <c r="U1967" s="290"/>
      <c r="V1967" s="290"/>
      <c r="W1967" s="290"/>
      <c r="X1967" s="290"/>
      <c r="Y1967" s="290"/>
      <c r="Z1967" s="290"/>
      <c r="AA1967" s="290"/>
      <c r="AB1967" s="290"/>
      <c r="AC1967" s="290"/>
      <c r="AD1967" s="290"/>
    </row>
    <row r="1968" spans="1:30" ht="25.5">
      <c r="A1968" s="291"/>
      <c r="B1968" s="291"/>
      <c r="C1968" s="291"/>
      <c r="D1968" s="83"/>
      <c r="E1968" s="59"/>
      <c r="F1968" s="82"/>
      <c r="G1968" s="82"/>
      <c r="H1968" s="86"/>
      <c r="I1968" s="294"/>
      <c r="J1968" s="59"/>
      <c r="K1968" s="83"/>
      <c r="L1968" s="83" t="str">
        <f t="shared" si="52"/>
        <v xml:space="preserve">
</v>
      </c>
      <c r="M1968" s="83"/>
      <c r="N1968" s="59"/>
      <c r="O1968" s="59"/>
      <c r="P1968" s="86">
        <f t="shared" si="53"/>
        <v>0</v>
      </c>
      <c r="Q1968" s="59"/>
      <c r="R1968" s="59"/>
      <c r="S1968" s="59"/>
      <c r="T1968" s="59"/>
      <c r="U1968" s="290"/>
      <c r="V1968" s="290"/>
      <c r="W1968" s="290"/>
      <c r="X1968" s="290"/>
      <c r="Y1968" s="290"/>
      <c r="Z1968" s="290"/>
      <c r="AA1968" s="290"/>
      <c r="AB1968" s="290"/>
      <c r="AC1968" s="290"/>
      <c r="AD1968" s="290"/>
    </row>
    <row r="1969" spans="1:30" ht="25.5">
      <c r="A1969" s="291"/>
      <c r="B1969" s="291"/>
      <c r="C1969" s="291"/>
      <c r="D1969" s="83"/>
      <c r="E1969" s="59"/>
      <c r="F1969" s="82"/>
      <c r="G1969" s="82"/>
      <c r="H1969" s="86"/>
      <c r="I1969" s="294"/>
      <c r="J1969" s="59"/>
      <c r="K1969" s="83"/>
      <c r="L1969" s="83" t="str">
        <f t="shared" si="52"/>
        <v xml:space="preserve">
</v>
      </c>
      <c r="M1969" s="83"/>
      <c r="N1969" s="59"/>
      <c r="O1969" s="59"/>
      <c r="P1969" s="86">
        <f t="shared" si="53"/>
        <v>0</v>
      </c>
      <c r="Q1969" s="59"/>
      <c r="R1969" s="59"/>
      <c r="S1969" s="59"/>
      <c r="T1969" s="59"/>
      <c r="U1969" s="290"/>
      <c r="V1969" s="290"/>
      <c r="W1969" s="290"/>
      <c r="X1969" s="290"/>
      <c r="Y1969" s="290"/>
      <c r="Z1969" s="290"/>
      <c r="AA1969" s="290"/>
      <c r="AB1969" s="290"/>
      <c r="AC1969" s="290"/>
      <c r="AD1969" s="290"/>
    </row>
    <row r="1970" spans="1:30" ht="25.5">
      <c r="A1970" s="291"/>
      <c r="B1970" s="291"/>
      <c r="C1970" s="291"/>
      <c r="D1970" s="83"/>
      <c r="E1970" s="59"/>
      <c r="F1970" s="82"/>
      <c r="G1970" s="82"/>
      <c r="H1970" s="86"/>
      <c r="I1970" s="294"/>
      <c r="J1970" s="59"/>
      <c r="K1970" s="83"/>
      <c r="L1970" s="83" t="str">
        <f t="shared" si="52"/>
        <v xml:space="preserve">
</v>
      </c>
      <c r="M1970" s="83"/>
      <c r="N1970" s="59"/>
      <c r="O1970" s="59"/>
      <c r="P1970" s="86">
        <f t="shared" si="53"/>
        <v>0</v>
      </c>
      <c r="Q1970" s="59"/>
      <c r="R1970" s="59"/>
      <c r="S1970" s="59"/>
      <c r="T1970" s="59"/>
      <c r="U1970" s="290"/>
      <c r="V1970" s="290"/>
      <c r="W1970" s="290"/>
      <c r="X1970" s="290"/>
      <c r="Y1970" s="290"/>
      <c r="Z1970" s="290"/>
      <c r="AA1970" s="290"/>
      <c r="AB1970" s="290"/>
      <c r="AC1970" s="290"/>
      <c r="AD1970" s="290"/>
    </row>
    <row r="1971" spans="1:30" ht="25.5">
      <c r="A1971" s="291"/>
      <c r="B1971" s="291"/>
      <c r="C1971" s="291"/>
      <c r="D1971" s="83"/>
      <c r="E1971" s="59"/>
      <c r="F1971" s="82"/>
      <c r="G1971" s="82"/>
      <c r="H1971" s="86"/>
      <c r="I1971" s="294"/>
      <c r="J1971" s="59"/>
      <c r="K1971" s="83"/>
      <c r="L1971" s="83" t="str">
        <f t="shared" si="52"/>
        <v xml:space="preserve">
</v>
      </c>
      <c r="M1971" s="83"/>
      <c r="N1971" s="59"/>
      <c r="O1971" s="59"/>
      <c r="P1971" s="86">
        <f t="shared" si="53"/>
        <v>0</v>
      </c>
      <c r="Q1971" s="59"/>
      <c r="R1971" s="59"/>
      <c r="S1971" s="59"/>
      <c r="T1971" s="59"/>
      <c r="U1971" s="290"/>
      <c r="V1971" s="290"/>
      <c r="W1971" s="290"/>
      <c r="X1971" s="290"/>
      <c r="Y1971" s="290"/>
      <c r="Z1971" s="290"/>
      <c r="AA1971" s="290"/>
      <c r="AB1971" s="290"/>
      <c r="AC1971" s="290"/>
      <c r="AD1971" s="290"/>
    </row>
    <row r="1972" spans="1:30" ht="25.5">
      <c r="A1972" s="291"/>
      <c r="B1972" s="291"/>
      <c r="C1972" s="291"/>
      <c r="D1972" s="83"/>
      <c r="E1972" s="59"/>
      <c r="F1972" s="82"/>
      <c r="G1972" s="82"/>
      <c r="H1972" s="86"/>
      <c r="I1972" s="294"/>
      <c r="J1972" s="59"/>
      <c r="K1972" s="83"/>
      <c r="L1972" s="83" t="str">
        <f t="shared" si="52"/>
        <v xml:space="preserve">
</v>
      </c>
      <c r="M1972" s="83"/>
      <c r="N1972" s="59"/>
      <c r="O1972" s="59"/>
      <c r="P1972" s="86">
        <f t="shared" si="53"/>
        <v>0</v>
      </c>
      <c r="Q1972" s="59"/>
      <c r="R1972" s="59"/>
      <c r="S1972" s="59"/>
      <c r="T1972" s="59"/>
      <c r="U1972" s="290"/>
      <c r="V1972" s="290"/>
      <c r="W1972" s="290"/>
      <c r="X1972" s="290"/>
      <c r="Y1972" s="290"/>
      <c r="Z1972" s="290"/>
      <c r="AA1972" s="290"/>
      <c r="AB1972" s="290"/>
      <c r="AC1972" s="290"/>
      <c r="AD1972" s="290"/>
    </row>
    <row r="1973" spans="1:30" ht="25.5">
      <c r="A1973" s="291"/>
      <c r="B1973" s="291"/>
      <c r="C1973" s="291"/>
      <c r="D1973" s="83"/>
      <c r="E1973" s="59"/>
      <c r="F1973" s="82"/>
      <c r="G1973" s="82"/>
      <c r="H1973" s="86"/>
      <c r="I1973" s="294"/>
      <c r="J1973" s="59"/>
      <c r="K1973" s="83"/>
      <c r="L1973" s="83" t="str">
        <f t="shared" si="52"/>
        <v xml:space="preserve">
</v>
      </c>
      <c r="M1973" s="83"/>
      <c r="N1973" s="59"/>
      <c r="O1973" s="59"/>
      <c r="P1973" s="86">
        <f t="shared" si="53"/>
        <v>0</v>
      </c>
      <c r="Q1973" s="59"/>
      <c r="R1973" s="59"/>
      <c r="S1973" s="59"/>
      <c r="T1973" s="59"/>
      <c r="U1973" s="290"/>
      <c r="V1973" s="290"/>
      <c r="W1973" s="290"/>
      <c r="X1973" s="290"/>
      <c r="Y1973" s="290"/>
      <c r="Z1973" s="290"/>
      <c r="AA1973" s="290"/>
      <c r="AB1973" s="290"/>
      <c r="AC1973" s="290"/>
      <c r="AD1973" s="290"/>
    </row>
    <row r="1974" spans="1:30" ht="25.5">
      <c r="A1974" s="291"/>
      <c r="B1974" s="291"/>
      <c r="C1974" s="291"/>
      <c r="D1974" s="83"/>
      <c r="E1974" s="59"/>
      <c r="F1974" s="82"/>
      <c r="G1974" s="82"/>
      <c r="H1974" s="86"/>
      <c r="I1974" s="294"/>
      <c r="J1974" s="59"/>
      <c r="K1974" s="83"/>
      <c r="L1974" s="83" t="str">
        <f t="shared" si="52"/>
        <v xml:space="preserve">
</v>
      </c>
      <c r="M1974" s="83"/>
      <c r="N1974" s="59"/>
      <c r="O1974" s="59"/>
      <c r="P1974" s="86">
        <f t="shared" si="53"/>
        <v>0</v>
      </c>
      <c r="Q1974" s="59"/>
      <c r="R1974" s="59"/>
      <c r="S1974" s="59"/>
      <c r="T1974" s="59"/>
      <c r="U1974" s="290"/>
      <c r="V1974" s="290"/>
      <c r="W1974" s="290"/>
      <c r="X1974" s="290"/>
      <c r="Y1974" s="290"/>
      <c r="Z1974" s="290"/>
      <c r="AA1974" s="290"/>
      <c r="AB1974" s="290"/>
      <c r="AC1974" s="290"/>
      <c r="AD1974" s="290"/>
    </row>
    <row r="1975" spans="1:30" ht="25.5">
      <c r="A1975" s="291"/>
      <c r="B1975" s="291"/>
      <c r="C1975" s="291"/>
      <c r="D1975" s="83"/>
      <c r="E1975" s="59"/>
      <c r="F1975" s="82"/>
      <c r="G1975" s="82"/>
      <c r="H1975" s="86"/>
      <c r="I1975" s="294"/>
      <c r="J1975" s="59"/>
      <c r="K1975" s="83"/>
      <c r="L1975" s="83" t="str">
        <f t="shared" si="52"/>
        <v xml:space="preserve">
</v>
      </c>
      <c r="M1975" s="83"/>
      <c r="N1975" s="59"/>
      <c r="O1975" s="59"/>
      <c r="P1975" s="86">
        <f t="shared" si="53"/>
        <v>0</v>
      </c>
      <c r="Q1975" s="59"/>
      <c r="R1975" s="59"/>
      <c r="S1975" s="59"/>
      <c r="T1975" s="59"/>
      <c r="U1975" s="290"/>
      <c r="V1975" s="290"/>
      <c r="W1975" s="290"/>
      <c r="X1975" s="290"/>
      <c r="Y1975" s="290"/>
      <c r="Z1975" s="290"/>
      <c r="AA1975" s="290"/>
      <c r="AB1975" s="290"/>
      <c r="AC1975" s="290"/>
      <c r="AD1975" s="290"/>
    </row>
    <row r="1976" spans="1:30" ht="25.5">
      <c r="A1976" s="291"/>
      <c r="B1976" s="291"/>
      <c r="C1976" s="291"/>
      <c r="D1976" s="83"/>
      <c r="E1976" s="59"/>
      <c r="F1976" s="82"/>
      <c r="G1976" s="82"/>
      <c r="H1976" s="86"/>
      <c r="I1976" s="294"/>
      <c r="J1976" s="59"/>
      <c r="K1976" s="83"/>
      <c r="L1976" s="83" t="str">
        <f t="shared" si="52"/>
        <v xml:space="preserve">
</v>
      </c>
      <c r="M1976" s="83"/>
      <c r="N1976" s="59"/>
      <c r="O1976" s="59"/>
      <c r="P1976" s="86">
        <f t="shared" si="53"/>
        <v>0</v>
      </c>
      <c r="Q1976" s="59"/>
      <c r="R1976" s="59"/>
      <c r="S1976" s="59"/>
      <c r="T1976" s="59"/>
      <c r="U1976" s="290"/>
      <c r="V1976" s="290"/>
      <c r="W1976" s="290"/>
      <c r="X1976" s="290"/>
      <c r="Y1976" s="290"/>
      <c r="Z1976" s="290"/>
      <c r="AA1976" s="290"/>
      <c r="AB1976" s="290"/>
      <c r="AC1976" s="290"/>
      <c r="AD1976" s="290"/>
    </row>
    <row r="1977" spans="1:30" ht="25.5">
      <c r="A1977" s="291"/>
      <c r="B1977" s="291"/>
      <c r="C1977" s="291"/>
      <c r="D1977" s="83"/>
      <c r="E1977" s="59"/>
      <c r="F1977" s="82"/>
      <c r="G1977" s="82"/>
      <c r="H1977" s="86"/>
      <c r="I1977" s="294"/>
      <c r="J1977" s="59"/>
      <c r="K1977" s="83"/>
      <c r="L1977" s="83" t="str">
        <f t="shared" si="52"/>
        <v xml:space="preserve">
</v>
      </c>
      <c r="M1977" s="83"/>
      <c r="N1977" s="59"/>
      <c r="O1977" s="59"/>
      <c r="P1977" s="86">
        <f t="shared" si="53"/>
        <v>0</v>
      </c>
      <c r="Q1977" s="59"/>
      <c r="R1977" s="59"/>
      <c r="S1977" s="59"/>
      <c r="T1977" s="59"/>
      <c r="U1977" s="290"/>
      <c r="V1977" s="290"/>
      <c r="W1977" s="290"/>
      <c r="X1977" s="290"/>
      <c r="Y1977" s="290"/>
      <c r="Z1977" s="290"/>
      <c r="AA1977" s="290"/>
      <c r="AB1977" s="290"/>
      <c r="AC1977" s="290"/>
      <c r="AD1977" s="290"/>
    </row>
    <row r="1978" spans="1:30" ht="25.5">
      <c r="A1978" s="291"/>
      <c r="B1978" s="291"/>
      <c r="C1978" s="291"/>
      <c r="D1978" s="83"/>
      <c r="E1978" s="59"/>
      <c r="F1978" s="82"/>
      <c r="G1978" s="82"/>
      <c r="H1978" s="86"/>
      <c r="I1978" s="294"/>
      <c r="J1978" s="59"/>
      <c r="K1978" s="83"/>
      <c r="L1978" s="83" t="str">
        <f t="shared" si="52"/>
        <v xml:space="preserve">
</v>
      </c>
      <c r="M1978" s="83"/>
      <c r="N1978" s="59"/>
      <c r="O1978" s="59"/>
      <c r="P1978" s="86">
        <f t="shared" si="53"/>
        <v>0</v>
      </c>
      <c r="Q1978" s="59"/>
      <c r="R1978" s="59"/>
      <c r="S1978" s="59"/>
      <c r="T1978" s="59"/>
      <c r="U1978" s="290"/>
      <c r="V1978" s="290"/>
      <c r="W1978" s="290"/>
      <c r="X1978" s="290"/>
      <c r="Y1978" s="290"/>
      <c r="Z1978" s="290"/>
      <c r="AA1978" s="290"/>
      <c r="AB1978" s="290"/>
      <c r="AC1978" s="290"/>
      <c r="AD1978" s="290"/>
    </row>
    <row r="1979" spans="1:30" ht="25.5">
      <c r="A1979" s="291"/>
      <c r="B1979" s="291"/>
      <c r="C1979" s="291"/>
      <c r="D1979" s="83"/>
      <c r="E1979" s="59"/>
      <c r="F1979" s="82"/>
      <c r="G1979" s="82"/>
      <c r="H1979" s="86"/>
      <c r="I1979" s="294"/>
      <c r="J1979" s="59"/>
      <c r="K1979" s="83"/>
      <c r="L1979" s="83" t="str">
        <f t="shared" si="52"/>
        <v xml:space="preserve">
</v>
      </c>
      <c r="M1979" s="83"/>
      <c r="N1979" s="59"/>
      <c r="O1979" s="59"/>
      <c r="P1979" s="86">
        <f t="shared" si="53"/>
        <v>0</v>
      </c>
      <c r="Q1979" s="59"/>
      <c r="R1979" s="59"/>
      <c r="S1979" s="59"/>
      <c r="T1979" s="59"/>
      <c r="U1979" s="290"/>
      <c r="V1979" s="290"/>
      <c r="W1979" s="290"/>
      <c r="X1979" s="290"/>
      <c r="Y1979" s="290"/>
      <c r="Z1979" s="290"/>
      <c r="AA1979" s="290"/>
      <c r="AB1979" s="290"/>
      <c r="AC1979" s="290"/>
      <c r="AD1979" s="290"/>
    </row>
    <row r="1980" spans="1:30" ht="25.5">
      <c r="A1980" s="291"/>
      <c r="B1980" s="291"/>
      <c r="C1980" s="291"/>
      <c r="D1980" s="83"/>
      <c r="E1980" s="59"/>
      <c r="F1980" s="82"/>
      <c r="G1980" s="82"/>
      <c r="H1980" s="86"/>
      <c r="I1980" s="294"/>
      <c r="J1980" s="59"/>
      <c r="K1980" s="83"/>
      <c r="L1980" s="83" t="str">
        <f t="shared" si="52"/>
        <v xml:space="preserve">
</v>
      </c>
      <c r="M1980" s="83"/>
      <c r="N1980" s="59"/>
      <c r="O1980" s="59"/>
      <c r="P1980" s="86">
        <f t="shared" si="53"/>
        <v>0</v>
      </c>
      <c r="Q1980" s="59"/>
      <c r="R1980" s="59"/>
      <c r="S1980" s="59"/>
      <c r="T1980" s="59"/>
      <c r="U1980" s="290"/>
      <c r="V1980" s="290"/>
      <c r="W1980" s="290"/>
      <c r="X1980" s="290"/>
      <c r="Y1980" s="290"/>
      <c r="Z1980" s="290"/>
      <c r="AA1980" s="290"/>
      <c r="AB1980" s="290"/>
      <c r="AC1980" s="290"/>
      <c r="AD1980" s="290"/>
    </row>
    <row r="1981" spans="1:30" ht="25.5">
      <c r="A1981" s="291"/>
      <c r="B1981" s="291"/>
      <c r="C1981" s="291"/>
      <c r="D1981" s="83"/>
      <c r="E1981" s="59"/>
      <c r="F1981" s="82"/>
      <c r="G1981" s="82"/>
      <c r="H1981" s="86"/>
      <c r="I1981" s="294"/>
      <c r="J1981" s="59"/>
      <c r="K1981" s="83"/>
      <c r="L1981" s="83" t="str">
        <f t="shared" si="52"/>
        <v xml:space="preserve">
</v>
      </c>
      <c r="M1981" s="83"/>
      <c r="N1981" s="59"/>
      <c r="O1981" s="59"/>
      <c r="P1981" s="86">
        <f t="shared" si="53"/>
        <v>0</v>
      </c>
      <c r="Q1981" s="59"/>
      <c r="R1981" s="59"/>
      <c r="S1981" s="59"/>
      <c r="T1981" s="59"/>
      <c r="U1981" s="290"/>
      <c r="V1981" s="290"/>
      <c r="W1981" s="290"/>
      <c r="X1981" s="290"/>
      <c r="Y1981" s="290"/>
      <c r="Z1981" s="290"/>
      <c r="AA1981" s="290"/>
      <c r="AB1981" s="290"/>
      <c r="AC1981" s="290"/>
      <c r="AD1981" s="290"/>
    </row>
    <row r="1982" spans="1:30" ht="25.5">
      <c r="A1982" s="291"/>
      <c r="B1982" s="291"/>
      <c r="C1982" s="291"/>
      <c r="D1982" s="83"/>
      <c r="E1982" s="59"/>
      <c r="F1982" s="82"/>
      <c r="G1982" s="82"/>
      <c r="H1982" s="86"/>
      <c r="I1982" s="294"/>
      <c r="J1982" s="59"/>
      <c r="K1982" s="83"/>
      <c r="L1982" s="83" t="str">
        <f t="shared" si="52"/>
        <v xml:space="preserve">
</v>
      </c>
      <c r="M1982" s="83"/>
      <c r="N1982" s="59"/>
      <c r="O1982" s="59"/>
      <c r="P1982" s="86">
        <f t="shared" si="53"/>
        <v>0</v>
      </c>
      <c r="Q1982" s="59"/>
      <c r="R1982" s="59"/>
      <c r="S1982" s="59"/>
      <c r="T1982" s="59"/>
      <c r="U1982" s="290"/>
      <c r="V1982" s="290"/>
      <c r="W1982" s="290"/>
      <c r="X1982" s="290"/>
      <c r="Y1982" s="290"/>
      <c r="Z1982" s="290"/>
      <c r="AA1982" s="290"/>
      <c r="AB1982" s="290"/>
      <c r="AC1982" s="290"/>
      <c r="AD1982" s="290"/>
    </row>
    <row r="1983" spans="1:30" ht="25.5">
      <c r="A1983" s="291"/>
      <c r="B1983" s="291"/>
      <c r="C1983" s="291"/>
      <c r="D1983" s="83"/>
      <c r="E1983" s="59"/>
      <c r="F1983" s="82"/>
      <c r="G1983" s="82"/>
      <c r="H1983" s="86"/>
      <c r="I1983" s="294"/>
      <c r="J1983" s="59"/>
      <c r="K1983" s="83"/>
      <c r="L1983" s="83" t="str">
        <f t="shared" si="52"/>
        <v xml:space="preserve">
</v>
      </c>
      <c r="M1983" s="83"/>
      <c r="N1983" s="59"/>
      <c r="O1983" s="59"/>
      <c r="P1983" s="86">
        <f t="shared" si="53"/>
        <v>0</v>
      </c>
      <c r="Q1983" s="59"/>
      <c r="R1983" s="59"/>
      <c r="S1983" s="59"/>
      <c r="T1983" s="59"/>
      <c r="U1983" s="290"/>
      <c r="V1983" s="290"/>
      <c r="W1983" s="290"/>
      <c r="X1983" s="290"/>
      <c r="Y1983" s="290"/>
      <c r="Z1983" s="290"/>
      <c r="AA1983" s="290"/>
      <c r="AB1983" s="290"/>
      <c r="AC1983" s="290"/>
      <c r="AD1983" s="290"/>
    </row>
    <row r="1984" spans="1:30" ht="25.5">
      <c r="A1984" s="291"/>
      <c r="B1984" s="291"/>
      <c r="C1984" s="291"/>
      <c r="D1984" s="83"/>
      <c r="E1984" s="59"/>
      <c r="F1984" s="82"/>
      <c r="G1984" s="82"/>
      <c r="H1984" s="86"/>
      <c r="I1984" s="294"/>
      <c r="J1984" s="59"/>
      <c r="K1984" s="83"/>
      <c r="L1984" s="83" t="str">
        <f t="shared" si="52"/>
        <v xml:space="preserve">
</v>
      </c>
      <c r="M1984" s="83"/>
      <c r="N1984" s="59"/>
      <c r="O1984" s="59"/>
      <c r="P1984" s="86">
        <f t="shared" si="53"/>
        <v>0</v>
      </c>
      <c r="Q1984" s="59"/>
      <c r="R1984" s="59"/>
      <c r="S1984" s="59"/>
      <c r="T1984" s="59"/>
      <c r="U1984" s="290"/>
      <c r="V1984" s="290"/>
      <c r="W1984" s="290"/>
      <c r="X1984" s="290"/>
      <c r="Y1984" s="290"/>
      <c r="Z1984" s="290"/>
      <c r="AA1984" s="290"/>
      <c r="AB1984" s="290"/>
      <c r="AC1984" s="290"/>
      <c r="AD1984" s="290"/>
    </row>
    <row r="1985" spans="1:30" ht="25.5">
      <c r="A1985" s="291"/>
      <c r="B1985" s="291"/>
      <c r="C1985" s="291"/>
      <c r="D1985" s="83"/>
      <c r="E1985" s="59"/>
      <c r="F1985" s="82"/>
      <c r="G1985" s="82"/>
      <c r="H1985" s="86"/>
      <c r="I1985" s="294"/>
      <c r="J1985" s="59"/>
      <c r="K1985" s="83"/>
      <c r="L1985" s="83" t="str">
        <f t="shared" si="52"/>
        <v xml:space="preserve">
</v>
      </c>
      <c r="M1985" s="83"/>
      <c r="N1985" s="59"/>
      <c r="O1985" s="59"/>
      <c r="P1985" s="86">
        <f t="shared" si="53"/>
        <v>0</v>
      </c>
      <c r="Q1985" s="59"/>
      <c r="R1985" s="59"/>
      <c r="S1985" s="59"/>
      <c r="T1985" s="59"/>
      <c r="U1985" s="290"/>
      <c r="V1985" s="290"/>
      <c r="W1985" s="290"/>
      <c r="X1985" s="290"/>
      <c r="Y1985" s="290"/>
      <c r="Z1985" s="290"/>
      <c r="AA1985" s="290"/>
      <c r="AB1985" s="290"/>
      <c r="AC1985" s="290"/>
      <c r="AD1985" s="290"/>
    </row>
    <row r="1986" spans="1:30" ht="25.5">
      <c r="A1986" s="291"/>
      <c r="B1986" s="291"/>
      <c r="C1986" s="291"/>
      <c r="D1986" s="83"/>
      <c r="E1986" s="59"/>
      <c r="F1986" s="82"/>
      <c r="G1986" s="82"/>
      <c r="H1986" s="86"/>
      <c r="I1986" s="294"/>
      <c r="J1986" s="59"/>
      <c r="K1986" s="83"/>
      <c r="L1986" s="83" t="str">
        <f t="shared" si="52"/>
        <v xml:space="preserve">
</v>
      </c>
      <c r="M1986" s="83"/>
      <c r="N1986" s="59"/>
      <c r="O1986" s="59"/>
      <c r="P1986" s="86">
        <f t="shared" si="53"/>
        <v>0</v>
      </c>
      <c r="Q1986" s="59"/>
      <c r="R1986" s="59"/>
      <c r="S1986" s="59"/>
      <c r="T1986" s="59"/>
      <c r="U1986" s="290"/>
      <c r="V1986" s="290"/>
      <c r="W1986" s="290"/>
      <c r="X1986" s="290"/>
      <c r="Y1986" s="290"/>
      <c r="Z1986" s="290"/>
      <c r="AA1986" s="290"/>
      <c r="AB1986" s="290"/>
      <c r="AC1986" s="290"/>
      <c r="AD1986" s="290"/>
    </row>
    <row r="1987" spans="1:30" ht="25.5">
      <c r="A1987" s="291"/>
      <c r="B1987" s="291"/>
      <c r="C1987" s="291"/>
      <c r="D1987" s="83"/>
      <c r="E1987" s="59"/>
      <c r="F1987" s="82"/>
      <c r="G1987" s="82"/>
      <c r="H1987" s="86"/>
      <c r="I1987" s="294"/>
      <c r="J1987" s="59"/>
      <c r="K1987" s="83"/>
      <c r="L1987" s="83" t="str">
        <f t="shared" si="52"/>
        <v xml:space="preserve">
</v>
      </c>
      <c r="M1987" s="83"/>
      <c r="N1987" s="59"/>
      <c r="O1987" s="59"/>
      <c r="P1987" s="86">
        <f t="shared" si="53"/>
        <v>0</v>
      </c>
      <c r="Q1987" s="59"/>
      <c r="R1987" s="59"/>
      <c r="S1987" s="59"/>
      <c r="T1987" s="59"/>
      <c r="U1987" s="290"/>
      <c r="V1987" s="290"/>
      <c r="W1987" s="290"/>
      <c r="X1987" s="290"/>
      <c r="Y1987" s="290"/>
      <c r="Z1987" s="290"/>
      <c r="AA1987" s="290"/>
      <c r="AB1987" s="290"/>
      <c r="AC1987" s="290"/>
      <c r="AD1987" s="290"/>
    </row>
    <row r="1988" spans="1:30" ht="25.5">
      <c r="A1988" s="291"/>
      <c r="B1988" s="291"/>
      <c r="C1988" s="291"/>
      <c r="D1988" s="83"/>
      <c r="E1988" s="59"/>
      <c r="F1988" s="82"/>
      <c r="G1988" s="82"/>
      <c r="H1988" s="86"/>
      <c r="I1988" s="294"/>
      <c r="J1988" s="59"/>
      <c r="K1988" s="83"/>
      <c r="L1988" s="83" t="str">
        <f t="shared" si="52"/>
        <v xml:space="preserve">
</v>
      </c>
      <c r="M1988" s="83"/>
      <c r="N1988" s="59"/>
      <c r="O1988" s="59"/>
      <c r="P1988" s="86">
        <f t="shared" si="53"/>
        <v>0</v>
      </c>
      <c r="Q1988" s="59"/>
      <c r="R1988" s="59"/>
      <c r="S1988" s="59"/>
      <c r="T1988" s="59"/>
      <c r="U1988" s="290"/>
      <c r="V1988" s="290"/>
      <c r="W1988" s="290"/>
      <c r="X1988" s="290"/>
      <c r="Y1988" s="290"/>
      <c r="Z1988" s="290"/>
      <c r="AA1988" s="290"/>
      <c r="AB1988" s="290"/>
      <c r="AC1988" s="290"/>
      <c r="AD1988" s="290"/>
    </row>
    <row r="1989" spans="1:30" ht="25.5">
      <c r="A1989" s="291"/>
      <c r="B1989" s="291"/>
      <c r="C1989" s="291"/>
      <c r="D1989" s="83"/>
      <c r="E1989" s="59"/>
      <c r="F1989" s="82"/>
      <c r="G1989" s="82"/>
      <c r="H1989" s="86"/>
      <c r="I1989" s="294"/>
      <c r="J1989" s="59"/>
      <c r="K1989" s="83"/>
      <c r="L1989" s="83" t="str">
        <f t="shared" si="52"/>
        <v xml:space="preserve">
</v>
      </c>
      <c r="M1989" s="83"/>
      <c r="N1989" s="59"/>
      <c r="O1989" s="59"/>
      <c r="P1989" s="86">
        <f t="shared" si="53"/>
        <v>0</v>
      </c>
      <c r="Q1989" s="59"/>
      <c r="R1989" s="59"/>
      <c r="S1989" s="59"/>
      <c r="T1989" s="59"/>
      <c r="U1989" s="290"/>
      <c r="V1989" s="290"/>
      <c r="W1989" s="290"/>
      <c r="X1989" s="290"/>
      <c r="Y1989" s="290"/>
      <c r="Z1989" s="290"/>
      <c r="AA1989" s="290"/>
      <c r="AB1989" s="290"/>
      <c r="AC1989" s="290"/>
      <c r="AD1989" s="290"/>
    </row>
    <row r="1990" spans="1:30" ht="25.5">
      <c r="A1990" s="291"/>
      <c r="B1990" s="291"/>
      <c r="C1990" s="291"/>
      <c r="D1990" s="83"/>
      <c r="E1990" s="59"/>
      <c r="F1990" s="82"/>
      <c r="G1990" s="82"/>
      <c r="H1990" s="86"/>
      <c r="I1990" s="294"/>
      <c r="J1990" s="59"/>
      <c r="K1990" s="83"/>
      <c r="L1990" s="83" t="str">
        <f t="shared" si="52"/>
        <v xml:space="preserve">
</v>
      </c>
      <c r="M1990" s="83"/>
      <c r="N1990" s="59"/>
      <c r="O1990" s="59"/>
      <c r="P1990" s="86">
        <f t="shared" si="53"/>
        <v>0</v>
      </c>
      <c r="Q1990" s="59"/>
      <c r="R1990" s="59"/>
      <c r="S1990" s="59"/>
      <c r="T1990" s="59"/>
      <c r="U1990" s="290"/>
      <c r="V1990" s="290"/>
      <c r="W1990" s="290"/>
      <c r="X1990" s="290"/>
      <c r="Y1990" s="290"/>
      <c r="Z1990" s="290"/>
      <c r="AA1990" s="290"/>
      <c r="AB1990" s="290"/>
      <c r="AC1990" s="290"/>
      <c r="AD1990" s="290"/>
    </row>
    <row r="1991" spans="1:30" ht="25.5">
      <c r="A1991" s="291"/>
      <c r="B1991" s="291"/>
      <c r="C1991" s="291"/>
      <c r="D1991" s="83"/>
      <c r="E1991" s="59"/>
      <c r="F1991" s="82"/>
      <c r="G1991" s="82"/>
      <c r="H1991" s="86"/>
      <c r="I1991" s="294"/>
      <c r="J1991" s="59"/>
      <c r="K1991" s="83"/>
      <c r="L1991" s="83" t="str">
        <f t="shared" si="52"/>
        <v xml:space="preserve">
</v>
      </c>
      <c r="M1991" s="83"/>
      <c r="N1991" s="59"/>
      <c r="O1991" s="59"/>
      <c r="P1991" s="86">
        <f t="shared" si="53"/>
        <v>0</v>
      </c>
      <c r="Q1991" s="59"/>
      <c r="R1991" s="59"/>
      <c r="S1991" s="59"/>
      <c r="T1991" s="59"/>
      <c r="U1991" s="290"/>
      <c r="V1991" s="290"/>
      <c r="W1991" s="290"/>
      <c r="X1991" s="290"/>
      <c r="Y1991" s="290"/>
      <c r="Z1991" s="290"/>
      <c r="AA1991" s="290"/>
      <c r="AB1991" s="290"/>
      <c r="AC1991" s="290"/>
      <c r="AD1991" s="290"/>
    </row>
    <row r="1992" spans="1:30" ht="25.5">
      <c r="A1992" s="291"/>
      <c r="B1992" s="291"/>
      <c r="C1992" s="291"/>
      <c r="D1992" s="83"/>
      <c r="E1992" s="59"/>
      <c r="F1992" s="82"/>
      <c r="G1992" s="82"/>
      <c r="H1992" s="86"/>
      <c r="I1992" s="294"/>
      <c r="J1992" s="59"/>
      <c r="K1992" s="83"/>
      <c r="L1992" s="83" t="str">
        <f t="shared" si="52"/>
        <v xml:space="preserve">
</v>
      </c>
      <c r="M1992" s="83"/>
      <c r="N1992" s="59"/>
      <c r="O1992" s="59"/>
      <c r="P1992" s="86">
        <f t="shared" si="53"/>
        <v>0</v>
      </c>
      <c r="Q1992" s="59"/>
      <c r="R1992" s="59"/>
      <c r="S1992" s="59"/>
      <c r="T1992" s="59"/>
      <c r="U1992" s="290"/>
      <c r="V1992" s="290"/>
      <c r="W1992" s="290"/>
      <c r="X1992" s="290"/>
      <c r="Y1992" s="290"/>
      <c r="Z1992" s="290"/>
      <c r="AA1992" s="290"/>
      <c r="AB1992" s="290"/>
      <c r="AC1992" s="290"/>
      <c r="AD1992" s="290"/>
    </row>
    <row r="1993" spans="1:30" ht="25.5">
      <c r="A1993" s="291"/>
      <c r="B1993" s="291"/>
      <c r="C1993" s="291"/>
      <c r="D1993" s="83"/>
      <c r="E1993" s="59"/>
      <c r="F1993" s="82"/>
      <c r="G1993" s="82"/>
      <c r="H1993" s="86"/>
      <c r="I1993" s="294"/>
      <c r="J1993" s="59"/>
      <c r="K1993" s="83"/>
      <c r="L1993" s="83" t="str">
        <f t="shared" si="52"/>
        <v xml:space="preserve">
</v>
      </c>
      <c r="M1993" s="83"/>
      <c r="N1993" s="59"/>
      <c r="O1993" s="59"/>
      <c r="P1993" s="86">
        <f t="shared" si="53"/>
        <v>0</v>
      </c>
      <c r="Q1993" s="59"/>
      <c r="R1993" s="59"/>
      <c r="S1993" s="59"/>
      <c r="T1993" s="59"/>
      <c r="U1993" s="290"/>
      <c r="V1993" s="290"/>
      <c r="W1993" s="290"/>
      <c r="X1993" s="290"/>
      <c r="Y1993" s="290"/>
      <c r="Z1993" s="290"/>
      <c r="AA1993" s="290"/>
      <c r="AB1993" s="290"/>
      <c r="AC1993" s="290"/>
      <c r="AD1993" s="290"/>
    </row>
    <row r="1994" spans="1:30" ht="25.5">
      <c r="A1994" s="291"/>
      <c r="B1994" s="291"/>
      <c r="C1994" s="291"/>
      <c r="D1994" s="83"/>
      <c r="E1994" s="59"/>
      <c r="F1994" s="82"/>
      <c r="G1994" s="82"/>
      <c r="H1994" s="86"/>
      <c r="I1994" s="294"/>
      <c r="J1994" s="59"/>
      <c r="K1994" s="83"/>
      <c r="L1994" s="83" t="str">
        <f t="shared" si="52"/>
        <v xml:space="preserve">
</v>
      </c>
      <c r="M1994" s="83"/>
      <c r="N1994" s="59"/>
      <c r="O1994" s="59"/>
      <c r="P1994" s="86">
        <f t="shared" si="53"/>
        <v>0</v>
      </c>
      <c r="Q1994" s="59"/>
      <c r="R1994" s="59"/>
      <c r="S1994" s="59"/>
      <c r="T1994" s="59"/>
      <c r="U1994" s="290"/>
      <c r="V1994" s="290"/>
      <c r="W1994" s="290"/>
      <c r="X1994" s="290"/>
      <c r="Y1994" s="290"/>
      <c r="Z1994" s="290"/>
      <c r="AA1994" s="290"/>
      <c r="AB1994" s="290"/>
      <c r="AC1994" s="290"/>
      <c r="AD1994" s="290"/>
    </row>
    <row r="1995" spans="1:30" ht="25.5">
      <c r="A1995" s="291"/>
      <c r="B1995" s="291"/>
      <c r="C1995" s="291"/>
      <c r="D1995" s="83"/>
      <c r="E1995" s="59"/>
      <c r="F1995" s="82"/>
      <c r="G1995" s="82"/>
      <c r="H1995" s="86"/>
      <c r="I1995" s="294"/>
      <c r="J1995" s="59"/>
      <c r="K1995" s="83"/>
      <c r="L1995" s="83" t="str">
        <f t="shared" si="52"/>
        <v xml:space="preserve">
</v>
      </c>
      <c r="M1995" s="83"/>
      <c r="N1995" s="59"/>
      <c r="O1995" s="59"/>
      <c r="P1995" s="86">
        <f t="shared" si="53"/>
        <v>0</v>
      </c>
      <c r="Q1995" s="59"/>
      <c r="R1995" s="59"/>
      <c r="S1995" s="59"/>
      <c r="T1995" s="59"/>
      <c r="U1995" s="290"/>
      <c r="V1995" s="290"/>
      <c r="W1995" s="290"/>
      <c r="X1995" s="290"/>
      <c r="Y1995" s="290"/>
      <c r="Z1995" s="290"/>
      <c r="AA1995" s="290"/>
      <c r="AB1995" s="290"/>
      <c r="AC1995" s="290"/>
      <c r="AD1995" s="290"/>
    </row>
    <row r="1996" spans="1:30" ht="25.5">
      <c r="A1996" s="291"/>
      <c r="B1996" s="291"/>
      <c r="C1996" s="291"/>
      <c r="D1996" s="83"/>
      <c r="E1996" s="59"/>
      <c r="F1996" s="82"/>
      <c r="G1996" s="82"/>
      <c r="H1996" s="86"/>
      <c r="I1996" s="294"/>
      <c r="J1996" s="59"/>
      <c r="K1996" s="83"/>
      <c r="L1996" s="83" t="str">
        <f t="shared" si="52"/>
        <v xml:space="preserve">
</v>
      </c>
      <c r="M1996" s="83"/>
      <c r="N1996" s="59"/>
      <c r="O1996" s="59"/>
      <c r="P1996" s="86">
        <f t="shared" si="53"/>
        <v>0</v>
      </c>
      <c r="Q1996" s="59"/>
      <c r="R1996" s="59"/>
      <c r="S1996" s="59"/>
      <c r="T1996" s="59"/>
      <c r="U1996" s="290"/>
      <c r="V1996" s="290"/>
      <c r="W1996" s="290"/>
      <c r="X1996" s="290"/>
      <c r="Y1996" s="290"/>
      <c r="Z1996" s="290"/>
      <c r="AA1996" s="290"/>
      <c r="AB1996" s="290"/>
      <c r="AC1996" s="290"/>
      <c r="AD1996" s="290"/>
    </row>
    <row r="1997" spans="1:30" ht="25.5">
      <c r="A1997" s="291"/>
      <c r="B1997" s="291"/>
      <c r="C1997" s="291"/>
      <c r="D1997" s="83"/>
      <c r="E1997" s="59"/>
      <c r="F1997" s="82"/>
      <c r="G1997" s="82"/>
      <c r="H1997" s="86"/>
      <c r="I1997" s="294"/>
      <c r="J1997" s="59"/>
      <c r="K1997" s="83"/>
      <c r="L1997" s="83" t="str">
        <f t="shared" si="52"/>
        <v xml:space="preserve">
</v>
      </c>
      <c r="M1997" s="83"/>
      <c r="N1997" s="59"/>
      <c r="O1997" s="59"/>
      <c r="P1997" s="86">
        <f t="shared" si="53"/>
        <v>0</v>
      </c>
      <c r="Q1997" s="59"/>
      <c r="R1997" s="59"/>
      <c r="S1997" s="59"/>
      <c r="T1997" s="59"/>
      <c r="U1997" s="290"/>
      <c r="V1997" s="290"/>
      <c r="W1997" s="290"/>
      <c r="X1997" s="290"/>
      <c r="Y1997" s="290"/>
      <c r="Z1997" s="290"/>
      <c r="AA1997" s="290"/>
      <c r="AB1997" s="290"/>
      <c r="AC1997" s="290"/>
      <c r="AD1997" s="290"/>
    </row>
  </sheetData>
  <hyperlinks>
    <hyperlink ref="F2" r:id="rId1"/>
    <hyperlink ref="G2" r:id="rId2" location="SDSSDE61-1T00-G25"/>
    <hyperlink ref="F3" r:id="rId3"/>
    <hyperlink ref="G3" r:id="rId4"/>
    <hyperlink ref="F4" r:id="rId5"/>
    <hyperlink ref="G4" r:id="rId6"/>
    <hyperlink ref="F5" r:id="rId7"/>
    <hyperlink ref="G5" r:id="rId8"/>
    <hyperlink ref="F6" r:id="rId9"/>
    <hyperlink ref="G6" r:id="rId10"/>
    <hyperlink ref="F7" r:id="rId11"/>
    <hyperlink ref="G7" r:id="rId12"/>
    <hyperlink ref="F8" r:id="rId13"/>
    <hyperlink ref="G8" r:id="rId14" location="specifications"/>
    <hyperlink ref="F9" r:id="rId15"/>
    <hyperlink ref="G9" r:id="rId16" location="specifications"/>
    <hyperlink ref="F10" r:id="rId17"/>
    <hyperlink ref="G10" r:id="rId18" location="tab-tech-specs"/>
    <hyperlink ref="F11" r:id="rId19"/>
    <hyperlink ref="G11" r:id="rId20"/>
    <hyperlink ref="F12" r:id="rId21"/>
    <hyperlink ref="G12" r:id="rId22"/>
    <hyperlink ref="F13" r:id="rId23"/>
    <hyperlink ref="G13" r:id="rId24"/>
    <hyperlink ref="F14" r:id="rId25"/>
    <hyperlink ref="G14" r:id="rId26"/>
    <hyperlink ref="F15" r:id="rId27"/>
    <hyperlink ref="G15" r:id="rId28"/>
    <hyperlink ref="F16" r:id="rId29"/>
    <hyperlink ref="G16" r:id="rId30"/>
    <hyperlink ref="F17" r:id="rId31"/>
    <hyperlink ref="G17" r:id="rId32"/>
    <hyperlink ref="F18" r:id="rId33"/>
    <hyperlink ref="G18" r:id="rId34"/>
    <hyperlink ref="F19" r:id="rId35"/>
    <hyperlink ref="G19" r:id="rId36"/>
    <hyperlink ref="F20" r:id="rId37"/>
    <hyperlink ref="G20" r:id="rId38"/>
    <hyperlink ref="F21" r:id="rId39"/>
    <hyperlink ref="G21" r:id="rId40"/>
    <hyperlink ref="F22" r:id="rId41"/>
    <hyperlink ref="G22" r:id="rId42"/>
    <hyperlink ref="F23" r:id="rId43"/>
    <hyperlink ref="G23" r:id="rId44"/>
    <hyperlink ref="F24" r:id="rId45"/>
    <hyperlink ref="G24" r:id="rId46"/>
    <hyperlink ref="F25" r:id="rId47"/>
    <hyperlink ref="G25" r:id="rId48"/>
    <hyperlink ref="F26" r:id="rId49"/>
    <hyperlink ref="G26" r:id="rId50"/>
    <hyperlink ref="F27" r:id="rId51"/>
    <hyperlink ref="G27" r:id="rId52"/>
    <hyperlink ref="F28" r:id="rId53"/>
    <hyperlink ref="G28" r:id="rId54"/>
    <hyperlink ref="F29" r:id="rId55"/>
    <hyperlink ref="G29" r:id="rId56"/>
    <hyperlink ref="F30" r:id="rId57"/>
    <hyperlink ref="G30" r:id="rId58"/>
    <hyperlink ref="F31" r:id="rId59"/>
    <hyperlink ref="G31" r:id="rId60"/>
    <hyperlink ref="F32" r:id="rId61"/>
    <hyperlink ref="G32" r:id="rId62"/>
    <hyperlink ref="F33" r:id="rId63"/>
    <hyperlink ref="G33" r:id="rId64"/>
    <hyperlink ref="F34" r:id="rId65"/>
    <hyperlink ref="G34" r:id="rId66"/>
    <hyperlink ref="F35" r:id="rId67"/>
    <hyperlink ref="G35" r:id="rId68"/>
    <hyperlink ref="F36" r:id="rId69"/>
    <hyperlink ref="G36" r:id="rId70"/>
    <hyperlink ref="F37" r:id="rId71"/>
    <hyperlink ref="G37" r:id="rId72"/>
    <hyperlink ref="F38" r:id="rId73"/>
    <hyperlink ref="G38" r:id="rId74"/>
    <hyperlink ref="F39" r:id="rId75"/>
    <hyperlink ref="G39" r:id="rId76"/>
    <hyperlink ref="F40" r:id="rId77"/>
    <hyperlink ref="G40" r:id="rId78"/>
    <hyperlink ref="F41" r:id="rId79"/>
    <hyperlink ref="G41" r:id="rId80"/>
    <hyperlink ref="F42" r:id="rId81"/>
    <hyperlink ref="G42" r:id="rId82"/>
    <hyperlink ref="F43" r:id="rId83"/>
    <hyperlink ref="G43" r:id="rId84"/>
    <hyperlink ref="F44" r:id="rId85"/>
    <hyperlink ref="G44" r:id="rId86"/>
    <hyperlink ref="F45" r:id="rId87"/>
    <hyperlink ref="G45" r:id="rId88"/>
    <hyperlink ref="F46" r:id="rId89"/>
    <hyperlink ref="G46" r:id="rId90"/>
    <hyperlink ref="F47" r:id="rId91"/>
    <hyperlink ref="G47" r:id="rId92"/>
    <hyperlink ref="F48" r:id="rId93"/>
    <hyperlink ref="G48" r:id="rId94"/>
    <hyperlink ref="F49" r:id="rId95"/>
    <hyperlink ref="G49" r:id="rId96"/>
    <hyperlink ref="F50" r:id="rId97"/>
    <hyperlink ref="G50" r:id="rId98"/>
    <hyperlink ref="F51" r:id="rId99"/>
    <hyperlink ref="G51" r:id="rId100"/>
    <hyperlink ref="F52" r:id="rId101"/>
    <hyperlink ref="G52" r:id="rId102"/>
    <hyperlink ref="F53" r:id="rId103"/>
    <hyperlink ref="G53" r:id="rId104"/>
    <hyperlink ref="F54" r:id="rId105"/>
    <hyperlink ref="G54" r:id="rId106"/>
    <hyperlink ref="F55" r:id="rId107"/>
    <hyperlink ref="G55" r:id="rId108"/>
    <hyperlink ref="F56" r:id="rId109"/>
    <hyperlink ref="G56" r:id="rId110"/>
    <hyperlink ref="F57" r:id="rId111"/>
    <hyperlink ref="G57" r:id="rId112"/>
    <hyperlink ref="F58" r:id="rId113"/>
    <hyperlink ref="G58" r:id="rId114"/>
    <hyperlink ref="F59" r:id="rId115"/>
    <hyperlink ref="G59" r:id="rId116"/>
    <hyperlink ref="F60" r:id="rId117"/>
    <hyperlink ref="G60" r:id="rId118"/>
    <hyperlink ref="F61" r:id="rId119"/>
    <hyperlink ref="G61" r:id="rId120"/>
    <hyperlink ref="F62" r:id="rId121"/>
    <hyperlink ref="G62" r:id="rId122"/>
    <hyperlink ref="F63" r:id="rId123"/>
    <hyperlink ref="G63" r:id="rId124"/>
    <hyperlink ref="F64" r:id="rId125"/>
    <hyperlink ref="G64" r:id="rId126"/>
    <hyperlink ref="F65" r:id="rId127"/>
    <hyperlink ref="G65" r:id="rId128"/>
    <hyperlink ref="G66" r:id="rId129"/>
    <hyperlink ref="F67" r:id="rId130"/>
    <hyperlink ref="G67" r:id="rId131"/>
    <hyperlink ref="F68" r:id="rId132"/>
    <hyperlink ref="G68" r:id="rId133"/>
    <hyperlink ref="F69" r:id="rId134"/>
    <hyperlink ref="G69" r:id="rId135"/>
    <hyperlink ref="F70" r:id="rId136"/>
    <hyperlink ref="G70" r:id="rId137"/>
    <hyperlink ref="F71" r:id="rId138"/>
    <hyperlink ref="G71" r:id="rId139"/>
    <hyperlink ref="F72" r:id="rId140"/>
    <hyperlink ref="G72" r:id="rId141"/>
    <hyperlink ref="F73" r:id="rId142"/>
    <hyperlink ref="G73" r:id="rId143"/>
    <hyperlink ref="F74" r:id="rId144"/>
    <hyperlink ref="G74" r:id="rId145"/>
    <hyperlink ref="F75" r:id="rId146"/>
    <hyperlink ref="G75" r:id="rId147"/>
    <hyperlink ref="F76" r:id="rId148"/>
    <hyperlink ref="G76" r:id="rId149"/>
    <hyperlink ref="F77" r:id="rId150"/>
    <hyperlink ref="G77" r:id="rId151"/>
    <hyperlink ref="F78" r:id="rId152"/>
    <hyperlink ref="G78" r:id="rId153"/>
    <hyperlink ref="F79" r:id="rId154"/>
    <hyperlink ref="G79" r:id="rId155"/>
    <hyperlink ref="F80" r:id="rId156"/>
    <hyperlink ref="G80" r:id="rId157"/>
    <hyperlink ref="F81" r:id="rId158"/>
    <hyperlink ref="G81" r:id="rId159"/>
    <hyperlink ref="F82" r:id="rId160"/>
    <hyperlink ref="G82" r:id="rId161"/>
    <hyperlink ref="F83" r:id="rId162"/>
    <hyperlink ref="G83" r:id="rId163"/>
    <hyperlink ref="F84" r:id="rId164"/>
    <hyperlink ref="G84" r:id="rId165"/>
    <hyperlink ref="F85" r:id="rId166"/>
    <hyperlink ref="G85" r:id="rId167"/>
    <hyperlink ref="F86" r:id="rId168"/>
    <hyperlink ref="G86" r:id="rId169"/>
    <hyperlink ref="F87" r:id="rId170"/>
    <hyperlink ref="G87" r:id="rId171"/>
    <hyperlink ref="F88" r:id="rId172"/>
    <hyperlink ref="G88" r:id="rId173"/>
    <hyperlink ref="F89" r:id="rId174"/>
    <hyperlink ref="G89" r:id="rId175"/>
    <hyperlink ref="F90" r:id="rId176"/>
    <hyperlink ref="G90" r:id="rId177"/>
    <hyperlink ref="F92" r:id="rId178"/>
    <hyperlink ref="G92" r:id="rId179"/>
    <hyperlink ref="F93" r:id="rId180"/>
    <hyperlink ref="G93" r:id="rId181"/>
    <hyperlink ref="F94" r:id="rId182"/>
    <hyperlink ref="G94" r:id="rId183"/>
    <hyperlink ref="F95" r:id="rId184"/>
    <hyperlink ref="G95" r:id="rId185"/>
    <hyperlink ref="F101" r:id="rId186"/>
    <hyperlink ref="G101" r:id="rId187"/>
    <hyperlink ref="F102" r:id="rId188"/>
    <hyperlink ref="G102" r:id="rId189"/>
    <hyperlink ref="F103" r:id="rId190"/>
    <hyperlink ref="G103" r:id="rId191"/>
    <hyperlink ref="F104" r:id="rId192"/>
    <hyperlink ref="G104" r:id="rId193"/>
    <hyperlink ref="F105" r:id="rId194"/>
    <hyperlink ref="G105" r:id="rId195"/>
    <hyperlink ref="F106" r:id="rId196"/>
    <hyperlink ref="G106" r:id="rId197"/>
    <hyperlink ref="F107" r:id="rId198"/>
    <hyperlink ref="G107" r:id="rId199"/>
    <hyperlink ref="F108" r:id="rId200"/>
    <hyperlink ref="G108" r:id="rId201"/>
    <hyperlink ref="F109" r:id="rId202"/>
    <hyperlink ref="G109" r:id="rId203"/>
    <hyperlink ref="F110" r:id="rId204"/>
    <hyperlink ref="G110" r:id="rId205"/>
    <hyperlink ref="F111" r:id="rId206"/>
    <hyperlink ref="G111" r:id="rId207"/>
    <hyperlink ref="F112" r:id="rId208"/>
    <hyperlink ref="G112" r:id="rId209"/>
    <hyperlink ref="F113" r:id="rId210"/>
    <hyperlink ref="G113" r:id="rId211"/>
    <hyperlink ref="G121" r:id="rId212" location="specs"/>
    <hyperlink ref="F124" r:id="rId213"/>
    <hyperlink ref="G124" r:id="rId214"/>
    <hyperlink ref="F126" r:id="rId215"/>
    <hyperlink ref="F127" r:id="rId216"/>
    <hyperlink ref="G127" r:id="rId217"/>
    <hyperlink ref="F128" r:id="rId218"/>
    <hyperlink ref="G128" r:id="rId219"/>
    <hyperlink ref="F133" r:id="rId220"/>
    <hyperlink ref="F140" r:id="rId221"/>
    <hyperlink ref="F141" r:id="rId222"/>
    <hyperlink ref="G141" r:id="rId223"/>
    <hyperlink ref="F142" r:id="rId224"/>
    <hyperlink ref="G142" r:id="rId225"/>
    <hyperlink ref="F143" r:id="rId226"/>
    <hyperlink ref="G143" r:id="rId227"/>
    <hyperlink ref="F144" r:id="rId228"/>
    <hyperlink ref="G144" r:id="rId229"/>
    <hyperlink ref="F145" r:id="rId230"/>
    <hyperlink ref="G145" r:id="rId231"/>
    <hyperlink ref="F146" r:id="rId232"/>
    <hyperlink ref="G146" r:id="rId233"/>
    <hyperlink ref="F147" r:id="rId234"/>
    <hyperlink ref="G147" r:id="rId235"/>
    <hyperlink ref="F148" r:id="rId236"/>
    <hyperlink ref="G148" r:id="rId237"/>
    <hyperlink ref="F149" r:id="rId238"/>
    <hyperlink ref="G149" r:id="rId239"/>
    <hyperlink ref="F150" r:id="rId240"/>
    <hyperlink ref="G150" r:id="rId241"/>
    <hyperlink ref="F151" r:id="rId242"/>
    <hyperlink ref="G151" r:id="rId243"/>
    <hyperlink ref="F152" r:id="rId244"/>
    <hyperlink ref="G152" r:id="rId245"/>
    <hyperlink ref="F153" r:id="rId246"/>
    <hyperlink ref="G153" r:id="rId247"/>
    <hyperlink ref="F154" r:id="rId248"/>
    <hyperlink ref="G154" r:id="rId249"/>
    <hyperlink ref="F155" r:id="rId250"/>
    <hyperlink ref="G155" r:id="rId251"/>
    <hyperlink ref="F157" r:id="rId252"/>
    <hyperlink ref="G157" r:id="rId253"/>
    <hyperlink ref="F158" r:id="rId254"/>
    <hyperlink ref="G158" r:id="rId255"/>
    <hyperlink ref="F159" r:id="rId256"/>
    <hyperlink ref="G159" r:id="rId257"/>
    <hyperlink ref="F161" r:id="rId258"/>
    <hyperlink ref="G161" r:id="rId259"/>
    <hyperlink ref="F162" r:id="rId260"/>
    <hyperlink ref="G162" r:id="rId261"/>
    <hyperlink ref="F163" r:id="rId262"/>
    <hyperlink ref="G163" r:id="rId263"/>
    <hyperlink ref="F164" r:id="rId264" location="search/philcopy/FMfcgzGsnLGSRsQtcwhWmhXKPjgSRjNs"/>
    <hyperlink ref="G164" r:id="rId265" location="search/philcopy/FMfcgzGsnLGSRsQtcwhWmhXKPjgSRjNs"/>
    <hyperlink ref="F165" r:id="rId266" location="search/philcopy/FMfcgzGsnLGRzGCpKcSBBNdQRlGGlgbh"/>
    <hyperlink ref="G165" r:id="rId267" location="search/philcopy/FMfcgzGsnLGRzGCpKcSBBNdQRlGGlgbh"/>
    <hyperlink ref="F166" r:id="rId268" location="search/philcopy/FMfcgzGsnLHcTRdzcwwkcJNXzHrwcvbd"/>
    <hyperlink ref="G166" r:id="rId269" location="search/philcopy/FMfcgzGsnLHcTRdzcwwkcJNXzHrwcvbd"/>
    <hyperlink ref="F167" r:id="rId270" location="inbox/FMfcgzGtwCtSXFtPcthdvtNTwVBhFmXv?projector=1&amp;messagePartId=0.2"/>
    <hyperlink ref="G167" r:id="rId271"/>
    <hyperlink ref="F168" r:id="rId272"/>
    <hyperlink ref="G168" r:id="rId273"/>
    <hyperlink ref="F169" r:id="rId274"/>
    <hyperlink ref="G169" r:id="rId275"/>
    <hyperlink ref="F170" r:id="rId276"/>
    <hyperlink ref="G170" r:id="rId277"/>
    <hyperlink ref="F171" r:id="rId278"/>
    <hyperlink ref="G171" r:id="rId279"/>
    <hyperlink ref="F172" r:id="rId280"/>
    <hyperlink ref="G172" r:id="rId281"/>
    <hyperlink ref="F173" r:id="rId282"/>
    <hyperlink ref="G173" r:id="rId283"/>
    <hyperlink ref="F174" r:id="rId284"/>
    <hyperlink ref="G174" r:id="rId285"/>
    <hyperlink ref="F175" r:id="rId286"/>
    <hyperlink ref="G175" r:id="rId287"/>
    <hyperlink ref="F176" r:id="rId288"/>
    <hyperlink ref="G176" r:id="rId289"/>
    <hyperlink ref="F177" r:id="rId290"/>
    <hyperlink ref="G177" r:id="rId291"/>
    <hyperlink ref="F178" r:id="rId292"/>
    <hyperlink ref="G178" r:id="rId293"/>
    <hyperlink ref="F179" r:id="rId294"/>
    <hyperlink ref="G179" r:id="rId295"/>
    <hyperlink ref="F180" r:id="rId296"/>
    <hyperlink ref="G180" r:id="rId297"/>
    <hyperlink ref="F181" r:id="rId298"/>
    <hyperlink ref="G181" r:id="rId299"/>
    <hyperlink ref="F182" r:id="rId300"/>
    <hyperlink ref="G182" r:id="rId301"/>
    <hyperlink ref="F183" r:id="rId302"/>
    <hyperlink ref="G183" r:id="rId303"/>
    <hyperlink ref="F184" r:id="rId304"/>
    <hyperlink ref="G184" r:id="rId305"/>
    <hyperlink ref="F185" r:id="rId306"/>
    <hyperlink ref="G185" r:id="rId307"/>
    <hyperlink ref="F188" r:id="rId308"/>
    <hyperlink ref="G188" r:id="rId309"/>
    <hyperlink ref="F189" r:id="rId310"/>
    <hyperlink ref="G189" r:id="rId311"/>
    <hyperlink ref="F190" r:id="rId312"/>
    <hyperlink ref="G190" r:id="rId313"/>
    <hyperlink ref="F191" r:id="rId314"/>
    <hyperlink ref="G191" r:id="rId315"/>
    <hyperlink ref="F192" r:id="rId316"/>
    <hyperlink ref="G192" r:id="rId317"/>
    <hyperlink ref="F196" r:id="rId318"/>
    <hyperlink ref="G196" r:id="rId319"/>
    <hyperlink ref="F197" r:id="rId320"/>
    <hyperlink ref="G197" r:id="rId321"/>
    <hyperlink ref="F198" r:id="rId322" location="inbox/FMfcgzGtwCtSXFtPcthdvtNTwVBhFmXv?projector=1&amp;messagePartId=0.5"/>
    <hyperlink ref="G198" r:id="rId323" location="inbox/FMfcgzGtwCtSXFtPcthdvtNTwVBhFmXv?projector=1&amp;messagePartId=0.5"/>
    <hyperlink ref="F202" r:id="rId324"/>
    <hyperlink ref="G202" r:id="rId325"/>
    <hyperlink ref="F203" r:id="rId326"/>
    <hyperlink ref="G203" r:id="rId327"/>
    <hyperlink ref="F205" r:id="rId328"/>
    <hyperlink ref="G205" r:id="rId329"/>
    <hyperlink ref="F208" r:id="rId330"/>
    <hyperlink ref="G208" r:id="rId331"/>
    <hyperlink ref="F214" r:id="rId332"/>
    <hyperlink ref="G214" r:id="rId333" location="overview"/>
    <hyperlink ref="G215" r:id="rId334"/>
    <hyperlink ref="G217" r:id="rId335"/>
    <hyperlink ref="G219" r:id="rId336"/>
    <hyperlink ref="G233" r:id="rId337"/>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Q993"/>
  <sheetViews>
    <sheetView workbookViewId="0"/>
  </sheetViews>
  <sheetFormatPr defaultColWidth="12.5703125" defaultRowHeight="15.75" customHeight="1"/>
  <cols>
    <col min="1" max="1" width="4.140625" customWidth="1"/>
    <col min="2" max="2" width="18.5703125" customWidth="1"/>
    <col min="3" max="3" width="19.85546875" customWidth="1"/>
    <col min="4" max="4" width="17.5703125" customWidth="1"/>
    <col min="5" max="5" width="21.140625" customWidth="1"/>
    <col min="6" max="6" width="10.85546875" customWidth="1"/>
    <col min="9" max="9" width="4" customWidth="1"/>
    <col min="10" max="10" width="15.85546875" customWidth="1"/>
    <col min="11" max="11" width="9.85546875" customWidth="1"/>
    <col min="12" max="12" width="7" customWidth="1"/>
    <col min="13" max="13" width="15.140625" customWidth="1"/>
    <col min="14" max="14" width="7.85546875" customWidth="1"/>
    <col min="15" max="15" width="10.5703125" customWidth="1"/>
    <col min="16" max="16" width="15.5703125" customWidth="1"/>
    <col min="17" max="17" width="8.5703125" customWidth="1"/>
  </cols>
  <sheetData>
    <row r="1" spans="1:17" ht="15.75" customHeight="1">
      <c r="A1" s="306"/>
      <c r="B1" s="1477" t="s">
        <v>2501</v>
      </c>
      <c r="C1" s="1451"/>
      <c r="D1" s="1451"/>
      <c r="E1" s="1451"/>
      <c r="F1" s="306"/>
    </row>
    <row r="2" spans="1:17" ht="15.75" customHeight="1">
      <c r="A2" s="307"/>
      <c r="B2" s="307"/>
      <c r="C2" s="307"/>
      <c r="D2" s="307"/>
      <c r="E2" s="307"/>
      <c r="F2" s="307"/>
    </row>
    <row r="3" spans="1:17" ht="12.75">
      <c r="A3" s="308"/>
      <c r="B3" s="309" t="s">
        <v>2502</v>
      </c>
      <c r="C3" s="309" t="s">
        <v>2503</v>
      </c>
      <c r="D3" s="309" t="s">
        <v>2504</v>
      </c>
      <c r="E3" s="309" t="s">
        <v>2505</v>
      </c>
      <c r="F3" s="309" t="s">
        <v>2502</v>
      </c>
      <c r="I3" s="310" t="s">
        <v>935</v>
      </c>
      <c r="J3" s="311" t="s">
        <v>2506</v>
      </c>
      <c r="K3" s="311" t="s">
        <v>2507</v>
      </c>
      <c r="L3" s="311" t="s">
        <v>2508</v>
      </c>
      <c r="M3" s="311" t="s">
        <v>2509</v>
      </c>
      <c r="N3" s="311" t="s">
        <v>2510</v>
      </c>
      <c r="O3" s="312" t="s">
        <v>2511</v>
      </c>
      <c r="P3" s="311" t="s">
        <v>2512</v>
      </c>
      <c r="Q3" s="313" t="s">
        <v>2513</v>
      </c>
    </row>
    <row r="4" spans="1:17" ht="14.25">
      <c r="A4" s="314">
        <v>1</v>
      </c>
      <c r="B4" s="315">
        <v>12011804</v>
      </c>
      <c r="C4" s="315" t="s">
        <v>2514</v>
      </c>
      <c r="D4" s="315" t="s">
        <v>2515</v>
      </c>
      <c r="E4" s="316" t="s">
        <v>2516</v>
      </c>
      <c r="F4" s="315">
        <v>12011804</v>
      </c>
      <c r="I4" s="317">
        <v>1</v>
      </c>
      <c r="J4" s="318" t="s">
        <v>2517</v>
      </c>
      <c r="K4" s="318" t="s">
        <v>2518</v>
      </c>
      <c r="L4" s="318">
        <v>12012823</v>
      </c>
      <c r="M4" s="318" t="s">
        <v>2519</v>
      </c>
      <c r="N4" s="318" t="s">
        <v>1723</v>
      </c>
      <c r="O4" s="319">
        <v>9700</v>
      </c>
      <c r="P4" s="318" t="s">
        <v>1746</v>
      </c>
      <c r="Q4" s="319">
        <v>36960</v>
      </c>
    </row>
    <row r="5" spans="1:17" ht="14.25">
      <c r="A5" s="314">
        <v>2</v>
      </c>
      <c r="B5" s="315">
        <v>12011912</v>
      </c>
      <c r="C5" s="315" t="s">
        <v>2520</v>
      </c>
      <c r="D5" s="315" t="s">
        <v>2521</v>
      </c>
      <c r="E5" s="316" t="s">
        <v>2522</v>
      </c>
      <c r="F5" s="315">
        <v>12011912</v>
      </c>
      <c r="I5" s="317">
        <v>2</v>
      </c>
      <c r="J5" s="318" t="s">
        <v>2523</v>
      </c>
      <c r="K5" s="318" t="s">
        <v>2524</v>
      </c>
      <c r="L5" s="318">
        <v>12013577</v>
      </c>
      <c r="M5" s="318" t="s">
        <v>2525</v>
      </c>
      <c r="N5" s="318" t="s">
        <v>1713</v>
      </c>
      <c r="O5" s="319">
        <v>6825</v>
      </c>
      <c r="P5" s="318" t="s">
        <v>1730</v>
      </c>
      <c r="Q5" s="319">
        <v>10780</v>
      </c>
    </row>
    <row r="6" spans="1:17" ht="14.25">
      <c r="A6" s="314">
        <v>3</v>
      </c>
      <c r="B6" s="315">
        <v>12011964</v>
      </c>
      <c r="C6" s="315" t="s">
        <v>2526</v>
      </c>
      <c r="D6" s="315" t="s">
        <v>2527</v>
      </c>
      <c r="E6" s="316" t="s">
        <v>2528</v>
      </c>
      <c r="F6" s="315">
        <v>12011964</v>
      </c>
      <c r="I6" s="317">
        <v>3</v>
      </c>
      <c r="J6" s="318" t="s">
        <v>2523</v>
      </c>
      <c r="K6" s="318" t="s">
        <v>2529</v>
      </c>
      <c r="L6" s="318">
        <v>12013574</v>
      </c>
      <c r="M6" s="318" t="s">
        <v>213</v>
      </c>
      <c r="N6" s="318" t="s">
        <v>1713</v>
      </c>
      <c r="O6" s="319">
        <v>6825</v>
      </c>
      <c r="P6" s="318" t="s">
        <v>1730</v>
      </c>
      <c r="Q6" s="319">
        <v>10780</v>
      </c>
    </row>
    <row r="7" spans="1:17" ht="14.25">
      <c r="A7" s="314">
        <v>4</v>
      </c>
      <c r="B7" s="315">
        <v>12012145</v>
      </c>
      <c r="C7" s="315" t="s">
        <v>2514</v>
      </c>
      <c r="D7" s="315" t="s">
        <v>2530</v>
      </c>
      <c r="E7" s="316" t="s">
        <v>2531</v>
      </c>
      <c r="F7" s="315">
        <v>12012145</v>
      </c>
      <c r="I7" s="317">
        <v>4</v>
      </c>
      <c r="J7" s="318" t="s">
        <v>2532</v>
      </c>
      <c r="K7" s="318" t="s">
        <v>2533</v>
      </c>
      <c r="L7" s="318">
        <v>12013021</v>
      </c>
      <c r="M7" s="318" t="s">
        <v>2534</v>
      </c>
      <c r="N7" s="318" t="s">
        <v>605</v>
      </c>
      <c r="O7" s="319">
        <v>9375</v>
      </c>
      <c r="P7" s="318" t="s">
        <v>1749</v>
      </c>
      <c r="Q7" s="319">
        <v>64785</v>
      </c>
    </row>
    <row r="8" spans="1:17" ht="14.25">
      <c r="A8" s="314">
        <v>5</v>
      </c>
      <c r="B8" s="315">
        <v>12012146</v>
      </c>
      <c r="C8" s="315" t="s">
        <v>2514</v>
      </c>
      <c r="D8" s="315" t="s">
        <v>2535</v>
      </c>
      <c r="E8" s="316" t="s">
        <v>2536</v>
      </c>
      <c r="F8" s="315">
        <v>12012146</v>
      </c>
      <c r="I8" s="317">
        <v>5</v>
      </c>
      <c r="J8" s="318" t="s">
        <v>2537</v>
      </c>
      <c r="K8" s="318" t="s">
        <v>2538</v>
      </c>
      <c r="L8" s="318">
        <v>12013595</v>
      </c>
      <c r="M8" s="318" t="s">
        <v>2539</v>
      </c>
      <c r="N8" s="318" t="s">
        <v>1715</v>
      </c>
      <c r="O8" s="319">
        <v>7410</v>
      </c>
      <c r="P8" s="318" t="s">
        <v>1733</v>
      </c>
      <c r="Q8" s="319">
        <v>12348</v>
      </c>
    </row>
    <row r="9" spans="1:17" ht="14.25">
      <c r="A9" s="314">
        <v>6</v>
      </c>
      <c r="B9" s="315">
        <v>12012188</v>
      </c>
      <c r="C9" s="315" t="s">
        <v>2540</v>
      </c>
      <c r="D9" s="315" t="s">
        <v>2541</v>
      </c>
      <c r="E9" s="316" t="s">
        <v>2542</v>
      </c>
      <c r="F9" s="315">
        <v>12012188</v>
      </c>
      <c r="I9" s="317">
        <v>6</v>
      </c>
      <c r="J9" s="318" t="s">
        <v>2543</v>
      </c>
      <c r="K9" s="318" t="s">
        <v>2544</v>
      </c>
      <c r="L9" s="318">
        <v>12013016</v>
      </c>
      <c r="M9" s="318" t="s">
        <v>2545</v>
      </c>
      <c r="N9" s="318" t="s">
        <v>1718</v>
      </c>
      <c r="O9" s="319">
        <v>8600</v>
      </c>
      <c r="P9" s="318" t="s">
        <v>1738</v>
      </c>
      <c r="Q9" s="319">
        <v>18900</v>
      </c>
    </row>
    <row r="10" spans="1:17" ht="14.25">
      <c r="A10" s="314">
        <v>7</v>
      </c>
      <c r="B10" s="315">
        <v>12012199</v>
      </c>
      <c r="C10" s="315" t="s">
        <v>2514</v>
      </c>
      <c r="D10" s="315" t="s">
        <v>2546</v>
      </c>
      <c r="E10" s="316" t="s">
        <v>2542</v>
      </c>
      <c r="F10" s="315">
        <v>12012199</v>
      </c>
      <c r="I10" s="317">
        <v>7</v>
      </c>
      <c r="J10" s="318" t="s">
        <v>2517</v>
      </c>
      <c r="K10" s="318" t="s">
        <v>2547</v>
      </c>
      <c r="L10" s="318">
        <v>12013199</v>
      </c>
      <c r="M10" s="318" t="s">
        <v>2545</v>
      </c>
      <c r="N10" s="318" t="s">
        <v>1723</v>
      </c>
      <c r="O10" s="319">
        <v>9700</v>
      </c>
      <c r="P10" s="318" t="s">
        <v>1746</v>
      </c>
      <c r="Q10" s="319">
        <v>36960</v>
      </c>
    </row>
    <row r="11" spans="1:17" ht="15.75" customHeight="1">
      <c r="A11" s="314">
        <v>8</v>
      </c>
      <c r="B11" s="320">
        <v>12012199</v>
      </c>
      <c r="C11" s="320" t="s">
        <v>2514</v>
      </c>
      <c r="D11" s="320" t="s">
        <v>2546</v>
      </c>
      <c r="E11" s="316" t="s">
        <v>2542</v>
      </c>
      <c r="F11" s="320">
        <v>12012199</v>
      </c>
      <c r="I11" s="317">
        <v>8</v>
      </c>
      <c r="J11" s="318" t="s">
        <v>2517</v>
      </c>
      <c r="K11" s="318" t="s">
        <v>2548</v>
      </c>
      <c r="L11" s="318">
        <v>12013198</v>
      </c>
      <c r="M11" s="318" t="s">
        <v>2545</v>
      </c>
      <c r="N11" s="318" t="s">
        <v>1723</v>
      </c>
      <c r="O11" s="319">
        <v>9700</v>
      </c>
      <c r="P11" s="318" t="s">
        <v>1746</v>
      </c>
      <c r="Q11" s="319">
        <v>36960</v>
      </c>
    </row>
    <row r="12" spans="1:17" ht="14.25">
      <c r="A12" s="314">
        <v>9</v>
      </c>
      <c r="B12" s="315">
        <v>12012200</v>
      </c>
      <c r="C12" s="315" t="s">
        <v>2514</v>
      </c>
      <c r="D12" s="315" t="s">
        <v>2549</v>
      </c>
      <c r="E12" s="316" t="s">
        <v>2550</v>
      </c>
      <c r="F12" s="315">
        <v>12012200</v>
      </c>
      <c r="I12" s="317">
        <v>9</v>
      </c>
      <c r="J12" s="318" t="s">
        <v>2537</v>
      </c>
      <c r="K12" s="318" t="s">
        <v>2551</v>
      </c>
      <c r="L12" s="318">
        <v>12012624</v>
      </c>
      <c r="M12" s="318" t="s">
        <v>2552</v>
      </c>
      <c r="N12" s="318" t="s">
        <v>1715</v>
      </c>
      <c r="O12" s="319">
        <v>7410</v>
      </c>
      <c r="P12" s="318" t="s">
        <v>1733</v>
      </c>
      <c r="Q12" s="319">
        <v>12348</v>
      </c>
    </row>
    <row r="13" spans="1:17" ht="14.25">
      <c r="A13" s="314">
        <v>10</v>
      </c>
      <c r="B13" s="315">
        <v>12012217</v>
      </c>
      <c r="C13" s="315" t="s">
        <v>2514</v>
      </c>
      <c r="D13" s="315" t="s">
        <v>2553</v>
      </c>
      <c r="E13" s="316" t="s">
        <v>2554</v>
      </c>
      <c r="F13" s="315">
        <v>12012217</v>
      </c>
      <c r="I13" s="317">
        <v>10</v>
      </c>
      <c r="J13" s="318" t="s">
        <v>2514</v>
      </c>
      <c r="K13" s="318" t="s">
        <v>2555</v>
      </c>
      <c r="L13" s="318">
        <v>12012638</v>
      </c>
      <c r="M13" s="318" t="s">
        <v>2556</v>
      </c>
      <c r="N13" s="318" t="s">
        <v>1721</v>
      </c>
      <c r="O13" s="319">
        <v>9700</v>
      </c>
      <c r="P13" s="318" t="s">
        <v>1741</v>
      </c>
      <c r="Q13" s="319">
        <v>36960</v>
      </c>
    </row>
    <row r="14" spans="1:17" ht="14.25">
      <c r="A14" s="314">
        <v>11</v>
      </c>
      <c r="B14" s="315">
        <v>12012218</v>
      </c>
      <c r="C14" s="315" t="s">
        <v>2520</v>
      </c>
      <c r="D14" s="315" t="s">
        <v>2557</v>
      </c>
      <c r="E14" s="316" t="s">
        <v>2558</v>
      </c>
      <c r="F14" s="315">
        <v>12012218</v>
      </c>
      <c r="I14" s="317">
        <v>11</v>
      </c>
      <c r="J14" s="318" t="s">
        <v>2514</v>
      </c>
      <c r="K14" s="318" t="s">
        <v>2535</v>
      </c>
      <c r="L14" s="318">
        <v>12012146</v>
      </c>
      <c r="M14" s="318" t="s">
        <v>2559</v>
      </c>
      <c r="N14" s="318" t="s">
        <v>1721</v>
      </c>
      <c r="O14" s="319">
        <v>9700</v>
      </c>
      <c r="P14" s="318" t="s">
        <v>1741</v>
      </c>
      <c r="Q14" s="319">
        <v>36960</v>
      </c>
    </row>
    <row r="15" spans="1:17" ht="14.25">
      <c r="A15" s="314">
        <v>12</v>
      </c>
      <c r="B15" s="315">
        <v>12012266</v>
      </c>
      <c r="C15" s="315" t="s">
        <v>2520</v>
      </c>
      <c r="D15" s="315" t="s">
        <v>2560</v>
      </c>
      <c r="E15" s="316" t="s">
        <v>2561</v>
      </c>
      <c r="F15" s="315">
        <v>12012266</v>
      </c>
      <c r="I15" s="317">
        <v>12</v>
      </c>
      <c r="J15" s="318" t="s">
        <v>2514</v>
      </c>
      <c r="K15" s="318" t="s">
        <v>2562</v>
      </c>
      <c r="L15" s="318">
        <v>12012387</v>
      </c>
      <c r="M15" s="318" t="s">
        <v>2563</v>
      </c>
      <c r="N15" s="318" t="s">
        <v>1721</v>
      </c>
      <c r="O15" s="319">
        <v>9700</v>
      </c>
      <c r="P15" s="318" t="s">
        <v>1741</v>
      </c>
      <c r="Q15" s="319">
        <v>36960</v>
      </c>
    </row>
    <row r="16" spans="1:17" ht="14.25">
      <c r="A16" s="314">
        <v>13</v>
      </c>
      <c r="B16" s="315">
        <v>12012322</v>
      </c>
      <c r="C16" s="315" t="s">
        <v>2514</v>
      </c>
      <c r="D16" s="315" t="s">
        <v>2564</v>
      </c>
      <c r="E16" s="316" t="s">
        <v>2542</v>
      </c>
      <c r="F16" s="315">
        <v>12012322</v>
      </c>
      <c r="I16" s="317">
        <v>13</v>
      </c>
      <c r="J16" s="318" t="s">
        <v>2565</v>
      </c>
      <c r="K16" s="318" t="s">
        <v>2566</v>
      </c>
      <c r="L16" s="318">
        <v>12013555</v>
      </c>
      <c r="M16" s="318" t="s">
        <v>2567</v>
      </c>
      <c r="N16" s="318" t="s">
        <v>1754</v>
      </c>
      <c r="O16" s="319">
        <v>3585</v>
      </c>
      <c r="P16" s="318" t="s">
        <v>453</v>
      </c>
      <c r="Q16" s="318" t="s">
        <v>453</v>
      </c>
    </row>
    <row r="17" spans="1:17" ht="14.25">
      <c r="A17" s="314">
        <v>14</v>
      </c>
      <c r="B17" s="315">
        <v>12012331</v>
      </c>
      <c r="C17" s="315" t="s">
        <v>2520</v>
      </c>
      <c r="D17" s="315" t="s">
        <v>2568</v>
      </c>
      <c r="E17" s="316" t="s">
        <v>2569</v>
      </c>
      <c r="F17" s="315">
        <v>12012331</v>
      </c>
      <c r="I17" s="317"/>
      <c r="J17" s="318"/>
      <c r="K17" s="318"/>
      <c r="L17" s="318"/>
      <c r="M17" s="318"/>
      <c r="N17" s="318" t="s">
        <v>2570</v>
      </c>
      <c r="O17" s="319">
        <v>5130</v>
      </c>
      <c r="P17" s="318" t="s">
        <v>453</v>
      </c>
      <c r="Q17" s="318" t="s">
        <v>453</v>
      </c>
    </row>
    <row r="18" spans="1:17" ht="14.25">
      <c r="A18" s="314">
        <v>15</v>
      </c>
      <c r="B18" s="315">
        <v>12012387</v>
      </c>
      <c r="C18" s="315" t="s">
        <v>2514</v>
      </c>
      <c r="D18" s="315" t="s">
        <v>2562</v>
      </c>
      <c r="E18" s="316" t="s">
        <v>2571</v>
      </c>
      <c r="F18" s="315">
        <v>12012387</v>
      </c>
      <c r="I18" s="317"/>
      <c r="J18" s="318"/>
      <c r="K18" s="318"/>
      <c r="L18" s="318"/>
      <c r="M18" s="318"/>
      <c r="N18" s="318" t="s">
        <v>2572</v>
      </c>
      <c r="O18" s="319">
        <v>5130</v>
      </c>
      <c r="P18" s="318" t="s">
        <v>453</v>
      </c>
      <c r="Q18" s="318" t="s">
        <v>453</v>
      </c>
    </row>
    <row r="19" spans="1:17" ht="14.25">
      <c r="A19" s="314">
        <v>16</v>
      </c>
      <c r="B19" s="315">
        <v>12012420</v>
      </c>
      <c r="C19" s="315" t="s">
        <v>2520</v>
      </c>
      <c r="D19" s="315" t="s">
        <v>2573</v>
      </c>
      <c r="E19" s="316" t="s">
        <v>2574</v>
      </c>
      <c r="F19" s="315">
        <v>12012420</v>
      </c>
      <c r="I19" s="317"/>
      <c r="J19" s="318"/>
      <c r="K19" s="318"/>
      <c r="L19" s="318"/>
      <c r="M19" s="318"/>
      <c r="N19" s="318" t="s">
        <v>2575</v>
      </c>
      <c r="O19" s="319">
        <v>5130</v>
      </c>
      <c r="P19" s="318" t="s">
        <v>453</v>
      </c>
      <c r="Q19" s="318" t="s">
        <v>453</v>
      </c>
    </row>
    <row r="20" spans="1:17" ht="14.25">
      <c r="A20" s="314">
        <v>17</v>
      </c>
      <c r="B20" s="315">
        <v>12012421</v>
      </c>
      <c r="C20" s="315" t="s">
        <v>2520</v>
      </c>
      <c r="D20" s="315" t="s">
        <v>2576</v>
      </c>
      <c r="E20" s="316" t="s">
        <v>2577</v>
      </c>
      <c r="F20" s="315">
        <v>12012421</v>
      </c>
      <c r="I20" s="317">
        <v>14</v>
      </c>
      <c r="J20" s="318" t="s">
        <v>2523</v>
      </c>
      <c r="K20" s="318" t="s">
        <v>2578</v>
      </c>
      <c r="L20" s="318">
        <v>12013565</v>
      </c>
      <c r="M20" s="318" t="s">
        <v>2579</v>
      </c>
      <c r="N20" s="318" t="s">
        <v>1713</v>
      </c>
      <c r="O20" s="319">
        <v>6825</v>
      </c>
      <c r="P20" s="318" t="s">
        <v>1730</v>
      </c>
      <c r="Q20" s="319">
        <v>10780</v>
      </c>
    </row>
    <row r="21" spans="1:17" ht="14.25">
      <c r="A21" s="314">
        <v>18</v>
      </c>
      <c r="B21" s="315">
        <v>12012422</v>
      </c>
      <c r="C21" s="315" t="s">
        <v>2520</v>
      </c>
      <c r="D21" s="315" t="s">
        <v>2580</v>
      </c>
      <c r="E21" s="316" t="s">
        <v>2516</v>
      </c>
      <c r="F21" s="315">
        <v>12012422</v>
      </c>
      <c r="I21" s="317">
        <v>15</v>
      </c>
      <c r="J21" s="318" t="s">
        <v>2523</v>
      </c>
      <c r="K21" s="318" t="s">
        <v>2581</v>
      </c>
      <c r="L21" s="318">
        <v>12013569</v>
      </c>
      <c r="M21" s="318" t="s">
        <v>170</v>
      </c>
      <c r="N21" s="318" t="s">
        <v>1713</v>
      </c>
      <c r="O21" s="319">
        <v>6825</v>
      </c>
      <c r="P21" s="318" t="s">
        <v>1730</v>
      </c>
      <c r="Q21" s="319">
        <v>10780</v>
      </c>
    </row>
    <row r="22" spans="1:17" ht="14.25">
      <c r="A22" s="314">
        <v>19</v>
      </c>
      <c r="B22" s="315">
        <v>12012432</v>
      </c>
      <c r="C22" s="315" t="s">
        <v>2520</v>
      </c>
      <c r="D22" s="315" t="s">
        <v>2582</v>
      </c>
      <c r="E22" s="316" t="s">
        <v>2583</v>
      </c>
      <c r="F22" s="315">
        <v>12012432</v>
      </c>
      <c r="I22" s="317">
        <v>16</v>
      </c>
      <c r="J22" s="318" t="s">
        <v>2584</v>
      </c>
      <c r="K22" s="318" t="s">
        <v>2585</v>
      </c>
      <c r="L22" s="318">
        <v>12013560</v>
      </c>
      <c r="M22" s="318" t="s">
        <v>200</v>
      </c>
      <c r="N22" s="318" t="s">
        <v>1758</v>
      </c>
      <c r="O22" s="319">
        <v>5680</v>
      </c>
      <c r="P22" s="318" t="s">
        <v>2586</v>
      </c>
      <c r="Q22" s="319">
        <v>65100</v>
      </c>
    </row>
    <row r="23" spans="1:17" ht="14.25">
      <c r="A23" s="314">
        <v>20</v>
      </c>
      <c r="B23" s="315">
        <v>12012433</v>
      </c>
      <c r="C23" s="315" t="s">
        <v>2520</v>
      </c>
      <c r="D23" s="315" t="s">
        <v>2587</v>
      </c>
      <c r="E23" s="316" t="s">
        <v>2588</v>
      </c>
      <c r="F23" s="315">
        <v>12012433</v>
      </c>
      <c r="I23" s="317"/>
      <c r="J23" s="318"/>
      <c r="K23" s="318"/>
      <c r="L23" s="318"/>
      <c r="M23" s="318"/>
      <c r="N23" s="318" t="s">
        <v>2589</v>
      </c>
      <c r="O23" s="319">
        <v>9430</v>
      </c>
      <c r="P23" s="318" t="s">
        <v>2590</v>
      </c>
      <c r="Q23" s="319">
        <v>57225</v>
      </c>
    </row>
    <row r="24" spans="1:17" ht="14.25">
      <c r="A24" s="314">
        <v>21</v>
      </c>
      <c r="B24" s="315">
        <v>12012449</v>
      </c>
      <c r="C24" s="315" t="s">
        <v>2520</v>
      </c>
      <c r="D24" s="315" t="s">
        <v>2591</v>
      </c>
      <c r="E24" s="316" t="s">
        <v>2592</v>
      </c>
      <c r="F24" s="315">
        <v>12012449</v>
      </c>
      <c r="I24" s="317"/>
      <c r="J24" s="318"/>
      <c r="K24" s="318"/>
      <c r="L24" s="318"/>
      <c r="M24" s="318"/>
      <c r="N24" s="318" t="s">
        <v>2593</v>
      </c>
      <c r="O24" s="319">
        <v>9430</v>
      </c>
      <c r="P24" s="318" t="s">
        <v>453</v>
      </c>
      <c r="Q24" s="318" t="s">
        <v>453</v>
      </c>
    </row>
    <row r="25" spans="1:17" ht="14.25">
      <c r="A25" s="314">
        <v>22</v>
      </c>
      <c r="B25" s="315">
        <v>12012465</v>
      </c>
      <c r="C25" s="315" t="s">
        <v>2520</v>
      </c>
      <c r="D25" s="315" t="s">
        <v>2594</v>
      </c>
      <c r="E25" s="316" t="s">
        <v>110</v>
      </c>
      <c r="F25" s="315">
        <v>12012465</v>
      </c>
      <c r="I25" s="317"/>
      <c r="J25" s="318"/>
      <c r="K25" s="318"/>
      <c r="L25" s="318"/>
      <c r="M25" s="318"/>
      <c r="N25" s="318" t="s">
        <v>2595</v>
      </c>
      <c r="O25" s="319">
        <v>9430</v>
      </c>
      <c r="P25" s="318" t="s">
        <v>453</v>
      </c>
      <c r="Q25" s="318" t="s">
        <v>453</v>
      </c>
    </row>
    <row r="26" spans="1:17" ht="14.25">
      <c r="A26" s="314">
        <v>23</v>
      </c>
      <c r="B26" s="315">
        <v>12012466</v>
      </c>
      <c r="C26" s="315" t="s">
        <v>2520</v>
      </c>
      <c r="D26" s="315" t="s">
        <v>2596</v>
      </c>
      <c r="E26" s="316" t="s">
        <v>2522</v>
      </c>
      <c r="F26" s="315">
        <v>12012466</v>
      </c>
      <c r="I26" s="317">
        <v>17</v>
      </c>
      <c r="J26" s="318" t="s">
        <v>2523</v>
      </c>
      <c r="K26" s="318" t="s">
        <v>2597</v>
      </c>
      <c r="L26" s="318">
        <v>12013506</v>
      </c>
      <c r="M26" s="318" t="s">
        <v>200</v>
      </c>
      <c r="N26" s="318" t="s">
        <v>1713</v>
      </c>
      <c r="O26" s="319">
        <v>6825</v>
      </c>
      <c r="P26" s="318" t="s">
        <v>1730</v>
      </c>
      <c r="Q26" s="319">
        <v>10780</v>
      </c>
    </row>
    <row r="27" spans="1:17" ht="14.25">
      <c r="A27" s="314">
        <v>24</v>
      </c>
      <c r="B27" s="315">
        <v>12012599</v>
      </c>
      <c r="C27" s="315" t="s">
        <v>2598</v>
      </c>
      <c r="D27" s="315" t="s">
        <v>2599</v>
      </c>
      <c r="E27" s="316" t="s">
        <v>2528</v>
      </c>
      <c r="F27" s="315">
        <v>12012599</v>
      </c>
      <c r="I27" s="317">
        <v>18</v>
      </c>
      <c r="J27" s="318" t="s">
        <v>2520</v>
      </c>
      <c r="K27" s="318" t="s">
        <v>2557</v>
      </c>
      <c r="L27" s="318">
        <v>12012218</v>
      </c>
      <c r="M27" s="318" t="s">
        <v>2600</v>
      </c>
      <c r="N27" s="318" t="s">
        <v>1711</v>
      </c>
      <c r="O27" s="319">
        <v>7135</v>
      </c>
      <c r="P27" s="318" t="s">
        <v>1727</v>
      </c>
      <c r="Q27" s="319">
        <v>12285</v>
      </c>
    </row>
    <row r="28" spans="1:17" ht="14.25">
      <c r="A28" s="314">
        <v>25</v>
      </c>
      <c r="B28" s="315">
        <v>12012624</v>
      </c>
      <c r="C28" s="315" t="s">
        <v>2537</v>
      </c>
      <c r="D28" s="315" t="s">
        <v>2551</v>
      </c>
      <c r="E28" s="316" t="s">
        <v>2528</v>
      </c>
      <c r="F28" s="315">
        <v>12012624</v>
      </c>
      <c r="I28" s="317">
        <v>19</v>
      </c>
      <c r="J28" s="318" t="s">
        <v>2523</v>
      </c>
      <c r="K28" s="318" t="s">
        <v>2601</v>
      </c>
      <c r="L28" s="318">
        <v>12013571</v>
      </c>
      <c r="M28" s="318" t="s">
        <v>2600</v>
      </c>
      <c r="N28" s="318" t="s">
        <v>1713</v>
      </c>
      <c r="O28" s="319">
        <v>6825</v>
      </c>
      <c r="P28" s="318" t="s">
        <v>1730</v>
      </c>
      <c r="Q28" s="319">
        <v>10780</v>
      </c>
    </row>
    <row r="29" spans="1:17" ht="14.25">
      <c r="A29" s="314">
        <v>26</v>
      </c>
      <c r="B29" s="315">
        <v>12012638</v>
      </c>
      <c r="C29" s="315" t="s">
        <v>2514</v>
      </c>
      <c r="D29" s="315" t="s">
        <v>2555</v>
      </c>
      <c r="E29" s="316" t="s">
        <v>113</v>
      </c>
      <c r="F29" s="315">
        <v>12012638</v>
      </c>
      <c r="I29" s="317">
        <v>20</v>
      </c>
      <c r="J29" s="318" t="s">
        <v>2523</v>
      </c>
      <c r="K29" s="318" t="s">
        <v>2602</v>
      </c>
      <c r="L29" s="318">
        <v>12013570</v>
      </c>
      <c r="M29" s="318" t="s">
        <v>2603</v>
      </c>
      <c r="N29" s="318" t="s">
        <v>1713</v>
      </c>
      <c r="O29" s="319">
        <v>6825</v>
      </c>
      <c r="P29" s="318" t="s">
        <v>1730</v>
      </c>
      <c r="Q29" s="319">
        <v>10780</v>
      </c>
    </row>
    <row r="30" spans="1:17" ht="14.25">
      <c r="A30" s="314">
        <v>27</v>
      </c>
      <c r="B30" s="315">
        <v>12012662</v>
      </c>
      <c r="C30" s="315" t="s">
        <v>2604</v>
      </c>
      <c r="D30" s="315" t="s">
        <v>2605</v>
      </c>
      <c r="E30" s="316" t="s">
        <v>2528</v>
      </c>
      <c r="F30" s="315">
        <v>12012662</v>
      </c>
      <c r="I30" s="317">
        <v>21</v>
      </c>
      <c r="J30" s="318" t="s">
        <v>2514</v>
      </c>
      <c r="K30" s="318" t="s">
        <v>2549</v>
      </c>
      <c r="L30" s="318">
        <v>12012200</v>
      </c>
      <c r="M30" s="318" t="s">
        <v>2606</v>
      </c>
      <c r="N30" s="318" t="s">
        <v>1721</v>
      </c>
      <c r="O30" s="319">
        <v>9700</v>
      </c>
      <c r="P30" s="318" t="s">
        <v>1741</v>
      </c>
      <c r="Q30" s="319">
        <v>36960</v>
      </c>
    </row>
    <row r="31" spans="1:17" ht="14.25">
      <c r="A31" s="314">
        <v>28</v>
      </c>
      <c r="B31" s="315">
        <v>12012729</v>
      </c>
      <c r="C31" s="315" t="s">
        <v>2598</v>
      </c>
      <c r="D31" s="315" t="s">
        <v>2607</v>
      </c>
      <c r="E31" s="316" t="s">
        <v>2528</v>
      </c>
      <c r="F31" s="315">
        <v>12012729</v>
      </c>
      <c r="I31" s="317">
        <v>22</v>
      </c>
      <c r="J31" s="318" t="s">
        <v>2517</v>
      </c>
      <c r="K31" s="318" t="s">
        <v>2608</v>
      </c>
      <c r="L31" s="318">
        <v>12012822</v>
      </c>
      <c r="M31" s="318" t="s">
        <v>2609</v>
      </c>
      <c r="N31" s="318" t="s">
        <v>1723</v>
      </c>
      <c r="O31" s="319">
        <v>9700</v>
      </c>
      <c r="P31" s="318" t="s">
        <v>1746</v>
      </c>
      <c r="Q31" s="319">
        <v>36960</v>
      </c>
    </row>
    <row r="32" spans="1:17" ht="14.25">
      <c r="A32" s="314">
        <v>29</v>
      </c>
      <c r="B32" s="315">
        <v>12012730</v>
      </c>
      <c r="C32" s="315" t="s">
        <v>2598</v>
      </c>
      <c r="D32" s="315" t="s">
        <v>2610</v>
      </c>
      <c r="E32" s="316" t="s">
        <v>2611</v>
      </c>
      <c r="F32" s="315">
        <v>12012730</v>
      </c>
      <c r="I32" s="317">
        <v>23</v>
      </c>
      <c r="J32" s="318" t="s">
        <v>2523</v>
      </c>
      <c r="K32" s="318" t="s">
        <v>2612</v>
      </c>
      <c r="L32" s="318">
        <v>12013589</v>
      </c>
      <c r="M32" s="318" t="s">
        <v>2613</v>
      </c>
      <c r="N32" s="318" t="s">
        <v>1713</v>
      </c>
      <c r="O32" s="319">
        <v>6825</v>
      </c>
      <c r="P32" s="318" t="s">
        <v>1730</v>
      </c>
      <c r="Q32" s="319">
        <v>10780</v>
      </c>
    </row>
    <row r="33" spans="1:17" ht="14.25">
      <c r="A33" s="314">
        <v>30</v>
      </c>
      <c r="B33" s="315">
        <v>12012732</v>
      </c>
      <c r="C33" s="315" t="s">
        <v>2614</v>
      </c>
      <c r="D33" s="315" t="s">
        <v>2615</v>
      </c>
      <c r="E33" s="316" t="s">
        <v>2528</v>
      </c>
      <c r="F33" s="315">
        <v>12012732</v>
      </c>
      <c r="I33" s="317">
        <v>24</v>
      </c>
      <c r="J33" s="318" t="s">
        <v>2523</v>
      </c>
      <c r="K33" s="318" t="s">
        <v>2616</v>
      </c>
      <c r="L33" s="318">
        <v>12013509</v>
      </c>
      <c r="M33" s="318" t="s">
        <v>2617</v>
      </c>
      <c r="N33" s="318" t="s">
        <v>1713</v>
      </c>
      <c r="O33" s="319">
        <v>6825</v>
      </c>
      <c r="P33" s="318" t="s">
        <v>1730</v>
      </c>
      <c r="Q33" s="319">
        <v>10780</v>
      </c>
    </row>
    <row r="34" spans="1:17" ht="14.25">
      <c r="A34" s="314">
        <v>31</v>
      </c>
      <c r="B34" s="315">
        <v>12012733</v>
      </c>
      <c r="C34" s="315" t="s">
        <v>2517</v>
      </c>
      <c r="D34" s="315" t="s">
        <v>2618</v>
      </c>
      <c r="E34" s="316" t="s">
        <v>2619</v>
      </c>
      <c r="F34" s="315">
        <v>12012733</v>
      </c>
      <c r="I34" s="317">
        <v>25</v>
      </c>
      <c r="J34" s="318" t="s">
        <v>2520</v>
      </c>
      <c r="K34" s="318" t="s">
        <v>2580</v>
      </c>
      <c r="L34" s="318">
        <v>12012422</v>
      </c>
      <c r="M34" s="318" t="s">
        <v>2620</v>
      </c>
      <c r="N34" s="318" t="s">
        <v>1711</v>
      </c>
      <c r="O34" s="319">
        <v>7135</v>
      </c>
      <c r="P34" s="318" t="s">
        <v>1727</v>
      </c>
      <c r="Q34" s="319">
        <v>12285</v>
      </c>
    </row>
    <row r="35" spans="1:17" ht="14.25">
      <c r="A35" s="314">
        <v>32</v>
      </c>
      <c r="B35" s="315">
        <v>12012764</v>
      </c>
      <c r="C35" s="315" t="s">
        <v>2517</v>
      </c>
      <c r="D35" s="315" t="s">
        <v>2621</v>
      </c>
      <c r="E35" s="316" t="s">
        <v>2531</v>
      </c>
      <c r="F35" s="315">
        <v>12012764</v>
      </c>
      <c r="I35" s="317">
        <v>26</v>
      </c>
      <c r="J35" s="318" t="s">
        <v>2520</v>
      </c>
      <c r="K35" s="318" t="s">
        <v>2587</v>
      </c>
      <c r="L35" s="318">
        <v>12012433</v>
      </c>
      <c r="M35" s="318" t="s">
        <v>2622</v>
      </c>
      <c r="N35" s="318" t="s">
        <v>1711</v>
      </c>
      <c r="O35" s="319">
        <v>7135</v>
      </c>
      <c r="P35" s="318" t="s">
        <v>1727</v>
      </c>
      <c r="Q35" s="319">
        <v>12285</v>
      </c>
    </row>
    <row r="36" spans="1:17" ht="14.25">
      <c r="A36" s="314">
        <v>33</v>
      </c>
      <c r="B36" s="315">
        <v>12012770</v>
      </c>
      <c r="C36" s="315" t="s">
        <v>2517</v>
      </c>
      <c r="D36" s="315" t="s">
        <v>2623</v>
      </c>
      <c r="E36" s="316" t="s">
        <v>2528</v>
      </c>
      <c r="F36" s="315">
        <v>12012770</v>
      </c>
      <c r="I36" s="317">
        <v>27</v>
      </c>
      <c r="J36" s="318" t="s">
        <v>2598</v>
      </c>
      <c r="K36" s="318" t="s">
        <v>2624</v>
      </c>
      <c r="L36" s="318">
        <v>12012835</v>
      </c>
      <c r="M36" s="318" t="s">
        <v>2622</v>
      </c>
      <c r="N36" s="318" t="s">
        <v>1715</v>
      </c>
      <c r="O36" s="319">
        <v>7410</v>
      </c>
      <c r="P36" s="318" t="s">
        <v>1733</v>
      </c>
      <c r="Q36" s="319">
        <v>12348</v>
      </c>
    </row>
    <row r="37" spans="1:17" ht="14.25">
      <c r="A37" s="314">
        <v>34</v>
      </c>
      <c r="B37" s="315">
        <v>12012824</v>
      </c>
      <c r="C37" s="315" t="s">
        <v>2537</v>
      </c>
      <c r="D37" s="315" t="s">
        <v>2625</v>
      </c>
      <c r="E37" s="316" t="s">
        <v>2626</v>
      </c>
      <c r="F37" s="315">
        <v>12012824</v>
      </c>
      <c r="I37" s="317">
        <v>28</v>
      </c>
      <c r="J37" s="318" t="s">
        <v>2565</v>
      </c>
      <c r="K37" s="318" t="s">
        <v>2627</v>
      </c>
      <c r="L37" s="318">
        <v>12013552</v>
      </c>
      <c r="M37" s="318" t="s">
        <v>203</v>
      </c>
      <c r="N37" s="318" t="s">
        <v>1754</v>
      </c>
      <c r="O37" s="319">
        <v>3585</v>
      </c>
      <c r="P37" s="318" t="s">
        <v>453</v>
      </c>
      <c r="Q37" s="318" t="s">
        <v>453</v>
      </c>
    </row>
    <row r="38" spans="1:17" ht="14.25">
      <c r="A38" s="314">
        <v>35</v>
      </c>
      <c r="B38" s="315">
        <v>12012825</v>
      </c>
      <c r="C38" s="315" t="s">
        <v>2628</v>
      </c>
      <c r="D38" s="315" t="s">
        <v>2629</v>
      </c>
      <c r="E38" s="316" t="s">
        <v>2630</v>
      </c>
      <c r="F38" s="315">
        <v>12012825</v>
      </c>
      <c r="I38" s="317"/>
      <c r="J38" s="318"/>
      <c r="K38" s="318"/>
      <c r="L38" s="318"/>
      <c r="M38" s="318"/>
      <c r="N38" s="318" t="s">
        <v>2570</v>
      </c>
      <c r="O38" s="319">
        <v>5130</v>
      </c>
      <c r="P38" s="318" t="s">
        <v>453</v>
      </c>
      <c r="Q38" s="318" t="s">
        <v>453</v>
      </c>
    </row>
    <row r="39" spans="1:17" ht="14.25">
      <c r="A39" s="314">
        <v>36</v>
      </c>
      <c r="B39" s="315">
        <v>12013015</v>
      </c>
      <c r="C39" s="315" t="s">
        <v>2543</v>
      </c>
      <c r="D39" s="315" t="s">
        <v>2631</v>
      </c>
      <c r="E39" s="316" t="s">
        <v>2528</v>
      </c>
      <c r="F39" s="315">
        <v>12013015</v>
      </c>
      <c r="I39" s="317"/>
      <c r="J39" s="318"/>
      <c r="K39" s="318"/>
      <c r="L39" s="318"/>
      <c r="M39" s="318"/>
      <c r="N39" s="318" t="s">
        <v>2572</v>
      </c>
      <c r="O39" s="319">
        <v>5130</v>
      </c>
      <c r="P39" s="318" t="s">
        <v>453</v>
      </c>
      <c r="Q39" s="318" t="s">
        <v>453</v>
      </c>
    </row>
    <row r="40" spans="1:17" ht="14.25">
      <c r="A40" s="314">
        <v>37</v>
      </c>
      <c r="B40" s="315">
        <v>12013016</v>
      </c>
      <c r="C40" s="315" t="s">
        <v>2543</v>
      </c>
      <c r="D40" s="315" t="s">
        <v>2544</v>
      </c>
      <c r="E40" s="316" t="s">
        <v>2632</v>
      </c>
      <c r="F40" s="315">
        <v>12013016</v>
      </c>
      <c r="I40" s="317"/>
      <c r="J40" s="318"/>
      <c r="K40" s="318"/>
      <c r="L40" s="318"/>
      <c r="M40" s="318"/>
      <c r="N40" s="318" t="s">
        <v>2575</v>
      </c>
      <c r="O40" s="319">
        <v>5130</v>
      </c>
      <c r="P40" s="318" t="s">
        <v>453</v>
      </c>
      <c r="Q40" s="318" t="s">
        <v>453</v>
      </c>
    </row>
    <row r="41" spans="1:17" ht="14.25">
      <c r="A41" s="314">
        <v>38</v>
      </c>
      <c r="B41" s="315">
        <v>12013017</v>
      </c>
      <c r="C41" s="315" t="s">
        <v>2543</v>
      </c>
      <c r="D41" s="315" t="s">
        <v>2633</v>
      </c>
      <c r="E41" s="316" t="s">
        <v>2528</v>
      </c>
      <c r="F41" s="315">
        <v>12013017</v>
      </c>
      <c r="I41" s="317">
        <v>29</v>
      </c>
      <c r="J41" s="318" t="s">
        <v>2523</v>
      </c>
      <c r="K41" s="318" t="s">
        <v>2634</v>
      </c>
      <c r="L41" s="318">
        <v>12013593</v>
      </c>
      <c r="M41" s="318" t="s">
        <v>2635</v>
      </c>
      <c r="N41" s="318" t="s">
        <v>1713</v>
      </c>
      <c r="O41" s="319">
        <v>6825</v>
      </c>
      <c r="P41" s="318" t="s">
        <v>1730</v>
      </c>
      <c r="Q41" s="319">
        <v>10780</v>
      </c>
    </row>
    <row r="42" spans="1:17" ht="14.25">
      <c r="A42" s="314">
        <v>39</v>
      </c>
      <c r="B42" s="315">
        <v>12013018</v>
      </c>
      <c r="C42" s="315" t="s">
        <v>2543</v>
      </c>
      <c r="D42" s="315" t="s">
        <v>2636</v>
      </c>
      <c r="E42" s="316" t="s">
        <v>2528</v>
      </c>
      <c r="F42" s="315">
        <v>12013018</v>
      </c>
      <c r="I42" s="317">
        <v>30</v>
      </c>
      <c r="J42" s="318" t="s">
        <v>2514</v>
      </c>
      <c r="K42" s="318" t="s">
        <v>2564</v>
      </c>
      <c r="L42" s="318">
        <v>12012322</v>
      </c>
      <c r="M42" s="318" t="s">
        <v>2637</v>
      </c>
      <c r="N42" s="318" t="s">
        <v>1721</v>
      </c>
      <c r="O42" s="319">
        <v>9700</v>
      </c>
      <c r="P42" s="318" t="s">
        <v>1741</v>
      </c>
      <c r="Q42" s="319">
        <v>36960</v>
      </c>
    </row>
    <row r="43" spans="1:17" ht="14.25">
      <c r="A43" s="314">
        <v>40</v>
      </c>
      <c r="B43" s="315">
        <v>12013019</v>
      </c>
      <c r="C43" s="315" t="s">
        <v>2532</v>
      </c>
      <c r="D43" s="315" t="s">
        <v>2638</v>
      </c>
      <c r="E43" s="316" t="s">
        <v>2528</v>
      </c>
      <c r="F43" s="315">
        <v>12013019</v>
      </c>
      <c r="I43" s="317">
        <v>31</v>
      </c>
      <c r="J43" s="318" t="s">
        <v>2523</v>
      </c>
      <c r="K43" s="318" t="s">
        <v>2639</v>
      </c>
      <c r="L43" s="318">
        <v>12013586</v>
      </c>
      <c r="M43" s="318" t="s">
        <v>2640</v>
      </c>
      <c r="N43" s="318" t="s">
        <v>1713</v>
      </c>
      <c r="O43" s="319">
        <v>6825</v>
      </c>
      <c r="P43" s="318" t="s">
        <v>1730</v>
      </c>
      <c r="Q43" s="319">
        <v>10780</v>
      </c>
    </row>
    <row r="44" spans="1:17" ht="14.25">
      <c r="A44" s="314">
        <v>41</v>
      </c>
      <c r="B44" s="315">
        <v>12013021</v>
      </c>
      <c r="C44" s="315" t="s">
        <v>2532</v>
      </c>
      <c r="D44" s="315" t="s">
        <v>2533</v>
      </c>
      <c r="E44" s="316" t="s">
        <v>2528</v>
      </c>
      <c r="F44" s="315">
        <v>12013021</v>
      </c>
      <c r="I44" s="317">
        <v>32</v>
      </c>
      <c r="J44" s="318" t="s">
        <v>2565</v>
      </c>
      <c r="K44" s="318" t="s">
        <v>2641</v>
      </c>
      <c r="L44" s="318">
        <v>12013561</v>
      </c>
      <c r="M44" s="318" t="s">
        <v>2642</v>
      </c>
      <c r="N44" s="318" t="s">
        <v>1754</v>
      </c>
      <c r="O44" s="319">
        <v>3585</v>
      </c>
      <c r="P44" s="318" t="s">
        <v>453</v>
      </c>
      <c r="Q44" s="318" t="s">
        <v>453</v>
      </c>
    </row>
    <row r="45" spans="1:17" ht="14.25">
      <c r="A45" s="314">
        <v>42</v>
      </c>
      <c r="B45" s="315">
        <v>12013196</v>
      </c>
      <c r="C45" s="315" t="s">
        <v>2517</v>
      </c>
      <c r="D45" s="315" t="s">
        <v>2643</v>
      </c>
      <c r="E45" s="316" t="s">
        <v>2528</v>
      </c>
      <c r="F45" s="315">
        <v>12013196</v>
      </c>
      <c r="I45" s="317"/>
      <c r="J45" s="318"/>
      <c r="K45" s="318"/>
      <c r="L45" s="318"/>
      <c r="M45" s="318"/>
      <c r="N45" s="318" t="s">
        <v>2570</v>
      </c>
      <c r="O45" s="319">
        <v>5130</v>
      </c>
      <c r="P45" s="318" t="s">
        <v>453</v>
      </c>
      <c r="Q45" s="318" t="s">
        <v>453</v>
      </c>
    </row>
    <row r="46" spans="1:17" ht="14.25">
      <c r="A46" s="314">
        <v>43</v>
      </c>
      <c r="B46" s="315">
        <v>12013197</v>
      </c>
      <c r="C46" s="315" t="s">
        <v>2517</v>
      </c>
      <c r="D46" s="315" t="s">
        <v>2644</v>
      </c>
      <c r="E46" s="316" t="s">
        <v>2528</v>
      </c>
      <c r="F46" s="315">
        <v>12013197</v>
      </c>
      <c r="I46" s="317"/>
      <c r="J46" s="318"/>
      <c r="K46" s="318"/>
      <c r="L46" s="318"/>
      <c r="M46" s="318"/>
      <c r="N46" s="318" t="s">
        <v>2572</v>
      </c>
      <c r="O46" s="319">
        <v>5130</v>
      </c>
      <c r="P46" s="318" t="s">
        <v>453</v>
      </c>
      <c r="Q46" s="318" t="s">
        <v>453</v>
      </c>
    </row>
    <row r="47" spans="1:17" ht="14.25">
      <c r="A47" s="314">
        <v>44</v>
      </c>
      <c r="B47" s="315">
        <v>12013198</v>
      </c>
      <c r="C47" s="315" t="s">
        <v>2517</v>
      </c>
      <c r="D47" s="315" t="s">
        <v>2548</v>
      </c>
      <c r="E47" s="316" t="s">
        <v>2528</v>
      </c>
      <c r="F47" s="315">
        <v>12013198</v>
      </c>
      <c r="I47" s="317"/>
      <c r="J47" s="318"/>
      <c r="K47" s="318"/>
      <c r="L47" s="318"/>
      <c r="M47" s="318"/>
      <c r="N47" s="318" t="s">
        <v>2575</v>
      </c>
      <c r="O47" s="319">
        <v>5130</v>
      </c>
      <c r="P47" s="318" t="s">
        <v>453</v>
      </c>
      <c r="Q47" s="318" t="s">
        <v>453</v>
      </c>
    </row>
    <row r="48" spans="1:17" ht="14.25">
      <c r="A48" s="314">
        <v>45</v>
      </c>
      <c r="B48" s="315">
        <v>12013199</v>
      </c>
      <c r="C48" s="315" t="s">
        <v>2517</v>
      </c>
      <c r="D48" s="315" t="s">
        <v>2547</v>
      </c>
      <c r="E48" s="316" t="s">
        <v>2528</v>
      </c>
      <c r="F48" s="315">
        <v>12013199</v>
      </c>
      <c r="I48" s="317">
        <v>33</v>
      </c>
      <c r="J48" s="318" t="s">
        <v>2523</v>
      </c>
      <c r="K48" s="318" t="s">
        <v>2645</v>
      </c>
      <c r="L48" s="318">
        <v>12013505</v>
      </c>
      <c r="M48" s="318" t="s">
        <v>2642</v>
      </c>
      <c r="N48" s="318" t="s">
        <v>1713</v>
      </c>
      <c r="O48" s="319">
        <v>6825</v>
      </c>
      <c r="P48" s="318" t="s">
        <v>1730</v>
      </c>
      <c r="Q48" s="319">
        <v>10780</v>
      </c>
    </row>
    <row r="49" spans="1:17" ht="14.25">
      <c r="A49" s="314">
        <v>46</v>
      </c>
      <c r="B49" s="315">
        <v>12013200</v>
      </c>
      <c r="C49" s="315" t="s">
        <v>2517</v>
      </c>
      <c r="D49" s="315" t="s">
        <v>2646</v>
      </c>
      <c r="E49" s="316" t="s">
        <v>2528</v>
      </c>
      <c r="F49" s="315">
        <v>12013200</v>
      </c>
      <c r="I49" s="317">
        <v>34</v>
      </c>
      <c r="J49" s="318" t="s">
        <v>2523</v>
      </c>
      <c r="K49" s="318" t="s">
        <v>2647</v>
      </c>
      <c r="L49" s="318">
        <v>12013588</v>
      </c>
      <c r="M49" s="318" t="s">
        <v>2648</v>
      </c>
      <c r="N49" s="318" t="s">
        <v>1713</v>
      </c>
      <c r="O49" s="319">
        <v>6825</v>
      </c>
      <c r="P49" s="318" t="s">
        <v>1730</v>
      </c>
      <c r="Q49" s="319">
        <v>10780</v>
      </c>
    </row>
    <row r="50" spans="1:17" ht="14.25">
      <c r="A50" s="314">
        <v>47</v>
      </c>
      <c r="B50" s="315">
        <v>12013201</v>
      </c>
      <c r="C50" s="315" t="s">
        <v>2517</v>
      </c>
      <c r="D50" s="315" t="s">
        <v>2649</v>
      </c>
      <c r="E50" s="316" t="s">
        <v>2528</v>
      </c>
      <c r="F50" s="315">
        <v>12013201</v>
      </c>
      <c r="I50" s="317">
        <v>35</v>
      </c>
      <c r="J50" s="318" t="s">
        <v>2523</v>
      </c>
      <c r="K50" s="318" t="s">
        <v>2650</v>
      </c>
      <c r="L50" s="318">
        <v>12013564</v>
      </c>
      <c r="M50" s="318" t="s">
        <v>2648</v>
      </c>
      <c r="N50" s="318" t="s">
        <v>1713</v>
      </c>
      <c r="O50" s="319">
        <v>6825</v>
      </c>
      <c r="P50" s="318" t="s">
        <v>1730</v>
      </c>
      <c r="Q50" s="319">
        <v>10780</v>
      </c>
    </row>
    <row r="51" spans="1:17" ht="14.25">
      <c r="A51" s="314">
        <v>1</v>
      </c>
      <c r="B51" s="315">
        <v>12011361</v>
      </c>
      <c r="C51" s="315" t="s">
        <v>2651</v>
      </c>
      <c r="D51" s="315" t="s">
        <v>2652</v>
      </c>
      <c r="E51" s="316" t="s">
        <v>2653</v>
      </c>
      <c r="F51" s="315">
        <v>12011361</v>
      </c>
      <c r="I51" s="317">
        <v>36</v>
      </c>
      <c r="J51" s="318" t="s">
        <v>2523</v>
      </c>
      <c r="K51" s="318" t="s">
        <v>2654</v>
      </c>
      <c r="L51" s="318">
        <v>12013579</v>
      </c>
      <c r="M51" s="318" t="s">
        <v>2648</v>
      </c>
      <c r="N51" s="318" t="s">
        <v>1713</v>
      </c>
      <c r="O51" s="319">
        <v>6825</v>
      </c>
      <c r="P51" s="318" t="s">
        <v>1730</v>
      </c>
      <c r="Q51" s="319">
        <v>10780</v>
      </c>
    </row>
    <row r="52" spans="1:17" ht="14.25">
      <c r="A52" s="314">
        <v>2</v>
      </c>
      <c r="B52" s="315">
        <v>12011042</v>
      </c>
      <c r="C52" s="315" t="s">
        <v>2655</v>
      </c>
      <c r="D52" s="315" t="s">
        <v>2656</v>
      </c>
      <c r="E52" s="316" t="s">
        <v>2657</v>
      </c>
      <c r="F52" s="315">
        <v>12011042</v>
      </c>
      <c r="I52" s="317">
        <v>37</v>
      </c>
      <c r="J52" s="318" t="s">
        <v>2523</v>
      </c>
      <c r="K52" s="318" t="s">
        <v>2658</v>
      </c>
      <c r="L52" s="318">
        <v>12013576</v>
      </c>
      <c r="M52" s="318" t="s">
        <v>2648</v>
      </c>
      <c r="N52" s="318" t="s">
        <v>1713</v>
      </c>
      <c r="O52" s="319">
        <v>6825</v>
      </c>
      <c r="P52" s="318" t="s">
        <v>1730</v>
      </c>
      <c r="Q52" s="319">
        <v>10780</v>
      </c>
    </row>
    <row r="53" spans="1:17" ht="14.25">
      <c r="A53" s="314">
        <v>3</v>
      </c>
      <c r="B53" s="315">
        <v>12011543</v>
      </c>
      <c r="C53" s="315" t="s">
        <v>2659</v>
      </c>
      <c r="D53" s="315" t="s">
        <v>2660</v>
      </c>
      <c r="E53" s="316" t="s">
        <v>2632</v>
      </c>
      <c r="F53" s="315">
        <v>12011543</v>
      </c>
      <c r="I53" s="317">
        <v>38</v>
      </c>
      <c r="J53" s="318" t="s">
        <v>2523</v>
      </c>
      <c r="K53" s="318" t="s">
        <v>2661</v>
      </c>
      <c r="L53" s="318">
        <v>12013584</v>
      </c>
      <c r="M53" s="318" t="s">
        <v>2648</v>
      </c>
      <c r="N53" s="318" t="s">
        <v>1713</v>
      </c>
      <c r="O53" s="319">
        <v>6825</v>
      </c>
      <c r="P53" s="318" t="s">
        <v>1730</v>
      </c>
      <c r="Q53" s="319">
        <v>10780</v>
      </c>
    </row>
    <row r="54" spans="1:17" ht="14.25">
      <c r="A54" s="314">
        <v>4</v>
      </c>
      <c r="B54" s="315">
        <v>12010962</v>
      </c>
      <c r="C54" s="315" t="s">
        <v>2662</v>
      </c>
      <c r="D54" s="315" t="s">
        <v>2663</v>
      </c>
      <c r="E54" s="316" t="s">
        <v>137</v>
      </c>
      <c r="F54" s="315">
        <v>12010962</v>
      </c>
      <c r="I54" s="317">
        <v>39</v>
      </c>
      <c r="J54" s="318" t="s">
        <v>2523</v>
      </c>
      <c r="K54" s="318" t="s">
        <v>2664</v>
      </c>
      <c r="L54" s="318">
        <v>12013562</v>
      </c>
      <c r="M54" s="318" t="s">
        <v>2648</v>
      </c>
      <c r="N54" s="318" t="s">
        <v>1713</v>
      </c>
      <c r="O54" s="319">
        <v>6825</v>
      </c>
      <c r="P54" s="318" t="s">
        <v>1730</v>
      </c>
      <c r="Q54" s="319">
        <v>10780</v>
      </c>
    </row>
    <row r="55" spans="1:17" ht="14.25">
      <c r="A55" s="314">
        <v>5</v>
      </c>
      <c r="B55" s="315">
        <v>12011672</v>
      </c>
      <c r="C55" s="315" t="s">
        <v>2665</v>
      </c>
      <c r="D55" s="315" t="s">
        <v>2666</v>
      </c>
      <c r="E55" s="316" t="s">
        <v>2667</v>
      </c>
      <c r="F55" s="315">
        <v>12011672</v>
      </c>
      <c r="I55" s="317">
        <v>40</v>
      </c>
      <c r="J55" s="318" t="s">
        <v>2523</v>
      </c>
      <c r="K55" s="318" t="s">
        <v>2668</v>
      </c>
      <c r="L55" s="318">
        <v>12013591</v>
      </c>
      <c r="M55" s="318" t="s">
        <v>2669</v>
      </c>
      <c r="N55" s="318" t="s">
        <v>1713</v>
      </c>
      <c r="O55" s="319">
        <v>6825</v>
      </c>
      <c r="P55" s="318" t="s">
        <v>1730</v>
      </c>
      <c r="Q55" s="319">
        <v>10780</v>
      </c>
    </row>
    <row r="56" spans="1:17" ht="14.25">
      <c r="A56" s="314">
        <v>6</v>
      </c>
      <c r="B56" s="315">
        <v>12011735</v>
      </c>
      <c r="C56" s="315" t="s">
        <v>2665</v>
      </c>
      <c r="D56" s="315" t="s">
        <v>2670</v>
      </c>
      <c r="E56" s="316" t="s">
        <v>137</v>
      </c>
      <c r="F56" s="315">
        <v>12011735</v>
      </c>
      <c r="I56" s="317">
        <v>41</v>
      </c>
      <c r="J56" s="318" t="s">
        <v>2598</v>
      </c>
      <c r="K56" s="318" t="s">
        <v>2610</v>
      </c>
      <c r="L56" s="318">
        <v>12012730</v>
      </c>
      <c r="M56" s="318" t="s">
        <v>2671</v>
      </c>
      <c r="N56" s="318" t="s">
        <v>1715</v>
      </c>
      <c r="O56" s="319">
        <v>7410</v>
      </c>
      <c r="P56" s="318" t="s">
        <v>1733</v>
      </c>
      <c r="Q56" s="319">
        <v>12348</v>
      </c>
    </row>
    <row r="57" spans="1:17" ht="14.25">
      <c r="A57" s="314">
        <v>7</v>
      </c>
      <c r="B57" s="315">
        <v>12011229</v>
      </c>
      <c r="C57" s="315" t="s">
        <v>2672</v>
      </c>
      <c r="D57" s="315" t="s">
        <v>2673</v>
      </c>
      <c r="E57" s="316" t="s">
        <v>2542</v>
      </c>
      <c r="F57" s="315">
        <v>12011229</v>
      </c>
      <c r="I57" s="317">
        <v>42</v>
      </c>
      <c r="J57" s="318" t="s">
        <v>2532</v>
      </c>
      <c r="K57" s="318" t="s">
        <v>2638</v>
      </c>
      <c r="L57" s="318">
        <v>12013019</v>
      </c>
      <c r="M57" s="318" t="s">
        <v>2671</v>
      </c>
      <c r="N57" s="318" t="s">
        <v>605</v>
      </c>
      <c r="O57" s="319">
        <v>9375</v>
      </c>
      <c r="P57" s="318" t="s">
        <v>1749</v>
      </c>
      <c r="Q57" s="319">
        <v>64785</v>
      </c>
    </row>
    <row r="58" spans="1:17" ht="14.25">
      <c r="A58" s="314">
        <v>8</v>
      </c>
      <c r="B58" s="315">
        <v>12011734</v>
      </c>
      <c r="C58" s="315" t="s">
        <v>2665</v>
      </c>
      <c r="D58" s="315" t="s">
        <v>2674</v>
      </c>
      <c r="E58" s="316" t="s">
        <v>2583</v>
      </c>
      <c r="F58" s="315">
        <v>12011734</v>
      </c>
      <c r="I58" s="317">
        <v>43</v>
      </c>
      <c r="J58" s="318" t="s">
        <v>2523</v>
      </c>
      <c r="K58" s="318" t="s">
        <v>2675</v>
      </c>
      <c r="L58" s="318">
        <v>12013568</v>
      </c>
      <c r="M58" s="318" t="s">
        <v>2676</v>
      </c>
      <c r="N58" s="318" t="s">
        <v>1713</v>
      </c>
      <c r="O58" s="319">
        <v>6825</v>
      </c>
      <c r="P58" s="318" t="s">
        <v>1730</v>
      </c>
      <c r="Q58" s="319">
        <v>10780</v>
      </c>
    </row>
    <row r="59" spans="1:17" ht="14.25">
      <c r="A59" s="314">
        <v>9</v>
      </c>
      <c r="B59" s="315">
        <v>12011805</v>
      </c>
      <c r="C59" s="315" t="s">
        <v>2677</v>
      </c>
      <c r="D59" s="315" t="s">
        <v>2678</v>
      </c>
      <c r="E59" s="316" t="s">
        <v>2657</v>
      </c>
      <c r="F59" s="315">
        <v>12011805</v>
      </c>
      <c r="I59" s="317">
        <v>44</v>
      </c>
      <c r="J59" s="318" t="s">
        <v>2604</v>
      </c>
      <c r="K59" s="318" t="s">
        <v>2605</v>
      </c>
      <c r="L59" s="318">
        <v>12012662</v>
      </c>
      <c r="M59" s="318" t="s">
        <v>2679</v>
      </c>
      <c r="N59" s="318" t="s">
        <v>1723</v>
      </c>
      <c r="O59" s="319">
        <v>9700</v>
      </c>
      <c r="P59" s="318" t="s">
        <v>1746</v>
      </c>
      <c r="Q59" s="319">
        <v>36960</v>
      </c>
    </row>
    <row r="60" spans="1:17" ht="15.75" customHeight="1">
      <c r="A60" s="306"/>
      <c r="B60" s="306"/>
      <c r="C60" s="306"/>
      <c r="D60" s="306"/>
      <c r="E60" s="306"/>
      <c r="F60" s="306"/>
      <c r="I60" s="317">
        <v>45</v>
      </c>
      <c r="J60" s="318" t="s">
        <v>2517</v>
      </c>
      <c r="K60" s="318" t="s">
        <v>2618</v>
      </c>
      <c r="L60" s="318">
        <v>12012733</v>
      </c>
      <c r="M60" s="318" t="s">
        <v>2680</v>
      </c>
      <c r="N60" s="318" t="s">
        <v>1723</v>
      </c>
      <c r="O60" s="319">
        <v>9700</v>
      </c>
      <c r="P60" s="318" t="s">
        <v>1746</v>
      </c>
      <c r="Q60" s="319">
        <v>36960</v>
      </c>
    </row>
    <row r="61" spans="1:17" ht="12.75">
      <c r="A61" s="306"/>
      <c r="B61" s="306"/>
      <c r="C61" s="306"/>
      <c r="D61" s="306"/>
      <c r="E61" s="306"/>
      <c r="F61" s="306"/>
      <c r="I61" s="317">
        <v>46</v>
      </c>
      <c r="J61" s="318" t="s">
        <v>2517</v>
      </c>
      <c r="K61" s="318" t="s">
        <v>2621</v>
      </c>
      <c r="L61" s="318">
        <v>12012764</v>
      </c>
      <c r="M61" s="318" t="s">
        <v>2531</v>
      </c>
      <c r="N61" s="318" t="s">
        <v>1723</v>
      </c>
      <c r="O61" s="319">
        <v>9700</v>
      </c>
      <c r="P61" s="318" t="s">
        <v>1746</v>
      </c>
      <c r="Q61" s="319">
        <v>36960</v>
      </c>
    </row>
    <row r="62" spans="1:17" ht="12.75">
      <c r="A62" s="306"/>
      <c r="B62" s="306"/>
      <c r="C62" s="306"/>
      <c r="D62" s="306"/>
      <c r="E62" s="306"/>
      <c r="F62" s="306"/>
      <c r="I62" s="317">
        <v>47</v>
      </c>
      <c r="J62" s="318" t="s">
        <v>2514</v>
      </c>
      <c r="K62" s="318" t="s">
        <v>2530</v>
      </c>
      <c r="L62" s="318">
        <v>12012145</v>
      </c>
      <c r="M62" s="318" t="s">
        <v>2531</v>
      </c>
      <c r="N62" s="318" t="s">
        <v>1721</v>
      </c>
      <c r="O62" s="319">
        <v>9700</v>
      </c>
      <c r="P62" s="318" t="s">
        <v>1741</v>
      </c>
      <c r="Q62" s="319">
        <v>36960</v>
      </c>
    </row>
    <row r="63" spans="1:17" ht="12.75">
      <c r="A63" s="306"/>
      <c r="B63" s="306"/>
      <c r="C63" s="306"/>
      <c r="D63" s="306"/>
      <c r="E63" s="306"/>
      <c r="F63" s="306"/>
      <c r="I63" s="317">
        <v>48</v>
      </c>
      <c r="J63" s="318" t="s">
        <v>2523</v>
      </c>
      <c r="K63" s="318" t="s">
        <v>2681</v>
      </c>
      <c r="L63" s="318">
        <v>12013503</v>
      </c>
      <c r="M63" s="318" t="s">
        <v>2682</v>
      </c>
      <c r="N63" s="318" t="s">
        <v>1713</v>
      </c>
      <c r="O63" s="319">
        <v>6825</v>
      </c>
      <c r="P63" s="318" t="s">
        <v>1730</v>
      </c>
      <c r="Q63" s="319">
        <v>10780</v>
      </c>
    </row>
    <row r="64" spans="1:17" ht="12.75">
      <c r="A64" s="306"/>
      <c r="B64" s="306"/>
      <c r="C64" s="306"/>
      <c r="D64" s="306"/>
      <c r="E64" s="306"/>
      <c r="F64" s="306"/>
      <c r="I64" s="317">
        <v>49</v>
      </c>
      <c r="J64" s="318" t="s">
        <v>2523</v>
      </c>
      <c r="K64" s="318" t="s">
        <v>2683</v>
      </c>
      <c r="L64" s="318">
        <v>12013567</v>
      </c>
      <c r="M64" s="318" t="s">
        <v>2684</v>
      </c>
      <c r="N64" s="318" t="s">
        <v>1713</v>
      </c>
      <c r="O64" s="319">
        <v>6825</v>
      </c>
      <c r="P64" s="318" t="s">
        <v>1730</v>
      </c>
      <c r="Q64" s="319">
        <v>10780</v>
      </c>
    </row>
    <row r="65" spans="1:17" ht="12.75">
      <c r="A65" s="306"/>
      <c r="B65" s="306"/>
      <c r="C65" s="306"/>
      <c r="D65" s="306"/>
      <c r="E65" s="306"/>
      <c r="F65" s="306"/>
      <c r="I65" s="317">
        <v>50</v>
      </c>
      <c r="J65" s="318" t="s">
        <v>2523</v>
      </c>
      <c r="K65" s="318" t="s">
        <v>2685</v>
      </c>
      <c r="L65" s="318">
        <v>12013572</v>
      </c>
      <c r="M65" s="318" t="s">
        <v>2686</v>
      </c>
      <c r="N65" s="318" t="s">
        <v>1713</v>
      </c>
      <c r="O65" s="319">
        <v>6825</v>
      </c>
      <c r="P65" s="318" t="s">
        <v>1730</v>
      </c>
      <c r="Q65" s="319">
        <v>10780</v>
      </c>
    </row>
    <row r="66" spans="1:17" ht="12.75">
      <c r="A66" s="306"/>
      <c r="B66" s="306"/>
      <c r="C66" s="306"/>
      <c r="D66" s="306"/>
      <c r="E66" s="306"/>
      <c r="F66" s="306"/>
      <c r="I66" s="317">
        <v>51</v>
      </c>
      <c r="J66" s="318" t="s">
        <v>2523</v>
      </c>
      <c r="K66" s="318" t="s">
        <v>2687</v>
      </c>
      <c r="L66" s="318">
        <v>12013590</v>
      </c>
      <c r="M66" s="318" t="s">
        <v>2688</v>
      </c>
      <c r="N66" s="318" t="s">
        <v>1713</v>
      </c>
      <c r="O66" s="319">
        <v>6825</v>
      </c>
      <c r="P66" s="318" t="s">
        <v>1730</v>
      </c>
      <c r="Q66" s="319">
        <v>10780</v>
      </c>
    </row>
    <row r="67" spans="1:17" ht="12.75">
      <c r="A67" s="306"/>
      <c r="B67" s="306"/>
      <c r="C67" s="306"/>
      <c r="D67" s="306"/>
      <c r="E67" s="306"/>
      <c r="F67" s="306"/>
      <c r="I67" s="317">
        <v>52</v>
      </c>
      <c r="J67" s="318" t="s">
        <v>2523</v>
      </c>
      <c r="K67" s="318" t="s">
        <v>2689</v>
      </c>
      <c r="L67" s="318">
        <v>12013585</v>
      </c>
      <c r="M67" s="318" t="s">
        <v>2690</v>
      </c>
      <c r="N67" s="318" t="s">
        <v>1713</v>
      </c>
      <c r="O67" s="319">
        <v>6825</v>
      </c>
      <c r="P67" s="318" t="s">
        <v>1730</v>
      </c>
      <c r="Q67" s="319">
        <v>10780</v>
      </c>
    </row>
    <row r="68" spans="1:17" ht="12.75">
      <c r="A68" s="306"/>
      <c r="B68" s="306"/>
      <c r="C68" s="306"/>
      <c r="D68" s="306"/>
      <c r="E68" s="306"/>
      <c r="F68" s="306"/>
      <c r="I68" s="317">
        <v>53</v>
      </c>
      <c r="J68" s="318" t="s">
        <v>2523</v>
      </c>
      <c r="K68" s="318" t="s">
        <v>2691</v>
      </c>
      <c r="L68" s="318">
        <v>12013580</v>
      </c>
      <c r="M68" s="318" t="s">
        <v>2692</v>
      </c>
      <c r="N68" s="318" t="s">
        <v>1713</v>
      </c>
      <c r="O68" s="319">
        <v>6825</v>
      </c>
      <c r="P68" s="318" t="s">
        <v>1730</v>
      </c>
      <c r="Q68" s="319">
        <v>10780</v>
      </c>
    </row>
    <row r="69" spans="1:17" ht="12.75">
      <c r="A69" s="306"/>
      <c r="B69" s="306"/>
      <c r="C69" s="306"/>
      <c r="D69" s="306"/>
      <c r="E69" s="306"/>
      <c r="F69" s="306"/>
      <c r="I69" s="317">
        <v>54</v>
      </c>
      <c r="J69" s="318" t="s">
        <v>2523</v>
      </c>
      <c r="K69" s="318" t="s">
        <v>2693</v>
      </c>
      <c r="L69" s="318">
        <v>12013504</v>
      </c>
      <c r="M69" s="318" t="s">
        <v>2694</v>
      </c>
      <c r="N69" s="318" t="s">
        <v>1713</v>
      </c>
      <c r="O69" s="319">
        <v>6825</v>
      </c>
      <c r="P69" s="318" t="s">
        <v>1730</v>
      </c>
      <c r="Q69" s="319">
        <v>10780</v>
      </c>
    </row>
    <row r="70" spans="1:17" ht="12.75">
      <c r="A70" s="306"/>
      <c r="B70" s="306"/>
      <c r="C70" s="306"/>
      <c r="D70" s="306"/>
      <c r="E70" s="306"/>
      <c r="F70" s="306"/>
      <c r="I70" s="317">
        <v>55</v>
      </c>
      <c r="J70" s="318" t="s">
        <v>2523</v>
      </c>
      <c r="K70" s="318" t="s">
        <v>2695</v>
      </c>
      <c r="L70" s="318">
        <v>12013510</v>
      </c>
      <c r="M70" s="318" t="s">
        <v>236</v>
      </c>
      <c r="N70" s="318" t="s">
        <v>1713</v>
      </c>
      <c r="O70" s="319">
        <v>6825</v>
      </c>
      <c r="P70" s="318" t="s">
        <v>1730</v>
      </c>
      <c r="Q70" s="319">
        <v>10780</v>
      </c>
    </row>
    <row r="71" spans="1:17" ht="12.75">
      <c r="A71" s="306"/>
      <c r="B71" s="306"/>
      <c r="C71" s="306"/>
      <c r="D71" s="306"/>
      <c r="E71" s="306"/>
      <c r="F71" s="306"/>
      <c r="I71" s="317">
        <v>56</v>
      </c>
      <c r="J71" s="318" t="s">
        <v>2523</v>
      </c>
      <c r="K71" s="318" t="s">
        <v>2696</v>
      </c>
      <c r="L71" s="318">
        <v>12013582</v>
      </c>
      <c r="M71" s="318" t="s">
        <v>236</v>
      </c>
      <c r="N71" s="318" t="s">
        <v>1713</v>
      </c>
      <c r="O71" s="319">
        <v>6825</v>
      </c>
      <c r="P71" s="318" t="s">
        <v>1730</v>
      </c>
      <c r="Q71" s="319">
        <v>10780</v>
      </c>
    </row>
    <row r="72" spans="1:17" ht="12.75">
      <c r="A72" s="306"/>
      <c r="B72" s="306"/>
      <c r="C72" s="306"/>
      <c r="D72" s="306"/>
      <c r="E72" s="306"/>
      <c r="F72" s="306"/>
      <c r="I72" s="317">
        <v>57</v>
      </c>
      <c r="J72" s="318" t="s">
        <v>2523</v>
      </c>
      <c r="K72" s="318" t="s">
        <v>2697</v>
      </c>
      <c r="L72" s="318">
        <v>12013499</v>
      </c>
      <c r="M72" s="318" t="s">
        <v>2698</v>
      </c>
      <c r="N72" s="318" t="s">
        <v>1713</v>
      </c>
      <c r="O72" s="319">
        <v>6825</v>
      </c>
      <c r="P72" s="318" t="s">
        <v>1730</v>
      </c>
      <c r="Q72" s="319">
        <v>10780</v>
      </c>
    </row>
    <row r="73" spans="1:17" ht="12.75">
      <c r="A73" s="306"/>
      <c r="B73" s="306"/>
      <c r="C73" s="306"/>
      <c r="D73" s="306"/>
      <c r="E73" s="306"/>
      <c r="F73" s="306"/>
      <c r="I73" s="317">
        <v>58</v>
      </c>
      <c r="J73" s="318" t="s">
        <v>2523</v>
      </c>
      <c r="K73" s="318" t="s">
        <v>2699</v>
      </c>
      <c r="L73" s="318">
        <v>12013575</v>
      </c>
      <c r="M73" s="318" t="s">
        <v>2700</v>
      </c>
      <c r="N73" s="318" t="s">
        <v>1713</v>
      </c>
      <c r="O73" s="319">
        <v>6825</v>
      </c>
      <c r="P73" s="318" t="s">
        <v>1730</v>
      </c>
      <c r="Q73" s="319">
        <v>10780</v>
      </c>
    </row>
    <row r="74" spans="1:17" ht="12.75">
      <c r="A74" s="306"/>
      <c r="B74" s="306"/>
      <c r="C74" s="306"/>
      <c r="D74" s="306"/>
      <c r="E74" s="306"/>
      <c r="F74" s="306"/>
      <c r="I74" s="317">
        <v>59</v>
      </c>
      <c r="J74" s="318" t="s">
        <v>2523</v>
      </c>
      <c r="K74" s="318" t="s">
        <v>2701</v>
      </c>
      <c r="L74" s="318">
        <v>12013592</v>
      </c>
      <c r="M74" s="318" t="s">
        <v>2702</v>
      </c>
      <c r="N74" s="318" t="s">
        <v>1713</v>
      </c>
      <c r="O74" s="319">
        <v>6825</v>
      </c>
      <c r="P74" s="318" t="s">
        <v>1730</v>
      </c>
      <c r="Q74" s="319">
        <v>10780</v>
      </c>
    </row>
    <row r="75" spans="1:17" ht="12.75">
      <c r="A75" s="306"/>
      <c r="B75" s="306"/>
      <c r="C75" s="306"/>
      <c r="D75" s="306"/>
      <c r="E75" s="306"/>
      <c r="F75" s="306"/>
      <c r="I75" s="317">
        <v>60</v>
      </c>
      <c r="J75" s="318" t="s">
        <v>2523</v>
      </c>
      <c r="K75" s="318" t="s">
        <v>2703</v>
      </c>
      <c r="L75" s="318">
        <v>12013581</v>
      </c>
      <c r="M75" s="318" t="s">
        <v>140</v>
      </c>
      <c r="N75" s="318" t="s">
        <v>1713</v>
      </c>
      <c r="O75" s="319">
        <v>6825</v>
      </c>
      <c r="P75" s="318" t="s">
        <v>1730</v>
      </c>
      <c r="Q75" s="319">
        <v>10780</v>
      </c>
    </row>
    <row r="76" spans="1:17" ht="12.75">
      <c r="A76" s="306"/>
      <c r="B76" s="306"/>
      <c r="C76" s="306"/>
      <c r="D76" s="306"/>
      <c r="E76" s="306"/>
      <c r="F76" s="306"/>
      <c r="I76" s="317">
        <v>61</v>
      </c>
      <c r="J76" s="318" t="s">
        <v>2520</v>
      </c>
      <c r="K76" s="318" t="s">
        <v>2591</v>
      </c>
      <c r="L76" s="318">
        <v>12012449</v>
      </c>
      <c r="M76" s="318" t="s">
        <v>2592</v>
      </c>
      <c r="N76" s="318" t="s">
        <v>1711</v>
      </c>
      <c r="O76" s="319">
        <v>7135</v>
      </c>
      <c r="P76" s="318" t="s">
        <v>1727</v>
      </c>
      <c r="Q76" s="319">
        <v>12285</v>
      </c>
    </row>
    <row r="77" spans="1:17" ht="12.75">
      <c r="A77" s="306"/>
      <c r="B77" s="306"/>
      <c r="C77" s="306"/>
      <c r="D77" s="306"/>
      <c r="E77" s="306"/>
      <c r="F77" s="306"/>
      <c r="I77" s="317">
        <v>62</v>
      </c>
      <c r="J77" s="318" t="s">
        <v>2523</v>
      </c>
      <c r="K77" s="318" t="s">
        <v>2704</v>
      </c>
      <c r="L77" s="318">
        <v>12013578</v>
      </c>
      <c r="M77" s="318" t="s">
        <v>2705</v>
      </c>
      <c r="N77" s="318" t="s">
        <v>1713</v>
      </c>
      <c r="O77" s="319">
        <v>6825</v>
      </c>
      <c r="P77" s="318" t="s">
        <v>1730</v>
      </c>
      <c r="Q77" s="319">
        <v>10780</v>
      </c>
    </row>
    <row r="78" spans="1:17" ht="12.75">
      <c r="A78" s="306"/>
      <c r="B78" s="306"/>
      <c r="C78" s="306"/>
      <c r="D78" s="306"/>
      <c r="E78" s="306"/>
      <c r="F78" s="306"/>
      <c r="I78" s="317">
        <v>63</v>
      </c>
      <c r="J78" s="318" t="s">
        <v>2565</v>
      </c>
      <c r="K78" s="318" t="s">
        <v>2706</v>
      </c>
      <c r="L78" s="318">
        <v>12013558</v>
      </c>
      <c r="M78" s="318" t="s">
        <v>2707</v>
      </c>
      <c r="N78" s="318" t="s">
        <v>1754</v>
      </c>
      <c r="O78" s="319">
        <v>3585</v>
      </c>
      <c r="P78" s="318" t="s">
        <v>453</v>
      </c>
      <c r="Q78" s="318" t="s">
        <v>453</v>
      </c>
    </row>
    <row r="79" spans="1:17" ht="12.75">
      <c r="A79" s="306"/>
      <c r="B79" s="306"/>
      <c r="C79" s="306"/>
      <c r="D79" s="306"/>
      <c r="E79" s="306"/>
      <c r="F79" s="306"/>
      <c r="I79" s="317"/>
      <c r="J79" s="318"/>
      <c r="K79" s="318"/>
      <c r="L79" s="318"/>
      <c r="M79" s="318"/>
      <c r="N79" s="318" t="s">
        <v>2570</v>
      </c>
      <c r="O79" s="319">
        <v>5130</v>
      </c>
      <c r="P79" s="318" t="s">
        <v>453</v>
      </c>
      <c r="Q79" s="318" t="s">
        <v>453</v>
      </c>
    </row>
    <row r="80" spans="1:17" ht="12.75">
      <c r="A80" s="306"/>
      <c r="B80" s="306"/>
      <c r="C80" s="306"/>
      <c r="D80" s="306"/>
      <c r="E80" s="306"/>
      <c r="F80" s="306"/>
      <c r="I80" s="317"/>
      <c r="J80" s="318"/>
      <c r="K80" s="318"/>
      <c r="L80" s="318"/>
      <c r="M80" s="318"/>
      <c r="N80" s="318" t="s">
        <v>2572</v>
      </c>
      <c r="O80" s="319">
        <v>5130</v>
      </c>
      <c r="P80" s="318" t="s">
        <v>453</v>
      </c>
      <c r="Q80" s="318" t="s">
        <v>453</v>
      </c>
    </row>
    <row r="81" spans="1:17" ht="12.75">
      <c r="A81" s="306"/>
      <c r="B81" s="306"/>
      <c r="C81" s="306"/>
      <c r="D81" s="306"/>
      <c r="E81" s="306"/>
      <c r="F81" s="306"/>
      <c r="I81" s="317"/>
      <c r="J81" s="318"/>
      <c r="K81" s="318"/>
      <c r="L81" s="318"/>
      <c r="M81" s="318"/>
      <c r="N81" s="318" t="s">
        <v>2575</v>
      </c>
      <c r="O81" s="319">
        <v>5130</v>
      </c>
      <c r="P81" s="318" t="s">
        <v>453</v>
      </c>
      <c r="Q81" s="318" t="s">
        <v>453</v>
      </c>
    </row>
    <row r="82" spans="1:17" ht="12.75">
      <c r="A82" s="306"/>
      <c r="B82" s="306"/>
      <c r="C82" s="306"/>
      <c r="D82" s="306"/>
      <c r="E82" s="306"/>
      <c r="F82" s="306"/>
      <c r="I82" s="317">
        <v>64</v>
      </c>
      <c r="J82" s="318" t="s">
        <v>2520</v>
      </c>
      <c r="K82" s="318" t="s">
        <v>2560</v>
      </c>
      <c r="L82" s="318">
        <v>12012266</v>
      </c>
      <c r="M82" s="318" t="s">
        <v>2561</v>
      </c>
      <c r="N82" s="318" t="s">
        <v>1711</v>
      </c>
      <c r="O82" s="319">
        <v>7135</v>
      </c>
      <c r="P82" s="318" t="s">
        <v>1727</v>
      </c>
      <c r="Q82" s="319">
        <v>12285</v>
      </c>
    </row>
    <row r="83" spans="1:17" ht="12.75">
      <c r="A83" s="306"/>
      <c r="B83" s="306"/>
      <c r="C83" s="306"/>
      <c r="D83" s="306"/>
      <c r="E83" s="306"/>
      <c r="F83" s="306"/>
      <c r="I83" s="317">
        <v>65</v>
      </c>
      <c r="J83" s="318" t="s">
        <v>2520</v>
      </c>
      <c r="K83" s="318" t="s">
        <v>2594</v>
      </c>
      <c r="L83" s="318">
        <v>12012465</v>
      </c>
      <c r="M83" s="318" t="s">
        <v>2708</v>
      </c>
      <c r="N83" s="318" t="s">
        <v>1711</v>
      </c>
      <c r="O83" s="319">
        <v>7135</v>
      </c>
      <c r="P83" s="318" t="s">
        <v>1727</v>
      </c>
      <c r="Q83" s="319">
        <v>12285</v>
      </c>
    </row>
    <row r="84" spans="1:17" ht="12.75">
      <c r="A84" s="306"/>
      <c r="B84" s="306"/>
      <c r="C84" s="306"/>
      <c r="D84" s="306"/>
      <c r="E84" s="306"/>
      <c r="F84" s="306"/>
      <c r="I84" s="317">
        <v>66</v>
      </c>
      <c r="J84" s="318" t="s">
        <v>2523</v>
      </c>
      <c r="K84" s="318" t="s">
        <v>2709</v>
      </c>
      <c r="L84" s="318">
        <v>12013566</v>
      </c>
      <c r="M84" s="318" t="s">
        <v>2708</v>
      </c>
      <c r="N84" s="318" t="s">
        <v>1713</v>
      </c>
      <c r="O84" s="319">
        <v>6825</v>
      </c>
      <c r="P84" s="318" t="s">
        <v>1730</v>
      </c>
      <c r="Q84" s="319">
        <v>10780</v>
      </c>
    </row>
    <row r="85" spans="1:17" ht="12.75">
      <c r="A85" s="306"/>
      <c r="B85" s="306"/>
      <c r="C85" s="306"/>
      <c r="D85" s="306"/>
      <c r="E85" s="306"/>
      <c r="F85" s="306"/>
      <c r="I85" s="317">
        <v>67</v>
      </c>
      <c r="J85" s="318" t="s">
        <v>2537</v>
      </c>
      <c r="K85" s="318" t="s">
        <v>2625</v>
      </c>
      <c r="L85" s="318">
        <v>12012824</v>
      </c>
      <c r="M85" s="318" t="s">
        <v>2710</v>
      </c>
      <c r="N85" s="318" t="s">
        <v>1715</v>
      </c>
      <c r="O85" s="319">
        <v>7410</v>
      </c>
      <c r="P85" s="318" t="s">
        <v>1733</v>
      </c>
      <c r="Q85" s="319">
        <v>12348</v>
      </c>
    </row>
    <row r="86" spans="1:17" ht="12.75">
      <c r="A86" s="306"/>
      <c r="B86" s="306"/>
      <c r="C86" s="306"/>
      <c r="D86" s="306"/>
      <c r="E86" s="306"/>
      <c r="F86" s="306"/>
      <c r="I86" s="317">
        <v>68</v>
      </c>
      <c r="J86" s="318" t="s">
        <v>2543</v>
      </c>
      <c r="K86" s="318" t="s">
        <v>2631</v>
      </c>
      <c r="L86" s="318">
        <v>12013015</v>
      </c>
      <c r="M86" s="318" t="s">
        <v>2710</v>
      </c>
      <c r="N86" s="318" t="s">
        <v>1718</v>
      </c>
      <c r="O86" s="319">
        <v>8600</v>
      </c>
      <c r="P86" s="318" t="s">
        <v>1738</v>
      </c>
      <c r="Q86" s="319">
        <v>18900</v>
      </c>
    </row>
    <row r="87" spans="1:17" ht="12.75">
      <c r="A87" s="306"/>
      <c r="B87" s="306"/>
      <c r="C87" s="306"/>
      <c r="D87" s="306"/>
      <c r="E87" s="306"/>
      <c r="F87" s="306"/>
      <c r="I87" s="317">
        <v>69</v>
      </c>
      <c r="J87" s="318" t="s">
        <v>2520</v>
      </c>
      <c r="K87" s="318" t="s">
        <v>2568</v>
      </c>
      <c r="L87" s="318">
        <v>12012331</v>
      </c>
      <c r="M87" s="318" t="s">
        <v>2711</v>
      </c>
      <c r="N87" s="318" t="s">
        <v>1711</v>
      </c>
      <c r="O87" s="319">
        <v>7135</v>
      </c>
      <c r="P87" s="318" t="s">
        <v>1727</v>
      </c>
      <c r="Q87" s="319">
        <v>12285</v>
      </c>
    </row>
    <row r="88" spans="1:17" ht="12.75">
      <c r="A88" s="306"/>
      <c r="B88" s="306"/>
      <c r="C88" s="306"/>
      <c r="D88" s="306"/>
      <c r="E88" s="306"/>
      <c r="F88" s="306"/>
      <c r="I88" s="317">
        <v>70</v>
      </c>
      <c r="J88" s="318" t="s">
        <v>2537</v>
      </c>
      <c r="K88" s="318" t="s">
        <v>2712</v>
      </c>
      <c r="L88" s="318">
        <v>12013422</v>
      </c>
      <c r="M88" s="318" t="s">
        <v>2713</v>
      </c>
      <c r="N88" s="318" t="s">
        <v>1715</v>
      </c>
      <c r="O88" s="319">
        <v>7410</v>
      </c>
      <c r="P88" s="318" t="s">
        <v>1733</v>
      </c>
      <c r="Q88" s="319">
        <v>12348</v>
      </c>
    </row>
    <row r="89" spans="1:17" ht="12.75">
      <c r="A89" s="306"/>
      <c r="B89" s="306"/>
      <c r="C89" s="306"/>
      <c r="D89" s="306"/>
      <c r="E89" s="306"/>
      <c r="F89" s="306"/>
      <c r="I89" s="317">
        <v>71</v>
      </c>
      <c r="J89" s="318" t="s">
        <v>2517</v>
      </c>
      <c r="K89" s="318" t="s">
        <v>2714</v>
      </c>
      <c r="L89" s="318">
        <v>12012831</v>
      </c>
      <c r="M89" s="318" t="s">
        <v>2713</v>
      </c>
      <c r="N89" s="318" t="s">
        <v>1723</v>
      </c>
      <c r="O89" s="319">
        <v>9700</v>
      </c>
      <c r="P89" s="318" t="s">
        <v>1746</v>
      </c>
      <c r="Q89" s="319">
        <v>36960</v>
      </c>
    </row>
    <row r="90" spans="1:17" ht="12.75">
      <c r="A90" s="306"/>
      <c r="B90" s="306"/>
      <c r="C90" s="306"/>
      <c r="D90" s="306"/>
      <c r="E90" s="306"/>
      <c r="F90" s="306"/>
      <c r="I90" s="317">
        <v>72</v>
      </c>
      <c r="J90" s="318" t="s">
        <v>2517</v>
      </c>
      <c r="K90" s="318" t="s">
        <v>2715</v>
      </c>
      <c r="L90" s="318">
        <v>12013424</v>
      </c>
      <c r="M90" s="318" t="s">
        <v>2713</v>
      </c>
      <c r="N90" s="318" t="s">
        <v>1723</v>
      </c>
      <c r="O90" s="319">
        <v>9700</v>
      </c>
      <c r="P90" s="318" t="s">
        <v>1746</v>
      </c>
      <c r="Q90" s="319">
        <v>36960</v>
      </c>
    </row>
    <row r="91" spans="1:17" ht="12.75">
      <c r="A91" s="306"/>
      <c r="B91" s="306"/>
      <c r="C91" s="306"/>
      <c r="D91" s="306"/>
      <c r="E91" s="306"/>
      <c r="F91" s="306"/>
      <c r="I91" s="317">
        <v>73</v>
      </c>
      <c r="J91" s="318" t="s">
        <v>2565</v>
      </c>
      <c r="K91" s="318" t="s">
        <v>2716</v>
      </c>
      <c r="L91" s="318">
        <v>12013554</v>
      </c>
      <c r="M91" s="318" t="s">
        <v>2713</v>
      </c>
      <c r="N91" s="318" t="s">
        <v>1754</v>
      </c>
      <c r="O91" s="319">
        <v>3585</v>
      </c>
      <c r="P91" s="318" t="s">
        <v>453</v>
      </c>
      <c r="Q91" s="318" t="s">
        <v>453</v>
      </c>
    </row>
    <row r="92" spans="1:17" ht="12.75">
      <c r="A92" s="306"/>
      <c r="B92" s="306"/>
      <c r="C92" s="306"/>
      <c r="D92" s="306"/>
      <c r="E92" s="306"/>
      <c r="F92" s="306"/>
      <c r="I92" s="317"/>
      <c r="J92" s="318"/>
      <c r="K92" s="318"/>
      <c r="L92" s="318"/>
      <c r="M92" s="318"/>
      <c r="N92" s="318" t="s">
        <v>2570</v>
      </c>
      <c r="O92" s="319">
        <v>5130</v>
      </c>
      <c r="P92" s="318" t="s">
        <v>453</v>
      </c>
      <c r="Q92" s="318" t="s">
        <v>453</v>
      </c>
    </row>
    <row r="93" spans="1:17" ht="12.75">
      <c r="A93" s="306"/>
      <c r="B93" s="306"/>
      <c r="C93" s="306"/>
      <c r="D93" s="306"/>
      <c r="E93" s="306"/>
      <c r="F93" s="306"/>
      <c r="I93" s="317"/>
      <c r="J93" s="318"/>
      <c r="K93" s="318"/>
      <c r="L93" s="318"/>
      <c r="M93" s="318"/>
      <c r="N93" s="318" t="s">
        <v>2572</v>
      </c>
      <c r="O93" s="319">
        <v>5130</v>
      </c>
      <c r="P93" s="318" t="s">
        <v>453</v>
      </c>
      <c r="Q93" s="318" t="s">
        <v>453</v>
      </c>
    </row>
    <row r="94" spans="1:17" ht="12.75">
      <c r="A94" s="306"/>
      <c r="B94" s="306"/>
      <c r="C94" s="306"/>
      <c r="D94" s="306"/>
      <c r="E94" s="306"/>
      <c r="F94" s="306"/>
      <c r="I94" s="317"/>
      <c r="J94" s="318"/>
      <c r="K94" s="318"/>
      <c r="L94" s="318"/>
      <c r="M94" s="318"/>
      <c r="N94" s="318" t="s">
        <v>2575</v>
      </c>
      <c r="O94" s="319">
        <v>5130</v>
      </c>
      <c r="P94" s="318" t="s">
        <v>453</v>
      </c>
      <c r="Q94" s="318" t="s">
        <v>453</v>
      </c>
    </row>
    <row r="95" spans="1:17" ht="12.75">
      <c r="A95" s="306"/>
      <c r="B95" s="306"/>
      <c r="C95" s="306"/>
      <c r="D95" s="306"/>
      <c r="E95" s="306"/>
      <c r="F95" s="306"/>
      <c r="I95" s="317">
        <v>74</v>
      </c>
      <c r="J95" s="318" t="s">
        <v>2532</v>
      </c>
      <c r="K95" s="318" t="s">
        <v>2717</v>
      </c>
      <c r="L95" s="318">
        <v>12013020</v>
      </c>
      <c r="M95" s="318" t="s">
        <v>2718</v>
      </c>
      <c r="N95" s="318" t="s">
        <v>605</v>
      </c>
      <c r="O95" s="319">
        <v>9375</v>
      </c>
      <c r="P95" s="318" t="s">
        <v>1749</v>
      </c>
      <c r="Q95" s="319">
        <v>64785</v>
      </c>
    </row>
    <row r="96" spans="1:17" ht="12.75">
      <c r="A96" s="306"/>
      <c r="B96" s="306"/>
      <c r="C96" s="306"/>
      <c r="D96" s="306"/>
      <c r="E96" s="306"/>
      <c r="F96" s="306"/>
      <c r="I96" s="317">
        <v>75</v>
      </c>
      <c r="J96" s="318" t="s">
        <v>2520</v>
      </c>
      <c r="K96" s="318" t="s">
        <v>2596</v>
      </c>
      <c r="L96" s="318">
        <v>12012466</v>
      </c>
      <c r="M96" s="318" t="s">
        <v>2719</v>
      </c>
      <c r="N96" s="318" t="s">
        <v>1711</v>
      </c>
      <c r="O96" s="319">
        <v>7135</v>
      </c>
      <c r="P96" s="318" t="s">
        <v>1727</v>
      </c>
      <c r="Q96" s="319">
        <v>12285</v>
      </c>
    </row>
    <row r="97" spans="1:17" ht="12.75">
      <c r="A97" s="306"/>
      <c r="B97" s="306"/>
      <c r="C97" s="306"/>
      <c r="D97" s="306"/>
      <c r="E97" s="306"/>
      <c r="F97" s="306"/>
      <c r="I97" s="317">
        <v>76</v>
      </c>
      <c r="J97" s="318" t="s">
        <v>2523</v>
      </c>
      <c r="K97" s="318" t="s">
        <v>2720</v>
      </c>
      <c r="L97" s="318">
        <v>12013583</v>
      </c>
      <c r="M97" s="318" t="s">
        <v>180</v>
      </c>
      <c r="N97" s="318" t="s">
        <v>1713</v>
      </c>
      <c r="O97" s="319">
        <v>6825</v>
      </c>
      <c r="P97" s="318" t="s">
        <v>1730</v>
      </c>
      <c r="Q97" s="319">
        <v>10780</v>
      </c>
    </row>
    <row r="98" spans="1:17" ht="12.75">
      <c r="A98" s="306"/>
      <c r="B98" s="306"/>
      <c r="C98" s="306"/>
      <c r="D98" s="306"/>
      <c r="E98" s="306"/>
      <c r="F98" s="306"/>
      <c r="I98" s="317">
        <v>77</v>
      </c>
      <c r="J98" s="318" t="s">
        <v>2523</v>
      </c>
      <c r="K98" s="318" t="s">
        <v>2721</v>
      </c>
      <c r="L98" s="318">
        <v>12013508</v>
      </c>
      <c r="M98" s="318" t="s">
        <v>2722</v>
      </c>
      <c r="N98" s="318" t="s">
        <v>1713</v>
      </c>
      <c r="O98" s="319">
        <v>6825</v>
      </c>
      <c r="P98" s="318" t="s">
        <v>1730</v>
      </c>
      <c r="Q98" s="319">
        <v>10780</v>
      </c>
    </row>
    <row r="99" spans="1:17" ht="12.75">
      <c r="A99" s="306"/>
      <c r="B99" s="306"/>
      <c r="C99" s="306"/>
      <c r="D99" s="306"/>
      <c r="E99" s="306"/>
      <c r="F99" s="306"/>
      <c r="I99" s="317">
        <v>78</v>
      </c>
      <c r="J99" s="318" t="s">
        <v>2523</v>
      </c>
      <c r="K99" s="318" t="s">
        <v>2723</v>
      </c>
      <c r="L99" s="318">
        <v>12013500</v>
      </c>
      <c r="M99" s="318" t="s">
        <v>2724</v>
      </c>
      <c r="N99" s="318" t="s">
        <v>1713</v>
      </c>
      <c r="O99" s="319">
        <v>6825</v>
      </c>
      <c r="P99" s="318" t="s">
        <v>1730</v>
      </c>
      <c r="Q99" s="319">
        <v>10780</v>
      </c>
    </row>
    <row r="100" spans="1:17" ht="12.75">
      <c r="A100" s="306"/>
      <c r="B100" s="306"/>
      <c r="C100" s="306"/>
      <c r="D100" s="306"/>
      <c r="E100" s="306"/>
      <c r="F100" s="306"/>
      <c r="I100" s="317">
        <v>79</v>
      </c>
      <c r="J100" s="318" t="s">
        <v>2523</v>
      </c>
      <c r="K100" s="318" t="s">
        <v>2725</v>
      </c>
      <c r="L100" s="318">
        <v>12013587</v>
      </c>
      <c r="M100" s="318" t="s">
        <v>2726</v>
      </c>
      <c r="N100" s="318" t="s">
        <v>1713</v>
      </c>
      <c r="O100" s="319">
        <v>6825</v>
      </c>
      <c r="P100" s="318" t="s">
        <v>1730</v>
      </c>
      <c r="Q100" s="319">
        <v>10780</v>
      </c>
    </row>
    <row r="101" spans="1:17" ht="12.75">
      <c r="A101" s="306"/>
      <c r="B101" s="306"/>
      <c r="C101" s="306"/>
      <c r="D101" s="306"/>
      <c r="E101" s="306"/>
      <c r="F101" s="306"/>
      <c r="I101" s="317">
        <v>80</v>
      </c>
      <c r="J101" s="318" t="s">
        <v>2598</v>
      </c>
      <c r="K101" s="318" t="s">
        <v>2599</v>
      </c>
      <c r="L101" s="318">
        <v>12012599</v>
      </c>
      <c r="M101" s="318" t="s">
        <v>2727</v>
      </c>
      <c r="N101" s="318" t="s">
        <v>1715</v>
      </c>
      <c r="O101" s="319">
        <v>7410</v>
      </c>
      <c r="P101" s="318" t="s">
        <v>1733</v>
      </c>
      <c r="Q101" s="319">
        <v>12348</v>
      </c>
    </row>
    <row r="102" spans="1:17" ht="12.75">
      <c r="A102" s="306"/>
      <c r="B102" s="306"/>
      <c r="C102" s="306"/>
      <c r="D102" s="306"/>
      <c r="E102" s="306"/>
      <c r="F102" s="306"/>
      <c r="I102" s="317">
        <v>81</v>
      </c>
      <c r="J102" s="318" t="s">
        <v>2537</v>
      </c>
      <c r="K102" s="318" t="s">
        <v>2728</v>
      </c>
      <c r="L102" s="318">
        <v>12013488</v>
      </c>
      <c r="M102" s="318" t="s">
        <v>2729</v>
      </c>
      <c r="N102" s="318" t="s">
        <v>1715</v>
      </c>
      <c r="O102" s="319">
        <v>7410</v>
      </c>
      <c r="P102" s="318" t="s">
        <v>1733</v>
      </c>
      <c r="Q102" s="319">
        <v>12348</v>
      </c>
    </row>
    <row r="103" spans="1:17" ht="12.75">
      <c r="A103" s="306"/>
      <c r="B103" s="306"/>
      <c r="C103" s="306"/>
      <c r="D103" s="306"/>
      <c r="E103" s="306"/>
      <c r="F103" s="306"/>
      <c r="I103" s="317">
        <v>82</v>
      </c>
      <c r="J103" s="318" t="s">
        <v>2598</v>
      </c>
      <c r="K103" s="318" t="s">
        <v>2730</v>
      </c>
      <c r="L103" s="318">
        <v>12013304</v>
      </c>
      <c r="M103" s="318" t="s">
        <v>2729</v>
      </c>
      <c r="N103" s="318" t="s">
        <v>1715</v>
      </c>
      <c r="O103" s="319">
        <v>7410</v>
      </c>
      <c r="P103" s="318" t="s">
        <v>1733</v>
      </c>
      <c r="Q103" s="319">
        <v>12348</v>
      </c>
    </row>
    <row r="104" spans="1:17" ht="12.75">
      <c r="A104" s="306"/>
      <c r="B104" s="306"/>
      <c r="C104" s="306"/>
      <c r="D104" s="306"/>
      <c r="E104" s="306"/>
      <c r="F104" s="306"/>
      <c r="I104" s="317">
        <v>83</v>
      </c>
      <c r="J104" s="318" t="s">
        <v>2598</v>
      </c>
      <c r="K104" s="318" t="s">
        <v>2731</v>
      </c>
      <c r="L104" s="318">
        <v>12013342</v>
      </c>
      <c r="M104" s="318" t="s">
        <v>2729</v>
      </c>
      <c r="N104" s="318" t="s">
        <v>1715</v>
      </c>
      <c r="O104" s="319">
        <v>7410</v>
      </c>
      <c r="P104" s="318" t="s">
        <v>1733</v>
      </c>
      <c r="Q104" s="319">
        <v>12348</v>
      </c>
    </row>
    <row r="105" spans="1:17" ht="12.75">
      <c r="A105" s="306"/>
      <c r="B105" s="306"/>
      <c r="C105" s="306"/>
      <c r="D105" s="306"/>
      <c r="E105" s="306"/>
      <c r="F105" s="306"/>
      <c r="I105" s="317">
        <v>84</v>
      </c>
      <c r="J105" s="318" t="s">
        <v>2732</v>
      </c>
      <c r="K105" s="318" t="s">
        <v>2733</v>
      </c>
      <c r="L105" s="318">
        <v>12013418</v>
      </c>
      <c r="M105" s="318" t="s">
        <v>2729</v>
      </c>
      <c r="N105" s="318" t="s">
        <v>1718</v>
      </c>
      <c r="O105" s="319">
        <v>8600</v>
      </c>
      <c r="P105" s="318" t="s">
        <v>1738</v>
      </c>
      <c r="Q105" s="319">
        <v>18900</v>
      </c>
    </row>
    <row r="106" spans="1:17" ht="12.75">
      <c r="A106" s="306"/>
      <c r="B106" s="306"/>
      <c r="C106" s="306"/>
      <c r="D106" s="306"/>
      <c r="E106" s="306"/>
      <c r="F106" s="306"/>
      <c r="I106" s="317">
        <v>85</v>
      </c>
      <c r="J106" s="318" t="s">
        <v>2732</v>
      </c>
      <c r="K106" s="318" t="s">
        <v>2734</v>
      </c>
      <c r="L106" s="318">
        <v>12013420</v>
      </c>
      <c r="M106" s="318" t="s">
        <v>2729</v>
      </c>
      <c r="N106" s="318" t="s">
        <v>1718</v>
      </c>
      <c r="O106" s="319">
        <v>8600</v>
      </c>
      <c r="P106" s="318" t="s">
        <v>1738</v>
      </c>
      <c r="Q106" s="319">
        <v>18900</v>
      </c>
    </row>
    <row r="107" spans="1:17" ht="12.75">
      <c r="A107" s="306"/>
      <c r="B107" s="306"/>
      <c r="C107" s="306"/>
      <c r="D107" s="306"/>
      <c r="E107" s="306"/>
      <c r="F107" s="306"/>
      <c r="I107" s="317">
        <v>86</v>
      </c>
      <c r="J107" s="318" t="s">
        <v>2732</v>
      </c>
      <c r="K107" s="318" t="s">
        <v>2735</v>
      </c>
      <c r="L107" s="318">
        <v>12013421</v>
      </c>
      <c r="M107" s="318" t="s">
        <v>2729</v>
      </c>
      <c r="N107" s="318" t="s">
        <v>1718</v>
      </c>
      <c r="O107" s="319">
        <v>8600</v>
      </c>
      <c r="P107" s="318" t="s">
        <v>1738</v>
      </c>
      <c r="Q107" s="319">
        <v>18900</v>
      </c>
    </row>
    <row r="108" spans="1:17" ht="12.75">
      <c r="A108" s="306"/>
      <c r="B108" s="306"/>
      <c r="C108" s="306"/>
      <c r="D108" s="306"/>
      <c r="E108" s="306"/>
      <c r="F108" s="306"/>
      <c r="I108" s="317">
        <v>87</v>
      </c>
      <c r="J108" s="318" t="s">
        <v>2732</v>
      </c>
      <c r="K108" s="318" t="s">
        <v>2736</v>
      </c>
      <c r="L108" s="318">
        <v>12013417</v>
      </c>
      <c r="M108" s="318" t="s">
        <v>2729</v>
      </c>
      <c r="N108" s="318" t="s">
        <v>1718</v>
      </c>
      <c r="O108" s="319">
        <v>8600</v>
      </c>
      <c r="P108" s="318" t="s">
        <v>1738</v>
      </c>
      <c r="Q108" s="319">
        <v>18900</v>
      </c>
    </row>
    <row r="109" spans="1:17" ht="12.75">
      <c r="A109" s="306"/>
      <c r="B109" s="306"/>
      <c r="C109" s="306"/>
      <c r="D109" s="306"/>
      <c r="E109" s="306"/>
      <c r="F109" s="306"/>
      <c r="I109" s="317">
        <v>88</v>
      </c>
      <c r="J109" s="318" t="s">
        <v>2732</v>
      </c>
      <c r="K109" s="318" t="s">
        <v>2737</v>
      </c>
      <c r="L109" s="318">
        <v>12013419</v>
      </c>
      <c r="M109" s="318" t="s">
        <v>2729</v>
      </c>
      <c r="N109" s="318" t="s">
        <v>1718</v>
      </c>
      <c r="O109" s="319">
        <v>8600</v>
      </c>
      <c r="P109" s="318" t="s">
        <v>1738</v>
      </c>
      <c r="Q109" s="319">
        <v>18900</v>
      </c>
    </row>
    <row r="110" spans="1:17" ht="12.75">
      <c r="A110" s="306"/>
      <c r="B110" s="306"/>
      <c r="C110" s="306"/>
      <c r="D110" s="306"/>
      <c r="E110" s="306"/>
      <c r="F110" s="306"/>
      <c r="I110" s="317">
        <v>89</v>
      </c>
      <c r="J110" s="318" t="s">
        <v>2543</v>
      </c>
      <c r="K110" s="318" t="s">
        <v>2636</v>
      </c>
      <c r="L110" s="318">
        <v>12013018</v>
      </c>
      <c r="M110" s="318" t="s">
        <v>2729</v>
      </c>
      <c r="N110" s="318" t="s">
        <v>1718</v>
      </c>
      <c r="O110" s="319">
        <v>8600</v>
      </c>
      <c r="P110" s="318" t="s">
        <v>1738</v>
      </c>
      <c r="Q110" s="319">
        <v>18900</v>
      </c>
    </row>
    <row r="111" spans="1:17" ht="12.75">
      <c r="A111" s="306"/>
      <c r="B111" s="306"/>
      <c r="C111" s="306"/>
      <c r="D111" s="306"/>
      <c r="E111" s="306"/>
      <c r="F111" s="306"/>
      <c r="I111" s="317">
        <v>90</v>
      </c>
      <c r="J111" s="318" t="s">
        <v>2543</v>
      </c>
      <c r="K111" s="318" t="s">
        <v>2633</v>
      </c>
      <c r="L111" s="318">
        <v>12013017</v>
      </c>
      <c r="M111" s="318" t="s">
        <v>2729</v>
      </c>
      <c r="N111" s="318" t="s">
        <v>1718</v>
      </c>
      <c r="O111" s="319">
        <v>8600</v>
      </c>
      <c r="P111" s="318" t="s">
        <v>1738</v>
      </c>
      <c r="Q111" s="319">
        <v>18900</v>
      </c>
    </row>
    <row r="112" spans="1:17" ht="12.75">
      <c r="A112" s="306"/>
      <c r="B112" s="306"/>
      <c r="C112" s="306"/>
      <c r="D112" s="306"/>
      <c r="E112" s="306"/>
      <c r="F112" s="306"/>
      <c r="I112" s="317">
        <v>91</v>
      </c>
      <c r="J112" s="318" t="s">
        <v>2517</v>
      </c>
      <c r="K112" s="318" t="s">
        <v>2623</v>
      </c>
      <c r="L112" s="318">
        <v>12012770</v>
      </c>
      <c r="M112" s="318" t="s">
        <v>2729</v>
      </c>
      <c r="N112" s="318" t="s">
        <v>1723</v>
      </c>
      <c r="O112" s="319">
        <v>9700</v>
      </c>
      <c r="P112" s="318" t="s">
        <v>1746</v>
      </c>
      <c r="Q112" s="319">
        <v>36960</v>
      </c>
    </row>
    <row r="113" spans="1:17" ht="12.75">
      <c r="A113" s="306"/>
      <c r="B113" s="306"/>
      <c r="C113" s="306"/>
      <c r="D113" s="306"/>
      <c r="E113" s="306"/>
      <c r="F113" s="306"/>
      <c r="I113" s="317">
        <v>92</v>
      </c>
      <c r="J113" s="318" t="s">
        <v>2517</v>
      </c>
      <c r="K113" s="318" t="s">
        <v>2646</v>
      </c>
      <c r="L113" s="318">
        <v>12013200</v>
      </c>
      <c r="M113" s="318" t="s">
        <v>2729</v>
      </c>
      <c r="N113" s="318" t="s">
        <v>1723</v>
      </c>
      <c r="O113" s="319">
        <v>9700</v>
      </c>
      <c r="P113" s="318" t="s">
        <v>1746</v>
      </c>
      <c r="Q113" s="319">
        <v>36960</v>
      </c>
    </row>
    <row r="114" spans="1:17" ht="12.75">
      <c r="A114" s="306"/>
      <c r="B114" s="306"/>
      <c r="C114" s="306"/>
      <c r="D114" s="306"/>
      <c r="E114" s="306"/>
      <c r="F114" s="306"/>
      <c r="I114" s="317">
        <v>93</v>
      </c>
      <c r="J114" s="318" t="s">
        <v>2517</v>
      </c>
      <c r="K114" s="318" t="s">
        <v>2649</v>
      </c>
      <c r="L114" s="318">
        <v>12013201</v>
      </c>
      <c r="M114" s="318" t="s">
        <v>2729</v>
      </c>
      <c r="N114" s="318" t="s">
        <v>1723</v>
      </c>
      <c r="O114" s="319">
        <v>9700</v>
      </c>
      <c r="P114" s="318" t="s">
        <v>1746</v>
      </c>
      <c r="Q114" s="319">
        <v>36960</v>
      </c>
    </row>
    <row r="115" spans="1:17" ht="12.75">
      <c r="A115" s="306"/>
      <c r="B115" s="306"/>
      <c r="C115" s="306"/>
      <c r="D115" s="306"/>
      <c r="E115" s="306"/>
      <c r="F115" s="306"/>
      <c r="I115" s="317">
        <v>94</v>
      </c>
      <c r="J115" s="318" t="s">
        <v>2517</v>
      </c>
      <c r="K115" s="318" t="s">
        <v>2644</v>
      </c>
      <c r="L115" s="318">
        <v>12013197</v>
      </c>
      <c r="M115" s="318" t="s">
        <v>2729</v>
      </c>
      <c r="N115" s="318" t="s">
        <v>1723</v>
      </c>
      <c r="O115" s="319">
        <v>9700</v>
      </c>
      <c r="P115" s="318" t="s">
        <v>1746</v>
      </c>
      <c r="Q115" s="319">
        <v>36960</v>
      </c>
    </row>
    <row r="116" spans="1:17" ht="12.75">
      <c r="A116" s="306"/>
      <c r="B116" s="306"/>
      <c r="C116" s="306"/>
      <c r="D116" s="306"/>
      <c r="E116" s="306"/>
      <c r="F116" s="306"/>
      <c r="I116" s="317">
        <v>95</v>
      </c>
      <c r="J116" s="318" t="s">
        <v>2517</v>
      </c>
      <c r="K116" s="318" t="s">
        <v>2643</v>
      </c>
      <c r="L116" s="318">
        <v>12013196</v>
      </c>
      <c r="M116" s="318" t="s">
        <v>2729</v>
      </c>
      <c r="N116" s="318" t="s">
        <v>1723</v>
      </c>
      <c r="O116" s="319">
        <v>9700</v>
      </c>
      <c r="P116" s="318" t="s">
        <v>1746</v>
      </c>
      <c r="Q116" s="319">
        <v>36960</v>
      </c>
    </row>
    <row r="117" spans="1:17" ht="12.75">
      <c r="A117" s="306"/>
      <c r="B117" s="306"/>
      <c r="C117" s="306"/>
      <c r="D117" s="306"/>
      <c r="E117" s="306"/>
      <c r="F117" s="306"/>
      <c r="I117" s="317">
        <v>96</v>
      </c>
      <c r="J117" s="318" t="s">
        <v>2517</v>
      </c>
      <c r="K117" s="318" t="s">
        <v>2738</v>
      </c>
      <c r="L117" s="318">
        <v>12013491</v>
      </c>
      <c r="M117" s="318" t="s">
        <v>2729</v>
      </c>
      <c r="N117" s="318" t="s">
        <v>1723</v>
      </c>
      <c r="O117" s="319">
        <v>9700</v>
      </c>
      <c r="P117" s="318" t="s">
        <v>1746</v>
      </c>
      <c r="Q117" s="319">
        <v>36960</v>
      </c>
    </row>
    <row r="118" spans="1:17" ht="12.75">
      <c r="A118" s="306"/>
      <c r="B118" s="306"/>
      <c r="C118" s="306"/>
      <c r="D118" s="306"/>
      <c r="E118" s="306"/>
      <c r="F118" s="306"/>
      <c r="I118" s="317">
        <v>97</v>
      </c>
      <c r="J118" s="318" t="s">
        <v>2517</v>
      </c>
      <c r="K118" s="318" t="s">
        <v>2739</v>
      </c>
      <c r="L118" s="318">
        <v>12012830</v>
      </c>
      <c r="M118" s="318" t="s">
        <v>2729</v>
      </c>
      <c r="N118" s="318" t="s">
        <v>1723</v>
      </c>
      <c r="O118" s="319">
        <v>9700</v>
      </c>
      <c r="P118" s="318" t="s">
        <v>1746</v>
      </c>
      <c r="Q118" s="319">
        <v>36960</v>
      </c>
    </row>
    <row r="119" spans="1:17" ht="12.75">
      <c r="A119" s="306"/>
      <c r="B119" s="306"/>
      <c r="C119" s="306"/>
      <c r="D119" s="306"/>
      <c r="E119" s="306"/>
      <c r="F119" s="306"/>
      <c r="I119" s="317">
        <v>98</v>
      </c>
      <c r="J119" s="318" t="s">
        <v>2565</v>
      </c>
      <c r="K119" s="318" t="s">
        <v>2740</v>
      </c>
      <c r="L119" s="318">
        <v>12013490</v>
      </c>
      <c r="M119" s="318" t="s">
        <v>2729</v>
      </c>
      <c r="N119" s="318" t="s">
        <v>1754</v>
      </c>
      <c r="O119" s="319">
        <v>3585</v>
      </c>
      <c r="P119" s="318" t="s">
        <v>453</v>
      </c>
      <c r="Q119" s="318" t="s">
        <v>453</v>
      </c>
    </row>
    <row r="120" spans="1:17" ht="12.75">
      <c r="A120" s="306"/>
      <c r="B120" s="306"/>
      <c r="C120" s="306"/>
      <c r="D120" s="306"/>
      <c r="E120" s="306"/>
      <c r="F120" s="306"/>
      <c r="I120" s="317"/>
      <c r="J120" s="318"/>
      <c r="K120" s="318"/>
      <c r="L120" s="318"/>
      <c r="M120" s="318"/>
      <c r="N120" s="318" t="s">
        <v>2570</v>
      </c>
      <c r="O120" s="319">
        <v>5130</v>
      </c>
      <c r="P120" s="318" t="s">
        <v>453</v>
      </c>
      <c r="Q120" s="318" t="s">
        <v>453</v>
      </c>
    </row>
    <row r="121" spans="1:17" ht="12.75">
      <c r="A121" s="306"/>
      <c r="B121" s="306"/>
      <c r="C121" s="306"/>
      <c r="D121" s="306"/>
      <c r="E121" s="306"/>
      <c r="F121" s="306"/>
      <c r="I121" s="317"/>
      <c r="J121" s="318"/>
      <c r="K121" s="318"/>
      <c r="L121" s="318"/>
      <c r="M121" s="318"/>
      <c r="N121" s="318" t="s">
        <v>2572</v>
      </c>
      <c r="O121" s="319">
        <v>5130</v>
      </c>
      <c r="P121" s="318" t="s">
        <v>453</v>
      </c>
      <c r="Q121" s="318" t="s">
        <v>453</v>
      </c>
    </row>
    <row r="122" spans="1:17" ht="12.75">
      <c r="A122" s="306"/>
      <c r="B122" s="306"/>
      <c r="C122" s="306"/>
      <c r="D122" s="306"/>
      <c r="E122" s="306"/>
      <c r="F122" s="306"/>
      <c r="I122" s="317"/>
      <c r="J122" s="318"/>
      <c r="K122" s="318"/>
      <c r="L122" s="318"/>
      <c r="M122" s="318"/>
      <c r="N122" s="318" t="s">
        <v>2575</v>
      </c>
      <c r="O122" s="319">
        <v>5130</v>
      </c>
      <c r="P122" s="318" t="s">
        <v>453</v>
      </c>
      <c r="Q122" s="318" t="s">
        <v>453</v>
      </c>
    </row>
    <row r="123" spans="1:17" ht="12.75">
      <c r="A123" s="306"/>
      <c r="B123" s="306"/>
      <c r="C123" s="306"/>
      <c r="D123" s="306"/>
      <c r="E123" s="306"/>
      <c r="F123" s="306"/>
      <c r="I123" s="317">
        <v>99</v>
      </c>
      <c r="J123" s="318" t="s">
        <v>2565</v>
      </c>
      <c r="K123" s="318" t="s">
        <v>2741</v>
      </c>
      <c r="L123" s="318">
        <v>12013559</v>
      </c>
      <c r="M123" s="318" t="s">
        <v>2729</v>
      </c>
      <c r="N123" s="318" t="s">
        <v>1754</v>
      </c>
      <c r="O123" s="319">
        <v>3585</v>
      </c>
      <c r="P123" s="318" t="s">
        <v>453</v>
      </c>
      <c r="Q123" s="318" t="s">
        <v>453</v>
      </c>
    </row>
    <row r="124" spans="1:17" ht="12.75">
      <c r="A124" s="306"/>
      <c r="B124" s="306"/>
      <c r="C124" s="306"/>
      <c r="D124" s="306"/>
      <c r="E124" s="306"/>
      <c r="F124" s="306"/>
      <c r="I124" s="317"/>
      <c r="J124" s="318"/>
      <c r="K124" s="318"/>
      <c r="L124" s="318"/>
      <c r="M124" s="318"/>
      <c r="N124" s="318" t="s">
        <v>2570</v>
      </c>
      <c r="O124" s="319">
        <v>5130</v>
      </c>
      <c r="P124" s="318" t="s">
        <v>453</v>
      </c>
      <c r="Q124" s="318" t="s">
        <v>453</v>
      </c>
    </row>
    <row r="125" spans="1:17" ht="12.75">
      <c r="A125" s="306"/>
      <c r="B125" s="306"/>
      <c r="C125" s="306"/>
      <c r="D125" s="306"/>
      <c r="E125" s="306"/>
      <c r="F125" s="306"/>
      <c r="I125" s="317"/>
      <c r="J125" s="318"/>
      <c r="K125" s="318"/>
      <c r="L125" s="318"/>
      <c r="M125" s="318"/>
      <c r="N125" s="318" t="s">
        <v>2572</v>
      </c>
      <c r="O125" s="319">
        <v>5130</v>
      </c>
      <c r="P125" s="318" t="s">
        <v>453</v>
      </c>
      <c r="Q125" s="318" t="s">
        <v>453</v>
      </c>
    </row>
    <row r="126" spans="1:17" ht="12.75">
      <c r="A126" s="306"/>
      <c r="B126" s="306"/>
      <c r="C126" s="306"/>
      <c r="D126" s="306"/>
      <c r="E126" s="306"/>
      <c r="F126" s="306"/>
      <c r="I126" s="317"/>
      <c r="J126" s="318"/>
      <c r="K126" s="318"/>
      <c r="L126" s="318"/>
      <c r="M126" s="318"/>
      <c r="N126" s="318" t="s">
        <v>2575</v>
      </c>
      <c r="O126" s="319">
        <v>5130</v>
      </c>
      <c r="P126" s="318" t="s">
        <v>453</v>
      </c>
      <c r="Q126" s="318" t="s">
        <v>453</v>
      </c>
    </row>
    <row r="127" spans="1:17" ht="12.75">
      <c r="A127" s="306"/>
      <c r="B127" s="306"/>
      <c r="C127" s="306"/>
      <c r="D127" s="306"/>
      <c r="E127" s="306"/>
      <c r="F127" s="306"/>
      <c r="I127" s="317">
        <v>100</v>
      </c>
      <c r="J127" s="318" t="s">
        <v>2565</v>
      </c>
      <c r="K127" s="318" t="s">
        <v>2742</v>
      </c>
      <c r="L127" s="318">
        <v>12013557</v>
      </c>
      <c r="M127" s="318" t="s">
        <v>2729</v>
      </c>
      <c r="N127" s="318" t="s">
        <v>1754</v>
      </c>
      <c r="O127" s="319">
        <v>3585</v>
      </c>
      <c r="P127" s="318" t="s">
        <v>453</v>
      </c>
      <c r="Q127" s="318" t="s">
        <v>453</v>
      </c>
    </row>
    <row r="128" spans="1:17" ht="12.75">
      <c r="A128" s="306"/>
      <c r="B128" s="306"/>
      <c r="C128" s="306"/>
      <c r="D128" s="306"/>
      <c r="E128" s="306"/>
      <c r="F128" s="306"/>
      <c r="I128" s="317"/>
      <c r="J128" s="318"/>
      <c r="K128" s="318"/>
      <c r="L128" s="318"/>
      <c r="M128" s="318"/>
      <c r="N128" s="318" t="s">
        <v>2570</v>
      </c>
      <c r="O128" s="319">
        <v>5130</v>
      </c>
      <c r="P128" s="318" t="s">
        <v>453</v>
      </c>
      <c r="Q128" s="318" t="s">
        <v>453</v>
      </c>
    </row>
    <row r="129" spans="1:17" ht="12.75">
      <c r="A129" s="306"/>
      <c r="B129" s="306"/>
      <c r="C129" s="306"/>
      <c r="D129" s="306"/>
      <c r="E129" s="306"/>
      <c r="F129" s="306"/>
      <c r="I129" s="317"/>
      <c r="J129" s="318"/>
      <c r="K129" s="318"/>
      <c r="L129" s="318"/>
      <c r="M129" s="318"/>
      <c r="N129" s="318" t="s">
        <v>2572</v>
      </c>
      <c r="O129" s="319">
        <v>5130</v>
      </c>
      <c r="P129" s="318" t="s">
        <v>453</v>
      </c>
      <c r="Q129" s="318" t="s">
        <v>453</v>
      </c>
    </row>
    <row r="130" spans="1:17" ht="12.75">
      <c r="A130" s="306"/>
      <c r="B130" s="306"/>
      <c r="C130" s="306"/>
      <c r="D130" s="306"/>
      <c r="E130" s="306"/>
      <c r="F130" s="306"/>
      <c r="I130" s="317"/>
      <c r="J130" s="318"/>
      <c r="K130" s="318"/>
      <c r="L130" s="318"/>
      <c r="M130" s="318"/>
      <c r="N130" s="318" t="s">
        <v>2575</v>
      </c>
      <c r="O130" s="319">
        <v>5130</v>
      </c>
      <c r="P130" s="318" t="s">
        <v>453</v>
      </c>
      <c r="Q130" s="318" t="s">
        <v>453</v>
      </c>
    </row>
    <row r="131" spans="1:17" ht="12.75">
      <c r="A131" s="306"/>
      <c r="B131" s="306"/>
      <c r="C131" s="306"/>
      <c r="D131" s="306"/>
      <c r="E131" s="306"/>
      <c r="F131" s="306"/>
      <c r="I131" s="317">
        <v>101</v>
      </c>
      <c r="J131" s="318" t="s">
        <v>2565</v>
      </c>
      <c r="K131" s="318" t="s">
        <v>2743</v>
      </c>
      <c r="L131" s="318">
        <v>12013556</v>
      </c>
      <c r="M131" s="318" t="s">
        <v>2729</v>
      </c>
      <c r="N131" s="318" t="s">
        <v>1754</v>
      </c>
      <c r="O131" s="319">
        <v>3585</v>
      </c>
      <c r="P131" s="318" t="s">
        <v>453</v>
      </c>
      <c r="Q131" s="318" t="s">
        <v>453</v>
      </c>
    </row>
    <row r="132" spans="1:17" ht="12.75">
      <c r="A132" s="306"/>
      <c r="B132" s="306"/>
      <c r="C132" s="306"/>
      <c r="D132" s="306"/>
      <c r="E132" s="306"/>
      <c r="F132" s="306"/>
      <c r="I132" s="317"/>
      <c r="J132" s="318"/>
      <c r="K132" s="318"/>
      <c r="L132" s="318"/>
      <c r="M132" s="318"/>
      <c r="N132" s="318" t="s">
        <v>2570</v>
      </c>
      <c r="O132" s="319">
        <v>5130</v>
      </c>
      <c r="P132" s="318" t="s">
        <v>453</v>
      </c>
      <c r="Q132" s="318" t="s">
        <v>453</v>
      </c>
    </row>
    <row r="133" spans="1:17" ht="12.75">
      <c r="A133" s="306"/>
      <c r="B133" s="306"/>
      <c r="C133" s="306"/>
      <c r="D133" s="306"/>
      <c r="E133" s="306"/>
      <c r="F133" s="306"/>
      <c r="I133" s="317"/>
      <c r="J133" s="318"/>
      <c r="K133" s="318"/>
      <c r="L133" s="318"/>
      <c r="M133" s="318"/>
      <c r="N133" s="318" t="s">
        <v>2572</v>
      </c>
      <c r="O133" s="319">
        <v>5130</v>
      </c>
      <c r="P133" s="318" t="s">
        <v>453</v>
      </c>
      <c r="Q133" s="318" t="s">
        <v>453</v>
      </c>
    </row>
    <row r="134" spans="1:17" ht="12.75">
      <c r="A134" s="306"/>
      <c r="B134" s="306"/>
      <c r="C134" s="306"/>
      <c r="D134" s="306"/>
      <c r="E134" s="306"/>
      <c r="F134" s="306"/>
      <c r="I134" s="317"/>
      <c r="J134" s="318"/>
      <c r="K134" s="318"/>
      <c r="L134" s="318"/>
      <c r="M134" s="318"/>
      <c r="N134" s="318" t="s">
        <v>2575</v>
      </c>
      <c r="O134" s="319">
        <v>5130</v>
      </c>
      <c r="P134" s="318" t="s">
        <v>453</v>
      </c>
      <c r="Q134" s="318" t="s">
        <v>453</v>
      </c>
    </row>
    <row r="135" spans="1:17" ht="12.75">
      <c r="A135" s="306"/>
      <c r="B135" s="306"/>
      <c r="C135" s="306"/>
      <c r="D135" s="306"/>
      <c r="E135" s="306"/>
      <c r="F135" s="306"/>
      <c r="I135" s="317">
        <v>102</v>
      </c>
      <c r="J135" s="318" t="s">
        <v>2565</v>
      </c>
      <c r="K135" s="318" t="s">
        <v>2744</v>
      </c>
      <c r="L135" s="318">
        <v>12013553</v>
      </c>
      <c r="M135" s="318" t="s">
        <v>2729</v>
      </c>
      <c r="N135" s="318" t="s">
        <v>1754</v>
      </c>
      <c r="O135" s="319">
        <v>3585</v>
      </c>
      <c r="P135" s="318" t="s">
        <v>453</v>
      </c>
      <c r="Q135" s="318" t="s">
        <v>453</v>
      </c>
    </row>
    <row r="136" spans="1:17" ht="12.75">
      <c r="A136" s="306"/>
      <c r="B136" s="306"/>
      <c r="C136" s="306"/>
      <c r="D136" s="306"/>
      <c r="E136" s="306"/>
      <c r="F136" s="306"/>
      <c r="I136" s="317"/>
      <c r="J136" s="318"/>
      <c r="K136" s="318"/>
      <c r="L136" s="318"/>
      <c r="M136" s="318"/>
      <c r="N136" s="318" t="s">
        <v>2570</v>
      </c>
      <c r="O136" s="319">
        <v>5130</v>
      </c>
      <c r="P136" s="318" t="s">
        <v>453</v>
      </c>
      <c r="Q136" s="318" t="s">
        <v>453</v>
      </c>
    </row>
    <row r="137" spans="1:17" ht="12.75">
      <c r="A137" s="306"/>
      <c r="B137" s="306"/>
      <c r="C137" s="306"/>
      <c r="D137" s="306"/>
      <c r="E137" s="306"/>
      <c r="F137" s="306"/>
      <c r="I137" s="317"/>
      <c r="J137" s="318"/>
      <c r="K137" s="318"/>
      <c r="L137" s="318"/>
      <c r="M137" s="318"/>
      <c r="N137" s="318" t="s">
        <v>2572</v>
      </c>
      <c r="O137" s="319">
        <v>5130</v>
      </c>
      <c r="P137" s="318" t="s">
        <v>453</v>
      </c>
      <c r="Q137" s="318" t="s">
        <v>453</v>
      </c>
    </row>
    <row r="138" spans="1:17" ht="12.75">
      <c r="A138" s="306"/>
      <c r="B138" s="306"/>
      <c r="C138" s="306"/>
      <c r="D138" s="306"/>
      <c r="E138" s="306"/>
      <c r="F138" s="306"/>
      <c r="I138" s="317"/>
      <c r="J138" s="318"/>
      <c r="K138" s="318"/>
      <c r="L138" s="318"/>
      <c r="M138" s="318"/>
      <c r="N138" s="318" t="s">
        <v>2575</v>
      </c>
      <c r="O138" s="319">
        <v>5130</v>
      </c>
      <c r="P138" s="318" t="s">
        <v>453</v>
      </c>
      <c r="Q138" s="318" t="s">
        <v>453</v>
      </c>
    </row>
    <row r="139" spans="1:17" ht="12.75">
      <c r="A139" s="306"/>
      <c r="B139" s="306"/>
      <c r="C139" s="306"/>
      <c r="D139" s="306"/>
      <c r="E139" s="306"/>
      <c r="F139" s="306"/>
      <c r="I139" s="317">
        <v>103</v>
      </c>
      <c r="J139" s="318" t="s">
        <v>2565</v>
      </c>
      <c r="K139" s="318" t="s">
        <v>2745</v>
      </c>
      <c r="L139" s="318">
        <v>12013551</v>
      </c>
      <c r="M139" s="318" t="s">
        <v>2729</v>
      </c>
      <c r="N139" s="318" t="s">
        <v>1754</v>
      </c>
      <c r="O139" s="319">
        <v>3585</v>
      </c>
      <c r="P139" s="318" t="s">
        <v>453</v>
      </c>
      <c r="Q139" s="318" t="s">
        <v>453</v>
      </c>
    </row>
    <row r="140" spans="1:17" ht="12.75">
      <c r="A140" s="306"/>
      <c r="B140" s="306"/>
      <c r="C140" s="306"/>
      <c r="D140" s="306"/>
      <c r="E140" s="306"/>
      <c r="F140" s="306"/>
      <c r="I140" s="317"/>
      <c r="J140" s="318"/>
      <c r="K140" s="318"/>
      <c r="L140" s="318"/>
      <c r="M140" s="318"/>
      <c r="N140" s="318" t="s">
        <v>2570</v>
      </c>
      <c r="O140" s="319">
        <v>5130</v>
      </c>
      <c r="P140" s="318" t="s">
        <v>453</v>
      </c>
      <c r="Q140" s="318" t="s">
        <v>453</v>
      </c>
    </row>
    <row r="141" spans="1:17" ht="12.75">
      <c r="A141" s="306"/>
      <c r="B141" s="306"/>
      <c r="C141" s="306"/>
      <c r="D141" s="306"/>
      <c r="E141" s="306"/>
      <c r="F141" s="306"/>
      <c r="I141" s="317"/>
      <c r="J141" s="318"/>
      <c r="K141" s="318"/>
      <c r="L141" s="318"/>
      <c r="M141" s="318"/>
      <c r="N141" s="318" t="s">
        <v>2572</v>
      </c>
      <c r="O141" s="319">
        <v>5130</v>
      </c>
      <c r="P141" s="318" t="s">
        <v>453</v>
      </c>
      <c r="Q141" s="318" t="s">
        <v>453</v>
      </c>
    </row>
    <row r="142" spans="1:17" ht="12.75">
      <c r="A142" s="306"/>
      <c r="B142" s="306"/>
      <c r="C142" s="306"/>
      <c r="D142" s="306"/>
      <c r="E142" s="306"/>
      <c r="F142" s="306"/>
      <c r="I142" s="317"/>
      <c r="J142" s="318"/>
      <c r="K142" s="318"/>
      <c r="L142" s="318"/>
      <c r="M142" s="318"/>
      <c r="N142" s="318" t="s">
        <v>2575</v>
      </c>
      <c r="O142" s="319">
        <v>5130</v>
      </c>
      <c r="P142" s="318" t="s">
        <v>453</v>
      </c>
      <c r="Q142" s="318" t="s">
        <v>453</v>
      </c>
    </row>
    <row r="143" spans="1:17" ht="12.75">
      <c r="A143" s="306"/>
      <c r="B143" s="306"/>
      <c r="C143" s="306"/>
      <c r="D143" s="306"/>
      <c r="E143" s="306"/>
      <c r="F143" s="306"/>
      <c r="I143" s="317">
        <v>104</v>
      </c>
      <c r="J143" s="318" t="s">
        <v>2523</v>
      </c>
      <c r="K143" s="318" t="s">
        <v>2746</v>
      </c>
      <c r="L143" s="318">
        <v>12013501</v>
      </c>
      <c r="M143" s="318" t="s">
        <v>2729</v>
      </c>
      <c r="N143" s="318" t="s">
        <v>1713</v>
      </c>
      <c r="O143" s="319">
        <v>6825</v>
      </c>
      <c r="P143" s="318" t="s">
        <v>1730</v>
      </c>
      <c r="Q143" s="319">
        <v>10780</v>
      </c>
    </row>
    <row r="144" spans="1:17" ht="12.75">
      <c r="A144" s="306"/>
      <c r="B144" s="306"/>
      <c r="C144" s="306"/>
      <c r="D144" s="306"/>
      <c r="E144" s="306"/>
      <c r="F144" s="306"/>
      <c r="I144" s="317">
        <v>105</v>
      </c>
      <c r="J144" s="318" t="s">
        <v>2523</v>
      </c>
      <c r="K144" s="318" t="s">
        <v>2747</v>
      </c>
      <c r="L144" s="318">
        <v>12013502</v>
      </c>
      <c r="M144" s="318" t="s">
        <v>2729</v>
      </c>
      <c r="N144" s="318" t="s">
        <v>1713</v>
      </c>
      <c r="O144" s="319">
        <v>6825</v>
      </c>
      <c r="P144" s="318" t="s">
        <v>1730</v>
      </c>
      <c r="Q144" s="319">
        <v>10780</v>
      </c>
    </row>
    <row r="145" spans="1:17" ht="12.75">
      <c r="A145" s="306"/>
      <c r="B145" s="306"/>
      <c r="C145" s="306"/>
      <c r="D145" s="306"/>
      <c r="E145" s="306"/>
      <c r="F145" s="306"/>
      <c r="I145" s="317">
        <v>106</v>
      </c>
      <c r="J145" s="318" t="s">
        <v>2523</v>
      </c>
      <c r="K145" s="318" t="s">
        <v>2748</v>
      </c>
      <c r="L145" s="318">
        <v>12013507</v>
      </c>
      <c r="M145" s="318" t="s">
        <v>2729</v>
      </c>
      <c r="N145" s="318" t="s">
        <v>1713</v>
      </c>
      <c r="O145" s="319">
        <v>6825</v>
      </c>
      <c r="P145" s="318" t="s">
        <v>1730</v>
      </c>
      <c r="Q145" s="319">
        <v>10780</v>
      </c>
    </row>
    <row r="146" spans="1:17" ht="12.75">
      <c r="A146" s="306"/>
      <c r="B146" s="306"/>
      <c r="C146" s="306"/>
      <c r="D146" s="306"/>
      <c r="E146" s="306"/>
      <c r="F146" s="306"/>
      <c r="I146" s="317">
        <v>107</v>
      </c>
      <c r="J146" s="318" t="s">
        <v>2523</v>
      </c>
      <c r="K146" s="318" t="s">
        <v>2749</v>
      </c>
      <c r="L146" s="318">
        <v>12013546</v>
      </c>
      <c r="M146" s="318" t="s">
        <v>2729</v>
      </c>
      <c r="N146" s="318" t="s">
        <v>1713</v>
      </c>
      <c r="O146" s="319">
        <v>6825</v>
      </c>
      <c r="P146" s="318" t="s">
        <v>1730</v>
      </c>
      <c r="Q146" s="319">
        <v>10780</v>
      </c>
    </row>
    <row r="147" spans="1:17" ht="12.75">
      <c r="A147" s="306"/>
      <c r="B147" s="306"/>
      <c r="C147" s="306"/>
      <c r="D147" s="306"/>
      <c r="E147" s="306"/>
      <c r="F147" s="306"/>
      <c r="I147" s="317">
        <v>108</v>
      </c>
      <c r="J147" s="318" t="s">
        <v>2523</v>
      </c>
      <c r="K147" s="318" t="s">
        <v>2750</v>
      </c>
      <c r="L147" s="318">
        <v>12013544</v>
      </c>
      <c r="M147" s="318" t="s">
        <v>2729</v>
      </c>
      <c r="N147" s="318" t="s">
        <v>1713</v>
      </c>
      <c r="O147" s="319">
        <v>6825</v>
      </c>
      <c r="P147" s="318" t="s">
        <v>1730</v>
      </c>
      <c r="Q147" s="319">
        <v>10780</v>
      </c>
    </row>
    <row r="148" spans="1:17" ht="12.75">
      <c r="A148" s="306"/>
      <c r="B148" s="306"/>
      <c r="C148" s="306"/>
      <c r="D148" s="306"/>
      <c r="E148" s="306"/>
      <c r="F148" s="306"/>
      <c r="I148" s="317">
        <v>109</v>
      </c>
      <c r="J148" s="318" t="s">
        <v>2523</v>
      </c>
      <c r="K148" s="318" t="s">
        <v>2751</v>
      </c>
      <c r="L148" s="318">
        <v>12013547</v>
      </c>
      <c r="M148" s="318" t="s">
        <v>2729</v>
      </c>
      <c r="N148" s="318" t="s">
        <v>1713</v>
      </c>
      <c r="O148" s="319">
        <v>6825</v>
      </c>
      <c r="P148" s="318" t="s">
        <v>1730</v>
      </c>
      <c r="Q148" s="319">
        <v>10780</v>
      </c>
    </row>
    <row r="149" spans="1:17" ht="12.75">
      <c r="A149" s="306"/>
      <c r="B149" s="306"/>
      <c r="C149" s="306"/>
      <c r="D149" s="306"/>
      <c r="E149" s="306"/>
      <c r="F149" s="306"/>
      <c r="I149" s="317">
        <v>110</v>
      </c>
      <c r="J149" s="318" t="s">
        <v>2523</v>
      </c>
      <c r="K149" s="318" t="s">
        <v>2752</v>
      </c>
      <c r="L149" s="318">
        <v>12013545</v>
      </c>
      <c r="M149" s="318" t="s">
        <v>2729</v>
      </c>
      <c r="N149" s="318" t="s">
        <v>1713</v>
      </c>
      <c r="O149" s="319">
        <v>6825</v>
      </c>
      <c r="P149" s="318" t="s">
        <v>1730</v>
      </c>
      <c r="Q149" s="319">
        <v>10780</v>
      </c>
    </row>
    <row r="150" spans="1:17" ht="12.75">
      <c r="A150" s="306"/>
      <c r="B150" s="306"/>
      <c r="C150" s="306"/>
      <c r="D150" s="306"/>
      <c r="E150" s="306"/>
      <c r="F150" s="306"/>
      <c r="I150" s="317">
        <v>111</v>
      </c>
      <c r="J150" s="318" t="s">
        <v>2753</v>
      </c>
      <c r="K150" s="318" t="s">
        <v>2615</v>
      </c>
      <c r="L150" s="318">
        <v>12012732</v>
      </c>
      <c r="M150" s="318" t="s">
        <v>2729</v>
      </c>
      <c r="N150" s="318" t="s">
        <v>1756</v>
      </c>
      <c r="O150" s="319">
        <v>10475</v>
      </c>
      <c r="P150" s="318" t="s">
        <v>1744</v>
      </c>
      <c r="Q150" s="319">
        <v>38850</v>
      </c>
    </row>
    <row r="151" spans="1:17" ht="12.75">
      <c r="A151" s="306"/>
      <c r="B151" s="306"/>
      <c r="C151" s="306"/>
      <c r="D151" s="306"/>
      <c r="E151" s="306"/>
      <c r="F151" s="306"/>
      <c r="I151" s="317"/>
      <c r="J151" s="318"/>
      <c r="K151" s="318"/>
      <c r="L151" s="318"/>
      <c r="M151" s="318"/>
      <c r="N151" s="318" t="s">
        <v>2754</v>
      </c>
      <c r="O151" s="319">
        <v>11025</v>
      </c>
      <c r="P151" s="318"/>
      <c r="Q151" s="321"/>
    </row>
    <row r="152" spans="1:17" ht="12.75">
      <c r="A152" s="306"/>
      <c r="B152" s="306"/>
      <c r="C152" s="306"/>
      <c r="D152" s="306"/>
      <c r="E152" s="306"/>
      <c r="F152" s="306"/>
      <c r="I152" s="317"/>
      <c r="J152" s="318"/>
      <c r="K152" s="318"/>
      <c r="L152" s="318"/>
      <c r="M152" s="318"/>
      <c r="N152" s="318" t="s">
        <v>2755</v>
      </c>
      <c r="O152" s="319">
        <v>11025</v>
      </c>
      <c r="P152" s="318"/>
      <c r="Q152" s="321"/>
    </row>
    <row r="153" spans="1:17" ht="12.75">
      <c r="A153" s="306"/>
      <c r="B153" s="306"/>
      <c r="C153" s="306"/>
      <c r="D153" s="306"/>
      <c r="E153" s="306"/>
      <c r="F153" s="306"/>
      <c r="I153" s="317"/>
      <c r="J153" s="318"/>
      <c r="K153" s="318"/>
      <c r="L153" s="318"/>
      <c r="M153" s="318"/>
      <c r="N153" s="318" t="s">
        <v>2756</v>
      </c>
      <c r="O153" s="319">
        <v>11025</v>
      </c>
      <c r="P153" s="318"/>
      <c r="Q153" s="321"/>
    </row>
    <row r="154" spans="1:17" ht="12.75">
      <c r="A154" s="306"/>
      <c r="B154" s="306"/>
      <c r="C154" s="306"/>
      <c r="D154" s="306"/>
      <c r="E154" s="306"/>
      <c r="F154" s="306"/>
    </row>
    <row r="155" spans="1:17" ht="12.75">
      <c r="A155" s="306"/>
      <c r="B155" s="306"/>
      <c r="C155" s="306"/>
      <c r="D155" s="306"/>
      <c r="E155" s="306"/>
      <c r="F155" s="306"/>
    </row>
    <row r="156" spans="1:17" ht="12.75">
      <c r="A156" s="306"/>
      <c r="B156" s="306"/>
      <c r="C156" s="306"/>
      <c r="D156" s="306"/>
      <c r="E156" s="306"/>
      <c r="F156" s="306"/>
    </row>
    <row r="157" spans="1:17" ht="12.75">
      <c r="A157" s="306"/>
      <c r="B157" s="306"/>
      <c r="C157" s="306"/>
      <c r="D157" s="306"/>
      <c r="E157" s="306"/>
      <c r="F157" s="306"/>
    </row>
    <row r="158" spans="1:17" ht="12.75">
      <c r="A158" s="306"/>
      <c r="B158" s="306"/>
      <c r="C158" s="306"/>
      <c r="D158" s="306"/>
      <c r="E158" s="306"/>
      <c r="F158" s="306"/>
    </row>
    <row r="159" spans="1:17" ht="12.75">
      <c r="A159" s="306"/>
      <c r="B159" s="306"/>
      <c r="C159" s="306"/>
      <c r="D159" s="306"/>
      <c r="E159" s="306"/>
      <c r="F159" s="306"/>
    </row>
    <row r="160" spans="1:17" ht="12.75">
      <c r="A160" s="306"/>
      <c r="B160" s="306"/>
      <c r="C160" s="306"/>
      <c r="D160" s="306"/>
      <c r="E160" s="306"/>
      <c r="F160" s="306"/>
    </row>
    <row r="161" spans="1:6" ht="12.75">
      <c r="A161" s="306"/>
      <c r="B161" s="306"/>
      <c r="C161" s="306"/>
      <c r="D161" s="306"/>
      <c r="E161" s="306"/>
      <c r="F161" s="306"/>
    </row>
    <row r="162" spans="1:6" ht="12.75">
      <c r="A162" s="306"/>
      <c r="B162" s="306"/>
      <c r="C162" s="306"/>
      <c r="D162" s="306"/>
      <c r="E162" s="306"/>
      <c r="F162" s="306"/>
    </row>
    <row r="163" spans="1:6" ht="12.75">
      <c r="A163" s="306"/>
      <c r="B163" s="306"/>
      <c r="C163" s="306"/>
      <c r="D163" s="306"/>
      <c r="E163" s="306"/>
      <c r="F163" s="306"/>
    </row>
    <row r="164" spans="1:6" ht="12.75">
      <c r="A164" s="306"/>
      <c r="B164" s="306"/>
      <c r="C164" s="306"/>
      <c r="D164" s="306"/>
      <c r="E164" s="306"/>
      <c r="F164" s="306"/>
    </row>
    <row r="165" spans="1:6" ht="12.75">
      <c r="A165" s="306"/>
      <c r="B165" s="306"/>
      <c r="C165" s="306"/>
      <c r="D165" s="306"/>
      <c r="E165" s="306"/>
      <c r="F165" s="306"/>
    </row>
    <row r="166" spans="1:6" ht="12.75">
      <c r="A166" s="306"/>
      <c r="B166" s="306"/>
      <c r="C166" s="306"/>
      <c r="D166" s="306"/>
      <c r="E166" s="306"/>
      <c r="F166" s="306"/>
    </row>
    <row r="167" spans="1:6" ht="12.75">
      <c r="A167" s="306"/>
      <c r="B167" s="306"/>
      <c r="C167" s="306"/>
      <c r="D167" s="306"/>
      <c r="E167" s="306"/>
      <c r="F167" s="306"/>
    </row>
    <row r="168" spans="1:6" ht="12.75">
      <c r="A168" s="306"/>
      <c r="B168" s="306"/>
      <c r="C168" s="306"/>
      <c r="D168" s="306"/>
      <c r="E168" s="306"/>
      <c r="F168" s="306"/>
    </row>
    <row r="169" spans="1:6" ht="12.75">
      <c r="A169" s="306"/>
      <c r="B169" s="306"/>
      <c r="C169" s="306"/>
      <c r="D169" s="306"/>
      <c r="E169" s="306"/>
      <c r="F169" s="306"/>
    </row>
    <row r="170" spans="1:6" ht="12.75">
      <c r="A170" s="306"/>
      <c r="B170" s="306"/>
      <c r="C170" s="306"/>
      <c r="D170" s="306"/>
      <c r="E170" s="306"/>
      <c r="F170" s="306"/>
    </row>
    <row r="171" spans="1:6" ht="12.75">
      <c r="A171" s="306"/>
      <c r="B171" s="306"/>
      <c r="C171" s="306"/>
      <c r="D171" s="306"/>
      <c r="E171" s="306"/>
      <c r="F171" s="306"/>
    </row>
    <row r="172" spans="1:6" ht="12.75">
      <c r="A172" s="306"/>
      <c r="B172" s="306"/>
      <c r="C172" s="306"/>
      <c r="D172" s="306"/>
      <c r="E172" s="306"/>
      <c r="F172" s="306"/>
    </row>
    <row r="173" spans="1:6" ht="12.75">
      <c r="A173" s="306"/>
      <c r="B173" s="306"/>
      <c r="C173" s="306"/>
      <c r="D173" s="306"/>
      <c r="E173" s="306"/>
      <c r="F173" s="306"/>
    </row>
    <row r="174" spans="1:6" ht="12.75">
      <c r="A174" s="306"/>
      <c r="B174" s="306"/>
      <c r="C174" s="306"/>
      <c r="D174" s="306"/>
      <c r="E174" s="306"/>
      <c r="F174" s="306"/>
    </row>
    <row r="175" spans="1:6" ht="12.75">
      <c r="A175" s="306"/>
      <c r="B175" s="306"/>
      <c r="C175" s="306"/>
      <c r="D175" s="306"/>
      <c r="E175" s="306"/>
      <c r="F175" s="306"/>
    </row>
    <row r="176" spans="1:6" ht="12.75">
      <c r="A176" s="306"/>
      <c r="B176" s="306"/>
      <c r="C176" s="306"/>
      <c r="D176" s="306"/>
      <c r="E176" s="306"/>
      <c r="F176" s="306"/>
    </row>
    <row r="177" spans="1:6" ht="12.75">
      <c r="A177" s="306"/>
      <c r="B177" s="306"/>
      <c r="C177" s="306"/>
      <c r="D177" s="306"/>
      <c r="E177" s="306"/>
      <c r="F177" s="306"/>
    </row>
    <row r="178" spans="1:6" ht="12.75">
      <c r="A178" s="306"/>
      <c r="B178" s="306"/>
      <c r="C178" s="306"/>
      <c r="D178" s="306"/>
      <c r="E178" s="306"/>
      <c r="F178" s="306"/>
    </row>
    <row r="179" spans="1:6" ht="12.75">
      <c r="A179" s="306"/>
      <c r="B179" s="306"/>
      <c r="C179" s="306"/>
      <c r="D179" s="306"/>
      <c r="E179" s="306"/>
      <c r="F179" s="306"/>
    </row>
    <row r="180" spans="1:6" ht="12.75">
      <c r="A180" s="306"/>
      <c r="B180" s="306"/>
      <c r="C180" s="306"/>
      <c r="D180" s="306"/>
      <c r="E180" s="306"/>
      <c r="F180" s="306"/>
    </row>
    <row r="181" spans="1:6" ht="12.75">
      <c r="A181" s="306"/>
      <c r="B181" s="306"/>
      <c r="C181" s="306"/>
      <c r="D181" s="306"/>
      <c r="E181" s="306"/>
      <c r="F181" s="306"/>
    </row>
    <row r="182" spans="1:6" ht="12.75">
      <c r="A182" s="306"/>
      <c r="B182" s="306"/>
      <c r="C182" s="306"/>
      <c r="D182" s="306"/>
      <c r="E182" s="306"/>
      <c r="F182" s="306"/>
    </row>
    <row r="183" spans="1:6" ht="12.75">
      <c r="A183" s="306"/>
      <c r="B183" s="306"/>
      <c r="C183" s="306"/>
      <c r="D183" s="306"/>
      <c r="E183" s="306"/>
      <c r="F183" s="306"/>
    </row>
    <row r="184" spans="1:6" ht="12.75">
      <c r="A184" s="306"/>
      <c r="B184" s="306"/>
      <c r="C184" s="306"/>
      <c r="D184" s="306"/>
      <c r="E184" s="306"/>
      <c r="F184" s="306"/>
    </row>
    <row r="185" spans="1:6" ht="12.75">
      <c r="A185" s="306"/>
      <c r="B185" s="306"/>
      <c r="C185" s="306"/>
      <c r="D185" s="306"/>
      <c r="E185" s="306"/>
      <c r="F185" s="306"/>
    </row>
    <row r="186" spans="1:6" ht="12.75">
      <c r="A186" s="306"/>
      <c r="B186" s="306"/>
      <c r="C186" s="306"/>
      <c r="D186" s="306"/>
      <c r="E186" s="306"/>
      <c r="F186" s="306"/>
    </row>
    <row r="187" spans="1:6" ht="12.75">
      <c r="A187" s="306"/>
      <c r="B187" s="306"/>
      <c r="C187" s="306"/>
      <c r="D187" s="306"/>
      <c r="E187" s="306"/>
      <c r="F187" s="306"/>
    </row>
    <row r="188" spans="1:6" ht="12.75">
      <c r="A188" s="306"/>
      <c r="B188" s="306"/>
      <c r="C188" s="306"/>
      <c r="D188" s="306"/>
      <c r="E188" s="306"/>
      <c r="F188" s="306"/>
    </row>
    <row r="189" spans="1:6" ht="12.75">
      <c r="A189" s="306"/>
      <c r="B189" s="306"/>
      <c r="C189" s="306"/>
      <c r="D189" s="306"/>
      <c r="E189" s="306"/>
      <c r="F189" s="306"/>
    </row>
    <row r="190" spans="1:6" ht="12.75">
      <c r="A190" s="306"/>
      <c r="B190" s="306"/>
      <c r="C190" s="306"/>
      <c r="D190" s="306"/>
      <c r="E190" s="306"/>
      <c r="F190" s="306"/>
    </row>
    <row r="191" spans="1:6" ht="12.75">
      <c r="A191" s="306"/>
      <c r="B191" s="306"/>
      <c r="C191" s="306"/>
      <c r="D191" s="306"/>
      <c r="E191" s="306"/>
      <c r="F191" s="306"/>
    </row>
    <row r="192" spans="1:6" ht="12.75">
      <c r="A192" s="306"/>
      <c r="B192" s="306"/>
      <c r="C192" s="306"/>
      <c r="D192" s="306"/>
      <c r="E192" s="306"/>
      <c r="F192" s="306"/>
    </row>
    <row r="193" spans="1:6" ht="12.75">
      <c r="A193" s="306"/>
      <c r="B193" s="306"/>
      <c r="C193" s="306"/>
      <c r="D193" s="306"/>
      <c r="E193" s="306"/>
      <c r="F193" s="306"/>
    </row>
    <row r="194" spans="1:6" ht="12.75">
      <c r="A194" s="306"/>
      <c r="B194" s="306"/>
      <c r="C194" s="306"/>
      <c r="D194" s="306"/>
      <c r="E194" s="306"/>
      <c r="F194" s="306"/>
    </row>
    <row r="195" spans="1:6" ht="12.75">
      <c r="A195" s="306"/>
      <c r="B195" s="306"/>
      <c r="C195" s="306"/>
      <c r="D195" s="306"/>
      <c r="E195" s="306"/>
      <c r="F195" s="306"/>
    </row>
    <row r="196" spans="1:6" ht="12.75">
      <c r="A196" s="306"/>
      <c r="B196" s="306"/>
      <c r="C196" s="306"/>
      <c r="D196" s="306"/>
      <c r="E196" s="306"/>
      <c r="F196" s="306"/>
    </row>
    <row r="197" spans="1:6" ht="12.75">
      <c r="A197" s="306"/>
      <c r="B197" s="306"/>
      <c r="C197" s="306"/>
      <c r="D197" s="306"/>
      <c r="E197" s="306"/>
      <c r="F197" s="306"/>
    </row>
    <row r="198" spans="1:6" ht="12.75">
      <c r="A198" s="306"/>
      <c r="B198" s="306"/>
      <c r="C198" s="306"/>
      <c r="D198" s="306"/>
      <c r="E198" s="306"/>
      <c r="F198" s="306"/>
    </row>
    <row r="199" spans="1:6" ht="12.75">
      <c r="A199" s="306"/>
      <c r="B199" s="306"/>
      <c r="C199" s="306"/>
      <c r="D199" s="306"/>
      <c r="E199" s="306"/>
      <c r="F199" s="306"/>
    </row>
    <row r="200" spans="1:6" ht="12.75">
      <c r="A200" s="306"/>
      <c r="B200" s="306"/>
      <c r="C200" s="306"/>
      <c r="D200" s="306"/>
      <c r="E200" s="306"/>
      <c r="F200" s="306"/>
    </row>
    <row r="201" spans="1:6" ht="12.75">
      <c r="A201" s="306"/>
      <c r="B201" s="306"/>
      <c r="C201" s="306"/>
      <c r="D201" s="306"/>
      <c r="E201" s="306"/>
      <c r="F201" s="306"/>
    </row>
    <row r="202" spans="1:6" ht="12.75">
      <c r="A202" s="306"/>
      <c r="B202" s="306"/>
      <c r="C202" s="306"/>
      <c r="D202" s="306"/>
      <c r="E202" s="306"/>
      <c r="F202" s="306"/>
    </row>
    <row r="203" spans="1:6" ht="12.75">
      <c r="A203" s="306"/>
      <c r="B203" s="306"/>
      <c r="C203" s="306"/>
      <c r="D203" s="306"/>
      <c r="E203" s="306"/>
      <c r="F203" s="306"/>
    </row>
    <row r="204" spans="1:6" ht="12.75">
      <c r="A204" s="306"/>
      <c r="B204" s="306"/>
      <c r="C204" s="306"/>
      <c r="D204" s="306"/>
      <c r="E204" s="306"/>
      <c r="F204" s="306"/>
    </row>
    <row r="205" spans="1:6" ht="12.75">
      <c r="A205" s="306"/>
      <c r="B205" s="306"/>
      <c r="C205" s="306"/>
      <c r="D205" s="306"/>
      <c r="E205" s="306"/>
      <c r="F205" s="306"/>
    </row>
    <row r="206" spans="1:6" ht="12.75">
      <c r="A206" s="306"/>
      <c r="B206" s="306"/>
      <c r="C206" s="306"/>
      <c r="D206" s="306"/>
      <c r="E206" s="306"/>
      <c r="F206" s="306"/>
    </row>
    <row r="207" spans="1:6" ht="12.75">
      <c r="A207" s="306"/>
      <c r="B207" s="306"/>
      <c r="C207" s="306"/>
      <c r="D207" s="306"/>
      <c r="E207" s="306"/>
      <c r="F207" s="306"/>
    </row>
    <row r="208" spans="1:6" ht="12.75">
      <c r="A208" s="306"/>
      <c r="B208" s="306"/>
      <c r="C208" s="306"/>
      <c r="D208" s="306"/>
      <c r="E208" s="306"/>
      <c r="F208" s="306"/>
    </row>
    <row r="209" spans="1:6" ht="12.75">
      <c r="A209" s="306"/>
      <c r="B209" s="306"/>
      <c r="C209" s="306"/>
      <c r="D209" s="306"/>
      <c r="E209" s="306"/>
      <c r="F209" s="306"/>
    </row>
    <row r="210" spans="1:6" ht="12.75">
      <c r="A210" s="306"/>
      <c r="B210" s="306"/>
      <c r="C210" s="306"/>
      <c r="D210" s="306"/>
      <c r="E210" s="306"/>
      <c r="F210" s="306"/>
    </row>
    <row r="211" spans="1:6" ht="12.75">
      <c r="A211" s="306"/>
      <c r="B211" s="306"/>
      <c r="C211" s="306"/>
      <c r="D211" s="306"/>
      <c r="E211" s="306"/>
      <c r="F211" s="306"/>
    </row>
    <row r="212" spans="1:6" ht="12.75">
      <c r="A212" s="306"/>
      <c r="B212" s="306"/>
      <c r="C212" s="306"/>
      <c r="D212" s="306"/>
      <c r="E212" s="306"/>
      <c r="F212" s="306"/>
    </row>
    <row r="213" spans="1:6" ht="12.75">
      <c r="A213" s="306"/>
      <c r="B213" s="306"/>
      <c r="C213" s="306"/>
      <c r="D213" s="306"/>
      <c r="E213" s="306"/>
      <c r="F213" s="306"/>
    </row>
    <row r="214" spans="1:6" ht="12.75">
      <c r="A214" s="306"/>
      <c r="B214" s="306"/>
      <c r="C214" s="306"/>
      <c r="D214" s="306"/>
      <c r="E214" s="306"/>
      <c r="F214" s="306"/>
    </row>
    <row r="215" spans="1:6" ht="12.75">
      <c r="A215" s="306"/>
      <c r="B215" s="306"/>
      <c r="C215" s="306"/>
      <c r="D215" s="306"/>
      <c r="E215" s="306"/>
      <c r="F215" s="306"/>
    </row>
    <row r="216" spans="1:6" ht="12.75">
      <c r="A216" s="306"/>
      <c r="B216" s="306"/>
      <c r="C216" s="306"/>
      <c r="D216" s="306"/>
      <c r="E216" s="306"/>
      <c r="F216" s="306"/>
    </row>
    <row r="217" spans="1:6" ht="12.75">
      <c r="A217" s="306"/>
      <c r="B217" s="306"/>
      <c r="C217" s="306"/>
      <c r="D217" s="306"/>
      <c r="E217" s="306"/>
      <c r="F217" s="306"/>
    </row>
    <row r="218" spans="1:6" ht="12.75">
      <c r="A218" s="306"/>
      <c r="B218" s="306"/>
      <c r="C218" s="306"/>
      <c r="D218" s="306"/>
      <c r="E218" s="306"/>
      <c r="F218" s="306"/>
    </row>
    <row r="219" spans="1:6" ht="12.75">
      <c r="A219" s="306"/>
      <c r="B219" s="306"/>
      <c r="C219" s="306"/>
      <c r="D219" s="306"/>
      <c r="E219" s="306"/>
      <c r="F219" s="306"/>
    </row>
    <row r="220" spans="1:6" ht="12.75">
      <c r="A220" s="306"/>
      <c r="B220" s="306"/>
      <c r="C220" s="306"/>
      <c r="D220" s="306"/>
      <c r="E220" s="306"/>
      <c r="F220" s="306"/>
    </row>
    <row r="221" spans="1:6" ht="12.75">
      <c r="A221" s="306"/>
      <c r="B221" s="306"/>
      <c r="C221" s="306"/>
      <c r="D221" s="306"/>
      <c r="E221" s="306"/>
      <c r="F221" s="306"/>
    </row>
    <row r="222" spans="1:6" ht="12.75">
      <c r="A222" s="306"/>
      <c r="B222" s="306"/>
      <c r="C222" s="306"/>
      <c r="D222" s="306"/>
      <c r="E222" s="306"/>
      <c r="F222" s="306"/>
    </row>
    <row r="223" spans="1:6" ht="12.75">
      <c r="A223" s="306"/>
      <c r="B223" s="306"/>
      <c r="C223" s="306"/>
      <c r="D223" s="306"/>
      <c r="E223" s="306"/>
      <c r="F223" s="306"/>
    </row>
    <row r="224" spans="1:6" ht="12.75">
      <c r="A224" s="306"/>
      <c r="B224" s="306"/>
      <c r="C224" s="306"/>
      <c r="D224" s="306"/>
      <c r="E224" s="306"/>
      <c r="F224" s="306"/>
    </row>
    <row r="225" spans="1:6" ht="12.75">
      <c r="A225" s="306"/>
      <c r="B225" s="306"/>
      <c r="C225" s="306"/>
      <c r="D225" s="306"/>
      <c r="E225" s="306"/>
      <c r="F225" s="306"/>
    </row>
    <row r="226" spans="1:6" ht="12.75">
      <c r="A226" s="306"/>
      <c r="B226" s="306"/>
      <c r="C226" s="306"/>
      <c r="D226" s="306"/>
      <c r="E226" s="306"/>
      <c r="F226" s="306"/>
    </row>
    <row r="227" spans="1:6" ht="12.75">
      <c r="A227" s="306"/>
      <c r="B227" s="306"/>
      <c r="C227" s="306"/>
      <c r="D227" s="306"/>
      <c r="E227" s="306"/>
      <c r="F227" s="306"/>
    </row>
    <row r="228" spans="1:6" ht="12.75">
      <c r="A228" s="306"/>
      <c r="B228" s="306"/>
      <c r="C228" s="306"/>
      <c r="D228" s="306"/>
      <c r="E228" s="306"/>
      <c r="F228" s="306"/>
    </row>
    <row r="229" spans="1:6" ht="12.75">
      <c r="A229" s="306"/>
      <c r="B229" s="306"/>
      <c r="C229" s="306"/>
      <c r="D229" s="306"/>
      <c r="E229" s="306"/>
      <c r="F229" s="306"/>
    </row>
    <row r="230" spans="1:6" ht="12.75">
      <c r="A230" s="306"/>
      <c r="B230" s="306"/>
      <c r="C230" s="306"/>
      <c r="D230" s="306"/>
      <c r="E230" s="306"/>
      <c r="F230" s="306"/>
    </row>
    <row r="231" spans="1:6" ht="12.75">
      <c r="A231" s="306"/>
      <c r="B231" s="306"/>
      <c r="C231" s="306"/>
      <c r="D231" s="306"/>
      <c r="E231" s="306"/>
      <c r="F231" s="306"/>
    </row>
    <row r="232" spans="1:6" ht="12.75">
      <c r="A232" s="306"/>
      <c r="B232" s="306"/>
      <c r="C232" s="306"/>
      <c r="D232" s="306"/>
      <c r="E232" s="306"/>
      <c r="F232" s="306"/>
    </row>
    <row r="233" spans="1:6" ht="12.75">
      <c r="A233" s="306"/>
      <c r="B233" s="306"/>
      <c r="C233" s="306"/>
      <c r="D233" s="306"/>
      <c r="E233" s="306"/>
      <c r="F233" s="306"/>
    </row>
    <row r="234" spans="1:6" ht="12.75">
      <c r="A234" s="306"/>
      <c r="B234" s="306"/>
      <c r="C234" s="306"/>
      <c r="D234" s="306"/>
      <c r="E234" s="306"/>
      <c r="F234" s="306"/>
    </row>
    <row r="235" spans="1:6" ht="12.75">
      <c r="A235" s="306"/>
      <c r="B235" s="306"/>
      <c r="C235" s="306"/>
      <c r="D235" s="306"/>
      <c r="E235" s="306"/>
      <c r="F235" s="306"/>
    </row>
    <row r="236" spans="1:6" ht="12.75">
      <c r="A236" s="306"/>
      <c r="B236" s="306"/>
      <c r="C236" s="306"/>
      <c r="D236" s="306"/>
      <c r="E236" s="306"/>
      <c r="F236" s="306"/>
    </row>
    <row r="237" spans="1:6" ht="12.75">
      <c r="A237" s="306"/>
      <c r="B237" s="306"/>
      <c r="C237" s="306"/>
      <c r="D237" s="306"/>
      <c r="E237" s="306"/>
      <c r="F237" s="306"/>
    </row>
    <row r="238" spans="1:6" ht="12.75">
      <c r="A238" s="306"/>
      <c r="B238" s="306"/>
      <c r="C238" s="306"/>
      <c r="D238" s="306"/>
      <c r="E238" s="306"/>
      <c r="F238" s="306"/>
    </row>
    <row r="239" spans="1:6" ht="12.75">
      <c r="A239" s="306"/>
      <c r="B239" s="306"/>
      <c r="C239" s="306"/>
      <c r="D239" s="306"/>
      <c r="E239" s="306"/>
      <c r="F239" s="306"/>
    </row>
    <row r="240" spans="1:6" ht="12.75">
      <c r="A240" s="306"/>
      <c r="B240" s="306"/>
      <c r="C240" s="306"/>
      <c r="D240" s="306"/>
      <c r="E240" s="306"/>
      <c r="F240" s="306"/>
    </row>
    <row r="241" spans="1:6" ht="12.75">
      <c r="A241" s="306"/>
      <c r="B241" s="306"/>
      <c r="C241" s="306"/>
      <c r="D241" s="306"/>
      <c r="E241" s="306"/>
      <c r="F241" s="306"/>
    </row>
    <row r="242" spans="1:6" ht="12.75">
      <c r="A242" s="306"/>
      <c r="B242" s="306"/>
      <c r="C242" s="306"/>
      <c r="D242" s="306"/>
      <c r="E242" s="306"/>
      <c r="F242" s="306"/>
    </row>
    <row r="243" spans="1:6" ht="12.75">
      <c r="A243" s="306"/>
      <c r="B243" s="306"/>
      <c r="C243" s="306"/>
      <c r="D243" s="306"/>
      <c r="E243" s="306"/>
      <c r="F243" s="306"/>
    </row>
    <row r="244" spans="1:6" ht="12.75">
      <c r="A244" s="306"/>
      <c r="B244" s="306"/>
      <c r="C244" s="306"/>
      <c r="D244" s="306"/>
      <c r="E244" s="306"/>
      <c r="F244" s="306"/>
    </row>
    <row r="245" spans="1:6" ht="12.75">
      <c r="A245" s="306"/>
      <c r="B245" s="306"/>
      <c r="C245" s="306"/>
      <c r="D245" s="306"/>
      <c r="E245" s="306"/>
      <c r="F245" s="306"/>
    </row>
    <row r="246" spans="1:6" ht="12.75">
      <c r="A246" s="306"/>
      <c r="B246" s="306"/>
      <c r="C246" s="306"/>
      <c r="D246" s="306"/>
      <c r="E246" s="306"/>
      <c r="F246" s="306"/>
    </row>
    <row r="247" spans="1:6" ht="12.75">
      <c r="A247" s="306"/>
      <c r="B247" s="306"/>
      <c r="C247" s="306"/>
      <c r="D247" s="306"/>
      <c r="E247" s="306"/>
      <c r="F247" s="306"/>
    </row>
    <row r="248" spans="1:6" ht="12.75">
      <c r="A248" s="306"/>
      <c r="B248" s="306"/>
      <c r="C248" s="306"/>
      <c r="D248" s="306"/>
      <c r="E248" s="306"/>
      <c r="F248" s="306"/>
    </row>
    <row r="249" spans="1:6" ht="12.75">
      <c r="A249" s="306"/>
      <c r="B249" s="306"/>
      <c r="C249" s="306"/>
      <c r="D249" s="306"/>
      <c r="E249" s="306"/>
      <c r="F249" s="306"/>
    </row>
    <row r="250" spans="1:6" ht="12.75">
      <c r="A250" s="306"/>
      <c r="B250" s="306"/>
      <c r="C250" s="306"/>
      <c r="D250" s="306"/>
      <c r="E250" s="306"/>
      <c r="F250" s="306"/>
    </row>
    <row r="251" spans="1:6" ht="12.75">
      <c r="A251" s="306"/>
      <c r="B251" s="306"/>
      <c r="C251" s="306"/>
      <c r="D251" s="306"/>
      <c r="E251" s="306"/>
      <c r="F251" s="306"/>
    </row>
    <row r="252" spans="1:6" ht="12.75">
      <c r="A252" s="306"/>
      <c r="B252" s="306"/>
      <c r="C252" s="306"/>
      <c r="D252" s="306"/>
      <c r="E252" s="306"/>
      <c r="F252" s="306"/>
    </row>
    <row r="253" spans="1:6" ht="12.75">
      <c r="A253" s="306"/>
      <c r="B253" s="306"/>
      <c r="C253" s="306"/>
      <c r="D253" s="306"/>
      <c r="E253" s="306"/>
      <c r="F253" s="306"/>
    </row>
    <row r="254" spans="1:6" ht="12.75">
      <c r="A254" s="306"/>
      <c r="B254" s="306"/>
      <c r="C254" s="306"/>
      <c r="D254" s="306"/>
      <c r="E254" s="306"/>
      <c r="F254" s="306"/>
    </row>
    <row r="255" spans="1:6" ht="12.75">
      <c r="A255" s="306"/>
      <c r="B255" s="306"/>
      <c r="C255" s="306"/>
      <c r="D255" s="306"/>
      <c r="E255" s="306"/>
      <c r="F255" s="306"/>
    </row>
    <row r="256" spans="1:6" ht="12.75">
      <c r="A256" s="306"/>
      <c r="B256" s="306"/>
      <c r="C256" s="306"/>
      <c r="D256" s="306"/>
      <c r="E256" s="306"/>
      <c r="F256" s="306"/>
    </row>
    <row r="257" spans="1:6" ht="12.75">
      <c r="A257" s="306"/>
      <c r="B257" s="306"/>
      <c r="C257" s="306"/>
      <c r="D257" s="306"/>
      <c r="E257" s="306"/>
      <c r="F257" s="306"/>
    </row>
    <row r="258" spans="1:6" ht="12.75">
      <c r="A258" s="306"/>
      <c r="B258" s="306"/>
      <c r="C258" s="306"/>
      <c r="D258" s="306"/>
      <c r="E258" s="306"/>
      <c r="F258" s="306"/>
    </row>
    <row r="259" spans="1:6" ht="12.75">
      <c r="A259" s="306"/>
      <c r="B259" s="306"/>
      <c r="C259" s="306"/>
      <c r="D259" s="306"/>
      <c r="E259" s="306"/>
      <c r="F259" s="306"/>
    </row>
    <row r="260" spans="1:6" ht="12.75">
      <c r="A260" s="306"/>
      <c r="B260" s="306"/>
      <c r="C260" s="306"/>
      <c r="D260" s="306"/>
      <c r="E260" s="306"/>
      <c r="F260" s="306"/>
    </row>
    <row r="261" spans="1:6" ht="12.75">
      <c r="A261" s="306"/>
      <c r="B261" s="306"/>
      <c r="C261" s="306"/>
      <c r="D261" s="306"/>
      <c r="E261" s="306"/>
      <c r="F261" s="306"/>
    </row>
    <row r="262" spans="1:6" ht="12.75">
      <c r="A262" s="306"/>
      <c r="B262" s="306"/>
      <c r="C262" s="306"/>
      <c r="D262" s="306"/>
      <c r="E262" s="306"/>
      <c r="F262" s="306"/>
    </row>
    <row r="263" spans="1:6" ht="12.75">
      <c r="A263" s="306"/>
      <c r="B263" s="306"/>
      <c r="C263" s="306"/>
      <c r="D263" s="306"/>
      <c r="E263" s="306"/>
      <c r="F263" s="306"/>
    </row>
    <row r="264" spans="1:6" ht="12.75">
      <c r="A264" s="306"/>
      <c r="B264" s="306"/>
      <c r="C264" s="306"/>
      <c r="D264" s="306"/>
      <c r="E264" s="306"/>
      <c r="F264" s="306"/>
    </row>
    <row r="265" spans="1:6" ht="12.75">
      <c r="A265" s="306"/>
      <c r="B265" s="306"/>
      <c r="C265" s="306"/>
      <c r="D265" s="306"/>
      <c r="E265" s="306"/>
      <c r="F265" s="306"/>
    </row>
    <row r="266" spans="1:6" ht="12.75">
      <c r="A266" s="306"/>
      <c r="B266" s="306"/>
      <c r="C266" s="306"/>
      <c r="D266" s="306"/>
      <c r="E266" s="306"/>
      <c r="F266" s="306"/>
    </row>
    <row r="267" spans="1:6" ht="12.75">
      <c r="A267" s="306"/>
      <c r="B267" s="306"/>
      <c r="C267" s="306"/>
      <c r="D267" s="306"/>
      <c r="E267" s="306"/>
      <c r="F267" s="306"/>
    </row>
    <row r="268" spans="1:6" ht="12.75">
      <c r="A268" s="306"/>
      <c r="B268" s="306"/>
      <c r="C268" s="306"/>
      <c r="D268" s="306"/>
      <c r="E268" s="306"/>
      <c r="F268" s="306"/>
    </row>
    <row r="269" spans="1:6" ht="12.75">
      <c r="A269" s="306"/>
      <c r="B269" s="306"/>
      <c r="C269" s="306"/>
      <c r="D269" s="306"/>
      <c r="E269" s="306"/>
      <c r="F269" s="306"/>
    </row>
    <row r="270" spans="1:6" ht="12.75">
      <c r="A270" s="306"/>
      <c r="B270" s="306"/>
      <c r="C270" s="306"/>
      <c r="D270" s="306"/>
      <c r="E270" s="306"/>
      <c r="F270" s="306"/>
    </row>
    <row r="271" spans="1:6" ht="12.75">
      <c r="A271" s="306"/>
      <c r="B271" s="306"/>
      <c r="C271" s="306"/>
      <c r="D271" s="306"/>
      <c r="E271" s="306"/>
      <c r="F271" s="306"/>
    </row>
    <row r="272" spans="1:6" ht="12.75">
      <c r="A272" s="306"/>
      <c r="B272" s="306"/>
      <c r="C272" s="306"/>
      <c r="D272" s="306"/>
      <c r="E272" s="306"/>
      <c r="F272" s="306"/>
    </row>
    <row r="273" spans="1:6" ht="12.75">
      <c r="A273" s="306"/>
      <c r="B273" s="306"/>
      <c r="C273" s="306"/>
      <c r="D273" s="306"/>
      <c r="E273" s="306"/>
      <c r="F273" s="306"/>
    </row>
    <row r="274" spans="1:6" ht="12.75">
      <c r="A274" s="306"/>
      <c r="B274" s="306"/>
      <c r="C274" s="306"/>
      <c r="D274" s="306"/>
      <c r="E274" s="306"/>
      <c r="F274" s="306"/>
    </row>
    <row r="275" spans="1:6" ht="12.75">
      <c r="A275" s="306"/>
      <c r="B275" s="306"/>
      <c r="C275" s="306"/>
      <c r="D275" s="306"/>
      <c r="E275" s="306"/>
      <c r="F275" s="306"/>
    </row>
    <row r="276" spans="1:6" ht="12.75">
      <c r="A276" s="306"/>
      <c r="B276" s="306"/>
      <c r="C276" s="306"/>
      <c r="D276" s="306"/>
      <c r="E276" s="306"/>
      <c r="F276" s="306"/>
    </row>
    <row r="277" spans="1:6" ht="12.75">
      <c r="A277" s="306"/>
      <c r="B277" s="306"/>
      <c r="C277" s="306"/>
      <c r="D277" s="306"/>
      <c r="E277" s="306"/>
      <c r="F277" s="306"/>
    </row>
    <row r="278" spans="1:6" ht="12.75">
      <c r="A278" s="306"/>
      <c r="B278" s="306"/>
      <c r="C278" s="306"/>
      <c r="D278" s="306"/>
      <c r="E278" s="306"/>
      <c r="F278" s="306"/>
    </row>
    <row r="279" spans="1:6" ht="12.75">
      <c r="A279" s="306"/>
      <c r="B279" s="306"/>
      <c r="C279" s="306"/>
      <c r="D279" s="306"/>
      <c r="E279" s="306"/>
      <c r="F279" s="306"/>
    </row>
    <row r="280" spans="1:6" ht="12.75">
      <c r="A280" s="306"/>
      <c r="B280" s="306"/>
      <c r="C280" s="306"/>
      <c r="D280" s="306"/>
      <c r="E280" s="306"/>
      <c r="F280" s="306"/>
    </row>
    <row r="281" spans="1:6" ht="12.75">
      <c r="A281" s="306"/>
      <c r="B281" s="306"/>
      <c r="C281" s="306"/>
      <c r="D281" s="306"/>
      <c r="E281" s="306"/>
      <c r="F281" s="306"/>
    </row>
    <row r="282" spans="1:6" ht="12.75">
      <c r="A282" s="306"/>
      <c r="B282" s="306"/>
      <c r="C282" s="306"/>
      <c r="D282" s="306"/>
      <c r="E282" s="306"/>
      <c r="F282" s="306"/>
    </row>
    <row r="283" spans="1:6" ht="12.75">
      <c r="A283" s="306"/>
      <c r="B283" s="306"/>
      <c r="C283" s="306"/>
      <c r="D283" s="306"/>
      <c r="E283" s="306"/>
      <c r="F283" s="306"/>
    </row>
    <row r="284" spans="1:6" ht="12.75">
      <c r="A284" s="306"/>
      <c r="B284" s="306"/>
      <c r="C284" s="306"/>
      <c r="D284" s="306"/>
      <c r="E284" s="306"/>
      <c r="F284" s="306"/>
    </row>
    <row r="285" spans="1:6" ht="12.75">
      <c r="A285" s="306"/>
      <c r="B285" s="306"/>
      <c r="C285" s="306"/>
      <c r="D285" s="306"/>
      <c r="E285" s="306"/>
      <c r="F285" s="306"/>
    </row>
    <row r="286" spans="1:6" ht="12.75">
      <c r="A286" s="306"/>
      <c r="B286" s="306"/>
      <c r="C286" s="306"/>
      <c r="D286" s="306"/>
      <c r="E286" s="306"/>
      <c r="F286" s="306"/>
    </row>
    <row r="287" spans="1:6" ht="12.75">
      <c r="A287" s="306"/>
      <c r="B287" s="306"/>
      <c r="C287" s="306"/>
      <c r="D287" s="306"/>
      <c r="E287" s="306"/>
      <c r="F287" s="306"/>
    </row>
    <row r="288" spans="1:6" ht="12.75">
      <c r="A288" s="306"/>
      <c r="B288" s="306"/>
      <c r="C288" s="306"/>
      <c r="D288" s="306"/>
      <c r="E288" s="306"/>
      <c r="F288" s="306"/>
    </row>
    <row r="289" spans="1:6" ht="12.75">
      <c r="A289" s="306"/>
      <c r="B289" s="306"/>
      <c r="C289" s="306"/>
      <c r="D289" s="306"/>
      <c r="E289" s="306"/>
      <c r="F289" s="306"/>
    </row>
    <row r="290" spans="1:6" ht="12.75">
      <c r="A290" s="306"/>
      <c r="B290" s="306"/>
      <c r="C290" s="306"/>
      <c r="D290" s="306"/>
      <c r="E290" s="306"/>
      <c r="F290" s="306"/>
    </row>
    <row r="291" spans="1:6" ht="12.75">
      <c r="A291" s="306"/>
      <c r="B291" s="306"/>
      <c r="C291" s="306"/>
      <c r="D291" s="306"/>
      <c r="E291" s="306"/>
      <c r="F291" s="306"/>
    </row>
    <row r="292" spans="1:6" ht="12.75">
      <c r="A292" s="306"/>
      <c r="B292" s="306"/>
      <c r="C292" s="306"/>
      <c r="D292" s="306"/>
      <c r="E292" s="306"/>
      <c r="F292" s="306"/>
    </row>
    <row r="293" spans="1:6" ht="12.75">
      <c r="A293" s="306"/>
      <c r="B293" s="306"/>
      <c r="C293" s="306"/>
      <c r="D293" s="306"/>
      <c r="E293" s="306"/>
      <c r="F293" s="306"/>
    </row>
    <row r="294" spans="1:6" ht="12.75">
      <c r="A294" s="306"/>
      <c r="B294" s="306"/>
      <c r="C294" s="306"/>
      <c r="D294" s="306"/>
      <c r="E294" s="306"/>
      <c r="F294" s="306"/>
    </row>
    <row r="295" spans="1:6" ht="12.75">
      <c r="A295" s="306"/>
      <c r="B295" s="306"/>
      <c r="C295" s="306"/>
      <c r="D295" s="306"/>
      <c r="E295" s="306"/>
      <c r="F295" s="306"/>
    </row>
    <row r="296" spans="1:6" ht="12.75">
      <c r="A296" s="306"/>
      <c r="B296" s="306"/>
      <c r="C296" s="306"/>
      <c r="D296" s="306"/>
      <c r="E296" s="306"/>
      <c r="F296" s="306"/>
    </row>
    <row r="297" spans="1:6" ht="12.75">
      <c r="A297" s="306"/>
      <c r="B297" s="306"/>
      <c r="C297" s="306"/>
      <c r="D297" s="306"/>
      <c r="E297" s="306"/>
      <c r="F297" s="306"/>
    </row>
    <row r="298" spans="1:6" ht="12.75">
      <c r="A298" s="306"/>
      <c r="B298" s="306"/>
      <c r="C298" s="306"/>
      <c r="D298" s="306"/>
      <c r="E298" s="306"/>
      <c r="F298" s="306"/>
    </row>
    <row r="299" spans="1:6" ht="12.75">
      <c r="A299" s="306"/>
      <c r="B299" s="306"/>
      <c r="C299" s="306"/>
      <c r="D299" s="306"/>
      <c r="E299" s="306"/>
      <c r="F299" s="306"/>
    </row>
    <row r="300" spans="1:6" ht="12.75">
      <c r="A300" s="306"/>
      <c r="B300" s="306"/>
      <c r="C300" s="306"/>
      <c r="D300" s="306"/>
      <c r="E300" s="306"/>
      <c r="F300" s="306"/>
    </row>
    <row r="301" spans="1:6" ht="12.75">
      <c r="A301" s="306"/>
      <c r="B301" s="306"/>
      <c r="C301" s="306"/>
      <c r="D301" s="306"/>
      <c r="E301" s="306"/>
      <c r="F301" s="306"/>
    </row>
    <row r="302" spans="1:6" ht="12.75">
      <c r="A302" s="306"/>
      <c r="B302" s="306"/>
      <c r="C302" s="306"/>
      <c r="D302" s="306"/>
      <c r="E302" s="306"/>
      <c r="F302" s="306"/>
    </row>
    <row r="303" spans="1:6" ht="12.75">
      <c r="A303" s="306"/>
      <c r="B303" s="306"/>
      <c r="C303" s="306"/>
      <c r="D303" s="306"/>
      <c r="E303" s="306"/>
      <c r="F303" s="306"/>
    </row>
    <row r="304" spans="1:6" ht="12.75">
      <c r="A304" s="306"/>
      <c r="B304" s="306"/>
      <c r="C304" s="306"/>
      <c r="D304" s="306"/>
      <c r="E304" s="306"/>
      <c r="F304" s="306"/>
    </row>
    <row r="305" spans="1:6" ht="12.75">
      <c r="A305" s="306"/>
      <c r="B305" s="306"/>
      <c r="C305" s="306"/>
      <c r="D305" s="306"/>
      <c r="E305" s="306"/>
      <c r="F305" s="306"/>
    </row>
    <row r="306" spans="1:6" ht="12.75">
      <c r="A306" s="306"/>
      <c r="B306" s="306"/>
      <c r="C306" s="306"/>
      <c r="D306" s="306"/>
      <c r="E306" s="306"/>
      <c r="F306" s="306"/>
    </row>
    <row r="307" spans="1:6" ht="12.75">
      <c r="A307" s="306"/>
      <c r="B307" s="306"/>
      <c r="C307" s="306"/>
      <c r="D307" s="306"/>
      <c r="E307" s="306"/>
      <c r="F307" s="306"/>
    </row>
    <row r="308" spans="1:6" ht="12.75">
      <c r="A308" s="306"/>
      <c r="B308" s="306"/>
      <c r="C308" s="306"/>
      <c r="D308" s="306"/>
      <c r="E308" s="306"/>
      <c r="F308" s="306"/>
    </row>
    <row r="309" spans="1:6" ht="12.75">
      <c r="A309" s="306"/>
      <c r="B309" s="306"/>
      <c r="C309" s="306"/>
      <c r="D309" s="306"/>
      <c r="E309" s="306"/>
      <c r="F309" s="306"/>
    </row>
    <row r="310" spans="1:6" ht="12.75">
      <c r="A310" s="306"/>
      <c r="B310" s="306"/>
      <c r="C310" s="306"/>
      <c r="D310" s="306"/>
      <c r="E310" s="306"/>
      <c r="F310" s="306"/>
    </row>
    <row r="311" spans="1:6" ht="12.75">
      <c r="A311" s="306"/>
      <c r="B311" s="306"/>
      <c r="C311" s="306"/>
      <c r="D311" s="306"/>
      <c r="E311" s="306"/>
      <c r="F311" s="306"/>
    </row>
    <row r="312" spans="1:6" ht="12.75">
      <c r="A312" s="306"/>
      <c r="B312" s="306"/>
      <c r="C312" s="306"/>
      <c r="D312" s="306"/>
      <c r="E312" s="306"/>
      <c r="F312" s="306"/>
    </row>
    <row r="313" spans="1:6" ht="12.75">
      <c r="A313" s="306"/>
      <c r="B313" s="306"/>
      <c r="C313" s="306"/>
      <c r="D313" s="306"/>
      <c r="E313" s="306"/>
      <c r="F313" s="306"/>
    </row>
    <row r="314" spans="1:6" ht="12.75">
      <c r="A314" s="306"/>
      <c r="B314" s="306"/>
      <c r="C314" s="306"/>
      <c r="D314" s="306"/>
      <c r="E314" s="306"/>
      <c r="F314" s="306"/>
    </row>
    <row r="315" spans="1:6" ht="12.75">
      <c r="A315" s="306"/>
      <c r="B315" s="306"/>
      <c r="C315" s="306"/>
      <c r="D315" s="306"/>
      <c r="E315" s="306"/>
      <c r="F315" s="306"/>
    </row>
    <row r="316" spans="1:6" ht="12.75">
      <c r="A316" s="306"/>
      <c r="B316" s="306"/>
      <c r="C316" s="306"/>
      <c r="D316" s="306"/>
      <c r="E316" s="306"/>
      <c r="F316" s="306"/>
    </row>
    <row r="317" spans="1:6" ht="12.75">
      <c r="A317" s="306"/>
      <c r="B317" s="306"/>
      <c r="C317" s="306"/>
      <c r="D317" s="306"/>
      <c r="E317" s="306"/>
      <c r="F317" s="306"/>
    </row>
    <row r="318" spans="1:6" ht="12.75">
      <c r="A318" s="306"/>
      <c r="B318" s="306"/>
      <c r="C318" s="306"/>
      <c r="D318" s="306"/>
      <c r="E318" s="306"/>
      <c r="F318" s="306"/>
    </row>
    <row r="319" spans="1:6" ht="12.75">
      <c r="A319" s="306"/>
      <c r="B319" s="306"/>
      <c r="C319" s="306"/>
      <c r="D319" s="306"/>
      <c r="E319" s="306"/>
      <c r="F319" s="306"/>
    </row>
    <row r="320" spans="1:6" ht="12.75">
      <c r="A320" s="306"/>
      <c r="B320" s="306"/>
      <c r="C320" s="306"/>
      <c r="D320" s="306"/>
      <c r="E320" s="306"/>
      <c r="F320" s="306"/>
    </row>
    <row r="321" spans="1:6" ht="12.75">
      <c r="A321" s="306"/>
      <c r="B321" s="306"/>
      <c r="C321" s="306"/>
      <c r="D321" s="306"/>
      <c r="E321" s="306"/>
      <c r="F321" s="306"/>
    </row>
    <row r="322" spans="1:6" ht="12.75">
      <c r="A322" s="306"/>
      <c r="B322" s="306"/>
      <c r="C322" s="306"/>
      <c r="D322" s="306"/>
      <c r="E322" s="306"/>
      <c r="F322" s="306"/>
    </row>
    <row r="323" spans="1:6" ht="12.75">
      <c r="A323" s="306"/>
      <c r="B323" s="306"/>
      <c r="C323" s="306"/>
      <c r="D323" s="306"/>
      <c r="E323" s="306"/>
      <c r="F323" s="306"/>
    </row>
    <row r="324" spans="1:6" ht="12.75">
      <c r="A324" s="306"/>
      <c r="B324" s="306"/>
      <c r="C324" s="306"/>
      <c r="D324" s="306"/>
      <c r="E324" s="306"/>
      <c r="F324" s="306"/>
    </row>
    <row r="325" spans="1:6" ht="12.75">
      <c r="A325" s="306"/>
      <c r="B325" s="306"/>
      <c r="C325" s="306"/>
      <c r="D325" s="306"/>
      <c r="E325" s="306"/>
      <c r="F325" s="306"/>
    </row>
    <row r="326" spans="1:6" ht="12.75">
      <c r="A326" s="306"/>
      <c r="B326" s="306"/>
      <c r="C326" s="306"/>
      <c r="D326" s="306"/>
      <c r="E326" s="306"/>
      <c r="F326" s="306"/>
    </row>
    <row r="327" spans="1:6" ht="12.75">
      <c r="A327" s="306"/>
      <c r="B327" s="306"/>
      <c r="C327" s="306"/>
      <c r="D327" s="306"/>
      <c r="E327" s="306"/>
      <c r="F327" s="306"/>
    </row>
    <row r="328" spans="1:6" ht="12.75">
      <c r="A328" s="306"/>
      <c r="B328" s="306"/>
      <c r="C328" s="306"/>
      <c r="D328" s="306"/>
      <c r="E328" s="306"/>
      <c r="F328" s="306"/>
    </row>
    <row r="329" spans="1:6" ht="12.75">
      <c r="A329" s="306"/>
      <c r="B329" s="306"/>
      <c r="C329" s="306"/>
      <c r="D329" s="306"/>
      <c r="E329" s="306"/>
      <c r="F329" s="306"/>
    </row>
    <row r="330" spans="1:6" ht="12.75">
      <c r="A330" s="306"/>
      <c r="B330" s="306"/>
      <c r="C330" s="306"/>
      <c r="D330" s="306"/>
      <c r="E330" s="306"/>
      <c r="F330" s="306"/>
    </row>
    <row r="331" spans="1:6" ht="12.75">
      <c r="A331" s="306"/>
      <c r="B331" s="306"/>
      <c r="C331" s="306"/>
      <c r="D331" s="306"/>
      <c r="E331" s="306"/>
      <c r="F331" s="306"/>
    </row>
    <row r="332" spans="1:6" ht="12.75">
      <c r="A332" s="306"/>
      <c r="B332" s="306"/>
      <c r="C332" s="306"/>
      <c r="D332" s="306"/>
      <c r="E332" s="306"/>
      <c r="F332" s="306"/>
    </row>
    <row r="333" spans="1:6" ht="12.75">
      <c r="A333" s="306"/>
      <c r="B333" s="306"/>
      <c r="C333" s="306"/>
      <c r="D333" s="306"/>
      <c r="E333" s="306"/>
      <c r="F333" s="306"/>
    </row>
    <row r="334" spans="1:6" ht="12.75">
      <c r="A334" s="306"/>
      <c r="B334" s="306"/>
      <c r="C334" s="306"/>
      <c r="D334" s="306"/>
      <c r="E334" s="306"/>
      <c r="F334" s="306"/>
    </row>
    <row r="335" spans="1:6" ht="12.75">
      <c r="A335" s="306"/>
      <c r="B335" s="306"/>
      <c r="C335" s="306"/>
      <c r="D335" s="306"/>
      <c r="E335" s="306"/>
      <c r="F335" s="306"/>
    </row>
    <row r="336" spans="1:6" ht="12.75">
      <c r="A336" s="306"/>
      <c r="B336" s="306"/>
      <c r="C336" s="306"/>
      <c r="D336" s="306"/>
      <c r="E336" s="306"/>
      <c r="F336" s="306"/>
    </row>
    <row r="337" spans="1:6" ht="12.75">
      <c r="A337" s="306"/>
      <c r="B337" s="306"/>
      <c r="C337" s="306"/>
      <c r="D337" s="306"/>
      <c r="E337" s="306"/>
      <c r="F337" s="306"/>
    </row>
    <row r="338" spans="1:6" ht="12.75">
      <c r="A338" s="306"/>
      <c r="B338" s="306"/>
      <c r="C338" s="306"/>
      <c r="D338" s="306"/>
      <c r="E338" s="306"/>
      <c r="F338" s="306"/>
    </row>
    <row r="339" spans="1:6" ht="12.75">
      <c r="A339" s="306"/>
      <c r="B339" s="306"/>
      <c r="C339" s="306"/>
      <c r="D339" s="306"/>
      <c r="E339" s="306"/>
      <c r="F339" s="306"/>
    </row>
    <row r="340" spans="1:6" ht="12.75">
      <c r="A340" s="306"/>
      <c r="B340" s="306"/>
      <c r="C340" s="306"/>
      <c r="D340" s="306"/>
      <c r="E340" s="306"/>
      <c r="F340" s="306"/>
    </row>
    <row r="341" spans="1:6" ht="12.75">
      <c r="A341" s="306"/>
      <c r="B341" s="306"/>
      <c r="C341" s="306"/>
      <c r="D341" s="306"/>
      <c r="E341" s="306"/>
      <c r="F341" s="306"/>
    </row>
    <row r="342" spans="1:6" ht="12.75">
      <c r="A342" s="306"/>
      <c r="B342" s="306"/>
      <c r="C342" s="306"/>
      <c r="D342" s="306"/>
      <c r="E342" s="306"/>
      <c r="F342" s="306"/>
    </row>
    <row r="343" spans="1:6" ht="12.75">
      <c r="A343" s="306"/>
      <c r="B343" s="306"/>
      <c r="C343" s="306"/>
      <c r="D343" s="306"/>
      <c r="E343" s="306"/>
      <c r="F343" s="306"/>
    </row>
    <row r="344" spans="1:6" ht="12.75">
      <c r="A344" s="306"/>
      <c r="B344" s="306"/>
      <c r="C344" s="306"/>
      <c r="D344" s="306"/>
      <c r="E344" s="306"/>
      <c r="F344" s="306"/>
    </row>
    <row r="345" spans="1:6" ht="12.75">
      <c r="A345" s="306"/>
      <c r="B345" s="306"/>
      <c r="C345" s="306"/>
      <c r="D345" s="306"/>
      <c r="E345" s="306"/>
      <c r="F345" s="306"/>
    </row>
    <row r="346" spans="1:6" ht="12.75">
      <c r="A346" s="306"/>
      <c r="B346" s="306"/>
      <c r="C346" s="306"/>
      <c r="D346" s="306"/>
      <c r="E346" s="306"/>
      <c r="F346" s="306"/>
    </row>
    <row r="347" spans="1:6" ht="12.75">
      <c r="A347" s="306"/>
      <c r="B347" s="306"/>
      <c r="C347" s="306"/>
      <c r="D347" s="306"/>
      <c r="E347" s="306"/>
      <c r="F347" s="306"/>
    </row>
    <row r="348" spans="1:6" ht="12.75">
      <c r="A348" s="306"/>
      <c r="B348" s="306"/>
      <c r="C348" s="306"/>
      <c r="D348" s="306"/>
      <c r="E348" s="306"/>
      <c r="F348" s="306"/>
    </row>
    <row r="349" spans="1:6" ht="12.75">
      <c r="A349" s="306"/>
      <c r="B349" s="306"/>
      <c r="C349" s="306"/>
      <c r="D349" s="306"/>
      <c r="E349" s="306"/>
      <c r="F349" s="306"/>
    </row>
    <row r="350" spans="1:6" ht="12.75">
      <c r="A350" s="306"/>
      <c r="B350" s="306"/>
      <c r="C350" s="306"/>
      <c r="D350" s="306"/>
      <c r="E350" s="306"/>
      <c r="F350" s="306"/>
    </row>
    <row r="351" spans="1:6" ht="12.75">
      <c r="A351" s="306"/>
      <c r="B351" s="306"/>
      <c r="C351" s="306"/>
      <c r="D351" s="306"/>
      <c r="E351" s="306"/>
      <c r="F351" s="306"/>
    </row>
    <row r="352" spans="1:6" ht="12.75">
      <c r="A352" s="306"/>
      <c r="B352" s="306"/>
      <c r="C352" s="306"/>
      <c r="D352" s="306"/>
      <c r="E352" s="306"/>
      <c r="F352" s="306"/>
    </row>
    <row r="353" spans="1:6" ht="12.75">
      <c r="A353" s="306"/>
      <c r="B353" s="306"/>
      <c r="C353" s="306"/>
      <c r="D353" s="306"/>
      <c r="E353" s="306"/>
      <c r="F353" s="306"/>
    </row>
    <row r="354" spans="1:6" ht="12.75">
      <c r="A354" s="306"/>
      <c r="B354" s="306"/>
      <c r="C354" s="306"/>
      <c r="D354" s="306"/>
      <c r="E354" s="306"/>
      <c r="F354" s="306"/>
    </row>
    <row r="355" spans="1:6" ht="12.75">
      <c r="A355" s="306"/>
      <c r="B355" s="306"/>
      <c r="C355" s="306"/>
      <c r="D355" s="306"/>
      <c r="E355" s="306"/>
      <c r="F355" s="306"/>
    </row>
    <row r="356" spans="1:6" ht="12.75">
      <c r="A356" s="306"/>
      <c r="B356" s="306"/>
      <c r="C356" s="306"/>
      <c r="D356" s="306"/>
      <c r="E356" s="306"/>
      <c r="F356" s="306"/>
    </row>
    <row r="357" spans="1:6" ht="12.75">
      <c r="A357" s="306"/>
      <c r="B357" s="306"/>
      <c r="C357" s="306"/>
      <c r="D357" s="306"/>
      <c r="E357" s="306"/>
      <c r="F357" s="306"/>
    </row>
    <row r="358" spans="1:6" ht="12.75">
      <c r="A358" s="306"/>
      <c r="B358" s="306"/>
      <c r="C358" s="306"/>
      <c r="D358" s="306"/>
      <c r="E358" s="306"/>
      <c r="F358" s="306"/>
    </row>
    <row r="359" spans="1:6" ht="12.75">
      <c r="A359" s="306"/>
      <c r="B359" s="306"/>
      <c r="C359" s="306"/>
      <c r="D359" s="306"/>
      <c r="E359" s="306"/>
      <c r="F359" s="306"/>
    </row>
    <row r="360" spans="1:6" ht="12.75">
      <c r="A360" s="306"/>
      <c r="B360" s="306"/>
      <c r="C360" s="306"/>
      <c r="D360" s="306"/>
      <c r="E360" s="306"/>
      <c r="F360" s="306"/>
    </row>
    <row r="361" spans="1:6" ht="12.75">
      <c r="A361" s="306"/>
      <c r="B361" s="306"/>
      <c r="C361" s="306"/>
      <c r="D361" s="306"/>
      <c r="E361" s="306"/>
      <c r="F361" s="306"/>
    </row>
    <row r="362" spans="1:6" ht="12.75">
      <c r="A362" s="306"/>
      <c r="B362" s="306"/>
      <c r="C362" s="306"/>
      <c r="D362" s="306"/>
      <c r="E362" s="306"/>
      <c r="F362" s="306"/>
    </row>
    <row r="363" spans="1:6" ht="12.75">
      <c r="A363" s="306"/>
      <c r="B363" s="306"/>
      <c r="C363" s="306"/>
      <c r="D363" s="306"/>
      <c r="E363" s="306"/>
      <c r="F363" s="306"/>
    </row>
    <row r="364" spans="1:6" ht="12.75">
      <c r="A364" s="306"/>
      <c r="B364" s="306"/>
      <c r="C364" s="306"/>
      <c r="D364" s="306"/>
      <c r="E364" s="306"/>
      <c r="F364" s="306"/>
    </row>
    <row r="365" spans="1:6" ht="12.75">
      <c r="A365" s="306"/>
      <c r="B365" s="306"/>
      <c r="C365" s="306"/>
      <c r="D365" s="306"/>
      <c r="E365" s="306"/>
      <c r="F365" s="306"/>
    </row>
    <row r="366" spans="1:6" ht="12.75">
      <c r="A366" s="306"/>
      <c r="B366" s="306"/>
      <c r="C366" s="306"/>
      <c r="D366" s="306"/>
      <c r="E366" s="306"/>
      <c r="F366" s="306"/>
    </row>
    <row r="367" spans="1:6" ht="12.75">
      <c r="A367" s="306"/>
      <c r="B367" s="306"/>
      <c r="C367" s="306"/>
      <c r="D367" s="306"/>
      <c r="E367" s="306"/>
      <c r="F367" s="306"/>
    </row>
    <row r="368" spans="1:6" ht="12.75">
      <c r="A368" s="306"/>
      <c r="B368" s="306"/>
      <c r="C368" s="306"/>
      <c r="D368" s="306"/>
      <c r="E368" s="306"/>
      <c r="F368" s="306"/>
    </row>
    <row r="369" spans="1:6" ht="12.75">
      <c r="A369" s="306"/>
      <c r="B369" s="306"/>
      <c r="C369" s="306"/>
      <c r="D369" s="306"/>
      <c r="E369" s="306"/>
      <c r="F369" s="306"/>
    </row>
    <row r="370" spans="1:6" ht="12.75">
      <c r="A370" s="306"/>
      <c r="B370" s="306"/>
      <c r="C370" s="306"/>
      <c r="D370" s="306"/>
      <c r="E370" s="306"/>
      <c r="F370" s="306"/>
    </row>
    <row r="371" spans="1:6" ht="12.75">
      <c r="A371" s="306"/>
      <c r="B371" s="306"/>
      <c r="C371" s="306"/>
      <c r="D371" s="306"/>
      <c r="E371" s="306"/>
      <c r="F371" s="306"/>
    </row>
    <row r="372" spans="1:6" ht="12.75">
      <c r="A372" s="306"/>
      <c r="B372" s="306"/>
      <c r="C372" s="306"/>
      <c r="D372" s="306"/>
      <c r="E372" s="306"/>
      <c r="F372" s="306"/>
    </row>
    <row r="373" spans="1:6" ht="12.75">
      <c r="A373" s="306"/>
      <c r="B373" s="306"/>
      <c r="C373" s="306"/>
      <c r="D373" s="306"/>
      <c r="E373" s="306"/>
      <c r="F373" s="306"/>
    </row>
    <row r="374" spans="1:6" ht="12.75">
      <c r="A374" s="306"/>
      <c r="B374" s="306"/>
      <c r="C374" s="306"/>
      <c r="D374" s="306"/>
      <c r="E374" s="306"/>
      <c r="F374" s="306"/>
    </row>
    <row r="375" spans="1:6" ht="12.75">
      <c r="A375" s="306"/>
      <c r="B375" s="306"/>
      <c r="C375" s="306"/>
      <c r="D375" s="306"/>
      <c r="E375" s="306"/>
      <c r="F375" s="306"/>
    </row>
    <row r="376" spans="1:6" ht="12.75">
      <c r="A376" s="306"/>
      <c r="B376" s="306"/>
      <c r="C376" s="306"/>
      <c r="D376" s="306"/>
      <c r="E376" s="306"/>
      <c r="F376" s="306"/>
    </row>
    <row r="377" spans="1:6" ht="12.75">
      <c r="A377" s="306"/>
      <c r="B377" s="306"/>
      <c r="C377" s="306"/>
      <c r="D377" s="306"/>
      <c r="E377" s="306"/>
      <c r="F377" s="306"/>
    </row>
    <row r="378" spans="1:6" ht="12.75">
      <c r="A378" s="306"/>
      <c r="B378" s="306"/>
      <c r="C378" s="306"/>
      <c r="D378" s="306"/>
      <c r="E378" s="306"/>
      <c r="F378" s="306"/>
    </row>
    <row r="379" spans="1:6" ht="12.75">
      <c r="A379" s="306"/>
      <c r="B379" s="306"/>
      <c r="C379" s="306"/>
      <c r="D379" s="306"/>
      <c r="E379" s="306"/>
      <c r="F379" s="306"/>
    </row>
    <row r="380" spans="1:6" ht="12.75">
      <c r="A380" s="306"/>
      <c r="B380" s="306"/>
      <c r="C380" s="306"/>
      <c r="D380" s="306"/>
      <c r="E380" s="306"/>
      <c r="F380" s="306"/>
    </row>
    <row r="381" spans="1:6" ht="12.75">
      <c r="A381" s="306"/>
      <c r="B381" s="306"/>
      <c r="C381" s="306"/>
      <c r="D381" s="306"/>
      <c r="E381" s="306"/>
      <c r="F381" s="306"/>
    </row>
    <row r="382" spans="1:6" ht="12.75">
      <c r="A382" s="306"/>
      <c r="B382" s="306"/>
      <c r="C382" s="306"/>
      <c r="D382" s="306"/>
      <c r="E382" s="306"/>
      <c r="F382" s="306"/>
    </row>
    <row r="383" spans="1:6" ht="12.75">
      <c r="A383" s="306"/>
      <c r="B383" s="306"/>
      <c r="C383" s="306"/>
      <c r="D383" s="306"/>
      <c r="E383" s="306"/>
      <c r="F383" s="306"/>
    </row>
    <row r="384" spans="1:6" ht="12.75">
      <c r="A384" s="306"/>
      <c r="B384" s="306"/>
      <c r="C384" s="306"/>
      <c r="D384" s="306"/>
      <c r="E384" s="306"/>
      <c r="F384" s="306"/>
    </row>
    <row r="385" spans="1:6" ht="12.75">
      <c r="A385" s="306"/>
      <c r="B385" s="306"/>
      <c r="C385" s="306"/>
      <c r="D385" s="306"/>
      <c r="E385" s="306"/>
      <c r="F385" s="306"/>
    </row>
    <row r="386" spans="1:6" ht="12.75">
      <c r="A386" s="306"/>
      <c r="B386" s="306"/>
      <c r="C386" s="306"/>
      <c r="D386" s="306"/>
      <c r="E386" s="306"/>
      <c r="F386" s="306"/>
    </row>
    <row r="387" spans="1:6" ht="12.75">
      <c r="A387" s="306"/>
      <c r="B387" s="306"/>
      <c r="C387" s="306"/>
      <c r="D387" s="306"/>
      <c r="E387" s="306"/>
      <c r="F387" s="306"/>
    </row>
    <row r="388" spans="1:6" ht="12.75">
      <c r="A388" s="306"/>
      <c r="B388" s="306"/>
      <c r="C388" s="306"/>
      <c r="D388" s="306"/>
      <c r="E388" s="306"/>
      <c r="F388" s="306"/>
    </row>
    <row r="389" spans="1:6" ht="12.75">
      <c r="A389" s="306"/>
      <c r="B389" s="306"/>
      <c r="C389" s="306"/>
      <c r="D389" s="306"/>
      <c r="E389" s="306"/>
      <c r="F389" s="306"/>
    </row>
    <row r="390" spans="1:6" ht="12.75">
      <c r="A390" s="306"/>
      <c r="B390" s="306"/>
      <c r="C390" s="306"/>
      <c r="D390" s="306"/>
      <c r="E390" s="306"/>
      <c r="F390" s="306"/>
    </row>
    <row r="391" spans="1:6" ht="12.75">
      <c r="A391" s="306"/>
      <c r="B391" s="306"/>
      <c r="C391" s="306"/>
      <c r="D391" s="306"/>
      <c r="E391" s="306"/>
      <c r="F391" s="306"/>
    </row>
    <row r="392" spans="1:6" ht="12.75">
      <c r="A392" s="306"/>
      <c r="B392" s="306"/>
      <c r="C392" s="306"/>
      <c r="D392" s="306"/>
      <c r="E392" s="306"/>
      <c r="F392" s="306"/>
    </row>
    <row r="393" spans="1:6" ht="12.75">
      <c r="A393" s="306"/>
      <c r="B393" s="306"/>
      <c r="C393" s="306"/>
      <c r="D393" s="306"/>
      <c r="E393" s="306"/>
      <c r="F393" s="306"/>
    </row>
    <row r="394" spans="1:6" ht="12.75">
      <c r="A394" s="306"/>
      <c r="B394" s="306"/>
      <c r="C394" s="306"/>
      <c r="D394" s="306"/>
      <c r="E394" s="306"/>
      <c r="F394" s="306"/>
    </row>
    <row r="395" spans="1:6" ht="12.75">
      <c r="A395" s="306"/>
      <c r="B395" s="306"/>
      <c r="C395" s="306"/>
      <c r="D395" s="306"/>
      <c r="E395" s="306"/>
      <c r="F395" s="306"/>
    </row>
    <row r="396" spans="1:6" ht="12.75">
      <c r="A396" s="306"/>
      <c r="B396" s="306"/>
      <c r="C396" s="306"/>
      <c r="D396" s="306"/>
      <c r="E396" s="306"/>
      <c r="F396" s="306"/>
    </row>
    <row r="397" spans="1:6" ht="12.75">
      <c r="A397" s="306"/>
      <c r="B397" s="306"/>
      <c r="C397" s="306"/>
      <c r="D397" s="306"/>
      <c r="E397" s="306"/>
      <c r="F397" s="306"/>
    </row>
    <row r="398" spans="1:6" ht="12.75">
      <c r="A398" s="306"/>
      <c r="B398" s="306"/>
      <c r="C398" s="306"/>
      <c r="D398" s="306"/>
      <c r="E398" s="306"/>
      <c r="F398" s="306"/>
    </row>
    <row r="399" spans="1:6" ht="12.75">
      <c r="A399" s="306"/>
      <c r="B399" s="306"/>
      <c r="C399" s="306"/>
      <c r="D399" s="306"/>
      <c r="E399" s="306"/>
      <c r="F399" s="306"/>
    </row>
    <row r="400" spans="1:6" ht="12.75">
      <c r="A400" s="306"/>
      <c r="B400" s="306"/>
      <c r="C400" s="306"/>
      <c r="D400" s="306"/>
      <c r="E400" s="306"/>
      <c r="F400" s="306"/>
    </row>
    <row r="401" spans="1:6" ht="12.75">
      <c r="A401" s="306"/>
      <c r="B401" s="306"/>
      <c r="C401" s="306"/>
      <c r="D401" s="306"/>
      <c r="E401" s="306"/>
      <c r="F401" s="306"/>
    </row>
    <row r="402" spans="1:6" ht="12.75">
      <c r="A402" s="306"/>
      <c r="B402" s="306"/>
      <c r="C402" s="306"/>
      <c r="D402" s="306"/>
      <c r="E402" s="306"/>
      <c r="F402" s="306"/>
    </row>
    <row r="403" spans="1:6" ht="12.75">
      <c r="A403" s="306"/>
      <c r="B403" s="306"/>
      <c r="C403" s="306"/>
      <c r="D403" s="306"/>
      <c r="E403" s="306"/>
      <c r="F403" s="306"/>
    </row>
    <row r="404" spans="1:6" ht="12.75">
      <c r="A404" s="306"/>
      <c r="B404" s="306"/>
      <c r="C404" s="306"/>
      <c r="D404" s="306"/>
      <c r="E404" s="306"/>
      <c r="F404" s="306"/>
    </row>
    <row r="405" spans="1:6" ht="12.75">
      <c r="A405" s="306"/>
      <c r="B405" s="306"/>
      <c r="C405" s="306"/>
      <c r="D405" s="306"/>
      <c r="E405" s="306"/>
      <c r="F405" s="306"/>
    </row>
    <row r="406" spans="1:6" ht="12.75">
      <c r="A406" s="306"/>
      <c r="B406" s="306"/>
      <c r="C406" s="306"/>
      <c r="D406" s="306"/>
      <c r="E406" s="306"/>
      <c r="F406" s="306"/>
    </row>
    <row r="407" spans="1:6" ht="12.75">
      <c r="A407" s="306"/>
      <c r="B407" s="306"/>
      <c r="C407" s="306"/>
      <c r="D407" s="306"/>
      <c r="E407" s="306"/>
      <c r="F407" s="306"/>
    </row>
    <row r="408" spans="1:6" ht="12.75">
      <c r="A408" s="306"/>
      <c r="B408" s="306"/>
      <c r="C408" s="306"/>
      <c r="D408" s="306"/>
      <c r="E408" s="306"/>
      <c r="F408" s="306"/>
    </row>
    <row r="409" spans="1:6" ht="12.75">
      <c r="A409" s="306"/>
      <c r="B409" s="306"/>
      <c r="C409" s="306"/>
      <c r="D409" s="306"/>
      <c r="E409" s="306"/>
      <c r="F409" s="306"/>
    </row>
    <row r="410" spans="1:6" ht="12.75">
      <c r="A410" s="306"/>
      <c r="B410" s="306"/>
      <c r="C410" s="306"/>
      <c r="D410" s="306"/>
      <c r="E410" s="306"/>
      <c r="F410" s="306"/>
    </row>
    <row r="411" spans="1:6" ht="12.75">
      <c r="A411" s="306"/>
      <c r="B411" s="306"/>
      <c r="C411" s="306"/>
      <c r="D411" s="306"/>
      <c r="E411" s="306"/>
      <c r="F411" s="306"/>
    </row>
    <row r="412" spans="1:6" ht="12.75">
      <c r="A412" s="306"/>
      <c r="B412" s="306"/>
      <c r="C412" s="306"/>
      <c r="D412" s="306"/>
      <c r="E412" s="306"/>
      <c r="F412" s="306"/>
    </row>
    <row r="413" spans="1:6" ht="12.75">
      <c r="A413" s="306"/>
      <c r="B413" s="306"/>
      <c r="C413" s="306"/>
      <c r="D413" s="306"/>
      <c r="E413" s="306"/>
      <c r="F413" s="306"/>
    </row>
    <row r="414" spans="1:6" ht="12.75">
      <c r="A414" s="306"/>
      <c r="B414" s="306"/>
      <c r="C414" s="306"/>
      <c r="D414" s="306"/>
      <c r="E414" s="306"/>
      <c r="F414" s="306"/>
    </row>
    <row r="415" spans="1:6" ht="12.75">
      <c r="A415" s="306"/>
      <c r="B415" s="306"/>
      <c r="C415" s="306"/>
      <c r="D415" s="306"/>
      <c r="E415" s="306"/>
      <c r="F415" s="306"/>
    </row>
    <row r="416" spans="1:6" ht="12.75">
      <c r="A416" s="306"/>
      <c r="B416" s="306"/>
      <c r="C416" s="306"/>
      <c r="D416" s="306"/>
      <c r="E416" s="306"/>
      <c r="F416" s="306"/>
    </row>
    <row r="417" spans="1:6" ht="12.75">
      <c r="A417" s="306"/>
      <c r="B417" s="306"/>
      <c r="C417" s="306"/>
      <c r="D417" s="306"/>
      <c r="E417" s="306"/>
      <c r="F417" s="306"/>
    </row>
    <row r="418" spans="1:6" ht="12.75">
      <c r="A418" s="306"/>
      <c r="B418" s="306"/>
      <c r="C418" s="306"/>
      <c r="D418" s="306"/>
      <c r="E418" s="306"/>
      <c r="F418" s="306"/>
    </row>
    <row r="419" spans="1:6" ht="12.75">
      <c r="A419" s="306"/>
      <c r="B419" s="306"/>
      <c r="C419" s="306"/>
      <c r="D419" s="306"/>
      <c r="E419" s="306"/>
      <c r="F419" s="306"/>
    </row>
    <row r="420" spans="1:6" ht="12.75">
      <c r="A420" s="306"/>
      <c r="B420" s="306"/>
      <c r="C420" s="306"/>
      <c r="D420" s="306"/>
      <c r="E420" s="306"/>
      <c r="F420" s="306"/>
    </row>
    <row r="421" spans="1:6" ht="12.75">
      <c r="A421" s="306"/>
      <c r="B421" s="306"/>
      <c r="C421" s="306"/>
      <c r="D421" s="306"/>
      <c r="E421" s="306"/>
      <c r="F421" s="306"/>
    </row>
    <row r="422" spans="1:6" ht="12.75">
      <c r="A422" s="306"/>
      <c r="B422" s="306"/>
      <c r="C422" s="306"/>
      <c r="D422" s="306"/>
      <c r="E422" s="306"/>
      <c r="F422" s="306"/>
    </row>
    <row r="423" spans="1:6" ht="12.75">
      <c r="A423" s="306"/>
      <c r="B423" s="306"/>
      <c r="C423" s="306"/>
      <c r="D423" s="306"/>
      <c r="E423" s="306"/>
      <c r="F423" s="306"/>
    </row>
    <row r="424" spans="1:6" ht="12.75">
      <c r="A424" s="306"/>
      <c r="B424" s="306"/>
      <c r="C424" s="306"/>
      <c r="D424" s="306"/>
      <c r="E424" s="306"/>
      <c r="F424" s="306"/>
    </row>
    <row r="425" spans="1:6" ht="12.75">
      <c r="A425" s="306"/>
      <c r="B425" s="306"/>
      <c r="C425" s="306"/>
      <c r="D425" s="306"/>
      <c r="E425" s="306"/>
      <c r="F425" s="306"/>
    </row>
    <row r="426" spans="1:6" ht="12.75">
      <c r="A426" s="306"/>
      <c r="B426" s="306"/>
      <c r="C426" s="306"/>
      <c r="D426" s="306"/>
      <c r="E426" s="306"/>
      <c r="F426" s="306"/>
    </row>
    <row r="427" spans="1:6" ht="12.75">
      <c r="A427" s="306"/>
      <c r="B427" s="306"/>
      <c r="C427" s="306"/>
      <c r="D427" s="306"/>
      <c r="E427" s="306"/>
      <c r="F427" s="306"/>
    </row>
    <row r="428" spans="1:6" ht="12.75">
      <c r="A428" s="306"/>
      <c r="B428" s="306"/>
      <c r="C428" s="306"/>
      <c r="D428" s="306"/>
      <c r="E428" s="306"/>
      <c r="F428" s="306"/>
    </row>
    <row r="429" spans="1:6" ht="12.75">
      <c r="A429" s="306"/>
      <c r="B429" s="306"/>
      <c r="C429" s="306"/>
      <c r="D429" s="306"/>
      <c r="E429" s="306"/>
      <c r="F429" s="306"/>
    </row>
    <row r="430" spans="1:6" ht="12.75">
      <c r="A430" s="306"/>
      <c r="B430" s="306"/>
      <c r="C430" s="306"/>
      <c r="D430" s="306"/>
      <c r="E430" s="306"/>
      <c r="F430" s="306"/>
    </row>
    <row r="431" spans="1:6" ht="12.75">
      <c r="A431" s="306"/>
      <c r="B431" s="306"/>
      <c r="C431" s="306"/>
      <c r="D431" s="306"/>
      <c r="E431" s="306"/>
      <c r="F431" s="306"/>
    </row>
    <row r="432" spans="1:6" ht="12.75">
      <c r="A432" s="306"/>
      <c r="B432" s="306"/>
      <c r="C432" s="306"/>
      <c r="D432" s="306"/>
      <c r="E432" s="306"/>
      <c r="F432" s="306"/>
    </row>
    <row r="433" spans="1:6" ht="12.75">
      <c r="A433" s="306"/>
      <c r="B433" s="306"/>
      <c r="C433" s="306"/>
      <c r="D433" s="306"/>
      <c r="E433" s="306"/>
      <c r="F433" s="306"/>
    </row>
    <row r="434" spans="1:6" ht="12.75">
      <c r="A434" s="306"/>
      <c r="B434" s="306"/>
      <c r="C434" s="306"/>
      <c r="D434" s="306"/>
      <c r="E434" s="306"/>
      <c r="F434" s="306"/>
    </row>
    <row r="435" spans="1:6" ht="12.75">
      <c r="A435" s="306"/>
      <c r="B435" s="306"/>
      <c r="C435" s="306"/>
      <c r="D435" s="306"/>
      <c r="E435" s="306"/>
      <c r="F435" s="306"/>
    </row>
    <row r="436" spans="1:6" ht="12.75">
      <c r="A436" s="306"/>
      <c r="B436" s="306"/>
      <c r="C436" s="306"/>
      <c r="D436" s="306"/>
      <c r="E436" s="306"/>
      <c r="F436" s="306"/>
    </row>
    <row r="437" spans="1:6" ht="12.75">
      <c r="A437" s="306"/>
      <c r="B437" s="306"/>
      <c r="C437" s="306"/>
      <c r="D437" s="306"/>
      <c r="E437" s="306"/>
      <c r="F437" s="306"/>
    </row>
    <row r="438" spans="1:6" ht="12.75">
      <c r="A438" s="306"/>
      <c r="B438" s="306"/>
      <c r="C438" s="306"/>
      <c r="D438" s="306"/>
      <c r="E438" s="306"/>
      <c r="F438" s="306"/>
    </row>
    <row r="439" spans="1:6" ht="12.75">
      <c r="A439" s="306"/>
      <c r="B439" s="306"/>
      <c r="C439" s="306"/>
      <c r="D439" s="306"/>
      <c r="E439" s="306"/>
      <c r="F439" s="306"/>
    </row>
    <row r="440" spans="1:6" ht="12.75">
      <c r="A440" s="306"/>
      <c r="B440" s="306"/>
      <c r="C440" s="306"/>
      <c r="D440" s="306"/>
      <c r="E440" s="306"/>
      <c r="F440" s="306"/>
    </row>
    <row r="441" spans="1:6" ht="12.75">
      <c r="A441" s="306"/>
      <c r="B441" s="306"/>
      <c r="C441" s="306"/>
      <c r="D441" s="306"/>
      <c r="E441" s="306"/>
      <c r="F441" s="306"/>
    </row>
    <row r="442" spans="1:6" ht="12.75">
      <c r="A442" s="306"/>
      <c r="B442" s="306"/>
      <c r="C442" s="306"/>
      <c r="D442" s="306"/>
      <c r="E442" s="306"/>
      <c r="F442" s="306"/>
    </row>
    <row r="443" spans="1:6" ht="12.75">
      <c r="A443" s="306"/>
      <c r="B443" s="306"/>
      <c r="C443" s="306"/>
      <c r="D443" s="306"/>
      <c r="E443" s="306"/>
      <c r="F443" s="306"/>
    </row>
    <row r="444" spans="1:6" ht="12.75">
      <c r="A444" s="306"/>
      <c r="B444" s="306"/>
      <c r="C444" s="306"/>
      <c r="D444" s="306"/>
      <c r="E444" s="306"/>
      <c r="F444" s="306"/>
    </row>
    <row r="445" spans="1:6" ht="12.75">
      <c r="A445" s="306"/>
      <c r="B445" s="306"/>
      <c r="C445" s="306"/>
      <c r="D445" s="306"/>
      <c r="E445" s="306"/>
      <c r="F445" s="306"/>
    </row>
    <row r="446" spans="1:6" ht="12.75">
      <c r="A446" s="306"/>
      <c r="B446" s="306"/>
      <c r="C446" s="306"/>
      <c r="D446" s="306"/>
      <c r="E446" s="306"/>
      <c r="F446" s="306"/>
    </row>
    <row r="447" spans="1:6" ht="12.75">
      <c r="A447" s="306"/>
      <c r="B447" s="306"/>
      <c r="C447" s="306"/>
      <c r="D447" s="306"/>
      <c r="E447" s="306"/>
      <c r="F447" s="306"/>
    </row>
    <row r="448" spans="1:6" ht="12.75">
      <c r="A448" s="306"/>
      <c r="B448" s="306"/>
      <c r="C448" s="306"/>
      <c r="D448" s="306"/>
      <c r="E448" s="306"/>
      <c r="F448" s="306"/>
    </row>
    <row r="449" spans="1:6" ht="12.75">
      <c r="A449" s="306"/>
      <c r="B449" s="306"/>
      <c r="C449" s="306"/>
      <c r="D449" s="306"/>
      <c r="E449" s="306"/>
      <c r="F449" s="306"/>
    </row>
    <row r="450" spans="1:6" ht="12.75">
      <c r="A450" s="306"/>
      <c r="B450" s="306"/>
      <c r="C450" s="306"/>
      <c r="D450" s="306"/>
      <c r="E450" s="306"/>
      <c r="F450" s="306"/>
    </row>
    <row r="451" spans="1:6" ht="12.75">
      <c r="A451" s="306"/>
      <c r="B451" s="306"/>
      <c r="C451" s="306"/>
      <c r="D451" s="306"/>
      <c r="E451" s="306"/>
      <c r="F451" s="306"/>
    </row>
    <row r="452" spans="1:6" ht="12.75">
      <c r="A452" s="306"/>
      <c r="B452" s="306"/>
      <c r="C452" s="306"/>
      <c r="D452" s="306"/>
      <c r="E452" s="306"/>
      <c r="F452" s="306"/>
    </row>
    <row r="453" spans="1:6" ht="12.75">
      <c r="A453" s="306"/>
      <c r="B453" s="306"/>
      <c r="C453" s="306"/>
      <c r="D453" s="306"/>
      <c r="E453" s="306"/>
      <c r="F453" s="306"/>
    </row>
    <row r="454" spans="1:6" ht="12.75">
      <c r="A454" s="306"/>
      <c r="B454" s="306"/>
      <c r="C454" s="306"/>
      <c r="D454" s="306"/>
      <c r="E454" s="306"/>
      <c r="F454" s="306"/>
    </row>
    <row r="455" spans="1:6" ht="12.75">
      <c r="A455" s="306"/>
      <c r="B455" s="306"/>
      <c r="C455" s="306"/>
      <c r="D455" s="306"/>
      <c r="E455" s="306"/>
      <c r="F455" s="306"/>
    </row>
    <row r="456" spans="1:6" ht="12.75">
      <c r="A456" s="306"/>
      <c r="B456" s="306"/>
      <c r="C456" s="306"/>
      <c r="D456" s="306"/>
      <c r="E456" s="306"/>
      <c r="F456" s="306"/>
    </row>
    <row r="457" spans="1:6" ht="12.75">
      <c r="A457" s="306"/>
      <c r="B457" s="306"/>
      <c r="C457" s="306"/>
      <c r="D457" s="306"/>
      <c r="E457" s="306"/>
      <c r="F457" s="306"/>
    </row>
    <row r="458" spans="1:6" ht="12.75">
      <c r="A458" s="306"/>
      <c r="B458" s="306"/>
      <c r="C458" s="306"/>
      <c r="D458" s="306"/>
      <c r="E458" s="306"/>
      <c r="F458" s="306"/>
    </row>
    <row r="459" spans="1:6" ht="12.75">
      <c r="A459" s="306"/>
      <c r="B459" s="306"/>
      <c r="C459" s="306"/>
      <c r="D459" s="306"/>
      <c r="E459" s="306"/>
      <c r="F459" s="306"/>
    </row>
    <row r="460" spans="1:6" ht="12.75">
      <c r="A460" s="306"/>
      <c r="B460" s="306"/>
      <c r="C460" s="306"/>
      <c r="D460" s="306"/>
      <c r="E460" s="306"/>
      <c r="F460" s="306"/>
    </row>
    <row r="461" spans="1:6" ht="12.75">
      <c r="A461" s="306"/>
      <c r="B461" s="306"/>
      <c r="C461" s="306"/>
      <c r="D461" s="306"/>
      <c r="E461" s="306"/>
      <c r="F461" s="306"/>
    </row>
    <row r="462" spans="1:6" ht="12.75">
      <c r="A462" s="306"/>
      <c r="B462" s="306"/>
      <c r="C462" s="306"/>
      <c r="D462" s="306"/>
      <c r="E462" s="306"/>
      <c r="F462" s="306"/>
    </row>
    <row r="463" spans="1:6" ht="12.75">
      <c r="A463" s="306"/>
      <c r="B463" s="306"/>
      <c r="C463" s="306"/>
      <c r="D463" s="306"/>
      <c r="E463" s="306"/>
      <c r="F463" s="306"/>
    </row>
    <row r="464" spans="1:6" ht="12.75">
      <c r="A464" s="306"/>
      <c r="B464" s="306"/>
      <c r="C464" s="306"/>
      <c r="D464" s="306"/>
      <c r="E464" s="306"/>
      <c r="F464" s="306"/>
    </row>
    <row r="465" spans="1:6" ht="12.75">
      <c r="A465" s="306"/>
      <c r="B465" s="306"/>
      <c r="C465" s="306"/>
      <c r="D465" s="306"/>
      <c r="E465" s="306"/>
      <c r="F465" s="306"/>
    </row>
    <row r="466" spans="1:6" ht="12.75">
      <c r="A466" s="306"/>
      <c r="B466" s="306"/>
      <c r="C466" s="306"/>
      <c r="D466" s="306"/>
      <c r="E466" s="306"/>
      <c r="F466" s="306"/>
    </row>
    <row r="467" spans="1:6" ht="12.75">
      <c r="A467" s="306"/>
      <c r="B467" s="306"/>
      <c r="C467" s="306"/>
      <c r="D467" s="306"/>
      <c r="E467" s="306"/>
      <c r="F467" s="306"/>
    </row>
    <row r="468" spans="1:6" ht="12.75">
      <c r="A468" s="306"/>
      <c r="B468" s="306"/>
      <c r="C468" s="306"/>
      <c r="D468" s="306"/>
      <c r="E468" s="306"/>
      <c r="F468" s="306"/>
    </row>
    <row r="469" spans="1:6" ht="12.75">
      <c r="A469" s="306"/>
      <c r="B469" s="306"/>
      <c r="C469" s="306"/>
      <c r="D469" s="306"/>
      <c r="E469" s="306"/>
      <c r="F469" s="306"/>
    </row>
    <row r="470" spans="1:6" ht="12.75">
      <c r="A470" s="306"/>
      <c r="B470" s="306"/>
      <c r="C470" s="306"/>
      <c r="D470" s="306"/>
      <c r="E470" s="306"/>
      <c r="F470" s="306"/>
    </row>
    <row r="471" spans="1:6" ht="12.75">
      <c r="A471" s="306"/>
      <c r="B471" s="306"/>
      <c r="C471" s="306"/>
      <c r="D471" s="306"/>
      <c r="E471" s="306"/>
      <c r="F471" s="306"/>
    </row>
    <row r="472" spans="1:6" ht="12.75">
      <c r="A472" s="306"/>
      <c r="B472" s="306"/>
      <c r="C472" s="306"/>
      <c r="D472" s="306"/>
      <c r="E472" s="306"/>
      <c r="F472" s="306"/>
    </row>
    <row r="473" spans="1:6" ht="12.75">
      <c r="A473" s="306"/>
      <c r="B473" s="306"/>
      <c r="C473" s="306"/>
      <c r="D473" s="306"/>
      <c r="E473" s="306"/>
      <c r="F473" s="306"/>
    </row>
    <row r="474" spans="1:6" ht="12.75">
      <c r="A474" s="306"/>
      <c r="B474" s="306"/>
      <c r="C474" s="306"/>
      <c r="D474" s="306"/>
      <c r="E474" s="306"/>
      <c r="F474" s="306"/>
    </row>
    <row r="475" spans="1:6" ht="12.75">
      <c r="A475" s="306"/>
      <c r="B475" s="306"/>
      <c r="C475" s="306"/>
      <c r="D475" s="306"/>
      <c r="E475" s="306"/>
      <c r="F475" s="306"/>
    </row>
    <row r="476" spans="1:6" ht="12.75">
      <c r="A476" s="306"/>
      <c r="B476" s="306"/>
      <c r="C476" s="306"/>
      <c r="D476" s="306"/>
      <c r="E476" s="306"/>
      <c r="F476" s="306"/>
    </row>
    <row r="477" spans="1:6" ht="12.75">
      <c r="A477" s="306"/>
      <c r="B477" s="306"/>
      <c r="C477" s="306"/>
      <c r="D477" s="306"/>
      <c r="E477" s="306"/>
      <c r="F477" s="306"/>
    </row>
    <row r="478" spans="1:6" ht="12.75">
      <c r="A478" s="306"/>
      <c r="B478" s="306"/>
      <c r="C478" s="306"/>
      <c r="D478" s="306"/>
      <c r="E478" s="306"/>
      <c r="F478" s="306"/>
    </row>
    <row r="479" spans="1:6" ht="12.75">
      <c r="A479" s="306"/>
      <c r="B479" s="306"/>
      <c r="C479" s="306"/>
      <c r="D479" s="306"/>
      <c r="E479" s="306"/>
      <c r="F479" s="306"/>
    </row>
    <row r="480" spans="1:6" ht="12.75">
      <c r="A480" s="306"/>
      <c r="B480" s="306"/>
      <c r="C480" s="306"/>
      <c r="D480" s="306"/>
      <c r="E480" s="306"/>
      <c r="F480" s="306"/>
    </row>
    <row r="481" spans="1:6" ht="12.75">
      <c r="A481" s="306"/>
      <c r="B481" s="306"/>
      <c r="C481" s="306"/>
      <c r="D481" s="306"/>
      <c r="E481" s="306"/>
      <c r="F481" s="306"/>
    </row>
    <row r="482" spans="1:6" ht="12.75">
      <c r="A482" s="306"/>
      <c r="B482" s="306"/>
      <c r="C482" s="306"/>
      <c r="D482" s="306"/>
      <c r="E482" s="306"/>
      <c r="F482" s="306"/>
    </row>
    <row r="483" spans="1:6" ht="12.75">
      <c r="A483" s="306"/>
      <c r="B483" s="306"/>
      <c r="C483" s="306"/>
      <c r="D483" s="306"/>
      <c r="E483" s="306"/>
      <c r="F483" s="306"/>
    </row>
    <row r="484" spans="1:6" ht="12.75">
      <c r="A484" s="306"/>
      <c r="B484" s="306"/>
      <c r="C484" s="306"/>
      <c r="D484" s="306"/>
      <c r="E484" s="306"/>
      <c r="F484" s="306"/>
    </row>
    <row r="485" spans="1:6" ht="12.75">
      <c r="A485" s="306"/>
      <c r="B485" s="306"/>
      <c r="C485" s="306"/>
      <c r="D485" s="306"/>
      <c r="E485" s="306"/>
      <c r="F485" s="306"/>
    </row>
    <row r="486" spans="1:6" ht="12.75">
      <c r="A486" s="306"/>
      <c r="B486" s="306"/>
      <c r="C486" s="306"/>
      <c r="D486" s="306"/>
      <c r="E486" s="306"/>
      <c r="F486" s="306"/>
    </row>
    <row r="487" spans="1:6" ht="12.75">
      <c r="A487" s="306"/>
      <c r="B487" s="306"/>
      <c r="C487" s="306"/>
      <c r="D487" s="306"/>
      <c r="E487" s="306"/>
      <c r="F487" s="306"/>
    </row>
    <row r="488" spans="1:6" ht="12.75">
      <c r="A488" s="306"/>
      <c r="B488" s="306"/>
      <c r="C488" s="306"/>
      <c r="D488" s="306"/>
      <c r="E488" s="306"/>
      <c r="F488" s="306"/>
    </row>
    <row r="489" spans="1:6" ht="12.75">
      <c r="A489" s="306"/>
      <c r="B489" s="306"/>
      <c r="C489" s="306"/>
      <c r="D489" s="306"/>
      <c r="E489" s="306"/>
      <c r="F489" s="306"/>
    </row>
    <row r="490" spans="1:6" ht="12.75">
      <c r="A490" s="306"/>
      <c r="B490" s="306"/>
      <c r="C490" s="306"/>
      <c r="D490" s="306"/>
      <c r="E490" s="306"/>
      <c r="F490" s="306"/>
    </row>
    <row r="491" spans="1:6" ht="12.75">
      <c r="A491" s="306"/>
      <c r="B491" s="306"/>
      <c r="C491" s="306"/>
      <c r="D491" s="306"/>
      <c r="E491" s="306"/>
      <c r="F491" s="306"/>
    </row>
    <row r="492" spans="1:6" ht="12.75">
      <c r="A492" s="306"/>
      <c r="B492" s="306"/>
      <c r="C492" s="306"/>
      <c r="D492" s="306"/>
      <c r="E492" s="306"/>
      <c r="F492" s="306"/>
    </row>
    <row r="493" spans="1:6" ht="12.75">
      <c r="A493" s="306"/>
      <c r="B493" s="306"/>
      <c r="C493" s="306"/>
      <c r="D493" s="306"/>
      <c r="E493" s="306"/>
      <c r="F493" s="306"/>
    </row>
    <row r="494" spans="1:6" ht="12.75">
      <c r="A494" s="306"/>
      <c r="B494" s="306"/>
      <c r="C494" s="306"/>
      <c r="D494" s="306"/>
      <c r="E494" s="306"/>
      <c r="F494" s="306"/>
    </row>
    <row r="495" spans="1:6" ht="12.75">
      <c r="A495" s="306"/>
      <c r="B495" s="306"/>
      <c r="C495" s="306"/>
      <c r="D495" s="306"/>
      <c r="E495" s="306"/>
      <c r="F495" s="306"/>
    </row>
    <row r="496" spans="1:6" ht="12.75">
      <c r="A496" s="306"/>
      <c r="B496" s="306"/>
      <c r="C496" s="306"/>
      <c r="D496" s="306"/>
      <c r="E496" s="306"/>
      <c r="F496" s="306"/>
    </row>
    <row r="497" spans="1:6" ht="12.75">
      <c r="A497" s="306"/>
      <c r="B497" s="306"/>
      <c r="C497" s="306"/>
      <c r="D497" s="306"/>
      <c r="E497" s="306"/>
      <c r="F497" s="306"/>
    </row>
    <row r="498" spans="1:6" ht="12.75">
      <c r="A498" s="306"/>
      <c r="B498" s="306"/>
      <c r="C498" s="306"/>
      <c r="D498" s="306"/>
      <c r="E498" s="306"/>
      <c r="F498" s="306"/>
    </row>
    <row r="499" spans="1:6" ht="12.75">
      <c r="A499" s="306"/>
      <c r="B499" s="306"/>
      <c r="C499" s="306"/>
      <c r="D499" s="306"/>
      <c r="E499" s="306"/>
      <c r="F499" s="306"/>
    </row>
    <row r="500" spans="1:6" ht="12.75">
      <c r="A500" s="306"/>
      <c r="B500" s="306"/>
      <c r="C500" s="306"/>
      <c r="D500" s="306"/>
      <c r="E500" s="306"/>
      <c r="F500" s="306"/>
    </row>
    <row r="501" spans="1:6" ht="12.75">
      <c r="A501" s="306"/>
      <c r="B501" s="306"/>
      <c r="C501" s="306"/>
      <c r="D501" s="306"/>
      <c r="E501" s="306"/>
      <c r="F501" s="306"/>
    </row>
    <row r="502" spans="1:6" ht="12.75">
      <c r="A502" s="306"/>
      <c r="B502" s="306"/>
      <c r="C502" s="306"/>
      <c r="D502" s="306"/>
      <c r="E502" s="306"/>
      <c r="F502" s="306"/>
    </row>
    <row r="503" spans="1:6" ht="12.75">
      <c r="A503" s="306"/>
      <c r="B503" s="306"/>
      <c r="C503" s="306"/>
      <c r="D503" s="306"/>
      <c r="E503" s="306"/>
      <c r="F503" s="306"/>
    </row>
    <row r="504" spans="1:6" ht="12.75">
      <c r="A504" s="306"/>
      <c r="B504" s="306"/>
      <c r="C504" s="306"/>
      <c r="D504" s="306"/>
      <c r="E504" s="306"/>
      <c r="F504" s="306"/>
    </row>
    <row r="505" spans="1:6" ht="12.75">
      <c r="A505" s="306"/>
      <c r="B505" s="306"/>
      <c r="C505" s="306"/>
      <c r="D505" s="306"/>
      <c r="E505" s="306"/>
      <c r="F505" s="306"/>
    </row>
    <row r="506" spans="1:6" ht="12.75">
      <c r="A506" s="306"/>
      <c r="B506" s="306"/>
      <c r="C506" s="306"/>
      <c r="D506" s="306"/>
      <c r="E506" s="306"/>
      <c r="F506" s="306"/>
    </row>
    <row r="507" spans="1:6" ht="12.75">
      <c r="A507" s="306"/>
      <c r="B507" s="306"/>
      <c r="C507" s="306"/>
      <c r="D507" s="306"/>
      <c r="E507" s="306"/>
      <c r="F507" s="306"/>
    </row>
    <row r="508" spans="1:6" ht="12.75">
      <c r="A508" s="306"/>
      <c r="B508" s="306"/>
      <c r="C508" s="306"/>
      <c r="D508" s="306"/>
      <c r="E508" s="306"/>
      <c r="F508" s="306"/>
    </row>
    <row r="509" spans="1:6" ht="12.75">
      <c r="A509" s="306"/>
      <c r="B509" s="306"/>
      <c r="C509" s="306"/>
      <c r="D509" s="306"/>
      <c r="E509" s="306"/>
      <c r="F509" s="306"/>
    </row>
    <row r="510" spans="1:6" ht="12.75">
      <c r="A510" s="306"/>
      <c r="B510" s="306"/>
      <c r="C510" s="306"/>
      <c r="D510" s="306"/>
      <c r="E510" s="306"/>
      <c r="F510" s="306"/>
    </row>
    <row r="511" spans="1:6" ht="12.75">
      <c r="A511" s="306"/>
      <c r="B511" s="306"/>
      <c r="C511" s="306"/>
      <c r="D511" s="306"/>
      <c r="E511" s="306"/>
      <c r="F511" s="306"/>
    </row>
    <row r="512" spans="1:6" ht="12.75">
      <c r="A512" s="306"/>
      <c r="B512" s="306"/>
      <c r="C512" s="306"/>
      <c r="D512" s="306"/>
      <c r="E512" s="306"/>
      <c r="F512" s="306"/>
    </row>
    <row r="513" spans="1:6" ht="12.75">
      <c r="A513" s="306"/>
      <c r="B513" s="306"/>
      <c r="C513" s="306"/>
      <c r="D513" s="306"/>
      <c r="E513" s="306"/>
      <c r="F513" s="306"/>
    </row>
    <row r="514" spans="1:6" ht="12.75">
      <c r="A514" s="306"/>
      <c r="B514" s="306"/>
      <c r="C514" s="306"/>
      <c r="D514" s="306"/>
      <c r="E514" s="306"/>
      <c r="F514" s="306"/>
    </row>
    <row r="515" spans="1:6" ht="12.75">
      <c r="A515" s="306"/>
      <c r="B515" s="306"/>
      <c r="C515" s="306"/>
      <c r="D515" s="306"/>
      <c r="E515" s="306"/>
      <c r="F515" s="306"/>
    </row>
    <row r="516" spans="1:6" ht="12.75">
      <c r="A516" s="306"/>
      <c r="B516" s="306"/>
      <c r="C516" s="306"/>
      <c r="D516" s="306"/>
      <c r="E516" s="306"/>
      <c r="F516" s="306"/>
    </row>
    <row r="517" spans="1:6" ht="12.75">
      <c r="A517" s="306"/>
      <c r="B517" s="306"/>
      <c r="C517" s="306"/>
      <c r="D517" s="306"/>
      <c r="E517" s="306"/>
      <c r="F517" s="306"/>
    </row>
    <row r="518" spans="1:6" ht="12.75">
      <c r="A518" s="306"/>
      <c r="B518" s="306"/>
      <c r="C518" s="306"/>
      <c r="D518" s="306"/>
      <c r="E518" s="306"/>
      <c r="F518" s="306"/>
    </row>
    <row r="519" spans="1:6" ht="12.75">
      <c r="A519" s="306"/>
      <c r="B519" s="306"/>
      <c r="C519" s="306"/>
      <c r="D519" s="306"/>
      <c r="E519" s="306"/>
      <c r="F519" s="306"/>
    </row>
    <row r="520" spans="1:6" ht="12.75">
      <c r="A520" s="306"/>
      <c r="B520" s="306"/>
      <c r="C520" s="306"/>
      <c r="D520" s="306"/>
      <c r="E520" s="306"/>
      <c r="F520" s="306"/>
    </row>
    <row r="521" spans="1:6" ht="12.75">
      <c r="A521" s="306"/>
      <c r="B521" s="306"/>
      <c r="C521" s="306"/>
      <c r="D521" s="306"/>
      <c r="E521" s="306"/>
      <c r="F521" s="306"/>
    </row>
    <row r="522" spans="1:6" ht="12.75">
      <c r="A522" s="306"/>
      <c r="B522" s="306"/>
      <c r="C522" s="306"/>
      <c r="D522" s="306"/>
      <c r="E522" s="306"/>
      <c r="F522" s="306"/>
    </row>
    <row r="523" spans="1:6" ht="12.75">
      <c r="A523" s="306"/>
      <c r="B523" s="306"/>
      <c r="C523" s="306"/>
      <c r="D523" s="306"/>
      <c r="E523" s="306"/>
      <c r="F523" s="306"/>
    </row>
    <row r="524" spans="1:6" ht="12.75">
      <c r="A524" s="306"/>
      <c r="B524" s="306"/>
      <c r="C524" s="306"/>
      <c r="D524" s="306"/>
      <c r="E524" s="306"/>
      <c r="F524" s="306"/>
    </row>
    <row r="525" spans="1:6" ht="12.75">
      <c r="A525" s="306"/>
      <c r="B525" s="306"/>
      <c r="C525" s="306"/>
      <c r="D525" s="306"/>
      <c r="E525" s="306"/>
      <c r="F525" s="306"/>
    </row>
    <row r="526" spans="1:6" ht="12.75">
      <c r="A526" s="306"/>
      <c r="B526" s="306"/>
      <c r="C526" s="306"/>
      <c r="D526" s="306"/>
      <c r="E526" s="306"/>
      <c r="F526" s="306"/>
    </row>
    <row r="527" spans="1:6" ht="12.75">
      <c r="A527" s="306"/>
      <c r="B527" s="306"/>
      <c r="C527" s="306"/>
      <c r="D527" s="306"/>
      <c r="E527" s="306"/>
      <c r="F527" s="306"/>
    </row>
    <row r="528" spans="1:6" ht="12.75">
      <c r="A528" s="306"/>
      <c r="B528" s="306"/>
      <c r="C528" s="306"/>
      <c r="D528" s="306"/>
      <c r="E528" s="306"/>
      <c r="F528" s="306"/>
    </row>
    <row r="529" spans="1:6" ht="12.75">
      <c r="A529" s="306"/>
      <c r="B529" s="306"/>
      <c r="C529" s="306"/>
      <c r="D529" s="306"/>
      <c r="E529" s="306"/>
      <c r="F529" s="306"/>
    </row>
    <row r="530" spans="1:6" ht="12.75">
      <c r="A530" s="306"/>
      <c r="B530" s="306"/>
      <c r="C530" s="306"/>
      <c r="D530" s="306"/>
      <c r="E530" s="306"/>
      <c r="F530" s="306"/>
    </row>
    <row r="531" spans="1:6" ht="12.75">
      <c r="A531" s="306"/>
      <c r="B531" s="306"/>
      <c r="C531" s="306"/>
      <c r="D531" s="306"/>
      <c r="E531" s="306"/>
      <c r="F531" s="306"/>
    </row>
    <row r="532" spans="1:6" ht="12.75">
      <c r="A532" s="306"/>
      <c r="B532" s="306"/>
      <c r="C532" s="306"/>
      <c r="D532" s="306"/>
      <c r="E532" s="306"/>
      <c r="F532" s="306"/>
    </row>
    <row r="533" spans="1:6" ht="12.75">
      <c r="A533" s="306"/>
      <c r="B533" s="306"/>
      <c r="C533" s="306"/>
      <c r="D533" s="306"/>
      <c r="E533" s="306"/>
      <c r="F533" s="306"/>
    </row>
    <row r="534" spans="1:6" ht="12.75">
      <c r="A534" s="306"/>
      <c r="B534" s="306"/>
      <c r="C534" s="306"/>
      <c r="D534" s="306"/>
      <c r="E534" s="306"/>
      <c r="F534" s="306"/>
    </row>
    <row r="535" spans="1:6" ht="12.75">
      <c r="A535" s="306"/>
      <c r="B535" s="306"/>
      <c r="C535" s="306"/>
      <c r="D535" s="306"/>
      <c r="E535" s="306"/>
      <c r="F535" s="306"/>
    </row>
    <row r="536" spans="1:6" ht="12.75">
      <c r="A536" s="306"/>
      <c r="B536" s="306"/>
      <c r="C536" s="306"/>
      <c r="D536" s="306"/>
      <c r="E536" s="306"/>
      <c r="F536" s="306"/>
    </row>
    <row r="537" spans="1:6" ht="12.75">
      <c r="A537" s="306"/>
      <c r="B537" s="306"/>
      <c r="C537" s="306"/>
      <c r="D537" s="306"/>
      <c r="E537" s="306"/>
      <c r="F537" s="306"/>
    </row>
    <row r="538" spans="1:6" ht="12.75">
      <c r="A538" s="306"/>
      <c r="B538" s="306"/>
      <c r="C538" s="306"/>
      <c r="D538" s="306"/>
      <c r="E538" s="306"/>
      <c r="F538" s="306"/>
    </row>
    <row r="539" spans="1:6" ht="12.75">
      <c r="A539" s="306"/>
      <c r="B539" s="306"/>
      <c r="C539" s="306"/>
      <c r="D539" s="306"/>
      <c r="E539" s="306"/>
      <c r="F539" s="306"/>
    </row>
    <row r="540" spans="1:6" ht="12.75">
      <c r="A540" s="306"/>
      <c r="B540" s="306"/>
      <c r="C540" s="306"/>
      <c r="D540" s="306"/>
      <c r="E540" s="306"/>
      <c r="F540" s="306"/>
    </row>
    <row r="541" spans="1:6" ht="12.75">
      <c r="A541" s="306"/>
      <c r="B541" s="306"/>
      <c r="C541" s="306"/>
      <c r="D541" s="306"/>
      <c r="E541" s="306"/>
      <c r="F541" s="306"/>
    </row>
    <row r="542" spans="1:6" ht="12.75">
      <c r="A542" s="306"/>
      <c r="B542" s="306"/>
      <c r="C542" s="306"/>
      <c r="D542" s="306"/>
      <c r="E542" s="306"/>
      <c r="F542" s="306"/>
    </row>
    <row r="543" spans="1:6" ht="12.75">
      <c r="A543" s="306"/>
      <c r="B543" s="306"/>
      <c r="C543" s="306"/>
      <c r="D543" s="306"/>
      <c r="E543" s="306"/>
      <c r="F543" s="306"/>
    </row>
    <row r="544" spans="1:6" ht="12.75">
      <c r="A544" s="306"/>
      <c r="B544" s="306"/>
      <c r="C544" s="306"/>
      <c r="D544" s="306"/>
      <c r="E544" s="306"/>
      <c r="F544" s="306"/>
    </row>
    <row r="545" spans="1:6" ht="12.75">
      <c r="A545" s="306"/>
      <c r="B545" s="306"/>
      <c r="C545" s="306"/>
      <c r="D545" s="306"/>
      <c r="E545" s="306"/>
      <c r="F545" s="306"/>
    </row>
    <row r="546" spans="1:6" ht="12.75">
      <c r="A546" s="306"/>
      <c r="B546" s="306"/>
      <c r="C546" s="306"/>
      <c r="D546" s="306"/>
      <c r="E546" s="306"/>
      <c r="F546" s="306"/>
    </row>
    <row r="547" spans="1:6" ht="12.75">
      <c r="A547" s="306"/>
      <c r="B547" s="306"/>
      <c r="C547" s="306"/>
      <c r="D547" s="306"/>
      <c r="E547" s="306"/>
      <c r="F547" s="306"/>
    </row>
    <row r="548" spans="1:6" ht="12.75">
      <c r="A548" s="306"/>
      <c r="B548" s="306"/>
      <c r="C548" s="306"/>
      <c r="D548" s="306"/>
      <c r="E548" s="306"/>
      <c r="F548" s="306"/>
    </row>
    <row r="549" spans="1:6" ht="12.75">
      <c r="A549" s="306"/>
      <c r="B549" s="306"/>
      <c r="C549" s="306"/>
      <c r="D549" s="306"/>
      <c r="E549" s="306"/>
      <c r="F549" s="306"/>
    </row>
    <row r="550" spans="1:6" ht="12.75">
      <c r="A550" s="306"/>
      <c r="B550" s="306"/>
      <c r="C550" s="306"/>
      <c r="D550" s="306"/>
      <c r="E550" s="306"/>
      <c r="F550" s="306"/>
    </row>
    <row r="551" spans="1:6" ht="12.75">
      <c r="A551" s="306"/>
      <c r="B551" s="306"/>
      <c r="C551" s="306"/>
      <c r="D551" s="306"/>
      <c r="E551" s="306"/>
      <c r="F551" s="306"/>
    </row>
    <row r="552" spans="1:6" ht="12.75">
      <c r="A552" s="306"/>
      <c r="B552" s="306"/>
      <c r="C552" s="306"/>
      <c r="D552" s="306"/>
      <c r="E552" s="306"/>
      <c r="F552" s="306"/>
    </row>
    <row r="553" spans="1:6" ht="12.75">
      <c r="A553" s="306"/>
      <c r="B553" s="306"/>
      <c r="C553" s="306"/>
      <c r="D553" s="306"/>
      <c r="E553" s="306"/>
      <c r="F553" s="306"/>
    </row>
    <row r="554" spans="1:6" ht="12.75">
      <c r="A554" s="306"/>
      <c r="B554" s="306"/>
      <c r="C554" s="306"/>
      <c r="D554" s="306"/>
      <c r="E554" s="306"/>
      <c r="F554" s="306"/>
    </row>
    <row r="555" spans="1:6" ht="12.75">
      <c r="A555" s="306"/>
      <c r="B555" s="306"/>
      <c r="C555" s="306"/>
      <c r="D555" s="306"/>
      <c r="E555" s="306"/>
      <c r="F555" s="306"/>
    </row>
    <row r="556" spans="1:6" ht="12.75">
      <c r="A556" s="306"/>
      <c r="B556" s="306"/>
      <c r="C556" s="306"/>
      <c r="D556" s="306"/>
      <c r="E556" s="306"/>
      <c r="F556" s="306"/>
    </row>
    <row r="557" spans="1:6" ht="12.75">
      <c r="A557" s="306"/>
      <c r="B557" s="306"/>
      <c r="C557" s="306"/>
      <c r="D557" s="306"/>
      <c r="E557" s="306"/>
      <c r="F557" s="306"/>
    </row>
    <row r="558" spans="1:6" ht="12.75">
      <c r="A558" s="306"/>
      <c r="B558" s="306"/>
      <c r="C558" s="306"/>
      <c r="D558" s="306"/>
      <c r="E558" s="306"/>
      <c r="F558" s="306"/>
    </row>
    <row r="559" spans="1:6" ht="12.75">
      <c r="A559" s="306"/>
      <c r="B559" s="306"/>
      <c r="C559" s="306"/>
      <c r="D559" s="306"/>
      <c r="E559" s="306"/>
      <c r="F559" s="306"/>
    </row>
    <row r="560" spans="1:6" ht="12.75">
      <c r="A560" s="306"/>
      <c r="B560" s="306"/>
      <c r="C560" s="306"/>
      <c r="D560" s="306"/>
      <c r="E560" s="306"/>
      <c r="F560" s="306"/>
    </row>
    <row r="561" spans="1:6" ht="12.75">
      <c r="A561" s="306"/>
      <c r="B561" s="306"/>
      <c r="C561" s="306"/>
      <c r="D561" s="306"/>
      <c r="E561" s="306"/>
      <c r="F561" s="306"/>
    </row>
    <row r="562" spans="1:6" ht="12.75">
      <c r="A562" s="306"/>
      <c r="B562" s="306"/>
      <c r="C562" s="306"/>
      <c r="D562" s="306"/>
      <c r="E562" s="306"/>
      <c r="F562" s="306"/>
    </row>
    <row r="563" spans="1:6" ht="12.75">
      <c r="A563" s="306"/>
      <c r="B563" s="306"/>
      <c r="C563" s="306"/>
      <c r="D563" s="306"/>
      <c r="E563" s="306"/>
      <c r="F563" s="306"/>
    </row>
    <row r="564" spans="1:6" ht="12.75">
      <c r="A564" s="306"/>
      <c r="B564" s="306"/>
      <c r="C564" s="306"/>
      <c r="D564" s="306"/>
      <c r="E564" s="306"/>
      <c r="F564" s="306"/>
    </row>
    <row r="565" spans="1:6" ht="12.75">
      <c r="A565" s="306"/>
      <c r="B565" s="306"/>
      <c r="C565" s="306"/>
      <c r="D565" s="306"/>
      <c r="E565" s="306"/>
      <c r="F565" s="306"/>
    </row>
    <row r="566" spans="1:6" ht="12.75">
      <c r="A566" s="306"/>
      <c r="B566" s="306"/>
      <c r="C566" s="306"/>
      <c r="D566" s="306"/>
      <c r="E566" s="306"/>
      <c r="F566" s="306"/>
    </row>
    <row r="567" spans="1:6" ht="12.75">
      <c r="A567" s="306"/>
      <c r="B567" s="306"/>
      <c r="C567" s="306"/>
      <c r="D567" s="306"/>
      <c r="E567" s="306"/>
      <c r="F567" s="306"/>
    </row>
    <row r="568" spans="1:6" ht="12.75">
      <c r="A568" s="306"/>
      <c r="B568" s="306"/>
      <c r="C568" s="306"/>
      <c r="D568" s="306"/>
      <c r="E568" s="306"/>
      <c r="F568" s="306"/>
    </row>
    <row r="569" spans="1:6" ht="12.75">
      <c r="A569" s="306"/>
      <c r="B569" s="306"/>
      <c r="C569" s="306"/>
      <c r="D569" s="306"/>
      <c r="E569" s="306"/>
      <c r="F569" s="306"/>
    </row>
    <row r="570" spans="1:6" ht="12.75">
      <c r="A570" s="306"/>
      <c r="B570" s="306"/>
      <c r="C570" s="306"/>
      <c r="D570" s="306"/>
      <c r="E570" s="306"/>
      <c r="F570" s="306"/>
    </row>
    <row r="571" spans="1:6" ht="12.75">
      <c r="A571" s="306"/>
      <c r="B571" s="306"/>
      <c r="C571" s="306"/>
      <c r="D571" s="306"/>
      <c r="E571" s="306"/>
      <c r="F571" s="306"/>
    </row>
    <row r="572" spans="1:6" ht="12.75">
      <c r="A572" s="306"/>
      <c r="B572" s="306"/>
      <c r="C572" s="306"/>
      <c r="D572" s="306"/>
      <c r="E572" s="306"/>
      <c r="F572" s="306"/>
    </row>
    <row r="573" spans="1:6" ht="12.75">
      <c r="A573" s="306"/>
      <c r="B573" s="306"/>
      <c r="C573" s="306"/>
      <c r="D573" s="306"/>
      <c r="E573" s="306"/>
      <c r="F573" s="306"/>
    </row>
    <row r="574" spans="1:6" ht="12.75">
      <c r="A574" s="306"/>
      <c r="B574" s="306"/>
      <c r="C574" s="306"/>
      <c r="D574" s="306"/>
      <c r="E574" s="306"/>
      <c r="F574" s="306"/>
    </row>
    <row r="575" spans="1:6" ht="12.75">
      <c r="A575" s="306"/>
      <c r="B575" s="306"/>
      <c r="C575" s="306"/>
      <c r="D575" s="306"/>
      <c r="E575" s="306"/>
      <c r="F575" s="306"/>
    </row>
    <row r="576" spans="1:6" ht="12.75">
      <c r="A576" s="306"/>
      <c r="B576" s="306"/>
      <c r="C576" s="306"/>
      <c r="D576" s="306"/>
      <c r="E576" s="306"/>
      <c r="F576" s="306"/>
    </row>
    <row r="577" spans="1:6" ht="12.75">
      <c r="A577" s="306"/>
      <c r="B577" s="306"/>
      <c r="C577" s="306"/>
      <c r="D577" s="306"/>
      <c r="E577" s="306"/>
      <c r="F577" s="306"/>
    </row>
    <row r="578" spans="1:6" ht="12.75">
      <c r="A578" s="306"/>
      <c r="B578" s="306"/>
      <c r="C578" s="306"/>
      <c r="D578" s="306"/>
      <c r="E578" s="306"/>
      <c r="F578" s="306"/>
    </row>
    <row r="579" spans="1:6" ht="12.75">
      <c r="A579" s="306"/>
      <c r="B579" s="306"/>
      <c r="C579" s="306"/>
      <c r="D579" s="306"/>
      <c r="E579" s="306"/>
      <c r="F579" s="306"/>
    </row>
    <row r="580" spans="1:6" ht="12.75">
      <c r="A580" s="306"/>
      <c r="B580" s="306"/>
      <c r="C580" s="306"/>
      <c r="D580" s="306"/>
      <c r="E580" s="306"/>
      <c r="F580" s="306"/>
    </row>
    <row r="581" spans="1:6" ht="12.75">
      <c r="A581" s="306"/>
      <c r="B581" s="306"/>
      <c r="C581" s="306"/>
      <c r="D581" s="306"/>
      <c r="E581" s="306"/>
      <c r="F581" s="306"/>
    </row>
    <row r="582" spans="1:6" ht="12.75">
      <c r="A582" s="306"/>
      <c r="B582" s="306"/>
      <c r="C582" s="306"/>
      <c r="D582" s="306"/>
      <c r="E582" s="306"/>
      <c r="F582" s="306"/>
    </row>
    <row r="583" spans="1:6" ht="12.75">
      <c r="A583" s="306"/>
      <c r="B583" s="306"/>
      <c r="C583" s="306"/>
      <c r="D583" s="306"/>
      <c r="E583" s="306"/>
      <c r="F583" s="306"/>
    </row>
    <row r="584" spans="1:6" ht="12.75">
      <c r="A584" s="306"/>
      <c r="B584" s="306"/>
      <c r="C584" s="306"/>
      <c r="D584" s="306"/>
      <c r="E584" s="306"/>
      <c r="F584" s="306"/>
    </row>
    <row r="585" spans="1:6" ht="12.75">
      <c r="A585" s="306"/>
      <c r="B585" s="306"/>
      <c r="C585" s="306"/>
      <c r="D585" s="306"/>
      <c r="E585" s="306"/>
      <c r="F585" s="306"/>
    </row>
    <row r="586" spans="1:6" ht="12.75">
      <c r="A586" s="306"/>
      <c r="B586" s="306"/>
      <c r="C586" s="306"/>
      <c r="D586" s="306"/>
      <c r="E586" s="306"/>
      <c r="F586" s="306"/>
    </row>
    <row r="587" spans="1:6" ht="12.75">
      <c r="A587" s="306"/>
      <c r="B587" s="306"/>
      <c r="C587" s="306"/>
      <c r="D587" s="306"/>
      <c r="E587" s="306"/>
      <c r="F587" s="306"/>
    </row>
    <row r="588" spans="1:6" ht="12.75">
      <c r="A588" s="306"/>
      <c r="B588" s="306"/>
      <c r="C588" s="306"/>
      <c r="D588" s="306"/>
      <c r="E588" s="306"/>
      <c r="F588" s="306"/>
    </row>
    <row r="589" spans="1:6" ht="12.75">
      <c r="A589" s="306"/>
      <c r="B589" s="306"/>
      <c r="C589" s="306"/>
      <c r="D589" s="306"/>
      <c r="E589" s="306"/>
      <c r="F589" s="306"/>
    </row>
    <row r="590" spans="1:6" ht="12.75">
      <c r="A590" s="306"/>
      <c r="B590" s="306"/>
      <c r="C590" s="306"/>
      <c r="D590" s="306"/>
      <c r="E590" s="306"/>
      <c r="F590" s="306"/>
    </row>
    <row r="591" spans="1:6" ht="12.75">
      <c r="A591" s="306"/>
      <c r="B591" s="306"/>
      <c r="C591" s="306"/>
      <c r="D591" s="306"/>
      <c r="E591" s="306"/>
      <c r="F591" s="306"/>
    </row>
    <row r="592" spans="1:6" ht="12.75">
      <c r="A592" s="306"/>
      <c r="B592" s="306"/>
      <c r="C592" s="306"/>
      <c r="D592" s="306"/>
      <c r="E592" s="306"/>
      <c r="F592" s="306"/>
    </row>
    <row r="593" spans="1:6" ht="12.75">
      <c r="A593" s="306"/>
      <c r="B593" s="306"/>
      <c r="C593" s="306"/>
      <c r="D593" s="306"/>
      <c r="E593" s="306"/>
      <c r="F593" s="306"/>
    </row>
    <row r="594" spans="1:6" ht="12.75">
      <c r="A594" s="306"/>
      <c r="B594" s="306"/>
      <c r="C594" s="306"/>
      <c r="D594" s="306"/>
      <c r="E594" s="306"/>
      <c r="F594" s="306"/>
    </row>
    <row r="595" spans="1:6" ht="12.75">
      <c r="A595" s="306"/>
      <c r="B595" s="306"/>
      <c r="C595" s="306"/>
      <c r="D595" s="306"/>
      <c r="E595" s="306"/>
      <c r="F595" s="306"/>
    </row>
    <row r="596" spans="1:6" ht="12.75">
      <c r="A596" s="306"/>
      <c r="B596" s="306"/>
      <c r="C596" s="306"/>
      <c r="D596" s="306"/>
      <c r="E596" s="306"/>
      <c r="F596" s="306"/>
    </row>
    <row r="597" spans="1:6" ht="12.75">
      <c r="A597" s="306"/>
      <c r="B597" s="306"/>
      <c r="C597" s="306"/>
      <c r="D597" s="306"/>
      <c r="E597" s="306"/>
      <c r="F597" s="306"/>
    </row>
    <row r="598" spans="1:6" ht="12.75">
      <c r="A598" s="306"/>
      <c r="B598" s="306"/>
      <c r="C598" s="306"/>
      <c r="D598" s="306"/>
      <c r="E598" s="306"/>
      <c r="F598" s="306"/>
    </row>
    <row r="599" spans="1:6" ht="12.75">
      <c r="A599" s="306"/>
      <c r="B599" s="306"/>
      <c r="C599" s="306"/>
      <c r="D599" s="306"/>
      <c r="E599" s="306"/>
      <c r="F599" s="306"/>
    </row>
    <row r="600" spans="1:6" ht="12.75">
      <c r="A600" s="306"/>
      <c r="B600" s="306"/>
      <c r="C600" s="306"/>
      <c r="D600" s="306"/>
      <c r="E600" s="306"/>
      <c r="F600" s="306"/>
    </row>
    <row r="601" spans="1:6" ht="12.75">
      <c r="A601" s="306"/>
      <c r="B601" s="306"/>
      <c r="C601" s="306"/>
      <c r="D601" s="306"/>
      <c r="E601" s="306"/>
      <c r="F601" s="306"/>
    </row>
    <row r="602" spans="1:6" ht="12.75">
      <c r="A602" s="306"/>
      <c r="B602" s="306"/>
      <c r="C602" s="306"/>
      <c r="D602" s="306"/>
      <c r="E602" s="306"/>
      <c r="F602" s="306"/>
    </row>
    <row r="603" spans="1:6" ht="12.75">
      <c r="A603" s="306"/>
      <c r="B603" s="306"/>
      <c r="C603" s="306"/>
      <c r="D603" s="306"/>
      <c r="E603" s="306"/>
      <c r="F603" s="306"/>
    </row>
    <row r="604" spans="1:6" ht="12.75">
      <c r="A604" s="306"/>
      <c r="B604" s="306"/>
      <c r="C604" s="306"/>
      <c r="D604" s="306"/>
      <c r="E604" s="306"/>
      <c r="F604" s="306"/>
    </row>
    <row r="605" spans="1:6" ht="12.75">
      <c r="A605" s="306"/>
      <c r="B605" s="306"/>
      <c r="C605" s="306"/>
      <c r="D605" s="306"/>
      <c r="E605" s="306"/>
      <c r="F605" s="306"/>
    </row>
    <row r="606" spans="1:6" ht="12.75">
      <c r="A606" s="306"/>
      <c r="B606" s="306"/>
      <c r="C606" s="306"/>
      <c r="D606" s="306"/>
      <c r="E606" s="306"/>
      <c r="F606" s="306"/>
    </row>
    <row r="607" spans="1:6" ht="12.75">
      <c r="A607" s="306"/>
      <c r="B607" s="306"/>
      <c r="C607" s="306"/>
      <c r="D607" s="306"/>
      <c r="E607" s="306"/>
      <c r="F607" s="306"/>
    </row>
    <row r="608" spans="1:6" ht="12.75">
      <c r="A608" s="306"/>
      <c r="B608" s="306"/>
      <c r="C608" s="306"/>
      <c r="D608" s="306"/>
      <c r="E608" s="306"/>
      <c r="F608" s="306"/>
    </row>
    <row r="609" spans="1:6" ht="12.75">
      <c r="A609" s="306"/>
      <c r="B609" s="306"/>
      <c r="C609" s="306"/>
      <c r="D609" s="306"/>
      <c r="E609" s="306"/>
      <c r="F609" s="306"/>
    </row>
    <row r="610" spans="1:6" ht="12.75">
      <c r="A610" s="306"/>
      <c r="B610" s="306"/>
      <c r="C610" s="306"/>
      <c r="D610" s="306"/>
      <c r="E610" s="306"/>
      <c r="F610" s="306"/>
    </row>
    <row r="611" spans="1:6" ht="12.75">
      <c r="A611" s="306"/>
      <c r="B611" s="306"/>
      <c r="C611" s="306"/>
      <c r="D611" s="306"/>
      <c r="E611" s="306"/>
      <c r="F611" s="306"/>
    </row>
    <row r="612" spans="1:6" ht="12.75">
      <c r="A612" s="306"/>
      <c r="B612" s="306"/>
      <c r="C612" s="306"/>
      <c r="D612" s="306"/>
      <c r="E612" s="306"/>
      <c r="F612" s="306"/>
    </row>
    <row r="613" spans="1:6" ht="12.75">
      <c r="A613" s="306"/>
      <c r="B613" s="306"/>
      <c r="C613" s="306"/>
      <c r="D613" s="306"/>
      <c r="E613" s="306"/>
      <c r="F613" s="306"/>
    </row>
    <row r="614" spans="1:6" ht="12.75">
      <c r="A614" s="306"/>
      <c r="B614" s="306"/>
      <c r="C614" s="306"/>
      <c r="D614" s="306"/>
      <c r="E614" s="306"/>
      <c r="F614" s="306"/>
    </row>
    <row r="615" spans="1:6" ht="12.75">
      <c r="A615" s="306"/>
      <c r="B615" s="306"/>
      <c r="C615" s="306"/>
      <c r="D615" s="306"/>
      <c r="E615" s="306"/>
      <c r="F615" s="306"/>
    </row>
    <row r="616" spans="1:6" ht="12.75">
      <c r="A616" s="306"/>
      <c r="B616" s="306"/>
      <c r="C616" s="306"/>
      <c r="D616" s="306"/>
      <c r="E616" s="306"/>
      <c r="F616" s="306"/>
    </row>
    <row r="617" spans="1:6" ht="12.75">
      <c r="A617" s="306"/>
      <c r="B617" s="306"/>
      <c r="C617" s="306"/>
      <c r="D617" s="306"/>
      <c r="E617" s="306"/>
      <c r="F617" s="306"/>
    </row>
    <row r="618" spans="1:6" ht="12.75">
      <c r="A618" s="306"/>
      <c r="B618" s="306"/>
      <c r="C618" s="306"/>
      <c r="D618" s="306"/>
      <c r="E618" s="306"/>
      <c r="F618" s="306"/>
    </row>
    <row r="619" spans="1:6" ht="12.75">
      <c r="A619" s="306"/>
      <c r="B619" s="306"/>
      <c r="C619" s="306"/>
      <c r="D619" s="306"/>
      <c r="E619" s="306"/>
      <c r="F619" s="306"/>
    </row>
    <row r="620" spans="1:6" ht="12.75">
      <c r="A620" s="306"/>
      <c r="B620" s="306"/>
      <c r="C620" s="306"/>
      <c r="D620" s="306"/>
      <c r="E620" s="306"/>
      <c r="F620" s="306"/>
    </row>
    <row r="621" spans="1:6" ht="12.75">
      <c r="A621" s="306"/>
      <c r="B621" s="306"/>
      <c r="C621" s="306"/>
      <c r="D621" s="306"/>
      <c r="E621" s="306"/>
      <c r="F621" s="306"/>
    </row>
    <row r="622" spans="1:6" ht="12.75">
      <c r="A622" s="306"/>
      <c r="B622" s="306"/>
      <c r="C622" s="306"/>
      <c r="D622" s="306"/>
      <c r="E622" s="306"/>
      <c r="F622" s="306"/>
    </row>
    <row r="623" spans="1:6" ht="12.75">
      <c r="A623" s="306"/>
      <c r="B623" s="306"/>
      <c r="C623" s="306"/>
      <c r="D623" s="306"/>
      <c r="E623" s="306"/>
      <c r="F623" s="306"/>
    </row>
    <row r="624" spans="1:6" ht="12.75">
      <c r="A624" s="306"/>
      <c r="B624" s="306"/>
      <c r="C624" s="306"/>
      <c r="D624" s="306"/>
      <c r="E624" s="306"/>
      <c r="F624" s="306"/>
    </row>
    <row r="625" spans="1:6" ht="12.75">
      <c r="A625" s="306"/>
      <c r="B625" s="306"/>
      <c r="C625" s="306"/>
      <c r="D625" s="306"/>
      <c r="E625" s="306"/>
      <c r="F625" s="306"/>
    </row>
    <row r="626" spans="1:6" ht="12.75">
      <c r="A626" s="306"/>
      <c r="B626" s="306"/>
      <c r="C626" s="306"/>
      <c r="D626" s="306"/>
      <c r="E626" s="306"/>
      <c r="F626" s="306"/>
    </row>
    <row r="627" spans="1:6" ht="12.75">
      <c r="A627" s="306"/>
      <c r="B627" s="306"/>
      <c r="C627" s="306"/>
      <c r="D627" s="306"/>
      <c r="E627" s="306"/>
      <c r="F627" s="306"/>
    </row>
    <row r="628" spans="1:6" ht="12.75">
      <c r="A628" s="306"/>
      <c r="B628" s="306"/>
      <c r="C628" s="306"/>
      <c r="D628" s="306"/>
      <c r="E628" s="306"/>
      <c r="F628" s="306"/>
    </row>
    <row r="629" spans="1:6" ht="12.75">
      <c r="A629" s="306"/>
      <c r="B629" s="306"/>
      <c r="C629" s="306"/>
      <c r="D629" s="306"/>
      <c r="E629" s="306"/>
      <c r="F629" s="306"/>
    </row>
    <row r="630" spans="1:6" ht="12.75">
      <c r="A630" s="306"/>
      <c r="B630" s="306"/>
      <c r="C630" s="306"/>
      <c r="D630" s="306"/>
      <c r="E630" s="306"/>
      <c r="F630" s="306"/>
    </row>
    <row r="631" spans="1:6" ht="12.75">
      <c r="A631" s="306"/>
      <c r="B631" s="306"/>
      <c r="C631" s="306"/>
      <c r="D631" s="306"/>
      <c r="E631" s="306"/>
      <c r="F631" s="306"/>
    </row>
    <row r="632" spans="1:6" ht="12.75">
      <c r="A632" s="306"/>
      <c r="B632" s="306"/>
      <c r="C632" s="306"/>
      <c r="D632" s="306"/>
      <c r="E632" s="306"/>
      <c r="F632" s="306"/>
    </row>
    <row r="633" spans="1:6" ht="12.75">
      <c r="A633" s="306"/>
      <c r="B633" s="306"/>
      <c r="C633" s="306"/>
      <c r="D633" s="306"/>
      <c r="E633" s="306"/>
      <c r="F633" s="306"/>
    </row>
    <row r="634" spans="1:6" ht="12.75">
      <c r="A634" s="306"/>
      <c r="B634" s="306"/>
      <c r="C634" s="306"/>
      <c r="D634" s="306"/>
      <c r="E634" s="306"/>
      <c r="F634" s="306"/>
    </row>
    <row r="635" spans="1:6" ht="12.75">
      <c r="A635" s="306"/>
      <c r="B635" s="306"/>
      <c r="C635" s="306"/>
      <c r="D635" s="306"/>
      <c r="E635" s="306"/>
      <c r="F635" s="306"/>
    </row>
    <row r="636" spans="1:6" ht="12.75">
      <c r="A636" s="306"/>
      <c r="B636" s="306"/>
      <c r="C636" s="306"/>
      <c r="D636" s="306"/>
      <c r="E636" s="306"/>
      <c r="F636" s="306"/>
    </row>
    <row r="637" spans="1:6" ht="12.75">
      <c r="A637" s="306"/>
      <c r="B637" s="306"/>
      <c r="C637" s="306"/>
      <c r="D637" s="306"/>
      <c r="E637" s="306"/>
      <c r="F637" s="306"/>
    </row>
    <row r="638" spans="1:6" ht="12.75">
      <c r="A638" s="306"/>
      <c r="B638" s="306"/>
      <c r="C638" s="306"/>
      <c r="D638" s="306"/>
      <c r="E638" s="306"/>
      <c r="F638" s="306"/>
    </row>
    <row r="639" spans="1:6" ht="12.75">
      <c r="A639" s="306"/>
      <c r="B639" s="306"/>
      <c r="C639" s="306"/>
      <c r="D639" s="306"/>
      <c r="E639" s="306"/>
      <c r="F639" s="306"/>
    </row>
    <row r="640" spans="1:6" ht="12.75">
      <c r="A640" s="306"/>
      <c r="B640" s="306"/>
      <c r="C640" s="306"/>
      <c r="D640" s="306"/>
      <c r="E640" s="306"/>
      <c r="F640" s="306"/>
    </row>
    <row r="641" spans="1:6" ht="12.75">
      <c r="A641" s="306"/>
      <c r="B641" s="306"/>
      <c r="C641" s="306"/>
      <c r="D641" s="306"/>
      <c r="E641" s="306"/>
      <c r="F641" s="306"/>
    </row>
    <row r="642" spans="1:6" ht="12.75">
      <c r="A642" s="306"/>
      <c r="B642" s="306"/>
      <c r="C642" s="306"/>
      <c r="D642" s="306"/>
      <c r="E642" s="306"/>
      <c r="F642" s="306"/>
    </row>
    <row r="643" spans="1:6" ht="12.75">
      <c r="A643" s="306"/>
      <c r="B643" s="306"/>
      <c r="C643" s="306"/>
      <c r="D643" s="306"/>
      <c r="E643" s="306"/>
      <c r="F643" s="306"/>
    </row>
    <row r="644" spans="1:6" ht="12.75">
      <c r="A644" s="306"/>
      <c r="B644" s="306"/>
      <c r="C644" s="306"/>
      <c r="D644" s="306"/>
      <c r="E644" s="306"/>
      <c r="F644" s="306"/>
    </row>
    <row r="645" spans="1:6" ht="12.75">
      <c r="A645" s="306"/>
      <c r="B645" s="306"/>
      <c r="C645" s="306"/>
      <c r="D645" s="306"/>
      <c r="E645" s="306"/>
      <c r="F645" s="306"/>
    </row>
    <row r="646" spans="1:6" ht="12.75">
      <c r="A646" s="306"/>
      <c r="B646" s="306"/>
      <c r="C646" s="306"/>
      <c r="D646" s="306"/>
      <c r="E646" s="306"/>
      <c r="F646" s="306"/>
    </row>
    <row r="647" spans="1:6" ht="12.75">
      <c r="A647" s="306"/>
      <c r="B647" s="306"/>
      <c r="C647" s="306"/>
      <c r="D647" s="306"/>
      <c r="E647" s="306"/>
      <c r="F647" s="306"/>
    </row>
    <row r="648" spans="1:6" ht="12.75">
      <c r="A648" s="306"/>
      <c r="B648" s="306"/>
      <c r="C648" s="306"/>
      <c r="D648" s="306"/>
      <c r="E648" s="306"/>
      <c r="F648" s="306"/>
    </row>
    <row r="649" spans="1:6" ht="12.75">
      <c r="A649" s="306"/>
      <c r="B649" s="306"/>
      <c r="C649" s="306"/>
      <c r="D649" s="306"/>
      <c r="E649" s="306"/>
      <c r="F649" s="306"/>
    </row>
    <row r="650" spans="1:6" ht="12.75">
      <c r="A650" s="306"/>
      <c r="B650" s="306"/>
      <c r="C650" s="306"/>
      <c r="D650" s="306"/>
      <c r="E650" s="306"/>
      <c r="F650" s="306"/>
    </row>
    <row r="651" spans="1:6" ht="12.75">
      <c r="A651" s="306"/>
      <c r="B651" s="306"/>
      <c r="C651" s="306"/>
      <c r="D651" s="306"/>
      <c r="E651" s="306"/>
      <c r="F651" s="306"/>
    </row>
    <row r="652" spans="1:6" ht="12.75">
      <c r="A652" s="306"/>
      <c r="B652" s="306"/>
      <c r="C652" s="306"/>
      <c r="D652" s="306"/>
      <c r="E652" s="306"/>
      <c r="F652" s="306"/>
    </row>
    <row r="653" spans="1:6" ht="12.75">
      <c r="A653" s="306"/>
      <c r="B653" s="306"/>
      <c r="C653" s="306"/>
      <c r="D653" s="306"/>
      <c r="E653" s="306"/>
      <c r="F653" s="306"/>
    </row>
    <row r="654" spans="1:6" ht="12.75">
      <c r="A654" s="306"/>
      <c r="B654" s="306"/>
      <c r="C654" s="306"/>
      <c r="D654" s="306"/>
      <c r="E654" s="306"/>
      <c r="F654" s="306"/>
    </row>
    <row r="655" spans="1:6" ht="12.75">
      <c r="A655" s="306"/>
      <c r="B655" s="306"/>
      <c r="C655" s="306"/>
      <c r="D655" s="306"/>
      <c r="E655" s="306"/>
      <c r="F655" s="306"/>
    </row>
    <row r="656" spans="1:6" ht="12.75">
      <c r="A656" s="306"/>
      <c r="B656" s="306"/>
      <c r="C656" s="306"/>
      <c r="D656" s="306"/>
      <c r="E656" s="306"/>
      <c r="F656" s="306"/>
    </row>
    <row r="657" spans="1:6" ht="12.75">
      <c r="A657" s="306"/>
      <c r="B657" s="306"/>
      <c r="C657" s="306"/>
      <c r="D657" s="306"/>
      <c r="E657" s="306"/>
      <c r="F657" s="306"/>
    </row>
    <row r="658" spans="1:6" ht="12.75">
      <c r="A658" s="306"/>
      <c r="B658" s="306"/>
      <c r="C658" s="306"/>
      <c r="D658" s="306"/>
      <c r="E658" s="306"/>
      <c r="F658" s="306"/>
    </row>
    <row r="659" spans="1:6" ht="12.75">
      <c r="A659" s="306"/>
      <c r="B659" s="306"/>
      <c r="C659" s="306"/>
      <c r="D659" s="306"/>
      <c r="E659" s="306"/>
      <c r="F659" s="306"/>
    </row>
    <row r="660" spans="1:6" ht="12.75">
      <c r="A660" s="306"/>
      <c r="B660" s="306"/>
      <c r="C660" s="306"/>
      <c r="D660" s="306"/>
      <c r="E660" s="306"/>
      <c r="F660" s="306"/>
    </row>
    <row r="661" spans="1:6" ht="12.75">
      <c r="A661" s="306"/>
      <c r="B661" s="306"/>
      <c r="C661" s="306"/>
      <c r="D661" s="306"/>
      <c r="E661" s="306"/>
      <c r="F661" s="306"/>
    </row>
    <row r="662" spans="1:6" ht="12.75">
      <c r="A662" s="306"/>
      <c r="B662" s="306"/>
      <c r="C662" s="306"/>
      <c r="D662" s="306"/>
      <c r="E662" s="306"/>
      <c r="F662" s="306"/>
    </row>
    <row r="663" spans="1:6" ht="12.75">
      <c r="A663" s="306"/>
      <c r="B663" s="306"/>
      <c r="C663" s="306"/>
      <c r="D663" s="306"/>
      <c r="E663" s="306"/>
      <c r="F663" s="306"/>
    </row>
    <row r="664" spans="1:6" ht="12.75">
      <c r="A664" s="306"/>
      <c r="B664" s="306"/>
      <c r="C664" s="306"/>
      <c r="D664" s="306"/>
      <c r="E664" s="306"/>
      <c r="F664" s="306"/>
    </row>
    <row r="665" spans="1:6" ht="12.75">
      <c r="A665" s="306"/>
      <c r="B665" s="306"/>
      <c r="C665" s="306"/>
      <c r="D665" s="306"/>
      <c r="E665" s="306"/>
      <c r="F665" s="306"/>
    </row>
    <row r="666" spans="1:6" ht="12.75">
      <c r="A666" s="306"/>
      <c r="B666" s="306"/>
      <c r="C666" s="306"/>
      <c r="D666" s="306"/>
      <c r="E666" s="306"/>
      <c r="F666" s="306"/>
    </row>
    <row r="667" spans="1:6" ht="12.75">
      <c r="A667" s="306"/>
      <c r="B667" s="306"/>
      <c r="C667" s="306"/>
      <c r="D667" s="306"/>
      <c r="E667" s="306"/>
      <c r="F667" s="306"/>
    </row>
    <row r="668" spans="1:6" ht="12.75">
      <c r="A668" s="306"/>
      <c r="B668" s="306"/>
      <c r="C668" s="306"/>
      <c r="D668" s="306"/>
      <c r="E668" s="306"/>
      <c r="F668" s="306"/>
    </row>
    <row r="669" spans="1:6" ht="12.75">
      <c r="A669" s="306"/>
      <c r="B669" s="306"/>
      <c r="C669" s="306"/>
      <c r="D669" s="306"/>
      <c r="E669" s="306"/>
      <c r="F669" s="306"/>
    </row>
    <row r="670" spans="1:6" ht="12.75">
      <c r="A670" s="306"/>
      <c r="B670" s="306"/>
      <c r="C670" s="306"/>
      <c r="D670" s="306"/>
      <c r="E670" s="306"/>
      <c r="F670" s="306"/>
    </row>
    <row r="671" spans="1:6" ht="12.75">
      <c r="A671" s="306"/>
      <c r="B671" s="306"/>
      <c r="C671" s="306"/>
      <c r="D671" s="306"/>
      <c r="E671" s="306"/>
      <c r="F671" s="306"/>
    </row>
    <row r="672" spans="1:6" ht="12.75">
      <c r="A672" s="306"/>
      <c r="B672" s="306"/>
      <c r="C672" s="306"/>
      <c r="D672" s="306"/>
      <c r="E672" s="306"/>
      <c r="F672" s="306"/>
    </row>
    <row r="673" spans="1:6" ht="12.75">
      <c r="A673" s="306"/>
      <c r="B673" s="306"/>
      <c r="C673" s="306"/>
      <c r="D673" s="306"/>
      <c r="E673" s="306"/>
      <c r="F673" s="306"/>
    </row>
    <row r="674" spans="1:6" ht="12.75">
      <c r="A674" s="306"/>
      <c r="B674" s="306"/>
      <c r="C674" s="306"/>
      <c r="D674" s="306"/>
      <c r="E674" s="306"/>
      <c r="F674" s="306"/>
    </row>
    <row r="675" spans="1:6" ht="12.75">
      <c r="A675" s="306"/>
      <c r="B675" s="306"/>
      <c r="C675" s="306"/>
      <c r="D675" s="306"/>
      <c r="E675" s="306"/>
      <c r="F675" s="306"/>
    </row>
    <row r="676" spans="1:6" ht="12.75">
      <c r="A676" s="306"/>
      <c r="B676" s="306"/>
      <c r="C676" s="306"/>
      <c r="D676" s="306"/>
      <c r="E676" s="306"/>
      <c r="F676" s="306"/>
    </row>
    <row r="677" spans="1:6" ht="12.75">
      <c r="A677" s="306"/>
      <c r="B677" s="306"/>
      <c r="C677" s="306"/>
      <c r="D677" s="306"/>
      <c r="E677" s="306"/>
      <c r="F677" s="306"/>
    </row>
    <row r="678" spans="1:6" ht="12.75">
      <c r="A678" s="306"/>
      <c r="B678" s="306"/>
      <c r="C678" s="306"/>
      <c r="D678" s="306"/>
      <c r="E678" s="306"/>
      <c r="F678" s="306"/>
    </row>
    <row r="679" spans="1:6" ht="12.75">
      <c r="A679" s="306"/>
      <c r="B679" s="306"/>
      <c r="C679" s="306"/>
      <c r="D679" s="306"/>
      <c r="E679" s="306"/>
      <c r="F679" s="306"/>
    </row>
    <row r="680" spans="1:6" ht="12.75">
      <c r="A680" s="306"/>
      <c r="B680" s="306"/>
      <c r="C680" s="306"/>
      <c r="D680" s="306"/>
      <c r="E680" s="306"/>
      <c r="F680" s="306"/>
    </row>
    <row r="681" spans="1:6" ht="12.75">
      <c r="A681" s="306"/>
      <c r="B681" s="306"/>
      <c r="C681" s="306"/>
      <c r="D681" s="306"/>
      <c r="E681" s="306"/>
      <c r="F681" s="306"/>
    </row>
    <row r="682" spans="1:6" ht="12.75">
      <c r="A682" s="306"/>
      <c r="B682" s="306"/>
      <c r="C682" s="306"/>
      <c r="D682" s="306"/>
      <c r="E682" s="306"/>
      <c r="F682" s="306"/>
    </row>
    <row r="683" spans="1:6" ht="12.75">
      <c r="A683" s="306"/>
      <c r="B683" s="306"/>
      <c r="C683" s="306"/>
      <c r="D683" s="306"/>
      <c r="E683" s="306"/>
      <c r="F683" s="306"/>
    </row>
    <row r="684" spans="1:6" ht="12.75">
      <c r="A684" s="306"/>
      <c r="B684" s="306"/>
      <c r="C684" s="306"/>
      <c r="D684" s="306"/>
      <c r="E684" s="306"/>
      <c r="F684" s="306"/>
    </row>
    <row r="685" spans="1:6" ht="12.75">
      <c r="A685" s="306"/>
      <c r="B685" s="306"/>
      <c r="C685" s="306"/>
      <c r="D685" s="306"/>
      <c r="E685" s="306"/>
      <c r="F685" s="306"/>
    </row>
    <row r="686" spans="1:6" ht="12.75">
      <c r="A686" s="306"/>
      <c r="B686" s="306"/>
      <c r="C686" s="306"/>
      <c r="D686" s="306"/>
      <c r="E686" s="306"/>
      <c r="F686" s="306"/>
    </row>
    <row r="687" spans="1:6" ht="12.75">
      <c r="A687" s="306"/>
      <c r="B687" s="306"/>
      <c r="C687" s="306"/>
      <c r="D687" s="306"/>
      <c r="E687" s="306"/>
      <c r="F687" s="306"/>
    </row>
    <row r="688" spans="1:6" ht="12.75">
      <c r="A688" s="306"/>
      <c r="B688" s="306"/>
      <c r="C688" s="306"/>
      <c r="D688" s="306"/>
      <c r="E688" s="306"/>
      <c r="F688" s="306"/>
    </row>
    <row r="689" spans="1:6" ht="12.75">
      <c r="A689" s="306"/>
      <c r="B689" s="306"/>
      <c r="C689" s="306"/>
      <c r="D689" s="306"/>
      <c r="E689" s="306"/>
      <c r="F689" s="306"/>
    </row>
    <row r="690" spans="1:6" ht="12.75">
      <c r="A690" s="306"/>
      <c r="B690" s="306"/>
      <c r="C690" s="306"/>
      <c r="D690" s="306"/>
      <c r="E690" s="306"/>
      <c r="F690" s="306"/>
    </row>
    <row r="691" spans="1:6" ht="12.75">
      <c r="A691" s="306"/>
      <c r="B691" s="306"/>
      <c r="C691" s="306"/>
      <c r="D691" s="306"/>
      <c r="E691" s="306"/>
      <c r="F691" s="306"/>
    </row>
    <row r="692" spans="1:6" ht="12.75">
      <c r="A692" s="306"/>
      <c r="B692" s="306"/>
      <c r="C692" s="306"/>
      <c r="D692" s="306"/>
      <c r="E692" s="306"/>
      <c r="F692" s="306"/>
    </row>
    <row r="693" spans="1:6" ht="12.75">
      <c r="A693" s="306"/>
      <c r="B693" s="306"/>
      <c r="C693" s="306"/>
      <c r="D693" s="306"/>
      <c r="E693" s="306"/>
      <c r="F693" s="306"/>
    </row>
    <row r="694" spans="1:6" ht="12.75">
      <c r="A694" s="306"/>
      <c r="B694" s="306"/>
      <c r="C694" s="306"/>
      <c r="D694" s="306"/>
      <c r="E694" s="306"/>
      <c r="F694" s="306"/>
    </row>
    <row r="695" spans="1:6" ht="12.75">
      <c r="A695" s="306"/>
      <c r="B695" s="306"/>
      <c r="C695" s="306"/>
      <c r="D695" s="306"/>
      <c r="E695" s="306"/>
      <c r="F695" s="306"/>
    </row>
    <row r="696" spans="1:6" ht="12.75">
      <c r="A696" s="306"/>
      <c r="B696" s="306"/>
      <c r="C696" s="306"/>
      <c r="D696" s="306"/>
      <c r="E696" s="306"/>
      <c r="F696" s="306"/>
    </row>
    <row r="697" spans="1:6" ht="12.75">
      <c r="A697" s="306"/>
      <c r="B697" s="306"/>
      <c r="C697" s="306"/>
      <c r="D697" s="306"/>
      <c r="E697" s="306"/>
      <c r="F697" s="306"/>
    </row>
    <row r="698" spans="1:6" ht="12.75">
      <c r="A698" s="306"/>
      <c r="B698" s="306"/>
      <c r="C698" s="306"/>
      <c r="D698" s="306"/>
      <c r="E698" s="306"/>
      <c r="F698" s="306"/>
    </row>
    <row r="699" spans="1:6" ht="12.75">
      <c r="A699" s="306"/>
      <c r="B699" s="306"/>
      <c r="C699" s="306"/>
      <c r="D699" s="306"/>
      <c r="E699" s="306"/>
      <c r="F699" s="306"/>
    </row>
    <row r="700" spans="1:6" ht="12.75">
      <c r="A700" s="306"/>
      <c r="B700" s="306"/>
      <c r="C700" s="306"/>
      <c r="D700" s="306"/>
      <c r="E700" s="306"/>
      <c r="F700" s="306"/>
    </row>
    <row r="701" spans="1:6" ht="12.75">
      <c r="A701" s="306"/>
      <c r="B701" s="306"/>
      <c r="C701" s="306"/>
      <c r="D701" s="306"/>
      <c r="E701" s="306"/>
      <c r="F701" s="306"/>
    </row>
    <row r="702" spans="1:6" ht="12.75">
      <c r="A702" s="306"/>
      <c r="B702" s="306"/>
      <c r="C702" s="306"/>
      <c r="D702" s="306"/>
      <c r="E702" s="306"/>
      <c r="F702" s="306"/>
    </row>
    <row r="703" spans="1:6" ht="12.75">
      <c r="A703" s="306"/>
      <c r="B703" s="306"/>
      <c r="C703" s="306"/>
      <c r="D703" s="306"/>
      <c r="E703" s="306"/>
      <c r="F703" s="306"/>
    </row>
    <row r="704" spans="1:6" ht="12.75">
      <c r="A704" s="306"/>
      <c r="B704" s="306"/>
      <c r="C704" s="306"/>
      <c r="D704" s="306"/>
      <c r="E704" s="306"/>
      <c r="F704" s="306"/>
    </row>
    <row r="705" spans="1:6" ht="12.75">
      <c r="A705" s="306"/>
      <c r="B705" s="306"/>
      <c r="C705" s="306"/>
      <c r="D705" s="306"/>
      <c r="E705" s="306"/>
      <c r="F705" s="306"/>
    </row>
    <row r="706" spans="1:6" ht="12.75">
      <c r="A706" s="306"/>
      <c r="B706" s="306"/>
      <c r="C706" s="306"/>
      <c r="D706" s="306"/>
      <c r="E706" s="306"/>
      <c r="F706" s="306"/>
    </row>
    <row r="707" spans="1:6" ht="12.75">
      <c r="A707" s="306"/>
      <c r="B707" s="306"/>
      <c r="C707" s="306"/>
      <c r="D707" s="306"/>
      <c r="E707" s="306"/>
      <c r="F707" s="306"/>
    </row>
    <row r="708" spans="1:6" ht="12.75">
      <c r="A708" s="306"/>
      <c r="B708" s="306"/>
      <c r="C708" s="306"/>
      <c r="D708" s="306"/>
      <c r="E708" s="306"/>
      <c r="F708" s="306"/>
    </row>
    <row r="709" spans="1:6" ht="12.75">
      <c r="A709" s="306"/>
      <c r="B709" s="306"/>
      <c r="C709" s="306"/>
      <c r="D709" s="306"/>
      <c r="E709" s="306"/>
      <c r="F709" s="306"/>
    </row>
    <row r="710" spans="1:6" ht="12.75">
      <c r="A710" s="306"/>
      <c r="B710" s="306"/>
      <c r="C710" s="306"/>
      <c r="D710" s="306"/>
      <c r="E710" s="306"/>
      <c r="F710" s="306"/>
    </row>
    <row r="711" spans="1:6" ht="12.75">
      <c r="A711" s="306"/>
      <c r="B711" s="306"/>
      <c r="C711" s="306"/>
      <c r="D711" s="306"/>
      <c r="E711" s="306"/>
      <c r="F711" s="306"/>
    </row>
    <row r="712" spans="1:6" ht="12.75">
      <c r="A712" s="306"/>
      <c r="B712" s="306"/>
      <c r="C712" s="306"/>
      <c r="D712" s="306"/>
      <c r="E712" s="306"/>
      <c r="F712" s="306"/>
    </row>
    <row r="713" spans="1:6" ht="12.75">
      <c r="A713" s="306"/>
      <c r="B713" s="306"/>
      <c r="C713" s="306"/>
      <c r="D713" s="306"/>
      <c r="E713" s="306"/>
      <c r="F713" s="306"/>
    </row>
    <row r="714" spans="1:6" ht="12.75">
      <c r="A714" s="306"/>
      <c r="B714" s="306"/>
      <c r="C714" s="306"/>
      <c r="D714" s="306"/>
      <c r="E714" s="306"/>
      <c r="F714" s="306"/>
    </row>
    <row r="715" spans="1:6" ht="12.75">
      <c r="A715" s="306"/>
      <c r="B715" s="306"/>
      <c r="C715" s="306"/>
      <c r="D715" s="306"/>
      <c r="E715" s="306"/>
      <c r="F715" s="306"/>
    </row>
    <row r="716" spans="1:6" ht="12.75">
      <c r="A716" s="306"/>
      <c r="B716" s="306"/>
      <c r="C716" s="306"/>
      <c r="D716" s="306"/>
      <c r="E716" s="306"/>
      <c r="F716" s="306"/>
    </row>
    <row r="717" spans="1:6" ht="12.75">
      <c r="A717" s="306"/>
      <c r="B717" s="306"/>
      <c r="C717" s="306"/>
      <c r="D717" s="306"/>
      <c r="E717" s="306"/>
      <c r="F717" s="306"/>
    </row>
    <row r="718" spans="1:6" ht="12.75">
      <c r="A718" s="306"/>
      <c r="B718" s="306"/>
      <c r="C718" s="306"/>
      <c r="D718" s="306"/>
      <c r="E718" s="306"/>
      <c r="F718" s="306"/>
    </row>
    <row r="719" spans="1:6" ht="12.75">
      <c r="A719" s="306"/>
      <c r="B719" s="306"/>
      <c r="C719" s="306"/>
      <c r="D719" s="306"/>
      <c r="E719" s="306"/>
      <c r="F719" s="306"/>
    </row>
    <row r="720" spans="1:6" ht="12.75">
      <c r="A720" s="306"/>
      <c r="B720" s="306"/>
      <c r="C720" s="306"/>
      <c r="D720" s="306"/>
      <c r="E720" s="306"/>
      <c r="F720" s="306"/>
    </row>
    <row r="721" spans="1:6" ht="12.75">
      <c r="A721" s="306"/>
      <c r="B721" s="306"/>
      <c r="C721" s="306"/>
      <c r="D721" s="306"/>
      <c r="E721" s="306"/>
      <c r="F721" s="306"/>
    </row>
    <row r="722" spans="1:6" ht="12.75">
      <c r="A722" s="306"/>
      <c r="B722" s="306"/>
      <c r="C722" s="306"/>
      <c r="D722" s="306"/>
      <c r="E722" s="306"/>
      <c r="F722" s="306"/>
    </row>
    <row r="723" spans="1:6" ht="12.75">
      <c r="A723" s="306"/>
      <c r="B723" s="306"/>
      <c r="C723" s="306"/>
      <c r="D723" s="306"/>
      <c r="E723" s="306"/>
      <c r="F723" s="306"/>
    </row>
    <row r="724" spans="1:6" ht="12.75">
      <c r="A724" s="306"/>
      <c r="B724" s="306"/>
      <c r="C724" s="306"/>
      <c r="D724" s="306"/>
      <c r="E724" s="306"/>
      <c r="F724" s="306"/>
    </row>
    <row r="725" spans="1:6" ht="12.75">
      <c r="A725" s="306"/>
      <c r="B725" s="306"/>
      <c r="C725" s="306"/>
      <c r="D725" s="306"/>
      <c r="E725" s="306"/>
      <c r="F725" s="306"/>
    </row>
    <row r="726" spans="1:6" ht="12.75">
      <c r="A726" s="306"/>
      <c r="B726" s="306"/>
      <c r="C726" s="306"/>
      <c r="D726" s="306"/>
      <c r="E726" s="306"/>
      <c r="F726" s="306"/>
    </row>
    <row r="727" spans="1:6" ht="12.75">
      <c r="A727" s="306"/>
      <c r="B727" s="306"/>
      <c r="C727" s="306"/>
      <c r="D727" s="306"/>
      <c r="E727" s="306"/>
      <c r="F727" s="306"/>
    </row>
    <row r="728" spans="1:6" ht="12.75">
      <c r="A728" s="306"/>
      <c r="B728" s="306"/>
      <c r="C728" s="306"/>
      <c r="D728" s="306"/>
      <c r="E728" s="306"/>
      <c r="F728" s="306"/>
    </row>
    <row r="729" spans="1:6" ht="12.75">
      <c r="A729" s="306"/>
      <c r="B729" s="306"/>
      <c r="C729" s="306"/>
      <c r="D729" s="306"/>
      <c r="E729" s="306"/>
      <c r="F729" s="306"/>
    </row>
    <row r="730" spans="1:6" ht="12.75">
      <c r="A730" s="306"/>
      <c r="B730" s="306"/>
      <c r="C730" s="306"/>
      <c r="D730" s="306"/>
      <c r="E730" s="306"/>
      <c r="F730" s="306"/>
    </row>
    <row r="731" spans="1:6" ht="12.75">
      <c r="A731" s="306"/>
      <c r="B731" s="306"/>
      <c r="C731" s="306"/>
      <c r="D731" s="306"/>
      <c r="E731" s="306"/>
      <c r="F731" s="306"/>
    </row>
    <row r="732" spans="1:6" ht="12.75">
      <c r="A732" s="306"/>
      <c r="B732" s="306"/>
      <c r="C732" s="306"/>
      <c r="D732" s="306"/>
      <c r="E732" s="306"/>
      <c r="F732" s="306"/>
    </row>
    <row r="733" spans="1:6" ht="12.75">
      <c r="A733" s="306"/>
      <c r="B733" s="306"/>
      <c r="C733" s="306"/>
      <c r="D733" s="306"/>
      <c r="E733" s="306"/>
      <c r="F733" s="306"/>
    </row>
    <row r="734" spans="1:6" ht="12.75">
      <c r="A734" s="306"/>
      <c r="B734" s="306"/>
      <c r="C734" s="306"/>
      <c r="D734" s="306"/>
      <c r="E734" s="306"/>
      <c r="F734" s="306"/>
    </row>
    <row r="735" spans="1:6" ht="12.75">
      <c r="A735" s="306"/>
      <c r="B735" s="306"/>
      <c r="C735" s="306"/>
      <c r="D735" s="306"/>
      <c r="E735" s="306"/>
      <c r="F735" s="306"/>
    </row>
    <row r="736" spans="1:6" ht="12.75">
      <c r="A736" s="306"/>
      <c r="B736" s="306"/>
      <c r="C736" s="306"/>
      <c r="D736" s="306"/>
      <c r="E736" s="306"/>
      <c r="F736" s="306"/>
    </row>
    <row r="737" spans="1:6" ht="12.75">
      <c r="A737" s="306"/>
      <c r="B737" s="306"/>
      <c r="C737" s="306"/>
      <c r="D737" s="306"/>
      <c r="E737" s="306"/>
      <c r="F737" s="306"/>
    </row>
    <row r="738" spans="1:6" ht="12.75">
      <c r="A738" s="306"/>
      <c r="B738" s="306"/>
      <c r="C738" s="306"/>
      <c r="D738" s="306"/>
      <c r="E738" s="306"/>
      <c r="F738" s="306"/>
    </row>
    <row r="739" spans="1:6" ht="12.75">
      <c r="A739" s="306"/>
      <c r="B739" s="306"/>
      <c r="C739" s="306"/>
      <c r="D739" s="306"/>
      <c r="E739" s="306"/>
      <c r="F739" s="306"/>
    </row>
    <row r="740" spans="1:6" ht="12.75">
      <c r="A740" s="306"/>
      <c r="B740" s="306"/>
      <c r="C740" s="306"/>
      <c r="D740" s="306"/>
      <c r="E740" s="306"/>
      <c r="F740" s="306"/>
    </row>
    <row r="741" spans="1:6" ht="12.75">
      <c r="A741" s="306"/>
      <c r="B741" s="306"/>
      <c r="C741" s="306"/>
      <c r="D741" s="306"/>
      <c r="E741" s="306"/>
      <c r="F741" s="306"/>
    </row>
    <row r="742" spans="1:6" ht="12.75">
      <c r="A742" s="306"/>
      <c r="B742" s="306"/>
      <c r="C742" s="306"/>
      <c r="D742" s="306"/>
      <c r="E742" s="306"/>
      <c r="F742" s="306"/>
    </row>
    <row r="743" spans="1:6" ht="12.75">
      <c r="A743" s="306"/>
      <c r="B743" s="306"/>
      <c r="C743" s="306"/>
      <c r="D743" s="306"/>
      <c r="E743" s="306"/>
      <c r="F743" s="306"/>
    </row>
    <row r="744" spans="1:6" ht="12.75">
      <c r="A744" s="306"/>
      <c r="B744" s="306"/>
      <c r="C744" s="306"/>
      <c r="D744" s="306"/>
      <c r="E744" s="306"/>
      <c r="F744" s="306"/>
    </row>
    <row r="745" spans="1:6" ht="12.75">
      <c r="A745" s="306"/>
      <c r="B745" s="306"/>
      <c r="C745" s="306"/>
      <c r="D745" s="306"/>
      <c r="E745" s="306"/>
      <c r="F745" s="306"/>
    </row>
    <row r="746" spans="1:6" ht="12.75">
      <c r="A746" s="306"/>
      <c r="B746" s="306"/>
      <c r="C746" s="306"/>
      <c r="D746" s="306"/>
      <c r="E746" s="306"/>
      <c r="F746" s="306"/>
    </row>
    <row r="747" spans="1:6" ht="12.75">
      <c r="A747" s="306"/>
      <c r="B747" s="306"/>
      <c r="C747" s="306"/>
      <c r="D747" s="306"/>
      <c r="E747" s="306"/>
      <c r="F747" s="306"/>
    </row>
    <row r="748" spans="1:6" ht="12.75">
      <c r="A748" s="306"/>
      <c r="B748" s="306"/>
      <c r="C748" s="306"/>
      <c r="D748" s="306"/>
      <c r="E748" s="306"/>
      <c r="F748" s="306"/>
    </row>
    <row r="749" spans="1:6" ht="12.75">
      <c r="A749" s="306"/>
      <c r="B749" s="306"/>
      <c r="C749" s="306"/>
      <c r="D749" s="306"/>
      <c r="E749" s="306"/>
      <c r="F749" s="306"/>
    </row>
    <row r="750" spans="1:6" ht="12.75">
      <c r="A750" s="306"/>
      <c r="B750" s="306"/>
      <c r="C750" s="306"/>
      <c r="D750" s="306"/>
      <c r="E750" s="306"/>
      <c r="F750" s="306"/>
    </row>
    <row r="751" spans="1:6" ht="12.75">
      <c r="A751" s="306"/>
      <c r="B751" s="306"/>
      <c r="C751" s="306"/>
      <c r="D751" s="306"/>
      <c r="E751" s="306"/>
      <c r="F751" s="306"/>
    </row>
    <row r="752" spans="1:6" ht="12.75">
      <c r="A752" s="306"/>
      <c r="B752" s="306"/>
      <c r="C752" s="306"/>
      <c r="D752" s="306"/>
      <c r="E752" s="306"/>
      <c r="F752" s="306"/>
    </row>
    <row r="753" spans="1:6" ht="12.75">
      <c r="A753" s="306"/>
      <c r="B753" s="306"/>
      <c r="C753" s="306"/>
      <c r="D753" s="306"/>
      <c r="E753" s="306"/>
      <c r="F753" s="306"/>
    </row>
    <row r="754" spans="1:6" ht="12.75">
      <c r="A754" s="306"/>
      <c r="B754" s="306"/>
      <c r="C754" s="306"/>
      <c r="D754" s="306"/>
      <c r="E754" s="306"/>
      <c r="F754" s="306"/>
    </row>
    <row r="755" spans="1:6" ht="12.75">
      <c r="A755" s="306"/>
      <c r="B755" s="306"/>
      <c r="C755" s="306"/>
      <c r="D755" s="306"/>
      <c r="E755" s="306"/>
      <c r="F755" s="306"/>
    </row>
    <row r="756" spans="1:6" ht="12.75">
      <c r="A756" s="306"/>
      <c r="B756" s="306"/>
      <c r="C756" s="306"/>
      <c r="D756" s="306"/>
      <c r="E756" s="306"/>
      <c r="F756" s="306"/>
    </row>
    <row r="757" spans="1:6" ht="12.75">
      <c r="A757" s="306"/>
      <c r="B757" s="306"/>
      <c r="C757" s="306"/>
      <c r="D757" s="306"/>
      <c r="E757" s="306"/>
      <c r="F757" s="306"/>
    </row>
    <row r="758" spans="1:6" ht="12.75">
      <c r="A758" s="306"/>
      <c r="B758" s="306"/>
      <c r="C758" s="306"/>
      <c r="D758" s="306"/>
      <c r="E758" s="306"/>
      <c r="F758" s="306"/>
    </row>
    <row r="759" spans="1:6" ht="12.75">
      <c r="A759" s="306"/>
      <c r="B759" s="306"/>
      <c r="C759" s="306"/>
      <c r="D759" s="306"/>
      <c r="E759" s="306"/>
      <c r="F759" s="306"/>
    </row>
    <row r="760" spans="1:6" ht="12.75">
      <c r="A760" s="306"/>
      <c r="B760" s="306"/>
      <c r="C760" s="306"/>
      <c r="D760" s="306"/>
      <c r="E760" s="306"/>
      <c r="F760" s="306"/>
    </row>
    <row r="761" spans="1:6" ht="12.75">
      <c r="A761" s="306"/>
      <c r="B761" s="306"/>
      <c r="C761" s="306"/>
      <c r="D761" s="306"/>
      <c r="E761" s="306"/>
      <c r="F761" s="306"/>
    </row>
    <row r="762" spans="1:6" ht="12.75">
      <c r="A762" s="306"/>
      <c r="B762" s="306"/>
      <c r="C762" s="306"/>
      <c r="D762" s="306"/>
      <c r="E762" s="306"/>
      <c r="F762" s="306"/>
    </row>
    <row r="763" spans="1:6" ht="12.75">
      <c r="A763" s="306"/>
      <c r="B763" s="306"/>
      <c r="C763" s="306"/>
      <c r="D763" s="306"/>
      <c r="E763" s="306"/>
      <c r="F763" s="306"/>
    </row>
    <row r="764" spans="1:6" ht="12.75">
      <c r="A764" s="306"/>
      <c r="B764" s="306"/>
      <c r="C764" s="306"/>
      <c r="D764" s="306"/>
      <c r="E764" s="306"/>
      <c r="F764" s="306"/>
    </row>
    <row r="765" spans="1:6" ht="12.75">
      <c r="A765" s="306"/>
      <c r="B765" s="306"/>
      <c r="C765" s="306"/>
      <c r="D765" s="306"/>
      <c r="E765" s="306"/>
      <c r="F765" s="306"/>
    </row>
    <row r="766" spans="1:6" ht="12.75">
      <c r="A766" s="306"/>
      <c r="B766" s="306"/>
      <c r="C766" s="306"/>
      <c r="D766" s="306"/>
      <c r="E766" s="306"/>
      <c r="F766" s="306"/>
    </row>
    <row r="767" spans="1:6" ht="12.75">
      <c r="A767" s="306"/>
      <c r="B767" s="306"/>
      <c r="C767" s="306"/>
      <c r="D767" s="306"/>
      <c r="E767" s="306"/>
      <c r="F767" s="306"/>
    </row>
    <row r="768" spans="1:6" ht="12.75">
      <c r="A768" s="306"/>
      <c r="B768" s="306"/>
      <c r="C768" s="306"/>
      <c r="D768" s="306"/>
      <c r="E768" s="306"/>
      <c r="F768" s="306"/>
    </row>
    <row r="769" spans="1:6" ht="12.75">
      <c r="A769" s="306"/>
      <c r="B769" s="306"/>
      <c r="C769" s="306"/>
      <c r="D769" s="306"/>
      <c r="E769" s="306"/>
      <c r="F769" s="306"/>
    </row>
    <row r="770" spans="1:6" ht="12.75">
      <c r="A770" s="306"/>
      <c r="B770" s="306"/>
      <c r="C770" s="306"/>
      <c r="D770" s="306"/>
      <c r="E770" s="306"/>
      <c r="F770" s="306"/>
    </row>
    <row r="771" spans="1:6" ht="12.75">
      <c r="A771" s="306"/>
      <c r="B771" s="306"/>
      <c r="C771" s="306"/>
      <c r="D771" s="306"/>
      <c r="E771" s="306"/>
      <c r="F771" s="306"/>
    </row>
    <row r="772" spans="1:6" ht="12.75">
      <c r="A772" s="306"/>
      <c r="B772" s="306"/>
      <c r="C772" s="306"/>
      <c r="D772" s="306"/>
      <c r="E772" s="306"/>
      <c r="F772" s="306"/>
    </row>
    <row r="773" spans="1:6" ht="12.75">
      <c r="A773" s="306"/>
      <c r="B773" s="306"/>
      <c r="C773" s="306"/>
      <c r="D773" s="306"/>
      <c r="E773" s="306"/>
      <c r="F773" s="306"/>
    </row>
    <row r="774" spans="1:6" ht="12.75">
      <c r="A774" s="306"/>
      <c r="B774" s="306"/>
      <c r="C774" s="306"/>
      <c r="D774" s="306"/>
      <c r="E774" s="306"/>
      <c r="F774" s="306"/>
    </row>
    <row r="775" spans="1:6" ht="12.75">
      <c r="A775" s="306"/>
      <c r="B775" s="306"/>
      <c r="C775" s="306"/>
      <c r="D775" s="306"/>
      <c r="E775" s="306"/>
      <c r="F775" s="306"/>
    </row>
    <row r="776" spans="1:6" ht="12.75">
      <c r="A776" s="306"/>
      <c r="B776" s="306"/>
      <c r="C776" s="306"/>
      <c r="D776" s="306"/>
      <c r="E776" s="306"/>
      <c r="F776" s="306"/>
    </row>
    <row r="777" spans="1:6" ht="12.75">
      <c r="A777" s="306"/>
      <c r="B777" s="306"/>
      <c r="C777" s="306"/>
      <c r="D777" s="306"/>
      <c r="E777" s="306"/>
      <c r="F777" s="306"/>
    </row>
    <row r="778" spans="1:6" ht="12.75">
      <c r="A778" s="306"/>
      <c r="B778" s="306"/>
      <c r="C778" s="306"/>
      <c r="D778" s="306"/>
      <c r="E778" s="306"/>
      <c r="F778" s="306"/>
    </row>
    <row r="779" spans="1:6" ht="12.75">
      <c r="A779" s="306"/>
      <c r="B779" s="306"/>
      <c r="C779" s="306"/>
      <c r="D779" s="306"/>
      <c r="E779" s="306"/>
      <c r="F779" s="306"/>
    </row>
    <row r="780" spans="1:6" ht="12.75">
      <c r="A780" s="306"/>
      <c r="B780" s="306"/>
      <c r="C780" s="306"/>
      <c r="D780" s="306"/>
      <c r="E780" s="306"/>
      <c r="F780" s="306"/>
    </row>
    <row r="781" spans="1:6" ht="12.75">
      <c r="A781" s="306"/>
      <c r="B781" s="306"/>
      <c r="C781" s="306"/>
      <c r="D781" s="306"/>
      <c r="E781" s="306"/>
      <c r="F781" s="306"/>
    </row>
    <row r="782" spans="1:6" ht="12.75">
      <c r="A782" s="306"/>
      <c r="B782" s="306"/>
      <c r="C782" s="306"/>
      <c r="D782" s="306"/>
      <c r="E782" s="306"/>
      <c r="F782" s="306"/>
    </row>
    <row r="783" spans="1:6" ht="12.75">
      <c r="A783" s="306"/>
      <c r="B783" s="306"/>
      <c r="C783" s="306"/>
      <c r="D783" s="306"/>
      <c r="E783" s="306"/>
      <c r="F783" s="306"/>
    </row>
    <row r="784" spans="1:6" ht="12.75">
      <c r="A784" s="306"/>
      <c r="B784" s="306"/>
      <c r="C784" s="306"/>
      <c r="D784" s="306"/>
      <c r="E784" s="306"/>
      <c r="F784" s="306"/>
    </row>
    <row r="785" spans="1:6" ht="12.75">
      <c r="A785" s="306"/>
      <c r="B785" s="306"/>
      <c r="C785" s="306"/>
      <c r="D785" s="306"/>
      <c r="E785" s="306"/>
      <c r="F785" s="306"/>
    </row>
    <row r="786" spans="1:6" ht="12.75">
      <c r="A786" s="306"/>
      <c r="B786" s="306"/>
      <c r="C786" s="306"/>
      <c r="D786" s="306"/>
      <c r="E786" s="306"/>
      <c r="F786" s="306"/>
    </row>
    <row r="787" spans="1:6" ht="12.75">
      <c r="A787" s="306"/>
      <c r="B787" s="306"/>
      <c r="C787" s="306"/>
      <c r="D787" s="306"/>
      <c r="E787" s="306"/>
      <c r="F787" s="306"/>
    </row>
    <row r="788" spans="1:6" ht="12.75">
      <c r="A788" s="306"/>
      <c r="B788" s="306"/>
      <c r="C788" s="306"/>
      <c r="D788" s="306"/>
      <c r="E788" s="306"/>
      <c r="F788" s="306"/>
    </row>
    <row r="789" spans="1:6" ht="12.75">
      <c r="A789" s="306"/>
      <c r="B789" s="306"/>
      <c r="C789" s="306"/>
      <c r="D789" s="306"/>
      <c r="E789" s="306"/>
      <c r="F789" s="306"/>
    </row>
    <row r="790" spans="1:6" ht="12.75">
      <c r="A790" s="306"/>
      <c r="B790" s="306"/>
      <c r="C790" s="306"/>
      <c r="D790" s="306"/>
      <c r="E790" s="306"/>
      <c r="F790" s="306"/>
    </row>
    <row r="791" spans="1:6" ht="12.75">
      <c r="A791" s="306"/>
      <c r="B791" s="306"/>
      <c r="C791" s="306"/>
      <c r="D791" s="306"/>
      <c r="E791" s="306"/>
      <c r="F791" s="306"/>
    </row>
    <row r="792" spans="1:6" ht="12.75">
      <c r="A792" s="306"/>
      <c r="B792" s="306"/>
      <c r="C792" s="306"/>
      <c r="D792" s="306"/>
      <c r="E792" s="306"/>
      <c r="F792" s="306"/>
    </row>
    <row r="793" spans="1:6" ht="12.75">
      <c r="A793" s="306"/>
      <c r="B793" s="306"/>
      <c r="C793" s="306"/>
      <c r="D793" s="306"/>
      <c r="E793" s="306"/>
      <c r="F793" s="306"/>
    </row>
    <row r="794" spans="1:6" ht="12.75">
      <c r="A794" s="306"/>
      <c r="B794" s="306"/>
      <c r="C794" s="306"/>
      <c r="D794" s="306"/>
      <c r="E794" s="306"/>
      <c r="F794" s="306"/>
    </row>
    <row r="795" spans="1:6" ht="12.75">
      <c r="A795" s="306"/>
      <c r="B795" s="306"/>
      <c r="C795" s="306"/>
      <c r="D795" s="306"/>
      <c r="E795" s="306"/>
      <c r="F795" s="306"/>
    </row>
    <row r="796" spans="1:6" ht="12.75">
      <c r="A796" s="306"/>
      <c r="B796" s="306"/>
      <c r="C796" s="306"/>
      <c r="D796" s="306"/>
      <c r="E796" s="306"/>
      <c r="F796" s="306"/>
    </row>
    <row r="797" spans="1:6" ht="12.75">
      <c r="A797" s="306"/>
      <c r="B797" s="306"/>
      <c r="C797" s="306"/>
      <c r="D797" s="306"/>
      <c r="E797" s="306"/>
      <c r="F797" s="306"/>
    </row>
    <row r="798" spans="1:6" ht="12.75">
      <c r="A798" s="306"/>
      <c r="B798" s="306"/>
      <c r="C798" s="306"/>
      <c r="D798" s="306"/>
      <c r="E798" s="306"/>
      <c r="F798" s="306"/>
    </row>
    <row r="799" spans="1:6" ht="12.75">
      <c r="A799" s="306"/>
      <c r="B799" s="306"/>
      <c r="C799" s="306"/>
      <c r="D799" s="306"/>
      <c r="E799" s="306"/>
      <c r="F799" s="306"/>
    </row>
    <row r="800" spans="1:6" ht="12.75">
      <c r="A800" s="306"/>
      <c r="B800" s="306"/>
      <c r="C800" s="306"/>
      <c r="D800" s="306"/>
      <c r="E800" s="306"/>
      <c r="F800" s="306"/>
    </row>
    <row r="801" spans="1:6" ht="12.75">
      <c r="A801" s="306"/>
      <c r="B801" s="306"/>
      <c r="C801" s="306"/>
      <c r="D801" s="306"/>
      <c r="E801" s="306"/>
      <c r="F801" s="306"/>
    </row>
    <row r="802" spans="1:6" ht="12.75">
      <c r="A802" s="306"/>
      <c r="B802" s="306"/>
      <c r="C802" s="306"/>
      <c r="D802" s="306"/>
      <c r="E802" s="306"/>
      <c r="F802" s="306"/>
    </row>
    <row r="803" spans="1:6" ht="12.75">
      <c r="A803" s="306"/>
      <c r="B803" s="306"/>
      <c r="C803" s="306"/>
      <c r="D803" s="306"/>
      <c r="E803" s="306"/>
      <c r="F803" s="306"/>
    </row>
    <row r="804" spans="1:6" ht="12.75">
      <c r="A804" s="306"/>
      <c r="B804" s="306"/>
      <c r="C804" s="306"/>
      <c r="D804" s="306"/>
      <c r="E804" s="306"/>
      <c r="F804" s="306"/>
    </row>
    <row r="805" spans="1:6" ht="12.75">
      <c r="A805" s="306"/>
      <c r="B805" s="306"/>
      <c r="C805" s="306"/>
      <c r="D805" s="306"/>
      <c r="E805" s="306"/>
      <c r="F805" s="306"/>
    </row>
    <row r="806" spans="1:6" ht="12.75">
      <c r="A806" s="306"/>
      <c r="B806" s="306"/>
      <c r="C806" s="306"/>
      <c r="D806" s="306"/>
      <c r="E806" s="306"/>
      <c r="F806" s="306"/>
    </row>
    <row r="807" spans="1:6" ht="12.75">
      <c r="A807" s="306"/>
      <c r="B807" s="306"/>
      <c r="C807" s="306"/>
      <c r="D807" s="306"/>
      <c r="E807" s="306"/>
      <c r="F807" s="306"/>
    </row>
    <row r="808" spans="1:6" ht="12.75">
      <c r="A808" s="306"/>
      <c r="B808" s="306"/>
      <c r="C808" s="306"/>
      <c r="D808" s="306"/>
      <c r="E808" s="306"/>
      <c r="F808" s="306"/>
    </row>
    <row r="809" spans="1:6" ht="12.75">
      <c r="A809" s="306"/>
      <c r="B809" s="306"/>
      <c r="C809" s="306"/>
      <c r="D809" s="306"/>
      <c r="E809" s="306"/>
      <c r="F809" s="306"/>
    </row>
    <row r="810" spans="1:6" ht="12.75">
      <c r="A810" s="306"/>
      <c r="B810" s="306"/>
      <c r="C810" s="306"/>
      <c r="D810" s="306"/>
      <c r="E810" s="306"/>
      <c r="F810" s="306"/>
    </row>
    <row r="811" spans="1:6" ht="12.75">
      <c r="A811" s="306"/>
      <c r="B811" s="306"/>
      <c r="C811" s="306"/>
      <c r="D811" s="306"/>
      <c r="E811" s="306"/>
      <c r="F811" s="306"/>
    </row>
    <row r="812" spans="1:6" ht="12.75">
      <c r="A812" s="306"/>
      <c r="B812" s="306"/>
      <c r="C812" s="306"/>
      <c r="D812" s="306"/>
      <c r="E812" s="306"/>
      <c r="F812" s="306"/>
    </row>
    <row r="813" spans="1:6" ht="12.75">
      <c r="A813" s="306"/>
      <c r="B813" s="306"/>
      <c r="C813" s="306"/>
      <c r="D813" s="306"/>
      <c r="E813" s="306"/>
      <c r="F813" s="306"/>
    </row>
    <row r="814" spans="1:6" ht="12.75">
      <c r="A814" s="306"/>
      <c r="B814" s="306"/>
      <c r="C814" s="306"/>
      <c r="D814" s="306"/>
      <c r="E814" s="306"/>
      <c r="F814" s="306"/>
    </row>
    <row r="815" spans="1:6" ht="12.75">
      <c r="A815" s="306"/>
      <c r="B815" s="306"/>
      <c r="C815" s="306"/>
      <c r="D815" s="306"/>
      <c r="E815" s="306"/>
      <c r="F815" s="306"/>
    </row>
    <row r="816" spans="1:6" ht="12.75">
      <c r="A816" s="306"/>
      <c r="B816" s="306"/>
      <c r="C816" s="306"/>
      <c r="D816" s="306"/>
      <c r="E816" s="306"/>
      <c r="F816" s="306"/>
    </row>
    <row r="817" spans="1:6" ht="12.75">
      <c r="A817" s="306"/>
      <c r="B817" s="306"/>
      <c r="C817" s="306"/>
      <c r="D817" s="306"/>
      <c r="E817" s="306"/>
      <c r="F817" s="306"/>
    </row>
    <row r="818" spans="1:6" ht="12.75">
      <c r="A818" s="306"/>
      <c r="B818" s="306"/>
      <c r="C818" s="306"/>
      <c r="D818" s="306"/>
      <c r="E818" s="306"/>
      <c r="F818" s="306"/>
    </row>
    <row r="819" spans="1:6" ht="12.75">
      <c r="A819" s="306"/>
      <c r="B819" s="306"/>
      <c r="C819" s="306"/>
      <c r="D819" s="306"/>
      <c r="E819" s="306"/>
      <c r="F819" s="306"/>
    </row>
    <row r="820" spans="1:6" ht="12.75">
      <c r="A820" s="306"/>
      <c r="B820" s="306"/>
      <c r="C820" s="306"/>
      <c r="D820" s="306"/>
      <c r="E820" s="306"/>
      <c r="F820" s="306"/>
    </row>
    <row r="821" spans="1:6" ht="12.75">
      <c r="A821" s="306"/>
      <c r="B821" s="306"/>
      <c r="C821" s="306"/>
      <c r="D821" s="306"/>
      <c r="E821" s="306"/>
      <c r="F821" s="306"/>
    </row>
    <row r="822" spans="1:6" ht="12.75">
      <c r="A822" s="306"/>
      <c r="B822" s="306"/>
      <c r="C822" s="306"/>
      <c r="D822" s="306"/>
      <c r="E822" s="306"/>
      <c r="F822" s="306"/>
    </row>
    <row r="823" spans="1:6" ht="12.75">
      <c r="A823" s="306"/>
      <c r="B823" s="306"/>
      <c r="C823" s="306"/>
      <c r="D823" s="306"/>
      <c r="E823" s="306"/>
      <c r="F823" s="306"/>
    </row>
    <row r="824" spans="1:6" ht="12.75">
      <c r="A824" s="306"/>
      <c r="B824" s="306"/>
      <c r="C824" s="306"/>
      <c r="D824" s="306"/>
      <c r="E824" s="306"/>
      <c r="F824" s="306"/>
    </row>
    <row r="825" spans="1:6" ht="12.75">
      <c r="A825" s="306"/>
      <c r="B825" s="306"/>
      <c r="C825" s="306"/>
      <c r="D825" s="306"/>
      <c r="E825" s="306"/>
      <c r="F825" s="306"/>
    </row>
    <row r="826" spans="1:6" ht="12.75">
      <c r="A826" s="306"/>
      <c r="B826" s="306"/>
      <c r="C826" s="306"/>
      <c r="D826" s="306"/>
      <c r="E826" s="306"/>
      <c r="F826" s="306"/>
    </row>
    <row r="827" spans="1:6" ht="12.75">
      <c r="A827" s="306"/>
      <c r="B827" s="306"/>
      <c r="C827" s="306"/>
      <c r="D827" s="306"/>
      <c r="E827" s="306"/>
      <c r="F827" s="306"/>
    </row>
    <row r="828" spans="1:6" ht="12.75">
      <c r="A828" s="306"/>
      <c r="B828" s="306"/>
      <c r="C828" s="306"/>
      <c r="D828" s="306"/>
      <c r="E828" s="306"/>
      <c r="F828" s="306"/>
    </row>
    <row r="829" spans="1:6" ht="12.75">
      <c r="A829" s="306"/>
      <c r="B829" s="306"/>
      <c r="C829" s="306"/>
      <c r="D829" s="306"/>
      <c r="E829" s="306"/>
      <c r="F829" s="306"/>
    </row>
    <row r="830" spans="1:6" ht="12.75">
      <c r="A830" s="306"/>
      <c r="B830" s="306"/>
      <c r="C830" s="306"/>
      <c r="D830" s="306"/>
      <c r="E830" s="306"/>
      <c r="F830" s="306"/>
    </row>
    <row r="831" spans="1:6" ht="12.75">
      <c r="A831" s="306"/>
      <c r="B831" s="306"/>
      <c r="C831" s="306"/>
      <c r="D831" s="306"/>
      <c r="E831" s="306"/>
      <c r="F831" s="306"/>
    </row>
    <row r="832" spans="1:6" ht="12.75">
      <c r="A832" s="306"/>
      <c r="B832" s="306"/>
      <c r="C832" s="306"/>
      <c r="D832" s="306"/>
      <c r="E832" s="306"/>
      <c r="F832" s="306"/>
    </row>
    <row r="833" spans="1:6" ht="12.75">
      <c r="A833" s="306"/>
      <c r="B833" s="306"/>
      <c r="C833" s="306"/>
      <c r="D833" s="306"/>
      <c r="E833" s="306"/>
      <c r="F833" s="306"/>
    </row>
    <row r="834" spans="1:6" ht="12.75">
      <c r="A834" s="306"/>
      <c r="B834" s="306"/>
      <c r="C834" s="306"/>
      <c r="D834" s="306"/>
      <c r="E834" s="306"/>
      <c r="F834" s="306"/>
    </row>
    <row r="835" spans="1:6" ht="12.75">
      <c r="A835" s="306"/>
      <c r="B835" s="306"/>
      <c r="C835" s="306"/>
      <c r="D835" s="306"/>
      <c r="E835" s="306"/>
      <c r="F835" s="306"/>
    </row>
    <row r="836" spans="1:6" ht="12.75">
      <c r="A836" s="306"/>
      <c r="B836" s="306"/>
      <c r="C836" s="306"/>
      <c r="D836" s="306"/>
      <c r="E836" s="306"/>
      <c r="F836" s="306"/>
    </row>
    <row r="837" spans="1:6" ht="12.75">
      <c r="A837" s="306"/>
      <c r="B837" s="306"/>
      <c r="C837" s="306"/>
      <c r="D837" s="306"/>
      <c r="E837" s="306"/>
      <c r="F837" s="306"/>
    </row>
    <row r="838" spans="1:6" ht="12.75">
      <c r="A838" s="306"/>
      <c r="B838" s="306"/>
      <c r="C838" s="306"/>
      <c r="D838" s="306"/>
      <c r="E838" s="306"/>
      <c r="F838" s="306"/>
    </row>
    <row r="839" spans="1:6" ht="12.75">
      <c r="A839" s="306"/>
      <c r="B839" s="306"/>
      <c r="C839" s="306"/>
      <c r="D839" s="306"/>
      <c r="E839" s="306"/>
      <c r="F839" s="306"/>
    </row>
    <row r="840" spans="1:6" ht="12.75">
      <c r="A840" s="306"/>
      <c r="B840" s="306"/>
      <c r="C840" s="306"/>
      <c r="D840" s="306"/>
      <c r="E840" s="306"/>
      <c r="F840" s="306"/>
    </row>
    <row r="841" spans="1:6" ht="12.75">
      <c r="A841" s="306"/>
      <c r="B841" s="306"/>
      <c r="C841" s="306"/>
      <c r="D841" s="306"/>
      <c r="E841" s="306"/>
      <c r="F841" s="306"/>
    </row>
    <row r="842" spans="1:6" ht="12.75">
      <c r="A842" s="306"/>
      <c r="B842" s="306"/>
      <c r="C842" s="306"/>
      <c r="D842" s="306"/>
      <c r="E842" s="306"/>
      <c r="F842" s="306"/>
    </row>
    <row r="843" spans="1:6" ht="12.75">
      <c r="A843" s="306"/>
      <c r="B843" s="306"/>
      <c r="C843" s="306"/>
      <c r="D843" s="306"/>
      <c r="E843" s="306"/>
      <c r="F843" s="306"/>
    </row>
    <row r="844" spans="1:6" ht="12.75">
      <c r="A844" s="306"/>
      <c r="B844" s="306"/>
      <c r="C844" s="306"/>
      <c r="D844" s="306"/>
      <c r="E844" s="306"/>
      <c r="F844" s="306"/>
    </row>
    <row r="845" spans="1:6" ht="12.75">
      <c r="A845" s="306"/>
      <c r="B845" s="306"/>
      <c r="C845" s="306"/>
      <c r="D845" s="306"/>
      <c r="E845" s="306"/>
      <c r="F845" s="306"/>
    </row>
    <row r="846" spans="1:6" ht="12.75">
      <c r="A846" s="306"/>
      <c r="B846" s="306"/>
      <c r="C846" s="306"/>
      <c r="D846" s="306"/>
      <c r="E846" s="306"/>
      <c r="F846" s="306"/>
    </row>
    <row r="847" spans="1:6" ht="12.75">
      <c r="A847" s="306"/>
      <c r="B847" s="306"/>
      <c r="C847" s="306"/>
      <c r="D847" s="306"/>
      <c r="E847" s="306"/>
      <c r="F847" s="306"/>
    </row>
    <row r="848" spans="1:6" ht="12.75">
      <c r="A848" s="306"/>
      <c r="B848" s="306"/>
      <c r="C848" s="306"/>
      <c r="D848" s="306"/>
      <c r="E848" s="306"/>
      <c r="F848" s="306"/>
    </row>
    <row r="849" spans="1:6" ht="12.75">
      <c r="A849" s="306"/>
      <c r="B849" s="306"/>
      <c r="C849" s="306"/>
      <c r="D849" s="306"/>
      <c r="E849" s="306"/>
      <c r="F849" s="306"/>
    </row>
    <row r="850" spans="1:6" ht="12.75">
      <c r="A850" s="306"/>
      <c r="B850" s="306"/>
      <c r="C850" s="306"/>
      <c r="D850" s="306"/>
      <c r="E850" s="306"/>
      <c r="F850" s="306"/>
    </row>
    <row r="851" spans="1:6" ht="12.75">
      <c r="A851" s="306"/>
      <c r="B851" s="306"/>
      <c r="C851" s="306"/>
      <c r="D851" s="306"/>
      <c r="E851" s="306"/>
      <c r="F851" s="306"/>
    </row>
    <row r="852" spans="1:6" ht="12.75">
      <c r="A852" s="306"/>
      <c r="B852" s="306"/>
      <c r="C852" s="306"/>
      <c r="D852" s="306"/>
      <c r="E852" s="306"/>
      <c r="F852" s="306"/>
    </row>
    <row r="853" spans="1:6" ht="12.75">
      <c r="A853" s="306"/>
      <c r="B853" s="306"/>
      <c r="C853" s="306"/>
      <c r="D853" s="306"/>
      <c r="E853" s="306"/>
      <c r="F853" s="306"/>
    </row>
    <row r="854" spans="1:6" ht="12.75">
      <c r="A854" s="306"/>
      <c r="B854" s="306"/>
      <c r="C854" s="306"/>
      <c r="D854" s="306"/>
      <c r="E854" s="306"/>
      <c r="F854" s="306"/>
    </row>
    <row r="855" spans="1:6" ht="12.75">
      <c r="A855" s="306"/>
      <c r="B855" s="306"/>
      <c r="C855" s="306"/>
      <c r="D855" s="306"/>
      <c r="E855" s="306"/>
      <c r="F855" s="306"/>
    </row>
    <row r="856" spans="1:6" ht="12.75">
      <c r="A856" s="306"/>
      <c r="B856" s="306"/>
      <c r="C856" s="306"/>
      <c r="D856" s="306"/>
      <c r="E856" s="306"/>
      <c r="F856" s="306"/>
    </row>
    <row r="857" spans="1:6" ht="12.75">
      <c r="A857" s="306"/>
      <c r="B857" s="306"/>
      <c r="C857" s="306"/>
      <c r="D857" s="306"/>
      <c r="E857" s="306"/>
      <c r="F857" s="306"/>
    </row>
    <row r="858" spans="1:6" ht="12.75">
      <c r="A858" s="306"/>
      <c r="B858" s="306"/>
      <c r="C858" s="306"/>
      <c r="D858" s="306"/>
      <c r="E858" s="306"/>
      <c r="F858" s="306"/>
    </row>
    <row r="859" spans="1:6" ht="12.75">
      <c r="A859" s="306"/>
      <c r="B859" s="306"/>
      <c r="C859" s="306"/>
      <c r="D859" s="306"/>
      <c r="E859" s="306"/>
      <c r="F859" s="306"/>
    </row>
    <row r="860" spans="1:6" ht="12.75">
      <c r="A860" s="306"/>
      <c r="B860" s="306"/>
      <c r="C860" s="306"/>
      <c r="D860" s="306"/>
      <c r="E860" s="306"/>
      <c r="F860" s="306"/>
    </row>
    <row r="861" spans="1:6" ht="12.75">
      <c r="A861" s="306"/>
      <c r="B861" s="306"/>
      <c r="C861" s="306"/>
      <c r="D861" s="306"/>
      <c r="E861" s="306"/>
      <c r="F861" s="306"/>
    </row>
    <row r="862" spans="1:6" ht="12.75">
      <c r="A862" s="306"/>
      <c r="B862" s="306"/>
      <c r="C862" s="306"/>
      <c r="D862" s="306"/>
      <c r="E862" s="306"/>
      <c r="F862" s="306"/>
    </row>
    <row r="863" spans="1:6" ht="12.75">
      <c r="A863" s="306"/>
      <c r="B863" s="306"/>
      <c r="C863" s="306"/>
      <c r="D863" s="306"/>
      <c r="E863" s="306"/>
      <c r="F863" s="306"/>
    </row>
    <row r="864" spans="1:6" ht="12.75">
      <c r="A864" s="306"/>
      <c r="B864" s="306"/>
      <c r="C864" s="306"/>
      <c r="D864" s="306"/>
      <c r="E864" s="306"/>
      <c r="F864" s="306"/>
    </row>
    <row r="865" spans="1:6" ht="12.75">
      <c r="A865" s="306"/>
      <c r="B865" s="306"/>
      <c r="C865" s="306"/>
      <c r="D865" s="306"/>
      <c r="E865" s="306"/>
      <c r="F865" s="306"/>
    </row>
    <row r="866" spans="1:6" ht="12.75">
      <c r="A866" s="306"/>
      <c r="B866" s="306"/>
      <c r="C866" s="306"/>
      <c r="D866" s="306"/>
      <c r="E866" s="306"/>
      <c r="F866" s="306"/>
    </row>
    <row r="867" spans="1:6" ht="12.75">
      <c r="A867" s="306"/>
      <c r="B867" s="306"/>
      <c r="C867" s="306"/>
      <c r="D867" s="306"/>
      <c r="E867" s="306"/>
      <c r="F867" s="306"/>
    </row>
    <row r="868" spans="1:6" ht="12.75">
      <c r="A868" s="306"/>
      <c r="B868" s="306"/>
      <c r="C868" s="306"/>
      <c r="D868" s="306"/>
      <c r="E868" s="306"/>
      <c r="F868" s="306"/>
    </row>
    <row r="869" spans="1:6" ht="12.75">
      <c r="A869" s="306"/>
      <c r="B869" s="306"/>
      <c r="C869" s="306"/>
      <c r="D869" s="306"/>
      <c r="E869" s="306"/>
      <c r="F869" s="306"/>
    </row>
    <row r="870" spans="1:6" ht="12.75">
      <c r="A870" s="306"/>
      <c r="B870" s="306"/>
      <c r="C870" s="306"/>
      <c r="D870" s="306"/>
      <c r="E870" s="306"/>
      <c r="F870" s="306"/>
    </row>
    <row r="871" spans="1:6" ht="12.75">
      <c r="A871" s="306"/>
      <c r="B871" s="306"/>
      <c r="C871" s="306"/>
      <c r="D871" s="306"/>
      <c r="E871" s="306"/>
      <c r="F871" s="306"/>
    </row>
    <row r="872" spans="1:6" ht="12.75">
      <c r="A872" s="306"/>
      <c r="B872" s="306"/>
      <c r="C872" s="306"/>
      <c r="D872" s="306"/>
      <c r="E872" s="306"/>
      <c r="F872" s="306"/>
    </row>
    <row r="873" spans="1:6" ht="12.75">
      <c r="A873" s="306"/>
      <c r="B873" s="306"/>
      <c r="C873" s="306"/>
      <c r="D873" s="306"/>
      <c r="E873" s="306"/>
      <c r="F873" s="306"/>
    </row>
    <row r="874" spans="1:6" ht="12.75">
      <c r="A874" s="306"/>
      <c r="B874" s="306"/>
      <c r="C874" s="306"/>
      <c r="D874" s="306"/>
      <c r="E874" s="306"/>
      <c r="F874" s="306"/>
    </row>
    <row r="875" spans="1:6" ht="12.75">
      <c r="A875" s="306"/>
      <c r="B875" s="306"/>
      <c r="C875" s="306"/>
      <c r="D875" s="306"/>
      <c r="E875" s="306"/>
      <c r="F875" s="306"/>
    </row>
    <row r="876" spans="1:6" ht="12.75">
      <c r="A876" s="306"/>
      <c r="B876" s="306"/>
      <c r="C876" s="306"/>
      <c r="D876" s="306"/>
      <c r="E876" s="306"/>
      <c r="F876" s="306"/>
    </row>
    <row r="877" spans="1:6" ht="12.75">
      <c r="A877" s="306"/>
      <c r="B877" s="306"/>
      <c r="C877" s="306"/>
      <c r="D877" s="306"/>
      <c r="E877" s="306"/>
      <c r="F877" s="306"/>
    </row>
    <row r="878" spans="1:6" ht="12.75">
      <c r="A878" s="306"/>
      <c r="B878" s="306"/>
      <c r="C878" s="306"/>
      <c r="D878" s="306"/>
      <c r="E878" s="306"/>
      <c r="F878" s="306"/>
    </row>
    <row r="879" spans="1:6" ht="12.75">
      <c r="A879" s="306"/>
      <c r="B879" s="306"/>
      <c r="C879" s="306"/>
      <c r="D879" s="306"/>
      <c r="E879" s="306"/>
      <c r="F879" s="306"/>
    </row>
    <row r="880" spans="1:6" ht="12.75">
      <c r="A880" s="306"/>
      <c r="B880" s="306"/>
      <c r="C880" s="306"/>
      <c r="D880" s="306"/>
      <c r="E880" s="306"/>
      <c r="F880" s="306"/>
    </row>
    <row r="881" spans="1:6" ht="12.75">
      <c r="A881" s="306"/>
      <c r="B881" s="306"/>
      <c r="C881" s="306"/>
      <c r="D881" s="306"/>
      <c r="E881" s="306"/>
      <c r="F881" s="306"/>
    </row>
    <row r="882" spans="1:6" ht="12.75">
      <c r="A882" s="306"/>
      <c r="B882" s="306"/>
      <c r="C882" s="306"/>
      <c r="D882" s="306"/>
      <c r="E882" s="306"/>
      <c r="F882" s="306"/>
    </row>
    <row r="883" spans="1:6" ht="12.75">
      <c r="A883" s="306"/>
      <c r="B883" s="306"/>
      <c r="C883" s="306"/>
      <c r="D883" s="306"/>
      <c r="E883" s="306"/>
      <c r="F883" s="306"/>
    </row>
    <row r="884" spans="1:6" ht="12.75">
      <c r="A884" s="306"/>
      <c r="B884" s="306"/>
      <c r="C884" s="306"/>
      <c r="D884" s="306"/>
      <c r="E884" s="306"/>
      <c r="F884" s="306"/>
    </row>
    <row r="885" spans="1:6" ht="12.75">
      <c r="A885" s="306"/>
      <c r="B885" s="306"/>
      <c r="C885" s="306"/>
      <c r="D885" s="306"/>
      <c r="E885" s="306"/>
      <c r="F885" s="306"/>
    </row>
    <row r="886" spans="1:6" ht="12.75">
      <c r="A886" s="306"/>
      <c r="B886" s="306"/>
      <c r="C886" s="306"/>
      <c r="D886" s="306"/>
      <c r="E886" s="306"/>
      <c r="F886" s="306"/>
    </row>
    <row r="887" spans="1:6" ht="12.75">
      <c r="A887" s="306"/>
      <c r="B887" s="306"/>
      <c r="C887" s="306"/>
      <c r="D887" s="306"/>
      <c r="E887" s="306"/>
      <c r="F887" s="306"/>
    </row>
    <row r="888" spans="1:6" ht="12.75">
      <c r="A888" s="306"/>
      <c r="B888" s="306"/>
      <c r="C888" s="306"/>
      <c r="D888" s="306"/>
      <c r="E888" s="306"/>
      <c r="F888" s="306"/>
    </row>
    <row r="889" spans="1:6" ht="12.75">
      <c r="A889" s="306"/>
      <c r="B889" s="306"/>
      <c r="C889" s="306"/>
      <c r="D889" s="306"/>
      <c r="E889" s="306"/>
      <c r="F889" s="306"/>
    </row>
    <row r="890" spans="1:6" ht="12.75">
      <c r="A890" s="306"/>
      <c r="B890" s="306"/>
      <c r="C890" s="306"/>
      <c r="D890" s="306"/>
      <c r="E890" s="306"/>
      <c r="F890" s="306"/>
    </row>
    <row r="891" spans="1:6" ht="12.75">
      <c r="A891" s="306"/>
      <c r="B891" s="306"/>
      <c r="C891" s="306"/>
      <c r="D891" s="306"/>
      <c r="E891" s="306"/>
      <c r="F891" s="306"/>
    </row>
    <row r="892" spans="1:6" ht="12.75">
      <c r="A892" s="306"/>
      <c r="B892" s="306"/>
      <c r="C892" s="306"/>
      <c r="D892" s="306"/>
      <c r="E892" s="306"/>
      <c r="F892" s="306"/>
    </row>
    <row r="893" spans="1:6" ht="12.75">
      <c r="A893" s="306"/>
      <c r="B893" s="306"/>
      <c r="C893" s="306"/>
      <c r="D893" s="306"/>
      <c r="E893" s="306"/>
      <c r="F893" s="306"/>
    </row>
    <row r="894" spans="1:6" ht="12.75">
      <c r="A894" s="306"/>
      <c r="B894" s="306"/>
      <c r="C894" s="306"/>
      <c r="D894" s="306"/>
      <c r="E894" s="306"/>
      <c r="F894" s="306"/>
    </row>
    <row r="895" spans="1:6" ht="12.75">
      <c r="A895" s="306"/>
      <c r="B895" s="306"/>
      <c r="C895" s="306"/>
      <c r="D895" s="306"/>
      <c r="E895" s="306"/>
      <c r="F895" s="306"/>
    </row>
    <row r="896" spans="1:6" ht="12.75">
      <c r="A896" s="306"/>
      <c r="B896" s="306"/>
      <c r="C896" s="306"/>
      <c r="D896" s="306"/>
      <c r="E896" s="306"/>
      <c r="F896" s="306"/>
    </row>
    <row r="897" spans="1:6" ht="12.75">
      <c r="A897" s="306"/>
      <c r="B897" s="306"/>
      <c r="C897" s="306"/>
      <c r="D897" s="306"/>
      <c r="E897" s="306"/>
      <c r="F897" s="306"/>
    </row>
    <row r="898" spans="1:6" ht="12.75">
      <c r="A898" s="306"/>
      <c r="B898" s="306"/>
      <c r="C898" s="306"/>
      <c r="D898" s="306"/>
      <c r="E898" s="306"/>
      <c r="F898" s="306"/>
    </row>
    <row r="899" spans="1:6" ht="12.75">
      <c r="A899" s="306"/>
      <c r="B899" s="306"/>
      <c r="C899" s="306"/>
      <c r="D899" s="306"/>
      <c r="E899" s="306"/>
      <c r="F899" s="306"/>
    </row>
    <row r="900" spans="1:6" ht="12.75">
      <c r="A900" s="306"/>
      <c r="B900" s="306"/>
      <c r="C900" s="306"/>
      <c r="D900" s="306"/>
      <c r="E900" s="306"/>
      <c r="F900" s="306"/>
    </row>
    <row r="901" spans="1:6" ht="12.75">
      <c r="A901" s="306"/>
      <c r="B901" s="306"/>
      <c r="C901" s="306"/>
      <c r="D901" s="306"/>
      <c r="E901" s="306"/>
      <c r="F901" s="306"/>
    </row>
    <row r="902" spans="1:6" ht="12.75">
      <c r="A902" s="306"/>
      <c r="B902" s="306"/>
      <c r="C902" s="306"/>
      <c r="D902" s="306"/>
      <c r="E902" s="306"/>
      <c r="F902" s="306"/>
    </row>
    <row r="903" spans="1:6" ht="12.75">
      <c r="A903" s="306"/>
      <c r="B903" s="306"/>
      <c r="C903" s="306"/>
      <c r="D903" s="306"/>
      <c r="E903" s="306"/>
      <c r="F903" s="306"/>
    </row>
    <row r="904" spans="1:6" ht="12.75">
      <c r="A904" s="306"/>
      <c r="B904" s="306"/>
      <c r="C904" s="306"/>
      <c r="D904" s="306"/>
      <c r="E904" s="306"/>
      <c r="F904" s="306"/>
    </row>
    <row r="905" spans="1:6" ht="12.75">
      <c r="A905" s="306"/>
      <c r="B905" s="306"/>
      <c r="C905" s="306"/>
      <c r="D905" s="306"/>
      <c r="E905" s="306"/>
      <c r="F905" s="306"/>
    </row>
    <row r="906" spans="1:6" ht="12.75">
      <c r="A906" s="306"/>
      <c r="B906" s="306"/>
      <c r="C906" s="306"/>
      <c r="D906" s="306"/>
      <c r="E906" s="306"/>
      <c r="F906" s="306"/>
    </row>
    <row r="907" spans="1:6" ht="12.75">
      <c r="A907" s="306"/>
      <c r="B907" s="306"/>
      <c r="C907" s="306"/>
      <c r="D907" s="306"/>
      <c r="E907" s="306"/>
      <c r="F907" s="306"/>
    </row>
    <row r="908" spans="1:6" ht="12.75">
      <c r="A908" s="306"/>
      <c r="B908" s="306"/>
      <c r="C908" s="306"/>
      <c r="D908" s="306"/>
      <c r="E908" s="306"/>
      <c r="F908" s="306"/>
    </row>
    <row r="909" spans="1:6" ht="12.75">
      <c r="A909" s="306"/>
      <c r="B909" s="306"/>
      <c r="C909" s="306"/>
      <c r="D909" s="306"/>
      <c r="E909" s="306"/>
      <c r="F909" s="306"/>
    </row>
    <row r="910" spans="1:6" ht="12.75">
      <c r="A910" s="306"/>
      <c r="B910" s="306"/>
      <c r="C910" s="306"/>
      <c r="D910" s="306"/>
      <c r="E910" s="306"/>
      <c r="F910" s="306"/>
    </row>
    <row r="911" spans="1:6" ht="12.75">
      <c r="A911" s="306"/>
      <c r="B911" s="306"/>
      <c r="C911" s="306"/>
      <c r="D911" s="306"/>
      <c r="E911" s="306"/>
      <c r="F911" s="306"/>
    </row>
    <row r="912" spans="1:6" ht="12.75">
      <c r="A912" s="306"/>
      <c r="B912" s="306"/>
      <c r="C912" s="306"/>
      <c r="D912" s="306"/>
      <c r="E912" s="306"/>
      <c r="F912" s="306"/>
    </row>
    <row r="913" spans="1:6" ht="12.75">
      <c r="A913" s="306"/>
      <c r="B913" s="306"/>
      <c r="C913" s="306"/>
      <c r="D913" s="306"/>
      <c r="E913" s="306"/>
      <c r="F913" s="306"/>
    </row>
    <row r="914" spans="1:6" ht="12.75">
      <c r="A914" s="306"/>
      <c r="B914" s="306"/>
      <c r="C914" s="306"/>
      <c r="D914" s="306"/>
      <c r="E914" s="306"/>
      <c r="F914" s="306"/>
    </row>
    <row r="915" spans="1:6" ht="12.75">
      <c r="A915" s="306"/>
      <c r="B915" s="306"/>
      <c r="C915" s="306"/>
      <c r="D915" s="306"/>
      <c r="E915" s="306"/>
      <c r="F915" s="306"/>
    </row>
    <row r="916" spans="1:6" ht="12.75">
      <c r="A916" s="306"/>
      <c r="B916" s="306"/>
      <c r="C916" s="306"/>
      <c r="D916" s="306"/>
      <c r="E916" s="306"/>
      <c r="F916" s="306"/>
    </row>
    <row r="917" spans="1:6" ht="12.75">
      <c r="A917" s="306"/>
      <c r="B917" s="306"/>
      <c r="C917" s="306"/>
      <c r="D917" s="306"/>
      <c r="E917" s="306"/>
      <c r="F917" s="306"/>
    </row>
    <row r="918" spans="1:6" ht="12.75">
      <c r="A918" s="306"/>
      <c r="B918" s="306"/>
      <c r="C918" s="306"/>
      <c r="D918" s="306"/>
      <c r="E918" s="306"/>
      <c r="F918" s="306"/>
    </row>
    <row r="919" spans="1:6" ht="12.75">
      <c r="A919" s="306"/>
      <c r="B919" s="306"/>
      <c r="C919" s="306"/>
      <c r="D919" s="306"/>
      <c r="E919" s="306"/>
      <c r="F919" s="306"/>
    </row>
    <row r="920" spans="1:6" ht="12.75">
      <c r="A920" s="306"/>
      <c r="B920" s="306"/>
      <c r="C920" s="306"/>
      <c r="D920" s="306"/>
      <c r="E920" s="306"/>
      <c r="F920" s="306"/>
    </row>
    <row r="921" spans="1:6" ht="12.75">
      <c r="A921" s="306"/>
      <c r="B921" s="306"/>
      <c r="C921" s="306"/>
      <c r="D921" s="306"/>
      <c r="E921" s="306"/>
      <c r="F921" s="306"/>
    </row>
    <row r="922" spans="1:6" ht="12.75">
      <c r="A922" s="306"/>
      <c r="B922" s="306"/>
      <c r="C922" s="306"/>
      <c r="D922" s="306"/>
      <c r="E922" s="306"/>
      <c r="F922" s="306"/>
    </row>
    <row r="923" spans="1:6" ht="12.75">
      <c r="A923" s="306"/>
      <c r="B923" s="306"/>
      <c r="C923" s="306"/>
      <c r="D923" s="306"/>
      <c r="E923" s="306"/>
      <c r="F923" s="306"/>
    </row>
    <row r="924" spans="1:6" ht="12.75">
      <c r="A924" s="306"/>
      <c r="B924" s="306"/>
      <c r="C924" s="306"/>
      <c r="D924" s="306"/>
      <c r="E924" s="306"/>
      <c r="F924" s="306"/>
    </row>
    <row r="925" spans="1:6" ht="12.75">
      <c r="A925" s="306"/>
      <c r="B925" s="306"/>
      <c r="C925" s="306"/>
      <c r="D925" s="306"/>
      <c r="E925" s="306"/>
      <c r="F925" s="306"/>
    </row>
    <row r="926" spans="1:6" ht="12.75">
      <c r="A926" s="306"/>
      <c r="B926" s="306"/>
      <c r="C926" s="306"/>
      <c r="D926" s="306"/>
      <c r="E926" s="306"/>
      <c r="F926" s="306"/>
    </row>
    <row r="927" spans="1:6" ht="12.75">
      <c r="A927" s="306"/>
      <c r="B927" s="306"/>
      <c r="C927" s="306"/>
      <c r="D927" s="306"/>
      <c r="E927" s="306"/>
      <c r="F927" s="306"/>
    </row>
    <row r="928" spans="1:6" ht="12.75">
      <c r="A928" s="306"/>
      <c r="B928" s="306"/>
      <c r="C928" s="306"/>
      <c r="D928" s="306"/>
      <c r="E928" s="306"/>
      <c r="F928" s="306"/>
    </row>
    <row r="929" spans="1:6" ht="12.75">
      <c r="A929" s="306"/>
      <c r="B929" s="306"/>
      <c r="C929" s="306"/>
      <c r="D929" s="306"/>
      <c r="E929" s="306"/>
      <c r="F929" s="306"/>
    </row>
    <row r="930" spans="1:6" ht="12.75">
      <c r="A930" s="306"/>
      <c r="B930" s="306"/>
      <c r="C930" s="306"/>
      <c r="D930" s="306"/>
      <c r="E930" s="306"/>
      <c r="F930" s="306"/>
    </row>
    <row r="931" spans="1:6" ht="12.75">
      <c r="A931" s="306"/>
      <c r="B931" s="306"/>
      <c r="C931" s="306"/>
      <c r="D931" s="306"/>
      <c r="E931" s="306"/>
      <c r="F931" s="306"/>
    </row>
    <row r="932" spans="1:6" ht="12.75">
      <c r="A932" s="306"/>
      <c r="B932" s="306"/>
      <c r="C932" s="306"/>
      <c r="D932" s="306"/>
      <c r="E932" s="306"/>
      <c r="F932" s="306"/>
    </row>
    <row r="933" spans="1:6" ht="12.75">
      <c r="A933" s="306"/>
      <c r="B933" s="306"/>
      <c r="C933" s="306"/>
      <c r="D933" s="306"/>
      <c r="E933" s="306"/>
      <c r="F933" s="306"/>
    </row>
    <row r="934" spans="1:6" ht="12.75">
      <c r="A934" s="306"/>
      <c r="B934" s="306"/>
      <c r="C934" s="306"/>
      <c r="D934" s="306"/>
      <c r="E934" s="306"/>
      <c r="F934" s="306"/>
    </row>
    <row r="935" spans="1:6" ht="12.75">
      <c r="A935" s="306"/>
      <c r="B935" s="306"/>
      <c r="C935" s="306"/>
      <c r="D935" s="306"/>
      <c r="E935" s="306"/>
      <c r="F935" s="306"/>
    </row>
    <row r="936" spans="1:6" ht="12.75">
      <c r="A936" s="306"/>
      <c r="B936" s="306"/>
      <c r="C936" s="306"/>
      <c r="D936" s="306"/>
      <c r="E936" s="306"/>
      <c r="F936" s="306"/>
    </row>
    <row r="937" spans="1:6" ht="12.75">
      <c r="A937" s="306"/>
      <c r="B937" s="306"/>
      <c r="C937" s="306"/>
      <c r="D937" s="306"/>
      <c r="E937" s="306"/>
      <c r="F937" s="306"/>
    </row>
    <row r="938" spans="1:6" ht="12.75">
      <c r="A938" s="306"/>
      <c r="B938" s="306"/>
      <c r="C938" s="306"/>
      <c r="D938" s="306"/>
      <c r="E938" s="306"/>
      <c r="F938" s="306"/>
    </row>
    <row r="939" spans="1:6" ht="12.75">
      <c r="A939" s="306"/>
      <c r="B939" s="306"/>
      <c r="C939" s="306"/>
      <c r="D939" s="306"/>
      <c r="E939" s="306"/>
      <c r="F939" s="306"/>
    </row>
    <row r="940" spans="1:6" ht="12.75">
      <c r="A940" s="306"/>
      <c r="B940" s="306"/>
      <c r="C940" s="306"/>
      <c r="D940" s="306"/>
      <c r="E940" s="306"/>
      <c r="F940" s="306"/>
    </row>
    <row r="941" spans="1:6" ht="12.75">
      <c r="A941" s="306"/>
      <c r="B941" s="306"/>
      <c r="C941" s="306"/>
      <c r="D941" s="306"/>
      <c r="E941" s="306"/>
      <c r="F941" s="306"/>
    </row>
    <row r="942" spans="1:6" ht="12.75">
      <c r="A942" s="306"/>
      <c r="B942" s="306"/>
      <c r="C942" s="306"/>
      <c r="D942" s="306"/>
      <c r="E942" s="306"/>
      <c r="F942" s="306"/>
    </row>
    <row r="943" spans="1:6" ht="12.75">
      <c r="A943" s="306"/>
      <c r="B943" s="306"/>
      <c r="C943" s="306"/>
      <c r="D943" s="306"/>
      <c r="E943" s="306"/>
      <c r="F943" s="306"/>
    </row>
    <row r="944" spans="1:6" ht="12.75">
      <c r="A944" s="306"/>
      <c r="B944" s="306"/>
      <c r="C944" s="306"/>
      <c r="D944" s="306"/>
      <c r="E944" s="306"/>
      <c r="F944" s="306"/>
    </row>
    <row r="945" spans="1:6" ht="12.75">
      <c r="A945" s="306"/>
      <c r="B945" s="306"/>
      <c r="C945" s="306"/>
      <c r="D945" s="306"/>
      <c r="E945" s="306"/>
      <c r="F945" s="306"/>
    </row>
    <row r="946" spans="1:6" ht="12.75">
      <c r="A946" s="306"/>
      <c r="B946" s="306"/>
      <c r="C946" s="306"/>
      <c r="D946" s="306"/>
      <c r="E946" s="306"/>
      <c r="F946" s="306"/>
    </row>
    <row r="947" spans="1:6" ht="12.75">
      <c r="A947" s="306"/>
      <c r="B947" s="306"/>
      <c r="C947" s="306"/>
      <c r="D947" s="306"/>
      <c r="E947" s="306"/>
      <c r="F947" s="306"/>
    </row>
    <row r="948" spans="1:6" ht="12.75">
      <c r="A948" s="306"/>
      <c r="B948" s="306"/>
      <c r="C948" s="306"/>
      <c r="D948" s="306"/>
      <c r="E948" s="306"/>
      <c r="F948" s="306"/>
    </row>
    <row r="949" spans="1:6" ht="12.75">
      <c r="A949" s="306"/>
      <c r="B949" s="306"/>
      <c r="C949" s="306"/>
      <c r="D949" s="306"/>
      <c r="E949" s="306"/>
      <c r="F949" s="306"/>
    </row>
    <row r="950" spans="1:6" ht="12.75">
      <c r="A950" s="306"/>
      <c r="B950" s="306"/>
      <c r="C950" s="306"/>
      <c r="D950" s="306"/>
      <c r="E950" s="306"/>
      <c r="F950" s="306"/>
    </row>
    <row r="951" spans="1:6" ht="12.75">
      <c r="A951" s="306"/>
      <c r="B951" s="306"/>
      <c r="C951" s="306"/>
      <c r="D951" s="306"/>
      <c r="E951" s="306"/>
      <c r="F951" s="306"/>
    </row>
    <row r="952" spans="1:6" ht="12.75">
      <c r="A952" s="306"/>
      <c r="B952" s="306"/>
      <c r="C952" s="306"/>
      <c r="D952" s="306"/>
      <c r="E952" s="306"/>
      <c r="F952" s="306"/>
    </row>
    <row r="953" spans="1:6" ht="12.75">
      <c r="A953" s="306"/>
      <c r="B953" s="306"/>
      <c r="C953" s="306"/>
      <c r="D953" s="306"/>
      <c r="E953" s="306"/>
      <c r="F953" s="306"/>
    </row>
    <row r="954" spans="1:6" ht="12.75">
      <c r="A954" s="306"/>
      <c r="B954" s="306"/>
      <c r="C954" s="306"/>
      <c r="D954" s="306"/>
      <c r="E954" s="306"/>
      <c r="F954" s="306"/>
    </row>
    <row r="955" spans="1:6" ht="12.75">
      <c r="A955" s="306"/>
      <c r="B955" s="306"/>
      <c r="C955" s="306"/>
      <c r="D955" s="306"/>
      <c r="E955" s="306"/>
      <c r="F955" s="306"/>
    </row>
    <row r="956" spans="1:6" ht="12.75">
      <c r="A956" s="306"/>
      <c r="B956" s="306"/>
      <c r="C956" s="306"/>
      <c r="D956" s="306"/>
      <c r="E956" s="306"/>
      <c r="F956" s="306"/>
    </row>
    <row r="957" spans="1:6" ht="12.75">
      <c r="A957" s="306"/>
      <c r="B957" s="306"/>
      <c r="C957" s="306"/>
      <c r="D957" s="306"/>
      <c r="E957" s="306"/>
      <c r="F957" s="306"/>
    </row>
    <row r="958" spans="1:6" ht="12.75">
      <c r="A958" s="306"/>
      <c r="B958" s="306"/>
      <c r="C958" s="306"/>
      <c r="D958" s="306"/>
      <c r="E958" s="306"/>
      <c r="F958" s="306"/>
    </row>
    <row r="959" spans="1:6" ht="12.75">
      <c r="A959" s="306"/>
      <c r="B959" s="306"/>
      <c r="C959" s="306"/>
      <c r="D959" s="306"/>
      <c r="E959" s="306"/>
      <c r="F959" s="306"/>
    </row>
    <row r="960" spans="1:6" ht="12.75">
      <c r="A960" s="306"/>
      <c r="B960" s="306"/>
      <c r="C960" s="306"/>
      <c r="D960" s="306"/>
      <c r="E960" s="306"/>
      <c r="F960" s="306"/>
    </row>
    <row r="961" spans="1:6" ht="12.75">
      <c r="A961" s="306"/>
      <c r="B961" s="306"/>
      <c r="C961" s="306"/>
      <c r="D961" s="306"/>
      <c r="E961" s="306"/>
      <c r="F961" s="306"/>
    </row>
    <row r="962" spans="1:6" ht="12.75">
      <c r="A962" s="306"/>
      <c r="B962" s="306"/>
      <c r="C962" s="306"/>
      <c r="D962" s="306"/>
      <c r="E962" s="306"/>
      <c r="F962" s="306"/>
    </row>
    <row r="963" spans="1:6" ht="12.75">
      <c r="A963" s="306"/>
      <c r="B963" s="306"/>
      <c r="C963" s="306"/>
      <c r="D963" s="306"/>
      <c r="E963" s="306"/>
      <c r="F963" s="306"/>
    </row>
    <row r="964" spans="1:6" ht="12.75">
      <c r="A964" s="306"/>
      <c r="B964" s="306"/>
      <c r="C964" s="306"/>
      <c r="D964" s="306"/>
      <c r="E964" s="306"/>
      <c r="F964" s="306"/>
    </row>
    <row r="965" spans="1:6" ht="12.75">
      <c r="A965" s="306"/>
      <c r="B965" s="306"/>
      <c r="C965" s="306"/>
      <c r="D965" s="306"/>
      <c r="E965" s="306"/>
      <c r="F965" s="306"/>
    </row>
    <row r="966" spans="1:6" ht="12.75">
      <c r="A966" s="306"/>
      <c r="B966" s="306"/>
      <c r="C966" s="306"/>
      <c r="D966" s="306"/>
      <c r="E966" s="306"/>
      <c r="F966" s="306"/>
    </row>
    <row r="967" spans="1:6" ht="12.75">
      <c r="A967" s="306"/>
      <c r="B967" s="306"/>
      <c r="C967" s="306"/>
      <c r="D967" s="306"/>
      <c r="E967" s="306"/>
      <c r="F967" s="306"/>
    </row>
    <row r="968" spans="1:6" ht="12.75">
      <c r="A968" s="306"/>
      <c r="B968" s="306"/>
      <c r="C968" s="306"/>
      <c r="D968" s="306"/>
      <c r="E968" s="306"/>
      <c r="F968" s="306"/>
    </row>
    <row r="969" spans="1:6" ht="12.75">
      <c r="A969" s="306"/>
      <c r="B969" s="306"/>
      <c r="C969" s="306"/>
      <c r="D969" s="306"/>
      <c r="E969" s="306"/>
      <c r="F969" s="306"/>
    </row>
    <row r="970" spans="1:6" ht="12.75">
      <c r="A970" s="306"/>
      <c r="B970" s="306"/>
      <c r="C970" s="306"/>
      <c r="D970" s="306"/>
      <c r="E970" s="306"/>
      <c r="F970" s="306"/>
    </row>
    <row r="971" spans="1:6" ht="12.75">
      <c r="A971" s="306"/>
      <c r="B971" s="306"/>
      <c r="C971" s="306"/>
      <c r="D971" s="306"/>
      <c r="E971" s="306"/>
      <c r="F971" s="306"/>
    </row>
    <row r="972" spans="1:6" ht="12.75">
      <c r="A972" s="306"/>
      <c r="B972" s="306"/>
      <c r="C972" s="306"/>
      <c r="D972" s="306"/>
      <c r="E972" s="306"/>
      <c r="F972" s="306"/>
    </row>
    <row r="973" spans="1:6" ht="12.75">
      <c r="A973" s="306"/>
      <c r="B973" s="306"/>
      <c r="C973" s="306"/>
      <c r="D973" s="306"/>
      <c r="E973" s="306"/>
      <c r="F973" s="306"/>
    </row>
    <row r="974" spans="1:6" ht="12.75">
      <c r="A974" s="306"/>
      <c r="B974" s="306"/>
      <c r="C974" s="306"/>
      <c r="D974" s="306"/>
      <c r="E974" s="306"/>
      <c r="F974" s="306"/>
    </row>
    <row r="975" spans="1:6" ht="12.75">
      <c r="A975" s="306"/>
      <c r="B975" s="306"/>
      <c r="C975" s="306"/>
      <c r="D975" s="306"/>
      <c r="E975" s="306"/>
      <c r="F975" s="306"/>
    </row>
    <row r="976" spans="1:6" ht="12.75">
      <c r="A976" s="306"/>
      <c r="B976" s="306"/>
      <c r="C976" s="306"/>
      <c r="D976" s="306"/>
      <c r="E976" s="306"/>
      <c r="F976" s="306"/>
    </row>
    <row r="977" spans="1:6" ht="12.75">
      <c r="A977" s="306"/>
      <c r="B977" s="306"/>
      <c r="C977" s="306"/>
      <c r="D977" s="306"/>
      <c r="E977" s="306"/>
      <c r="F977" s="306"/>
    </row>
    <row r="978" spans="1:6" ht="12.75">
      <c r="A978" s="306"/>
      <c r="B978" s="306"/>
      <c r="C978" s="306"/>
      <c r="D978" s="306"/>
      <c r="E978" s="306"/>
      <c r="F978" s="306"/>
    </row>
    <row r="979" spans="1:6" ht="12.75">
      <c r="A979" s="306"/>
      <c r="B979" s="306"/>
      <c r="C979" s="306"/>
      <c r="D979" s="306"/>
      <c r="E979" s="306"/>
      <c r="F979" s="306"/>
    </row>
    <row r="980" spans="1:6" ht="12.75">
      <c r="A980" s="306"/>
      <c r="B980" s="306"/>
      <c r="C980" s="306"/>
      <c r="D980" s="306"/>
      <c r="E980" s="306"/>
      <c r="F980" s="306"/>
    </row>
    <row r="981" spans="1:6" ht="12.75">
      <c r="A981" s="306"/>
      <c r="B981" s="306"/>
      <c r="C981" s="306"/>
      <c r="D981" s="306"/>
      <c r="E981" s="306"/>
      <c r="F981" s="306"/>
    </row>
    <row r="982" spans="1:6" ht="12.75">
      <c r="A982" s="306"/>
      <c r="B982" s="306"/>
      <c r="C982" s="306"/>
      <c r="D982" s="306"/>
      <c r="E982" s="306"/>
      <c r="F982" s="306"/>
    </row>
    <row r="983" spans="1:6" ht="12.75">
      <c r="A983" s="306"/>
      <c r="B983" s="306"/>
      <c r="C983" s="306"/>
      <c r="D983" s="306"/>
      <c r="E983" s="306"/>
      <c r="F983" s="306"/>
    </row>
    <row r="984" spans="1:6" ht="12.75">
      <c r="A984" s="306"/>
      <c r="B984" s="306"/>
      <c r="C984" s="306"/>
      <c r="D984" s="306"/>
      <c r="E984" s="306"/>
      <c r="F984" s="306"/>
    </row>
    <row r="985" spans="1:6" ht="12.75">
      <c r="A985" s="306"/>
      <c r="B985" s="306"/>
      <c r="C985" s="306"/>
      <c r="D985" s="306"/>
      <c r="E985" s="306"/>
      <c r="F985" s="306"/>
    </row>
    <row r="986" spans="1:6" ht="12.75">
      <c r="A986" s="306"/>
      <c r="B986" s="306"/>
      <c r="C986" s="306"/>
      <c r="D986" s="306"/>
      <c r="E986" s="306"/>
      <c r="F986" s="306"/>
    </row>
    <row r="987" spans="1:6" ht="12.75">
      <c r="A987" s="306"/>
      <c r="B987" s="306"/>
      <c r="C987" s="306"/>
      <c r="D987" s="306"/>
      <c r="E987" s="306"/>
      <c r="F987" s="306"/>
    </row>
    <row r="988" spans="1:6" ht="12.75">
      <c r="A988" s="306"/>
      <c r="B988" s="306"/>
      <c r="C988" s="306"/>
      <c r="D988" s="306"/>
      <c r="E988" s="306"/>
      <c r="F988" s="306"/>
    </row>
    <row r="989" spans="1:6" ht="12.75">
      <c r="A989" s="306"/>
      <c r="B989" s="306"/>
      <c r="C989" s="306"/>
      <c r="D989" s="306"/>
      <c r="E989" s="306"/>
      <c r="F989" s="306"/>
    </row>
    <row r="990" spans="1:6" ht="12.75">
      <c r="A990" s="306"/>
      <c r="B990" s="306"/>
      <c r="C990" s="306"/>
      <c r="D990" s="306"/>
      <c r="E990" s="306"/>
      <c r="F990" s="306"/>
    </row>
    <row r="991" spans="1:6" ht="12.75">
      <c r="A991" s="306"/>
      <c r="B991" s="306"/>
      <c r="C991" s="306"/>
      <c r="D991" s="306"/>
      <c r="E991" s="306"/>
      <c r="F991" s="306"/>
    </row>
    <row r="992" spans="1:6" ht="12.75">
      <c r="A992" s="306"/>
      <c r="B992" s="306"/>
      <c r="C992" s="306"/>
      <c r="D992" s="306"/>
      <c r="E992" s="306"/>
      <c r="F992" s="306"/>
    </row>
    <row r="993" spans="1:6" ht="12.75">
      <c r="A993" s="306"/>
      <c r="B993" s="306"/>
      <c r="C993" s="306"/>
      <c r="D993" s="306"/>
      <c r="E993" s="306"/>
      <c r="F993" s="306"/>
    </row>
  </sheetData>
  <mergeCells count="1">
    <mergeCell ref="B1:E1"/>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U1009"/>
  <sheetViews>
    <sheetView workbookViewId="0"/>
  </sheetViews>
  <sheetFormatPr defaultColWidth="12.5703125" defaultRowHeight="15.75" customHeight="1"/>
  <cols>
    <col min="1" max="1" width="4" customWidth="1"/>
    <col min="2" max="2" width="15.85546875" customWidth="1"/>
    <col min="3" max="3" width="9.85546875" customWidth="1"/>
    <col min="4" max="4" width="7" customWidth="1"/>
    <col min="5" max="5" width="15.140625" customWidth="1"/>
    <col min="6" max="6" width="7.85546875" customWidth="1"/>
    <col min="7" max="7" width="10.5703125" customWidth="1"/>
    <col min="8" max="8" width="15.5703125" customWidth="1"/>
    <col min="9" max="9" width="8.5703125" customWidth="1"/>
    <col min="11" max="11" width="18.140625" customWidth="1"/>
    <col min="12" max="12" width="3.85546875" customWidth="1"/>
    <col min="13" max="13" width="8.85546875" customWidth="1"/>
    <col min="14" max="14" width="10" customWidth="1"/>
    <col min="15" max="15" width="13.85546875" customWidth="1"/>
    <col min="16" max="16" width="10" customWidth="1"/>
    <col min="17" max="17" width="48.140625" customWidth="1"/>
    <col min="18" max="18" width="51" customWidth="1"/>
    <col min="19" max="20" width="10" customWidth="1"/>
  </cols>
  <sheetData>
    <row r="1" spans="1:21" ht="15.75" customHeight="1">
      <c r="K1" s="74"/>
      <c r="L1" s="74"/>
      <c r="M1" s="74"/>
      <c r="N1" s="124"/>
      <c r="O1" s="74"/>
      <c r="P1" s="124"/>
      <c r="R1" s="279"/>
      <c r="S1" s="124"/>
      <c r="T1" s="124"/>
    </row>
    <row r="2" spans="1:21" ht="15.75" customHeight="1">
      <c r="B2" s="74">
        <f>SUBTOTAL(3,B4:B1009)</f>
        <v>111</v>
      </c>
      <c r="K2" s="74"/>
      <c r="L2" s="74"/>
      <c r="M2" s="1" t="s">
        <v>2757</v>
      </c>
      <c r="N2" s="124"/>
      <c r="O2" s="1" t="s">
        <v>2758</v>
      </c>
      <c r="P2" s="124"/>
      <c r="R2" s="279"/>
      <c r="S2" s="124"/>
      <c r="T2" s="124"/>
    </row>
    <row r="3" spans="1:21" ht="12.75">
      <c r="A3" s="310" t="s">
        <v>935</v>
      </c>
      <c r="B3" s="311" t="s">
        <v>2506</v>
      </c>
      <c r="C3" s="311" t="s">
        <v>2507</v>
      </c>
      <c r="D3" s="311" t="s">
        <v>2508</v>
      </c>
      <c r="E3" s="311" t="s">
        <v>2509</v>
      </c>
      <c r="F3" s="311" t="s">
        <v>2510</v>
      </c>
      <c r="G3" s="312" t="s">
        <v>2511</v>
      </c>
      <c r="H3" s="311" t="s">
        <v>2512</v>
      </c>
      <c r="I3" s="313" t="s">
        <v>2513</v>
      </c>
      <c r="K3" s="322" t="s">
        <v>2506</v>
      </c>
      <c r="L3" s="322" t="s">
        <v>2759</v>
      </c>
      <c r="M3" s="322" t="s">
        <v>2760</v>
      </c>
      <c r="N3" s="323" t="s">
        <v>2761</v>
      </c>
      <c r="O3" s="322" t="s">
        <v>2762</v>
      </c>
      <c r="P3" s="323" t="s">
        <v>2763</v>
      </c>
      <c r="R3" s="279"/>
      <c r="S3" s="323" t="s">
        <v>2761</v>
      </c>
      <c r="T3" s="323" t="s">
        <v>2763</v>
      </c>
    </row>
    <row r="4" spans="1:21" ht="15.75" customHeight="1">
      <c r="A4" s="317">
        <v>1</v>
      </c>
      <c r="B4" s="318" t="s">
        <v>2517</v>
      </c>
      <c r="C4" s="318" t="s">
        <v>2518</v>
      </c>
      <c r="D4" s="318">
        <v>12012823</v>
      </c>
      <c r="E4" s="318" t="s">
        <v>2519</v>
      </c>
      <c r="F4" s="318" t="s">
        <v>1723</v>
      </c>
      <c r="G4" s="319">
        <v>9700</v>
      </c>
      <c r="H4" s="318" t="s">
        <v>1746</v>
      </c>
      <c r="I4" s="319">
        <v>36960</v>
      </c>
      <c r="K4" s="74" t="s">
        <v>2520</v>
      </c>
      <c r="L4" s="74">
        <v>8</v>
      </c>
      <c r="M4" s="74" t="s">
        <v>1711</v>
      </c>
      <c r="N4" s="124">
        <v>7135</v>
      </c>
      <c r="O4" s="74" t="s">
        <v>1727</v>
      </c>
      <c r="P4" s="124">
        <v>12285</v>
      </c>
      <c r="Q4" s="1" t="str">
        <f t="shared" ref="Q4:Q10" si="0">M4&amp;" "&amp;$M$2&amp;" "&amp;K4</f>
        <v>TK-1147 Toner Cartridge for the existing ECOSYS M2535DN/L</v>
      </c>
      <c r="R4" s="279" t="str">
        <f t="shared" ref="R4:R10" si="1">O4&amp;" "&amp;$O$2&amp;" "&amp;K4</f>
        <v>MK-1147 Maintenance Kit for the existing ECOSYS M2535DN/L</v>
      </c>
      <c r="S4" s="124">
        <v>7135</v>
      </c>
      <c r="T4" s="124">
        <v>12285</v>
      </c>
    </row>
    <row r="5" spans="1:21" ht="15.75" customHeight="1">
      <c r="A5" s="317">
        <v>2</v>
      </c>
      <c r="B5" s="318" t="s">
        <v>2523</v>
      </c>
      <c r="C5" s="318" t="s">
        <v>2524</v>
      </c>
      <c r="D5" s="318">
        <v>12013577</v>
      </c>
      <c r="E5" s="318" t="s">
        <v>2525</v>
      </c>
      <c r="F5" s="318" t="s">
        <v>1713</v>
      </c>
      <c r="G5" s="319">
        <v>6825</v>
      </c>
      <c r="H5" s="318" t="s">
        <v>1730</v>
      </c>
      <c r="I5" s="319">
        <v>10780</v>
      </c>
      <c r="K5" s="74" t="s">
        <v>2537</v>
      </c>
      <c r="L5" s="74">
        <v>5</v>
      </c>
      <c r="M5" s="74" t="s">
        <v>1715</v>
      </c>
      <c r="N5" s="124">
        <v>7410</v>
      </c>
      <c r="O5" s="74" t="s">
        <v>1733</v>
      </c>
      <c r="P5" s="124">
        <v>12348</v>
      </c>
      <c r="Q5" s="1" t="str">
        <f t="shared" si="0"/>
        <v>TK-1175 Toner Cartridge for the existing ECOSYS M2540DN/L</v>
      </c>
      <c r="R5" s="279" t="str">
        <f t="shared" si="1"/>
        <v>MK-1175 Maintenance Kit for the existing ECOSYS M2540DN/L</v>
      </c>
      <c r="S5" s="124">
        <v>7410</v>
      </c>
      <c r="T5" s="124">
        <v>12348</v>
      </c>
    </row>
    <row r="6" spans="1:21" ht="15.75" customHeight="1">
      <c r="A6" s="317">
        <v>3</v>
      </c>
      <c r="B6" s="318" t="s">
        <v>2523</v>
      </c>
      <c r="C6" s="318" t="s">
        <v>2529</v>
      </c>
      <c r="D6" s="318">
        <v>12013574</v>
      </c>
      <c r="E6" s="318" t="s">
        <v>213</v>
      </c>
      <c r="F6" s="318" t="s">
        <v>1713</v>
      </c>
      <c r="G6" s="319">
        <v>6825</v>
      </c>
      <c r="H6" s="318" t="s">
        <v>1730</v>
      </c>
      <c r="I6" s="319">
        <v>10780</v>
      </c>
      <c r="K6" s="74" t="s">
        <v>2598</v>
      </c>
      <c r="L6" s="74">
        <v>5</v>
      </c>
      <c r="M6" s="74" t="s">
        <v>1715</v>
      </c>
      <c r="N6" s="124">
        <v>7410</v>
      </c>
      <c r="O6" s="74" t="s">
        <v>1733</v>
      </c>
      <c r="P6" s="124">
        <v>12348</v>
      </c>
      <c r="Q6" s="1" t="str">
        <f t="shared" si="0"/>
        <v>TK-1175 Toner Cartridge for the existing ECOSYS M2640IDW/L</v>
      </c>
      <c r="R6" s="279" t="str">
        <f t="shared" si="1"/>
        <v>MK-1175 Maintenance Kit for the existing ECOSYS M2640IDW/L</v>
      </c>
      <c r="S6" s="124">
        <v>7410</v>
      </c>
      <c r="T6" s="124">
        <v>12348</v>
      </c>
    </row>
    <row r="7" spans="1:21" ht="15.75" customHeight="1">
      <c r="A7" s="317">
        <v>4</v>
      </c>
      <c r="B7" s="318" t="s">
        <v>2532</v>
      </c>
      <c r="C7" s="318" t="s">
        <v>2533</v>
      </c>
      <c r="D7" s="318">
        <v>12013021</v>
      </c>
      <c r="E7" s="318" t="s">
        <v>2534</v>
      </c>
      <c r="F7" s="318" t="s">
        <v>605</v>
      </c>
      <c r="G7" s="319">
        <v>9375</v>
      </c>
      <c r="H7" s="318" t="s">
        <v>1749</v>
      </c>
      <c r="I7" s="319">
        <v>64785</v>
      </c>
      <c r="K7" s="74" t="s">
        <v>2732</v>
      </c>
      <c r="L7" s="74">
        <v>5</v>
      </c>
      <c r="M7" s="74" t="s">
        <v>1718</v>
      </c>
      <c r="N7" s="124">
        <v>8600</v>
      </c>
      <c r="O7" s="74" t="s">
        <v>1738</v>
      </c>
      <c r="P7" s="124">
        <v>18900</v>
      </c>
      <c r="Q7" s="1" t="str">
        <f t="shared" si="0"/>
        <v>TK-3165 Toner Cartridge for the existing ECOSYS M3145DN</v>
      </c>
      <c r="R7" s="279" t="str">
        <f t="shared" si="1"/>
        <v>MK-3165 Maintenance Kit for the existing ECOSYS M3145DN</v>
      </c>
      <c r="S7" s="124">
        <v>8600</v>
      </c>
      <c r="T7" s="124">
        <v>18900</v>
      </c>
    </row>
    <row r="8" spans="1:21" ht="15.75" customHeight="1">
      <c r="A8" s="317">
        <v>5</v>
      </c>
      <c r="B8" s="318" t="s">
        <v>2537</v>
      </c>
      <c r="C8" s="318" t="s">
        <v>2538</v>
      </c>
      <c r="D8" s="318">
        <v>12013595</v>
      </c>
      <c r="E8" s="318" t="s">
        <v>2539</v>
      </c>
      <c r="F8" s="318" t="s">
        <v>1715</v>
      </c>
      <c r="G8" s="319">
        <v>7410</v>
      </c>
      <c r="H8" s="318" t="s">
        <v>1733</v>
      </c>
      <c r="I8" s="319">
        <v>12348</v>
      </c>
      <c r="K8" s="74" t="s">
        <v>2543</v>
      </c>
      <c r="L8" s="74">
        <v>4</v>
      </c>
      <c r="M8" s="74" t="s">
        <v>1718</v>
      </c>
      <c r="N8" s="124">
        <v>8600</v>
      </c>
      <c r="O8" s="74" t="s">
        <v>1738</v>
      </c>
      <c r="P8" s="124">
        <v>18900</v>
      </c>
      <c r="Q8" s="1" t="str">
        <f t="shared" si="0"/>
        <v>TK-3165 Toner Cartridge for the existing ECOSYS M3645DN</v>
      </c>
      <c r="R8" s="279" t="str">
        <f t="shared" si="1"/>
        <v>MK-3165 Maintenance Kit for the existing ECOSYS M3645DN</v>
      </c>
      <c r="S8" s="124">
        <v>8600</v>
      </c>
      <c r="T8" s="124">
        <v>18900</v>
      </c>
    </row>
    <row r="9" spans="1:21" ht="15.75" customHeight="1">
      <c r="A9" s="317">
        <v>6</v>
      </c>
      <c r="B9" s="318" t="s">
        <v>2543</v>
      </c>
      <c r="C9" s="318" t="s">
        <v>2544</v>
      </c>
      <c r="D9" s="318">
        <v>12013016</v>
      </c>
      <c r="E9" s="318" t="s">
        <v>2545</v>
      </c>
      <c r="F9" s="318" t="s">
        <v>1718</v>
      </c>
      <c r="G9" s="319">
        <v>8600</v>
      </c>
      <c r="H9" s="318" t="s">
        <v>1738</v>
      </c>
      <c r="I9" s="319">
        <v>18900</v>
      </c>
      <c r="K9" s="74" t="s">
        <v>2517</v>
      </c>
      <c r="L9" s="74">
        <v>15</v>
      </c>
      <c r="M9" s="74" t="s">
        <v>1723</v>
      </c>
      <c r="N9" s="124">
        <v>9700</v>
      </c>
      <c r="O9" s="74" t="s">
        <v>1746</v>
      </c>
      <c r="P9" s="124">
        <v>36960</v>
      </c>
      <c r="Q9" s="1" t="str">
        <f t="shared" si="0"/>
        <v>TK-6113 Toner Cartridge for the existing ECOSYS M4125IDN</v>
      </c>
      <c r="R9" s="279" t="str">
        <f t="shared" si="1"/>
        <v>MK-6119 Maintenance Kit for the existing ECOSYS M4125IDN</v>
      </c>
      <c r="S9" s="124">
        <v>9700</v>
      </c>
      <c r="T9" s="124">
        <v>36960</v>
      </c>
    </row>
    <row r="10" spans="1:21" ht="15.75" customHeight="1">
      <c r="A10" s="317">
        <v>7</v>
      </c>
      <c r="B10" s="318" t="s">
        <v>2517</v>
      </c>
      <c r="C10" s="318" t="s">
        <v>2547</v>
      </c>
      <c r="D10" s="318">
        <v>12013199</v>
      </c>
      <c r="E10" s="318" t="s">
        <v>2545</v>
      </c>
      <c r="F10" s="318" t="s">
        <v>1723</v>
      </c>
      <c r="G10" s="319">
        <v>9700</v>
      </c>
      <c r="H10" s="318" t="s">
        <v>1746</v>
      </c>
      <c r="I10" s="319">
        <v>36960</v>
      </c>
      <c r="K10" s="74" t="s">
        <v>2604</v>
      </c>
      <c r="L10" s="74">
        <v>1</v>
      </c>
      <c r="M10" s="74" t="s">
        <v>1723</v>
      </c>
      <c r="N10" s="124">
        <v>9700</v>
      </c>
      <c r="O10" s="74" t="s">
        <v>1746</v>
      </c>
      <c r="P10" s="124">
        <v>36960</v>
      </c>
      <c r="Q10" s="1" t="str">
        <f t="shared" si="0"/>
        <v>TK-6113 Toner Cartridge for the existing ECOSYS M4132IDN</v>
      </c>
      <c r="R10" s="279" t="str">
        <f t="shared" si="1"/>
        <v>MK-6119 Maintenance Kit for the existing ECOSYS M4132IDN</v>
      </c>
      <c r="S10" s="124">
        <v>9700</v>
      </c>
      <c r="T10" s="124">
        <v>36960</v>
      </c>
    </row>
    <row r="11" spans="1:21" ht="15.75" customHeight="1">
      <c r="A11" s="317">
        <v>8</v>
      </c>
      <c r="B11" s="318" t="s">
        <v>2517</v>
      </c>
      <c r="C11" s="318" t="s">
        <v>2548</v>
      </c>
      <c r="D11" s="318">
        <v>12013198</v>
      </c>
      <c r="E11" s="318" t="s">
        <v>2545</v>
      </c>
      <c r="F11" s="318" t="s">
        <v>1723</v>
      </c>
      <c r="G11" s="319">
        <v>9700</v>
      </c>
      <c r="H11" s="318" t="s">
        <v>1746</v>
      </c>
      <c r="I11" s="319">
        <v>36960</v>
      </c>
      <c r="K11" s="74" t="s">
        <v>2565</v>
      </c>
      <c r="L11" s="74">
        <v>11</v>
      </c>
      <c r="M11" s="74" t="s">
        <v>1754</v>
      </c>
      <c r="N11" s="124">
        <v>3585</v>
      </c>
      <c r="O11" s="74" t="s">
        <v>453</v>
      </c>
      <c r="P11" s="124" t="s">
        <v>453</v>
      </c>
      <c r="Q11" s="279" t="s">
        <v>2764</v>
      </c>
      <c r="R11" s="279"/>
      <c r="S11" s="324">
        <v>18975</v>
      </c>
      <c r="T11" s="124" t="s">
        <v>453</v>
      </c>
    </row>
    <row r="12" spans="1:21" ht="15.75" customHeight="1">
      <c r="A12" s="317">
        <v>9</v>
      </c>
      <c r="B12" s="318" t="s">
        <v>2537</v>
      </c>
      <c r="C12" s="318" t="s">
        <v>2551</v>
      </c>
      <c r="D12" s="318">
        <v>12012624</v>
      </c>
      <c r="E12" s="318" t="s">
        <v>2552</v>
      </c>
      <c r="F12" s="318" t="s">
        <v>1715</v>
      </c>
      <c r="G12" s="319">
        <v>7410</v>
      </c>
      <c r="H12" s="318" t="s">
        <v>1733</v>
      </c>
      <c r="I12" s="319">
        <v>12348</v>
      </c>
      <c r="K12" s="74"/>
      <c r="L12" s="74"/>
      <c r="M12" s="74" t="s">
        <v>2570</v>
      </c>
      <c r="N12" s="124">
        <v>5130</v>
      </c>
      <c r="O12" s="74"/>
      <c r="P12" s="124"/>
      <c r="R12" s="279"/>
      <c r="S12" s="124"/>
      <c r="T12" s="124"/>
    </row>
    <row r="13" spans="1:21" ht="15.75" customHeight="1">
      <c r="A13" s="317">
        <v>10</v>
      </c>
      <c r="B13" s="318" t="s">
        <v>2514</v>
      </c>
      <c r="C13" s="318" t="s">
        <v>2555</v>
      </c>
      <c r="D13" s="318">
        <v>12012638</v>
      </c>
      <c r="E13" s="318" t="s">
        <v>2556</v>
      </c>
      <c r="F13" s="318" t="s">
        <v>1721</v>
      </c>
      <c r="G13" s="319">
        <v>9700</v>
      </c>
      <c r="H13" s="318" t="s">
        <v>1741</v>
      </c>
      <c r="I13" s="319">
        <v>36960</v>
      </c>
      <c r="K13" s="74"/>
      <c r="L13" s="74"/>
      <c r="M13" s="74" t="s">
        <v>2572</v>
      </c>
      <c r="N13" s="124">
        <v>5130</v>
      </c>
      <c r="O13" s="74"/>
      <c r="P13" s="124"/>
      <c r="R13" s="279"/>
      <c r="S13" s="124"/>
      <c r="T13" s="124"/>
    </row>
    <row r="14" spans="1:21" ht="15.75" customHeight="1">
      <c r="A14" s="317">
        <v>11</v>
      </c>
      <c r="B14" s="318" t="s">
        <v>2514</v>
      </c>
      <c r="C14" s="318" t="s">
        <v>2535</v>
      </c>
      <c r="D14" s="318">
        <v>12012146</v>
      </c>
      <c r="E14" s="318" t="s">
        <v>2559</v>
      </c>
      <c r="F14" s="318" t="s">
        <v>1721</v>
      </c>
      <c r="G14" s="319">
        <v>9700</v>
      </c>
      <c r="H14" s="318" t="s">
        <v>1741</v>
      </c>
      <c r="I14" s="319">
        <v>36960</v>
      </c>
      <c r="K14" s="74"/>
      <c r="L14" s="74"/>
      <c r="M14" s="74" t="s">
        <v>2575</v>
      </c>
      <c r="N14" s="124">
        <v>5130</v>
      </c>
      <c r="O14" s="74"/>
      <c r="P14" s="124"/>
      <c r="R14" s="279"/>
      <c r="S14" s="124"/>
      <c r="T14" s="124"/>
    </row>
    <row r="15" spans="1:21" ht="15.75" customHeight="1">
      <c r="A15" s="317">
        <v>12</v>
      </c>
      <c r="B15" s="318" t="s">
        <v>2514</v>
      </c>
      <c r="C15" s="318" t="s">
        <v>2562</v>
      </c>
      <c r="D15" s="318">
        <v>12012387</v>
      </c>
      <c r="E15" s="318" t="s">
        <v>2563</v>
      </c>
      <c r="F15" s="318" t="s">
        <v>1721</v>
      </c>
      <c r="G15" s="319">
        <v>9700</v>
      </c>
      <c r="H15" s="318" t="s">
        <v>1741</v>
      </c>
      <c r="I15" s="319">
        <v>36960</v>
      </c>
      <c r="K15" s="74" t="s">
        <v>2584</v>
      </c>
      <c r="L15" s="74">
        <v>1</v>
      </c>
      <c r="M15" s="74" t="s">
        <v>1758</v>
      </c>
      <c r="N15" s="124">
        <v>5680</v>
      </c>
      <c r="O15" s="74" t="s">
        <v>2586</v>
      </c>
      <c r="P15" s="124">
        <v>65100</v>
      </c>
      <c r="Q15" s="279" t="s">
        <v>2765</v>
      </c>
      <c r="R15" s="279" t="s">
        <v>2766</v>
      </c>
      <c r="S15" s="324">
        <v>33970</v>
      </c>
      <c r="T15" s="324">
        <v>122325</v>
      </c>
      <c r="U15" s="324"/>
    </row>
    <row r="16" spans="1:21" ht="15.75" customHeight="1">
      <c r="A16" s="317">
        <v>13</v>
      </c>
      <c r="B16" s="318" t="s">
        <v>2565</v>
      </c>
      <c r="C16" s="318" t="s">
        <v>2566</v>
      </c>
      <c r="D16" s="318">
        <v>12013555</v>
      </c>
      <c r="E16" s="318" t="s">
        <v>2567</v>
      </c>
      <c r="F16" s="318" t="s">
        <v>1754</v>
      </c>
      <c r="G16" s="319">
        <v>3585</v>
      </c>
      <c r="H16" s="318" t="s">
        <v>453</v>
      </c>
      <c r="I16" s="318" t="s">
        <v>453</v>
      </c>
      <c r="K16" s="74"/>
      <c r="L16" s="74"/>
      <c r="M16" s="74" t="s">
        <v>2767</v>
      </c>
      <c r="N16" s="124">
        <v>9430</v>
      </c>
      <c r="O16" s="74" t="s">
        <v>2590</v>
      </c>
      <c r="P16" s="124">
        <v>57225</v>
      </c>
      <c r="R16" s="279"/>
      <c r="S16" s="124"/>
      <c r="T16" s="124"/>
    </row>
    <row r="17" spans="1:20" ht="15.75" customHeight="1">
      <c r="A17" s="317"/>
      <c r="B17" s="318"/>
      <c r="C17" s="318"/>
      <c r="D17" s="318"/>
      <c r="E17" s="318"/>
      <c r="F17" s="318" t="s">
        <v>2570</v>
      </c>
      <c r="G17" s="319">
        <v>5130</v>
      </c>
      <c r="H17" s="318" t="s">
        <v>453</v>
      </c>
      <c r="I17" s="318" t="s">
        <v>453</v>
      </c>
      <c r="K17" s="74"/>
      <c r="L17" s="74"/>
      <c r="M17" s="74" t="s">
        <v>2593</v>
      </c>
      <c r="N17" s="124">
        <v>9430</v>
      </c>
      <c r="O17" s="74"/>
      <c r="P17" s="124"/>
      <c r="R17" s="279"/>
      <c r="S17" s="124"/>
      <c r="T17" s="124"/>
    </row>
    <row r="18" spans="1:20" ht="15.75" customHeight="1">
      <c r="A18" s="317"/>
      <c r="B18" s="318"/>
      <c r="C18" s="318"/>
      <c r="D18" s="318"/>
      <c r="E18" s="318"/>
      <c r="F18" s="318" t="s">
        <v>2572</v>
      </c>
      <c r="G18" s="319">
        <v>5130</v>
      </c>
      <c r="H18" s="318" t="s">
        <v>453</v>
      </c>
      <c r="I18" s="318" t="s">
        <v>453</v>
      </c>
      <c r="K18" s="74"/>
      <c r="L18" s="74"/>
      <c r="M18" s="74" t="s">
        <v>2595</v>
      </c>
      <c r="N18" s="124">
        <v>9430</v>
      </c>
      <c r="O18" s="74"/>
      <c r="P18" s="124"/>
      <c r="R18" s="279"/>
      <c r="S18" s="124"/>
      <c r="T18" s="124"/>
    </row>
    <row r="19" spans="1:20" ht="15.75" customHeight="1">
      <c r="A19" s="317"/>
      <c r="B19" s="318"/>
      <c r="C19" s="318"/>
      <c r="D19" s="318"/>
      <c r="E19" s="318"/>
      <c r="F19" s="318" t="s">
        <v>2575</v>
      </c>
      <c r="G19" s="319">
        <v>5130</v>
      </c>
      <c r="H19" s="318" t="s">
        <v>453</v>
      </c>
      <c r="I19" s="318" t="s">
        <v>453</v>
      </c>
      <c r="K19" s="74" t="s">
        <v>2523</v>
      </c>
      <c r="L19" s="74">
        <v>46</v>
      </c>
      <c r="M19" s="74" t="s">
        <v>1713</v>
      </c>
      <c r="N19" s="124">
        <v>6825</v>
      </c>
      <c r="O19" s="74" t="s">
        <v>1730</v>
      </c>
      <c r="P19" s="124">
        <v>10780</v>
      </c>
      <c r="Q19" s="1" t="str">
        <f>M19&amp;" "&amp;$M$2&amp;" "&amp;K19</f>
        <v>TK-1168 Toner Cartridge for the existing ECOSYS P2040DN</v>
      </c>
      <c r="R19" s="279" t="str">
        <f t="shared" ref="R19:R20" si="2">O19&amp;" "&amp;$O$2&amp;" "&amp;K19</f>
        <v>MK-1156 Maintenance Kit for the existing ECOSYS P2040DN</v>
      </c>
      <c r="S19" s="124">
        <v>6825</v>
      </c>
      <c r="T19" s="124">
        <v>10780</v>
      </c>
    </row>
    <row r="20" spans="1:20" ht="15.75" customHeight="1">
      <c r="A20" s="317">
        <v>14</v>
      </c>
      <c r="B20" s="318" t="s">
        <v>2523</v>
      </c>
      <c r="C20" s="318" t="s">
        <v>2578</v>
      </c>
      <c r="D20" s="318">
        <v>12013565</v>
      </c>
      <c r="E20" s="318" t="s">
        <v>2579</v>
      </c>
      <c r="F20" s="318" t="s">
        <v>1713</v>
      </c>
      <c r="G20" s="319">
        <v>6825</v>
      </c>
      <c r="H20" s="318" t="s">
        <v>1730</v>
      </c>
      <c r="I20" s="319">
        <v>10780</v>
      </c>
      <c r="K20" s="74" t="s">
        <v>2614</v>
      </c>
      <c r="L20" s="74">
        <v>1</v>
      </c>
      <c r="M20" s="74" t="s">
        <v>1756</v>
      </c>
      <c r="N20" s="124">
        <v>10475</v>
      </c>
      <c r="O20" s="74" t="s">
        <v>1744</v>
      </c>
      <c r="P20" s="124">
        <v>38850</v>
      </c>
      <c r="Q20" s="279" t="s">
        <v>2768</v>
      </c>
      <c r="R20" s="279" t="str">
        <f t="shared" si="2"/>
        <v>MK-5144 Maintenance Kit for the existing ECOSYS P6230CDN</v>
      </c>
      <c r="S20" s="324">
        <v>43550</v>
      </c>
      <c r="T20" s="124">
        <v>38850</v>
      </c>
    </row>
    <row r="21" spans="1:20" ht="15.75" customHeight="1">
      <c r="A21" s="317">
        <v>15</v>
      </c>
      <c r="B21" s="318" t="s">
        <v>2523</v>
      </c>
      <c r="C21" s="318" t="s">
        <v>2581</v>
      </c>
      <c r="D21" s="318">
        <v>12013569</v>
      </c>
      <c r="E21" s="318" t="s">
        <v>170</v>
      </c>
      <c r="F21" s="318" t="s">
        <v>1713</v>
      </c>
      <c r="G21" s="319">
        <v>6825</v>
      </c>
      <c r="H21" s="318" t="s">
        <v>1730</v>
      </c>
      <c r="I21" s="319">
        <v>10780</v>
      </c>
      <c r="K21" s="74"/>
      <c r="L21" s="74"/>
      <c r="M21" s="74" t="s">
        <v>2754</v>
      </c>
      <c r="N21" s="124">
        <v>11025</v>
      </c>
      <c r="O21" s="74"/>
      <c r="P21" s="124"/>
      <c r="R21" s="279"/>
      <c r="S21" s="124"/>
      <c r="T21" s="124"/>
    </row>
    <row r="22" spans="1:20" ht="15.75" customHeight="1">
      <c r="A22" s="317">
        <v>16</v>
      </c>
      <c r="B22" s="318" t="s">
        <v>2584</v>
      </c>
      <c r="C22" s="318" t="s">
        <v>2585</v>
      </c>
      <c r="D22" s="318">
        <v>12013560</v>
      </c>
      <c r="E22" s="318" t="s">
        <v>200</v>
      </c>
      <c r="F22" s="318" t="s">
        <v>1758</v>
      </c>
      <c r="G22" s="319">
        <v>5680</v>
      </c>
      <c r="H22" s="318" t="s">
        <v>2586</v>
      </c>
      <c r="I22" s="319">
        <v>65100</v>
      </c>
      <c r="K22" s="74"/>
      <c r="L22" s="74"/>
      <c r="M22" s="74" t="s">
        <v>2755</v>
      </c>
      <c r="N22" s="124">
        <v>11025</v>
      </c>
      <c r="O22" s="74"/>
      <c r="P22" s="124"/>
      <c r="R22" s="279"/>
      <c r="S22" s="124"/>
      <c r="T22" s="124"/>
    </row>
    <row r="23" spans="1:20" ht="15.75" customHeight="1">
      <c r="A23" s="317"/>
      <c r="B23" s="318"/>
      <c r="C23" s="318"/>
      <c r="D23" s="318"/>
      <c r="E23" s="318"/>
      <c r="F23" s="318" t="s">
        <v>2589</v>
      </c>
      <c r="G23" s="319">
        <v>9430</v>
      </c>
      <c r="H23" s="318" t="s">
        <v>2590</v>
      </c>
      <c r="I23" s="319">
        <v>57225</v>
      </c>
      <c r="K23" s="74"/>
      <c r="L23" s="74"/>
      <c r="M23" s="74" t="s">
        <v>2756</v>
      </c>
      <c r="N23" s="124">
        <v>11025</v>
      </c>
      <c r="O23" s="74"/>
      <c r="P23" s="124"/>
      <c r="R23" s="279"/>
      <c r="S23" s="124"/>
      <c r="T23" s="124"/>
    </row>
    <row r="24" spans="1:20" ht="15.75" customHeight="1">
      <c r="A24" s="317"/>
      <c r="B24" s="318"/>
      <c r="C24" s="318"/>
      <c r="D24" s="318"/>
      <c r="E24" s="318"/>
      <c r="F24" s="318" t="s">
        <v>2593</v>
      </c>
      <c r="G24" s="319">
        <v>9430</v>
      </c>
      <c r="H24" s="318" t="s">
        <v>453</v>
      </c>
      <c r="I24" s="318" t="s">
        <v>453</v>
      </c>
      <c r="K24" s="74" t="s">
        <v>2514</v>
      </c>
      <c r="L24" s="74">
        <v>6</v>
      </c>
      <c r="M24" s="74" t="s">
        <v>1721</v>
      </c>
      <c r="N24" s="124">
        <v>9700</v>
      </c>
      <c r="O24" s="74" t="s">
        <v>1741</v>
      </c>
      <c r="P24" s="124">
        <v>36960</v>
      </c>
      <c r="Q24" s="1" t="str">
        <f t="shared" ref="Q24:Q25" si="3">M24&amp;" "&amp;$M$2&amp;" "&amp;K24</f>
        <v>TK-479 Toner Cartridge for the existing FS-6525MFP</v>
      </c>
      <c r="R24" s="279" t="str">
        <f t="shared" ref="R24:R25" si="4">O24&amp;" "&amp;$O$2&amp;" "&amp;K24</f>
        <v>MK-479 Maintenance Kit for the existing FS-6525MFP</v>
      </c>
      <c r="S24" s="124">
        <v>9700</v>
      </c>
      <c r="T24" s="124">
        <v>36960</v>
      </c>
    </row>
    <row r="25" spans="1:20" ht="15.75" customHeight="1">
      <c r="A25" s="317"/>
      <c r="B25" s="318"/>
      <c r="C25" s="318"/>
      <c r="D25" s="318"/>
      <c r="E25" s="318"/>
      <c r="F25" s="318" t="s">
        <v>2595</v>
      </c>
      <c r="G25" s="319">
        <v>9430</v>
      </c>
      <c r="H25" s="318" t="s">
        <v>453</v>
      </c>
      <c r="I25" s="318" t="s">
        <v>453</v>
      </c>
      <c r="K25" s="74" t="s">
        <v>2532</v>
      </c>
      <c r="L25" s="74">
        <v>3</v>
      </c>
      <c r="M25" s="74" t="s">
        <v>605</v>
      </c>
      <c r="N25" s="124">
        <v>9375</v>
      </c>
      <c r="O25" s="74" t="s">
        <v>1749</v>
      </c>
      <c r="P25" s="124">
        <v>64785</v>
      </c>
      <c r="Q25" s="1" t="str">
        <f t="shared" si="3"/>
        <v>TK-7120 Toner Cartridge for the existing TASKALFA 3212I</v>
      </c>
      <c r="R25" s="279" t="str">
        <f t="shared" si="4"/>
        <v>MK-7129 Maintenance Kit for the existing TASKALFA 3212I</v>
      </c>
      <c r="S25" s="124">
        <v>9375</v>
      </c>
      <c r="T25" s="124">
        <v>64785</v>
      </c>
    </row>
    <row r="26" spans="1:20" ht="15.75" customHeight="1">
      <c r="A26" s="317">
        <v>17</v>
      </c>
      <c r="B26" s="318" t="s">
        <v>2523</v>
      </c>
      <c r="C26" s="318" t="s">
        <v>2597</v>
      </c>
      <c r="D26" s="318">
        <v>12013506</v>
      </c>
      <c r="E26" s="318" t="s">
        <v>200</v>
      </c>
      <c r="F26" s="318" t="s">
        <v>1713</v>
      </c>
      <c r="G26" s="319">
        <v>6825</v>
      </c>
      <c r="H26" s="318" t="s">
        <v>1730</v>
      </c>
      <c r="I26" s="319">
        <v>10780</v>
      </c>
      <c r="K26" s="74"/>
      <c r="L26" s="74"/>
      <c r="M26" s="74"/>
      <c r="N26" s="124"/>
      <c r="O26" s="74"/>
      <c r="P26" s="124"/>
      <c r="R26" s="279"/>
      <c r="S26" s="124"/>
      <c r="T26" s="124"/>
    </row>
    <row r="27" spans="1:20" ht="15.75" customHeight="1">
      <c r="A27" s="317">
        <v>18</v>
      </c>
      <c r="B27" s="318" t="s">
        <v>2520</v>
      </c>
      <c r="C27" s="318" t="s">
        <v>2557</v>
      </c>
      <c r="D27" s="318">
        <v>12012218</v>
      </c>
      <c r="E27" s="318" t="s">
        <v>2600</v>
      </c>
      <c r="F27" s="318" t="s">
        <v>1711</v>
      </c>
      <c r="G27" s="319">
        <v>7135</v>
      </c>
      <c r="H27" s="318" t="s">
        <v>1727</v>
      </c>
      <c r="I27" s="319">
        <v>12285</v>
      </c>
      <c r="K27" s="74"/>
      <c r="L27" s="74"/>
      <c r="M27" s="74"/>
      <c r="N27" s="124"/>
      <c r="O27" s="74"/>
      <c r="P27" s="124"/>
      <c r="R27" s="279"/>
      <c r="S27" s="124"/>
      <c r="T27" s="124"/>
    </row>
    <row r="28" spans="1:20" ht="15.75" customHeight="1">
      <c r="A28" s="317">
        <v>19</v>
      </c>
      <c r="B28" s="318" t="s">
        <v>2523</v>
      </c>
      <c r="C28" s="318" t="s">
        <v>2601</v>
      </c>
      <c r="D28" s="318">
        <v>12013571</v>
      </c>
      <c r="E28" s="318" t="s">
        <v>2600</v>
      </c>
      <c r="F28" s="318" t="s">
        <v>1713</v>
      </c>
      <c r="G28" s="319">
        <v>6825</v>
      </c>
      <c r="H28" s="318" t="s">
        <v>1730</v>
      </c>
      <c r="I28" s="319">
        <v>10780</v>
      </c>
      <c r="K28" s="74"/>
      <c r="L28" s="74"/>
      <c r="M28" s="74"/>
      <c r="N28" s="124"/>
      <c r="O28" s="74"/>
      <c r="P28" s="124"/>
      <c r="R28" s="279"/>
      <c r="S28" s="124"/>
      <c r="T28" s="124"/>
    </row>
    <row r="29" spans="1:20" ht="15.75" customHeight="1">
      <c r="A29" s="317">
        <v>20</v>
      </c>
      <c r="B29" s="318" t="s">
        <v>2523</v>
      </c>
      <c r="C29" s="318" t="s">
        <v>2602</v>
      </c>
      <c r="D29" s="318">
        <v>12013570</v>
      </c>
      <c r="E29" s="318" t="s">
        <v>2603</v>
      </c>
      <c r="F29" s="318" t="s">
        <v>1713</v>
      </c>
      <c r="G29" s="319">
        <v>6825</v>
      </c>
      <c r="H29" s="318" t="s">
        <v>1730</v>
      </c>
      <c r="I29" s="319">
        <v>10780</v>
      </c>
      <c r="K29" s="74"/>
      <c r="L29" s="74"/>
      <c r="M29" s="74"/>
      <c r="N29" s="124"/>
      <c r="O29" s="74"/>
      <c r="P29" s="124"/>
      <c r="R29" s="279"/>
      <c r="S29" s="124"/>
      <c r="T29" s="124"/>
    </row>
    <row r="30" spans="1:20" ht="15.75" customHeight="1">
      <c r="A30" s="317">
        <v>21</v>
      </c>
      <c r="B30" s="318" t="s">
        <v>2514</v>
      </c>
      <c r="C30" s="318" t="s">
        <v>2549</v>
      </c>
      <c r="D30" s="318">
        <v>12012200</v>
      </c>
      <c r="E30" s="318" t="s">
        <v>2606</v>
      </c>
      <c r="F30" s="318" t="s">
        <v>1721</v>
      </c>
      <c r="G30" s="319">
        <v>9700</v>
      </c>
      <c r="H30" s="318" t="s">
        <v>1741</v>
      </c>
      <c r="I30" s="319">
        <v>36960</v>
      </c>
      <c r="K30" s="74"/>
      <c r="L30" s="74"/>
      <c r="M30" s="74"/>
      <c r="N30" s="124"/>
      <c r="O30" s="74"/>
      <c r="P30" s="124"/>
      <c r="R30" s="279"/>
      <c r="S30" s="124"/>
      <c r="T30" s="124"/>
    </row>
    <row r="31" spans="1:20" ht="15.75" customHeight="1">
      <c r="A31" s="317">
        <v>22</v>
      </c>
      <c r="B31" s="318" t="s">
        <v>2517</v>
      </c>
      <c r="C31" s="318" t="s">
        <v>2608</v>
      </c>
      <c r="D31" s="318">
        <v>12012822</v>
      </c>
      <c r="E31" s="318" t="s">
        <v>2609</v>
      </c>
      <c r="F31" s="318" t="s">
        <v>1723</v>
      </c>
      <c r="G31" s="319">
        <v>9700</v>
      </c>
      <c r="H31" s="318" t="s">
        <v>1746</v>
      </c>
      <c r="I31" s="319">
        <v>36960</v>
      </c>
      <c r="K31" s="74"/>
      <c r="L31" s="74"/>
      <c r="M31" s="74"/>
      <c r="N31" s="124"/>
      <c r="O31" s="74"/>
      <c r="P31" s="124"/>
      <c r="R31" s="279"/>
      <c r="S31" s="124"/>
      <c r="T31" s="124"/>
    </row>
    <row r="32" spans="1:20" ht="15.75" customHeight="1">
      <c r="A32" s="317">
        <v>23</v>
      </c>
      <c r="B32" s="318" t="s">
        <v>2523</v>
      </c>
      <c r="C32" s="318" t="s">
        <v>2612</v>
      </c>
      <c r="D32" s="318">
        <v>12013589</v>
      </c>
      <c r="E32" s="318" t="s">
        <v>2613</v>
      </c>
      <c r="F32" s="318" t="s">
        <v>1713</v>
      </c>
      <c r="G32" s="319">
        <v>6825</v>
      </c>
      <c r="H32" s="318" t="s">
        <v>1730</v>
      </c>
      <c r="I32" s="319">
        <v>10780</v>
      </c>
      <c r="K32" s="74"/>
      <c r="L32" s="74"/>
      <c r="M32" s="74"/>
      <c r="N32" s="124"/>
      <c r="O32" s="74"/>
      <c r="P32" s="124"/>
      <c r="R32" s="279"/>
      <c r="S32" s="124"/>
      <c r="T32" s="124"/>
    </row>
    <row r="33" spans="1:20" ht="15.75" customHeight="1">
      <c r="A33" s="317">
        <v>24</v>
      </c>
      <c r="B33" s="318" t="s">
        <v>2523</v>
      </c>
      <c r="C33" s="318" t="s">
        <v>2616</v>
      </c>
      <c r="D33" s="318">
        <v>12013509</v>
      </c>
      <c r="E33" s="318" t="s">
        <v>2617</v>
      </c>
      <c r="F33" s="318" t="s">
        <v>1713</v>
      </c>
      <c r="G33" s="319">
        <v>6825</v>
      </c>
      <c r="H33" s="318" t="s">
        <v>1730</v>
      </c>
      <c r="I33" s="319">
        <v>10780</v>
      </c>
      <c r="K33" s="74"/>
      <c r="L33" s="74"/>
      <c r="M33" s="74"/>
      <c r="N33" s="124"/>
      <c r="O33" s="74"/>
      <c r="P33" s="124"/>
      <c r="R33" s="279"/>
      <c r="S33" s="124"/>
      <c r="T33" s="124"/>
    </row>
    <row r="34" spans="1:20" ht="15.75" customHeight="1">
      <c r="A34" s="317">
        <v>25</v>
      </c>
      <c r="B34" s="318" t="s">
        <v>2520</v>
      </c>
      <c r="C34" s="318" t="s">
        <v>2580</v>
      </c>
      <c r="D34" s="318">
        <v>12012422</v>
      </c>
      <c r="E34" s="318" t="s">
        <v>2620</v>
      </c>
      <c r="F34" s="318" t="s">
        <v>1711</v>
      </c>
      <c r="G34" s="319">
        <v>7135</v>
      </c>
      <c r="H34" s="318" t="s">
        <v>1727</v>
      </c>
      <c r="I34" s="319">
        <v>12285</v>
      </c>
      <c r="K34" s="74"/>
      <c r="L34" s="74"/>
      <c r="M34" s="74"/>
      <c r="N34" s="124"/>
      <c r="O34" s="74"/>
      <c r="P34" s="124"/>
      <c r="R34" s="279"/>
      <c r="S34" s="124"/>
      <c r="T34" s="124"/>
    </row>
    <row r="35" spans="1:20" ht="15.75" customHeight="1">
      <c r="A35" s="317">
        <v>26</v>
      </c>
      <c r="B35" s="318" t="s">
        <v>2520</v>
      </c>
      <c r="C35" s="318" t="s">
        <v>2587</v>
      </c>
      <c r="D35" s="318">
        <v>12012433</v>
      </c>
      <c r="E35" s="318" t="s">
        <v>2622</v>
      </c>
      <c r="F35" s="318" t="s">
        <v>1711</v>
      </c>
      <c r="G35" s="319">
        <v>7135</v>
      </c>
      <c r="H35" s="318" t="s">
        <v>1727</v>
      </c>
      <c r="I35" s="319">
        <v>12285</v>
      </c>
      <c r="K35" s="74"/>
      <c r="L35" s="74"/>
      <c r="M35" s="74"/>
      <c r="N35" s="124"/>
      <c r="O35" s="74"/>
      <c r="P35" s="124"/>
      <c r="R35" s="279"/>
      <c r="S35" s="124"/>
      <c r="T35" s="124"/>
    </row>
    <row r="36" spans="1:20" ht="15.75" customHeight="1">
      <c r="A36" s="317">
        <v>27</v>
      </c>
      <c r="B36" s="318" t="s">
        <v>2598</v>
      </c>
      <c r="C36" s="318" t="s">
        <v>2624</v>
      </c>
      <c r="D36" s="318">
        <v>12012835</v>
      </c>
      <c r="E36" s="318" t="s">
        <v>2622</v>
      </c>
      <c r="F36" s="318" t="s">
        <v>1715</v>
      </c>
      <c r="G36" s="319">
        <v>7410</v>
      </c>
      <c r="H36" s="318" t="s">
        <v>1733</v>
      </c>
      <c r="I36" s="319">
        <v>12348</v>
      </c>
      <c r="K36" s="74"/>
      <c r="L36" s="74"/>
      <c r="M36" s="74"/>
      <c r="N36" s="124"/>
      <c r="O36" s="74"/>
      <c r="P36" s="124"/>
      <c r="R36" s="279"/>
      <c r="S36" s="124"/>
      <c r="T36" s="124"/>
    </row>
    <row r="37" spans="1:20" ht="15.75" customHeight="1">
      <c r="A37" s="317">
        <v>28</v>
      </c>
      <c r="B37" s="318" t="s">
        <v>2565</v>
      </c>
      <c r="C37" s="318" t="s">
        <v>2627</v>
      </c>
      <c r="D37" s="318">
        <v>12013552</v>
      </c>
      <c r="E37" s="318" t="s">
        <v>203</v>
      </c>
      <c r="F37" s="318" t="s">
        <v>1754</v>
      </c>
      <c r="G37" s="319">
        <v>3585</v>
      </c>
      <c r="H37" s="318" t="s">
        <v>453</v>
      </c>
      <c r="I37" s="318" t="s">
        <v>453</v>
      </c>
      <c r="K37" s="74"/>
      <c r="L37" s="74"/>
      <c r="M37" s="74"/>
      <c r="N37" s="124"/>
      <c r="O37" s="74"/>
      <c r="P37" s="124"/>
      <c r="R37" s="279"/>
      <c r="S37" s="124"/>
      <c r="T37" s="124"/>
    </row>
    <row r="38" spans="1:20" ht="15.75" customHeight="1">
      <c r="A38" s="317"/>
      <c r="B38" s="318"/>
      <c r="C38" s="318"/>
      <c r="D38" s="318"/>
      <c r="E38" s="318"/>
      <c r="F38" s="318" t="s">
        <v>2570</v>
      </c>
      <c r="G38" s="319">
        <v>5130</v>
      </c>
      <c r="H38" s="318" t="s">
        <v>453</v>
      </c>
      <c r="I38" s="318" t="s">
        <v>453</v>
      </c>
      <c r="K38" s="74"/>
      <c r="L38" s="74"/>
      <c r="M38" s="74"/>
      <c r="N38" s="124"/>
      <c r="O38" s="74"/>
      <c r="P38" s="124"/>
      <c r="R38" s="279"/>
      <c r="S38" s="124"/>
      <c r="T38" s="124"/>
    </row>
    <row r="39" spans="1:20" ht="15.75" customHeight="1">
      <c r="A39" s="317"/>
      <c r="B39" s="318"/>
      <c r="C39" s="318"/>
      <c r="D39" s="318"/>
      <c r="E39" s="318"/>
      <c r="F39" s="318" t="s">
        <v>2572</v>
      </c>
      <c r="G39" s="319">
        <v>5130</v>
      </c>
      <c r="H39" s="318" t="s">
        <v>453</v>
      </c>
      <c r="I39" s="318" t="s">
        <v>453</v>
      </c>
      <c r="K39" s="74"/>
      <c r="L39" s="74"/>
      <c r="M39" s="74"/>
      <c r="N39" s="124"/>
      <c r="O39" s="74"/>
      <c r="P39" s="124"/>
      <c r="R39" s="279"/>
      <c r="S39" s="124"/>
      <c r="T39" s="124"/>
    </row>
    <row r="40" spans="1:20" ht="15.75" customHeight="1">
      <c r="A40" s="317"/>
      <c r="B40" s="318"/>
      <c r="C40" s="318"/>
      <c r="D40" s="318"/>
      <c r="E40" s="318"/>
      <c r="F40" s="318" t="s">
        <v>2575</v>
      </c>
      <c r="G40" s="319">
        <v>5130</v>
      </c>
      <c r="H40" s="318" t="s">
        <v>453</v>
      </c>
      <c r="I40" s="318" t="s">
        <v>453</v>
      </c>
      <c r="K40" s="74"/>
      <c r="L40" s="74"/>
      <c r="M40" s="74"/>
      <c r="N40" s="124"/>
      <c r="O40" s="74"/>
      <c r="P40" s="124"/>
      <c r="R40" s="279"/>
      <c r="S40" s="124"/>
      <c r="T40" s="124"/>
    </row>
    <row r="41" spans="1:20" ht="15.75" customHeight="1">
      <c r="A41" s="317">
        <v>29</v>
      </c>
      <c r="B41" s="318" t="s">
        <v>2523</v>
      </c>
      <c r="C41" s="318" t="s">
        <v>2634</v>
      </c>
      <c r="D41" s="318">
        <v>12013593</v>
      </c>
      <c r="E41" s="318" t="s">
        <v>2635</v>
      </c>
      <c r="F41" s="318" t="s">
        <v>1713</v>
      </c>
      <c r="G41" s="319">
        <v>6825</v>
      </c>
      <c r="H41" s="318" t="s">
        <v>1730</v>
      </c>
      <c r="I41" s="319">
        <v>10780</v>
      </c>
      <c r="K41" s="74"/>
      <c r="L41" s="74"/>
      <c r="M41" s="74"/>
      <c r="N41" s="124"/>
      <c r="O41" s="74"/>
      <c r="P41" s="124"/>
      <c r="R41" s="279"/>
      <c r="S41" s="124"/>
      <c r="T41" s="124"/>
    </row>
    <row r="42" spans="1:20" ht="15.75" customHeight="1">
      <c r="A42" s="317">
        <v>30</v>
      </c>
      <c r="B42" s="318" t="s">
        <v>2514</v>
      </c>
      <c r="C42" s="318" t="s">
        <v>2564</v>
      </c>
      <c r="D42" s="318">
        <v>12012322</v>
      </c>
      <c r="E42" s="318" t="s">
        <v>2637</v>
      </c>
      <c r="F42" s="318" t="s">
        <v>1721</v>
      </c>
      <c r="G42" s="319">
        <v>9700</v>
      </c>
      <c r="H42" s="318" t="s">
        <v>1741</v>
      </c>
      <c r="I42" s="319">
        <v>36960</v>
      </c>
      <c r="K42" s="74"/>
      <c r="L42" s="74"/>
      <c r="M42" s="74"/>
      <c r="N42" s="124"/>
      <c r="O42" s="74"/>
      <c r="P42" s="124"/>
      <c r="R42" s="279"/>
      <c r="S42" s="124"/>
      <c r="T42" s="124"/>
    </row>
    <row r="43" spans="1:20" ht="15.75" customHeight="1">
      <c r="A43" s="317">
        <v>31</v>
      </c>
      <c r="B43" s="318" t="s">
        <v>2523</v>
      </c>
      <c r="C43" s="318" t="s">
        <v>2639</v>
      </c>
      <c r="D43" s="318">
        <v>12013586</v>
      </c>
      <c r="E43" s="318" t="s">
        <v>2640</v>
      </c>
      <c r="F43" s="318" t="s">
        <v>1713</v>
      </c>
      <c r="G43" s="319">
        <v>6825</v>
      </c>
      <c r="H43" s="318" t="s">
        <v>1730</v>
      </c>
      <c r="I43" s="319">
        <v>10780</v>
      </c>
      <c r="K43" s="74"/>
      <c r="L43" s="74"/>
      <c r="M43" s="74"/>
      <c r="N43" s="124"/>
      <c r="O43" s="74"/>
      <c r="P43" s="124"/>
      <c r="R43" s="279"/>
      <c r="S43" s="124"/>
      <c r="T43" s="124"/>
    </row>
    <row r="44" spans="1:20" ht="15.75" customHeight="1">
      <c r="A44" s="317">
        <v>32</v>
      </c>
      <c r="B44" s="318" t="s">
        <v>2565</v>
      </c>
      <c r="C44" s="318" t="s">
        <v>2641</v>
      </c>
      <c r="D44" s="318">
        <v>12013561</v>
      </c>
      <c r="E44" s="318" t="s">
        <v>2642</v>
      </c>
      <c r="F44" s="318" t="s">
        <v>1754</v>
      </c>
      <c r="G44" s="319">
        <v>3585</v>
      </c>
      <c r="H44" s="318" t="s">
        <v>453</v>
      </c>
      <c r="I44" s="318" t="s">
        <v>453</v>
      </c>
      <c r="K44" s="74"/>
      <c r="L44" s="74"/>
      <c r="M44" s="74"/>
      <c r="N44" s="124"/>
      <c r="O44" s="74"/>
      <c r="P44" s="124"/>
      <c r="R44" s="279"/>
      <c r="S44" s="124"/>
      <c r="T44" s="124"/>
    </row>
    <row r="45" spans="1:20" ht="15.75" customHeight="1">
      <c r="A45" s="317"/>
      <c r="B45" s="318"/>
      <c r="C45" s="318"/>
      <c r="D45" s="318"/>
      <c r="E45" s="318"/>
      <c r="F45" s="318" t="s">
        <v>2570</v>
      </c>
      <c r="G45" s="319">
        <v>5130</v>
      </c>
      <c r="H45" s="318" t="s">
        <v>453</v>
      </c>
      <c r="I45" s="318" t="s">
        <v>453</v>
      </c>
      <c r="K45" s="74"/>
      <c r="L45" s="74"/>
      <c r="M45" s="74"/>
      <c r="N45" s="124"/>
      <c r="O45" s="74"/>
      <c r="P45" s="124"/>
      <c r="R45" s="279"/>
      <c r="S45" s="124"/>
      <c r="T45" s="124"/>
    </row>
    <row r="46" spans="1:20" ht="15.75" customHeight="1">
      <c r="A46" s="317"/>
      <c r="B46" s="318"/>
      <c r="C46" s="318"/>
      <c r="D46" s="318"/>
      <c r="E46" s="318"/>
      <c r="F46" s="318" t="s">
        <v>2572</v>
      </c>
      <c r="G46" s="319">
        <v>5130</v>
      </c>
      <c r="H46" s="318" t="s">
        <v>453</v>
      </c>
      <c r="I46" s="318" t="s">
        <v>453</v>
      </c>
      <c r="K46" s="74"/>
      <c r="L46" s="74"/>
      <c r="M46" s="74"/>
      <c r="N46" s="124"/>
      <c r="O46" s="74"/>
      <c r="P46" s="124"/>
      <c r="R46" s="279"/>
      <c r="S46" s="124"/>
      <c r="T46" s="124"/>
    </row>
    <row r="47" spans="1:20" ht="15.75" customHeight="1">
      <c r="A47" s="317"/>
      <c r="B47" s="318"/>
      <c r="C47" s="318"/>
      <c r="D47" s="318"/>
      <c r="E47" s="318"/>
      <c r="F47" s="318" t="s">
        <v>2575</v>
      </c>
      <c r="G47" s="319">
        <v>5130</v>
      </c>
      <c r="H47" s="318" t="s">
        <v>453</v>
      </c>
      <c r="I47" s="318" t="s">
        <v>453</v>
      </c>
      <c r="K47" s="74"/>
      <c r="L47" s="74"/>
      <c r="M47" s="74"/>
      <c r="N47" s="124"/>
      <c r="O47" s="74"/>
      <c r="P47" s="124"/>
      <c r="R47" s="279"/>
      <c r="S47" s="124"/>
      <c r="T47" s="124"/>
    </row>
    <row r="48" spans="1:20" ht="15.75" customHeight="1">
      <c r="A48" s="317">
        <v>33</v>
      </c>
      <c r="B48" s="318" t="s">
        <v>2523</v>
      </c>
      <c r="C48" s="318" t="s">
        <v>2645</v>
      </c>
      <c r="D48" s="318">
        <v>12013505</v>
      </c>
      <c r="E48" s="318" t="s">
        <v>2642</v>
      </c>
      <c r="F48" s="318" t="s">
        <v>1713</v>
      </c>
      <c r="G48" s="319">
        <v>6825</v>
      </c>
      <c r="H48" s="318" t="s">
        <v>1730</v>
      </c>
      <c r="I48" s="319">
        <v>10780</v>
      </c>
      <c r="K48" s="74"/>
      <c r="L48" s="74"/>
      <c r="M48" s="74"/>
      <c r="N48" s="124"/>
      <c r="O48" s="74"/>
      <c r="P48" s="124"/>
      <c r="R48" s="279"/>
      <c r="S48" s="124"/>
      <c r="T48" s="124"/>
    </row>
    <row r="49" spans="1:20" ht="15.75" customHeight="1">
      <c r="A49" s="317">
        <v>34</v>
      </c>
      <c r="B49" s="318" t="s">
        <v>2523</v>
      </c>
      <c r="C49" s="318" t="s">
        <v>2647</v>
      </c>
      <c r="D49" s="318">
        <v>12013588</v>
      </c>
      <c r="E49" s="318" t="s">
        <v>2648</v>
      </c>
      <c r="F49" s="318" t="s">
        <v>1713</v>
      </c>
      <c r="G49" s="319">
        <v>6825</v>
      </c>
      <c r="H49" s="318" t="s">
        <v>1730</v>
      </c>
      <c r="I49" s="319">
        <v>10780</v>
      </c>
      <c r="K49" s="74"/>
      <c r="L49" s="74"/>
      <c r="M49" s="74"/>
      <c r="N49" s="124"/>
      <c r="O49" s="74"/>
      <c r="P49" s="124"/>
      <c r="R49" s="279"/>
      <c r="S49" s="124"/>
      <c r="T49" s="124"/>
    </row>
    <row r="50" spans="1:20" ht="15.75" customHeight="1">
      <c r="A50" s="317">
        <v>35</v>
      </c>
      <c r="B50" s="318" t="s">
        <v>2523</v>
      </c>
      <c r="C50" s="318" t="s">
        <v>2650</v>
      </c>
      <c r="D50" s="318">
        <v>12013564</v>
      </c>
      <c r="E50" s="318" t="s">
        <v>2648</v>
      </c>
      <c r="F50" s="318" t="s">
        <v>1713</v>
      </c>
      <c r="G50" s="319">
        <v>6825</v>
      </c>
      <c r="H50" s="318" t="s">
        <v>1730</v>
      </c>
      <c r="I50" s="319">
        <v>10780</v>
      </c>
      <c r="K50" s="74"/>
      <c r="L50" s="74"/>
      <c r="M50" s="74"/>
      <c r="N50" s="124"/>
      <c r="O50" s="74"/>
      <c r="P50" s="124"/>
      <c r="R50" s="279"/>
      <c r="S50" s="124"/>
      <c r="T50" s="124"/>
    </row>
    <row r="51" spans="1:20" ht="15.75" customHeight="1">
      <c r="A51" s="317">
        <v>36</v>
      </c>
      <c r="B51" s="318" t="s">
        <v>2523</v>
      </c>
      <c r="C51" s="318" t="s">
        <v>2654</v>
      </c>
      <c r="D51" s="318">
        <v>12013579</v>
      </c>
      <c r="E51" s="318" t="s">
        <v>2648</v>
      </c>
      <c r="F51" s="318" t="s">
        <v>1713</v>
      </c>
      <c r="G51" s="319">
        <v>6825</v>
      </c>
      <c r="H51" s="318" t="s">
        <v>1730</v>
      </c>
      <c r="I51" s="319">
        <v>10780</v>
      </c>
      <c r="K51" s="74"/>
      <c r="L51" s="74"/>
      <c r="M51" s="74"/>
      <c r="N51" s="124"/>
      <c r="O51" s="74"/>
      <c r="P51" s="124"/>
      <c r="R51" s="279"/>
      <c r="S51" s="124"/>
      <c r="T51" s="124"/>
    </row>
    <row r="52" spans="1:20" ht="15.75" customHeight="1">
      <c r="A52" s="317">
        <v>37</v>
      </c>
      <c r="B52" s="318" t="s">
        <v>2523</v>
      </c>
      <c r="C52" s="318" t="s">
        <v>2658</v>
      </c>
      <c r="D52" s="318">
        <v>12013576</v>
      </c>
      <c r="E52" s="318" t="s">
        <v>2648</v>
      </c>
      <c r="F52" s="318" t="s">
        <v>1713</v>
      </c>
      <c r="G52" s="319">
        <v>6825</v>
      </c>
      <c r="H52" s="318" t="s">
        <v>1730</v>
      </c>
      <c r="I52" s="319">
        <v>10780</v>
      </c>
      <c r="K52" s="74"/>
      <c r="L52" s="74"/>
      <c r="M52" s="74"/>
      <c r="N52" s="124"/>
      <c r="O52" s="74"/>
      <c r="P52" s="124"/>
      <c r="R52" s="279"/>
      <c r="S52" s="124"/>
      <c r="T52" s="124"/>
    </row>
    <row r="53" spans="1:20" ht="15.75" customHeight="1">
      <c r="A53" s="317">
        <v>38</v>
      </c>
      <c r="B53" s="318" t="s">
        <v>2523</v>
      </c>
      <c r="C53" s="318" t="s">
        <v>2661</v>
      </c>
      <c r="D53" s="318">
        <v>12013584</v>
      </c>
      <c r="E53" s="318" t="s">
        <v>2648</v>
      </c>
      <c r="F53" s="318" t="s">
        <v>1713</v>
      </c>
      <c r="G53" s="319">
        <v>6825</v>
      </c>
      <c r="H53" s="318" t="s">
        <v>1730</v>
      </c>
      <c r="I53" s="319">
        <v>10780</v>
      </c>
      <c r="K53" s="74"/>
      <c r="L53" s="74"/>
      <c r="M53" s="74"/>
      <c r="N53" s="124"/>
      <c r="O53" s="74"/>
      <c r="P53" s="124"/>
      <c r="R53" s="279"/>
      <c r="S53" s="124"/>
      <c r="T53" s="124"/>
    </row>
    <row r="54" spans="1:20" ht="15.75" customHeight="1">
      <c r="A54" s="317">
        <v>39</v>
      </c>
      <c r="B54" s="318" t="s">
        <v>2523</v>
      </c>
      <c r="C54" s="318" t="s">
        <v>2664</v>
      </c>
      <c r="D54" s="318">
        <v>12013562</v>
      </c>
      <c r="E54" s="318" t="s">
        <v>2648</v>
      </c>
      <c r="F54" s="318" t="s">
        <v>1713</v>
      </c>
      <c r="G54" s="319">
        <v>6825</v>
      </c>
      <c r="H54" s="318" t="s">
        <v>1730</v>
      </c>
      <c r="I54" s="319">
        <v>10780</v>
      </c>
      <c r="K54" s="74"/>
      <c r="L54" s="74"/>
      <c r="M54" s="74"/>
      <c r="N54" s="124"/>
      <c r="O54" s="74"/>
      <c r="P54" s="124"/>
      <c r="R54" s="279"/>
      <c r="S54" s="124"/>
      <c r="T54" s="124"/>
    </row>
    <row r="55" spans="1:20" ht="15.75" customHeight="1">
      <c r="A55" s="317">
        <v>40</v>
      </c>
      <c r="B55" s="318" t="s">
        <v>2523</v>
      </c>
      <c r="C55" s="318" t="s">
        <v>2668</v>
      </c>
      <c r="D55" s="318">
        <v>12013591</v>
      </c>
      <c r="E55" s="318" t="s">
        <v>2669</v>
      </c>
      <c r="F55" s="318" t="s">
        <v>1713</v>
      </c>
      <c r="G55" s="319">
        <v>6825</v>
      </c>
      <c r="H55" s="318" t="s">
        <v>1730</v>
      </c>
      <c r="I55" s="319">
        <v>10780</v>
      </c>
      <c r="K55" s="74"/>
      <c r="L55" s="74"/>
      <c r="M55" s="74"/>
      <c r="N55" s="124"/>
      <c r="O55" s="74"/>
      <c r="P55" s="124"/>
      <c r="R55" s="279"/>
      <c r="S55" s="124"/>
      <c r="T55" s="124"/>
    </row>
    <row r="56" spans="1:20" ht="15.75" customHeight="1">
      <c r="A56" s="317">
        <v>41</v>
      </c>
      <c r="B56" s="318" t="s">
        <v>2598</v>
      </c>
      <c r="C56" s="318" t="s">
        <v>2610</v>
      </c>
      <c r="D56" s="318">
        <v>12012730</v>
      </c>
      <c r="E56" s="318" t="s">
        <v>2671</v>
      </c>
      <c r="F56" s="318" t="s">
        <v>1715</v>
      </c>
      <c r="G56" s="319">
        <v>7410</v>
      </c>
      <c r="H56" s="318" t="s">
        <v>1733</v>
      </c>
      <c r="I56" s="319">
        <v>12348</v>
      </c>
      <c r="K56" s="74"/>
      <c r="L56" s="74"/>
      <c r="M56" s="74"/>
      <c r="N56" s="124"/>
      <c r="O56" s="74"/>
      <c r="P56" s="124"/>
      <c r="R56" s="279"/>
      <c r="S56" s="124"/>
      <c r="T56" s="124"/>
    </row>
    <row r="57" spans="1:20" ht="15.75" customHeight="1">
      <c r="A57" s="317">
        <v>42</v>
      </c>
      <c r="B57" s="318" t="s">
        <v>2532</v>
      </c>
      <c r="C57" s="318" t="s">
        <v>2638</v>
      </c>
      <c r="D57" s="318">
        <v>12013019</v>
      </c>
      <c r="E57" s="318" t="s">
        <v>2671</v>
      </c>
      <c r="F57" s="318" t="s">
        <v>605</v>
      </c>
      <c r="G57" s="319">
        <v>9375</v>
      </c>
      <c r="H57" s="318" t="s">
        <v>1749</v>
      </c>
      <c r="I57" s="319">
        <v>64785</v>
      </c>
      <c r="K57" s="74"/>
      <c r="L57" s="74"/>
      <c r="M57" s="74"/>
      <c r="N57" s="124"/>
      <c r="O57" s="74"/>
      <c r="P57" s="124"/>
      <c r="R57" s="279"/>
      <c r="S57" s="124"/>
      <c r="T57" s="124"/>
    </row>
    <row r="58" spans="1:20" ht="15.75" customHeight="1">
      <c r="A58" s="317">
        <v>43</v>
      </c>
      <c r="B58" s="318" t="s">
        <v>2523</v>
      </c>
      <c r="C58" s="318" t="s">
        <v>2675</v>
      </c>
      <c r="D58" s="318">
        <v>12013568</v>
      </c>
      <c r="E58" s="318" t="s">
        <v>2676</v>
      </c>
      <c r="F58" s="318" t="s">
        <v>1713</v>
      </c>
      <c r="G58" s="319">
        <v>6825</v>
      </c>
      <c r="H58" s="318" t="s">
        <v>1730</v>
      </c>
      <c r="I58" s="319">
        <v>10780</v>
      </c>
      <c r="K58" s="74"/>
      <c r="L58" s="74"/>
      <c r="M58" s="74"/>
      <c r="N58" s="124"/>
      <c r="O58" s="74"/>
      <c r="P58" s="124"/>
      <c r="R58" s="279"/>
      <c r="S58" s="124"/>
      <c r="T58" s="124"/>
    </row>
    <row r="59" spans="1:20" ht="15.75" customHeight="1">
      <c r="A59" s="317">
        <v>44</v>
      </c>
      <c r="B59" s="318" t="s">
        <v>2604</v>
      </c>
      <c r="C59" s="318" t="s">
        <v>2605</v>
      </c>
      <c r="D59" s="318">
        <v>12012662</v>
      </c>
      <c r="E59" s="318" t="s">
        <v>2679</v>
      </c>
      <c r="F59" s="318" t="s">
        <v>1723</v>
      </c>
      <c r="G59" s="319">
        <v>9700</v>
      </c>
      <c r="H59" s="318" t="s">
        <v>1746</v>
      </c>
      <c r="I59" s="319">
        <v>36960</v>
      </c>
      <c r="K59" s="74"/>
      <c r="L59" s="74"/>
      <c r="M59" s="74"/>
      <c r="N59" s="124"/>
      <c r="O59" s="74"/>
      <c r="P59" s="124"/>
      <c r="R59" s="279"/>
      <c r="S59" s="124"/>
      <c r="T59" s="124"/>
    </row>
    <row r="60" spans="1:20" ht="15.75" customHeight="1">
      <c r="A60" s="317">
        <v>45</v>
      </c>
      <c r="B60" s="318" t="s">
        <v>2517</v>
      </c>
      <c r="C60" s="318" t="s">
        <v>2618</v>
      </c>
      <c r="D60" s="318">
        <v>12012733</v>
      </c>
      <c r="E60" s="318" t="s">
        <v>2680</v>
      </c>
      <c r="F60" s="318" t="s">
        <v>1723</v>
      </c>
      <c r="G60" s="319">
        <v>9700</v>
      </c>
      <c r="H60" s="318" t="s">
        <v>1746</v>
      </c>
      <c r="I60" s="319">
        <v>36960</v>
      </c>
      <c r="K60" s="74"/>
      <c r="L60" s="74"/>
      <c r="M60" s="74"/>
      <c r="N60" s="124"/>
      <c r="O60" s="74"/>
      <c r="P60" s="124"/>
      <c r="R60" s="279"/>
      <c r="S60" s="124"/>
      <c r="T60" s="124"/>
    </row>
    <row r="61" spans="1:20" ht="12.75">
      <c r="A61" s="317">
        <v>46</v>
      </c>
      <c r="B61" s="318" t="s">
        <v>2517</v>
      </c>
      <c r="C61" s="318" t="s">
        <v>2621</v>
      </c>
      <c r="D61" s="318">
        <v>12012764</v>
      </c>
      <c r="E61" s="318" t="s">
        <v>2531</v>
      </c>
      <c r="F61" s="318" t="s">
        <v>1723</v>
      </c>
      <c r="G61" s="319">
        <v>9700</v>
      </c>
      <c r="H61" s="318" t="s">
        <v>1746</v>
      </c>
      <c r="I61" s="319">
        <v>36960</v>
      </c>
      <c r="K61" s="74"/>
      <c r="L61" s="74"/>
      <c r="M61" s="74"/>
      <c r="N61" s="124"/>
      <c r="O61" s="74"/>
      <c r="P61" s="124"/>
      <c r="R61" s="279"/>
      <c r="S61" s="124"/>
      <c r="T61" s="124"/>
    </row>
    <row r="62" spans="1:20" ht="12.75">
      <c r="A62" s="317">
        <v>47</v>
      </c>
      <c r="B62" s="318" t="s">
        <v>2514</v>
      </c>
      <c r="C62" s="318" t="s">
        <v>2530</v>
      </c>
      <c r="D62" s="318">
        <v>12012145</v>
      </c>
      <c r="E62" s="318" t="s">
        <v>2531</v>
      </c>
      <c r="F62" s="318" t="s">
        <v>1721</v>
      </c>
      <c r="G62" s="319">
        <v>9700</v>
      </c>
      <c r="H62" s="318" t="s">
        <v>1741</v>
      </c>
      <c r="I62" s="319">
        <v>36960</v>
      </c>
      <c r="K62" s="74"/>
      <c r="L62" s="74"/>
      <c r="M62" s="74"/>
      <c r="N62" s="124"/>
      <c r="O62" s="74"/>
      <c r="P62" s="124"/>
      <c r="R62" s="279"/>
      <c r="S62" s="124"/>
      <c r="T62" s="124"/>
    </row>
    <row r="63" spans="1:20" ht="12.75">
      <c r="A63" s="317">
        <v>48</v>
      </c>
      <c r="B63" s="318" t="s">
        <v>2523</v>
      </c>
      <c r="C63" s="318" t="s">
        <v>2681</v>
      </c>
      <c r="D63" s="318">
        <v>12013503</v>
      </c>
      <c r="E63" s="318" t="s">
        <v>2682</v>
      </c>
      <c r="F63" s="318" t="s">
        <v>1713</v>
      </c>
      <c r="G63" s="319">
        <v>6825</v>
      </c>
      <c r="H63" s="318" t="s">
        <v>1730</v>
      </c>
      <c r="I63" s="319">
        <v>10780</v>
      </c>
      <c r="K63" s="74"/>
      <c r="L63" s="74"/>
      <c r="M63" s="74"/>
      <c r="N63" s="124"/>
      <c r="O63" s="74"/>
      <c r="P63" s="124"/>
      <c r="R63" s="279"/>
      <c r="S63" s="124"/>
      <c r="T63" s="124"/>
    </row>
    <row r="64" spans="1:20" ht="12.75">
      <c r="A64" s="317">
        <v>49</v>
      </c>
      <c r="B64" s="318" t="s">
        <v>2523</v>
      </c>
      <c r="C64" s="318" t="s">
        <v>2683</v>
      </c>
      <c r="D64" s="318">
        <v>12013567</v>
      </c>
      <c r="E64" s="318" t="s">
        <v>2684</v>
      </c>
      <c r="F64" s="318" t="s">
        <v>1713</v>
      </c>
      <c r="G64" s="319">
        <v>6825</v>
      </c>
      <c r="H64" s="318" t="s">
        <v>1730</v>
      </c>
      <c r="I64" s="319">
        <v>10780</v>
      </c>
      <c r="K64" s="74"/>
      <c r="L64" s="74"/>
      <c r="M64" s="74"/>
      <c r="N64" s="124"/>
      <c r="O64" s="74"/>
      <c r="P64" s="124"/>
      <c r="R64" s="279"/>
      <c r="S64" s="124"/>
      <c r="T64" s="124"/>
    </row>
    <row r="65" spans="1:20" ht="12.75">
      <c r="A65" s="317">
        <v>50</v>
      </c>
      <c r="B65" s="318" t="s">
        <v>2523</v>
      </c>
      <c r="C65" s="318" t="s">
        <v>2685</v>
      </c>
      <c r="D65" s="318">
        <v>12013572</v>
      </c>
      <c r="E65" s="318" t="s">
        <v>2686</v>
      </c>
      <c r="F65" s="318" t="s">
        <v>1713</v>
      </c>
      <c r="G65" s="319">
        <v>6825</v>
      </c>
      <c r="H65" s="318" t="s">
        <v>1730</v>
      </c>
      <c r="I65" s="319">
        <v>10780</v>
      </c>
      <c r="K65" s="74"/>
      <c r="L65" s="74"/>
      <c r="M65" s="74"/>
      <c r="N65" s="124"/>
      <c r="O65" s="74"/>
      <c r="P65" s="124"/>
      <c r="R65" s="279"/>
      <c r="S65" s="124"/>
      <c r="T65" s="124"/>
    </row>
    <row r="66" spans="1:20" ht="12.75">
      <c r="A66" s="317">
        <v>51</v>
      </c>
      <c r="B66" s="318" t="s">
        <v>2523</v>
      </c>
      <c r="C66" s="318" t="s">
        <v>2687</v>
      </c>
      <c r="D66" s="318">
        <v>12013590</v>
      </c>
      <c r="E66" s="318" t="s">
        <v>2688</v>
      </c>
      <c r="F66" s="318" t="s">
        <v>1713</v>
      </c>
      <c r="G66" s="319">
        <v>6825</v>
      </c>
      <c r="H66" s="318" t="s">
        <v>1730</v>
      </c>
      <c r="I66" s="319">
        <v>10780</v>
      </c>
      <c r="K66" s="74"/>
      <c r="L66" s="74"/>
      <c r="M66" s="74"/>
      <c r="N66" s="124"/>
      <c r="O66" s="74"/>
      <c r="P66" s="124"/>
      <c r="R66" s="279"/>
      <c r="S66" s="124"/>
      <c r="T66" s="124"/>
    </row>
    <row r="67" spans="1:20" ht="12.75">
      <c r="A67" s="317">
        <v>52</v>
      </c>
      <c r="B67" s="318" t="s">
        <v>2523</v>
      </c>
      <c r="C67" s="318" t="s">
        <v>2689</v>
      </c>
      <c r="D67" s="318">
        <v>12013585</v>
      </c>
      <c r="E67" s="318" t="s">
        <v>2690</v>
      </c>
      <c r="F67" s="318" t="s">
        <v>1713</v>
      </c>
      <c r="G67" s="319">
        <v>6825</v>
      </c>
      <c r="H67" s="318" t="s">
        <v>1730</v>
      </c>
      <c r="I67" s="319">
        <v>10780</v>
      </c>
      <c r="K67" s="74"/>
      <c r="L67" s="74"/>
      <c r="M67" s="74"/>
      <c r="N67" s="124"/>
      <c r="O67" s="74"/>
      <c r="P67" s="124"/>
      <c r="R67" s="279"/>
      <c r="S67" s="124"/>
      <c r="T67" s="124"/>
    </row>
    <row r="68" spans="1:20" ht="12.75">
      <c r="A68" s="317">
        <v>53</v>
      </c>
      <c r="B68" s="318" t="s">
        <v>2523</v>
      </c>
      <c r="C68" s="318" t="s">
        <v>2691</v>
      </c>
      <c r="D68" s="318">
        <v>12013580</v>
      </c>
      <c r="E68" s="318" t="s">
        <v>2692</v>
      </c>
      <c r="F68" s="318" t="s">
        <v>1713</v>
      </c>
      <c r="G68" s="319">
        <v>6825</v>
      </c>
      <c r="H68" s="318" t="s">
        <v>1730</v>
      </c>
      <c r="I68" s="319">
        <v>10780</v>
      </c>
      <c r="K68" s="74"/>
      <c r="L68" s="74"/>
      <c r="M68" s="74"/>
      <c r="N68" s="124"/>
      <c r="O68" s="74"/>
      <c r="P68" s="124"/>
      <c r="R68" s="279"/>
      <c r="S68" s="124"/>
      <c r="T68" s="124"/>
    </row>
    <row r="69" spans="1:20" ht="12.75">
      <c r="A69" s="317">
        <v>54</v>
      </c>
      <c r="B69" s="318" t="s">
        <v>2523</v>
      </c>
      <c r="C69" s="318" t="s">
        <v>2693</v>
      </c>
      <c r="D69" s="318">
        <v>12013504</v>
      </c>
      <c r="E69" s="318" t="s">
        <v>2694</v>
      </c>
      <c r="F69" s="318" t="s">
        <v>1713</v>
      </c>
      <c r="G69" s="319">
        <v>6825</v>
      </c>
      <c r="H69" s="318" t="s">
        <v>1730</v>
      </c>
      <c r="I69" s="319">
        <v>10780</v>
      </c>
      <c r="K69" s="74"/>
      <c r="L69" s="74"/>
      <c r="M69" s="74"/>
      <c r="N69" s="124"/>
      <c r="O69" s="74"/>
      <c r="P69" s="124"/>
      <c r="R69" s="279"/>
      <c r="S69" s="124"/>
      <c r="T69" s="124"/>
    </row>
    <row r="70" spans="1:20" ht="12.75">
      <c r="A70" s="317">
        <v>55</v>
      </c>
      <c r="B70" s="318" t="s">
        <v>2523</v>
      </c>
      <c r="C70" s="318" t="s">
        <v>2695</v>
      </c>
      <c r="D70" s="318">
        <v>12013510</v>
      </c>
      <c r="E70" s="318" t="s">
        <v>236</v>
      </c>
      <c r="F70" s="318" t="s">
        <v>1713</v>
      </c>
      <c r="G70" s="319">
        <v>6825</v>
      </c>
      <c r="H70" s="318" t="s">
        <v>1730</v>
      </c>
      <c r="I70" s="319">
        <v>10780</v>
      </c>
      <c r="K70" s="74"/>
      <c r="L70" s="74"/>
      <c r="M70" s="74"/>
      <c r="N70" s="124"/>
      <c r="O70" s="74"/>
      <c r="P70" s="124"/>
      <c r="R70" s="279"/>
      <c r="S70" s="124"/>
      <c r="T70" s="124"/>
    </row>
    <row r="71" spans="1:20" ht="12.75">
      <c r="A71" s="317">
        <v>56</v>
      </c>
      <c r="B71" s="318" t="s">
        <v>2523</v>
      </c>
      <c r="C71" s="318" t="s">
        <v>2696</v>
      </c>
      <c r="D71" s="318">
        <v>12013582</v>
      </c>
      <c r="E71" s="318" t="s">
        <v>236</v>
      </c>
      <c r="F71" s="318" t="s">
        <v>1713</v>
      </c>
      <c r="G71" s="319">
        <v>6825</v>
      </c>
      <c r="H71" s="318" t="s">
        <v>1730</v>
      </c>
      <c r="I71" s="319">
        <v>10780</v>
      </c>
      <c r="K71" s="74"/>
      <c r="L71" s="74"/>
      <c r="M71" s="74"/>
      <c r="N71" s="124"/>
      <c r="O71" s="74"/>
      <c r="P71" s="124"/>
      <c r="R71" s="279"/>
      <c r="S71" s="124"/>
      <c r="T71" s="124"/>
    </row>
    <row r="72" spans="1:20" ht="12.75">
      <c r="A72" s="317">
        <v>57</v>
      </c>
      <c r="B72" s="318" t="s">
        <v>2523</v>
      </c>
      <c r="C72" s="318" t="s">
        <v>2697</v>
      </c>
      <c r="D72" s="318">
        <v>12013499</v>
      </c>
      <c r="E72" s="318" t="s">
        <v>2698</v>
      </c>
      <c r="F72" s="318" t="s">
        <v>1713</v>
      </c>
      <c r="G72" s="319">
        <v>6825</v>
      </c>
      <c r="H72" s="318" t="s">
        <v>1730</v>
      </c>
      <c r="I72" s="319">
        <v>10780</v>
      </c>
      <c r="K72" s="74"/>
      <c r="L72" s="74"/>
      <c r="M72" s="74"/>
      <c r="N72" s="124"/>
      <c r="O72" s="74"/>
      <c r="P72" s="124"/>
      <c r="R72" s="279"/>
      <c r="S72" s="124"/>
      <c r="T72" s="124"/>
    </row>
    <row r="73" spans="1:20" ht="12.75">
      <c r="A73" s="317">
        <v>58</v>
      </c>
      <c r="B73" s="318" t="s">
        <v>2523</v>
      </c>
      <c r="C73" s="318" t="s">
        <v>2699</v>
      </c>
      <c r="D73" s="318">
        <v>12013575</v>
      </c>
      <c r="E73" s="318" t="s">
        <v>2700</v>
      </c>
      <c r="F73" s="318" t="s">
        <v>1713</v>
      </c>
      <c r="G73" s="319">
        <v>6825</v>
      </c>
      <c r="H73" s="318" t="s">
        <v>1730</v>
      </c>
      <c r="I73" s="319">
        <v>10780</v>
      </c>
      <c r="K73" s="74"/>
      <c r="L73" s="74"/>
      <c r="M73" s="74"/>
      <c r="N73" s="124"/>
      <c r="O73" s="74"/>
      <c r="P73" s="124"/>
      <c r="R73" s="279"/>
      <c r="S73" s="124"/>
      <c r="T73" s="124"/>
    </row>
    <row r="74" spans="1:20" ht="12.75">
      <c r="A74" s="317">
        <v>59</v>
      </c>
      <c r="B74" s="318" t="s">
        <v>2523</v>
      </c>
      <c r="C74" s="318" t="s">
        <v>2701</v>
      </c>
      <c r="D74" s="318">
        <v>12013592</v>
      </c>
      <c r="E74" s="318" t="s">
        <v>2702</v>
      </c>
      <c r="F74" s="318" t="s">
        <v>1713</v>
      </c>
      <c r="G74" s="319">
        <v>6825</v>
      </c>
      <c r="H74" s="318" t="s">
        <v>1730</v>
      </c>
      <c r="I74" s="319">
        <v>10780</v>
      </c>
      <c r="K74" s="74"/>
      <c r="L74" s="74"/>
      <c r="M74" s="74"/>
      <c r="N74" s="124"/>
      <c r="O74" s="74"/>
      <c r="P74" s="124"/>
      <c r="R74" s="279"/>
      <c r="S74" s="124"/>
      <c r="T74" s="124"/>
    </row>
    <row r="75" spans="1:20" ht="12.75">
      <c r="A75" s="317">
        <v>60</v>
      </c>
      <c r="B75" s="318" t="s">
        <v>2523</v>
      </c>
      <c r="C75" s="318" t="s">
        <v>2703</v>
      </c>
      <c r="D75" s="318">
        <v>12013581</v>
      </c>
      <c r="E75" s="318" t="s">
        <v>140</v>
      </c>
      <c r="F75" s="318" t="s">
        <v>1713</v>
      </c>
      <c r="G75" s="319">
        <v>6825</v>
      </c>
      <c r="H75" s="318" t="s">
        <v>1730</v>
      </c>
      <c r="I75" s="319">
        <v>10780</v>
      </c>
      <c r="K75" s="74"/>
      <c r="L75" s="74"/>
      <c r="M75" s="74"/>
      <c r="N75" s="124"/>
      <c r="O75" s="74"/>
      <c r="P75" s="124"/>
      <c r="R75" s="279"/>
      <c r="S75" s="124"/>
      <c r="T75" s="124"/>
    </row>
    <row r="76" spans="1:20" ht="12.75">
      <c r="A76" s="317">
        <v>61</v>
      </c>
      <c r="B76" s="318" t="s">
        <v>2520</v>
      </c>
      <c r="C76" s="318" t="s">
        <v>2591</v>
      </c>
      <c r="D76" s="318">
        <v>12012449</v>
      </c>
      <c r="E76" s="318" t="s">
        <v>2592</v>
      </c>
      <c r="F76" s="318" t="s">
        <v>1711</v>
      </c>
      <c r="G76" s="319">
        <v>7135</v>
      </c>
      <c r="H76" s="318" t="s">
        <v>1727</v>
      </c>
      <c r="I76" s="319">
        <v>12285</v>
      </c>
      <c r="K76" s="74"/>
      <c r="L76" s="74"/>
      <c r="M76" s="74"/>
      <c r="N76" s="124"/>
      <c r="O76" s="74"/>
      <c r="P76" s="124"/>
      <c r="R76" s="279"/>
      <c r="S76" s="124"/>
      <c r="T76" s="124"/>
    </row>
    <row r="77" spans="1:20" ht="12.75">
      <c r="A77" s="317">
        <v>62</v>
      </c>
      <c r="B77" s="318" t="s">
        <v>2523</v>
      </c>
      <c r="C77" s="318" t="s">
        <v>2704</v>
      </c>
      <c r="D77" s="318">
        <v>12013578</v>
      </c>
      <c r="E77" s="318" t="s">
        <v>2705</v>
      </c>
      <c r="F77" s="318" t="s">
        <v>1713</v>
      </c>
      <c r="G77" s="319">
        <v>6825</v>
      </c>
      <c r="H77" s="318" t="s">
        <v>1730</v>
      </c>
      <c r="I77" s="319">
        <v>10780</v>
      </c>
      <c r="K77" s="74"/>
      <c r="L77" s="74"/>
      <c r="M77" s="74"/>
      <c r="N77" s="124"/>
      <c r="O77" s="74"/>
      <c r="P77" s="124"/>
      <c r="R77" s="279"/>
      <c r="S77" s="124"/>
      <c r="T77" s="124"/>
    </row>
    <row r="78" spans="1:20" ht="12.75">
      <c r="A78" s="317">
        <v>63</v>
      </c>
      <c r="B78" s="318" t="s">
        <v>2565</v>
      </c>
      <c r="C78" s="318" t="s">
        <v>2706</v>
      </c>
      <c r="D78" s="318">
        <v>12013558</v>
      </c>
      <c r="E78" s="318" t="s">
        <v>2707</v>
      </c>
      <c r="F78" s="318" t="s">
        <v>1754</v>
      </c>
      <c r="G78" s="319">
        <v>3585</v>
      </c>
      <c r="H78" s="318" t="s">
        <v>453</v>
      </c>
      <c r="I78" s="318" t="s">
        <v>453</v>
      </c>
      <c r="K78" s="74"/>
      <c r="L78" s="74"/>
      <c r="M78" s="74"/>
      <c r="N78" s="124"/>
      <c r="O78" s="74"/>
      <c r="P78" s="124"/>
      <c r="R78" s="279"/>
      <c r="S78" s="124"/>
      <c r="T78" s="124"/>
    </row>
    <row r="79" spans="1:20" ht="12.75">
      <c r="A79" s="317"/>
      <c r="B79" s="318"/>
      <c r="C79" s="318"/>
      <c r="D79" s="318"/>
      <c r="E79" s="318"/>
      <c r="F79" s="318" t="s">
        <v>2570</v>
      </c>
      <c r="G79" s="319">
        <v>5130</v>
      </c>
      <c r="H79" s="318" t="s">
        <v>453</v>
      </c>
      <c r="I79" s="318" t="s">
        <v>453</v>
      </c>
      <c r="K79" s="74"/>
      <c r="L79" s="74"/>
      <c r="M79" s="74"/>
      <c r="N79" s="124"/>
      <c r="O79" s="74"/>
      <c r="P79" s="124"/>
      <c r="R79" s="279"/>
      <c r="S79" s="124"/>
      <c r="T79" s="124"/>
    </row>
    <row r="80" spans="1:20" ht="12.75">
      <c r="A80" s="317"/>
      <c r="B80" s="318"/>
      <c r="C80" s="318"/>
      <c r="D80" s="318"/>
      <c r="E80" s="318"/>
      <c r="F80" s="318" t="s">
        <v>2572</v>
      </c>
      <c r="G80" s="319">
        <v>5130</v>
      </c>
      <c r="H80" s="318" t="s">
        <v>453</v>
      </c>
      <c r="I80" s="318" t="s">
        <v>453</v>
      </c>
      <c r="K80" s="74"/>
      <c r="L80" s="74"/>
      <c r="M80" s="74"/>
      <c r="N80" s="124"/>
      <c r="O80" s="74"/>
      <c r="P80" s="124"/>
      <c r="R80" s="279"/>
      <c r="S80" s="124"/>
      <c r="T80" s="124"/>
    </row>
    <row r="81" spans="1:20" ht="12.75">
      <c r="A81" s="317"/>
      <c r="B81" s="318"/>
      <c r="C81" s="318"/>
      <c r="D81" s="318"/>
      <c r="E81" s="318"/>
      <c r="F81" s="318" t="s">
        <v>2575</v>
      </c>
      <c r="G81" s="319">
        <v>5130</v>
      </c>
      <c r="H81" s="318" t="s">
        <v>453</v>
      </c>
      <c r="I81" s="318" t="s">
        <v>453</v>
      </c>
      <c r="K81" s="74"/>
      <c r="L81" s="74"/>
      <c r="M81" s="74"/>
      <c r="N81" s="124"/>
      <c r="O81" s="74"/>
      <c r="P81" s="124"/>
      <c r="R81" s="279"/>
      <c r="S81" s="124"/>
      <c r="T81" s="124"/>
    </row>
    <row r="82" spans="1:20" ht="12.75">
      <c r="A82" s="317">
        <v>64</v>
      </c>
      <c r="B82" s="318" t="s">
        <v>2520</v>
      </c>
      <c r="C82" s="318" t="s">
        <v>2560</v>
      </c>
      <c r="D82" s="318">
        <v>12012266</v>
      </c>
      <c r="E82" s="318" t="s">
        <v>2561</v>
      </c>
      <c r="F82" s="318" t="s">
        <v>1711</v>
      </c>
      <c r="G82" s="319">
        <v>7135</v>
      </c>
      <c r="H82" s="318" t="s">
        <v>1727</v>
      </c>
      <c r="I82" s="319">
        <v>12285</v>
      </c>
      <c r="K82" s="74"/>
      <c r="L82" s="74"/>
      <c r="M82" s="74"/>
      <c r="N82" s="124"/>
      <c r="O82" s="74"/>
      <c r="P82" s="124"/>
      <c r="R82" s="279"/>
      <c r="S82" s="124"/>
      <c r="T82" s="124"/>
    </row>
    <row r="83" spans="1:20" ht="12.75">
      <c r="A83" s="317">
        <v>65</v>
      </c>
      <c r="B83" s="318" t="s">
        <v>2520</v>
      </c>
      <c r="C83" s="318" t="s">
        <v>2594</v>
      </c>
      <c r="D83" s="318">
        <v>12012465</v>
      </c>
      <c r="E83" s="318" t="s">
        <v>2708</v>
      </c>
      <c r="F83" s="318" t="s">
        <v>1711</v>
      </c>
      <c r="G83" s="319">
        <v>7135</v>
      </c>
      <c r="H83" s="318" t="s">
        <v>1727</v>
      </c>
      <c r="I83" s="319">
        <v>12285</v>
      </c>
      <c r="K83" s="74"/>
      <c r="L83" s="74"/>
      <c r="M83" s="74"/>
      <c r="N83" s="124"/>
      <c r="O83" s="74"/>
      <c r="P83" s="124"/>
      <c r="R83" s="279"/>
      <c r="S83" s="124"/>
      <c r="T83" s="124"/>
    </row>
    <row r="84" spans="1:20" ht="12.75">
      <c r="A84" s="317">
        <v>66</v>
      </c>
      <c r="B84" s="318" t="s">
        <v>2523</v>
      </c>
      <c r="C84" s="318" t="s">
        <v>2709</v>
      </c>
      <c r="D84" s="318">
        <v>12013566</v>
      </c>
      <c r="E84" s="318" t="s">
        <v>2708</v>
      </c>
      <c r="F84" s="318" t="s">
        <v>1713</v>
      </c>
      <c r="G84" s="319">
        <v>6825</v>
      </c>
      <c r="H84" s="318" t="s">
        <v>1730</v>
      </c>
      <c r="I84" s="319">
        <v>10780</v>
      </c>
      <c r="K84" s="74"/>
      <c r="L84" s="74"/>
      <c r="M84" s="74"/>
      <c r="N84" s="124"/>
      <c r="O84" s="74"/>
      <c r="P84" s="124"/>
      <c r="R84" s="279"/>
      <c r="S84" s="124"/>
      <c r="T84" s="124"/>
    </row>
    <row r="85" spans="1:20" ht="12.75">
      <c r="A85" s="317">
        <v>67</v>
      </c>
      <c r="B85" s="318" t="s">
        <v>2537</v>
      </c>
      <c r="C85" s="318" t="s">
        <v>2625</v>
      </c>
      <c r="D85" s="318">
        <v>12012824</v>
      </c>
      <c r="E85" s="318" t="s">
        <v>2710</v>
      </c>
      <c r="F85" s="318" t="s">
        <v>1715</v>
      </c>
      <c r="G85" s="319">
        <v>7410</v>
      </c>
      <c r="H85" s="318" t="s">
        <v>1733</v>
      </c>
      <c r="I85" s="319">
        <v>12348</v>
      </c>
      <c r="K85" s="74"/>
      <c r="L85" s="74"/>
      <c r="M85" s="74"/>
      <c r="N85" s="124"/>
      <c r="O85" s="74"/>
      <c r="P85" s="124"/>
      <c r="R85" s="279"/>
      <c r="S85" s="124"/>
      <c r="T85" s="124"/>
    </row>
    <row r="86" spans="1:20" ht="12.75">
      <c r="A86" s="317">
        <v>68</v>
      </c>
      <c r="B86" s="318" t="s">
        <v>2543</v>
      </c>
      <c r="C86" s="318" t="s">
        <v>2631</v>
      </c>
      <c r="D86" s="318">
        <v>12013015</v>
      </c>
      <c r="E86" s="318" t="s">
        <v>2710</v>
      </c>
      <c r="F86" s="318" t="s">
        <v>1718</v>
      </c>
      <c r="G86" s="319">
        <v>8600</v>
      </c>
      <c r="H86" s="318" t="s">
        <v>1738</v>
      </c>
      <c r="I86" s="319">
        <v>18900</v>
      </c>
      <c r="K86" s="74"/>
      <c r="L86" s="74"/>
      <c r="M86" s="74"/>
      <c r="N86" s="124"/>
      <c r="O86" s="74"/>
      <c r="P86" s="124"/>
      <c r="R86" s="279"/>
      <c r="S86" s="124"/>
      <c r="T86" s="124"/>
    </row>
    <row r="87" spans="1:20" ht="12.75">
      <c r="A87" s="317">
        <v>69</v>
      </c>
      <c r="B87" s="318" t="s">
        <v>2520</v>
      </c>
      <c r="C87" s="318" t="s">
        <v>2568</v>
      </c>
      <c r="D87" s="318">
        <v>12012331</v>
      </c>
      <c r="E87" s="318" t="s">
        <v>2711</v>
      </c>
      <c r="F87" s="318" t="s">
        <v>1711</v>
      </c>
      <c r="G87" s="319">
        <v>7135</v>
      </c>
      <c r="H87" s="318" t="s">
        <v>1727</v>
      </c>
      <c r="I87" s="319">
        <v>12285</v>
      </c>
      <c r="K87" s="74"/>
      <c r="L87" s="74"/>
      <c r="M87" s="74"/>
      <c r="N87" s="124"/>
      <c r="O87" s="74"/>
      <c r="P87" s="124"/>
      <c r="R87" s="279"/>
      <c r="S87" s="124"/>
      <c r="T87" s="124"/>
    </row>
    <row r="88" spans="1:20" ht="12.75">
      <c r="A88" s="317">
        <v>70</v>
      </c>
      <c r="B88" s="318" t="s">
        <v>2537</v>
      </c>
      <c r="C88" s="318" t="s">
        <v>2712</v>
      </c>
      <c r="D88" s="318">
        <v>12013422</v>
      </c>
      <c r="E88" s="318" t="s">
        <v>2713</v>
      </c>
      <c r="F88" s="318" t="s">
        <v>1715</v>
      </c>
      <c r="G88" s="319">
        <v>7410</v>
      </c>
      <c r="H88" s="318" t="s">
        <v>1733</v>
      </c>
      <c r="I88" s="319">
        <v>12348</v>
      </c>
      <c r="K88" s="74"/>
      <c r="L88" s="74"/>
      <c r="M88" s="74"/>
      <c r="N88" s="124"/>
      <c r="O88" s="74"/>
      <c r="P88" s="124"/>
      <c r="R88" s="279"/>
      <c r="S88" s="124"/>
      <c r="T88" s="124"/>
    </row>
    <row r="89" spans="1:20" ht="12.75">
      <c r="A89" s="317">
        <v>71</v>
      </c>
      <c r="B89" s="318" t="s">
        <v>2517</v>
      </c>
      <c r="C89" s="318" t="s">
        <v>2714</v>
      </c>
      <c r="D89" s="318">
        <v>12012831</v>
      </c>
      <c r="E89" s="318" t="s">
        <v>2713</v>
      </c>
      <c r="F89" s="318" t="s">
        <v>1723</v>
      </c>
      <c r="G89" s="319">
        <v>9700</v>
      </c>
      <c r="H89" s="318" t="s">
        <v>1746</v>
      </c>
      <c r="I89" s="319">
        <v>36960</v>
      </c>
      <c r="K89" s="74"/>
      <c r="L89" s="74"/>
      <c r="M89" s="74"/>
      <c r="N89" s="124"/>
      <c r="O89" s="74"/>
      <c r="P89" s="124"/>
      <c r="R89" s="279"/>
      <c r="S89" s="124"/>
      <c r="T89" s="124"/>
    </row>
    <row r="90" spans="1:20" ht="12.75">
      <c r="A90" s="317">
        <v>72</v>
      </c>
      <c r="B90" s="318" t="s">
        <v>2517</v>
      </c>
      <c r="C90" s="318" t="s">
        <v>2715</v>
      </c>
      <c r="D90" s="318">
        <v>12013424</v>
      </c>
      <c r="E90" s="318" t="s">
        <v>2713</v>
      </c>
      <c r="F90" s="318" t="s">
        <v>1723</v>
      </c>
      <c r="G90" s="319">
        <v>9700</v>
      </c>
      <c r="H90" s="318" t="s">
        <v>1746</v>
      </c>
      <c r="I90" s="319">
        <v>36960</v>
      </c>
      <c r="K90" s="74"/>
      <c r="L90" s="74"/>
      <c r="M90" s="74"/>
      <c r="N90" s="124"/>
      <c r="O90" s="74"/>
      <c r="P90" s="124"/>
      <c r="R90" s="279"/>
      <c r="S90" s="124"/>
      <c r="T90" s="124"/>
    </row>
    <row r="91" spans="1:20" ht="12.75">
      <c r="A91" s="317">
        <v>73</v>
      </c>
      <c r="B91" s="318" t="s">
        <v>2565</v>
      </c>
      <c r="C91" s="318" t="s">
        <v>2716</v>
      </c>
      <c r="D91" s="318">
        <v>12013554</v>
      </c>
      <c r="E91" s="318" t="s">
        <v>2713</v>
      </c>
      <c r="F91" s="318" t="s">
        <v>1754</v>
      </c>
      <c r="G91" s="319">
        <v>3585</v>
      </c>
      <c r="H91" s="318" t="s">
        <v>453</v>
      </c>
      <c r="I91" s="318" t="s">
        <v>453</v>
      </c>
      <c r="K91" s="74"/>
      <c r="L91" s="74"/>
      <c r="M91" s="74"/>
      <c r="N91" s="124"/>
      <c r="O91" s="74"/>
      <c r="P91" s="124"/>
      <c r="R91" s="279"/>
      <c r="S91" s="124"/>
      <c r="T91" s="124"/>
    </row>
    <row r="92" spans="1:20" ht="12.75">
      <c r="A92" s="317"/>
      <c r="B92" s="318"/>
      <c r="C92" s="318"/>
      <c r="D92" s="318"/>
      <c r="E92" s="318"/>
      <c r="F92" s="318" t="s">
        <v>2570</v>
      </c>
      <c r="G92" s="319">
        <v>5130</v>
      </c>
      <c r="H92" s="318" t="s">
        <v>453</v>
      </c>
      <c r="I92" s="318" t="s">
        <v>453</v>
      </c>
      <c r="K92" s="74"/>
      <c r="L92" s="74"/>
      <c r="M92" s="74"/>
      <c r="N92" s="124"/>
      <c r="O92" s="74"/>
      <c r="P92" s="124"/>
      <c r="R92" s="279"/>
      <c r="S92" s="124"/>
      <c r="T92" s="124"/>
    </row>
    <row r="93" spans="1:20" ht="12.75">
      <c r="A93" s="317"/>
      <c r="B93" s="318"/>
      <c r="C93" s="318"/>
      <c r="D93" s="318"/>
      <c r="E93" s="318"/>
      <c r="F93" s="318" t="s">
        <v>2572</v>
      </c>
      <c r="G93" s="319">
        <v>5130</v>
      </c>
      <c r="H93" s="318" t="s">
        <v>453</v>
      </c>
      <c r="I93" s="318" t="s">
        <v>453</v>
      </c>
      <c r="K93" s="74"/>
      <c r="L93" s="74"/>
      <c r="M93" s="74"/>
      <c r="N93" s="124"/>
      <c r="O93" s="74"/>
      <c r="P93" s="124"/>
      <c r="R93" s="279"/>
      <c r="S93" s="124"/>
      <c r="T93" s="124"/>
    </row>
    <row r="94" spans="1:20" ht="12.75">
      <c r="A94" s="317"/>
      <c r="B94" s="318"/>
      <c r="C94" s="318"/>
      <c r="D94" s="318"/>
      <c r="E94" s="318"/>
      <c r="F94" s="318" t="s">
        <v>2575</v>
      </c>
      <c r="G94" s="319">
        <v>5130</v>
      </c>
      <c r="H94" s="318" t="s">
        <v>453</v>
      </c>
      <c r="I94" s="318" t="s">
        <v>453</v>
      </c>
      <c r="K94" s="74"/>
      <c r="L94" s="74"/>
      <c r="M94" s="74"/>
      <c r="N94" s="124"/>
      <c r="O94" s="74"/>
      <c r="P94" s="124"/>
      <c r="R94" s="279"/>
      <c r="S94" s="124"/>
      <c r="T94" s="124"/>
    </row>
    <row r="95" spans="1:20" ht="12.75">
      <c r="A95" s="317">
        <v>74</v>
      </c>
      <c r="B95" s="318" t="s">
        <v>2532</v>
      </c>
      <c r="C95" s="318" t="s">
        <v>2717</v>
      </c>
      <c r="D95" s="318">
        <v>12013020</v>
      </c>
      <c r="E95" s="318" t="s">
        <v>2718</v>
      </c>
      <c r="F95" s="318" t="s">
        <v>605</v>
      </c>
      <c r="G95" s="319">
        <v>9375</v>
      </c>
      <c r="H95" s="318" t="s">
        <v>1749</v>
      </c>
      <c r="I95" s="319">
        <v>64785</v>
      </c>
      <c r="K95" s="74"/>
      <c r="L95" s="74"/>
      <c r="M95" s="74"/>
      <c r="N95" s="124"/>
      <c r="O95" s="74"/>
      <c r="P95" s="124"/>
      <c r="R95" s="279"/>
      <c r="S95" s="124"/>
      <c r="T95" s="124"/>
    </row>
    <row r="96" spans="1:20" ht="12.75">
      <c r="A96" s="317">
        <v>75</v>
      </c>
      <c r="B96" s="318" t="s">
        <v>2520</v>
      </c>
      <c r="C96" s="318" t="s">
        <v>2596</v>
      </c>
      <c r="D96" s="318">
        <v>12012466</v>
      </c>
      <c r="E96" s="318" t="s">
        <v>2719</v>
      </c>
      <c r="F96" s="318" t="s">
        <v>1711</v>
      </c>
      <c r="G96" s="319">
        <v>7135</v>
      </c>
      <c r="H96" s="318" t="s">
        <v>1727</v>
      </c>
      <c r="I96" s="319">
        <v>12285</v>
      </c>
      <c r="K96" s="74"/>
      <c r="L96" s="74"/>
      <c r="M96" s="74"/>
      <c r="N96" s="124"/>
      <c r="O96" s="74"/>
      <c r="P96" s="124"/>
      <c r="R96" s="279"/>
      <c r="S96" s="124"/>
      <c r="T96" s="124"/>
    </row>
    <row r="97" spans="1:20" ht="12.75">
      <c r="A97" s="317">
        <v>76</v>
      </c>
      <c r="B97" s="318" t="s">
        <v>2523</v>
      </c>
      <c r="C97" s="318" t="s">
        <v>2720</v>
      </c>
      <c r="D97" s="318">
        <v>12013583</v>
      </c>
      <c r="E97" s="318" t="s">
        <v>180</v>
      </c>
      <c r="F97" s="318" t="s">
        <v>1713</v>
      </c>
      <c r="G97" s="319">
        <v>6825</v>
      </c>
      <c r="H97" s="318" t="s">
        <v>1730</v>
      </c>
      <c r="I97" s="319">
        <v>10780</v>
      </c>
      <c r="K97" s="74"/>
      <c r="L97" s="74"/>
      <c r="M97" s="74"/>
      <c r="N97" s="124"/>
      <c r="O97" s="74"/>
      <c r="P97" s="124"/>
      <c r="R97" s="279"/>
      <c r="S97" s="124"/>
      <c r="T97" s="124"/>
    </row>
    <row r="98" spans="1:20" ht="12.75">
      <c r="A98" s="317">
        <v>77</v>
      </c>
      <c r="B98" s="318" t="s">
        <v>2523</v>
      </c>
      <c r="C98" s="318" t="s">
        <v>2721</v>
      </c>
      <c r="D98" s="318">
        <v>12013508</v>
      </c>
      <c r="E98" s="318" t="s">
        <v>2722</v>
      </c>
      <c r="F98" s="318" t="s">
        <v>1713</v>
      </c>
      <c r="G98" s="319">
        <v>6825</v>
      </c>
      <c r="H98" s="318" t="s">
        <v>1730</v>
      </c>
      <c r="I98" s="319">
        <v>10780</v>
      </c>
      <c r="K98" s="74"/>
      <c r="L98" s="74"/>
      <c r="M98" s="74"/>
      <c r="N98" s="124"/>
      <c r="O98" s="74"/>
      <c r="P98" s="124"/>
      <c r="R98" s="279"/>
      <c r="S98" s="124"/>
      <c r="T98" s="124"/>
    </row>
    <row r="99" spans="1:20" ht="12.75">
      <c r="A99" s="317">
        <v>78</v>
      </c>
      <c r="B99" s="318" t="s">
        <v>2523</v>
      </c>
      <c r="C99" s="318" t="s">
        <v>2723</v>
      </c>
      <c r="D99" s="318">
        <v>12013500</v>
      </c>
      <c r="E99" s="318" t="s">
        <v>2724</v>
      </c>
      <c r="F99" s="318" t="s">
        <v>1713</v>
      </c>
      <c r="G99" s="319">
        <v>6825</v>
      </c>
      <c r="H99" s="318" t="s">
        <v>1730</v>
      </c>
      <c r="I99" s="319">
        <v>10780</v>
      </c>
      <c r="K99" s="74"/>
      <c r="L99" s="74"/>
      <c r="M99" s="74"/>
      <c r="N99" s="124"/>
      <c r="O99" s="74"/>
      <c r="P99" s="124"/>
      <c r="R99" s="279"/>
      <c r="S99" s="124"/>
      <c r="T99" s="124"/>
    </row>
    <row r="100" spans="1:20" ht="12.75">
      <c r="A100" s="317">
        <v>79</v>
      </c>
      <c r="B100" s="318" t="s">
        <v>2523</v>
      </c>
      <c r="C100" s="318" t="s">
        <v>2725</v>
      </c>
      <c r="D100" s="318">
        <v>12013587</v>
      </c>
      <c r="E100" s="318" t="s">
        <v>2726</v>
      </c>
      <c r="F100" s="318" t="s">
        <v>1713</v>
      </c>
      <c r="G100" s="319">
        <v>6825</v>
      </c>
      <c r="H100" s="318" t="s">
        <v>1730</v>
      </c>
      <c r="I100" s="319">
        <v>10780</v>
      </c>
      <c r="K100" s="74"/>
      <c r="L100" s="74"/>
      <c r="M100" s="74"/>
      <c r="N100" s="124"/>
      <c r="O100" s="74"/>
      <c r="P100" s="124"/>
      <c r="R100" s="279"/>
      <c r="S100" s="124"/>
      <c r="T100" s="124"/>
    </row>
    <row r="101" spans="1:20" ht="12.75">
      <c r="A101" s="317">
        <v>80</v>
      </c>
      <c r="B101" s="318" t="s">
        <v>2598</v>
      </c>
      <c r="C101" s="318" t="s">
        <v>2599</v>
      </c>
      <c r="D101" s="318">
        <v>12012599</v>
      </c>
      <c r="E101" s="318" t="s">
        <v>2727</v>
      </c>
      <c r="F101" s="318" t="s">
        <v>1715</v>
      </c>
      <c r="G101" s="319">
        <v>7410</v>
      </c>
      <c r="H101" s="318" t="s">
        <v>1733</v>
      </c>
      <c r="I101" s="319">
        <v>12348</v>
      </c>
      <c r="K101" s="74"/>
      <c r="L101" s="74"/>
      <c r="M101" s="74"/>
      <c r="N101" s="124"/>
      <c r="O101" s="74"/>
      <c r="P101" s="124"/>
      <c r="R101" s="279"/>
      <c r="S101" s="124"/>
      <c r="T101" s="124"/>
    </row>
    <row r="102" spans="1:20" ht="12.75">
      <c r="A102" s="317">
        <v>81</v>
      </c>
      <c r="B102" s="318" t="s">
        <v>2537</v>
      </c>
      <c r="C102" s="318" t="s">
        <v>2728</v>
      </c>
      <c r="D102" s="318">
        <v>12013488</v>
      </c>
      <c r="E102" s="318" t="s">
        <v>2729</v>
      </c>
      <c r="F102" s="318" t="s">
        <v>1715</v>
      </c>
      <c r="G102" s="319">
        <v>7410</v>
      </c>
      <c r="H102" s="318" t="s">
        <v>1733</v>
      </c>
      <c r="I102" s="319">
        <v>12348</v>
      </c>
      <c r="K102" s="74"/>
      <c r="L102" s="74"/>
      <c r="M102" s="74"/>
      <c r="N102" s="124"/>
      <c r="O102" s="74"/>
      <c r="P102" s="124"/>
      <c r="R102" s="279"/>
      <c r="S102" s="124"/>
      <c r="T102" s="124"/>
    </row>
    <row r="103" spans="1:20" ht="12.75">
      <c r="A103" s="317">
        <v>82</v>
      </c>
      <c r="B103" s="318" t="s">
        <v>2598</v>
      </c>
      <c r="C103" s="318" t="s">
        <v>2730</v>
      </c>
      <c r="D103" s="318">
        <v>12013304</v>
      </c>
      <c r="E103" s="318" t="s">
        <v>2729</v>
      </c>
      <c r="F103" s="318" t="s">
        <v>1715</v>
      </c>
      <c r="G103" s="319">
        <v>7410</v>
      </c>
      <c r="H103" s="318" t="s">
        <v>1733</v>
      </c>
      <c r="I103" s="319">
        <v>12348</v>
      </c>
      <c r="K103" s="74"/>
      <c r="L103" s="74"/>
      <c r="M103" s="74"/>
      <c r="N103" s="124"/>
      <c r="O103" s="74"/>
      <c r="P103" s="124"/>
      <c r="R103" s="279"/>
      <c r="S103" s="124"/>
      <c r="T103" s="124"/>
    </row>
    <row r="104" spans="1:20" ht="12.75">
      <c r="A104" s="317">
        <v>83</v>
      </c>
      <c r="B104" s="318" t="s">
        <v>2598</v>
      </c>
      <c r="C104" s="318" t="s">
        <v>2731</v>
      </c>
      <c r="D104" s="318">
        <v>12013342</v>
      </c>
      <c r="E104" s="318" t="s">
        <v>2729</v>
      </c>
      <c r="F104" s="318" t="s">
        <v>1715</v>
      </c>
      <c r="G104" s="319">
        <v>7410</v>
      </c>
      <c r="H104" s="318" t="s">
        <v>1733</v>
      </c>
      <c r="I104" s="319">
        <v>12348</v>
      </c>
      <c r="K104" s="74"/>
      <c r="L104" s="74"/>
      <c r="M104" s="74"/>
      <c r="N104" s="124"/>
      <c r="O104" s="74"/>
      <c r="P104" s="124"/>
      <c r="R104" s="279"/>
      <c r="S104" s="124"/>
      <c r="T104" s="124"/>
    </row>
    <row r="105" spans="1:20" ht="12.75">
      <c r="A105" s="317">
        <v>84</v>
      </c>
      <c r="B105" s="318" t="s">
        <v>2732</v>
      </c>
      <c r="C105" s="318" t="s">
        <v>2733</v>
      </c>
      <c r="D105" s="318">
        <v>12013418</v>
      </c>
      <c r="E105" s="318" t="s">
        <v>2729</v>
      </c>
      <c r="F105" s="318" t="s">
        <v>1718</v>
      </c>
      <c r="G105" s="319">
        <v>8600</v>
      </c>
      <c r="H105" s="318" t="s">
        <v>1738</v>
      </c>
      <c r="I105" s="319">
        <v>18900</v>
      </c>
      <c r="K105" s="74"/>
      <c r="L105" s="74"/>
      <c r="M105" s="74"/>
      <c r="N105" s="124"/>
      <c r="O105" s="74"/>
      <c r="P105" s="124"/>
      <c r="R105" s="279"/>
      <c r="S105" s="124"/>
      <c r="T105" s="124"/>
    </row>
    <row r="106" spans="1:20" ht="12.75">
      <c r="A106" s="317">
        <v>85</v>
      </c>
      <c r="B106" s="318" t="s">
        <v>2732</v>
      </c>
      <c r="C106" s="318" t="s">
        <v>2734</v>
      </c>
      <c r="D106" s="318">
        <v>12013420</v>
      </c>
      <c r="E106" s="318" t="s">
        <v>2729</v>
      </c>
      <c r="F106" s="318" t="s">
        <v>1718</v>
      </c>
      <c r="G106" s="319">
        <v>8600</v>
      </c>
      <c r="H106" s="318" t="s">
        <v>1738</v>
      </c>
      <c r="I106" s="319">
        <v>18900</v>
      </c>
      <c r="K106" s="74"/>
      <c r="L106" s="74"/>
      <c r="M106" s="74"/>
      <c r="N106" s="124"/>
      <c r="O106" s="74"/>
      <c r="P106" s="124"/>
      <c r="R106" s="279"/>
      <c r="S106" s="124"/>
      <c r="T106" s="124"/>
    </row>
    <row r="107" spans="1:20" ht="12.75">
      <c r="A107" s="317">
        <v>86</v>
      </c>
      <c r="B107" s="318" t="s">
        <v>2732</v>
      </c>
      <c r="C107" s="318" t="s">
        <v>2735</v>
      </c>
      <c r="D107" s="318">
        <v>12013421</v>
      </c>
      <c r="E107" s="318" t="s">
        <v>2729</v>
      </c>
      <c r="F107" s="318" t="s">
        <v>1718</v>
      </c>
      <c r="G107" s="319">
        <v>8600</v>
      </c>
      <c r="H107" s="318" t="s">
        <v>1738</v>
      </c>
      <c r="I107" s="319">
        <v>18900</v>
      </c>
      <c r="K107" s="74"/>
      <c r="L107" s="74"/>
      <c r="M107" s="74"/>
      <c r="N107" s="124"/>
      <c r="O107" s="74"/>
      <c r="P107" s="124"/>
      <c r="R107" s="279"/>
      <c r="S107" s="124"/>
      <c r="T107" s="124"/>
    </row>
    <row r="108" spans="1:20" ht="12.75">
      <c r="A108" s="317">
        <v>87</v>
      </c>
      <c r="B108" s="318" t="s">
        <v>2732</v>
      </c>
      <c r="C108" s="318" t="s">
        <v>2736</v>
      </c>
      <c r="D108" s="318">
        <v>12013417</v>
      </c>
      <c r="E108" s="318" t="s">
        <v>2729</v>
      </c>
      <c r="F108" s="318" t="s">
        <v>1718</v>
      </c>
      <c r="G108" s="319">
        <v>8600</v>
      </c>
      <c r="H108" s="318" t="s">
        <v>1738</v>
      </c>
      <c r="I108" s="319">
        <v>18900</v>
      </c>
      <c r="K108" s="74"/>
      <c r="L108" s="74"/>
      <c r="M108" s="74"/>
      <c r="N108" s="124"/>
      <c r="O108" s="74"/>
      <c r="P108" s="124"/>
      <c r="R108" s="279"/>
      <c r="S108" s="124"/>
      <c r="T108" s="124"/>
    </row>
    <row r="109" spans="1:20" ht="12.75">
      <c r="A109" s="317">
        <v>88</v>
      </c>
      <c r="B109" s="318" t="s">
        <v>2732</v>
      </c>
      <c r="C109" s="318" t="s">
        <v>2737</v>
      </c>
      <c r="D109" s="318">
        <v>12013419</v>
      </c>
      <c r="E109" s="318" t="s">
        <v>2729</v>
      </c>
      <c r="F109" s="318" t="s">
        <v>1718</v>
      </c>
      <c r="G109" s="319">
        <v>8600</v>
      </c>
      <c r="H109" s="318" t="s">
        <v>1738</v>
      </c>
      <c r="I109" s="319">
        <v>18900</v>
      </c>
      <c r="K109" s="74"/>
      <c r="L109" s="74"/>
      <c r="M109" s="74"/>
      <c r="N109" s="124"/>
      <c r="O109" s="74"/>
      <c r="P109" s="124"/>
      <c r="R109" s="279"/>
      <c r="S109" s="124"/>
      <c r="T109" s="124"/>
    </row>
    <row r="110" spans="1:20" ht="12.75">
      <c r="A110" s="317">
        <v>89</v>
      </c>
      <c r="B110" s="318" t="s">
        <v>2543</v>
      </c>
      <c r="C110" s="318" t="s">
        <v>2636</v>
      </c>
      <c r="D110" s="318">
        <v>12013018</v>
      </c>
      <c r="E110" s="318" t="s">
        <v>2729</v>
      </c>
      <c r="F110" s="318" t="s">
        <v>1718</v>
      </c>
      <c r="G110" s="319">
        <v>8600</v>
      </c>
      <c r="H110" s="318" t="s">
        <v>1738</v>
      </c>
      <c r="I110" s="319">
        <v>18900</v>
      </c>
      <c r="K110" s="74"/>
      <c r="L110" s="74"/>
      <c r="M110" s="74"/>
      <c r="N110" s="124"/>
      <c r="O110" s="74"/>
      <c r="P110" s="124"/>
      <c r="R110" s="279"/>
      <c r="S110" s="124"/>
      <c r="T110" s="124"/>
    </row>
    <row r="111" spans="1:20" ht="12.75">
      <c r="A111" s="317">
        <v>90</v>
      </c>
      <c r="B111" s="318" t="s">
        <v>2543</v>
      </c>
      <c r="C111" s="318" t="s">
        <v>2633</v>
      </c>
      <c r="D111" s="318">
        <v>12013017</v>
      </c>
      <c r="E111" s="318" t="s">
        <v>2729</v>
      </c>
      <c r="F111" s="318" t="s">
        <v>1718</v>
      </c>
      <c r="G111" s="319">
        <v>8600</v>
      </c>
      <c r="H111" s="318" t="s">
        <v>1738</v>
      </c>
      <c r="I111" s="319">
        <v>18900</v>
      </c>
      <c r="K111" s="74"/>
      <c r="L111" s="74"/>
      <c r="M111" s="74"/>
      <c r="N111" s="124"/>
      <c r="O111" s="74"/>
      <c r="P111" s="124"/>
      <c r="R111" s="279"/>
      <c r="S111" s="124"/>
      <c r="T111" s="124"/>
    </row>
    <row r="112" spans="1:20" ht="12.75">
      <c r="A112" s="317">
        <v>91</v>
      </c>
      <c r="B112" s="318" t="s">
        <v>2517</v>
      </c>
      <c r="C112" s="318" t="s">
        <v>2623</v>
      </c>
      <c r="D112" s="318">
        <v>12012770</v>
      </c>
      <c r="E112" s="318" t="s">
        <v>2729</v>
      </c>
      <c r="F112" s="318" t="s">
        <v>1723</v>
      </c>
      <c r="G112" s="319">
        <v>9700</v>
      </c>
      <c r="H112" s="318" t="s">
        <v>1746</v>
      </c>
      <c r="I112" s="319">
        <v>36960</v>
      </c>
      <c r="K112" s="74"/>
      <c r="L112" s="74"/>
      <c r="M112" s="74"/>
      <c r="N112" s="124"/>
      <c r="O112" s="74"/>
      <c r="P112" s="124"/>
      <c r="R112" s="279"/>
      <c r="S112" s="124"/>
      <c r="T112" s="124"/>
    </row>
    <row r="113" spans="1:20" ht="12.75">
      <c r="A113" s="317">
        <v>92</v>
      </c>
      <c r="B113" s="318" t="s">
        <v>2517</v>
      </c>
      <c r="C113" s="318" t="s">
        <v>2646</v>
      </c>
      <c r="D113" s="318">
        <v>12013200</v>
      </c>
      <c r="E113" s="318" t="s">
        <v>2729</v>
      </c>
      <c r="F113" s="318" t="s">
        <v>1723</v>
      </c>
      <c r="G113" s="319">
        <v>9700</v>
      </c>
      <c r="H113" s="318" t="s">
        <v>1746</v>
      </c>
      <c r="I113" s="319">
        <v>36960</v>
      </c>
      <c r="K113" s="74"/>
      <c r="L113" s="74"/>
      <c r="M113" s="74"/>
      <c r="N113" s="124"/>
      <c r="O113" s="74"/>
      <c r="P113" s="124"/>
      <c r="R113" s="279"/>
      <c r="S113" s="124"/>
      <c r="T113" s="124"/>
    </row>
    <row r="114" spans="1:20" ht="12.75">
      <c r="A114" s="317">
        <v>93</v>
      </c>
      <c r="B114" s="318" t="s">
        <v>2517</v>
      </c>
      <c r="C114" s="318" t="s">
        <v>2649</v>
      </c>
      <c r="D114" s="318">
        <v>12013201</v>
      </c>
      <c r="E114" s="318" t="s">
        <v>2729</v>
      </c>
      <c r="F114" s="318" t="s">
        <v>1723</v>
      </c>
      <c r="G114" s="319">
        <v>9700</v>
      </c>
      <c r="H114" s="318" t="s">
        <v>1746</v>
      </c>
      <c r="I114" s="319">
        <v>36960</v>
      </c>
      <c r="K114" s="74"/>
      <c r="L114" s="74"/>
      <c r="M114" s="74"/>
      <c r="N114" s="124"/>
      <c r="O114" s="74"/>
      <c r="P114" s="124"/>
      <c r="R114" s="279"/>
      <c r="S114" s="124"/>
      <c r="T114" s="124"/>
    </row>
    <row r="115" spans="1:20" ht="12.75">
      <c r="A115" s="317">
        <v>94</v>
      </c>
      <c r="B115" s="318" t="s">
        <v>2517</v>
      </c>
      <c r="C115" s="318" t="s">
        <v>2644</v>
      </c>
      <c r="D115" s="318">
        <v>12013197</v>
      </c>
      <c r="E115" s="318" t="s">
        <v>2729</v>
      </c>
      <c r="F115" s="318" t="s">
        <v>1723</v>
      </c>
      <c r="G115" s="319">
        <v>9700</v>
      </c>
      <c r="H115" s="318" t="s">
        <v>1746</v>
      </c>
      <c r="I115" s="319">
        <v>36960</v>
      </c>
      <c r="K115" s="74"/>
      <c r="L115" s="74"/>
      <c r="M115" s="74"/>
      <c r="N115" s="124"/>
      <c r="O115" s="74"/>
      <c r="P115" s="124"/>
      <c r="R115" s="279"/>
      <c r="S115" s="124"/>
      <c r="T115" s="124"/>
    </row>
    <row r="116" spans="1:20" ht="12.75">
      <c r="A116" s="317">
        <v>95</v>
      </c>
      <c r="B116" s="318" t="s">
        <v>2517</v>
      </c>
      <c r="C116" s="318" t="s">
        <v>2643</v>
      </c>
      <c r="D116" s="318">
        <v>12013196</v>
      </c>
      <c r="E116" s="318" t="s">
        <v>2729</v>
      </c>
      <c r="F116" s="318" t="s">
        <v>1723</v>
      </c>
      <c r="G116" s="319">
        <v>9700</v>
      </c>
      <c r="H116" s="318" t="s">
        <v>1746</v>
      </c>
      <c r="I116" s="319">
        <v>36960</v>
      </c>
      <c r="K116" s="74"/>
      <c r="L116" s="74"/>
      <c r="M116" s="74"/>
      <c r="N116" s="124"/>
      <c r="O116" s="74"/>
      <c r="P116" s="124"/>
      <c r="R116" s="279"/>
      <c r="S116" s="124"/>
      <c r="T116" s="124"/>
    </row>
    <row r="117" spans="1:20" ht="12.75">
      <c r="A117" s="317">
        <v>96</v>
      </c>
      <c r="B117" s="318" t="s">
        <v>2517</v>
      </c>
      <c r="C117" s="318" t="s">
        <v>2738</v>
      </c>
      <c r="D117" s="318">
        <v>12013491</v>
      </c>
      <c r="E117" s="318" t="s">
        <v>2729</v>
      </c>
      <c r="F117" s="318" t="s">
        <v>1723</v>
      </c>
      <c r="G117" s="319">
        <v>9700</v>
      </c>
      <c r="H117" s="318" t="s">
        <v>1746</v>
      </c>
      <c r="I117" s="319">
        <v>36960</v>
      </c>
      <c r="K117" s="74"/>
      <c r="L117" s="74"/>
      <c r="M117" s="74"/>
      <c r="N117" s="124"/>
      <c r="O117" s="74"/>
      <c r="P117" s="124"/>
      <c r="R117" s="279"/>
      <c r="S117" s="124"/>
      <c r="T117" s="124"/>
    </row>
    <row r="118" spans="1:20" ht="12.75">
      <c r="A118" s="317">
        <v>97</v>
      </c>
      <c r="B118" s="318" t="s">
        <v>2517</v>
      </c>
      <c r="C118" s="318" t="s">
        <v>2739</v>
      </c>
      <c r="D118" s="318">
        <v>12012830</v>
      </c>
      <c r="E118" s="318" t="s">
        <v>2729</v>
      </c>
      <c r="F118" s="318" t="s">
        <v>1723</v>
      </c>
      <c r="G118" s="319">
        <v>9700</v>
      </c>
      <c r="H118" s="318" t="s">
        <v>1746</v>
      </c>
      <c r="I118" s="319">
        <v>36960</v>
      </c>
      <c r="K118" s="74"/>
      <c r="L118" s="74"/>
      <c r="M118" s="74"/>
      <c r="N118" s="124"/>
      <c r="O118" s="74"/>
      <c r="P118" s="124"/>
      <c r="R118" s="279"/>
      <c r="S118" s="124"/>
      <c r="T118" s="124"/>
    </row>
    <row r="119" spans="1:20" ht="12.75">
      <c r="A119" s="317">
        <v>98</v>
      </c>
      <c r="B119" s="318" t="s">
        <v>2565</v>
      </c>
      <c r="C119" s="318" t="s">
        <v>2740</v>
      </c>
      <c r="D119" s="318">
        <v>12013490</v>
      </c>
      <c r="E119" s="318" t="s">
        <v>2729</v>
      </c>
      <c r="F119" s="318" t="s">
        <v>1754</v>
      </c>
      <c r="G119" s="319">
        <v>3585</v>
      </c>
      <c r="H119" s="318" t="s">
        <v>453</v>
      </c>
      <c r="I119" s="318" t="s">
        <v>453</v>
      </c>
      <c r="K119" s="74"/>
      <c r="L119" s="74"/>
      <c r="M119" s="74"/>
      <c r="N119" s="124"/>
      <c r="O119" s="74"/>
      <c r="P119" s="124"/>
      <c r="R119" s="279"/>
      <c r="S119" s="124"/>
      <c r="T119" s="124"/>
    </row>
    <row r="120" spans="1:20" ht="12.75">
      <c r="A120" s="317"/>
      <c r="B120" s="318"/>
      <c r="C120" s="318"/>
      <c r="D120" s="318"/>
      <c r="E120" s="318"/>
      <c r="F120" s="318" t="s">
        <v>2570</v>
      </c>
      <c r="G120" s="319">
        <v>5130</v>
      </c>
      <c r="H120" s="318" t="s">
        <v>453</v>
      </c>
      <c r="I120" s="318" t="s">
        <v>453</v>
      </c>
      <c r="K120" s="74"/>
      <c r="L120" s="74"/>
      <c r="M120" s="74"/>
      <c r="N120" s="124"/>
      <c r="O120" s="74"/>
      <c r="P120" s="124"/>
      <c r="R120" s="279"/>
      <c r="S120" s="124"/>
      <c r="T120" s="124"/>
    </row>
    <row r="121" spans="1:20" ht="12.75">
      <c r="A121" s="317"/>
      <c r="B121" s="318"/>
      <c r="C121" s="318"/>
      <c r="D121" s="318"/>
      <c r="E121" s="318"/>
      <c r="F121" s="318" t="s">
        <v>2572</v>
      </c>
      <c r="G121" s="319">
        <v>5130</v>
      </c>
      <c r="H121" s="318" t="s">
        <v>453</v>
      </c>
      <c r="I121" s="318" t="s">
        <v>453</v>
      </c>
      <c r="K121" s="74"/>
      <c r="L121" s="74"/>
      <c r="M121" s="74"/>
      <c r="N121" s="124"/>
      <c r="O121" s="74"/>
      <c r="P121" s="124"/>
      <c r="R121" s="279"/>
      <c r="S121" s="124"/>
      <c r="T121" s="124"/>
    </row>
    <row r="122" spans="1:20" ht="12.75">
      <c r="A122" s="317"/>
      <c r="B122" s="318"/>
      <c r="C122" s="318"/>
      <c r="D122" s="318"/>
      <c r="E122" s="318"/>
      <c r="F122" s="318" t="s">
        <v>2575</v>
      </c>
      <c r="G122" s="319">
        <v>5130</v>
      </c>
      <c r="H122" s="318" t="s">
        <v>453</v>
      </c>
      <c r="I122" s="318" t="s">
        <v>453</v>
      </c>
      <c r="K122" s="74"/>
      <c r="L122" s="74"/>
      <c r="M122" s="74"/>
      <c r="N122" s="124"/>
      <c r="O122" s="74"/>
      <c r="P122" s="124"/>
      <c r="R122" s="279"/>
      <c r="S122" s="124"/>
      <c r="T122" s="124"/>
    </row>
    <row r="123" spans="1:20" ht="12.75">
      <c r="A123" s="317">
        <v>99</v>
      </c>
      <c r="B123" s="318" t="s">
        <v>2565</v>
      </c>
      <c r="C123" s="318" t="s">
        <v>2741</v>
      </c>
      <c r="D123" s="318">
        <v>12013559</v>
      </c>
      <c r="E123" s="318" t="s">
        <v>2729</v>
      </c>
      <c r="F123" s="318" t="s">
        <v>1754</v>
      </c>
      <c r="G123" s="319">
        <v>3585</v>
      </c>
      <c r="H123" s="318" t="s">
        <v>453</v>
      </c>
      <c r="I123" s="318" t="s">
        <v>453</v>
      </c>
      <c r="K123" s="74"/>
      <c r="L123" s="74"/>
      <c r="M123" s="74"/>
      <c r="N123" s="124"/>
      <c r="O123" s="74"/>
      <c r="P123" s="124"/>
      <c r="R123" s="279"/>
      <c r="S123" s="124"/>
      <c r="T123" s="124"/>
    </row>
    <row r="124" spans="1:20" ht="12.75">
      <c r="A124" s="317"/>
      <c r="B124" s="318"/>
      <c r="C124" s="318"/>
      <c r="D124" s="318"/>
      <c r="E124" s="318"/>
      <c r="F124" s="318" t="s">
        <v>2570</v>
      </c>
      <c r="G124" s="319">
        <v>5130</v>
      </c>
      <c r="H124" s="318" t="s">
        <v>453</v>
      </c>
      <c r="I124" s="318" t="s">
        <v>453</v>
      </c>
      <c r="K124" s="74"/>
      <c r="L124" s="74"/>
      <c r="M124" s="74"/>
      <c r="N124" s="124"/>
      <c r="O124" s="74"/>
      <c r="P124" s="124"/>
      <c r="R124" s="279"/>
      <c r="S124" s="124"/>
      <c r="T124" s="124"/>
    </row>
    <row r="125" spans="1:20" ht="12.75">
      <c r="A125" s="317"/>
      <c r="B125" s="318"/>
      <c r="C125" s="318"/>
      <c r="D125" s="318"/>
      <c r="E125" s="318"/>
      <c r="F125" s="318" t="s">
        <v>2572</v>
      </c>
      <c r="G125" s="319">
        <v>5130</v>
      </c>
      <c r="H125" s="318" t="s">
        <v>453</v>
      </c>
      <c r="I125" s="318" t="s">
        <v>453</v>
      </c>
      <c r="K125" s="74"/>
      <c r="L125" s="74"/>
      <c r="M125" s="74"/>
      <c r="N125" s="124"/>
      <c r="O125" s="74"/>
      <c r="P125" s="124"/>
      <c r="R125" s="279"/>
      <c r="S125" s="124"/>
      <c r="T125" s="124"/>
    </row>
    <row r="126" spans="1:20" ht="12.75">
      <c r="A126" s="317"/>
      <c r="B126" s="318"/>
      <c r="C126" s="318"/>
      <c r="D126" s="318"/>
      <c r="E126" s="318"/>
      <c r="F126" s="318" t="s">
        <v>2575</v>
      </c>
      <c r="G126" s="319">
        <v>5130</v>
      </c>
      <c r="H126" s="318" t="s">
        <v>453</v>
      </c>
      <c r="I126" s="318" t="s">
        <v>453</v>
      </c>
      <c r="K126" s="74"/>
      <c r="L126" s="74"/>
      <c r="M126" s="74"/>
      <c r="N126" s="124"/>
      <c r="O126" s="74"/>
      <c r="P126" s="124"/>
      <c r="R126" s="279"/>
      <c r="S126" s="124"/>
      <c r="T126" s="124"/>
    </row>
    <row r="127" spans="1:20" ht="12.75">
      <c r="A127" s="317">
        <v>100</v>
      </c>
      <c r="B127" s="318" t="s">
        <v>2565</v>
      </c>
      <c r="C127" s="318" t="s">
        <v>2742</v>
      </c>
      <c r="D127" s="318">
        <v>12013557</v>
      </c>
      <c r="E127" s="318" t="s">
        <v>2729</v>
      </c>
      <c r="F127" s="318" t="s">
        <v>1754</v>
      </c>
      <c r="G127" s="319">
        <v>3585</v>
      </c>
      <c r="H127" s="318" t="s">
        <v>453</v>
      </c>
      <c r="I127" s="318" t="s">
        <v>453</v>
      </c>
      <c r="K127" s="74"/>
      <c r="L127" s="74"/>
      <c r="M127" s="74"/>
      <c r="N127" s="124"/>
      <c r="O127" s="74"/>
      <c r="P127" s="124"/>
      <c r="R127" s="279"/>
      <c r="S127" s="124"/>
      <c r="T127" s="124"/>
    </row>
    <row r="128" spans="1:20" ht="12.75">
      <c r="A128" s="317"/>
      <c r="B128" s="318"/>
      <c r="C128" s="318"/>
      <c r="D128" s="318"/>
      <c r="E128" s="318"/>
      <c r="F128" s="318" t="s">
        <v>2570</v>
      </c>
      <c r="G128" s="319">
        <v>5130</v>
      </c>
      <c r="H128" s="318" t="s">
        <v>453</v>
      </c>
      <c r="I128" s="318" t="s">
        <v>453</v>
      </c>
      <c r="K128" s="74"/>
      <c r="L128" s="74"/>
      <c r="M128" s="74"/>
      <c r="N128" s="124"/>
      <c r="O128" s="74"/>
      <c r="P128" s="124"/>
      <c r="R128" s="279"/>
      <c r="S128" s="124"/>
      <c r="T128" s="124"/>
    </row>
    <row r="129" spans="1:20" ht="12.75">
      <c r="A129" s="317"/>
      <c r="B129" s="318"/>
      <c r="C129" s="318"/>
      <c r="D129" s="318"/>
      <c r="E129" s="318"/>
      <c r="F129" s="318" t="s">
        <v>2572</v>
      </c>
      <c r="G129" s="319">
        <v>5130</v>
      </c>
      <c r="H129" s="318" t="s">
        <v>453</v>
      </c>
      <c r="I129" s="318" t="s">
        <v>453</v>
      </c>
      <c r="K129" s="74"/>
      <c r="L129" s="74"/>
      <c r="M129" s="74"/>
      <c r="N129" s="124"/>
      <c r="O129" s="74"/>
      <c r="P129" s="124"/>
      <c r="R129" s="279"/>
      <c r="S129" s="124"/>
      <c r="T129" s="124"/>
    </row>
    <row r="130" spans="1:20" ht="12.75">
      <c r="A130" s="317"/>
      <c r="B130" s="318"/>
      <c r="C130" s="318"/>
      <c r="D130" s="318"/>
      <c r="E130" s="318"/>
      <c r="F130" s="318" t="s">
        <v>2575</v>
      </c>
      <c r="G130" s="319">
        <v>5130</v>
      </c>
      <c r="H130" s="318" t="s">
        <v>453</v>
      </c>
      <c r="I130" s="318" t="s">
        <v>453</v>
      </c>
      <c r="K130" s="74"/>
      <c r="L130" s="74"/>
      <c r="M130" s="74"/>
      <c r="N130" s="124"/>
      <c r="O130" s="74"/>
      <c r="P130" s="124"/>
      <c r="R130" s="279"/>
      <c r="S130" s="124"/>
      <c r="T130" s="124"/>
    </row>
    <row r="131" spans="1:20" ht="12.75">
      <c r="A131" s="317">
        <v>101</v>
      </c>
      <c r="B131" s="318" t="s">
        <v>2565</v>
      </c>
      <c r="C131" s="318" t="s">
        <v>2743</v>
      </c>
      <c r="D131" s="318">
        <v>12013556</v>
      </c>
      <c r="E131" s="318" t="s">
        <v>2729</v>
      </c>
      <c r="F131" s="318" t="s">
        <v>1754</v>
      </c>
      <c r="G131" s="319">
        <v>3585</v>
      </c>
      <c r="H131" s="318" t="s">
        <v>453</v>
      </c>
      <c r="I131" s="318" t="s">
        <v>453</v>
      </c>
      <c r="K131" s="74"/>
      <c r="L131" s="74"/>
      <c r="M131" s="74"/>
      <c r="N131" s="124"/>
      <c r="O131" s="74"/>
      <c r="P131" s="124"/>
      <c r="R131" s="279"/>
      <c r="S131" s="124"/>
      <c r="T131" s="124"/>
    </row>
    <row r="132" spans="1:20" ht="12.75">
      <c r="A132" s="317"/>
      <c r="B132" s="318"/>
      <c r="C132" s="318"/>
      <c r="D132" s="318"/>
      <c r="E132" s="318"/>
      <c r="F132" s="318" t="s">
        <v>2570</v>
      </c>
      <c r="G132" s="319">
        <v>5130</v>
      </c>
      <c r="H132" s="318" t="s">
        <v>453</v>
      </c>
      <c r="I132" s="318" t="s">
        <v>453</v>
      </c>
      <c r="K132" s="74"/>
      <c r="L132" s="74"/>
      <c r="M132" s="74"/>
      <c r="N132" s="124"/>
      <c r="O132" s="74"/>
      <c r="P132" s="124"/>
      <c r="R132" s="279"/>
      <c r="S132" s="124"/>
      <c r="T132" s="124"/>
    </row>
    <row r="133" spans="1:20" ht="12.75">
      <c r="A133" s="317"/>
      <c r="B133" s="318"/>
      <c r="C133" s="318"/>
      <c r="D133" s="318"/>
      <c r="E133" s="318"/>
      <c r="F133" s="318" t="s">
        <v>2572</v>
      </c>
      <c r="G133" s="319">
        <v>5130</v>
      </c>
      <c r="H133" s="318" t="s">
        <v>453</v>
      </c>
      <c r="I133" s="318" t="s">
        <v>453</v>
      </c>
      <c r="K133" s="74"/>
      <c r="L133" s="74"/>
      <c r="M133" s="74"/>
      <c r="N133" s="124"/>
      <c r="O133" s="74"/>
      <c r="P133" s="124"/>
      <c r="R133" s="279"/>
      <c r="S133" s="124"/>
      <c r="T133" s="124"/>
    </row>
    <row r="134" spans="1:20" ht="12.75">
      <c r="A134" s="317"/>
      <c r="B134" s="318"/>
      <c r="C134" s="318"/>
      <c r="D134" s="318"/>
      <c r="E134" s="318"/>
      <c r="F134" s="318" t="s">
        <v>2575</v>
      </c>
      <c r="G134" s="319">
        <v>5130</v>
      </c>
      <c r="H134" s="318" t="s">
        <v>453</v>
      </c>
      <c r="I134" s="318" t="s">
        <v>453</v>
      </c>
      <c r="K134" s="74"/>
      <c r="L134" s="74"/>
      <c r="M134" s="74"/>
      <c r="N134" s="124"/>
      <c r="O134" s="74"/>
      <c r="P134" s="124"/>
      <c r="R134" s="279"/>
      <c r="S134" s="124"/>
      <c r="T134" s="124"/>
    </row>
    <row r="135" spans="1:20" ht="12.75">
      <c r="A135" s="317">
        <v>102</v>
      </c>
      <c r="B135" s="318" t="s">
        <v>2565</v>
      </c>
      <c r="C135" s="318" t="s">
        <v>2744</v>
      </c>
      <c r="D135" s="318">
        <v>12013553</v>
      </c>
      <c r="E135" s="318" t="s">
        <v>2729</v>
      </c>
      <c r="F135" s="318" t="s">
        <v>1754</v>
      </c>
      <c r="G135" s="319">
        <v>3585</v>
      </c>
      <c r="H135" s="318" t="s">
        <v>453</v>
      </c>
      <c r="I135" s="318" t="s">
        <v>453</v>
      </c>
      <c r="K135" s="74"/>
      <c r="L135" s="74"/>
      <c r="M135" s="74"/>
      <c r="N135" s="124"/>
      <c r="O135" s="74"/>
      <c r="P135" s="124"/>
      <c r="R135" s="279"/>
      <c r="S135" s="124"/>
      <c r="T135" s="124"/>
    </row>
    <row r="136" spans="1:20" ht="12.75">
      <c r="A136" s="317"/>
      <c r="B136" s="318"/>
      <c r="C136" s="318"/>
      <c r="D136" s="318"/>
      <c r="E136" s="318"/>
      <c r="F136" s="318" t="s">
        <v>2570</v>
      </c>
      <c r="G136" s="319">
        <v>5130</v>
      </c>
      <c r="H136" s="318" t="s">
        <v>453</v>
      </c>
      <c r="I136" s="318" t="s">
        <v>453</v>
      </c>
      <c r="K136" s="74"/>
      <c r="L136" s="74"/>
      <c r="M136" s="74"/>
      <c r="N136" s="124"/>
      <c r="O136" s="74"/>
      <c r="P136" s="124"/>
      <c r="R136" s="279"/>
      <c r="S136" s="124"/>
      <c r="T136" s="124"/>
    </row>
    <row r="137" spans="1:20" ht="12.75">
      <c r="A137" s="317"/>
      <c r="B137" s="318"/>
      <c r="C137" s="318"/>
      <c r="D137" s="318"/>
      <c r="E137" s="318"/>
      <c r="F137" s="318" t="s">
        <v>2572</v>
      </c>
      <c r="G137" s="319">
        <v>5130</v>
      </c>
      <c r="H137" s="318" t="s">
        <v>453</v>
      </c>
      <c r="I137" s="318" t="s">
        <v>453</v>
      </c>
      <c r="K137" s="74"/>
      <c r="L137" s="74"/>
      <c r="M137" s="74"/>
      <c r="N137" s="124"/>
      <c r="O137" s="74"/>
      <c r="P137" s="124"/>
      <c r="R137" s="279"/>
      <c r="S137" s="124"/>
      <c r="T137" s="124"/>
    </row>
    <row r="138" spans="1:20" ht="12.75">
      <c r="A138" s="317"/>
      <c r="B138" s="318"/>
      <c r="C138" s="318"/>
      <c r="D138" s="318"/>
      <c r="E138" s="318"/>
      <c r="F138" s="318" t="s">
        <v>2575</v>
      </c>
      <c r="G138" s="319">
        <v>5130</v>
      </c>
      <c r="H138" s="318" t="s">
        <v>453</v>
      </c>
      <c r="I138" s="318" t="s">
        <v>453</v>
      </c>
      <c r="K138" s="74"/>
      <c r="L138" s="74"/>
      <c r="M138" s="74"/>
      <c r="N138" s="124"/>
      <c r="O138" s="74"/>
      <c r="P138" s="124"/>
      <c r="R138" s="279"/>
      <c r="S138" s="124"/>
      <c r="T138" s="124"/>
    </row>
    <row r="139" spans="1:20" ht="12.75">
      <c r="A139" s="317">
        <v>103</v>
      </c>
      <c r="B139" s="318" t="s">
        <v>2565</v>
      </c>
      <c r="C139" s="318" t="s">
        <v>2745</v>
      </c>
      <c r="D139" s="318">
        <v>12013551</v>
      </c>
      <c r="E139" s="318" t="s">
        <v>2729</v>
      </c>
      <c r="F139" s="318" t="s">
        <v>1754</v>
      </c>
      <c r="G139" s="319">
        <v>3585</v>
      </c>
      <c r="H139" s="318" t="s">
        <v>453</v>
      </c>
      <c r="I139" s="318" t="s">
        <v>453</v>
      </c>
      <c r="K139" s="74"/>
      <c r="L139" s="74"/>
      <c r="M139" s="74"/>
      <c r="N139" s="124"/>
      <c r="O139" s="74"/>
      <c r="P139" s="124"/>
      <c r="R139" s="279"/>
      <c r="S139" s="124"/>
      <c r="T139" s="124"/>
    </row>
    <row r="140" spans="1:20" ht="12.75">
      <c r="A140" s="317"/>
      <c r="B140" s="318"/>
      <c r="C140" s="318"/>
      <c r="D140" s="318"/>
      <c r="E140" s="318"/>
      <c r="F140" s="318" t="s">
        <v>2570</v>
      </c>
      <c r="G140" s="319">
        <v>5130</v>
      </c>
      <c r="H140" s="318" t="s">
        <v>453</v>
      </c>
      <c r="I140" s="318" t="s">
        <v>453</v>
      </c>
      <c r="K140" s="74"/>
      <c r="L140" s="74"/>
      <c r="M140" s="74"/>
      <c r="N140" s="124"/>
      <c r="O140" s="74"/>
      <c r="P140" s="124"/>
      <c r="R140" s="279"/>
      <c r="S140" s="124"/>
      <c r="T140" s="124"/>
    </row>
    <row r="141" spans="1:20" ht="12.75">
      <c r="A141" s="317"/>
      <c r="B141" s="318"/>
      <c r="C141" s="318"/>
      <c r="D141" s="318"/>
      <c r="E141" s="318"/>
      <c r="F141" s="318" t="s">
        <v>2572</v>
      </c>
      <c r="G141" s="319">
        <v>5130</v>
      </c>
      <c r="H141" s="318" t="s">
        <v>453</v>
      </c>
      <c r="I141" s="318" t="s">
        <v>453</v>
      </c>
      <c r="K141" s="74"/>
      <c r="L141" s="74"/>
      <c r="M141" s="74"/>
      <c r="N141" s="124"/>
      <c r="O141" s="74"/>
      <c r="P141" s="124"/>
      <c r="R141" s="279"/>
      <c r="S141" s="124"/>
      <c r="T141" s="124"/>
    </row>
    <row r="142" spans="1:20" ht="12.75">
      <c r="A142" s="317"/>
      <c r="B142" s="318"/>
      <c r="C142" s="318"/>
      <c r="D142" s="318"/>
      <c r="E142" s="318"/>
      <c r="F142" s="318" t="s">
        <v>2575</v>
      </c>
      <c r="G142" s="319">
        <v>5130</v>
      </c>
      <c r="H142" s="318" t="s">
        <v>453</v>
      </c>
      <c r="I142" s="318" t="s">
        <v>453</v>
      </c>
      <c r="K142" s="74"/>
      <c r="L142" s="74"/>
      <c r="M142" s="74"/>
      <c r="N142" s="124"/>
      <c r="O142" s="74"/>
      <c r="P142" s="124"/>
      <c r="R142" s="279"/>
      <c r="S142" s="124"/>
      <c r="T142" s="124"/>
    </row>
    <row r="143" spans="1:20" ht="12.75">
      <c r="A143" s="317">
        <v>104</v>
      </c>
      <c r="B143" s="318" t="s">
        <v>2523</v>
      </c>
      <c r="C143" s="318" t="s">
        <v>2746</v>
      </c>
      <c r="D143" s="318">
        <v>12013501</v>
      </c>
      <c r="E143" s="318" t="s">
        <v>2729</v>
      </c>
      <c r="F143" s="318" t="s">
        <v>1713</v>
      </c>
      <c r="G143" s="319">
        <v>6825</v>
      </c>
      <c r="H143" s="318" t="s">
        <v>1730</v>
      </c>
      <c r="I143" s="319">
        <v>10780</v>
      </c>
      <c r="K143" s="74"/>
      <c r="L143" s="74"/>
      <c r="M143" s="74"/>
      <c r="N143" s="124"/>
      <c r="O143" s="74"/>
      <c r="P143" s="124"/>
      <c r="R143" s="279"/>
      <c r="S143" s="124"/>
      <c r="T143" s="124"/>
    </row>
    <row r="144" spans="1:20" ht="12.75">
      <c r="A144" s="317">
        <v>105</v>
      </c>
      <c r="B144" s="318" t="s">
        <v>2523</v>
      </c>
      <c r="C144" s="318" t="s">
        <v>2747</v>
      </c>
      <c r="D144" s="318">
        <v>12013502</v>
      </c>
      <c r="E144" s="318" t="s">
        <v>2729</v>
      </c>
      <c r="F144" s="318" t="s">
        <v>1713</v>
      </c>
      <c r="G144" s="319">
        <v>6825</v>
      </c>
      <c r="H144" s="318" t="s">
        <v>1730</v>
      </c>
      <c r="I144" s="319">
        <v>10780</v>
      </c>
      <c r="K144" s="74"/>
      <c r="L144" s="74"/>
      <c r="M144" s="74"/>
      <c r="N144" s="124"/>
      <c r="O144" s="74"/>
      <c r="P144" s="124"/>
      <c r="R144" s="279"/>
      <c r="S144" s="124"/>
      <c r="T144" s="124"/>
    </row>
    <row r="145" spans="1:20" ht="12.75">
      <c r="A145" s="317">
        <v>106</v>
      </c>
      <c r="B145" s="318" t="s">
        <v>2523</v>
      </c>
      <c r="C145" s="318" t="s">
        <v>2748</v>
      </c>
      <c r="D145" s="318">
        <v>12013507</v>
      </c>
      <c r="E145" s="318" t="s">
        <v>2729</v>
      </c>
      <c r="F145" s="318" t="s">
        <v>1713</v>
      </c>
      <c r="G145" s="319">
        <v>6825</v>
      </c>
      <c r="H145" s="318" t="s">
        <v>1730</v>
      </c>
      <c r="I145" s="319">
        <v>10780</v>
      </c>
      <c r="K145" s="74"/>
      <c r="L145" s="74"/>
      <c r="M145" s="74"/>
      <c r="N145" s="124"/>
      <c r="O145" s="74"/>
      <c r="P145" s="124"/>
      <c r="R145" s="279"/>
      <c r="S145" s="124"/>
      <c r="T145" s="124"/>
    </row>
    <row r="146" spans="1:20" ht="12.75">
      <c r="A146" s="317">
        <v>107</v>
      </c>
      <c r="B146" s="318" t="s">
        <v>2523</v>
      </c>
      <c r="C146" s="318" t="s">
        <v>2749</v>
      </c>
      <c r="D146" s="318">
        <v>12013546</v>
      </c>
      <c r="E146" s="318" t="s">
        <v>2729</v>
      </c>
      <c r="F146" s="318" t="s">
        <v>1713</v>
      </c>
      <c r="G146" s="319">
        <v>6825</v>
      </c>
      <c r="H146" s="318" t="s">
        <v>1730</v>
      </c>
      <c r="I146" s="319">
        <v>10780</v>
      </c>
      <c r="K146" s="74"/>
      <c r="L146" s="74"/>
      <c r="M146" s="74"/>
      <c r="N146" s="124"/>
      <c r="O146" s="74"/>
      <c r="P146" s="124"/>
      <c r="R146" s="279"/>
      <c r="S146" s="124"/>
      <c r="T146" s="124"/>
    </row>
    <row r="147" spans="1:20" ht="12.75">
      <c r="A147" s="317">
        <v>108</v>
      </c>
      <c r="B147" s="318" t="s">
        <v>2523</v>
      </c>
      <c r="C147" s="318" t="s">
        <v>2750</v>
      </c>
      <c r="D147" s="318">
        <v>12013544</v>
      </c>
      <c r="E147" s="318" t="s">
        <v>2729</v>
      </c>
      <c r="F147" s="318" t="s">
        <v>1713</v>
      </c>
      <c r="G147" s="319">
        <v>6825</v>
      </c>
      <c r="H147" s="318" t="s">
        <v>1730</v>
      </c>
      <c r="I147" s="319">
        <v>10780</v>
      </c>
      <c r="K147" s="74"/>
      <c r="L147" s="74"/>
      <c r="M147" s="74"/>
      <c r="N147" s="124"/>
      <c r="O147" s="74"/>
      <c r="P147" s="124"/>
      <c r="R147" s="279"/>
      <c r="S147" s="124"/>
      <c r="T147" s="124"/>
    </row>
    <row r="148" spans="1:20" ht="12.75">
      <c r="A148" s="317">
        <v>109</v>
      </c>
      <c r="B148" s="318" t="s">
        <v>2523</v>
      </c>
      <c r="C148" s="318" t="s">
        <v>2751</v>
      </c>
      <c r="D148" s="318">
        <v>12013547</v>
      </c>
      <c r="E148" s="318" t="s">
        <v>2729</v>
      </c>
      <c r="F148" s="318" t="s">
        <v>1713</v>
      </c>
      <c r="G148" s="319">
        <v>6825</v>
      </c>
      <c r="H148" s="318" t="s">
        <v>1730</v>
      </c>
      <c r="I148" s="319">
        <v>10780</v>
      </c>
      <c r="K148" s="74"/>
      <c r="L148" s="74"/>
      <c r="M148" s="74"/>
      <c r="N148" s="124"/>
      <c r="O148" s="74"/>
      <c r="P148" s="124"/>
      <c r="R148" s="279"/>
      <c r="S148" s="124"/>
      <c r="T148" s="124"/>
    </row>
    <row r="149" spans="1:20" ht="12.75">
      <c r="A149" s="317">
        <v>110</v>
      </c>
      <c r="B149" s="318" t="s">
        <v>2523</v>
      </c>
      <c r="C149" s="318" t="s">
        <v>2752</v>
      </c>
      <c r="D149" s="318">
        <v>12013545</v>
      </c>
      <c r="E149" s="318" t="s">
        <v>2729</v>
      </c>
      <c r="F149" s="318" t="s">
        <v>1713</v>
      </c>
      <c r="G149" s="319">
        <v>6825</v>
      </c>
      <c r="H149" s="318" t="s">
        <v>1730</v>
      </c>
      <c r="I149" s="319">
        <v>10780</v>
      </c>
      <c r="K149" s="74"/>
      <c r="L149" s="74"/>
      <c r="M149" s="74"/>
      <c r="N149" s="124"/>
      <c r="O149" s="74"/>
      <c r="P149" s="124"/>
      <c r="R149" s="279"/>
      <c r="S149" s="124"/>
      <c r="T149" s="124"/>
    </row>
    <row r="150" spans="1:20" ht="12.75">
      <c r="A150" s="317">
        <v>111</v>
      </c>
      <c r="B150" s="318" t="s">
        <v>2753</v>
      </c>
      <c r="C150" s="318" t="s">
        <v>2615</v>
      </c>
      <c r="D150" s="318">
        <v>12012732</v>
      </c>
      <c r="E150" s="318" t="s">
        <v>2729</v>
      </c>
      <c r="F150" s="318" t="s">
        <v>1756</v>
      </c>
      <c r="G150" s="319">
        <v>10475</v>
      </c>
      <c r="H150" s="318" t="s">
        <v>1744</v>
      </c>
      <c r="I150" s="319">
        <v>38850</v>
      </c>
      <c r="K150" s="74"/>
      <c r="L150" s="74"/>
      <c r="M150" s="74"/>
      <c r="N150" s="124"/>
      <c r="O150" s="74"/>
      <c r="P150" s="124"/>
      <c r="R150" s="279"/>
      <c r="S150" s="124"/>
      <c r="T150" s="124"/>
    </row>
    <row r="151" spans="1:20" ht="12.75">
      <c r="A151" s="317"/>
      <c r="B151" s="318"/>
      <c r="C151" s="318"/>
      <c r="D151" s="318"/>
      <c r="E151" s="318"/>
      <c r="F151" s="318" t="s">
        <v>2754</v>
      </c>
      <c r="G151" s="319">
        <v>11025</v>
      </c>
      <c r="H151" s="318"/>
      <c r="I151" s="321"/>
      <c r="K151" s="74"/>
      <c r="L151" s="74"/>
      <c r="M151" s="74"/>
      <c r="N151" s="124"/>
      <c r="O151" s="74"/>
      <c r="P151" s="124"/>
      <c r="R151" s="279"/>
      <c r="S151" s="124"/>
      <c r="T151" s="124"/>
    </row>
    <row r="152" spans="1:20" ht="12.75">
      <c r="A152" s="317"/>
      <c r="B152" s="318"/>
      <c r="C152" s="318"/>
      <c r="D152" s="318"/>
      <c r="E152" s="318"/>
      <c r="F152" s="318" t="s">
        <v>2755</v>
      </c>
      <c r="G152" s="319">
        <v>11025</v>
      </c>
      <c r="H152" s="318"/>
      <c r="I152" s="321"/>
      <c r="K152" s="74"/>
      <c r="L152" s="74"/>
      <c r="M152" s="74"/>
      <c r="N152" s="124"/>
      <c r="O152" s="74"/>
      <c r="P152" s="124"/>
      <c r="R152" s="279"/>
      <c r="S152" s="124"/>
      <c r="T152" s="124"/>
    </row>
    <row r="153" spans="1:20" ht="12.75">
      <c r="A153" s="317"/>
      <c r="B153" s="318"/>
      <c r="C153" s="318"/>
      <c r="D153" s="318"/>
      <c r="E153" s="318"/>
      <c r="F153" s="318" t="s">
        <v>2756</v>
      </c>
      <c r="G153" s="319">
        <v>11025</v>
      </c>
      <c r="H153" s="318"/>
      <c r="I153" s="321"/>
      <c r="K153" s="74"/>
      <c r="L153" s="74"/>
      <c r="M153" s="74"/>
      <c r="N153" s="124"/>
      <c r="O153" s="74"/>
      <c r="P153" s="124"/>
      <c r="R153" s="279"/>
      <c r="S153" s="124"/>
      <c r="T153" s="124"/>
    </row>
    <row r="154" spans="1:20" ht="12.75">
      <c r="K154" s="74"/>
      <c r="L154" s="74"/>
      <c r="M154" s="74"/>
      <c r="N154" s="124"/>
      <c r="O154" s="74"/>
      <c r="P154" s="124"/>
      <c r="R154" s="279"/>
      <c r="S154" s="124"/>
      <c r="T154" s="124"/>
    </row>
    <row r="155" spans="1:20" ht="12.75">
      <c r="K155" s="74"/>
      <c r="L155" s="74"/>
      <c r="M155" s="74"/>
      <c r="N155" s="124"/>
      <c r="O155" s="74"/>
      <c r="P155" s="124"/>
      <c r="R155" s="279"/>
      <c r="S155" s="124"/>
      <c r="T155" s="124"/>
    </row>
    <row r="156" spans="1:20" ht="12.75">
      <c r="K156" s="74"/>
      <c r="L156" s="74"/>
      <c r="M156" s="74"/>
      <c r="N156" s="124"/>
      <c r="O156" s="74"/>
      <c r="P156" s="124"/>
      <c r="R156" s="279"/>
      <c r="S156" s="124"/>
      <c r="T156" s="124"/>
    </row>
    <row r="157" spans="1:20" ht="12.75">
      <c r="K157" s="74"/>
      <c r="L157" s="74"/>
      <c r="M157" s="74"/>
      <c r="N157" s="124"/>
      <c r="O157" s="74"/>
      <c r="P157" s="124"/>
      <c r="R157" s="279"/>
      <c r="S157" s="124"/>
      <c r="T157" s="124"/>
    </row>
    <row r="158" spans="1:20" ht="12.75">
      <c r="K158" s="74"/>
      <c r="L158" s="74"/>
      <c r="M158" s="74"/>
      <c r="N158" s="124"/>
      <c r="O158" s="74"/>
      <c r="P158" s="124"/>
      <c r="R158" s="279"/>
      <c r="S158" s="124"/>
      <c r="T158" s="124"/>
    </row>
    <row r="159" spans="1:20" ht="12.75">
      <c r="K159" s="74"/>
      <c r="L159" s="74"/>
      <c r="M159" s="74"/>
      <c r="N159" s="124"/>
      <c r="O159" s="74"/>
      <c r="P159" s="124"/>
      <c r="R159" s="279"/>
      <c r="S159" s="124"/>
      <c r="T159" s="124"/>
    </row>
    <row r="160" spans="1:20" ht="12.75">
      <c r="K160" s="74"/>
      <c r="L160" s="74"/>
      <c r="M160" s="74"/>
      <c r="N160" s="124"/>
      <c r="O160" s="74"/>
      <c r="P160" s="124"/>
      <c r="R160" s="279"/>
      <c r="S160" s="124"/>
      <c r="T160" s="124"/>
    </row>
    <row r="161" spans="11:20" ht="12.75">
      <c r="K161" s="74"/>
      <c r="L161" s="74"/>
      <c r="M161" s="74"/>
      <c r="N161" s="124"/>
      <c r="O161" s="74"/>
      <c r="P161" s="124"/>
      <c r="R161" s="279"/>
      <c r="S161" s="124"/>
      <c r="T161" s="124"/>
    </row>
    <row r="162" spans="11:20" ht="12.75">
      <c r="K162" s="74"/>
      <c r="L162" s="74"/>
      <c r="M162" s="74"/>
      <c r="N162" s="124"/>
      <c r="O162" s="74"/>
      <c r="P162" s="124"/>
      <c r="R162" s="279"/>
      <c r="S162" s="124"/>
      <c r="T162" s="124"/>
    </row>
    <row r="163" spans="11:20" ht="12.75">
      <c r="K163" s="74"/>
      <c r="L163" s="74"/>
      <c r="M163" s="74"/>
      <c r="N163" s="124"/>
      <c r="O163" s="74"/>
      <c r="P163" s="124"/>
      <c r="R163" s="279"/>
      <c r="S163" s="124"/>
      <c r="T163" s="124"/>
    </row>
    <row r="164" spans="11:20" ht="12.75">
      <c r="K164" s="74"/>
      <c r="L164" s="74"/>
      <c r="M164" s="74"/>
      <c r="N164" s="124"/>
      <c r="O164" s="74"/>
      <c r="P164" s="124"/>
      <c r="R164" s="279"/>
      <c r="S164" s="124"/>
      <c r="T164" s="124"/>
    </row>
    <row r="165" spans="11:20" ht="12.75">
      <c r="K165" s="74"/>
      <c r="L165" s="74"/>
      <c r="M165" s="74"/>
      <c r="N165" s="124"/>
      <c r="O165" s="74"/>
      <c r="P165" s="124"/>
      <c r="R165" s="279"/>
      <c r="S165" s="124"/>
      <c r="T165" s="124"/>
    </row>
    <row r="166" spans="11:20" ht="12.75">
      <c r="K166" s="74"/>
      <c r="L166" s="74"/>
      <c r="M166" s="74"/>
      <c r="N166" s="124"/>
      <c r="O166" s="74"/>
      <c r="P166" s="124"/>
      <c r="R166" s="279"/>
      <c r="S166" s="124"/>
      <c r="T166" s="124"/>
    </row>
    <row r="167" spans="11:20" ht="12.75">
      <c r="K167" s="74"/>
      <c r="L167" s="74"/>
      <c r="M167" s="74"/>
      <c r="N167" s="124"/>
      <c r="O167" s="74"/>
      <c r="P167" s="124"/>
      <c r="R167" s="279"/>
      <c r="S167" s="124"/>
      <c r="T167" s="124"/>
    </row>
    <row r="168" spans="11:20" ht="12.75">
      <c r="K168" s="74"/>
      <c r="L168" s="74"/>
      <c r="M168" s="74"/>
      <c r="N168" s="124"/>
      <c r="O168" s="74"/>
      <c r="P168" s="124"/>
      <c r="R168" s="279"/>
      <c r="S168" s="124"/>
      <c r="T168" s="124"/>
    </row>
    <row r="169" spans="11:20" ht="12.75">
      <c r="K169" s="74"/>
      <c r="L169" s="74"/>
      <c r="M169" s="74"/>
      <c r="N169" s="124"/>
      <c r="O169" s="74"/>
      <c r="P169" s="124"/>
      <c r="R169" s="279"/>
      <c r="S169" s="124"/>
      <c r="T169" s="124"/>
    </row>
    <row r="170" spans="11:20" ht="12.75">
      <c r="K170" s="74"/>
      <c r="L170" s="74"/>
      <c r="M170" s="74"/>
      <c r="N170" s="124"/>
      <c r="O170" s="74"/>
      <c r="P170" s="124"/>
      <c r="R170" s="279"/>
      <c r="S170" s="124"/>
      <c r="T170" s="124"/>
    </row>
    <row r="171" spans="11:20" ht="12.75">
      <c r="K171" s="74"/>
      <c r="L171" s="74"/>
      <c r="M171" s="74"/>
      <c r="N171" s="124"/>
      <c r="O171" s="74"/>
      <c r="P171" s="124"/>
      <c r="R171" s="279"/>
      <c r="S171" s="124"/>
      <c r="T171" s="124"/>
    </row>
    <row r="172" spans="11:20" ht="12.75">
      <c r="K172" s="74"/>
      <c r="L172" s="74"/>
      <c r="M172" s="74"/>
      <c r="N172" s="124"/>
      <c r="O172" s="74"/>
      <c r="P172" s="124"/>
      <c r="R172" s="279"/>
      <c r="S172" s="124"/>
      <c r="T172" s="124"/>
    </row>
    <row r="173" spans="11:20" ht="12.75">
      <c r="K173" s="74"/>
      <c r="L173" s="74"/>
      <c r="M173" s="74"/>
      <c r="N173" s="124"/>
      <c r="O173" s="74"/>
      <c r="P173" s="124"/>
      <c r="R173" s="279"/>
      <c r="S173" s="124"/>
      <c r="T173" s="124"/>
    </row>
    <row r="174" spans="11:20" ht="12.75">
      <c r="K174" s="74"/>
      <c r="L174" s="74"/>
      <c r="M174" s="74"/>
      <c r="N174" s="124"/>
      <c r="O174" s="74"/>
      <c r="P174" s="124"/>
      <c r="R174" s="279"/>
      <c r="S174" s="124"/>
      <c r="T174" s="124"/>
    </row>
    <row r="175" spans="11:20" ht="12.75">
      <c r="K175" s="74"/>
      <c r="L175" s="74"/>
      <c r="M175" s="74"/>
      <c r="N175" s="124"/>
      <c r="O175" s="74"/>
      <c r="P175" s="124"/>
      <c r="R175" s="279"/>
      <c r="S175" s="124"/>
      <c r="T175" s="124"/>
    </row>
    <row r="176" spans="11:20" ht="12.75">
      <c r="K176" s="74"/>
      <c r="L176" s="74"/>
      <c r="M176" s="74"/>
      <c r="N176" s="124"/>
      <c r="O176" s="74"/>
      <c r="P176" s="124"/>
      <c r="R176" s="279"/>
      <c r="S176" s="124"/>
      <c r="T176" s="124"/>
    </row>
    <row r="177" spans="11:20" ht="12.75">
      <c r="K177" s="74"/>
      <c r="L177" s="74"/>
      <c r="M177" s="74"/>
      <c r="N177" s="124"/>
      <c r="O177" s="74"/>
      <c r="P177" s="124"/>
      <c r="R177" s="279"/>
      <c r="S177" s="124"/>
      <c r="T177" s="124"/>
    </row>
    <row r="178" spans="11:20" ht="12.75">
      <c r="K178" s="74"/>
      <c r="L178" s="74"/>
      <c r="M178" s="74"/>
      <c r="N178" s="124"/>
      <c r="O178" s="74"/>
      <c r="P178" s="124"/>
      <c r="R178" s="279"/>
      <c r="S178" s="124"/>
      <c r="T178" s="124"/>
    </row>
    <row r="179" spans="11:20" ht="12.75">
      <c r="K179" s="74"/>
      <c r="L179" s="74"/>
      <c r="M179" s="74"/>
      <c r="N179" s="124"/>
      <c r="O179" s="74"/>
      <c r="P179" s="124"/>
      <c r="R179" s="279"/>
      <c r="S179" s="124"/>
      <c r="T179" s="124"/>
    </row>
    <row r="180" spans="11:20" ht="12.75">
      <c r="K180" s="74"/>
      <c r="L180" s="74"/>
      <c r="M180" s="74"/>
      <c r="N180" s="124"/>
      <c r="O180" s="74"/>
      <c r="P180" s="124"/>
      <c r="R180" s="279"/>
      <c r="S180" s="124"/>
      <c r="T180" s="124"/>
    </row>
    <row r="181" spans="11:20" ht="12.75">
      <c r="K181" s="74"/>
      <c r="L181" s="74"/>
      <c r="M181" s="74"/>
      <c r="N181" s="124"/>
      <c r="O181" s="74"/>
      <c r="P181" s="124"/>
      <c r="R181" s="279"/>
      <c r="S181" s="124"/>
      <c r="T181" s="124"/>
    </row>
    <row r="182" spans="11:20" ht="12.75">
      <c r="K182" s="74"/>
      <c r="L182" s="74"/>
      <c r="M182" s="74"/>
      <c r="N182" s="124"/>
      <c r="O182" s="74"/>
      <c r="P182" s="124"/>
      <c r="R182" s="279"/>
      <c r="S182" s="124"/>
      <c r="T182" s="124"/>
    </row>
    <row r="183" spans="11:20" ht="12.75">
      <c r="K183" s="74"/>
      <c r="L183" s="74"/>
      <c r="M183" s="74"/>
      <c r="N183" s="124"/>
      <c r="O183" s="74"/>
      <c r="P183" s="124"/>
      <c r="R183" s="279"/>
      <c r="S183" s="124"/>
      <c r="T183" s="124"/>
    </row>
    <row r="184" spans="11:20" ht="12.75">
      <c r="K184" s="74"/>
      <c r="L184" s="74"/>
      <c r="M184" s="74"/>
      <c r="N184" s="124"/>
      <c r="O184" s="74"/>
      <c r="P184" s="124"/>
      <c r="R184" s="279"/>
      <c r="S184" s="124"/>
      <c r="T184" s="124"/>
    </row>
    <row r="185" spans="11:20" ht="12.75">
      <c r="K185" s="74"/>
      <c r="L185" s="74"/>
      <c r="M185" s="74"/>
      <c r="N185" s="124"/>
      <c r="O185" s="74"/>
      <c r="P185" s="124"/>
      <c r="R185" s="279"/>
      <c r="S185" s="124"/>
      <c r="T185" s="124"/>
    </row>
    <row r="186" spans="11:20" ht="12.75">
      <c r="K186" s="74"/>
      <c r="L186" s="74"/>
      <c r="M186" s="74"/>
      <c r="N186" s="124"/>
      <c r="O186" s="74"/>
      <c r="P186" s="124"/>
      <c r="R186" s="279"/>
      <c r="S186" s="124"/>
      <c r="T186" s="124"/>
    </row>
    <row r="187" spans="11:20" ht="12.75">
      <c r="K187" s="74"/>
      <c r="L187" s="74"/>
      <c r="M187" s="74"/>
      <c r="N187" s="124"/>
      <c r="O187" s="74"/>
      <c r="P187" s="124"/>
      <c r="R187" s="279"/>
      <c r="S187" s="124"/>
      <c r="T187" s="124"/>
    </row>
    <row r="188" spans="11:20" ht="12.75">
      <c r="K188" s="74"/>
      <c r="L188" s="74"/>
      <c r="M188" s="74"/>
      <c r="N188" s="124"/>
      <c r="O188" s="74"/>
      <c r="P188" s="124"/>
      <c r="R188" s="279"/>
      <c r="S188" s="124"/>
      <c r="T188" s="124"/>
    </row>
    <row r="189" spans="11:20" ht="12.75">
      <c r="K189" s="74"/>
      <c r="L189" s="74"/>
      <c r="M189" s="74"/>
      <c r="N189" s="124"/>
      <c r="O189" s="74"/>
      <c r="P189" s="124"/>
      <c r="R189" s="279"/>
      <c r="S189" s="124"/>
      <c r="T189" s="124"/>
    </row>
    <row r="190" spans="11:20" ht="12.75">
      <c r="K190" s="74"/>
      <c r="L190" s="74"/>
      <c r="M190" s="74"/>
      <c r="N190" s="124"/>
      <c r="O190" s="74"/>
      <c r="P190" s="124"/>
      <c r="R190" s="279"/>
      <c r="S190" s="124"/>
      <c r="T190" s="124"/>
    </row>
    <row r="191" spans="11:20" ht="12.75">
      <c r="K191" s="74"/>
      <c r="L191" s="74"/>
      <c r="M191" s="74"/>
      <c r="N191" s="124"/>
      <c r="O191" s="74"/>
      <c r="P191" s="124"/>
      <c r="R191" s="279"/>
      <c r="S191" s="124"/>
      <c r="T191" s="124"/>
    </row>
    <row r="192" spans="11:20" ht="12.75">
      <c r="K192" s="74"/>
      <c r="L192" s="74"/>
      <c r="M192" s="74"/>
      <c r="N192" s="124"/>
      <c r="O192" s="74"/>
      <c r="P192" s="124"/>
      <c r="R192" s="279"/>
      <c r="S192" s="124"/>
      <c r="T192" s="124"/>
    </row>
    <row r="193" spans="11:20" ht="12.75">
      <c r="K193" s="74"/>
      <c r="L193" s="74"/>
      <c r="M193" s="74"/>
      <c r="N193" s="124"/>
      <c r="O193" s="74"/>
      <c r="P193" s="124"/>
      <c r="R193" s="279"/>
      <c r="S193" s="124"/>
      <c r="T193" s="124"/>
    </row>
    <row r="194" spans="11:20" ht="12.75">
      <c r="K194" s="74"/>
      <c r="L194" s="74"/>
      <c r="M194" s="74"/>
      <c r="N194" s="124"/>
      <c r="O194" s="74"/>
      <c r="P194" s="124"/>
      <c r="R194" s="279"/>
      <c r="S194" s="124"/>
      <c r="T194" s="124"/>
    </row>
    <row r="195" spans="11:20" ht="12.75">
      <c r="K195" s="74"/>
      <c r="L195" s="74"/>
      <c r="M195" s="74"/>
      <c r="N195" s="124"/>
      <c r="O195" s="74"/>
      <c r="P195" s="124"/>
      <c r="R195" s="279"/>
      <c r="S195" s="124"/>
      <c r="T195" s="124"/>
    </row>
    <row r="196" spans="11:20" ht="12.75">
      <c r="K196" s="74"/>
      <c r="L196" s="74"/>
      <c r="M196" s="74"/>
      <c r="N196" s="124"/>
      <c r="O196" s="74"/>
      <c r="P196" s="124"/>
      <c r="R196" s="279"/>
      <c r="S196" s="124"/>
      <c r="T196" s="124"/>
    </row>
    <row r="197" spans="11:20" ht="12.75">
      <c r="K197" s="74"/>
      <c r="L197" s="74"/>
      <c r="M197" s="74"/>
      <c r="N197" s="124"/>
      <c r="O197" s="74"/>
      <c r="P197" s="124"/>
      <c r="R197" s="279"/>
      <c r="S197" s="124"/>
      <c r="T197" s="124"/>
    </row>
    <row r="198" spans="11:20" ht="12.75">
      <c r="K198" s="74"/>
      <c r="L198" s="74"/>
      <c r="M198" s="74"/>
      <c r="N198" s="124"/>
      <c r="O198" s="74"/>
      <c r="P198" s="124"/>
      <c r="R198" s="279"/>
      <c r="S198" s="124"/>
      <c r="T198" s="124"/>
    </row>
    <row r="199" spans="11:20" ht="12.75">
      <c r="K199" s="74"/>
      <c r="L199" s="74"/>
      <c r="M199" s="74"/>
      <c r="N199" s="124"/>
      <c r="O199" s="74"/>
      <c r="P199" s="124"/>
      <c r="R199" s="279"/>
      <c r="S199" s="124"/>
      <c r="T199" s="124"/>
    </row>
    <row r="200" spans="11:20" ht="12.75">
      <c r="K200" s="74"/>
      <c r="L200" s="74"/>
      <c r="M200" s="74"/>
      <c r="N200" s="124"/>
      <c r="O200" s="74"/>
      <c r="P200" s="124"/>
      <c r="R200" s="279"/>
      <c r="S200" s="124"/>
      <c r="T200" s="124"/>
    </row>
    <row r="201" spans="11:20" ht="12.75">
      <c r="K201" s="74"/>
      <c r="L201" s="74"/>
      <c r="M201" s="74"/>
      <c r="N201" s="124"/>
      <c r="O201" s="74"/>
      <c r="P201" s="124"/>
      <c r="R201" s="279"/>
      <c r="S201" s="124"/>
      <c r="T201" s="124"/>
    </row>
    <row r="202" spans="11:20" ht="12.75">
      <c r="K202" s="74"/>
      <c r="L202" s="74"/>
      <c r="M202" s="74"/>
      <c r="N202" s="124"/>
      <c r="O202" s="74"/>
      <c r="P202" s="124"/>
      <c r="R202" s="279"/>
      <c r="S202" s="124"/>
      <c r="T202" s="124"/>
    </row>
    <row r="203" spans="11:20" ht="12.75">
      <c r="K203" s="74"/>
      <c r="L203" s="74"/>
      <c r="M203" s="74"/>
      <c r="N203" s="124"/>
      <c r="O203" s="74"/>
      <c r="P203" s="124"/>
      <c r="R203" s="279"/>
      <c r="S203" s="124"/>
      <c r="T203" s="124"/>
    </row>
    <row r="204" spans="11:20" ht="12.75">
      <c r="K204" s="74"/>
      <c r="L204" s="74"/>
      <c r="M204" s="74"/>
      <c r="N204" s="124"/>
      <c r="O204" s="74"/>
      <c r="P204" s="124"/>
      <c r="R204" s="279"/>
      <c r="S204" s="124"/>
      <c r="T204" s="124"/>
    </row>
    <row r="205" spans="11:20" ht="12.75">
      <c r="K205" s="74"/>
      <c r="L205" s="74"/>
      <c r="M205" s="74"/>
      <c r="N205" s="124"/>
      <c r="O205" s="74"/>
      <c r="P205" s="124"/>
      <c r="R205" s="279"/>
      <c r="S205" s="124"/>
      <c r="T205" s="124"/>
    </row>
    <row r="206" spans="11:20" ht="12.75">
      <c r="K206" s="74"/>
      <c r="L206" s="74"/>
      <c r="M206" s="74"/>
      <c r="N206" s="124"/>
      <c r="O206" s="74"/>
      <c r="P206" s="124"/>
      <c r="R206" s="279"/>
      <c r="S206" s="124"/>
      <c r="T206" s="124"/>
    </row>
    <row r="207" spans="11:20" ht="12.75">
      <c r="K207" s="74"/>
      <c r="L207" s="74"/>
      <c r="M207" s="74"/>
      <c r="N207" s="124"/>
      <c r="O207" s="74"/>
      <c r="P207" s="124"/>
      <c r="R207" s="279"/>
      <c r="S207" s="124"/>
      <c r="T207" s="124"/>
    </row>
    <row r="208" spans="11:20" ht="12.75">
      <c r="K208" s="74"/>
      <c r="L208" s="74"/>
      <c r="M208" s="74"/>
      <c r="N208" s="124"/>
      <c r="O208" s="74"/>
      <c r="P208" s="124"/>
      <c r="R208" s="279"/>
      <c r="S208" s="124"/>
      <c r="T208" s="124"/>
    </row>
    <row r="209" spans="11:20" ht="12.75">
      <c r="K209" s="74"/>
      <c r="L209" s="74"/>
      <c r="M209" s="74"/>
      <c r="N209" s="124"/>
      <c r="O209" s="74"/>
      <c r="P209" s="124"/>
      <c r="R209" s="279"/>
      <c r="S209" s="124"/>
      <c r="T209" s="124"/>
    </row>
    <row r="210" spans="11:20" ht="12.75">
      <c r="K210" s="74"/>
      <c r="L210" s="74"/>
      <c r="M210" s="74"/>
      <c r="N210" s="124"/>
      <c r="O210" s="74"/>
      <c r="P210" s="124"/>
      <c r="R210" s="279"/>
      <c r="S210" s="124"/>
      <c r="T210" s="124"/>
    </row>
    <row r="211" spans="11:20" ht="12.75">
      <c r="K211" s="74"/>
      <c r="L211" s="74"/>
      <c r="M211" s="74"/>
      <c r="N211" s="124"/>
      <c r="O211" s="74"/>
      <c r="P211" s="124"/>
      <c r="R211" s="279"/>
      <c r="S211" s="124"/>
      <c r="T211" s="124"/>
    </row>
    <row r="212" spans="11:20" ht="12.75">
      <c r="K212" s="74"/>
      <c r="L212" s="74"/>
      <c r="M212" s="74"/>
      <c r="N212" s="124"/>
      <c r="O212" s="74"/>
      <c r="P212" s="124"/>
      <c r="R212" s="279"/>
      <c r="S212" s="124"/>
      <c r="T212" s="124"/>
    </row>
    <row r="213" spans="11:20" ht="12.75">
      <c r="K213" s="74"/>
      <c r="L213" s="74"/>
      <c r="M213" s="74"/>
      <c r="N213" s="124"/>
      <c r="O213" s="74"/>
      <c r="P213" s="124"/>
      <c r="R213" s="279"/>
      <c r="S213" s="124"/>
      <c r="T213" s="124"/>
    </row>
    <row r="214" spans="11:20" ht="12.75">
      <c r="K214" s="74"/>
      <c r="L214" s="74"/>
      <c r="M214" s="74"/>
      <c r="N214" s="124"/>
      <c r="O214" s="74"/>
      <c r="P214" s="124"/>
      <c r="R214" s="279"/>
      <c r="S214" s="124"/>
      <c r="T214" s="124"/>
    </row>
    <row r="215" spans="11:20" ht="12.75">
      <c r="K215" s="74"/>
      <c r="L215" s="74"/>
      <c r="M215" s="74"/>
      <c r="N215" s="124"/>
      <c r="O215" s="74"/>
      <c r="P215" s="124"/>
      <c r="R215" s="279"/>
      <c r="S215" s="124"/>
      <c r="T215" s="124"/>
    </row>
    <row r="216" spans="11:20" ht="12.75">
      <c r="K216" s="74"/>
      <c r="L216" s="74"/>
      <c r="M216" s="74"/>
      <c r="N216" s="124"/>
      <c r="O216" s="74"/>
      <c r="P216" s="124"/>
      <c r="R216" s="279"/>
      <c r="S216" s="124"/>
      <c r="T216" s="124"/>
    </row>
    <row r="217" spans="11:20" ht="12.75">
      <c r="K217" s="74"/>
      <c r="L217" s="74"/>
      <c r="M217" s="74"/>
      <c r="N217" s="124"/>
      <c r="O217" s="74"/>
      <c r="P217" s="124"/>
      <c r="R217" s="279"/>
      <c r="S217" s="124"/>
      <c r="T217" s="124"/>
    </row>
    <row r="218" spans="11:20" ht="12.75">
      <c r="K218" s="74"/>
      <c r="L218" s="74"/>
      <c r="M218" s="74"/>
      <c r="N218" s="124"/>
      <c r="O218" s="74"/>
      <c r="P218" s="124"/>
      <c r="R218" s="279"/>
      <c r="S218" s="124"/>
      <c r="T218" s="124"/>
    </row>
    <row r="219" spans="11:20" ht="12.75">
      <c r="K219" s="74"/>
      <c r="L219" s="74"/>
      <c r="M219" s="74"/>
      <c r="N219" s="124"/>
      <c r="O219" s="74"/>
      <c r="P219" s="124"/>
      <c r="R219" s="279"/>
      <c r="S219" s="124"/>
      <c r="T219" s="124"/>
    </row>
    <row r="220" spans="11:20" ht="12.75">
      <c r="K220" s="74"/>
      <c r="L220" s="74"/>
      <c r="M220" s="74"/>
      <c r="N220" s="124"/>
      <c r="O220" s="74"/>
      <c r="P220" s="124"/>
      <c r="R220" s="279"/>
      <c r="S220" s="124"/>
      <c r="T220" s="124"/>
    </row>
    <row r="221" spans="11:20" ht="12.75">
      <c r="K221" s="74"/>
      <c r="L221" s="74"/>
      <c r="M221" s="74"/>
      <c r="N221" s="124"/>
      <c r="O221" s="74"/>
      <c r="P221" s="124"/>
      <c r="R221" s="279"/>
      <c r="S221" s="124"/>
      <c r="T221" s="124"/>
    </row>
    <row r="222" spans="11:20" ht="12.75">
      <c r="K222" s="74"/>
      <c r="L222" s="74"/>
      <c r="M222" s="74"/>
      <c r="N222" s="124"/>
      <c r="O222" s="74"/>
      <c r="P222" s="124"/>
      <c r="R222" s="279"/>
      <c r="S222" s="124"/>
      <c r="T222" s="124"/>
    </row>
    <row r="223" spans="11:20" ht="12.75">
      <c r="K223" s="74"/>
      <c r="L223" s="74"/>
      <c r="M223" s="74"/>
      <c r="N223" s="124"/>
      <c r="O223" s="74"/>
      <c r="P223" s="124"/>
      <c r="R223" s="279"/>
      <c r="S223" s="124"/>
      <c r="T223" s="124"/>
    </row>
    <row r="224" spans="11:20" ht="12.75">
      <c r="K224" s="74"/>
      <c r="L224" s="74"/>
      <c r="M224" s="74"/>
      <c r="N224" s="124"/>
      <c r="O224" s="74"/>
      <c r="P224" s="124"/>
      <c r="R224" s="279"/>
      <c r="S224" s="124"/>
      <c r="T224" s="124"/>
    </row>
    <row r="225" spans="11:20" ht="12.75">
      <c r="K225" s="74"/>
      <c r="L225" s="74"/>
      <c r="M225" s="74"/>
      <c r="N225" s="124"/>
      <c r="O225" s="74"/>
      <c r="P225" s="124"/>
      <c r="R225" s="279"/>
      <c r="S225" s="124"/>
      <c r="T225" s="124"/>
    </row>
    <row r="226" spans="11:20" ht="12.75">
      <c r="K226" s="74"/>
      <c r="L226" s="74"/>
      <c r="M226" s="74"/>
      <c r="N226" s="124"/>
      <c r="O226" s="74"/>
      <c r="P226" s="124"/>
      <c r="R226" s="279"/>
      <c r="S226" s="124"/>
      <c r="T226" s="124"/>
    </row>
    <row r="227" spans="11:20" ht="12.75">
      <c r="K227" s="74"/>
      <c r="L227" s="74"/>
      <c r="M227" s="74"/>
      <c r="N227" s="124"/>
      <c r="O227" s="74"/>
      <c r="P227" s="124"/>
      <c r="R227" s="279"/>
      <c r="S227" s="124"/>
      <c r="T227" s="124"/>
    </row>
    <row r="228" spans="11:20" ht="12.75">
      <c r="K228" s="74"/>
      <c r="L228" s="74"/>
      <c r="M228" s="74"/>
      <c r="N228" s="124"/>
      <c r="O228" s="74"/>
      <c r="P228" s="124"/>
      <c r="R228" s="279"/>
      <c r="S228" s="124"/>
      <c r="T228" s="124"/>
    </row>
    <row r="229" spans="11:20" ht="12.75">
      <c r="K229" s="74"/>
      <c r="L229" s="74"/>
      <c r="M229" s="74"/>
      <c r="N229" s="124"/>
      <c r="O229" s="74"/>
      <c r="P229" s="124"/>
      <c r="R229" s="279"/>
      <c r="S229" s="124"/>
      <c r="T229" s="124"/>
    </row>
    <row r="230" spans="11:20" ht="12.75">
      <c r="K230" s="74"/>
      <c r="L230" s="74"/>
      <c r="M230" s="74"/>
      <c r="N230" s="124"/>
      <c r="O230" s="74"/>
      <c r="P230" s="124"/>
      <c r="R230" s="279"/>
      <c r="S230" s="124"/>
      <c r="T230" s="124"/>
    </row>
    <row r="231" spans="11:20" ht="12.75">
      <c r="K231" s="74"/>
      <c r="L231" s="74"/>
      <c r="M231" s="74"/>
      <c r="N231" s="124"/>
      <c r="O231" s="74"/>
      <c r="P231" s="124"/>
      <c r="R231" s="279"/>
      <c r="S231" s="124"/>
      <c r="T231" s="124"/>
    </row>
    <row r="232" spans="11:20" ht="12.75">
      <c r="K232" s="74"/>
      <c r="L232" s="74"/>
      <c r="M232" s="74"/>
      <c r="N232" s="124"/>
      <c r="O232" s="74"/>
      <c r="P232" s="124"/>
      <c r="R232" s="279"/>
      <c r="S232" s="124"/>
      <c r="T232" s="124"/>
    </row>
    <row r="233" spans="11:20" ht="12.75">
      <c r="K233" s="74"/>
      <c r="L233" s="74"/>
      <c r="M233" s="74"/>
      <c r="N233" s="124"/>
      <c r="O233" s="74"/>
      <c r="P233" s="124"/>
      <c r="R233" s="279"/>
      <c r="S233" s="124"/>
      <c r="T233" s="124"/>
    </row>
    <row r="234" spans="11:20" ht="12.75">
      <c r="K234" s="74"/>
      <c r="L234" s="74"/>
      <c r="M234" s="74"/>
      <c r="N234" s="124"/>
      <c r="O234" s="74"/>
      <c r="P234" s="124"/>
      <c r="R234" s="279"/>
      <c r="S234" s="124"/>
      <c r="T234" s="124"/>
    </row>
    <row r="235" spans="11:20" ht="12.75">
      <c r="K235" s="74"/>
      <c r="L235" s="74"/>
      <c r="M235" s="74"/>
      <c r="N235" s="124"/>
      <c r="O235" s="74"/>
      <c r="P235" s="124"/>
      <c r="R235" s="279"/>
      <c r="S235" s="124"/>
      <c r="T235" s="124"/>
    </row>
    <row r="236" spans="11:20" ht="12.75">
      <c r="K236" s="74"/>
      <c r="L236" s="74"/>
      <c r="M236" s="74"/>
      <c r="N236" s="124"/>
      <c r="O236" s="74"/>
      <c r="P236" s="124"/>
      <c r="R236" s="279"/>
      <c r="S236" s="124"/>
      <c r="T236" s="124"/>
    </row>
    <row r="237" spans="11:20" ht="12.75">
      <c r="K237" s="74"/>
      <c r="L237" s="74"/>
      <c r="M237" s="74"/>
      <c r="N237" s="124"/>
      <c r="O237" s="74"/>
      <c r="P237" s="124"/>
      <c r="R237" s="279"/>
      <c r="S237" s="124"/>
      <c r="T237" s="124"/>
    </row>
    <row r="238" spans="11:20" ht="12.75">
      <c r="K238" s="74"/>
      <c r="L238" s="74"/>
      <c r="M238" s="74"/>
      <c r="N238" s="124"/>
      <c r="O238" s="74"/>
      <c r="P238" s="124"/>
      <c r="R238" s="279"/>
      <c r="S238" s="124"/>
      <c r="T238" s="124"/>
    </row>
    <row r="239" spans="11:20" ht="12.75">
      <c r="K239" s="74"/>
      <c r="L239" s="74"/>
      <c r="M239" s="74"/>
      <c r="N239" s="124"/>
      <c r="O239" s="74"/>
      <c r="P239" s="124"/>
      <c r="R239" s="279"/>
      <c r="S239" s="124"/>
      <c r="T239" s="124"/>
    </row>
    <row r="240" spans="11:20" ht="12.75">
      <c r="K240" s="74"/>
      <c r="L240" s="74"/>
      <c r="M240" s="74"/>
      <c r="N240" s="124"/>
      <c r="O240" s="74"/>
      <c r="P240" s="124"/>
      <c r="R240" s="279"/>
      <c r="S240" s="124"/>
      <c r="T240" s="124"/>
    </row>
    <row r="241" spans="11:20" ht="12.75">
      <c r="K241" s="74"/>
      <c r="L241" s="74"/>
      <c r="M241" s="74"/>
      <c r="N241" s="124"/>
      <c r="O241" s="74"/>
      <c r="P241" s="124"/>
      <c r="R241" s="279"/>
      <c r="S241" s="124"/>
      <c r="T241" s="124"/>
    </row>
    <row r="242" spans="11:20" ht="12.75">
      <c r="K242" s="74"/>
      <c r="L242" s="74"/>
      <c r="M242" s="74"/>
      <c r="N242" s="124"/>
      <c r="O242" s="74"/>
      <c r="P242" s="124"/>
      <c r="R242" s="279"/>
      <c r="S242" s="124"/>
      <c r="T242" s="124"/>
    </row>
    <row r="243" spans="11:20" ht="12.75">
      <c r="K243" s="74"/>
      <c r="L243" s="74"/>
      <c r="M243" s="74"/>
      <c r="N243" s="124"/>
      <c r="O243" s="74"/>
      <c r="P243" s="124"/>
      <c r="R243" s="279"/>
      <c r="S243" s="124"/>
      <c r="T243" s="124"/>
    </row>
    <row r="244" spans="11:20" ht="12.75">
      <c r="K244" s="74"/>
      <c r="L244" s="74"/>
      <c r="M244" s="74"/>
      <c r="N244" s="124"/>
      <c r="O244" s="74"/>
      <c r="P244" s="124"/>
      <c r="R244" s="279"/>
      <c r="S244" s="124"/>
      <c r="T244" s="124"/>
    </row>
    <row r="245" spans="11:20" ht="12.75">
      <c r="K245" s="74"/>
      <c r="L245" s="74"/>
      <c r="M245" s="74"/>
      <c r="N245" s="124"/>
      <c r="O245" s="74"/>
      <c r="P245" s="124"/>
      <c r="R245" s="279"/>
      <c r="S245" s="124"/>
      <c r="T245" s="124"/>
    </row>
    <row r="246" spans="11:20" ht="12.75">
      <c r="K246" s="74"/>
      <c r="L246" s="74"/>
      <c r="M246" s="74"/>
      <c r="N246" s="124"/>
      <c r="O246" s="74"/>
      <c r="P246" s="124"/>
      <c r="R246" s="279"/>
      <c r="S246" s="124"/>
      <c r="T246" s="124"/>
    </row>
    <row r="247" spans="11:20" ht="12.75">
      <c r="K247" s="74"/>
      <c r="L247" s="74"/>
      <c r="M247" s="74"/>
      <c r="N247" s="124"/>
      <c r="O247" s="74"/>
      <c r="P247" s="124"/>
      <c r="R247" s="279"/>
      <c r="S247" s="124"/>
      <c r="T247" s="124"/>
    </row>
    <row r="248" spans="11:20" ht="12.75">
      <c r="K248" s="74"/>
      <c r="L248" s="74"/>
      <c r="M248" s="74"/>
      <c r="N248" s="124"/>
      <c r="O248" s="74"/>
      <c r="P248" s="124"/>
      <c r="R248" s="279"/>
      <c r="S248" s="124"/>
      <c r="T248" s="124"/>
    </row>
    <row r="249" spans="11:20" ht="12.75">
      <c r="K249" s="74"/>
      <c r="L249" s="74"/>
      <c r="M249" s="74"/>
      <c r="N249" s="124"/>
      <c r="O249" s="74"/>
      <c r="P249" s="124"/>
      <c r="R249" s="279"/>
      <c r="S249" s="124"/>
      <c r="T249" s="124"/>
    </row>
    <row r="250" spans="11:20" ht="12.75">
      <c r="K250" s="74"/>
      <c r="L250" s="74"/>
      <c r="M250" s="74"/>
      <c r="N250" s="124"/>
      <c r="O250" s="74"/>
      <c r="P250" s="124"/>
      <c r="R250" s="279"/>
      <c r="S250" s="124"/>
      <c r="T250" s="124"/>
    </row>
    <row r="251" spans="11:20" ht="12.75">
      <c r="K251" s="74"/>
      <c r="L251" s="74"/>
      <c r="M251" s="74"/>
      <c r="N251" s="124"/>
      <c r="O251" s="74"/>
      <c r="P251" s="124"/>
      <c r="R251" s="279"/>
      <c r="S251" s="124"/>
      <c r="T251" s="124"/>
    </row>
    <row r="252" spans="11:20" ht="12.75">
      <c r="K252" s="74"/>
      <c r="L252" s="74"/>
      <c r="M252" s="74"/>
      <c r="N252" s="124"/>
      <c r="O252" s="74"/>
      <c r="P252" s="124"/>
      <c r="R252" s="279"/>
      <c r="S252" s="124"/>
      <c r="T252" s="124"/>
    </row>
    <row r="253" spans="11:20" ht="12.75">
      <c r="K253" s="74"/>
      <c r="L253" s="74"/>
      <c r="M253" s="74"/>
      <c r="N253" s="124"/>
      <c r="O253" s="74"/>
      <c r="P253" s="124"/>
      <c r="R253" s="279"/>
      <c r="S253" s="124"/>
      <c r="T253" s="124"/>
    </row>
    <row r="254" spans="11:20" ht="12.75">
      <c r="K254" s="74"/>
      <c r="L254" s="74"/>
      <c r="M254" s="74"/>
      <c r="N254" s="124"/>
      <c r="O254" s="74"/>
      <c r="P254" s="124"/>
      <c r="R254" s="279"/>
      <c r="S254" s="124"/>
      <c r="T254" s="124"/>
    </row>
    <row r="255" spans="11:20" ht="12.75">
      <c r="K255" s="74"/>
      <c r="L255" s="74"/>
      <c r="M255" s="74"/>
      <c r="N255" s="124"/>
      <c r="O255" s="74"/>
      <c r="P255" s="124"/>
      <c r="R255" s="279"/>
      <c r="S255" s="124"/>
      <c r="T255" s="124"/>
    </row>
    <row r="256" spans="11:20" ht="12.75">
      <c r="K256" s="74"/>
      <c r="L256" s="74"/>
      <c r="M256" s="74"/>
      <c r="N256" s="124"/>
      <c r="O256" s="74"/>
      <c r="P256" s="124"/>
      <c r="R256" s="279"/>
      <c r="S256" s="124"/>
      <c r="T256" s="124"/>
    </row>
    <row r="257" spans="11:20" ht="12.75">
      <c r="K257" s="74"/>
      <c r="L257" s="74"/>
      <c r="M257" s="74"/>
      <c r="N257" s="124"/>
      <c r="O257" s="74"/>
      <c r="P257" s="124"/>
      <c r="R257" s="279"/>
      <c r="S257" s="124"/>
      <c r="T257" s="124"/>
    </row>
    <row r="258" spans="11:20" ht="12.75">
      <c r="K258" s="74"/>
      <c r="L258" s="74"/>
      <c r="M258" s="74"/>
      <c r="N258" s="124"/>
      <c r="O258" s="74"/>
      <c r="P258" s="124"/>
      <c r="R258" s="279"/>
      <c r="S258" s="124"/>
      <c r="T258" s="124"/>
    </row>
    <row r="259" spans="11:20" ht="12.75">
      <c r="K259" s="74"/>
      <c r="L259" s="74"/>
      <c r="M259" s="74"/>
      <c r="N259" s="124"/>
      <c r="O259" s="74"/>
      <c r="P259" s="124"/>
      <c r="R259" s="279"/>
      <c r="S259" s="124"/>
      <c r="T259" s="124"/>
    </row>
    <row r="260" spans="11:20" ht="12.75">
      <c r="K260" s="74"/>
      <c r="L260" s="74"/>
      <c r="M260" s="74"/>
      <c r="N260" s="124"/>
      <c r="O260" s="74"/>
      <c r="P260" s="124"/>
      <c r="R260" s="279"/>
      <c r="S260" s="124"/>
      <c r="T260" s="124"/>
    </row>
    <row r="261" spans="11:20" ht="12.75">
      <c r="K261" s="74"/>
      <c r="L261" s="74"/>
      <c r="M261" s="74"/>
      <c r="N261" s="124"/>
      <c r="O261" s="74"/>
      <c r="P261" s="124"/>
      <c r="R261" s="279"/>
      <c r="S261" s="124"/>
      <c r="T261" s="124"/>
    </row>
    <row r="262" spans="11:20" ht="12.75">
      <c r="K262" s="74"/>
      <c r="L262" s="74"/>
      <c r="M262" s="74"/>
      <c r="N262" s="124"/>
      <c r="O262" s="74"/>
      <c r="P262" s="124"/>
      <c r="R262" s="279"/>
      <c r="S262" s="124"/>
      <c r="T262" s="124"/>
    </row>
    <row r="263" spans="11:20" ht="12.75">
      <c r="K263" s="74"/>
      <c r="L263" s="74"/>
      <c r="M263" s="74"/>
      <c r="N263" s="124"/>
      <c r="O263" s="74"/>
      <c r="P263" s="124"/>
      <c r="R263" s="279"/>
      <c r="S263" s="124"/>
      <c r="T263" s="124"/>
    </row>
    <row r="264" spans="11:20" ht="12.75">
      <c r="K264" s="74"/>
      <c r="L264" s="74"/>
      <c r="M264" s="74"/>
      <c r="N264" s="124"/>
      <c r="O264" s="74"/>
      <c r="P264" s="124"/>
      <c r="R264" s="279"/>
      <c r="S264" s="124"/>
      <c r="T264" s="124"/>
    </row>
    <row r="265" spans="11:20" ht="12.75">
      <c r="K265" s="74"/>
      <c r="L265" s="74"/>
      <c r="M265" s="74"/>
      <c r="N265" s="124"/>
      <c r="O265" s="74"/>
      <c r="P265" s="124"/>
      <c r="R265" s="279"/>
      <c r="S265" s="124"/>
      <c r="T265" s="124"/>
    </row>
    <row r="266" spans="11:20" ht="12.75">
      <c r="K266" s="74"/>
      <c r="L266" s="74"/>
      <c r="M266" s="74"/>
      <c r="N266" s="124"/>
      <c r="O266" s="74"/>
      <c r="P266" s="124"/>
      <c r="R266" s="279"/>
      <c r="S266" s="124"/>
      <c r="T266" s="124"/>
    </row>
    <row r="267" spans="11:20" ht="12.75">
      <c r="K267" s="74"/>
      <c r="L267" s="74"/>
      <c r="M267" s="74"/>
      <c r="N267" s="124"/>
      <c r="O267" s="74"/>
      <c r="P267" s="124"/>
      <c r="R267" s="279"/>
      <c r="S267" s="124"/>
      <c r="T267" s="124"/>
    </row>
    <row r="268" spans="11:20" ht="12.75">
      <c r="K268" s="74"/>
      <c r="L268" s="74"/>
      <c r="M268" s="74"/>
      <c r="N268" s="124"/>
      <c r="O268" s="74"/>
      <c r="P268" s="124"/>
      <c r="R268" s="279"/>
      <c r="S268" s="124"/>
      <c r="T268" s="124"/>
    </row>
    <row r="269" spans="11:20" ht="12.75">
      <c r="K269" s="74"/>
      <c r="L269" s="74"/>
      <c r="M269" s="74"/>
      <c r="N269" s="124"/>
      <c r="O269" s="74"/>
      <c r="P269" s="124"/>
      <c r="R269" s="279"/>
      <c r="S269" s="124"/>
      <c r="T269" s="124"/>
    </row>
    <row r="270" spans="11:20" ht="12.75">
      <c r="K270" s="74"/>
      <c r="L270" s="74"/>
      <c r="M270" s="74"/>
      <c r="N270" s="124"/>
      <c r="O270" s="74"/>
      <c r="P270" s="124"/>
      <c r="R270" s="279"/>
      <c r="S270" s="124"/>
      <c r="T270" s="124"/>
    </row>
    <row r="271" spans="11:20" ht="12.75">
      <c r="K271" s="74"/>
      <c r="L271" s="74"/>
      <c r="M271" s="74"/>
      <c r="N271" s="124"/>
      <c r="O271" s="74"/>
      <c r="P271" s="124"/>
      <c r="R271" s="279"/>
      <c r="S271" s="124"/>
      <c r="T271" s="124"/>
    </row>
    <row r="272" spans="11:20" ht="12.75">
      <c r="K272" s="74"/>
      <c r="L272" s="74"/>
      <c r="M272" s="74"/>
      <c r="N272" s="124"/>
      <c r="O272" s="74"/>
      <c r="P272" s="124"/>
      <c r="R272" s="279"/>
      <c r="S272" s="124"/>
      <c r="T272" s="124"/>
    </row>
    <row r="273" spans="11:20" ht="12.75">
      <c r="K273" s="74"/>
      <c r="L273" s="74"/>
      <c r="M273" s="74"/>
      <c r="N273" s="124"/>
      <c r="O273" s="74"/>
      <c r="P273" s="124"/>
      <c r="R273" s="279"/>
      <c r="S273" s="124"/>
      <c r="T273" s="124"/>
    </row>
    <row r="274" spans="11:20" ht="12.75">
      <c r="K274" s="74"/>
      <c r="L274" s="74"/>
      <c r="M274" s="74"/>
      <c r="N274" s="124"/>
      <c r="O274" s="74"/>
      <c r="P274" s="124"/>
      <c r="R274" s="279"/>
      <c r="S274" s="124"/>
      <c r="T274" s="124"/>
    </row>
    <row r="275" spans="11:20" ht="12.75">
      <c r="K275" s="74"/>
      <c r="L275" s="74"/>
      <c r="M275" s="74"/>
      <c r="N275" s="124"/>
      <c r="O275" s="74"/>
      <c r="P275" s="124"/>
      <c r="R275" s="279"/>
      <c r="S275" s="124"/>
      <c r="T275" s="124"/>
    </row>
    <row r="276" spans="11:20" ht="12.75">
      <c r="K276" s="74"/>
      <c r="L276" s="74"/>
      <c r="M276" s="74"/>
      <c r="N276" s="124"/>
      <c r="O276" s="74"/>
      <c r="P276" s="124"/>
      <c r="R276" s="279"/>
      <c r="S276" s="124"/>
      <c r="T276" s="124"/>
    </row>
    <row r="277" spans="11:20" ht="12.75">
      <c r="K277" s="74"/>
      <c r="L277" s="74"/>
      <c r="M277" s="74"/>
      <c r="N277" s="124"/>
      <c r="O277" s="74"/>
      <c r="P277" s="124"/>
      <c r="R277" s="279"/>
      <c r="S277" s="124"/>
      <c r="T277" s="124"/>
    </row>
    <row r="278" spans="11:20" ht="12.75">
      <c r="K278" s="74"/>
      <c r="L278" s="74"/>
      <c r="M278" s="74"/>
      <c r="N278" s="124"/>
      <c r="O278" s="74"/>
      <c r="P278" s="124"/>
      <c r="R278" s="279"/>
      <c r="S278" s="124"/>
      <c r="T278" s="124"/>
    </row>
    <row r="279" spans="11:20" ht="12.75">
      <c r="K279" s="74"/>
      <c r="L279" s="74"/>
      <c r="M279" s="74"/>
      <c r="N279" s="124"/>
      <c r="O279" s="74"/>
      <c r="P279" s="124"/>
      <c r="R279" s="279"/>
      <c r="S279" s="124"/>
      <c r="T279" s="124"/>
    </row>
    <row r="280" spans="11:20" ht="12.75">
      <c r="K280" s="74"/>
      <c r="L280" s="74"/>
      <c r="M280" s="74"/>
      <c r="N280" s="124"/>
      <c r="O280" s="74"/>
      <c r="P280" s="124"/>
      <c r="R280" s="279"/>
      <c r="S280" s="124"/>
      <c r="T280" s="124"/>
    </row>
    <row r="281" spans="11:20" ht="12.75">
      <c r="K281" s="74"/>
      <c r="L281" s="74"/>
      <c r="M281" s="74"/>
      <c r="N281" s="124"/>
      <c r="O281" s="74"/>
      <c r="P281" s="124"/>
      <c r="R281" s="279"/>
      <c r="S281" s="124"/>
      <c r="T281" s="124"/>
    </row>
    <row r="282" spans="11:20" ht="12.75">
      <c r="K282" s="74"/>
      <c r="L282" s="74"/>
      <c r="M282" s="74"/>
      <c r="N282" s="124"/>
      <c r="O282" s="74"/>
      <c r="P282" s="124"/>
      <c r="R282" s="279"/>
      <c r="S282" s="124"/>
      <c r="T282" s="124"/>
    </row>
    <row r="283" spans="11:20" ht="12.75">
      <c r="K283" s="74"/>
      <c r="L283" s="74"/>
      <c r="M283" s="74"/>
      <c r="N283" s="124"/>
      <c r="O283" s="74"/>
      <c r="P283" s="124"/>
      <c r="R283" s="279"/>
      <c r="S283" s="124"/>
      <c r="T283" s="124"/>
    </row>
    <row r="284" spans="11:20" ht="12.75">
      <c r="K284" s="74"/>
      <c r="L284" s="74"/>
      <c r="M284" s="74"/>
      <c r="N284" s="124"/>
      <c r="O284" s="74"/>
      <c r="P284" s="124"/>
      <c r="R284" s="279"/>
      <c r="S284" s="124"/>
      <c r="T284" s="124"/>
    </row>
    <row r="285" spans="11:20" ht="12.75">
      <c r="K285" s="74"/>
      <c r="L285" s="74"/>
      <c r="M285" s="74"/>
      <c r="N285" s="124"/>
      <c r="O285" s="74"/>
      <c r="P285" s="124"/>
      <c r="R285" s="279"/>
      <c r="S285" s="124"/>
      <c r="T285" s="124"/>
    </row>
    <row r="286" spans="11:20" ht="12.75">
      <c r="K286" s="74"/>
      <c r="L286" s="74"/>
      <c r="M286" s="74"/>
      <c r="N286" s="124"/>
      <c r="O286" s="74"/>
      <c r="P286" s="124"/>
      <c r="R286" s="279"/>
      <c r="S286" s="124"/>
      <c r="T286" s="124"/>
    </row>
    <row r="287" spans="11:20" ht="12.75">
      <c r="K287" s="74"/>
      <c r="L287" s="74"/>
      <c r="M287" s="74"/>
      <c r="N287" s="124"/>
      <c r="O287" s="74"/>
      <c r="P287" s="124"/>
      <c r="R287" s="279"/>
      <c r="S287" s="124"/>
      <c r="T287" s="124"/>
    </row>
    <row r="288" spans="11:20" ht="12.75">
      <c r="K288" s="74"/>
      <c r="L288" s="74"/>
      <c r="M288" s="74"/>
      <c r="N288" s="124"/>
      <c r="O288" s="74"/>
      <c r="P288" s="124"/>
      <c r="R288" s="279"/>
      <c r="S288" s="124"/>
      <c r="T288" s="124"/>
    </row>
    <row r="289" spans="11:20" ht="12.75">
      <c r="K289" s="74"/>
      <c r="L289" s="74"/>
      <c r="M289" s="74"/>
      <c r="N289" s="124"/>
      <c r="O289" s="74"/>
      <c r="P289" s="124"/>
      <c r="R289" s="279"/>
      <c r="S289" s="124"/>
      <c r="T289" s="124"/>
    </row>
    <row r="290" spans="11:20" ht="12.75">
      <c r="K290" s="74"/>
      <c r="L290" s="74"/>
      <c r="M290" s="74"/>
      <c r="N290" s="124"/>
      <c r="O290" s="74"/>
      <c r="P290" s="124"/>
      <c r="R290" s="279"/>
      <c r="S290" s="124"/>
      <c r="T290" s="124"/>
    </row>
    <row r="291" spans="11:20" ht="12.75">
      <c r="K291" s="74"/>
      <c r="L291" s="74"/>
      <c r="M291" s="74"/>
      <c r="N291" s="124"/>
      <c r="O291" s="74"/>
      <c r="P291" s="124"/>
      <c r="R291" s="279"/>
      <c r="S291" s="124"/>
      <c r="T291" s="124"/>
    </row>
    <row r="292" spans="11:20" ht="12.75">
      <c r="K292" s="74"/>
      <c r="L292" s="74"/>
      <c r="M292" s="74"/>
      <c r="N292" s="124"/>
      <c r="O292" s="74"/>
      <c r="P292" s="124"/>
      <c r="R292" s="279"/>
      <c r="S292" s="124"/>
      <c r="T292" s="124"/>
    </row>
    <row r="293" spans="11:20" ht="12.75">
      <c r="K293" s="74"/>
      <c r="L293" s="74"/>
      <c r="M293" s="74"/>
      <c r="N293" s="124"/>
      <c r="O293" s="74"/>
      <c r="P293" s="124"/>
      <c r="R293" s="279"/>
      <c r="S293" s="124"/>
      <c r="T293" s="124"/>
    </row>
    <row r="294" spans="11:20" ht="12.75">
      <c r="K294" s="74"/>
      <c r="L294" s="74"/>
      <c r="M294" s="74"/>
      <c r="N294" s="124"/>
      <c r="O294" s="74"/>
      <c r="P294" s="124"/>
      <c r="R294" s="279"/>
      <c r="S294" s="124"/>
      <c r="T294" s="124"/>
    </row>
    <row r="295" spans="11:20" ht="12.75">
      <c r="K295" s="74"/>
      <c r="L295" s="74"/>
      <c r="M295" s="74"/>
      <c r="N295" s="124"/>
      <c r="O295" s="74"/>
      <c r="P295" s="124"/>
      <c r="R295" s="279"/>
      <c r="S295" s="124"/>
      <c r="T295" s="124"/>
    </row>
    <row r="296" spans="11:20" ht="12.75">
      <c r="K296" s="74"/>
      <c r="L296" s="74"/>
      <c r="M296" s="74"/>
      <c r="N296" s="124"/>
      <c r="O296" s="74"/>
      <c r="P296" s="124"/>
      <c r="R296" s="279"/>
      <c r="S296" s="124"/>
      <c r="T296" s="124"/>
    </row>
    <row r="297" spans="11:20" ht="12.75">
      <c r="K297" s="74"/>
      <c r="L297" s="74"/>
      <c r="M297" s="74"/>
      <c r="N297" s="124"/>
      <c r="O297" s="74"/>
      <c r="P297" s="124"/>
      <c r="R297" s="279"/>
      <c r="S297" s="124"/>
      <c r="T297" s="124"/>
    </row>
    <row r="298" spans="11:20" ht="12.75">
      <c r="K298" s="74"/>
      <c r="L298" s="74"/>
      <c r="M298" s="74"/>
      <c r="N298" s="124"/>
      <c r="O298" s="74"/>
      <c r="P298" s="124"/>
      <c r="R298" s="279"/>
      <c r="S298" s="124"/>
      <c r="T298" s="124"/>
    </row>
    <row r="299" spans="11:20" ht="12.75">
      <c r="K299" s="74"/>
      <c r="L299" s="74"/>
      <c r="M299" s="74"/>
      <c r="N299" s="124"/>
      <c r="O299" s="74"/>
      <c r="P299" s="124"/>
      <c r="R299" s="279"/>
      <c r="S299" s="124"/>
      <c r="T299" s="124"/>
    </row>
    <row r="300" spans="11:20" ht="12.75">
      <c r="K300" s="74"/>
      <c r="L300" s="74"/>
      <c r="M300" s="74"/>
      <c r="N300" s="124"/>
      <c r="O300" s="74"/>
      <c r="P300" s="124"/>
      <c r="R300" s="279"/>
      <c r="S300" s="124"/>
      <c r="T300" s="124"/>
    </row>
    <row r="301" spans="11:20" ht="12.75">
      <c r="K301" s="74"/>
      <c r="L301" s="74"/>
      <c r="M301" s="74"/>
      <c r="N301" s="124"/>
      <c r="O301" s="74"/>
      <c r="P301" s="124"/>
      <c r="R301" s="279"/>
      <c r="S301" s="124"/>
      <c r="T301" s="124"/>
    </row>
    <row r="302" spans="11:20" ht="12.75">
      <c r="K302" s="74"/>
      <c r="L302" s="74"/>
      <c r="M302" s="74"/>
      <c r="N302" s="124"/>
      <c r="O302" s="74"/>
      <c r="P302" s="124"/>
      <c r="R302" s="279"/>
      <c r="S302" s="124"/>
      <c r="T302" s="124"/>
    </row>
    <row r="303" spans="11:20" ht="12.75">
      <c r="K303" s="74"/>
      <c r="L303" s="74"/>
      <c r="M303" s="74"/>
      <c r="N303" s="124"/>
      <c r="O303" s="74"/>
      <c r="P303" s="124"/>
      <c r="R303" s="279"/>
      <c r="S303" s="124"/>
      <c r="T303" s="124"/>
    </row>
    <row r="304" spans="11:20" ht="12.75">
      <c r="K304" s="74"/>
      <c r="L304" s="74"/>
      <c r="M304" s="74"/>
      <c r="N304" s="124"/>
      <c r="O304" s="74"/>
      <c r="P304" s="124"/>
      <c r="R304" s="279"/>
      <c r="S304" s="124"/>
      <c r="T304" s="124"/>
    </row>
    <row r="305" spans="11:20" ht="12.75">
      <c r="K305" s="74"/>
      <c r="L305" s="74"/>
      <c r="M305" s="74"/>
      <c r="N305" s="124"/>
      <c r="O305" s="74"/>
      <c r="P305" s="124"/>
      <c r="R305" s="279"/>
      <c r="S305" s="124"/>
      <c r="T305" s="124"/>
    </row>
    <row r="306" spans="11:20" ht="12.75">
      <c r="K306" s="74"/>
      <c r="L306" s="74"/>
      <c r="M306" s="74"/>
      <c r="N306" s="124"/>
      <c r="O306" s="74"/>
      <c r="P306" s="124"/>
      <c r="R306" s="279"/>
      <c r="S306" s="124"/>
      <c r="T306" s="124"/>
    </row>
    <row r="307" spans="11:20" ht="12.75">
      <c r="K307" s="74"/>
      <c r="L307" s="74"/>
      <c r="M307" s="74"/>
      <c r="N307" s="124"/>
      <c r="O307" s="74"/>
      <c r="P307" s="124"/>
      <c r="R307" s="279"/>
      <c r="S307" s="124"/>
      <c r="T307" s="124"/>
    </row>
    <row r="308" spans="11:20" ht="12.75">
      <c r="K308" s="74"/>
      <c r="L308" s="74"/>
      <c r="M308" s="74"/>
      <c r="N308" s="124"/>
      <c r="O308" s="74"/>
      <c r="P308" s="124"/>
      <c r="R308" s="279"/>
      <c r="S308" s="124"/>
      <c r="T308" s="124"/>
    </row>
    <row r="309" spans="11:20" ht="12.75">
      <c r="K309" s="74"/>
      <c r="L309" s="74"/>
      <c r="M309" s="74"/>
      <c r="N309" s="124"/>
      <c r="O309" s="74"/>
      <c r="P309" s="124"/>
      <c r="R309" s="279"/>
      <c r="S309" s="124"/>
      <c r="T309" s="124"/>
    </row>
    <row r="310" spans="11:20" ht="12.75">
      <c r="K310" s="74"/>
      <c r="L310" s="74"/>
      <c r="M310" s="74"/>
      <c r="N310" s="124"/>
      <c r="O310" s="74"/>
      <c r="P310" s="124"/>
      <c r="R310" s="279"/>
      <c r="S310" s="124"/>
      <c r="T310" s="124"/>
    </row>
    <row r="311" spans="11:20" ht="12.75">
      <c r="K311" s="74"/>
      <c r="L311" s="74"/>
      <c r="M311" s="74"/>
      <c r="N311" s="124"/>
      <c r="O311" s="74"/>
      <c r="P311" s="124"/>
      <c r="R311" s="279"/>
      <c r="S311" s="124"/>
      <c r="T311" s="124"/>
    </row>
    <row r="312" spans="11:20" ht="12.75">
      <c r="K312" s="74"/>
      <c r="L312" s="74"/>
      <c r="M312" s="74"/>
      <c r="N312" s="124"/>
      <c r="O312" s="74"/>
      <c r="P312" s="124"/>
      <c r="R312" s="279"/>
      <c r="S312" s="124"/>
      <c r="T312" s="124"/>
    </row>
    <row r="313" spans="11:20" ht="12.75">
      <c r="K313" s="74"/>
      <c r="L313" s="74"/>
      <c r="M313" s="74"/>
      <c r="N313" s="124"/>
      <c r="O313" s="74"/>
      <c r="P313" s="124"/>
      <c r="R313" s="279"/>
      <c r="S313" s="124"/>
      <c r="T313" s="124"/>
    </row>
    <row r="314" spans="11:20" ht="12.75">
      <c r="K314" s="74"/>
      <c r="L314" s="74"/>
      <c r="M314" s="74"/>
      <c r="N314" s="124"/>
      <c r="O314" s="74"/>
      <c r="P314" s="124"/>
      <c r="R314" s="279"/>
      <c r="S314" s="124"/>
      <c r="T314" s="124"/>
    </row>
    <row r="315" spans="11:20" ht="12.75">
      <c r="K315" s="74"/>
      <c r="L315" s="74"/>
      <c r="M315" s="74"/>
      <c r="N315" s="124"/>
      <c r="O315" s="74"/>
      <c r="P315" s="124"/>
      <c r="R315" s="279"/>
      <c r="S315" s="124"/>
      <c r="T315" s="124"/>
    </row>
    <row r="316" spans="11:20" ht="12.75">
      <c r="K316" s="74"/>
      <c r="L316" s="74"/>
      <c r="M316" s="74"/>
      <c r="N316" s="124"/>
      <c r="O316" s="74"/>
      <c r="P316" s="124"/>
      <c r="R316" s="279"/>
      <c r="S316" s="124"/>
      <c r="T316" s="124"/>
    </row>
    <row r="317" spans="11:20" ht="12.75">
      <c r="K317" s="74"/>
      <c r="L317" s="74"/>
      <c r="M317" s="74"/>
      <c r="N317" s="124"/>
      <c r="O317" s="74"/>
      <c r="P317" s="124"/>
      <c r="R317" s="279"/>
      <c r="S317" s="124"/>
      <c r="T317" s="124"/>
    </row>
    <row r="318" spans="11:20" ht="12.75">
      <c r="K318" s="74"/>
      <c r="L318" s="74"/>
      <c r="M318" s="74"/>
      <c r="N318" s="124"/>
      <c r="O318" s="74"/>
      <c r="P318" s="124"/>
      <c r="R318" s="279"/>
      <c r="S318" s="124"/>
      <c r="T318" s="124"/>
    </row>
    <row r="319" spans="11:20" ht="12.75">
      <c r="K319" s="74"/>
      <c r="L319" s="74"/>
      <c r="M319" s="74"/>
      <c r="N319" s="124"/>
      <c r="O319" s="74"/>
      <c r="P319" s="124"/>
      <c r="R319" s="279"/>
      <c r="S319" s="124"/>
      <c r="T319" s="124"/>
    </row>
    <row r="320" spans="11:20" ht="12.75">
      <c r="K320" s="74"/>
      <c r="L320" s="74"/>
      <c r="M320" s="74"/>
      <c r="N320" s="124"/>
      <c r="O320" s="74"/>
      <c r="P320" s="124"/>
      <c r="R320" s="279"/>
      <c r="S320" s="124"/>
      <c r="T320" s="124"/>
    </row>
    <row r="321" spans="11:20" ht="12.75">
      <c r="K321" s="74"/>
      <c r="L321" s="74"/>
      <c r="M321" s="74"/>
      <c r="N321" s="124"/>
      <c r="O321" s="74"/>
      <c r="P321" s="124"/>
      <c r="R321" s="279"/>
      <c r="S321" s="124"/>
      <c r="T321" s="124"/>
    </row>
    <row r="322" spans="11:20" ht="12.75">
      <c r="K322" s="74"/>
      <c r="L322" s="74"/>
      <c r="M322" s="74"/>
      <c r="N322" s="124"/>
      <c r="O322" s="74"/>
      <c r="P322" s="124"/>
      <c r="R322" s="279"/>
      <c r="S322" s="124"/>
      <c r="T322" s="124"/>
    </row>
    <row r="323" spans="11:20" ht="12.75">
      <c r="K323" s="74"/>
      <c r="L323" s="74"/>
      <c r="M323" s="74"/>
      <c r="N323" s="124"/>
      <c r="O323" s="74"/>
      <c r="P323" s="124"/>
      <c r="R323" s="279"/>
      <c r="S323" s="124"/>
      <c r="T323" s="124"/>
    </row>
    <row r="324" spans="11:20" ht="12.75">
      <c r="K324" s="74"/>
      <c r="L324" s="74"/>
      <c r="M324" s="74"/>
      <c r="N324" s="124"/>
      <c r="O324" s="74"/>
      <c r="P324" s="124"/>
      <c r="R324" s="279"/>
      <c r="S324" s="124"/>
      <c r="T324" s="124"/>
    </row>
    <row r="325" spans="11:20" ht="12.75">
      <c r="K325" s="74"/>
      <c r="L325" s="74"/>
      <c r="M325" s="74"/>
      <c r="N325" s="124"/>
      <c r="O325" s="74"/>
      <c r="P325" s="124"/>
      <c r="R325" s="279"/>
      <c r="S325" s="124"/>
      <c r="T325" s="124"/>
    </row>
    <row r="326" spans="11:20" ht="12.75">
      <c r="K326" s="74"/>
      <c r="L326" s="74"/>
      <c r="M326" s="74"/>
      <c r="N326" s="124"/>
      <c r="O326" s="74"/>
      <c r="P326" s="124"/>
      <c r="R326" s="279"/>
      <c r="S326" s="124"/>
      <c r="T326" s="124"/>
    </row>
    <row r="327" spans="11:20" ht="12.75">
      <c r="K327" s="74"/>
      <c r="L327" s="74"/>
      <c r="M327" s="74"/>
      <c r="N327" s="124"/>
      <c r="O327" s="74"/>
      <c r="P327" s="124"/>
      <c r="R327" s="279"/>
      <c r="S327" s="124"/>
      <c r="T327" s="124"/>
    </row>
    <row r="328" spans="11:20" ht="12.75">
      <c r="K328" s="74"/>
      <c r="L328" s="74"/>
      <c r="M328" s="74"/>
      <c r="N328" s="124"/>
      <c r="O328" s="74"/>
      <c r="P328" s="124"/>
      <c r="R328" s="279"/>
      <c r="S328" s="124"/>
      <c r="T328" s="124"/>
    </row>
    <row r="329" spans="11:20" ht="12.75">
      <c r="K329" s="74"/>
      <c r="L329" s="74"/>
      <c r="M329" s="74"/>
      <c r="N329" s="124"/>
      <c r="O329" s="74"/>
      <c r="P329" s="124"/>
      <c r="R329" s="279"/>
      <c r="S329" s="124"/>
      <c r="T329" s="124"/>
    </row>
    <row r="330" spans="11:20" ht="12.75">
      <c r="K330" s="74"/>
      <c r="L330" s="74"/>
      <c r="M330" s="74"/>
      <c r="N330" s="124"/>
      <c r="O330" s="74"/>
      <c r="P330" s="124"/>
      <c r="R330" s="279"/>
      <c r="S330" s="124"/>
      <c r="T330" s="124"/>
    </row>
    <row r="331" spans="11:20" ht="12.75">
      <c r="K331" s="74"/>
      <c r="L331" s="74"/>
      <c r="M331" s="74"/>
      <c r="N331" s="124"/>
      <c r="O331" s="74"/>
      <c r="P331" s="124"/>
      <c r="R331" s="279"/>
      <c r="S331" s="124"/>
      <c r="T331" s="124"/>
    </row>
    <row r="332" spans="11:20" ht="12.75">
      <c r="K332" s="74"/>
      <c r="L332" s="74"/>
      <c r="M332" s="74"/>
      <c r="N332" s="124"/>
      <c r="O332" s="74"/>
      <c r="P332" s="124"/>
      <c r="R332" s="279"/>
      <c r="S332" s="124"/>
      <c r="T332" s="124"/>
    </row>
    <row r="333" spans="11:20" ht="12.75">
      <c r="K333" s="74"/>
      <c r="L333" s="74"/>
      <c r="M333" s="74"/>
      <c r="N333" s="124"/>
      <c r="O333" s="74"/>
      <c r="P333" s="124"/>
      <c r="R333" s="279"/>
      <c r="S333" s="124"/>
      <c r="T333" s="124"/>
    </row>
    <row r="334" spans="11:20" ht="12.75">
      <c r="K334" s="74"/>
      <c r="L334" s="74"/>
      <c r="M334" s="74"/>
      <c r="N334" s="124"/>
      <c r="O334" s="74"/>
      <c r="P334" s="124"/>
      <c r="R334" s="279"/>
      <c r="S334" s="124"/>
      <c r="T334" s="124"/>
    </row>
    <row r="335" spans="11:20" ht="12.75">
      <c r="K335" s="74"/>
      <c r="L335" s="74"/>
      <c r="M335" s="74"/>
      <c r="N335" s="124"/>
      <c r="O335" s="74"/>
      <c r="P335" s="124"/>
      <c r="R335" s="279"/>
      <c r="S335" s="124"/>
      <c r="T335" s="124"/>
    </row>
    <row r="336" spans="11:20" ht="12.75">
      <c r="K336" s="74"/>
      <c r="L336" s="74"/>
      <c r="M336" s="74"/>
      <c r="N336" s="124"/>
      <c r="O336" s="74"/>
      <c r="P336" s="124"/>
      <c r="R336" s="279"/>
      <c r="S336" s="124"/>
      <c r="T336" s="124"/>
    </row>
    <row r="337" spans="11:20" ht="12.75">
      <c r="K337" s="74"/>
      <c r="L337" s="74"/>
      <c r="M337" s="74"/>
      <c r="N337" s="124"/>
      <c r="O337" s="74"/>
      <c r="P337" s="124"/>
      <c r="R337" s="279"/>
      <c r="S337" s="124"/>
      <c r="T337" s="124"/>
    </row>
    <row r="338" spans="11:20" ht="12.75">
      <c r="K338" s="74"/>
      <c r="L338" s="74"/>
      <c r="M338" s="74"/>
      <c r="N338" s="124"/>
      <c r="O338" s="74"/>
      <c r="P338" s="124"/>
      <c r="R338" s="279"/>
      <c r="S338" s="124"/>
      <c r="T338" s="124"/>
    </row>
    <row r="339" spans="11:20" ht="12.75">
      <c r="K339" s="74"/>
      <c r="L339" s="74"/>
      <c r="M339" s="74"/>
      <c r="N339" s="124"/>
      <c r="O339" s="74"/>
      <c r="P339" s="124"/>
      <c r="R339" s="279"/>
      <c r="S339" s="124"/>
      <c r="T339" s="124"/>
    </row>
    <row r="340" spans="11:20" ht="12.75">
      <c r="K340" s="74"/>
      <c r="L340" s="74"/>
      <c r="M340" s="74"/>
      <c r="N340" s="124"/>
      <c r="O340" s="74"/>
      <c r="P340" s="124"/>
      <c r="R340" s="279"/>
      <c r="S340" s="124"/>
      <c r="T340" s="124"/>
    </row>
    <row r="341" spans="11:20" ht="12.75">
      <c r="K341" s="74"/>
      <c r="L341" s="74"/>
      <c r="M341" s="74"/>
      <c r="N341" s="124"/>
      <c r="O341" s="74"/>
      <c r="P341" s="124"/>
      <c r="R341" s="279"/>
      <c r="S341" s="124"/>
      <c r="T341" s="124"/>
    </row>
    <row r="342" spans="11:20" ht="12.75">
      <c r="K342" s="74"/>
      <c r="L342" s="74"/>
      <c r="M342" s="74"/>
      <c r="N342" s="124"/>
      <c r="O342" s="74"/>
      <c r="P342" s="124"/>
      <c r="R342" s="279"/>
      <c r="S342" s="124"/>
      <c r="T342" s="124"/>
    </row>
    <row r="343" spans="11:20" ht="12.75">
      <c r="K343" s="74"/>
      <c r="L343" s="74"/>
      <c r="M343" s="74"/>
      <c r="N343" s="124"/>
      <c r="O343" s="74"/>
      <c r="P343" s="124"/>
      <c r="R343" s="279"/>
      <c r="S343" s="124"/>
      <c r="T343" s="124"/>
    </row>
    <row r="344" spans="11:20" ht="12.75">
      <c r="K344" s="74"/>
      <c r="L344" s="74"/>
      <c r="M344" s="74"/>
      <c r="N344" s="124"/>
      <c r="O344" s="74"/>
      <c r="P344" s="124"/>
      <c r="R344" s="279"/>
      <c r="S344" s="124"/>
      <c r="T344" s="124"/>
    </row>
    <row r="345" spans="11:20" ht="12.75">
      <c r="K345" s="74"/>
      <c r="L345" s="74"/>
      <c r="M345" s="74"/>
      <c r="N345" s="124"/>
      <c r="O345" s="74"/>
      <c r="P345" s="124"/>
      <c r="R345" s="279"/>
      <c r="S345" s="124"/>
      <c r="T345" s="124"/>
    </row>
    <row r="346" spans="11:20" ht="12.75">
      <c r="K346" s="74"/>
      <c r="L346" s="74"/>
      <c r="M346" s="74"/>
      <c r="N346" s="124"/>
      <c r="O346" s="74"/>
      <c r="P346" s="124"/>
      <c r="R346" s="279"/>
      <c r="S346" s="124"/>
      <c r="T346" s="124"/>
    </row>
    <row r="347" spans="11:20" ht="12.75">
      <c r="K347" s="74"/>
      <c r="L347" s="74"/>
      <c r="M347" s="74"/>
      <c r="N347" s="124"/>
      <c r="O347" s="74"/>
      <c r="P347" s="124"/>
      <c r="R347" s="279"/>
      <c r="S347" s="124"/>
      <c r="T347" s="124"/>
    </row>
    <row r="348" spans="11:20" ht="12.75">
      <c r="K348" s="74"/>
      <c r="L348" s="74"/>
      <c r="M348" s="74"/>
      <c r="N348" s="124"/>
      <c r="O348" s="74"/>
      <c r="P348" s="124"/>
      <c r="R348" s="279"/>
      <c r="S348" s="124"/>
      <c r="T348" s="124"/>
    </row>
    <row r="349" spans="11:20" ht="12.75">
      <c r="K349" s="74"/>
      <c r="L349" s="74"/>
      <c r="M349" s="74"/>
      <c r="N349" s="124"/>
      <c r="O349" s="74"/>
      <c r="P349" s="124"/>
      <c r="R349" s="279"/>
      <c r="S349" s="124"/>
      <c r="T349" s="124"/>
    </row>
    <row r="350" spans="11:20" ht="12.75">
      <c r="K350" s="74"/>
      <c r="L350" s="74"/>
      <c r="M350" s="74"/>
      <c r="N350" s="124"/>
      <c r="O350" s="74"/>
      <c r="P350" s="124"/>
      <c r="R350" s="279"/>
      <c r="S350" s="124"/>
      <c r="T350" s="124"/>
    </row>
    <row r="351" spans="11:20" ht="12.75">
      <c r="K351" s="74"/>
      <c r="L351" s="74"/>
      <c r="M351" s="74"/>
      <c r="N351" s="124"/>
      <c r="O351" s="74"/>
      <c r="P351" s="124"/>
      <c r="R351" s="279"/>
      <c r="S351" s="124"/>
      <c r="T351" s="124"/>
    </row>
    <row r="352" spans="11:20" ht="12.75">
      <c r="K352" s="74"/>
      <c r="L352" s="74"/>
      <c r="M352" s="74"/>
      <c r="N352" s="124"/>
      <c r="O352" s="74"/>
      <c r="P352" s="124"/>
      <c r="R352" s="279"/>
      <c r="S352" s="124"/>
      <c r="T352" s="124"/>
    </row>
    <row r="353" spans="11:20" ht="12.75">
      <c r="K353" s="74"/>
      <c r="L353" s="74"/>
      <c r="M353" s="74"/>
      <c r="N353" s="124"/>
      <c r="O353" s="74"/>
      <c r="P353" s="124"/>
      <c r="R353" s="279"/>
      <c r="S353" s="124"/>
      <c r="T353" s="124"/>
    </row>
    <row r="354" spans="11:20" ht="12.75">
      <c r="K354" s="74"/>
      <c r="L354" s="74"/>
      <c r="M354" s="74"/>
      <c r="N354" s="124"/>
      <c r="O354" s="74"/>
      <c r="P354" s="124"/>
      <c r="R354" s="279"/>
      <c r="S354" s="124"/>
      <c r="T354" s="124"/>
    </row>
    <row r="355" spans="11:20" ht="12.75">
      <c r="K355" s="74"/>
      <c r="L355" s="74"/>
      <c r="M355" s="74"/>
      <c r="N355" s="124"/>
      <c r="O355" s="74"/>
      <c r="P355" s="124"/>
      <c r="R355" s="279"/>
      <c r="S355" s="124"/>
      <c r="T355" s="124"/>
    </row>
    <row r="356" spans="11:20" ht="12.75">
      <c r="K356" s="74"/>
      <c r="L356" s="74"/>
      <c r="M356" s="74"/>
      <c r="N356" s="124"/>
      <c r="O356" s="74"/>
      <c r="P356" s="124"/>
      <c r="R356" s="279"/>
      <c r="S356" s="124"/>
      <c r="T356" s="124"/>
    </row>
    <row r="357" spans="11:20" ht="12.75">
      <c r="K357" s="74"/>
      <c r="L357" s="74"/>
      <c r="M357" s="74"/>
      <c r="N357" s="124"/>
      <c r="O357" s="74"/>
      <c r="P357" s="124"/>
      <c r="R357" s="279"/>
      <c r="S357" s="124"/>
      <c r="T357" s="124"/>
    </row>
    <row r="358" spans="11:20" ht="12.75">
      <c r="K358" s="74"/>
      <c r="L358" s="74"/>
      <c r="M358" s="74"/>
      <c r="N358" s="124"/>
      <c r="O358" s="74"/>
      <c r="P358" s="124"/>
      <c r="R358" s="279"/>
      <c r="S358" s="124"/>
      <c r="T358" s="124"/>
    </row>
    <row r="359" spans="11:20" ht="12.75">
      <c r="K359" s="74"/>
      <c r="L359" s="74"/>
      <c r="M359" s="74"/>
      <c r="N359" s="124"/>
      <c r="O359" s="74"/>
      <c r="P359" s="124"/>
      <c r="R359" s="279"/>
      <c r="S359" s="124"/>
      <c r="T359" s="124"/>
    </row>
    <row r="360" spans="11:20" ht="12.75">
      <c r="K360" s="74"/>
      <c r="L360" s="74"/>
      <c r="M360" s="74"/>
      <c r="N360" s="124"/>
      <c r="O360" s="74"/>
      <c r="P360" s="124"/>
      <c r="R360" s="279"/>
      <c r="S360" s="124"/>
      <c r="T360" s="124"/>
    </row>
    <row r="361" spans="11:20" ht="12.75">
      <c r="K361" s="74"/>
      <c r="L361" s="74"/>
      <c r="M361" s="74"/>
      <c r="N361" s="124"/>
      <c r="O361" s="74"/>
      <c r="P361" s="124"/>
      <c r="R361" s="279"/>
      <c r="S361" s="124"/>
      <c r="T361" s="124"/>
    </row>
    <row r="362" spans="11:20" ht="12.75">
      <c r="K362" s="74"/>
      <c r="L362" s="74"/>
      <c r="M362" s="74"/>
      <c r="N362" s="124"/>
      <c r="O362" s="74"/>
      <c r="P362" s="124"/>
      <c r="R362" s="279"/>
      <c r="S362" s="124"/>
      <c r="T362" s="124"/>
    </row>
    <row r="363" spans="11:20" ht="12.75">
      <c r="K363" s="74"/>
      <c r="L363" s="74"/>
      <c r="M363" s="74"/>
      <c r="N363" s="124"/>
      <c r="O363" s="74"/>
      <c r="P363" s="124"/>
      <c r="R363" s="279"/>
      <c r="S363" s="124"/>
      <c r="T363" s="124"/>
    </row>
    <row r="364" spans="11:20" ht="12.75">
      <c r="K364" s="74"/>
      <c r="L364" s="74"/>
      <c r="M364" s="74"/>
      <c r="N364" s="124"/>
      <c r="O364" s="74"/>
      <c r="P364" s="124"/>
      <c r="R364" s="279"/>
      <c r="S364" s="124"/>
      <c r="T364" s="124"/>
    </row>
    <row r="365" spans="11:20" ht="12.75">
      <c r="K365" s="74"/>
      <c r="L365" s="74"/>
      <c r="M365" s="74"/>
      <c r="N365" s="124"/>
      <c r="O365" s="74"/>
      <c r="P365" s="124"/>
      <c r="R365" s="279"/>
      <c r="S365" s="124"/>
      <c r="T365" s="124"/>
    </row>
    <row r="366" spans="11:20" ht="12.75">
      <c r="K366" s="74"/>
      <c r="L366" s="74"/>
      <c r="M366" s="74"/>
      <c r="N366" s="124"/>
      <c r="O366" s="74"/>
      <c r="P366" s="124"/>
      <c r="R366" s="279"/>
      <c r="S366" s="124"/>
      <c r="T366" s="124"/>
    </row>
    <row r="367" spans="11:20" ht="12.75">
      <c r="K367" s="74"/>
      <c r="L367" s="74"/>
      <c r="M367" s="74"/>
      <c r="N367" s="124"/>
      <c r="O367" s="74"/>
      <c r="P367" s="124"/>
      <c r="R367" s="279"/>
      <c r="S367" s="124"/>
      <c r="T367" s="124"/>
    </row>
    <row r="368" spans="11:20" ht="12.75">
      <c r="K368" s="74"/>
      <c r="L368" s="74"/>
      <c r="M368" s="74"/>
      <c r="N368" s="124"/>
      <c r="O368" s="74"/>
      <c r="P368" s="124"/>
      <c r="R368" s="279"/>
      <c r="S368" s="124"/>
      <c r="T368" s="124"/>
    </row>
    <row r="369" spans="11:20" ht="12.75">
      <c r="K369" s="74"/>
      <c r="L369" s="74"/>
      <c r="M369" s="74"/>
      <c r="N369" s="124"/>
      <c r="O369" s="74"/>
      <c r="P369" s="124"/>
      <c r="R369" s="279"/>
      <c r="S369" s="124"/>
      <c r="T369" s="124"/>
    </row>
    <row r="370" spans="11:20" ht="12.75">
      <c r="K370" s="74"/>
      <c r="L370" s="74"/>
      <c r="M370" s="74"/>
      <c r="N370" s="124"/>
      <c r="O370" s="74"/>
      <c r="P370" s="124"/>
      <c r="R370" s="279"/>
      <c r="S370" s="124"/>
      <c r="T370" s="124"/>
    </row>
    <row r="371" spans="11:20" ht="12.75">
      <c r="K371" s="74"/>
      <c r="L371" s="74"/>
      <c r="M371" s="74"/>
      <c r="N371" s="124"/>
      <c r="O371" s="74"/>
      <c r="P371" s="124"/>
      <c r="R371" s="279"/>
      <c r="S371" s="124"/>
      <c r="T371" s="124"/>
    </row>
    <row r="372" spans="11:20" ht="12.75">
      <c r="K372" s="74"/>
      <c r="L372" s="74"/>
      <c r="M372" s="74"/>
      <c r="N372" s="124"/>
      <c r="O372" s="74"/>
      <c r="P372" s="124"/>
      <c r="R372" s="279"/>
      <c r="S372" s="124"/>
      <c r="T372" s="124"/>
    </row>
    <row r="373" spans="11:20" ht="12.75">
      <c r="K373" s="74"/>
      <c r="L373" s="74"/>
      <c r="M373" s="74"/>
      <c r="N373" s="124"/>
      <c r="O373" s="74"/>
      <c r="P373" s="124"/>
      <c r="R373" s="279"/>
      <c r="S373" s="124"/>
      <c r="T373" s="124"/>
    </row>
    <row r="374" spans="11:20" ht="12.75">
      <c r="K374" s="74"/>
      <c r="L374" s="74"/>
      <c r="M374" s="74"/>
      <c r="N374" s="124"/>
      <c r="O374" s="74"/>
      <c r="P374" s="124"/>
      <c r="R374" s="279"/>
      <c r="S374" s="124"/>
      <c r="T374" s="124"/>
    </row>
    <row r="375" spans="11:20" ht="12.75">
      <c r="K375" s="74"/>
      <c r="L375" s="74"/>
      <c r="M375" s="74"/>
      <c r="N375" s="124"/>
      <c r="O375" s="74"/>
      <c r="P375" s="124"/>
      <c r="R375" s="279"/>
      <c r="S375" s="124"/>
      <c r="T375" s="124"/>
    </row>
    <row r="376" spans="11:20" ht="12.75">
      <c r="K376" s="74"/>
      <c r="L376" s="74"/>
      <c r="M376" s="74"/>
      <c r="N376" s="124"/>
      <c r="O376" s="74"/>
      <c r="P376" s="124"/>
      <c r="R376" s="279"/>
      <c r="S376" s="124"/>
      <c r="T376" s="124"/>
    </row>
    <row r="377" spans="11:20" ht="12.75">
      <c r="K377" s="74"/>
      <c r="L377" s="74"/>
      <c r="M377" s="74"/>
      <c r="N377" s="124"/>
      <c r="O377" s="74"/>
      <c r="P377" s="124"/>
      <c r="R377" s="279"/>
      <c r="S377" s="124"/>
      <c r="T377" s="124"/>
    </row>
    <row r="378" spans="11:20" ht="12.75">
      <c r="K378" s="74"/>
      <c r="L378" s="74"/>
      <c r="M378" s="74"/>
      <c r="N378" s="124"/>
      <c r="O378" s="74"/>
      <c r="P378" s="124"/>
      <c r="R378" s="279"/>
      <c r="S378" s="124"/>
      <c r="T378" s="124"/>
    </row>
    <row r="379" spans="11:20" ht="12.75">
      <c r="K379" s="74"/>
      <c r="L379" s="74"/>
      <c r="M379" s="74"/>
      <c r="N379" s="124"/>
      <c r="O379" s="74"/>
      <c r="P379" s="124"/>
      <c r="R379" s="279"/>
      <c r="S379" s="124"/>
      <c r="T379" s="124"/>
    </row>
    <row r="380" spans="11:20" ht="12.75">
      <c r="K380" s="74"/>
      <c r="L380" s="74"/>
      <c r="M380" s="74"/>
      <c r="N380" s="124"/>
      <c r="O380" s="74"/>
      <c r="P380" s="124"/>
      <c r="R380" s="279"/>
      <c r="S380" s="124"/>
      <c r="T380" s="124"/>
    </row>
    <row r="381" spans="11:20" ht="12.75">
      <c r="K381" s="74"/>
      <c r="L381" s="74"/>
      <c r="M381" s="74"/>
      <c r="N381" s="124"/>
      <c r="O381" s="74"/>
      <c r="P381" s="124"/>
      <c r="R381" s="279"/>
      <c r="S381" s="124"/>
      <c r="T381" s="124"/>
    </row>
    <row r="382" spans="11:20" ht="12.75">
      <c r="K382" s="74"/>
      <c r="L382" s="74"/>
      <c r="M382" s="74"/>
      <c r="N382" s="124"/>
      <c r="O382" s="74"/>
      <c r="P382" s="124"/>
      <c r="R382" s="279"/>
      <c r="S382" s="124"/>
      <c r="T382" s="124"/>
    </row>
    <row r="383" spans="11:20" ht="12.75">
      <c r="K383" s="74"/>
      <c r="L383" s="74"/>
      <c r="M383" s="74"/>
      <c r="N383" s="124"/>
      <c r="O383" s="74"/>
      <c r="P383" s="124"/>
      <c r="R383" s="279"/>
      <c r="S383" s="124"/>
      <c r="T383" s="124"/>
    </row>
    <row r="384" spans="11:20" ht="12.75">
      <c r="K384" s="74"/>
      <c r="L384" s="74"/>
      <c r="M384" s="74"/>
      <c r="N384" s="124"/>
      <c r="O384" s="74"/>
      <c r="P384" s="124"/>
      <c r="R384" s="279"/>
      <c r="S384" s="124"/>
      <c r="T384" s="124"/>
    </row>
    <row r="385" spans="11:20" ht="12.75">
      <c r="K385" s="74"/>
      <c r="L385" s="74"/>
      <c r="M385" s="74"/>
      <c r="N385" s="124"/>
      <c r="O385" s="74"/>
      <c r="P385" s="124"/>
      <c r="R385" s="279"/>
      <c r="S385" s="124"/>
      <c r="T385" s="124"/>
    </row>
    <row r="386" spans="11:20" ht="12.75">
      <c r="K386" s="74"/>
      <c r="L386" s="74"/>
      <c r="M386" s="74"/>
      <c r="N386" s="124"/>
      <c r="O386" s="74"/>
      <c r="P386" s="124"/>
      <c r="R386" s="279"/>
      <c r="S386" s="124"/>
      <c r="T386" s="124"/>
    </row>
    <row r="387" spans="11:20" ht="12.75">
      <c r="K387" s="74"/>
      <c r="L387" s="74"/>
      <c r="M387" s="74"/>
      <c r="N387" s="124"/>
      <c r="O387" s="74"/>
      <c r="P387" s="124"/>
      <c r="R387" s="279"/>
      <c r="S387" s="124"/>
      <c r="T387" s="124"/>
    </row>
    <row r="388" spans="11:20" ht="12.75">
      <c r="K388" s="74"/>
      <c r="L388" s="74"/>
      <c r="M388" s="74"/>
      <c r="N388" s="124"/>
      <c r="O388" s="74"/>
      <c r="P388" s="124"/>
      <c r="R388" s="279"/>
      <c r="S388" s="124"/>
      <c r="T388" s="124"/>
    </row>
    <row r="389" spans="11:20" ht="12.75">
      <c r="K389" s="74"/>
      <c r="L389" s="74"/>
      <c r="M389" s="74"/>
      <c r="N389" s="124"/>
      <c r="O389" s="74"/>
      <c r="P389" s="124"/>
      <c r="R389" s="279"/>
      <c r="S389" s="124"/>
      <c r="T389" s="124"/>
    </row>
    <row r="390" spans="11:20" ht="12.75">
      <c r="K390" s="74"/>
      <c r="L390" s="74"/>
      <c r="M390" s="74"/>
      <c r="N390" s="124"/>
      <c r="O390" s="74"/>
      <c r="P390" s="124"/>
      <c r="R390" s="279"/>
      <c r="S390" s="124"/>
      <c r="T390" s="124"/>
    </row>
    <row r="391" spans="11:20" ht="12.75">
      <c r="K391" s="74"/>
      <c r="L391" s="74"/>
      <c r="M391" s="74"/>
      <c r="N391" s="124"/>
      <c r="O391" s="74"/>
      <c r="P391" s="124"/>
      <c r="R391" s="279"/>
      <c r="S391" s="124"/>
      <c r="T391" s="124"/>
    </row>
    <row r="392" spans="11:20" ht="12.75">
      <c r="K392" s="74"/>
      <c r="L392" s="74"/>
      <c r="M392" s="74"/>
      <c r="N392" s="124"/>
      <c r="O392" s="74"/>
      <c r="P392" s="124"/>
      <c r="R392" s="279"/>
      <c r="S392" s="124"/>
      <c r="T392" s="124"/>
    </row>
    <row r="393" spans="11:20" ht="12.75">
      <c r="K393" s="74"/>
      <c r="L393" s="74"/>
      <c r="M393" s="74"/>
      <c r="N393" s="124"/>
      <c r="O393" s="74"/>
      <c r="P393" s="124"/>
      <c r="R393" s="279"/>
      <c r="S393" s="124"/>
      <c r="T393" s="124"/>
    </row>
    <row r="394" spans="11:20" ht="12.75">
      <c r="K394" s="74"/>
      <c r="L394" s="74"/>
      <c r="M394" s="74"/>
      <c r="N394" s="124"/>
      <c r="O394" s="74"/>
      <c r="P394" s="124"/>
      <c r="R394" s="279"/>
      <c r="S394" s="124"/>
      <c r="T394" s="124"/>
    </row>
    <row r="395" spans="11:20" ht="12.75">
      <c r="K395" s="74"/>
      <c r="L395" s="74"/>
      <c r="M395" s="74"/>
      <c r="N395" s="124"/>
      <c r="O395" s="74"/>
      <c r="P395" s="124"/>
      <c r="R395" s="279"/>
      <c r="S395" s="124"/>
      <c r="T395" s="124"/>
    </row>
    <row r="396" spans="11:20" ht="12.75">
      <c r="K396" s="74"/>
      <c r="L396" s="74"/>
      <c r="M396" s="74"/>
      <c r="N396" s="124"/>
      <c r="O396" s="74"/>
      <c r="P396" s="124"/>
      <c r="R396" s="279"/>
      <c r="S396" s="124"/>
      <c r="T396" s="124"/>
    </row>
    <row r="397" spans="11:20" ht="12.75">
      <c r="K397" s="74"/>
      <c r="L397" s="74"/>
      <c r="M397" s="74"/>
      <c r="N397" s="124"/>
      <c r="O397" s="74"/>
      <c r="P397" s="124"/>
      <c r="R397" s="279"/>
      <c r="S397" s="124"/>
      <c r="T397" s="124"/>
    </row>
    <row r="398" spans="11:20" ht="12.75">
      <c r="K398" s="74"/>
      <c r="L398" s="74"/>
      <c r="M398" s="74"/>
      <c r="N398" s="124"/>
      <c r="O398" s="74"/>
      <c r="P398" s="124"/>
      <c r="R398" s="279"/>
      <c r="S398" s="124"/>
      <c r="T398" s="124"/>
    </row>
    <row r="399" spans="11:20" ht="12.75">
      <c r="K399" s="74"/>
      <c r="L399" s="74"/>
      <c r="M399" s="74"/>
      <c r="N399" s="124"/>
      <c r="O399" s="74"/>
      <c r="P399" s="124"/>
      <c r="R399" s="279"/>
      <c r="S399" s="124"/>
      <c r="T399" s="124"/>
    </row>
    <row r="400" spans="11:20" ht="12.75">
      <c r="K400" s="74"/>
      <c r="L400" s="74"/>
      <c r="M400" s="74"/>
      <c r="N400" s="124"/>
      <c r="O400" s="74"/>
      <c r="P400" s="124"/>
      <c r="R400" s="279"/>
      <c r="S400" s="124"/>
      <c r="T400" s="124"/>
    </row>
    <row r="401" spans="11:20" ht="12.75">
      <c r="K401" s="74"/>
      <c r="L401" s="74"/>
      <c r="M401" s="74"/>
      <c r="N401" s="124"/>
      <c r="O401" s="74"/>
      <c r="P401" s="124"/>
      <c r="R401" s="279"/>
      <c r="S401" s="124"/>
      <c r="T401" s="124"/>
    </row>
    <row r="402" spans="11:20" ht="12.75">
      <c r="K402" s="74"/>
      <c r="L402" s="74"/>
      <c r="M402" s="74"/>
      <c r="N402" s="124"/>
      <c r="O402" s="74"/>
      <c r="P402" s="124"/>
      <c r="R402" s="279"/>
      <c r="S402" s="124"/>
      <c r="T402" s="124"/>
    </row>
    <row r="403" spans="11:20" ht="12.75">
      <c r="K403" s="74"/>
      <c r="L403" s="74"/>
      <c r="M403" s="74"/>
      <c r="N403" s="124"/>
      <c r="O403" s="74"/>
      <c r="P403" s="124"/>
      <c r="R403" s="279"/>
      <c r="S403" s="124"/>
      <c r="T403" s="124"/>
    </row>
    <row r="404" spans="11:20" ht="12.75">
      <c r="K404" s="74"/>
      <c r="L404" s="74"/>
      <c r="M404" s="74"/>
      <c r="N404" s="124"/>
      <c r="O404" s="74"/>
      <c r="P404" s="124"/>
      <c r="R404" s="279"/>
      <c r="S404" s="124"/>
      <c r="T404" s="124"/>
    </row>
    <row r="405" spans="11:20" ht="12.75">
      <c r="K405" s="74"/>
      <c r="L405" s="74"/>
      <c r="M405" s="74"/>
      <c r="N405" s="124"/>
      <c r="O405" s="74"/>
      <c r="P405" s="124"/>
      <c r="R405" s="279"/>
      <c r="S405" s="124"/>
      <c r="T405" s="124"/>
    </row>
    <row r="406" spans="11:20" ht="12.75">
      <c r="K406" s="74"/>
      <c r="L406" s="74"/>
      <c r="M406" s="74"/>
      <c r="N406" s="124"/>
      <c r="O406" s="74"/>
      <c r="P406" s="124"/>
      <c r="R406" s="279"/>
      <c r="S406" s="124"/>
      <c r="T406" s="124"/>
    </row>
    <row r="407" spans="11:20" ht="12.75">
      <c r="K407" s="74"/>
      <c r="L407" s="74"/>
      <c r="M407" s="74"/>
      <c r="N407" s="124"/>
      <c r="O407" s="74"/>
      <c r="P407" s="124"/>
      <c r="R407" s="279"/>
      <c r="S407" s="124"/>
      <c r="T407" s="124"/>
    </row>
    <row r="408" spans="11:20" ht="12.75">
      <c r="K408" s="74"/>
      <c r="L408" s="74"/>
      <c r="M408" s="74"/>
      <c r="N408" s="124"/>
      <c r="O408" s="74"/>
      <c r="P408" s="124"/>
      <c r="R408" s="279"/>
      <c r="S408" s="124"/>
      <c r="T408" s="124"/>
    </row>
    <row r="409" spans="11:20" ht="12.75">
      <c r="K409" s="74"/>
      <c r="L409" s="74"/>
      <c r="M409" s="74"/>
      <c r="N409" s="124"/>
      <c r="O409" s="74"/>
      <c r="P409" s="124"/>
      <c r="R409" s="279"/>
      <c r="S409" s="124"/>
      <c r="T409" s="124"/>
    </row>
    <row r="410" spans="11:20" ht="12.75">
      <c r="K410" s="74"/>
      <c r="L410" s="74"/>
      <c r="M410" s="74"/>
      <c r="N410" s="124"/>
      <c r="O410" s="74"/>
      <c r="P410" s="124"/>
      <c r="R410" s="279"/>
      <c r="S410" s="124"/>
      <c r="T410" s="124"/>
    </row>
    <row r="411" spans="11:20" ht="12.75">
      <c r="K411" s="74"/>
      <c r="L411" s="74"/>
      <c r="M411" s="74"/>
      <c r="N411" s="124"/>
      <c r="O411" s="74"/>
      <c r="P411" s="124"/>
      <c r="R411" s="279"/>
      <c r="S411" s="124"/>
      <c r="T411" s="124"/>
    </row>
    <row r="412" spans="11:20" ht="12.75">
      <c r="K412" s="74"/>
      <c r="L412" s="74"/>
      <c r="M412" s="74"/>
      <c r="N412" s="124"/>
      <c r="O412" s="74"/>
      <c r="P412" s="124"/>
      <c r="R412" s="279"/>
      <c r="S412" s="124"/>
      <c r="T412" s="124"/>
    </row>
    <row r="413" spans="11:20" ht="12.75">
      <c r="K413" s="74"/>
      <c r="L413" s="74"/>
      <c r="M413" s="74"/>
      <c r="N413" s="124"/>
      <c r="O413" s="74"/>
      <c r="P413" s="124"/>
      <c r="R413" s="279"/>
      <c r="S413" s="124"/>
      <c r="T413" s="124"/>
    </row>
    <row r="414" spans="11:20" ht="12.75">
      <c r="K414" s="74"/>
      <c r="L414" s="74"/>
      <c r="M414" s="74"/>
      <c r="N414" s="124"/>
      <c r="O414" s="74"/>
      <c r="P414" s="124"/>
      <c r="R414" s="279"/>
      <c r="S414" s="124"/>
      <c r="T414" s="124"/>
    </row>
    <row r="415" spans="11:20" ht="12.75">
      <c r="K415" s="74"/>
      <c r="L415" s="74"/>
      <c r="M415" s="74"/>
      <c r="N415" s="124"/>
      <c r="O415" s="74"/>
      <c r="P415" s="124"/>
      <c r="R415" s="279"/>
      <c r="S415" s="124"/>
      <c r="T415" s="124"/>
    </row>
    <row r="416" spans="11:20" ht="12.75">
      <c r="K416" s="74"/>
      <c r="L416" s="74"/>
      <c r="M416" s="74"/>
      <c r="N416" s="124"/>
      <c r="O416" s="74"/>
      <c r="P416" s="124"/>
      <c r="R416" s="279"/>
      <c r="S416" s="124"/>
      <c r="T416" s="124"/>
    </row>
    <row r="417" spans="11:20" ht="12.75">
      <c r="K417" s="74"/>
      <c r="L417" s="74"/>
      <c r="M417" s="74"/>
      <c r="N417" s="124"/>
      <c r="O417" s="74"/>
      <c r="P417" s="124"/>
      <c r="R417" s="279"/>
      <c r="S417" s="124"/>
      <c r="T417" s="124"/>
    </row>
    <row r="418" spans="11:20" ht="12.75">
      <c r="K418" s="74"/>
      <c r="L418" s="74"/>
      <c r="M418" s="74"/>
      <c r="N418" s="124"/>
      <c r="O418" s="74"/>
      <c r="P418" s="124"/>
      <c r="R418" s="279"/>
      <c r="S418" s="124"/>
      <c r="T418" s="124"/>
    </row>
    <row r="419" spans="11:20" ht="12.75">
      <c r="K419" s="74"/>
      <c r="L419" s="74"/>
      <c r="M419" s="74"/>
      <c r="N419" s="124"/>
      <c r="O419" s="74"/>
      <c r="P419" s="124"/>
      <c r="R419" s="279"/>
      <c r="S419" s="124"/>
      <c r="T419" s="124"/>
    </row>
    <row r="420" spans="11:20" ht="12.75">
      <c r="K420" s="74"/>
      <c r="L420" s="74"/>
      <c r="M420" s="74"/>
      <c r="N420" s="124"/>
      <c r="O420" s="74"/>
      <c r="P420" s="124"/>
      <c r="R420" s="279"/>
      <c r="S420" s="124"/>
      <c r="T420" s="124"/>
    </row>
    <row r="421" spans="11:20" ht="12.75">
      <c r="K421" s="74"/>
      <c r="L421" s="74"/>
      <c r="M421" s="74"/>
      <c r="N421" s="124"/>
      <c r="O421" s="74"/>
      <c r="P421" s="124"/>
      <c r="R421" s="279"/>
      <c r="S421" s="124"/>
      <c r="T421" s="124"/>
    </row>
    <row r="422" spans="11:20" ht="12.75">
      <c r="K422" s="74"/>
      <c r="L422" s="74"/>
      <c r="M422" s="74"/>
      <c r="N422" s="124"/>
      <c r="O422" s="74"/>
      <c r="P422" s="124"/>
      <c r="R422" s="279"/>
      <c r="S422" s="124"/>
      <c r="T422" s="124"/>
    </row>
    <row r="423" spans="11:20" ht="12.75">
      <c r="K423" s="74"/>
      <c r="L423" s="74"/>
      <c r="M423" s="74"/>
      <c r="N423" s="124"/>
      <c r="O423" s="74"/>
      <c r="P423" s="124"/>
      <c r="R423" s="279"/>
      <c r="S423" s="124"/>
      <c r="T423" s="124"/>
    </row>
    <row r="424" spans="11:20" ht="12.75">
      <c r="K424" s="74"/>
      <c r="L424" s="74"/>
      <c r="M424" s="74"/>
      <c r="N424" s="124"/>
      <c r="O424" s="74"/>
      <c r="P424" s="124"/>
      <c r="R424" s="279"/>
      <c r="S424" s="124"/>
      <c r="T424" s="124"/>
    </row>
    <row r="425" spans="11:20" ht="12.75">
      <c r="K425" s="74"/>
      <c r="L425" s="74"/>
      <c r="M425" s="74"/>
      <c r="N425" s="124"/>
      <c r="O425" s="74"/>
      <c r="P425" s="124"/>
      <c r="R425" s="279"/>
      <c r="S425" s="124"/>
      <c r="T425" s="124"/>
    </row>
    <row r="426" spans="11:20" ht="12.75">
      <c r="K426" s="74"/>
      <c r="L426" s="74"/>
      <c r="M426" s="74"/>
      <c r="N426" s="124"/>
      <c r="O426" s="74"/>
      <c r="P426" s="124"/>
      <c r="R426" s="279"/>
      <c r="S426" s="124"/>
      <c r="T426" s="124"/>
    </row>
    <row r="427" spans="11:20" ht="12.75">
      <c r="K427" s="74"/>
      <c r="L427" s="74"/>
      <c r="M427" s="74"/>
      <c r="N427" s="124"/>
      <c r="O427" s="74"/>
      <c r="P427" s="124"/>
      <c r="R427" s="279"/>
      <c r="S427" s="124"/>
      <c r="T427" s="124"/>
    </row>
    <row r="428" spans="11:20" ht="12.75">
      <c r="K428" s="74"/>
      <c r="L428" s="74"/>
      <c r="M428" s="74"/>
      <c r="N428" s="124"/>
      <c r="O428" s="74"/>
      <c r="P428" s="124"/>
      <c r="R428" s="279"/>
      <c r="S428" s="124"/>
      <c r="T428" s="124"/>
    </row>
    <row r="429" spans="11:20" ht="12.75">
      <c r="K429" s="74"/>
      <c r="L429" s="74"/>
      <c r="M429" s="74"/>
      <c r="N429" s="124"/>
      <c r="O429" s="74"/>
      <c r="P429" s="124"/>
      <c r="R429" s="279"/>
      <c r="S429" s="124"/>
      <c r="T429" s="124"/>
    </row>
    <row r="430" spans="11:20" ht="12.75">
      <c r="K430" s="74"/>
      <c r="L430" s="74"/>
      <c r="M430" s="74"/>
      <c r="N430" s="124"/>
      <c r="O430" s="74"/>
      <c r="P430" s="124"/>
      <c r="R430" s="279"/>
      <c r="S430" s="124"/>
      <c r="T430" s="124"/>
    </row>
    <row r="431" spans="11:20" ht="12.75">
      <c r="K431" s="74"/>
      <c r="L431" s="74"/>
      <c r="M431" s="74"/>
      <c r="N431" s="124"/>
      <c r="O431" s="74"/>
      <c r="P431" s="124"/>
      <c r="R431" s="279"/>
      <c r="S431" s="124"/>
      <c r="T431" s="124"/>
    </row>
    <row r="432" spans="11:20" ht="12.75">
      <c r="K432" s="74"/>
      <c r="L432" s="74"/>
      <c r="M432" s="74"/>
      <c r="N432" s="124"/>
      <c r="O432" s="74"/>
      <c r="P432" s="124"/>
      <c r="R432" s="279"/>
      <c r="S432" s="124"/>
      <c r="T432" s="124"/>
    </row>
    <row r="433" spans="11:20" ht="12.75">
      <c r="K433" s="74"/>
      <c r="L433" s="74"/>
      <c r="M433" s="74"/>
      <c r="N433" s="124"/>
      <c r="O433" s="74"/>
      <c r="P433" s="124"/>
      <c r="R433" s="279"/>
      <c r="S433" s="124"/>
      <c r="T433" s="124"/>
    </row>
    <row r="434" spans="11:20" ht="12.75">
      <c r="K434" s="74"/>
      <c r="L434" s="74"/>
      <c r="M434" s="74"/>
      <c r="N434" s="124"/>
      <c r="O434" s="74"/>
      <c r="P434" s="124"/>
      <c r="R434" s="279"/>
      <c r="S434" s="124"/>
      <c r="T434" s="124"/>
    </row>
    <row r="435" spans="11:20" ht="12.75">
      <c r="K435" s="74"/>
      <c r="L435" s="74"/>
      <c r="M435" s="74"/>
      <c r="N435" s="124"/>
      <c r="O435" s="74"/>
      <c r="P435" s="124"/>
      <c r="R435" s="279"/>
      <c r="S435" s="124"/>
      <c r="T435" s="124"/>
    </row>
    <row r="436" spans="11:20" ht="12.75">
      <c r="K436" s="74"/>
      <c r="L436" s="74"/>
      <c r="M436" s="74"/>
      <c r="N436" s="124"/>
      <c r="O436" s="74"/>
      <c r="P436" s="124"/>
      <c r="R436" s="279"/>
      <c r="S436" s="124"/>
      <c r="T436" s="124"/>
    </row>
    <row r="437" spans="11:20" ht="12.75">
      <c r="K437" s="74"/>
      <c r="L437" s="74"/>
      <c r="M437" s="74"/>
      <c r="N437" s="124"/>
      <c r="O437" s="74"/>
      <c r="P437" s="124"/>
      <c r="R437" s="279"/>
      <c r="S437" s="124"/>
      <c r="T437" s="124"/>
    </row>
    <row r="438" spans="11:20" ht="12.75">
      <c r="K438" s="74"/>
      <c r="L438" s="74"/>
      <c r="M438" s="74"/>
      <c r="N438" s="124"/>
      <c r="O438" s="74"/>
      <c r="P438" s="124"/>
      <c r="R438" s="279"/>
      <c r="S438" s="124"/>
      <c r="T438" s="124"/>
    </row>
    <row r="439" spans="11:20" ht="12.75">
      <c r="K439" s="74"/>
      <c r="L439" s="74"/>
      <c r="M439" s="74"/>
      <c r="N439" s="124"/>
      <c r="O439" s="74"/>
      <c r="P439" s="124"/>
      <c r="R439" s="279"/>
      <c r="S439" s="124"/>
      <c r="T439" s="124"/>
    </row>
    <row r="440" spans="11:20" ht="12.75">
      <c r="K440" s="74"/>
      <c r="L440" s="74"/>
      <c r="M440" s="74"/>
      <c r="N440" s="124"/>
      <c r="O440" s="74"/>
      <c r="P440" s="124"/>
      <c r="R440" s="279"/>
      <c r="S440" s="124"/>
      <c r="T440" s="124"/>
    </row>
    <row r="441" spans="11:20" ht="12.75">
      <c r="K441" s="74"/>
      <c r="L441" s="74"/>
      <c r="M441" s="74"/>
      <c r="N441" s="124"/>
      <c r="O441" s="74"/>
      <c r="P441" s="124"/>
      <c r="R441" s="279"/>
      <c r="S441" s="124"/>
      <c r="T441" s="124"/>
    </row>
    <row r="442" spans="11:20" ht="12.75">
      <c r="K442" s="74"/>
      <c r="L442" s="74"/>
      <c r="M442" s="74"/>
      <c r="N442" s="124"/>
      <c r="O442" s="74"/>
      <c r="P442" s="124"/>
      <c r="R442" s="279"/>
      <c r="S442" s="124"/>
      <c r="T442" s="124"/>
    </row>
    <row r="443" spans="11:20" ht="12.75">
      <c r="K443" s="74"/>
      <c r="L443" s="74"/>
      <c r="M443" s="74"/>
      <c r="N443" s="124"/>
      <c r="O443" s="74"/>
      <c r="P443" s="124"/>
      <c r="R443" s="279"/>
      <c r="S443" s="124"/>
      <c r="T443" s="124"/>
    </row>
    <row r="444" spans="11:20" ht="12.75">
      <c r="K444" s="74"/>
      <c r="L444" s="74"/>
      <c r="M444" s="74"/>
      <c r="N444" s="124"/>
      <c r="O444" s="74"/>
      <c r="P444" s="124"/>
      <c r="R444" s="279"/>
      <c r="S444" s="124"/>
      <c r="T444" s="124"/>
    </row>
    <row r="445" spans="11:20" ht="12.75">
      <c r="K445" s="74"/>
      <c r="L445" s="74"/>
      <c r="M445" s="74"/>
      <c r="N445" s="124"/>
      <c r="O445" s="74"/>
      <c r="P445" s="124"/>
      <c r="R445" s="279"/>
      <c r="S445" s="124"/>
      <c r="T445" s="124"/>
    </row>
    <row r="446" spans="11:20" ht="12.75">
      <c r="K446" s="74"/>
      <c r="L446" s="74"/>
      <c r="M446" s="74"/>
      <c r="N446" s="124"/>
      <c r="O446" s="74"/>
      <c r="P446" s="124"/>
      <c r="R446" s="279"/>
      <c r="S446" s="124"/>
      <c r="T446" s="124"/>
    </row>
    <row r="447" spans="11:20" ht="12.75">
      <c r="K447" s="74"/>
      <c r="L447" s="74"/>
      <c r="M447" s="74"/>
      <c r="N447" s="124"/>
      <c r="O447" s="74"/>
      <c r="P447" s="124"/>
      <c r="R447" s="279"/>
      <c r="S447" s="124"/>
      <c r="T447" s="124"/>
    </row>
    <row r="448" spans="11:20" ht="12.75">
      <c r="K448" s="74"/>
      <c r="L448" s="74"/>
      <c r="M448" s="74"/>
      <c r="N448" s="124"/>
      <c r="O448" s="74"/>
      <c r="P448" s="124"/>
      <c r="R448" s="279"/>
      <c r="S448" s="124"/>
      <c r="T448" s="124"/>
    </row>
    <row r="449" spans="11:20" ht="12.75">
      <c r="K449" s="74"/>
      <c r="L449" s="74"/>
      <c r="M449" s="74"/>
      <c r="N449" s="124"/>
      <c r="O449" s="74"/>
      <c r="P449" s="124"/>
      <c r="R449" s="279"/>
      <c r="S449" s="124"/>
      <c r="T449" s="124"/>
    </row>
    <row r="450" spans="11:20" ht="12.75">
      <c r="K450" s="74"/>
      <c r="L450" s="74"/>
      <c r="M450" s="74"/>
      <c r="N450" s="124"/>
      <c r="O450" s="74"/>
      <c r="P450" s="124"/>
      <c r="R450" s="279"/>
      <c r="S450" s="124"/>
      <c r="T450" s="124"/>
    </row>
    <row r="451" spans="11:20" ht="12.75">
      <c r="K451" s="74"/>
      <c r="L451" s="74"/>
      <c r="M451" s="74"/>
      <c r="N451" s="124"/>
      <c r="O451" s="74"/>
      <c r="P451" s="124"/>
      <c r="R451" s="279"/>
      <c r="S451" s="124"/>
      <c r="T451" s="124"/>
    </row>
    <row r="452" spans="11:20" ht="12.75">
      <c r="K452" s="74"/>
      <c r="L452" s="74"/>
      <c r="M452" s="74"/>
      <c r="N452" s="124"/>
      <c r="O452" s="74"/>
      <c r="P452" s="124"/>
      <c r="R452" s="279"/>
      <c r="S452" s="124"/>
      <c r="T452" s="124"/>
    </row>
    <row r="453" spans="11:20" ht="12.75">
      <c r="K453" s="74"/>
      <c r="L453" s="74"/>
      <c r="M453" s="74"/>
      <c r="N453" s="124"/>
      <c r="O453" s="74"/>
      <c r="P453" s="124"/>
      <c r="R453" s="279"/>
      <c r="S453" s="124"/>
      <c r="T453" s="124"/>
    </row>
    <row r="454" spans="11:20" ht="12.75">
      <c r="K454" s="74"/>
      <c r="L454" s="74"/>
      <c r="M454" s="74"/>
      <c r="N454" s="124"/>
      <c r="O454" s="74"/>
      <c r="P454" s="124"/>
      <c r="R454" s="279"/>
      <c r="S454" s="124"/>
      <c r="T454" s="124"/>
    </row>
    <row r="455" spans="11:20" ht="12.75">
      <c r="K455" s="74"/>
      <c r="L455" s="74"/>
      <c r="M455" s="74"/>
      <c r="N455" s="124"/>
      <c r="O455" s="74"/>
      <c r="P455" s="124"/>
      <c r="R455" s="279"/>
      <c r="S455" s="124"/>
      <c r="T455" s="124"/>
    </row>
    <row r="456" spans="11:20" ht="12.75">
      <c r="K456" s="74"/>
      <c r="L456" s="74"/>
      <c r="M456" s="74"/>
      <c r="N456" s="124"/>
      <c r="O456" s="74"/>
      <c r="P456" s="124"/>
      <c r="R456" s="279"/>
      <c r="S456" s="124"/>
      <c r="T456" s="124"/>
    </row>
    <row r="457" spans="11:20" ht="12.75">
      <c r="K457" s="74"/>
      <c r="L457" s="74"/>
      <c r="M457" s="74"/>
      <c r="N457" s="124"/>
      <c r="O457" s="74"/>
      <c r="P457" s="124"/>
      <c r="R457" s="279"/>
      <c r="S457" s="124"/>
      <c r="T457" s="124"/>
    </row>
    <row r="458" spans="11:20" ht="12.75">
      <c r="K458" s="74"/>
      <c r="L458" s="74"/>
      <c r="M458" s="74"/>
      <c r="N458" s="124"/>
      <c r="O458" s="74"/>
      <c r="P458" s="124"/>
      <c r="R458" s="279"/>
      <c r="S458" s="124"/>
      <c r="T458" s="124"/>
    </row>
    <row r="459" spans="11:20" ht="12.75">
      <c r="K459" s="74"/>
      <c r="L459" s="74"/>
      <c r="M459" s="74"/>
      <c r="N459" s="124"/>
      <c r="O459" s="74"/>
      <c r="P459" s="124"/>
      <c r="R459" s="279"/>
      <c r="S459" s="124"/>
      <c r="T459" s="124"/>
    </row>
    <row r="460" spans="11:20" ht="12.75">
      <c r="K460" s="74"/>
      <c r="L460" s="74"/>
      <c r="M460" s="74"/>
      <c r="N460" s="124"/>
      <c r="O460" s="74"/>
      <c r="P460" s="124"/>
      <c r="R460" s="279"/>
      <c r="S460" s="124"/>
      <c r="T460" s="124"/>
    </row>
    <row r="461" spans="11:20" ht="12.75">
      <c r="K461" s="74"/>
      <c r="L461" s="74"/>
      <c r="M461" s="74"/>
      <c r="N461" s="124"/>
      <c r="O461" s="74"/>
      <c r="P461" s="124"/>
      <c r="R461" s="279"/>
      <c r="S461" s="124"/>
      <c r="T461" s="124"/>
    </row>
    <row r="462" spans="11:20" ht="12.75">
      <c r="K462" s="74"/>
      <c r="L462" s="74"/>
      <c r="M462" s="74"/>
      <c r="N462" s="124"/>
      <c r="O462" s="74"/>
      <c r="P462" s="124"/>
      <c r="R462" s="279"/>
      <c r="S462" s="124"/>
      <c r="T462" s="124"/>
    </row>
    <row r="463" spans="11:20" ht="12.75">
      <c r="K463" s="74"/>
      <c r="L463" s="74"/>
      <c r="M463" s="74"/>
      <c r="N463" s="124"/>
      <c r="O463" s="74"/>
      <c r="P463" s="124"/>
      <c r="R463" s="279"/>
      <c r="S463" s="124"/>
      <c r="T463" s="124"/>
    </row>
    <row r="464" spans="11:20" ht="12.75">
      <c r="K464" s="74"/>
      <c r="L464" s="74"/>
      <c r="M464" s="74"/>
      <c r="N464" s="124"/>
      <c r="O464" s="74"/>
      <c r="P464" s="124"/>
      <c r="R464" s="279"/>
      <c r="S464" s="124"/>
      <c r="T464" s="124"/>
    </row>
    <row r="465" spans="11:20" ht="12.75">
      <c r="K465" s="74"/>
      <c r="L465" s="74"/>
      <c r="M465" s="74"/>
      <c r="N465" s="124"/>
      <c r="O465" s="74"/>
      <c r="P465" s="124"/>
      <c r="R465" s="279"/>
      <c r="S465" s="124"/>
      <c r="T465" s="124"/>
    </row>
    <row r="466" spans="11:20" ht="12.75">
      <c r="K466" s="74"/>
      <c r="L466" s="74"/>
      <c r="M466" s="74"/>
      <c r="N466" s="124"/>
      <c r="O466" s="74"/>
      <c r="P466" s="124"/>
      <c r="R466" s="279"/>
      <c r="S466" s="124"/>
      <c r="T466" s="124"/>
    </row>
    <row r="467" spans="11:20" ht="12.75">
      <c r="K467" s="74"/>
      <c r="L467" s="74"/>
      <c r="M467" s="74"/>
      <c r="N467" s="124"/>
      <c r="O467" s="74"/>
      <c r="P467" s="124"/>
      <c r="R467" s="279"/>
      <c r="S467" s="124"/>
      <c r="T467" s="124"/>
    </row>
    <row r="468" spans="11:20" ht="12.75">
      <c r="K468" s="74"/>
      <c r="L468" s="74"/>
      <c r="M468" s="74"/>
      <c r="N468" s="124"/>
      <c r="O468" s="74"/>
      <c r="P468" s="124"/>
      <c r="R468" s="279"/>
      <c r="S468" s="124"/>
      <c r="T468" s="124"/>
    </row>
    <row r="469" spans="11:20" ht="12.75">
      <c r="K469" s="74"/>
      <c r="L469" s="74"/>
      <c r="M469" s="74"/>
      <c r="N469" s="124"/>
      <c r="O469" s="74"/>
      <c r="P469" s="124"/>
      <c r="R469" s="279"/>
      <c r="S469" s="124"/>
      <c r="T469" s="124"/>
    </row>
    <row r="470" spans="11:20" ht="12.75">
      <c r="K470" s="74"/>
      <c r="L470" s="74"/>
      <c r="M470" s="74"/>
      <c r="N470" s="124"/>
      <c r="O470" s="74"/>
      <c r="P470" s="124"/>
      <c r="R470" s="279"/>
      <c r="S470" s="124"/>
      <c r="T470" s="124"/>
    </row>
    <row r="471" spans="11:20" ht="12.75">
      <c r="K471" s="74"/>
      <c r="L471" s="74"/>
      <c r="M471" s="74"/>
      <c r="N471" s="124"/>
      <c r="O471" s="74"/>
      <c r="P471" s="124"/>
      <c r="R471" s="279"/>
      <c r="S471" s="124"/>
      <c r="T471" s="124"/>
    </row>
    <row r="472" spans="11:20" ht="12.75">
      <c r="K472" s="74"/>
      <c r="L472" s="74"/>
      <c r="M472" s="74"/>
      <c r="N472" s="124"/>
      <c r="O472" s="74"/>
      <c r="P472" s="124"/>
      <c r="R472" s="279"/>
      <c r="S472" s="124"/>
      <c r="T472" s="124"/>
    </row>
    <row r="473" spans="11:20" ht="12.75">
      <c r="K473" s="74"/>
      <c r="L473" s="74"/>
      <c r="M473" s="74"/>
      <c r="N473" s="124"/>
      <c r="O473" s="74"/>
      <c r="P473" s="124"/>
      <c r="R473" s="279"/>
      <c r="S473" s="124"/>
      <c r="T473" s="124"/>
    </row>
    <row r="474" spans="11:20" ht="12.75">
      <c r="K474" s="74"/>
      <c r="L474" s="74"/>
      <c r="M474" s="74"/>
      <c r="N474" s="124"/>
      <c r="O474" s="74"/>
      <c r="P474" s="124"/>
      <c r="R474" s="279"/>
      <c r="S474" s="124"/>
      <c r="T474" s="124"/>
    </row>
    <row r="475" spans="11:20" ht="12.75">
      <c r="K475" s="74"/>
      <c r="L475" s="74"/>
      <c r="M475" s="74"/>
      <c r="N475" s="124"/>
      <c r="O475" s="74"/>
      <c r="P475" s="124"/>
      <c r="R475" s="279"/>
      <c r="S475" s="124"/>
      <c r="T475" s="124"/>
    </row>
    <row r="476" spans="11:20" ht="12.75">
      <c r="K476" s="74"/>
      <c r="L476" s="74"/>
      <c r="M476" s="74"/>
      <c r="N476" s="124"/>
      <c r="O476" s="74"/>
      <c r="P476" s="124"/>
      <c r="R476" s="279"/>
      <c r="S476" s="124"/>
      <c r="T476" s="124"/>
    </row>
    <row r="477" spans="11:20" ht="12.75">
      <c r="K477" s="74"/>
      <c r="L477" s="74"/>
      <c r="M477" s="74"/>
      <c r="N477" s="124"/>
      <c r="O477" s="74"/>
      <c r="P477" s="124"/>
      <c r="R477" s="279"/>
      <c r="S477" s="124"/>
      <c r="T477" s="124"/>
    </row>
    <row r="478" spans="11:20" ht="12.75">
      <c r="K478" s="74"/>
      <c r="L478" s="74"/>
      <c r="M478" s="74"/>
      <c r="N478" s="124"/>
      <c r="O478" s="74"/>
      <c r="P478" s="124"/>
      <c r="R478" s="279"/>
      <c r="S478" s="124"/>
      <c r="T478" s="124"/>
    </row>
    <row r="479" spans="11:20" ht="12.75">
      <c r="K479" s="74"/>
      <c r="L479" s="74"/>
      <c r="M479" s="74"/>
      <c r="N479" s="124"/>
      <c r="O479" s="74"/>
      <c r="P479" s="124"/>
      <c r="R479" s="279"/>
      <c r="S479" s="124"/>
      <c r="T479" s="124"/>
    </row>
    <row r="480" spans="11:20" ht="12.75">
      <c r="K480" s="74"/>
      <c r="L480" s="74"/>
      <c r="M480" s="74"/>
      <c r="N480" s="124"/>
      <c r="O480" s="74"/>
      <c r="P480" s="124"/>
      <c r="R480" s="279"/>
      <c r="S480" s="124"/>
      <c r="T480" s="124"/>
    </row>
    <row r="481" spans="11:20" ht="12.75">
      <c r="K481" s="74"/>
      <c r="L481" s="74"/>
      <c r="M481" s="74"/>
      <c r="N481" s="124"/>
      <c r="O481" s="74"/>
      <c r="P481" s="124"/>
      <c r="R481" s="279"/>
      <c r="S481" s="124"/>
      <c r="T481" s="124"/>
    </row>
    <row r="482" spans="11:20" ht="12.75">
      <c r="K482" s="74"/>
      <c r="L482" s="74"/>
      <c r="M482" s="74"/>
      <c r="N482" s="124"/>
      <c r="O482" s="74"/>
      <c r="P482" s="124"/>
      <c r="R482" s="279"/>
      <c r="S482" s="124"/>
      <c r="T482" s="124"/>
    </row>
    <row r="483" spans="11:20" ht="12.75">
      <c r="K483" s="74"/>
      <c r="L483" s="74"/>
      <c r="M483" s="74"/>
      <c r="N483" s="124"/>
      <c r="O483" s="74"/>
      <c r="P483" s="124"/>
      <c r="R483" s="279"/>
      <c r="S483" s="124"/>
      <c r="T483" s="124"/>
    </row>
    <row r="484" spans="11:20" ht="12.75">
      <c r="K484" s="74"/>
      <c r="L484" s="74"/>
      <c r="M484" s="74"/>
      <c r="N484" s="124"/>
      <c r="O484" s="74"/>
      <c r="P484" s="124"/>
      <c r="R484" s="279"/>
      <c r="S484" s="124"/>
      <c r="T484" s="124"/>
    </row>
    <row r="485" spans="11:20" ht="12.75">
      <c r="K485" s="74"/>
      <c r="L485" s="74"/>
      <c r="M485" s="74"/>
      <c r="N485" s="124"/>
      <c r="O485" s="74"/>
      <c r="P485" s="124"/>
      <c r="R485" s="279"/>
      <c r="S485" s="124"/>
      <c r="T485" s="124"/>
    </row>
    <row r="486" spans="11:20" ht="12.75">
      <c r="K486" s="74"/>
      <c r="L486" s="74"/>
      <c r="M486" s="74"/>
      <c r="N486" s="124"/>
      <c r="O486" s="74"/>
      <c r="P486" s="124"/>
      <c r="R486" s="279"/>
      <c r="S486" s="124"/>
      <c r="T486" s="124"/>
    </row>
    <row r="487" spans="11:20" ht="12.75">
      <c r="K487" s="74"/>
      <c r="L487" s="74"/>
      <c r="M487" s="74"/>
      <c r="N487" s="124"/>
      <c r="O487" s="74"/>
      <c r="P487" s="124"/>
      <c r="R487" s="279"/>
      <c r="S487" s="124"/>
      <c r="T487" s="124"/>
    </row>
    <row r="488" spans="11:20" ht="12.75">
      <c r="K488" s="74"/>
      <c r="L488" s="74"/>
      <c r="M488" s="74"/>
      <c r="N488" s="124"/>
      <c r="O488" s="74"/>
      <c r="P488" s="124"/>
      <c r="R488" s="279"/>
      <c r="S488" s="124"/>
      <c r="T488" s="124"/>
    </row>
    <row r="489" spans="11:20" ht="12.75">
      <c r="K489" s="74"/>
      <c r="L489" s="74"/>
      <c r="M489" s="74"/>
      <c r="N489" s="124"/>
      <c r="O489" s="74"/>
      <c r="P489" s="124"/>
      <c r="R489" s="279"/>
      <c r="S489" s="124"/>
      <c r="T489" s="124"/>
    </row>
    <row r="490" spans="11:20" ht="12.75">
      <c r="K490" s="74"/>
      <c r="L490" s="74"/>
      <c r="M490" s="74"/>
      <c r="N490" s="124"/>
      <c r="O490" s="74"/>
      <c r="P490" s="124"/>
      <c r="R490" s="279"/>
      <c r="S490" s="124"/>
      <c r="T490" s="124"/>
    </row>
    <row r="491" spans="11:20" ht="12.75">
      <c r="K491" s="74"/>
      <c r="L491" s="74"/>
      <c r="M491" s="74"/>
      <c r="N491" s="124"/>
      <c r="O491" s="74"/>
      <c r="P491" s="124"/>
      <c r="R491" s="279"/>
      <c r="S491" s="124"/>
      <c r="T491" s="124"/>
    </row>
    <row r="492" spans="11:20" ht="12.75">
      <c r="K492" s="74"/>
      <c r="L492" s="74"/>
      <c r="M492" s="74"/>
      <c r="N492" s="124"/>
      <c r="O492" s="74"/>
      <c r="P492" s="124"/>
      <c r="R492" s="279"/>
      <c r="S492" s="124"/>
      <c r="T492" s="124"/>
    </row>
    <row r="493" spans="11:20" ht="12.75">
      <c r="K493" s="74"/>
      <c r="L493" s="74"/>
      <c r="M493" s="74"/>
      <c r="N493" s="124"/>
      <c r="O493" s="74"/>
      <c r="P493" s="124"/>
      <c r="R493" s="279"/>
      <c r="S493" s="124"/>
      <c r="T493" s="124"/>
    </row>
    <row r="494" spans="11:20" ht="12.75">
      <c r="K494" s="74"/>
      <c r="L494" s="74"/>
      <c r="M494" s="74"/>
      <c r="N494" s="124"/>
      <c r="O494" s="74"/>
      <c r="P494" s="124"/>
      <c r="R494" s="279"/>
      <c r="S494" s="124"/>
      <c r="T494" s="124"/>
    </row>
    <row r="495" spans="11:20" ht="12.75">
      <c r="K495" s="74"/>
      <c r="L495" s="74"/>
      <c r="M495" s="74"/>
      <c r="N495" s="124"/>
      <c r="O495" s="74"/>
      <c r="P495" s="124"/>
      <c r="R495" s="279"/>
      <c r="S495" s="124"/>
      <c r="T495" s="124"/>
    </row>
    <row r="496" spans="11:20" ht="12.75">
      <c r="K496" s="74"/>
      <c r="L496" s="74"/>
      <c r="M496" s="74"/>
      <c r="N496" s="124"/>
      <c r="O496" s="74"/>
      <c r="P496" s="124"/>
      <c r="R496" s="279"/>
      <c r="S496" s="124"/>
      <c r="T496" s="124"/>
    </row>
    <row r="497" spans="11:20" ht="12.75">
      <c r="K497" s="74"/>
      <c r="L497" s="74"/>
      <c r="M497" s="74"/>
      <c r="N497" s="124"/>
      <c r="O497" s="74"/>
      <c r="P497" s="124"/>
      <c r="R497" s="279"/>
      <c r="S497" s="124"/>
      <c r="T497" s="124"/>
    </row>
    <row r="498" spans="11:20" ht="12.75">
      <c r="K498" s="74"/>
      <c r="L498" s="74"/>
      <c r="M498" s="74"/>
      <c r="N498" s="124"/>
      <c r="O498" s="74"/>
      <c r="P498" s="124"/>
      <c r="R498" s="279"/>
      <c r="S498" s="124"/>
      <c r="T498" s="124"/>
    </row>
    <row r="499" spans="11:20" ht="12.75">
      <c r="K499" s="74"/>
      <c r="L499" s="74"/>
      <c r="M499" s="74"/>
      <c r="N499" s="124"/>
      <c r="O499" s="74"/>
      <c r="P499" s="124"/>
      <c r="R499" s="279"/>
      <c r="S499" s="124"/>
      <c r="T499" s="124"/>
    </row>
    <row r="500" spans="11:20" ht="12.75">
      <c r="K500" s="74"/>
      <c r="L500" s="74"/>
      <c r="M500" s="74"/>
      <c r="N500" s="124"/>
      <c r="O500" s="74"/>
      <c r="P500" s="124"/>
      <c r="R500" s="279"/>
      <c r="S500" s="124"/>
      <c r="T500" s="124"/>
    </row>
    <row r="501" spans="11:20" ht="12.75">
      <c r="K501" s="74"/>
      <c r="L501" s="74"/>
      <c r="M501" s="74"/>
      <c r="N501" s="124"/>
      <c r="O501" s="74"/>
      <c r="P501" s="124"/>
      <c r="R501" s="279"/>
      <c r="S501" s="124"/>
      <c r="T501" s="124"/>
    </row>
    <row r="502" spans="11:20" ht="12.75">
      <c r="K502" s="74"/>
      <c r="L502" s="74"/>
      <c r="M502" s="74"/>
      <c r="N502" s="124"/>
      <c r="O502" s="74"/>
      <c r="P502" s="124"/>
      <c r="R502" s="279"/>
      <c r="S502" s="124"/>
      <c r="T502" s="124"/>
    </row>
    <row r="503" spans="11:20" ht="12.75">
      <c r="K503" s="74"/>
      <c r="L503" s="74"/>
      <c r="M503" s="74"/>
      <c r="N503" s="124"/>
      <c r="O503" s="74"/>
      <c r="P503" s="124"/>
      <c r="R503" s="279"/>
      <c r="S503" s="124"/>
      <c r="T503" s="124"/>
    </row>
    <row r="504" spans="11:20" ht="12.75">
      <c r="K504" s="74"/>
      <c r="L504" s="74"/>
      <c r="M504" s="74"/>
      <c r="N504" s="124"/>
      <c r="O504" s="74"/>
      <c r="P504" s="124"/>
      <c r="R504" s="279"/>
      <c r="S504" s="124"/>
      <c r="T504" s="124"/>
    </row>
    <row r="505" spans="11:20" ht="12.75">
      <c r="K505" s="74"/>
      <c r="L505" s="74"/>
      <c r="M505" s="74"/>
      <c r="N505" s="124"/>
      <c r="O505" s="74"/>
      <c r="P505" s="124"/>
      <c r="R505" s="279"/>
      <c r="S505" s="124"/>
      <c r="T505" s="124"/>
    </row>
    <row r="506" spans="11:20" ht="12.75">
      <c r="K506" s="74"/>
      <c r="L506" s="74"/>
      <c r="M506" s="74"/>
      <c r="N506" s="124"/>
      <c r="O506" s="74"/>
      <c r="P506" s="124"/>
      <c r="R506" s="279"/>
      <c r="S506" s="124"/>
      <c r="T506" s="124"/>
    </row>
    <row r="507" spans="11:20" ht="12.75">
      <c r="K507" s="74"/>
      <c r="L507" s="74"/>
      <c r="M507" s="74"/>
      <c r="N507" s="124"/>
      <c r="O507" s="74"/>
      <c r="P507" s="124"/>
      <c r="R507" s="279"/>
      <c r="S507" s="124"/>
      <c r="T507" s="124"/>
    </row>
    <row r="508" spans="11:20" ht="12.75">
      <c r="K508" s="74"/>
      <c r="L508" s="74"/>
      <c r="M508" s="74"/>
      <c r="N508" s="124"/>
      <c r="O508" s="74"/>
      <c r="P508" s="124"/>
      <c r="R508" s="279"/>
      <c r="S508" s="124"/>
      <c r="T508" s="124"/>
    </row>
    <row r="509" spans="11:20" ht="12.75">
      <c r="K509" s="74"/>
      <c r="L509" s="74"/>
      <c r="M509" s="74"/>
      <c r="N509" s="124"/>
      <c r="O509" s="74"/>
      <c r="P509" s="124"/>
      <c r="R509" s="279"/>
      <c r="S509" s="124"/>
      <c r="T509" s="124"/>
    </row>
    <row r="510" spans="11:20" ht="12.75">
      <c r="K510" s="74"/>
      <c r="L510" s="74"/>
      <c r="M510" s="74"/>
      <c r="N510" s="124"/>
      <c r="O510" s="74"/>
      <c r="P510" s="124"/>
      <c r="R510" s="279"/>
      <c r="S510" s="124"/>
      <c r="T510" s="124"/>
    </row>
    <row r="511" spans="11:20" ht="12.75">
      <c r="K511" s="74"/>
      <c r="L511" s="74"/>
      <c r="M511" s="74"/>
      <c r="N511" s="124"/>
      <c r="O511" s="74"/>
      <c r="P511" s="124"/>
      <c r="R511" s="279"/>
      <c r="S511" s="124"/>
      <c r="T511" s="124"/>
    </row>
    <row r="512" spans="11:20" ht="12.75">
      <c r="K512" s="74"/>
      <c r="L512" s="74"/>
      <c r="M512" s="74"/>
      <c r="N512" s="124"/>
      <c r="O512" s="74"/>
      <c r="P512" s="124"/>
      <c r="R512" s="279"/>
      <c r="S512" s="124"/>
      <c r="T512" s="124"/>
    </row>
    <row r="513" spans="11:20" ht="12.75">
      <c r="K513" s="74"/>
      <c r="L513" s="74"/>
      <c r="M513" s="74"/>
      <c r="N513" s="124"/>
      <c r="O513" s="74"/>
      <c r="P513" s="124"/>
      <c r="R513" s="279"/>
      <c r="S513" s="124"/>
      <c r="T513" s="124"/>
    </row>
    <row r="514" spans="11:20" ht="12.75">
      <c r="K514" s="74"/>
      <c r="L514" s="74"/>
      <c r="M514" s="74"/>
      <c r="N514" s="124"/>
      <c r="O514" s="74"/>
      <c r="P514" s="124"/>
      <c r="R514" s="279"/>
      <c r="S514" s="124"/>
      <c r="T514" s="124"/>
    </row>
    <row r="515" spans="11:20" ht="12.75">
      <c r="K515" s="74"/>
      <c r="L515" s="74"/>
      <c r="M515" s="74"/>
      <c r="N515" s="124"/>
      <c r="O515" s="74"/>
      <c r="P515" s="124"/>
      <c r="R515" s="279"/>
      <c r="S515" s="124"/>
      <c r="T515" s="124"/>
    </row>
    <row r="516" spans="11:20" ht="12.75">
      <c r="K516" s="74"/>
      <c r="L516" s="74"/>
      <c r="M516" s="74"/>
      <c r="N516" s="124"/>
      <c r="O516" s="74"/>
      <c r="P516" s="124"/>
      <c r="R516" s="279"/>
      <c r="S516" s="124"/>
      <c r="T516" s="124"/>
    </row>
    <row r="517" spans="11:20" ht="12.75">
      <c r="K517" s="74"/>
      <c r="L517" s="74"/>
      <c r="M517" s="74"/>
      <c r="N517" s="124"/>
      <c r="O517" s="74"/>
      <c r="P517" s="124"/>
      <c r="R517" s="279"/>
      <c r="S517" s="124"/>
      <c r="T517" s="124"/>
    </row>
    <row r="518" spans="11:20" ht="12.75">
      <c r="K518" s="74"/>
      <c r="L518" s="74"/>
      <c r="M518" s="74"/>
      <c r="N518" s="124"/>
      <c r="O518" s="74"/>
      <c r="P518" s="124"/>
      <c r="R518" s="279"/>
      <c r="S518" s="124"/>
      <c r="T518" s="124"/>
    </row>
    <row r="519" spans="11:20" ht="12.75">
      <c r="K519" s="74"/>
      <c r="L519" s="74"/>
      <c r="M519" s="74"/>
      <c r="N519" s="124"/>
      <c r="O519" s="74"/>
      <c r="P519" s="124"/>
      <c r="R519" s="279"/>
      <c r="S519" s="124"/>
      <c r="T519" s="124"/>
    </row>
    <row r="520" spans="11:20" ht="12.75">
      <c r="K520" s="74"/>
      <c r="L520" s="74"/>
      <c r="M520" s="74"/>
      <c r="N520" s="124"/>
      <c r="O520" s="74"/>
      <c r="P520" s="124"/>
      <c r="R520" s="279"/>
      <c r="S520" s="124"/>
      <c r="T520" s="124"/>
    </row>
    <row r="521" spans="11:20" ht="12.75">
      <c r="K521" s="74"/>
      <c r="L521" s="74"/>
      <c r="M521" s="74"/>
      <c r="N521" s="124"/>
      <c r="O521" s="74"/>
      <c r="P521" s="124"/>
      <c r="R521" s="279"/>
      <c r="S521" s="124"/>
      <c r="T521" s="124"/>
    </row>
    <row r="522" spans="11:20" ht="12.75">
      <c r="K522" s="74"/>
      <c r="L522" s="74"/>
      <c r="M522" s="74"/>
      <c r="N522" s="124"/>
      <c r="O522" s="74"/>
      <c r="P522" s="124"/>
      <c r="R522" s="279"/>
      <c r="S522" s="124"/>
      <c r="T522" s="124"/>
    </row>
    <row r="523" spans="11:20" ht="12.75">
      <c r="K523" s="74"/>
      <c r="L523" s="74"/>
      <c r="M523" s="74"/>
      <c r="N523" s="124"/>
      <c r="O523" s="74"/>
      <c r="P523" s="124"/>
      <c r="R523" s="279"/>
      <c r="S523" s="124"/>
      <c r="T523" s="124"/>
    </row>
    <row r="524" spans="11:20" ht="12.75">
      <c r="K524" s="74"/>
      <c r="L524" s="74"/>
      <c r="M524" s="74"/>
      <c r="N524" s="124"/>
      <c r="O524" s="74"/>
      <c r="P524" s="124"/>
      <c r="R524" s="279"/>
      <c r="S524" s="124"/>
      <c r="T524" s="124"/>
    </row>
    <row r="525" spans="11:20" ht="12.75">
      <c r="K525" s="74"/>
      <c r="L525" s="74"/>
      <c r="M525" s="74"/>
      <c r="N525" s="124"/>
      <c r="O525" s="74"/>
      <c r="P525" s="124"/>
      <c r="R525" s="279"/>
      <c r="S525" s="124"/>
      <c r="T525" s="124"/>
    </row>
    <row r="526" spans="11:20" ht="12.75">
      <c r="K526" s="74"/>
      <c r="L526" s="74"/>
      <c r="M526" s="74"/>
      <c r="N526" s="124"/>
      <c r="O526" s="74"/>
      <c r="P526" s="124"/>
      <c r="R526" s="279"/>
      <c r="S526" s="124"/>
      <c r="T526" s="124"/>
    </row>
    <row r="527" spans="11:20" ht="12.75">
      <c r="K527" s="74"/>
      <c r="L527" s="74"/>
      <c r="M527" s="74"/>
      <c r="N527" s="124"/>
      <c r="O527" s="74"/>
      <c r="P527" s="124"/>
      <c r="R527" s="279"/>
      <c r="S527" s="124"/>
      <c r="T527" s="124"/>
    </row>
    <row r="528" spans="11:20" ht="12.75">
      <c r="K528" s="74"/>
      <c r="L528" s="74"/>
      <c r="M528" s="74"/>
      <c r="N528" s="124"/>
      <c r="O528" s="74"/>
      <c r="P528" s="124"/>
      <c r="R528" s="279"/>
      <c r="S528" s="124"/>
      <c r="T528" s="124"/>
    </row>
    <row r="529" spans="11:20" ht="12.75">
      <c r="K529" s="74"/>
      <c r="L529" s="74"/>
      <c r="M529" s="74"/>
      <c r="N529" s="124"/>
      <c r="O529" s="74"/>
      <c r="P529" s="124"/>
      <c r="R529" s="279"/>
      <c r="S529" s="124"/>
      <c r="T529" s="124"/>
    </row>
    <row r="530" spans="11:20" ht="12.75">
      <c r="K530" s="74"/>
      <c r="L530" s="74"/>
      <c r="M530" s="74"/>
      <c r="N530" s="124"/>
      <c r="O530" s="74"/>
      <c r="P530" s="124"/>
      <c r="R530" s="279"/>
      <c r="S530" s="124"/>
      <c r="T530" s="124"/>
    </row>
    <row r="531" spans="11:20" ht="12.75">
      <c r="K531" s="74"/>
      <c r="L531" s="74"/>
      <c r="M531" s="74"/>
      <c r="N531" s="124"/>
      <c r="O531" s="74"/>
      <c r="P531" s="124"/>
      <c r="R531" s="279"/>
      <c r="S531" s="124"/>
      <c r="T531" s="124"/>
    </row>
    <row r="532" spans="11:20" ht="12.75">
      <c r="K532" s="74"/>
      <c r="L532" s="74"/>
      <c r="M532" s="74"/>
      <c r="N532" s="124"/>
      <c r="O532" s="74"/>
      <c r="P532" s="124"/>
      <c r="R532" s="279"/>
      <c r="S532" s="124"/>
      <c r="T532" s="124"/>
    </row>
    <row r="533" spans="11:20" ht="12.75">
      <c r="K533" s="74"/>
      <c r="L533" s="74"/>
      <c r="M533" s="74"/>
      <c r="N533" s="124"/>
      <c r="O533" s="74"/>
      <c r="P533" s="124"/>
      <c r="R533" s="279"/>
      <c r="S533" s="124"/>
      <c r="T533" s="124"/>
    </row>
    <row r="534" spans="11:20" ht="12.75">
      <c r="K534" s="74"/>
      <c r="L534" s="74"/>
      <c r="M534" s="74"/>
      <c r="N534" s="124"/>
      <c r="O534" s="74"/>
      <c r="P534" s="124"/>
      <c r="R534" s="279"/>
      <c r="S534" s="124"/>
      <c r="T534" s="124"/>
    </row>
    <row r="535" spans="11:20" ht="12.75">
      <c r="K535" s="74"/>
      <c r="L535" s="74"/>
      <c r="M535" s="74"/>
      <c r="N535" s="124"/>
      <c r="O535" s="74"/>
      <c r="P535" s="124"/>
      <c r="R535" s="279"/>
      <c r="S535" s="124"/>
      <c r="T535" s="124"/>
    </row>
    <row r="536" spans="11:20" ht="12.75">
      <c r="K536" s="74"/>
      <c r="L536" s="74"/>
      <c r="M536" s="74"/>
      <c r="N536" s="124"/>
      <c r="O536" s="74"/>
      <c r="P536" s="124"/>
      <c r="R536" s="279"/>
      <c r="S536" s="124"/>
      <c r="T536" s="124"/>
    </row>
    <row r="537" spans="11:20" ht="12.75">
      <c r="K537" s="74"/>
      <c r="L537" s="74"/>
      <c r="M537" s="74"/>
      <c r="N537" s="124"/>
      <c r="O537" s="74"/>
      <c r="P537" s="124"/>
      <c r="R537" s="279"/>
      <c r="S537" s="124"/>
      <c r="T537" s="124"/>
    </row>
    <row r="538" spans="11:20" ht="12.75">
      <c r="K538" s="74"/>
      <c r="L538" s="74"/>
      <c r="M538" s="74"/>
      <c r="N538" s="124"/>
      <c r="O538" s="74"/>
      <c r="P538" s="124"/>
      <c r="R538" s="279"/>
      <c r="S538" s="124"/>
      <c r="T538" s="124"/>
    </row>
    <row r="539" spans="11:20" ht="12.75">
      <c r="K539" s="74"/>
      <c r="L539" s="74"/>
      <c r="M539" s="74"/>
      <c r="N539" s="124"/>
      <c r="O539" s="74"/>
      <c r="P539" s="124"/>
      <c r="R539" s="279"/>
      <c r="S539" s="124"/>
      <c r="T539" s="124"/>
    </row>
    <row r="540" spans="11:20" ht="12.75">
      <c r="K540" s="74"/>
      <c r="L540" s="74"/>
      <c r="M540" s="74"/>
      <c r="N540" s="124"/>
      <c r="O540" s="74"/>
      <c r="P540" s="124"/>
      <c r="R540" s="279"/>
      <c r="S540" s="124"/>
      <c r="T540" s="124"/>
    </row>
    <row r="541" spans="11:20" ht="12.75">
      <c r="K541" s="74"/>
      <c r="L541" s="74"/>
      <c r="M541" s="74"/>
      <c r="N541" s="124"/>
      <c r="O541" s="74"/>
      <c r="P541" s="124"/>
      <c r="R541" s="279"/>
      <c r="S541" s="124"/>
      <c r="T541" s="124"/>
    </row>
    <row r="542" spans="11:20" ht="12.75">
      <c r="K542" s="74"/>
      <c r="L542" s="74"/>
      <c r="M542" s="74"/>
      <c r="N542" s="124"/>
      <c r="O542" s="74"/>
      <c r="P542" s="124"/>
      <c r="R542" s="279"/>
      <c r="S542" s="124"/>
      <c r="T542" s="124"/>
    </row>
    <row r="543" spans="11:20" ht="12.75">
      <c r="K543" s="74"/>
      <c r="L543" s="74"/>
      <c r="M543" s="74"/>
      <c r="N543" s="124"/>
      <c r="O543" s="74"/>
      <c r="P543" s="124"/>
      <c r="R543" s="279"/>
      <c r="S543" s="124"/>
      <c r="T543" s="124"/>
    </row>
    <row r="544" spans="11:20" ht="12.75">
      <c r="K544" s="74"/>
      <c r="L544" s="74"/>
      <c r="M544" s="74"/>
      <c r="N544" s="124"/>
      <c r="O544" s="74"/>
      <c r="P544" s="124"/>
      <c r="R544" s="279"/>
      <c r="S544" s="124"/>
      <c r="T544" s="124"/>
    </row>
    <row r="545" spans="11:20" ht="12.75">
      <c r="K545" s="74"/>
      <c r="L545" s="74"/>
      <c r="M545" s="74"/>
      <c r="N545" s="124"/>
      <c r="O545" s="74"/>
      <c r="P545" s="124"/>
      <c r="R545" s="279"/>
      <c r="S545" s="124"/>
      <c r="T545" s="124"/>
    </row>
    <row r="546" spans="11:20" ht="12.75">
      <c r="K546" s="74"/>
      <c r="L546" s="74"/>
      <c r="M546" s="74"/>
      <c r="N546" s="124"/>
      <c r="O546" s="74"/>
      <c r="P546" s="124"/>
      <c r="R546" s="279"/>
      <c r="S546" s="124"/>
      <c r="T546" s="124"/>
    </row>
    <row r="547" spans="11:20" ht="12.75">
      <c r="K547" s="74"/>
      <c r="L547" s="74"/>
      <c r="M547" s="74"/>
      <c r="N547" s="124"/>
      <c r="O547" s="74"/>
      <c r="P547" s="124"/>
      <c r="R547" s="279"/>
      <c r="S547" s="124"/>
      <c r="T547" s="124"/>
    </row>
    <row r="548" spans="11:20" ht="12.75">
      <c r="K548" s="74"/>
      <c r="L548" s="74"/>
      <c r="M548" s="74"/>
      <c r="N548" s="124"/>
      <c r="O548" s="74"/>
      <c r="P548" s="124"/>
      <c r="R548" s="279"/>
      <c r="S548" s="124"/>
      <c r="T548" s="124"/>
    </row>
    <row r="549" spans="11:20" ht="12.75">
      <c r="K549" s="74"/>
      <c r="L549" s="74"/>
      <c r="M549" s="74"/>
      <c r="N549" s="124"/>
      <c r="O549" s="74"/>
      <c r="P549" s="124"/>
      <c r="R549" s="279"/>
      <c r="S549" s="124"/>
      <c r="T549" s="124"/>
    </row>
    <row r="550" spans="11:20" ht="12.75">
      <c r="K550" s="74"/>
      <c r="L550" s="74"/>
      <c r="M550" s="74"/>
      <c r="N550" s="124"/>
      <c r="O550" s="74"/>
      <c r="P550" s="124"/>
      <c r="R550" s="279"/>
      <c r="S550" s="124"/>
      <c r="T550" s="124"/>
    </row>
    <row r="551" spans="11:20" ht="12.75">
      <c r="K551" s="74"/>
      <c r="L551" s="74"/>
      <c r="M551" s="74"/>
      <c r="N551" s="124"/>
      <c r="O551" s="74"/>
      <c r="P551" s="124"/>
      <c r="R551" s="279"/>
      <c r="S551" s="124"/>
      <c r="T551" s="124"/>
    </row>
    <row r="552" spans="11:20" ht="12.75">
      <c r="K552" s="74"/>
      <c r="L552" s="74"/>
      <c r="M552" s="74"/>
      <c r="N552" s="124"/>
      <c r="O552" s="74"/>
      <c r="P552" s="124"/>
      <c r="R552" s="279"/>
      <c r="S552" s="124"/>
      <c r="T552" s="124"/>
    </row>
    <row r="553" spans="11:20" ht="12.75">
      <c r="K553" s="74"/>
      <c r="L553" s="74"/>
      <c r="M553" s="74"/>
      <c r="N553" s="124"/>
      <c r="O553" s="74"/>
      <c r="P553" s="124"/>
      <c r="R553" s="279"/>
      <c r="S553" s="124"/>
      <c r="T553" s="124"/>
    </row>
    <row r="554" spans="11:20" ht="12.75">
      <c r="K554" s="74"/>
      <c r="L554" s="74"/>
      <c r="M554" s="74"/>
      <c r="N554" s="124"/>
      <c r="O554" s="74"/>
      <c r="P554" s="124"/>
      <c r="R554" s="279"/>
      <c r="S554" s="124"/>
      <c r="T554" s="124"/>
    </row>
    <row r="555" spans="11:20" ht="12.75">
      <c r="K555" s="74"/>
      <c r="L555" s="74"/>
      <c r="M555" s="74"/>
      <c r="N555" s="124"/>
      <c r="O555" s="74"/>
      <c r="P555" s="124"/>
      <c r="R555" s="279"/>
      <c r="S555" s="124"/>
      <c r="T555" s="124"/>
    </row>
    <row r="556" spans="11:20" ht="12.75">
      <c r="K556" s="74"/>
      <c r="L556" s="74"/>
      <c r="M556" s="74"/>
      <c r="N556" s="124"/>
      <c r="O556" s="74"/>
      <c r="P556" s="124"/>
      <c r="R556" s="279"/>
      <c r="S556" s="124"/>
      <c r="T556" s="124"/>
    </row>
    <row r="557" spans="11:20" ht="12.75">
      <c r="K557" s="74"/>
      <c r="L557" s="74"/>
      <c r="M557" s="74"/>
      <c r="N557" s="124"/>
      <c r="O557" s="74"/>
      <c r="P557" s="124"/>
      <c r="R557" s="279"/>
      <c r="S557" s="124"/>
      <c r="T557" s="124"/>
    </row>
    <row r="558" spans="11:20" ht="12.75">
      <c r="K558" s="74"/>
      <c r="L558" s="74"/>
      <c r="M558" s="74"/>
      <c r="N558" s="124"/>
      <c r="O558" s="74"/>
      <c r="P558" s="124"/>
      <c r="R558" s="279"/>
      <c r="S558" s="124"/>
      <c r="T558" s="124"/>
    </row>
    <row r="559" spans="11:20" ht="12.75">
      <c r="K559" s="74"/>
      <c r="L559" s="74"/>
      <c r="M559" s="74"/>
      <c r="N559" s="124"/>
      <c r="O559" s="74"/>
      <c r="P559" s="124"/>
      <c r="R559" s="279"/>
      <c r="S559" s="124"/>
      <c r="T559" s="124"/>
    </row>
    <row r="560" spans="11:20" ht="12.75">
      <c r="K560" s="74"/>
      <c r="L560" s="74"/>
      <c r="M560" s="74"/>
      <c r="N560" s="124"/>
      <c r="O560" s="74"/>
      <c r="P560" s="124"/>
      <c r="R560" s="279"/>
      <c r="S560" s="124"/>
      <c r="T560" s="124"/>
    </row>
    <row r="561" spans="11:20" ht="12.75">
      <c r="K561" s="74"/>
      <c r="L561" s="74"/>
      <c r="M561" s="74"/>
      <c r="N561" s="124"/>
      <c r="O561" s="74"/>
      <c r="P561" s="124"/>
      <c r="R561" s="279"/>
      <c r="S561" s="124"/>
      <c r="T561" s="124"/>
    </row>
    <row r="562" spans="11:20" ht="12.75">
      <c r="K562" s="74"/>
      <c r="L562" s="74"/>
      <c r="M562" s="74"/>
      <c r="N562" s="124"/>
      <c r="O562" s="74"/>
      <c r="P562" s="124"/>
      <c r="R562" s="279"/>
      <c r="S562" s="124"/>
      <c r="T562" s="124"/>
    </row>
    <row r="563" spans="11:20" ht="12.75">
      <c r="K563" s="74"/>
      <c r="L563" s="74"/>
      <c r="M563" s="74"/>
      <c r="N563" s="124"/>
      <c r="O563" s="74"/>
      <c r="P563" s="124"/>
      <c r="R563" s="279"/>
      <c r="S563" s="124"/>
      <c r="T563" s="124"/>
    </row>
    <row r="564" spans="11:20" ht="12.75">
      <c r="K564" s="74"/>
      <c r="L564" s="74"/>
      <c r="M564" s="74"/>
      <c r="N564" s="124"/>
      <c r="O564" s="74"/>
      <c r="P564" s="124"/>
      <c r="R564" s="279"/>
      <c r="S564" s="124"/>
      <c r="T564" s="124"/>
    </row>
    <row r="565" spans="11:20" ht="12.75">
      <c r="K565" s="74"/>
      <c r="L565" s="74"/>
      <c r="M565" s="74"/>
      <c r="N565" s="124"/>
      <c r="O565" s="74"/>
      <c r="P565" s="124"/>
      <c r="R565" s="279"/>
      <c r="S565" s="124"/>
      <c r="T565" s="124"/>
    </row>
    <row r="566" spans="11:20" ht="12.75">
      <c r="K566" s="74"/>
      <c r="L566" s="74"/>
      <c r="M566" s="74"/>
      <c r="N566" s="124"/>
      <c r="O566" s="74"/>
      <c r="P566" s="124"/>
      <c r="R566" s="279"/>
      <c r="S566" s="124"/>
      <c r="T566" s="124"/>
    </row>
    <row r="567" spans="11:20" ht="12.75">
      <c r="K567" s="74"/>
      <c r="L567" s="74"/>
      <c r="M567" s="74"/>
      <c r="N567" s="124"/>
      <c r="O567" s="74"/>
      <c r="P567" s="124"/>
      <c r="R567" s="279"/>
      <c r="S567" s="124"/>
      <c r="T567" s="124"/>
    </row>
    <row r="568" spans="11:20" ht="12.75">
      <c r="K568" s="74"/>
      <c r="L568" s="74"/>
      <c r="M568" s="74"/>
      <c r="N568" s="124"/>
      <c r="O568" s="74"/>
      <c r="P568" s="124"/>
      <c r="R568" s="279"/>
      <c r="S568" s="124"/>
      <c r="T568" s="124"/>
    </row>
    <row r="569" spans="11:20" ht="12.75">
      <c r="K569" s="74"/>
      <c r="L569" s="74"/>
      <c r="M569" s="74"/>
      <c r="N569" s="124"/>
      <c r="O569" s="74"/>
      <c r="P569" s="124"/>
      <c r="R569" s="279"/>
      <c r="S569" s="124"/>
      <c r="T569" s="124"/>
    </row>
    <row r="570" spans="11:20" ht="12.75">
      <c r="K570" s="74"/>
      <c r="L570" s="74"/>
      <c r="M570" s="74"/>
      <c r="N570" s="124"/>
      <c r="O570" s="74"/>
      <c r="P570" s="124"/>
      <c r="R570" s="279"/>
      <c r="S570" s="124"/>
      <c r="T570" s="124"/>
    </row>
    <row r="571" spans="11:20" ht="12.75">
      <c r="K571" s="74"/>
      <c r="L571" s="74"/>
      <c r="M571" s="74"/>
      <c r="N571" s="124"/>
      <c r="O571" s="74"/>
      <c r="P571" s="124"/>
      <c r="R571" s="279"/>
      <c r="S571" s="124"/>
      <c r="T571" s="124"/>
    </row>
    <row r="572" spans="11:20" ht="12.75">
      <c r="K572" s="74"/>
      <c r="L572" s="74"/>
      <c r="M572" s="74"/>
      <c r="N572" s="124"/>
      <c r="O572" s="74"/>
      <c r="P572" s="124"/>
      <c r="R572" s="279"/>
      <c r="S572" s="124"/>
      <c r="T572" s="124"/>
    </row>
    <row r="573" spans="11:20" ht="12.75">
      <c r="K573" s="74"/>
      <c r="L573" s="74"/>
      <c r="M573" s="74"/>
      <c r="N573" s="124"/>
      <c r="O573" s="74"/>
      <c r="P573" s="124"/>
      <c r="R573" s="279"/>
      <c r="S573" s="124"/>
      <c r="T573" s="124"/>
    </row>
    <row r="574" spans="11:20" ht="12.75">
      <c r="K574" s="74"/>
      <c r="L574" s="74"/>
      <c r="M574" s="74"/>
      <c r="N574" s="124"/>
      <c r="O574" s="74"/>
      <c r="P574" s="124"/>
      <c r="R574" s="279"/>
      <c r="S574" s="124"/>
      <c r="T574" s="124"/>
    </row>
    <row r="575" spans="11:20" ht="12.75">
      <c r="K575" s="74"/>
      <c r="L575" s="74"/>
      <c r="M575" s="74"/>
      <c r="N575" s="124"/>
      <c r="O575" s="74"/>
      <c r="P575" s="124"/>
      <c r="R575" s="279"/>
      <c r="S575" s="124"/>
      <c r="T575" s="124"/>
    </row>
    <row r="576" spans="11:20" ht="12.75">
      <c r="K576" s="74"/>
      <c r="L576" s="74"/>
      <c r="M576" s="74"/>
      <c r="N576" s="124"/>
      <c r="O576" s="74"/>
      <c r="P576" s="124"/>
      <c r="R576" s="279"/>
      <c r="S576" s="124"/>
      <c r="T576" s="124"/>
    </row>
    <row r="577" spans="11:20" ht="12.75">
      <c r="K577" s="74"/>
      <c r="L577" s="74"/>
      <c r="M577" s="74"/>
      <c r="N577" s="124"/>
      <c r="O577" s="74"/>
      <c r="P577" s="124"/>
      <c r="R577" s="279"/>
      <c r="S577" s="124"/>
      <c r="T577" s="124"/>
    </row>
    <row r="578" spans="11:20" ht="12.75">
      <c r="K578" s="74"/>
      <c r="L578" s="74"/>
      <c r="M578" s="74"/>
      <c r="N578" s="124"/>
      <c r="O578" s="74"/>
      <c r="P578" s="124"/>
      <c r="R578" s="279"/>
      <c r="S578" s="124"/>
      <c r="T578" s="124"/>
    </row>
    <row r="579" spans="11:20" ht="12.75">
      <c r="K579" s="74"/>
      <c r="L579" s="74"/>
      <c r="M579" s="74"/>
      <c r="N579" s="124"/>
      <c r="O579" s="74"/>
      <c r="P579" s="124"/>
      <c r="R579" s="279"/>
      <c r="S579" s="124"/>
      <c r="T579" s="124"/>
    </row>
    <row r="580" spans="11:20" ht="12.75">
      <c r="K580" s="74"/>
      <c r="L580" s="74"/>
      <c r="M580" s="74"/>
      <c r="N580" s="124"/>
      <c r="O580" s="74"/>
      <c r="P580" s="124"/>
      <c r="R580" s="279"/>
      <c r="S580" s="124"/>
      <c r="T580" s="124"/>
    </row>
    <row r="581" spans="11:20" ht="12.75">
      <c r="K581" s="74"/>
      <c r="L581" s="74"/>
      <c r="M581" s="74"/>
      <c r="N581" s="124"/>
      <c r="O581" s="74"/>
      <c r="P581" s="124"/>
      <c r="R581" s="279"/>
      <c r="S581" s="124"/>
      <c r="T581" s="124"/>
    </row>
    <row r="582" spans="11:20" ht="12.75">
      <c r="K582" s="74"/>
      <c r="L582" s="74"/>
      <c r="M582" s="74"/>
      <c r="N582" s="124"/>
      <c r="O582" s="74"/>
      <c r="P582" s="124"/>
      <c r="R582" s="279"/>
      <c r="S582" s="124"/>
      <c r="T582" s="124"/>
    </row>
    <row r="583" spans="11:20" ht="12.75">
      <c r="K583" s="74"/>
      <c r="L583" s="74"/>
      <c r="M583" s="74"/>
      <c r="N583" s="124"/>
      <c r="O583" s="74"/>
      <c r="P583" s="124"/>
      <c r="R583" s="279"/>
      <c r="S583" s="124"/>
      <c r="T583" s="124"/>
    </row>
    <row r="584" spans="11:20" ht="12.75">
      <c r="K584" s="74"/>
      <c r="L584" s="74"/>
      <c r="M584" s="74"/>
      <c r="N584" s="124"/>
      <c r="O584" s="74"/>
      <c r="P584" s="124"/>
      <c r="R584" s="279"/>
      <c r="S584" s="124"/>
      <c r="T584" s="124"/>
    </row>
    <row r="585" spans="11:20" ht="12.75">
      <c r="K585" s="74"/>
      <c r="L585" s="74"/>
      <c r="M585" s="74"/>
      <c r="N585" s="124"/>
      <c r="O585" s="74"/>
      <c r="P585" s="124"/>
      <c r="R585" s="279"/>
      <c r="S585" s="124"/>
      <c r="T585" s="124"/>
    </row>
    <row r="586" spans="11:20" ht="12.75">
      <c r="K586" s="74"/>
      <c r="L586" s="74"/>
      <c r="M586" s="74"/>
      <c r="N586" s="124"/>
      <c r="O586" s="74"/>
      <c r="P586" s="124"/>
      <c r="R586" s="279"/>
      <c r="S586" s="124"/>
      <c r="T586" s="124"/>
    </row>
    <row r="587" spans="11:20" ht="12.75">
      <c r="K587" s="74"/>
      <c r="L587" s="74"/>
      <c r="M587" s="74"/>
      <c r="N587" s="124"/>
      <c r="O587" s="74"/>
      <c r="P587" s="124"/>
      <c r="R587" s="279"/>
      <c r="S587" s="124"/>
      <c r="T587" s="124"/>
    </row>
    <row r="588" spans="11:20" ht="12.75">
      <c r="K588" s="74"/>
      <c r="L588" s="74"/>
      <c r="M588" s="74"/>
      <c r="N588" s="124"/>
      <c r="O588" s="74"/>
      <c r="P588" s="124"/>
      <c r="R588" s="279"/>
      <c r="S588" s="124"/>
      <c r="T588" s="124"/>
    </row>
    <row r="589" spans="11:20" ht="12.75">
      <c r="K589" s="74"/>
      <c r="L589" s="74"/>
      <c r="M589" s="74"/>
      <c r="N589" s="124"/>
      <c r="O589" s="74"/>
      <c r="P589" s="124"/>
      <c r="R589" s="279"/>
      <c r="S589" s="124"/>
      <c r="T589" s="124"/>
    </row>
    <row r="590" spans="11:20" ht="12.75">
      <c r="K590" s="74"/>
      <c r="L590" s="74"/>
      <c r="M590" s="74"/>
      <c r="N590" s="124"/>
      <c r="O590" s="74"/>
      <c r="P590" s="124"/>
      <c r="R590" s="279"/>
      <c r="S590" s="124"/>
      <c r="T590" s="124"/>
    </row>
    <row r="591" spans="11:20" ht="12.75">
      <c r="K591" s="74"/>
      <c r="L591" s="74"/>
      <c r="M591" s="74"/>
      <c r="N591" s="124"/>
      <c r="O591" s="74"/>
      <c r="P591" s="124"/>
      <c r="R591" s="279"/>
      <c r="S591" s="124"/>
      <c r="T591" s="124"/>
    </row>
    <row r="592" spans="11:20" ht="12.75">
      <c r="K592" s="74"/>
      <c r="L592" s="74"/>
      <c r="M592" s="74"/>
      <c r="N592" s="124"/>
      <c r="O592" s="74"/>
      <c r="P592" s="124"/>
      <c r="R592" s="279"/>
      <c r="S592" s="124"/>
      <c r="T592" s="124"/>
    </row>
    <row r="593" spans="11:20" ht="12.75">
      <c r="K593" s="74"/>
      <c r="L593" s="74"/>
      <c r="M593" s="74"/>
      <c r="N593" s="124"/>
      <c r="O593" s="74"/>
      <c r="P593" s="124"/>
      <c r="R593" s="279"/>
      <c r="S593" s="124"/>
      <c r="T593" s="124"/>
    </row>
    <row r="594" spans="11:20" ht="12.75">
      <c r="K594" s="74"/>
      <c r="L594" s="74"/>
      <c r="M594" s="74"/>
      <c r="N594" s="124"/>
      <c r="O594" s="74"/>
      <c r="P594" s="124"/>
      <c r="R594" s="279"/>
      <c r="S594" s="124"/>
      <c r="T594" s="124"/>
    </row>
    <row r="595" spans="11:20" ht="12.75">
      <c r="K595" s="74"/>
      <c r="L595" s="74"/>
      <c r="M595" s="74"/>
      <c r="N595" s="124"/>
      <c r="O595" s="74"/>
      <c r="P595" s="124"/>
      <c r="R595" s="279"/>
      <c r="S595" s="124"/>
      <c r="T595" s="124"/>
    </row>
    <row r="596" spans="11:20" ht="12.75">
      <c r="K596" s="74"/>
      <c r="L596" s="74"/>
      <c r="M596" s="74"/>
      <c r="N596" s="124"/>
      <c r="O596" s="74"/>
      <c r="P596" s="124"/>
      <c r="R596" s="279"/>
      <c r="S596" s="124"/>
      <c r="T596" s="124"/>
    </row>
    <row r="597" spans="11:20" ht="12.75">
      <c r="K597" s="74"/>
      <c r="L597" s="74"/>
      <c r="M597" s="74"/>
      <c r="N597" s="124"/>
      <c r="O597" s="74"/>
      <c r="P597" s="124"/>
      <c r="R597" s="279"/>
      <c r="S597" s="124"/>
      <c r="T597" s="124"/>
    </row>
    <row r="598" spans="11:20" ht="12.75">
      <c r="K598" s="74"/>
      <c r="L598" s="74"/>
      <c r="M598" s="74"/>
      <c r="N598" s="124"/>
      <c r="O598" s="74"/>
      <c r="P598" s="124"/>
      <c r="R598" s="279"/>
      <c r="S598" s="124"/>
      <c r="T598" s="124"/>
    </row>
    <row r="599" spans="11:20" ht="12.75">
      <c r="K599" s="74"/>
      <c r="L599" s="74"/>
      <c r="M599" s="74"/>
      <c r="N599" s="124"/>
      <c r="O599" s="74"/>
      <c r="P599" s="124"/>
      <c r="R599" s="279"/>
      <c r="S599" s="124"/>
      <c r="T599" s="124"/>
    </row>
    <row r="600" spans="11:20" ht="12.75">
      <c r="K600" s="74"/>
      <c r="L600" s="74"/>
      <c r="M600" s="74"/>
      <c r="N600" s="124"/>
      <c r="O600" s="74"/>
      <c r="P600" s="124"/>
      <c r="R600" s="279"/>
      <c r="S600" s="124"/>
      <c r="T600" s="124"/>
    </row>
    <row r="601" spans="11:20" ht="12.75">
      <c r="K601" s="74"/>
      <c r="L601" s="74"/>
      <c r="M601" s="74"/>
      <c r="N601" s="124"/>
      <c r="O601" s="74"/>
      <c r="P601" s="124"/>
      <c r="R601" s="279"/>
      <c r="S601" s="124"/>
      <c r="T601" s="124"/>
    </row>
    <row r="602" spans="11:20" ht="12.75">
      <c r="K602" s="74"/>
      <c r="L602" s="74"/>
      <c r="M602" s="74"/>
      <c r="N602" s="124"/>
      <c r="O602" s="74"/>
      <c r="P602" s="124"/>
      <c r="R602" s="279"/>
      <c r="S602" s="124"/>
      <c r="T602" s="124"/>
    </row>
    <row r="603" spans="11:20" ht="12.75">
      <c r="K603" s="74"/>
      <c r="L603" s="74"/>
      <c r="M603" s="74"/>
      <c r="N603" s="124"/>
      <c r="O603" s="74"/>
      <c r="P603" s="124"/>
      <c r="R603" s="279"/>
      <c r="S603" s="124"/>
      <c r="T603" s="124"/>
    </row>
    <row r="604" spans="11:20" ht="12.75">
      <c r="K604" s="74"/>
      <c r="L604" s="74"/>
      <c r="M604" s="74"/>
      <c r="N604" s="124"/>
      <c r="O604" s="74"/>
      <c r="P604" s="124"/>
      <c r="R604" s="279"/>
      <c r="S604" s="124"/>
      <c r="T604" s="124"/>
    </row>
    <row r="605" spans="11:20" ht="12.75">
      <c r="K605" s="74"/>
      <c r="L605" s="74"/>
      <c r="M605" s="74"/>
      <c r="N605" s="124"/>
      <c r="O605" s="74"/>
      <c r="P605" s="124"/>
      <c r="R605" s="279"/>
      <c r="S605" s="124"/>
      <c r="T605" s="124"/>
    </row>
    <row r="606" spans="11:20" ht="12.75">
      <c r="K606" s="74"/>
      <c r="L606" s="74"/>
      <c r="M606" s="74"/>
      <c r="N606" s="124"/>
      <c r="O606" s="74"/>
      <c r="P606" s="124"/>
      <c r="R606" s="279"/>
      <c r="S606" s="124"/>
      <c r="T606" s="124"/>
    </row>
    <row r="607" spans="11:20" ht="12.75">
      <c r="K607" s="74"/>
      <c r="L607" s="74"/>
      <c r="M607" s="74"/>
      <c r="N607" s="124"/>
      <c r="O607" s="74"/>
      <c r="P607" s="124"/>
      <c r="R607" s="279"/>
      <c r="S607" s="124"/>
      <c r="T607" s="124"/>
    </row>
    <row r="608" spans="11:20" ht="12.75">
      <c r="K608" s="74"/>
      <c r="L608" s="74"/>
      <c r="M608" s="74"/>
      <c r="N608" s="124"/>
      <c r="O608" s="74"/>
      <c r="P608" s="124"/>
      <c r="R608" s="279"/>
      <c r="S608" s="124"/>
      <c r="T608" s="124"/>
    </row>
    <row r="609" spans="11:20" ht="12.75">
      <c r="K609" s="74"/>
      <c r="L609" s="74"/>
      <c r="M609" s="74"/>
      <c r="N609" s="124"/>
      <c r="O609" s="74"/>
      <c r="P609" s="124"/>
      <c r="R609" s="279"/>
      <c r="S609" s="124"/>
      <c r="T609" s="124"/>
    </row>
    <row r="610" spans="11:20" ht="12.75">
      <c r="K610" s="74"/>
      <c r="L610" s="74"/>
      <c r="M610" s="74"/>
      <c r="N610" s="124"/>
      <c r="O610" s="74"/>
      <c r="P610" s="124"/>
      <c r="R610" s="279"/>
      <c r="S610" s="124"/>
      <c r="T610" s="124"/>
    </row>
    <row r="611" spans="11:20" ht="12.75">
      <c r="K611" s="74"/>
      <c r="L611" s="74"/>
      <c r="M611" s="74"/>
      <c r="N611" s="124"/>
      <c r="O611" s="74"/>
      <c r="P611" s="124"/>
      <c r="R611" s="279"/>
      <c r="S611" s="124"/>
      <c r="T611" s="124"/>
    </row>
    <row r="612" spans="11:20" ht="12.75">
      <c r="K612" s="74"/>
      <c r="L612" s="74"/>
      <c r="M612" s="74"/>
      <c r="N612" s="124"/>
      <c r="O612" s="74"/>
      <c r="P612" s="124"/>
      <c r="R612" s="279"/>
      <c r="S612" s="124"/>
      <c r="T612" s="124"/>
    </row>
    <row r="613" spans="11:20" ht="12.75">
      <c r="K613" s="74"/>
      <c r="L613" s="74"/>
      <c r="M613" s="74"/>
      <c r="N613" s="124"/>
      <c r="O613" s="74"/>
      <c r="P613" s="124"/>
      <c r="R613" s="279"/>
      <c r="S613" s="124"/>
      <c r="T613" s="124"/>
    </row>
    <row r="614" spans="11:20" ht="12.75">
      <c r="K614" s="74"/>
      <c r="L614" s="74"/>
      <c r="M614" s="74"/>
      <c r="N614" s="124"/>
      <c r="O614" s="74"/>
      <c r="P614" s="124"/>
      <c r="R614" s="279"/>
      <c r="S614" s="124"/>
      <c r="T614" s="124"/>
    </row>
    <row r="615" spans="11:20" ht="12.75">
      <c r="K615" s="74"/>
      <c r="L615" s="74"/>
      <c r="M615" s="74"/>
      <c r="N615" s="124"/>
      <c r="O615" s="74"/>
      <c r="P615" s="124"/>
      <c r="R615" s="279"/>
      <c r="S615" s="124"/>
      <c r="T615" s="124"/>
    </row>
    <row r="616" spans="11:20" ht="12.75">
      <c r="K616" s="74"/>
      <c r="L616" s="74"/>
      <c r="M616" s="74"/>
      <c r="N616" s="124"/>
      <c r="O616" s="74"/>
      <c r="P616" s="124"/>
      <c r="R616" s="279"/>
      <c r="S616" s="124"/>
      <c r="T616" s="124"/>
    </row>
    <row r="617" spans="11:20" ht="12.75">
      <c r="K617" s="74"/>
      <c r="L617" s="74"/>
      <c r="M617" s="74"/>
      <c r="N617" s="124"/>
      <c r="O617" s="74"/>
      <c r="P617" s="124"/>
      <c r="R617" s="279"/>
      <c r="S617" s="124"/>
      <c r="T617" s="124"/>
    </row>
    <row r="618" spans="11:20" ht="12.75">
      <c r="K618" s="74"/>
      <c r="L618" s="74"/>
      <c r="M618" s="74"/>
      <c r="N618" s="124"/>
      <c r="O618" s="74"/>
      <c r="P618" s="124"/>
      <c r="R618" s="279"/>
      <c r="S618" s="124"/>
      <c r="T618" s="124"/>
    </row>
    <row r="619" spans="11:20" ht="12.75">
      <c r="K619" s="74"/>
      <c r="L619" s="74"/>
      <c r="M619" s="74"/>
      <c r="N619" s="124"/>
      <c r="O619" s="74"/>
      <c r="P619" s="124"/>
      <c r="R619" s="279"/>
      <c r="S619" s="124"/>
      <c r="T619" s="124"/>
    </row>
    <row r="620" spans="11:20" ht="12.75">
      <c r="K620" s="74"/>
      <c r="L620" s="74"/>
      <c r="M620" s="74"/>
      <c r="N620" s="124"/>
      <c r="O620" s="74"/>
      <c r="P620" s="124"/>
      <c r="R620" s="279"/>
      <c r="S620" s="124"/>
      <c r="T620" s="124"/>
    </row>
    <row r="621" spans="11:20" ht="12.75">
      <c r="K621" s="74"/>
      <c r="L621" s="74"/>
      <c r="M621" s="74"/>
      <c r="N621" s="124"/>
      <c r="O621" s="74"/>
      <c r="P621" s="124"/>
      <c r="R621" s="279"/>
      <c r="S621" s="124"/>
      <c r="T621" s="124"/>
    </row>
    <row r="622" spans="11:20" ht="12.75">
      <c r="K622" s="74"/>
      <c r="L622" s="74"/>
      <c r="M622" s="74"/>
      <c r="N622" s="124"/>
      <c r="O622" s="74"/>
      <c r="P622" s="124"/>
      <c r="R622" s="279"/>
      <c r="S622" s="124"/>
      <c r="T622" s="124"/>
    </row>
    <row r="623" spans="11:20" ht="12.75">
      <c r="K623" s="74"/>
      <c r="L623" s="74"/>
      <c r="M623" s="74"/>
      <c r="N623" s="124"/>
      <c r="O623" s="74"/>
      <c r="P623" s="124"/>
      <c r="R623" s="279"/>
      <c r="S623" s="124"/>
      <c r="T623" s="124"/>
    </row>
    <row r="624" spans="11:20" ht="12.75">
      <c r="K624" s="74"/>
      <c r="L624" s="74"/>
      <c r="M624" s="74"/>
      <c r="N624" s="124"/>
      <c r="O624" s="74"/>
      <c r="P624" s="124"/>
      <c r="R624" s="279"/>
      <c r="S624" s="124"/>
      <c r="T624" s="124"/>
    </row>
    <row r="625" spans="11:20" ht="12.75">
      <c r="K625" s="74"/>
      <c r="L625" s="74"/>
      <c r="M625" s="74"/>
      <c r="N625" s="124"/>
      <c r="O625" s="74"/>
      <c r="P625" s="124"/>
      <c r="R625" s="279"/>
      <c r="S625" s="124"/>
      <c r="T625" s="124"/>
    </row>
    <row r="626" spans="11:20" ht="12.75">
      <c r="K626" s="74"/>
      <c r="L626" s="74"/>
      <c r="M626" s="74"/>
      <c r="N626" s="124"/>
      <c r="O626" s="74"/>
      <c r="P626" s="124"/>
      <c r="R626" s="279"/>
      <c r="S626" s="124"/>
      <c r="T626" s="124"/>
    </row>
    <row r="627" spans="11:20" ht="12.75">
      <c r="K627" s="74"/>
      <c r="L627" s="74"/>
      <c r="M627" s="74"/>
      <c r="N627" s="124"/>
      <c r="O627" s="74"/>
      <c r="P627" s="124"/>
      <c r="R627" s="279"/>
      <c r="S627" s="124"/>
      <c r="T627" s="124"/>
    </row>
    <row r="628" spans="11:20" ht="12.75">
      <c r="K628" s="74"/>
      <c r="L628" s="74"/>
      <c r="M628" s="74"/>
      <c r="N628" s="124"/>
      <c r="O628" s="74"/>
      <c r="P628" s="124"/>
      <c r="R628" s="279"/>
      <c r="S628" s="124"/>
      <c r="T628" s="124"/>
    </row>
    <row r="629" spans="11:20" ht="12.75">
      <c r="K629" s="74"/>
      <c r="L629" s="74"/>
      <c r="M629" s="74"/>
      <c r="N629" s="124"/>
      <c r="O629" s="74"/>
      <c r="P629" s="124"/>
      <c r="R629" s="279"/>
      <c r="S629" s="124"/>
      <c r="T629" s="124"/>
    </row>
    <row r="630" spans="11:20" ht="12.75">
      <c r="K630" s="74"/>
      <c r="L630" s="74"/>
      <c r="M630" s="74"/>
      <c r="N630" s="124"/>
      <c r="O630" s="74"/>
      <c r="P630" s="124"/>
      <c r="R630" s="279"/>
      <c r="S630" s="124"/>
      <c r="T630" s="124"/>
    </row>
    <row r="631" spans="11:20" ht="12.75">
      <c r="K631" s="74"/>
      <c r="L631" s="74"/>
      <c r="M631" s="74"/>
      <c r="N631" s="124"/>
      <c r="O631" s="74"/>
      <c r="P631" s="124"/>
      <c r="R631" s="279"/>
      <c r="S631" s="124"/>
      <c r="T631" s="124"/>
    </row>
    <row r="632" spans="11:20" ht="12.75">
      <c r="K632" s="74"/>
      <c r="L632" s="74"/>
      <c r="M632" s="74"/>
      <c r="N632" s="124"/>
      <c r="O632" s="74"/>
      <c r="P632" s="124"/>
      <c r="R632" s="279"/>
      <c r="S632" s="124"/>
      <c r="T632" s="124"/>
    </row>
    <row r="633" spans="11:20" ht="12.75">
      <c r="K633" s="74"/>
      <c r="L633" s="74"/>
      <c r="M633" s="74"/>
      <c r="N633" s="124"/>
      <c r="O633" s="74"/>
      <c r="P633" s="124"/>
      <c r="R633" s="279"/>
      <c r="S633" s="124"/>
      <c r="T633" s="124"/>
    </row>
    <row r="634" spans="11:20" ht="12.75">
      <c r="K634" s="74"/>
      <c r="L634" s="74"/>
      <c r="M634" s="74"/>
      <c r="N634" s="124"/>
      <c r="O634" s="74"/>
      <c r="P634" s="124"/>
      <c r="R634" s="279"/>
      <c r="S634" s="124"/>
      <c r="T634" s="124"/>
    </row>
    <row r="635" spans="11:20" ht="12.75">
      <c r="K635" s="74"/>
      <c r="L635" s="74"/>
      <c r="M635" s="74"/>
      <c r="N635" s="124"/>
      <c r="O635" s="74"/>
      <c r="P635" s="124"/>
      <c r="R635" s="279"/>
      <c r="S635" s="124"/>
      <c r="T635" s="124"/>
    </row>
    <row r="636" spans="11:20" ht="12.75">
      <c r="K636" s="74"/>
      <c r="L636" s="74"/>
      <c r="M636" s="74"/>
      <c r="N636" s="124"/>
      <c r="O636" s="74"/>
      <c r="P636" s="124"/>
      <c r="R636" s="279"/>
      <c r="S636" s="124"/>
      <c r="T636" s="124"/>
    </row>
    <row r="637" spans="11:20" ht="12.75">
      <c r="K637" s="74"/>
      <c r="L637" s="74"/>
      <c r="M637" s="74"/>
      <c r="N637" s="124"/>
      <c r="O637" s="74"/>
      <c r="P637" s="124"/>
      <c r="R637" s="279"/>
      <c r="S637" s="124"/>
      <c r="T637" s="124"/>
    </row>
    <row r="638" spans="11:20" ht="12.75">
      <c r="K638" s="74"/>
      <c r="L638" s="74"/>
      <c r="M638" s="74"/>
      <c r="N638" s="124"/>
      <c r="O638" s="74"/>
      <c r="P638" s="124"/>
      <c r="R638" s="279"/>
      <c r="S638" s="124"/>
      <c r="T638" s="124"/>
    </row>
    <row r="639" spans="11:20" ht="12.75">
      <c r="K639" s="74"/>
      <c r="L639" s="74"/>
      <c r="M639" s="74"/>
      <c r="N639" s="124"/>
      <c r="O639" s="74"/>
      <c r="P639" s="124"/>
      <c r="R639" s="279"/>
      <c r="S639" s="124"/>
      <c r="T639" s="124"/>
    </row>
    <row r="640" spans="11:20" ht="12.75">
      <c r="K640" s="74"/>
      <c r="L640" s="74"/>
      <c r="M640" s="74"/>
      <c r="N640" s="124"/>
      <c r="O640" s="74"/>
      <c r="P640" s="124"/>
      <c r="R640" s="279"/>
      <c r="S640" s="124"/>
      <c r="T640" s="124"/>
    </row>
    <row r="641" spans="11:20" ht="12.75">
      <c r="K641" s="74"/>
      <c r="L641" s="74"/>
      <c r="M641" s="74"/>
      <c r="N641" s="124"/>
      <c r="O641" s="74"/>
      <c r="P641" s="124"/>
      <c r="R641" s="279"/>
      <c r="S641" s="124"/>
      <c r="T641" s="124"/>
    </row>
    <row r="642" spans="11:20" ht="12.75">
      <c r="K642" s="74"/>
      <c r="L642" s="74"/>
      <c r="M642" s="74"/>
      <c r="N642" s="124"/>
      <c r="O642" s="74"/>
      <c r="P642" s="124"/>
      <c r="R642" s="279"/>
      <c r="S642" s="124"/>
      <c r="T642" s="124"/>
    </row>
    <row r="643" spans="11:20" ht="12.75">
      <c r="K643" s="74"/>
      <c r="L643" s="74"/>
      <c r="M643" s="74"/>
      <c r="N643" s="124"/>
      <c r="O643" s="74"/>
      <c r="P643" s="124"/>
      <c r="R643" s="279"/>
      <c r="S643" s="124"/>
      <c r="T643" s="124"/>
    </row>
    <row r="644" spans="11:20" ht="12.75">
      <c r="K644" s="74"/>
      <c r="L644" s="74"/>
      <c r="M644" s="74"/>
      <c r="N644" s="124"/>
      <c r="O644" s="74"/>
      <c r="P644" s="124"/>
      <c r="R644" s="279"/>
      <c r="S644" s="124"/>
      <c r="T644" s="124"/>
    </row>
    <row r="645" spans="11:20" ht="12.75">
      <c r="K645" s="74"/>
      <c r="L645" s="74"/>
      <c r="M645" s="74"/>
      <c r="N645" s="124"/>
      <c r="O645" s="74"/>
      <c r="P645" s="124"/>
      <c r="R645" s="279"/>
      <c r="S645" s="124"/>
      <c r="T645" s="124"/>
    </row>
    <row r="646" spans="11:20" ht="12.75">
      <c r="K646" s="74"/>
      <c r="L646" s="74"/>
      <c r="M646" s="74"/>
      <c r="N646" s="124"/>
      <c r="O646" s="74"/>
      <c r="P646" s="124"/>
      <c r="R646" s="279"/>
      <c r="S646" s="124"/>
      <c r="T646" s="124"/>
    </row>
    <row r="647" spans="11:20" ht="12.75">
      <c r="K647" s="74"/>
      <c r="L647" s="74"/>
      <c r="M647" s="74"/>
      <c r="N647" s="124"/>
      <c r="O647" s="74"/>
      <c r="P647" s="124"/>
      <c r="R647" s="279"/>
      <c r="S647" s="124"/>
      <c r="T647" s="124"/>
    </row>
    <row r="648" spans="11:20" ht="12.75">
      <c r="K648" s="74"/>
      <c r="L648" s="74"/>
      <c r="M648" s="74"/>
      <c r="N648" s="124"/>
      <c r="O648" s="74"/>
      <c r="P648" s="124"/>
      <c r="R648" s="279"/>
      <c r="S648" s="124"/>
      <c r="T648" s="124"/>
    </row>
    <row r="649" spans="11:20" ht="12.75">
      <c r="K649" s="74"/>
      <c r="L649" s="74"/>
      <c r="M649" s="74"/>
      <c r="N649" s="124"/>
      <c r="O649" s="74"/>
      <c r="P649" s="124"/>
      <c r="R649" s="279"/>
      <c r="S649" s="124"/>
      <c r="T649" s="124"/>
    </row>
    <row r="650" spans="11:20" ht="12.75">
      <c r="K650" s="74"/>
      <c r="L650" s="74"/>
      <c r="M650" s="74"/>
      <c r="N650" s="124"/>
      <c r="O650" s="74"/>
      <c r="P650" s="124"/>
      <c r="R650" s="279"/>
      <c r="S650" s="124"/>
      <c r="T650" s="124"/>
    </row>
    <row r="651" spans="11:20" ht="12.75">
      <c r="K651" s="74"/>
      <c r="L651" s="74"/>
      <c r="M651" s="74"/>
      <c r="N651" s="124"/>
      <c r="O651" s="74"/>
      <c r="P651" s="124"/>
      <c r="R651" s="279"/>
      <c r="S651" s="124"/>
      <c r="T651" s="124"/>
    </row>
    <row r="652" spans="11:20" ht="12.75">
      <c r="K652" s="74"/>
      <c r="L652" s="74"/>
      <c r="M652" s="74"/>
      <c r="N652" s="124"/>
      <c r="O652" s="74"/>
      <c r="P652" s="124"/>
      <c r="R652" s="279"/>
      <c r="S652" s="124"/>
      <c r="T652" s="124"/>
    </row>
    <row r="653" spans="11:20" ht="12.75">
      <c r="K653" s="74"/>
      <c r="L653" s="74"/>
      <c r="M653" s="74"/>
      <c r="N653" s="124"/>
      <c r="O653" s="74"/>
      <c r="P653" s="124"/>
      <c r="R653" s="279"/>
      <c r="S653" s="124"/>
      <c r="T653" s="124"/>
    </row>
    <row r="654" spans="11:20" ht="12.75">
      <c r="K654" s="74"/>
      <c r="L654" s="74"/>
      <c r="M654" s="74"/>
      <c r="N654" s="124"/>
      <c r="O654" s="74"/>
      <c r="P654" s="124"/>
      <c r="R654" s="279"/>
      <c r="S654" s="124"/>
      <c r="T654" s="124"/>
    </row>
    <row r="655" spans="11:20" ht="12.75">
      <c r="K655" s="74"/>
      <c r="L655" s="74"/>
      <c r="M655" s="74"/>
      <c r="N655" s="124"/>
      <c r="O655" s="74"/>
      <c r="P655" s="124"/>
      <c r="R655" s="279"/>
      <c r="S655" s="124"/>
      <c r="T655" s="124"/>
    </row>
    <row r="656" spans="11:20" ht="12.75">
      <c r="K656" s="74"/>
      <c r="L656" s="74"/>
      <c r="M656" s="74"/>
      <c r="N656" s="124"/>
      <c r="O656" s="74"/>
      <c r="P656" s="124"/>
      <c r="R656" s="279"/>
      <c r="S656" s="124"/>
      <c r="T656" s="124"/>
    </row>
    <row r="657" spans="11:20" ht="12.75">
      <c r="K657" s="74"/>
      <c r="L657" s="74"/>
      <c r="M657" s="74"/>
      <c r="N657" s="124"/>
      <c r="O657" s="74"/>
      <c r="P657" s="124"/>
      <c r="R657" s="279"/>
      <c r="S657" s="124"/>
      <c r="T657" s="124"/>
    </row>
    <row r="658" spans="11:20" ht="12.75">
      <c r="K658" s="74"/>
      <c r="L658" s="74"/>
      <c r="M658" s="74"/>
      <c r="N658" s="124"/>
      <c r="O658" s="74"/>
      <c r="P658" s="124"/>
      <c r="R658" s="279"/>
      <c r="S658" s="124"/>
      <c r="T658" s="124"/>
    </row>
    <row r="659" spans="11:20" ht="12.75">
      <c r="K659" s="74"/>
      <c r="L659" s="74"/>
      <c r="M659" s="74"/>
      <c r="N659" s="124"/>
      <c r="O659" s="74"/>
      <c r="P659" s="124"/>
      <c r="R659" s="279"/>
      <c r="S659" s="124"/>
      <c r="T659" s="124"/>
    </row>
    <row r="660" spans="11:20" ht="12.75">
      <c r="K660" s="74"/>
      <c r="L660" s="74"/>
      <c r="M660" s="74"/>
      <c r="N660" s="124"/>
      <c r="O660" s="74"/>
      <c r="P660" s="124"/>
      <c r="R660" s="279"/>
      <c r="S660" s="124"/>
      <c r="T660" s="124"/>
    </row>
    <row r="661" spans="11:20" ht="12.75">
      <c r="K661" s="74"/>
      <c r="L661" s="74"/>
      <c r="M661" s="74"/>
      <c r="N661" s="124"/>
      <c r="O661" s="74"/>
      <c r="P661" s="124"/>
      <c r="R661" s="279"/>
      <c r="S661" s="124"/>
      <c r="T661" s="124"/>
    </row>
    <row r="662" spans="11:20" ht="12.75">
      <c r="K662" s="74"/>
      <c r="L662" s="74"/>
      <c r="M662" s="74"/>
      <c r="N662" s="124"/>
      <c r="O662" s="74"/>
      <c r="P662" s="124"/>
      <c r="R662" s="279"/>
      <c r="S662" s="124"/>
      <c r="T662" s="124"/>
    </row>
    <row r="663" spans="11:20" ht="12.75">
      <c r="K663" s="74"/>
      <c r="L663" s="74"/>
      <c r="M663" s="74"/>
      <c r="N663" s="124"/>
      <c r="O663" s="74"/>
      <c r="P663" s="124"/>
      <c r="R663" s="279"/>
      <c r="S663" s="124"/>
      <c r="T663" s="124"/>
    </row>
    <row r="664" spans="11:20" ht="12.75">
      <c r="K664" s="74"/>
      <c r="L664" s="74"/>
      <c r="M664" s="74"/>
      <c r="N664" s="124"/>
      <c r="O664" s="74"/>
      <c r="P664" s="124"/>
      <c r="R664" s="279"/>
      <c r="S664" s="124"/>
      <c r="T664" s="124"/>
    </row>
    <row r="665" spans="11:20" ht="12.75">
      <c r="K665" s="74"/>
      <c r="L665" s="74"/>
      <c r="M665" s="74"/>
      <c r="N665" s="124"/>
      <c r="O665" s="74"/>
      <c r="P665" s="124"/>
      <c r="R665" s="279"/>
      <c r="S665" s="124"/>
      <c r="T665" s="124"/>
    </row>
    <row r="666" spans="11:20" ht="12.75">
      <c r="K666" s="74"/>
      <c r="L666" s="74"/>
      <c r="M666" s="74"/>
      <c r="N666" s="124"/>
      <c r="O666" s="74"/>
      <c r="P666" s="124"/>
      <c r="R666" s="279"/>
      <c r="S666" s="124"/>
      <c r="T666" s="124"/>
    </row>
    <row r="667" spans="11:20" ht="12.75">
      <c r="K667" s="74"/>
      <c r="L667" s="74"/>
      <c r="M667" s="74"/>
      <c r="N667" s="124"/>
      <c r="O667" s="74"/>
      <c r="P667" s="124"/>
      <c r="R667" s="279"/>
      <c r="S667" s="124"/>
      <c r="T667" s="124"/>
    </row>
    <row r="668" spans="11:20" ht="12.75">
      <c r="K668" s="74"/>
      <c r="L668" s="74"/>
      <c r="M668" s="74"/>
      <c r="N668" s="124"/>
      <c r="O668" s="74"/>
      <c r="P668" s="124"/>
      <c r="R668" s="279"/>
      <c r="S668" s="124"/>
      <c r="T668" s="124"/>
    </row>
    <row r="669" spans="11:20" ht="12.75">
      <c r="K669" s="74"/>
      <c r="L669" s="74"/>
      <c r="M669" s="74"/>
      <c r="N669" s="124"/>
      <c r="O669" s="74"/>
      <c r="P669" s="124"/>
      <c r="R669" s="279"/>
      <c r="S669" s="124"/>
      <c r="T669" s="124"/>
    </row>
    <row r="670" spans="11:20" ht="12.75">
      <c r="K670" s="74"/>
      <c r="L670" s="74"/>
      <c r="M670" s="74"/>
      <c r="N670" s="124"/>
      <c r="O670" s="74"/>
      <c r="P670" s="124"/>
      <c r="R670" s="279"/>
      <c r="S670" s="124"/>
      <c r="T670" s="124"/>
    </row>
    <row r="671" spans="11:20" ht="12.75">
      <c r="K671" s="74"/>
      <c r="L671" s="74"/>
      <c r="M671" s="74"/>
      <c r="N671" s="124"/>
      <c r="O671" s="74"/>
      <c r="P671" s="124"/>
      <c r="R671" s="279"/>
      <c r="S671" s="124"/>
      <c r="T671" s="124"/>
    </row>
    <row r="672" spans="11:20" ht="12.75">
      <c r="K672" s="74"/>
      <c r="L672" s="74"/>
      <c r="M672" s="74"/>
      <c r="N672" s="124"/>
      <c r="O672" s="74"/>
      <c r="P672" s="124"/>
      <c r="R672" s="279"/>
      <c r="S672" s="124"/>
      <c r="T672" s="124"/>
    </row>
    <row r="673" spans="11:20" ht="12.75">
      <c r="K673" s="74"/>
      <c r="L673" s="74"/>
      <c r="M673" s="74"/>
      <c r="N673" s="124"/>
      <c r="O673" s="74"/>
      <c r="P673" s="124"/>
      <c r="R673" s="279"/>
      <c r="S673" s="124"/>
      <c r="T673" s="124"/>
    </row>
    <row r="674" spans="11:20" ht="12.75">
      <c r="K674" s="74"/>
      <c r="L674" s="74"/>
      <c r="M674" s="74"/>
      <c r="N674" s="124"/>
      <c r="O674" s="74"/>
      <c r="P674" s="124"/>
      <c r="R674" s="279"/>
      <c r="S674" s="124"/>
      <c r="T674" s="124"/>
    </row>
    <row r="675" spans="11:20" ht="12.75">
      <c r="K675" s="74"/>
      <c r="L675" s="74"/>
      <c r="M675" s="74"/>
      <c r="N675" s="124"/>
      <c r="O675" s="74"/>
      <c r="P675" s="124"/>
      <c r="R675" s="279"/>
      <c r="S675" s="124"/>
      <c r="T675" s="124"/>
    </row>
    <row r="676" spans="11:20" ht="12.75">
      <c r="K676" s="74"/>
      <c r="L676" s="74"/>
      <c r="M676" s="74"/>
      <c r="N676" s="124"/>
      <c r="O676" s="74"/>
      <c r="P676" s="124"/>
      <c r="R676" s="279"/>
      <c r="S676" s="124"/>
      <c r="T676" s="124"/>
    </row>
    <row r="677" spans="11:20" ht="12.75">
      <c r="K677" s="74"/>
      <c r="L677" s="74"/>
      <c r="M677" s="74"/>
      <c r="N677" s="124"/>
      <c r="O677" s="74"/>
      <c r="P677" s="124"/>
      <c r="R677" s="279"/>
      <c r="S677" s="124"/>
      <c r="T677" s="124"/>
    </row>
    <row r="678" spans="11:20" ht="12.75">
      <c r="K678" s="74"/>
      <c r="L678" s="74"/>
      <c r="M678" s="74"/>
      <c r="N678" s="124"/>
      <c r="O678" s="74"/>
      <c r="P678" s="124"/>
      <c r="R678" s="279"/>
      <c r="S678" s="124"/>
      <c r="T678" s="124"/>
    </row>
    <row r="679" spans="11:20" ht="12.75">
      <c r="K679" s="74"/>
      <c r="L679" s="74"/>
      <c r="M679" s="74"/>
      <c r="N679" s="124"/>
      <c r="O679" s="74"/>
      <c r="P679" s="124"/>
      <c r="R679" s="279"/>
      <c r="S679" s="124"/>
      <c r="T679" s="124"/>
    </row>
    <row r="680" spans="11:20" ht="12.75">
      <c r="K680" s="74"/>
      <c r="L680" s="74"/>
      <c r="M680" s="74"/>
      <c r="N680" s="124"/>
      <c r="O680" s="74"/>
      <c r="P680" s="124"/>
      <c r="R680" s="279"/>
      <c r="S680" s="124"/>
      <c r="T680" s="124"/>
    </row>
    <row r="681" spans="11:20" ht="12.75">
      <c r="K681" s="74"/>
      <c r="L681" s="74"/>
      <c r="M681" s="74"/>
      <c r="N681" s="124"/>
      <c r="O681" s="74"/>
      <c r="P681" s="124"/>
      <c r="R681" s="279"/>
      <c r="S681" s="124"/>
      <c r="T681" s="124"/>
    </row>
    <row r="682" spans="11:20" ht="12.75">
      <c r="K682" s="74"/>
      <c r="L682" s="74"/>
      <c r="M682" s="74"/>
      <c r="N682" s="124"/>
      <c r="O682" s="74"/>
      <c r="P682" s="124"/>
      <c r="R682" s="279"/>
      <c r="S682" s="124"/>
      <c r="T682" s="124"/>
    </row>
    <row r="683" spans="11:20" ht="12.75">
      <c r="K683" s="74"/>
      <c r="L683" s="74"/>
      <c r="M683" s="74"/>
      <c r="N683" s="124"/>
      <c r="O683" s="74"/>
      <c r="P683" s="124"/>
      <c r="R683" s="279"/>
      <c r="S683" s="124"/>
      <c r="T683" s="124"/>
    </row>
    <row r="684" spans="11:20" ht="12.75">
      <c r="K684" s="74"/>
      <c r="L684" s="74"/>
      <c r="M684" s="74"/>
      <c r="N684" s="124"/>
      <c r="O684" s="74"/>
      <c r="P684" s="124"/>
      <c r="R684" s="279"/>
      <c r="S684" s="124"/>
      <c r="T684" s="124"/>
    </row>
    <row r="685" spans="11:20" ht="12.75">
      <c r="K685" s="74"/>
      <c r="L685" s="74"/>
      <c r="M685" s="74"/>
      <c r="N685" s="124"/>
      <c r="O685" s="74"/>
      <c r="P685" s="124"/>
      <c r="R685" s="279"/>
      <c r="S685" s="124"/>
      <c r="T685" s="124"/>
    </row>
    <row r="686" spans="11:20" ht="12.75">
      <c r="K686" s="74"/>
      <c r="L686" s="74"/>
      <c r="M686" s="74"/>
      <c r="N686" s="124"/>
      <c r="O686" s="74"/>
      <c r="P686" s="124"/>
      <c r="R686" s="279"/>
      <c r="S686" s="124"/>
      <c r="T686" s="124"/>
    </row>
    <row r="687" spans="11:20" ht="12.75">
      <c r="K687" s="74"/>
      <c r="L687" s="74"/>
      <c r="M687" s="74"/>
      <c r="N687" s="124"/>
      <c r="O687" s="74"/>
      <c r="P687" s="124"/>
      <c r="R687" s="279"/>
      <c r="S687" s="124"/>
      <c r="T687" s="124"/>
    </row>
    <row r="688" spans="11:20" ht="12.75">
      <c r="K688" s="74"/>
      <c r="L688" s="74"/>
      <c r="M688" s="74"/>
      <c r="N688" s="124"/>
      <c r="O688" s="74"/>
      <c r="P688" s="124"/>
      <c r="R688" s="279"/>
      <c r="S688" s="124"/>
      <c r="T688" s="124"/>
    </row>
    <row r="689" spans="11:20" ht="12.75">
      <c r="K689" s="74"/>
      <c r="L689" s="74"/>
      <c r="M689" s="74"/>
      <c r="N689" s="124"/>
      <c r="O689" s="74"/>
      <c r="P689" s="124"/>
      <c r="R689" s="279"/>
      <c r="S689" s="124"/>
      <c r="T689" s="124"/>
    </row>
    <row r="690" spans="11:20" ht="12.75">
      <c r="K690" s="74"/>
      <c r="L690" s="74"/>
      <c r="M690" s="74"/>
      <c r="N690" s="124"/>
      <c r="O690" s="74"/>
      <c r="P690" s="124"/>
      <c r="R690" s="279"/>
      <c r="S690" s="124"/>
      <c r="T690" s="124"/>
    </row>
    <row r="691" spans="11:20" ht="12.75">
      <c r="K691" s="74"/>
      <c r="L691" s="74"/>
      <c r="M691" s="74"/>
      <c r="N691" s="124"/>
      <c r="O691" s="74"/>
      <c r="P691" s="124"/>
      <c r="R691" s="279"/>
      <c r="S691" s="124"/>
      <c r="T691" s="124"/>
    </row>
    <row r="692" spans="11:20" ht="12.75">
      <c r="K692" s="74"/>
      <c r="L692" s="74"/>
      <c r="M692" s="74"/>
      <c r="N692" s="124"/>
      <c r="O692" s="74"/>
      <c r="P692" s="124"/>
      <c r="R692" s="279"/>
      <c r="S692" s="124"/>
      <c r="T692" s="124"/>
    </row>
    <row r="693" spans="11:20" ht="12.75">
      <c r="K693" s="74"/>
      <c r="L693" s="74"/>
      <c r="M693" s="74"/>
      <c r="N693" s="124"/>
      <c r="O693" s="74"/>
      <c r="P693" s="124"/>
      <c r="R693" s="279"/>
      <c r="S693" s="124"/>
      <c r="T693" s="124"/>
    </row>
    <row r="694" spans="11:20" ht="12.75">
      <c r="K694" s="74"/>
      <c r="L694" s="74"/>
      <c r="M694" s="74"/>
      <c r="N694" s="124"/>
      <c r="O694" s="74"/>
      <c r="P694" s="124"/>
      <c r="R694" s="279"/>
      <c r="S694" s="124"/>
      <c r="T694" s="124"/>
    </row>
    <row r="695" spans="11:20" ht="12.75">
      <c r="K695" s="74"/>
      <c r="L695" s="74"/>
      <c r="M695" s="74"/>
      <c r="N695" s="124"/>
      <c r="O695" s="74"/>
      <c r="P695" s="124"/>
      <c r="R695" s="279"/>
      <c r="S695" s="124"/>
      <c r="T695" s="124"/>
    </row>
    <row r="696" spans="11:20" ht="12.75">
      <c r="K696" s="74"/>
      <c r="L696" s="74"/>
      <c r="M696" s="74"/>
      <c r="N696" s="124"/>
      <c r="O696" s="74"/>
      <c r="P696" s="124"/>
      <c r="R696" s="279"/>
      <c r="S696" s="124"/>
      <c r="T696" s="124"/>
    </row>
    <row r="697" spans="11:20" ht="12.75">
      <c r="K697" s="74"/>
      <c r="L697" s="74"/>
      <c r="M697" s="74"/>
      <c r="N697" s="124"/>
      <c r="O697" s="74"/>
      <c r="P697" s="124"/>
      <c r="R697" s="279"/>
      <c r="S697" s="124"/>
      <c r="T697" s="124"/>
    </row>
    <row r="698" spans="11:20" ht="12.75">
      <c r="K698" s="74"/>
      <c r="L698" s="74"/>
      <c r="M698" s="74"/>
      <c r="N698" s="124"/>
      <c r="O698" s="74"/>
      <c r="P698" s="124"/>
      <c r="R698" s="279"/>
      <c r="S698" s="124"/>
      <c r="T698" s="124"/>
    </row>
    <row r="699" spans="11:20" ht="12.75">
      <c r="K699" s="74"/>
      <c r="L699" s="74"/>
      <c r="M699" s="74"/>
      <c r="N699" s="124"/>
      <c r="O699" s="74"/>
      <c r="P699" s="124"/>
      <c r="R699" s="279"/>
      <c r="S699" s="124"/>
      <c r="T699" s="124"/>
    </row>
    <row r="700" spans="11:20" ht="12.75">
      <c r="K700" s="74"/>
      <c r="L700" s="74"/>
      <c r="M700" s="74"/>
      <c r="N700" s="124"/>
      <c r="O700" s="74"/>
      <c r="P700" s="124"/>
      <c r="R700" s="279"/>
      <c r="S700" s="124"/>
      <c r="T700" s="124"/>
    </row>
    <row r="701" spans="11:20" ht="12.75">
      <c r="K701" s="74"/>
      <c r="L701" s="74"/>
      <c r="M701" s="74"/>
      <c r="N701" s="124"/>
      <c r="O701" s="74"/>
      <c r="P701" s="124"/>
      <c r="R701" s="279"/>
      <c r="S701" s="124"/>
      <c r="T701" s="124"/>
    </row>
    <row r="702" spans="11:20" ht="12.75">
      <c r="K702" s="74"/>
      <c r="L702" s="74"/>
      <c r="M702" s="74"/>
      <c r="N702" s="124"/>
      <c r="O702" s="74"/>
      <c r="P702" s="124"/>
      <c r="R702" s="279"/>
      <c r="S702" s="124"/>
      <c r="T702" s="124"/>
    </row>
    <row r="703" spans="11:20" ht="12.75">
      <c r="K703" s="74"/>
      <c r="L703" s="74"/>
      <c r="M703" s="74"/>
      <c r="N703" s="124"/>
      <c r="O703" s="74"/>
      <c r="P703" s="124"/>
      <c r="R703" s="279"/>
      <c r="S703" s="124"/>
      <c r="T703" s="124"/>
    </row>
    <row r="704" spans="11:20" ht="12.75">
      <c r="K704" s="74"/>
      <c r="L704" s="74"/>
      <c r="M704" s="74"/>
      <c r="N704" s="124"/>
      <c r="O704" s="74"/>
      <c r="P704" s="124"/>
      <c r="R704" s="279"/>
      <c r="S704" s="124"/>
      <c r="T704" s="124"/>
    </row>
    <row r="705" spans="11:20" ht="12.75">
      <c r="K705" s="74"/>
      <c r="L705" s="74"/>
      <c r="M705" s="74"/>
      <c r="N705" s="124"/>
      <c r="O705" s="74"/>
      <c r="P705" s="124"/>
      <c r="R705" s="279"/>
      <c r="S705" s="124"/>
      <c r="T705" s="124"/>
    </row>
    <row r="706" spans="11:20" ht="12.75">
      <c r="K706" s="74"/>
      <c r="L706" s="74"/>
      <c r="M706" s="74"/>
      <c r="N706" s="124"/>
      <c r="O706" s="74"/>
      <c r="P706" s="124"/>
      <c r="R706" s="279"/>
      <c r="S706" s="124"/>
      <c r="T706" s="124"/>
    </row>
    <row r="707" spans="11:20" ht="12.75">
      <c r="K707" s="74"/>
      <c r="L707" s="74"/>
      <c r="M707" s="74"/>
      <c r="N707" s="124"/>
      <c r="O707" s="74"/>
      <c r="P707" s="124"/>
      <c r="R707" s="279"/>
      <c r="S707" s="124"/>
      <c r="T707" s="124"/>
    </row>
    <row r="708" spans="11:20" ht="12.75">
      <c r="K708" s="74"/>
      <c r="L708" s="74"/>
      <c r="M708" s="74"/>
      <c r="N708" s="124"/>
      <c r="O708" s="74"/>
      <c r="P708" s="124"/>
      <c r="R708" s="279"/>
      <c r="S708" s="124"/>
      <c r="T708" s="124"/>
    </row>
    <row r="709" spans="11:20" ht="12.75">
      <c r="K709" s="74"/>
      <c r="L709" s="74"/>
      <c r="M709" s="74"/>
      <c r="N709" s="124"/>
      <c r="O709" s="74"/>
      <c r="P709" s="124"/>
      <c r="R709" s="279"/>
      <c r="S709" s="124"/>
      <c r="T709" s="124"/>
    </row>
    <row r="710" spans="11:20" ht="12.75">
      <c r="K710" s="74"/>
      <c r="L710" s="74"/>
      <c r="M710" s="74"/>
      <c r="N710" s="124"/>
      <c r="O710" s="74"/>
      <c r="P710" s="124"/>
      <c r="R710" s="279"/>
      <c r="S710" s="124"/>
      <c r="T710" s="124"/>
    </row>
    <row r="711" spans="11:20" ht="12.75">
      <c r="K711" s="74"/>
      <c r="L711" s="74"/>
      <c r="M711" s="74"/>
      <c r="N711" s="124"/>
      <c r="O711" s="74"/>
      <c r="P711" s="124"/>
      <c r="R711" s="279"/>
      <c r="S711" s="124"/>
      <c r="T711" s="124"/>
    </row>
    <row r="712" spans="11:20" ht="12.75">
      <c r="K712" s="74"/>
      <c r="L712" s="74"/>
      <c r="M712" s="74"/>
      <c r="N712" s="124"/>
      <c r="O712" s="74"/>
      <c r="P712" s="124"/>
      <c r="R712" s="279"/>
      <c r="S712" s="124"/>
      <c r="T712" s="124"/>
    </row>
    <row r="713" spans="11:20" ht="12.75">
      <c r="K713" s="74"/>
      <c r="L713" s="74"/>
      <c r="M713" s="74"/>
      <c r="N713" s="124"/>
      <c r="O713" s="74"/>
      <c r="P713" s="124"/>
      <c r="R713" s="279"/>
      <c r="S713" s="124"/>
      <c r="T713" s="124"/>
    </row>
    <row r="714" spans="11:20" ht="12.75">
      <c r="K714" s="74"/>
      <c r="L714" s="74"/>
      <c r="M714" s="74"/>
      <c r="N714" s="124"/>
      <c r="O714" s="74"/>
      <c r="P714" s="124"/>
      <c r="R714" s="279"/>
      <c r="S714" s="124"/>
      <c r="T714" s="124"/>
    </row>
    <row r="715" spans="11:20" ht="12.75">
      <c r="K715" s="74"/>
      <c r="L715" s="74"/>
      <c r="M715" s="74"/>
      <c r="N715" s="124"/>
      <c r="O715" s="74"/>
      <c r="P715" s="124"/>
      <c r="R715" s="279"/>
      <c r="S715" s="124"/>
      <c r="T715" s="124"/>
    </row>
    <row r="716" spans="11:20" ht="12.75">
      <c r="K716" s="74"/>
      <c r="L716" s="74"/>
      <c r="M716" s="74"/>
      <c r="N716" s="124"/>
      <c r="O716" s="74"/>
      <c r="P716" s="124"/>
      <c r="R716" s="279"/>
      <c r="S716" s="124"/>
      <c r="T716" s="124"/>
    </row>
    <row r="717" spans="11:20" ht="12.75">
      <c r="K717" s="74"/>
      <c r="L717" s="74"/>
      <c r="M717" s="74"/>
      <c r="N717" s="124"/>
      <c r="O717" s="74"/>
      <c r="P717" s="124"/>
      <c r="R717" s="279"/>
      <c r="S717" s="124"/>
      <c r="T717" s="124"/>
    </row>
    <row r="718" spans="11:20" ht="12.75">
      <c r="K718" s="74"/>
      <c r="L718" s="74"/>
      <c r="M718" s="74"/>
      <c r="N718" s="124"/>
      <c r="O718" s="74"/>
      <c r="P718" s="124"/>
      <c r="R718" s="279"/>
      <c r="S718" s="124"/>
      <c r="T718" s="124"/>
    </row>
    <row r="719" spans="11:20" ht="12.75">
      <c r="K719" s="74"/>
      <c r="L719" s="74"/>
      <c r="M719" s="74"/>
      <c r="N719" s="124"/>
      <c r="O719" s="74"/>
      <c r="P719" s="124"/>
      <c r="R719" s="279"/>
      <c r="S719" s="124"/>
      <c r="T719" s="124"/>
    </row>
    <row r="720" spans="11:20" ht="12.75">
      <c r="K720" s="74"/>
      <c r="L720" s="74"/>
      <c r="M720" s="74"/>
      <c r="N720" s="124"/>
      <c r="O720" s="74"/>
      <c r="P720" s="124"/>
      <c r="R720" s="279"/>
      <c r="S720" s="124"/>
      <c r="T720" s="124"/>
    </row>
    <row r="721" spans="11:20" ht="12.75">
      <c r="K721" s="74"/>
      <c r="L721" s="74"/>
      <c r="M721" s="74"/>
      <c r="N721" s="124"/>
      <c r="O721" s="74"/>
      <c r="P721" s="124"/>
      <c r="R721" s="279"/>
      <c r="S721" s="124"/>
      <c r="T721" s="124"/>
    </row>
    <row r="722" spans="11:20" ht="12.75">
      <c r="K722" s="74"/>
      <c r="L722" s="74"/>
      <c r="M722" s="74"/>
      <c r="N722" s="124"/>
      <c r="O722" s="74"/>
      <c r="P722" s="124"/>
      <c r="R722" s="279"/>
      <c r="S722" s="124"/>
      <c r="T722" s="124"/>
    </row>
    <row r="723" spans="11:20" ht="12.75">
      <c r="K723" s="74"/>
      <c r="L723" s="74"/>
      <c r="M723" s="74"/>
      <c r="N723" s="124"/>
      <c r="O723" s="74"/>
      <c r="P723" s="124"/>
      <c r="R723" s="279"/>
      <c r="S723" s="124"/>
      <c r="T723" s="124"/>
    </row>
    <row r="724" spans="11:20" ht="12.75">
      <c r="K724" s="74"/>
      <c r="L724" s="74"/>
      <c r="M724" s="74"/>
      <c r="N724" s="124"/>
      <c r="O724" s="74"/>
      <c r="P724" s="124"/>
      <c r="R724" s="279"/>
      <c r="S724" s="124"/>
      <c r="T724" s="124"/>
    </row>
    <row r="725" spans="11:20" ht="12.75">
      <c r="K725" s="74"/>
      <c r="L725" s="74"/>
      <c r="M725" s="74"/>
      <c r="N725" s="124"/>
      <c r="O725" s="74"/>
      <c r="P725" s="124"/>
      <c r="R725" s="279"/>
      <c r="S725" s="124"/>
      <c r="T725" s="124"/>
    </row>
    <row r="726" spans="11:20" ht="12.75">
      <c r="K726" s="74"/>
      <c r="L726" s="74"/>
      <c r="M726" s="74"/>
      <c r="N726" s="124"/>
      <c r="O726" s="74"/>
      <c r="P726" s="124"/>
      <c r="R726" s="279"/>
      <c r="S726" s="124"/>
      <c r="T726" s="124"/>
    </row>
    <row r="727" spans="11:20" ht="12.75">
      <c r="K727" s="74"/>
      <c r="L727" s="74"/>
      <c r="M727" s="74"/>
      <c r="N727" s="124"/>
      <c r="O727" s="74"/>
      <c r="P727" s="124"/>
      <c r="R727" s="279"/>
      <c r="S727" s="124"/>
      <c r="T727" s="124"/>
    </row>
    <row r="728" spans="11:20" ht="12.75">
      <c r="K728" s="74"/>
      <c r="L728" s="74"/>
      <c r="M728" s="74"/>
      <c r="N728" s="124"/>
      <c r="O728" s="74"/>
      <c r="P728" s="124"/>
      <c r="R728" s="279"/>
      <c r="S728" s="124"/>
      <c r="T728" s="124"/>
    </row>
    <row r="729" spans="11:20" ht="12.75">
      <c r="K729" s="74"/>
      <c r="L729" s="74"/>
      <c r="M729" s="74"/>
      <c r="N729" s="124"/>
      <c r="O729" s="74"/>
      <c r="P729" s="124"/>
      <c r="R729" s="279"/>
      <c r="S729" s="124"/>
      <c r="T729" s="124"/>
    </row>
    <row r="730" spans="11:20" ht="12.75">
      <c r="K730" s="74"/>
      <c r="L730" s="74"/>
      <c r="M730" s="74"/>
      <c r="N730" s="124"/>
      <c r="O730" s="74"/>
      <c r="P730" s="124"/>
      <c r="R730" s="279"/>
      <c r="S730" s="124"/>
      <c r="T730" s="124"/>
    </row>
    <row r="731" spans="11:20" ht="12.75">
      <c r="K731" s="74"/>
      <c r="L731" s="74"/>
      <c r="M731" s="74"/>
      <c r="N731" s="124"/>
      <c r="O731" s="74"/>
      <c r="P731" s="124"/>
      <c r="R731" s="279"/>
      <c r="S731" s="124"/>
      <c r="T731" s="124"/>
    </row>
    <row r="732" spans="11:20" ht="12.75">
      <c r="K732" s="74"/>
      <c r="L732" s="74"/>
      <c r="M732" s="74"/>
      <c r="N732" s="124"/>
      <c r="O732" s="74"/>
      <c r="P732" s="124"/>
      <c r="R732" s="279"/>
      <c r="S732" s="124"/>
      <c r="T732" s="124"/>
    </row>
    <row r="733" spans="11:20" ht="12.75">
      <c r="K733" s="74"/>
      <c r="L733" s="74"/>
      <c r="M733" s="74"/>
      <c r="N733" s="124"/>
      <c r="O733" s="74"/>
      <c r="P733" s="124"/>
      <c r="R733" s="279"/>
      <c r="S733" s="124"/>
      <c r="T733" s="124"/>
    </row>
    <row r="734" spans="11:20" ht="12.75">
      <c r="K734" s="74"/>
      <c r="L734" s="74"/>
      <c r="M734" s="74"/>
      <c r="N734" s="124"/>
      <c r="O734" s="74"/>
      <c r="P734" s="124"/>
      <c r="R734" s="279"/>
      <c r="S734" s="124"/>
      <c r="T734" s="124"/>
    </row>
    <row r="735" spans="11:20" ht="12.75">
      <c r="K735" s="74"/>
      <c r="L735" s="74"/>
      <c r="M735" s="74"/>
      <c r="N735" s="124"/>
      <c r="O735" s="74"/>
      <c r="P735" s="124"/>
      <c r="R735" s="279"/>
      <c r="S735" s="124"/>
      <c r="T735" s="124"/>
    </row>
    <row r="736" spans="11:20" ht="12.75">
      <c r="K736" s="74"/>
      <c r="L736" s="74"/>
      <c r="M736" s="74"/>
      <c r="N736" s="124"/>
      <c r="O736" s="74"/>
      <c r="P736" s="124"/>
      <c r="R736" s="279"/>
      <c r="S736" s="124"/>
      <c r="T736" s="124"/>
    </row>
    <row r="737" spans="11:20" ht="12.75">
      <c r="K737" s="74"/>
      <c r="L737" s="74"/>
      <c r="M737" s="74"/>
      <c r="N737" s="124"/>
      <c r="O737" s="74"/>
      <c r="P737" s="124"/>
      <c r="R737" s="279"/>
      <c r="S737" s="124"/>
      <c r="T737" s="124"/>
    </row>
    <row r="738" spans="11:20" ht="12.75">
      <c r="K738" s="74"/>
      <c r="L738" s="74"/>
      <c r="M738" s="74"/>
      <c r="N738" s="124"/>
      <c r="O738" s="74"/>
      <c r="P738" s="124"/>
      <c r="R738" s="279"/>
      <c r="S738" s="124"/>
      <c r="T738" s="124"/>
    </row>
    <row r="739" spans="11:20" ht="12.75">
      <c r="K739" s="74"/>
      <c r="L739" s="74"/>
      <c r="M739" s="74"/>
      <c r="N739" s="124"/>
      <c r="O739" s="74"/>
      <c r="P739" s="124"/>
      <c r="R739" s="279"/>
      <c r="S739" s="124"/>
      <c r="T739" s="124"/>
    </row>
    <row r="740" spans="11:20" ht="12.75">
      <c r="K740" s="74"/>
      <c r="L740" s="74"/>
      <c r="M740" s="74"/>
      <c r="N740" s="124"/>
      <c r="O740" s="74"/>
      <c r="P740" s="124"/>
      <c r="R740" s="279"/>
      <c r="S740" s="124"/>
      <c r="T740" s="124"/>
    </row>
    <row r="741" spans="11:20" ht="12.75">
      <c r="K741" s="74"/>
      <c r="L741" s="74"/>
      <c r="M741" s="74"/>
      <c r="N741" s="124"/>
      <c r="O741" s="74"/>
      <c r="P741" s="124"/>
      <c r="R741" s="279"/>
      <c r="S741" s="124"/>
      <c r="T741" s="124"/>
    </row>
    <row r="742" spans="11:20" ht="12.75">
      <c r="K742" s="74"/>
      <c r="L742" s="74"/>
      <c r="M742" s="74"/>
      <c r="N742" s="124"/>
      <c r="O742" s="74"/>
      <c r="P742" s="124"/>
      <c r="R742" s="279"/>
      <c r="S742" s="124"/>
      <c r="T742" s="124"/>
    </row>
    <row r="743" spans="11:20" ht="12.75">
      <c r="K743" s="74"/>
      <c r="L743" s="74"/>
      <c r="M743" s="74"/>
      <c r="N743" s="124"/>
      <c r="O743" s="74"/>
      <c r="P743" s="124"/>
      <c r="R743" s="279"/>
      <c r="S743" s="124"/>
      <c r="T743" s="124"/>
    </row>
    <row r="744" spans="11:20" ht="12.75">
      <c r="K744" s="74"/>
      <c r="L744" s="74"/>
      <c r="M744" s="74"/>
      <c r="N744" s="124"/>
      <c r="O744" s="74"/>
      <c r="P744" s="124"/>
      <c r="R744" s="279"/>
      <c r="S744" s="124"/>
      <c r="T744" s="124"/>
    </row>
    <row r="745" spans="11:20" ht="12.75">
      <c r="K745" s="74"/>
      <c r="L745" s="74"/>
      <c r="M745" s="74"/>
      <c r="N745" s="124"/>
      <c r="O745" s="74"/>
      <c r="P745" s="124"/>
      <c r="R745" s="279"/>
      <c r="S745" s="124"/>
      <c r="T745" s="124"/>
    </row>
    <row r="746" spans="11:20" ht="12.75">
      <c r="K746" s="74"/>
      <c r="L746" s="74"/>
      <c r="M746" s="74"/>
      <c r="N746" s="124"/>
      <c r="O746" s="74"/>
      <c r="P746" s="124"/>
      <c r="R746" s="279"/>
      <c r="S746" s="124"/>
      <c r="T746" s="124"/>
    </row>
    <row r="747" spans="11:20" ht="12.75">
      <c r="K747" s="74"/>
      <c r="L747" s="74"/>
      <c r="M747" s="74"/>
      <c r="N747" s="124"/>
      <c r="O747" s="74"/>
      <c r="P747" s="124"/>
      <c r="R747" s="279"/>
      <c r="S747" s="124"/>
      <c r="T747" s="124"/>
    </row>
    <row r="748" spans="11:20" ht="12.75">
      <c r="K748" s="74"/>
      <c r="L748" s="74"/>
      <c r="M748" s="74"/>
      <c r="N748" s="124"/>
      <c r="O748" s="74"/>
      <c r="P748" s="124"/>
      <c r="R748" s="279"/>
      <c r="S748" s="124"/>
      <c r="T748" s="124"/>
    </row>
    <row r="749" spans="11:20" ht="12.75">
      <c r="K749" s="74"/>
      <c r="L749" s="74"/>
      <c r="M749" s="74"/>
      <c r="N749" s="124"/>
      <c r="O749" s="74"/>
      <c r="P749" s="124"/>
      <c r="R749" s="279"/>
      <c r="S749" s="124"/>
      <c r="T749" s="124"/>
    </row>
    <row r="750" spans="11:20" ht="12.75">
      <c r="K750" s="74"/>
      <c r="L750" s="74"/>
      <c r="M750" s="74"/>
      <c r="N750" s="124"/>
      <c r="O750" s="74"/>
      <c r="P750" s="124"/>
      <c r="R750" s="279"/>
      <c r="S750" s="124"/>
      <c r="T750" s="124"/>
    </row>
    <row r="751" spans="11:20" ht="12.75">
      <c r="K751" s="74"/>
      <c r="L751" s="74"/>
      <c r="M751" s="74"/>
      <c r="N751" s="124"/>
      <c r="O751" s="74"/>
      <c r="P751" s="124"/>
      <c r="R751" s="279"/>
      <c r="S751" s="124"/>
      <c r="T751" s="124"/>
    </row>
    <row r="752" spans="11:20" ht="12.75">
      <c r="K752" s="74"/>
      <c r="L752" s="74"/>
      <c r="M752" s="74"/>
      <c r="N752" s="124"/>
      <c r="O752" s="74"/>
      <c r="P752" s="124"/>
      <c r="R752" s="279"/>
      <c r="S752" s="124"/>
      <c r="T752" s="124"/>
    </row>
    <row r="753" spans="11:20" ht="12.75">
      <c r="K753" s="74"/>
      <c r="L753" s="74"/>
      <c r="M753" s="74"/>
      <c r="N753" s="124"/>
      <c r="O753" s="74"/>
      <c r="P753" s="124"/>
      <c r="R753" s="279"/>
      <c r="S753" s="124"/>
      <c r="T753" s="124"/>
    </row>
    <row r="754" spans="11:20" ht="12.75">
      <c r="K754" s="74"/>
      <c r="L754" s="74"/>
      <c r="M754" s="74"/>
      <c r="N754" s="124"/>
      <c r="O754" s="74"/>
      <c r="P754" s="124"/>
      <c r="R754" s="279"/>
      <c r="S754" s="124"/>
      <c r="T754" s="124"/>
    </row>
    <row r="755" spans="11:20" ht="12.75">
      <c r="K755" s="74"/>
      <c r="L755" s="74"/>
      <c r="M755" s="74"/>
      <c r="N755" s="124"/>
      <c r="O755" s="74"/>
      <c r="P755" s="124"/>
      <c r="R755" s="279"/>
      <c r="S755" s="124"/>
      <c r="T755" s="124"/>
    </row>
    <row r="756" spans="11:20" ht="12.75">
      <c r="K756" s="74"/>
      <c r="L756" s="74"/>
      <c r="M756" s="74"/>
      <c r="N756" s="124"/>
      <c r="O756" s="74"/>
      <c r="P756" s="124"/>
      <c r="R756" s="279"/>
      <c r="S756" s="124"/>
      <c r="T756" s="124"/>
    </row>
    <row r="757" spans="11:20" ht="12.75">
      <c r="K757" s="74"/>
      <c r="L757" s="74"/>
      <c r="M757" s="74"/>
      <c r="N757" s="124"/>
      <c r="O757" s="74"/>
      <c r="P757" s="124"/>
      <c r="R757" s="279"/>
      <c r="S757" s="124"/>
      <c r="T757" s="124"/>
    </row>
    <row r="758" spans="11:20" ht="12.75">
      <c r="K758" s="74"/>
      <c r="L758" s="74"/>
      <c r="M758" s="74"/>
      <c r="N758" s="124"/>
      <c r="O758" s="74"/>
      <c r="P758" s="124"/>
      <c r="R758" s="279"/>
      <c r="S758" s="124"/>
      <c r="T758" s="124"/>
    </row>
    <row r="759" spans="11:20" ht="12.75">
      <c r="K759" s="74"/>
      <c r="L759" s="74"/>
      <c r="M759" s="74"/>
      <c r="N759" s="124"/>
      <c r="O759" s="74"/>
      <c r="P759" s="124"/>
      <c r="R759" s="279"/>
      <c r="S759" s="124"/>
      <c r="T759" s="124"/>
    </row>
    <row r="760" spans="11:20" ht="12.75">
      <c r="K760" s="74"/>
      <c r="L760" s="74"/>
      <c r="M760" s="74"/>
      <c r="N760" s="124"/>
      <c r="O760" s="74"/>
      <c r="P760" s="124"/>
      <c r="R760" s="279"/>
      <c r="S760" s="124"/>
      <c r="T760" s="124"/>
    </row>
    <row r="761" spans="11:20" ht="12.75">
      <c r="K761" s="74"/>
      <c r="L761" s="74"/>
      <c r="M761" s="74"/>
      <c r="N761" s="124"/>
      <c r="O761" s="74"/>
      <c r="P761" s="124"/>
      <c r="R761" s="279"/>
      <c r="S761" s="124"/>
      <c r="T761" s="124"/>
    </row>
    <row r="762" spans="11:20" ht="12.75">
      <c r="K762" s="74"/>
      <c r="L762" s="74"/>
      <c r="M762" s="74"/>
      <c r="N762" s="124"/>
      <c r="O762" s="74"/>
      <c r="P762" s="124"/>
      <c r="R762" s="279"/>
      <c r="S762" s="124"/>
      <c r="T762" s="124"/>
    </row>
    <row r="763" spans="11:20" ht="12.75">
      <c r="K763" s="74"/>
      <c r="L763" s="74"/>
      <c r="M763" s="74"/>
      <c r="N763" s="124"/>
      <c r="O763" s="74"/>
      <c r="P763" s="124"/>
      <c r="R763" s="279"/>
      <c r="S763" s="124"/>
      <c r="T763" s="124"/>
    </row>
    <row r="764" spans="11:20" ht="12.75">
      <c r="K764" s="74"/>
      <c r="L764" s="74"/>
      <c r="M764" s="74"/>
      <c r="N764" s="124"/>
      <c r="O764" s="74"/>
      <c r="P764" s="124"/>
      <c r="R764" s="279"/>
      <c r="S764" s="124"/>
      <c r="T764" s="124"/>
    </row>
    <row r="765" spans="11:20" ht="12.75">
      <c r="K765" s="74"/>
      <c r="L765" s="74"/>
      <c r="M765" s="74"/>
      <c r="N765" s="124"/>
      <c r="O765" s="74"/>
      <c r="P765" s="124"/>
      <c r="R765" s="279"/>
      <c r="S765" s="124"/>
      <c r="T765" s="124"/>
    </row>
    <row r="766" spans="11:20" ht="12.75">
      <c r="K766" s="74"/>
      <c r="L766" s="74"/>
      <c r="M766" s="74"/>
      <c r="N766" s="124"/>
      <c r="O766" s="74"/>
      <c r="P766" s="124"/>
      <c r="R766" s="279"/>
      <c r="S766" s="124"/>
      <c r="T766" s="124"/>
    </row>
    <row r="767" spans="11:20" ht="12.75">
      <c r="K767" s="74"/>
      <c r="L767" s="74"/>
      <c r="M767" s="74"/>
      <c r="N767" s="124"/>
      <c r="O767" s="74"/>
      <c r="P767" s="124"/>
      <c r="R767" s="279"/>
      <c r="S767" s="124"/>
      <c r="T767" s="124"/>
    </row>
    <row r="768" spans="11:20" ht="12.75">
      <c r="K768" s="74"/>
      <c r="L768" s="74"/>
      <c r="M768" s="74"/>
      <c r="N768" s="124"/>
      <c r="O768" s="74"/>
      <c r="P768" s="124"/>
      <c r="R768" s="279"/>
      <c r="S768" s="124"/>
      <c r="T768" s="124"/>
    </row>
    <row r="769" spans="11:20" ht="12.75">
      <c r="K769" s="74"/>
      <c r="L769" s="74"/>
      <c r="M769" s="74"/>
      <c r="N769" s="124"/>
      <c r="O769" s="74"/>
      <c r="P769" s="124"/>
      <c r="R769" s="279"/>
      <c r="S769" s="124"/>
      <c r="T769" s="124"/>
    </row>
    <row r="770" spans="11:20" ht="12.75">
      <c r="K770" s="74"/>
      <c r="L770" s="74"/>
      <c r="M770" s="74"/>
      <c r="N770" s="124"/>
      <c r="O770" s="74"/>
      <c r="P770" s="124"/>
      <c r="R770" s="279"/>
      <c r="S770" s="124"/>
      <c r="T770" s="124"/>
    </row>
    <row r="771" spans="11:20" ht="12.75">
      <c r="K771" s="74"/>
      <c r="L771" s="74"/>
      <c r="M771" s="74"/>
      <c r="N771" s="124"/>
      <c r="O771" s="74"/>
      <c r="P771" s="124"/>
      <c r="R771" s="279"/>
      <c r="S771" s="124"/>
      <c r="T771" s="124"/>
    </row>
    <row r="772" spans="11:20" ht="12.75">
      <c r="K772" s="74"/>
      <c r="L772" s="74"/>
      <c r="M772" s="74"/>
      <c r="N772" s="124"/>
      <c r="O772" s="74"/>
      <c r="P772" s="124"/>
      <c r="R772" s="279"/>
      <c r="S772" s="124"/>
      <c r="T772" s="124"/>
    </row>
    <row r="773" spans="11:20" ht="12.75">
      <c r="K773" s="74"/>
      <c r="L773" s="74"/>
      <c r="M773" s="74"/>
      <c r="N773" s="124"/>
      <c r="O773" s="74"/>
      <c r="P773" s="124"/>
      <c r="R773" s="279"/>
      <c r="S773" s="124"/>
      <c r="T773" s="124"/>
    </row>
    <row r="774" spans="11:20" ht="12.75">
      <c r="K774" s="74"/>
      <c r="L774" s="74"/>
      <c r="M774" s="74"/>
      <c r="N774" s="124"/>
      <c r="O774" s="74"/>
      <c r="P774" s="124"/>
      <c r="R774" s="279"/>
      <c r="S774" s="124"/>
      <c r="T774" s="124"/>
    </row>
    <row r="775" spans="11:20" ht="12.75">
      <c r="K775" s="74"/>
      <c r="L775" s="74"/>
      <c r="M775" s="74"/>
      <c r="N775" s="124"/>
      <c r="O775" s="74"/>
      <c r="P775" s="124"/>
      <c r="R775" s="279"/>
      <c r="S775" s="124"/>
      <c r="T775" s="124"/>
    </row>
    <row r="776" spans="11:20" ht="12.75">
      <c r="K776" s="74"/>
      <c r="L776" s="74"/>
      <c r="M776" s="74"/>
      <c r="N776" s="124"/>
      <c r="O776" s="74"/>
      <c r="P776" s="124"/>
      <c r="R776" s="279"/>
      <c r="S776" s="124"/>
      <c r="T776" s="124"/>
    </row>
    <row r="777" spans="11:20" ht="12.75">
      <c r="K777" s="74"/>
      <c r="L777" s="74"/>
      <c r="M777" s="74"/>
      <c r="N777" s="124"/>
      <c r="O777" s="74"/>
      <c r="P777" s="124"/>
      <c r="R777" s="279"/>
      <c r="S777" s="124"/>
      <c r="T777" s="124"/>
    </row>
    <row r="778" spans="11:20" ht="12.75">
      <c r="K778" s="74"/>
      <c r="L778" s="74"/>
      <c r="M778" s="74"/>
      <c r="N778" s="124"/>
      <c r="O778" s="74"/>
      <c r="P778" s="124"/>
      <c r="R778" s="279"/>
      <c r="S778" s="124"/>
      <c r="T778" s="124"/>
    </row>
    <row r="779" spans="11:20" ht="12.75">
      <c r="K779" s="74"/>
      <c r="L779" s="74"/>
      <c r="M779" s="74"/>
      <c r="N779" s="124"/>
      <c r="O779" s="74"/>
      <c r="P779" s="124"/>
      <c r="R779" s="279"/>
      <c r="S779" s="124"/>
      <c r="T779" s="124"/>
    </row>
    <row r="780" spans="11:20" ht="12.75">
      <c r="K780" s="74"/>
      <c r="L780" s="74"/>
      <c r="M780" s="74"/>
      <c r="N780" s="124"/>
      <c r="O780" s="74"/>
      <c r="P780" s="124"/>
      <c r="R780" s="279"/>
      <c r="S780" s="124"/>
      <c r="T780" s="124"/>
    </row>
    <row r="781" spans="11:20" ht="12.75">
      <c r="K781" s="74"/>
      <c r="L781" s="74"/>
      <c r="M781" s="74"/>
      <c r="N781" s="124"/>
      <c r="O781" s="74"/>
      <c r="P781" s="124"/>
      <c r="R781" s="279"/>
      <c r="S781" s="124"/>
      <c r="T781" s="124"/>
    </row>
    <row r="782" spans="11:20" ht="12.75">
      <c r="K782" s="74"/>
      <c r="L782" s="74"/>
      <c r="M782" s="74"/>
      <c r="N782" s="124"/>
      <c r="O782" s="74"/>
      <c r="P782" s="124"/>
      <c r="R782" s="279"/>
      <c r="S782" s="124"/>
      <c r="T782" s="124"/>
    </row>
    <row r="783" spans="11:20" ht="12.75">
      <c r="K783" s="74"/>
      <c r="L783" s="74"/>
      <c r="M783" s="74"/>
      <c r="N783" s="124"/>
      <c r="O783" s="74"/>
      <c r="P783" s="124"/>
      <c r="R783" s="279"/>
      <c r="S783" s="124"/>
      <c r="T783" s="124"/>
    </row>
    <row r="784" spans="11:20" ht="12.75">
      <c r="K784" s="74"/>
      <c r="L784" s="74"/>
      <c r="M784" s="74"/>
      <c r="N784" s="124"/>
      <c r="O784" s="74"/>
      <c r="P784" s="124"/>
      <c r="R784" s="279"/>
      <c r="S784" s="124"/>
      <c r="T784" s="124"/>
    </row>
    <row r="785" spans="11:20" ht="12.75">
      <c r="K785" s="74"/>
      <c r="L785" s="74"/>
      <c r="M785" s="74"/>
      <c r="N785" s="124"/>
      <c r="O785" s="74"/>
      <c r="P785" s="124"/>
      <c r="R785" s="279"/>
      <c r="S785" s="124"/>
      <c r="T785" s="124"/>
    </row>
    <row r="786" spans="11:20" ht="12.75">
      <c r="K786" s="74"/>
      <c r="L786" s="74"/>
      <c r="M786" s="74"/>
      <c r="N786" s="124"/>
      <c r="O786" s="74"/>
      <c r="P786" s="124"/>
      <c r="R786" s="279"/>
      <c r="S786" s="124"/>
      <c r="T786" s="124"/>
    </row>
    <row r="787" spans="11:20" ht="12.75">
      <c r="K787" s="74"/>
      <c r="L787" s="74"/>
      <c r="M787" s="74"/>
      <c r="N787" s="124"/>
      <c r="O787" s="74"/>
      <c r="P787" s="124"/>
      <c r="R787" s="279"/>
      <c r="S787" s="124"/>
      <c r="T787" s="124"/>
    </row>
    <row r="788" spans="11:20" ht="12.75">
      <c r="K788" s="74"/>
      <c r="L788" s="74"/>
      <c r="M788" s="74"/>
      <c r="N788" s="124"/>
      <c r="O788" s="74"/>
      <c r="P788" s="124"/>
      <c r="R788" s="279"/>
      <c r="S788" s="124"/>
      <c r="T788" s="124"/>
    </row>
    <row r="789" spans="11:20" ht="12.75">
      <c r="K789" s="74"/>
      <c r="L789" s="74"/>
      <c r="M789" s="74"/>
      <c r="N789" s="124"/>
      <c r="O789" s="74"/>
      <c r="P789" s="124"/>
      <c r="R789" s="279"/>
      <c r="S789" s="124"/>
      <c r="T789" s="124"/>
    </row>
    <row r="790" spans="11:20" ht="12.75">
      <c r="K790" s="74"/>
      <c r="L790" s="74"/>
      <c r="M790" s="74"/>
      <c r="N790" s="124"/>
      <c r="O790" s="74"/>
      <c r="P790" s="124"/>
      <c r="R790" s="279"/>
      <c r="S790" s="124"/>
      <c r="T790" s="124"/>
    </row>
    <row r="791" spans="11:20" ht="12.75">
      <c r="K791" s="74"/>
      <c r="L791" s="74"/>
      <c r="M791" s="74"/>
      <c r="N791" s="124"/>
      <c r="O791" s="74"/>
      <c r="P791" s="124"/>
      <c r="R791" s="279"/>
      <c r="S791" s="124"/>
      <c r="T791" s="124"/>
    </row>
    <row r="792" spans="11:20" ht="12.75">
      <c r="K792" s="74"/>
      <c r="L792" s="74"/>
      <c r="M792" s="74"/>
      <c r="N792" s="124"/>
      <c r="O792" s="74"/>
      <c r="P792" s="124"/>
      <c r="R792" s="279"/>
      <c r="S792" s="124"/>
      <c r="T792" s="124"/>
    </row>
    <row r="793" spans="11:20" ht="12.75">
      <c r="K793" s="74"/>
      <c r="L793" s="74"/>
      <c r="M793" s="74"/>
      <c r="N793" s="124"/>
      <c r="O793" s="74"/>
      <c r="P793" s="124"/>
      <c r="R793" s="279"/>
      <c r="S793" s="124"/>
      <c r="T793" s="124"/>
    </row>
    <row r="794" spans="11:20" ht="12.75">
      <c r="K794" s="74"/>
      <c r="L794" s="74"/>
      <c r="M794" s="74"/>
      <c r="N794" s="124"/>
      <c r="O794" s="74"/>
      <c r="P794" s="124"/>
      <c r="R794" s="279"/>
      <c r="S794" s="124"/>
      <c r="T794" s="124"/>
    </row>
    <row r="795" spans="11:20" ht="12.75">
      <c r="K795" s="74"/>
      <c r="L795" s="74"/>
      <c r="M795" s="74"/>
      <c r="N795" s="124"/>
      <c r="O795" s="74"/>
      <c r="P795" s="124"/>
      <c r="R795" s="279"/>
      <c r="S795" s="124"/>
      <c r="T795" s="124"/>
    </row>
    <row r="796" spans="11:20" ht="12.75">
      <c r="K796" s="74"/>
      <c r="L796" s="74"/>
      <c r="M796" s="74"/>
      <c r="N796" s="124"/>
      <c r="O796" s="74"/>
      <c r="P796" s="124"/>
      <c r="R796" s="279"/>
      <c r="S796" s="124"/>
      <c r="T796" s="124"/>
    </row>
    <row r="797" spans="11:20" ht="12.75">
      <c r="K797" s="74"/>
      <c r="L797" s="74"/>
      <c r="M797" s="74"/>
      <c r="N797" s="124"/>
      <c r="O797" s="74"/>
      <c r="P797" s="124"/>
      <c r="R797" s="279"/>
      <c r="S797" s="124"/>
      <c r="T797" s="124"/>
    </row>
    <row r="798" spans="11:20" ht="12.75">
      <c r="K798" s="74"/>
      <c r="L798" s="74"/>
      <c r="M798" s="74"/>
      <c r="N798" s="124"/>
      <c r="O798" s="74"/>
      <c r="P798" s="124"/>
      <c r="R798" s="279"/>
      <c r="S798" s="124"/>
      <c r="T798" s="124"/>
    </row>
    <row r="799" spans="11:20" ht="12.75">
      <c r="K799" s="74"/>
      <c r="L799" s="74"/>
      <c r="M799" s="74"/>
      <c r="N799" s="124"/>
      <c r="O799" s="74"/>
      <c r="P799" s="124"/>
      <c r="R799" s="279"/>
      <c r="S799" s="124"/>
      <c r="T799" s="124"/>
    </row>
    <row r="800" spans="11:20" ht="12.75">
      <c r="K800" s="74"/>
      <c r="L800" s="74"/>
      <c r="M800" s="74"/>
      <c r="N800" s="124"/>
      <c r="O800" s="74"/>
      <c r="P800" s="124"/>
      <c r="R800" s="279"/>
      <c r="S800" s="124"/>
      <c r="T800" s="124"/>
    </row>
    <row r="801" spans="11:20" ht="12.75">
      <c r="K801" s="74"/>
      <c r="L801" s="74"/>
      <c r="M801" s="74"/>
      <c r="N801" s="124"/>
      <c r="O801" s="74"/>
      <c r="P801" s="124"/>
      <c r="R801" s="279"/>
      <c r="S801" s="124"/>
      <c r="T801" s="124"/>
    </row>
    <row r="802" spans="11:20" ht="12.75">
      <c r="K802" s="74"/>
      <c r="L802" s="74"/>
      <c r="M802" s="74"/>
      <c r="N802" s="124"/>
      <c r="O802" s="74"/>
      <c r="P802" s="124"/>
      <c r="R802" s="279"/>
      <c r="S802" s="124"/>
      <c r="T802" s="124"/>
    </row>
    <row r="803" spans="11:20" ht="12.75">
      <c r="K803" s="74"/>
      <c r="L803" s="74"/>
      <c r="M803" s="74"/>
      <c r="N803" s="124"/>
      <c r="O803" s="74"/>
      <c r="P803" s="124"/>
      <c r="R803" s="279"/>
      <c r="S803" s="124"/>
      <c r="T803" s="124"/>
    </row>
    <row r="804" spans="11:20" ht="12.75">
      <c r="K804" s="74"/>
      <c r="L804" s="74"/>
      <c r="M804" s="74"/>
      <c r="N804" s="124"/>
      <c r="O804" s="74"/>
      <c r="P804" s="124"/>
      <c r="R804" s="279"/>
      <c r="S804" s="124"/>
      <c r="T804" s="124"/>
    </row>
    <row r="805" spans="11:20" ht="12.75">
      <c r="K805" s="74"/>
      <c r="L805" s="74"/>
      <c r="M805" s="74"/>
      <c r="N805" s="124"/>
      <c r="O805" s="74"/>
      <c r="P805" s="124"/>
      <c r="R805" s="279"/>
      <c r="S805" s="124"/>
      <c r="T805" s="124"/>
    </row>
    <row r="806" spans="11:20" ht="12.75">
      <c r="K806" s="74"/>
      <c r="L806" s="74"/>
      <c r="M806" s="74"/>
      <c r="N806" s="124"/>
      <c r="O806" s="74"/>
      <c r="P806" s="124"/>
      <c r="R806" s="279"/>
      <c r="S806" s="124"/>
      <c r="T806" s="124"/>
    </row>
    <row r="807" spans="11:20" ht="12.75">
      <c r="K807" s="74"/>
      <c r="L807" s="74"/>
      <c r="M807" s="74"/>
      <c r="N807" s="124"/>
      <c r="O807" s="74"/>
      <c r="P807" s="124"/>
      <c r="R807" s="279"/>
      <c r="S807" s="124"/>
      <c r="T807" s="124"/>
    </row>
    <row r="808" spans="11:20" ht="12.75">
      <c r="K808" s="74"/>
      <c r="L808" s="74"/>
      <c r="M808" s="74"/>
      <c r="N808" s="124"/>
      <c r="O808" s="74"/>
      <c r="P808" s="124"/>
      <c r="R808" s="279"/>
      <c r="S808" s="124"/>
      <c r="T808" s="124"/>
    </row>
    <row r="809" spans="11:20" ht="12.75">
      <c r="K809" s="74"/>
      <c r="L809" s="74"/>
      <c r="M809" s="74"/>
      <c r="N809" s="124"/>
      <c r="O809" s="74"/>
      <c r="P809" s="124"/>
      <c r="R809" s="279"/>
      <c r="S809" s="124"/>
      <c r="T809" s="124"/>
    </row>
    <row r="810" spans="11:20" ht="12.75">
      <c r="K810" s="74"/>
      <c r="L810" s="74"/>
      <c r="M810" s="74"/>
      <c r="N810" s="124"/>
      <c r="O810" s="74"/>
      <c r="P810" s="124"/>
      <c r="R810" s="279"/>
      <c r="S810" s="124"/>
      <c r="T810" s="124"/>
    </row>
    <row r="811" spans="11:20" ht="12.75">
      <c r="K811" s="74"/>
      <c r="L811" s="74"/>
      <c r="M811" s="74"/>
      <c r="N811" s="124"/>
      <c r="O811" s="74"/>
      <c r="P811" s="124"/>
      <c r="R811" s="279"/>
      <c r="S811" s="124"/>
      <c r="T811" s="124"/>
    </row>
    <row r="812" spans="11:20" ht="12.75">
      <c r="K812" s="74"/>
      <c r="L812" s="74"/>
      <c r="M812" s="74"/>
      <c r="N812" s="124"/>
      <c r="O812" s="74"/>
      <c r="P812" s="124"/>
      <c r="R812" s="279"/>
      <c r="S812" s="124"/>
      <c r="T812" s="124"/>
    </row>
    <row r="813" spans="11:20" ht="12.75">
      <c r="K813" s="74"/>
      <c r="L813" s="74"/>
      <c r="M813" s="74"/>
      <c r="N813" s="124"/>
      <c r="O813" s="74"/>
      <c r="P813" s="124"/>
      <c r="R813" s="279"/>
      <c r="S813" s="124"/>
      <c r="T813" s="124"/>
    </row>
    <row r="814" spans="11:20" ht="12.75">
      <c r="K814" s="74"/>
      <c r="L814" s="74"/>
      <c r="M814" s="74"/>
      <c r="N814" s="124"/>
      <c r="O814" s="74"/>
      <c r="P814" s="124"/>
      <c r="R814" s="279"/>
      <c r="S814" s="124"/>
      <c r="T814" s="124"/>
    </row>
    <row r="815" spans="11:20" ht="12.75">
      <c r="K815" s="74"/>
      <c r="L815" s="74"/>
      <c r="M815" s="74"/>
      <c r="N815" s="124"/>
      <c r="O815" s="74"/>
      <c r="P815" s="124"/>
      <c r="R815" s="279"/>
      <c r="S815" s="124"/>
      <c r="T815" s="124"/>
    </row>
    <row r="816" spans="11:20" ht="12.75">
      <c r="K816" s="74"/>
      <c r="L816" s="74"/>
      <c r="M816" s="74"/>
      <c r="N816" s="124"/>
      <c r="O816" s="74"/>
      <c r="P816" s="124"/>
      <c r="R816" s="279"/>
      <c r="S816" s="124"/>
      <c r="T816" s="124"/>
    </row>
    <row r="817" spans="11:20" ht="12.75">
      <c r="K817" s="74"/>
      <c r="L817" s="74"/>
      <c r="M817" s="74"/>
      <c r="N817" s="124"/>
      <c r="O817" s="74"/>
      <c r="P817" s="124"/>
      <c r="R817" s="279"/>
      <c r="S817" s="124"/>
      <c r="T817" s="124"/>
    </row>
    <row r="818" spans="11:20" ht="12.75">
      <c r="K818" s="74"/>
      <c r="L818" s="74"/>
      <c r="M818" s="74"/>
      <c r="N818" s="124"/>
      <c r="O818" s="74"/>
      <c r="P818" s="124"/>
      <c r="R818" s="279"/>
      <c r="S818" s="124"/>
      <c r="T818" s="124"/>
    </row>
    <row r="819" spans="11:20" ht="12.75">
      <c r="K819" s="74"/>
      <c r="L819" s="74"/>
      <c r="M819" s="74"/>
      <c r="N819" s="124"/>
      <c r="O819" s="74"/>
      <c r="P819" s="124"/>
      <c r="R819" s="279"/>
      <c r="S819" s="124"/>
      <c r="T819" s="124"/>
    </row>
    <row r="820" spans="11:20" ht="12.75">
      <c r="K820" s="74"/>
      <c r="L820" s="74"/>
      <c r="M820" s="74"/>
      <c r="N820" s="124"/>
      <c r="O820" s="74"/>
      <c r="P820" s="124"/>
      <c r="R820" s="279"/>
      <c r="S820" s="124"/>
      <c r="T820" s="124"/>
    </row>
    <row r="821" spans="11:20" ht="12.75">
      <c r="K821" s="74"/>
      <c r="L821" s="74"/>
      <c r="M821" s="74"/>
      <c r="N821" s="124"/>
      <c r="O821" s="74"/>
      <c r="P821" s="124"/>
      <c r="R821" s="279"/>
      <c r="S821" s="124"/>
      <c r="T821" s="124"/>
    </row>
    <row r="822" spans="11:20" ht="12.75">
      <c r="K822" s="74"/>
      <c r="L822" s="74"/>
      <c r="M822" s="74"/>
      <c r="N822" s="124"/>
      <c r="O822" s="74"/>
      <c r="P822" s="124"/>
      <c r="R822" s="279"/>
      <c r="S822" s="124"/>
      <c r="T822" s="124"/>
    </row>
    <row r="823" spans="11:20" ht="12.75">
      <c r="K823" s="74"/>
      <c r="L823" s="74"/>
      <c r="M823" s="74"/>
      <c r="N823" s="124"/>
      <c r="O823" s="74"/>
      <c r="P823" s="124"/>
      <c r="R823" s="279"/>
      <c r="S823" s="124"/>
      <c r="T823" s="124"/>
    </row>
    <row r="824" spans="11:20" ht="12.75">
      <c r="K824" s="74"/>
      <c r="L824" s="74"/>
      <c r="M824" s="74"/>
      <c r="N824" s="124"/>
      <c r="O824" s="74"/>
      <c r="P824" s="124"/>
      <c r="R824" s="279"/>
      <c r="S824" s="124"/>
      <c r="T824" s="124"/>
    </row>
    <row r="825" spans="11:20" ht="12.75">
      <c r="K825" s="74"/>
      <c r="L825" s="74"/>
      <c r="M825" s="74"/>
      <c r="N825" s="124"/>
      <c r="O825" s="74"/>
      <c r="P825" s="124"/>
      <c r="R825" s="279"/>
      <c r="S825" s="124"/>
      <c r="T825" s="124"/>
    </row>
    <row r="826" spans="11:20" ht="12.75">
      <c r="K826" s="74"/>
      <c r="L826" s="74"/>
      <c r="M826" s="74"/>
      <c r="N826" s="124"/>
      <c r="O826" s="74"/>
      <c r="P826" s="124"/>
      <c r="R826" s="279"/>
      <c r="S826" s="124"/>
      <c r="T826" s="124"/>
    </row>
    <row r="827" spans="11:20" ht="12.75">
      <c r="K827" s="74"/>
      <c r="L827" s="74"/>
      <c r="M827" s="74"/>
      <c r="N827" s="124"/>
      <c r="O827" s="74"/>
      <c r="P827" s="124"/>
      <c r="R827" s="279"/>
      <c r="S827" s="124"/>
      <c r="T827" s="124"/>
    </row>
    <row r="828" spans="11:20" ht="12.75">
      <c r="K828" s="74"/>
      <c r="L828" s="74"/>
      <c r="M828" s="74"/>
      <c r="N828" s="124"/>
      <c r="O828" s="74"/>
      <c r="P828" s="124"/>
      <c r="R828" s="279"/>
      <c r="S828" s="124"/>
      <c r="T828" s="124"/>
    </row>
    <row r="829" spans="11:20" ht="12.75">
      <c r="K829" s="74"/>
      <c r="L829" s="74"/>
      <c r="M829" s="74"/>
      <c r="N829" s="124"/>
      <c r="O829" s="74"/>
      <c r="P829" s="124"/>
      <c r="R829" s="279"/>
      <c r="S829" s="124"/>
      <c r="T829" s="124"/>
    </row>
    <row r="830" spans="11:20" ht="12.75">
      <c r="K830" s="74"/>
      <c r="L830" s="74"/>
      <c r="M830" s="74"/>
      <c r="N830" s="124"/>
      <c r="O830" s="74"/>
      <c r="P830" s="124"/>
      <c r="R830" s="279"/>
      <c r="S830" s="124"/>
      <c r="T830" s="124"/>
    </row>
    <row r="831" spans="11:20" ht="12.75">
      <c r="K831" s="74"/>
      <c r="L831" s="74"/>
      <c r="M831" s="74"/>
      <c r="N831" s="124"/>
      <c r="O831" s="74"/>
      <c r="P831" s="124"/>
      <c r="R831" s="279"/>
      <c r="S831" s="124"/>
      <c r="T831" s="124"/>
    </row>
    <row r="832" spans="11:20" ht="12.75">
      <c r="K832" s="74"/>
      <c r="L832" s="74"/>
      <c r="M832" s="74"/>
      <c r="N832" s="124"/>
      <c r="O832" s="74"/>
      <c r="P832" s="124"/>
      <c r="R832" s="279"/>
      <c r="S832" s="124"/>
      <c r="T832" s="124"/>
    </row>
    <row r="833" spans="11:20" ht="12.75">
      <c r="K833" s="74"/>
      <c r="L833" s="74"/>
      <c r="M833" s="74"/>
      <c r="N833" s="124"/>
      <c r="O833" s="74"/>
      <c r="P833" s="124"/>
      <c r="R833" s="279"/>
      <c r="S833" s="124"/>
      <c r="T833" s="124"/>
    </row>
    <row r="834" spans="11:20" ht="12.75">
      <c r="K834" s="74"/>
      <c r="L834" s="74"/>
      <c r="M834" s="74"/>
      <c r="N834" s="124"/>
      <c r="O834" s="74"/>
      <c r="P834" s="124"/>
      <c r="R834" s="279"/>
      <c r="S834" s="124"/>
      <c r="T834" s="124"/>
    </row>
    <row r="835" spans="11:20" ht="12.75">
      <c r="K835" s="74"/>
      <c r="L835" s="74"/>
      <c r="M835" s="74"/>
      <c r="N835" s="124"/>
      <c r="O835" s="74"/>
      <c r="P835" s="124"/>
      <c r="R835" s="279"/>
      <c r="S835" s="124"/>
      <c r="T835" s="124"/>
    </row>
    <row r="836" spans="11:20" ht="12.75">
      <c r="K836" s="74"/>
      <c r="L836" s="74"/>
      <c r="M836" s="74"/>
      <c r="N836" s="124"/>
      <c r="O836" s="74"/>
      <c r="P836" s="124"/>
      <c r="R836" s="279"/>
      <c r="S836" s="124"/>
      <c r="T836" s="124"/>
    </row>
    <row r="837" spans="11:20" ht="12.75">
      <c r="K837" s="74"/>
      <c r="L837" s="74"/>
      <c r="M837" s="74"/>
      <c r="N837" s="124"/>
      <c r="O837" s="74"/>
      <c r="P837" s="124"/>
      <c r="R837" s="279"/>
      <c r="S837" s="124"/>
      <c r="T837" s="124"/>
    </row>
    <row r="838" spans="11:20" ht="12.75">
      <c r="K838" s="74"/>
      <c r="L838" s="74"/>
      <c r="M838" s="74"/>
      <c r="N838" s="124"/>
      <c r="O838" s="74"/>
      <c r="P838" s="124"/>
      <c r="R838" s="279"/>
      <c r="S838" s="124"/>
      <c r="T838" s="124"/>
    </row>
    <row r="839" spans="11:20" ht="12.75">
      <c r="K839" s="74"/>
      <c r="L839" s="74"/>
      <c r="M839" s="74"/>
      <c r="N839" s="124"/>
      <c r="O839" s="74"/>
      <c r="P839" s="124"/>
      <c r="R839" s="279"/>
      <c r="S839" s="124"/>
      <c r="T839" s="124"/>
    </row>
    <row r="840" spans="11:20" ht="12.75">
      <c r="K840" s="74"/>
      <c r="L840" s="74"/>
      <c r="M840" s="74"/>
      <c r="N840" s="124"/>
      <c r="O840" s="74"/>
      <c r="P840" s="124"/>
      <c r="R840" s="279"/>
      <c r="S840" s="124"/>
      <c r="T840" s="124"/>
    </row>
    <row r="841" spans="11:20" ht="12.75">
      <c r="K841" s="74"/>
      <c r="L841" s="74"/>
      <c r="M841" s="74"/>
      <c r="N841" s="124"/>
      <c r="O841" s="74"/>
      <c r="P841" s="124"/>
      <c r="R841" s="279"/>
      <c r="S841" s="124"/>
      <c r="T841" s="124"/>
    </row>
    <row r="842" spans="11:20" ht="12.75">
      <c r="K842" s="74"/>
      <c r="L842" s="74"/>
      <c r="M842" s="74"/>
      <c r="N842" s="124"/>
      <c r="O842" s="74"/>
      <c r="P842" s="124"/>
      <c r="R842" s="279"/>
      <c r="S842" s="124"/>
      <c r="T842" s="124"/>
    </row>
    <row r="843" spans="11:20" ht="12.75">
      <c r="K843" s="74"/>
      <c r="L843" s="74"/>
      <c r="M843" s="74"/>
      <c r="N843" s="124"/>
      <c r="O843" s="74"/>
      <c r="P843" s="124"/>
      <c r="R843" s="279"/>
      <c r="S843" s="124"/>
      <c r="T843" s="124"/>
    </row>
    <row r="844" spans="11:20" ht="12.75">
      <c r="K844" s="74"/>
      <c r="L844" s="74"/>
      <c r="M844" s="74"/>
      <c r="N844" s="124"/>
      <c r="O844" s="74"/>
      <c r="P844" s="124"/>
      <c r="R844" s="279"/>
      <c r="S844" s="124"/>
      <c r="T844" s="124"/>
    </row>
    <row r="845" spans="11:20" ht="12.75">
      <c r="K845" s="74"/>
      <c r="L845" s="74"/>
      <c r="M845" s="74"/>
      <c r="N845" s="124"/>
      <c r="O845" s="74"/>
      <c r="P845" s="124"/>
      <c r="R845" s="279"/>
      <c r="S845" s="124"/>
      <c r="T845" s="124"/>
    </row>
    <row r="846" spans="11:20" ht="12.75">
      <c r="K846" s="74"/>
      <c r="L846" s="74"/>
      <c r="M846" s="74"/>
      <c r="N846" s="124"/>
      <c r="O846" s="74"/>
      <c r="P846" s="124"/>
      <c r="R846" s="279"/>
      <c r="S846" s="124"/>
      <c r="T846" s="124"/>
    </row>
    <row r="847" spans="11:20" ht="12.75">
      <c r="K847" s="74"/>
      <c r="L847" s="74"/>
      <c r="M847" s="74"/>
      <c r="N847" s="124"/>
      <c r="O847" s="74"/>
      <c r="P847" s="124"/>
      <c r="R847" s="279"/>
      <c r="S847" s="124"/>
      <c r="T847" s="124"/>
    </row>
    <row r="848" spans="11:20" ht="12.75">
      <c r="K848" s="74"/>
      <c r="L848" s="74"/>
      <c r="M848" s="74"/>
      <c r="N848" s="124"/>
      <c r="O848" s="74"/>
      <c r="P848" s="124"/>
      <c r="R848" s="279"/>
      <c r="S848" s="124"/>
      <c r="T848" s="124"/>
    </row>
    <row r="849" spans="11:20" ht="12.75">
      <c r="K849" s="74"/>
      <c r="L849" s="74"/>
      <c r="M849" s="74"/>
      <c r="N849" s="124"/>
      <c r="O849" s="74"/>
      <c r="P849" s="124"/>
      <c r="R849" s="279"/>
      <c r="S849" s="124"/>
      <c r="T849" s="124"/>
    </row>
    <row r="850" spans="11:20" ht="12.75">
      <c r="K850" s="74"/>
      <c r="L850" s="74"/>
      <c r="M850" s="74"/>
      <c r="N850" s="124"/>
      <c r="O850" s="74"/>
      <c r="P850" s="124"/>
      <c r="R850" s="279"/>
      <c r="S850" s="124"/>
      <c r="T850" s="124"/>
    </row>
    <row r="851" spans="11:20" ht="12.75">
      <c r="K851" s="74"/>
      <c r="L851" s="74"/>
      <c r="M851" s="74"/>
      <c r="N851" s="124"/>
      <c r="O851" s="74"/>
      <c r="P851" s="124"/>
      <c r="R851" s="279"/>
      <c r="S851" s="124"/>
      <c r="T851" s="124"/>
    </row>
    <row r="852" spans="11:20" ht="12.75">
      <c r="K852" s="74"/>
      <c r="L852" s="74"/>
      <c r="M852" s="74"/>
      <c r="N852" s="124"/>
      <c r="O852" s="74"/>
      <c r="P852" s="124"/>
      <c r="R852" s="279"/>
      <c r="S852" s="124"/>
      <c r="T852" s="124"/>
    </row>
    <row r="853" spans="11:20" ht="12.75">
      <c r="K853" s="74"/>
      <c r="L853" s="74"/>
      <c r="M853" s="74"/>
      <c r="N853" s="124"/>
      <c r="O853" s="74"/>
      <c r="P853" s="124"/>
      <c r="R853" s="279"/>
      <c r="S853" s="124"/>
      <c r="T853" s="124"/>
    </row>
    <row r="854" spans="11:20" ht="12.75">
      <c r="K854" s="74"/>
      <c r="L854" s="74"/>
      <c r="M854" s="74"/>
      <c r="N854" s="124"/>
      <c r="O854" s="74"/>
      <c r="P854" s="124"/>
      <c r="R854" s="279"/>
      <c r="S854" s="124"/>
      <c r="T854" s="124"/>
    </row>
    <row r="855" spans="11:20" ht="12.75">
      <c r="K855" s="74"/>
      <c r="L855" s="74"/>
      <c r="M855" s="74"/>
      <c r="N855" s="124"/>
      <c r="O855" s="74"/>
      <c r="P855" s="124"/>
      <c r="R855" s="279"/>
      <c r="S855" s="124"/>
      <c r="T855" s="124"/>
    </row>
    <row r="856" spans="11:20" ht="12.75">
      <c r="K856" s="74"/>
      <c r="L856" s="74"/>
      <c r="M856" s="74"/>
      <c r="N856" s="124"/>
      <c r="O856" s="74"/>
      <c r="P856" s="124"/>
      <c r="R856" s="279"/>
      <c r="S856" s="124"/>
      <c r="T856" s="124"/>
    </row>
    <row r="857" spans="11:20" ht="12.75">
      <c r="K857" s="74"/>
      <c r="L857" s="74"/>
      <c r="M857" s="74"/>
      <c r="N857" s="124"/>
      <c r="O857" s="74"/>
      <c r="P857" s="124"/>
      <c r="R857" s="279"/>
      <c r="S857" s="124"/>
      <c r="T857" s="124"/>
    </row>
    <row r="858" spans="11:20" ht="12.75">
      <c r="K858" s="74"/>
      <c r="L858" s="74"/>
      <c r="M858" s="74"/>
      <c r="N858" s="124"/>
      <c r="O858" s="74"/>
      <c r="P858" s="124"/>
      <c r="R858" s="279"/>
      <c r="S858" s="124"/>
      <c r="T858" s="124"/>
    </row>
    <row r="859" spans="11:20" ht="12.75">
      <c r="K859" s="74"/>
      <c r="L859" s="74"/>
      <c r="M859" s="74"/>
      <c r="N859" s="124"/>
      <c r="O859" s="74"/>
      <c r="P859" s="124"/>
      <c r="R859" s="279"/>
      <c r="S859" s="124"/>
      <c r="T859" s="124"/>
    </row>
    <row r="860" spans="11:20" ht="12.75">
      <c r="K860" s="74"/>
      <c r="L860" s="74"/>
      <c r="M860" s="74"/>
      <c r="N860" s="124"/>
      <c r="O860" s="74"/>
      <c r="P860" s="124"/>
      <c r="R860" s="279"/>
      <c r="S860" s="124"/>
      <c r="T860" s="124"/>
    </row>
    <row r="861" spans="11:20" ht="12.75">
      <c r="K861" s="74"/>
      <c r="L861" s="74"/>
      <c r="M861" s="74"/>
      <c r="N861" s="124"/>
      <c r="O861" s="74"/>
      <c r="P861" s="124"/>
      <c r="R861" s="279"/>
      <c r="S861" s="124"/>
      <c r="T861" s="124"/>
    </row>
    <row r="862" spans="11:20" ht="12.75">
      <c r="K862" s="74"/>
      <c r="L862" s="74"/>
      <c r="M862" s="74"/>
      <c r="N862" s="124"/>
      <c r="O862" s="74"/>
      <c r="P862" s="124"/>
      <c r="R862" s="279"/>
      <c r="S862" s="124"/>
      <c r="T862" s="124"/>
    </row>
    <row r="863" spans="11:20" ht="12.75">
      <c r="K863" s="74"/>
      <c r="L863" s="74"/>
      <c r="M863" s="74"/>
      <c r="N863" s="124"/>
      <c r="O863" s="74"/>
      <c r="P863" s="124"/>
      <c r="R863" s="279"/>
      <c r="S863" s="124"/>
      <c r="T863" s="124"/>
    </row>
    <row r="864" spans="11:20" ht="12.75">
      <c r="K864" s="74"/>
      <c r="L864" s="74"/>
      <c r="M864" s="74"/>
      <c r="N864" s="124"/>
      <c r="O864" s="74"/>
      <c r="P864" s="124"/>
      <c r="R864" s="279"/>
      <c r="S864" s="124"/>
      <c r="T864" s="124"/>
    </row>
    <row r="865" spans="11:20" ht="12.75">
      <c r="K865" s="74"/>
      <c r="L865" s="74"/>
      <c r="M865" s="74"/>
      <c r="N865" s="124"/>
      <c r="O865" s="74"/>
      <c r="P865" s="124"/>
      <c r="R865" s="279"/>
      <c r="S865" s="124"/>
      <c r="T865" s="124"/>
    </row>
    <row r="866" spans="11:20" ht="12.75">
      <c r="K866" s="74"/>
      <c r="L866" s="74"/>
      <c r="M866" s="74"/>
      <c r="N866" s="124"/>
      <c r="O866" s="74"/>
      <c r="P866" s="124"/>
      <c r="R866" s="279"/>
      <c r="S866" s="124"/>
      <c r="T866" s="124"/>
    </row>
    <row r="867" spans="11:20" ht="12.75">
      <c r="K867" s="74"/>
      <c r="L867" s="74"/>
      <c r="M867" s="74"/>
      <c r="N867" s="124"/>
      <c r="O867" s="74"/>
      <c r="P867" s="124"/>
      <c r="R867" s="279"/>
      <c r="S867" s="124"/>
      <c r="T867" s="124"/>
    </row>
    <row r="868" spans="11:20" ht="12.75">
      <c r="K868" s="74"/>
      <c r="L868" s="74"/>
      <c r="M868" s="74"/>
      <c r="N868" s="124"/>
      <c r="O868" s="74"/>
      <c r="P868" s="124"/>
      <c r="R868" s="279"/>
      <c r="S868" s="124"/>
      <c r="T868" s="124"/>
    </row>
    <row r="869" spans="11:20" ht="12.75">
      <c r="K869" s="74"/>
      <c r="L869" s="74"/>
      <c r="M869" s="74"/>
      <c r="N869" s="124"/>
      <c r="O869" s="74"/>
      <c r="P869" s="124"/>
      <c r="R869" s="279"/>
      <c r="S869" s="124"/>
      <c r="T869" s="124"/>
    </row>
    <row r="870" spans="11:20" ht="12.75">
      <c r="K870" s="74"/>
      <c r="L870" s="74"/>
      <c r="M870" s="74"/>
      <c r="N870" s="124"/>
      <c r="O870" s="74"/>
      <c r="P870" s="124"/>
      <c r="R870" s="279"/>
      <c r="S870" s="124"/>
      <c r="T870" s="124"/>
    </row>
    <row r="871" spans="11:20" ht="12.75">
      <c r="K871" s="74"/>
      <c r="L871" s="74"/>
      <c r="M871" s="74"/>
      <c r="N871" s="124"/>
      <c r="O871" s="74"/>
      <c r="P871" s="124"/>
      <c r="R871" s="279"/>
      <c r="S871" s="124"/>
      <c r="T871" s="124"/>
    </row>
    <row r="872" spans="11:20" ht="12.75">
      <c r="K872" s="74"/>
      <c r="L872" s="74"/>
      <c r="M872" s="74"/>
      <c r="N872" s="124"/>
      <c r="O872" s="74"/>
      <c r="P872" s="124"/>
      <c r="R872" s="279"/>
      <c r="S872" s="124"/>
      <c r="T872" s="124"/>
    </row>
    <row r="873" spans="11:20" ht="12.75">
      <c r="K873" s="74"/>
      <c r="L873" s="74"/>
      <c r="M873" s="74"/>
      <c r="N873" s="124"/>
      <c r="O873" s="74"/>
      <c r="P873" s="124"/>
      <c r="R873" s="279"/>
      <c r="S873" s="124"/>
      <c r="T873" s="124"/>
    </row>
    <row r="874" spans="11:20" ht="12.75">
      <c r="K874" s="74"/>
      <c r="L874" s="74"/>
      <c r="M874" s="74"/>
      <c r="N874" s="124"/>
      <c r="O874" s="74"/>
      <c r="P874" s="124"/>
      <c r="R874" s="279"/>
      <c r="S874" s="124"/>
      <c r="T874" s="124"/>
    </row>
    <row r="875" spans="11:20" ht="12.75">
      <c r="K875" s="74"/>
      <c r="L875" s="74"/>
      <c r="M875" s="74"/>
      <c r="N875" s="124"/>
      <c r="O875" s="74"/>
      <c r="P875" s="124"/>
      <c r="R875" s="279"/>
      <c r="S875" s="124"/>
      <c r="T875" s="124"/>
    </row>
    <row r="876" spans="11:20" ht="12.75">
      <c r="K876" s="74"/>
      <c r="L876" s="74"/>
      <c r="M876" s="74"/>
      <c r="N876" s="124"/>
      <c r="O876" s="74"/>
      <c r="P876" s="124"/>
      <c r="R876" s="279"/>
      <c r="S876" s="124"/>
      <c r="T876" s="124"/>
    </row>
    <row r="877" spans="11:20" ht="12.75">
      <c r="K877" s="74"/>
      <c r="L877" s="74"/>
      <c r="M877" s="74"/>
      <c r="N877" s="124"/>
      <c r="O877" s="74"/>
      <c r="P877" s="124"/>
      <c r="R877" s="279"/>
      <c r="S877" s="124"/>
      <c r="T877" s="124"/>
    </row>
    <row r="878" spans="11:20" ht="12.75">
      <c r="K878" s="74"/>
      <c r="L878" s="74"/>
      <c r="M878" s="74"/>
      <c r="N878" s="124"/>
      <c r="O878" s="74"/>
      <c r="P878" s="124"/>
      <c r="R878" s="279"/>
      <c r="S878" s="124"/>
      <c r="T878" s="124"/>
    </row>
    <row r="879" spans="11:20" ht="12.75">
      <c r="K879" s="74"/>
      <c r="L879" s="74"/>
      <c r="M879" s="74"/>
      <c r="N879" s="124"/>
      <c r="O879" s="74"/>
      <c r="P879" s="124"/>
      <c r="R879" s="279"/>
      <c r="S879" s="124"/>
      <c r="T879" s="124"/>
    </row>
    <row r="880" spans="11:20" ht="12.75">
      <c r="K880" s="74"/>
      <c r="L880" s="74"/>
      <c r="M880" s="74"/>
      <c r="N880" s="124"/>
      <c r="O880" s="74"/>
      <c r="P880" s="124"/>
      <c r="R880" s="279"/>
      <c r="S880" s="124"/>
      <c r="T880" s="124"/>
    </row>
    <row r="881" spans="11:20" ht="12.75">
      <c r="K881" s="74"/>
      <c r="L881" s="74"/>
      <c r="M881" s="74"/>
      <c r="N881" s="124"/>
      <c r="O881" s="74"/>
      <c r="P881" s="124"/>
      <c r="R881" s="279"/>
      <c r="S881" s="124"/>
      <c r="T881" s="124"/>
    </row>
    <row r="882" spans="11:20" ht="12.75">
      <c r="K882" s="74"/>
      <c r="L882" s="74"/>
      <c r="M882" s="74"/>
      <c r="N882" s="124"/>
      <c r="O882" s="74"/>
      <c r="P882" s="124"/>
      <c r="R882" s="279"/>
      <c r="S882" s="124"/>
      <c r="T882" s="124"/>
    </row>
    <row r="883" spans="11:20" ht="12.75">
      <c r="K883" s="74"/>
      <c r="L883" s="74"/>
      <c r="M883" s="74"/>
      <c r="N883" s="124"/>
      <c r="O883" s="74"/>
      <c r="P883" s="124"/>
      <c r="R883" s="279"/>
      <c r="S883" s="124"/>
      <c r="T883" s="124"/>
    </row>
    <row r="884" spans="11:20" ht="12.75">
      <c r="K884" s="74"/>
      <c r="L884" s="74"/>
      <c r="M884" s="74"/>
      <c r="N884" s="124"/>
      <c r="O884" s="74"/>
      <c r="P884" s="124"/>
      <c r="R884" s="279"/>
      <c r="S884" s="124"/>
      <c r="T884" s="124"/>
    </row>
    <row r="885" spans="11:20" ht="12.75">
      <c r="K885" s="74"/>
      <c r="L885" s="74"/>
      <c r="M885" s="74"/>
      <c r="N885" s="124"/>
      <c r="O885" s="74"/>
      <c r="P885" s="124"/>
      <c r="R885" s="279"/>
      <c r="S885" s="124"/>
      <c r="T885" s="124"/>
    </row>
    <row r="886" spans="11:20" ht="12.75">
      <c r="K886" s="74"/>
      <c r="L886" s="74"/>
      <c r="M886" s="74"/>
      <c r="N886" s="124"/>
      <c r="O886" s="74"/>
      <c r="P886" s="124"/>
      <c r="R886" s="279"/>
      <c r="S886" s="124"/>
      <c r="T886" s="124"/>
    </row>
    <row r="887" spans="11:20" ht="12.75">
      <c r="K887" s="74"/>
      <c r="L887" s="74"/>
      <c r="M887" s="74"/>
      <c r="N887" s="124"/>
      <c r="O887" s="74"/>
      <c r="P887" s="124"/>
      <c r="R887" s="279"/>
      <c r="S887" s="124"/>
      <c r="T887" s="124"/>
    </row>
    <row r="888" spans="11:20" ht="12.75">
      <c r="K888" s="74"/>
      <c r="L888" s="74"/>
      <c r="M888" s="74"/>
      <c r="N888" s="124"/>
      <c r="O888" s="74"/>
      <c r="P888" s="124"/>
      <c r="R888" s="279"/>
      <c r="S888" s="124"/>
      <c r="T888" s="124"/>
    </row>
    <row r="889" spans="11:20" ht="12.75">
      <c r="K889" s="74"/>
      <c r="L889" s="74"/>
      <c r="M889" s="74"/>
      <c r="N889" s="124"/>
      <c r="O889" s="74"/>
      <c r="P889" s="124"/>
      <c r="R889" s="279"/>
      <c r="S889" s="124"/>
      <c r="T889" s="124"/>
    </row>
    <row r="890" spans="11:20" ht="12.75">
      <c r="K890" s="74"/>
      <c r="L890" s="74"/>
      <c r="M890" s="74"/>
      <c r="N890" s="124"/>
      <c r="O890" s="74"/>
      <c r="P890" s="124"/>
      <c r="R890" s="279"/>
      <c r="S890" s="124"/>
      <c r="T890" s="124"/>
    </row>
    <row r="891" spans="11:20" ht="12.75">
      <c r="K891" s="74"/>
      <c r="L891" s="74"/>
      <c r="M891" s="74"/>
      <c r="N891" s="124"/>
      <c r="O891" s="74"/>
      <c r="P891" s="124"/>
      <c r="R891" s="279"/>
      <c r="S891" s="124"/>
      <c r="T891" s="124"/>
    </row>
    <row r="892" spans="11:20" ht="12.75">
      <c r="K892" s="74"/>
      <c r="L892" s="74"/>
      <c r="M892" s="74"/>
      <c r="N892" s="124"/>
      <c r="O892" s="74"/>
      <c r="P892" s="124"/>
      <c r="R892" s="279"/>
      <c r="S892" s="124"/>
      <c r="T892" s="124"/>
    </row>
    <row r="893" spans="11:20" ht="12.75">
      <c r="K893" s="74"/>
      <c r="L893" s="74"/>
      <c r="M893" s="74"/>
      <c r="N893" s="124"/>
      <c r="O893" s="74"/>
      <c r="P893" s="124"/>
      <c r="R893" s="279"/>
      <c r="S893" s="124"/>
      <c r="T893" s="124"/>
    </row>
    <row r="894" spans="11:20" ht="12.75">
      <c r="K894" s="74"/>
      <c r="L894" s="74"/>
      <c r="M894" s="74"/>
      <c r="N894" s="124"/>
      <c r="O894" s="74"/>
      <c r="P894" s="124"/>
      <c r="R894" s="279"/>
      <c r="S894" s="124"/>
      <c r="T894" s="124"/>
    </row>
    <row r="895" spans="11:20" ht="12.75">
      <c r="K895" s="74"/>
      <c r="L895" s="74"/>
      <c r="M895" s="74"/>
      <c r="N895" s="124"/>
      <c r="O895" s="74"/>
      <c r="P895" s="124"/>
      <c r="R895" s="279"/>
      <c r="S895" s="124"/>
      <c r="T895" s="124"/>
    </row>
    <row r="896" spans="11:20" ht="12.75">
      <c r="K896" s="74"/>
      <c r="L896" s="74"/>
      <c r="M896" s="74"/>
      <c r="N896" s="124"/>
      <c r="O896" s="74"/>
      <c r="P896" s="124"/>
      <c r="R896" s="279"/>
      <c r="S896" s="124"/>
      <c r="T896" s="124"/>
    </row>
    <row r="897" spans="11:20" ht="12.75">
      <c r="K897" s="74"/>
      <c r="L897" s="74"/>
      <c r="M897" s="74"/>
      <c r="N897" s="124"/>
      <c r="O897" s="74"/>
      <c r="P897" s="124"/>
      <c r="R897" s="279"/>
      <c r="S897" s="124"/>
      <c r="T897" s="124"/>
    </row>
    <row r="898" spans="11:20" ht="12.75">
      <c r="K898" s="74"/>
      <c r="L898" s="74"/>
      <c r="M898" s="74"/>
      <c r="N898" s="124"/>
      <c r="O898" s="74"/>
      <c r="P898" s="124"/>
      <c r="R898" s="279"/>
      <c r="S898" s="124"/>
      <c r="T898" s="124"/>
    </row>
    <row r="899" spans="11:20" ht="12.75">
      <c r="K899" s="74"/>
      <c r="L899" s="74"/>
      <c r="M899" s="74"/>
      <c r="N899" s="124"/>
      <c r="O899" s="74"/>
      <c r="P899" s="124"/>
      <c r="R899" s="279"/>
      <c r="S899" s="124"/>
      <c r="T899" s="124"/>
    </row>
    <row r="900" spans="11:20" ht="12.75">
      <c r="K900" s="74"/>
      <c r="L900" s="74"/>
      <c r="M900" s="74"/>
      <c r="N900" s="124"/>
      <c r="O900" s="74"/>
      <c r="P900" s="124"/>
      <c r="R900" s="279"/>
      <c r="S900" s="124"/>
      <c r="T900" s="124"/>
    </row>
    <row r="901" spans="11:20" ht="12.75">
      <c r="K901" s="74"/>
      <c r="L901" s="74"/>
      <c r="M901" s="74"/>
      <c r="N901" s="124"/>
      <c r="O901" s="74"/>
      <c r="P901" s="124"/>
      <c r="R901" s="279"/>
      <c r="S901" s="124"/>
      <c r="T901" s="124"/>
    </row>
    <row r="902" spans="11:20" ht="12.75">
      <c r="K902" s="74"/>
      <c r="L902" s="74"/>
      <c r="M902" s="74"/>
      <c r="N902" s="124"/>
      <c r="O902" s="74"/>
      <c r="P902" s="124"/>
      <c r="R902" s="279"/>
      <c r="S902" s="124"/>
      <c r="T902" s="124"/>
    </row>
    <row r="903" spans="11:20" ht="12.75">
      <c r="K903" s="74"/>
      <c r="L903" s="74"/>
      <c r="M903" s="74"/>
      <c r="N903" s="124"/>
      <c r="O903" s="74"/>
      <c r="P903" s="124"/>
      <c r="R903" s="279"/>
      <c r="S903" s="124"/>
      <c r="T903" s="124"/>
    </row>
    <row r="904" spans="11:20" ht="12.75">
      <c r="K904" s="74"/>
      <c r="L904" s="74"/>
      <c r="M904" s="74"/>
      <c r="N904" s="124"/>
      <c r="O904" s="74"/>
      <c r="P904" s="124"/>
      <c r="R904" s="279"/>
      <c r="S904" s="124"/>
      <c r="T904" s="124"/>
    </row>
    <row r="905" spans="11:20" ht="12.75">
      <c r="K905" s="74"/>
      <c r="L905" s="74"/>
      <c r="M905" s="74"/>
      <c r="N905" s="124"/>
      <c r="O905" s="74"/>
      <c r="P905" s="124"/>
      <c r="R905" s="279"/>
      <c r="S905" s="124"/>
      <c r="T905" s="124"/>
    </row>
    <row r="906" spans="11:20" ht="12.75">
      <c r="K906" s="74"/>
      <c r="L906" s="74"/>
      <c r="M906" s="74"/>
      <c r="N906" s="124"/>
      <c r="O906" s="74"/>
      <c r="P906" s="124"/>
      <c r="R906" s="279"/>
      <c r="S906" s="124"/>
      <c r="T906" s="124"/>
    </row>
    <row r="907" spans="11:20" ht="12.75">
      <c r="K907" s="74"/>
      <c r="L907" s="74"/>
      <c r="M907" s="74"/>
      <c r="N907" s="124"/>
      <c r="O907" s="74"/>
      <c r="P907" s="124"/>
      <c r="R907" s="279"/>
      <c r="S907" s="124"/>
      <c r="T907" s="124"/>
    </row>
    <row r="908" spans="11:20" ht="12.75">
      <c r="K908" s="74"/>
      <c r="L908" s="74"/>
      <c r="M908" s="74"/>
      <c r="N908" s="124"/>
      <c r="O908" s="74"/>
      <c r="P908" s="124"/>
      <c r="R908" s="279"/>
      <c r="S908" s="124"/>
      <c r="T908" s="124"/>
    </row>
    <row r="909" spans="11:20" ht="12.75">
      <c r="K909" s="74"/>
      <c r="L909" s="74"/>
      <c r="M909" s="74"/>
      <c r="N909" s="124"/>
      <c r="O909" s="74"/>
      <c r="P909" s="124"/>
      <c r="R909" s="279"/>
      <c r="S909" s="124"/>
      <c r="T909" s="124"/>
    </row>
    <row r="910" spans="11:20" ht="12.75">
      <c r="K910" s="74"/>
      <c r="L910" s="74"/>
      <c r="M910" s="74"/>
      <c r="N910" s="124"/>
      <c r="O910" s="74"/>
      <c r="P910" s="124"/>
      <c r="R910" s="279"/>
      <c r="S910" s="124"/>
      <c r="T910" s="124"/>
    </row>
    <row r="911" spans="11:20" ht="12.75">
      <c r="K911" s="74"/>
      <c r="L911" s="74"/>
      <c r="M911" s="74"/>
      <c r="N911" s="124"/>
      <c r="O911" s="74"/>
      <c r="P911" s="124"/>
      <c r="R911" s="279"/>
      <c r="S911" s="124"/>
      <c r="T911" s="124"/>
    </row>
    <row r="912" spans="11:20" ht="12.75">
      <c r="K912" s="74"/>
      <c r="L912" s="74"/>
      <c r="M912" s="74"/>
      <c r="N912" s="124"/>
      <c r="O912" s="74"/>
      <c r="P912" s="124"/>
      <c r="R912" s="279"/>
      <c r="S912" s="124"/>
      <c r="T912" s="124"/>
    </row>
    <row r="913" spans="11:20" ht="12.75">
      <c r="K913" s="74"/>
      <c r="L913" s="74"/>
      <c r="M913" s="74"/>
      <c r="N913" s="124"/>
      <c r="O913" s="74"/>
      <c r="P913" s="124"/>
      <c r="R913" s="279"/>
      <c r="S913" s="124"/>
      <c r="T913" s="124"/>
    </row>
    <row r="914" spans="11:20" ht="12.75">
      <c r="K914" s="74"/>
      <c r="L914" s="74"/>
      <c r="M914" s="74"/>
      <c r="N914" s="124"/>
      <c r="O914" s="74"/>
      <c r="P914" s="124"/>
      <c r="R914" s="279"/>
      <c r="S914" s="124"/>
      <c r="T914" s="124"/>
    </row>
    <row r="915" spans="11:20" ht="12.75">
      <c r="K915" s="74"/>
      <c r="L915" s="74"/>
      <c r="M915" s="74"/>
      <c r="N915" s="124"/>
      <c r="O915" s="74"/>
      <c r="P915" s="124"/>
      <c r="R915" s="279"/>
      <c r="S915" s="124"/>
      <c r="T915" s="124"/>
    </row>
    <row r="916" spans="11:20" ht="12.75">
      <c r="K916" s="74"/>
      <c r="L916" s="74"/>
      <c r="M916" s="74"/>
      <c r="N916" s="124"/>
      <c r="O916" s="74"/>
      <c r="P916" s="124"/>
      <c r="R916" s="279"/>
      <c r="S916" s="124"/>
      <c r="T916" s="124"/>
    </row>
    <row r="917" spans="11:20" ht="12.75">
      <c r="K917" s="74"/>
      <c r="L917" s="74"/>
      <c r="M917" s="74"/>
      <c r="N917" s="124"/>
      <c r="O917" s="74"/>
      <c r="P917" s="124"/>
      <c r="R917" s="279"/>
      <c r="S917" s="124"/>
      <c r="T917" s="124"/>
    </row>
    <row r="918" spans="11:20" ht="12.75">
      <c r="K918" s="74"/>
      <c r="L918" s="74"/>
      <c r="M918" s="74"/>
      <c r="N918" s="124"/>
      <c r="O918" s="74"/>
      <c r="P918" s="124"/>
      <c r="R918" s="279"/>
      <c r="S918" s="124"/>
      <c r="T918" s="124"/>
    </row>
    <row r="919" spans="11:20" ht="12.75">
      <c r="K919" s="74"/>
      <c r="L919" s="74"/>
      <c r="M919" s="74"/>
      <c r="N919" s="124"/>
      <c r="O919" s="74"/>
      <c r="P919" s="124"/>
      <c r="R919" s="279"/>
      <c r="S919" s="124"/>
      <c r="T919" s="124"/>
    </row>
    <row r="920" spans="11:20" ht="12.75">
      <c r="K920" s="74"/>
      <c r="L920" s="74"/>
      <c r="M920" s="74"/>
      <c r="N920" s="124"/>
      <c r="O920" s="74"/>
      <c r="P920" s="124"/>
      <c r="R920" s="279"/>
      <c r="S920" s="124"/>
      <c r="T920" s="124"/>
    </row>
    <row r="921" spans="11:20" ht="12.75">
      <c r="K921" s="74"/>
      <c r="L921" s="74"/>
      <c r="M921" s="74"/>
      <c r="N921" s="124"/>
      <c r="O921" s="74"/>
      <c r="P921" s="124"/>
      <c r="R921" s="279"/>
      <c r="S921" s="124"/>
      <c r="T921" s="124"/>
    </row>
    <row r="922" spans="11:20" ht="12.75">
      <c r="K922" s="74"/>
      <c r="L922" s="74"/>
      <c r="M922" s="74"/>
      <c r="N922" s="124"/>
      <c r="O922" s="74"/>
      <c r="P922" s="124"/>
      <c r="R922" s="279"/>
      <c r="S922" s="124"/>
      <c r="T922" s="124"/>
    </row>
    <row r="923" spans="11:20" ht="12.75">
      <c r="K923" s="74"/>
      <c r="L923" s="74"/>
      <c r="M923" s="74"/>
      <c r="N923" s="124"/>
      <c r="O923" s="74"/>
      <c r="P923" s="124"/>
      <c r="R923" s="279"/>
      <c r="S923" s="124"/>
      <c r="T923" s="124"/>
    </row>
    <row r="924" spans="11:20" ht="12.75">
      <c r="K924" s="74"/>
      <c r="L924" s="74"/>
      <c r="M924" s="74"/>
      <c r="N924" s="124"/>
      <c r="O924" s="74"/>
      <c r="P924" s="124"/>
      <c r="R924" s="279"/>
      <c r="S924" s="124"/>
      <c r="T924" s="124"/>
    </row>
    <row r="925" spans="11:20" ht="12.75">
      <c r="K925" s="74"/>
      <c r="L925" s="74"/>
      <c r="M925" s="74"/>
      <c r="N925" s="124"/>
      <c r="O925" s="74"/>
      <c r="P925" s="124"/>
      <c r="R925" s="279"/>
      <c r="S925" s="124"/>
      <c r="T925" s="124"/>
    </row>
    <row r="926" spans="11:20" ht="12.75">
      <c r="K926" s="74"/>
      <c r="L926" s="74"/>
      <c r="M926" s="74"/>
      <c r="N926" s="124"/>
      <c r="O926" s="74"/>
      <c r="P926" s="124"/>
      <c r="R926" s="279"/>
      <c r="S926" s="124"/>
      <c r="T926" s="124"/>
    </row>
    <row r="927" spans="11:20" ht="12.75">
      <c r="K927" s="74"/>
      <c r="L927" s="74"/>
      <c r="M927" s="74"/>
      <c r="N927" s="124"/>
      <c r="O927" s="74"/>
      <c r="P927" s="124"/>
      <c r="R927" s="279"/>
      <c r="S927" s="124"/>
      <c r="T927" s="124"/>
    </row>
    <row r="928" spans="11:20" ht="12.75">
      <c r="K928" s="74"/>
      <c r="L928" s="74"/>
      <c r="M928" s="74"/>
      <c r="N928" s="124"/>
      <c r="O928" s="74"/>
      <c r="P928" s="124"/>
      <c r="R928" s="279"/>
      <c r="S928" s="124"/>
      <c r="T928" s="124"/>
    </row>
    <row r="929" spans="11:20" ht="12.75">
      <c r="K929" s="74"/>
      <c r="L929" s="74"/>
      <c r="M929" s="74"/>
      <c r="N929" s="124"/>
      <c r="O929" s="74"/>
      <c r="P929" s="124"/>
      <c r="R929" s="279"/>
      <c r="S929" s="124"/>
      <c r="T929" s="124"/>
    </row>
    <row r="930" spans="11:20" ht="12.75">
      <c r="K930" s="74"/>
      <c r="L930" s="74"/>
      <c r="M930" s="74"/>
      <c r="N930" s="124"/>
      <c r="O930" s="74"/>
      <c r="P930" s="124"/>
      <c r="R930" s="279"/>
      <c r="S930" s="124"/>
      <c r="T930" s="124"/>
    </row>
    <row r="931" spans="11:20" ht="12.75">
      <c r="K931" s="74"/>
      <c r="L931" s="74"/>
      <c r="M931" s="74"/>
      <c r="N931" s="124"/>
      <c r="O931" s="74"/>
      <c r="P931" s="124"/>
      <c r="R931" s="279"/>
      <c r="S931" s="124"/>
      <c r="T931" s="124"/>
    </row>
    <row r="932" spans="11:20" ht="12.75">
      <c r="K932" s="74"/>
      <c r="L932" s="74"/>
      <c r="M932" s="74"/>
      <c r="N932" s="124"/>
      <c r="O932" s="74"/>
      <c r="P932" s="124"/>
      <c r="R932" s="279"/>
      <c r="S932" s="124"/>
      <c r="T932" s="124"/>
    </row>
    <row r="933" spans="11:20" ht="12.75">
      <c r="K933" s="74"/>
      <c r="L933" s="74"/>
      <c r="M933" s="74"/>
      <c r="N933" s="124"/>
      <c r="O933" s="74"/>
      <c r="P933" s="124"/>
      <c r="R933" s="279"/>
      <c r="S933" s="124"/>
      <c r="T933" s="124"/>
    </row>
    <row r="934" spans="11:20" ht="12.75">
      <c r="K934" s="74"/>
      <c r="L934" s="74"/>
      <c r="M934" s="74"/>
      <c r="N934" s="124"/>
      <c r="O934" s="74"/>
      <c r="P934" s="124"/>
      <c r="R934" s="279"/>
      <c r="S934" s="124"/>
      <c r="T934" s="124"/>
    </row>
    <row r="935" spans="11:20" ht="12.75">
      <c r="K935" s="74"/>
      <c r="L935" s="74"/>
      <c r="M935" s="74"/>
      <c r="N935" s="124"/>
      <c r="O935" s="74"/>
      <c r="P935" s="124"/>
      <c r="R935" s="279"/>
      <c r="S935" s="124"/>
      <c r="T935" s="124"/>
    </row>
    <row r="936" spans="11:20" ht="12.75">
      <c r="K936" s="74"/>
      <c r="L936" s="74"/>
      <c r="M936" s="74"/>
      <c r="N936" s="124"/>
      <c r="O936" s="74"/>
      <c r="P936" s="124"/>
      <c r="R936" s="279"/>
      <c r="S936" s="124"/>
      <c r="T936" s="124"/>
    </row>
    <row r="937" spans="11:20" ht="12.75">
      <c r="K937" s="74"/>
      <c r="L937" s="74"/>
      <c r="M937" s="74"/>
      <c r="N937" s="124"/>
      <c r="O937" s="74"/>
      <c r="P937" s="124"/>
      <c r="R937" s="279"/>
      <c r="S937" s="124"/>
      <c r="T937" s="124"/>
    </row>
    <row r="938" spans="11:20" ht="12.75">
      <c r="K938" s="74"/>
      <c r="L938" s="74"/>
      <c r="M938" s="74"/>
      <c r="N938" s="124"/>
      <c r="O938" s="74"/>
      <c r="P938" s="124"/>
      <c r="R938" s="279"/>
      <c r="S938" s="124"/>
      <c r="T938" s="124"/>
    </row>
    <row r="939" spans="11:20" ht="12.75">
      <c r="K939" s="74"/>
      <c r="L939" s="74"/>
      <c r="M939" s="74"/>
      <c r="N939" s="124"/>
      <c r="O939" s="74"/>
      <c r="P939" s="124"/>
      <c r="R939" s="279"/>
      <c r="S939" s="124"/>
      <c r="T939" s="124"/>
    </row>
    <row r="940" spans="11:20" ht="12.75">
      <c r="K940" s="74"/>
      <c r="L940" s="74"/>
      <c r="M940" s="74"/>
      <c r="N940" s="124"/>
      <c r="O940" s="74"/>
      <c r="P940" s="124"/>
      <c r="R940" s="279"/>
      <c r="S940" s="124"/>
      <c r="T940" s="124"/>
    </row>
    <row r="941" spans="11:20" ht="12.75">
      <c r="K941" s="74"/>
      <c r="L941" s="74"/>
      <c r="M941" s="74"/>
      <c r="N941" s="124"/>
      <c r="O941" s="74"/>
      <c r="P941" s="124"/>
      <c r="R941" s="279"/>
      <c r="S941" s="124"/>
      <c r="T941" s="124"/>
    </row>
    <row r="942" spans="11:20" ht="12.75">
      <c r="K942" s="74"/>
      <c r="L942" s="74"/>
      <c r="M942" s="74"/>
      <c r="N942" s="124"/>
      <c r="O942" s="74"/>
      <c r="P942" s="124"/>
      <c r="R942" s="279"/>
      <c r="S942" s="124"/>
      <c r="T942" s="124"/>
    </row>
    <row r="943" spans="11:20" ht="12.75">
      <c r="K943" s="74"/>
      <c r="L943" s="74"/>
      <c r="M943" s="74"/>
      <c r="N943" s="124"/>
      <c r="O943" s="74"/>
      <c r="P943" s="124"/>
      <c r="R943" s="279"/>
      <c r="S943" s="124"/>
      <c r="T943" s="124"/>
    </row>
    <row r="944" spans="11:20" ht="12.75">
      <c r="K944" s="74"/>
      <c r="L944" s="74"/>
      <c r="M944" s="74"/>
      <c r="N944" s="124"/>
      <c r="O944" s="74"/>
      <c r="P944" s="124"/>
      <c r="R944" s="279"/>
      <c r="S944" s="124"/>
      <c r="T944" s="124"/>
    </row>
    <row r="945" spans="11:20" ht="12.75">
      <c r="K945" s="74"/>
      <c r="L945" s="74"/>
      <c r="M945" s="74"/>
      <c r="N945" s="124"/>
      <c r="O945" s="74"/>
      <c r="P945" s="124"/>
      <c r="R945" s="279"/>
      <c r="S945" s="124"/>
      <c r="T945" s="124"/>
    </row>
    <row r="946" spans="11:20" ht="12.75">
      <c r="K946" s="74"/>
      <c r="L946" s="74"/>
      <c r="M946" s="74"/>
      <c r="N946" s="124"/>
      <c r="O946" s="74"/>
      <c r="P946" s="124"/>
      <c r="R946" s="279"/>
      <c r="S946" s="124"/>
      <c r="T946" s="124"/>
    </row>
    <row r="947" spans="11:20" ht="12.75">
      <c r="K947" s="74"/>
      <c r="L947" s="74"/>
      <c r="M947" s="74"/>
      <c r="N947" s="124"/>
      <c r="O947" s="74"/>
      <c r="P947" s="124"/>
      <c r="R947" s="279"/>
      <c r="S947" s="124"/>
      <c r="T947" s="124"/>
    </row>
    <row r="948" spans="11:20" ht="12.75">
      <c r="K948" s="74"/>
      <c r="L948" s="74"/>
      <c r="M948" s="74"/>
      <c r="N948" s="124"/>
      <c r="O948" s="74"/>
      <c r="P948" s="124"/>
      <c r="R948" s="279"/>
      <c r="S948" s="124"/>
      <c r="T948" s="124"/>
    </row>
    <row r="949" spans="11:20" ht="12.75">
      <c r="K949" s="74"/>
      <c r="L949" s="74"/>
      <c r="M949" s="74"/>
      <c r="N949" s="124"/>
      <c r="O949" s="74"/>
      <c r="P949" s="124"/>
      <c r="R949" s="279"/>
      <c r="S949" s="124"/>
      <c r="T949" s="124"/>
    </row>
    <row r="950" spans="11:20" ht="12.75">
      <c r="K950" s="74"/>
      <c r="L950" s="74"/>
      <c r="M950" s="74"/>
      <c r="N950" s="124"/>
      <c r="O950" s="74"/>
      <c r="P950" s="124"/>
      <c r="R950" s="279"/>
      <c r="S950" s="124"/>
      <c r="T950" s="124"/>
    </row>
    <row r="951" spans="11:20" ht="12.75">
      <c r="K951" s="74"/>
      <c r="L951" s="74"/>
      <c r="M951" s="74"/>
      <c r="N951" s="124"/>
      <c r="O951" s="74"/>
      <c r="P951" s="124"/>
      <c r="R951" s="279"/>
      <c r="S951" s="124"/>
      <c r="T951" s="124"/>
    </row>
    <row r="952" spans="11:20" ht="12.75">
      <c r="K952" s="74"/>
      <c r="L952" s="74"/>
      <c r="M952" s="74"/>
      <c r="N952" s="124"/>
      <c r="O952" s="74"/>
      <c r="P952" s="124"/>
      <c r="R952" s="279"/>
      <c r="S952" s="124"/>
      <c r="T952" s="124"/>
    </row>
    <row r="953" spans="11:20" ht="12.75">
      <c r="K953" s="74"/>
      <c r="L953" s="74"/>
      <c r="M953" s="74"/>
      <c r="N953" s="124"/>
      <c r="O953" s="74"/>
      <c r="P953" s="124"/>
      <c r="R953" s="279"/>
      <c r="S953" s="124"/>
      <c r="T953" s="124"/>
    </row>
    <row r="954" spans="11:20" ht="12.75">
      <c r="K954" s="74"/>
      <c r="L954" s="74"/>
      <c r="M954" s="74"/>
      <c r="N954" s="124"/>
      <c r="O954" s="74"/>
      <c r="P954" s="124"/>
      <c r="R954" s="279"/>
      <c r="S954" s="124"/>
      <c r="T954" s="124"/>
    </row>
    <row r="955" spans="11:20" ht="12.75">
      <c r="K955" s="74"/>
      <c r="L955" s="74"/>
      <c r="M955" s="74"/>
      <c r="N955" s="124"/>
      <c r="O955" s="74"/>
      <c r="P955" s="124"/>
      <c r="R955" s="279"/>
      <c r="S955" s="124"/>
      <c r="T955" s="124"/>
    </row>
    <row r="956" spans="11:20" ht="12.75">
      <c r="K956" s="74"/>
      <c r="L956" s="74"/>
      <c r="M956" s="74"/>
      <c r="N956" s="124"/>
      <c r="O956" s="74"/>
      <c r="P956" s="124"/>
      <c r="R956" s="279"/>
      <c r="S956" s="124"/>
      <c r="T956" s="124"/>
    </row>
    <row r="957" spans="11:20" ht="12.75">
      <c r="K957" s="74"/>
      <c r="L957" s="74"/>
      <c r="M957" s="74"/>
      <c r="N957" s="124"/>
      <c r="O957" s="74"/>
      <c r="P957" s="124"/>
      <c r="R957" s="279"/>
      <c r="S957" s="124"/>
      <c r="T957" s="124"/>
    </row>
    <row r="958" spans="11:20" ht="12.75">
      <c r="K958" s="74"/>
      <c r="L958" s="74"/>
      <c r="M958" s="74"/>
      <c r="N958" s="124"/>
      <c r="O958" s="74"/>
      <c r="P958" s="124"/>
      <c r="R958" s="279"/>
      <c r="S958" s="124"/>
      <c r="T958" s="124"/>
    </row>
    <row r="959" spans="11:20" ht="12.75">
      <c r="K959" s="74"/>
      <c r="L959" s="74"/>
      <c r="M959" s="74"/>
      <c r="N959" s="124"/>
      <c r="O959" s="74"/>
      <c r="P959" s="124"/>
      <c r="R959" s="279"/>
      <c r="S959" s="124"/>
      <c r="T959" s="124"/>
    </row>
    <row r="960" spans="11:20" ht="12.75">
      <c r="K960" s="74"/>
      <c r="L960" s="74"/>
      <c r="M960" s="74"/>
      <c r="N960" s="124"/>
      <c r="O960" s="74"/>
      <c r="P960" s="124"/>
      <c r="R960" s="279"/>
      <c r="S960" s="124"/>
      <c r="T960" s="124"/>
    </row>
    <row r="961" spans="11:20" ht="12.75">
      <c r="K961" s="74"/>
      <c r="L961" s="74"/>
      <c r="M961" s="74"/>
      <c r="N961" s="124"/>
      <c r="O961" s="74"/>
      <c r="P961" s="124"/>
      <c r="R961" s="279"/>
      <c r="S961" s="124"/>
      <c r="T961" s="124"/>
    </row>
    <row r="962" spans="11:20" ht="12.75">
      <c r="K962" s="74"/>
      <c r="L962" s="74"/>
      <c r="M962" s="74"/>
      <c r="N962" s="124"/>
      <c r="O962" s="74"/>
      <c r="P962" s="124"/>
      <c r="R962" s="279"/>
      <c r="S962" s="124"/>
      <c r="T962" s="124"/>
    </row>
    <row r="963" spans="11:20" ht="12.75">
      <c r="K963" s="74"/>
      <c r="L963" s="74"/>
      <c r="M963" s="74"/>
      <c r="N963" s="124"/>
      <c r="O963" s="74"/>
      <c r="P963" s="124"/>
      <c r="R963" s="279"/>
      <c r="S963" s="124"/>
      <c r="T963" s="124"/>
    </row>
    <row r="964" spans="11:20" ht="12.75">
      <c r="K964" s="74"/>
      <c r="L964" s="74"/>
      <c r="M964" s="74"/>
      <c r="N964" s="124"/>
      <c r="O964" s="74"/>
      <c r="P964" s="124"/>
      <c r="R964" s="279"/>
      <c r="S964" s="124"/>
      <c r="T964" s="124"/>
    </row>
    <row r="965" spans="11:20" ht="12.75">
      <c r="K965" s="74"/>
      <c r="L965" s="74"/>
      <c r="M965" s="74"/>
      <c r="N965" s="124"/>
      <c r="O965" s="74"/>
      <c r="P965" s="124"/>
      <c r="R965" s="279"/>
      <c r="S965" s="124"/>
      <c r="T965" s="124"/>
    </row>
    <row r="966" spans="11:20" ht="12.75">
      <c r="K966" s="74"/>
      <c r="L966" s="74"/>
      <c r="M966" s="74"/>
      <c r="N966" s="124"/>
      <c r="O966" s="74"/>
      <c r="P966" s="124"/>
      <c r="R966" s="279"/>
      <c r="S966" s="124"/>
      <c r="T966" s="124"/>
    </row>
    <row r="967" spans="11:20" ht="12.75">
      <c r="K967" s="74"/>
      <c r="L967" s="74"/>
      <c r="M967" s="74"/>
      <c r="N967" s="124"/>
      <c r="O967" s="74"/>
      <c r="P967" s="124"/>
      <c r="R967" s="279"/>
      <c r="S967" s="124"/>
      <c r="T967" s="124"/>
    </row>
    <row r="968" spans="11:20" ht="12.75">
      <c r="K968" s="74"/>
      <c r="L968" s="74"/>
      <c r="M968" s="74"/>
      <c r="N968" s="124"/>
      <c r="O968" s="74"/>
      <c r="P968" s="124"/>
      <c r="R968" s="279"/>
      <c r="S968" s="124"/>
      <c r="T968" s="124"/>
    </row>
    <row r="969" spans="11:20" ht="12.75">
      <c r="K969" s="74"/>
      <c r="L969" s="74"/>
      <c r="M969" s="74"/>
      <c r="N969" s="124"/>
      <c r="O969" s="74"/>
      <c r="P969" s="124"/>
      <c r="R969" s="279"/>
      <c r="S969" s="124"/>
      <c r="T969" s="124"/>
    </row>
    <row r="970" spans="11:20" ht="12.75">
      <c r="K970" s="74"/>
      <c r="L970" s="74"/>
      <c r="M970" s="74"/>
      <c r="N970" s="124"/>
      <c r="O970" s="74"/>
      <c r="P970" s="124"/>
      <c r="R970" s="279"/>
      <c r="S970" s="124"/>
      <c r="T970" s="124"/>
    </row>
    <row r="971" spans="11:20" ht="12.75">
      <c r="K971" s="74"/>
      <c r="L971" s="74"/>
      <c r="M971" s="74"/>
      <c r="N971" s="124"/>
      <c r="O971" s="74"/>
      <c r="P971" s="124"/>
      <c r="R971" s="279"/>
      <c r="S971" s="124"/>
      <c r="T971" s="124"/>
    </row>
    <row r="972" spans="11:20" ht="12.75">
      <c r="K972" s="74"/>
      <c r="L972" s="74"/>
      <c r="M972" s="74"/>
      <c r="N972" s="124"/>
      <c r="O972" s="74"/>
      <c r="P972" s="124"/>
      <c r="R972" s="279"/>
      <c r="S972" s="124"/>
      <c r="T972" s="124"/>
    </row>
    <row r="973" spans="11:20" ht="12.75">
      <c r="K973" s="74"/>
      <c r="L973" s="74"/>
      <c r="M973" s="74"/>
      <c r="N973" s="124"/>
      <c r="O973" s="74"/>
      <c r="P973" s="124"/>
      <c r="R973" s="279"/>
      <c r="S973" s="124"/>
      <c r="T973" s="124"/>
    </row>
    <row r="974" spans="11:20" ht="12.75">
      <c r="K974" s="74"/>
      <c r="L974" s="74"/>
      <c r="M974" s="74"/>
      <c r="N974" s="124"/>
      <c r="O974" s="74"/>
      <c r="P974" s="124"/>
      <c r="R974" s="279"/>
      <c r="S974" s="124"/>
      <c r="T974" s="124"/>
    </row>
    <row r="975" spans="11:20" ht="12.75">
      <c r="K975" s="74"/>
      <c r="L975" s="74"/>
      <c r="M975" s="74"/>
      <c r="N975" s="124"/>
      <c r="O975" s="74"/>
      <c r="P975" s="124"/>
      <c r="R975" s="279"/>
      <c r="S975" s="124"/>
      <c r="T975" s="124"/>
    </row>
    <row r="976" spans="11:20" ht="12.75">
      <c r="K976" s="74"/>
      <c r="L976" s="74"/>
      <c r="M976" s="74"/>
      <c r="N976" s="124"/>
      <c r="O976" s="74"/>
      <c r="P976" s="124"/>
      <c r="R976" s="279"/>
      <c r="S976" s="124"/>
      <c r="T976" s="124"/>
    </row>
    <row r="977" spans="11:20" ht="12.75">
      <c r="K977" s="74"/>
      <c r="L977" s="74"/>
      <c r="M977" s="74"/>
      <c r="N977" s="124"/>
      <c r="O977" s="74"/>
      <c r="P977" s="124"/>
      <c r="R977" s="279"/>
      <c r="S977" s="124"/>
      <c r="T977" s="124"/>
    </row>
    <row r="978" spans="11:20" ht="12.75">
      <c r="K978" s="74"/>
      <c r="L978" s="74"/>
      <c r="M978" s="74"/>
      <c r="N978" s="124"/>
      <c r="O978" s="74"/>
      <c r="P978" s="124"/>
      <c r="R978" s="279"/>
      <c r="S978" s="124"/>
      <c r="T978" s="124"/>
    </row>
    <row r="979" spans="11:20" ht="12.75">
      <c r="K979" s="74"/>
      <c r="L979" s="74"/>
      <c r="M979" s="74"/>
      <c r="N979" s="124"/>
      <c r="O979" s="74"/>
      <c r="P979" s="124"/>
      <c r="R979" s="279"/>
      <c r="S979" s="124"/>
      <c r="T979" s="124"/>
    </row>
    <row r="980" spans="11:20" ht="12.75">
      <c r="K980" s="74"/>
      <c r="L980" s="74"/>
      <c r="M980" s="74"/>
      <c r="N980" s="124"/>
      <c r="O980" s="74"/>
      <c r="P980" s="124"/>
      <c r="R980" s="279"/>
      <c r="S980" s="124"/>
      <c r="T980" s="124"/>
    </row>
    <row r="981" spans="11:20" ht="12.75">
      <c r="K981" s="74"/>
      <c r="L981" s="74"/>
      <c r="M981" s="74"/>
      <c r="N981" s="124"/>
      <c r="O981" s="74"/>
      <c r="P981" s="124"/>
      <c r="R981" s="279"/>
      <c r="S981" s="124"/>
      <c r="T981" s="124"/>
    </row>
    <row r="982" spans="11:20" ht="12.75">
      <c r="K982" s="74"/>
      <c r="L982" s="74"/>
      <c r="M982" s="74"/>
      <c r="N982" s="124"/>
      <c r="O982" s="74"/>
      <c r="P982" s="124"/>
      <c r="R982" s="279"/>
      <c r="S982" s="124"/>
      <c r="T982" s="124"/>
    </row>
    <row r="983" spans="11:20" ht="12.75">
      <c r="K983" s="74"/>
      <c r="L983" s="74"/>
      <c r="M983" s="74"/>
      <c r="N983" s="124"/>
      <c r="O983" s="74"/>
      <c r="P983" s="124"/>
      <c r="R983" s="279"/>
      <c r="S983" s="124"/>
      <c r="T983" s="124"/>
    </row>
    <row r="984" spans="11:20" ht="12.75">
      <c r="K984" s="74"/>
      <c r="L984" s="74"/>
      <c r="M984" s="74"/>
      <c r="N984" s="124"/>
      <c r="O984" s="74"/>
      <c r="P984" s="124"/>
      <c r="R984" s="279"/>
      <c r="S984" s="124"/>
      <c r="T984" s="124"/>
    </row>
    <row r="985" spans="11:20" ht="12.75">
      <c r="K985" s="74"/>
      <c r="L985" s="74"/>
      <c r="M985" s="74"/>
      <c r="N985" s="124"/>
      <c r="O985" s="74"/>
      <c r="P985" s="124"/>
      <c r="R985" s="279"/>
      <c r="S985" s="124"/>
      <c r="T985" s="124"/>
    </row>
    <row r="986" spans="11:20" ht="12.75">
      <c r="K986" s="74"/>
      <c r="L986" s="74"/>
      <c r="M986" s="74"/>
      <c r="N986" s="124"/>
      <c r="O986" s="74"/>
      <c r="P986" s="124"/>
      <c r="R986" s="279"/>
      <c r="S986" s="124"/>
      <c r="T986" s="124"/>
    </row>
    <row r="987" spans="11:20" ht="12.75">
      <c r="K987" s="74"/>
      <c r="L987" s="74"/>
      <c r="M987" s="74"/>
      <c r="N987" s="124"/>
      <c r="O987" s="74"/>
      <c r="P987" s="124"/>
      <c r="R987" s="279"/>
      <c r="S987" s="124"/>
      <c r="T987" s="124"/>
    </row>
    <row r="988" spans="11:20" ht="12.75">
      <c r="K988" s="74"/>
      <c r="L988" s="74"/>
      <c r="M988" s="74"/>
      <c r="N988" s="124"/>
      <c r="O988" s="74"/>
      <c r="P988" s="124"/>
      <c r="R988" s="279"/>
      <c r="S988" s="124"/>
      <c r="T988" s="124"/>
    </row>
    <row r="989" spans="11:20" ht="12.75">
      <c r="K989" s="74"/>
      <c r="L989" s="74"/>
      <c r="M989" s="74"/>
      <c r="N989" s="124"/>
      <c r="O989" s="74"/>
      <c r="P989" s="124"/>
      <c r="R989" s="279"/>
      <c r="S989" s="124"/>
      <c r="T989" s="124"/>
    </row>
    <row r="990" spans="11:20" ht="12.75">
      <c r="K990" s="74"/>
      <c r="L990" s="74"/>
      <c r="M990" s="74"/>
      <c r="N990" s="124"/>
      <c r="O990" s="74"/>
      <c r="P990" s="124"/>
      <c r="R990" s="279"/>
      <c r="S990" s="124"/>
      <c r="T990" s="124"/>
    </row>
    <row r="991" spans="11:20" ht="12.75">
      <c r="K991" s="74"/>
      <c r="L991" s="74"/>
      <c r="M991" s="74"/>
      <c r="N991" s="124"/>
      <c r="O991" s="74"/>
      <c r="P991" s="124"/>
      <c r="R991" s="279"/>
      <c r="S991" s="124"/>
      <c r="T991" s="124"/>
    </row>
    <row r="992" spans="11:20" ht="12.75">
      <c r="K992" s="74"/>
      <c r="L992" s="74"/>
      <c r="M992" s="74"/>
      <c r="N992" s="124"/>
      <c r="O992" s="74"/>
      <c r="P992" s="124"/>
      <c r="R992" s="279"/>
      <c r="S992" s="124"/>
      <c r="T992" s="124"/>
    </row>
    <row r="993" spans="11:20" ht="12.75">
      <c r="K993" s="74"/>
      <c r="L993" s="74"/>
      <c r="M993" s="74"/>
      <c r="N993" s="124"/>
      <c r="O993" s="74"/>
      <c r="P993" s="124"/>
      <c r="R993" s="279"/>
      <c r="S993" s="124"/>
      <c r="T993" s="124"/>
    </row>
    <row r="994" spans="11:20" ht="12.75">
      <c r="K994" s="74"/>
      <c r="L994" s="74"/>
      <c r="M994" s="74"/>
      <c r="N994" s="124"/>
      <c r="O994" s="74"/>
      <c r="P994" s="124"/>
      <c r="R994" s="279"/>
      <c r="S994" s="124"/>
      <c r="T994" s="124"/>
    </row>
    <row r="995" spans="11:20" ht="12.75">
      <c r="K995" s="74"/>
      <c r="L995" s="74"/>
      <c r="M995" s="74"/>
      <c r="N995" s="124"/>
      <c r="O995" s="74"/>
      <c r="P995" s="124"/>
      <c r="R995" s="279"/>
      <c r="S995" s="124"/>
      <c r="T995" s="124"/>
    </row>
    <row r="996" spans="11:20" ht="12.75">
      <c r="K996" s="74"/>
      <c r="L996" s="74"/>
      <c r="M996" s="74"/>
      <c r="N996" s="124"/>
      <c r="O996" s="74"/>
      <c r="P996" s="124"/>
      <c r="R996" s="279"/>
      <c r="S996" s="124"/>
      <c r="T996" s="124"/>
    </row>
    <row r="997" spans="11:20" ht="12.75">
      <c r="K997" s="74"/>
      <c r="L997" s="74"/>
      <c r="M997" s="74"/>
      <c r="N997" s="124"/>
      <c r="O997" s="74"/>
      <c r="P997" s="124"/>
      <c r="R997" s="279"/>
      <c r="S997" s="124"/>
      <c r="T997" s="124"/>
    </row>
    <row r="998" spans="11:20" ht="12.75">
      <c r="K998" s="74"/>
      <c r="L998" s="74"/>
      <c r="M998" s="74"/>
      <c r="N998" s="124"/>
      <c r="O998" s="74"/>
      <c r="P998" s="124"/>
      <c r="R998" s="279"/>
      <c r="S998" s="124"/>
      <c r="T998" s="124"/>
    </row>
    <row r="999" spans="11:20" ht="12.75">
      <c r="K999" s="74"/>
      <c r="L999" s="74"/>
      <c r="M999" s="74"/>
      <c r="N999" s="124"/>
      <c r="O999" s="74"/>
      <c r="P999" s="124"/>
      <c r="R999" s="279"/>
      <c r="S999" s="124"/>
      <c r="T999" s="124"/>
    </row>
    <row r="1000" spans="11:20" ht="12.75">
      <c r="K1000" s="74"/>
      <c r="L1000" s="74"/>
      <c r="M1000" s="74"/>
      <c r="N1000" s="124"/>
      <c r="O1000" s="74"/>
      <c r="P1000" s="124"/>
      <c r="R1000" s="279"/>
      <c r="S1000" s="124"/>
      <c r="T1000" s="124"/>
    </row>
    <row r="1001" spans="11:20" ht="12.75">
      <c r="K1001" s="74"/>
      <c r="L1001" s="74"/>
      <c r="M1001" s="74"/>
      <c r="N1001" s="124"/>
      <c r="O1001" s="74"/>
      <c r="P1001" s="124"/>
      <c r="R1001" s="279"/>
      <c r="S1001" s="124"/>
      <c r="T1001" s="124"/>
    </row>
    <row r="1002" spans="11:20" ht="12.75">
      <c r="K1002" s="74"/>
      <c r="L1002" s="74"/>
      <c r="M1002" s="74"/>
      <c r="N1002" s="124"/>
      <c r="O1002" s="74"/>
      <c r="P1002" s="124"/>
      <c r="R1002" s="279"/>
      <c r="S1002" s="124"/>
      <c r="T1002" s="124"/>
    </row>
    <row r="1003" spans="11:20" ht="12.75">
      <c r="K1003" s="74"/>
      <c r="L1003" s="74"/>
      <c r="M1003" s="74"/>
      <c r="N1003" s="124"/>
      <c r="O1003" s="74"/>
      <c r="P1003" s="124"/>
      <c r="R1003" s="279"/>
      <c r="S1003" s="124"/>
      <c r="T1003" s="124"/>
    </row>
    <row r="1004" spans="11:20" ht="12.75">
      <c r="K1004" s="74"/>
      <c r="L1004" s="74"/>
      <c r="M1004" s="74"/>
      <c r="N1004" s="124"/>
      <c r="O1004" s="74"/>
      <c r="P1004" s="124"/>
      <c r="R1004" s="279"/>
      <c r="S1004" s="124"/>
      <c r="T1004" s="124"/>
    </row>
    <row r="1005" spans="11:20" ht="12.75">
      <c r="K1005" s="74"/>
      <c r="L1005" s="74"/>
      <c r="M1005" s="74"/>
      <c r="N1005" s="124"/>
      <c r="O1005" s="74"/>
      <c r="P1005" s="124"/>
      <c r="R1005" s="279"/>
      <c r="S1005" s="124"/>
      <c r="T1005" s="124"/>
    </row>
    <row r="1006" spans="11:20" ht="12.75">
      <c r="K1006" s="74"/>
      <c r="L1006" s="74"/>
      <c r="M1006" s="74"/>
      <c r="N1006" s="124"/>
      <c r="O1006" s="74"/>
      <c r="P1006" s="124"/>
      <c r="R1006" s="279"/>
      <c r="S1006" s="124"/>
      <c r="T1006" s="124"/>
    </row>
    <row r="1007" spans="11:20" ht="12.75">
      <c r="K1007" s="74"/>
      <c r="L1007" s="74"/>
      <c r="M1007" s="74"/>
      <c r="N1007" s="124"/>
      <c r="O1007" s="74"/>
      <c r="P1007" s="124"/>
      <c r="R1007" s="279"/>
      <c r="S1007" s="124"/>
      <c r="T1007" s="124"/>
    </row>
    <row r="1008" spans="11:20" ht="12.75">
      <c r="K1008" s="74"/>
      <c r="L1008" s="74"/>
      <c r="M1008" s="74"/>
      <c r="N1008" s="124"/>
      <c r="O1008" s="74"/>
      <c r="P1008" s="124"/>
      <c r="R1008" s="279"/>
      <c r="S1008" s="124"/>
      <c r="T1008" s="124"/>
    </row>
    <row r="1009" spans="11:20" ht="12.75">
      <c r="K1009" s="74"/>
      <c r="L1009" s="74"/>
      <c r="M1009" s="74"/>
      <c r="N1009" s="124"/>
      <c r="O1009" s="74"/>
      <c r="P1009" s="124"/>
      <c r="R1009" s="279"/>
      <c r="S1009" s="124"/>
      <c r="T1009" s="12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A1000"/>
  <sheetViews>
    <sheetView topLeftCell="C1" workbookViewId="0"/>
  </sheetViews>
  <sheetFormatPr defaultColWidth="12.5703125" defaultRowHeight="15.75" customHeight="1"/>
  <cols>
    <col min="1" max="1" width="35.85546875" hidden="1" customWidth="1"/>
    <col min="2" max="2" width="63.42578125" hidden="1" customWidth="1"/>
    <col min="3" max="3" width="63.42578125" customWidth="1"/>
    <col min="4" max="4" width="45.85546875" customWidth="1"/>
  </cols>
  <sheetData>
    <row r="1" spans="1:27" ht="15.75" customHeight="1">
      <c r="A1" s="325" t="s">
        <v>2769</v>
      </c>
      <c r="B1" s="326" t="s">
        <v>941</v>
      </c>
      <c r="C1" s="325" t="s">
        <v>2770</v>
      </c>
      <c r="D1" s="327" t="s">
        <v>941</v>
      </c>
      <c r="E1" s="326"/>
      <c r="F1" s="326"/>
      <c r="G1" s="326"/>
      <c r="H1" s="326"/>
      <c r="I1" s="326"/>
      <c r="J1" s="326"/>
      <c r="K1" s="326"/>
      <c r="L1" s="326"/>
      <c r="M1" s="326"/>
      <c r="N1" s="326"/>
      <c r="O1" s="326"/>
      <c r="P1" s="326"/>
      <c r="Q1" s="326"/>
      <c r="R1" s="326"/>
      <c r="S1" s="326"/>
      <c r="T1" s="326"/>
      <c r="U1" s="326"/>
      <c r="V1" s="326"/>
      <c r="W1" s="326"/>
      <c r="X1" s="326"/>
      <c r="Y1" s="326"/>
      <c r="Z1" s="326"/>
      <c r="AA1" s="326"/>
    </row>
    <row r="2" spans="1:27" ht="15.75" customHeight="1">
      <c r="A2" s="326" t="str">
        <f ca="1">IFERROR(__xludf.DUMMYFUNCTION("FILTER(ICT_PPMP2023!B15:B1000,ICT_PPMP2023!G15:G1000=""Agency to Agency"")"),"Dot Matrix Printer 24-Pin")</f>
        <v>Dot Matrix Printer 24-Pin</v>
      </c>
      <c r="B2" s="326" t="str">
        <f ca="1">IFERROR(VLOOKUP(A2,DB!$D$2:L1000,11,0),A2)</f>
        <v>Dot Matrix Printer 24-Pin</v>
      </c>
      <c r="C2" s="326" t="str">
        <f ca="1">IFERROR(__xludf.DUMMYFUNCTION("FILTER('CONSOLIDATED ICT_PPMP2025'!B15:B1000,'CONSOLIDATED ICT_PPMP2025'!G15:G1000=""Public Bidding"")"),"1Gbps Internet Subscription (Leased Line)")</f>
        <v>1Gbps Internet Subscription (Leased Line)</v>
      </c>
      <c r="D2" s="328" t="s">
        <v>4742</v>
      </c>
      <c r="E2" s="326" t="s">
        <v>4743</v>
      </c>
      <c r="F2" s="326" t="s">
        <v>4743</v>
      </c>
      <c r="G2" s="326"/>
      <c r="H2" s="326"/>
      <c r="I2" s="326"/>
      <c r="J2" s="326"/>
      <c r="K2" s="326"/>
      <c r="L2" s="326"/>
      <c r="M2" s="326"/>
      <c r="N2" s="326"/>
      <c r="O2" s="326"/>
      <c r="P2" s="326"/>
      <c r="Q2" s="326"/>
      <c r="R2" s="326"/>
      <c r="S2" s="326"/>
      <c r="T2" s="326"/>
      <c r="U2" s="326"/>
      <c r="V2" s="326"/>
      <c r="W2" s="326"/>
      <c r="X2" s="326"/>
      <c r="Y2" s="326"/>
      <c r="Z2" s="326"/>
      <c r="AA2" s="326"/>
    </row>
    <row r="3" spans="1:27" ht="15.75" customHeight="1">
      <c r="A3" s="326" t="str">
        <f ca="1">IFERROR(__xludf.DUMMYFUNCTION("""COMPUTED_VALUE"""),"Epson Genuine Ink T6641 Black")</f>
        <v>Epson Genuine Ink T6641 Black</v>
      </c>
      <c r="B3" s="326" t="str">
        <f ca="1">IFERROR(VLOOKUP(A3,DB!$D$2:L1000,11,0),A3)</f>
        <v>Epson Genuine Ink T6641 Black</v>
      </c>
      <c r="C3" s="326" t="str">
        <f ca="1">IFERROR(__xludf.DUMMYFUNCTION("""COMPUTED_VALUE"""),"A3 Black &amp; White MULTI-FUNCTIONAL
HEAVY-DUTY DIGITAL COPIER")</f>
        <v>A3 Black &amp; White MULTI-FUNCTIONAL
HEAVY-DUTY DIGITAL COPIER</v>
      </c>
      <c r="D3" s="328" t="s">
        <v>2771</v>
      </c>
      <c r="E3" s="326"/>
      <c r="F3" s="326"/>
      <c r="G3" s="326"/>
      <c r="H3" s="326"/>
      <c r="I3" s="326"/>
      <c r="J3" s="326"/>
      <c r="K3" s="326"/>
      <c r="L3" s="326"/>
      <c r="M3" s="326"/>
      <c r="N3" s="326"/>
      <c r="O3" s="326"/>
      <c r="P3" s="326"/>
      <c r="Q3" s="326"/>
      <c r="R3" s="326"/>
      <c r="S3" s="326"/>
      <c r="T3" s="326"/>
      <c r="U3" s="326"/>
      <c r="V3" s="326"/>
      <c r="W3" s="326"/>
      <c r="X3" s="326"/>
      <c r="Y3" s="326"/>
      <c r="Z3" s="326"/>
      <c r="AA3" s="326"/>
    </row>
    <row r="4" spans="1:27" ht="15.75" customHeight="1">
      <c r="A4" s="326" t="str">
        <f ca="1">IFERROR(__xludf.DUMMYFUNCTION("""COMPUTED_VALUE"""),"Epson Genuine Ink T6642 Cyan")</f>
        <v>Epson Genuine Ink T6642 Cyan</v>
      </c>
      <c r="B4" s="326" t="str">
        <f ca="1">IFERROR(VLOOKUP(A4,DB!$D$2:L1000,11,0),A4)</f>
        <v>Epson Genuine Ink T6642 Cyan</v>
      </c>
      <c r="C4" s="326" t="str">
        <f ca="1">IFERROR(__xludf.DUMMYFUNCTION("""COMPUTED_VALUE"""),"A3 Full-Colour Digital Copier, Full-Colour Network Printer,&amp; Full-Colour Network Scanner")</f>
        <v>A3 Full-Colour Digital Copier, Full-Colour Network Printer,&amp; Full-Colour Network Scanner</v>
      </c>
      <c r="D4" s="328" t="s">
        <v>2772</v>
      </c>
      <c r="E4" s="326"/>
      <c r="F4" s="326"/>
      <c r="G4" s="326"/>
      <c r="H4" s="326"/>
      <c r="I4" s="326"/>
      <c r="J4" s="326"/>
      <c r="K4" s="326"/>
      <c r="L4" s="326"/>
      <c r="M4" s="326"/>
      <c r="N4" s="326"/>
      <c r="O4" s="326"/>
      <c r="P4" s="326"/>
      <c r="Q4" s="326"/>
      <c r="R4" s="326"/>
      <c r="S4" s="326"/>
      <c r="T4" s="326"/>
      <c r="U4" s="326"/>
      <c r="V4" s="326"/>
      <c r="W4" s="326"/>
      <c r="X4" s="326"/>
      <c r="Y4" s="326"/>
      <c r="Z4" s="326"/>
      <c r="AA4" s="326"/>
    </row>
    <row r="5" spans="1:27" ht="15.75" customHeight="1">
      <c r="A5" s="326" t="str">
        <f ca="1">IFERROR(__xludf.DUMMYFUNCTION("""COMPUTED_VALUE"""),"Epson Genuine Ink T6643 Magenta")</f>
        <v>Epson Genuine Ink T6643 Magenta</v>
      </c>
      <c r="B5" s="326" t="str">
        <f ca="1">IFERROR(VLOOKUP(A5,DB!$D$2:L1000,11,0),A5)</f>
        <v>Epson Genuine Ink T6643 Magenta</v>
      </c>
      <c r="C5" s="326" t="str">
        <f ca="1">IFERROR(__xludf.DUMMYFUNCTION("""COMPUTED_VALUE"""),"Base Radio dual band with antenna")</f>
        <v>Base Radio dual band with antenna</v>
      </c>
      <c r="D5" s="328" t="s">
        <v>2773</v>
      </c>
      <c r="E5" s="326"/>
      <c r="F5" s="326"/>
      <c r="G5" s="326"/>
      <c r="H5" s="326"/>
      <c r="I5" s="326"/>
      <c r="J5" s="326"/>
      <c r="K5" s="326"/>
      <c r="L5" s="326"/>
      <c r="M5" s="326"/>
      <c r="N5" s="326"/>
      <c r="O5" s="326"/>
      <c r="P5" s="326"/>
      <c r="Q5" s="326"/>
      <c r="R5" s="326"/>
      <c r="S5" s="326"/>
      <c r="T5" s="326"/>
      <c r="U5" s="326"/>
      <c r="V5" s="326"/>
      <c r="W5" s="326"/>
      <c r="X5" s="326"/>
      <c r="Y5" s="326"/>
      <c r="Z5" s="326"/>
      <c r="AA5" s="326"/>
    </row>
    <row r="6" spans="1:27" ht="15.75" customHeight="1">
      <c r="A6" s="326" t="str">
        <f ca="1">IFERROR(__xludf.DUMMYFUNCTION("""COMPUTED_VALUE"""),"Epson Genuine Ink T6644 Yellow")</f>
        <v>Epson Genuine Ink T6644 Yellow</v>
      </c>
      <c r="B6" s="326" t="str">
        <f ca="1">IFERROR(VLOOKUP(A6,DB!$D$2:L1000,11,0),A6)</f>
        <v>Epson Genuine Ink T6644 Yellow</v>
      </c>
      <c r="C6" s="326" t="str">
        <f ca="1">IFERROR(__xludf.DUMMYFUNCTION("""COMPUTED_VALUE"""),"Black &amp; White Monochrome MULTI-FUNCTIONAL MACHINE")</f>
        <v>Black &amp; White Monochrome MULTI-FUNCTIONAL MACHINE</v>
      </c>
      <c r="D6" s="328" t="s">
        <v>2774</v>
      </c>
      <c r="E6" s="326"/>
      <c r="F6" s="326"/>
      <c r="G6" s="326"/>
      <c r="H6" s="326"/>
      <c r="I6" s="326"/>
      <c r="J6" s="326"/>
      <c r="K6" s="326"/>
      <c r="L6" s="326"/>
      <c r="M6" s="326"/>
      <c r="N6" s="326"/>
      <c r="O6" s="326"/>
      <c r="P6" s="326"/>
      <c r="Q6" s="326"/>
      <c r="R6" s="326"/>
      <c r="S6" s="326"/>
      <c r="T6" s="326"/>
      <c r="U6" s="326"/>
      <c r="V6" s="326"/>
      <c r="W6" s="326"/>
      <c r="X6" s="326"/>
      <c r="Y6" s="326"/>
      <c r="Z6" s="326"/>
      <c r="AA6" s="326"/>
    </row>
    <row r="7" spans="1:27" ht="15.75" customHeight="1">
      <c r="A7" s="326" t="str">
        <f ca="1">IFERROR(__xludf.DUMMYFUNCTION("""COMPUTED_VALUE"""),"Stereo Digital Voice Recorder with Built-in USB")</f>
        <v>Stereo Digital Voice Recorder with Built-in USB</v>
      </c>
      <c r="B7" s="326" t="str">
        <f ca="1">IFERROR(VLOOKUP(A7,DB!$D$2:L1000,11,0),A7)</f>
        <v>Stereo Digital Voice Recorder with Built-in USB</v>
      </c>
      <c r="C7" s="326" t="str">
        <f ca="1">IFERROR(__xludf.DUMMYFUNCTION("""COMPUTED_VALUE"""),"Branded Desktop Computer Set")</f>
        <v>Branded Desktop Computer Set</v>
      </c>
      <c r="D7" s="328" t="s">
        <v>2775</v>
      </c>
      <c r="E7" s="326"/>
      <c r="F7" s="326"/>
      <c r="G7" s="326"/>
      <c r="H7" s="326"/>
      <c r="I7" s="326"/>
      <c r="J7" s="326"/>
      <c r="K7" s="326"/>
      <c r="L7" s="326"/>
      <c r="M7" s="326"/>
      <c r="N7" s="326"/>
      <c r="O7" s="326"/>
      <c r="P7" s="326"/>
      <c r="Q7" s="326"/>
      <c r="R7" s="326"/>
      <c r="S7" s="326"/>
      <c r="T7" s="326"/>
      <c r="U7" s="326"/>
      <c r="V7" s="326"/>
      <c r="W7" s="326"/>
      <c r="X7" s="326"/>
      <c r="Y7" s="326"/>
      <c r="Z7" s="326"/>
      <c r="AA7" s="326"/>
    </row>
    <row r="8" spans="1:27" ht="15.75" customHeight="1">
      <c r="A8" s="326" t="str">
        <f ca="1">IFERROR(__xludf.DUMMYFUNCTION("""COMPUTED_VALUE"""),"Ink Laserjet HP 680 Colored")</f>
        <v>Ink Laserjet HP 680 Colored</v>
      </c>
      <c r="B8" s="326" t="str">
        <f ca="1">IFERROR(VLOOKUP(A8,DB!$D$2:L1000,11,0),A8)</f>
        <v>Ink Laserjet HP 680 Colored</v>
      </c>
      <c r="C8" s="326" t="str">
        <f ca="1">IFERROR(__xludf.DUMMYFUNCTION("""COMPUTED_VALUE"""),"Branded Laptop")</f>
        <v>Branded Laptop</v>
      </c>
      <c r="D8" s="328" t="s">
        <v>2776</v>
      </c>
      <c r="E8" s="326"/>
      <c r="F8" s="326"/>
      <c r="G8" s="326"/>
      <c r="H8" s="326"/>
      <c r="I8" s="326"/>
      <c r="J8" s="326"/>
      <c r="K8" s="326"/>
      <c r="L8" s="326"/>
      <c r="M8" s="326"/>
      <c r="N8" s="326"/>
      <c r="O8" s="326"/>
      <c r="P8" s="326"/>
      <c r="Q8" s="326"/>
      <c r="R8" s="326"/>
      <c r="S8" s="326"/>
      <c r="T8" s="326"/>
      <c r="U8" s="326"/>
      <c r="V8" s="326"/>
      <c r="W8" s="326"/>
      <c r="X8" s="326"/>
      <c r="Y8" s="326"/>
      <c r="Z8" s="326"/>
      <c r="AA8" s="326"/>
    </row>
    <row r="9" spans="1:27" ht="15.75" customHeight="1">
      <c r="A9" s="326" t="str">
        <f ca="1">IFERROR(__xludf.DUMMYFUNCTION("""COMPUTED_VALUE"""),"Ink Laserjet HP 680 Black")</f>
        <v>Ink Laserjet HP 680 Black</v>
      </c>
      <c r="B9" s="326" t="str">
        <f ca="1">IFERROR(VLOOKUP(A9,DB!$D$2:L1000,11,0),A9)</f>
        <v>Ink Laserjet HP 680 Black</v>
      </c>
      <c r="C9" s="326" t="str">
        <f ca="1">IFERROR(__xludf.DUMMYFUNCTION("""COMPUTED_VALUE"""),"Camera DSLR")</f>
        <v>Camera DSLR</v>
      </c>
      <c r="D9" s="328" t="s">
        <v>2777</v>
      </c>
      <c r="E9" s="326"/>
      <c r="F9" s="326"/>
      <c r="G9" s="326"/>
      <c r="H9" s="326"/>
      <c r="I9" s="326"/>
      <c r="J9" s="326"/>
      <c r="K9" s="326"/>
      <c r="L9" s="326"/>
      <c r="M9" s="326"/>
      <c r="N9" s="326"/>
      <c r="O9" s="326"/>
      <c r="P9" s="326"/>
      <c r="Q9" s="326"/>
      <c r="R9" s="326"/>
      <c r="S9" s="326"/>
      <c r="T9" s="326"/>
      <c r="U9" s="326"/>
      <c r="V9" s="326"/>
      <c r="W9" s="326"/>
      <c r="X9" s="326"/>
      <c r="Y9" s="326"/>
      <c r="Z9" s="326"/>
      <c r="AA9" s="326"/>
    </row>
    <row r="10" spans="1:27" ht="15.75" customHeight="1">
      <c r="A10" s="326"/>
      <c r="B10" s="326"/>
      <c r="C10" s="326" t="str">
        <f ca="1">IFERROR(__xludf.DUMMYFUNCTION("""COMPUTED_VALUE"""),"Core Stackable Managed Switch with 20x10G SFP+ Module for Multimode fiber compatible with the existing CBS350-24XS")</f>
        <v>Core Stackable Managed Switch with 20x10G SFP+ Module for Multimode fiber compatible with the existing CBS350-24XS</v>
      </c>
      <c r="D10" s="328" t="s">
        <v>2778</v>
      </c>
      <c r="E10" s="326"/>
      <c r="F10" s="326"/>
      <c r="G10" s="326"/>
      <c r="H10" s="326"/>
      <c r="I10" s="326"/>
      <c r="J10" s="326"/>
      <c r="K10" s="326"/>
      <c r="L10" s="326"/>
      <c r="M10" s="326"/>
      <c r="N10" s="326"/>
      <c r="O10" s="326"/>
      <c r="P10" s="326"/>
      <c r="Q10" s="326"/>
      <c r="R10" s="326"/>
      <c r="S10" s="326"/>
      <c r="T10" s="326"/>
      <c r="U10" s="326"/>
      <c r="V10" s="326"/>
      <c r="W10" s="326"/>
      <c r="X10" s="326"/>
      <c r="Y10" s="326"/>
      <c r="Z10" s="326"/>
      <c r="AA10" s="326"/>
    </row>
    <row r="11" spans="1:27" ht="15.75" customHeight="1">
      <c r="A11" s="326"/>
      <c r="B11" s="326"/>
      <c r="C11" s="326" t="str">
        <f ca="1">IFERROR(__xludf.DUMMYFUNCTION("""COMPUTED_VALUE"""),"Desktop Type Document Scanner")</f>
        <v>Desktop Type Document Scanner</v>
      </c>
      <c r="D11" s="328" t="s">
        <v>2779</v>
      </c>
      <c r="E11" s="326"/>
      <c r="F11" s="326"/>
      <c r="G11" s="326"/>
      <c r="H11" s="326"/>
      <c r="I11" s="326"/>
      <c r="J11" s="326"/>
      <c r="K11" s="326"/>
      <c r="L11" s="326"/>
      <c r="M11" s="326"/>
      <c r="N11" s="326"/>
      <c r="O11" s="326"/>
      <c r="P11" s="326"/>
      <c r="Q11" s="326"/>
      <c r="R11" s="326"/>
      <c r="S11" s="326"/>
      <c r="T11" s="326"/>
      <c r="U11" s="326"/>
      <c r="V11" s="326"/>
      <c r="W11" s="326"/>
      <c r="X11" s="326"/>
      <c r="Y11" s="326"/>
      <c r="Z11" s="326"/>
      <c r="AA11" s="326"/>
    </row>
    <row r="12" spans="1:27" ht="15.75" customHeight="1">
      <c r="A12" s="326"/>
      <c r="B12" s="326"/>
      <c r="C12" s="326" t="str">
        <f ca="1">IFERROR(__xludf.DUMMYFUNCTION("""COMPUTED_VALUE"""),"Distribution Stackable Managed Switch with 4x10G SFP+ Module for Multimode fiber compatible with the existing CBS350-24FP-4X")</f>
        <v>Distribution Stackable Managed Switch with 4x10G SFP+ Module for Multimode fiber compatible with the existing CBS350-24FP-4X</v>
      </c>
      <c r="D12" s="328" t="s">
        <v>2780</v>
      </c>
      <c r="E12" s="326"/>
      <c r="F12" s="326"/>
      <c r="G12" s="326"/>
      <c r="H12" s="326"/>
      <c r="I12" s="326"/>
      <c r="J12" s="326"/>
      <c r="K12" s="326"/>
      <c r="L12" s="326"/>
      <c r="M12" s="326"/>
      <c r="N12" s="326"/>
      <c r="O12" s="326"/>
      <c r="P12" s="326"/>
      <c r="Q12" s="326"/>
      <c r="R12" s="326"/>
      <c r="S12" s="326"/>
      <c r="T12" s="326"/>
      <c r="U12" s="326"/>
      <c r="V12" s="326"/>
      <c r="W12" s="326"/>
      <c r="X12" s="326"/>
      <c r="Y12" s="326"/>
      <c r="Z12" s="326"/>
      <c r="AA12" s="326"/>
    </row>
    <row r="13" spans="1:27" ht="15.75" customHeight="1">
      <c r="A13" s="326"/>
      <c r="B13" s="326"/>
      <c r="C13" s="326" t="str">
        <f ca="1">IFERROR(__xludf.DUMMYFUNCTION("""COMPUTED_VALUE"""),"Fortinet Firewall Annual Subscription, Website Hosting &amp; SMS, Google, ZOOM Subscription, Software as a service (SaaS)")</f>
        <v>Fortinet Firewall Annual Subscription, Website Hosting &amp; SMS, Google, ZOOM Subscription, Software as a service (SaaS)</v>
      </c>
      <c r="D13" s="328" t="s">
        <v>2781</v>
      </c>
      <c r="E13" s="326"/>
      <c r="F13" s="326"/>
      <c r="G13" s="326"/>
      <c r="H13" s="326"/>
      <c r="I13" s="326"/>
      <c r="J13" s="326"/>
      <c r="K13" s="326"/>
      <c r="L13" s="326"/>
      <c r="M13" s="326"/>
      <c r="N13" s="326"/>
      <c r="O13" s="326"/>
      <c r="P13" s="326"/>
      <c r="Q13" s="326"/>
      <c r="R13" s="326"/>
      <c r="S13" s="326"/>
      <c r="T13" s="326"/>
      <c r="U13" s="326"/>
      <c r="V13" s="326"/>
      <c r="W13" s="326"/>
      <c r="X13" s="326"/>
      <c r="Y13" s="326"/>
      <c r="Z13" s="326"/>
      <c r="AA13" s="326"/>
    </row>
    <row r="14" spans="1:27" ht="15.75" customHeight="1">
      <c r="A14" s="326"/>
      <c r="B14" s="326"/>
      <c r="C14" s="326" t="str">
        <f ca="1">IFERROR(__xludf.DUMMYFUNCTION("""COMPUTED_VALUE"""),"Fortinet Firewall with Annual Subscription and 4x10G SFP+ transceiver module compatible with the existing FortiGATE-601E for HA configuration and deployment.")</f>
        <v>Fortinet Firewall with Annual Subscription and 4x10G SFP+ transceiver module compatible with the existing FortiGATE-601E for HA configuration and deployment.</v>
      </c>
      <c r="D14" s="328" t="s">
        <v>2782</v>
      </c>
      <c r="E14" s="326"/>
      <c r="F14" s="326"/>
      <c r="G14" s="326"/>
      <c r="H14" s="326"/>
      <c r="I14" s="326"/>
      <c r="J14" s="326"/>
      <c r="K14" s="326"/>
      <c r="L14" s="326"/>
      <c r="M14" s="326"/>
      <c r="N14" s="326"/>
      <c r="O14" s="326"/>
      <c r="P14" s="326"/>
      <c r="Q14" s="326"/>
      <c r="R14" s="326"/>
      <c r="S14" s="326"/>
      <c r="T14" s="326"/>
      <c r="U14" s="326"/>
      <c r="V14" s="326"/>
      <c r="W14" s="326"/>
      <c r="X14" s="326"/>
      <c r="Y14" s="326"/>
      <c r="Z14" s="326"/>
      <c r="AA14" s="326"/>
    </row>
    <row r="15" spans="1:27" ht="15.75" customHeight="1">
      <c r="A15" s="326"/>
      <c r="B15" s="326"/>
      <c r="C15" s="326" t="str">
        <f ca="1">IFERROR(__xludf.DUMMYFUNCTION("""COMPUTED_VALUE"""),"Maintenance and Upgrade of Desktop, Laptop, Server, DOH/DICT Cybersecurity Equipment compliance, Copier, Printer, Network, PABX, CCTV and Paging System")</f>
        <v>Maintenance and Upgrade of Desktop, Laptop, Server, DOH/DICT Cybersecurity Equipment compliance, Copier, Printer, Network, PABX, CCTV and Paging System</v>
      </c>
      <c r="D15" s="328" t="s">
        <v>2783</v>
      </c>
      <c r="E15" s="326"/>
      <c r="F15" s="326"/>
      <c r="G15" s="326"/>
      <c r="H15" s="326"/>
      <c r="I15" s="326"/>
      <c r="J15" s="326"/>
      <c r="K15" s="326"/>
      <c r="L15" s="326"/>
      <c r="M15" s="326"/>
      <c r="N15" s="326"/>
      <c r="O15" s="326"/>
      <c r="P15" s="326"/>
      <c r="Q15" s="326"/>
      <c r="R15" s="326"/>
      <c r="S15" s="326"/>
      <c r="T15" s="326"/>
      <c r="U15" s="326"/>
      <c r="V15" s="326"/>
      <c r="W15" s="326"/>
      <c r="X15" s="326"/>
      <c r="Y15" s="326"/>
      <c r="Z15" s="326"/>
      <c r="AA15" s="326"/>
    </row>
    <row r="16" spans="1:27" ht="15.75" customHeight="1">
      <c r="A16" s="326"/>
      <c r="B16" s="326"/>
      <c r="C16" s="326" t="str">
        <f ca="1">IFERROR(__xludf.DUMMYFUNCTION("""COMPUTED_VALUE"""),"Maintenance Kit for the existing TASKALFA 3212I")</f>
        <v>Maintenance Kit for the existing TASKALFA 3212I</v>
      </c>
      <c r="D16" s="328" t="s">
        <v>2784</v>
      </c>
      <c r="E16" s="326"/>
      <c r="F16" s="326"/>
      <c r="G16" s="326"/>
      <c r="H16" s="326"/>
      <c r="I16" s="326"/>
      <c r="J16" s="326"/>
      <c r="K16" s="326"/>
      <c r="L16" s="326"/>
      <c r="M16" s="326"/>
      <c r="N16" s="326"/>
      <c r="O16" s="326"/>
      <c r="P16" s="326"/>
      <c r="Q16" s="326"/>
      <c r="R16" s="326"/>
      <c r="S16" s="326"/>
      <c r="T16" s="326"/>
      <c r="U16" s="326"/>
      <c r="V16" s="326"/>
      <c r="W16" s="326"/>
      <c r="X16" s="326"/>
      <c r="Y16" s="326"/>
      <c r="Z16" s="326"/>
      <c r="AA16" s="326"/>
    </row>
    <row r="17" spans="1:27" ht="15.75" customHeight="1">
      <c r="A17" s="326"/>
      <c r="B17" s="326"/>
      <c r="C17" s="326" t="str">
        <f ca="1">IFERROR(__xludf.DUMMYFUNCTION("""COMPUTED_VALUE"""),"Multimedia Controller")</f>
        <v>Multimedia Controller</v>
      </c>
      <c r="D17" s="328" t="s">
        <v>2785</v>
      </c>
      <c r="E17" s="326"/>
      <c r="F17" s="326"/>
      <c r="G17" s="326"/>
      <c r="H17" s="326"/>
      <c r="I17" s="326"/>
      <c r="J17" s="326"/>
      <c r="K17" s="326"/>
      <c r="L17" s="326"/>
      <c r="M17" s="326"/>
      <c r="N17" s="326"/>
      <c r="O17" s="326"/>
      <c r="P17" s="326"/>
      <c r="Q17" s="326"/>
      <c r="R17" s="326"/>
      <c r="S17" s="326"/>
      <c r="T17" s="326"/>
      <c r="U17" s="326"/>
      <c r="V17" s="326"/>
      <c r="W17" s="326"/>
      <c r="X17" s="326"/>
      <c r="Y17" s="326"/>
      <c r="Z17" s="326"/>
      <c r="AA17" s="326"/>
    </row>
    <row r="18" spans="1:27" ht="15.75" customHeight="1">
      <c r="A18" s="326"/>
      <c r="B18" s="326"/>
      <c r="C18" s="326" t="str">
        <f ca="1">IFERROR(__xludf.DUMMYFUNCTION("""COMPUTED_VALUE"""),"Smart Phone Bill for Telemedicine")</f>
        <v>Smart Phone Bill for Telemedicine</v>
      </c>
      <c r="D18" s="328" t="s">
        <v>2786</v>
      </c>
      <c r="E18" s="326"/>
      <c r="F18" s="326"/>
      <c r="G18" s="326"/>
      <c r="H18" s="326"/>
      <c r="I18" s="326"/>
      <c r="J18" s="326"/>
      <c r="K18" s="326"/>
      <c r="L18" s="326"/>
      <c r="M18" s="326"/>
      <c r="N18" s="326"/>
      <c r="O18" s="326"/>
      <c r="P18" s="326"/>
      <c r="Q18" s="326"/>
      <c r="R18" s="326"/>
      <c r="S18" s="326"/>
      <c r="T18" s="326"/>
      <c r="U18" s="326"/>
      <c r="V18" s="326"/>
      <c r="W18" s="326"/>
      <c r="X18" s="326"/>
      <c r="Y18" s="326"/>
      <c r="Z18" s="326"/>
      <c r="AA18" s="326"/>
    </row>
    <row r="19" spans="1:27" ht="15.75" customHeight="1">
      <c r="A19" s="326"/>
      <c r="B19" s="326"/>
      <c r="C19" s="326" t="str">
        <f ca="1">IFERROR(__xludf.DUMMYFUNCTION("""COMPUTED_VALUE"""),"1.5M Gigabit Cat6 Ethernet Patch Cable with RJ45 CAT6 High Quality")</f>
        <v>1.5M Gigabit Cat6 Ethernet Patch Cable with RJ45 CAT6 High Quality</v>
      </c>
      <c r="D19" s="328" t="s">
        <v>316</v>
      </c>
      <c r="E19" s="326"/>
      <c r="F19" s="326"/>
      <c r="G19" s="326"/>
      <c r="H19" s="326"/>
      <c r="I19" s="326"/>
      <c r="J19" s="326"/>
      <c r="K19" s="326"/>
      <c r="L19" s="326"/>
      <c r="M19" s="326"/>
      <c r="N19" s="326"/>
      <c r="O19" s="326"/>
      <c r="P19" s="326"/>
      <c r="Q19" s="326"/>
      <c r="R19" s="326"/>
      <c r="S19" s="326"/>
      <c r="T19" s="326"/>
      <c r="U19" s="326"/>
      <c r="V19" s="326"/>
      <c r="W19" s="326"/>
      <c r="X19" s="326"/>
      <c r="Y19" s="326"/>
      <c r="Z19" s="326"/>
      <c r="AA19" s="326"/>
    </row>
    <row r="20" spans="1:27" ht="15.75" customHeight="1">
      <c r="A20" s="326"/>
      <c r="B20" s="326"/>
      <c r="C20" s="326" t="str">
        <f ca="1">IFERROR(__xludf.DUMMYFUNCTION("""COMPUTED_VALUE"""),"10 GE SFP+ transceiver module compatible with the existing FortiGATE-601E Firewall")</f>
        <v>10 GE SFP+ transceiver module compatible with the existing FortiGATE-601E Firewall</v>
      </c>
      <c r="D20" s="328" t="s">
        <v>2787</v>
      </c>
      <c r="E20" s="326"/>
      <c r="F20" s="326"/>
      <c r="G20" s="326"/>
      <c r="H20" s="326"/>
      <c r="I20" s="326"/>
      <c r="J20" s="326"/>
      <c r="K20" s="326"/>
      <c r="L20" s="326"/>
      <c r="M20" s="326"/>
      <c r="N20" s="326"/>
      <c r="O20" s="326"/>
      <c r="P20" s="326"/>
      <c r="Q20" s="326"/>
      <c r="R20" s="326"/>
      <c r="S20" s="326"/>
      <c r="T20" s="326"/>
      <c r="U20" s="326"/>
      <c r="V20" s="326"/>
      <c r="W20" s="326"/>
      <c r="X20" s="326"/>
      <c r="Y20" s="326"/>
      <c r="Z20" s="326"/>
      <c r="AA20" s="326"/>
    </row>
    <row r="21" spans="1:27" ht="15.75" customHeight="1">
      <c r="A21" s="326"/>
      <c r="B21" s="326"/>
      <c r="C21" s="326" t="str">
        <f ca="1">IFERROR(__xludf.DUMMYFUNCTION("""COMPUTED_VALUE"""),"10M Gigabit Cat6 Ethernet Patch Cable with RJ45 CAT6 High Quality")</f>
        <v>10M Gigabit Cat6 Ethernet Patch Cable with RJ45 CAT6 High Quality</v>
      </c>
      <c r="D21" s="328" t="s">
        <v>308</v>
      </c>
      <c r="E21" s="326"/>
      <c r="F21" s="326"/>
      <c r="G21" s="326"/>
      <c r="H21" s="326"/>
      <c r="I21" s="326"/>
      <c r="J21" s="326"/>
      <c r="K21" s="326"/>
      <c r="L21" s="326"/>
      <c r="M21" s="326"/>
      <c r="N21" s="326"/>
      <c r="O21" s="326"/>
      <c r="P21" s="326"/>
      <c r="Q21" s="326"/>
      <c r="R21" s="326"/>
      <c r="S21" s="326"/>
      <c r="T21" s="326"/>
      <c r="U21" s="326"/>
      <c r="V21" s="326"/>
      <c r="W21" s="326"/>
      <c r="X21" s="326"/>
      <c r="Y21" s="326"/>
      <c r="Z21" s="326"/>
      <c r="AA21" s="326"/>
    </row>
    <row r="22" spans="1:27" ht="15.75" customHeight="1">
      <c r="A22" s="326"/>
      <c r="B22" s="326"/>
      <c r="C22" s="326" t="str">
        <f ca="1">IFERROR(__xludf.DUMMYFUNCTION("""COMPUTED_VALUE"""),"10TB Surveillance Hard Drive SATA")</f>
        <v>10TB Surveillance Hard Drive SATA</v>
      </c>
      <c r="D22" s="328" t="s">
        <v>2788</v>
      </c>
      <c r="E22" s="326"/>
      <c r="F22" s="326"/>
      <c r="G22" s="326"/>
      <c r="H22" s="326"/>
      <c r="I22" s="326"/>
      <c r="J22" s="326"/>
      <c r="K22" s="326"/>
      <c r="L22" s="326"/>
      <c r="M22" s="326"/>
      <c r="N22" s="326"/>
      <c r="O22" s="326"/>
      <c r="P22" s="326"/>
      <c r="Q22" s="326"/>
      <c r="R22" s="326"/>
      <c r="S22" s="326"/>
      <c r="T22" s="326"/>
      <c r="U22" s="326"/>
      <c r="V22" s="326"/>
      <c r="W22" s="326"/>
      <c r="X22" s="326"/>
      <c r="Y22" s="326"/>
      <c r="Z22" s="326"/>
      <c r="AA22" s="326"/>
    </row>
    <row r="23" spans="1:27" ht="15.75" customHeight="1">
      <c r="A23" s="326"/>
      <c r="B23" s="326"/>
      <c r="C23" s="326" t="str">
        <f ca="1">IFERROR(__xludf.DUMMYFUNCTION("""COMPUTED_VALUE"""),"15M Gigabit Cat6 Ethernet Patch Cable with RJ45 CAT6 High Quality")</f>
        <v>15M Gigabit Cat6 Ethernet Patch Cable with RJ45 CAT6 High Quality</v>
      </c>
      <c r="D23" s="328" t="s">
        <v>309</v>
      </c>
      <c r="E23" s="326"/>
      <c r="F23" s="326"/>
      <c r="G23" s="326"/>
      <c r="H23" s="326"/>
      <c r="I23" s="326"/>
      <c r="J23" s="326"/>
      <c r="K23" s="326"/>
      <c r="L23" s="326"/>
      <c r="M23" s="326"/>
      <c r="N23" s="326"/>
      <c r="O23" s="326"/>
      <c r="P23" s="326"/>
      <c r="Q23" s="326"/>
      <c r="R23" s="326"/>
      <c r="S23" s="326"/>
      <c r="T23" s="326"/>
      <c r="U23" s="326"/>
      <c r="V23" s="326"/>
      <c r="W23" s="326"/>
      <c r="X23" s="326"/>
      <c r="Y23" s="326"/>
      <c r="Z23" s="326"/>
      <c r="AA23" s="326"/>
    </row>
    <row r="24" spans="1:27" ht="15.75" customHeight="1">
      <c r="A24" s="326"/>
      <c r="B24" s="326"/>
      <c r="C24" s="326" t="str">
        <f ca="1">IFERROR(__xludf.DUMMYFUNCTION("""COMPUTED_VALUE"""),"16GB Flash Drive")</f>
        <v>16GB Flash Drive</v>
      </c>
      <c r="D24" s="328" t="s">
        <v>2789</v>
      </c>
      <c r="E24" s="326"/>
      <c r="F24" s="326"/>
      <c r="G24" s="326"/>
      <c r="H24" s="326"/>
      <c r="I24" s="326"/>
      <c r="J24" s="326"/>
      <c r="K24" s="326"/>
      <c r="L24" s="326"/>
      <c r="M24" s="326"/>
      <c r="N24" s="326"/>
      <c r="O24" s="326"/>
      <c r="P24" s="326"/>
      <c r="Q24" s="326"/>
      <c r="R24" s="326"/>
      <c r="S24" s="326"/>
      <c r="T24" s="326"/>
      <c r="U24" s="326"/>
      <c r="V24" s="326"/>
      <c r="W24" s="326"/>
      <c r="X24" s="326"/>
      <c r="Y24" s="326"/>
      <c r="Z24" s="326"/>
      <c r="AA24" s="326"/>
    </row>
    <row r="25" spans="1:27" ht="15.75" customHeight="1">
      <c r="A25" s="326"/>
      <c r="B25" s="326"/>
      <c r="C25" s="326" t="str">
        <f ca="1">IFERROR(__xludf.DUMMYFUNCTION("""COMPUTED_VALUE"""),"19 inches Universal PDU 6 outlets with surge protection SPD module")</f>
        <v>19 inches Universal PDU 6 outlets with surge protection SPD module</v>
      </c>
      <c r="D25" s="328" t="s">
        <v>2790</v>
      </c>
      <c r="E25" s="326"/>
      <c r="F25" s="326"/>
      <c r="G25" s="326"/>
      <c r="H25" s="326"/>
      <c r="I25" s="326"/>
      <c r="J25" s="326"/>
      <c r="K25" s="326"/>
      <c r="L25" s="326"/>
      <c r="M25" s="326"/>
      <c r="N25" s="326"/>
      <c r="O25" s="326"/>
      <c r="P25" s="326"/>
      <c r="Q25" s="326"/>
      <c r="R25" s="326"/>
      <c r="S25" s="326"/>
      <c r="T25" s="326"/>
      <c r="U25" s="326"/>
      <c r="V25" s="326"/>
      <c r="W25" s="326"/>
      <c r="X25" s="326"/>
      <c r="Y25" s="326"/>
      <c r="Z25" s="326"/>
      <c r="AA25" s="326"/>
    </row>
    <row r="26" spans="1:27" ht="15.75" customHeight="1">
      <c r="A26" s="326"/>
      <c r="B26" s="326"/>
      <c r="C26" s="326" t="str">
        <f ca="1">IFERROR(__xludf.DUMMYFUNCTION("""COMPUTED_VALUE"""),"1TB Portable SSD")</f>
        <v>1TB Portable SSD</v>
      </c>
      <c r="D26" s="328" t="s">
        <v>2791</v>
      </c>
      <c r="E26" s="326"/>
      <c r="F26" s="326"/>
      <c r="G26" s="326"/>
      <c r="H26" s="326"/>
      <c r="I26" s="326"/>
      <c r="J26" s="326"/>
      <c r="K26" s="326"/>
      <c r="L26" s="326"/>
      <c r="M26" s="326"/>
      <c r="N26" s="326"/>
      <c r="O26" s="326"/>
      <c r="P26" s="326"/>
      <c r="Q26" s="326"/>
      <c r="R26" s="326"/>
      <c r="S26" s="326"/>
      <c r="T26" s="326"/>
      <c r="U26" s="326"/>
      <c r="V26" s="326"/>
      <c r="W26" s="326"/>
      <c r="X26" s="326"/>
      <c r="Y26" s="326"/>
      <c r="Z26" s="326"/>
      <c r="AA26" s="326"/>
    </row>
    <row r="27" spans="1:27" ht="15.75" customHeight="1">
      <c r="A27" s="326"/>
      <c r="B27" s="326"/>
      <c r="C27" s="326" t="str">
        <f ca="1">IFERROR(__xludf.DUMMYFUNCTION("""COMPUTED_VALUE"""),"1TB Slim Portable Hard Drive External HDD")</f>
        <v>1TB Slim Portable Hard Drive External HDD</v>
      </c>
      <c r="D27" s="328" t="s">
        <v>2792</v>
      </c>
      <c r="E27" s="326"/>
      <c r="F27" s="326"/>
      <c r="G27" s="326"/>
      <c r="H27" s="326"/>
      <c r="I27" s="326"/>
      <c r="J27" s="326"/>
      <c r="K27" s="326"/>
      <c r="L27" s="326"/>
      <c r="M27" s="326"/>
      <c r="N27" s="326"/>
      <c r="O27" s="326"/>
      <c r="P27" s="326"/>
      <c r="Q27" s="326"/>
      <c r="R27" s="326"/>
      <c r="S27" s="326"/>
      <c r="T27" s="326"/>
      <c r="U27" s="326"/>
      <c r="V27" s="326"/>
      <c r="W27" s="326"/>
      <c r="X27" s="326"/>
      <c r="Y27" s="326"/>
      <c r="Z27" s="326"/>
      <c r="AA27" s="326"/>
    </row>
    <row r="28" spans="1:27" ht="15.75" customHeight="1">
      <c r="A28" s="326"/>
      <c r="B28" s="326"/>
      <c r="C28" s="326" t="str">
        <f ca="1">IFERROR(__xludf.DUMMYFUNCTION("""COMPUTED_VALUE"""),"2 port Wall Faceplate With Mounting Junction Box ")</f>
        <v xml:space="preserve">2 port Wall Faceplate With Mounting Junction Box </v>
      </c>
      <c r="D28" s="328" t="s">
        <v>2793</v>
      </c>
      <c r="E28" s="326"/>
      <c r="F28" s="326"/>
      <c r="G28" s="326"/>
      <c r="H28" s="326"/>
      <c r="I28" s="326"/>
      <c r="J28" s="326"/>
      <c r="K28" s="326"/>
      <c r="L28" s="326"/>
      <c r="M28" s="326"/>
      <c r="N28" s="326"/>
      <c r="O28" s="326"/>
      <c r="P28" s="326"/>
      <c r="Q28" s="326"/>
      <c r="R28" s="326"/>
      <c r="S28" s="326"/>
      <c r="T28" s="326"/>
      <c r="U28" s="326"/>
      <c r="V28" s="326"/>
      <c r="W28" s="326"/>
      <c r="X28" s="326"/>
      <c r="Y28" s="326"/>
      <c r="Z28" s="326"/>
      <c r="AA28" s="326"/>
    </row>
    <row r="29" spans="1:27" ht="15.75" customHeight="1">
      <c r="A29" s="326"/>
      <c r="B29" s="326"/>
      <c r="C29" s="326" t="str">
        <f ca="1">IFERROR(__xludf.DUMMYFUNCTION("""COMPUTED_VALUE"""),"2.5 &amp; 3.5 Inch SATA2.0 USB3.0 1 to 3 Clone External Hard Drive Dock")</f>
        <v>2.5 &amp; 3.5 Inch SATA2.0 USB3.0 1 to 3 Clone External Hard Drive Dock</v>
      </c>
      <c r="D29" s="328" t="s">
        <v>2794</v>
      </c>
      <c r="E29" s="326"/>
      <c r="F29" s="326"/>
      <c r="G29" s="326"/>
      <c r="H29" s="326"/>
      <c r="I29" s="326"/>
      <c r="J29" s="326"/>
      <c r="K29" s="326"/>
      <c r="L29" s="326"/>
      <c r="M29" s="326"/>
      <c r="N29" s="326"/>
      <c r="O29" s="326"/>
      <c r="P29" s="326"/>
      <c r="Q29" s="326"/>
      <c r="R29" s="326"/>
      <c r="S29" s="326"/>
      <c r="T29" s="326"/>
      <c r="U29" s="326"/>
      <c r="V29" s="326"/>
      <c r="W29" s="326"/>
      <c r="X29" s="326"/>
      <c r="Y29" s="326"/>
      <c r="Z29" s="326"/>
      <c r="AA29" s="326"/>
    </row>
    <row r="30" spans="1:27" ht="15.75" customHeight="1">
      <c r="A30" s="326"/>
      <c r="B30" s="326"/>
      <c r="C30" s="326" t="str">
        <f ca="1">IFERROR(__xludf.DUMMYFUNCTION("""COMPUTED_VALUE"""),"20M Gigabit Cat6 Ethernet Patch Cable with RJ45 CAT6 High Quality")</f>
        <v>20M Gigabit Cat6 Ethernet Patch Cable with RJ45 CAT6 High Quality</v>
      </c>
      <c r="D30" s="328" t="s">
        <v>311</v>
      </c>
      <c r="E30" s="326"/>
      <c r="F30" s="326"/>
      <c r="G30" s="326"/>
      <c r="H30" s="326"/>
      <c r="I30" s="326"/>
      <c r="J30" s="326"/>
      <c r="K30" s="326"/>
      <c r="L30" s="326"/>
      <c r="M30" s="326"/>
      <c r="N30" s="326"/>
      <c r="O30" s="326"/>
      <c r="P30" s="326"/>
      <c r="Q30" s="326"/>
      <c r="R30" s="326"/>
      <c r="S30" s="326"/>
      <c r="T30" s="326"/>
      <c r="U30" s="326"/>
      <c r="V30" s="326"/>
      <c r="W30" s="326"/>
      <c r="X30" s="326"/>
      <c r="Y30" s="326"/>
      <c r="Z30" s="326"/>
      <c r="AA30" s="326"/>
    </row>
    <row r="31" spans="1:27" ht="15.75" customHeight="1">
      <c r="A31" s="326"/>
      <c r="B31" s="326"/>
      <c r="C31" s="326" t="str">
        <f ca="1">IFERROR(__xludf.DUMMYFUNCTION("""COMPUTED_VALUE"""),"21.5"" FHD LED Monitor")</f>
        <v>21.5" FHD LED Monitor</v>
      </c>
      <c r="D31" s="328" t="s">
        <v>2795</v>
      </c>
      <c r="E31" s="326"/>
      <c r="F31" s="326"/>
      <c r="G31" s="326"/>
      <c r="H31" s="326"/>
      <c r="I31" s="326"/>
      <c r="J31" s="326"/>
      <c r="K31" s="326"/>
      <c r="L31" s="326"/>
      <c r="M31" s="326"/>
      <c r="N31" s="326"/>
      <c r="O31" s="326"/>
      <c r="P31" s="326"/>
      <c r="Q31" s="326"/>
      <c r="R31" s="326"/>
      <c r="S31" s="326"/>
      <c r="T31" s="326"/>
      <c r="U31" s="326"/>
      <c r="V31" s="326"/>
      <c r="W31" s="326"/>
      <c r="X31" s="326"/>
      <c r="Y31" s="326"/>
      <c r="Z31" s="326"/>
      <c r="AA31" s="326"/>
    </row>
    <row r="32" spans="1:27" ht="15.75" customHeight="1">
      <c r="A32" s="326"/>
      <c r="B32" s="326"/>
      <c r="C32" s="326" t="str">
        <f ca="1">IFERROR(__xludf.DUMMYFUNCTION("""COMPUTED_VALUE"""),"27inch Curved Monitor")</f>
        <v>27inch Curved Monitor</v>
      </c>
      <c r="D32" s="328" t="s">
        <v>2796</v>
      </c>
      <c r="E32" s="326"/>
      <c r="F32" s="326"/>
      <c r="G32" s="326"/>
      <c r="H32" s="326"/>
      <c r="I32" s="326"/>
      <c r="J32" s="326"/>
      <c r="K32" s="326"/>
      <c r="L32" s="326"/>
      <c r="M32" s="326"/>
      <c r="N32" s="326"/>
      <c r="O32" s="326"/>
      <c r="P32" s="326"/>
      <c r="Q32" s="326"/>
      <c r="R32" s="326"/>
      <c r="S32" s="326"/>
      <c r="T32" s="326"/>
      <c r="U32" s="326"/>
      <c r="V32" s="326"/>
      <c r="W32" s="326"/>
      <c r="X32" s="326"/>
      <c r="Y32" s="326"/>
      <c r="Z32" s="326"/>
      <c r="AA32" s="326"/>
    </row>
    <row r="33" spans="1:27" ht="15.75" customHeight="1">
      <c r="A33" s="326"/>
      <c r="B33" s="326"/>
      <c r="C33" s="326" t="str">
        <f ca="1">IFERROR(__xludf.DUMMYFUNCTION("""COMPUTED_VALUE"""),"2TB Slim Portable Hard Drive External HDD")</f>
        <v>2TB Slim Portable Hard Drive External HDD</v>
      </c>
      <c r="D33" s="328" t="s">
        <v>2797</v>
      </c>
      <c r="E33" s="326"/>
      <c r="F33" s="326"/>
      <c r="G33" s="326"/>
      <c r="H33" s="326"/>
      <c r="I33" s="326"/>
      <c r="J33" s="326"/>
      <c r="K33" s="326"/>
      <c r="L33" s="326"/>
      <c r="M33" s="326"/>
      <c r="N33" s="326"/>
      <c r="O33" s="326"/>
      <c r="P33" s="326"/>
      <c r="Q33" s="326"/>
      <c r="R33" s="326"/>
      <c r="S33" s="326"/>
      <c r="T33" s="326"/>
      <c r="U33" s="326"/>
      <c r="V33" s="326"/>
      <c r="W33" s="326"/>
      <c r="X33" s="326"/>
      <c r="Y33" s="326"/>
      <c r="Z33" s="326"/>
      <c r="AA33" s="326"/>
    </row>
    <row r="34" spans="1:27" ht="15.75" customHeight="1">
      <c r="A34" s="326"/>
      <c r="B34" s="326"/>
      <c r="C34" s="326" t="str">
        <f ca="1">IFERROR(__xludf.DUMMYFUNCTION("""COMPUTED_VALUE"""),"30M Gigabit Cat6 Ethernet Patch Cable with RJ45 CAT6 High Quality")</f>
        <v>30M Gigabit Cat6 Ethernet Patch Cable with RJ45 CAT6 High Quality</v>
      </c>
      <c r="D34" s="328" t="s">
        <v>2798</v>
      </c>
      <c r="E34" s="326"/>
      <c r="F34" s="326"/>
      <c r="G34" s="326"/>
      <c r="H34" s="326"/>
      <c r="I34" s="326"/>
      <c r="J34" s="326"/>
      <c r="K34" s="326"/>
      <c r="L34" s="326"/>
      <c r="M34" s="326"/>
      <c r="N34" s="326"/>
      <c r="O34" s="326"/>
      <c r="P34" s="326"/>
      <c r="Q34" s="326"/>
      <c r="R34" s="326"/>
      <c r="S34" s="326"/>
      <c r="T34" s="326"/>
      <c r="U34" s="326"/>
      <c r="V34" s="326"/>
      <c r="W34" s="326"/>
      <c r="X34" s="326"/>
      <c r="Y34" s="326"/>
      <c r="Z34" s="326"/>
      <c r="AA34" s="326"/>
    </row>
    <row r="35" spans="1:27" ht="15.75" customHeight="1">
      <c r="A35" s="326"/>
      <c r="B35" s="326"/>
      <c r="C35" s="326" t="str">
        <f ca="1">IFERROR(__xludf.DUMMYFUNCTION("""COMPUTED_VALUE"""),"32GB Flash Drive")</f>
        <v>32GB Flash Drive</v>
      </c>
      <c r="D35" s="328" t="s">
        <v>2799</v>
      </c>
      <c r="E35" s="326"/>
      <c r="F35" s="326"/>
      <c r="G35" s="326"/>
      <c r="H35" s="326"/>
      <c r="I35" s="326"/>
      <c r="J35" s="326"/>
      <c r="K35" s="326"/>
      <c r="L35" s="326"/>
      <c r="M35" s="326"/>
      <c r="N35" s="326"/>
      <c r="O35" s="326"/>
      <c r="P35" s="326"/>
      <c r="Q35" s="326"/>
      <c r="R35" s="326"/>
      <c r="S35" s="326"/>
      <c r="T35" s="326"/>
      <c r="U35" s="326"/>
      <c r="V35" s="326"/>
      <c r="W35" s="326"/>
      <c r="X35" s="326"/>
      <c r="Y35" s="326"/>
      <c r="Z35" s="326"/>
      <c r="AA35" s="326"/>
    </row>
    <row r="36" spans="1:27" ht="15.75" customHeight="1">
      <c r="A36" s="326"/>
      <c r="B36" s="326"/>
      <c r="C36" s="326" t="str">
        <f ca="1">IFERROR(__xludf.DUMMYFUNCTION("""COMPUTED_VALUE"""),"3M Gigabit Cat6 Ethernet Patch Cable with RJ45 CAT6 High Quality")</f>
        <v>3M Gigabit Cat6 Ethernet Patch Cable with RJ45 CAT6 High Quality</v>
      </c>
      <c r="D36" s="328" t="s">
        <v>2800</v>
      </c>
      <c r="E36" s="326"/>
      <c r="F36" s="326"/>
      <c r="G36" s="326"/>
      <c r="H36" s="326"/>
      <c r="I36" s="326"/>
      <c r="J36" s="326"/>
      <c r="K36" s="326"/>
      <c r="L36" s="326"/>
      <c r="M36" s="326"/>
      <c r="N36" s="326"/>
      <c r="O36" s="326"/>
      <c r="P36" s="326"/>
      <c r="Q36" s="326"/>
      <c r="R36" s="326"/>
      <c r="S36" s="326"/>
      <c r="T36" s="326"/>
      <c r="U36" s="326"/>
      <c r="V36" s="326"/>
      <c r="W36" s="326"/>
      <c r="X36" s="326"/>
      <c r="Y36" s="326"/>
      <c r="Z36" s="326"/>
      <c r="AA36" s="326"/>
    </row>
    <row r="37" spans="1:27" ht="15.75" customHeight="1">
      <c r="A37" s="326"/>
      <c r="B37" s="326"/>
      <c r="C37" s="326" t="str">
        <f ca="1">IFERROR(__xludf.DUMMYFUNCTION("""COMPUTED_VALUE"""),"42U Server Data Rack")</f>
        <v>42U Server Data Rack</v>
      </c>
      <c r="D37" s="328" t="s">
        <v>2801</v>
      </c>
      <c r="E37" s="326"/>
      <c r="F37" s="326"/>
      <c r="G37" s="326"/>
      <c r="H37" s="326"/>
      <c r="I37" s="326"/>
      <c r="J37" s="326"/>
      <c r="K37" s="326"/>
      <c r="L37" s="326"/>
      <c r="M37" s="326"/>
      <c r="N37" s="326"/>
      <c r="O37" s="326"/>
      <c r="P37" s="326"/>
      <c r="Q37" s="326"/>
      <c r="R37" s="326"/>
      <c r="S37" s="326"/>
      <c r="T37" s="326"/>
      <c r="U37" s="326"/>
      <c r="V37" s="326"/>
      <c r="W37" s="326"/>
      <c r="X37" s="326"/>
      <c r="Y37" s="326"/>
      <c r="Z37" s="326"/>
      <c r="AA37" s="326"/>
    </row>
    <row r="38" spans="1:27" ht="15.75" customHeight="1">
      <c r="A38" s="326"/>
      <c r="B38" s="326"/>
      <c r="C38" s="326" t="str">
        <f ca="1">IFERROR(__xludf.DUMMYFUNCTION("""COMPUTED_VALUE"""),"480GB 2.5"" Internal SSD")</f>
        <v>480GB 2.5" Internal SSD</v>
      </c>
      <c r="D38" s="328" t="s">
        <v>2802</v>
      </c>
      <c r="E38" s="326"/>
      <c r="F38" s="326"/>
      <c r="G38" s="326"/>
      <c r="H38" s="326"/>
      <c r="I38" s="326"/>
      <c r="J38" s="326"/>
      <c r="K38" s="326"/>
      <c r="L38" s="326"/>
      <c r="M38" s="326"/>
      <c r="N38" s="326"/>
      <c r="O38" s="326"/>
      <c r="P38" s="326"/>
      <c r="Q38" s="326"/>
      <c r="R38" s="326"/>
      <c r="S38" s="326"/>
      <c r="T38" s="326"/>
      <c r="U38" s="326"/>
      <c r="V38" s="326"/>
      <c r="W38" s="326"/>
      <c r="X38" s="326"/>
      <c r="Y38" s="326"/>
      <c r="Z38" s="326"/>
      <c r="AA38" s="326"/>
    </row>
    <row r="39" spans="1:27" ht="15.75" customHeight="1">
      <c r="A39" s="326"/>
      <c r="B39" s="326"/>
      <c r="C39" s="326" t="str">
        <f ca="1">IFERROR(__xludf.DUMMYFUNCTION("""COMPUTED_VALUE"""),"4U 4-Layer Data Cabinet Wallmounted Data Cabinet")</f>
        <v>4U 4-Layer Data Cabinet Wallmounted Data Cabinet</v>
      </c>
      <c r="D39" s="328" t="s">
        <v>290</v>
      </c>
      <c r="E39" s="326"/>
      <c r="F39" s="326"/>
      <c r="G39" s="326"/>
      <c r="H39" s="326"/>
      <c r="I39" s="326"/>
      <c r="J39" s="326"/>
      <c r="K39" s="326"/>
      <c r="L39" s="326"/>
      <c r="M39" s="326"/>
      <c r="N39" s="326"/>
      <c r="O39" s="326"/>
      <c r="P39" s="326"/>
      <c r="Q39" s="326"/>
      <c r="R39" s="326"/>
      <c r="S39" s="326"/>
      <c r="T39" s="326"/>
      <c r="U39" s="326"/>
      <c r="V39" s="326"/>
      <c r="W39" s="326"/>
      <c r="X39" s="326"/>
      <c r="Y39" s="326"/>
      <c r="Z39" s="326"/>
      <c r="AA39" s="326"/>
    </row>
    <row r="40" spans="1:27" ht="15.75" customHeight="1">
      <c r="A40" s="326"/>
      <c r="B40" s="326"/>
      <c r="C40" s="326" t="str">
        <f ca="1">IFERROR(__xludf.DUMMYFUNCTION("""COMPUTED_VALUE"""),"550 Watt 80 Plus Bronze Certified PSU ATX ")</f>
        <v xml:space="preserve">550 Watt 80 Plus Bronze Certified PSU ATX </v>
      </c>
      <c r="D40" s="328" t="s">
        <v>2803</v>
      </c>
      <c r="E40" s="326"/>
      <c r="F40" s="326"/>
      <c r="G40" s="326"/>
      <c r="H40" s="326"/>
      <c r="I40" s="326"/>
      <c r="J40" s="326"/>
      <c r="K40" s="326"/>
      <c r="L40" s="326"/>
      <c r="M40" s="326"/>
      <c r="N40" s="326"/>
      <c r="O40" s="326"/>
      <c r="P40" s="326"/>
      <c r="Q40" s="326"/>
      <c r="R40" s="326"/>
      <c r="S40" s="326"/>
      <c r="T40" s="326"/>
      <c r="U40" s="326"/>
      <c r="V40" s="326"/>
      <c r="W40" s="326"/>
      <c r="X40" s="326"/>
      <c r="Y40" s="326"/>
      <c r="Z40" s="326"/>
      <c r="AA40" s="326"/>
    </row>
    <row r="41" spans="1:27" ht="15.75" customHeight="1">
      <c r="A41" s="326"/>
      <c r="B41" s="326"/>
      <c r="C41" s="326" t="str">
        <f ca="1">IFERROR(__xludf.DUMMYFUNCTION("""COMPUTED_VALUE"""),"5M Gigabit Cat6 Ethernet Patch Cable with RJ45 CAT6 High Quality")</f>
        <v>5M Gigabit Cat6 Ethernet Patch Cable with RJ45 CAT6 High Quality</v>
      </c>
      <c r="D41" s="328" t="s">
        <v>2804</v>
      </c>
      <c r="E41" s="326"/>
      <c r="F41" s="326"/>
      <c r="G41" s="326"/>
      <c r="H41" s="326"/>
      <c r="I41" s="326"/>
      <c r="J41" s="326"/>
      <c r="K41" s="326"/>
      <c r="L41" s="326"/>
      <c r="M41" s="326"/>
      <c r="N41" s="326"/>
      <c r="O41" s="326"/>
      <c r="P41" s="326"/>
      <c r="Q41" s="326"/>
      <c r="R41" s="326"/>
      <c r="S41" s="326"/>
      <c r="T41" s="326"/>
      <c r="U41" s="326"/>
      <c r="V41" s="326"/>
      <c r="W41" s="326"/>
      <c r="X41" s="326"/>
      <c r="Y41" s="326"/>
      <c r="Z41" s="326"/>
      <c r="AA41" s="326"/>
    </row>
    <row r="42" spans="1:27" ht="15.75" customHeight="1">
      <c r="A42" s="326"/>
      <c r="B42" s="326"/>
      <c r="C42" s="326" t="str">
        <f ca="1">IFERROR(__xludf.DUMMYFUNCTION("""COMPUTED_VALUE"""),"64GB Flash Drive")</f>
        <v>64GB Flash Drive</v>
      </c>
      <c r="D42" s="328" t="s">
        <v>2805</v>
      </c>
      <c r="E42" s="326"/>
      <c r="F42" s="326"/>
      <c r="G42" s="326"/>
      <c r="H42" s="326"/>
      <c r="I42" s="326"/>
      <c r="J42" s="326"/>
      <c r="K42" s="326"/>
      <c r="L42" s="326"/>
      <c r="M42" s="326"/>
      <c r="N42" s="326"/>
      <c r="O42" s="326"/>
      <c r="P42" s="326"/>
      <c r="Q42" s="326"/>
      <c r="R42" s="326"/>
      <c r="S42" s="326"/>
      <c r="T42" s="326"/>
      <c r="U42" s="326"/>
      <c r="V42" s="326"/>
      <c r="W42" s="326"/>
      <c r="X42" s="326"/>
      <c r="Y42" s="326"/>
      <c r="Z42" s="326"/>
      <c r="AA42" s="326"/>
    </row>
    <row r="43" spans="1:27" ht="15.75" customHeight="1">
      <c r="A43" s="326"/>
      <c r="B43" s="326"/>
      <c r="C43" s="326" t="str">
        <f ca="1">IFERROR(__xludf.DUMMYFUNCTION("""COMPUTED_VALUE"""),"7.0 Ah Replacement Battery (For UPS)")</f>
        <v>7.0 Ah Replacement Battery (For UPS)</v>
      </c>
      <c r="D43" s="328" t="s">
        <v>2806</v>
      </c>
      <c r="E43" s="326"/>
      <c r="F43" s="326"/>
      <c r="G43" s="326"/>
      <c r="H43" s="326"/>
      <c r="I43" s="326"/>
      <c r="J43" s="326"/>
      <c r="K43" s="326"/>
      <c r="L43" s="326"/>
      <c r="M43" s="326"/>
      <c r="N43" s="326"/>
      <c r="O43" s="326"/>
      <c r="P43" s="326"/>
      <c r="Q43" s="326"/>
      <c r="R43" s="326"/>
      <c r="S43" s="326"/>
      <c r="T43" s="326"/>
      <c r="U43" s="326"/>
      <c r="V43" s="326"/>
      <c r="W43" s="326"/>
      <c r="X43" s="326"/>
      <c r="Y43" s="326"/>
      <c r="Z43" s="326"/>
      <c r="AA43" s="326"/>
    </row>
    <row r="44" spans="1:27" ht="15.75" customHeight="1">
      <c r="A44" s="326"/>
      <c r="B44" s="326"/>
      <c r="C44" s="326" t="str">
        <f ca="1">IFERROR(__xludf.DUMMYFUNCTION("""COMPUTED_VALUE"""),"8 Port Gigabit Network Switch with 4-Port PoE+")</f>
        <v>8 Port Gigabit Network Switch with 4-Port PoE+</v>
      </c>
      <c r="D44" s="328" t="s">
        <v>288</v>
      </c>
      <c r="E44" s="326"/>
      <c r="F44" s="326"/>
      <c r="G44" s="326"/>
      <c r="H44" s="326"/>
      <c r="I44" s="326"/>
      <c r="J44" s="326"/>
      <c r="K44" s="326"/>
      <c r="L44" s="326"/>
      <c r="M44" s="326"/>
      <c r="N44" s="326"/>
      <c r="O44" s="326"/>
      <c r="P44" s="326"/>
      <c r="Q44" s="326"/>
      <c r="R44" s="326"/>
      <c r="S44" s="326"/>
      <c r="T44" s="326"/>
      <c r="U44" s="326"/>
      <c r="V44" s="326"/>
      <c r="W44" s="326"/>
      <c r="X44" s="326"/>
      <c r="Y44" s="326"/>
      <c r="Z44" s="326"/>
      <c r="AA44" s="326"/>
    </row>
    <row r="45" spans="1:27" ht="15.75" customHeight="1">
      <c r="A45" s="326"/>
      <c r="B45" s="326"/>
      <c r="C45" s="326" t="str">
        <f ca="1">IFERROR(__xludf.DUMMYFUNCTION("""COMPUTED_VALUE"""),"8-Port Gigabit L2 Managed Switch with 2 SFP Slots")</f>
        <v>8-Port Gigabit L2 Managed Switch with 2 SFP Slots</v>
      </c>
      <c r="D45" s="328" t="s">
        <v>2807</v>
      </c>
      <c r="E45" s="326"/>
      <c r="F45" s="326"/>
      <c r="G45" s="326"/>
      <c r="H45" s="326"/>
      <c r="I45" s="326"/>
      <c r="J45" s="326"/>
      <c r="K45" s="326"/>
      <c r="L45" s="326"/>
      <c r="M45" s="326"/>
      <c r="N45" s="326"/>
      <c r="O45" s="326"/>
      <c r="P45" s="326"/>
      <c r="Q45" s="326"/>
      <c r="R45" s="326"/>
      <c r="S45" s="326"/>
      <c r="T45" s="326"/>
      <c r="U45" s="326"/>
      <c r="V45" s="326"/>
      <c r="W45" s="326"/>
      <c r="X45" s="326"/>
      <c r="Y45" s="326"/>
      <c r="Z45" s="326"/>
      <c r="AA45" s="326"/>
    </row>
    <row r="46" spans="1:27" ht="15.75" customHeight="1">
      <c r="A46" s="326"/>
      <c r="B46" s="326"/>
      <c r="C46" s="326" t="str">
        <f ca="1">IFERROR(__xludf.DUMMYFUNCTION("""COMPUTED_VALUE"""),"Aluminum Step Ladder, FT-4 (4 Steps)")</f>
        <v>Aluminum Step Ladder, FT-4 (4 Steps)</v>
      </c>
      <c r="D46" s="328" t="s">
        <v>314</v>
      </c>
      <c r="E46" s="326"/>
      <c r="F46" s="326"/>
      <c r="G46" s="326"/>
      <c r="H46" s="326"/>
      <c r="I46" s="326"/>
      <c r="J46" s="326"/>
      <c r="K46" s="326"/>
      <c r="L46" s="326"/>
      <c r="M46" s="326"/>
      <c r="N46" s="326"/>
      <c r="O46" s="326"/>
      <c r="P46" s="326"/>
      <c r="Q46" s="326"/>
      <c r="R46" s="326"/>
      <c r="S46" s="326"/>
      <c r="T46" s="326"/>
      <c r="U46" s="326"/>
      <c r="V46" s="326"/>
      <c r="W46" s="326"/>
      <c r="X46" s="326"/>
      <c r="Y46" s="326"/>
      <c r="Z46" s="326"/>
      <c r="AA46" s="326"/>
    </row>
    <row r="47" spans="1:27" ht="15.75" customHeight="1">
      <c r="A47" s="326"/>
      <c r="B47" s="326"/>
      <c r="C47" s="326" t="str">
        <f ca="1">IFERROR(__xludf.DUMMYFUNCTION("""COMPUTED_VALUE"""),"Aluminum Step Ladder, FT-6 (6 Steps)")</f>
        <v>Aluminum Step Ladder, FT-6 (6 Steps)</v>
      </c>
      <c r="D47" s="328" t="s">
        <v>2808</v>
      </c>
      <c r="E47" s="326"/>
      <c r="F47" s="326"/>
      <c r="G47" s="326"/>
      <c r="H47" s="326"/>
      <c r="I47" s="326"/>
      <c r="J47" s="326"/>
      <c r="K47" s="326"/>
      <c r="L47" s="326"/>
      <c r="M47" s="326"/>
      <c r="N47" s="326"/>
      <c r="O47" s="326"/>
      <c r="P47" s="326"/>
      <c r="Q47" s="326"/>
      <c r="R47" s="326"/>
      <c r="S47" s="326"/>
      <c r="T47" s="326"/>
      <c r="U47" s="326"/>
      <c r="V47" s="326"/>
      <c r="W47" s="326"/>
      <c r="X47" s="326"/>
      <c r="Y47" s="326"/>
      <c r="Z47" s="326"/>
      <c r="AA47" s="326"/>
    </row>
    <row r="48" spans="1:27" ht="15.75" customHeight="1">
      <c r="A48" s="326"/>
      <c r="B48" s="326"/>
      <c r="C48" s="326" t="str">
        <f ca="1">IFERROR(__xludf.DUMMYFUNCTION("""COMPUTED_VALUE"""),"Aluminum Step Ladder, FT-7 (7 Steps)")</f>
        <v>Aluminum Step Ladder, FT-7 (7 Steps)</v>
      </c>
      <c r="D48" s="328" t="s">
        <v>315</v>
      </c>
      <c r="E48" s="326"/>
      <c r="F48" s="326"/>
      <c r="G48" s="326"/>
      <c r="H48" s="326"/>
      <c r="I48" s="326"/>
      <c r="J48" s="326"/>
      <c r="K48" s="326"/>
      <c r="L48" s="326"/>
      <c r="M48" s="326"/>
      <c r="N48" s="326"/>
      <c r="O48" s="326"/>
      <c r="P48" s="326"/>
      <c r="Q48" s="326"/>
      <c r="R48" s="326"/>
      <c r="S48" s="326"/>
      <c r="T48" s="326"/>
      <c r="U48" s="326"/>
      <c r="V48" s="326"/>
      <c r="W48" s="326"/>
      <c r="X48" s="326"/>
      <c r="Y48" s="326"/>
      <c r="Z48" s="326"/>
      <c r="AA48" s="326"/>
    </row>
    <row r="49" spans="1:27" ht="15.75" customHeight="1">
      <c r="A49" s="326"/>
      <c r="B49" s="326"/>
      <c r="C49" s="326" t="str">
        <f ca="1">IFERROR(__xludf.DUMMYFUNCTION("""COMPUTED_VALUE"""),"Android Tablet 10.5""")</f>
        <v>Android Tablet 10.5"</v>
      </c>
      <c r="D49" s="328" t="s">
        <v>2809</v>
      </c>
      <c r="E49" s="326"/>
      <c r="F49" s="326"/>
      <c r="G49" s="326"/>
      <c r="H49" s="326"/>
      <c r="I49" s="326"/>
      <c r="J49" s="326"/>
      <c r="K49" s="326"/>
      <c r="L49" s="326"/>
      <c r="M49" s="326"/>
      <c r="N49" s="326"/>
      <c r="O49" s="326"/>
      <c r="P49" s="326"/>
      <c r="Q49" s="326"/>
      <c r="R49" s="326"/>
      <c r="S49" s="326"/>
      <c r="T49" s="326"/>
      <c r="U49" s="326"/>
      <c r="V49" s="326"/>
      <c r="W49" s="326"/>
      <c r="X49" s="326"/>
      <c r="Y49" s="326"/>
      <c r="Z49" s="326"/>
      <c r="AA49" s="326"/>
    </row>
    <row r="50" spans="1:27" ht="15.75" customHeight="1">
      <c r="A50" s="326"/>
      <c r="B50" s="326"/>
      <c r="C50" s="326" t="str">
        <f ca="1">IFERROR(__xludf.DUMMYFUNCTION("""COMPUTED_VALUE"""),"BATTERY 9V")</f>
        <v>BATTERY 9V</v>
      </c>
      <c r="D50" s="328" t="s">
        <v>2810</v>
      </c>
      <c r="E50" s="326"/>
      <c r="F50" s="326"/>
      <c r="G50" s="326"/>
      <c r="H50" s="326"/>
      <c r="I50" s="326"/>
      <c r="J50" s="326"/>
      <c r="K50" s="326"/>
      <c r="L50" s="326"/>
      <c r="M50" s="326"/>
      <c r="N50" s="326"/>
      <c r="O50" s="326"/>
      <c r="P50" s="326"/>
      <c r="Q50" s="326"/>
      <c r="R50" s="326"/>
      <c r="S50" s="326"/>
      <c r="T50" s="326"/>
      <c r="U50" s="326"/>
      <c r="V50" s="326"/>
      <c r="W50" s="326"/>
      <c r="X50" s="326"/>
      <c r="Y50" s="326"/>
      <c r="Z50" s="326"/>
      <c r="AA50" s="326"/>
    </row>
    <row r="51" spans="1:27" ht="15.75" customHeight="1">
      <c r="A51" s="326"/>
      <c r="B51" s="326"/>
      <c r="C51" s="326" t="str">
        <f ca="1">IFERROR(__xludf.DUMMYFUNCTION("""COMPUTED_VALUE"""),"BATTERY AA 2S (2pcs/pack)")</f>
        <v>BATTERY AA 2S (2pcs/pack)</v>
      </c>
      <c r="D51" s="328" t="s">
        <v>2811</v>
      </c>
      <c r="E51" s="326"/>
      <c r="F51" s="326"/>
      <c r="G51" s="326"/>
      <c r="H51" s="326"/>
      <c r="I51" s="326"/>
      <c r="J51" s="326"/>
      <c r="K51" s="326"/>
      <c r="L51" s="326"/>
      <c r="M51" s="326"/>
      <c r="N51" s="326"/>
      <c r="O51" s="326"/>
      <c r="P51" s="326"/>
      <c r="Q51" s="326"/>
      <c r="R51" s="326"/>
      <c r="S51" s="326"/>
      <c r="T51" s="326"/>
      <c r="U51" s="326"/>
      <c r="V51" s="326"/>
      <c r="W51" s="326"/>
      <c r="X51" s="326"/>
      <c r="Y51" s="326"/>
      <c r="Z51" s="326"/>
      <c r="AA51" s="326"/>
    </row>
    <row r="52" spans="1:27" ht="15.75" customHeight="1">
      <c r="A52" s="326"/>
      <c r="B52" s="326"/>
      <c r="C52" s="326" t="str">
        <f ca="1">IFERROR(__xludf.DUMMYFUNCTION("""COMPUTED_VALUE"""),"BATTERY AAA 4S (2pcs/pack)")</f>
        <v>BATTERY AAA 4S (2pcs/pack)</v>
      </c>
      <c r="D52" s="328" t="s">
        <v>2812</v>
      </c>
      <c r="E52" s="326"/>
      <c r="F52" s="326"/>
      <c r="G52" s="326"/>
      <c r="H52" s="326"/>
      <c r="I52" s="326"/>
      <c r="J52" s="326"/>
      <c r="K52" s="326"/>
      <c r="L52" s="326"/>
      <c r="M52" s="326"/>
      <c r="N52" s="326"/>
      <c r="O52" s="326"/>
      <c r="P52" s="326"/>
      <c r="Q52" s="326"/>
      <c r="R52" s="326"/>
      <c r="S52" s="326"/>
      <c r="T52" s="326"/>
      <c r="U52" s="326"/>
      <c r="V52" s="326"/>
      <c r="W52" s="326"/>
      <c r="X52" s="326"/>
      <c r="Y52" s="326"/>
      <c r="Z52" s="326"/>
      <c r="AA52" s="326"/>
    </row>
    <row r="53" spans="1:27" ht="15.75" customHeight="1">
      <c r="A53" s="326"/>
      <c r="B53" s="326"/>
      <c r="C53" s="326" t="str">
        <f ca="1">IFERROR(__xludf.DUMMYFUNCTION("""COMPUTED_VALUE"""),"Black &amp; White LASER NETWORK PRINTER with DUPLEX PRINTING")</f>
        <v>Black &amp; White LASER NETWORK PRINTER with DUPLEX PRINTING</v>
      </c>
      <c r="D53" s="328" t="s">
        <v>2813</v>
      </c>
      <c r="E53" s="326"/>
      <c r="F53" s="326"/>
      <c r="G53" s="326"/>
      <c r="H53" s="326"/>
      <c r="I53" s="326"/>
      <c r="J53" s="326"/>
      <c r="K53" s="326"/>
      <c r="L53" s="326"/>
      <c r="M53" s="326"/>
      <c r="N53" s="326"/>
      <c r="O53" s="326"/>
      <c r="P53" s="326"/>
      <c r="Q53" s="326"/>
      <c r="R53" s="326"/>
      <c r="S53" s="326"/>
      <c r="T53" s="326"/>
      <c r="U53" s="326"/>
      <c r="V53" s="326"/>
      <c r="W53" s="326"/>
      <c r="X53" s="326"/>
      <c r="Y53" s="326"/>
      <c r="Z53" s="326"/>
      <c r="AA53" s="326"/>
    </row>
    <row r="54" spans="1:27" ht="15.75" customHeight="1">
      <c r="A54" s="326"/>
      <c r="B54" s="326"/>
      <c r="C54" s="326" t="str">
        <f ca="1">IFERROR(__xludf.DUMMYFUNCTION("""COMPUTED_VALUE"""),"Black Nylon Cable Tie 2.5 x 100mm 100pcs/pack ")</f>
        <v xml:space="preserve">Black Nylon Cable Tie 2.5 x 100mm 100pcs/pack </v>
      </c>
      <c r="D54" s="328" t="s">
        <v>2814</v>
      </c>
      <c r="E54" s="326"/>
      <c r="F54" s="326"/>
      <c r="G54" s="326"/>
      <c r="H54" s="326"/>
      <c r="I54" s="326"/>
      <c r="J54" s="326"/>
      <c r="K54" s="326"/>
      <c r="L54" s="326"/>
      <c r="M54" s="326"/>
      <c r="N54" s="326"/>
      <c r="O54" s="326"/>
      <c r="P54" s="326"/>
      <c r="Q54" s="326"/>
      <c r="R54" s="326"/>
      <c r="S54" s="326"/>
      <c r="T54" s="326"/>
      <c r="U54" s="326"/>
      <c r="V54" s="326"/>
      <c r="W54" s="326"/>
      <c r="X54" s="326"/>
      <c r="Y54" s="326"/>
      <c r="Z54" s="326"/>
      <c r="AA54" s="326"/>
    </row>
    <row r="55" spans="1:27" ht="15.75" customHeight="1">
      <c r="A55" s="326"/>
      <c r="B55" s="326"/>
      <c r="C55" s="326" t="str">
        <f ca="1">IFERROR(__xludf.DUMMYFUNCTION("""COMPUTED_VALUE"""),"Black Nylon Cable Tie 2.5 x 140mm 100pcs/pack ")</f>
        <v xml:space="preserve">Black Nylon Cable Tie 2.5 x 140mm 100pcs/pack </v>
      </c>
      <c r="D55" s="328" t="s">
        <v>2815</v>
      </c>
      <c r="E55" s="326"/>
      <c r="F55" s="326"/>
      <c r="G55" s="326"/>
      <c r="H55" s="326"/>
      <c r="I55" s="326"/>
      <c r="J55" s="326"/>
      <c r="K55" s="326"/>
      <c r="L55" s="326"/>
      <c r="M55" s="326"/>
      <c r="N55" s="326"/>
      <c r="O55" s="326"/>
      <c r="P55" s="326"/>
      <c r="Q55" s="326"/>
      <c r="R55" s="326"/>
      <c r="S55" s="326"/>
      <c r="T55" s="326"/>
      <c r="U55" s="326"/>
      <c r="V55" s="326"/>
      <c r="W55" s="326"/>
      <c r="X55" s="326"/>
      <c r="Y55" s="326"/>
      <c r="Z55" s="326"/>
      <c r="AA55" s="326"/>
    </row>
    <row r="56" spans="1:27" ht="15.75" customHeight="1">
      <c r="A56" s="326"/>
      <c r="B56" s="326"/>
      <c r="C56" s="326" t="str">
        <f ca="1">IFERROR(__xludf.DUMMYFUNCTION("""COMPUTED_VALUE"""),"Black Nylon Cable Tie 3.6 x 140mm 100pcs/pack ")</f>
        <v xml:space="preserve">Black Nylon Cable Tie 3.6 x 140mm 100pcs/pack </v>
      </c>
      <c r="D56" s="328" t="s">
        <v>2816</v>
      </c>
      <c r="E56" s="326"/>
      <c r="F56" s="326"/>
      <c r="G56" s="326"/>
      <c r="H56" s="326"/>
      <c r="I56" s="326"/>
      <c r="J56" s="326"/>
      <c r="K56" s="326"/>
      <c r="L56" s="326"/>
      <c r="M56" s="326"/>
      <c r="N56" s="326"/>
      <c r="O56" s="326"/>
      <c r="P56" s="326"/>
      <c r="Q56" s="326"/>
      <c r="R56" s="326"/>
      <c r="S56" s="326"/>
      <c r="T56" s="326"/>
      <c r="U56" s="326"/>
      <c r="V56" s="326"/>
      <c r="W56" s="326"/>
      <c r="X56" s="326"/>
      <c r="Y56" s="326"/>
      <c r="Z56" s="326"/>
      <c r="AA56" s="326"/>
    </row>
    <row r="57" spans="1:27" ht="15.75" customHeight="1">
      <c r="A57" s="326"/>
      <c r="B57" s="326"/>
      <c r="C57" s="326" t="str">
        <f ca="1">IFERROR(__xludf.DUMMYFUNCTION("""COMPUTED_VALUE"""),"Black Nylon Cable Tie 3.6 x 200mm 100pcs/pack ")</f>
        <v xml:space="preserve">Black Nylon Cable Tie 3.6 x 200mm 100pcs/pack </v>
      </c>
      <c r="D57" s="328" t="s">
        <v>2817</v>
      </c>
      <c r="E57" s="326"/>
      <c r="F57" s="326"/>
      <c r="G57" s="326"/>
      <c r="H57" s="326"/>
      <c r="I57" s="326"/>
      <c r="J57" s="326"/>
      <c r="K57" s="326"/>
      <c r="L57" s="326"/>
      <c r="M57" s="326"/>
      <c r="N57" s="326"/>
      <c r="O57" s="326"/>
      <c r="P57" s="326"/>
      <c r="Q57" s="326"/>
      <c r="R57" s="326"/>
      <c r="S57" s="326"/>
      <c r="T57" s="326"/>
      <c r="U57" s="326"/>
      <c r="V57" s="326"/>
      <c r="W57" s="326"/>
      <c r="X57" s="326"/>
      <c r="Y57" s="326"/>
      <c r="Z57" s="326"/>
      <c r="AA57" s="326"/>
    </row>
    <row r="58" spans="1:27" ht="15.75" customHeight="1">
      <c r="A58" s="326"/>
      <c r="B58" s="326"/>
      <c r="C58" s="326" t="str">
        <f ca="1">IFERROR(__xludf.DUMMYFUNCTION("""COMPUTED_VALUE"""),"Black Nylon Cable Tie 3.6 x 300mm 100pcs/pack ")</f>
        <v xml:space="preserve">Black Nylon Cable Tie 3.6 x 300mm 100pcs/pack </v>
      </c>
      <c r="D58" s="328" t="s">
        <v>2818</v>
      </c>
      <c r="E58" s="326"/>
      <c r="F58" s="326"/>
      <c r="G58" s="326"/>
      <c r="H58" s="326"/>
      <c r="I58" s="326"/>
      <c r="J58" s="326"/>
      <c r="K58" s="326"/>
      <c r="L58" s="326"/>
      <c r="M58" s="326"/>
      <c r="N58" s="326"/>
      <c r="O58" s="326"/>
      <c r="P58" s="326"/>
      <c r="Q58" s="326"/>
      <c r="R58" s="326"/>
      <c r="S58" s="326"/>
      <c r="T58" s="326"/>
      <c r="U58" s="326"/>
      <c r="V58" s="326"/>
      <c r="W58" s="326"/>
      <c r="X58" s="326"/>
      <c r="Y58" s="326"/>
      <c r="Z58" s="326"/>
      <c r="AA58" s="326"/>
    </row>
    <row r="59" spans="1:27" ht="15.75" customHeight="1">
      <c r="A59" s="326"/>
      <c r="B59" s="326"/>
      <c r="C59" s="326" t="str">
        <f ca="1">IFERROR(__xludf.DUMMYFUNCTION("""COMPUTED_VALUE"""),"Black Nylon Cable Tie 4.8 x 200mm 100pcs/pack ")</f>
        <v xml:space="preserve">Black Nylon Cable Tie 4.8 x 200mm 100pcs/pack </v>
      </c>
      <c r="D59" s="328" t="s">
        <v>2819</v>
      </c>
      <c r="E59" s="326"/>
      <c r="F59" s="326"/>
      <c r="G59" s="326"/>
      <c r="H59" s="326"/>
      <c r="I59" s="326"/>
      <c r="J59" s="326"/>
      <c r="K59" s="326"/>
      <c r="L59" s="326"/>
      <c r="M59" s="326"/>
      <c r="N59" s="326"/>
      <c r="O59" s="326"/>
      <c r="P59" s="326"/>
      <c r="Q59" s="326"/>
      <c r="R59" s="326"/>
      <c r="S59" s="326"/>
      <c r="T59" s="326"/>
      <c r="U59" s="326"/>
      <c r="V59" s="326"/>
      <c r="W59" s="326"/>
      <c r="X59" s="326"/>
      <c r="Y59" s="326"/>
      <c r="Z59" s="326"/>
      <c r="AA59" s="326"/>
    </row>
    <row r="60" spans="1:27" ht="15.75" customHeight="1">
      <c r="A60" s="326"/>
      <c r="B60" s="326"/>
      <c r="C60" s="326" t="str">
        <f ca="1">IFERROR(__xludf.DUMMYFUNCTION("""COMPUTED_VALUE"""),"Black Nylon Cable Tie 4.8 x 250mm 100pcs/pack ")</f>
        <v xml:space="preserve">Black Nylon Cable Tie 4.8 x 250mm 100pcs/pack </v>
      </c>
      <c r="D60" s="328" t="s">
        <v>2820</v>
      </c>
      <c r="E60" s="326"/>
      <c r="F60" s="326"/>
      <c r="G60" s="326"/>
      <c r="H60" s="326"/>
      <c r="I60" s="326"/>
      <c r="J60" s="326"/>
      <c r="K60" s="326"/>
      <c r="L60" s="326"/>
      <c r="M60" s="326"/>
      <c r="N60" s="326"/>
      <c r="O60" s="326"/>
      <c r="P60" s="326"/>
      <c r="Q60" s="326"/>
      <c r="R60" s="326"/>
      <c r="S60" s="326"/>
      <c r="T60" s="326"/>
      <c r="U60" s="326"/>
      <c r="V60" s="326"/>
      <c r="W60" s="326"/>
      <c r="X60" s="326"/>
      <c r="Y60" s="326"/>
      <c r="Z60" s="326"/>
      <c r="AA60" s="326"/>
    </row>
    <row r="61" spans="1:27" ht="25.5">
      <c r="A61" s="326"/>
      <c r="B61" s="326"/>
      <c r="C61" s="326" t="str">
        <f ca="1">IFERROR(__xludf.DUMMYFUNCTION("""COMPUTED_VALUE"""),"Black Nylon Cable Tie 4.8 x 300mm 100pcs/pack ")</f>
        <v xml:space="preserve">Black Nylon Cable Tie 4.8 x 300mm 100pcs/pack </v>
      </c>
      <c r="D61" s="328" t="s">
        <v>2821</v>
      </c>
      <c r="E61" s="326"/>
      <c r="F61" s="326"/>
      <c r="G61" s="326"/>
      <c r="H61" s="326"/>
      <c r="I61" s="326"/>
      <c r="J61" s="326"/>
      <c r="K61" s="326"/>
      <c r="L61" s="326"/>
      <c r="M61" s="326"/>
      <c r="N61" s="326"/>
      <c r="O61" s="326"/>
      <c r="P61" s="326"/>
      <c r="Q61" s="326"/>
      <c r="R61" s="326"/>
      <c r="S61" s="326"/>
      <c r="T61" s="326"/>
      <c r="U61" s="326"/>
      <c r="V61" s="326"/>
      <c r="W61" s="326"/>
      <c r="X61" s="326"/>
      <c r="Y61" s="326"/>
      <c r="Z61" s="326"/>
      <c r="AA61" s="326"/>
    </row>
    <row r="62" spans="1:27" ht="25.5">
      <c r="A62" s="326"/>
      <c r="B62" s="326"/>
      <c r="C62" s="326" t="str">
        <f ca="1">IFERROR(__xludf.DUMMYFUNCTION("""COMPUTED_VALUE"""),"Black Nylon Cable Tie 4.8 x 400mm 100pcs/pack ")</f>
        <v xml:space="preserve">Black Nylon Cable Tie 4.8 x 400mm 100pcs/pack </v>
      </c>
      <c r="D62" s="328" t="s">
        <v>2822</v>
      </c>
      <c r="E62" s="326"/>
      <c r="F62" s="326"/>
      <c r="G62" s="326"/>
      <c r="H62" s="326"/>
      <c r="I62" s="326"/>
      <c r="J62" s="326"/>
      <c r="K62" s="326"/>
      <c r="L62" s="326"/>
      <c r="M62" s="326"/>
      <c r="N62" s="326"/>
      <c r="O62" s="326"/>
      <c r="P62" s="326"/>
      <c r="Q62" s="326"/>
      <c r="R62" s="326"/>
      <c r="S62" s="326"/>
      <c r="T62" s="326"/>
      <c r="U62" s="326"/>
      <c r="V62" s="326"/>
      <c r="W62" s="326"/>
      <c r="X62" s="326"/>
      <c r="Y62" s="326"/>
      <c r="Z62" s="326"/>
      <c r="AA62" s="326"/>
    </row>
    <row r="63" spans="1:27" ht="38.25">
      <c r="A63" s="326"/>
      <c r="B63" s="326"/>
      <c r="C63" s="326" t="str">
        <f ca="1">IFERROR(__xludf.DUMMYFUNCTION("""COMPUTED_VALUE"""),"Black Original LaserJet Toner Cartridge")</f>
        <v>Black Original LaserJet Toner Cartridge</v>
      </c>
      <c r="D63" s="328" t="s">
        <v>2823</v>
      </c>
      <c r="E63" s="326"/>
      <c r="F63" s="326"/>
      <c r="G63" s="326"/>
      <c r="H63" s="326"/>
      <c r="I63" s="326"/>
      <c r="J63" s="326"/>
      <c r="K63" s="326"/>
      <c r="L63" s="326"/>
      <c r="M63" s="326"/>
      <c r="N63" s="326"/>
      <c r="O63" s="326"/>
      <c r="P63" s="326"/>
      <c r="Q63" s="326"/>
      <c r="R63" s="326"/>
      <c r="S63" s="326"/>
      <c r="T63" s="326"/>
      <c r="U63" s="326"/>
      <c r="V63" s="326"/>
      <c r="W63" s="326"/>
      <c r="X63" s="326"/>
      <c r="Y63" s="326"/>
      <c r="Z63" s="326"/>
      <c r="AA63" s="326"/>
    </row>
    <row r="64" spans="1:27" ht="25.5">
      <c r="A64" s="326"/>
      <c r="B64" s="326"/>
      <c r="C64" s="326" t="str">
        <f ca="1">IFERROR(__xludf.DUMMYFUNCTION("""COMPUTED_VALUE"""),"Bolt Expansion Sleeve Anchor Concrete 1/4""")</f>
        <v>Bolt Expansion Sleeve Anchor Concrete 1/4"</v>
      </c>
      <c r="D64" s="328" t="s">
        <v>2824</v>
      </c>
      <c r="E64" s="326"/>
      <c r="F64" s="326"/>
      <c r="G64" s="326"/>
      <c r="H64" s="326"/>
      <c r="I64" s="326"/>
      <c r="J64" s="326"/>
      <c r="K64" s="326"/>
      <c r="L64" s="326"/>
      <c r="M64" s="326"/>
      <c r="N64" s="326"/>
      <c r="O64" s="326"/>
      <c r="P64" s="326"/>
      <c r="Q64" s="326"/>
      <c r="R64" s="326"/>
      <c r="S64" s="326"/>
      <c r="T64" s="326"/>
      <c r="U64" s="326"/>
      <c r="V64" s="326"/>
      <c r="W64" s="326"/>
      <c r="X64" s="326"/>
      <c r="Y64" s="326"/>
      <c r="Z64" s="326"/>
      <c r="AA64" s="326"/>
    </row>
    <row r="65" spans="1:27" ht="25.5">
      <c r="A65" s="326"/>
      <c r="B65" s="326"/>
      <c r="C65" s="326" t="str">
        <f ca="1">IFERROR(__xludf.DUMMYFUNCTION("""COMPUTED_VALUE"""),"Bolt Expansion Sleeve Anchor Concrete 5/16""")</f>
        <v>Bolt Expansion Sleeve Anchor Concrete 5/16"</v>
      </c>
      <c r="D65" s="328" t="s">
        <v>2825</v>
      </c>
      <c r="E65" s="326"/>
      <c r="F65" s="326"/>
      <c r="G65" s="326"/>
      <c r="H65" s="326"/>
      <c r="I65" s="326"/>
      <c r="J65" s="326"/>
      <c r="K65" s="326"/>
      <c r="L65" s="326"/>
      <c r="M65" s="326"/>
      <c r="N65" s="326"/>
      <c r="O65" s="326"/>
      <c r="P65" s="326"/>
      <c r="Q65" s="326"/>
      <c r="R65" s="326"/>
      <c r="S65" s="326"/>
      <c r="T65" s="326"/>
      <c r="U65" s="326"/>
      <c r="V65" s="326"/>
      <c r="W65" s="326"/>
      <c r="X65" s="326"/>
      <c r="Y65" s="326"/>
      <c r="Z65" s="326"/>
      <c r="AA65" s="326"/>
    </row>
    <row r="66" spans="1:27" ht="38.25">
      <c r="A66" s="326"/>
      <c r="B66" s="326"/>
      <c r="C66" s="326" t="str">
        <f ca="1">IFERROR(__xludf.DUMMYFUNCTION("""COMPUTED_VALUE"""),"Brother Genuine Ink BT5000C")</f>
        <v>Brother Genuine Ink BT5000C</v>
      </c>
      <c r="D66" s="328" t="s">
        <v>2826</v>
      </c>
      <c r="E66" s="326"/>
      <c r="F66" s="326"/>
      <c r="G66" s="326"/>
      <c r="H66" s="326"/>
      <c r="I66" s="326"/>
      <c r="J66" s="326"/>
      <c r="K66" s="326"/>
      <c r="L66" s="326"/>
      <c r="M66" s="326"/>
      <c r="N66" s="326"/>
      <c r="O66" s="326"/>
      <c r="P66" s="326"/>
      <c r="Q66" s="326"/>
      <c r="R66" s="326"/>
      <c r="S66" s="326"/>
      <c r="T66" s="326"/>
      <c r="U66" s="326"/>
      <c r="V66" s="326"/>
      <c r="W66" s="326"/>
      <c r="X66" s="326"/>
      <c r="Y66" s="326"/>
      <c r="Z66" s="326"/>
      <c r="AA66" s="326"/>
    </row>
    <row r="67" spans="1:27" ht="38.25">
      <c r="A67" s="326"/>
      <c r="B67" s="326"/>
      <c r="C67" s="326" t="str">
        <f ca="1">IFERROR(__xludf.DUMMYFUNCTION("""COMPUTED_VALUE"""),"Brother Genuine Ink BT5000M")</f>
        <v>Brother Genuine Ink BT5000M</v>
      </c>
      <c r="D67" s="328" t="s">
        <v>2827</v>
      </c>
      <c r="E67" s="326"/>
      <c r="F67" s="326"/>
      <c r="G67" s="326"/>
      <c r="H67" s="326"/>
      <c r="I67" s="326"/>
      <c r="J67" s="326"/>
      <c r="K67" s="326"/>
      <c r="L67" s="326"/>
      <c r="M67" s="326"/>
      <c r="N67" s="326"/>
      <c r="O67" s="326"/>
      <c r="P67" s="326"/>
      <c r="Q67" s="326"/>
      <c r="R67" s="326"/>
      <c r="S67" s="326"/>
      <c r="T67" s="326"/>
      <c r="U67" s="326"/>
      <c r="V67" s="326"/>
      <c r="W67" s="326"/>
      <c r="X67" s="326"/>
      <c r="Y67" s="326"/>
      <c r="Z67" s="326"/>
      <c r="AA67" s="326"/>
    </row>
    <row r="68" spans="1:27" ht="38.25">
      <c r="A68" s="326"/>
      <c r="B68" s="326"/>
      <c r="C68" s="326" t="str">
        <f ca="1">IFERROR(__xludf.DUMMYFUNCTION("""COMPUTED_VALUE"""),"Brother Genuine Ink BT5000Y")</f>
        <v>Brother Genuine Ink BT5000Y</v>
      </c>
      <c r="D68" s="328" t="s">
        <v>2828</v>
      </c>
      <c r="E68" s="326"/>
      <c r="F68" s="326"/>
      <c r="G68" s="326"/>
      <c r="H68" s="326"/>
      <c r="I68" s="326"/>
      <c r="J68" s="326"/>
      <c r="K68" s="326"/>
      <c r="L68" s="326"/>
      <c r="M68" s="326"/>
      <c r="N68" s="326"/>
      <c r="O68" s="326"/>
      <c r="P68" s="326"/>
      <c r="Q68" s="326"/>
      <c r="R68" s="326"/>
      <c r="S68" s="326"/>
      <c r="T68" s="326"/>
      <c r="U68" s="326"/>
      <c r="V68" s="326"/>
      <c r="W68" s="326"/>
      <c r="X68" s="326"/>
      <c r="Y68" s="326"/>
      <c r="Z68" s="326"/>
      <c r="AA68" s="326"/>
    </row>
    <row r="69" spans="1:27" ht="38.25">
      <c r="A69" s="326"/>
      <c r="B69" s="326"/>
      <c r="C69" s="326" t="str">
        <f ca="1">IFERROR(__xludf.DUMMYFUNCTION("""COMPUTED_VALUE"""),"Brother Genuine Ink BT6000BK")</f>
        <v>Brother Genuine Ink BT6000BK</v>
      </c>
      <c r="D69" s="328" t="s">
        <v>2829</v>
      </c>
      <c r="E69" s="326"/>
      <c r="F69" s="326"/>
      <c r="G69" s="326"/>
      <c r="H69" s="326"/>
      <c r="I69" s="326"/>
      <c r="J69" s="326"/>
      <c r="K69" s="326"/>
      <c r="L69" s="326"/>
      <c r="M69" s="326"/>
      <c r="N69" s="326"/>
      <c r="O69" s="326"/>
      <c r="P69" s="326"/>
      <c r="Q69" s="326"/>
      <c r="R69" s="326"/>
      <c r="S69" s="326"/>
      <c r="T69" s="326"/>
      <c r="U69" s="326"/>
      <c r="V69" s="326"/>
      <c r="W69" s="326"/>
      <c r="X69" s="326"/>
      <c r="Y69" s="326"/>
      <c r="Z69" s="326"/>
      <c r="AA69" s="326"/>
    </row>
    <row r="70" spans="1:27" ht="102">
      <c r="A70" s="326"/>
      <c r="B70" s="326"/>
      <c r="C70" s="326" t="str">
        <f ca="1">IFERROR(__xludf.DUMMYFUNCTION("""COMPUTED_VALUE"""),"CAT 6 Cable, U/UTP, Indoor 305 meters")</f>
        <v>CAT 6 Cable, U/UTP, Indoor 305 meters</v>
      </c>
      <c r="D70" s="328" t="s">
        <v>281</v>
      </c>
      <c r="E70" s="326"/>
      <c r="F70" s="326"/>
      <c r="G70" s="326"/>
      <c r="H70" s="326"/>
      <c r="I70" s="326"/>
      <c r="J70" s="326"/>
      <c r="K70" s="326"/>
      <c r="L70" s="326"/>
      <c r="M70" s="326"/>
      <c r="N70" s="326"/>
      <c r="O70" s="326"/>
      <c r="P70" s="326"/>
      <c r="Q70" s="326"/>
      <c r="R70" s="326"/>
      <c r="S70" s="326"/>
      <c r="T70" s="326"/>
      <c r="U70" s="326"/>
      <c r="V70" s="326"/>
      <c r="W70" s="326"/>
      <c r="X70" s="326"/>
      <c r="Y70" s="326"/>
      <c r="Z70" s="326"/>
      <c r="AA70" s="326"/>
    </row>
    <row r="71" spans="1:27" ht="51">
      <c r="A71" s="326"/>
      <c r="B71" s="326"/>
      <c r="C71" s="326" t="str">
        <f ca="1">IFERROR(__xludf.DUMMYFUNCTION("""COMPUTED_VALUE"""),"CAT6 Cable, UTP, OUTDOOR 305 meters (Pure Copper)")</f>
        <v>CAT6 Cable, UTP, OUTDOOR 305 meters (Pure Copper)</v>
      </c>
      <c r="D71" s="328" t="s">
        <v>2830</v>
      </c>
      <c r="E71" s="326"/>
      <c r="F71" s="326"/>
      <c r="G71" s="326"/>
      <c r="H71" s="326"/>
      <c r="I71" s="326"/>
      <c r="J71" s="326"/>
      <c r="K71" s="326"/>
      <c r="L71" s="326"/>
      <c r="M71" s="326"/>
      <c r="N71" s="326"/>
      <c r="O71" s="326"/>
      <c r="P71" s="326"/>
      <c r="Q71" s="326"/>
      <c r="R71" s="326"/>
      <c r="S71" s="326"/>
      <c r="T71" s="326"/>
      <c r="U71" s="326"/>
      <c r="V71" s="326"/>
      <c r="W71" s="326"/>
      <c r="X71" s="326"/>
      <c r="Y71" s="326"/>
      <c r="Z71" s="326"/>
      <c r="AA71" s="326"/>
    </row>
    <row r="72" spans="1:27" ht="76.5">
      <c r="A72" s="326"/>
      <c r="B72" s="326"/>
      <c r="C72" s="326" t="str">
        <f ca="1">IFERROR(__xludf.DUMMYFUNCTION("""COMPUTED_VALUE"""),"CAT6/CAT5e Tool-Less Keystone Jack; High Quality")</f>
        <v>CAT6/CAT5e Tool-Less Keystone Jack; High Quality</v>
      </c>
      <c r="D72" s="328" t="s">
        <v>286</v>
      </c>
      <c r="E72" s="326"/>
      <c r="F72" s="326"/>
      <c r="G72" s="326"/>
      <c r="H72" s="326"/>
      <c r="I72" s="326"/>
      <c r="J72" s="326"/>
      <c r="K72" s="326"/>
      <c r="L72" s="326"/>
      <c r="M72" s="326"/>
      <c r="N72" s="326"/>
      <c r="O72" s="326"/>
      <c r="P72" s="326"/>
      <c r="Q72" s="326"/>
      <c r="R72" s="326"/>
      <c r="S72" s="326"/>
      <c r="T72" s="326"/>
      <c r="U72" s="326"/>
      <c r="V72" s="326"/>
      <c r="W72" s="326"/>
      <c r="X72" s="326"/>
      <c r="Y72" s="326"/>
      <c r="Z72" s="326"/>
      <c r="AA72" s="326"/>
    </row>
    <row r="73" spans="1:27" ht="38.25">
      <c r="A73" s="326"/>
      <c r="B73" s="326"/>
      <c r="C73" s="326" t="str">
        <f ca="1">IFERROR(__xludf.DUMMYFUNCTION("""COMPUTED_VALUE"""),"CCTV Outdoor Junction Box 100x100x70mm")</f>
        <v>CCTV Outdoor Junction Box 100x100x70mm</v>
      </c>
      <c r="D73" s="328" t="s">
        <v>2831</v>
      </c>
      <c r="E73" s="326"/>
      <c r="F73" s="326"/>
      <c r="G73" s="326"/>
      <c r="H73" s="326"/>
      <c r="I73" s="326"/>
      <c r="J73" s="326"/>
      <c r="K73" s="326"/>
      <c r="L73" s="326"/>
      <c r="M73" s="326"/>
      <c r="N73" s="326"/>
      <c r="O73" s="326"/>
      <c r="P73" s="326"/>
      <c r="Q73" s="326"/>
      <c r="R73" s="326"/>
      <c r="S73" s="326"/>
      <c r="T73" s="326"/>
      <c r="U73" s="326"/>
      <c r="V73" s="326"/>
      <c r="W73" s="326"/>
      <c r="X73" s="326"/>
      <c r="Y73" s="326"/>
      <c r="Z73" s="326"/>
      <c r="AA73" s="326"/>
    </row>
    <row r="74" spans="1:27" ht="25.5">
      <c r="A74" s="326"/>
      <c r="B74" s="326"/>
      <c r="C74" s="326" t="str">
        <f ca="1">IFERROR(__xludf.DUMMYFUNCTION("""COMPUTED_VALUE"""),"Cellphone (Android)")</f>
        <v>Cellphone (Android)</v>
      </c>
      <c r="D74" s="328" t="s">
        <v>2832</v>
      </c>
      <c r="E74" s="326"/>
      <c r="F74" s="326"/>
      <c r="G74" s="326"/>
      <c r="H74" s="326"/>
      <c r="I74" s="326"/>
      <c r="J74" s="326"/>
      <c r="K74" s="326"/>
      <c r="L74" s="326"/>
      <c r="M74" s="326"/>
      <c r="N74" s="326"/>
      <c r="O74" s="326"/>
      <c r="P74" s="326"/>
      <c r="Q74" s="326"/>
      <c r="R74" s="326"/>
      <c r="S74" s="326"/>
      <c r="T74" s="326"/>
      <c r="U74" s="326"/>
      <c r="V74" s="326"/>
      <c r="W74" s="326"/>
      <c r="X74" s="326"/>
      <c r="Y74" s="326"/>
      <c r="Z74" s="326"/>
      <c r="AA74" s="326"/>
    </row>
    <row r="75" spans="1:27" ht="63.75">
      <c r="A75" s="326"/>
      <c r="B75" s="326"/>
      <c r="C75" s="326" t="str">
        <f ca="1">IFERROR(__xludf.DUMMYFUNCTION("""COMPUTED_VALUE"""),"Collapsible Hand Truck")</f>
        <v>Collapsible Hand Truck</v>
      </c>
      <c r="D75" s="328" t="s">
        <v>2833</v>
      </c>
      <c r="E75" s="326"/>
      <c r="F75" s="326"/>
      <c r="G75" s="326"/>
      <c r="H75" s="326"/>
      <c r="I75" s="326"/>
      <c r="J75" s="326"/>
      <c r="K75" s="326"/>
      <c r="L75" s="326"/>
      <c r="M75" s="326"/>
      <c r="N75" s="326"/>
      <c r="O75" s="326"/>
      <c r="P75" s="326"/>
      <c r="Q75" s="326"/>
      <c r="R75" s="326"/>
      <c r="S75" s="326"/>
      <c r="T75" s="326"/>
      <c r="U75" s="326"/>
      <c r="V75" s="326"/>
      <c r="W75" s="326"/>
      <c r="X75" s="326"/>
      <c r="Y75" s="326"/>
      <c r="Z75" s="326"/>
      <c r="AA75" s="326"/>
    </row>
    <row r="76" spans="1:27" ht="38.25">
      <c r="A76" s="326"/>
      <c r="B76" s="326"/>
      <c r="C76" s="326" t="str">
        <f ca="1">IFERROR(__xludf.DUMMYFUNCTION("""COMPUTED_VALUE"""),"Colored Toner Cartridge Set for the existing ECOSYS M5521CDW")</f>
        <v>Colored Toner Cartridge Set for the existing ECOSYS M5521CDW</v>
      </c>
      <c r="D76" s="328" t="s">
        <v>2834</v>
      </c>
      <c r="E76" s="326"/>
      <c r="F76" s="326"/>
      <c r="G76" s="326"/>
      <c r="H76" s="326"/>
      <c r="I76" s="326"/>
      <c r="J76" s="326"/>
      <c r="K76" s="326"/>
      <c r="L76" s="326"/>
      <c r="M76" s="326"/>
      <c r="N76" s="326"/>
      <c r="O76" s="326"/>
      <c r="P76" s="326"/>
      <c r="Q76" s="326"/>
      <c r="R76" s="326"/>
      <c r="S76" s="326"/>
      <c r="T76" s="326"/>
      <c r="U76" s="326"/>
      <c r="V76" s="326"/>
      <c r="W76" s="326"/>
      <c r="X76" s="326"/>
      <c r="Y76" s="326"/>
      <c r="Z76" s="326"/>
      <c r="AA76" s="326"/>
    </row>
    <row r="77" spans="1:27" ht="38.25">
      <c r="A77" s="326"/>
      <c r="B77" s="326"/>
      <c r="C77" s="326" t="str">
        <f ca="1">IFERROR(__xludf.DUMMYFUNCTION("""COMPUTED_VALUE"""),"Colored Toner Cartridge Set for the existing ECOSYS M8124CIDN")</f>
        <v>Colored Toner Cartridge Set for the existing ECOSYS M8124CIDN</v>
      </c>
      <c r="D77" s="328" t="s">
        <v>2835</v>
      </c>
      <c r="E77" s="326"/>
      <c r="F77" s="326"/>
      <c r="G77" s="326"/>
      <c r="H77" s="326"/>
      <c r="I77" s="326"/>
      <c r="J77" s="326"/>
      <c r="K77" s="326"/>
      <c r="L77" s="326"/>
      <c r="M77" s="326"/>
      <c r="N77" s="326"/>
      <c r="O77" s="326"/>
      <c r="P77" s="326"/>
      <c r="Q77" s="326"/>
      <c r="R77" s="326"/>
      <c r="S77" s="326"/>
      <c r="T77" s="326"/>
      <c r="U77" s="326"/>
      <c r="V77" s="326"/>
      <c r="W77" s="326"/>
      <c r="X77" s="326"/>
      <c r="Y77" s="326"/>
      <c r="Z77" s="326"/>
      <c r="AA77" s="326"/>
    </row>
    <row r="78" spans="1:27" ht="38.25">
      <c r="A78" s="326"/>
      <c r="B78" s="326"/>
      <c r="C78" s="326" t="str">
        <f ca="1">IFERROR(__xludf.DUMMYFUNCTION("""COMPUTED_VALUE"""),"Colored Toner Cartridge Set for the existing ECOSYS P6230CDN")</f>
        <v>Colored Toner Cartridge Set for the existing ECOSYS P6230CDN</v>
      </c>
      <c r="D78" s="328" t="s">
        <v>2836</v>
      </c>
      <c r="E78" s="326"/>
      <c r="F78" s="326"/>
      <c r="G78" s="326"/>
      <c r="H78" s="326"/>
      <c r="I78" s="326"/>
      <c r="J78" s="326"/>
      <c r="K78" s="326"/>
      <c r="L78" s="326"/>
      <c r="M78" s="326"/>
      <c r="N78" s="326"/>
      <c r="O78" s="326"/>
      <c r="P78" s="326"/>
      <c r="Q78" s="326"/>
      <c r="R78" s="326"/>
      <c r="S78" s="326"/>
      <c r="T78" s="326"/>
      <c r="U78" s="326"/>
      <c r="V78" s="326"/>
      <c r="W78" s="326"/>
      <c r="X78" s="326"/>
      <c r="Y78" s="326"/>
      <c r="Z78" s="326"/>
      <c r="AA78" s="326"/>
    </row>
    <row r="79" spans="1:27" ht="114.75">
      <c r="A79" s="326"/>
      <c r="B79" s="326"/>
      <c r="C79" s="326" t="str">
        <f ca="1">IFERROR(__xludf.DUMMYFUNCTION("""COMPUTED_VALUE"""),"Cordless Blower 18V")</f>
        <v>Cordless Blower 18V</v>
      </c>
      <c r="D79" s="328" t="s">
        <v>2837</v>
      </c>
      <c r="E79" s="326"/>
      <c r="F79" s="326"/>
      <c r="G79" s="326"/>
      <c r="H79" s="326"/>
      <c r="I79" s="326"/>
      <c r="J79" s="326"/>
      <c r="K79" s="326"/>
      <c r="L79" s="326"/>
      <c r="M79" s="326"/>
      <c r="N79" s="326"/>
      <c r="O79" s="326"/>
      <c r="P79" s="326"/>
      <c r="Q79" s="326"/>
      <c r="R79" s="326"/>
      <c r="S79" s="326"/>
      <c r="T79" s="326"/>
      <c r="U79" s="326"/>
      <c r="V79" s="326"/>
      <c r="W79" s="326"/>
      <c r="X79" s="326"/>
      <c r="Y79" s="326"/>
      <c r="Z79" s="326"/>
      <c r="AA79" s="326"/>
    </row>
    <row r="80" spans="1:27" ht="102">
      <c r="A80" s="326"/>
      <c r="B80" s="326"/>
      <c r="C80" s="326" t="str">
        <f ca="1">IFERROR(__xludf.DUMMYFUNCTION("""COMPUTED_VALUE"""),"Cordless Screwdriver Kit Set")</f>
        <v>Cordless Screwdriver Kit Set</v>
      </c>
      <c r="D80" s="328" t="s">
        <v>2838</v>
      </c>
      <c r="E80" s="326"/>
      <c r="F80" s="326"/>
      <c r="G80" s="326"/>
      <c r="H80" s="326"/>
      <c r="I80" s="326"/>
      <c r="J80" s="326"/>
      <c r="K80" s="326"/>
      <c r="L80" s="326"/>
      <c r="M80" s="326"/>
      <c r="N80" s="326"/>
      <c r="O80" s="326"/>
      <c r="P80" s="326"/>
      <c r="Q80" s="326"/>
      <c r="R80" s="326"/>
      <c r="S80" s="326"/>
      <c r="T80" s="326"/>
      <c r="U80" s="326"/>
      <c r="V80" s="326"/>
      <c r="W80" s="326"/>
      <c r="X80" s="326"/>
      <c r="Y80" s="326"/>
      <c r="Z80" s="326"/>
      <c r="AA80" s="326"/>
    </row>
    <row r="81" spans="1:27" ht="63.75">
      <c r="A81" s="326"/>
      <c r="B81" s="326"/>
      <c r="C81" s="326" t="str">
        <f ca="1">IFERROR(__xludf.DUMMYFUNCTION("""COMPUTED_VALUE"""),"Desktop Gooseneck Condenser Microphone")</f>
        <v>Desktop Gooseneck Condenser Microphone</v>
      </c>
      <c r="D81" s="328" t="s">
        <v>2839</v>
      </c>
      <c r="E81" s="326"/>
      <c r="F81" s="326"/>
      <c r="G81" s="326"/>
      <c r="H81" s="326"/>
      <c r="I81" s="326"/>
      <c r="J81" s="326"/>
      <c r="K81" s="326"/>
      <c r="L81" s="326"/>
      <c r="M81" s="326"/>
      <c r="N81" s="326"/>
      <c r="O81" s="326"/>
      <c r="P81" s="326"/>
      <c r="Q81" s="326"/>
      <c r="R81" s="326"/>
      <c r="S81" s="326"/>
      <c r="T81" s="326"/>
      <c r="U81" s="326"/>
      <c r="V81" s="326"/>
      <c r="W81" s="326"/>
      <c r="X81" s="326"/>
      <c r="Y81" s="326"/>
      <c r="Z81" s="326"/>
      <c r="AA81" s="326"/>
    </row>
    <row r="82" spans="1:27" ht="204">
      <c r="A82" s="326"/>
      <c r="B82" s="326"/>
      <c r="C82" s="326" t="str">
        <f ca="1">IFERROR(__xludf.DUMMYFUNCTION("""COMPUTED_VALUE"""),"Dot Matrix Printer 24-Pin")</f>
        <v>Dot Matrix Printer 24-Pin</v>
      </c>
      <c r="D82" s="328" t="s">
        <v>2840</v>
      </c>
      <c r="E82" s="326"/>
      <c r="F82" s="326"/>
      <c r="G82" s="326"/>
      <c r="H82" s="326"/>
      <c r="I82" s="326"/>
      <c r="J82" s="326"/>
      <c r="K82" s="326"/>
      <c r="L82" s="326"/>
      <c r="M82" s="326"/>
      <c r="N82" s="326"/>
      <c r="O82" s="326"/>
      <c r="P82" s="326"/>
      <c r="Q82" s="326"/>
      <c r="R82" s="326"/>
      <c r="S82" s="326"/>
      <c r="T82" s="326"/>
      <c r="U82" s="326"/>
      <c r="V82" s="326"/>
      <c r="W82" s="326"/>
      <c r="X82" s="326"/>
      <c r="Y82" s="326"/>
      <c r="Z82" s="326"/>
      <c r="AA82" s="326"/>
    </row>
    <row r="83" spans="1:27" ht="38.25">
      <c r="A83" s="326"/>
      <c r="B83" s="326"/>
      <c r="C83" s="326" t="str">
        <f ca="1">IFERROR(__xludf.DUMMYFUNCTION("""COMPUTED_VALUE"""),"Epson Genuine Ink (003) Black")</f>
        <v>Epson Genuine Ink (003) Black</v>
      </c>
      <c r="D83" s="328" t="s">
        <v>2841</v>
      </c>
      <c r="E83" s="326"/>
      <c r="F83" s="326"/>
      <c r="G83" s="326"/>
      <c r="H83" s="326"/>
      <c r="I83" s="326"/>
      <c r="J83" s="326"/>
      <c r="K83" s="326"/>
      <c r="L83" s="326"/>
      <c r="M83" s="326"/>
      <c r="N83" s="326"/>
      <c r="O83" s="326"/>
      <c r="P83" s="326"/>
      <c r="Q83" s="326"/>
      <c r="R83" s="326"/>
      <c r="S83" s="326"/>
      <c r="T83" s="326"/>
      <c r="U83" s="326"/>
      <c r="V83" s="326"/>
      <c r="W83" s="326"/>
      <c r="X83" s="326"/>
      <c r="Y83" s="326"/>
      <c r="Z83" s="326"/>
      <c r="AA83" s="326"/>
    </row>
    <row r="84" spans="1:27" ht="38.25">
      <c r="A84" s="326"/>
      <c r="B84" s="326"/>
      <c r="C84" s="326" t="str">
        <f ca="1">IFERROR(__xludf.DUMMYFUNCTION("""COMPUTED_VALUE"""),"Epson Genuine Ink (003) Cyan")</f>
        <v>Epson Genuine Ink (003) Cyan</v>
      </c>
      <c r="D84" s="328" t="s">
        <v>2842</v>
      </c>
      <c r="E84" s="326"/>
      <c r="F84" s="326"/>
      <c r="G84" s="326"/>
      <c r="H84" s="326"/>
      <c r="I84" s="326"/>
      <c r="J84" s="326"/>
      <c r="K84" s="326"/>
      <c r="L84" s="326"/>
      <c r="M84" s="326"/>
      <c r="N84" s="326"/>
      <c r="O84" s="326"/>
      <c r="P84" s="326"/>
      <c r="Q84" s="326"/>
      <c r="R84" s="326"/>
      <c r="S84" s="326"/>
      <c r="T84" s="326"/>
      <c r="U84" s="326"/>
      <c r="V84" s="326"/>
      <c r="W84" s="326"/>
      <c r="X84" s="326"/>
      <c r="Y84" s="326"/>
      <c r="Z84" s="326"/>
      <c r="AA84" s="326"/>
    </row>
    <row r="85" spans="1:27" ht="12.75">
      <c r="A85" s="326"/>
      <c r="B85" s="326"/>
      <c r="C85" s="326" t="str">
        <f ca="1">IFERROR(__xludf.DUMMYFUNCTION("""COMPUTED_VALUE"""),"Epson Genuine Ink (003) Magenta")</f>
        <v>Epson Genuine Ink (003) Magenta</v>
      </c>
      <c r="D85" s="326" t="s">
        <v>2843</v>
      </c>
      <c r="E85" s="326"/>
      <c r="F85" s="326"/>
      <c r="G85" s="326"/>
      <c r="H85" s="326"/>
      <c r="I85" s="326"/>
      <c r="J85" s="326"/>
      <c r="K85" s="326"/>
      <c r="L85" s="326"/>
      <c r="M85" s="326"/>
      <c r="N85" s="326"/>
      <c r="O85" s="326"/>
      <c r="P85" s="326"/>
      <c r="Q85" s="326"/>
      <c r="R85" s="326"/>
      <c r="S85" s="326"/>
      <c r="T85" s="326"/>
      <c r="U85" s="326"/>
      <c r="V85" s="326"/>
      <c r="W85" s="326"/>
      <c r="X85" s="326"/>
      <c r="Y85" s="326"/>
      <c r="Z85" s="326"/>
      <c r="AA85" s="326"/>
    </row>
    <row r="86" spans="1:27" ht="38.25">
      <c r="A86" s="326"/>
      <c r="B86" s="326"/>
      <c r="C86" s="326" t="str">
        <f ca="1">IFERROR(__xludf.DUMMYFUNCTION("""COMPUTED_VALUE"""),"Epson Genuine Ink (003) Yellow")</f>
        <v>Epson Genuine Ink (003) Yellow</v>
      </c>
      <c r="D86" s="328" t="s">
        <v>2844</v>
      </c>
      <c r="E86" s="326"/>
      <c r="F86" s="326"/>
      <c r="G86" s="326"/>
      <c r="H86" s="326"/>
      <c r="I86" s="326"/>
      <c r="J86" s="326"/>
      <c r="K86" s="326"/>
      <c r="L86" s="326"/>
      <c r="M86" s="326"/>
      <c r="N86" s="326"/>
      <c r="O86" s="326"/>
      <c r="P86" s="326"/>
      <c r="Q86" s="326"/>
      <c r="R86" s="326"/>
      <c r="S86" s="326"/>
      <c r="T86" s="326"/>
      <c r="U86" s="326"/>
      <c r="V86" s="326"/>
      <c r="W86" s="326"/>
      <c r="X86" s="326"/>
      <c r="Y86" s="326"/>
      <c r="Z86" s="326"/>
      <c r="AA86" s="326"/>
    </row>
    <row r="87" spans="1:27" ht="38.25">
      <c r="A87" s="326"/>
      <c r="B87" s="326"/>
      <c r="C87" s="326" t="str">
        <f ca="1">IFERROR(__xludf.DUMMYFUNCTION("""COMPUTED_VALUE"""),"Epson Genuine Ink T6641 Black")</f>
        <v>Epson Genuine Ink T6641 Black</v>
      </c>
      <c r="D87" s="328" t="s">
        <v>2845</v>
      </c>
      <c r="E87" s="326"/>
      <c r="F87" s="326"/>
      <c r="G87" s="326"/>
      <c r="H87" s="326"/>
      <c r="I87" s="326"/>
      <c r="J87" s="326"/>
      <c r="K87" s="326"/>
      <c r="L87" s="326"/>
      <c r="M87" s="326"/>
      <c r="N87" s="326"/>
      <c r="O87" s="326"/>
      <c r="P87" s="326"/>
      <c r="Q87" s="326"/>
      <c r="R87" s="326"/>
      <c r="S87" s="326"/>
      <c r="T87" s="326"/>
      <c r="U87" s="326"/>
      <c r="V87" s="326"/>
      <c r="W87" s="326"/>
      <c r="X87" s="326"/>
      <c r="Y87" s="326"/>
      <c r="Z87" s="326"/>
      <c r="AA87" s="326"/>
    </row>
    <row r="88" spans="1:27" ht="38.25">
      <c r="A88" s="326"/>
      <c r="B88" s="326"/>
      <c r="C88" s="326" t="str">
        <f ca="1">IFERROR(__xludf.DUMMYFUNCTION("""COMPUTED_VALUE"""),"Epson Genuine Ink T6642 Cyan")</f>
        <v>Epson Genuine Ink T6642 Cyan</v>
      </c>
      <c r="D88" s="328" t="s">
        <v>2846</v>
      </c>
      <c r="E88" s="326"/>
      <c r="F88" s="326"/>
      <c r="G88" s="326"/>
      <c r="H88" s="326"/>
      <c r="I88" s="326"/>
      <c r="J88" s="326"/>
      <c r="K88" s="326"/>
      <c r="L88" s="326"/>
      <c r="M88" s="326"/>
      <c r="N88" s="326"/>
      <c r="O88" s="326"/>
      <c r="P88" s="326"/>
      <c r="Q88" s="326"/>
      <c r="R88" s="326"/>
      <c r="S88" s="326"/>
      <c r="T88" s="326"/>
      <c r="U88" s="326"/>
      <c r="V88" s="326"/>
      <c r="W88" s="326"/>
      <c r="X88" s="326"/>
      <c r="Y88" s="326"/>
      <c r="Z88" s="326"/>
      <c r="AA88" s="326"/>
    </row>
    <row r="89" spans="1:27" ht="38.25">
      <c r="A89" s="326"/>
      <c r="B89" s="326"/>
      <c r="C89" s="326" t="str">
        <f ca="1">IFERROR(__xludf.DUMMYFUNCTION("""COMPUTED_VALUE"""),"Epson Genuine Ink T6643 Magenta")</f>
        <v>Epson Genuine Ink T6643 Magenta</v>
      </c>
      <c r="D89" s="328" t="s">
        <v>2847</v>
      </c>
      <c r="E89" s="326"/>
      <c r="F89" s="326"/>
      <c r="G89" s="326"/>
      <c r="H89" s="326"/>
      <c r="I89" s="326"/>
      <c r="J89" s="326"/>
      <c r="K89" s="326"/>
      <c r="L89" s="326"/>
      <c r="M89" s="326"/>
      <c r="N89" s="326"/>
      <c r="O89" s="326"/>
      <c r="P89" s="326"/>
      <c r="Q89" s="326"/>
      <c r="R89" s="326"/>
      <c r="S89" s="326"/>
      <c r="T89" s="326"/>
      <c r="U89" s="326"/>
      <c r="V89" s="326"/>
      <c r="W89" s="326"/>
      <c r="X89" s="326"/>
      <c r="Y89" s="326"/>
      <c r="Z89" s="326"/>
      <c r="AA89" s="326"/>
    </row>
    <row r="90" spans="1:27" ht="38.25">
      <c r="A90" s="326"/>
      <c r="B90" s="326"/>
      <c r="C90" s="326" t="str">
        <f ca="1">IFERROR(__xludf.DUMMYFUNCTION("""COMPUTED_VALUE"""),"Epson Genuine Ink T6644 Yellow")</f>
        <v>Epson Genuine Ink T6644 Yellow</v>
      </c>
      <c r="D90" s="328" t="s">
        <v>2848</v>
      </c>
      <c r="E90" s="326"/>
      <c r="F90" s="326"/>
      <c r="G90" s="326"/>
      <c r="H90" s="326"/>
      <c r="I90" s="326"/>
      <c r="J90" s="326"/>
      <c r="K90" s="326"/>
      <c r="L90" s="326"/>
      <c r="M90" s="326"/>
      <c r="N90" s="326"/>
      <c r="O90" s="326"/>
      <c r="P90" s="326"/>
      <c r="Q90" s="326"/>
      <c r="R90" s="326"/>
      <c r="S90" s="326"/>
      <c r="T90" s="326"/>
      <c r="U90" s="326"/>
      <c r="V90" s="326"/>
      <c r="W90" s="326"/>
      <c r="X90" s="326"/>
      <c r="Y90" s="326"/>
      <c r="Z90" s="326"/>
      <c r="AA90" s="326"/>
    </row>
    <row r="91" spans="1:27" ht="38.25">
      <c r="A91" s="326"/>
      <c r="B91" s="326"/>
      <c r="C91" s="326" t="str">
        <f ca="1">IFERROR(__xludf.DUMMYFUNCTION("""COMPUTED_VALUE"""),"Epson L Series Pickup Roller / feeder")</f>
        <v>Epson L Series Pickup Roller / feeder</v>
      </c>
      <c r="D91" s="328" t="s">
        <v>2849</v>
      </c>
      <c r="E91" s="326"/>
      <c r="F91" s="326"/>
      <c r="G91" s="326"/>
      <c r="H91" s="326"/>
      <c r="I91" s="326"/>
      <c r="J91" s="326"/>
      <c r="K91" s="326"/>
      <c r="L91" s="326"/>
      <c r="M91" s="326"/>
      <c r="N91" s="326"/>
      <c r="O91" s="326"/>
      <c r="P91" s="326"/>
      <c r="Q91" s="326"/>
      <c r="R91" s="326"/>
      <c r="S91" s="326"/>
      <c r="T91" s="326"/>
      <c r="U91" s="326"/>
      <c r="V91" s="326"/>
      <c r="W91" s="326"/>
      <c r="X91" s="326"/>
      <c r="Y91" s="326"/>
      <c r="Z91" s="326"/>
      <c r="AA91" s="326"/>
    </row>
    <row r="92" spans="1:27" ht="38.25">
      <c r="A92" s="326"/>
      <c r="B92" s="326"/>
      <c r="C92" s="326" t="str">
        <f ca="1">IFERROR(__xludf.DUMMYFUNCTION("""COMPUTED_VALUE"""),"EPSON LQ310 Ribbon Cartridge (SO15634)")</f>
        <v>EPSON LQ310 Ribbon Cartridge (SO15634)</v>
      </c>
      <c r="D92" s="328" t="s">
        <v>2850</v>
      </c>
      <c r="E92" s="326"/>
      <c r="F92" s="326"/>
      <c r="G92" s="326"/>
      <c r="H92" s="326"/>
      <c r="I92" s="326"/>
      <c r="J92" s="326"/>
      <c r="K92" s="326"/>
      <c r="L92" s="326"/>
      <c r="M92" s="326"/>
      <c r="N92" s="326"/>
      <c r="O92" s="326"/>
      <c r="P92" s="326"/>
      <c r="Q92" s="326"/>
      <c r="R92" s="326"/>
      <c r="S92" s="326"/>
      <c r="T92" s="326"/>
      <c r="U92" s="326"/>
      <c r="V92" s="326"/>
      <c r="W92" s="326"/>
      <c r="X92" s="326"/>
      <c r="Y92" s="326"/>
      <c r="Z92" s="326"/>
      <c r="AA92" s="326"/>
    </row>
    <row r="93" spans="1:27" ht="89.25">
      <c r="A93" s="326"/>
      <c r="B93" s="326"/>
      <c r="C93" s="326" t="str">
        <f ca="1">IFERROR(__xludf.DUMMYFUNCTION("""COMPUTED_VALUE"""),"Ergonomic Chair Design Metal Base")</f>
        <v>Ergonomic Chair Design Metal Base</v>
      </c>
      <c r="D93" s="328" t="s">
        <v>2851</v>
      </c>
      <c r="E93" s="326"/>
      <c r="F93" s="326"/>
      <c r="G93" s="326"/>
      <c r="H93" s="326"/>
      <c r="I93" s="326"/>
      <c r="J93" s="326"/>
      <c r="K93" s="326"/>
      <c r="L93" s="326"/>
      <c r="M93" s="326"/>
      <c r="N93" s="326"/>
      <c r="O93" s="326"/>
      <c r="P93" s="326"/>
      <c r="Q93" s="326"/>
      <c r="R93" s="326"/>
      <c r="S93" s="326"/>
      <c r="T93" s="326"/>
      <c r="U93" s="326"/>
      <c r="V93" s="326"/>
      <c r="W93" s="326"/>
      <c r="X93" s="326"/>
      <c r="Y93" s="326"/>
      <c r="Z93" s="326"/>
      <c r="AA93" s="326"/>
    </row>
    <row r="94" spans="1:27" ht="51">
      <c r="A94" s="326"/>
      <c r="B94" s="326"/>
      <c r="C94" s="326" t="str">
        <f ca="1">IFERROR(__xludf.DUMMYFUNCTION("""COMPUTED_VALUE"""),"Extreme Instant Glue Gel 3g")</f>
        <v>Extreme Instant Glue Gel 3g</v>
      </c>
      <c r="D94" s="328" t="s">
        <v>2852</v>
      </c>
      <c r="E94" s="326"/>
      <c r="F94" s="326"/>
      <c r="G94" s="326"/>
      <c r="H94" s="326"/>
      <c r="I94" s="326"/>
      <c r="J94" s="326"/>
      <c r="K94" s="326"/>
      <c r="L94" s="326"/>
      <c r="M94" s="326"/>
      <c r="N94" s="326"/>
      <c r="O94" s="326"/>
      <c r="P94" s="326"/>
      <c r="Q94" s="326"/>
      <c r="R94" s="326"/>
      <c r="S94" s="326"/>
      <c r="T94" s="326"/>
      <c r="U94" s="326"/>
      <c r="V94" s="326"/>
      <c r="W94" s="326"/>
      <c r="X94" s="326"/>
      <c r="Y94" s="326"/>
      <c r="Z94" s="326"/>
      <c r="AA94" s="326"/>
    </row>
    <row r="95" spans="1:27" ht="89.25">
      <c r="A95" s="326"/>
      <c r="B95" s="326"/>
      <c r="C95" s="326" t="str">
        <f ca="1">IFERROR(__xludf.DUMMYFUNCTION("""COMPUTED_VALUE"""),"Fiberglass Extension Ladder, (8-13 ft)")</f>
        <v>Fiberglass Extension Ladder, (8-13 ft)</v>
      </c>
      <c r="D95" s="328" t="s">
        <v>302</v>
      </c>
      <c r="E95" s="326"/>
      <c r="F95" s="326"/>
      <c r="G95" s="326"/>
      <c r="H95" s="326"/>
      <c r="I95" s="326"/>
      <c r="J95" s="326"/>
      <c r="K95" s="326"/>
      <c r="L95" s="326"/>
      <c r="M95" s="326"/>
      <c r="N95" s="326"/>
      <c r="O95" s="326"/>
      <c r="P95" s="326"/>
      <c r="Q95" s="326"/>
      <c r="R95" s="326"/>
      <c r="S95" s="326"/>
      <c r="T95" s="326"/>
      <c r="U95" s="326"/>
      <c r="V95" s="326"/>
      <c r="W95" s="326"/>
      <c r="X95" s="326"/>
      <c r="Y95" s="326"/>
      <c r="Z95" s="326"/>
      <c r="AA95" s="326"/>
    </row>
    <row r="96" spans="1:27" ht="38.25">
      <c r="A96" s="326"/>
      <c r="B96" s="326"/>
      <c r="C96" s="326" t="str">
        <f ca="1">IFERROR(__xludf.DUMMYFUNCTION("""COMPUTED_VALUE"""),"Flex cable set compatible for printer")</f>
        <v>Flex cable set compatible for printer</v>
      </c>
      <c r="D96" s="328" t="s">
        <v>2853</v>
      </c>
      <c r="E96" s="326"/>
      <c r="F96" s="326"/>
      <c r="G96" s="326"/>
      <c r="H96" s="326"/>
      <c r="I96" s="326"/>
      <c r="J96" s="326"/>
      <c r="K96" s="326"/>
      <c r="L96" s="326"/>
      <c r="M96" s="326"/>
      <c r="N96" s="326"/>
      <c r="O96" s="326"/>
      <c r="P96" s="326"/>
      <c r="Q96" s="326"/>
      <c r="R96" s="326"/>
      <c r="S96" s="326"/>
      <c r="T96" s="326"/>
      <c r="U96" s="326"/>
      <c r="V96" s="326"/>
      <c r="W96" s="326"/>
      <c r="X96" s="326"/>
      <c r="Y96" s="326"/>
      <c r="Z96" s="326"/>
      <c r="AA96" s="326"/>
    </row>
    <row r="97" spans="1:27" ht="38.25">
      <c r="A97" s="326"/>
      <c r="B97" s="326"/>
      <c r="C97" s="326" t="str">
        <f ca="1">IFERROR(__xludf.DUMMYFUNCTION("""COMPUTED_VALUE"""),"Foldable Platform Truck, 300kgs (Steel)")</f>
        <v>Foldable Platform Truck, 300kgs (Steel)</v>
      </c>
      <c r="D97" s="328" t="s">
        <v>2854</v>
      </c>
      <c r="E97" s="326"/>
      <c r="F97" s="326"/>
      <c r="G97" s="326"/>
      <c r="H97" s="326"/>
      <c r="I97" s="326"/>
      <c r="J97" s="326"/>
      <c r="K97" s="326"/>
      <c r="L97" s="326"/>
      <c r="M97" s="326"/>
      <c r="N97" s="326"/>
      <c r="O97" s="326"/>
      <c r="P97" s="326"/>
      <c r="Q97" s="326"/>
      <c r="R97" s="326"/>
      <c r="S97" s="326"/>
      <c r="T97" s="326"/>
      <c r="U97" s="326"/>
      <c r="V97" s="326"/>
      <c r="W97" s="326"/>
      <c r="X97" s="326"/>
      <c r="Y97" s="326"/>
      <c r="Z97" s="326"/>
      <c r="AA97" s="326"/>
    </row>
    <row r="98" spans="1:27" ht="51">
      <c r="A98" s="326"/>
      <c r="B98" s="326"/>
      <c r="C98" s="326" t="str">
        <f ca="1">IFERROR(__xludf.DUMMYFUNCTION("""COMPUTED_VALUE"""),"Gigabit PCI Express Network Adapter")</f>
        <v>Gigabit PCI Express Network Adapter</v>
      </c>
      <c r="D98" s="328" t="s">
        <v>2855</v>
      </c>
      <c r="E98" s="326"/>
      <c r="F98" s="326"/>
      <c r="G98" s="326"/>
      <c r="H98" s="326"/>
      <c r="I98" s="326"/>
      <c r="J98" s="326"/>
      <c r="K98" s="326"/>
      <c r="L98" s="326"/>
      <c r="M98" s="326"/>
      <c r="N98" s="326"/>
      <c r="O98" s="326"/>
      <c r="P98" s="326"/>
      <c r="Q98" s="326"/>
      <c r="R98" s="326"/>
      <c r="S98" s="326"/>
      <c r="T98" s="326"/>
      <c r="U98" s="326"/>
      <c r="V98" s="326"/>
      <c r="W98" s="326"/>
      <c r="X98" s="326"/>
      <c r="Y98" s="326"/>
      <c r="Z98" s="326"/>
      <c r="AA98" s="326"/>
    </row>
    <row r="99" spans="1:27" ht="25.5">
      <c r="A99" s="326"/>
      <c r="B99" s="326"/>
      <c r="C99" s="326" t="str">
        <f ca="1">IFERROR(__xludf.DUMMYFUNCTION("""COMPUTED_VALUE"""),"Hand-Held Radio dual band")</f>
        <v>Hand-Held Radio dual band</v>
      </c>
      <c r="D99" s="328" t="s">
        <v>2856</v>
      </c>
      <c r="E99" s="326"/>
      <c r="F99" s="326"/>
      <c r="G99" s="326"/>
      <c r="H99" s="326"/>
      <c r="I99" s="326"/>
      <c r="J99" s="326"/>
      <c r="K99" s="326"/>
      <c r="L99" s="326"/>
      <c r="M99" s="326"/>
      <c r="N99" s="326"/>
      <c r="O99" s="326"/>
      <c r="P99" s="326"/>
      <c r="Q99" s="326"/>
      <c r="R99" s="326"/>
      <c r="S99" s="326"/>
      <c r="T99" s="326"/>
      <c r="U99" s="326"/>
      <c r="V99" s="326"/>
      <c r="W99" s="326"/>
      <c r="X99" s="326"/>
      <c r="Y99" s="326"/>
      <c r="Z99" s="326"/>
      <c r="AA99" s="326"/>
    </row>
    <row r="100" spans="1:27" ht="51">
      <c r="A100" s="326"/>
      <c r="B100" s="326"/>
      <c r="C100" s="326" t="str">
        <f ca="1">IFERROR(__xludf.DUMMYFUNCTION("""COMPUTED_VALUE"""),"HDMI 2.0 Cable 4K 10m")</f>
        <v>HDMI 2.0 Cable 4K 10m</v>
      </c>
      <c r="D100" s="328" t="s">
        <v>2857</v>
      </c>
      <c r="E100" s="326"/>
      <c r="F100" s="326"/>
      <c r="G100" s="326"/>
      <c r="H100" s="326"/>
      <c r="I100" s="326"/>
      <c r="J100" s="326"/>
      <c r="K100" s="326"/>
      <c r="L100" s="326"/>
      <c r="M100" s="326"/>
      <c r="N100" s="326"/>
      <c r="O100" s="326"/>
      <c r="P100" s="326"/>
      <c r="Q100" s="326"/>
      <c r="R100" s="326"/>
      <c r="S100" s="326"/>
      <c r="T100" s="326"/>
      <c r="U100" s="326"/>
      <c r="V100" s="326"/>
      <c r="W100" s="326"/>
      <c r="X100" s="326"/>
      <c r="Y100" s="326"/>
      <c r="Z100" s="326"/>
      <c r="AA100" s="326"/>
    </row>
    <row r="101" spans="1:27" ht="51">
      <c r="A101" s="326"/>
      <c r="B101" s="326"/>
      <c r="C101" s="326" t="str">
        <f ca="1">IFERROR(__xludf.DUMMYFUNCTION("""COMPUTED_VALUE"""),"HDMI 2.0 Cable 4K 1m")</f>
        <v>HDMI 2.0 Cable 4K 1m</v>
      </c>
      <c r="D101" s="328" t="s">
        <v>2858</v>
      </c>
      <c r="E101" s="326"/>
      <c r="F101" s="326"/>
      <c r="G101" s="326"/>
      <c r="H101" s="326"/>
      <c r="I101" s="326"/>
      <c r="J101" s="326"/>
      <c r="K101" s="326"/>
      <c r="L101" s="326"/>
      <c r="M101" s="326"/>
      <c r="N101" s="326"/>
      <c r="O101" s="326"/>
      <c r="P101" s="326"/>
      <c r="Q101" s="326"/>
      <c r="R101" s="326"/>
      <c r="S101" s="326"/>
      <c r="T101" s="326"/>
      <c r="U101" s="326"/>
      <c r="V101" s="326"/>
      <c r="W101" s="326"/>
      <c r="X101" s="326"/>
      <c r="Y101" s="326"/>
      <c r="Z101" s="326"/>
      <c r="AA101" s="326"/>
    </row>
    <row r="102" spans="1:27" ht="25.5">
      <c r="A102" s="326"/>
      <c r="B102" s="326"/>
      <c r="C102" s="326" t="str">
        <f ca="1">IFERROR(__xludf.DUMMYFUNCTION("""COMPUTED_VALUE"""),"HP 107A Black Original Laser Toner Cartridge")</f>
        <v>HP 107A Black Original Laser Toner Cartridge</v>
      </c>
      <c r="D102" s="328" t="s">
        <v>2859</v>
      </c>
      <c r="E102" s="326"/>
      <c r="F102" s="326"/>
      <c r="G102" s="326"/>
      <c r="H102" s="326"/>
      <c r="I102" s="326"/>
      <c r="J102" s="326"/>
      <c r="K102" s="326"/>
      <c r="L102" s="326"/>
      <c r="M102" s="326"/>
      <c r="N102" s="326"/>
      <c r="O102" s="326"/>
      <c r="P102" s="326"/>
      <c r="Q102" s="326"/>
      <c r="R102" s="326"/>
      <c r="S102" s="326"/>
      <c r="T102" s="326"/>
      <c r="U102" s="326"/>
      <c r="V102" s="326"/>
      <c r="W102" s="326"/>
      <c r="X102" s="326"/>
      <c r="Y102" s="326"/>
      <c r="Z102" s="326"/>
      <c r="AA102" s="326"/>
    </row>
    <row r="103" spans="1:27" ht="38.25">
      <c r="A103" s="326"/>
      <c r="B103" s="326"/>
      <c r="C103" s="326" t="str">
        <f ca="1">IFERROR(__xludf.DUMMYFUNCTION("""COMPUTED_VALUE"""),"HP 17A Black Original LaserJet Toner Cartridge")</f>
        <v>HP 17A Black Original LaserJet Toner Cartridge</v>
      </c>
      <c r="D103" s="328" t="s">
        <v>2860</v>
      </c>
      <c r="E103" s="326"/>
      <c r="F103" s="326"/>
      <c r="G103" s="326"/>
      <c r="H103" s="326"/>
      <c r="I103" s="326"/>
      <c r="J103" s="326"/>
      <c r="K103" s="326"/>
      <c r="L103" s="326"/>
      <c r="M103" s="326"/>
      <c r="N103" s="326"/>
      <c r="O103" s="326"/>
      <c r="P103" s="326"/>
      <c r="Q103" s="326"/>
      <c r="R103" s="326"/>
      <c r="S103" s="326"/>
      <c r="T103" s="326"/>
      <c r="U103" s="326"/>
      <c r="V103" s="326"/>
      <c r="W103" s="326"/>
      <c r="X103" s="326"/>
      <c r="Y103" s="326"/>
      <c r="Z103" s="326"/>
      <c r="AA103" s="326"/>
    </row>
    <row r="104" spans="1:27" ht="25.5">
      <c r="A104" s="326"/>
      <c r="B104" s="326"/>
      <c r="C104" s="326" t="str">
        <f ca="1">IFERROR(__xludf.DUMMYFUNCTION("""COMPUTED_VALUE"""),"HP 680 Black Original Ink Advantage Cartridge")</f>
        <v>HP 680 Black Original Ink Advantage Cartridge</v>
      </c>
      <c r="D104" s="328" t="s">
        <v>2861</v>
      </c>
      <c r="E104" s="326"/>
      <c r="F104" s="326"/>
      <c r="G104" s="326"/>
      <c r="H104" s="326"/>
      <c r="I104" s="326"/>
      <c r="J104" s="326"/>
      <c r="K104" s="326"/>
      <c r="L104" s="326"/>
      <c r="M104" s="326"/>
      <c r="N104" s="326"/>
      <c r="O104" s="326"/>
      <c r="P104" s="326"/>
      <c r="Q104" s="326"/>
      <c r="R104" s="326"/>
      <c r="S104" s="326"/>
      <c r="T104" s="326"/>
      <c r="U104" s="326"/>
      <c r="V104" s="326"/>
      <c r="W104" s="326"/>
      <c r="X104" s="326"/>
      <c r="Y104" s="326"/>
      <c r="Z104" s="326"/>
      <c r="AA104" s="326"/>
    </row>
    <row r="105" spans="1:27" ht="25.5">
      <c r="A105" s="326"/>
      <c r="B105" s="326"/>
      <c r="C105" s="326" t="str">
        <f ca="1">IFERROR(__xludf.DUMMYFUNCTION("""COMPUTED_VALUE"""),"HP 680 Tri-Color Ink Cartridge")</f>
        <v>HP 680 Tri-Color Ink Cartridge</v>
      </c>
      <c r="D105" s="328" t="s">
        <v>2862</v>
      </c>
      <c r="E105" s="326"/>
      <c r="F105" s="326"/>
      <c r="G105" s="326"/>
      <c r="H105" s="326"/>
      <c r="I105" s="326"/>
      <c r="J105" s="326"/>
      <c r="K105" s="326"/>
      <c r="L105" s="326"/>
      <c r="M105" s="326"/>
      <c r="N105" s="326"/>
      <c r="O105" s="326"/>
      <c r="P105" s="326"/>
      <c r="Q105" s="326"/>
      <c r="R105" s="326"/>
      <c r="S105" s="326"/>
      <c r="T105" s="326"/>
      <c r="U105" s="326"/>
      <c r="V105" s="326"/>
      <c r="W105" s="326"/>
      <c r="X105" s="326"/>
      <c r="Y105" s="326"/>
      <c r="Z105" s="326"/>
      <c r="AA105" s="326"/>
    </row>
    <row r="106" spans="1:27" ht="38.25">
      <c r="A106" s="326"/>
      <c r="B106" s="326"/>
      <c r="C106" s="326" t="str">
        <f ca="1">IFERROR(__xludf.DUMMYFUNCTION("""COMPUTED_VALUE"""),"HP 85A Black Original LaserJet Toner Cartridge")</f>
        <v>HP 85A Black Original LaserJet Toner Cartridge</v>
      </c>
      <c r="D106" s="328" t="s">
        <v>2863</v>
      </c>
      <c r="E106" s="326"/>
      <c r="F106" s="326"/>
      <c r="G106" s="326"/>
      <c r="H106" s="326"/>
      <c r="I106" s="326"/>
      <c r="J106" s="326"/>
      <c r="K106" s="326"/>
      <c r="L106" s="326"/>
      <c r="M106" s="326"/>
      <c r="N106" s="326"/>
      <c r="O106" s="326"/>
      <c r="P106" s="326"/>
      <c r="Q106" s="326"/>
      <c r="R106" s="326"/>
      <c r="S106" s="326"/>
      <c r="T106" s="326"/>
      <c r="U106" s="326"/>
      <c r="V106" s="326"/>
      <c r="W106" s="326"/>
      <c r="X106" s="326"/>
      <c r="Y106" s="326"/>
      <c r="Z106" s="326"/>
      <c r="AA106" s="326"/>
    </row>
    <row r="107" spans="1:27" ht="38.25">
      <c r="A107" s="326"/>
      <c r="B107" s="326"/>
      <c r="C107" s="326" t="str">
        <f ca="1">IFERROR(__xludf.DUMMYFUNCTION("""COMPUTED_VALUE"""),"HP Genuine Ink Refill - (GT52) Cyan")</f>
        <v>HP Genuine Ink Refill - (GT52) Cyan</v>
      </c>
      <c r="D107" s="328" t="s">
        <v>2864</v>
      </c>
      <c r="E107" s="326"/>
      <c r="F107" s="326"/>
      <c r="G107" s="326"/>
      <c r="H107" s="326"/>
      <c r="I107" s="326"/>
      <c r="J107" s="326"/>
      <c r="K107" s="326"/>
      <c r="L107" s="326"/>
      <c r="M107" s="326"/>
      <c r="N107" s="326"/>
      <c r="O107" s="326"/>
      <c r="P107" s="326"/>
      <c r="Q107" s="326"/>
      <c r="R107" s="326"/>
      <c r="S107" s="326"/>
      <c r="T107" s="326"/>
      <c r="U107" s="326"/>
      <c r="V107" s="326"/>
      <c r="W107" s="326"/>
      <c r="X107" s="326"/>
      <c r="Y107" s="326"/>
      <c r="Z107" s="326"/>
      <c r="AA107" s="326"/>
    </row>
    <row r="108" spans="1:27" ht="38.25">
      <c r="A108" s="326"/>
      <c r="B108" s="326"/>
      <c r="C108" s="326" t="str">
        <f ca="1">IFERROR(__xludf.DUMMYFUNCTION("""COMPUTED_VALUE"""),"HP Genuine Ink Refill - (GT52) Magenta")</f>
        <v>HP Genuine Ink Refill - (GT52) Magenta</v>
      </c>
      <c r="D108" s="328" t="s">
        <v>2865</v>
      </c>
      <c r="E108" s="326"/>
      <c r="F108" s="326"/>
      <c r="G108" s="326"/>
      <c r="H108" s="326"/>
      <c r="I108" s="326"/>
      <c r="J108" s="326"/>
      <c r="K108" s="326"/>
      <c r="L108" s="326"/>
      <c r="M108" s="326"/>
      <c r="N108" s="326"/>
      <c r="O108" s="326"/>
      <c r="P108" s="326"/>
      <c r="Q108" s="326"/>
      <c r="R108" s="326"/>
      <c r="S108" s="326"/>
      <c r="T108" s="326"/>
      <c r="U108" s="326"/>
      <c r="V108" s="326"/>
      <c r="W108" s="326"/>
      <c r="X108" s="326"/>
      <c r="Y108" s="326"/>
      <c r="Z108" s="326"/>
      <c r="AA108" s="326"/>
    </row>
    <row r="109" spans="1:27" ht="38.25">
      <c r="A109" s="326"/>
      <c r="B109" s="326"/>
      <c r="C109" s="326" t="str">
        <f ca="1">IFERROR(__xludf.DUMMYFUNCTION("""COMPUTED_VALUE"""),"HP Genuine Ink Refill - (GT52) Yellow")</f>
        <v>HP Genuine Ink Refill - (GT52) Yellow</v>
      </c>
      <c r="D109" s="328" t="s">
        <v>2866</v>
      </c>
      <c r="E109" s="326"/>
      <c r="F109" s="326"/>
      <c r="G109" s="326"/>
      <c r="H109" s="326"/>
      <c r="I109" s="326"/>
      <c r="J109" s="326"/>
      <c r="K109" s="326"/>
      <c r="L109" s="326"/>
      <c r="M109" s="326"/>
      <c r="N109" s="326"/>
      <c r="O109" s="326"/>
      <c r="P109" s="326"/>
      <c r="Q109" s="326"/>
      <c r="R109" s="326"/>
      <c r="S109" s="326"/>
      <c r="T109" s="326"/>
      <c r="U109" s="326"/>
      <c r="V109" s="326"/>
      <c r="W109" s="326"/>
      <c r="X109" s="326"/>
      <c r="Y109" s="326"/>
      <c r="Z109" s="326"/>
      <c r="AA109" s="326"/>
    </row>
    <row r="110" spans="1:27" ht="12.75">
      <c r="A110" s="326"/>
      <c r="B110" s="326"/>
      <c r="C110" s="326" t="str">
        <f ca="1">IFERROR(__xludf.DUMMYFUNCTION("""COMPUTED_VALUE"""),"HP Genuine Ink Refill - (GT53) Black")</f>
        <v>HP Genuine Ink Refill - (GT53) Black</v>
      </c>
      <c r="D110" s="326" t="s">
        <v>2867</v>
      </c>
      <c r="E110" s="326"/>
      <c r="F110" s="326"/>
      <c r="G110" s="326"/>
      <c r="H110" s="326"/>
      <c r="I110" s="326"/>
      <c r="J110" s="326"/>
      <c r="K110" s="326"/>
      <c r="L110" s="326"/>
      <c r="M110" s="326"/>
      <c r="N110" s="326"/>
      <c r="O110" s="326"/>
      <c r="P110" s="326"/>
      <c r="Q110" s="326"/>
      <c r="R110" s="326"/>
      <c r="S110" s="326"/>
      <c r="T110" s="326"/>
      <c r="U110" s="326"/>
      <c r="V110" s="326"/>
      <c r="W110" s="326"/>
      <c r="X110" s="326"/>
      <c r="Y110" s="326"/>
      <c r="Z110" s="326"/>
      <c r="AA110" s="326"/>
    </row>
    <row r="111" spans="1:27" ht="51">
      <c r="A111" s="326"/>
      <c r="B111" s="326"/>
      <c r="C111" s="326" t="str">
        <f ca="1">IFERROR(__xludf.DUMMYFUNCTION("""COMPUTED_VALUE"""),"HP Printhead Black compatible with the existing HP Smart Tank 515")</f>
        <v>HP Printhead Black compatible with the existing HP Smart Tank 515</v>
      </c>
      <c r="D111" s="328" t="s">
        <v>2868</v>
      </c>
      <c r="E111" s="326"/>
      <c r="F111" s="326"/>
      <c r="G111" s="326"/>
      <c r="H111" s="326"/>
      <c r="I111" s="326"/>
      <c r="J111" s="326"/>
      <c r="K111" s="326"/>
      <c r="L111" s="326"/>
      <c r="M111" s="326"/>
      <c r="N111" s="326"/>
      <c r="O111" s="326"/>
      <c r="P111" s="326"/>
      <c r="Q111" s="326"/>
      <c r="R111" s="326"/>
      <c r="S111" s="326"/>
      <c r="T111" s="326"/>
      <c r="U111" s="326"/>
      <c r="V111" s="326"/>
      <c r="W111" s="326"/>
      <c r="X111" s="326"/>
      <c r="Y111" s="326"/>
      <c r="Z111" s="326"/>
      <c r="AA111" s="326"/>
    </row>
    <row r="112" spans="1:27" ht="51">
      <c r="A112" s="326"/>
      <c r="B112" s="326"/>
      <c r="C112" s="326" t="str">
        <f ca="1">IFERROR(__xludf.DUMMYFUNCTION("""COMPUTED_VALUE"""),"HP Printhead Tri-color compatible with the existing HP Smart Tank 515")</f>
        <v>HP Printhead Tri-color compatible with the existing HP Smart Tank 515</v>
      </c>
      <c r="D112" s="328" t="s">
        <v>2869</v>
      </c>
      <c r="E112" s="326"/>
      <c r="F112" s="326"/>
      <c r="G112" s="326"/>
      <c r="H112" s="326"/>
      <c r="I112" s="326"/>
      <c r="J112" s="326"/>
      <c r="K112" s="326"/>
      <c r="L112" s="326"/>
      <c r="M112" s="326"/>
      <c r="N112" s="326"/>
      <c r="O112" s="326"/>
      <c r="P112" s="326"/>
      <c r="Q112" s="326"/>
      <c r="R112" s="326"/>
      <c r="S112" s="326"/>
      <c r="T112" s="326"/>
      <c r="U112" s="326"/>
      <c r="V112" s="326"/>
      <c r="W112" s="326"/>
      <c r="X112" s="326"/>
      <c r="Y112" s="326"/>
      <c r="Z112" s="326"/>
      <c r="AA112" s="326"/>
    </row>
    <row r="113" spans="1:27" ht="89.25">
      <c r="A113" s="326"/>
      <c r="B113" s="326"/>
      <c r="C113" s="326" t="str">
        <f ca="1">IFERROR(__xludf.DUMMYFUNCTION("""COMPUTED_VALUE"""),"ID Card Printer Genuine Color Ribbon (650643)")</f>
        <v>ID Card Printer Genuine Color Ribbon (650643)</v>
      </c>
      <c r="D113" s="328" t="s">
        <v>2870</v>
      </c>
      <c r="E113" s="326"/>
      <c r="F113" s="326"/>
      <c r="G113" s="326"/>
      <c r="H113" s="326"/>
      <c r="I113" s="326"/>
      <c r="J113" s="326"/>
      <c r="K113" s="326"/>
      <c r="L113" s="326"/>
      <c r="M113" s="326"/>
      <c r="N113" s="326"/>
      <c r="O113" s="326"/>
      <c r="P113" s="326"/>
      <c r="Q113" s="326"/>
      <c r="R113" s="326"/>
      <c r="S113" s="326"/>
      <c r="T113" s="326"/>
      <c r="U113" s="326"/>
      <c r="V113" s="326"/>
      <c r="W113" s="326"/>
      <c r="X113" s="326"/>
      <c r="Y113" s="326"/>
      <c r="Z113" s="326"/>
      <c r="AA113" s="326"/>
    </row>
    <row r="114" spans="1:27" ht="89.25">
      <c r="A114" s="326"/>
      <c r="B114" s="326"/>
      <c r="C114" s="326" t="str">
        <f ca="1">IFERROR(__xludf.DUMMYFUNCTION("""COMPUTED_VALUE"""),"Ink Tank Printer")</f>
        <v>Ink Tank Printer</v>
      </c>
      <c r="D114" s="328" t="s">
        <v>2871</v>
      </c>
      <c r="E114" s="326"/>
      <c r="F114" s="326"/>
      <c r="G114" s="326"/>
      <c r="H114" s="326"/>
      <c r="I114" s="326"/>
      <c r="J114" s="326"/>
      <c r="K114" s="326"/>
      <c r="L114" s="326"/>
      <c r="M114" s="326"/>
      <c r="N114" s="326"/>
      <c r="O114" s="326"/>
      <c r="P114" s="326"/>
      <c r="Q114" s="326"/>
      <c r="R114" s="326"/>
      <c r="S114" s="326"/>
      <c r="T114" s="326"/>
      <c r="U114" s="326"/>
      <c r="V114" s="326"/>
      <c r="W114" s="326"/>
      <c r="X114" s="326"/>
      <c r="Y114" s="326"/>
      <c r="Z114" s="326"/>
      <c r="AA114" s="326"/>
    </row>
    <row r="115" spans="1:27" ht="51">
      <c r="A115" s="326"/>
      <c r="B115" s="326"/>
      <c r="C115" s="326" t="str">
        <f ca="1">IFERROR(__xludf.DUMMYFUNCTION("""COMPUTED_VALUE"""),"Keyboard, Full Size, USB 2.0")</f>
        <v>Keyboard, Full Size, USB 2.0</v>
      </c>
      <c r="D115" s="328" t="s">
        <v>2872</v>
      </c>
      <c r="E115" s="326"/>
      <c r="F115" s="326"/>
      <c r="G115" s="326"/>
      <c r="H115" s="326"/>
      <c r="I115" s="326"/>
      <c r="J115" s="326"/>
      <c r="K115" s="326"/>
      <c r="L115" s="326"/>
      <c r="M115" s="326"/>
      <c r="N115" s="326"/>
      <c r="O115" s="326"/>
      <c r="P115" s="326"/>
      <c r="Q115" s="326"/>
      <c r="R115" s="326"/>
      <c r="S115" s="326"/>
      <c r="T115" s="326"/>
      <c r="U115" s="326"/>
      <c r="V115" s="326"/>
      <c r="W115" s="326"/>
      <c r="X115" s="326"/>
      <c r="Y115" s="326"/>
      <c r="Z115" s="326"/>
      <c r="AA115" s="326"/>
    </row>
    <row r="116" spans="1:27" ht="51">
      <c r="A116" s="326"/>
      <c r="B116" s="326"/>
      <c r="C116" s="326" t="str">
        <f ca="1">IFERROR(__xludf.DUMMYFUNCTION("""COMPUTED_VALUE"""),"Laminated 12mm Black on White label tape")</f>
        <v>Laminated 12mm Black on White label tape</v>
      </c>
      <c r="D116" s="328" t="s">
        <v>2873</v>
      </c>
      <c r="E116" s="326"/>
      <c r="F116" s="326"/>
      <c r="G116" s="326"/>
      <c r="H116" s="326"/>
      <c r="I116" s="326"/>
      <c r="J116" s="326"/>
      <c r="K116" s="326"/>
      <c r="L116" s="326"/>
      <c r="M116" s="326"/>
      <c r="N116" s="326"/>
      <c r="O116" s="326"/>
      <c r="P116" s="326"/>
      <c r="Q116" s="326"/>
      <c r="R116" s="326"/>
      <c r="S116" s="326"/>
      <c r="T116" s="326"/>
      <c r="U116" s="326"/>
      <c r="V116" s="326"/>
      <c r="W116" s="326"/>
      <c r="X116" s="326"/>
      <c r="Y116" s="326"/>
      <c r="Z116" s="326"/>
      <c r="AA116" s="326"/>
    </row>
    <row r="117" spans="1:27" ht="38.25">
      <c r="A117" s="326"/>
      <c r="B117" s="326"/>
      <c r="C117" s="326" t="str">
        <f ca="1">IFERROR(__xludf.DUMMYFUNCTION("""COMPUTED_VALUE"""),"M6 Cabinet Screws 100pcs/pack")</f>
        <v>M6 Cabinet Screws 100pcs/pack</v>
      </c>
      <c r="D117" s="328" t="s">
        <v>2874</v>
      </c>
      <c r="E117" s="326"/>
      <c r="F117" s="326"/>
      <c r="G117" s="326"/>
      <c r="H117" s="326"/>
      <c r="I117" s="326"/>
      <c r="J117" s="326"/>
      <c r="K117" s="326"/>
      <c r="L117" s="326"/>
      <c r="M117" s="326"/>
      <c r="N117" s="326"/>
      <c r="O117" s="326"/>
      <c r="P117" s="326"/>
      <c r="Q117" s="326"/>
      <c r="R117" s="326"/>
      <c r="S117" s="326"/>
      <c r="T117" s="326"/>
      <c r="U117" s="326"/>
      <c r="V117" s="326"/>
      <c r="W117" s="326"/>
      <c r="X117" s="326"/>
      <c r="Y117" s="326"/>
      <c r="Z117" s="326"/>
      <c r="AA117" s="326"/>
    </row>
    <row r="118" spans="1:27" ht="38.25">
      <c r="A118" s="326"/>
      <c r="B118" s="326"/>
      <c r="C118" s="326" t="str">
        <f ca="1">IFERROR(__xludf.DUMMYFUNCTION("""COMPUTED_VALUE"""),"Maintenance Kit for the existing ECOSYS M2535DN/L")</f>
        <v>Maintenance Kit for the existing ECOSYS M2535DN/L</v>
      </c>
      <c r="D118" s="328" t="s">
        <v>2875</v>
      </c>
      <c r="E118" s="326"/>
      <c r="F118" s="326"/>
      <c r="G118" s="326"/>
      <c r="H118" s="326"/>
      <c r="I118" s="326"/>
      <c r="J118" s="326"/>
      <c r="K118" s="326"/>
      <c r="L118" s="326"/>
      <c r="M118" s="326"/>
      <c r="N118" s="326"/>
      <c r="O118" s="326"/>
      <c r="P118" s="326"/>
      <c r="Q118" s="326"/>
      <c r="R118" s="326"/>
      <c r="S118" s="326"/>
      <c r="T118" s="326"/>
      <c r="U118" s="326"/>
      <c r="V118" s="326"/>
      <c r="W118" s="326"/>
      <c r="X118" s="326"/>
      <c r="Y118" s="326"/>
      <c r="Z118" s="326"/>
      <c r="AA118" s="326"/>
    </row>
    <row r="119" spans="1:27" ht="25.5">
      <c r="A119" s="326"/>
      <c r="B119" s="326"/>
      <c r="C119" s="326" t="str">
        <f ca="1">IFERROR(__xludf.DUMMYFUNCTION("""COMPUTED_VALUE"""),"Maintenance Kit for the existing ECOSYS M3645DN")</f>
        <v>Maintenance Kit for the existing ECOSYS M3645DN</v>
      </c>
      <c r="D119" s="328" t="s">
        <v>2876</v>
      </c>
      <c r="E119" s="326"/>
      <c r="F119" s="326"/>
      <c r="G119" s="326"/>
      <c r="H119" s="326"/>
      <c r="I119" s="326"/>
      <c r="J119" s="326"/>
      <c r="K119" s="326"/>
      <c r="L119" s="326"/>
      <c r="M119" s="326"/>
      <c r="N119" s="326"/>
      <c r="O119" s="326"/>
      <c r="P119" s="326"/>
      <c r="Q119" s="326"/>
      <c r="R119" s="326"/>
      <c r="S119" s="326"/>
      <c r="T119" s="326"/>
      <c r="U119" s="326"/>
      <c r="V119" s="326"/>
      <c r="W119" s="326"/>
      <c r="X119" s="326"/>
      <c r="Y119" s="326"/>
      <c r="Z119" s="326"/>
      <c r="AA119" s="326"/>
    </row>
    <row r="120" spans="1:27" ht="25.5">
      <c r="A120" s="326"/>
      <c r="B120" s="326"/>
      <c r="C120" s="326" t="str">
        <f ca="1">IFERROR(__xludf.DUMMYFUNCTION("""COMPUTED_VALUE"""),"Maintenance Kit for the existing ECOSYS M4125IDN")</f>
        <v>Maintenance Kit for the existing ECOSYS M4125IDN</v>
      </c>
      <c r="D120" s="328" t="s">
        <v>2877</v>
      </c>
      <c r="E120" s="326"/>
      <c r="F120" s="326"/>
      <c r="G120" s="326"/>
      <c r="H120" s="326"/>
      <c r="I120" s="326"/>
      <c r="J120" s="326"/>
      <c r="K120" s="326"/>
      <c r="L120" s="326"/>
      <c r="M120" s="326"/>
      <c r="N120" s="326"/>
      <c r="O120" s="326"/>
      <c r="P120" s="326"/>
      <c r="Q120" s="326"/>
      <c r="R120" s="326"/>
      <c r="S120" s="326"/>
      <c r="T120" s="326"/>
      <c r="U120" s="326"/>
      <c r="V120" s="326"/>
      <c r="W120" s="326"/>
      <c r="X120" s="326"/>
      <c r="Y120" s="326"/>
      <c r="Z120" s="326"/>
      <c r="AA120" s="326"/>
    </row>
    <row r="121" spans="1:27" ht="25.5">
      <c r="A121" s="326"/>
      <c r="B121" s="326"/>
      <c r="C121" s="326" t="str">
        <f ca="1">IFERROR(__xludf.DUMMYFUNCTION("""COMPUTED_VALUE"""),"Maintenance Kit for the existing ECOSYS M4132IDN")</f>
        <v>Maintenance Kit for the existing ECOSYS M4132IDN</v>
      </c>
      <c r="D121" s="328" t="s">
        <v>2878</v>
      </c>
      <c r="E121" s="326"/>
      <c r="F121" s="326"/>
      <c r="G121" s="326"/>
      <c r="H121" s="326"/>
      <c r="I121" s="326"/>
      <c r="J121" s="326"/>
      <c r="K121" s="326"/>
      <c r="L121" s="326"/>
      <c r="M121" s="326"/>
      <c r="N121" s="326"/>
      <c r="O121" s="326"/>
      <c r="P121" s="326"/>
      <c r="Q121" s="326"/>
      <c r="R121" s="326"/>
      <c r="S121" s="326"/>
      <c r="T121" s="326"/>
      <c r="U121" s="326"/>
      <c r="V121" s="326"/>
      <c r="W121" s="326"/>
      <c r="X121" s="326"/>
      <c r="Y121" s="326"/>
      <c r="Z121" s="326"/>
      <c r="AA121" s="326"/>
    </row>
    <row r="122" spans="1:27" ht="25.5">
      <c r="A122" s="326"/>
      <c r="B122" s="326"/>
      <c r="C122" s="326" t="str">
        <f ca="1">IFERROR(__xludf.DUMMYFUNCTION("""COMPUTED_VALUE"""),"Maintenance Kit for the existing FS-6525MFP")</f>
        <v>Maintenance Kit for the existing FS-6525MFP</v>
      </c>
      <c r="D122" s="328" t="s">
        <v>2879</v>
      </c>
      <c r="E122" s="326"/>
      <c r="F122" s="326"/>
      <c r="G122" s="326"/>
      <c r="H122" s="326"/>
      <c r="I122" s="326"/>
      <c r="J122" s="326"/>
      <c r="K122" s="326"/>
      <c r="L122" s="326"/>
      <c r="M122" s="326"/>
      <c r="N122" s="326"/>
      <c r="O122" s="326"/>
      <c r="P122" s="326"/>
      <c r="Q122" s="326"/>
      <c r="R122" s="326"/>
      <c r="S122" s="326"/>
      <c r="T122" s="326"/>
      <c r="U122" s="326"/>
      <c r="V122" s="326"/>
      <c r="W122" s="326"/>
      <c r="X122" s="326"/>
      <c r="Y122" s="326"/>
      <c r="Z122" s="326"/>
      <c r="AA122" s="326"/>
    </row>
    <row r="123" spans="1:27" ht="153">
      <c r="A123" s="326"/>
      <c r="B123" s="326"/>
      <c r="C123" s="326" t="str">
        <f ca="1">IFERROR(__xludf.DUMMYFUNCTION("""COMPUTED_VALUE"""),"Mini PC")</f>
        <v>Mini PC</v>
      </c>
      <c r="D123" s="328" t="s">
        <v>2880</v>
      </c>
      <c r="E123" s="326"/>
      <c r="F123" s="326"/>
      <c r="G123" s="326"/>
      <c r="H123" s="326"/>
      <c r="I123" s="326"/>
      <c r="J123" s="326"/>
      <c r="K123" s="326"/>
      <c r="L123" s="326"/>
      <c r="M123" s="326"/>
      <c r="N123" s="326"/>
      <c r="O123" s="326"/>
      <c r="P123" s="326"/>
      <c r="Q123" s="326"/>
      <c r="R123" s="326"/>
      <c r="S123" s="326"/>
      <c r="T123" s="326"/>
      <c r="U123" s="326"/>
      <c r="V123" s="326"/>
      <c r="W123" s="326"/>
      <c r="X123" s="326"/>
      <c r="Y123" s="326"/>
      <c r="Z123" s="326"/>
      <c r="AA123" s="326"/>
    </row>
    <row r="124" spans="1:27" ht="51">
      <c r="A124" s="326"/>
      <c r="B124" s="326"/>
      <c r="C124" s="326" t="str">
        <f ca="1">IFERROR(__xludf.DUMMYFUNCTION("""COMPUTED_VALUE"""),"Mouse, Optical, USB 2.0")</f>
        <v>Mouse, Optical, USB 2.0</v>
      </c>
      <c r="D124" s="328" t="s">
        <v>2881</v>
      </c>
      <c r="E124" s="326"/>
      <c r="F124" s="326"/>
      <c r="G124" s="326"/>
      <c r="H124" s="326"/>
      <c r="I124" s="326"/>
      <c r="J124" s="326"/>
      <c r="K124" s="326"/>
      <c r="L124" s="326"/>
      <c r="M124" s="326"/>
      <c r="N124" s="326"/>
      <c r="O124" s="326"/>
      <c r="P124" s="326"/>
      <c r="Q124" s="326"/>
      <c r="R124" s="326"/>
      <c r="S124" s="326"/>
      <c r="T124" s="326"/>
      <c r="U124" s="326"/>
      <c r="V124" s="326"/>
      <c r="W124" s="326"/>
      <c r="X124" s="326"/>
      <c r="Y124" s="326"/>
      <c r="Z124" s="326"/>
      <c r="AA124" s="326"/>
    </row>
    <row r="125" spans="1:27" ht="178.5">
      <c r="A125" s="326"/>
      <c r="B125" s="326"/>
      <c r="C125" s="326" t="str">
        <f ca="1">IFERROR(__xludf.DUMMYFUNCTION("""COMPUTED_VALUE"""),"Network Cable Tester RJ45 RJ11 Network LAN Ethernet")</f>
        <v>Network Cable Tester RJ45 RJ11 Network LAN Ethernet</v>
      </c>
      <c r="D125" s="328" t="s">
        <v>2882</v>
      </c>
      <c r="E125" s="326"/>
      <c r="F125" s="326"/>
      <c r="G125" s="326"/>
      <c r="H125" s="326"/>
      <c r="I125" s="326"/>
      <c r="J125" s="326"/>
      <c r="K125" s="326"/>
      <c r="L125" s="326"/>
      <c r="M125" s="326"/>
      <c r="N125" s="326"/>
      <c r="O125" s="326"/>
      <c r="P125" s="326"/>
      <c r="Q125" s="326"/>
      <c r="R125" s="326"/>
      <c r="S125" s="326"/>
      <c r="T125" s="326"/>
      <c r="U125" s="326"/>
      <c r="V125" s="326"/>
      <c r="W125" s="326"/>
      <c r="X125" s="326"/>
      <c r="Y125" s="326"/>
      <c r="Z125" s="326"/>
      <c r="AA125" s="326"/>
    </row>
    <row r="126" spans="1:27" ht="25.5">
      <c r="A126" s="326"/>
      <c r="B126" s="326"/>
      <c r="C126" s="326" t="str">
        <f ca="1">IFERROR(__xludf.DUMMYFUNCTION("""COMPUTED_VALUE"""),"Nylon Zip Ties Cable Label Mark Tags 100pcs/pack")</f>
        <v>Nylon Zip Ties Cable Label Mark Tags 100pcs/pack</v>
      </c>
      <c r="D126" s="328" t="s">
        <v>2883</v>
      </c>
      <c r="E126" s="326"/>
      <c r="F126" s="326"/>
      <c r="G126" s="326"/>
      <c r="H126" s="326"/>
      <c r="I126" s="326"/>
      <c r="J126" s="326"/>
      <c r="K126" s="326"/>
      <c r="L126" s="326"/>
      <c r="M126" s="326"/>
      <c r="N126" s="326"/>
      <c r="O126" s="326"/>
      <c r="P126" s="326"/>
      <c r="Q126" s="326"/>
      <c r="R126" s="326"/>
      <c r="S126" s="326"/>
      <c r="T126" s="326"/>
      <c r="U126" s="326"/>
      <c r="V126" s="326"/>
      <c r="W126" s="326"/>
      <c r="X126" s="326"/>
      <c r="Y126" s="326"/>
      <c r="Z126" s="326"/>
      <c r="AA126" s="326"/>
    </row>
    <row r="127" spans="1:27" ht="38.25">
      <c r="A127" s="326"/>
      <c r="B127" s="326"/>
      <c r="C127" s="326" t="str">
        <f ca="1">IFERROR(__xludf.DUMMYFUNCTION("""COMPUTED_VALUE"""),"ONER CARTRIDGE, (TN263M) Magenta")</f>
        <v>ONER CARTRIDGE, (TN263M) Magenta</v>
      </c>
      <c r="D127" s="328" t="s">
        <v>2884</v>
      </c>
      <c r="E127" s="326"/>
      <c r="F127" s="326"/>
      <c r="G127" s="326"/>
      <c r="H127" s="326"/>
      <c r="I127" s="326"/>
      <c r="J127" s="326"/>
      <c r="K127" s="326"/>
      <c r="L127" s="326"/>
      <c r="M127" s="326"/>
      <c r="N127" s="326"/>
      <c r="O127" s="326"/>
      <c r="P127" s="326"/>
      <c r="Q127" s="326"/>
      <c r="R127" s="326"/>
      <c r="S127" s="326"/>
      <c r="T127" s="326"/>
      <c r="U127" s="326"/>
      <c r="V127" s="326"/>
      <c r="W127" s="326"/>
      <c r="X127" s="326"/>
      <c r="Y127" s="326"/>
      <c r="Z127" s="326"/>
      <c r="AA127" s="326"/>
    </row>
    <row r="128" spans="1:27" ht="38.25">
      <c r="A128" s="326"/>
      <c r="B128" s="326"/>
      <c r="C128" s="326" t="str">
        <f ca="1">IFERROR(__xludf.DUMMYFUNCTION("""COMPUTED_VALUE"""),"Paper feeder rubber set for printer")</f>
        <v>Paper feeder rubber set for printer</v>
      </c>
      <c r="D128" s="328" t="s">
        <v>2885</v>
      </c>
      <c r="E128" s="326"/>
      <c r="F128" s="326"/>
      <c r="G128" s="326"/>
      <c r="H128" s="326"/>
      <c r="I128" s="326"/>
      <c r="J128" s="326"/>
      <c r="K128" s="326"/>
      <c r="L128" s="326"/>
      <c r="M128" s="326"/>
      <c r="N128" s="326"/>
      <c r="O128" s="326"/>
      <c r="P128" s="326"/>
      <c r="Q128" s="326"/>
      <c r="R128" s="326"/>
      <c r="S128" s="326"/>
      <c r="T128" s="326"/>
      <c r="U128" s="326"/>
      <c r="V128" s="326"/>
      <c r="W128" s="326"/>
      <c r="X128" s="326"/>
      <c r="Y128" s="326"/>
      <c r="Z128" s="326"/>
      <c r="AA128" s="326"/>
    </row>
    <row r="129" spans="1:27" ht="140.25">
      <c r="A129" s="326"/>
      <c r="B129" s="326"/>
      <c r="C129" s="326" t="str">
        <f ca="1">IFERROR(__xludf.DUMMYFUNCTION("""COMPUTED_VALUE"""),"PC-Connectable Label Maker with 10pcs 12mm Laminated Tape")</f>
        <v>PC-Connectable Label Maker with 10pcs 12mm Laminated Tape</v>
      </c>
      <c r="D129" s="328" t="s">
        <v>2886</v>
      </c>
      <c r="E129" s="326"/>
      <c r="F129" s="326"/>
      <c r="G129" s="326"/>
      <c r="H129" s="326"/>
      <c r="I129" s="326"/>
      <c r="J129" s="326"/>
      <c r="K129" s="326"/>
      <c r="L129" s="326"/>
      <c r="M129" s="326"/>
      <c r="N129" s="326"/>
      <c r="O129" s="326"/>
      <c r="P129" s="326"/>
      <c r="Q129" s="326"/>
      <c r="R129" s="326"/>
      <c r="S129" s="326"/>
      <c r="T129" s="326"/>
      <c r="U129" s="326"/>
      <c r="V129" s="326"/>
      <c r="W129" s="326"/>
      <c r="X129" s="326"/>
      <c r="Y129" s="326"/>
      <c r="Z129" s="326"/>
      <c r="AA129" s="326"/>
    </row>
    <row r="130" spans="1:27" ht="51">
      <c r="A130" s="326"/>
      <c r="B130" s="326"/>
      <c r="C130" s="326" t="str">
        <f ca="1">IFERROR(__xludf.DUMMYFUNCTION("""COMPUTED_VALUE"""),"Printable PVC Pre-Cut Cards")</f>
        <v>Printable PVC Pre-Cut Cards</v>
      </c>
      <c r="D130" s="328" t="s">
        <v>2887</v>
      </c>
      <c r="E130" s="326"/>
      <c r="F130" s="326"/>
      <c r="G130" s="326"/>
      <c r="H130" s="326"/>
      <c r="I130" s="326"/>
      <c r="J130" s="326"/>
      <c r="K130" s="326"/>
      <c r="L130" s="326"/>
      <c r="M130" s="326"/>
      <c r="N130" s="326"/>
      <c r="O130" s="326"/>
      <c r="P130" s="326"/>
      <c r="Q130" s="326"/>
      <c r="R130" s="326"/>
      <c r="S130" s="326"/>
      <c r="T130" s="326"/>
      <c r="U130" s="326"/>
      <c r="V130" s="326"/>
      <c r="W130" s="326"/>
      <c r="X130" s="326"/>
      <c r="Y130" s="326"/>
      <c r="Z130" s="326"/>
      <c r="AA130" s="326"/>
    </row>
    <row r="131" spans="1:27" ht="12.75">
      <c r="A131" s="326"/>
      <c r="B131" s="326"/>
      <c r="C131" s="326" t="str">
        <f ca="1">IFERROR(__xludf.DUMMYFUNCTION("""COMPUTED_VALUE"""),"Professional Presenter Wireless Presentation Clicker Remote")</f>
        <v>Professional Presenter Wireless Presentation Clicker Remote</v>
      </c>
      <c r="D131" s="326" t="s">
        <v>2888</v>
      </c>
      <c r="E131" s="326"/>
      <c r="F131" s="326"/>
      <c r="G131" s="326"/>
      <c r="H131" s="326"/>
      <c r="I131" s="326"/>
      <c r="J131" s="326"/>
      <c r="K131" s="326"/>
      <c r="L131" s="326"/>
      <c r="M131" s="326"/>
      <c r="N131" s="326"/>
      <c r="O131" s="326"/>
      <c r="P131" s="326"/>
      <c r="Q131" s="326"/>
      <c r="R131" s="326"/>
      <c r="S131" s="326"/>
      <c r="T131" s="326"/>
      <c r="U131" s="326"/>
      <c r="V131" s="326"/>
      <c r="W131" s="326"/>
      <c r="X131" s="326"/>
      <c r="Y131" s="326"/>
      <c r="Z131" s="326"/>
      <c r="AA131" s="326"/>
    </row>
    <row r="132" spans="1:27" ht="12.75">
      <c r="A132" s="326"/>
      <c r="B132" s="326"/>
      <c r="C132" s="326" t="str">
        <f ca="1">IFERROR(__xludf.DUMMYFUNCTION("""COMPUTED_VALUE"""),"Projector")</f>
        <v>Projector</v>
      </c>
      <c r="D132" s="326" t="s">
        <v>2889</v>
      </c>
      <c r="E132" s="326"/>
      <c r="F132" s="326"/>
      <c r="G132" s="326"/>
      <c r="H132" s="326"/>
      <c r="I132" s="326"/>
      <c r="J132" s="326"/>
      <c r="K132" s="326"/>
      <c r="L132" s="326"/>
      <c r="M132" s="326"/>
      <c r="N132" s="326"/>
      <c r="O132" s="326"/>
      <c r="P132" s="326"/>
      <c r="Q132" s="326"/>
      <c r="R132" s="326"/>
      <c r="S132" s="326"/>
      <c r="T132" s="326"/>
      <c r="U132" s="326"/>
      <c r="V132" s="326"/>
      <c r="W132" s="326"/>
      <c r="X132" s="326"/>
      <c r="Y132" s="326"/>
      <c r="Z132" s="326"/>
      <c r="AA132" s="326"/>
    </row>
    <row r="133" spans="1:27" ht="12.75">
      <c r="A133" s="326"/>
      <c r="B133" s="326"/>
      <c r="C133" s="326" t="str">
        <f ca="1">IFERROR(__xludf.DUMMYFUNCTION("""COMPUTED_VALUE"""),"PVC Cable Tray (2mtr)")</f>
        <v>PVC Cable Tray (2mtr)</v>
      </c>
      <c r="D133" s="326" t="s">
        <v>2890</v>
      </c>
      <c r="E133" s="326"/>
      <c r="F133" s="326"/>
      <c r="G133" s="326"/>
      <c r="H133" s="326"/>
      <c r="I133" s="326"/>
      <c r="J133" s="326"/>
      <c r="K133" s="326"/>
      <c r="L133" s="326"/>
      <c r="M133" s="326"/>
      <c r="N133" s="326"/>
      <c r="O133" s="326"/>
      <c r="P133" s="326"/>
      <c r="Q133" s="326"/>
      <c r="R133" s="326"/>
      <c r="S133" s="326"/>
      <c r="T133" s="326"/>
      <c r="U133" s="326"/>
      <c r="V133" s="326"/>
      <c r="W133" s="326"/>
      <c r="X133" s="326"/>
      <c r="Y133" s="326"/>
      <c r="Z133" s="326"/>
      <c r="AA133" s="326"/>
    </row>
    <row r="134" spans="1:27" ht="12.75">
      <c r="A134" s="326"/>
      <c r="B134" s="326"/>
      <c r="C134" s="326" t="str">
        <f ca="1">IFERROR(__xludf.DUMMYFUNCTION("""COMPUTED_VALUE"""),"Replacement Battery APCRBC175 for the existing BVX1200LI-MS")</f>
        <v>Replacement Battery APCRBC175 for the existing BVX1200LI-MS</v>
      </c>
      <c r="D134" s="326" t="s">
        <v>2891</v>
      </c>
      <c r="E134" s="326"/>
      <c r="F134" s="326"/>
      <c r="G134" s="326"/>
      <c r="H134" s="326"/>
      <c r="I134" s="326"/>
      <c r="J134" s="326"/>
      <c r="K134" s="326"/>
      <c r="L134" s="326"/>
      <c r="M134" s="326"/>
      <c r="N134" s="326"/>
      <c r="O134" s="326"/>
      <c r="P134" s="326"/>
      <c r="Q134" s="326"/>
      <c r="R134" s="326"/>
      <c r="S134" s="326"/>
      <c r="T134" s="326"/>
      <c r="U134" s="326"/>
      <c r="V134" s="326"/>
      <c r="W134" s="326"/>
      <c r="X134" s="326"/>
      <c r="Y134" s="326"/>
      <c r="Z134" s="326"/>
      <c r="AA134" s="326"/>
    </row>
    <row r="135" spans="1:27" ht="12.75">
      <c r="A135" s="326"/>
      <c r="B135" s="326"/>
      <c r="C135" s="326" t="str">
        <f ca="1">IFERROR(__xludf.DUMMYFUNCTION("""COMPUTED_VALUE"""),"Rj11 Connector")</f>
        <v>Rj11 Connector</v>
      </c>
      <c r="D135" s="326" t="s">
        <v>2892</v>
      </c>
      <c r="E135" s="326"/>
      <c r="F135" s="326"/>
      <c r="G135" s="326"/>
      <c r="H135" s="326"/>
      <c r="I135" s="326"/>
      <c r="J135" s="326"/>
      <c r="K135" s="326"/>
      <c r="L135" s="326"/>
      <c r="M135" s="326"/>
      <c r="N135" s="326"/>
      <c r="O135" s="326"/>
      <c r="P135" s="326"/>
      <c r="Q135" s="326"/>
      <c r="R135" s="326"/>
      <c r="S135" s="326"/>
      <c r="T135" s="326"/>
      <c r="U135" s="326"/>
      <c r="V135" s="326"/>
      <c r="W135" s="326"/>
      <c r="X135" s="326"/>
      <c r="Y135" s="326"/>
      <c r="Z135" s="326"/>
      <c r="AA135" s="326"/>
    </row>
    <row r="136" spans="1:27" ht="12.75">
      <c r="A136" s="326"/>
      <c r="B136" s="326"/>
      <c r="C136" s="326" t="str">
        <f ca="1">IFERROR(__xludf.DUMMYFUNCTION("""COMPUTED_VALUE"""),"RJ11 Telephone Converter 10pcs/pack")</f>
        <v>RJ11 Telephone Converter 10pcs/pack</v>
      </c>
      <c r="D136" s="326" t="s">
        <v>2893</v>
      </c>
      <c r="E136" s="326"/>
      <c r="F136" s="326"/>
      <c r="G136" s="326"/>
      <c r="H136" s="326"/>
      <c r="I136" s="326"/>
      <c r="J136" s="326"/>
      <c r="K136" s="326"/>
      <c r="L136" s="326"/>
      <c r="M136" s="326"/>
      <c r="N136" s="326"/>
      <c r="O136" s="326"/>
      <c r="P136" s="326"/>
      <c r="Q136" s="326"/>
      <c r="R136" s="326"/>
      <c r="S136" s="326"/>
      <c r="T136" s="326"/>
      <c r="U136" s="326"/>
      <c r="V136" s="326"/>
      <c r="W136" s="326"/>
      <c r="X136" s="326"/>
      <c r="Y136" s="326"/>
      <c r="Z136" s="326"/>
      <c r="AA136" s="326"/>
    </row>
    <row r="137" spans="1:27" ht="12.75">
      <c r="A137" s="326"/>
      <c r="B137" s="326"/>
      <c r="C137" s="326" t="str">
        <f ca="1">IFERROR(__xludf.DUMMYFUNCTION("""COMPUTED_VALUE"""),"RJ45 Connector Crimp Connection Terminals 100pcs/pack")</f>
        <v>RJ45 Connector Crimp Connection Terminals 100pcs/pack</v>
      </c>
      <c r="D137" s="326" t="s">
        <v>2894</v>
      </c>
      <c r="E137" s="326"/>
      <c r="F137" s="326"/>
      <c r="G137" s="326"/>
      <c r="H137" s="326"/>
      <c r="I137" s="326"/>
      <c r="J137" s="326"/>
      <c r="K137" s="326"/>
      <c r="L137" s="326"/>
      <c r="M137" s="326"/>
      <c r="N137" s="326"/>
      <c r="O137" s="326"/>
      <c r="P137" s="326"/>
      <c r="Q137" s="326"/>
      <c r="R137" s="326"/>
      <c r="S137" s="326"/>
      <c r="T137" s="326"/>
      <c r="U137" s="326"/>
      <c r="V137" s="326"/>
      <c r="W137" s="326"/>
      <c r="X137" s="326"/>
      <c r="Y137" s="326"/>
      <c r="Z137" s="326"/>
      <c r="AA137" s="326"/>
    </row>
    <row r="138" spans="1:27" ht="12.75">
      <c r="A138" s="326"/>
      <c r="B138" s="326"/>
      <c r="C138" s="326" t="str">
        <f ca="1">IFERROR(__xludf.DUMMYFUNCTION("""COMPUTED_VALUE"""),"Rj45 Connectors for CAT6 (100pcs Clear)")</f>
        <v>Rj45 Connectors for CAT6 (100pcs Clear)</v>
      </c>
      <c r="D138" s="326" t="s">
        <v>2895</v>
      </c>
      <c r="E138" s="326"/>
      <c r="F138" s="326"/>
      <c r="G138" s="326"/>
      <c r="H138" s="326"/>
      <c r="I138" s="326"/>
      <c r="J138" s="326"/>
      <c r="K138" s="326"/>
      <c r="L138" s="326"/>
      <c r="M138" s="326"/>
      <c r="N138" s="326"/>
      <c r="O138" s="326"/>
      <c r="P138" s="326"/>
      <c r="Q138" s="326"/>
      <c r="R138" s="326"/>
      <c r="S138" s="326"/>
      <c r="T138" s="326"/>
      <c r="U138" s="326"/>
      <c r="V138" s="326"/>
      <c r="W138" s="326"/>
      <c r="X138" s="326"/>
      <c r="Y138" s="326"/>
      <c r="Z138" s="326"/>
      <c r="AA138" s="326"/>
    </row>
    <row r="139" spans="1:27" ht="12.75">
      <c r="A139" s="326"/>
      <c r="B139" s="326"/>
      <c r="C139" s="326" t="str">
        <f ca="1">IFERROR(__xludf.DUMMYFUNCTION("""COMPUTED_VALUE"""),"RJ45 Coupler, 8P8C Female Extender LAN Connector")</f>
        <v>RJ45 Coupler, 8P8C Female Extender LAN Connector</v>
      </c>
      <c r="D139" s="326" t="s">
        <v>2896</v>
      </c>
      <c r="E139" s="326"/>
      <c r="F139" s="326"/>
      <c r="G139" s="326"/>
      <c r="H139" s="326"/>
      <c r="I139" s="326"/>
      <c r="J139" s="326"/>
      <c r="K139" s="326"/>
      <c r="L139" s="326"/>
      <c r="M139" s="326"/>
      <c r="N139" s="326"/>
      <c r="O139" s="326"/>
      <c r="P139" s="326"/>
      <c r="Q139" s="326"/>
      <c r="R139" s="326"/>
      <c r="S139" s="326"/>
      <c r="T139" s="326"/>
      <c r="U139" s="326"/>
      <c r="V139" s="326"/>
      <c r="W139" s="326"/>
      <c r="X139" s="326"/>
      <c r="Y139" s="326"/>
      <c r="Z139" s="326"/>
      <c r="AA139" s="326"/>
    </row>
    <row r="140" spans="1:27" ht="12.75">
      <c r="A140" s="326"/>
      <c r="B140" s="326"/>
      <c r="C140" s="326" t="str">
        <f ca="1">IFERROR(__xludf.DUMMYFUNCTION("""COMPUTED_VALUE"""),"RJ45 Crimp Tool Pass Through Cat5 Cat5e Cat6")</f>
        <v>RJ45 Crimp Tool Pass Through Cat5 Cat5e Cat6</v>
      </c>
      <c r="D140" s="326" t="s">
        <v>2897</v>
      </c>
      <c r="E140" s="326"/>
      <c r="F140" s="326"/>
      <c r="G140" s="326"/>
      <c r="H140" s="326"/>
      <c r="I140" s="326"/>
      <c r="J140" s="326"/>
      <c r="K140" s="326"/>
      <c r="L140" s="326"/>
      <c r="M140" s="326"/>
      <c r="N140" s="326"/>
      <c r="O140" s="326"/>
      <c r="P140" s="326"/>
      <c r="Q140" s="326"/>
      <c r="R140" s="326"/>
      <c r="S140" s="326"/>
      <c r="T140" s="326"/>
      <c r="U140" s="326"/>
      <c r="V140" s="326"/>
      <c r="W140" s="326"/>
      <c r="X140" s="326"/>
      <c r="Y140" s="326"/>
      <c r="Z140" s="326"/>
      <c r="AA140" s="326"/>
    </row>
    <row r="141" spans="1:27" ht="12.75">
      <c r="A141" s="326"/>
      <c r="B141" s="326"/>
      <c r="C141" s="326" t="str">
        <f ca="1">IFERROR(__xludf.DUMMYFUNCTION("""COMPUTED_VALUE"""),"Rj45 Metal Shield Connectors for CAT6 (100pcs)")</f>
        <v>Rj45 Metal Shield Connectors for CAT6 (100pcs)</v>
      </c>
      <c r="D141" s="326" t="s">
        <v>303</v>
      </c>
      <c r="E141" s="326"/>
      <c r="F141" s="326"/>
      <c r="G141" s="326"/>
      <c r="H141" s="326"/>
      <c r="I141" s="326"/>
      <c r="J141" s="326"/>
      <c r="K141" s="326"/>
      <c r="L141" s="326"/>
      <c r="M141" s="326"/>
      <c r="N141" s="326"/>
      <c r="O141" s="326"/>
      <c r="P141" s="326"/>
      <c r="Q141" s="326"/>
      <c r="R141" s="326"/>
      <c r="S141" s="326"/>
      <c r="T141" s="326"/>
      <c r="U141" s="326"/>
      <c r="V141" s="326"/>
      <c r="W141" s="326"/>
      <c r="X141" s="326"/>
      <c r="Y141" s="326"/>
      <c r="Z141" s="326"/>
      <c r="AA141" s="326"/>
    </row>
    <row r="142" spans="1:27" ht="12.75">
      <c r="A142" s="326"/>
      <c r="B142" s="326"/>
      <c r="C142" s="326" t="str">
        <f ca="1">IFERROR(__xludf.DUMMYFUNCTION("""COMPUTED_VALUE"""),"Single Line Telephone (Black)")</f>
        <v>Single Line Telephone (Black)</v>
      </c>
      <c r="D142" s="326" t="s">
        <v>2898</v>
      </c>
      <c r="E142" s="326"/>
      <c r="F142" s="326"/>
      <c r="G142" s="326"/>
      <c r="H142" s="326"/>
      <c r="I142" s="326"/>
      <c r="J142" s="326"/>
      <c r="K142" s="326"/>
      <c r="L142" s="326"/>
      <c r="M142" s="326"/>
      <c r="N142" s="326"/>
      <c r="O142" s="326"/>
      <c r="P142" s="326"/>
      <c r="Q142" s="326"/>
      <c r="R142" s="326"/>
      <c r="S142" s="326"/>
      <c r="T142" s="326"/>
      <c r="U142" s="326"/>
      <c r="V142" s="326"/>
      <c r="W142" s="326"/>
      <c r="X142" s="326"/>
      <c r="Y142" s="326"/>
      <c r="Z142" s="326"/>
      <c r="AA142" s="326"/>
    </row>
    <row r="143" spans="1:27" ht="12.75">
      <c r="A143" s="326"/>
      <c r="B143" s="326"/>
      <c r="C143" s="326" t="str">
        <f ca="1">IFERROR(__xludf.DUMMYFUNCTION("""COMPUTED_VALUE"""),"Stereo Digital Voice Recorder with Built-in USB")</f>
        <v>Stereo Digital Voice Recorder with Built-in USB</v>
      </c>
      <c r="D143" s="326" t="s">
        <v>2899</v>
      </c>
      <c r="E143" s="326"/>
      <c r="F143" s="326"/>
      <c r="G143" s="326"/>
      <c r="H143" s="326"/>
      <c r="I143" s="326"/>
      <c r="J143" s="326"/>
      <c r="K143" s="326"/>
      <c r="L143" s="326"/>
      <c r="M143" s="326"/>
      <c r="N143" s="326"/>
      <c r="O143" s="326"/>
      <c r="P143" s="326"/>
      <c r="Q143" s="326"/>
      <c r="R143" s="326"/>
      <c r="S143" s="326"/>
      <c r="T143" s="326"/>
      <c r="U143" s="326"/>
      <c r="V143" s="326"/>
      <c r="W143" s="326"/>
      <c r="X143" s="326"/>
      <c r="Y143" s="326"/>
      <c r="Z143" s="326"/>
      <c r="AA143" s="326"/>
    </row>
    <row r="144" spans="1:27" ht="12.75">
      <c r="A144" s="326"/>
      <c r="B144" s="326"/>
      <c r="C144" s="326" t="str">
        <f ca="1">IFERROR(__xludf.DUMMYFUNCTION("""COMPUTED_VALUE"""),"Stereo Speakers")</f>
        <v>Stereo Speakers</v>
      </c>
      <c r="D144" s="326" t="s">
        <v>2900</v>
      </c>
      <c r="E144" s="326"/>
      <c r="F144" s="326"/>
      <c r="G144" s="326"/>
      <c r="H144" s="326"/>
      <c r="I144" s="326"/>
      <c r="J144" s="326"/>
      <c r="K144" s="326"/>
      <c r="L144" s="326"/>
      <c r="M144" s="326"/>
      <c r="N144" s="326"/>
      <c r="O144" s="326"/>
      <c r="P144" s="326"/>
      <c r="Q144" s="326"/>
      <c r="R144" s="326"/>
      <c r="S144" s="326"/>
      <c r="T144" s="326"/>
      <c r="U144" s="326"/>
      <c r="V144" s="326"/>
      <c r="W144" s="326"/>
      <c r="X144" s="326"/>
      <c r="Y144" s="326"/>
      <c r="Z144" s="326"/>
      <c r="AA144" s="326"/>
    </row>
    <row r="145" spans="1:27" ht="12.75">
      <c r="A145" s="326"/>
      <c r="B145" s="326"/>
      <c r="C145" s="326" t="str">
        <f ca="1">IFERROR(__xludf.DUMMYFUNCTION("""COMPUTED_VALUE"""),"Super Strength Molding Tape Double Sided Tape 1/2"" x 15ft")</f>
        <v>Super Strength Molding Tape Double Sided Tape 1/2" x 15ft</v>
      </c>
      <c r="D145" s="326" t="s">
        <v>304</v>
      </c>
      <c r="E145" s="326"/>
      <c r="F145" s="326"/>
      <c r="G145" s="326"/>
      <c r="H145" s="326"/>
      <c r="I145" s="326"/>
      <c r="J145" s="326"/>
      <c r="K145" s="326"/>
      <c r="L145" s="326"/>
      <c r="M145" s="326"/>
      <c r="N145" s="326"/>
      <c r="O145" s="326"/>
      <c r="P145" s="326"/>
      <c r="Q145" s="326"/>
      <c r="R145" s="326"/>
      <c r="S145" s="326"/>
      <c r="T145" s="326"/>
      <c r="U145" s="326"/>
      <c r="V145" s="326"/>
      <c r="W145" s="326"/>
      <c r="X145" s="326"/>
      <c r="Y145" s="326"/>
      <c r="Z145" s="326"/>
      <c r="AA145" s="326"/>
    </row>
    <row r="146" spans="1:27" ht="12.75">
      <c r="A146" s="326"/>
      <c r="B146" s="326"/>
      <c r="C146" s="326" t="str">
        <f ca="1">IFERROR(__xludf.DUMMYFUNCTION("""COMPUTED_VALUE"""),"Super Strength Molding Tape Double Sided Tape 7/8"" x 15ft")</f>
        <v>Super Strength Molding Tape Double Sided Tape 7/8" x 15ft</v>
      </c>
      <c r="D146" s="326" t="s">
        <v>305</v>
      </c>
      <c r="E146" s="326"/>
      <c r="F146" s="326"/>
      <c r="G146" s="326"/>
      <c r="H146" s="326"/>
      <c r="I146" s="326"/>
      <c r="J146" s="326"/>
      <c r="K146" s="326"/>
      <c r="L146" s="326"/>
      <c r="M146" s="326"/>
      <c r="N146" s="326"/>
      <c r="O146" s="326"/>
      <c r="P146" s="326"/>
      <c r="Q146" s="326"/>
      <c r="R146" s="326"/>
      <c r="S146" s="326"/>
      <c r="T146" s="326"/>
      <c r="U146" s="326"/>
      <c r="V146" s="326"/>
      <c r="W146" s="326"/>
      <c r="X146" s="326"/>
      <c r="Y146" s="326"/>
      <c r="Z146" s="326"/>
      <c r="AA146" s="326"/>
    </row>
    <row r="147" spans="1:27" ht="12.75">
      <c r="A147" s="326"/>
      <c r="B147" s="326"/>
      <c r="C147" s="326" t="str">
        <f ca="1">IFERROR(__xludf.DUMMYFUNCTION("""COMPUTED_VALUE"""),"Telephone Wire (3mtrs)")</f>
        <v>Telephone Wire (3mtrs)</v>
      </c>
      <c r="D147" s="326" t="s">
        <v>2901</v>
      </c>
      <c r="E147" s="326"/>
      <c r="F147" s="326"/>
      <c r="G147" s="326"/>
      <c r="H147" s="326"/>
      <c r="I147" s="326"/>
      <c r="J147" s="326"/>
      <c r="K147" s="326"/>
      <c r="L147" s="326"/>
      <c r="M147" s="326"/>
      <c r="N147" s="326"/>
      <c r="O147" s="326"/>
      <c r="P147" s="326"/>
      <c r="Q147" s="326"/>
      <c r="R147" s="326"/>
      <c r="S147" s="326"/>
      <c r="T147" s="326"/>
      <c r="U147" s="326"/>
      <c r="V147" s="326"/>
      <c r="W147" s="326"/>
      <c r="X147" s="326"/>
      <c r="Y147" s="326"/>
      <c r="Z147" s="326"/>
      <c r="AA147" s="326"/>
    </row>
    <row r="148" spans="1:27" ht="12.75">
      <c r="A148" s="326"/>
      <c r="B148" s="326"/>
      <c r="C148" s="326" t="str">
        <f ca="1">IFERROR(__xludf.DUMMYFUNCTION("""COMPUTED_VALUE"""),"Thermal Paste Syringe")</f>
        <v>Thermal Paste Syringe</v>
      </c>
      <c r="D148" s="326" t="s">
        <v>306</v>
      </c>
      <c r="E148" s="326"/>
      <c r="F148" s="326"/>
      <c r="G148" s="326"/>
      <c r="H148" s="326"/>
      <c r="I148" s="326"/>
      <c r="J148" s="326"/>
      <c r="K148" s="326"/>
      <c r="L148" s="326"/>
      <c r="M148" s="326"/>
      <c r="N148" s="326"/>
      <c r="O148" s="326"/>
      <c r="P148" s="326"/>
      <c r="Q148" s="326"/>
      <c r="R148" s="326"/>
      <c r="S148" s="326"/>
      <c r="T148" s="326"/>
      <c r="U148" s="326"/>
      <c r="V148" s="326"/>
      <c r="W148" s="326"/>
      <c r="X148" s="326"/>
      <c r="Y148" s="326"/>
      <c r="Z148" s="326"/>
      <c r="AA148" s="326"/>
    </row>
    <row r="149" spans="1:27" ht="12.75">
      <c r="A149" s="326"/>
      <c r="B149" s="326"/>
      <c r="C149" s="326" t="str">
        <f ca="1">IFERROR(__xludf.DUMMYFUNCTION("""COMPUTED_VALUE"""),"Thermal POS Receipt Printer")</f>
        <v>Thermal POS Receipt Printer</v>
      </c>
      <c r="D149" s="326" t="s">
        <v>2902</v>
      </c>
      <c r="E149" s="326"/>
      <c r="F149" s="326"/>
      <c r="G149" s="326"/>
      <c r="H149" s="326"/>
      <c r="I149" s="326"/>
      <c r="J149" s="326"/>
      <c r="K149" s="326"/>
      <c r="L149" s="326"/>
      <c r="M149" s="326"/>
      <c r="N149" s="326"/>
      <c r="O149" s="326"/>
      <c r="P149" s="326"/>
      <c r="Q149" s="326"/>
      <c r="R149" s="326"/>
      <c r="S149" s="326"/>
      <c r="T149" s="326"/>
      <c r="U149" s="326"/>
      <c r="V149" s="326"/>
      <c r="W149" s="326"/>
      <c r="X149" s="326"/>
      <c r="Y149" s="326"/>
      <c r="Z149" s="326"/>
      <c r="AA149" s="326"/>
    </row>
    <row r="150" spans="1:27" ht="12.75">
      <c r="A150" s="326"/>
      <c r="B150" s="326"/>
      <c r="C150" s="326" t="str">
        <f ca="1">IFERROR(__xludf.DUMMYFUNCTION("""COMPUTED_VALUE"""),"Toner Cartridge for the existing Brother DCP L2540DW")</f>
        <v>Toner Cartridge for the existing Brother DCP L2540DW</v>
      </c>
      <c r="D150" s="326" t="s">
        <v>2903</v>
      </c>
      <c r="E150" s="326"/>
      <c r="F150" s="326"/>
      <c r="G150" s="326"/>
      <c r="H150" s="326"/>
      <c r="I150" s="326"/>
      <c r="J150" s="326"/>
      <c r="K150" s="326"/>
      <c r="L150" s="326"/>
      <c r="M150" s="326"/>
      <c r="N150" s="326"/>
      <c r="O150" s="326"/>
      <c r="P150" s="326"/>
      <c r="Q150" s="326"/>
      <c r="R150" s="326"/>
      <c r="S150" s="326"/>
      <c r="T150" s="326"/>
      <c r="U150" s="326"/>
      <c r="V150" s="326"/>
      <c r="W150" s="326"/>
      <c r="X150" s="326"/>
      <c r="Y150" s="326"/>
      <c r="Z150" s="326"/>
      <c r="AA150" s="326"/>
    </row>
    <row r="151" spans="1:27" ht="12.75">
      <c r="A151" s="326"/>
      <c r="B151" s="326"/>
      <c r="C151" s="326" t="str">
        <f ca="1">IFERROR(__xludf.DUMMYFUNCTION("""COMPUTED_VALUE"""),"Toner Cartridge for the existing Canon Imageclass MF543x")</f>
        <v>Toner Cartridge for the existing Canon Imageclass MF543x</v>
      </c>
      <c r="D151" s="326" t="s">
        <v>2904</v>
      </c>
      <c r="E151" s="326"/>
      <c r="F151" s="326"/>
      <c r="G151" s="326"/>
      <c r="H151" s="326"/>
      <c r="I151" s="326"/>
      <c r="J151" s="326"/>
      <c r="K151" s="326"/>
      <c r="L151" s="326"/>
      <c r="M151" s="326"/>
      <c r="N151" s="326"/>
      <c r="O151" s="326"/>
      <c r="P151" s="326"/>
      <c r="Q151" s="326"/>
      <c r="R151" s="326"/>
      <c r="S151" s="326"/>
      <c r="T151" s="326"/>
      <c r="U151" s="326"/>
      <c r="V151" s="326"/>
      <c r="W151" s="326"/>
      <c r="X151" s="326"/>
      <c r="Y151" s="326"/>
      <c r="Z151" s="326"/>
      <c r="AA151" s="326"/>
    </row>
    <row r="152" spans="1:27" ht="12.75">
      <c r="A152" s="326"/>
      <c r="B152" s="326"/>
      <c r="C152" s="326" t="str">
        <f ca="1">IFERROR(__xludf.DUMMYFUNCTION("""COMPUTED_VALUE"""),"Toner Cartridge for the existing ECOSYS M2535DN/L")</f>
        <v>Toner Cartridge for the existing ECOSYS M2535DN/L</v>
      </c>
      <c r="D152" s="326" t="s">
        <v>2905</v>
      </c>
      <c r="E152" s="326"/>
      <c r="F152" s="326"/>
      <c r="G152" s="326"/>
      <c r="H152" s="326"/>
      <c r="I152" s="326"/>
      <c r="J152" s="326"/>
      <c r="K152" s="326"/>
      <c r="L152" s="326"/>
      <c r="M152" s="326"/>
      <c r="N152" s="326"/>
      <c r="O152" s="326"/>
      <c r="P152" s="326"/>
      <c r="Q152" s="326"/>
      <c r="R152" s="326"/>
      <c r="S152" s="326"/>
      <c r="T152" s="326"/>
      <c r="U152" s="326"/>
      <c r="V152" s="326"/>
      <c r="W152" s="326"/>
      <c r="X152" s="326"/>
      <c r="Y152" s="326"/>
      <c r="Z152" s="326"/>
      <c r="AA152" s="326"/>
    </row>
    <row r="153" spans="1:27" ht="12.75">
      <c r="A153" s="326"/>
      <c r="B153" s="326"/>
      <c r="C153" s="326" t="str">
        <f ca="1">IFERROR(__xludf.DUMMYFUNCTION("""COMPUTED_VALUE"""),"Toner Cartridge for the existing ECOSYS M2540DN/L")</f>
        <v>Toner Cartridge for the existing ECOSYS M2540DN/L</v>
      </c>
      <c r="D153" s="326" t="s">
        <v>2906</v>
      </c>
      <c r="E153" s="326"/>
      <c r="F153" s="326"/>
      <c r="G153" s="326"/>
      <c r="H153" s="326"/>
      <c r="I153" s="326"/>
      <c r="J153" s="326"/>
      <c r="K153" s="326"/>
      <c r="L153" s="326"/>
      <c r="M153" s="326"/>
      <c r="N153" s="326"/>
      <c r="O153" s="326"/>
      <c r="P153" s="326"/>
      <c r="Q153" s="326"/>
      <c r="R153" s="326"/>
      <c r="S153" s="326"/>
      <c r="T153" s="326"/>
      <c r="U153" s="326"/>
      <c r="V153" s="326"/>
      <c r="W153" s="326"/>
      <c r="X153" s="326"/>
      <c r="Y153" s="326"/>
      <c r="Z153" s="326"/>
      <c r="AA153" s="326"/>
    </row>
    <row r="154" spans="1:27" ht="12.75">
      <c r="A154" s="326"/>
      <c r="B154" s="326"/>
      <c r="C154" s="326" t="str">
        <f ca="1">IFERROR(__xludf.DUMMYFUNCTION("""COMPUTED_VALUE"""),"Toner Cartridge for the existing ECOSYS M2640IDW/L")</f>
        <v>Toner Cartridge for the existing ECOSYS M2640IDW/L</v>
      </c>
      <c r="D154" s="326" t="s">
        <v>2907</v>
      </c>
      <c r="E154" s="326"/>
      <c r="F154" s="326"/>
      <c r="G154" s="326"/>
      <c r="H154" s="326"/>
      <c r="I154" s="326"/>
      <c r="J154" s="326"/>
      <c r="K154" s="326"/>
      <c r="L154" s="326"/>
      <c r="M154" s="326"/>
      <c r="N154" s="326"/>
      <c r="O154" s="326"/>
      <c r="P154" s="326"/>
      <c r="Q154" s="326"/>
      <c r="R154" s="326"/>
      <c r="S154" s="326"/>
      <c r="T154" s="326"/>
      <c r="U154" s="326"/>
      <c r="V154" s="326"/>
      <c r="W154" s="326"/>
      <c r="X154" s="326"/>
      <c r="Y154" s="326"/>
      <c r="Z154" s="326"/>
      <c r="AA154" s="326"/>
    </row>
    <row r="155" spans="1:27" ht="12.75">
      <c r="A155" s="326"/>
      <c r="B155" s="326"/>
      <c r="C155" s="326" t="str">
        <f ca="1">IFERROR(__xludf.DUMMYFUNCTION("""COMPUTED_VALUE"""),"Toner Cartridge for the existing ECOSYS M3145DN")</f>
        <v>Toner Cartridge for the existing ECOSYS M3145DN</v>
      </c>
      <c r="D155" s="326" t="s">
        <v>2908</v>
      </c>
      <c r="E155" s="326"/>
      <c r="F155" s="326"/>
      <c r="G155" s="326"/>
      <c r="H155" s="326"/>
      <c r="I155" s="326"/>
      <c r="J155" s="326"/>
      <c r="K155" s="326"/>
      <c r="L155" s="326"/>
      <c r="M155" s="326"/>
      <c r="N155" s="326"/>
      <c r="O155" s="326"/>
      <c r="P155" s="326"/>
      <c r="Q155" s="326"/>
      <c r="R155" s="326"/>
      <c r="S155" s="326"/>
      <c r="T155" s="326"/>
      <c r="U155" s="326"/>
      <c r="V155" s="326"/>
      <c r="W155" s="326"/>
      <c r="X155" s="326"/>
      <c r="Y155" s="326"/>
      <c r="Z155" s="326"/>
      <c r="AA155" s="326"/>
    </row>
    <row r="156" spans="1:27" ht="12.75">
      <c r="A156" s="326"/>
      <c r="B156" s="326"/>
      <c r="C156" s="326" t="str">
        <f ca="1">IFERROR(__xludf.DUMMYFUNCTION("""COMPUTED_VALUE"""),"Toner Cartridge for the existing ECOSYS M3645DN")</f>
        <v>Toner Cartridge for the existing ECOSYS M3645DN</v>
      </c>
      <c r="D156" s="326" t="s">
        <v>2909</v>
      </c>
      <c r="E156" s="326"/>
      <c r="F156" s="326"/>
      <c r="G156" s="326"/>
      <c r="H156" s="326"/>
      <c r="I156" s="326"/>
      <c r="J156" s="326"/>
      <c r="K156" s="326"/>
      <c r="L156" s="326"/>
      <c r="M156" s="326"/>
      <c r="N156" s="326"/>
      <c r="O156" s="326"/>
      <c r="P156" s="326"/>
      <c r="Q156" s="326"/>
      <c r="R156" s="326"/>
      <c r="S156" s="326"/>
      <c r="T156" s="326"/>
      <c r="U156" s="326"/>
      <c r="V156" s="326"/>
      <c r="W156" s="326"/>
      <c r="X156" s="326"/>
      <c r="Y156" s="326"/>
      <c r="Z156" s="326"/>
      <c r="AA156" s="326"/>
    </row>
    <row r="157" spans="1:27" ht="12.75">
      <c r="A157" s="326"/>
      <c r="B157" s="326"/>
      <c r="C157" s="326" t="str">
        <f ca="1">IFERROR(__xludf.DUMMYFUNCTION("""COMPUTED_VALUE"""),"Toner Cartridge for the existing ECOSYS M4125IDN")</f>
        <v>Toner Cartridge for the existing ECOSYS M4125IDN</v>
      </c>
      <c r="D157" s="326" t="s">
        <v>2910</v>
      </c>
      <c r="E157" s="326"/>
      <c r="F157" s="326"/>
      <c r="G157" s="326"/>
      <c r="H157" s="326"/>
      <c r="I157" s="326"/>
      <c r="J157" s="326"/>
      <c r="K157" s="326"/>
      <c r="L157" s="326"/>
      <c r="M157" s="326"/>
      <c r="N157" s="326"/>
      <c r="O157" s="326"/>
      <c r="P157" s="326"/>
      <c r="Q157" s="326"/>
      <c r="R157" s="326"/>
      <c r="S157" s="326"/>
      <c r="T157" s="326"/>
      <c r="U157" s="326"/>
      <c r="V157" s="326"/>
      <c r="W157" s="326"/>
      <c r="X157" s="326"/>
      <c r="Y157" s="326"/>
      <c r="Z157" s="326"/>
      <c r="AA157" s="326"/>
    </row>
    <row r="158" spans="1:27" ht="12.75">
      <c r="A158" s="326"/>
      <c r="B158" s="326"/>
      <c r="C158" s="326" t="str">
        <f ca="1">IFERROR(__xludf.DUMMYFUNCTION("""COMPUTED_VALUE"""),"Toner Cartridge for the existing ECOSYS M4132IDN")</f>
        <v>Toner Cartridge for the existing ECOSYS M4132IDN</v>
      </c>
      <c r="D158" s="326" t="s">
        <v>2911</v>
      </c>
      <c r="E158" s="326"/>
      <c r="F158" s="326"/>
      <c r="G158" s="326"/>
      <c r="H158" s="326"/>
      <c r="I158" s="326"/>
      <c r="J158" s="326"/>
      <c r="K158" s="326"/>
      <c r="L158" s="326"/>
      <c r="M158" s="326"/>
      <c r="N158" s="326"/>
      <c r="O158" s="326"/>
      <c r="P158" s="326"/>
      <c r="Q158" s="326"/>
      <c r="R158" s="326"/>
      <c r="S158" s="326"/>
      <c r="T158" s="326"/>
      <c r="U158" s="326"/>
      <c r="V158" s="326"/>
      <c r="W158" s="326"/>
      <c r="X158" s="326"/>
      <c r="Y158" s="326"/>
      <c r="Z158" s="326"/>
      <c r="AA158" s="326"/>
    </row>
    <row r="159" spans="1:27" ht="12.75">
      <c r="A159" s="326"/>
      <c r="B159" s="326"/>
      <c r="C159" s="326" t="str">
        <f ca="1">IFERROR(__xludf.DUMMYFUNCTION("""COMPUTED_VALUE"""),"Toner Cartridge for the existing ECOSYS M5521CDW")</f>
        <v>Toner Cartridge for the existing ECOSYS M5521CDW</v>
      </c>
      <c r="D159" s="326" t="s">
        <v>2912</v>
      </c>
      <c r="E159" s="326"/>
      <c r="F159" s="326"/>
      <c r="G159" s="326"/>
      <c r="H159" s="326"/>
      <c r="I159" s="326"/>
      <c r="J159" s="326"/>
      <c r="K159" s="326"/>
      <c r="L159" s="326"/>
      <c r="M159" s="326"/>
      <c r="N159" s="326"/>
      <c r="O159" s="326"/>
      <c r="P159" s="326"/>
      <c r="Q159" s="326"/>
      <c r="R159" s="326"/>
      <c r="S159" s="326"/>
      <c r="T159" s="326"/>
      <c r="U159" s="326"/>
      <c r="V159" s="326"/>
      <c r="W159" s="326"/>
      <c r="X159" s="326"/>
      <c r="Y159" s="326"/>
      <c r="Z159" s="326"/>
      <c r="AA159" s="326"/>
    </row>
    <row r="160" spans="1:27" ht="12.75">
      <c r="A160" s="326"/>
      <c r="B160" s="326"/>
      <c r="C160" s="326" t="str">
        <f ca="1">IFERROR(__xludf.DUMMYFUNCTION("""COMPUTED_VALUE"""),"Toner Cartridge for the existing ECOSYS M8124CIDN")</f>
        <v>Toner Cartridge for the existing ECOSYS M8124CIDN</v>
      </c>
      <c r="D160" s="326" t="s">
        <v>2913</v>
      </c>
      <c r="E160" s="326"/>
      <c r="F160" s="326"/>
      <c r="G160" s="326"/>
      <c r="H160" s="326"/>
      <c r="I160" s="326"/>
      <c r="J160" s="326"/>
      <c r="K160" s="326"/>
      <c r="L160" s="326"/>
      <c r="M160" s="326"/>
      <c r="N160" s="326"/>
      <c r="O160" s="326"/>
      <c r="P160" s="326"/>
      <c r="Q160" s="326"/>
      <c r="R160" s="326"/>
      <c r="S160" s="326"/>
      <c r="T160" s="326"/>
      <c r="U160" s="326"/>
      <c r="V160" s="326"/>
      <c r="W160" s="326"/>
      <c r="X160" s="326"/>
      <c r="Y160" s="326"/>
      <c r="Z160" s="326"/>
      <c r="AA160" s="326"/>
    </row>
    <row r="161" spans="1:27" ht="12.75">
      <c r="A161" s="326"/>
      <c r="B161" s="326"/>
      <c r="C161" s="326" t="str">
        <f ca="1">IFERROR(__xludf.DUMMYFUNCTION("""COMPUTED_VALUE"""),"Toner Cartridge for the existing ECOSYS P2040DN")</f>
        <v>Toner Cartridge for the existing ECOSYS P2040DN</v>
      </c>
      <c r="D161" s="326" t="s">
        <v>2914</v>
      </c>
      <c r="E161" s="326"/>
      <c r="F161" s="326"/>
      <c r="G161" s="326"/>
      <c r="H161" s="326"/>
      <c r="I161" s="326"/>
      <c r="J161" s="326"/>
      <c r="K161" s="326"/>
      <c r="L161" s="326"/>
      <c r="M161" s="326"/>
      <c r="N161" s="326"/>
      <c r="O161" s="326"/>
      <c r="P161" s="326"/>
      <c r="Q161" s="326"/>
      <c r="R161" s="326"/>
      <c r="S161" s="326"/>
      <c r="T161" s="326"/>
      <c r="U161" s="326"/>
      <c r="V161" s="326"/>
      <c r="W161" s="326"/>
      <c r="X161" s="326"/>
      <c r="Y161" s="326"/>
      <c r="Z161" s="326"/>
      <c r="AA161" s="326"/>
    </row>
    <row r="162" spans="1:27" ht="12.75">
      <c r="A162" s="326"/>
      <c r="B162" s="326"/>
      <c r="C162" s="326" t="str">
        <f ca="1">IFERROR(__xludf.DUMMYFUNCTION("""COMPUTED_VALUE"""),"Toner Cartridge for the existing ECOSYS P6230CDN")</f>
        <v>Toner Cartridge for the existing ECOSYS P6230CDN</v>
      </c>
      <c r="D162" s="326" t="s">
        <v>2915</v>
      </c>
      <c r="E162" s="326"/>
      <c r="F162" s="326"/>
      <c r="G162" s="326"/>
      <c r="H162" s="326"/>
      <c r="I162" s="326"/>
      <c r="J162" s="326"/>
      <c r="K162" s="326"/>
      <c r="L162" s="326"/>
      <c r="M162" s="326"/>
      <c r="N162" s="326"/>
      <c r="O162" s="326"/>
      <c r="P162" s="326"/>
      <c r="Q162" s="326"/>
      <c r="R162" s="326"/>
      <c r="S162" s="326"/>
      <c r="T162" s="326"/>
      <c r="U162" s="326"/>
      <c r="V162" s="326"/>
      <c r="W162" s="326"/>
      <c r="X162" s="326"/>
      <c r="Y162" s="326"/>
      <c r="Z162" s="326"/>
      <c r="AA162" s="326"/>
    </row>
    <row r="163" spans="1:27" ht="12.75">
      <c r="A163" s="326"/>
      <c r="B163" s="326"/>
      <c r="C163" s="326" t="str">
        <f ca="1">IFERROR(__xludf.DUMMYFUNCTION("""COMPUTED_VALUE"""),"Toner Cartridge for the existing FS-6525MFP")</f>
        <v>Toner Cartridge for the existing FS-6525MFP</v>
      </c>
      <c r="D163" s="326" t="s">
        <v>2916</v>
      </c>
      <c r="E163" s="326"/>
      <c r="F163" s="326"/>
      <c r="G163" s="326"/>
      <c r="H163" s="326"/>
      <c r="I163" s="326"/>
      <c r="J163" s="326"/>
      <c r="K163" s="326"/>
      <c r="L163" s="326"/>
      <c r="M163" s="326"/>
      <c r="N163" s="326"/>
      <c r="O163" s="326"/>
      <c r="P163" s="326"/>
      <c r="Q163" s="326"/>
      <c r="R163" s="326"/>
      <c r="S163" s="326"/>
      <c r="T163" s="326"/>
      <c r="U163" s="326"/>
      <c r="V163" s="326"/>
      <c r="W163" s="326"/>
      <c r="X163" s="326"/>
      <c r="Y163" s="326"/>
      <c r="Z163" s="326"/>
      <c r="AA163" s="326"/>
    </row>
    <row r="164" spans="1:27" ht="12.75">
      <c r="A164" s="326"/>
      <c r="B164" s="326"/>
      <c r="C164" s="326" t="str">
        <f ca="1">IFERROR(__xludf.DUMMYFUNCTION("""COMPUTED_VALUE"""),"Toner Cartridge for the existing TASKALFA 3212I")</f>
        <v>Toner Cartridge for the existing TASKALFA 3212I</v>
      </c>
      <c r="D164" s="326" t="s">
        <v>2917</v>
      </c>
      <c r="E164" s="326"/>
      <c r="F164" s="326"/>
      <c r="G164" s="326"/>
      <c r="H164" s="326"/>
      <c r="I164" s="326"/>
      <c r="J164" s="326"/>
      <c r="K164" s="326"/>
      <c r="L164" s="326"/>
      <c r="M164" s="326"/>
      <c r="N164" s="326"/>
      <c r="O164" s="326"/>
      <c r="P164" s="326"/>
      <c r="Q164" s="326"/>
      <c r="R164" s="326"/>
      <c r="S164" s="326"/>
      <c r="T164" s="326"/>
      <c r="U164" s="326"/>
      <c r="V164" s="326"/>
      <c r="W164" s="326"/>
      <c r="X164" s="326"/>
      <c r="Y164" s="326"/>
      <c r="Z164" s="326"/>
      <c r="AA164" s="326"/>
    </row>
    <row r="165" spans="1:27" ht="12.75">
      <c r="A165" s="326"/>
      <c r="B165" s="326"/>
      <c r="C165" s="326" t="str">
        <f ca="1">IFERROR(__xludf.DUMMYFUNCTION("""COMPUTED_VALUE"""),"TONER CARTRIDGE, (TN263BK) Black")</f>
        <v>TONER CARTRIDGE, (TN263BK) Black</v>
      </c>
      <c r="D165" s="326" t="s">
        <v>2918</v>
      </c>
      <c r="E165" s="326"/>
      <c r="F165" s="326"/>
      <c r="G165" s="326"/>
      <c r="H165" s="326"/>
      <c r="I165" s="326"/>
      <c r="J165" s="326"/>
      <c r="K165" s="326"/>
      <c r="L165" s="326"/>
      <c r="M165" s="326"/>
      <c r="N165" s="326"/>
      <c r="O165" s="326"/>
      <c r="P165" s="326"/>
      <c r="Q165" s="326"/>
      <c r="R165" s="326"/>
      <c r="S165" s="326"/>
      <c r="T165" s="326"/>
      <c r="U165" s="326"/>
      <c r="V165" s="326"/>
      <c r="W165" s="326"/>
      <c r="X165" s="326"/>
      <c r="Y165" s="326"/>
      <c r="Z165" s="326"/>
      <c r="AA165" s="326"/>
    </row>
    <row r="166" spans="1:27" ht="12.75">
      <c r="A166" s="326"/>
      <c r="B166" s="326"/>
      <c r="C166" s="326" t="str">
        <f ca="1">IFERROR(__xludf.DUMMYFUNCTION("""COMPUTED_VALUE"""),"TONER CARTRIDGE, (TN263C) Cyan")</f>
        <v>TONER CARTRIDGE, (TN263C) Cyan</v>
      </c>
      <c r="D166" s="326" t="s">
        <v>2919</v>
      </c>
      <c r="E166" s="326"/>
      <c r="F166" s="326"/>
      <c r="G166" s="326"/>
      <c r="H166" s="326"/>
      <c r="I166" s="326"/>
      <c r="J166" s="326"/>
      <c r="K166" s="326"/>
      <c r="L166" s="326"/>
      <c r="M166" s="326"/>
      <c r="N166" s="326"/>
      <c r="O166" s="326"/>
      <c r="P166" s="326"/>
      <c r="Q166" s="326"/>
      <c r="R166" s="326"/>
      <c r="S166" s="326"/>
      <c r="T166" s="326"/>
      <c r="U166" s="326"/>
      <c r="V166" s="326"/>
      <c r="W166" s="326"/>
      <c r="X166" s="326"/>
      <c r="Y166" s="326"/>
      <c r="Z166" s="326"/>
      <c r="AA166" s="326"/>
    </row>
    <row r="167" spans="1:27" ht="12.75">
      <c r="A167" s="326"/>
      <c r="B167" s="326"/>
      <c r="C167" s="326" t="str">
        <f ca="1">IFERROR(__xludf.DUMMYFUNCTION("""COMPUTED_VALUE"""),"TONER CARTRIDGE, (TN263Y) Yellow")</f>
        <v>TONER CARTRIDGE, (TN263Y) Yellow</v>
      </c>
      <c r="D167" s="326" t="s">
        <v>2920</v>
      </c>
      <c r="E167" s="326"/>
      <c r="F167" s="326"/>
      <c r="G167" s="326"/>
      <c r="H167" s="326"/>
      <c r="I167" s="326"/>
      <c r="J167" s="326"/>
      <c r="K167" s="326"/>
      <c r="L167" s="326"/>
      <c r="M167" s="326"/>
      <c r="N167" s="326"/>
      <c r="O167" s="326"/>
      <c r="P167" s="326"/>
      <c r="Q167" s="326"/>
      <c r="R167" s="326"/>
      <c r="S167" s="326"/>
      <c r="T167" s="326"/>
      <c r="U167" s="326"/>
      <c r="V167" s="326"/>
      <c r="W167" s="326"/>
      <c r="X167" s="326"/>
      <c r="Y167" s="326"/>
      <c r="Z167" s="326"/>
      <c r="AA167" s="326"/>
    </row>
    <row r="168" spans="1:27" ht="12.75">
      <c r="A168" s="326"/>
      <c r="B168" s="326"/>
      <c r="C168" s="326" t="str">
        <f ca="1">IFERROR(__xludf.DUMMYFUNCTION("""COMPUTED_VALUE"""),"Touch-style Fingerprint Reader")</f>
        <v>Touch-style Fingerprint Reader</v>
      </c>
      <c r="D168" s="326" t="s">
        <v>2921</v>
      </c>
      <c r="E168" s="326"/>
      <c r="F168" s="326"/>
      <c r="G168" s="326"/>
      <c r="H168" s="326"/>
      <c r="I168" s="326"/>
      <c r="J168" s="326"/>
      <c r="K168" s="326"/>
      <c r="L168" s="326"/>
      <c r="M168" s="326"/>
      <c r="N168" s="326"/>
      <c r="O168" s="326"/>
      <c r="P168" s="326"/>
      <c r="Q168" s="326"/>
      <c r="R168" s="326"/>
      <c r="S168" s="326"/>
      <c r="T168" s="326"/>
      <c r="U168" s="326"/>
      <c r="V168" s="326"/>
      <c r="W168" s="326"/>
      <c r="X168" s="326"/>
      <c r="Y168" s="326"/>
      <c r="Z168" s="326"/>
      <c r="AA168" s="326"/>
    </row>
    <row r="169" spans="1:27" ht="12.75">
      <c r="A169" s="326"/>
      <c r="B169" s="326"/>
      <c r="C169" s="326" t="str">
        <f ca="1">IFERROR(__xludf.DUMMYFUNCTION("""COMPUTED_VALUE"""),"Tox with Screw 6mm (50pcs)")</f>
        <v>Tox with Screw 6mm (50pcs)</v>
      </c>
      <c r="D169" s="326" t="s">
        <v>2922</v>
      </c>
      <c r="E169" s="326"/>
      <c r="F169" s="326"/>
      <c r="G169" s="326"/>
      <c r="H169" s="326"/>
      <c r="I169" s="326"/>
      <c r="J169" s="326"/>
      <c r="K169" s="326"/>
      <c r="L169" s="326"/>
      <c r="M169" s="326"/>
      <c r="N169" s="326"/>
      <c r="O169" s="326"/>
      <c r="P169" s="326"/>
      <c r="Q169" s="326"/>
      <c r="R169" s="326"/>
      <c r="S169" s="326"/>
      <c r="T169" s="326"/>
      <c r="U169" s="326"/>
      <c r="V169" s="326"/>
      <c r="W169" s="326"/>
      <c r="X169" s="326"/>
      <c r="Y169" s="326"/>
      <c r="Z169" s="326"/>
      <c r="AA169" s="326"/>
    </row>
    <row r="170" spans="1:27" ht="12.75">
      <c r="A170" s="326"/>
      <c r="B170" s="326"/>
      <c r="C170" s="326" t="str">
        <f ca="1">IFERROR(__xludf.DUMMYFUNCTION("""COMPUTED_VALUE"""),"UPS 1200VA, AVR, 230V")</f>
        <v>UPS 1200VA, AVR, 230V</v>
      </c>
      <c r="D170" s="326" t="s">
        <v>289</v>
      </c>
      <c r="E170" s="326"/>
      <c r="F170" s="326"/>
      <c r="G170" s="326"/>
      <c r="H170" s="326"/>
      <c r="I170" s="326"/>
      <c r="J170" s="326"/>
      <c r="K170" s="326"/>
      <c r="L170" s="326"/>
      <c r="M170" s="326"/>
      <c r="N170" s="326"/>
      <c r="O170" s="326"/>
      <c r="P170" s="326"/>
      <c r="Q170" s="326"/>
      <c r="R170" s="326"/>
      <c r="S170" s="326"/>
      <c r="T170" s="326"/>
      <c r="U170" s="326"/>
      <c r="V170" s="326"/>
      <c r="W170" s="326"/>
      <c r="X170" s="326"/>
      <c r="Y170" s="326"/>
      <c r="Z170" s="326"/>
      <c r="AA170" s="326"/>
    </row>
    <row r="171" spans="1:27" ht="12.75">
      <c r="A171" s="326"/>
      <c r="B171" s="326"/>
      <c r="C171" s="326" t="str">
        <f ca="1">IFERROR(__xludf.DUMMYFUNCTION("""COMPUTED_VALUE"""),"UPS 650VA, AVR, 230V")</f>
        <v>UPS 650VA, AVR, 230V</v>
      </c>
      <c r="D171" s="326" t="s">
        <v>2923</v>
      </c>
      <c r="E171" s="326"/>
      <c r="F171" s="326"/>
      <c r="G171" s="326"/>
      <c r="H171" s="326"/>
      <c r="I171" s="326"/>
      <c r="J171" s="326"/>
      <c r="K171" s="326"/>
      <c r="L171" s="326"/>
      <c r="M171" s="326"/>
      <c r="N171" s="326"/>
      <c r="O171" s="326"/>
      <c r="P171" s="326"/>
      <c r="Q171" s="326"/>
      <c r="R171" s="326"/>
      <c r="S171" s="326"/>
      <c r="T171" s="326"/>
      <c r="U171" s="326"/>
      <c r="V171" s="326"/>
      <c r="W171" s="326"/>
      <c r="X171" s="326"/>
      <c r="Y171" s="326"/>
      <c r="Z171" s="326"/>
      <c r="AA171" s="326"/>
    </row>
    <row r="172" spans="1:27" ht="12.75">
      <c r="A172" s="326"/>
      <c r="B172" s="326"/>
      <c r="C172" s="326" t="str">
        <f ca="1">IFERROR(__xludf.DUMMYFUNCTION("""COMPUTED_VALUE"""),"USB Computer Headset")</f>
        <v>USB Computer Headset</v>
      </c>
      <c r="D172" s="326" t="s">
        <v>2924</v>
      </c>
      <c r="E172" s="326"/>
      <c r="F172" s="326"/>
      <c r="G172" s="326"/>
      <c r="H172" s="326"/>
      <c r="I172" s="326"/>
      <c r="J172" s="326"/>
      <c r="K172" s="326"/>
      <c r="L172" s="326"/>
      <c r="M172" s="326"/>
      <c r="N172" s="326"/>
      <c r="O172" s="326"/>
      <c r="P172" s="326"/>
      <c r="Q172" s="326"/>
      <c r="R172" s="326"/>
      <c r="S172" s="326"/>
      <c r="T172" s="326"/>
      <c r="U172" s="326"/>
      <c r="V172" s="326"/>
      <c r="W172" s="326"/>
      <c r="X172" s="326"/>
      <c r="Y172" s="326"/>
      <c r="Z172" s="326"/>
      <c r="AA172" s="326"/>
    </row>
    <row r="173" spans="1:27" ht="12.75">
      <c r="A173" s="326"/>
      <c r="B173" s="326"/>
      <c r="C173" s="326" t="str">
        <f ca="1">IFERROR(__xludf.DUMMYFUNCTION("""COMPUTED_VALUE"""),"VDE Insulated Flat Phillips Handle Screwdrivers Set Insulated")</f>
        <v>VDE Insulated Flat Phillips Handle Screwdrivers Set Insulated</v>
      </c>
      <c r="D173" s="326" t="s">
        <v>2925</v>
      </c>
      <c r="E173" s="326"/>
      <c r="F173" s="326"/>
      <c r="G173" s="326"/>
      <c r="H173" s="326"/>
      <c r="I173" s="326"/>
      <c r="J173" s="326"/>
      <c r="K173" s="326"/>
      <c r="L173" s="326"/>
      <c r="M173" s="326"/>
      <c r="N173" s="326"/>
      <c r="O173" s="326"/>
      <c r="P173" s="326"/>
      <c r="Q173" s="326"/>
      <c r="R173" s="326"/>
      <c r="S173" s="326"/>
      <c r="T173" s="326"/>
      <c r="U173" s="326"/>
      <c r="V173" s="326"/>
      <c r="W173" s="326"/>
      <c r="X173" s="326"/>
      <c r="Y173" s="326"/>
      <c r="Z173" s="326"/>
      <c r="AA173" s="326"/>
    </row>
    <row r="174" spans="1:27" ht="12.75">
      <c r="A174" s="326"/>
      <c r="B174" s="326"/>
      <c r="C174" s="326" t="str">
        <f ca="1">IFERROR(__xludf.DUMMYFUNCTION("""COMPUTED_VALUE"""),"Velcro Straps Cable Organizer 3m/roll")</f>
        <v>Velcro Straps Cable Organizer 3m/roll</v>
      </c>
      <c r="D174" s="326" t="s">
        <v>307</v>
      </c>
      <c r="E174" s="326"/>
      <c r="F174" s="326"/>
      <c r="G174" s="326"/>
      <c r="H174" s="326"/>
      <c r="I174" s="326"/>
      <c r="J174" s="326"/>
      <c r="K174" s="326"/>
      <c r="L174" s="326"/>
      <c r="M174" s="326"/>
      <c r="N174" s="326"/>
      <c r="O174" s="326"/>
      <c r="P174" s="326"/>
      <c r="Q174" s="326"/>
      <c r="R174" s="326"/>
      <c r="S174" s="326"/>
      <c r="T174" s="326"/>
      <c r="U174" s="326"/>
      <c r="V174" s="326"/>
      <c r="W174" s="326"/>
      <c r="X174" s="326"/>
      <c r="Y174" s="326"/>
      <c r="Z174" s="326"/>
      <c r="AA174" s="326"/>
    </row>
    <row r="175" spans="1:27" ht="12.75">
      <c r="A175" s="326"/>
      <c r="B175" s="326"/>
      <c r="C175" s="326" t="str">
        <f ca="1">IFERROR(__xludf.DUMMYFUNCTION("""COMPUTED_VALUE"""),"Walkie Talkie Dual Band Handheld Two Way Radio")</f>
        <v>Walkie Talkie Dual Band Handheld Two Way Radio</v>
      </c>
      <c r="D175" s="326" t="s">
        <v>2926</v>
      </c>
      <c r="E175" s="326"/>
      <c r="F175" s="326"/>
      <c r="G175" s="326"/>
      <c r="H175" s="326"/>
      <c r="I175" s="326"/>
      <c r="J175" s="326"/>
      <c r="K175" s="326"/>
      <c r="L175" s="326"/>
      <c r="M175" s="326"/>
      <c r="N175" s="326"/>
      <c r="O175" s="326"/>
      <c r="P175" s="326"/>
      <c r="Q175" s="326"/>
      <c r="R175" s="326"/>
      <c r="S175" s="326"/>
      <c r="T175" s="326"/>
      <c r="U175" s="326"/>
      <c r="V175" s="326"/>
      <c r="W175" s="326"/>
      <c r="X175" s="326"/>
      <c r="Y175" s="326"/>
      <c r="Z175" s="326"/>
      <c r="AA175" s="326"/>
    </row>
    <row r="176" spans="1:27" ht="12.75">
      <c r="A176" s="326"/>
      <c r="B176" s="326"/>
      <c r="C176" s="326" t="str">
        <f ca="1">IFERROR(__xludf.DUMMYFUNCTION("""COMPUTED_VALUE"""),"Webcam Professional Full HD")</f>
        <v>Webcam Professional Full HD</v>
      </c>
      <c r="D176" s="326" t="s">
        <v>2927</v>
      </c>
      <c r="E176" s="326"/>
      <c r="F176" s="326"/>
      <c r="G176" s="326"/>
      <c r="H176" s="326"/>
      <c r="I176" s="326"/>
      <c r="J176" s="326"/>
      <c r="K176" s="326"/>
      <c r="L176" s="326"/>
      <c r="M176" s="326"/>
      <c r="N176" s="326"/>
      <c r="O176" s="326"/>
      <c r="P176" s="326"/>
      <c r="Q176" s="326"/>
      <c r="R176" s="326"/>
      <c r="S176" s="326"/>
      <c r="T176" s="326"/>
      <c r="U176" s="326"/>
      <c r="V176" s="326"/>
      <c r="W176" s="326"/>
      <c r="X176" s="326"/>
      <c r="Y176" s="326"/>
      <c r="Z176" s="326"/>
      <c r="AA176" s="326"/>
    </row>
    <row r="177" spans="1:27" ht="12.75">
      <c r="A177" s="326"/>
      <c r="B177" s="326"/>
      <c r="C177" s="326" t="str">
        <f ca="1">IFERROR(__xludf.DUMMYFUNCTION("""COMPUTED_VALUE"""),"White Nylon Cable Tie 2.5 x 100mm 100pcs/pack")</f>
        <v>White Nylon Cable Tie 2.5 x 100mm 100pcs/pack</v>
      </c>
      <c r="D177" s="326" t="s">
        <v>2928</v>
      </c>
      <c r="E177" s="326"/>
      <c r="F177" s="326"/>
      <c r="G177" s="326"/>
      <c r="H177" s="326"/>
      <c r="I177" s="326"/>
      <c r="J177" s="326"/>
      <c r="K177" s="326"/>
      <c r="L177" s="326"/>
      <c r="M177" s="326"/>
      <c r="N177" s="326"/>
      <c r="O177" s="326"/>
      <c r="P177" s="326"/>
      <c r="Q177" s="326"/>
      <c r="R177" s="326"/>
      <c r="S177" s="326"/>
      <c r="T177" s="326"/>
      <c r="U177" s="326"/>
      <c r="V177" s="326"/>
      <c r="W177" s="326"/>
      <c r="X177" s="326"/>
      <c r="Y177" s="326"/>
      <c r="Z177" s="326"/>
      <c r="AA177" s="326"/>
    </row>
    <row r="178" spans="1:27" ht="12.75">
      <c r="A178" s="326"/>
      <c r="B178" s="326"/>
      <c r="C178" s="326" t="str">
        <f ca="1">IFERROR(__xludf.DUMMYFUNCTION("""COMPUTED_VALUE"""),"White Nylon Cable Tie 2.5 x 140mm 100pcs/pack")</f>
        <v>White Nylon Cable Tie 2.5 x 140mm 100pcs/pack</v>
      </c>
      <c r="D178" s="326" t="s">
        <v>2929</v>
      </c>
      <c r="E178" s="326"/>
      <c r="F178" s="326"/>
      <c r="G178" s="326"/>
      <c r="H178" s="326"/>
      <c r="I178" s="326"/>
      <c r="J178" s="326"/>
      <c r="K178" s="326"/>
      <c r="L178" s="326"/>
      <c r="M178" s="326"/>
      <c r="N178" s="326"/>
      <c r="O178" s="326"/>
      <c r="P178" s="326"/>
      <c r="Q178" s="326"/>
      <c r="R178" s="326"/>
      <c r="S178" s="326"/>
      <c r="T178" s="326"/>
      <c r="U178" s="326"/>
      <c r="V178" s="326"/>
      <c r="W178" s="326"/>
      <c r="X178" s="326"/>
      <c r="Y178" s="326"/>
      <c r="Z178" s="326"/>
      <c r="AA178" s="326"/>
    </row>
    <row r="179" spans="1:27" ht="12.75">
      <c r="A179" s="326"/>
      <c r="B179" s="326"/>
      <c r="C179" s="326" t="str">
        <f ca="1">IFERROR(__xludf.DUMMYFUNCTION("""COMPUTED_VALUE"""),"White Nylon Cable Tie 3.6 x 140mm 100pcs/pack")</f>
        <v>White Nylon Cable Tie 3.6 x 140mm 100pcs/pack</v>
      </c>
      <c r="D179" s="326" t="s">
        <v>2930</v>
      </c>
      <c r="E179" s="326"/>
      <c r="F179" s="326"/>
      <c r="G179" s="326"/>
      <c r="H179" s="326"/>
      <c r="I179" s="326"/>
      <c r="J179" s="326"/>
      <c r="K179" s="326"/>
      <c r="L179" s="326"/>
      <c r="M179" s="326"/>
      <c r="N179" s="326"/>
      <c r="O179" s="326"/>
      <c r="P179" s="326"/>
      <c r="Q179" s="326"/>
      <c r="R179" s="326"/>
      <c r="S179" s="326"/>
      <c r="T179" s="326"/>
      <c r="U179" s="326"/>
      <c r="V179" s="326"/>
      <c r="W179" s="326"/>
      <c r="X179" s="326"/>
      <c r="Y179" s="326"/>
      <c r="Z179" s="326"/>
      <c r="AA179" s="326"/>
    </row>
    <row r="180" spans="1:27" ht="12.75">
      <c r="A180" s="326"/>
      <c r="B180" s="326"/>
      <c r="C180" s="326" t="str">
        <f ca="1">IFERROR(__xludf.DUMMYFUNCTION("""COMPUTED_VALUE"""),"White Nylon Cable Tie 3.6 x 200mm 100pcs/pack")</f>
        <v>White Nylon Cable Tie 3.6 x 200mm 100pcs/pack</v>
      </c>
      <c r="D180" s="326" t="s">
        <v>2931</v>
      </c>
      <c r="E180" s="326"/>
      <c r="F180" s="326"/>
      <c r="G180" s="326"/>
      <c r="H180" s="326"/>
      <c r="I180" s="326"/>
      <c r="J180" s="326"/>
      <c r="K180" s="326"/>
      <c r="L180" s="326"/>
      <c r="M180" s="326"/>
      <c r="N180" s="326"/>
      <c r="O180" s="326"/>
      <c r="P180" s="326"/>
      <c r="Q180" s="326"/>
      <c r="R180" s="326"/>
      <c r="S180" s="326"/>
      <c r="T180" s="326"/>
      <c r="U180" s="326"/>
      <c r="V180" s="326"/>
      <c r="W180" s="326"/>
      <c r="X180" s="326"/>
      <c r="Y180" s="326"/>
      <c r="Z180" s="326"/>
      <c r="AA180" s="326"/>
    </row>
    <row r="181" spans="1:27" ht="12.75">
      <c r="A181" s="326"/>
      <c r="B181" s="326"/>
      <c r="C181" s="326" t="str">
        <f ca="1">IFERROR(__xludf.DUMMYFUNCTION("""COMPUTED_VALUE"""),"White Nylon Cable Tie 3.6 x 300mm 100pcs/pack")</f>
        <v>White Nylon Cable Tie 3.6 x 300mm 100pcs/pack</v>
      </c>
      <c r="D181" s="326" t="s">
        <v>2932</v>
      </c>
      <c r="E181" s="326"/>
      <c r="F181" s="326"/>
      <c r="G181" s="326"/>
      <c r="H181" s="326"/>
      <c r="I181" s="326"/>
      <c r="J181" s="326"/>
      <c r="K181" s="326"/>
      <c r="L181" s="326"/>
      <c r="M181" s="326"/>
      <c r="N181" s="326"/>
      <c r="O181" s="326"/>
      <c r="P181" s="326"/>
      <c r="Q181" s="326"/>
      <c r="R181" s="326"/>
      <c r="S181" s="326"/>
      <c r="T181" s="326"/>
      <c r="U181" s="326"/>
      <c r="V181" s="326"/>
      <c r="W181" s="326"/>
      <c r="X181" s="326"/>
      <c r="Y181" s="326"/>
      <c r="Z181" s="326"/>
      <c r="AA181" s="326"/>
    </row>
    <row r="182" spans="1:27" ht="12.75">
      <c r="A182" s="326"/>
      <c r="B182" s="326"/>
      <c r="C182" s="326" t="str">
        <f ca="1">IFERROR(__xludf.DUMMYFUNCTION("""COMPUTED_VALUE"""),"White Nylon Cable Tie 4.8 x 200mm 100pcs/pack")</f>
        <v>White Nylon Cable Tie 4.8 x 200mm 100pcs/pack</v>
      </c>
      <c r="D182" s="326" t="s">
        <v>2933</v>
      </c>
      <c r="E182" s="326"/>
      <c r="F182" s="326"/>
      <c r="G182" s="326"/>
      <c r="H182" s="326"/>
      <c r="I182" s="326"/>
      <c r="J182" s="326"/>
      <c r="K182" s="326"/>
      <c r="L182" s="326"/>
      <c r="M182" s="326"/>
      <c r="N182" s="326"/>
      <c r="O182" s="326"/>
      <c r="P182" s="326"/>
      <c r="Q182" s="326"/>
      <c r="R182" s="326"/>
      <c r="S182" s="326"/>
      <c r="T182" s="326"/>
      <c r="U182" s="326"/>
      <c r="V182" s="326"/>
      <c r="W182" s="326"/>
      <c r="X182" s="326"/>
      <c r="Y182" s="326"/>
      <c r="Z182" s="326"/>
      <c r="AA182" s="326"/>
    </row>
    <row r="183" spans="1:27" ht="12.75">
      <c r="A183" s="326"/>
      <c r="B183" s="326"/>
      <c r="C183" s="326" t="str">
        <f ca="1">IFERROR(__xludf.DUMMYFUNCTION("""COMPUTED_VALUE"""),"White Nylon Cable Tie 4.8 x 250mm 100pcs/pack")</f>
        <v>White Nylon Cable Tie 4.8 x 250mm 100pcs/pack</v>
      </c>
      <c r="D183" s="326" t="s">
        <v>2934</v>
      </c>
      <c r="E183" s="326"/>
      <c r="F183" s="326"/>
      <c r="G183" s="326"/>
      <c r="H183" s="326"/>
      <c r="I183" s="326"/>
      <c r="J183" s="326"/>
      <c r="K183" s="326"/>
      <c r="L183" s="326"/>
      <c r="M183" s="326"/>
      <c r="N183" s="326"/>
      <c r="O183" s="326"/>
      <c r="P183" s="326"/>
      <c r="Q183" s="326"/>
      <c r="R183" s="326"/>
      <c r="S183" s="326"/>
      <c r="T183" s="326"/>
      <c r="U183" s="326"/>
      <c r="V183" s="326"/>
      <c r="W183" s="326"/>
      <c r="X183" s="326"/>
      <c r="Y183" s="326"/>
      <c r="Z183" s="326"/>
      <c r="AA183" s="326"/>
    </row>
    <row r="184" spans="1:27" ht="12.75">
      <c r="A184" s="326"/>
      <c r="B184" s="326"/>
      <c r="C184" s="326" t="str">
        <f ca="1">IFERROR(__xludf.DUMMYFUNCTION("""COMPUTED_VALUE"""),"White Nylon Cable Tie 4.8 x 300mm 100pcs/pack")</f>
        <v>White Nylon Cable Tie 4.8 x 300mm 100pcs/pack</v>
      </c>
      <c r="D184" s="326" t="s">
        <v>2935</v>
      </c>
      <c r="E184" s="326"/>
      <c r="F184" s="326"/>
      <c r="G184" s="326"/>
      <c r="H184" s="326"/>
      <c r="I184" s="326"/>
      <c r="J184" s="326"/>
      <c r="K184" s="326"/>
      <c r="L184" s="326"/>
      <c r="M184" s="326"/>
      <c r="N184" s="326"/>
      <c r="O184" s="326"/>
      <c r="P184" s="326"/>
      <c r="Q184" s="326"/>
      <c r="R184" s="326"/>
      <c r="S184" s="326"/>
      <c r="T184" s="326"/>
      <c r="U184" s="326"/>
      <c r="V184" s="326"/>
      <c r="W184" s="326"/>
      <c r="X184" s="326"/>
      <c r="Y184" s="326"/>
      <c r="Z184" s="326"/>
      <c r="AA184" s="326"/>
    </row>
    <row r="185" spans="1:27" ht="12.75">
      <c r="A185" s="326"/>
      <c r="B185" s="326"/>
      <c r="C185" s="326" t="str">
        <f ca="1">IFERROR(__xludf.DUMMYFUNCTION("""COMPUTED_VALUE"""),"White Nylon Cable Tie 4.8 x 400mm 100pcs/pack")</f>
        <v>White Nylon Cable Tie 4.8 x 400mm 100pcs/pack</v>
      </c>
      <c r="D185" s="326" t="s">
        <v>2936</v>
      </c>
      <c r="E185" s="326"/>
      <c r="F185" s="326"/>
      <c r="G185" s="326"/>
      <c r="H185" s="326"/>
      <c r="I185" s="326"/>
      <c r="J185" s="326"/>
      <c r="K185" s="326"/>
      <c r="L185" s="326"/>
      <c r="M185" s="326"/>
      <c r="N185" s="326"/>
      <c r="O185" s="326"/>
      <c r="P185" s="326"/>
      <c r="Q185" s="326"/>
      <c r="R185" s="326"/>
      <c r="S185" s="326"/>
      <c r="T185" s="326"/>
      <c r="U185" s="326"/>
      <c r="V185" s="326"/>
      <c r="W185" s="326"/>
      <c r="X185" s="326"/>
      <c r="Y185" s="326"/>
      <c r="Z185" s="326"/>
      <c r="AA185" s="326"/>
    </row>
    <row r="186" spans="1:27" ht="12.75">
      <c r="A186" s="326"/>
      <c r="B186" s="326"/>
      <c r="C186" s="326" t="str">
        <f ca="1">IFERROR(__xludf.DUMMYFUNCTION("""COMPUTED_VALUE"""),"WiFi 6 Access Point Dual-band ")</f>
        <v xml:space="preserve">WiFi 6 Access Point Dual-band </v>
      </c>
      <c r="D186" s="326" t="s">
        <v>2937</v>
      </c>
      <c r="E186" s="326"/>
      <c r="F186" s="326"/>
      <c r="G186" s="326"/>
      <c r="H186" s="326"/>
      <c r="I186" s="326"/>
      <c r="J186" s="326"/>
      <c r="K186" s="326"/>
      <c r="L186" s="326"/>
      <c r="M186" s="326"/>
      <c r="N186" s="326"/>
      <c r="O186" s="326"/>
      <c r="P186" s="326"/>
      <c r="Q186" s="326"/>
      <c r="R186" s="326"/>
      <c r="S186" s="326"/>
      <c r="T186" s="326"/>
      <c r="U186" s="326"/>
      <c r="V186" s="326"/>
      <c r="W186" s="326"/>
      <c r="X186" s="326"/>
      <c r="Y186" s="326"/>
      <c r="Z186" s="326"/>
      <c r="AA186" s="326"/>
    </row>
    <row r="187" spans="1:27" ht="12.75">
      <c r="A187" s="326"/>
      <c r="B187" s="326"/>
      <c r="C187" s="326" t="str">
        <f ca="1">IFERROR(__xludf.DUMMYFUNCTION("""COMPUTED_VALUE"""),"Wired USB Numeric Keypad (Black)")</f>
        <v>Wired USB Numeric Keypad (Black)</v>
      </c>
      <c r="D187" s="326" t="s">
        <v>2938</v>
      </c>
      <c r="E187" s="326"/>
      <c r="F187" s="326"/>
      <c r="G187" s="326"/>
      <c r="H187" s="326"/>
      <c r="I187" s="326"/>
      <c r="J187" s="326"/>
      <c r="K187" s="326"/>
      <c r="L187" s="326"/>
      <c r="M187" s="326"/>
      <c r="N187" s="326"/>
      <c r="O187" s="326"/>
      <c r="P187" s="326"/>
      <c r="Q187" s="326"/>
      <c r="R187" s="326"/>
      <c r="S187" s="326"/>
      <c r="T187" s="326"/>
      <c r="U187" s="326"/>
      <c r="V187" s="326"/>
      <c r="W187" s="326"/>
      <c r="X187" s="326"/>
      <c r="Y187" s="326"/>
      <c r="Z187" s="326"/>
      <c r="AA187" s="326"/>
    </row>
    <row r="188" spans="1:27" ht="12.75">
      <c r="A188" s="326"/>
      <c r="B188" s="326"/>
      <c r="C188" s="326"/>
      <c r="D188" s="326"/>
      <c r="E188" s="326"/>
      <c r="F188" s="326"/>
      <c r="G188" s="326"/>
      <c r="H188" s="326"/>
      <c r="I188" s="326"/>
      <c r="J188" s="326"/>
      <c r="K188" s="326"/>
      <c r="L188" s="326"/>
      <c r="M188" s="326"/>
      <c r="N188" s="326"/>
      <c r="O188" s="326"/>
      <c r="P188" s="326"/>
      <c r="Q188" s="326"/>
      <c r="R188" s="326"/>
      <c r="S188" s="326"/>
      <c r="T188" s="326"/>
      <c r="U188" s="326"/>
      <c r="V188" s="326"/>
      <c r="W188" s="326"/>
      <c r="X188" s="326"/>
      <c r="Y188" s="326"/>
      <c r="Z188" s="326"/>
      <c r="AA188" s="326"/>
    </row>
    <row r="189" spans="1:27" ht="12.75">
      <c r="A189" s="326"/>
      <c r="B189" s="326"/>
      <c r="C189" s="326"/>
      <c r="D189" s="326"/>
      <c r="E189" s="326"/>
      <c r="F189" s="326"/>
      <c r="G189" s="326"/>
      <c r="H189" s="326"/>
      <c r="I189" s="326"/>
      <c r="J189" s="326"/>
      <c r="K189" s="326"/>
      <c r="L189" s="326"/>
      <c r="M189" s="326"/>
      <c r="N189" s="326"/>
      <c r="O189" s="326"/>
      <c r="P189" s="326"/>
      <c r="Q189" s="326"/>
      <c r="R189" s="326"/>
      <c r="S189" s="326"/>
      <c r="T189" s="326"/>
      <c r="U189" s="326"/>
      <c r="V189" s="326"/>
      <c r="W189" s="326"/>
      <c r="X189" s="326"/>
      <c r="Y189" s="326"/>
      <c r="Z189" s="326"/>
      <c r="AA189" s="326"/>
    </row>
    <row r="190" spans="1:27" ht="12.75">
      <c r="A190" s="326"/>
      <c r="B190" s="326"/>
      <c r="C190" s="326"/>
      <c r="D190" s="326"/>
      <c r="E190" s="326"/>
      <c r="F190" s="326"/>
      <c r="G190" s="326"/>
      <c r="H190" s="326"/>
      <c r="I190" s="326"/>
      <c r="J190" s="326"/>
      <c r="K190" s="326"/>
      <c r="L190" s="326"/>
      <c r="M190" s="326"/>
      <c r="N190" s="326"/>
      <c r="O190" s="326"/>
      <c r="P190" s="326"/>
      <c r="Q190" s="326"/>
      <c r="R190" s="326"/>
      <c r="S190" s="326"/>
      <c r="T190" s="326"/>
      <c r="U190" s="326"/>
      <c r="V190" s="326"/>
      <c r="W190" s="326"/>
      <c r="X190" s="326"/>
      <c r="Y190" s="326"/>
      <c r="Z190" s="326"/>
      <c r="AA190" s="326"/>
    </row>
    <row r="191" spans="1:27" ht="12.75">
      <c r="A191" s="326"/>
      <c r="B191" s="326"/>
      <c r="C191" s="326"/>
      <c r="D191" s="326"/>
      <c r="E191" s="326"/>
      <c r="F191" s="326"/>
      <c r="G191" s="326"/>
      <c r="H191" s="326"/>
      <c r="I191" s="326"/>
      <c r="J191" s="326"/>
      <c r="K191" s="326"/>
      <c r="L191" s="326"/>
      <c r="M191" s="326"/>
      <c r="N191" s="326"/>
      <c r="O191" s="326"/>
      <c r="P191" s="326"/>
      <c r="Q191" s="326"/>
      <c r="R191" s="326"/>
      <c r="S191" s="326"/>
      <c r="T191" s="326"/>
      <c r="U191" s="326"/>
      <c r="V191" s="326"/>
      <c r="W191" s="326"/>
      <c r="X191" s="326"/>
      <c r="Y191" s="326"/>
      <c r="Z191" s="326"/>
      <c r="AA191" s="326"/>
    </row>
    <row r="192" spans="1:27" ht="12.75">
      <c r="A192" s="326"/>
      <c r="B192" s="326"/>
      <c r="C192" s="326"/>
      <c r="D192" s="326"/>
      <c r="E192" s="326"/>
      <c r="F192" s="326"/>
      <c r="G192" s="326"/>
      <c r="H192" s="326"/>
      <c r="I192" s="326"/>
      <c r="J192" s="326"/>
      <c r="K192" s="326"/>
      <c r="L192" s="326"/>
      <c r="M192" s="326"/>
      <c r="N192" s="326"/>
      <c r="O192" s="326"/>
      <c r="P192" s="326"/>
      <c r="Q192" s="326"/>
      <c r="R192" s="326"/>
      <c r="S192" s="326"/>
      <c r="T192" s="326"/>
      <c r="U192" s="326"/>
      <c r="V192" s="326"/>
      <c r="W192" s="326"/>
      <c r="X192" s="326"/>
      <c r="Y192" s="326"/>
      <c r="Z192" s="326"/>
      <c r="AA192" s="326"/>
    </row>
    <row r="193" spans="1:27" ht="12.75">
      <c r="A193" s="326"/>
      <c r="B193" s="326"/>
      <c r="C193" s="326"/>
      <c r="D193" s="326"/>
      <c r="E193" s="326"/>
      <c r="F193" s="326"/>
      <c r="G193" s="326"/>
      <c r="H193" s="326"/>
      <c r="I193" s="326"/>
      <c r="J193" s="326"/>
      <c r="K193" s="326"/>
      <c r="L193" s="326"/>
      <c r="M193" s="326"/>
      <c r="N193" s="326"/>
      <c r="O193" s="326"/>
      <c r="P193" s="326"/>
      <c r="Q193" s="326"/>
      <c r="R193" s="326"/>
      <c r="S193" s="326"/>
      <c r="T193" s="326"/>
      <c r="U193" s="326"/>
      <c r="V193" s="326"/>
      <c r="W193" s="326"/>
      <c r="X193" s="326"/>
      <c r="Y193" s="326"/>
      <c r="Z193" s="326"/>
      <c r="AA193" s="326"/>
    </row>
    <row r="194" spans="1:27" ht="12.75">
      <c r="A194" s="326"/>
      <c r="B194" s="326"/>
      <c r="C194" s="326"/>
      <c r="D194" s="326"/>
      <c r="E194" s="326"/>
      <c r="F194" s="326"/>
      <c r="G194" s="326"/>
      <c r="H194" s="326"/>
      <c r="I194" s="326"/>
      <c r="J194" s="326"/>
      <c r="K194" s="326"/>
      <c r="L194" s="326"/>
      <c r="M194" s="326"/>
      <c r="N194" s="326"/>
      <c r="O194" s="326"/>
      <c r="P194" s="326"/>
      <c r="Q194" s="326"/>
      <c r="R194" s="326"/>
      <c r="S194" s="326"/>
      <c r="T194" s="326"/>
      <c r="U194" s="326"/>
      <c r="V194" s="326"/>
      <c r="W194" s="326"/>
      <c r="X194" s="326"/>
      <c r="Y194" s="326"/>
      <c r="Z194" s="326"/>
      <c r="AA194" s="326"/>
    </row>
    <row r="195" spans="1:27" ht="12.75">
      <c r="A195" s="326"/>
      <c r="B195" s="326"/>
      <c r="C195" s="326"/>
      <c r="D195" s="326"/>
      <c r="E195" s="326"/>
      <c r="F195" s="326"/>
      <c r="G195" s="326"/>
      <c r="H195" s="326"/>
      <c r="I195" s="326"/>
      <c r="J195" s="326"/>
      <c r="K195" s="326"/>
      <c r="L195" s="326"/>
      <c r="M195" s="326"/>
      <c r="N195" s="326"/>
      <c r="O195" s="326"/>
      <c r="P195" s="326"/>
      <c r="Q195" s="326"/>
      <c r="R195" s="326"/>
      <c r="S195" s="326"/>
      <c r="T195" s="326"/>
      <c r="U195" s="326"/>
      <c r="V195" s="326"/>
      <c r="W195" s="326"/>
      <c r="X195" s="326"/>
      <c r="Y195" s="326"/>
      <c r="Z195" s="326"/>
      <c r="AA195" s="326"/>
    </row>
    <row r="196" spans="1:27" ht="12.75">
      <c r="A196" s="326"/>
      <c r="B196" s="326"/>
      <c r="C196" s="326"/>
      <c r="D196" s="326"/>
      <c r="E196" s="326"/>
      <c r="F196" s="326"/>
      <c r="G196" s="326"/>
      <c r="H196" s="326"/>
      <c r="I196" s="326"/>
      <c r="J196" s="326"/>
      <c r="K196" s="326"/>
      <c r="L196" s="326"/>
      <c r="M196" s="326"/>
      <c r="N196" s="326"/>
      <c r="O196" s="326"/>
      <c r="P196" s="326"/>
      <c r="Q196" s="326"/>
      <c r="R196" s="326"/>
      <c r="S196" s="326"/>
      <c r="T196" s="326"/>
      <c r="U196" s="326"/>
      <c r="V196" s="326"/>
      <c r="W196" s="326"/>
      <c r="X196" s="326"/>
      <c r="Y196" s="326"/>
      <c r="Z196" s="326"/>
      <c r="AA196" s="326"/>
    </row>
    <row r="197" spans="1:27" ht="12.75">
      <c r="A197" s="326"/>
      <c r="B197" s="326"/>
      <c r="C197" s="326"/>
      <c r="D197" s="326"/>
      <c r="E197" s="326"/>
      <c r="F197" s="326"/>
      <c r="G197" s="326"/>
      <c r="H197" s="326"/>
      <c r="I197" s="326"/>
      <c r="J197" s="326"/>
      <c r="K197" s="326"/>
      <c r="L197" s="326"/>
      <c r="M197" s="326"/>
      <c r="N197" s="326"/>
      <c r="O197" s="326"/>
      <c r="P197" s="326"/>
      <c r="Q197" s="326"/>
      <c r="R197" s="326"/>
      <c r="S197" s="326"/>
      <c r="T197" s="326"/>
      <c r="U197" s="326"/>
      <c r="V197" s="326"/>
      <c r="W197" s="326"/>
      <c r="X197" s="326"/>
      <c r="Y197" s="326"/>
      <c r="Z197" s="326"/>
      <c r="AA197" s="326"/>
    </row>
    <row r="198" spans="1:27" ht="12.75">
      <c r="A198" s="326"/>
      <c r="B198" s="326"/>
      <c r="C198" s="326"/>
      <c r="D198" s="326"/>
      <c r="E198" s="326"/>
      <c r="F198" s="326"/>
      <c r="G198" s="326"/>
      <c r="H198" s="326"/>
      <c r="I198" s="326"/>
      <c r="J198" s="326"/>
      <c r="K198" s="326"/>
      <c r="L198" s="326"/>
      <c r="M198" s="326"/>
      <c r="N198" s="326"/>
      <c r="O198" s="326"/>
      <c r="P198" s="326"/>
      <c r="Q198" s="326"/>
      <c r="R198" s="326"/>
      <c r="S198" s="326"/>
      <c r="T198" s="326"/>
      <c r="U198" s="326"/>
      <c r="V198" s="326"/>
      <c r="W198" s="326"/>
      <c r="X198" s="326"/>
      <c r="Y198" s="326"/>
      <c r="Z198" s="326"/>
      <c r="AA198" s="326"/>
    </row>
    <row r="199" spans="1:27" ht="12.75">
      <c r="A199" s="326"/>
      <c r="B199" s="326"/>
      <c r="C199" s="326"/>
      <c r="D199" s="326"/>
      <c r="E199" s="326"/>
      <c r="F199" s="326"/>
      <c r="G199" s="326"/>
      <c r="H199" s="326"/>
      <c r="I199" s="326"/>
      <c r="J199" s="326"/>
      <c r="K199" s="326"/>
      <c r="L199" s="326"/>
      <c r="M199" s="326"/>
      <c r="N199" s="326"/>
      <c r="O199" s="326"/>
      <c r="P199" s="326"/>
      <c r="Q199" s="326"/>
      <c r="R199" s="326"/>
      <c r="S199" s="326"/>
      <c r="T199" s="326"/>
      <c r="U199" s="326"/>
      <c r="V199" s="326"/>
      <c r="W199" s="326"/>
      <c r="X199" s="326"/>
      <c r="Y199" s="326"/>
      <c r="Z199" s="326"/>
      <c r="AA199" s="326"/>
    </row>
    <row r="200" spans="1:27" ht="12.75">
      <c r="A200" s="326"/>
      <c r="B200" s="326"/>
      <c r="C200" s="326"/>
      <c r="D200" s="326"/>
      <c r="E200" s="326"/>
      <c r="F200" s="326"/>
      <c r="G200" s="326"/>
      <c r="H200" s="326"/>
      <c r="I200" s="326"/>
      <c r="J200" s="326"/>
      <c r="K200" s="326"/>
      <c r="L200" s="326"/>
      <c r="M200" s="326"/>
      <c r="N200" s="326"/>
      <c r="O200" s="326"/>
      <c r="P200" s="326"/>
      <c r="Q200" s="326"/>
      <c r="R200" s="326"/>
      <c r="S200" s="326"/>
      <c r="T200" s="326"/>
      <c r="U200" s="326"/>
      <c r="V200" s="326"/>
      <c r="W200" s="326"/>
      <c r="X200" s="326"/>
      <c r="Y200" s="326"/>
      <c r="Z200" s="326"/>
      <c r="AA200" s="326"/>
    </row>
    <row r="201" spans="1:27" ht="12.75">
      <c r="A201" s="326"/>
      <c r="B201" s="326"/>
      <c r="C201" s="326"/>
      <c r="D201" s="326"/>
      <c r="E201" s="326"/>
      <c r="F201" s="326"/>
      <c r="G201" s="326"/>
      <c r="H201" s="326"/>
      <c r="I201" s="326"/>
      <c r="J201" s="326"/>
      <c r="K201" s="326"/>
      <c r="L201" s="326"/>
      <c r="M201" s="326"/>
      <c r="N201" s="326"/>
      <c r="O201" s="326"/>
      <c r="P201" s="326"/>
      <c r="Q201" s="326"/>
      <c r="R201" s="326"/>
      <c r="S201" s="326"/>
      <c r="T201" s="326"/>
      <c r="U201" s="326"/>
      <c r="V201" s="326"/>
      <c r="W201" s="326"/>
      <c r="X201" s="326"/>
      <c r="Y201" s="326"/>
      <c r="Z201" s="326"/>
      <c r="AA201" s="326"/>
    </row>
    <row r="202" spans="1:27" ht="12.75">
      <c r="A202" s="326"/>
      <c r="B202" s="326"/>
      <c r="C202" s="326"/>
      <c r="D202" s="326"/>
      <c r="E202" s="326"/>
      <c r="F202" s="326"/>
      <c r="G202" s="326"/>
      <c r="H202" s="326"/>
      <c r="I202" s="326"/>
      <c r="J202" s="326"/>
      <c r="K202" s="326"/>
      <c r="L202" s="326"/>
      <c r="M202" s="326"/>
      <c r="N202" s="326"/>
      <c r="O202" s="326"/>
      <c r="P202" s="326"/>
      <c r="Q202" s="326"/>
      <c r="R202" s="326"/>
      <c r="S202" s="326"/>
      <c r="T202" s="326"/>
      <c r="U202" s="326"/>
      <c r="V202" s="326"/>
      <c r="W202" s="326"/>
      <c r="X202" s="326"/>
      <c r="Y202" s="326"/>
      <c r="Z202" s="326"/>
      <c r="AA202" s="326"/>
    </row>
    <row r="203" spans="1:27" ht="12.75">
      <c r="A203" s="326"/>
      <c r="B203" s="326"/>
      <c r="C203" s="326"/>
      <c r="D203" s="326"/>
      <c r="E203" s="326"/>
      <c r="F203" s="326"/>
      <c r="G203" s="326"/>
      <c r="H203" s="326"/>
      <c r="I203" s="326"/>
      <c r="J203" s="326"/>
      <c r="K203" s="326"/>
      <c r="L203" s="326"/>
      <c r="M203" s="326"/>
      <c r="N203" s="326"/>
      <c r="O203" s="326"/>
      <c r="P203" s="326"/>
      <c r="Q203" s="326"/>
      <c r="R203" s="326"/>
      <c r="S203" s="326"/>
      <c r="T203" s="326"/>
      <c r="U203" s="326"/>
      <c r="V203" s="326"/>
      <c r="W203" s="326"/>
      <c r="X203" s="326"/>
      <c r="Y203" s="326"/>
      <c r="Z203" s="326"/>
      <c r="AA203" s="326"/>
    </row>
    <row r="204" spans="1:27" ht="12.75">
      <c r="A204" s="326"/>
      <c r="B204" s="326"/>
      <c r="C204" s="326"/>
      <c r="D204" s="326"/>
      <c r="E204" s="326"/>
      <c r="F204" s="326"/>
      <c r="G204" s="326"/>
      <c r="H204" s="326"/>
      <c r="I204" s="326"/>
      <c r="J204" s="326"/>
      <c r="K204" s="326"/>
      <c r="L204" s="326"/>
      <c r="M204" s="326"/>
      <c r="N204" s="326"/>
      <c r="O204" s="326"/>
      <c r="P204" s="326"/>
      <c r="Q204" s="326"/>
      <c r="R204" s="326"/>
      <c r="S204" s="326"/>
      <c r="T204" s="326"/>
      <c r="U204" s="326"/>
      <c r="V204" s="326"/>
      <c r="W204" s="326"/>
      <c r="X204" s="326"/>
      <c r="Y204" s="326"/>
      <c r="Z204" s="326"/>
      <c r="AA204" s="326"/>
    </row>
    <row r="205" spans="1:27" ht="12.75">
      <c r="A205" s="326"/>
      <c r="B205" s="326"/>
      <c r="C205" s="326"/>
      <c r="D205" s="326"/>
      <c r="E205" s="326"/>
      <c r="F205" s="326"/>
      <c r="G205" s="326"/>
      <c r="H205" s="326"/>
      <c r="I205" s="326"/>
      <c r="J205" s="326"/>
      <c r="K205" s="326"/>
      <c r="L205" s="326"/>
      <c r="M205" s="326"/>
      <c r="N205" s="326"/>
      <c r="O205" s="326"/>
      <c r="P205" s="326"/>
      <c r="Q205" s="326"/>
      <c r="R205" s="326"/>
      <c r="S205" s="326"/>
      <c r="T205" s="326"/>
      <c r="U205" s="326"/>
      <c r="V205" s="326"/>
      <c r="W205" s="326"/>
      <c r="X205" s="326"/>
      <c r="Y205" s="326"/>
      <c r="Z205" s="326"/>
      <c r="AA205" s="326"/>
    </row>
    <row r="206" spans="1:27" ht="12.75">
      <c r="A206" s="326"/>
      <c r="B206" s="326"/>
      <c r="C206" s="326"/>
      <c r="D206" s="326"/>
      <c r="E206" s="326"/>
      <c r="F206" s="326"/>
      <c r="G206" s="326"/>
      <c r="H206" s="326"/>
      <c r="I206" s="326"/>
      <c r="J206" s="326"/>
      <c r="K206" s="326"/>
      <c r="L206" s="326"/>
      <c r="M206" s="326"/>
      <c r="N206" s="326"/>
      <c r="O206" s="326"/>
      <c r="P206" s="326"/>
      <c r="Q206" s="326"/>
      <c r="R206" s="326"/>
      <c r="S206" s="326"/>
      <c r="T206" s="326"/>
      <c r="U206" s="326"/>
      <c r="V206" s="326"/>
      <c r="W206" s="326"/>
      <c r="X206" s="326"/>
      <c r="Y206" s="326"/>
      <c r="Z206" s="326"/>
      <c r="AA206" s="326"/>
    </row>
    <row r="207" spans="1:27" ht="12.75">
      <c r="A207" s="326"/>
      <c r="B207" s="326"/>
      <c r="C207" s="326"/>
      <c r="D207" s="326"/>
      <c r="E207" s="326"/>
      <c r="F207" s="326"/>
      <c r="G207" s="326"/>
      <c r="H207" s="326"/>
      <c r="I207" s="326"/>
      <c r="J207" s="326"/>
      <c r="K207" s="326"/>
      <c r="L207" s="326"/>
      <c r="M207" s="326"/>
      <c r="N207" s="326"/>
      <c r="O207" s="326"/>
      <c r="P207" s="326"/>
      <c r="Q207" s="326"/>
      <c r="R207" s="326"/>
      <c r="S207" s="326"/>
      <c r="T207" s="326"/>
      <c r="U207" s="326"/>
      <c r="V207" s="326"/>
      <c r="W207" s="326"/>
      <c r="X207" s="326"/>
      <c r="Y207" s="326"/>
      <c r="Z207" s="326"/>
      <c r="AA207" s="326"/>
    </row>
    <row r="208" spans="1:27" ht="12.75">
      <c r="A208" s="326"/>
      <c r="B208" s="326"/>
      <c r="C208" s="326"/>
      <c r="D208" s="326"/>
      <c r="E208" s="326"/>
      <c r="F208" s="326"/>
      <c r="G208" s="326"/>
      <c r="H208" s="326"/>
      <c r="I208" s="326"/>
      <c r="J208" s="326"/>
      <c r="K208" s="326"/>
      <c r="L208" s="326"/>
      <c r="M208" s="326"/>
      <c r="N208" s="326"/>
      <c r="O208" s="326"/>
      <c r="P208" s="326"/>
      <c r="Q208" s="326"/>
      <c r="R208" s="326"/>
      <c r="S208" s="326"/>
      <c r="T208" s="326"/>
      <c r="U208" s="326"/>
      <c r="V208" s="326"/>
      <c r="W208" s="326"/>
      <c r="X208" s="326"/>
      <c r="Y208" s="326"/>
      <c r="Z208" s="326"/>
      <c r="AA208" s="326"/>
    </row>
    <row r="209" spans="1:27" ht="12.75">
      <c r="A209" s="326"/>
      <c r="B209" s="326"/>
      <c r="C209" s="326"/>
      <c r="D209" s="326"/>
      <c r="E209" s="326"/>
      <c r="F209" s="326"/>
      <c r="G209" s="326"/>
      <c r="H209" s="326"/>
      <c r="I209" s="326"/>
      <c r="J209" s="326"/>
      <c r="K209" s="326"/>
      <c r="L209" s="326"/>
      <c r="M209" s="326"/>
      <c r="N209" s="326"/>
      <c r="O209" s="326"/>
      <c r="P209" s="326"/>
      <c r="Q209" s="326"/>
      <c r="R209" s="326"/>
      <c r="S209" s="326"/>
      <c r="T209" s="326"/>
      <c r="U209" s="326"/>
      <c r="V209" s="326"/>
      <c r="W209" s="326"/>
      <c r="X209" s="326"/>
      <c r="Y209" s="326"/>
      <c r="Z209" s="326"/>
      <c r="AA209" s="326"/>
    </row>
    <row r="210" spans="1:27" ht="12.75">
      <c r="A210" s="326"/>
      <c r="B210" s="326"/>
      <c r="C210" s="326"/>
      <c r="D210" s="326"/>
      <c r="E210" s="326"/>
      <c r="F210" s="326"/>
      <c r="G210" s="326"/>
      <c r="H210" s="326"/>
      <c r="I210" s="326"/>
      <c r="J210" s="326"/>
      <c r="K210" s="326"/>
      <c r="L210" s="326"/>
      <c r="M210" s="326"/>
      <c r="N210" s="326"/>
      <c r="O210" s="326"/>
      <c r="P210" s="326"/>
      <c r="Q210" s="326"/>
      <c r="R210" s="326"/>
      <c r="S210" s="326"/>
      <c r="T210" s="326"/>
      <c r="U210" s="326"/>
      <c r="V210" s="326"/>
      <c r="W210" s="326"/>
      <c r="X210" s="326"/>
      <c r="Y210" s="326"/>
      <c r="Z210" s="326"/>
      <c r="AA210" s="326"/>
    </row>
    <row r="211" spans="1:27" ht="12.75">
      <c r="A211" s="326"/>
      <c r="B211" s="326"/>
      <c r="C211" s="326"/>
      <c r="D211" s="326"/>
      <c r="E211" s="326"/>
      <c r="F211" s="326"/>
      <c r="G211" s="326"/>
      <c r="H211" s="326"/>
      <c r="I211" s="326"/>
      <c r="J211" s="326"/>
      <c r="K211" s="326"/>
      <c r="L211" s="326"/>
      <c r="M211" s="326"/>
      <c r="N211" s="326"/>
      <c r="O211" s="326"/>
      <c r="P211" s="326"/>
      <c r="Q211" s="326"/>
      <c r="R211" s="326"/>
      <c r="S211" s="326"/>
      <c r="T211" s="326"/>
      <c r="U211" s="326"/>
      <c r="V211" s="326"/>
      <c r="W211" s="326"/>
      <c r="X211" s="326"/>
      <c r="Y211" s="326"/>
      <c r="Z211" s="326"/>
      <c r="AA211" s="326"/>
    </row>
    <row r="212" spans="1:27" ht="12.75">
      <c r="A212" s="326"/>
      <c r="B212" s="326"/>
      <c r="C212" s="326"/>
      <c r="D212" s="326"/>
      <c r="E212" s="326"/>
      <c r="F212" s="326"/>
      <c r="G212" s="326"/>
      <c r="H212" s="326"/>
      <c r="I212" s="326"/>
      <c r="J212" s="326"/>
      <c r="K212" s="326"/>
      <c r="L212" s="326"/>
      <c r="M212" s="326"/>
      <c r="N212" s="326"/>
      <c r="O212" s="326"/>
      <c r="P212" s="326"/>
      <c r="Q212" s="326"/>
      <c r="R212" s="326"/>
      <c r="S212" s="326"/>
      <c r="T212" s="326"/>
      <c r="U212" s="326"/>
      <c r="V212" s="326"/>
      <c r="W212" s="326"/>
      <c r="X212" s="326"/>
      <c r="Y212" s="326"/>
      <c r="Z212" s="326"/>
      <c r="AA212" s="326"/>
    </row>
    <row r="213" spans="1:27" ht="12.75">
      <c r="A213" s="326"/>
      <c r="B213" s="326"/>
      <c r="C213" s="326"/>
      <c r="D213" s="326"/>
      <c r="E213" s="326"/>
      <c r="F213" s="326"/>
      <c r="G213" s="326"/>
      <c r="H213" s="326"/>
      <c r="I213" s="326"/>
      <c r="J213" s="326"/>
      <c r="K213" s="326"/>
      <c r="L213" s="326"/>
      <c r="M213" s="326"/>
      <c r="N213" s="326"/>
      <c r="O213" s="326"/>
      <c r="P213" s="326"/>
      <c r="Q213" s="326"/>
      <c r="R213" s="326"/>
      <c r="S213" s="326"/>
      <c r="T213" s="326"/>
      <c r="U213" s="326"/>
      <c r="V213" s="326"/>
      <c r="W213" s="326"/>
      <c r="X213" s="326"/>
      <c r="Y213" s="326"/>
      <c r="Z213" s="326"/>
      <c r="AA213" s="326"/>
    </row>
    <row r="214" spans="1:27" ht="12.75">
      <c r="A214" s="326"/>
      <c r="B214" s="326"/>
      <c r="C214" s="326"/>
      <c r="D214" s="326"/>
      <c r="E214" s="326"/>
      <c r="F214" s="326"/>
      <c r="G214" s="326"/>
      <c r="H214" s="326"/>
      <c r="I214" s="326"/>
      <c r="J214" s="326"/>
      <c r="K214" s="326"/>
      <c r="L214" s="326"/>
      <c r="M214" s="326"/>
      <c r="N214" s="326"/>
      <c r="O214" s="326"/>
      <c r="P214" s="326"/>
      <c r="Q214" s="326"/>
      <c r="R214" s="326"/>
      <c r="S214" s="326"/>
      <c r="T214" s="326"/>
      <c r="U214" s="326"/>
      <c r="V214" s="326"/>
      <c r="W214" s="326"/>
      <c r="X214" s="326"/>
      <c r="Y214" s="326"/>
      <c r="Z214" s="326"/>
      <c r="AA214" s="326"/>
    </row>
    <row r="215" spans="1:27" ht="12.75">
      <c r="A215" s="326"/>
      <c r="B215" s="326"/>
      <c r="C215" s="326"/>
      <c r="D215" s="326"/>
      <c r="E215" s="326"/>
      <c r="F215" s="326"/>
      <c r="G215" s="326"/>
      <c r="H215" s="326"/>
      <c r="I215" s="326"/>
      <c r="J215" s="326"/>
      <c r="K215" s="326"/>
      <c r="L215" s="326"/>
      <c r="M215" s="326"/>
      <c r="N215" s="326"/>
      <c r="O215" s="326"/>
      <c r="P215" s="326"/>
      <c r="Q215" s="326"/>
      <c r="R215" s="326"/>
      <c r="S215" s="326"/>
      <c r="T215" s="326"/>
      <c r="U215" s="326"/>
      <c r="V215" s="326"/>
      <c r="W215" s="326"/>
      <c r="X215" s="326"/>
      <c r="Y215" s="326"/>
      <c r="Z215" s="326"/>
      <c r="AA215" s="326"/>
    </row>
    <row r="216" spans="1:27" ht="12.75">
      <c r="A216" s="326"/>
      <c r="B216" s="326"/>
      <c r="C216" s="326"/>
      <c r="D216" s="326"/>
      <c r="E216" s="326"/>
      <c r="F216" s="326"/>
      <c r="G216" s="326"/>
      <c r="H216" s="326"/>
      <c r="I216" s="326"/>
      <c r="J216" s="326"/>
      <c r="K216" s="326"/>
      <c r="L216" s="326"/>
      <c r="M216" s="326"/>
      <c r="N216" s="326"/>
      <c r="O216" s="326"/>
      <c r="P216" s="326"/>
      <c r="Q216" s="326"/>
      <c r="R216" s="326"/>
      <c r="S216" s="326"/>
      <c r="T216" s="326"/>
      <c r="U216" s="326"/>
      <c r="V216" s="326"/>
      <c r="W216" s="326"/>
      <c r="X216" s="326"/>
      <c r="Y216" s="326"/>
      <c r="Z216" s="326"/>
      <c r="AA216" s="326"/>
    </row>
    <row r="217" spans="1:27" ht="12.75">
      <c r="A217" s="326"/>
      <c r="B217" s="326"/>
      <c r="C217" s="326"/>
      <c r="D217" s="326"/>
      <c r="E217" s="326"/>
      <c r="F217" s="326"/>
      <c r="G217" s="326"/>
      <c r="H217" s="326"/>
      <c r="I217" s="326"/>
      <c r="J217" s="326"/>
      <c r="K217" s="326"/>
      <c r="L217" s="326"/>
      <c r="M217" s="326"/>
      <c r="N217" s="326"/>
      <c r="O217" s="326"/>
      <c r="P217" s="326"/>
      <c r="Q217" s="326"/>
      <c r="R217" s="326"/>
      <c r="S217" s="326"/>
      <c r="T217" s="326"/>
      <c r="U217" s="326"/>
      <c r="V217" s="326"/>
      <c r="W217" s="326"/>
      <c r="X217" s="326"/>
      <c r="Y217" s="326"/>
      <c r="Z217" s="326"/>
      <c r="AA217" s="326"/>
    </row>
    <row r="218" spans="1:27" ht="12.75">
      <c r="A218" s="326"/>
      <c r="B218" s="326"/>
      <c r="C218" s="326"/>
      <c r="D218" s="326"/>
      <c r="E218" s="326"/>
      <c r="F218" s="326"/>
      <c r="G218" s="326"/>
      <c r="H218" s="326"/>
      <c r="I218" s="326"/>
      <c r="J218" s="326"/>
      <c r="K218" s="326"/>
      <c r="L218" s="326"/>
      <c r="M218" s="326"/>
      <c r="N218" s="326"/>
      <c r="O218" s="326"/>
      <c r="P218" s="326"/>
      <c r="Q218" s="326"/>
      <c r="R218" s="326"/>
      <c r="S218" s="326"/>
      <c r="T218" s="326"/>
      <c r="U218" s="326"/>
      <c r="V218" s="326"/>
      <c r="W218" s="326"/>
      <c r="X218" s="326"/>
      <c r="Y218" s="326"/>
      <c r="Z218" s="326"/>
      <c r="AA218" s="326"/>
    </row>
    <row r="219" spans="1:27" ht="12.75">
      <c r="A219" s="326"/>
      <c r="B219" s="326"/>
      <c r="C219" s="326"/>
      <c r="D219" s="326"/>
      <c r="E219" s="326"/>
      <c r="F219" s="326"/>
      <c r="G219" s="326"/>
      <c r="H219" s="326"/>
      <c r="I219" s="326"/>
      <c r="J219" s="326"/>
      <c r="K219" s="326"/>
      <c r="L219" s="326"/>
      <c r="M219" s="326"/>
      <c r="N219" s="326"/>
      <c r="O219" s="326"/>
      <c r="P219" s="326"/>
      <c r="Q219" s="326"/>
      <c r="R219" s="326"/>
      <c r="S219" s="326"/>
      <c r="T219" s="326"/>
      <c r="U219" s="326"/>
      <c r="V219" s="326"/>
      <c r="W219" s="326"/>
      <c r="X219" s="326"/>
      <c r="Y219" s="326"/>
      <c r="Z219" s="326"/>
      <c r="AA219" s="326"/>
    </row>
    <row r="220" spans="1:27" ht="12.75">
      <c r="A220" s="326"/>
      <c r="B220" s="326"/>
      <c r="C220" s="326"/>
      <c r="D220" s="326"/>
      <c r="E220" s="326"/>
      <c r="F220" s="326"/>
      <c r="G220" s="326"/>
      <c r="H220" s="326"/>
      <c r="I220" s="326"/>
      <c r="J220" s="326"/>
      <c r="K220" s="326"/>
      <c r="L220" s="326"/>
      <c r="M220" s="326"/>
      <c r="N220" s="326"/>
      <c r="O220" s="326"/>
      <c r="P220" s="326"/>
      <c r="Q220" s="326"/>
      <c r="R220" s="326"/>
      <c r="S220" s="326"/>
      <c r="T220" s="326"/>
      <c r="U220" s="326"/>
      <c r="V220" s="326"/>
      <c r="W220" s="326"/>
      <c r="X220" s="326"/>
      <c r="Y220" s="326"/>
      <c r="Z220" s="326"/>
      <c r="AA220" s="326"/>
    </row>
    <row r="221" spans="1:27" ht="12.75">
      <c r="A221" s="326"/>
      <c r="B221" s="326"/>
      <c r="C221" s="326"/>
      <c r="D221" s="326"/>
      <c r="E221" s="326"/>
      <c r="F221" s="326"/>
      <c r="G221" s="326"/>
      <c r="H221" s="326"/>
      <c r="I221" s="326"/>
      <c r="J221" s="326"/>
      <c r="K221" s="326"/>
      <c r="L221" s="326"/>
      <c r="M221" s="326"/>
      <c r="N221" s="326"/>
      <c r="O221" s="326"/>
      <c r="P221" s="326"/>
      <c r="Q221" s="326"/>
      <c r="R221" s="326"/>
      <c r="S221" s="326"/>
      <c r="T221" s="326"/>
      <c r="U221" s="326"/>
      <c r="V221" s="326"/>
      <c r="W221" s="326"/>
      <c r="X221" s="326"/>
      <c r="Y221" s="326"/>
      <c r="Z221" s="326"/>
      <c r="AA221" s="326"/>
    </row>
    <row r="222" spans="1:27" ht="12.75">
      <c r="A222" s="326"/>
      <c r="B222" s="326"/>
      <c r="C222" s="326"/>
      <c r="D222" s="326"/>
      <c r="E222" s="326"/>
      <c r="F222" s="326"/>
      <c r="G222" s="326"/>
      <c r="H222" s="326"/>
      <c r="I222" s="326"/>
      <c r="J222" s="326"/>
      <c r="K222" s="326"/>
      <c r="L222" s="326"/>
      <c r="M222" s="326"/>
      <c r="N222" s="326"/>
      <c r="O222" s="326"/>
      <c r="P222" s="326"/>
      <c r="Q222" s="326"/>
      <c r="R222" s="326"/>
      <c r="S222" s="326"/>
      <c r="T222" s="326"/>
      <c r="U222" s="326"/>
      <c r="V222" s="326"/>
      <c r="W222" s="326"/>
      <c r="X222" s="326"/>
      <c r="Y222" s="326"/>
      <c r="Z222" s="326"/>
      <c r="AA222" s="326"/>
    </row>
    <row r="223" spans="1:27" ht="12.75">
      <c r="A223" s="326"/>
      <c r="B223" s="326"/>
      <c r="C223" s="326"/>
      <c r="D223" s="326"/>
      <c r="E223" s="326"/>
      <c r="F223" s="326"/>
      <c r="G223" s="326"/>
      <c r="H223" s="326"/>
      <c r="I223" s="326"/>
      <c r="J223" s="326"/>
      <c r="K223" s="326"/>
      <c r="L223" s="326"/>
      <c r="M223" s="326"/>
      <c r="N223" s="326"/>
      <c r="O223" s="326"/>
      <c r="P223" s="326"/>
      <c r="Q223" s="326"/>
      <c r="R223" s="326"/>
      <c r="S223" s="326"/>
      <c r="T223" s="326"/>
      <c r="U223" s="326"/>
      <c r="V223" s="326"/>
      <c r="W223" s="326"/>
      <c r="X223" s="326"/>
      <c r="Y223" s="326"/>
      <c r="Z223" s="326"/>
      <c r="AA223" s="326"/>
    </row>
    <row r="224" spans="1:27" ht="12.75">
      <c r="A224" s="326"/>
      <c r="B224" s="326"/>
      <c r="C224" s="326"/>
      <c r="D224" s="326"/>
      <c r="E224" s="326"/>
      <c r="F224" s="326"/>
      <c r="G224" s="326"/>
      <c r="H224" s="326"/>
      <c r="I224" s="326"/>
      <c r="J224" s="326"/>
      <c r="K224" s="326"/>
      <c r="L224" s="326"/>
      <c r="M224" s="326"/>
      <c r="N224" s="326"/>
      <c r="O224" s="326"/>
      <c r="P224" s="326"/>
      <c r="Q224" s="326"/>
      <c r="R224" s="326"/>
      <c r="S224" s="326"/>
      <c r="T224" s="326"/>
      <c r="U224" s="326"/>
      <c r="V224" s="326"/>
      <c r="W224" s="326"/>
      <c r="X224" s="326"/>
      <c r="Y224" s="326"/>
      <c r="Z224" s="326"/>
      <c r="AA224" s="326"/>
    </row>
    <row r="225" spans="1:27" ht="12.75">
      <c r="A225" s="326"/>
      <c r="B225" s="326"/>
      <c r="C225" s="326"/>
      <c r="D225" s="326"/>
      <c r="E225" s="326"/>
      <c r="F225" s="326"/>
      <c r="G225" s="326"/>
      <c r="H225" s="326"/>
      <c r="I225" s="326"/>
      <c r="J225" s="326"/>
      <c r="K225" s="326"/>
      <c r="L225" s="326"/>
      <c r="M225" s="326"/>
      <c r="N225" s="326"/>
      <c r="O225" s="326"/>
      <c r="P225" s="326"/>
      <c r="Q225" s="326"/>
      <c r="R225" s="326"/>
      <c r="S225" s="326"/>
      <c r="T225" s="326"/>
      <c r="U225" s="326"/>
      <c r="V225" s="326"/>
      <c r="W225" s="326"/>
      <c r="X225" s="326"/>
      <c r="Y225" s="326"/>
      <c r="Z225" s="326"/>
      <c r="AA225" s="326"/>
    </row>
    <row r="226" spans="1:27" ht="12.75">
      <c r="A226" s="326"/>
      <c r="B226" s="326"/>
      <c r="C226" s="326"/>
      <c r="D226" s="326"/>
      <c r="E226" s="326"/>
      <c r="F226" s="326"/>
      <c r="G226" s="326"/>
      <c r="H226" s="326"/>
      <c r="I226" s="326"/>
      <c r="J226" s="326"/>
      <c r="K226" s="326"/>
      <c r="L226" s="326"/>
      <c r="M226" s="326"/>
      <c r="N226" s="326"/>
      <c r="O226" s="326"/>
      <c r="P226" s="326"/>
      <c r="Q226" s="326"/>
      <c r="R226" s="326"/>
      <c r="S226" s="326"/>
      <c r="T226" s="326"/>
      <c r="U226" s="326"/>
      <c r="V226" s="326"/>
      <c r="W226" s="326"/>
      <c r="X226" s="326"/>
      <c r="Y226" s="326"/>
      <c r="Z226" s="326"/>
      <c r="AA226" s="326"/>
    </row>
    <row r="227" spans="1:27" ht="12.75">
      <c r="A227" s="326"/>
      <c r="B227" s="326"/>
      <c r="C227" s="326"/>
      <c r="D227" s="326"/>
      <c r="E227" s="326"/>
      <c r="F227" s="326"/>
      <c r="G227" s="326"/>
      <c r="H227" s="326"/>
      <c r="I227" s="326"/>
      <c r="J227" s="326"/>
      <c r="K227" s="326"/>
      <c r="L227" s="326"/>
      <c r="M227" s="326"/>
      <c r="N227" s="326"/>
      <c r="O227" s="326"/>
      <c r="P227" s="326"/>
      <c r="Q227" s="326"/>
      <c r="R227" s="326"/>
      <c r="S227" s="326"/>
      <c r="T227" s="326"/>
      <c r="U227" s="326"/>
      <c r="V227" s="326"/>
      <c r="W227" s="326"/>
      <c r="X227" s="326"/>
      <c r="Y227" s="326"/>
      <c r="Z227" s="326"/>
      <c r="AA227" s="326"/>
    </row>
    <row r="228" spans="1:27" ht="12.75">
      <c r="A228" s="326"/>
      <c r="B228" s="326"/>
      <c r="C228" s="326"/>
      <c r="D228" s="326"/>
      <c r="E228" s="326"/>
      <c r="F228" s="326"/>
      <c r="G228" s="326"/>
      <c r="H228" s="326"/>
      <c r="I228" s="326"/>
      <c r="J228" s="326"/>
      <c r="K228" s="326"/>
      <c r="L228" s="326"/>
      <c r="M228" s="326"/>
      <c r="N228" s="326"/>
      <c r="O228" s="326"/>
      <c r="P228" s="326"/>
      <c r="Q228" s="326"/>
      <c r="R228" s="326"/>
      <c r="S228" s="326"/>
      <c r="T228" s="326"/>
      <c r="U228" s="326"/>
      <c r="V228" s="326"/>
      <c r="W228" s="326"/>
      <c r="X228" s="326"/>
      <c r="Y228" s="326"/>
      <c r="Z228" s="326"/>
      <c r="AA228" s="326"/>
    </row>
    <row r="229" spans="1:27" ht="12.75">
      <c r="A229" s="326"/>
      <c r="B229" s="326"/>
      <c r="C229" s="326"/>
      <c r="D229" s="326"/>
      <c r="E229" s="326"/>
      <c r="F229" s="326"/>
      <c r="G229" s="326"/>
      <c r="H229" s="326"/>
      <c r="I229" s="326"/>
      <c r="J229" s="326"/>
      <c r="K229" s="326"/>
      <c r="L229" s="326"/>
      <c r="M229" s="326"/>
      <c r="N229" s="326"/>
      <c r="O229" s="326"/>
      <c r="P229" s="326"/>
      <c r="Q229" s="326"/>
      <c r="R229" s="326"/>
      <c r="S229" s="326"/>
      <c r="T229" s="326"/>
      <c r="U229" s="326"/>
      <c r="V229" s="326"/>
      <c r="W229" s="326"/>
      <c r="X229" s="326"/>
      <c r="Y229" s="326"/>
      <c r="Z229" s="326"/>
      <c r="AA229" s="326"/>
    </row>
    <row r="230" spans="1:27" ht="12.75">
      <c r="A230" s="326"/>
      <c r="B230" s="326"/>
      <c r="C230" s="326"/>
      <c r="D230" s="326"/>
      <c r="E230" s="326"/>
      <c r="F230" s="326"/>
      <c r="G230" s="326"/>
      <c r="H230" s="326"/>
      <c r="I230" s="326"/>
      <c r="J230" s="326"/>
      <c r="K230" s="326"/>
      <c r="L230" s="326"/>
      <c r="M230" s="326"/>
      <c r="N230" s="326"/>
      <c r="O230" s="326"/>
      <c r="P230" s="326"/>
      <c r="Q230" s="326"/>
      <c r="R230" s="326"/>
      <c r="S230" s="326"/>
      <c r="T230" s="326"/>
      <c r="U230" s="326"/>
      <c r="V230" s="326"/>
      <c r="W230" s="326"/>
      <c r="X230" s="326"/>
      <c r="Y230" s="326"/>
      <c r="Z230" s="326"/>
      <c r="AA230" s="326"/>
    </row>
    <row r="231" spans="1:27" ht="12.75">
      <c r="A231" s="326"/>
      <c r="B231" s="326"/>
      <c r="C231" s="326"/>
      <c r="D231" s="326"/>
      <c r="E231" s="326"/>
      <c r="F231" s="326"/>
      <c r="G231" s="326"/>
      <c r="H231" s="326"/>
      <c r="I231" s="326"/>
      <c r="J231" s="326"/>
      <c r="K231" s="326"/>
      <c r="L231" s="326"/>
      <c r="M231" s="326"/>
      <c r="N231" s="326"/>
      <c r="O231" s="326"/>
      <c r="P231" s="326"/>
      <c r="Q231" s="326"/>
      <c r="R231" s="326"/>
      <c r="S231" s="326"/>
      <c r="T231" s="326"/>
      <c r="U231" s="326"/>
      <c r="V231" s="326"/>
      <c r="W231" s="326"/>
      <c r="X231" s="326"/>
      <c r="Y231" s="326"/>
      <c r="Z231" s="326"/>
      <c r="AA231" s="326"/>
    </row>
    <row r="232" spans="1:27" ht="12.75">
      <c r="A232" s="326"/>
      <c r="B232" s="326"/>
      <c r="C232" s="326"/>
      <c r="D232" s="326"/>
      <c r="E232" s="326"/>
      <c r="F232" s="326"/>
      <c r="G232" s="326"/>
      <c r="H232" s="326"/>
      <c r="I232" s="326"/>
      <c r="J232" s="326"/>
      <c r="K232" s="326"/>
      <c r="L232" s="326"/>
      <c r="M232" s="326"/>
      <c r="N232" s="326"/>
      <c r="O232" s="326"/>
      <c r="P232" s="326"/>
      <c r="Q232" s="326"/>
      <c r="R232" s="326"/>
      <c r="S232" s="326"/>
      <c r="T232" s="326"/>
      <c r="U232" s="326"/>
      <c r="V232" s="326"/>
      <c r="W232" s="326"/>
      <c r="X232" s="326"/>
      <c r="Y232" s="326"/>
      <c r="Z232" s="326"/>
      <c r="AA232" s="326"/>
    </row>
    <row r="233" spans="1:27" ht="12.75">
      <c r="A233" s="326"/>
      <c r="B233" s="326"/>
      <c r="C233" s="326"/>
      <c r="D233" s="326"/>
      <c r="E233" s="326"/>
      <c r="F233" s="326"/>
      <c r="G233" s="326"/>
      <c r="H233" s="326"/>
      <c r="I233" s="326"/>
      <c r="J233" s="326"/>
      <c r="K233" s="326"/>
      <c r="L233" s="326"/>
      <c r="M233" s="326"/>
      <c r="N233" s="326"/>
      <c r="O233" s="326"/>
      <c r="P233" s="326"/>
      <c r="Q233" s="326"/>
      <c r="R233" s="326"/>
      <c r="S233" s="326"/>
      <c r="T233" s="326"/>
      <c r="U233" s="326"/>
      <c r="V233" s="326"/>
      <c r="W233" s="326"/>
      <c r="X233" s="326"/>
      <c r="Y233" s="326"/>
      <c r="Z233" s="326"/>
      <c r="AA233" s="326"/>
    </row>
    <row r="234" spans="1:27" ht="12.75">
      <c r="A234" s="326"/>
      <c r="B234" s="326"/>
      <c r="C234" s="326"/>
      <c r="D234" s="326"/>
      <c r="E234" s="326"/>
      <c r="F234" s="326"/>
      <c r="G234" s="326"/>
      <c r="H234" s="326"/>
      <c r="I234" s="326"/>
      <c r="J234" s="326"/>
      <c r="K234" s="326"/>
      <c r="L234" s="326"/>
      <c r="M234" s="326"/>
      <c r="N234" s="326"/>
      <c r="O234" s="326"/>
      <c r="P234" s="326"/>
      <c r="Q234" s="326"/>
      <c r="R234" s="326"/>
      <c r="S234" s="326"/>
      <c r="T234" s="326"/>
      <c r="U234" s="326"/>
      <c r="V234" s="326"/>
      <c r="W234" s="326"/>
      <c r="X234" s="326"/>
      <c r="Y234" s="326"/>
      <c r="Z234" s="326"/>
      <c r="AA234" s="326"/>
    </row>
    <row r="235" spans="1:27" ht="12.75">
      <c r="A235" s="326"/>
      <c r="B235" s="326"/>
      <c r="C235" s="326"/>
      <c r="D235" s="326"/>
      <c r="E235" s="326"/>
      <c r="F235" s="326"/>
      <c r="G235" s="326"/>
      <c r="H235" s="326"/>
      <c r="I235" s="326"/>
      <c r="J235" s="326"/>
      <c r="K235" s="326"/>
      <c r="L235" s="326"/>
      <c r="M235" s="326"/>
      <c r="N235" s="326"/>
      <c r="O235" s="326"/>
      <c r="P235" s="326"/>
      <c r="Q235" s="326"/>
      <c r="R235" s="326"/>
      <c r="S235" s="326"/>
      <c r="T235" s="326"/>
      <c r="U235" s="326"/>
      <c r="V235" s="326"/>
      <c r="W235" s="326"/>
      <c r="X235" s="326"/>
      <c r="Y235" s="326"/>
      <c r="Z235" s="326"/>
      <c r="AA235" s="326"/>
    </row>
    <row r="236" spans="1:27" ht="12.75">
      <c r="A236" s="326"/>
      <c r="B236" s="326"/>
      <c r="C236" s="326"/>
      <c r="D236" s="326"/>
      <c r="E236" s="326"/>
      <c r="F236" s="326"/>
      <c r="G236" s="326"/>
      <c r="H236" s="326"/>
      <c r="I236" s="326"/>
      <c r="J236" s="326"/>
      <c r="K236" s="326"/>
      <c r="L236" s="326"/>
      <c r="M236" s="326"/>
      <c r="N236" s="326"/>
      <c r="O236" s="326"/>
      <c r="P236" s="326"/>
      <c r="Q236" s="326"/>
      <c r="R236" s="326"/>
      <c r="S236" s="326"/>
      <c r="T236" s="326"/>
      <c r="U236" s="326"/>
      <c r="V236" s="326"/>
      <c r="W236" s="326"/>
      <c r="X236" s="326"/>
      <c r="Y236" s="326"/>
      <c r="Z236" s="326"/>
      <c r="AA236" s="326"/>
    </row>
    <row r="237" spans="1:27" ht="12.75">
      <c r="A237" s="326"/>
      <c r="B237" s="326"/>
      <c r="C237" s="326"/>
      <c r="D237" s="326"/>
      <c r="E237" s="326"/>
      <c r="F237" s="326"/>
      <c r="G237" s="326"/>
      <c r="H237" s="326"/>
      <c r="I237" s="326"/>
      <c r="J237" s="326"/>
      <c r="K237" s="326"/>
      <c r="L237" s="326"/>
      <c r="M237" s="326"/>
      <c r="N237" s="326"/>
      <c r="O237" s="326"/>
      <c r="P237" s="326"/>
      <c r="Q237" s="326"/>
      <c r="R237" s="326"/>
      <c r="S237" s="326"/>
      <c r="T237" s="326"/>
      <c r="U237" s="326"/>
      <c r="V237" s="326"/>
      <c r="W237" s="326"/>
      <c r="X237" s="326"/>
      <c r="Y237" s="326"/>
      <c r="Z237" s="326"/>
      <c r="AA237" s="326"/>
    </row>
    <row r="238" spans="1:27" ht="12.75">
      <c r="A238" s="326"/>
      <c r="B238" s="326"/>
      <c r="C238" s="326"/>
      <c r="D238" s="326"/>
      <c r="E238" s="326"/>
      <c r="F238" s="326"/>
      <c r="G238" s="326"/>
      <c r="H238" s="326"/>
      <c r="I238" s="326"/>
      <c r="J238" s="326"/>
      <c r="K238" s="326"/>
      <c r="L238" s="326"/>
      <c r="M238" s="326"/>
      <c r="N238" s="326"/>
      <c r="O238" s="326"/>
      <c r="P238" s="326"/>
      <c r="Q238" s="326"/>
      <c r="R238" s="326"/>
      <c r="S238" s="326"/>
      <c r="T238" s="326"/>
      <c r="U238" s="326"/>
      <c r="V238" s="326"/>
      <c r="W238" s="326"/>
      <c r="X238" s="326"/>
      <c r="Y238" s="326"/>
      <c r="Z238" s="326"/>
      <c r="AA238" s="326"/>
    </row>
    <row r="239" spans="1:27" ht="12.75">
      <c r="A239" s="326"/>
      <c r="B239" s="326"/>
      <c r="C239" s="326"/>
      <c r="D239" s="326"/>
      <c r="E239" s="326"/>
      <c r="F239" s="326"/>
      <c r="G239" s="326"/>
      <c r="H239" s="326"/>
      <c r="I239" s="326"/>
      <c r="J239" s="326"/>
      <c r="K239" s="326"/>
      <c r="L239" s="326"/>
      <c r="M239" s="326"/>
      <c r="N239" s="326"/>
      <c r="O239" s="326"/>
      <c r="P239" s="326"/>
      <c r="Q239" s="326"/>
      <c r="R239" s="326"/>
      <c r="S239" s="326"/>
      <c r="T239" s="326"/>
      <c r="U239" s="326"/>
      <c r="V239" s="326"/>
      <c r="W239" s="326"/>
      <c r="X239" s="326"/>
      <c r="Y239" s="326"/>
      <c r="Z239" s="326"/>
      <c r="AA239" s="326"/>
    </row>
    <row r="240" spans="1:27" ht="12.75">
      <c r="A240" s="326"/>
      <c r="B240" s="326"/>
      <c r="C240" s="326"/>
      <c r="D240" s="326"/>
      <c r="E240" s="326"/>
      <c r="F240" s="326"/>
      <c r="G240" s="326"/>
      <c r="H240" s="326"/>
      <c r="I240" s="326"/>
      <c r="J240" s="326"/>
      <c r="K240" s="326"/>
      <c r="L240" s="326"/>
      <c r="M240" s="326"/>
      <c r="N240" s="326"/>
      <c r="O240" s="326"/>
      <c r="P240" s="326"/>
      <c r="Q240" s="326"/>
      <c r="R240" s="326"/>
      <c r="S240" s="326"/>
      <c r="T240" s="326"/>
      <c r="U240" s="326"/>
      <c r="V240" s="326"/>
      <c r="W240" s="326"/>
      <c r="X240" s="326"/>
      <c r="Y240" s="326"/>
      <c r="Z240" s="326"/>
      <c r="AA240" s="326"/>
    </row>
    <row r="241" spans="1:27" ht="12.75">
      <c r="A241" s="326"/>
      <c r="B241" s="326"/>
      <c r="C241" s="326"/>
      <c r="D241" s="326"/>
      <c r="E241" s="326"/>
      <c r="F241" s="326"/>
      <c r="G241" s="326"/>
      <c r="H241" s="326"/>
      <c r="I241" s="326"/>
      <c r="J241" s="326"/>
      <c r="K241" s="326"/>
      <c r="L241" s="326"/>
      <c r="M241" s="326"/>
      <c r="N241" s="326"/>
      <c r="O241" s="326"/>
      <c r="P241" s="326"/>
      <c r="Q241" s="326"/>
      <c r="R241" s="326"/>
      <c r="S241" s="326"/>
      <c r="T241" s="326"/>
      <c r="U241" s="326"/>
      <c r="V241" s="326"/>
      <c r="W241" s="326"/>
      <c r="X241" s="326"/>
      <c r="Y241" s="326"/>
      <c r="Z241" s="326"/>
      <c r="AA241" s="326"/>
    </row>
    <row r="242" spans="1:27" ht="12.75">
      <c r="A242" s="326"/>
      <c r="B242" s="326"/>
      <c r="C242" s="326"/>
      <c r="D242" s="326"/>
      <c r="E242" s="326"/>
      <c r="F242" s="326"/>
      <c r="G242" s="326"/>
      <c r="H242" s="326"/>
      <c r="I242" s="326"/>
      <c r="J242" s="326"/>
      <c r="K242" s="326"/>
      <c r="L242" s="326"/>
      <c r="M242" s="326"/>
      <c r="N242" s="326"/>
      <c r="O242" s="326"/>
      <c r="P242" s="326"/>
      <c r="Q242" s="326"/>
      <c r="R242" s="326"/>
      <c r="S242" s="326"/>
      <c r="T242" s="326"/>
      <c r="U242" s="326"/>
      <c r="V242" s="326"/>
      <c r="W242" s="326"/>
      <c r="X242" s="326"/>
      <c r="Y242" s="326"/>
      <c r="Z242" s="326"/>
      <c r="AA242" s="326"/>
    </row>
    <row r="243" spans="1:27" ht="12.75">
      <c r="A243" s="326"/>
      <c r="B243" s="326"/>
      <c r="C243" s="326"/>
      <c r="D243" s="326"/>
      <c r="E243" s="326"/>
      <c r="F243" s="326"/>
      <c r="G243" s="326"/>
      <c r="H243" s="326"/>
      <c r="I243" s="326"/>
      <c r="J243" s="326"/>
      <c r="K243" s="326"/>
      <c r="L243" s="326"/>
      <c r="M243" s="326"/>
      <c r="N243" s="326"/>
      <c r="O243" s="326"/>
      <c r="P243" s="326"/>
      <c r="Q243" s="326"/>
      <c r="R243" s="326"/>
      <c r="S243" s="326"/>
      <c r="T243" s="326"/>
      <c r="U243" s="326"/>
      <c r="V243" s="326"/>
      <c r="W243" s="326"/>
      <c r="X243" s="326"/>
      <c r="Y243" s="326"/>
      <c r="Z243" s="326"/>
      <c r="AA243" s="326"/>
    </row>
    <row r="244" spans="1:27" ht="12.75">
      <c r="A244" s="326"/>
      <c r="B244" s="326"/>
      <c r="C244" s="326"/>
      <c r="D244" s="326"/>
      <c r="E244" s="326"/>
      <c r="F244" s="326"/>
      <c r="G244" s="326"/>
      <c r="H244" s="326"/>
      <c r="I244" s="326"/>
      <c r="J244" s="326"/>
      <c r="K244" s="326"/>
      <c r="L244" s="326"/>
      <c r="M244" s="326"/>
      <c r="N244" s="326"/>
      <c r="O244" s="326"/>
      <c r="P244" s="326"/>
      <c r="Q244" s="326"/>
      <c r="R244" s="326"/>
      <c r="S244" s="326"/>
      <c r="T244" s="326"/>
      <c r="U244" s="326"/>
      <c r="V244" s="326"/>
      <c r="W244" s="326"/>
      <c r="X244" s="326"/>
      <c r="Y244" s="326"/>
      <c r="Z244" s="326"/>
      <c r="AA244" s="326"/>
    </row>
    <row r="245" spans="1:27" ht="12.75">
      <c r="A245" s="326"/>
      <c r="B245" s="326"/>
      <c r="C245" s="326"/>
      <c r="D245" s="326"/>
      <c r="E245" s="326"/>
      <c r="F245" s="326"/>
      <c r="G245" s="326"/>
      <c r="H245" s="326"/>
      <c r="I245" s="326"/>
      <c r="J245" s="326"/>
      <c r="K245" s="326"/>
      <c r="L245" s="326"/>
      <c r="M245" s="326"/>
      <c r="N245" s="326"/>
      <c r="O245" s="326"/>
      <c r="P245" s="326"/>
      <c r="Q245" s="326"/>
      <c r="R245" s="326"/>
      <c r="S245" s="326"/>
      <c r="T245" s="326"/>
      <c r="U245" s="326"/>
      <c r="V245" s="326"/>
      <c r="W245" s="326"/>
      <c r="X245" s="326"/>
      <c r="Y245" s="326"/>
      <c r="Z245" s="326"/>
      <c r="AA245" s="326"/>
    </row>
    <row r="246" spans="1:27" ht="12.75">
      <c r="A246" s="326"/>
      <c r="B246" s="326"/>
      <c r="C246" s="326"/>
      <c r="D246" s="326"/>
      <c r="E246" s="326"/>
      <c r="F246" s="326"/>
      <c r="G246" s="326"/>
      <c r="H246" s="326"/>
      <c r="I246" s="326"/>
      <c r="J246" s="326"/>
      <c r="K246" s="326"/>
      <c r="L246" s="326"/>
      <c r="M246" s="326"/>
      <c r="N246" s="326"/>
      <c r="O246" s="326"/>
      <c r="P246" s="326"/>
      <c r="Q246" s="326"/>
      <c r="R246" s="326"/>
      <c r="S246" s="326"/>
      <c r="T246" s="326"/>
      <c r="U246" s="326"/>
      <c r="V246" s="326"/>
      <c r="W246" s="326"/>
      <c r="X246" s="326"/>
      <c r="Y246" s="326"/>
      <c r="Z246" s="326"/>
      <c r="AA246" s="326"/>
    </row>
    <row r="247" spans="1:27" ht="12.75">
      <c r="A247" s="326"/>
      <c r="B247" s="326"/>
      <c r="C247" s="326"/>
      <c r="D247" s="326"/>
      <c r="E247" s="326"/>
      <c r="F247" s="326"/>
      <c r="G247" s="326"/>
      <c r="H247" s="326"/>
      <c r="I247" s="326"/>
      <c r="J247" s="326"/>
      <c r="K247" s="326"/>
      <c r="L247" s="326"/>
      <c r="M247" s="326"/>
      <c r="N247" s="326"/>
      <c r="O247" s="326"/>
      <c r="P247" s="326"/>
      <c r="Q247" s="326"/>
      <c r="R247" s="326"/>
      <c r="S247" s="326"/>
      <c r="T247" s="326"/>
      <c r="U247" s="326"/>
      <c r="V247" s="326"/>
      <c r="W247" s="326"/>
      <c r="X247" s="326"/>
      <c r="Y247" s="326"/>
      <c r="Z247" s="326"/>
      <c r="AA247" s="326"/>
    </row>
    <row r="248" spans="1:27" ht="12.75">
      <c r="A248" s="326"/>
      <c r="B248" s="326"/>
      <c r="C248" s="326"/>
      <c r="D248" s="326"/>
      <c r="E248" s="326"/>
      <c r="F248" s="326"/>
      <c r="G248" s="326"/>
      <c r="H248" s="326"/>
      <c r="I248" s="326"/>
      <c r="J248" s="326"/>
      <c r="K248" s="326"/>
      <c r="L248" s="326"/>
      <c r="M248" s="326"/>
      <c r="N248" s="326"/>
      <c r="O248" s="326"/>
      <c r="P248" s="326"/>
      <c r="Q248" s="326"/>
      <c r="R248" s="326"/>
      <c r="S248" s="326"/>
      <c r="T248" s="326"/>
      <c r="U248" s="326"/>
      <c r="V248" s="326"/>
      <c r="W248" s="326"/>
      <c r="X248" s="326"/>
      <c r="Y248" s="326"/>
      <c r="Z248" s="326"/>
      <c r="AA248" s="326"/>
    </row>
    <row r="249" spans="1:27" ht="12.75">
      <c r="A249" s="326"/>
      <c r="B249" s="326"/>
      <c r="C249" s="326"/>
      <c r="D249" s="326"/>
      <c r="E249" s="326"/>
      <c r="F249" s="326"/>
      <c r="G249" s="326"/>
      <c r="H249" s="326"/>
      <c r="I249" s="326"/>
      <c r="J249" s="326"/>
      <c r="K249" s="326"/>
      <c r="L249" s="326"/>
      <c r="M249" s="326"/>
      <c r="N249" s="326"/>
      <c r="O249" s="326"/>
      <c r="P249" s="326"/>
      <c r="Q249" s="326"/>
      <c r="R249" s="326"/>
      <c r="S249" s="326"/>
      <c r="T249" s="326"/>
      <c r="U249" s="326"/>
      <c r="V249" s="326"/>
      <c r="W249" s="326"/>
      <c r="X249" s="326"/>
      <c r="Y249" s="326"/>
      <c r="Z249" s="326"/>
      <c r="AA249" s="326"/>
    </row>
    <row r="250" spans="1:27" ht="12.75">
      <c r="A250" s="326"/>
      <c r="B250" s="326"/>
      <c r="C250" s="326"/>
      <c r="D250" s="326"/>
      <c r="E250" s="326"/>
      <c r="F250" s="326"/>
      <c r="G250" s="326"/>
      <c r="H250" s="326"/>
      <c r="I250" s="326"/>
      <c r="J250" s="326"/>
      <c r="K250" s="326"/>
      <c r="L250" s="326"/>
      <c r="M250" s="326"/>
      <c r="N250" s="326"/>
      <c r="O250" s="326"/>
      <c r="P250" s="326"/>
      <c r="Q250" s="326"/>
      <c r="R250" s="326"/>
      <c r="S250" s="326"/>
      <c r="T250" s="326"/>
      <c r="U250" s="326"/>
      <c r="V250" s="326"/>
      <c r="W250" s="326"/>
      <c r="X250" s="326"/>
      <c r="Y250" s="326"/>
      <c r="Z250" s="326"/>
      <c r="AA250" s="326"/>
    </row>
    <row r="251" spans="1:27" ht="12.75">
      <c r="A251" s="326"/>
      <c r="B251" s="326"/>
      <c r="C251" s="326"/>
      <c r="D251" s="326"/>
      <c r="E251" s="326"/>
      <c r="F251" s="326"/>
      <c r="G251" s="326"/>
      <c r="H251" s="326"/>
      <c r="I251" s="326"/>
      <c r="J251" s="326"/>
      <c r="K251" s="326"/>
      <c r="L251" s="326"/>
      <c r="M251" s="326"/>
      <c r="N251" s="326"/>
      <c r="O251" s="326"/>
      <c r="P251" s="326"/>
      <c r="Q251" s="326"/>
      <c r="R251" s="326"/>
      <c r="S251" s="326"/>
      <c r="T251" s="326"/>
      <c r="U251" s="326"/>
      <c r="V251" s="326"/>
      <c r="W251" s="326"/>
      <c r="X251" s="326"/>
      <c r="Y251" s="326"/>
      <c r="Z251" s="326"/>
      <c r="AA251" s="326"/>
    </row>
    <row r="252" spans="1:27" ht="12.75">
      <c r="A252" s="326"/>
      <c r="B252" s="326"/>
      <c r="C252" s="326"/>
      <c r="D252" s="326"/>
      <c r="E252" s="326"/>
      <c r="F252" s="326"/>
      <c r="G252" s="326"/>
      <c r="H252" s="326"/>
      <c r="I252" s="326"/>
      <c r="J252" s="326"/>
      <c r="K252" s="326"/>
      <c r="L252" s="326"/>
      <c r="M252" s="326"/>
      <c r="N252" s="326"/>
      <c r="O252" s="326"/>
      <c r="P252" s="326"/>
      <c r="Q252" s="326"/>
      <c r="R252" s="326"/>
      <c r="S252" s="326"/>
      <c r="T252" s="326"/>
      <c r="U252" s="326"/>
      <c r="V252" s="326"/>
      <c r="W252" s="326"/>
      <c r="X252" s="326"/>
      <c r="Y252" s="326"/>
      <c r="Z252" s="326"/>
      <c r="AA252" s="326"/>
    </row>
    <row r="253" spans="1:27" ht="12.75">
      <c r="A253" s="326"/>
      <c r="B253" s="326"/>
      <c r="C253" s="326"/>
      <c r="D253" s="326"/>
      <c r="E253" s="326"/>
      <c r="F253" s="326"/>
      <c r="G253" s="326"/>
      <c r="H253" s="326"/>
      <c r="I253" s="326"/>
      <c r="J253" s="326"/>
      <c r="K253" s="326"/>
      <c r="L253" s="326"/>
      <c r="M253" s="326"/>
      <c r="N253" s="326"/>
      <c r="O253" s="326"/>
      <c r="P253" s="326"/>
      <c r="Q253" s="326"/>
      <c r="R253" s="326"/>
      <c r="S253" s="326"/>
      <c r="T253" s="326"/>
      <c r="U253" s="326"/>
      <c r="V253" s="326"/>
      <c r="W253" s="326"/>
      <c r="X253" s="326"/>
      <c r="Y253" s="326"/>
      <c r="Z253" s="326"/>
      <c r="AA253" s="326"/>
    </row>
    <row r="254" spans="1:27" ht="12.75">
      <c r="A254" s="326"/>
      <c r="B254" s="326"/>
      <c r="C254" s="326"/>
      <c r="D254" s="326"/>
      <c r="E254" s="326"/>
      <c r="F254" s="326"/>
      <c r="G254" s="326"/>
      <c r="H254" s="326"/>
      <c r="I254" s="326"/>
      <c r="J254" s="326"/>
      <c r="K254" s="326"/>
      <c r="L254" s="326"/>
      <c r="M254" s="326"/>
      <c r="N254" s="326"/>
      <c r="O254" s="326"/>
      <c r="P254" s="326"/>
      <c r="Q254" s="326"/>
      <c r="R254" s="326"/>
      <c r="S254" s="326"/>
      <c r="T254" s="326"/>
      <c r="U254" s="326"/>
      <c r="V254" s="326"/>
      <c r="W254" s="326"/>
      <c r="X254" s="326"/>
      <c r="Y254" s="326"/>
      <c r="Z254" s="326"/>
      <c r="AA254" s="326"/>
    </row>
    <row r="255" spans="1:27" ht="12.75">
      <c r="A255" s="326"/>
      <c r="B255" s="326"/>
      <c r="C255" s="326"/>
      <c r="D255" s="326"/>
      <c r="E255" s="326"/>
      <c r="F255" s="326"/>
      <c r="G255" s="326"/>
      <c r="H255" s="326"/>
      <c r="I255" s="326"/>
      <c r="J255" s="326"/>
      <c r="K255" s="326"/>
      <c r="L255" s="326"/>
      <c r="M255" s="326"/>
      <c r="N255" s="326"/>
      <c r="O255" s="326"/>
      <c r="P255" s="326"/>
      <c r="Q255" s="326"/>
      <c r="R255" s="326"/>
      <c r="S255" s="326"/>
      <c r="T255" s="326"/>
      <c r="U255" s="326"/>
      <c r="V255" s="326"/>
      <c r="W255" s="326"/>
      <c r="X255" s="326"/>
      <c r="Y255" s="326"/>
      <c r="Z255" s="326"/>
      <c r="AA255" s="326"/>
    </row>
    <row r="256" spans="1:27" ht="12.75">
      <c r="A256" s="326"/>
      <c r="B256" s="326"/>
      <c r="C256" s="326"/>
      <c r="D256" s="326"/>
      <c r="E256" s="326"/>
      <c r="F256" s="326"/>
      <c r="G256" s="326"/>
      <c r="H256" s="326"/>
      <c r="I256" s="326"/>
      <c r="J256" s="326"/>
      <c r="K256" s="326"/>
      <c r="L256" s="326"/>
      <c r="M256" s="326"/>
      <c r="N256" s="326"/>
      <c r="O256" s="326"/>
      <c r="P256" s="326"/>
      <c r="Q256" s="326"/>
      <c r="R256" s="326"/>
      <c r="S256" s="326"/>
      <c r="T256" s="326"/>
      <c r="U256" s="326"/>
      <c r="V256" s="326"/>
      <c r="W256" s="326"/>
      <c r="X256" s="326"/>
      <c r="Y256" s="326"/>
      <c r="Z256" s="326"/>
      <c r="AA256" s="326"/>
    </row>
    <row r="257" spans="1:27" ht="12.75">
      <c r="A257" s="326"/>
      <c r="B257" s="326"/>
      <c r="C257" s="326"/>
      <c r="D257" s="326"/>
      <c r="E257" s="326"/>
      <c r="F257" s="326"/>
      <c r="G257" s="326"/>
      <c r="H257" s="326"/>
      <c r="I257" s="326"/>
      <c r="J257" s="326"/>
      <c r="K257" s="326"/>
      <c r="L257" s="326"/>
      <c r="M257" s="326"/>
      <c r="N257" s="326"/>
      <c r="O257" s="326"/>
      <c r="P257" s="326"/>
      <c r="Q257" s="326"/>
      <c r="R257" s="326"/>
      <c r="S257" s="326"/>
      <c r="T257" s="326"/>
      <c r="U257" s="326"/>
      <c r="V257" s="326"/>
      <c r="W257" s="326"/>
      <c r="X257" s="326"/>
      <c r="Y257" s="326"/>
      <c r="Z257" s="326"/>
      <c r="AA257" s="326"/>
    </row>
    <row r="258" spans="1:27" ht="12.75">
      <c r="A258" s="326"/>
      <c r="B258" s="326"/>
      <c r="C258" s="326"/>
      <c r="D258" s="326"/>
      <c r="E258" s="326"/>
      <c r="F258" s="326"/>
      <c r="G258" s="326"/>
      <c r="H258" s="326"/>
      <c r="I258" s="326"/>
      <c r="J258" s="326"/>
      <c r="K258" s="326"/>
      <c r="L258" s="326"/>
      <c r="M258" s="326"/>
      <c r="N258" s="326"/>
      <c r="O258" s="326"/>
      <c r="P258" s="326"/>
      <c r="Q258" s="326"/>
      <c r="R258" s="326"/>
      <c r="S258" s="326"/>
      <c r="T258" s="326"/>
      <c r="U258" s="326"/>
      <c r="V258" s="326"/>
      <c r="W258" s="326"/>
      <c r="X258" s="326"/>
      <c r="Y258" s="326"/>
      <c r="Z258" s="326"/>
      <c r="AA258" s="326"/>
    </row>
    <row r="259" spans="1:27" ht="12.75">
      <c r="A259" s="326"/>
      <c r="B259" s="326"/>
      <c r="C259" s="326"/>
      <c r="D259" s="326"/>
      <c r="E259" s="326"/>
      <c r="F259" s="326"/>
      <c r="G259" s="326"/>
      <c r="H259" s="326"/>
      <c r="I259" s="326"/>
      <c r="J259" s="326"/>
      <c r="K259" s="326"/>
      <c r="L259" s="326"/>
      <c r="M259" s="326"/>
      <c r="N259" s="326"/>
      <c r="O259" s="326"/>
      <c r="P259" s="326"/>
      <c r="Q259" s="326"/>
      <c r="R259" s="326"/>
      <c r="S259" s="326"/>
      <c r="T259" s="326"/>
      <c r="U259" s="326"/>
      <c r="V259" s="326"/>
      <c r="W259" s="326"/>
      <c r="X259" s="326"/>
      <c r="Y259" s="326"/>
      <c r="Z259" s="326"/>
      <c r="AA259" s="326"/>
    </row>
    <row r="260" spans="1:27" ht="12.75">
      <c r="A260" s="326"/>
      <c r="B260" s="326"/>
      <c r="C260" s="326"/>
      <c r="D260" s="326"/>
      <c r="E260" s="326"/>
      <c r="F260" s="326"/>
      <c r="G260" s="326"/>
      <c r="H260" s="326"/>
      <c r="I260" s="326"/>
      <c r="J260" s="326"/>
      <c r="K260" s="326"/>
      <c r="L260" s="326"/>
      <c r="M260" s="326"/>
      <c r="N260" s="326"/>
      <c r="O260" s="326"/>
      <c r="P260" s="326"/>
      <c r="Q260" s="326"/>
      <c r="R260" s="326"/>
      <c r="S260" s="326"/>
      <c r="T260" s="326"/>
      <c r="U260" s="326"/>
      <c r="V260" s="326"/>
      <c r="W260" s="326"/>
      <c r="X260" s="326"/>
      <c r="Y260" s="326"/>
      <c r="Z260" s="326"/>
      <c r="AA260" s="326"/>
    </row>
    <row r="261" spans="1:27" ht="12.75">
      <c r="A261" s="326"/>
      <c r="B261" s="326"/>
      <c r="C261" s="326"/>
      <c r="D261" s="326"/>
      <c r="E261" s="326"/>
      <c r="F261" s="326"/>
      <c r="G261" s="326"/>
      <c r="H261" s="326"/>
      <c r="I261" s="326"/>
      <c r="J261" s="326"/>
      <c r="K261" s="326"/>
      <c r="L261" s="326"/>
      <c r="M261" s="326"/>
      <c r="N261" s="326"/>
      <c r="O261" s="326"/>
      <c r="P261" s="326"/>
      <c r="Q261" s="326"/>
      <c r="R261" s="326"/>
      <c r="S261" s="326"/>
      <c r="T261" s="326"/>
      <c r="U261" s="326"/>
      <c r="V261" s="326"/>
      <c r="W261" s="326"/>
      <c r="X261" s="326"/>
      <c r="Y261" s="326"/>
      <c r="Z261" s="326"/>
      <c r="AA261" s="326"/>
    </row>
    <row r="262" spans="1:27" ht="12.75">
      <c r="A262" s="326"/>
      <c r="B262" s="326"/>
      <c r="C262" s="326"/>
      <c r="D262" s="326"/>
      <c r="E262" s="326"/>
      <c r="F262" s="326"/>
      <c r="G262" s="326"/>
      <c r="H262" s="326"/>
      <c r="I262" s="326"/>
      <c r="J262" s="326"/>
      <c r="K262" s="326"/>
      <c r="L262" s="326"/>
      <c r="M262" s="326"/>
      <c r="N262" s="326"/>
      <c r="O262" s="326"/>
      <c r="P262" s="326"/>
      <c r="Q262" s="326"/>
      <c r="R262" s="326"/>
      <c r="S262" s="326"/>
      <c r="T262" s="326"/>
      <c r="U262" s="326"/>
      <c r="V262" s="326"/>
      <c r="W262" s="326"/>
      <c r="X262" s="326"/>
      <c r="Y262" s="326"/>
      <c r="Z262" s="326"/>
      <c r="AA262" s="326"/>
    </row>
    <row r="263" spans="1:27" ht="12.75">
      <c r="A263" s="326"/>
      <c r="B263" s="326"/>
      <c r="C263" s="326"/>
      <c r="D263" s="326"/>
      <c r="E263" s="326"/>
      <c r="F263" s="326"/>
      <c r="G263" s="326"/>
      <c r="H263" s="326"/>
      <c r="I263" s="326"/>
      <c r="J263" s="326"/>
      <c r="K263" s="326"/>
      <c r="L263" s="326"/>
      <c r="M263" s="326"/>
      <c r="N263" s="326"/>
      <c r="O263" s="326"/>
      <c r="P263" s="326"/>
      <c r="Q263" s="326"/>
      <c r="R263" s="326"/>
      <c r="S263" s="326"/>
      <c r="T263" s="326"/>
      <c r="U263" s="326"/>
      <c r="V263" s="326"/>
      <c r="W263" s="326"/>
      <c r="X263" s="326"/>
      <c r="Y263" s="326"/>
      <c r="Z263" s="326"/>
      <c r="AA263" s="326"/>
    </row>
    <row r="264" spans="1:27" ht="12.75">
      <c r="A264" s="326"/>
      <c r="B264" s="326"/>
      <c r="C264" s="326"/>
      <c r="D264" s="326"/>
      <c r="E264" s="326"/>
      <c r="F264" s="326"/>
      <c r="G264" s="326"/>
      <c r="H264" s="326"/>
      <c r="I264" s="326"/>
      <c r="J264" s="326"/>
      <c r="K264" s="326"/>
      <c r="L264" s="326"/>
      <c r="M264" s="326"/>
      <c r="N264" s="326"/>
      <c r="O264" s="326"/>
      <c r="P264" s="326"/>
      <c r="Q264" s="326"/>
      <c r="R264" s="326"/>
      <c r="S264" s="326"/>
      <c r="T264" s="326"/>
      <c r="U264" s="326"/>
      <c r="V264" s="326"/>
      <c r="W264" s="326"/>
      <c r="X264" s="326"/>
      <c r="Y264" s="326"/>
      <c r="Z264" s="326"/>
      <c r="AA264" s="326"/>
    </row>
    <row r="265" spans="1:27" ht="12.75">
      <c r="A265" s="326"/>
      <c r="B265" s="326"/>
      <c r="C265" s="326"/>
      <c r="D265" s="326"/>
      <c r="E265" s="326"/>
      <c r="F265" s="326"/>
      <c r="G265" s="326"/>
      <c r="H265" s="326"/>
      <c r="I265" s="326"/>
      <c r="J265" s="326"/>
      <c r="K265" s="326"/>
      <c r="L265" s="326"/>
      <c r="M265" s="326"/>
      <c r="N265" s="326"/>
      <c r="O265" s="326"/>
      <c r="P265" s="326"/>
      <c r="Q265" s="326"/>
      <c r="R265" s="326"/>
      <c r="S265" s="326"/>
      <c r="T265" s="326"/>
      <c r="U265" s="326"/>
      <c r="V265" s="326"/>
      <c r="W265" s="326"/>
      <c r="X265" s="326"/>
      <c r="Y265" s="326"/>
      <c r="Z265" s="326"/>
      <c r="AA265" s="326"/>
    </row>
    <row r="266" spans="1:27" ht="12.75">
      <c r="A266" s="326"/>
      <c r="B266" s="326"/>
      <c r="C266" s="326"/>
      <c r="D266" s="326"/>
      <c r="E266" s="326"/>
      <c r="F266" s="326"/>
      <c r="G266" s="326"/>
      <c r="H266" s="326"/>
      <c r="I266" s="326"/>
      <c r="J266" s="326"/>
      <c r="K266" s="326"/>
      <c r="L266" s="326"/>
      <c r="M266" s="326"/>
      <c r="N266" s="326"/>
      <c r="O266" s="326"/>
      <c r="P266" s="326"/>
      <c r="Q266" s="326"/>
      <c r="R266" s="326"/>
      <c r="S266" s="326"/>
      <c r="T266" s="326"/>
      <c r="U266" s="326"/>
      <c r="V266" s="326"/>
      <c r="W266" s="326"/>
      <c r="X266" s="326"/>
      <c r="Y266" s="326"/>
      <c r="Z266" s="326"/>
      <c r="AA266" s="326"/>
    </row>
    <row r="267" spans="1:27" ht="12.75">
      <c r="A267" s="326"/>
      <c r="B267" s="326"/>
      <c r="C267" s="326"/>
      <c r="D267" s="326"/>
      <c r="E267" s="326"/>
      <c r="F267" s="326"/>
      <c r="G267" s="326"/>
      <c r="H267" s="326"/>
      <c r="I267" s="326"/>
      <c r="J267" s="326"/>
      <c r="K267" s="326"/>
      <c r="L267" s="326"/>
      <c r="M267" s="326"/>
      <c r="N267" s="326"/>
      <c r="O267" s="326"/>
      <c r="P267" s="326"/>
      <c r="Q267" s="326"/>
      <c r="R267" s="326"/>
      <c r="S267" s="326"/>
      <c r="T267" s="326"/>
      <c r="U267" s="326"/>
      <c r="V267" s="326"/>
      <c r="W267" s="326"/>
      <c r="X267" s="326"/>
      <c r="Y267" s="326"/>
      <c r="Z267" s="326"/>
      <c r="AA267" s="326"/>
    </row>
    <row r="268" spans="1:27" ht="12.75">
      <c r="A268" s="326"/>
      <c r="B268" s="326"/>
      <c r="C268" s="326"/>
      <c r="D268" s="326"/>
      <c r="E268" s="326"/>
      <c r="F268" s="326"/>
      <c r="G268" s="326"/>
      <c r="H268" s="326"/>
      <c r="I268" s="326"/>
      <c r="J268" s="326"/>
      <c r="K268" s="326"/>
      <c r="L268" s="326"/>
      <c r="M268" s="326"/>
      <c r="N268" s="326"/>
      <c r="O268" s="326"/>
      <c r="P268" s="326"/>
      <c r="Q268" s="326"/>
      <c r="R268" s="326"/>
      <c r="S268" s="326"/>
      <c r="T268" s="326"/>
      <c r="U268" s="326"/>
      <c r="V268" s="326"/>
      <c r="W268" s="326"/>
      <c r="X268" s="326"/>
      <c r="Y268" s="326"/>
      <c r="Z268" s="326"/>
      <c r="AA268" s="326"/>
    </row>
    <row r="269" spans="1:27" ht="12.75">
      <c r="A269" s="326"/>
      <c r="B269" s="326"/>
      <c r="C269" s="326"/>
      <c r="D269" s="326"/>
      <c r="E269" s="326"/>
      <c r="F269" s="326"/>
      <c r="G269" s="326"/>
      <c r="H269" s="326"/>
      <c r="I269" s="326"/>
      <c r="J269" s="326"/>
      <c r="K269" s="326"/>
      <c r="L269" s="326"/>
      <c r="M269" s="326"/>
      <c r="N269" s="326"/>
      <c r="O269" s="326"/>
      <c r="P269" s="326"/>
      <c r="Q269" s="326"/>
      <c r="R269" s="326"/>
      <c r="S269" s="326"/>
      <c r="T269" s="326"/>
      <c r="U269" s="326"/>
      <c r="V269" s="326"/>
      <c r="W269" s="326"/>
      <c r="X269" s="326"/>
      <c r="Y269" s="326"/>
      <c r="Z269" s="326"/>
      <c r="AA269" s="326"/>
    </row>
    <row r="270" spans="1:27" ht="12.75">
      <c r="A270" s="326"/>
      <c r="B270" s="326"/>
      <c r="C270" s="326"/>
      <c r="D270" s="326"/>
      <c r="E270" s="326"/>
      <c r="F270" s="326"/>
      <c r="G270" s="326"/>
      <c r="H270" s="326"/>
      <c r="I270" s="326"/>
      <c r="J270" s="326"/>
      <c r="K270" s="326"/>
      <c r="L270" s="326"/>
      <c r="M270" s="326"/>
      <c r="N270" s="326"/>
      <c r="O270" s="326"/>
      <c r="P270" s="326"/>
      <c r="Q270" s="326"/>
      <c r="R270" s="326"/>
      <c r="S270" s="326"/>
      <c r="T270" s="326"/>
      <c r="U270" s="326"/>
      <c r="V270" s="326"/>
      <c r="W270" s="326"/>
      <c r="X270" s="326"/>
      <c r="Y270" s="326"/>
      <c r="Z270" s="326"/>
      <c r="AA270" s="326"/>
    </row>
    <row r="271" spans="1:27" ht="12.75">
      <c r="A271" s="326"/>
      <c r="B271" s="326"/>
      <c r="C271" s="326"/>
      <c r="D271" s="326"/>
      <c r="E271" s="326"/>
      <c r="F271" s="326"/>
      <c r="G271" s="326"/>
      <c r="H271" s="326"/>
      <c r="I271" s="326"/>
      <c r="J271" s="326"/>
      <c r="K271" s="326"/>
      <c r="L271" s="326"/>
      <c r="M271" s="326"/>
      <c r="N271" s="326"/>
      <c r="O271" s="326"/>
      <c r="P271" s="326"/>
      <c r="Q271" s="326"/>
      <c r="R271" s="326"/>
      <c r="S271" s="326"/>
      <c r="T271" s="326"/>
      <c r="U271" s="326"/>
      <c r="V271" s="326"/>
      <c r="W271" s="326"/>
      <c r="X271" s="326"/>
      <c r="Y271" s="326"/>
      <c r="Z271" s="326"/>
      <c r="AA271" s="326"/>
    </row>
    <row r="272" spans="1:27" ht="12.75">
      <c r="A272" s="326"/>
      <c r="B272" s="326"/>
      <c r="C272" s="326"/>
      <c r="D272" s="326"/>
      <c r="E272" s="326"/>
      <c r="F272" s="326"/>
      <c r="G272" s="326"/>
      <c r="H272" s="326"/>
      <c r="I272" s="326"/>
      <c r="J272" s="326"/>
      <c r="K272" s="326"/>
      <c r="L272" s="326"/>
      <c r="M272" s="326"/>
      <c r="N272" s="326"/>
      <c r="O272" s="326"/>
      <c r="P272" s="326"/>
      <c r="Q272" s="326"/>
      <c r="R272" s="326"/>
      <c r="S272" s="326"/>
      <c r="T272" s="326"/>
      <c r="U272" s="326"/>
      <c r="V272" s="326"/>
      <c r="W272" s="326"/>
      <c r="X272" s="326"/>
      <c r="Y272" s="326"/>
      <c r="Z272" s="326"/>
      <c r="AA272" s="326"/>
    </row>
    <row r="273" spans="1:27" ht="12.75">
      <c r="A273" s="326"/>
      <c r="B273" s="326"/>
      <c r="C273" s="326"/>
      <c r="D273" s="326"/>
      <c r="E273" s="326"/>
      <c r="F273" s="326"/>
      <c r="G273" s="326"/>
      <c r="H273" s="326"/>
      <c r="I273" s="326"/>
      <c r="J273" s="326"/>
      <c r="K273" s="326"/>
      <c r="L273" s="326"/>
      <c r="M273" s="326"/>
      <c r="N273" s="326"/>
      <c r="O273" s="326"/>
      <c r="P273" s="326"/>
      <c r="Q273" s="326"/>
      <c r="R273" s="326"/>
      <c r="S273" s="326"/>
      <c r="T273" s="326"/>
      <c r="U273" s="326"/>
      <c r="V273" s="326"/>
      <c r="W273" s="326"/>
      <c r="X273" s="326"/>
      <c r="Y273" s="326"/>
      <c r="Z273" s="326"/>
      <c r="AA273" s="326"/>
    </row>
    <row r="274" spans="1:27" ht="12.75">
      <c r="A274" s="326"/>
      <c r="B274" s="326"/>
      <c r="C274" s="326"/>
      <c r="D274" s="326"/>
      <c r="E274" s="326"/>
      <c r="F274" s="326"/>
      <c r="G274" s="326"/>
      <c r="H274" s="326"/>
      <c r="I274" s="326"/>
      <c r="J274" s="326"/>
      <c r="K274" s="326"/>
      <c r="L274" s="326"/>
      <c r="M274" s="326"/>
      <c r="N274" s="326"/>
      <c r="O274" s="326"/>
      <c r="P274" s="326"/>
      <c r="Q274" s="326"/>
      <c r="R274" s="326"/>
      <c r="S274" s="326"/>
      <c r="T274" s="326"/>
      <c r="U274" s="326"/>
      <c r="V274" s="326"/>
      <c r="W274" s="326"/>
      <c r="X274" s="326"/>
      <c r="Y274" s="326"/>
      <c r="Z274" s="326"/>
      <c r="AA274" s="326"/>
    </row>
    <row r="275" spans="1:27" ht="12.75">
      <c r="A275" s="326"/>
      <c r="B275" s="326"/>
      <c r="C275" s="326"/>
      <c r="D275" s="326"/>
      <c r="E275" s="326"/>
      <c r="F275" s="326"/>
      <c r="G275" s="326"/>
      <c r="H275" s="326"/>
      <c r="I275" s="326"/>
      <c r="J275" s="326"/>
      <c r="K275" s="326"/>
      <c r="L275" s="326"/>
      <c r="M275" s="326"/>
      <c r="N275" s="326"/>
      <c r="O275" s="326"/>
      <c r="P275" s="326"/>
      <c r="Q275" s="326"/>
      <c r="R275" s="326"/>
      <c r="S275" s="326"/>
      <c r="T275" s="326"/>
      <c r="U275" s="326"/>
      <c r="V275" s="326"/>
      <c r="W275" s="326"/>
      <c r="X275" s="326"/>
      <c r="Y275" s="326"/>
      <c r="Z275" s="326"/>
      <c r="AA275" s="326"/>
    </row>
    <row r="276" spans="1:27" ht="12.75">
      <c r="A276" s="326"/>
      <c r="B276" s="326"/>
      <c r="C276" s="326"/>
      <c r="D276" s="326"/>
      <c r="E276" s="326"/>
      <c r="F276" s="326"/>
      <c r="G276" s="326"/>
      <c r="H276" s="326"/>
      <c r="I276" s="326"/>
      <c r="J276" s="326"/>
      <c r="K276" s="326"/>
      <c r="L276" s="326"/>
      <c r="M276" s="326"/>
      <c r="N276" s="326"/>
      <c r="O276" s="326"/>
      <c r="P276" s="326"/>
      <c r="Q276" s="326"/>
      <c r="R276" s="326"/>
      <c r="S276" s="326"/>
      <c r="T276" s="326"/>
      <c r="U276" s="326"/>
      <c r="V276" s="326"/>
      <c r="W276" s="326"/>
      <c r="X276" s="326"/>
      <c r="Y276" s="326"/>
      <c r="Z276" s="326"/>
      <c r="AA276" s="326"/>
    </row>
    <row r="277" spans="1:27" ht="12.75">
      <c r="A277" s="326"/>
      <c r="B277" s="326"/>
      <c r="C277" s="326"/>
      <c r="D277" s="326"/>
      <c r="E277" s="326"/>
      <c r="F277" s="326"/>
      <c r="G277" s="326"/>
      <c r="H277" s="326"/>
      <c r="I277" s="326"/>
      <c r="J277" s="326"/>
      <c r="K277" s="326"/>
      <c r="L277" s="326"/>
      <c r="M277" s="326"/>
      <c r="N277" s="326"/>
      <c r="O277" s="326"/>
      <c r="P277" s="326"/>
      <c r="Q277" s="326"/>
      <c r="R277" s="326"/>
      <c r="S277" s="326"/>
      <c r="T277" s="326"/>
      <c r="U277" s="326"/>
      <c r="V277" s="326"/>
      <c r="W277" s="326"/>
      <c r="X277" s="326"/>
      <c r="Y277" s="326"/>
      <c r="Z277" s="326"/>
      <c r="AA277" s="326"/>
    </row>
    <row r="278" spans="1:27" ht="12.75">
      <c r="A278" s="326"/>
      <c r="B278" s="326"/>
      <c r="C278" s="326"/>
      <c r="D278" s="326"/>
      <c r="E278" s="326"/>
      <c r="F278" s="326"/>
      <c r="G278" s="326"/>
      <c r="H278" s="326"/>
      <c r="I278" s="326"/>
      <c r="J278" s="326"/>
      <c r="K278" s="326"/>
      <c r="L278" s="326"/>
      <c r="M278" s="326"/>
      <c r="N278" s="326"/>
      <c r="O278" s="326"/>
      <c r="P278" s="326"/>
      <c r="Q278" s="326"/>
      <c r="R278" s="326"/>
      <c r="S278" s="326"/>
      <c r="T278" s="326"/>
      <c r="U278" s="326"/>
      <c r="V278" s="326"/>
      <c r="W278" s="326"/>
      <c r="X278" s="326"/>
      <c r="Y278" s="326"/>
      <c r="Z278" s="326"/>
      <c r="AA278" s="326"/>
    </row>
    <row r="279" spans="1:27" ht="12.75">
      <c r="A279" s="326"/>
      <c r="B279" s="326"/>
      <c r="C279" s="326"/>
      <c r="D279" s="326"/>
      <c r="E279" s="326"/>
      <c r="F279" s="326"/>
      <c r="G279" s="326"/>
      <c r="H279" s="326"/>
      <c r="I279" s="326"/>
      <c r="J279" s="326"/>
      <c r="K279" s="326"/>
      <c r="L279" s="326"/>
      <c r="M279" s="326"/>
      <c r="N279" s="326"/>
      <c r="O279" s="326"/>
      <c r="P279" s="326"/>
      <c r="Q279" s="326"/>
      <c r="R279" s="326"/>
      <c r="S279" s="326"/>
      <c r="T279" s="326"/>
      <c r="U279" s="326"/>
      <c r="V279" s="326"/>
      <c r="W279" s="326"/>
      <c r="X279" s="326"/>
      <c r="Y279" s="326"/>
      <c r="Z279" s="326"/>
      <c r="AA279" s="326"/>
    </row>
    <row r="280" spans="1:27" ht="12.75">
      <c r="A280" s="326"/>
      <c r="B280" s="326"/>
      <c r="C280" s="326"/>
      <c r="D280" s="326"/>
      <c r="E280" s="326"/>
      <c r="F280" s="326"/>
      <c r="G280" s="326"/>
      <c r="H280" s="326"/>
      <c r="I280" s="326"/>
      <c r="J280" s="326"/>
      <c r="K280" s="326"/>
      <c r="L280" s="326"/>
      <c r="M280" s="326"/>
      <c r="N280" s="326"/>
      <c r="O280" s="326"/>
      <c r="P280" s="326"/>
      <c r="Q280" s="326"/>
      <c r="R280" s="326"/>
      <c r="S280" s="326"/>
      <c r="T280" s="326"/>
      <c r="U280" s="326"/>
      <c r="V280" s="326"/>
      <c r="W280" s="326"/>
      <c r="X280" s="326"/>
      <c r="Y280" s="326"/>
      <c r="Z280" s="326"/>
      <c r="AA280" s="326"/>
    </row>
    <row r="281" spans="1:27" ht="12.75">
      <c r="A281" s="326"/>
      <c r="B281" s="326"/>
      <c r="C281" s="326"/>
      <c r="D281" s="326"/>
      <c r="E281" s="326"/>
      <c r="F281" s="326"/>
      <c r="G281" s="326"/>
      <c r="H281" s="326"/>
      <c r="I281" s="326"/>
      <c r="J281" s="326"/>
      <c r="K281" s="326"/>
      <c r="L281" s="326"/>
      <c r="M281" s="326"/>
      <c r="N281" s="326"/>
      <c r="O281" s="326"/>
      <c r="P281" s="326"/>
      <c r="Q281" s="326"/>
      <c r="R281" s="326"/>
      <c r="S281" s="326"/>
      <c r="T281" s="326"/>
      <c r="U281" s="326"/>
      <c r="V281" s="326"/>
      <c r="W281" s="326"/>
      <c r="X281" s="326"/>
      <c r="Y281" s="326"/>
      <c r="Z281" s="326"/>
      <c r="AA281" s="326"/>
    </row>
    <row r="282" spans="1:27" ht="12.75">
      <c r="A282" s="326"/>
      <c r="B282" s="326"/>
      <c r="C282" s="326"/>
      <c r="D282" s="326"/>
      <c r="E282" s="326"/>
      <c r="F282" s="326"/>
      <c r="G282" s="326"/>
      <c r="H282" s="326"/>
      <c r="I282" s="326"/>
      <c r="J282" s="326"/>
      <c r="K282" s="326"/>
      <c r="L282" s="326"/>
      <c r="M282" s="326"/>
      <c r="N282" s="326"/>
      <c r="O282" s="326"/>
      <c r="P282" s="326"/>
      <c r="Q282" s="326"/>
      <c r="R282" s="326"/>
      <c r="S282" s="326"/>
      <c r="T282" s="326"/>
      <c r="U282" s="326"/>
      <c r="V282" s="326"/>
      <c r="W282" s="326"/>
      <c r="X282" s="326"/>
      <c r="Y282" s="326"/>
      <c r="Z282" s="326"/>
      <c r="AA282" s="326"/>
    </row>
    <row r="283" spans="1:27" ht="12.75">
      <c r="A283" s="326"/>
      <c r="B283" s="326"/>
      <c r="C283" s="326"/>
      <c r="D283" s="326"/>
      <c r="E283" s="326"/>
      <c r="F283" s="326"/>
      <c r="G283" s="326"/>
      <c r="H283" s="326"/>
      <c r="I283" s="326"/>
      <c r="J283" s="326"/>
      <c r="K283" s="326"/>
      <c r="L283" s="326"/>
      <c r="M283" s="326"/>
      <c r="N283" s="326"/>
      <c r="O283" s="326"/>
      <c r="P283" s="326"/>
      <c r="Q283" s="326"/>
      <c r="R283" s="326"/>
      <c r="S283" s="326"/>
      <c r="T283" s="326"/>
      <c r="U283" s="326"/>
      <c r="V283" s="326"/>
      <c r="W283" s="326"/>
      <c r="X283" s="326"/>
      <c r="Y283" s="326"/>
      <c r="Z283" s="326"/>
      <c r="AA283" s="326"/>
    </row>
    <row r="284" spans="1:27" ht="12.75">
      <c r="A284" s="326"/>
      <c r="B284" s="326"/>
      <c r="C284" s="326"/>
      <c r="D284" s="326"/>
      <c r="E284" s="326"/>
      <c r="F284" s="326"/>
      <c r="G284" s="326"/>
      <c r="H284" s="326"/>
      <c r="I284" s="326"/>
      <c r="J284" s="326"/>
      <c r="K284" s="326"/>
      <c r="L284" s="326"/>
      <c r="M284" s="326"/>
      <c r="N284" s="326"/>
      <c r="O284" s="326"/>
      <c r="P284" s="326"/>
      <c r="Q284" s="326"/>
      <c r="R284" s="326"/>
      <c r="S284" s="326"/>
      <c r="T284" s="326"/>
      <c r="U284" s="326"/>
      <c r="V284" s="326"/>
      <c r="W284" s="326"/>
      <c r="X284" s="326"/>
      <c r="Y284" s="326"/>
      <c r="Z284" s="326"/>
      <c r="AA284" s="326"/>
    </row>
    <row r="285" spans="1:27" ht="12.75">
      <c r="A285" s="326"/>
      <c r="B285" s="326"/>
      <c r="C285" s="326"/>
      <c r="D285" s="326"/>
      <c r="E285" s="326"/>
      <c r="F285" s="326"/>
      <c r="G285" s="326"/>
      <c r="H285" s="326"/>
      <c r="I285" s="326"/>
      <c r="J285" s="326"/>
      <c r="K285" s="326"/>
      <c r="L285" s="326"/>
      <c r="M285" s="326"/>
      <c r="N285" s="326"/>
      <c r="O285" s="326"/>
      <c r="P285" s="326"/>
      <c r="Q285" s="326"/>
      <c r="R285" s="326"/>
      <c r="S285" s="326"/>
      <c r="T285" s="326"/>
      <c r="U285" s="326"/>
      <c r="V285" s="326"/>
      <c r="W285" s="326"/>
      <c r="X285" s="326"/>
      <c r="Y285" s="326"/>
      <c r="Z285" s="326"/>
      <c r="AA285" s="326"/>
    </row>
    <row r="286" spans="1:27" ht="12.75">
      <c r="A286" s="326"/>
      <c r="B286" s="326"/>
      <c r="C286" s="326"/>
      <c r="D286" s="326"/>
      <c r="E286" s="326"/>
      <c r="F286" s="326"/>
      <c r="G286" s="326"/>
      <c r="H286" s="326"/>
      <c r="I286" s="326"/>
      <c r="J286" s="326"/>
      <c r="K286" s="326"/>
      <c r="L286" s="326"/>
      <c r="M286" s="326"/>
      <c r="N286" s="326"/>
      <c r="O286" s="326"/>
      <c r="P286" s="326"/>
      <c r="Q286" s="326"/>
      <c r="R286" s="326"/>
      <c r="S286" s="326"/>
      <c r="T286" s="326"/>
      <c r="U286" s="326"/>
      <c r="V286" s="326"/>
      <c r="W286" s="326"/>
      <c r="X286" s="326"/>
      <c r="Y286" s="326"/>
      <c r="Z286" s="326"/>
      <c r="AA286" s="326"/>
    </row>
    <row r="287" spans="1:27" ht="12.75">
      <c r="A287" s="326"/>
      <c r="B287" s="326"/>
      <c r="C287" s="326"/>
      <c r="D287" s="326"/>
      <c r="E287" s="326"/>
      <c r="F287" s="326"/>
      <c r="G287" s="326"/>
      <c r="H287" s="326"/>
      <c r="I287" s="326"/>
      <c r="J287" s="326"/>
      <c r="K287" s="326"/>
      <c r="L287" s="326"/>
      <c r="M287" s="326"/>
      <c r="N287" s="326"/>
      <c r="O287" s="326"/>
      <c r="P287" s="326"/>
      <c r="Q287" s="326"/>
      <c r="R287" s="326"/>
      <c r="S287" s="326"/>
      <c r="T287" s="326"/>
      <c r="U287" s="326"/>
      <c r="V287" s="326"/>
      <c r="W287" s="326"/>
      <c r="X287" s="326"/>
      <c r="Y287" s="326"/>
      <c r="Z287" s="326"/>
      <c r="AA287" s="326"/>
    </row>
    <row r="288" spans="1:27" ht="12.75">
      <c r="A288" s="326"/>
      <c r="B288" s="326"/>
      <c r="C288" s="326"/>
      <c r="D288" s="326"/>
      <c r="E288" s="326"/>
      <c r="F288" s="326"/>
      <c r="G288" s="326"/>
      <c r="H288" s="326"/>
      <c r="I288" s="326"/>
      <c r="J288" s="326"/>
      <c r="K288" s="326"/>
      <c r="L288" s="326"/>
      <c r="M288" s="326"/>
      <c r="N288" s="326"/>
      <c r="O288" s="326"/>
      <c r="P288" s="326"/>
      <c r="Q288" s="326"/>
      <c r="R288" s="326"/>
      <c r="S288" s="326"/>
      <c r="T288" s="326"/>
      <c r="U288" s="326"/>
      <c r="V288" s="326"/>
      <c r="W288" s="326"/>
      <c r="X288" s="326"/>
      <c r="Y288" s="326"/>
      <c r="Z288" s="326"/>
      <c r="AA288" s="326"/>
    </row>
    <row r="289" spans="1:27" ht="12.75">
      <c r="A289" s="326"/>
      <c r="B289" s="326"/>
      <c r="C289" s="326"/>
      <c r="D289" s="326"/>
      <c r="E289" s="326"/>
      <c r="F289" s="326"/>
      <c r="G289" s="326"/>
      <c r="H289" s="326"/>
      <c r="I289" s="326"/>
      <c r="J289" s="326"/>
      <c r="K289" s="326"/>
      <c r="L289" s="326"/>
      <c r="M289" s="326"/>
      <c r="N289" s="326"/>
      <c r="O289" s="326"/>
      <c r="P289" s="326"/>
      <c r="Q289" s="326"/>
      <c r="R289" s="326"/>
      <c r="S289" s="326"/>
      <c r="T289" s="326"/>
      <c r="U289" s="326"/>
      <c r="V289" s="326"/>
      <c r="W289" s="326"/>
      <c r="X289" s="326"/>
      <c r="Y289" s="326"/>
      <c r="Z289" s="326"/>
      <c r="AA289" s="326"/>
    </row>
    <row r="290" spans="1:27" ht="12.75">
      <c r="A290" s="326"/>
      <c r="B290" s="326"/>
      <c r="C290" s="326"/>
      <c r="D290" s="326"/>
      <c r="E290" s="326"/>
      <c r="F290" s="326"/>
      <c r="G290" s="326"/>
      <c r="H290" s="326"/>
      <c r="I290" s="326"/>
      <c r="J290" s="326"/>
      <c r="K290" s="326"/>
      <c r="L290" s="326"/>
      <c r="M290" s="326"/>
      <c r="N290" s="326"/>
      <c r="O290" s="326"/>
      <c r="P290" s="326"/>
      <c r="Q290" s="326"/>
      <c r="R290" s="326"/>
      <c r="S290" s="326"/>
      <c r="T290" s="326"/>
      <c r="U290" s="326"/>
      <c r="V290" s="326"/>
      <c r="W290" s="326"/>
      <c r="X290" s="326"/>
      <c r="Y290" s="326"/>
      <c r="Z290" s="326"/>
      <c r="AA290" s="326"/>
    </row>
    <row r="291" spans="1:27" ht="12.75">
      <c r="A291" s="326"/>
      <c r="B291" s="326"/>
      <c r="C291" s="326"/>
      <c r="D291" s="326"/>
      <c r="E291" s="326"/>
      <c r="F291" s="326"/>
      <c r="G291" s="326"/>
      <c r="H291" s="326"/>
      <c r="I291" s="326"/>
      <c r="J291" s="326"/>
      <c r="K291" s="326"/>
      <c r="L291" s="326"/>
      <c r="M291" s="326"/>
      <c r="N291" s="326"/>
      <c r="O291" s="326"/>
      <c r="P291" s="326"/>
      <c r="Q291" s="326"/>
      <c r="R291" s="326"/>
      <c r="S291" s="326"/>
      <c r="T291" s="326"/>
      <c r="U291" s="326"/>
      <c r="V291" s="326"/>
      <c r="W291" s="326"/>
      <c r="X291" s="326"/>
      <c r="Y291" s="326"/>
      <c r="Z291" s="326"/>
      <c r="AA291" s="326"/>
    </row>
    <row r="292" spans="1:27" ht="12.75">
      <c r="A292" s="326"/>
      <c r="B292" s="326"/>
      <c r="C292" s="326"/>
      <c r="D292" s="326"/>
      <c r="E292" s="326"/>
      <c r="F292" s="326"/>
      <c r="G292" s="326"/>
      <c r="H292" s="326"/>
      <c r="I292" s="326"/>
      <c r="J292" s="326"/>
      <c r="K292" s="326"/>
      <c r="L292" s="326"/>
      <c r="M292" s="326"/>
      <c r="N292" s="326"/>
      <c r="O292" s="326"/>
      <c r="P292" s="326"/>
      <c r="Q292" s="326"/>
      <c r="R292" s="326"/>
      <c r="S292" s="326"/>
      <c r="T292" s="326"/>
      <c r="U292" s="326"/>
      <c r="V292" s="326"/>
      <c r="W292" s="326"/>
      <c r="X292" s="326"/>
      <c r="Y292" s="326"/>
      <c r="Z292" s="326"/>
      <c r="AA292" s="326"/>
    </row>
    <row r="293" spans="1:27" ht="12.75">
      <c r="A293" s="326"/>
      <c r="B293" s="326"/>
      <c r="C293" s="326"/>
      <c r="D293" s="326"/>
      <c r="E293" s="326"/>
      <c r="F293" s="326"/>
      <c r="G293" s="326"/>
      <c r="H293" s="326"/>
      <c r="I293" s="326"/>
      <c r="J293" s="326"/>
      <c r="K293" s="326"/>
      <c r="L293" s="326"/>
      <c r="M293" s="326"/>
      <c r="N293" s="326"/>
      <c r="O293" s="326"/>
      <c r="P293" s="326"/>
      <c r="Q293" s="326"/>
      <c r="R293" s="326"/>
      <c r="S293" s="326"/>
      <c r="T293" s="326"/>
      <c r="U293" s="326"/>
      <c r="V293" s="326"/>
      <c r="W293" s="326"/>
      <c r="X293" s="326"/>
      <c r="Y293" s="326"/>
      <c r="Z293" s="326"/>
      <c r="AA293" s="326"/>
    </row>
    <row r="294" spans="1:27" ht="12.75">
      <c r="A294" s="326"/>
      <c r="B294" s="326"/>
      <c r="C294" s="326"/>
      <c r="D294" s="326"/>
      <c r="E294" s="326"/>
      <c r="F294" s="326"/>
      <c r="G294" s="326"/>
      <c r="H294" s="326"/>
      <c r="I294" s="326"/>
      <c r="J294" s="326"/>
      <c r="K294" s="326"/>
      <c r="L294" s="326"/>
      <c r="M294" s="326"/>
      <c r="N294" s="326"/>
      <c r="O294" s="326"/>
      <c r="P294" s="326"/>
      <c r="Q294" s="326"/>
      <c r="R294" s="326"/>
      <c r="S294" s="326"/>
      <c r="T294" s="326"/>
      <c r="U294" s="326"/>
      <c r="V294" s="326"/>
      <c r="W294" s="326"/>
      <c r="X294" s="326"/>
      <c r="Y294" s="326"/>
      <c r="Z294" s="326"/>
      <c r="AA294" s="326"/>
    </row>
    <row r="295" spans="1:27" ht="12.75">
      <c r="A295" s="326"/>
      <c r="B295" s="326"/>
      <c r="C295" s="326"/>
      <c r="D295" s="326"/>
      <c r="E295" s="326"/>
      <c r="F295" s="326"/>
      <c r="G295" s="326"/>
      <c r="H295" s="326"/>
      <c r="I295" s="326"/>
      <c r="J295" s="326"/>
      <c r="K295" s="326"/>
      <c r="L295" s="326"/>
      <c r="M295" s="326"/>
      <c r="N295" s="326"/>
      <c r="O295" s="326"/>
      <c r="P295" s="326"/>
      <c r="Q295" s="326"/>
      <c r="R295" s="326"/>
      <c r="S295" s="326"/>
      <c r="T295" s="326"/>
      <c r="U295" s="326"/>
      <c r="V295" s="326"/>
      <c r="W295" s="326"/>
      <c r="X295" s="326"/>
      <c r="Y295" s="326"/>
      <c r="Z295" s="326"/>
      <c r="AA295" s="326"/>
    </row>
    <row r="296" spans="1:27" ht="12.75">
      <c r="A296" s="326"/>
      <c r="B296" s="326"/>
      <c r="C296" s="326"/>
      <c r="D296" s="326"/>
      <c r="E296" s="326"/>
      <c r="F296" s="326"/>
      <c r="G296" s="326"/>
      <c r="H296" s="326"/>
      <c r="I296" s="326"/>
      <c r="J296" s="326"/>
      <c r="K296" s="326"/>
      <c r="L296" s="326"/>
      <c r="M296" s="326"/>
      <c r="N296" s="326"/>
      <c r="O296" s="326"/>
      <c r="P296" s="326"/>
      <c r="Q296" s="326"/>
      <c r="R296" s="326"/>
      <c r="S296" s="326"/>
      <c r="T296" s="326"/>
      <c r="U296" s="326"/>
      <c r="V296" s="326"/>
      <c r="W296" s="326"/>
      <c r="X296" s="326"/>
      <c r="Y296" s="326"/>
      <c r="Z296" s="326"/>
      <c r="AA296" s="326"/>
    </row>
    <row r="297" spans="1:27" ht="12.75">
      <c r="A297" s="326"/>
      <c r="B297" s="326"/>
      <c r="C297" s="326"/>
      <c r="D297" s="326"/>
      <c r="E297" s="326"/>
      <c r="F297" s="326"/>
      <c r="G297" s="326"/>
      <c r="H297" s="326"/>
      <c r="I297" s="326"/>
      <c r="J297" s="326"/>
      <c r="K297" s="326"/>
      <c r="L297" s="326"/>
      <c r="M297" s="326"/>
      <c r="N297" s="326"/>
      <c r="O297" s="326"/>
      <c r="P297" s="326"/>
      <c r="Q297" s="326"/>
      <c r="R297" s="326"/>
      <c r="S297" s="326"/>
      <c r="T297" s="326"/>
      <c r="U297" s="326"/>
      <c r="V297" s="326"/>
      <c r="W297" s="326"/>
      <c r="X297" s="326"/>
      <c r="Y297" s="326"/>
      <c r="Z297" s="326"/>
      <c r="AA297" s="326"/>
    </row>
    <row r="298" spans="1:27" ht="12.75">
      <c r="A298" s="326"/>
      <c r="B298" s="326"/>
      <c r="C298" s="326"/>
      <c r="D298" s="326"/>
      <c r="E298" s="326"/>
      <c r="F298" s="326"/>
      <c r="G298" s="326"/>
      <c r="H298" s="326"/>
      <c r="I298" s="326"/>
      <c r="J298" s="326"/>
      <c r="K298" s="326"/>
      <c r="L298" s="326"/>
      <c r="M298" s="326"/>
      <c r="N298" s="326"/>
      <c r="O298" s="326"/>
      <c r="P298" s="326"/>
      <c r="Q298" s="326"/>
      <c r="R298" s="326"/>
      <c r="S298" s="326"/>
      <c r="T298" s="326"/>
      <c r="U298" s="326"/>
      <c r="V298" s="326"/>
      <c r="W298" s="326"/>
      <c r="X298" s="326"/>
      <c r="Y298" s="326"/>
      <c r="Z298" s="326"/>
      <c r="AA298" s="326"/>
    </row>
    <row r="299" spans="1:27" ht="12.75">
      <c r="A299" s="326"/>
      <c r="B299" s="326"/>
      <c r="C299" s="326"/>
      <c r="D299" s="326"/>
      <c r="E299" s="326"/>
      <c r="F299" s="326"/>
      <c r="G299" s="326"/>
      <c r="H299" s="326"/>
      <c r="I299" s="326"/>
      <c r="J299" s="326"/>
      <c r="K299" s="326"/>
      <c r="L299" s="326"/>
      <c r="M299" s="326"/>
      <c r="N299" s="326"/>
      <c r="O299" s="326"/>
      <c r="P299" s="326"/>
      <c r="Q299" s="326"/>
      <c r="R299" s="326"/>
      <c r="S299" s="326"/>
      <c r="T299" s="326"/>
      <c r="U299" s="326"/>
      <c r="V299" s="326"/>
      <c r="W299" s="326"/>
      <c r="X299" s="326"/>
      <c r="Y299" s="326"/>
      <c r="Z299" s="326"/>
      <c r="AA299" s="326"/>
    </row>
    <row r="300" spans="1:27" ht="12.75">
      <c r="A300" s="326"/>
      <c r="B300" s="326"/>
      <c r="C300" s="326"/>
      <c r="D300" s="326"/>
      <c r="E300" s="326"/>
      <c r="F300" s="326"/>
      <c r="G300" s="326"/>
      <c r="H300" s="326"/>
      <c r="I300" s="326"/>
      <c r="J300" s="326"/>
      <c r="K300" s="326"/>
      <c r="L300" s="326"/>
      <c r="M300" s="326"/>
      <c r="N300" s="326"/>
      <c r="O300" s="326"/>
      <c r="P300" s="326"/>
      <c r="Q300" s="326"/>
      <c r="R300" s="326"/>
      <c r="S300" s="326"/>
      <c r="T300" s="326"/>
      <c r="U300" s="326"/>
      <c r="V300" s="326"/>
      <c r="W300" s="326"/>
      <c r="X300" s="326"/>
      <c r="Y300" s="326"/>
      <c r="Z300" s="326"/>
      <c r="AA300" s="326"/>
    </row>
    <row r="301" spans="1:27" ht="12.75">
      <c r="A301" s="326"/>
      <c r="B301" s="326"/>
      <c r="C301" s="326"/>
      <c r="D301" s="326"/>
      <c r="E301" s="326"/>
      <c r="F301" s="326"/>
      <c r="G301" s="326"/>
      <c r="H301" s="326"/>
      <c r="I301" s="326"/>
      <c r="J301" s="326"/>
      <c r="K301" s="326"/>
      <c r="L301" s="326"/>
      <c r="M301" s="326"/>
      <c r="N301" s="326"/>
      <c r="O301" s="326"/>
      <c r="P301" s="326"/>
      <c r="Q301" s="326"/>
      <c r="R301" s="326"/>
      <c r="S301" s="326"/>
      <c r="T301" s="326"/>
      <c r="U301" s="326"/>
      <c r="V301" s="326"/>
      <c r="W301" s="326"/>
      <c r="X301" s="326"/>
      <c r="Y301" s="326"/>
      <c r="Z301" s="326"/>
      <c r="AA301" s="326"/>
    </row>
    <row r="302" spans="1:27" ht="12.75">
      <c r="A302" s="326"/>
      <c r="B302" s="326"/>
      <c r="C302" s="326"/>
      <c r="D302" s="326"/>
      <c r="E302" s="326"/>
      <c r="F302" s="326"/>
      <c r="G302" s="326"/>
      <c r="H302" s="326"/>
      <c r="I302" s="326"/>
      <c r="J302" s="326"/>
      <c r="K302" s="326"/>
      <c r="L302" s="326"/>
      <c r="M302" s="326"/>
      <c r="N302" s="326"/>
      <c r="O302" s="326"/>
      <c r="P302" s="326"/>
      <c r="Q302" s="326"/>
      <c r="R302" s="326"/>
      <c r="S302" s="326"/>
      <c r="T302" s="326"/>
      <c r="U302" s="326"/>
      <c r="V302" s="326"/>
      <c r="W302" s="326"/>
      <c r="X302" s="326"/>
      <c r="Y302" s="326"/>
      <c r="Z302" s="326"/>
      <c r="AA302" s="326"/>
    </row>
    <row r="303" spans="1:27" ht="12.75">
      <c r="A303" s="326"/>
      <c r="B303" s="326"/>
      <c r="C303" s="326"/>
      <c r="D303" s="326"/>
      <c r="E303" s="326"/>
      <c r="F303" s="326"/>
      <c r="G303" s="326"/>
      <c r="H303" s="326"/>
      <c r="I303" s="326"/>
      <c r="J303" s="326"/>
      <c r="K303" s="326"/>
      <c r="L303" s="326"/>
      <c r="M303" s="326"/>
      <c r="N303" s="326"/>
      <c r="O303" s="326"/>
      <c r="P303" s="326"/>
      <c r="Q303" s="326"/>
      <c r="R303" s="326"/>
      <c r="S303" s="326"/>
      <c r="T303" s="326"/>
      <c r="U303" s="326"/>
      <c r="V303" s="326"/>
      <c r="W303" s="326"/>
      <c r="X303" s="326"/>
      <c r="Y303" s="326"/>
      <c r="Z303" s="326"/>
      <c r="AA303" s="326"/>
    </row>
    <row r="304" spans="1:27" ht="12.75">
      <c r="A304" s="326"/>
      <c r="B304" s="326"/>
      <c r="C304" s="326"/>
      <c r="D304" s="326"/>
      <c r="E304" s="326"/>
      <c r="F304" s="326"/>
      <c r="G304" s="326"/>
      <c r="H304" s="326"/>
      <c r="I304" s="326"/>
      <c r="J304" s="326"/>
      <c r="K304" s="326"/>
      <c r="L304" s="326"/>
      <c r="M304" s="326"/>
      <c r="N304" s="326"/>
      <c r="O304" s="326"/>
      <c r="P304" s="326"/>
      <c r="Q304" s="326"/>
      <c r="R304" s="326"/>
      <c r="S304" s="326"/>
      <c r="T304" s="326"/>
      <c r="U304" s="326"/>
      <c r="V304" s="326"/>
      <c r="W304" s="326"/>
      <c r="X304" s="326"/>
      <c r="Y304" s="326"/>
      <c r="Z304" s="326"/>
      <c r="AA304" s="326"/>
    </row>
    <row r="305" spans="1:27" ht="12.75">
      <c r="A305" s="326"/>
      <c r="B305" s="326"/>
      <c r="C305" s="326"/>
      <c r="D305" s="326"/>
      <c r="E305" s="326"/>
      <c r="F305" s="326"/>
      <c r="G305" s="326"/>
      <c r="H305" s="326"/>
      <c r="I305" s="326"/>
      <c r="J305" s="326"/>
      <c r="K305" s="326"/>
      <c r="L305" s="326"/>
      <c r="M305" s="326"/>
      <c r="N305" s="326"/>
      <c r="O305" s="326"/>
      <c r="P305" s="326"/>
      <c r="Q305" s="326"/>
      <c r="R305" s="326"/>
      <c r="S305" s="326"/>
      <c r="T305" s="326"/>
      <c r="U305" s="326"/>
      <c r="V305" s="326"/>
      <c r="W305" s="326"/>
      <c r="X305" s="326"/>
      <c r="Y305" s="326"/>
      <c r="Z305" s="326"/>
      <c r="AA305" s="326"/>
    </row>
    <row r="306" spans="1:27" ht="12.75">
      <c r="A306" s="326"/>
      <c r="B306" s="326"/>
      <c r="C306" s="326"/>
      <c r="D306" s="326"/>
      <c r="E306" s="326"/>
      <c r="F306" s="326"/>
      <c r="G306" s="326"/>
      <c r="H306" s="326"/>
      <c r="I306" s="326"/>
      <c r="J306" s="326"/>
      <c r="K306" s="326"/>
      <c r="L306" s="326"/>
      <c r="M306" s="326"/>
      <c r="N306" s="326"/>
      <c r="O306" s="326"/>
      <c r="P306" s="326"/>
      <c r="Q306" s="326"/>
      <c r="R306" s="326"/>
      <c r="S306" s="326"/>
      <c r="T306" s="326"/>
      <c r="U306" s="326"/>
      <c r="V306" s="326"/>
      <c r="W306" s="326"/>
      <c r="X306" s="326"/>
      <c r="Y306" s="326"/>
      <c r="Z306" s="326"/>
      <c r="AA306" s="326"/>
    </row>
    <row r="307" spans="1:27" ht="12.75">
      <c r="A307" s="326"/>
      <c r="B307" s="326"/>
      <c r="C307" s="326"/>
      <c r="D307" s="326"/>
      <c r="E307" s="326"/>
      <c r="F307" s="326"/>
      <c r="G307" s="326"/>
      <c r="H307" s="326"/>
      <c r="I307" s="326"/>
      <c r="J307" s="326"/>
      <c r="K307" s="326"/>
      <c r="L307" s="326"/>
      <c r="M307" s="326"/>
      <c r="N307" s="326"/>
      <c r="O307" s="326"/>
      <c r="P307" s="326"/>
      <c r="Q307" s="326"/>
      <c r="R307" s="326"/>
      <c r="S307" s="326"/>
      <c r="T307" s="326"/>
      <c r="U307" s="326"/>
      <c r="V307" s="326"/>
      <c r="W307" s="326"/>
      <c r="X307" s="326"/>
      <c r="Y307" s="326"/>
      <c r="Z307" s="326"/>
      <c r="AA307" s="326"/>
    </row>
    <row r="308" spans="1:27" ht="12.75">
      <c r="A308" s="326"/>
      <c r="B308" s="326"/>
      <c r="C308" s="326"/>
      <c r="D308" s="326"/>
      <c r="E308" s="326"/>
      <c r="F308" s="326"/>
      <c r="G308" s="326"/>
      <c r="H308" s="326"/>
      <c r="I308" s="326"/>
      <c r="J308" s="326"/>
      <c r="K308" s="326"/>
      <c r="L308" s="326"/>
      <c r="M308" s="326"/>
      <c r="N308" s="326"/>
      <c r="O308" s="326"/>
      <c r="P308" s="326"/>
      <c r="Q308" s="326"/>
      <c r="R308" s="326"/>
      <c r="S308" s="326"/>
      <c r="T308" s="326"/>
      <c r="U308" s="326"/>
      <c r="V308" s="326"/>
      <c r="W308" s="326"/>
      <c r="X308" s="326"/>
      <c r="Y308" s="326"/>
      <c r="Z308" s="326"/>
      <c r="AA308" s="326"/>
    </row>
    <row r="309" spans="1:27" ht="12.75">
      <c r="A309" s="326"/>
      <c r="B309" s="326"/>
      <c r="C309" s="326"/>
      <c r="D309" s="326"/>
      <c r="E309" s="326"/>
      <c r="F309" s="326"/>
      <c r="G309" s="326"/>
      <c r="H309" s="326"/>
      <c r="I309" s="326"/>
      <c r="J309" s="326"/>
      <c r="K309" s="326"/>
      <c r="L309" s="326"/>
      <c r="M309" s="326"/>
      <c r="N309" s="326"/>
      <c r="O309" s="326"/>
      <c r="P309" s="326"/>
      <c r="Q309" s="326"/>
      <c r="R309" s="326"/>
      <c r="S309" s="326"/>
      <c r="T309" s="326"/>
      <c r="U309" s="326"/>
      <c r="V309" s="326"/>
      <c r="W309" s="326"/>
      <c r="X309" s="326"/>
      <c r="Y309" s="326"/>
      <c r="Z309" s="326"/>
      <c r="AA309" s="326"/>
    </row>
    <row r="310" spans="1:27" ht="12.75">
      <c r="A310" s="326"/>
      <c r="B310" s="326"/>
      <c r="C310" s="326"/>
      <c r="D310" s="326"/>
      <c r="E310" s="326"/>
      <c r="F310" s="326"/>
      <c r="G310" s="326"/>
      <c r="H310" s="326"/>
      <c r="I310" s="326"/>
      <c r="J310" s="326"/>
      <c r="K310" s="326"/>
      <c r="L310" s="326"/>
      <c r="M310" s="326"/>
      <c r="N310" s="326"/>
      <c r="O310" s="326"/>
      <c r="P310" s="326"/>
      <c r="Q310" s="326"/>
      <c r="R310" s="326"/>
      <c r="S310" s="326"/>
      <c r="T310" s="326"/>
      <c r="U310" s="326"/>
      <c r="V310" s="326"/>
      <c r="W310" s="326"/>
      <c r="X310" s="326"/>
      <c r="Y310" s="326"/>
      <c r="Z310" s="326"/>
      <c r="AA310" s="326"/>
    </row>
    <row r="311" spans="1:27" ht="12.75">
      <c r="A311" s="326"/>
      <c r="B311" s="326"/>
      <c r="C311" s="326"/>
      <c r="D311" s="326"/>
      <c r="E311" s="326"/>
      <c r="F311" s="326"/>
      <c r="G311" s="326"/>
      <c r="H311" s="326"/>
      <c r="I311" s="326"/>
      <c r="J311" s="326"/>
      <c r="K311" s="326"/>
      <c r="L311" s="326"/>
      <c r="M311" s="326"/>
      <c r="N311" s="326"/>
      <c r="O311" s="326"/>
      <c r="P311" s="326"/>
      <c r="Q311" s="326"/>
      <c r="R311" s="326"/>
      <c r="S311" s="326"/>
      <c r="T311" s="326"/>
      <c r="U311" s="326"/>
      <c r="V311" s="326"/>
      <c r="W311" s="326"/>
      <c r="X311" s="326"/>
      <c r="Y311" s="326"/>
      <c r="Z311" s="326"/>
      <c r="AA311" s="326"/>
    </row>
    <row r="312" spans="1:27" ht="12.75">
      <c r="A312" s="326"/>
      <c r="B312" s="326"/>
      <c r="C312" s="326"/>
      <c r="D312" s="326"/>
      <c r="E312" s="326"/>
      <c r="F312" s="326"/>
      <c r="G312" s="326"/>
      <c r="H312" s="326"/>
      <c r="I312" s="326"/>
      <c r="J312" s="326"/>
      <c r="K312" s="326"/>
      <c r="L312" s="326"/>
      <c r="M312" s="326"/>
      <c r="N312" s="326"/>
      <c r="O312" s="326"/>
      <c r="P312" s="326"/>
      <c r="Q312" s="326"/>
      <c r="R312" s="326"/>
      <c r="S312" s="326"/>
      <c r="T312" s="326"/>
      <c r="U312" s="326"/>
      <c r="V312" s="326"/>
      <c r="W312" s="326"/>
      <c r="X312" s="326"/>
      <c r="Y312" s="326"/>
      <c r="Z312" s="326"/>
      <c r="AA312" s="326"/>
    </row>
    <row r="313" spans="1:27" ht="12.75">
      <c r="A313" s="326"/>
      <c r="B313" s="326"/>
      <c r="C313" s="326"/>
      <c r="D313" s="326"/>
      <c r="E313" s="326"/>
      <c r="F313" s="326"/>
      <c r="G313" s="326"/>
      <c r="H313" s="326"/>
      <c r="I313" s="326"/>
      <c r="J313" s="326"/>
      <c r="K313" s="326"/>
      <c r="L313" s="326"/>
      <c r="M313" s="326"/>
      <c r="N313" s="326"/>
      <c r="O313" s="326"/>
      <c r="P313" s="326"/>
      <c r="Q313" s="326"/>
      <c r="R313" s="326"/>
      <c r="S313" s="326"/>
      <c r="T313" s="326"/>
      <c r="U313" s="326"/>
      <c r="V313" s="326"/>
      <c r="W313" s="326"/>
      <c r="X313" s="326"/>
      <c r="Y313" s="326"/>
      <c r="Z313" s="326"/>
      <c r="AA313" s="326"/>
    </row>
    <row r="314" spans="1:27" ht="12.75">
      <c r="A314" s="326"/>
      <c r="B314" s="326"/>
      <c r="C314" s="326"/>
      <c r="D314" s="326"/>
      <c r="E314" s="326"/>
      <c r="F314" s="326"/>
      <c r="G314" s="326"/>
      <c r="H314" s="326"/>
      <c r="I314" s="326"/>
      <c r="J314" s="326"/>
      <c r="K314" s="326"/>
      <c r="L314" s="326"/>
      <c r="M314" s="326"/>
      <c r="N314" s="326"/>
      <c r="O314" s="326"/>
      <c r="P314" s="326"/>
      <c r="Q314" s="326"/>
      <c r="R314" s="326"/>
      <c r="S314" s="326"/>
      <c r="T314" s="326"/>
      <c r="U314" s="326"/>
      <c r="V314" s="326"/>
      <c r="W314" s="326"/>
      <c r="X314" s="326"/>
      <c r="Y314" s="326"/>
      <c r="Z314" s="326"/>
      <c r="AA314" s="326"/>
    </row>
    <row r="315" spans="1:27" ht="12.75">
      <c r="A315" s="326"/>
      <c r="B315" s="326"/>
      <c r="C315" s="326"/>
      <c r="D315" s="326"/>
      <c r="E315" s="326"/>
      <c r="F315" s="326"/>
      <c r="G315" s="326"/>
      <c r="H315" s="326"/>
      <c r="I315" s="326"/>
      <c r="J315" s="326"/>
      <c r="K315" s="326"/>
      <c r="L315" s="326"/>
      <c r="M315" s="326"/>
      <c r="N315" s="326"/>
      <c r="O315" s="326"/>
      <c r="P315" s="326"/>
      <c r="Q315" s="326"/>
      <c r="R315" s="326"/>
      <c r="S315" s="326"/>
      <c r="T315" s="326"/>
      <c r="U315" s="326"/>
      <c r="V315" s="326"/>
      <c r="W315" s="326"/>
      <c r="X315" s="326"/>
      <c r="Y315" s="326"/>
      <c r="Z315" s="326"/>
      <c r="AA315" s="326"/>
    </row>
    <row r="316" spans="1:27" ht="12.75">
      <c r="A316" s="326"/>
      <c r="B316" s="326"/>
      <c r="C316" s="326"/>
      <c r="D316" s="326"/>
      <c r="E316" s="326"/>
      <c r="F316" s="326"/>
      <c r="G316" s="326"/>
      <c r="H316" s="326"/>
      <c r="I316" s="326"/>
      <c r="J316" s="326"/>
      <c r="K316" s="326"/>
      <c r="L316" s="326"/>
      <c r="M316" s="326"/>
      <c r="N316" s="326"/>
      <c r="O316" s="326"/>
      <c r="P316" s="326"/>
      <c r="Q316" s="326"/>
      <c r="R316" s="326"/>
      <c r="S316" s="326"/>
      <c r="T316" s="326"/>
      <c r="U316" s="326"/>
      <c r="V316" s="326"/>
      <c r="W316" s="326"/>
      <c r="X316" s="326"/>
      <c r="Y316" s="326"/>
      <c r="Z316" s="326"/>
      <c r="AA316" s="326"/>
    </row>
    <row r="317" spans="1:27" ht="12.75">
      <c r="A317" s="326"/>
      <c r="B317" s="326"/>
      <c r="C317" s="326"/>
      <c r="D317" s="326"/>
      <c r="E317" s="326"/>
      <c r="F317" s="326"/>
      <c r="G317" s="326"/>
      <c r="H317" s="326"/>
      <c r="I317" s="326"/>
      <c r="J317" s="326"/>
      <c r="K317" s="326"/>
      <c r="L317" s="326"/>
      <c r="M317" s="326"/>
      <c r="N317" s="326"/>
      <c r="O317" s="326"/>
      <c r="P317" s="326"/>
      <c r="Q317" s="326"/>
      <c r="R317" s="326"/>
      <c r="S317" s="326"/>
      <c r="T317" s="326"/>
      <c r="U317" s="326"/>
      <c r="V317" s="326"/>
      <c r="W317" s="326"/>
      <c r="X317" s="326"/>
      <c r="Y317" s="326"/>
      <c r="Z317" s="326"/>
      <c r="AA317" s="326"/>
    </row>
    <row r="318" spans="1:27" ht="12.75">
      <c r="A318" s="326"/>
      <c r="B318" s="326"/>
      <c r="C318" s="326"/>
      <c r="D318" s="326"/>
      <c r="E318" s="326"/>
      <c r="F318" s="326"/>
      <c r="G318" s="326"/>
      <c r="H318" s="326"/>
      <c r="I318" s="326"/>
      <c r="J318" s="326"/>
      <c r="K318" s="326"/>
      <c r="L318" s="326"/>
      <c r="M318" s="326"/>
      <c r="N318" s="326"/>
      <c r="O318" s="326"/>
      <c r="P318" s="326"/>
      <c r="Q318" s="326"/>
      <c r="R318" s="326"/>
      <c r="S318" s="326"/>
      <c r="T318" s="326"/>
      <c r="U318" s="326"/>
      <c r="V318" s="326"/>
      <c r="W318" s="326"/>
      <c r="X318" s="326"/>
      <c r="Y318" s="326"/>
      <c r="Z318" s="326"/>
      <c r="AA318" s="326"/>
    </row>
    <row r="319" spans="1:27" ht="12.75">
      <c r="A319" s="326"/>
      <c r="B319" s="326"/>
      <c r="C319" s="326"/>
      <c r="D319" s="326"/>
      <c r="E319" s="326"/>
      <c r="F319" s="326"/>
      <c r="G319" s="326"/>
      <c r="H319" s="326"/>
      <c r="I319" s="326"/>
      <c r="J319" s="326"/>
      <c r="K319" s="326"/>
      <c r="L319" s="326"/>
      <c r="M319" s="326"/>
      <c r="N319" s="326"/>
      <c r="O319" s="326"/>
      <c r="P319" s="326"/>
      <c r="Q319" s="326"/>
      <c r="R319" s="326"/>
      <c r="S319" s="326"/>
      <c r="T319" s="326"/>
      <c r="U319" s="326"/>
      <c r="V319" s="326"/>
      <c r="W319" s="326"/>
      <c r="X319" s="326"/>
      <c r="Y319" s="326"/>
      <c r="Z319" s="326"/>
      <c r="AA319" s="326"/>
    </row>
    <row r="320" spans="1:27" ht="12.75">
      <c r="A320" s="326"/>
      <c r="B320" s="326"/>
      <c r="C320" s="326"/>
      <c r="D320" s="326"/>
      <c r="E320" s="326"/>
      <c r="F320" s="326"/>
      <c r="G320" s="326"/>
      <c r="H320" s="326"/>
      <c r="I320" s="326"/>
      <c r="J320" s="326"/>
      <c r="K320" s="326"/>
      <c r="L320" s="326"/>
      <c r="M320" s="326"/>
      <c r="N320" s="326"/>
      <c r="O320" s="326"/>
      <c r="P320" s="326"/>
      <c r="Q320" s="326"/>
      <c r="R320" s="326"/>
      <c r="S320" s="326"/>
      <c r="T320" s="326"/>
      <c r="U320" s="326"/>
      <c r="V320" s="326"/>
      <c r="W320" s="326"/>
      <c r="X320" s="326"/>
      <c r="Y320" s="326"/>
      <c r="Z320" s="326"/>
      <c r="AA320" s="326"/>
    </row>
    <row r="321" spans="1:27" ht="12.75">
      <c r="A321" s="326"/>
      <c r="B321" s="326"/>
      <c r="C321" s="326"/>
      <c r="D321" s="326"/>
      <c r="E321" s="326"/>
      <c r="F321" s="326"/>
      <c r="G321" s="326"/>
      <c r="H321" s="326"/>
      <c r="I321" s="326"/>
      <c r="J321" s="326"/>
      <c r="K321" s="326"/>
      <c r="L321" s="326"/>
      <c r="M321" s="326"/>
      <c r="N321" s="326"/>
      <c r="O321" s="326"/>
      <c r="P321" s="326"/>
      <c r="Q321" s="326"/>
      <c r="R321" s="326"/>
      <c r="S321" s="326"/>
      <c r="T321" s="326"/>
      <c r="U321" s="326"/>
      <c r="V321" s="326"/>
      <c r="W321" s="326"/>
      <c r="X321" s="326"/>
      <c r="Y321" s="326"/>
      <c r="Z321" s="326"/>
      <c r="AA321" s="326"/>
    </row>
    <row r="322" spans="1:27" ht="12.75">
      <c r="A322" s="326"/>
      <c r="B322" s="326"/>
      <c r="C322" s="326"/>
      <c r="D322" s="326"/>
      <c r="E322" s="326"/>
      <c r="F322" s="326"/>
      <c r="G322" s="326"/>
      <c r="H322" s="326"/>
      <c r="I322" s="326"/>
      <c r="J322" s="326"/>
      <c r="K322" s="326"/>
      <c r="L322" s="326"/>
      <c r="M322" s="326"/>
      <c r="N322" s="326"/>
      <c r="O322" s="326"/>
      <c r="P322" s="326"/>
      <c r="Q322" s="326"/>
      <c r="R322" s="326"/>
      <c r="S322" s="326"/>
      <c r="T322" s="326"/>
      <c r="U322" s="326"/>
      <c r="V322" s="326"/>
      <c r="W322" s="326"/>
      <c r="X322" s="326"/>
      <c r="Y322" s="326"/>
      <c r="Z322" s="326"/>
      <c r="AA322" s="326"/>
    </row>
    <row r="323" spans="1:27" ht="12.75">
      <c r="A323" s="326"/>
      <c r="B323" s="326"/>
      <c r="C323" s="326"/>
      <c r="D323" s="326"/>
      <c r="E323" s="326"/>
      <c r="F323" s="326"/>
      <c r="G323" s="326"/>
      <c r="H323" s="326"/>
      <c r="I323" s="326"/>
      <c r="J323" s="326"/>
      <c r="K323" s="326"/>
      <c r="L323" s="326"/>
      <c r="M323" s="326"/>
      <c r="N323" s="326"/>
      <c r="O323" s="326"/>
      <c r="P323" s="326"/>
      <c r="Q323" s="326"/>
      <c r="R323" s="326"/>
      <c r="S323" s="326"/>
      <c r="T323" s="326"/>
      <c r="U323" s="326"/>
      <c r="V323" s="326"/>
      <c r="W323" s="326"/>
      <c r="X323" s="326"/>
      <c r="Y323" s="326"/>
      <c r="Z323" s="326"/>
      <c r="AA323" s="326"/>
    </row>
    <row r="324" spans="1:27" ht="12.75">
      <c r="A324" s="326"/>
      <c r="B324" s="326"/>
      <c r="C324" s="326"/>
      <c r="D324" s="326"/>
      <c r="E324" s="326"/>
      <c r="F324" s="326"/>
      <c r="G324" s="326"/>
      <c r="H324" s="326"/>
      <c r="I324" s="326"/>
      <c r="J324" s="326"/>
      <c r="K324" s="326"/>
      <c r="L324" s="326"/>
      <c r="M324" s="326"/>
      <c r="N324" s="326"/>
      <c r="O324" s="326"/>
      <c r="P324" s="326"/>
      <c r="Q324" s="326"/>
      <c r="R324" s="326"/>
      <c r="S324" s="326"/>
      <c r="T324" s="326"/>
      <c r="U324" s="326"/>
      <c r="V324" s="326"/>
      <c r="W324" s="326"/>
      <c r="X324" s="326"/>
      <c r="Y324" s="326"/>
      <c r="Z324" s="326"/>
      <c r="AA324" s="326"/>
    </row>
    <row r="325" spans="1:27" ht="12.75">
      <c r="A325" s="326"/>
      <c r="B325" s="326"/>
      <c r="C325" s="326"/>
      <c r="D325" s="326"/>
      <c r="E325" s="326"/>
      <c r="F325" s="326"/>
      <c r="G325" s="326"/>
      <c r="H325" s="326"/>
      <c r="I325" s="326"/>
      <c r="J325" s="326"/>
      <c r="K325" s="326"/>
      <c r="L325" s="326"/>
      <c r="M325" s="326"/>
      <c r="N325" s="326"/>
      <c r="O325" s="326"/>
      <c r="P325" s="326"/>
      <c r="Q325" s="326"/>
      <c r="R325" s="326"/>
      <c r="S325" s="326"/>
      <c r="T325" s="326"/>
      <c r="U325" s="326"/>
      <c r="V325" s="326"/>
      <c r="W325" s="326"/>
      <c r="X325" s="326"/>
      <c r="Y325" s="326"/>
      <c r="Z325" s="326"/>
      <c r="AA325" s="326"/>
    </row>
    <row r="326" spans="1:27" ht="12.75">
      <c r="A326" s="326"/>
      <c r="B326" s="326"/>
      <c r="C326" s="326"/>
      <c r="D326" s="326"/>
      <c r="E326" s="326"/>
      <c r="F326" s="326"/>
      <c r="G326" s="326"/>
      <c r="H326" s="326"/>
      <c r="I326" s="326"/>
      <c r="J326" s="326"/>
      <c r="K326" s="326"/>
      <c r="L326" s="326"/>
      <c r="M326" s="326"/>
      <c r="N326" s="326"/>
      <c r="O326" s="326"/>
      <c r="P326" s="326"/>
      <c r="Q326" s="326"/>
      <c r="R326" s="326"/>
      <c r="S326" s="326"/>
      <c r="T326" s="326"/>
      <c r="U326" s="326"/>
      <c r="V326" s="326"/>
      <c r="W326" s="326"/>
      <c r="X326" s="326"/>
      <c r="Y326" s="326"/>
      <c r="Z326" s="326"/>
      <c r="AA326" s="326"/>
    </row>
    <row r="327" spans="1:27" ht="12.75">
      <c r="A327" s="326"/>
      <c r="B327" s="326"/>
      <c r="C327" s="326"/>
      <c r="D327" s="326"/>
      <c r="E327" s="326"/>
      <c r="F327" s="326"/>
      <c r="G327" s="326"/>
      <c r="H327" s="326"/>
      <c r="I327" s="326"/>
      <c r="J327" s="326"/>
      <c r="K327" s="326"/>
      <c r="L327" s="326"/>
      <c r="M327" s="326"/>
      <c r="N327" s="326"/>
      <c r="O327" s="326"/>
      <c r="P327" s="326"/>
      <c r="Q327" s="326"/>
      <c r="R327" s="326"/>
      <c r="S327" s="326"/>
      <c r="T327" s="326"/>
      <c r="U327" s="326"/>
      <c r="V327" s="326"/>
      <c r="W327" s="326"/>
      <c r="X327" s="326"/>
      <c r="Y327" s="326"/>
      <c r="Z327" s="326"/>
      <c r="AA327" s="326"/>
    </row>
    <row r="328" spans="1:27" ht="12.75">
      <c r="A328" s="326"/>
      <c r="B328" s="326"/>
      <c r="C328" s="326"/>
      <c r="D328" s="326"/>
      <c r="E328" s="326"/>
      <c r="F328" s="326"/>
      <c r="G328" s="326"/>
      <c r="H328" s="326"/>
      <c r="I328" s="326"/>
      <c r="J328" s="326"/>
      <c r="K328" s="326"/>
      <c r="L328" s="326"/>
      <c r="M328" s="326"/>
      <c r="N328" s="326"/>
      <c r="O328" s="326"/>
      <c r="P328" s="326"/>
      <c r="Q328" s="326"/>
      <c r="R328" s="326"/>
      <c r="S328" s="326"/>
      <c r="T328" s="326"/>
      <c r="U328" s="326"/>
      <c r="V328" s="326"/>
      <c r="W328" s="326"/>
      <c r="X328" s="326"/>
      <c r="Y328" s="326"/>
      <c r="Z328" s="326"/>
      <c r="AA328" s="326"/>
    </row>
    <row r="329" spans="1:27" ht="12.75">
      <c r="A329" s="326"/>
      <c r="B329" s="326"/>
      <c r="C329" s="326"/>
      <c r="D329" s="326"/>
      <c r="E329" s="326"/>
      <c r="F329" s="326"/>
      <c r="G329" s="326"/>
      <c r="H329" s="326"/>
      <c r="I329" s="326"/>
      <c r="J329" s="326"/>
      <c r="K329" s="326"/>
      <c r="L329" s="326"/>
      <c r="M329" s="326"/>
      <c r="N329" s="326"/>
      <c r="O329" s="326"/>
      <c r="P329" s="326"/>
      <c r="Q329" s="326"/>
      <c r="R329" s="326"/>
      <c r="S329" s="326"/>
      <c r="T329" s="326"/>
      <c r="U329" s="326"/>
      <c r="V329" s="326"/>
      <c r="W329" s="326"/>
      <c r="X329" s="326"/>
      <c r="Y329" s="326"/>
      <c r="Z329" s="326"/>
      <c r="AA329" s="326"/>
    </row>
    <row r="330" spans="1:27" ht="12.75">
      <c r="A330" s="326"/>
      <c r="B330" s="326"/>
      <c r="C330" s="326"/>
      <c r="D330" s="326"/>
      <c r="E330" s="326"/>
      <c r="F330" s="326"/>
      <c r="G330" s="326"/>
      <c r="H330" s="326"/>
      <c r="I330" s="326"/>
      <c r="J330" s="326"/>
      <c r="K330" s="326"/>
      <c r="L330" s="326"/>
      <c r="M330" s="326"/>
      <c r="N330" s="326"/>
      <c r="O330" s="326"/>
      <c r="P330" s="326"/>
      <c r="Q330" s="326"/>
      <c r="R330" s="326"/>
      <c r="S330" s="326"/>
      <c r="T330" s="326"/>
      <c r="U330" s="326"/>
      <c r="V330" s="326"/>
      <c r="W330" s="326"/>
      <c r="X330" s="326"/>
      <c r="Y330" s="326"/>
      <c r="Z330" s="326"/>
      <c r="AA330" s="326"/>
    </row>
    <row r="331" spans="1:27" ht="12.75">
      <c r="A331" s="326"/>
      <c r="B331" s="326"/>
      <c r="C331" s="326"/>
      <c r="D331" s="326"/>
      <c r="E331" s="326"/>
      <c r="F331" s="326"/>
      <c r="G331" s="326"/>
      <c r="H331" s="326"/>
      <c r="I331" s="326"/>
      <c r="J331" s="326"/>
      <c r="K331" s="326"/>
      <c r="L331" s="326"/>
      <c r="M331" s="326"/>
      <c r="N331" s="326"/>
      <c r="O331" s="326"/>
      <c r="P331" s="326"/>
      <c r="Q331" s="326"/>
      <c r="R331" s="326"/>
      <c r="S331" s="326"/>
      <c r="T331" s="326"/>
      <c r="U331" s="326"/>
      <c r="V331" s="326"/>
      <c r="W331" s="326"/>
      <c r="X331" s="326"/>
      <c r="Y331" s="326"/>
      <c r="Z331" s="326"/>
      <c r="AA331" s="326"/>
    </row>
    <row r="332" spans="1:27" ht="12.75">
      <c r="A332" s="326"/>
      <c r="B332" s="326"/>
      <c r="C332" s="326"/>
      <c r="D332" s="326"/>
      <c r="E332" s="326"/>
      <c r="F332" s="326"/>
      <c r="G332" s="326"/>
      <c r="H332" s="326"/>
      <c r="I332" s="326"/>
      <c r="J332" s="326"/>
      <c r="K332" s="326"/>
      <c r="L332" s="326"/>
      <c r="M332" s="326"/>
      <c r="N332" s="326"/>
      <c r="O332" s="326"/>
      <c r="P332" s="326"/>
      <c r="Q332" s="326"/>
      <c r="R332" s="326"/>
      <c r="S332" s="326"/>
      <c r="T332" s="326"/>
      <c r="U332" s="326"/>
      <c r="V332" s="326"/>
      <c r="W332" s="326"/>
      <c r="X332" s="326"/>
      <c r="Y332" s="326"/>
      <c r="Z332" s="326"/>
      <c r="AA332" s="326"/>
    </row>
    <row r="333" spans="1:27" ht="12.75">
      <c r="A333" s="326"/>
      <c r="B333" s="326"/>
      <c r="C333" s="326"/>
      <c r="D333" s="326"/>
      <c r="E333" s="326"/>
      <c r="F333" s="326"/>
      <c r="G333" s="326"/>
      <c r="H333" s="326"/>
      <c r="I333" s="326"/>
      <c r="J333" s="326"/>
      <c r="K333" s="326"/>
      <c r="L333" s="326"/>
      <c r="M333" s="326"/>
      <c r="N333" s="326"/>
      <c r="O333" s="326"/>
      <c r="P333" s="326"/>
      <c r="Q333" s="326"/>
      <c r="R333" s="326"/>
      <c r="S333" s="326"/>
      <c r="T333" s="326"/>
      <c r="U333" s="326"/>
      <c r="V333" s="326"/>
      <c r="W333" s="326"/>
      <c r="X333" s="326"/>
      <c r="Y333" s="326"/>
      <c r="Z333" s="326"/>
      <c r="AA333" s="326"/>
    </row>
    <row r="334" spans="1:27" ht="12.75">
      <c r="A334" s="326"/>
      <c r="B334" s="326"/>
      <c r="C334" s="326"/>
      <c r="D334" s="326"/>
      <c r="E334" s="326"/>
      <c r="F334" s="326"/>
      <c r="G334" s="326"/>
      <c r="H334" s="326"/>
      <c r="I334" s="326"/>
      <c r="J334" s="326"/>
      <c r="K334" s="326"/>
      <c r="L334" s="326"/>
      <c r="M334" s="326"/>
      <c r="N334" s="326"/>
      <c r="O334" s="326"/>
      <c r="P334" s="326"/>
      <c r="Q334" s="326"/>
      <c r="R334" s="326"/>
      <c r="S334" s="326"/>
      <c r="T334" s="326"/>
      <c r="U334" s="326"/>
      <c r="V334" s="326"/>
      <c r="W334" s="326"/>
      <c r="X334" s="326"/>
      <c r="Y334" s="326"/>
      <c r="Z334" s="326"/>
      <c r="AA334" s="326"/>
    </row>
    <row r="335" spans="1:27" ht="12.75">
      <c r="A335" s="326"/>
      <c r="B335" s="326"/>
      <c r="C335" s="326"/>
      <c r="D335" s="326"/>
      <c r="E335" s="326"/>
      <c r="F335" s="326"/>
      <c r="G335" s="326"/>
      <c r="H335" s="326"/>
      <c r="I335" s="326"/>
      <c r="J335" s="326"/>
      <c r="K335" s="326"/>
      <c r="L335" s="326"/>
      <c r="M335" s="326"/>
      <c r="N335" s="326"/>
      <c r="O335" s="326"/>
      <c r="P335" s="326"/>
      <c r="Q335" s="326"/>
      <c r="R335" s="326"/>
      <c r="S335" s="326"/>
      <c r="T335" s="326"/>
      <c r="U335" s="326"/>
      <c r="V335" s="326"/>
      <c r="W335" s="326"/>
      <c r="X335" s="326"/>
      <c r="Y335" s="326"/>
      <c r="Z335" s="326"/>
      <c r="AA335" s="326"/>
    </row>
    <row r="336" spans="1:27" ht="12.75">
      <c r="A336" s="326"/>
      <c r="B336" s="326"/>
      <c r="C336" s="326"/>
      <c r="D336" s="326"/>
      <c r="E336" s="326"/>
      <c r="F336" s="326"/>
      <c r="G336" s="326"/>
      <c r="H336" s="326"/>
      <c r="I336" s="326"/>
      <c r="J336" s="326"/>
      <c r="K336" s="326"/>
      <c r="L336" s="326"/>
      <c r="M336" s="326"/>
      <c r="N336" s="326"/>
      <c r="O336" s="326"/>
      <c r="P336" s="326"/>
      <c r="Q336" s="326"/>
      <c r="R336" s="326"/>
      <c r="S336" s="326"/>
      <c r="T336" s="326"/>
      <c r="U336" s="326"/>
      <c r="V336" s="326"/>
      <c r="W336" s="326"/>
      <c r="X336" s="326"/>
      <c r="Y336" s="326"/>
      <c r="Z336" s="326"/>
      <c r="AA336" s="326"/>
    </row>
    <row r="337" spans="1:27" ht="12.75">
      <c r="A337" s="326"/>
      <c r="B337" s="326"/>
      <c r="C337" s="326"/>
      <c r="D337" s="326"/>
      <c r="E337" s="326"/>
      <c r="F337" s="326"/>
      <c r="G337" s="326"/>
      <c r="H337" s="326"/>
      <c r="I337" s="326"/>
      <c r="J337" s="326"/>
      <c r="K337" s="326"/>
      <c r="L337" s="326"/>
      <c r="M337" s="326"/>
      <c r="N337" s="326"/>
      <c r="O337" s="326"/>
      <c r="P337" s="326"/>
      <c r="Q337" s="326"/>
      <c r="R337" s="326"/>
      <c r="S337" s="326"/>
      <c r="T337" s="326"/>
      <c r="U337" s="326"/>
      <c r="V337" s="326"/>
      <c r="W337" s="326"/>
      <c r="X337" s="326"/>
      <c r="Y337" s="326"/>
      <c r="Z337" s="326"/>
      <c r="AA337" s="326"/>
    </row>
    <row r="338" spans="1:27" ht="12.75">
      <c r="A338" s="326"/>
      <c r="B338" s="326"/>
      <c r="C338" s="326"/>
      <c r="D338" s="326"/>
      <c r="E338" s="326"/>
      <c r="F338" s="326"/>
      <c r="G338" s="326"/>
      <c r="H338" s="326"/>
      <c r="I338" s="326"/>
      <c r="J338" s="326"/>
      <c r="K338" s="326"/>
      <c r="L338" s="326"/>
      <c r="M338" s="326"/>
      <c r="N338" s="326"/>
      <c r="O338" s="326"/>
      <c r="P338" s="326"/>
      <c r="Q338" s="326"/>
      <c r="R338" s="326"/>
      <c r="S338" s="326"/>
      <c r="T338" s="326"/>
      <c r="U338" s="326"/>
      <c r="V338" s="326"/>
      <c r="W338" s="326"/>
      <c r="X338" s="326"/>
      <c r="Y338" s="326"/>
      <c r="Z338" s="326"/>
      <c r="AA338" s="326"/>
    </row>
    <row r="339" spans="1:27" ht="12.75">
      <c r="A339" s="326"/>
      <c r="B339" s="326"/>
      <c r="C339" s="326"/>
      <c r="D339" s="326"/>
      <c r="E339" s="326"/>
      <c r="F339" s="326"/>
      <c r="G339" s="326"/>
      <c r="H339" s="326"/>
      <c r="I339" s="326"/>
      <c r="J339" s="326"/>
      <c r="K339" s="326"/>
      <c r="L339" s="326"/>
      <c r="M339" s="326"/>
      <c r="N339" s="326"/>
      <c r="O339" s="326"/>
      <c r="P339" s="326"/>
      <c r="Q339" s="326"/>
      <c r="R339" s="326"/>
      <c r="S339" s="326"/>
      <c r="T339" s="326"/>
      <c r="U339" s="326"/>
      <c r="V339" s="326"/>
      <c r="W339" s="326"/>
      <c r="X339" s="326"/>
      <c r="Y339" s="326"/>
      <c r="Z339" s="326"/>
      <c r="AA339" s="326"/>
    </row>
    <row r="340" spans="1:27" ht="12.75">
      <c r="A340" s="326"/>
      <c r="B340" s="326"/>
      <c r="C340" s="326"/>
      <c r="D340" s="326"/>
      <c r="E340" s="326"/>
      <c r="F340" s="326"/>
      <c r="G340" s="326"/>
      <c r="H340" s="326"/>
      <c r="I340" s="326"/>
      <c r="J340" s="326"/>
      <c r="K340" s="326"/>
      <c r="L340" s="326"/>
      <c r="M340" s="326"/>
      <c r="N340" s="326"/>
      <c r="O340" s="326"/>
      <c r="P340" s="326"/>
      <c r="Q340" s="326"/>
      <c r="R340" s="326"/>
      <c r="S340" s="326"/>
      <c r="T340" s="326"/>
      <c r="U340" s="326"/>
      <c r="V340" s="326"/>
      <c r="W340" s="326"/>
      <c r="X340" s="326"/>
      <c r="Y340" s="326"/>
      <c r="Z340" s="326"/>
      <c r="AA340" s="326"/>
    </row>
    <row r="341" spans="1:27" ht="12.75">
      <c r="A341" s="326"/>
      <c r="B341" s="326"/>
      <c r="C341" s="326"/>
      <c r="D341" s="326"/>
      <c r="E341" s="326"/>
      <c r="F341" s="326"/>
      <c r="G341" s="326"/>
      <c r="H341" s="326"/>
      <c r="I341" s="326"/>
      <c r="J341" s="326"/>
      <c r="K341" s="326"/>
      <c r="L341" s="326"/>
      <c r="M341" s="326"/>
      <c r="N341" s="326"/>
      <c r="O341" s="326"/>
      <c r="P341" s="326"/>
      <c r="Q341" s="326"/>
      <c r="R341" s="326"/>
      <c r="S341" s="326"/>
      <c r="T341" s="326"/>
      <c r="U341" s="326"/>
      <c r="V341" s="326"/>
      <c r="W341" s="326"/>
      <c r="X341" s="326"/>
      <c r="Y341" s="326"/>
      <c r="Z341" s="326"/>
      <c r="AA341" s="326"/>
    </row>
    <row r="342" spans="1:27" ht="12.75">
      <c r="A342" s="326"/>
      <c r="B342" s="326"/>
      <c r="C342" s="326"/>
      <c r="D342" s="326"/>
      <c r="E342" s="326"/>
      <c r="F342" s="326"/>
      <c r="G342" s="326"/>
      <c r="H342" s="326"/>
      <c r="I342" s="326"/>
      <c r="J342" s="326"/>
      <c r="K342" s="326"/>
      <c r="L342" s="326"/>
      <c r="M342" s="326"/>
      <c r="N342" s="326"/>
      <c r="O342" s="326"/>
      <c r="P342" s="326"/>
      <c r="Q342" s="326"/>
      <c r="R342" s="326"/>
      <c r="S342" s="326"/>
      <c r="T342" s="326"/>
      <c r="U342" s="326"/>
      <c r="V342" s="326"/>
      <c r="W342" s="326"/>
      <c r="X342" s="326"/>
      <c r="Y342" s="326"/>
      <c r="Z342" s="326"/>
      <c r="AA342" s="326"/>
    </row>
    <row r="343" spans="1:27" ht="12.75">
      <c r="A343" s="326"/>
      <c r="B343" s="326"/>
      <c r="C343" s="326"/>
      <c r="D343" s="326"/>
      <c r="E343" s="326"/>
      <c r="F343" s="326"/>
      <c r="G343" s="326"/>
      <c r="H343" s="326"/>
      <c r="I343" s="326"/>
      <c r="J343" s="326"/>
      <c r="K343" s="326"/>
      <c r="L343" s="326"/>
      <c r="M343" s="326"/>
      <c r="N343" s="326"/>
      <c r="O343" s="326"/>
      <c r="P343" s="326"/>
      <c r="Q343" s="326"/>
      <c r="R343" s="326"/>
      <c r="S343" s="326"/>
      <c r="T343" s="326"/>
      <c r="U343" s="326"/>
      <c r="V343" s="326"/>
      <c r="W343" s="326"/>
      <c r="X343" s="326"/>
      <c r="Y343" s="326"/>
      <c r="Z343" s="326"/>
      <c r="AA343" s="326"/>
    </row>
    <row r="344" spans="1:27" ht="12.75">
      <c r="A344" s="326"/>
      <c r="B344" s="326"/>
      <c r="C344" s="326"/>
      <c r="D344" s="326"/>
      <c r="E344" s="326"/>
      <c r="F344" s="326"/>
      <c r="G344" s="326"/>
      <c r="H344" s="326"/>
      <c r="I344" s="326"/>
      <c r="J344" s="326"/>
      <c r="K344" s="326"/>
      <c r="L344" s="326"/>
      <c r="M344" s="326"/>
      <c r="N344" s="326"/>
      <c r="O344" s="326"/>
      <c r="P344" s="326"/>
      <c r="Q344" s="326"/>
      <c r="R344" s="326"/>
      <c r="S344" s="326"/>
      <c r="T344" s="326"/>
      <c r="U344" s="326"/>
      <c r="V344" s="326"/>
      <c r="W344" s="326"/>
      <c r="X344" s="326"/>
      <c r="Y344" s="326"/>
      <c r="Z344" s="326"/>
      <c r="AA344" s="326"/>
    </row>
    <row r="345" spans="1:27" ht="12.75">
      <c r="A345" s="326"/>
      <c r="B345" s="326"/>
      <c r="C345" s="326"/>
      <c r="D345" s="326"/>
      <c r="E345" s="326"/>
      <c r="F345" s="326"/>
      <c r="G345" s="326"/>
      <c r="H345" s="326"/>
      <c r="I345" s="326"/>
      <c r="J345" s="326"/>
      <c r="K345" s="326"/>
      <c r="L345" s="326"/>
      <c r="M345" s="326"/>
      <c r="N345" s="326"/>
      <c r="O345" s="326"/>
      <c r="P345" s="326"/>
      <c r="Q345" s="326"/>
      <c r="R345" s="326"/>
      <c r="S345" s="326"/>
      <c r="T345" s="326"/>
      <c r="U345" s="326"/>
      <c r="V345" s="326"/>
      <c r="W345" s="326"/>
      <c r="X345" s="326"/>
      <c r="Y345" s="326"/>
      <c r="Z345" s="326"/>
      <c r="AA345" s="326"/>
    </row>
    <row r="346" spans="1:27" ht="12.75">
      <c r="A346" s="326"/>
      <c r="B346" s="326"/>
      <c r="C346" s="326"/>
      <c r="D346" s="326"/>
      <c r="E346" s="326"/>
      <c r="F346" s="326"/>
      <c r="G346" s="326"/>
      <c r="H346" s="326"/>
      <c r="I346" s="326"/>
      <c r="J346" s="326"/>
      <c r="K346" s="326"/>
      <c r="L346" s="326"/>
      <c r="M346" s="326"/>
      <c r="N346" s="326"/>
      <c r="O346" s="326"/>
      <c r="P346" s="326"/>
      <c r="Q346" s="326"/>
      <c r="R346" s="326"/>
      <c r="S346" s="326"/>
      <c r="T346" s="326"/>
      <c r="U346" s="326"/>
      <c r="V346" s="326"/>
      <c r="W346" s="326"/>
      <c r="X346" s="326"/>
      <c r="Y346" s="326"/>
      <c r="Z346" s="326"/>
      <c r="AA346" s="326"/>
    </row>
    <row r="347" spans="1:27" ht="12.75">
      <c r="A347" s="326"/>
      <c r="B347" s="326"/>
      <c r="C347" s="326"/>
      <c r="D347" s="326"/>
      <c r="E347" s="326"/>
      <c r="F347" s="326"/>
      <c r="G347" s="326"/>
      <c r="H347" s="326"/>
      <c r="I347" s="326"/>
      <c r="J347" s="326"/>
      <c r="K347" s="326"/>
      <c r="L347" s="326"/>
      <c r="M347" s="326"/>
      <c r="N347" s="326"/>
      <c r="O347" s="326"/>
      <c r="P347" s="326"/>
      <c r="Q347" s="326"/>
      <c r="R347" s="326"/>
      <c r="S347" s="326"/>
      <c r="T347" s="326"/>
      <c r="U347" s="326"/>
      <c r="V347" s="326"/>
      <c r="W347" s="326"/>
      <c r="X347" s="326"/>
      <c r="Y347" s="326"/>
      <c r="Z347" s="326"/>
      <c r="AA347" s="326"/>
    </row>
    <row r="348" spans="1:27" ht="12.75">
      <c r="A348" s="326"/>
      <c r="B348" s="326"/>
      <c r="C348" s="326"/>
      <c r="D348" s="326"/>
      <c r="E348" s="326"/>
      <c r="F348" s="326"/>
      <c r="G348" s="326"/>
      <c r="H348" s="326"/>
      <c r="I348" s="326"/>
      <c r="J348" s="326"/>
      <c r="K348" s="326"/>
      <c r="L348" s="326"/>
      <c r="M348" s="326"/>
      <c r="N348" s="326"/>
      <c r="O348" s="326"/>
      <c r="P348" s="326"/>
      <c r="Q348" s="326"/>
      <c r="R348" s="326"/>
      <c r="S348" s="326"/>
      <c r="T348" s="326"/>
      <c r="U348" s="326"/>
      <c r="V348" s="326"/>
      <c r="W348" s="326"/>
      <c r="X348" s="326"/>
      <c r="Y348" s="326"/>
      <c r="Z348" s="326"/>
      <c r="AA348" s="326"/>
    </row>
    <row r="349" spans="1:27" ht="12.75">
      <c r="A349" s="326"/>
      <c r="B349" s="326"/>
      <c r="C349" s="326"/>
      <c r="D349" s="326"/>
      <c r="E349" s="326"/>
      <c r="F349" s="326"/>
      <c r="G349" s="326"/>
      <c r="H349" s="326"/>
      <c r="I349" s="326"/>
      <c r="J349" s="326"/>
      <c r="K349" s="326"/>
      <c r="L349" s="326"/>
      <c r="M349" s="326"/>
      <c r="N349" s="326"/>
      <c r="O349" s="326"/>
      <c r="P349" s="326"/>
      <c r="Q349" s="326"/>
      <c r="R349" s="326"/>
      <c r="S349" s="326"/>
      <c r="T349" s="326"/>
      <c r="U349" s="326"/>
      <c r="V349" s="326"/>
      <c r="W349" s="326"/>
      <c r="X349" s="326"/>
      <c r="Y349" s="326"/>
      <c r="Z349" s="326"/>
      <c r="AA349" s="326"/>
    </row>
    <row r="350" spans="1:27" ht="12.75">
      <c r="A350" s="326"/>
      <c r="B350" s="326"/>
      <c r="C350" s="326"/>
      <c r="D350" s="326"/>
      <c r="E350" s="326"/>
      <c r="F350" s="326"/>
      <c r="G350" s="326"/>
      <c r="H350" s="326"/>
      <c r="I350" s="326"/>
      <c r="J350" s="326"/>
      <c r="K350" s="326"/>
      <c r="L350" s="326"/>
      <c r="M350" s="326"/>
      <c r="N350" s="326"/>
      <c r="O350" s="326"/>
      <c r="P350" s="326"/>
      <c r="Q350" s="326"/>
      <c r="R350" s="326"/>
      <c r="S350" s="326"/>
      <c r="T350" s="326"/>
      <c r="U350" s="326"/>
      <c r="V350" s="326"/>
      <c r="W350" s="326"/>
      <c r="X350" s="326"/>
      <c r="Y350" s="326"/>
      <c r="Z350" s="326"/>
      <c r="AA350" s="326"/>
    </row>
    <row r="351" spans="1:27" ht="12.75">
      <c r="A351" s="326"/>
      <c r="B351" s="326"/>
      <c r="C351" s="326"/>
      <c r="D351" s="326"/>
      <c r="E351" s="326"/>
      <c r="F351" s="326"/>
      <c r="G351" s="326"/>
      <c r="H351" s="326"/>
      <c r="I351" s="326"/>
      <c r="J351" s="326"/>
      <c r="K351" s="326"/>
      <c r="L351" s="326"/>
      <c r="M351" s="326"/>
      <c r="N351" s="326"/>
      <c r="O351" s="326"/>
      <c r="P351" s="326"/>
      <c r="Q351" s="326"/>
      <c r="R351" s="326"/>
      <c r="S351" s="326"/>
      <c r="T351" s="326"/>
      <c r="U351" s="326"/>
      <c r="V351" s="326"/>
      <c r="W351" s="326"/>
      <c r="X351" s="326"/>
      <c r="Y351" s="326"/>
      <c r="Z351" s="326"/>
      <c r="AA351" s="326"/>
    </row>
    <row r="352" spans="1:27" ht="12.75">
      <c r="A352" s="326"/>
      <c r="B352" s="326"/>
      <c r="C352" s="326"/>
      <c r="D352" s="326"/>
      <c r="E352" s="326"/>
      <c r="F352" s="326"/>
      <c r="G352" s="326"/>
      <c r="H352" s="326"/>
      <c r="I352" s="326"/>
      <c r="J352" s="326"/>
      <c r="K352" s="326"/>
      <c r="L352" s="326"/>
      <c r="M352" s="326"/>
      <c r="N352" s="326"/>
      <c r="O352" s="326"/>
      <c r="P352" s="326"/>
      <c r="Q352" s="326"/>
      <c r="R352" s="326"/>
      <c r="S352" s="326"/>
      <c r="T352" s="326"/>
      <c r="U352" s="326"/>
      <c r="V352" s="326"/>
      <c r="W352" s="326"/>
      <c r="X352" s="326"/>
      <c r="Y352" s="326"/>
      <c r="Z352" s="326"/>
      <c r="AA352" s="326"/>
    </row>
    <row r="353" spans="1:27" ht="12.75">
      <c r="A353" s="326"/>
      <c r="B353" s="326"/>
      <c r="C353" s="326"/>
      <c r="D353" s="326"/>
      <c r="E353" s="326"/>
      <c r="F353" s="326"/>
      <c r="G353" s="326"/>
      <c r="H353" s="326"/>
      <c r="I353" s="326"/>
      <c r="J353" s="326"/>
      <c r="K353" s="326"/>
      <c r="L353" s="326"/>
      <c r="M353" s="326"/>
      <c r="N353" s="326"/>
      <c r="O353" s="326"/>
      <c r="P353" s="326"/>
      <c r="Q353" s="326"/>
      <c r="R353" s="326"/>
      <c r="S353" s="326"/>
      <c r="T353" s="326"/>
      <c r="U353" s="326"/>
      <c r="V353" s="326"/>
      <c r="W353" s="326"/>
      <c r="X353" s="326"/>
      <c r="Y353" s="326"/>
      <c r="Z353" s="326"/>
      <c r="AA353" s="326"/>
    </row>
    <row r="354" spans="1:27" ht="12.75">
      <c r="A354" s="326"/>
      <c r="B354" s="326"/>
      <c r="C354" s="326"/>
      <c r="D354" s="326"/>
      <c r="E354" s="326"/>
      <c r="F354" s="326"/>
      <c r="G354" s="326"/>
      <c r="H354" s="326"/>
      <c r="I354" s="326"/>
      <c r="J354" s="326"/>
      <c r="K354" s="326"/>
      <c r="L354" s="326"/>
      <c r="M354" s="326"/>
      <c r="N354" s="326"/>
      <c r="O354" s="326"/>
      <c r="P354" s="326"/>
      <c r="Q354" s="326"/>
      <c r="R354" s="326"/>
      <c r="S354" s="326"/>
      <c r="T354" s="326"/>
      <c r="U354" s="326"/>
      <c r="V354" s="326"/>
      <c r="W354" s="326"/>
      <c r="X354" s="326"/>
      <c r="Y354" s="326"/>
      <c r="Z354" s="326"/>
      <c r="AA354" s="326"/>
    </row>
    <row r="355" spans="1:27" ht="12.75">
      <c r="A355" s="326"/>
      <c r="B355" s="326"/>
      <c r="C355" s="326"/>
      <c r="D355" s="326"/>
      <c r="E355" s="326"/>
      <c r="F355" s="326"/>
      <c r="G355" s="326"/>
      <c r="H355" s="326"/>
      <c r="I355" s="326"/>
      <c r="J355" s="326"/>
      <c r="K355" s="326"/>
      <c r="L355" s="326"/>
      <c r="M355" s="326"/>
      <c r="N355" s="326"/>
      <c r="O355" s="326"/>
      <c r="P355" s="326"/>
      <c r="Q355" s="326"/>
      <c r="R355" s="326"/>
      <c r="S355" s="326"/>
      <c r="T355" s="326"/>
      <c r="U355" s="326"/>
      <c r="V355" s="326"/>
      <c r="W355" s="326"/>
      <c r="X355" s="326"/>
      <c r="Y355" s="326"/>
      <c r="Z355" s="326"/>
      <c r="AA355" s="326"/>
    </row>
    <row r="356" spans="1:27" ht="12.75">
      <c r="A356" s="326"/>
      <c r="B356" s="326"/>
      <c r="C356" s="326"/>
      <c r="D356" s="326"/>
      <c r="E356" s="326"/>
      <c r="F356" s="326"/>
      <c r="G356" s="326"/>
      <c r="H356" s="326"/>
      <c r="I356" s="326"/>
      <c r="J356" s="326"/>
      <c r="K356" s="326"/>
      <c r="L356" s="326"/>
      <c r="M356" s="326"/>
      <c r="N356" s="326"/>
      <c r="O356" s="326"/>
      <c r="P356" s="326"/>
      <c r="Q356" s="326"/>
      <c r="R356" s="326"/>
      <c r="S356" s="326"/>
      <c r="T356" s="326"/>
      <c r="U356" s="326"/>
      <c r="V356" s="326"/>
      <c r="W356" s="326"/>
      <c r="X356" s="326"/>
      <c r="Y356" s="326"/>
      <c r="Z356" s="326"/>
      <c r="AA356" s="326"/>
    </row>
    <row r="357" spans="1:27" ht="12.75">
      <c r="A357" s="326"/>
      <c r="B357" s="326"/>
      <c r="C357" s="326"/>
      <c r="D357" s="326"/>
      <c r="E357" s="326"/>
      <c r="F357" s="326"/>
      <c r="G357" s="326"/>
      <c r="H357" s="326"/>
      <c r="I357" s="326"/>
      <c r="J357" s="326"/>
      <c r="K357" s="326"/>
      <c r="L357" s="326"/>
      <c r="M357" s="326"/>
      <c r="N357" s="326"/>
      <c r="O357" s="326"/>
      <c r="P357" s="326"/>
      <c r="Q357" s="326"/>
      <c r="R357" s="326"/>
      <c r="S357" s="326"/>
      <c r="T357" s="326"/>
      <c r="U357" s="326"/>
      <c r="V357" s="326"/>
      <c r="W357" s="326"/>
      <c r="X357" s="326"/>
      <c r="Y357" s="326"/>
      <c r="Z357" s="326"/>
      <c r="AA357" s="326"/>
    </row>
    <row r="358" spans="1:27" ht="12.75">
      <c r="A358" s="326"/>
      <c r="B358" s="326"/>
      <c r="C358" s="326"/>
      <c r="D358" s="326"/>
      <c r="E358" s="326"/>
      <c r="F358" s="326"/>
      <c r="G358" s="326"/>
      <c r="H358" s="326"/>
      <c r="I358" s="326"/>
      <c r="J358" s="326"/>
      <c r="K358" s="326"/>
      <c r="L358" s="326"/>
      <c r="M358" s="326"/>
      <c r="N358" s="326"/>
      <c r="O358" s="326"/>
      <c r="P358" s="326"/>
      <c r="Q358" s="326"/>
      <c r="R358" s="326"/>
      <c r="S358" s="326"/>
      <c r="T358" s="326"/>
      <c r="U358" s="326"/>
      <c r="V358" s="326"/>
      <c r="W358" s="326"/>
      <c r="X358" s="326"/>
      <c r="Y358" s="326"/>
      <c r="Z358" s="326"/>
      <c r="AA358" s="326"/>
    </row>
    <row r="359" spans="1:27" ht="12.75">
      <c r="A359" s="326"/>
      <c r="B359" s="326"/>
      <c r="C359" s="326"/>
      <c r="D359" s="326"/>
      <c r="E359" s="326"/>
      <c r="F359" s="326"/>
      <c r="G359" s="326"/>
      <c r="H359" s="326"/>
      <c r="I359" s="326"/>
      <c r="J359" s="326"/>
      <c r="K359" s="326"/>
      <c r="L359" s="326"/>
      <c r="M359" s="326"/>
      <c r="N359" s="326"/>
      <c r="O359" s="326"/>
      <c r="P359" s="326"/>
      <c r="Q359" s="326"/>
      <c r="R359" s="326"/>
      <c r="S359" s="326"/>
      <c r="T359" s="326"/>
      <c r="U359" s="326"/>
      <c r="V359" s="326"/>
      <c r="W359" s="326"/>
      <c r="X359" s="326"/>
      <c r="Y359" s="326"/>
      <c r="Z359" s="326"/>
      <c r="AA359" s="326"/>
    </row>
    <row r="360" spans="1:27" ht="12.75">
      <c r="A360" s="326"/>
      <c r="B360" s="326"/>
      <c r="C360" s="326"/>
      <c r="D360" s="326"/>
      <c r="E360" s="326"/>
      <c r="F360" s="326"/>
      <c r="G360" s="326"/>
      <c r="H360" s="326"/>
      <c r="I360" s="326"/>
      <c r="J360" s="326"/>
      <c r="K360" s="326"/>
      <c r="L360" s="326"/>
      <c r="M360" s="326"/>
      <c r="N360" s="326"/>
      <c r="O360" s="326"/>
      <c r="P360" s="326"/>
      <c r="Q360" s="326"/>
      <c r="R360" s="326"/>
      <c r="S360" s="326"/>
      <c r="T360" s="326"/>
      <c r="U360" s="326"/>
      <c r="V360" s="326"/>
      <c r="W360" s="326"/>
      <c r="X360" s="326"/>
      <c r="Y360" s="326"/>
      <c r="Z360" s="326"/>
      <c r="AA360" s="326"/>
    </row>
    <row r="361" spans="1:27" ht="12.75">
      <c r="A361" s="326"/>
      <c r="B361" s="326"/>
      <c r="C361" s="326"/>
      <c r="D361" s="326"/>
      <c r="E361" s="326"/>
      <c r="F361" s="326"/>
      <c r="G361" s="326"/>
      <c r="H361" s="326"/>
      <c r="I361" s="326"/>
      <c r="J361" s="326"/>
      <c r="K361" s="326"/>
      <c r="L361" s="326"/>
      <c r="M361" s="326"/>
      <c r="N361" s="326"/>
      <c r="O361" s="326"/>
      <c r="P361" s="326"/>
      <c r="Q361" s="326"/>
      <c r="R361" s="326"/>
      <c r="S361" s="326"/>
      <c r="T361" s="326"/>
      <c r="U361" s="326"/>
      <c r="V361" s="326"/>
      <c r="W361" s="326"/>
      <c r="X361" s="326"/>
      <c r="Y361" s="326"/>
      <c r="Z361" s="326"/>
      <c r="AA361" s="326"/>
    </row>
    <row r="362" spans="1:27" ht="12.75">
      <c r="A362" s="326"/>
      <c r="B362" s="326"/>
      <c r="C362" s="326"/>
      <c r="D362" s="326"/>
      <c r="E362" s="326"/>
      <c r="F362" s="326"/>
      <c r="G362" s="326"/>
      <c r="H362" s="326"/>
      <c r="I362" s="326"/>
      <c r="J362" s="326"/>
      <c r="K362" s="326"/>
      <c r="L362" s="326"/>
      <c r="M362" s="326"/>
      <c r="N362" s="326"/>
      <c r="O362" s="326"/>
      <c r="P362" s="326"/>
      <c r="Q362" s="326"/>
      <c r="R362" s="326"/>
      <c r="S362" s="326"/>
      <c r="T362" s="326"/>
      <c r="U362" s="326"/>
      <c r="V362" s="326"/>
      <c r="W362" s="326"/>
      <c r="X362" s="326"/>
      <c r="Y362" s="326"/>
      <c r="Z362" s="326"/>
      <c r="AA362" s="326"/>
    </row>
    <row r="363" spans="1:27" ht="12.75">
      <c r="A363" s="326"/>
      <c r="B363" s="326"/>
      <c r="C363" s="326"/>
      <c r="D363" s="326"/>
      <c r="E363" s="326"/>
      <c r="F363" s="326"/>
      <c r="G363" s="326"/>
      <c r="H363" s="326"/>
      <c r="I363" s="326"/>
      <c r="J363" s="326"/>
      <c r="K363" s="326"/>
      <c r="L363" s="326"/>
      <c r="M363" s="326"/>
      <c r="N363" s="326"/>
      <c r="O363" s="326"/>
      <c r="P363" s="326"/>
      <c r="Q363" s="326"/>
      <c r="R363" s="326"/>
      <c r="S363" s="326"/>
      <c r="T363" s="326"/>
      <c r="U363" s="326"/>
      <c r="V363" s="326"/>
      <c r="W363" s="326"/>
      <c r="X363" s="326"/>
      <c r="Y363" s="326"/>
      <c r="Z363" s="326"/>
      <c r="AA363" s="326"/>
    </row>
    <row r="364" spans="1:27" ht="12.75">
      <c r="A364" s="326"/>
      <c r="B364" s="326"/>
      <c r="C364" s="326"/>
      <c r="D364" s="326"/>
      <c r="E364" s="326"/>
      <c r="F364" s="326"/>
      <c r="G364" s="326"/>
      <c r="H364" s="326"/>
      <c r="I364" s="326"/>
      <c r="J364" s="326"/>
      <c r="K364" s="326"/>
      <c r="L364" s="326"/>
      <c r="M364" s="326"/>
      <c r="N364" s="326"/>
      <c r="O364" s="326"/>
      <c r="P364" s="326"/>
      <c r="Q364" s="326"/>
      <c r="R364" s="326"/>
      <c r="S364" s="326"/>
      <c r="T364" s="326"/>
      <c r="U364" s="326"/>
      <c r="V364" s="326"/>
      <c r="W364" s="326"/>
      <c r="X364" s="326"/>
      <c r="Y364" s="326"/>
      <c r="Z364" s="326"/>
      <c r="AA364" s="326"/>
    </row>
    <row r="365" spans="1:27" ht="12.75">
      <c r="A365" s="326"/>
      <c r="B365" s="326"/>
      <c r="C365" s="326"/>
      <c r="D365" s="326"/>
      <c r="E365" s="326"/>
      <c r="F365" s="326"/>
      <c r="G365" s="326"/>
      <c r="H365" s="326"/>
      <c r="I365" s="326"/>
      <c r="J365" s="326"/>
      <c r="K365" s="326"/>
      <c r="L365" s="326"/>
      <c r="M365" s="326"/>
      <c r="N365" s="326"/>
      <c r="O365" s="326"/>
      <c r="P365" s="326"/>
      <c r="Q365" s="326"/>
      <c r="R365" s="326"/>
      <c r="S365" s="326"/>
      <c r="T365" s="326"/>
      <c r="U365" s="326"/>
      <c r="V365" s="326"/>
      <c r="W365" s="326"/>
      <c r="X365" s="326"/>
      <c r="Y365" s="326"/>
      <c r="Z365" s="326"/>
      <c r="AA365" s="326"/>
    </row>
    <row r="366" spans="1:27" ht="12.75">
      <c r="A366" s="326"/>
      <c r="B366" s="326"/>
      <c r="C366" s="326"/>
      <c r="D366" s="326"/>
      <c r="E366" s="326"/>
      <c r="F366" s="326"/>
      <c r="G366" s="326"/>
      <c r="H366" s="326"/>
      <c r="I366" s="326"/>
      <c r="J366" s="326"/>
      <c r="K366" s="326"/>
      <c r="L366" s="326"/>
      <c r="M366" s="326"/>
      <c r="N366" s="326"/>
      <c r="O366" s="326"/>
      <c r="P366" s="326"/>
      <c r="Q366" s="326"/>
      <c r="R366" s="326"/>
      <c r="S366" s="326"/>
      <c r="T366" s="326"/>
      <c r="U366" s="326"/>
      <c r="V366" s="326"/>
      <c r="W366" s="326"/>
      <c r="X366" s="326"/>
      <c r="Y366" s="326"/>
      <c r="Z366" s="326"/>
      <c r="AA366" s="326"/>
    </row>
    <row r="367" spans="1:27" ht="12.75">
      <c r="A367" s="326"/>
      <c r="B367" s="326"/>
      <c r="C367" s="326"/>
      <c r="D367" s="326"/>
      <c r="E367" s="326"/>
      <c r="F367" s="326"/>
      <c r="G367" s="326"/>
      <c r="H367" s="326"/>
      <c r="I367" s="326"/>
      <c r="J367" s="326"/>
      <c r="K367" s="326"/>
      <c r="L367" s="326"/>
      <c r="M367" s="326"/>
      <c r="N367" s="326"/>
      <c r="O367" s="326"/>
      <c r="P367" s="326"/>
      <c r="Q367" s="326"/>
      <c r="R367" s="326"/>
      <c r="S367" s="326"/>
      <c r="T367" s="326"/>
      <c r="U367" s="326"/>
      <c r="V367" s="326"/>
      <c r="W367" s="326"/>
      <c r="X367" s="326"/>
      <c r="Y367" s="326"/>
      <c r="Z367" s="326"/>
      <c r="AA367" s="326"/>
    </row>
    <row r="368" spans="1:27" ht="12.75">
      <c r="A368" s="326"/>
      <c r="B368" s="326"/>
      <c r="C368" s="326"/>
      <c r="D368" s="326"/>
      <c r="E368" s="326"/>
      <c r="F368" s="326"/>
      <c r="G368" s="326"/>
      <c r="H368" s="326"/>
      <c r="I368" s="326"/>
      <c r="J368" s="326"/>
      <c r="K368" s="326"/>
      <c r="L368" s="326"/>
      <c r="M368" s="326"/>
      <c r="N368" s="326"/>
      <c r="O368" s="326"/>
      <c r="P368" s="326"/>
      <c r="Q368" s="326"/>
      <c r="R368" s="326"/>
      <c r="S368" s="326"/>
      <c r="T368" s="326"/>
      <c r="U368" s="326"/>
      <c r="V368" s="326"/>
      <c r="W368" s="326"/>
      <c r="X368" s="326"/>
      <c r="Y368" s="326"/>
      <c r="Z368" s="326"/>
      <c r="AA368" s="326"/>
    </row>
    <row r="369" spans="1:27" ht="12.75">
      <c r="A369" s="326"/>
      <c r="B369" s="326"/>
      <c r="C369" s="326"/>
      <c r="D369" s="326"/>
      <c r="E369" s="326"/>
      <c r="F369" s="326"/>
      <c r="G369" s="326"/>
      <c r="H369" s="326"/>
      <c r="I369" s="326"/>
      <c r="J369" s="326"/>
      <c r="K369" s="326"/>
      <c r="L369" s="326"/>
      <c r="M369" s="326"/>
      <c r="N369" s="326"/>
      <c r="O369" s="326"/>
      <c r="P369" s="326"/>
      <c r="Q369" s="326"/>
      <c r="R369" s="326"/>
      <c r="S369" s="326"/>
      <c r="T369" s="326"/>
      <c r="U369" s="326"/>
      <c r="V369" s="326"/>
      <c r="W369" s="326"/>
      <c r="X369" s="326"/>
      <c r="Y369" s="326"/>
      <c r="Z369" s="326"/>
      <c r="AA369" s="326"/>
    </row>
    <row r="370" spans="1:27" ht="12.75">
      <c r="A370" s="326"/>
      <c r="B370" s="326"/>
      <c r="C370" s="326"/>
      <c r="D370" s="326"/>
      <c r="E370" s="326"/>
      <c r="F370" s="326"/>
      <c r="G370" s="326"/>
      <c r="H370" s="326"/>
      <c r="I370" s="326"/>
      <c r="J370" s="326"/>
      <c r="K370" s="326"/>
      <c r="L370" s="326"/>
      <c r="M370" s="326"/>
      <c r="N370" s="326"/>
      <c r="O370" s="326"/>
      <c r="P370" s="326"/>
      <c r="Q370" s="326"/>
      <c r="R370" s="326"/>
      <c r="S370" s="326"/>
      <c r="T370" s="326"/>
      <c r="U370" s="326"/>
      <c r="V370" s="326"/>
      <c r="W370" s="326"/>
      <c r="X370" s="326"/>
      <c r="Y370" s="326"/>
      <c r="Z370" s="326"/>
      <c r="AA370" s="326"/>
    </row>
    <row r="371" spans="1:27" ht="12.75">
      <c r="A371" s="326"/>
      <c r="B371" s="326"/>
      <c r="C371" s="326"/>
      <c r="D371" s="326"/>
      <c r="E371" s="326"/>
      <c r="F371" s="326"/>
      <c r="G371" s="326"/>
      <c r="H371" s="326"/>
      <c r="I371" s="326"/>
      <c r="J371" s="326"/>
      <c r="K371" s="326"/>
      <c r="L371" s="326"/>
      <c r="M371" s="326"/>
      <c r="N371" s="326"/>
      <c r="O371" s="326"/>
      <c r="P371" s="326"/>
      <c r="Q371" s="326"/>
      <c r="R371" s="326"/>
      <c r="S371" s="326"/>
      <c r="T371" s="326"/>
      <c r="U371" s="326"/>
      <c r="V371" s="326"/>
      <c r="W371" s="326"/>
      <c r="X371" s="326"/>
      <c r="Y371" s="326"/>
      <c r="Z371" s="326"/>
      <c r="AA371" s="326"/>
    </row>
    <row r="372" spans="1:27" ht="12.75">
      <c r="A372" s="326"/>
      <c r="B372" s="326"/>
      <c r="C372" s="326"/>
      <c r="D372" s="326"/>
      <c r="E372" s="326"/>
      <c r="F372" s="326"/>
      <c r="G372" s="326"/>
      <c r="H372" s="326"/>
      <c r="I372" s="326"/>
      <c r="J372" s="326"/>
      <c r="K372" s="326"/>
      <c r="L372" s="326"/>
      <c r="M372" s="326"/>
      <c r="N372" s="326"/>
      <c r="O372" s="326"/>
      <c r="P372" s="326"/>
      <c r="Q372" s="326"/>
      <c r="R372" s="326"/>
      <c r="S372" s="326"/>
      <c r="T372" s="326"/>
      <c r="U372" s="326"/>
      <c r="V372" s="326"/>
      <c r="W372" s="326"/>
      <c r="X372" s="326"/>
      <c r="Y372" s="326"/>
      <c r="Z372" s="326"/>
      <c r="AA372" s="326"/>
    </row>
    <row r="373" spans="1:27" ht="12.75">
      <c r="A373" s="326"/>
      <c r="B373" s="326"/>
      <c r="C373" s="326"/>
      <c r="D373" s="326"/>
      <c r="E373" s="326"/>
      <c r="F373" s="326"/>
      <c r="G373" s="326"/>
      <c r="H373" s="326"/>
      <c r="I373" s="326"/>
      <c r="J373" s="326"/>
      <c r="K373" s="326"/>
      <c r="L373" s="326"/>
      <c r="M373" s="326"/>
      <c r="N373" s="326"/>
      <c r="O373" s="326"/>
      <c r="P373" s="326"/>
      <c r="Q373" s="326"/>
      <c r="R373" s="326"/>
      <c r="S373" s="326"/>
      <c r="T373" s="326"/>
      <c r="U373" s="326"/>
      <c r="V373" s="326"/>
      <c r="W373" s="326"/>
      <c r="X373" s="326"/>
      <c r="Y373" s="326"/>
      <c r="Z373" s="326"/>
      <c r="AA373" s="326"/>
    </row>
    <row r="374" spans="1:27" ht="12.75">
      <c r="A374" s="326"/>
      <c r="B374" s="326"/>
      <c r="C374" s="326"/>
      <c r="D374" s="326"/>
      <c r="E374" s="326"/>
      <c r="F374" s="326"/>
      <c r="G374" s="326"/>
      <c r="H374" s="326"/>
      <c r="I374" s="326"/>
      <c r="J374" s="326"/>
      <c r="K374" s="326"/>
      <c r="L374" s="326"/>
      <c r="M374" s="326"/>
      <c r="N374" s="326"/>
      <c r="O374" s="326"/>
      <c r="P374" s="326"/>
      <c r="Q374" s="326"/>
      <c r="R374" s="326"/>
      <c r="S374" s="326"/>
      <c r="T374" s="326"/>
      <c r="U374" s="326"/>
      <c r="V374" s="326"/>
      <c r="W374" s="326"/>
      <c r="X374" s="326"/>
      <c r="Y374" s="326"/>
      <c r="Z374" s="326"/>
      <c r="AA374" s="326"/>
    </row>
    <row r="375" spans="1:27" ht="12.75">
      <c r="A375" s="326"/>
      <c r="B375" s="326"/>
      <c r="C375" s="326"/>
      <c r="D375" s="326"/>
      <c r="E375" s="326"/>
      <c r="F375" s="326"/>
      <c r="G375" s="326"/>
      <c r="H375" s="326"/>
      <c r="I375" s="326"/>
      <c r="J375" s="326"/>
      <c r="K375" s="326"/>
      <c r="L375" s="326"/>
      <c r="M375" s="326"/>
      <c r="N375" s="326"/>
      <c r="O375" s="326"/>
      <c r="P375" s="326"/>
      <c r="Q375" s="326"/>
      <c r="R375" s="326"/>
      <c r="S375" s="326"/>
      <c r="T375" s="326"/>
      <c r="U375" s="326"/>
      <c r="V375" s="326"/>
      <c r="W375" s="326"/>
      <c r="X375" s="326"/>
      <c r="Y375" s="326"/>
      <c r="Z375" s="326"/>
      <c r="AA375" s="326"/>
    </row>
    <row r="376" spans="1:27" ht="12.75">
      <c r="A376" s="326"/>
      <c r="B376" s="326"/>
      <c r="C376" s="326"/>
      <c r="D376" s="326"/>
      <c r="E376" s="326"/>
      <c r="F376" s="326"/>
      <c r="G376" s="326"/>
      <c r="H376" s="326"/>
      <c r="I376" s="326"/>
      <c r="J376" s="326"/>
      <c r="K376" s="326"/>
      <c r="L376" s="326"/>
      <c r="M376" s="326"/>
      <c r="N376" s="326"/>
      <c r="O376" s="326"/>
      <c r="P376" s="326"/>
      <c r="Q376" s="326"/>
      <c r="R376" s="326"/>
      <c r="S376" s="326"/>
      <c r="T376" s="326"/>
      <c r="U376" s="326"/>
      <c r="V376" s="326"/>
      <c r="W376" s="326"/>
      <c r="X376" s="326"/>
      <c r="Y376" s="326"/>
      <c r="Z376" s="326"/>
      <c r="AA376" s="326"/>
    </row>
    <row r="377" spans="1:27" ht="12.75">
      <c r="A377" s="326"/>
      <c r="B377" s="326"/>
      <c r="C377" s="326"/>
      <c r="D377" s="326"/>
      <c r="E377" s="326"/>
      <c r="F377" s="326"/>
      <c r="G377" s="326"/>
      <c r="H377" s="326"/>
      <c r="I377" s="326"/>
      <c r="J377" s="326"/>
      <c r="K377" s="326"/>
      <c r="L377" s="326"/>
      <c r="M377" s="326"/>
      <c r="N377" s="326"/>
      <c r="O377" s="326"/>
      <c r="P377" s="326"/>
      <c r="Q377" s="326"/>
      <c r="R377" s="326"/>
      <c r="S377" s="326"/>
      <c r="T377" s="326"/>
      <c r="U377" s="326"/>
      <c r="V377" s="326"/>
      <c r="W377" s="326"/>
      <c r="X377" s="326"/>
      <c r="Y377" s="326"/>
      <c r="Z377" s="326"/>
      <c r="AA377" s="326"/>
    </row>
    <row r="378" spans="1:27" ht="12.75">
      <c r="A378" s="326"/>
      <c r="B378" s="326"/>
      <c r="C378" s="326"/>
      <c r="D378" s="326"/>
      <c r="E378" s="326"/>
      <c r="F378" s="326"/>
      <c r="G378" s="326"/>
      <c r="H378" s="326"/>
      <c r="I378" s="326"/>
      <c r="J378" s="326"/>
      <c r="K378" s="326"/>
      <c r="L378" s="326"/>
      <c r="M378" s="326"/>
      <c r="N378" s="326"/>
      <c r="O378" s="326"/>
      <c r="P378" s="326"/>
      <c r="Q378" s="326"/>
      <c r="R378" s="326"/>
      <c r="S378" s="326"/>
      <c r="T378" s="326"/>
      <c r="U378" s="326"/>
      <c r="V378" s="326"/>
      <c r="W378" s="326"/>
      <c r="X378" s="326"/>
      <c r="Y378" s="326"/>
      <c r="Z378" s="326"/>
      <c r="AA378" s="326"/>
    </row>
    <row r="379" spans="1:27" ht="12.75">
      <c r="A379" s="326"/>
      <c r="B379" s="326"/>
      <c r="C379" s="326"/>
      <c r="D379" s="326"/>
      <c r="E379" s="326"/>
      <c r="F379" s="326"/>
      <c r="G379" s="326"/>
      <c r="H379" s="326"/>
      <c r="I379" s="326"/>
      <c r="J379" s="326"/>
      <c r="K379" s="326"/>
      <c r="L379" s="326"/>
      <c r="M379" s="326"/>
      <c r="N379" s="326"/>
      <c r="O379" s="326"/>
      <c r="P379" s="326"/>
      <c r="Q379" s="326"/>
      <c r="R379" s="326"/>
      <c r="S379" s="326"/>
      <c r="T379" s="326"/>
      <c r="U379" s="326"/>
      <c r="V379" s="326"/>
      <c r="W379" s="326"/>
      <c r="X379" s="326"/>
      <c r="Y379" s="326"/>
      <c r="Z379" s="326"/>
      <c r="AA379" s="326"/>
    </row>
    <row r="380" spans="1:27" ht="12.75">
      <c r="A380" s="326"/>
      <c r="B380" s="326"/>
      <c r="C380" s="326"/>
      <c r="D380" s="326"/>
      <c r="E380" s="326"/>
      <c r="F380" s="326"/>
      <c r="G380" s="326"/>
      <c r="H380" s="326"/>
      <c r="I380" s="326"/>
      <c r="J380" s="326"/>
      <c r="K380" s="326"/>
      <c r="L380" s="326"/>
      <c r="M380" s="326"/>
      <c r="N380" s="326"/>
      <c r="O380" s="326"/>
      <c r="P380" s="326"/>
      <c r="Q380" s="326"/>
      <c r="R380" s="326"/>
      <c r="S380" s="326"/>
      <c r="T380" s="326"/>
      <c r="U380" s="326"/>
      <c r="V380" s="326"/>
      <c r="W380" s="326"/>
      <c r="X380" s="326"/>
      <c r="Y380" s="326"/>
      <c r="Z380" s="326"/>
      <c r="AA380" s="326"/>
    </row>
    <row r="381" spans="1:27" ht="12.75">
      <c r="A381" s="326"/>
      <c r="B381" s="326"/>
      <c r="C381" s="326"/>
      <c r="D381" s="326"/>
      <c r="E381" s="326"/>
      <c r="F381" s="326"/>
      <c r="G381" s="326"/>
      <c r="H381" s="326"/>
      <c r="I381" s="326"/>
      <c r="J381" s="326"/>
      <c r="K381" s="326"/>
      <c r="L381" s="326"/>
      <c r="M381" s="326"/>
      <c r="N381" s="326"/>
      <c r="O381" s="326"/>
      <c r="P381" s="326"/>
      <c r="Q381" s="326"/>
      <c r="R381" s="326"/>
      <c r="S381" s="326"/>
      <c r="T381" s="326"/>
      <c r="U381" s="326"/>
      <c r="V381" s="326"/>
      <c r="W381" s="326"/>
      <c r="X381" s="326"/>
      <c r="Y381" s="326"/>
      <c r="Z381" s="326"/>
      <c r="AA381" s="326"/>
    </row>
    <row r="382" spans="1:27" ht="12.75">
      <c r="A382" s="326"/>
      <c r="B382" s="326"/>
      <c r="C382" s="326"/>
      <c r="D382" s="326"/>
      <c r="E382" s="326"/>
      <c r="F382" s="326"/>
      <c r="G382" s="326"/>
      <c r="H382" s="326"/>
      <c r="I382" s="326"/>
      <c r="J382" s="326"/>
      <c r="K382" s="326"/>
      <c r="L382" s="326"/>
      <c r="M382" s="326"/>
      <c r="N382" s="326"/>
      <c r="O382" s="326"/>
      <c r="P382" s="326"/>
      <c r="Q382" s="326"/>
      <c r="R382" s="326"/>
      <c r="S382" s="326"/>
      <c r="T382" s="326"/>
      <c r="U382" s="326"/>
      <c r="V382" s="326"/>
      <c r="W382" s="326"/>
      <c r="X382" s="326"/>
      <c r="Y382" s="326"/>
      <c r="Z382" s="326"/>
      <c r="AA382" s="326"/>
    </row>
    <row r="383" spans="1:27" ht="12.75">
      <c r="A383" s="326"/>
      <c r="B383" s="326"/>
      <c r="C383" s="326"/>
      <c r="D383" s="326"/>
      <c r="E383" s="326"/>
      <c r="F383" s="326"/>
      <c r="G383" s="326"/>
      <c r="H383" s="326"/>
      <c r="I383" s="326"/>
      <c r="J383" s="326"/>
      <c r="K383" s="326"/>
      <c r="L383" s="326"/>
      <c r="M383" s="326"/>
      <c r="N383" s="326"/>
      <c r="O383" s="326"/>
      <c r="P383" s="326"/>
      <c r="Q383" s="326"/>
      <c r="R383" s="326"/>
      <c r="S383" s="326"/>
      <c r="T383" s="326"/>
      <c r="U383" s="326"/>
      <c r="V383" s="326"/>
      <c r="W383" s="326"/>
      <c r="X383" s="326"/>
      <c r="Y383" s="326"/>
      <c r="Z383" s="326"/>
      <c r="AA383" s="326"/>
    </row>
    <row r="384" spans="1:27" ht="12.75">
      <c r="A384" s="326"/>
      <c r="B384" s="326"/>
      <c r="C384" s="326"/>
      <c r="D384" s="326"/>
      <c r="E384" s="326"/>
      <c r="F384" s="326"/>
      <c r="G384" s="326"/>
      <c r="H384" s="326"/>
      <c r="I384" s="326"/>
      <c r="J384" s="326"/>
      <c r="K384" s="326"/>
      <c r="L384" s="326"/>
      <c r="M384" s="326"/>
      <c r="N384" s="326"/>
      <c r="O384" s="326"/>
      <c r="P384" s="326"/>
      <c r="Q384" s="326"/>
      <c r="R384" s="326"/>
      <c r="S384" s="326"/>
      <c r="T384" s="326"/>
      <c r="U384" s="326"/>
      <c r="V384" s="326"/>
      <c r="W384" s="326"/>
      <c r="X384" s="326"/>
      <c r="Y384" s="326"/>
      <c r="Z384" s="326"/>
      <c r="AA384" s="326"/>
    </row>
    <row r="385" spans="1:27" ht="12.75">
      <c r="A385" s="326"/>
      <c r="B385" s="326"/>
      <c r="C385" s="326"/>
      <c r="D385" s="326"/>
      <c r="E385" s="326"/>
      <c r="F385" s="326"/>
      <c r="G385" s="326"/>
      <c r="H385" s="326"/>
      <c r="I385" s="326"/>
      <c r="J385" s="326"/>
      <c r="K385" s="326"/>
      <c r="L385" s="326"/>
      <c r="M385" s="326"/>
      <c r="N385" s="326"/>
      <c r="O385" s="326"/>
      <c r="P385" s="326"/>
      <c r="Q385" s="326"/>
      <c r="R385" s="326"/>
      <c r="S385" s="326"/>
      <c r="T385" s="326"/>
      <c r="U385" s="326"/>
      <c r="V385" s="326"/>
      <c r="W385" s="326"/>
      <c r="X385" s="326"/>
      <c r="Y385" s="326"/>
      <c r="Z385" s="326"/>
      <c r="AA385" s="326"/>
    </row>
    <row r="386" spans="1:27" ht="12.75">
      <c r="A386" s="326"/>
      <c r="B386" s="326"/>
      <c r="C386" s="326"/>
      <c r="D386" s="326"/>
      <c r="E386" s="326"/>
      <c r="F386" s="326"/>
      <c r="G386" s="326"/>
      <c r="H386" s="326"/>
      <c r="I386" s="326"/>
      <c r="J386" s="326"/>
      <c r="K386" s="326"/>
      <c r="L386" s="326"/>
      <c r="M386" s="326"/>
      <c r="N386" s="326"/>
      <c r="O386" s="326"/>
      <c r="P386" s="326"/>
      <c r="Q386" s="326"/>
      <c r="R386" s="326"/>
      <c r="S386" s="326"/>
      <c r="T386" s="326"/>
      <c r="U386" s="326"/>
      <c r="V386" s="326"/>
      <c r="W386" s="326"/>
      <c r="X386" s="326"/>
      <c r="Y386" s="326"/>
      <c r="Z386" s="326"/>
      <c r="AA386" s="326"/>
    </row>
    <row r="387" spans="1:27" ht="12.75">
      <c r="A387" s="326"/>
      <c r="B387" s="326"/>
      <c r="C387" s="326"/>
      <c r="D387" s="326"/>
      <c r="E387" s="326"/>
      <c r="F387" s="326"/>
      <c r="G387" s="326"/>
      <c r="H387" s="326"/>
      <c r="I387" s="326"/>
      <c r="J387" s="326"/>
      <c r="K387" s="326"/>
      <c r="L387" s="326"/>
      <c r="M387" s="326"/>
      <c r="N387" s="326"/>
      <c r="O387" s="326"/>
      <c r="P387" s="326"/>
      <c r="Q387" s="326"/>
      <c r="R387" s="326"/>
      <c r="S387" s="326"/>
      <c r="T387" s="326"/>
      <c r="U387" s="326"/>
      <c r="V387" s="326"/>
      <c r="W387" s="326"/>
      <c r="X387" s="326"/>
      <c r="Y387" s="326"/>
      <c r="Z387" s="326"/>
      <c r="AA387" s="326"/>
    </row>
    <row r="388" spans="1:27" ht="12.75">
      <c r="A388" s="326"/>
      <c r="B388" s="326"/>
      <c r="C388" s="326"/>
      <c r="D388" s="326"/>
      <c r="E388" s="326"/>
      <c r="F388" s="326"/>
      <c r="G388" s="326"/>
      <c r="H388" s="326"/>
      <c r="I388" s="326"/>
      <c r="J388" s="326"/>
      <c r="K388" s="326"/>
      <c r="L388" s="326"/>
      <c r="M388" s="326"/>
      <c r="N388" s="326"/>
      <c r="O388" s="326"/>
      <c r="P388" s="326"/>
      <c r="Q388" s="326"/>
      <c r="R388" s="326"/>
      <c r="S388" s="326"/>
      <c r="T388" s="326"/>
      <c r="U388" s="326"/>
      <c r="V388" s="326"/>
      <c r="W388" s="326"/>
      <c r="X388" s="326"/>
      <c r="Y388" s="326"/>
      <c r="Z388" s="326"/>
      <c r="AA388" s="326"/>
    </row>
    <row r="389" spans="1:27" ht="12.75">
      <c r="A389" s="326"/>
      <c r="B389" s="326"/>
      <c r="C389" s="326"/>
      <c r="D389" s="326"/>
      <c r="E389" s="326"/>
      <c r="F389" s="326"/>
      <c r="G389" s="326"/>
      <c r="H389" s="326"/>
      <c r="I389" s="326"/>
      <c r="J389" s="326"/>
      <c r="K389" s="326"/>
      <c r="L389" s="326"/>
      <c r="M389" s="326"/>
      <c r="N389" s="326"/>
      <c r="O389" s="326"/>
      <c r="P389" s="326"/>
      <c r="Q389" s="326"/>
      <c r="R389" s="326"/>
      <c r="S389" s="326"/>
      <c r="T389" s="326"/>
      <c r="U389" s="326"/>
      <c r="V389" s="326"/>
      <c r="W389" s="326"/>
      <c r="X389" s="326"/>
      <c r="Y389" s="326"/>
      <c r="Z389" s="326"/>
      <c r="AA389" s="326"/>
    </row>
    <row r="390" spans="1:27" ht="12.75">
      <c r="A390" s="326"/>
      <c r="B390" s="326"/>
      <c r="C390" s="326"/>
      <c r="D390" s="326"/>
      <c r="E390" s="326"/>
      <c r="F390" s="326"/>
      <c r="G390" s="326"/>
      <c r="H390" s="326"/>
      <c r="I390" s="326"/>
      <c r="J390" s="326"/>
      <c r="K390" s="326"/>
      <c r="L390" s="326"/>
      <c r="M390" s="326"/>
      <c r="N390" s="326"/>
      <c r="O390" s="326"/>
      <c r="P390" s="326"/>
      <c r="Q390" s="326"/>
      <c r="R390" s="326"/>
      <c r="S390" s="326"/>
      <c r="T390" s="326"/>
      <c r="U390" s="326"/>
      <c r="V390" s="326"/>
      <c r="W390" s="326"/>
      <c r="X390" s="326"/>
      <c r="Y390" s="326"/>
      <c r="Z390" s="326"/>
      <c r="AA390" s="326"/>
    </row>
    <row r="391" spans="1:27" ht="12.75">
      <c r="A391" s="326"/>
      <c r="B391" s="326"/>
      <c r="C391" s="326"/>
      <c r="D391" s="326"/>
      <c r="E391" s="326"/>
      <c r="F391" s="326"/>
      <c r="G391" s="326"/>
      <c r="H391" s="326"/>
      <c r="I391" s="326"/>
      <c r="J391" s="326"/>
      <c r="K391" s="326"/>
      <c r="L391" s="326"/>
      <c r="M391" s="326"/>
      <c r="N391" s="326"/>
      <c r="O391" s="326"/>
      <c r="P391" s="326"/>
      <c r="Q391" s="326"/>
      <c r="R391" s="326"/>
      <c r="S391" s="326"/>
      <c r="T391" s="326"/>
      <c r="U391" s="326"/>
      <c r="V391" s="326"/>
      <c r="W391" s="326"/>
      <c r="X391" s="326"/>
      <c r="Y391" s="326"/>
      <c r="Z391" s="326"/>
      <c r="AA391" s="326"/>
    </row>
    <row r="392" spans="1:27" ht="12.75">
      <c r="A392" s="326"/>
      <c r="B392" s="326"/>
      <c r="C392" s="326"/>
      <c r="D392" s="326"/>
      <c r="E392" s="326"/>
      <c r="F392" s="326"/>
      <c r="G392" s="326"/>
      <c r="H392" s="326"/>
      <c r="I392" s="326"/>
      <c r="J392" s="326"/>
      <c r="K392" s="326"/>
      <c r="L392" s="326"/>
      <c r="M392" s="326"/>
      <c r="N392" s="326"/>
      <c r="O392" s="326"/>
      <c r="P392" s="326"/>
      <c r="Q392" s="326"/>
      <c r="R392" s="326"/>
      <c r="S392" s="326"/>
      <c r="T392" s="326"/>
      <c r="U392" s="326"/>
      <c r="V392" s="326"/>
      <c r="W392" s="326"/>
      <c r="X392" s="326"/>
      <c r="Y392" s="326"/>
      <c r="Z392" s="326"/>
      <c r="AA392" s="326"/>
    </row>
    <row r="393" spans="1:27" ht="12.75">
      <c r="A393" s="326"/>
      <c r="B393" s="326"/>
      <c r="C393" s="326"/>
      <c r="D393" s="326"/>
      <c r="E393" s="326"/>
      <c r="F393" s="326"/>
      <c r="G393" s="326"/>
      <c r="H393" s="326"/>
      <c r="I393" s="326"/>
      <c r="J393" s="326"/>
      <c r="K393" s="326"/>
      <c r="L393" s="326"/>
      <c r="M393" s="326"/>
      <c r="N393" s="326"/>
      <c r="O393" s="326"/>
      <c r="P393" s="326"/>
      <c r="Q393" s="326"/>
      <c r="R393" s="326"/>
      <c r="S393" s="326"/>
      <c r="T393" s="326"/>
      <c r="U393" s="326"/>
      <c r="V393" s="326"/>
      <c r="W393" s="326"/>
      <c r="X393" s="326"/>
      <c r="Y393" s="326"/>
      <c r="Z393" s="326"/>
      <c r="AA393" s="326"/>
    </row>
    <row r="394" spans="1:27" ht="12.75">
      <c r="A394" s="326"/>
      <c r="B394" s="326"/>
      <c r="C394" s="326"/>
      <c r="D394" s="326"/>
      <c r="E394" s="326"/>
      <c r="F394" s="326"/>
      <c r="G394" s="326"/>
      <c r="H394" s="326"/>
      <c r="I394" s="326"/>
      <c r="J394" s="326"/>
      <c r="K394" s="326"/>
      <c r="L394" s="326"/>
      <c r="M394" s="326"/>
      <c r="N394" s="326"/>
      <c r="O394" s="326"/>
      <c r="P394" s="326"/>
      <c r="Q394" s="326"/>
      <c r="R394" s="326"/>
      <c r="S394" s="326"/>
      <c r="T394" s="326"/>
      <c r="U394" s="326"/>
      <c r="V394" s="326"/>
      <c r="W394" s="326"/>
      <c r="X394" s="326"/>
      <c r="Y394" s="326"/>
      <c r="Z394" s="326"/>
      <c r="AA394" s="326"/>
    </row>
    <row r="395" spans="1:27" ht="12.75">
      <c r="A395" s="326"/>
      <c r="B395" s="326"/>
      <c r="C395" s="326"/>
      <c r="D395" s="326"/>
      <c r="E395" s="326"/>
      <c r="F395" s="326"/>
      <c r="G395" s="326"/>
      <c r="H395" s="326"/>
      <c r="I395" s="326"/>
      <c r="J395" s="326"/>
      <c r="K395" s="326"/>
      <c r="L395" s="326"/>
      <c r="M395" s="326"/>
      <c r="N395" s="326"/>
      <c r="O395" s="326"/>
      <c r="P395" s="326"/>
      <c r="Q395" s="326"/>
      <c r="R395" s="326"/>
      <c r="S395" s="326"/>
      <c r="T395" s="326"/>
      <c r="U395" s="326"/>
      <c r="V395" s="326"/>
      <c r="W395" s="326"/>
      <c r="X395" s="326"/>
      <c r="Y395" s="326"/>
      <c r="Z395" s="326"/>
      <c r="AA395" s="326"/>
    </row>
    <row r="396" spans="1:27" ht="12.75">
      <c r="A396" s="326"/>
      <c r="B396" s="326"/>
      <c r="C396" s="326"/>
      <c r="D396" s="326"/>
      <c r="E396" s="326"/>
      <c r="F396" s="326"/>
      <c r="G396" s="326"/>
      <c r="H396" s="326"/>
      <c r="I396" s="326"/>
      <c r="J396" s="326"/>
      <c r="K396" s="326"/>
      <c r="L396" s="326"/>
      <c r="M396" s="326"/>
      <c r="N396" s="326"/>
      <c r="O396" s="326"/>
      <c r="P396" s="326"/>
      <c r="Q396" s="326"/>
      <c r="R396" s="326"/>
      <c r="S396" s="326"/>
      <c r="T396" s="326"/>
      <c r="U396" s="326"/>
      <c r="V396" s="326"/>
      <c r="W396" s="326"/>
      <c r="X396" s="326"/>
      <c r="Y396" s="326"/>
      <c r="Z396" s="326"/>
      <c r="AA396" s="326"/>
    </row>
    <row r="397" spans="1:27" ht="12.75">
      <c r="A397" s="326"/>
      <c r="B397" s="326"/>
      <c r="C397" s="326"/>
      <c r="D397" s="326"/>
      <c r="E397" s="326"/>
      <c r="F397" s="326"/>
      <c r="G397" s="326"/>
      <c r="H397" s="326"/>
      <c r="I397" s="326"/>
      <c r="J397" s="326"/>
      <c r="K397" s="326"/>
      <c r="L397" s="326"/>
      <c r="M397" s="326"/>
      <c r="N397" s="326"/>
      <c r="O397" s="326"/>
      <c r="P397" s="326"/>
      <c r="Q397" s="326"/>
      <c r="R397" s="326"/>
      <c r="S397" s="326"/>
      <c r="T397" s="326"/>
      <c r="U397" s="326"/>
      <c r="V397" s="326"/>
      <c r="W397" s="326"/>
      <c r="X397" s="326"/>
      <c r="Y397" s="326"/>
      <c r="Z397" s="326"/>
      <c r="AA397" s="326"/>
    </row>
    <row r="398" spans="1:27" ht="12.75">
      <c r="A398" s="326"/>
      <c r="B398" s="326"/>
      <c r="C398" s="326"/>
      <c r="D398" s="326"/>
      <c r="E398" s="326"/>
      <c r="F398" s="326"/>
      <c r="G398" s="326"/>
      <c r="H398" s="326"/>
      <c r="I398" s="326"/>
      <c r="J398" s="326"/>
      <c r="K398" s="326"/>
      <c r="L398" s="326"/>
      <c r="M398" s="326"/>
      <c r="N398" s="326"/>
      <c r="O398" s="326"/>
      <c r="P398" s="326"/>
      <c r="Q398" s="326"/>
      <c r="R398" s="326"/>
      <c r="S398" s="326"/>
      <c r="T398" s="326"/>
      <c r="U398" s="326"/>
      <c r="V398" s="326"/>
      <c r="W398" s="326"/>
      <c r="X398" s="326"/>
      <c r="Y398" s="326"/>
      <c r="Z398" s="326"/>
      <c r="AA398" s="326"/>
    </row>
    <row r="399" spans="1:27" ht="12.75">
      <c r="A399" s="326"/>
      <c r="B399" s="326"/>
      <c r="C399" s="326"/>
      <c r="D399" s="326"/>
      <c r="E399" s="326"/>
      <c r="F399" s="326"/>
      <c r="G399" s="326"/>
      <c r="H399" s="326"/>
      <c r="I399" s="326"/>
      <c r="J399" s="326"/>
      <c r="K399" s="326"/>
      <c r="L399" s="326"/>
      <c r="M399" s="326"/>
      <c r="N399" s="326"/>
      <c r="O399" s="326"/>
      <c r="P399" s="326"/>
      <c r="Q399" s="326"/>
      <c r="R399" s="326"/>
      <c r="S399" s="326"/>
      <c r="T399" s="326"/>
      <c r="U399" s="326"/>
      <c r="V399" s="326"/>
      <c r="W399" s="326"/>
      <c r="X399" s="326"/>
      <c r="Y399" s="326"/>
      <c r="Z399" s="326"/>
      <c r="AA399" s="326"/>
    </row>
    <row r="400" spans="1:27" ht="12.75">
      <c r="A400" s="326"/>
      <c r="B400" s="326"/>
      <c r="C400" s="326"/>
      <c r="D400" s="326"/>
      <c r="E400" s="326"/>
      <c r="F400" s="326"/>
      <c r="G400" s="326"/>
      <c r="H400" s="326"/>
      <c r="I400" s="326"/>
      <c r="J400" s="326"/>
      <c r="K400" s="326"/>
      <c r="L400" s="326"/>
      <c r="M400" s="326"/>
      <c r="N400" s="326"/>
      <c r="O400" s="326"/>
      <c r="P400" s="326"/>
      <c r="Q400" s="326"/>
      <c r="R400" s="326"/>
      <c r="S400" s="326"/>
      <c r="T400" s="326"/>
      <c r="U400" s="326"/>
      <c r="V400" s="326"/>
      <c r="W400" s="326"/>
      <c r="X400" s="326"/>
      <c r="Y400" s="326"/>
      <c r="Z400" s="326"/>
      <c r="AA400" s="326"/>
    </row>
    <row r="401" spans="1:27" ht="12.75">
      <c r="A401" s="326"/>
      <c r="B401" s="326"/>
      <c r="C401" s="326"/>
      <c r="D401" s="326"/>
      <c r="E401" s="326"/>
      <c r="F401" s="326"/>
      <c r="G401" s="326"/>
      <c r="H401" s="326"/>
      <c r="I401" s="326"/>
      <c r="J401" s="326"/>
      <c r="K401" s="326"/>
      <c r="L401" s="326"/>
      <c r="M401" s="326"/>
      <c r="N401" s="326"/>
      <c r="O401" s="326"/>
      <c r="P401" s="326"/>
      <c r="Q401" s="326"/>
      <c r="R401" s="326"/>
      <c r="S401" s="326"/>
      <c r="T401" s="326"/>
      <c r="U401" s="326"/>
      <c r="V401" s="326"/>
      <c r="W401" s="326"/>
      <c r="X401" s="326"/>
      <c r="Y401" s="326"/>
      <c r="Z401" s="326"/>
      <c r="AA401" s="326"/>
    </row>
    <row r="402" spans="1:27" ht="12.75">
      <c r="A402" s="326"/>
      <c r="B402" s="326"/>
      <c r="C402" s="326"/>
      <c r="D402" s="326"/>
      <c r="E402" s="326"/>
      <c r="F402" s="326"/>
      <c r="G402" s="326"/>
      <c r="H402" s="326"/>
      <c r="I402" s="326"/>
      <c r="J402" s="326"/>
      <c r="K402" s="326"/>
      <c r="L402" s="326"/>
      <c r="M402" s="326"/>
      <c r="N402" s="326"/>
      <c r="O402" s="326"/>
      <c r="P402" s="326"/>
      <c r="Q402" s="326"/>
      <c r="R402" s="326"/>
      <c r="S402" s="326"/>
      <c r="T402" s="326"/>
      <c r="U402" s="326"/>
      <c r="V402" s="326"/>
      <c r="W402" s="326"/>
      <c r="X402" s="326"/>
      <c r="Y402" s="326"/>
      <c r="Z402" s="326"/>
      <c r="AA402" s="326"/>
    </row>
    <row r="403" spans="1:27" ht="12.75">
      <c r="A403" s="326"/>
      <c r="B403" s="326"/>
      <c r="C403" s="326"/>
      <c r="D403" s="326"/>
      <c r="E403" s="326"/>
      <c r="F403" s="326"/>
      <c r="G403" s="326"/>
      <c r="H403" s="326"/>
      <c r="I403" s="326"/>
      <c r="J403" s="326"/>
      <c r="K403" s="326"/>
      <c r="L403" s="326"/>
      <c r="M403" s="326"/>
      <c r="N403" s="326"/>
      <c r="O403" s="326"/>
      <c r="P403" s="326"/>
      <c r="Q403" s="326"/>
      <c r="R403" s="326"/>
      <c r="S403" s="326"/>
      <c r="T403" s="326"/>
      <c r="U403" s="326"/>
      <c r="V403" s="326"/>
      <c r="W403" s="326"/>
      <c r="X403" s="326"/>
      <c r="Y403" s="326"/>
      <c r="Z403" s="326"/>
      <c r="AA403" s="326"/>
    </row>
    <row r="404" spans="1:27" ht="12.75">
      <c r="A404" s="326"/>
      <c r="B404" s="326"/>
      <c r="C404" s="326"/>
      <c r="D404" s="326"/>
      <c r="E404" s="326"/>
      <c r="F404" s="326"/>
      <c r="G404" s="326"/>
      <c r="H404" s="326"/>
      <c r="I404" s="326"/>
      <c r="J404" s="326"/>
      <c r="K404" s="326"/>
      <c r="L404" s="326"/>
      <c r="M404" s="326"/>
      <c r="N404" s="326"/>
      <c r="O404" s="326"/>
      <c r="P404" s="326"/>
      <c r="Q404" s="326"/>
      <c r="R404" s="326"/>
      <c r="S404" s="326"/>
      <c r="T404" s="326"/>
      <c r="U404" s="326"/>
      <c r="V404" s="326"/>
      <c r="W404" s="326"/>
      <c r="X404" s="326"/>
      <c r="Y404" s="326"/>
      <c r="Z404" s="326"/>
      <c r="AA404" s="326"/>
    </row>
    <row r="405" spans="1:27" ht="12.75">
      <c r="A405" s="326"/>
      <c r="B405" s="326"/>
      <c r="C405" s="326"/>
      <c r="D405" s="326"/>
      <c r="E405" s="326"/>
      <c r="F405" s="326"/>
      <c r="G405" s="326"/>
      <c r="H405" s="326"/>
      <c r="I405" s="326"/>
      <c r="J405" s="326"/>
      <c r="K405" s="326"/>
      <c r="L405" s="326"/>
      <c r="M405" s="326"/>
      <c r="N405" s="326"/>
      <c r="O405" s="326"/>
      <c r="P405" s="326"/>
      <c r="Q405" s="326"/>
      <c r="R405" s="326"/>
      <c r="S405" s="326"/>
      <c r="T405" s="326"/>
      <c r="U405" s="326"/>
      <c r="V405" s="326"/>
      <c r="W405" s="326"/>
      <c r="X405" s="326"/>
      <c r="Y405" s="326"/>
      <c r="Z405" s="326"/>
      <c r="AA405" s="326"/>
    </row>
    <row r="406" spans="1:27" ht="12.75">
      <c r="A406" s="326"/>
      <c r="B406" s="326"/>
      <c r="C406" s="326"/>
      <c r="D406" s="326"/>
      <c r="E406" s="326"/>
      <c r="F406" s="326"/>
      <c r="G406" s="326"/>
      <c r="H406" s="326"/>
      <c r="I406" s="326"/>
      <c r="J406" s="326"/>
      <c r="K406" s="326"/>
      <c r="L406" s="326"/>
      <c r="M406" s="326"/>
      <c r="N406" s="326"/>
      <c r="O406" s="326"/>
      <c r="P406" s="326"/>
      <c r="Q406" s="326"/>
      <c r="R406" s="326"/>
      <c r="S406" s="326"/>
      <c r="T406" s="326"/>
      <c r="U406" s="326"/>
      <c r="V406" s="326"/>
      <c r="W406" s="326"/>
      <c r="X406" s="326"/>
      <c r="Y406" s="326"/>
      <c r="Z406" s="326"/>
      <c r="AA406" s="326"/>
    </row>
    <row r="407" spans="1:27" ht="12.75">
      <c r="A407" s="326"/>
      <c r="B407" s="326"/>
      <c r="C407" s="326"/>
      <c r="D407" s="326"/>
      <c r="E407" s="326"/>
      <c r="F407" s="326"/>
      <c r="G407" s="326"/>
      <c r="H407" s="326"/>
      <c r="I407" s="326"/>
      <c r="J407" s="326"/>
      <c r="K407" s="326"/>
      <c r="L407" s="326"/>
      <c r="M407" s="326"/>
      <c r="N407" s="326"/>
      <c r="O407" s="326"/>
      <c r="P407" s="326"/>
      <c r="Q407" s="326"/>
      <c r="R407" s="326"/>
      <c r="S407" s="326"/>
      <c r="T407" s="326"/>
      <c r="U407" s="326"/>
      <c r="V407" s="326"/>
      <c r="W407" s="326"/>
      <c r="X407" s="326"/>
      <c r="Y407" s="326"/>
      <c r="Z407" s="326"/>
      <c r="AA407" s="326"/>
    </row>
    <row r="408" spans="1:27" ht="12.75">
      <c r="A408" s="326"/>
      <c r="B408" s="326"/>
      <c r="C408" s="326"/>
      <c r="D408" s="326"/>
      <c r="E408" s="326"/>
      <c r="F408" s="326"/>
      <c r="G408" s="326"/>
      <c r="H408" s="326"/>
      <c r="I408" s="326"/>
      <c r="J408" s="326"/>
      <c r="K408" s="326"/>
      <c r="L408" s="326"/>
      <c r="M408" s="326"/>
      <c r="N408" s="326"/>
      <c r="O408" s="326"/>
      <c r="P408" s="326"/>
      <c r="Q408" s="326"/>
      <c r="R408" s="326"/>
      <c r="S408" s="326"/>
      <c r="T408" s="326"/>
      <c r="U408" s="326"/>
      <c r="V408" s="326"/>
      <c r="W408" s="326"/>
      <c r="X408" s="326"/>
      <c r="Y408" s="326"/>
      <c r="Z408" s="326"/>
      <c r="AA408" s="326"/>
    </row>
    <row r="409" spans="1:27" ht="12.75">
      <c r="A409" s="326"/>
      <c r="B409" s="326"/>
      <c r="C409" s="326"/>
      <c r="D409" s="326"/>
      <c r="E409" s="326"/>
      <c r="F409" s="326"/>
      <c r="G409" s="326"/>
      <c r="H409" s="326"/>
      <c r="I409" s="326"/>
      <c r="J409" s="326"/>
      <c r="K409" s="326"/>
      <c r="L409" s="326"/>
      <c r="M409" s="326"/>
      <c r="N409" s="326"/>
      <c r="O409" s="326"/>
      <c r="P409" s="326"/>
      <c r="Q409" s="326"/>
      <c r="R409" s="326"/>
      <c r="S409" s="326"/>
      <c r="T409" s="326"/>
      <c r="U409" s="326"/>
      <c r="V409" s="326"/>
      <c r="W409" s="326"/>
      <c r="X409" s="326"/>
      <c r="Y409" s="326"/>
      <c r="Z409" s="326"/>
      <c r="AA409" s="326"/>
    </row>
    <row r="410" spans="1:27" ht="12.75">
      <c r="A410" s="326"/>
      <c r="B410" s="326"/>
      <c r="C410" s="326"/>
      <c r="D410" s="326"/>
      <c r="E410" s="326"/>
      <c r="F410" s="326"/>
      <c r="G410" s="326"/>
      <c r="H410" s="326"/>
      <c r="I410" s="326"/>
      <c r="J410" s="326"/>
      <c r="K410" s="326"/>
      <c r="L410" s="326"/>
      <c r="M410" s="326"/>
      <c r="N410" s="326"/>
      <c r="O410" s="326"/>
      <c r="P410" s="326"/>
      <c r="Q410" s="326"/>
      <c r="R410" s="326"/>
      <c r="S410" s="326"/>
      <c r="T410" s="326"/>
      <c r="U410" s="326"/>
      <c r="V410" s="326"/>
      <c r="W410" s="326"/>
      <c r="X410" s="326"/>
      <c r="Y410" s="326"/>
      <c r="Z410" s="326"/>
      <c r="AA410" s="326"/>
    </row>
    <row r="411" spans="1:27" ht="12.75">
      <c r="A411" s="326"/>
      <c r="B411" s="326"/>
      <c r="C411" s="326"/>
      <c r="D411" s="326"/>
      <c r="E411" s="326"/>
      <c r="F411" s="326"/>
      <c r="G411" s="326"/>
      <c r="H411" s="326"/>
      <c r="I411" s="326"/>
      <c r="J411" s="326"/>
      <c r="K411" s="326"/>
      <c r="L411" s="326"/>
      <c r="M411" s="326"/>
      <c r="N411" s="326"/>
      <c r="O411" s="326"/>
      <c r="P411" s="326"/>
      <c r="Q411" s="326"/>
      <c r="R411" s="326"/>
      <c r="S411" s="326"/>
      <c r="T411" s="326"/>
      <c r="U411" s="326"/>
      <c r="V411" s="326"/>
      <c r="W411" s="326"/>
      <c r="X411" s="326"/>
      <c r="Y411" s="326"/>
      <c r="Z411" s="326"/>
      <c r="AA411" s="326"/>
    </row>
    <row r="412" spans="1:27" ht="12.75">
      <c r="A412" s="326"/>
      <c r="B412" s="326"/>
      <c r="C412" s="326"/>
      <c r="D412" s="326"/>
      <c r="E412" s="326"/>
      <c r="F412" s="326"/>
      <c r="G412" s="326"/>
      <c r="H412" s="326"/>
      <c r="I412" s="326"/>
      <c r="J412" s="326"/>
      <c r="K412" s="326"/>
      <c r="L412" s="326"/>
      <c r="M412" s="326"/>
      <c r="N412" s="326"/>
      <c r="O412" s="326"/>
      <c r="P412" s="326"/>
      <c r="Q412" s="326"/>
      <c r="R412" s="326"/>
      <c r="S412" s="326"/>
      <c r="T412" s="326"/>
      <c r="U412" s="326"/>
      <c r="V412" s="326"/>
      <c r="W412" s="326"/>
      <c r="X412" s="326"/>
      <c r="Y412" s="326"/>
      <c r="Z412" s="326"/>
      <c r="AA412" s="326"/>
    </row>
    <row r="413" spans="1:27" ht="12.75">
      <c r="A413" s="326"/>
      <c r="B413" s="326"/>
      <c r="C413" s="326"/>
      <c r="D413" s="326"/>
      <c r="E413" s="326"/>
      <c r="F413" s="326"/>
      <c r="G413" s="326"/>
      <c r="H413" s="326"/>
      <c r="I413" s="326"/>
      <c r="J413" s="326"/>
      <c r="K413" s="326"/>
      <c r="L413" s="326"/>
      <c r="M413" s="326"/>
      <c r="N413" s="326"/>
      <c r="O413" s="326"/>
      <c r="P413" s="326"/>
      <c r="Q413" s="326"/>
      <c r="R413" s="326"/>
      <c r="S413" s="326"/>
      <c r="T413" s="326"/>
      <c r="U413" s="326"/>
      <c r="V413" s="326"/>
      <c r="W413" s="326"/>
      <c r="X413" s="326"/>
      <c r="Y413" s="326"/>
      <c r="Z413" s="326"/>
      <c r="AA413" s="326"/>
    </row>
    <row r="414" spans="1:27" ht="12.75">
      <c r="A414" s="326"/>
      <c r="B414" s="326"/>
      <c r="C414" s="326"/>
      <c r="D414" s="326"/>
      <c r="E414" s="326"/>
      <c r="F414" s="326"/>
      <c r="G414" s="326"/>
      <c r="H414" s="326"/>
      <c r="I414" s="326"/>
      <c r="J414" s="326"/>
      <c r="K414" s="326"/>
      <c r="L414" s="326"/>
      <c r="M414" s="326"/>
      <c r="N414" s="326"/>
      <c r="O414" s="326"/>
      <c r="P414" s="326"/>
      <c r="Q414" s="326"/>
      <c r="R414" s="326"/>
      <c r="S414" s="326"/>
      <c r="T414" s="326"/>
      <c r="U414" s="326"/>
      <c r="V414" s="326"/>
      <c r="W414" s="326"/>
      <c r="X414" s="326"/>
      <c r="Y414" s="326"/>
      <c r="Z414" s="326"/>
      <c r="AA414" s="326"/>
    </row>
    <row r="415" spans="1:27" ht="12.75">
      <c r="A415" s="326"/>
      <c r="B415" s="326"/>
      <c r="C415" s="326"/>
      <c r="D415" s="326"/>
      <c r="E415" s="326"/>
      <c r="F415" s="326"/>
      <c r="G415" s="326"/>
      <c r="H415" s="326"/>
      <c r="I415" s="326"/>
      <c r="J415" s="326"/>
      <c r="K415" s="326"/>
      <c r="L415" s="326"/>
      <c r="M415" s="326"/>
      <c r="N415" s="326"/>
      <c r="O415" s="326"/>
      <c r="P415" s="326"/>
      <c r="Q415" s="326"/>
      <c r="R415" s="326"/>
      <c r="S415" s="326"/>
      <c r="T415" s="326"/>
      <c r="U415" s="326"/>
      <c r="V415" s="326"/>
      <c r="W415" s="326"/>
      <c r="X415" s="326"/>
      <c r="Y415" s="326"/>
      <c r="Z415" s="326"/>
      <c r="AA415" s="326"/>
    </row>
    <row r="416" spans="1:27" ht="12.75">
      <c r="A416" s="326"/>
      <c r="B416" s="326"/>
      <c r="C416" s="326"/>
      <c r="D416" s="326"/>
      <c r="E416" s="326"/>
      <c r="F416" s="326"/>
      <c r="G416" s="326"/>
      <c r="H416" s="326"/>
      <c r="I416" s="326"/>
      <c r="J416" s="326"/>
      <c r="K416" s="326"/>
      <c r="L416" s="326"/>
      <c r="M416" s="326"/>
      <c r="N416" s="326"/>
      <c r="O416" s="326"/>
      <c r="P416" s="326"/>
      <c r="Q416" s="326"/>
      <c r="R416" s="326"/>
      <c r="S416" s="326"/>
      <c r="T416" s="326"/>
      <c r="U416" s="326"/>
      <c r="V416" s="326"/>
      <c r="W416" s="326"/>
      <c r="X416" s="326"/>
      <c r="Y416" s="326"/>
      <c r="Z416" s="326"/>
      <c r="AA416" s="326"/>
    </row>
    <row r="417" spans="1:27" ht="12.75">
      <c r="A417" s="326"/>
      <c r="B417" s="326"/>
      <c r="C417" s="326"/>
      <c r="D417" s="326"/>
      <c r="E417" s="326"/>
      <c r="F417" s="326"/>
      <c r="G417" s="326"/>
      <c r="H417" s="326"/>
      <c r="I417" s="326"/>
      <c r="J417" s="326"/>
      <c r="K417" s="326"/>
      <c r="L417" s="326"/>
      <c r="M417" s="326"/>
      <c r="N417" s="326"/>
      <c r="O417" s="326"/>
      <c r="P417" s="326"/>
      <c r="Q417" s="326"/>
      <c r="R417" s="326"/>
      <c r="S417" s="326"/>
      <c r="T417" s="326"/>
      <c r="U417" s="326"/>
      <c r="V417" s="326"/>
      <c r="W417" s="326"/>
      <c r="X417" s="326"/>
      <c r="Y417" s="326"/>
      <c r="Z417" s="326"/>
      <c r="AA417" s="326"/>
    </row>
    <row r="418" spans="1:27" ht="12.75">
      <c r="A418" s="326"/>
      <c r="B418" s="326"/>
      <c r="C418" s="326"/>
      <c r="D418" s="326"/>
      <c r="E418" s="326"/>
      <c r="F418" s="326"/>
      <c r="G418" s="326"/>
      <c r="H418" s="326"/>
      <c r="I418" s="326"/>
      <c r="J418" s="326"/>
      <c r="K418" s="326"/>
      <c r="L418" s="326"/>
      <c r="M418" s="326"/>
      <c r="N418" s="326"/>
      <c r="O418" s="326"/>
      <c r="P418" s="326"/>
      <c r="Q418" s="326"/>
      <c r="R418" s="326"/>
      <c r="S418" s="326"/>
      <c r="T418" s="326"/>
      <c r="U418" s="326"/>
      <c r="V418" s="326"/>
      <c r="W418" s="326"/>
      <c r="X418" s="326"/>
      <c r="Y418" s="326"/>
      <c r="Z418" s="326"/>
      <c r="AA418" s="326"/>
    </row>
    <row r="419" spans="1:27" ht="12.75">
      <c r="A419" s="326"/>
      <c r="B419" s="326"/>
      <c r="C419" s="326"/>
      <c r="D419" s="326"/>
      <c r="E419" s="326"/>
      <c r="F419" s="326"/>
      <c r="G419" s="326"/>
      <c r="H419" s="326"/>
      <c r="I419" s="326"/>
      <c r="J419" s="326"/>
      <c r="K419" s="326"/>
      <c r="L419" s="326"/>
      <c r="M419" s="326"/>
      <c r="N419" s="326"/>
      <c r="O419" s="326"/>
      <c r="P419" s="326"/>
      <c r="Q419" s="326"/>
      <c r="R419" s="326"/>
      <c r="S419" s="326"/>
      <c r="T419" s="326"/>
      <c r="U419" s="326"/>
      <c r="V419" s="326"/>
      <c r="W419" s="326"/>
      <c r="X419" s="326"/>
      <c r="Y419" s="326"/>
      <c r="Z419" s="326"/>
      <c r="AA419" s="326"/>
    </row>
    <row r="420" spans="1:27" ht="12.75">
      <c r="A420" s="326"/>
      <c r="B420" s="326"/>
      <c r="C420" s="326"/>
      <c r="D420" s="326"/>
      <c r="E420" s="326"/>
      <c r="F420" s="326"/>
      <c r="G420" s="326"/>
      <c r="H420" s="326"/>
      <c r="I420" s="326"/>
      <c r="J420" s="326"/>
      <c r="K420" s="326"/>
      <c r="L420" s="326"/>
      <c r="M420" s="326"/>
      <c r="N420" s="326"/>
      <c r="O420" s="326"/>
      <c r="P420" s="326"/>
      <c r="Q420" s="326"/>
      <c r="R420" s="326"/>
      <c r="S420" s="326"/>
      <c r="T420" s="326"/>
      <c r="U420" s="326"/>
      <c r="V420" s="326"/>
      <c r="W420" s="326"/>
      <c r="X420" s="326"/>
      <c r="Y420" s="326"/>
      <c r="Z420" s="326"/>
      <c r="AA420" s="326"/>
    </row>
    <row r="421" spans="1:27" ht="12.75">
      <c r="A421" s="326"/>
      <c r="B421" s="326"/>
      <c r="C421" s="326"/>
      <c r="D421" s="326"/>
      <c r="E421" s="326"/>
      <c r="F421" s="326"/>
      <c r="G421" s="326"/>
      <c r="H421" s="326"/>
      <c r="I421" s="326"/>
      <c r="J421" s="326"/>
      <c r="K421" s="326"/>
      <c r="L421" s="326"/>
      <c r="M421" s="326"/>
      <c r="N421" s="326"/>
      <c r="O421" s="326"/>
      <c r="P421" s="326"/>
      <c r="Q421" s="326"/>
      <c r="R421" s="326"/>
      <c r="S421" s="326"/>
      <c r="T421" s="326"/>
      <c r="U421" s="326"/>
      <c r="V421" s="326"/>
      <c r="W421" s="326"/>
      <c r="X421" s="326"/>
      <c r="Y421" s="326"/>
      <c r="Z421" s="326"/>
      <c r="AA421" s="326"/>
    </row>
    <row r="422" spans="1:27" ht="12.75">
      <c r="A422" s="326"/>
      <c r="B422" s="326"/>
      <c r="C422" s="326"/>
      <c r="D422" s="326"/>
      <c r="E422" s="326"/>
      <c r="F422" s="326"/>
      <c r="G422" s="326"/>
      <c r="H422" s="326"/>
      <c r="I422" s="326"/>
      <c r="J422" s="326"/>
      <c r="K422" s="326"/>
      <c r="L422" s="326"/>
      <c r="M422" s="326"/>
      <c r="N422" s="326"/>
      <c r="O422" s="326"/>
      <c r="P422" s="326"/>
      <c r="Q422" s="326"/>
      <c r="R422" s="326"/>
      <c r="S422" s="326"/>
      <c r="T422" s="326"/>
      <c r="U422" s="326"/>
      <c r="V422" s="326"/>
      <c r="W422" s="326"/>
      <c r="X422" s="326"/>
      <c r="Y422" s="326"/>
      <c r="Z422" s="326"/>
      <c r="AA422" s="326"/>
    </row>
    <row r="423" spans="1:27" ht="12.75">
      <c r="A423" s="326"/>
      <c r="B423" s="326"/>
      <c r="C423" s="326"/>
      <c r="D423" s="326"/>
      <c r="E423" s="326"/>
      <c r="F423" s="326"/>
      <c r="G423" s="326"/>
      <c r="H423" s="326"/>
      <c r="I423" s="326"/>
      <c r="J423" s="326"/>
      <c r="K423" s="326"/>
      <c r="L423" s="326"/>
      <c r="M423" s="326"/>
      <c r="N423" s="326"/>
      <c r="O423" s="326"/>
      <c r="P423" s="326"/>
      <c r="Q423" s="326"/>
      <c r="R423" s="326"/>
      <c r="S423" s="326"/>
      <c r="T423" s="326"/>
      <c r="U423" s="326"/>
      <c r="V423" s="326"/>
      <c r="W423" s="326"/>
      <c r="X423" s="326"/>
      <c r="Y423" s="326"/>
      <c r="Z423" s="326"/>
      <c r="AA423" s="326"/>
    </row>
    <row r="424" spans="1:27" ht="12.75">
      <c r="A424" s="326"/>
      <c r="B424" s="326"/>
      <c r="C424" s="326"/>
      <c r="D424" s="326"/>
      <c r="E424" s="326"/>
      <c r="F424" s="326"/>
      <c r="G424" s="326"/>
      <c r="H424" s="326"/>
      <c r="I424" s="326"/>
      <c r="J424" s="326"/>
      <c r="K424" s="326"/>
      <c r="L424" s="326"/>
      <c r="M424" s="326"/>
      <c r="N424" s="326"/>
      <c r="O424" s="326"/>
      <c r="P424" s="326"/>
      <c r="Q424" s="326"/>
      <c r="R424" s="326"/>
      <c r="S424" s="326"/>
      <c r="T424" s="326"/>
      <c r="U424" s="326"/>
      <c r="V424" s="326"/>
      <c r="W424" s="326"/>
      <c r="X424" s="326"/>
      <c r="Y424" s="326"/>
      <c r="Z424" s="326"/>
      <c r="AA424" s="326"/>
    </row>
    <row r="425" spans="1:27" ht="12.75">
      <c r="A425" s="326"/>
      <c r="B425" s="326"/>
      <c r="C425" s="326"/>
      <c r="D425" s="326"/>
      <c r="E425" s="326"/>
      <c r="F425" s="326"/>
      <c r="G425" s="326"/>
      <c r="H425" s="326"/>
      <c r="I425" s="326"/>
      <c r="J425" s="326"/>
      <c r="K425" s="326"/>
      <c r="L425" s="326"/>
      <c r="M425" s="326"/>
      <c r="N425" s="326"/>
      <c r="O425" s="326"/>
      <c r="P425" s="326"/>
      <c r="Q425" s="326"/>
      <c r="R425" s="326"/>
      <c r="S425" s="326"/>
      <c r="T425" s="326"/>
      <c r="U425" s="326"/>
      <c r="V425" s="326"/>
      <c r="W425" s="326"/>
      <c r="X425" s="326"/>
      <c r="Y425" s="326"/>
      <c r="Z425" s="326"/>
      <c r="AA425" s="326"/>
    </row>
    <row r="426" spans="1:27" ht="12.75">
      <c r="A426" s="326"/>
      <c r="B426" s="326"/>
      <c r="C426" s="326"/>
      <c r="D426" s="326"/>
      <c r="E426" s="326"/>
      <c r="F426" s="326"/>
      <c r="G426" s="326"/>
      <c r="H426" s="326"/>
      <c r="I426" s="326"/>
      <c r="J426" s="326"/>
      <c r="K426" s="326"/>
      <c r="L426" s="326"/>
      <c r="M426" s="326"/>
      <c r="N426" s="326"/>
      <c r="O426" s="326"/>
      <c r="P426" s="326"/>
      <c r="Q426" s="326"/>
      <c r="R426" s="326"/>
      <c r="S426" s="326"/>
      <c r="T426" s="326"/>
      <c r="U426" s="326"/>
      <c r="V426" s="326"/>
      <c r="W426" s="326"/>
      <c r="X426" s="326"/>
      <c r="Y426" s="326"/>
      <c r="Z426" s="326"/>
      <c r="AA426" s="326"/>
    </row>
    <row r="427" spans="1:27" ht="12.75">
      <c r="A427" s="326"/>
      <c r="B427" s="326"/>
      <c r="C427" s="326"/>
      <c r="D427" s="326"/>
      <c r="E427" s="326"/>
      <c r="F427" s="326"/>
      <c r="G427" s="326"/>
      <c r="H427" s="326"/>
      <c r="I427" s="326"/>
      <c r="J427" s="326"/>
      <c r="K427" s="326"/>
      <c r="L427" s="326"/>
      <c r="M427" s="326"/>
      <c r="N427" s="326"/>
      <c r="O427" s="326"/>
      <c r="P427" s="326"/>
      <c r="Q427" s="326"/>
      <c r="R427" s="326"/>
      <c r="S427" s="326"/>
      <c r="T427" s="326"/>
      <c r="U427" s="326"/>
      <c r="V427" s="326"/>
      <c r="W427" s="326"/>
      <c r="X427" s="326"/>
      <c r="Y427" s="326"/>
      <c r="Z427" s="326"/>
      <c r="AA427" s="326"/>
    </row>
    <row r="428" spans="1:27" ht="12.75">
      <c r="A428" s="326"/>
      <c r="B428" s="326"/>
      <c r="C428" s="326"/>
      <c r="D428" s="326"/>
      <c r="E428" s="326"/>
      <c r="F428" s="326"/>
      <c r="G428" s="326"/>
      <c r="H428" s="326"/>
      <c r="I428" s="326"/>
      <c r="J428" s="326"/>
      <c r="K428" s="326"/>
      <c r="L428" s="326"/>
      <c r="M428" s="326"/>
      <c r="N428" s="326"/>
      <c r="O428" s="326"/>
      <c r="P428" s="326"/>
      <c r="Q428" s="326"/>
      <c r="R428" s="326"/>
      <c r="S428" s="326"/>
      <c r="T428" s="326"/>
      <c r="U428" s="326"/>
      <c r="V428" s="326"/>
      <c r="W428" s="326"/>
      <c r="X428" s="326"/>
      <c r="Y428" s="326"/>
      <c r="Z428" s="326"/>
      <c r="AA428" s="326"/>
    </row>
    <row r="429" spans="1:27" ht="12.75">
      <c r="A429" s="326"/>
      <c r="B429" s="326"/>
      <c r="C429" s="326"/>
      <c r="D429" s="326"/>
      <c r="E429" s="326"/>
      <c r="F429" s="326"/>
      <c r="G429" s="326"/>
      <c r="H429" s="326"/>
      <c r="I429" s="326"/>
      <c r="J429" s="326"/>
      <c r="K429" s="326"/>
      <c r="L429" s="326"/>
      <c r="M429" s="326"/>
      <c r="N429" s="326"/>
      <c r="O429" s="326"/>
      <c r="P429" s="326"/>
      <c r="Q429" s="326"/>
      <c r="R429" s="326"/>
      <c r="S429" s="326"/>
      <c r="T429" s="326"/>
      <c r="U429" s="326"/>
      <c r="V429" s="326"/>
      <c r="W429" s="326"/>
      <c r="X429" s="326"/>
      <c r="Y429" s="326"/>
      <c r="Z429" s="326"/>
      <c r="AA429" s="326"/>
    </row>
    <row r="430" spans="1:27" ht="12.75">
      <c r="A430" s="326"/>
      <c r="B430" s="326"/>
      <c r="C430" s="326"/>
      <c r="D430" s="326"/>
      <c r="E430" s="326"/>
      <c r="F430" s="326"/>
      <c r="G430" s="326"/>
      <c r="H430" s="326"/>
      <c r="I430" s="326"/>
      <c r="J430" s="326"/>
      <c r="K430" s="326"/>
      <c r="L430" s="326"/>
      <c r="M430" s="326"/>
      <c r="N430" s="326"/>
      <c r="O430" s="326"/>
      <c r="P430" s="326"/>
      <c r="Q430" s="326"/>
      <c r="R430" s="326"/>
      <c r="S430" s="326"/>
      <c r="T430" s="326"/>
      <c r="U430" s="326"/>
      <c r="V430" s="326"/>
      <c r="W430" s="326"/>
      <c r="X430" s="326"/>
      <c r="Y430" s="326"/>
      <c r="Z430" s="326"/>
      <c r="AA430" s="326"/>
    </row>
    <row r="431" spans="1:27" ht="12.75">
      <c r="A431" s="326"/>
      <c r="B431" s="326"/>
      <c r="C431" s="326"/>
      <c r="D431" s="326"/>
      <c r="E431" s="326"/>
      <c r="F431" s="326"/>
      <c r="G431" s="326"/>
      <c r="H431" s="326"/>
      <c r="I431" s="326"/>
      <c r="J431" s="326"/>
      <c r="K431" s="326"/>
      <c r="L431" s="326"/>
      <c r="M431" s="326"/>
      <c r="N431" s="326"/>
      <c r="O431" s="326"/>
      <c r="P431" s="326"/>
      <c r="Q431" s="326"/>
      <c r="R431" s="326"/>
      <c r="S431" s="326"/>
      <c r="T431" s="326"/>
      <c r="U431" s="326"/>
      <c r="V431" s="326"/>
      <c r="W431" s="326"/>
      <c r="X431" s="326"/>
      <c r="Y431" s="326"/>
      <c r="Z431" s="326"/>
      <c r="AA431" s="326"/>
    </row>
    <row r="432" spans="1:27" ht="12.75">
      <c r="A432" s="326"/>
      <c r="B432" s="326"/>
      <c r="C432" s="326"/>
      <c r="D432" s="326"/>
      <c r="E432" s="326"/>
      <c r="F432" s="326"/>
      <c r="G432" s="326"/>
      <c r="H432" s="326"/>
      <c r="I432" s="326"/>
      <c r="J432" s="326"/>
      <c r="K432" s="326"/>
      <c r="L432" s="326"/>
      <c r="M432" s="326"/>
      <c r="N432" s="326"/>
      <c r="O432" s="326"/>
      <c r="P432" s="326"/>
      <c r="Q432" s="326"/>
      <c r="R432" s="326"/>
      <c r="S432" s="326"/>
      <c r="T432" s="326"/>
      <c r="U432" s="326"/>
      <c r="V432" s="326"/>
      <c r="W432" s="326"/>
      <c r="X432" s="326"/>
      <c r="Y432" s="326"/>
      <c r="Z432" s="326"/>
      <c r="AA432" s="326"/>
    </row>
    <row r="433" spans="1:27" ht="12.75">
      <c r="A433" s="326"/>
      <c r="B433" s="326"/>
      <c r="C433" s="326"/>
      <c r="D433" s="326"/>
      <c r="E433" s="326"/>
      <c r="F433" s="326"/>
      <c r="G433" s="326"/>
      <c r="H433" s="326"/>
      <c r="I433" s="326"/>
      <c r="J433" s="326"/>
      <c r="K433" s="326"/>
      <c r="L433" s="326"/>
      <c r="M433" s="326"/>
      <c r="N433" s="326"/>
      <c r="O433" s="326"/>
      <c r="P433" s="326"/>
      <c r="Q433" s="326"/>
      <c r="R433" s="326"/>
      <c r="S433" s="326"/>
      <c r="T433" s="326"/>
      <c r="U433" s="326"/>
      <c r="V433" s="326"/>
      <c r="W433" s="326"/>
      <c r="X433" s="326"/>
      <c r="Y433" s="326"/>
      <c r="Z433" s="326"/>
      <c r="AA433" s="326"/>
    </row>
    <row r="434" spans="1:27" ht="12.75">
      <c r="A434" s="326"/>
      <c r="B434" s="326"/>
      <c r="C434" s="326"/>
      <c r="D434" s="326"/>
      <c r="E434" s="326"/>
      <c r="F434" s="326"/>
      <c r="G434" s="326"/>
      <c r="H434" s="326"/>
      <c r="I434" s="326"/>
      <c r="J434" s="326"/>
      <c r="K434" s="326"/>
      <c r="L434" s="326"/>
      <c r="M434" s="326"/>
      <c r="N434" s="326"/>
      <c r="O434" s="326"/>
      <c r="P434" s="326"/>
      <c r="Q434" s="326"/>
      <c r="R434" s="326"/>
      <c r="S434" s="326"/>
      <c r="T434" s="326"/>
      <c r="U434" s="326"/>
      <c r="V434" s="326"/>
      <c r="W434" s="326"/>
      <c r="X434" s="326"/>
      <c r="Y434" s="326"/>
      <c r="Z434" s="326"/>
      <c r="AA434" s="326"/>
    </row>
    <row r="435" spans="1:27" ht="12.75">
      <c r="A435" s="326"/>
      <c r="B435" s="326"/>
      <c r="C435" s="326"/>
      <c r="D435" s="326"/>
      <c r="E435" s="326"/>
      <c r="F435" s="326"/>
      <c r="G435" s="326"/>
      <c r="H435" s="326"/>
      <c r="I435" s="326"/>
      <c r="J435" s="326"/>
      <c r="K435" s="326"/>
      <c r="L435" s="326"/>
      <c r="M435" s="326"/>
      <c r="N435" s="326"/>
      <c r="O435" s="326"/>
      <c r="P435" s="326"/>
      <c r="Q435" s="326"/>
      <c r="R435" s="326"/>
      <c r="S435" s="326"/>
      <c r="T435" s="326"/>
      <c r="U435" s="326"/>
      <c r="V435" s="326"/>
      <c r="W435" s="326"/>
      <c r="X435" s="326"/>
      <c r="Y435" s="326"/>
      <c r="Z435" s="326"/>
      <c r="AA435" s="326"/>
    </row>
    <row r="436" spans="1:27" ht="12.75">
      <c r="A436" s="326"/>
      <c r="B436" s="326"/>
      <c r="C436" s="326"/>
      <c r="D436" s="326"/>
      <c r="E436" s="326"/>
      <c r="F436" s="326"/>
      <c r="G436" s="326"/>
      <c r="H436" s="326"/>
      <c r="I436" s="326"/>
      <c r="J436" s="326"/>
      <c r="K436" s="326"/>
      <c r="L436" s="326"/>
      <c r="M436" s="326"/>
      <c r="N436" s="326"/>
      <c r="O436" s="326"/>
      <c r="P436" s="326"/>
      <c r="Q436" s="326"/>
      <c r="R436" s="326"/>
      <c r="S436" s="326"/>
      <c r="T436" s="326"/>
      <c r="U436" s="326"/>
      <c r="V436" s="326"/>
      <c r="W436" s="326"/>
      <c r="X436" s="326"/>
      <c r="Y436" s="326"/>
      <c r="Z436" s="326"/>
      <c r="AA436" s="326"/>
    </row>
    <row r="437" spans="1:27" ht="12.75">
      <c r="A437" s="326"/>
      <c r="B437" s="326"/>
      <c r="C437" s="326"/>
      <c r="D437" s="326"/>
      <c r="E437" s="326"/>
      <c r="F437" s="326"/>
      <c r="G437" s="326"/>
      <c r="H437" s="326"/>
      <c r="I437" s="326"/>
      <c r="J437" s="326"/>
      <c r="K437" s="326"/>
      <c r="L437" s="326"/>
      <c r="M437" s="326"/>
      <c r="N437" s="326"/>
      <c r="O437" s="326"/>
      <c r="P437" s="326"/>
      <c r="Q437" s="326"/>
      <c r="R437" s="326"/>
      <c r="S437" s="326"/>
      <c r="T437" s="326"/>
      <c r="U437" s="326"/>
      <c r="V437" s="326"/>
      <c r="W437" s="326"/>
      <c r="X437" s="326"/>
      <c r="Y437" s="326"/>
      <c r="Z437" s="326"/>
      <c r="AA437" s="326"/>
    </row>
    <row r="438" spans="1:27" ht="12.75">
      <c r="A438" s="326"/>
      <c r="B438" s="326"/>
      <c r="C438" s="326"/>
      <c r="D438" s="326"/>
      <c r="E438" s="326"/>
      <c r="F438" s="326"/>
      <c r="G438" s="326"/>
      <c r="H438" s="326"/>
      <c r="I438" s="326"/>
      <c r="J438" s="326"/>
      <c r="K438" s="326"/>
      <c r="L438" s="326"/>
      <c r="M438" s="326"/>
      <c r="N438" s="326"/>
      <c r="O438" s="326"/>
      <c r="P438" s="326"/>
      <c r="Q438" s="326"/>
      <c r="R438" s="326"/>
      <c r="S438" s="326"/>
      <c r="T438" s="326"/>
      <c r="U438" s="326"/>
      <c r="V438" s="326"/>
      <c r="W438" s="326"/>
      <c r="X438" s="326"/>
      <c r="Y438" s="326"/>
      <c r="Z438" s="326"/>
      <c r="AA438" s="326"/>
    </row>
    <row r="439" spans="1:27" ht="12.75">
      <c r="A439" s="326"/>
      <c r="B439" s="326"/>
      <c r="C439" s="326"/>
      <c r="D439" s="326"/>
      <c r="E439" s="326"/>
      <c r="F439" s="326"/>
      <c r="G439" s="326"/>
      <c r="H439" s="326"/>
      <c r="I439" s="326"/>
      <c r="J439" s="326"/>
      <c r="K439" s="326"/>
      <c r="L439" s="326"/>
      <c r="M439" s="326"/>
      <c r="N439" s="326"/>
      <c r="O439" s="326"/>
      <c r="P439" s="326"/>
      <c r="Q439" s="326"/>
      <c r="R439" s="326"/>
      <c r="S439" s="326"/>
      <c r="T439" s="326"/>
      <c r="U439" s="326"/>
      <c r="V439" s="326"/>
      <c r="W439" s="326"/>
      <c r="X439" s="326"/>
      <c r="Y439" s="326"/>
      <c r="Z439" s="326"/>
      <c r="AA439" s="326"/>
    </row>
    <row r="440" spans="1:27" ht="12.75">
      <c r="A440" s="326"/>
      <c r="B440" s="326"/>
      <c r="C440" s="326"/>
      <c r="D440" s="326"/>
      <c r="E440" s="326"/>
      <c r="F440" s="326"/>
      <c r="G440" s="326"/>
      <c r="H440" s="326"/>
      <c r="I440" s="326"/>
      <c r="J440" s="326"/>
      <c r="K440" s="326"/>
      <c r="L440" s="326"/>
      <c r="M440" s="326"/>
      <c r="N440" s="326"/>
      <c r="O440" s="326"/>
      <c r="P440" s="326"/>
      <c r="Q440" s="326"/>
      <c r="R440" s="326"/>
      <c r="S440" s="326"/>
      <c r="T440" s="326"/>
      <c r="U440" s="326"/>
      <c r="V440" s="326"/>
      <c r="W440" s="326"/>
      <c r="X440" s="326"/>
      <c r="Y440" s="326"/>
      <c r="Z440" s="326"/>
      <c r="AA440" s="326"/>
    </row>
    <row r="441" spans="1:27" ht="12.75">
      <c r="A441" s="326"/>
      <c r="B441" s="326"/>
      <c r="C441" s="326"/>
      <c r="D441" s="326"/>
      <c r="E441" s="326"/>
      <c r="F441" s="326"/>
      <c r="G441" s="326"/>
      <c r="H441" s="326"/>
      <c r="I441" s="326"/>
      <c r="J441" s="326"/>
      <c r="K441" s="326"/>
      <c r="L441" s="326"/>
      <c r="M441" s="326"/>
      <c r="N441" s="326"/>
      <c r="O441" s="326"/>
      <c r="P441" s="326"/>
      <c r="Q441" s="326"/>
      <c r="R441" s="326"/>
      <c r="S441" s="326"/>
      <c r="T441" s="326"/>
      <c r="U441" s="326"/>
      <c r="V441" s="326"/>
      <c r="W441" s="326"/>
      <c r="X441" s="326"/>
      <c r="Y441" s="326"/>
      <c r="Z441" s="326"/>
      <c r="AA441" s="326"/>
    </row>
    <row r="442" spans="1:27" ht="12.75">
      <c r="A442" s="326"/>
      <c r="B442" s="326"/>
      <c r="C442" s="326"/>
      <c r="D442" s="326"/>
      <c r="E442" s="326"/>
      <c r="F442" s="326"/>
      <c r="G442" s="326"/>
      <c r="H442" s="326"/>
      <c r="I442" s="326"/>
      <c r="J442" s="326"/>
      <c r="K442" s="326"/>
      <c r="L442" s="326"/>
      <c r="M442" s="326"/>
      <c r="N442" s="326"/>
      <c r="O442" s="326"/>
      <c r="P442" s="326"/>
      <c r="Q442" s="326"/>
      <c r="R442" s="326"/>
      <c r="S442" s="326"/>
      <c r="T442" s="326"/>
      <c r="U442" s="326"/>
      <c r="V442" s="326"/>
      <c r="W442" s="326"/>
      <c r="X442" s="326"/>
      <c r="Y442" s="326"/>
      <c r="Z442" s="326"/>
      <c r="AA442" s="326"/>
    </row>
    <row r="443" spans="1:27" ht="12.75">
      <c r="A443" s="326"/>
      <c r="B443" s="326"/>
      <c r="C443" s="326"/>
      <c r="D443" s="326"/>
      <c r="E443" s="326"/>
      <c r="F443" s="326"/>
      <c r="G443" s="326"/>
      <c r="H443" s="326"/>
      <c r="I443" s="326"/>
      <c r="J443" s="326"/>
      <c r="K443" s="326"/>
      <c r="L443" s="326"/>
      <c r="M443" s="326"/>
      <c r="N443" s="326"/>
      <c r="O443" s="326"/>
      <c r="P443" s="326"/>
      <c r="Q443" s="326"/>
      <c r="R443" s="326"/>
      <c r="S443" s="326"/>
      <c r="T443" s="326"/>
      <c r="U443" s="326"/>
      <c r="V443" s="326"/>
      <c r="W443" s="326"/>
      <c r="X443" s="326"/>
      <c r="Y443" s="326"/>
      <c r="Z443" s="326"/>
      <c r="AA443" s="326"/>
    </row>
    <row r="444" spans="1:27" ht="12.75">
      <c r="A444" s="326"/>
      <c r="B444" s="326"/>
      <c r="C444" s="326"/>
      <c r="D444" s="326"/>
      <c r="E444" s="326"/>
      <c r="F444" s="326"/>
      <c r="G444" s="326"/>
      <c r="H444" s="326"/>
      <c r="I444" s="326"/>
      <c r="J444" s="326"/>
      <c r="K444" s="326"/>
      <c r="L444" s="326"/>
      <c r="M444" s="326"/>
      <c r="N444" s="326"/>
      <c r="O444" s="326"/>
      <c r="P444" s="326"/>
      <c r="Q444" s="326"/>
      <c r="R444" s="326"/>
      <c r="S444" s="326"/>
      <c r="T444" s="326"/>
      <c r="U444" s="326"/>
      <c r="V444" s="326"/>
      <c r="W444" s="326"/>
      <c r="X444" s="326"/>
      <c r="Y444" s="326"/>
      <c r="Z444" s="326"/>
      <c r="AA444" s="326"/>
    </row>
    <row r="445" spans="1:27" ht="12.75">
      <c r="A445" s="326"/>
      <c r="B445" s="326"/>
      <c r="C445" s="326"/>
      <c r="D445" s="326"/>
      <c r="E445" s="326"/>
      <c r="F445" s="326"/>
      <c r="G445" s="326"/>
      <c r="H445" s="326"/>
      <c r="I445" s="326"/>
      <c r="J445" s="326"/>
      <c r="K445" s="326"/>
      <c r="L445" s="326"/>
      <c r="M445" s="326"/>
      <c r="N445" s="326"/>
      <c r="O445" s="326"/>
      <c r="P445" s="326"/>
      <c r="Q445" s="326"/>
      <c r="R445" s="326"/>
      <c r="S445" s="326"/>
      <c r="T445" s="326"/>
      <c r="U445" s="326"/>
      <c r="V445" s="326"/>
      <c r="W445" s="326"/>
      <c r="X445" s="326"/>
      <c r="Y445" s="326"/>
      <c r="Z445" s="326"/>
      <c r="AA445" s="326"/>
    </row>
    <row r="446" spans="1:27" ht="12.75">
      <c r="A446" s="326"/>
      <c r="B446" s="326"/>
      <c r="C446" s="326"/>
      <c r="D446" s="326"/>
      <c r="E446" s="326"/>
      <c r="F446" s="326"/>
      <c r="G446" s="326"/>
      <c r="H446" s="326"/>
      <c r="I446" s="326"/>
      <c r="J446" s="326"/>
      <c r="K446" s="326"/>
      <c r="L446" s="326"/>
      <c r="M446" s="326"/>
      <c r="N446" s="326"/>
      <c r="O446" s="326"/>
      <c r="P446" s="326"/>
      <c r="Q446" s="326"/>
      <c r="R446" s="326"/>
      <c r="S446" s="326"/>
      <c r="T446" s="326"/>
      <c r="U446" s="326"/>
      <c r="V446" s="326"/>
      <c r="W446" s="326"/>
      <c r="X446" s="326"/>
      <c r="Y446" s="326"/>
      <c r="Z446" s="326"/>
      <c r="AA446" s="326"/>
    </row>
    <row r="447" spans="1:27" ht="12.75">
      <c r="A447" s="326"/>
      <c r="B447" s="326"/>
      <c r="C447" s="326"/>
      <c r="D447" s="326"/>
      <c r="E447" s="326"/>
      <c r="F447" s="326"/>
      <c r="G447" s="326"/>
      <c r="H447" s="326"/>
      <c r="I447" s="326"/>
      <c r="J447" s="326"/>
      <c r="K447" s="326"/>
      <c r="L447" s="326"/>
      <c r="M447" s="326"/>
      <c r="N447" s="326"/>
      <c r="O447" s="326"/>
      <c r="P447" s="326"/>
      <c r="Q447" s="326"/>
      <c r="R447" s="326"/>
      <c r="S447" s="326"/>
      <c r="T447" s="326"/>
      <c r="U447" s="326"/>
      <c r="V447" s="326"/>
      <c r="W447" s="326"/>
      <c r="X447" s="326"/>
      <c r="Y447" s="326"/>
      <c r="Z447" s="326"/>
      <c r="AA447" s="326"/>
    </row>
    <row r="448" spans="1:27" ht="12.75">
      <c r="A448" s="326"/>
      <c r="B448" s="326"/>
      <c r="C448" s="326"/>
      <c r="D448" s="326"/>
      <c r="E448" s="326"/>
      <c r="F448" s="326"/>
      <c r="G448" s="326"/>
      <c r="H448" s="326"/>
      <c r="I448" s="326"/>
      <c r="J448" s="326"/>
      <c r="K448" s="326"/>
      <c r="L448" s="326"/>
      <c r="M448" s="326"/>
      <c r="N448" s="326"/>
      <c r="O448" s="326"/>
      <c r="P448" s="326"/>
      <c r="Q448" s="326"/>
      <c r="R448" s="326"/>
      <c r="S448" s="326"/>
      <c r="T448" s="326"/>
      <c r="U448" s="326"/>
      <c r="V448" s="326"/>
      <c r="W448" s="326"/>
      <c r="X448" s="326"/>
      <c r="Y448" s="326"/>
      <c r="Z448" s="326"/>
      <c r="AA448" s="326"/>
    </row>
    <row r="449" spans="1:27" ht="12.75">
      <c r="A449" s="326"/>
      <c r="B449" s="326"/>
      <c r="C449" s="326"/>
      <c r="D449" s="326"/>
      <c r="E449" s="326"/>
      <c r="F449" s="326"/>
      <c r="G449" s="326"/>
      <c r="H449" s="326"/>
      <c r="I449" s="326"/>
      <c r="J449" s="326"/>
      <c r="K449" s="326"/>
      <c r="L449" s="326"/>
      <c r="M449" s="326"/>
      <c r="N449" s="326"/>
      <c r="O449" s="326"/>
      <c r="P449" s="326"/>
      <c r="Q449" s="326"/>
      <c r="R449" s="326"/>
      <c r="S449" s="326"/>
      <c r="T449" s="326"/>
      <c r="U449" s="326"/>
      <c r="V449" s="326"/>
      <c r="W449" s="326"/>
      <c r="X449" s="326"/>
      <c r="Y449" s="326"/>
      <c r="Z449" s="326"/>
      <c r="AA449" s="326"/>
    </row>
    <row r="450" spans="1:27" ht="12.75">
      <c r="A450" s="326"/>
      <c r="B450" s="326"/>
      <c r="C450" s="326"/>
      <c r="D450" s="326"/>
      <c r="E450" s="326"/>
      <c r="F450" s="326"/>
      <c r="G450" s="326"/>
      <c r="H450" s="326"/>
      <c r="I450" s="326"/>
      <c r="J450" s="326"/>
      <c r="K450" s="326"/>
      <c r="L450" s="326"/>
      <c r="M450" s="326"/>
      <c r="N450" s="326"/>
      <c r="O450" s="326"/>
      <c r="P450" s="326"/>
      <c r="Q450" s="326"/>
      <c r="R450" s="326"/>
      <c r="S450" s="326"/>
      <c r="T450" s="326"/>
      <c r="U450" s="326"/>
      <c r="V450" s="326"/>
      <c r="W450" s="326"/>
      <c r="X450" s="326"/>
      <c r="Y450" s="326"/>
      <c r="Z450" s="326"/>
      <c r="AA450" s="326"/>
    </row>
    <row r="451" spans="1:27" ht="12.75">
      <c r="A451" s="326"/>
      <c r="B451" s="326"/>
      <c r="C451" s="326"/>
      <c r="D451" s="326"/>
      <c r="E451" s="326"/>
      <c r="F451" s="326"/>
      <c r="G451" s="326"/>
      <c r="H451" s="326"/>
      <c r="I451" s="326"/>
      <c r="J451" s="326"/>
      <c r="K451" s="326"/>
      <c r="L451" s="326"/>
      <c r="M451" s="326"/>
      <c r="N451" s="326"/>
      <c r="O451" s="326"/>
      <c r="P451" s="326"/>
      <c r="Q451" s="326"/>
      <c r="R451" s="326"/>
      <c r="S451" s="326"/>
      <c r="T451" s="326"/>
      <c r="U451" s="326"/>
      <c r="V451" s="326"/>
      <c r="W451" s="326"/>
      <c r="X451" s="326"/>
      <c r="Y451" s="326"/>
      <c r="Z451" s="326"/>
      <c r="AA451" s="326"/>
    </row>
    <row r="452" spans="1:27" ht="12.75">
      <c r="A452" s="326"/>
      <c r="B452" s="326"/>
      <c r="C452" s="326"/>
      <c r="D452" s="326"/>
      <c r="E452" s="326"/>
      <c r="F452" s="326"/>
      <c r="G452" s="326"/>
      <c r="H452" s="326"/>
      <c r="I452" s="326"/>
      <c r="J452" s="326"/>
      <c r="K452" s="326"/>
      <c r="L452" s="326"/>
      <c r="M452" s="326"/>
      <c r="N452" s="326"/>
      <c r="O452" s="326"/>
      <c r="P452" s="326"/>
      <c r="Q452" s="326"/>
      <c r="R452" s="326"/>
      <c r="S452" s="326"/>
      <c r="T452" s="326"/>
      <c r="U452" s="326"/>
      <c r="V452" s="326"/>
      <c r="W452" s="326"/>
      <c r="X452" s="326"/>
      <c r="Y452" s="326"/>
      <c r="Z452" s="326"/>
      <c r="AA452" s="326"/>
    </row>
    <row r="453" spans="1:27" ht="12.75">
      <c r="A453" s="326"/>
      <c r="B453" s="326"/>
      <c r="C453" s="326"/>
      <c r="D453" s="326"/>
      <c r="E453" s="326"/>
      <c r="F453" s="326"/>
      <c r="G453" s="326"/>
      <c r="H453" s="326"/>
      <c r="I453" s="326"/>
      <c r="J453" s="326"/>
      <c r="K453" s="326"/>
      <c r="L453" s="326"/>
      <c r="M453" s="326"/>
      <c r="N453" s="326"/>
      <c r="O453" s="326"/>
      <c r="P453" s="326"/>
      <c r="Q453" s="326"/>
      <c r="R453" s="326"/>
      <c r="S453" s="326"/>
      <c r="T453" s="326"/>
      <c r="U453" s="326"/>
      <c r="V453" s="326"/>
      <c r="W453" s="326"/>
      <c r="X453" s="326"/>
      <c r="Y453" s="326"/>
      <c r="Z453" s="326"/>
      <c r="AA453" s="326"/>
    </row>
    <row r="454" spans="1:27" ht="12.75">
      <c r="A454" s="326"/>
      <c r="B454" s="326"/>
      <c r="C454" s="326"/>
      <c r="D454" s="326"/>
      <c r="E454" s="326"/>
      <c r="F454" s="326"/>
      <c r="G454" s="326"/>
      <c r="H454" s="326"/>
      <c r="I454" s="326"/>
      <c r="J454" s="326"/>
      <c r="K454" s="326"/>
      <c r="L454" s="326"/>
      <c r="M454" s="326"/>
      <c r="N454" s="326"/>
      <c r="O454" s="326"/>
      <c r="P454" s="326"/>
      <c r="Q454" s="326"/>
      <c r="R454" s="326"/>
      <c r="S454" s="326"/>
      <c r="T454" s="326"/>
      <c r="U454" s="326"/>
      <c r="V454" s="326"/>
      <c r="W454" s="326"/>
      <c r="X454" s="326"/>
      <c r="Y454" s="326"/>
      <c r="Z454" s="326"/>
      <c r="AA454" s="326"/>
    </row>
    <row r="455" spans="1:27" ht="12.75">
      <c r="A455" s="326"/>
      <c r="B455" s="326"/>
      <c r="C455" s="326"/>
      <c r="D455" s="326"/>
      <c r="E455" s="326"/>
      <c r="F455" s="326"/>
      <c r="G455" s="326"/>
      <c r="H455" s="326"/>
      <c r="I455" s="326"/>
      <c r="J455" s="326"/>
      <c r="K455" s="326"/>
      <c r="L455" s="326"/>
      <c r="M455" s="326"/>
      <c r="N455" s="326"/>
      <c r="O455" s="326"/>
      <c r="P455" s="326"/>
      <c r="Q455" s="326"/>
      <c r="R455" s="326"/>
      <c r="S455" s="326"/>
      <c r="T455" s="326"/>
      <c r="U455" s="326"/>
      <c r="V455" s="326"/>
      <c r="W455" s="326"/>
      <c r="X455" s="326"/>
      <c r="Y455" s="326"/>
      <c r="Z455" s="326"/>
      <c r="AA455" s="326"/>
    </row>
    <row r="456" spans="1:27" ht="12.75">
      <c r="A456" s="326"/>
      <c r="B456" s="326"/>
      <c r="C456" s="326"/>
      <c r="D456" s="326"/>
      <c r="E456" s="326"/>
      <c r="F456" s="326"/>
      <c r="G456" s="326"/>
      <c r="H456" s="326"/>
      <c r="I456" s="326"/>
      <c r="J456" s="326"/>
      <c r="K456" s="326"/>
      <c r="L456" s="326"/>
      <c r="M456" s="326"/>
      <c r="N456" s="326"/>
      <c r="O456" s="326"/>
      <c r="P456" s="326"/>
      <c r="Q456" s="326"/>
      <c r="R456" s="326"/>
      <c r="S456" s="326"/>
      <c r="T456" s="326"/>
      <c r="U456" s="326"/>
      <c r="V456" s="326"/>
      <c r="W456" s="326"/>
      <c r="X456" s="326"/>
      <c r="Y456" s="326"/>
      <c r="Z456" s="326"/>
      <c r="AA456" s="326"/>
    </row>
    <row r="457" spans="1:27" ht="12.75">
      <c r="A457" s="326"/>
      <c r="B457" s="326"/>
      <c r="C457" s="326"/>
      <c r="D457" s="326"/>
      <c r="E457" s="326"/>
      <c r="F457" s="326"/>
      <c r="G457" s="326"/>
      <c r="H457" s="326"/>
      <c r="I457" s="326"/>
      <c r="J457" s="326"/>
      <c r="K457" s="326"/>
      <c r="L457" s="326"/>
      <c r="M457" s="326"/>
      <c r="N457" s="326"/>
      <c r="O457" s="326"/>
      <c r="P457" s="326"/>
      <c r="Q457" s="326"/>
      <c r="R457" s="326"/>
      <c r="S457" s="326"/>
      <c r="T457" s="326"/>
      <c r="U457" s="326"/>
      <c r="V457" s="326"/>
      <c r="W457" s="326"/>
      <c r="X457" s="326"/>
      <c r="Y457" s="326"/>
      <c r="Z457" s="326"/>
      <c r="AA457" s="326"/>
    </row>
    <row r="458" spans="1:27" ht="12.75">
      <c r="A458" s="326"/>
      <c r="B458" s="326"/>
      <c r="C458" s="326"/>
      <c r="D458" s="326"/>
      <c r="E458" s="326"/>
      <c r="F458" s="326"/>
      <c r="G458" s="326"/>
      <c r="H458" s="326"/>
      <c r="I458" s="326"/>
      <c r="J458" s="326"/>
      <c r="K458" s="326"/>
      <c r="L458" s="326"/>
      <c r="M458" s="326"/>
      <c r="N458" s="326"/>
      <c r="O458" s="326"/>
      <c r="P458" s="326"/>
      <c r="Q458" s="326"/>
      <c r="R458" s="326"/>
      <c r="S458" s="326"/>
      <c r="T458" s="326"/>
      <c r="U458" s="326"/>
      <c r="V458" s="326"/>
      <c r="W458" s="326"/>
      <c r="X458" s="326"/>
      <c r="Y458" s="326"/>
      <c r="Z458" s="326"/>
      <c r="AA458" s="326"/>
    </row>
    <row r="459" spans="1:27" ht="12.75">
      <c r="A459" s="326"/>
      <c r="B459" s="326"/>
      <c r="C459" s="326"/>
      <c r="D459" s="326"/>
      <c r="E459" s="326"/>
      <c r="F459" s="326"/>
      <c r="G459" s="326"/>
      <c r="H459" s="326"/>
      <c r="I459" s="326"/>
      <c r="J459" s="326"/>
      <c r="K459" s="326"/>
      <c r="L459" s="326"/>
      <c r="M459" s="326"/>
      <c r="N459" s="326"/>
      <c r="O459" s="326"/>
      <c r="P459" s="326"/>
      <c r="Q459" s="326"/>
      <c r="R459" s="326"/>
      <c r="S459" s="326"/>
      <c r="T459" s="326"/>
      <c r="U459" s="326"/>
      <c r="V459" s="326"/>
      <c r="W459" s="326"/>
      <c r="X459" s="326"/>
      <c r="Y459" s="326"/>
      <c r="Z459" s="326"/>
      <c r="AA459" s="326"/>
    </row>
    <row r="460" spans="1:27" ht="12.75">
      <c r="A460" s="326"/>
      <c r="B460" s="326"/>
      <c r="C460" s="326"/>
      <c r="D460" s="326"/>
      <c r="E460" s="326"/>
      <c r="F460" s="326"/>
      <c r="G460" s="326"/>
      <c r="H460" s="326"/>
      <c r="I460" s="326"/>
      <c r="J460" s="326"/>
      <c r="K460" s="326"/>
      <c r="L460" s="326"/>
      <c r="M460" s="326"/>
      <c r="N460" s="326"/>
      <c r="O460" s="326"/>
      <c r="P460" s="326"/>
      <c r="Q460" s="326"/>
      <c r="R460" s="326"/>
      <c r="S460" s="326"/>
      <c r="T460" s="326"/>
      <c r="U460" s="326"/>
      <c r="V460" s="326"/>
      <c r="W460" s="326"/>
      <c r="X460" s="326"/>
      <c r="Y460" s="326"/>
      <c r="Z460" s="326"/>
      <c r="AA460" s="326"/>
    </row>
    <row r="461" spans="1:27" ht="12.75">
      <c r="A461" s="326"/>
      <c r="B461" s="326"/>
      <c r="C461" s="326"/>
      <c r="D461" s="326"/>
      <c r="E461" s="326"/>
      <c r="F461" s="326"/>
      <c r="G461" s="326"/>
      <c r="H461" s="326"/>
      <c r="I461" s="326"/>
      <c r="J461" s="326"/>
      <c r="K461" s="326"/>
      <c r="L461" s="326"/>
      <c r="M461" s="326"/>
      <c r="N461" s="326"/>
      <c r="O461" s="326"/>
      <c r="P461" s="326"/>
      <c r="Q461" s="326"/>
      <c r="R461" s="326"/>
      <c r="S461" s="326"/>
      <c r="T461" s="326"/>
      <c r="U461" s="326"/>
      <c r="V461" s="326"/>
      <c r="W461" s="326"/>
      <c r="X461" s="326"/>
      <c r="Y461" s="326"/>
      <c r="Z461" s="326"/>
      <c r="AA461" s="326"/>
    </row>
    <row r="462" spans="1:27" ht="12.75">
      <c r="A462" s="326"/>
      <c r="B462" s="326"/>
      <c r="C462" s="326"/>
      <c r="D462" s="326"/>
      <c r="E462" s="326"/>
      <c r="F462" s="326"/>
      <c r="G462" s="326"/>
      <c r="H462" s="326"/>
      <c r="I462" s="326"/>
      <c r="J462" s="326"/>
      <c r="K462" s="326"/>
      <c r="L462" s="326"/>
      <c r="M462" s="326"/>
      <c r="N462" s="326"/>
      <c r="O462" s="326"/>
      <c r="P462" s="326"/>
      <c r="Q462" s="326"/>
      <c r="R462" s="326"/>
      <c r="S462" s="326"/>
      <c r="T462" s="326"/>
      <c r="U462" s="326"/>
      <c r="V462" s="326"/>
      <c r="W462" s="326"/>
      <c r="X462" s="326"/>
      <c r="Y462" s="326"/>
      <c r="Z462" s="326"/>
      <c r="AA462" s="326"/>
    </row>
    <row r="463" spans="1:27" ht="12.75">
      <c r="A463" s="326"/>
      <c r="B463" s="326"/>
      <c r="C463" s="326"/>
      <c r="D463" s="326"/>
      <c r="E463" s="326"/>
      <c r="F463" s="326"/>
      <c r="G463" s="326"/>
      <c r="H463" s="326"/>
      <c r="I463" s="326"/>
      <c r="J463" s="326"/>
      <c r="K463" s="326"/>
      <c r="L463" s="326"/>
      <c r="M463" s="326"/>
      <c r="N463" s="326"/>
      <c r="O463" s="326"/>
      <c r="P463" s="326"/>
      <c r="Q463" s="326"/>
      <c r="R463" s="326"/>
      <c r="S463" s="326"/>
      <c r="T463" s="326"/>
      <c r="U463" s="326"/>
      <c r="V463" s="326"/>
      <c r="W463" s="326"/>
      <c r="X463" s="326"/>
      <c r="Y463" s="326"/>
      <c r="Z463" s="326"/>
      <c r="AA463" s="326"/>
    </row>
    <row r="464" spans="1:27" ht="12.75">
      <c r="A464" s="326"/>
      <c r="B464" s="326"/>
      <c r="C464" s="326"/>
      <c r="D464" s="326"/>
      <c r="E464" s="326"/>
      <c r="F464" s="326"/>
      <c r="G464" s="326"/>
      <c r="H464" s="326"/>
      <c r="I464" s="326"/>
      <c r="J464" s="326"/>
      <c r="K464" s="326"/>
      <c r="L464" s="326"/>
      <c r="M464" s="326"/>
      <c r="N464" s="326"/>
      <c r="O464" s="326"/>
      <c r="P464" s="326"/>
      <c r="Q464" s="326"/>
      <c r="R464" s="326"/>
      <c r="S464" s="326"/>
      <c r="T464" s="326"/>
      <c r="U464" s="326"/>
      <c r="V464" s="326"/>
      <c r="W464" s="326"/>
      <c r="X464" s="326"/>
      <c r="Y464" s="326"/>
      <c r="Z464" s="326"/>
      <c r="AA464" s="326"/>
    </row>
    <row r="465" spans="1:27" ht="12.75">
      <c r="A465" s="326"/>
      <c r="B465" s="326"/>
      <c r="C465" s="326"/>
      <c r="D465" s="326"/>
      <c r="E465" s="326"/>
      <c r="F465" s="326"/>
      <c r="G465" s="326"/>
      <c r="H465" s="326"/>
      <c r="I465" s="326"/>
      <c r="J465" s="326"/>
      <c r="K465" s="326"/>
      <c r="L465" s="326"/>
      <c r="M465" s="326"/>
      <c r="N465" s="326"/>
      <c r="O465" s="326"/>
      <c r="P465" s="326"/>
      <c r="Q465" s="326"/>
      <c r="R465" s="326"/>
      <c r="S465" s="326"/>
      <c r="T465" s="326"/>
      <c r="U465" s="326"/>
      <c r="V465" s="326"/>
      <c r="W465" s="326"/>
      <c r="X465" s="326"/>
      <c r="Y465" s="326"/>
      <c r="Z465" s="326"/>
      <c r="AA465" s="326"/>
    </row>
    <row r="466" spans="1:27" ht="12.75">
      <c r="A466" s="326"/>
      <c r="B466" s="326"/>
      <c r="C466" s="326"/>
      <c r="D466" s="326"/>
      <c r="E466" s="326"/>
      <c r="F466" s="326"/>
      <c r="G466" s="326"/>
      <c r="H466" s="326"/>
      <c r="I466" s="326"/>
      <c r="J466" s="326"/>
      <c r="K466" s="326"/>
      <c r="L466" s="326"/>
      <c r="M466" s="326"/>
      <c r="N466" s="326"/>
      <c r="O466" s="326"/>
      <c r="P466" s="326"/>
      <c r="Q466" s="326"/>
      <c r="R466" s="326"/>
      <c r="S466" s="326"/>
      <c r="T466" s="326"/>
      <c r="U466" s="326"/>
      <c r="V466" s="326"/>
      <c r="W466" s="326"/>
      <c r="X466" s="326"/>
      <c r="Y466" s="326"/>
      <c r="Z466" s="326"/>
      <c r="AA466" s="326"/>
    </row>
    <row r="467" spans="1:27" ht="12.75">
      <c r="A467" s="326"/>
      <c r="B467" s="326"/>
      <c r="C467" s="326"/>
      <c r="D467" s="326"/>
      <c r="E467" s="326"/>
      <c r="F467" s="326"/>
      <c r="G467" s="326"/>
      <c r="H467" s="326"/>
      <c r="I467" s="326"/>
      <c r="J467" s="326"/>
      <c r="K467" s="326"/>
      <c r="L467" s="326"/>
      <c r="M467" s="326"/>
      <c r="N467" s="326"/>
      <c r="O467" s="326"/>
      <c r="P467" s="326"/>
      <c r="Q467" s="326"/>
      <c r="R467" s="326"/>
      <c r="S467" s="326"/>
      <c r="T467" s="326"/>
      <c r="U467" s="326"/>
      <c r="V467" s="326"/>
      <c r="W467" s="326"/>
      <c r="X467" s="326"/>
      <c r="Y467" s="326"/>
      <c r="Z467" s="326"/>
      <c r="AA467" s="326"/>
    </row>
    <row r="468" spans="1:27" ht="12.75">
      <c r="A468" s="326"/>
      <c r="B468" s="326"/>
      <c r="C468" s="326"/>
      <c r="D468" s="326"/>
      <c r="E468" s="326"/>
      <c r="F468" s="326"/>
      <c r="G468" s="326"/>
      <c r="H468" s="326"/>
      <c r="I468" s="326"/>
      <c r="J468" s="326"/>
      <c r="K468" s="326"/>
      <c r="L468" s="326"/>
      <c r="M468" s="326"/>
      <c r="N468" s="326"/>
      <c r="O468" s="326"/>
      <c r="P468" s="326"/>
      <c r="Q468" s="326"/>
      <c r="R468" s="326"/>
      <c r="S468" s="326"/>
      <c r="T468" s="326"/>
      <c r="U468" s="326"/>
      <c r="V468" s="326"/>
      <c r="W468" s="326"/>
      <c r="X468" s="326"/>
      <c r="Y468" s="326"/>
      <c r="Z468" s="326"/>
      <c r="AA468" s="326"/>
    </row>
    <row r="469" spans="1:27" ht="12.75">
      <c r="A469" s="326"/>
      <c r="B469" s="326"/>
      <c r="C469" s="326"/>
      <c r="D469" s="326"/>
      <c r="E469" s="326"/>
      <c r="F469" s="326"/>
      <c r="G469" s="326"/>
      <c r="H469" s="326"/>
      <c r="I469" s="326"/>
      <c r="J469" s="326"/>
      <c r="K469" s="326"/>
      <c r="L469" s="326"/>
      <c r="M469" s="326"/>
      <c r="N469" s="326"/>
      <c r="O469" s="326"/>
      <c r="P469" s="326"/>
      <c r="Q469" s="326"/>
      <c r="R469" s="326"/>
      <c r="S469" s="326"/>
      <c r="T469" s="326"/>
      <c r="U469" s="326"/>
      <c r="V469" s="326"/>
      <c r="W469" s="326"/>
      <c r="X469" s="326"/>
      <c r="Y469" s="326"/>
      <c r="Z469" s="326"/>
      <c r="AA469" s="326"/>
    </row>
    <row r="470" spans="1:27" ht="12.75">
      <c r="A470" s="326"/>
      <c r="B470" s="326"/>
      <c r="C470" s="326"/>
      <c r="D470" s="326"/>
      <c r="E470" s="326"/>
      <c r="F470" s="326"/>
      <c r="G470" s="326"/>
      <c r="H470" s="326"/>
      <c r="I470" s="326"/>
      <c r="J470" s="326"/>
      <c r="K470" s="326"/>
      <c r="L470" s="326"/>
      <c r="M470" s="326"/>
      <c r="N470" s="326"/>
      <c r="O470" s="326"/>
      <c r="P470" s="326"/>
      <c r="Q470" s="326"/>
      <c r="R470" s="326"/>
      <c r="S470" s="326"/>
      <c r="T470" s="326"/>
      <c r="U470" s="326"/>
      <c r="V470" s="326"/>
      <c r="W470" s="326"/>
      <c r="X470" s="326"/>
      <c r="Y470" s="326"/>
      <c r="Z470" s="326"/>
      <c r="AA470" s="326"/>
    </row>
    <row r="471" spans="1:27" ht="12.75">
      <c r="A471" s="326"/>
      <c r="B471" s="326"/>
      <c r="C471" s="326"/>
      <c r="D471" s="326"/>
      <c r="E471" s="326"/>
      <c r="F471" s="326"/>
      <c r="G471" s="326"/>
      <c r="H471" s="326"/>
      <c r="I471" s="326"/>
      <c r="J471" s="326"/>
      <c r="K471" s="326"/>
      <c r="L471" s="326"/>
      <c r="M471" s="326"/>
      <c r="N471" s="326"/>
      <c r="O471" s="326"/>
      <c r="P471" s="326"/>
      <c r="Q471" s="326"/>
      <c r="R471" s="326"/>
      <c r="S471" s="326"/>
      <c r="T471" s="326"/>
      <c r="U471" s="326"/>
      <c r="V471" s="326"/>
      <c r="W471" s="326"/>
      <c r="X471" s="326"/>
      <c r="Y471" s="326"/>
      <c r="Z471" s="326"/>
      <c r="AA471" s="326"/>
    </row>
    <row r="472" spans="1:27" ht="12.75">
      <c r="A472" s="326"/>
      <c r="B472" s="326"/>
      <c r="C472" s="326"/>
      <c r="D472" s="326"/>
      <c r="E472" s="326"/>
      <c r="F472" s="326"/>
      <c r="G472" s="326"/>
      <c r="H472" s="326"/>
      <c r="I472" s="326"/>
      <c r="J472" s="326"/>
      <c r="K472" s="326"/>
      <c r="L472" s="326"/>
      <c r="M472" s="326"/>
      <c r="N472" s="326"/>
      <c r="O472" s="326"/>
      <c r="P472" s="326"/>
      <c r="Q472" s="326"/>
      <c r="R472" s="326"/>
      <c r="S472" s="326"/>
      <c r="T472" s="326"/>
      <c r="U472" s="326"/>
      <c r="V472" s="326"/>
      <c r="W472" s="326"/>
      <c r="X472" s="326"/>
      <c r="Y472" s="326"/>
      <c r="Z472" s="326"/>
      <c r="AA472" s="326"/>
    </row>
    <row r="473" spans="1:27" ht="12.75">
      <c r="A473" s="326"/>
      <c r="B473" s="326"/>
      <c r="C473" s="326"/>
      <c r="D473" s="326"/>
      <c r="E473" s="326"/>
      <c r="F473" s="326"/>
      <c r="G473" s="326"/>
      <c r="H473" s="326"/>
      <c r="I473" s="326"/>
      <c r="J473" s="326"/>
      <c r="K473" s="326"/>
      <c r="L473" s="326"/>
      <c r="M473" s="326"/>
      <c r="N473" s="326"/>
      <c r="O473" s="326"/>
      <c r="P473" s="326"/>
      <c r="Q473" s="326"/>
      <c r="R473" s="326"/>
      <c r="S473" s="326"/>
      <c r="T473" s="326"/>
      <c r="U473" s="326"/>
      <c r="V473" s="326"/>
      <c r="W473" s="326"/>
      <c r="X473" s="326"/>
      <c r="Y473" s="326"/>
      <c r="Z473" s="326"/>
      <c r="AA473" s="326"/>
    </row>
    <row r="474" spans="1:27" ht="12.75">
      <c r="A474" s="326"/>
      <c r="B474" s="326"/>
      <c r="C474" s="326"/>
      <c r="D474" s="326"/>
      <c r="E474" s="326"/>
      <c r="F474" s="326"/>
      <c r="G474" s="326"/>
      <c r="H474" s="326"/>
      <c r="I474" s="326"/>
      <c r="J474" s="326"/>
      <c r="K474" s="326"/>
      <c r="L474" s="326"/>
      <c r="M474" s="326"/>
      <c r="N474" s="326"/>
      <c r="O474" s="326"/>
      <c r="P474" s="326"/>
      <c r="Q474" s="326"/>
      <c r="R474" s="326"/>
      <c r="S474" s="326"/>
      <c r="T474" s="326"/>
      <c r="U474" s="326"/>
      <c r="V474" s="326"/>
      <c r="W474" s="326"/>
      <c r="X474" s="326"/>
      <c r="Y474" s="326"/>
      <c r="Z474" s="326"/>
      <c r="AA474" s="326"/>
    </row>
    <row r="475" spans="1:27" ht="12.75">
      <c r="A475" s="326"/>
      <c r="B475" s="326"/>
      <c r="C475" s="326"/>
      <c r="D475" s="326"/>
      <c r="E475" s="326"/>
      <c r="F475" s="326"/>
      <c r="G475" s="326"/>
      <c r="H475" s="326"/>
      <c r="I475" s="326"/>
      <c r="J475" s="326"/>
      <c r="K475" s="326"/>
      <c r="L475" s="326"/>
      <c r="M475" s="326"/>
      <c r="N475" s="326"/>
      <c r="O475" s="326"/>
      <c r="P475" s="326"/>
      <c r="Q475" s="326"/>
      <c r="R475" s="326"/>
      <c r="S475" s="326"/>
      <c r="T475" s="326"/>
      <c r="U475" s="326"/>
      <c r="V475" s="326"/>
      <c r="W475" s="326"/>
      <c r="X475" s="326"/>
      <c r="Y475" s="326"/>
      <c r="Z475" s="326"/>
      <c r="AA475" s="326"/>
    </row>
    <row r="476" spans="1:27" ht="12.75">
      <c r="A476" s="326"/>
      <c r="B476" s="326"/>
      <c r="C476" s="326"/>
      <c r="D476" s="326"/>
      <c r="E476" s="326"/>
      <c r="F476" s="326"/>
      <c r="G476" s="326"/>
      <c r="H476" s="326"/>
      <c r="I476" s="326"/>
      <c r="J476" s="326"/>
      <c r="K476" s="326"/>
      <c r="L476" s="326"/>
      <c r="M476" s="326"/>
      <c r="N476" s="326"/>
      <c r="O476" s="326"/>
      <c r="P476" s="326"/>
      <c r="Q476" s="326"/>
      <c r="R476" s="326"/>
      <c r="S476" s="326"/>
      <c r="T476" s="326"/>
      <c r="U476" s="326"/>
      <c r="V476" s="326"/>
      <c r="W476" s="326"/>
      <c r="X476" s="326"/>
      <c r="Y476" s="326"/>
      <c r="Z476" s="326"/>
      <c r="AA476" s="326"/>
    </row>
    <row r="477" spans="1:27" ht="12.75">
      <c r="A477" s="326"/>
      <c r="B477" s="326"/>
      <c r="C477" s="326"/>
      <c r="D477" s="326"/>
      <c r="E477" s="326"/>
      <c r="F477" s="326"/>
      <c r="G477" s="326"/>
      <c r="H477" s="326"/>
      <c r="I477" s="326"/>
      <c r="J477" s="326"/>
      <c r="K477" s="326"/>
      <c r="L477" s="326"/>
      <c r="M477" s="326"/>
      <c r="N477" s="326"/>
      <c r="O477" s="326"/>
      <c r="P477" s="326"/>
      <c r="Q477" s="326"/>
      <c r="R477" s="326"/>
      <c r="S477" s="326"/>
      <c r="T477" s="326"/>
      <c r="U477" s="326"/>
      <c r="V477" s="326"/>
      <c r="W477" s="326"/>
      <c r="X477" s="326"/>
      <c r="Y477" s="326"/>
      <c r="Z477" s="326"/>
      <c r="AA477" s="326"/>
    </row>
    <row r="478" spans="1:27" ht="12.75">
      <c r="A478" s="326"/>
      <c r="B478" s="326"/>
      <c r="C478" s="326"/>
      <c r="D478" s="326"/>
      <c r="E478" s="326"/>
      <c r="F478" s="326"/>
      <c r="G478" s="326"/>
      <c r="H478" s="326"/>
      <c r="I478" s="326"/>
      <c r="J478" s="326"/>
      <c r="K478" s="326"/>
      <c r="L478" s="326"/>
      <c r="M478" s="326"/>
      <c r="N478" s="326"/>
      <c r="O478" s="326"/>
      <c r="P478" s="326"/>
      <c r="Q478" s="326"/>
      <c r="R478" s="326"/>
      <c r="S478" s="326"/>
      <c r="T478" s="326"/>
      <c r="U478" s="326"/>
      <c r="V478" s="326"/>
      <c r="W478" s="326"/>
      <c r="X478" s="326"/>
      <c r="Y478" s="326"/>
      <c r="Z478" s="326"/>
      <c r="AA478" s="326"/>
    </row>
    <row r="479" spans="1:27" ht="12.75">
      <c r="A479" s="326"/>
      <c r="B479" s="326"/>
      <c r="C479" s="326"/>
      <c r="D479" s="326"/>
      <c r="E479" s="326"/>
      <c r="F479" s="326"/>
      <c r="G479" s="326"/>
      <c r="H479" s="326"/>
      <c r="I479" s="326"/>
      <c r="J479" s="326"/>
      <c r="K479" s="326"/>
      <c r="L479" s="326"/>
      <c r="M479" s="326"/>
      <c r="N479" s="326"/>
      <c r="O479" s="326"/>
      <c r="P479" s="326"/>
      <c r="Q479" s="326"/>
      <c r="R479" s="326"/>
      <c r="S479" s="326"/>
      <c r="T479" s="326"/>
      <c r="U479" s="326"/>
      <c r="V479" s="326"/>
      <c r="W479" s="326"/>
      <c r="X479" s="326"/>
      <c r="Y479" s="326"/>
      <c r="Z479" s="326"/>
      <c r="AA479" s="326"/>
    </row>
    <row r="480" spans="1:27" ht="12.75">
      <c r="A480" s="326"/>
      <c r="B480" s="326"/>
      <c r="C480" s="326"/>
      <c r="D480" s="326"/>
      <c r="E480" s="326"/>
      <c r="F480" s="326"/>
      <c r="G480" s="326"/>
      <c r="H480" s="326"/>
      <c r="I480" s="326"/>
      <c r="J480" s="326"/>
      <c r="K480" s="326"/>
      <c r="L480" s="326"/>
      <c r="M480" s="326"/>
      <c r="N480" s="326"/>
      <c r="O480" s="326"/>
      <c r="P480" s="326"/>
      <c r="Q480" s="326"/>
      <c r="R480" s="326"/>
      <c r="S480" s="326"/>
      <c r="T480" s="326"/>
      <c r="U480" s="326"/>
      <c r="V480" s="326"/>
      <c r="W480" s="326"/>
      <c r="X480" s="326"/>
      <c r="Y480" s="326"/>
      <c r="Z480" s="326"/>
      <c r="AA480" s="326"/>
    </row>
    <row r="481" spans="1:27" ht="12.75">
      <c r="A481" s="326"/>
      <c r="B481" s="326"/>
      <c r="C481" s="326"/>
      <c r="D481" s="326"/>
      <c r="E481" s="326"/>
      <c r="F481" s="326"/>
      <c r="G481" s="326"/>
      <c r="H481" s="326"/>
      <c r="I481" s="326"/>
      <c r="J481" s="326"/>
      <c r="K481" s="326"/>
      <c r="L481" s="326"/>
      <c r="M481" s="326"/>
      <c r="N481" s="326"/>
      <c r="O481" s="326"/>
      <c r="P481" s="326"/>
      <c r="Q481" s="326"/>
      <c r="R481" s="326"/>
      <c r="S481" s="326"/>
      <c r="T481" s="326"/>
      <c r="U481" s="326"/>
      <c r="V481" s="326"/>
      <c r="W481" s="326"/>
      <c r="X481" s="326"/>
      <c r="Y481" s="326"/>
      <c r="Z481" s="326"/>
      <c r="AA481" s="326"/>
    </row>
    <row r="482" spans="1:27" ht="12.75">
      <c r="A482" s="326"/>
      <c r="B482" s="326"/>
      <c r="C482" s="326"/>
      <c r="D482" s="326"/>
      <c r="E482" s="326"/>
      <c r="F482" s="326"/>
      <c r="G482" s="326"/>
      <c r="H482" s="326"/>
      <c r="I482" s="326"/>
      <c r="J482" s="326"/>
      <c r="K482" s="326"/>
      <c r="L482" s="326"/>
      <c r="M482" s="326"/>
      <c r="N482" s="326"/>
      <c r="O482" s="326"/>
      <c r="P482" s="326"/>
      <c r="Q482" s="326"/>
      <c r="R482" s="326"/>
      <c r="S482" s="326"/>
      <c r="T482" s="326"/>
      <c r="U482" s="326"/>
      <c r="V482" s="326"/>
      <c r="W482" s="326"/>
      <c r="X482" s="326"/>
      <c r="Y482" s="326"/>
      <c r="Z482" s="326"/>
      <c r="AA482" s="326"/>
    </row>
    <row r="483" spans="1:27" ht="12.75">
      <c r="A483" s="326"/>
      <c r="B483" s="326"/>
      <c r="C483" s="326"/>
      <c r="D483" s="326"/>
      <c r="E483" s="326"/>
      <c r="F483" s="326"/>
      <c r="G483" s="326"/>
      <c r="H483" s="326"/>
      <c r="I483" s="326"/>
      <c r="J483" s="326"/>
      <c r="K483" s="326"/>
      <c r="L483" s="326"/>
      <c r="M483" s="326"/>
      <c r="N483" s="326"/>
      <c r="O483" s="326"/>
      <c r="P483" s="326"/>
      <c r="Q483" s="326"/>
      <c r="R483" s="326"/>
      <c r="S483" s="326"/>
      <c r="T483" s="326"/>
      <c r="U483" s="326"/>
      <c r="V483" s="326"/>
      <c r="W483" s="326"/>
      <c r="X483" s="326"/>
      <c r="Y483" s="326"/>
      <c r="Z483" s="326"/>
      <c r="AA483" s="326"/>
    </row>
    <row r="484" spans="1:27" ht="12.75">
      <c r="A484" s="326"/>
      <c r="B484" s="326"/>
      <c r="C484" s="326"/>
      <c r="D484" s="326"/>
      <c r="E484" s="326"/>
      <c r="F484" s="326"/>
      <c r="G484" s="326"/>
      <c r="H484" s="326"/>
      <c r="I484" s="326"/>
      <c r="J484" s="326"/>
      <c r="K484" s="326"/>
      <c r="L484" s="326"/>
      <c r="M484" s="326"/>
      <c r="N484" s="326"/>
      <c r="O484" s="326"/>
      <c r="P484" s="326"/>
      <c r="Q484" s="326"/>
      <c r="R484" s="326"/>
      <c r="S484" s="326"/>
      <c r="T484" s="326"/>
      <c r="U484" s="326"/>
      <c r="V484" s="326"/>
      <c r="W484" s="326"/>
      <c r="X484" s="326"/>
      <c r="Y484" s="326"/>
      <c r="Z484" s="326"/>
      <c r="AA484" s="326"/>
    </row>
    <row r="485" spans="1:27" ht="12.75">
      <c r="A485" s="326"/>
      <c r="B485" s="326"/>
      <c r="C485" s="326"/>
      <c r="D485" s="326"/>
      <c r="E485" s="326"/>
      <c r="F485" s="326"/>
      <c r="G485" s="326"/>
      <c r="H485" s="326"/>
      <c r="I485" s="326"/>
      <c r="J485" s="326"/>
      <c r="K485" s="326"/>
      <c r="L485" s="326"/>
      <c r="M485" s="326"/>
      <c r="N485" s="326"/>
      <c r="O485" s="326"/>
      <c r="P485" s="326"/>
      <c r="Q485" s="326"/>
      <c r="R485" s="326"/>
      <c r="S485" s="326"/>
      <c r="T485" s="326"/>
      <c r="U485" s="326"/>
      <c r="V485" s="326"/>
      <c r="W485" s="326"/>
      <c r="X485" s="326"/>
      <c r="Y485" s="326"/>
      <c r="Z485" s="326"/>
      <c r="AA485" s="326"/>
    </row>
    <row r="486" spans="1:27" ht="12.75">
      <c r="A486" s="326"/>
      <c r="B486" s="326"/>
      <c r="C486" s="326"/>
      <c r="D486" s="326"/>
      <c r="E486" s="326"/>
      <c r="F486" s="326"/>
      <c r="G486" s="326"/>
      <c r="H486" s="326"/>
      <c r="I486" s="326"/>
      <c r="J486" s="326"/>
      <c r="K486" s="326"/>
      <c r="L486" s="326"/>
      <c r="M486" s="326"/>
      <c r="N486" s="326"/>
      <c r="O486" s="326"/>
      <c r="P486" s="326"/>
      <c r="Q486" s="326"/>
      <c r="R486" s="326"/>
      <c r="S486" s="326"/>
      <c r="T486" s="326"/>
      <c r="U486" s="326"/>
      <c r="V486" s="326"/>
      <c r="W486" s="326"/>
      <c r="X486" s="326"/>
      <c r="Y486" s="326"/>
      <c r="Z486" s="326"/>
      <c r="AA486" s="326"/>
    </row>
    <row r="487" spans="1:27" ht="12.75">
      <c r="A487" s="326"/>
      <c r="B487" s="326"/>
      <c r="C487" s="326"/>
      <c r="D487" s="326"/>
      <c r="E487" s="326"/>
      <c r="F487" s="326"/>
      <c r="G487" s="326"/>
      <c r="H487" s="326"/>
      <c r="I487" s="326"/>
      <c r="J487" s="326"/>
      <c r="K487" s="326"/>
      <c r="L487" s="326"/>
      <c r="M487" s="326"/>
      <c r="N487" s="326"/>
      <c r="O487" s="326"/>
      <c r="P487" s="326"/>
      <c r="Q487" s="326"/>
      <c r="R487" s="326"/>
      <c r="S487" s="326"/>
      <c r="T487" s="326"/>
      <c r="U487" s="326"/>
      <c r="V487" s="326"/>
      <c r="W487" s="326"/>
      <c r="X487" s="326"/>
      <c r="Y487" s="326"/>
      <c r="Z487" s="326"/>
      <c r="AA487" s="326"/>
    </row>
    <row r="488" spans="1:27" ht="12.75">
      <c r="A488" s="326"/>
      <c r="B488" s="326"/>
      <c r="C488" s="326"/>
      <c r="D488" s="326"/>
      <c r="E488" s="326"/>
      <c r="F488" s="326"/>
      <c r="G488" s="326"/>
      <c r="H488" s="326"/>
      <c r="I488" s="326"/>
      <c r="J488" s="326"/>
      <c r="K488" s="326"/>
      <c r="L488" s="326"/>
      <c r="M488" s="326"/>
      <c r="N488" s="326"/>
      <c r="O488" s="326"/>
      <c r="P488" s="326"/>
      <c r="Q488" s="326"/>
      <c r="R488" s="326"/>
      <c r="S488" s="326"/>
      <c r="T488" s="326"/>
      <c r="U488" s="326"/>
      <c r="V488" s="326"/>
      <c r="W488" s="326"/>
      <c r="X488" s="326"/>
      <c r="Y488" s="326"/>
      <c r="Z488" s="326"/>
      <c r="AA488" s="326"/>
    </row>
    <row r="489" spans="1:27" ht="12.75">
      <c r="A489" s="326"/>
      <c r="B489" s="326"/>
      <c r="C489" s="326"/>
      <c r="D489" s="326"/>
      <c r="E489" s="326"/>
      <c r="F489" s="326"/>
      <c r="G489" s="326"/>
      <c r="H489" s="326"/>
      <c r="I489" s="326"/>
      <c r="J489" s="326"/>
      <c r="K489" s="326"/>
      <c r="L489" s="326"/>
      <c r="M489" s="326"/>
      <c r="N489" s="326"/>
      <c r="O489" s="326"/>
      <c r="P489" s="326"/>
      <c r="Q489" s="326"/>
      <c r="R489" s="326"/>
      <c r="S489" s="326"/>
      <c r="T489" s="326"/>
      <c r="U489" s="326"/>
      <c r="V489" s="326"/>
      <c r="W489" s="326"/>
      <c r="X489" s="326"/>
      <c r="Y489" s="326"/>
      <c r="Z489" s="326"/>
      <c r="AA489" s="326"/>
    </row>
    <row r="490" spans="1:27" ht="12.75">
      <c r="A490" s="326"/>
      <c r="B490" s="326"/>
      <c r="C490" s="326"/>
      <c r="D490" s="326"/>
      <c r="E490" s="326"/>
      <c r="F490" s="326"/>
      <c r="G490" s="326"/>
      <c r="H490" s="326"/>
      <c r="I490" s="326"/>
      <c r="J490" s="326"/>
      <c r="K490" s="326"/>
      <c r="L490" s="326"/>
      <c r="M490" s="326"/>
      <c r="N490" s="326"/>
      <c r="O490" s="326"/>
      <c r="P490" s="326"/>
      <c r="Q490" s="326"/>
      <c r="R490" s="326"/>
      <c r="S490" s="326"/>
      <c r="T490" s="326"/>
      <c r="U490" s="326"/>
      <c r="V490" s="326"/>
      <c r="W490" s="326"/>
      <c r="X490" s="326"/>
      <c r="Y490" s="326"/>
      <c r="Z490" s="326"/>
      <c r="AA490" s="326"/>
    </row>
    <row r="491" spans="1:27" ht="12.75">
      <c r="A491" s="326"/>
      <c r="B491" s="326"/>
      <c r="C491" s="326"/>
      <c r="D491" s="326"/>
      <c r="E491" s="326"/>
      <c r="F491" s="326"/>
      <c r="G491" s="326"/>
      <c r="H491" s="326"/>
      <c r="I491" s="326"/>
      <c r="J491" s="326"/>
      <c r="K491" s="326"/>
      <c r="L491" s="326"/>
      <c r="M491" s="326"/>
      <c r="N491" s="326"/>
      <c r="O491" s="326"/>
      <c r="P491" s="326"/>
      <c r="Q491" s="326"/>
      <c r="R491" s="326"/>
      <c r="S491" s="326"/>
      <c r="T491" s="326"/>
      <c r="U491" s="326"/>
      <c r="V491" s="326"/>
      <c r="W491" s="326"/>
      <c r="X491" s="326"/>
      <c r="Y491" s="326"/>
      <c r="Z491" s="326"/>
      <c r="AA491" s="326"/>
    </row>
    <row r="492" spans="1:27" ht="12.75">
      <c r="A492" s="326"/>
      <c r="B492" s="326"/>
      <c r="C492" s="326"/>
      <c r="D492" s="326"/>
      <c r="E492" s="326"/>
      <c r="F492" s="326"/>
      <c r="G492" s="326"/>
      <c r="H492" s="326"/>
      <c r="I492" s="326"/>
      <c r="J492" s="326"/>
      <c r="K492" s="326"/>
      <c r="L492" s="326"/>
      <c r="M492" s="326"/>
      <c r="N492" s="326"/>
      <c r="O492" s="326"/>
      <c r="P492" s="326"/>
      <c r="Q492" s="326"/>
      <c r="R492" s="326"/>
      <c r="S492" s="326"/>
      <c r="T492" s="326"/>
      <c r="U492" s="326"/>
      <c r="V492" s="326"/>
      <c r="W492" s="326"/>
      <c r="X492" s="326"/>
      <c r="Y492" s="326"/>
      <c r="Z492" s="326"/>
      <c r="AA492" s="326"/>
    </row>
    <row r="493" spans="1:27" ht="12.75">
      <c r="A493" s="326"/>
      <c r="B493" s="326"/>
      <c r="C493" s="326"/>
      <c r="D493" s="326"/>
      <c r="E493" s="326"/>
      <c r="F493" s="326"/>
      <c r="G493" s="326"/>
      <c r="H493" s="326"/>
      <c r="I493" s="326"/>
      <c r="J493" s="326"/>
      <c r="K493" s="326"/>
      <c r="L493" s="326"/>
      <c r="M493" s="326"/>
      <c r="N493" s="326"/>
      <c r="O493" s="326"/>
      <c r="P493" s="326"/>
      <c r="Q493" s="326"/>
      <c r="R493" s="326"/>
      <c r="S493" s="326"/>
      <c r="T493" s="326"/>
      <c r="U493" s="326"/>
      <c r="V493" s="326"/>
      <c r="W493" s="326"/>
      <c r="X493" s="326"/>
      <c r="Y493" s="326"/>
      <c r="Z493" s="326"/>
      <c r="AA493" s="326"/>
    </row>
    <row r="494" spans="1:27" ht="12.75">
      <c r="A494" s="326"/>
      <c r="B494" s="326"/>
      <c r="C494" s="326"/>
      <c r="D494" s="326"/>
      <c r="E494" s="326"/>
      <c r="F494" s="326"/>
      <c r="G494" s="326"/>
      <c r="H494" s="326"/>
      <c r="I494" s="326"/>
      <c r="J494" s="326"/>
      <c r="K494" s="326"/>
      <c r="L494" s="326"/>
      <c r="M494" s="326"/>
      <c r="N494" s="326"/>
      <c r="O494" s="326"/>
      <c r="P494" s="326"/>
      <c r="Q494" s="326"/>
      <c r="R494" s="326"/>
      <c r="S494" s="326"/>
      <c r="T494" s="326"/>
      <c r="U494" s="326"/>
      <c r="V494" s="326"/>
      <c r="W494" s="326"/>
      <c r="X494" s="326"/>
      <c r="Y494" s="326"/>
      <c r="Z494" s="326"/>
      <c r="AA494" s="326"/>
    </row>
    <row r="495" spans="1:27" ht="12.75">
      <c r="A495" s="326"/>
      <c r="B495" s="326"/>
      <c r="C495" s="326"/>
      <c r="D495" s="326"/>
      <c r="E495" s="326"/>
      <c r="F495" s="326"/>
      <c r="G495" s="326"/>
      <c r="H495" s="326"/>
      <c r="I495" s="326"/>
      <c r="J495" s="326"/>
      <c r="K495" s="326"/>
      <c r="L495" s="326"/>
      <c r="M495" s="326"/>
      <c r="N495" s="326"/>
      <c r="O495" s="326"/>
      <c r="P495" s="326"/>
      <c r="Q495" s="326"/>
      <c r="R495" s="326"/>
      <c r="S495" s="326"/>
      <c r="T495" s="326"/>
      <c r="U495" s="326"/>
      <c r="V495" s="326"/>
      <c r="W495" s="326"/>
      <c r="X495" s="326"/>
      <c r="Y495" s="326"/>
      <c r="Z495" s="326"/>
      <c r="AA495" s="326"/>
    </row>
    <row r="496" spans="1:27" ht="12.75">
      <c r="A496" s="326"/>
      <c r="B496" s="326"/>
      <c r="C496" s="326"/>
      <c r="D496" s="326"/>
      <c r="E496" s="326"/>
      <c r="F496" s="326"/>
      <c r="G496" s="326"/>
      <c r="H496" s="326"/>
      <c r="I496" s="326"/>
      <c r="J496" s="326"/>
      <c r="K496" s="326"/>
      <c r="L496" s="326"/>
      <c r="M496" s="326"/>
      <c r="N496" s="326"/>
      <c r="O496" s="326"/>
      <c r="P496" s="326"/>
      <c r="Q496" s="326"/>
      <c r="R496" s="326"/>
      <c r="S496" s="326"/>
      <c r="T496" s="326"/>
      <c r="U496" s="326"/>
      <c r="V496" s="326"/>
      <c r="W496" s="326"/>
      <c r="X496" s="326"/>
      <c r="Y496" s="326"/>
      <c r="Z496" s="326"/>
      <c r="AA496" s="326"/>
    </row>
    <row r="497" spans="1:27" ht="12.75">
      <c r="A497" s="326"/>
      <c r="B497" s="326"/>
      <c r="C497" s="326"/>
      <c r="D497" s="326"/>
      <c r="E497" s="326"/>
      <c r="F497" s="326"/>
      <c r="G497" s="326"/>
      <c r="H497" s="326"/>
      <c r="I497" s="326"/>
      <c r="J497" s="326"/>
      <c r="K497" s="326"/>
      <c r="L497" s="326"/>
      <c r="M497" s="326"/>
      <c r="N497" s="326"/>
      <c r="O497" s="326"/>
      <c r="P497" s="326"/>
      <c r="Q497" s="326"/>
      <c r="R497" s="326"/>
      <c r="S497" s="326"/>
      <c r="T497" s="326"/>
      <c r="U497" s="326"/>
      <c r="V497" s="326"/>
      <c r="W497" s="326"/>
      <c r="X497" s="326"/>
      <c r="Y497" s="326"/>
      <c r="Z497" s="326"/>
      <c r="AA497" s="326"/>
    </row>
    <row r="498" spans="1:27" ht="12.75">
      <c r="A498" s="326"/>
      <c r="B498" s="326"/>
      <c r="C498" s="326"/>
      <c r="D498" s="326"/>
      <c r="E498" s="326"/>
      <c r="F498" s="326"/>
      <c r="G498" s="326"/>
      <c r="H498" s="326"/>
      <c r="I498" s="326"/>
      <c r="J498" s="326"/>
      <c r="K498" s="326"/>
      <c r="L498" s="326"/>
      <c r="M498" s="326"/>
      <c r="N498" s="326"/>
      <c r="O498" s="326"/>
      <c r="P498" s="326"/>
      <c r="Q498" s="326"/>
      <c r="R498" s="326"/>
      <c r="S498" s="326"/>
      <c r="T498" s="326"/>
      <c r="U498" s="326"/>
      <c r="V498" s="326"/>
      <c r="W498" s="326"/>
      <c r="X498" s="326"/>
      <c r="Y498" s="326"/>
      <c r="Z498" s="326"/>
      <c r="AA498" s="326"/>
    </row>
    <row r="499" spans="1:27" ht="12.75">
      <c r="A499" s="326"/>
      <c r="B499" s="326"/>
      <c r="C499" s="326"/>
      <c r="D499" s="326"/>
      <c r="E499" s="326"/>
      <c r="F499" s="326"/>
      <c r="G499" s="326"/>
      <c r="H499" s="326"/>
      <c r="I499" s="326"/>
      <c r="J499" s="326"/>
      <c r="K499" s="326"/>
      <c r="L499" s="326"/>
      <c r="M499" s="326"/>
      <c r="N499" s="326"/>
      <c r="O499" s="326"/>
      <c r="P499" s="326"/>
      <c r="Q499" s="326"/>
      <c r="R499" s="326"/>
      <c r="S499" s="326"/>
      <c r="T499" s="326"/>
      <c r="U499" s="326"/>
      <c r="V499" s="326"/>
      <c r="W499" s="326"/>
      <c r="X499" s="326"/>
      <c r="Y499" s="326"/>
      <c r="Z499" s="326"/>
      <c r="AA499" s="326"/>
    </row>
    <row r="500" spans="1:27" ht="12.75">
      <c r="A500" s="326"/>
      <c r="B500" s="326"/>
      <c r="C500" s="326"/>
      <c r="D500" s="326"/>
      <c r="E500" s="326"/>
      <c r="F500" s="326"/>
      <c r="G500" s="326"/>
      <c r="H500" s="326"/>
      <c r="I500" s="326"/>
      <c r="J500" s="326"/>
      <c r="K500" s="326"/>
      <c r="L500" s="326"/>
      <c r="M500" s="326"/>
      <c r="N500" s="326"/>
      <c r="O500" s="326"/>
      <c r="P500" s="326"/>
      <c r="Q500" s="326"/>
      <c r="R500" s="326"/>
      <c r="S500" s="326"/>
      <c r="T500" s="326"/>
      <c r="U500" s="326"/>
      <c r="V500" s="326"/>
      <c r="W500" s="326"/>
      <c r="X500" s="326"/>
      <c r="Y500" s="326"/>
      <c r="Z500" s="326"/>
      <c r="AA500" s="326"/>
    </row>
    <row r="501" spans="1:27" ht="12.75">
      <c r="A501" s="326"/>
      <c r="B501" s="326"/>
      <c r="C501" s="326"/>
      <c r="D501" s="326"/>
      <c r="E501" s="326"/>
      <c r="F501" s="326"/>
      <c r="G501" s="326"/>
      <c r="H501" s="326"/>
      <c r="I501" s="326"/>
      <c r="J501" s="326"/>
      <c r="K501" s="326"/>
      <c r="L501" s="326"/>
      <c r="M501" s="326"/>
      <c r="N501" s="326"/>
      <c r="O501" s="326"/>
      <c r="P501" s="326"/>
      <c r="Q501" s="326"/>
      <c r="R501" s="326"/>
      <c r="S501" s="326"/>
      <c r="T501" s="326"/>
      <c r="U501" s="326"/>
      <c r="V501" s="326"/>
      <c r="W501" s="326"/>
      <c r="X501" s="326"/>
      <c r="Y501" s="326"/>
      <c r="Z501" s="326"/>
      <c r="AA501" s="326"/>
    </row>
    <row r="502" spans="1:27" ht="12.75">
      <c r="A502" s="326"/>
      <c r="B502" s="326"/>
      <c r="C502" s="326"/>
      <c r="D502" s="326"/>
      <c r="E502" s="326"/>
      <c r="F502" s="326"/>
      <c r="G502" s="326"/>
      <c r="H502" s="326"/>
      <c r="I502" s="326"/>
      <c r="J502" s="326"/>
      <c r="K502" s="326"/>
      <c r="L502" s="326"/>
      <c r="M502" s="326"/>
      <c r="N502" s="326"/>
      <c r="O502" s="326"/>
      <c r="P502" s="326"/>
      <c r="Q502" s="326"/>
      <c r="R502" s="326"/>
      <c r="S502" s="326"/>
      <c r="T502" s="326"/>
      <c r="U502" s="326"/>
      <c r="V502" s="326"/>
      <c r="W502" s="326"/>
      <c r="X502" s="326"/>
      <c r="Y502" s="326"/>
      <c r="Z502" s="326"/>
      <c r="AA502" s="326"/>
    </row>
    <row r="503" spans="1:27" ht="12.75">
      <c r="A503" s="326"/>
      <c r="B503" s="326"/>
      <c r="C503" s="326"/>
      <c r="D503" s="326"/>
      <c r="E503" s="326"/>
      <c r="F503" s="326"/>
      <c r="G503" s="326"/>
      <c r="H503" s="326"/>
      <c r="I503" s="326"/>
      <c r="J503" s="326"/>
      <c r="K503" s="326"/>
      <c r="L503" s="326"/>
      <c r="M503" s="326"/>
      <c r="N503" s="326"/>
      <c r="O503" s="326"/>
      <c r="P503" s="326"/>
      <c r="Q503" s="326"/>
      <c r="R503" s="326"/>
      <c r="S503" s="326"/>
      <c r="T503" s="326"/>
      <c r="U503" s="326"/>
      <c r="V503" s="326"/>
      <c r="W503" s="326"/>
      <c r="X503" s="326"/>
      <c r="Y503" s="326"/>
      <c r="Z503" s="326"/>
      <c r="AA503" s="326"/>
    </row>
    <row r="504" spans="1:27" ht="12.75">
      <c r="A504" s="326"/>
      <c r="B504" s="326"/>
      <c r="C504" s="326"/>
      <c r="D504" s="326"/>
      <c r="E504" s="326"/>
      <c r="F504" s="326"/>
      <c r="G504" s="326"/>
      <c r="H504" s="326"/>
      <c r="I504" s="326"/>
      <c r="J504" s="326"/>
      <c r="K504" s="326"/>
      <c r="L504" s="326"/>
      <c r="M504" s="326"/>
      <c r="N504" s="326"/>
      <c r="O504" s="326"/>
      <c r="P504" s="326"/>
      <c r="Q504" s="326"/>
      <c r="R504" s="326"/>
      <c r="S504" s="326"/>
      <c r="T504" s="326"/>
      <c r="U504" s="326"/>
      <c r="V504" s="326"/>
      <c r="W504" s="326"/>
      <c r="X504" s="326"/>
      <c r="Y504" s="326"/>
      <c r="Z504" s="326"/>
      <c r="AA504" s="326"/>
    </row>
    <row r="505" spans="1:27" ht="12.75">
      <c r="A505" s="326"/>
      <c r="B505" s="326"/>
      <c r="C505" s="326"/>
      <c r="D505" s="326"/>
      <c r="E505" s="326"/>
      <c r="F505" s="326"/>
      <c r="G505" s="326"/>
      <c r="H505" s="326"/>
      <c r="I505" s="326"/>
      <c r="J505" s="326"/>
      <c r="K505" s="326"/>
      <c r="L505" s="326"/>
      <c r="M505" s="326"/>
      <c r="N505" s="326"/>
      <c r="O505" s="326"/>
      <c r="P505" s="326"/>
      <c r="Q505" s="326"/>
      <c r="R505" s="326"/>
      <c r="S505" s="326"/>
      <c r="T505" s="326"/>
      <c r="U505" s="326"/>
      <c r="V505" s="326"/>
      <c r="W505" s="326"/>
      <c r="X505" s="326"/>
      <c r="Y505" s="326"/>
      <c r="Z505" s="326"/>
      <c r="AA505" s="326"/>
    </row>
    <row r="506" spans="1:27" ht="12.75">
      <c r="A506" s="326"/>
      <c r="B506" s="326"/>
      <c r="C506" s="326"/>
      <c r="D506" s="326"/>
      <c r="E506" s="326"/>
      <c r="F506" s="326"/>
      <c r="G506" s="326"/>
      <c r="H506" s="326"/>
      <c r="I506" s="326"/>
      <c r="J506" s="326"/>
      <c r="K506" s="326"/>
      <c r="L506" s="326"/>
      <c r="M506" s="326"/>
      <c r="N506" s="326"/>
      <c r="O506" s="326"/>
      <c r="P506" s="326"/>
      <c r="Q506" s="326"/>
      <c r="R506" s="326"/>
      <c r="S506" s="326"/>
      <c r="T506" s="326"/>
      <c r="U506" s="326"/>
      <c r="V506" s="326"/>
      <c r="W506" s="326"/>
      <c r="X506" s="326"/>
      <c r="Y506" s="326"/>
      <c r="Z506" s="326"/>
      <c r="AA506" s="326"/>
    </row>
    <row r="507" spans="1:27" ht="12.75">
      <c r="A507" s="326"/>
      <c r="B507" s="326"/>
      <c r="C507" s="326"/>
      <c r="D507" s="326"/>
      <c r="E507" s="326"/>
      <c r="F507" s="326"/>
      <c r="G507" s="326"/>
      <c r="H507" s="326"/>
      <c r="I507" s="326"/>
      <c r="J507" s="326"/>
      <c r="K507" s="326"/>
      <c r="L507" s="326"/>
      <c r="M507" s="326"/>
      <c r="N507" s="326"/>
      <c r="O507" s="326"/>
      <c r="P507" s="326"/>
      <c r="Q507" s="326"/>
      <c r="R507" s="326"/>
      <c r="S507" s="326"/>
      <c r="T507" s="326"/>
      <c r="U507" s="326"/>
      <c r="V507" s="326"/>
      <c r="W507" s="326"/>
      <c r="X507" s="326"/>
      <c r="Y507" s="326"/>
      <c r="Z507" s="326"/>
      <c r="AA507" s="326"/>
    </row>
    <row r="508" spans="1:27" ht="12.75">
      <c r="A508" s="326"/>
      <c r="B508" s="326"/>
      <c r="C508" s="326"/>
      <c r="D508" s="326"/>
      <c r="E508" s="326"/>
      <c r="F508" s="326"/>
      <c r="G508" s="326"/>
      <c r="H508" s="326"/>
      <c r="I508" s="326"/>
      <c r="J508" s="326"/>
      <c r="K508" s="326"/>
      <c r="L508" s="326"/>
      <c r="M508" s="326"/>
      <c r="N508" s="326"/>
      <c r="O508" s="326"/>
      <c r="P508" s="326"/>
      <c r="Q508" s="326"/>
      <c r="R508" s="326"/>
      <c r="S508" s="326"/>
      <c r="T508" s="326"/>
      <c r="U508" s="326"/>
      <c r="V508" s="326"/>
      <c r="W508" s="326"/>
      <c r="X508" s="326"/>
      <c r="Y508" s="326"/>
      <c r="Z508" s="326"/>
      <c r="AA508" s="326"/>
    </row>
    <row r="509" spans="1:27" ht="12.75">
      <c r="A509" s="326"/>
      <c r="B509" s="326"/>
      <c r="C509" s="326"/>
      <c r="D509" s="326"/>
      <c r="E509" s="326"/>
      <c r="F509" s="326"/>
      <c r="G509" s="326"/>
      <c r="H509" s="326"/>
      <c r="I509" s="326"/>
      <c r="J509" s="326"/>
      <c r="K509" s="326"/>
      <c r="L509" s="326"/>
      <c r="M509" s="326"/>
      <c r="N509" s="326"/>
      <c r="O509" s="326"/>
      <c r="P509" s="326"/>
      <c r="Q509" s="326"/>
      <c r="R509" s="326"/>
      <c r="S509" s="326"/>
      <c r="T509" s="326"/>
      <c r="U509" s="326"/>
      <c r="V509" s="326"/>
      <c r="W509" s="326"/>
      <c r="X509" s="326"/>
      <c r="Y509" s="326"/>
      <c r="Z509" s="326"/>
      <c r="AA509" s="326"/>
    </row>
    <row r="510" spans="1:27" ht="12.75">
      <c r="A510" s="326"/>
      <c r="B510" s="326"/>
      <c r="C510" s="326"/>
      <c r="D510" s="326"/>
      <c r="E510" s="326"/>
      <c r="F510" s="326"/>
      <c r="G510" s="326"/>
      <c r="H510" s="326"/>
      <c r="I510" s="326"/>
      <c r="J510" s="326"/>
      <c r="K510" s="326"/>
      <c r="L510" s="326"/>
      <c r="M510" s="326"/>
      <c r="N510" s="326"/>
      <c r="O510" s="326"/>
      <c r="P510" s="326"/>
      <c r="Q510" s="326"/>
      <c r="R510" s="326"/>
      <c r="S510" s="326"/>
      <c r="T510" s="326"/>
      <c r="U510" s="326"/>
      <c r="V510" s="326"/>
      <c r="W510" s="326"/>
      <c r="X510" s="326"/>
      <c r="Y510" s="326"/>
      <c r="Z510" s="326"/>
      <c r="AA510" s="326"/>
    </row>
    <row r="511" spans="1:27" ht="12.75">
      <c r="A511" s="326"/>
      <c r="B511" s="326"/>
      <c r="C511" s="326"/>
      <c r="D511" s="326"/>
      <c r="E511" s="326"/>
      <c r="F511" s="326"/>
      <c r="G511" s="326"/>
      <c r="H511" s="326"/>
      <c r="I511" s="326"/>
      <c r="J511" s="326"/>
      <c r="K511" s="326"/>
      <c r="L511" s="326"/>
      <c r="M511" s="326"/>
      <c r="N511" s="326"/>
      <c r="O511" s="326"/>
      <c r="P511" s="326"/>
      <c r="Q511" s="326"/>
      <c r="R511" s="326"/>
      <c r="S511" s="326"/>
      <c r="T511" s="326"/>
      <c r="U511" s="326"/>
      <c r="V511" s="326"/>
      <c r="W511" s="326"/>
      <c r="X511" s="326"/>
      <c r="Y511" s="326"/>
      <c r="Z511" s="326"/>
      <c r="AA511" s="326"/>
    </row>
    <row r="512" spans="1:27" ht="12.75">
      <c r="A512" s="326"/>
      <c r="B512" s="326"/>
      <c r="C512" s="326"/>
      <c r="D512" s="326"/>
      <c r="E512" s="326"/>
      <c r="F512" s="326"/>
      <c r="G512" s="326"/>
      <c r="H512" s="326"/>
      <c r="I512" s="326"/>
      <c r="J512" s="326"/>
      <c r="K512" s="326"/>
      <c r="L512" s="326"/>
      <c r="M512" s="326"/>
      <c r="N512" s="326"/>
      <c r="O512" s="326"/>
      <c r="P512" s="326"/>
      <c r="Q512" s="326"/>
      <c r="R512" s="326"/>
      <c r="S512" s="326"/>
      <c r="T512" s="326"/>
      <c r="U512" s="326"/>
      <c r="V512" s="326"/>
      <c r="W512" s="326"/>
      <c r="X512" s="326"/>
      <c r="Y512" s="326"/>
      <c r="Z512" s="326"/>
      <c r="AA512" s="326"/>
    </row>
    <row r="513" spans="1:27" ht="12.75">
      <c r="A513" s="326"/>
      <c r="B513" s="326"/>
      <c r="C513" s="326"/>
      <c r="D513" s="326"/>
      <c r="E513" s="326"/>
      <c r="F513" s="326"/>
      <c r="G513" s="326"/>
      <c r="H513" s="326"/>
      <c r="I513" s="326"/>
      <c r="J513" s="326"/>
      <c r="K513" s="326"/>
      <c r="L513" s="326"/>
      <c r="M513" s="326"/>
      <c r="N513" s="326"/>
      <c r="O513" s="326"/>
      <c r="P513" s="326"/>
      <c r="Q513" s="326"/>
      <c r="R513" s="326"/>
      <c r="S513" s="326"/>
      <c r="T513" s="326"/>
      <c r="U513" s="326"/>
      <c r="V513" s="326"/>
      <c r="W513" s="326"/>
      <c r="X513" s="326"/>
      <c r="Y513" s="326"/>
      <c r="Z513" s="326"/>
      <c r="AA513" s="326"/>
    </row>
    <row r="514" spans="1:27" ht="12.75">
      <c r="A514" s="326"/>
      <c r="B514" s="326"/>
      <c r="C514" s="326"/>
      <c r="D514" s="326"/>
      <c r="E514" s="326"/>
      <c r="F514" s="326"/>
      <c r="G514" s="326"/>
      <c r="H514" s="326"/>
      <c r="I514" s="326"/>
      <c r="J514" s="326"/>
      <c r="K514" s="326"/>
      <c r="L514" s="326"/>
      <c r="M514" s="326"/>
      <c r="N514" s="326"/>
      <c r="O514" s="326"/>
      <c r="P514" s="326"/>
      <c r="Q514" s="326"/>
      <c r="R514" s="326"/>
      <c r="S514" s="326"/>
      <c r="T514" s="326"/>
      <c r="U514" s="326"/>
      <c r="V514" s="326"/>
      <c r="W514" s="326"/>
      <c r="X514" s="326"/>
      <c r="Y514" s="326"/>
      <c r="Z514" s="326"/>
      <c r="AA514" s="326"/>
    </row>
    <row r="515" spans="1:27" ht="12.75">
      <c r="A515" s="326"/>
      <c r="B515" s="326"/>
      <c r="C515" s="326"/>
      <c r="D515" s="326"/>
      <c r="E515" s="326"/>
      <c r="F515" s="326"/>
      <c r="G515" s="326"/>
      <c r="H515" s="326"/>
      <c r="I515" s="326"/>
      <c r="J515" s="326"/>
      <c r="K515" s="326"/>
      <c r="L515" s="326"/>
      <c r="M515" s="326"/>
      <c r="N515" s="326"/>
      <c r="O515" s="326"/>
      <c r="P515" s="326"/>
      <c r="Q515" s="326"/>
      <c r="R515" s="326"/>
      <c r="S515" s="326"/>
      <c r="T515" s="326"/>
      <c r="U515" s="326"/>
      <c r="V515" s="326"/>
      <c r="W515" s="326"/>
      <c r="X515" s="326"/>
      <c r="Y515" s="326"/>
      <c r="Z515" s="326"/>
      <c r="AA515" s="326"/>
    </row>
    <row r="516" spans="1:27" ht="12.75">
      <c r="A516" s="326"/>
      <c r="B516" s="326"/>
      <c r="C516" s="326"/>
      <c r="D516" s="326"/>
      <c r="E516" s="326"/>
      <c r="F516" s="326"/>
      <c r="G516" s="326"/>
      <c r="H516" s="326"/>
      <c r="I516" s="326"/>
      <c r="J516" s="326"/>
      <c r="K516" s="326"/>
      <c r="L516" s="326"/>
      <c r="M516" s="326"/>
      <c r="N516" s="326"/>
      <c r="O516" s="326"/>
      <c r="P516" s="326"/>
      <c r="Q516" s="326"/>
      <c r="R516" s="326"/>
      <c r="S516" s="326"/>
      <c r="T516" s="326"/>
      <c r="U516" s="326"/>
      <c r="V516" s="326"/>
      <c r="W516" s="326"/>
      <c r="X516" s="326"/>
      <c r="Y516" s="326"/>
      <c r="Z516" s="326"/>
      <c r="AA516" s="326"/>
    </row>
    <row r="517" spans="1:27" ht="12.75">
      <c r="A517" s="326"/>
      <c r="B517" s="326"/>
      <c r="C517" s="326"/>
      <c r="D517" s="326"/>
      <c r="E517" s="326"/>
      <c r="F517" s="326"/>
      <c r="G517" s="326"/>
      <c r="H517" s="326"/>
      <c r="I517" s="326"/>
      <c r="J517" s="326"/>
      <c r="K517" s="326"/>
      <c r="L517" s="326"/>
      <c r="M517" s="326"/>
      <c r="N517" s="326"/>
      <c r="O517" s="326"/>
      <c r="P517" s="326"/>
      <c r="Q517" s="326"/>
      <c r="R517" s="326"/>
      <c r="S517" s="326"/>
      <c r="T517" s="326"/>
      <c r="U517" s="326"/>
      <c r="V517" s="326"/>
      <c r="W517" s="326"/>
      <c r="X517" s="326"/>
      <c r="Y517" s="326"/>
      <c r="Z517" s="326"/>
      <c r="AA517" s="326"/>
    </row>
    <row r="518" spans="1:27" ht="12.75">
      <c r="A518" s="326"/>
      <c r="B518" s="326"/>
      <c r="C518" s="326"/>
      <c r="D518" s="326"/>
      <c r="E518" s="326"/>
      <c r="F518" s="326"/>
      <c r="G518" s="326"/>
      <c r="H518" s="326"/>
      <c r="I518" s="326"/>
      <c r="J518" s="326"/>
      <c r="K518" s="326"/>
      <c r="L518" s="326"/>
      <c r="M518" s="326"/>
      <c r="N518" s="326"/>
      <c r="O518" s="326"/>
      <c r="P518" s="326"/>
      <c r="Q518" s="326"/>
      <c r="R518" s="326"/>
      <c r="S518" s="326"/>
      <c r="T518" s="326"/>
      <c r="U518" s="326"/>
      <c r="V518" s="326"/>
      <c r="W518" s="326"/>
      <c r="X518" s="326"/>
      <c r="Y518" s="326"/>
      <c r="Z518" s="326"/>
      <c r="AA518" s="326"/>
    </row>
    <row r="519" spans="1:27" ht="12.75">
      <c r="A519" s="326"/>
      <c r="B519" s="326"/>
      <c r="C519" s="326"/>
      <c r="D519" s="326"/>
      <c r="E519" s="326"/>
      <c r="F519" s="326"/>
      <c r="G519" s="326"/>
      <c r="H519" s="326"/>
      <c r="I519" s="326"/>
      <c r="J519" s="326"/>
      <c r="K519" s="326"/>
      <c r="L519" s="326"/>
      <c r="M519" s="326"/>
      <c r="N519" s="326"/>
      <c r="O519" s="326"/>
      <c r="P519" s="326"/>
      <c r="Q519" s="326"/>
      <c r="R519" s="326"/>
      <c r="S519" s="326"/>
      <c r="T519" s="326"/>
      <c r="U519" s="326"/>
      <c r="V519" s="326"/>
      <c r="W519" s="326"/>
      <c r="X519" s="326"/>
      <c r="Y519" s="326"/>
      <c r="Z519" s="326"/>
      <c r="AA519" s="326"/>
    </row>
    <row r="520" spans="1:27" ht="12.75">
      <c r="A520" s="326"/>
      <c r="B520" s="326"/>
      <c r="C520" s="326"/>
      <c r="D520" s="326"/>
      <c r="E520" s="326"/>
      <c r="F520" s="326"/>
      <c r="G520" s="326"/>
      <c r="H520" s="326"/>
      <c r="I520" s="326"/>
      <c r="J520" s="326"/>
      <c r="K520" s="326"/>
      <c r="L520" s="326"/>
      <c r="M520" s="326"/>
      <c r="N520" s="326"/>
      <c r="O520" s="326"/>
      <c r="P520" s="326"/>
      <c r="Q520" s="326"/>
      <c r="R520" s="326"/>
      <c r="S520" s="326"/>
      <c r="T520" s="326"/>
      <c r="U520" s="326"/>
      <c r="V520" s="326"/>
      <c r="W520" s="326"/>
      <c r="X520" s="326"/>
      <c r="Y520" s="326"/>
      <c r="Z520" s="326"/>
      <c r="AA520" s="326"/>
    </row>
    <row r="521" spans="1:27" ht="12.75">
      <c r="A521" s="326"/>
      <c r="B521" s="326"/>
      <c r="C521" s="326"/>
      <c r="D521" s="326"/>
      <c r="E521" s="326"/>
      <c r="F521" s="326"/>
      <c r="G521" s="326"/>
      <c r="H521" s="326"/>
      <c r="I521" s="326"/>
      <c r="J521" s="326"/>
      <c r="K521" s="326"/>
      <c r="L521" s="326"/>
      <c r="M521" s="326"/>
      <c r="N521" s="326"/>
      <c r="O521" s="326"/>
      <c r="P521" s="326"/>
      <c r="Q521" s="326"/>
      <c r="R521" s="326"/>
      <c r="S521" s="326"/>
      <c r="T521" s="326"/>
      <c r="U521" s="326"/>
      <c r="V521" s="326"/>
      <c r="W521" s="326"/>
      <c r="X521" s="326"/>
      <c r="Y521" s="326"/>
      <c r="Z521" s="326"/>
      <c r="AA521" s="326"/>
    </row>
    <row r="522" spans="1:27" ht="12.75">
      <c r="A522" s="326"/>
      <c r="B522" s="326"/>
      <c r="C522" s="326"/>
      <c r="D522" s="326"/>
      <c r="E522" s="326"/>
      <c r="F522" s="326"/>
      <c r="G522" s="326"/>
      <c r="H522" s="326"/>
      <c r="I522" s="326"/>
      <c r="J522" s="326"/>
      <c r="K522" s="326"/>
      <c r="L522" s="326"/>
      <c r="M522" s="326"/>
      <c r="N522" s="326"/>
      <c r="O522" s="326"/>
      <c r="P522" s="326"/>
      <c r="Q522" s="326"/>
      <c r="R522" s="326"/>
      <c r="S522" s="326"/>
      <c r="T522" s="326"/>
      <c r="U522" s="326"/>
      <c r="V522" s="326"/>
      <c r="W522" s="326"/>
      <c r="X522" s="326"/>
      <c r="Y522" s="326"/>
      <c r="Z522" s="326"/>
      <c r="AA522" s="326"/>
    </row>
    <row r="523" spans="1:27" ht="12.75">
      <c r="A523" s="326"/>
      <c r="B523" s="326"/>
      <c r="C523" s="326"/>
      <c r="D523" s="326"/>
      <c r="E523" s="326"/>
      <c r="F523" s="326"/>
      <c r="G523" s="326"/>
      <c r="H523" s="326"/>
      <c r="I523" s="326"/>
      <c r="J523" s="326"/>
      <c r="K523" s="326"/>
      <c r="L523" s="326"/>
      <c r="M523" s="326"/>
      <c r="N523" s="326"/>
      <c r="O523" s="326"/>
      <c r="P523" s="326"/>
      <c r="Q523" s="326"/>
      <c r="R523" s="326"/>
      <c r="S523" s="326"/>
      <c r="T523" s="326"/>
      <c r="U523" s="326"/>
      <c r="V523" s="326"/>
      <c r="W523" s="326"/>
      <c r="X523" s="326"/>
      <c r="Y523" s="326"/>
      <c r="Z523" s="326"/>
      <c r="AA523" s="326"/>
    </row>
    <row r="524" spans="1:27" ht="12.75">
      <c r="A524" s="326"/>
      <c r="B524" s="326"/>
      <c r="C524" s="326"/>
      <c r="D524" s="326"/>
      <c r="E524" s="326"/>
      <c r="F524" s="326"/>
      <c r="G524" s="326"/>
      <c r="H524" s="326"/>
      <c r="I524" s="326"/>
      <c r="J524" s="326"/>
      <c r="K524" s="326"/>
      <c r="L524" s="326"/>
      <c r="M524" s="326"/>
      <c r="N524" s="326"/>
      <c r="O524" s="326"/>
      <c r="P524" s="326"/>
      <c r="Q524" s="326"/>
      <c r="R524" s="326"/>
      <c r="S524" s="326"/>
      <c r="T524" s="326"/>
      <c r="U524" s="326"/>
      <c r="V524" s="326"/>
      <c r="W524" s="326"/>
      <c r="X524" s="326"/>
      <c r="Y524" s="326"/>
      <c r="Z524" s="326"/>
      <c r="AA524" s="326"/>
    </row>
    <row r="525" spans="1:27" ht="12.75">
      <c r="A525" s="326"/>
      <c r="B525" s="326"/>
      <c r="C525" s="326"/>
      <c r="D525" s="326"/>
      <c r="E525" s="326"/>
      <c r="F525" s="326"/>
      <c r="G525" s="326"/>
      <c r="H525" s="326"/>
      <c r="I525" s="326"/>
      <c r="J525" s="326"/>
      <c r="K525" s="326"/>
      <c r="L525" s="326"/>
      <c r="M525" s="326"/>
      <c r="N525" s="326"/>
      <c r="O525" s="326"/>
      <c r="P525" s="326"/>
      <c r="Q525" s="326"/>
      <c r="R525" s="326"/>
      <c r="S525" s="326"/>
      <c r="T525" s="326"/>
      <c r="U525" s="326"/>
      <c r="V525" s="326"/>
      <c r="W525" s="326"/>
      <c r="X525" s="326"/>
      <c r="Y525" s="326"/>
      <c r="Z525" s="326"/>
      <c r="AA525" s="326"/>
    </row>
    <row r="526" spans="1:27" ht="12.75">
      <c r="A526" s="326"/>
      <c r="B526" s="326"/>
      <c r="C526" s="326"/>
      <c r="D526" s="326"/>
      <c r="E526" s="326"/>
      <c r="F526" s="326"/>
      <c r="G526" s="326"/>
      <c r="H526" s="326"/>
      <c r="I526" s="326"/>
      <c r="J526" s="326"/>
      <c r="K526" s="326"/>
      <c r="L526" s="326"/>
      <c r="M526" s="326"/>
      <c r="N526" s="326"/>
      <c r="O526" s="326"/>
      <c r="P526" s="326"/>
      <c r="Q526" s="326"/>
      <c r="R526" s="326"/>
      <c r="S526" s="326"/>
      <c r="T526" s="326"/>
      <c r="U526" s="326"/>
      <c r="V526" s="326"/>
      <c r="W526" s="326"/>
      <c r="X526" s="326"/>
      <c r="Y526" s="326"/>
      <c r="Z526" s="326"/>
      <c r="AA526" s="326"/>
    </row>
    <row r="527" spans="1:27" ht="12.75">
      <c r="A527" s="326"/>
      <c r="B527" s="326"/>
      <c r="C527" s="326"/>
      <c r="D527" s="326"/>
      <c r="E527" s="326"/>
      <c r="F527" s="326"/>
      <c r="G527" s="326"/>
      <c r="H527" s="326"/>
      <c r="I527" s="326"/>
      <c r="J527" s="326"/>
      <c r="K527" s="326"/>
      <c r="L527" s="326"/>
      <c r="M527" s="326"/>
      <c r="N527" s="326"/>
      <c r="O527" s="326"/>
      <c r="P527" s="326"/>
      <c r="Q527" s="326"/>
      <c r="R527" s="326"/>
      <c r="S527" s="326"/>
      <c r="T527" s="326"/>
      <c r="U527" s="326"/>
      <c r="V527" s="326"/>
      <c r="W527" s="326"/>
      <c r="X527" s="326"/>
      <c r="Y527" s="326"/>
      <c r="Z527" s="326"/>
      <c r="AA527" s="326"/>
    </row>
    <row r="528" spans="1:27" ht="12.75">
      <c r="A528" s="326"/>
      <c r="B528" s="326"/>
      <c r="C528" s="326"/>
      <c r="D528" s="326"/>
      <c r="E528" s="326"/>
      <c r="F528" s="326"/>
      <c r="G528" s="326"/>
      <c r="H528" s="326"/>
      <c r="I528" s="326"/>
      <c r="J528" s="326"/>
      <c r="K528" s="326"/>
      <c r="L528" s="326"/>
      <c r="M528" s="326"/>
      <c r="N528" s="326"/>
      <c r="O528" s="326"/>
      <c r="P528" s="326"/>
      <c r="Q528" s="326"/>
      <c r="R528" s="326"/>
      <c r="S528" s="326"/>
      <c r="T528" s="326"/>
      <c r="U528" s="326"/>
      <c r="V528" s="326"/>
      <c r="W528" s="326"/>
      <c r="X528" s="326"/>
      <c r="Y528" s="326"/>
      <c r="Z528" s="326"/>
      <c r="AA528" s="326"/>
    </row>
    <row r="529" spans="1:27" ht="12.75">
      <c r="A529" s="326"/>
      <c r="B529" s="326"/>
      <c r="C529" s="326"/>
      <c r="D529" s="326"/>
      <c r="E529" s="326"/>
      <c r="F529" s="326"/>
      <c r="G529" s="326"/>
      <c r="H529" s="326"/>
      <c r="I529" s="326"/>
      <c r="J529" s="326"/>
      <c r="K529" s="326"/>
      <c r="L529" s="326"/>
      <c r="M529" s="326"/>
      <c r="N529" s="326"/>
      <c r="O529" s="326"/>
      <c r="P529" s="326"/>
      <c r="Q529" s="326"/>
      <c r="R529" s="326"/>
      <c r="S529" s="326"/>
      <c r="T529" s="326"/>
      <c r="U529" s="326"/>
      <c r="V529" s="326"/>
      <c r="W529" s="326"/>
      <c r="X529" s="326"/>
      <c r="Y529" s="326"/>
      <c r="Z529" s="326"/>
      <c r="AA529" s="326"/>
    </row>
    <row r="530" spans="1:27" ht="12.75">
      <c r="A530" s="326"/>
      <c r="B530" s="326"/>
      <c r="C530" s="326"/>
      <c r="D530" s="326"/>
      <c r="E530" s="326"/>
      <c r="F530" s="326"/>
      <c r="G530" s="326"/>
      <c r="H530" s="326"/>
      <c r="I530" s="326"/>
      <c r="J530" s="326"/>
      <c r="K530" s="326"/>
      <c r="L530" s="326"/>
      <c r="M530" s="326"/>
      <c r="N530" s="326"/>
      <c r="O530" s="326"/>
      <c r="P530" s="326"/>
      <c r="Q530" s="326"/>
      <c r="R530" s="326"/>
      <c r="S530" s="326"/>
      <c r="T530" s="326"/>
      <c r="U530" s="326"/>
      <c r="V530" s="326"/>
      <c r="W530" s="326"/>
      <c r="X530" s="326"/>
      <c r="Y530" s="326"/>
      <c r="Z530" s="326"/>
      <c r="AA530" s="326"/>
    </row>
    <row r="531" spans="1:27" ht="12.75">
      <c r="A531" s="326"/>
      <c r="B531" s="326"/>
      <c r="C531" s="326"/>
      <c r="D531" s="326"/>
      <c r="E531" s="326"/>
      <c r="F531" s="326"/>
      <c r="G531" s="326"/>
      <c r="H531" s="326"/>
      <c r="I531" s="326"/>
      <c r="J531" s="326"/>
      <c r="K531" s="326"/>
      <c r="L531" s="326"/>
      <c r="M531" s="326"/>
      <c r="N531" s="326"/>
      <c r="O531" s="326"/>
      <c r="P531" s="326"/>
      <c r="Q531" s="326"/>
      <c r="R531" s="326"/>
      <c r="S531" s="326"/>
      <c r="T531" s="326"/>
      <c r="U531" s="326"/>
      <c r="V531" s="326"/>
      <c r="W531" s="326"/>
      <c r="X531" s="326"/>
      <c r="Y531" s="326"/>
      <c r="Z531" s="326"/>
      <c r="AA531" s="326"/>
    </row>
    <row r="532" spans="1:27" ht="12.75">
      <c r="A532" s="326"/>
      <c r="B532" s="326"/>
      <c r="C532" s="326"/>
      <c r="D532" s="326"/>
      <c r="E532" s="326"/>
      <c r="F532" s="326"/>
      <c r="G532" s="326"/>
      <c r="H532" s="326"/>
      <c r="I532" s="326"/>
      <c r="J532" s="326"/>
      <c r="K532" s="326"/>
      <c r="L532" s="326"/>
      <c r="M532" s="326"/>
      <c r="N532" s="326"/>
      <c r="O532" s="326"/>
      <c r="P532" s="326"/>
      <c r="Q532" s="326"/>
      <c r="R532" s="326"/>
      <c r="S532" s="326"/>
      <c r="T532" s="326"/>
      <c r="U532" s="326"/>
      <c r="V532" s="326"/>
      <c r="W532" s="326"/>
      <c r="X532" s="326"/>
      <c r="Y532" s="326"/>
      <c r="Z532" s="326"/>
      <c r="AA532" s="326"/>
    </row>
    <row r="533" spans="1:27" ht="12.75">
      <c r="A533" s="326"/>
      <c r="B533" s="326"/>
      <c r="C533" s="326"/>
      <c r="D533" s="326"/>
      <c r="E533" s="326"/>
      <c r="F533" s="326"/>
      <c r="G533" s="326"/>
      <c r="H533" s="326"/>
      <c r="I533" s="326"/>
      <c r="J533" s="326"/>
      <c r="K533" s="326"/>
      <c r="L533" s="326"/>
      <c r="M533" s="326"/>
      <c r="N533" s="326"/>
      <c r="O533" s="326"/>
      <c r="P533" s="326"/>
      <c r="Q533" s="326"/>
      <c r="R533" s="326"/>
      <c r="S533" s="326"/>
      <c r="T533" s="326"/>
      <c r="U533" s="326"/>
      <c r="V533" s="326"/>
      <c r="W533" s="326"/>
      <c r="X533" s="326"/>
      <c r="Y533" s="326"/>
      <c r="Z533" s="326"/>
      <c r="AA533" s="326"/>
    </row>
    <row r="534" spans="1:27" ht="12.75">
      <c r="A534" s="326"/>
      <c r="B534" s="326"/>
      <c r="C534" s="326"/>
      <c r="D534" s="326"/>
      <c r="E534" s="326"/>
      <c r="F534" s="326"/>
      <c r="G534" s="326"/>
      <c r="H534" s="326"/>
      <c r="I534" s="326"/>
      <c r="J534" s="326"/>
      <c r="K534" s="326"/>
      <c r="L534" s="326"/>
      <c r="M534" s="326"/>
      <c r="N534" s="326"/>
      <c r="O534" s="326"/>
      <c r="P534" s="326"/>
      <c r="Q534" s="326"/>
      <c r="R534" s="326"/>
      <c r="S534" s="326"/>
      <c r="T534" s="326"/>
      <c r="U534" s="326"/>
      <c r="V534" s="326"/>
      <c r="W534" s="326"/>
      <c r="X534" s="326"/>
      <c r="Y534" s="326"/>
      <c r="Z534" s="326"/>
      <c r="AA534" s="326"/>
    </row>
    <row r="535" spans="1:27" ht="12.75">
      <c r="A535" s="326"/>
      <c r="B535" s="326"/>
      <c r="C535" s="326"/>
      <c r="D535" s="326"/>
      <c r="E535" s="326"/>
      <c r="F535" s="326"/>
      <c r="G535" s="326"/>
      <c r="H535" s="326"/>
      <c r="I535" s="326"/>
      <c r="J535" s="326"/>
      <c r="K535" s="326"/>
      <c r="L535" s="326"/>
      <c r="M535" s="326"/>
      <c r="N535" s="326"/>
      <c r="O535" s="326"/>
      <c r="P535" s="326"/>
      <c r="Q535" s="326"/>
      <c r="R535" s="326"/>
      <c r="S535" s="326"/>
      <c r="T535" s="326"/>
      <c r="U535" s="326"/>
      <c r="V535" s="326"/>
      <c r="W535" s="326"/>
      <c r="X535" s="326"/>
      <c r="Y535" s="326"/>
      <c r="Z535" s="326"/>
      <c r="AA535" s="326"/>
    </row>
    <row r="536" spans="1:27" ht="12.75">
      <c r="A536" s="326"/>
      <c r="B536" s="326"/>
      <c r="C536" s="326"/>
      <c r="D536" s="326"/>
      <c r="E536" s="326"/>
      <c r="F536" s="326"/>
      <c r="G536" s="326"/>
      <c r="H536" s="326"/>
      <c r="I536" s="326"/>
      <c r="J536" s="326"/>
      <c r="K536" s="326"/>
      <c r="L536" s="326"/>
      <c r="M536" s="326"/>
      <c r="N536" s="326"/>
      <c r="O536" s="326"/>
      <c r="P536" s="326"/>
      <c r="Q536" s="326"/>
      <c r="R536" s="326"/>
      <c r="S536" s="326"/>
      <c r="T536" s="326"/>
      <c r="U536" s="326"/>
      <c r="V536" s="326"/>
      <c r="W536" s="326"/>
      <c r="X536" s="326"/>
      <c r="Y536" s="326"/>
      <c r="Z536" s="326"/>
      <c r="AA536" s="326"/>
    </row>
    <row r="537" spans="1:27" ht="12.75">
      <c r="A537" s="326"/>
      <c r="B537" s="326"/>
      <c r="C537" s="326"/>
      <c r="D537" s="326"/>
      <c r="E537" s="326"/>
      <c r="F537" s="326"/>
      <c r="G537" s="326"/>
      <c r="H537" s="326"/>
      <c r="I537" s="326"/>
      <c r="J537" s="326"/>
      <c r="K537" s="326"/>
      <c r="L537" s="326"/>
      <c r="M537" s="326"/>
      <c r="N537" s="326"/>
      <c r="O537" s="326"/>
      <c r="P537" s="326"/>
      <c r="Q537" s="326"/>
      <c r="R537" s="326"/>
      <c r="S537" s="326"/>
      <c r="T537" s="326"/>
      <c r="U537" s="326"/>
      <c r="V537" s="326"/>
      <c r="W537" s="326"/>
      <c r="X537" s="326"/>
      <c r="Y537" s="326"/>
      <c r="Z537" s="326"/>
      <c r="AA537" s="326"/>
    </row>
    <row r="538" spans="1:27" ht="12.75">
      <c r="A538" s="326"/>
      <c r="B538" s="326"/>
      <c r="C538" s="326"/>
      <c r="D538" s="326"/>
      <c r="E538" s="326"/>
      <c r="F538" s="326"/>
      <c r="G538" s="326"/>
      <c r="H538" s="326"/>
      <c r="I538" s="326"/>
      <c r="J538" s="326"/>
      <c r="K538" s="326"/>
      <c r="L538" s="326"/>
      <c r="M538" s="326"/>
      <c r="N538" s="326"/>
      <c r="O538" s="326"/>
      <c r="P538" s="326"/>
      <c r="Q538" s="326"/>
      <c r="R538" s="326"/>
      <c r="S538" s="326"/>
      <c r="T538" s="326"/>
      <c r="U538" s="326"/>
      <c r="V538" s="326"/>
      <c r="W538" s="326"/>
      <c r="X538" s="326"/>
      <c r="Y538" s="326"/>
      <c r="Z538" s="326"/>
      <c r="AA538" s="326"/>
    </row>
    <row r="539" spans="1:27" ht="12.75">
      <c r="A539" s="326"/>
      <c r="B539" s="326"/>
      <c r="C539" s="326"/>
      <c r="D539" s="326"/>
      <c r="E539" s="326"/>
      <c r="F539" s="326"/>
      <c r="G539" s="326"/>
      <c r="H539" s="326"/>
      <c r="I539" s="326"/>
      <c r="J539" s="326"/>
      <c r="K539" s="326"/>
      <c r="L539" s="326"/>
      <c r="M539" s="326"/>
      <c r="N539" s="326"/>
      <c r="O539" s="326"/>
      <c r="P539" s="326"/>
      <c r="Q539" s="326"/>
      <c r="R539" s="326"/>
      <c r="S539" s="326"/>
      <c r="T539" s="326"/>
      <c r="U539" s="326"/>
      <c r="V539" s="326"/>
      <c r="W539" s="326"/>
      <c r="X539" s="326"/>
      <c r="Y539" s="326"/>
      <c r="Z539" s="326"/>
      <c r="AA539" s="326"/>
    </row>
    <row r="540" spans="1:27" ht="12.75">
      <c r="A540" s="326"/>
      <c r="B540" s="326"/>
      <c r="C540" s="326"/>
      <c r="D540" s="326"/>
      <c r="E540" s="326"/>
      <c r="F540" s="326"/>
      <c r="G540" s="326"/>
      <c r="H540" s="326"/>
      <c r="I540" s="326"/>
      <c r="J540" s="326"/>
      <c r="K540" s="326"/>
      <c r="L540" s="326"/>
      <c r="M540" s="326"/>
      <c r="N540" s="326"/>
      <c r="O540" s="326"/>
      <c r="P540" s="326"/>
      <c r="Q540" s="326"/>
      <c r="R540" s="326"/>
      <c r="S540" s="326"/>
      <c r="T540" s="326"/>
      <c r="U540" s="326"/>
      <c r="V540" s="326"/>
      <c r="W540" s="326"/>
      <c r="X540" s="326"/>
      <c r="Y540" s="326"/>
      <c r="Z540" s="326"/>
      <c r="AA540" s="326"/>
    </row>
    <row r="541" spans="1:27" ht="12.75">
      <c r="A541" s="326"/>
      <c r="B541" s="326"/>
      <c r="C541" s="326"/>
      <c r="D541" s="326"/>
      <c r="E541" s="326"/>
      <c r="F541" s="326"/>
      <c r="G541" s="326"/>
      <c r="H541" s="326"/>
      <c r="I541" s="326"/>
      <c r="J541" s="326"/>
      <c r="K541" s="326"/>
      <c r="L541" s="326"/>
      <c r="M541" s="326"/>
      <c r="N541" s="326"/>
      <c r="O541" s="326"/>
      <c r="P541" s="326"/>
      <c r="Q541" s="326"/>
      <c r="R541" s="326"/>
      <c r="S541" s="326"/>
      <c r="T541" s="326"/>
      <c r="U541" s="326"/>
      <c r="V541" s="326"/>
      <c r="W541" s="326"/>
      <c r="X541" s="326"/>
      <c r="Y541" s="326"/>
      <c r="Z541" s="326"/>
      <c r="AA541" s="326"/>
    </row>
    <row r="542" spans="1:27" ht="12.75">
      <c r="A542" s="326"/>
      <c r="B542" s="326"/>
      <c r="C542" s="326"/>
      <c r="D542" s="326"/>
      <c r="E542" s="326"/>
      <c r="F542" s="326"/>
      <c r="G542" s="326"/>
      <c r="H542" s="326"/>
      <c r="I542" s="326"/>
      <c r="J542" s="326"/>
      <c r="K542" s="326"/>
      <c r="L542" s="326"/>
      <c r="M542" s="326"/>
      <c r="N542" s="326"/>
      <c r="O542" s="326"/>
      <c r="P542" s="326"/>
      <c r="Q542" s="326"/>
      <c r="R542" s="326"/>
      <c r="S542" s="326"/>
      <c r="T542" s="326"/>
      <c r="U542" s="326"/>
      <c r="V542" s="326"/>
      <c r="W542" s="326"/>
      <c r="X542" s="326"/>
      <c r="Y542" s="326"/>
      <c r="Z542" s="326"/>
      <c r="AA542" s="326"/>
    </row>
    <row r="543" spans="1:27" ht="12.75">
      <c r="A543" s="326"/>
      <c r="B543" s="326"/>
      <c r="C543" s="326"/>
      <c r="D543" s="326"/>
      <c r="E543" s="326"/>
      <c r="F543" s="326"/>
      <c r="G543" s="326"/>
      <c r="H543" s="326"/>
      <c r="I543" s="326"/>
      <c r="J543" s="326"/>
      <c r="K543" s="326"/>
      <c r="L543" s="326"/>
      <c r="M543" s="326"/>
      <c r="N543" s="326"/>
      <c r="O543" s="326"/>
      <c r="P543" s="326"/>
      <c r="Q543" s="326"/>
      <c r="R543" s="326"/>
      <c r="S543" s="326"/>
      <c r="T543" s="326"/>
      <c r="U543" s="326"/>
      <c r="V543" s="326"/>
      <c r="W543" s="326"/>
      <c r="X543" s="326"/>
      <c r="Y543" s="326"/>
      <c r="Z543" s="326"/>
      <c r="AA543" s="326"/>
    </row>
    <row r="544" spans="1:27" ht="12.75">
      <c r="A544" s="326"/>
      <c r="B544" s="326"/>
      <c r="C544" s="326"/>
      <c r="D544" s="326"/>
      <c r="E544" s="326"/>
      <c r="F544" s="326"/>
      <c r="G544" s="326"/>
      <c r="H544" s="326"/>
      <c r="I544" s="326"/>
      <c r="J544" s="326"/>
      <c r="K544" s="326"/>
      <c r="L544" s="326"/>
      <c r="M544" s="326"/>
      <c r="N544" s="326"/>
      <c r="O544" s="326"/>
      <c r="P544" s="326"/>
      <c r="Q544" s="326"/>
      <c r="R544" s="326"/>
      <c r="S544" s="326"/>
      <c r="T544" s="326"/>
      <c r="U544" s="326"/>
      <c r="V544" s="326"/>
      <c r="W544" s="326"/>
      <c r="X544" s="326"/>
      <c r="Y544" s="326"/>
      <c r="Z544" s="326"/>
      <c r="AA544" s="326"/>
    </row>
    <row r="545" spans="1:27" ht="12.75">
      <c r="A545" s="326"/>
      <c r="B545" s="326"/>
      <c r="C545" s="326"/>
      <c r="D545" s="326"/>
      <c r="E545" s="326"/>
      <c r="F545" s="326"/>
      <c r="G545" s="326"/>
      <c r="H545" s="326"/>
      <c r="I545" s="326"/>
      <c r="J545" s="326"/>
      <c r="K545" s="326"/>
      <c r="L545" s="326"/>
      <c r="M545" s="326"/>
      <c r="N545" s="326"/>
      <c r="O545" s="326"/>
      <c r="P545" s="326"/>
      <c r="Q545" s="326"/>
      <c r="R545" s="326"/>
      <c r="S545" s="326"/>
      <c r="T545" s="326"/>
      <c r="U545" s="326"/>
      <c r="V545" s="326"/>
      <c r="W545" s="326"/>
      <c r="X545" s="326"/>
      <c r="Y545" s="326"/>
      <c r="Z545" s="326"/>
      <c r="AA545" s="326"/>
    </row>
    <row r="546" spans="1:27" ht="12.75">
      <c r="A546" s="326"/>
      <c r="B546" s="326"/>
      <c r="C546" s="326"/>
      <c r="D546" s="326"/>
      <c r="E546" s="326"/>
      <c r="F546" s="326"/>
      <c r="G546" s="326"/>
      <c r="H546" s="326"/>
      <c r="I546" s="326"/>
      <c r="J546" s="326"/>
      <c r="K546" s="326"/>
      <c r="L546" s="326"/>
      <c r="M546" s="326"/>
      <c r="N546" s="326"/>
      <c r="O546" s="326"/>
      <c r="P546" s="326"/>
      <c r="Q546" s="326"/>
      <c r="R546" s="326"/>
      <c r="S546" s="326"/>
      <c r="T546" s="326"/>
      <c r="U546" s="326"/>
      <c r="V546" s="326"/>
      <c r="W546" s="326"/>
      <c r="X546" s="326"/>
      <c r="Y546" s="326"/>
      <c r="Z546" s="326"/>
      <c r="AA546" s="326"/>
    </row>
    <row r="547" spans="1:27" ht="12.75">
      <c r="A547" s="326"/>
      <c r="B547" s="326"/>
      <c r="C547" s="326"/>
      <c r="D547" s="326"/>
      <c r="E547" s="326"/>
      <c r="F547" s="326"/>
      <c r="G547" s="326"/>
      <c r="H547" s="326"/>
      <c r="I547" s="326"/>
      <c r="J547" s="326"/>
      <c r="K547" s="326"/>
      <c r="L547" s="326"/>
      <c r="M547" s="326"/>
      <c r="N547" s="326"/>
      <c r="O547" s="326"/>
      <c r="P547" s="326"/>
      <c r="Q547" s="326"/>
      <c r="R547" s="326"/>
      <c r="S547" s="326"/>
      <c r="T547" s="326"/>
      <c r="U547" s="326"/>
      <c r="V547" s="326"/>
      <c r="W547" s="326"/>
      <c r="X547" s="326"/>
      <c r="Y547" s="326"/>
      <c r="Z547" s="326"/>
      <c r="AA547" s="326"/>
    </row>
    <row r="548" spans="1:27" ht="12.75">
      <c r="A548" s="326"/>
      <c r="B548" s="326"/>
      <c r="C548" s="326"/>
      <c r="D548" s="326"/>
      <c r="E548" s="326"/>
      <c r="F548" s="326"/>
      <c r="G548" s="326"/>
      <c r="H548" s="326"/>
      <c r="I548" s="326"/>
      <c r="J548" s="326"/>
      <c r="K548" s="326"/>
      <c r="L548" s="326"/>
      <c r="M548" s="326"/>
      <c r="N548" s="326"/>
      <c r="O548" s="326"/>
      <c r="P548" s="326"/>
      <c r="Q548" s="326"/>
      <c r="R548" s="326"/>
      <c r="S548" s="326"/>
      <c r="T548" s="326"/>
      <c r="U548" s="326"/>
      <c r="V548" s="326"/>
      <c r="W548" s="326"/>
      <c r="X548" s="326"/>
      <c r="Y548" s="326"/>
      <c r="Z548" s="326"/>
      <c r="AA548" s="326"/>
    </row>
    <row r="549" spans="1:27" ht="12.75">
      <c r="A549" s="326"/>
      <c r="B549" s="326"/>
      <c r="C549" s="326"/>
      <c r="D549" s="326"/>
      <c r="E549" s="326"/>
      <c r="F549" s="326"/>
      <c r="G549" s="326"/>
      <c r="H549" s="326"/>
      <c r="I549" s="326"/>
      <c r="J549" s="326"/>
      <c r="K549" s="326"/>
      <c r="L549" s="326"/>
      <c r="M549" s="326"/>
      <c r="N549" s="326"/>
      <c r="O549" s="326"/>
      <c r="P549" s="326"/>
      <c r="Q549" s="326"/>
      <c r="R549" s="326"/>
      <c r="S549" s="326"/>
      <c r="T549" s="326"/>
      <c r="U549" s="326"/>
      <c r="V549" s="326"/>
      <c r="W549" s="326"/>
      <c r="X549" s="326"/>
      <c r="Y549" s="326"/>
      <c r="Z549" s="326"/>
      <c r="AA549" s="326"/>
    </row>
    <row r="550" spans="1:27" ht="12.75">
      <c r="A550" s="326"/>
      <c r="B550" s="326"/>
      <c r="C550" s="326"/>
      <c r="D550" s="326"/>
      <c r="E550" s="326"/>
      <c r="F550" s="326"/>
      <c r="G550" s="326"/>
      <c r="H550" s="326"/>
      <c r="I550" s="326"/>
      <c r="J550" s="326"/>
      <c r="K550" s="326"/>
      <c r="L550" s="326"/>
      <c r="M550" s="326"/>
      <c r="N550" s="326"/>
      <c r="O550" s="326"/>
      <c r="P550" s="326"/>
      <c r="Q550" s="326"/>
      <c r="R550" s="326"/>
      <c r="S550" s="326"/>
      <c r="T550" s="326"/>
      <c r="U550" s="326"/>
      <c r="V550" s="326"/>
      <c r="W550" s="326"/>
      <c r="X550" s="326"/>
      <c r="Y550" s="326"/>
      <c r="Z550" s="326"/>
      <c r="AA550" s="326"/>
    </row>
    <row r="551" spans="1:27" ht="12.75">
      <c r="A551" s="326"/>
      <c r="B551" s="326"/>
      <c r="C551" s="326"/>
      <c r="D551" s="326"/>
      <c r="E551" s="326"/>
      <c r="F551" s="326"/>
      <c r="G551" s="326"/>
      <c r="H551" s="326"/>
      <c r="I551" s="326"/>
      <c r="J551" s="326"/>
      <c r="K551" s="326"/>
      <c r="L551" s="326"/>
      <c r="M551" s="326"/>
      <c r="N551" s="326"/>
      <c r="O551" s="326"/>
      <c r="P551" s="326"/>
      <c r="Q551" s="326"/>
      <c r="R551" s="326"/>
      <c r="S551" s="326"/>
      <c r="T551" s="326"/>
      <c r="U551" s="326"/>
      <c r="V551" s="326"/>
      <c r="W551" s="326"/>
      <c r="X551" s="326"/>
      <c r="Y551" s="326"/>
      <c r="Z551" s="326"/>
      <c r="AA551" s="326"/>
    </row>
    <row r="552" spans="1:27" ht="12.75">
      <c r="A552" s="326"/>
      <c r="B552" s="326"/>
      <c r="C552" s="326"/>
      <c r="D552" s="326"/>
      <c r="E552" s="326"/>
      <c r="F552" s="326"/>
      <c r="G552" s="326"/>
      <c r="H552" s="326"/>
      <c r="I552" s="326"/>
      <c r="J552" s="326"/>
      <c r="K552" s="326"/>
      <c r="L552" s="326"/>
      <c r="M552" s="326"/>
      <c r="N552" s="326"/>
      <c r="O552" s="326"/>
      <c r="P552" s="326"/>
      <c r="Q552" s="326"/>
      <c r="R552" s="326"/>
      <c r="S552" s="326"/>
      <c r="T552" s="326"/>
      <c r="U552" s="326"/>
      <c r="V552" s="326"/>
      <c r="W552" s="326"/>
      <c r="X552" s="326"/>
      <c r="Y552" s="326"/>
      <c r="Z552" s="326"/>
      <c r="AA552" s="326"/>
    </row>
    <row r="553" spans="1:27" ht="12.75">
      <c r="A553" s="326"/>
      <c r="B553" s="326"/>
      <c r="C553" s="326"/>
      <c r="D553" s="326"/>
      <c r="E553" s="326"/>
      <c r="F553" s="326"/>
      <c r="G553" s="326"/>
      <c r="H553" s="326"/>
      <c r="I553" s="326"/>
      <c r="J553" s="326"/>
      <c r="K553" s="326"/>
      <c r="L553" s="326"/>
      <c r="M553" s="326"/>
      <c r="N553" s="326"/>
      <c r="O553" s="326"/>
      <c r="P553" s="326"/>
      <c r="Q553" s="326"/>
      <c r="R553" s="326"/>
      <c r="S553" s="326"/>
      <c r="T553" s="326"/>
      <c r="U553" s="326"/>
      <c r="V553" s="326"/>
      <c r="W553" s="326"/>
      <c r="X553" s="326"/>
      <c r="Y553" s="326"/>
      <c r="Z553" s="326"/>
      <c r="AA553" s="326"/>
    </row>
    <row r="554" spans="1:27" ht="12.75">
      <c r="A554" s="326"/>
      <c r="B554" s="326"/>
      <c r="C554" s="326"/>
      <c r="D554" s="326"/>
      <c r="E554" s="326"/>
      <c r="F554" s="326"/>
      <c r="G554" s="326"/>
      <c r="H554" s="326"/>
      <c r="I554" s="326"/>
      <c r="J554" s="326"/>
      <c r="K554" s="326"/>
      <c r="L554" s="326"/>
      <c r="M554" s="326"/>
      <c r="N554" s="326"/>
      <c r="O554" s="326"/>
      <c r="P554" s="326"/>
      <c r="Q554" s="326"/>
      <c r="R554" s="326"/>
      <c r="S554" s="326"/>
      <c r="T554" s="326"/>
      <c r="U554" s="326"/>
      <c r="V554" s="326"/>
      <c r="W554" s="326"/>
      <c r="X554" s="326"/>
      <c r="Y554" s="326"/>
      <c r="Z554" s="326"/>
      <c r="AA554" s="326"/>
    </row>
    <row r="555" spans="1:27" ht="12.75">
      <c r="A555" s="326"/>
      <c r="B555" s="326"/>
      <c r="C555" s="326"/>
      <c r="D555" s="326"/>
      <c r="E555" s="326"/>
      <c r="F555" s="326"/>
      <c r="G555" s="326"/>
      <c r="H555" s="326"/>
      <c r="I555" s="326"/>
      <c r="J555" s="326"/>
      <c r="K555" s="326"/>
      <c r="L555" s="326"/>
      <c r="M555" s="326"/>
      <c r="N555" s="326"/>
      <c r="O555" s="326"/>
      <c r="P555" s="326"/>
      <c r="Q555" s="326"/>
      <c r="R555" s="326"/>
      <c r="S555" s="326"/>
      <c r="T555" s="326"/>
      <c r="U555" s="326"/>
      <c r="V555" s="326"/>
      <c r="W555" s="326"/>
      <c r="X555" s="326"/>
      <c r="Y555" s="326"/>
      <c r="Z555" s="326"/>
      <c r="AA555" s="326"/>
    </row>
    <row r="556" spans="1:27" ht="12.75">
      <c r="A556" s="326"/>
      <c r="B556" s="326"/>
      <c r="C556" s="326"/>
      <c r="D556" s="326"/>
      <c r="E556" s="326"/>
      <c r="F556" s="326"/>
      <c r="G556" s="326"/>
      <c r="H556" s="326"/>
      <c r="I556" s="326"/>
      <c r="J556" s="326"/>
      <c r="K556" s="326"/>
      <c r="L556" s="326"/>
      <c r="M556" s="326"/>
      <c r="N556" s="326"/>
      <c r="O556" s="326"/>
      <c r="P556" s="326"/>
      <c r="Q556" s="326"/>
      <c r="R556" s="326"/>
      <c r="S556" s="326"/>
      <c r="T556" s="326"/>
      <c r="U556" s="326"/>
      <c r="V556" s="326"/>
      <c r="W556" s="326"/>
      <c r="X556" s="326"/>
      <c r="Y556" s="326"/>
      <c r="Z556" s="326"/>
      <c r="AA556" s="326"/>
    </row>
    <row r="557" spans="1:27" ht="12.75">
      <c r="A557" s="326"/>
      <c r="B557" s="326"/>
      <c r="C557" s="326"/>
      <c r="D557" s="326"/>
      <c r="E557" s="326"/>
      <c r="F557" s="326"/>
      <c r="G557" s="326"/>
      <c r="H557" s="326"/>
      <c r="I557" s="326"/>
      <c r="J557" s="326"/>
      <c r="K557" s="326"/>
      <c r="L557" s="326"/>
      <c r="M557" s="326"/>
      <c r="N557" s="326"/>
      <c r="O557" s="326"/>
      <c r="P557" s="326"/>
      <c r="Q557" s="326"/>
      <c r="R557" s="326"/>
      <c r="S557" s="326"/>
      <c r="T557" s="326"/>
      <c r="U557" s="326"/>
      <c r="V557" s="326"/>
      <c r="W557" s="326"/>
      <c r="X557" s="326"/>
      <c r="Y557" s="326"/>
      <c r="Z557" s="326"/>
      <c r="AA557" s="326"/>
    </row>
    <row r="558" spans="1:27" ht="12.75">
      <c r="A558" s="326"/>
      <c r="B558" s="326"/>
      <c r="C558" s="326"/>
      <c r="D558" s="326"/>
      <c r="E558" s="326"/>
      <c r="F558" s="326"/>
      <c r="G558" s="326"/>
      <c r="H558" s="326"/>
      <c r="I558" s="326"/>
      <c r="J558" s="326"/>
      <c r="K558" s="326"/>
      <c r="L558" s="326"/>
      <c r="M558" s="326"/>
      <c r="N558" s="326"/>
      <c r="O558" s="326"/>
      <c r="P558" s="326"/>
      <c r="Q558" s="326"/>
      <c r="R558" s="326"/>
      <c r="S558" s="326"/>
      <c r="T558" s="326"/>
      <c r="U558" s="326"/>
      <c r="V558" s="326"/>
      <c r="W558" s="326"/>
      <c r="X558" s="326"/>
      <c r="Y558" s="326"/>
      <c r="Z558" s="326"/>
      <c r="AA558" s="326"/>
    </row>
    <row r="559" spans="1:27" ht="12.75">
      <c r="A559" s="326"/>
      <c r="B559" s="326"/>
      <c r="C559" s="326"/>
      <c r="D559" s="326"/>
      <c r="E559" s="326"/>
      <c r="F559" s="326"/>
      <c r="G559" s="326"/>
      <c r="H559" s="326"/>
      <c r="I559" s="326"/>
      <c r="J559" s="326"/>
      <c r="K559" s="326"/>
      <c r="L559" s="326"/>
      <c r="M559" s="326"/>
      <c r="N559" s="326"/>
      <c r="O559" s="326"/>
      <c r="P559" s="326"/>
      <c r="Q559" s="326"/>
      <c r="R559" s="326"/>
      <c r="S559" s="326"/>
      <c r="T559" s="326"/>
      <c r="U559" s="326"/>
      <c r="V559" s="326"/>
      <c r="W559" s="326"/>
      <c r="X559" s="326"/>
      <c r="Y559" s="326"/>
      <c r="Z559" s="326"/>
      <c r="AA559" s="326"/>
    </row>
    <row r="560" spans="1:27" ht="12.75">
      <c r="A560" s="326"/>
      <c r="B560" s="326"/>
      <c r="C560" s="326"/>
      <c r="D560" s="326"/>
      <c r="E560" s="326"/>
      <c r="F560" s="326"/>
      <c r="G560" s="326"/>
      <c r="H560" s="326"/>
      <c r="I560" s="326"/>
      <c r="J560" s="326"/>
      <c r="K560" s="326"/>
      <c r="L560" s="326"/>
      <c r="M560" s="326"/>
      <c r="N560" s="326"/>
      <c r="O560" s="326"/>
      <c r="P560" s="326"/>
      <c r="Q560" s="326"/>
      <c r="R560" s="326"/>
      <c r="S560" s="326"/>
      <c r="T560" s="326"/>
      <c r="U560" s="326"/>
      <c r="V560" s="326"/>
      <c r="W560" s="326"/>
      <c r="X560" s="326"/>
      <c r="Y560" s="326"/>
      <c r="Z560" s="326"/>
      <c r="AA560" s="326"/>
    </row>
    <row r="561" spans="1:27" ht="12.75">
      <c r="A561" s="326"/>
      <c r="B561" s="326"/>
      <c r="C561" s="326"/>
      <c r="D561" s="326"/>
      <c r="E561" s="326"/>
      <c r="F561" s="326"/>
      <c r="G561" s="326"/>
      <c r="H561" s="326"/>
      <c r="I561" s="326"/>
      <c r="J561" s="326"/>
      <c r="K561" s="326"/>
      <c r="L561" s="326"/>
      <c r="M561" s="326"/>
      <c r="N561" s="326"/>
      <c r="O561" s="326"/>
      <c r="P561" s="326"/>
      <c r="Q561" s="326"/>
      <c r="R561" s="326"/>
      <c r="S561" s="326"/>
      <c r="T561" s="326"/>
      <c r="U561" s="326"/>
      <c r="V561" s="326"/>
      <c r="W561" s="326"/>
      <c r="X561" s="326"/>
      <c r="Y561" s="326"/>
      <c r="Z561" s="326"/>
      <c r="AA561" s="326"/>
    </row>
    <row r="562" spans="1:27" ht="12.75">
      <c r="A562" s="326"/>
      <c r="B562" s="326"/>
      <c r="C562" s="326"/>
      <c r="D562" s="326"/>
      <c r="E562" s="326"/>
      <c r="F562" s="326"/>
      <c r="G562" s="326"/>
      <c r="H562" s="326"/>
      <c r="I562" s="326"/>
      <c r="J562" s="326"/>
      <c r="K562" s="326"/>
      <c r="L562" s="326"/>
      <c r="M562" s="326"/>
      <c r="N562" s="326"/>
      <c r="O562" s="326"/>
      <c r="P562" s="326"/>
      <c r="Q562" s="326"/>
      <c r="R562" s="326"/>
      <c r="S562" s="326"/>
      <c r="T562" s="326"/>
      <c r="U562" s="326"/>
      <c r="V562" s="326"/>
      <c r="W562" s="326"/>
      <c r="X562" s="326"/>
      <c r="Y562" s="326"/>
      <c r="Z562" s="326"/>
      <c r="AA562" s="326"/>
    </row>
    <row r="563" spans="1:27" ht="12.75">
      <c r="A563" s="326"/>
      <c r="B563" s="326"/>
      <c r="C563" s="326"/>
      <c r="D563" s="326"/>
      <c r="E563" s="326"/>
      <c r="F563" s="326"/>
      <c r="G563" s="326"/>
      <c r="H563" s="326"/>
      <c r="I563" s="326"/>
      <c r="J563" s="326"/>
      <c r="K563" s="326"/>
      <c r="L563" s="326"/>
      <c r="M563" s="326"/>
      <c r="N563" s="326"/>
      <c r="O563" s="326"/>
      <c r="P563" s="326"/>
      <c r="Q563" s="326"/>
      <c r="R563" s="326"/>
      <c r="S563" s="326"/>
      <c r="T563" s="326"/>
      <c r="U563" s="326"/>
      <c r="V563" s="326"/>
      <c r="W563" s="326"/>
      <c r="X563" s="326"/>
      <c r="Y563" s="326"/>
      <c r="Z563" s="326"/>
      <c r="AA563" s="326"/>
    </row>
    <row r="564" spans="1:27" ht="12.75">
      <c r="A564" s="326"/>
      <c r="B564" s="326"/>
      <c r="C564" s="326"/>
      <c r="D564" s="326"/>
      <c r="E564" s="326"/>
      <c r="F564" s="326"/>
      <c r="G564" s="326"/>
      <c r="H564" s="326"/>
      <c r="I564" s="326"/>
      <c r="J564" s="326"/>
      <c r="K564" s="326"/>
      <c r="L564" s="326"/>
      <c r="M564" s="326"/>
      <c r="N564" s="326"/>
      <c r="O564" s="326"/>
      <c r="P564" s="326"/>
      <c r="Q564" s="326"/>
      <c r="R564" s="326"/>
      <c r="S564" s="326"/>
      <c r="T564" s="326"/>
      <c r="U564" s="326"/>
      <c r="V564" s="326"/>
      <c r="W564" s="326"/>
      <c r="X564" s="326"/>
      <c r="Y564" s="326"/>
      <c r="Z564" s="326"/>
      <c r="AA564" s="326"/>
    </row>
    <row r="565" spans="1:27" ht="12.75">
      <c r="A565" s="326"/>
      <c r="B565" s="326"/>
      <c r="C565" s="326"/>
      <c r="D565" s="326"/>
      <c r="E565" s="326"/>
      <c r="F565" s="326"/>
      <c r="G565" s="326"/>
      <c r="H565" s="326"/>
      <c r="I565" s="326"/>
      <c r="J565" s="326"/>
      <c r="K565" s="326"/>
      <c r="L565" s="326"/>
      <c r="M565" s="326"/>
      <c r="N565" s="326"/>
      <c r="O565" s="326"/>
      <c r="P565" s="326"/>
      <c r="Q565" s="326"/>
      <c r="R565" s="326"/>
      <c r="S565" s="326"/>
      <c r="T565" s="326"/>
      <c r="U565" s="326"/>
      <c r="V565" s="326"/>
      <c r="W565" s="326"/>
      <c r="X565" s="326"/>
      <c r="Y565" s="326"/>
      <c r="Z565" s="326"/>
      <c r="AA565" s="326"/>
    </row>
    <row r="566" spans="1:27" ht="12.75">
      <c r="A566" s="326"/>
      <c r="B566" s="326"/>
      <c r="C566" s="326"/>
      <c r="D566" s="326"/>
      <c r="E566" s="326"/>
      <c r="F566" s="326"/>
      <c r="G566" s="326"/>
      <c r="H566" s="326"/>
      <c r="I566" s="326"/>
      <c r="J566" s="326"/>
      <c r="K566" s="326"/>
      <c r="L566" s="326"/>
      <c r="M566" s="326"/>
      <c r="N566" s="326"/>
      <c r="O566" s="326"/>
      <c r="P566" s="326"/>
      <c r="Q566" s="326"/>
      <c r="R566" s="326"/>
      <c r="S566" s="326"/>
      <c r="T566" s="326"/>
      <c r="U566" s="326"/>
      <c r="V566" s="326"/>
      <c r="W566" s="326"/>
      <c r="X566" s="326"/>
      <c r="Y566" s="326"/>
      <c r="Z566" s="326"/>
      <c r="AA566" s="326"/>
    </row>
    <row r="567" spans="1:27" ht="12.75">
      <c r="A567" s="326"/>
      <c r="B567" s="326"/>
      <c r="C567" s="326"/>
      <c r="D567" s="326"/>
      <c r="E567" s="326"/>
      <c r="F567" s="326"/>
      <c r="G567" s="326"/>
      <c r="H567" s="326"/>
      <c r="I567" s="326"/>
      <c r="J567" s="326"/>
      <c r="K567" s="326"/>
      <c r="L567" s="326"/>
      <c r="M567" s="326"/>
      <c r="N567" s="326"/>
      <c r="O567" s="326"/>
      <c r="P567" s="326"/>
      <c r="Q567" s="326"/>
      <c r="R567" s="326"/>
      <c r="S567" s="326"/>
      <c r="T567" s="326"/>
      <c r="U567" s="326"/>
      <c r="V567" s="326"/>
      <c r="W567" s="326"/>
      <c r="X567" s="326"/>
      <c r="Y567" s="326"/>
      <c r="Z567" s="326"/>
      <c r="AA567" s="326"/>
    </row>
    <row r="568" spans="1:27" ht="12.75">
      <c r="A568" s="326"/>
      <c r="B568" s="326"/>
      <c r="C568" s="326"/>
      <c r="D568" s="326"/>
      <c r="E568" s="326"/>
      <c r="F568" s="326"/>
      <c r="G568" s="326"/>
      <c r="H568" s="326"/>
      <c r="I568" s="326"/>
      <c r="J568" s="326"/>
      <c r="K568" s="326"/>
      <c r="L568" s="326"/>
      <c r="M568" s="326"/>
      <c r="N568" s="326"/>
      <c r="O568" s="326"/>
      <c r="P568" s="326"/>
      <c r="Q568" s="326"/>
      <c r="R568" s="326"/>
      <c r="S568" s="326"/>
      <c r="T568" s="326"/>
      <c r="U568" s="326"/>
      <c r="V568" s="326"/>
      <c r="W568" s="326"/>
      <c r="X568" s="326"/>
      <c r="Y568" s="326"/>
      <c r="Z568" s="326"/>
      <c r="AA568" s="326"/>
    </row>
    <row r="569" spans="1:27" ht="12.75">
      <c r="A569" s="326"/>
      <c r="B569" s="326"/>
      <c r="C569" s="326"/>
      <c r="D569" s="326"/>
      <c r="E569" s="326"/>
      <c r="F569" s="326"/>
      <c r="G569" s="326"/>
      <c r="H569" s="326"/>
      <c r="I569" s="326"/>
      <c r="J569" s="326"/>
      <c r="K569" s="326"/>
      <c r="L569" s="326"/>
      <c r="M569" s="326"/>
      <c r="N569" s="326"/>
      <c r="O569" s="326"/>
      <c r="P569" s="326"/>
      <c r="Q569" s="326"/>
      <c r="R569" s="326"/>
      <c r="S569" s="326"/>
      <c r="T569" s="326"/>
      <c r="U569" s="326"/>
      <c r="V569" s="326"/>
      <c r="W569" s="326"/>
      <c r="X569" s="326"/>
      <c r="Y569" s="326"/>
      <c r="Z569" s="326"/>
      <c r="AA569" s="326"/>
    </row>
    <row r="570" spans="1:27" ht="12.75">
      <c r="A570" s="326"/>
      <c r="B570" s="326"/>
      <c r="C570" s="326"/>
      <c r="D570" s="326"/>
      <c r="E570" s="326"/>
      <c r="F570" s="326"/>
      <c r="G570" s="326"/>
      <c r="H570" s="326"/>
      <c r="I570" s="326"/>
      <c r="J570" s="326"/>
      <c r="K570" s="326"/>
      <c r="L570" s="326"/>
      <c r="M570" s="326"/>
      <c r="N570" s="326"/>
      <c r="O570" s="326"/>
      <c r="P570" s="326"/>
      <c r="Q570" s="326"/>
      <c r="R570" s="326"/>
      <c r="S570" s="326"/>
      <c r="T570" s="326"/>
      <c r="U570" s="326"/>
      <c r="V570" s="326"/>
      <c r="W570" s="326"/>
      <c r="X570" s="326"/>
      <c r="Y570" s="326"/>
      <c r="Z570" s="326"/>
      <c r="AA570" s="326"/>
    </row>
    <row r="571" spans="1:27" ht="12.75">
      <c r="A571" s="326"/>
      <c r="B571" s="326"/>
      <c r="C571" s="326"/>
      <c r="D571" s="326"/>
      <c r="E571" s="326"/>
      <c r="F571" s="326"/>
      <c r="G571" s="326"/>
      <c r="H571" s="326"/>
      <c r="I571" s="326"/>
      <c r="J571" s="326"/>
      <c r="K571" s="326"/>
      <c r="L571" s="326"/>
      <c r="M571" s="326"/>
      <c r="N571" s="326"/>
      <c r="O571" s="326"/>
      <c r="P571" s="326"/>
      <c r="Q571" s="326"/>
      <c r="R571" s="326"/>
      <c r="S571" s="326"/>
      <c r="T571" s="326"/>
      <c r="U571" s="326"/>
      <c r="V571" s="326"/>
      <c r="W571" s="326"/>
      <c r="X571" s="326"/>
      <c r="Y571" s="326"/>
      <c r="Z571" s="326"/>
      <c r="AA571" s="326"/>
    </row>
    <row r="572" spans="1:27" ht="12.75">
      <c r="A572" s="326"/>
      <c r="B572" s="326"/>
      <c r="C572" s="326"/>
      <c r="D572" s="326"/>
      <c r="E572" s="326"/>
      <c r="F572" s="326"/>
      <c r="G572" s="326"/>
      <c r="H572" s="326"/>
      <c r="I572" s="326"/>
      <c r="J572" s="326"/>
      <c r="K572" s="326"/>
      <c r="L572" s="326"/>
      <c r="M572" s="326"/>
      <c r="N572" s="326"/>
      <c r="O572" s="326"/>
      <c r="P572" s="326"/>
      <c r="Q572" s="326"/>
      <c r="R572" s="326"/>
      <c r="S572" s="326"/>
      <c r="T572" s="326"/>
      <c r="U572" s="326"/>
      <c r="V572" s="326"/>
      <c r="W572" s="326"/>
      <c r="X572" s="326"/>
      <c r="Y572" s="326"/>
      <c r="Z572" s="326"/>
      <c r="AA572" s="326"/>
    </row>
    <row r="573" spans="1:27" ht="12.75">
      <c r="A573" s="326"/>
      <c r="B573" s="326"/>
      <c r="C573" s="326"/>
      <c r="D573" s="326"/>
      <c r="E573" s="326"/>
      <c r="F573" s="326"/>
      <c r="G573" s="326"/>
      <c r="H573" s="326"/>
      <c r="I573" s="326"/>
      <c r="J573" s="326"/>
      <c r="K573" s="326"/>
      <c r="L573" s="326"/>
      <c r="M573" s="326"/>
      <c r="N573" s="326"/>
      <c r="O573" s="326"/>
      <c r="P573" s="326"/>
      <c r="Q573" s="326"/>
      <c r="R573" s="326"/>
      <c r="S573" s="326"/>
      <c r="T573" s="326"/>
      <c r="U573" s="326"/>
      <c r="V573" s="326"/>
      <c r="W573" s="326"/>
      <c r="X573" s="326"/>
      <c r="Y573" s="326"/>
      <c r="Z573" s="326"/>
      <c r="AA573" s="326"/>
    </row>
    <row r="574" spans="1:27" ht="12.75">
      <c r="A574" s="326"/>
      <c r="B574" s="326"/>
      <c r="C574" s="326"/>
      <c r="D574" s="326"/>
      <c r="E574" s="326"/>
      <c r="F574" s="326"/>
      <c r="G574" s="326"/>
      <c r="H574" s="326"/>
      <c r="I574" s="326"/>
      <c r="J574" s="326"/>
      <c r="K574" s="326"/>
      <c r="L574" s="326"/>
      <c r="M574" s="326"/>
      <c r="N574" s="326"/>
      <c r="O574" s="326"/>
      <c r="P574" s="326"/>
      <c r="Q574" s="326"/>
      <c r="R574" s="326"/>
      <c r="S574" s="326"/>
      <c r="T574" s="326"/>
      <c r="U574" s="326"/>
      <c r="V574" s="326"/>
      <c r="W574" s="326"/>
      <c r="X574" s="326"/>
      <c r="Y574" s="326"/>
      <c r="Z574" s="326"/>
      <c r="AA574" s="326"/>
    </row>
    <row r="575" spans="1:27" ht="12.75">
      <c r="A575" s="326"/>
      <c r="B575" s="326"/>
      <c r="C575" s="326"/>
      <c r="D575" s="326"/>
      <c r="E575" s="326"/>
      <c r="F575" s="326"/>
      <c r="G575" s="326"/>
      <c r="H575" s="326"/>
      <c r="I575" s="326"/>
      <c r="J575" s="326"/>
      <c r="K575" s="326"/>
      <c r="L575" s="326"/>
      <c r="M575" s="326"/>
      <c r="N575" s="326"/>
      <c r="O575" s="326"/>
      <c r="P575" s="326"/>
      <c r="Q575" s="326"/>
      <c r="R575" s="326"/>
      <c r="S575" s="326"/>
      <c r="T575" s="326"/>
      <c r="U575" s="326"/>
      <c r="V575" s="326"/>
      <c r="W575" s="326"/>
      <c r="X575" s="326"/>
      <c r="Y575" s="326"/>
      <c r="Z575" s="326"/>
      <c r="AA575" s="326"/>
    </row>
    <row r="576" spans="1:27" ht="12.75">
      <c r="A576" s="326"/>
      <c r="B576" s="326"/>
      <c r="C576" s="326"/>
      <c r="D576" s="326"/>
      <c r="E576" s="326"/>
      <c r="F576" s="326"/>
      <c r="G576" s="326"/>
      <c r="H576" s="326"/>
      <c r="I576" s="326"/>
      <c r="J576" s="326"/>
      <c r="K576" s="326"/>
      <c r="L576" s="326"/>
      <c r="M576" s="326"/>
      <c r="N576" s="326"/>
      <c r="O576" s="326"/>
      <c r="P576" s="326"/>
      <c r="Q576" s="326"/>
      <c r="R576" s="326"/>
      <c r="S576" s="326"/>
      <c r="T576" s="326"/>
      <c r="U576" s="326"/>
      <c r="V576" s="326"/>
      <c r="W576" s="326"/>
      <c r="X576" s="326"/>
      <c r="Y576" s="326"/>
      <c r="Z576" s="326"/>
      <c r="AA576" s="326"/>
    </row>
    <row r="577" spans="1:27" ht="12.75">
      <c r="A577" s="326"/>
      <c r="B577" s="326"/>
      <c r="C577" s="326"/>
      <c r="D577" s="326"/>
      <c r="E577" s="326"/>
      <c r="F577" s="326"/>
      <c r="G577" s="326"/>
      <c r="H577" s="326"/>
      <c r="I577" s="326"/>
      <c r="J577" s="326"/>
      <c r="K577" s="326"/>
      <c r="L577" s="326"/>
      <c r="M577" s="326"/>
      <c r="N577" s="326"/>
      <c r="O577" s="326"/>
      <c r="P577" s="326"/>
      <c r="Q577" s="326"/>
      <c r="R577" s="326"/>
      <c r="S577" s="326"/>
      <c r="T577" s="326"/>
      <c r="U577" s="326"/>
      <c r="V577" s="326"/>
      <c r="W577" s="326"/>
      <c r="X577" s="326"/>
      <c r="Y577" s="326"/>
      <c r="Z577" s="326"/>
      <c r="AA577" s="326"/>
    </row>
    <row r="578" spans="1:27" ht="12.75">
      <c r="A578" s="326"/>
      <c r="B578" s="326"/>
      <c r="C578" s="326"/>
      <c r="D578" s="326"/>
      <c r="E578" s="326"/>
      <c r="F578" s="326"/>
      <c r="G578" s="326"/>
      <c r="H578" s="326"/>
      <c r="I578" s="326"/>
      <c r="J578" s="326"/>
      <c r="K578" s="326"/>
      <c r="L578" s="326"/>
      <c r="M578" s="326"/>
      <c r="N578" s="326"/>
      <c r="O578" s="326"/>
      <c r="P578" s="326"/>
      <c r="Q578" s="326"/>
      <c r="R578" s="326"/>
      <c r="S578" s="326"/>
      <c r="T578" s="326"/>
      <c r="U578" s="326"/>
      <c r="V578" s="326"/>
      <c r="W578" s="326"/>
      <c r="X578" s="326"/>
      <c r="Y578" s="326"/>
      <c r="Z578" s="326"/>
      <c r="AA578" s="326"/>
    </row>
    <row r="579" spans="1:27" ht="12.75">
      <c r="A579" s="326"/>
      <c r="B579" s="326"/>
      <c r="C579" s="326"/>
      <c r="D579" s="326"/>
      <c r="E579" s="326"/>
      <c r="F579" s="326"/>
      <c r="G579" s="326"/>
      <c r="H579" s="326"/>
      <c r="I579" s="326"/>
      <c r="J579" s="326"/>
      <c r="K579" s="326"/>
      <c r="L579" s="326"/>
      <c r="M579" s="326"/>
      <c r="N579" s="326"/>
      <c r="O579" s="326"/>
      <c r="P579" s="326"/>
      <c r="Q579" s="326"/>
      <c r="R579" s="326"/>
      <c r="S579" s="326"/>
      <c r="T579" s="326"/>
      <c r="U579" s="326"/>
      <c r="V579" s="326"/>
      <c r="W579" s="326"/>
      <c r="X579" s="326"/>
      <c r="Y579" s="326"/>
      <c r="Z579" s="326"/>
      <c r="AA579" s="326"/>
    </row>
    <row r="580" spans="1:27" ht="12.75">
      <c r="A580" s="326"/>
      <c r="B580" s="326"/>
      <c r="C580" s="326"/>
      <c r="D580" s="326"/>
      <c r="E580" s="326"/>
      <c r="F580" s="326"/>
      <c r="G580" s="326"/>
      <c r="H580" s="326"/>
      <c r="I580" s="326"/>
      <c r="J580" s="326"/>
      <c r="K580" s="326"/>
      <c r="L580" s="326"/>
      <c r="M580" s="326"/>
      <c r="N580" s="326"/>
      <c r="O580" s="326"/>
      <c r="P580" s="326"/>
      <c r="Q580" s="326"/>
      <c r="R580" s="326"/>
      <c r="S580" s="326"/>
      <c r="T580" s="326"/>
      <c r="U580" s="326"/>
      <c r="V580" s="326"/>
      <c r="W580" s="326"/>
      <c r="X580" s="326"/>
      <c r="Y580" s="326"/>
      <c r="Z580" s="326"/>
      <c r="AA580" s="326"/>
    </row>
    <row r="581" spans="1:27" ht="12.75">
      <c r="A581" s="326"/>
      <c r="B581" s="326"/>
      <c r="C581" s="326"/>
      <c r="D581" s="326"/>
      <c r="E581" s="326"/>
      <c r="F581" s="326"/>
      <c r="G581" s="326"/>
      <c r="H581" s="326"/>
      <c r="I581" s="326"/>
      <c r="J581" s="326"/>
      <c r="K581" s="326"/>
      <c r="L581" s="326"/>
      <c r="M581" s="326"/>
      <c r="N581" s="326"/>
      <c r="O581" s="326"/>
      <c r="P581" s="326"/>
      <c r="Q581" s="326"/>
      <c r="R581" s="326"/>
      <c r="S581" s="326"/>
      <c r="T581" s="326"/>
      <c r="U581" s="326"/>
      <c r="V581" s="326"/>
      <c r="W581" s="326"/>
      <c r="X581" s="326"/>
      <c r="Y581" s="326"/>
      <c r="Z581" s="326"/>
      <c r="AA581" s="326"/>
    </row>
    <row r="582" spans="1:27" ht="12.75">
      <c r="A582" s="326"/>
      <c r="B582" s="326"/>
      <c r="C582" s="326"/>
      <c r="D582" s="326"/>
      <c r="E582" s="326"/>
      <c r="F582" s="326"/>
      <c r="G582" s="326"/>
      <c r="H582" s="326"/>
      <c r="I582" s="326"/>
      <c r="J582" s="326"/>
      <c r="K582" s="326"/>
      <c r="L582" s="326"/>
      <c r="M582" s="326"/>
      <c r="N582" s="326"/>
      <c r="O582" s="326"/>
      <c r="P582" s="326"/>
      <c r="Q582" s="326"/>
      <c r="R582" s="326"/>
      <c r="S582" s="326"/>
      <c r="T582" s="326"/>
      <c r="U582" s="326"/>
      <c r="V582" s="326"/>
      <c r="W582" s="326"/>
      <c r="X582" s="326"/>
      <c r="Y582" s="326"/>
      <c r="Z582" s="326"/>
      <c r="AA582" s="326"/>
    </row>
    <row r="583" spans="1:27" ht="12.75">
      <c r="A583" s="326"/>
      <c r="B583" s="326"/>
      <c r="C583" s="326"/>
      <c r="D583" s="326"/>
      <c r="E583" s="326"/>
      <c r="F583" s="326"/>
      <c r="G583" s="326"/>
      <c r="H583" s="326"/>
      <c r="I583" s="326"/>
      <c r="J583" s="326"/>
      <c r="K583" s="326"/>
      <c r="L583" s="326"/>
      <c r="M583" s="326"/>
      <c r="N583" s="326"/>
      <c r="O583" s="326"/>
      <c r="P583" s="326"/>
      <c r="Q583" s="326"/>
      <c r="R583" s="326"/>
      <c r="S583" s="326"/>
      <c r="T583" s="326"/>
      <c r="U583" s="326"/>
      <c r="V583" s="326"/>
      <c r="W583" s="326"/>
      <c r="X583" s="326"/>
      <c r="Y583" s="326"/>
      <c r="Z583" s="326"/>
      <c r="AA583" s="326"/>
    </row>
    <row r="584" spans="1:27" ht="12.75">
      <c r="A584" s="326"/>
      <c r="B584" s="326"/>
      <c r="C584" s="326"/>
      <c r="D584" s="326"/>
      <c r="E584" s="326"/>
      <c r="F584" s="326"/>
      <c r="G584" s="326"/>
      <c r="H584" s="326"/>
      <c r="I584" s="326"/>
      <c r="J584" s="326"/>
      <c r="K584" s="326"/>
      <c r="L584" s="326"/>
      <c r="M584" s="326"/>
      <c r="N584" s="326"/>
      <c r="O584" s="326"/>
      <c r="P584" s="326"/>
      <c r="Q584" s="326"/>
      <c r="R584" s="326"/>
      <c r="S584" s="326"/>
      <c r="T584" s="326"/>
      <c r="U584" s="326"/>
      <c r="V584" s="326"/>
      <c r="W584" s="326"/>
      <c r="X584" s="326"/>
      <c r="Y584" s="326"/>
      <c r="Z584" s="326"/>
      <c r="AA584" s="326"/>
    </row>
    <row r="585" spans="1:27" ht="12.75">
      <c r="A585" s="326"/>
      <c r="B585" s="326"/>
      <c r="C585" s="326"/>
      <c r="D585" s="326"/>
      <c r="E585" s="326"/>
      <c r="F585" s="326"/>
      <c r="G585" s="326"/>
      <c r="H585" s="326"/>
      <c r="I585" s="326"/>
      <c r="J585" s="326"/>
      <c r="K585" s="326"/>
      <c r="L585" s="326"/>
      <c r="M585" s="326"/>
      <c r="N585" s="326"/>
      <c r="O585" s="326"/>
      <c r="P585" s="326"/>
      <c r="Q585" s="326"/>
      <c r="R585" s="326"/>
      <c r="S585" s="326"/>
      <c r="T585" s="326"/>
      <c r="U585" s="326"/>
      <c r="V585" s="326"/>
      <c r="W585" s="326"/>
      <c r="X585" s="326"/>
      <c r="Y585" s="326"/>
      <c r="Z585" s="326"/>
      <c r="AA585" s="326"/>
    </row>
    <row r="586" spans="1:27" ht="12.75">
      <c r="A586" s="326"/>
      <c r="B586" s="326"/>
      <c r="C586" s="326"/>
      <c r="D586" s="326"/>
      <c r="E586" s="326"/>
      <c r="F586" s="326"/>
      <c r="G586" s="326"/>
      <c r="H586" s="326"/>
      <c r="I586" s="326"/>
      <c r="J586" s="326"/>
      <c r="K586" s="326"/>
      <c r="L586" s="326"/>
      <c r="M586" s="326"/>
      <c r="N586" s="326"/>
      <c r="O586" s="326"/>
      <c r="P586" s="326"/>
      <c r="Q586" s="326"/>
      <c r="R586" s="326"/>
      <c r="S586" s="326"/>
      <c r="T586" s="326"/>
      <c r="U586" s="326"/>
      <c r="V586" s="326"/>
      <c r="W586" s="326"/>
      <c r="X586" s="326"/>
      <c r="Y586" s="326"/>
      <c r="Z586" s="326"/>
      <c r="AA586" s="326"/>
    </row>
    <row r="587" spans="1:27" ht="12.75">
      <c r="A587" s="326"/>
      <c r="B587" s="326"/>
      <c r="C587" s="326"/>
      <c r="D587" s="326"/>
      <c r="E587" s="326"/>
      <c r="F587" s="326"/>
      <c r="G587" s="326"/>
      <c r="H587" s="326"/>
      <c r="I587" s="326"/>
      <c r="J587" s="326"/>
      <c r="K587" s="326"/>
      <c r="L587" s="326"/>
      <c r="M587" s="326"/>
      <c r="N587" s="326"/>
      <c r="O587" s="326"/>
      <c r="P587" s="326"/>
      <c r="Q587" s="326"/>
      <c r="R587" s="326"/>
      <c r="S587" s="326"/>
      <c r="T587" s="326"/>
      <c r="U587" s="326"/>
      <c r="V587" s="326"/>
      <c r="W587" s="326"/>
      <c r="X587" s="326"/>
      <c r="Y587" s="326"/>
      <c r="Z587" s="326"/>
      <c r="AA587" s="326"/>
    </row>
    <row r="588" spans="1:27" ht="12.75">
      <c r="A588" s="326"/>
      <c r="B588" s="326"/>
      <c r="C588" s="326"/>
      <c r="D588" s="326"/>
      <c r="E588" s="326"/>
      <c r="F588" s="326"/>
      <c r="G588" s="326"/>
      <c r="H588" s="326"/>
      <c r="I588" s="326"/>
      <c r="J588" s="326"/>
      <c r="K588" s="326"/>
      <c r="L588" s="326"/>
      <c r="M588" s="326"/>
      <c r="N588" s="326"/>
      <c r="O588" s="326"/>
      <c r="P588" s="326"/>
      <c r="Q588" s="326"/>
      <c r="R588" s="326"/>
      <c r="S588" s="326"/>
      <c r="T588" s="326"/>
      <c r="U588" s="326"/>
      <c r="V588" s="326"/>
      <c r="W588" s="326"/>
      <c r="X588" s="326"/>
      <c r="Y588" s="326"/>
      <c r="Z588" s="326"/>
      <c r="AA588" s="326"/>
    </row>
    <row r="589" spans="1:27" ht="12.75">
      <c r="A589" s="326"/>
      <c r="B589" s="326"/>
      <c r="C589" s="326"/>
      <c r="D589" s="326"/>
      <c r="E589" s="326"/>
      <c r="F589" s="326"/>
      <c r="G589" s="326"/>
      <c r="H589" s="326"/>
      <c r="I589" s="326"/>
      <c r="J589" s="326"/>
      <c r="K589" s="326"/>
      <c r="L589" s="326"/>
      <c r="M589" s="326"/>
      <c r="N589" s="326"/>
      <c r="O589" s="326"/>
      <c r="P589" s="326"/>
      <c r="Q589" s="326"/>
      <c r="R589" s="326"/>
      <c r="S589" s="326"/>
      <c r="T589" s="326"/>
      <c r="U589" s="326"/>
      <c r="V589" s="326"/>
      <c r="W589" s="326"/>
      <c r="X589" s="326"/>
      <c r="Y589" s="326"/>
      <c r="Z589" s="326"/>
      <c r="AA589" s="326"/>
    </row>
    <row r="590" spans="1:27" ht="12.75">
      <c r="A590" s="326"/>
      <c r="B590" s="326"/>
      <c r="C590" s="326"/>
      <c r="D590" s="326"/>
      <c r="E590" s="326"/>
      <c r="F590" s="326"/>
      <c r="G590" s="326"/>
      <c r="H590" s="326"/>
      <c r="I590" s="326"/>
      <c r="J590" s="326"/>
      <c r="K590" s="326"/>
      <c r="L590" s="326"/>
      <c r="M590" s="326"/>
      <c r="N590" s="326"/>
      <c r="O590" s="326"/>
      <c r="P590" s="326"/>
      <c r="Q590" s="326"/>
      <c r="R590" s="326"/>
      <c r="S590" s="326"/>
      <c r="T590" s="326"/>
      <c r="U590" s="326"/>
      <c r="V590" s="326"/>
      <c r="W590" s="326"/>
      <c r="X590" s="326"/>
      <c r="Y590" s="326"/>
      <c r="Z590" s="326"/>
      <c r="AA590" s="326"/>
    </row>
    <row r="591" spans="1:27" ht="12.75">
      <c r="A591" s="326"/>
      <c r="B591" s="326"/>
      <c r="C591" s="326"/>
      <c r="D591" s="326"/>
      <c r="E591" s="326"/>
      <c r="F591" s="326"/>
      <c r="G591" s="326"/>
      <c r="H591" s="326"/>
      <c r="I591" s="326"/>
      <c r="J591" s="326"/>
      <c r="K591" s="326"/>
      <c r="L591" s="326"/>
      <c r="M591" s="326"/>
      <c r="N591" s="326"/>
      <c r="O591" s="326"/>
      <c r="P591" s="326"/>
      <c r="Q591" s="326"/>
      <c r="R591" s="326"/>
      <c r="S591" s="326"/>
      <c r="T591" s="326"/>
      <c r="U591" s="326"/>
      <c r="V591" s="326"/>
      <c r="W591" s="326"/>
      <c r="X591" s="326"/>
      <c r="Y591" s="326"/>
      <c r="Z591" s="326"/>
      <c r="AA591" s="326"/>
    </row>
    <row r="592" spans="1:27" ht="12.75">
      <c r="A592" s="326"/>
      <c r="B592" s="326"/>
      <c r="C592" s="326"/>
      <c r="D592" s="326"/>
      <c r="E592" s="326"/>
      <c r="F592" s="326"/>
      <c r="G592" s="326"/>
      <c r="H592" s="326"/>
      <c r="I592" s="326"/>
      <c r="J592" s="326"/>
      <c r="K592" s="326"/>
      <c r="L592" s="326"/>
      <c r="M592" s="326"/>
      <c r="N592" s="326"/>
      <c r="O592" s="326"/>
      <c r="P592" s="326"/>
      <c r="Q592" s="326"/>
      <c r="R592" s="326"/>
      <c r="S592" s="326"/>
      <c r="T592" s="326"/>
      <c r="U592" s="326"/>
      <c r="V592" s="326"/>
      <c r="W592" s="326"/>
      <c r="X592" s="326"/>
      <c r="Y592" s="326"/>
      <c r="Z592" s="326"/>
      <c r="AA592" s="326"/>
    </row>
    <row r="593" spans="1:27" ht="12.75">
      <c r="A593" s="326"/>
      <c r="B593" s="326"/>
      <c r="C593" s="326"/>
      <c r="D593" s="326"/>
      <c r="E593" s="326"/>
      <c r="F593" s="326"/>
      <c r="G593" s="326"/>
      <c r="H593" s="326"/>
      <c r="I593" s="326"/>
      <c r="J593" s="326"/>
      <c r="K593" s="326"/>
      <c r="L593" s="326"/>
      <c r="M593" s="326"/>
      <c r="N593" s="326"/>
      <c r="O593" s="326"/>
      <c r="P593" s="326"/>
      <c r="Q593" s="326"/>
      <c r="R593" s="326"/>
      <c r="S593" s="326"/>
      <c r="T593" s="326"/>
      <c r="U593" s="326"/>
      <c r="V593" s="326"/>
      <c r="W593" s="326"/>
      <c r="X593" s="326"/>
      <c r="Y593" s="326"/>
      <c r="Z593" s="326"/>
      <c r="AA593" s="326"/>
    </row>
    <row r="594" spans="1:27" ht="12.75">
      <c r="A594" s="326"/>
      <c r="B594" s="326"/>
      <c r="C594" s="326"/>
      <c r="D594" s="326"/>
      <c r="E594" s="326"/>
      <c r="F594" s="326"/>
      <c r="G594" s="326"/>
      <c r="H594" s="326"/>
      <c r="I594" s="326"/>
      <c r="J594" s="326"/>
      <c r="K594" s="326"/>
      <c r="L594" s="326"/>
      <c r="M594" s="326"/>
      <c r="N594" s="326"/>
      <c r="O594" s="326"/>
      <c r="P594" s="326"/>
      <c r="Q594" s="326"/>
      <c r="R594" s="326"/>
      <c r="S594" s="326"/>
      <c r="T594" s="326"/>
      <c r="U594" s="326"/>
      <c r="V594" s="326"/>
      <c r="W594" s="326"/>
      <c r="X594" s="326"/>
      <c r="Y594" s="326"/>
      <c r="Z594" s="326"/>
      <c r="AA594" s="326"/>
    </row>
    <row r="595" spans="1:27" ht="12.75">
      <c r="A595" s="326"/>
      <c r="B595" s="326"/>
      <c r="C595" s="326"/>
      <c r="D595" s="326"/>
      <c r="E595" s="326"/>
      <c r="F595" s="326"/>
      <c r="G595" s="326"/>
      <c r="H595" s="326"/>
      <c r="I595" s="326"/>
      <c r="J595" s="326"/>
      <c r="K595" s="326"/>
      <c r="L595" s="326"/>
      <c r="M595" s="326"/>
      <c r="N595" s="326"/>
      <c r="O595" s="326"/>
      <c r="P595" s="326"/>
      <c r="Q595" s="326"/>
      <c r="R595" s="326"/>
      <c r="S595" s="326"/>
      <c r="T595" s="326"/>
      <c r="U595" s="326"/>
      <c r="V595" s="326"/>
      <c r="W595" s="326"/>
      <c r="X595" s="326"/>
      <c r="Y595" s="326"/>
      <c r="Z595" s="326"/>
      <c r="AA595" s="326"/>
    </row>
    <row r="596" spans="1:27" ht="12.75">
      <c r="A596" s="326"/>
      <c r="B596" s="326"/>
      <c r="C596" s="326"/>
      <c r="D596" s="326"/>
      <c r="E596" s="326"/>
      <c r="F596" s="326"/>
      <c r="G596" s="326"/>
      <c r="H596" s="326"/>
      <c r="I596" s="326"/>
      <c r="J596" s="326"/>
      <c r="K596" s="326"/>
      <c r="L596" s="326"/>
      <c r="M596" s="326"/>
      <c r="N596" s="326"/>
      <c r="O596" s="326"/>
      <c r="P596" s="326"/>
      <c r="Q596" s="326"/>
      <c r="R596" s="326"/>
      <c r="S596" s="326"/>
      <c r="T596" s="326"/>
      <c r="U596" s="326"/>
      <c r="V596" s="326"/>
      <c r="W596" s="326"/>
      <c r="X596" s="326"/>
      <c r="Y596" s="326"/>
      <c r="Z596" s="326"/>
      <c r="AA596" s="326"/>
    </row>
    <row r="597" spans="1:27" ht="12.75">
      <c r="A597" s="326"/>
      <c r="B597" s="326"/>
      <c r="C597" s="326"/>
      <c r="D597" s="326"/>
      <c r="E597" s="326"/>
      <c r="F597" s="326"/>
      <c r="G597" s="326"/>
      <c r="H597" s="326"/>
      <c r="I597" s="326"/>
      <c r="J597" s="326"/>
      <c r="K597" s="326"/>
      <c r="L597" s="326"/>
      <c r="M597" s="326"/>
      <c r="N597" s="326"/>
      <c r="O597" s="326"/>
      <c r="P597" s="326"/>
      <c r="Q597" s="326"/>
      <c r="R597" s="326"/>
      <c r="S597" s="326"/>
      <c r="T597" s="326"/>
      <c r="U597" s="326"/>
      <c r="V597" s="326"/>
      <c r="W597" s="326"/>
      <c r="X597" s="326"/>
      <c r="Y597" s="326"/>
      <c r="Z597" s="326"/>
      <c r="AA597" s="326"/>
    </row>
    <row r="598" spans="1:27" ht="12.75">
      <c r="A598" s="326"/>
      <c r="B598" s="326"/>
      <c r="C598" s="326"/>
      <c r="D598" s="326"/>
      <c r="E598" s="326"/>
      <c r="F598" s="326"/>
      <c r="G598" s="326"/>
      <c r="H598" s="326"/>
      <c r="I598" s="326"/>
      <c r="J598" s="326"/>
      <c r="K598" s="326"/>
      <c r="L598" s="326"/>
      <c r="M598" s="326"/>
      <c r="N598" s="326"/>
      <c r="O598" s="326"/>
      <c r="P598" s="326"/>
      <c r="Q598" s="326"/>
      <c r="R598" s="326"/>
      <c r="S598" s="326"/>
      <c r="T598" s="326"/>
      <c r="U598" s="326"/>
      <c r="V598" s="326"/>
      <c r="W598" s="326"/>
      <c r="X598" s="326"/>
      <c r="Y598" s="326"/>
      <c r="Z598" s="326"/>
      <c r="AA598" s="326"/>
    </row>
    <row r="599" spans="1:27" ht="12.75">
      <c r="A599" s="326"/>
      <c r="B599" s="326"/>
      <c r="C599" s="326"/>
      <c r="D599" s="326"/>
      <c r="E599" s="326"/>
      <c r="F599" s="326"/>
      <c r="G599" s="326"/>
      <c r="H599" s="326"/>
      <c r="I599" s="326"/>
      <c r="J599" s="326"/>
      <c r="K599" s="326"/>
      <c r="L599" s="326"/>
      <c r="M599" s="326"/>
      <c r="N599" s="326"/>
      <c r="O599" s="326"/>
      <c r="P599" s="326"/>
      <c r="Q599" s="326"/>
      <c r="R599" s="326"/>
      <c r="S599" s="326"/>
      <c r="T599" s="326"/>
      <c r="U599" s="326"/>
      <c r="V599" s="326"/>
      <c r="W599" s="326"/>
      <c r="X599" s="326"/>
      <c r="Y599" s="326"/>
      <c r="Z599" s="326"/>
      <c r="AA599" s="326"/>
    </row>
    <row r="600" spans="1:27" ht="12.75">
      <c r="A600" s="326"/>
      <c r="B600" s="326"/>
      <c r="C600" s="326"/>
      <c r="D600" s="326"/>
      <c r="E600" s="326"/>
      <c r="F600" s="326"/>
      <c r="G600" s="326"/>
      <c r="H600" s="326"/>
      <c r="I600" s="326"/>
      <c r="J600" s="326"/>
      <c r="K600" s="326"/>
      <c r="L600" s="326"/>
      <c r="M600" s="326"/>
      <c r="N600" s="326"/>
      <c r="O600" s="326"/>
      <c r="P600" s="326"/>
      <c r="Q600" s="326"/>
      <c r="R600" s="326"/>
      <c r="S600" s="326"/>
      <c r="T600" s="326"/>
      <c r="U600" s="326"/>
      <c r="V600" s="326"/>
      <c r="W600" s="326"/>
      <c r="X600" s="326"/>
      <c r="Y600" s="326"/>
      <c r="Z600" s="326"/>
      <c r="AA600" s="326"/>
    </row>
    <row r="601" spans="1:27" ht="12.75">
      <c r="A601" s="326"/>
      <c r="B601" s="326"/>
      <c r="C601" s="326"/>
      <c r="D601" s="326"/>
      <c r="E601" s="326"/>
      <c r="F601" s="326"/>
      <c r="G601" s="326"/>
      <c r="H601" s="326"/>
      <c r="I601" s="326"/>
      <c r="J601" s="326"/>
      <c r="K601" s="326"/>
      <c r="L601" s="326"/>
      <c r="M601" s="326"/>
      <c r="N601" s="326"/>
      <c r="O601" s="326"/>
      <c r="P601" s="326"/>
      <c r="Q601" s="326"/>
      <c r="R601" s="326"/>
      <c r="S601" s="326"/>
      <c r="T601" s="326"/>
      <c r="U601" s="326"/>
      <c r="V601" s="326"/>
      <c r="W601" s="326"/>
      <c r="X601" s="326"/>
      <c r="Y601" s="326"/>
      <c r="Z601" s="326"/>
      <c r="AA601" s="326"/>
    </row>
    <row r="602" spans="1:27" ht="12.75">
      <c r="A602" s="326"/>
      <c r="B602" s="326"/>
      <c r="C602" s="326"/>
      <c r="D602" s="326"/>
      <c r="E602" s="326"/>
      <c r="F602" s="326"/>
      <c r="G602" s="326"/>
      <c r="H602" s="326"/>
      <c r="I602" s="326"/>
      <c r="J602" s="326"/>
      <c r="K602" s="326"/>
      <c r="L602" s="326"/>
      <c r="M602" s="326"/>
      <c r="N602" s="326"/>
      <c r="O602" s="326"/>
      <c r="P602" s="326"/>
      <c r="Q602" s="326"/>
      <c r="R602" s="326"/>
      <c r="S602" s="326"/>
      <c r="T602" s="326"/>
      <c r="U602" s="326"/>
      <c r="V602" s="326"/>
      <c r="W602" s="326"/>
      <c r="X602" s="326"/>
      <c r="Y602" s="326"/>
      <c r="Z602" s="326"/>
      <c r="AA602" s="326"/>
    </row>
    <row r="603" spans="1:27" ht="12.75">
      <c r="A603" s="326"/>
      <c r="B603" s="326"/>
      <c r="C603" s="326"/>
      <c r="D603" s="326"/>
      <c r="E603" s="326"/>
      <c r="F603" s="326"/>
      <c r="G603" s="326"/>
      <c r="H603" s="326"/>
      <c r="I603" s="326"/>
      <c r="J603" s="326"/>
      <c r="K603" s="326"/>
      <c r="L603" s="326"/>
      <c r="M603" s="326"/>
      <c r="N603" s="326"/>
      <c r="O603" s="326"/>
      <c r="P603" s="326"/>
      <c r="Q603" s="326"/>
      <c r="R603" s="326"/>
      <c r="S603" s="326"/>
      <c r="T603" s="326"/>
      <c r="U603" s="326"/>
      <c r="V603" s="326"/>
      <c r="W603" s="326"/>
      <c r="X603" s="326"/>
      <c r="Y603" s="326"/>
      <c r="Z603" s="326"/>
      <c r="AA603" s="326"/>
    </row>
    <row r="604" spans="1:27" ht="12.75">
      <c r="A604" s="326"/>
      <c r="B604" s="326"/>
      <c r="C604" s="326"/>
      <c r="D604" s="326"/>
      <c r="E604" s="326"/>
      <c r="F604" s="326"/>
      <c r="G604" s="326"/>
      <c r="H604" s="326"/>
      <c r="I604" s="326"/>
      <c r="J604" s="326"/>
      <c r="K604" s="326"/>
      <c r="L604" s="326"/>
      <c r="M604" s="326"/>
      <c r="N604" s="326"/>
      <c r="O604" s="326"/>
      <c r="P604" s="326"/>
      <c r="Q604" s="326"/>
      <c r="R604" s="326"/>
      <c r="S604" s="326"/>
      <c r="T604" s="326"/>
      <c r="U604" s="326"/>
      <c r="V604" s="326"/>
      <c r="W604" s="326"/>
      <c r="X604" s="326"/>
      <c r="Y604" s="326"/>
      <c r="Z604" s="326"/>
      <c r="AA604" s="326"/>
    </row>
    <row r="605" spans="1:27" ht="12.75">
      <c r="A605" s="326"/>
      <c r="B605" s="326"/>
      <c r="C605" s="326"/>
      <c r="D605" s="326"/>
      <c r="E605" s="326"/>
      <c r="F605" s="326"/>
      <c r="G605" s="326"/>
      <c r="H605" s="326"/>
      <c r="I605" s="326"/>
      <c r="J605" s="326"/>
      <c r="K605" s="326"/>
      <c r="L605" s="326"/>
      <c r="M605" s="326"/>
      <c r="N605" s="326"/>
      <c r="O605" s="326"/>
      <c r="P605" s="326"/>
      <c r="Q605" s="326"/>
      <c r="R605" s="326"/>
      <c r="S605" s="326"/>
      <c r="T605" s="326"/>
      <c r="U605" s="326"/>
      <c r="V605" s="326"/>
      <c r="W605" s="326"/>
      <c r="X605" s="326"/>
      <c r="Y605" s="326"/>
      <c r="Z605" s="326"/>
      <c r="AA605" s="326"/>
    </row>
    <row r="606" spans="1:27" ht="12.75">
      <c r="A606" s="326"/>
      <c r="B606" s="326"/>
      <c r="C606" s="326"/>
      <c r="D606" s="326"/>
      <c r="E606" s="326"/>
      <c r="F606" s="326"/>
      <c r="G606" s="326"/>
      <c r="H606" s="326"/>
      <c r="I606" s="326"/>
      <c r="J606" s="326"/>
      <c r="K606" s="326"/>
      <c r="L606" s="326"/>
      <c r="M606" s="326"/>
      <c r="N606" s="326"/>
      <c r="O606" s="326"/>
      <c r="P606" s="326"/>
      <c r="Q606" s="326"/>
      <c r="R606" s="326"/>
      <c r="S606" s="326"/>
      <c r="T606" s="326"/>
      <c r="U606" s="326"/>
      <c r="V606" s="326"/>
      <c r="W606" s="326"/>
      <c r="X606" s="326"/>
      <c r="Y606" s="326"/>
      <c r="Z606" s="326"/>
      <c r="AA606" s="326"/>
    </row>
    <row r="607" spans="1:27" ht="12.75">
      <c r="A607" s="326"/>
      <c r="B607" s="326"/>
      <c r="C607" s="326"/>
      <c r="D607" s="326"/>
      <c r="E607" s="326"/>
      <c r="F607" s="326"/>
      <c r="G607" s="326"/>
      <c r="H607" s="326"/>
      <c r="I607" s="326"/>
      <c r="J607" s="326"/>
      <c r="K607" s="326"/>
      <c r="L607" s="326"/>
      <c r="M607" s="326"/>
      <c r="N607" s="326"/>
      <c r="O607" s="326"/>
      <c r="P607" s="326"/>
      <c r="Q607" s="326"/>
      <c r="R607" s="326"/>
      <c r="S607" s="326"/>
      <c r="T607" s="326"/>
      <c r="U607" s="326"/>
      <c r="V607" s="326"/>
      <c r="W607" s="326"/>
      <c r="X607" s="326"/>
      <c r="Y607" s="326"/>
      <c r="Z607" s="326"/>
      <c r="AA607" s="326"/>
    </row>
    <row r="608" spans="1:27" ht="12.75">
      <c r="A608" s="326"/>
      <c r="B608" s="326"/>
      <c r="C608" s="326"/>
      <c r="D608" s="326"/>
      <c r="E608" s="326"/>
      <c r="F608" s="326"/>
      <c r="G608" s="326"/>
      <c r="H608" s="326"/>
      <c r="I608" s="326"/>
      <c r="J608" s="326"/>
      <c r="K608" s="326"/>
      <c r="L608" s="326"/>
      <c r="M608" s="326"/>
      <c r="N608" s="326"/>
      <c r="O608" s="326"/>
      <c r="P608" s="326"/>
      <c r="Q608" s="326"/>
      <c r="R608" s="326"/>
      <c r="S608" s="326"/>
      <c r="T608" s="326"/>
      <c r="U608" s="326"/>
      <c r="V608" s="326"/>
      <c r="W608" s="326"/>
      <c r="X608" s="326"/>
      <c r="Y608" s="326"/>
      <c r="Z608" s="326"/>
      <c r="AA608" s="326"/>
    </row>
    <row r="609" spans="1:27" ht="12.75">
      <c r="A609" s="326"/>
      <c r="B609" s="326"/>
      <c r="C609" s="326"/>
      <c r="D609" s="326"/>
      <c r="E609" s="326"/>
      <c r="F609" s="326"/>
      <c r="G609" s="326"/>
      <c r="H609" s="326"/>
      <c r="I609" s="326"/>
      <c r="J609" s="326"/>
      <c r="K609" s="326"/>
      <c r="L609" s="326"/>
      <c r="M609" s="326"/>
      <c r="N609" s="326"/>
      <c r="O609" s="326"/>
      <c r="P609" s="326"/>
      <c r="Q609" s="326"/>
      <c r="R609" s="326"/>
      <c r="S609" s="326"/>
      <c r="T609" s="326"/>
      <c r="U609" s="326"/>
      <c r="V609" s="326"/>
      <c r="W609" s="326"/>
      <c r="X609" s="326"/>
      <c r="Y609" s="326"/>
      <c r="Z609" s="326"/>
      <c r="AA609" s="326"/>
    </row>
    <row r="610" spans="1:27" ht="12.75">
      <c r="A610" s="326"/>
      <c r="B610" s="326"/>
      <c r="C610" s="326"/>
      <c r="D610" s="326"/>
      <c r="E610" s="326"/>
      <c r="F610" s="326"/>
      <c r="G610" s="326"/>
      <c r="H610" s="326"/>
      <c r="I610" s="326"/>
      <c r="J610" s="326"/>
      <c r="K610" s="326"/>
      <c r="L610" s="326"/>
      <c r="M610" s="326"/>
      <c r="N610" s="326"/>
      <c r="O610" s="326"/>
      <c r="P610" s="326"/>
      <c r="Q610" s="326"/>
      <c r="R610" s="326"/>
      <c r="S610" s="326"/>
      <c r="T610" s="326"/>
      <c r="U610" s="326"/>
      <c r="V610" s="326"/>
      <c r="W610" s="326"/>
      <c r="X610" s="326"/>
      <c r="Y610" s="326"/>
      <c r="Z610" s="326"/>
      <c r="AA610" s="326"/>
    </row>
    <row r="611" spans="1:27" ht="12.75">
      <c r="A611" s="326"/>
      <c r="B611" s="326"/>
      <c r="C611" s="326"/>
      <c r="D611" s="326"/>
      <c r="E611" s="326"/>
      <c r="F611" s="326"/>
      <c r="G611" s="326"/>
      <c r="H611" s="326"/>
      <c r="I611" s="326"/>
      <c r="J611" s="326"/>
      <c r="K611" s="326"/>
      <c r="L611" s="326"/>
      <c r="M611" s="326"/>
      <c r="N611" s="326"/>
      <c r="O611" s="326"/>
      <c r="P611" s="326"/>
      <c r="Q611" s="326"/>
      <c r="R611" s="326"/>
      <c r="S611" s="326"/>
      <c r="T611" s="326"/>
      <c r="U611" s="326"/>
      <c r="V611" s="326"/>
      <c r="W611" s="326"/>
      <c r="X611" s="326"/>
      <c r="Y611" s="326"/>
      <c r="Z611" s="326"/>
      <c r="AA611" s="326"/>
    </row>
    <row r="612" spans="1:27" ht="12.75">
      <c r="A612" s="326"/>
      <c r="B612" s="326"/>
      <c r="C612" s="326"/>
      <c r="D612" s="326"/>
      <c r="E612" s="326"/>
      <c r="F612" s="326"/>
      <c r="G612" s="326"/>
      <c r="H612" s="326"/>
      <c r="I612" s="326"/>
      <c r="J612" s="326"/>
      <c r="K612" s="326"/>
      <c r="L612" s="326"/>
      <c r="M612" s="326"/>
      <c r="N612" s="326"/>
      <c r="O612" s="326"/>
      <c r="P612" s="326"/>
      <c r="Q612" s="326"/>
      <c r="R612" s="326"/>
      <c r="S612" s="326"/>
      <c r="T612" s="326"/>
      <c r="U612" s="326"/>
      <c r="V612" s="326"/>
      <c r="W612" s="326"/>
      <c r="X612" s="326"/>
      <c r="Y612" s="326"/>
      <c r="Z612" s="326"/>
      <c r="AA612" s="326"/>
    </row>
    <row r="613" spans="1:27" ht="12.75">
      <c r="A613" s="326"/>
      <c r="B613" s="326"/>
      <c r="C613" s="326"/>
      <c r="D613" s="326"/>
      <c r="E613" s="326"/>
      <c r="F613" s="326"/>
      <c r="G613" s="326"/>
      <c r="H613" s="326"/>
      <c r="I613" s="326"/>
      <c r="J613" s="326"/>
      <c r="K613" s="326"/>
      <c r="L613" s="326"/>
      <c r="M613" s="326"/>
      <c r="N613" s="326"/>
      <c r="O613" s="326"/>
      <c r="P613" s="326"/>
      <c r="Q613" s="326"/>
      <c r="R613" s="326"/>
      <c r="S613" s="326"/>
      <c r="T613" s="326"/>
      <c r="U613" s="326"/>
      <c r="V613" s="326"/>
      <c r="W613" s="326"/>
      <c r="X613" s="326"/>
      <c r="Y613" s="326"/>
      <c r="Z613" s="326"/>
      <c r="AA613" s="326"/>
    </row>
    <row r="614" spans="1:27" ht="12.75">
      <c r="A614" s="326"/>
      <c r="B614" s="326"/>
      <c r="C614" s="326"/>
      <c r="D614" s="326"/>
      <c r="E614" s="326"/>
      <c r="F614" s="326"/>
      <c r="G614" s="326"/>
      <c r="H614" s="326"/>
      <c r="I614" s="326"/>
      <c r="J614" s="326"/>
      <c r="K614" s="326"/>
      <c r="L614" s="326"/>
      <c r="M614" s="326"/>
      <c r="N614" s="326"/>
      <c r="O614" s="326"/>
      <c r="P614" s="326"/>
      <c r="Q614" s="326"/>
      <c r="R614" s="326"/>
      <c r="S614" s="326"/>
      <c r="T614" s="326"/>
      <c r="U614" s="326"/>
      <c r="V614" s="326"/>
      <c r="W614" s="326"/>
      <c r="X614" s="326"/>
      <c r="Y614" s="326"/>
      <c r="Z614" s="326"/>
      <c r="AA614" s="326"/>
    </row>
    <row r="615" spans="1:27" ht="12.75">
      <c r="A615" s="326"/>
      <c r="B615" s="326"/>
      <c r="C615" s="326"/>
      <c r="D615" s="326"/>
      <c r="E615" s="326"/>
      <c r="F615" s="326"/>
      <c r="G615" s="326"/>
      <c r="H615" s="326"/>
      <c r="I615" s="326"/>
      <c r="J615" s="326"/>
      <c r="K615" s="326"/>
      <c r="L615" s="326"/>
      <c r="M615" s="326"/>
      <c r="N615" s="326"/>
      <c r="O615" s="326"/>
      <c r="P615" s="326"/>
      <c r="Q615" s="326"/>
      <c r="R615" s="326"/>
      <c r="S615" s="326"/>
      <c r="T615" s="326"/>
      <c r="U615" s="326"/>
      <c r="V615" s="326"/>
      <c r="W615" s="326"/>
      <c r="X615" s="326"/>
      <c r="Y615" s="326"/>
      <c r="Z615" s="326"/>
      <c r="AA615" s="326"/>
    </row>
    <row r="616" spans="1:27" ht="12.75">
      <c r="A616" s="326"/>
      <c r="B616" s="326"/>
      <c r="C616" s="326"/>
      <c r="D616" s="326"/>
      <c r="E616" s="326"/>
      <c r="F616" s="326"/>
      <c r="G616" s="326"/>
      <c r="H616" s="326"/>
      <c r="I616" s="326"/>
      <c r="J616" s="326"/>
      <c r="K616" s="326"/>
      <c r="L616" s="326"/>
      <c r="M616" s="326"/>
      <c r="N616" s="326"/>
      <c r="O616" s="326"/>
      <c r="P616" s="326"/>
      <c r="Q616" s="326"/>
      <c r="R616" s="326"/>
      <c r="S616" s="326"/>
      <c r="T616" s="326"/>
      <c r="U616" s="326"/>
      <c r="V616" s="326"/>
      <c r="W616" s="326"/>
      <c r="X616" s="326"/>
      <c r="Y616" s="326"/>
      <c r="Z616" s="326"/>
      <c r="AA616" s="326"/>
    </row>
    <row r="617" spans="1:27" ht="12.75">
      <c r="A617" s="326"/>
      <c r="B617" s="326"/>
      <c r="C617" s="326"/>
      <c r="D617" s="326"/>
      <c r="E617" s="326"/>
      <c r="F617" s="326"/>
      <c r="G617" s="326"/>
      <c r="H617" s="326"/>
      <c r="I617" s="326"/>
      <c r="J617" s="326"/>
      <c r="K617" s="326"/>
      <c r="L617" s="326"/>
      <c r="M617" s="326"/>
      <c r="N617" s="326"/>
      <c r="O617" s="326"/>
      <c r="P617" s="326"/>
      <c r="Q617" s="326"/>
      <c r="R617" s="326"/>
      <c r="S617" s="326"/>
      <c r="T617" s="326"/>
      <c r="U617" s="326"/>
      <c r="V617" s="326"/>
      <c r="W617" s="326"/>
      <c r="X617" s="326"/>
      <c r="Y617" s="326"/>
      <c r="Z617" s="326"/>
      <c r="AA617" s="326"/>
    </row>
    <row r="618" spans="1:27" ht="12.75">
      <c r="A618" s="326"/>
      <c r="B618" s="326"/>
      <c r="C618" s="326"/>
      <c r="D618" s="326"/>
      <c r="E618" s="326"/>
      <c r="F618" s="326"/>
      <c r="G618" s="326"/>
      <c r="H618" s="326"/>
      <c r="I618" s="326"/>
      <c r="J618" s="326"/>
      <c r="K618" s="326"/>
      <c r="L618" s="326"/>
      <c r="M618" s="326"/>
      <c r="N618" s="326"/>
      <c r="O618" s="326"/>
      <c r="P618" s="326"/>
      <c r="Q618" s="326"/>
      <c r="R618" s="326"/>
      <c r="S618" s="326"/>
      <c r="T618" s="326"/>
      <c r="U618" s="326"/>
      <c r="V618" s="326"/>
      <c r="W618" s="326"/>
      <c r="X618" s="326"/>
      <c r="Y618" s="326"/>
      <c r="Z618" s="326"/>
      <c r="AA618" s="326"/>
    </row>
    <row r="619" spans="1:27" ht="12.75">
      <c r="A619" s="326"/>
      <c r="B619" s="326"/>
      <c r="C619" s="326"/>
      <c r="D619" s="326"/>
      <c r="E619" s="326"/>
      <c r="F619" s="326"/>
      <c r="G619" s="326"/>
      <c r="H619" s="326"/>
      <c r="I619" s="326"/>
      <c r="J619" s="326"/>
      <c r="K619" s="326"/>
      <c r="L619" s="326"/>
      <c r="M619" s="326"/>
      <c r="N619" s="326"/>
      <c r="O619" s="326"/>
      <c r="P619" s="326"/>
      <c r="Q619" s="326"/>
      <c r="R619" s="326"/>
      <c r="S619" s="326"/>
      <c r="T619" s="326"/>
      <c r="U619" s="326"/>
      <c r="V619" s="326"/>
      <c r="W619" s="326"/>
      <c r="X619" s="326"/>
      <c r="Y619" s="326"/>
      <c r="Z619" s="326"/>
      <c r="AA619" s="326"/>
    </row>
    <row r="620" spans="1:27" ht="12.75">
      <c r="A620" s="326"/>
      <c r="B620" s="326"/>
      <c r="C620" s="326"/>
      <c r="D620" s="326"/>
      <c r="E620" s="326"/>
      <c r="F620" s="326"/>
      <c r="G620" s="326"/>
      <c r="H620" s="326"/>
      <c r="I620" s="326"/>
      <c r="J620" s="326"/>
      <c r="K620" s="326"/>
      <c r="L620" s="326"/>
      <c r="M620" s="326"/>
      <c r="N620" s="326"/>
      <c r="O620" s="326"/>
      <c r="P620" s="326"/>
      <c r="Q620" s="326"/>
      <c r="R620" s="326"/>
      <c r="S620" s="326"/>
      <c r="T620" s="326"/>
      <c r="U620" s="326"/>
      <c r="V620" s="326"/>
      <c r="W620" s="326"/>
      <c r="X620" s="326"/>
      <c r="Y620" s="326"/>
      <c r="Z620" s="326"/>
      <c r="AA620" s="326"/>
    </row>
    <row r="621" spans="1:27" ht="12.75">
      <c r="A621" s="326"/>
      <c r="B621" s="326"/>
      <c r="C621" s="326"/>
      <c r="D621" s="326"/>
      <c r="E621" s="326"/>
      <c r="F621" s="326"/>
      <c r="G621" s="326"/>
      <c r="H621" s="326"/>
      <c r="I621" s="326"/>
      <c r="J621" s="326"/>
      <c r="K621" s="326"/>
      <c r="L621" s="326"/>
      <c r="M621" s="326"/>
      <c r="N621" s="326"/>
      <c r="O621" s="326"/>
      <c r="P621" s="326"/>
      <c r="Q621" s="326"/>
      <c r="R621" s="326"/>
      <c r="S621" s="326"/>
      <c r="T621" s="326"/>
      <c r="U621" s="326"/>
      <c r="V621" s="326"/>
      <c r="W621" s="326"/>
      <c r="X621" s="326"/>
      <c r="Y621" s="326"/>
      <c r="Z621" s="326"/>
      <c r="AA621" s="326"/>
    </row>
    <row r="622" spans="1:27" ht="12.75">
      <c r="A622" s="326"/>
      <c r="B622" s="326"/>
      <c r="C622" s="326"/>
      <c r="D622" s="326"/>
      <c r="E622" s="326"/>
      <c r="F622" s="326"/>
      <c r="G622" s="326"/>
      <c r="H622" s="326"/>
      <c r="I622" s="326"/>
      <c r="J622" s="326"/>
      <c r="K622" s="326"/>
      <c r="L622" s="326"/>
      <c r="M622" s="326"/>
      <c r="N622" s="326"/>
      <c r="O622" s="326"/>
      <c r="P622" s="326"/>
      <c r="Q622" s="326"/>
      <c r="R622" s="326"/>
      <c r="S622" s="326"/>
      <c r="T622" s="326"/>
      <c r="U622" s="326"/>
      <c r="V622" s="326"/>
      <c r="W622" s="326"/>
      <c r="X622" s="326"/>
      <c r="Y622" s="326"/>
      <c r="Z622" s="326"/>
      <c r="AA622" s="326"/>
    </row>
    <row r="623" spans="1:27" ht="12.75">
      <c r="A623" s="326"/>
      <c r="B623" s="326"/>
      <c r="C623" s="326"/>
      <c r="D623" s="326"/>
      <c r="E623" s="326"/>
      <c r="F623" s="326"/>
      <c r="G623" s="326"/>
      <c r="H623" s="326"/>
      <c r="I623" s="326"/>
      <c r="J623" s="326"/>
      <c r="K623" s="326"/>
      <c r="L623" s="326"/>
      <c r="M623" s="326"/>
      <c r="N623" s="326"/>
      <c r="O623" s="326"/>
      <c r="P623" s="326"/>
      <c r="Q623" s="326"/>
      <c r="R623" s="326"/>
      <c r="S623" s="326"/>
      <c r="T623" s="326"/>
      <c r="U623" s="326"/>
      <c r="V623" s="326"/>
      <c r="W623" s="326"/>
      <c r="X623" s="326"/>
      <c r="Y623" s="326"/>
      <c r="Z623" s="326"/>
      <c r="AA623" s="326"/>
    </row>
    <row r="624" spans="1:27" ht="12.75">
      <c r="A624" s="326"/>
      <c r="B624" s="326"/>
      <c r="C624" s="326"/>
      <c r="D624" s="326"/>
      <c r="E624" s="326"/>
      <c r="F624" s="326"/>
      <c r="G624" s="326"/>
      <c r="H624" s="326"/>
      <c r="I624" s="326"/>
      <c r="J624" s="326"/>
      <c r="K624" s="326"/>
      <c r="L624" s="326"/>
      <c r="M624" s="326"/>
      <c r="N624" s="326"/>
      <c r="O624" s="326"/>
      <c r="P624" s="326"/>
      <c r="Q624" s="326"/>
      <c r="R624" s="326"/>
      <c r="S624" s="326"/>
      <c r="T624" s="326"/>
      <c r="U624" s="326"/>
      <c r="V624" s="326"/>
      <c r="W624" s="326"/>
      <c r="X624" s="326"/>
      <c r="Y624" s="326"/>
      <c r="Z624" s="326"/>
      <c r="AA624" s="326"/>
    </row>
    <row r="625" spans="1:27" ht="12.75">
      <c r="A625" s="326"/>
      <c r="B625" s="326"/>
      <c r="C625" s="326"/>
      <c r="D625" s="326"/>
      <c r="E625" s="326"/>
      <c r="F625" s="326"/>
      <c r="G625" s="326"/>
      <c r="H625" s="326"/>
      <c r="I625" s="326"/>
      <c r="J625" s="326"/>
      <c r="K625" s="326"/>
      <c r="L625" s="326"/>
      <c r="M625" s="326"/>
      <c r="N625" s="326"/>
      <c r="O625" s="326"/>
      <c r="P625" s="326"/>
      <c r="Q625" s="326"/>
      <c r="R625" s="326"/>
      <c r="S625" s="326"/>
      <c r="T625" s="326"/>
      <c r="U625" s="326"/>
      <c r="V625" s="326"/>
      <c r="W625" s="326"/>
      <c r="X625" s="326"/>
      <c r="Y625" s="326"/>
      <c r="Z625" s="326"/>
      <c r="AA625" s="326"/>
    </row>
    <row r="626" spans="1:27" ht="12.75">
      <c r="A626" s="326"/>
      <c r="B626" s="326"/>
      <c r="C626" s="326"/>
      <c r="D626" s="326"/>
      <c r="E626" s="326"/>
      <c r="F626" s="326"/>
      <c r="G626" s="326"/>
      <c r="H626" s="326"/>
      <c r="I626" s="326"/>
      <c r="J626" s="326"/>
      <c r="K626" s="326"/>
      <c r="L626" s="326"/>
      <c r="M626" s="326"/>
      <c r="N626" s="326"/>
      <c r="O626" s="326"/>
      <c r="P626" s="326"/>
      <c r="Q626" s="326"/>
      <c r="R626" s="326"/>
      <c r="S626" s="326"/>
      <c r="T626" s="326"/>
      <c r="U626" s="326"/>
      <c r="V626" s="326"/>
      <c r="W626" s="326"/>
      <c r="X626" s="326"/>
      <c r="Y626" s="326"/>
      <c r="Z626" s="326"/>
      <c r="AA626" s="326"/>
    </row>
    <row r="627" spans="1:27" ht="12.75">
      <c r="A627" s="326"/>
      <c r="B627" s="326"/>
      <c r="C627" s="326"/>
      <c r="D627" s="326"/>
      <c r="E627" s="326"/>
      <c r="F627" s="326"/>
      <c r="G627" s="326"/>
      <c r="H627" s="326"/>
      <c r="I627" s="326"/>
      <c r="J627" s="326"/>
      <c r="K627" s="326"/>
      <c r="L627" s="326"/>
      <c r="M627" s="326"/>
      <c r="N627" s="326"/>
      <c r="O627" s="326"/>
      <c r="P627" s="326"/>
      <c r="Q627" s="326"/>
      <c r="R627" s="326"/>
      <c r="S627" s="326"/>
      <c r="T627" s="326"/>
      <c r="U627" s="326"/>
      <c r="V627" s="326"/>
      <c r="W627" s="326"/>
      <c r="X627" s="326"/>
      <c r="Y627" s="326"/>
      <c r="Z627" s="326"/>
      <c r="AA627" s="326"/>
    </row>
    <row r="628" spans="1:27" ht="12.75">
      <c r="A628" s="326"/>
      <c r="B628" s="326"/>
      <c r="C628" s="326"/>
      <c r="D628" s="326"/>
      <c r="E628" s="326"/>
      <c r="F628" s="326"/>
      <c r="G628" s="326"/>
      <c r="H628" s="326"/>
      <c r="I628" s="326"/>
      <c r="J628" s="326"/>
      <c r="K628" s="326"/>
      <c r="L628" s="326"/>
      <c r="M628" s="326"/>
      <c r="N628" s="326"/>
      <c r="O628" s="326"/>
      <c r="P628" s="326"/>
      <c r="Q628" s="326"/>
      <c r="R628" s="326"/>
      <c r="S628" s="326"/>
      <c r="T628" s="326"/>
      <c r="U628" s="326"/>
      <c r="V628" s="326"/>
      <c r="W628" s="326"/>
      <c r="X628" s="326"/>
      <c r="Y628" s="326"/>
      <c r="Z628" s="326"/>
      <c r="AA628" s="326"/>
    </row>
    <row r="629" spans="1:27" ht="12.75">
      <c r="A629" s="326"/>
      <c r="B629" s="326"/>
      <c r="C629" s="326"/>
      <c r="D629" s="326"/>
      <c r="E629" s="326"/>
      <c r="F629" s="326"/>
      <c r="G629" s="326"/>
      <c r="H629" s="326"/>
      <c r="I629" s="326"/>
      <c r="J629" s="326"/>
      <c r="K629" s="326"/>
      <c r="L629" s="326"/>
      <c r="M629" s="326"/>
      <c r="N629" s="326"/>
      <c r="O629" s="326"/>
      <c r="P629" s="326"/>
      <c r="Q629" s="326"/>
      <c r="R629" s="326"/>
      <c r="S629" s="326"/>
      <c r="T629" s="326"/>
      <c r="U629" s="326"/>
      <c r="V629" s="326"/>
      <c r="W629" s="326"/>
      <c r="X629" s="326"/>
      <c r="Y629" s="326"/>
      <c r="Z629" s="326"/>
      <c r="AA629" s="326"/>
    </row>
    <row r="630" spans="1:27" ht="12.75">
      <c r="A630" s="326"/>
      <c r="B630" s="326"/>
      <c r="C630" s="326"/>
      <c r="D630" s="326"/>
      <c r="E630" s="326"/>
      <c r="F630" s="326"/>
      <c r="G630" s="326"/>
      <c r="H630" s="326"/>
      <c r="I630" s="326"/>
      <c r="J630" s="326"/>
      <c r="K630" s="326"/>
      <c r="L630" s="326"/>
      <c r="M630" s="326"/>
      <c r="N630" s="326"/>
      <c r="O630" s="326"/>
      <c r="P630" s="326"/>
      <c r="Q630" s="326"/>
      <c r="R630" s="326"/>
      <c r="S630" s="326"/>
      <c r="T630" s="326"/>
      <c r="U630" s="326"/>
      <c r="V630" s="326"/>
      <c r="W630" s="326"/>
      <c r="X630" s="326"/>
      <c r="Y630" s="326"/>
      <c r="Z630" s="326"/>
      <c r="AA630" s="326"/>
    </row>
    <row r="631" spans="1:27" ht="12.75">
      <c r="A631" s="326"/>
      <c r="B631" s="326"/>
      <c r="C631" s="326"/>
      <c r="D631" s="326"/>
      <c r="E631" s="326"/>
      <c r="F631" s="326"/>
      <c r="G631" s="326"/>
      <c r="H631" s="326"/>
      <c r="I631" s="326"/>
      <c r="J631" s="326"/>
      <c r="K631" s="326"/>
      <c r="L631" s="326"/>
      <c r="M631" s="326"/>
      <c r="N631" s="326"/>
      <c r="O631" s="326"/>
      <c r="P631" s="326"/>
      <c r="Q631" s="326"/>
      <c r="R631" s="326"/>
      <c r="S631" s="326"/>
      <c r="T631" s="326"/>
      <c r="U631" s="326"/>
      <c r="V631" s="326"/>
      <c r="W631" s="326"/>
      <c r="X631" s="326"/>
      <c r="Y631" s="326"/>
      <c r="Z631" s="326"/>
      <c r="AA631" s="326"/>
    </row>
    <row r="632" spans="1:27" ht="12.75">
      <c r="A632" s="326"/>
      <c r="B632" s="326"/>
      <c r="C632" s="326"/>
      <c r="D632" s="326"/>
      <c r="E632" s="326"/>
      <c r="F632" s="326"/>
      <c r="G632" s="326"/>
      <c r="H632" s="326"/>
      <c r="I632" s="326"/>
      <c r="J632" s="326"/>
      <c r="K632" s="326"/>
      <c r="L632" s="326"/>
      <c r="M632" s="326"/>
      <c r="N632" s="326"/>
      <c r="O632" s="326"/>
      <c r="P632" s="326"/>
      <c r="Q632" s="326"/>
      <c r="R632" s="326"/>
      <c r="S632" s="326"/>
      <c r="T632" s="326"/>
      <c r="U632" s="326"/>
      <c r="V632" s="326"/>
      <c r="W632" s="326"/>
      <c r="X632" s="326"/>
      <c r="Y632" s="326"/>
      <c r="Z632" s="326"/>
      <c r="AA632" s="326"/>
    </row>
    <row r="633" spans="1:27" ht="12.75">
      <c r="A633" s="326"/>
      <c r="B633" s="326"/>
      <c r="C633" s="326"/>
      <c r="D633" s="326"/>
      <c r="E633" s="326"/>
      <c r="F633" s="326"/>
      <c r="G633" s="326"/>
      <c r="H633" s="326"/>
      <c r="I633" s="326"/>
      <c r="J633" s="326"/>
      <c r="K633" s="326"/>
      <c r="L633" s="326"/>
      <c r="M633" s="326"/>
      <c r="N633" s="326"/>
      <c r="O633" s="326"/>
      <c r="P633" s="326"/>
      <c r="Q633" s="326"/>
      <c r="R633" s="326"/>
      <c r="S633" s="326"/>
      <c r="T633" s="326"/>
      <c r="U633" s="326"/>
      <c r="V633" s="326"/>
      <c r="W633" s="326"/>
      <c r="X633" s="326"/>
      <c r="Y633" s="326"/>
      <c r="Z633" s="326"/>
      <c r="AA633" s="326"/>
    </row>
    <row r="634" spans="1:27" ht="12.75">
      <c r="A634" s="326"/>
      <c r="B634" s="326"/>
      <c r="C634" s="326"/>
      <c r="D634" s="326"/>
      <c r="E634" s="326"/>
      <c r="F634" s="326"/>
      <c r="G634" s="326"/>
      <c r="H634" s="326"/>
      <c r="I634" s="326"/>
      <c r="J634" s="326"/>
      <c r="K634" s="326"/>
      <c r="L634" s="326"/>
      <c r="M634" s="326"/>
      <c r="N634" s="326"/>
      <c r="O634" s="326"/>
      <c r="P634" s="326"/>
      <c r="Q634" s="326"/>
      <c r="R634" s="326"/>
      <c r="S634" s="326"/>
      <c r="T634" s="326"/>
      <c r="U634" s="326"/>
      <c r="V634" s="326"/>
      <c r="W634" s="326"/>
      <c r="X634" s="326"/>
      <c r="Y634" s="326"/>
      <c r="Z634" s="326"/>
      <c r="AA634" s="326"/>
    </row>
    <row r="635" spans="1:27" ht="12.75">
      <c r="A635" s="326"/>
      <c r="B635" s="326"/>
      <c r="C635" s="326"/>
      <c r="D635" s="326"/>
      <c r="E635" s="326"/>
      <c r="F635" s="326"/>
      <c r="G635" s="326"/>
      <c r="H635" s="326"/>
      <c r="I635" s="326"/>
      <c r="J635" s="326"/>
      <c r="K635" s="326"/>
      <c r="L635" s="326"/>
      <c r="M635" s="326"/>
      <c r="N635" s="326"/>
      <c r="O635" s="326"/>
      <c r="P635" s="326"/>
      <c r="Q635" s="326"/>
      <c r="R635" s="326"/>
      <c r="S635" s="326"/>
      <c r="T635" s="326"/>
      <c r="U635" s="326"/>
      <c r="V635" s="326"/>
      <c r="W635" s="326"/>
      <c r="X635" s="326"/>
      <c r="Y635" s="326"/>
      <c r="Z635" s="326"/>
      <c r="AA635" s="326"/>
    </row>
    <row r="636" spans="1:27" ht="12.75">
      <c r="A636" s="326"/>
      <c r="B636" s="326"/>
      <c r="C636" s="326"/>
      <c r="D636" s="326"/>
      <c r="E636" s="326"/>
      <c r="F636" s="326"/>
      <c r="G636" s="326"/>
      <c r="H636" s="326"/>
      <c r="I636" s="326"/>
      <c r="J636" s="326"/>
      <c r="K636" s="326"/>
      <c r="L636" s="326"/>
      <c r="M636" s="326"/>
      <c r="N636" s="326"/>
      <c r="O636" s="326"/>
      <c r="P636" s="326"/>
      <c r="Q636" s="326"/>
      <c r="R636" s="326"/>
      <c r="S636" s="326"/>
      <c r="T636" s="326"/>
      <c r="U636" s="326"/>
      <c r="V636" s="326"/>
      <c r="W636" s="326"/>
      <c r="X636" s="326"/>
      <c r="Y636" s="326"/>
      <c r="Z636" s="326"/>
      <c r="AA636" s="326"/>
    </row>
    <row r="637" spans="1:27" ht="12.75">
      <c r="A637" s="326"/>
      <c r="B637" s="326"/>
      <c r="C637" s="326"/>
      <c r="D637" s="326"/>
      <c r="E637" s="326"/>
      <c r="F637" s="326"/>
      <c r="G637" s="326"/>
      <c r="H637" s="326"/>
      <c r="I637" s="326"/>
      <c r="J637" s="326"/>
      <c r="K637" s="326"/>
      <c r="L637" s="326"/>
      <c r="M637" s="326"/>
      <c r="N637" s="326"/>
      <c r="O637" s="326"/>
      <c r="P637" s="326"/>
      <c r="Q637" s="326"/>
      <c r="R637" s="326"/>
      <c r="S637" s="326"/>
      <c r="T637" s="326"/>
      <c r="U637" s="326"/>
      <c r="V637" s="326"/>
      <c r="W637" s="326"/>
      <c r="X637" s="326"/>
      <c r="Y637" s="326"/>
      <c r="Z637" s="326"/>
      <c r="AA637" s="326"/>
    </row>
    <row r="638" spans="1:27" ht="12.75">
      <c r="A638" s="326"/>
      <c r="B638" s="326"/>
      <c r="C638" s="326"/>
      <c r="D638" s="326"/>
      <c r="E638" s="326"/>
      <c r="F638" s="326"/>
      <c r="G638" s="326"/>
      <c r="H638" s="326"/>
      <c r="I638" s="326"/>
      <c r="J638" s="326"/>
      <c r="K638" s="326"/>
      <c r="L638" s="326"/>
      <c r="M638" s="326"/>
      <c r="N638" s="326"/>
      <c r="O638" s="326"/>
      <c r="P638" s="326"/>
      <c r="Q638" s="326"/>
      <c r="R638" s="326"/>
      <c r="S638" s="326"/>
      <c r="T638" s="326"/>
      <c r="U638" s="326"/>
      <c r="V638" s="326"/>
      <c r="W638" s="326"/>
      <c r="X638" s="326"/>
      <c r="Y638" s="326"/>
      <c r="Z638" s="326"/>
      <c r="AA638" s="326"/>
    </row>
    <row r="639" spans="1:27" ht="12.75">
      <c r="A639" s="326"/>
      <c r="B639" s="326"/>
      <c r="C639" s="326"/>
      <c r="D639" s="326"/>
      <c r="E639" s="326"/>
      <c r="F639" s="326"/>
      <c r="G639" s="326"/>
      <c r="H639" s="326"/>
      <c r="I639" s="326"/>
      <c r="J639" s="326"/>
      <c r="K639" s="326"/>
      <c r="L639" s="326"/>
      <c r="M639" s="326"/>
      <c r="N639" s="326"/>
      <c r="O639" s="326"/>
      <c r="P639" s="326"/>
      <c r="Q639" s="326"/>
      <c r="R639" s="326"/>
      <c r="S639" s="326"/>
      <c r="T639" s="326"/>
      <c r="U639" s="326"/>
      <c r="V639" s="326"/>
      <c r="W639" s="326"/>
      <c r="X639" s="326"/>
      <c r="Y639" s="326"/>
      <c r="Z639" s="326"/>
      <c r="AA639" s="326"/>
    </row>
    <row r="640" spans="1:27" ht="12.75">
      <c r="A640" s="326"/>
      <c r="B640" s="326"/>
      <c r="C640" s="326"/>
      <c r="D640" s="326"/>
      <c r="E640" s="326"/>
      <c r="F640" s="326"/>
      <c r="G640" s="326"/>
      <c r="H640" s="326"/>
      <c r="I640" s="326"/>
      <c r="J640" s="326"/>
      <c r="K640" s="326"/>
      <c r="L640" s="326"/>
      <c r="M640" s="326"/>
      <c r="N640" s="326"/>
      <c r="O640" s="326"/>
      <c r="P640" s="326"/>
      <c r="Q640" s="326"/>
      <c r="R640" s="326"/>
      <c r="S640" s="326"/>
      <c r="T640" s="326"/>
      <c r="U640" s="326"/>
      <c r="V640" s="326"/>
      <c r="W640" s="326"/>
      <c r="X640" s="326"/>
      <c r="Y640" s="326"/>
      <c r="Z640" s="326"/>
      <c r="AA640" s="326"/>
    </row>
    <row r="641" spans="1:27" ht="12.75">
      <c r="A641" s="326"/>
      <c r="B641" s="326"/>
      <c r="C641" s="326"/>
      <c r="D641" s="326"/>
      <c r="E641" s="326"/>
      <c r="F641" s="326"/>
      <c r="G641" s="326"/>
      <c r="H641" s="326"/>
      <c r="I641" s="326"/>
      <c r="J641" s="326"/>
      <c r="K641" s="326"/>
      <c r="L641" s="326"/>
      <c r="M641" s="326"/>
      <c r="N641" s="326"/>
      <c r="O641" s="326"/>
      <c r="P641" s="326"/>
      <c r="Q641" s="326"/>
      <c r="R641" s="326"/>
      <c r="S641" s="326"/>
      <c r="T641" s="326"/>
      <c r="U641" s="326"/>
      <c r="V641" s="326"/>
      <c r="W641" s="326"/>
      <c r="X641" s="326"/>
      <c r="Y641" s="326"/>
      <c r="Z641" s="326"/>
      <c r="AA641" s="326"/>
    </row>
    <row r="642" spans="1:27" ht="12.75">
      <c r="A642" s="326"/>
      <c r="B642" s="326"/>
      <c r="C642" s="326"/>
      <c r="D642" s="326"/>
      <c r="E642" s="326"/>
      <c r="F642" s="326"/>
      <c r="G642" s="326"/>
      <c r="H642" s="326"/>
      <c r="I642" s="326"/>
      <c r="J642" s="326"/>
      <c r="K642" s="326"/>
      <c r="L642" s="326"/>
      <c r="M642" s="326"/>
      <c r="N642" s="326"/>
      <c r="O642" s="326"/>
      <c r="P642" s="326"/>
      <c r="Q642" s="326"/>
      <c r="R642" s="326"/>
      <c r="S642" s="326"/>
      <c r="T642" s="326"/>
      <c r="U642" s="326"/>
      <c r="V642" s="326"/>
      <c r="W642" s="326"/>
      <c r="X642" s="326"/>
      <c r="Y642" s="326"/>
      <c r="Z642" s="326"/>
      <c r="AA642" s="326"/>
    </row>
    <row r="643" spans="1:27" ht="12.75">
      <c r="A643" s="326"/>
      <c r="B643" s="326"/>
      <c r="C643" s="326"/>
      <c r="D643" s="326"/>
      <c r="E643" s="326"/>
      <c r="F643" s="326"/>
      <c r="G643" s="326"/>
      <c r="H643" s="326"/>
      <c r="I643" s="326"/>
      <c r="J643" s="326"/>
      <c r="K643" s="326"/>
      <c r="L643" s="326"/>
      <c r="M643" s="326"/>
      <c r="N643" s="326"/>
      <c r="O643" s="326"/>
      <c r="P643" s="326"/>
      <c r="Q643" s="326"/>
      <c r="R643" s="326"/>
      <c r="S643" s="326"/>
      <c r="T643" s="326"/>
      <c r="U643" s="326"/>
      <c r="V643" s="326"/>
      <c r="W643" s="326"/>
      <c r="X643" s="326"/>
      <c r="Y643" s="326"/>
      <c r="Z643" s="326"/>
      <c r="AA643" s="326"/>
    </row>
    <row r="644" spans="1:27" ht="12.75">
      <c r="A644" s="326"/>
      <c r="B644" s="326"/>
      <c r="C644" s="326"/>
      <c r="D644" s="326"/>
      <c r="E644" s="326"/>
      <c r="F644" s="326"/>
      <c r="G644" s="326"/>
      <c r="H644" s="326"/>
      <c r="I644" s="326"/>
      <c r="J644" s="326"/>
      <c r="K644" s="326"/>
      <c r="L644" s="326"/>
      <c r="M644" s="326"/>
      <c r="N644" s="326"/>
      <c r="O644" s="326"/>
      <c r="P644" s="326"/>
      <c r="Q644" s="326"/>
      <c r="R644" s="326"/>
      <c r="S644" s="326"/>
      <c r="T644" s="326"/>
      <c r="U644" s="326"/>
      <c r="V644" s="326"/>
      <c r="W644" s="326"/>
      <c r="X644" s="326"/>
      <c r="Y644" s="326"/>
      <c r="Z644" s="326"/>
      <c r="AA644" s="326"/>
    </row>
    <row r="645" spans="1:27" ht="12.75">
      <c r="A645" s="326"/>
      <c r="B645" s="326"/>
      <c r="C645" s="326"/>
      <c r="D645" s="326"/>
      <c r="E645" s="326"/>
      <c r="F645" s="326"/>
      <c r="G645" s="326"/>
      <c r="H645" s="326"/>
      <c r="I645" s="326"/>
      <c r="J645" s="326"/>
      <c r="K645" s="326"/>
      <c r="L645" s="326"/>
      <c r="M645" s="326"/>
      <c r="N645" s="326"/>
      <c r="O645" s="326"/>
      <c r="P645" s="326"/>
      <c r="Q645" s="326"/>
      <c r="R645" s="326"/>
      <c r="S645" s="326"/>
      <c r="T645" s="326"/>
      <c r="U645" s="326"/>
      <c r="V645" s="326"/>
      <c r="W645" s="326"/>
      <c r="X645" s="326"/>
      <c r="Y645" s="326"/>
      <c r="Z645" s="326"/>
      <c r="AA645" s="326"/>
    </row>
    <row r="646" spans="1:27" ht="12.75">
      <c r="A646" s="326"/>
      <c r="B646" s="326"/>
      <c r="C646" s="326"/>
      <c r="D646" s="326"/>
      <c r="E646" s="326"/>
      <c r="F646" s="326"/>
      <c r="G646" s="326"/>
      <c r="H646" s="326"/>
      <c r="I646" s="326"/>
      <c r="J646" s="326"/>
      <c r="K646" s="326"/>
      <c r="L646" s="326"/>
      <c r="M646" s="326"/>
      <c r="N646" s="326"/>
      <c r="O646" s="326"/>
      <c r="P646" s="326"/>
      <c r="Q646" s="326"/>
      <c r="R646" s="326"/>
      <c r="S646" s="326"/>
      <c r="T646" s="326"/>
      <c r="U646" s="326"/>
      <c r="V646" s="326"/>
      <c r="W646" s="326"/>
      <c r="X646" s="326"/>
      <c r="Y646" s="326"/>
      <c r="Z646" s="326"/>
      <c r="AA646" s="326"/>
    </row>
    <row r="647" spans="1:27" ht="12.75">
      <c r="A647" s="326"/>
      <c r="B647" s="326"/>
      <c r="C647" s="326"/>
      <c r="D647" s="326"/>
      <c r="E647" s="326"/>
      <c r="F647" s="326"/>
      <c r="G647" s="326"/>
      <c r="H647" s="326"/>
      <c r="I647" s="326"/>
      <c r="J647" s="326"/>
      <c r="K647" s="326"/>
      <c r="L647" s="326"/>
      <c r="M647" s="326"/>
      <c r="N647" s="326"/>
      <c r="O647" s="326"/>
      <c r="P647" s="326"/>
      <c r="Q647" s="326"/>
      <c r="R647" s="326"/>
      <c r="S647" s="326"/>
      <c r="T647" s="326"/>
      <c r="U647" s="326"/>
      <c r="V647" s="326"/>
      <c r="W647" s="326"/>
      <c r="X647" s="326"/>
      <c r="Y647" s="326"/>
      <c r="Z647" s="326"/>
      <c r="AA647" s="326"/>
    </row>
    <row r="648" spans="1:27" ht="12.75">
      <c r="A648" s="326"/>
      <c r="B648" s="326"/>
      <c r="C648" s="326"/>
      <c r="D648" s="326"/>
      <c r="E648" s="326"/>
      <c r="F648" s="326"/>
      <c r="G648" s="326"/>
      <c r="H648" s="326"/>
      <c r="I648" s="326"/>
      <c r="J648" s="326"/>
      <c r="K648" s="326"/>
      <c r="L648" s="326"/>
      <c r="M648" s="326"/>
      <c r="N648" s="326"/>
      <c r="O648" s="326"/>
      <c r="P648" s="326"/>
      <c r="Q648" s="326"/>
      <c r="R648" s="326"/>
      <c r="S648" s="326"/>
      <c r="T648" s="326"/>
      <c r="U648" s="326"/>
      <c r="V648" s="326"/>
      <c r="W648" s="326"/>
      <c r="X648" s="326"/>
      <c r="Y648" s="326"/>
      <c r="Z648" s="326"/>
      <c r="AA648" s="326"/>
    </row>
    <row r="649" spans="1:27" ht="12.75">
      <c r="A649" s="326"/>
      <c r="B649" s="326"/>
      <c r="C649" s="326"/>
      <c r="D649" s="326"/>
      <c r="E649" s="326"/>
      <c r="F649" s="326"/>
      <c r="G649" s="326"/>
      <c r="H649" s="326"/>
      <c r="I649" s="326"/>
      <c r="J649" s="326"/>
      <c r="K649" s="326"/>
      <c r="L649" s="326"/>
      <c r="M649" s="326"/>
      <c r="N649" s="326"/>
      <c r="O649" s="326"/>
      <c r="P649" s="326"/>
      <c r="Q649" s="326"/>
      <c r="R649" s="326"/>
      <c r="S649" s="326"/>
      <c r="T649" s="326"/>
      <c r="U649" s="326"/>
      <c r="V649" s="326"/>
      <c r="W649" s="326"/>
      <c r="X649" s="326"/>
      <c r="Y649" s="326"/>
      <c r="Z649" s="326"/>
      <c r="AA649" s="326"/>
    </row>
    <row r="650" spans="1:27" ht="12.75">
      <c r="A650" s="326"/>
      <c r="B650" s="326"/>
      <c r="C650" s="326"/>
      <c r="D650" s="326"/>
      <c r="E650" s="326"/>
      <c r="F650" s="326"/>
      <c r="G650" s="326"/>
      <c r="H650" s="326"/>
      <c r="I650" s="326"/>
      <c r="J650" s="326"/>
      <c r="K650" s="326"/>
      <c r="L650" s="326"/>
      <c r="M650" s="326"/>
      <c r="N650" s="326"/>
      <c r="O650" s="326"/>
      <c r="P650" s="326"/>
      <c r="Q650" s="326"/>
      <c r="R650" s="326"/>
      <c r="S650" s="326"/>
      <c r="T650" s="326"/>
      <c r="U650" s="326"/>
      <c r="V650" s="326"/>
      <c r="W650" s="326"/>
      <c r="X650" s="326"/>
      <c r="Y650" s="326"/>
      <c r="Z650" s="326"/>
      <c r="AA650" s="326"/>
    </row>
    <row r="651" spans="1:27" ht="12.75">
      <c r="A651" s="326"/>
      <c r="B651" s="326"/>
      <c r="C651" s="326"/>
      <c r="D651" s="326"/>
      <c r="E651" s="326"/>
      <c r="F651" s="326"/>
      <c r="G651" s="326"/>
      <c r="H651" s="326"/>
      <c r="I651" s="326"/>
      <c r="J651" s="326"/>
      <c r="K651" s="326"/>
      <c r="L651" s="326"/>
      <c r="M651" s="326"/>
      <c r="N651" s="326"/>
      <c r="O651" s="326"/>
      <c r="P651" s="326"/>
      <c r="Q651" s="326"/>
      <c r="R651" s="326"/>
      <c r="S651" s="326"/>
      <c r="T651" s="326"/>
      <c r="U651" s="326"/>
      <c r="V651" s="326"/>
      <c r="W651" s="326"/>
      <c r="X651" s="326"/>
      <c r="Y651" s="326"/>
      <c r="Z651" s="326"/>
      <c r="AA651" s="326"/>
    </row>
    <row r="652" spans="1:27" ht="12.75">
      <c r="A652" s="326"/>
      <c r="B652" s="326"/>
      <c r="C652" s="326"/>
      <c r="D652" s="326"/>
      <c r="E652" s="326"/>
      <c r="F652" s="326"/>
      <c r="G652" s="326"/>
      <c r="H652" s="326"/>
      <c r="I652" s="326"/>
      <c r="J652" s="326"/>
      <c r="K652" s="326"/>
      <c r="L652" s="326"/>
      <c r="M652" s="326"/>
      <c r="N652" s="326"/>
      <c r="O652" s="326"/>
      <c r="P652" s="326"/>
      <c r="Q652" s="326"/>
      <c r="R652" s="326"/>
      <c r="S652" s="326"/>
      <c r="T652" s="326"/>
      <c r="U652" s="326"/>
      <c r="V652" s="326"/>
      <c r="W652" s="326"/>
      <c r="X652" s="326"/>
      <c r="Y652" s="326"/>
      <c r="Z652" s="326"/>
      <c r="AA652" s="326"/>
    </row>
    <row r="653" spans="1:27" ht="12.75">
      <c r="A653" s="326"/>
      <c r="B653" s="326"/>
      <c r="C653" s="326"/>
      <c r="D653" s="326"/>
      <c r="E653" s="326"/>
      <c r="F653" s="326"/>
      <c r="G653" s="326"/>
      <c r="H653" s="326"/>
      <c r="I653" s="326"/>
      <c r="J653" s="326"/>
      <c r="K653" s="326"/>
      <c r="L653" s="326"/>
      <c r="M653" s="326"/>
      <c r="N653" s="326"/>
      <c r="O653" s="326"/>
      <c r="P653" s="326"/>
      <c r="Q653" s="326"/>
      <c r="R653" s="326"/>
      <c r="S653" s="326"/>
      <c r="T653" s="326"/>
      <c r="U653" s="326"/>
      <c r="V653" s="326"/>
      <c r="W653" s="326"/>
      <c r="X653" s="326"/>
      <c r="Y653" s="326"/>
      <c r="Z653" s="326"/>
      <c r="AA653" s="326"/>
    </row>
    <row r="654" spans="1:27" ht="12.75">
      <c r="A654" s="326"/>
      <c r="B654" s="326"/>
      <c r="C654" s="326"/>
      <c r="D654" s="326"/>
      <c r="E654" s="326"/>
      <c r="F654" s="326"/>
      <c r="G654" s="326"/>
      <c r="H654" s="326"/>
      <c r="I654" s="326"/>
      <c r="J654" s="326"/>
      <c r="K654" s="326"/>
      <c r="L654" s="326"/>
      <c r="M654" s="326"/>
      <c r="N654" s="326"/>
      <c r="O654" s="326"/>
      <c r="P654" s="326"/>
      <c r="Q654" s="326"/>
      <c r="R654" s="326"/>
      <c r="S654" s="326"/>
      <c r="T654" s="326"/>
      <c r="U654" s="326"/>
      <c r="V654" s="326"/>
      <c r="W654" s="326"/>
      <c r="X654" s="326"/>
      <c r="Y654" s="326"/>
      <c r="Z654" s="326"/>
      <c r="AA654" s="326"/>
    </row>
    <row r="655" spans="1:27" ht="12.75">
      <c r="A655" s="326"/>
      <c r="B655" s="326"/>
      <c r="C655" s="326"/>
      <c r="D655" s="326"/>
      <c r="E655" s="326"/>
      <c r="F655" s="326"/>
      <c r="G655" s="326"/>
      <c r="H655" s="326"/>
      <c r="I655" s="326"/>
      <c r="J655" s="326"/>
      <c r="K655" s="326"/>
      <c r="L655" s="326"/>
      <c r="M655" s="326"/>
      <c r="N655" s="326"/>
      <c r="O655" s="326"/>
      <c r="P655" s="326"/>
      <c r="Q655" s="326"/>
      <c r="R655" s="326"/>
      <c r="S655" s="326"/>
      <c r="T655" s="326"/>
      <c r="U655" s="326"/>
      <c r="V655" s="326"/>
      <c r="W655" s="326"/>
      <c r="X655" s="326"/>
      <c r="Y655" s="326"/>
      <c r="Z655" s="326"/>
      <c r="AA655" s="326"/>
    </row>
    <row r="656" spans="1:27" ht="12.75">
      <c r="A656" s="326"/>
      <c r="B656" s="326"/>
      <c r="C656" s="326"/>
      <c r="D656" s="326"/>
      <c r="E656" s="326"/>
      <c r="F656" s="326"/>
      <c r="G656" s="326"/>
      <c r="H656" s="326"/>
      <c r="I656" s="326"/>
      <c r="J656" s="326"/>
      <c r="K656" s="326"/>
      <c r="L656" s="326"/>
      <c r="M656" s="326"/>
      <c r="N656" s="326"/>
      <c r="O656" s="326"/>
      <c r="P656" s="326"/>
      <c r="Q656" s="326"/>
      <c r="R656" s="326"/>
      <c r="S656" s="326"/>
      <c r="T656" s="326"/>
      <c r="U656" s="326"/>
      <c r="V656" s="326"/>
      <c r="W656" s="326"/>
      <c r="X656" s="326"/>
      <c r="Y656" s="326"/>
      <c r="Z656" s="326"/>
      <c r="AA656" s="326"/>
    </row>
    <row r="657" spans="1:27" ht="12.75">
      <c r="A657" s="326"/>
      <c r="B657" s="326"/>
      <c r="C657" s="326"/>
      <c r="D657" s="326"/>
      <c r="E657" s="326"/>
      <c r="F657" s="326"/>
      <c r="G657" s="326"/>
      <c r="H657" s="326"/>
      <c r="I657" s="326"/>
      <c r="J657" s="326"/>
      <c r="K657" s="326"/>
      <c r="L657" s="326"/>
      <c r="M657" s="326"/>
      <c r="N657" s="326"/>
      <c r="O657" s="326"/>
      <c r="P657" s="326"/>
      <c r="Q657" s="326"/>
      <c r="R657" s="326"/>
      <c r="S657" s="326"/>
      <c r="T657" s="326"/>
      <c r="U657" s="326"/>
      <c r="V657" s="326"/>
      <c r="W657" s="326"/>
      <c r="X657" s="326"/>
      <c r="Y657" s="326"/>
      <c r="Z657" s="326"/>
      <c r="AA657" s="326"/>
    </row>
    <row r="658" spans="1:27" ht="12.75">
      <c r="A658" s="326"/>
      <c r="B658" s="326"/>
      <c r="C658" s="326"/>
      <c r="D658" s="326"/>
      <c r="E658" s="326"/>
      <c r="F658" s="326"/>
      <c r="G658" s="326"/>
      <c r="H658" s="326"/>
      <c r="I658" s="326"/>
      <c r="J658" s="326"/>
      <c r="K658" s="326"/>
      <c r="L658" s="326"/>
      <c r="M658" s="326"/>
      <c r="N658" s="326"/>
      <c r="O658" s="326"/>
      <c r="P658" s="326"/>
      <c r="Q658" s="326"/>
      <c r="R658" s="326"/>
      <c r="S658" s="326"/>
      <c r="T658" s="326"/>
      <c r="U658" s="326"/>
      <c r="V658" s="326"/>
      <c r="W658" s="326"/>
      <c r="X658" s="326"/>
      <c r="Y658" s="326"/>
      <c r="Z658" s="326"/>
      <c r="AA658" s="326"/>
    </row>
    <row r="659" spans="1:27" ht="12.75">
      <c r="A659" s="326"/>
      <c r="B659" s="326"/>
      <c r="C659" s="326"/>
      <c r="D659" s="326"/>
      <c r="E659" s="326"/>
      <c r="F659" s="326"/>
      <c r="G659" s="326"/>
      <c r="H659" s="326"/>
      <c r="I659" s="326"/>
      <c r="J659" s="326"/>
      <c r="K659" s="326"/>
      <c r="L659" s="326"/>
      <c r="M659" s="326"/>
      <c r="N659" s="326"/>
      <c r="O659" s="326"/>
      <c r="P659" s="326"/>
      <c r="Q659" s="326"/>
      <c r="R659" s="326"/>
      <c r="S659" s="326"/>
      <c r="T659" s="326"/>
      <c r="U659" s="326"/>
      <c r="V659" s="326"/>
      <c r="W659" s="326"/>
      <c r="X659" s="326"/>
      <c r="Y659" s="326"/>
      <c r="Z659" s="326"/>
      <c r="AA659" s="326"/>
    </row>
    <row r="660" spans="1:27" ht="12.75">
      <c r="A660" s="326"/>
      <c r="B660" s="326"/>
      <c r="C660" s="326"/>
      <c r="D660" s="326"/>
      <c r="E660" s="326"/>
      <c r="F660" s="326"/>
      <c r="G660" s="326"/>
      <c r="H660" s="326"/>
      <c r="I660" s="326"/>
      <c r="J660" s="326"/>
      <c r="K660" s="326"/>
      <c r="L660" s="326"/>
      <c r="M660" s="326"/>
      <c r="N660" s="326"/>
      <c r="O660" s="326"/>
      <c r="P660" s="326"/>
      <c r="Q660" s="326"/>
      <c r="R660" s="326"/>
      <c r="S660" s="326"/>
      <c r="T660" s="326"/>
      <c r="U660" s="326"/>
      <c r="V660" s="326"/>
      <c r="W660" s="326"/>
      <c r="X660" s="326"/>
      <c r="Y660" s="326"/>
      <c r="Z660" s="326"/>
      <c r="AA660" s="326"/>
    </row>
    <row r="661" spans="1:27" ht="12.75">
      <c r="A661" s="326"/>
      <c r="B661" s="326"/>
      <c r="C661" s="326"/>
      <c r="D661" s="326"/>
      <c r="E661" s="326"/>
      <c r="F661" s="326"/>
      <c r="G661" s="326"/>
      <c r="H661" s="326"/>
      <c r="I661" s="326"/>
      <c r="J661" s="326"/>
      <c r="K661" s="326"/>
      <c r="L661" s="326"/>
      <c r="M661" s="326"/>
      <c r="N661" s="326"/>
      <c r="O661" s="326"/>
      <c r="P661" s="326"/>
      <c r="Q661" s="326"/>
      <c r="R661" s="326"/>
      <c r="S661" s="326"/>
      <c r="T661" s="326"/>
      <c r="U661" s="326"/>
      <c r="V661" s="326"/>
      <c r="W661" s="326"/>
      <c r="X661" s="326"/>
      <c r="Y661" s="326"/>
      <c r="Z661" s="326"/>
      <c r="AA661" s="326"/>
    </row>
    <row r="662" spans="1:27" ht="12.75">
      <c r="A662" s="326"/>
      <c r="B662" s="326"/>
      <c r="C662" s="326"/>
      <c r="D662" s="326"/>
      <c r="E662" s="326"/>
      <c r="F662" s="326"/>
      <c r="G662" s="326"/>
      <c r="H662" s="326"/>
      <c r="I662" s="326"/>
      <c r="J662" s="326"/>
      <c r="K662" s="326"/>
      <c r="L662" s="326"/>
      <c r="M662" s="326"/>
      <c r="N662" s="326"/>
      <c r="O662" s="326"/>
      <c r="P662" s="326"/>
      <c r="Q662" s="326"/>
      <c r="R662" s="326"/>
      <c r="S662" s="326"/>
      <c r="T662" s="326"/>
      <c r="U662" s="326"/>
      <c r="V662" s="326"/>
      <c r="W662" s="326"/>
      <c r="X662" s="326"/>
      <c r="Y662" s="326"/>
      <c r="Z662" s="326"/>
      <c r="AA662" s="326"/>
    </row>
    <row r="663" spans="1:27" ht="12.75">
      <c r="A663" s="326"/>
      <c r="B663" s="326"/>
      <c r="C663" s="326"/>
      <c r="D663" s="326"/>
      <c r="E663" s="326"/>
      <c r="F663" s="326"/>
      <c r="G663" s="326"/>
      <c r="H663" s="326"/>
      <c r="I663" s="326"/>
      <c r="J663" s="326"/>
      <c r="K663" s="326"/>
      <c r="L663" s="326"/>
      <c r="M663" s="326"/>
      <c r="N663" s="326"/>
      <c r="O663" s="326"/>
      <c r="P663" s="326"/>
      <c r="Q663" s="326"/>
      <c r="R663" s="326"/>
      <c r="S663" s="326"/>
      <c r="T663" s="326"/>
      <c r="U663" s="326"/>
      <c r="V663" s="326"/>
      <c r="W663" s="326"/>
      <c r="X663" s="326"/>
      <c r="Y663" s="326"/>
      <c r="Z663" s="326"/>
      <c r="AA663" s="326"/>
    </row>
    <row r="664" spans="1:27" ht="12.75">
      <c r="A664" s="326"/>
      <c r="B664" s="326"/>
      <c r="C664" s="326"/>
      <c r="D664" s="326"/>
      <c r="E664" s="326"/>
      <c r="F664" s="326"/>
      <c r="G664" s="326"/>
      <c r="H664" s="326"/>
      <c r="I664" s="326"/>
      <c r="J664" s="326"/>
      <c r="K664" s="326"/>
      <c r="L664" s="326"/>
      <c r="M664" s="326"/>
      <c r="N664" s="326"/>
      <c r="O664" s="326"/>
      <c r="P664" s="326"/>
      <c r="Q664" s="326"/>
      <c r="R664" s="326"/>
      <c r="S664" s="326"/>
      <c r="T664" s="326"/>
      <c r="U664" s="326"/>
      <c r="V664" s="326"/>
      <c r="W664" s="326"/>
      <c r="X664" s="326"/>
      <c r="Y664" s="326"/>
      <c r="Z664" s="326"/>
      <c r="AA664" s="326"/>
    </row>
    <row r="665" spans="1:27" ht="12.75">
      <c r="A665" s="326"/>
      <c r="B665" s="326"/>
      <c r="C665" s="326"/>
      <c r="D665" s="326"/>
      <c r="E665" s="326"/>
      <c r="F665" s="326"/>
      <c r="G665" s="326"/>
      <c r="H665" s="326"/>
      <c r="I665" s="326"/>
      <c r="J665" s="326"/>
      <c r="K665" s="326"/>
      <c r="L665" s="326"/>
      <c r="M665" s="326"/>
      <c r="N665" s="326"/>
      <c r="O665" s="326"/>
      <c r="P665" s="326"/>
      <c r="Q665" s="326"/>
      <c r="R665" s="326"/>
      <c r="S665" s="326"/>
      <c r="T665" s="326"/>
      <c r="U665" s="326"/>
      <c r="V665" s="326"/>
      <c r="W665" s="326"/>
      <c r="X665" s="326"/>
      <c r="Y665" s="326"/>
      <c r="Z665" s="326"/>
      <c r="AA665" s="326"/>
    </row>
    <row r="666" spans="1:27" ht="12.75">
      <c r="A666" s="326"/>
      <c r="B666" s="326"/>
      <c r="C666" s="326"/>
      <c r="D666" s="326"/>
      <c r="E666" s="326"/>
      <c r="F666" s="326"/>
      <c r="G666" s="326"/>
      <c r="H666" s="326"/>
      <c r="I666" s="326"/>
      <c r="J666" s="326"/>
      <c r="K666" s="326"/>
      <c r="L666" s="326"/>
      <c r="M666" s="326"/>
      <c r="N666" s="326"/>
      <c r="O666" s="326"/>
      <c r="P666" s="326"/>
      <c r="Q666" s="326"/>
      <c r="R666" s="326"/>
      <c r="S666" s="326"/>
      <c r="T666" s="326"/>
      <c r="U666" s="326"/>
      <c r="V666" s="326"/>
      <c r="W666" s="326"/>
      <c r="X666" s="326"/>
      <c r="Y666" s="326"/>
      <c r="Z666" s="326"/>
      <c r="AA666" s="326"/>
    </row>
    <row r="667" spans="1:27" ht="12.75">
      <c r="A667" s="326"/>
      <c r="B667" s="326"/>
      <c r="C667" s="326"/>
      <c r="D667" s="326"/>
      <c r="E667" s="326"/>
      <c r="F667" s="326"/>
      <c r="G667" s="326"/>
      <c r="H667" s="326"/>
      <c r="I667" s="326"/>
      <c r="J667" s="326"/>
      <c r="K667" s="326"/>
      <c r="L667" s="326"/>
      <c r="M667" s="326"/>
      <c r="N667" s="326"/>
      <c r="O667" s="326"/>
      <c r="P667" s="326"/>
      <c r="Q667" s="326"/>
      <c r="R667" s="326"/>
      <c r="S667" s="326"/>
      <c r="T667" s="326"/>
      <c r="U667" s="326"/>
      <c r="V667" s="326"/>
      <c r="W667" s="326"/>
      <c r="X667" s="326"/>
      <c r="Y667" s="326"/>
      <c r="Z667" s="326"/>
      <c r="AA667" s="326"/>
    </row>
    <row r="668" spans="1:27" ht="12.75">
      <c r="A668" s="326"/>
      <c r="B668" s="326"/>
      <c r="C668" s="326"/>
      <c r="D668" s="326"/>
      <c r="E668" s="326"/>
      <c r="F668" s="326"/>
      <c r="G668" s="326"/>
      <c r="H668" s="326"/>
      <c r="I668" s="326"/>
      <c r="J668" s="326"/>
      <c r="K668" s="326"/>
      <c r="L668" s="326"/>
      <c r="M668" s="326"/>
      <c r="N668" s="326"/>
      <c r="O668" s="326"/>
      <c r="P668" s="326"/>
      <c r="Q668" s="326"/>
      <c r="R668" s="326"/>
      <c r="S668" s="326"/>
      <c r="T668" s="326"/>
      <c r="U668" s="326"/>
      <c r="V668" s="326"/>
      <c r="W668" s="326"/>
      <c r="X668" s="326"/>
      <c r="Y668" s="326"/>
      <c r="Z668" s="326"/>
      <c r="AA668" s="326"/>
    </row>
    <row r="669" spans="1:27" ht="12.75">
      <c r="A669" s="326"/>
      <c r="B669" s="326"/>
      <c r="C669" s="326"/>
      <c r="D669" s="326"/>
      <c r="E669" s="326"/>
      <c r="F669" s="326"/>
      <c r="G669" s="326"/>
      <c r="H669" s="326"/>
      <c r="I669" s="326"/>
      <c r="J669" s="326"/>
      <c r="K669" s="326"/>
      <c r="L669" s="326"/>
      <c r="M669" s="326"/>
      <c r="N669" s="326"/>
      <c r="O669" s="326"/>
      <c r="P669" s="326"/>
      <c r="Q669" s="326"/>
      <c r="R669" s="326"/>
      <c r="S669" s="326"/>
      <c r="T669" s="326"/>
      <c r="U669" s="326"/>
      <c r="V669" s="326"/>
      <c r="W669" s="326"/>
      <c r="X669" s="326"/>
      <c r="Y669" s="326"/>
      <c r="Z669" s="326"/>
      <c r="AA669" s="326"/>
    </row>
    <row r="670" spans="1:27" ht="12.75">
      <c r="A670" s="326"/>
      <c r="B670" s="326"/>
      <c r="C670" s="326"/>
      <c r="D670" s="326"/>
      <c r="E670" s="326"/>
      <c r="F670" s="326"/>
      <c r="G670" s="326"/>
      <c r="H670" s="326"/>
      <c r="I670" s="326"/>
      <c r="J670" s="326"/>
      <c r="K670" s="326"/>
      <c r="L670" s="326"/>
      <c r="M670" s="326"/>
      <c r="N670" s="326"/>
      <c r="O670" s="326"/>
      <c r="P670" s="326"/>
      <c r="Q670" s="326"/>
      <c r="R670" s="326"/>
      <c r="S670" s="326"/>
      <c r="T670" s="326"/>
      <c r="U670" s="326"/>
      <c r="V670" s="326"/>
      <c r="W670" s="326"/>
      <c r="X670" s="326"/>
      <c r="Y670" s="326"/>
      <c r="Z670" s="326"/>
      <c r="AA670" s="326"/>
    </row>
    <row r="671" spans="1:27" ht="12.75">
      <c r="A671" s="326"/>
      <c r="B671" s="326"/>
      <c r="C671" s="326"/>
      <c r="D671" s="326"/>
      <c r="E671" s="326"/>
      <c r="F671" s="326"/>
      <c r="G671" s="326"/>
      <c r="H671" s="326"/>
      <c r="I671" s="326"/>
      <c r="J671" s="326"/>
      <c r="K671" s="326"/>
      <c r="L671" s="326"/>
      <c r="M671" s="326"/>
      <c r="N671" s="326"/>
      <c r="O671" s="326"/>
      <c r="P671" s="326"/>
      <c r="Q671" s="326"/>
      <c r="R671" s="326"/>
      <c r="S671" s="326"/>
      <c r="T671" s="326"/>
      <c r="U671" s="326"/>
      <c r="V671" s="326"/>
      <c r="W671" s="326"/>
      <c r="X671" s="326"/>
      <c r="Y671" s="326"/>
      <c r="Z671" s="326"/>
      <c r="AA671" s="326"/>
    </row>
    <row r="672" spans="1:27" ht="12.75">
      <c r="A672" s="326"/>
      <c r="B672" s="326"/>
      <c r="C672" s="326"/>
      <c r="D672" s="326"/>
      <c r="E672" s="326"/>
      <c r="F672" s="326"/>
      <c r="G672" s="326"/>
      <c r="H672" s="326"/>
      <c r="I672" s="326"/>
      <c r="J672" s="326"/>
      <c r="K672" s="326"/>
      <c r="L672" s="326"/>
      <c r="M672" s="326"/>
      <c r="N672" s="326"/>
      <c r="O672" s="326"/>
      <c r="P672" s="326"/>
      <c r="Q672" s="326"/>
      <c r="R672" s="326"/>
      <c r="S672" s="326"/>
      <c r="T672" s="326"/>
      <c r="U672" s="326"/>
      <c r="V672" s="326"/>
      <c r="W672" s="326"/>
      <c r="X672" s="326"/>
      <c r="Y672" s="326"/>
      <c r="Z672" s="326"/>
      <c r="AA672" s="326"/>
    </row>
    <row r="673" spans="1:27" ht="12.75">
      <c r="A673" s="326"/>
      <c r="B673" s="326"/>
      <c r="C673" s="326"/>
      <c r="D673" s="326"/>
      <c r="E673" s="326"/>
      <c r="F673" s="326"/>
      <c r="G673" s="326"/>
      <c r="H673" s="326"/>
      <c r="I673" s="326"/>
      <c r="J673" s="326"/>
      <c r="K673" s="326"/>
      <c r="L673" s="326"/>
      <c r="M673" s="326"/>
      <c r="N673" s="326"/>
      <c r="O673" s="326"/>
      <c r="P673" s="326"/>
      <c r="Q673" s="326"/>
      <c r="R673" s="326"/>
      <c r="S673" s="326"/>
      <c r="T673" s="326"/>
      <c r="U673" s="326"/>
      <c r="V673" s="326"/>
      <c r="W673" s="326"/>
      <c r="X673" s="326"/>
      <c r="Y673" s="326"/>
      <c r="Z673" s="326"/>
      <c r="AA673" s="326"/>
    </row>
    <row r="674" spans="1:27" ht="12.75">
      <c r="A674" s="326"/>
      <c r="B674" s="326"/>
      <c r="C674" s="326"/>
      <c r="D674" s="326"/>
      <c r="E674" s="326"/>
      <c r="F674" s="326"/>
      <c r="G674" s="326"/>
      <c r="H674" s="326"/>
      <c r="I674" s="326"/>
      <c r="J674" s="326"/>
      <c r="K674" s="326"/>
      <c r="L674" s="326"/>
      <c r="M674" s="326"/>
      <c r="N674" s="326"/>
      <c r="O674" s="326"/>
      <c r="P674" s="326"/>
      <c r="Q674" s="326"/>
      <c r="R674" s="326"/>
      <c r="S674" s="326"/>
      <c r="T674" s="326"/>
      <c r="U674" s="326"/>
      <c r="V674" s="326"/>
      <c r="W674" s="326"/>
      <c r="X674" s="326"/>
      <c r="Y674" s="326"/>
      <c r="Z674" s="326"/>
      <c r="AA674" s="326"/>
    </row>
    <row r="675" spans="1:27" ht="12.75">
      <c r="A675" s="326"/>
      <c r="B675" s="326"/>
      <c r="C675" s="326"/>
      <c r="D675" s="326"/>
      <c r="E675" s="326"/>
      <c r="F675" s="326"/>
      <c r="G675" s="326"/>
      <c r="H675" s="326"/>
      <c r="I675" s="326"/>
      <c r="J675" s="326"/>
      <c r="K675" s="326"/>
      <c r="L675" s="326"/>
      <c r="M675" s="326"/>
      <c r="N675" s="326"/>
      <c r="O675" s="326"/>
      <c r="P675" s="326"/>
      <c r="Q675" s="326"/>
      <c r="R675" s="326"/>
      <c r="S675" s="326"/>
      <c r="T675" s="326"/>
      <c r="U675" s="326"/>
      <c r="V675" s="326"/>
      <c r="W675" s="326"/>
      <c r="X675" s="326"/>
      <c r="Y675" s="326"/>
      <c r="Z675" s="326"/>
      <c r="AA675" s="326"/>
    </row>
    <row r="676" spans="1:27" ht="12.75">
      <c r="A676" s="326"/>
      <c r="B676" s="326"/>
      <c r="C676" s="326"/>
      <c r="D676" s="326"/>
      <c r="E676" s="326"/>
      <c r="F676" s="326"/>
      <c r="G676" s="326"/>
      <c r="H676" s="326"/>
      <c r="I676" s="326"/>
      <c r="J676" s="326"/>
      <c r="K676" s="326"/>
      <c r="L676" s="326"/>
      <c r="M676" s="326"/>
      <c r="N676" s="326"/>
      <c r="O676" s="326"/>
      <c r="P676" s="326"/>
      <c r="Q676" s="326"/>
      <c r="R676" s="326"/>
      <c r="S676" s="326"/>
      <c r="T676" s="326"/>
      <c r="U676" s="326"/>
      <c r="V676" s="326"/>
      <c r="W676" s="326"/>
      <c r="X676" s="326"/>
      <c r="Y676" s="326"/>
      <c r="Z676" s="326"/>
      <c r="AA676" s="326"/>
    </row>
    <row r="677" spans="1:27" ht="12.75">
      <c r="A677" s="326"/>
      <c r="B677" s="326"/>
      <c r="C677" s="326"/>
      <c r="D677" s="326"/>
      <c r="E677" s="326"/>
      <c r="F677" s="326"/>
      <c r="G677" s="326"/>
      <c r="H677" s="326"/>
      <c r="I677" s="326"/>
      <c r="J677" s="326"/>
      <c r="K677" s="326"/>
      <c r="L677" s="326"/>
      <c r="M677" s="326"/>
      <c r="N677" s="326"/>
      <c r="O677" s="326"/>
      <c r="P677" s="326"/>
      <c r="Q677" s="326"/>
      <c r="R677" s="326"/>
      <c r="S677" s="326"/>
      <c r="T677" s="326"/>
      <c r="U677" s="326"/>
      <c r="V677" s="326"/>
      <c r="W677" s="326"/>
      <c r="X677" s="326"/>
      <c r="Y677" s="326"/>
      <c r="Z677" s="326"/>
      <c r="AA677" s="326"/>
    </row>
    <row r="678" spans="1:27" ht="12.75">
      <c r="A678" s="326"/>
      <c r="B678" s="326"/>
      <c r="C678" s="326"/>
      <c r="D678" s="326"/>
      <c r="E678" s="326"/>
      <c r="F678" s="326"/>
      <c r="G678" s="326"/>
      <c r="H678" s="326"/>
      <c r="I678" s="326"/>
      <c r="J678" s="326"/>
      <c r="K678" s="326"/>
      <c r="L678" s="326"/>
      <c r="M678" s="326"/>
      <c r="N678" s="326"/>
      <c r="O678" s="326"/>
      <c r="P678" s="326"/>
      <c r="Q678" s="326"/>
      <c r="R678" s="326"/>
      <c r="S678" s="326"/>
      <c r="T678" s="326"/>
      <c r="U678" s="326"/>
      <c r="V678" s="326"/>
      <c r="W678" s="326"/>
      <c r="X678" s="326"/>
      <c r="Y678" s="326"/>
      <c r="Z678" s="326"/>
      <c r="AA678" s="326"/>
    </row>
    <row r="679" spans="1:27" ht="12.75">
      <c r="A679" s="326"/>
      <c r="B679" s="326"/>
      <c r="C679" s="326"/>
      <c r="D679" s="326"/>
      <c r="E679" s="326"/>
      <c r="F679" s="326"/>
      <c r="G679" s="326"/>
      <c r="H679" s="326"/>
      <c r="I679" s="326"/>
      <c r="J679" s="326"/>
      <c r="K679" s="326"/>
      <c r="L679" s="326"/>
      <c r="M679" s="326"/>
      <c r="N679" s="326"/>
      <c r="O679" s="326"/>
      <c r="P679" s="326"/>
      <c r="Q679" s="326"/>
      <c r="R679" s="326"/>
      <c r="S679" s="326"/>
      <c r="T679" s="326"/>
      <c r="U679" s="326"/>
      <c r="V679" s="326"/>
      <c r="W679" s="326"/>
      <c r="X679" s="326"/>
      <c r="Y679" s="326"/>
      <c r="Z679" s="326"/>
      <c r="AA679" s="326"/>
    </row>
    <row r="680" spans="1:27" ht="12.75">
      <c r="A680" s="326"/>
      <c r="B680" s="326"/>
      <c r="C680" s="326"/>
      <c r="D680" s="326"/>
      <c r="E680" s="326"/>
      <c r="F680" s="326"/>
      <c r="G680" s="326"/>
      <c r="H680" s="326"/>
      <c r="I680" s="326"/>
      <c r="J680" s="326"/>
      <c r="K680" s="326"/>
      <c r="L680" s="326"/>
      <c r="M680" s="326"/>
      <c r="N680" s="326"/>
      <c r="O680" s="326"/>
      <c r="P680" s="326"/>
      <c r="Q680" s="326"/>
      <c r="R680" s="326"/>
      <c r="S680" s="326"/>
      <c r="T680" s="326"/>
      <c r="U680" s="326"/>
      <c r="V680" s="326"/>
      <c r="W680" s="326"/>
      <c r="X680" s="326"/>
      <c r="Y680" s="326"/>
      <c r="Z680" s="326"/>
      <c r="AA680" s="326"/>
    </row>
    <row r="681" spans="1:27" ht="12.75">
      <c r="A681" s="326"/>
      <c r="B681" s="326"/>
      <c r="C681" s="326"/>
      <c r="D681" s="326"/>
      <c r="E681" s="326"/>
      <c r="F681" s="326"/>
      <c r="G681" s="326"/>
      <c r="H681" s="326"/>
      <c r="I681" s="326"/>
      <c r="J681" s="326"/>
      <c r="K681" s="326"/>
      <c r="L681" s="326"/>
      <c r="M681" s="326"/>
      <c r="N681" s="326"/>
      <c r="O681" s="326"/>
      <c r="P681" s="326"/>
      <c r="Q681" s="326"/>
      <c r="R681" s="326"/>
      <c r="S681" s="326"/>
      <c r="T681" s="326"/>
      <c r="U681" s="326"/>
      <c r="V681" s="326"/>
      <c r="W681" s="326"/>
      <c r="X681" s="326"/>
      <c r="Y681" s="326"/>
      <c r="Z681" s="326"/>
      <c r="AA681" s="326"/>
    </row>
    <row r="682" spans="1:27" ht="12.75">
      <c r="A682" s="326"/>
      <c r="B682" s="326"/>
      <c r="C682" s="326"/>
      <c r="D682" s="326"/>
      <c r="E682" s="326"/>
      <c r="F682" s="326"/>
      <c r="G682" s="326"/>
      <c r="H682" s="326"/>
      <c r="I682" s="326"/>
      <c r="J682" s="326"/>
      <c r="K682" s="326"/>
      <c r="L682" s="326"/>
      <c r="M682" s="326"/>
      <c r="N682" s="326"/>
      <c r="O682" s="326"/>
      <c r="P682" s="326"/>
      <c r="Q682" s="326"/>
      <c r="R682" s="326"/>
      <c r="S682" s="326"/>
      <c r="T682" s="326"/>
      <c r="U682" s="326"/>
      <c r="V682" s="326"/>
      <c r="W682" s="326"/>
      <c r="X682" s="326"/>
      <c r="Y682" s="326"/>
      <c r="Z682" s="326"/>
      <c r="AA682" s="326"/>
    </row>
    <row r="683" spans="1:27" ht="12.75">
      <c r="A683" s="326"/>
      <c r="B683" s="326"/>
      <c r="C683" s="326"/>
      <c r="D683" s="326"/>
      <c r="E683" s="326"/>
      <c r="F683" s="326"/>
      <c r="G683" s="326"/>
      <c r="H683" s="326"/>
      <c r="I683" s="326"/>
      <c r="J683" s="326"/>
      <c r="K683" s="326"/>
      <c r="L683" s="326"/>
      <c r="M683" s="326"/>
      <c r="N683" s="326"/>
      <c r="O683" s="326"/>
      <c r="P683" s="326"/>
      <c r="Q683" s="326"/>
      <c r="R683" s="326"/>
      <c r="S683" s="326"/>
      <c r="T683" s="326"/>
      <c r="U683" s="326"/>
      <c r="V683" s="326"/>
      <c r="W683" s="326"/>
      <c r="X683" s="326"/>
      <c r="Y683" s="326"/>
      <c r="Z683" s="326"/>
      <c r="AA683" s="326"/>
    </row>
    <row r="684" spans="1:27" ht="12.75">
      <c r="A684" s="326"/>
      <c r="B684" s="326"/>
      <c r="C684" s="326"/>
      <c r="D684" s="326"/>
      <c r="E684" s="326"/>
      <c r="F684" s="326"/>
      <c r="G684" s="326"/>
      <c r="H684" s="326"/>
      <c r="I684" s="326"/>
      <c r="J684" s="326"/>
      <c r="K684" s="326"/>
      <c r="L684" s="326"/>
      <c r="M684" s="326"/>
      <c r="N684" s="326"/>
      <c r="O684" s="326"/>
      <c r="P684" s="326"/>
      <c r="Q684" s="326"/>
      <c r="R684" s="326"/>
      <c r="S684" s="326"/>
      <c r="T684" s="326"/>
      <c r="U684" s="326"/>
      <c r="V684" s="326"/>
      <c r="W684" s="326"/>
      <c r="X684" s="326"/>
      <c r="Y684" s="326"/>
      <c r="Z684" s="326"/>
      <c r="AA684" s="326"/>
    </row>
    <row r="685" spans="1:27" ht="12.75">
      <c r="A685" s="326"/>
      <c r="B685" s="326"/>
      <c r="C685" s="326"/>
      <c r="D685" s="326"/>
      <c r="E685" s="326"/>
      <c r="F685" s="326"/>
      <c r="G685" s="326"/>
      <c r="H685" s="326"/>
      <c r="I685" s="326"/>
      <c r="J685" s="326"/>
      <c r="K685" s="326"/>
      <c r="L685" s="326"/>
      <c r="M685" s="326"/>
      <c r="N685" s="326"/>
      <c r="O685" s="326"/>
      <c r="P685" s="326"/>
      <c r="Q685" s="326"/>
      <c r="R685" s="326"/>
      <c r="S685" s="326"/>
      <c r="T685" s="326"/>
      <c r="U685" s="326"/>
      <c r="V685" s="326"/>
      <c r="W685" s="326"/>
      <c r="X685" s="326"/>
      <c r="Y685" s="326"/>
      <c r="Z685" s="326"/>
      <c r="AA685" s="326"/>
    </row>
    <row r="686" spans="1:27" ht="12.75">
      <c r="A686" s="326"/>
      <c r="B686" s="326"/>
      <c r="C686" s="326"/>
      <c r="D686" s="326"/>
      <c r="E686" s="326"/>
      <c r="F686" s="326"/>
      <c r="G686" s="326"/>
      <c r="H686" s="326"/>
      <c r="I686" s="326"/>
      <c r="J686" s="326"/>
      <c r="K686" s="326"/>
      <c r="L686" s="326"/>
      <c r="M686" s="326"/>
      <c r="N686" s="326"/>
      <c r="O686" s="326"/>
      <c r="P686" s="326"/>
      <c r="Q686" s="326"/>
      <c r="R686" s="326"/>
      <c r="S686" s="326"/>
      <c r="T686" s="326"/>
      <c r="U686" s="326"/>
      <c r="V686" s="326"/>
      <c r="W686" s="326"/>
      <c r="X686" s="326"/>
      <c r="Y686" s="326"/>
      <c r="Z686" s="326"/>
      <c r="AA686" s="326"/>
    </row>
    <row r="687" spans="1:27" ht="12.75">
      <c r="A687" s="326"/>
      <c r="B687" s="326"/>
      <c r="C687" s="326"/>
      <c r="D687" s="326"/>
      <c r="E687" s="326"/>
      <c r="F687" s="326"/>
      <c r="G687" s="326"/>
      <c r="H687" s="326"/>
      <c r="I687" s="326"/>
      <c r="J687" s="326"/>
      <c r="K687" s="326"/>
      <c r="L687" s="326"/>
      <c r="M687" s="326"/>
      <c r="N687" s="326"/>
      <c r="O687" s="326"/>
      <c r="P687" s="326"/>
      <c r="Q687" s="326"/>
      <c r="R687" s="326"/>
      <c r="S687" s="326"/>
      <c r="T687" s="326"/>
      <c r="U687" s="326"/>
      <c r="V687" s="326"/>
      <c r="W687" s="326"/>
      <c r="X687" s="326"/>
      <c r="Y687" s="326"/>
      <c r="Z687" s="326"/>
      <c r="AA687" s="326"/>
    </row>
    <row r="688" spans="1:27" ht="12.75">
      <c r="A688" s="326"/>
      <c r="B688" s="326"/>
      <c r="C688" s="326"/>
      <c r="D688" s="326"/>
      <c r="E688" s="326"/>
      <c r="F688" s="326"/>
      <c r="G688" s="326"/>
      <c r="H688" s="326"/>
      <c r="I688" s="326"/>
      <c r="J688" s="326"/>
      <c r="K688" s="326"/>
      <c r="L688" s="326"/>
      <c r="M688" s="326"/>
      <c r="N688" s="326"/>
      <c r="O688" s="326"/>
      <c r="P688" s="326"/>
      <c r="Q688" s="326"/>
      <c r="R688" s="326"/>
      <c r="S688" s="326"/>
      <c r="T688" s="326"/>
      <c r="U688" s="326"/>
      <c r="V688" s="326"/>
      <c r="W688" s="326"/>
      <c r="X688" s="326"/>
      <c r="Y688" s="326"/>
      <c r="Z688" s="326"/>
      <c r="AA688" s="326"/>
    </row>
    <row r="689" spans="1:27" ht="12.75">
      <c r="A689" s="326"/>
      <c r="B689" s="326"/>
      <c r="C689" s="326"/>
      <c r="D689" s="326"/>
      <c r="E689" s="326"/>
      <c r="F689" s="326"/>
      <c r="G689" s="326"/>
      <c r="H689" s="326"/>
      <c r="I689" s="326"/>
      <c r="J689" s="326"/>
      <c r="K689" s="326"/>
      <c r="L689" s="326"/>
      <c r="M689" s="326"/>
      <c r="N689" s="326"/>
      <c r="O689" s="326"/>
      <c r="P689" s="326"/>
      <c r="Q689" s="326"/>
      <c r="R689" s="326"/>
      <c r="S689" s="326"/>
      <c r="T689" s="326"/>
      <c r="U689" s="326"/>
      <c r="V689" s="326"/>
      <c r="W689" s="326"/>
      <c r="X689" s="326"/>
      <c r="Y689" s="326"/>
      <c r="Z689" s="326"/>
      <c r="AA689" s="326"/>
    </row>
    <row r="690" spans="1:27" ht="12.75">
      <c r="A690" s="326"/>
      <c r="B690" s="326"/>
      <c r="C690" s="326"/>
      <c r="D690" s="326"/>
      <c r="E690" s="326"/>
      <c r="F690" s="326"/>
      <c r="G690" s="326"/>
      <c r="H690" s="326"/>
      <c r="I690" s="326"/>
      <c r="J690" s="326"/>
      <c r="K690" s="326"/>
      <c r="L690" s="326"/>
      <c r="M690" s="326"/>
      <c r="N690" s="326"/>
      <c r="O690" s="326"/>
      <c r="P690" s="326"/>
      <c r="Q690" s="326"/>
      <c r="R690" s="326"/>
      <c r="S690" s="326"/>
      <c r="T690" s="326"/>
      <c r="U690" s="326"/>
      <c r="V690" s="326"/>
      <c r="W690" s="326"/>
      <c r="X690" s="326"/>
      <c r="Y690" s="326"/>
      <c r="Z690" s="326"/>
      <c r="AA690" s="326"/>
    </row>
    <row r="691" spans="1:27" ht="12.75">
      <c r="A691" s="326"/>
      <c r="B691" s="326"/>
      <c r="C691" s="326"/>
      <c r="D691" s="326"/>
      <c r="E691" s="326"/>
      <c r="F691" s="326"/>
      <c r="G691" s="326"/>
      <c r="H691" s="326"/>
      <c r="I691" s="326"/>
      <c r="J691" s="326"/>
      <c r="K691" s="326"/>
      <c r="L691" s="326"/>
      <c r="M691" s="326"/>
      <c r="N691" s="326"/>
      <c r="O691" s="326"/>
      <c r="P691" s="326"/>
      <c r="Q691" s="326"/>
      <c r="R691" s="326"/>
      <c r="S691" s="326"/>
      <c r="T691" s="326"/>
      <c r="U691" s="326"/>
      <c r="V691" s="326"/>
      <c r="W691" s="326"/>
      <c r="X691" s="326"/>
      <c r="Y691" s="326"/>
      <c r="Z691" s="326"/>
      <c r="AA691" s="326"/>
    </row>
    <row r="692" spans="1:27" ht="12.75">
      <c r="A692" s="326"/>
      <c r="B692" s="326"/>
      <c r="C692" s="326"/>
      <c r="D692" s="326"/>
      <c r="E692" s="326"/>
      <c r="F692" s="326"/>
      <c r="G692" s="326"/>
      <c r="H692" s="326"/>
      <c r="I692" s="326"/>
      <c r="J692" s="326"/>
      <c r="K692" s="326"/>
      <c r="L692" s="326"/>
      <c r="M692" s="326"/>
      <c r="N692" s="326"/>
      <c r="O692" s="326"/>
      <c r="P692" s="326"/>
      <c r="Q692" s="326"/>
      <c r="R692" s="326"/>
      <c r="S692" s="326"/>
      <c r="T692" s="326"/>
      <c r="U692" s="326"/>
      <c r="V692" s="326"/>
      <c r="W692" s="326"/>
      <c r="X692" s="326"/>
      <c r="Y692" s="326"/>
      <c r="Z692" s="326"/>
      <c r="AA692" s="326"/>
    </row>
    <row r="693" spans="1:27" ht="12.75">
      <c r="A693" s="326"/>
      <c r="B693" s="326"/>
      <c r="C693" s="326"/>
      <c r="D693" s="326"/>
      <c r="E693" s="326"/>
      <c r="F693" s="326"/>
      <c r="G693" s="326"/>
      <c r="H693" s="326"/>
      <c r="I693" s="326"/>
      <c r="J693" s="326"/>
      <c r="K693" s="326"/>
      <c r="L693" s="326"/>
      <c r="M693" s="326"/>
      <c r="N693" s="326"/>
      <c r="O693" s="326"/>
      <c r="P693" s="326"/>
      <c r="Q693" s="326"/>
      <c r="R693" s="326"/>
      <c r="S693" s="326"/>
      <c r="T693" s="326"/>
      <c r="U693" s="326"/>
      <c r="V693" s="326"/>
      <c r="W693" s="326"/>
      <c r="X693" s="326"/>
      <c r="Y693" s="326"/>
      <c r="Z693" s="326"/>
      <c r="AA693" s="326"/>
    </row>
    <row r="694" spans="1:27" ht="12.75">
      <c r="A694" s="326"/>
      <c r="B694" s="326"/>
      <c r="C694" s="326"/>
      <c r="D694" s="326"/>
      <c r="E694" s="326"/>
      <c r="F694" s="326"/>
      <c r="G694" s="326"/>
      <c r="H694" s="326"/>
      <c r="I694" s="326"/>
      <c r="J694" s="326"/>
      <c r="K694" s="326"/>
      <c r="L694" s="326"/>
      <c r="M694" s="326"/>
      <c r="N694" s="326"/>
      <c r="O694" s="326"/>
      <c r="P694" s="326"/>
      <c r="Q694" s="326"/>
      <c r="R694" s="326"/>
      <c r="S694" s="326"/>
      <c r="T694" s="326"/>
      <c r="U694" s="326"/>
      <c r="V694" s="326"/>
      <c r="W694" s="326"/>
      <c r="X694" s="326"/>
      <c r="Y694" s="326"/>
      <c r="Z694" s="326"/>
      <c r="AA694" s="326"/>
    </row>
    <row r="695" spans="1:27" ht="12.75">
      <c r="A695" s="326"/>
      <c r="B695" s="326"/>
      <c r="C695" s="326"/>
      <c r="D695" s="326"/>
      <c r="E695" s="326"/>
      <c r="F695" s="326"/>
      <c r="G695" s="326"/>
      <c r="H695" s="326"/>
      <c r="I695" s="326"/>
      <c r="J695" s="326"/>
      <c r="K695" s="326"/>
      <c r="L695" s="326"/>
      <c r="M695" s="326"/>
      <c r="N695" s="326"/>
      <c r="O695" s="326"/>
      <c r="P695" s="326"/>
      <c r="Q695" s="326"/>
      <c r="R695" s="326"/>
      <c r="S695" s="326"/>
      <c r="T695" s="326"/>
      <c r="U695" s="326"/>
      <c r="V695" s="326"/>
      <c r="W695" s="326"/>
      <c r="X695" s="326"/>
      <c r="Y695" s="326"/>
      <c r="Z695" s="326"/>
      <c r="AA695" s="326"/>
    </row>
    <row r="696" spans="1:27" ht="12.75">
      <c r="A696" s="326"/>
      <c r="B696" s="326"/>
      <c r="C696" s="326"/>
      <c r="D696" s="326"/>
      <c r="E696" s="326"/>
      <c r="F696" s="326"/>
      <c r="G696" s="326"/>
      <c r="H696" s="326"/>
      <c r="I696" s="326"/>
      <c r="J696" s="326"/>
      <c r="K696" s="326"/>
      <c r="L696" s="326"/>
      <c r="M696" s="326"/>
      <c r="N696" s="326"/>
      <c r="O696" s="326"/>
      <c r="P696" s="326"/>
      <c r="Q696" s="326"/>
      <c r="R696" s="326"/>
      <c r="S696" s="326"/>
      <c r="T696" s="326"/>
      <c r="U696" s="326"/>
      <c r="V696" s="326"/>
      <c r="W696" s="326"/>
      <c r="X696" s="326"/>
      <c r="Y696" s="326"/>
      <c r="Z696" s="326"/>
      <c r="AA696" s="326"/>
    </row>
    <row r="697" spans="1:27" ht="12.75">
      <c r="A697" s="326"/>
      <c r="B697" s="326"/>
      <c r="C697" s="326"/>
      <c r="D697" s="326"/>
      <c r="E697" s="326"/>
      <c r="F697" s="326"/>
      <c r="G697" s="326"/>
      <c r="H697" s="326"/>
      <c r="I697" s="326"/>
      <c r="J697" s="326"/>
      <c r="K697" s="326"/>
      <c r="L697" s="326"/>
      <c r="M697" s="326"/>
      <c r="N697" s="326"/>
      <c r="O697" s="326"/>
      <c r="P697" s="326"/>
      <c r="Q697" s="326"/>
      <c r="R697" s="326"/>
      <c r="S697" s="326"/>
      <c r="T697" s="326"/>
      <c r="U697" s="326"/>
      <c r="V697" s="326"/>
      <c r="W697" s="326"/>
      <c r="X697" s="326"/>
      <c r="Y697" s="326"/>
      <c r="Z697" s="326"/>
      <c r="AA697" s="326"/>
    </row>
    <row r="698" spans="1:27" ht="12.75">
      <c r="A698" s="326"/>
      <c r="B698" s="326"/>
      <c r="C698" s="326"/>
      <c r="D698" s="326"/>
      <c r="E698" s="326"/>
      <c r="F698" s="326"/>
      <c r="G698" s="326"/>
      <c r="H698" s="326"/>
      <c r="I698" s="326"/>
      <c r="J698" s="326"/>
      <c r="K698" s="326"/>
      <c r="L698" s="326"/>
      <c r="M698" s="326"/>
      <c r="N698" s="326"/>
      <c r="O698" s="326"/>
      <c r="P698" s="326"/>
      <c r="Q698" s="326"/>
      <c r="R698" s="326"/>
      <c r="S698" s="326"/>
      <c r="T698" s="326"/>
      <c r="U698" s="326"/>
      <c r="V698" s="326"/>
      <c r="W698" s="326"/>
      <c r="X698" s="326"/>
      <c r="Y698" s="326"/>
      <c r="Z698" s="326"/>
      <c r="AA698" s="326"/>
    </row>
    <row r="699" spans="1:27" ht="12.75">
      <c r="A699" s="326"/>
      <c r="B699" s="326"/>
      <c r="C699" s="326"/>
      <c r="D699" s="326"/>
      <c r="E699" s="326"/>
      <c r="F699" s="326"/>
      <c r="G699" s="326"/>
      <c r="H699" s="326"/>
      <c r="I699" s="326"/>
      <c r="J699" s="326"/>
      <c r="K699" s="326"/>
      <c r="L699" s="326"/>
      <c r="M699" s="326"/>
      <c r="N699" s="326"/>
      <c r="O699" s="326"/>
      <c r="P699" s="326"/>
      <c r="Q699" s="326"/>
      <c r="R699" s="326"/>
      <c r="S699" s="326"/>
      <c r="T699" s="326"/>
      <c r="U699" s="326"/>
      <c r="V699" s="326"/>
      <c r="W699" s="326"/>
      <c r="X699" s="326"/>
      <c r="Y699" s="326"/>
      <c r="Z699" s="326"/>
      <c r="AA699" s="326"/>
    </row>
    <row r="700" spans="1:27" ht="12.75">
      <c r="A700" s="326"/>
      <c r="B700" s="326"/>
      <c r="C700" s="326"/>
      <c r="D700" s="326"/>
      <c r="E700" s="326"/>
      <c r="F700" s="326"/>
      <c r="G700" s="326"/>
      <c r="H700" s="326"/>
      <c r="I700" s="326"/>
      <c r="J700" s="326"/>
      <c r="K700" s="326"/>
      <c r="L700" s="326"/>
      <c r="M700" s="326"/>
      <c r="N700" s="326"/>
      <c r="O700" s="326"/>
      <c r="P700" s="326"/>
      <c r="Q700" s="326"/>
      <c r="R700" s="326"/>
      <c r="S700" s="326"/>
      <c r="T700" s="326"/>
      <c r="U700" s="326"/>
      <c r="V700" s="326"/>
      <c r="W700" s="326"/>
      <c r="X700" s="326"/>
      <c r="Y700" s="326"/>
      <c r="Z700" s="326"/>
      <c r="AA700" s="326"/>
    </row>
    <row r="701" spans="1:27" ht="12.75">
      <c r="A701" s="326"/>
      <c r="B701" s="326"/>
      <c r="C701" s="326"/>
      <c r="D701" s="326"/>
      <c r="E701" s="326"/>
      <c r="F701" s="326"/>
      <c r="G701" s="326"/>
      <c r="H701" s="326"/>
      <c r="I701" s="326"/>
      <c r="J701" s="326"/>
      <c r="K701" s="326"/>
      <c r="L701" s="326"/>
      <c r="M701" s="326"/>
      <c r="N701" s="326"/>
      <c r="O701" s="326"/>
      <c r="P701" s="326"/>
      <c r="Q701" s="326"/>
      <c r="R701" s="326"/>
      <c r="S701" s="326"/>
      <c r="T701" s="326"/>
      <c r="U701" s="326"/>
      <c r="V701" s="326"/>
      <c r="W701" s="326"/>
      <c r="X701" s="326"/>
      <c r="Y701" s="326"/>
      <c r="Z701" s="326"/>
      <c r="AA701" s="326"/>
    </row>
    <row r="702" spans="1:27" ht="12.75">
      <c r="A702" s="326"/>
      <c r="B702" s="326"/>
      <c r="C702" s="326"/>
      <c r="D702" s="326"/>
      <c r="E702" s="326"/>
      <c r="F702" s="326"/>
      <c r="G702" s="326"/>
      <c r="H702" s="326"/>
      <c r="I702" s="326"/>
      <c r="J702" s="326"/>
      <c r="K702" s="326"/>
      <c r="L702" s="326"/>
      <c r="M702" s="326"/>
      <c r="N702" s="326"/>
      <c r="O702" s="326"/>
      <c r="P702" s="326"/>
      <c r="Q702" s="326"/>
      <c r="R702" s="326"/>
      <c r="S702" s="326"/>
      <c r="T702" s="326"/>
      <c r="U702" s="326"/>
      <c r="V702" s="326"/>
      <c r="W702" s="326"/>
      <c r="X702" s="326"/>
      <c r="Y702" s="326"/>
      <c r="Z702" s="326"/>
      <c r="AA702" s="326"/>
    </row>
    <row r="703" spans="1:27" ht="12.75">
      <c r="A703" s="326"/>
      <c r="B703" s="326"/>
      <c r="C703" s="326"/>
      <c r="D703" s="326"/>
      <c r="E703" s="326"/>
      <c r="F703" s="326"/>
      <c r="G703" s="326"/>
      <c r="H703" s="326"/>
      <c r="I703" s="326"/>
      <c r="J703" s="326"/>
      <c r="K703" s="326"/>
      <c r="L703" s="326"/>
      <c r="M703" s="326"/>
      <c r="N703" s="326"/>
      <c r="O703" s="326"/>
      <c r="P703" s="326"/>
      <c r="Q703" s="326"/>
      <c r="R703" s="326"/>
      <c r="S703" s="326"/>
      <c r="T703" s="326"/>
      <c r="U703" s="326"/>
      <c r="V703" s="326"/>
      <c r="W703" s="326"/>
      <c r="X703" s="326"/>
      <c r="Y703" s="326"/>
      <c r="Z703" s="326"/>
      <c r="AA703" s="326"/>
    </row>
    <row r="704" spans="1:27" ht="12.75">
      <c r="A704" s="326"/>
      <c r="B704" s="326"/>
      <c r="C704" s="326"/>
      <c r="D704" s="326"/>
      <c r="E704" s="326"/>
      <c r="F704" s="326"/>
      <c r="G704" s="326"/>
      <c r="H704" s="326"/>
      <c r="I704" s="326"/>
      <c r="J704" s="326"/>
      <c r="K704" s="326"/>
      <c r="L704" s="326"/>
      <c r="M704" s="326"/>
      <c r="N704" s="326"/>
      <c r="O704" s="326"/>
      <c r="P704" s="326"/>
      <c r="Q704" s="326"/>
      <c r="R704" s="326"/>
      <c r="S704" s="326"/>
      <c r="T704" s="326"/>
      <c r="U704" s="326"/>
      <c r="V704" s="326"/>
      <c r="W704" s="326"/>
      <c r="X704" s="326"/>
      <c r="Y704" s="326"/>
      <c r="Z704" s="326"/>
      <c r="AA704" s="326"/>
    </row>
    <row r="705" spans="1:27" ht="12.75">
      <c r="A705" s="326"/>
      <c r="B705" s="326"/>
      <c r="C705" s="326"/>
      <c r="D705" s="326"/>
      <c r="E705" s="326"/>
      <c r="F705" s="326"/>
      <c r="G705" s="326"/>
      <c r="H705" s="326"/>
      <c r="I705" s="326"/>
      <c r="J705" s="326"/>
      <c r="K705" s="326"/>
      <c r="L705" s="326"/>
      <c r="M705" s="326"/>
      <c r="N705" s="326"/>
      <c r="O705" s="326"/>
      <c r="P705" s="326"/>
      <c r="Q705" s="326"/>
      <c r="R705" s="326"/>
      <c r="S705" s="326"/>
      <c r="T705" s="326"/>
      <c r="U705" s="326"/>
      <c r="V705" s="326"/>
      <c r="W705" s="326"/>
      <c r="X705" s="326"/>
      <c r="Y705" s="326"/>
      <c r="Z705" s="326"/>
      <c r="AA705" s="326"/>
    </row>
    <row r="706" spans="1:27" ht="12.75">
      <c r="A706" s="326"/>
      <c r="B706" s="326"/>
      <c r="C706" s="326"/>
      <c r="D706" s="326"/>
      <c r="E706" s="326"/>
      <c r="F706" s="326"/>
      <c r="G706" s="326"/>
      <c r="H706" s="326"/>
      <c r="I706" s="326"/>
      <c r="J706" s="326"/>
      <c r="K706" s="326"/>
      <c r="L706" s="326"/>
      <c r="M706" s="326"/>
      <c r="N706" s="326"/>
      <c r="O706" s="326"/>
      <c r="P706" s="326"/>
      <c r="Q706" s="326"/>
      <c r="R706" s="326"/>
      <c r="S706" s="326"/>
      <c r="T706" s="326"/>
      <c r="U706" s="326"/>
      <c r="V706" s="326"/>
      <c r="W706" s="326"/>
      <c r="X706" s="326"/>
      <c r="Y706" s="326"/>
      <c r="Z706" s="326"/>
      <c r="AA706" s="326"/>
    </row>
    <row r="707" spans="1:27" ht="12.75">
      <c r="A707" s="326"/>
      <c r="B707" s="326"/>
      <c r="C707" s="326"/>
      <c r="D707" s="326"/>
      <c r="E707" s="326"/>
      <c r="F707" s="326"/>
      <c r="G707" s="326"/>
      <c r="H707" s="326"/>
      <c r="I707" s="326"/>
      <c r="J707" s="326"/>
      <c r="K707" s="326"/>
      <c r="L707" s="326"/>
      <c r="M707" s="326"/>
      <c r="N707" s="326"/>
      <c r="O707" s="326"/>
      <c r="P707" s="326"/>
      <c r="Q707" s="326"/>
      <c r="R707" s="326"/>
      <c r="S707" s="326"/>
      <c r="T707" s="326"/>
      <c r="U707" s="326"/>
      <c r="V707" s="326"/>
      <c r="W707" s="326"/>
      <c r="X707" s="326"/>
      <c r="Y707" s="326"/>
      <c r="Z707" s="326"/>
      <c r="AA707" s="326"/>
    </row>
    <row r="708" spans="1:27" ht="12.75">
      <c r="A708" s="326"/>
      <c r="B708" s="326"/>
      <c r="C708" s="326"/>
      <c r="D708" s="326"/>
      <c r="E708" s="326"/>
      <c r="F708" s="326"/>
      <c r="G708" s="326"/>
      <c r="H708" s="326"/>
      <c r="I708" s="326"/>
      <c r="J708" s="326"/>
      <c r="K708" s="326"/>
      <c r="L708" s="326"/>
      <c r="M708" s="326"/>
      <c r="N708" s="326"/>
      <c r="O708" s="326"/>
      <c r="P708" s="326"/>
      <c r="Q708" s="326"/>
      <c r="R708" s="326"/>
      <c r="S708" s="326"/>
      <c r="T708" s="326"/>
      <c r="U708" s="326"/>
      <c r="V708" s="326"/>
      <c r="W708" s="326"/>
      <c r="X708" s="326"/>
      <c r="Y708" s="326"/>
      <c r="Z708" s="326"/>
      <c r="AA708" s="326"/>
    </row>
    <row r="709" spans="1:27" ht="12.75">
      <c r="A709" s="326"/>
      <c r="B709" s="326"/>
      <c r="C709" s="326"/>
      <c r="D709" s="326"/>
      <c r="E709" s="326"/>
      <c r="F709" s="326"/>
      <c r="G709" s="326"/>
      <c r="H709" s="326"/>
      <c r="I709" s="326"/>
      <c r="J709" s="326"/>
      <c r="K709" s="326"/>
      <c r="L709" s="326"/>
      <c r="M709" s="326"/>
      <c r="N709" s="326"/>
      <c r="O709" s="326"/>
      <c r="P709" s="326"/>
      <c r="Q709" s="326"/>
      <c r="R709" s="326"/>
      <c r="S709" s="326"/>
      <c r="T709" s="326"/>
      <c r="U709" s="326"/>
      <c r="V709" s="326"/>
      <c r="W709" s="326"/>
      <c r="X709" s="326"/>
      <c r="Y709" s="326"/>
      <c r="Z709" s="326"/>
      <c r="AA709" s="326"/>
    </row>
    <row r="710" spans="1:27" ht="12.75">
      <c r="A710" s="326"/>
      <c r="B710" s="326"/>
      <c r="C710" s="326"/>
      <c r="D710" s="326"/>
      <c r="E710" s="326"/>
      <c r="F710" s="326"/>
      <c r="G710" s="326"/>
      <c r="H710" s="326"/>
      <c r="I710" s="326"/>
      <c r="J710" s="326"/>
      <c r="K710" s="326"/>
      <c r="L710" s="326"/>
      <c r="M710" s="326"/>
      <c r="N710" s="326"/>
      <c r="O710" s="326"/>
      <c r="P710" s="326"/>
      <c r="Q710" s="326"/>
      <c r="R710" s="326"/>
      <c r="S710" s="326"/>
      <c r="T710" s="326"/>
      <c r="U710" s="326"/>
      <c r="V710" s="326"/>
      <c r="W710" s="326"/>
      <c r="X710" s="326"/>
      <c r="Y710" s="326"/>
      <c r="Z710" s="326"/>
      <c r="AA710" s="326"/>
    </row>
    <row r="711" spans="1:27" ht="12.75">
      <c r="A711" s="326"/>
      <c r="B711" s="326"/>
      <c r="C711" s="326"/>
      <c r="D711" s="326"/>
      <c r="E711" s="326"/>
      <c r="F711" s="326"/>
      <c r="G711" s="326"/>
      <c r="H711" s="326"/>
      <c r="I711" s="326"/>
      <c r="J711" s="326"/>
      <c r="K711" s="326"/>
      <c r="L711" s="326"/>
      <c r="M711" s="326"/>
      <c r="N711" s="326"/>
      <c r="O711" s="326"/>
      <c r="P711" s="326"/>
      <c r="Q711" s="326"/>
      <c r="R711" s="326"/>
      <c r="S711" s="326"/>
      <c r="T711" s="326"/>
      <c r="U711" s="326"/>
      <c r="V711" s="326"/>
      <c r="W711" s="326"/>
      <c r="X711" s="326"/>
      <c r="Y711" s="326"/>
      <c r="Z711" s="326"/>
      <c r="AA711" s="326"/>
    </row>
    <row r="712" spans="1:27" ht="12.75">
      <c r="A712" s="326"/>
      <c r="B712" s="326"/>
      <c r="C712" s="326"/>
      <c r="D712" s="326"/>
      <c r="E712" s="326"/>
      <c r="F712" s="326"/>
      <c r="G712" s="326"/>
      <c r="H712" s="326"/>
      <c r="I712" s="326"/>
      <c r="J712" s="326"/>
      <c r="K712" s="326"/>
      <c r="L712" s="326"/>
      <c r="M712" s="326"/>
      <c r="N712" s="326"/>
      <c r="O712" s="326"/>
      <c r="P712" s="326"/>
      <c r="Q712" s="326"/>
      <c r="R712" s="326"/>
      <c r="S712" s="326"/>
      <c r="T712" s="326"/>
      <c r="U712" s="326"/>
      <c r="V712" s="326"/>
      <c r="W712" s="326"/>
      <c r="X712" s="326"/>
      <c r="Y712" s="326"/>
      <c r="Z712" s="326"/>
      <c r="AA712" s="326"/>
    </row>
    <row r="713" spans="1:27" ht="12.75">
      <c r="A713" s="326"/>
      <c r="B713" s="326"/>
      <c r="C713" s="326"/>
      <c r="D713" s="326"/>
      <c r="E713" s="326"/>
      <c r="F713" s="326"/>
      <c r="G713" s="326"/>
      <c r="H713" s="326"/>
      <c r="I713" s="326"/>
      <c r="J713" s="326"/>
      <c r="K713" s="326"/>
      <c r="L713" s="326"/>
      <c r="M713" s="326"/>
      <c r="N713" s="326"/>
      <c r="O713" s="326"/>
      <c r="P713" s="326"/>
      <c r="Q713" s="326"/>
      <c r="R713" s="326"/>
      <c r="S713" s="326"/>
      <c r="T713" s="326"/>
      <c r="U713" s="326"/>
      <c r="V713" s="326"/>
      <c r="W713" s="326"/>
      <c r="X713" s="326"/>
      <c r="Y713" s="326"/>
      <c r="Z713" s="326"/>
      <c r="AA713" s="326"/>
    </row>
    <row r="714" spans="1:27" ht="12.75">
      <c r="A714" s="326"/>
      <c r="B714" s="326"/>
      <c r="C714" s="326"/>
      <c r="D714" s="326"/>
      <c r="E714" s="326"/>
      <c r="F714" s="326"/>
      <c r="G714" s="326"/>
      <c r="H714" s="326"/>
      <c r="I714" s="326"/>
      <c r="J714" s="326"/>
      <c r="K714" s="326"/>
      <c r="L714" s="326"/>
      <c r="M714" s="326"/>
      <c r="N714" s="326"/>
      <c r="O714" s="326"/>
      <c r="P714" s="326"/>
      <c r="Q714" s="326"/>
      <c r="R714" s="326"/>
      <c r="S714" s="326"/>
      <c r="T714" s="326"/>
      <c r="U714" s="326"/>
      <c r="V714" s="326"/>
      <c r="W714" s="326"/>
      <c r="X714" s="326"/>
      <c r="Y714" s="326"/>
      <c r="Z714" s="326"/>
      <c r="AA714" s="326"/>
    </row>
    <row r="715" spans="1:27" ht="12.75">
      <c r="A715" s="326"/>
      <c r="B715" s="326"/>
      <c r="C715" s="326"/>
      <c r="D715" s="326"/>
      <c r="E715" s="326"/>
      <c r="F715" s="326"/>
      <c r="G715" s="326"/>
      <c r="H715" s="326"/>
      <c r="I715" s="326"/>
      <c r="J715" s="326"/>
      <c r="K715" s="326"/>
      <c r="L715" s="326"/>
      <c r="M715" s="326"/>
      <c r="N715" s="326"/>
      <c r="O715" s="326"/>
      <c r="P715" s="326"/>
      <c r="Q715" s="326"/>
      <c r="R715" s="326"/>
      <c r="S715" s="326"/>
      <c r="T715" s="326"/>
      <c r="U715" s="326"/>
      <c r="V715" s="326"/>
      <c r="W715" s="326"/>
      <c r="X715" s="326"/>
      <c r="Y715" s="326"/>
      <c r="Z715" s="326"/>
      <c r="AA715" s="326"/>
    </row>
    <row r="716" spans="1:27" ht="12.75">
      <c r="A716" s="326"/>
      <c r="B716" s="326"/>
      <c r="C716" s="326"/>
      <c r="D716" s="326"/>
      <c r="E716" s="326"/>
      <c r="F716" s="326"/>
      <c r="G716" s="326"/>
      <c r="H716" s="326"/>
      <c r="I716" s="326"/>
      <c r="J716" s="326"/>
      <c r="K716" s="326"/>
      <c r="L716" s="326"/>
      <c r="M716" s="326"/>
      <c r="N716" s="326"/>
      <c r="O716" s="326"/>
      <c r="P716" s="326"/>
      <c r="Q716" s="326"/>
      <c r="R716" s="326"/>
      <c r="S716" s="326"/>
      <c r="T716" s="326"/>
      <c r="U716" s="326"/>
      <c r="V716" s="326"/>
      <c r="W716" s="326"/>
      <c r="X716" s="326"/>
      <c r="Y716" s="326"/>
      <c r="Z716" s="326"/>
      <c r="AA716" s="326"/>
    </row>
    <row r="717" spans="1:27" ht="12.75">
      <c r="A717" s="326"/>
      <c r="B717" s="326"/>
      <c r="C717" s="326"/>
      <c r="D717" s="326"/>
      <c r="E717" s="326"/>
      <c r="F717" s="326"/>
      <c r="G717" s="326"/>
      <c r="H717" s="326"/>
      <c r="I717" s="326"/>
      <c r="J717" s="326"/>
      <c r="K717" s="326"/>
      <c r="L717" s="326"/>
      <c r="M717" s="326"/>
      <c r="N717" s="326"/>
      <c r="O717" s="326"/>
      <c r="P717" s="326"/>
      <c r="Q717" s="326"/>
      <c r="R717" s="326"/>
      <c r="S717" s="326"/>
      <c r="T717" s="326"/>
      <c r="U717" s="326"/>
      <c r="V717" s="326"/>
      <c r="W717" s="326"/>
      <c r="X717" s="326"/>
      <c r="Y717" s="326"/>
      <c r="Z717" s="326"/>
      <c r="AA717" s="326"/>
    </row>
    <row r="718" spans="1:27" ht="12.75">
      <c r="A718" s="326"/>
      <c r="B718" s="326"/>
      <c r="C718" s="326"/>
      <c r="D718" s="326"/>
      <c r="E718" s="326"/>
      <c r="F718" s="326"/>
      <c r="G718" s="326"/>
      <c r="H718" s="326"/>
      <c r="I718" s="326"/>
      <c r="J718" s="326"/>
      <c r="K718" s="326"/>
      <c r="L718" s="326"/>
      <c r="M718" s="326"/>
      <c r="N718" s="326"/>
      <c r="O718" s="326"/>
      <c r="P718" s="326"/>
      <c r="Q718" s="326"/>
      <c r="R718" s="326"/>
      <c r="S718" s="326"/>
      <c r="T718" s="326"/>
      <c r="U718" s="326"/>
      <c r="V718" s="326"/>
      <c r="W718" s="326"/>
      <c r="X718" s="326"/>
      <c r="Y718" s="326"/>
      <c r="Z718" s="326"/>
      <c r="AA718" s="326"/>
    </row>
    <row r="719" spans="1:27" ht="12.75">
      <c r="A719" s="326"/>
      <c r="B719" s="326"/>
      <c r="C719" s="326"/>
      <c r="D719" s="326"/>
      <c r="E719" s="326"/>
      <c r="F719" s="326"/>
      <c r="G719" s="326"/>
      <c r="H719" s="326"/>
      <c r="I719" s="326"/>
      <c r="J719" s="326"/>
      <c r="K719" s="326"/>
      <c r="L719" s="326"/>
      <c r="M719" s="326"/>
      <c r="N719" s="326"/>
      <c r="O719" s="326"/>
      <c r="P719" s="326"/>
      <c r="Q719" s="326"/>
      <c r="R719" s="326"/>
      <c r="S719" s="326"/>
      <c r="T719" s="326"/>
      <c r="U719" s="326"/>
      <c r="V719" s="326"/>
      <c r="W719" s="326"/>
      <c r="X719" s="326"/>
      <c r="Y719" s="326"/>
      <c r="Z719" s="326"/>
      <c r="AA719" s="326"/>
    </row>
    <row r="720" spans="1:27" ht="12.75">
      <c r="A720" s="326"/>
      <c r="B720" s="326"/>
      <c r="C720" s="326"/>
      <c r="D720" s="326"/>
      <c r="E720" s="326"/>
      <c r="F720" s="326"/>
      <c r="G720" s="326"/>
      <c r="H720" s="326"/>
      <c r="I720" s="326"/>
      <c r="J720" s="326"/>
      <c r="K720" s="326"/>
      <c r="L720" s="326"/>
      <c r="M720" s="326"/>
      <c r="N720" s="326"/>
      <c r="O720" s="326"/>
      <c r="P720" s="326"/>
      <c r="Q720" s="326"/>
      <c r="R720" s="326"/>
      <c r="S720" s="326"/>
      <c r="T720" s="326"/>
      <c r="U720" s="326"/>
      <c r="V720" s="326"/>
      <c r="W720" s="326"/>
      <c r="X720" s="326"/>
      <c r="Y720" s="326"/>
      <c r="Z720" s="326"/>
      <c r="AA720" s="326"/>
    </row>
    <row r="721" spans="1:27" ht="12.75">
      <c r="A721" s="326"/>
      <c r="B721" s="326"/>
      <c r="C721" s="326"/>
      <c r="D721" s="326"/>
      <c r="E721" s="326"/>
      <c r="F721" s="326"/>
      <c r="G721" s="326"/>
      <c r="H721" s="326"/>
      <c r="I721" s="326"/>
      <c r="J721" s="326"/>
      <c r="K721" s="326"/>
      <c r="L721" s="326"/>
      <c r="M721" s="326"/>
      <c r="N721" s="326"/>
      <c r="O721" s="326"/>
      <c r="P721" s="326"/>
      <c r="Q721" s="326"/>
      <c r="R721" s="326"/>
      <c r="S721" s="326"/>
      <c r="T721" s="326"/>
      <c r="U721" s="326"/>
      <c r="V721" s="326"/>
      <c r="W721" s="326"/>
      <c r="X721" s="326"/>
      <c r="Y721" s="326"/>
      <c r="Z721" s="326"/>
      <c r="AA721" s="326"/>
    </row>
    <row r="722" spans="1:27" ht="12.75">
      <c r="A722" s="326"/>
      <c r="B722" s="326"/>
      <c r="C722" s="326"/>
      <c r="D722" s="326"/>
      <c r="E722" s="326"/>
      <c r="F722" s="326"/>
      <c r="G722" s="326"/>
      <c r="H722" s="326"/>
      <c r="I722" s="326"/>
      <c r="J722" s="326"/>
      <c r="K722" s="326"/>
      <c r="L722" s="326"/>
      <c r="M722" s="326"/>
      <c r="N722" s="326"/>
      <c r="O722" s="326"/>
      <c r="P722" s="326"/>
      <c r="Q722" s="326"/>
      <c r="R722" s="326"/>
      <c r="S722" s="326"/>
      <c r="T722" s="326"/>
      <c r="U722" s="326"/>
      <c r="V722" s="326"/>
      <c r="W722" s="326"/>
      <c r="X722" s="326"/>
      <c r="Y722" s="326"/>
      <c r="Z722" s="326"/>
      <c r="AA722" s="326"/>
    </row>
    <row r="723" spans="1:27" ht="12.75">
      <c r="A723" s="326"/>
      <c r="B723" s="326"/>
      <c r="C723" s="326"/>
      <c r="D723" s="326"/>
      <c r="E723" s="326"/>
      <c r="F723" s="326"/>
      <c r="G723" s="326"/>
      <c r="H723" s="326"/>
      <c r="I723" s="326"/>
      <c r="J723" s="326"/>
      <c r="K723" s="326"/>
      <c r="L723" s="326"/>
      <c r="M723" s="326"/>
      <c r="N723" s="326"/>
      <c r="O723" s="326"/>
      <c r="P723" s="326"/>
      <c r="Q723" s="326"/>
      <c r="R723" s="326"/>
      <c r="S723" s="326"/>
      <c r="T723" s="326"/>
      <c r="U723" s="326"/>
      <c r="V723" s="326"/>
      <c r="W723" s="326"/>
      <c r="X723" s="326"/>
      <c r="Y723" s="326"/>
      <c r="Z723" s="326"/>
      <c r="AA723" s="326"/>
    </row>
    <row r="724" spans="1:27" ht="12.75">
      <c r="A724" s="326"/>
      <c r="B724" s="326"/>
      <c r="C724" s="326"/>
      <c r="D724" s="326"/>
      <c r="E724" s="326"/>
      <c r="F724" s="326"/>
      <c r="G724" s="326"/>
      <c r="H724" s="326"/>
      <c r="I724" s="326"/>
      <c r="J724" s="326"/>
      <c r="K724" s="326"/>
      <c r="L724" s="326"/>
      <c r="M724" s="326"/>
      <c r="N724" s="326"/>
      <c r="O724" s="326"/>
      <c r="P724" s="326"/>
      <c r="Q724" s="326"/>
      <c r="R724" s="326"/>
      <c r="S724" s="326"/>
      <c r="T724" s="326"/>
      <c r="U724" s="326"/>
      <c r="V724" s="326"/>
      <c r="W724" s="326"/>
      <c r="X724" s="326"/>
      <c r="Y724" s="326"/>
      <c r="Z724" s="326"/>
      <c r="AA724" s="326"/>
    </row>
    <row r="725" spans="1:27" ht="12.75">
      <c r="A725" s="326"/>
      <c r="B725" s="326"/>
      <c r="C725" s="326"/>
      <c r="D725" s="326"/>
      <c r="E725" s="326"/>
      <c r="F725" s="326"/>
      <c r="G725" s="326"/>
      <c r="H725" s="326"/>
      <c r="I725" s="326"/>
      <c r="J725" s="326"/>
      <c r="K725" s="326"/>
      <c r="L725" s="326"/>
      <c r="M725" s="326"/>
      <c r="N725" s="326"/>
      <c r="O725" s="326"/>
      <c r="P725" s="326"/>
      <c r="Q725" s="326"/>
      <c r="R725" s="326"/>
      <c r="S725" s="326"/>
      <c r="T725" s="326"/>
      <c r="U725" s="326"/>
      <c r="V725" s="326"/>
      <c r="W725" s="326"/>
      <c r="X725" s="326"/>
      <c r="Y725" s="326"/>
      <c r="Z725" s="326"/>
      <c r="AA725" s="326"/>
    </row>
    <row r="726" spans="1:27" ht="12.75">
      <c r="A726" s="326"/>
      <c r="B726" s="326"/>
      <c r="C726" s="326"/>
      <c r="D726" s="326"/>
      <c r="E726" s="326"/>
      <c r="F726" s="326"/>
      <c r="G726" s="326"/>
      <c r="H726" s="326"/>
      <c r="I726" s="326"/>
      <c r="J726" s="326"/>
      <c r="K726" s="326"/>
      <c r="L726" s="326"/>
      <c r="M726" s="326"/>
      <c r="N726" s="326"/>
      <c r="O726" s="326"/>
      <c r="P726" s="326"/>
      <c r="Q726" s="326"/>
      <c r="R726" s="326"/>
      <c r="S726" s="326"/>
      <c r="T726" s="326"/>
      <c r="U726" s="326"/>
      <c r="V726" s="326"/>
      <c r="W726" s="326"/>
      <c r="X726" s="326"/>
      <c r="Y726" s="326"/>
      <c r="Z726" s="326"/>
      <c r="AA726" s="326"/>
    </row>
    <row r="727" spans="1:27" ht="12.75">
      <c r="A727" s="326"/>
      <c r="B727" s="326"/>
      <c r="C727" s="326"/>
      <c r="D727" s="326"/>
      <c r="E727" s="326"/>
      <c r="F727" s="326"/>
      <c r="G727" s="326"/>
      <c r="H727" s="326"/>
      <c r="I727" s="326"/>
      <c r="J727" s="326"/>
      <c r="K727" s="326"/>
      <c r="L727" s="326"/>
      <c r="M727" s="326"/>
      <c r="N727" s="326"/>
      <c r="O727" s="326"/>
      <c r="P727" s="326"/>
      <c r="Q727" s="326"/>
      <c r="R727" s="326"/>
      <c r="S727" s="326"/>
      <c r="T727" s="326"/>
      <c r="U727" s="326"/>
      <c r="V727" s="326"/>
      <c r="W727" s="326"/>
      <c r="X727" s="326"/>
      <c r="Y727" s="326"/>
      <c r="Z727" s="326"/>
      <c r="AA727" s="326"/>
    </row>
    <row r="728" spans="1:27" ht="12.75">
      <c r="A728" s="326"/>
      <c r="B728" s="326"/>
      <c r="C728" s="326"/>
      <c r="D728" s="326"/>
      <c r="E728" s="326"/>
      <c r="F728" s="326"/>
      <c r="G728" s="326"/>
      <c r="H728" s="326"/>
      <c r="I728" s="326"/>
      <c r="J728" s="326"/>
      <c r="K728" s="326"/>
      <c r="L728" s="326"/>
      <c r="M728" s="326"/>
      <c r="N728" s="326"/>
      <c r="O728" s="326"/>
      <c r="P728" s="326"/>
      <c r="Q728" s="326"/>
      <c r="R728" s="326"/>
      <c r="S728" s="326"/>
      <c r="T728" s="326"/>
      <c r="U728" s="326"/>
      <c r="V728" s="326"/>
      <c r="W728" s="326"/>
      <c r="X728" s="326"/>
      <c r="Y728" s="326"/>
      <c r="Z728" s="326"/>
      <c r="AA728" s="326"/>
    </row>
    <row r="729" spans="1:27" ht="12.75">
      <c r="A729" s="326"/>
      <c r="B729" s="326"/>
      <c r="C729" s="326"/>
      <c r="D729" s="326"/>
      <c r="E729" s="326"/>
      <c r="F729" s="326"/>
      <c r="G729" s="326"/>
      <c r="H729" s="326"/>
      <c r="I729" s="326"/>
      <c r="J729" s="326"/>
      <c r="K729" s="326"/>
      <c r="L729" s="326"/>
      <c r="M729" s="326"/>
      <c r="N729" s="326"/>
      <c r="O729" s="326"/>
      <c r="P729" s="326"/>
      <c r="Q729" s="326"/>
      <c r="R729" s="326"/>
      <c r="S729" s="326"/>
      <c r="T729" s="326"/>
      <c r="U729" s="326"/>
      <c r="V729" s="326"/>
      <c r="W729" s="326"/>
      <c r="X729" s="326"/>
      <c r="Y729" s="326"/>
      <c r="Z729" s="326"/>
      <c r="AA729" s="326"/>
    </row>
    <row r="730" spans="1:27" ht="12.75">
      <c r="A730" s="326"/>
      <c r="B730" s="326"/>
      <c r="C730" s="326"/>
      <c r="D730" s="326"/>
      <c r="E730" s="326"/>
      <c r="F730" s="326"/>
      <c r="G730" s="326"/>
      <c r="H730" s="326"/>
      <c r="I730" s="326"/>
      <c r="J730" s="326"/>
      <c r="K730" s="326"/>
      <c r="L730" s="326"/>
      <c r="M730" s="326"/>
      <c r="N730" s="326"/>
      <c r="O730" s="326"/>
      <c r="P730" s="326"/>
      <c r="Q730" s="326"/>
      <c r="R730" s="326"/>
      <c r="S730" s="326"/>
      <c r="T730" s="326"/>
      <c r="U730" s="326"/>
      <c r="V730" s="326"/>
      <c r="W730" s="326"/>
      <c r="X730" s="326"/>
      <c r="Y730" s="326"/>
      <c r="Z730" s="326"/>
      <c r="AA730" s="326"/>
    </row>
    <row r="731" spans="1:27" ht="12.75">
      <c r="A731" s="326"/>
      <c r="B731" s="326"/>
      <c r="C731" s="326"/>
      <c r="D731" s="326"/>
      <c r="E731" s="326"/>
      <c r="F731" s="326"/>
      <c r="G731" s="326"/>
      <c r="H731" s="326"/>
      <c r="I731" s="326"/>
      <c r="J731" s="326"/>
      <c r="K731" s="326"/>
      <c r="L731" s="326"/>
      <c r="M731" s="326"/>
      <c r="N731" s="326"/>
      <c r="O731" s="326"/>
      <c r="P731" s="326"/>
      <c r="Q731" s="326"/>
      <c r="R731" s="326"/>
      <c r="S731" s="326"/>
      <c r="T731" s="326"/>
      <c r="U731" s="326"/>
      <c r="V731" s="326"/>
      <c r="W731" s="326"/>
      <c r="X731" s="326"/>
      <c r="Y731" s="326"/>
      <c r="Z731" s="326"/>
      <c r="AA731" s="326"/>
    </row>
    <row r="732" spans="1:27" ht="12.75">
      <c r="A732" s="326"/>
      <c r="B732" s="326"/>
      <c r="C732" s="326"/>
      <c r="D732" s="326"/>
      <c r="E732" s="326"/>
      <c r="F732" s="326"/>
      <c r="G732" s="326"/>
      <c r="H732" s="326"/>
      <c r="I732" s="326"/>
      <c r="J732" s="326"/>
      <c r="K732" s="326"/>
      <c r="L732" s="326"/>
      <c r="M732" s="326"/>
      <c r="N732" s="326"/>
      <c r="O732" s="326"/>
      <c r="P732" s="326"/>
      <c r="Q732" s="326"/>
      <c r="R732" s="326"/>
      <c r="S732" s="326"/>
      <c r="T732" s="326"/>
      <c r="U732" s="326"/>
      <c r="V732" s="326"/>
      <c r="W732" s="326"/>
      <c r="X732" s="326"/>
      <c r="Y732" s="326"/>
      <c r="Z732" s="326"/>
      <c r="AA732" s="326"/>
    </row>
    <row r="733" spans="1:27" ht="12.75">
      <c r="A733" s="326"/>
      <c r="B733" s="326"/>
      <c r="C733" s="326"/>
      <c r="D733" s="326"/>
      <c r="E733" s="326"/>
      <c r="F733" s="326"/>
      <c r="G733" s="326"/>
      <c r="H733" s="326"/>
      <c r="I733" s="326"/>
      <c r="J733" s="326"/>
      <c r="K733" s="326"/>
      <c r="L733" s="326"/>
      <c r="M733" s="326"/>
      <c r="N733" s="326"/>
      <c r="O733" s="326"/>
      <c r="P733" s="326"/>
      <c r="Q733" s="326"/>
      <c r="R733" s="326"/>
      <c r="S733" s="326"/>
      <c r="T733" s="326"/>
      <c r="U733" s="326"/>
      <c r="V733" s="326"/>
      <c r="W733" s="326"/>
      <c r="X733" s="326"/>
      <c r="Y733" s="326"/>
      <c r="Z733" s="326"/>
      <c r="AA733" s="326"/>
    </row>
    <row r="734" spans="1:27" ht="12.75">
      <c r="A734" s="326"/>
      <c r="B734" s="326"/>
      <c r="C734" s="326"/>
      <c r="D734" s="326"/>
      <c r="E734" s="326"/>
      <c r="F734" s="326"/>
      <c r="G734" s="326"/>
      <c r="H734" s="326"/>
      <c r="I734" s="326"/>
      <c r="J734" s="326"/>
      <c r="K734" s="326"/>
      <c r="L734" s="326"/>
      <c r="M734" s="326"/>
      <c r="N734" s="326"/>
      <c r="O734" s="326"/>
      <c r="P734" s="326"/>
      <c r="Q734" s="326"/>
      <c r="R734" s="326"/>
      <c r="S734" s="326"/>
      <c r="T734" s="326"/>
      <c r="U734" s="326"/>
      <c r="V734" s="326"/>
      <c r="W734" s="326"/>
      <c r="X734" s="326"/>
      <c r="Y734" s="326"/>
      <c r="Z734" s="326"/>
      <c r="AA734" s="326"/>
    </row>
    <row r="735" spans="1:27" ht="12.75">
      <c r="A735" s="326"/>
      <c r="B735" s="326"/>
      <c r="C735" s="326"/>
      <c r="D735" s="326"/>
      <c r="E735" s="326"/>
      <c r="F735" s="326"/>
      <c r="G735" s="326"/>
      <c r="H735" s="326"/>
      <c r="I735" s="326"/>
      <c r="J735" s="326"/>
      <c r="K735" s="326"/>
      <c r="L735" s="326"/>
      <c r="M735" s="326"/>
      <c r="N735" s="326"/>
      <c r="O735" s="326"/>
      <c r="P735" s="326"/>
      <c r="Q735" s="326"/>
      <c r="R735" s="326"/>
      <c r="S735" s="326"/>
      <c r="T735" s="326"/>
      <c r="U735" s="326"/>
      <c r="V735" s="326"/>
      <c r="W735" s="326"/>
      <c r="X735" s="326"/>
      <c r="Y735" s="326"/>
      <c r="Z735" s="326"/>
      <c r="AA735" s="326"/>
    </row>
    <row r="736" spans="1:27" ht="12.75">
      <c r="A736" s="326"/>
      <c r="B736" s="326"/>
      <c r="C736" s="326"/>
      <c r="D736" s="326"/>
      <c r="E736" s="326"/>
      <c r="F736" s="326"/>
      <c r="G736" s="326"/>
      <c r="H736" s="326"/>
      <c r="I736" s="326"/>
      <c r="J736" s="326"/>
      <c r="K736" s="326"/>
      <c r="L736" s="326"/>
      <c r="M736" s="326"/>
      <c r="N736" s="326"/>
      <c r="O736" s="326"/>
      <c r="P736" s="326"/>
      <c r="Q736" s="326"/>
      <c r="R736" s="326"/>
      <c r="S736" s="326"/>
      <c r="T736" s="326"/>
      <c r="U736" s="326"/>
      <c r="V736" s="326"/>
      <c r="W736" s="326"/>
      <c r="X736" s="326"/>
      <c r="Y736" s="326"/>
      <c r="Z736" s="326"/>
      <c r="AA736" s="326"/>
    </row>
    <row r="737" spans="1:27" ht="12.75">
      <c r="A737" s="326"/>
      <c r="B737" s="326"/>
      <c r="C737" s="326"/>
      <c r="D737" s="326"/>
      <c r="E737" s="326"/>
      <c r="F737" s="326"/>
      <c r="G737" s="326"/>
      <c r="H737" s="326"/>
      <c r="I737" s="326"/>
      <c r="J737" s="326"/>
      <c r="K737" s="326"/>
      <c r="L737" s="326"/>
      <c r="M737" s="326"/>
      <c r="N737" s="326"/>
      <c r="O737" s="326"/>
      <c r="P737" s="326"/>
      <c r="Q737" s="326"/>
      <c r="R737" s="326"/>
      <c r="S737" s="326"/>
      <c r="T737" s="326"/>
      <c r="U737" s="326"/>
      <c r="V737" s="326"/>
      <c r="W737" s="326"/>
      <c r="X737" s="326"/>
      <c r="Y737" s="326"/>
      <c r="Z737" s="326"/>
      <c r="AA737" s="326"/>
    </row>
    <row r="738" spans="1:27" ht="12.75">
      <c r="A738" s="326"/>
      <c r="B738" s="326"/>
      <c r="C738" s="326"/>
      <c r="D738" s="326"/>
      <c r="E738" s="326"/>
      <c r="F738" s="326"/>
      <c r="G738" s="326"/>
      <c r="H738" s="326"/>
      <c r="I738" s="326"/>
      <c r="J738" s="326"/>
      <c r="K738" s="326"/>
      <c r="L738" s="326"/>
      <c r="M738" s="326"/>
      <c r="N738" s="326"/>
      <c r="O738" s="326"/>
      <c r="P738" s="326"/>
      <c r="Q738" s="326"/>
      <c r="R738" s="326"/>
      <c r="S738" s="326"/>
      <c r="T738" s="326"/>
      <c r="U738" s="326"/>
      <c r="V738" s="326"/>
      <c r="W738" s="326"/>
      <c r="X738" s="326"/>
      <c r="Y738" s="326"/>
      <c r="Z738" s="326"/>
      <c r="AA738" s="326"/>
    </row>
    <row r="739" spans="1:27" ht="12.75">
      <c r="A739" s="326"/>
      <c r="B739" s="326"/>
      <c r="C739" s="326"/>
      <c r="D739" s="326"/>
      <c r="E739" s="326"/>
      <c r="F739" s="326"/>
      <c r="G739" s="326"/>
      <c r="H739" s="326"/>
      <c r="I739" s="326"/>
      <c r="J739" s="326"/>
      <c r="K739" s="326"/>
      <c r="L739" s="326"/>
      <c r="M739" s="326"/>
      <c r="N739" s="326"/>
      <c r="O739" s="326"/>
      <c r="P739" s="326"/>
      <c r="Q739" s="326"/>
      <c r="R739" s="326"/>
      <c r="S739" s="326"/>
      <c r="T739" s="326"/>
      <c r="U739" s="326"/>
      <c r="V739" s="326"/>
      <c r="W739" s="326"/>
      <c r="X739" s="326"/>
      <c r="Y739" s="326"/>
      <c r="Z739" s="326"/>
      <c r="AA739" s="326"/>
    </row>
    <row r="740" spans="1:27" ht="12.75">
      <c r="A740" s="326"/>
      <c r="B740" s="326"/>
      <c r="C740" s="326"/>
      <c r="D740" s="326"/>
      <c r="E740" s="326"/>
      <c r="F740" s="326"/>
      <c r="G740" s="326"/>
      <c r="H740" s="326"/>
      <c r="I740" s="326"/>
      <c r="J740" s="326"/>
      <c r="K740" s="326"/>
      <c r="L740" s="326"/>
      <c r="M740" s="326"/>
      <c r="N740" s="326"/>
      <c r="O740" s="326"/>
      <c r="P740" s="326"/>
      <c r="Q740" s="326"/>
      <c r="R740" s="326"/>
      <c r="S740" s="326"/>
      <c r="T740" s="326"/>
      <c r="U740" s="326"/>
      <c r="V740" s="326"/>
      <c r="W740" s="326"/>
      <c r="X740" s="326"/>
      <c r="Y740" s="326"/>
      <c r="Z740" s="326"/>
      <c r="AA740" s="326"/>
    </row>
    <row r="741" spans="1:27" ht="12.75">
      <c r="A741" s="326"/>
      <c r="B741" s="326"/>
      <c r="C741" s="326"/>
      <c r="D741" s="326"/>
      <c r="E741" s="326"/>
      <c r="F741" s="326"/>
      <c r="G741" s="326"/>
      <c r="H741" s="326"/>
      <c r="I741" s="326"/>
      <c r="J741" s="326"/>
      <c r="K741" s="326"/>
      <c r="L741" s="326"/>
      <c r="M741" s="326"/>
      <c r="N741" s="326"/>
      <c r="O741" s="326"/>
      <c r="P741" s="326"/>
      <c r="Q741" s="326"/>
      <c r="R741" s="326"/>
      <c r="S741" s="326"/>
      <c r="T741" s="326"/>
      <c r="U741" s="326"/>
      <c r="V741" s="326"/>
      <c r="W741" s="326"/>
      <c r="X741" s="326"/>
      <c r="Y741" s="326"/>
      <c r="Z741" s="326"/>
      <c r="AA741" s="326"/>
    </row>
    <row r="742" spans="1:27" ht="12.75">
      <c r="A742" s="326"/>
      <c r="B742" s="326"/>
      <c r="C742" s="326"/>
      <c r="D742" s="326"/>
      <c r="E742" s="326"/>
      <c r="F742" s="326"/>
      <c r="G742" s="326"/>
      <c r="H742" s="326"/>
      <c r="I742" s="326"/>
      <c r="J742" s="326"/>
      <c r="K742" s="326"/>
      <c r="L742" s="326"/>
      <c r="M742" s="326"/>
      <c r="N742" s="326"/>
      <c r="O742" s="326"/>
      <c r="P742" s="326"/>
      <c r="Q742" s="326"/>
      <c r="R742" s="326"/>
      <c r="S742" s="326"/>
      <c r="T742" s="326"/>
      <c r="U742" s="326"/>
      <c r="V742" s="326"/>
      <c r="W742" s="326"/>
      <c r="X742" s="326"/>
      <c r="Y742" s="326"/>
      <c r="Z742" s="326"/>
      <c r="AA742" s="326"/>
    </row>
    <row r="743" spans="1:27" ht="12.75">
      <c r="A743" s="326"/>
      <c r="B743" s="326"/>
      <c r="C743" s="326"/>
      <c r="D743" s="326"/>
      <c r="E743" s="326"/>
      <c r="F743" s="326"/>
      <c r="G743" s="326"/>
      <c r="H743" s="326"/>
      <c r="I743" s="326"/>
      <c r="J743" s="326"/>
      <c r="K743" s="326"/>
      <c r="L743" s="326"/>
      <c r="M743" s="326"/>
      <c r="N743" s="326"/>
      <c r="O743" s="326"/>
      <c r="P743" s="326"/>
      <c r="Q743" s="326"/>
      <c r="R743" s="326"/>
      <c r="S743" s="326"/>
      <c r="T743" s="326"/>
      <c r="U743" s="326"/>
      <c r="V743" s="326"/>
      <c r="W743" s="326"/>
      <c r="X743" s="326"/>
      <c r="Y743" s="326"/>
      <c r="Z743" s="326"/>
      <c r="AA743" s="326"/>
    </row>
    <row r="744" spans="1:27" ht="12.75">
      <c r="A744" s="326"/>
      <c r="B744" s="326"/>
      <c r="C744" s="326"/>
      <c r="D744" s="326"/>
      <c r="E744" s="326"/>
      <c r="F744" s="326"/>
      <c r="G744" s="326"/>
      <c r="H744" s="326"/>
      <c r="I744" s="326"/>
      <c r="J744" s="326"/>
      <c r="K744" s="326"/>
      <c r="L744" s="326"/>
      <c r="M744" s="326"/>
      <c r="N744" s="326"/>
      <c r="O744" s="326"/>
      <c r="P744" s="326"/>
      <c r="Q744" s="326"/>
      <c r="R744" s="326"/>
      <c r="S744" s="326"/>
      <c r="T744" s="326"/>
      <c r="U744" s="326"/>
      <c r="V744" s="326"/>
      <c r="W744" s="326"/>
      <c r="X744" s="326"/>
      <c r="Y744" s="326"/>
      <c r="Z744" s="326"/>
      <c r="AA744" s="326"/>
    </row>
    <row r="745" spans="1:27" ht="12.75">
      <c r="A745" s="326"/>
      <c r="B745" s="326"/>
      <c r="C745" s="326"/>
      <c r="D745" s="326"/>
      <c r="E745" s="326"/>
      <c r="F745" s="326"/>
      <c r="G745" s="326"/>
      <c r="H745" s="326"/>
      <c r="I745" s="326"/>
      <c r="J745" s="326"/>
      <c r="K745" s="326"/>
      <c r="L745" s="326"/>
      <c r="M745" s="326"/>
      <c r="N745" s="326"/>
      <c r="O745" s="326"/>
      <c r="P745" s="326"/>
      <c r="Q745" s="326"/>
      <c r="R745" s="326"/>
      <c r="S745" s="326"/>
      <c r="T745" s="326"/>
      <c r="U745" s="326"/>
      <c r="V745" s="326"/>
      <c r="W745" s="326"/>
      <c r="X745" s="326"/>
      <c r="Y745" s="326"/>
      <c r="Z745" s="326"/>
      <c r="AA745" s="326"/>
    </row>
    <row r="746" spans="1:27" ht="12.75">
      <c r="A746" s="326"/>
      <c r="B746" s="326"/>
      <c r="C746" s="326"/>
      <c r="D746" s="326"/>
      <c r="E746" s="326"/>
      <c r="F746" s="326"/>
      <c r="G746" s="326"/>
      <c r="H746" s="326"/>
      <c r="I746" s="326"/>
      <c r="J746" s="326"/>
      <c r="K746" s="326"/>
      <c r="L746" s="326"/>
      <c r="M746" s="326"/>
      <c r="N746" s="326"/>
      <c r="O746" s="326"/>
      <c r="P746" s="326"/>
      <c r="Q746" s="326"/>
      <c r="R746" s="326"/>
      <c r="S746" s="326"/>
      <c r="T746" s="326"/>
      <c r="U746" s="326"/>
      <c r="V746" s="326"/>
      <c r="W746" s="326"/>
      <c r="X746" s="326"/>
      <c r="Y746" s="326"/>
      <c r="Z746" s="326"/>
      <c r="AA746" s="326"/>
    </row>
    <row r="747" spans="1:27" ht="12.75">
      <c r="A747" s="326"/>
      <c r="B747" s="326"/>
      <c r="C747" s="326"/>
      <c r="D747" s="326"/>
      <c r="E747" s="326"/>
      <c r="F747" s="326"/>
      <c r="G747" s="326"/>
      <c r="H747" s="326"/>
      <c r="I747" s="326"/>
      <c r="J747" s="326"/>
      <c r="K747" s="326"/>
      <c r="L747" s="326"/>
      <c r="M747" s="326"/>
      <c r="N747" s="326"/>
      <c r="O747" s="326"/>
      <c r="P747" s="326"/>
      <c r="Q747" s="326"/>
      <c r="R747" s="326"/>
      <c r="S747" s="326"/>
      <c r="T747" s="326"/>
      <c r="U747" s="326"/>
      <c r="V747" s="326"/>
      <c r="W747" s="326"/>
      <c r="X747" s="326"/>
      <c r="Y747" s="326"/>
      <c r="Z747" s="326"/>
      <c r="AA747" s="326"/>
    </row>
    <row r="748" spans="1:27" ht="12.75">
      <c r="A748" s="326"/>
      <c r="B748" s="326"/>
      <c r="C748" s="326"/>
      <c r="D748" s="326"/>
      <c r="E748" s="326"/>
      <c r="F748" s="326"/>
      <c r="G748" s="326"/>
      <c r="H748" s="326"/>
      <c r="I748" s="326"/>
      <c r="J748" s="326"/>
      <c r="K748" s="326"/>
      <c r="L748" s="326"/>
      <c r="M748" s="326"/>
      <c r="N748" s="326"/>
      <c r="O748" s="326"/>
      <c r="P748" s="326"/>
      <c r="Q748" s="326"/>
      <c r="R748" s="326"/>
      <c r="S748" s="326"/>
      <c r="T748" s="326"/>
      <c r="U748" s="326"/>
      <c r="V748" s="326"/>
      <c r="W748" s="326"/>
      <c r="X748" s="326"/>
      <c r="Y748" s="326"/>
      <c r="Z748" s="326"/>
      <c r="AA748" s="326"/>
    </row>
    <row r="749" spans="1:27" ht="12.75">
      <c r="A749" s="326"/>
      <c r="B749" s="326"/>
      <c r="C749" s="326"/>
      <c r="D749" s="326"/>
      <c r="E749" s="326"/>
      <c r="F749" s="326"/>
      <c r="G749" s="326"/>
      <c r="H749" s="326"/>
      <c r="I749" s="326"/>
      <c r="J749" s="326"/>
      <c r="K749" s="326"/>
      <c r="L749" s="326"/>
      <c r="M749" s="326"/>
      <c r="N749" s="326"/>
      <c r="O749" s="326"/>
      <c r="P749" s="326"/>
      <c r="Q749" s="326"/>
      <c r="R749" s="326"/>
      <c r="S749" s="326"/>
      <c r="T749" s="326"/>
      <c r="U749" s="326"/>
      <c r="V749" s="326"/>
      <c r="W749" s="326"/>
      <c r="X749" s="326"/>
      <c r="Y749" s="326"/>
      <c r="Z749" s="326"/>
      <c r="AA749" s="326"/>
    </row>
    <row r="750" spans="1:27" ht="12.75">
      <c r="A750" s="326"/>
      <c r="B750" s="326"/>
      <c r="C750" s="326"/>
      <c r="D750" s="326"/>
      <c r="E750" s="326"/>
      <c r="F750" s="326"/>
      <c r="G750" s="326"/>
      <c r="H750" s="326"/>
      <c r="I750" s="326"/>
      <c r="J750" s="326"/>
      <c r="K750" s="326"/>
      <c r="L750" s="326"/>
      <c r="M750" s="326"/>
      <c r="N750" s="326"/>
      <c r="O750" s="326"/>
      <c r="P750" s="326"/>
      <c r="Q750" s="326"/>
      <c r="R750" s="326"/>
      <c r="S750" s="326"/>
      <c r="T750" s="326"/>
      <c r="U750" s="326"/>
      <c r="V750" s="326"/>
      <c r="W750" s="326"/>
      <c r="X750" s="326"/>
      <c r="Y750" s="326"/>
      <c r="Z750" s="326"/>
      <c r="AA750" s="326"/>
    </row>
    <row r="751" spans="1:27" ht="12.75">
      <c r="A751" s="326"/>
      <c r="B751" s="326"/>
      <c r="C751" s="326"/>
      <c r="D751" s="326"/>
      <c r="E751" s="326"/>
      <c r="F751" s="326"/>
      <c r="G751" s="326"/>
      <c r="H751" s="326"/>
      <c r="I751" s="326"/>
      <c r="J751" s="326"/>
      <c r="K751" s="326"/>
      <c r="L751" s="326"/>
      <c r="M751" s="326"/>
      <c r="N751" s="326"/>
      <c r="O751" s="326"/>
      <c r="P751" s="326"/>
      <c r="Q751" s="326"/>
      <c r="R751" s="326"/>
      <c r="S751" s="326"/>
      <c r="T751" s="326"/>
      <c r="U751" s="326"/>
      <c r="V751" s="326"/>
      <c r="W751" s="326"/>
      <c r="X751" s="326"/>
      <c r="Y751" s="326"/>
      <c r="Z751" s="326"/>
      <c r="AA751" s="326"/>
    </row>
    <row r="752" spans="1:27" ht="12.75">
      <c r="A752" s="326"/>
      <c r="B752" s="326"/>
      <c r="C752" s="326"/>
      <c r="D752" s="326"/>
      <c r="E752" s="326"/>
      <c r="F752" s="326"/>
      <c r="G752" s="326"/>
      <c r="H752" s="326"/>
      <c r="I752" s="326"/>
      <c r="J752" s="326"/>
      <c r="K752" s="326"/>
      <c r="L752" s="326"/>
      <c r="M752" s="326"/>
      <c r="N752" s="326"/>
      <c r="O752" s="326"/>
      <c r="P752" s="326"/>
      <c r="Q752" s="326"/>
      <c r="R752" s="326"/>
      <c r="S752" s="326"/>
      <c r="T752" s="326"/>
      <c r="U752" s="326"/>
      <c r="V752" s="326"/>
      <c r="W752" s="326"/>
      <c r="X752" s="326"/>
      <c r="Y752" s="326"/>
      <c r="Z752" s="326"/>
      <c r="AA752" s="326"/>
    </row>
    <row r="753" spans="1:27" ht="12.75">
      <c r="A753" s="326"/>
      <c r="B753" s="326"/>
      <c r="C753" s="326"/>
      <c r="D753" s="326"/>
      <c r="E753" s="326"/>
      <c r="F753" s="326"/>
      <c r="G753" s="326"/>
      <c r="H753" s="326"/>
      <c r="I753" s="326"/>
      <c r="J753" s="326"/>
      <c r="K753" s="326"/>
      <c r="L753" s="326"/>
      <c r="M753" s="326"/>
      <c r="N753" s="326"/>
      <c r="O753" s="326"/>
      <c r="P753" s="326"/>
      <c r="Q753" s="326"/>
      <c r="R753" s="326"/>
      <c r="S753" s="326"/>
      <c r="T753" s="326"/>
      <c r="U753" s="326"/>
      <c r="V753" s="326"/>
      <c r="W753" s="326"/>
      <c r="X753" s="326"/>
      <c r="Y753" s="326"/>
      <c r="Z753" s="326"/>
      <c r="AA753" s="326"/>
    </row>
    <row r="754" spans="1:27" ht="12.75">
      <c r="A754" s="326"/>
      <c r="B754" s="326"/>
      <c r="C754" s="326"/>
      <c r="D754" s="326"/>
      <c r="E754" s="326"/>
      <c r="F754" s="326"/>
      <c r="G754" s="326"/>
      <c r="H754" s="326"/>
      <c r="I754" s="326"/>
      <c r="J754" s="326"/>
      <c r="K754" s="326"/>
      <c r="L754" s="326"/>
      <c r="M754" s="326"/>
      <c r="N754" s="326"/>
      <c r="O754" s="326"/>
      <c r="P754" s="326"/>
      <c r="Q754" s="326"/>
      <c r="R754" s="326"/>
      <c r="S754" s="326"/>
      <c r="T754" s="326"/>
      <c r="U754" s="326"/>
      <c r="V754" s="326"/>
      <c r="W754" s="326"/>
      <c r="X754" s="326"/>
      <c r="Y754" s="326"/>
      <c r="Z754" s="326"/>
      <c r="AA754" s="326"/>
    </row>
    <row r="755" spans="1:27" ht="12.75">
      <c r="A755" s="326"/>
      <c r="B755" s="326"/>
      <c r="C755" s="326"/>
      <c r="D755" s="326"/>
      <c r="E755" s="326"/>
      <c r="F755" s="326"/>
      <c r="G755" s="326"/>
      <c r="H755" s="326"/>
      <c r="I755" s="326"/>
      <c r="J755" s="326"/>
      <c r="K755" s="326"/>
      <c r="L755" s="326"/>
      <c r="M755" s="326"/>
      <c r="N755" s="326"/>
      <c r="O755" s="326"/>
      <c r="P755" s="326"/>
      <c r="Q755" s="326"/>
      <c r="R755" s="326"/>
      <c r="S755" s="326"/>
      <c r="T755" s="326"/>
      <c r="U755" s="326"/>
      <c r="V755" s="326"/>
      <c r="W755" s="326"/>
      <c r="X755" s="326"/>
      <c r="Y755" s="326"/>
      <c r="Z755" s="326"/>
      <c r="AA755" s="326"/>
    </row>
    <row r="756" spans="1:27" ht="12.75">
      <c r="A756" s="326"/>
      <c r="B756" s="326"/>
      <c r="C756" s="326"/>
      <c r="D756" s="326"/>
      <c r="E756" s="326"/>
      <c r="F756" s="326"/>
      <c r="G756" s="326"/>
      <c r="H756" s="326"/>
      <c r="I756" s="326"/>
      <c r="J756" s="326"/>
      <c r="K756" s="326"/>
      <c r="L756" s="326"/>
      <c r="M756" s="326"/>
      <c r="N756" s="326"/>
      <c r="O756" s="326"/>
      <c r="P756" s="326"/>
      <c r="Q756" s="326"/>
      <c r="R756" s="326"/>
      <c r="S756" s="326"/>
      <c r="T756" s="326"/>
      <c r="U756" s="326"/>
      <c r="V756" s="326"/>
      <c r="W756" s="326"/>
      <c r="X756" s="326"/>
      <c r="Y756" s="326"/>
      <c r="Z756" s="326"/>
      <c r="AA756" s="326"/>
    </row>
    <row r="757" spans="1:27" ht="12.75">
      <c r="A757" s="326"/>
      <c r="B757" s="326"/>
      <c r="C757" s="326"/>
      <c r="D757" s="326"/>
      <c r="E757" s="326"/>
      <c r="F757" s="326"/>
      <c r="G757" s="326"/>
      <c r="H757" s="326"/>
      <c r="I757" s="326"/>
      <c r="J757" s="326"/>
      <c r="K757" s="326"/>
      <c r="L757" s="326"/>
      <c r="M757" s="326"/>
      <c r="N757" s="326"/>
      <c r="O757" s="326"/>
      <c r="P757" s="326"/>
      <c r="Q757" s="326"/>
      <c r="R757" s="326"/>
      <c r="S757" s="326"/>
      <c r="T757" s="326"/>
      <c r="U757" s="326"/>
      <c r="V757" s="326"/>
      <c r="W757" s="326"/>
      <c r="X757" s="326"/>
      <c r="Y757" s="326"/>
      <c r="Z757" s="326"/>
      <c r="AA757" s="326"/>
    </row>
    <row r="758" spans="1:27" ht="12.75">
      <c r="A758" s="326"/>
      <c r="B758" s="326"/>
      <c r="C758" s="326"/>
      <c r="D758" s="326"/>
      <c r="E758" s="326"/>
      <c r="F758" s="326"/>
      <c r="G758" s="326"/>
      <c r="H758" s="326"/>
      <c r="I758" s="326"/>
      <c r="J758" s="326"/>
      <c r="K758" s="326"/>
      <c r="L758" s="326"/>
      <c r="M758" s="326"/>
      <c r="N758" s="326"/>
      <c r="O758" s="326"/>
      <c r="P758" s="326"/>
      <c r="Q758" s="326"/>
      <c r="R758" s="326"/>
      <c r="S758" s="326"/>
      <c r="T758" s="326"/>
      <c r="U758" s="326"/>
      <c r="V758" s="326"/>
      <c r="W758" s="326"/>
      <c r="X758" s="326"/>
      <c r="Y758" s="326"/>
      <c r="Z758" s="326"/>
      <c r="AA758" s="326"/>
    </row>
    <row r="759" spans="1:27" ht="12.75">
      <c r="A759" s="326"/>
      <c r="B759" s="326"/>
      <c r="C759" s="326"/>
      <c r="D759" s="326"/>
      <c r="E759" s="326"/>
      <c r="F759" s="326"/>
      <c r="G759" s="326"/>
      <c r="H759" s="326"/>
      <c r="I759" s="326"/>
      <c r="J759" s="326"/>
      <c r="K759" s="326"/>
      <c r="L759" s="326"/>
      <c r="M759" s="326"/>
      <c r="N759" s="326"/>
      <c r="O759" s="326"/>
      <c r="P759" s="326"/>
      <c r="Q759" s="326"/>
      <c r="R759" s="326"/>
      <c r="S759" s="326"/>
      <c r="T759" s="326"/>
      <c r="U759" s="326"/>
      <c r="V759" s="326"/>
      <c r="W759" s="326"/>
      <c r="X759" s="326"/>
      <c r="Y759" s="326"/>
      <c r="Z759" s="326"/>
      <c r="AA759" s="326"/>
    </row>
    <row r="760" spans="1:27" ht="12.75">
      <c r="A760" s="326"/>
      <c r="B760" s="326"/>
      <c r="C760" s="326"/>
      <c r="D760" s="326"/>
      <c r="E760" s="326"/>
      <c r="F760" s="326"/>
      <c r="G760" s="326"/>
      <c r="H760" s="326"/>
      <c r="I760" s="326"/>
      <c r="J760" s="326"/>
      <c r="K760" s="326"/>
      <c r="L760" s="326"/>
      <c r="M760" s="326"/>
      <c r="N760" s="326"/>
      <c r="O760" s="326"/>
      <c r="P760" s="326"/>
      <c r="Q760" s="326"/>
      <c r="R760" s="326"/>
      <c r="S760" s="326"/>
      <c r="T760" s="326"/>
      <c r="U760" s="326"/>
      <c r="V760" s="326"/>
      <c r="W760" s="326"/>
      <c r="X760" s="326"/>
      <c r="Y760" s="326"/>
      <c r="Z760" s="326"/>
      <c r="AA760" s="326"/>
    </row>
    <row r="761" spans="1:27" ht="12.75">
      <c r="A761" s="326"/>
      <c r="B761" s="326"/>
      <c r="C761" s="326"/>
      <c r="D761" s="326"/>
      <c r="E761" s="326"/>
      <c r="F761" s="326"/>
      <c r="G761" s="326"/>
      <c r="H761" s="326"/>
      <c r="I761" s="326"/>
      <c r="J761" s="326"/>
      <c r="K761" s="326"/>
      <c r="L761" s="326"/>
      <c r="M761" s="326"/>
      <c r="N761" s="326"/>
      <c r="O761" s="326"/>
      <c r="P761" s="326"/>
      <c r="Q761" s="326"/>
      <c r="R761" s="326"/>
      <c r="S761" s="326"/>
      <c r="T761" s="326"/>
      <c r="U761" s="326"/>
      <c r="V761" s="326"/>
      <c r="W761" s="326"/>
      <c r="X761" s="326"/>
      <c r="Y761" s="326"/>
      <c r="Z761" s="326"/>
      <c r="AA761" s="326"/>
    </row>
    <row r="762" spans="1:27" ht="12.75">
      <c r="A762" s="326"/>
      <c r="B762" s="326"/>
      <c r="C762" s="326"/>
      <c r="D762" s="326"/>
      <c r="E762" s="326"/>
      <c r="F762" s="326"/>
      <c r="G762" s="326"/>
      <c r="H762" s="326"/>
      <c r="I762" s="326"/>
      <c r="J762" s="326"/>
      <c r="K762" s="326"/>
      <c r="L762" s="326"/>
      <c r="M762" s="326"/>
      <c r="N762" s="326"/>
      <c r="O762" s="326"/>
      <c r="P762" s="326"/>
      <c r="Q762" s="326"/>
      <c r="R762" s="326"/>
      <c r="S762" s="326"/>
      <c r="T762" s="326"/>
      <c r="U762" s="326"/>
      <c r="V762" s="326"/>
      <c r="W762" s="326"/>
      <c r="X762" s="326"/>
      <c r="Y762" s="326"/>
      <c r="Z762" s="326"/>
      <c r="AA762" s="326"/>
    </row>
    <row r="763" spans="1:27" ht="12.75">
      <c r="A763" s="326"/>
      <c r="B763" s="326"/>
      <c r="C763" s="326"/>
      <c r="D763" s="326"/>
      <c r="E763" s="326"/>
      <c r="F763" s="326"/>
      <c r="G763" s="326"/>
      <c r="H763" s="326"/>
      <c r="I763" s="326"/>
      <c r="J763" s="326"/>
      <c r="K763" s="326"/>
      <c r="L763" s="326"/>
      <c r="M763" s="326"/>
      <c r="N763" s="326"/>
      <c r="O763" s="326"/>
      <c r="P763" s="326"/>
      <c r="Q763" s="326"/>
      <c r="R763" s="326"/>
      <c r="S763" s="326"/>
      <c r="T763" s="326"/>
      <c r="U763" s="326"/>
      <c r="V763" s="326"/>
      <c r="W763" s="326"/>
      <c r="X763" s="326"/>
      <c r="Y763" s="326"/>
      <c r="Z763" s="326"/>
      <c r="AA763" s="326"/>
    </row>
    <row r="764" spans="1:27" ht="12.75">
      <c r="A764" s="326"/>
      <c r="B764" s="326"/>
      <c r="C764" s="326"/>
      <c r="D764" s="326"/>
      <c r="E764" s="326"/>
      <c r="F764" s="326"/>
      <c r="G764" s="326"/>
      <c r="H764" s="326"/>
      <c r="I764" s="326"/>
      <c r="J764" s="326"/>
      <c r="K764" s="326"/>
      <c r="L764" s="326"/>
      <c r="M764" s="326"/>
      <c r="N764" s="326"/>
      <c r="O764" s="326"/>
      <c r="P764" s="326"/>
      <c r="Q764" s="326"/>
      <c r="R764" s="326"/>
      <c r="S764" s="326"/>
      <c r="T764" s="326"/>
      <c r="U764" s="326"/>
      <c r="V764" s="326"/>
      <c r="W764" s="326"/>
      <c r="X764" s="326"/>
      <c r="Y764" s="326"/>
      <c r="Z764" s="326"/>
      <c r="AA764" s="326"/>
    </row>
    <row r="765" spans="1:27" ht="12.75">
      <c r="A765" s="326"/>
      <c r="B765" s="326"/>
      <c r="C765" s="326"/>
      <c r="D765" s="326"/>
      <c r="E765" s="326"/>
      <c r="F765" s="326"/>
      <c r="G765" s="326"/>
      <c r="H765" s="326"/>
      <c r="I765" s="326"/>
      <c r="J765" s="326"/>
      <c r="K765" s="326"/>
      <c r="L765" s="326"/>
      <c r="M765" s="326"/>
      <c r="N765" s="326"/>
      <c r="O765" s="326"/>
      <c r="P765" s="326"/>
      <c r="Q765" s="326"/>
      <c r="R765" s="326"/>
      <c r="S765" s="326"/>
      <c r="T765" s="326"/>
      <c r="U765" s="326"/>
      <c r="V765" s="326"/>
      <c r="W765" s="326"/>
      <c r="X765" s="326"/>
      <c r="Y765" s="326"/>
      <c r="Z765" s="326"/>
      <c r="AA765" s="326"/>
    </row>
    <row r="766" spans="1:27" ht="12.75">
      <c r="A766" s="326"/>
      <c r="B766" s="326"/>
      <c r="C766" s="326"/>
      <c r="D766" s="326"/>
      <c r="E766" s="326"/>
      <c r="F766" s="326"/>
      <c r="G766" s="326"/>
      <c r="H766" s="326"/>
      <c r="I766" s="326"/>
      <c r="J766" s="326"/>
      <c r="K766" s="326"/>
      <c r="L766" s="326"/>
      <c r="M766" s="326"/>
      <c r="N766" s="326"/>
      <c r="O766" s="326"/>
      <c r="P766" s="326"/>
      <c r="Q766" s="326"/>
      <c r="R766" s="326"/>
      <c r="S766" s="326"/>
      <c r="T766" s="326"/>
      <c r="U766" s="326"/>
      <c r="V766" s="326"/>
      <c r="W766" s="326"/>
      <c r="X766" s="326"/>
      <c r="Y766" s="326"/>
      <c r="Z766" s="326"/>
      <c r="AA766" s="326"/>
    </row>
    <row r="767" spans="1:27" ht="12.75">
      <c r="A767" s="326"/>
      <c r="B767" s="326"/>
      <c r="C767" s="326"/>
      <c r="D767" s="326"/>
      <c r="E767" s="326"/>
      <c r="F767" s="326"/>
      <c r="G767" s="326"/>
      <c r="H767" s="326"/>
      <c r="I767" s="326"/>
      <c r="J767" s="326"/>
      <c r="K767" s="326"/>
      <c r="L767" s="326"/>
      <c r="M767" s="326"/>
      <c r="N767" s="326"/>
      <c r="O767" s="326"/>
      <c r="P767" s="326"/>
      <c r="Q767" s="326"/>
      <c r="R767" s="326"/>
      <c r="S767" s="326"/>
      <c r="T767" s="326"/>
      <c r="U767" s="326"/>
      <c r="V767" s="326"/>
      <c r="W767" s="326"/>
      <c r="X767" s="326"/>
      <c r="Y767" s="326"/>
      <c r="Z767" s="326"/>
      <c r="AA767" s="326"/>
    </row>
    <row r="768" spans="1:27" ht="12.75">
      <c r="A768" s="326"/>
      <c r="B768" s="326"/>
      <c r="C768" s="326"/>
      <c r="D768" s="326"/>
      <c r="E768" s="326"/>
      <c r="F768" s="326"/>
      <c r="G768" s="326"/>
      <c r="H768" s="326"/>
      <c r="I768" s="326"/>
      <c r="J768" s="326"/>
      <c r="K768" s="326"/>
      <c r="L768" s="326"/>
      <c r="M768" s="326"/>
      <c r="N768" s="326"/>
      <c r="O768" s="326"/>
      <c r="P768" s="326"/>
      <c r="Q768" s="326"/>
      <c r="R768" s="326"/>
      <c r="S768" s="326"/>
      <c r="T768" s="326"/>
      <c r="U768" s="326"/>
      <c r="V768" s="326"/>
      <c r="W768" s="326"/>
      <c r="X768" s="326"/>
      <c r="Y768" s="326"/>
      <c r="Z768" s="326"/>
      <c r="AA768" s="326"/>
    </row>
    <row r="769" spans="1:27" ht="12.75">
      <c r="A769" s="326"/>
      <c r="B769" s="326"/>
      <c r="C769" s="326"/>
      <c r="D769" s="326"/>
      <c r="E769" s="326"/>
      <c r="F769" s="326"/>
      <c r="G769" s="326"/>
      <c r="H769" s="326"/>
      <c r="I769" s="326"/>
      <c r="J769" s="326"/>
      <c r="K769" s="326"/>
      <c r="L769" s="326"/>
      <c r="M769" s="326"/>
      <c r="N769" s="326"/>
      <c r="O769" s="326"/>
      <c r="P769" s="326"/>
      <c r="Q769" s="326"/>
      <c r="R769" s="326"/>
      <c r="S769" s="326"/>
      <c r="T769" s="326"/>
      <c r="U769" s="326"/>
      <c r="V769" s="326"/>
      <c r="W769" s="326"/>
      <c r="X769" s="326"/>
      <c r="Y769" s="326"/>
      <c r="Z769" s="326"/>
      <c r="AA769" s="326"/>
    </row>
    <row r="770" spans="1:27" ht="12.75">
      <c r="A770" s="326"/>
      <c r="B770" s="326"/>
      <c r="C770" s="326"/>
      <c r="D770" s="326"/>
      <c r="E770" s="326"/>
      <c r="F770" s="326"/>
      <c r="G770" s="326"/>
      <c r="H770" s="326"/>
      <c r="I770" s="326"/>
      <c r="J770" s="326"/>
      <c r="K770" s="326"/>
      <c r="L770" s="326"/>
      <c r="M770" s="326"/>
      <c r="N770" s="326"/>
      <c r="O770" s="326"/>
      <c r="P770" s="326"/>
      <c r="Q770" s="326"/>
      <c r="R770" s="326"/>
      <c r="S770" s="326"/>
      <c r="T770" s="326"/>
      <c r="U770" s="326"/>
      <c r="V770" s="326"/>
      <c r="W770" s="326"/>
      <c r="X770" s="326"/>
      <c r="Y770" s="326"/>
      <c r="Z770" s="326"/>
      <c r="AA770" s="326"/>
    </row>
    <row r="771" spans="1:27" ht="12.75">
      <c r="A771" s="326"/>
      <c r="B771" s="326"/>
      <c r="C771" s="326"/>
      <c r="D771" s="326"/>
      <c r="E771" s="326"/>
      <c r="F771" s="326"/>
      <c r="G771" s="326"/>
      <c r="H771" s="326"/>
      <c r="I771" s="326"/>
      <c r="J771" s="326"/>
      <c r="K771" s="326"/>
      <c r="L771" s="326"/>
      <c r="M771" s="326"/>
      <c r="N771" s="326"/>
      <c r="O771" s="326"/>
      <c r="P771" s="326"/>
      <c r="Q771" s="326"/>
      <c r="R771" s="326"/>
      <c r="S771" s="326"/>
      <c r="T771" s="326"/>
      <c r="U771" s="326"/>
      <c r="V771" s="326"/>
      <c r="W771" s="326"/>
      <c r="X771" s="326"/>
      <c r="Y771" s="326"/>
      <c r="Z771" s="326"/>
      <c r="AA771" s="326"/>
    </row>
    <row r="772" spans="1:27" ht="12.75">
      <c r="A772" s="326"/>
      <c r="B772" s="326"/>
      <c r="C772" s="326"/>
      <c r="D772" s="326"/>
      <c r="E772" s="326"/>
      <c r="F772" s="326"/>
      <c r="G772" s="326"/>
      <c r="H772" s="326"/>
      <c r="I772" s="326"/>
      <c r="J772" s="326"/>
      <c r="K772" s="326"/>
      <c r="L772" s="326"/>
      <c r="M772" s="326"/>
      <c r="N772" s="326"/>
      <c r="O772" s="326"/>
      <c r="P772" s="326"/>
      <c r="Q772" s="326"/>
      <c r="R772" s="326"/>
      <c r="S772" s="326"/>
      <c r="T772" s="326"/>
      <c r="U772" s="326"/>
      <c r="V772" s="326"/>
      <c r="W772" s="326"/>
      <c r="X772" s="326"/>
      <c r="Y772" s="326"/>
      <c r="Z772" s="326"/>
      <c r="AA772" s="326"/>
    </row>
    <row r="773" spans="1:27" ht="12.75">
      <c r="A773" s="326"/>
      <c r="B773" s="326"/>
      <c r="C773" s="326"/>
      <c r="D773" s="326"/>
      <c r="E773" s="326"/>
      <c r="F773" s="326"/>
      <c r="G773" s="326"/>
      <c r="H773" s="326"/>
      <c r="I773" s="326"/>
      <c r="J773" s="326"/>
      <c r="K773" s="326"/>
      <c r="L773" s="326"/>
      <c r="M773" s="326"/>
      <c r="N773" s="326"/>
      <c r="O773" s="326"/>
      <c r="P773" s="326"/>
      <c r="Q773" s="326"/>
      <c r="R773" s="326"/>
      <c r="S773" s="326"/>
      <c r="T773" s="326"/>
      <c r="U773" s="326"/>
      <c r="V773" s="326"/>
      <c r="W773" s="326"/>
      <c r="X773" s="326"/>
      <c r="Y773" s="326"/>
      <c r="Z773" s="326"/>
      <c r="AA773" s="326"/>
    </row>
    <row r="774" spans="1:27" ht="12.75">
      <c r="A774" s="326"/>
      <c r="B774" s="326"/>
      <c r="C774" s="326"/>
      <c r="D774" s="326"/>
      <c r="E774" s="326"/>
      <c r="F774" s="326"/>
      <c r="G774" s="326"/>
      <c r="H774" s="326"/>
      <c r="I774" s="326"/>
      <c r="J774" s="326"/>
      <c r="K774" s="326"/>
      <c r="L774" s="326"/>
      <c r="M774" s="326"/>
      <c r="N774" s="326"/>
      <c r="O774" s="326"/>
      <c r="P774" s="326"/>
      <c r="Q774" s="326"/>
      <c r="R774" s="326"/>
      <c r="S774" s="326"/>
      <c r="T774" s="326"/>
      <c r="U774" s="326"/>
      <c r="V774" s="326"/>
      <c r="W774" s="326"/>
      <c r="X774" s="326"/>
      <c r="Y774" s="326"/>
      <c r="Z774" s="326"/>
      <c r="AA774" s="326"/>
    </row>
    <row r="775" spans="1:27" ht="12.75">
      <c r="A775" s="326"/>
      <c r="B775" s="326"/>
      <c r="C775" s="326"/>
      <c r="D775" s="326"/>
      <c r="E775" s="326"/>
      <c r="F775" s="326"/>
      <c r="G775" s="326"/>
      <c r="H775" s="326"/>
      <c r="I775" s="326"/>
      <c r="J775" s="326"/>
      <c r="K775" s="326"/>
      <c r="L775" s="326"/>
      <c r="M775" s="326"/>
      <c r="N775" s="326"/>
      <c r="O775" s="326"/>
      <c r="P775" s="326"/>
      <c r="Q775" s="326"/>
      <c r="R775" s="326"/>
      <c r="S775" s="326"/>
      <c r="T775" s="326"/>
      <c r="U775" s="326"/>
      <c r="V775" s="326"/>
      <c r="W775" s="326"/>
      <c r="X775" s="326"/>
      <c r="Y775" s="326"/>
      <c r="Z775" s="326"/>
      <c r="AA775" s="326"/>
    </row>
    <row r="776" spans="1:27" ht="12.75">
      <c r="A776" s="326"/>
      <c r="B776" s="326"/>
      <c r="C776" s="326"/>
      <c r="D776" s="326"/>
      <c r="E776" s="326"/>
      <c r="F776" s="326"/>
      <c r="G776" s="326"/>
      <c r="H776" s="326"/>
      <c r="I776" s="326"/>
      <c r="J776" s="326"/>
      <c r="K776" s="326"/>
      <c r="L776" s="326"/>
      <c r="M776" s="326"/>
      <c r="N776" s="326"/>
      <c r="O776" s="326"/>
      <c r="P776" s="326"/>
      <c r="Q776" s="326"/>
      <c r="R776" s="326"/>
      <c r="S776" s="326"/>
      <c r="T776" s="326"/>
      <c r="U776" s="326"/>
      <c r="V776" s="326"/>
      <c r="W776" s="326"/>
      <c r="X776" s="326"/>
      <c r="Y776" s="326"/>
      <c r="Z776" s="326"/>
      <c r="AA776" s="326"/>
    </row>
    <row r="777" spans="1:27" ht="12.75">
      <c r="A777" s="326"/>
      <c r="B777" s="326"/>
      <c r="C777" s="326"/>
      <c r="D777" s="326"/>
      <c r="E777" s="326"/>
      <c r="F777" s="326"/>
      <c r="G777" s="326"/>
      <c r="H777" s="326"/>
      <c r="I777" s="326"/>
      <c r="J777" s="326"/>
      <c r="K777" s="326"/>
      <c r="L777" s="326"/>
      <c r="M777" s="326"/>
      <c r="N777" s="326"/>
      <c r="O777" s="326"/>
      <c r="P777" s="326"/>
      <c r="Q777" s="326"/>
      <c r="R777" s="326"/>
      <c r="S777" s="326"/>
      <c r="T777" s="326"/>
      <c r="U777" s="326"/>
      <c r="V777" s="326"/>
      <c r="W777" s="326"/>
      <c r="X777" s="326"/>
      <c r="Y777" s="326"/>
      <c r="Z777" s="326"/>
      <c r="AA777" s="326"/>
    </row>
    <row r="778" spans="1:27" ht="12.75">
      <c r="A778" s="326"/>
      <c r="B778" s="326"/>
      <c r="C778" s="326"/>
      <c r="D778" s="326"/>
      <c r="E778" s="326"/>
      <c r="F778" s="326"/>
      <c r="G778" s="326"/>
      <c r="H778" s="326"/>
      <c r="I778" s="326"/>
      <c r="J778" s="326"/>
      <c r="K778" s="326"/>
      <c r="L778" s="326"/>
      <c r="M778" s="326"/>
      <c r="N778" s="326"/>
      <c r="O778" s="326"/>
      <c r="P778" s="326"/>
      <c r="Q778" s="326"/>
      <c r="R778" s="326"/>
      <c r="S778" s="326"/>
      <c r="T778" s="326"/>
      <c r="U778" s="326"/>
      <c r="V778" s="326"/>
      <c r="W778" s="326"/>
      <c r="X778" s="326"/>
      <c r="Y778" s="326"/>
      <c r="Z778" s="326"/>
      <c r="AA778" s="326"/>
    </row>
    <row r="779" spans="1:27" ht="12.75">
      <c r="A779" s="326"/>
      <c r="B779" s="326"/>
      <c r="C779" s="326"/>
      <c r="D779" s="326"/>
      <c r="E779" s="326"/>
      <c r="F779" s="326"/>
      <c r="G779" s="326"/>
      <c r="H779" s="326"/>
      <c r="I779" s="326"/>
      <c r="J779" s="326"/>
      <c r="K779" s="326"/>
      <c r="L779" s="326"/>
      <c r="M779" s="326"/>
      <c r="N779" s="326"/>
      <c r="O779" s="326"/>
      <c r="P779" s="326"/>
      <c r="Q779" s="326"/>
      <c r="R779" s="326"/>
      <c r="S779" s="326"/>
      <c r="T779" s="326"/>
      <c r="U779" s="326"/>
      <c r="V779" s="326"/>
      <c r="W779" s="326"/>
      <c r="X779" s="326"/>
      <c r="Y779" s="326"/>
      <c r="Z779" s="326"/>
      <c r="AA779" s="326"/>
    </row>
    <row r="780" spans="1:27" ht="12.75">
      <c r="A780" s="326"/>
      <c r="B780" s="326"/>
      <c r="C780" s="326"/>
      <c r="D780" s="326"/>
      <c r="E780" s="326"/>
      <c r="F780" s="326"/>
      <c r="G780" s="326"/>
      <c r="H780" s="326"/>
      <c r="I780" s="326"/>
      <c r="J780" s="326"/>
      <c r="K780" s="326"/>
      <c r="L780" s="326"/>
      <c r="M780" s="326"/>
      <c r="N780" s="326"/>
      <c r="O780" s="326"/>
      <c r="P780" s="326"/>
      <c r="Q780" s="326"/>
      <c r="R780" s="326"/>
      <c r="S780" s="326"/>
      <c r="T780" s="326"/>
      <c r="U780" s="326"/>
      <c r="V780" s="326"/>
      <c r="W780" s="326"/>
      <c r="X780" s="326"/>
      <c r="Y780" s="326"/>
      <c r="Z780" s="326"/>
      <c r="AA780" s="326"/>
    </row>
    <row r="781" spans="1:27" ht="12.75">
      <c r="A781" s="326"/>
      <c r="B781" s="326"/>
      <c r="C781" s="326"/>
      <c r="D781" s="326"/>
      <c r="E781" s="326"/>
      <c r="F781" s="326"/>
      <c r="G781" s="326"/>
      <c r="H781" s="326"/>
      <c r="I781" s="326"/>
      <c r="J781" s="326"/>
      <c r="K781" s="326"/>
      <c r="L781" s="326"/>
      <c r="M781" s="326"/>
      <c r="N781" s="326"/>
      <c r="O781" s="326"/>
      <c r="P781" s="326"/>
      <c r="Q781" s="326"/>
      <c r="R781" s="326"/>
      <c r="S781" s="326"/>
      <c r="T781" s="326"/>
      <c r="U781" s="326"/>
      <c r="V781" s="326"/>
      <c r="W781" s="326"/>
      <c r="X781" s="326"/>
      <c r="Y781" s="326"/>
      <c r="Z781" s="326"/>
      <c r="AA781" s="326"/>
    </row>
    <row r="782" spans="1:27" ht="12.75">
      <c r="A782" s="326"/>
      <c r="B782" s="326"/>
      <c r="C782" s="326"/>
      <c r="D782" s="326"/>
      <c r="E782" s="326"/>
      <c r="F782" s="326"/>
      <c r="G782" s="326"/>
      <c r="H782" s="326"/>
      <c r="I782" s="326"/>
      <c r="J782" s="326"/>
      <c r="K782" s="326"/>
      <c r="L782" s="326"/>
      <c r="M782" s="326"/>
      <c r="N782" s="326"/>
      <c r="O782" s="326"/>
      <c r="P782" s="326"/>
      <c r="Q782" s="326"/>
      <c r="R782" s="326"/>
      <c r="S782" s="326"/>
      <c r="T782" s="326"/>
      <c r="U782" s="326"/>
      <c r="V782" s="326"/>
      <c r="W782" s="326"/>
      <c r="X782" s="326"/>
      <c r="Y782" s="326"/>
      <c r="Z782" s="326"/>
      <c r="AA782" s="326"/>
    </row>
    <row r="783" spans="1:27" ht="12.75">
      <c r="A783" s="326"/>
      <c r="B783" s="326"/>
      <c r="C783" s="326"/>
      <c r="D783" s="326"/>
      <c r="E783" s="326"/>
      <c r="F783" s="326"/>
      <c r="G783" s="326"/>
      <c r="H783" s="326"/>
      <c r="I783" s="326"/>
      <c r="J783" s="326"/>
      <c r="K783" s="326"/>
      <c r="L783" s="326"/>
      <c r="M783" s="326"/>
      <c r="N783" s="326"/>
      <c r="O783" s="326"/>
      <c r="P783" s="326"/>
      <c r="Q783" s="326"/>
      <c r="R783" s="326"/>
      <c r="S783" s="326"/>
      <c r="T783" s="326"/>
      <c r="U783" s="326"/>
      <c r="V783" s="326"/>
      <c r="W783" s="326"/>
      <c r="X783" s="326"/>
      <c r="Y783" s="326"/>
      <c r="Z783" s="326"/>
      <c r="AA783" s="326"/>
    </row>
    <row r="784" spans="1:27" ht="12.75">
      <c r="A784" s="326"/>
      <c r="B784" s="326"/>
      <c r="C784" s="326"/>
      <c r="D784" s="326"/>
      <c r="E784" s="326"/>
      <c r="F784" s="326"/>
      <c r="G784" s="326"/>
      <c r="H784" s="326"/>
      <c r="I784" s="326"/>
      <c r="J784" s="326"/>
      <c r="K784" s="326"/>
      <c r="L784" s="326"/>
      <c r="M784" s="326"/>
      <c r="N784" s="326"/>
      <c r="O784" s="326"/>
      <c r="P784" s="326"/>
      <c r="Q784" s="326"/>
      <c r="R784" s="326"/>
      <c r="S784" s="326"/>
      <c r="T784" s="326"/>
      <c r="U784" s="326"/>
      <c r="V784" s="326"/>
      <c r="W784" s="326"/>
      <c r="X784" s="326"/>
      <c r="Y784" s="326"/>
      <c r="Z784" s="326"/>
      <c r="AA784" s="326"/>
    </row>
    <row r="785" spans="1:27" ht="12.75">
      <c r="A785" s="326"/>
      <c r="B785" s="326"/>
      <c r="C785" s="326"/>
      <c r="D785" s="326"/>
      <c r="E785" s="326"/>
      <c r="F785" s="326"/>
      <c r="G785" s="326"/>
      <c r="H785" s="326"/>
      <c r="I785" s="326"/>
      <c r="J785" s="326"/>
      <c r="K785" s="326"/>
      <c r="L785" s="326"/>
      <c r="M785" s="326"/>
      <c r="N785" s="326"/>
      <c r="O785" s="326"/>
      <c r="P785" s="326"/>
      <c r="Q785" s="326"/>
      <c r="R785" s="326"/>
      <c r="S785" s="326"/>
      <c r="T785" s="326"/>
      <c r="U785" s="326"/>
      <c r="V785" s="326"/>
      <c r="W785" s="326"/>
      <c r="X785" s="326"/>
      <c r="Y785" s="326"/>
      <c r="Z785" s="326"/>
      <c r="AA785" s="326"/>
    </row>
    <row r="786" spans="1:27" ht="12.75">
      <c r="A786" s="326"/>
      <c r="B786" s="326"/>
      <c r="C786" s="326"/>
      <c r="D786" s="326"/>
      <c r="E786" s="326"/>
      <c r="F786" s="326"/>
      <c r="G786" s="326"/>
      <c r="H786" s="326"/>
      <c r="I786" s="326"/>
      <c r="J786" s="326"/>
      <c r="K786" s="326"/>
      <c r="L786" s="326"/>
      <c r="M786" s="326"/>
      <c r="N786" s="326"/>
      <c r="O786" s="326"/>
      <c r="P786" s="326"/>
      <c r="Q786" s="326"/>
      <c r="R786" s="326"/>
      <c r="S786" s="326"/>
      <c r="T786" s="326"/>
      <c r="U786" s="326"/>
      <c r="V786" s="326"/>
      <c r="W786" s="326"/>
      <c r="X786" s="326"/>
      <c r="Y786" s="326"/>
      <c r="Z786" s="326"/>
      <c r="AA786" s="326"/>
    </row>
    <row r="787" spans="1:27" ht="12.75">
      <c r="A787" s="326"/>
      <c r="B787" s="326"/>
      <c r="C787" s="326"/>
      <c r="D787" s="326"/>
      <c r="E787" s="326"/>
      <c r="F787" s="326"/>
      <c r="G787" s="326"/>
      <c r="H787" s="326"/>
      <c r="I787" s="326"/>
      <c r="J787" s="326"/>
      <c r="K787" s="326"/>
      <c r="L787" s="326"/>
      <c r="M787" s="326"/>
      <c r="N787" s="326"/>
      <c r="O787" s="326"/>
      <c r="P787" s="326"/>
      <c r="Q787" s="326"/>
      <c r="R787" s="326"/>
      <c r="S787" s="326"/>
      <c r="T787" s="326"/>
      <c r="U787" s="326"/>
      <c r="V787" s="326"/>
      <c r="W787" s="326"/>
      <c r="X787" s="326"/>
      <c r="Y787" s="326"/>
      <c r="Z787" s="326"/>
      <c r="AA787" s="326"/>
    </row>
    <row r="788" spans="1:27" ht="12.75">
      <c r="A788" s="326"/>
      <c r="B788" s="326"/>
      <c r="C788" s="326"/>
      <c r="D788" s="326"/>
      <c r="E788" s="326"/>
      <c r="F788" s="326"/>
      <c r="G788" s="326"/>
      <c r="H788" s="326"/>
      <c r="I788" s="326"/>
      <c r="J788" s="326"/>
      <c r="K788" s="326"/>
      <c r="L788" s="326"/>
      <c r="M788" s="326"/>
      <c r="N788" s="326"/>
      <c r="O788" s="326"/>
      <c r="P788" s="326"/>
      <c r="Q788" s="326"/>
      <c r="R788" s="326"/>
      <c r="S788" s="326"/>
      <c r="T788" s="326"/>
      <c r="U788" s="326"/>
      <c r="V788" s="326"/>
      <c r="W788" s="326"/>
      <c r="X788" s="326"/>
      <c r="Y788" s="326"/>
      <c r="Z788" s="326"/>
      <c r="AA788" s="326"/>
    </row>
    <row r="789" spans="1:27" ht="12.75">
      <c r="A789" s="326"/>
      <c r="B789" s="326"/>
      <c r="C789" s="326"/>
      <c r="D789" s="326"/>
      <c r="E789" s="326"/>
      <c r="F789" s="326"/>
      <c r="G789" s="326"/>
      <c r="H789" s="326"/>
      <c r="I789" s="326"/>
      <c r="J789" s="326"/>
      <c r="K789" s="326"/>
      <c r="L789" s="326"/>
      <c r="M789" s="326"/>
      <c r="N789" s="326"/>
      <c r="O789" s="326"/>
      <c r="P789" s="326"/>
      <c r="Q789" s="326"/>
      <c r="R789" s="326"/>
      <c r="S789" s="326"/>
      <c r="T789" s="326"/>
      <c r="U789" s="326"/>
      <c r="V789" s="326"/>
      <c r="W789" s="326"/>
      <c r="X789" s="326"/>
      <c r="Y789" s="326"/>
      <c r="Z789" s="326"/>
      <c r="AA789" s="326"/>
    </row>
    <row r="790" spans="1:27" ht="12.75">
      <c r="A790" s="326"/>
      <c r="B790" s="326"/>
      <c r="C790" s="326"/>
      <c r="D790" s="326"/>
      <c r="E790" s="326"/>
      <c r="F790" s="326"/>
      <c r="G790" s="326"/>
      <c r="H790" s="326"/>
      <c r="I790" s="326"/>
      <c r="J790" s="326"/>
      <c r="K790" s="326"/>
      <c r="L790" s="326"/>
      <c r="M790" s="326"/>
      <c r="N790" s="326"/>
      <c r="O790" s="326"/>
      <c r="P790" s="326"/>
      <c r="Q790" s="326"/>
      <c r="R790" s="326"/>
      <c r="S790" s="326"/>
      <c r="T790" s="326"/>
      <c r="U790" s="326"/>
      <c r="V790" s="326"/>
      <c r="W790" s="326"/>
      <c r="X790" s="326"/>
      <c r="Y790" s="326"/>
      <c r="Z790" s="326"/>
      <c r="AA790" s="326"/>
    </row>
    <row r="791" spans="1:27" ht="12.75">
      <c r="A791" s="326"/>
      <c r="B791" s="326"/>
      <c r="C791" s="326"/>
      <c r="D791" s="326"/>
      <c r="E791" s="326"/>
      <c r="F791" s="326"/>
      <c r="G791" s="326"/>
      <c r="H791" s="326"/>
      <c r="I791" s="326"/>
      <c r="J791" s="326"/>
      <c r="K791" s="326"/>
      <c r="L791" s="326"/>
      <c r="M791" s="326"/>
      <c r="N791" s="326"/>
      <c r="O791" s="326"/>
      <c r="P791" s="326"/>
      <c r="Q791" s="326"/>
      <c r="R791" s="326"/>
      <c r="S791" s="326"/>
      <c r="T791" s="326"/>
      <c r="U791" s="326"/>
      <c r="V791" s="326"/>
      <c r="W791" s="326"/>
      <c r="X791" s="326"/>
      <c r="Y791" s="326"/>
      <c r="Z791" s="326"/>
      <c r="AA791" s="326"/>
    </row>
    <row r="792" spans="1:27" ht="12.75">
      <c r="A792" s="326"/>
      <c r="B792" s="326"/>
      <c r="C792" s="326"/>
      <c r="D792" s="326"/>
      <c r="E792" s="326"/>
      <c r="F792" s="326"/>
      <c r="G792" s="326"/>
      <c r="H792" s="326"/>
      <c r="I792" s="326"/>
      <c r="J792" s="326"/>
      <c r="K792" s="326"/>
      <c r="L792" s="326"/>
      <c r="M792" s="326"/>
      <c r="N792" s="326"/>
      <c r="O792" s="326"/>
      <c r="P792" s="326"/>
      <c r="Q792" s="326"/>
      <c r="R792" s="326"/>
      <c r="S792" s="326"/>
      <c r="T792" s="326"/>
      <c r="U792" s="326"/>
      <c r="V792" s="326"/>
      <c r="W792" s="326"/>
      <c r="X792" s="326"/>
      <c r="Y792" s="326"/>
      <c r="Z792" s="326"/>
      <c r="AA792" s="326"/>
    </row>
    <row r="793" spans="1:27" ht="12.75">
      <c r="A793" s="326"/>
      <c r="B793" s="326"/>
      <c r="C793" s="326"/>
      <c r="D793" s="326"/>
      <c r="E793" s="326"/>
      <c r="F793" s="326"/>
      <c r="G793" s="326"/>
      <c r="H793" s="326"/>
      <c r="I793" s="326"/>
      <c r="J793" s="326"/>
      <c r="K793" s="326"/>
      <c r="L793" s="326"/>
      <c r="M793" s="326"/>
      <c r="N793" s="326"/>
      <c r="O793" s="326"/>
      <c r="P793" s="326"/>
      <c r="Q793" s="326"/>
      <c r="R793" s="326"/>
      <c r="S793" s="326"/>
      <c r="T793" s="326"/>
      <c r="U793" s="326"/>
      <c r="V793" s="326"/>
      <c r="W793" s="326"/>
      <c r="X793" s="326"/>
      <c r="Y793" s="326"/>
      <c r="Z793" s="326"/>
      <c r="AA793" s="326"/>
    </row>
    <row r="794" spans="1:27" ht="12.75">
      <c r="A794" s="326"/>
      <c r="B794" s="326"/>
      <c r="C794" s="326"/>
      <c r="D794" s="326"/>
      <c r="E794" s="326"/>
      <c r="F794" s="326"/>
      <c r="G794" s="326"/>
      <c r="H794" s="326"/>
      <c r="I794" s="326"/>
      <c r="J794" s="326"/>
      <c r="K794" s="326"/>
      <c r="L794" s="326"/>
      <c r="M794" s="326"/>
      <c r="N794" s="326"/>
      <c r="O794" s="326"/>
      <c r="P794" s="326"/>
      <c r="Q794" s="326"/>
      <c r="R794" s="326"/>
      <c r="S794" s="326"/>
      <c r="T794" s="326"/>
      <c r="U794" s="326"/>
      <c r="V794" s="326"/>
      <c r="W794" s="326"/>
      <c r="X794" s="326"/>
      <c r="Y794" s="326"/>
      <c r="Z794" s="326"/>
      <c r="AA794" s="326"/>
    </row>
    <row r="795" spans="1:27" ht="12.75">
      <c r="A795" s="326"/>
      <c r="B795" s="326"/>
      <c r="C795" s="326"/>
      <c r="D795" s="326"/>
      <c r="E795" s="326"/>
      <c r="F795" s="326"/>
      <c r="G795" s="326"/>
      <c r="H795" s="326"/>
      <c r="I795" s="326"/>
      <c r="J795" s="326"/>
      <c r="K795" s="326"/>
      <c r="L795" s="326"/>
      <c r="M795" s="326"/>
      <c r="N795" s="326"/>
      <c r="O795" s="326"/>
      <c r="P795" s="326"/>
      <c r="Q795" s="326"/>
      <c r="R795" s="326"/>
      <c r="S795" s="326"/>
      <c r="T795" s="326"/>
      <c r="U795" s="326"/>
      <c r="V795" s="326"/>
      <c r="W795" s="326"/>
      <c r="X795" s="326"/>
      <c r="Y795" s="326"/>
      <c r="Z795" s="326"/>
      <c r="AA795" s="326"/>
    </row>
    <row r="796" spans="1:27" ht="12.75">
      <c r="A796" s="326"/>
      <c r="B796" s="326"/>
      <c r="C796" s="326"/>
      <c r="D796" s="326"/>
      <c r="E796" s="326"/>
      <c r="F796" s="326"/>
      <c r="G796" s="326"/>
      <c r="H796" s="326"/>
      <c r="I796" s="326"/>
      <c r="J796" s="326"/>
      <c r="K796" s="326"/>
      <c r="L796" s="326"/>
      <c r="M796" s="326"/>
      <c r="N796" s="326"/>
      <c r="O796" s="326"/>
      <c r="P796" s="326"/>
      <c r="Q796" s="326"/>
      <c r="R796" s="326"/>
      <c r="S796" s="326"/>
      <c r="T796" s="326"/>
      <c r="U796" s="326"/>
      <c r="V796" s="326"/>
      <c r="W796" s="326"/>
      <c r="X796" s="326"/>
      <c r="Y796" s="326"/>
      <c r="Z796" s="326"/>
      <c r="AA796" s="326"/>
    </row>
    <row r="797" spans="1:27" ht="12.75">
      <c r="A797" s="326"/>
      <c r="B797" s="326"/>
      <c r="C797" s="326"/>
      <c r="D797" s="326"/>
      <c r="E797" s="326"/>
      <c r="F797" s="326"/>
      <c r="G797" s="326"/>
      <c r="H797" s="326"/>
      <c r="I797" s="326"/>
      <c r="J797" s="326"/>
      <c r="K797" s="326"/>
      <c r="L797" s="326"/>
      <c r="M797" s="326"/>
      <c r="N797" s="326"/>
      <c r="O797" s="326"/>
      <c r="P797" s="326"/>
      <c r="Q797" s="326"/>
      <c r="R797" s="326"/>
      <c r="S797" s="326"/>
      <c r="T797" s="326"/>
      <c r="U797" s="326"/>
      <c r="V797" s="326"/>
      <c r="W797" s="326"/>
      <c r="X797" s="326"/>
      <c r="Y797" s="326"/>
      <c r="Z797" s="326"/>
      <c r="AA797" s="326"/>
    </row>
    <row r="798" spans="1:27" ht="12.75">
      <c r="A798" s="326"/>
      <c r="B798" s="326"/>
      <c r="C798" s="326"/>
      <c r="D798" s="326"/>
      <c r="E798" s="326"/>
      <c r="F798" s="326"/>
      <c r="G798" s="326"/>
      <c r="H798" s="326"/>
      <c r="I798" s="326"/>
      <c r="J798" s="326"/>
      <c r="K798" s="326"/>
      <c r="L798" s="326"/>
      <c r="M798" s="326"/>
      <c r="N798" s="326"/>
      <c r="O798" s="326"/>
      <c r="P798" s="326"/>
      <c r="Q798" s="326"/>
      <c r="R798" s="326"/>
      <c r="S798" s="326"/>
      <c r="T798" s="326"/>
      <c r="U798" s="326"/>
      <c r="V798" s="326"/>
      <c r="W798" s="326"/>
      <c r="X798" s="326"/>
      <c r="Y798" s="326"/>
      <c r="Z798" s="326"/>
      <c r="AA798" s="326"/>
    </row>
    <row r="799" spans="1:27" ht="12.75">
      <c r="A799" s="326"/>
      <c r="B799" s="326"/>
      <c r="C799" s="326"/>
      <c r="D799" s="326"/>
      <c r="E799" s="326"/>
      <c r="F799" s="326"/>
      <c r="G799" s="326"/>
      <c r="H799" s="326"/>
      <c r="I799" s="326"/>
      <c r="J799" s="326"/>
      <c r="K799" s="326"/>
      <c r="L799" s="326"/>
      <c r="M799" s="326"/>
      <c r="N799" s="326"/>
      <c r="O799" s="326"/>
      <c r="P799" s="326"/>
      <c r="Q799" s="326"/>
      <c r="R799" s="326"/>
      <c r="S799" s="326"/>
      <c r="T799" s="326"/>
      <c r="U799" s="326"/>
      <c r="V799" s="326"/>
      <c r="W799" s="326"/>
      <c r="X799" s="326"/>
      <c r="Y799" s="326"/>
      <c r="Z799" s="326"/>
      <c r="AA799" s="326"/>
    </row>
    <row r="800" spans="1:27" ht="12.75">
      <c r="A800" s="326"/>
      <c r="B800" s="326"/>
      <c r="C800" s="326"/>
      <c r="D800" s="326"/>
      <c r="E800" s="326"/>
      <c r="F800" s="326"/>
      <c r="G800" s="326"/>
      <c r="H800" s="326"/>
      <c r="I800" s="326"/>
      <c r="J800" s="326"/>
      <c r="K800" s="326"/>
      <c r="L800" s="326"/>
      <c r="M800" s="326"/>
      <c r="N800" s="326"/>
      <c r="O800" s="326"/>
      <c r="P800" s="326"/>
      <c r="Q800" s="326"/>
      <c r="R800" s="326"/>
      <c r="S800" s="326"/>
      <c r="T800" s="326"/>
      <c r="U800" s="326"/>
      <c r="V800" s="326"/>
      <c r="W800" s="326"/>
      <c r="X800" s="326"/>
      <c r="Y800" s="326"/>
      <c r="Z800" s="326"/>
      <c r="AA800" s="326"/>
    </row>
    <row r="801" spans="1:27" ht="12.75">
      <c r="A801" s="326"/>
      <c r="B801" s="326"/>
      <c r="C801" s="326"/>
      <c r="D801" s="326"/>
      <c r="E801" s="326"/>
      <c r="F801" s="326"/>
      <c r="G801" s="326"/>
      <c r="H801" s="326"/>
      <c r="I801" s="326"/>
      <c r="J801" s="326"/>
      <c r="K801" s="326"/>
      <c r="L801" s="326"/>
      <c r="M801" s="326"/>
      <c r="N801" s="326"/>
      <c r="O801" s="326"/>
      <c r="P801" s="326"/>
      <c r="Q801" s="326"/>
      <c r="R801" s="326"/>
      <c r="S801" s="326"/>
      <c r="T801" s="326"/>
      <c r="U801" s="326"/>
      <c r="V801" s="326"/>
      <c r="W801" s="326"/>
      <c r="X801" s="326"/>
      <c r="Y801" s="326"/>
      <c r="Z801" s="326"/>
      <c r="AA801" s="326"/>
    </row>
    <row r="802" spans="1:27" ht="12.75">
      <c r="A802" s="326"/>
      <c r="B802" s="326"/>
      <c r="C802" s="326"/>
      <c r="D802" s="326"/>
      <c r="E802" s="326"/>
      <c r="F802" s="326"/>
      <c r="G802" s="326"/>
      <c r="H802" s="326"/>
      <c r="I802" s="326"/>
      <c r="J802" s="326"/>
      <c r="K802" s="326"/>
      <c r="L802" s="326"/>
      <c r="M802" s="326"/>
      <c r="N802" s="326"/>
      <c r="O802" s="326"/>
      <c r="P802" s="326"/>
      <c r="Q802" s="326"/>
      <c r="R802" s="326"/>
      <c r="S802" s="326"/>
      <c r="T802" s="326"/>
      <c r="U802" s="326"/>
      <c r="V802" s="326"/>
      <c r="W802" s="326"/>
      <c r="X802" s="326"/>
      <c r="Y802" s="326"/>
      <c r="Z802" s="326"/>
      <c r="AA802" s="326"/>
    </row>
    <row r="803" spans="1:27" ht="12.75">
      <c r="A803" s="326"/>
      <c r="B803" s="326"/>
      <c r="C803" s="326"/>
      <c r="D803" s="326"/>
      <c r="E803" s="326"/>
      <c r="F803" s="326"/>
      <c r="G803" s="326"/>
      <c r="H803" s="326"/>
      <c r="I803" s="326"/>
      <c r="J803" s="326"/>
      <c r="K803" s="326"/>
      <c r="L803" s="326"/>
      <c r="M803" s="326"/>
      <c r="N803" s="326"/>
      <c r="O803" s="326"/>
      <c r="P803" s="326"/>
      <c r="Q803" s="326"/>
      <c r="R803" s="326"/>
      <c r="S803" s="326"/>
      <c r="T803" s="326"/>
      <c r="U803" s="326"/>
      <c r="V803" s="326"/>
      <c r="W803" s="326"/>
      <c r="X803" s="326"/>
      <c r="Y803" s="326"/>
      <c r="Z803" s="326"/>
      <c r="AA803" s="326"/>
    </row>
    <row r="804" spans="1:27" ht="12.75">
      <c r="A804" s="326"/>
      <c r="B804" s="326"/>
      <c r="C804" s="326"/>
      <c r="D804" s="326"/>
      <c r="E804" s="326"/>
      <c r="F804" s="326"/>
      <c r="G804" s="326"/>
      <c r="H804" s="326"/>
      <c r="I804" s="326"/>
      <c r="J804" s="326"/>
      <c r="K804" s="326"/>
      <c r="L804" s="326"/>
      <c r="M804" s="326"/>
      <c r="N804" s="326"/>
      <c r="O804" s="326"/>
      <c r="P804" s="326"/>
      <c r="Q804" s="326"/>
      <c r="R804" s="326"/>
      <c r="S804" s="326"/>
      <c r="T804" s="326"/>
      <c r="U804" s="326"/>
      <c r="V804" s="326"/>
      <c r="W804" s="326"/>
      <c r="X804" s="326"/>
      <c r="Y804" s="326"/>
      <c r="Z804" s="326"/>
      <c r="AA804" s="326"/>
    </row>
    <row r="805" spans="1:27" ht="12.75">
      <c r="A805" s="326"/>
      <c r="B805" s="326"/>
      <c r="C805" s="326"/>
      <c r="D805" s="326"/>
      <c r="E805" s="326"/>
      <c r="F805" s="326"/>
      <c r="G805" s="326"/>
      <c r="H805" s="326"/>
      <c r="I805" s="326"/>
      <c r="J805" s="326"/>
      <c r="K805" s="326"/>
      <c r="L805" s="326"/>
      <c r="M805" s="326"/>
      <c r="N805" s="326"/>
      <c r="O805" s="326"/>
      <c r="P805" s="326"/>
      <c r="Q805" s="326"/>
      <c r="R805" s="326"/>
      <c r="S805" s="326"/>
      <c r="T805" s="326"/>
      <c r="U805" s="326"/>
      <c r="V805" s="326"/>
      <c r="W805" s="326"/>
      <c r="X805" s="326"/>
      <c r="Y805" s="326"/>
      <c r="Z805" s="326"/>
      <c r="AA805" s="326"/>
    </row>
    <row r="806" spans="1:27" ht="12.75">
      <c r="A806" s="326"/>
      <c r="B806" s="326"/>
      <c r="C806" s="326"/>
      <c r="D806" s="326"/>
      <c r="E806" s="326"/>
      <c r="F806" s="326"/>
      <c r="G806" s="326"/>
      <c r="H806" s="326"/>
      <c r="I806" s="326"/>
      <c r="J806" s="326"/>
      <c r="K806" s="326"/>
      <c r="L806" s="326"/>
      <c r="M806" s="326"/>
      <c r="N806" s="326"/>
      <c r="O806" s="326"/>
      <c r="P806" s="326"/>
      <c r="Q806" s="326"/>
      <c r="R806" s="326"/>
      <c r="S806" s="326"/>
      <c r="T806" s="326"/>
      <c r="U806" s="326"/>
      <c r="V806" s="326"/>
      <c r="W806" s="326"/>
      <c r="X806" s="326"/>
      <c r="Y806" s="326"/>
      <c r="Z806" s="326"/>
      <c r="AA806" s="326"/>
    </row>
    <row r="807" spans="1:27" ht="12.75">
      <c r="A807" s="326"/>
      <c r="B807" s="326"/>
      <c r="C807" s="326"/>
      <c r="D807" s="326"/>
      <c r="E807" s="326"/>
      <c r="F807" s="326"/>
      <c r="G807" s="326"/>
      <c r="H807" s="326"/>
      <c r="I807" s="326"/>
      <c r="J807" s="326"/>
      <c r="K807" s="326"/>
      <c r="L807" s="326"/>
      <c r="M807" s="326"/>
      <c r="N807" s="326"/>
      <c r="O807" s="326"/>
      <c r="P807" s="326"/>
      <c r="Q807" s="326"/>
      <c r="R807" s="326"/>
      <c r="S807" s="326"/>
      <c r="T807" s="326"/>
      <c r="U807" s="326"/>
      <c r="V807" s="326"/>
      <c r="W807" s="326"/>
      <c r="X807" s="326"/>
      <c r="Y807" s="326"/>
      <c r="Z807" s="326"/>
      <c r="AA807" s="326"/>
    </row>
    <row r="808" spans="1:27" ht="12.75">
      <c r="A808" s="326"/>
      <c r="B808" s="326"/>
      <c r="C808" s="326"/>
      <c r="D808" s="326"/>
      <c r="E808" s="326"/>
      <c r="F808" s="326"/>
      <c r="G808" s="326"/>
      <c r="H808" s="326"/>
      <c r="I808" s="326"/>
      <c r="J808" s="326"/>
      <c r="K808" s="326"/>
      <c r="L808" s="326"/>
      <c r="M808" s="326"/>
      <c r="N808" s="326"/>
      <c r="O808" s="326"/>
      <c r="P808" s="326"/>
      <c r="Q808" s="326"/>
      <c r="R808" s="326"/>
      <c r="S808" s="326"/>
      <c r="T808" s="326"/>
      <c r="U808" s="326"/>
      <c r="V808" s="326"/>
      <c r="W808" s="326"/>
      <c r="X808" s="326"/>
      <c r="Y808" s="326"/>
      <c r="Z808" s="326"/>
      <c r="AA808" s="326"/>
    </row>
    <row r="809" spans="1:27" ht="12.75">
      <c r="A809" s="326"/>
      <c r="B809" s="326"/>
      <c r="C809" s="326"/>
      <c r="D809" s="326"/>
      <c r="E809" s="326"/>
      <c r="F809" s="326"/>
      <c r="G809" s="326"/>
      <c r="H809" s="326"/>
      <c r="I809" s="326"/>
      <c r="J809" s="326"/>
      <c r="K809" s="326"/>
      <c r="L809" s="326"/>
      <c r="M809" s="326"/>
      <c r="N809" s="326"/>
      <c r="O809" s="326"/>
      <c r="P809" s="326"/>
      <c r="Q809" s="326"/>
      <c r="R809" s="326"/>
      <c r="S809" s="326"/>
      <c r="T809" s="326"/>
      <c r="U809" s="326"/>
      <c r="V809" s="326"/>
      <c r="W809" s="326"/>
      <c r="X809" s="326"/>
      <c r="Y809" s="326"/>
      <c r="Z809" s="326"/>
      <c r="AA809" s="326"/>
    </row>
    <row r="810" spans="1:27" ht="12.75">
      <c r="A810" s="326"/>
      <c r="B810" s="326"/>
      <c r="C810" s="326"/>
      <c r="D810" s="326"/>
      <c r="E810" s="326"/>
      <c r="F810" s="326"/>
      <c r="G810" s="326"/>
      <c r="H810" s="326"/>
      <c r="I810" s="326"/>
      <c r="J810" s="326"/>
      <c r="K810" s="326"/>
      <c r="L810" s="326"/>
      <c r="M810" s="326"/>
      <c r="N810" s="326"/>
      <c r="O810" s="326"/>
      <c r="P810" s="326"/>
      <c r="Q810" s="326"/>
      <c r="R810" s="326"/>
      <c r="S810" s="326"/>
      <c r="T810" s="326"/>
      <c r="U810" s="326"/>
      <c r="V810" s="326"/>
      <c r="W810" s="326"/>
      <c r="X810" s="326"/>
      <c r="Y810" s="326"/>
      <c r="Z810" s="326"/>
      <c r="AA810" s="326"/>
    </row>
    <row r="811" spans="1:27" ht="12.75">
      <c r="A811" s="326"/>
      <c r="B811" s="326"/>
      <c r="C811" s="326"/>
      <c r="D811" s="326"/>
      <c r="E811" s="326"/>
      <c r="F811" s="326"/>
      <c r="G811" s="326"/>
      <c r="H811" s="326"/>
      <c r="I811" s="326"/>
      <c r="J811" s="326"/>
      <c r="K811" s="326"/>
      <c r="L811" s="326"/>
      <c r="M811" s="326"/>
      <c r="N811" s="326"/>
      <c r="O811" s="326"/>
      <c r="P811" s="326"/>
      <c r="Q811" s="326"/>
      <c r="R811" s="326"/>
      <c r="S811" s="326"/>
      <c r="T811" s="326"/>
      <c r="U811" s="326"/>
      <c r="V811" s="326"/>
      <c r="W811" s="326"/>
      <c r="X811" s="326"/>
      <c r="Y811" s="326"/>
      <c r="Z811" s="326"/>
      <c r="AA811" s="326"/>
    </row>
    <row r="812" spans="1:27" ht="12.75">
      <c r="A812" s="326"/>
      <c r="B812" s="326"/>
      <c r="C812" s="326"/>
      <c r="D812" s="326"/>
      <c r="E812" s="326"/>
      <c r="F812" s="326"/>
      <c r="G812" s="326"/>
      <c r="H812" s="326"/>
      <c r="I812" s="326"/>
      <c r="J812" s="326"/>
      <c r="K812" s="326"/>
      <c r="L812" s="326"/>
      <c r="M812" s="326"/>
      <c r="N812" s="326"/>
      <c r="O812" s="326"/>
      <c r="P812" s="326"/>
      <c r="Q812" s="326"/>
      <c r="R812" s="326"/>
      <c r="S812" s="326"/>
      <c r="T812" s="326"/>
      <c r="U812" s="326"/>
      <c r="V812" s="326"/>
      <c r="W812" s="326"/>
      <c r="X812" s="326"/>
      <c r="Y812" s="326"/>
      <c r="Z812" s="326"/>
      <c r="AA812" s="326"/>
    </row>
    <row r="813" spans="1:27" ht="12.75">
      <c r="A813" s="326"/>
      <c r="B813" s="326"/>
      <c r="C813" s="326"/>
      <c r="D813" s="326"/>
      <c r="E813" s="326"/>
      <c r="F813" s="326"/>
      <c r="G813" s="326"/>
      <c r="H813" s="326"/>
      <c r="I813" s="326"/>
      <c r="J813" s="326"/>
      <c r="K813" s="326"/>
      <c r="L813" s="326"/>
      <c r="M813" s="326"/>
      <c r="N813" s="326"/>
      <c r="O813" s="326"/>
      <c r="P813" s="326"/>
      <c r="Q813" s="326"/>
      <c r="R813" s="326"/>
      <c r="S813" s="326"/>
      <c r="T813" s="326"/>
      <c r="U813" s="326"/>
      <c r="V813" s="326"/>
      <c r="W813" s="326"/>
      <c r="X813" s="326"/>
      <c r="Y813" s="326"/>
      <c r="Z813" s="326"/>
      <c r="AA813" s="326"/>
    </row>
    <row r="814" spans="1:27" ht="12.75">
      <c r="A814" s="326"/>
      <c r="B814" s="326"/>
      <c r="C814" s="326"/>
      <c r="D814" s="326"/>
      <c r="E814" s="326"/>
      <c r="F814" s="326"/>
      <c r="G814" s="326"/>
      <c r="H814" s="326"/>
      <c r="I814" s="326"/>
      <c r="J814" s="326"/>
      <c r="K814" s="326"/>
      <c r="L814" s="326"/>
      <c r="M814" s="326"/>
      <c r="N814" s="326"/>
      <c r="O814" s="326"/>
      <c r="P814" s="326"/>
      <c r="Q814" s="326"/>
      <c r="R814" s="326"/>
      <c r="S814" s="326"/>
      <c r="T814" s="326"/>
      <c r="U814" s="326"/>
      <c r="V814" s="326"/>
      <c r="W814" s="326"/>
      <c r="X814" s="326"/>
      <c r="Y814" s="326"/>
      <c r="Z814" s="326"/>
      <c r="AA814" s="326"/>
    </row>
    <row r="815" spans="1:27" ht="12.75">
      <c r="A815" s="326"/>
      <c r="B815" s="326"/>
      <c r="C815" s="326"/>
      <c r="D815" s="326"/>
      <c r="E815" s="326"/>
      <c r="F815" s="326"/>
      <c r="G815" s="326"/>
      <c r="H815" s="326"/>
      <c r="I815" s="326"/>
      <c r="J815" s="326"/>
      <c r="K815" s="326"/>
      <c r="L815" s="326"/>
      <c r="M815" s="326"/>
      <c r="N815" s="326"/>
      <c r="O815" s="326"/>
      <c r="P815" s="326"/>
      <c r="Q815" s="326"/>
      <c r="R815" s="326"/>
      <c r="S815" s="326"/>
      <c r="T815" s="326"/>
      <c r="U815" s="326"/>
      <c r="V815" s="326"/>
      <c r="W815" s="326"/>
      <c r="X815" s="326"/>
      <c r="Y815" s="326"/>
      <c r="Z815" s="326"/>
      <c r="AA815" s="326"/>
    </row>
    <row r="816" spans="1:27" ht="12.75">
      <c r="A816" s="326"/>
      <c r="B816" s="326"/>
      <c r="C816" s="326"/>
      <c r="D816" s="326"/>
      <c r="E816" s="326"/>
      <c r="F816" s="326"/>
      <c r="G816" s="326"/>
      <c r="H816" s="326"/>
      <c r="I816" s="326"/>
      <c r="J816" s="326"/>
      <c r="K816" s="326"/>
      <c r="L816" s="326"/>
      <c r="M816" s="326"/>
      <c r="N816" s="326"/>
      <c r="O816" s="326"/>
      <c r="P816" s="326"/>
      <c r="Q816" s="326"/>
      <c r="R816" s="326"/>
      <c r="S816" s="326"/>
      <c r="T816" s="326"/>
      <c r="U816" s="326"/>
      <c r="V816" s="326"/>
      <c r="W816" s="326"/>
      <c r="X816" s="326"/>
      <c r="Y816" s="326"/>
      <c r="Z816" s="326"/>
      <c r="AA816" s="326"/>
    </row>
    <row r="817" spans="1:27" ht="12.75">
      <c r="A817" s="326"/>
      <c r="B817" s="326"/>
      <c r="C817" s="326"/>
      <c r="D817" s="326"/>
      <c r="E817" s="326"/>
      <c r="F817" s="326"/>
      <c r="G817" s="326"/>
      <c r="H817" s="326"/>
      <c r="I817" s="326"/>
      <c r="J817" s="326"/>
      <c r="K817" s="326"/>
      <c r="L817" s="326"/>
      <c r="M817" s="326"/>
      <c r="N817" s="326"/>
      <c r="O817" s="326"/>
      <c r="P817" s="326"/>
      <c r="Q817" s="326"/>
      <c r="R817" s="326"/>
      <c r="S817" s="326"/>
      <c r="T817" s="326"/>
      <c r="U817" s="326"/>
      <c r="V817" s="326"/>
      <c r="W817" s="326"/>
      <c r="X817" s="326"/>
      <c r="Y817" s="326"/>
      <c r="Z817" s="326"/>
      <c r="AA817" s="326"/>
    </row>
    <row r="818" spans="1:27" ht="12.75">
      <c r="A818" s="326"/>
      <c r="B818" s="326"/>
      <c r="C818" s="326"/>
      <c r="D818" s="326"/>
      <c r="E818" s="326"/>
      <c r="F818" s="326"/>
      <c r="G818" s="326"/>
      <c r="H818" s="326"/>
      <c r="I818" s="326"/>
      <c r="J818" s="326"/>
      <c r="K818" s="326"/>
      <c r="L818" s="326"/>
      <c r="M818" s="326"/>
      <c r="N818" s="326"/>
      <c r="O818" s="326"/>
      <c r="P818" s="326"/>
      <c r="Q818" s="326"/>
      <c r="R818" s="326"/>
      <c r="S818" s="326"/>
      <c r="T818" s="326"/>
      <c r="U818" s="326"/>
      <c r="V818" s="326"/>
      <c r="W818" s="326"/>
      <c r="X818" s="326"/>
      <c r="Y818" s="326"/>
      <c r="Z818" s="326"/>
      <c r="AA818" s="326"/>
    </row>
    <row r="819" spans="1:27" ht="12.75">
      <c r="A819" s="326"/>
      <c r="B819" s="326"/>
      <c r="C819" s="326"/>
      <c r="D819" s="326"/>
      <c r="E819" s="326"/>
      <c r="F819" s="326"/>
      <c r="G819" s="326"/>
      <c r="H819" s="326"/>
      <c r="I819" s="326"/>
      <c r="J819" s="326"/>
      <c r="K819" s="326"/>
      <c r="L819" s="326"/>
      <c r="M819" s="326"/>
      <c r="N819" s="326"/>
      <c r="O819" s="326"/>
      <c r="P819" s="326"/>
      <c r="Q819" s="326"/>
      <c r="R819" s="326"/>
      <c r="S819" s="326"/>
      <c r="T819" s="326"/>
      <c r="U819" s="326"/>
      <c r="V819" s="326"/>
      <c r="W819" s="326"/>
      <c r="X819" s="326"/>
      <c r="Y819" s="326"/>
      <c r="Z819" s="326"/>
      <c r="AA819" s="326"/>
    </row>
    <row r="820" spans="1:27" ht="12.75">
      <c r="A820" s="326"/>
      <c r="B820" s="326"/>
      <c r="C820" s="326"/>
      <c r="D820" s="326"/>
      <c r="E820" s="326"/>
      <c r="F820" s="326"/>
      <c r="G820" s="326"/>
      <c r="H820" s="326"/>
      <c r="I820" s="326"/>
      <c r="J820" s="326"/>
      <c r="K820" s="326"/>
      <c r="L820" s="326"/>
      <c r="M820" s="326"/>
      <c r="N820" s="326"/>
      <c r="O820" s="326"/>
      <c r="P820" s="326"/>
      <c r="Q820" s="326"/>
      <c r="R820" s="326"/>
      <c r="S820" s="326"/>
      <c r="T820" s="326"/>
      <c r="U820" s="326"/>
      <c r="V820" s="326"/>
      <c r="W820" s="326"/>
      <c r="X820" s="326"/>
      <c r="Y820" s="326"/>
      <c r="Z820" s="326"/>
      <c r="AA820" s="326"/>
    </row>
    <row r="821" spans="1:27" ht="12.75">
      <c r="A821" s="326"/>
      <c r="B821" s="326"/>
      <c r="C821" s="326"/>
      <c r="D821" s="326"/>
      <c r="E821" s="326"/>
      <c r="F821" s="326"/>
      <c r="G821" s="326"/>
      <c r="H821" s="326"/>
      <c r="I821" s="326"/>
      <c r="J821" s="326"/>
      <c r="K821" s="326"/>
      <c r="L821" s="326"/>
      <c r="M821" s="326"/>
      <c r="N821" s="326"/>
      <c r="O821" s="326"/>
      <c r="P821" s="326"/>
      <c r="Q821" s="326"/>
      <c r="R821" s="326"/>
      <c r="S821" s="326"/>
      <c r="T821" s="326"/>
      <c r="U821" s="326"/>
      <c r="V821" s="326"/>
      <c r="W821" s="326"/>
      <c r="X821" s="326"/>
      <c r="Y821" s="326"/>
      <c r="Z821" s="326"/>
      <c r="AA821" s="326"/>
    </row>
    <row r="822" spans="1:27" ht="12.75">
      <c r="A822" s="326"/>
      <c r="B822" s="326"/>
      <c r="C822" s="326"/>
      <c r="D822" s="326"/>
      <c r="E822" s="326"/>
      <c r="F822" s="326"/>
      <c r="G822" s="326"/>
      <c r="H822" s="326"/>
      <c r="I822" s="326"/>
      <c r="J822" s="326"/>
      <c r="K822" s="326"/>
      <c r="L822" s="326"/>
      <c r="M822" s="326"/>
      <c r="N822" s="326"/>
      <c r="O822" s="326"/>
      <c r="P822" s="326"/>
      <c r="Q822" s="326"/>
      <c r="R822" s="326"/>
      <c r="S822" s="326"/>
      <c r="T822" s="326"/>
      <c r="U822" s="326"/>
      <c r="V822" s="326"/>
      <c r="W822" s="326"/>
      <c r="X822" s="326"/>
      <c r="Y822" s="326"/>
      <c r="Z822" s="326"/>
      <c r="AA822" s="326"/>
    </row>
    <row r="823" spans="1:27" ht="12.75">
      <c r="A823" s="326"/>
      <c r="B823" s="326"/>
      <c r="C823" s="326"/>
      <c r="D823" s="326"/>
      <c r="E823" s="326"/>
      <c r="F823" s="326"/>
      <c r="G823" s="326"/>
      <c r="H823" s="326"/>
      <c r="I823" s="326"/>
      <c r="J823" s="326"/>
      <c r="K823" s="326"/>
      <c r="L823" s="326"/>
      <c r="M823" s="326"/>
      <c r="N823" s="326"/>
      <c r="O823" s="326"/>
      <c r="P823" s="326"/>
      <c r="Q823" s="326"/>
      <c r="R823" s="326"/>
      <c r="S823" s="326"/>
      <c r="T823" s="326"/>
      <c r="U823" s="326"/>
      <c r="V823" s="326"/>
      <c r="W823" s="326"/>
      <c r="X823" s="326"/>
      <c r="Y823" s="326"/>
      <c r="Z823" s="326"/>
      <c r="AA823" s="326"/>
    </row>
    <row r="824" spans="1:27" ht="12.75">
      <c r="A824" s="326"/>
      <c r="B824" s="326"/>
      <c r="C824" s="326"/>
      <c r="D824" s="326"/>
      <c r="E824" s="326"/>
      <c r="F824" s="326"/>
      <c r="G824" s="326"/>
      <c r="H824" s="326"/>
      <c r="I824" s="326"/>
      <c r="J824" s="326"/>
      <c r="K824" s="326"/>
      <c r="L824" s="326"/>
      <c r="M824" s="326"/>
      <c r="N824" s="326"/>
      <c r="O824" s="326"/>
      <c r="P824" s="326"/>
      <c r="Q824" s="326"/>
      <c r="R824" s="326"/>
      <c r="S824" s="326"/>
      <c r="T824" s="326"/>
      <c r="U824" s="326"/>
      <c r="V824" s="326"/>
      <c r="W824" s="326"/>
      <c r="X824" s="326"/>
      <c r="Y824" s="326"/>
      <c r="Z824" s="326"/>
      <c r="AA824" s="326"/>
    </row>
    <row r="825" spans="1:27" ht="12.75">
      <c r="A825" s="326"/>
      <c r="B825" s="326"/>
      <c r="C825" s="326"/>
      <c r="D825" s="326"/>
      <c r="E825" s="326"/>
      <c r="F825" s="326"/>
      <c r="G825" s="326"/>
      <c r="H825" s="326"/>
      <c r="I825" s="326"/>
      <c r="J825" s="326"/>
      <c r="K825" s="326"/>
      <c r="L825" s="326"/>
      <c r="M825" s="326"/>
      <c r="N825" s="326"/>
      <c r="O825" s="326"/>
      <c r="P825" s="326"/>
      <c r="Q825" s="326"/>
      <c r="R825" s="326"/>
      <c r="S825" s="326"/>
      <c r="T825" s="326"/>
      <c r="U825" s="326"/>
      <c r="V825" s="326"/>
      <c r="W825" s="326"/>
      <c r="X825" s="326"/>
      <c r="Y825" s="326"/>
      <c r="Z825" s="326"/>
      <c r="AA825" s="326"/>
    </row>
    <row r="826" spans="1:27" ht="12.75">
      <c r="A826" s="326"/>
      <c r="B826" s="326"/>
      <c r="C826" s="326"/>
      <c r="D826" s="326"/>
      <c r="E826" s="326"/>
      <c r="F826" s="326"/>
      <c r="G826" s="326"/>
      <c r="H826" s="326"/>
      <c r="I826" s="326"/>
      <c r="J826" s="326"/>
      <c r="K826" s="326"/>
      <c r="L826" s="326"/>
      <c r="M826" s="326"/>
      <c r="N826" s="326"/>
      <c r="O826" s="326"/>
      <c r="P826" s="326"/>
      <c r="Q826" s="326"/>
      <c r="R826" s="326"/>
      <c r="S826" s="326"/>
      <c r="T826" s="326"/>
      <c r="U826" s="326"/>
      <c r="V826" s="326"/>
      <c r="W826" s="326"/>
      <c r="X826" s="326"/>
      <c r="Y826" s="326"/>
      <c r="Z826" s="326"/>
      <c r="AA826" s="326"/>
    </row>
    <row r="827" spans="1:27" ht="12.75">
      <c r="A827" s="326"/>
      <c r="B827" s="326"/>
      <c r="C827" s="326"/>
      <c r="D827" s="326"/>
      <c r="E827" s="326"/>
      <c r="F827" s="326"/>
      <c r="G827" s="326"/>
      <c r="H827" s="326"/>
      <c r="I827" s="326"/>
      <c r="J827" s="326"/>
      <c r="K827" s="326"/>
      <c r="L827" s="326"/>
      <c r="M827" s="326"/>
      <c r="N827" s="326"/>
      <c r="O827" s="326"/>
      <c r="P827" s="326"/>
      <c r="Q827" s="326"/>
      <c r="R827" s="326"/>
      <c r="S827" s="326"/>
      <c r="T827" s="326"/>
      <c r="U827" s="326"/>
      <c r="V827" s="326"/>
      <c r="W827" s="326"/>
      <c r="X827" s="326"/>
      <c r="Y827" s="326"/>
      <c r="Z827" s="326"/>
      <c r="AA827" s="326"/>
    </row>
    <row r="828" spans="1:27" ht="12.75">
      <c r="A828" s="326"/>
      <c r="B828" s="326"/>
      <c r="C828" s="326"/>
      <c r="D828" s="326"/>
      <c r="E828" s="326"/>
      <c r="F828" s="326"/>
      <c r="G828" s="326"/>
      <c r="H828" s="326"/>
      <c r="I828" s="326"/>
      <c r="J828" s="326"/>
      <c r="K828" s="326"/>
      <c r="L828" s="326"/>
      <c r="M828" s="326"/>
      <c r="N828" s="326"/>
      <c r="O828" s="326"/>
      <c r="P828" s="326"/>
      <c r="Q828" s="326"/>
      <c r="R828" s="326"/>
      <c r="S828" s="326"/>
      <c r="T828" s="326"/>
      <c r="U828" s="326"/>
      <c r="V828" s="326"/>
      <c r="W828" s="326"/>
      <c r="X828" s="326"/>
      <c r="Y828" s="326"/>
      <c r="Z828" s="326"/>
      <c r="AA828" s="326"/>
    </row>
    <row r="829" spans="1:27" ht="12.75">
      <c r="A829" s="326"/>
      <c r="B829" s="326"/>
      <c r="C829" s="326"/>
      <c r="D829" s="326"/>
      <c r="E829" s="326"/>
      <c r="F829" s="326"/>
      <c r="G829" s="326"/>
      <c r="H829" s="326"/>
      <c r="I829" s="326"/>
      <c r="J829" s="326"/>
      <c r="K829" s="326"/>
      <c r="L829" s="326"/>
      <c r="M829" s="326"/>
      <c r="N829" s="326"/>
      <c r="O829" s="326"/>
      <c r="P829" s="326"/>
      <c r="Q829" s="326"/>
      <c r="R829" s="326"/>
      <c r="S829" s="326"/>
      <c r="T829" s="326"/>
      <c r="U829" s="326"/>
      <c r="V829" s="326"/>
      <c r="W829" s="326"/>
      <c r="X829" s="326"/>
      <c r="Y829" s="326"/>
      <c r="Z829" s="326"/>
      <c r="AA829" s="326"/>
    </row>
    <row r="830" spans="1:27" ht="12.75">
      <c r="A830" s="326"/>
      <c r="B830" s="326"/>
      <c r="C830" s="326"/>
      <c r="D830" s="326"/>
      <c r="E830" s="326"/>
      <c r="F830" s="326"/>
      <c r="G830" s="326"/>
      <c r="H830" s="326"/>
      <c r="I830" s="326"/>
      <c r="J830" s="326"/>
      <c r="K830" s="326"/>
      <c r="L830" s="326"/>
      <c r="M830" s="326"/>
      <c r="N830" s="326"/>
      <c r="O830" s="326"/>
      <c r="P830" s="326"/>
      <c r="Q830" s="326"/>
      <c r="R830" s="326"/>
      <c r="S830" s="326"/>
      <c r="T830" s="326"/>
      <c r="U830" s="326"/>
      <c r="V830" s="326"/>
      <c r="W830" s="326"/>
      <c r="X830" s="326"/>
      <c r="Y830" s="326"/>
      <c r="Z830" s="326"/>
      <c r="AA830" s="326"/>
    </row>
    <row r="831" spans="1:27" ht="12.75">
      <c r="A831" s="326"/>
      <c r="B831" s="326"/>
      <c r="C831" s="326"/>
      <c r="D831" s="326"/>
      <c r="E831" s="326"/>
      <c r="F831" s="326"/>
      <c r="G831" s="326"/>
      <c r="H831" s="326"/>
      <c r="I831" s="326"/>
      <c r="J831" s="326"/>
      <c r="K831" s="326"/>
      <c r="L831" s="326"/>
      <c r="M831" s="326"/>
      <c r="N831" s="326"/>
      <c r="O831" s="326"/>
      <c r="P831" s="326"/>
      <c r="Q831" s="326"/>
      <c r="R831" s="326"/>
      <c r="S831" s="326"/>
      <c r="T831" s="326"/>
      <c r="U831" s="326"/>
      <c r="V831" s="326"/>
      <c r="W831" s="326"/>
      <c r="X831" s="326"/>
      <c r="Y831" s="326"/>
      <c r="Z831" s="326"/>
      <c r="AA831" s="326"/>
    </row>
    <row r="832" spans="1:27" ht="12.75">
      <c r="A832" s="326"/>
      <c r="B832" s="326"/>
      <c r="C832" s="326"/>
      <c r="D832" s="326"/>
      <c r="E832" s="326"/>
      <c r="F832" s="326"/>
      <c r="G832" s="326"/>
      <c r="H832" s="326"/>
      <c r="I832" s="326"/>
      <c r="J832" s="326"/>
      <c r="K832" s="326"/>
      <c r="L832" s="326"/>
      <c r="M832" s="326"/>
      <c r="N832" s="326"/>
      <c r="O832" s="326"/>
      <c r="P832" s="326"/>
      <c r="Q832" s="326"/>
      <c r="R832" s="326"/>
      <c r="S832" s="326"/>
      <c r="T832" s="326"/>
      <c r="U832" s="326"/>
      <c r="V832" s="326"/>
      <c r="W832" s="326"/>
      <c r="X832" s="326"/>
      <c r="Y832" s="326"/>
      <c r="Z832" s="326"/>
      <c r="AA832" s="326"/>
    </row>
    <row r="833" spans="1:27" ht="12.75">
      <c r="A833" s="326"/>
      <c r="B833" s="326"/>
      <c r="C833" s="326"/>
      <c r="D833" s="326"/>
      <c r="E833" s="326"/>
      <c r="F833" s="326"/>
      <c r="G833" s="326"/>
      <c r="H833" s="326"/>
      <c r="I833" s="326"/>
      <c r="J833" s="326"/>
      <c r="K833" s="326"/>
      <c r="L833" s="326"/>
      <c r="M833" s="326"/>
      <c r="N833" s="326"/>
      <c r="O833" s="326"/>
      <c r="P833" s="326"/>
      <c r="Q833" s="326"/>
      <c r="R833" s="326"/>
      <c r="S833" s="326"/>
      <c r="T833" s="326"/>
      <c r="U833" s="326"/>
      <c r="V833" s="326"/>
      <c r="W833" s="326"/>
      <c r="X833" s="326"/>
      <c r="Y833" s="326"/>
      <c r="Z833" s="326"/>
      <c r="AA833" s="326"/>
    </row>
    <row r="834" spans="1:27" ht="12.75">
      <c r="A834" s="326"/>
      <c r="B834" s="326"/>
      <c r="C834" s="326"/>
      <c r="D834" s="326"/>
      <c r="E834" s="326"/>
      <c r="F834" s="326"/>
      <c r="G834" s="326"/>
      <c r="H834" s="326"/>
      <c r="I834" s="326"/>
      <c r="J834" s="326"/>
      <c r="K834" s="326"/>
      <c r="L834" s="326"/>
      <c r="M834" s="326"/>
      <c r="N834" s="326"/>
      <c r="O834" s="326"/>
      <c r="P834" s="326"/>
      <c r="Q834" s="326"/>
      <c r="R834" s="326"/>
      <c r="S834" s="326"/>
      <c r="T834" s="326"/>
      <c r="U834" s="326"/>
      <c r="V834" s="326"/>
      <c r="W834" s="326"/>
      <c r="X834" s="326"/>
      <c r="Y834" s="326"/>
      <c r="Z834" s="326"/>
      <c r="AA834" s="326"/>
    </row>
    <row r="835" spans="1:27" ht="12.75">
      <c r="A835" s="326"/>
      <c r="B835" s="326"/>
      <c r="C835" s="326"/>
      <c r="D835" s="326"/>
      <c r="E835" s="326"/>
      <c r="F835" s="326"/>
      <c r="G835" s="326"/>
      <c r="H835" s="326"/>
      <c r="I835" s="326"/>
      <c r="J835" s="326"/>
      <c r="K835" s="326"/>
      <c r="L835" s="326"/>
      <c r="M835" s="326"/>
      <c r="N835" s="326"/>
      <c r="O835" s="326"/>
      <c r="P835" s="326"/>
      <c r="Q835" s="326"/>
      <c r="R835" s="326"/>
      <c r="S835" s="326"/>
      <c r="T835" s="326"/>
      <c r="U835" s="326"/>
      <c r="V835" s="326"/>
      <c r="W835" s="326"/>
      <c r="X835" s="326"/>
      <c r="Y835" s="326"/>
      <c r="Z835" s="326"/>
      <c r="AA835" s="326"/>
    </row>
    <row r="836" spans="1:27" ht="12.75">
      <c r="A836" s="326"/>
      <c r="B836" s="326"/>
      <c r="C836" s="326"/>
      <c r="D836" s="326"/>
      <c r="E836" s="326"/>
      <c r="F836" s="326"/>
      <c r="G836" s="326"/>
      <c r="H836" s="326"/>
      <c r="I836" s="326"/>
      <c r="J836" s="326"/>
      <c r="K836" s="326"/>
      <c r="L836" s="326"/>
      <c r="M836" s="326"/>
      <c r="N836" s="326"/>
      <c r="O836" s="326"/>
      <c r="P836" s="326"/>
      <c r="Q836" s="326"/>
      <c r="R836" s="326"/>
      <c r="S836" s="326"/>
      <c r="T836" s="326"/>
      <c r="U836" s="326"/>
      <c r="V836" s="326"/>
      <c r="W836" s="326"/>
      <c r="X836" s="326"/>
      <c r="Y836" s="326"/>
      <c r="Z836" s="326"/>
      <c r="AA836" s="326"/>
    </row>
    <row r="837" spans="1:27" ht="12.75">
      <c r="A837" s="326"/>
      <c r="B837" s="326"/>
      <c r="C837" s="326"/>
      <c r="D837" s="326"/>
      <c r="E837" s="326"/>
      <c r="F837" s="326"/>
      <c r="G837" s="326"/>
      <c r="H837" s="326"/>
      <c r="I837" s="326"/>
      <c r="J837" s="326"/>
      <c r="K837" s="326"/>
      <c r="L837" s="326"/>
      <c r="M837" s="326"/>
      <c r="N837" s="326"/>
      <c r="O837" s="326"/>
      <c r="P837" s="326"/>
      <c r="Q837" s="326"/>
      <c r="R837" s="326"/>
      <c r="S837" s="326"/>
      <c r="T837" s="326"/>
      <c r="U837" s="326"/>
      <c r="V837" s="326"/>
      <c r="W837" s="326"/>
      <c r="X837" s="326"/>
      <c r="Y837" s="326"/>
      <c r="Z837" s="326"/>
      <c r="AA837" s="326"/>
    </row>
    <row r="838" spans="1:27" ht="12.75">
      <c r="A838" s="326"/>
      <c r="B838" s="326"/>
      <c r="C838" s="326"/>
      <c r="D838" s="326"/>
      <c r="E838" s="326"/>
      <c r="F838" s="326"/>
      <c r="G838" s="326"/>
      <c r="H838" s="326"/>
      <c r="I838" s="326"/>
      <c r="J838" s="326"/>
      <c r="K838" s="326"/>
      <c r="L838" s="326"/>
      <c r="M838" s="326"/>
      <c r="N838" s="326"/>
      <c r="O838" s="326"/>
      <c r="P838" s="326"/>
      <c r="Q838" s="326"/>
      <c r="R838" s="326"/>
      <c r="S838" s="326"/>
      <c r="T838" s="326"/>
      <c r="U838" s="326"/>
      <c r="V838" s="326"/>
      <c r="W838" s="326"/>
      <c r="X838" s="326"/>
      <c r="Y838" s="326"/>
      <c r="Z838" s="326"/>
      <c r="AA838" s="326"/>
    </row>
    <row r="839" spans="1:27" ht="12.75">
      <c r="A839" s="326"/>
      <c r="B839" s="326"/>
      <c r="C839" s="326"/>
      <c r="D839" s="326"/>
      <c r="E839" s="326"/>
      <c r="F839" s="326"/>
      <c r="G839" s="326"/>
      <c r="H839" s="326"/>
      <c r="I839" s="326"/>
      <c r="J839" s="326"/>
      <c r="K839" s="326"/>
      <c r="L839" s="326"/>
      <c r="M839" s="326"/>
      <c r="N839" s="326"/>
      <c r="O839" s="326"/>
      <c r="P839" s="326"/>
      <c r="Q839" s="326"/>
      <c r="R839" s="326"/>
      <c r="S839" s="326"/>
      <c r="T839" s="326"/>
      <c r="U839" s="326"/>
      <c r="V839" s="326"/>
      <c r="W839" s="326"/>
      <c r="X839" s="326"/>
      <c r="Y839" s="326"/>
      <c r="Z839" s="326"/>
      <c r="AA839" s="326"/>
    </row>
    <row r="840" spans="1:27" ht="12.75">
      <c r="A840" s="326"/>
      <c r="B840" s="326"/>
      <c r="C840" s="326"/>
      <c r="D840" s="326"/>
      <c r="E840" s="326"/>
      <c r="F840" s="326"/>
      <c r="G840" s="326"/>
      <c r="H840" s="326"/>
      <c r="I840" s="326"/>
      <c r="J840" s="326"/>
      <c r="K840" s="326"/>
      <c r="L840" s="326"/>
      <c r="M840" s="326"/>
      <c r="N840" s="326"/>
      <c r="O840" s="326"/>
      <c r="P840" s="326"/>
      <c r="Q840" s="326"/>
      <c r="R840" s="326"/>
      <c r="S840" s="326"/>
      <c r="T840" s="326"/>
      <c r="U840" s="326"/>
      <c r="V840" s="326"/>
      <c r="W840" s="326"/>
      <c r="X840" s="326"/>
      <c r="Y840" s="326"/>
      <c r="Z840" s="326"/>
      <c r="AA840" s="326"/>
    </row>
    <row r="841" spans="1:27" ht="12.75">
      <c r="A841" s="326"/>
      <c r="B841" s="326"/>
      <c r="C841" s="326"/>
      <c r="D841" s="326"/>
      <c r="E841" s="326"/>
      <c r="F841" s="326"/>
      <c r="G841" s="326"/>
      <c r="H841" s="326"/>
      <c r="I841" s="326"/>
      <c r="J841" s="326"/>
      <c r="K841" s="326"/>
      <c r="L841" s="326"/>
      <c r="M841" s="326"/>
      <c r="N841" s="326"/>
      <c r="O841" s="326"/>
      <c r="P841" s="326"/>
      <c r="Q841" s="326"/>
      <c r="R841" s="326"/>
      <c r="S841" s="326"/>
      <c r="T841" s="326"/>
      <c r="U841" s="326"/>
      <c r="V841" s="326"/>
      <c r="W841" s="326"/>
      <c r="X841" s="326"/>
      <c r="Y841" s="326"/>
      <c r="Z841" s="326"/>
      <c r="AA841" s="326"/>
    </row>
    <row r="842" spans="1:27" ht="12.75">
      <c r="A842" s="326"/>
      <c r="B842" s="326"/>
      <c r="C842" s="326"/>
      <c r="D842" s="326"/>
      <c r="E842" s="326"/>
      <c r="F842" s="326"/>
      <c r="G842" s="326"/>
      <c r="H842" s="326"/>
      <c r="I842" s="326"/>
      <c r="J842" s="326"/>
      <c r="K842" s="326"/>
      <c r="L842" s="326"/>
      <c r="M842" s="326"/>
      <c r="N842" s="326"/>
      <c r="O842" s="326"/>
      <c r="P842" s="326"/>
      <c r="Q842" s="326"/>
      <c r="R842" s="326"/>
      <c r="S842" s="326"/>
      <c r="T842" s="326"/>
      <c r="U842" s="326"/>
      <c r="V842" s="326"/>
      <c r="W842" s="326"/>
      <c r="X842" s="326"/>
      <c r="Y842" s="326"/>
      <c r="Z842" s="326"/>
      <c r="AA842" s="326"/>
    </row>
    <row r="843" spans="1:27" ht="12.75">
      <c r="A843" s="326"/>
      <c r="B843" s="326"/>
      <c r="C843" s="326"/>
      <c r="D843" s="326"/>
      <c r="E843" s="326"/>
      <c r="F843" s="326"/>
      <c r="G843" s="326"/>
      <c r="H843" s="326"/>
      <c r="I843" s="326"/>
      <c r="J843" s="326"/>
      <c r="K843" s="326"/>
      <c r="L843" s="326"/>
      <c r="M843" s="326"/>
      <c r="N843" s="326"/>
      <c r="O843" s="326"/>
      <c r="P843" s="326"/>
      <c r="Q843" s="326"/>
      <c r="R843" s="326"/>
      <c r="S843" s="326"/>
      <c r="T843" s="326"/>
      <c r="U843" s="326"/>
      <c r="V843" s="326"/>
      <c r="W843" s="326"/>
      <c r="X843" s="326"/>
      <c r="Y843" s="326"/>
      <c r="Z843" s="326"/>
      <c r="AA843" s="326"/>
    </row>
    <row r="844" spans="1:27" ht="12.75">
      <c r="A844" s="326"/>
      <c r="B844" s="326"/>
      <c r="C844" s="326"/>
      <c r="D844" s="326"/>
      <c r="E844" s="326"/>
      <c r="F844" s="326"/>
      <c r="G844" s="326"/>
      <c r="H844" s="326"/>
      <c r="I844" s="326"/>
      <c r="J844" s="326"/>
      <c r="K844" s="326"/>
      <c r="L844" s="326"/>
      <c r="M844" s="326"/>
      <c r="N844" s="326"/>
      <c r="O844" s="326"/>
      <c r="P844" s="326"/>
      <c r="Q844" s="326"/>
      <c r="R844" s="326"/>
      <c r="S844" s="326"/>
      <c r="T844" s="326"/>
      <c r="U844" s="326"/>
      <c r="V844" s="326"/>
      <c r="W844" s="326"/>
      <c r="X844" s="326"/>
      <c r="Y844" s="326"/>
      <c r="Z844" s="326"/>
      <c r="AA844" s="326"/>
    </row>
    <row r="845" spans="1:27" ht="12.75">
      <c r="A845" s="326"/>
      <c r="B845" s="326"/>
      <c r="C845" s="326"/>
      <c r="D845" s="326"/>
      <c r="E845" s="326"/>
      <c r="F845" s="326"/>
      <c r="G845" s="326"/>
      <c r="H845" s="326"/>
      <c r="I845" s="326"/>
      <c r="J845" s="326"/>
      <c r="K845" s="326"/>
      <c r="L845" s="326"/>
      <c r="M845" s="326"/>
      <c r="N845" s="326"/>
      <c r="O845" s="326"/>
      <c r="P845" s="326"/>
      <c r="Q845" s="326"/>
      <c r="R845" s="326"/>
      <c r="S845" s="326"/>
      <c r="T845" s="326"/>
      <c r="U845" s="326"/>
      <c r="V845" s="326"/>
      <c r="W845" s="326"/>
      <c r="X845" s="326"/>
      <c r="Y845" s="326"/>
      <c r="Z845" s="326"/>
      <c r="AA845" s="326"/>
    </row>
    <row r="846" spans="1:27" ht="12.75">
      <c r="A846" s="326"/>
      <c r="B846" s="326"/>
      <c r="C846" s="326"/>
      <c r="D846" s="326"/>
      <c r="E846" s="326"/>
      <c r="F846" s="326"/>
      <c r="G846" s="326"/>
      <c r="H846" s="326"/>
      <c r="I846" s="326"/>
      <c r="J846" s="326"/>
      <c r="K846" s="326"/>
      <c r="L846" s="326"/>
      <c r="M846" s="326"/>
      <c r="N846" s="326"/>
      <c r="O846" s="326"/>
      <c r="P846" s="326"/>
      <c r="Q846" s="326"/>
      <c r="R846" s="326"/>
      <c r="S846" s="326"/>
      <c r="T846" s="326"/>
      <c r="U846" s="326"/>
      <c r="V846" s="326"/>
      <c r="W846" s="326"/>
      <c r="X846" s="326"/>
      <c r="Y846" s="326"/>
      <c r="Z846" s="326"/>
      <c r="AA846" s="326"/>
    </row>
    <row r="847" spans="1:27" ht="12.75">
      <c r="A847" s="326"/>
      <c r="B847" s="326"/>
      <c r="C847" s="326"/>
      <c r="D847" s="326"/>
      <c r="E847" s="326"/>
      <c r="F847" s="326"/>
      <c r="G847" s="326"/>
      <c r="H847" s="326"/>
      <c r="I847" s="326"/>
      <c r="J847" s="326"/>
      <c r="K847" s="326"/>
      <c r="L847" s="326"/>
      <c r="M847" s="326"/>
      <c r="N847" s="326"/>
      <c r="O847" s="326"/>
      <c r="P847" s="326"/>
      <c r="Q847" s="326"/>
      <c r="R847" s="326"/>
      <c r="S847" s="326"/>
      <c r="T847" s="326"/>
      <c r="U847" s="326"/>
      <c r="V847" s="326"/>
      <c r="W847" s="326"/>
      <c r="X847" s="326"/>
      <c r="Y847" s="326"/>
      <c r="Z847" s="326"/>
      <c r="AA847" s="326"/>
    </row>
    <row r="848" spans="1:27" ht="12.75">
      <c r="A848" s="326"/>
      <c r="B848" s="326"/>
      <c r="C848" s="326"/>
      <c r="D848" s="326"/>
      <c r="E848" s="326"/>
      <c r="F848" s="326"/>
      <c r="G848" s="326"/>
      <c r="H848" s="326"/>
      <c r="I848" s="326"/>
      <c r="J848" s="326"/>
      <c r="K848" s="326"/>
      <c r="L848" s="326"/>
      <c r="M848" s="326"/>
      <c r="N848" s="326"/>
      <c r="O848" s="326"/>
      <c r="P848" s="326"/>
      <c r="Q848" s="326"/>
      <c r="R848" s="326"/>
      <c r="S848" s="326"/>
      <c r="T848" s="326"/>
      <c r="U848" s="326"/>
      <c r="V848" s="326"/>
      <c r="W848" s="326"/>
      <c r="X848" s="326"/>
      <c r="Y848" s="326"/>
      <c r="Z848" s="326"/>
      <c r="AA848" s="326"/>
    </row>
    <row r="849" spans="1:27" ht="12.75">
      <c r="A849" s="326"/>
      <c r="B849" s="326"/>
      <c r="C849" s="326"/>
      <c r="D849" s="326"/>
      <c r="E849" s="326"/>
      <c r="F849" s="326"/>
      <c r="G849" s="326"/>
      <c r="H849" s="326"/>
      <c r="I849" s="326"/>
      <c r="J849" s="326"/>
      <c r="K849" s="326"/>
      <c r="L849" s="326"/>
      <c r="M849" s="326"/>
      <c r="N849" s="326"/>
      <c r="O849" s="326"/>
      <c r="P849" s="326"/>
      <c r="Q849" s="326"/>
      <c r="R849" s="326"/>
      <c r="S849" s="326"/>
      <c r="T849" s="326"/>
      <c r="U849" s="326"/>
      <c r="V849" s="326"/>
      <c r="W849" s="326"/>
      <c r="X849" s="326"/>
      <c r="Y849" s="326"/>
      <c r="Z849" s="326"/>
      <c r="AA849" s="326"/>
    </row>
    <row r="850" spans="1:27" ht="12.75">
      <c r="A850" s="326"/>
      <c r="B850" s="326"/>
      <c r="C850" s="326"/>
      <c r="D850" s="326"/>
      <c r="E850" s="326"/>
      <c r="F850" s="326"/>
      <c r="G850" s="326"/>
      <c r="H850" s="326"/>
      <c r="I850" s="326"/>
      <c r="J850" s="326"/>
      <c r="K850" s="326"/>
      <c r="L850" s="326"/>
      <c r="M850" s="326"/>
      <c r="N850" s="326"/>
      <c r="O850" s="326"/>
      <c r="P850" s="326"/>
      <c r="Q850" s="326"/>
      <c r="R850" s="326"/>
      <c r="S850" s="326"/>
      <c r="T850" s="326"/>
      <c r="U850" s="326"/>
      <c r="V850" s="326"/>
      <c r="W850" s="326"/>
      <c r="X850" s="326"/>
      <c r="Y850" s="326"/>
      <c r="Z850" s="326"/>
      <c r="AA850" s="326"/>
    </row>
    <row r="851" spans="1:27" ht="12.75">
      <c r="A851" s="326"/>
      <c r="B851" s="326"/>
      <c r="C851" s="326"/>
      <c r="D851" s="326"/>
      <c r="E851" s="326"/>
      <c r="F851" s="326"/>
      <c r="G851" s="326"/>
      <c r="H851" s="326"/>
      <c r="I851" s="326"/>
      <c r="J851" s="326"/>
      <c r="K851" s="326"/>
      <c r="L851" s="326"/>
      <c r="M851" s="326"/>
      <c r="N851" s="326"/>
      <c r="O851" s="326"/>
      <c r="P851" s="326"/>
      <c r="Q851" s="326"/>
      <c r="R851" s="326"/>
      <c r="S851" s="326"/>
      <c r="T851" s="326"/>
      <c r="U851" s="326"/>
      <c r="V851" s="326"/>
      <c r="W851" s="326"/>
      <c r="X851" s="326"/>
      <c r="Y851" s="326"/>
      <c r="Z851" s="326"/>
      <c r="AA851" s="326"/>
    </row>
    <row r="852" spans="1:27" ht="12.75">
      <c r="A852" s="326"/>
      <c r="B852" s="326"/>
      <c r="C852" s="326"/>
      <c r="D852" s="326"/>
      <c r="E852" s="326"/>
      <c r="F852" s="326"/>
      <c r="G852" s="326"/>
      <c r="H852" s="326"/>
      <c r="I852" s="326"/>
      <c r="J852" s="326"/>
      <c r="K852" s="326"/>
      <c r="L852" s="326"/>
      <c r="M852" s="326"/>
      <c r="N852" s="326"/>
      <c r="O852" s="326"/>
      <c r="P852" s="326"/>
      <c r="Q852" s="326"/>
      <c r="R852" s="326"/>
      <c r="S852" s="326"/>
      <c r="T852" s="326"/>
      <c r="U852" s="326"/>
      <c r="V852" s="326"/>
      <c r="W852" s="326"/>
      <c r="X852" s="326"/>
      <c r="Y852" s="326"/>
      <c r="Z852" s="326"/>
      <c r="AA852" s="326"/>
    </row>
    <row r="853" spans="1:27" ht="12.75">
      <c r="A853" s="326"/>
      <c r="B853" s="326"/>
      <c r="C853" s="326"/>
      <c r="D853" s="326"/>
      <c r="E853" s="326"/>
      <c r="F853" s="326"/>
      <c r="G853" s="326"/>
      <c r="H853" s="326"/>
      <c r="I853" s="326"/>
      <c r="J853" s="326"/>
      <c r="K853" s="326"/>
      <c r="L853" s="326"/>
      <c r="M853" s="326"/>
      <c r="N853" s="326"/>
      <c r="O853" s="326"/>
      <c r="P853" s="326"/>
      <c r="Q853" s="326"/>
      <c r="R853" s="326"/>
      <c r="S853" s="326"/>
      <c r="T853" s="326"/>
      <c r="U853" s="326"/>
      <c r="V853" s="326"/>
      <c r="W853" s="326"/>
      <c r="X853" s="326"/>
      <c r="Y853" s="326"/>
      <c r="Z853" s="326"/>
      <c r="AA853" s="326"/>
    </row>
    <row r="854" spans="1:27" ht="12.75">
      <c r="A854" s="326"/>
      <c r="B854" s="326"/>
      <c r="C854" s="326"/>
      <c r="D854" s="326"/>
      <c r="E854" s="326"/>
      <c r="F854" s="326"/>
      <c r="G854" s="326"/>
      <c r="H854" s="326"/>
      <c r="I854" s="326"/>
      <c r="J854" s="326"/>
      <c r="K854" s="326"/>
      <c r="L854" s="326"/>
      <c r="M854" s="326"/>
      <c r="N854" s="326"/>
      <c r="O854" s="326"/>
      <c r="P854" s="326"/>
      <c r="Q854" s="326"/>
      <c r="R854" s="326"/>
      <c r="S854" s="326"/>
      <c r="T854" s="326"/>
      <c r="U854" s="326"/>
      <c r="V854" s="326"/>
      <c r="W854" s="326"/>
      <c r="X854" s="326"/>
      <c r="Y854" s="326"/>
      <c r="Z854" s="326"/>
      <c r="AA854" s="326"/>
    </row>
    <row r="855" spans="1:27" ht="12.75">
      <c r="A855" s="326"/>
      <c r="B855" s="326"/>
      <c r="C855" s="326"/>
      <c r="D855" s="326"/>
      <c r="E855" s="326"/>
      <c r="F855" s="326"/>
      <c r="G855" s="326"/>
      <c r="H855" s="326"/>
      <c r="I855" s="326"/>
      <c r="J855" s="326"/>
      <c r="K855" s="326"/>
      <c r="L855" s="326"/>
      <c r="M855" s="326"/>
      <c r="N855" s="326"/>
      <c r="O855" s="326"/>
      <c r="P855" s="326"/>
      <c r="Q855" s="326"/>
      <c r="R855" s="326"/>
      <c r="S855" s="326"/>
      <c r="T855" s="326"/>
      <c r="U855" s="326"/>
      <c r="V855" s="326"/>
      <c r="W855" s="326"/>
      <c r="X855" s="326"/>
      <c r="Y855" s="326"/>
      <c r="Z855" s="326"/>
      <c r="AA855" s="326"/>
    </row>
    <row r="856" spans="1:27" ht="12.75">
      <c r="A856" s="326"/>
      <c r="B856" s="326"/>
      <c r="C856" s="326"/>
      <c r="D856" s="326"/>
      <c r="E856" s="326"/>
      <c r="F856" s="326"/>
      <c r="G856" s="326"/>
      <c r="H856" s="326"/>
      <c r="I856" s="326"/>
      <c r="J856" s="326"/>
      <c r="K856" s="326"/>
      <c r="L856" s="326"/>
      <c r="M856" s="326"/>
      <c r="N856" s="326"/>
      <c r="O856" s="326"/>
      <c r="P856" s="326"/>
      <c r="Q856" s="326"/>
      <c r="R856" s="326"/>
      <c r="S856" s="326"/>
      <c r="T856" s="326"/>
      <c r="U856" s="326"/>
      <c r="V856" s="326"/>
      <c r="W856" s="326"/>
      <c r="X856" s="326"/>
      <c r="Y856" s="326"/>
      <c r="Z856" s="326"/>
      <c r="AA856" s="326"/>
    </row>
    <row r="857" spans="1:27" ht="12.75">
      <c r="A857" s="326"/>
      <c r="B857" s="326"/>
      <c r="C857" s="326"/>
      <c r="D857" s="326"/>
      <c r="E857" s="326"/>
      <c r="F857" s="326"/>
      <c r="G857" s="326"/>
      <c r="H857" s="326"/>
      <c r="I857" s="326"/>
      <c r="J857" s="326"/>
      <c r="K857" s="326"/>
      <c r="L857" s="326"/>
      <c r="M857" s="326"/>
      <c r="N857" s="326"/>
      <c r="O857" s="326"/>
      <c r="P857" s="326"/>
      <c r="Q857" s="326"/>
      <c r="R857" s="326"/>
      <c r="S857" s="326"/>
      <c r="T857" s="326"/>
      <c r="U857" s="326"/>
      <c r="V857" s="326"/>
      <c r="W857" s="326"/>
      <c r="X857" s="326"/>
      <c r="Y857" s="326"/>
      <c r="Z857" s="326"/>
      <c r="AA857" s="326"/>
    </row>
    <row r="858" spans="1:27" ht="12.75">
      <c r="A858" s="326"/>
      <c r="B858" s="326"/>
      <c r="C858" s="326"/>
      <c r="D858" s="326"/>
      <c r="E858" s="326"/>
      <c r="F858" s="326"/>
      <c r="G858" s="326"/>
      <c r="H858" s="326"/>
      <c r="I858" s="326"/>
      <c r="J858" s="326"/>
      <c r="K858" s="326"/>
      <c r="L858" s="326"/>
      <c r="M858" s="326"/>
      <c r="N858" s="326"/>
      <c r="O858" s="326"/>
      <c r="P858" s="326"/>
      <c r="Q858" s="326"/>
      <c r="R858" s="326"/>
      <c r="S858" s="326"/>
      <c r="T858" s="326"/>
      <c r="U858" s="326"/>
      <c r="V858" s="326"/>
      <c r="W858" s="326"/>
      <c r="X858" s="326"/>
      <c r="Y858" s="326"/>
      <c r="Z858" s="326"/>
      <c r="AA858" s="326"/>
    </row>
    <row r="859" spans="1:27" ht="12.75">
      <c r="A859" s="326"/>
      <c r="B859" s="326"/>
      <c r="C859" s="326"/>
      <c r="D859" s="326"/>
      <c r="E859" s="326"/>
      <c r="F859" s="326"/>
      <c r="G859" s="326"/>
      <c r="H859" s="326"/>
      <c r="I859" s="326"/>
      <c r="J859" s="326"/>
      <c r="K859" s="326"/>
      <c r="L859" s="326"/>
      <c r="M859" s="326"/>
      <c r="N859" s="326"/>
      <c r="O859" s="326"/>
      <c r="P859" s="326"/>
      <c r="Q859" s="326"/>
      <c r="R859" s="326"/>
      <c r="S859" s="326"/>
      <c r="T859" s="326"/>
      <c r="U859" s="326"/>
      <c r="V859" s="326"/>
      <c r="W859" s="326"/>
      <c r="X859" s="326"/>
      <c r="Y859" s="326"/>
      <c r="Z859" s="326"/>
      <c r="AA859" s="326"/>
    </row>
    <row r="860" spans="1:27" ht="12.75">
      <c r="A860" s="326"/>
      <c r="B860" s="326"/>
      <c r="C860" s="326"/>
      <c r="D860" s="326"/>
      <c r="E860" s="326"/>
      <c r="F860" s="326"/>
      <c r="G860" s="326"/>
      <c r="H860" s="326"/>
      <c r="I860" s="326"/>
      <c r="J860" s="326"/>
      <c r="K860" s="326"/>
      <c r="L860" s="326"/>
      <c r="M860" s="326"/>
      <c r="N860" s="326"/>
      <c r="O860" s="326"/>
      <c r="P860" s="326"/>
      <c r="Q860" s="326"/>
      <c r="R860" s="326"/>
      <c r="S860" s="326"/>
      <c r="T860" s="326"/>
      <c r="U860" s="326"/>
      <c r="V860" s="326"/>
      <c r="W860" s="326"/>
      <c r="X860" s="326"/>
      <c r="Y860" s="326"/>
      <c r="Z860" s="326"/>
      <c r="AA860" s="326"/>
    </row>
    <row r="861" spans="1:27" ht="12.75">
      <c r="A861" s="326"/>
      <c r="B861" s="326"/>
      <c r="C861" s="326"/>
      <c r="D861" s="326"/>
      <c r="E861" s="326"/>
      <c r="F861" s="326"/>
      <c r="G861" s="326"/>
      <c r="H861" s="326"/>
      <c r="I861" s="326"/>
      <c r="J861" s="326"/>
      <c r="K861" s="326"/>
      <c r="L861" s="326"/>
      <c r="M861" s="326"/>
      <c r="N861" s="326"/>
      <c r="O861" s="326"/>
      <c r="P861" s="326"/>
      <c r="Q861" s="326"/>
      <c r="R861" s="326"/>
      <c r="S861" s="326"/>
      <c r="T861" s="326"/>
      <c r="U861" s="326"/>
      <c r="V861" s="326"/>
      <c r="W861" s="326"/>
      <c r="X861" s="326"/>
      <c r="Y861" s="326"/>
      <c r="Z861" s="326"/>
      <c r="AA861" s="326"/>
    </row>
    <row r="862" spans="1:27" ht="12.75">
      <c r="A862" s="326"/>
      <c r="B862" s="326"/>
      <c r="C862" s="326"/>
      <c r="D862" s="326"/>
      <c r="E862" s="326"/>
      <c r="F862" s="326"/>
      <c r="G862" s="326"/>
      <c r="H862" s="326"/>
      <c r="I862" s="326"/>
      <c r="J862" s="326"/>
      <c r="K862" s="326"/>
      <c r="L862" s="326"/>
      <c r="M862" s="326"/>
      <c r="N862" s="326"/>
      <c r="O862" s="326"/>
      <c r="P862" s="326"/>
      <c r="Q862" s="326"/>
      <c r="R862" s="326"/>
      <c r="S862" s="326"/>
      <c r="T862" s="326"/>
      <c r="U862" s="326"/>
      <c r="V862" s="326"/>
      <c r="W862" s="326"/>
      <c r="X862" s="326"/>
      <c r="Y862" s="326"/>
      <c r="Z862" s="326"/>
      <c r="AA862" s="326"/>
    </row>
    <row r="863" spans="1:27" ht="12.75">
      <c r="A863" s="326"/>
      <c r="B863" s="326"/>
      <c r="C863" s="326"/>
      <c r="D863" s="326"/>
      <c r="E863" s="326"/>
      <c r="F863" s="326"/>
      <c r="G863" s="326"/>
      <c r="H863" s="326"/>
      <c r="I863" s="326"/>
      <c r="J863" s="326"/>
      <c r="K863" s="326"/>
      <c r="L863" s="326"/>
      <c r="M863" s="326"/>
      <c r="N863" s="326"/>
      <c r="O863" s="326"/>
      <c r="P863" s="326"/>
      <c r="Q863" s="326"/>
      <c r="R863" s="326"/>
      <c r="S863" s="326"/>
      <c r="T863" s="326"/>
      <c r="U863" s="326"/>
      <c r="V863" s="326"/>
      <c r="W863" s="326"/>
      <c r="X863" s="326"/>
      <c r="Y863" s="326"/>
      <c r="Z863" s="326"/>
      <c r="AA863" s="326"/>
    </row>
    <row r="864" spans="1:27" ht="12.75">
      <c r="A864" s="326"/>
      <c r="B864" s="326"/>
      <c r="C864" s="326"/>
      <c r="D864" s="326"/>
      <c r="E864" s="326"/>
      <c r="F864" s="326"/>
      <c r="G864" s="326"/>
      <c r="H864" s="326"/>
      <c r="I864" s="326"/>
      <c r="J864" s="326"/>
      <c r="K864" s="326"/>
      <c r="L864" s="326"/>
      <c r="M864" s="326"/>
      <c r="N864" s="326"/>
      <c r="O864" s="326"/>
      <c r="P864" s="326"/>
      <c r="Q864" s="326"/>
      <c r="R864" s="326"/>
      <c r="S864" s="326"/>
      <c r="T864" s="326"/>
      <c r="U864" s="326"/>
      <c r="V864" s="326"/>
      <c r="W864" s="326"/>
      <c r="X864" s="326"/>
      <c r="Y864" s="326"/>
      <c r="Z864" s="326"/>
      <c r="AA864" s="326"/>
    </row>
    <row r="865" spans="1:27" ht="12.75">
      <c r="A865" s="326"/>
      <c r="B865" s="326"/>
      <c r="C865" s="326"/>
      <c r="D865" s="326"/>
      <c r="E865" s="326"/>
      <c r="F865" s="326"/>
      <c r="G865" s="326"/>
      <c r="H865" s="326"/>
      <c r="I865" s="326"/>
      <c r="J865" s="326"/>
      <c r="K865" s="326"/>
      <c r="L865" s="326"/>
      <c r="M865" s="326"/>
      <c r="N865" s="326"/>
      <c r="O865" s="326"/>
      <c r="P865" s="326"/>
      <c r="Q865" s="326"/>
      <c r="R865" s="326"/>
      <c r="S865" s="326"/>
      <c r="T865" s="326"/>
      <c r="U865" s="326"/>
      <c r="V865" s="326"/>
      <c r="W865" s="326"/>
      <c r="X865" s="326"/>
      <c r="Y865" s="326"/>
      <c r="Z865" s="326"/>
      <c r="AA865" s="326"/>
    </row>
    <row r="866" spans="1:27" ht="12.75">
      <c r="A866" s="326"/>
      <c r="B866" s="326"/>
      <c r="C866" s="326"/>
      <c r="D866" s="326"/>
      <c r="E866" s="326"/>
      <c r="F866" s="326"/>
      <c r="G866" s="326"/>
      <c r="H866" s="326"/>
      <c r="I866" s="326"/>
      <c r="J866" s="326"/>
      <c r="K866" s="326"/>
      <c r="L866" s="326"/>
      <c r="M866" s="326"/>
      <c r="N866" s="326"/>
      <c r="O866" s="326"/>
      <c r="P866" s="326"/>
      <c r="Q866" s="326"/>
      <c r="R866" s="326"/>
      <c r="S866" s="326"/>
      <c r="T866" s="326"/>
      <c r="U866" s="326"/>
      <c r="V866" s="326"/>
      <c r="W866" s="326"/>
      <c r="X866" s="326"/>
      <c r="Y866" s="326"/>
      <c r="Z866" s="326"/>
      <c r="AA866" s="326"/>
    </row>
    <row r="867" spans="1:27" ht="12.75">
      <c r="A867" s="326"/>
      <c r="B867" s="326"/>
      <c r="C867" s="326"/>
      <c r="D867" s="326"/>
      <c r="E867" s="326"/>
      <c r="F867" s="326"/>
      <c r="G867" s="326"/>
      <c r="H867" s="326"/>
      <c r="I867" s="326"/>
      <c r="J867" s="326"/>
      <c r="K867" s="326"/>
      <c r="L867" s="326"/>
      <c r="M867" s="326"/>
      <c r="N867" s="326"/>
      <c r="O867" s="326"/>
      <c r="P867" s="326"/>
      <c r="Q867" s="326"/>
      <c r="R867" s="326"/>
      <c r="S867" s="326"/>
      <c r="T867" s="326"/>
      <c r="U867" s="326"/>
      <c r="V867" s="326"/>
      <c r="W867" s="326"/>
      <c r="X867" s="326"/>
      <c r="Y867" s="326"/>
      <c r="Z867" s="326"/>
      <c r="AA867" s="326"/>
    </row>
    <row r="868" spans="1:27" ht="12.75">
      <c r="A868" s="326"/>
      <c r="B868" s="326"/>
      <c r="C868" s="326"/>
      <c r="D868" s="326"/>
      <c r="E868" s="326"/>
      <c r="F868" s="326"/>
      <c r="G868" s="326"/>
      <c r="H868" s="326"/>
      <c r="I868" s="326"/>
      <c r="J868" s="326"/>
      <c r="K868" s="326"/>
      <c r="L868" s="326"/>
      <c r="M868" s="326"/>
      <c r="N868" s="326"/>
      <c r="O868" s="326"/>
      <c r="P868" s="326"/>
      <c r="Q868" s="326"/>
      <c r="R868" s="326"/>
      <c r="S868" s="326"/>
      <c r="T868" s="326"/>
      <c r="U868" s="326"/>
      <c r="V868" s="326"/>
      <c r="W868" s="326"/>
      <c r="X868" s="326"/>
      <c r="Y868" s="326"/>
      <c r="Z868" s="326"/>
      <c r="AA868" s="326"/>
    </row>
    <row r="869" spans="1:27" ht="12.75">
      <c r="A869" s="326"/>
      <c r="B869" s="326"/>
      <c r="C869" s="326"/>
      <c r="D869" s="326"/>
      <c r="E869" s="326"/>
      <c r="F869" s="326"/>
      <c r="G869" s="326"/>
      <c r="H869" s="326"/>
      <c r="I869" s="326"/>
      <c r="J869" s="326"/>
      <c r="K869" s="326"/>
      <c r="L869" s="326"/>
      <c r="M869" s="326"/>
      <c r="N869" s="326"/>
      <c r="O869" s="326"/>
      <c r="P869" s="326"/>
      <c r="Q869" s="326"/>
      <c r="R869" s="326"/>
      <c r="S869" s="326"/>
      <c r="T869" s="326"/>
      <c r="U869" s="326"/>
      <c r="V869" s="326"/>
      <c r="W869" s="326"/>
      <c r="X869" s="326"/>
      <c r="Y869" s="326"/>
      <c r="Z869" s="326"/>
      <c r="AA869" s="326"/>
    </row>
    <row r="870" spans="1:27" ht="12.75">
      <c r="A870" s="326"/>
      <c r="B870" s="326"/>
      <c r="C870" s="326"/>
      <c r="D870" s="326"/>
      <c r="E870" s="326"/>
      <c r="F870" s="326"/>
      <c r="G870" s="326"/>
      <c r="H870" s="326"/>
      <c r="I870" s="326"/>
      <c r="J870" s="326"/>
      <c r="K870" s="326"/>
      <c r="L870" s="326"/>
      <c r="M870" s="326"/>
      <c r="N870" s="326"/>
      <c r="O870" s="326"/>
      <c r="P870" s="326"/>
      <c r="Q870" s="326"/>
      <c r="R870" s="326"/>
      <c r="S870" s="326"/>
      <c r="T870" s="326"/>
      <c r="U870" s="326"/>
      <c r="V870" s="326"/>
      <c r="W870" s="326"/>
      <c r="X870" s="326"/>
      <c r="Y870" s="326"/>
      <c r="Z870" s="326"/>
      <c r="AA870" s="326"/>
    </row>
    <row r="871" spans="1:27" ht="12.75">
      <c r="A871" s="326"/>
      <c r="B871" s="326"/>
      <c r="C871" s="326"/>
      <c r="D871" s="326"/>
      <c r="E871" s="326"/>
      <c r="F871" s="326"/>
      <c r="G871" s="326"/>
      <c r="H871" s="326"/>
      <c r="I871" s="326"/>
      <c r="J871" s="326"/>
      <c r="K871" s="326"/>
      <c r="L871" s="326"/>
      <c r="M871" s="326"/>
      <c r="N871" s="326"/>
      <c r="O871" s="326"/>
      <c r="P871" s="326"/>
      <c r="Q871" s="326"/>
      <c r="R871" s="326"/>
      <c r="S871" s="326"/>
      <c r="T871" s="326"/>
      <c r="U871" s="326"/>
      <c r="V871" s="326"/>
      <c r="W871" s="326"/>
      <c r="X871" s="326"/>
      <c r="Y871" s="326"/>
      <c r="Z871" s="326"/>
      <c r="AA871" s="326"/>
    </row>
    <row r="872" spans="1:27" ht="12.75">
      <c r="A872" s="326"/>
      <c r="B872" s="326"/>
      <c r="C872" s="326"/>
      <c r="D872" s="326"/>
      <c r="E872" s="326"/>
      <c r="F872" s="326"/>
      <c r="G872" s="326"/>
      <c r="H872" s="326"/>
      <c r="I872" s="326"/>
      <c r="J872" s="326"/>
      <c r="K872" s="326"/>
      <c r="L872" s="326"/>
      <c r="M872" s="326"/>
      <c r="N872" s="326"/>
      <c r="O872" s="326"/>
      <c r="P872" s="326"/>
      <c r="Q872" s="326"/>
      <c r="R872" s="326"/>
      <c r="S872" s="326"/>
      <c r="T872" s="326"/>
      <c r="U872" s="326"/>
      <c r="V872" s="326"/>
      <c r="W872" s="326"/>
      <c r="X872" s="326"/>
      <c r="Y872" s="326"/>
      <c r="Z872" s="326"/>
      <c r="AA872" s="326"/>
    </row>
    <row r="873" spans="1:27" ht="12.75">
      <c r="A873" s="326"/>
      <c r="B873" s="326"/>
      <c r="C873" s="326"/>
      <c r="D873" s="326"/>
      <c r="E873" s="326"/>
      <c r="F873" s="326"/>
      <c r="G873" s="326"/>
      <c r="H873" s="326"/>
      <c r="I873" s="326"/>
      <c r="J873" s="326"/>
      <c r="K873" s="326"/>
      <c r="L873" s="326"/>
      <c r="M873" s="326"/>
      <c r="N873" s="326"/>
      <c r="O873" s="326"/>
      <c r="P873" s="326"/>
      <c r="Q873" s="326"/>
      <c r="R873" s="326"/>
      <c r="S873" s="326"/>
      <c r="T873" s="326"/>
      <c r="U873" s="326"/>
      <c r="V873" s="326"/>
      <c r="W873" s="326"/>
      <c r="X873" s="326"/>
      <c r="Y873" s="326"/>
      <c r="Z873" s="326"/>
      <c r="AA873" s="326"/>
    </row>
    <row r="874" spans="1:27" ht="12.75">
      <c r="A874" s="326"/>
      <c r="B874" s="326"/>
      <c r="C874" s="326"/>
      <c r="D874" s="326"/>
      <c r="E874" s="326"/>
      <c r="F874" s="326"/>
      <c r="G874" s="326"/>
      <c r="H874" s="326"/>
      <c r="I874" s="326"/>
      <c r="J874" s="326"/>
      <c r="K874" s="326"/>
      <c r="L874" s="326"/>
      <c r="M874" s="326"/>
      <c r="N874" s="326"/>
      <c r="O874" s="326"/>
      <c r="P874" s="326"/>
      <c r="Q874" s="326"/>
      <c r="R874" s="326"/>
      <c r="S874" s="326"/>
      <c r="T874" s="326"/>
      <c r="U874" s="326"/>
      <c r="V874" s="326"/>
      <c r="W874" s="326"/>
      <c r="X874" s="326"/>
      <c r="Y874" s="326"/>
      <c r="Z874" s="326"/>
      <c r="AA874" s="326"/>
    </row>
    <row r="875" spans="1:27" ht="12.75">
      <c r="A875" s="326"/>
      <c r="B875" s="326"/>
      <c r="C875" s="326"/>
      <c r="D875" s="326"/>
      <c r="E875" s="326"/>
      <c r="F875" s="326"/>
      <c r="G875" s="326"/>
      <c r="H875" s="326"/>
      <c r="I875" s="326"/>
      <c r="J875" s="326"/>
      <c r="K875" s="326"/>
      <c r="L875" s="326"/>
      <c r="M875" s="326"/>
      <c r="N875" s="326"/>
      <c r="O875" s="326"/>
      <c r="P875" s="326"/>
      <c r="Q875" s="326"/>
      <c r="R875" s="326"/>
      <c r="S875" s="326"/>
      <c r="T875" s="326"/>
      <c r="U875" s="326"/>
      <c r="V875" s="326"/>
      <c r="W875" s="326"/>
      <c r="X875" s="326"/>
      <c r="Y875" s="326"/>
      <c r="Z875" s="326"/>
      <c r="AA875" s="326"/>
    </row>
    <row r="876" spans="1:27" ht="12.75">
      <c r="A876" s="326"/>
      <c r="B876" s="326"/>
      <c r="C876" s="326"/>
      <c r="D876" s="326"/>
      <c r="E876" s="326"/>
      <c r="F876" s="326"/>
      <c r="G876" s="326"/>
      <c r="H876" s="326"/>
      <c r="I876" s="326"/>
      <c r="J876" s="326"/>
      <c r="K876" s="326"/>
      <c r="L876" s="326"/>
      <c r="M876" s="326"/>
      <c r="N876" s="326"/>
      <c r="O876" s="326"/>
      <c r="P876" s="326"/>
      <c r="Q876" s="326"/>
      <c r="R876" s="326"/>
      <c r="S876" s="326"/>
      <c r="T876" s="326"/>
      <c r="U876" s="326"/>
      <c r="V876" s="326"/>
      <c r="W876" s="326"/>
      <c r="X876" s="326"/>
      <c r="Y876" s="326"/>
      <c r="Z876" s="326"/>
      <c r="AA876" s="326"/>
    </row>
    <row r="877" spans="1:27" ht="12.75">
      <c r="A877" s="326"/>
      <c r="B877" s="326"/>
      <c r="C877" s="326"/>
      <c r="D877" s="326"/>
      <c r="E877" s="326"/>
      <c r="F877" s="326"/>
      <c r="G877" s="326"/>
      <c r="H877" s="326"/>
      <c r="I877" s="326"/>
      <c r="J877" s="326"/>
      <c r="K877" s="326"/>
      <c r="L877" s="326"/>
      <c r="M877" s="326"/>
      <c r="N877" s="326"/>
      <c r="O877" s="326"/>
      <c r="P877" s="326"/>
      <c r="Q877" s="326"/>
      <c r="R877" s="326"/>
      <c r="S877" s="326"/>
      <c r="T877" s="326"/>
      <c r="U877" s="326"/>
      <c r="V877" s="326"/>
      <c r="W877" s="326"/>
      <c r="X877" s="326"/>
      <c r="Y877" s="326"/>
      <c r="Z877" s="326"/>
      <c r="AA877" s="326"/>
    </row>
    <row r="878" spans="1:27" ht="12.75">
      <c r="A878" s="326"/>
      <c r="B878" s="326"/>
      <c r="C878" s="326"/>
      <c r="D878" s="326"/>
      <c r="E878" s="326"/>
      <c r="F878" s="326"/>
      <c r="G878" s="326"/>
      <c r="H878" s="326"/>
      <c r="I878" s="326"/>
      <c r="J878" s="326"/>
      <c r="K878" s="326"/>
      <c r="L878" s="326"/>
      <c r="M878" s="326"/>
      <c r="N878" s="326"/>
      <c r="O878" s="326"/>
      <c r="P878" s="326"/>
      <c r="Q878" s="326"/>
      <c r="R878" s="326"/>
      <c r="S878" s="326"/>
      <c r="T878" s="326"/>
      <c r="U878" s="326"/>
      <c r="V878" s="326"/>
      <c r="W878" s="326"/>
      <c r="X878" s="326"/>
      <c r="Y878" s="326"/>
      <c r="Z878" s="326"/>
      <c r="AA878" s="326"/>
    </row>
    <row r="879" spans="1:27" ht="12.75">
      <c r="A879" s="326"/>
      <c r="B879" s="326"/>
      <c r="C879" s="326"/>
      <c r="D879" s="326"/>
      <c r="E879" s="326"/>
      <c r="F879" s="326"/>
      <c r="G879" s="326"/>
      <c r="H879" s="326"/>
      <c r="I879" s="326"/>
      <c r="J879" s="326"/>
      <c r="K879" s="326"/>
      <c r="L879" s="326"/>
      <c r="M879" s="326"/>
      <c r="N879" s="326"/>
      <c r="O879" s="326"/>
      <c r="P879" s="326"/>
      <c r="Q879" s="326"/>
      <c r="R879" s="326"/>
      <c r="S879" s="326"/>
      <c r="T879" s="326"/>
      <c r="U879" s="326"/>
      <c r="V879" s="326"/>
      <c r="W879" s="326"/>
      <c r="X879" s="326"/>
      <c r="Y879" s="326"/>
      <c r="Z879" s="326"/>
      <c r="AA879" s="326"/>
    </row>
    <row r="880" spans="1:27" ht="12.75">
      <c r="A880" s="326"/>
      <c r="B880" s="326"/>
      <c r="C880" s="326"/>
      <c r="D880" s="326"/>
      <c r="E880" s="326"/>
      <c r="F880" s="326"/>
      <c r="G880" s="326"/>
      <c r="H880" s="326"/>
      <c r="I880" s="326"/>
      <c r="J880" s="326"/>
      <c r="K880" s="326"/>
      <c r="L880" s="326"/>
      <c r="M880" s="326"/>
      <c r="N880" s="326"/>
      <c r="O880" s="326"/>
      <c r="P880" s="326"/>
      <c r="Q880" s="326"/>
      <c r="R880" s="326"/>
      <c r="S880" s="326"/>
      <c r="T880" s="326"/>
      <c r="U880" s="326"/>
      <c r="V880" s="326"/>
      <c r="W880" s="326"/>
      <c r="X880" s="326"/>
      <c r="Y880" s="326"/>
      <c r="Z880" s="326"/>
      <c r="AA880" s="326"/>
    </row>
    <row r="881" spans="1:27" ht="12.75">
      <c r="A881" s="326"/>
      <c r="B881" s="326"/>
      <c r="C881" s="326"/>
      <c r="D881" s="326"/>
      <c r="E881" s="326"/>
      <c r="F881" s="326"/>
      <c r="G881" s="326"/>
      <c r="H881" s="326"/>
      <c r="I881" s="326"/>
      <c r="J881" s="326"/>
      <c r="K881" s="326"/>
      <c r="L881" s="326"/>
      <c r="M881" s="326"/>
      <c r="N881" s="326"/>
      <c r="O881" s="326"/>
      <c r="P881" s="326"/>
      <c r="Q881" s="326"/>
      <c r="R881" s="326"/>
      <c r="S881" s="326"/>
      <c r="T881" s="326"/>
      <c r="U881" s="326"/>
      <c r="V881" s="326"/>
      <c r="W881" s="326"/>
      <c r="X881" s="326"/>
      <c r="Y881" s="326"/>
      <c r="Z881" s="326"/>
      <c r="AA881" s="326"/>
    </row>
    <row r="882" spans="1:27" ht="12.75">
      <c r="A882" s="326"/>
      <c r="B882" s="326"/>
      <c r="C882" s="326"/>
      <c r="D882" s="326"/>
      <c r="E882" s="326"/>
      <c r="F882" s="326"/>
      <c r="G882" s="326"/>
      <c r="H882" s="326"/>
      <c r="I882" s="326"/>
      <c r="J882" s="326"/>
      <c r="K882" s="326"/>
      <c r="L882" s="326"/>
      <c r="M882" s="326"/>
      <c r="N882" s="326"/>
      <c r="O882" s="326"/>
      <c r="P882" s="326"/>
      <c r="Q882" s="326"/>
      <c r="R882" s="326"/>
      <c r="S882" s="326"/>
      <c r="T882" s="326"/>
      <c r="U882" s="326"/>
      <c r="V882" s="326"/>
      <c r="W882" s="326"/>
      <c r="X882" s="326"/>
      <c r="Y882" s="326"/>
      <c r="Z882" s="326"/>
      <c r="AA882" s="326"/>
    </row>
    <row r="883" spans="1:27" ht="12.75">
      <c r="A883" s="326"/>
      <c r="B883" s="326"/>
      <c r="C883" s="326"/>
      <c r="D883" s="326"/>
      <c r="E883" s="326"/>
      <c r="F883" s="326"/>
      <c r="G883" s="326"/>
      <c r="H883" s="326"/>
      <c r="I883" s="326"/>
      <c r="J883" s="326"/>
      <c r="K883" s="326"/>
      <c r="L883" s="326"/>
      <c r="M883" s="326"/>
      <c r="N883" s="326"/>
      <c r="O883" s="326"/>
      <c r="P883" s="326"/>
      <c r="Q883" s="326"/>
      <c r="R883" s="326"/>
      <c r="S883" s="326"/>
      <c r="T883" s="326"/>
      <c r="U883" s="326"/>
      <c r="V883" s="326"/>
      <c r="W883" s="326"/>
      <c r="X883" s="326"/>
      <c r="Y883" s="326"/>
      <c r="Z883" s="326"/>
      <c r="AA883" s="326"/>
    </row>
    <row r="884" spans="1:27" ht="12.75">
      <c r="A884" s="326"/>
      <c r="B884" s="326"/>
      <c r="C884" s="326"/>
      <c r="D884" s="326"/>
      <c r="E884" s="326"/>
      <c r="F884" s="326"/>
      <c r="G884" s="326"/>
      <c r="H884" s="326"/>
      <c r="I884" s="326"/>
      <c r="J884" s="326"/>
      <c r="K884" s="326"/>
      <c r="L884" s="326"/>
      <c r="M884" s="326"/>
      <c r="N884" s="326"/>
      <c r="O884" s="326"/>
      <c r="P884" s="326"/>
      <c r="Q884" s="326"/>
      <c r="R884" s="326"/>
      <c r="S884" s="326"/>
      <c r="T884" s="326"/>
      <c r="U884" s="326"/>
      <c r="V884" s="326"/>
      <c r="W884" s="326"/>
      <c r="X884" s="326"/>
      <c r="Y884" s="326"/>
      <c r="Z884" s="326"/>
      <c r="AA884" s="326"/>
    </row>
    <row r="885" spans="1:27" ht="12.75">
      <c r="A885" s="326"/>
      <c r="B885" s="326"/>
      <c r="C885" s="326"/>
      <c r="D885" s="326"/>
      <c r="E885" s="326"/>
      <c r="F885" s="326"/>
      <c r="G885" s="326"/>
      <c r="H885" s="326"/>
      <c r="I885" s="326"/>
      <c r="J885" s="326"/>
      <c r="K885" s="326"/>
      <c r="L885" s="326"/>
      <c r="M885" s="326"/>
      <c r="N885" s="326"/>
      <c r="O885" s="326"/>
      <c r="P885" s="326"/>
      <c r="Q885" s="326"/>
      <c r="R885" s="326"/>
      <c r="S885" s="326"/>
      <c r="T885" s="326"/>
      <c r="U885" s="326"/>
      <c r="V885" s="326"/>
      <c r="W885" s="326"/>
      <c r="X885" s="326"/>
      <c r="Y885" s="326"/>
      <c r="Z885" s="326"/>
      <c r="AA885" s="326"/>
    </row>
    <row r="886" spans="1:27" ht="12.75">
      <c r="A886" s="326"/>
      <c r="B886" s="326"/>
      <c r="C886" s="326"/>
      <c r="D886" s="326"/>
      <c r="E886" s="326"/>
      <c r="F886" s="326"/>
      <c r="G886" s="326"/>
      <c r="H886" s="326"/>
      <c r="I886" s="326"/>
      <c r="J886" s="326"/>
      <c r="K886" s="326"/>
      <c r="L886" s="326"/>
      <c r="M886" s="326"/>
      <c r="N886" s="326"/>
      <c r="O886" s="326"/>
      <c r="P886" s="326"/>
      <c r="Q886" s="326"/>
      <c r="R886" s="326"/>
      <c r="S886" s="326"/>
      <c r="T886" s="326"/>
      <c r="U886" s="326"/>
      <c r="V886" s="326"/>
      <c r="W886" s="326"/>
      <c r="X886" s="326"/>
      <c r="Y886" s="326"/>
      <c r="Z886" s="326"/>
      <c r="AA886" s="326"/>
    </row>
    <row r="887" spans="1:27" ht="12.75">
      <c r="A887" s="326"/>
      <c r="B887" s="326"/>
      <c r="C887" s="326"/>
      <c r="D887" s="326"/>
      <c r="E887" s="326"/>
      <c r="F887" s="326"/>
      <c r="G887" s="326"/>
      <c r="H887" s="326"/>
      <c r="I887" s="326"/>
      <c r="J887" s="326"/>
      <c r="K887" s="326"/>
      <c r="L887" s="326"/>
      <c r="M887" s="326"/>
      <c r="N887" s="326"/>
      <c r="O887" s="326"/>
      <c r="P887" s="326"/>
      <c r="Q887" s="326"/>
      <c r="R887" s="326"/>
      <c r="S887" s="326"/>
      <c r="T887" s="326"/>
      <c r="U887" s="326"/>
      <c r="V887" s="326"/>
      <c r="W887" s="326"/>
      <c r="X887" s="326"/>
      <c r="Y887" s="326"/>
      <c r="Z887" s="326"/>
      <c r="AA887" s="326"/>
    </row>
    <row r="888" spans="1:27" ht="12.75">
      <c r="A888" s="326"/>
      <c r="B888" s="326"/>
      <c r="C888" s="326"/>
      <c r="D888" s="326"/>
      <c r="E888" s="326"/>
      <c r="F888" s="326"/>
      <c r="G888" s="326"/>
      <c r="H888" s="326"/>
      <c r="I888" s="326"/>
      <c r="J888" s="326"/>
      <c r="K888" s="326"/>
      <c r="L888" s="326"/>
      <c r="M888" s="326"/>
      <c r="N888" s="326"/>
      <c r="O888" s="326"/>
      <c r="P888" s="326"/>
      <c r="Q888" s="326"/>
      <c r="R888" s="326"/>
      <c r="S888" s="326"/>
      <c r="T888" s="326"/>
      <c r="U888" s="326"/>
      <c r="V888" s="326"/>
      <c r="W888" s="326"/>
      <c r="X888" s="326"/>
      <c r="Y888" s="326"/>
      <c r="Z888" s="326"/>
      <c r="AA888" s="326"/>
    </row>
    <row r="889" spans="1:27" ht="12.75">
      <c r="A889" s="326"/>
      <c r="B889" s="326"/>
      <c r="C889" s="326"/>
      <c r="D889" s="326"/>
      <c r="E889" s="326"/>
      <c r="F889" s="326"/>
      <c r="G889" s="326"/>
      <c r="H889" s="326"/>
      <c r="I889" s="326"/>
      <c r="J889" s="326"/>
      <c r="K889" s="326"/>
      <c r="L889" s="326"/>
      <c r="M889" s="326"/>
      <c r="N889" s="326"/>
      <c r="O889" s="326"/>
      <c r="P889" s="326"/>
      <c r="Q889" s="326"/>
      <c r="R889" s="326"/>
      <c r="S889" s="326"/>
      <c r="T889" s="326"/>
      <c r="U889" s="326"/>
      <c r="V889" s="326"/>
      <c r="W889" s="326"/>
      <c r="X889" s="326"/>
      <c r="Y889" s="326"/>
      <c r="Z889" s="326"/>
      <c r="AA889" s="326"/>
    </row>
    <row r="890" spans="1:27" ht="12.75">
      <c r="A890" s="326"/>
      <c r="B890" s="326"/>
      <c r="C890" s="326"/>
      <c r="D890" s="326"/>
      <c r="E890" s="326"/>
      <c r="F890" s="326"/>
      <c r="G890" s="326"/>
      <c r="H890" s="326"/>
      <c r="I890" s="326"/>
      <c r="J890" s="326"/>
      <c r="K890" s="326"/>
      <c r="L890" s="326"/>
      <c r="M890" s="326"/>
      <c r="N890" s="326"/>
      <c r="O890" s="326"/>
      <c r="P890" s="326"/>
      <c r="Q890" s="326"/>
      <c r="R890" s="326"/>
      <c r="S890" s="326"/>
      <c r="T890" s="326"/>
      <c r="U890" s="326"/>
      <c r="V890" s="326"/>
      <c r="W890" s="326"/>
      <c r="X890" s="326"/>
      <c r="Y890" s="326"/>
      <c r="Z890" s="326"/>
      <c r="AA890" s="326"/>
    </row>
    <row r="891" spans="1:27" ht="12.75">
      <c r="A891" s="326"/>
      <c r="B891" s="326"/>
      <c r="C891" s="326"/>
      <c r="D891" s="326"/>
      <c r="E891" s="326"/>
      <c r="F891" s="326"/>
      <c r="G891" s="326"/>
      <c r="H891" s="326"/>
      <c r="I891" s="326"/>
      <c r="J891" s="326"/>
      <c r="K891" s="326"/>
      <c r="L891" s="326"/>
      <c r="M891" s="326"/>
      <c r="N891" s="326"/>
      <c r="O891" s="326"/>
      <c r="P891" s="326"/>
      <c r="Q891" s="326"/>
      <c r="R891" s="326"/>
      <c r="S891" s="326"/>
      <c r="T891" s="326"/>
      <c r="U891" s="326"/>
      <c r="V891" s="326"/>
      <c r="W891" s="326"/>
      <c r="X891" s="326"/>
      <c r="Y891" s="326"/>
      <c r="Z891" s="326"/>
      <c r="AA891" s="326"/>
    </row>
    <row r="892" spans="1:27" ht="12.75">
      <c r="A892" s="326"/>
      <c r="B892" s="326"/>
      <c r="C892" s="326"/>
      <c r="D892" s="326"/>
      <c r="E892" s="326"/>
      <c r="F892" s="326"/>
      <c r="G892" s="326"/>
      <c r="H892" s="326"/>
      <c r="I892" s="326"/>
      <c r="J892" s="326"/>
      <c r="K892" s="326"/>
      <c r="L892" s="326"/>
      <c r="M892" s="326"/>
      <c r="N892" s="326"/>
      <c r="O892" s="326"/>
      <c r="P892" s="326"/>
      <c r="Q892" s="326"/>
      <c r="R892" s="326"/>
      <c r="S892" s="326"/>
      <c r="T892" s="326"/>
      <c r="U892" s="326"/>
      <c r="V892" s="326"/>
      <c r="W892" s="326"/>
      <c r="X892" s="326"/>
      <c r="Y892" s="326"/>
      <c r="Z892" s="326"/>
      <c r="AA892" s="326"/>
    </row>
    <row r="893" spans="1:27" ht="12.75">
      <c r="A893" s="326"/>
      <c r="B893" s="326"/>
      <c r="C893" s="326"/>
      <c r="D893" s="326"/>
      <c r="E893" s="326"/>
      <c r="F893" s="326"/>
      <c r="G893" s="326"/>
      <c r="H893" s="326"/>
      <c r="I893" s="326"/>
      <c r="J893" s="326"/>
      <c r="K893" s="326"/>
      <c r="L893" s="326"/>
      <c r="M893" s="326"/>
      <c r="N893" s="326"/>
      <c r="O893" s="326"/>
      <c r="P893" s="326"/>
      <c r="Q893" s="326"/>
      <c r="R893" s="326"/>
      <c r="S893" s="326"/>
      <c r="T893" s="326"/>
      <c r="U893" s="326"/>
      <c r="V893" s="326"/>
      <c r="W893" s="326"/>
      <c r="X893" s="326"/>
      <c r="Y893" s="326"/>
      <c r="Z893" s="326"/>
      <c r="AA893" s="326"/>
    </row>
    <row r="894" spans="1:27" ht="12.75">
      <c r="A894" s="326"/>
      <c r="B894" s="326"/>
      <c r="C894" s="326"/>
      <c r="D894" s="326"/>
      <c r="E894" s="326"/>
      <c r="F894" s="326"/>
      <c r="G894" s="326"/>
      <c r="H894" s="326"/>
      <c r="I894" s="326"/>
      <c r="J894" s="326"/>
      <c r="K894" s="326"/>
      <c r="L894" s="326"/>
      <c r="M894" s="326"/>
      <c r="N894" s="326"/>
      <c r="O894" s="326"/>
      <c r="P894" s="326"/>
      <c r="Q894" s="326"/>
      <c r="R894" s="326"/>
      <c r="S894" s="326"/>
      <c r="T894" s="326"/>
      <c r="U894" s="326"/>
      <c r="V894" s="326"/>
      <c r="W894" s="326"/>
      <c r="X894" s="326"/>
      <c r="Y894" s="326"/>
      <c r="Z894" s="326"/>
      <c r="AA894" s="326"/>
    </row>
    <row r="895" spans="1:27" ht="12.75">
      <c r="A895" s="326"/>
      <c r="B895" s="326"/>
      <c r="C895" s="326"/>
      <c r="D895" s="326"/>
      <c r="E895" s="326"/>
      <c r="F895" s="326"/>
      <c r="G895" s="326"/>
      <c r="H895" s="326"/>
      <c r="I895" s="326"/>
      <c r="J895" s="326"/>
      <c r="K895" s="326"/>
      <c r="L895" s="326"/>
      <c r="M895" s="326"/>
      <c r="N895" s="326"/>
      <c r="O895" s="326"/>
      <c r="P895" s="326"/>
      <c r="Q895" s="326"/>
      <c r="R895" s="326"/>
      <c r="S895" s="326"/>
      <c r="T895" s="326"/>
      <c r="U895" s="326"/>
      <c r="V895" s="326"/>
      <c r="W895" s="326"/>
      <c r="X895" s="326"/>
      <c r="Y895" s="326"/>
      <c r="Z895" s="326"/>
      <c r="AA895" s="326"/>
    </row>
    <row r="896" spans="1:27" ht="12.75">
      <c r="A896" s="326"/>
      <c r="B896" s="326"/>
      <c r="C896" s="326"/>
      <c r="D896" s="326"/>
      <c r="E896" s="326"/>
      <c r="F896" s="326"/>
      <c r="G896" s="326"/>
      <c r="H896" s="326"/>
      <c r="I896" s="326"/>
      <c r="J896" s="326"/>
      <c r="K896" s="326"/>
      <c r="L896" s="326"/>
      <c r="M896" s="326"/>
      <c r="N896" s="326"/>
      <c r="O896" s="326"/>
      <c r="P896" s="326"/>
      <c r="Q896" s="326"/>
      <c r="R896" s="326"/>
      <c r="S896" s="326"/>
      <c r="T896" s="326"/>
      <c r="U896" s="326"/>
      <c r="V896" s="326"/>
      <c r="W896" s="326"/>
      <c r="X896" s="326"/>
      <c r="Y896" s="326"/>
      <c r="Z896" s="326"/>
      <c r="AA896" s="326"/>
    </row>
    <row r="897" spans="1:27" ht="12.75">
      <c r="A897" s="326"/>
      <c r="B897" s="326"/>
      <c r="C897" s="326"/>
      <c r="D897" s="326"/>
      <c r="E897" s="326"/>
      <c r="F897" s="326"/>
      <c r="G897" s="326"/>
      <c r="H897" s="326"/>
      <c r="I897" s="326"/>
      <c r="J897" s="326"/>
      <c r="K897" s="326"/>
      <c r="L897" s="326"/>
      <c r="M897" s="326"/>
      <c r="N897" s="326"/>
      <c r="O897" s="326"/>
      <c r="P897" s="326"/>
      <c r="Q897" s="326"/>
      <c r="R897" s="326"/>
      <c r="S897" s="326"/>
      <c r="T897" s="326"/>
      <c r="U897" s="326"/>
      <c r="V897" s="326"/>
      <c r="W897" s="326"/>
      <c r="X897" s="326"/>
      <c r="Y897" s="326"/>
      <c r="Z897" s="326"/>
      <c r="AA897" s="326"/>
    </row>
    <row r="898" spans="1:27" ht="12.75">
      <c r="A898" s="326"/>
      <c r="B898" s="326"/>
      <c r="C898" s="326"/>
      <c r="D898" s="326"/>
      <c r="E898" s="326"/>
      <c r="F898" s="326"/>
      <c r="G898" s="326"/>
      <c r="H898" s="326"/>
      <c r="I898" s="326"/>
      <c r="J898" s="326"/>
      <c r="K898" s="326"/>
      <c r="L898" s="326"/>
      <c r="M898" s="326"/>
      <c r="N898" s="326"/>
      <c r="O898" s="326"/>
      <c r="P898" s="326"/>
      <c r="Q898" s="326"/>
      <c r="R898" s="326"/>
      <c r="S898" s="326"/>
      <c r="T898" s="326"/>
      <c r="U898" s="326"/>
      <c r="V898" s="326"/>
      <c r="W898" s="326"/>
      <c r="X898" s="326"/>
      <c r="Y898" s="326"/>
      <c r="Z898" s="326"/>
      <c r="AA898" s="326"/>
    </row>
    <row r="899" spans="1:27" ht="12.75">
      <c r="A899" s="326"/>
      <c r="B899" s="326"/>
      <c r="C899" s="326"/>
      <c r="D899" s="326"/>
      <c r="E899" s="326"/>
      <c r="F899" s="326"/>
      <c r="G899" s="326"/>
      <c r="H899" s="326"/>
      <c r="I899" s="326"/>
      <c r="J899" s="326"/>
      <c r="K899" s="326"/>
      <c r="L899" s="326"/>
      <c r="M899" s="326"/>
      <c r="N899" s="326"/>
      <c r="O899" s="326"/>
      <c r="P899" s="326"/>
      <c r="Q899" s="326"/>
      <c r="R899" s="326"/>
      <c r="S899" s="326"/>
      <c r="T899" s="326"/>
      <c r="U899" s="326"/>
      <c r="V899" s="326"/>
      <c r="W899" s="326"/>
      <c r="X899" s="326"/>
      <c r="Y899" s="326"/>
      <c r="Z899" s="326"/>
      <c r="AA899" s="326"/>
    </row>
    <row r="900" spans="1:27" ht="12.75">
      <c r="A900" s="326"/>
      <c r="B900" s="326"/>
      <c r="C900" s="326"/>
      <c r="D900" s="326"/>
      <c r="E900" s="326"/>
      <c r="F900" s="326"/>
      <c r="G900" s="326"/>
      <c r="H900" s="326"/>
      <c r="I900" s="326"/>
      <c r="J900" s="326"/>
      <c r="K900" s="326"/>
      <c r="L900" s="326"/>
      <c r="M900" s="326"/>
      <c r="N900" s="326"/>
      <c r="O900" s="326"/>
      <c r="P900" s="326"/>
      <c r="Q900" s="326"/>
      <c r="R900" s="326"/>
      <c r="S900" s="326"/>
      <c r="T900" s="326"/>
      <c r="U900" s="326"/>
      <c r="V900" s="326"/>
      <c r="W900" s="326"/>
      <c r="X900" s="326"/>
      <c r="Y900" s="326"/>
      <c r="Z900" s="326"/>
      <c r="AA900" s="326"/>
    </row>
    <row r="901" spans="1:27" ht="12.75">
      <c r="A901" s="326"/>
      <c r="B901" s="326"/>
      <c r="C901" s="326"/>
      <c r="D901" s="326"/>
      <c r="E901" s="326"/>
      <c r="F901" s="326"/>
      <c r="G901" s="326"/>
      <c r="H901" s="326"/>
      <c r="I901" s="326"/>
      <c r="J901" s="326"/>
      <c r="K901" s="326"/>
      <c r="L901" s="326"/>
      <c r="M901" s="326"/>
      <c r="N901" s="326"/>
      <c r="O901" s="326"/>
      <c r="P901" s="326"/>
      <c r="Q901" s="326"/>
      <c r="R901" s="326"/>
      <c r="S901" s="326"/>
      <c r="T901" s="326"/>
      <c r="U901" s="326"/>
      <c r="V901" s="326"/>
      <c r="W901" s="326"/>
      <c r="X901" s="326"/>
      <c r="Y901" s="326"/>
      <c r="Z901" s="326"/>
      <c r="AA901" s="326"/>
    </row>
    <row r="902" spans="1:27" ht="12.75">
      <c r="A902" s="326"/>
      <c r="B902" s="326"/>
      <c r="C902" s="326"/>
      <c r="D902" s="326"/>
      <c r="E902" s="326"/>
      <c r="F902" s="326"/>
      <c r="G902" s="326"/>
      <c r="H902" s="326"/>
      <c r="I902" s="326"/>
      <c r="J902" s="326"/>
      <c r="K902" s="326"/>
      <c r="L902" s="326"/>
      <c r="M902" s="326"/>
      <c r="N902" s="326"/>
      <c r="O902" s="326"/>
      <c r="P902" s="326"/>
      <c r="Q902" s="326"/>
      <c r="R902" s="326"/>
      <c r="S902" s="326"/>
      <c r="T902" s="326"/>
      <c r="U902" s="326"/>
      <c r="V902" s="326"/>
      <c r="W902" s="326"/>
      <c r="X902" s="326"/>
      <c r="Y902" s="326"/>
      <c r="Z902" s="326"/>
      <c r="AA902" s="326"/>
    </row>
    <row r="903" spans="1:27" ht="12.75">
      <c r="A903" s="326"/>
      <c r="B903" s="326"/>
      <c r="C903" s="326"/>
      <c r="D903" s="326"/>
      <c r="E903" s="326"/>
      <c r="F903" s="326"/>
      <c r="G903" s="326"/>
      <c r="H903" s="326"/>
      <c r="I903" s="326"/>
      <c r="J903" s="326"/>
      <c r="K903" s="326"/>
      <c r="L903" s="326"/>
      <c r="M903" s="326"/>
      <c r="N903" s="326"/>
      <c r="O903" s="326"/>
      <c r="P903" s="326"/>
      <c r="Q903" s="326"/>
      <c r="R903" s="326"/>
      <c r="S903" s="326"/>
      <c r="T903" s="326"/>
      <c r="U903" s="326"/>
      <c r="V903" s="326"/>
      <c r="W903" s="326"/>
      <c r="X903" s="326"/>
      <c r="Y903" s="326"/>
      <c r="Z903" s="326"/>
      <c r="AA903" s="326"/>
    </row>
    <row r="904" spans="1:27" ht="12.75">
      <c r="A904" s="326"/>
      <c r="B904" s="326"/>
      <c r="C904" s="326"/>
      <c r="D904" s="326"/>
      <c r="E904" s="326"/>
      <c r="F904" s="326"/>
      <c r="G904" s="326"/>
      <c r="H904" s="326"/>
      <c r="I904" s="326"/>
      <c r="J904" s="326"/>
      <c r="K904" s="326"/>
      <c r="L904" s="326"/>
      <c r="M904" s="326"/>
      <c r="N904" s="326"/>
      <c r="O904" s="326"/>
      <c r="P904" s="326"/>
      <c r="Q904" s="326"/>
      <c r="R904" s="326"/>
      <c r="S904" s="326"/>
      <c r="T904" s="326"/>
      <c r="U904" s="326"/>
      <c r="V904" s="326"/>
      <c r="W904" s="326"/>
      <c r="X904" s="326"/>
      <c r="Y904" s="326"/>
      <c r="Z904" s="326"/>
      <c r="AA904" s="326"/>
    </row>
    <row r="905" spans="1:27" ht="12.75">
      <c r="A905" s="326"/>
      <c r="B905" s="326"/>
      <c r="C905" s="326"/>
      <c r="D905" s="326"/>
      <c r="E905" s="326"/>
      <c r="F905" s="326"/>
      <c r="G905" s="326"/>
      <c r="H905" s="326"/>
      <c r="I905" s="326"/>
      <c r="J905" s="326"/>
      <c r="K905" s="326"/>
      <c r="L905" s="326"/>
      <c r="M905" s="326"/>
      <c r="N905" s="326"/>
      <c r="O905" s="326"/>
      <c r="P905" s="326"/>
      <c r="Q905" s="326"/>
      <c r="R905" s="326"/>
      <c r="S905" s="326"/>
      <c r="T905" s="326"/>
      <c r="U905" s="326"/>
      <c r="V905" s="326"/>
      <c r="W905" s="326"/>
      <c r="X905" s="326"/>
      <c r="Y905" s="326"/>
      <c r="Z905" s="326"/>
      <c r="AA905" s="326"/>
    </row>
    <row r="906" spans="1:27" ht="12.75">
      <c r="A906" s="326"/>
      <c r="B906" s="326"/>
      <c r="C906" s="326"/>
      <c r="D906" s="326"/>
      <c r="E906" s="326"/>
      <c r="F906" s="326"/>
      <c r="G906" s="326"/>
      <c r="H906" s="326"/>
      <c r="I906" s="326"/>
      <c r="J906" s="326"/>
      <c r="K906" s="326"/>
      <c r="L906" s="326"/>
      <c r="M906" s="326"/>
      <c r="N906" s="326"/>
      <c r="O906" s="326"/>
      <c r="P906" s="326"/>
      <c r="Q906" s="326"/>
      <c r="R906" s="326"/>
      <c r="S906" s="326"/>
      <c r="T906" s="326"/>
      <c r="U906" s="326"/>
      <c r="V906" s="326"/>
      <c r="W906" s="326"/>
      <c r="X906" s="326"/>
      <c r="Y906" s="326"/>
      <c r="Z906" s="326"/>
      <c r="AA906" s="326"/>
    </row>
    <row r="907" spans="1:27" ht="12.75">
      <c r="A907" s="326"/>
      <c r="B907" s="326"/>
      <c r="C907" s="326"/>
      <c r="D907" s="326"/>
      <c r="E907" s="326"/>
      <c r="F907" s="326"/>
      <c r="G907" s="326"/>
      <c r="H907" s="326"/>
      <c r="I907" s="326"/>
      <c r="J907" s="326"/>
      <c r="K907" s="326"/>
      <c r="L907" s="326"/>
      <c r="M907" s="326"/>
      <c r="N907" s="326"/>
      <c r="O907" s="326"/>
      <c r="P907" s="326"/>
      <c r="Q907" s="326"/>
      <c r="R907" s="326"/>
      <c r="S907" s="326"/>
      <c r="T907" s="326"/>
      <c r="U907" s="326"/>
      <c r="V907" s="326"/>
      <c r="W907" s="326"/>
      <c r="X907" s="326"/>
      <c r="Y907" s="326"/>
      <c r="Z907" s="326"/>
      <c r="AA907" s="326"/>
    </row>
    <row r="908" spans="1:27" ht="12.75">
      <c r="A908" s="326"/>
      <c r="B908" s="326"/>
      <c r="C908" s="326"/>
      <c r="D908" s="326"/>
      <c r="E908" s="326"/>
      <c r="F908" s="326"/>
      <c r="G908" s="326"/>
      <c r="H908" s="326"/>
      <c r="I908" s="326"/>
      <c r="J908" s="326"/>
      <c r="K908" s="326"/>
      <c r="L908" s="326"/>
      <c r="M908" s="326"/>
      <c r="N908" s="326"/>
      <c r="O908" s="326"/>
      <c r="P908" s="326"/>
      <c r="Q908" s="326"/>
      <c r="R908" s="326"/>
      <c r="S908" s="326"/>
      <c r="T908" s="326"/>
      <c r="U908" s="326"/>
      <c r="V908" s="326"/>
      <c r="W908" s="326"/>
      <c r="X908" s="326"/>
      <c r="Y908" s="326"/>
      <c r="Z908" s="326"/>
      <c r="AA908" s="326"/>
    </row>
    <row r="909" spans="1:27" ht="12.75">
      <c r="A909" s="326"/>
      <c r="B909" s="326"/>
      <c r="C909" s="326"/>
      <c r="D909" s="326"/>
      <c r="E909" s="326"/>
      <c r="F909" s="326"/>
      <c r="G909" s="326"/>
      <c r="H909" s="326"/>
      <c r="I909" s="326"/>
      <c r="J909" s="326"/>
      <c r="K909" s="326"/>
      <c r="L909" s="326"/>
      <c r="M909" s="326"/>
      <c r="N909" s="326"/>
      <c r="O909" s="326"/>
      <c r="P909" s="326"/>
      <c r="Q909" s="326"/>
      <c r="R909" s="326"/>
      <c r="S909" s="326"/>
      <c r="T909" s="326"/>
      <c r="U909" s="326"/>
      <c r="V909" s="326"/>
      <c r="W909" s="326"/>
      <c r="X909" s="326"/>
      <c r="Y909" s="326"/>
      <c r="Z909" s="326"/>
      <c r="AA909" s="326"/>
    </row>
    <row r="910" spans="1:27" ht="12.75">
      <c r="A910" s="326"/>
      <c r="B910" s="326"/>
      <c r="C910" s="326"/>
      <c r="D910" s="326"/>
      <c r="E910" s="326"/>
      <c r="F910" s="326"/>
      <c r="G910" s="326"/>
      <c r="H910" s="326"/>
      <c r="I910" s="326"/>
      <c r="J910" s="326"/>
      <c r="K910" s="326"/>
      <c r="L910" s="326"/>
      <c r="M910" s="326"/>
      <c r="N910" s="326"/>
      <c r="O910" s="326"/>
      <c r="P910" s="326"/>
      <c r="Q910" s="326"/>
      <c r="R910" s="326"/>
      <c r="S910" s="326"/>
      <c r="T910" s="326"/>
      <c r="U910" s="326"/>
      <c r="V910" s="326"/>
      <c r="W910" s="326"/>
      <c r="X910" s="326"/>
      <c r="Y910" s="326"/>
      <c r="Z910" s="326"/>
      <c r="AA910" s="326"/>
    </row>
    <row r="911" spans="1:27" ht="12.75">
      <c r="A911" s="326"/>
      <c r="B911" s="326"/>
      <c r="C911" s="326"/>
      <c r="D911" s="326"/>
      <c r="E911" s="326"/>
      <c r="F911" s="326"/>
      <c r="G911" s="326"/>
      <c r="H911" s="326"/>
      <c r="I911" s="326"/>
      <c r="J911" s="326"/>
      <c r="K911" s="326"/>
      <c r="L911" s="326"/>
      <c r="M911" s="326"/>
      <c r="N911" s="326"/>
      <c r="O911" s="326"/>
      <c r="P911" s="326"/>
      <c r="Q911" s="326"/>
      <c r="R911" s="326"/>
      <c r="S911" s="326"/>
      <c r="T911" s="326"/>
      <c r="U911" s="326"/>
      <c r="V911" s="326"/>
      <c r="W911" s="326"/>
      <c r="X911" s="326"/>
      <c r="Y911" s="326"/>
      <c r="Z911" s="326"/>
      <c r="AA911" s="326"/>
    </row>
    <row r="912" spans="1:27" ht="12.75">
      <c r="A912" s="326"/>
      <c r="B912" s="326"/>
      <c r="C912" s="326"/>
      <c r="D912" s="326"/>
      <c r="E912" s="326"/>
      <c r="F912" s="326"/>
      <c r="G912" s="326"/>
      <c r="H912" s="326"/>
      <c r="I912" s="326"/>
      <c r="J912" s="326"/>
      <c r="K912" s="326"/>
      <c r="L912" s="326"/>
      <c r="M912" s="326"/>
      <c r="N912" s="326"/>
      <c r="O912" s="326"/>
      <c r="P912" s="326"/>
      <c r="Q912" s="326"/>
      <c r="R912" s="326"/>
      <c r="S912" s="326"/>
      <c r="T912" s="326"/>
      <c r="U912" s="326"/>
      <c r="V912" s="326"/>
      <c r="W912" s="326"/>
      <c r="X912" s="326"/>
      <c r="Y912" s="326"/>
      <c r="Z912" s="326"/>
      <c r="AA912" s="326"/>
    </row>
    <row r="913" spans="1:27" ht="12.75">
      <c r="A913" s="326"/>
      <c r="B913" s="326"/>
      <c r="C913" s="326"/>
      <c r="D913" s="326"/>
      <c r="E913" s="326"/>
      <c r="F913" s="326"/>
      <c r="G913" s="326"/>
      <c r="H913" s="326"/>
      <c r="I913" s="326"/>
      <c r="J913" s="326"/>
      <c r="K913" s="326"/>
      <c r="L913" s="326"/>
      <c r="M913" s="326"/>
      <c r="N913" s="326"/>
      <c r="O913" s="326"/>
      <c r="P913" s="326"/>
      <c r="Q913" s="326"/>
      <c r="R913" s="326"/>
      <c r="S913" s="326"/>
      <c r="T913" s="326"/>
      <c r="U913" s="326"/>
      <c r="V913" s="326"/>
      <c r="W913" s="326"/>
      <c r="X913" s="326"/>
      <c r="Y913" s="326"/>
      <c r="Z913" s="326"/>
      <c r="AA913" s="326"/>
    </row>
    <row r="914" spans="1:27" ht="12.75">
      <c r="A914" s="326"/>
      <c r="B914" s="326"/>
      <c r="C914" s="326"/>
      <c r="D914" s="326"/>
      <c r="E914" s="326"/>
      <c r="F914" s="326"/>
      <c r="G914" s="326"/>
      <c r="H914" s="326"/>
      <c r="I914" s="326"/>
      <c r="J914" s="326"/>
      <c r="K914" s="326"/>
      <c r="L914" s="326"/>
      <c r="M914" s="326"/>
      <c r="N914" s="326"/>
      <c r="O914" s="326"/>
      <c r="P914" s="326"/>
      <c r="Q914" s="326"/>
      <c r="R914" s="326"/>
      <c r="S914" s="326"/>
      <c r="T914" s="326"/>
      <c r="U914" s="326"/>
      <c r="V914" s="326"/>
      <c r="W914" s="326"/>
      <c r="X914" s="326"/>
      <c r="Y914" s="326"/>
      <c r="Z914" s="326"/>
      <c r="AA914" s="326"/>
    </row>
    <row r="915" spans="1:27" ht="12.75">
      <c r="A915" s="326"/>
      <c r="B915" s="326"/>
      <c r="C915" s="326"/>
      <c r="D915" s="326"/>
      <c r="E915" s="326"/>
      <c r="F915" s="326"/>
      <c r="G915" s="326"/>
      <c r="H915" s="326"/>
      <c r="I915" s="326"/>
      <c r="J915" s="326"/>
      <c r="K915" s="326"/>
      <c r="L915" s="326"/>
      <c r="M915" s="326"/>
      <c r="N915" s="326"/>
      <c r="O915" s="326"/>
      <c r="P915" s="326"/>
      <c r="Q915" s="326"/>
      <c r="R915" s="326"/>
      <c r="S915" s="326"/>
      <c r="T915" s="326"/>
      <c r="U915" s="326"/>
      <c r="V915" s="326"/>
      <c r="W915" s="326"/>
      <c r="X915" s="326"/>
      <c r="Y915" s="326"/>
      <c r="Z915" s="326"/>
      <c r="AA915" s="326"/>
    </row>
    <row r="916" spans="1:27" ht="12.75">
      <c r="A916" s="326"/>
      <c r="B916" s="326"/>
      <c r="C916" s="326"/>
      <c r="D916" s="326"/>
      <c r="E916" s="326"/>
      <c r="F916" s="326"/>
      <c r="G916" s="326"/>
      <c r="H916" s="326"/>
      <c r="I916" s="326"/>
      <c r="J916" s="326"/>
      <c r="K916" s="326"/>
      <c r="L916" s="326"/>
      <c r="M916" s="326"/>
      <c r="N916" s="326"/>
      <c r="O916" s="326"/>
      <c r="P916" s="326"/>
      <c r="Q916" s="326"/>
      <c r="R916" s="326"/>
      <c r="S916" s="326"/>
      <c r="T916" s="326"/>
      <c r="U916" s="326"/>
      <c r="V916" s="326"/>
      <c r="W916" s="326"/>
      <c r="X916" s="326"/>
      <c r="Y916" s="326"/>
      <c r="Z916" s="326"/>
      <c r="AA916" s="326"/>
    </row>
    <row r="917" spans="1:27" ht="12.75">
      <c r="A917" s="326"/>
      <c r="B917" s="326"/>
      <c r="C917" s="326"/>
      <c r="D917" s="326"/>
      <c r="E917" s="326"/>
      <c r="F917" s="326"/>
      <c r="G917" s="326"/>
      <c r="H917" s="326"/>
      <c r="I917" s="326"/>
      <c r="J917" s="326"/>
      <c r="K917" s="326"/>
      <c r="L917" s="326"/>
      <c r="M917" s="326"/>
      <c r="N917" s="326"/>
      <c r="O917" s="326"/>
      <c r="P917" s="326"/>
      <c r="Q917" s="326"/>
      <c r="R917" s="326"/>
      <c r="S917" s="326"/>
      <c r="T917" s="326"/>
      <c r="U917" s="326"/>
      <c r="V917" s="326"/>
      <c r="W917" s="326"/>
      <c r="X917" s="326"/>
      <c r="Y917" s="326"/>
      <c r="Z917" s="326"/>
      <c r="AA917" s="326"/>
    </row>
    <row r="918" spans="1:27" ht="12.75">
      <c r="A918" s="326"/>
      <c r="B918" s="326"/>
      <c r="C918" s="326"/>
      <c r="D918" s="326"/>
      <c r="E918" s="326"/>
      <c r="F918" s="326"/>
      <c r="G918" s="326"/>
      <c r="H918" s="326"/>
      <c r="I918" s="326"/>
      <c r="J918" s="326"/>
      <c r="K918" s="326"/>
      <c r="L918" s="326"/>
      <c r="M918" s="326"/>
      <c r="N918" s="326"/>
      <c r="O918" s="326"/>
      <c r="P918" s="326"/>
      <c r="Q918" s="326"/>
      <c r="R918" s="326"/>
      <c r="S918" s="326"/>
      <c r="T918" s="326"/>
      <c r="U918" s="326"/>
      <c r="V918" s="326"/>
      <c r="W918" s="326"/>
      <c r="X918" s="326"/>
      <c r="Y918" s="326"/>
      <c r="Z918" s="326"/>
      <c r="AA918" s="326"/>
    </row>
    <row r="919" spans="1:27" ht="12.75">
      <c r="A919" s="326"/>
      <c r="B919" s="326"/>
      <c r="C919" s="326"/>
      <c r="D919" s="326"/>
      <c r="E919" s="326"/>
      <c r="F919" s="326"/>
      <c r="G919" s="326"/>
      <c r="H919" s="326"/>
      <c r="I919" s="326"/>
      <c r="J919" s="326"/>
      <c r="K919" s="326"/>
      <c r="L919" s="326"/>
      <c r="M919" s="326"/>
      <c r="N919" s="326"/>
      <c r="O919" s="326"/>
      <c r="P919" s="326"/>
      <c r="Q919" s="326"/>
      <c r="R919" s="326"/>
      <c r="S919" s="326"/>
      <c r="T919" s="326"/>
      <c r="U919" s="326"/>
      <c r="V919" s="326"/>
      <c r="W919" s="326"/>
      <c r="X919" s="326"/>
      <c r="Y919" s="326"/>
      <c r="Z919" s="326"/>
      <c r="AA919" s="326"/>
    </row>
    <row r="920" spans="1:27" ht="12.75">
      <c r="A920" s="326"/>
      <c r="B920" s="326"/>
      <c r="C920" s="326"/>
      <c r="D920" s="326"/>
      <c r="E920" s="326"/>
      <c r="F920" s="326"/>
      <c r="G920" s="326"/>
      <c r="H920" s="326"/>
      <c r="I920" s="326"/>
      <c r="J920" s="326"/>
      <c r="K920" s="326"/>
      <c r="L920" s="326"/>
      <c r="M920" s="326"/>
      <c r="N920" s="326"/>
      <c r="O920" s="326"/>
      <c r="P920" s="326"/>
      <c r="Q920" s="326"/>
      <c r="R920" s="326"/>
      <c r="S920" s="326"/>
      <c r="T920" s="326"/>
      <c r="U920" s="326"/>
      <c r="V920" s="326"/>
      <c r="W920" s="326"/>
      <c r="X920" s="326"/>
      <c r="Y920" s="326"/>
      <c r="Z920" s="326"/>
      <c r="AA920" s="326"/>
    </row>
    <row r="921" spans="1:27" ht="12.75">
      <c r="A921" s="326"/>
      <c r="B921" s="326"/>
      <c r="C921" s="326"/>
      <c r="D921" s="326"/>
      <c r="E921" s="326"/>
      <c r="F921" s="326"/>
      <c r="G921" s="326"/>
      <c r="H921" s="326"/>
      <c r="I921" s="326"/>
      <c r="J921" s="326"/>
      <c r="K921" s="326"/>
      <c r="L921" s="326"/>
      <c r="M921" s="326"/>
      <c r="N921" s="326"/>
      <c r="O921" s="326"/>
      <c r="P921" s="326"/>
      <c r="Q921" s="326"/>
      <c r="R921" s="326"/>
      <c r="S921" s="326"/>
      <c r="T921" s="326"/>
      <c r="U921" s="326"/>
      <c r="V921" s="326"/>
      <c r="W921" s="326"/>
      <c r="X921" s="326"/>
      <c r="Y921" s="326"/>
      <c r="Z921" s="326"/>
      <c r="AA921" s="326"/>
    </row>
    <row r="922" spans="1:27" ht="12.75">
      <c r="A922" s="326"/>
      <c r="B922" s="326"/>
      <c r="C922" s="326"/>
      <c r="D922" s="326"/>
      <c r="E922" s="326"/>
      <c r="F922" s="326"/>
      <c r="G922" s="326"/>
      <c r="H922" s="326"/>
      <c r="I922" s="326"/>
      <c r="J922" s="326"/>
      <c r="K922" s="326"/>
      <c r="L922" s="326"/>
      <c r="M922" s="326"/>
      <c r="N922" s="326"/>
      <c r="O922" s="326"/>
      <c r="P922" s="326"/>
      <c r="Q922" s="326"/>
      <c r="R922" s="326"/>
      <c r="S922" s="326"/>
      <c r="T922" s="326"/>
      <c r="U922" s="326"/>
      <c r="V922" s="326"/>
      <c r="W922" s="326"/>
      <c r="X922" s="326"/>
      <c r="Y922" s="326"/>
      <c r="Z922" s="326"/>
      <c r="AA922" s="326"/>
    </row>
    <row r="923" spans="1:27" ht="12.75">
      <c r="A923" s="326"/>
      <c r="B923" s="326"/>
      <c r="C923" s="326"/>
      <c r="D923" s="326"/>
      <c r="E923" s="326"/>
      <c r="F923" s="326"/>
      <c r="G923" s="326"/>
      <c r="H923" s="326"/>
      <c r="I923" s="326"/>
      <c r="J923" s="326"/>
      <c r="K923" s="326"/>
      <c r="L923" s="326"/>
      <c r="M923" s="326"/>
      <c r="N923" s="326"/>
      <c r="O923" s="326"/>
      <c r="P923" s="326"/>
      <c r="Q923" s="326"/>
      <c r="R923" s="326"/>
      <c r="S923" s="326"/>
      <c r="T923" s="326"/>
      <c r="U923" s="326"/>
      <c r="V923" s="326"/>
      <c r="W923" s="326"/>
      <c r="X923" s="326"/>
      <c r="Y923" s="326"/>
      <c r="Z923" s="326"/>
      <c r="AA923" s="326"/>
    </row>
    <row r="924" spans="1:27" ht="12.75">
      <c r="A924" s="326"/>
      <c r="B924" s="326"/>
      <c r="C924" s="326"/>
      <c r="D924" s="326"/>
      <c r="E924" s="326"/>
      <c r="F924" s="326"/>
      <c r="G924" s="326"/>
      <c r="H924" s="326"/>
      <c r="I924" s="326"/>
      <c r="J924" s="326"/>
      <c r="K924" s="326"/>
      <c r="L924" s="326"/>
      <c r="M924" s="326"/>
      <c r="N924" s="326"/>
      <c r="O924" s="326"/>
      <c r="P924" s="326"/>
      <c r="Q924" s="326"/>
      <c r="R924" s="326"/>
      <c r="S924" s="326"/>
      <c r="T924" s="326"/>
      <c r="U924" s="326"/>
      <c r="V924" s="326"/>
      <c r="W924" s="326"/>
      <c r="X924" s="326"/>
      <c r="Y924" s="326"/>
      <c r="Z924" s="326"/>
      <c r="AA924" s="326"/>
    </row>
    <row r="925" spans="1:27" ht="12.75">
      <c r="A925" s="326"/>
      <c r="B925" s="326"/>
      <c r="C925" s="326"/>
      <c r="D925" s="326"/>
      <c r="E925" s="326"/>
      <c r="F925" s="326"/>
      <c r="G925" s="326"/>
      <c r="H925" s="326"/>
      <c r="I925" s="326"/>
      <c r="J925" s="326"/>
      <c r="K925" s="326"/>
      <c r="L925" s="326"/>
      <c r="M925" s="326"/>
      <c r="N925" s="326"/>
      <c r="O925" s="326"/>
      <c r="P925" s="326"/>
      <c r="Q925" s="326"/>
      <c r="R925" s="326"/>
      <c r="S925" s="326"/>
      <c r="T925" s="326"/>
      <c r="U925" s="326"/>
      <c r="V925" s="326"/>
      <c r="W925" s="326"/>
      <c r="X925" s="326"/>
      <c r="Y925" s="326"/>
      <c r="Z925" s="326"/>
      <c r="AA925" s="326"/>
    </row>
    <row r="926" spans="1:27" ht="12.75">
      <c r="A926" s="326"/>
      <c r="B926" s="326"/>
      <c r="C926" s="326"/>
      <c r="D926" s="326"/>
      <c r="E926" s="326"/>
      <c r="F926" s="326"/>
      <c r="G926" s="326"/>
      <c r="H926" s="326"/>
      <c r="I926" s="326"/>
      <c r="J926" s="326"/>
      <c r="K926" s="326"/>
      <c r="L926" s="326"/>
      <c r="M926" s="326"/>
      <c r="N926" s="326"/>
      <c r="O926" s="326"/>
      <c r="P926" s="326"/>
      <c r="Q926" s="326"/>
      <c r="R926" s="326"/>
      <c r="S926" s="326"/>
      <c r="T926" s="326"/>
      <c r="U926" s="326"/>
      <c r="V926" s="326"/>
      <c r="W926" s="326"/>
      <c r="X926" s="326"/>
      <c r="Y926" s="326"/>
      <c r="Z926" s="326"/>
      <c r="AA926" s="326"/>
    </row>
    <row r="927" spans="1:27" ht="12.75">
      <c r="A927" s="326"/>
      <c r="B927" s="326"/>
      <c r="C927" s="326"/>
      <c r="D927" s="326"/>
      <c r="E927" s="326"/>
      <c r="F927" s="326"/>
      <c r="G927" s="326"/>
      <c r="H927" s="326"/>
      <c r="I927" s="326"/>
      <c r="J927" s="326"/>
      <c r="K927" s="326"/>
      <c r="L927" s="326"/>
      <c r="M927" s="326"/>
      <c r="N927" s="326"/>
      <c r="O927" s="326"/>
      <c r="P927" s="326"/>
      <c r="Q927" s="326"/>
      <c r="R927" s="326"/>
      <c r="S927" s="326"/>
      <c r="T927" s="326"/>
      <c r="U927" s="326"/>
      <c r="V927" s="326"/>
      <c r="W927" s="326"/>
      <c r="X927" s="326"/>
      <c r="Y927" s="326"/>
      <c r="Z927" s="326"/>
      <c r="AA927" s="326"/>
    </row>
    <row r="928" spans="1:27" ht="12.75">
      <c r="A928" s="326"/>
      <c r="B928" s="326"/>
      <c r="C928" s="326"/>
      <c r="D928" s="326"/>
      <c r="E928" s="326"/>
      <c r="F928" s="326"/>
      <c r="G928" s="326"/>
      <c r="H928" s="326"/>
      <c r="I928" s="326"/>
      <c r="J928" s="326"/>
      <c r="K928" s="326"/>
      <c r="L928" s="326"/>
      <c r="M928" s="326"/>
      <c r="N928" s="326"/>
      <c r="O928" s="326"/>
      <c r="P928" s="326"/>
      <c r="Q928" s="326"/>
      <c r="R928" s="326"/>
      <c r="S928" s="326"/>
      <c r="T928" s="326"/>
      <c r="U928" s="326"/>
      <c r="V928" s="326"/>
      <c r="W928" s="326"/>
      <c r="X928" s="326"/>
      <c r="Y928" s="326"/>
      <c r="Z928" s="326"/>
      <c r="AA928" s="326"/>
    </row>
    <row r="929" spans="1:27" ht="12.75">
      <c r="A929" s="326"/>
      <c r="B929" s="326"/>
      <c r="C929" s="326"/>
      <c r="D929" s="326"/>
      <c r="E929" s="326"/>
      <c r="F929" s="326"/>
      <c r="G929" s="326"/>
      <c r="H929" s="326"/>
      <c r="I929" s="326"/>
      <c r="J929" s="326"/>
      <c r="K929" s="326"/>
      <c r="L929" s="326"/>
      <c r="M929" s="326"/>
      <c r="N929" s="326"/>
      <c r="O929" s="326"/>
      <c r="P929" s="326"/>
      <c r="Q929" s="326"/>
      <c r="R929" s="326"/>
      <c r="S929" s="326"/>
      <c r="T929" s="326"/>
      <c r="U929" s="326"/>
      <c r="V929" s="326"/>
      <c r="W929" s="326"/>
      <c r="X929" s="326"/>
      <c r="Y929" s="326"/>
      <c r="Z929" s="326"/>
      <c r="AA929" s="326"/>
    </row>
    <row r="930" spans="1:27" ht="12.75">
      <c r="A930" s="326"/>
      <c r="B930" s="326"/>
      <c r="C930" s="326"/>
      <c r="D930" s="326"/>
      <c r="E930" s="326"/>
      <c r="F930" s="326"/>
      <c r="G930" s="326"/>
      <c r="H930" s="326"/>
      <c r="I930" s="326"/>
      <c r="J930" s="326"/>
      <c r="K930" s="326"/>
      <c r="L930" s="326"/>
      <c r="M930" s="326"/>
      <c r="N930" s="326"/>
      <c r="O930" s="326"/>
      <c r="P930" s="326"/>
      <c r="Q930" s="326"/>
      <c r="R930" s="326"/>
      <c r="S930" s="326"/>
      <c r="T930" s="326"/>
      <c r="U930" s="326"/>
      <c r="V930" s="326"/>
      <c r="W930" s="326"/>
      <c r="X930" s="326"/>
      <c r="Y930" s="326"/>
      <c r="Z930" s="326"/>
      <c r="AA930" s="326"/>
    </row>
    <row r="931" spans="1:27" ht="12.75">
      <c r="A931" s="326"/>
      <c r="B931" s="326"/>
      <c r="C931" s="326"/>
      <c r="D931" s="326"/>
      <c r="E931" s="326"/>
      <c r="F931" s="326"/>
      <c r="G931" s="326"/>
      <c r="H931" s="326"/>
      <c r="I931" s="326"/>
      <c r="J931" s="326"/>
      <c r="K931" s="326"/>
      <c r="L931" s="326"/>
      <c r="M931" s="326"/>
      <c r="N931" s="326"/>
      <c r="O931" s="326"/>
      <c r="P931" s="326"/>
      <c r="Q931" s="326"/>
      <c r="R931" s="326"/>
      <c r="S931" s="326"/>
      <c r="T931" s="326"/>
      <c r="U931" s="326"/>
      <c r="V931" s="326"/>
      <c r="W931" s="326"/>
      <c r="X931" s="326"/>
      <c r="Y931" s="326"/>
      <c r="Z931" s="326"/>
      <c r="AA931" s="326"/>
    </row>
    <row r="932" spans="1:27" ht="12.75">
      <c r="A932" s="326"/>
      <c r="B932" s="326"/>
      <c r="C932" s="326"/>
      <c r="D932" s="326"/>
      <c r="E932" s="326"/>
      <c r="F932" s="326"/>
      <c r="G932" s="326"/>
      <c r="H932" s="326"/>
      <c r="I932" s="326"/>
      <c r="J932" s="326"/>
      <c r="K932" s="326"/>
      <c r="L932" s="326"/>
      <c r="M932" s="326"/>
      <c r="N932" s="326"/>
      <c r="O932" s="326"/>
      <c r="P932" s="326"/>
      <c r="Q932" s="326"/>
      <c r="R932" s="326"/>
      <c r="S932" s="326"/>
      <c r="T932" s="326"/>
      <c r="U932" s="326"/>
      <c r="V932" s="326"/>
      <c r="W932" s="326"/>
      <c r="X932" s="326"/>
      <c r="Y932" s="326"/>
      <c r="Z932" s="326"/>
      <c r="AA932" s="326"/>
    </row>
    <row r="933" spans="1:27" ht="12.75">
      <c r="A933" s="326"/>
      <c r="B933" s="326"/>
      <c r="C933" s="326"/>
      <c r="D933" s="326"/>
      <c r="E933" s="326"/>
      <c r="F933" s="326"/>
      <c r="G933" s="326"/>
      <c r="H933" s="326"/>
      <c r="I933" s="326"/>
      <c r="J933" s="326"/>
      <c r="K933" s="326"/>
      <c r="L933" s="326"/>
      <c r="M933" s="326"/>
      <c r="N933" s="326"/>
      <c r="O933" s="326"/>
      <c r="P933" s="326"/>
      <c r="Q933" s="326"/>
      <c r="R933" s="326"/>
      <c r="S933" s="326"/>
      <c r="T933" s="326"/>
      <c r="U933" s="326"/>
      <c r="V933" s="326"/>
      <c r="W933" s="326"/>
      <c r="X933" s="326"/>
      <c r="Y933" s="326"/>
      <c r="Z933" s="326"/>
      <c r="AA933" s="326"/>
    </row>
    <row r="934" spans="1:27" ht="12.75">
      <c r="A934" s="326"/>
      <c r="B934" s="326"/>
      <c r="C934" s="326"/>
      <c r="D934" s="326"/>
      <c r="E934" s="326"/>
      <c r="F934" s="326"/>
      <c r="G934" s="326"/>
      <c r="H934" s="326"/>
      <c r="I934" s="326"/>
      <c r="J934" s="326"/>
      <c r="K934" s="326"/>
      <c r="L934" s="326"/>
      <c r="M934" s="326"/>
      <c r="N934" s="326"/>
      <c r="O934" s="326"/>
      <c r="P934" s="326"/>
      <c r="Q934" s="326"/>
      <c r="R934" s="326"/>
      <c r="S934" s="326"/>
      <c r="T934" s="326"/>
      <c r="U934" s="326"/>
      <c r="V934" s="326"/>
      <c r="W934" s="326"/>
      <c r="X934" s="326"/>
      <c r="Y934" s="326"/>
      <c r="Z934" s="326"/>
      <c r="AA934" s="326"/>
    </row>
    <row r="935" spans="1:27" ht="12.75">
      <c r="A935" s="326"/>
      <c r="B935" s="326"/>
      <c r="C935" s="326"/>
      <c r="D935" s="326"/>
      <c r="E935" s="326"/>
      <c r="F935" s="326"/>
      <c r="G935" s="326"/>
      <c r="H935" s="326"/>
      <c r="I935" s="326"/>
      <c r="J935" s="326"/>
      <c r="K935" s="326"/>
      <c r="L935" s="326"/>
      <c r="M935" s="326"/>
      <c r="N935" s="326"/>
      <c r="O935" s="326"/>
      <c r="P935" s="326"/>
      <c r="Q935" s="326"/>
      <c r="R935" s="326"/>
      <c r="S935" s="326"/>
      <c r="T935" s="326"/>
      <c r="U935" s="326"/>
      <c r="V935" s="326"/>
      <c r="W935" s="326"/>
      <c r="X935" s="326"/>
      <c r="Y935" s="326"/>
      <c r="Z935" s="326"/>
      <c r="AA935" s="326"/>
    </row>
    <row r="936" spans="1:27" ht="12.75">
      <c r="A936" s="326"/>
      <c r="B936" s="326"/>
      <c r="C936" s="326"/>
      <c r="D936" s="326"/>
      <c r="E936" s="326"/>
      <c r="F936" s="326"/>
      <c r="G936" s="326"/>
      <c r="H936" s="326"/>
      <c r="I936" s="326"/>
      <c r="J936" s="326"/>
      <c r="K936" s="326"/>
      <c r="L936" s="326"/>
      <c r="M936" s="326"/>
      <c r="N936" s="326"/>
      <c r="O936" s="326"/>
      <c r="P936" s="326"/>
      <c r="Q936" s="326"/>
      <c r="R936" s="326"/>
      <c r="S936" s="326"/>
      <c r="T936" s="326"/>
      <c r="U936" s="326"/>
      <c r="V936" s="326"/>
      <c r="W936" s="326"/>
      <c r="X936" s="326"/>
      <c r="Y936" s="326"/>
      <c r="Z936" s="326"/>
      <c r="AA936" s="326"/>
    </row>
    <row r="937" spans="1:27" ht="12.75">
      <c r="A937" s="326"/>
      <c r="B937" s="326"/>
      <c r="C937" s="326"/>
      <c r="D937" s="326"/>
      <c r="E937" s="326"/>
      <c r="F937" s="326"/>
      <c r="G937" s="326"/>
      <c r="H937" s="326"/>
      <c r="I937" s="326"/>
      <c r="J937" s="326"/>
      <c r="K937" s="326"/>
      <c r="L937" s="326"/>
      <c r="M937" s="326"/>
      <c r="N937" s="326"/>
      <c r="O937" s="326"/>
      <c r="P937" s="326"/>
      <c r="Q937" s="326"/>
      <c r="R937" s="326"/>
      <c r="S937" s="326"/>
      <c r="T937" s="326"/>
      <c r="U937" s="326"/>
      <c r="V937" s="326"/>
      <c r="W937" s="326"/>
      <c r="X937" s="326"/>
      <c r="Y937" s="326"/>
      <c r="Z937" s="326"/>
      <c r="AA937" s="326"/>
    </row>
    <row r="938" spans="1:27" ht="12.75">
      <c r="A938" s="326"/>
      <c r="B938" s="326"/>
      <c r="C938" s="326"/>
      <c r="D938" s="326"/>
      <c r="E938" s="326"/>
      <c r="F938" s="326"/>
      <c r="G938" s="326"/>
      <c r="H938" s="326"/>
      <c r="I938" s="326"/>
      <c r="J938" s="326"/>
      <c r="K938" s="326"/>
      <c r="L938" s="326"/>
      <c r="M938" s="326"/>
      <c r="N938" s="326"/>
      <c r="O938" s="326"/>
      <c r="P938" s="326"/>
      <c r="Q938" s="326"/>
      <c r="R938" s="326"/>
      <c r="S938" s="326"/>
      <c r="T938" s="326"/>
      <c r="U938" s="326"/>
      <c r="V938" s="326"/>
      <c r="W938" s="326"/>
      <c r="X938" s="326"/>
      <c r="Y938" s="326"/>
      <c r="Z938" s="326"/>
      <c r="AA938" s="326"/>
    </row>
    <row r="939" spans="1:27" ht="12.75">
      <c r="A939" s="326"/>
      <c r="B939" s="326"/>
      <c r="C939" s="326"/>
      <c r="D939" s="326"/>
      <c r="E939" s="326"/>
      <c r="F939" s="326"/>
      <c r="G939" s="326"/>
      <c r="H939" s="326"/>
      <c r="I939" s="326"/>
      <c r="J939" s="326"/>
      <c r="K939" s="326"/>
      <c r="L939" s="326"/>
      <c r="M939" s="326"/>
      <c r="N939" s="326"/>
      <c r="O939" s="326"/>
      <c r="P939" s="326"/>
      <c r="Q939" s="326"/>
      <c r="R939" s="326"/>
      <c r="S939" s="326"/>
      <c r="T939" s="326"/>
      <c r="U939" s="326"/>
      <c r="V939" s="326"/>
      <c r="W939" s="326"/>
      <c r="X939" s="326"/>
      <c r="Y939" s="326"/>
      <c r="Z939" s="326"/>
      <c r="AA939" s="326"/>
    </row>
    <row r="940" spans="1:27" ht="12.75">
      <c r="A940" s="326"/>
      <c r="B940" s="326"/>
      <c r="C940" s="326"/>
      <c r="D940" s="326"/>
      <c r="E940" s="326"/>
      <c r="F940" s="326"/>
      <c r="G940" s="326"/>
      <c r="H940" s="326"/>
      <c r="I940" s="326"/>
      <c r="J940" s="326"/>
      <c r="K940" s="326"/>
      <c r="L940" s="326"/>
      <c r="M940" s="326"/>
      <c r="N940" s="326"/>
      <c r="O940" s="326"/>
      <c r="P940" s="326"/>
      <c r="Q940" s="326"/>
      <c r="R940" s="326"/>
      <c r="S940" s="326"/>
      <c r="T940" s="326"/>
      <c r="U940" s="326"/>
      <c r="V940" s="326"/>
      <c r="W940" s="326"/>
      <c r="X940" s="326"/>
      <c r="Y940" s="326"/>
      <c r="Z940" s="326"/>
      <c r="AA940" s="326"/>
    </row>
    <row r="941" spans="1:27" ht="12.75">
      <c r="A941" s="326"/>
      <c r="B941" s="326"/>
      <c r="C941" s="326"/>
      <c r="D941" s="326"/>
      <c r="E941" s="326"/>
      <c r="F941" s="326"/>
      <c r="G941" s="326"/>
      <c r="H941" s="326"/>
      <c r="I941" s="326"/>
      <c r="J941" s="326"/>
      <c r="K941" s="326"/>
      <c r="L941" s="326"/>
      <c r="M941" s="326"/>
      <c r="N941" s="326"/>
      <c r="O941" s="326"/>
      <c r="P941" s="326"/>
      <c r="Q941" s="326"/>
      <c r="R941" s="326"/>
      <c r="S941" s="326"/>
      <c r="T941" s="326"/>
      <c r="U941" s="326"/>
      <c r="V941" s="326"/>
      <c r="W941" s="326"/>
      <c r="X941" s="326"/>
      <c r="Y941" s="326"/>
      <c r="Z941" s="326"/>
      <c r="AA941" s="326"/>
    </row>
    <row r="942" spans="1:27" ht="12.75">
      <c r="A942" s="326"/>
      <c r="B942" s="326"/>
      <c r="C942" s="326"/>
      <c r="D942" s="326"/>
      <c r="E942" s="326"/>
      <c r="F942" s="326"/>
      <c r="G942" s="326"/>
      <c r="H942" s="326"/>
      <c r="I942" s="326"/>
      <c r="J942" s="326"/>
      <c r="K942" s="326"/>
      <c r="L942" s="326"/>
      <c r="M942" s="326"/>
      <c r="N942" s="326"/>
      <c r="O942" s="326"/>
      <c r="P942" s="326"/>
      <c r="Q942" s="326"/>
      <c r="R942" s="326"/>
      <c r="S942" s="326"/>
      <c r="T942" s="326"/>
      <c r="U942" s="326"/>
      <c r="V942" s="326"/>
      <c r="W942" s="326"/>
      <c r="X942" s="326"/>
      <c r="Y942" s="326"/>
      <c r="Z942" s="326"/>
      <c r="AA942" s="326"/>
    </row>
    <row r="943" spans="1:27" ht="12.75">
      <c r="A943" s="326"/>
      <c r="B943" s="326"/>
      <c r="C943" s="326"/>
      <c r="D943" s="326"/>
      <c r="E943" s="326"/>
      <c r="F943" s="326"/>
      <c r="G943" s="326"/>
      <c r="H943" s="326"/>
      <c r="I943" s="326"/>
      <c r="J943" s="326"/>
      <c r="K943" s="326"/>
      <c r="L943" s="326"/>
      <c r="M943" s="326"/>
      <c r="N943" s="326"/>
      <c r="O943" s="326"/>
      <c r="P943" s="326"/>
      <c r="Q943" s="326"/>
      <c r="R943" s="326"/>
      <c r="S943" s="326"/>
      <c r="T943" s="326"/>
      <c r="U943" s="326"/>
      <c r="V943" s="326"/>
      <c r="W943" s="326"/>
      <c r="X943" s="326"/>
      <c r="Y943" s="326"/>
      <c r="Z943" s="326"/>
      <c r="AA943" s="326"/>
    </row>
    <row r="944" spans="1:27" ht="12.75">
      <c r="A944" s="326"/>
      <c r="B944" s="326"/>
      <c r="C944" s="326"/>
      <c r="D944" s="326"/>
      <c r="E944" s="326"/>
      <c r="F944" s="326"/>
      <c r="G944" s="326"/>
      <c r="H944" s="326"/>
      <c r="I944" s="326"/>
      <c r="J944" s="326"/>
      <c r="K944" s="326"/>
      <c r="L944" s="326"/>
      <c r="M944" s="326"/>
      <c r="N944" s="326"/>
      <c r="O944" s="326"/>
      <c r="P944" s="326"/>
      <c r="Q944" s="326"/>
      <c r="R944" s="326"/>
      <c r="S944" s="326"/>
      <c r="T944" s="326"/>
      <c r="U944" s="326"/>
      <c r="V944" s="326"/>
      <c r="W944" s="326"/>
      <c r="X944" s="326"/>
      <c r="Y944" s="326"/>
      <c r="Z944" s="326"/>
      <c r="AA944" s="326"/>
    </row>
    <row r="945" spans="1:27" ht="12.75">
      <c r="A945" s="326"/>
      <c r="B945" s="326"/>
      <c r="C945" s="326"/>
      <c r="D945" s="326"/>
      <c r="E945" s="326"/>
      <c r="F945" s="326"/>
      <c r="G945" s="326"/>
      <c r="H945" s="326"/>
      <c r="I945" s="326"/>
      <c r="J945" s="326"/>
      <c r="K945" s="326"/>
      <c r="L945" s="326"/>
      <c r="M945" s="326"/>
      <c r="N945" s="326"/>
      <c r="O945" s="326"/>
      <c r="P945" s="326"/>
      <c r="Q945" s="326"/>
      <c r="R945" s="326"/>
      <c r="S945" s="326"/>
      <c r="T945" s="326"/>
      <c r="U945" s="326"/>
      <c r="V945" s="326"/>
      <c r="W945" s="326"/>
      <c r="X945" s="326"/>
      <c r="Y945" s="326"/>
      <c r="Z945" s="326"/>
      <c r="AA945" s="326"/>
    </row>
    <row r="946" spans="1:27" ht="12.75">
      <c r="A946" s="326"/>
      <c r="B946" s="326"/>
      <c r="C946" s="326"/>
      <c r="D946" s="326"/>
      <c r="E946" s="326"/>
      <c r="F946" s="326"/>
      <c r="G946" s="326"/>
      <c r="H946" s="326"/>
      <c r="I946" s="326"/>
      <c r="J946" s="326"/>
      <c r="K946" s="326"/>
      <c r="L946" s="326"/>
      <c r="M946" s="326"/>
      <c r="N946" s="326"/>
      <c r="O946" s="326"/>
      <c r="P946" s="326"/>
      <c r="Q946" s="326"/>
      <c r="R946" s="326"/>
      <c r="S946" s="326"/>
      <c r="T946" s="326"/>
      <c r="U946" s="326"/>
      <c r="V946" s="326"/>
      <c r="W946" s="326"/>
      <c r="X946" s="326"/>
      <c r="Y946" s="326"/>
      <c r="Z946" s="326"/>
      <c r="AA946" s="326"/>
    </row>
    <row r="947" spans="1:27" ht="12.75">
      <c r="A947" s="326"/>
      <c r="B947" s="326"/>
      <c r="C947" s="326"/>
      <c r="D947" s="326"/>
      <c r="E947" s="326"/>
      <c r="F947" s="326"/>
      <c r="G947" s="326"/>
      <c r="H947" s="326"/>
      <c r="I947" s="326"/>
      <c r="J947" s="326"/>
      <c r="K947" s="326"/>
      <c r="L947" s="326"/>
      <c r="M947" s="326"/>
      <c r="N947" s="326"/>
      <c r="O947" s="326"/>
      <c r="P947" s="326"/>
      <c r="Q947" s="326"/>
      <c r="R947" s="326"/>
      <c r="S947" s="326"/>
      <c r="T947" s="326"/>
      <c r="U947" s="326"/>
      <c r="V947" s="326"/>
      <c r="W947" s="326"/>
      <c r="X947" s="326"/>
      <c r="Y947" s="326"/>
      <c r="Z947" s="326"/>
      <c r="AA947" s="326"/>
    </row>
    <row r="948" spans="1:27" ht="12.75">
      <c r="A948" s="326"/>
      <c r="B948" s="326"/>
      <c r="C948" s="326"/>
      <c r="D948" s="326"/>
      <c r="E948" s="326"/>
      <c r="F948" s="326"/>
      <c r="G948" s="326"/>
      <c r="H948" s="326"/>
      <c r="I948" s="326"/>
      <c r="J948" s="326"/>
      <c r="K948" s="326"/>
      <c r="L948" s="326"/>
      <c r="M948" s="326"/>
      <c r="N948" s="326"/>
      <c r="O948" s="326"/>
      <c r="P948" s="326"/>
      <c r="Q948" s="326"/>
      <c r="R948" s="326"/>
      <c r="S948" s="326"/>
      <c r="T948" s="326"/>
      <c r="U948" s="326"/>
      <c r="V948" s="326"/>
      <c r="W948" s="326"/>
      <c r="X948" s="326"/>
      <c r="Y948" s="326"/>
      <c r="Z948" s="326"/>
      <c r="AA948" s="326"/>
    </row>
    <row r="949" spans="1:27" ht="12.75">
      <c r="A949" s="326"/>
      <c r="B949" s="326"/>
      <c r="C949" s="326"/>
      <c r="D949" s="326"/>
      <c r="E949" s="326"/>
      <c r="F949" s="326"/>
      <c r="G949" s="326"/>
      <c r="H949" s="326"/>
      <c r="I949" s="326"/>
      <c r="J949" s="326"/>
      <c r="K949" s="326"/>
      <c r="L949" s="326"/>
      <c r="M949" s="326"/>
      <c r="N949" s="326"/>
      <c r="O949" s="326"/>
      <c r="P949" s="326"/>
      <c r="Q949" s="326"/>
      <c r="R949" s="326"/>
      <c r="S949" s="326"/>
      <c r="T949" s="326"/>
      <c r="U949" s="326"/>
      <c r="V949" s="326"/>
      <c r="W949" s="326"/>
      <c r="X949" s="326"/>
      <c r="Y949" s="326"/>
      <c r="Z949" s="326"/>
      <c r="AA949" s="326"/>
    </row>
    <row r="950" spans="1:27" ht="12.75">
      <c r="A950" s="326"/>
      <c r="B950" s="326"/>
      <c r="C950" s="326"/>
      <c r="D950" s="326"/>
      <c r="E950" s="326"/>
      <c r="F950" s="326"/>
      <c r="G950" s="326"/>
      <c r="H950" s="326"/>
      <c r="I950" s="326"/>
      <c r="J950" s="326"/>
      <c r="K950" s="326"/>
      <c r="L950" s="326"/>
      <c r="M950" s="326"/>
      <c r="N950" s="326"/>
      <c r="O950" s="326"/>
      <c r="P950" s="326"/>
      <c r="Q950" s="326"/>
      <c r="R950" s="326"/>
      <c r="S950" s="326"/>
      <c r="T950" s="326"/>
      <c r="U950" s="326"/>
      <c r="V950" s="326"/>
      <c r="W950" s="326"/>
      <c r="X950" s="326"/>
      <c r="Y950" s="326"/>
      <c r="Z950" s="326"/>
      <c r="AA950" s="326"/>
    </row>
    <row r="951" spans="1:27" ht="12.75">
      <c r="A951" s="326"/>
      <c r="B951" s="326"/>
      <c r="C951" s="326"/>
      <c r="D951" s="326"/>
      <c r="E951" s="326"/>
      <c r="F951" s="326"/>
      <c r="G951" s="326"/>
      <c r="H951" s="326"/>
      <c r="I951" s="326"/>
      <c r="J951" s="326"/>
      <c r="K951" s="326"/>
      <c r="L951" s="326"/>
      <c r="M951" s="326"/>
      <c r="N951" s="326"/>
      <c r="O951" s="326"/>
      <c r="P951" s="326"/>
      <c r="Q951" s="326"/>
      <c r="R951" s="326"/>
      <c r="S951" s="326"/>
      <c r="T951" s="326"/>
      <c r="U951" s="326"/>
      <c r="V951" s="326"/>
      <c r="W951" s="326"/>
      <c r="X951" s="326"/>
      <c r="Y951" s="326"/>
      <c r="Z951" s="326"/>
      <c r="AA951" s="326"/>
    </row>
    <row r="952" spans="1:27" ht="12.75">
      <c r="A952" s="326"/>
      <c r="B952" s="326"/>
      <c r="C952" s="326"/>
      <c r="D952" s="326"/>
      <c r="E952" s="326"/>
      <c r="F952" s="326"/>
      <c r="G952" s="326"/>
      <c r="H952" s="326"/>
      <c r="I952" s="326"/>
      <c r="J952" s="326"/>
      <c r="K952" s="326"/>
      <c r="L952" s="326"/>
      <c r="M952" s="326"/>
      <c r="N952" s="326"/>
      <c r="O952" s="326"/>
      <c r="P952" s="326"/>
      <c r="Q952" s="326"/>
      <c r="R952" s="326"/>
      <c r="S952" s="326"/>
      <c r="T952" s="326"/>
      <c r="U952" s="326"/>
      <c r="V952" s="326"/>
      <c r="W952" s="326"/>
      <c r="X952" s="326"/>
      <c r="Y952" s="326"/>
      <c r="Z952" s="326"/>
      <c r="AA952" s="326"/>
    </row>
    <row r="953" spans="1:27" ht="12.75">
      <c r="A953" s="326"/>
      <c r="B953" s="326"/>
      <c r="C953" s="326"/>
      <c r="D953" s="326"/>
      <c r="E953" s="326"/>
      <c r="F953" s="326"/>
      <c r="G953" s="326"/>
      <c r="H953" s="326"/>
      <c r="I953" s="326"/>
      <c r="J953" s="326"/>
      <c r="K953" s="326"/>
      <c r="L953" s="326"/>
      <c r="M953" s="326"/>
      <c r="N953" s="326"/>
      <c r="O953" s="326"/>
      <c r="P953" s="326"/>
      <c r="Q953" s="326"/>
      <c r="R953" s="326"/>
      <c r="S953" s="326"/>
      <c r="T953" s="326"/>
      <c r="U953" s="326"/>
      <c r="V953" s="326"/>
      <c r="W953" s="326"/>
      <c r="X953" s="326"/>
      <c r="Y953" s="326"/>
      <c r="Z953" s="326"/>
      <c r="AA953" s="326"/>
    </row>
    <row r="954" spans="1:27" ht="12.75">
      <c r="A954" s="326"/>
      <c r="B954" s="326"/>
      <c r="C954" s="326"/>
      <c r="D954" s="326"/>
      <c r="E954" s="326"/>
      <c r="F954" s="326"/>
      <c r="G954" s="326"/>
      <c r="H954" s="326"/>
      <c r="I954" s="326"/>
      <c r="J954" s="326"/>
      <c r="K954" s="326"/>
      <c r="L954" s="326"/>
      <c r="M954" s="326"/>
      <c r="N954" s="326"/>
      <c r="O954" s="326"/>
      <c r="P954" s="326"/>
      <c r="Q954" s="326"/>
      <c r="R954" s="326"/>
      <c r="S954" s="326"/>
      <c r="T954" s="326"/>
      <c r="U954" s="326"/>
      <c r="V954" s="326"/>
      <c r="W954" s="326"/>
      <c r="X954" s="326"/>
      <c r="Y954" s="326"/>
      <c r="Z954" s="326"/>
      <c r="AA954" s="326"/>
    </row>
    <row r="955" spans="1:27" ht="12.75">
      <c r="A955" s="326"/>
      <c r="B955" s="326"/>
      <c r="C955" s="326"/>
      <c r="D955" s="326"/>
      <c r="E955" s="326"/>
      <c r="F955" s="326"/>
      <c r="G955" s="326"/>
      <c r="H955" s="326"/>
      <c r="I955" s="326"/>
      <c r="J955" s="326"/>
      <c r="K955" s="326"/>
      <c r="L955" s="326"/>
      <c r="M955" s="326"/>
      <c r="N955" s="326"/>
      <c r="O955" s="326"/>
      <c r="P955" s="326"/>
      <c r="Q955" s="326"/>
      <c r="R955" s="326"/>
      <c r="S955" s="326"/>
      <c r="T955" s="326"/>
      <c r="U955" s="326"/>
      <c r="V955" s="326"/>
      <c r="W955" s="326"/>
      <c r="X955" s="326"/>
      <c r="Y955" s="326"/>
      <c r="Z955" s="326"/>
      <c r="AA955" s="326"/>
    </row>
    <row r="956" spans="1:27" ht="12.75">
      <c r="A956" s="326"/>
      <c r="B956" s="326"/>
      <c r="C956" s="326"/>
      <c r="D956" s="326"/>
      <c r="E956" s="326"/>
      <c r="F956" s="326"/>
      <c r="G956" s="326"/>
      <c r="H956" s="326"/>
      <c r="I956" s="326"/>
      <c r="J956" s="326"/>
      <c r="K956" s="326"/>
      <c r="L956" s="326"/>
      <c r="M956" s="326"/>
      <c r="N956" s="326"/>
      <c r="O956" s="326"/>
      <c r="P956" s="326"/>
      <c r="Q956" s="326"/>
      <c r="R956" s="326"/>
      <c r="S956" s="326"/>
      <c r="T956" s="326"/>
      <c r="U956" s="326"/>
      <c r="V956" s="326"/>
      <c r="W956" s="326"/>
      <c r="X956" s="326"/>
      <c r="Y956" s="326"/>
      <c r="Z956" s="326"/>
      <c r="AA956" s="326"/>
    </row>
    <row r="957" spans="1:27" ht="12.75">
      <c r="A957" s="326"/>
      <c r="B957" s="326"/>
      <c r="C957" s="326"/>
      <c r="D957" s="326"/>
      <c r="E957" s="326"/>
      <c r="F957" s="326"/>
      <c r="G957" s="326"/>
      <c r="H957" s="326"/>
      <c r="I957" s="326"/>
      <c r="J957" s="326"/>
      <c r="K957" s="326"/>
      <c r="L957" s="326"/>
      <c r="M957" s="326"/>
      <c r="N957" s="326"/>
      <c r="O957" s="326"/>
      <c r="P957" s="326"/>
      <c r="Q957" s="326"/>
      <c r="R957" s="326"/>
      <c r="S957" s="326"/>
      <c r="T957" s="326"/>
      <c r="U957" s="326"/>
      <c r="V957" s="326"/>
      <c r="W957" s="326"/>
      <c r="X957" s="326"/>
      <c r="Y957" s="326"/>
      <c r="Z957" s="326"/>
      <c r="AA957" s="326"/>
    </row>
    <row r="958" spans="1:27" ht="12.75">
      <c r="A958" s="326"/>
      <c r="B958" s="326"/>
      <c r="C958" s="326"/>
      <c r="D958" s="326"/>
      <c r="E958" s="326"/>
      <c r="F958" s="326"/>
      <c r="G958" s="326"/>
      <c r="H958" s="326"/>
      <c r="I958" s="326"/>
      <c r="J958" s="326"/>
      <c r="K958" s="326"/>
      <c r="L958" s="326"/>
      <c r="M958" s="326"/>
      <c r="N958" s="326"/>
      <c r="O958" s="326"/>
      <c r="P958" s="326"/>
      <c r="Q958" s="326"/>
      <c r="R958" s="326"/>
      <c r="S958" s="326"/>
      <c r="T958" s="326"/>
      <c r="U958" s="326"/>
      <c r="V958" s="326"/>
      <c r="W958" s="326"/>
      <c r="X958" s="326"/>
      <c r="Y958" s="326"/>
      <c r="Z958" s="326"/>
      <c r="AA958" s="326"/>
    </row>
    <row r="959" spans="1:27" ht="12.75">
      <c r="A959" s="326"/>
      <c r="B959" s="326"/>
      <c r="C959" s="326"/>
      <c r="D959" s="326"/>
      <c r="E959" s="326"/>
      <c r="F959" s="326"/>
      <c r="G959" s="326"/>
      <c r="H959" s="326"/>
      <c r="I959" s="326"/>
      <c r="J959" s="326"/>
      <c r="K959" s="326"/>
      <c r="L959" s="326"/>
      <c r="M959" s="326"/>
      <c r="N959" s="326"/>
      <c r="O959" s="326"/>
      <c r="P959" s="326"/>
      <c r="Q959" s="326"/>
      <c r="R959" s="326"/>
      <c r="S959" s="326"/>
      <c r="T959" s="326"/>
      <c r="U959" s="326"/>
      <c r="V959" s="326"/>
      <c r="W959" s="326"/>
      <c r="X959" s="326"/>
      <c r="Y959" s="326"/>
      <c r="Z959" s="326"/>
      <c r="AA959" s="326"/>
    </row>
    <row r="960" spans="1:27" ht="12.75">
      <c r="A960" s="326"/>
      <c r="B960" s="326"/>
      <c r="C960" s="326"/>
      <c r="D960" s="326"/>
      <c r="E960" s="326"/>
      <c r="F960" s="326"/>
      <c r="G960" s="326"/>
      <c r="H960" s="326"/>
      <c r="I960" s="326"/>
      <c r="J960" s="326"/>
      <c r="K960" s="326"/>
      <c r="L960" s="326"/>
      <c r="M960" s="326"/>
      <c r="N960" s="326"/>
      <c r="O960" s="326"/>
      <c r="P960" s="326"/>
      <c r="Q960" s="326"/>
      <c r="R960" s="326"/>
      <c r="S960" s="326"/>
      <c r="T960" s="326"/>
      <c r="U960" s="326"/>
      <c r="V960" s="326"/>
      <c r="W960" s="326"/>
      <c r="X960" s="326"/>
      <c r="Y960" s="326"/>
      <c r="Z960" s="326"/>
      <c r="AA960" s="326"/>
    </row>
    <row r="961" spans="1:27" ht="12.75">
      <c r="A961" s="326"/>
      <c r="B961" s="326"/>
      <c r="C961" s="326"/>
      <c r="D961" s="326"/>
      <c r="E961" s="326"/>
      <c r="F961" s="326"/>
      <c r="G961" s="326"/>
      <c r="H961" s="326"/>
      <c r="I961" s="326"/>
      <c r="J961" s="326"/>
      <c r="K961" s="326"/>
      <c r="L961" s="326"/>
      <c r="M961" s="326"/>
      <c r="N961" s="326"/>
      <c r="O961" s="326"/>
      <c r="P961" s="326"/>
      <c r="Q961" s="326"/>
      <c r="R961" s="326"/>
      <c r="S961" s="326"/>
      <c r="T961" s="326"/>
      <c r="U961" s="326"/>
      <c r="V961" s="326"/>
      <c r="W961" s="326"/>
      <c r="X961" s="326"/>
      <c r="Y961" s="326"/>
      <c r="Z961" s="326"/>
      <c r="AA961" s="326"/>
    </row>
    <row r="962" spans="1:27" ht="12.75">
      <c r="A962" s="326"/>
      <c r="B962" s="326"/>
      <c r="C962" s="326"/>
      <c r="D962" s="326"/>
      <c r="E962" s="326"/>
      <c r="F962" s="326"/>
      <c r="G962" s="326"/>
      <c r="H962" s="326"/>
      <c r="I962" s="326"/>
      <c r="J962" s="326"/>
      <c r="K962" s="326"/>
      <c r="L962" s="326"/>
      <c r="M962" s="326"/>
      <c r="N962" s="326"/>
      <c r="O962" s="326"/>
      <c r="P962" s="326"/>
      <c r="Q962" s="326"/>
      <c r="R962" s="326"/>
      <c r="S962" s="326"/>
      <c r="T962" s="326"/>
      <c r="U962" s="326"/>
      <c r="V962" s="326"/>
      <c r="W962" s="326"/>
      <c r="X962" s="326"/>
      <c r="Y962" s="326"/>
      <c r="Z962" s="326"/>
      <c r="AA962" s="326"/>
    </row>
    <row r="963" spans="1:27" ht="12.75">
      <c r="A963" s="326"/>
      <c r="B963" s="326"/>
      <c r="C963" s="326"/>
      <c r="D963" s="326"/>
      <c r="E963" s="326"/>
      <c r="F963" s="326"/>
      <c r="G963" s="326"/>
      <c r="H963" s="326"/>
      <c r="I963" s="326"/>
      <c r="J963" s="326"/>
      <c r="K963" s="326"/>
      <c r="L963" s="326"/>
      <c r="M963" s="326"/>
      <c r="N963" s="326"/>
      <c r="O963" s="326"/>
      <c r="P963" s="326"/>
      <c r="Q963" s="326"/>
      <c r="R963" s="326"/>
      <c r="S963" s="326"/>
      <c r="T963" s="326"/>
      <c r="U963" s="326"/>
      <c r="V963" s="326"/>
      <c r="W963" s="326"/>
      <c r="X963" s="326"/>
      <c r="Y963" s="326"/>
      <c r="Z963" s="326"/>
      <c r="AA963" s="326"/>
    </row>
    <row r="964" spans="1:27" ht="12.75">
      <c r="A964" s="326"/>
      <c r="B964" s="326"/>
      <c r="C964" s="326"/>
      <c r="D964" s="326"/>
      <c r="E964" s="326"/>
      <c r="F964" s="326"/>
      <c r="G964" s="326"/>
      <c r="H964" s="326"/>
      <c r="I964" s="326"/>
      <c r="J964" s="326"/>
      <c r="K964" s="326"/>
      <c r="L964" s="326"/>
      <c r="M964" s="326"/>
      <c r="N964" s="326"/>
      <c r="O964" s="326"/>
      <c r="P964" s="326"/>
      <c r="Q964" s="326"/>
      <c r="R964" s="326"/>
      <c r="S964" s="326"/>
      <c r="T964" s="326"/>
      <c r="U964" s="326"/>
      <c r="V964" s="326"/>
      <c r="W964" s="326"/>
      <c r="X964" s="326"/>
      <c r="Y964" s="326"/>
      <c r="Z964" s="326"/>
      <c r="AA964" s="326"/>
    </row>
    <row r="965" spans="1:27" ht="12.75">
      <c r="A965" s="326"/>
      <c r="B965" s="326"/>
      <c r="C965" s="326"/>
      <c r="D965" s="326"/>
      <c r="E965" s="326"/>
      <c r="F965" s="326"/>
      <c r="G965" s="326"/>
      <c r="H965" s="326"/>
      <c r="I965" s="326"/>
      <c r="J965" s="326"/>
      <c r="K965" s="326"/>
      <c r="L965" s="326"/>
      <c r="M965" s="326"/>
      <c r="N965" s="326"/>
      <c r="O965" s="326"/>
      <c r="P965" s="326"/>
      <c r="Q965" s="326"/>
      <c r="R965" s="326"/>
      <c r="S965" s="326"/>
      <c r="T965" s="326"/>
      <c r="U965" s="326"/>
      <c r="V965" s="326"/>
      <c r="W965" s="326"/>
      <c r="X965" s="326"/>
      <c r="Y965" s="326"/>
      <c r="Z965" s="326"/>
      <c r="AA965" s="326"/>
    </row>
    <row r="966" spans="1:27" ht="12.75">
      <c r="A966" s="326"/>
      <c r="B966" s="326"/>
      <c r="C966" s="326"/>
      <c r="D966" s="326"/>
      <c r="E966" s="326"/>
      <c r="F966" s="326"/>
      <c r="G966" s="326"/>
      <c r="H966" s="326"/>
      <c r="I966" s="326"/>
      <c r="J966" s="326"/>
      <c r="K966" s="326"/>
      <c r="L966" s="326"/>
      <c r="M966" s="326"/>
      <c r="N966" s="326"/>
      <c r="O966" s="326"/>
      <c r="P966" s="326"/>
      <c r="Q966" s="326"/>
      <c r="R966" s="326"/>
      <c r="S966" s="326"/>
      <c r="T966" s="326"/>
      <c r="U966" s="326"/>
      <c r="V966" s="326"/>
      <c r="W966" s="326"/>
      <c r="X966" s="326"/>
      <c r="Y966" s="326"/>
      <c r="Z966" s="326"/>
      <c r="AA966" s="326"/>
    </row>
    <row r="967" spans="1:27" ht="12.75">
      <c r="A967" s="326"/>
      <c r="B967" s="326"/>
      <c r="C967" s="326"/>
      <c r="D967" s="326"/>
      <c r="E967" s="326"/>
      <c r="F967" s="326"/>
      <c r="G967" s="326"/>
      <c r="H967" s="326"/>
      <c r="I967" s="326"/>
      <c r="J967" s="326"/>
      <c r="K967" s="326"/>
      <c r="L967" s="326"/>
      <c r="M967" s="326"/>
      <c r="N967" s="326"/>
      <c r="O967" s="326"/>
      <c r="P967" s="326"/>
      <c r="Q967" s="326"/>
      <c r="R967" s="326"/>
      <c r="S967" s="326"/>
      <c r="T967" s="326"/>
      <c r="U967" s="326"/>
      <c r="V967" s="326"/>
      <c r="W967" s="326"/>
      <c r="X967" s="326"/>
      <c r="Y967" s="326"/>
      <c r="Z967" s="326"/>
      <c r="AA967" s="326"/>
    </row>
    <row r="968" spans="1:27" ht="12.75">
      <c r="A968" s="326"/>
      <c r="B968" s="326"/>
      <c r="C968" s="326"/>
      <c r="D968" s="326"/>
      <c r="E968" s="326"/>
      <c r="F968" s="326"/>
      <c r="G968" s="326"/>
      <c r="H968" s="326"/>
      <c r="I968" s="326"/>
      <c r="J968" s="326"/>
      <c r="K968" s="326"/>
      <c r="L968" s="326"/>
      <c r="M968" s="326"/>
      <c r="N968" s="326"/>
      <c r="O968" s="326"/>
      <c r="P968" s="326"/>
      <c r="Q968" s="326"/>
      <c r="R968" s="326"/>
      <c r="S968" s="326"/>
      <c r="T968" s="326"/>
      <c r="U968" s="326"/>
      <c r="V968" s="326"/>
      <c r="W968" s="326"/>
      <c r="X968" s="326"/>
      <c r="Y968" s="326"/>
      <c r="Z968" s="326"/>
      <c r="AA968" s="326"/>
    </row>
    <row r="969" spans="1:27" ht="12.75">
      <c r="A969" s="326"/>
      <c r="B969" s="326"/>
      <c r="C969" s="326"/>
      <c r="D969" s="326"/>
      <c r="E969" s="326"/>
      <c r="F969" s="326"/>
      <c r="G969" s="326"/>
      <c r="H969" s="326"/>
      <c r="I969" s="326"/>
      <c r="J969" s="326"/>
      <c r="K969" s="326"/>
      <c r="L969" s="326"/>
      <c r="M969" s="326"/>
      <c r="N969" s="326"/>
      <c r="O969" s="326"/>
      <c r="P969" s="326"/>
      <c r="Q969" s="326"/>
      <c r="R969" s="326"/>
      <c r="S969" s="326"/>
      <c r="T969" s="326"/>
      <c r="U969" s="326"/>
      <c r="V969" s="326"/>
      <c r="W969" s="326"/>
      <c r="X969" s="326"/>
      <c r="Y969" s="326"/>
      <c r="Z969" s="326"/>
      <c r="AA969" s="326"/>
    </row>
    <row r="970" spans="1:27" ht="12.75">
      <c r="A970" s="326"/>
      <c r="B970" s="326"/>
      <c r="C970" s="326"/>
      <c r="D970" s="326"/>
      <c r="E970" s="326"/>
      <c r="F970" s="326"/>
      <c r="G970" s="326"/>
      <c r="H970" s="326"/>
      <c r="I970" s="326"/>
      <c r="J970" s="326"/>
      <c r="K970" s="326"/>
      <c r="L970" s="326"/>
      <c r="M970" s="326"/>
      <c r="N970" s="326"/>
      <c r="O970" s="326"/>
      <c r="P970" s="326"/>
      <c r="Q970" s="326"/>
      <c r="R970" s="326"/>
      <c r="S970" s="326"/>
      <c r="T970" s="326"/>
      <c r="U970" s="326"/>
      <c r="V970" s="326"/>
      <c r="W970" s="326"/>
      <c r="X970" s="326"/>
      <c r="Y970" s="326"/>
      <c r="Z970" s="326"/>
      <c r="AA970" s="326"/>
    </row>
    <row r="971" spans="1:27" ht="12.75">
      <c r="A971" s="326"/>
      <c r="B971" s="326"/>
      <c r="C971" s="326"/>
      <c r="D971" s="326"/>
      <c r="E971" s="326"/>
      <c r="F971" s="326"/>
      <c r="G971" s="326"/>
      <c r="H971" s="326"/>
      <c r="I971" s="326"/>
      <c r="J971" s="326"/>
      <c r="K971" s="326"/>
      <c r="L971" s="326"/>
      <c r="M971" s="326"/>
      <c r="N971" s="326"/>
      <c r="O971" s="326"/>
      <c r="P971" s="326"/>
      <c r="Q971" s="326"/>
      <c r="R971" s="326"/>
      <c r="S971" s="326"/>
      <c r="T971" s="326"/>
      <c r="U971" s="326"/>
      <c r="V971" s="326"/>
      <c r="W971" s="326"/>
      <c r="X971" s="326"/>
      <c r="Y971" s="326"/>
      <c r="Z971" s="326"/>
      <c r="AA971" s="326"/>
    </row>
    <row r="972" spans="1:27" ht="12.75">
      <c r="A972" s="326"/>
      <c r="B972" s="326"/>
      <c r="C972" s="326"/>
      <c r="D972" s="326"/>
      <c r="E972" s="326"/>
      <c r="F972" s="326"/>
      <c r="G972" s="326"/>
      <c r="H972" s="326"/>
      <c r="I972" s="326"/>
      <c r="J972" s="326"/>
      <c r="K972" s="326"/>
      <c r="L972" s="326"/>
      <c r="M972" s="326"/>
      <c r="N972" s="326"/>
      <c r="O972" s="326"/>
      <c r="P972" s="326"/>
      <c r="Q972" s="326"/>
      <c r="R972" s="326"/>
      <c r="S972" s="326"/>
      <c r="T972" s="326"/>
      <c r="U972" s="326"/>
      <c r="V972" s="326"/>
      <c r="W972" s="326"/>
      <c r="X972" s="326"/>
      <c r="Y972" s="326"/>
      <c r="Z972" s="326"/>
      <c r="AA972" s="326"/>
    </row>
    <row r="973" spans="1:27" ht="12.75">
      <c r="A973" s="326"/>
      <c r="B973" s="326"/>
      <c r="C973" s="326"/>
      <c r="D973" s="326"/>
      <c r="E973" s="326"/>
      <c r="F973" s="326"/>
      <c r="G973" s="326"/>
      <c r="H973" s="326"/>
      <c r="I973" s="326"/>
      <c r="J973" s="326"/>
      <c r="K973" s="326"/>
      <c r="L973" s="326"/>
      <c r="M973" s="326"/>
      <c r="N973" s="326"/>
      <c r="O973" s="326"/>
      <c r="P973" s="326"/>
      <c r="Q973" s="326"/>
      <c r="R973" s="326"/>
      <c r="S973" s="326"/>
      <c r="T973" s="326"/>
      <c r="U973" s="326"/>
      <c r="V973" s="326"/>
      <c r="W973" s="326"/>
      <c r="X973" s="326"/>
      <c r="Y973" s="326"/>
      <c r="Z973" s="326"/>
      <c r="AA973" s="326"/>
    </row>
    <row r="974" spans="1:27" ht="12.75">
      <c r="A974" s="326"/>
      <c r="B974" s="326"/>
      <c r="C974" s="326"/>
      <c r="D974" s="326"/>
      <c r="E974" s="326"/>
      <c r="F974" s="326"/>
      <c r="G974" s="326"/>
      <c r="H974" s="326"/>
      <c r="I974" s="326"/>
      <c r="J974" s="326"/>
      <c r="K974" s="326"/>
      <c r="L974" s="326"/>
      <c r="M974" s="326"/>
      <c r="N974" s="326"/>
      <c r="O974" s="326"/>
      <c r="P974" s="326"/>
      <c r="Q974" s="326"/>
      <c r="R974" s="326"/>
      <c r="S974" s="326"/>
      <c r="T974" s="326"/>
      <c r="U974" s="326"/>
      <c r="V974" s="326"/>
      <c r="W974" s="326"/>
      <c r="X974" s="326"/>
      <c r="Y974" s="326"/>
      <c r="Z974" s="326"/>
      <c r="AA974" s="326"/>
    </row>
    <row r="975" spans="1:27" ht="12.75">
      <c r="A975" s="326"/>
      <c r="B975" s="326"/>
      <c r="C975" s="326"/>
      <c r="D975" s="326"/>
      <c r="E975" s="326"/>
      <c r="F975" s="326"/>
      <c r="G975" s="326"/>
      <c r="H975" s="326"/>
      <c r="I975" s="326"/>
      <c r="J975" s="326"/>
      <c r="K975" s="326"/>
      <c r="L975" s="326"/>
      <c r="M975" s="326"/>
      <c r="N975" s="326"/>
      <c r="O975" s="326"/>
      <c r="P975" s="326"/>
      <c r="Q975" s="326"/>
      <c r="R975" s="326"/>
      <c r="S975" s="326"/>
      <c r="T975" s="326"/>
      <c r="U975" s="326"/>
      <c r="V975" s="326"/>
      <c r="W975" s="326"/>
      <c r="X975" s="326"/>
      <c r="Y975" s="326"/>
      <c r="Z975" s="326"/>
      <c r="AA975" s="326"/>
    </row>
    <row r="976" spans="1:27" ht="12.75">
      <c r="A976" s="326"/>
      <c r="B976" s="326"/>
      <c r="C976" s="326"/>
      <c r="D976" s="326"/>
      <c r="E976" s="326"/>
      <c r="F976" s="326"/>
      <c r="G976" s="326"/>
      <c r="H976" s="326"/>
      <c r="I976" s="326"/>
      <c r="J976" s="326"/>
      <c r="K976" s="326"/>
      <c r="L976" s="326"/>
      <c r="M976" s="326"/>
      <c r="N976" s="326"/>
      <c r="O976" s="326"/>
      <c r="P976" s="326"/>
      <c r="Q976" s="326"/>
      <c r="R976" s="326"/>
      <c r="S976" s="326"/>
      <c r="T976" s="326"/>
      <c r="U976" s="326"/>
      <c r="V976" s="326"/>
      <c r="W976" s="326"/>
      <c r="X976" s="326"/>
      <c r="Y976" s="326"/>
      <c r="Z976" s="326"/>
      <c r="AA976" s="326"/>
    </row>
    <row r="977" spans="1:27" ht="12.75">
      <c r="A977" s="326"/>
      <c r="B977" s="326"/>
      <c r="C977" s="326"/>
      <c r="D977" s="326"/>
      <c r="E977" s="326"/>
      <c r="F977" s="326"/>
      <c r="G977" s="326"/>
      <c r="H977" s="326"/>
      <c r="I977" s="326"/>
      <c r="J977" s="326"/>
      <c r="K977" s="326"/>
      <c r="L977" s="326"/>
      <c r="M977" s="326"/>
      <c r="N977" s="326"/>
      <c r="O977" s="326"/>
      <c r="P977" s="326"/>
      <c r="Q977" s="326"/>
      <c r="R977" s="326"/>
      <c r="S977" s="326"/>
      <c r="T977" s="326"/>
      <c r="U977" s="326"/>
      <c r="V977" s="326"/>
      <c r="W977" s="326"/>
      <c r="X977" s="326"/>
      <c r="Y977" s="326"/>
      <c r="Z977" s="326"/>
      <c r="AA977" s="326"/>
    </row>
    <row r="978" spans="1:27" ht="12.75">
      <c r="A978" s="326"/>
      <c r="B978" s="326"/>
      <c r="C978" s="326"/>
      <c r="D978" s="326"/>
      <c r="E978" s="326"/>
      <c r="F978" s="326"/>
      <c r="G978" s="326"/>
      <c r="H978" s="326"/>
      <c r="I978" s="326"/>
      <c r="J978" s="326"/>
      <c r="K978" s="326"/>
      <c r="L978" s="326"/>
      <c r="M978" s="326"/>
      <c r="N978" s="326"/>
      <c r="O978" s="326"/>
      <c r="P978" s="326"/>
      <c r="Q978" s="326"/>
      <c r="R978" s="326"/>
      <c r="S978" s="326"/>
      <c r="T978" s="326"/>
      <c r="U978" s="326"/>
      <c r="V978" s="326"/>
      <c r="W978" s="326"/>
      <c r="X978" s="326"/>
      <c r="Y978" s="326"/>
      <c r="Z978" s="326"/>
      <c r="AA978" s="326"/>
    </row>
    <row r="979" spans="1:27" ht="12.75">
      <c r="A979" s="326"/>
      <c r="B979" s="326"/>
      <c r="C979" s="326"/>
      <c r="D979" s="326"/>
      <c r="E979" s="326"/>
      <c r="F979" s="326"/>
      <c r="G979" s="326"/>
      <c r="H979" s="326"/>
      <c r="I979" s="326"/>
      <c r="J979" s="326"/>
      <c r="K979" s="326"/>
      <c r="L979" s="326"/>
      <c r="M979" s="326"/>
      <c r="N979" s="326"/>
      <c r="O979" s="326"/>
      <c r="P979" s="326"/>
      <c r="Q979" s="326"/>
      <c r="R979" s="326"/>
      <c r="S979" s="326"/>
      <c r="T979" s="326"/>
      <c r="U979" s="326"/>
      <c r="V979" s="326"/>
      <c r="W979" s="326"/>
      <c r="X979" s="326"/>
      <c r="Y979" s="326"/>
      <c r="Z979" s="326"/>
      <c r="AA979" s="326"/>
    </row>
    <row r="980" spans="1:27" ht="12.75">
      <c r="A980" s="326"/>
      <c r="B980" s="326"/>
      <c r="C980" s="326"/>
      <c r="D980" s="326"/>
      <c r="E980" s="326"/>
      <c r="F980" s="326"/>
      <c r="G980" s="326"/>
      <c r="H980" s="326"/>
      <c r="I980" s="326"/>
      <c r="J980" s="326"/>
      <c r="K980" s="326"/>
      <c r="L980" s="326"/>
      <c r="M980" s="326"/>
      <c r="N980" s="326"/>
      <c r="O980" s="326"/>
      <c r="P980" s="326"/>
      <c r="Q980" s="326"/>
      <c r="R980" s="326"/>
      <c r="S980" s="326"/>
      <c r="T980" s="326"/>
      <c r="U980" s="326"/>
      <c r="V980" s="326"/>
      <c r="W980" s="326"/>
      <c r="X980" s="326"/>
      <c r="Y980" s="326"/>
      <c r="Z980" s="326"/>
      <c r="AA980" s="326"/>
    </row>
    <row r="981" spans="1:27" ht="12.75">
      <c r="A981" s="326"/>
      <c r="B981" s="326"/>
      <c r="C981" s="326"/>
      <c r="D981" s="326"/>
      <c r="E981" s="326"/>
      <c r="F981" s="326"/>
      <c r="G981" s="326"/>
      <c r="H981" s="326"/>
      <c r="I981" s="326"/>
      <c r="J981" s="326"/>
      <c r="K981" s="326"/>
      <c r="L981" s="326"/>
      <c r="M981" s="326"/>
      <c r="N981" s="326"/>
      <c r="O981" s="326"/>
      <c r="P981" s="326"/>
      <c r="Q981" s="326"/>
      <c r="R981" s="326"/>
      <c r="S981" s="326"/>
      <c r="T981" s="326"/>
      <c r="U981" s="326"/>
      <c r="V981" s="326"/>
      <c r="W981" s="326"/>
      <c r="X981" s="326"/>
      <c r="Y981" s="326"/>
      <c r="Z981" s="326"/>
      <c r="AA981" s="326"/>
    </row>
    <row r="982" spans="1:27" ht="12.75">
      <c r="A982" s="326"/>
      <c r="B982" s="326"/>
      <c r="C982" s="326"/>
      <c r="D982" s="326"/>
      <c r="E982" s="326"/>
      <c r="F982" s="326"/>
      <c r="G982" s="326"/>
      <c r="H982" s="326"/>
      <c r="I982" s="326"/>
      <c r="J982" s="326"/>
      <c r="K982" s="326"/>
      <c r="L982" s="326"/>
      <c r="M982" s="326"/>
      <c r="N982" s="326"/>
      <c r="O982" s="326"/>
      <c r="P982" s="326"/>
      <c r="Q982" s="326"/>
      <c r="R982" s="326"/>
      <c r="S982" s="326"/>
      <c r="T982" s="326"/>
      <c r="U982" s="326"/>
      <c r="V982" s="326"/>
      <c r="W982" s="326"/>
      <c r="X982" s="326"/>
      <c r="Y982" s="326"/>
      <c r="Z982" s="326"/>
      <c r="AA982" s="326"/>
    </row>
    <row r="983" spans="1:27" ht="12.75">
      <c r="A983" s="326"/>
      <c r="B983" s="326"/>
      <c r="C983" s="326"/>
      <c r="D983" s="326"/>
      <c r="E983" s="326"/>
      <c r="F983" s="326"/>
      <c r="G983" s="326"/>
      <c r="H983" s="326"/>
      <c r="I983" s="326"/>
      <c r="J983" s="326"/>
      <c r="K983" s="326"/>
      <c r="L983" s="326"/>
      <c r="M983" s="326"/>
      <c r="N983" s="326"/>
      <c r="O983" s="326"/>
      <c r="P983" s="326"/>
      <c r="Q983" s="326"/>
      <c r="R983" s="326"/>
      <c r="S983" s="326"/>
      <c r="T983" s="326"/>
      <c r="U983" s="326"/>
      <c r="V983" s="326"/>
      <c r="W983" s="326"/>
      <c r="X983" s="326"/>
      <c r="Y983" s="326"/>
      <c r="Z983" s="326"/>
      <c r="AA983" s="326"/>
    </row>
    <row r="984" spans="1:27" ht="12.75">
      <c r="A984" s="326"/>
      <c r="B984" s="326"/>
      <c r="C984" s="326"/>
      <c r="D984" s="326"/>
      <c r="E984" s="326"/>
      <c r="F984" s="326"/>
      <c r="G984" s="326"/>
      <c r="H984" s="326"/>
      <c r="I984" s="326"/>
      <c r="J984" s="326"/>
      <c r="K984" s="326"/>
      <c r="L984" s="326"/>
      <c r="M984" s="326"/>
      <c r="N984" s="326"/>
      <c r="O984" s="326"/>
      <c r="P984" s="326"/>
      <c r="Q984" s="326"/>
      <c r="R984" s="326"/>
      <c r="S984" s="326"/>
      <c r="T984" s="326"/>
      <c r="U984" s="326"/>
      <c r="V984" s="326"/>
      <c r="W984" s="326"/>
      <c r="X984" s="326"/>
      <c r="Y984" s="326"/>
      <c r="Z984" s="326"/>
      <c r="AA984" s="326"/>
    </row>
    <row r="985" spans="1:27" ht="12.75">
      <c r="A985" s="326"/>
      <c r="B985" s="326"/>
      <c r="C985" s="326"/>
      <c r="D985" s="326"/>
      <c r="E985" s="326"/>
      <c r="F985" s="326"/>
      <c r="G985" s="326"/>
      <c r="H985" s="326"/>
      <c r="I985" s="326"/>
      <c r="J985" s="326"/>
      <c r="K985" s="326"/>
      <c r="L985" s="326"/>
      <c r="M985" s="326"/>
      <c r="N985" s="326"/>
      <c r="O985" s="326"/>
      <c r="P985" s="326"/>
      <c r="Q985" s="326"/>
      <c r="R985" s="326"/>
      <c r="S985" s="326"/>
      <c r="T985" s="326"/>
      <c r="U985" s="326"/>
      <c r="V985" s="326"/>
      <c r="W985" s="326"/>
      <c r="X985" s="326"/>
      <c r="Y985" s="326"/>
      <c r="Z985" s="326"/>
      <c r="AA985" s="326"/>
    </row>
    <row r="986" spans="1:27" ht="12.75">
      <c r="A986" s="326"/>
      <c r="B986" s="326"/>
      <c r="C986" s="326"/>
      <c r="D986" s="326"/>
      <c r="E986" s="326"/>
      <c r="F986" s="326"/>
      <c r="G986" s="326"/>
      <c r="H986" s="326"/>
      <c r="I986" s="326"/>
      <c r="J986" s="326"/>
      <c r="K986" s="326"/>
      <c r="L986" s="326"/>
      <c r="M986" s="326"/>
      <c r="N986" s="326"/>
      <c r="O986" s="326"/>
      <c r="P986" s="326"/>
      <c r="Q986" s="326"/>
      <c r="R986" s="326"/>
      <c r="S986" s="326"/>
      <c r="T986" s="326"/>
      <c r="U986" s="326"/>
      <c r="V986" s="326"/>
      <c r="W986" s="326"/>
      <c r="X986" s="326"/>
      <c r="Y986" s="326"/>
      <c r="Z986" s="326"/>
      <c r="AA986" s="326"/>
    </row>
    <row r="987" spans="1:27" ht="12.75">
      <c r="A987" s="326"/>
      <c r="B987" s="326"/>
      <c r="C987" s="326"/>
      <c r="D987" s="326"/>
      <c r="E987" s="326"/>
      <c r="F987" s="326"/>
      <c r="G987" s="326"/>
      <c r="H987" s="326"/>
      <c r="I987" s="326"/>
      <c r="J987" s="326"/>
      <c r="K987" s="326"/>
      <c r="L987" s="326"/>
      <c r="M987" s="326"/>
      <c r="N987" s="326"/>
      <c r="O987" s="326"/>
      <c r="P987" s="326"/>
      <c r="Q987" s="326"/>
      <c r="R987" s="326"/>
      <c r="S987" s="326"/>
      <c r="T987" s="326"/>
      <c r="U987" s="326"/>
      <c r="V987" s="326"/>
      <c r="W987" s="326"/>
      <c r="X987" s="326"/>
      <c r="Y987" s="326"/>
      <c r="Z987" s="326"/>
      <c r="AA987" s="326"/>
    </row>
    <row r="988" spans="1:27" ht="12.75">
      <c r="A988" s="326"/>
      <c r="B988" s="326"/>
      <c r="C988" s="326"/>
      <c r="D988" s="326"/>
      <c r="E988" s="326"/>
      <c r="F988" s="326"/>
      <c r="G988" s="326"/>
      <c r="H988" s="326"/>
      <c r="I988" s="326"/>
      <c r="J988" s="326"/>
      <c r="K988" s="326"/>
      <c r="L988" s="326"/>
      <c r="M988" s="326"/>
      <c r="N988" s="326"/>
      <c r="O988" s="326"/>
      <c r="P988" s="326"/>
      <c r="Q988" s="326"/>
      <c r="R988" s="326"/>
      <c r="S988" s="326"/>
      <c r="T988" s="326"/>
      <c r="U988" s="326"/>
      <c r="V988" s="326"/>
      <c r="W988" s="326"/>
      <c r="X988" s="326"/>
      <c r="Y988" s="326"/>
      <c r="Z988" s="326"/>
      <c r="AA988" s="326"/>
    </row>
    <row r="989" spans="1:27" ht="12.75">
      <c r="A989" s="326"/>
      <c r="B989" s="326"/>
      <c r="C989" s="326"/>
      <c r="D989" s="326"/>
      <c r="E989" s="326"/>
      <c r="F989" s="326"/>
      <c r="G989" s="326"/>
      <c r="H989" s="326"/>
      <c r="I989" s="326"/>
      <c r="J989" s="326"/>
      <c r="K989" s="326"/>
      <c r="L989" s="326"/>
      <c r="M989" s="326"/>
      <c r="N989" s="326"/>
      <c r="O989" s="326"/>
      <c r="P989" s="326"/>
      <c r="Q989" s="326"/>
      <c r="R989" s="326"/>
      <c r="S989" s="326"/>
      <c r="T989" s="326"/>
      <c r="U989" s="326"/>
      <c r="V989" s="326"/>
      <c r="W989" s="326"/>
      <c r="X989" s="326"/>
      <c r="Y989" s="326"/>
      <c r="Z989" s="326"/>
      <c r="AA989" s="326"/>
    </row>
    <row r="990" spans="1:27" ht="12.75">
      <c r="A990" s="326"/>
      <c r="B990" s="326"/>
      <c r="C990" s="326"/>
      <c r="D990" s="326"/>
      <c r="E990" s="326"/>
      <c r="F990" s="326"/>
      <c r="G990" s="326"/>
      <c r="H990" s="326"/>
      <c r="I990" s="326"/>
      <c r="J990" s="326"/>
      <c r="K990" s="326"/>
      <c r="L990" s="326"/>
      <c r="M990" s="326"/>
      <c r="N990" s="326"/>
      <c r="O990" s="326"/>
      <c r="P990" s="326"/>
      <c r="Q990" s="326"/>
      <c r="R990" s="326"/>
      <c r="S990" s="326"/>
      <c r="T990" s="326"/>
      <c r="U990" s="326"/>
      <c r="V990" s="326"/>
      <c r="W990" s="326"/>
      <c r="X990" s="326"/>
      <c r="Y990" s="326"/>
      <c r="Z990" s="326"/>
      <c r="AA990" s="326"/>
    </row>
    <row r="991" spans="1:27" ht="12.75">
      <c r="A991" s="326"/>
      <c r="B991" s="326"/>
      <c r="C991" s="326"/>
      <c r="D991" s="326"/>
      <c r="E991" s="326"/>
      <c r="F991" s="326"/>
      <c r="G991" s="326"/>
      <c r="H991" s="326"/>
      <c r="I991" s="326"/>
      <c r="J991" s="326"/>
      <c r="K991" s="326"/>
      <c r="L991" s="326"/>
      <c r="M991" s="326"/>
      <c r="N991" s="326"/>
      <c r="O991" s="326"/>
      <c r="P991" s="326"/>
      <c r="Q991" s="326"/>
      <c r="R991" s="326"/>
      <c r="S991" s="326"/>
      <c r="T991" s="326"/>
      <c r="U991" s="326"/>
      <c r="V991" s="326"/>
      <c r="W991" s="326"/>
      <c r="X991" s="326"/>
      <c r="Y991" s="326"/>
      <c r="Z991" s="326"/>
      <c r="AA991" s="326"/>
    </row>
    <row r="992" spans="1:27" ht="12.75">
      <c r="A992" s="326"/>
      <c r="B992" s="326"/>
      <c r="C992" s="326"/>
      <c r="D992" s="326"/>
      <c r="E992" s="326"/>
      <c r="F992" s="326"/>
      <c r="G992" s="326"/>
      <c r="H992" s="326"/>
      <c r="I992" s="326"/>
      <c r="J992" s="326"/>
      <c r="K992" s="326"/>
      <c r="L992" s="326"/>
      <c r="M992" s="326"/>
      <c r="N992" s="326"/>
      <c r="O992" s="326"/>
      <c r="P992" s="326"/>
      <c r="Q992" s="326"/>
      <c r="R992" s="326"/>
      <c r="S992" s="326"/>
      <c r="T992" s="326"/>
      <c r="U992" s="326"/>
      <c r="V992" s="326"/>
      <c r="W992" s="326"/>
      <c r="X992" s="326"/>
      <c r="Y992" s="326"/>
      <c r="Z992" s="326"/>
      <c r="AA992" s="326"/>
    </row>
    <row r="993" spans="1:27" ht="12.75">
      <c r="A993" s="326"/>
      <c r="B993" s="326"/>
      <c r="C993" s="326"/>
      <c r="D993" s="326"/>
      <c r="E993" s="326"/>
      <c r="F993" s="326"/>
      <c r="G993" s="326"/>
      <c r="H993" s="326"/>
      <c r="I993" s="326"/>
      <c r="J993" s="326"/>
      <c r="K993" s="326"/>
      <c r="L993" s="326"/>
      <c r="M993" s="326"/>
      <c r="N993" s="326"/>
      <c r="O993" s="326"/>
      <c r="P993" s="326"/>
      <c r="Q993" s="326"/>
      <c r="R993" s="326"/>
      <c r="S993" s="326"/>
      <c r="T993" s="326"/>
      <c r="U993" s="326"/>
      <c r="V993" s="326"/>
      <c r="W993" s="326"/>
      <c r="X993" s="326"/>
      <c r="Y993" s="326"/>
      <c r="Z993" s="326"/>
      <c r="AA993" s="326"/>
    </row>
    <row r="994" spans="1:27" ht="12.75">
      <c r="A994" s="326"/>
      <c r="B994" s="326"/>
      <c r="C994" s="326"/>
      <c r="D994" s="326"/>
      <c r="E994" s="326"/>
      <c r="F994" s="326"/>
      <c r="G994" s="326"/>
      <c r="H994" s="326"/>
      <c r="I994" s="326"/>
      <c r="J994" s="326"/>
      <c r="K994" s="326"/>
      <c r="L994" s="326"/>
      <c r="M994" s="326"/>
      <c r="N994" s="326"/>
      <c r="O994" s="326"/>
      <c r="P994" s="326"/>
      <c r="Q994" s="326"/>
      <c r="R994" s="326"/>
      <c r="S994" s="326"/>
      <c r="T994" s="326"/>
      <c r="U994" s="326"/>
      <c r="V994" s="326"/>
      <c r="W994" s="326"/>
      <c r="X994" s="326"/>
      <c r="Y994" s="326"/>
      <c r="Z994" s="326"/>
      <c r="AA994" s="326"/>
    </row>
    <row r="995" spans="1:27" ht="12.75">
      <c r="A995" s="326"/>
      <c r="B995" s="326"/>
      <c r="C995" s="326"/>
      <c r="D995" s="326"/>
      <c r="E995" s="326"/>
      <c r="F995" s="326"/>
      <c r="G995" s="326"/>
      <c r="H995" s="326"/>
      <c r="I995" s="326"/>
      <c r="J995" s="326"/>
      <c r="K995" s="326"/>
      <c r="L995" s="326"/>
      <c r="M995" s="326"/>
      <c r="N995" s="326"/>
      <c r="O995" s="326"/>
      <c r="P995" s="326"/>
      <c r="Q995" s="326"/>
      <c r="R995" s="326"/>
      <c r="S995" s="326"/>
      <c r="T995" s="326"/>
      <c r="U995" s="326"/>
      <c r="V995" s="326"/>
      <c r="W995" s="326"/>
      <c r="X995" s="326"/>
      <c r="Y995" s="326"/>
      <c r="Z995" s="326"/>
      <c r="AA995" s="326"/>
    </row>
    <row r="996" spans="1:27" ht="12.75">
      <c r="A996" s="326"/>
      <c r="B996" s="326"/>
      <c r="C996" s="326"/>
      <c r="D996" s="326"/>
      <c r="E996" s="326"/>
      <c r="F996" s="326"/>
      <c r="G996" s="326"/>
      <c r="H996" s="326"/>
      <c r="I996" s="326"/>
      <c r="J996" s="326"/>
      <c r="K996" s="326"/>
      <c r="L996" s="326"/>
      <c r="M996" s="326"/>
      <c r="N996" s="326"/>
      <c r="O996" s="326"/>
      <c r="P996" s="326"/>
      <c r="Q996" s="326"/>
      <c r="R996" s="326"/>
      <c r="S996" s="326"/>
      <c r="T996" s="326"/>
      <c r="U996" s="326"/>
      <c r="V996" s="326"/>
      <c r="W996" s="326"/>
      <c r="X996" s="326"/>
      <c r="Y996" s="326"/>
      <c r="Z996" s="326"/>
      <c r="AA996" s="326"/>
    </row>
    <row r="997" spans="1:27" ht="12.75">
      <c r="A997" s="326"/>
      <c r="B997" s="326"/>
      <c r="C997" s="326"/>
      <c r="D997" s="326"/>
      <c r="E997" s="326"/>
      <c r="F997" s="326"/>
      <c r="G997" s="326"/>
      <c r="H997" s="326"/>
      <c r="I997" s="326"/>
      <c r="J997" s="326"/>
      <c r="K997" s="326"/>
      <c r="L997" s="326"/>
      <c r="M997" s="326"/>
      <c r="N997" s="326"/>
      <c r="O997" s="326"/>
      <c r="P997" s="326"/>
      <c r="Q997" s="326"/>
      <c r="R997" s="326"/>
      <c r="S997" s="326"/>
      <c r="T997" s="326"/>
      <c r="U997" s="326"/>
      <c r="V997" s="326"/>
      <c r="W997" s="326"/>
      <c r="X997" s="326"/>
      <c r="Y997" s="326"/>
      <c r="Z997" s="326"/>
      <c r="AA997" s="326"/>
    </row>
    <row r="998" spans="1:27" ht="12.75">
      <c r="A998" s="326"/>
      <c r="B998" s="326"/>
      <c r="C998" s="326"/>
      <c r="D998" s="326"/>
      <c r="E998" s="326"/>
      <c r="F998" s="326"/>
      <c r="G998" s="326"/>
      <c r="H998" s="326"/>
      <c r="I998" s="326"/>
      <c r="J998" s="326"/>
      <c r="K998" s="326"/>
      <c r="L998" s="326"/>
      <c r="M998" s="326"/>
      <c r="N998" s="326"/>
      <c r="O998" s="326"/>
      <c r="P998" s="326"/>
      <c r="Q998" s="326"/>
      <c r="R998" s="326"/>
      <c r="S998" s="326"/>
      <c r="T998" s="326"/>
      <c r="U998" s="326"/>
      <c r="V998" s="326"/>
      <c r="W998" s="326"/>
      <c r="X998" s="326"/>
      <c r="Y998" s="326"/>
      <c r="Z998" s="326"/>
      <c r="AA998" s="326"/>
    </row>
    <row r="999" spans="1:27" ht="12.75">
      <c r="A999" s="326"/>
      <c r="B999" s="326"/>
      <c r="C999" s="326"/>
      <c r="D999" s="326"/>
      <c r="E999" s="326"/>
      <c r="F999" s="326"/>
      <c r="G999" s="326"/>
      <c r="H999" s="326"/>
      <c r="I999" s="326"/>
      <c r="J999" s="326"/>
      <c r="K999" s="326"/>
      <c r="L999" s="326"/>
      <c r="M999" s="326"/>
      <c r="N999" s="326"/>
      <c r="O999" s="326"/>
      <c r="P999" s="326"/>
      <c r="Q999" s="326"/>
      <c r="R999" s="326"/>
      <c r="S999" s="326"/>
      <c r="T999" s="326"/>
      <c r="U999" s="326"/>
      <c r="V999" s="326"/>
      <c r="W999" s="326"/>
      <c r="X999" s="326"/>
      <c r="Y999" s="326"/>
      <c r="Z999" s="326"/>
      <c r="AA999" s="326"/>
    </row>
    <row r="1000" spans="1:27" ht="12.75">
      <c r="A1000" s="326"/>
      <c r="B1000" s="326"/>
      <c r="C1000" s="326"/>
      <c r="D1000" s="326"/>
      <c r="E1000" s="326"/>
      <c r="F1000" s="326"/>
      <c r="G1000" s="326"/>
      <c r="H1000" s="326"/>
      <c r="I1000" s="326"/>
      <c r="J1000" s="326"/>
      <c r="K1000" s="326"/>
      <c r="L1000" s="326"/>
      <c r="M1000" s="326"/>
      <c r="N1000" s="326"/>
      <c r="O1000" s="326"/>
      <c r="P1000" s="326"/>
      <c r="Q1000" s="326"/>
      <c r="R1000" s="326"/>
      <c r="S1000" s="326"/>
      <c r="T1000" s="326"/>
      <c r="U1000" s="326"/>
      <c r="V1000" s="326"/>
      <c r="W1000" s="326"/>
      <c r="X1000" s="326"/>
      <c r="Y1000" s="326"/>
      <c r="Z1000" s="326"/>
      <c r="AA1000" s="326"/>
    </row>
  </sheetData>
  <autoFilter ref="A1:AA78"/>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144"/>
  <sheetViews>
    <sheetView workbookViewId="0"/>
  </sheetViews>
  <sheetFormatPr defaultColWidth="12.5703125" defaultRowHeight="15.75" customHeight="1"/>
  <cols>
    <col min="1" max="1" width="55.42578125" customWidth="1"/>
  </cols>
  <sheetData>
    <row r="1" spans="1:2" ht="15.75" customHeight="1">
      <c r="A1" s="85" t="s">
        <v>100</v>
      </c>
      <c r="B1" s="324">
        <v>80</v>
      </c>
    </row>
    <row r="2" spans="1:2" ht="15.75" customHeight="1">
      <c r="A2" s="85" t="s">
        <v>102</v>
      </c>
      <c r="B2" s="324">
        <v>20</v>
      </c>
    </row>
    <row r="3" spans="1:2" ht="15.75" customHeight="1">
      <c r="A3" s="85" t="s">
        <v>104</v>
      </c>
      <c r="B3" s="324">
        <v>30</v>
      </c>
    </row>
    <row r="4" spans="1:2" ht="15.75" customHeight="1">
      <c r="A4" s="85" t="s">
        <v>105</v>
      </c>
      <c r="B4" s="324">
        <v>5</v>
      </c>
    </row>
    <row r="5" spans="1:2" ht="15.75" customHeight="1">
      <c r="A5" s="85" t="s">
        <v>106</v>
      </c>
      <c r="B5" s="324">
        <v>20</v>
      </c>
    </row>
    <row r="6" spans="1:2" ht="15.75" customHeight="1">
      <c r="A6" s="85" t="s">
        <v>36</v>
      </c>
      <c r="B6" s="324">
        <v>5</v>
      </c>
    </row>
    <row r="7" spans="1:2" ht="15.75" customHeight="1">
      <c r="A7" s="85" t="s">
        <v>356</v>
      </c>
      <c r="B7" s="324">
        <v>1</v>
      </c>
    </row>
    <row r="8" spans="1:2" ht="15.75" customHeight="1">
      <c r="A8" s="85" t="s">
        <v>111</v>
      </c>
      <c r="B8" s="324">
        <v>7</v>
      </c>
    </row>
    <row r="9" spans="1:2" ht="15.75" customHeight="1">
      <c r="A9" s="85" t="s">
        <v>21</v>
      </c>
      <c r="B9" s="324">
        <v>30</v>
      </c>
    </row>
    <row r="10" spans="1:2" ht="15.75" customHeight="1">
      <c r="A10" s="85" t="s">
        <v>119</v>
      </c>
      <c r="B10" s="324">
        <v>10</v>
      </c>
    </row>
    <row r="11" spans="1:2" ht="15.75" customHeight="1">
      <c r="A11" s="85" t="s">
        <v>120</v>
      </c>
      <c r="B11" s="324">
        <v>8</v>
      </c>
    </row>
    <row r="12" spans="1:2" ht="15.75" customHeight="1">
      <c r="A12" s="85" t="s">
        <v>131</v>
      </c>
      <c r="B12" s="324">
        <v>7</v>
      </c>
    </row>
    <row r="13" spans="1:2" ht="15.75" customHeight="1">
      <c r="A13" s="85" t="s">
        <v>135</v>
      </c>
      <c r="B13" s="324">
        <v>10</v>
      </c>
    </row>
    <row r="14" spans="1:2" ht="15.75" customHeight="1">
      <c r="A14" s="85" t="s">
        <v>136</v>
      </c>
      <c r="B14" s="324">
        <v>10</v>
      </c>
    </row>
    <row r="15" spans="1:2" ht="15.75" customHeight="1">
      <c r="A15" s="85" t="s">
        <v>141</v>
      </c>
      <c r="B15" s="324">
        <v>60</v>
      </c>
    </row>
    <row r="16" spans="1:2" ht="15.75" customHeight="1">
      <c r="A16" s="85" t="s">
        <v>142</v>
      </c>
      <c r="B16" s="324">
        <v>20</v>
      </c>
    </row>
    <row r="17" spans="1:2" ht="15.75" customHeight="1">
      <c r="A17" s="85" t="s">
        <v>143</v>
      </c>
      <c r="B17" s="324">
        <v>10</v>
      </c>
    </row>
    <row r="18" spans="1:2" ht="15.75" customHeight="1">
      <c r="A18" s="85" t="s">
        <v>144</v>
      </c>
      <c r="B18" s="324">
        <v>20</v>
      </c>
    </row>
    <row r="19" spans="1:2" ht="15.75" customHeight="1">
      <c r="A19" s="85" t="s">
        <v>145</v>
      </c>
      <c r="B19" s="324">
        <v>70</v>
      </c>
    </row>
    <row r="20" spans="1:2" ht="15.75" customHeight="1">
      <c r="A20" s="85" t="s">
        <v>964</v>
      </c>
      <c r="B20" s="324">
        <v>7</v>
      </c>
    </row>
    <row r="21" spans="1:2" ht="15.75" customHeight="1">
      <c r="A21" s="85" t="s">
        <v>146</v>
      </c>
      <c r="B21" s="324">
        <v>1</v>
      </c>
    </row>
    <row r="22" spans="1:2" ht="15.75" customHeight="1">
      <c r="A22" s="85" t="s">
        <v>148</v>
      </c>
      <c r="B22" s="324">
        <v>2</v>
      </c>
    </row>
    <row r="23" spans="1:2" ht="15.75" customHeight="1">
      <c r="A23" s="85" t="s">
        <v>149</v>
      </c>
      <c r="B23" s="324">
        <v>4</v>
      </c>
    </row>
    <row r="24" spans="1:2" ht="15.75" customHeight="1">
      <c r="A24" s="85" t="s">
        <v>527</v>
      </c>
      <c r="B24" s="324">
        <v>0</v>
      </c>
    </row>
    <row r="25" spans="1:2" ht="15.75" customHeight="1">
      <c r="A25" s="85" t="s">
        <v>150</v>
      </c>
      <c r="B25" s="324">
        <v>0</v>
      </c>
    </row>
    <row r="26" spans="1:2" ht="15.75" customHeight="1">
      <c r="A26" s="85" t="s">
        <v>152</v>
      </c>
      <c r="B26" s="324">
        <v>2</v>
      </c>
    </row>
    <row r="27" spans="1:2" ht="15.75" customHeight="1">
      <c r="A27" s="85" t="s">
        <v>154</v>
      </c>
      <c r="B27" s="324">
        <v>60</v>
      </c>
    </row>
    <row r="28" spans="1:2" ht="15.75" customHeight="1">
      <c r="A28" s="85" t="s">
        <v>156</v>
      </c>
      <c r="B28" s="324">
        <v>40</v>
      </c>
    </row>
    <row r="29" spans="1:2" ht="15.75" customHeight="1">
      <c r="A29" s="85" t="s">
        <v>157</v>
      </c>
      <c r="B29" s="324">
        <v>41</v>
      </c>
    </row>
    <row r="30" spans="1:2" ht="15.75" customHeight="1">
      <c r="A30" s="85" t="s">
        <v>158</v>
      </c>
      <c r="B30" s="324">
        <v>1</v>
      </c>
    </row>
    <row r="31" spans="1:2" ht="15.75" customHeight="1">
      <c r="A31" s="85" t="s">
        <v>1323</v>
      </c>
      <c r="B31" s="324">
        <v>24</v>
      </c>
    </row>
    <row r="32" spans="1:2" ht="15.75" customHeight="1">
      <c r="A32" s="85" t="s">
        <v>159</v>
      </c>
      <c r="B32" s="324">
        <v>50</v>
      </c>
    </row>
    <row r="33" spans="1:2" ht="15.75" customHeight="1">
      <c r="A33" s="85" t="s">
        <v>160</v>
      </c>
      <c r="B33" s="324">
        <v>50</v>
      </c>
    </row>
    <row r="34" spans="1:2" ht="15.75" customHeight="1">
      <c r="A34" s="85" t="s">
        <v>161</v>
      </c>
      <c r="B34" s="324">
        <v>40</v>
      </c>
    </row>
    <row r="35" spans="1:2" ht="15.75" customHeight="1">
      <c r="A35" s="85" t="s">
        <v>162</v>
      </c>
      <c r="B35" s="324">
        <v>40</v>
      </c>
    </row>
    <row r="36" spans="1:2" ht="15.75" customHeight="1">
      <c r="A36" s="85" t="s">
        <v>163</v>
      </c>
      <c r="B36" s="324">
        <v>30</v>
      </c>
    </row>
    <row r="37" spans="1:2" ht="15.75" customHeight="1">
      <c r="A37" s="85" t="s">
        <v>164</v>
      </c>
      <c r="B37" s="324">
        <v>30</v>
      </c>
    </row>
    <row r="38" spans="1:2" ht="15.75" customHeight="1">
      <c r="A38" s="85" t="s">
        <v>165</v>
      </c>
      <c r="B38" s="324">
        <v>10</v>
      </c>
    </row>
    <row r="39" spans="1:2" ht="15.75" customHeight="1">
      <c r="A39" s="85" t="s">
        <v>166</v>
      </c>
      <c r="B39" s="324">
        <v>10</v>
      </c>
    </row>
    <row r="40" spans="1:2" ht="15.75" customHeight="1">
      <c r="A40" s="85" t="s">
        <v>167</v>
      </c>
      <c r="B40" s="324">
        <v>10</v>
      </c>
    </row>
    <row r="41" spans="1:2" ht="15.75" customHeight="1">
      <c r="A41" s="85" t="s">
        <v>168</v>
      </c>
      <c r="B41" s="324">
        <v>75</v>
      </c>
    </row>
    <row r="42" spans="1:2" ht="15.75" customHeight="1">
      <c r="A42" s="85" t="s">
        <v>182</v>
      </c>
      <c r="B42" s="324">
        <v>30</v>
      </c>
    </row>
    <row r="43" spans="1:2" ht="15.75" customHeight="1">
      <c r="A43" s="85" t="s">
        <v>183</v>
      </c>
      <c r="B43" s="324">
        <v>30</v>
      </c>
    </row>
    <row r="44" spans="1:2" ht="15.75" customHeight="1">
      <c r="A44" s="85" t="s">
        <v>185</v>
      </c>
      <c r="B44" s="324">
        <v>30</v>
      </c>
    </row>
    <row r="45" spans="1:2" ht="15.75" customHeight="1">
      <c r="A45" s="85" t="s">
        <v>186</v>
      </c>
      <c r="B45" s="324">
        <v>30</v>
      </c>
    </row>
    <row r="46" spans="1:2" ht="15.75" customHeight="1">
      <c r="A46" s="85" t="s">
        <v>187</v>
      </c>
      <c r="B46" s="324">
        <v>30</v>
      </c>
    </row>
    <row r="47" spans="1:2" ht="15.75" customHeight="1">
      <c r="A47" s="85" t="s">
        <v>1554</v>
      </c>
      <c r="B47" s="324">
        <v>12</v>
      </c>
    </row>
    <row r="48" spans="1:2" ht="15.75" customHeight="1">
      <c r="A48" s="85" t="s">
        <v>1635</v>
      </c>
      <c r="B48" s="324">
        <v>1</v>
      </c>
    </row>
    <row r="49" spans="1:2" ht="15.75" customHeight="1">
      <c r="A49" s="85" t="s">
        <v>1631</v>
      </c>
      <c r="B49" s="324">
        <v>2</v>
      </c>
    </row>
    <row r="50" spans="1:2" ht="15.75" customHeight="1">
      <c r="A50" s="85" t="s">
        <v>1561</v>
      </c>
      <c r="B50" s="324">
        <v>40</v>
      </c>
    </row>
    <row r="51" spans="1:2" ht="15.75" customHeight="1">
      <c r="A51" s="85" t="s">
        <v>1564</v>
      </c>
      <c r="B51" s="324">
        <v>20</v>
      </c>
    </row>
    <row r="52" spans="1:2" ht="15.75" customHeight="1">
      <c r="A52" s="85" t="s">
        <v>1568</v>
      </c>
      <c r="B52" s="324">
        <v>20</v>
      </c>
    </row>
    <row r="53" spans="1:2" ht="15.75" customHeight="1">
      <c r="A53" s="85" t="s">
        <v>1566</v>
      </c>
      <c r="B53" s="324">
        <v>20</v>
      </c>
    </row>
    <row r="54" spans="1:2" ht="15.75" customHeight="1">
      <c r="A54" s="85" t="s">
        <v>188</v>
      </c>
      <c r="B54" s="324">
        <v>4</v>
      </c>
    </row>
    <row r="55" spans="1:2" ht="15.75" customHeight="1">
      <c r="A55" s="85" t="s">
        <v>1066</v>
      </c>
      <c r="B55" s="324">
        <v>2</v>
      </c>
    </row>
    <row r="56" spans="1:2" ht="15.75" customHeight="1">
      <c r="A56" s="85" t="s">
        <v>190</v>
      </c>
      <c r="B56" s="324">
        <v>150</v>
      </c>
    </row>
    <row r="57" spans="1:2" ht="15.75" customHeight="1">
      <c r="A57" s="85" t="s">
        <v>191</v>
      </c>
      <c r="B57" s="324">
        <v>40</v>
      </c>
    </row>
    <row r="58" spans="1:2" ht="15.75" customHeight="1">
      <c r="A58" s="85" t="s">
        <v>192</v>
      </c>
      <c r="B58" s="324">
        <v>2</v>
      </c>
    </row>
    <row r="59" spans="1:2" ht="15.75" customHeight="1">
      <c r="A59" s="85" t="s">
        <v>193</v>
      </c>
      <c r="B59" s="324">
        <v>5</v>
      </c>
    </row>
    <row r="60" spans="1:2" ht="15.75" customHeight="1">
      <c r="A60" s="85" t="s">
        <v>1523</v>
      </c>
      <c r="B60" s="324">
        <v>35</v>
      </c>
    </row>
    <row r="61" spans="1:2" ht="12.75">
      <c r="A61" s="85" t="s">
        <v>2939</v>
      </c>
      <c r="B61" s="324">
        <v>6</v>
      </c>
    </row>
    <row r="62" spans="1:2" ht="12.75">
      <c r="A62" s="85" t="s">
        <v>195</v>
      </c>
      <c r="B62" s="324">
        <v>7</v>
      </c>
    </row>
    <row r="63" spans="1:2" ht="12.75">
      <c r="A63" s="85" t="s">
        <v>2940</v>
      </c>
      <c r="B63" s="324">
        <v>4</v>
      </c>
    </row>
    <row r="64" spans="1:2" ht="12.75">
      <c r="A64" s="85" t="s">
        <v>199</v>
      </c>
      <c r="B64" s="324">
        <v>200</v>
      </c>
    </row>
    <row r="65" spans="1:2" ht="12.75">
      <c r="A65" s="85" t="s">
        <v>209</v>
      </c>
      <c r="B65" s="324">
        <v>200</v>
      </c>
    </row>
    <row r="66" spans="1:2" ht="12.75">
      <c r="A66" s="85" t="s">
        <v>210</v>
      </c>
      <c r="B66" s="324">
        <v>200</v>
      </c>
    </row>
    <row r="67" spans="1:2" ht="12.75">
      <c r="A67" s="85" t="s">
        <v>211</v>
      </c>
      <c r="B67" s="324">
        <v>200</v>
      </c>
    </row>
    <row r="68" spans="1:2" ht="12.75">
      <c r="A68" s="85" t="s">
        <v>212</v>
      </c>
      <c r="B68" s="324">
        <v>200</v>
      </c>
    </row>
    <row r="69" spans="1:2" ht="12.75">
      <c r="A69" s="85" t="s">
        <v>216</v>
      </c>
      <c r="B69" s="324">
        <v>200</v>
      </c>
    </row>
    <row r="70" spans="1:2" ht="12.75">
      <c r="A70" s="85" t="s">
        <v>217</v>
      </c>
      <c r="B70" s="324">
        <v>200</v>
      </c>
    </row>
    <row r="71" spans="1:2" ht="12.75">
      <c r="A71" s="85" t="s">
        <v>218</v>
      </c>
      <c r="B71" s="324">
        <v>200</v>
      </c>
    </row>
    <row r="72" spans="1:2" ht="12.75">
      <c r="A72" s="85" t="s">
        <v>69</v>
      </c>
      <c r="B72" s="324">
        <v>20</v>
      </c>
    </row>
    <row r="73" spans="1:2" ht="12.75">
      <c r="A73" s="85" t="s">
        <v>219</v>
      </c>
      <c r="B73" s="324">
        <v>200</v>
      </c>
    </row>
    <row r="74" spans="1:2" ht="12.75">
      <c r="A74" s="85" t="s">
        <v>220</v>
      </c>
      <c r="B74" s="324">
        <v>7</v>
      </c>
    </row>
    <row r="75" spans="1:2" ht="12.75">
      <c r="A75" s="85" t="s">
        <v>221</v>
      </c>
      <c r="B75" s="324">
        <v>24</v>
      </c>
    </row>
    <row r="76" spans="1:2" ht="12.75">
      <c r="A76" s="85" t="s">
        <v>222</v>
      </c>
      <c r="B76" s="324">
        <v>1</v>
      </c>
    </row>
    <row r="77" spans="1:2" ht="12.75">
      <c r="A77" s="85" t="s">
        <v>223</v>
      </c>
      <c r="B77" s="324">
        <v>2</v>
      </c>
    </row>
    <row r="78" spans="1:2" ht="25.5">
      <c r="A78" s="85" t="s">
        <v>2941</v>
      </c>
      <c r="B78" s="324">
        <v>1</v>
      </c>
    </row>
    <row r="79" spans="1:2" ht="12.75">
      <c r="A79" s="85" t="s">
        <v>224</v>
      </c>
      <c r="B79" s="324">
        <v>20</v>
      </c>
    </row>
    <row r="80" spans="1:2" ht="12.75">
      <c r="A80" s="85" t="s">
        <v>225</v>
      </c>
      <c r="B80" s="324">
        <v>10</v>
      </c>
    </row>
    <row r="81" spans="1:2" ht="12.75">
      <c r="A81" s="85" t="s">
        <v>226</v>
      </c>
      <c r="B81" s="324">
        <v>20</v>
      </c>
    </row>
    <row r="82" spans="1:2" ht="12.75">
      <c r="A82" s="85" t="s">
        <v>1573</v>
      </c>
      <c r="B82" s="324">
        <v>10</v>
      </c>
    </row>
    <row r="83" spans="1:2" ht="12.75">
      <c r="A83" s="85" t="s">
        <v>1576</v>
      </c>
      <c r="B83" s="324">
        <v>11</v>
      </c>
    </row>
    <row r="84" spans="1:2" ht="12.75">
      <c r="A84" s="85" t="s">
        <v>2942</v>
      </c>
      <c r="B84" s="324">
        <v>200</v>
      </c>
    </row>
    <row r="85" spans="1:2" ht="12.75">
      <c r="A85" s="85" t="s">
        <v>227</v>
      </c>
      <c r="B85" s="324">
        <v>100</v>
      </c>
    </row>
    <row r="86" spans="1:2" ht="12.75">
      <c r="A86" s="85" t="s">
        <v>228</v>
      </c>
      <c r="B86" s="324">
        <v>100</v>
      </c>
    </row>
    <row r="87" spans="1:2" ht="12.75">
      <c r="A87" s="85" t="s">
        <v>229</v>
      </c>
      <c r="B87" s="324">
        <v>100</v>
      </c>
    </row>
    <row r="88" spans="1:2" ht="12.75">
      <c r="A88" s="85" t="s">
        <v>230</v>
      </c>
      <c r="B88" s="324">
        <v>100</v>
      </c>
    </row>
    <row r="89" spans="1:2" ht="12.75">
      <c r="A89" s="85" t="s">
        <v>1588</v>
      </c>
      <c r="B89" s="324">
        <v>50</v>
      </c>
    </row>
    <row r="90" spans="1:2" ht="25.5">
      <c r="A90" s="85" t="s">
        <v>231</v>
      </c>
      <c r="B90" s="324">
        <v>14</v>
      </c>
    </row>
    <row r="91" spans="1:2" ht="25.5">
      <c r="A91" s="85" t="s">
        <v>232</v>
      </c>
      <c r="B91" s="324">
        <v>10</v>
      </c>
    </row>
    <row r="92" spans="1:2" ht="12.75">
      <c r="A92" s="85" t="s">
        <v>740</v>
      </c>
      <c r="B92" s="324">
        <v>2</v>
      </c>
    </row>
    <row r="93" spans="1:2" ht="12.75">
      <c r="A93" s="85" t="s">
        <v>233</v>
      </c>
      <c r="B93" s="324">
        <v>24</v>
      </c>
    </row>
    <row r="94" spans="1:2" ht="12.75">
      <c r="A94" s="85" t="s">
        <v>234</v>
      </c>
      <c r="B94" s="324">
        <v>82</v>
      </c>
    </row>
    <row r="95" spans="1:2" ht="12.75">
      <c r="A95" s="85" t="s">
        <v>41</v>
      </c>
      <c r="B95" s="324">
        <v>6</v>
      </c>
    </row>
    <row r="96" spans="1:2" ht="12.75">
      <c r="A96" s="85" t="s">
        <v>1340</v>
      </c>
      <c r="B96" s="324">
        <v>1</v>
      </c>
    </row>
    <row r="97" spans="1:2" ht="12.75">
      <c r="A97" s="85" t="s">
        <v>1600</v>
      </c>
      <c r="B97" s="324">
        <v>1</v>
      </c>
    </row>
    <row r="98" spans="1:2" ht="12.75">
      <c r="A98" s="85" t="s">
        <v>238</v>
      </c>
      <c r="B98" s="324">
        <v>2</v>
      </c>
    </row>
    <row r="99" spans="1:2" ht="38.25">
      <c r="A99" s="85" t="s">
        <v>393</v>
      </c>
      <c r="B99" s="324">
        <v>1</v>
      </c>
    </row>
    <row r="100" spans="1:2" ht="12.75">
      <c r="A100" s="85" t="s">
        <v>2943</v>
      </c>
      <c r="B100" s="324">
        <v>6</v>
      </c>
    </row>
    <row r="101" spans="1:2" ht="12.75">
      <c r="A101" s="85" t="s">
        <v>239</v>
      </c>
      <c r="B101" s="324">
        <v>88</v>
      </c>
    </row>
    <row r="102" spans="1:2" ht="12.75">
      <c r="A102" s="85" t="s">
        <v>240</v>
      </c>
      <c r="B102" s="324">
        <v>2</v>
      </c>
    </row>
    <row r="103" spans="1:2" ht="12.75">
      <c r="A103" s="85" t="s">
        <v>241</v>
      </c>
      <c r="B103" s="324">
        <v>5</v>
      </c>
    </row>
    <row r="104" spans="1:2" ht="12.75">
      <c r="A104" s="85" t="s">
        <v>1277</v>
      </c>
      <c r="B104" s="324">
        <v>1</v>
      </c>
    </row>
    <row r="105" spans="1:2" ht="12.75">
      <c r="A105" s="85" t="s">
        <v>242</v>
      </c>
      <c r="B105" s="324">
        <v>700</v>
      </c>
    </row>
    <row r="106" spans="1:2" ht="12.75">
      <c r="A106" s="85" t="s">
        <v>243</v>
      </c>
      <c r="B106" s="324">
        <v>2</v>
      </c>
    </row>
    <row r="107" spans="1:2" ht="12.75">
      <c r="A107" s="85" t="s">
        <v>244</v>
      </c>
      <c r="B107" s="324">
        <v>3</v>
      </c>
    </row>
    <row r="108" spans="1:2" ht="12.75">
      <c r="A108" s="85" t="s">
        <v>1584</v>
      </c>
      <c r="B108" s="324">
        <v>400</v>
      </c>
    </row>
    <row r="109" spans="1:2" ht="12.75">
      <c r="A109" s="85" t="s">
        <v>1581</v>
      </c>
      <c r="B109" s="324">
        <v>400</v>
      </c>
    </row>
    <row r="110" spans="1:2" ht="12.75">
      <c r="A110" s="85" t="s">
        <v>245</v>
      </c>
      <c r="B110" s="324">
        <v>1000</v>
      </c>
    </row>
    <row r="111" spans="1:2" ht="12.75">
      <c r="A111" s="85" t="s">
        <v>246</v>
      </c>
      <c r="B111" s="324">
        <v>5</v>
      </c>
    </row>
    <row r="112" spans="1:2" ht="12.75">
      <c r="A112" s="85" t="s">
        <v>247</v>
      </c>
      <c r="B112" s="324">
        <v>4</v>
      </c>
    </row>
    <row r="113" spans="1:2" ht="12.75">
      <c r="A113" s="85" t="s">
        <v>248</v>
      </c>
      <c r="B113" s="324">
        <v>10</v>
      </c>
    </row>
    <row r="114" spans="1:2" ht="12.75">
      <c r="A114" s="85" t="s">
        <v>31</v>
      </c>
      <c r="B114" s="324">
        <v>20</v>
      </c>
    </row>
    <row r="115" spans="1:2" ht="12.75">
      <c r="A115" s="85" t="s">
        <v>249</v>
      </c>
      <c r="B115" s="324">
        <v>2</v>
      </c>
    </row>
    <row r="116" spans="1:2" ht="12.75">
      <c r="A116" s="85" t="s">
        <v>250</v>
      </c>
      <c r="B116" s="324">
        <v>70</v>
      </c>
    </row>
    <row r="117" spans="1:2" ht="12.75">
      <c r="A117" s="85" t="s">
        <v>408</v>
      </c>
      <c r="B117" s="324">
        <v>1</v>
      </c>
    </row>
    <row r="118" spans="1:2" ht="12.75">
      <c r="A118" s="85" t="s">
        <v>251</v>
      </c>
      <c r="B118" s="324">
        <v>2</v>
      </c>
    </row>
    <row r="119" spans="1:2" ht="12.75">
      <c r="A119" s="85" t="s">
        <v>252</v>
      </c>
      <c r="B119" s="324">
        <v>4</v>
      </c>
    </row>
    <row r="120" spans="1:2" ht="12.75">
      <c r="A120" s="85" t="s">
        <v>253</v>
      </c>
      <c r="B120" s="324">
        <v>20</v>
      </c>
    </row>
    <row r="121" spans="1:2" ht="12.75">
      <c r="A121" s="85" t="s">
        <v>254</v>
      </c>
      <c r="B121" s="324">
        <v>20</v>
      </c>
    </row>
    <row r="122" spans="1:2" ht="12.75">
      <c r="A122" s="85" t="s">
        <v>255</v>
      </c>
      <c r="B122" s="324">
        <v>10</v>
      </c>
    </row>
    <row r="123" spans="1:2" ht="12.75">
      <c r="A123" s="85" t="s">
        <v>256</v>
      </c>
      <c r="B123" s="324">
        <v>8</v>
      </c>
    </row>
    <row r="124" spans="1:2" ht="12.75">
      <c r="A124" s="85" t="s">
        <v>257</v>
      </c>
      <c r="B124" s="324">
        <v>12</v>
      </c>
    </row>
    <row r="125" spans="1:2" ht="12.75">
      <c r="A125" s="85" t="s">
        <v>258</v>
      </c>
      <c r="B125" s="324">
        <v>24</v>
      </c>
    </row>
    <row r="126" spans="1:2" ht="12.75">
      <c r="A126" s="85" t="s">
        <v>259</v>
      </c>
      <c r="B126" s="324">
        <v>50</v>
      </c>
    </row>
    <row r="127" spans="1:2" ht="12.75">
      <c r="A127" s="85" t="s">
        <v>260</v>
      </c>
      <c r="B127" s="324">
        <v>8</v>
      </c>
    </row>
    <row r="128" spans="1:2" ht="12.75">
      <c r="A128" s="85" t="s">
        <v>1639</v>
      </c>
      <c r="B128" s="324">
        <v>2</v>
      </c>
    </row>
    <row r="129" spans="1:2" ht="12.75">
      <c r="A129" s="85" t="s">
        <v>261</v>
      </c>
      <c r="B129" s="324">
        <v>2</v>
      </c>
    </row>
    <row r="130" spans="1:2" ht="12.75">
      <c r="A130" s="85" t="s">
        <v>262</v>
      </c>
      <c r="B130" s="324">
        <v>30</v>
      </c>
    </row>
    <row r="131" spans="1:2" ht="12.75">
      <c r="A131" s="85" t="s">
        <v>264</v>
      </c>
      <c r="B131" s="324">
        <v>4</v>
      </c>
    </row>
    <row r="132" spans="1:2" ht="12.75">
      <c r="A132" s="85" t="s">
        <v>265</v>
      </c>
      <c r="B132" s="324">
        <v>20</v>
      </c>
    </row>
    <row r="133" spans="1:2" ht="12.75">
      <c r="A133" s="85" t="s">
        <v>266</v>
      </c>
      <c r="B133" s="324">
        <v>50</v>
      </c>
    </row>
    <row r="134" spans="1:2" ht="12.75">
      <c r="A134" s="85" t="s">
        <v>267</v>
      </c>
      <c r="B134" s="324">
        <v>50</v>
      </c>
    </row>
    <row r="135" spans="1:2" ht="12.75">
      <c r="A135" s="85" t="s">
        <v>268</v>
      </c>
      <c r="B135" s="324">
        <v>40</v>
      </c>
    </row>
    <row r="136" spans="1:2" ht="12.75">
      <c r="A136" s="85" t="s">
        <v>269</v>
      </c>
      <c r="B136" s="324">
        <v>40</v>
      </c>
    </row>
    <row r="137" spans="1:2" ht="12.75">
      <c r="A137" s="85" t="s">
        <v>270</v>
      </c>
      <c r="B137" s="324">
        <v>30</v>
      </c>
    </row>
    <row r="138" spans="1:2" ht="12.75">
      <c r="A138" s="85" t="s">
        <v>271</v>
      </c>
      <c r="B138" s="324">
        <v>30</v>
      </c>
    </row>
    <row r="139" spans="1:2" ht="12.75">
      <c r="A139" s="85" t="s">
        <v>272</v>
      </c>
      <c r="B139" s="324">
        <v>10</v>
      </c>
    </row>
    <row r="140" spans="1:2" ht="12.75">
      <c r="A140" s="85" t="s">
        <v>273</v>
      </c>
      <c r="B140" s="324">
        <v>10</v>
      </c>
    </row>
    <row r="141" spans="1:2" ht="12.75">
      <c r="A141" s="85" t="s">
        <v>274</v>
      </c>
      <c r="B141" s="324">
        <v>10</v>
      </c>
    </row>
    <row r="142" spans="1:2" ht="12.75">
      <c r="A142" s="85" t="s">
        <v>275</v>
      </c>
      <c r="B142" s="324">
        <v>40</v>
      </c>
    </row>
    <row r="143" spans="1:2" ht="12.75">
      <c r="A143" s="85" t="s">
        <v>1150</v>
      </c>
      <c r="B143" s="324">
        <v>30</v>
      </c>
    </row>
    <row r="144" spans="1:2" ht="12.75">
      <c r="A144" s="85" t="s">
        <v>276</v>
      </c>
      <c r="B144" s="324">
        <v>11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outlinePr summaryBelow="0" summaryRight="0"/>
  </sheetPr>
  <dimension ref="A1:AD942"/>
  <sheetViews>
    <sheetView workbookViewId="0">
      <pane xSplit="4" ySplit="4" topLeftCell="E5" activePane="bottomRight" state="frozen"/>
      <selection pane="topRight" activeCell="E1" sqref="E1"/>
      <selection pane="bottomLeft" activeCell="A5" sqref="A5"/>
      <selection pane="bottomRight" activeCell="E5" sqref="E5"/>
    </sheetView>
  </sheetViews>
  <sheetFormatPr defaultColWidth="12.5703125" defaultRowHeight="15.75" customHeight="1"/>
  <cols>
    <col min="1" max="1" width="3.5703125" customWidth="1"/>
    <col min="2" max="2" width="63" customWidth="1"/>
    <col min="5" max="5" width="14.5703125" customWidth="1"/>
    <col min="8" max="23" width="5.42578125" customWidth="1"/>
    <col min="24" max="24" width="19.140625" customWidth="1"/>
    <col min="25" max="25" width="31.140625" customWidth="1"/>
    <col min="26" max="26" width="15.5703125" customWidth="1"/>
    <col min="27" max="27" width="43.5703125" customWidth="1"/>
    <col min="28" max="28" width="16.85546875" customWidth="1"/>
    <col min="29" max="29" width="19.42578125" customWidth="1"/>
    <col min="30" max="30" width="16.85546875" customWidth="1"/>
  </cols>
  <sheetData>
    <row r="1" spans="1:30" ht="12.75">
      <c r="A1" s="8"/>
      <c r="B1" s="83"/>
      <c r="C1" s="59"/>
      <c r="D1" s="59"/>
      <c r="E1" s="59"/>
      <c r="F1" s="59"/>
      <c r="G1" s="8"/>
      <c r="H1" s="8"/>
      <c r="I1" s="8"/>
      <c r="J1" s="8"/>
      <c r="K1" s="8"/>
      <c r="L1" s="8"/>
      <c r="M1" s="8"/>
      <c r="N1" s="8"/>
      <c r="O1" s="8"/>
      <c r="P1" s="8"/>
      <c r="Q1" s="8"/>
      <c r="R1" s="8"/>
      <c r="S1" s="8"/>
      <c r="T1" s="8"/>
      <c r="U1" s="8"/>
      <c r="V1" s="8"/>
      <c r="W1" s="8"/>
      <c r="X1" s="8"/>
      <c r="Y1" s="85"/>
      <c r="Z1" s="8"/>
      <c r="AA1" s="59"/>
      <c r="AC1" s="8"/>
    </row>
    <row r="2" spans="1:30">
      <c r="A2" s="329"/>
      <c r="B2" s="330">
        <f>SUBTOTAL(3,B5:B942)</f>
        <v>39</v>
      </c>
      <c r="C2" s="329"/>
      <c r="D2" s="329"/>
      <c r="E2" s="329"/>
      <c r="F2" s="329"/>
      <c r="G2" s="329"/>
      <c r="H2" s="329"/>
      <c r="I2" s="329"/>
      <c r="J2" s="329"/>
      <c r="K2" s="329"/>
      <c r="L2" s="329"/>
      <c r="M2" s="329"/>
      <c r="N2" s="329"/>
      <c r="O2" s="329"/>
      <c r="P2" s="329"/>
      <c r="Q2" s="329"/>
      <c r="R2" s="329"/>
      <c r="S2" s="329"/>
      <c r="T2" s="329"/>
      <c r="U2" s="329"/>
      <c r="V2" s="329"/>
      <c r="W2" s="329"/>
      <c r="X2" s="329">
        <f t="shared" ref="X2:Z2" si="0">SUBTOTAL(3,X5:X942)</f>
        <v>39</v>
      </c>
      <c r="Y2" s="330">
        <f t="shared" si="0"/>
        <v>39</v>
      </c>
      <c r="Z2" s="329">
        <f t="shared" si="0"/>
        <v>39</v>
      </c>
      <c r="AA2" s="329"/>
      <c r="AB2" s="331"/>
      <c r="AC2" s="332">
        <f ca="1">SUBTOTAL(3,AC5:AC942)</f>
        <v>1</v>
      </c>
    </row>
    <row r="3" spans="1:30" ht="63">
      <c r="A3" s="333" t="s">
        <v>320</v>
      </c>
      <c r="B3" s="333" t="s">
        <v>321</v>
      </c>
      <c r="C3" s="333" t="s">
        <v>85</v>
      </c>
      <c r="D3" s="333" t="s">
        <v>92</v>
      </c>
      <c r="E3" s="333" t="s">
        <v>93</v>
      </c>
      <c r="F3" s="333" t="s">
        <v>435</v>
      </c>
      <c r="G3" s="333" t="s">
        <v>323</v>
      </c>
      <c r="H3" s="1478" t="s">
        <v>324</v>
      </c>
      <c r="I3" s="1479"/>
      <c r="J3" s="1479"/>
      <c r="K3" s="1479"/>
      <c r="L3" s="1479"/>
      <c r="M3" s="1479"/>
      <c r="N3" s="1479"/>
      <c r="O3" s="1479"/>
      <c r="P3" s="1479"/>
      <c r="Q3" s="1479"/>
      <c r="R3" s="1479"/>
      <c r="S3" s="1479"/>
      <c r="T3" s="1479"/>
      <c r="U3" s="1479"/>
      <c r="V3" s="1479"/>
      <c r="W3" s="1438"/>
      <c r="X3" s="329"/>
      <c r="Y3" s="330"/>
      <c r="Z3" s="329"/>
      <c r="AA3" s="329"/>
      <c r="AC3" s="8"/>
      <c r="AD3" s="74"/>
    </row>
    <row r="4" spans="1:30" ht="33.75" customHeight="1">
      <c r="A4" s="334"/>
      <c r="B4" s="334"/>
      <c r="C4" s="334"/>
      <c r="D4" s="334"/>
      <c r="E4" s="334"/>
      <c r="F4" s="334"/>
      <c r="G4" s="335"/>
      <c r="H4" s="336" t="s">
        <v>436</v>
      </c>
      <c r="I4" s="336" t="s">
        <v>326</v>
      </c>
      <c r="J4" s="336" t="s">
        <v>327</v>
      </c>
      <c r="K4" s="336" t="s">
        <v>328</v>
      </c>
      <c r="L4" s="336" t="s">
        <v>437</v>
      </c>
      <c r="M4" s="336" t="s">
        <v>330</v>
      </c>
      <c r="N4" s="336" t="s">
        <v>331</v>
      </c>
      <c r="O4" s="336" t="s">
        <v>438</v>
      </c>
      <c r="P4" s="336" t="s">
        <v>439</v>
      </c>
      <c r="Q4" s="336" t="s">
        <v>334</v>
      </c>
      <c r="R4" s="336" t="s">
        <v>335</v>
      </c>
      <c r="S4" s="336" t="s">
        <v>336</v>
      </c>
      <c r="T4" s="336" t="s">
        <v>440</v>
      </c>
      <c r="U4" s="336" t="s">
        <v>338</v>
      </c>
      <c r="V4" s="336" t="s">
        <v>339</v>
      </c>
      <c r="W4" s="336" t="s">
        <v>340</v>
      </c>
      <c r="X4" s="337" t="s">
        <v>354</v>
      </c>
      <c r="Y4" s="338" t="s">
        <v>2944</v>
      </c>
      <c r="Z4" s="338" t="s">
        <v>441</v>
      </c>
      <c r="AA4" s="329" t="s">
        <v>944</v>
      </c>
      <c r="AB4" s="339"/>
      <c r="AC4" s="339"/>
      <c r="AD4" s="8"/>
    </row>
    <row r="5" spans="1:30" hidden="1">
      <c r="A5" s="337">
        <v>1</v>
      </c>
      <c r="B5" s="336" t="s">
        <v>234</v>
      </c>
      <c r="C5" s="340">
        <v>3</v>
      </c>
      <c r="D5" s="335" t="s">
        <v>103</v>
      </c>
      <c r="E5" s="341">
        <v>480</v>
      </c>
      <c r="F5" s="342">
        <v>1440</v>
      </c>
      <c r="G5" s="343" t="s">
        <v>342</v>
      </c>
      <c r="H5" s="343">
        <v>3</v>
      </c>
      <c r="I5" s="340">
        <v>3</v>
      </c>
      <c r="J5" s="344"/>
      <c r="K5" s="344"/>
      <c r="L5" s="337">
        <v>0</v>
      </c>
      <c r="M5" s="340"/>
      <c r="N5" s="344"/>
      <c r="O5" s="344"/>
      <c r="P5" s="337">
        <v>0</v>
      </c>
      <c r="Q5" s="340"/>
      <c r="R5" s="344"/>
      <c r="S5" s="344"/>
      <c r="T5" s="337">
        <v>0</v>
      </c>
      <c r="U5" s="343"/>
      <c r="V5" s="343"/>
      <c r="W5" s="343"/>
      <c r="X5" s="329" t="s">
        <v>2945</v>
      </c>
      <c r="Y5" s="336" t="str">
        <f>DB!$D$168</f>
        <v>Keyboard, Full Size, USB 2.0</v>
      </c>
      <c r="Z5" s="329" t="s">
        <v>2946</v>
      </c>
      <c r="AA5" s="329"/>
      <c r="AB5" s="345"/>
      <c r="AC5" s="339" t="str">
        <f ca="1">IFERROR(__xludf.DUMMYFUNCTION("sort(UNIQUE(X5:X942))"),"ACCOUNTING ")</f>
        <v xml:space="preserve">ACCOUNTING </v>
      </c>
    </row>
    <row r="6" spans="1:30" hidden="1">
      <c r="A6" s="335">
        <v>2</v>
      </c>
      <c r="B6" s="346" t="s">
        <v>239</v>
      </c>
      <c r="C6" s="340">
        <v>3</v>
      </c>
      <c r="D6" s="335" t="s">
        <v>103</v>
      </c>
      <c r="E6" s="341">
        <v>380</v>
      </c>
      <c r="F6" s="347">
        <v>1140</v>
      </c>
      <c r="G6" s="341" t="s">
        <v>342</v>
      </c>
      <c r="H6" s="341">
        <v>3</v>
      </c>
      <c r="I6" s="340">
        <v>3</v>
      </c>
      <c r="J6" s="344"/>
      <c r="K6" s="344"/>
      <c r="L6" s="335">
        <v>0</v>
      </c>
      <c r="M6" s="340"/>
      <c r="N6" s="344"/>
      <c r="O6" s="344"/>
      <c r="P6" s="335">
        <v>0</v>
      </c>
      <c r="Q6" s="340"/>
      <c r="R6" s="344"/>
      <c r="S6" s="344"/>
      <c r="T6" s="335">
        <v>0</v>
      </c>
      <c r="U6" s="341"/>
      <c r="V6" s="341"/>
      <c r="W6" s="341"/>
      <c r="X6" s="329" t="s">
        <v>2945</v>
      </c>
      <c r="Y6" s="346" t="str">
        <f>DB!$D$169</f>
        <v>Mouse, Optical, USB 2.0</v>
      </c>
      <c r="Z6" s="329" t="s">
        <v>2946</v>
      </c>
      <c r="AA6" s="329"/>
      <c r="AB6" s="345"/>
      <c r="AC6" s="339" t="str">
        <f ca="1">IFERROR(__xludf.DUMMYFUNCTION("""COMPUTED_VALUE"""),"ANIMAL BITE")</f>
        <v>ANIMAL BITE</v>
      </c>
    </row>
    <row r="7" spans="1:30" ht="63" hidden="1">
      <c r="A7" s="335">
        <v>3</v>
      </c>
      <c r="B7" s="346" t="s">
        <v>2947</v>
      </c>
      <c r="C7" s="340">
        <v>3</v>
      </c>
      <c r="D7" s="335" t="s">
        <v>466</v>
      </c>
      <c r="E7" s="347">
        <v>6800</v>
      </c>
      <c r="F7" s="347">
        <v>20400</v>
      </c>
      <c r="G7" s="341" t="s">
        <v>342</v>
      </c>
      <c r="H7" s="341">
        <v>3</v>
      </c>
      <c r="I7" s="340">
        <v>3</v>
      </c>
      <c r="J7" s="344"/>
      <c r="K7" s="344"/>
      <c r="L7" s="335">
        <v>0</v>
      </c>
      <c r="M7" s="340"/>
      <c r="N7" s="344"/>
      <c r="O7" s="344"/>
      <c r="P7" s="335">
        <v>0</v>
      </c>
      <c r="Q7" s="340"/>
      <c r="R7" s="344"/>
      <c r="S7" s="344"/>
      <c r="T7" s="335">
        <v>0</v>
      </c>
      <c r="U7" s="341"/>
      <c r="V7" s="341"/>
      <c r="W7" s="341"/>
      <c r="X7" s="329" t="s">
        <v>2945</v>
      </c>
      <c r="Y7" s="330" t="str">
        <f>DB!D166</f>
        <v>Digital Full-Colour Laser Copier, Full-Colour Laser Network Printer, Full-Colour Laser Network Scanner</v>
      </c>
      <c r="Z7" s="329" t="s">
        <v>2948</v>
      </c>
      <c r="AA7" s="329">
        <v>1</v>
      </c>
      <c r="AB7" s="345"/>
      <c r="AC7" s="339" t="str">
        <f ca="1">IFERROR(__xludf.DUMMYFUNCTION("""COMPUTED_VALUE"""),"BILLING AND CLAIMS SECTION")</f>
        <v>BILLING AND CLAIMS SECTION</v>
      </c>
    </row>
    <row r="8" spans="1:30" hidden="1">
      <c r="A8" s="335">
        <v>5</v>
      </c>
      <c r="B8" s="346" t="s">
        <v>568</v>
      </c>
      <c r="C8" s="340">
        <v>3</v>
      </c>
      <c r="D8" s="335" t="s">
        <v>103</v>
      </c>
      <c r="E8" s="347">
        <v>3500</v>
      </c>
      <c r="F8" s="347">
        <v>10500</v>
      </c>
      <c r="G8" s="341" t="s">
        <v>342</v>
      </c>
      <c r="H8" s="341">
        <v>0</v>
      </c>
      <c r="I8" s="340"/>
      <c r="J8" s="344"/>
      <c r="K8" s="344"/>
      <c r="L8" s="335">
        <v>0</v>
      </c>
      <c r="M8" s="340"/>
      <c r="N8" s="344"/>
      <c r="O8" s="344"/>
      <c r="P8" s="335">
        <v>0</v>
      </c>
      <c r="Q8" s="340"/>
      <c r="R8" s="344"/>
      <c r="S8" s="344"/>
      <c r="T8" s="335">
        <v>3</v>
      </c>
      <c r="U8" s="341">
        <v>3</v>
      </c>
      <c r="V8" s="341"/>
      <c r="W8" s="341"/>
      <c r="X8" s="329" t="s">
        <v>2945</v>
      </c>
      <c r="Y8" s="330" t="str">
        <f>DB!$D$6</f>
        <v>UPS 650VA, AVR, 230V</v>
      </c>
      <c r="Z8" s="329" t="s">
        <v>8</v>
      </c>
      <c r="AA8" s="329"/>
      <c r="AB8" s="345"/>
      <c r="AC8" s="339" t="str">
        <f ca="1">IFERROR(__xludf.DUMMYFUNCTION("""COMPUTED_VALUE"""),"BLOODBANK")</f>
        <v>BLOODBANK</v>
      </c>
    </row>
    <row r="9" spans="1:30" ht="31.5" hidden="1">
      <c r="A9" s="335">
        <v>6</v>
      </c>
      <c r="B9" s="346" t="s">
        <v>623</v>
      </c>
      <c r="C9" s="340">
        <v>1</v>
      </c>
      <c r="D9" s="335" t="s">
        <v>103</v>
      </c>
      <c r="E9" s="347">
        <v>3000</v>
      </c>
      <c r="F9" s="347">
        <v>3000</v>
      </c>
      <c r="G9" s="341" t="s">
        <v>342</v>
      </c>
      <c r="H9" s="341">
        <v>1</v>
      </c>
      <c r="I9" s="340">
        <v>1</v>
      </c>
      <c r="J9" s="344"/>
      <c r="K9" s="344"/>
      <c r="L9" s="335">
        <v>0</v>
      </c>
      <c r="M9" s="340"/>
      <c r="N9" s="344"/>
      <c r="O9" s="344"/>
      <c r="P9" s="335">
        <v>0</v>
      </c>
      <c r="Q9" s="340"/>
      <c r="R9" s="344"/>
      <c r="S9" s="344"/>
      <c r="T9" s="335">
        <v>0</v>
      </c>
      <c r="U9" s="341"/>
      <c r="V9" s="341"/>
      <c r="W9" s="341"/>
      <c r="X9" s="329" t="s">
        <v>2945</v>
      </c>
      <c r="Y9" s="330" t="str">
        <f>DB!$D$73</f>
        <v>Webcam Professional Full HD</v>
      </c>
      <c r="Z9" s="329" t="s">
        <v>8</v>
      </c>
      <c r="AA9" s="329"/>
      <c r="AB9" s="345"/>
      <c r="AC9" s="339" t="str">
        <f ca="1">IFERROR(__xludf.DUMMYFUNCTION("""COMPUTED_VALUE"""),"BUDGET")</f>
        <v>BUDGET</v>
      </c>
    </row>
    <row r="10" spans="1:30" ht="63" hidden="1">
      <c r="A10" s="335">
        <v>7</v>
      </c>
      <c r="B10" s="346" t="s">
        <v>492</v>
      </c>
      <c r="C10" s="340">
        <v>1</v>
      </c>
      <c r="D10" s="335" t="s">
        <v>103</v>
      </c>
      <c r="E10" s="347">
        <v>3000</v>
      </c>
      <c r="F10" s="347">
        <v>3000</v>
      </c>
      <c r="G10" s="341" t="s">
        <v>342</v>
      </c>
      <c r="H10" s="341">
        <v>1</v>
      </c>
      <c r="I10" s="340">
        <v>1</v>
      </c>
      <c r="J10" s="344"/>
      <c r="K10" s="344"/>
      <c r="L10" s="335">
        <v>0</v>
      </c>
      <c r="M10" s="340"/>
      <c r="N10" s="344"/>
      <c r="O10" s="344"/>
      <c r="P10" s="335">
        <v>0</v>
      </c>
      <c r="Q10" s="340"/>
      <c r="R10" s="344"/>
      <c r="S10" s="344"/>
      <c r="T10" s="335">
        <v>0</v>
      </c>
      <c r="U10" s="341"/>
      <c r="V10" s="341"/>
      <c r="W10" s="341"/>
      <c r="X10" s="329" t="s">
        <v>2945</v>
      </c>
      <c r="Y10" s="330" t="str">
        <f>DB!$D$83</f>
        <v>USB Computer Headset</v>
      </c>
      <c r="Z10" s="329" t="s">
        <v>2946</v>
      </c>
      <c r="AA10" s="329"/>
      <c r="AB10" s="345"/>
      <c r="AC10" s="339" t="str">
        <f ca="1">IFERROR(__xludf.DUMMYFUNCTION("""COMPUTED_VALUE"""),"CMPS")</f>
        <v>CMPS</v>
      </c>
    </row>
    <row r="11" spans="1:30" hidden="1">
      <c r="A11" s="335">
        <v>8</v>
      </c>
      <c r="B11" s="346" t="s">
        <v>624</v>
      </c>
      <c r="C11" s="340">
        <v>1</v>
      </c>
      <c r="D11" s="335" t="s">
        <v>466</v>
      </c>
      <c r="E11" s="347">
        <v>46800</v>
      </c>
      <c r="F11" s="347">
        <v>46800</v>
      </c>
      <c r="G11" s="341" t="s">
        <v>2949</v>
      </c>
      <c r="H11" s="341">
        <v>1</v>
      </c>
      <c r="I11" s="340">
        <v>1</v>
      </c>
      <c r="J11" s="344"/>
      <c r="K11" s="344"/>
      <c r="L11" s="335">
        <v>0</v>
      </c>
      <c r="M11" s="340"/>
      <c r="N11" s="344"/>
      <c r="O11" s="344"/>
      <c r="P11" s="335">
        <v>0</v>
      </c>
      <c r="Q11" s="340"/>
      <c r="R11" s="344"/>
      <c r="S11" s="344"/>
      <c r="T11" s="335">
        <v>0</v>
      </c>
      <c r="U11" s="341"/>
      <c r="V11" s="341"/>
      <c r="W11" s="341"/>
      <c r="X11" s="329" t="s">
        <v>2945</v>
      </c>
      <c r="Y11" s="330"/>
      <c r="Z11" s="329" t="s">
        <v>2950</v>
      </c>
      <c r="AA11" s="329"/>
      <c r="AB11" s="345"/>
      <c r="AC11" s="339" t="str">
        <f ca="1">IFERROR(__xludf.DUMMYFUNCTION("""COMPUTED_VALUE"""),"CNO")</f>
        <v>CNO</v>
      </c>
    </row>
    <row r="12" spans="1:30" hidden="1">
      <c r="A12" s="337">
        <v>9</v>
      </c>
      <c r="B12" s="336" t="s">
        <v>720</v>
      </c>
      <c r="C12" s="337">
        <v>12</v>
      </c>
      <c r="D12" s="343" t="s">
        <v>103</v>
      </c>
      <c r="E12" s="343">
        <v>320</v>
      </c>
      <c r="F12" s="348">
        <v>3840</v>
      </c>
      <c r="G12" s="341" t="s">
        <v>342</v>
      </c>
      <c r="H12" s="343">
        <v>3</v>
      </c>
      <c r="I12" s="343">
        <v>1</v>
      </c>
      <c r="J12" s="343">
        <v>1</v>
      </c>
      <c r="K12" s="343">
        <v>1</v>
      </c>
      <c r="L12" s="343">
        <v>3</v>
      </c>
      <c r="M12" s="343">
        <v>1</v>
      </c>
      <c r="N12" s="343">
        <v>1</v>
      </c>
      <c r="O12" s="343">
        <v>1</v>
      </c>
      <c r="P12" s="343">
        <v>3</v>
      </c>
      <c r="Q12" s="343">
        <v>1</v>
      </c>
      <c r="R12" s="343">
        <v>1</v>
      </c>
      <c r="S12" s="343">
        <v>1</v>
      </c>
      <c r="T12" s="343">
        <v>3</v>
      </c>
      <c r="U12" s="343">
        <v>1</v>
      </c>
      <c r="V12" s="343">
        <v>1</v>
      </c>
      <c r="W12" s="337">
        <v>1</v>
      </c>
      <c r="X12" s="329" t="s">
        <v>2945</v>
      </c>
      <c r="Y12" s="330" t="str">
        <f>DB!$D$102</f>
        <v>Epson Genuine Ink T6641 Black</v>
      </c>
      <c r="Z12" s="329" t="s">
        <v>8</v>
      </c>
      <c r="AA12" s="329"/>
      <c r="AB12" s="345"/>
      <c r="AC12" s="339" t="str">
        <f ca="1">IFERROR(__xludf.DUMMYFUNCTION("""COMPUTED_VALUE"""),"COVID ICU")</f>
        <v>COVID ICU</v>
      </c>
    </row>
    <row r="13" spans="1:30" hidden="1">
      <c r="A13" s="335">
        <v>10</v>
      </c>
      <c r="B13" s="346" t="s">
        <v>759</v>
      </c>
      <c r="C13" s="335">
        <v>12</v>
      </c>
      <c r="D13" s="341" t="s">
        <v>103</v>
      </c>
      <c r="E13" s="341">
        <v>300</v>
      </c>
      <c r="F13" s="348">
        <v>3600</v>
      </c>
      <c r="G13" s="341" t="s">
        <v>342</v>
      </c>
      <c r="H13" s="341">
        <v>3</v>
      </c>
      <c r="I13" s="341">
        <v>1</v>
      </c>
      <c r="J13" s="341">
        <v>1</v>
      </c>
      <c r="K13" s="341">
        <v>1</v>
      </c>
      <c r="L13" s="341">
        <v>3</v>
      </c>
      <c r="M13" s="341">
        <v>1</v>
      </c>
      <c r="N13" s="341">
        <v>1</v>
      </c>
      <c r="O13" s="341">
        <v>1</v>
      </c>
      <c r="P13" s="341">
        <v>3</v>
      </c>
      <c r="Q13" s="341">
        <v>1</v>
      </c>
      <c r="R13" s="341">
        <v>1</v>
      </c>
      <c r="S13" s="341">
        <v>1</v>
      </c>
      <c r="T13" s="341">
        <v>3</v>
      </c>
      <c r="U13" s="341">
        <v>1</v>
      </c>
      <c r="V13" s="341">
        <v>1</v>
      </c>
      <c r="W13" s="335">
        <v>1</v>
      </c>
      <c r="X13" s="329" t="s">
        <v>2945</v>
      </c>
      <c r="Y13" s="330" t="str">
        <f>DB!$D$103</f>
        <v>Epson Genuine Ink T6642 Cyan</v>
      </c>
      <c r="Z13" s="329" t="s">
        <v>8</v>
      </c>
      <c r="AA13" s="329"/>
      <c r="AB13" s="345"/>
      <c r="AC13" s="339" t="str">
        <f ca="1">IFERROR(__xludf.DUMMYFUNCTION("""COMPUTED_VALUE"""),"CSSR")</f>
        <v>CSSR</v>
      </c>
    </row>
    <row r="14" spans="1:30" ht="31.5" hidden="1">
      <c r="A14" s="335">
        <v>11</v>
      </c>
      <c r="B14" s="346" t="s">
        <v>760</v>
      </c>
      <c r="C14" s="335">
        <v>12</v>
      </c>
      <c r="D14" s="341" t="s">
        <v>103</v>
      </c>
      <c r="E14" s="341">
        <v>300</v>
      </c>
      <c r="F14" s="348">
        <v>3600</v>
      </c>
      <c r="G14" s="341" t="s">
        <v>342</v>
      </c>
      <c r="H14" s="341">
        <v>3</v>
      </c>
      <c r="I14" s="341">
        <v>1</v>
      </c>
      <c r="J14" s="341">
        <v>1</v>
      </c>
      <c r="K14" s="341">
        <v>1</v>
      </c>
      <c r="L14" s="341">
        <v>3</v>
      </c>
      <c r="M14" s="341">
        <v>1</v>
      </c>
      <c r="N14" s="341">
        <v>1</v>
      </c>
      <c r="O14" s="341">
        <v>1</v>
      </c>
      <c r="P14" s="341">
        <v>3</v>
      </c>
      <c r="Q14" s="341">
        <v>1</v>
      </c>
      <c r="R14" s="341">
        <v>1</v>
      </c>
      <c r="S14" s="341">
        <v>1</v>
      </c>
      <c r="T14" s="341">
        <v>3</v>
      </c>
      <c r="U14" s="341">
        <v>1</v>
      </c>
      <c r="V14" s="341">
        <v>1</v>
      </c>
      <c r="W14" s="335">
        <v>1</v>
      </c>
      <c r="X14" s="329" t="s">
        <v>2945</v>
      </c>
      <c r="Y14" s="330" t="str">
        <f>DB!$D$104</f>
        <v>Epson Genuine Ink T6643 Magenta</v>
      </c>
      <c r="Z14" s="329" t="s">
        <v>8</v>
      </c>
      <c r="AA14" s="329"/>
      <c r="AB14" s="345"/>
      <c r="AC14" s="339" t="str">
        <f ca="1">IFERROR(__xludf.DUMMYFUNCTION("""COMPUTED_VALUE"""),"DCC")</f>
        <v>DCC</v>
      </c>
    </row>
    <row r="15" spans="1:30" ht="31.5" hidden="1">
      <c r="A15" s="335">
        <v>12</v>
      </c>
      <c r="B15" s="346" t="s">
        <v>761</v>
      </c>
      <c r="C15" s="335">
        <v>12</v>
      </c>
      <c r="D15" s="341" t="s">
        <v>103</v>
      </c>
      <c r="E15" s="341">
        <v>300</v>
      </c>
      <c r="F15" s="348">
        <v>3600</v>
      </c>
      <c r="G15" s="341" t="s">
        <v>342</v>
      </c>
      <c r="H15" s="341">
        <v>3</v>
      </c>
      <c r="I15" s="341">
        <v>1</v>
      </c>
      <c r="J15" s="341">
        <v>1</v>
      </c>
      <c r="K15" s="341">
        <v>1</v>
      </c>
      <c r="L15" s="341">
        <v>3</v>
      </c>
      <c r="M15" s="341">
        <v>1</v>
      </c>
      <c r="N15" s="341">
        <v>1</v>
      </c>
      <c r="O15" s="341">
        <v>1</v>
      </c>
      <c r="P15" s="341">
        <v>3</v>
      </c>
      <c r="Q15" s="341">
        <v>1</v>
      </c>
      <c r="R15" s="341">
        <v>1</v>
      </c>
      <c r="S15" s="341">
        <v>1</v>
      </c>
      <c r="T15" s="341">
        <v>3</v>
      </c>
      <c r="U15" s="341">
        <v>1</v>
      </c>
      <c r="V15" s="341">
        <v>1</v>
      </c>
      <c r="W15" s="335">
        <v>1</v>
      </c>
      <c r="X15" s="329" t="s">
        <v>2945</v>
      </c>
      <c r="Y15" s="330" t="str">
        <f>DB!$D$105</f>
        <v>Epson Genuine Ink T6644 Yellow</v>
      </c>
      <c r="Z15" s="329" t="s">
        <v>8</v>
      </c>
      <c r="AA15" s="329"/>
      <c r="AB15" s="345"/>
      <c r="AC15" s="339" t="str">
        <f ca="1">IFERROR(__xludf.DUMMYFUNCTION("""COMPUTED_VALUE"""),"DENTAL")</f>
        <v>DENTAL</v>
      </c>
    </row>
    <row r="16" spans="1:30" ht="31.5" hidden="1">
      <c r="A16" s="335">
        <v>13</v>
      </c>
      <c r="B16" s="346" t="s">
        <v>547</v>
      </c>
      <c r="C16" s="335">
        <v>48</v>
      </c>
      <c r="D16" s="341" t="s">
        <v>103</v>
      </c>
      <c r="E16" s="341">
        <v>380</v>
      </c>
      <c r="F16" s="348">
        <v>18240</v>
      </c>
      <c r="G16" s="341" t="s">
        <v>342</v>
      </c>
      <c r="H16" s="341">
        <v>12</v>
      </c>
      <c r="I16" s="341">
        <v>4</v>
      </c>
      <c r="J16" s="341">
        <v>4</v>
      </c>
      <c r="K16" s="341">
        <v>4</v>
      </c>
      <c r="L16" s="341">
        <v>12</v>
      </c>
      <c r="M16" s="341">
        <v>4</v>
      </c>
      <c r="N16" s="341">
        <v>4</v>
      </c>
      <c r="O16" s="341">
        <v>4</v>
      </c>
      <c r="P16" s="341">
        <v>12</v>
      </c>
      <c r="Q16" s="341">
        <v>4</v>
      </c>
      <c r="R16" s="341">
        <v>4</v>
      </c>
      <c r="S16" s="341">
        <v>4</v>
      </c>
      <c r="T16" s="341">
        <v>12</v>
      </c>
      <c r="U16" s="341">
        <v>4</v>
      </c>
      <c r="V16" s="341">
        <v>4</v>
      </c>
      <c r="W16" s="335">
        <v>4</v>
      </c>
      <c r="X16" s="329" t="s">
        <v>2945</v>
      </c>
      <c r="Y16" s="330" t="str">
        <f>DB!$D$110</f>
        <v>HP Genuine Ink Refill - (GT53) Black</v>
      </c>
      <c r="Z16" s="329" t="s">
        <v>8</v>
      </c>
      <c r="AA16" s="329"/>
      <c r="AB16" s="345"/>
      <c r="AC16" s="339" t="str">
        <f ca="1">IFERROR(__xludf.DUMMYFUNCTION("""COMPUTED_VALUE"""),"DEPARTMEMT OF FAMILY AND COMMUNITY MEDICINE / EMPLOYEES' CLINIC / SDN")</f>
        <v>DEPARTMEMT OF FAMILY AND COMMUNITY MEDICINE / EMPLOYEES' CLINIC / SDN</v>
      </c>
    </row>
    <row r="17" spans="1:29" ht="31.5" hidden="1">
      <c r="A17" s="335">
        <v>14</v>
      </c>
      <c r="B17" s="346" t="s">
        <v>548</v>
      </c>
      <c r="C17" s="335">
        <v>8</v>
      </c>
      <c r="D17" s="341" t="s">
        <v>103</v>
      </c>
      <c r="E17" s="341">
        <v>380</v>
      </c>
      <c r="F17" s="348">
        <v>3040</v>
      </c>
      <c r="G17" s="341" t="s">
        <v>342</v>
      </c>
      <c r="H17" s="341">
        <v>4</v>
      </c>
      <c r="I17" s="341">
        <v>4</v>
      </c>
      <c r="J17" s="349"/>
      <c r="K17" s="349"/>
      <c r="L17" s="341">
        <v>0</v>
      </c>
      <c r="M17" s="349"/>
      <c r="N17" s="349"/>
      <c r="O17" s="349"/>
      <c r="P17" s="341">
        <v>4</v>
      </c>
      <c r="Q17" s="341">
        <v>4</v>
      </c>
      <c r="R17" s="349"/>
      <c r="S17" s="349"/>
      <c r="T17" s="341">
        <v>0</v>
      </c>
      <c r="U17" s="349"/>
      <c r="V17" s="349"/>
      <c r="W17" s="349"/>
      <c r="X17" s="329" t="s">
        <v>2945</v>
      </c>
      <c r="Y17" s="330" t="str">
        <f>DB!$D$112</f>
        <v>HP Genuine Ink Refill - (GT52) Cyan</v>
      </c>
      <c r="Z17" s="329" t="s">
        <v>8</v>
      </c>
      <c r="AA17" s="329"/>
      <c r="AB17" s="345"/>
      <c r="AC17" s="339" t="str">
        <f ca="1">IFERROR(__xludf.DUMMYFUNCTION("""COMPUTED_VALUE"""),"DEPARTMENT OF ANESTHESIOLOGY ")</f>
        <v xml:space="preserve">DEPARTMENT OF ANESTHESIOLOGY </v>
      </c>
    </row>
    <row r="18" spans="1:29" ht="31.5" hidden="1">
      <c r="A18" s="335">
        <v>15</v>
      </c>
      <c r="B18" s="346" t="s">
        <v>549</v>
      </c>
      <c r="C18" s="335">
        <v>8</v>
      </c>
      <c r="D18" s="341" t="s">
        <v>103</v>
      </c>
      <c r="E18" s="341">
        <v>380</v>
      </c>
      <c r="F18" s="348">
        <v>3040</v>
      </c>
      <c r="G18" s="341" t="s">
        <v>342</v>
      </c>
      <c r="H18" s="341">
        <v>4</v>
      </c>
      <c r="I18" s="341">
        <v>4</v>
      </c>
      <c r="J18" s="349"/>
      <c r="K18" s="349"/>
      <c r="L18" s="341">
        <v>0</v>
      </c>
      <c r="M18" s="349"/>
      <c r="N18" s="349"/>
      <c r="O18" s="349"/>
      <c r="P18" s="341">
        <v>4</v>
      </c>
      <c r="Q18" s="341">
        <v>4</v>
      </c>
      <c r="R18" s="349"/>
      <c r="S18" s="349"/>
      <c r="T18" s="341">
        <v>0</v>
      </c>
      <c r="U18" s="349"/>
      <c r="V18" s="349"/>
      <c r="W18" s="349"/>
      <c r="X18" s="329" t="s">
        <v>2945</v>
      </c>
      <c r="Y18" s="330" t="str">
        <f>DB!$D$113</f>
        <v>HP Genuine Ink Refill - (GT52) Yellow</v>
      </c>
      <c r="Z18" s="329" t="s">
        <v>8</v>
      </c>
      <c r="AA18" s="329"/>
      <c r="AB18" s="345"/>
      <c r="AC18" s="339" t="str">
        <f ca="1">IFERROR(__xludf.DUMMYFUNCTION("""COMPUTED_VALUE"""),"DEPARTMENT OF EMERGENCY MEDICINE")</f>
        <v>DEPARTMENT OF EMERGENCY MEDICINE</v>
      </c>
    </row>
    <row r="19" spans="1:29" ht="31.5" hidden="1">
      <c r="A19" s="335">
        <v>16</v>
      </c>
      <c r="B19" s="346" t="s">
        <v>550</v>
      </c>
      <c r="C19" s="335">
        <v>8</v>
      </c>
      <c r="D19" s="341" t="s">
        <v>103</v>
      </c>
      <c r="E19" s="341">
        <v>380</v>
      </c>
      <c r="F19" s="348">
        <v>3040</v>
      </c>
      <c r="G19" s="341" t="s">
        <v>342</v>
      </c>
      <c r="H19" s="341">
        <v>4</v>
      </c>
      <c r="I19" s="341">
        <v>4</v>
      </c>
      <c r="J19" s="349"/>
      <c r="K19" s="349"/>
      <c r="L19" s="341">
        <v>0</v>
      </c>
      <c r="M19" s="349"/>
      <c r="N19" s="349"/>
      <c r="O19" s="349"/>
      <c r="P19" s="341">
        <v>4</v>
      </c>
      <c r="Q19" s="341">
        <v>4</v>
      </c>
      <c r="R19" s="349"/>
      <c r="S19" s="349"/>
      <c r="T19" s="341">
        <v>0</v>
      </c>
      <c r="U19" s="349"/>
      <c r="V19" s="349"/>
      <c r="W19" s="349"/>
      <c r="X19" s="329" t="s">
        <v>2945</v>
      </c>
      <c r="Y19" s="330" t="str">
        <f>DB!$D$111</f>
        <v>HP Genuine Ink Refill - (GT52) Magenta</v>
      </c>
      <c r="Z19" s="329" t="s">
        <v>8</v>
      </c>
      <c r="AA19" s="329"/>
      <c r="AB19" s="345"/>
      <c r="AC19" s="339" t="str">
        <f ca="1">IFERROR(__xludf.DUMMYFUNCTION("""COMPUTED_VALUE"""),"DEPARTMENT OF OBSTETRICS AND GYNECOLOGY")</f>
        <v>DEPARTMENT OF OBSTETRICS AND GYNECOLOGY</v>
      </c>
    </row>
    <row r="20" spans="1:29" ht="47.25" hidden="1">
      <c r="A20" s="335">
        <v>17</v>
      </c>
      <c r="B20" s="346" t="s">
        <v>762</v>
      </c>
      <c r="C20" s="335">
        <v>8</v>
      </c>
      <c r="D20" s="341" t="s">
        <v>103</v>
      </c>
      <c r="E20" s="347">
        <v>1400</v>
      </c>
      <c r="F20" s="348">
        <v>11200</v>
      </c>
      <c r="G20" s="341" t="s">
        <v>342</v>
      </c>
      <c r="H20" s="341">
        <v>4</v>
      </c>
      <c r="I20" s="341">
        <v>4</v>
      </c>
      <c r="J20" s="349"/>
      <c r="K20" s="349"/>
      <c r="L20" s="341">
        <v>0</v>
      </c>
      <c r="M20" s="349"/>
      <c r="N20" s="349"/>
      <c r="O20" s="349"/>
      <c r="P20" s="341">
        <v>4</v>
      </c>
      <c r="Q20" s="341">
        <v>4</v>
      </c>
      <c r="R20" s="349"/>
      <c r="S20" s="349"/>
      <c r="T20" s="341">
        <v>0</v>
      </c>
      <c r="U20" s="349"/>
      <c r="V20" s="349"/>
      <c r="W20" s="349"/>
      <c r="X20" s="329" t="s">
        <v>2945</v>
      </c>
      <c r="Y20" s="330" t="str">
        <f>DB!$D$84</f>
        <v>HP Printhead Black compatible with the existing HP Smart Tank 515</v>
      </c>
      <c r="Z20" s="329" t="s">
        <v>8</v>
      </c>
      <c r="AA20" s="329"/>
      <c r="AB20" s="345"/>
      <c r="AC20" s="339" t="str">
        <f ca="1">IFERROR(__xludf.DUMMYFUNCTION("""COMPUTED_VALUE"""),"DEPARTMENT OF OTOLARYNGOLOGY - HEAD AND NECK SURGERY")</f>
        <v>DEPARTMENT OF OTOLARYNGOLOGY - HEAD AND NECK SURGERY</v>
      </c>
    </row>
    <row r="21" spans="1:29" ht="47.25" hidden="1">
      <c r="A21" s="335">
        <v>18</v>
      </c>
      <c r="B21" s="346" t="s">
        <v>763</v>
      </c>
      <c r="C21" s="335">
        <v>8</v>
      </c>
      <c r="D21" s="341" t="s">
        <v>103</v>
      </c>
      <c r="E21" s="347">
        <v>1800</v>
      </c>
      <c r="F21" s="348">
        <v>14400</v>
      </c>
      <c r="G21" s="341" t="s">
        <v>342</v>
      </c>
      <c r="H21" s="341">
        <v>4</v>
      </c>
      <c r="I21" s="341">
        <v>4</v>
      </c>
      <c r="J21" s="349"/>
      <c r="K21" s="349"/>
      <c r="L21" s="341">
        <v>0</v>
      </c>
      <c r="M21" s="349"/>
      <c r="N21" s="349"/>
      <c r="O21" s="349"/>
      <c r="P21" s="341">
        <v>4</v>
      </c>
      <c r="Q21" s="341">
        <v>4</v>
      </c>
      <c r="R21" s="349"/>
      <c r="S21" s="349"/>
      <c r="T21" s="341">
        <v>0</v>
      </c>
      <c r="U21" s="349"/>
      <c r="V21" s="349"/>
      <c r="W21" s="349"/>
      <c r="X21" s="329" t="s">
        <v>2945</v>
      </c>
      <c r="Y21" s="330" t="str">
        <f>DB!$D$85</f>
        <v>HP Printhead Tri-color compatible with the existing HP Smart Tank 515</v>
      </c>
      <c r="Z21" s="329" t="s">
        <v>8</v>
      </c>
      <c r="AA21" s="329"/>
      <c r="AB21" s="345"/>
      <c r="AC21" s="339" t="str">
        <f ca="1">IFERROR(__xludf.DUMMYFUNCTION("""COMPUTED_VALUE"""),"DEPARTMENT OF PEDIATRICS")</f>
        <v>DEPARTMENT OF PEDIATRICS</v>
      </c>
    </row>
    <row r="22" spans="1:29" hidden="1">
      <c r="A22" s="335">
        <v>19</v>
      </c>
      <c r="B22" s="346" t="s">
        <v>2951</v>
      </c>
      <c r="C22" s="335">
        <v>1</v>
      </c>
      <c r="D22" s="341" t="s">
        <v>103</v>
      </c>
      <c r="E22" s="347">
        <v>14500</v>
      </c>
      <c r="F22" s="348">
        <v>14500</v>
      </c>
      <c r="G22" s="341" t="s">
        <v>342</v>
      </c>
      <c r="H22" s="341">
        <v>1</v>
      </c>
      <c r="I22" s="341">
        <v>1</v>
      </c>
      <c r="J22" s="349"/>
      <c r="K22" s="349"/>
      <c r="L22" s="341">
        <v>0</v>
      </c>
      <c r="M22" s="349">
        <v>0</v>
      </c>
      <c r="N22" s="349"/>
      <c r="O22" s="349"/>
      <c r="P22" s="341">
        <v>0</v>
      </c>
      <c r="Q22" s="349">
        <v>0</v>
      </c>
      <c r="R22" s="349"/>
      <c r="S22" s="349"/>
      <c r="T22" s="341">
        <v>0</v>
      </c>
      <c r="U22" s="349">
        <v>0</v>
      </c>
      <c r="V22" s="349"/>
      <c r="W22" s="349"/>
      <c r="X22" s="329" t="s">
        <v>2945</v>
      </c>
      <c r="Y22" s="330"/>
      <c r="Z22" s="329" t="s">
        <v>2952</v>
      </c>
      <c r="AA22" s="329"/>
      <c r="AB22" s="345"/>
      <c r="AC22" s="339" t="str">
        <f ca="1">IFERROR(__xludf.DUMMYFUNCTION("""COMPUTED_VALUE"""),"DEPARTMENT OF SURGERY")</f>
        <v>DEPARTMENT OF SURGERY</v>
      </c>
    </row>
    <row r="23" spans="1:29" hidden="1">
      <c r="A23" s="335">
        <v>20</v>
      </c>
      <c r="B23" s="346" t="s">
        <v>2953</v>
      </c>
      <c r="C23" s="335">
        <v>24</v>
      </c>
      <c r="D23" s="341" t="s">
        <v>103</v>
      </c>
      <c r="E23" s="347">
        <v>8800</v>
      </c>
      <c r="F23" s="348">
        <v>211200</v>
      </c>
      <c r="G23" s="341" t="s">
        <v>342</v>
      </c>
      <c r="H23" s="341">
        <v>6</v>
      </c>
      <c r="I23" s="341">
        <v>2</v>
      </c>
      <c r="J23" s="341">
        <v>2</v>
      </c>
      <c r="K23" s="341">
        <v>2</v>
      </c>
      <c r="L23" s="341">
        <v>6</v>
      </c>
      <c r="M23" s="341">
        <v>2</v>
      </c>
      <c r="N23" s="341">
        <v>2</v>
      </c>
      <c r="O23" s="341">
        <v>2</v>
      </c>
      <c r="P23" s="341">
        <v>6</v>
      </c>
      <c r="Q23" s="341">
        <v>2</v>
      </c>
      <c r="R23" s="341">
        <v>2</v>
      </c>
      <c r="S23" s="341">
        <v>2</v>
      </c>
      <c r="T23" s="341">
        <v>6</v>
      </c>
      <c r="U23" s="341">
        <v>2</v>
      </c>
      <c r="V23" s="341">
        <v>2</v>
      </c>
      <c r="W23" s="335">
        <v>2</v>
      </c>
      <c r="X23" s="329" t="s">
        <v>2945</v>
      </c>
      <c r="Y23" s="330"/>
      <c r="Z23" s="329" t="s">
        <v>2952</v>
      </c>
      <c r="AA23" s="329"/>
      <c r="AB23" s="345"/>
      <c r="AC23" s="339" t="str">
        <f ca="1">IFERROR(__xludf.DUMMYFUNCTION("""COMPUTED_VALUE"""),"DIETARY")</f>
        <v>DIETARY</v>
      </c>
    </row>
    <row r="24" spans="1:29" hidden="1">
      <c r="A24" s="335">
        <v>21</v>
      </c>
      <c r="B24" s="346" t="s">
        <v>2954</v>
      </c>
      <c r="C24" s="335">
        <v>12</v>
      </c>
      <c r="D24" s="341" t="s">
        <v>103</v>
      </c>
      <c r="E24" s="347">
        <v>7410</v>
      </c>
      <c r="F24" s="348">
        <v>88920</v>
      </c>
      <c r="G24" s="341" t="s">
        <v>342</v>
      </c>
      <c r="H24" s="341">
        <v>3</v>
      </c>
      <c r="I24" s="341">
        <v>1</v>
      </c>
      <c r="J24" s="341">
        <v>1</v>
      </c>
      <c r="K24" s="341">
        <v>1</v>
      </c>
      <c r="L24" s="341">
        <v>3</v>
      </c>
      <c r="M24" s="341">
        <v>1</v>
      </c>
      <c r="N24" s="341">
        <v>1</v>
      </c>
      <c r="O24" s="341">
        <v>1</v>
      </c>
      <c r="P24" s="341">
        <v>3</v>
      </c>
      <c r="Q24" s="341">
        <v>1</v>
      </c>
      <c r="R24" s="341">
        <v>1</v>
      </c>
      <c r="S24" s="341">
        <v>1</v>
      </c>
      <c r="T24" s="341">
        <v>3</v>
      </c>
      <c r="U24" s="341">
        <v>1</v>
      </c>
      <c r="V24" s="341">
        <v>1</v>
      </c>
      <c r="W24" s="343">
        <v>1</v>
      </c>
      <c r="X24" s="329" t="s">
        <v>2945</v>
      </c>
      <c r="Y24" s="330"/>
      <c r="Z24" s="329" t="s">
        <v>2952</v>
      </c>
      <c r="AA24" s="329"/>
      <c r="AB24" s="345"/>
      <c r="AC24" s="339" t="str">
        <f ca="1">IFERROR(__xludf.DUMMYFUNCTION("""COMPUTED_VALUE"""),"DMI")</f>
        <v>DMI</v>
      </c>
    </row>
    <row r="25" spans="1:29" hidden="1">
      <c r="A25" s="335">
        <v>22</v>
      </c>
      <c r="B25" s="346" t="s">
        <v>2955</v>
      </c>
      <c r="C25" s="335">
        <v>12</v>
      </c>
      <c r="D25" s="341" t="s">
        <v>103</v>
      </c>
      <c r="E25" s="347">
        <v>7800</v>
      </c>
      <c r="F25" s="348">
        <v>93600</v>
      </c>
      <c r="G25" s="341" t="s">
        <v>342</v>
      </c>
      <c r="H25" s="341">
        <v>3</v>
      </c>
      <c r="I25" s="341">
        <v>1</v>
      </c>
      <c r="J25" s="341">
        <v>1</v>
      </c>
      <c r="K25" s="341">
        <v>1</v>
      </c>
      <c r="L25" s="341">
        <v>3</v>
      </c>
      <c r="M25" s="341">
        <v>1</v>
      </c>
      <c r="N25" s="341">
        <v>1</v>
      </c>
      <c r="O25" s="341">
        <v>1</v>
      </c>
      <c r="P25" s="341">
        <v>3</v>
      </c>
      <c r="Q25" s="341">
        <v>1</v>
      </c>
      <c r="R25" s="341">
        <v>1</v>
      </c>
      <c r="S25" s="341">
        <v>1</v>
      </c>
      <c r="T25" s="341">
        <v>3</v>
      </c>
      <c r="U25" s="341">
        <v>1</v>
      </c>
      <c r="V25" s="341">
        <v>1</v>
      </c>
      <c r="W25" s="337">
        <v>1</v>
      </c>
      <c r="X25" s="329" t="s">
        <v>2945</v>
      </c>
      <c r="Y25" s="330"/>
      <c r="Z25" s="329" t="s">
        <v>2952</v>
      </c>
      <c r="AA25" s="329"/>
      <c r="AB25" s="345"/>
      <c r="AC25" s="339" t="str">
        <f ca="1">IFERROR(__xludf.DUMMYFUNCTION("""COMPUTED_VALUE"""),"DPL")</f>
        <v>DPL</v>
      </c>
    </row>
    <row r="26" spans="1:29" hidden="1">
      <c r="A26" s="329"/>
      <c r="B26" s="350" t="s">
        <v>679</v>
      </c>
      <c r="C26" s="335">
        <v>1</v>
      </c>
      <c r="D26" s="343" t="s">
        <v>103</v>
      </c>
      <c r="E26" s="343">
        <v>700</v>
      </c>
      <c r="F26" s="341">
        <v>700</v>
      </c>
      <c r="G26" s="329"/>
      <c r="H26" s="337">
        <v>1</v>
      </c>
      <c r="I26" s="337">
        <v>1</v>
      </c>
      <c r="J26" s="329"/>
      <c r="K26" s="329"/>
      <c r="L26" s="337"/>
      <c r="M26" s="337"/>
      <c r="N26" s="329"/>
      <c r="O26" s="329"/>
      <c r="P26" s="337"/>
      <c r="Q26" s="337"/>
      <c r="R26" s="329"/>
      <c r="S26" s="329"/>
      <c r="T26" s="337"/>
      <c r="U26" s="337"/>
      <c r="V26" s="329"/>
      <c r="W26" s="329"/>
      <c r="X26" s="329" t="s">
        <v>179</v>
      </c>
      <c r="Y26" s="330" t="str">
        <f>DB!$D$95</f>
        <v>Stereo Speakers</v>
      </c>
      <c r="Z26" s="351" t="s">
        <v>8</v>
      </c>
      <c r="AA26" s="329"/>
      <c r="AB26" s="345"/>
      <c r="AC26" s="339" t="str">
        <f ca="1">IFERROR(__xludf.DUMMYFUNCTION("""COMPUTED_VALUE"""),"DR")</f>
        <v>DR</v>
      </c>
    </row>
    <row r="27" spans="1:29" ht="78.75" hidden="1">
      <c r="A27" s="329"/>
      <c r="B27" s="352" t="s">
        <v>2956</v>
      </c>
      <c r="C27" s="335">
        <v>1</v>
      </c>
      <c r="D27" s="341" t="s">
        <v>118</v>
      </c>
      <c r="E27" s="347">
        <v>42000</v>
      </c>
      <c r="F27" s="347">
        <v>42000</v>
      </c>
      <c r="G27" s="329"/>
      <c r="H27" s="335">
        <v>1</v>
      </c>
      <c r="I27" s="335">
        <v>1</v>
      </c>
      <c r="J27" s="329"/>
      <c r="K27" s="329"/>
      <c r="L27" s="335"/>
      <c r="M27" s="335"/>
      <c r="N27" s="329"/>
      <c r="O27" s="329"/>
      <c r="P27" s="335"/>
      <c r="Q27" s="335"/>
      <c r="R27" s="329"/>
      <c r="S27" s="329"/>
      <c r="T27" s="335"/>
      <c r="U27" s="335"/>
      <c r="V27" s="329"/>
      <c r="W27" s="329"/>
      <c r="X27" s="329" t="s">
        <v>179</v>
      </c>
      <c r="Y27" s="330"/>
      <c r="Z27" s="329" t="s">
        <v>2950</v>
      </c>
      <c r="AA27" s="329"/>
      <c r="AB27" s="345"/>
      <c r="AC27" s="339" t="str">
        <f ca="1">IFERROR(__xludf.DUMMYFUNCTION("""COMPUTED_VALUE"""),"ER")</f>
        <v>ER</v>
      </c>
    </row>
    <row r="28" spans="1:29" ht="173.25" hidden="1">
      <c r="A28" s="329"/>
      <c r="B28" s="352" t="s">
        <v>2957</v>
      </c>
      <c r="C28" s="335">
        <v>1</v>
      </c>
      <c r="D28" s="341" t="s">
        <v>118</v>
      </c>
      <c r="E28" s="347">
        <v>40000</v>
      </c>
      <c r="F28" s="347">
        <v>40000</v>
      </c>
      <c r="G28" s="329"/>
      <c r="H28" s="335">
        <v>1</v>
      </c>
      <c r="I28" s="335">
        <v>1</v>
      </c>
      <c r="J28" s="329"/>
      <c r="K28" s="329"/>
      <c r="L28" s="335"/>
      <c r="M28" s="335"/>
      <c r="N28" s="329"/>
      <c r="O28" s="329"/>
      <c r="P28" s="335"/>
      <c r="Q28" s="335"/>
      <c r="R28" s="329"/>
      <c r="S28" s="329"/>
      <c r="T28" s="335"/>
      <c r="U28" s="335"/>
      <c r="V28" s="329"/>
      <c r="W28" s="329"/>
      <c r="X28" s="329" t="s">
        <v>179</v>
      </c>
      <c r="Y28" s="330"/>
      <c r="Z28" s="329" t="s">
        <v>2958</v>
      </c>
      <c r="AA28" s="329"/>
      <c r="AB28" s="345"/>
      <c r="AC28" s="339" t="str">
        <f ca="1">IFERROR(__xludf.DUMMYFUNCTION("""COMPUTED_VALUE"""),"HDU")</f>
        <v>HDU</v>
      </c>
    </row>
    <row r="29" spans="1:29" hidden="1">
      <c r="A29" s="329"/>
      <c r="B29" s="352" t="s">
        <v>2959</v>
      </c>
      <c r="C29" s="335">
        <v>1</v>
      </c>
      <c r="D29" s="341" t="s">
        <v>103</v>
      </c>
      <c r="E29" s="347">
        <v>2250</v>
      </c>
      <c r="F29" s="347">
        <v>2250</v>
      </c>
      <c r="G29" s="329"/>
      <c r="H29" s="335">
        <v>1</v>
      </c>
      <c r="I29" s="335">
        <v>1</v>
      </c>
      <c r="J29" s="329"/>
      <c r="K29" s="329"/>
      <c r="L29" s="335"/>
      <c r="M29" s="335"/>
      <c r="N29" s="329"/>
      <c r="O29" s="329"/>
      <c r="P29" s="335"/>
      <c r="Q29" s="335"/>
      <c r="R29" s="329"/>
      <c r="S29" s="329"/>
      <c r="T29" s="335"/>
      <c r="U29" s="335"/>
      <c r="V29" s="329"/>
      <c r="W29" s="329"/>
      <c r="X29" s="329" t="s">
        <v>179</v>
      </c>
      <c r="Y29" s="330"/>
      <c r="Z29" s="329" t="s">
        <v>2946</v>
      </c>
      <c r="AA29" s="329"/>
      <c r="AB29" s="345"/>
      <c r="AC29" s="339" t="str">
        <f ca="1">IFERROR(__xludf.DUMMYFUNCTION("""COMPUTED_VALUE"""),"HEMODIALYSIS FINANCE")</f>
        <v>HEMODIALYSIS FINANCE</v>
      </c>
    </row>
    <row r="30" spans="1:29" hidden="1">
      <c r="A30" s="329"/>
      <c r="B30" s="352" t="s">
        <v>720</v>
      </c>
      <c r="C30" s="335">
        <v>20</v>
      </c>
      <c r="D30" s="341" t="s">
        <v>103</v>
      </c>
      <c r="E30" s="341">
        <v>480</v>
      </c>
      <c r="F30" s="347">
        <v>9600</v>
      </c>
      <c r="G30" s="329"/>
      <c r="H30" s="335">
        <v>5</v>
      </c>
      <c r="I30" s="335">
        <v>5</v>
      </c>
      <c r="J30" s="329"/>
      <c r="K30" s="329"/>
      <c r="L30" s="335">
        <v>5</v>
      </c>
      <c r="M30" s="335">
        <v>5</v>
      </c>
      <c r="N30" s="329"/>
      <c r="O30" s="329"/>
      <c r="P30" s="335">
        <v>5</v>
      </c>
      <c r="Q30" s="335">
        <v>5</v>
      </c>
      <c r="R30" s="329"/>
      <c r="S30" s="329"/>
      <c r="T30" s="335">
        <v>5</v>
      </c>
      <c r="U30" s="335">
        <v>5</v>
      </c>
      <c r="V30" s="329"/>
      <c r="W30" s="329"/>
      <c r="X30" s="329" t="s">
        <v>179</v>
      </c>
      <c r="Y30" s="330" t="str">
        <f>DB!$D$102</f>
        <v>Epson Genuine Ink T6641 Black</v>
      </c>
      <c r="Z30" s="329" t="s">
        <v>8</v>
      </c>
      <c r="AA30" s="329"/>
      <c r="AB30" s="345"/>
      <c r="AC30" s="339" t="str">
        <f ca="1">IFERROR(__xludf.DUMMYFUNCTION("""COMPUTED_VALUE"""),"HEMS/DRRM")</f>
        <v>HEMS/DRRM</v>
      </c>
    </row>
    <row r="31" spans="1:29" hidden="1">
      <c r="A31" s="329"/>
      <c r="B31" s="352" t="s">
        <v>721</v>
      </c>
      <c r="C31" s="335">
        <v>8</v>
      </c>
      <c r="D31" s="341" t="s">
        <v>103</v>
      </c>
      <c r="E31" s="341">
        <v>480</v>
      </c>
      <c r="F31" s="347">
        <v>3840</v>
      </c>
      <c r="G31" s="329"/>
      <c r="H31" s="335">
        <v>2</v>
      </c>
      <c r="I31" s="335">
        <v>2</v>
      </c>
      <c r="J31" s="329"/>
      <c r="K31" s="329"/>
      <c r="L31" s="335">
        <v>2</v>
      </c>
      <c r="M31" s="335">
        <v>2</v>
      </c>
      <c r="N31" s="329"/>
      <c r="O31" s="329"/>
      <c r="P31" s="335">
        <v>2</v>
      </c>
      <c r="Q31" s="335">
        <v>2</v>
      </c>
      <c r="R31" s="329"/>
      <c r="S31" s="329"/>
      <c r="T31" s="335">
        <v>2</v>
      </c>
      <c r="U31" s="335">
        <v>2</v>
      </c>
      <c r="V31" s="329"/>
      <c r="W31" s="329"/>
      <c r="X31" s="329" t="s">
        <v>179</v>
      </c>
      <c r="Y31" s="330" t="str">
        <f>DB!$D$103</f>
        <v>Epson Genuine Ink T6642 Cyan</v>
      </c>
      <c r="Z31" s="329" t="s">
        <v>8</v>
      </c>
      <c r="AA31" s="329"/>
      <c r="AB31" s="345"/>
      <c r="AC31" s="339" t="str">
        <f ca="1">IFERROR(__xludf.DUMMYFUNCTION("""COMPUTED_VALUE"""),"HEPO")</f>
        <v>HEPO</v>
      </c>
    </row>
    <row r="32" spans="1:29" ht="31.5" hidden="1">
      <c r="A32" s="329"/>
      <c r="B32" s="352" t="s">
        <v>722</v>
      </c>
      <c r="C32" s="335">
        <v>8</v>
      </c>
      <c r="D32" s="341" t="s">
        <v>103</v>
      </c>
      <c r="E32" s="341">
        <v>480</v>
      </c>
      <c r="F32" s="347">
        <v>3840</v>
      </c>
      <c r="G32" s="329"/>
      <c r="H32" s="335">
        <v>2</v>
      </c>
      <c r="I32" s="335">
        <v>2</v>
      </c>
      <c r="J32" s="329"/>
      <c r="K32" s="329"/>
      <c r="L32" s="335">
        <v>2</v>
      </c>
      <c r="M32" s="335">
        <v>2</v>
      </c>
      <c r="N32" s="329"/>
      <c r="O32" s="329"/>
      <c r="P32" s="335">
        <v>2</v>
      </c>
      <c r="Q32" s="335">
        <v>2</v>
      </c>
      <c r="R32" s="329"/>
      <c r="S32" s="329"/>
      <c r="T32" s="335">
        <v>2</v>
      </c>
      <c r="U32" s="335">
        <v>2</v>
      </c>
      <c r="V32" s="329"/>
      <c r="W32" s="329"/>
      <c r="X32" s="329" t="s">
        <v>179</v>
      </c>
      <c r="Y32" s="330" t="str">
        <f>DB!$D$104</f>
        <v>Epson Genuine Ink T6643 Magenta</v>
      </c>
      <c r="Z32" s="329" t="s">
        <v>8</v>
      </c>
      <c r="AA32" s="329"/>
      <c r="AB32" s="345"/>
      <c r="AC32" s="339" t="str">
        <f ca="1">IFERROR(__xludf.DUMMYFUNCTION("""COMPUTED_VALUE"""),"HIRM")</f>
        <v>HIRM</v>
      </c>
    </row>
    <row r="33" spans="1:29" ht="31.5" hidden="1">
      <c r="A33" s="329"/>
      <c r="B33" s="352" t="s">
        <v>723</v>
      </c>
      <c r="C33" s="335">
        <v>8</v>
      </c>
      <c r="D33" s="341" t="s">
        <v>103</v>
      </c>
      <c r="E33" s="341">
        <v>480</v>
      </c>
      <c r="F33" s="347">
        <v>3840</v>
      </c>
      <c r="G33" s="329"/>
      <c r="H33" s="335">
        <v>2</v>
      </c>
      <c r="I33" s="335">
        <v>2</v>
      </c>
      <c r="J33" s="329"/>
      <c r="K33" s="329"/>
      <c r="L33" s="335">
        <v>2</v>
      </c>
      <c r="M33" s="335">
        <v>2</v>
      </c>
      <c r="N33" s="329"/>
      <c r="O33" s="329"/>
      <c r="P33" s="335">
        <v>2</v>
      </c>
      <c r="Q33" s="335">
        <v>2</v>
      </c>
      <c r="R33" s="329"/>
      <c r="S33" s="329"/>
      <c r="T33" s="335">
        <v>2</v>
      </c>
      <c r="U33" s="335">
        <v>2</v>
      </c>
      <c r="V33" s="329"/>
      <c r="W33" s="329"/>
      <c r="X33" s="329" t="s">
        <v>179</v>
      </c>
      <c r="Y33" s="330" t="str">
        <f>DB!$D$105</f>
        <v>Epson Genuine Ink T6644 Yellow</v>
      </c>
      <c r="Z33" s="329" t="s">
        <v>8</v>
      </c>
      <c r="AA33" s="329"/>
      <c r="AB33" s="345"/>
      <c r="AC33" s="339" t="str">
        <f ca="1">IFERROR(__xludf.DUMMYFUNCTION("""COMPUTED_VALUE"""),"HRMO")</f>
        <v>HRMO</v>
      </c>
    </row>
    <row r="34" spans="1:29" hidden="1">
      <c r="A34" s="329"/>
      <c r="B34" s="352" t="s">
        <v>1347</v>
      </c>
      <c r="C34" s="335">
        <v>2</v>
      </c>
      <c r="D34" s="341" t="s">
        <v>103</v>
      </c>
      <c r="E34" s="347">
        <v>6160</v>
      </c>
      <c r="F34" s="347">
        <v>12320</v>
      </c>
      <c r="G34" s="329"/>
      <c r="H34" s="335">
        <v>1</v>
      </c>
      <c r="I34" s="335">
        <v>1</v>
      </c>
      <c r="J34" s="329"/>
      <c r="K34" s="329"/>
      <c r="L34" s="335"/>
      <c r="M34" s="335"/>
      <c r="N34" s="329"/>
      <c r="O34" s="329"/>
      <c r="P34" s="335">
        <v>1</v>
      </c>
      <c r="Q34" s="335">
        <v>1</v>
      </c>
      <c r="R34" s="329"/>
      <c r="S34" s="329"/>
      <c r="T34" s="335"/>
      <c r="U34" s="335"/>
      <c r="V34" s="329"/>
      <c r="W34" s="329"/>
      <c r="X34" s="329" t="s">
        <v>179</v>
      </c>
      <c r="Y34" s="330"/>
      <c r="Z34" s="329" t="s">
        <v>2952</v>
      </c>
      <c r="AA34" s="329"/>
      <c r="AB34" s="345"/>
      <c r="AC34" s="339" t="str">
        <f ca="1">IFERROR(__xludf.DUMMYFUNCTION("""COMPUTED_VALUE"""),"IICU")</f>
        <v>IICU</v>
      </c>
    </row>
    <row r="35" spans="1:29" ht="110.25" hidden="1">
      <c r="A35" s="329"/>
      <c r="B35" s="352" t="s">
        <v>2960</v>
      </c>
      <c r="C35" s="335">
        <v>1</v>
      </c>
      <c r="D35" s="341" t="s">
        <v>103</v>
      </c>
      <c r="E35" s="347">
        <v>45000</v>
      </c>
      <c r="F35" s="347">
        <v>45000</v>
      </c>
      <c r="G35" s="329"/>
      <c r="H35" s="335">
        <v>1</v>
      </c>
      <c r="I35" s="335">
        <v>1</v>
      </c>
      <c r="J35" s="329"/>
      <c r="K35" s="329"/>
      <c r="L35" s="335"/>
      <c r="M35" s="335"/>
      <c r="N35" s="329"/>
      <c r="O35" s="329"/>
      <c r="P35" s="335"/>
      <c r="Q35" s="335"/>
      <c r="R35" s="329"/>
      <c r="S35" s="329"/>
      <c r="T35" s="335"/>
      <c r="U35" s="335"/>
      <c r="V35" s="329"/>
      <c r="W35" s="329"/>
      <c r="X35" s="329" t="s">
        <v>179</v>
      </c>
      <c r="Y35" s="330"/>
      <c r="Z35" s="329" t="s">
        <v>2950</v>
      </c>
      <c r="AA35" s="329"/>
      <c r="AB35" s="345"/>
      <c r="AC35" s="339" t="str">
        <f ca="1">IFERROR(__xludf.DUMMYFUNCTION("""COMPUTED_VALUE"""),"INFECTIOUS")</f>
        <v>INFECTIOUS</v>
      </c>
    </row>
    <row r="36" spans="1:29" ht="126" hidden="1">
      <c r="A36" s="329"/>
      <c r="B36" s="352" t="s">
        <v>2961</v>
      </c>
      <c r="C36" s="335">
        <v>1</v>
      </c>
      <c r="D36" s="341" t="s">
        <v>103</v>
      </c>
      <c r="E36" s="347">
        <v>49000</v>
      </c>
      <c r="F36" s="347">
        <v>49000</v>
      </c>
      <c r="G36" s="329"/>
      <c r="H36" s="335">
        <v>1</v>
      </c>
      <c r="I36" s="335">
        <v>1</v>
      </c>
      <c r="J36" s="329"/>
      <c r="K36" s="329"/>
      <c r="L36" s="335"/>
      <c r="M36" s="335"/>
      <c r="N36" s="329"/>
      <c r="O36" s="329"/>
      <c r="P36" s="335"/>
      <c r="Q36" s="335"/>
      <c r="R36" s="329"/>
      <c r="S36" s="329"/>
      <c r="T36" s="335"/>
      <c r="U36" s="335"/>
      <c r="V36" s="329"/>
      <c r="W36" s="329"/>
      <c r="X36" s="329" t="s">
        <v>179</v>
      </c>
      <c r="Y36" s="330"/>
      <c r="Z36" s="329" t="s">
        <v>2950</v>
      </c>
      <c r="AA36" s="329"/>
      <c r="AB36" s="345"/>
      <c r="AC36" s="339" t="str">
        <f ca="1">IFERROR(__xludf.DUMMYFUNCTION("""COMPUTED_VALUE"""),"INTERNAL MEDICINE")</f>
        <v>INTERNAL MEDICINE</v>
      </c>
    </row>
    <row r="37" spans="1:29" ht="63" hidden="1">
      <c r="A37" s="329"/>
      <c r="B37" s="352" t="s">
        <v>683</v>
      </c>
      <c r="C37" s="335">
        <v>4</v>
      </c>
      <c r="D37" s="341" t="s">
        <v>103</v>
      </c>
      <c r="E37" s="347">
        <v>9000</v>
      </c>
      <c r="F37" s="347">
        <v>36000</v>
      </c>
      <c r="G37" s="329"/>
      <c r="H37" s="335">
        <v>2</v>
      </c>
      <c r="I37" s="335">
        <v>2</v>
      </c>
      <c r="J37" s="329"/>
      <c r="K37" s="329"/>
      <c r="L37" s="335">
        <v>2</v>
      </c>
      <c r="M37" s="335">
        <v>2</v>
      </c>
      <c r="N37" s="329"/>
      <c r="O37" s="329"/>
      <c r="P37" s="335"/>
      <c r="Q37" s="335"/>
      <c r="R37" s="329"/>
      <c r="S37" s="329"/>
      <c r="T37" s="335"/>
      <c r="U37" s="335"/>
      <c r="V37" s="329"/>
      <c r="W37" s="329"/>
      <c r="X37" s="329" t="s">
        <v>179</v>
      </c>
      <c r="Y37" s="330"/>
      <c r="Z37" s="329" t="s">
        <v>2962</v>
      </c>
      <c r="AA37" s="329"/>
      <c r="AB37" s="345"/>
      <c r="AC37" s="339" t="str">
        <f ca="1">IFERROR(__xludf.DUMMYFUNCTION("""COMPUTED_VALUE"""),"LINEN")</f>
        <v>LINEN</v>
      </c>
    </row>
    <row r="38" spans="1:29" hidden="1">
      <c r="A38" s="329"/>
      <c r="B38" s="352" t="s">
        <v>1338</v>
      </c>
      <c r="C38" s="335">
        <v>2</v>
      </c>
      <c r="D38" s="341" t="s">
        <v>103</v>
      </c>
      <c r="E38" s="347">
        <v>3500</v>
      </c>
      <c r="F38" s="347">
        <v>7000</v>
      </c>
      <c r="G38" s="329"/>
      <c r="H38" s="335">
        <v>2</v>
      </c>
      <c r="I38" s="335">
        <v>2</v>
      </c>
      <c r="J38" s="329"/>
      <c r="K38" s="329"/>
      <c r="L38" s="335"/>
      <c r="M38" s="335"/>
      <c r="N38" s="329"/>
      <c r="O38" s="329"/>
      <c r="P38" s="335"/>
      <c r="Q38" s="335"/>
      <c r="R38" s="329"/>
      <c r="S38" s="329"/>
      <c r="T38" s="335"/>
      <c r="U38" s="335"/>
      <c r="V38" s="329"/>
      <c r="W38" s="329"/>
      <c r="X38" s="329" t="s">
        <v>179</v>
      </c>
      <c r="Y38" s="330"/>
      <c r="Z38" s="329" t="s">
        <v>2952</v>
      </c>
      <c r="AA38" s="329"/>
      <c r="AB38" s="345"/>
      <c r="AC38" s="339" t="str">
        <f ca="1">IFERROR(__xludf.DUMMYFUNCTION("""COMPUTED_VALUE"""),"NICU1")</f>
        <v>NICU1</v>
      </c>
    </row>
    <row r="39" spans="1:29" hidden="1">
      <c r="A39" s="329"/>
      <c r="B39" s="352" t="s">
        <v>1340</v>
      </c>
      <c r="C39" s="335">
        <v>2</v>
      </c>
      <c r="D39" s="341" t="s">
        <v>103</v>
      </c>
      <c r="E39" s="347">
        <v>3500</v>
      </c>
      <c r="F39" s="347">
        <v>7000</v>
      </c>
      <c r="G39" s="329"/>
      <c r="H39" s="335">
        <v>2</v>
      </c>
      <c r="I39" s="335">
        <v>2</v>
      </c>
      <c r="J39" s="329"/>
      <c r="K39" s="329"/>
      <c r="L39" s="335"/>
      <c r="M39" s="335"/>
      <c r="N39" s="329"/>
      <c r="O39" s="329"/>
      <c r="P39" s="335"/>
      <c r="Q39" s="335"/>
      <c r="R39" s="329"/>
      <c r="S39" s="329"/>
      <c r="T39" s="335"/>
      <c r="U39" s="335"/>
      <c r="V39" s="329"/>
      <c r="W39" s="329"/>
      <c r="X39" s="329" t="s">
        <v>179</v>
      </c>
      <c r="Y39" s="330"/>
      <c r="Z39" s="329" t="s">
        <v>2952</v>
      </c>
      <c r="AA39" s="329"/>
      <c r="AB39" s="345"/>
      <c r="AC39" s="339" t="str">
        <f ca="1">IFERROR(__xludf.DUMMYFUNCTION("""COMPUTED_VALUE"""),"NICU2")</f>
        <v>NICU2</v>
      </c>
    </row>
    <row r="40" spans="1:29" hidden="1">
      <c r="A40" s="329"/>
      <c r="B40" s="352" t="s">
        <v>1342</v>
      </c>
      <c r="C40" s="335">
        <v>2</v>
      </c>
      <c r="D40" s="341" t="s">
        <v>103</v>
      </c>
      <c r="E40" s="347">
        <v>3500</v>
      </c>
      <c r="F40" s="347">
        <v>7000</v>
      </c>
      <c r="G40" s="329"/>
      <c r="H40" s="335">
        <v>2</v>
      </c>
      <c r="I40" s="335">
        <v>2</v>
      </c>
      <c r="J40" s="329"/>
      <c r="K40" s="329"/>
      <c r="L40" s="335"/>
      <c r="M40" s="335"/>
      <c r="N40" s="329"/>
      <c r="O40" s="329"/>
      <c r="P40" s="335"/>
      <c r="Q40" s="335"/>
      <c r="R40" s="329"/>
      <c r="S40" s="329"/>
      <c r="T40" s="335"/>
      <c r="U40" s="335"/>
      <c r="V40" s="329"/>
      <c r="W40" s="329"/>
      <c r="X40" s="329" t="s">
        <v>179</v>
      </c>
      <c r="Y40" s="330"/>
      <c r="Z40" s="329" t="s">
        <v>2952</v>
      </c>
      <c r="AA40" s="329"/>
      <c r="AB40" s="345"/>
      <c r="AC40" s="339" t="str">
        <f ca="1">IFERROR(__xludf.DUMMYFUNCTION("""COMPUTED_VALUE"""),"NMB 1ST ONCO")</f>
        <v>NMB 1ST ONCO</v>
      </c>
    </row>
    <row r="41" spans="1:29" hidden="1">
      <c r="A41" s="329"/>
      <c r="B41" s="352" t="s">
        <v>1344</v>
      </c>
      <c r="C41" s="335">
        <v>2</v>
      </c>
      <c r="D41" s="341" t="s">
        <v>103</v>
      </c>
      <c r="E41" s="347">
        <v>3500</v>
      </c>
      <c r="F41" s="347">
        <v>7000</v>
      </c>
      <c r="G41" s="329"/>
      <c r="H41" s="335">
        <v>2</v>
      </c>
      <c r="I41" s="335">
        <v>2</v>
      </c>
      <c r="J41" s="329"/>
      <c r="K41" s="329"/>
      <c r="L41" s="335"/>
      <c r="M41" s="335"/>
      <c r="N41" s="329"/>
      <c r="O41" s="329"/>
      <c r="P41" s="335"/>
      <c r="Q41" s="335"/>
      <c r="R41" s="329"/>
      <c r="S41" s="329"/>
      <c r="T41" s="335"/>
      <c r="U41" s="335"/>
      <c r="V41" s="329"/>
      <c r="W41" s="329"/>
      <c r="X41" s="329" t="s">
        <v>179</v>
      </c>
      <c r="Y41" s="330"/>
      <c r="Z41" s="329" t="s">
        <v>2952</v>
      </c>
      <c r="AA41" s="329"/>
      <c r="AB41" s="345"/>
      <c r="AC41" s="339" t="str">
        <f ca="1">IFERROR(__xludf.DUMMYFUNCTION("""COMPUTED_VALUE"""),"NMB 2ND")</f>
        <v>NMB 2ND</v>
      </c>
    </row>
    <row r="42" spans="1:29" ht="409.5">
      <c r="A42" s="329"/>
      <c r="B42" s="352" t="s">
        <v>2963</v>
      </c>
      <c r="C42" s="335">
        <v>1</v>
      </c>
      <c r="D42" s="341" t="s">
        <v>118</v>
      </c>
      <c r="E42" s="347">
        <v>100000</v>
      </c>
      <c r="F42" s="347">
        <v>100000</v>
      </c>
      <c r="G42" s="329"/>
      <c r="H42" s="335">
        <v>1</v>
      </c>
      <c r="I42" s="335">
        <v>1</v>
      </c>
      <c r="J42" s="329"/>
      <c r="K42" s="329"/>
      <c r="L42" s="335"/>
      <c r="M42" s="335"/>
      <c r="N42" s="329"/>
      <c r="O42" s="329"/>
      <c r="P42" s="335"/>
      <c r="Q42" s="335"/>
      <c r="R42" s="329"/>
      <c r="S42" s="329"/>
      <c r="T42" s="335"/>
      <c r="U42" s="335"/>
      <c r="V42" s="329"/>
      <c r="W42" s="329"/>
      <c r="X42" s="329" t="s">
        <v>179</v>
      </c>
      <c r="Y42" s="330" t="str">
        <f>DB!$D$194</f>
        <v>Branded Desktop Computer Set</v>
      </c>
      <c r="Z42" s="329" t="s">
        <v>2964</v>
      </c>
      <c r="AA42" s="329"/>
      <c r="AB42" s="345"/>
      <c r="AC42" s="339" t="str">
        <f ca="1">IFERROR(__xludf.DUMMYFUNCTION("""COMPUTED_VALUE"""),"NMB 3RD")</f>
        <v>NMB 3RD</v>
      </c>
    </row>
    <row r="43" spans="1:29" hidden="1">
      <c r="A43" s="329"/>
      <c r="B43" s="352" t="s">
        <v>598</v>
      </c>
      <c r="C43" s="335">
        <v>8</v>
      </c>
      <c r="D43" s="341" t="s">
        <v>103</v>
      </c>
      <c r="E43" s="341">
        <v>850</v>
      </c>
      <c r="F43" s="347">
        <v>6800</v>
      </c>
      <c r="G43" s="329"/>
      <c r="H43" s="335">
        <v>8</v>
      </c>
      <c r="I43" s="335">
        <v>8</v>
      </c>
      <c r="J43" s="329"/>
      <c r="K43" s="329"/>
      <c r="L43" s="335"/>
      <c r="M43" s="335"/>
      <c r="N43" s="329"/>
      <c r="O43" s="329"/>
      <c r="P43" s="335"/>
      <c r="Q43" s="335"/>
      <c r="R43" s="329"/>
      <c r="S43" s="329"/>
      <c r="T43" s="335"/>
      <c r="U43" s="335"/>
      <c r="V43" s="329"/>
      <c r="W43" s="329"/>
      <c r="X43" s="329" t="s">
        <v>179</v>
      </c>
      <c r="Y43" s="330"/>
      <c r="Z43" s="329" t="s">
        <v>2946</v>
      </c>
      <c r="AA43" s="329"/>
      <c r="AB43" s="345"/>
      <c r="AC43" s="339" t="str">
        <f ca="1">IFERROR(__xludf.DUMMYFUNCTION("""COMPUTED_VALUE"""),"NMB 4TH")</f>
        <v>NMB 4TH</v>
      </c>
    </row>
    <row r="44" spans="1:29" hidden="1">
      <c r="A44" s="329"/>
      <c r="B44" s="352" t="s">
        <v>1639</v>
      </c>
      <c r="C44" s="335" t="s">
        <v>488</v>
      </c>
      <c r="D44" s="341" t="s">
        <v>758</v>
      </c>
      <c r="E44" s="347">
        <v>100000</v>
      </c>
      <c r="F44" s="341" t="s">
        <v>488</v>
      </c>
      <c r="G44" s="329"/>
      <c r="H44" s="335"/>
      <c r="I44" s="335"/>
      <c r="J44" s="329"/>
      <c r="K44" s="329"/>
      <c r="L44" s="335"/>
      <c r="M44" s="335"/>
      <c r="N44" s="329"/>
      <c r="O44" s="329"/>
      <c r="P44" s="335"/>
      <c r="Q44" s="335"/>
      <c r="R44" s="329"/>
      <c r="S44" s="329"/>
      <c r="T44" s="335"/>
      <c r="U44" s="335"/>
      <c r="V44" s="329"/>
      <c r="W44" s="329"/>
      <c r="X44" s="329" t="s">
        <v>179</v>
      </c>
      <c r="Y44" s="352" t="s">
        <v>1639</v>
      </c>
      <c r="Z44" s="329" t="s">
        <v>2965</v>
      </c>
      <c r="AA44" s="329"/>
      <c r="AB44" s="345"/>
      <c r="AC44" s="339" t="str">
        <f ca="1">IFERROR(__xludf.DUMMYFUNCTION("""COMPUTED_VALUE"""),"NMB 5TH ICU CCU")</f>
        <v>NMB 5TH ICU CCU</v>
      </c>
    </row>
    <row r="45" spans="1:29" ht="47.25" hidden="1">
      <c r="A45" s="329"/>
      <c r="B45" s="352" t="s">
        <v>689</v>
      </c>
      <c r="C45" s="335">
        <v>1</v>
      </c>
      <c r="D45" s="341" t="s">
        <v>103</v>
      </c>
      <c r="E45" s="347">
        <v>3000</v>
      </c>
      <c r="F45" s="347">
        <v>3000</v>
      </c>
      <c r="G45" s="329"/>
      <c r="H45" s="335">
        <v>1</v>
      </c>
      <c r="I45" s="335">
        <v>1</v>
      </c>
      <c r="J45" s="329"/>
      <c r="K45" s="329"/>
      <c r="L45" s="335"/>
      <c r="M45" s="335"/>
      <c r="N45" s="329"/>
      <c r="O45" s="329"/>
      <c r="P45" s="335"/>
      <c r="Q45" s="335"/>
      <c r="R45" s="329"/>
      <c r="S45" s="329"/>
      <c r="T45" s="335"/>
      <c r="U45" s="335"/>
      <c r="V45" s="329"/>
      <c r="W45" s="329"/>
      <c r="X45" s="329" t="s">
        <v>179</v>
      </c>
      <c r="Y45" s="330" t="str">
        <f>DB!$D$90</f>
        <v>Professional Presenter Wireless Presentation Clicker Remote</v>
      </c>
      <c r="Z45" s="329" t="s">
        <v>2965</v>
      </c>
      <c r="AA45" s="329"/>
      <c r="AB45" s="345"/>
      <c r="AC45" s="339" t="str">
        <f ca="1">IFERROR(__xludf.DUMMYFUNCTION("""COMPUTED_VALUE"""),"NSU")</f>
        <v>NSU</v>
      </c>
    </row>
    <row r="46" spans="1:29" hidden="1">
      <c r="A46" s="329"/>
      <c r="B46" s="352" t="s">
        <v>690</v>
      </c>
      <c r="C46" s="335">
        <v>20</v>
      </c>
      <c r="D46" s="341" t="s">
        <v>103</v>
      </c>
      <c r="E46" s="341">
        <v>250</v>
      </c>
      <c r="F46" s="347">
        <v>5000</v>
      </c>
      <c r="G46" s="329"/>
      <c r="H46" s="341">
        <v>5</v>
      </c>
      <c r="I46" s="341">
        <v>5</v>
      </c>
      <c r="J46" s="329"/>
      <c r="K46" s="329"/>
      <c r="L46" s="335">
        <v>5</v>
      </c>
      <c r="M46" s="335">
        <v>5</v>
      </c>
      <c r="N46" s="329"/>
      <c r="O46" s="329"/>
      <c r="P46" s="335">
        <v>5</v>
      </c>
      <c r="Q46" s="335">
        <v>5</v>
      </c>
      <c r="R46" s="329"/>
      <c r="S46" s="329"/>
      <c r="T46" s="335">
        <v>5</v>
      </c>
      <c r="U46" s="335">
        <v>5</v>
      </c>
      <c r="V46" s="329"/>
      <c r="W46" s="329"/>
      <c r="X46" s="329" t="s">
        <v>179</v>
      </c>
      <c r="Y46" s="330" t="str">
        <f>DB!$D$106</f>
        <v>Epson Genuine Ink (003) Black</v>
      </c>
      <c r="Z46" s="351" t="s">
        <v>2966</v>
      </c>
      <c r="AA46" s="329"/>
      <c r="AB46" s="345"/>
      <c r="AC46" s="339" t="str">
        <f ca="1">IFERROR(__xludf.DUMMYFUNCTION("""COMPUTED_VALUE"""),"OB COMPLEX")</f>
        <v>OB COMPLEX</v>
      </c>
    </row>
    <row r="47" spans="1:29" hidden="1">
      <c r="A47" s="329"/>
      <c r="B47" s="352" t="s">
        <v>691</v>
      </c>
      <c r="C47" s="335">
        <v>8</v>
      </c>
      <c r="D47" s="341" t="s">
        <v>103</v>
      </c>
      <c r="E47" s="341">
        <v>250</v>
      </c>
      <c r="F47" s="347">
        <v>2000</v>
      </c>
      <c r="G47" s="329"/>
      <c r="H47" s="341">
        <v>2</v>
      </c>
      <c r="I47" s="341">
        <v>2</v>
      </c>
      <c r="J47" s="329"/>
      <c r="K47" s="329"/>
      <c r="L47" s="335">
        <v>2</v>
      </c>
      <c r="M47" s="335">
        <v>2</v>
      </c>
      <c r="N47" s="329"/>
      <c r="O47" s="329"/>
      <c r="P47" s="335">
        <v>2</v>
      </c>
      <c r="Q47" s="335">
        <v>2</v>
      </c>
      <c r="R47" s="329"/>
      <c r="S47" s="329"/>
      <c r="T47" s="335">
        <v>2</v>
      </c>
      <c r="U47" s="335">
        <v>2</v>
      </c>
      <c r="V47" s="329"/>
      <c r="W47" s="329"/>
      <c r="X47" s="329" t="s">
        <v>179</v>
      </c>
      <c r="Y47" s="330" t="str">
        <f>DB!$D$107</f>
        <v>Epson Genuine Ink (003) Cyan</v>
      </c>
      <c r="Z47" s="351" t="s">
        <v>2966</v>
      </c>
      <c r="AA47" s="329"/>
      <c r="AB47" s="345"/>
      <c r="AC47" s="339" t="str">
        <f ca="1">IFERROR(__xludf.DUMMYFUNCTION("""COMPUTED_VALUE"""),"OPD DFCM")</f>
        <v>OPD DFCM</v>
      </c>
    </row>
    <row r="48" spans="1:29" hidden="1">
      <c r="A48" s="329"/>
      <c r="B48" s="352" t="s">
        <v>692</v>
      </c>
      <c r="C48" s="335">
        <v>8</v>
      </c>
      <c r="D48" s="341" t="s">
        <v>103</v>
      </c>
      <c r="E48" s="341">
        <v>250</v>
      </c>
      <c r="F48" s="347">
        <v>2000</v>
      </c>
      <c r="G48" s="329"/>
      <c r="H48" s="341">
        <v>2</v>
      </c>
      <c r="I48" s="341">
        <v>2</v>
      </c>
      <c r="J48" s="329"/>
      <c r="K48" s="329"/>
      <c r="L48" s="335">
        <v>2</v>
      </c>
      <c r="M48" s="335">
        <v>2</v>
      </c>
      <c r="N48" s="329"/>
      <c r="O48" s="329"/>
      <c r="P48" s="335">
        <v>2</v>
      </c>
      <c r="Q48" s="335">
        <v>2</v>
      </c>
      <c r="R48" s="329"/>
      <c r="S48" s="329"/>
      <c r="T48" s="335">
        <v>2</v>
      </c>
      <c r="U48" s="335">
        <v>2</v>
      </c>
      <c r="V48" s="329"/>
      <c r="W48" s="329"/>
      <c r="X48" s="329" t="s">
        <v>179</v>
      </c>
      <c r="Y48" s="330" t="str">
        <f>DB!$D$108</f>
        <v>Epson Genuine Ink (003) Yellow</v>
      </c>
      <c r="Z48" s="351" t="s">
        <v>2966</v>
      </c>
      <c r="AA48" s="329"/>
      <c r="AB48" s="345"/>
      <c r="AC48" s="339" t="str">
        <f ca="1">IFERROR(__xludf.DUMMYFUNCTION("""COMPUTED_VALUE"""),"OPD MEDICAL")</f>
        <v>OPD MEDICAL</v>
      </c>
    </row>
    <row r="49" spans="1:29" ht="31.5" hidden="1">
      <c r="A49" s="329"/>
      <c r="B49" s="352" t="s">
        <v>693</v>
      </c>
      <c r="C49" s="335">
        <v>8</v>
      </c>
      <c r="D49" s="341" t="s">
        <v>103</v>
      </c>
      <c r="E49" s="341">
        <v>250</v>
      </c>
      <c r="F49" s="347">
        <v>2000</v>
      </c>
      <c r="G49" s="329"/>
      <c r="H49" s="341">
        <v>2</v>
      </c>
      <c r="I49" s="341">
        <v>2</v>
      </c>
      <c r="J49" s="329"/>
      <c r="K49" s="329"/>
      <c r="L49" s="335">
        <v>2</v>
      </c>
      <c r="M49" s="335">
        <v>2</v>
      </c>
      <c r="N49" s="329"/>
      <c r="O49" s="329"/>
      <c r="P49" s="335">
        <v>2</v>
      </c>
      <c r="Q49" s="335">
        <v>2</v>
      </c>
      <c r="R49" s="329"/>
      <c r="S49" s="329"/>
      <c r="T49" s="335">
        <v>2</v>
      </c>
      <c r="U49" s="335">
        <v>2</v>
      </c>
      <c r="V49" s="329"/>
      <c r="W49" s="329"/>
      <c r="X49" s="329" t="s">
        <v>179</v>
      </c>
      <c r="Y49" s="330" t="str">
        <f>DB!$D$111</f>
        <v>HP Genuine Ink Refill - (GT52) Magenta</v>
      </c>
      <c r="Z49" s="351" t="s">
        <v>2966</v>
      </c>
      <c r="AA49" s="329"/>
      <c r="AB49" s="345"/>
      <c r="AC49" s="339" t="str">
        <f ca="1">IFERROR(__xludf.DUMMYFUNCTION("""COMPUTED_VALUE"""),"OPD OB")</f>
        <v>OPD OB</v>
      </c>
    </row>
    <row r="50" spans="1:29" ht="47.25" hidden="1">
      <c r="A50" s="329"/>
      <c r="B50" s="338" t="s">
        <v>746</v>
      </c>
      <c r="C50" s="343">
        <v>1</v>
      </c>
      <c r="D50" s="343" t="s">
        <v>466</v>
      </c>
      <c r="E50" s="343">
        <v>8500</v>
      </c>
      <c r="F50" s="342">
        <v>8500</v>
      </c>
      <c r="G50" s="343"/>
      <c r="H50" s="343">
        <v>0</v>
      </c>
      <c r="I50" s="343"/>
      <c r="J50" s="343"/>
      <c r="K50" s="343"/>
      <c r="L50" s="343">
        <v>1</v>
      </c>
      <c r="M50" s="343"/>
      <c r="N50" s="343"/>
      <c r="O50" s="343">
        <v>1</v>
      </c>
      <c r="P50" s="343">
        <v>0</v>
      </c>
      <c r="Q50" s="343"/>
      <c r="R50" s="343"/>
      <c r="S50" s="343"/>
      <c r="T50" s="343">
        <v>0</v>
      </c>
      <c r="U50" s="343"/>
      <c r="V50" s="343"/>
      <c r="W50" s="343"/>
      <c r="X50" s="329" t="s">
        <v>200</v>
      </c>
      <c r="Y50" s="330"/>
      <c r="Z50" s="329" t="s">
        <v>2962</v>
      </c>
      <c r="AA50" s="329"/>
      <c r="AB50" s="345"/>
      <c r="AC50" s="339" t="str">
        <f ca="1">IFERROR(__xludf.DUMMYFUNCTION("""COMPUTED_VALUE"""),"OPD OFFICE")</f>
        <v>OPD OFFICE</v>
      </c>
    </row>
    <row r="51" spans="1:29" hidden="1">
      <c r="A51" s="329"/>
      <c r="B51" s="334" t="s">
        <v>2967</v>
      </c>
      <c r="C51" s="341">
        <v>1</v>
      </c>
      <c r="D51" s="341" t="s">
        <v>466</v>
      </c>
      <c r="E51" s="341">
        <v>15000</v>
      </c>
      <c r="F51" s="347">
        <v>15000</v>
      </c>
      <c r="G51" s="341"/>
      <c r="H51" s="341">
        <v>1</v>
      </c>
      <c r="I51" s="341">
        <v>1</v>
      </c>
      <c r="J51" s="341"/>
      <c r="K51" s="341"/>
      <c r="L51" s="341">
        <v>0</v>
      </c>
      <c r="M51" s="341"/>
      <c r="N51" s="341"/>
      <c r="O51" s="341"/>
      <c r="P51" s="341">
        <v>0</v>
      </c>
      <c r="Q51" s="341"/>
      <c r="R51" s="341"/>
      <c r="S51" s="341"/>
      <c r="T51" s="341">
        <v>0</v>
      </c>
      <c r="U51" s="341"/>
      <c r="V51" s="341"/>
      <c r="W51" s="341"/>
      <c r="X51" s="329" t="s">
        <v>200</v>
      </c>
      <c r="Y51" s="330"/>
      <c r="Z51" s="329" t="s">
        <v>919</v>
      </c>
      <c r="AA51" s="329"/>
      <c r="AB51" s="345"/>
      <c r="AC51" s="339" t="str">
        <f ca="1">IFERROR(__xludf.DUMMYFUNCTION("""COMPUTED_VALUE"""),"OPD PEDIA")</f>
        <v>OPD PEDIA</v>
      </c>
    </row>
    <row r="52" spans="1:29" hidden="1">
      <c r="A52" s="329"/>
      <c r="B52" s="334" t="s">
        <v>2968</v>
      </c>
      <c r="C52" s="341">
        <v>10</v>
      </c>
      <c r="D52" s="341" t="s">
        <v>638</v>
      </c>
      <c r="E52" s="341">
        <v>900</v>
      </c>
      <c r="F52" s="347">
        <v>9000</v>
      </c>
      <c r="G52" s="341"/>
      <c r="H52" s="341">
        <v>5</v>
      </c>
      <c r="I52" s="341">
        <v>5</v>
      </c>
      <c r="J52" s="341"/>
      <c r="K52" s="341"/>
      <c r="L52" s="341">
        <v>0</v>
      </c>
      <c r="M52" s="341"/>
      <c r="N52" s="341"/>
      <c r="O52" s="341"/>
      <c r="P52" s="341">
        <v>5</v>
      </c>
      <c r="Q52" s="341">
        <v>5</v>
      </c>
      <c r="R52" s="341"/>
      <c r="S52" s="341"/>
      <c r="T52" s="341">
        <v>0</v>
      </c>
      <c r="U52" s="341"/>
      <c r="V52" s="341"/>
      <c r="W52" s="341"/>
      <c r="X52" s="329" t="s">
        <v>200</v>
      </c>
      <c r="Y52" s="330"/>
      <c r="Z52" s="329" t="s">
        <v>11</v>
      </c>
      <c r="AA52" s="329"/>
      <c r="AB52" s="345"/>
      <c r="AC52" s="339" t="str">
        <f ca="1">IFERROR(__xludf.DUMMYFUNCTION("""COMPUTED_VALUE"""),"OPD SURGERY")</f>
        <v>OPD SURGERY</v>
      </c>
    </row>
    <row r="53" spans="1:29" hidden="1">
      <c r="A53" s="329"/>
      <c r="B53" s="334" t="s">
        <v>2969</v>
      </c>
      <c r="C53" s="341">
        <v>10</v>
      </c>
      <c r="D53" s="341" t="s">
        <v>638</v>
      </c>
      <c r="E53" s="341">
        <v>900</v>
      </c>
      <c r="F53" s="347">
        <v>9000</v>
      </c>
      <c r="G53" s="341"/>
      <c r="H53" s="341">
        <v>5</v>
      </c>
      <c r="I53" s="341">
        <v>5</v>
      </c>
      <c r="J53" s="341"/>
      <c r="K53" s="341"/>
      <c r="L53" s="341">
        <v>0</v>
      </c>
      <c r="M53" s="341"/>
      <c r="N53" s="341"/>
      <c r="O53" s="341"/>
      <c r="P53" s="341">
        <v>5</v>
      </c>
      <c r="Q53" s="341">
        <v>5</v>
      </c>
      <c r="R53" s="341"/>
      <c r="S53" s="341"/>
      <c r="T53" s="341">
        <v>0</v>
      </c>
      <c r="U53" s="341"/>
      <c r="V53" s="341"/>
      <c r="W53" s="341"/>
      <c r="X53" s="329" t="s">
        <v>200</v>
      </c>
      <c r="Y53" s="330"/>
      <c r="Z53" s="329" t="s">
        <v>11</v>
      </c>
      <c r="AA53" s="329"/>
      <c r="AB53" s="345"/>
      <c r="AC53" s="339" t="str">
        <f ca="1">IFERROR(__xludf.DUMMYFUNCTION("""COMPUTED_VALUE"""),"OPHTHA")</f>
        <v>OPHTHA</v>
      </c>
    </row>
    <row r="54" spans="1:29" hidden="1">
      <c r="A54" s="329"/>
      <c r="B54" s="334" t="s">
        <v>2970</v>
      </c>
      <c r="C54" s="341">
        <v>10</v>
      </c>
      <c r="D54" s="341" t="s">
        <v>638</v>
      </c>
      <c r="E54" s="341">
        <v>900</v>
      </c>
      <c r="F54" s="347">
        <v>9000</v>
      </c>
      <c r="G54" s="341"/>
      <c r="H54" s="341">
        <v>5</v>
      </c>
      <c r="I54" s="341">
        <v>5</v>
      </c>
      <c r="J54" s="341"/>
      <c r="K54" s="341"/>
      <c r="L54" s="341">
        <v>0</v>
      </c>
      <c r="M54" s="341"/>
      <c r="N54" s="341"/>
      <c r="O54" s="341"/>
      <c r="P54" s="341">
        <v>5</v>
      </c>
      <c r="Q54" s="341">
        <v>5</v>
      </c>
      <c r="R54" s="341"/>
      <c r="S54" s="341"/>
      <c r="T54" s="341">
        <v>0</v>
      </c>
      <c r="U54" s="341"/>
      <c r="V54" s="341"/>
      <c r="W54" s="341"/>
      <c r="X54" s="329" t="s">
        <v>200</v>
      </c>
      <c r="Y54" s="330"/>
      <c r="Z54" s="329" t="s">
        <v>11</v>
      </c>
      <c r="AA54" s="329"/>
      <c r="AB54" s="345"/>
      <c r="AC54" s="339" t="str">
        <f ca="1">IFERROR(__xludf.DUMMYFUNCTION("""COMPUTED_VALUE"""),"OR PACU")</f>
        <v>OR PACU</v>
      </c>
    </row>
    <row r="55" spans="1:29" hidden="1">
      <c r="A55" s="329"/>
      <c r="B55" s="334" t="s">
        <v>2971</v>
      </c>
      <c r="C55" s="341">
        <v>10</v>
      </c>
      <c r="D55" s="341" t="s">
        <v>638</v>
      </c>
      <c r="E55" s="341">
        <v>900</v>
      </c>
      <c r="F55" s="347">
        <v>9000</v>
      </c>
      <c r="G55" s="341"/>
      <c r="H55" s="341">
        <v>5</v>
      </c>
      <c r="I55" s="341">
        <v>5</v>
      </c>
      <c r="J55" s="341"/>
      <c r="K55" s="341"/>
      <c r="L55" s="341">
        <v>0</v>
      </c>
      <c r="M55" s="341"/>
      <c r="N55" s="341"/>
      <c r="O55" s="341"/>
      <c r="P55" s="341">
        <v>5</v>
      </c>
      <c r="Q55" s="341">
        <v>5</v>
      </c>
      <c r="R55" s="341"/>
      <c r="S55" s="341"/>
      <c r="T55" s="341">
        <v>0</v>
      </c>
      <c r="U55" s="341"/>
      <c r="V55" s="341"/>
      <c r="W55" s="341"/>
      <c r="X55" s="329" t="s">
        <v>200</v>
      </c>
      <c r="Y55" s="330"/>
      <c r="Z55" s="329" t="s">
        <v>11</v>
      </c>
      <c r="AA55" s="329"/>
      <c r="AB55" s="345"/>
      <c r="AC55" s="339" t="str">
        <f ca="1">IFERROR(__xludf.DUMMYFUNCTION("""COMPUTED_VALUE"""),"OSM")</f>
        <v>OSM</v>
      </c>
    </row>
    <row r="56" spans="1:29" hidden="1">
      <c r="A56" s="329"/>
      <c r="B56" s="334" t="s">
        <v>528</v>
      </c>
      <c r="C56" s="341">
        <v>65</v>
      </c>
      <c r="D56" s="341" t="s">
        <v>633</v>
      </c>
      <c r="E56" s="341">
        <v>249.6</v>
      </c>
      <c r="F56" s="347">
        <v>16224</v>
      </c>
      <c r="G56" s="341"/>
      <c r="H56" s="341">
        <v>25</v>
      </c>
      <c r="I56" s="341">
        <v>10</v>
      </c>
      <c r="J56" s="341">
        <v>10</v>
      </c>
      <c r="K56" s="341">
        <v>5</v>
      </c>
      <c r="L56" s="341">
        <v>20</v>
      </c>
      <c r="M56" s="341">
        <v>5</v>
      </c>
      <c r="N56" s="341">
        <v>10</v>
      </c>
      <c r="O56" s="341">
        <v>5</v>
      </c>
      <c r="P56" s="341">
        <v>15</v>
      </c>
      <c r="Q56" s="341">
        <v>5</v>
      </c>
      <c r="R56" s="341">
        <v>5</v>
      </c>
      <c r="S56" s="341">
        <v>5</v>
      </c>
      <c r="T56" s="341">
        <v>5</v>
      </c>
      <c r="U56" s="341">
        <v>5</v>
      </c>
      <c r="V56" s="341"/>
      <c r="W56" s="341"/>
      <c r="X56" s="329" t="s">
        <v>200</v>
      </c>
      <c r="Y56" s="330" t="str">
        <f>DB!$D$102</f>
        <v>Epson Genuine Ink T6641 Black</v>
      </c>
      <c r="Z56" s="329" t="s">
        <v>8</v>
      </c>
      <c r="AA56" s="329"/>
      <c r="AB56" s="345"/>
      <c r="AC56" s="339" t="str">
        <f ca="1">IFERROR(__xludf.DUMMYFUNCTION("""COMPUTED_VALUE"""),"PEDIA 1ST")</f>
        <v>PEDIA 1ST</v>
      </c>
    </row>
    <row r="57" spans="1:29" hidden="1">
      <c r="A57" s="329"/>
      <c r="B57" s="334" t="s">
        <v>529</v>
      </c>
      <c r="C57" s="341">
        <v>50</v>
      </c>
      <c r="D57" s="341" t="s">
        <v>633</v>
      </c>
      <c r="E57" s="341">
        <v>249.6</v>
      </c>
      <c r="F57" s="347">
        <v>12480</v>
      </c>
      <c r="G57" s="341"/>
      <c r="H57" s="341">
        <v>15</v>
      </c>
      <c r="I57" s="341">
        <v>5</v>
      </c>
      <c r="J57" s="341">
        <v>5</v>
      </c>
      <c r="K57" s="341">
        <v>5</v>
      </c>
      <c r="L57" s="341">
        <v>15</v>
      </c>
      <c r="M57" s="341">
        <v>5</v>
      </c>
      <c r="N57" s="341">
        <v>5</v>
      </c>
      <c r="O57" s="341">
        <v>5</v>
      </c>
      <c r="P57" s="341">
        <v>15</v>
      </c>
      <c r="Q57" s="341">
        <v>5</v>
      </c>
      <c r="R57" s="341">
        <v>5</v>
      </c>
      <c r="S57" s="341">
        <v>5</v>
      </c>
      <c r="T57" s="341">
        <v>5</v>
      </c>
      <c r="U57" s="341">
        <v>5</v>
      </c>
      <c r="V57" s="341"/>
      <c r="W57" s="341"/>
      <c r="X57" s="329" t="s">
        <v>200</v>
      </c>
      <c r="Y57" s="330" t="str">
        <f>DB!$D$103</f>
        <v>Epson Genuine Ink T6642 Cyan</v>
      </c>
      <c r="Z57" s="329" t="s">
        <v>8</v>
      </c>
      <c r="AA57" s="329"/>
      <c r="AB57" s="345"/>
      <c r="AC57" s="339" t="str">
        <f ca="1">IFERROR(__xludf.DUMMYFUNCTION("""COMPUTED_VALUE"""),"PEDIA 3RD")</f>
        <v>PEDIA 3RD</v>
      </c>
    </row>
    <row r="58" spans="1:29" ht="31.5" hidden="1">
      <c r="A58" s="329"/>
      <c r="B58" s="334" t="s">
        <v>530</v>
      </c>
      <c r="C58" s="341">
        <v>50</v>
      </c>
      <c r="D58" s="341" t="s">
        <v>633</v>
      </c>
      <c r="E58" s="341">
        <v>249.6</v>
      </c>
      <c r="F58" s="347">
        <v>12480</v>
      </c>
      <c r="G58" s="341"/>
      <c r="H58" s="341">
        <v>15</v>
      </c>
      <c r="I58" s="341">
        <v>5</v>
      </c>
      <c r="J58" s="341">
        <v>5</v>
      </c>
      <c r="K58" s="341">
        <v>5</v>
      </c>
      <c r="L58" s="341">
        <v>15</v>
      </c>
      <c r="M58" s="341">
        <v>5</v>
      </c>
      <c r="N58" s="341">
        <v>5</v>
      </c>
      <c r="O58" s="341">
        <v>5</v>
      </c>
      <c r="P58" s="341">
        <v>15</v>
      </c>
      <c r="Q58" s="341">
        <v>5</v>
      </c>
      <c r="R58" s="341">
        <v>5</v>
      </c>
      <c r="S58" s="341">
        <v>5</v>
      </c>
      <c r="T58" s="341">
        <v>5</v>
      </c>
      <c r="U58" s="341">
        <v>5</v>
      </c>
      <c r="V58" s="341"/>
      <c r="W58" s="341"/>
      <c r="X58" s="329" t="s">
        <v>200</v>
      </c>
      <c r="Y58" s="330" t="str">
        <f>DB!$D$104</f>
        <v>Epson Genuine Ink T6643 Magenta</v>
      </c>
      <c r="Z58" s="329" t="s">
        <v>8</v>
      </c>
      <c r="AA58" s="329"/>
      <c r="AB58" s="345"/>
      <c r="AC58" s="339" t="str">
        <f ca="1">IFERROR(__xludf.DUMMYFUNCTION("""COMPUTED_VALUE"""),"PETRO")</f>
        <v>PETRO</v>
      </c>
    </row>
    <row r="59" spans="1:29" ht="31.5" hidden="1">
      <c r="A59" s="329"/>
      <c r="B59" s="334" t="s">
        <v>531</v>
      </c>
      <c r="C59" s="341">
        <v>50</v>
      </c>
      <c r="D59" s="341" t="s">
        <v>633</v>
      </c>
      <c r="E59" s="341">
        <v>249.6</v>
      </c>
      <c r="F59" s="347">
        <v>12480</v>
      </c>
      <c r="G59" s="341"/>
      <c r="H59" s="341">
        <v>15</v>
      </c>
      <c r="I59" s="341">
        <v>5</v>
      </c>
      <c r="J59" s="341">
        <v>5</v>
      </c>
      <c r="K59" s="341">
        <v>5</v>
      </c>
      <c r="L59" s="341">
        <v>15</v>
      </c>
      <c r="M59" s="341">
        <v>5</v>
      </c>
      <c r="N59" s="341">
        <v>5</v>
      </c>
      <c r="O59" s="341">
        <v>5</v>
      </c>
      <c r="P59" s="341">
        <v>15</v>
      </c>
      <c r="Q59" s="341">
        <v>5</v>
      </c>
      <c r="R59" s="341">
        <v>5</v>
      </c>
      <c r="S59" s="341">
        <v>5</v>
      </c>
      <c r="T59" s="341">
        <v>5</v>
      </c>
      <c r="U59" s="341">
        <v>5</v>
      </c>
      <c r="V59" s="341"/>
      <c r="W59" s="341"/>
      <c r="X59" s="329" t="s">
        <v>200</v>
      </c>
      <c r="Y59" s="330" t="str">
        <f>DB!$D$105</f>
        <v>Epson Genuine Ink T6644 Yellow</v>
      </c>
      <c r="Z59" s="329" t="s">
        <v>8</v>
      </c>
      <c r="AA59" s="329"/>
      <c r="AB59" s="345"/>
      <c r="AC59" s="339" t="str">
        <f ca="1">IFERROR(__xludf.DUMMYFUNCTION("""COMPUTED_VALUE"""),"PHARMACY")</f>
        <v>PHARMACY</v>
      </c>
    </row>
    <row r="60" spans="1:29" ht="110.25" hidden="1">
      <c r="A60" s="329"/>
      <c r="B60" s="334" t="s">
        <v>2972</v>
      </c>
      <c r="C60" s="341">
        <v>1</v>
      </c>
      <c r="D60" s="341" t="s">
        <v>466</v>
      </c>
      <c r="E60" s="341">
        <v>70000</v>
      </c>
      <c r="F60" s="347">
        <v>70000</v>
      </c>
      <c r="G60" s="341"/>
      <c r="H60" s="341">
        <v>1</v>
      </c>
      <c r="I60" s="341">
        <v>1</v>
      </c>
      <c r="J60" s="341"/>
      <c r="K60" s="341"/>
      <c r="L60" s="341">
        <v>0</v>
      </c>
      <c r="M60" s="341"/>
      <c r="N60" s="341"/>
      <c r="O60" s="341"/>
      <c r="P60" s="341">
        <v>0</v>
      </c>
      <c r="Q60" s="341"/>
      <c r="R60" s="341"/>
      <c r="S60" s="341"/>
      <c r="T60" s="341">
        <v>0</v>
      </c>
      <c r="U60" s="341"/>
      <c r="V60" s="341"/>
      <c r="W60" s="341"/>
      <c r="X60" s="329" t="s">
        <v>200</v>
      </c>
      <c r="Y60" s="330"/>
      <c r="Z60" s="329" t="s">
        <v>2962</v>
      </c>
      <c r="AA60" s="329"/>
      <c r="AB60" s="345"/>
      <c r="AC60" s="339" t="str">
        <f ca="1">IFERROR(__xludf.DUMMYFUNCTION("""COMPUTED_VALUE"""),"PHYSICAL MEDICINE AND REHABILITATION")</f>
        <v>PHYSICAL MEDICINE AND REHABILITATION</v>
      </c>
    </row>
    <row r="61" spans="1:29" hidden="1">
      <c r="A61" s="329"/>
      <c r="B61" s="338" t="s">
        <v>873</v>
      </c>
      <c r="C61" s="343">
        <v>1</v>
      </c>
      <c r="D61" s="343" t="s">
        <v>103</v>
      </c>
      <c r="E61" s="343">
        <v>380</v>
      </c>
      <c r="F61" s="343">
        <v>380</v>
      </c>
      <c r="G61" s="343" t="s">
        <v>2973</v>
      </c>
      <c r="H61" s="343">
        <v>1</v>
      </c>
      <c r="I61" s="343">
        <v>1</v>
      </c>
      <c r="J61" s="349"/>
      <c r="K61" s="349"/>
      <c r="L61" s="343"/>
      <c r="M61" s="349"/>
      <c r="N61" s="349"/>
      <c r="O61" s="349"/>
      <c r="P61" s="343"/>
      <c r="Q61" s="349"/>
      <c r="R61" s="349"/>
      <c r="S61" s="349"/>
      <c r="T61" s="343"/>
      <c r="U61" s="349"/>
      <c r="V61" s="349"/>
      <c r="W61" s="349"/>
      <c r="X61" s="329" t="s">
        <v>2974</v>
      </c>
      <c r="Y61" s="336" t="str">
        <f>DB!$D$168</f>
        <v>Keyboard, Full Size, USB 2.0</v>
      </c>
      <c r="Z61" s="329" t="s">
        <v>2946</v>
      </c>
      <c r="AA61" s="329"/>
      <c r="AB61" s="345"/>
      <c r="AC61" s="339" t="str">
        <f ca="1">IFERROR(__xludf.DUMMYFUNCTION("""COMPUTED_VALUE"""),"PICU")</f>
        <v>PICU</v>
      </c>
    </row>
    <row r="62" spans="1:29" hidden="1">
      <c r="A62" s="329"/>
      <c r="B62" s="334" t="s">
        <v>874</v>
      </c>
      <c r="C62" s="341">
        <v>1</v>
      </c>
      <c r="D62" s="341" t="s">
        <v>103</v>
      </c>
      <c r="E62" s="341">
        <v>380</v>
      </c>
      <c r="F62" s="341">
        <v>380</v>
      </c>
      <c r="G62" s="341" t="s">
        <v>2973</v>
      </c>
      <c r="H62" s="341">
        <v>1</v>
      </c>
      <c r="I62" s="341">
        <v>1</v>
      </c>
      <c r="J62" s="349"/>
      <c r="K62" s="349"/>
      <c r="L62" s="341"/>
      <c r="M62" s="349"/>
      <c r="N62" s="349"/>
      <c r="O62" s="349"/>
      <c r="P62" s="341"/>
      <c r="Q62" s="349"/>
      <c r="R62" s="349"/>
      <c r="S62" s="349"/>
      <c r="T62" s="341"/>
      <c r="U62" s="349"/>
      <c r="V62" s="349"/>
      <c r="W62" s="349"/>
      <c r="X62" s="329" t="s">
        <v>2974</v>
      </c>
      <c r="Y62" s="346" t="str">
        <f>DB!$D$169</f>
        <v>Mouse, Optical, USB 2.0</v>
      </c>
      <c r="Z62" s="329" t="s">
        <v>2946</v>
      </c>
      <c r="AA62" s="329"/>
      <c r="AB62" s="345"/>
      <c r="AC62" s="339" t="str">
        <f ca="1">IFERROR(__xludf.DUMMYFUNCTION("""COMPUTED_VALUE"""),"PROCUREMENT")</f>
        <v>PROCUREMENT</v>
      </c>
    </row>
    <row r="63" spans="1:29" hidden="1">
      <c r="A63" s="329"/>
      <c r="B63" s="334" t="s">
        <v>877</v>
      </c>
      <c r="C63" s="341">
        <v>1</v>
      </c>
      <c r="D63" s="341" t="s">
        <v>103</v>
      </c>
      <c r="E63" s="341">
        <v>1000</v>
      </c>
      <c r="F63" s="347">
        <v>1000</v>
      </c>
      <c r="G63" s="341" t="s">
        <v>2973</v>
      </c>
      <c r="H63" s="341">
        <v>1</v>
      </c>
      <c r="I63" s="341">
        <v>1</v>
      </c>
      <c r="J63" s="349"/>
      <c r="K63" s="349"/>
      <c r="L63" s="341"/>
      <c r="M63" s="349"/>
      <c r="N63" s="349"/>
      <c r="O63" s="349"/>
      <c r="P63" s="341"/>
      <c r="Q63" s="349"/>
      <c r="R63" s="349"/>
      <c r="S63" s="349"/>
      <c r="T63" s="341"/>
      <c r="U63" s="349"/>
      <c r="V63" s="349"/>
      <c r="W63" s="349"/>
      <c r="X63" s="329" t="s">
        <v>2974</v>
      </c>
      <c r="Y63" s="330" t="str">
        <f>DB!$D$95</f>
        <v>Stereo Speakers</v>
      </c>
      <c r="Z63" s="329" t="s">
        <v>8</v>
      </c>
      <c r="AA63" s="329"/>
      <c r="AB63" s="345"/>
      <c r="AC63" s="339" t="str">
        <f ca="1">IFERROR(__xludf.DUMMYFUNCTION("""COMPUTED_VALUE"""),"PROPERTY AND SUPPLY SECTION")</f>
        <v>PROPERTY AND SUPPLY SECTION</v>
      </c>
    </row>
    <row r="64" spans="1:29" hidden="1">
      <c r="A64" s="329"/>
      <c r="B64" s="353" t="s">
        <v>879</v>
      </c>
      <c r="C64" s="354">
        <v>1</v>
      </c>
      <c r="D64" s="354" t="s">
        <v>103</v>
      </c>
      <c r="E64" s="355">
        <v>1000</v>
      </c>
      <c r="F64" s="347">
        <v>1000</v>
      </c>
      <c r="G64" s="354" t="s">
        <v>2973</v>
      </c>
      <c r="H64" s="354">
        <v>1</v>
      </c>
      <c r="I64" s="354">
        <v>1</v>
      </c>
      <c r="J64" s="356"/>
      <c r="K64" s="356"/>
      <c r="L64" s="357"/>
      <c r="M64" s="356"/>
      <c r="N64" s="356"/>
      <c r="O64" s="356"/>
      <c r="P64" s="357"/>
      <c r="Q64" s="356"/>
      <c r="R64" s="356"/>
      <c r="S64" s="356"/>
      <c r="T64" s="357"/>
      <c r="U64" s="356"/>
      <c r="V64" s="356"/>
      <c r="W64" s="358"/>
      <c r="X64" s="329" t="s">
        <v>2974</v>
      </c>
      <c r="Y64" s="330" t="str">
        <f>DB!$D$73</f>
        <v>Webcam Professional Full HD</v>
      </c>
      <c r="Z64" s="329" t="s">
        <v>8</v>
      </c>
      <c r="AA64" s="329"/>
      <c r="AB64" s="345"/>
      <c r="AC64" s="339" t="str">
        <f ca="1">IFERROR(__xludf.DUMMYFUNCTION("""COMPUTED_VALUE"""),"PSYCH 1ST")</f>
        <v>PSYCH 1ST</v>
      </c>
    </row>
    <row r="65" spans="1:29" hidden="1">
      <c r="A65" s="329"/>
      <c r="B65" s="338" t="s">
        <v>2975</v>
      </c>
      <c r="C65" s="341">
        <v>24</v>
      </c>
      <c r="D65" s="341" t="s">
        <v>103</v>
      </c>
      <c r="E65" s="341">
        <v>200</v>
      </c>
      <c r="F65" s="347">
        <v>4800</v>
      </c>
      <c r="G65" s="341" t="s">
        <v>2976</v>
      </c>
      <c r="H65" s="341">
        <v>6</v>
      </c>
      <c r="I65" s="341">
        <v>2</v>
      </c>
      <c r="J65" s="341">
        <v>2</v>
      </c>
      <c r="K65" s="341">
        <v>2</v>
      </c>
      <c r="L65" s="341">
        <v>6</v>
      </c>
      <c r="M65" s="341">
        <v>2</v>
      </c>
      <c r="N65" s="341">
        <v>2</v>
      </c>
      <c r="O65" s="341">
        <v>2</v>
      </c>
      <c r="P65" s="341">
        <v>6</v>
      </c>
      <c r="Q65" s="341">
        <v>2</v>
      </c>
      <c r="R65" s="341">
        <v>2</v>
      </c>
      <c r="S65" s="341">
        <v>2</v>
      </c>
      <c r="T65" s="341">
        <v>6</v>
      </c>
      <c r="U65" s="341">
        <v>2</v>
      </c>
      <c r="V65" s="341">
        <v>2</v>
      </c>
      <c r="W65" s="341">
        <v>2</v>
      </c>
      <c r="X65" s="329" t="s">
        <v>2974</v>
      </c>
      <c r="Y65" s="330" t="str">
        <f>DB!$D$102</f>
        <v>Epson Genuine Ink T6641 Black</v>
      </c>
      <c r="Z65" s="329" t="s">
        <v>8</v>
      </c>
      <c r="AA65" s="329"/>
      <c r="AB65" s="345"/>
      <c r="AC65" s="339" t="str">
        <f ca="1">IFERROR(__xludf.DUMMYFUNCTION("""COMPUTED_VALUE"""),"PSYCH 2ND")</f>
        <v>PSYCH 2ND</v>
      </c>
    </row>
    <row r="66" spans="1:29" hidden="1">
      <c r="A66" s="329"/>
      <c r="B66" s="334" t="s">
        <v>2977</v>
      </c>
      <c r="C66" s="341">
        <v>24</v>
      </c>
      <c r="D66" s="341" t="s">
        <v>103</v>
      </c>
      <c r="E66" s="341">
        <v>200</v>
      </c>
      <c r="F66" s="347">
        <v>4800</v>
      </c>
      <c r="G66" s="341" t="s">
        <v>2976</v>
      </c>
      <c r="H66" s="341">
        <v>6</v>
      </c>
      <c r="I66" s="341">
        <v>2</v>
      </c>
      <c r="J66" s="341">
        <v>2</v>
      </c>
      <c r="K66" s="341">
        <v>2</v>
      </c>
      <c r="L66" s="341">
        <v>6</v>
      </c>
      <c r="M66" s="341">
        <v>2</v>
      </c>
      <c r="N66" s="341">
        <v>2</v>
      </c>
      <c r="O66" s="341">
        <v>2</v>
      </c>
      <c r="P66" s="341">
        <v>6</v>
      </c>
      <c r="Q66" s="341">
        <v>2</v>
      </c>
      <c r="R66" s="341">
        <v>2</v>
      </c>
      <c r="S66" s="341">
        <v>2</v>
      </c>
      <c r="T66" s="341">
        <v>6</v>
      </c>
      <c r="U66" s="341">
        <v>2</v>
      </c>
      <c r="V66" s="341">
        <v>2</v>
      </c>
      <c r="W66" s="341">
        <v>2</v>
      </c>
      <c r="X66" s="329" t="s">
        <v>2974</v>
      </c>
      <c r="Y66" s="330" t="str">
        <f>DB!$D$103</f>
        <v>Epson Genuine Ink T6642 Cyan</v>
      </c>
      <c r="Z66" s="329" t="s">
        <v>8</v>
      </c>
      <c r="AA66" s="329"/>
      <c r="AB66" s="345"/>
      <c r="AC66" s="339" t="str">
        <f ca="1">IFERROR(__xludf.DUMMYFUNCTION("""COMPUTED_VALUE"""),"PUBLIC HEALTH UNIT")</f>
        <v>PUBLIC HEALTH UNIT</v>
      </c>
    </row>
    <row r="67" spans="1:29" ht="31.5" hidden="1">
      <c r="A67" s="329"/>
      <c r="B67" s="334" t="s">
        <v>2978</v>
      </c>
      <c r="C67" s="354">
        <v>24</v>
      </c>
      <c r="D67" s="341" t="s">
        <v>103</v>
      </c>
      <c r="E67" s="341">
        <v>200</v>
      </c>
      <c r="F67" s="347">
        <v>4800</v>
      </c>
      <c r="G67" s="341" t="s">
        <v>2976</v>
      </c>
      <c r="H67" s="341">
        <v>6</v>
      </c>
      <c r="I67" s="341">
        <v>2</v>
      </c>
      <c r="J67" s="341">
        <v>2</v>
      </c>
      <c r="K67" s="341">
        <v>2</v>
      </c>
      <c r="L67" s="341">
        <v>6</v>
      </c>
      <c r="M67" s="341">
        <v>2</v>
      </c>
      <c r="N67" s="341">
        <v>2</v>
      </c>
      <c r="O67" s="341">
        <v>2</v>
      </c>
      <c r="P67" s="341">
        <v>6</v>
      </c>
      <c r="Q67" s="341">
        <v>2</v>
      </c>
      <c r="R67" s="341">
        <v>2</v>
      </c>
      <c r="S67" s="341">
        <v>2</v>
      </c>
      <c r="T67" s="341">
        <v>6</v>
      </c>
      <c r="U67" s="341">
        <v>2</v>
      </c>
      <c r="V67" s="341">
        <v>2</v>
      </c>
      <c r="W67" s="341">
        <v>2</v>
      </c>
      <c r="X67" s="329" t="s">
        <v>2974</v>
      </c>
      <c r="Y67" s="330" t="str">
        <f>DB!$D$104</f>
        <v>Epson Genuine Ink T6643 Magenta</v>
      </c>
      <c r="Z67" s="329" t="s">
        <v>8</v>
      </c>
      <c r="AA67" s="329"/>
      <c r="AB67" s="345"/>
      <c r="AC67" s="339" t="str">
        <f ca="1">IFERROR(__xludf.DUMMYFUNCTION("""COMPUTED_VALUE"""),"RESPIRATORY THERAPY UNIT")</f>
        <v>RESPIRATORY THERAPY UNIT</v>
      </c>
    </row>
    <row r="68" spans="1:29" ht="31.5" hidden="1">
      <c r="A68" s="329"/>
      <c r="B68" s="334" t="s">
        <v>2979</v>
      </c>
      <c r="C68" s="343">
        <v>24</v>
      </c>
      <c r="D68" s="354" t="s">
        <v>103</v>
      </c>
      <c r="E68" s="354">
        <v>200</v>
      </c>
      <c r="F68" s="355">
        <v>4800</v>
      </c>
      <c r="G68" s="354" t="s">
        <v>2976</v>
      </c>
      <c r="H68" s="354">
        <v>6</v>
      </c>
      <c r="I68" s="354">
        <v>2</v>
      </c>
      <c r="J68" s="354">
        <v>2</v>
      </c>
      <c r="K68" s="354">
        <v>2</v>
      </c>
      <c r="L68" s="354">
        <v>6</v>
      </c>
      <c r="M68" s="354">
        <v>2</v>
      </c>
      <c r="N68" s="354">
        <v>2</v>
      </c>
      <c r="O68" s="354">
        <v>2</v>
      </c>
      <c r="P68" s="354">
        <v>6</v>
      </c>
      <c r="Q68" s="354">
        <v>2</v>
      </c>
      <c r="R68" s="354">
        <v>2</v>
      </c>
      <c r="S68" s="354">
        <v>2</v>
      </c>
      <c r="T68" s="354">
        <v>6</v>
      </c>
      <c r="U68" s="354">
        <v>2</v>
      </c>
      <c r="V68" s="354">
        <v>2</v>
      </c>
      <c r="W68" s="354">
        <v>2</v>
      </c>
      <c r="X68" s="329" t="s">
        <v>2974</v>
      </c>
      <c r="Y68" s="330" t="str">
        <f>DB!$D$105</f>
        <v>Epson Genuine Ink T6644 Yellow</v>
      </c>
      <c r="Z68" s="329" t="s">
        <v>8</v>
      </c>
      <c r="AA68" s="329"/>
      <c r="AB68" s="345"/>
      <c r="AC68" s="339" t="str">
        <f ca="1">IFERROR(__xludf.DUMMYFUNCTION("""COMPUTED_VALUE"""),"SECURITY")</f>
        <v>SECURITY</v>
      </c>
    </row>
    <row r="69" spans="1:29" hidden="1">
      <c r="A69" s="329"/>
      <c r="B69" s="338" t="s">
        <v>2980</v>
      </c>
      <c r="C69" s="343">
        <v>16</v>
      </c>
      <c r="D69" s="359" t="s">
        <v>657</v>
      </c>
      <c r="E69" s="343">
        <v>350</v>
      </c>
      <c r="F69" s="360">
        <v>5600</v>
      </c>
      <c r="G69" s="341" t="s">
        <v>342</v>
      </c>
      <c r="H69" s="343">
        <v>4</v>
      </c>
      <c r="I69" s="343">
        <v>2</v>
      </c>
      <c r="J69" s="343">
        <v>2</v>
      </c>
      <c r="K69" s="349"/>
      <c r="L69" s="343">
        <v>4</v>
      </c>
      <c r="M69" s="343">
        <v>2</v>
      </c>
      <c r="N69" s="343">
        <v>2</v>
      </c>
      <c r="O69" s="349"/>
      <c r="P69" s="343">
        <v>4</v>
      </c>
      <c r="Q69" s="343">
        <v>2</v>
      </c>
      <c r="R69" s="343">
        <v>2</v>
      </c>
      <c r="S69" s="349"/>
      <c r="T69" s="343">
        <v>4</v>
      </c>
      <c r="U69" s="343">
        <v>2</v>
      </c>
      <c r="V69" s="343">
        <v>2</v>
      </c>
      <c r="W69" s="349"/>
      <c r="X69" s="329" t="s">
        <v>2981</v>
      </c>
      <c r="Y69" s="361" t="s">
        <v>199</v>
      </c>
      <c r="Z69" s="329" t="s">
        <v>8</v>
      </c>
      <c r="AA69" s="329"/>
      <c r="AB69" s="345"/>
      <c r="AC69" s="339" t="str">
        <f ca="1">IFERROR(__xludf.DUMMYFUNCTION("""COMPUTED_VALUE"""),"SURGERY COMPLEX")</f>
        <v>SURGERY COMPLEX</v>
      </c>
    </row>
    <row r="70" spans="1:29" hidden="1">
      <c r="A70" s="329"/>
      <c r="B70" s="334" t="s">
        <v>2982</v>
      </c>
      <c r="C70" s="341">
        <v>16</v>
      </c>
      <c r="D70" s="362" t="s">
        <v>657</v>
      </c>
      <c r="E70" s="341">
        <v>350</v>
      </c>
      <c r="F70" s="360">
        <v>5600</v>
      </c>
      <c r="G70" s="341" t="s">
        <v>342</v>
      </c>
      <c r="H70" s="341">
        <v>4</v>
      </c>
      <c r="I70" s="341">
        <v>2</v>
      </c>
      <c r="J70" s="341">
        <v>2</v>
      </c>
      <c r="K70" s="349"/>
      <c r="L70" s="341">
        <v>4</v>
      </c>
      <c r="M70" s="341">
        <v>2</v>
      </c>
      <c r="N70" s="341">
        <v>2</v>
      </c>
      <c r="O70" s="349"/>
      <c r="P70" s="341">
        <v>4</v>
      </c>
      <c r="Q70" s="341">
        <v>2</v>
      </c>
      <c r="R70" s="341">
        <v>2</v>
      </c>
      <c r="S70" s="349"/>
      <c r="T70" s="341">
        <v>4</v>
      </c>
      <c r="U70" s="341">
        <v>2</v>
      </c>
      <c r="V70" s="341">
        <v>2</v>
      </c>
      <c r="W70" s="349"/>
      <c r="X70" s="329" t="s">
        <v>2981</v>
      </c>
      <c r="Y70" s="361" t="s">
        <v>209</v>
      </c>
      <c r="Z70" s="329" t="s">
        <v>8</v>
      </c>
      <c r="AA70" s="329"/>
      <c r="AB70" s="345"/>
      <c r="AC70" s="339" t="str">
        <f ca="1">IFERROR(__xludf.DUMMYFUNCTION("""COMPUTED_VALUE"""),"TB DOTS")</f>
        <v>TB DOTS</v>
      </c>
    </row>
    <row r="71" spans="1:29" ht="31.5" hidden="1">
      <c r="A71" s="329"/>
      <c r="B71" s="334" t="s">
        <v>2983</v>
      </c>
      <c r="C71" s="341">
        <v>16</v>
      </c>
      <c r="D71" s="362" t="s">
        <v>657</v>
      </c>
      <c r="E71" s="341">
        <v>350</v>
      </c>
      <c r="F71" s="360">
        <v>5600</v>
      </c>
      <c r="G71" s="341" t="s">
        <v>342</v>
      </c>
      <c r="H71" s="341">
        <v>4</v>
      </c>
      <c r="I71" s="341">
        <v>2</v>
      </c>
      <c r="J71" s="341">
        <v>2</v>
      </c>
      <c r="K71" s="349"/>
      <c r="L71" s="341">
        <v>4</v>
      </c>
      <c r="M71" s="341">
        <v>2</v>
      </c>
      <c r="N71" s="341">
        <v>2</v>
      </c>
      <c r="O71" s="349"/>
      <c r="P71" s="341">
        <v>4</v>
      </c>
      <c r="Q71" s="341">
        <v>2</v>
      </c>
      <c r="R71" s="341">
        <v>2</v>
      </c>
      <c r="S71" s="349"/>
      <c r="T71" s="341">
        <v>4</v>
      </c>
      <c r="U71" s="341">
        <v>2</v>
      </c>
      <c r="V71" s="341">
        <v>2</v>
      </c>
      <c r="W71" s="349"/>
      <c r="X71" s="329" t="s">
        <v>2981</v>
      </c>
      <c r="Y71" s="361" t="s">
        <v>210</v>
      </c>
      <c r="Z71" s="329" t="s">
        <v>8</v>
      </c>
      <c r="AA71" s="329"/>
      <c r="AB71" s="345"/>
      <c r="AC71" s="339" t="str">
        <f ca="1">IFERROR(__xludf.DUMMYFUNCTION("""COMPUTED_VALUE"""),"TOXICOLOGY")</f>
        <v>TOXICOLOGY</v>
      </c>
    </row>
    <row r="72" spans="1:29" hidden="1">
      <c r="A72" s="329"/>
      <c r="B72" s="334" t="s">
        <v>2984</v>
      </c>
      <c r="C72" s="341">
        <v>16</v>
      </c>
      <c r="D72" s="362" t="s">
        <v>657</v>
      </c>
      <c r="E72" s="341">
        <v>350</v>
      </c>
      <c r="F72" s="360">
        <v>5600</v>
      </c>
      <c r="G72" s="341" t="s">
        <v>342</v>
      </c>
      <c r="H72" s="341">
        <v>4</v>
      </c>
      <c r="I72" s="341">
        <v>2</v>
      </c>
      <c r="J72" s="341">
        <v>2</v>
      </c>
      <c r="K72" s="349"/>
      <c r="L72" s="341">
        <v>4</v>
      </c>
      <c r="M72" s="341">
        <v>2</v>
      </c>
      <c r="N72" s="341">
        <v>2</v>
      </c>
      <c r="O72" s="349"/>
      <c r="P72" s="341">
        <v>4</v>
      </c>
      <c r="Q72" s="341">
        <v>2</v>
      </c>
      <c r="R72" s="341">
        <v>2</v>
      </c>
      <c r="S72" s="349"/>
      <c r="T72" s="341">
        <v>4</v>
      </c>
      <c r="U72" s="341">
        <v>2</v>
      </c>
      <c r="V72" s="341">
        <v>2</v>
      </c>
      <c r="W72" s="349"/>
      <c r="X72" s="329" t="s">
        <v>2981</v>
      </c>
      <c r="Y72" s="361" t="s">
        <v>211</v>
      </c>
      <c r="Z72" s="329" t="s">
        <v>8</v>
      </c>
      <c r="AA72" s="329"/>
      <c r="AB72" s="345"/>
      <c r="AC72" s="339"/>
    </row>
    <row r="73" spans="1:29" hidden="1">
      <c r="A73" s="329"/>
      <c r="B73" s="363" t="s">
        <v>668</v>
      </c>
      <c r="C73" s="364">
        <v>18</v>
      </c>
      <c r="D73" s="364" t="s">
        <v>92</v>
      </c>
      <c r="E73" s="365">
        <v>46800</v>
      </c>
      <c r="F73" s="366">
        <v>842400</v>
      </c>
      <c r="G73" s="341" t="s">
        <v>342</v>
      </c>
      <c r="H73" s="367"/>
      <c r="I73" s="368"/>
      <c r="J73" s="368"/>
      <c r="K73" s="368"/>
      <c r="L73" s="367"/>
      <c r="M73" s="368"/>
      <c r="N73" s="368"/>
      <c r="O73" s="368"/>
      <c r="P73" s="367"/>
      <c r="Q73" s="368"/>
      <c r="R73" s="368"/>
      <c r="S73" s="368"/>
      <c r="T73" s="367"/>
      <c r="U73" s="368"/>
      <c r="V73" s="368"/>
      <c r="W73" s="368"/>
      <c r="X73" s="329"/>
      <c r="Y73" s="369"/>
      <c r="Z73" s="329" t="s">
        <v>2950</v>
      </c>
      <c r="AA73" s="329"/>
      <c r="AB73" s="345"/>
      <c r="AC73" s="339"/>
    </row>
    <row r="74" spans="1:29" hidden="1">
      <c r="A74" s="329"/>
      <c r="B74" s="370" t="s">
        <v>234</v>
      </c>
      <c r="C74" s="371">
        <v>2</v>
      </c>
      <c r="D74" s="371" t="s">
        <v>103</v>
      </c>
      <c r="E74" s="371">
        <v>489.5</v>
      </c>
      <c r="F74" s="371">
        <v>979</v>
      </c>
      <c r="G74" s="371" t="s">
        <v>513</v>
      </c>
      <c r="H74" s="371">
        <v>2</v>
      </c>
      <c r="I74" s="371">
        <v>2</v>
      </c>
      <c r="J74" s="371">
        <v>0</v>
      </c>
      <c r="K74" s="371">
        <v>0</v>
      </c>
      <c r="L74" s="371">
        <v>0</v>
      </c>
      <c r="M74" s="371">
        <v>0</v>
      </c>
      <c r="N74" s="371">
        <v>0</v>
      </c>
      <c r="O74" s="371">
        <v>0</v>
      </c>
      <c r="P74" s="371">
        <v>0</v>
      </c>
      <c r="Q74" s="371">
        <v>0</v>
      </c>
      <c r="R74" s="371">
        <v>0</v>
      </c>
      <c r="S74" s="371">
        <v>0</v>
      </c>
      <c r="T74" s="371">
        <v>0</v>
      </c>
      <c r="U74" s="371">
        <v>0</v>
      </c>
      <c r="V74" s="371">
        <v>0</v>
      </c>
      <c r="W74" s="371">
        <v>0</v>
      </c>
      <c r="X74" s="329" t="s">
        <v>2985</v>
      </c>
      <c r="Y74" s="336" t="str">
        <f>DB!$D$168</f>
        <v>Keyboard, Full Size, USB 2.0</v>
      </c>
      <c r="Z74" s="329" t="s">
        <v>2946</v>
      </c>
      <c r="AA74" s="329"/>
      <c r="AB74" s="345"/>
      <c r="AC74" s="339"/>
    </row>
    <row r="75" spans="1:29" hidden="1">
      <c r="A75" s="329"/>
      <c r="B75" s="372" t="s">
        <v>2986</v>
      </c>
      <c r="C75" s="373">
        <v>40</v>
      </c>
      <c r="D75" s="373" t="s">
        <v>2987</v>
      </c>
      <c r="E75" s="373">
        <v>249.6</v>
      </c>
      <c r="F75" s="348">
        <v>9984</v>
      </c>
      <c r="G75" s="373" t="s">
        <v>513</v>
      </c>
      <c r="H75" s="373">
        <v>10</v>
      </c>
      <c r="I75" s="373">
        <v>3</v>
      </c>
      <c r="J75" s="373">
        <v>4</v>
      </c>
      <c r="K75" s="373">
        <v>3</v>
      </c>
      <c r="L75" s="373">
        <v>10</v>
      </c>
      <c r="M75" s="373">
        <v>3</v>
      </c>
      <c r="N75" s="373">
        <v>4</v>
      </c>
      <c r="O75" s="373">
        <v>3</v>
      </c>
      <c r="P75" s="373">
        <v>10</v>
      </c>
      <c r="Q75" s="373">
        <v>3</v>
      </c>
      <c r="R75" s="373">
        <v>4</v>
      </c>
      <c r="S75" s="373">
        <v>3</v>
      </c>
      <c r="T75" s="373">
        <v>10</v>
      </c>
      <c r="U75" s="373">
        <v>3</v>
      </c>
      <c r="V75" s="373">
        <v>4</v>
      </c>
      <c r="W75" s="373">
        <v>3</v>
      </c>
      <c r="X75" s="329" t="s">
        <v>2985</v>
      </c>
      <c r="Y75" s="361" t="s">
        <v>199</v>
      </c>
      <c r="Z75" s="329" t="s">
        <v>8</v>
      </c>
      <c r="AA75" s="329"/>
      <c r="AB75" s="345"/>
      <c r="AC75" s="339"/>
    </row>
    <row r="76" spans="1:29" hidden="1">
      <c r="A76" s="329"/>
      <c r="B76" s="372" t="s">
        <v>2988</v>
      </c>
      <c r="C76" s="373">
        <v>20</v>
      </c>
      <c r="D76" s="373" t="s">
        <v>2987</v>
      </c>
      <c r="E76" s="373">
        <v>249.6</v>
      </c>
      <c r="F76" s="348">
        <v>4992</v>
      </c>
      <c r="G76" s="373" t="s">
        <v>513</v>
      </c>
      <c r="H76" s="373">
        <v>5</v>
      </c>
      <c r="I76" s="373">
        <v>5</v>
      </c>
      <c r="J76" s="373">
        <v>0</v>
      </c>
      <c r="K76" s="373">
        <v>0</v>
      </c>
      <c r="L76" s="373">
        <v>5</v>
      </c>
      <c r="M76" s="373">
        <v>5</v>
      </c>
      <c r="N76" s="373">
        <v>0</v>
      </c>
      <c r="O76" s="373">
        <v>0</v>
      </c>
      <c r="P76" s="373">
        <v>5</v>
      </c>
      <c r="Q76" s="373">
        <v>5</v>
      </c>
      <c r="R76" s="373">
        <v>0</v>
      </c>
      <c r="S76" s="373">
        <v>0</v>
      </c>
      <c r="T76" s="373">
        <v>5</v>
      </c>
      <c r="U76" s="373">
        <v>5</v>
      </c>
      <c r="V76" s="373">
        <v>0</v>
      </c>
      <c r="W76" s="373">
        <v>0</v>
      </c>
      <c r="X76" s="329" t="s">
        <v>2985</v>
      </c>
      <c r="Y76" s="361" t="s">
        <v>209</v>
      </c>
      <c r="Z76" s="329" t="s">
        <v>8</v>
      </c>
      <c r="AA76" s="329"/>
      <c r="AB76" s="345"/>
      <c r="AC76" s="339"/>
    </row>
    <row r="77" spans="1:29" ht="31.5" hidden="1">
      <c r="A77" s="329"/>
      <c r="B77" s="372" t="s">
        <v>2989</v>
      </c>
      <c r="C77" s="373">
        <v>20</v>
      </c>
      <c r="D77" s="373" t="s">
        <v>2987</v>
      </c>
      <c r="E77" s="373">
        <v>249.6</v>
      </c>
      <c r="F77" s="348">
        <v>4992</v>
      </c>
      <c r="G77" s="373" t="s">
        <v>513</v>
      </c>
      <c r="H77" s="373">
        <v>5</v>
      </c>
      <c r="I77" s="373">
        <v>5</v>
      </c>
      <c r="J77" s="373">
        <v>0</v>
      </c>
      <c r="K77" s="373">
        <v>0</v>
      </c>
      <c r="L77" s="373">
        <v>5</v>
      </c>
      <c r="M77" s="373">
        <v>5</v>
      </c>
      <c r="N77" s="373">
        <v>0</v>
      </c>
      <c r="O77" s="373">
        <v>0</v>
      </c>
      <c r="P77" s="373">
        <v>5</v>
      </c>
      <c r="Q77" s="373">
        <v>5</v>
      </c>
      <c r="R77" s="373">
        <v>0</v>
      </c>
      <c r="S77" s="373">
        <v>0</v>
      </c>
      <c r="T77" s="373">
        <v>5</v>
      </c>
      <c r="U77" s="373">
        <v>5</v>
      </c>
      <c r="V77" s="373">
        <v>0</v>
      </c>
      <c r="W77" s="373">
        <v>0</v>
      </c>
      <c r="X77" s="329" t="s">
        <v>2985</v>
      </c>
      <c r="Y77" s="361" t="s">
        <v>210</v>
      </c>
      <c r="Z77" s="329" t="s">
        <v>8</v>
      </c>
      <c r="AA77" s="329"/>
      <c r="AB77" s="345"/>
      <c r="AC77" s="339"/>
    </row>
    <row r="78" spans="1:29" hidden="1">
      <c r="A78" s="329"/>
      <c r="B78" s="372" t="s">
        <v>2990</v>
      </c>
      <c r="C78" s="373">
        <v>20</v>
      </c>
      <c r="D78" s="373" t="s">
        <v>2987</v>
      </c>
      <c r="E78" s="373">
        <v>249.6</v>
      </c>
      <c r="F78" s="348">
        <v>4992</v>
      </c>
      <c r="G78" s="373" t="s">
        <v>513</v>
      </c>
      <c r="H78" s="373">
        <v>5</v>
      </c>
      <c r="I78" s="373">
        <v>5</v>
      </c>
      <c r="J78" s="373">
        <v>0</v>
      </c>
      <c r="K78" s="373">
        <v>0</v>
      </c>
      <c r="L78" s="373">
        <v>5</v>
      </c>
      <c r="M78" s="373">
        <v>5</v>
      </c>
      <c r="N78" s="373">
        <v>0</v>
      </c>
      <c r="O78" s="373">
        <v>0</v>
      </c>
      <c r="P78" s="373">
        <v>5</v>
      </c>
      <c r="Q78" s="373">
        <v>5</v>
      </c>
      <c r="R78" s="373">
        <v>0</v>
      </c>
      <c r="S78" s="373">
        <v>0</v>
      </c>
      <c r="T78" s="373">
        <v>5</v>
      </c>
      <c r="U78" s="373">
        <v>5</v>
      </c>
      <c r="V78" s="373">
        <v>0</v>
      </c>
      <c r="W78" s="373">
        <v>0</v>
      </c>
      <c r="X78" s="329" t="s">
        <v>2985</v>
      </c>
      <c r="Y78" s="361" t="s">
        <v>211</v>
      </c>
      <c r="Z78" s="329" t="s">
        <v>8</v>
      </c>
      <c r="AA78" s="329"/>
      <c r="AB78" s="345"/>
      <c r="AC78" s="339"/>
    </row>
    <row r="79" spans="1:29" hidden="1">
      <c r="A79" s="329"/>
      <c r="B79" s="372" t="s">
        <v>528</v>
      </c>
      <c r="C79" s="373">
        <v>40</v>
      </c>
      <c r="D79" s="373" t="s">
        <v>2987</v>
      </c>
      <c r="E79" s="373">
        <v>249.6</v>
      </c>
      <c r="F79" s="348">
        <v>9984</v>
      </c>
      <c r="G79" s="373" t="s">
        <v>513</v>
      </c>
      <c r="H79" s="373">
        <v>10</v>
      </c>
      <c r="I79" s="373">
        <v>3</v>
      </c>
      <c r="J79" s="373">
        <v>4</v>
      </c>
      <c r="K79" s="373">
        <v>3</v>
      </c>
      <c r="L79" s="373">
        <v>10</v>
      </c>
      <c r="M79" s="373">
        <v>3</v>
      </c>
      <c r="N79" s="373">
        <v>4</v>
      </c>
      <c r="O79" s="373">
        <v>3</v>
      </c>
      <c r="P79" s="373">
        <v>10</v>
      </c>
      <c r="Q79" s="373">
        <v>3</v>
      </c>
      <c r="R79" s="373">
        <v>4</v>
      </c>
      <c r="S79" s="373">
        <v>3</v>
      </c>
      <c r="T79" s="373">
        <v>10</v>
      </c>
      <c r="U79" s="373">
        <v>3</v>
      </c>
      <c r="V79" s="373">
        <v>4</v>
      </c>
      <c r="W79" s="373">
        <v>3</v>
      </c>
      <c r="X79" s="329" t="s">
        <v>2985</v>
      </c>
      <c r="Y79" s="330" t="str">
        <f>DB!$D$102</f>
        <v>Epson Genuine Ink T6641 Black</v>
      </c>
      <c r="Z79" s="329" t="s">
        <v>8</v>
      </c>
      <c r="AA79" s="329"/>
      <c r="AB79" s="345"/>
      <c r="AC79" s="339"/>
    </row>
    <row r="80" spans="1:29" hidden="1">
      <c r="A80" s="329"/>
      <c r="B80" s="372" t="s">
        <v>529</v>
      </c>
      <c r="C80" s="373">
        <v>20</v>
      </c>
      <c r="D80" s="373" t="s">
        <v>2987</v>
      </c>
      <c r="E80" s="373">
        <v>249.6</v>
      </c>
      <c r="F80" s="348">
        <v>4992</v>
      </c>
      <c r="G80" s="373" t="s">
        <v>513</v>
      </c>
      <c r="H80" s="373">
        <v>5</v>
      </c>
      <c r="I80" s="373">
        <v>5</v>
      </c>
      <c r="J80" s="373">
        <v>0</v>
      </c>
      <c r="K80" s="373">
        <v>0</v>
      </c>
      <c r="L80" s="373">
        <v>5</v>
      </c>
      <c r="M80" s="373">
        <v>5</v>
      </c>
      <c r="N80" s="373">
        <v>0</v>
      </c>
      <c r="O80" s="373">
        <v>0</v>
      </c>
      <c r="P80" s="373">
        <v>5</v>
      </c>
      <c r="Q80" s="373">
        <v>5</v>
      </c>
      <c r="R80" s="373">
        <v>0</v>
      </c>
      <c r="S80" s="373">
        <v>0</v>
      </c>
      <c r="T80" s="373">
        <v>5</v>
      </c>
      <c r="U80" s="373">
        <v>5</v>
      </c>
      <c r="V80" s="373">
        <v>0</v>
      </c>
      <c r="W80" s="373">
        <v>0</v>
      </c>
      <c r="X80" s="329" t="s">
        <v>2985</v>
      </c>
      <c r="Y80" s="330" t="str">
        <f>DB!$D$103</f>
        <v>Epson Genuine Ink T6642 Cyan</v>
      </c>
      <c r="Z80" s="329" t="s">
        <v>8</v>
      </c>
      <c r="AA80" s="329"/>
      <c r="AB80" s="345"/>
      <c r="AC80" s="339"/>
    </row>
    <row r="81" spans="1:29" ht="31.5" hidden="1">
      <c r="A81" s="329"/>
      <c r="B81" s="372" t="s">
        <v>530</v>
      </c>
      <c r="C81" s="373">
        <v>20</v>
      </c>
      <c r="D81" s="373" t="s">
        <v>2987</v>
      </c>
      <c r="E81" s="373">
        <v>249.6</v>
      </c>
      <c r="F81" s="348">
        <v>4992</v>
      </c>
      <c r="G81" s="373" t="s">
        <v>513</v>
      </c>
      <c r="H81" s="373">
        <v>5</v>
      </c>
      <c r="I81" s="373">
        <v>5</v>
      </c>
      <c r="J81" s="373">
        <v>0</v>
      </c>
      <c r="K81" s="373">
        <v>0</v>
      </c>
      <c r="L81" s="373">
        <v>5</v>
      </c>
      <c r="M81" s="373">
        <v>5</v>
      </c>
      <c r="N81" s="373">
        <v>0</v>
      </c>
      <c r="O81" s="373">
        <v>0</v>
      </c>
      <c r="P81" s="373">
        <v>5</v>
      </c>
      <c r="Q81" s="373">
        <v>5</v>
      </c>
      <c r="R81" s="373">
        <v>0</v>
      </c>
      <c r="S81" s="373">
        <v>0</v>
      </c>
      <c r="T81" s="373">
        <v>5</v>
      </c>
      <c r="U81" s="373">
        <v>5</v>
      </c>
      <c r="V81" s="373">
        <v>0</v>
      </c>
      <c r="W81" s="373">
        <v>0</v>
      </c>
      <c r="X81" s="329" t="s">
        <v>2985</v>
      </c>
      <c r="Y81" s="330" t="str">
        <f>DB!$D$104</f>
        <v>Epson Genuine Ink T6643 Magenta</v>
      </c>
      <c r="Z81" s="329" t="s">
        <v>8</v>
      </c>
      <c r="AA81" s="329"/>
      <c r="AB81" s="345"/>
      <c r="AC81" s="339"/>
    </row>
    <row r="82" spans="1:29" ht="31.5" hidden="1">
      <c r="A82" s="329"/>
      <c r="B82" s="372" t="s">
        <v>531</v>
      </c>
      <c r="C82" s="373">
        <v>20</v>
      </c>
      <c r="D82" s="373" t="s">
        <v>2987</v>
      </c>
      <c r="E82" s="373">
        <v>249.6</v>
      </c>
      <c r="F82" s="348">
        <v>4992</v>
      </c>
      <c r="G82" s="373" t="s">
        <v>513</v>
      </c>
      <c r="H82" s="373">
        <v>5</v>
      </c>
      <c r="I82" s="373">
        <v>5</v>
      </c>
      <c r="J82" s="373">
        <v>0</v>
      </c>
      <c r="K82" s="373">
        <v>0</v>
      </c>
      <c r="L82" s="373">
        <v>5</v>
      </c>
      <c r="M82" s="373">
        <v>5</v>
      </c>
      <c r="N82" s="373">
        <v>0</v>
      </c>
      <c r="O82" s="373">
        <v>0</v>
      </c>
      <c r="P82" s="373">
        <v>5</v>
      </c>
      <c r="Q82" s="373">
        <v>5</v>
      </c>
      <c r="R82" s="373">
        <v>0</v>
      </c>
      <c r="S82" s="373">
        <v>0</v>
      </c>
      <c r="T82" s="373">
        <v>5</v>
      </c>
      <c r="U82" s="373">
        <v>5</v>
      </c>
      <c r="V82" s="373">
        <v>0</v>
      </c>
      <c r="W82" s="373">
        <v>0</v>
      </c>
      <c r="X82" s="329" t="s">
        <v>2985</v>
      </c>
      <c r="Y82" s="330" t="str">
        <f>DB!$D$105</f>
        <v>Epson Genuine Ink T6644 Yellow</v>
      </c>
      <c r="Z82" s="329" t="s">
        <v>8</v>
      </c>
      <c r="AA82" s="329"/>
      <c r="AB82" s="345"/>
      <c r="AC82" s="339"/>
    </row>
    <row r="83" spans="1:29" hidden="1">
      <c r="A83" s="329"/>
      <c r="B83" s="372" t="s">
        <v>1389</v>
      </c>
      <c r="C83" s="373">
        <v>1</v>
      </c>
      <c r="D83" s="373" t="s">
        <v>446</v>
      </c>
      <c r="E83" s="373">
        <v>42592</v>
      </c>
      <c r="F83" s="348">
        <v>42592</v>
      </c>
      <c r="G83" s="373" t="s">
        <v>513</v>
      </c>
      <c r="H83" s="373">
        <v>1</v>
      </c>
      <c r="I83" s="373">
        <v>1</v>
      </c>
      <c r="J83" s="373">
        <v>0</v>
      </c>
      <c r="K83" s="373">
        <v>0</v>
      </c>
      <c r="L83" s="373">
        <v>0</v>
      </c>
      <c r="M83" s="373">
        <v>0</v>
      </c>
      <c r="N83" s="373">
        <v>0</v>
      </c>
      <c r="O83" s="373">
        <v>0</v>
      </c>
      <c r="P83" s="373">
        <v>0</v>
      </c>
      <c r="Q83" s="373">
        <v>0</v>
      </c>
      <c r="R83" s="373">
        <v>0</v>
      </c>
      <c r="S83" s="373">
        <v>0</v>
      </c>
      <c r="T83" s="373">
        <v>0</v>
      </c>
      <c r="U83" s="373">
        <v>0</v>
      </c>
      <c r="V83" s="373">
        <v>0</v>
      </c>
      <c r="W83" s="373">
        <v>0</v>
      </c>
      <c r="X83" s="329" t="s">
        <v>2985</v>
      </c>
      <c r="Y83" s="330"/>
      <c r="Z83" s="329" t="s">
        <v>2952</v>
      </c>
      <c r="AA83" s="329"/>
      <c r="AB83" s="345"/>
      <c r="AC83" s="339"/>
    </row>
    <row r="84" spans="1:29" hidden="1">
      <c r="A84" s="329"/>
      <c r="B84" s="372" t="s">
        <v>520</v>
      </c>
      <c r="C84" s="373">
        <v>24</v>
      </c>
      <c r="D84" s="373" t="s">
        <v>773</v>
      </c>
      <c r="E84" s="373">
        <v>9680</v>
      </c>
      <c r="F84" s="348">
        <v>232320</v>
      </c>
      <c r="G84" s="373" t="s">
        <v>513</v>
      </c>
      <c r="H84" s="373">
        <v>6</v>
      </c>
      <c r="I84" s="373">
        <v>2</v>
      </c>
      <c r="J84" s="373">
        <v>2</v>
      </c>
      <c r="K84" s="373">
        <v>2</v>
      </c>
      <c r="L84" s="373">
        <v>6</v>
      </c>
      <c r="M84" s="373">
        <v>2</v>
      </c>
      <c r="N84" s="373">
        <v>2</v>
      </c>
      <c r="O84" s="373">
        <v>2</v>
      </c>
      <c r="P84" s="373">
        <v>6</v>
      </c>
      <c r="Q84" s="373">
        <v>2</v>
      </c>
      <c r="R84" s="373">
        <v>2</v>
      </c>
      <c r="S84" s="373">
        <v>2</v>
      </c>
      <c r="T84" s="373">
        <v>6</v>
      </c>
      <c r="U84" s="373">
        <v>2</v>
      </c>
      <c r="V84" s="373">
        <v>2</v>
      </c>
      <c r="W84" s="373">
        <v>2</v>
      </c>
      <c r="X84" s="329" t="s">
        <v>2985</v>
      </c>
      <c r="Y84" s="330"/>
      <c r="Z84" s="329" t="s">
        <v>2952</v>
      </c>
      <c r="AA84" s="329"/>
      <c r="AB84" s="345"/>
      <c r="AC84" s="339"/>
    </row>
    <row r="85" spans="1:29" hidden="1">
      <c r="A85" s="329"/>
      <c r="B85" s="372" t="s">
        <v>2991</v>
      </c>
      <c r="C85" s="373">
        <v>24</v>
      </c>
      <c r="D85" s="373" t="s">
        <v>773</v>
      </c>
      <c r="E85" s="373">
        <v>8580</v>
      </c>
      <c r="F85" s="348">
        <v>205920</v>
      </c>
      <c r="G85" s="373" t="s">
        <v>513</v>
      </c>
      <c r="H85" s="373">
        <v>6</v>
      </c>
      <c r="I85" s="373">
        <v>2</v>
      </c>
      <c r="J85" s="373">
        <v>2</v>
      </c>
      <c r="K85" s="373">
        <v>2</v>
      </c>
      <c r="L85" s="373">
        <v>6</v>
      </c>
      <c r="M85" s="373">
        <v>2</v>
      </c>
      <c r="N85" s="373">
        <v>2</v>
      </c>
      <c r="O85" s="373">
        <v>2</v>
      </c>
      <c r="P85" s="373">
        <v>6</v>
      </c>
      <c r="Q85" s="373">
        <v>2</v>
      </c>
      <c r="R85" s="373">
        <v>2</v>
      </c>
      <c r="S85" s="373">
        <v>2</v>
      </c>
      <c r="T85" s="373">
        <v>6</v>
      </c>
      <c r="U85" s="373">
        <v>2</v>
      </c>
      <c r="V85" s="373">
        <v>2</v>
      </c>
      <c r="W85" s="373">
        <v>2</v>
      </c>
      <c r="X85" s="329" t="s">
        <v>2985</v>
      </c>
      <c r="Y85" s="369"/>
      <c r="Z85" s="329" t="s">
        <v>2952</v>
      </c>
      <c r="AA85" s="329"/>
      <c r="AB85" s="345"/>
      <c r="AC85" s="339"/>
    </row>
    <row r="86" spans="1:29" hidden="1">
      <c r="A86" s="329"/>
      <c r="B86" s="370" t="s">
        <v>521</v>
      </c>
      <c r="C86" s="371">
        <v>2</v>
      </c>
      <c r="D86" s="371" t="s">
        <v>92</v>
      </c>
      <c r="E86" s="374">
        <v>3839</v>
      </c>
      <c r="F86" s="374">
        <v>7678</v>
      </c>
      <c r="G86" s="371" t="s">
        <v>513</v>
      </c>
      <c r="H86" s="371">
        <v>2</v>
      </c>
      <c r="I86" s="371">
        <v>2</v>
      </c>
      <c r="J86" s="371">
        <v>0</v>
      </c>
      <c r="K86" s="371">
        <v>0</v>
      </c>
      <c r="L86" s="371">
        <v>0</v>
      </c>
      <c r="M86" s="371">
        <v>0</v>
      </c>
      <c r="N86" s="371">
        <v>0</v>
      </c>
      <c r="O86" s="371">
        <v>0</v>
      </c>
      <c r="P86" s="371">
        <v>0</v>
      </c>
      <c r="Q86" s="371">
        <v>0</v>
      </c>
      <c r="R86" s="371">
        <v>0</v>
      </c>
      <c r="S86" s="371">
        <v>0</v>
      </c>
      <c r="T86" s="371">
        <v>0</v>
      </c>
      <c r="U86" s="371">
        <v>0</v>
      </c>
      <c r="V86" s="371">
        <v>0</v>
      </c>
      <c r="W86" s="371">
        <v>0</v>
      </c>
      <c r="X86" s="329" t="s">
        <v>2985</v>
      </c>
      <c r="Y86" s="330" t="str">
        <f>DB!$D$6</f>
        <v>UPS 650VA, AVR, 230V</v>
      </c>
      <c r="Z86" s="329" t="s">
        <v>8</v>
      </c>
      <c r="AA86" s="329"/>
      <c r="AB86" s="345"/>
      <c r="AC86" s="339"/>
    </row>
    <row r="87" spans="1:29" hidden="1">
      <c r="A87" s="329"/>
      <c r="B87" s="372" t="s">
        <v>731</v>
      </c>
      <c r="C87" s="373">
        <v>2</v>
      </c>
      <c r="D87" s="373" t="s">
        <v>92</v>
      </c>
      <c r="E87" s="348">
        <v>2792.4</v>
      </c>
      <c r="F87" s="348">
        <v>5584.8</v>
      </c>
      <c r="G87" s="373" t="s">
        <v>513</v>
      </c>
      <c r="H87" s="373">
        <v>2</v>
      </c>
      <c r="I87" s="373">
        <v>2</v>
      </c>
      <c r="J87" s="373">
        <v>0</v>
      </c>
      <c r="K87" s="373">
        <v>0</v>
      </c>
      <c r="L87" s="373">
        <v>0</v>
      </c>
      <c r="M87" s="373">
        <v>0</v>
      </c>
      <c r="N87" s="373">
        <v>0</v>
      </c>
      <c r="O87" s="373">
        <v>0</v>
      </c>
      <c r="P87" s="373">
        <v>0</v>
      </c>
      <c r="Q87" s="373">
        <v>0</v>
      </c>
      <c r="R87" s="373">
        <v>0</v>
      </c>
      <c r="S87" s="373">
        <v>0</v>
      </c>
      <c r="T87" s="373">
        <v>0</v>
      </c>
      <c r="U87" s="373">
        <v>0</v>
      </c>
      <c r="V87" s="373">
        <v>0</v>
      </c>
      <c r="W87" s="373">
        <v>0</v>
      </c>
      <c r="X87" s="329" t="s">
        <v>2985</v>
      </c>
      <c r="Y87" s="330"/>
      <c r="Z87" s="329" t="s">
        <v>2946</v>
      </c>
      <c r="AA87" s="329"/>
      <c r="AB87" s="345"/>
      <c r="AC87" s="339"/>
    </row>
    <row r="88" spans="1:29" ht="31.5" hidden="1">
      <c r="A88" s="329"/>
      <c r="B88" s="372" t="s">
        <v>2992</v>
      </c>
      <c r="C88" s="373">
        <v>1</v>
      </c>
      <c r="D88" s="373" t="s">
        <v>2993</v>
      </c>
      <c r="E88" s="348">
        <v>23568.6</v>
      </c>
      <c r="F88" s="348">
        <v>23568.6</v>
      </c>
      <c r="G88" s="373" t="s">
        <v>513</v>
      </c>
      <c r="H88" s="373">
        <v>1</v>
      </c>
      <c r="I88" s="373">
        <v>1</v>
      </c>
      <c r="J88" s="373">
        <v>0</v>
      </c>
      <c r="K88" s="373">
        <v>0</v>
      </c>
      <c r="L88" s="373">
        <v>0</v>
      </c>
      <c r="M88" s="373">
        <v>0</v>
      </c>
      <c r="N88" s="373">
        <v>0</v>
      </c>
      <c r="O88" s="373">
        <v>0</v>
      </c>
      <c r="P88" s="373">
        <v>0</v>
      </c>
      <c r="Q88" s="373">
        <v>0</v>
      </c>
      <c r="R88" s="373">
        <v>0</v>
      </c>
      <c r="S88" s="373">
        <v>0</v>
      </c>
      <c r="T88" s="373">
        <v>0</v>
      </c>
      <c r="U88" s="373">
        <v>0</v>
      </c>
      <c r="V88" s="373">
        <v>0</v>
      </c>
      <c r="W88" s="373">
        <v>0</v>
      </c>
      <c r="X88" s="329" t="s">
        <v>2985</v>
      </c>
      <c r="Y88" s="330" t="str">
        <f>DB!D82</f>
        <v>Portable Color Document Scanner</v>
      </c>
      <c r="Z88" s="329" t="s">
        <v>8</v>
      </c>
      <c r="AA88" s="329"/>
      <c r="AB88" s="345"/>
      <c r="AC88" s="339"/>
    </row>
    <row r="89" spans="1:29">
      <c r="A89" s="329"/>
      <c r="B89" s="370" t="s">
        <v>2994</v>
      </c>
      <c r="C89" s="371">
        <v>3</v>
      </c>
      <c r="D89" s="371" t="s">
        <v>118</v>
      </c>
      <c r="E89" s="374">
        <v>69890</v>
      </c>
      <c r="F89" s="374">
        <v>1048350</v>
      </c>
      <c r="G89" s="371"/>
      <c r="H89" s="371">
        <v>3</v>
      </c>
      <c r="I89" s="371">
        <v>1</v>
      </c>
      <c r="J89" s="371">
        <v>1</v>
      </c>
      <c r="K89" s="371">
        <v>1</v>
      </c>
      <c r="L89" s="371">
        <v>0</v>
      </c>
      <c r="M89" s="371">
        <v>0</v>
      </c>
      <c r="N89" s="371">
        <v>0</v>
      </c>
      <c r="O89" s="371">
        <v>0</v>
      </c>
      <c r="P89" s="371">
        <v>0</v>
      </c>
      <c r="Q89" s="371">
        <v>0</v>
      </c>
      <c r="R89" s="371">
        <v>0</v>
      </c>
      <c r="S89" s="371">
        <v>0</v>
      </c>
      <c r="T89" s="371">
        <v>0</v>
      </c>
      <c r="U89" s="371">
        <v>0</v>
      </c>
      <c r="V89" s="371">
        <v>0</v>
      </c>
      <c r="W89" s="371">
        <v>0</v>
      </c>
      <c r="X89" s="329" t="s">
        <v>2985</v>
      </c>
      <c r="Y89" s="330" t="str">
        <f>DB!$D$194</f>
        <v>Branded Desktop Computer Set</v>
      </c>
      <c r="Z89" s="329" t="s">
        <v>2964</v>
      </c>
      <c r="AA89" s="329"/>
      <c r="AB89" s="345"/>
      <c r="AC89" s="339"/>
    </row>
    <row r="90" spans="1:29" ht="31.5" hidden="1">
      <c r="A90" s="329"/>
      <c r="B90" s="370" t="s">
        <v>2995</v>
      </c>
      <c r="C90" s="375">
        <v>4</v>
      </c>
      <c r="D90" s="371" t="s">
        <v>638</v>
      </c>
      <c r="E90" s="343">
        <v>305</v>
      </c>
      <c r="F90" s="376">
        <v>12200</v>
      </c>
      <c r="G90" s="375"/>
      <c r="H90" s="343">
        <v>1</v>
      </c>
      <c r="I90" s="343">
        <v>1</v>
      </c>
      <c r="J90" s="343">
        <v>0</v>
      </c>
      <c r="K90" s="343">
        <v>0</v>
      </c>
      <c r="L90" s="343">
        <v>1</v>
      </c>
      <c r="M90" s="343">
        <v>1</v>
      </c>
      <c r="N90" s="343">
        <v>0</v>
      </c>
      <c r="O90" s="343">
        <v>0</v>
      </c>
      <c r="P90" s="343">
        <v>1</v>
      </c>
      <c r="Q90" s="343">
        <v>1</v>
      </c>
      <c r="R90" s="343">
        <v>0</v>
      </c>
      <c r="S90" s="343">
        <v>0</v>
      </c>
      <c r="T90" s="343">
        <v>1</v>
      </c>
      <c r="U90" s="343">
        <v>1</v>
      </c>
      <c r="V90" s="343">
        <v>0</v>
      </c>
      <c r="W90" s="343">
        <v>0</v>
      </c>
      <c r="X90" s="329" t="s">
        <v>2996</v>
      </c>
      <c r="Y90" s="361" t="s">
        <v>228</v>
      </c>
      <c r="Z90" s="329" t="s">
        <v>8</v>
      </c>
      <c r="AA90" s="329"/>
      <c r="AB90" s="345"/>
      <c r="AC90" s="339"/>
    </row>
    <row r="91" spans="1:29" ht="31.5" hidden="1">
      <c r="A91" s="329"/>
      <c r="B91" s="372" t="s">
        <v>2997</v>
      </c>
      <c r="C91" s="377">
        <v>4</v>
      </c>
      <c r="D91" s="373" t="s">
        <v>638</v>
      </c>
      <c r="E91" s="341">
        <v>305</v>
      </c>
      <c r="F91" s="376">
        <v>12200</v>
      </c>
      <c r="G91" s="377"/>
      <c r="H91" s="341">
        <v>1</v>
      </c>
      <c r="I91" s="341">
        <v>1</v>
      </c>
      <c r="J91" s="341">
        <v>0</v>
      </c>
      <c r="K91" s="341">
        <v>0</v>
      </c>
      <c r="L91" s="341">
        <v>1</v>
      </c>
      <c r="M91" s="341">
        <v>1</v>
      </c>
      <c r="N91" s="341">
        <v>0</v>
      </c>
      <c r="O91" s="341">
        <v>0</v>
      </c>
      <c r="P91" s="341">
        <v>1</v>
      </c>
      <c r="Q91" s="341">
        <v>1</v>
      </c>
      <c r="R91" s="341">
        <v>0</v>
      </c>
      <c r="S91" s="341">
        <v>0</v>
      </c>
      <c r="T91" s="341">
        <v>1</v>
      </c>
      <c r="U91" s="341">
        <v>1</v>
      </c>
      <c r="V91" s="341">
        <v>0</v>
      </c>
      <c r="W91" s="341">
        <v>0</v>
      </c>
      <c r="X91" s="329" t="s">
        <v>2996</v>
      </c>
      <c r="Y91" s="361" t="s">
        <v>227</v>
      </c>
      <c r="Z91" s="329" t="s">
        <v>8</v>
      </c>
      <c r="AA91" s="329"/>
      <c r="AB91" s="345"/>
      <c r="AC91" s="339"/>
    </row>
    <row r="92" spans="1:29" ht="31.5" hidden="1">
      <c r="A92" s="329"/>
      <c r="B92" s="372" t="s">
        <v>2998</v>
      </c>
      <c r="C92" s="377">
        <v>8</v>
      </c>
      <c r="D92" s="373" t="s">
        <v>638</v>
      </c>
      <c r="E92" s="377">
        <v>365</v>
      </c>
      <c r="F92" s="376">
        <v>29200</v>
      </c>
      <c r="G92" s="377"/>
      <c r="H92" s="341">
        <v>2</v>
      </c>
      <c r="I92" s="341">
        <v>1</v>
      </c>
      <c r="J92" s="341">
        <v>0</v>
      </c>
      <c r="K92" s="341">
        <v>1</v>
      </c>
      <c r="L92" s="341">
        <v>2</v>
      </c>
      <c r="M92" s="341">
        <v>0</v>
      </c>
      <c r="N92" s="341">
        <v>1</v>
      </c>
      <c r="O92" s="341">
        <v>1</v>
      </c>
      <c r="P92" s="341">
        <v>2</v>
      </c>
      <c r="Q92" s="341">
        <v>0</v>
      </c>
      <c r="R92" s="341">
        <v>1</v>
      </c>
      <c r="S92" s="341">
        <v>1</v>
      </c>
      <c r="T92" s="341">
        <v>2</v>
      </c>
      <c r="U92" s="341">
        <v>1</v>
      </c>
      <c r="V92" s="341">
        <v>0</v>
      </c>
      <c r="W92" s="341">
        <v>1</v>
      </c>
      <c r="X92" s="329" t="s">
        <v>2996</v>
      </c>
      <c r="Y92" s="361" t="s">
        <v>230</v>
      </c>
      <c r="Z92" s="329" t="s">
        <v>8</v>
      </c>
      <c r="AA92" s="329"/>
      <c r="AB92" s="345"/>
      <c r="AC92" s="339"/>
    </row>
    <row r="93" spans="1:29" ht="31.5" hidden="1">
      <c r="A93" s="329"/>
      <c r="B93" s="372" t="s">
        <v>2999</v>
      </c>
      <c r="C93" s="377">
        <v>4</v>
      </c>
      <c r="D93" s="373" t="s">
        <v>638</v>
      </c>
      <c r="E93" s="377">
        <v>305</v>
      </c>
      <c r="F93" s="376">
        <v>12200</v>
      </c>
      <c r="G93" s="377"/>
      <c r="H93" s="341">
        <v>1</v>
      </c>
      <c r="I93" s="341">
        <v>1</v>
      </c>
      <c r="J93" s="341">
        <v>0</v>
      </c>
      <c r="K93" s="341">
        <v>0</v>
      </c>
      <c r="L93" s="341">
        <v>1</v>
      </c>
      <c r="M93" s="341">
        <v>1</v>
      </c>
      <c r="N93" s="341">
        <v>0</v>
      </c>
      <c r="O93" s="341">
        <v>0</v>
      </c>
      <c r="P93" s="341">
        <v>1</v>
      </c>
      <c r="Q93" s="341">
        <v>1</v>
      </c>
      <c r="R93" s="341">
        <v>0</v>
      </c>
      <c r="S93" s="341">
        <v>0</v>
      </c>
      <c r="T93" s="341">
        <v>1</v>
      </c>
      <c r="U93" s="341">
        <v>1</v>
      </c>
      <c r="V93" s="341">
        <v>0</v>
      </c>
      <c r="W93" s="341">
        <v>0</v>
      </c>
      <c r="X93" s="329" t="s">
        <v>2996</v>
      </c>
      <c r="Y93" s="361" t="s">
        <v>229</v>
      </c>
      <c r="Z93" s="329" t="s">
        <v>8</v>
      </c>
      <c r="AA93" s="329"/>
      <c r="AB93" s="345"/>
      <c r="AC93" s="339"/>
    </row>
    <row r="94" spans="1:29" hidden="1">
      <c r="A94" s="329"/>
      <c r="B94" s="338" t="s">
        <v>3000</v>
      </c>
      <c r="C94" s="341">
        <v>5</v>
      </c>
      <c r="D94" s="343" t="s">
        <v>103</v>
      </c>
      <c r="E94" s="343">
        <v>275</v>
      </c>
      <c r="F94" s="347">
        <v>1375</v>
      </c>
      <c r="G94" s="341" t="s">
        <v>495</v>
      </c>
      <c r="H94" s="341">
        <v>2</v>
      </c>
      <c r="I94" s="343">
        <v>2</v>
      </c>
      <c r="J94" s="343">
        <v>0</v>
      </c>
      <c r="K94" s="343">
        <v>0</v>
      </c>
      <c r="L94" s="341">
        <v>1</v>
      </c>
      <c r="M94" s="343">
        <v>1</v>
      </c>
      <c r="N94" s="343">
        <v>0</v>
      </c>
      <c r="O94" s="343">
        <v>0</v>
      </c>
      <c r="P94" s="341">
        <v>1</v>
      </c>
      <c r="Q94" s="343">
        <v>1</v>
      </c>
      <c r="R94" s="343">
        <v>0</v>
      </c>
      <c r="S94" s="343">
        <v>0</v>
      </c>
      <c r="T94" s="341">
        <v>1</v>
      </c>
      <c r="U94" s="343">
        <v>1</v>
      </c>
      <c r="V94" s="343">
        <v>0</v>
      </c>
      <c r="W94" s="343">
        <v>0</v>
      </c>
      <c r="X94" s="329" t="s">
        <v>113</v>
      </c>
      <c r="Y94" s="330"/>
      <c r="Z94" s="329" t="s">
        <v>2946</v>
      </c>
      <c r="AA94" s="329"/>
      <c r="AB94" s="345"/>
      <c r="AC94" s="339"/>
    </row>
    <row r="95" spans="1:29" hidden="1">
      <c r="A95" s="329"/>
      <c r="B95" s="372" t="s">
        <v>508</v>
      </c>
      <c r="C95" s="341">
        <v>1</v>
      </c>
      <c r="D95" s="341" t="s">
        <v>103</v>
      </c>
      <c r="E95" s="347">
        <v>2923.5</v>
      </c>
      <c r="F95" s="347">
        <v>2923.5</v>
      </c>
      <c r="G95" s="341" t="s">
        <v>495</v>
      </c>
      <c r="H95" s="341">
        <v>1</v>
      </c>
      <c r="I95" s="341">
        <v>1</v>
      </c>
      <c r="J95" s="341">
        <v>0</v>
      </c>
      <c r="K95" s="341">
        <v>0</v>
      </c>
      <c r="L95" s="341">
        <v>0</v>
      </c>
      <c r="M95" s="341">
        <v>0</v>
      </c>
      <c r="N95" s="341">
        <v>0</v>
      </c>
      <c r="O95" s="341">
        <v>0</v>
      </c>
      <c r="P95" s="341">
        <v>0</v>
      </c>
      <c r="Q95" s="341">
        <v>0</v>
      </c>
      <c r="R95" s="341">
        <v>0</v>
      </c>
      <c r="S95" s="341">
        <v>0</v>
      </c>
      <c r="T95" s="341">
        <v>0</v>
      </c>
      <c r="U95" s="341">
        <v>0</v>
      </c>
      <c r="V95" s="341">
        <v>0</v>
      </c>
      <c r="W95" s="341">
        <v>0</v>
      </c>
      <c r="X95" s="329" t="s">
        <v>113</v>
      </c>
      <c r="Y95" s="369"/>
      <c r="Z95" s="329" t="s">
        <v>2946</v>
      </c>
      <c r="AA95" s="329"/>
      <c r="AB95" s="345"/>
      <c r="AC95" s="339"/>
    </row>
    <row r="96" spans="1:29" hidden="1">
      <c r="A96" s="329"/>
      <c r="B96" s="334" t="s">
        <v>509</v>
      </c>
      <c r="C96" s="341">
        <v>5</v>
      </c>
      <c r="D96" s="341" t="s">
        <v>103</v>
      </c>
      <c r="E96" s="341">
        <v>231</v>
      </c>
      <c r="F96" s="347">
        <v>1155</v>
      </c>
      <c r="G96" s="341" t="s">
        <v>495</v>
      </c>
      <c r="H96" s="341">
        <v>2</v>
      </c>
      <c r="I96" s="341">
        <v>2</v>
      </c>
      <c r="J96" s="341">
        <v>0</v>
      </c>
      <c r="K96" s="341">
        <v>0</v>
      </c>
      <c r="L96" s="341">
        <v>2</v>
      </c>
      <c r="M96" s="341">
        <v>2</v>
      </c>
      <c r="N96" s="341">
        <v>0</v>
      </c>
      <c r="O96" s="341">
        <v>0</v>
      </c>
      <c r="P96" s="341">
        <v>1</v>
      </c>
      <c r="Q96" s="341">
        <v>1</v>
      </c>
      <c r="R96" s="341">
        <v>0</v>
      </c>
      <c r="S96" s="341">
        <v>0</v>
      </c>
      <c r="T96" s="341">
        <v>0</v>
      </c>
      <c r="U96" s="341">
        <v>0</v>
      </c>
      <c r="V96" s="341">
        <v>0</v>
      </c>
      <c r="W96" s="341">
        <v>0</v>
      </c>
      <c r="X96" s="329" t="s">
        <v>113</v>
      </c>
      <c r="Y96" s="346" t="str">
        <f>DB!$D$169</f>
        <v>Mouse, Optical, USB 2.0</v>
      </c>
      <c r="Z96" s="329" t="s">
        <v>2946</v>
      </c>
      <c r="AA96" s="329"/>
      <c r="AB96" s="345"/>
      <c r="AC96" s="339"/>
    </row>
    <row r="97" spans="1:29" hidden="1">
      <c r="A97" s="329"/>
      <c r="B97" s="334" t="s">
        <v>510</v>
      </c>
      <c r="C97" s="341">
        <v>5</v>
      </c>
      <c r="D97" s="341" t="s">
        <v>103</v>
      </c>
      <c r="E97" s="341">
        <v>489.5</v>
      </c>
      <c r="F97" s="347">
        <v>2447.5</v>
      </c>
      <c r="G97" s="341" t="s">
        <v>495</v>
      </c>
      <c r="H97" s="341">
        <v>2</v>
      </c>
      <c r="I97" s="341">
        <v>2</v>
      </c>
      <c r="J97" s="341">
        <v>0</v>
      </c>
      <c r="K97" s="341">
        <v>0</v>
      </c>
      <c r="L97" s="341">
        <v>2</v>
      </c>
      <c r="M97" s="341">
        <v>2</v>
      </c>
      <c r="N97" s="341">
        <v>0</v>
      </c>
      <c r="O97" s="341">
        <v>0</v>
      </c>
      <c r="P97" s="341">
        <v>1</v>
      </c>
      <c r="Q97" s="341">
        <v>1</v>
      </c>
      <c r="R97" s="341">
        <v>0</v>
      </c>
      <c r="S97" s="341">
        <v>0</v>
      </c>
      <c r="T97" s="341">
        <v>0</v>
      </c>
      <c r="U97" s="341">
        <v>0</v>
      </c>
      <c r="V97" s="341">
        <v>0</v>
      </c>
      <c r="W97" s="341">
        <v>0</v>
      </c>
      <c r="X97" s="329" t="s">
        <v>113</v>
      </c>
      <c r="Y97" s="336" t="str">
        <f>DB!$D$168</f>
        <v>Keyboard, Full Size, USB 2.0</v>
      </c>
      <c r="Z97" s="329" t="s">
        <v>2946</v>
      </c>
      <c r="AA97" s="329"/>
      <c r="AB97" s="345"/>
      <c r="AC97" s="339"/>
    </row>
    <row r="98" spans="1:29" hidden="1">
      <c r="A98" s="329"/>
      <c r="B98" s="334" t="s">
        <v>511</v>
      </c>
      <c r="C98" s="341">
        <v>2</v>
      </c>
      <c r="D98" s="341" t="s">
        <v>103</v>
      </c>
      <c r="E98" s="347">
        <v>3839</v>
      </c>
      <c r="F98" s="347">
        <v>7678</v>
      </c>
      <c r="G98" s="341" t="s">
        <v>495</v>
      </c>
      <c r="H98" s="341">
        <v>2</v>
      </c>
      <c r="I98" s="341">
        <v>2</v>
      </c>
      <c r="J98" s="341">
        <v>0</v>
      </c>
      <c r="K98" s="341">
        <v>0</v>
      </c>
      <c r="L98" s="341">
        <v>0</v>
      </c>
      <c r="M98" s="341">
        <v>0</v>
      </c>
      <c r="N98" s="341">
        <v>0</v>
      </c>
      <c r="O98" s="341">
        <v>0</v>
      </c>
      <c r="P98" s="341">
        <v>0</v>
      </c>
      <c r="Q98" s="341">
        <v>0</v>
      </c>
      <c r="R98" s="341">
        <v>0</v>
      </c>
      <c r="S98" s="341">
        <v>0</v>
      </c>
      <c r="T98" s="341">
        <v>0</v>
      </c>
      <c r="U98" s="341">
        <v>0</v>
      </c>
      <c r="V98" s="341">
        <v>0</v>
      </c>
      <c r="W98" s="341">
        <v>0</v>
      </c>
      <c r="X98" s="329" t="s">
        <v>113</v>
      </c>
      <c r="Y98" s="330" t="str">
        <f>DB!$D$6</f>
        <v>UPS 650VA, AVR, 230V</v>
      </c>
      <c r="Z98" s="329" t="s">
        <v>8</v>
      </c>
      <c r="AA98" s="329"/>
      <c r="AB98" s="345"/>
      <c r="AC98" s="339"/>
    </row>
    <row r="99" spans="1:29" ht="31.5" hidden="1">
      <c r="A99" s="329"/>
      <c r="B99" s="334" t="s">
        <v>3001</v>
      </c>
      <c r="C99" s="341">
        <v>5</v>
      </c>
      <c r="D99" s="341" t="s">
        <v>103</v>
      </c>
      <c r="E99" s="347">
        <v>2271.75</v>
      </c>
      <c r="F99" s="347">
        <v>11358.75</v>
      </c>
      <c r="G99" s="341" t="s">
        <v>495</v>
      </c>
      <c r="H99" s="341">
        <v>2</v>
      </c>
      <c r="I99" s="341">
        <v>2</v>
      </c>
      <c r="J99" s="341">
        <v>0</v>
      </c>
      <c r="K99" s="341">
        <v>0</v>
      </c>
      <c r="L99" s="341">
        <v>2</v>
      </c>
      <c r="M99" s="341">
        <v>2</v>
      </c>
      <c r="N99" s="341">
        <v>0</v>
      </c>
      <c r="O99" s="341">
        <v>0</v>
      </c>
      <c r="P99" s="341">
        <v>1</v>
      </c>
      <c r="Q99" s="341">
        <v>1</v>
      </c>
      <c r="R99" s="341">
        <v>0</v>
      </c>
      <c r="S99" s="341">
        <v>0</v>
      </c>
      <c r="T99" s="341">
        <v>0</v>
      </c>
      <c r="U99" s="341">
        <v>0</v>
      </c>
      <c r="V99" s="341">
        <v>0</v>
      </c>
      <c r="W99" s="341">
        <v>0</v>
      </c>
      <c r="X99" s="329" t="s">
        <v>113</v>
      </c>
      <c r="Y99" s="330" t="str">
        <f>DB!D13</f>
        <v>7.0 Ah Replacement Battery (For UPS)</v>
      </c>
      <c r="Z99" s="329" t="s">
        <v>8</v>
      </c>
      <c r="AA99" s="329"/>
      <c r="AB99" s="345"/>
      <c r="AC99" s="339"/>
    </row>
    <row r="100" spans="1:29" hidden="1">
      <c r="A100" s="329"/>
      <c r="B100" s="334" t="s">
        <v>3002</v>
      </c>
      <c r="C100" s="341">
        <v>1</v>
      </c>
      <c r="D100" s="341" t="s">
        <v>103</v>
      </c>
      <c r="E100" s="347">
        <v>7572.15</v>
      </c>
      <c r="F100" s="347">
        <v>7572.15</v>
      </c>
      <c r="G100" s="341" t="s">
        <v>495</v>
      </c>
      <c r="H100" s="341">
        <v>1</v>
      </c>
      <c r="I100" s="341">
        <v>1</v>
      </c>
      <c r="J100" s="341">
        <v>0</v>
      </c>
      <c r="K100" s="341">
        <v>0</v>
      </c>
      <c r="L100" s="341">
        <v>0</v>
      </c>
      <c r="M100" s="341">
        <v>0</v>
      </c>
      <c r="N100" s="341">
        <v>0</v>
      </c>
      <c r="O100" s="341">
        <v>0</v>
      </c>
      <c r="P100" s="341">
        <v>0</v>
      </c>
      <c r="Q100" s="341">
        <v>0</v>
      </c>
      <c r="R100" s="341">
        <v>0</v>
      </c>
      <c r="S100" s="341">
        <v>0</v>
      </c>
      <c r="T100" s="341">
        <v>0</v>
      </c>
      <c r="U100" s="341">
        <v>0</v>
      </c>
      <c r="V100" s="341">
        <v>0</v>
      </c>
      <c r="W100" s="341">
        <v>0</v>
      </c>
      <c r="X100" s="329" t="s">
        <v>113</v>
      </c>
      <c r="Y100" s="330"/>
      <c r="Z100" s="329" t="s">
        <v>2962</v>
      </c>
      <c r="AA100" s="329"/>
      <c r="AB100" s="345"/>
      <c r="AC100" s="339"/>
    </row>
    <row r="101" spans="1:29" ht="31.5" hidden="1">
      <c r="A101" s="329"/>
      <c r="B101" s="338" t="s">
        <v>496</v>
      </c>
      <c r="C101" s="341">
        <v>24</v>
      </c>
      <c r="D101" s="343" t="s">
        <v>103</v>
      </c>
      <c r="E101" s="343">
        <v>341</v>
      </c>
      <c r="F101" s="347">
        <v>8184</v>
      </c>
      <c r="G101" s="341" t="s">
        <v>495</v>
      </c>
      <c r="H101" s="341">
        <v>6</v>
      </c>
      <c r="I101" s="343">
        <v>2</v>
      </c>
      <c r="J101" s="343">
        <v>2</v>
      </c>
      <c r="K101" s="343">
        <v>2</v>
      </c>
      <c r="L101" s="341">
        <v>6</v>
      </c>
      <c r="M101" s="343">
        <v>2</v>
      </c>
      <c r="N101" s="343">
        <v>2</v>
      </c>
      <c r="O101" s="343">
        <v>2</v>
      </c>
      <c r="P101" s="341">
        <v>6</v>
      </c>
      <c r="Q101" s="343">
        <v>2</v>
      </c>
      <c r="R101" s="343">
        <v>2</v>
      </c>
      <c r="S101" s="343">
        <v>2</v>
      </c>
      <c r="T101" s="341">
        <v>6</v>
      </c>
      <c r="U101" s="343">
        <v>2</v>
      </c>
      <c r="V101" s="343">
        <v>2</v>
      </c>
      <c r="W101" s="343">
        <v>2</v>
      </c>
      <c r="X101" s="329" t="s">
        <v>113</v>
      </c>
      <c r="Y101" s="361" t="s">
        <v>230</v>
      </c>
      <c r="Z101" s="329" t="s">
        <v>8</v>
      </c>
      <c r="AA101" s="329"/>
      <c r="AB101" s="345"/>
      <c r="AC101" s="339"/>
    </row>
    <row r="102" spans="1:29" ht="31.5" hidden="1">
      <c r="A102" s="329"/>
      <c r="B102" s="334" t="s">
        <v>497</v>
      </c>
      <c r="C102" s="341">
        <v>12</v>
      </c>
      <c r="D102" s="341" t="s">
        <v>103</v>
      </c>
      <c r="E102" s="341">
        <v>335.5</v>
      </c>
      <c r="F102" s="347">
        <v>4026</v>
      </c>
      <c r="G102" s="341" t="s">
        <v>495</v>
      </c>
      <c r="H102" s="341">
        <v>3</v>
      </c>
      <c r="I102" s="341">
        <v>1</v>
      </c>
      <c r="J102" s="341">
        <v>1</v>
      </c>
      <c r="K102" s="341">
        <v>1</v>
      </c>
      <c r="L102" s="341">
        <v>3</v>
      </c>
      <c r="M102" s="341">
        <v>1</v>
      </c>
      <c r="N102" s="341">
        <v>1</v>
      </c>
      <c r="O102" s="341">
        <v>1</v>
      </c>
      <c r="P102" s="341">
        <v>3</v>
      </c>
      <c r="Q102" s="341">
        <v>1</v>
      </c>
      <c r="R102" s="341">
        <v>1</v>
      </c>
      <c r="S102" s="341">
        <v>1</v>
      </c>
      <c r="T102" s="341">
        <v>3</v>
      </c>
      <c r="U102" s="341">
        <v>1</v>
      </c>
      <c r="V102" s="341">
        <v>1</v>
      </c>
      <c r="W102" s="341">
        <v>1</v>
      </c>
      <c r="X102" s="329" t="s">
        <v>113</v>
      </c>
      <c r="Y102" s="361" t="s">
        <v>228</v>
      </c>
      <c r="Z102" s="329" t="s">
        <v>8</v>
      </c>
      <c r="AA102" s="329"/>
      <c r="AB102" s="345"/>
      <c r="AC102" s="339"/>
    </row>
    <row r="103" spans="1:29" ht="31.5" hidden="1">
      <c r="A103" s="329"/>
      <c r="B103" s="334" t="s">
        <v>498</v>
      </c>
      <c r="C103" s="341">
        <v>12</v>
      </c>
      <c r="D103" s="341" t="s">
        <v>103</v>
      </c>
      <c r="E103" s="341">
        <v>335.5</v>
      </c>
      <c r="F103" s="347">
        <v>4026</v>
      </c>
      <c r="G103" s="341" t="s">
        <v>495</v>
      </c>
      <c r="H103" s="341">
        <v>3</v>
      </c>
      <c r="I103" s="341">
        <v>1</v>
      </c>
      <c r="J103" s="341">
        <v>1</v>
      </c>
      <c r="K103" s="341">
        <v>1</v>
      </c>
      <c r="L103" s="341">
        <v>3</v>
      </c>
      <c r="M103" s="341">
        <v>1</v>
      </c>
      <c r="N103" s="341">
        <v>1</v>
      </c>
      <c r="O103" s="341">
        <v>1</v>
      </c>
      <c r="P103" s="341">
        <v>3</v>
      </c>
      <c r="Q103" s="341">
        <v>1</v>
      </c>
      <c r="R103" s="341">
        <v>1</v>
      </c>
      <c r="S103" s="341">
        <v>1</v>
      </c>
      <c r="T103" s="341">
        <v>3</v>
      </c>
      <c r="U103" s="341">
        <v>1</v>
      </c>
      <c r="V103" s="341">
        <v>1</v>
      </c>
      <c r="W103" s="341">
        <v>1</v>
      </c>
      <c r="X103" s="329" t="s">
        <v>113</v>
      </c>
      <c r="Y103" s="361" t="s">
        <v>227</v>
      </c>
      <c r="Z103" s="329" t="s">
        <v>8</v>
      </c>
      <c r="AA103" s="329"/>
      <c r="AB103" s="345"/>
      <c r="AC103" s="339"/>
    </row>
    <row r="104" spans="1:29" ht="31.5" hidden="1">
      <c r="A104" s="329"/>
      <c r="B104" s="334" t="s">
        <v>499</v>
      </c>
      <c r="C104" s="341">
        <v>12</v>
      </c>
      <c r="D104" s="341" t="s">
        <v>103</v>
      </c>
      <c r="E104" s="341">
        <v>335.5</v>
      </c>
      <c r="F104" s="347">
        <v>4026</v>
      </c>
      <c r="G104" s="341" t="s">
        <v>495</v>
      </c>
      <c r="H104" s="341">
        <v>3</v>
      </c>
      <c r="I104" s="341">
        <v>1</v>
      </c>
      <c r="J104" s="341">
        <v>1</v>
      </c>
      <c r="K104" s="341">
        <v>1</v>
      </c>
      <c r="L104" s="341">
        <v>3</v>
      </c>
      <c r="M104" s="341">
        <v>1</v>
      </c>
      <c r="N104" s="341">
        <v>1</v>
      </c>
      <c r="O104" s="341">
        <v>1</v>
      </c>
      <c r="P104" s="341">
        <v>3</v>
      </c>
      <c r="Q104" s="341">
        <v>1</v>
      </c>
      <c r="R104" s="341">
        <v>1</v>
      </c>
      <c r="S104" s="341">
        <v>1</v>
      </c>
      <c r="T104" s="341">
        <v>3</v>
      </c>
      <c r="U104" s="341">
        <v>1</v>
      </c>
      <c r="V104" s="341">
        <v>1</v>
      </c>
      <c r="W104" s="341">
        <v>1</v>
      </c>
      <c r="X104" s="329" t="s">
        <v>113</v>
      </c>
      <c r="Y104" s="361" t="s">
        <v>229</v>
      </c>
      <c r="Z104" s="329" t="s">
        <v>8</v>
      </c>
      <c r="AA104" s="329"/>
      <c r="AB104" s="345"/>
      <c r="AC104" s="339"/>
    </row>
    <row r="105" spans="1:29" hidden="1">
      <c r="A105" s="329"/>
      <c r="B105" s="334" t="s">
        <v>3003</v>
      </c>
      <c r="C105" s="341">
        <v>12</v>
      </c>
      <c r="D105" s="341" t="s">
        <v>571</v>
      </c>
      <c r="E105" s="341">
        <v>500</v>
      </c>
      <c r="F105" s="347">
        <v>6000</v>
      </c>
      <c r="G105" s="341" t="s">
        <v>495</v>
      </c>
      <c r="H105" s="341">
        <v>3</v>
      </c>
      <c r="I105" s="341">
        <v>1</v>
      </c>
      <c r="J105" s="341">
        <v>1</v>
      </c>
      <c r="K105" s="341">
        <v>1</v>
      </c>
      <c r="L105" s="341">
        <v>3</v>
      </c>
      <c r="M105" s="341">
        <v>1</v>
      </c>
      <c r="N105" s="341">
        <v>1</v>
      </c>
      <c r="O105" s="341">
        <v>1</v>
      </c>
      <c r="P105" s="341">
        <v>3</v>
      </c>
      <c r="Q105" s="341">
        <v>1</v>
      </c>
      <c r="R105" s="341">
        <v>1</v>
      </c>
      <c r="S105" s="341">
        <v>1</v>
      </c>
      <c r="T105" s="341">
        <v>3</v>
      </c>
      <c r="U105" s="341">
        <v>1</v>
      </c>
      <c r="V105" s="341">
        <v>1</v>
      </c>
      <c r="W105" s="341">
        <v>1</v>
      </c>
      <c r="X105" s="329" t="s">
        <v>113</v>
      </c>
      <c r="Y105" s="330"/>
      <c r="Z105" s="329" t="s">
        <v>11</v>
      </c>
      <c r="AA105" s="329"/>
      <c r="AB105" s="345"/>
      <c r="AC105" s="339"/>
    </row>
    <row r="106" spans="1:29" hidden="1">
      <c r="A106" s="329"/>
      <c r="B106" s="334" t="s">
        <v>3004</v>
      </c>
      <c r="C106" s="341">
        <v>8</v>
      </c>
      <c r="D106" s="341" t="s">
        <v>571</v>
      </c>
      <c r="E106" s="341">
        <v>500</v>
      </c>
      <c r="F106" s="347">
        <v>4000</v>
      </c>
      <c r="G106" s="341" t="s">
        <v>495</v>
      </c>
      <c r="H106" s="341">
        <v>2</v>
      </c>
      <c r="I106" s="341">
        <v>1</v>
      </c>
      <c r="J106" s="341">
        <v>0</v>
      </c>
      <c r="K106" s="341">
        <v>1</v>
      </c>
      <c r="L106" s="341">
        <v>2</v>
      </c>
      <c r="M106" s="341">
        <v>1</v>
      </c>
      <c r="N106" s="341">
        <v>0</v>
      </c>
      <c r="O106" s="341">
        <v>1</v>
      </c>
      <c r="P106" s="341">
        <v>2</v>
      </c>
      <c r="Q106" s="341">
        <v>1</v>
      </c>
      <c r="R106" s="341">
        <v>0</v>
      </c>
      <c r="S106" s="341">
        <v>1</v>
      </c>
      <c r="T106" s="341">
        <v>2</v>
      </c>
      <c r="U106" s="341">
        <v>1</v>
      </c>
      <c r="V106" s="341">
        <v>0</v>
      </c>
      <c r="W106" s="341">
        <v>1</v>
      </c>
      <c r="X106" s="329" t="s">
        <v>113</v>
      </c>
      <c r="Y106" s="330"/>
      <c r="Z106" s="329" t="s">
        <v>11</v>
      </c>
      <c r="AA106" s="329"/>
      <c r="AB106" s="345"/>
      <c r="AC106" s="339"/>
    </row>
    <row r="107" spans="1:29" hidden="1">
      <c r="A107" s="329"/>
      <c r="B107" s="334" t="s">
        <v>3005</v>
      </c>
      <c r="C107" s="341">
        <v>8</v>
      </c>
      <c r="D107" s="341" t="s">
        <v>571</v>
      </c>
      <c r="E107" s="341">
        <v>500</v>
      </c>
      <c r="F107" s="347">
        <v>4000</v>
      </c>
      <c r="G107" s="341" t="s">
        <v>495</v>
      </c>
      <c r="H107" s="341">
        <v>2</v>
      </c>
      <c r="I107" s="341">
        <v>1</v>
      </c>
      <c r="J107" s="341">
        <v>0</v>
      </c>
      <c r="K107" s="341">
        <v>1</v>
      </c>
      <c r="L107" s="341">
        <v>2</v>
      </c>
      <c r="M107" s="341">
        <v>1</v>
      </c>
      <c r="N107" s="341">
        <v>0</v>
      </c>
      <c r="O107" s="341">
        <v>1</v>
      </c>
      <c r="P107" s="341">
        <v>2</v>
      </c>
      <c r="Q107" s="341">
        <v>1</v>
      </c>
      <c r="R107" s="341">
        <v>0</v>
      </c>
      <c r="S107" s="341">
        <v>1</v>
      </c>
      <c r="T107" s="341">
        <v>2</v>
      </c>
      <c r="U107" s="341">
        <v>1</v>
      </c>
      <c r="V107" s="341">
        <v>0</v>
      </c>
      <c r="W107" s="341">
        <v>1</v>
      </c>
      <c r="X107" s="329" t="s">
        <v>113</v>
      </c>
      <c r="Y107" s="330"/>
      <c r="Z107" s="329" t="s">
        <v>11</v>
      </c>
      <c r="AA107" s="329"/>
      <c r="AB107" s="345"/>
      <c r="AC107" s="339"/>
    </row>
    <row r="108" spans="1:29" hidden="1">
      <c r="A108" s="329"/>
      <c r="B108" s="334" t="s">
        <v>3006</v>
      </c>
      <c r="C108" s="341">
        <v>8</v>
      </c>
      <c r="D108" s="341" t="s">
        <v>571</v>
      </c>
      <c r="E108" s="341">
        <v>500</v>
      </c>
      <c r="F108" s="347">
        <v>4000</v>
      </c>
      <c r="G108" s="341" t="s">
        <v>495</v>
      </c>
      <c r="H108" s="341">
        <v>2</v>
      </c>
      <c r="I108" s="341">
        <v>1</v>
      </c>
      <c r="J108" s="341">
        <v>0</v>
      </c>
      <c r="K108" s="341">
        <v>1</v>
      </c>
      <c r="L108" s="341">
        <v>2</v>
      </c>
      <c r="M108" s="341">
        <v>1</v>
      </c>
      <c r="N108" s="341">
        <v>0</v>
      </c>
      <c r="O108" s="341">
        <v>1</v>
      </c>
      <c r="P108" s="341">
        <v>2</v>
      </c>
      <c r="Q108" s="341">
        <v>1</v>
      </c>
      <c r="R108" s="341">
        <v>0</v>
      </c>
      <c r="S108" s="341">
        <v>1</v>
      </c>
      <c r="T108" s="341">
        <v>2</v>
      </c>
      <c r="U108" s="341">
        <v>1</v>
      </c>
      <c r="V108" s="341">
        <v>0</v>
      </c>
      <c r="W108" s="341">
        <v>1</v>
      </c>
      <c r="X108" s="329" t="s">
        <v>113</v>
      </c>
      <c r="Y108" s="330"/>
      <c r="Z108" s="329" t="s">
        <v>11</v>
      </c>
      <c r="AA108" s="329"/>
      <c r="AB108" s="345"/>
      <c r="AC108" s="339"/>
    </row>
    <row r="109" spans="1:29" hidden="1">
      <c r="A109" s="329"/>
      <c r="B109" s="334" t="s">
        <v>500</v>
      </c>
      <c r="C109" s="341">
        <v>12</v>
      </c>
      <c r="D109" s="341" t="s">
        <v>103</v>
      </c>
      <c r="E109" s="347">
        <v>9680</v>
      </c>
      <c r="F109" s="347">
        <v>116160</v>
      </c>
      <c r="G109" s="341" t="s">
        <v>495</v>
      </c>
      <c r="H109" s="341">
        <v>3</v>
      </c>
      <c r="I109" s="341">
        <v>1</v>
      </c>
      <c r="J109" s="341">
        <v>1</v>
      </c>
      <c r="K109" s="341">
        <v>1</v>
      </c>
      <c r="L109" s="341">
        <v>3</v>
      </c>
      <c r="M109" s="341">
        <v>1</v>
      </c>
      <c r="N109" s="341">
        <v>1</v>
      </c>
      <c r="O109" s="341">
        <v>1</v>
      </c>
      <c r="P109" s="341">
        <v>3</v>
      </c>
      <c r="Q109" s="341">
        <v>1</v>
      </c>
      <c r="R109" s="341">
        <v>1</v>
      </c>
      <c r="S109" s="341">
        <v>1</v>
      </c>
      <c r="T109" s="341">
        <v>3</v>
      </c>
      <c r="U109" s="341">
        <v>1</v>
      </c>
      <c r="V109" s="341">
        <v>1</v>
      </c>
      <c r="W109" s="341">
        <v>1</v>
      </c>
      <c r="X109" s="329" t="s">
        <v>113</v>
      </c>
      <c r="Y109" s="330"/>
      <c r="Z109" s="329" t="s">
        <v>2952</v>
      </c>
      <c r="AA109" s="329"/>
      <c r="AB109" s="345"/>
      <c r="AC109" s="339"/>
    </row>
    <row r="110" spans="1:29" hidden="1">
      <c r="A110" s="329"/>
      <c r="B110" s="334" t="s">
        <v>501</v>
      </c>
      <c r="C110" s="341">
        <v>2</v>
      </c>
      <c r="D110" s="341" t="s">
        <v>103</v>
      </c>
      <c r="E110" s="347">
        <v>38720</v>
      </c>
      <c r="F110" s="347">
        <v>77440</v>
      </c>
      <c r="G110" s="341" t="s">
        <v>495</v>
      </c>
      <c r="H110" s="341">
        <v>1</v>
      </c>
      <c r="I110" s="341">
        <v>1</v>
      </c>
      <c r="J110" s="341">
        <v>0</v>
      </c>
      <c r="K110" s="341">
        <v>0</v>
      </c>
      <c r="L110" s="341">
        <v>0</v>
      </c>
      <c r="M110" s="341">
        <v>0</v>
      </c>
      <c r="N110" s="341">
        <v>0</v>
      </c>
      <c r="O110" s="341">
        <v>0</v>
      </c>
      <c r="P110" s="341">
        <v>1</v>
      </c>
      <c r="Q110" s="341">
        <v>1</v>
      </c>
      <c r="R110" s="341">
        <v>0</v>
      </c>
      <c r="S110" s="341">
        <v>0</v>
      </c>
      <c r="T110" s="341">
        <v>0</v>
      </c>
      <c r="U110" s="341">
        <v>0</v>
      </c>
      <c r="V110" s="341">
        <v>0</v>
      </c>
      <c r="W110" s="341">
        <v>0</v>
      </c>
      <c r="X110" s="329" t="s">
        <v>113</v>
      </c>
      <c r="Y110" s="330"/>
      <c r="Z110" s="329" t="s">
        <v>2952</v>
      </c>
      <c r="AA110" s="329"/>
      <c r="AB110" s="345"/>
      <c r="AC110" s="339"/>
    </row>
    <row r="111" spans="1:29">
      <c r="A111" s="329"/>
      <c r="B111" s="338" t="s">
        <v>621</v>
      </c>
      <c r="C111" s="343">
        <v>6</v>
      </c>
      <c r="D111" s="343" t="s">
        <v>118</v>
      </c>
      <c r="E111" s="343"/>
      <c r="F111" s="343" t="s">
        <v>488</v>
      </c>
      <c r="G111" s="343" t="s">
        <v>342</v>
      </c>
      <c r="H111" s="378">
        <v>6</v>
      </c>
      <c r="I111" s="343">
        <v>6</v>
      </c>
      <c r="J111" s="343"/>
      <c r="K111" s="343"/>
      <c r="L111" s="378">
        <v>0</v>
      </c>
      <c r="M111" s="343"/>
      <c r="N111" s="343"/>
      <c r="O111" s="343"/>
      <c r="P111" s="378">
        <v>0</v>
      </c>
      <c r="Q111" s="343"/>
      <c r="R111" s="343"/>
      <c r="S111" s="343"/>
      <c r="T111" s="378">
        <v>0</v>
      </c>
      <c r="U111" s="343"/>
      <c r="V111" s="343"/>
      <c r="W111" s="343"/>
      <c r="X111" s="329" t="s">
        <v>2558</v>
      </c>
      <c r="Y111" s="330" t="str">
        <f>DB!$D$194</f>
        <v>Branded Desktop Computer Set</v>
      </c>
      <c r="Z111" s="329" t="s">
        <v>2964</v>
      </c>
      <c r="AA111" s="329"/>
      <c r="AB111" s="345"/>
      <c r="AC111" s="339"/>
    </row>
    <row r="112" spans="1:29" hidden="1">
      <c r="A112" s="329"/>
      <c r="B112" s="334" t="s">
        <v>3007</v>
      </c>
      <c r="C112" s="341">
        <v>2</v>
      </c>
      <c r="D112" s="341" t="s">
        <v>103</v>
      </c>
      <c r="E112" s="341"/>
      <c r="F112" s="341" t="s">
        <v>488</v>
      </c>
      <c r="G112" s="341" t="s">
        <v>342</v>
      </c>
      <c r="H112" s="379">
        <v>2</v>
      </c>
      <c r="I112" s="341">
        <v>2</v>
      </c>
      <c r="J112" s="341"/>
      <c r="K112" s="341"/>
      <c r="L112" s="379">
        <v>0</v>
      </c>
      <c r="M112" s="341"/>
      <c r="N112" s="341"/>
      <c r="O112" s="341"/>
      <c r="P112" s="379">
        <v>0</v>
      </c>
      <c r="Q112" s="341"/>
      <c r="R112" s="341"/>
      <c r="S112" s="341"/>
      <c r="T112" s="379">
        <v>0</v>
      </c>
      <c r="U112" s="341"/>
      <c r="V112" s="341"/>
      <c r="W112" s="341"/>
      <c r="X112" s="329" t="s">
        <v>2558</v>
      </c>
      <c r="Y112" s="330"/>
      <c r="Z112" s="329" t="s">
        <v>2946</v>
      </c>
      <c r="AA112" s="329"/>
      <c r="AB112" s="345"/>
      <c r="AC112" s="339"/>
    </row>
    <row r="113" spans="1:29" hidden="1">
      <c r="A113" s="329"/>
      <c r="B113" s="334" t="s">
        <v>622</v>
      </c>
      <c r="C113" s="341">
        <v>10</v>
      </c>
      <c r="D113" s="341" t="s">
        <v>103</v>
      </c>
      <c r="E113" s="341"/>
      <c r="F113" s="341" t="s">
        <v>488</v>
      </c>
      <c r="G113" s="341" t="s">
        <v>342</v>
      </c>
      <c r="H113" s="379">
        <v>10</v>
      </c>
      <c r="I113" s="341">
        <v>10</v>
      </c>
      <c r="J113" s="341"/>
      <c r="K113" s="341"/>
      <c r="L113" s="379">
        <v>0</v>
      </c>
      <c r="M113" s="341"/>
      <c r="N113" s="341"/>
      <c r="O113" s="341"/>
      <c r="P113" s="379">
        <v>0</v>
      </c>
      <c r="Q113" s="341"/>
      <c r="R113" s="341"/>
      <c r="S113" s="341"/>
      <c r="T113" s="379">
        <v>0</v>
      </c>
      <c r="U113" s="341"/>
      <c r="V113" s="341"/>
      <c r="W113" s="341"/>
      <c r="X113" s="329" t="s">
        <v>2558</v>
      </c>
      <c r="Y113" s="330"/>
      <c r="Z113" s="329" t="s">
        <v>2946</v>
      </c>
      <c r="AA113" s="329"/>
      <c r="AB113" s="345"/>
      <c r="AC113" s="339"/>
    </row>
    <row r="114" spans="1:29" hidden="1">
      <c r="A114" s="329"/>
      <c r="B114" s="334" t="s">
        <v>234</v>
      </c>
      <c r="C114" s="341">
        <v>3</v>
      </c>
      <c r="D114" s="341" t="s">
        <v>103</v>
      </c>
      <c r="E114" s="341"/>
      <c r="F114" s="341" t="s">
        <v>488</v>
      </c>
      <c r="G114" s="341" t="s">
        <v>342</v>
      </c>
      <c r="H114" s="379">
        <v>3</v>
      </c>
      <c r="I114" s="341">
        <v>3</v>
      </c>
      <c r="J114" s="341"/>
      <c r="K114" s="341"/>
      <c r="L114" s="379">
        <v>0</v>
      </c>
      <c r="M114" s="341"/>
      <c r="N114" s="341"/>
      <c r="O114" s="341"/>
      <c r="P114" s="379">
        <v>0</v>
      </c>
      <c r="Q114" s="341"/>
      <c r="R114" s="341"/>
      <c r="S114" s="341"/>
      <c r="T114" s="379">
        <v>0</v>
      </c>
      <c r="U114" s="341"/>
      <c r="V114" s="341"/>
      <c r="W114" s="341"/>
      <c r="X114" s="329" t="s">
        <v>2558</v>
      </c>
      <c r="Y114" s="336" t="str">
        <f>DB!$D$168</f>
        <v>Keyboard, Full Size, USB 2.0</v>
      </c>
      <c r="Z114" s="329" t="s">
        <v>2946</v>
      </c>
      <c r="AA114" s="329"/>
      <c r="AB114" s="345"/>
      <c r="AC114" s="339"/>
    </row>
    <row r="115" spans="1:29" hidden="1">
      <c r="A115" s="329"/>
      <c r="B115" s="334" t="s">
        <v>239</v>
      </c>
      <c r="C115" s="341">
        <v>3</v>
      </c>
      <c r="D115" s="341" t="s">
        <v>103</v>
      </c>
      <c r="E115" s="341"/>
      <c r="F115" s="341" t="s">
        <v>488</v>
      </c>
      <c r="G115" s="341" t="s">
        <v>342</v>
      </c>
      <c r="H115" s="379">
        <v>3</v>
      </c>
      <c r="I115" s="341">
        <v>3</v>
      </c>
      <c r="J115" s="341"/>
      <c r="K115" s="341"/>
      <c r="L115" s="379">
        <v>0</v>
      </c>
      <c r="M115" s="341"/>
      <c r="N115" s="341"/>
      <c r="O115" s="341"/>
      <c r="P115" s="379">
        <v>0</v>
      </c>
      <c r="Q115" s="341"/>
      <c r="R115" s="341"/>
      <c r="S115" s="341"/>
      <c r="T115" s="379">
        <v>0</v>
      </c>
      <c r="U115" s="341"/>
      <c r="V115" s="341"/>
      <c r="W115" s="341"/>
      <c r="X115" s="329" t="s">
        <v>2558</v>
      </c>
      <c r="Y115" s="346" t="str">
        <f>DB!$D$169</f>
        <v>Mouse, Optical, USB 2.0</v>
      </c>
      <c r="Z115" s="329" t="s">
        <v>2946</v>
      </c>
      <c r="AA115" s="329"/>
      <c r="AB115" s="345"/>
      <c r="AC115" s="339"/>
    </row>
    <row r="116" spans="1:29" hidden="1">
      <c r="A116" s="329"/>
      <c r="B116" s="334" t="s">
        <v>493</v>
      </c>
      <c r="C116" s="341">
        <v>2</v>
      </c>
      <c r="D116" s="341" t="s">
        <v>466</v>
      </c>
      <c r="E116" s="341"/>
      <c r="F116" s="341" t="s">
        <v>488</v>
      </c>
      <c r="G116" s="341" t="s">
        <v>342</v>
      </c>
      <c r="H116" s="379">
        <v>2</v>
      </c>
      <c r="I116" s="341">
        <v>2</v>
      </c>
      <c r="J116" s="341"/>
      <c r="K116" s="341"/>
      <c r="L116" s="379">
        <v>0</v>
      </c>
      <c r="M116" s="341"/>
      <c r="N116" s="341"/>
      <c r="O116" s="341"/>
      <c r="P116" s="379">
        <v>0</v>
      </c>
      <c r="Q116" s="341"/>
      <c r="R116" s="341"/>
      <c r="S116" s="341"/>
      <c r="T116" s="379">
        <v>0</v>
      </c>
      <c r="U116" s="341"/>
      <c r="V116" s="341"/>
      <c r="W116" s="341"/>
      <c r="X116" s="329" t="s">
        <v>2558</v>
      </c>
      <c r="Y116" s="330"/>
      <c r="Z116" s="329" t="s">
        <v>2962</v>
      </c>
      <c r="AA116" s="329"/>
      <c r="AB116" s="345"/>
      <c r="AC116" s="339"/>
    </row>
    <row r="117" spans="1:29" ht="63" hidden="1">
      <c r="A117" s="329"/>
      <c r="B117" s="334" t="s">
        <v>3008</v>
      </c>
      <c r="C117" s="341">
        <v>1</v>
      </c>
      <c r="D117" s="341" t="s">
        <v>103</v>
      </c>
      <c r="E117" s="341"/>
      <c r="F117" s="341" t="s">
        <v>488</v>
      </c>
      <c r="G117" s="341" t="s">
        <v>342</v>
      </c>
      <c r="H117" s="379">
        <v>1</v>
      </c>
      <c r="I117" s="341">
        <v>1</v>
      </c>
      <c r="J117" s="341"/>
      <c r="K117" s="341"/>
      <c r="L117" s="379">
        <v>0</v>
      </c>
      <c r="M117" s="341"/>
      <c r="N117" s="341"/>
      <c r="O117" s="341"/>
      <c r="P117" s="379">
        <v>0</v>
      </c>
      <c r="Q117" s="341"/>
      <c r="R117" s="341"/>
      <c r="S117" s="341"/>
      <c r="T117" s="379">
        <v>0</v>
      </c>
      <c r="U117" s="341"/>
      <c r="V117" s="341"/>
      <c r="W117" s="341"/>
      <c r="X117" s="329" t="s">
        <v>2558</v>
      </c>
      <c r="Y117" s="330"/>
      <c r="Z117" s="329" t="s">
        <v>2952</v>
      </c>
      <c r="AA117" s="329"/>
      <c r="AB117" s="345"/>
      <c r="AC117" s="339"/>
    </row>
    <row r="118" spans="1:29" hidden="1">
      <c r="A118" s="329"/>
      <c r="B118" s="334" t="s">
        <v>568</v>
      </c>
      <c r="C118" s="341">
        <v>6</v>
      </c>
      <c r="D118" s="341" t="s">
        <v>103</v>
      </c>
      <c r="E118" s="341"/>
      <c r="F118" s="341" t="s">
        <v>488</v>
      </c>
      <c r="G118" s="341" t="s">
        <v>342</v>
      </c>
      <c r="H118" s="379">
        <v>6</v>
      </c>
      <c r="I118" s="341">
        <v>6</v>
      </c>
      <c r="J118" s="341"/>
      <c r="K118" s="341"/>
      <c r="L118" s="379">
        <v>0</v>
      </c>
      <c r="M118" s="341"/>
      <c r="N118" s="341"/>
      <c r="O118" s="341"/>
      <c r="P118" s="379">
        <v>0</v>
      </c>
      <c r="Q118" s="341"/>
      <c r="R118" s="341"/>
      <c r="S118" s="341"/>
      <c r="T118" s="379">
        <v>0</v>
      </c>
      <c r="U118" s="341"/>
      <c r="V118" s="341"/>
      <c r="W118" s="341"/>
      <c r="X118" s="329" t="s">
        <v>2558</v>
      </c>
      <c r="Y118" s="330" t="str">
        <f>DB!$D$6</f>
        <v>UPS 650VA, AVR, 230V</v>
      </c>
      <c r="Z118" s="329" t="s">
        <v>8</v>
      </c>
      <c r="AA118" s="329"/>
      <c r="AB118" s="345"/>
      <c r="AC118" s="339"/>
    </row>
    <row r="119" spans="1:29" ht="31.5" hidden="1">
      <c r="A119" s="329"/>
      <c r="B119" s="334" t="s">
        <v>623</v>
      </c>
      <c r="C119" s="341">
        <v>2</v>
      </c>
      <c r="D119" s="341" t="s">
        <v>103</v>
      </c>
      <c r="E119" s="341"/>
      <c r="F119" s="341" t="s">
        <v>488</v>
      </c>
      <c r="G119" s="341" t="s">
        <v>342</v>
      </c>
      <c r="H119" s="379">
        <v>2</v>
      </c>
      <c r="I119" s="341">
        <v>2</v>
      </c>
      <c r="J119" s="341"/>
      <c r="K119" s="341"/>
      <c r="L119" s="379">
        <v>0</v>
      </c>
      <c r="M119" s="341"/>
      <c r="N119" s="341"/>
      <c r="O119" s="341"/>
      <c r="P119" s="379">
        <v>0</v>
      </c>
      <c r="Q119" s="341"/>
      <c r="R119" s="341"/>
      <c r="S119" s="341"/>
      <c r="T119" s="379">
        <v>0</v>
      </c>
      <c r="U119" s="341"/>
      <c r="V119" s="341"/>
      <c r="W119" s="341"/>
      <c r="X119" s="329" t="s">
        <v>2558</v>
      </c>
      <c r="Y119" s="330" t="str">
        <f>DB!$D$73</f>
        <v>Webcam Professional Full HD</v>
      </c>
      <c r="Z119" s="329" t="s">
        <v>8</v>
      </c>
      <c r="AA119" s="329"/>
      <c r="AB119" s="345"/>
      <c r="AC119" s="339"/>
    </row>
    <row r="120" spans="1:29" ht="63" hidden="1">
      <c r="A120" s="329"/>
      <c r="B120" s="334" t="s">
        <v>492</v>
      </c>
      <c r="C120" s="341">
        <v>2</v>
      </c>
      <c r="D120" s="341" t="s">
        <v>103</v>
      </c>
      <c r="E120" s="341"/>
      <c r="F120" s="341" t="s">
        <v>488</v>
      </c>
      <c r="G120" s="341" t="s">
        <v>342</v>
      </c>
      <c r="H120" s="379">
        <v>2</v>
      </c>
      <c r="I120" s="341">
        <v>2</v>
      </c>
      <c r="J120" s="341"/>
      <c r="K120" s="341"/>
      <c r="L120" s="379">
        <v>0</v>
      </c>
      <c r="M120" s="341"/>
      <c r="N120" s="341"/>
      <c r="O120" s="341"/>
      <c r="P120" s="379">
        <v>0</v>
      </c>
      <c r="Q120" s="341"/>
      <c r="R120" s="341"/>
      <c r="S120" s="341"/>
      <c r="T120" s="379">
        <v>0</v>
      </c>
      <c r="U120" s="341"/>
      <c r="V120" s="341"/>
      <c r="W120" s="341"/>
      <c r="X120" s="329" t="s">
        <v>2558</v>
      </c>
      <c r="Y120" s="330"/>
      <c r="Z120" s="329" t="s">
        <v>2946</v>
      </c>
      <c r="AA120" s="329"/>
      <c r="AB120" s="345"/>
      <c r="AC120" s="339"/>
    </row>
    <row r="121" spans="1:29" hidden="1">
      <c r="A121" s="329"/>
      <c r="B121" s="334" t="s">
        <v>624</v>
      </c>
      <c r="C121" s="341">
        <v>1</v>
      </c>
      <c r="D121" s="341" t="s">
        <v>466</v>
      </c>
      <c r="E121" s="341"/>
      <c r="F121" s="341" t="s">
        <v>488</v>
      </c>
      <c r="G121" s="341" t="s">
        <v>342</v>
      </c>
      <c r="H121" s="379">
        <v>1</v>
      </c>
      <c r="I121" s="341">
        <v>1</v>
      </c>
      <c r="J121" s="341"/>
      <c r="K121" s="341"/>
      <c r="L121" s="379">
        <v>0</v>
      </c>
      <c r="M121" s="341"/>
      <c r="N121" s="341"/>
      <c r="O121" s="341"/>
      <c r="P121" s="379">
        <v>0</v>
      </c>
      <c r="Q121" s="341"/>
      <c r="R121" s="341"/>
      <c r="S121" s="341"/>
      <c r="T121" s="379">
        <v>0</v>
      </c>
      <c r="U121" s="341"/>
      <c r="V121" s="341"/>
      <c r="W121" s="341"/>
      <c r="X121" s="329" t="s">
        <v>2558</v>
      </c>
      <c r="Y121" s="330"/>
      <c r="Z121" s="329" t="s">
        <v>2950</v>
      </c>
      <c r="AA121" s="329"/>
      <c r="AB121" s="345"/>
      <c r="AC121" s="339"/>
    </row>
    <row r="122" spans="1:29" hidden="1">
      <c r="A122" s="329"/>
      <c r="B122" s="334" t="s">
        <v>244</v>
      </c>
      <c r="C122" s="341">
        <v>1</v>
      </c>
      <c r="D122" s="341" t="s">
        <v>103</v>
      </c>
      <c r="E122" s="341"/>
      <c r="F122" s="341"/>
      <c r="G122" s="341" t="s">
        <v>342</v>
      </c>
      <c r="H122" s="379">
        <v>0</v>
      </c>
      <c r="I122" s="341"/>
      <c r="J122" s="341"/>
      <c r="K122" s="341"/>
      <c r="L122" s="379">
        <v>0</v>
      </c>
      <c r="M122" s="341"/>
      <c r="N122" s="341"/>
      <c r="O122" s="341"/>
      <c r="P122" s="379">
        <v>0</v>
      </c>
      <c r="Q122" s="341"/>
      <c r="R122" s="341"/>
      <c r="S122" s="341"/>
      <c r="T122" s="379">
        <v>0</v>
      </c>
      <c r="U122" s="341"/>
      <c r="V122" s="341"/>
      <c r="W122" s="341"/>
      <c r="X122" s="329" t="s">
        <v>2558</v>
      </c>
      <c r="Y122" s="330" t="str">
        <f>DB!$D$88</f>
        <v>Projector</v>
      </c>
      <c r="Z122" s="329" t="s">
        <v>8</v>
      </c>
      <c r="AA122" s="329"/>
      <c r="AB122" s="345"/>
      <c r="AC122" s="339"/>
    </row>
    <row r="123" spans="1:29" hidden="1">
      <c r="A123" s="329"/>
      <c r="B123" s="334" t="s">
        <v>625</v>
      </c>
      <c r="C123" s="341">
        <v>2</v>
      </c>
      <c r="D123" s="341" t="s">
        <v>103</v>
      </c>
      <c r="E123" s="341"/>
      <c r="F123" s="341"/>
      <c r="G123" s="341" t="s">
        <v>342</v>
      </c>
      <c r="H123" s="379">
        <v>2</v>
      </c>
      <c r="I123" s="341">
        <v>2</v>
      </c>
      <c r="J123" s="341"/>
      <c r="K123" s="341"/>
      <c r="L123" s="379">
        <v>0</v>
      </c>
      <c r="M123" s="341"/>
      <c r="N123" s="341"/>
      <c r="O123" s="341"/>
      <c r="P123" s="379">
        <v>0</v>
      </c>
      <c r="Q123" s="341"/>
      <c r="R123" s="341"/>
      <c r="S123" s="341"/>
      <c r="T123" s="379">
        <v>0</v>
      </c>
      <c r="U123" s="341"/>
      <c r="V123" s="341"/>
      <c r="W123" s="341"/>
      <c r="X123" s="329" t="s">
        <v>2558</v>
      </c>
      <c r="Y123" s="330" t="str">
        <f>DB!$D$37</f>
        <v>Single Line Telephone (Black)</v>
      </c>
      <c r="Z123" s="329" t="s">
        <v>8</v>
      </c>
      <c r="AA123" s="329"/>
      <c r="AB123" s="345"/>
      <c r="AC123" s="339"/>
    </row>
    <row r="124" spans="1:29" ht="31.5" hidden="1">
      <c r="A124" s="329"/>
      <c r="B124" s="334" t="s">
        <v>626</v>
      </c>
      <c r="C124" s="341">
        <v>4</v>
      </c>
      <c r="D124" s="341" t="s">
        <v>103</v>
      </c>
      <c r="E124" s="341"/>
      <c r="F124" s="341"/>
      <c r="G124" s="341" t="s">
        <v>342</v>
      </c>
      <c r="H124" s="379">
        <v>4</v>
      </c>
      <c r="I124" s="341">
        <v>4</v>
      </c>
      <c r="J124" s="341"/>
      <c r="K124" s="341"/>
      <c r="L124" s="379">
        <v>0</v>
      </c>
      <c r="M124" s="341"/>
      <c r="N124" s="341"/>
      <c r="O124" s="341"/>
      <c r="P124" s="379">
        <v>0</v>
      </c>
      <c r="Q124" s="341"/>
      <c r="R124" s="341"/>
      <c r="S124" s="341"/>
      <c r="T124" s="379">
        <v>0</v>
      </c>
      <c r="U124" s="341"/>
      <c r="V124" s="341"/>
      <c r="W124" s="341"/>
      <c r="X124" s="329" t="s">
        <v>2558</v>
      </c>
      <c r="Y124" s="330" t="str">
        <f>DB!D52</f>
        <v>Walkie Talkie Dual Band Handheld Two Way Radio</v>
      </c>
      <c r="Z124" s="329" t="s">
        <v>8</v>
      </c>
      <c r="AA124" s="329"/>
      <c r="AB124" s="345"/>
      <c r="AC124" s="339"/>
    </row>
    <row r="125" spans="1:29" hidden="1">
      <c r="A125" s="329"/>
      <c r="B125" s="334" t="s">
        <v>627</v>
      </c>
      <c r="C125" s="341">
        <v>60</v>
      </c>
      <c r="D125" s="341" t="s">
        <v>103</v>
      </c>
      <c r="E125" s="341"/>
      <c r="F125" s="341"/>
      <c r="G125" s="341" t="s">
        <v>342</v>
      </c>
      <c r="H125" s="379">
        <v>15</v>
      </c>
      <c r="I125" s="373">
        <v>5</v>
      </c>
      <c r="J125" s="373">
        <v>5</v>
      </c>
      <c r="K125" s="373">
        <v>5</v>
      </c>
      <c r="L125" s="379">
        <v>15</v>
      </c>
      <c r="M125" s="373">
        <v>5</v>
      </c>
      <c r="N125" s="373">
        <v>5</v>
      </c>
      <c r="O125" s="373">
        <v>5</v>
      </c>
      <c r="P125" s="379">
        <v>15</v>
      </c>
      <c r="Q125" s="373">
        <v>5</v>
      </c>
      <c r="R125" s="373">
        <v>5</v>
      </c>
      <c r="S125" s="373">
        <v>5</v>
      </c>
      <c r="T125" s="379">
        <v>15</v>
      </c>
      <c r="U125" s="373">
        <v>5</v>
      </c>
      <c r="V125" s="373">
        <v>5</v>
      </c>
      <c r="W125" s="373">
        <v>5</v>
      </c>
      <c r="X125" s="329" t="s">
        <v>2558</v>
      </c>
      <c r="Y125" s="361" t="str">
        <f>DB!$D$175</f>
        <v>Brother Genuine Ink BT6000BK</v>
      </c>
      <c r="Z125" s="329" t="s">
        <v>8</v>
      </c>
      <c r="AA125" s="329"/>
      <c r="AB125" s="345"/>
      <c r="AC125" s="339"/>
    </row>
    <row r="126" spans="1:29" hidden="1">
      <c r="A126" s="329"/>
      <c r="B126" s="334" t="s">
        <v>628</v>
      </c>
      <c r="C126" s="341">
        <v>33</v>
      </c>
      <c r="D126" s="341" t="s">
        <v>103</v>
      </c>
      <c r="E126" s="341"/>
      <c r="F126" s="341"/>
      <c r="G126" s="341" t="s">
        <v>342</v>
      </c>
      <c r="H126" s="379">
        <v>6</v>
      </c>
      <c r="I126" s="373">
        <v>2</v>
      </c>
      <c r="J126" s="373">
        <v>2</v>
      </c>
      <c r="K126" s="373">
        <v>2</v>
      </c>
      <c r="L126" s="379">
        <v>9</v>
      </c>
      <c r="M126" s="373">
        <v>3</v>
      </c>
      <c r="N126" s="373">
        <v>3</v>
      </c>
      <c r="O126" s="373">
        <v>3</v>
      </c>
      <c r="P126" s="379">
        <v>9</v>
      </c>
      <c r="Q126" s="373">
        <v>3</v>
      </c>
      <c r="R126" s="373">
        <v>3</v>
      </c>
      <c r="S126" s="373">
        <v>3</v>
      </c>
      <c r="T126" s="379">
        <v>9</v>
      </c>
      <c r="U126" s="373">
        <v>3</v>
      </c>
      <c r="V126" s="373">
        <v>3</v>
      </c>
      <c r="W126" s="373">
        <v>3</v>
      </c>
      <c r="X126" s="329" t="s">
        <v>2558</v>
      </c>
      <c r="Y126" s="361" t="str">
        <f>DB!$D$174</f>
        <v>Brother Genuine Ink BT5000M</v>
      </c>
      <c r="Z126" s="329" t="s">
        <v>8</v>
      </c>
      <c r="AA126" s="329"/>
      <c r="AB126" s="345"/>
      <c r="AC126" s="339"/>
    </row>
    <row r="127" spans="1:29" hidden="1">
      <c r="A127" s="329"/>
      <c r="B127" s="334" t="s">
        <v>629</v>
      </c>
      <c r="C127" s="341">
        <v>33</v>
      </c>
      <c r="D127" s="341" t="s">
        <v>103</v>
      </c>
      <c r="E127" s="341"/>
      <c r="F127" s="341"/>
      <c r="G127" s="341" t="s">
        <v>342</v>
      </c>
      <c r="H127" s="379">
        <v>6</v>
      </c>
      <c r="I127" s="373">
        <v>2</v>
      </c>
      <c r="J127" s="373">
        <v>2</v>
      </c>
      <c r="K127" s="373">
        <v>2</v>
      </c>
      <c r="L127" s="379">
        <v>9</v>
      </c>
      <c r="M127" s="373">
        <v>3</v>
      </c>
      <c r="N127" s="373">
        <v>3</v>
      </c>
      <c r="O127" s="373">
        <v>3</v>
      </c>
      <c r="P127" s="379">
        <v>9</v>
      </c>
      <c r="Q127" s="373">
        <v>3</v>
      </c>
      <c r="R127" s="373">
        <v>3</v>
      </c>
      <c r="S127" s="373">
        <v>3</v>
      </c>
      <c r="T127" s="379">
        <v>9</v>
      </c>
      <c r="U127" s="373">
        <v>3</v>
      </c>
      <c r="V127" s="373">
        <v>3</v>
      </c>
      <c r="W127" s="373">
        <v>3</v>
      </c>
      <c r="X127" s="329" t="s">
        <v>2558</v>
      </c>
      <c r="Y127" s="361" t="str">
        <f>DB!$D$172</f>
        <v>Brother Genuine Ink BT5000C</v>
      </c>
      <c r="Z127" s="329" t="s">
        <v>8</v>
      </c>
      <c r="AA127" s="329"/>
      <c r="AB127" s="345"/>
      <c r="AC127" s="339"/>
    </row>
    <row r="128" spans="1:29" hidden="1">
      <c r="A128" s="329"/>
      <c r="B128" s="334" t="s">
        <v>630</v>
      </c>
      <c r="C128" s="341">
        <v>33</v>
      </c>
      <c r="D128" s="341" t="s">
        <v>103</v>
      </c>
      <c r="E128" s="341"/>
      <c r="F128" s="341"/>
      <c r="G128" s="341" t="s">
        <v>342</v>
      </c>
      <c r="H128" s="379">
        <v>6</v>
      </c>
      <c r="I128" s="373">
        <v>2</v>
      </c>
      <c r="J128" s="373">
        <v>2</v>
      </c>
      <c r="K128" s="373">
        <v>2</v>
      </c>
      <c r="L128" s="379">
        <v>9</v>
      </c>
      <c r="M128" s="373">
        <v>3</v>
      </c>
      <c r="N128" s="373">
        <v>3</v>
      </c>
      <c r="O128" s="373">
        <v>3</v>
      </c>
      <c r="P128" s="379">
        <v>9</v>
      </c>
      <c r="Q128" s="373">
        <v>3</v>
      </c>
      <c r="R128" s="373">
        <v>3</v>
      </c>
      <c r="S128" s="373">
        <v>3</v>
      </c>
      <c r="T128" s="379">
        <v>9</v>
      </c>
      <c r="U128" s="373">
        <v>3</v>
      </c>
      <c r="V128" s="373">
        <v>3</v>
      </c>
      <c r="W128" s="373">
        <v>3</v>
      </c>
      <c r="X128" s="329" t="s">
        <v>2558</v>
      </c>
      <c r="Y128" s="361" t="str">
        <f>DB!$D$173</f>
        <v>Brother Genuine Ink BT5000Y</v>
      </c>
      <c r="Z128" s="329" t="s">
        <v>8</v>
      </c>
      <c r="AA128" s="329"/>
      <c r="AB128" s="345"/>
      <c r="AC128" s="339"/>
    </row>
    <row r="129" spans="1:29" hidden="1">
      <c r="A129" s="329"/>
      <c r="B129" s="334" t="s">
        <v>570</v>
      </c>
      <c r="C129" s="341">
        <v>36</v>
      </c>
      <c r="D129" s="341" t="s">
        <v>103</v>
      </c>
      <c r="E129" s="341"/>
      <c r="F129" s="341"/>
      <c r="G129" s="341" t="s">
        <v>342</v>
      </c>
      <c r="H129" s="379">
        <v>9</v>
      </c>
      <c r="I129" s="373">
        <v>3</v>
      </c>
      <c r="J129" s="373">
        <v>3</v>
      </c>
      <c r="K129" s="373">
        <v>3</v>
      </c>
      <c r="L129" s="379">
        <v>9</v>
      </c>
      <c r="M129" s="373">
        <v>3</v>
      </c>
      <c r="N129" s="373">
        <v>3</v>
      </c>
      <c r="O129" s="373">
        <v>3</v>
      </c>
      <c r="P129" s="379">
        <v>9</v>
      </c>
      <c r="Q129" s="373">
        <v>3</v>
      </c>
      <c r="R129" s="373">
        <v>3</v>
      </c>
      <c r="S129" s="373">
        <v>3</v>
      </c>
      <c r="T129" s="379">
        <v>9</v>
      </c>
      <c r="U129" s="373">
        <v>3</v>
      </c>
      <c r="V129" s="373">
        <v>3</v>
      </c>
      <c r="W129" s="373">
        <v>3</v>
      </c>
      <c r="X129" s="329" t="s">
        <v>2558</v>
      </c>
      <c r="Y129" s="361" t="s">
        <v>199</v>
      </c>
      <c r="Z129" s="329" t="s">
        <v>8</v>
      </c>
      <c r="AA129" s="329"/>
      <c r="AB129" s="345"/>
      <c r="AC129" s="339"/>
    </row>
    <row r="130" spans="1:29" hidden="1">
      <c r="A130" s="329"/>
      <c r="B130" s="334" t="s">
        <v>572</v>
      </c>
      <c r="C130" s="341">
        <v>12</v>
      </c>
      <c r="D130" s="341" t="s">
        <v>103</v>
      </c>
      <c r="E130" s="341"/>
      <c r="F130" s="341"/>
      <c r="G130" s="341" t="s">
        <v>342</v>
      </c>
      <c r="H130" s="379">
        <v>3</v>
      </c>
      <c r="I130" s="373">
        <v>1</v>
      </c>
      <c r="J130" s="373">
        <v>1</v>
      </c>
      <c r="K130" s="373">
        <v>1</v>
      </c>
      <c r="L130" s="379">
        <v>3</v>
      </c>
      <c r="M130" s="373">
        <v>1</v>
      </c>
      <c r="N130" s="373">
        <v>1</v>
      </c>
      <c r="O130" s="373">
        <v>1</v>
      </c>
      <c r="P130" s="379">
        <v>3</v>
      </c>
      <c r="Q130" s="373">
        <v>1</v>
      </c>
      <c r="R130" s="373">
        <v>1</v>
      </c>
      <c r="S130" s="373">
        <v>1</v>
      </c>
      <c r="T130" s="379">
        <v>3</v>
      </c>
      <c r="U130" s="373">
        <v>1</v>
      </c>
      <c r="V130" s="373">
        <v>1</v>
      </c>
      <c r="W130" s="373">
        <v>1</v>
      </c>
      <c r="X130" s="329" t="s">
        <v>2558</v>
      </c>
      <c r="Y130" s="361" t="s">
        <v>209</v>
      </c>
      <c r="Z130" s="329" t="s">
        <v>8</v>
      </c>
      <c r="AA130" s="329"/>
      <c r="AB130" s="345"/>
      <c r="AC130" s="339"/>
    </row>
    <row r="131" spans="1:29" ht="31.5" hidden="1">
      <c r="A131" s="329"/>
      <c r="B131" s="334" t="s">
        <v>573</v>
      </c>
      <c r="C131" s="341">
        <v>12</v>
      </c>
      <c r="D131" s="341" t="s">
        <v>103</v>
      </c>
      <c r="E131" s="341"/>
      <c r="F131" s="341"/>
      <c r="G131" s="341" t="s">
        <v>342</v>
      </c>
      <c r="H131" s="379">
        <v>3</v>
      </c>
      <c r="I131" s="373">
        <v>1</v>
      </c>
      <c r="J131" s="373">
        <v>1</v>
      </c>
      <c r="K131" s="373">
        <v>1</v>
      </c>
      <c r="L131" s="379">
        <v>3</v>
      </c>
      <c r="M131" s="373">
        <v>1</v>
      </c>
      <c r="N131" s="373">
        <v>1</v>
      </c>
      <c r="O131" s="373">
        <v>1</v>
      </c>
      <c r="P131" s="379">
        <v>3</v>
      </c>
      <c r="Q131" s="373">
        <v>1</v>
      </c>
      <c r="R131" s="373">
        <v>1</v>
      </c>
      <c r="S131" s="373">
        <v>1</v>
      </c>
      <c r="T131" s="379">
        <v>3</v>
      </c>
      <c r="U131" s="373">
        <v>1</v>
      </c>
      <c r="V131" s="373">
        <v>1</v>
      </c>
      <c r="W131" s="373">
        <v>1</v>
      </c>
      <c r="X131" s="329" t="s">
        <v>2558</v>
      </c>
      <c r="Y131" s="361" t="s">
        <v>210</v>
      </c>
      <c r="Z131" s="329" t="s">
        <v>8</v>
      </c>
      <c r="AA131" s="329"/>
      <c r="AB131" s="345"/>
      <c r="AC131" s="339"/>
    </row>
    <row r="132" spans="1:29" hidden="1">
      <c r="A132" s="329"/>
      <c r="B132" s="334" t="s">
        <v>631</v>
      </c>
      <c r="C132" s="341">
        <v>12</v>
      </c>
      <c r="D132" s="341" t="s">
        <v>103</v>
      </c>
      <c r="E132" s="341"/>
      <c r="F132" s="341"/>
      <c r="G132" s="341" t="s">
        <v>342</v>
      </c>
      <c r="H132" s="379">
        <v>3</v>
      </c>
      <c r="I132" s="373">
        <v>1</v>
      </c>
      <c r="J132" s="373">
        <v>1</v>
      </c>
      <c r="K132" s="373">
        <v>1</v>
      </c>
      <c r="L132" s="379">
        <v>3</v>
      </c>
      <c r="M132" s="373">
        <v>1</v>
      </c>
      <c r="N132" s="373">
        <v>1</v>
      </c>
      <c r="O132" s="373">
        <v>1</v>
      </c>
      <c r="P132" s="379">
        <v>3</v>
      </c>
      <c r="Q132" s="373">
        <v>1</v>
      </c>
      <c r="R132" s="373">
        <v>1</v>
      </c>
      <c r="S132" s="373">
        <v>1</v>
      </c>
      <c r="T132" s="379">
        <v>3</v>
      </c>
      <c r="U132" s="373">
        <v>1</v>
      </c>
      <c r="V132" s="373">
        <v>1</v>
      </c>
      <c r="W132" s="373">
        <v>1</v>
      </c>
      <c r="X132" s="329" t="s">
        <v>2558</v>
      </c>
      <c r="Y132" s="361" t="s">
        <v>211</v>
      </c>
      <c r="Z132" s="329" t="s">
        <v>8</v>
      </c>
      <c r="AA132" s="329"/>
      <c r="AB132" s="345"/>
      <c r="AC132" s="339"/>
    </row>
    <row r="133" spans="1:29">
      <c r="A133" s="329"/>
      <c r="B133" s="380" t="s">
        <v>467</v>
      </c>
      <c r="C133" s="375">
        <v>1</v>
      </c>
      <c r="D133" s="375" t="s">
        <v>118</v>
      </c>
      <c r="E133" s="375"/>
      <c r="F133" s="375"/>
      <c r="G133" s="375"/>
      <c r="H133" s="343">
        <v>0</v>
      </c>
      <c r="I133" s="343"/>
      <c r="J133" s="343"/>
      <c r="K133" s="343"/>
      <c r="L133" s="343">
        <v>0</v>
      </c>
      <c r="M133" s="343">
        <v>0</v>
      </c>
      <c r="N133" s="343"/>
      <c r="O133" s="343"/>
      <c r="P133" s="343">
        <v>1</v>
      </c>
      <c r="Q133" s="343">
        <v>1</v>
      </c>
      <c r="R133" s="343"/>
      <c r="S133" s="343"/>
      <c r="T133" s="343">
        <v>0</v>
      </c>
      <c r="U133" s="343"/>
      <c r="V133" s="343"/>
      <c r="W133" s="343"/>
      <c r="X133" s="329" t="s">
        <v>3009</v>
      </c>
      <c r="Y133" s="330" t="str">
        <f>DB!$D$194</f>
        <v>Branded Desktop Computer Set</v>
      </c>
      <c r="Z133" s="329" t="s">
        <v>2964</v>
      </c>
      <c r="AA133" s="329"/>
      <c r="AB133" s="345"/>
      <c r="AC133" s="339"/>
    </row>
    <row r="134" spans="1:29" ht="31.5" hidden="1">
      <c r="A134" s="329"/>
      <c r="B134" s="372" t="s">
        <v>1554</v>
      </c>
      <c r="C134" s="377">
        <v>8</v>
      </c>
      <c r="D134" s="377" t="s">
        <v>103</v>
      </c>
      <c r="E134" s="341"/>
      <c r="F134" s="377"/>
      <c r="G134" s="377"/>
      <c r="H134" s="341">
        <v>2</v>
      </c>
      <c r="I134" s="341">
        <v>1</v>
      </c>
      <c r="J134" s="341"/>
      <c r="K134" s="341">
        <v>1</v>
      </c>
      <c r="L134" s="341">
        <v>2</v>
      </c>
      <c r="M134" s="341">
        <v>1</v>
      </c>
      <c r="N134" s="341"/>
      <c r="O134" s="341">
        <v>1</v>
      </c>
      <c r="P134" s="341">
        <v>2</v>
      </c>
      <c r="Q134" s="341">
        <v>1</v>
      </c>
      <c r="R134" s="341"/>
      <c r="S134" s="341">
        <v>1</v>
      </c>
      <c r="T134" s="341">
        <v>2</v>
      </c>
      <c r="U134" s="341">
        <v>1</v>
      </c>
      <c r="V134" s="341"/>
      <c r="W134" s="341">
        <v>1</v>
      </c>
      <c r="X134" s="329" t="s">
        <v>3009</v>
      </c>
      <c r="Y134" s="330" t="str">
        <f>DB!D176</f>
        <v>Brother Toner Cartridge TN-3448</v>
      </c>
      <c r="Z134" s="329" t="s">
        <v>8</v>
      </c>
      <c r="AA134" s="329"/>
      <c r="AB134" s="345"/>
      <c r="AC134" s="339"/>
    </row>
    <row r="135" spans="1:29" ht="31.5" hidden="1">
      <c r="A135" s="329"/>
      <c r="B135" s="372" t="s">
        <v>3010</v>
      </c>
      <c r="C135" s="377">
        <v>8</v>
      </c>
      <c r="D135" s="377" t="s">
        <v>638</v>
      </c>
      <c r="E135" s="341"/>
      <c r="F135" s="377"/>
      <c r="G135" s="377"/>
      <c r="H135" s="341">
        <v>2</v>
      </c>
      <c r="I135" s="341">
        <v>1</v>
      </c>
      <c r="J135" s="341"/>
      <c r="K135" s="341">
        <v>1</v>
      </c>
      <c r="L135" s="341">
        <v>2</v>
      </c>
      <c r="M135" s="341">
        <v>1</v>
      </c>
      <c r="N135" s="341"/>
      <c r="O135" s="341">
        <v>1</v>
      </c>
      <c r="P135" s="341">
        <v>2</v>
      </c>
      <c r="Q135" s="341">
        <v>1</v>
      </c>
      <c r="R135" s="341"/>
      <c r="S135" s="341">
        <v>1</v>
      </c>
      <c r="T135" s="341">
        <v>2</v>
      </c>
      <c r="U135" s="341">
        <v>1</v>
      </c>
      <c r="V135" s="341"/>
      <c r="W135" s="341">
        <v>1</v>
      </c>
      <c r="X135" s="329" t="s">
        <v>3009</v>
      </c>
      <c r="Y135" s="330" t="str">
        <f>DB!$D$111</f>
        <v>HP Genuine Ink Refill - (GT52) Magenta</v>
      </c>
      <c r="Z135" s="329" t="s">
        <v>8</v>
      </c>
      <c r="AA135" s="329"/>
      <c r="AB135" s="345"/>
      <c r="AC135" s="339"/>
    </row>
    <row r="136" spans="1:29" ht="31.5" hidden="1">
      <c r="A136" s="329"/>
      <c r="B136" s="372" t="s">
        <v>3011</v>
      </c>
      <c r="C136" s="377">
        <v>8</v>
      </c>
      <c r="D136" s="377" t="s">
        <v>638</v>
      </c>
      <c r="E136" s="341"/>
      <c r="F136" s="377"/>
      <c r="G136" s="377"/>
      <c r="H136" s="341">
        <v>2</v>
      </c>
      <c r="I136" s="341">
        <v>1</v>
      </c>
      <c r="J136" s="341"/>
      <c r="K136" s="341">
        <v>1</v>
      </c>
      <c r="L136" s="341">
        <v>2</v>
      </c>
      <c r="M136" s="341">
        <v>1</v>
      </c>
      <c r="N136" s="341"/>
      <c r="O136" s="341">
        <v>1</v>
      </c>
      <c r="P136" s="341">
        <v>2</v>
      </c>
      <c r="Q136" s="341">
        <v>1</v>
      </c>
      <c r="R136" s="341"/>
      <c r="S136" s="341">
        <v>1</v>
      </c>
      <c r="T136" s="341">
        <v>2</v>
      </c>
      <c r="U136" s="341">
        <v>1</v>
      </c>
      <c r="V136" s="341"/>
      <c r="W136" s="341">
        <v>1</v>
      </c>
      <c r="X136" s="329" t="s">
        <v>3009</v>
      </c>
      <c r="Y136" s="330" t="str">
        <f>DB!$D$112</f>
        <v>HP Genuine Ink Refill - (GT52) Cyan</v>
      </c>
      <c r="Z136" s="329" t="s">
        <v>8</v>
      </c>
      <c r="AA136" s="329"/>
      <c r="AB136" s="345"/>
      <c r="AC136" s="339"/>
    </row>
    <row r="137" spans="1:29" ht="31.5" hidden="1">
      <c r="A137" s="329"/>
      <c r="B137" s="372" t="s">
        <v>3012</v>
      </c>
      <c r="C137" s="377">
        <v>8</v>
      </c>
      <c r="D137" s="377" t="s">
        <v>638</v>
      </c>
      <c r="E137" s="341"/>
      <c r="F137" s="377"/>
      <c r="G137" s="377"/>
      <c r="H137" s="341">
        <v>2</v>
      </c>
      <c r="I137" s="341">
        <v>1</v>
      </c>
      <c r="J137" s="341"/>
      <c r="K137" s="341">
        <v>1</v>
      </c>
      <c r="L137" s="341">
        <v>2</v>
      </c>
      <c r="M137" s="341">
        <v>1</v>
      </c>
      <c r="N137" s="341"/>
      <c r="O137" s="341">
        <v>1</v>
      </c>
      <c r="P137" s="341">
        <v>2</v>
      </c>
      <c r="Q137" s="341">
        <v>1</v>
      </c>
      <c r="R137" s="341"/>
      <c r="S137" s="341">
        <v>1</v>
      </c>
      <c r="T137" s="341">
        <v>2</v>
      </c>
      <c r="U137" s="341">
        <v>1</v>
      </c>
      <c r="V137" s="341"/>
      <c r="W137" s="341">
        <v>1</v>
      </c>
      <c r="X137" s="329" t="s">
        <v>3009</v>
      </c>
      <c r="Y137" s="330" t="str">
        <f>DB!$D$113</f>
        <v>HP Genuine Ink Refill - (GT52) Yellow</v>
      </c>
      <c r="Z137" s="329" t="s">
        <v>8</v>
      </c>
      <c r="AA137" s="329"/>
      <c r="AB137" s="345"/>
      <c r="AC137" s="339"/>
    </row>
    <row r="138" spans="1:29" ht="31.5" hidden="1">
      <c r="A138" s="329"/>
      <c r="B138" s="372" t="s">
        <v>3013</v>
      </c>
      <c r="C138" s="377">
        <v>8</v>
      </c>
      <c r="D138" s="377" t="s">
        <v>638</v>
      </c>
      <c r="E138" s="377"/>
      <c r="F138" s="377"/>
      <c r="G138" s="377"/>
      <c r="H138" s="341">
        <v>2</v>
      </c>
      <c r="I138" s="341">
        <v>1</v>
      </c>
      <c r="J138" s="341"/>
      <c r="K138" s="341">
        <v>1</v>
      </c>
      <c r="L138" s="341">
        <v>2</v>
      </c>
      <c r="M138" s="341">
        <v>1</v>
      </c>
      <c r="N138" s="341"/>
      <c r="O138" s="341">
        <v>1</v>
      </c>
      <c r="P138" s="341">
        <v>2</v>
      </c>
      <c r="Q138" s="341">
        <v>1</v>
      </c>
      <c r="R138" s="341"/>
      <c r="S138" s="341">
        <v>1</v>
      </c>
      <c r="T138" s="341">
        <v>2</v>
      </c>
      <c r="U138" s="341">
        <v>1</v>
      </c>
      <c r="V138" s="341"/>
      <c r="W138" s="341">
        <v>1</v>
      </c>
      <c r="X138" s="329" t="s">
        <v>3009</v>
      </c>
      <c r="Y138" s="369" t="str">
        <f>DB!$D$110</f>
        <v>HP Genuine Ink Refill - (GT53) Black</v>
      </c>
      <c r="Z138" s="329" t="s">
        <v>8</v>
      </c>
      <c r="AA138" s="329"/>
      <c r="AB138" s="345"/>
      <c r="AC138" s="339"/>
    </row>
    <row r="139" spans="1:29" hidden="1">
      <c r="A139" s="329"/>
      <c r="B139" s="381" t="s">
        <v>3014</v>
      </c>
      <c r="C139" s="377">
        <v>2</v>
      </c>
      <c r="D139" s="377" t="s">
        <v>103</v>
      </c>
      <c r="E139" s="377"/>
      <c r="F139" s="377"/>
      <c r="G139" s="377"/>
      <c r="H139" s="341">
        <v>1</v>
      </c>
      <c r="I139" s="341">
        <v>1</v>
      </c>
      <c r="J139" s="341"/>
      <c r="K139" s="341"/>
      <c r="L139" s="341">
        <v>0</v>
      </c>
      <c r="M139" s="341"/>
      <c r="N139" s="341"/>
      <c r="O139" s="341"/>
      <c r="P139" s="341">
        <v>1</v>
      </c>
      <c r="Q139" s="341">
        <v>1</v>
      </c>
      <c r="R139" s="341"/>
      <c r="S139" s="341"/>
      <c r="T139" s="341">
        <v>0</v>
      </c>
      <c r="U139" s="341"/>
      <c r="V139" s="341"/>
      <c r="W139" s="341"/>
      <c r="X139" s="329" t="s">
        <v>3009</v>
      </c>
      <c r="Y139" s="330"/>
      <c r="Z139" s="329" t="s">
        <v>2946</v>
      </c>
      <c r="AA139" s="329"/>
      <c r="AB139" s="345"/>
      <c r="AC139" s="339"/>
    </row>
    <row r="140" spans="1:29" hidden="1">
      <c r="A140" s="329"/>
      <c r="B140" s="382" t="s">
        <v>469</v>
      </c>
      <c r="C140" s="357">
        <v>2</v>
      </c>
      <c r="D140" s="357" t="s">
        <v>103</v>
      </c>
      <c r="E140" s="383">
        <v>10000</v>
      </c>
      <c r="F140" s="342">
        <v>20000</v>
      </c>
      <c r="G140" s="341" t="s">
        <v>342</v>
      </c>
      <c r="H140" s="357">
        <v>2</v>
      </c>
      <c r="I140" s="337"/>
      <c r="J140" s="343"/>
      <c r="K140" s="343"/>
      <c r="L140" s="343"/>
      <c r="M140" s="343"/>
      <c r="N140" s="343"/>
      <c r="O140" s="343"/>
      <c r="P140" s="343"/>
      <c r="Q140" s="343"/>
      <c r="R140" s="343"/>
      <c r="S140" s="343"/>
      <c r="T140" s="343"/>
      <c r="U140" s="343"/>
      <c r="V140" s="343"/>
      <c r="W140" s="343"/>
      <c r="X140" s="329" t="s">
        <v>169</v>
      </c>
      <c r="Y140" s="330"/>
      <c r="Z140" s="329" t="s">
        <v>2962</v>
      </c>
      <c r="AA140" s="329"/>
      <c r="AB140" s="345"/>
      <c r="AC140" s="339"/>
    </row>
    <row r="141" spans="1:29">
      <c r="A141" s="329"/>
      <c r="B141" s="338" t="s">
        <v>617</v>
      </c>
      <c r="C141" s="343">
        <v>1</v>
      </c>
      <c r="D141" s="343" t="s">
        <v>118</v>
      </c>
      <c r="E141" s="347">
        <v>70000</v>
      </c>
      <c r="F141" s="347">
        <v>70000</v>
      </c>
      <c r="G141" s="341" t="s">
        <v>342</v>
      </c>
      <c r="H141" s="384">
        <v>1</v>
      </c>
      <c r="I141" s="335"/>
      <c r="J141" s="341"/>
      <c r="K141" s="341"/>
      <c r="L141" s="341">
        <v>1</v>
      </c>
      <c r="M141" s="341"/>
      <c r="N141" s="341"/>
      <c r="O141" s="341"/>
      <c r="P141" s="341"/>
      <c r="Q141" s="341"/>
      <c r="R141" s="341"/>
      <c r="S141" s="341"/>
      <c r="T141" s="341"/>
      <c r="U141" s="341"/>
      <c r="V141" s="341"/>
      <c r="W141" s="341"/>
      <c r="X141" s="329" t="s">
        <v>169</v>
      </c>
      <c r="Y141" s="330" t="str">
        <f>DB!$D$194</f>
        <v>Branded Desktop Computer Set</v>
      </c>
      <c r="Z141" s="329" t="s">
        <v>2964</v>
      </c>
      <c r="AA141" s="329"/>
      <c r="AB141" s="345"/>
      <c r="AC141" s="339"/>
    </row>
    <row r="142" spans="1:29" hidden="1">
      <c r="A142" s="329"/>
      <c r="B142" s="382" t="s">
        <v>620</v>
      </c>
      <c r="C142" s="335">
        <v>1</v>
      </c>
      <c r="D142" s="357" t="s">
        <v>103</v>
      </c>
      <c r="E142" s="385">
        <v>70000</v>
      </c>
      <c r="F142" s="347">
        <v>70000</v>
      </c>
      <c r="G142" s="341" t="s">
        <v>342</v>
      </c>
      <c r="H142" s="357">
        <v>1</v>
      </c>
      <c r="I142" s="335"/>
      <c r="J142" s="341"/>
      <c r="K142" s="341"/>
      <c r="L142" s="341"/>
      <c r="M142" s="341"/>
      <c r="N142" s="341"/>
      <c r="O142" s="341"/>
      <c r="P142" s="341"/>
      <c r="Q142" s="341"/>
      <c r="R142" s="341"/>
      <c r="S142" s="341"/>
      <c r="T142" s="341"/>
      <c r="U142" s="341"/>
      <c r="V142" s="341"/>
      <c r="W142" s="341"/>
      <c r="X142" s="329" t="s">
        <v>169</v>
      </c>
      <c r="Y142" s="330"/>
      <c r="Z142" s="329" t="s">
        <v>2950</v>
      </c>
      <c r="AA142" s="329"/>
      <c r="AB142" s="345"/>
      <c r="AC142" s="339"/>
    </row>
    <row r="143" spans="1:29">
      <c r="A143" s="329"/>
      <c r="B143" s="370" t="s">
        <v>445</v>
      </c>
      <c r="C143" s="335">
        <v>1</v>
      </c>
      <c r="D143" s="359" t="s">
        <v>446</v>
      </c>
      <c r="E143" s="371"/>
      <c r="F143" s="371"/>
      <c r="G143" s="371" t="s">
        <v>447</v>
      </c>
      <c r="H143" s="371">
        <v>0</v>
      </c>
      <c r="I143" s="371"/>
      <c r="J143" s="371"/>
      <c r="K143" s="371"/>
      <c r="L143" s="371">
        <v>1</v>
      </c>
      <c r="M143" s="371">
        <v>1</v>
      </c>
      <c r="N143" s="371"/>
      <c r="O143" s="371"/>
      <c r="P143" s="371">
        <v>0</v>
      </c>
      <c r="Q143" s="371"/>
      <c r="R143" s="371"/>
      <c r="S143" s="371"/>
      <c r="T143" s="371">
        <v>0</v>
      </c>
      <c r="U143" s="371"/>
      <c r="V143" s="371"/>
      <c r="W143" s="371"/>
      <c r="X143" s="329" t="s">
        <v>3015</v>
      </c>
      <c r="Y143" s="330" t="str">
        <f>DB!$D$194</f>
        <v>Branded Desktop Computer Set</v>
      </c>
      <c r="Z143" s="329" t="s">
        <v>2964</v>
      </c>
      <c r="AA143" s="329"/>
      <c r="AB143" s="345"/>
      <c r="AC143" s="339"/>
    </row>
    <row r="144" spans="1:29" hidden="1">
      <c r="A144" s="329"/>
      <c r="B144" s="372" t="s">
        <v>448</v>
      </c>
      <c r="C144" s="371">
        <v>1</v>
      </c>
      <c r="D144" s="373" t="s">
        <v>446</v>
      </c>
      <c r="E144" s="373"/>
      <c r="F144" s="373"/>
      <c r="G144" s="373" t="s">
        <v>447</v>
      </c>
      <c r="H144" s="373">
        <v>0</v>
      </c>
      <c r="I144" s="373"/>
      <c r="J144" s="373"/>
      <c r="K144" s="373"/>
      <c r="L144" s="373">
        <v>1</v>
      </c>
      <c r="M144" s="373">
        <v>1</v>
      </c>
      <c r="N144" s="373"/>
      <c r="O144" s="373"/>
      <c r="P144" s="373">
        <v>0</v>
      </c>
      <c r="Q144" s="373"/>
      <c r="R144" s="373"/>
      <c r="S144" s="373"/>
      <c r="T144" s="373">
        <v>0</v>
      </c>
      <c r="U144" s="373"/>
      <c r="V144" s="373"/>
      <c r="W144" s="373"/>
      <c r="X144" s="329" t="s">
        <v>3015</v>
      </c>
      <c r="Y144" s="330" t="str">
        <f>DB!D76</f>
        <v>Dot Matrix Printer 24-Pin</v>
      </c>
      <c r="Z144" s="329" t="s">
        <v>8</v>
      </c>
      <c r="AA144" s="329"/>
      <c r="AB144" s="345"/>
      <c r="AC144" s="339"/>
    </row>
    <row r="145" spans="1:29" hidden="1">
      <c r="A145" s="329"/>
      <c r="B145" s="372" t="s">
        <v>449</v>
      </c>
      <c r="C145" s="373">
        <v>2</v>
      </c>
      <c r="D145" s="373" t="s">
        <v>446</v>
      </c>
      <c r="E145" s="373"/>
      <c r="F145" s="373"/>
      <c r="G145" s="373" t="s">
        <v>447</v>
      </c>
      <c r="H145" s="373">
        <v>0</v>
      </c>
      <c r="I145" s="373"/>
      <c r="J145" s="373"/>
      <c r="K145" s="373"/>
      <c r="L145" s="373">
        <v>1</v>
      </c>
      <c r="M145" s="373">
        <v>1</v>
      </c>
      <c r="N145" s="373"/>
      <c r="O145" s="373"/>
      <c r="P145" s="373">
        <v>0</v>
      </c>
      <c r="Q145" s="373"/>
      <c r="R145" s="373"/>
      <c r="S145" s="373"/>
      <c r="T145" s="373">
        <v>0</v>
      </c>
      <c r="U145" s="373"/>
      <c r="V145" s="373"/>
      <c r="W145" s="373"/>
      <c r="X145" s="329" t="s">
        <v>3015</v>
      </c>
      <c r="Y145" s="330" t="str">
        <f>DB!$D$73</f>
        <v>Webcam Professional Full HD</v>
      </c>
      <c r="Z145" s="329" t="s">
        <v>8</v>
      </c>
      <c r="AA145" s="329"/>
      <c r="AB145" s="345"/>
      <c r="AC145" s="339"/>
    </row>
    <row r="146" spans="1:29" hidden="1">
      <c r="A146" s="329"/>
      <c r="B146" s="372" t="s">
        <v>450</v>
      </c>
      <c r="C146" s="373">
        <v>3</v>
      </c>
      <c r="D146" s="373" t="s">
        <v>446</v>
      </c>
      <c r="E146" s="373"/>
      <c r="F146" s="373"/>
      <c r="G146" s="373" t="s">
        <v>447</v>
      </c>
      <c r="H146" s="373">
        <v>0</v>
      </c>
      <c r="I146" s="373"/>
      <c r="J146" s="373"/>
      <c r="K146" s="373"/>
      <c r="L146" s="373">
        <v>1</v>
      </c>
      <c r="M146" s="373">
        <v>1</v>
      </c>
      <c r="N146" s="373"/>
      <c r="O146" s="373"/>
      <c r="P146" s="373">
        <v>0</v>
      </c>
      <c r="Q146" s="373"/>
      <c r="R146" s="373"/>
      <c r="S146" s="373"/>
      <c r="T146" s="373">
        <v>0</v>
      </c>
      <c r="U146" s="373"/>
      <c r="V146" s="373"/>
      <c r="W146" s="373"/>
      <c r="X146" s="329" t="s">
        <v>3015</v>
      </c>
      <c r="Y146" s="330" t="str">
        <f>DB!$D$6</f>
        <v>UPS 650VA, AVR, 230V</v>
      </c>
      <c r="Z146" s="329" t="s">
        <v>8</v>
      </c>
      <c r="AA146" s="329"/>
      <c r="AB146" s="345"/>
      <c r="AC146" s="339"/>
    </row>
    <row r="147" spans="1:29" hidden="1">
      <c r="A147" s="329"/>
      <c r="B147" s="372" t="s">
        <v>451</v>
      </c>
      <c r="C147" s="373">
        <v>2</v>
      </c>
      <c r="D147" s="373" t="s">
        <v>446</v>
      </c>
      <c r="E147" s="373"/>
      <c r="F147" s="373"/>
      <c r="G147" s="373" t="s">
        <v>447</v>
      </c>
      <c r="H147" s="373">
        <v>0</v>
      </c>
      <c r="I147" s="373"/>
      <c r="J147" s="373"/>
      <c r="K147" s="373"/>
      <c r="L147" s="373">
        <v>1</v>
      </c>
      <c r="M147" s="373">
        <v>1</v>
      </c>
      <c r="N147" s="373"/>
      <c r="O147" s="373"/>
      <c r="P147" s="373">
        <v>0</v>
      </c>
      <c r="Q147" s="373"/>
      <c r="R147" s="373"/>
      <c r="S147" s="373"/>
      <c r="T147" s="373">
        <v>0</v>
      </c>
      <c r="U147" s="373"/>
      <c r="V147" s="373"/>
      <c r="W147" s="373"/>
      <c r="X147" s="329" t="s">
        <v>3015</v>
      </c>
      <c r="Y147" s="330"/>
      <c r="Z147" s="329" t="s">
        <v>2946</v>
      </c>
      <c r="AA147" s="329"/>
      <c r="AB147" s="345"/>
      <c r="AC147" s="339"/>
    </row>
    <row r="148" spans="1:29" hidden="1">
      <c r="A148" s="329"/>
      <c r="B148" s="386" t="s">
        <v>452</v>
      </c>
      <c r="C148" s="387">
        <v>1</v>
      </c>
      <c r="D148" s="387" t="s">
        <v>446</v>
      </c>
      <c r="E148" s="388"/>
      <c r="F148" s="373"/>
      <c r="G148" s="373" t="s">
        <v>447</v>
      </c>
      <c r="H148" s="373">
        <v>0</v>
      </c>
      <c r="I148" s="373"/>
      <c r="J148" s="373"/>
      <c r="K148" s="373"/>
      <c r="L148" s="373">
        <v>1</v>
      </c>
      <c r="M148" s="373">
        <v>1</v>
      </c>
      <c r="N148" s="373"/>
      <c r="O148" s="373"/>
      <c r="P148" s="373">
        <v>0</v>
      </c>
      <c r="Q148" s="373"/>
      <c r="R148" s="373"/>
      <c r="S148" s="373"/>
      <c r="T148" s="373">
        <v>0</v>
      </c>
      <c r="U148" s="373"/>
      <c r="V148" s="373"/>
      <c r="W148" s="373"/>
      <c r="X148" s="329" t="s">
        <v>3015</v>
      </c>
      <c r="Y148" s="330"/>
      <c r="Z148" s="329" t="s">
        <v>2946</v>
      </c>
      <c r="AA148" s="329"/>
      <c r="AB148" s="345"/>
      <c r="AC148" s="339"/>
    </row>
    <row r="149" spans="1:29" ht="31.5" hidden="1">
      <c r="A149" s="329"/>
      <c r="B149" s="389" t="s">
        <v>454</v>
      </c>
      <c r="C149" s="390">
        <v>60</v>
      </c>
      <c r="D149" s="388" t="s">
        <v>446</v>
      </c>
      <c r="E149" s="388"/>
      <c r="F149" s="373"/>
      <c r="G149" s="373" t="s">
        <v>447</v>
      </c>
      <c r="H149" s="373">
        <v>15</v>
      </c>
      <c r="I149" s="373">
        <v>15</v>
      </c>
      <c r="J149" s="373"/>
      <c r="K149" s="373"/>
      <c r="L149" s="373">
        <v>15</v>
      </c>
      <c r="M149" s="373">
        <v>15</v>
      </c>
      <c r="N149" s="373"/>
      <c r="O149" s="373"/>
      <c r="P149" s="373">
        <v>15</v>
      </c>
      <c r="Q149" s="373">
        <v>15</v>
      </c>
      <c r="R149" s="373"/>
      <c r="S149" s="373"/>
      <c r="T149" s="373">
        <v>15</v>
      </c>
      <c r="U149" s="373">
        <v>15</v>
      </c>
      <c r="V149" s="373"/>
      <c r="W149" s="373"/>
      <c r="X149" s="329" t="s">
        <v>3015</v>
      </c>
      <c r="Y149" s="330" t="str">
        <f>DB!D177</f>
        <v>EPSON LQ310 Ribbon Cartridge (SO15634)</v>
      </c>
      <c r="Z149" s="329" t="s">
        <v>8</v>
      </c>
      <c r="AA149" s="329"/>
      <c r="AB149" s="345"/>
      <c r="AC149" s="339"/>
    </row>
    <row r="150" spans="1:29" hidden="1">
      <c r="A150" s="329"/>
      <c r="B150" s="389" t="s">
        <v>455</v>
      </c>
      <c r="C150" s="388">
        <v>12</v>
      </c>
      <c r="D150" s="388" t="s">
        <v>446</v>
      </c>
      <c r="E150" s="388"/>
      <c r="F150" s="373"/>
      <c r="G150" s="373" t="s">
        <v>447</v>
      </c>
      <c r="H150" s="373">
        <v>3</v>
      </c>
      <c r="I150" s="373">
        <v>3</v>
      </c>
      <c r="J150" s="373"/>
      <c r="K150" s="373"/>
      <c r="L150" s="373">
        <v>3</v>
      </c>
      <c r="M150" s="373">
        <v>3</v>
      </c>
      <c r="N150" s="373"/>
      <c r="O150" s="373"/>
      <c r="P150" s="373">
        <v>3</v>
      </c>
      <c r="Q150" s="373">
        <v>3</v>
      </c>
      <c r="R150" s="373"/>
      <c r="S150" s="373"/>
      <c r="T150" s="373">
        <v>3</v>
      </c>
      <c r="U150" s="373">
        <v>3</v>
      </c>
      <c r="V150" s="373"/>
      <c r="W150" s="373"/>
      <c r="X150" s="329" t="s">
        <v>3015</v>
      </c>
      <c r="Y150" s="330"/>
      <c r="Z150" s="329" t="s">
        <v>2952</v>
      </c>
      <c r="AA150" s="329"/>
      <c r="AB150" s="345"/>
      <c r="AC150" s="339"/>
    </row>
    <row r="151" spans="1:29" hidden="1">
      <c r="A151" s="329"/>
      <c r="B151" s="389" t="s">
        <v>456</v>
      </c>
      <c r="C151" s="387">
        <v>2</v>
      </c>
      <c r="D151" s="387" t="s">
        <v>446</v>
      </c>
      <c r="E151" s="388"/>
      <c r="F151" s="373"/>
      <c r="G151" s="373" t="s">
        <v>447</v>
      </c>
      <c r="H151" s="373">
        <v>1</v>
      </c>
      <c r="I151" s="373">
        <v>1</v>
      </c>
      <c r="J151" s="373"/>
      <c r="K151" s="373"/>
      <c r="L151" s="373">
        <v>0</v>
      </c>
      <c r="M151" s="373"/>
      <c r="N151" s="373"/>
      <c r="O151" s="373"/>
      <c r="P151" s="373">
        <v>1</v>
      </c>
      <c r="Q151" s="373">
        <v>1</v>
      </c>
      <c r="R151" s="373"/>
      <c r="S151" s="373"/>
      <c r="T151" s="373">
        <v>0</v>
      </c>
      <c r="U151" s="373"/>
      <c r="V151" s="373"/>
      <c r="W151" s="373"/>
      <c r="X151" s="329" t="s">
        <v>3015</v>
      </c>
      <c r="Y151" s="330"/>
      <c r="Z151" s="329" t="s">
        <v>2952</v>
      </c>
      <c r="AA151" s="329"/>
      <c r="AB151" s="345"/>
      <c r="AC151" s="339"/>
    </row>
    <row r="152" spans="1:29" hidden="1">
      <c r="A152" s="329"/>
      <c r="B152" s="389" t="s">
        <v>458</v>
      </c>
      <c r="C152" s="390">
        <v>2</v>
      </c>
      <c r="D152" s="388" t="s">
        <v>446</v>
      </c>
      <c r="E152" s="388"/>
      <c r="F152" s="373"/>
      <c r="G152" s="373" t="s">
        <v>447</v>
      </c>
      <c r="H152" s="373">
        <v>1</v>
      </c>
      <c r="I152" s="373">
        <v>1</v>
      </c>
      <c r="J152" s="373"/>
      <c r="K152" s="373"/>
      <c r="L152" s="373">
        <v>0</v>
      </c>
      <c r="M152" s="373"/>
      <c r="N152" s="373"/>
      <c r="O152" s="373"/>
      <c r="P152" s="373">
        <v>1</v>
      </c>
      <c r="Q152" s="373">
        <v>1</v>
      </c>
      <c r="R152" s="373"/>
      <c r="S152" s="373"/>
      <c r="T152" s="373">
        <v>0</v>
      </c>
      <c r="U152" s="373"/>
      <c r="V152" s="373"/>
      <c r="W152" s="373"/>
      <c r="X152" s="329" t="s">
        <v>3015</v>
      </c>
      <c r="Y152" s="330"/>
      <c r="Z152" s="329" t="s">
        <v>2952</v>
      </c>
      <c r="AA152" s="329"/>
      <c r="AB152" s="345"/>
      <c r="AC152" s="339"/>
    </row>
    <row r="153" spans="1:29" hidden="1">
      <c r="A153" s="329"/>
      <c r="B153" s="389" t="s">
        <v>459</v>
      </c>
      <c r="C153" s="388">
        <v>10</v>
      </c>
      <c r="D153" s="388" t="s">
        <v>446</v>
      </c>
      <c r="E153" s="388"/>
      <c r="F153" s="373"/>
      <c r="G153" s="373" t="s">
        <v>447</v>
      </c>
      <c r="H153" s="373">
        <v>3</v>
      </c>
      <c r="I153" s="373">
        <v>3</v>
      </c>
      <c r="J153" s="373"/>
      <c r="K153" s="373"/>
      <c r="L153" s="373">
        <v>2</v>
      </c>
      <c r="M153" s="373">
        <v>2</v>
      </c>
      <c r="N153" s="373"/>
      <c r="O153" s="373"/>
      <c r="P153" s="373">
        <v>3</v>
      </c>
      <c r="Q153" s="373">
        <v>3</v>
      </c>
      <c r="R153" s="373"/>
      <c r="S153" s="373"/>
      <c r="T153" s="373">
        <v>2</v>
      </c>
      <c r="U153" s="373">
        <v>2</v>
      </c>
      <c r="V153" s="373"/>
      <c r="W153" s="373"/>
      <c r="X153" s="329" t="s">
        <v>3015</v>
      </c>
      <c r="Y153" s="330"/>
      <c r="Z153" s="329" t="s">
        <v>2952</v>
      </c>
      <c r="AA153" s="329"/>
      <c r="AB153" s="345"/>
      <c r="AC153" s="339"/>
    </row>
    <row r="154" spans="1:29" hidden="1">
      <c r="A154" s="329"/>
      <c r="B154" s="389" t="s">
        <v>460</v>
      </c>
      <c r="C154" s="388">
        <v>2</v>
      </c>
      <c r="D154" s="388" t="s">
        <v>446</v>
      </c>
      <c r="E154" s="388"/>
      <c r="F154" s="373"/>
      <c r="G154" s="373" t="s">
        <v>447</v>
      </c>
      <c r="H154" s="373">
        <v>1</v>
      </c>
      <c r="I154" s="373">
        <v>1</v>
      </c>
      <c r="J154" s="373"/>
      <c r="K154" s="373"/>
      <c r="L154" s="373">
        <v>0</v>
      </c>
      <c r="M154" s="373"/>
      <c r="N154" s="373"/>
      <c r="O154" s="373"/>
      <c r="P154" s="373">
        <v>1</v>
      </c>
      <c r="Q154" s="373">
        <v>1</v>
      </c>
      <c r="R154" s="373"/>
      <c r="S154" s="373"/>
      <c r="T154" s="373">
        <v>0</v>
      </c>
      <c r="U154" s="373"/>
      <c r="V154" s="373"/>
      <c r="W154" s="373"/>
      <c r="X154" s="329" t="s">
        <v>3015</v>
      </c>
      <c r="Y154" s="330"/>
      <c r="Z154" s="329" t="s">
        <v>2952</v>
      </c>
      <c r="AA154" s="329"/>
      <c r="AB154" s="345"/>
      <c r="AC154" s="339"/>
    </row>
    <row r="155" spans="1:29" hidden="1">
      <c r="A155" s="329"/>
      <c r="B155" s="338" t="s">
        <v>716</v>
      </c>
      <c r="C155" s="343">
        <v>1</v>
      </c>
      <c r="D155" s="343" t="s">
        <v>466</v>
      </c>
      <c r="E155" s="329"/>
      <c r="F155" s="329"/>
      <c r="G155" s="343" t="s">
        <v>342</v>
      </c>
      <c r="H155" s="337">
        <v>1</v>
      </c>
      <c r="I155" s="329"/>
      <c r="J155" s="329"/>
      <c r="K155" s="329"/>
      <c r="L155" s="337">
        <v>0</v>
      </c>
      <c r="M155" s="329"/>
      <c r="N155" s="329"/>
      <c r="O155" s="329"/>
      <c r="P155" s="337">
        <v>0</v>
      </c>
      <c r="Q155" s="329"/>
      <c r="R155" s="329"/>
      <c r="S155" s="329"/>
      <c r="T155" s="337">
        <v>0</v>
      </c>
      <c r="U155" s="329"/>
      <c r="V155" s="329"/>
      <c r="W155" s="329"/>
      <c r="X155" s="329" t="s">
        <v>117</v>
      </c>
      <c r="Y155" s="330"/>
      <c r="Z155" s="329" t="s">
        <v>2946</v>
      </c>
      <c r="AA155" s="329"/>
      <c r="AB155" s="345"/>
      <c r="AC155" s="339"/>
    </row>
    <row r="156" spans="1:29" hidden="1">
      <c r="A156" s="329"/>
      <c r="B156" s="334" t="s">
        <v>717</v>
      </c>
      <c r="C156" s="377">
        <v>1</v>
      </c>
      <c r="D156" s="377" t="s">
        <v>466</v>
      </c>
      <c r="E156" s="329"/>
      <c r="F156" s="329"/>
      <c r="G156" s="377" t="s">
        <v>342</v>
      </c>
      <c r="H156" s="335">
        <v>1</v>
      </c>
      <c r="I156" s="329"/>
      <c r="J156" s="329"/>
      <c r="K156" s="329"/>
      <c r="L156" s="335">
        <v>0</v>
      </c>
      <c r="M156" s="329"/>
      <c r="N156" s="329"/>
      <c r="O156" s="329"/>
      <c r="P156" s="335">
        <v>0</v>
      </c>
      <c r="Q156" s="329"/>
      <c r="R156" s="329"/>
      <c r="S156" s="329"/>
      <c r="T156" s="335">
        <v>0</v>
      </c>
      <c r="U156" s="329"/>
      <c r="V156" s="329"/>
      <c r="W156" s="329"/>
      <c r="X156" s="329" t="s">
        <v>117</v>
      </c>
      <c r="Y156" s="330"/>
      <c r="Z156" s="329" t="s">
        <v>2962</v>
      </c>
      <c r="AA156" s="329"/>
      <c r="AB156" s="345"/>
      <c r="AC156" s="339"/>
    </row>
    <row r="157" spans="1:29">
      <c r="A157" s="329"/>
      <c r="B157" s="334" t="s">
        <v>718</v>
      </c>
      <c r="C157" s="377">
        <v>1</v>
      </c>
      <c r="D157" s="377" t="s">
        <v>466</v>
      </c>
      <c r="E157" s="329"/>
      <c r="F157" s="329"/>
      <c r="G157" s="377" t="s">
        <v>342</v>
      </c>
      <c r="H157" s="335">
        <v>1</v>
      </c>
      <c r="I157" s="329"/>
      <c r="J157" s="329"/>
      <c r="K157" s="329"/>
      <c r="L157" s="335">
        <v>0</v>
      </c>
      <c r="M157" s="329"/>
      <c r="N157" s="329"/>
      <c r="O157" s="329"/>
      <c r="P157" s="335">
        <v>0</v>
      </c>
      <c r="Q157" s="329"/>
      <c r="R157" s="329"/>
      <c r="S157" s="329"/>
      <c r="T157" s="335">
        <v>0</v>
      </c>
      <c r="U157" s="329"/>
      <c r="V157" s="329"/>
      <c r="W157" s="329"/>
      <c r="X157" s="329" t="s">
        <v>117</v>
      </c>
      <c r="Y157" s="330" t="str">
        <f>DB!$D$194</f>
        <v>Branded Desktop Computer Set</v>
      </c>
      <c r="Z157" s="329" t="s">
        <v>2964</v>
      </c>
      <c r="AA157" s="329"/>
      <c r="AB157" s="345"/>
      <c r="AC157" s="339"/>
    </row>
    <row r="158" spans="1:29" hidden="1">
      <c r="A158" s="329"/>
      <c r="B158" s="334" t="s">
        <v>719</v>
      </c>
      <c r="C158" s="335">
        <v>0</v>
      </c>
      <c r="D158" s="341" t="s">
        <v>466</v>
      </c>
      <c r="E158" s="329"/>
      <c r="F158" s="329"/>
      <c r="G158" s="391" t="s">
        <v>342</v>
      </c>
      <c r="H158" s="335">
        <v>5</v>
      </c>
      <c r="I158" s="329"/>
      <c r="J158" s="329"/>
      <c r="K158" s="329"/>
      <c r="L158" s="335">
        <v>5</v>
      </c>
      <c r="M158" s="329"/>
      <c r="N158" s="329"/>
      <c r="O158" s="329"/>
      <c r="P158" s="335">
        <v>5</v>
      </c>
      <c r="Q158" s="329"/>
      <c r="R158" s="329"/>
      <c r="S158" s="329"/>
      <c r="T158" s="335">
        <v>5</v>
      </c>
      <c r="U158" s="329"/>
      <c r="V158" s="329"/>
      <c r="W158" s="329"/>
      <c r="X158" s="329" t="s">
        <v>117</v>
      </c>
      <c r="Y158" s="330"/>
      <c r="Z158" s="329" t="s">
        <v>2950</v>
      </c>
      <c r="AA158" s="329"/>
      <c r="AB158" s="345"/>
      <c r="AC158" s="339"/>
    </row>
    <row r="159" spans="1:29" hidden="1">
      <c r="A159" s="329"/>
      <c r="B159" s="338" t="s">
        <v>720</v>
      </c>
      <c r="C159" s="335">
        <v>20</v>
      </c>
      <c r="D159" s="341" t="s">
        <v>571</v>
      </c>
      <c r="E159" s="329"/>
      <c r="F159" s="329"/>
      <c r="G159" s="377" t="s">
        <v>342</v>
      </c>
      <c r="H159" s="335">
        <v>2</v>
      </c>
      <c r="I159" s="329"/>
      <c r="J159" s="329"/>
      <c r="K159" s="329"/>
      <c r="L159" s="335">
        <v>2</v>
      </c>
      <c r="M159" s="329"/>
      <c r="N159" s="329"/>
      <c r="O159" s="329"/>
      <c r="P159" s="335">
        <v>2</v>
      </c>
      <c r="Q159" s="329"/>
      <c r="R159" s="329"/>
      <c r="S159" s="329"/>
      <c r="T159" s="335">
        <v>2</v>
      </c>
      <c r="U159" s="329"/>
      <c r="V159" s="329"/>
      <c r="W159" s="329"/>
      <c r="X159" s="329" t="s">
        <v>117</v>
      </c>
      <c r="Y159" s="330" t="str">
        <f>DB!$D$102</f>
        <v>Epson Genuine Ink T6641 Black</v>
      </c>
      <c r="Z159" s="329" t="s">
        <v>8</v>
      </c>
      <c r="AA159" s="329"/>
      <c r="AB159" s="345"/>
      <c r="AC159" s="339"/>
    </row>
    <row r="160" spans="1:29" hidden="1">
      <c r="A160" s="329"/>
      <c r="B160" s="334" t="s">
        <v>721</v>
      </c>
      <c r="C160" s="335">
        <v>8</v>
      </c>
      <c r="D160" s="341" t="s">
        <v>571</v>
      </c>
      <c r="E160" s="329"/>
      <c r="F160" s="329"/>
      <c r="G160" s="377" t="s">
        <v>342</v>
      </c>
      <c r="H160" s="335">
        <v>2</v>
      </c>
      <c r="I160" s="329"/>
      <c r="J160" s="329"/>
      <c r="K160" s="329"/>
      <c r="L160" s="335">
        <v>2</v>
      </c>
      <c r="M160" s="329"/>
      <c r="N160" s="329"/>
      <c r="O160" s="329"/>
      <c r="P160" s="335">
        <v>2</v>
      </c>
      <c r="Q160" s="329"/>
      <c r="R160" s="329"/>
      <c r="S160" s="329"/>
      <c r="T160" s="335">
        <v>2</v>
      </c>
      <c r="U160" s="329"/>
      <c r="V160" s="329"/>
      <c r="W160" s="329"/>
      <c r="X160" s="329" t="s">
        <v>117</v>
      </c>
      <c r="Y160" s="330" t="str">
        <f>DB!$D$103</f>
        <v>Epson Genuine Ink T6642 Cyan</v>
      </c>
      <c r="Z160" s="329" t="s">
        <v>8</v>
      </c>
      <c r="AA160" s="329"/>
      <c r="AB160" s="345"/>
      <c r="AC160" s="339"/>
    </row>
    <row r="161" spans="1:29" ht="31.5" hidden="1">
      <c r="A161" s="329"/>
      <c r="B161" s="334" t="s">
        <v>722</v>
      </c>
      <c r="C161" s="335">
        <v>8</v>
      </c>
      <c r="D161" s="341" t="s">
        <v>571</v>
      </c>
      <c r="E161" s="329"/>
      <c r="F161" s="329"/>
      <c r="G161" s="377" t="s">
        <v>342</v>
      </c>
      <c r="H161" s="335">
        <v>2</v>
      </c>
      <c r="I161" s="329"/>
      <c r="J161" s="329"/>
      <c r="K161" s="329"/>
      <c r="L161" s="335">
        <v>2</v>
      </c>
      <c r="M161" s="329"/>
      <c r="N161" s="329"/>
      <c r="O161" s="329"/>
      <c r="P161" s="335">
        <v>2</v>
      </c>
      <c r="Q161" s="329"/>
      <c r="R161" s="329"/>
      <c r="S161" s="329"/>
      <c r="T161" s="335">
        <v>2</v>
      </c>
      <c r="U161" s="329"/>
      <c r="V161" s="329"/>
      <c r="W161" s="329"/>
      <c r="X161" s="329" t="s">
        <v>117</v>
      </c>
      <c r="Y161" s="330" t="str">
        <f>DB!$D$104</f>
        <v>Epson Genuine Ink T6643 Magenta</v>
      </c>
      <c r="Z161" s="329" t="s">
        <v>8</v>
      </c>
      <c r="AA161" s="329"/>
      <c r="AB161" s="345"/>
      <c r="AC161" s="339"/>
    </row>
    <row r="162" spans="1:29" ht="31.5" hidden="1">
      <c r="A162" s="329"/>
      <c r="B162" s="334" t="s">
        <v>723</v>
      </c>
      <c r="C162" s="335">
        <v>8</v>
      </c>
      <c r="D162" s="341" t="s">
        <v>571</v>
      </c>
      <c r="E162" s="329"/>
      <c r="F162" s="329"/>
      <c r="G162" s="377" t="s">
        <v>342</v>
      </c>
      <c r="H162" s="335">
        <v>2</v>
      </c>
      <c r="I162" s="329"/>
      <c r="J162" s="329"/>
      <c r="K162" s="329"/>
      <c r="L162" s="335">
        <v>2</v>
      </c>
      <c r="M162" s="329"/>
      <c r="N162" s="329"/>
      <c r="O162" s="329"/>
      <c r="P162" s="335">
        <v>2</v>
      </c>
      <c r="Q162" s="329"/>
      <c r="R162" s="329"/>
      <c r="S162" s="329"/>
      <c r="T162" s="335">
        <v>2</v>
      </c>
      <c r="U162" s="329"/>
      <c r="V162" s="329"/>
      <c r="W162" s="329"/>
      <c r="X162" s="329" t="s">
        <v>117</v>
      </c>
      <c r="Y162" s="330" t="str">
        <f>DB!$D$105</f>
        <v>Epson Genuine Ink T6644 Yellow</v>
      </c>
      <c r="Z162" s="329" t="s">
        <v>8</v>
      </c>
      <c r="AA162" s="329"/>
      <c r="AB162" s="345"/>
      <c r="AC162" s="339"/>
    </row>
    <row r="163" spans="1:29" hidden="1">
      <c r="A163" s="329"/>
      <c r="B163" s="381" t="s">
        <v>724</v>
      </c>
      <c r="C163" s="335">
        <v>10</v>
      </c>
      <c r="D163" s="341" t="s">
        <v>571</v>
      </c>
      <c r="E163" s="329"/>
      <c r="F163" s="329"/>
      <c r="G163" s="377" t="s">
        <v>342</v>
      </c>
      <c r="H163" s="335">
        <v>5</v>
      </c>
      <c r="I163" s="329"/>
      <c r="J163" s="329"/>
      <c r="K163" s="329"/>
      <c r="L163" s="335">
        <v>0</v>
      </c>
      <c r="M163" s="329"/>
      <c r="N163" s="329"/>
      <c r="O163" s="329"/>
      <c r="P163" s="335">
        <v>5</v>
      </c>
      <c r="Q163" s="329"/>
      <c r="R163" s="329"/>
      <c r="S163" s="329"/>
      <c r="T163" s="335">
        <v>0</v>
      </c>
      <c r="U163" s="329"/>
      <c r="V163" s="329"/>
      <c r="W163" s="329"/>
      <c r="X163" s="329" t="s">
        <v>117</v>
      </c>
      <c r="Y163" s="330"/>
      <c r="Z163" s="329" t="s">
        <v>2952</v>
      </c>
      <c r="AA163" s="329"/>
      <c r="AB163" s="345"/>
      <c r="AC163" s="339"/>
    </row>
    <row r="164" spans="1:29" hidden="1">
      <c r="A164" s="329"/>
      <c r="B164" s="381" t="s">
        <v>725</v>
      </c>
      <c r="C164" s="335">
        <v>5</v>
      </c>
      <c r="D164" s="341" t="s">
        <v>571</v>
      </c>
      <c r="E164" s="329"/>
      <c r="F164" s="329"/>
      <c r="G164" s="377" t="s">
        <v>342</v>
      </c>
      <c r="H164" s="335">
        <v>2</v>
      </c>
      <c r="I164" s="329"/>
      <c r="J164" s="329"/>
      <c r="K164" s="329"/>
      <c r="L164" s="335">
        <v>2</v>
      </c>
      <c r="M164" s="329"/>
      <c r="N164" s="329"/>
      <c r="O164" s="329"/>
      <c r="P164" s="335">
        <v>1</v>
      </c>
      <c r="Q164" s="329"/>
      <c r="R164" s="329"/>
      <c r="S164" s="329"/>
      <c r="T164" s="335">
        <v>0</v>
      </c>
      <c r="U164" s="329"/>
      <c r="V164" s="329"/>
      <c r="W164" s="329"/>
      <c r="X164" s="329" t="s">
        <v>117</v>
      </c>
      <c r="Y164" s="330"/>
      <c r="Z164" s="329" t="s">
        <v>2952</v>
      </c>
      <c r="AA164" s="329"/>
      <c r="AB164" s="345"/>
      <c r="AC164" s="339"/>
    </row>
    <row r="165" spans="1:29" hidden="1">
      <c r="A165" s="329"/>
      <c r="B165" s="381" t="s">
        <v>726</v>
      </c>
      <c r="C165" s="335">
        <v>5</v>
      </c>
      <c r="D165" s="341" t="s">
        <v>571</v>
      </c>
      <c r="E165" s="329"/>
      <c r="F165" s="329"/>
      <c r="G165" s="377" t="s">
        <v>342</v>
      </c>
      <c r="H165" s="335">
        <v>2</v>
      </c>
      <c r="I165" s="329"/>
      <c r="J165" s="329"/>
      <c r="K165" s="329"/>
      <c r="L165" s="335">
        <v>2</v>
      </c>
      <c r="M165" s="329"/>
      <c r="N165" s="329"/>
      <c r="O165" s="329"/>
      <c r="P165" s="335">
        <v>1</v>
      </c>
      <c r="Q165" s="329"/>
      <c r="R165" s="329"/>
      <c r="S165" s="329"/>
      <c r="T165" s="335">
        <v>0</v>
      </c>
      <c r="U165" s="329"/>
      <c r="V165" s="329"/>
      <c r="W165" s="329"/>
      <c r="X165" s="329" t="s">
        <v>117</v>
      </c>
      <c r="Y165" s="330"/>
      <c r="Z165" s="329" t="s">
        <v>2952</v>
      </c>
      <c r="AA165" s="329"/>
      <c r="AB165" s="345"/>
      <c r="AC165" s="339"/>
    </row>
    <row r="166" spans="1:29" hidden="1">
      <c r="A166" s="329"/>
      <c r="B166" s="381" t="s">
        <v>727</v>
      </c>
      <c r="C166" s="335">
        <v>5</v>
      </c>
      <c r="D166" s="341" t="s">
        <v>571</v>
      </c>
      <c r="E166" s="329"/>
      <c r="F166" s="329"/>
      <c r="G166" s="377" t="s">
        <v>342</v>
      </c>
      <c r="H166" s="335">
        <v>2</v>
      </c>
      <c r="I166" s="329"/>
      <c r="J166" s="329"/>
      <c r="K166" s="329"/>
      <c r="L166" s="335">
        <v>2</v>
      </c>
      <c r="M166" s="329"/>
      <c r="N166" s="329"/>
      <c r="O166" s="329"/>
      <c r="P166" s="335">
        <v>1</v>
      </c>
      <c r="Q166" s="329"/>
      <c r="R166" s="329"/>
      <c r="S166" s="329"/>
      <c r="T166" s="335">
        <v>0</v>
      </c>
      <c r="U166" s="329"/>
      <c r="V166" s="329"/>
      <c r="W166" s="329"/>
      <c r="X166" s="329" t="s">
        <v>117</v>
      </c>
      <c r="Y166" s="330"/>
      <c r="Z166" s="329" t="s">
        <v>2952</v>
      </c>
      <c r="AA166" s="329"/>
      <c r="AB166" s="345"/>
      <c r="AC166" s="339"/>
    </row>
    <row r="167" spans="1:29" hidden="1">
      <c r="A167" s="329"/>
      <c r="B167" s="370" t="s">
        <v>224</v>
      </c>
      <c r="C167" s="371">
        <v>20</v>
      </c>
      <c r="D167" s="371" t="s">
        <v>118</v>
      </c>
      <c r="E167" s="392">
        <v>10000</v>
      </c>
      <c r="F167" s="392">
        <v>200000</v>
      </c>
      <c r="G167" s="371" t="s">
        <v>447</v>
      </c>
      <c r="H167" s="371">
        <v>20</v>
      </c>
      <c r="I167" s="371" t="s">
        <v>544</v>
      </c>
      <c r="J167" s="371"/>
      <c r="K167" s="371"/>
      <c r="L167" s="371"/>
      <c r="M167" s="371"/>
      <c r="N167" s="371"/>
      <c r="O167" s="371"/>
      <c r="P167" s="371"/>
      <c r="Q167" s="371"/>
      <c r="R167" s="371"/>
      <c r="S167" s="371"/>
      <c r="T167" s="371"/>
      <c r="U167" s="371"/>
      <c r="V167" s="371"/>
      <c r="W167" s="371"/>
      <c r="X167" s="329" t="s">
        <v>1625</v>
      </c>
      <c r="Y167" s="330"/>
      <c r="Z167" s="329" t="s">
        <v>3016</v>
      </c>
      <c r="AA167" s="329"/>
      <c r="AB167" s="345"/>
      <c r="AC167" s="339"/>
    </row>
    <row r="168" spans="1:29" hidden="1">
      <c r="A168" s="329"/>
      <c r="B168" s="372" t="s">
        <v>152</v>
      </c>
      <c r="C168" s="373">
        <v>2</v>
      </c>
      <c r="D168" s="373" t="s">
        <v>118</v>
      </c>
      <c r="E168" s="373" t="s">
        <v>3017</v>
      </c>
      <c r="F168" s="393">
        <v>100000</v>
      </c>
      <c r="G168" s="373" t="s">
        <v>447</v>
      </c>
      <c r="H168" s="373">
        <v>2</v>
      </c>
      <c r="I168" s="373" t="s">
        <v>544</v>
      </c>
      <c r="J168" s="373"/>
      <c r="K168" s="373"/>
      <c r="L168" s="373"/>
      <c r="M168" s="373"/>
      <c r="N168" s="373"/>
      <c r="O168" s="373"/>
      <c r="P168" s="373"/>
      <c r="Q168" s="373"/>
      <c r="R168" s="373"/>
      <c r="S168" s="373"/>
      <c r="T168" s="373"/>
      <c r="U168" s="373"/>
      <c r="V168" s="373"/>
      <c r="W168" s="373"/>
      <c r="X168" s="329" t="s">
        <v>1625</v>
      </c>
      <c r="Y168" s="330"/>
      <c r="Z168" s="329" t="s">
        <v>3016</v>
      </c>
      <c r="AA168" s="329"/>
      <c r="AB168" s="345"/>
      <c r="AC168" s="339"/>
    </row>
    <row r="169" spans="1:29" ht="31.5" hidden="1">
      <c r="A169" s="329"/>
      <c r="B169" s="372" t="s">
        <v>547</v>
      </c>
      <c r="C169" s="373">
        <v>10</v>
      </c>
      <c r="D169" s="373" t="s">
        <v>103</v>
      </c>
      <c r="E169" s="373">
        <v>380</v>
      </c>
      <c r="F169" s="348">
        <v>3800</v>
      </c>
      <c r="G169" s="373" t="s">
        <v>447</v>
      </c>
      <c r="H169" s="373">
        <v>3</v>
      </c>
      <c r="I169" s="373" t="s">
        <v>544</v>
      </c>
      <c r="J169" s="373"/>
      <c r="K169" s="373"/>
      <c r="L169" s="373">
        <v>3</v>
      </c>
      <c r="M169" s="373" t="s">
        <v>544</v>
      </c>
      <c r="N169" s="373"/>
      <c r="O169" s="373"/>
      <c r="P169" s="373">
        <v>4</v>
      </c>
      <c r="Q169" s="373" t="s">
        <v>544</v>
      </c>
      <c r="R169" s="373"/>
      <c r="S169" s="373"/>
      <c r="T169" s="373"/>
      <c r="U169" s="373"/>
      <c r="V169" s="373"/>
      <c r="W169" s="373"/>
      <c r="X169" s="329" t="s">
        <v>153</v>
      </c>
      <c r="Y169" s="369" t="str">
        <f>DB!$D$110</f>
        <v>HP Genuine Ink Refill - (GT53) Black</v>
      </c>
      <c r="Z169" s="329" t="s">
        <v>8</v>
      </c>
      <c r="AA169" s="329"/>
      <c r="AB169" s="345"/>
      <c r="AC169" s="339"/>
    </row>
    <row r="170" spans="1:29" ht="31.5" hidden="1">
      <c r="A170" s="329"/>
      <c r="B170" s="372" t="s">
        <v>548</v>
      </c>
      <c r="C170" s="373">
        <v>5</v>
      </c>
      <c r="D170" s="373" t="s">
        <v>103</v>
      </c>
      <c r="E170" s="373">
        <v>380</v>
      </c>
      <c r="F170" s="348">
        <v>1900</v>
      </c>
      <c r="G170" s="373" t="s">
        <v>447</v>
      </c>
      <c r="H170" s="373">
        <v>2</v>
      </c>
      <c r="I170" s="373" t="s">
        <v>544</v>
      </c>
      <c r="J170" s="373"/>
      <c r="K170" s="373"/>
      <c r="L170" s="373">
        <v>2</v>
      </c>
      <c r="M170" s="373" t="s">
        <v>544</v>
      </c>
      <c r="N170" s="373"/>
      <c r="O170" s="373"/>
      <c r="P170" s="373">
        <v>1</v>
      </c>
      <c r="Q170" s="373" t="s">
        <v>544</v>
      </c>
      <c r="R170" s="373"/>
      <c r="S170" s="373"/>
      <c r="T170" s="373"/>
      <c r="U170" s="373"/>
      <c r="V170" s="373"/>
      <c r="W170" s="373"/>
      <c r="X170" s="329" t="s">
        <v>153</v>
      </c>
      <c r="Y170" s="330" t="str">
        <f>DB!$D$112</f>
        <v>HP Genuine Ink Refill - (GT52) Cyan</v>
      </c>
      <c r="Z170" s="329" t="s">
        <v>8</v>
      </c>
      <c r="AA170" s="329"/>
      <c r="AB170" s="345"/>
      <c r="AC170" s="339"/>
    </row>
    <row r="171" spans="1:29" ht="31.5" hidden="1">
      <c r="A171" s="329"/>
      <c r="B171" s="372" t="s">
        <v>549</v>
      </c>
      <c r="C171" s="373">
        <v>5</v>
      </c>
      <c r="D171" s="373" t="s">
        <v>103</v>
      </c>
      <c r="E171" s="373">
        <v>380</v>
      </c>
      <c r="F171" s="348">
        <v>1900</v>
      </c>
      <c r="G171" s="373" t="s">
        <v>447</v>
      </c>
      <c r="H171" s="373">
        <v>2</v>
      </c>
      <c r="I171" s="373" t="s">
        <v>544</v>
      </c>
      <c r="J171" s="373"/>
      <c r="K171" s="373"/>
      <c r="L171" s="373">
        <v>2</v>
      </c>
      <c r="M171" s="373" t="s">
        <v>544</v>
      </c>
      <c r="N171" s="373"/>
      <c r="O171" s="373"/>
      <c r="P171" s="373">
        <v>1</v>
      </c>
      <c r="Q171" s="373" t="s">
        <v>544</v>
      </c>
      <c r="R171" s="373"/>
      <c r="S171" s="373"/>
      <c r="T171" s="373"/>
      <c r="U171" s="373"/>
      <c r="V171" s="373"/>
      <c r="W171" s="373"/>
      <c r="X171" s="329" t="s">
        <v>153</v>
      </c>
      <c r="Y171" s="330" t="str">
        <f>DB!$D$113</f>
        <v>HP Genuine Ink Refill - (GT52) Yellow</v>
      </c>
      <c r="Z171" s="329" t="s">
        <v>8</v>
      </c>
      <c r="AA171" s="329"/>
      <c r="AB171" s="345"/>
      <c r="AC171" s="339"/>
    </row>
    <row r="172" spans="1:29" ht="31.5" hidden="1">
      <c r="A172" s="329"/>
      <c r="B172" s="372" t="s">
        <v>550</v>
      </c>
      <c r="C172" s="373">
        <v>5</v>
      </c>
      <c r="D172" s="373" t="s">
        <v>103</v>
      </c>
      <c r="E172" s="373">
        <v>380</v>
      </c>
      <c r="F172" s="348">
        <v>1900</v>
      </c>
      <c r="G172" s="373" t="s">
        <v>447</v>
      </c>
      <c r="H172" s="373">
        <v>2</v>
      </c>
      <c r="I172" s="373" t="s">
        <v>544</v>
      </c>
      <c r="J172" s="373"/>
      <c r="K172" s="373"/>
      <c r="L172" s="373">
        <v>2</v>
      </c>
      <c r="M172" s="373" t="s">
        <v>544</v>
      </c>
      <c r="N172" s="373"/>
      <c r="O172" s="373"/>
      <c r="P172" s="373">
        <v>1</v>
      </c>
      <c r="Q172" s="373" t="s">
        <v>544</v>
      </c>
      <c r="R172" s="373"/>
      <c r="S172" s="373"/>
      <c r="T172" s="373"/>
      <c r="U172" s="373"/>
      <c r="V172" s="373"/>
      <c r="W172" s="373"/>
      <c r="X172" s="329" t="s">
        <v>153</v>
      </c>
      <c r="Y172" s="330" t="str">
        <f>DB!$D$111</f>
        <v>HP Genuine Ink Refill - (GT52) Magenta</v>
      </c>
      <c r="Z172" s="329" t="s">
        <v>8</v>
      </c>
      <c r="AA172" s="329"/>
      <c r="AB172" s="345"/>
      <c r="AC172" s="339"/>
    </row>
    <row r="173" spans="1:29" hidden="1">
      <c r="A173" s="329"/>
      <c r="B173" s="372" t="s">
        <v>551</v>
      </c>
      <c r="C173" s="373">
        <v>6</v>
      </c>
      <c r="D173" s="373" t="s">
        <v>103</v>
      </c>
      <c r="E173" s="393">
        <v>4500</v>
      </c>
      <c r="F173" s="348">
        <v>27000</v>
      </c>
      <c r="G173" s="373" t="s">
        <v>447</v>
      </c>
      <c r="H173" s="373">
        <v>3</v>
      </c>
      <c r="I173" s="373" t="s">
        <v>544</v>
      </c>
      <c r="J173" s="373"/>
      <c r="K173" s="373"/>
      <c r="L173" s="373">
        <v>3</v>
      </c>
      <c r="M173" s="373" t="s">
        <v>544</v>
      </c>
      <c r="N173" s="373"/>
      <c r="O173" s="373"/>
      <c r="P173" s="373">
        <v>3</v>
      </c>
      <c r="Q173" s="373" t="s">
        <v>544</v>
      </c>
      <c r="R173" s="373"/>
      <c r="S173" s="373"/>
      <c r="T173" s="373">
        <v>1</v>
      </c>
      <c r="U173" s="373" t="s">
        <v>544</v>
      </c>
      <c r="V173" s="373"/>
      <c r="W173" s="373"/>
      <c r="X173" s="329" t="s">
        <v>153</v>
      </c>
      <c r="Y173" s="330"/>
      <c r="Z173" s="329" t="s">
        <v>2952</v>
      </c>
      <c r="AA173" s="329"/>
      <c r="AB173" s="345"/>
      <c r="AC173" s="339"/>
    </row>
    <row r="174" spans="1:29" hidden="1">
      <c r="A174" s="329"/>
      <c r="B174" s="372" t="s">
        <v>3018</v>
      </c>
      <c r="C174" s="373">
        <v>1</v>
      </c>
      <c r="D174" s="373" t="s">
        <v>103</v>
      </c>
      <c r="E174" s="393">
        <v>18000</v>
      </c>
      <c r="F174" s="348">
        <v>18500</v>
      </c>
      <c r="G174" s="373" t="s">
        <v>447</v>
      </c>
      <c r="H174" s="373">
        <v>1</v>
      </c>
      <c r="I174" s="373" t="s">
        <v>544</v>
      </c>
      <c r="J174" s="373"/>
      <c r="K174" s="373"/>
      <c r="L174" s="373"/>
      <c r="M174" s="373"/>
      <c r="N174" s="373"/>
      <c r="O174" s="373"/>
      <c r="P174" s="373"/>
      <c r="Q174" s="373"/>
      <c r="R174" s="373"/>
      <c r="S174" s="373"/>
      <c r="T174" s="373"/>
      <c r="U174" s="373"/>
      <c r="V174" s="373"/>
      <c r="W174" s="373"/>
      <c r="X174" s="329" t="s">
        <v>153</v>
      </c>
      <c r="Y174" s="330"/>
      <c r="Z174" s="329" t="s">
        <v>2952</v>
      </c>
      <c r="AA174" s="329"/>
      <c r="AB174" s="345"/>
      <c r="AC174" s="339"/>
    </row>
    <row r="175" spans="1:29" hidden="1">
      <c r="A175" s="329"/>
      <c r="B175" s="334" t="s">
        <v>234</v>
      </c>
      <c r="C175" s="343">
        <v>2</v>
      </c>
      <c r="D175" s="343" t="s">
        <v>103</v>
      </c>
      <c r="E175" s="373">
        <v>380</v>
      </c>
      <c r="F175" s="341">
        <v>760</v>
      </c>
      <c r="G175" s="343"/>
      <c r="H175" s="343">
        <v>1</v>
      </c>
      <c r="I175" s="343">
        <v>1</v>
      </c>
      <c r="J175" s="343"/>
      <c r="K175" s="343"/>
      <c r="L175" s="343">
        <v>1</v>
      </c>
      <c r="M175" s="343">
        <v>1</v>
      </c>
      <c r="N175" s="343"/>
      <c r="O175" s="343"/>
      <c r="P175" s="343">
        <v>0</v>
      </c>
      <c r="Q175" s="343"/>
      <c r="R175" s="343"/>
      <c r="S175" s="343"/>
      <c r="T175" s="343">
        <v>0</v>
      </c>
      <c r="U175" s="343"/>
      <c r="V175" s="343"/>
      <c r="W175" s="343"/>
      <c r="X175" s="329" t="s">
        <v>116</v>
      </c>
      <c r="Y175" s="336" t="str">
        <f>DB!$D$168</f>
        <v>Keyboard, Full Size, USB 2.0</v>
      </c>
      <c r="Z175" s="329" t="s">
        <v>2946</v>
      </c>
      <c r="AA175" s="329"/>
      <c r="AB175" s="345"/>
      <c r="AC175" s="339"/>
    </row>
    <row r="176" spans="1:29" hidden="1">
      <c r="A176" s="329"/>
      <c r="B176" s="334" t="s">
        <v>239</v>
      </c>
      <c r="C176" s="341">
        <v>2</v>
      </c>
      <c r="D176" s="341" t="s">
        <v>103</v>
      </c>
      <c r="E176" s="373">
        <v>380</v>
      </c>
      <c r="F176" s="341">
        <v>760</v>
      </c>
      <c r="G176" s="341"/>
      <c r="H176" s="341">
        <v>1</v>
      </c>
      <c r="I176" s="341">
        <v>1</v>
      </c>
      <c r="J176" s="341"/>
      <c r="K176" s="341"/>
      <c r="L176" s="341">
        <v>1</v>
      </c>
      <c r="M176" s="341">
        <v>1</v>
      </c>
      <c r="N176" s="341"/>
      <c r="O176" s="341"/>
      <c r="P176" s="341">
        <v>0</v>
      </c>
      <c r="Q176" s="341"/>
      <c r="R176" s="341"/>
      <c r="S176" s="341"/>
      <c r="T176" s="341">
        <v>0</v>
      </c>
      <c r="U176" s="341"/>
      <c r="V176" s="341"/>
      <c r="W176" s="341"/>
      <c r="X176" s="329" t="s">
        <v>116</v>
      </c>
      <c r="Y176" s="346" t="str">
        <f>DB!$D$169</f>
        <v>Mouse, Optical, USB 2.0</v>
      </c>
      <c r="Z176" s="329" t="s">
        <v>2946</v>
      </c>
      <c r="AA176" s="329"/>
      <c r="AB176" s="345"/>
      <c r="AC176" s="339"/>
    </row>
    <row r="177" spans="1:29" hidden="1">
      <c r="A177" s="329"/>
      <c r="B177" s="334" t="s">
        <v>728</v>
      </c>
      <c r="C177" s="341">
        <v>3</v>
      </c>
      <c r="D177" s="341" t="s">
        <v>103</v>
      </c>
      <c r="E177" s="348">
        <v>3500</v>
      </c>
      <c r="F177" s="347">
        <v>10500</v>
      </c>
      <c r="G177" s="341"/>
      <c r="H177" s="341">
        <v>3</v>
      </c>
      <c r="I177" s="341">
        <v>3</v>
      </c>
      <c r="J177" s="341"/>
      <c r="K177" s="341"/>
      <c r="L177" s="341">
        <v>0</v>
      </c>
      <c r="M177" s="341"/>
      <c r="N177" s="341"/>
      <c r="O177" s="341"/>
      <c r="P177" s="341">
        <v>0</v>
      </c>
      <c r="Q177" s="341"/>
      <c r="R177" s="341"/>
      <c r="S177" s="341"/>
      <c r="T177" s="341">
        <v>0</v>
      </c>
      <c r="U177" s="341"/>
      <c r="V177" s="341"/>
      <c r="W177" s="341"/>
      <c r="X177" s="329" t="s">
        <v>116</v>
      </c>
      <c r="Y177" s="369" t="str">
        <f>DB!$D$6</f>
        <v>UPS 650VA, AVR, 230V</v>
      </c>
      <c r="Z177" s="329" t="s">
        <v>8</v>
      </c>
      <c r="AA177" s="329"/>
      <c r="AB177" s="345"/>
      <c r="AC177" s="339"/>
    </row>
    <row r="178" spans="1:29" hidden="1">
      <c r="A178" s="329"/>
      <c r="B178" s="334" t="s">
        <v>729</v>
      </c>
      <c r="C178" s="341">
        <v>700</v>
      </c>
      <c r="D178" s="341" t="s">
        <v>103</v>
      </c>
      <c r="E178" s="394">
        <v>5.5</v>
      </c>
      <c r="F178" s="347">
        <v>3850</v>
      </c>
      <c r="G178" s="341"/>
      <c r="H178" s="341">
        <v>250</v>
      </c>
      <c r="I178" s="341">
        <v>84</v>
      </c>
      <c r="J178" s="341">
        <v>83</v>
      </c>
      <c r="K178" s="341">
        <v>83</v>
      </c>
      <c r="L178" s="341">
        <v>250</v>
      </c>
      <c r="M178" s="341">
        <v>84</v>
      </c>
      <c r="N178" s="341">
        <v>83</v>
      </c>
      <c r="O178" s="341">
        <v>83</v>
      </c>
      <c r="P178" s="341">
        <v>250</v>
      </c>
      <c r="Q178" s="341">
        <v>84</v>
      </c>
      <c r="R178" s="341">
        <v>83</v>
      </c>
      <c r="S178" s="341">
        <v>83</v>
      </c>
      <c r="T178" s="341">
        <v>250</v>
      </c>
      <c r="U178" s="341">
        <v>84</v>
      </c>
      <c r="V178" s="341">
        <v>83</v>
      </c>
      <c r="W178" s="341">
        <v>83</v>
      </c>
      <c r="X178" s="329" t="s">
        <v>116</v>
      </c>
      <c r="Y178" s="330" t="str">
        <f>DB!$D$91</f>
        <v>Printable PVC Pre-Cut Cards</v>
      </c>
      <c r="Z178" s="329" t="s">
        <v>8</v>
      </c>
      <c r="AA178" s="329"/>
      <c r="AB178" s="345"/>
      <c r="AC178" s="339"/>
    </row>
    <row r="179" spans="1:29" ht="31.5" hidden="1">
      <c r="A179" s="329"/>
      <c r="B179" s="382" t="s">
        <v>730</v>
      </c>
      <c r="C179" s="335">
        <v>24</v>
      </c>
      <c r="D179" s="341" t="s">
        <v>103</v>
      </c>
      <c r="E179" s="348">
        <v>5200</v>
      </c>
      <c r="F179" s="347">
        <v>124800</v>
      </c>
      <c r="G179" s="341"/>
      <c r="H179" s="341">
        <v>6</v>
      </c>
      <c r="I179" s="341">
        <v>2</v>
      </c>
      <c r="J179" s="341">
        <v>2</v>
      </c>
      <c r="K179" s="341">
        <v>2</v>
      </c>
      <c r="L179" s="341">
        <v>6</v>
      </c>
      <c r="M179" s="341">
        <v>2</v>
      </c>
      <c r="N179" s="341">
        <v>2</v>
      </c>
      <c r="O179" s="341">
        <v>2</v>
      </c>
      <c r="P179" s="341">
        <v>6</v>
      </c>
      <c r="Q179" s="341">
        <v>2</v>
      </c>
      <c r="R179" s="341">
        <v>2</v>
      </c>
      <c r="S179" s="341">
        <v>2</v>
      </c>
      <c r="T179" s="341">
        <v>6</v>
      </c>
      <c r="U179" s="341">
        <v>2</v>
      </c>
      <c r="V179" s="341">
        <v>2</v>
      </c>
      <c r="W179" s="341">
        <v>2</v>
      </c>
      <c r="X179" s="329" t="s">
        <v>116</v>
      </c>
      <c r="Y179" s="330" t="str">
        <f>DB!$D$101</f>
        <v>ID Card Printer Genuine Color Ribbon (650643)</v>
      </c>
      <c r="Z179" s="329" t="s">
        <v>8</v>
      </c>
      <c r="AA179" s="329"/>
      <c r="AB179" s="345"/>
      <c r="AC179" s="339"/>
    </row>
    <row r="180" spans="1:29" hidden="1">
      <c r="A180" s="329"/>
      <c r="B180" s="395" t="s">
        <v>731</v>
      </c>
      <c r="C180" s="335">
        <v>2</v>
      </c>
      <c r="D180" s="341" t="s">
        <v>466</v>
      </c>
      <c r="E180" s="348">
        <v>2792</v>
      </c>
      <c r="F180" s="347">
        <v>5584</v>
      </c>
      <c r="G180" s="341"/>
      <c r="H180" s="341">
        <v>1</v>
      </c>
      <c r="I180" s="341">
        <v>1</v>
      </c>
      <c r="J180" s="341"/>
      <c r="K180" s="341"/>
      <c r="L180" s="341">
        <v>1</v>
      </c>
      <c r="M180" s="341">
        <v>1</v>
      </c>
      <c r="N180" s="341"/>
      <c r="O180" s="341"/>
      <c r="P180" s="341">
        <v>0</v>
      </c>
      <c r="Q180" s="341"/>
      <c r="R180" s="341"/>
      <c r="S180" s="341"/>
      <c r="T180" s="341">
        <v>0</v>
      </c>
      <c r="U180" s="341"/>
      <c r="V180" s="341"/>
      <c r="W180" s="341"/>
      <c r="X180" s="329" t="s">
        <v>116</v>
      </c>
      <c r="Y180" s="330"/>
      <c r="Z180" s="329" t="s">
        <v>2946</v>
      </c>
      <c r="AA180" s="329"/>
      <c r="AB180" s="345"/>
      <c r="AC180" s="339"/>
    </row>
    <row r="181" spans="1:29" hidden="1">
      <c r="A181" s="329"/>
      <c r="B181" s="396" t="s">
        <v>528</v>
      </c>
      <c r="C181" s="335">
        <v>20</v>
      </c>
      <c r="D181" s="341" t="s">
        <v>657</v>
      </c>
      <c r="E181" s="341">
        <v>249.6</v>
      </c>
      <c r="F181" s="347">
        <v>4992</v>
      </c>
      <c r="G181" s="341"/>
      <c r="H181" s="341">
        <v>5</v>
      </c>
      <c r="I181" s="341">
        <v>2</v>
      </c>
      <c r="J181" s="341">
        <v>2</v>
      </c>
      <c r="K181" s="341">
        <v>1</v>
      </c>
      <c r="L181" s="341">
        <v>5</v>
      </c>
      <c r="M181" s="341">
        <v>2</v>
      </c>
      <c r="N181" s="341">
        <v>2</v>
      </c>
      <c r="O181" s="341">
        <v>1</v>
      </c>
      <c r="P181" s="341">
        <v>5</v>
      </c>
      <c r="Q181" s="341">
        <v>2</v>
      </c>
      <c r="R181" s="341">
        <v>2</v>
      </c>
      <c r="S181" s="341">
        <v>1</v>
      </c>
      <c r="T181" s="341">
        <v>5</v>
      </c>
      <c r="U181" s="341">
        <v>2</v>
      </c>
      <c r="V181" s="341">
        <v>2</v>
      </c>
      <c r="W181" s="341">
        <v>1</v>
      </c>
      <c r="X181" s="329" t="s">
        <v>116</v>
      </c>
      <c r="Y181" s="330" t="str">
        <f>DB!$D$102</f>
        <v>Epson Genuine Ink T6641 Black</v>
      </c>
      <c r="Z181" s="329" t="s">
        <v>8</v>
      </c>
      <c r="AA181" s="329"/>
      <c r="AB181" s="345"/>
      <c r="AC181" s="339"/>
    </row>
    <row r="182" spans="1:29" hidden="1">
      <c r="A182" s="329"/>
      <c r="B182" s="396" t="s">
        <v>529</v>
      </c>
      <c r="C182" s="335">
        <v>12</v>
      </c>
      <c r="D182" s="341" t="s">
        <v>657</v>
      </c>
      <c r="E182" s="341">
        <v>249.6</v>
      </c>
      <c r="F182" s="347">
        <v>2995.2</v>
      </c>
      <c r="G182" s="341"/>
      <c r="H182" s="341">
        <v>3</v>
      </c>
      <c r="I182" s="341">
        <v>1</v>
      </c>
      <c r="J182" s="341">
        <v>1</v>
      </c>
      <c r="K182" s="341">
        <v>1</v>
      </c>
      <c r="L182" s="341">
        <v>3</v>
      </c>
      <c r="M182" s="341">
        <v>1</v>
      </c>
      <c r="N182" s="341">
        <v>1</v>
      </c>
      <c r="O182" s="341">
        <v>1</v>
      </c>
      <c r="P182" s="341">
        <v>3</v>
      </c>
      <c r="Q182" s="341">
        <v>1</v>
      </c>
      <c r="R182" s="341">
        <v>1</v>
      </c>
      <c r="S182" s="341">
        <v>1</v>
      </c>
      <c r="T182" s="341">
        <v>3</v>
      </c>
      <c r="U182" s="341">
        <v>1</v>
      </c>
      <c r="V182" s="341">
        <v>1</v>
      </c>
      <c r="W182" s="341">
        <v>1</v>
      </c>
      <c r="X182" s="329" t="s">
        <v>116</v>
      </c>
      <c r="Y182" s="330" t="str">
        <f>DB!$D$103</f>
        <v>Epson Genuine Ink T6642 Cyan</v>
      </c>
      <c r="Z182" s="329" t="s">
        <v>8</v>
      </c>
      <c r="AA182" s="329"/>
      <c r="AB182" s="345"/>
      <c r="AC182" s="339"/>
    </row>
    <row r="183" spans="1:29" ht="31.5" hidden="1">
      <c r="A183" s="329"/>
      <c r="B183" s="396" t="s">
        <v>530</v>
      </c>
      <c r="C183" s="335">
        <v>12</v>
      </c>
      <c r="D183" s="341" t="s">
        <v>657</v>
      </c>
      <c r="E183" s="341">
        <v>249.6</v>
      </c>
      <c r="F183" s="347">
        <v>2995.2</v>
      </c>
      <c r="G183" s="341"/>
      <c r="H183" s="341">
        <v>3</v>
      </c>
      <c r="I183" s="341">
        <v>1</v>
      </c>
      <c r="J183" s="341">
        <v>1</v>
      </c>
      <c r="K183" s="341">
        <v>1</v>
      </c>
      <c r="L183" s="341">
        <v>3</v>
      </c>
      <c r="M183" s="341">
        <v>1</v>
      </c>
      <c r="N183" s="341">
        <v>1</v>
      </c>
      <c r="O183" s="341">
        <v>1</v>
      </c>
      <c r="P183" s="341">
        <v>3</v>
      </c>
      <c r="Q183" s="341">
        <v>1</v>
      </c>
      <c r="R183" s="341">
        <v>1</v>
      </c>
      <c r="S183" s="341">
        <v>1</v>
      </c>
      <c r="T183" s="341">
        <v>3</v>
      </c>
      <c r="U183" s="341">
        <v>1</v>
      </c>
      <c r="V183" s="341">
        <v>1</v>
      </c>
      <c r="W183" s="341">
        <v>1</v>
      </c>
      <c r="X183" s="329" t="s">
        <v>116</v>
      </c>
      <c r="Y183" s="330" t="str">
        <f>DB!$D$104</f>
        <v>Epson Genuine Ink T6643 Magenta</v>
      </c>
      <c r="Z183" s="329" t="s">
        <v>8</v>
      </c>
      <c r="AA183" s="329"/>
      <c r="AB183" s="345"/>
      <c r="AC183" s="339"/>
    </row>
    <row r="184" spans="1:29" ht="31.5" hidden="1">
      <c r="A184" s="329"/>
      <c r="B184" s="396" t="s">
        <v>531</v>
      </c>
      <c r="C184" s="335">
        <v>12</v>
      </c>
      <c r="D184" s="341" t="s">
        <v>657</v>
      </c>
      <c r="E184" s="341">
        <v>249.6</v>
      </c>
      <c r="F184" s="347">
        <v>2995.2</v>
      </c>
      <c r="G184" s="341"/>
      <c r="H184" s="341">
        <v>3</v>
      </c>
      <c r="I184" s="341">
        <v>1</v>
      </c>
      <c r="J184" s="341">
        <v>1</v>
      </c>
      <c r="K184" s="341">
        <v>1</v>
      </c>
      <c r="L184" s="341">
        <v>3</v>
      </c>
      <c r="M184" s="341">
        <v>1</v>
      </c>
      <c r="N184" s="341">
        <v>1</v>
      </c>
      <c r="O184" s="341">
        <v>1</v>
      </c>
      <c r="P184" s="341">
        <v>3</v>
      </c>
      <c r="Q184" s="341">
        <v>1</v>
      </c>
      <c r="R184" s="341">
        <v>1</v>
      </c>
      <c r="S184" s="341">
        <v>1</v>
      </c>
      <c r="T184" s="341">
        <v>3</v>
      </c>
      <c r="U184" s="341">
        <v>1</v>
      </c>
      <c r="V184" s="341">
        <v>1</v>
      </c>
      <c r="W184" s="341">
        <v>1</v>
      </c>
      <c r="X184" s="329" t="s">
        <v>116</v>
      </c>
      <c r="Y184" s="330" t="str">
        <f>DB!$D$105</f>
        <v>Epson Genuine Ink T6644 Yellow</v>
      </c>
      <c r="Z184" s="329" t="s">
        <v>8</v>
      </c>
      <c r="AA184" s="329"/>
      <c r="AB184" s="345"/>
      <c r="AC184" s="339"/>
    </row>
    <row r="185" spans="1:29" hidden="1">
      <c r="A185" s="329"/>
      <c r="B185" s="380" t="s">
        <v>732</v>
      </c>
      <c r="C185" s="341">
        <v>12</v>
      </c>
      <c r="D185" s="341" t="s">
        <v>657</v>
      </c>
      <c r="E185" s="341">
        <v>275</v>
      </c>
      <c r="F185" s="347">
        <v>3300</v>
      </c>
      <c r="G185" s="341"/>
      <c r="H185" s="341">
        <v>3</v>
      </c>
      <c r="I185" s="341">
        <v>1</v>
      </c>
      <c r="J185" s="341">
        <v>1</v>
      </c>
      <c r="K185" s="341">
        <v>1</v>
      </c>
      <c r="L185" s="341">
        <v>3</v>
      </c>
      <c r="M185" s="341">
        <v>1</v>
      </c>
      <c r="N185" s="341">
        <v>1</v>
      </c>
      <c r="O185" s="341">
        <v>1</v>
      </c>
      <c r="P185" s="341">
        <v>3</v>
      </c>
      <c r="Q185" s="341">
        <v>1</v>
      </c>
      <c r="R185" s="341">
        <v>1</v>
      </c>
      <c r="S185" s="341">
        <v>1</v>
      </c>
      <c r="T185" s="341">
        <v>3</v>
      </c>
      <c r="U185" s="341">
        <v>1</v>
      </c>
      <c r="V185" s="341">
        <v>1</v>
      </c>
      <c r="W185" s="341">
        <v>1</v>
      </c>
      <c r="X185" s="329" t="s">
        <v>116</v>
      </c>
      <c r="Y185" s="361" t="s">
        <v>199</v>
      </c>
      <c r="Z185" s="329" t="s">
        <v>8</v>
      </c>
      <c r="AA185" s="329"/>
      <c r="AB185" s="345"/>
      <c r="AC185" s="339"/>
    </row>
    <row r="186" spans="1:29" ht="31.5" hidden="1">
      <c r="A186" s="329"/>
      <c r="B186" s="381" t="s">
        <v>733</v>
      </c>
      <c r="C186" s="341">
        <v>12</v>
      </c>
      <c r="D186" s="341" t="s">
        <v>657</v>
      </c>
      <c r="E186" s="341">
        <v>275</v>
      </c>
      <c r="F186" s="347">
        <v>3300</v>
      </c>
      <c r="G186" s="341"/>
      <c r="H186" s="341">
        <v>3</v>
      </c>
      <c r="I186" s="341">
        <v>1</v>
      </c>
      <c r="J186" s="341">
        <v>1</v>
      </c>
      <c r="K186" s="341">
        <v>1</v>
      </c>
      <c r="L186" s="341">
        <v>3</v>
      </c>
      <c r="M186" s="341">
        <v>1</v>
      </c>
      <c r="N186" s="341">
        <v>1</v>
      </c>
      <c r="O186" s="341">
        <v>1</v>
      </c>
      <c r="P186" s="341">
        <v>3</v>
      </c>
      <c r="Q186" s="341">
        <v>1</v>
      </c>
      <c r="R186" s="341">
        <v>1</v>
      </c>
      <c r="S186" s="341">
        <v>1</v>
      </c>
      <c r="T186" s="341">
        <v>3</v>
      </c>
      <c r="U186" s="341">
        <v>1</v>
      </c>
      <c r="V186" s="341">
        <v>1</v>
      </c>
      <c r="W186" s="341">
        <v>1</v>
      </c>
      <c r="X186" s="329" t="s">
        <v>116</v>
      </c>
      <c r="Y186" s="361" t="s">
        <v>210</v>
      </c>
      <c r="Z186" s="329" t="s">
        <v>8</v>
      </c>
      <c r="AA186" s="329"/>
      <c r="AB186" s="345"/>
      <c r="AC186" s="339"/>
    </row>
    <row r="187" spans="1:29" hidden="1">
      <c r="A187" s="329"/>
      <c r="B187" s="334" t="s">
        <v>734</v>
      </c>
      <c r="C187" s="341">
        <v>12</v>
      </c>
      <c r="D187" s="341" t="s">
        <v>657</v>
      </c>
      <c r="E187" s="341">
        <v>275</v>
      </c>
      <c r="F187" s="347">
        <v>3300</v>
      </c>
      <c r="G187" s="341"/>
      <c r="H187" s="341">
        <v>3</v>
      </c>
      <c r="I187" s="341">
        <v>1</v>
      </c>
      <c r="J187" s="341">
        <v>1</v>
      </c>
      <c r="K187" s="341">
        <v>1</v>
      </c>
      <c r="L187" s="341">
        <v>3</v>
      </c>
      <c r="M187" s="341">
        <v>1</v>
      </c>
      <c r="N187" s="341">
        <v>1</v>
      </c>
      <c r="O187" s="341">
        <v>1</v>
      </c>
      <c r="P187" s="341">
        <v>3</v>
      </c>
      <c r="Q187" s="341">
        <v>1</v>
      </c>
      <c r="R187" s="341">
        <v>1</v>
      </c>
      <c r="S187" s="341">
        <v>1</v>
      </c>
      <c r="T187" s="341">
        <v>3</v>
      </c>
      <c r="U187" s="341">
        <v>1</v>
      </c>
      <c r="V187" s="341">
        <v>1</v>
      </c>
      <c r="W187" s="341">
        <v>1</v>
      </c>
      <c r="X187" s="329" t="s">
        <v>116</v>
      </c>
      <c r="Y187" s="361" t="s">
        <v>211</v>
      </c>
      <c r="Z187" s="329" t="s">
        <v>8</v>
      </c>
      <c r="AA187" s="329"/>
      <c r="AB187" s="345"/>
      <c r="AC187" s="339"/>
    </row>
    <row r="188" spans="1:29" hidden="1">
      <c r="A188" s="329"/>
      <c r="B188" s="334" t="s">
        <v>735</v>
      </c>
      <c r="C188" s="341">
        <v>12</v>
      </c>
      <c r="D188" s="341" t="s">
        <v>657</v>
      </c>
      <c r="E188" s="341">
        <v>275</v>
      </c>
      <c r="F188" s="347">
        <v>3300</v>
      </c>
      <c r="G188" s="341"/>
      <c r="H188" s="341">
        <v>3</v>
      </c>
      <c r="I188" s="341">
        <v>1</v>
      </c>
      <c r="J188" s="341">
        <v>1</v>
      </c>
      <c r="K188" s="341">
        <v>1</v>
      </c>
      <c r="L188" s="341">
        <v>3</v>
      </c>
      <c r="M188" s="341">
        <v>1</v>
      </c>
      <c r="N188" s="341">
        <v>1</v>
      </c>
      <c r="O188" s="341">
        <v>1</v>
      </c>
      <c r="P188" s="341">
        <v>3</v>
      </c>
      <c r="Q188" s="341">
        <v>1</v>
      </c>
      <c r="R188" s="341">
        <v>1</v>
      </c>
      <c r="S188" s="341">
        <v>1</v>
      </c>
      <c r="T188" s="341">
        <v>3</v>
      </c>
      <c r="U188" s="341">
        <v>1</v>
      </c>
      <c r="V188" s="341">
        <v>1</v>
      </c>
      <c r="W188" s="341">
        <v>1</v>
      </c>
      <c r="X188" s="329" t="s">
        <v>116</v>
      </c>
      <c r="Y188" s="361" t="s">
        <v>209</v>
      </c>
      <c r="Z188" s="329" t="s">
        <v>8</v>
      </c>
      <c r="AA188" s="329"/>
      <c r="AB188" s="345"/>
      <c r="AC188" s="339"/>
    </row>
    <row r="189" spans="1:29" ht="31.5" hidden="1">
      <c r="A189" s="329"/>
      <c r="B189" s="370" t="s">
        <v>736</v>
      </c>
      <c r="C189" s="335">
        <v>12</v>
      </c>
      <c r="D189" s="341" t="s">
        <v>657</v>
      </c>
      <c r="E189" s="341">
        <v>275</v>
      </c>
      <c r="F189" s="347">
        <v>3300</v>
      </c>
      <c r="G189" s="341"/>
      <c r="H189" s="341">
        <v>3</v>
      </c>
      <c r="I189" s="341">
        <v>1</v>
      </c>
      <c r="J189" s="341">
        <v>1</v>
      </c>
      <c r="K189" s="341">
        <v>1</v>
      </c>
      <c r="L189" s="341">
        <v>3</v>
      </c>
      <c r="M189" s="341">
        <v>1</v>
      </c>
      <c r="N189" s="341">
        <v>1</v>
      </c>
      <c r="O189" s="341">
        <v>1</v>
      </c>
      <c r="P189" s="341">
        <v>3</v>
      </c>
      <c r="Q189" s="341">
        <v>1</v>
      </c>
      <c r="R189" s="341">
        <v>1</v>
      </c>
      <c r="S189" s="341">
        <v>1</v>
      </c>
      <c r="T189" s="341">
        <v>3</v>
      </c>
      <c r="U189" s="341">
        <v>1</v>
      </c>
      <c r="V189" s="341">
        <v>1</v>
      </c>
      <c r="W189" s="341">
        <v>1</v>
      </c>
      <c r="X189" s="329" t="s">
        <v>116</v>
      </c>
      <c r="Y189" s="369" t="str">
        <f>DB!$D$110</f>
        <v>HP Genuine Ink Refill - (GT53) Black</v>
      </c>
      <c r="Z189" s="329" t="s">
        <v>8</v>
      </c>
      <c r="AA189" s="329"/>
      <c r="AB189" s="345"/>
      <c r="AC189" s="339"/>
    </row>
    <row r="190" spans="1:29" ht="31.5" hidden="1">
      <c r="A190" s="329"/>
      <c r="B190" s="372" t="s">
        <v>737</v>
      </c>
      <c r="C190" s="335">
        <v>12</v>
      </c>
      <c r="D190" s="341" t="s">
        <v>657</v>
      </c>
      <c r="E190" s="341">
        <v>275</v>
      </c>
      <c r="F190" s="347">
        <v>3300</v>
      </c>
      <c r="G190" s="341"/>
      <c r="H190" s="341">
        <v>3</v>
      </c>
      <c r="I190" s="341">
        <v>1</v>
      </c>
      <c r="J190" s="341">
        <v>1</v>
      </c>
      <c r="K190" s="341">
        <v>1</v>
      </c>
      <c r="L190" s="341">
        <v>3</v>
      </c>
      <c r="M190" s="341">
        <v>1</v>
      </c>
      <c r="N190" s="341">
        <v>1</v>
      </c>
      <c r="O190" s="341">
        <v>1</v>
      </c>
      <c r="P190" s="341">
        <v>3</v>
      </c>
      <c r="Q190" s="341">
        <v>1</v>
      </c>
      <c r="R190" s="341">
        <v>1</v>
      </c>
      <c r="S190" s="341">
        <v>1</v>
      </c>
      <c r="T190" s="341">
        <v>3</v>
      </c>
      <c r="U190" s="341">
        <v>1</v>
      </c>
      <c r="V190" s="341">
        <v>1</v>
      </c>
      <c r="W190" s="341">
        <v>1</v>
      </c>
      <c r="X190" s="329" t="s">
        <v>116</v>
      </c>
      <c r="Y190" s="330" t="str">
        <f>DB!$D$111</f>
        <v>HP Genuine Ink Refill - (GT52) Magenta</v>
      </c>
      <c r="Z190" s="329" t="s">
        <v>8</v>
      </c>
      <c r="AA190" s="329"/>
      <c r="AB190" s="345"/>
      <c r="AC190" s="339"/>
    </row>
    <row r="191" spans="1:29" ht="31.5" hidden="1">
      <c r="A191" s="329"/>
      <c r="B191" s="396" t="s">
        <v>738</v>
      </c>
      <c r="C191" s="335">
        <v>12</v>
      </c>
      <c r="D191" s="341" t="s">
        <v>657</v>
      </c>
      <c r="E191" s="341">
        <v>275</v>
      </c>
      <c r="F191" s="347">
        <v>3300</v>
      </c>
      <c r="G191" s="341"/>
      <c r="H191" s="341">
        <v>3</v>
      </c>
      <c r="I191" s="341">
        <v>1</v>
      </c>
      <c r="J191" s="341">
        <v>1</v>
      </c>
      <c r="K191" s="341">
        <v>1</v>
      </c>
      <c r="L191" s="341">
        <v>3</v>
      </c>
      <c r="M191" s="341">
        <v>1</v>
      </c>
      <c r="N191" s="341">
        <v>1</v>
      </c>
      <c r="O191" s="341">
        <v>1</v>
      </c>
      <c r="P191" s="341">
        <v>3</v>
      </c>
      <c r="Q191" s="341">
        <v>1</v>
      </c>
      <c r="R191" s="341">
        <v>1</v>
      </c>
      <c r="S191" s="341">
        <v>1</v>
      </c>
      <c r="T191" s="341">
        <v>3</v>
      </c>
      <c r="U191" s="341">
        <v>1</v>
      </c>
      <c r="V191" s="341">
        <v>1</v>
      </c>
      <c r="W191" s="341">
        <v>1</v>
      </c>
      <c r="X191" s="329" t="s">
        <v>116</v>
      </c>
      <c r="Y191" s="330" t="str">
        <f>DB!$D$112</f>
        <v>HP Genuine Ink Refill - (GT52) Cyan</v>
      </c>
      <c r="Z191" s="329" t="s">
        <v>8</v>
      </c>
      <c r="AA191" s="329"/>
      <c r="AB191" s="345"/>
      <c r="AC191" s="339"/>
    </row>
    <row r="192" spans="1:29" ht="31.5" hidden="1">
      <c r="A192" s="329"/>
      <c r="B192" s="372" t="s">
        <v>739</v>
      </c>
      <c r="C192" s="335">
        <v>12</v>
      </c>
      <c r="D192" s="341" t="s">
        <v>657</v>
      </c>
      <c r="E192" s="341">
        <v>275</v>
      </c>
      <c r="F192" s="347">
        <v>3300</v>
      </c>
      <c r="G192" s="341"/>
      <c r="H192" s="341">
        <v>3</v>
      </c>
      <c r="I192" s="341">
        <v>1</v>
      </c>
      <c r="J192" s="341">
        <v>1</v>
      </c>
      <c r="K192" s="341">
        <v>1</v>
      </c>
      <c r="L192" s="341">
        <v>3</v>
      </c>
      <c r="M192" s="341">
        <v>1</v>
      </c>
      <c r="N192" s="341">
        <v>1</v>
      </c>
      <c r="O192" s="341">
        <v>1</v>
      </c>
      <c r="P192" s="341">
        <v>3</v>
      </c>
      <c r="Q192" s="341">
        <v>1</v>
      </c>
      <c r="R192" s="341">
        <v>1</v>
      </c>
      <c r="S192" s="341">
        <v>1</v>
      </c>
      <c r="T192" s="341">
        <v>3</v>
      </c>
      <c r="U192" s="341">
        <v>1</v>
      </c>
      <c r="V192" s="341">
        <v>1</v>
      </c>
      <c r="W192" s="341">
        <v>1</v>
      </c>
      <c r="X192" s="329" t="s">
        <v>116</v>
      </c>
      <c r="Y192" s="330" t="str">
        <f>DB!$D$113</f>
        <v>HP Genuine Ink Refill - (GT52) Yellow</v>
      </c>
      <c r="Z192" s="329" t="s">
        <v>8</v>
      </c>
      <c r="AA192" s="329"/>
      <c r="AB192" s="345"/>
      <c r="AC192" s="339"/>
    </row>
    <row r="193" spans="1:29" hidden="1">
      <c r="A193" s="329"/>
      <c r="B193" s="372" t="s">
        <v>740</v>
      </c>
      <c r="C193" s="335">
        <v>2</v>
      </c>
      <c r="D193" s="341" t="s">
        <v>657</v>
      </c>
      <c r="E193" s="347">
        <v>8359.52</v>
      </c>
      <c r="F193" s="347">
        <v>16719.04</v>
      </c>
      <c r="G193" s="341"/>
      <c r="H193" s="341">
        <v>1</v>
      </c>
      <c r="I193" s="341">
        <v>1</v>
      </c>
      <c r="J193" s="341"/>
      <c r="K193" s="341"/>
      <c r="L193" s="341">
        <v>1</v>
      </c>
      <c r="M193" s="341">
        <v>1</v>
      </c>
      <c r="N193" s="341"/>
      <c r="O193" s="341"/>
      <c r="P193" s="341">
        <v>0</v>
      </c>
      <c r="Q193" s="341"/>
      <c r="R193" s="341"/>
      <c r="S193" s="341"/>
      <c r="T193" s="341">
        <v>0</v>
      </c>
      <c r="U193" s="341"/>
      <c r="V193" s="341"/>
      <c r="W193" s="341"/>
      <c r="X193" s="329" t="s">
        <v>116</v>
      </c>
      <c r="Y193" s="369" t="str">
        <f>DB!D93</f>
        <v>HP Toner CF280XC</v>
      </c>
      <c r="Z193" s="329" t="s">
        <v>8</v>
      </c>
      <c r="AA193" s="329"/>
      <c r="AB193" s="345"/>
      <c r="AC193" s="339"/>
    </row>
    <row r="194" spans="1:29" ht="47.25" hidden="1">
      <c r="A194" s="329"/>
      <c r="B194" s="372" t="s">
        <v>3019</v>
      </c>
      <c r="C194" s="335">
        <v>24</v>
      </c>
      <c r="D194" s="341" t="s">
        <v>103</v>
      </c>
      <c r="E194" s="347">
        <v>1500</v>
      </c>
      <c r="F194" s="347">
        <v>36000</v>
      </c>
      <c r="G194" s="341"/>
      <c r="H194" s="341">
        <v>6</v>
      </c>
      <c r="I194" s="341">
        <v>2</v>
      </c>
      <c r="J194" s="341">
        <v>2</v>
      </c>
      <c r="K194" s="341">
        <v>2</v>
      </c>
      <c r="L194" s="341">
        <v>6</v>
      </c>
      <c r="M194" s="341">
        <v>2</v>
      </c>
      <c r="N194" s="341">
        <v>2</v>
      </c>
      <c r="O194" s="341">
        <v>2</v>
      </c>
      <c r="P194" s="341">
        <v>6</v>
      </c>
      <c r="Q194" s="341">
        <v>2</v>
      </c>
      <c r="R194" s="341">
        <v>2</v>
      </c>
      <c r="S194" s="341">
        <v>2</v>
      </c>
      <c r="T194" s="341">
        <v>0</v>
      </c>
      <c r="U194" s="341"/>
      <c r="V194" s="341"/>
      <c r="W194" s="341"/>
      <c r="X194" s="329" t="s">
        <v>116</v>
      </c>
      <c r="Y194" s="369" t="str">
        <f>DB!D92</f>
        <v>Black High Yield Toner Cartridge compatible with HP LaserJet Pro MFP M426fdn</v>
      </c>
      <c r="Z194" s="329" t="s">
        <v>8</v>
      </c>
      <c r="AA194" s="329"/>
      <c r="AB194" s="345"/>
      <c r="AC194" s="339"/>
    </row>
    <row r="195" spans="1:29" hidden="1">
      <c r="A195" s="329"/>
      <c r="B195" s="338" t="s">
        <v>741</v>
      </c>
      <c r="C195" s="341">
        <v>15</v>
      </c>
      <c r="D195" s="341" t="s">
        <v>103</v>
      </c>
      <c r="E195" s="348">
        <v>8800</v>
      </c>
      <c r="F195" s="347">
        <v>132000</v>
      </c>
      <c r="G195" s="341"/>
      <c r="H195" s="341">
        <v>4</v>
      </c>
      <c r="I195" s="341">
        <v>2</v>
      </c>
      <c r="J195" s="341">
        <v>1</v>
      </c>
      <c r="K195" s="341">
        <v>1</v>
      </c>
      <c r="L195" s="341">
        <v>4</v>
      </c>
      <c r="M195" s="341">
        <v>2</v>
      </c>
      <c r="N195" s="341">
        <v>1</v>
      </c>
      <c r="O195" s="341">
        <v>1</v>
      </c>
      <c r="P195" s="341">
        <v>4</v>
      </c>
      <c r="Q195" s="341">
        <v>2</v>
      </c>
      <c r="R195" s="341">
        <v>1</v>
      </c>
      <c r="S195" s="341">
        <v>1</v>
      </c>
      <c r="T195" s="341">
        <v>3</v>
      </c>
      <c r="U195" s="341">
        <v>1</v>
      </c>
      <c r="V195" s="341">
        <v>1</v>
      </c>
      <c r="W195" s="341">
        <v>1</v>
      </c>
      <c r="X195" s="329" t="s">
        <v>116</v>
      </c>
      <c r="Y195" s="330"/>
      <c r="Z195" s="329" t="s">
        <v>2952</v>
      </c>
      <c r="AA195" s="329"/>
      <c r="AB195" s="345"/>
      <c r="AC195" s="339"/>
    </row>
    <row r="196" spans="1:29" hidden="1">
      <c r="A196" s="329"/>
      <c r="B196" s="334" t="s">
        <v>742</v>
      </c>
      <c r="C196" s="341">
        <v>2</v>
      </c>
      <c r="D196" s="341" t="s">
        <v>103</v>
      </c>
      <c r="E196" s="348">
        <v>35200</v>
      </c>
      <c r="F196" s="347">
        <v>70400</v>
      </c>
      <c r="G196" s="341"/>
      <c r="H196" s="341">
        <v>1</v>
      </c>
      <c r="I196" s="341">
        <v>1</v>
      </c>
      <c r="J196" s="341"/>
      <c r="K196" s="341"/>
      <c r="L196" s="341">
        <v>1</v>
      </c>
      <c r="M196" s="341">
        <v>1</v>
      </c>
      <c r="N196" s="341"/>
      <c r="O196" s="341"/>
      <c r="P196" s="341">
        <v>0</v>
      </c>
      <c r="Q196" s="341"/>
      <c r="R196" s="341"/>
      <c r="S196" s="341"/>
      <c r="T196" s="341">
        <v>0</v>
      </c>
      <c r="U196" s="341"/>
      <c r="V196" s="341"/>
      <c r="W196" s="341"/>
      <c r="X196" s="329" t="s">
        <v>116</v>
      </c>
      <c r="Y196" s="330"/>
      <c r="Z196" s="329" t="s">
        <v>2952</v>
      </c>
      <c r="AA196" s="329"/>
      <c r="AB196" s="345"/>
      <c r="AC196" s="339"/>
    </row>
    <row r="197" spans="1:29" hidden="1">
      <c r="A197" s="329"/>
      <c r="B197" s="334" t="s">
        <v>743</v>
      </c>
      <c r="C197" s="341">
        <v>15</v>
      </c>
      <c r="D197" s="341" t="s">
        <v>103</v>
      </c>
      <c r="E197" s="348">
        <v>8800</v>
      </c>
      <c r="F197" s="347">
        <v>132000</v>
      </c>
      <c r="G197" s="341"/>
      <c r="H197" s="341">
        <v>4</v>
      </c>
      <c r="I197" s="341">
        <v>2</v>
      </c>
      <c r="J197" s="341">
        <v>1</v>
      </c>
      <c r="K197" s="341">
        <v>1</v>
      </c>
      <c r="L197" s="341">
        <v>4</v>
      </c>
      <c r="M197" s="341">
        <v>2</v>
      </c>
      <c r="N197" s="341">
        <v>1</v>
      </c>
      <c r="O197" s="341">
        <v>1</v>
      </c>
      <c r="P197" s="341">
        <v>4</v>
      </c>
      <c r="Q197" s="341">
        <v>2</v>
      </c>
      <c r="R197" s="341">
        <v>1</v>
      </c>
      <c r="S197" s="341">
        <v>1</v>
      </c>
      <c r="T197" s="341">
        <v>3</v>
      </c>
      <c r="U197" s="341">
        <v>1</v>
      </c>
      <c r="V197" s="341">
        <v>1</v>
      </c>
      <c r="W197" s="341">
        <v>1</v>
      </c>
      <c r="X197" s="329" t="s">
        <v>116</v>
      </c>
      <c r="Y197" s="330"/>
      <c r="Z197" s="329" t="s">
        <v>2952</v>
      </c>
      <c r="AA197" s="329"/>
      <c r="AB197" s="345"/>
      <c r="AC197" s="339"/>
    </row>
    <row r="198" spans="1:29" hidden="1">
      <c r="A198" s="329"/>
      <c r="B198" s="334" t="s">
        <v>744</v>
      </c>
      <c r="C198" s="341">
        <v>2</v>
      </c>
      <c r="D198" s="341" t="s">
        <v>103</v>
      </c>
      <c r="E198" s="348">
        <v>35200</v>
      </c>
      <c r="F198" s="347">
        <v>70400</v>
      </c>
      <c r="G198" s="341"/>
      <c r="H198" s="341">
        <v>1</v>
      </c>
      <c r="I198" s="341">
        <v>1</v>
      </c>
      <c r="J198" s="341"/>
      <c r="K198" s="341"/>
      <c r="L198" s="341">
        <v>1</v>
      </c>
      <c r="M198" s="341">
        <v>1</v>
      </c>
      <c r="N198" s="341"/>
      <c r="O198" s="341"/>
      <c r="P198" s="341">
        <v>0</v>
      </c>
      <c r="Q198" s="341"/>
      <c r="R198" s="341"/>
      <c r="S198" s="341"/>
      <c r="T198" s="341">
        <v>0</v>
      </c>
      <c r="U198" s="341"/>
      <c r="V198" s="341"/>
      <c r="W198" s="341"/>
      <c r="X198" s="329" t="s">
        <v>116</v>
      </c>
      <c r="Y198" s="330"/>
      <c r="Z198" s="329" t="s">
        <v>2952</v>
      </c>
      <c r="AA198" s="329"/>
      <c r="AB198" s="345"/>
      <c r="AC198" s="339"/>
    </row>
    <row r="199" spans="1:29" ht="47.25" hidden="1">
      <c r="A199" s="329"/>
      <c r="B199" s="334" t="s">
        <v>746</v>
      </c>
      <c r="C199" s="341">
        <v>5</v>
      </c>
      <c r="D199" s="354" t="s">
        <v>103</v>
      </c>
      <c r="E199" s="348">
        <v>8500</v>
      </c>
      <c r="F199" s="347">
        <v>42500</v>
      </c>
      <c r="G199" s="341"/>
      <c r="H199" s="341">
        <v>2</v>
      </c>
      <c r="I199" s="341">
        <v>2</v>
      </c>
      <c r="J199" s="341"/>
      <c r="K199" s="341"/>
      <c r="L199" s="341">
        <v>2</v>
      </c>
      <c r="M199" s="341">
        <v>2</v>
      </c>
      <c r="N199" s="341"/>
      <c r="O199" s="341"/>
      <c r="P199" s="341">
        <v>1</v>
      </c>
      <c r="Q199" s="341">
        <v>1</v>
      </c>
      <c r="R199" s="341"/>
      <c r="S199" s="341"/>
      <c r="T199" s="341">
        <v>0</v>
      </c>
      <c r="U199" s="341"/>
      <c r="V199" s="341"/>
      <c r="W199" s="341"/>
      <c r="X199" s="329" t="s">
        <v>116</v>
      </c>
      <c r="Y199" s="330"/>
      <c r="Z199" s="329" t="s">
        <v>2962</v>
      </c>
      <c r="AA199" s="329"/>
      <c r="AB199" s="345"/>
      <c r="AC199" s="339"/>
    </row>
    <row r="200" spans="1:29">
      <c r="A200" s="329"/>
      <c r="B200" s="334" t="s">
        <v>747</v>
      </c>
      <c r="C200" s="341">
        <v>2</v>
      </c>
      <c r="D200" s="397" t="s">
        <v>103</v>
      </c>
      <c r="E200" s="373"/>
      <c r="F200" s="341"/>
      <c r="G200" s="341"/>
      <c r="H200" s="341">
        <v>2</v>
      </c>
      <c r="I200" s="341">
        <v>2</v>
      </c>
      <c r="J200" s="341"/>
      <c r="K200" s="341"/>
      <c r="L200" s="341">
        <v>0</v>
      </c>
      <c r="M200" s="341"/>
      <c r="N200" s="341"/>
      <c r="O200" s="341"/>
      <c r="P200" s="341">
        <v>0</v>
      </c>
      <c r="Q200" s="341"/>
      <c r="R200" s="341"/>
      <c r="S200" s="341"/>
      <c r="T200" s="341">
        <v>0</v>
      </c>
      <c r="U200" s="341"/>
      <c r="V200" s="341"/>
      <c r="W200" s="341"/>
      <c r="X200" s="329" t="s">
        <v>116</v>
      </c>
      <c r="Y200" s="330" t="str">
        <f>DB!$D$194</f>
        <v>Branded Desktop Computer Set</v>
      </c>
      <c r="Z200" s="329" t="s">
        <v>2964</v>
      </c>
      <c r="AA200" s="329"/>
      <c r="AB200" s="345"/>
      <c r="AC200" s="339"/>
    </row>
    <row r="201" spans="1:29" hidden="1">
      <c r="A201" s="329"/>
      <c r="B201" s="334" t="s">
        <v>748</v>
      </c>
      <c r="C201" s="341">
        <v>1</v>
      </c>
      <c r="D201" s="343" t="s">
        <v>103</v>
      </c>
      <c r="E201" s="373" t="s">
        <v>3020</v>
      </c>
      <c r="F201" s="341" t="s">
        <v>3020</v>
      </c>
      <c r="G201" s="341"/>
      <c r="H201" s="341">
        <v>1</v>
      </c>
      <c r="I201" s="341">
        <v>1</v>
      </c>
      <c r="J201" s="341"/>
      <c r="K201" s="341"/>
      <c r="L201" s="341">
        <v>0</v>
      </c>
      <c r="M201" s="341"/>
      <c r="N201" s="341"/>
      <c r="O201" s="341"/>
      <c r="P201" s="341">
        <v>0</v>
      </c>
      <c r="Q201" s="341"/>
      <c r="R201" s="341"/>
      <c r="S201" s="341"/>
      <c r="T201" s="341">
        <v>0</v>
      </c>
      <c r="U201" s="341"/>
      <c r="V201" s="341"/>
      <c r="W201" s="341"/>
      <c r="X201" s="329" t="s">
        <v>116</v>
      </c>
      <c r="Y201" s="330" t="str">
        <f>DB!$D$192</f>
        <v>LCD Signature Pad</v>
      </c>
      <c r="Z201" s="329" t="s">
        <v>8</v>
      </c>
      <c r="AA201" s="329"/>
      <c r="AB201" s="345"/>
      <c r="AC201" s="339"/>
    </row>
    <row r="202" spans="1:29" hidden="1">
      <c r="A202" s="329"/>
      <c r="B202" s="334" t="s">
        <v>749</v>
      </c>
      <c r="C202" s="341">
        <v>2</v>
      </c>
      <c r="D202" s="341" t="s">
        <v>103</v>
      </c>
      <c r="E202" s="348">
        <v>5000</v>
      </c>
      <c r="F202" s="347">
        <v>10000</v>
      </c>
      <c r="G202" s="341"/>
      <c r="H202" s="341">
        <v>2</v>
      </c>
      <c r="I202" s="341">
        <v>2</v>
      </c>
      <c r="J202" s="341"/>
      <c r="K202" s="341"/>
      <c r="L202" s="341">
        <v>0</v>
      </c>
      <c r="M202" s="341"/>
      <c r="N202" s="341"/>
      <c r="O202" s="341"/>
      <c r="P202" s="341">
        <v>0</v>
      </c>
      <c r="Q202" s="341"/>
      <c r="R202" s="341"/>
      <c r="S202" s="341"/>
      <c r="T202" s="341">
        <v>0</v>
      </c>
      <c r="U202" s="341"/>
      <c r="V202" s="341"/>
      <c r="W202" s="341"/>
      <c r="X202" s="329" t="s">
        <v>116</v>
      </c>
      <c r="Y202" s="330"/>
      <c r="Z202" s="329" t="s">
        <v>11</v>
      </c>
      <c r="AA202" s="329"/>
      <c r="AB202" s="345"/>
      <c r="AC202" s="339"/>
    </row>
    <row r="203" spans="1:29" hidden="1">
      <c r="A203" s="329"/>
      <c r="B203" s="353" t="s">
        <v>750</v>
      </c>
      <c r="C203" s="354">
        <v>5</v>
      </c>
      <c r="D203" s="354" t="s">
        <v>103</v>
      </c>
      <c r="E203" s="398">
        <v>600</v>
      </c>
      <c r="F203" s="355">
        <v>3000</v>
      </c>
      <c r="G203" s="354"/>
      <c r="H203" s="354">
        <v>5</v>
      </c>
      <c r="I203" s="354">
        <v>5</v>
      </c>
      <c r="J203" s="354"/>
      <c r="K203" s="354"/>
      <c r="L203" s="354">
        <v>0</v>
      </c>
      <c r="M203" s="354"/>
      <c r="N203" s="354"/>
      <c r="O203" s="354"/>
      <c r="P203" s="354">
        <v>0</v>
      </c>
      <c r="Q203" s="354"/>
      <c r="R203" s="354"/>
      <c r="S203" s="354"/>
      <c r="T203" s="354">
        <v>0</v>
      </c>
      <c r="U203" s="354"/>
      <c r="V203" s="354"/>
      <c r="W203" s="354"/>
      <c r="X203" s="329" t="s">
        <v>116</v>
      </c>
      <c r="Y203" s="330"/>
      <c r="Z203" s="329" t="s">
        <v>11</v>
      </c>
      <c r="AA203" s="329"/>
      <c r="AB203" s="345"/>
      <c r="AC203" s="339"/>
    </row>
    <row r="204" spans="1:29" hidden="1">
      <c r="A204" s="329"/>
      <c r="B204" s="338" t="s">
        <v>234</v>
      </c>
      <c r="C204" s="340">
        <v>1</v>
      </c>
      <c r="D204" s="335" t="s">
        <v>103</v>
      </c>
      <c r="E204" s="341">
        <v>480</v>
      </c>
      <c r="F204" s="343">
        <v>480</v>
      </c>
      <c r="G204" s="343" t="s">
        <v>342</v>
      </c>
      <c r="H204" s="343">
        <v>1</v>
      </c>
      <c r="I204" s="340">
        <v>1</v>
      </c>
      <c r="J204" s="344"/>
      <c r="K204" s="344"/>
      <c r="L204" s="337">
        <v>0</v>
      </c>
      <c r="M204" s="340"/>
      <c r="N204" s="344"/>
      <c r="O204" s="344"/>
      <c r="P204" s="337">
        <v>0</v>
      </c>
      <c r="Q204" s="340"/>
      <c r="R204" s="344"/>
      <c r="S204" s="344"/>
      <c r="T204" s="337">
        <v>0</v>
      </c>
      <c r="U204" s="343"/>
      <c r="V204" s="343"/>
      <c r="W204" s="343"/>
      <c r="X204" s="329" t="s">
        <v>172</v>
      </c>
      <c r="Y204" s="336" t="str">
        <f>DB!$D$168</f>
        <v>Keyboard, Full Size, USB 2.0</v>
      </c>
      <c r="Z204" s="329" t="s">
        <v>2946</v>
      </c>
      <c r="AA204" s="329"/>
      <c r="AB204" s="345"/>
      <c r="AC204" s="339"/>
    </row>
    <row r="205" spans="1:29" hidden="1">
      <c r="A205" s="329"/>
      <c r="B205" s="334" t="s">
        <v>465</v>
      </c>
      <c r="C205" s="340">
        <v>1</v>
      </c>
      <c r="D205" s="335" t="s">
        <v>466</v>
      </c>
      <c r="E205" s="341">
        <v>149.76</v>
      </c>
      <c r="F205" s="341">
        <v>149.76</v>
      </c>
      <c r="G205" s="341" t="s">
        <v>342</v>
      </c>
      <c r="H205" s="341">
        <v>1</v>
      </c>
      <c r="I205" s="340">
        <v>1</v>
      </c>
      <c r="J205" s="344"/>
      <c r="K205" s="344"/>
      <c r="L205" s="335">
        <v>0</v>
      </c>
      <c r="M205" s="340"/>
      <c r="N205" s="344"/>
      <c r="O205" s="344"/>
      <c r="P205" s="335">
        <v>0</v>
      </c>
      <c r="Q205" s="340"/>
      <c r="R205" s="344"/>
      <c r="S205" s="344"/>
      <c r="T205" s="335">
        <v>0</v>
      </c>
      <c r="U205" s="341"/>
      <c r="V205" s="341"/>
      <c r="W205" s="341"/>
      <c r="X205" s="329" t="s">
        <v>172</v>
      </c>
      <c r="Y205" s="346" t="str">
        <f>DB!$D$169</f>
        <v>Mouse, Optical, USB 2.0</v>
      </c>
      <c r="Z205" s="329" t="s">
        <v>2946</v>
      </c>
      <c r="AA205" s="329"/>
      <c r="AB205" s="345"/>
      <c r="AC205" s="339"/>
    </row>
    <row r="206" spans="1:29" hidden="1">
      <c r="A206" s="329"/>
      <c r="B206" s="334" t="s">
        <v>474</v>
      </c>
      <c r="C206" s="341">
        <v>5</v>
      </c>
      <c r="D206" s="341" t="s">
        <v>103</v>
      </c>
      <c r="E206" s="341">
        <v>500</v>
      </c>
      <c r="F206" s="347">
        <v>2500</v>
      </c>
      <c r="G206" s="341" t="s">
        <v>342</v>
      </c>
      <c r="H206" s="341">
        <v>2</v>
      </c>
      <c r="I206" s="341">
        <v>1</v>
      </c>
      <c r="J206" s="341"/>
      <c r="K206" s="341">
        <v>1</v>
      </c>
      <c r="L206" s="341">
        <v>1</v>
      </c>
      <c r="M206" s="341">
        <v>1</v>
      </c>
      <c r="N206" s="341"/>
      <c r="O206" s="341"/>
      <c r="P206" s="341">
        <v>1</v>
      </c>
      <c r="Q206" s="341">
        <v>1</v>
      </c>
      <c r="R206" s="341"/>
      <c r="S206" s="340"/>
      <c r="T206" s="335">
        <v>1</v>
      </c>
      <c r="U206" s="341">
        <v>1</v>
      </c>
      <c r="V206" s="341"/>
      <c r="W206" s="341"/>
      <c r="X206" s="329" t="s">
        <v>172</v>
      </c>
      <c r="Y206" s="330"/>
      <c r="Z206" s="329" t="s">
        <v>2946</v>
      </c>
      <c r="AA206" s="329"/>
      <c r="AB206" s="345"/>
      <c r="AC206" s="339"/>
    </row>
    <row r="207" spans="1:29">
      <c r="A207" s="329"/>
      <c r="B207" s="380" t="s">
        <v>467</v>
      </c>
      <c r="C207" s="343">
        <v>1</v>
      </c>
      <c r="D207" s="343" t="s">
        <v>103</v>
      </c>
      <c r="E207" s="399">
        <v>60000</v>
      </c>
      <c r="F207" s="376">
        <v>60000</v>
      </c>
      <c r="G207" s="343" t="s">
        <v>342</v>
      </c>
      <c r="H207" s="335">
        <v>1</v>
      </c>
      <c r="I207" s="341">
        <v>1</v>
      </c>
      <c r="J207" s="341"/>
      <c r="K207" s="341"/>
      <c r="L207" s="341"/>
      <c r="M207" s="341"/>
      <c r="N207" s="341"/>
      <c r="O207" s="341"/>
      <c r="P207" s="341"/>
      <c r="Q207" s="341"/>
      <c r="R207" s="341"/>
      <c r="S207" s="340"/>
      <c r="T207" s="335"/>
      <c r="U207" s="341"/>
      <c r="V207" s="341"/>
      <c r="W207" s="341"/>
      <c r="X207" s="329" t="s">
        <v>172</v>
      </c>
      <c r="Y207" s="330" t="str">
        <f>DB!$D$194</f>
        <v>Branded Desktop Computer Set</v>
      </c>
      <c r="Z207" s="329" t="s">
        <v>2964</v>
      </c>
      <c r="AA207" s="329"/>
      <c r="AB207" s="345"/>
      <c r="AC207" s="339"/>
    </row>
    <row r="208" spans="1:29" hidden="1">
      <c r="A208" s="329"/>
      <c r="B208" s="400" t="s">
        <v>468</v>
      </c>
      <c r="C208" s="335">
        <v>1</v>
      </c>
      <c r="D208" s="341" t="s">
        <v>103</v>
      </c>
      <c r="E208" s="401">
        <v>15000</v>
      </c>
      <c r="F208" s="402">
        <v>15000</v>
      </c>
      <c r="G208" s="341" t="s">
        <v>342</v>
      </c>
      <c r="H208" s="335">
        <v>1</v>
      </c>
      <c r="I208" s="341">
        <v>1</v>
      </c>
      <c r="J208" s="341"/>
      <c r="K208" s="341"/>
      <c r="L208" s="341"/>
      <c r="M208" s="341"/>
      <c r="N208" s="341"/>
      <c r="O208" s="341"/>
      <c r="P208" s="341"/>
      <c r="Q208" s="341"/>
      <c r="R208" s="341"/>
      <c r="S208" s="340"/>
      <c r="T208" s="335"/>
      <c r="U208" s="341"/>
      <c r="V208" s="341"/>
      <c r="W208" s="341"/>
      <c r="X208" s="329" t="s">
        <v>172</v>
      </c>
      <c r="Y208" s="330"/>
      <c r="Z208" s="329" t="s">
        <v>2962</v>
      </c>
      <c r="AA208" s="329"/>
      <c r="AB208" s="345"/>
      <c r="AC208" s="339"/>
    </row>
    <row r="209" spans="1:29" hidden="1">
      <c r="A209" s="329"/>
      <c r="B209" s="338" t="s">
        <v>3021</v>
      </c>
      <c r="C209" s="343">
        <v>1</v>
      </c>
      <c r="D209" s="341" t="s">
        <v>103</v>
      </c>
      <c r="E209" s="342">
        <v>60000</v>
      </c>
      <c r="F209" s="342">
        <v>60000</v>
      </c>
      <c r="G209" s="343" t="s">
        <v>342</v>
      </c>
      <c r="H209" s="341">
        <v>1</v>
      </c>
      <c r="I209" s="341">
        <v>1</v>
      </c>
      <c r="J209" s="341"/>
      <c r="K209" s="341"/>
      <c r="L209" s="341">
        <v>0</v>
      </c>
      <c r="M209" s="341"/>
      <c r="N209" s="341"/>
      <c r="O209" s="341"/>
      <c r="P209" s="341">
        <v>0</v>
      </c>
      <c r="Q209" s="341"/>
      <c r="R209" s="341"/>
      <c r="S209" s="340"/>
      <c r="T209" s="335">
        <v>0</v>
      </c>
      <c r="U209" s="341"/>
      <c r="V209" s="341"/>
      <c r="W209" s="341"/>
      <c r="X209" s="329" t="s">
        <v>172</v>
      </c>
      <c r="Y209" s="330"/>
      <c r="Z209" s="329" t="s">
        <v>2950</v>
      </c>
      <c r="AA209" s="329"/>
      <c r="AB209" s="345"/>
      <c r="AC209" s="339"/>
    </row>
    <row r="210" spans="1:29" hidden="1">
      <c r="A210" s="329"/>
      <c r="B210" s="334" t="s">
        <v>3022</v>
      </c>
      <c r="C210" s="341">
        <v>2</v>
      </c>
      <c r="D210" s="341" t="s">
        <v>103</v>
      </c>
      <c r="E210" s="347">
        <v>35000</v>
      </c>
      <c r="F210" s="347">
        <v>70000</v>
      </c>
      <c r="G210" s="341" t="s">
        <v>342</v>
      </c>
      <c r="H210" s="341">
        <v>2</v>
      </c>
      <c r="I210" s="341">
        <v>2</v>
      </c>
      <c r="J210" s="341"/>
      <c r="K210" s="341"/>
      <c r="L210" s="341">
        <v>0</v>
      </c>
      <c r="M210" s="341"/>
      <c r="N210" s="341"/>
      <c r="O210" s="341"/>
      <c r="P210" s="341">
        <v>0</v>
      </c>
      <c r="Q210" s="341"/>
      <c r="R210" s="341"/>
      <c r="S210" s="340"/>
      <c r="T210" s="335">
        <v>0</v>
      </c>
      <c r="U210" s="341"/>
      <c r="V210" s="341"/>
      <c r="W210" s="341"/>
      <c r="X210" s="329" t="s">
        <v>172</v>
      </c>
      <c r="Y210" s="330" t="str">
        <f>DB!D73</f>
        <v>Webcam Professional Full HD</v>
      </c>
      <c r="Z210" s="329" t="s">
        <v>8</v>
      </c>
      <c r="AA210" s="329"/>
      <c r="AB210" s="345"/>
      <c r="AC210" s="339"/>
    </row>
    <row r="211" spans="1:29" hidden="1">
      <c r="A211" s="329"/>
      <c r="B211" s="334" t="s">
        <v>3023</v>
      </c>
      <c r="C211" s="341">
        <v>1</v>
      </c>
      <c r="D211" s="341" t="s">
        <v>103</v>
      </c>
      <c r="E211" s="347">
        <v>5000</v>
      </c>
      <c r="F211" s="347">
        <v>5000</v>
      </c>
      <c r="G211" s="341" t="s">
        <v>342</v>
      </c>
      <c r="H211" s="341">
        <v>1</v>
      </c>
      <c r="I211" s="341">
        <v>1</v>
      </c>
      <c r="J211" s="341"/>
      <c r="K211" s="341"/>
      <c r="L211" s="341">
        <v>0</v>
      </c>
      <c r="M211" s="341"/>
      <c r="N211" s="341"/>
      <c r="O211" s="341"/>
      <c r="P211" s="341">
        <v>0</v>
      </c>
      <c r="Q211" s="341"/>
      <c r="R211" s="341"/>
      <c r="S211" s="340"/>
      <c r="T211" s="335">
        <v>0</v>
      </c>
      <c r="U211" s="341"/>
      <c r="V211" s="341"/>
      <c r="W211" s="341"/>
      <c r="X211" s="329" t="s">
        <v>172</v>
      </c>
      <c r="Y211" s="330"/>
      <c r="Z211" s="329" t="s">
        <v>11</v>
      </c>
      <c r="AA211" s="329"/>
      <c r="AB211" s="345"/>
      <c r="AC211" s="339"/>
    </row>
    <row r="212" spans="1:29" hidden="1">
      <c r="A212" s="329"/>
      <c r="B212" s="334" t="s">
        <v>3024</v>
      </c>
      <c r="C212" s="341">
        <v>1</v>
      </c>
      <c r="D212" s="341" t="s">
        <v>103</v>
      </c>
      <c r="E212" s="347">
        <v>5000</v>
      </c>
      <c r="F212" s="347">
        <v>5000</v>
      </c>
      <c r="G212" s="341" t="s">
        <v>342</v>
      </c>
      <c r="H212" s="341">
        <v>1</v>
      </c>
      <c r="I212" s="341">
        <v>1</v>
      </c>
      <c r="J212" s="341"/>
      <c r="K212" s="341"/>
      <c r="L212" s="341">
        <v>0</v>
      </c>
      <c r="M212" s="341"/>
      <c r="N212" s="341"/>
      <c r="O212" s="341"/>
      <c r="P212" s="341">
        <v>0</v>
      </c>
      <c r="Q212" s="341"/>
      <c r="R212" s="341"/>
      <c r="S212" s="340"/>
      <c r="T212" s="335">
        <v>0</v>
      </c>
      <c r="U212" s="341"/>
      <c r="V212" s="341"/>
      <c r="W212" s="341"/>
      <c r="X212" s="329" t="s">
        <v>172</v>
      </c>
      <c r="Y212" s="330"/>
      <c r="Z212" s="329" t="s">
        <v>11</v>
      </c>
      <c r="AA212" s="329"/>
      <c r="AB212" s="345"/>
      <c r="AC212" s="339"/>
    </row>
    <row r="213" spans="1:29" hidden="1">
      <c r="A213" s="329"/>
      <c r="B213" s="334" t="s">
        <v>3025</v>
      </c>
      <c r="C213" s="341">
        <v>1</v>
      </c>
      <c r="D213" s="341" t="s">
        <v>103</v>
      </c>
      <c r="E213" s="341">
        <v>500</v>
      </c>
      <c r="F213" s="341">
        <v>500</v>
      </c>
      <c r="G213" s="341" t="s">
        <v>342</v>
      </c>
      <c r="H213" s="341">
        <v>1</v>
      </c>
      <c r="I213" s="341">
        <v>1</v>
      </c>
      <c r="J213" s="341"/>
      <c r="K213" s="341"/>
      <c r="L213" s="341">
        <v>0</v>
      </c>
      <c r="M213" s="341"/>
      <c r="N213" s="341"/>
      <c r="O213" s="341"/>
      <c r="P213" s="341">
        <v>0</v>
      </c>
      <c r="Q213" s="341"/>
      <c r="R213" s="341"/>
      <c r="S213" s="340"/>
      <c r="T213" s="335">
        <v>0</v>
      </c>
      <c r="U213" s="341"/>
      <c r="V213" s="341"/>
      <c r="W213" s="341"/>
      <c r="X213" s="329" t="s">
        <v>172</v>
      </c>
      <c r="Y213" s="330"/>
      <c r="Z213" s="329" t="s">
        <v>11</v>
      </c>
      <c r="AA213" s="329"/>
      <c r="AB213" s="345"/>
      <c r="AC213" s="339"/>
    </row>
    <row r="214" spans="1:29" hidden="1">
      <c r="A214" s="329"/>
      <c r="B214" s="334" t="s">
        <v>3026</v>
      </c>
      <c r="C214" s="341">
        <v>1</v>
      </c>
      <c r="D214" s="341" t="s">
        <v>3027</v>
      </c>
      <c r="E214" s="341">
        <v>500</v>
      </c>
      <c r="F214" s="341">
        <v>500</v>
      </c>
      <c r="G214" s="341" t="s">
        <v>342</v>
      </c>
      <c r="H214" s="341">
        <v>1</v>
      </c>
      <c r="I214" s="341">
        <v>1</v>
      </c>
      <c r="J214" s="341"/>
      <c r="K214" s="341"/>
      <c r="L214" s="341">
        <v>0</v>
      </c>
      <c r="M214" s="341"/>
      <c r="N214" s="341"/>
      <c r="O214" s="341"/>
      <c r="P214" s="341">
        <v>0</v>
      </c>
      <c r="Q214" s="341"/>
      <c r="R214" s="341"/>
      <c r="S214" s="340"/>
      <c r="T214" s="335">
        <v>0</v>
      </c>
      <c r="U214" s="341"/>
      <c r="V214" s="341"/>
      <c r="W214" s="341"/>
      <c r="X214" s="329" t="s">
        <v>172</v>
      </c>
      <c r="Y214" s="330"/>
      <c r="Z214" s="329" t="s">
        <v>11</v>
      </c>
      <c r="AA214" s="329"/>
      <c r="AB214" s="345"/>
      <c r="AC214" s="339"/>
    </row>
    <row r="215" spans="1:29" hidden="1">
      <c r="A215" s="329"/>
      <c r="B215" s="338" t="s">
        <v>470</v>
      </c>
      <c r="C215" s="343">
        <v>24</v>
      </c>
      <c r="D215" s="343" t="s">
        <v>103</v>
      </c>
      <c r="E215" s="343">
        <v>249.6</v>
      </c>
      <c r="F215" s="348">
        <v>5990.4</v>
      </c>
      <c r="G215" s="341" t="s">
        <v>342</v>
      </c>
      <c r="H215" s="343">
        <v>6</v>
      </c>
      <c r="I215" s="343">
        <v>2</v>
      </c>
      <c r="J215" s="343">
        <v>2</v>
      </c>
      <c r="K215" s="343">
        <v>2</v>
      </c>
      <c r="L215" s="343">
        <v>6</v>
      </c>
      <c r="M215" s="343">
        <v>2</v>
      </c>
      <c r="N215" s="343">
        <v>2</v>
      </c>
      <c r="O215" s="343">
        <v>2</v>
      </c>
      <c r="P215" s="343">
        <v>6</v>
      </c>
      <c r="Q215" s="343">
        <v>2</v>
      </c>
      <c r="R215" s="343">
        <v>2</v>
      </c>
      <c r="S215" s="343">
        <v>2</v>
      </c>
      <c r="T215" s="343">
        <v>6</v>
      </c>
      <c r="U215" s="343">
        <v>2</v>
      </c>
      <c r="V215" s="343">
        <v>2</v>
      </c>
      <c r="W215" s="343">
        <v>2</v>
      </c>
      <c r="X215" s="329" t="s">
        <v>172</v>
      </c>
      <c r="Y215" s="330" t="str">
        <f>DB!$D$102</f>
        <v>Epson Genuine Ink T6641 Black</v>
      </c>
      <c r="Z215" s="329" t="s">
        <v>8</v>
      </c>
      <c r="AA215" s="329"/>
      <c r="AB215" s="345"/>
      <c r="AC215" s="339"/>
    </row>
    <row r="216" spans="1:29" hidden="1">
      <c r="A216" s="329"/>
      <c r="B216" s="334" t="s">
        <v>471</v>
      </c>
      <c r="C216" s="341">
        <v>24</v>
      </c>
      <c r="D216" s="341" t="s">
        <v>103</v>
      </c>
      <c r="E216" s="341">
        <v>249.6</v>
      </c>
      <c r="F216" s="348">
        <v>5990.4</v>
      </c>
      <c r="G216" s="341" t="s">
        <v>342</v>
      </c>
      <c r="H216" s="341">
        <v>6</v>
      </c>
      <c r="I216" s="341">
        <v>2</v>
      </c>
      <c r="J216" s="341">
        <v>2</v>
      </c>
      <c r="K216" s="341">
        <v>2</v>
      </c>
      <c r="L216" s="341">
        <v>6</v>
      </c>
      <c r="M216" s="341">
        <v>2</v>
      </c>
      <c r="N216" s="341">
        <v>2</v>
      </c>
      <c r="O216" s="341">
        <v>2</v>
      </c>
      <c r="P216" s="341">
        <v>6</v>
      </c>
      <c r="Q216" s="341">
        <v>2</v>
      </c>
      <c r="R216" s="341">
        <v>2</v>
      </c>
      <c r="S216" s="341">
        <v>2</v>
      </c>
      <c r="T216" s="341">
        <v>6</v>
      </c>
      <c r="U216" s="341">
        <v>2</v>
      </c>
      <c r="V216" s="341">
        <v>2</v>
      </c>
      <c r="W216" s="341">
        <v>2</v>
      </c>
      <c r="X216" s="329" t="s">
        <v>172</v>
      </c>
      <c r="Y216" s="330" t="str">
        <f>DB!$D$103</f>
        <v>Epson Genuine Ink T6642 Cyan</v>
      </c>
      <c r="Z216" s="329" t="s">
        <v>8</v>
      </c>
      <c r="AA216" s="329"/>
      <c r="AB216" s="345"/>
      <c r="AC216" s="339"/>
    </row>
    <row r="217" spans="1:29" ht="31.5" hidden="1">
      <c r="A217" s="329"/>
      <c r="B217" s="334" t="s">
        <v>472</v>
      </c>
      <c r="C217" s="341">
        <v>24</v>
      </c>
      <c r="D217" s="341" t="s">
        <v>103</v>
      </c>
      <c r="E217" s="341">
        <v>249.6</v>
      </c>
      <c r="F217" s="348">
        <v>5990.4</v>
      </c>
      <c r="G217" s="341" t="s">
        <v>342</v>
      </c>
      <c r="H217" s="341">
        <v>6</v>
      </c>
      <c r="I217" s="341">
        <v>2</v>
      </c>
      <c r="J217" s="341">
        <v>2</v>
      </c>
      <c r="K217" s="341">
        <v>2</v>
      </c>
      <c r="L217" s="341">
        <v>6</v>
      </c>
      <c r="M217" s="341">
        <v>2</v>
      </c>
      <c r="N217" s="341">
        <v>2</v>
      </c>
      <c r="O217" s="341">
        <v>2</v>
      </c>
      <c r="P217" s="341">
        <v>6</v>
      </c>
      <c r="Q217" s="341">
        <v>2</v>
      </c>
      <c r="R217" s="341">
        <v>2</v>
      </c>
      <c r="S217" s="341">
        <v>2</v>
      </c>
      <c r="T217" s="341">
        <v>6</v>
      </c>
      <c r="U217" s="341">
        <v>2</v>
      </c>
      <c r="V217" s="341">
        <v>2</v>
      </c>
      <c r="W217" s="341">
        <v>2</v>
      </c>
      <c r="X217" s="329" t="s">
        <v>172</v>
      </c>
      <c r="Y217" s="330" t="str">
        <f>DB!$D$104</f>
        <v>Epson Genuine Ink T6643 Magenta</v>
      </c>
      <c r="Z217" s="329" t="s">
        <v>8</v>
      </c>
      <c r="AA217" s="329"/>
      <c r="AB217" s="345"/>
      <c r="AC217" s="339"/>
    </row>
    <row r="218" spans="1:29" ht="31.5" hidden="1">
      <c r="A218" s="329"/>
      <c r="B218" s="334" t="s">
        <v>473</v>
      </c>
      <c r="C218" s="341">
        <v>24</v>
      </c>
      <c r="D218" s="341" t="s">
        <v>103</v>
      </c>
      <c r="E218" s="341">
        <v>249.6</v>
      </c>
      <c r="F218" s="348">
        <v>5990.4</v>
      </c>
      <c r="G218" s="341" t="s">
        <v>342</v>
      </c>
      <c r="H218" s="341">
        <v>6</v>
      </c>
      <c r="I218" s="341">
        <v>2</v>
      </c>
      <c r="J218" s="341">
        <v>2</v>
      </c>
      <c r="K218" s="341">
        <v>2</v>
      </c>
      <c r="L218" s="341">
        <v>6</v>
      </c>
      <c r="M218" s="341">
        <v>2</v>
      </c>
      <c r="N218" s="341">
        <v>2</v>
      </c>
      <c r="O218" s="341">
        <v>2</v>
      </c>
      <c r="P218" s="341">
        <v>6</v>
      </c>
      <c r="Q218" s="341">
        <v>2</v>
      </c>
      <c r="R218" s="341">
        <v>2</v>
      </c>
      <c r="S218" s="341">
        <v>2</v>
      </c>
      <c r="T218" s="341">
        <v>6</v>
      </c>
      <c r="U218" s="341">
        <v>2</v>
      </c>
      <c r="V218" s="341">
        <v>2</v>
      </c>
      <c r="W218" s="341">
        <v>2</v>
      </c>
      <c r="X218" s="329" t="s">
        <v>172</v>
      </c>
      <c r="Y218" s="330" t="str">
        <f>DB!$D$105</f>
        <v>Epson Genuine Ink T6644 Yellow</v>
      </c>
      <c r="Z218" s="329" t="s">
        <v>8</v>
      </c>
      <c r="AA218" s="329"/>
      <c r="AB218" s="345"/>
      <c r="AC218" s="339"/>
    </row>
    <row r="219" spans="1:29" hidden="1">
      <c r="A219" s="329"/>
      <c r="B219" s="338" t="s">
        <v>239</v>
      </c>
      <c r="C219" s="343" t="s">
        <v>103</v>
      </c>
      <c r="D219" s="341">
        <v>1</v>
      </c>
      <c r="E219" s="343">
        <v>380</v>
      </c>
      <c r="F219" s="341">
        <v>380</v>
      </c>
      <c r="G219" s="329"/>
      <c r="H219" s="337">
        <v>1</v>
      </c>
      <c r="I219" s="329"/>
      <c r="J219" s="329"/>
      <c r="K219" s="329"/>
      <c r="L219" s="337">
        <v>0</v>
      </c>
      <c r="M219" s="329"/>
      <c r="N219" s="329"/>
      <c r="O219" s="329"/>
      <c r="P219" s="337">
        <v>0</v>
      </c>
      <c r="Q219" s="329"/>
      <c r="R219" s="329"/>
      <c r="S219" s="329"/>
      <c r="T219" s="337">
        <v>0</v>
      </c>
      <c r="U219" s="329"/>
      <c r="V219" s="329"/>
      <c r="W219" s="329"/>
      <c r="X219" s="329" t="s">
        <v>115</v>
      </c>
      <c r="Y219" s="346" t="str">
        <f>DB!$D$169</f>
        <v>Mouse, Optical, USB 2.0</v>
      </c>
      <c r="Z219" s="329" t="s">
        <v>2946</v>
      </c>
      <c r="AA219" s="329"/>
      <c r="AB219" s="345"/>
      <c r="AC219" s="339"/>
    </row>
    <row r="220" spans="1:29" hidden="1">
      <c r="A220" s="329"/>
      <c r="B220" s="334" t="s">
        <v>599</v>
      </c>
      <c r="C220" s="341" t="s">
        <v>103</v>
      </c>
      <c r="D220" s="341">
        <v>1</v>
      </c>
      <c r="E220" s="341">
        <v>500</v>
      </c>
      <c r="F220" s="341">
        <v>500</v>
      </c>
      <c r="G220" s="329"/>
      <c r="H220" s="335">
        <v>1</v>
      </c>
      <c r="I220" s="329"/>
      <c r="J220" s="329"/>
      <c r="K220" s="329"/>
      <c r="L220" s="335">
        <v>0</v>
      </c>
      <c r="M220" s="329"/>
      <c r="N220" s="329"/>
      <c r="O220" s="329"/>
      <c r="P220" s="335">
        <v>0</v>
      </c>
      <c r="Q220" s="329"/>
      <c r="R220" s="329"/>
      <c r="S220" s="329"/>
      <c r="T220" s="335">
        <v>0</v>
      </c>
      <c r="U220" s="329"/>
      <c r="V220" s="329"/>
      <c r="W220" s="329"/>
      <c r="X220" s="329" t="s">
        <v>115</v>
      </c>
      <c r="Y220" s="330"/>
      <c r="Z220" s="329" t="s">
        <v>2946</v>
      </c>
      <c r="AA220" s="329"/>
      <c r="AB220" s="345"/>
      <c r="AC220" s="339"/>
    </row>
    <row r="221" spans="1:29" hidden="1">
      <c r="A221" s="329"/>
      <c r="B221" s="334" t="s">
        <v>815</v>
      </c>
      <c r="C221" s="341" t="s">
        <v>773</v>
      </c>
      <c r="D221" s="341">
        <v>1</v>
      </c>
      <c r="E221" s="347">
        <v>2500</v>
      </c>
      <c r="F221" s="347">
        <v>2500</v>
      </c>
      <c r="G221" s="329"/>
      <c r="H221" s="335">
        <v>1</v>
      </c>
      <c r="I221" s="329"/>
      <c r="J221" s="329"/>
      <c r="K221" s="329"/>
      <c r="L221" s="335">
        <v>0</v>
      </c>
      <c r="M221" s="329"/>
      <c r="N221" s="329"/>
      <c r="O221" s="329"/>
      <c r="P221" s="335">
        <v>0</v>
      </c>
      <c r="Q221" s="329"/>
      <c r="R221" s="329"/>
      <c r="S221" s="329"/>
      <c r="T221" s="335">
        <v>0</v>
      </c>
      <c r="U221" s="329"/>
      <c r="V221" s="329"/>
      <c r="W221" s="329"/>
      <c r="X221" s="329" t="s">
        <v>115</v>
      </c>
      <c r="Y221" s="330"/>
      <c r="Z221" s="329" t="s">
        <v>11</v>
      </c>
      <c r="AA221" s="329"/>
      <c r="AB221" s="345"/>
      <c r="AC221" s="339"/>
    </row>
    <row r="222" spans="1:29" hidden="1">
      <c r="A222" s="329"/>
      <c r="B222" s="334" t="s">
        <v>816</v>
      </c>
      <c r="C222" s="377" t="s">
        <v>103</v>
      </c>
      <c r="D222" s="377">
        <v>1</v>
      </c>
      <c r="E222" s="377">
        <v>3500</v>
      </c>
      <c r="F222" s="377">
        <v>3500</v>
      </c>
      <c r="G222" s="329"/>
      <c r="H222" s="335">
        <v>1</v>
      </c>
      <c r="I222" s="329"/>
      <c r="J222" s="329"/>
      <c r="K222" s="329"/>
      <c r="L222" s="335">
        <v>0</v>
      </c>
      <c r="M222" s="329"/>
      <c r="N222" s="329"/>
      <c r="O222" s="329"/>
      <c r="P222" s="335">
        <v>0</v>
      </c>
      <c r="Q222" s="329"/>
      <c r="R222" s="329"/>
      <c r="S222" s="329"/>
      <c r="T222" s="335">
        <v>0</v>
      </c>
      <c r="U222" s="329"/>
      <c r="V222" s="329"/>
      <c r="W222" s="329"/>
      <c r="X222" s="329" t="s">
        <v>115</v>
      </c>
      <c r="Y222" s="369" t="str">
        <f>DB!$D$6</f>
        <v>UPS 650VA, AVR, 230V</v>
      </c>
      <c r="Z222" s="329" t="s">
        <v>8</v>
      </c>
      <c r="AA222" s="329"/>
      <c r="AB222" s="345"/>
      <c r="AC222" s="339"/>
    </row>
    <row r="223" spans="1:29" hidden="1">
      <c r="A223" s="329"/>
      <c r="B223" s="334" t="s">
        <v>817</v>
      </c>
      <c r="C223" s="377" t="s">
        <v>118</v>
      </c>
      <c r="D223" s="377">
        <v>1</v>
      </c>
      <c r="E223" s="377">
        <v>2500</v>
      </c>
      <c r="F223" s="377">
        <v>25000</v>
      </c>
      <c r="G223" s="329"/>
      <c r="H223" s="335">
        <v>1</v>
      </c>
      <c r="I223" s="329"/>
      <c r="J223" s="329"/>
      <c r="K223" s="329"/>
      <c r="L223" s="335">
        <v>0</v>
      </c>
      <c r="M223" s="329"/>
      <c r="N223" s="329"/>
      <c r="O223" s="329"/>
      <c r="P223" s="335">
        <v>0</v>
      </c>
      <c r="Q223" s="329"/>
      <c r="R223" s="329"/>
      <c r="S223" s="329"/>
      <c r="T223" s="335">
        <v>0</v>
      </c>
      <c r="U223" s="329"/>
      <c r="V223" s="329"/>
      <c r="W223" s="329"/>
      <c r="X223" s="329" t="s">
        <v>115</v>
      </c>
      <c r="Y223" s="330" t="str">
        <f>DB!$D$37</f>
        <v>Single Line Telephone (Black)</v>
      </c>
      <c r="Z223" s="329" t="s">
        <v>8</v>
      </c>
      <c r="AA223" s="329"/>
      <c r="AB223" s="345"/>
      <c r="AC223" s="339"/>
    </row>
    <row r="224" spans="1:29">
      <c r="A224" s="329"/>
      <c r="B224" s="334" t="s">
        <v>467</v>
      </c>
      <c r="C224" s="341">
        <v>1</v>
      </c>
      <c r="D224" s="341" t="s">
        <v>118</v>
      </c>
      <c r="E224" s="347">
        <v>40000</v>
      </c>
      <c r="F224" s="347">
        <v>40000</v>
      </c>
      <c r="G224" s="329"/>
      <c r="H224" s="335">
        <v>1</v>
      </c>
      <c r="I224" s="329"/>
      <c r="J224" s="329"/>
      <c r="K224" s="329"/>
      <c r="L224" s="335">
        <v>0</v>
      </c>
      <c r="M224" s="329"/>
      <c r="N224" s="329"/>
      <c r="O224" s="329"/>
      <c r="P224" s="335">
        <v>0</v>
      </c>
      <c r="Q224" s="329"/>
      <c r="R224" s="329"/>
      <c r="S224" s="329"/>
      <c r="T224" s="335">
        <v>0</v>
      </c>
      <c r="U224" s="329"/>
      <c r="V224" s="329"/>
      <c r="W224" s="329"/>
      <c r="X224" s="329" t="s">
        <v>115</v>
      </c>
      <c r="Y224" s="330" t="str">
        <f>DB!$D$194</f>
        <v>Branded Desktop Computer Set</v>
      </c>
      <c r="Z224" s="329" t="s">
        <v>2964</v>
      </c>
      <c r="AA224" s="329"/>
      <c r="AB224" s="345"/>
      <c r="AC224" s="339"/>
    </row>
    <row r="225" spans="1:29" hidden="1">
      <c r="A225" s="329"/>
      <c r="B225" s="334" t="s">
        <v>482</v>
      </c>
      <c r="C225" s="341" t="s">
        <v>103</v>
      </c>
      <c r="D225" s="341">
        <v>1</v>
      </c>
      <c r="E225" s="347">
        <v>8500</v>
      </c>
      <c r="F225" s="347">
        <v>8500</v>
      </c>
      <c r="G225" s="329"/>
      <c r="H225" s="335">
        <v>1</v>
      </c>
      <c r="I225" s="329"/>
      <c r="J225" s="329"/>
      <c r="K225" s="329"/>
      <c r="L225" s="335">
        <v>0</v>
      </c>
      <c r="M225" s="329"/>
      <c r="N225" s="329"/>
      <c r="O225" s="329"/>
      <c r="P225" s="335">
        <v>0</v>
      </c>
      <c r="Q225" s="329"/>
      <c r="R225" s="329"/>
      <c r="S225" s="329"/>
      <c r="T225" s="335">
        <v>0</v>
      </c>
      <c r="U225" s="329"/>
      <c r="V225" s="329"/>
      <c r="W225" s="329"/>
      <c r="X225" s="329" t="s">
        <v>115</v>
      </c>
      <c r="Y225" s="330"/>
      <c r="Z225" s="329" t="s">
        <v>2962</v>
      </c>
      <c r="AA225" s="329"/>
      <c r="AB225" s="345"/>
      <c r="AC225" s="339"/>
    </row>
    <row r="226" spans="1:29" hidden="1">
      <c r="A226" s="329"/>
      <c r="B226" s="334" t="s">
        <v>239</v>
      </c>
      <c r="C226" s="341" t="s">
        <v>103</v>
      </c>
      <c r="D226" s="341">
        <v>1</v>
      </c>
      <c r="E226" s="341">
        <v>380</v>
      </c>
      <c r="F226" s="341">
        <v>380</v>
      </c>
      <c r="G226" s="329"/>
      <c r="H226" s="335">
        <v>1</v>
      </c>
      <c r="I226" s="329"/>
      <c r="J226" s="329"/>
      <c r="K226" s="329"/>
      <c r="L226" s="335">
        <v>0</v>
      </c>
      <c r="M226" s="329"/>
      <c r="N226" s="329"/>
      <c r="O226" s="329"/>
      <c r="P226" s="335">
        <v>0</v>
      </c>
      <c r="Q226" s="329"/>
      <c r="R226" s="329"/>
      <c r="S226" s="329"/>
      <c r="T226" s="335">
        <v>0</v>
      </c>
      <c r="U226" s="329"/>
      <c r="V226" s="329"/>
      <c r="W226" s="329"/>
      <c r="X226" s="329" t="s">
        <v>115</v>
      </c>
      <c r="Y226" s="346" t="str">
        <f>DB!$D$169</f>
        <v>Mouse, Optical, USB 2.0</v>
      </c>
      <c r="Z226" s="329" t="s">
        <v>2946</v>
      </c>
      <c r="AA226" s="329"/>
      <c r="AB226" s="345"/>
      <c r="AC226" s="339"/>
    </row>
    <row r="227" spans="1:29" hidden="1">
      <c r="A227" s="329"/>
      <c r="B227" s="334" t="s">
        <v>234</v>
      </c>
      <c r="C227" s="341">
        <v>1</v>
      </c>
      <c r="D227" s="335" t="s">
        <v>103</v>
      </c>
      <c r="E227" s="341">
        <v>380</v>
      </c>
      <c r="F227" s="341">
        <v>380</v>
      </c>
      <c r="G227" s="329"/>
      <c r="H227" s="335">
        <v>1</v>
      </c>
      <c r="I227" s="329"/>
      <c r="J227" s="329"/>
      <c r="K227" s="329"/>
      <c r="L227" s="335">
        <v>0</v>
      </c>
      <c r="M227" s="329"/>
      <c r="N227" s="329"/>
      <c r="O227" s="329"/>
      <c r="P227" s="335">
        <v>0</v>
      </c>
      <c r="Q227" s="329"/>
      <c r="R227" s="329"/>
      <c r="S227" s="329"/>
      <c r="T227" s="335">
        <v>0</v>
      </c>
      <c r="U227" s="329"/>
      <c r="V227" s="329"/>
      <c r="W227" s="329"/>
      <c r="X227" s="329" t="s">
        <v>115</v>
      </c>
      <c r="Y227" s="336" t="str">
        <f>DB!$D$168</f>
        <v>Keyboard, Full Size, USB 2.0</v>
      </c>
      <c r="Z227" s="329" t="s">
        <v>2946</v>
      </c>
      <c r="AA227" s="329"/>
      <c r="AB227" s="345"/>
      <c r="AC227" s="339"/>
    </row>
    <row r="228" spans="1:29" hidden="1">
      <c r="A228" s="329"/>
      <c r="B228" s="334" t="s">
        <v>182</v>
      </c>
      <c r="C228" s="377" t="s">
        <v>118</v>
      </c>
      <c r="D228" s="341">
        <v>1</v>
      </c>
      <c r="E228" s="347">
        <v>50000</v>
      </c>
      <c r="F228" s="347">
        <v>50000</v>
      </c>
      <c r="G228" s="329"/>
      <c r="H228" s="335">
        <v>1</v>
      </c>
      <c r="I228" s="329"/>
      <c r="J228" s="329"/>
      <c r="K228" s="329"/>
      <c r="L228" s="335">
        <v>0</v>
      </c>
      <c r="M228" s="329"/>
      <c r="N228" s="329"/>
      <c r="O228" s="329"/>
      <c r="P228" s="335">
        <v>0</v>
      </c>
      <c r="Q228" s="329"/>
      <c r="R228" s="329"/>
      <c r="S228" s="329"/>
      <c r="T228" s="335">
        <v>0</v>
      </c>
      <c r="U228" s="329"/>
      <c r="V228" s="329"/>
      <c r="W228" s="329"/>
      <c r="X228" s="329" t="s">
        <v>115</v>
      </c>
      <c r="Y228" s="330"/>
      <c r="Z228" s="329" t="s">
        <v>2950</v>
      </c>
      <c r="AA228" s="329"/>
      <c r="AB228" s="345"/>
      <c r="AC228" s="339"/>
    </row>
    <row r="229" spans="1:29" hidden="1">
      <c r="A229" s="329"/>
      <c r="B229" s="334" t="s">
        <v>818</v>
      </c>
      <c r="C229" s="377" t="s">
        <v>103</v>
      </c>
      <c r="D229" s="341">
        <v>1</v>
      </c>
      <c r="E229" s="347">
        <v>40000</v>
      </c>
      <c r="F229" s="347">
        <v>40000</v>
      </c>
      <c r="G229" s="329"/>
      <c r="H229" s="335">
        <v>1</v>
      </c>
      <c r="I229" s="329"/>
      <c r="J229" s="329"/>
      <c r="K229" s="329"/>
      <c r="L229" s="335">
        <v>0</v>
      </c>
      <c r="M229" s="329"/>
      <c r="N229" s="329"/>
      <c r="O229" s="329"/>
      <c r="P229" s="335">
        <v>0</v>
      </c>
      <c r="Q229" s="329"/>
      <c r="R229" s="329"/>
      <c r="S229" s="329"/>
      <c r="T229" s="335">
        <v>0</v>
      </c>
      <c r="U229" s="329"/>
      <c r="V229" s="329"/>
      <c r="W229" s="329"/>
      <c r="X229" s="329" t="s">
        <v>115</v>
      </c>
      <c r="Y229" s="330" t="str">
        <f>DB!D88</f>
        <v>Projector</v>
      </c>
      <c r="Z229" s="329" t="s">
        <v>8</v>
      </c>
      <c r="AA229" s="329"/>
      <c r="AB229" s="345"/>
      <c r="AC229" s="339"/>
    </row>
    <row r="230" spans="1:29" hidden="1">
      <c r="A230" s="329"/>
      <c r="B230" s="334" t="s">
        <v>819</v>
      </c>
      <c r="C230" s="377" t="s">
        <v>103</v>
      </c>
      <c r="D230" s="341">
        <v>1</v>
      </c>
      <c r="E230" s="347">
        <v>5000</v>
      </c>
      <c r="F230" s="347">
        <v>5000</v>
      </c>
      <c r="G230" s="329"/>
      <c r="H230" s="335">
        <v>1</v>
      </c>
      <c r="I230" s="329"/>
      <c r="J230" s="329"/>
      <c r="K230" s="329"/>
      <c r="L230" s="335">
        <v>0</v>
      </c>
      <c r="M230" s="329"/>
      <c r="N230" s="329"/>
      <c r="O230" s="329"/>
      <c r="P230" s="335">
        <v>0</v>
      </c>
      <c r="Q230" s="329"/>
      <c r="R230" s="329"/>
      <c r="S230" s="329"/>
      <c r="T230" s="335">
        <v>0</v>
      </c>
      <c r="U230" s="329"/>
      <c r="V230" s="329"/>
      <c r="W230" s="329"/>
      <c r="X230" s="329" t="s">
        <v>115</v>
      </c>
      <c r="Y230" s="330"/>
      <c r="Z230" s="329" t="s">
        <v>2946</v>
      </c>
      <c r="AA230" s="329"/>
      <c r="AB230" s="345"/>
      <c r="AC230" s="339"/>
    </row>
    <row r="231" spans="1:29" hidden="1">
      <c r="A231" s="329"/>
      <c r="B231" s="334" t="s">
        <v>820</v>
      </c>
      <c r="C231" s="377" t="s">
        <v>103</v>
      </c>
      <c r="D231" s="341">
        <v>1</v>
      </c>
      <c r="E231" s="347">
        <v>6500</v>
      </c>
      <c r="F231" s="347">
        <v>6500</v>
      </c>
      <c r="G231" s="329"/>
      <c r="H231" s="335">
        <v>1</v>
      </c>
      <c r="I231" s="329"/>
      <c r="J231" s="329"/>
      <c r="K231" s="329"/>
      <c r="L231" s="335">
        <v>0</v>
      </c>
      <c r="M231" s="329"/>
      <c r="N231" s="329"/>
      <c r="O231" s="329"/>
      <c r="P231" s="335">
        <v>0</v>
      </c>
      <c r="Q231" s="329"/>
      <c r="R231" s="329"/>
      <c r="S231" s="329"/>
      <c r="T231" s="335">
        <v>0</v>
      </c>
      <c r="U231" s="329"/>
      <c r="V231" s="329"/>
      <c r="W231" s="329"/>
      <c r="X231" s="329" t="s">
        <v>115</v>
      </c>
      <c r="Y231" s="330"/>
      <c r="Z231" s="329" t="s">
        <v>2946</v>
      </c>
      <c r="AA231" s="329"/>
      <c r="AB231" s="345"/>
      <c r="AC231" s="339"/>
    </row>
    <row r="232" spans="1:29" ht="47.25" hidden="1">
      <c r="A232" s="329"/>
      <c r="B232" s="334" t="s">
        <v>821</v>
      </c>
      <c r="C232" s="377" t="s">
        <v>103</v>
      </c>
      <c r="D232" s="341">
        <v>1</v>
      </c>
      <c r="E232" s="347">
        <v>3000</v>
      </c>
      <c r="F232" s="347">
        <v>3000</v>
      </c>
      <c r="G232" s="329"/>
      <c r="H232" s="335">
        <v>1</v>
      </c>
      <c r="I232" s="329"/>
      <c r="J232" s="329"/>
      <c r="K232" s="329"/>
      <c r="L232" s="335">
        <v>0</v>
      </c>
      <c r="M232" s="329"/>
      <c r="N232" s="329"/>
      <c r="O232" s="329"/>
      <c r="P232" s="335">
        <v>0</v>
      </c>
      <c r="Q232" s="329"/>
      <c r="R232" s="329"/>
      <c r="S232" s="329"/>
      <c r="T232" s="335">
        <v>0</v>
      </c>
      <c r="U232" s="329"/>
      <c r="V232" s="329"/>
      <c r="W232" s="329"/>
      <c r="X232" s="329" t="s">
        <v>115</v>
      </c>
      <c r="Y232" s="330" t="str">
        <f>DB!$D$90</f>
        <v>Professional Presenter Wireless Presentation Clicker Remote</v>
      </c>
      <c r="Z232" s="329" t="s">
        <v>8</v>
      </c>
      <c r="AA232" s="329"/>
      <c r="AB232" s="345"/>
      <c r="AC232" s="339"/>
    </row>
    <row r="233" spans="1:29" hidden="1">
      <c r="A233" s="329"/>
      <c r="B233" s="334" t="s">
        <v>822</v>
      </c>
      <c r="C233" s="377" t="s">
        <v>773</v>
      </c>
      <c r="D233" s="341">
        <v>1</v>
      </c>
      <c r="E233" s="341"/>
      <c r="F233" s="341">
        <v>1</v>
      </c>
      <c r="G233" s="329"/>
      <c r="H233" s="335">
        <v>1</v>
      </c>
      <c r="I233" s="329"/>
      <c r="J233" s="329"/>
      <c r="K233" s="329"/>
      <c r="L233" s="335">
        <v>0</v>
      </c>
      <c r="M233" s="329"/>
      <c r="N233" s="329"/>
      <c r="O233" s="329"/>
      <c r="P233" s="335" t="s">
        <v>3028</v>
      </c>
      <c r="Q233" s="329"/>
      <c r="R233" s="329"/>
      <c r="S233" s="329"/>
      <c r="T233" s="335" t="s">
        <v>3028</v>
      </c>
      <c r="U233" s="329"/>
      <c r="V233" s="329"/>
      <c r="W233" s="329"/>
      <c r="X233" s="329" t="s">
        <v>115</v>
      </c>
      <c r="Y233" s="330"/>
      <c r="Z233" s="329" t="s">
        <v>2946</v>
      </c>
      <c r="AA233" s="329"/>
      <c r="AB233" s="345"/>
      <c r="AC233" s="339"/>
    </row>
    <row r="234" spans="1:29" hidden="1">
      <c r="A234" s="329"/>
      <c r="B234" s="334" t="s">
        <v>823</v>
      </c>
      <c r="C234" s="341" t="s">
        <v>103</v>
      </c>
      <c r="D234" s="341">
        <v>1</v>
      </c>
      <c r="E234" s="347">
        <v>120000</v>
      </c>
      <c r="F234" s="347">
        <v>120000</v>
      </c>
      <c r="G234" s="329"/>
      <c r="H234" s="335">
        <v>1</v>
      </c>
      <c r="I234" s="329"/>
      <c r="J234" s="329"/>
      <c r="K234" s="329"/>
      <c r="L234" s="335">
        <v>0</v>
      </c>
      <c r="M234" s="329"/>
      <c r="N234" s="329"/>
      <c r="O234" s="329"/>
      <c r="P234" s="335">
        <v>0</v>
      </c>
      <c r="Q234" s="329"/>
      <c r="R234" s="329"/>
      <c r="S234" s="329"/>
      <c r="T234" s="335">
        <v>0</v>
      </c>
      <c r="U234" s="329"/>
      <c r="V234" s="329"/>
      <c r="W234" s="329"/>
      <c r="X234" s="329" t="s">
        <v>115</v>
      </c>
      <c r="Y234" s="330"/>
      <c r="Z234" s="329" t="s">
        <v>2962</v>
      </c>
      <c r="AA234" s="329"/>
      <c r="AB234" s="345"/>
      <c r="AC234" s="339"/>
    </row>
    <row r="235" spans="1:29" ht="31.5" hidden="1">
      <c r="A235" s="329"/>
      <c r="B235" s="338" t="s">
        <v>547</v>
      </c>
      <c r="C235" s="343" t="s">
        <v>103</v>
      </c>
      <c r="D235" s="343">
        <v>48</v>
      </c>
      <c r="E235" s="343">
        <v>380</v>
      </c>
      <c r="F235" s="360">
        <v>18240</v>
      </c>
      <c r="G235" s="329"/>
      <c r="H235" s="337">
        <v>12</v>
      </c>
      <c r="I235" s="329"/>
      <c r="J235" s="329"/>
      <c r="K235" s="329"/>
      <c r="L235" s="337">
        <v>12</v>
      </c>
      <c r="M235" s="329"/>
      <c r="N235" s="329"/>
      <c r="O235" s="329"/>
      <c r="P235" s="337">
        <v>12</v>
      </c>
      <c r="Q235" s="329"/>
      <c r="R235" s="329"/>
      <c r="S235" s="329"/>
      <c r="T235" s="337">
        <v>12</v>
      </c>
      <c r="U235" s="329"/>
      <c r="V235" s="329"/>
      <c r="W235" s="329"/>
      <c r="X235" s="329" t="s">
        <v>115</v>
      </c>
      <c r="Y235" s="369" t="str">
        <f>DB!$D$110</f>
        <v>HP Genuine Ink Refill - (GT53) Black</v>
      </c>
      <c r="Z235" s="329" t="s">
        <v>8</v>
      </c>
      <c r="AA235" s="329"/>
      <c r="AB235" s="345"/>
      <c r="AC235" s="339"/>
    </row>
    <row r="236" spans="1:29" ht="31.5" hidden="1">
      <c r="A236" s="329"/>
      <c r="B236" s="334" t="s">
        <v>548</v>
      </c>
      <c r="C236" s="341" t="s">
        <v>103</v>
      </c>
      <c r="D236" s="341">
        <v>48</v>
      </c>
      <c r="E236" s="341">
        <v>380</v>
      </c>
      <c r="F236" s="360">
        <v>18240</v>
      </c>
      <c r="G236" s="329"/>
      <c r="H236" s="335">
        <v>12</v>
      </c>
      <c r="I236" s="329"/>
      <c r="J236" s="329"/>
      <c r="K236" s="329"/>
      <c r="L236" s="335">
        <v>12</v>
      </c>
      <c r="M236" s="329"/>
      <c r="N236" s="329"/>
      <c r="O236" s="329"/>
      <c r="P236" s="335">
        <v>12</v>
      </c>
      <c r="Q236" s="329"/>
      <c r="R236" s="329"/>
      <c r="S236" s="329"/>
      <c r="T236" s="335">
        <v>12</v>
      </c>
      <c r="U236" s="329"/>
      <c r="V236" s="329"/>
      <c r="W236" s="329"/>
      <c r="X236" s="329" t="s">
        <v>115</v>
      </c>
      <c r="Y236" s="330" t="str">
        <f>DB!$D$112</f>
        <v>HP Genuine Ink Refill - (GT52) Cyan</v>
      </c>
      <c r="Z236" s="329" t="s">
        <v>8</v>
      </c>
      <c r="AA236" s="329"/>
      <c r="AB236" s="345"/>
      <c r="AC236" s="339"/>
    </row>
    <row r="237" spans="1:29" ht="31.5" hidden="1">
      <c r="A237" s="329"/>
      <c r="B237" s="334" t="s">
        <v>549</v>
      </c>
      <c r="C237" s="341" t="s">
        <v>103</v>
      </c>
      <c r="D237" s="341">
        <v>48</v>
      </c>
      <c r="E237" s="341">
        <v>380</v>
      </c>
      <c r="F237" s="360">
        <v>18240</v>
      </c>
      <c r="G237" s="329"/>
      <c r="H237" s="335">
        <v>12</v>
      </c>
      <c r="I237" s="329"/>
      <c r="J237" s="329"/>
      <c r="K237" s="329"/>
      <c r="L237" s="335">
        <v>12</v>
      </c>
      <c r="M237" s="329"/>
      <c r="N237" s="329"/>
      <c r="O237" s="329"/>
      <c r="P237" s="335">
        <v>12</v>
      </c>
      <c r="Q237" s="329"/>
      <c r="R237" s="329"/>
      <c r="S237" s="329"/>
      <c r="T237" s="335">
        <v>12</v>
      </c>
      <c r="U237" s="329"/>
      <c r="V237" s="329"/>
      <c r="W237" s="329"/>
      <c r="X237" s="329" t="s">
        <v>115</v>
      </c>
      <c r="Y237" s="330" t="str">
        <f>DB!$D$113</f>
        <v>HP Genuine Ink Refill - (GT52) Yellow</v>
      </c>
      <c r="Z237" s="329" t="s">
        <v>8</v>
      </c>
      <c r="AA237" s="329"/>
      <c r="AB237" s="345"/>
      <c r="AC237" s="339"/>
    </row>
    <row r="238" spans="1:29" ht="31.5" hidden="1">
      <c r="A238" s="329"/>
      <c r="B238" s="334" t="s">
        <v>550</v>
      </c>
      <c r="C238" s="341" t="s">
        <v>103</v>
      </c>
      <c r="D238" s="341">
        <v>48</v>
      </c>
      <c r="E238" s="341">
        <v>380</v>
      </c>
      <c r="F238" s="360">
        <v>18240</v>
      </c>
      <c r="G238" s="329"/>
      <c r="H238" s="335">
        <v>12</v>
      </c>
      <c r="I238" s="329"/>
      <c r="J238" s="329"/>
      <c r="K238" s="329"/>
      <c r="L238" s="335">
        <v>12</v>
      </c>
      <c r="M238" s="329"/>
      <c r="N238" s="329"/>
      <c r="O238" s="329"/>
      <c r="P238" s="335">
        <v>12</v>
      </c>
      <c r="Q238" s="329"/>
      <c r="R238" s="329"/>
      <c r="S238" s="329"/>
      <c r="T238" s="335">
        <v>12</v>
      </c>
      <c r="U238" s="329"/>
      <c r="V238" s="329"/>
      <c r="W238" s="329"/>
      <c r="X238" s="329" t="s">
        <v>115</v>
      </c>
      <c r="Y238" s="330" t="str">
        <f>DB!$D$111</f>
        <v>HP Genuine Ink Refill - (GT52) Magenta</v>
      </c>
      <c r="Z238" s="329" t="s">
        <v>8</v>
      </c>
      <c r="AA238" s="329"/>
      <c r="AB238" s="345"/>
      <c r="AC238" s="339"/>
    </row>
    <row r="239" spans="1:29" hidden="1">
      <c r="A239" s="329"/>
      <c r="B239" s="334" t="s">
        <v>824</v>
      </c>
      <c r="C239" s="377" t="s">
        <v>103</v>
      </c>
      <c r="D239" s="377">
        <v>8</v>
      </c>
      <c r="E239" s="347">
        <v>8800</v>
      </c>
      <c r="F239" s="360">
        <v>70400</v>
      </c>
      <c r="G239" s="329"/>
      <c r="H239" s="335">
        <v>4</v>
      </c>
      <c r="I239" s="329"/>
      <c r="J239" s="329"/>
      <c r="K239" s="329"/>
      <c r="L239" s="335">
        <v>4</v>
      </c>
      <c r="M239" s="329"/>
      <c r="N239" s="329"/>
      <c r="O239" s="329"/>
      <c r="P239" s="335"/>
      <c r="Q239" s="329"/>
      <c r="R239" s="329"/>
      <c r="S239" s="329"/>
      <c r="T239" s="335"/>
      <c r="U239" s="329"/>
      <c r="V239" s="329"/>
      <c r="W239" s="329"/>
      <c r="X239" s="329" t="s">
        <v>115</v>
      </c>
      <c r="Y239" s="330"/>
      <c r="Z239" s="329" t="s">
        <v>2952</v>
      </c>
      <c r="AA239" s="329"/>
      <c r="AB239" s="345"/>
      <c r="AC239" s="339"/>
    </row>
    <row r="240" spans="1:29" hidden="1">
      <c r="A240" s="329"/>
      <c r="B240" s="334" t="s">
        <v>742</v>
      </c>
      <c r="C240" s="341" t="s">
        <v>103</v>
      </c>
      <c r="D240" s="377">
        <v>4</v>
      </c>
      <c r="E240" s="347">
        <v>7800</v>
      </c>
      <c r="F240" s="360">
        <v>31200</v>
      </c>
      <c r="G240" s="329"/>
      <c r="H240" s="335">
        <v>2</v>
      </c>
      <c r="I240" s="329"/>
      <c r="J240" s="329"/>
      <c r="K240" s="329"/>
      <c r="L240" s="335">
        <v>2</v>
      </c>
      <c r="M240" s="329"/>
      <c r="N240" s="329"/>
      <c r="O240" s="329"/>
      <c r="P240" s="335"/>
      <c r="Q240" s="329"/>
      <c r="R240" s="329"/>
      <c r="S240" s="329"/>
      <c r="T240" s="335"/>
      <c r="U240" s="329"/>
      <c r="V240" s="329"/>
      <c r="W240" s="329"/>
      <c r="X240" s="329" t="s">
        <v>115</v>
      </c>
      <c r="Y240" s="330"/>
      <c r="Z240" s="329" t="s">
        <v>2952</v>
      </c>
      <c r="AA240" s="329"/>
      <c r="AB240" s="345"/>
      <c r="AC240" s="339"/>
    </row>
    <row r="241" spans="1:29" ht="31.5" hidden="1">
      <c r="A241" s="329"/>
      <c r="B241" s="395" t="s">
        <v>3029</v>
      </c>
      <c r="C241" s="391">
        <v>1</v>
      </c>
      <c r="D241" s="377" t="s">
        <v>446</v>
      </c>
      <c r="E241" s="376">
        <v>10000</v>
      </c>
      <c r="F241" s="376">
        <v>10000</v>
      </c>
      <c r="G241" s="377" t="s">
        <v>752</v>
      </c>
      <c r="H241" s="337">
        <v>1</v>
      </c>
      <c r="I241" s="329"/>
      <c r="J241" s="329"/>
      <c r="K241" s="329"/>
      <c r="L241" s="329"/>
      <c r="M241" s="329"/>
      <c r="N241" s="329"/>
      <c r="O241" s="329"/>
      <c r="P241" s="337"/>
      <c r="Q241" s="329"/>
      <c r="R241" s="329"/>
      <c r="S241" s="329"/>
      <c r="T241" s="329"/>
      <c r="U241" s="329"/>
      <c r="V241" s="329"/>
      <c r="W241" s="329"/>
      <c r="X241" s="329" t="s">
        <v>170</v>
      </c>
      <c r="Y241" s="369"/>
      <c r="Z241" s="329" t="s">
        <v>2962</v>
      </c>
      <c r="AA241" s="329"/>
      <c r="AB241" s="345"/>
      <c r="AC241" s="339"/>
    </row>
    <row r="242" spans="1:29" hidden="1">
      <c r="A242" s="329"/>
      <c r="B242" s="396" t="s">
        <v>523</v>
      </c>
      <c r="C242" s="375">
        <v>2</v>
      </c>
      <c r="D242" s="391" t="s">
        <v>446</v>
      </c>
      <c r="E242" s="403">
        <v>2000</v>
      </c>
      <c r="F242" s="402">
        <v>4000</v>
      </c>
      <c r="G242" s="377" t="s">
        <v>752</v>
      </c>
      <c r="H242" s="335">
        <v>2</v>
      </c>
      <c r="I242" s="329"/>
      <c r="J242" s="329"/>
      <c r="K242" s="329"/>
      <c r="L242" s="329"/>
      <c r="M242" s="329"/>
      <c r="N242" s="329"/>
      <c r="O242" s="329"/>
      <c r="P242" s="335"/>
      <c r="Q242" s="329"/>
      <c r="R242" s="329"/>
      <c r="S242" s="329"/>
      <c r="T242" s="329"/>
      <c r="U242" s="329"/>
      <c r="V242" s="329"/>
      <c r="W242" s="329"/>
      <c r="X242" s="329" t="s">
        <v>170</v>
      </c>
      <c r="Y242" s="330"/>
      <c r="Z242" s="329" t="s">
        <v>3030</v>
      </c>
      <c r="AA242" s="329"/>
      <c r="AB242" s="345"/>
      <c r="AC242" s="339"/>
    </row>
    <row r="243" spans="1:29">
      <c r="A243" s="329"/>
      <c r="B243" s="334" t="s">
        <v>654</v>
      </c>
      <c r="C243" s="377">
        <v>1</v>
      </c>
      <c r="D243" s="391" t="s">
        <v>446</v>
      </c>
      <c r="E243" s="402">
        <v>42390</v>
      </c>
      <c r="F243" s="399">
        <v>42390</v>
      </c>
      <c r="G243" s="391" t="s">
        <v>752</v>
      </c>
      <c r="H243" s="335">
        <v>1</v>
      </c>
      <c r="I243" s="329"/>
      <c r="J243" s="329"/>
      <c r="K243" s="329"/>
      <c r="L243" s="329"/>
      <c r="M243" s="329"/>
      <c r="N243" s="329"/>
      <c r="O243" s="329"/>
      <c r="P243" s="335"/>
      <c r="Q243" s="329"/>
      <c r="R243" s="329"/>
      <c r="S243" s="329"/>
      <c r="T243" s="329"/>
      <c r="U243" s="329"/>
      <c r="V243" s="329"/>
      <c r="W243" s="329"/>
      <c r="X243" s="329" t="s">
        <v>170</v>
      </c>
      <c r="Y243" s="330" t="str">
        <f>DB!$D$194</f>
        <v>Branded Desktop Computer Set</v>
      </c>
      <c r="Z243" s="329" t="s">
        <v>2964</v>
      </c>
      <c r="AA243" s="329"/>
      <c r="AB243" s="345"/>
      <c r="AC243" s="339"/>
    </row>
    <row r="244" spans="1:29" hidden="1">
      <c r="A244" s="329"/>
      <c r="B244" s="334" t="s">
        <v>825</v>
      </c>
      <c r="C244" s="377">
        <v>1</v>
      </c>
      <c r="D244" s="391" t="s">
        <v>446</v>
      </c>
      <c r="E244" s="402">
        <v>38100.97</v>
      </c>
      <c r="F244" s="376">
        <v>38100.97</v>
      </c>
      <c r="G244" s="391" t="s">
        <v>752</v>
      </c>
      <c r="H244" s="335">
        <v>1</v>
      </c>
      <c r="I244" s="329"/>
      <c r="J244" s="329"/>
      <c r="K244" s="329"/>
      <c r="L244" s="329"/>
      <c r="M244" s="329"/>
      <c r="N244" s="329"/>
      <c r="O244" s="329"/>
      <c r="P244" s="335"/>
      <c r="Q244" s="329"/>
      <c r="R244" s="329"/>
      <c r="S244" s="329"/>
      <c r="T244" s="329"/>
      <c r="U244" s="329"/>
      <c r="V244" s="329"/>
      <c r="W244" s="329"/>
      <c r="X244" s="329" t="s">
        <v>170</v>
      </c>
      <c r="Y244" s="330" t="str">
        <f>DB!$D$76</f>
        <v>Dot Matrix Printer 24-Pin</v>
      </c>
      <c r="Z244" s="351" t="s">
        <v>8</v>
      </c>
      <c r="AA244" s="329"/>
      <c r="AB244" s="345"/>
      <c r="AC244" s="339"/>
    </row>
    <row r="245" spans="1:29" hidden="1">
      <c r="A245" s="329"/>
      <c r="B245" s="334" t="s">
        <v>826</v>
      </c>
      <c r="C245" s="391">
        <v>8</v>
      </c>
      <c r="D245" s="377" t="s">
        <v>571</v>
      </c>
      <c r="E245" s="335">
        <v>249.6</v>
      </c>
      <c r="F245" s="402">
        <v>1996.8</v>
      </c>
      <c r="G245" s="377" t="s">
        <v>3031</v>
      </c>
      <c r="H245" s="335">
        <v>4</v>
      </c>
      <c r="I245" s="329"/>
      <c r="J245" s="329"/>
      <c r="K245" s="329"/>
      <c r="L245" s="329"/>
      <c r="M245" s="329"/>
      <c r="N245" s="329"/>
      <c r="O245" s="329"/>
      <c r="P245" s="335">
        <v>4</v>
      </c>
      <c r="Q245" s="329"/>
      <c r="R245" s="329"/>
      <c r="S245" s="329"/>
      <c r="T245" s="329"/>
      <c r="U245" s="329"/>
      <c r="V245" s="329"/>
      <c r="W245" s="329"/>
      <c r="X245" s="329" t="s">
        <v>170</v>
      </c>
      <c r="Y245" s="330" t="str">
        <f>DB!$D$102</f>
        <v>Epson Genuine Ink T6641 Black</v>
      </c>
      <c r="Z245" s="351" t="s">
        <v>8</v>
      </c>
      <c r="AA245" s="329"/>
      <c r="AB245" s="345"/>
      <c r="AC245" s="339"/>
    </row>
    <row r="246" spans="1:29" hidden="1">
      <c r="A246" s="329"/>
      <c r="B246" s="334" t="s">
        <v>827</v>
      </c>
      <c r="C246" s="391">
        <v>2</v>
      </c>
      <c r="D246" s="377" t="s">
        <v>571</v>
      </c>
      <c r="E246" s="335">
        <v>249.6</v>
      </c>
      <c r="F246" s="391">
        <v>499.2</v>
      </c>
      <c r="G246" s="377" t="s">
        <v>3031</v>
      </c>
      <c r="H246" s="335">
        <v>1</v>
      </c>
      <c r="I246" s="329"/>
      <c r="J246" s="329"/>
      <c r="K246" s="329"/>
      <c r="L246" s="329"/>
      <c r="M246" s="329"/>
      <c r="N246" s="329"/>
      <c r="O246" s="329"/>
      <c r="P246" s="335">
        <v>1</v>
      </c>
      <c r="Q246" s="329"/>
      <c r="R246" s="329"/>
      <c r="S246" s="329"/>
      <c r="T246" s="329"/>
      <c r="U246" s="329"/>
      <c r="V246" s="329"/>
      <c r="W246" s="329"/>
      <c r="X246" s="329" t="s">
        <v>170</v>
      </c>
      <c r="Y246" s="330" t="str">
        <f>DB!$D$103</f>
        <v>Epson Genuine Ink T6642 Cyan</v>
      </c>
      <c r="Z246" s="351" t="s">
        <v>8</v>
      </c>
      <c r="AA246" s="329"/>
      <c r="AB246" s="345"/>
      <c r="AC246" s="339"/>
    </row>
    <row r="247" spans="1:29" ht="31.5" hidden="1">
      <c r="A247" s="329"/>
      <c r="B247" s="334" t="s">
        <v>828</v>
      </c>
      <c r="C247" s="391">
        <v>2</v>
      </c>
      <c r="D247" s="377" t="s">
        <v>571</v>
      </c>
      <c r="E247" s="391">
        <v>249.6</v>
      </c>
      <c r="F247" s="391">
        <v>499.2</v>
      </c>
      <c r="G247" s="377" t="s">
        <v>3031</v>
      </c>
      <c r="H247" s="335">
        <v>1</v>
      </c>
      <c r="I247" s="329"/>
      <c r="J247" s="329"/>
      <c r="K247" s="329"/>
      <c r="L247" s="329"/>
      <c r="M247" s="329"/>
      <c r="N247" s="329"/>
      <c r="O247" s="329"/>
      <c r="P247" s="335">
        <v>1</v>
      </c>
      <c r="Q247" s="329"/>
      <c r="R247" s="329"/>
      <c r="S247" s="329"/>
      <c r="T247" s="329"/>
      <c r="U247" s="329"/>
      <c r="V247" s="329"/>
      <c r="W247" s="329"/>
      <c r="X247" s="329" t="s">
        <v>170</v>
      </c>
      <c r="Y247" s="330" t="str">
        <f>DB!$D$104</f>
        <v>Epson Genuine Ink T6643 Magenta</v>
      </c>
      <c r="Z247" s="351" t="s">
        <v>8</v>
      </c>
      <c r="AA247" s="329"/>
      <c r="AB247" s="345"/>
      <c r="AC247" s="339"/>
    </row>
    <row r="248" spans="1:29" ht="31.5" hidden="1">
      <c r="A248" s="329"/>
      <c r="B248" s="334" t="s">
        <v>829</v>
      </c>
      <c r="C248" s="391">
        <v>2</v>
      </c>
      <c r="D248" s="377" t="s">
        <v>571</v>
      </c>
      <c r="E248" s="377">
        <v>249.6</v>
      </c>
      <c r="F248" s="377">
        <v>499.2</v>
      </c>
      <c r="G248" s="377" t="s">
        <v>3031</v>
      </c>
      <c r="H248" s="335">
        <v>1</v>
      </c>
      <c r="I248" s="329"/>
      <c r="J248" s="329"/>
      <c r="K248" s="329"/>
      <c r="L248" s="329"/>
      <c r="M248" s="329"/>
      <c r="N248" s="329"/>
      <c r="O248" s="329"/>
      <c r="P248" s="335">
        <v>1</v>
      </c>
      <c r="Q248" s="329"/>
      <c r="R248" s="329"/>
      <c r="S248" s="329"/>
      <c r="T248" s="329"/>
      <c r="U248" s="329"/>
      <c r="V248" s="329"/>
      <c r="W248" s="329"/>
      <c r="X248" s="329" t="s">
        <v>170</v>
      </c>
      <c r="Y248" s="330" t="str">
        <f>DB!$D$105</f>
        <v>Epson Genuine Ink T6644 Yellow</v>
      </c>
      <c r="Z248" s="351" t="s">
        <v>8</v>
      </c>
      <c r="AA248" s="329"/>
      <c r="AB248" s="345"/>
      <c r="AC248" s="339"/>
    </row>
    <row r="249" spans="1:29" ht="31.5" hidden="1">
      <c r="A249" s="329"/>
      <c r="B249" s="334" t="s">
        <v>830</v>
      </c>
      <c r="C249" s="391">
        <v>4</v>
      </c>
      <c r="D249" s="377" t="s">
        <v>571</v>
      </c>
      <c r="E249" s="337">
        <v>249.6</v>
      </c>
      <c r="F249" s="391">
        <v>998.4</v>
      </c>
      <c r="G249" s="377" t="s">
        <v>3031</v>
      </c>
      <c r="H249" s="335">
        <v>2</v>
      </c>
      <c r="I249" s="329"/>
      <c r="J249" s="329"/>
      <c r="K249" s="329"/>
      <c r="L249" s="329"/>
      <c r="M249" s="329"/>
      <c r="N249" s="329"/>
      <c r="O249" s="329"/>
      <c r="P249" s="335">
        <v>2</v>
      </c>
      <c r="Q249" s="329"/>
      <c r="R249" s="329"/>
      <c r="S249" s="329"/>
      <c r="T249" s="329"/>
      <c r="U249" s="329"/>
      <c r="V249" s="329"/>
      <c r="W249" s="329"/>
      <c r="X249" s="329" t="s">
        <v>170</v>
      </c>
      <c r="Y249" s="330" t="str">
        <f>DB!$D$113</f>
        <v>HP Genuine Ink Refill - (GT52) Yellow</v>
      </c>
      <c r="Z249" s="351" t="s">
        <v>8</v>
      </c>
      <c r="AA249" s="329"/>
      <c r="AB249" s="345"/>
      <c r="AC249" s="339"/>
    </row>
    <row r="250" spans="1:29" ht="31.5" hidden="1">
      <c r="A250" s="329"/>
      <c r="B250" s="334" t="s">
        <v>831</v>
      </c>
      <c r="C250" s="391">
        <v>4</v>
      </c>
      <c r="D250" s="377" t="s">
        <v>571</v>
      </c>
      <c r="E250" s="335">
        <v>249.6</v>
      </c>
      <c r="F250" s="391">
        <v>998.4</v>
      </c>
      <c r="G250" s="377" t="s">
        <v>3031</v>
      </c>
      <c r="H250" s="335">
        <v>2</v>
      </c>
      <c r="I250" s="329"/>
      <c r="J250" s="329"/>
      <c r="K250" s="329"/>
      <c r="L250" s="329"/>
      <c r="M250" s="329"/>
      <c r="N250" s="329"/>
      <c r="O250" s="329"/>
      <c r="P250" s="335">
        <v>2</v>
      </c>
      <c r="Q250" s="329"/>
      <c r="R250" s="329"/>
      <c r="S250" s="329"/>
      <c r="T250" s="329"/>
      <c r="U250" s="329"/>
      <c r="V250" s="329"/>
      <c r="W250" s="329"/>
      <c r="X250" s="329" t="s">
        <v>170</v>
      </c>
      <c r="Y250" s="330" t="str">
        <f>DB!$D$111</f>
        <v>HP Genuine Ink Refill - (GT52) Magenta</v>
      </c>
      <c r="Z250" s="351" t="s">
        <v>8</v>
      </c>
      <c r="AA250" s="329"/>
      <c r="AB250" s="345"/>
      <c r="AC250" s="339"/>
    </row>
    <row r="251" spans="1:29" ht="31.5" hidden="1">
      <c r="A251" s="329"/>
      <c r="B251" s="334" t="s">
        <v>832</v>
      </c>
      <c r="C251" s="391">
        <v>4</v>
      </c>
      <c r="D251" s="377" t="s">
        <v>571</v>
      </c>
      <c r="E251" s="391">
        <v>249.6</v>
      </c>
      <c r="F251" s="391">
        <v>998.4</v>
      </c>
      <c r="G251" s="377" t="s">
        <v>3031</v>
      </c>
      <c r="H251" s="335">
        <v>2</v>
      </c>
      <c r="I251" s="329"/>
      <c r="J251" s="329"/>
      <c r="K251" s="329"/>
      <c r="L251" s="329"/>
      <c r="M251" s="329"/>
      <c r="N251" s="329"/>
      <c r="O251" s="329"/>
      <c r="P251" s="335">
        <v>2</v>
      </c>
      <c r="Q251" s="329"/>
      <c r="R251" s="329"/>
      <c r="S251" s="329"/>
      <c r="T251" s="329"/>
      <c r="U251" s="329"/>
      <c r="V251" s="329"/>
      <c r="W251" s="329"/>
      <c r="X251" s="329" t="s">
        <v>170</v>
      </c>
      <c r="Y251" s="330" t="str">
        <f>DB!$D$112</f>
        <v>HP Genuine Ink Refill - (GT52) Cyan</v>
      </c>
      <c r="Z251" s="351" t="s">
        <v>8</v>
      </c>
      <c r="AA251" s="329"/>
      <c r="AB251" s="345"/>
      <c r="AC251" s="339"/>
    </row>
    <row r="252" spans="1:29" ht="31.5" hidden="1">
      <c r="A252" s="329"/>
      <c r="B252" s="334" t="s">
        <v>833</v>
      </c>
      <c r="C252" s="391">
        <v>8</v>
      </c>
      <c r="D252" s="377" t="s">
        <v>571</v>
      </c>
      <c r="E252" s="377">
        <v>249.6</v>
      </c>
      <c r="F252" s="376">
        <v>1996.8</v>
      </c>
      <c r="G252" s="377" t="s">
        <v>3031</v>
      </c>
      <c r="H252" s="335">
        <v>4</v>
      </c>
      <c r="I252" s="329"/>
      <c r="J252" s="329"/>
      <c r="K252" s="329"/>
      <c r="L252" s="329"/>
      <c r="M252" s="329"/>
      <c r="N252" s="329"/>
      <c r="O252" s="329"/>
      <c r="P252" s="335">
        <v>4</v>
      </c>
      <c r="Q252" s="329"/>
      <c r="R252" s="329"/>
      <c r="S252" s="329"/>
      <c r="T252" s="329"/>
      <c r="U252" s="329"/>
      <c r="V252" s="329"/>
      <c r="W252" s="329"/>
      <c r="X252" s="329" t="s">
        <v>170</v>
      </c>
      <c r="Y252" s="369" t="str">
        <f>DB!$D$110</f>
        <v>HP Genuine Ink Refill - (GT53) Black</v>
      </c>
      <c r="Z252" s="351" t="s">
        <v>8</v>
      </c>
      <c r="AA252" s="329"/>
      <c r="AB252" s="345"/>
      <c r="AC252" s="339"/>
    </row>
    <row r="253" spans="1:29" hidden="1">
      <c r="A253" s="329"/>
      <c r="B253" s="370" t="s">
        <v>3032</v>
      </c>
      <c r="C253" s="375">
        <v>2</v>
      </c>
      <c r="D253" s="371" t="s">
        <v>466</v>
      </c>
      <c r="E253" s="374">
        <v>2636</v>
      </c>
      <c r="F253" s="404">
        <v>5272</v>
      </c>
      <c r="G253" s="405"/>
      <c r="H253" s="371">
        <v>1</v>
      </c>
      <c r="I253" s="371">
        <v>1</v>
      </c>
      <c r="J253" s="371">
        <v>0</v>
      </c>
      <c r="K253" s="371">
        <v>0</v>
      </c>
      <c r="L253" s="371">
        <v>0</v>
      </c>
      <c r="M253" s="371">
        <v>0</v>
      </c>
      <c r="N253" s="371">
        <v>0</v>
      </c>
      <c r="O253" s="371">
        <v>0</v>
      </c>
      <c r="P253" s="371">
        <v>1</v>
      </c>
      <c r="Q253" s="371">
        <v>1</v>
      </c>
      <c r="R253" s="371">
        <v>0</v>
      </c>
      <c r="S253" s="371">
        <v>0</v>
      </c>
      <c r="T253" s="371">
        <v>0</v>
      </c>
      <c r="U253" s="371">
        <v>0</v>
      </c>
      <c r="V253" s="371">
        <v>0</v>
      </c>
      <c r="W253" s="371">
        <v>0</v>
      </c>
      <c r="X253" s="329" t="s">
        <v>196</v>
      </c>
      <c r="Y253" s="330"/>
      <c r="Z253" s="329" t="s">
        <v>2962</v>
      </c>
      <c r="AA253" s="329"/>
      <c r="AB253" s="345"/>
      <c r="AC253" s="339"/>
    </row>
    <row r="254" spans="1:29">
      <c r="A254" s="329"/>
      <c r="B254" s="372" t="s">
        <v>526</v>
      </c>
      <c r="C254" s="377">
        <v>1</v>
      </c>
      <c r="D254" s="373" t="s">
        <v>103</v>
      </c>
      <c r="E254" s="348">
        <v>25000</v>
      </c>
      <c r="F254" s="406">
        <v>25000</v>
      </c>
      <c r="G254" s="394"/>
      <c r="H254" s="373">
        <v>1</v>
      </c>
      <c r="I254" s="373">
        <v>1</v>
      </c>
      <c r="J254" s="373">
        <v>0</v>
      </c>
      <c r="K254" s="373">
        <v>0</v>
      </c>
      <c r="L254" s="373">
        <v>0</v>
      </c>
      <c r="M254" s="373">
        <v>0</v>
      </c>
      <c r="N254" s="373">
        <v>0</v>
      </c>
      <c r="O254" s="373">
        <v>0</v>
      </c>
      <c r="P254" s="373">
        <v>0</v>
      </c>
      <c r="Q254" s="373">
        <v>0</v>
      </c>
      <c r="R254" s="373">
        <v>0</v>
      </c>
      <c r="S254" s="373">
        <v>0</v>
      </c>
      <c r="T254" s="373">
        <v>0</v>
      </c>
      <c r="U254" s="373">
        <v>0</v>
      </c>
      <c r="V254" s="373">
        <v>0</v>
      </c>
      <c r="W254" s="373">
        <v>0</v>
      </c>
      <c r="X254" s="329" t="s">
        <v>196</v>
      </c>
      <c r="Y254" s="330" t="str">
        <f>DB!$D$194</f>
        <v>Branded Desktop Computer Set</v>
      </c>
      <c r="Z254" s="329" t="s">
        <v>2964</v>
      </c>
      <c r="AA254" s="329"/>
      <c r="AB254" s="345"/>
      <c r="AC254" s="339"/>
    </row>
    <row r="255" spans="1:29" hidden="1">
      <c r="A255" s="329"/>
      <c r="B255" s="372" t="s">
        <v>568</v>
      </c>
      <c r="C255" s="377">
        <v>2</v>
      </c>
      <c r="D255" s="373" t="s">
        <v>103</v>
      </c>
      <c r="E255" s="348">
        <v>3500</v>
      </c>
      <c r="F255" s="406">
        <v>7000</v>
      </c>
      <c r="G255" s="407" t="s">
        <v>342</v>
      </c>
      <c r="H255" s="362">
        <v>1</v>
      </c>
      <c r="I255" s="373">
        <v>1</v>
      </c>
      <c r="J255" s="373">
        <v>0</v>
      </c>
      <c r="K255" s="373">
        <v>0</v>
      </c>
      <c r="L255" s="373">
        <v>0</v>
      </c>
      <c r="M255" s="373">
        <v>0</v>
      </c>
      <c r="N255" s="373">
        <v>0</v>
      </c>
      <c r="O255" s="373">
        <v>0</v>
      </c>
      <c r="P255" s="373">
        <v>1</v>
      </c>
      <c r="Q255" s="373">
        <v>1</v>
      </c>
      <c r="R255" s="373">
        <v>0</v>
      </c>
      <c r="S255" s="373">
        <v>0</v>
      </c>
      <c r="T255" s="373">
        <v>0</v>
      </c>
      <c r="U255" s="373">
        <v>0</v>
      </c>
      <c r="V255" s="373">
        <v>0</v>
      </c>
      <c r="W255" s="373">
        <v>0</v>
      </c>
      <c r="X255" s="329" t="s">
        <v>196</v>
      </c>
      <c r="Y255" s="369" t="str">
        <f>DB!$D$6</f>
        <v>UPS 650VA, AVR, 230V</v>
      </c>
      <c r="Z255" s="329" t="s">
        <v>8</v>
      </c>
      <c r="AA255" s="329"/>
      <c r="AB255" s="345"/>
      <c r="AC255" s="339"/>
    </row>
    <row r="256" spans="1:29" hidden="1">
      <c r="A256" s="329"/>
      <c r="B256" s="372" t="s">
        <v>3003</v>
      </c>
      <c r="C256" s="377">
        <v>120</v>
      </c>
      <c r="D256" s="341" t="s">
        <v>571</v>
      </c>
      <c r="E256" s="341">
        <v>500</v>
      </c>
      <c r="F256" s="406">
        <v>60000</v>
      </c>
      <c r="G256" s="343"/>
      <c r="H256" s="373">
        <v>30</v>
      </c>
      <c r="I256" s="341">
        <v>10</v>
      </c>
      <c r="J256" s="341">
        <v>10</v>
      </c>
      <c r="K256" s="341">
        <v>10</v>
      </c>
      <c r="L256" s="373">
        <v>30</v>
      </c>
      <c r="M256" s="341">
        <v>10</v>
      </c>
      <c r="N256" s="341">
        <v>10</v>
      </c>
      <c r="O256" s="341">
        <v>10</v>
      </c>
      <c r="P256" s="373">
        <v>30</v>
      </c>
      <c r="Q256" s="341">
        <v>10</v>
      </c>
      <c r="R256" s="341">
        <v>10</v>
      </c>
      <c r="S256" s="341">
        <v>10</v>
      </c>
      <c r="T256" s="373">
        <v>30</v>
      </c>
      <c r="U256" s="341">
        <v>10</v>
      </c>
      <c r="V256" s="341">
        <v>10</v>
      </c>
      <c r="W256" s="341">
        <v>10</v>
      </c>
      <c r="X256" s="329" t="s">
        <v>196</v>
      </c>
      <c r="Y256" s="330"/>
      <c r="Z256" s="329" t="s">
        <v>11</v>
      </c>
      <c r="AA256" s="329"/>
      <c r="AB256" s="345"/>
      <c r="AC256" s="339"/>
    </row>
    <row r="257" spans="1:29" hidden="1">
      <c r="A257" s="329"/>
      <c r="B257" s="372" t="s">
        <v>3004</v>
      </c>
      <c r="C257" s="377">
        <v>24</v>
      </c>
      <c r="D257" s="341" t="s">
        <v>571</v>
      </c>
      <c r="E257" s="341">
        <v>500</v>
      </c>
      <c r="F257" s="406">
        <v>12000</v>
      </c>
      <c r="G257" s="341"/>
      <c r="H257" s="373">
        <v>6</v>
      </c>
      <c r="I257" s="341">
        <v>2</v>
      </c>
      <c r="J257" s="341">
        <v>2</v>
      </c>
      <c r="K257" s="341">
        <v>2</v>
      </c>
      <c r="L257" s="373">
        <v>6</v>
      </c>
      <c r="M257" s="341">
        <v>2</v>
      </c>
      <c r="N257" s="341">
        <v>2</v>
      </c>
      <c r="O257" s="341">
        <v>2</v>
      </c>
      <c r="P257" s="373">
        <v>6</v>
      </c>
      <c r="Q257" s="341">
        <v>2</v>
      </c>
      <c r="R257" s="341">
        <v>2</v>
      </c>
      <c r="S257" s="341">
        <v>2</v>
      </c>
      <c r="T257" s="373">
        <v>6</v>
      </c>
      <c r="U257" s="341">
        <v>2</v>
      </c>
      <c r="V257" s="341">
        <v>2</v>
      </c>
      <c r="W257" s="341">
        <v>2</v>
      </c>
      <c r="X257" s="329" t="s">
        <v>196</v>
      </c>
      <c r="Y257" s="330"/>
      <c r="Z257" s="329" t="s">
        <v>11</v>
      </c>
      <c r="AA257" s="329"/>
      <c r="AB257" s="345"/>
      <c r="AC257" s="339"/>
    </row>
    <row r="258" spans="1:29" hidden="1">
      <c r="A258" s="329"/>
      <c r="B258" s="372" t="s">
        <v>3005</v>
      </c>
      <c r="C258" s="377">
        <v>24</v>
      </c>
      <c r="D258" s="341" t="s">
        <v>571</v>
      </c>
      <c r="E258" s="341">
        <v>500</v>
      </c>
      <c r="F258" s="406">
        <v>12000</v>
      </c>
      <c r="G258" s="341"/>
      <c r="H258" s="373">
        <v>6</v>
      </c>
      <c r="I258" s="341">
        <v>2</v>
      </c>
      <c r="J258" s="341">
        <v>2</v>
      </c>
      <c r="K258" s="341">
        <v>2</v>
      </c>
      <c r="L258" s="373">
        <v>6</v>
      </c>
      <c r="M258" s="341">
        <v>2</v>
      </c>
      <c r="N258" s="341">
        <v>2</v>
      </c>
      <c r="O258" s="341">
        <v>2</v>
      </c>
      <c r="P258" s="373">
        <v>6</v>
      </c>
      <c r="Q258" s="341">
        <v>2</v>
      </c>
      <c r="R258" s="341">
        <v>2</v>
      </c>
      <c r="S258" s="341">
        <v>2</v>
      </c>
      <c r="T258" s="373">
        <v>6</v>
      </c>
      <c r="U258" s="341">
        <v>2</v>
      </c>
      <c r="V258" s="341">
        <v>2</v>
      </c>
      <c r="W258" s="341">
        <v>2</v>
      </c>
      <c r="X258" s="329" t="s">
        <v>196</v>
      </c>
      <c r="Y258" s="330"/>
      <c r="Z258" s="329" t="s">
        <v>11</v>
      </c>
      <c r="AA258" s="329"/>
      <c r="AB258" s="345"/>
      <c r="AC258" s="339"/>
    </row>
    <row r="259" spans="1:29" hidden="1">
      <c r="A259" s="329"/>
      <c r="B259" s="372" t="s">
        <v>3006</v>
      </c>
      <c r="C259" s="377">
        <v>24</v>
      </c>
      <c r="D259" s="341" t="s">
        <v>571</v>
      </c>
      <c r="E259" s="341">
        <v>500</v>
      </c>
      <c r="F259" s="406">
        <v>12000</v>
      </c>
      <c r="G259" s="341"/>
      <c r="H259" s="373">
        <v>6</v>
      </c>
      <c r="I259" s="341">
        <v>2</v>
      </c>
      <c r="J259" s="341">
        <v>2</v>
      </c>
      <c r="K259" s="341">
        <v>2</v>
      </c>
      <c r="L259" s="373">
        <v>6</v>
      </c>
      <c r="M259" s="341">
        <v>2</v>
      </c>
      <c r="N259" s="341">
        <v>2</v>
      </c>
      <c r="O259" s="341">
        <v>2</v>
      </c>
      <c r="P259" s="373">
        <v>6</v>
      </c>
      <c r="Q259" s="341">
        <v>2</v>
      </c>
      <c r="R259" s="341">
        <v>2</v>
      </c>
      <c r="S259" s="341">
        <v>2</v>
      </c>
      <c r="T259" s="373">
        <v>6</v>
      </c>
      <c r="U259" s="341">
        <v>2</v>
      </c>
      <c r="V259" s="341">
        <v>2</v>
      </c>
      <c r="W259" s="341">
        <v>2</v>
      </c>
      <c r="X259" s="329" t="s">
        <v>196</v>
      </c>
      <c r="Y259" s="330"/>
      <c r="Z259" s="329" t="s">
        <v>11</v>
      </c>
      <c r="AA259" s="329"/>
      <c r="AB259" s="345"/>
      <c r="AC259" s="339"/>
    </row>
    <row r="260" spans="1:29" ht="31.5" hidden="1">
      <c r="A260" s="329"/>
      <c r="B260" s="334" t="s">
        <v>889</v>
      </c>
      <c r="C260" s="377">
        <v>60</v>
      </c>
      <c r="D260" s="341" t="s">
        <v>103</v>
      </c>
      <c r="E260" s="377">
        <v>380</v>
      </c>
      <c r="F260" s="406">
        <v>22800</v>
      </c>
      <c r="G260" s="341" t="s">
        <v>2976</v>
      </c>
      <c r="H260" s="373">
        <v>15</v>
      </c>
      <c r="I260" s="341">
        <v>5</v>
      </c>
      <c r="J260" s="341">
        <v>5</v>
      </c>
      <c r="K260" s="341">
        <v>5</v>
      </c>
      <c r="L260" s="373">
        <v>15</v>
      </c>
      <c r="M260" s="341">
        <v>5</v>
      </c>
      <c r="N260" s="341">
        <v>5</v>
      </c>
      <c r="O260" s="341">
        <v>5</v>
      </c>
      <c r="P260" s="373">
        <v>15</v>
      </c>
      <c r="Q260" s="341">
        <v>5</v>
      </c>
      <c r="R260" s="341">
        <v>5</v>
      </c>
      <c r="S260" s="341">
        <v>5</v>
      </c>
      <c r="T260" s="373">
        <v>15</v>
      </c>
      <c r="U260" s="341">
        <v>5</v>
      </c>
      <c r="V260" s="341">
        <v>5</v>
      </c>
      <c r="W260" s="341">
        <v>5</v>
      </c>
      <c r="X260" s="329" t="s">
        <v>196</v>
      </c>
      <c r="Y260" s="330" t="str">
        <f>DB!$D$177</f>
        <v>EPSON LQ310 Ribbon Cartridge (SO15634)</v>
      </c>
      <c r="Z260" s="329" t="s">
        <v>8</v>
      </c>
      <c r="AA260" s="329"/>
      <c r="AB260" s="345"/>
      <c r="AC260" s="339"/>
    </row>
    <row r="261" spans="1:29" hidden="1">
      <c r="A261" s="329"/>
      <c r="B261" s="338" t="s">
        <v>897</v>
      </c>
      <c r="C261" s="391">
        <v>120</v>
      </c>
      <c r="D261" s="341" t="s">
        <v>571</v>
      </c>
      <c r="E261" s="377">
        <v>380</v>
      </c>
      <c r="F261" s="406">
        <v>45600</v>
      </c>
      <c r="G261" s="341"/>
      <c r="H261" s="373">
        <v>30</v>
      </c>
      <c r="I261" s="341">
        <v>10</v>
      </c>
      <c r="J261" s="341">
        <v>10</v>
      </c>
      <c r="K261" s="341">
        <v>10</v>
      </c>
      <c r="L261" s="373">
        <v>30</v>
      </c>
      <c r="M261" s="341">
        <v>10</v>
      </c>
      <c r="N261" s="341">
        <v>10</v>
      </c>
      <c r="O261" s="341">
        <v>10</v>
      </c>
      <c r="P261" s="373">
        <v>30</v>
      </c>
      <c r="Q261" s="341">
        <v>10</v>
      </c>
      <c r="R261" s="341">
        <v>10</v>
      </c>
      <c r="S261" s="341">
        <v>10</v>
      </c>
      <c r="T261" s="373">
        <v>30</v>
      </c>
      <c r="U261" s="341">
        <v>10</v>
      </c>
      <c r="V261" s="341">
        <v>10</v>
      </c>
      <c r="W261" s="341">
        <v>10</v>
      </c>
      <c r="X261" s="329" t="s">
        <v>196</v>
      </c>
      <c r="Y261" s="361" t="s">
        <v>199</v>
      </c>
      <c r="Z261" s="329" t="s">
        <v>8</v>
      </c>
      <c r="AA261" s="329"/>
      <c r="AB261" s="345"/>
      <c r="AC261" s="339"/>
    </row>
    <row r="262" spans="1:29" hidden="1">
      <c r="A262" s="329"/>
      <c r="B262" s="334" t="s">
        <v>900</v>
      </c>
      <c r="C262" s="391">
        <v>24</v>
      </c>
      <c r="D262" s="341" t="s">
        <v>571</v>
      </c>
      <c r="E262" s="377">
        <v>380</v>
      </c>
      <c r="F262" s="406">
        <v>9120</v>
      </c>
      <c r="G262" s="341"/>
      <c r="H262" s="373">
        <v>6</v>
      </c>
      <c r="I262" s="341">
        <v>2</v>
      </c>
      <c r="J262" s="341">
        <v>2</v>
      </c>
      <c r="K262" s="341">
        <v>2</v>
      </c>
      <c r="L262" s="373">
        <v>6</v>
      </c>
      <c r="M262" s="341">
        <v>2</v>
      </c>
      <c r="N262" s="341">
        <v>2</v>
      </c>
      <c r="O262" s="341">
        <v>2</v>
      </c>
      <c r="P262" s="373">
        <v>6</v>
      </c>
      <c r="Q262" s="341">
        <v>2</v>
      </c>
      <c r="R262" s="341">
        <v>2</v>
      </c>
      <c r="S262" s="341">
        <v>2</v>
      </c>
      <c r="T262" s="373">
        <v>6</v>
      </c>
      <c r="U262" s="341">
        <v>2</v>
      </c>
      <c r="V262" s="341">
        <v>2</v>
      </c>
      <c r="W262" s="341">
        <v>2</v>
      </c>
      <c r="X262" s="329" t="s">
        <v>196</v>
      </c>
      <c r="Y262" s="361" t="s">
        <v>209</v>
      </c>
      <c r="Z262" s="329" t="s">
        <v>8</v>
      </c>
      <c r="AA262" s="329"/>
      <c r="AB262" s="345"/>
      <c r="AC262" s="339"/>
    </row>
    <row r="263" spans="1:29" ht="31.5" hidden="1">
      <c r="A263" s="329"/>
      <c r="B263" s="334" t="s">
        <v>899</v>
      </c>
      <c r="C263" s="391">
        <v>24</v>
      </c>
      <c r="D263" s="341" t="s">
        <v>571</v>
      </c>
      <c r="E263" s="377">
        <v>380</v>
      </c>
      <c r="F263" s="406">
        <v>9120</v>
      </c>
      <c r="G263" s="341"/>
      <c r="H263" s="373">
        <v>6</v>
      </c>
      <c r="I263" s="341">
        <v>2</v>
      </c>
      <c r="J263" s="341">
        <v>2</v>
      </c>
      <c r="K263" s="341">
        <v>2</v>
      </c>
      <c r="L263" s="373">
        <v>6</v>
      </c>
      <c r="M263" s="341">
        <v>2</v>
      </c>
      <c r="N263" s="341">
        <v>2</v>
      </c>
      <c r="O263" s="341">
        <v>2</v>
      </c>
      <c r="P263" s="373">
        <v>6</v>
      </c>
      <c r="Q263" s="341">
        <v>2</v>
      </c>
      <c r="R263" s="341">
        <v>2</v>
      </c>
      <c r="S263" s="341">
        <v>2</v>
      </c>
      <c r="T263" s="373">
        <v>6</v>
      </c>
      <c r="U263" s="341">
        <v>2</v>
      </c>
      <c r="V263" s="341">
        <v>2</v>
      </c>
      <c r="W263" s="341">
        <v>2</v>
      </c>
      <c r="X263" s="329" t="s">
        <v>196</v>
      </c>
      <c r="Y263" s="361" t="s">
        <v>210</v>
      </c>
      <c r="Z263" s="329" t="s">
        <v>8</v>
      </c>
      <c r="AA263" s="329"/>
      <c r="AB263" s="345"/>
      <c r="AC263" s="339"/>
    </row>
    <row r="264" spans="1:29" hidden="1">
      <c r="A264" s="329"/>
      <c r="B264" s="334" t="s">
        <v>898</v>
      </c>
      <c r="C264" s="391">
        <v>24</v>
      </c>
      <c r="D264" s="341" t="s">
        <v>571</v>
      </c>
      <c r="E264" s="377">
        <v>380</v>
      </c>
      <c r="F264" s="406">
        <v>9120</v>
      </c>
      <c r="G264" s="341"/>
      <c r="H264" s="373">
        <v>6</v>
      </c>
      <c r="I264" s="341">
        <v>2</v>
      </c>
      <c r="J264" s="341">
        <v>2</v>
      </c>
      <c r="K264" s="341">
        <v>2</v>
      </c>
      <c r="L264" s="373">
        <v>6</v>
      </c>
      <c r="M264" s="341">
        <v>2</v>
      </c>
      <c r="N264" s="341">
        <v>2</v>
      </c>
      <c r="O264" s="341">
        <v>2</v>
      </c>
      <c r="P264" s="373">
        <v>6</v>
      </c>
      <c r="Q264" s="341">
        <v>2</v>
      </c>
      <c r="R264" s="341">
        <v>2</v>
      </c>
      <c r="S264" s="341">
        <v>2</v>
      </c>
      <c r="T264" s="373">
        <v>6</v>
      </c>
      <c r="U264" s="341">
        <v>2</v>
      </c>
      <c r="V264" s="341">
        <v>2</v>
      </c>
      <c r="W264" s="341">
        <v>2</v>
      </c>
      <c r="X264" s="329" t="s">
        <v>196</v>
      </c>
      <c r="Y264" s="361" t="s">
        <v>211</v>
      </c>
      <c r="Z264" s="329" t="s">
        <v>8</v>
      </c>
      <c r="AA264" s="329"/>
      <c r="AB264" s="345"/>
      <c r="AC264" s="339"/>
    </row>
    <row r="265" spans="1:29" hidden="1">
      <c r="A265" s="329"/>
      <c r="B265" s="334" t="s">
        <v>3033</v>
      </c>
      <c r="C265" s="344">
        <v>2</v>
      </c>
      <c r="D265" s="335" t="s">
        <v>118</v>
      </c>
      <c r="E265" s="347">
        <v>4500</v>
      </c>
      <c r="F265" s="342">
        <v>9000</v>
      </c>
      <c r="G265" s="343"/>
      <c r="H265" s="343">
        <v>1</v>
      </c>
      <c r="I265" s="340">
        <v>1</v>
      </c>
      <c r="J265" s="344"/>
      <c r="K265" s="344"/>
      <c r="L265" s="337"/>
      <c r="M265" s="340"/>
      <c r="N265" s="344"/>
      <c r="O265" s="344"/>
      <c r="P265" s="337">
        <v>1</v>
      </c>
      <c r="Q265" s="340"/>
      <c r="R265" s="344"/>
      <c r="S265" s="344"/>
      <c r="T265" s="337"/>
      <c r="U265" s="343"/>
      <c r="V265" s="343"/>
      <c r="W265" s="343"/>
      <c r="X265" s="329" t="s">
        <v>3034</v>
      </c>
      <c r="Y265" s="369"/>
      <c r="Z265" s="329" t="s">
        <v>2952</v>
      </c>
      <c r="AA265" s="329"/>
      <c r="AB265" s="345"/>
      <c r="AC265" s="339"/>
    </row>
    <row r="266" spans="1:29" hidden="1">
      <c r="A266" s="329"/>
      <c r="B266" s="338" t="s">
        <v>3035</v>
      </c>
      <c r="C266" s="344">
        <v>2</v>
      </c>
      <c r="D266" s="335" t="s">
        <v>118</v>
      </c>
      <c r="E266" s="347">
        <v>18000</v>
      </c>
      <c r="F266" s="347">
        <v>16000</v>
      </c>
      <c r="G266" s="341"/>
      <c r="H266" s="341">
        <v>1</v>
      </c>
      <c r="I266" s="340">
        <v>1</v>
      </c>
      <c r="J266" s="344"/>
      <c r="K266" s="344"/>
      <c r="L266" s="335"/>
      <c r="M266" s="340"/>
      <c r="N266" s="344"/>
      <c r="O266" s="344"/>
      <c r="P266" s="335">
        <v>1</v>
      </c>
      <c r="Q266" s="340"/>
      <c r="R266" s="344"/>
      <c r="S266" s="344"/>
      <c r="T266" s="335"/>
      <c r="U266" s="341"/>
      <c r="V266" s="341"/>
      <c r="W266" s="341"/>
      <c r="X266" s="329" t="s">
        <v>3034</v>
      </c>
      <c r="Y266" s="330"/>
      <c r="Z266" s="329" t="s">
        <v>2952</v>
      </c>
      <c r="AA266" s="329"/>
      <c r="AB266" s="345"/>
      <c r="AC266" s="339"/>
    </row>
    <row r="267" spans="1:29" hidden="1">
      <c r="A267" s="329"/>
      <c r="B267" s="370" t="str">
        <f>DB!$D$102</f>
        <v>Epson Genuine Ink T6641 Black</v>
      </c>
      <c r="C267" s="344">
        <v>24</v>
      </c>
      <c r="D267" s="335" t="s">
        <v>776</v>
      </c>
      <c r="E267" s="347">
        <v>2000</v>
      </c>
      <c r="F267" s="347">
        <v>48000</v>
      </c>
      <c r="G267" s="341"/>
      <c r="H267" s="341">
        <v>6</v>
      </c>
      <c r="I267" s="340">
        <v>2</v>
      </c>
      <c r="J267" s="344">
        <v>2</v>
      </c>
      <c r="K267" s="344">
        <v>2</v>
      </c>
      <c r="L267" s="335">
        <v>6</v>
      </c>
      <c r="M267" s="340">
        <v>2</v>
      </c>
      <c r="N267" s="344">
        <v>2</v>
      </c>
      <c r="O267" s="344">
        <v>2</v>
      </c>
      <c r="P267" s="335">
        <v>6</v>
      </c>
      <c r="Q267" s="340">
        <v>2</v>
      </c>
      <c r="R267" s="344">
        <v>2</v>
      </c>
      <c r="S267" s="344">
        <v>2</v>
      </c>
      <c r="T267" s="335">
        <v>6</v>
      </c>
      <c r="U267" s="341">
        <v>2</v>
      </c>
      <c r="V267" s="341">
        <v>2</v>
      </c>
      <c r="W267" s="341">
        <v>2</v>
      </c>
      <c r="X267" s="329" t="s">
        <v>3034</v>
      </c>
      <c r="Y267" s="330"/>
      <c r="Z267" s="329" t="s">
        <v>8</v>
      </c>
      <c r="AA267" s="329"/>
      <c r="AB267" s="345"/>
      <c r="AC267" s="339"/>
    </row>
    <row r="268" spans="1:29" hidden="1">
      <c r="A268" s="329"/>
      <c r="B268" s="370" t="str">
        <f>DB!$D$103</f>
        <v>Epson Genuine Ink T6642 Cyan</v>
      </c>
      <c r="C268" s="344">
        <v>24</v>
      </c>
      <c r="D268" s="335" t="s">
        <v>776</v>
      </c>
      <c r="E268" s="347">
        <v>2000</v>
      </c>
      <c r="F268" s="347">
        <v>48000</v>
      </c>
      <c r="G268" s="341"/>
      <c r="H268" s="341">
        <v>6</v>
      </c>
      <c r="I268" s="340">
        <v>2</v>
      </c>
      <c r="J268" s="344">
        <v>2</v>
      </c>
      <c r="K268" s="344">
        <v>2</v>
      </c>
      <c r="L268" s="335">
        <v>6</v>
      </c>
      <c r="M268" s="340">
        <v>2</v>
      </c>
      <c r="N268" s="344">
        <v>2</v>
      </c>
      <c r="O268" s="344">
        <v>2</v>
      </c>
      <c r="P268" s="335">
        <v>6</v>
      </c>
      <c r="Q268" s="340">
        <v>2</v>
      </c>
      <c r="R268" s="344">
        <v>2</v>
      </c>
      <c r="S268" s="344">
        <v>2</v>
      </c>
      <c r="T268" s="335">
        <v>6</v>
      </c>
      <c r="U268" s="341">
        <v>2</v>
      </c>
      <c r="V268" s="341">
        <v>2</v>
      </c>
      <c r="W268" s="341">
        <v>2</v>
      </c>
      <c r="X268" s="329" t="s">
        <v>3034</v>
      </c>
      <c r="Y268" s="330"/>
      <c r="Z268" s="329" t="s">
        <v>8</v>
      </c>
      <c r="AA268" s="329"/>
      <c r="AB268" s="345"/>
      <c r="AC268" s="339"/>
    </row>
    <row r="269" spans="1:29" hidden="1">
      <c r="A269" s="329"/>
      <c r="B269" s="370" t="str">
        <f>DB!$D$104</f>
        <v>Epson Genuine Ink T6643 Magenta</v>
      </c>
      <c r="C269" s="344">
        <v>24</v>
      </c>
      <c r="D269" s="335" t="s">
        <v>776</v>
      </c>
      <c r="E269" s="347">
        <v>2000</v>
      </c>
      <c r="F269" s="347">
        <v>48000</v>
      </c>
      <c r="G269" s="341"/>
      <c r="H269" s="341">
        <v>6</v>
      </c>
      <c r="I269" s="340">
        <v>2</v>
      </c>
      <c r="J269" s="344">
        <v>2</v>
      </c>
      <c r="K269" s="344">
        <v>2</v>
      </c>
      <c r="L269" s="335">
        <v>6</v>
      </c>
      <c r="M269" s="340">
        <v>2</v>
      </c>
      <c r="N269" s="344">
        <v>2</v>
      </c>
      <c r="O269" s="344">
        <v>2</v>
      </c>
      <c r="P269" s="335">
        <v>6</v>
      </c>
      <c r="Q269" s="340">
        <v>2</v>
      </c>
      <c r="R269" s="344">
        <v>2</v>
      </c>
      <c r="S269" s="344">
        <v>2</v>
      </c>
      <c r="T269" s="335">
        <v>6</v>
      </c>
      <c r="U269" s="341">
        <v>2</v>
      </c>
      <c r="V269" s="341">
        <v>2</v>
      </c>
      <c r="W269" s="341">
        <v>2</v>
      </c>
      <c r="X269" s="329" t="s">
        <v>3034</v>
      </c>
      <c r="Y269" s="330"/>
      <c r="Z269" s="329" t="s">
        <v>8</v>
      </c>
      <c r="AA269" s="329"/>
      <c r="AB269" s="345"/>
      <c r="AC269" s="339"/>
    </row>
    <row r="270" spans="1:29" hidden="1">
      <c r="A270" s="329"/>
      <c r="B270" s="370" t="str">
        <f>DB!$D$105</f>
        <v>Epson Genuine Ink T6644 Yellow</v>
      </c>
      <c r="C270" s="344">
        <v>24</v>
      </c>
      <c r="D270" s="335" t="s">
        <v>776</v>
      </c>
      <c r="E270" s="347">
        <v>2000</v>
      </c>
      <c r="F270" s="347">
        <v>48000</v>
      </c>
      <c r="G270" s="341"/>
      <c r="H270" s="341">
        <v>6</v>
      </c>
      <c r="I270" s="340">
        <v>2</v>
      </c>
      <c r="J270" s="344">
        <v>2</v>
      </c>
      <c r="K270" s="344">
        <v>2</v>
      </c>
      <c r="L270" s="335">
        <v>6</v>
      </c>
      <c r="M270" s="340">
        <v>2</v>
      </c>
      <c r="N270" s="344">
        <v>2</v>
      </c>
      <c r="O270" s="344">
        <v>2</v>
      </c>
      <c r="P270" s="335">
        <v>6</v>
      </c>
      <c r="Q270" s="340">
        <v>2</v>
      </c>
      <c r="R270" s="344">
        <v>2</v>
      </c>
      <c r="S270" s="344">
        <v>2</v>
      </c>
      <c r="T270" s="335">
        <v>6</v>
      </c>
      <c r="U270" s="341">
        <v>2</v>
      </c>
      <c r="V270" s="341">
        <v>2</v>
      </c>
      <c r="W270" s="341">
        <v>2</v>
      </c>
      <c r="X270" s="329" t="s">
        <v>3034</v>
      </c>
      <c r="Y270" s="330"/>
      <c r="Z270" s="329" t="s">
        <v>8</v>
      </c>
      <c r="AA270" s="329"/>
      <c r="AB270" s="345"/>
      <c r="AC270" s="339"/>
    </row>
    <row r="271" spans="1:29" hidden="1">
      <c r="A271" s="329"/>
      <c r="B271" s="408" t="s">
        <v>199</v>
      </c>
      <c r="C271" s="344">
        <v>24</v>
      </c>
      <c r="D271" s="335" t="s">
        <v>776</v>
      </c>
      <c r="E271" s="347">
        <v>2000</v>
      </c>
      <c r="F271" s="347">
        <v>48000</v>
      </c>
      <c r="G271" s="341"/>
      <c r="H271" s="341">
        <v>6</v>
      </c>
      <c r="I271" s="340">
        <v>2</v>
      </c>
      <c r="J271" s="344">
        <v>2</v>
      </c>
      <c r="K271" s="344">
        <v>2</v>
      </c>
      <c r="L271" s="335">
        <v>6</v>
      </c>
      <c r="M271" s="340">
        <v>2</v>
      </c>
      <c r="N271" s="344">
        <v>2</v>
      </c>
      <c r="O271" s="344">
        <v>2</v>
      </c>
      <c r="P271" s="335">
        <v>6</v>
      </c>
      <c r="Q271" s="340">
        <v>2</v>
      </c>
      <c r="R271" s="344">
        <v>2</v>
      </c>
      <c r="S271" s="344">
        <v>2</v>
      </c>
      <c r="T271" s="335">
        <v>6</v>
      </c>
      <c r="U271" s="341">
        <v>2</v>
      </c>
      <c r="V271" s="341">
        <v>2</v>
      </c>
      <c r="W271" s="341">
        <v>2</v>
      </c>
      <c r="X271" s="329" t="s">
        <v>3034</v>
      </c>
      <c r="Y271" s="330"/>
      <c r="Z271" s="329" t="s">
        <v>8</v>
      </c>
      <c r="AA271" s="329"/>
      <c r="AB271" s="345"/>
      <c r="AC271" s="339"/>
    </row>
    <row r="272" spans="1:29" hidden="1">
      <c r="A272" s="329"/>
      <c r="B272" s="408" t="s">
        <v>209</v>
      </c>
      <c r="C272" s="344">
        <v>24</v>
      </c>
      <c r="D272" s="335" t="s">
        <v>776</v>
      </c>
      <c r="E272" s="347">
        <v>2000</v>
      </c>
      <c r="F272" s="347">
        <v>48000</v>
      </c>
      <c r="G272" s="341"/>
      <c r="H272" s="341">
        <v>6</v>
      </c>
      <c r="I272" s="340">
        <v>2</v>
      </c>
      <c r="J272" s="344">
        <v>2</v>
      </c>
      <c r="K272" s="344">
        <v>2</v>
      </c>
      <c r="L272" s="335">
        <v>6</v>
      </c>
      <c r="M272" s="340">
        <v>2</v>
      </c>
      <c r="N272" s="344">
        <v>2</v>
      </c>
      <c r="O272" s="344">
        <v>2</v>
      </c>
      <c r="P272" s="335">
        <v>6</v>
      </c>
      <c r="Q272" s="340">
        <v>2</v>
      </c>
      <c r="R272" s="344">
        <v>2</v>
      </c>
      <c r="S272" s="344">
        <v>2</v>
      </c>
      <c r="T272" s="335">
        <v>6</v>
      </c>
      <c r="U272" s="341">
        <v>2</v>
      </c>
      <c r="V272" s="341">
        <v>2</v>
      </c>
      <c r="W272" s="341">
        <v>2</v>
      </c>
      <c r="X272" s="329" t="s">
        <v>3034</v>
      </c>
      <c r="Y272" s="330"/>
      <c r="Z272" s="329" t="s">
        <v>8</v>
      </c>
      <c r="AA272" s="329"/>
      <c r="AB272" s="345"/>
      <c r="AC272" s="339"/>
    </row>
    <row r="273" spans="1:29" hidden="1">
      <c r="A273" s="329"/>
      <c r="B273" s="408" t="s">
        <v>210</v>
      </c>
      <c r="C273" s="344">
        <v>24</v>
      </c>
      <c r="D273" s="335" t="s">
        <v>776</v>
      </c>
      <c r="E273" s="347">
        <v>2000</v>
      </c>
      <c r="F273" s="347">
        <v>48000</v>
      </c>
      <c r="G273" s="341"/>
      <c r="H273" s="341">
        <v>6</v>
      </c>
      <c r="I273" s="340">
        <v>2</v>
      </c>
      <c r="J273" s="344">
        <v>2</v>
      </c>
      <c r="K273" s="344">
        <v>2</v>
      </c>
      <c r="L273" s="335">
        <v>6</v>
      </c>
      <c r="M273" s="340">
        <v>2</v>
      </c>
      <c r="N273" s="344">
        <v>2</v>
      </c>
      <c r="O273" s="344">
        <v>2</v>
      </c>
      <c r="P273" s="335">
        <v>6</v>
      </c>
      <c r="Q273" s="340">
        <v>2</v>
      </c>
      <c r="R273" s="344">
        <v>2</v>
      </c>
      <c r="S273" s="344">
        <v>2</v>
      </c>
      <c r="T273" s="335">
        <v>6</v>
      </c>
      <c r="U273" s="341">
        <v>2</v>
      </c>
      <c r="V273" s="341">
        <v>2</v>
      </c>
      <c r="W273" s="341">
        <v>2</v>
      </c>
      <c r="X273" s="329" t="s">
        <v>3034</v>
      </c>
      <c r="Y273" s="330"/>
      <c r="Z273" s="329" t="s">
        <v>8</v>
      </c>
      <c r="AA273" s="329"/>
      <c r="AB273" s="345"/>
      <c r="AC273" s="339"/>
    </row>
    <row r="274" spans="1:29" hidden="1">
      <c r="A274" s="329"/>
      <c r="B274" s="408" t="s">
        <v>211</v>
      </c>
      <c r="C274" s="344">
        <v>24</v>
      </c>
      <c r="D274" s="335" t="s">
        <v>776</v>
      </c>
      <c r="E274" s="347">
        <v>2000</v>
      </c>
      <c r="F274" s="347">
        <v>48000</v>
      </c>
      <c r="G274" s="341"/>
      <c r="H274" s="341">
        <v>6</v>
      </c>
      <c r="I274" s="340">
        <v>2</v>
      </c>
      <c r="J274" s="344">
        <v>2</v>
      </c>
      <c r="K274" s="344">
        <v>2</v>
      </c>
      <c r="L274" s="335">
        <v>6</v>
      </c>
      <c r="M274" s="340">
        <v>2</v>
      </c>
      <c r="N274" s="344">
        <v>2</v>
      </c>
      <c r="O274" s="344">
        <v>2</v>
      </c>
      <c r="P274" s="335">
        <v>6</v>
      </c>
      <c r="Q274" s="340">
        <v>2</v>
      </c>
      <c r="R274" s="344">
        <v>2</v>
      </c>
      <c r="S274" s="344">
        <v>2</v>
      </c>
      <c r="T274" s="335">
        <v>6</v>
      </c>
      <c r="U274" s="341">
        <v>2</v>
      </c>
      <c r="V274" s="341">
        <v>2</v>
      </c>
      <c r="W274" s="341">
        <v>2</v>
      </c>
      <c r="X274" s="329" t="s">
        <v>3034</v>
      </c>
      <c r="Y274" s="330"/>
      <c r="Z274" s="329" t="s">
        <v>8</v>
      </c>
      <c r="AA274" s="329"/>
      <c r="AB274" s="345"/>
      <c r="AC274" s="339"/>
    </row>
    <row r="275" spans="1:29" hidden="1">
      <c r="A275" s="329"/>
      <c r="B275" s="338" t="s">
        <v>3036</v>
      </c>
      <c r="C275" s="340">
        <v>4</v>
      </c>
      <c r="D275" s="335" t="s">
        <v>776</v>
      </c>
      <c r="E275" s="341">
        <v>500</v>
      </c>
      <c r="F275" s="347">
        <v>2000</v>
      </c>
      <c r="G275" s="341"/>
      <c r="H275" s="341">
        <v>1</v>
      </c>
      <c r="I275" s="340">
        <v>1</v>
      </c>
      <c r="J275" s="344"/>
      <c r="K275" s="344"/>
      <c r="L275" s="335">
        <v>1</v>
      </c>
      <c r="M275" s="340">
        <v>1</v>
      </c>
      <c r="N275" s="344"/>
      <c r="O275" s="344"/>
      <c r="P275" s="335">
        <v>1</v>
      </c>
      <c r="Q275" s="340">
        <v>1</v>
      </c>
      <c r="R275" s="344"/>
      <c r="S275" s="344"/>
      <c r="T275" s="335">
        <v>1</v>
      </c>
      <c r="U275" s="341">
        <v>1</v>
      </c>
      <c r="V275" s="341"/>
      <c r="W275" s="341"/>
      <c r="X275" s="329" t="s">
        <v>3034</v>
      </c>
      <c r="Y275" s="330"/>
      <c r="Z275" s="329" t="s">
        <v>11</v>
      </c>
      <c r="AA275" s="329"/>
      <c r="AB275" s="345"/>
      <c r="AC275" s="339"/>
    </row>
    <row r="276" spans="1:29" ht="31.5" hidden="1">
      <c r="A276" s="329"/>
      <c r="B276" s="338" t="s">
        <v>547</v>
      </c>
      <c r="C276" s="343">
        <v>48</v>
      </c>
      <c r="D276" s="343" t="s">
        <v>103</v>
      </c>
      <c r="E276" s="343"/>
      <c r="F276" s="373" t="s">
        <v>488</v>
      </c>
      <c r="G276" s="341"/>
      <c r="H276" s="343">
        <v>12</v>
      </c>
      <c r="I276" s="343">
        <v>4</v>
      </c>
      <c r="J276" s="343">
        <v>4</v>
      </c>
      <c r="K276" s="343">
        <v>4</v>
      </c>
      <c r="L276" s="343">
        <v>12</v>
      </c>
      <c r="M276" s="343">
        <v>4</v>
      </c>
      <c r="N276" s="343">
        <v>4</v>
      </c>
      <c r="O276" s="343">
        <v>4</v>
      </c>
      <c r="P276" s="343">
        <v>12</v>
      </c>
      <c r="Q276" s="343">
        <v>4</v>
      </c>
      <c r="R276" s="343">
        <v>4</v>
      </c>
      <c r="S276" s="343">
        <v>4</v>
      </c>
      <c r="T276" s="343">
        <v>12</v>
      </c>
      <c r="U276" s="343">
        <v>4</v>
      </c>
      <c r="V276" s="343">
        <v>4</v>
      </c>
      <c r="W276" s="343">
        <v>4</v>
      </c>
      <c r="X276" s="329" t="s">
        <v>3034</v>
      </c>
      <c r="Y276" s="369" t="str">
        <f>DB!$D$110</f>
        <v>HP Genuine Ink Refill - (GT53) Black</v>
      </c>
      <c r="Z276" s="329" t="s">
        <v>8</v>
      </c>
      <c r="AA276" s="329"/>
      <c r="AB276" s="345"/>
      <c r="AC276" s="339"/>
    </row>
    <row r="277" spans="1:29" ht="31.5" hidden="1">
      <c r="A277" s="329"/>
      <c r="B277" s="334" t="s">
        <v>548</v>
      </c>
      <c r="C277" s="341">
        <v>48</v>
      </c>
      <c r="D277" s="341" t="s">
        <v>103</v>
      </c>
      <c r="E277" s="341"/>
      <c r="F277" s="373" t="s">
        <v>488</v>
      </c>
      <c r="G277" s="341"/>
      <c r="H277" s="341">
        <v>12</v>
      </c>
      <c r="I277" s="341">
        <v>4</v>
      </c>
      <c r="J277" s="341">
        <v>4</v>
      </c>
      <c r="K277" s="341">
        <v>4</v>
      </c>
      <c r="L277" s="341">
        <v>12</v>
      </c>
      <c r="M277" s="341">
        <v>4</v>
      </c>
      <c r="N277" s="341">
        <v>4</v>
      </c>
      <c r="O277" s="341">
        <v>4</v>
      </c>
      <c r="P277" s="341">
        <v>12</v>
      </c>
      <c r="Q277" s="341">
        <v>4</v>
      </c>
      <c r="R277" s="341">
        <v>4</v>
      </c>
      <c r="S277" s="341">
        <v>4</v>
      </c>
      <c r="T277" s="341">
        <v>12</v>
      </c>
      <c r="U277" s="341">
        <v>4</v>
      </c>
      <c r="V277" s="341">
        <v>4</v>
      </c>
      <c r="W277" s="341">
        <v>4</v>
      </c>
      <c r="X277" s="329" t="s">
        <v>3034</v>
      </c>
      <c r="Y277" s="330" t="str">
        <f>DB!$D$112</f>
        <v>HP Genuine Ink Refill - (GT52) Cyan</v>
      </c>
      <c r="Z277" s="329" t="s">
        <v>8</v>
      </c>
      <c r="AA277" s="329"/>
      <c r="AB277" s="345"/>
      <c r="AC277" s="339"/>
    </row>
    <row r="278" spans="1:29" ht="31.5" hidden="1">
      <c r="A278" s="329"/>
      <c r="B278" s="334" t="s">
        <v>549</v>
      </c>
      <c r="C278" s="341">
        <v>48</v>
      </c>
      <c r="D278" s="341" t="s">
        <v>103</v>
      </c>
      <c r="E278" s="341"/>
      <c r="F278" s="373" t="s">
        <v>488</v>
      </c>
      <c r="G278" s="341"/>
      <c r="H278" s="341">
        <v>12</v>
      </c>
      <c r="I278" s="341">
        <v>4</v>
      </c>
      <c r="J278" s="341">
        <v>4</v>
      </c>
      <c r="K278" s="341">
        <v>4</v>
      </c>
      <c r="L278" s="341">
        <v>12</v>
      </c>
      <c r="M278" s="341">
        <v>4</v>
      </c>
      <c r="N278" s="341">
        <v>4</v>
      </c>
      <c r="O278" s="341">
        <v>4</v>
      </c>
      <c r="P278" s="341">
        <v>12</v>
      </c>
      <c r="Q278" s="341">
        <v>4</v>
      </c>
      <c r="R278" s="341">
        <v>4</v>
      </c>
      <c r="S278" s="341">
        <v>4</v>
      </c>
      <c r="T278" s="341">
        <v>12</v>
      </c>
      <c r="U278" s="341">
        <v>4</v>
      </c>
      <c r="V278" s="341">
        <v>4</v>
      </c>
      <c r="W278" s="341">
        <v>4</v>
      </c>
      <c r="X278" s="329" t="s">
        <v>3034</v>
      </c>
      <c r="Y278" s="330" t="str">
        <f>DB!$D$113</f>
        <v>HP Genuine Ink Refill - (GT52) Yellow</v>
      </c>
      <c r="Z278" s="329" t="s">
        <v>8</v>
      </c>
      <c r="AA278" s="329"/>
      <c r="AB278" s="345"/>
      <c r="AC278" s="339"/>
    </row>
    <row r="279" spans="1:29" ht="31.5" hidden="1">
      <c r="A279" s="329"/>
      <c r="B279" s="334" t="s">
        <v>550</v>
      </c>
      <c r="C279" s="341">
        <v>48</v>
      </c>
      <c r="D279" s="341" t="s">
        <v>103</v>
      </c>
      <c r="E279" s="341"/>
      <c r="F279" s="373" t="s">
        <v>488</v>
      </c>
      <c r="G279" s="341"/>
      <c r="H279" s="341">
        <v>12</v>
      </c>
      <c r="I279" s="341">
        <v>4</v>
      </c>
      <c r="J279" s="341">
        <v>4</v>
      </c>
      <c r="K279" s="341">
        <v>4</v>
      </c>
      <c r="L279" s="341">
        <v>12</v>
      </c>
      <c r="M279" s="341">
        <v>4</v>
      </c>
      <c r="N279" s="341">
        <v>4</v>
      </c>
      <c r="O279" s="341">
        <v>4</v>
      </c>
      <c r="P279" s="341">
        <v>12</v>
      </c>
      <c r="Q279" s="341">
        <v>4</v>
      </c>
      <c r="R279" s="341">
        <v>4</v>
      </c>
      <c r="S279" s="341">
        <v>4</v>
      </c>
      <c r="T279" s="341">
        <v>12</v>
      </c>
      <c r="U279" s="341">
        <v>4</v>
      </c>
      <c r="V279" s="341">
        <v>4</v>
      </c>
      <c r="W279" s="341">
        <v>4</v>
      </c>
      <c r="X279" s="329" t="s">
        <v>3034</v>
      </c>
      <c r="Y279" s="330" t="str">
        <f>DB!$D$111</f>
        <v>HP Genuine Ink Refill - (GT52) Magenta</v>
      </c>
      <c r="Z279" s="329" t="s">
        <v>8</v>
      </c>
      <c r="AA279" s="329"/>
      <c r="AB279" s="345"/>
      <c r="AC279" s="339"/>
    </row>
    <row r="280" spans="1:29" hidden="1">
      <c r="A280" s="329"/>
      <c r="B280" s="372" t="s">
        <v>3037</v>
      </c>
      <c r="C280" s="373">
        <v>10</v>
      </c>
      <c r="D280" s="373" t="s">
        <v>773</v>
      </c>
      <c r="E280" s="373"/>
      <c r="F280" s="373"/>
      <c r="G280" s="373"/>
      <c r="H280" s="373">
        <v>5</v>
      </c>
      <c r="I280" s="373">
        <v>5</v>
      </c>
      <c r="J280" s="373"/>
      <c r="K280" s="373"/>
      <c r="L280" s="373">
        <v>0</v>
      </c>
      <c r="M280" s="373"/>
      <c r="N280" s="373"/>
      <c r="O280" s="373"/>
      <c r="P280" s="373">
        <v>5</v>
      </c>
      <c r="Q280" s="373">
        <v>5</v>
      </c>
      <c r="R280" s="373"/>
      <c r="S280" s="373"/>
      <c r="T280" s="373">
        <v>0</v>
      </c>
      <c r="U280" s="373"/>
      <c r="V280" s="373"/>
      <c r="W280" s="373"/>
      <c r="X280" s="329" t="s">
        <v>3034</v>
      </c>
      <c r="Y280" s="330"/>
      <c r="Z280" s="329" t="s">
        <v>2952</v>
      </c>
      <c r="AA280" s="329"/>
      <c r="AB280" s="345"/>
      <c r="AC280" s="339"/>
    </row>
    <row r="281" spans="1:29">
      <c r="A281" s="329"/>
      <c r="B281" s="334" t="s">
        <v>849</v>
      </c>
      <c r="C281" s="340">
        <v>2</v>
      </c>
      <c r="D281" s="335" t="s">
        <v>103</v>
      </c>
      <c r="E281" s="357"/>
      <c r="F281" s="335"/>
      <c r="G281" s="409" t="s">
        <v>3038</v>
      </c>
      <c r="H281" s="337">
        <v>1</v>
      </c>
      <c r="I281" s="340">
        <v>1</v>
      </c>
      <c r="J281" s="344"/>
      <c r="K281" s="344"/>
      <c r="L281" s="337"/>
      <c r="M281" s="340"/>
      <c r="N281" s="344"/>
      <c r="O281" s="344"/>
      <c r="P281" s="337"/>
      <c r="Q281" s="340"/>
      <c r="R281" s="344"/>
      <c r="S281" s="344"/>
      <c r="T281" s="337">
        <v>1</v>
      </c>
      <c r="U281" s="343">
        <v>1</v>
      </c>
      <c r="V281" s="343"/>
      <c r="W281" s="343"/>
      <c r="X281" s="329" t="s">
        <v>2613</v>
      </c>
      <c r="Y281" s="330" t="str">
        <f>DB!$D$194</f>
        <v>Branded Desktop Computer Set</v>
      </c>
      <c r="Z281" s="329" t="s">
        <v>2964</v>
      </c>
      <c r="AA281" s="329"/>
      <c r="AB281" s="345"/>
      <c r="AC281" s="339"/>
    </row>
    <row r="282" spans="1:29" hidden="1">
      <c r="A282" s="329"/>
      <c r="B282" s="334" t="s">
        <v>817</v>
      </c>
      <c r="C282" s="340">
        <v>4</v>
      </c>
      <c r="D282" s="335" t="s">
        <v>103</v>
      </c>
      <c r="E282" s="337"/>
      <c r="F282" s="335"/>
      <c r="G282" s="407" t="s">
        <v>3038</v>
      </c>
      <c r="H282" s="335">
        <v>1</v>
      </c>
      <c r="I282" s="340">
        <v>1</v>
      </c>
      <c r="J282" s="344"/>
      <c r="K282" s="344"/>
      <c r="L282" s="335">
        <v>1</v>
      </c>
      <c r="M282" s="340">
        <v>1</v>
      </c>
      <c r="N282" s="344"/>
      <c r="O282" s="344"/>
      <c r="P282" s="335">
        <v>1</v>
      </c>
      <c r="Q282" s="340">
        <v>1</v>
      </c>
      <c r="R282" s="344"/>
      <c r="S282" s="344"/>
      <c r="T282" s="335">
        <v>0</v>
      </c>
      <c r="U282" s="341"/>
      <c r="V282" s="341"/>
      <c r="W282" s="341"/>
      <c r="X282" s="329" t="s">
        <v>2613</v>
      </c>
      <c r="Y282" s="330" t="str">
        <f>DB!$D$37</f>
        <v>Single Line Telephone (Black)</v>
      </c>
      <c r="Z282" s="329" t="s">
        <v>8</v>
      </c>
      <c r="AA282" s="329"/>
      <c r="AB282" s="345"/>
      <c r="AC282" s="339"/>
    </row>
    <row r="283" spans="1:29" hidden="1">
      <c r="A283" s="329"/>
      <c r="B283" s="334" t="s">
        <v>234</v>
      </c>
      <c r="C283" s="340">
        <v>2</v>
      </c>
      <c r="D283" s="335" t="s">
        <v>103</v>
      </c>
      <c r="E283" s="335"/>
      <c r="F283" s="335"/>
      <c r="G283" s="407" t="s">
        <v>3038</v>
      </c>
      <c r="H283" s="335">
        <v>1</v>
      </c>
      <c r="I283" s="340">
        <v>1</v>
      </c>
      <c r="J283" s="344"/>
      <c r="K283" s="344"/>
      <c r="L283" s="335">
        <v>0</v>
      </c>
      <c r="M283" s="340"/>
      <c r="N283" s="344"/>
      <c r="O283" s="344"/>
      <c r="P283" s="335">
        <v>1</v>
      </c>
      <c r="Q283" s="340">
        <v>1</v>
      </c>
      <c r="R283" s="344"/>
      <c r="S283" s="344"/>
      <c r="T283" s="335">
        <v>0</v>
      </c>
      <c r="U283" s="341"/>
      <c r="V283" s="341"/>
      <c r="W283" s="341"/>
      <c r="X283" s="329" t="s">
        <v>2613</v>
      </c>
      <c r="Y283" s="336" t="str">
        <f>DB!$D$168</f>
        <v>Keyboard, Full Size, USB 2.0</v>
      </c>
      <c r="Z283" s="329" t="s">
        <v>2946</v>
      </c>
      <c r="AA283" s="329"/>
      <c r="AB283" s="345"/>
      <c r="AC283" s="339"/>
    </row>
    <row r="284" spans="1:29" hidden="1">
      <c r="A284" s="329"/>
      <c r="B284" s="338" t="s">
        <v>239</v>
      </c>
      <c r="C284" s="344">
        <v>2</v>
      </c>
      <c r="D284" s="335" t="s">
        <v>103</v>
      </c>
      <c r="E284" s="335"/>
      <c r="F284" s="335"/>
      <c r="G284" s="407" t="s">
        <v>3038</v>
      </c>
      <c r="H284" s="335">
        <v>1</v>
      </c>
      <c r="I284" s="340">
        <v>1</v>
      </c>
      <c r="J284" s="344"/>
      <c r="K284" s="344"/>
      <c r="L284" s="335">
        <v>0</v>
      </c>
      <c r="M284" s="340"/>
      <c r="N284" s="344"/>
      <c r="O284" s="344"/>
      <c r="P284" s="335">
        <v>1</v>
      </c>
      <c r="Q284" s="340">
        <v>1</v>
      </c>
      <c r="R284" s="344"/>
      <c r="S284" s="344"/>
      <c r="T284" s="335">
        <v>0</v>
      </c>
      <c r="U284" s="341"/>
      <c r="V284" s="341"/>
      <c r="W284" s="341"/>
      <c r="X284" s="329" t="s">
        <v>2613</v>
      </c>
      <c r="Y284" s="346" t="str">
        <f>DB!$D$169</f>
        <v>Mouse, Optical, USB 2.0</v>
      </c>
      <c r="Z284" s="329" t="s">
        <v>2946</v>
      </c>
      <c r="AA284" s="329"/>
      <c r="AB284" s="345"/>
      <c r="AC284" s="339"/>
    </row>
    <row r="285" spans="1:29" hidden="1">
      <c r="A285" s="329"/>
      <c r="B285" s="382" t="s">
        <v>841</v>
      </c>
      <c r="C285" s="344"/>
      <c r="D285" s="335"/>
      <c r="E285" s="357"/>
      <c r="F285" s="335"/>
      <c r="G285" s="407"/>
      <c r="H285" s="335"/>
      <c r="I285" s="340"/>
      <c r="J285" s="344"/>
      <c r="K285" s="344"/>
      <c r="L285" s="335"/>
      <c r="M285" s="340"/>
      <c r="N285" s="344"/>
      <c r="O285" s="344"/>
      <c r="P285" s="335"/>
      <c r="Q285" s="340"/>
      <c r="R285" s="344"/>
      <c r="S285" s="344"/>
      <c r="T285" s="335"/>
      <c r="U285" s="341"/>
      <c r="V285" s="341"/>
      <c r="W285" s="354"/>
      <c r="X285" s="329" t="s">
        <v>2613</v>
      </c>
      <c r="Y285" s="330"/>
      <c r="Z285" s="329" t="s">
        <v>2962</v>
      </c>
      <c r="AA285" s="329"/>
      <c r="AB285" s="345"/>
      <c r="AC285" s="339"/>
    </row>
    <row r="286" spans="1:29" ht="31.5" hidden="1">
      <c r="A286" s="329"/>
      <c r="B286" s="338" t="s">
        <v>851</v>
      </c>
      <c r="C286" s="340">
        <v>60</v>
      </c>
      <c r="D286" s="335" t="s">
        <v>103</v>
      </c>
      <c r="E286" s="357"/>
      <c r="F286" s="335"/>
      <c r="G286" s="407" t="s">
        <v>3038</v>
      </c>
      <c r="H286" s="335">
        <v>15</v>
      </c>
      <c r="I286" s="340">
        <v>5</v>
      </c>
      <c r="J286" s="344">
        <v>5</v>
      </c>
      <c r="K286" s="344">
        <v>5</v>
      </c>
      <c r="L286" s="335">
        <v>15</v>
      </c>
      <c r="M286" s="340">
        <v>5</v>
      </c>
      <c r="N286" s="344">
        <v>5</v>
      </c>
      <c r="O286" s="344">
        <v>5</v>
      </c>
      <c r="P286" s="335">
        <v>15</v>
      </c>
      <c r="Q286" s="340">
        <v>5</v>
      </c>
      <c r="R286" s="344">
        <v>5</v>
      </c>
      <c r="S286" s="344">
        <v>5</v>
      </c>
      <c r="T286" s="335">
        <v>15</v>
      </c>
      <c r="U286" s="341">
        <v>5</v>
      </c>
      <c r="V286" s="341">
        <v>5</v>
      </c>
      <c r="W286" s="397">
        <v>5</v>
      </c>
      <c r="X286" s="329" t="s">
        <v>2613</v>
      </c>
      <c r="Y286" s="369" t="str">
        <f>DB!$D$110</f>
        <v>HP Genuine Ink Refill - (GT53) Black</v>
      </c>
      <c r="Z286" s="329" t="s">
        <v>8</v>
      </c>
      <c r="AA286" s="329"/>
      <c r="AB286" s="345"/>
      <c r="AC286" s="339"/>
    </row>
    <row r="287" spans="1:29" ht="31.5" hidden="1">
      <c r="A287" s="329"/>
      <c r="B287" s="334" t="s">
        <v>852</v>
      </c>
      <c r="C287" s="340">
        <v>60</v>
      </c>
      <c r="D287" s="335" t="s">
        <v>103</v>
      </c>
      <c r="E287" s="357"/>
      <c r="F287" s="335"/>
      <c r="G287" s="407" t="s">
        <v>3038</v>
      </c>
      <c r="H287" s="335">
        <v>15</v>
      </c>
      <c r="I287" s="340">
        <v>5</v>
      </c>
      <c r="J287" s="344">
        <v>5</v>
      </c>
      <c r="K287" s="344">
        <v>5</v>
      </c>
      <c r="L287" s="335">
        <v>15</v>
      </c>
      <c r="M287" s="340">
        <v>5</v>
      </c>
      <c r="N287" s="344">
        <v>5</v>
      </c>
      <c r="O287" s="344">
        <v>5</v>
      </c>
      <c r="P287" s="335">
        <v>15</v>
      </c>
      <c r="Q287" s="340">
        <v>5</v>
      </c>
      <c r="R287" s="344">
        <v>5</v>
      </c>
      <c r="S287" s="344">
        <v>5</v>
      </c>
      <c r="T287" s="335">
        <v>15</v>
      </c>
      <c r="U287" s="340">
        <v>5</v>
      </c>
      <c r="V287" s="344">
        <v>5</v>
      </c>
      <c r="W287" s="337">
        <v>5</v>
      </c>
      <c r="X287" s="329" t="s">
        <v>2613</v>
      </c>
      <c r="Y287" s="330" t="str">
        <f>DB!$D$111</f>
        <v>HP Genuine Ink Refill - (GT52) Magenta</v>
      </c>
      <c r="Z287" s="329" t="s">
        <v>8</v>
      </c>
      <c r="AA287" s="329"/>
      <c r="AB287" s="345"/>
      <c r="AC287" s="339"/>
    </row>
    <row r="288" spans="1:29" ht="31.5" hidden="1">
      <c r="A288" s="329"/>
      <c r="B288" s="334" t="s">
        <v>853</v>
      </c>
      <c r="C288" s="340">
        <v>60</v>
      </c>
      <c r="D288" s="335" t="s">
        <v>103</v>
      </c>
      <c r="E288" s="357"/>
      <c r="F288" s="335"/>
      <c r="G288" s="407" t="s">
        <v>3038</v>
      </c>
      <c r="H288" s="335">
        <v>15</v>
      </c>
      <c r="I288" s="340">
        <v>5</v>
      </c>
      <c r="J288" s="344">
        <v>5</v>
      </c>
      <c r="K288" s="344">
        <v>5</v>
      </c>
      <c r="L288" s="335">
        <v>15</v>
      </c>
      <c r="M288" s="340">
        <v>5</v>
      </c>
      <c r="N288" s="344">
        <v>5</v>
      </c>
      <c r="O288" s="344">
        <v>5</v>
      </c>
      <c r="P288" s="335">
        <v>15</v>
      </c>
      <c r="Q288" s="340">
        <v>5</v>
      </c>
      <c r="R288" s="344">
        <v>5</v>
      </c>
      <c r="S288" s="344">
        <v>5</v>
      </c>
      <c r="T288" s="335">
        <v>15</v>
      </c>
      <c r="U288" s="340">
        <v>5</v>
      </c>
      <c r="V288" s="344">
        <v>5</v>
      </c>
      <c r="W288" s="335">
        <v>5</v>
      </c>
      <c r="X288" s="329" t="s">
        <v>2613</v>
      </c>
      <c r="Y288" s="330" t="str">
        <f>DB!$D$112</f>
        <v>HP Genuine Ink Refill - (GT52) Cyan</v>
      </c>
      <c r="Z288" s="329" t="s">
        <v>8</v>
      </c>
      <c r="AA288" s="329"/>
      <c r="AB288" s="345"/>
      <c r="AC288" s="339"/>
    </row>
    <row r="289" spans="1:29" ht="31.5" hidden="1">
      <c r="A289" s="329"/>
      <c r="B289" s="334" t="s">
        <v>854</v>
      </c>
      <c r="C289" s="340">
        <v>60</v>
      </c>
      <c r="D289" s="335" t="s">
        <v>103</v>
      </c>
      <c r="E289" s="343"/>
      <c r="F289" s="341"/>
      <c r="G289" s="407" t="s">
        <v>3038</v>
      </c>
      <c r="H289" s="335">
        <v>15</v>
      </c>
      <c r="I289" s="340">
        <v>5</v>
      </c>
      <c r="J289" s="344">
        <v>5</v>
      </c>
      <c r="K289" s="344">
        <v>5</v>
      </c>
      <c r="L289" s="335">
        <v>15</v>
      </c>
      <c r="M289" s="340">
        <v>5</v>
      </c>
      <c r="N289" s="344">
        <v>5</v>
      </c>
      <c r="O289" s="344">
        <v>5</v>
      </c>
      <c r="P289" s="335">
        <v>15</v>
      </c>
      <c r="Q289" s="340">
        <v>5</v>
      </c>
      <c r="R289" s="344">
        <v>5</v>
      </c>
      <c r="S289" s="344">
        <v>5</v>
      </c>
      <c r="T289" s="335">
        <v>15</v>
      </c>
      <c r="U289" s="340">
        <v>5</v>
      </c>
      <c r="V289" s="410">
        <v>5</v>
      </c>
      <c r="W289" s="411">
        <v>5</v>
      </c>
      <c r="X289" s="329" t="s">
        <v>2613</v>
      </c>
      <c r="Y289" s="330" t="str">
        <f>DB!$D$113</f>
        <v>HP Genuine Ink Refill - (GT52) Yellow</v>
      </c>
      <c r="Z289" s="329" t="s">
        <v>8</v>
      </c>
      <c r="AA289" s="329"/>
      <c r="AB289" s="345"/>
      <c r="AC289" s="339"/>
    </row>
    <row r="290" spans="1:29" hidden="1">
      <c r="A290" s="329"/>
      <c r="B290" s="334" t="s">
        <v>857</v>
      </c>
      <c r="C290" s="340">
        <v>8</v>
      </c>
      <c r="D290" s="335" t="s">
        <v>103</v>
      </c>
      <c r="E290" s="341"/>
      <c r="F290" s="341"/>
      <c r="G290" s="407" t="s">
        <v>3038</v>
      </c>
      <c r="H290" s="335">
        <v>2</v>
      </c>
      <c r="I290" s="340">
        <v>1</v>
      </c>
      <c r="J290" s="344"/>
      <c r="K290" s="344">
        <v>1</v>
      </c>
      <c r="L290" s="335">
        <v>2</v>
      </c>
      <c r="M290" s="340">
        <v>1</v>
      </c>
      <c r="N290" s="344"/>
      <c r="O290" s="344">
        <v>1</v>
      </c>
      <c r="P290" s="335">
        <v>2</v>
      </c>
      <c r="Q290" s="340">
        <v>1</v>
      </c>
      <c r="R290" s="344"/>
      <c r="S290" s="344">
        <v>1</v>
      </c>
      <c r="T290" s="335">
        <v>2</v>
      </c>
      <c r="U290" s="340">
        <v>1</v>
      </c>
      <c r="V290" s="357"/>
      <c r="W290" s="412">
        <v>1</v>
      </c>
      <c r="X290" s="329" t="s">
        <v>2613</v>
      </c>
      <c r="Y290" s="330"/>
      <c r="Z290" s="329" t="s">
        <v>2952</v>
      </c>
      <c r="AA290" s="329"/>
      <c r="AB290" s="345"/>
      <c r="AC290" s="339"/>
    </row>
    <row r="291" spans="1:29" hidden="1">
      <c r="A291" s="329"/>
      <c r="B291" s="334" t="s">
        <v>859</v>
      </c>
      <c r="C291" s="340">
        <v>4</v>
      </c>
      <c r="D291" s="335" t="s">
        <v>103</v>
      </c>
      <c r="E291" s="341"/>
      <c r="F291" s="341"/>
      <c r="G291" s="407" t="s">
        <v>3038</v>
      </c>
      <c r="H291" s="335">
        <v>1</v>
      </c>
      <c r="I291" s="340">
        <v>1</v>
      </c>
      <c r="J291" s="344"/>
      <c r="K291" s="344"/>
      <c r="L291" s="335">
        <v>1</v>
      </c>
      <c r="M291" s="340">
        <v>1</v>
      </c>
      <c r="N291" s="344"/>
      <c r="O291" s="344"/>
      <c r="P291" s="335">
        <v>1</v>
      </c>
      <c r="Q291" s="340">
        <v>1</v>
      </c>
      <c r="R291" s="344"/>
      <c r="S291" s="344"/>
      <c r="T291" s="335">
        <v>1</v>
      </c>
      <c r="U291" s="340">
        <v>1</v>
      </c>
      <c r="V291" s="337"/>
      <c r="W291" s="343"/>
      <c r="X291" s="329" t="s">
        <v>2613</v>
      </c>
      <c r="Y291" s="369"/>
      <c r="Z291" s="329" t="s">
        <v>2946</v>
      </c>
      <c r="AA291" s="329"/>
      <c r="AB291" s="345"/>
      <c r="AC291" s="339"/>
    </row>
    <row r="292" spans="1:29" hidden="1">
      <c r="A292" s="329"/>
      <c r="B292" s="338" t="s">
        <v>3039</v>
      </c>
      <c r="C292" s="340">
        <v>1</v>
      </c>
      <c r="D292" s="335" t="s">
        <v>103</v>
      </c>
      <c r="E292" s="347">
        <v>1886</v>
      </c>
      <c r="F292" s="342">
        <v>1886</v>
      </c>
      <c r="G292" s="343" t="s">
        <v>342</v>
      </c>
      <c r="H292" s="343">
        <v>1</v>
      </c>
      <c r="I292" s="340">
        <v>1</v>
      </c>
      <c r="J292" s="344"/>
      <c r="K292" s="344"/>
      <c r="L292" s="337">
        <v>0</v>
      </c>
      <c r="M292" s="340"/>
      <c r="N292" s="344"/>
      <c r="O292" s="344"/>
      <c r="P292" s="337">
        <v>0</v>
      </c>
      <c r="Q292" s="340"/>
      <c r="R292" s="344"/>
      <c r="S292" s="344"/>
      <c r="T292" s="337">
        <v>0</v>
      </c>
      <c r="U292" s="343"/>
      <c r="V292" s="343"/>
      <c r="W292" s="343"/>
      <c r="X292" s="329" t="s">
        <v>109</v>
      </c>
      <c r="Y292" s="330"/>
      <c r="Z292" s="329" t="s">
        <v>2946</v>
      </c>
      <c r="AA292" s="329"/>
      <c r="AB292" s="345"/>
      <c r="AC292" s="339"/>
    </row>
    <row r="293" spans="1:29">
      <c r="A293" s="329"/>
      <c r="B293" s="334" t="s">
        <v>3040</v>
      </c>
      <c r="C293" s="340">
        <v>1</v>
      </c>
      <c r="D293" s="335" t="s">
        <v>118</v>
      </c>
      <c r="E293" s="347">
        <v>40000</v>
      </c>
      <c r="F293" s="347">
        <v>40000</v>
      </c>
      <c r="G293" s="341" t="s">
        <v>342</v>
      </c>
      <c r="H293" s="341">
        <v>1</v>
      </c>
      <c r="I293" s="340">
        <v>1</v>
      </c>
      <c r="J293" s="344"/>
      <c r="K293" s="344"/>
      <c r="L293" s="335">
        <v>0</v>
      </c>
      <c r="M293" s="340"/>
      <c r="N293" s="344"/>
      <c r="O293" s="344"/>
      <c r="P293" s="335">
        <v>0</v>
      </c>
      <c r="Q293" s="340"/>
      <c r="R293" s="344"/>
      <c r="S293" s="344"/>
      <c r="T293" s="335">
        <v>0</v>
      </c>
      <c r="U293" s="341"/>
      <c r="V293" s="341"/>
      <c r="W293" s="341"/>
      <c r="X293" s="329" t="s">
        <v>109</v>
      </c>
      <c r="Y293" s="330" t="str">
        <f>DB!$D$194</f>
        <v>Branded Desktop Computer Set</v>
      </c>
      <c r="Z293" s="329" t="s">
        <v>2964</v>
      </c>
      <c r="AA293" s="329"/>
      <c r="AB293" s="345"/>
      <c r="AC293" s="339"/>
    </row>
    <row r="294" spans="1:29" hidden="1">
      <c r="A294" s="329"/>
      <c r="B294" s="334" t="s">
        <v>234</v>
      </c>
      <c r="C294" s="340">
        <v>2</v>
      </c>
      <c r="D294" s="335" t="s">
        <v>103</v>
      </c>
      <c r="E294" s="341">
        <v>480</v>
      </c>
      <c r="F294" s="341">
        <v>960</v>
      </c>
      <c r="G294" s="341" t="s">
        <v>342</v>
      </c>
      <c r="H294" s="341">
        <v>1</v>
      </c>
      <c r="I294" s="340">
        <v>1</v>
      </c>
      <c r="J294" s="344"/>
      <c r="K294" s="344"/>
      <c r="L294" s="335">
        <v>0</v>
      </c>
      <c r="M294" s="340"/>
      <c r="N294" s="344"/>
      <c r="O294" s="344"/>
      <c r="P294" s="335">
        <v>1</v>
      </c>
      <c r="Q294" s="340">
        <v>1</v>
      </c>
      <c r="R294" s="344"/>
      <c r="S294" s="344"/>
      <c r="T294" s="335">
        <v>0</v>
      </c>
      <c r="U294" s="341"/>
      <c r="V294" s="341"/>
      <c r="W294" s="341"/>
      <c r="X294" s="329" t="s">
        <v>109</v>
      </c>
      <c r="Y294" s="336" t="str">
        <f>DB!$D$168</f>
        <v>Keyboard, Full Size, USB 2.0</v>
      </c>
      <c r="Z294" s="329" t="s">
        <v>2946</v>
      </c>
      <c r="AA294" s="329"/>
      <c r="AB294" s="345"/>
      <c r="AC294" s="339"/>
    </row>
    <row r="295" spans="1:29" hidden="1">
      <c r="A295" s="329"/>
      <c r="B295" s="334" t="s">
        <v>239</v>
      </c>
      <c r="C295" s="340">
        <v>2</v>
      </c>
      <c r="D295" s="335" t="s">
        <v>103</v>
      </c>
      <c r="E295" s="341">
        <v>380</v>
      </c>
      <c r="F295" s="341">
        <v>760</v>
      </c>
      <c r="G295" s="341" t="s">
        <v>342</v>
      </c>
      <c r="H295" s="341">
        <v>1</v>
      </c>
      <c r="I295" s="340">
        <v>1</v>
      </c>
      <c r="J295" s="344"/>
      <c r="K295" s="344"/>
      <c r="L295" s="335">
        <v>0</v>
      </c>
      <c r="M295" s="340"/>
      <c r="N295" s="344"/>
      <c r="O295" s="344"/>
      <c r="P295" s="335">
        <v>1</v>
      </c>
      <c r="Q295" s="340">
        <v>1</v>
      </c>
      <c r="R295" s="344"/>
      <c r="S295" s="344"/>
      <c r="T295" s="335">
        <v>0</v>
      </c>
      <c r="U295" s="341"/>
      <c r="V295" s="341"/>
      <c r="W295" s="341"/>
      <c r="X295" s="329" t="s">
        <v>109</v>
      </c>
      <c r="Y295" s="346" t="str">
        <f>DB!$D$169</f>
        <v>Mouse, Optical, USB 2.0</v>
      </c>
      <c r="Z295" s="329" t="s">
        <v>2946</v>
      </c>
      <c r="AA295" s="329"/>
      <c r="AB295" s="345"/>
      <c r="AC295" s="339"/>
    </row>
    <row r="296" spans="1:29" hidden="1">
      <c r="A296" s="329"/>
      <c r="B296" s="334" t="s">
        <v>493</v>
      </c>
      <c r="C296" s="340">
        <v>1</v>
      </c>
      <c r="D296" s="335" t="s">
        <v>466</v>
      </c>
      <c r="E296" s="347">
        <v>10000</v>
      </c>
      <c r="F296" s="347">
        <v>7000</v>
      </c>
      <c r="G296" s="341" t="s">
        <v>342</v>
      </c>
      <c r="H296" s="341">
        <v>1</v>
      </c>
      <c r="I296" s="340">
        <v>1</v>
      </c>
      <c r="J296" s="344"/>
      <c r="K296" s="344"/>
      <c r="L296" s="335">
        <v>0</v>
      </c>
      <c r="M296" s="340"/>
      <c r="N296" s="344"/>
      <c r="O296" s="344"/>
      <c r="P296" s="335">
        <v>0</v>
      </c>
      <c r="Q296" s="340"/>
      <c r="R296" s="344"/>
      <c r="S296" s="344"/>
      <c r="T296" s="335">
        <v>0</v>
      </c>
      <c r="U296" s="341"/>
      <c r="V296" s="341"/>
      <c r="W296" s="341"/>
      <c r="X296" s="329" t="s">
        <v>109</v>
      </c>
      <c r="Y296" s="330"/>
      <c r="Z296" s="329" t="s">
        <v>2962</v>
      </c>
      <c r="AA296" s="329"/>
      <c r="AB296" s="345"/>
      <c r="AC296" s="339"/>
    </row>
    <row r="297" spans="1:29" hidden="1">
      <c r="A297" s="329"/>
      <c r="B297" s="338" t="s">
        <v>836</v>
      </c>
      <c r="C297" s="344">
        <v>1</v>
      </c>
      <c r="D297" s="335" t="s">
        <v>103</v>
      </c>
      <c r="E297" s="383">
        <v>38100.97</v>
      </c>
      <c r="F297" s="385">
        <v>38100.97</v>
      </c>
      <c r="G297" s="409" t="s">
        <v>3038</v>
      </c>
      <c r="H297" s="335">
        <v>1</v>
      </c>
      <c r="I297" s="340">
        <v>1</v>
      </c>
      <c r="J297" s="344"/>
      <c r="K297" s="344"/>
      <c r="L297" s="335">
        <v>0</v>
      </c>
      <c r="M297" s="340"/>
      <c r="N297" s="344"/>
      <c r="O297" s="344"/>
      <c r="P297" s="335">
        <v>0</v>
      </c>
      <c r="Q297" s="340"/>
      <c r="R297" s="344"/>
      <c r="S297" s="344"/>
      <c r="T297" s="335">
        <v>0</v>
      </c>
      <c r="U297" s="341"/>
      <c r="V297" s="341"/>
      <c r="W297" s="341"/>
      <c r="X297" s="329" t="s">
        <v>109</v>
      </c>
      <c r="Y297" s="330" t="str">
        <f>DB!D76</f>
        <v>Dot Matrix Printer 24-Pin</v>
      </c>
      <c r="Z297" s="329" t="s">
        <v>8</v>
      </c>
      <c r="AA297" s="329"/>
      <c r="AB297" s="345"/>
      <c r="AC297" s="339"/>
    </row>
    <row r="298" spans="1:29" hidden="1">
      <c r="A298" s="329"/>
      <c r="B298" s="334" t="s">
        <v>483</v>
      </c>
      <c r="C298" s="344">
        <v>1</v>
      </c>
      <c r="D298" s="335" t="s">
        <v>103</v>
      </c>
      <c r="E298" s="385">
        <v>2500</v>
      </c>
      <c r="F298" s="385">
        <v>2500</v>
      </c>
      <c r="G298" s="407" t="s">
        <v>3038</v>
      </c>
      <c r="H298" s="335">
        <v>1</v>
      </c>
      <c r="I298" s="340">
        <v>1</v>
      </c>
      <c r="J298" s="344"/>
      <c r="K298" s="344"/>
      <c r="L298" s="335">
        <v>0</v>
      </c>
      <c r="M298" s="340"/>
      <c r="N298" s="344"/>
      <c r="O298" s="344"/>
      <c r="P298" s="335">
        <v>0</v>
      </c>
      <c r="Q298" s="340"/>
      <c r="R298" s="344"/>
      <c r="S298" s="344"/>
      <c r="T298" s="335">
        <v>0</v>
      </c>
      <c r="U298" s="341"/>
      <c r="V298" s="341"/>
      <c r="W298" s="341"/>
      <c r="X298" s="329" t="s">
        <v>109</v>
      </c>
      <c r="Y298" s="330"/>
      <c r="Z298" s="329" t="s">
        <v>11</v>
      </c>
      <c r="AA298" s="329"/>
      <c r="AB298" s="345"/>
      <c r="AC298" s="339"/>
    </row>
    <row r="299" spans="1:29" hidden="1">
      <c r="A299" s="329"/>
      <c r="B299" s="334" t="s">
        <v>817</v>
      </c>
      <c r="C299" s="344">
        <v>1</v>
      </c>
      <c r="D299" s="335" t="s">
        <v>103</v>
      </c>
      <c r="E299" s="385">
        <v>2500</v>
      </c>
      <c r="F299" s="385">
        <v>2500</v>
      </c>
      <c r="G299" s="407" t="s">
        <v>3038</v>
      </c>
      <c r="H299" s="335">
        <v>1</v>
      </c>
      <c r="I299" s="340">
        <v>1</v>
      </c>
      <c r="J299" s="344"/>
      <c r="K299" s="344"/>
      <c r="L299" s="335">
        <v>0</v>
      </c>
      <c r="M299" s="340"/>
      <c r="N299" s="344"/>
      <c r="O299" s="344"/>
      <c r="P299" s="335">
        <v>0</v>
      </c>
      <c r="Q299" s="340"/>
      <c r="R299" s="344"/>
      <c r="S299" s="344"/>
      <c r="T299" s="335">
        <v>0</v>
      </c>
      <c r="U299" s="341"/>
      <c r="V299" s="341"/>
      <c r="W299" s="341"/>
      <c r="X299" s="329" t="s">
        <v>109</v>
      </c>
      <c r="Y299" s="330" t="str">
        <f>DB!$D$37</f>
        <v>Single Line Telephone (Black)</v>
      </c>
      <c r="Z299" s="329" t="s">
        <v>8</v>
      </c>
      <c r="AA299" s="329"/>
      <c r="AB299" s="345"/>
      <c r="AC299" s="339"/>
    </row>
    <row r="300" spans="1:29" ht="31.5" hidden="1">
      <c r="A300" s="329"/>
      <c r="B300" s="334" t="s">
        <v>454</v>
      </c>
      <c r="C300" s="343">
        <v>36</v>
      </c>
      <c r="D300" s="343" t="s">
        <v>103</v>
      </c>
      <c r="E300" s="341">
        <v>140.5</v>
      </c>
      <c r="F300" s="343">
        <v>5058</v>
      </c>
      <c r="G300" s="337" t="s">
        <v>342</v>
      </c>
      <c r="H300" s="341">
        <v>9</v>
      </c>
      <c r="I300" s="337">
        <v>3</v>
      </c>
      <c r="J300" s="343">
        <v>3</v>
      </c>
      <c r="K300" s="343">
        <v>3</v>
      </c>
      <c r="L300" s="343">
        <v>9</v>
      </c>
      <c r="M300" s="343">
        <v>3</v>
      </c>
      <c r="N300" s="343">
        <v>3</v>
      </c>
      <c r="O300" s="343">
        <v>3</v>
      </c>
      <c r="P300" s="343">
        <v>9</v>
      </c>
      <c r="Q300" s="343">
        <v>3</v>
      </c>
      <c r="R300" s="343">
        <v>3</v>
      </c>
      <c r="S300" s="343">
        <v>3</v>
      </c>
      <c r="T300" s="343">
        <v>3</v>
      </c>
      <c r="U300" s="343">
        <v>9</v>
      </c>
      <c r="V300" s="343">
        <v>3</v>
      </c>
      <c r="W300" s="343">
        <v>3</v>
      </c>
      <c r="X300" s="329" t="s">
        <v>109</v>
      </c>
      <c r="Y300" s="330" t="str">
        <f>DB!$D$177</f>
        <v>EPSON LQ310 Ribbon Cartridge (SO15634)</v>
      </c>
      <c r="Z300" s="329" t="s">
        <v>8</v>
      </c>
      <c r="AA300" s="329"/>
      <c r="AB300" s="345"/>
      <c r="AC300" s="339"/>
    </row>
    <row r="301" spans="1:29" hidden="1">
      <c r="A301" s="329"/>
      <c r="B301" s="334" t="s">
        <v>3041</v>
      </c>
      <c r="C301" s="344">
        <v>8</v>
      </c>
      <c r="D301" s="335" t="s">
        <v>103</v>
      </c>
      <c r="E301" s="341">
        <v>300</v>
      </c>
      <c r="F301" s="342">
        <v>2400</v>
      </c>
      <c r="G301" s="409" t="s">
        <v>3038</v>
      </c>
      <c r="H301" s="335">
        <v>2</v>
      </c>
      <c r="I301" s="340">
        <v>1</v>
      </c>
      <c r="J301" s="344"/>
      <c r="K301" s="344">
        <v>1</v>
      </c>
      <c r="L301" s="337">
        <v>2</v>
      </c>
      <c r="M301" s="340">
        <v>1</v>
      </c>
      <c r="N301" s="344"/>
      <c r="O301" s="344">
        <v>1</v>
      </c>
      <c r="P301" s="337">
        <v>2</v>
      </c>
      <c r="Q301" s="340">
        <v>1</v>
      </c>
      <c r="R301" s="344"/>
      <c r="S301" s="344">
        <v>1</v>
      </c>
      <c r="T301" s="337">
        <v>2</v>
      </c>
      <c r="U301" s="340">
        <v>1</v>
      </c>
      <c r="V301" s="344"/>
      <c r="W301" s="335">
        <v>1</v>
      </c>
      <c r="X301" s="329" t="s">
        <v>109</v>
      </c>
      <c r="Y301" s="361" t="s">
        <v>199</v>
      </c>
      <c r="Z301" s="329" t="s">
        <v>8</v>
      </c>
      <c r="AA301" s="329"/>
      <c r="AB301" s="345"/>
      <c r="AC301" s="339"/>
    </row>
    <row r="302" spans="1:29" hidden="1">
      <c r="A302" s="329"/>
      <c r="B302" s="334" t="s">
        <v>3042</v>
      </c>
      <c r="C302" s="344">
        <v>8</v>
      </c>
      <c r="D302" s="335" t="s">
        <v>103</v>
      </c>
      <c r="E302" s="341">
        <v>300</v>
      </c>
      <c r="F302" s="347">
        <v>2400</v>
      </c>
      <c r="G302" s="407" t="s">
        <v>3038</v>
      </c>
      <c r="H302" s="335">
        <v>2</v>
      </c>
      <c r="I302" s="340">
        <v>1</v>
      </c>
      <c r="J302" s="344"/>
      <c r="K302" s="344">
        <v>1</v>
      </c>
      <c r="L302" s="335">
        <v>2</v>
      </c>
      <c r="M302" s="340">
        <v>1</v>
      </c>
      <c r="N302" s="344"/>
      <c r="O302" s="344">
        <v>1</v>
      </c>
      <c r="P302" s="335">
        <v>2</v>
      </c>
      <c r="Q302" s="340">
        <v>1</v>
      </c>
      <c r="R302" s="344"/>
      <c r="S302" s="344">
        <v>1</v>
      </c>
      <c r="T302" s="335">
        <v>2</v>
      </c>
      <c r="U302" s="340">
        <v>1</v>
      </c>
      <c r="V302" s="344"/>
      <c r="W302" s="335">
        <v>1</v>
      </c>
      <c r="X302" s="329" t="s">
        <v>109</v>
      </c>
      <c r="Y302" s="361" t="s">
        <v>209</v>
      </c>
      <c r="Z302" s="329" t="s">
        <v>8</v>
      </c>
      <c r="AA302" s="329"/>
      <c r="AB302" s="345"/>
      <c r="AC302" s="339"/>
    </row>
    <row r="303" spans="1:29" ht="31.5" hidden="1">
      <c r="A303" s="329"/>
      <c r="B303" s="334" t="s">
        <v>3043</v>
      </c>
      <c r="C303" s="344">
        <v>8</v>
      </c>
      <c r="D303" s="335" t="s">
        <v>103</v>
      </c>
      <c r="E303" s="341">
        <v>300</v>
      </c>
      <c r="F303" s="347">
        <v>2400</v>
      </c>
      <c r="G303" s="407" t="s">
        <v>3038</v>
      </c>
      <c r="H303" s="335">
        <v>2</v>
      </c>
      <c r="I303" s="340">
        <v>1</v>
      </c>
      <c r="J303" s="344"/>
      <c r="K303" s="344">
        <v>1</v>
      </c>
      <c r="L303" s="335">
        <v>2</v>
      </c>
      <c r="M303" s="340">
        <v>1</v>
      </c>
      <c r="N303" s="344"/>
      <c r="O303" s="344">
        <v>1</v>
      </c>
      <c r="P303" s="335">
        <v>2</v>
      </c>
      <c r="Q303" s="340">
        <v>1</v>
      </c>
      <c r="R303" s="344"/>
      <c r="S303" s="344">
        <v>1</v>
      </c>
      <c r="T303" s="335">
        <v>2</v>
      </c>
      <c r="U303" s="340">
        <v>1</v>
      </c>
      <c r="V303" s="344"/>
      <c r="W303" s="335">
        <v>1</v>
      </c>
      <c r="X303" s="329" t="s">
        <v>109</v>
      </c>
      <c r="Y303" s="361" t="s">
        <v>210</v>
      </c>
      <c r="Z303" s="329" t="s">
        <v>8</v>
      </c>
      <c r="AA303" s="329"/>
      <c r="AB303" s="345"/>
      <c r="AC303" s="339"/>
    </row>
    <row r="304" spans="1:29" hidden="1">
      <c r="A304" s="329"/>
      <c r="B304" s="334" t="s">
        <v>3044</v>
      </c>
      <c r="C304" s="344">
        <v>8</v>
      </c>
      <c r="D304" s="335" t="s">
        <v>103</v>
      </c>
      <c r="E304" s="341">
        <v>300</v>
      </c>
      <c r="F304" s="347">
        <v>2400</v>
      </c>
      <c r="G304" s="407" t="s">
        <v>3038</v>
      </c>
      <c r="H304" s="335">
        <v>2</v>
      </c>
      <c r="I304" s="340">
        <v>1</v>
      </c>
      <c r="J304" s="344"/>
      <c r="K304" s="344">
        <v>1</v>
      </c>
      <c r="L304" s="335">
        <v>2</v>
      </c>
      <c r="M304" s="340">
        <v>1</v>
      </c>
      <c r="N304" s="344"/>
      <c r="O304" s="344">
        <v>1</v>
      </c>
      <c r="P304" s="335">
        <v>2</v>
      </c>
      <c r="Q304" s="340">
        <v>1</v>
      </c>
      <c r="R304" s="344"/>
      <c r="S304" s="344">
        <v>1</v>
      </c>
      <c r="T304" s="335">
        <v>2</v>
      </c>
      <c r="U304" s="340">
        <v>1</v>
      </c>
      <c r="V304" s="344"/>
      <c r="W304" s="335">
        <v>1</v>
      </c>
      <c r="X304" s="329" t="s">
        <v>109</v>
      </c>
      <c r="Y304" s="361" t="s">
        <v>211</v>
      </c>
      <c r="Z304" s="329" t="s">
        <v>8</v>
      </c>
      <c r="AA304" s="329"/>
      <c r="AB304" s="345"/>
      <c r="AC304" s="339"/>
    </row>
    <row r="305" spans="1:29" hidden="1">
      <c r="A305" s="329"/>
      <c r="B305" s="334" t="s">
        <v>568</v>
      </c>
      <c r="C305" s="340">
        <v>5</v>
      </c>
      <c r="D305" s="335" t="s">
        <v>103</v>
      </c>
      <c r="E305" s="383">
        <v>2500</v>
      </c>
      <c r="F305" s="385">
        <v>12500</v>
      </c>
      <c r="G305" s="407" t="s">
        <v>3038</v>
      </c>
      <c r="H305" s="335">
        <v>5</v>
      </c>
      <c r="I305" s="340">
        <v>5</v>
      </c>
      <c r="J305" s="344"/>
      <c r="K305" s="344"/>
      <c r="L305" s="335">
        <v>0</v>
      </c>
      <c r="M305" s="340"/>
      <c r="N305" s="344"/>
      <c r="O305" s="344"/>
      <c r="P305" s="335">
        <v>0</v>
      </c>
      <c r="Q305" s="340"/>
      <c r="R305" s="344"/>
      <c r="S305" s="344"/>
      <c r="T305" s="335">
        <v>0</v>
      </c>
      <c r="U305" s="341"/>
      <c r="V305" s="341"/>
      <c r="W305" s="341"/>
      <c r="X305" s="329" t="s">
        <v>109</v>
      </c>
      <c r="Y305" s="369" t="str">
        <f>DB!$D$6</f>
        <v>UPS 650VA, AVR, 230V</v>
      </c>
      <c r="Z305" s="329" t="s">
        <v>8</v>
      </c>
      <c r="AA305" s="329"/>
      <c r="AB305" s="345"/>
      <c r="AC305" s="339"/>
    </row>
    <row r="306" spans="1:29" hidden="1">
      <c r="A306" s="329"/>
      <c r="B306" s="338" t="s">
        <v>817</v>
      </c>
      <c r="C306" s="359">
        <v>1</v>
      </c>
      <c r="D306" s="371" t="s">
        <v>895</v>
      </c>
      <c r="E306" s="371"/>
      <c r="F306" s="371">
        <v>18.36</v>
      </c>
      <c r="G306" s="337" t="s">
        <v>342</v>
      </c>
      <c r="H306" s="343">
        <v>1</v>
      </c>
      <c r="I306" s="340">
        <v>1</v>
      </c>
      <c r="J306" s="344"/>
      <c r="K306" s="344"/>
      <c r="L306" s="337">
        <v>0</v>
      </c>
      <c r="M306" s="340"/>
      <c r="N306" s="344"/>
      <c r="O306" s="344"/>
      <c r="P306" s="337">
        <v>0</v>
      </c>
      <c r="Q306" s="340"/>
      <c r="R306" s="344"/>
      <c r="S306" s="344"/>
      <c r="T306" s="337">
        <v>0</v>
      </c>
      <c r="U306" s="343"/>
      <c r="V306" s="343"/>
      <c r="W306" s="343"/>
      <c r="X306" s="329" t="s">
        <v>3045</v>
      </c>
      <c r="Y306" s="330" t="str">
        <f>DB!$D$37</f>
        <v>Single Line Telephone (Black)</v>
      </c>
      <c r="Z306" s="329" t="s">
        <v>8</v>
      </c>
      <c r="AA306" s="329"/>
      <c r="AB306" s="345"/>
      <c r="AC306" s="339"/>
    </row>
    <row r="307" spans="1:29" hidden="1">
      <c r="A307" s="329"/>
      <c r="B307" s="334" t="s">
        <v>234</v>
      </c>
      <c r="C307" s="362">
        <v>2</v>
      </c>
      <c r="D307" s="373" t="s">
        <v>895</v>
      </c>
      <c r="E307" s="373"/>
      <c r="F307" s="373">
        <v>18.36</v>
      </c>
      <c r="G307" s="335" t="s">
        <v>342</v>
      </c>
      <c r="H307" s="341">
        <v>1</v>
      </c>
      <c r="I307" s="340">
        <v>1</v>
      </c>
      <c r="J307" s="344"/>
      <c r="K307" s="344"/>
      <c r="L307" s="335">
        <v>0</v>
      </c>
      <c r="M307" s="340"/>
      <c r="N307" s="344"/>
      <c r="O307" s="344"/>
      <c r="P307" s="335">
        <v>1</v>
      </c>
      <c r="Q307" s="340">
        <v>1</v>
      </c>
      <c r="R307" s="344"/>
      <c r="S307" s="344"/>
      <c r="T307" s="335">
        <v>0</v>
      </c>
      <c r="U307" s="341"/>
      <c r="V307" s="341"/>
      <c r="W307" s="341"/>
      <c r="X307" s="329" t="s">
        <v>3045</v>
      </c>
      <c r="Y307" s="336" t="str">
        <f>DB!$D$168</f>
        <v>Keyboard, Full Size, USB 2.0</v>
      </c>
      <c r="Z307" s="329" t="s">
        <v>2946</v>
      </c>
      <c r="AA307" s="329"/>
      <c r="AB307" s="345"/>
      <c r="AC307" s="339"/>
    </row>
    <row r="308" spans="1:29" hidden="1">
      <c r="A308" s="329"/>
      <c r="B308" s="338" t="s">
        <v>239</v>
      </c>
      <c r="C308" s="373">
        <v>2</v>
      </c>
      <c r="D308" s="373" t="s">
        <v>895</v>
      </c>
      <c r="E308" s="373"/>
      <c r="F308" s="373">
        <v>18.36</v>
      </c>
      <c r="G308" s="335" t="s">
        <v>342</v>
      </c>
      <c r="H308" s="341">
        <v>1</v>
      </c>
      <c r="I308" s="340">
        <v>1</v>
      </c>
      <c r="J308" s="344"/>
      <c r="K308" s="344"/>
      <c r="L308" s="335">
        <v>0</v>
      </c>
      <c r="M308" s="340"/>
      <c r="N308" s="344"/>
      <c r="O308" s="344"/>
      <c r="P308" s="335">
        <v>1</v>
      </c>
      <c r="Q308" s="340">
        <v>1</v>
      </c>
      <c r="R308" s="344"/>
      <c r="S308" s="344"/>
      <c r="T308" s="335">
        <v>0</v>
      </c>
      <c r="U308" s="341"/>
      <c r="V308" s="341"/>
      <c r="W308" s="341"/>
      <c r="X308" s="329" t="s">
        <v>3045</v>
      </c>
      <c r="Y308" s="346" t="str">
        <f>DB!$D$169</f>
        <v>Mouse, Optical, USB 2.0</v>
      </c>
      <c r="Z308" s="329" t="s">
        <v>2946</v>
      </c>
      <c r="AA308" s="329"/>
      <c r="AB308" s="345"/>
      <c r="AC308" s="339"/>
    </row>
    <row r="309" spans="1:29" hidden="1">
      <c r="A309" s="329"/>
      <c r="B309" s="338" t="s">
        <v>896</v>
      </c>
      <c r="C309" s="362">
        <v>1</v>
      </c>
      <c r="D309" s="373" t="s">
        <v>895</v>
      </c>
      <c r="E309" s="373"/>
      <c r="F309" s="373">
        <v>18.36</v>
      </c>
      <c r="G309" s="335" t="s">
        <v>342</v>
      </c>
      <c r="H309" s="341">
        <v>1</v>
      </c>
      <c r="I309" s="340">
        <v>1</v>
      </c>
      <c r="J309" s="344"/>
      <c r="K309" s="344"/>
      <c r="L309" s="335">
        <v>0</v>
      </c>
      <c r="M309" s="340"/>
      <c r="N309" s="344"/>
      <c r="O309" s="344"/>
      <c r="P309" s="335">
        <v>0</v>
      </c>
      <c r="Q309" s="340"/>
      <c r="R309" s="344"/>
      <c r="S309" s="344"/>
      <c r="T309" s="335">
        <v>0</v>
      </c>
      <c r="U309" s="341"/>
      <c r="V309" s="341"/>
      <c r="W309" s="341"/>
      <c r="X309" s="329" t="s">
        <v>3045</v>
      </c>
      <c r="Y309" s="330" t="str">
        <f>DB!$D$73</f>
        <v>Webcam Professional Full HD</v>
      </c>
      <c r="Z309" s="329" t="s">
        <v>8</v>
      </c>
      <c r="AA309" s="329"/>
      <c r="AB309" s="345"/>
      <c r="AC309" s="339"/>
    </row>
    <row r="310" spans="1:29" hidden="1">
      <c r="A310" s="329"/>
      <c r="B310" s="380" t="s">
        <v>897</v>
      </c>
      <c r="C310" s="373">
        <v>48</v>
      </c>
      <c r="D310" s="373" t="s">
        <v>895</v>
      </c>
      <c r="E310" s="373"/>
      <c r="F310" s="373">
        <v>20.48</v>
      </c>
      <c r="G310" s="335" t="s">
        <v>342</v>
      </c>
      <c r="H310" s="337">
        <v>12</v>
      </c>
      <c r="I310" s="343">
        <v>4</v>
      </c>
      <c r="J310" s="343">
        <v>4</v>
      </c>
      <c r="K310" s="343">
        <v>4</v>
      </c>
      <c r="L310" s="343">
        <v>12</v>
      </c>
      <c r="M310" s="343">
        <v>4</v>
      </c>
      <c r="N310" s="343">
        <v>4</v>
      </c>
      <c r="O310" s="343">
        <v>4</v>
      </c>
      <c r="P310" s="343">
        <v>12</v>
      </c>
      <c r="Q310" s="343">
        <v>4</v>
      </c>
      <c r="R310" s="343">
        <v>4</v>
      </c>
      <c r="S310" s="343">
        <v>4</v>
      </c>
      <c r="T310" s="343">
        <v>12</v>
      </c>
      <c r="U310" s="343">
        <v>4</v>
      </c>
      <c r="V310" s="343">
        <v>4</v>
      </c>
      <c r="W310" s="335">
        <v>4</v>
      </c>
      <c r="X310" s="329" t="s">
        <v>3045</v>
      </c>
      <c r="Y310" s="361" t="s">
        <v>199</v>
      </c>
      <c r="Z310" s="329" t="s">
        <v>8</v>
      </c>
      <c r="AA310" s="329"/>
      <c r="AB310" s="345"/>
      <c r="AC310" s="339"/>
    </row>
    <row r="311" spans="1:29" hidden="1">
      <c r="A311" s="329"/>
      <c r="B311" s="381" t="s">
        <v>898</v>
      </c>
      <c r="C311" s="373">
        <v>12</v>
      </c>
      <c r="D311" s="373" t="s">
        <v>92</v>
      </c>
      <c r="E311" s="373"/>
      <c r="F311" s="373" t="s">
        <v>3046</v>
      </c>
      <c r="G311" s="335" t="s">
        <v>342</v>
      </c>
      <c r="H311" s="335">
        <v>3</v>
      </c>
      <c r="I311" s="341">
        <v>1</v>
      </c>
      <c r="J311" s="341">
        <v>1</v>
      </c>
      <c r="K311" s="341">
        <v>1</v>
      </c>
      <c r="L311" s="341">
        <v>3</v>
      </c>
      <c r="M311" s="341">
        <v>1</v>
      </c>
      <c r="N311" s="341">
        <v>1</v>
      </c>
      <c r="O311" s="341">
        <v>1</v>
      </c>
      <c r="P311" s="341">
        <v>3</v>
      </c>
      <c r="Q311" s="341">
        <v>1</v>
      </c>
      <c r="R311" s="341">
        <v>1</v>
      </c>
      <c r="S311" s="341">
        <v>1</v>
      </c>
      <c r="T311" s="341">
        <v>3</v>
      </c>
      <c r="U311" s="341">
        <v>1</v>
      </c>
      <c r="V311" s="341">
        <v>1</v>
      </c>
      <c r="W311" s="335">
        <v>1</v>
      </c>
      <c r="X311" s="329" t="s">
        <v>3045</v>
      </c>
      <c r="Y311" s="361" t="s">
        <v>211</v>
      </c>
      <c r="Z311" s="329" t="s">
        <v>8</v>
      </c>
      <c r="AA311" s="329"/>
      <c r="AB311" s="345"/>
      <c r="AC311" s="339"/>
    </row>
    <row r="312" spans="1:29" ht="31.5" hidden="1">
      <c r="A312" s="329"/>
      <c r="B312" s="381" t="s">
        <v>899</v>
      </c>
      <c r="C312" s="373">
        <v>12</v>
      </c>
      <c r="D312" s="373" t="s">
        <v>3047</v>
      </c>
      <c r="E312" s="373"/>
      <c r="F312" s="373" t="s">
        <v>3046</v>
      </c>
      <c r="G312" s="335" t="s">
        <v>342</v>
      </c>
      <c r="H312" s="335">
        <v>3</v>
      </c>
      <c r="I312" s="341">
        <v>1</v>
      </c>
      <c r="J312" s="341">
        <v>1</v>
      </c>
      <c r="K312" s="341">
        <v>1</v>
      </c>
      <c r="L312" s="341">
        <v>3</v>
      </c>
      <c r="M312" s="341">
        <v>1</v>
      </c>
      <c r="N312" s="341">
        <v>1</v>
      </c>
      <c r="O312" s="341">
        <v>1</v>
      </c>
      <c r="P312" s="341">
        <v>3</v>
      </c>
      <c r="Q312" s="341">
        <v>1</v>
      </c>
      <c r="R312" s="341">
        <v>1</v>
      </c>
      <c r="S312" s="341">
        <v>1</v>
      </c>
      <c r="T312" s="341">
        <v>3</v>
      </c>
      <c r="U312" s="341">
        <v>1</v>
      </c>
      <c r="V312" s="341">
        <v>1</v>
      </c>
      <c r="W312" s="335">
        <v>1</v>
      </c>
      <c r="X312" s="329" t="s">
        <v>3045</v>
      </c>
      <c r="Y312" s="361" t="s">
        <v>210</v>
      </c>
      <c r="Z312" s="329" t="s">
        <v>8</v>
      </c>
      <c r="AA312" s="329"/>
      <c r="AB312" s="345"/>
      <c r="AC312" s="339"/>
    </row>
    <row r="313" spans="1:29" hidden="1">
      <c r="A313" s="329"/>
      <c r="B313" s="381" t="s">
        <v>900</v>
      </c>
      <c r="C313" s="373">
        <v>12</v>
      </c>
      <c r="D313" s="373" t="s">
        <v>3047</v>
      </c>
      <c r="E313" s="373"/>
      <c r="F313" s="373" t="s">
        <v>3046</v>
      </c>
      <c r="G313" s="335" t="s">
        <v>342</v>
      </c>
      <c r="H313" s="335">
        <v>3</v>
      </c>
      <c r="I313" s="341">
        <v>1</v>
      </c>
      <c r="J313" s="341">
        <v>1</v>
      </c>
      <c r="K313" s="341">
        <v>1</v>
      </c>
      <c r="L313" s="341">
        <v>3</v>
      </c>
      <c r="M313" s="341">
        <v>1</v>
      </c>
      <c r="N313" s="341">
        <v>1</v>
      </c>
      <c r="O313" s="341">
        <v>1</v>
      </c>
      <c r="P313" s="341">
        <v>3</v>
      </c>
      <c r="Q313" s="341">
        <v>1</v>
      </c>
      <c r="R313" s="341">
        <v>1</v>
      </c>
      <c r="S313" s="341">
        <v>1</v>
      </c>
      <c r="T313" s="341">
        <v>3</v>
      </c>
      <c r="U313" s="341">
        <v>1</v>
      </c>
      <c r="V313" s="341">
        <v>1</v>
      </c>
      <c r="W313" s="335">
        <v>1</v>
      </c>
      <c r="X313" s="329" t="s">
        <v>3045</v>
      </c>
      <c r="Y313" s="361" t="s">
        <v>209</v>
      </c>
      <c r="Z313" s="329" t="s">
        <v>8</v>
      </c>
      <c r="AA313" s="329"/>
      <c r="AB313" s="345"/>
      <c r="AC313" s="339"/>
    </row>
    <row r="314" spans="1:29" hidden="1">
      <c r="A314" s="329"/>
      <c r="B314" s="338" t="s">
        <v>817</v>
      </c>
      <c r="C314" s="359">
        <v>1</v>
      </c>
      <c r="D314" s="371" t="s">
        <v>895</v>
      </c>
      <c r="E314" s="371"/>
      <c r="F314" s="371">
        <v>18.36</v>
      </c>
      <c r="G314" s="337" t="s">
        <v>342</v>
      </c>
      <c r="H314" s="343">
        <v>1</v>
      </c>
      <c r="I314" s="340">
        <v>1</v>
      </c>
      <c r="J314" s="344"/>
      <c r="K314" s="344"/>
      <c r="L314" s="337">
        <v>0</v>
      </c>
      <c r="M314" s="340"/>
      <c r="N314" s="344"/>
      <c r="O314" s="344"/>
      <c r="P314" s="337">
        <v>0</v>
      </c>
      <c r="Q314" s="340"/>
      <c r="R314" s="344"/>
      <c r="S314" s="344"/>
      <c r="T314" s="337">
        <v>0</v>
      </c>
      <c r="U314" s="343"/>
      <c r="V314" s="343"/>
      <c r="W314" s="343"/>
      <c r="X314" s="329" t="s">
        <v>2579</v>
      </c>
      <c r="Y314" s="330" t="str">
        <f>DB!$D$37</f>
        <v>Single Line Telephone (Black)</v>
      </c>
      <c r="Z314" s="329" t="s">
        <v>8</v>
      </c>
      <c r="AA314" s="329"/>
      <c r="AB314" s="345"/>
      <c r="AC314" s="339"/>
    </row>
    <row r="315" spans="1:29" hidden="1">
      <c r="A315" s="329"/>
      <c r="B315" s="334" t="s">
        <v>234</v>
      </c>
      <c r="C315" s="362">
        <v>2</v>
      </c>
      <c r="D315" s="373" t="s">
        <v>895</v>
      </c>
      <c r="E315" s="373"/>
      <c r="F315" s="373">
        <v>18.36</v>
      </c>
      <c r="G315" s="335" t="s">
        <v>342</v>
      </c>
      <c r="H315" s="341">
        <v>1</v>
      </c>
      <c r="I315" s="340">
        <v>1</v>
      </c>
      <c r="J315" s="344"/>
      <c r="K315" s="344"/>
      <c r="L315" s="335">
        <v>0</v>
      </c>
      <c r="M315" s="340"/>
      <c r="N315" s="344"/>
      <c r="O315" s="344"/>
      <c r="P315" s="335">
        <v>1</v>
      </c>
      <c r="Q315" s="340">
        <v>1</v>
      </c>
      <c r="R315" s="344"/>
      <c r="S315" s="344"/>
      <c r="T315" s="335">
        <v>0</v>
      </c>
      <c r="U315" s="341"/>
      <c r="V315" s="341"/>
      <c r="W315" s="341"/>
      <c r="X315" s="329" t="s">
        <v>2579</v>
      </c>
      <c r="Y315" s="336" t="str">
        <f>DB!$D$168</f>
        <v>Keyboard, Full Size, USB 2.0</v>
      </c>
      <c r="Z315" s="329" t="s">
        <v>2946</v>
      </c>
      <c r="AA315" s="329"/>
      <c r="AB315" s="345"/>
      <c r="AC315" s="339"/>
    </row>
    <row r="316" spans="1:29" hidden="1">
      <c r="A316" s="329"/>
      <c r="B316" s="338" t="s">
        <v>239</v>
      </c>
      <c r="C316" s="373">
        <v>2</v>
      </c>
      <c r="D316" s="373" t="s">
        <v>895</v>
      </c>
      <c r="E316" s="373"/>
      <c r="F316" s="373">
        <v>18.36</v>
      </c>
      <c r="G316" s="335" t="s">
        <v>342</v>
      </c>
      <c r="H316" s="341">
        <v>1</v>
      </c>
      <c r="I316" s="340">
        <v>1</v>
      </c>
      <c r="J316" s="344"/>
      <c r="K316" s="344"/>
      <c r="L316" s="335">
        <v>0</v>
      </c>
      <c r="M316" s="340"/>
      <c r="N316" s="344"/>
      <c r="O316" s="344"/>
      <c r="P316" s="335">
        <v>1</v>
      </c>
      <c r="Q316" s="340">
        <v>1</v>
      </c>
      <c r="R316" s="344"/>
      <c r="S316" s="344"/>
      <c r="T316" s="335">
        <v>0</v>
      </c>
      <c r="U316" s="341"/>
      <c r="V316" s="341"/>
      <c r="W316" s="341"/>
      <c r="X316" s="329" t="s">
        <v>2579</v>
      </c>
      <c r="Y316" s="346" t="str">
        <f>DB!$D$169</f>
        <v>Mouse, Optical, USB 2.0</v>
      </c>
      <c r="Z316" s="329" t="s">
        <v>2946</v>
      </c>
      <c r="AA316" s="329"/>
      <c r="AB316" s="345"/>
      <c r="AC316" s="339"/>
    </row>
    <row r="317" spans="1:29" hidden="1">
      <c r="A317" s="329"/>
      <c r="B317" s="382" t="s">
        <v>3048</v>
      </c>
      <c r="C317" s="362">
        <v>1</v>
      </c>
      <c r="D317" s="373" t="s">
        <v>895</v>
      </c>
      <c r="E317" s="373"/>
      <c r="F317" s="373">
        <v>18.36</v>
      </c>
      <c r="G317" s="335" t="s">
        <v>342</v>
      </c>
      <c r="H317" s="341">
        <v>1</v>
      </c>
      <c r="I317" s="340">
        <v>1</v>
      </c>
      <c r="J317" s="344"/>
      <c r="K317" s="344"/>
      <c r="L317" s="335"/>
      <c r="M317" s="340"/>
      <c r="N317" s="344"/>
      <c r="O317" s="344"/>
      <c r="P317" s="335"/>
      <c r="Q317" s="340"/>
      <c r="R317" s="344"/>
      <c r="S317" s="344"/>
      <c r="T317" s="335"/>
      <c r="U317" s="341"/>
      <c r="V317" s="341"/>
      <c r="W317" s="341"/>
      <c r="X317" s="329" t="s">
        <v>2579</v>
      </c>
      <c r="Y317" s="330"/>
      <c r="Z317" s="329" t="s">
        <v>2962</v>
      </c>
      <c r="AA317" s="329"/>
      <c r="AB317" s="345"/>
      <c r="AC317" s="339"/>
    </row>
    <row r="318" spans="1:29" hidden="1">
      <c r="A318" s="329"/>
      <c r="B318" s="338" t="s">
        <v>896</v>
      </c>
      <c r="C318" s="362">
        <v>1</v>
      </c>
      <c r="D318" s="373" t="s">
        <v>895</v>
      </c>
      <c r="E318" s="373"/>
      <c r="F318" s="373">
        <v>20.48</v>
      </c>
      <c r="G318" s="335" t="s">
        <v>342</v>
      </c>
      <c r="H318" s="341">
        <v>1</v>
      </c>
      <c r="I318" s="340">
        <v>1</v>
      </c>
      <c r="J318" s="344"/>
      <c r="K318" s="344"/>
      <c r="L318" s="335">
        <v>0</v>
      </c>
      <c r="M318" s="340"/>
      <c r="N318" s="344"/>
      <c r="O318" s="344"/>
      <c r="P318" s="335">
        <v>0</v>
      </c>
      <c r="Q318" s="340"/>
      <c r="R318" s="344"/>
      <c r="S318" s="344"/>
      <c r="T318" s="335">
        <v>0</v>
      </c>
      <c r="U318" s="341"/>
      <c r="V318" s="341"/>
      <c r="W318" s="341"/>
      <c r="X318" s="329" t="s">
        <v>2579</v>
      </c>
      <c r="Y318" s="330" t="str">
        <f>DB!$D$73</f>
        <v>Webcam Professional Full HD</v>
      </c>
      <c r="Z318" s="329" t="s">
        <v>8</v>
      </c>
      <c r="AA318" s="329"/>
      <c r="AB318" s="345"/>
      <c r="AC318" s="339"/>
    </row>
    <row r="319" spans="1:29" hidden="1">
      <c r="A319" s="329"/>
      <c r="B319" s="380" t="s">
        <v>897</v>
      </c>
      <c r="C319" s="373">
        <v>48</v>
      </c>
      <c r="D319" s="373" t="s">
        <v>92</v>
      </c>
      <c r="E319" s="373"/>
      <c r="F319" s="373" t="s">
        <v>3046</v>
      </c>
      <c r="G319" s="335" t="s">
        <v>342</v>
      </c>
      <c r="H319" s="337">
        <v>12</v>
      </c>
      <c r="I319" s="343">
        <v>4</v>
      </c>
      <c r="J319" s="343">
        <v>4</v>
      </c>
      <c r="K319" s="343">
        <v>4</v>
      </c>
      <c r="L319" s="343">
        <v>12</v>
      </c>
      <c r="M319" s="343">
        <v>4</v>
      </c>
      <c r="N319" s="343">
        <v>4</v>
      </c>
      <c r="O319" s="343">
        <v>4</v>
      </c>
      <c r="P319" s="343">
        <v>12</v>
      </c>
      <c r="Q319" s="343">
        <v>4</v>
      </c>
      <c r="R319" s="343">
        <v>4</v>
      </c>
      <c r="S319" s="343">
        <v>4</v>
      </c>
      <c r="T319" s="343">
        <v>12</v>
      </c>
      <c r="U319" s="343">
        <v>4</v>
      </c>
      <c r="V319" s="343">
        <v>4</v>
      </c>
      <c r="W319" s="335">
        <v>4</v>
      </c>
      <c r="X319" s="329" t="s">
        <v>2579</v>
      </c>
      <c r="Y319" s="361" t="s">
        <v>199</v>
      </c>
      <c r="Z319" s="329" t="s">
        <v>8</v>
      </c>
      <c r="AA319" s="329"/>
      <c r="AB319" s="345"/>
      <c r="AC319" s="339"/>
    </row>
    <row r="320" spans="1:29" hidden="1">
      <c r="A320" s="329"/>
      <c r="B320" s="381" t="s">
        <v>898</v>
      </c>
      <c r="C320" s="373">
        <v>12</v>
      </c>
      <c r="D320" s="373" t="s">
        <v>3047</v>
      </c>
      <c r="E320" s="373"/>
      <c r="F320" s="373" t="s">
        <v>3046</v>
      </c>
      <c r="G320" s="335" t="s">
        <v>342</v>
      </c>
      <c r="H320" s="335">
        <v>3</v>
      </c>
      <c r="I320" s="341">
        <v>1</v>
      </c>
      <c r="J320" s="341">
        <v>1</v>
      </c>
      <c r="K320" s="341">
        <v>1</v>
      </c>
      <c r="L320" s="341">
        <v>3</v>
      </c>
      <c r="M320" s="341">
        <v>1</v>
      </c>
      <c r="N320" s="341">
        <v>1</v>
      </c>
      <c r="O320" s="341">
        <v>1</v>
      </c>
      <c r="P320" s="341">
        <v>3</v>
      </c>
      <c r="Q320" s="341">
        <v>1</v>
      </c>
      <c r="R320" s="341">
        <v>1</v>
      </c>
      <c r="S320" s="341">
        <v>1</v>
      </c>
      <c r="T320" s="341">
        <v>3</v>
      </c>
      <c r="U320" s="341">
        <v>1</v>
      </c>
      <c r="V320" s="341">
        <v>1</v>
      </c>
      <c r="W320" s="335">
        <v>1</v>
      </c>
      <c r="X320" s="329" t="s">
        <v>2579</v>
      </c>
      <c r="Y320" s="361" t="s">
        <v>211</v>
      </c>
      <c r="Z320" s="329" t="s">
        <v>8</v>
      </c>
      <c r="AA320" s="329"/>
      <c r="AB320" s="345"/>
      <c r="AC320" s="339"/>
    </row>
    <row r="321" spans="1:29" ht="31.5" hidden="1">
      <c r="A321" s="329"/>
      <c r="B321" s="381" t="s">
        <v>899</v>
      </c>
      <c r="C321" s="373">
        <v>12</v>
      </c>
      <c r="D321" s="373" t="s">
        <v>3047</v>
      </c>
      <c r="E321" s="373"/>
      <c r="F321" s="373" t="s">
        <v>3046</v>
      </c>
      <c r="G321" s="335" t="s">
        <v>342</v>
      </c>
      <c r="H321" s="335">
        <v>3</v>
      </c>
      <c r="I321" s="341">
        <v>1</v>
      </c>
      <c r="J321" s="341">
        <v>1</v>
      </c>
      <c r="K321" s="341">
        <v>1</v>
      </c>
      <c r="L321" s="341">
        <v>3</v>
      </c>
      <c r="M321" s="341">
        <v>1</v>
      </c>
      <c r="N321" s="341">
        <v>1</v>
      </c>
      <c r="O321" s="341">
        <v>1</v>
      </c>
      <c r="P321" s="341">
        <v>3</v>
      </c>
      <c r="Q321" s="341">
        <v>1</v>
      </c>
      <c r="R321" s="341">
        <v>1</v>
      </c>
      <c r="S321" s="341">
        <v>1</v>
      </c>
      <c r="T321" s="341">
        <v>3</v>
      </c>
      <c r="U321" s="341">
        <v>1</v>
      </c>
      <c r="V321" s="341">
        <v>1</v>
      </c>
      <c r="W321" s="335">
        <v>1</v>
      </c>
      <c r="X321" s="329" t="s">
        <v>2579</v>
      </c>
      <c r="Y321" s="361" t="s">
        <v>210</v>
      </c>
      <c r="Z321" s="329" t="s">
        <v>8</v>
      </c>
      <c r="AA321" s="329"/>
      <c r="AB321" s="345"/>
      <c r="AC321" s="339"/>
    </row>
    <row r="322" spans="1:29" hidden="1">
      <c r="A322" s="329"/>
      <c r="B322" s="381" t="s">
        <v>900</v>
      </c>
      <c r="C322" s="373">
        <v>12</v>
      </c>
      <c r="D322" s="373" t="s">
        <v>601</v>
      </c>
      <c r="E322" s="373"/>
      <c r="F322" s="373">
        <v>33.22</v>
      </c>
      <c r="G322" s="335" t="s">
        <v>342</v>
      </c>
      <c r="H322" s="335">
        <v>3</v>
      </c>
      <c r="I322" s="341">
        <v>1</v>
      </c>
      <c r="J322" s="341">
        <v>1</v>
      </c>
      <c r="K322" s="341">
        <v>1</v>
      </c>
      <c r="L322" s="341">
        <v>3</v>
      </c>
      <c r="M322" s="341">
        <v>1</v>
      </c>
      <c r="N322" s="341">
        <v>1</v>
      </c>
      <c r="O322" s="341">
        <v>1</v>
      </c>
      <c r="P322" s="341">
        <v>3</v>
      </c>
      <c r="Q322" s="341">
        <v>1</v>
      </c>
      <c r="R322" s="341">
        <v>1</v>
      </c>
      <c r="S322" s="341">
        <v>1</v>
      </c>
      <c r="T322" s="341">
        <v>3</v>
      </c>
      <c r="U322" s="341">
        <v>1</v>
      </c>
      <c r="V322" s="341">
        <v>1</v>
      </c>
      <c r="W322" s="335">
        <v>1</v>
      </c>
      <c r="X322" s="329" t="s">
        <v>2579</v>
      </c>
      <c r="Y322" s="361" t="s">
        <v>209</v>
      </c>
      <c r="Z322" s="329" t="s">
        <v>8</v>
      </c>
      <c r="AA322" s="329"/>
      <c r="AB322" s="345"/>
      <c r="AC322" s="339"/>
    </row>
    <row r="323" spans="1:29" hidden="1">
      <c r="A323" s="329"/>
      <c r="B323" s="338" t="s">
        <v>234</v>
      </c>
      <c r="C323" s="373">
        <v>2</v>
      </c>
      <c r="D323" s="373" t="s">
        <v>895</v>
      </c>
      <c r="E323" s="373"/>
      <c r="F323" s="373">
        <v>18.36</v>
      </c>
      <c r="G323" s="343" t="s">
        <v>342</v>
      </c>
      <c r="H323" s="343">
        <v>1</v>
      </c>
      <c r="I323" s="340">
        <v>1</v>
      </c>
      <c r="J323" s="344"/>
      <c r="K323" s="344"/>
      <c r="L323" s="337">
        <v>0</v>
      </c>
      <c r="M323" s="340"/>
      <c r="N323" s="344"/>
      <c r="O323" s="344"/>
      <c r="P323" s="337">
        <v>1</v>
      </c>
      <c r="Q323" s="340">
        <v>1</v>
      </c>
      <c r="R323" s="344"/>
      <c r="S323" s="344"/>
      <c r="T323" s="337">
        <v>0</v>
      </c>
      <c r="U323" s="343"/>
      <c r="V323" s="343"/>
      <c r="W323" s="343"/>
      <c r="X323" s="329" t="s">
        <v>3049</v>
      </c>
      <c r="Y323" s="336" t="str">
        <f>DB!$D$168</f>
        <v>Keyboard, Full Size, USB 2.0</v>
      </c>
      <c r="Z323" s="329" t="s">
        <v>2946</v>
      </c>
      <c r="AA323" s="329"/>
      <c r="AB323" s="345"/>
      <c r="AC323" s="339"/>
    </row>
    <row r="324" spans="1:29" hidden="1">
      <c r="A324" s="329"/>
      <c r="B324" s="334" t="s">
        <v>239</v>
      </c>
      <c r="C324" s="359">
        <v>2</v>
      </c>
      <c r="D324" s="371" t="s">
        <v>895</v>
      </c>
      <c r="E324" s="371"/>
      <c r="F324" s="371">
        <v>18.36</v>
      </c>
      <c r="G324" s="335" t="s">
        <v>342</v>
      </c>
      <c r="H324" s="341">
        <v>1</v>
      </c>
      <c r="I324" s="340">
        <v>1</v>
      </c>
      <c r="J324" s="344"/>
      <c r="K324" s="344"/>
      <c r="L324" s="335">
        <v>0</v>
      </c>
      <c r="M324" s="340"/>
      <c r="N324" s="344"/>
      <c r="O324" s="344"/>
      <c r="P324" s="335">
        <v>1</v>
      </c>
      <c r="Q324" s="340">
        <v>1</v>
      </c>
      <c r="R324" s="344"/>
      <c r="S324" s="344"/>
      <c r="T324" s="335">
        <v>0</v>
      </c>
      <c r="U324" s="341"/>
      <c r="V324" s="341"/>
      <c r="W324" s="341"/>
      <c r="X324" s="329" t="s">
        <v>3049</v>
      </c>
      <c r="Y324" s="346" t="str">
        <f>DB!$D$169</f>
        <v>Mouse, Optical, USB 2.0</v>
      </c>
      <c r="Z324" s="329" t="s">
        <v>2946</v>
      </c>
      <c r="AA324" s="329"/>
      <c r="AB324" s="345"/>
      <c r="AC324" s="339"/>
    </row>
    <row r="325" spans="1:29" hidden="1">
      <c r="A325" s="329"/>
      <c r="B325" s="338" t="s">
        <v>817</v>
      </c>
      <c r="C325" s="373">
        <v>1</v>
      </c>
      <c r="D325" s="373" t="s">
        <v>895</v>
      </c>
      <c r="E325" s="373"/>
      <c r="F325" s="373">
        <v>18.36</v>
      </c>
      <c r="G325" s="335" t="s">
        <v>342</v>
      </c>
      <c r="H325" s="341">
        <v>1</v>
      </c>
      <c r="I325" s="340">
        <v>1</v>
      </c>
      <c r="J325" s="344"/>
      <c r="K325" s="344"/>
      <c r="L325" s="335">
        <v>0</v>
      </c>
      <c r="M325" s="340"/>
      <c r="N325" s="344"/>
      <c r="O325" s="344"/>
      <c r="P325" s="335">
        <v>0</v>
      </c>
      <c r="Q325" s="340"/>
      <c r="R325" s="344"/>
      <c r="S325" s="344"/>
      <c r="T325" s="335">
        <v>0</v>
      </c>
      <c r="U325" s="341"/>
      <c r="V325" s="341"/>
      <c r="W325" s="341"/>
      <c r="X325" s="329" t="s">
        <v>3049</v>
      </c>
      <c r="Y325" s="330" t="str">
        <f>DB!$D$37</f>
        <v>Single Line Telephone (Black)</v>
      </c>
      <c r="Z325" s="329" t="s">
        <v>8</v>
      </c>
      <c r="AA325" s="329"/>
      <c r="AB325" s="345"/>
      <c r="AC325" s="339"/>
    </row>
    <row r="326" spans="1:29" hidden="1">
      <c r="A326" s="329"/>
      <c r="B326" s="338" t="s">
        <v>896</v>
      </c>
      <c r="C326" s="362">
        <v>1</v>
      </c>
      <c r="D326" s="373" t="s">
        <v>895</v>
      </c>
      <c r="E326" s="373"/>
      <c r="F326" s="373">
        <v>18.36</v>
      </c>
      <c r="G326" s="335" t="s">
        <v>342</v>
      </c>
      <c r="H326" s="341">
        <v>1</v>
      </c>
      <c r="I326" s="340">
        <v>1</v>
      </c>
      <c r="J326" s="344"/>
      <c r="K326" s="344"/>
      <c r="L326" s="335">
        <v>0</v>
      </c>
      <c r="M326" s="340"/>
      <c r="N326" s="344"/>
      <c r="O326" s="344"/>
      <c r="P326" s="335">
        <v>0</v>
      </c>
      <c r="Q326" s="340"/>
      <c r="R326" s="344"/>
      <c r="S326" s="344"/>
      <c r="T326" s="335">
        <v>0</v>
      </c>
      <c r="U326" s="341"/>
      <c r="V326" s="341"/>
      <c r="W326" s="341"/>
      <c r="X326" s="329" t="s">
        <v>3049</v>
      </c>
      <c r="Y326" s="330" t="str">
        <f>DB!$D$73</f>
        <v>Webcam Professional Full HD</v>
      </c>
      <c r="Z326" s="329" t="s">
        <v>8</v>
      </c>
      <c r="AA326" s="329"/>
      <c r="AB326" s="345"/>
      <c r="AC326" s="339"/>
    </row>
    <row r="327" spans="1:29" hidden="1">
      <c r="A327" s="329"/>
      <c r="B327" s="380" t="s">
        <v>897</v>
      </c>
      <c r="C327" s="373">
        <v>48</v>
      </c>
      <c r="D327" s="373" t="s">
        <v>895</v>
      </c>
      <c r="E327" s="373"/>
      <c r="F327" s="373">
        <v>20.48</v>
      </c>
      <c r="G327" s="335" t="s">
        <v>342</v>
      </c>
      <c r="H327" s="337">
        <v>12</v>
      </c>
      <c r="I327" s="343">
        <v>4</v>
      </c>
      <c r="J327" s="343">
        <v>4</v>
      </c>
      <c r="K327" s="343">
        <v>4</v>
      </c>
      <c r="L327" s="343">
        <v>12</v>
      </c>
      <c r="M327" s="343">
        <v>4</v>
      </c>
      <c r="N327" s="343">
        <v>4</v>
      </c>
      <c r="O327" s="343">
        <v>4</v>
      </c>
      <c r="P327" s="343">
        <v>12</v>
      </c>
      <c r="Q327" s="343">
        <v>4</v>
      </c>
      <c r="R327" s="343">
        <v>4</v>
      </c>
      <c r="S327" s="343">
        <v>4</v>
      </c>
      <c r="T327" s="343">
        <v>12</v>
      </c>
      <c r="U327" s="343">
        <v>4</v>
      </c>
      <c r="V327" s="343">
        <v>4</v>
      </c>
      <c r="W327" s="335">
        <v>4</v>
      </c>
      <c r="X327" s="329" t="s">
        <v>3049</v>
      </c>
      <c r="Y327" s="361" t="s">
        <v>199</v>
      </c>
      <c r="Z327" s="329" t="s">
        <v>8</v>
      </c>
      <c r="AA327" s="329"/>
      <c r="AB327" s="345"/>
      <c r="AC327" s="339"/>
    </row>
    <row r="328" spans="1:29" hidden="1">
      <c r="A328" s="329"/>
      <c r="B328" s="381" t="s">
        <v>898</v>
      </c>
      <c r="C328" s="373">
        <v>12</v>
      </c>
      <c r="D328" s="373" t="s">
        <v>92</v>
      </c>
      <c r="E328" s="373"/>
      <c r="F328" s="373" t="s">
        <v>3046</v>
      </c>
      <c r="G328" s="335" t="s">
        <v>342</v>
      </c>
      <c r="H328" s="335">
        <v>3</v>
      </c>
      <c r="I328" s="341">
        <v>1</v>
      </c>
      <c r="J328" s="341">
        <v>1</v>
      </c>
      <c r="K328" s="341">
        <v>1</v>
      </c>
      <c r="L328" s="341">
        <v>3</v>
      </c>
      <c r="M328" s="341">
        <v>1</v>
      </c>
      <c r="N328" s="341">
        <v>1</v>
      </c>
      <c r="O328" s="341">
        <v>1</v>
      </c>
      <c r="P328" s="341">
        <v>3</v>
      </c>
      <c r="Q328" s="341">
        <v>1</v>
      </c>
      <c r="R328" s="341">
        <v>1</v>
      </c>
      <c r="S328" s="341">
        <v>1</v>
      </c>
      <c r="T328" s="341">
        <v>3</v>
      </c>
      <c r="U328" s="341">
        <v>1</v>
      </c>
      <c r="V328" s="341">
        <v>1</v>
      </c>
      <c r="W328" s="335">
        <v>1</v>
      </c>
      <c r="X328" s="329" t="s">
        <v>3049</v>
      </c>
      <c r="Y328" s="361" t="s">
        <v>211</v>
      </c>
      <c r="Z328" s="329" t="s">
        <v>8</v>
      </c>
      <c r="AA328" s="329"/>
      <c r="AB328" s="345"/>
      <c r="AC328" s="339"/>
    </row>
    <row r="329" spans="1:29" ht="31.5" hidden="1">
      <c r="A329" s="329"/>
      <c r="B329" s="381" t="s">
        <v>899</v>
      </c>
      <c r="C329" s="373">
        <v>12</v>
      </c>
      <c r="D329" s="373" t="s">
        <v>3047</v>
      </c>
      <c r="E329" s="373"/>
      <c r="F329" s="373" t="s">
        <v>3046</v>
      </c>
      <c r="G329" s="335" t="s">
        <v>342</v>
      </c>
      <c r="H329" s="335">
        <v>3</v>
      </c>
      <c r="I329" s="341">
        <v>1</v>
      </c>
      <c r="J329" s="341">
        <v>1</v>
      </c>
      <c r="K329" s="341">
        <v>1</v>
      </c>
      <c r="L329" s="341">
        <v>3</v>
      </c>
      <c r="M329" s="341">
        <v>1</v>
      </c>
      <c r="N329" s="341">
        <v>1</v>
      </c>
      <c r="O329" s="341">
        <v>1</v>
      </c>
      <c r="P329" s="341">
        <v>3</v>
      </c>
      <c r="Q329" s="341">
        <v>1</v>
      </c>
      <c r="R329" s="341">
        <v>1</v>
      </c>
      <c r="S329" s="341">
        <v>1</v>
      </c>
      <c r="T329" s="341">
        <v>3</v>
      </c>
      <c r="U329" s="341">
        <v>1</v>
      </c>
      <c r="V329" s="341">
        <v>1</v>
      </c>
      <c r="W329" s="335">
        <v>1</v>
      </c>
      <c r="X329" s="329" t="s">
        <v>3049</v>
      </c>
      <c r="Y329" s="361" t="s">
        <v>210</v>
      </c>
      <c r="Z329" s="329" t="s">
        <v>8</v>
      </c>
      <c r="AA329" s="329"/>
      <c r="AB329" s="345"/>
      <c r="AC329" s="339"/>
    </row>
    <row r="330" spans="1:29" hidden="1">
      <c r="A330" s="329"/>
      <c r="B330" s="381" t="s">
        <v>900</v>
      </c>
      <c r="C330" s="373">
        <v>12</v>
      </c>
      <c r="D330" s="373" t="s">
        <v>3047</v>
      </c>
      <c r="E330" s="373"/>
      <c r="F330" s="373" t="s">
        <v>3046</v>
      </c>
      <c r="G330" s="335" t="s">
        <v>342</v>
      </c>
      <c r="H330" s="335">
        <v>3</v>
      </c>
      <c r="I330" s="341">
        <v>1</v>
      </c>
      <c r="J330" s="341">
        <v>1</v>
      </c>
      <c r="K330" s="341">
        <v>1</v>
      </c>
      <c r="L330" s="341">
        <v>3</v>
      </c>
      <c r="M330" s="341">
        <v>1</v>
      </c>
      <c r="N330" s="341">
        <v>1</v>
      </c>
      <c r="O330" s="341">
        <v>1</v>
      </c>
      <c r="P330" s="341">
        <v>3</v>
      </c>
      <c r="Q330" s="341">
        <v>1</v>
      </c>
      <c r="R330" s="341">
        <v>1</v>
      </c>
      <c r="S330" s="341">
        <v>1</v>
      </c>
      <c r="T330" s="341">
        <v>3</v>
      </c>
      <c r="U330" s="341">
        <v>1</v>
      </c>
      <c r="V330" s="341">
        <v>1</v>
      </c>
      <c r="W330" s="335">
        <v>1</v>
      </c>
      <c r="X330" s="329" t="s">
        <v>3049</v>
      </c>
      <c r="Y330" s="361" t="s">
        <v>209</v>
      </c>
      <c r="Z330" s="329" t="s">
        <v>8</v>
      </c>
      <c r="AA330" s="329"/>
      <c r="AB330" s="345"/>
      <c r="AC330" s="339"/>
    </row>
    <row r="331" spans="1:29" hidden="1">
      <c r="A331" s="329"/>
      <c r="B331" s="338" t="s">
        <v>817</v>
      </c>
      <c r="C331" s="359">
        <v>1</v>
      </c>
      <c r="D331" s="371" t="s">
        <v>895</v>
      </c>
      <c r="E331" s="371"/>
      <c r="F331" s="371">
        <v>18.36</v>
      </c>
      <c r="G331" s="337" t="s">
        <v>342</v>
      </c>
      <c r="H331" s="343">
        <v>1</v>
      </c>
      <c r="I331" s="340">
        <v>1</v>
      </c>
      <c r="J331" s="344"/>
      <c r="K331" s="344"/>
      <c r="L331" s="337">
        <v>0</v>
      </c>
      <c r="M331" s="340"/>
      <c r="N331" s="344"/>
      <c r="O331" s="344"/>
      <c r="P331" s="337">
        <v>0</v>
      </c>
      <c r="Q331" s="340"/>
      <c r="R331" s="344"/>
      <c r="S331" s="344"/>
      <c r="T331" s="337">
        <v>0</v>
      </c>
      <c r="U331" s="343"/>
      <c r="V331" s="343"/>
      <c r="W331" s="343"/>
      <c r="X331" s="329" t="s">
        <v>3050</v>
      </c>
      <c r="Y331" s="330" t="str">
        <f>DB!$D$37</f>
        <v>Single Line Telephone (Black)</v>
      </c>
      <c r="Z331" s="329" t="s">
        <v>8</v>
      </c>
      <c r="AA331" s="329"/>
      <c r="AB331" s="345"/>
      <c r="AC331" s="339"/>
    </row>
    <row r="332" spans="1:29" hidden="1">
      <c r="A332" s="329"/>
      <c r="B332" s="334" t="s">
        <v>234</v>
      </c>
      <c r="C332" s="362">
        <v>2</v>
      </c>
      <c r="D332" s="373" t="s">
        <v>895</v>
      </c>
      <c r="E332" s="373"/>
      <c r="F332" s="373">
        <v>18.36</v>
      </c>
      <c r="G332" s="335" t="s">
        <v>342</v>
      </c>
      <c r="H332" s="341">
        <v>1</v>
      </c>
      <c r="I332" s="340">
        <v>1</v>
      </c>
      <c r="J332" s="344"/>
      <c r="K332" s="344"/>
      <c r="L332" s="335">
        <v>0</v>
      </c>
      <c r="M332" s="340"/>
      <c r="N332" s="344"/>
      <c r="O332" s="344"/>
      <c r="P332" s="335">
        <v>1</v>
      </c>
      <c r="Q332" s="340">
        <v>1</v>
      </c>
      <c r="R332" s="344"/>
      <c r="S332" s="344"/>
      <c r="T332" s="335">
        <v>0</v>
      </c>
      <c r="U332" s="341"/>
      <c r="V332" s="341"/>
      <c r="W332" s="341"/>
      <c r="X332" s="329" t="s">
        <v>3050</v>
      </c>
      <c r="Y332" s="336" t="str">
        <f>DB!$D$168</f>
        <v>Keyboard, Full Size, USB 2.0</v>
      </c>
      <c r="Z332" s="329" t="s">
        <v>2946</v>
      </c>
      <c r="AA332" s="329"/>
      <c r="AB332" s="345"/>
      <c r="AC332" s="339"/>
    </row>
    <row r="333" spans="1:29" hidden="1">
      <c r="A333" s="329"/>
      <c r="B333" s="338" t="s">
        <v>239</v>
      </c>
      <c r="C333" s="373">
        <v>2</v>
      </c>
      <c r="D333" s="373" t="s">
        <v>895</v>
      </c>
      <c r="E333" s="373"/>
      <c r="F333" s="373">
        <v>18.36</v>
      </c>
      <c r="G333" s="335" t="s">
        <v>342</v>
      </c>
      <c r="H333" s="341">
        <v>1</v>
      </c>
      <c r="I333" s="340">
        <v>1</v>
      </c>
      <c r="J333" s="344"/>
      <c r="K333" s="344"/>
      <c r="L333" s="335">
        <v>0</v>
      </c>
      <c r="M333" s="340"/>
      <c r="N333" s="344"/>
      <c r="O333" s="344"/>
      <c r="P333" s="335">
        <v>1</v>
      </c>
      <c r="Q333" s="340">
        <v>1</v>
      </c>
      <c r="R333" s="344"/>
      <c r="S333" s="344"/>
      <c r="T333" s="335">
        <v>0</v>
      </c>
      <c r="U333" s="341"/>
      <c r="V333" s="341"/>
      <c r="W333" s="341"/>
      <c r="X333" s="329" t="s">
        <v>3050</v>
      </c>
      <c r="Y333" s="346" t="str">
        <f>DB!$D$169</f>
        <v>Mouse, Optical, USB 2.0</v>
      </c>
      <c r="Z333" s="329" t="s">
        <v>2946</v>
      </c>
      <c r="AA333" s="329"/>
      <c r="AB333" s="345"/>
      <c r="AC333" s="339"/>
    </row>
    <row r="334" spans="1:29" hidden="1">
      <c r="A334" s="329"/>
      <c r="B334" s="338" t="s">
        <v>896</v>
      </c>
      <c r="C334" s="362">
        <v>1</v>
      </c>
      <c r="D334" s="373" t="s">
        <v>895</v>
      </c>
      <c r="E334" s="373"/>
      <c r="F334" s="373">
        <v>18.36</v>
      </c>
      <c r="G334" s="335" t="s">
        <v>342</v>
      </c>
      <c r="H334" s="341">
        <v>1</v>
      </c>
      <c r="I334" s="340">
        <v>1</v>
      </c>
      <c r="J334" s="344"/>
      <c r="K334" s="344"/>
      <c r="L334" s="335">
        <v>0</v>
      </c>
      <c r="M334" s="340"/>
      <c r="N334" s="344"/>
      <c r="O334" s="344"/>
      <c r="P334" s="335">
        <v>0</v>
      </c>
      <c r="Q334" s="340"/>
      <c r="R334" s="344"/>
      <c r="S334" s="344"/>
      <c r="T334" s="335">
        <v>0</v>
      </c>
      <c r="U334" s="341"/>
      <c r="V334" s="341"/>
      <c r="W334" s="341"/>
      <c r="X334" s="329" t="s">
        <v>3050</v>
      </c>
      <c r="Y334" s="330" t="str">
        <f>DB!$D$73</f>
        <v>Webcam Professional Full HD</v>
      </c>
      <c r="Z334" s="329" t="s">
        <v>8</v>
      </c>
      <c r="AA334" s="329"/>
      <c r="AB334" s="345"/>
      <c r="AC334" s="339"/>
    </row>
    <row r="335" spans="1:29" hidden="1">
      <c r="A335" s="329"/>
      <c r="B335" s="380" t="s">
        <v>897</v>
      </c>
      <c r="C335" s="373">
        <v>48</v>
      </c>
      <c r="D335" s="373" t="s">
        <v>895</v>
      </c>
      <c r="E335" s="373"/>
      <c r="F335" s="373">
        <v>20.48</v>
      </c>
      <c r="G335" s="335" t="s">
        <v>342</v>
      </c>
      <c r="H335" s="337">
        <v>12</v>
      </c>
      <c r="I335" s="343">
        <v>4</v>
      </c>
      <c r="J335" s="343">
        <v>4</v>
      </c>
      <c r="K335" s="343">
        <v>4</v>
      </c>
      <c r="L335" s="343">
        <v>12</v>
      </c>
      <c r="M335" s="343">
        <v>4</v>
      </c>
      <c r="N335" s="343">
        <v>4</v>
      </c>
      <c r="O335" s="343">
        <v>4</v>
      </c>
      <c r="P335" s="343">
        <v>12</v>
      </c>
      <c r="Q335" s="343">
        <v>4</v>
      </c>
      <c r="R335" s="343">
        <v>4</v>
      </c>
      <c r="S335" s="343">
        <v>4</v>
      </c>
      <c r="T335" s="343">
        <v>12</v>
      </c>
      <c r="U335" s="343">
        <v>4</v>
      </c>
      <c r="V335" s="343">
        <v>4</v>
      </c>
      <c r="W335" s="335">
        <v>4</v>
      </c>
      <c r="X335" s="329" t="s">
        <v>3050</v>
      </c>
      <c r="Y335" s="361" t="s">
        <v>199</v>
      </c>
      <c r="Z335" s="329" t="s">
        <v>8</v>
      </c>
      <c r="AA335" s="329"/>
      <c r="AB335" s="345"/>
      <c r="AC335" s="339"/>
    </row>
    <row r="336" spans="1:29" hidden="1">
      <c r="A336" s="329"/>
      <c r="B336" s="381" t="s">
        <v>898</v>
      </c>
      <c r="C336" s="373">
        <v>24</v>
      </c>
      <c r="D336" s="373" t="s">
        <v>92</v>
      </c>
      <c r="E336" s="373"/>
      <c r="F336" s="373" t="s">
        <v>3046</v>
      </c>
      <c r="G336" s="335" t="s">
        <v>342</v>
      </c>
      <c r="H336" s="335">
        <v>6</v>
      </c>
      <c r="I336" s="341">
        <v>2</v>
      </c>
      <c r="J336" s="341">
        <v>2</v>
      </c>
      <c r="K336" s="341">
        <v>2</v>
      </c>
      <c r="L336" s="341">
        <v>6</v>
      </c>
      <c r="M336" s="341">
        <v>2</v>
      </c>
      <c r="N336" s="341">
        <v>2</v>
      </c>
      <c r="O336" s="341">
        <v>2</v>
      </c>
      <c r="P336" s="341">
        <v>6</v>
      </c>
      <c r="Q336" s="341">
        <v>2</v>
      </c>
      <c r="R336" s="341">
        <v>2</v>
      </c>
      <c r="S336" s="341">
        <v>2</v>
      </c>
      <c r="T336" s="341">
        <v>6</v>
      </c>
      <c r="U336" s="341">
        <v>2</v>
      </c>
      <c r="V336" s="341">
        <v>2</v>
      </c>
      <c r="W336" s="335">
        <v>2</v>
      </c>
      <c r="X336" s="329" t="s">
        <v>3050</v>
      </c>
      <c r="Y336" s="361" t="s">
        <v>211</v>
      </c>
      <c r="Z336" s="329" t="s">
        <v>8</v>
      </c>
      <c r="AA336" s="329"/>
      <c r="AB336" s="345"/>
      <c r="AC336" s="339"/>
    </row>
    <row r="337" spans="1:29" ht="31.5" hidden="1">
      <c r="A337" s="329"/>
      <c r="B337" s="381" t="s">
        <v>899</v>
      </c>
      <c r="C337" s="373">
        <v>24</v>
      </c>
      <c r="D337" s="373" t="s">
        <v>3047</v>
      </c>
      <c r="E337" s="373"/>
      <c r="F337" s="373" t="s">
        <v>3046</v>
      </c>
      <c r="G337" s="335" t="s">
        <v>342</v>
      </c>
      <c r="H337" s="335">
        <v>6</v>
      </c>
      <c r="I337" s="341">
        <v>2</v>
      </c>
      <c r="J337" s="341">
        <v>2</v>
      </c>
      <c r="K337" s="341">
        <v>2</v>
      </c>
      <c r="L337" s="341">
        <v>6</v>
      </c>
      <c r="M337" s="341">
        <v>2</v>
      </c>
      <c r="N337" s="341">
        <v>2</v>
      </c>
      <c r="O337" s="341">
        <v>2</v>
      </c>
      <c r="P337" s="341">
        <v>6</v>
      </c>
      <c r="Q337" s="341">
        <v>2</v>
      </c>
      <c r="R337" s="341">
        <v>2</v>
      </c>
      <c r="S337" s="341">
        <v>2</v>
      </c>
      <c r="T337" s="341">
        <v>6</v>
      </c>
      <c r="U337" s="341">
        <v>2</v>
      </c>
      <c r="V337" s="341">
        <v>2</v>
      </c>
      <c r="W337" s="335">
        <v>2</v>
      </c>
      <c r="X337" s="329" t="s">
        <v>3050</v>
      </c>
      <c r="Y337" s="361" t="s">
        <v>210</v>
      </c>
      <c r="Z337" s="329" t="s">
        <v>8</v>
      </c>
      <c r="AA337" s="329"/>
      <c r="AB337" s="345"/>
      <c r="AC337" s="339"/>
    </row>
    <row r="338" spans="1:29" hidden="1">
      <c r="A338" s="329"/>
      <c r="B338" s="381" t="s">
        <v>900</v>
      </c>
      <c r="C338" s="373">
        <v>24</v>
      </c>
      <c r="D338" s="373" t="s">
        <v>3047</v>
      </c>
      <c r="E338" s="373"/>
      <c r="F338" s="373" t="s">
        <v>3046</v>
      </c>
      <c r="G338" s="335" t="s">
        <v>342</v>
      </c>
      <c r="H338" s="335">
        <v>6</v>
      </c>
      <c r="I338" s="341">
        <v>2</v>
      </c>
      <c r="J338" s="341">
        <v>2</v>
      </c>
      <c r="K338" s="341">
        <v>2</v>
      </c>
      <c r="L338" s="341">
        <v>6</v>
      </c>
      <c r="M338" s="341">
        <v>2</v>
      </c>
      <c r="N338" s="341">
        <v>2</v>
      </c>
      <c r="O338" s="341">
        <v>2</v>
      </c>
      <c r="P338" s="341">
        <v>6</v>
      </c>
      <c r="Q338" s="341">
        <v>2</v>
      </c>
      <c r="R338" s="341">
        <v>2</v>
      </c>
      <c r="S338" s="341">
        <v>2</v>
      </c>
      <c r="T338" s="341">
        <v>6</v>
      </c>
      <c r="U338" s="341">
        <v>2</v>
      </c>
      <c r="V338" s="341">
        <v>2</v>
      </c>
      <c r="W338" s="335">
        <v>2</v>
      </c>
      <c r="X338" s="329" t="s">
        <v>3050</v>
      </c>
      <c r="Y338" s="361" t="s">
        <v>209</v>
      </c>
      <c r="Z338" s="329" t="s">
        <v>8</v>
      </c>
      <c r="AA338" s="329"/>
      <c r="AB338" s="345"/>
      <c r="AC338" s="339"/>
    </row>
    <row r="339" spans="1:29" hidden="1">
      <c r="A339" s="329"/>
      <c r="B339" s="338" t="s">
        <v>873</v>
      </c>
      <c r="C339" s="375">
        <v>1</v>
      </c>
      <c r="D339" s="375" t="s">
        <v>103</v>
      </c>
      <c r="E339" s="375">
        <v>380</v>
      </c>
      <c r="F339" s="375">
        <v>380</v>
      </c>
      <c r="G339" s="343" t="s">
        <v>2973</v>
      </c>
      <c r="H339" s="343">
        <v>1</v>
      </c>
      <c r="I339" s="343">
        <v>1</v>
      </c>
      <c r="J339" s="349"/>
      <c r="K339" s="349"/>
      <c r="L339" s="343"/>
      <c r="M339" s="349"/>
      <c r="N339" s="349"/>
      <c r="O339" s="349"/>
      <c r="P339" s="343"/>
      <c r="Q339" s="349"/>
      <c r="R339" s="349"/>
      <c r="S339" s="349"/>
      <c r="T339" s="343"/>
      <c r="U339" s="349"/>
      <c r="V339" s="349"/>
      <c r="W339" s="349"/>
      <c r="X339" s="329" t="s">
        <v>2974</v>
      </c>
      <c r="Y339" s="336" t="str">
        <f>DB!$D$168</f>
        <v>Keyboard, Full Size, USB 2.0</v>
      </c>
      <c r="Z339" s="329" t="s">
        <v>2946</v>
      </c>
      <c r="AA339" s="329"/>
      <c r="AB339" s="345"/>
      <c r="AC339" s="339"/>
    </row>
    <row r="340" spans="1:29" hidden="1">
      <c r="A340" s="329"/>
      <c r="B340" s="334" t="s">
        <v>874</v>
      </c>
      <c r="C340" s="377">
        <v>1</v>
      </c>
      <c r="D340" s="377" t="s">
        <v>103</v>
      </c>
      <c r="E340" s="377">
        <v>380</v>
      </c>
      <c r="F340" s="377">
        <v>380</v>
      </c>
      <c r="G340" s="341" t="s">
        <v>2973</v>
      </c>
      <c r="H340" s="341">
        <v>1</v>
      </c>
      <c r="I340" s="341">
        <v>1</v>
      </c>
      <c r="J340" s="349"/>
      <c r="K340" s="349"/>
      <c r="L340" s="341"/>
      <c r="M340" s="349"/>
      <c r="N340" s="349"/>
      <c r="O340" s="349"/>
      <c r="P340" s="341"/>
      <c r="Q340" s="349"/>
      <c r="R340" s="349"/>
      <c r="S340" s="349"/>
      <c r="T340" s="341"/>
      <c r="U340" s="349"/>
      <c r="V340" s="349"/>
      <c r="W340" s="349"/>
      <c r="X340" s="329" t="s">
        <v>2974</v>
      </c>
      <c r="Y340" s="346" t="str">
        <f>DB!$D$169</f>
        <v>Mouse, Optical, USB 2.0</v>
      </c>
      <c r="Z340" s="329" t="s">
        <v>2946</v>
      </c>
      <c r="AA340" s="329"/>
      <c r="AB340" s="345"/>
      <c r="AC340" s="339"/>
    </row>
    <row r="341" spans="1:29" hidden="1">
      <c r="A341" s="329"/>
      <c r="B341" s="334" t="s">
        <v>877</v>
      </c>
      <c r="C341" s="377">
        <v>1</v>
      </c>
      <c r="D341" s="377" t="s">
        <v>103</v>
      </c>
      <c r="E341" s="377">
        <v>1000</v>
      </c>
      <c r="F341" s="376">
        <v>1000</v>
      </c>
      <c r="G341" s="341" t="s">
        <v>2973</v>
      </c>
      <c r="H341" s="341">
        <v>1</v>
      </c>
      <c r="I341" s="341">
        <v>1</v>
      </c>
      <c r="J341" s="349"/>
      <c r="K341" s="349"/>
      <c r="L341" s="341"/>
      <c r="M341" s="349"/>
      <c r="N341" s="349"/>
      <c r="O341" s="349"/>
      <c r="P341" s="341"/>
      <c r="Q341" s="349"/>
      <c r="R341" s="349"/>
      <c r="S341" s="349"/>
      <c r="T341" s="341"/>
      <c r="U341" s="349"/>
      <c r="V341" s="349"/>
      <c r="W341" s="349"/>
      <c r="X341" s="329" t="s">
        <v>2974</v>
      </c>
      <c r="Y341" s="330" t="str">
        <f>DB!$D$95</f>
        <v>Stereo Speakers</v>
      </c>
      <c r="Z341" s="329" t="s">
        <v>8</v>
      </c>
      <c r="AA341" s="329"/>
      <c r="AB341" s="345"/>
      <c r="AC341" s="339"/>
    </row>
    <row r="342" spans="1:29" hidden="1">
      <c r="A342" s="329"/>
      <c r="B342" s="334" t="s">
        <v>879</v>
      </c>
      <c r="C342" s="341">
        <v>1</v>
      </c>
      <c r="D342" s="341" t="s">
        <v>103</v>
      </c>
      <c r="E342" s="347">
        <v>1000</v>
      </c>
      <c r="F342" s="376">
        <v>1000</v>
      </c>
      <c r="G342" s="341" t="s">
        <v>2973</v>
      </c>
      <c r="H342" s="341">
        <v>1</v>
      </c>
      <c r="I342" s="341">
        <v>1</v>
      </c>
      <c r="J342" s="341"/>
      <c r="K342" s="341"/>
      <c r="L342" s="341"/>
      <c r="M342" s="341"/>
      <c r="N342" s="341"/>
      <c r="O342" s="341"/>
      <c r="P342" s="341"/>
      <c r="Q342" s="341"/>
      <c r="R342" s="341"/>
      <c r="S342" s="341"/>
      <c r="T342" s="341"/>
      <c r="U342" s="341"/>
      <c r="V342" s="341"/>
      <c r="W342" s="371"/>
      <c r="X342" s="329" t="s">
        <v>2974</v>
      </c>
      <c r="Y342" s="330" t="str">
        <f>DB!$D$73</f>
        <v>Webcam Professional Full HD</v>
      </c>
      <c r="Z342" s="329" t="s">
        <v>8</v>
      </c>
      <c r="AA342" s="329"/>
      <c r="AB342" s="345"/>
      <c r="AC342" s="339"/>
    </row>
    <row r="343" spans="1:29" hidden="1">
      <c r="A343" s="329"/>
      <c r="B343" s="334" t="s">
        <v>2975</v>
      </c>
      <c r="C343" s="377">
        <v>24</v>
      </c>
      <c r="D343" s="341" t="s">
        <v>103</v>
      </c>
      <c r="E343" s="341">
        <v>200</v>
      </c>
      <c r="F343" s="347">
        <v>4800</v>
      </c>
      <c r="G343" s="341" t="s">
        <v>2976</v>
      </c>
      <c r="H343" s="341">
        <v>6</v>
      </c>
      <c r="I343" s="341">
        <v>2</v>
      </c>
      <c r="J343" s="341">
        <v>2</v>
      </c>
      <c r="K343" s="341">
        <v>2</v>
      </c>
      <c r="L343" s="341">
        <v>6</v>
      </c>
      <c r="M343" s="341">
        <v>2</v>
      </c>
      <c r="N343" s="341">
        <v>2</v>
      </c>
      <c r="O343" s="341">
        <v>2</v>
      </c>
      <c r="P343" s="341">
        <v>6</v>
      </c>
      <c r="Q343" s="341">
        <v>2</v>
      </c>
      <c r="R343" s="341">
        <v>2</v>
      </c>
      <c r="S343" s="341">
        <v>2</v>
      </c>
      <c r="T343" s="341">
        <v>6</v>
      </c>
      <c r="U343" s="341">
        <v>2</v>
      </c>
      <c r="V343" s="341">
        <v>2</v>
      </c>
      <c r="W343" s="341">
        <v>2</v>
      </c>
      <c r="X343" s="329" t="s">
        <v>2974</v>
      </c>
      <c r="Y343" s="330" t="str">
        <f>DB!$D$102</f>
        <v>Epson Genuine Ink T6641 Black</v>
      </c>
      <c r="Z343" s="351" t="s">
        <v>8</v>
      </c>
      <c r="AA343" s="329"/>
      <c r="AB343" s="345"/>
      <c r="AC343" s="339"/>
    </row>
    <row r="344" spans="1:29" hidden="1">
      <c r="A344" s="329"/>
      <c r="B344" s="338" t="s">
        <v>2977</v>
      </c>
      <c r="C344" s="391">
        <v>24</v>
      </c>
      <c r="D344" s="341" t="s">
        <v>103</v>
      </c>
      <c r="E344" s="341">
        <v>200</v>
      </c>
      <c r="F344" s="347">
        <v>4800</v>
      </c>
      <c r="G344" s="337" t="s">
        <v>2976</v>
      </c>
      <c r="H344" s="335">
        <v>6</v>
      </c>
      <c r="I344" s="341">
        <v>2</v>
      </c>
      <c r="J344" s="341">
        <v>2</v>
      </c>
      <c r="K344" s="341">
        <v>2</v>
      </c>
      <c r="L344" s="341">
        <v>6</v>
      </c>
      <c r="M344" s="341">
        <v>2</v>
      </c>
      <c r="N344" s="341">
        <v>2</v>
      </c>
      <c r="O344" s="341">
        <v>2</v>
      </c>
      <c r="P344" s="341">
        <v>6</v>
      </c>
      <c r="Q344" s="341">
        <v>2</v>
      </c>
      <c r="R344" s="341">
        <v>2</v>
      </c>
      <c r="S344" s="341">
        <v>2</v>
      </c>
      <c r="T344" s="341">
        <v>6</v>
      </c>
      <c r="U344" s="341">
        <v>2</v>
      </c>
      <c r="V344" s="341">
        <v>2</v>
      </c>
      <c r="W344" s="341">
        <v>2</v>
      </c>
      <c r="X344" s="329" t="s">
        <v>2974</v>
      </c>
      <c r="Y344" s="330" t="str">
        <f>DB!$D$103</f>
        <v>Epson Genuine Ink T6642 Cyan</v>
      </c>
      <c r="Z344" s="351" t="s">
        <v>8</v>
      </c>
      <c r="AA344" s="329"/>
      <c r="AB344" s="345"/>
      <c r="AC344" s="339"/>
    </row>
    <row r="345" spans="1:29" ht="31.5" hidden="1">
      <c r="A345" s="329"/>
      <c r="B345" s="334" t="s">
        <v>2978</v>
      </c>
      <c r="C345" s="413">
        <v>24</v>
      </c>
      <c r="D345" s="341" t="s">
        <v>103</v>
      </c>
      <c r="E345" s="341">
        <v>200</v>
      </c>
      <c r="F345" s="347">
        <v>4800</v>
      </c>
      <c r="G345" s="335" t="s">
        <v>2976</v>
      </c>
      <c r="H345" s="335">
        <v>6</v>
      </c>
      <c r="I345" s="341">
        <v>2</v>
      </c>
      <c r="J345" s="341">
        <v>2</v>
      </c>
      <c r="K345" s="341">
        <v>2</v>
      </c>
      <c r="L345" s="341">
        <v>6</v>
      </c>
      <c r="M345" s="341">
        <v>2</v>
      </c>
      <c r="N345" s="341">
        <v>2</v>
      </c>
      <c r="O345" s="341">
        <v>2</v>
      </c>
      <c r="P345" s="341">
        <v>6</v>
      </c>
      <c r="Q345" s="341">
        <v>2</v>
      </c>
      <c r="R345" s="341">
        <v>2</v>
      </c>
      <c r="S345" s="341">
        <v>2</v>
      </c>
      <c r="T345" s="341">
        <v>6</v>
      </c>
      <c r="U345" s="341">
        <v>2</v>
      </c>
      <c r="V345" s="341">
        <v>2</v>
      </c>
      <c r="W345" s="341">
        <v>2</v>
      </c>
      <c r="X345" s="329" t="s">
        <v>2974</v>
      </c>
      <c r="Y345" s="330" t="str">
        <f>DB!$D$104</f>
        <v>Epson Genuine Ink T6643 Magenta</v>
      </c>
      <c r="Z345" s="351" t="s">
        <v>8</v>
      </c>
      <c r="AA345" s="329"/>
      <c r="AB345" s="345"/>
      <c r="AC345" s="339"/>
    </row>
    <row r="346" spans="1:29" ht="31.5" hidden="1">
      <c r="A346" s="329"/>
      <c r="B346" s="334" t="s">
        <v>2979</v>
      </c>
      <c r="C346" s="375">
        <v>24</v>
      </c>
      <c r="D346" s="354" t="s">
        <v>103</v>
      </c>
      <c r="E346" s="354">
        <v>200</v>
      </c>
      <c r="F346" s="355">
        <v>4800</v>
      </c>
      <c r="G346" s="411" t="s">
        <v>2976</v>
      </c>
      <c r="H346" s="411">
        <v>6</v>
      </c>
      <c r="I346" s="354">
        <v>2</v>
      </c>
      <c r="J346" s="354">
        <v>2</v>
      </c>
      <c r="K346" s="354">
        <v>2</v>
      </c>
      <c r="L346" s="354">
        <v>6</v>
      </c>
      <c r="M346" s="354">
        <v>2</v>
      </c>
      <c r="N346" s="354">
        <v>2</v>
      </c>
      <c r="O346" s="354">
        <v>2</v>
      </c>
      <c r="P346" s="354">
        <v>6</v>
      </c>
      <c r="Q346" s="354">
        <v>2</v>
      </c>
      <c r="R346" s="354">
        <v>2</v>
      </c>
      <c r="S346" s="354">
        <v>2</v>
      </c>
      <c r="T346" s="354">
        <v>6</v>
      </c>
      <c r="U346" s="354">
        <v>2</v>
      </c>
      <c r="V346" s="354">
        <v>2</v>
      </c>
      <c r="W346" s="354">
        <v>2</v>
      </c>
      <c r="X346" s="329" t="s">
        <v>2974</v>
      </c>
      <c r="Y346" s="330" t="str">
        <f>DB!$D$105</f>
        <v>Epson Genuine Ink T6644 Yellow</v>
      </c>
      <c r="Z346" s="351" t="s">
        <v>8</v>
      </c>
      <c r="AA346" s="329"/>
      <c r="AB346" s="345"/>
      <c r="AC346" s="339"/>
    </row>
    <row r="347" spans="1:29" hidden="1">
      <c r="A347" s="329"/>
      <c r="B347" s="334" t="s">
        <v>873</v>
      </c>
      <c r="C347" s="377">
        <v>1</v>
      </c>
      <c r="D347" s="377" t="s">
        <v>103</v>
      </c>
      <c r="E347" s="377">
        <v>380</v>
      </c>
      <c r="F347" s="377">
        <v>380</v>
      </c>
      <c r="G347" s="341" t="s">
        <v>2973</v>
      </c>
      <c r="H347" s="341">
        <v>1</v>
      </c>
      <c r="I347" s="341">
        <v>1</v>
      </c>
      <c r="J347" s="414"/>
      <c r="K347" s="414"/>
      <c r="L347" s="341"/>
      <c r="M347" s="414"/>
      <c r="N347" s="414"/>
      <c r="O347" s="414"/>
      <c r="P347" s="341"/>
      <c r="Q347" s="414"/>
      <c r="R347" s="414"/>
      <c r="S347" s="414"/>
      <c r="T347" s="341"/>
      <c r="U347" s="414"/>
      <c r="V347" s="414"/>
      <c r="W347" s="414"/>
      <c r="X347" s="329" t="s">
        <v>3051</v>
      </c>
      <c r="Y347" s="336" t="str">
        <f>DB!$D$168</f>
        <v>Keyboard, Full Size, USB 2.0</v>
      </c>
      <c r="Z347" s="329" t="s">
        <v>2946</v>
      </c>
      <c r="AA347" s="329"/>
      <c r="AB347" s="345"/>
      <c r="AC347" s="339"/>
    </row>
    <row r="348" spans="1:29" hidden="1">
      <c r="A348" s="329"/>
      <c r="B348" s="338" t="s">
        <v>874</v>
      </c>
      <c r="C348" s="375">
        <v>1</v>
      </c>
      <c r="D348" s="375" t="s">
        <v>103</v>
      </c>
      <c r="E348" s="375">
        <v>380</v>
      </c>
      <c r="F348" s="375">
        <v>380</v>
      </c>
      <c r="G348" s="343" t="s">
        <v>2973</v>
      </c>
      <c r="H348" s="343">
        <v>1</v>
      </c>
      <c r="I348" s="343">
        <v>1</v>
      </c>
      <c r="J348" s="349"/>
      <c r="K348" s="349"/>
      <c r="L348" s="343"/>
      <c r="M348" s="349"/>
      <c r="N348" s="349"/>
      <c r="O348" s="349"/>
      <c r="P348" s="343"/>
      <c r="Q348" s="349"/>
      <c r="R348" s="349"/>
      <c r="S348" s="349"/>
      <c r="T348" s="343"/>
      <c r="U348" s="349"/>
      <c r="V348" s="349"/>
      <c r="W348" s="349"/>
      <c r="X348" s="329" t="s">
        <v>3051</v>
      </c>
      <c r="Y348" s="346" t="str">
        <f>DB!$D$169</f>
        <v>Mouse, Optical, USB 2.0</v>
      </c>
      <c r="Z348" s="329" t="s">
        <v>2946</v>
      </c>
      <c r="AA348" s="329"/>
      <c r="AB348" s="345"/>
      <c r="AC348" s="339"/>
    </row>
    <row r="349" spans="1:29" hidden="1">
      <c r="A349" s="329"/>
      <c r="B349" s="334" t="s">
        <v>875</v>
      </c>
      <c r="C349" s="377">
        <v>1</v>
      </c>
      <c r="D349" s="377" t="s">
        <v>92</v>
      </c>
      <c r="E349" s="377" t="s">
        <v>3052</v>
      </c>
      <c r="F349" s="376">
        <v>10000</v>
      </c>
      <c r="G349" s="341" t="s">
        <v>2973</v>
      </c>
      <c r="H349" s="341">
        <v>1</v>
      </c>
      <c r="I349" s="341">
        <v>1</v>
      </c>
      <c r="J349" s="349"/>
      <c r="K349" s="349"/>
      <c r="L349" s="341"/>
      <c r="M349" s="349"/>
      <c r="N349" s="349"/>
      <c r="O349" s="349"/>
      <c r="P349" s="341"/>
      <c r="Q349" s="349"/>
      <c r="R349" s="349"/>
      <c r="S349" s="349"/>
      <c r="T349" s="341"/>
      <c r="U349" s="349"/>
      <c r="V349" s="349"/>
      <c r="W349" s="349"/>
      <c r="X349" s="329" t="s">
        <v>3051</v>
      </c>
      <c r="Y349" s="330"/>
      <c r="Z349" s="329" t="s">
        <v>2962</v>
      </c>
      <c r="AA349" s="329"/>
      <c r="AB349" s="345"/>
      <c r="AC349" s="339"/>
    </row>
    <row r="350" spans="1:29" hidden="1">
      <c r="A350" s="329"/>
      <c r="B350" s="334" t="s">
        <v>877</v>
      </c>
      <c r="C350" s="377">
        <v>1</v>
      </c>
      <c r="D350" s="377" t="s">
        <v>103</v>
      </c>
      <c r="E350" s="377">
        <v>1000</v>
      </c>
      <c r="F350" s="376">
        <v>1000</v>
      </c>
      <c r="G350" s="341" t="s">
        <v>2973</v>
      </c>
      <c r="H350" s="341">
        <v>1</v>
      </c>
      <c r="I350" s="341">
        <v>1</v>
      </c>
      <c r="J350" s="341"/>
      <c r="K350" s="341"/>
      <c r="L350" s="341"/>
      <c r="M350" s="341"/>
      <c r="N350" s="341"/>
      <c r="O350" s="341"/>
      <c r="P350" s="341"/>
      <c r="Q350" s="341"/>
      <c r="R350" s="341"/>
      <c r="S350" s="341"/>
      <c r="T350" s="341"/>
      <c r="U350" s="341"/>
      <c r="V350" s="341"/>
      <c r="W350" s="362"/>
      <c r="X350" s="329" t="s">
        <v>3051</v>
      </c>
      <c r="Y350" s="330" t="str">
        <f>DB!$D$95</f>
        <v>Stereo Speakers</v>
      </c>
      <c r="Z350" s="351" t="s">
        <v>8</v>
      </c>
      <c r="AA350" s="329"/>
      <c r="AB350" s="345"/>
      <c r="AC350" s="339"/>
    </row>
    <row r="351" spans="1:29" hidden="1">
      <c r="A351" s="329"/>
      <c r="B351" s="334" t="s">
        <v>879</v>
      </c>
      <c r="C351" s="377">
        <v>1</v>
      </c>
      <c r="D351" s="377" t="s">
        <v>103</v>
      </c>
      <c r="E351" s="377">
        <v>1000</v>
      </c>
      <c r="F351" s="376">
        <v>1000</v>
      </c>
      <c r="G351" s="341" t="s">
        <v>2973</v>
      </c>
      <c r="H351" s="341">
        <v>1</v>
      </c>
      <c r="I351" s="341">
        <v>1</v>
      </c>
      <c r="J351" s="341"/>
      <c r="K351" s="341"/>
      <c r="L351" s="341"/>
      <c r="M351" s="341"/>
      <c r="N351" s="341"/>
      <c r="O351" s="341"/>
      <c r="P351" s="341"/>
      <c r="Q351" s="341"/>
      <c r="R351" s="341"/>
      <c r="S351" s="341"/>
      <c r="T351" s="341"/>
      <c r="U351" s="341"/>
      <c r="V351" s="341"/>
      <c r="W351" s="362"/>
      <c r="X351" s="329" t="s">
        <v>3051</v>
      </c>
      <c r="Y351" s="330" t="str">
        <f>DB!$D$73</f>
        <v>Webcam Professional Full HD</v>
      </c>
      <c r="Z351" s="351" t="s">
        <v>8</v>
      </c>
      <c r="AA351" s="329"/>
      <c r="AB351" s="345"/>
      <c r="AC351" s="339"/>
    </row>
    <row r="352" spans="1:29" hidden="1">
      <c r="A352" s="329"/>
      <c r="B352" s="334" t="s">
        <v>720</v>
      </c>
      <c r="C352" s="377">
        <v>24</v>
      </c>
      <c r="D352" s="377" t="s">
        <v>103</v>
      </c>
      <c r="E352" s="377">
        <v>200</v>
      </c>
      <c r="F352" s="376">
        <v>4800</v>
      </c>
      <c r="G352" s="341" t="s">
        <v>2973</v>
      </c>
      <c r="H352" s="341">
        <v>6</v>
      </c>
      <c r="I352" s="341">
        <v>2</v>
      </c>
      <c r="J352" s="341">
        <v>2</v>
      </c>
      <c r="K352" s="341">
        <v>2</v>
      </c>
      <c r="L352" s="341">
        <v>6</v>
      </c>
      <c r="M352" s="341">
        <v>2</v>
      </c>
      <c r="N352" s="341">
        <v>2</v>
      </c>
      <c r="O352" s="341">
        <v>2</v>
      </c>
      <c r="P352" s="341">
        <v>6</v>
      </c>
      <c r="Q352" s="341">
        <v>2</v>
      </c>
      <c r="R352" s="341">
        <v>2</v>
      </c>
      <c r="S352" s="341">
        <v>2</v>
      </c>
      <c r="T352" s="341">
        <v>6</v>
      </c>
      <c r="U352" s="341">
        <v>2</v>
      </c>
      <c r="V352" s="341">
        <v>2</v>
      </c>
      <c r="W352" s="335">
        <v>2</v>
      </c>
      <c r="X352" s="329" t="s">
        <v>3051</v>
      </c>
      <c r="Y352" s="330" t="str">
        <f>DB!$D$102</f>
        <v>Epson Genuine Ink T6641 Black</v>
      </c>
      <c r="Z352" s="329" t="s">
        <v>8</v>
      </c>
      <c r="AA352" s="329"/>
      <c r="AB352" s="345"/>
      <c r="AC352" s="339"/>
    </row>
    <row r="353" spans="1:29" hidden="1">
      <c r="A353" s="329"/>
      <c r="B353" s="334" t="s">
        <v>721</v>
      </c>
      <c r="C353" s="377">
        <v>24</v>
      </c>
      <c r="D353" s="377" t="s">
        <v>103</v>
      </c>
      <c r="E353" s="377">
        <v>200</v>
      </c>
      <c r="F353" s="376">
        <v>4800</v>
      </c>
      <c r="G353" s="341" t="s">
        <v>2973</v>
      </c>
      <c r="H353" s="341">
        <v>6</v>
      </c>
      <c r="I353" s="341">
        <v>2</v>
      </c>
      <c r="J353" s="341">
        <v>2</v>
      </c>
      <c r="K353" s="341">
        <v>2</v>
      </c>
      <c r="L353" s="341">
        <v>6</v>
      </c>
      <c r="M353" s="341">
        <v>2</v>
      </c>
      <c r="N353" s="341">
        <v>2</v>
      </c>
      <c r="O353" s="341">
        <v>2</v>
      </c>
      <c r="P353" s="341">
        <v>6</v>
      </c>
      <c r="Q353" s="341">
        <v>2</v>
      </c>
      <c r="R353" s="341">
        <v>2</v>
      </c>
      <c r="S353" s="341">
        <v>2</v>
      </c>
      <c r="T353" s="341">
        <v>6</v>
      </c>
      <c r="U353" s="341">
        <v>2</v>
      </c>
      <c r="V353" s="341">
        <v>2</v>
      </c>
      <c r="W353" s="335">
        <v>2</v>
      </c>
      <c r="X353" s="329" t="s">
        <v>3051</v>
      </c>
      <c r="Y353" s="330" t="str">
        <f>DB!$D$103</f>
        <v>Epson Genuine Ink T6642 Cyan</v>
      </c>
      <c r="Z353" s="351" t="s">
        <v>8</v>
      </c>
      <c r="AA353" s="329"/>
      <c r="AB353" s="345"/>
      <c r="AC353" s="339"/>
    </row>
    <row r="354" spans="1:29" ht="31.5" hidden="1">
      <c r="A354" s="329"/>
      <c r="B354" s="334" t="s">
        <v>722</v>
      </c>
      <c r="C354" s="377">
        <v>24</v>
      </c>
      <c r="D354" s="377" t="s">
        <v>103</v>
      </c>
      <c r="E354" s="377">
        <v>200</v>
      </c>
      <c r="F354" s="376">
        <v>4800</v>
      </c>
      <c r="G354" s="341" t="s">
        <v>2973</v>
      </c>
      <c r="H354" s="341">
        <v>6</v>
      </c>
      <c r="I354" s="341">
        <v>2</v>
      </c>
      <c r="J354" s="341">
        <v>2</v>
      </c>
      <c r="K354" s="341">
        <v>2</v>
      </c>
      <c r="L354" s="341">
        <v>6</v>
      </c>
      <c r="M354" s="341">
        <v>2</v>
      </c>
      <c r="N354" s="341">
        <v>2</v>
      </c>
      <c r="O354" s="341">
        <v>2</v>
      </c>
      <c r="P354" s="341">
        <v>6</v>
      </c>
      <c r="Q354" s="341">
        <v>2</v>
      </c>
      <c r="R354" s="341">
        <v>2</v>
      </c>
      <c r="S354" s="341">
        <v>2</v>
      </c>
      <c r="T354" s="341">
        <v>6</v>
      </c>
      <c r="U354" s="341">
        <v>2</v>
      </c>
      <c r="V354" s="341">
        <v>2</v>
      </c>
      <c r="W354" s="335">
        <v>2</v>
      </c>
      <c r="X354" s="329" t="s">
        <v>3051</v>
      </c>
      <c r="Y354" s="330" t="str">
        <f>DB!$D$104</f>
        <v>Epson Genuine Ink T6643 Magenta</v>
      </c>
      <c r="Z354" s="351" t="s">
        <v>8</v>
      </c>
      <c r="AA354" s="329"/>
      <c r="AB354" s="345"/>
      <c r="AC354" s="339"/>
    </row>
    <row r="355" spans="1:29" ht="31.5" hidden="1">
      <c r="A355" s="329"/>
      <c r="B355" s="334" t="s">
        <v>723</v>
      </c>
      <c r="C355" s="377">
        <v>24</v>
      </c>
      <c r="D355" s="377" t="s">
        <v>103</v>
      </c>
      <c r="E355" s="377">
        <v>200</v>
      </c>
      <c r="F355" s="376">
        <v>4800</v>
      </c>
      <c r="G355" s="341" t="s">
        <v>2973</v>
      </c>
      <c r="H355" s="341">
        <v>6</v>
      </c>
      <c r="I355" s="341">
        <v>2</v>
      </c>
      <c r="J355" s="341">
        <v>2</v>
      </c>
      <c r="K355" s="341">
        <v>2</v>
      </c>
      <c r="L355" s="341">
        <v>6</v>
      </c>
      <c r="M355" s="341">
        <v>2</v>
      </c>
      <c r="N355" s="341">
        <v>2</v>
      </c>
      <c r="O355" s="341">
        <v>2</v>
      </c>
      <c r="P355" s="341">
        <v>6</v>
      </c>
      <c r="Q355" s="341">
        <v>2</v>
      </c>
      <c r="R355" s="341">
        <v>2</v>
      </c>
      <c r="S355" s="341">
        <v>2</v>
      </c>
      <c r="T355" s="341">
        <v>6</v>
      </c>
      <c r="U355" s="341">
        <v>2</v>
      </c>
      <c r="V355" s="341">
        <v>2</v>
      </c>
      <c r="W355" s="335">
        <v>2</v>
      </c>
      <c r="X355" s="329" t="s">
        <v>3051</v>
      </c>
      <c r="Y355" s="330" t="str">
        <f>DB!$D$105</f>
        <v>Epson Genuine Ink T6644 Yellow</v>
      </c>
      <c r="Z355" s="351" t="s">
        <v>8</v>
      </c>
      <c r="AA355" s="329"/>
      <c r="AB355" s="345"/>
      <c r="AC355" s="339"/>
    </row>
    <row r="356" spans="1:29" ht="31.5" hidden="1">
      <c r="A356" s="329"/>
      <c r="B356" s="334" t="s">
        <v>889</v>
      </c>
      <c r="C356" s="377">
        <v>24</v>
      </c>
      <c r="D356" s="377" t="s">
        <v>103</v>
      </c>
      <c r="E356" s="377">
        <v>380</v>
      </c>
      <c r="F356" s="377">
        <v>380</v>
      </c>
      <c r="G356" s="341" t="s">
        <v>2973</v>
      </c>
      <c r="H356" s="341">
        <v>6</v>
      </c>
      <c r="I356" s="341">
        <v>2</v>
      </c>
      <c r="J356" s="341">
        <v>2</v>
      </c>
      <c r="K356" s="341">
        <v>2</v>
      </c>
      <c r="L356" s="341">
        <v>6</v>
      </c>
      <c r="M356" s="341">
        <v>2</v>
      </c>
      <c r="N356" s="341">
        <v>2</v>
      </c>
      <c r="O356" s="341">
        <v>2</v>
      </c>
      <c r="P356" s="341">
        <v>6</v>
      </c>
      <c r="Q356" s="341">
        <v>2</v>
      </c>
      <c r="R356" s="341">
        <v>2</v>
      </c>
      <c r="S356" s="341">
        <v>2</v>
      </c>
      <c r="T356" s="341">
        <v>6</v>
      </c>
      <c r="U356" s="341">
        <v>2</v>
      </c>
      <c r="V356" s="341">
        <v>2</v>
      </c>
      <c r="W356" s="335">
        <v>2</v>
      </c>
      <c r="X356" s="329" t="s">
        <v>3051</v>
      </c>
      <c r="Y356" s="330" t="str">
        <f>DB!$D$177</f>
        <v>EPSON LQ310 Ribbon Cartridge (SO15634)</v>
      </c>
      <c r="Z356" s="351" t="s">
        <v>8</v>
      </c>
      <c r="AA356" s="329"/>
      <c r="AB356" s="345"/>
      <c r="AC356" s="339"/>
    </row>
    <row r="357" spans="1:29" hidden="1">
      <c r="A357" s="329"/>
      <c r="B357" s="346" t="s">
        <v>3053</v>
      </c>
      <c r="C357" s="340">
        <v>3</v>
      </c>
      <c r="D357" s="335" t="s">
        <v>773</v>
      </c>
      <c r="E357" s="357"/>
      <c r="F357" s="335"/>
      <c r="G357" s="415" t="s">
        <v>3038</v>
      </c>
      <c r="H357" s="337">
        <v>3</v>
      </c>
      <c r="I357" s="343">
        <v>3</v>
      </c>
      <c r="J357" s="343"/>
      <c r="K357" s="343"/>
      <c r="L357" s="343">
        <v>0</v>
      </c>
      <c r="M357" s="343"/>
      <c r="N357" s="343"/>
      <c r="O357" s="343"/>
      <c r="P357" s="343">
        <v>0</v>
      </c>
      <c r="Q357" s="343">
        <v>0</v>
      </c>
      <c r="R357" s="343"/>
      <c r="S357" s="343"/>
      <c r="T357" s="343">
        <v>0</v>
      </c>
      <c r="U357" s="343"/>
      <c r="V357" s="343"/>
      <c r="W357" s="343"/>
      <c r="X357" s="329" t="s">
        <v>237</v>
      </c>
      <c r="Y357" s="330"/>
      <c r="Z357" s="329" t="s">
        <v>2962</v>
      </c>
      <c r="AA357" s="329"/>
      <c r="AB357" s="345"/>
      <c r="AC357" s="339"/>
    </row>
    <row r="358" spans="1:29" hidden="1">
      <c r="A358" s="329"/>
      <c r="B358" s="346" t="s">
        <v>234</v>
      </c>
      <c r="C358" s="340">
        <v>3</v>
      </c>
      <c r="D358" s="335" t="s">
        <v>103</v>
      </c>
      <c r="E358" s="337"/>
      <c r="F358" s="335"/>
      <c r="G358" s="416" t="s">
        <v>3038</v>
      </c>
      <c r="H358" s="335">
        <v>3</v>
      </c>
      <c r="I358" s="341">
        <v>3</v>
      </c>
      <c r="J358" s="341"/>
      <c r="K358" s="341"/>
      <c r="L358" s="341">
        <v>0</v>
      </c>
      <c r="M358" s="341"/>
      <c r="N358" s="341"/>
      <c r="O358" s="341"/>
      <c r="P358" s="341">
        <v>0</v>
      </c>
      <c r="Q358" s="341">
        <v>0</v>
      </c>
      <c r="R358" s="341"/>
      <c r="S358" s="341"/>
      <c r="T358" s="341">
        <v>0</v>
      </c>
      <c r="U358" s="341"/>
      <c r="V358" s="341"/>
      <c r="W358" s="341"/>
      <c r="X358" s="329" t="s">
        <v>237</v>
      </c>
      <c r="Y358" s="336" t="str">
        <f>DB!$D$168</f>
        <v>Keyboard, Full Size, USB 2.0</v>
      </c>
      <c r="Z358" s="329" t="s">
        <v>2946</v>
      </c>
      <c r="AA358" s="329"/>
      <c r="AB358" s="345"/>
      <c r="AC358" s="339"/>
    </row>
    <row r="359" spans="1:29" hidden="1">
      <c r="A359" s="329"/>
      <c r="B359" s="346" t="s">
        <v>239</v>
      </c>
      <c r="C359" s="340">
        <v>3</v>
      </c>
      <c r="D359" s="335" t="s">
        <v>103</v>
      </c>
      <c r="E359" s="335"/>
      <c r="F359" s="335"/>
      <c r="G359" s="416" t="s">
        <v>3038</v>
      </c>
      <c r="H359" s="335">
        <v>3</v>
      </c>
      <c r="I359" s="341">
        <v>3</v>
      </c>
      <c r="J359" s="341"/>
      <c r="K359" s="341"/>
      <c r="L359" s="341">
        <v>0</v>
      </c>
      <c r="M359" s="341"/>
      <c r="N359" s="341"/>
      <c r="O359" s="341"/>
      <c r="P359" s="341">
        <v>0</v>
      </c>
      <c r="Q359" s="341">
        <v>0</v>
      </c>
      <c r="R359" s="341"/>
      <c r="S359" s="341"/>
      <c r="T359" s="341">
        <v>0</v>
      </c>
      <c r="U359" s="341"/>
      <c r="V359" s="341"/>
      <c r="W359" s="341"/>
      <c r="X359" s="329" t="s">
        <v>237</v>
      </c>
      <c r="Y359" s="346" t="str">
        <f>DB!$D$169</f>
        <v>Mouse, Optical, USB 2.0</v>
      </c>
      <c r="Z359" s="329" t="s">
        <v>2946</v>
      </c>
      <c r="AA359" s="329"/>
      <c r="AB359" s="345"/>
      <c r="AC359" s="339"/>
    </row>
    <row r="360" spans="1:29" hidden="1">
      <c r="A360" s="329"/>
      <c r="B360" s="346" t="s">
        <v>493</v>
      </c>
      <c r="C360" s="340">
        <v>1</v>
      </c>
      <c r="D360" s="335" t="s">
        <v>103</v>
      </c>
      <c r="E360" s="335"/>
      <c r="F360" s="335"/>
      <c r="G360" s="416" t="s">
        <v>3038</v>
      </c>
      <c r="H360" s="335">
        <v>1</v>
      </c>
      <c r="I360" s="341">
        <v>1</v>
      </c>
      <c r="J360" s="341"/>
      <c r="K360" s="341"/>
      <c r="L360" s="341">
        <v>0</v>
      </c>
      <c r="M360" s="341"/>
      <c r="N360" s="341"/>
      <c r="O360" s="341"/>
      <c r="P360" s="341">
        <v>0</v>
      </c>
      <c r="Q360" s="341"/>
      <c r="R360" s="341"/>
      <c r="S360" s="341"/>
      <c r="T360" s="341">
        <v>0</v>
      </c>
      <c r="U360" s="341"/>
      <c r="V360" s="341"/>
      <c r="W360" s="341"/>
      <c r="X360" s="329" t="s">
        <v>237</v>
      </c>
      <c r="Y360" s="330"/>
      <c r="Z360" s="329" t="s">
        <v>2952</v>
      </c>
      <c r="AA360" s="329"/>
      <c r="AB360" s="345"/>
      <c r="AC360" s="339"/>
    </row>
    <row r="361" spans="1:29" hidden="1">
      <c r="A361" s="329"/>
      <c r="B361" s="346" t="s">
        <v>568</v>
      </c>
      <c r="C361" s="340">
        <v>3</v>
      </c>
      <c r="D361" s="335" t="s">
        <v>103</v>
      </c>
      <c r="E361" s="335"/>
      <c r="F361" s="335"/>
      <c r="G361" s="416" t="s">
        <v>3038</v>
      </c>
      <c r="H361" s="335">
        <v>3</v>
      </c>
      <c r="I361" s="341">
        <v>3</v>
      </c>
      <c r="J361" s="341"/>
      <c r="K361" s="341"/>
      <c r="L361" s="341">
        <v>0</v>
      </c>
      <c r="M361" s="341"/>
      <c r="N361" s="341"/>
      <c r="O361" s="341"/>
      <c r="P361" s="341">
        <v>0</v>
      </c>
      <c r="Q361" s="341">
        <v>0</v>
      </c>
      <c r="R361" s="341"/>
      <c r="S361" s="341"/>
      <c r="T361" s="341">
        <v>0</v>
      </c>
      <c r="U361" s="341"/>
      <c r="V361" s="341"/>
      <c r="W361" s="341"/>
      <c r="X361" s="329" t="s">
        <v>237</v>
      </c>
      <c r="Y361" s="369" t="str">
        <f>DB!$D$6</f>
        <v>UPS 650VA, AVR, 230V</v>
      </c>
      <c r="Z361" s="329" t="s">
        <v>8</v>
      </c>
      <c r="AA361" s="329"/>
      <c r="AB361" s="345"/>
      <c r="AC361" s="339"/>
    </row>
    <row r="362" spans="1:29" hidden="1">
      <c r="A362" s="329"/>
      <c r="B362" s="346" t="s">
        <v>483</v>
      </c>
      <c r="C362" s="340">
        <v>1</v>
      </c>
      <c r="D362" s="335" t="s">
        <v>103</v>
      </c>
      <c r="E362" s="335"/>
      <c r="F362" s="335"/>
      <c r="G362" s="416" t="s">
        <v>3038</v>
      </c>
      <c r="H362" s="335">
        <v>1</v>
      </c>
      <c r="I362" s="341">
        <v>1</v>
      </c>
      <c r="J362" s="341"/>
      <c r="K362" s="341"/>
      <c r="L362" s="341">
        <v>0</v>
      </c>
      <c r="M362" s="341"/>
      <c r="N362" s="341"/>
      <c r="O362" s="341"/>
      <c r="P362" s="341">
        <v>0</v>
      </c>
      <c r="Q362" s="341"/>
      <c r="R362" s="341"/>
      <c r="S362" s="341"/>
      <c r="T362" s="341">
        <v>0</v>
      </c>
      <c r="U362" s="341"/>
      <c r="V362" s="341"/>
      <c r="W362" s="341"/>
      <c r="X362" s="329" t="s">
        <v>237</v>
      </c>
      <c r="Y362" s="330"/>
      <c r="Z362" s="329" t="s">
        <v>11</v>
      </c>
      <c r="AA362" s="329"/>
      <c r="AB362" s="345"/>
      <c r="AC362" s="339"/>
    </row>
    <row r="363" spans="1:29" hidden="1">
      <c r="A363" s="329"/>
      <c r="B363" s="346" t="s">
        <v>836</v>
      </c>
      <c r="C363" s="340">
        <v>3</v>
      </c>
      <c r="D363" s="335" t="s">
        <v>103</v>
      </c>
      <c r="E363" s="335"/>
      <c r="F363" s="335"/>
      <c r="G363" s="416" t="s">
        <v>3038</v>
      </c>
      <c r="H363" s="335">
        <v>3</v>
      </c>
      <c r="I363" s="341">
        <v>3</v>
      </c>
      <c r="J363" s="341"/>
      <c r="K363" s="341"/>
      <c r="L363" s="341">
        <v>0</v>
      </c>
      <c r="M363" s="341"/>
      <c r="N363" s="341"/>
      <c r="O363" s="341"/>
      <c r="P363" s="341">
        <v>0</v>
      </c>
      <c r="Q363" s="341">
        <v>0</v>
      </c>
      <c r="R363" s="341"/>
      <c r="S363" s="341"/>
      <c r="T363" s="341">
        <v>0</v>
      </c>
      <c r="U363" s="341"/>
      <c r="V363" s="341"/>
      <c r="W363" s="341"/>
      <c r="X363" s="329" t="s">
        <v>237</v>
      </c>
      <c r="Y363" s="330" t="str">
        <f>DB!$D$76</f>
        <v>Dot Matrix Printer 24-Pin</v>
      </c>
      <c r="Z363" s="329" t="s">
        <v>8</v>
      </c>
      <c r="AA363" s="329"/>
      <c r="AB363" s="345"/>
      <c r="AC363" s="339"/>
    </row>
    <row r="364" spans="1:29" hidden="1">
      <c r="A364" s="329"/>
      <c r="B364" s="346" t="s">
        <v>817</v>
      </c>
      <c r="C364" s="340">
        <v>3</v>
      </c>
      <c r="D364" s="335" t="s">
        <v>103</v>
      </c>
      <c r="E364" s="335"/>
      <c r="F364" s="335"/>
      <c r="G364" s="416" t="s">
        <v>3038</v>
      </c>
      <c r="H364" s="335">
        <v>3</v>
      </c>
      <c r="I364" s="341">
        <v>3</v>
      </c>
      <c r="J364" s="341"/>
      <c r="K364" s="341"/>
      <c r="L364" s="341">
        <v>0</v>
      </c>
      <c r="M364" s="341"/>
      <c r="N364" s="341"/>
      <c r="O364" s="341"/>
      <c r="P364" s="341">
        <v>0</v>
      </c>
      <c r="Q364" s="341">
        <v>0</v>
      </c>
      <c r="R364" s="341"/>
      <c r="S364" s="341"/>
      <c r="T364" s="341">
        <v>0</v>
      </c>
      <c r="U364" s="341"/>
      <c r="V364" s="341"/>
      <c r="W364" s="341"/>
      <c r="X364" s="329" t="s">
        <v>237</v>
      </c>
      <c r="Y364" s="330" t="str">
        <f>DB!$D$37</f>
        <v>Single Line Telephone (Black)</v>
      </c>
      <c r="Z364" s="329" t="s">
        <v>8</v>
      </c>
      <c r="AA364" s="329"/>
      <c r="AB364" s="345"/>
      <c r="AC364" s="339"/>
    </row>
    <row r="365" spans="1:29" hidden="1">
      <c r="A365" s="329"/>
      <c r="B365" s="346" t="s">
        <v>900</v>
      </c>
      <c r="C365" s="417">
        <v>150</v>
      </c>
      <c r="D365" s="375" t="s">
        <v>103</v>
      </c>
      <c r="E365" s="377"/>
      <c r="F365" s="394"/>
      <c r="G365" s="377" t="s">
        <v>342</v>
      </c>
      <c r="H365" s="341">
        <v>36</v>
      </c>
      <c r="I365" s="341">
        <v>12</v>
      </c>
      <c r="J365" s="341">
        <v>12</v>
      </c>
      <c r="K365" s="341">
        <v>12</v>
      </c>
      <c r="L365" s="341">
        <v>36</v>
      </c>
      <c r="M365" s="341">
        <v>12</v>
      </c>
      <c r="N365" s="341">
        <v>12</v>
      </c>
      <c r="O365" s="341">
        <v>12</v>
      </c>
      <c r="P365" s="341">
        <v>36</v>
      </c>
      <c r="Q365" s="341">
        <v>12</v>
      </c>
      <c r="R365" s="341">
        <v>12</v>
      </c>
      <c r="S365" s="341">
        <v>12</v>
      </c>
      <c r="T365" s="340">
        <v>36</v>
      </c>
      <c r="U365" s="335">
        <v>12</v>
      </c>
      <c r="V365" s="341">
        <v>12</v>
      </c>
      <c r="W365" s="341">
        <v>12</v>
      </c>
      <c r="X365" s="329" t="s">
        <v>237</v>
      </c>
      <c r="Y365" s="361" t="s">
        <v>199</v>
      </c>
      <c r="Z365" s="329" t="s">
        <v>8</v>
      </c>
      <c r="AA365" s="329"/>
      <c r="AB365" s="345"/>
      <c r="AC365" s="339"/>
    </row>
    <row r="366" spans="1:29" hidden="1">
      <c r="A366" s="329"/>
      <c r="B366" s="346" t="s">
        <v>898</v>
      </c>
      <c r="C366" s="391">
        <v>150</v>
      </c>
      <c r="D366" s="377" t="s">
        <v>103</v>
      </c>
      <c r="E366" s="377"/>
      <c r="F366" s="394"/>
      <c r="G366" s="377" t="s">
        <v>342</v>
      </c>
      <c r="H366" s="341">
        <v>36</v>
      </c>
      <c r="I366" s="341">
        <v>12</v>
      </c>
      <c r="J366" s="341">
        <v>12</v>
      </c>
      <c r="K366" s="341">
        <v>12</v>
      </c>
      <c r="L366" s="341">
        <v>36</v>
      </c>
      <c r="M366" s="341">
        <v>12</v>
      </c>
      <c r="N366" s="341">
        <v>12</v>
      </c>
      <c r="O366" s="341">
        <v>12</v>
      </c>
      <c r="P366" s="341">
        <v>36</v>
      </c>
      <c r="Q366" s="341">
        <v>12</v>
      </c>
      <c r="R366" s="341">
        <v>12</v>
      </c>
      <c r="S366" s="341">
        <v>12</v>
      </c>
      <c r="T366" s="340">
        <v>36</v>
      </c>
      <c r="U366" s="335">
        <v>12</v>
      </c>
      <c r="V366" s="341">
        <v>12</v>
      </c>
      <c r="W366" s="341">
        <v>12</v>
      </c>
      <c r="X366" s="329" t="s">
        <v>237</v>
      </c>
      <c r="Y366" s="361" t="s">
        <v>211</v>
      </c>
      <c r="Z366" s="329" t="s">
        <v>8</v>
      </c>
      <c r="AA366" s="329"/>
      <c r="AB366" s="345"/>
      <c r="AC366" s="339"/>
    </row>
    <row r="367" spans="1:29" ht="31.5" hidden="1">
      <c r="A367" s="329"/>
      <c r="B367" s="346" t="s">
        <v>899</v>
      </c>
      <c r="C367" s="391">
        <v>150</v>
      </c>
      <c r="D367" s="377" t="s">
        <v>103</v>
      </c>
      <c r="E367" s="377"/>
      <c r="F367" s="394"/>
      <c r="G367" s="377" t="s">
        <v>342</v>
      </c>
      <c r="H367" s="341">
        <v>36</v>
      </c>
      <c r="I367" s="341">
        <v>12</v>
      </c>
      <c r="J367" s="341">
        <v>12</v>
      </c>
      <c r="K367" s="341">
        <v>12</v>
      </c>
      <c r="L367" s="341">
        <v>36</v>
      </c>
      <c r="M367" s="341">
        <v>12</v>
      </c>
      <c r="N367" s="341">
        <v>12</v>
      </c>
      <c r="O367" s="341">
        <v>12</v>
      </c>
      <c r="P367" s="341">
        <v>36</v>
      </c>
      <c r="Q367" s="341">
        <v>12</v>
      </c>
      <c r="R367" s="341">
        <v>12</v>
      </c>
      <c r="S367" s="341">
        <v>12</v>
      </c>
      <c r="T367" s="340">
        <v>36</v>
      </c>
      <c r="U367" s="335">
        <v>12</v>
      </c>
      <c r="V367" s="341">
        <v>12</v>
      </c>
      <c r="W367" s="341">
        <v>12</v>
      </c>
      <c r="X367" s="329" t="s">
        <v>237</v>
      </c>
      <c r="Y367" s="361" t="s">
        <v>210</v>
      </c>
      <c r="Z367" s="329" t="s">
        <v>8</v>
      </c>
      <c r="AA367" s="329"/>
      <c r="AB367" s="345"/>
      <c r="AC367" s="339"/>
    </row>
    <row r="368" spans="1:29" hidden="1">
      <c r="A368" s="329"/>
      <c r="B368" s="346" t="s">
        <v>897</v>
      </c>
      <c r="C368" s="391">
        <v>150</v>
      </c>
      <c r="D368" s="377" t="s">
        <v>103</v>
      </c>
      <c r="E368" s="377"/>
      <c r="F368" s="394"/>
      <c r="G368" s="377" t="s">
        <v>342</v>
      </c>
      <c r="H368" s="341">
        <v>36</v>
      </c>
      <c r="I368" s="341">
        <v>12</v>
      </c>
      <c r="J368" s="341">
        <v>12</v>
      </c>
      <c r="K368" s="341">
        <v>12</v>
      </c>
      <c r="L368" s="341">
        <v>36</v>
      </c>
      <c r="M368" s="341">
        <v>12</v>
      </c>
      <c r="N368" s="341">
        <v>12</v>
      </c>
      <c r="O368" s="341">
        <v>12</v>
      </c>
      <c r="P368" s="341">
        <v>36</v>
      </c>
      <c r="Q368" s="341">
        <v>12</v>
      </c>
      <c r="R368" s="341">
        <v>12</v>
      </c>
      <c r="S368" s="341">
        <v>12</v>
      </c>
      <c r="T368" s="340">
        <v>36</v>
      </c>
      <c r="U368" s="335">
        <v>12</v>
      </c>
      <c r="V368" s="341">
        <v>12</v>
      </c>
      <c r="W368" s="341">
        <v>12</v>
      </c>
      <c r="X368" s="329" t="s">
        <v>237</v>
      </c>
      <c r="Y368" s="361" t="s">
        <v>209</v>
      </c>
      <c r="Z368" s="329" t="s">
        <v>8</v>
      </c>
      <c r="AA368" s="329"/>
      <c r="AB368" s="345"/>
      <c r="AC368" s="339"/>
    </row>
    <row r="369" spans="1:29">
      <c r="A369" s="329"/>
      <c r="B369" s="338" t="s">
        <v>864</v>
      </c>
      <c r="C369" s="341">
        <v>1</v>
      </c>
      <c r="D369" s="375" t="s">
        <v>776</v>
      </c>
      <c r="E369" s="399">
        <v>43000</v>
      </c>
      <c r="F369" s="376">
        <v>43000</v>
      </c>
      <c r="G369" s="377"/>
      <c r="H369" s="341">
        <v>0</v>
      </c>
      <c r="I369" s="343"/>
      <c r="J369" s="343"/>
      <c r="K369" s="343"/>
      <c r="L369" s="341">
        <v>1</v>
      </c>
      <c r="M369" s="343">
        <v>1</v>
      </c>
      <c r="N369" s="343"/>
      <c r="O369" s="343"/>
      <c r="P369" s="341">
        <v>0</v>
      </c>
      <c r="Q369" s="343"/>
      <c r="R369" s="343"/>
      <c r="S369" s="343"/>
      <c r="T369" s="341">
        <v>0</v>
      </c>
      <c r="U369" s="343"/>
      <c r="V369" s="343"/>
      <c r="W369" s="343"/>
      <c r="X369" s="329" t="s">
        <v>140</v>
      </c>
      <c r="Y369" s="330" t="str">
        <f>DB!$D$194</f>
        <v>Branded Desktop Computer Set</v>
      </c>
      <c r="Z369" s="329" t="s">
        <v>2964</v>
      </c>
      <c r="AA369" s="329"/>
      <c r="AB369" s="345"/>
      <c r="AC369" s="339"/>
    </row>
    <row r="370" spans="1:29" hidden="1">
      <c r="A370" s="329"/>
      <c r="B370" s="334" t="s">
        <v>2962</v>
      </c>
      <c r="C370" s="341">
        <v>1</v>
      </c>
      <c r="D370" s="377" t="s">
        <v>103</v>
      </c>
      <c r="E370" s="376">
        <v>9000</v>
      </c>
      <c r="F370" s="376">
        <v>9000</v>
      </c>
      <c r="G370" s="377"/>
      <c r="H370" s="341">
        <v>0</v>
      </c>
      <c r="I370" s="341"/>
      <c r="J370" s="341"/>
      <c r="K370" s="341"/>
      <c r="L370" s="341">
        <v>1</v>
      </c>
      <c r="M370" s="341">
        <v>1</v>
      </c>
      <c r="N370" s="341"/>
      <c r="O370" s="341"/>
      <c r="P370" s="341">
        <v>0</v>
      </c>
      <c r="Q370" s="341"/>
      <c r="R370" s="341"/>
      <c r="S370" s="341"/>
      <c r="T370" s="341">
        <v>0</v>
      </c>
      <c r="U370" s="341"/>
      <c r="V370" s="341"/>
      <c r="W370" s="341"/>
      <c r="X370" s="329" t="s">
        <v>140</v>
      </c>
      <c r="Y370" s="330"/>
      <c r="Z370" s="329" t="s">
        <v>2962</v>
      </c>
      <c r="AA370" s="329"/>
      <c r="AB370" s="345"/>
      <c r="AC370" s="339"/>
    </row>
    <row r="371" spans="1:29" hidden="1">
      <c r="A371" s="329"/>
      <c r="B371" s="372" t="s">
        <v>866</v>
      </c>
      <c r="C371" s="341">
        <v>2</v>
      </c>
      <c r="D371" s="377" t="s">
        <v>103</v>
      </c>
      <c r="E371" s="377">
        <v>500</v>
      </c>
      <c r="F371" s="376">
        <v>1000</v>
      </c>
      <c r="G371" s="377"/>
      <c r="H371" s="341">
        <v>1</v>
      </c>
      <c r="I371" s="341">
        <v>1</v>
      </c>
      <c r="J371" s="341"/>
      <c r="K371" s="341"/>
      <c r="L371" s="341">
        <v>0</v>
      </c>
      <c r="M371" s="341"/>
      <c r="N371" s="341"/>
      <c r="O371" s="341"/>
      <c r="P371" s="341">
        <v>1</v>
      </c>
      <c r="Q371" s="341">
        <v>1</v>
      </c>
      <c r="R371" s="341"/>
      <c r="S371" s="341"/>
      <c r="T371" s="341">
        <v>0</v>
      </c>
      <c r="U371" s="341"/>
      <c r="V371" s="341"/>
      <c r="W371" s="341"/>
      <c r="X371" s="329" t="s">
        <v>140</v>
      </c>
      <c r="Y371" s="330" t="str">
        <f>DB!$D$37</f>
        <v>Single Line Telephone (Black)</v>
      </c>
      <c r="Z371" s="329" t="s">
        <v>8</v>
      </c>
      <c r="AA371" s="329"/>
      <c r="AB371" s="345"/>
      <c r="AC371" s="339"/>
    </row>
    <row r="372" spans="1:29" hidden="1">
      <c r="A372" s="329"/>
      <c r="B372" s="334" t="s">
        <v>867</v>
      </c>
      <c r="C372" s="341">
        <v>2</v>
      </c>
      <c r="D372" s="377" t="s">
        <v>103</v>
      </c>
      <c r="E372" s="377">
        <v>500</v>
      </c>
      <c r="F372" s="376">
        <v>1000</v>
      </c>
      <c r="G372" s="377"/>
      <c r="H372" s="341">
        <v>1</v>
      </c>
      <c r="I372" s="341">
        <v>1</v>
      </c>
      <c r="J372" s="341"/>
      <c r="K372" s="341"/>
      <c r="L372" s="341">
        <v>0</v>
      </c>
      <c r="M372" s="341"/>
      <c r="N372" s="341"/>
      <c r="O372" s="341"/>
      <c r="P372" s="341">
        <v>1</v>
      </c>
      <c r="Q372" s="341">
        <v>1</v>
      </c>
      <c r="R372" s="341"/>
      <c r="S372" s="341"/>
      <c r="T372" s="341">
        <v>0</v>
      </c>
      <c r="U372" s="341"/>
      <c r="V372" s="341"/>
      <c r="W372" s="341"/>
      <c r="X372" s="329" t="s">
        <v>140</v>
      </c>
      <c r="Y372" s="330"/>
      <c r="Z372" s="329" t="s">
        <v>2946</v>
      </c>
      <c r="AA372" s="329"/>
      <c r="AB372" s="345"/>
      <c r="AC372" s="339"/>
    </row>
    <row r="373" spans="1:29" hidden="1">
      <c r="A373" s="329"/>
      <c r="B373" s="372" t="s">
        <v>234</v>
      </c>
      <c r="C373" s="341">
        <v>2</v>
      </c>
      <c r="D373" s="377" t="s">
        <v>103</v>
      </c>
      <c r="E373" s="373">
        <v>480</v>
      </c>
      <c r="F373" s="377">
        <v>960</v>
      </c>
      <c r="G373" s="377"/>
      <c r="H373" s="341">
        <v>1</v>
      </c>
      <c r="I373" s="341">
        <v>1</v>
      </c>
      <c r="J373" s="341"/>
      <c r="K373" s="341"/>
      <c r="L373" s="341">
        <v>1</v>
      </c>
      <c r="M373" s="341">
        <v>1</v>
      </c>
      <c r="N373" s="341"/>
      <c r="O373" s="341"/>
      <c r="P373" s="341">
        <v>0</v>
      </c>
      <c r="Q373" s="341"/>
      <c r="R373" s="341"/>
      <c r="S373" s="341"/>
      <c r="T373" s="341">
        <v>0</v>
      </c>
      <c r="U373" s="341"/>
      <c r="V373" s="341"/>
      <c r="W373" s="341"/>
      <c r="X373" s="329" t="s">
        <v>140</v>
      </c>
      <c r="Y373" s="336" t="str">
        <f>DB!$D$168</f>
        <v>Keyboard, Full Size, USB 2.0</v>
      </c>
      <c r="Z373" s="329" t="s">
        <v>2946</v>
      </c>
      <c r="AA373" s="329"/>
      <c r="AB373" s="345"/>
      <c r="AC373" s="339"/>
    </row>
    <row r="374" spans="1:29" hidden="1">
      <c r="A374" s="329"/>
      <c r="B374" s="372" t="s">
        <v>239</v>
      </c>
      <c r="C374" s="341">
        <v>2</v>
      </c>
      <c r="D374" s="377" t="s">
        <v>103</v>
      </c>
      <c r="E374" s="373">
        <v>380</v>
      </c>
      <c r="F374" s="377">
        <v>760</v>
      </c>
      <c r="G374" s="377"/>
      <c r="H374" s="341">
        <v>1</v>
      </c>
      <c r="I374" s="341">
        <v>1</v>
      </c>
      <c r="J374" s="341"/>
      <c r="K374" s="341"/>
      <c r="L374" s="341">
        <v>0</v>
      </c>
      <c r="M374" s="341"/>
      <c r="N374" s="341"/>
      <c r="O374" s="341"/>
      <c r="P374" s="341">
        <v>1</v>
      </c>
      <c r="Q374" s="341">
        <v>1</v>
      </c>
      <c r="R374" s="341"/>
      <c r="S374" s="341"/>
      <c r="T374" s="341">
        <v>0</v>
      </c>
      <c r="U374" s="341"/>
      <c r="V374" s="341"/>
      <c r="W374" s="341"/>
      <c r="X374" s="329" t="s">
        <v>140</v>
      </c>
      <c r="Y374" s="346" t="str">
        <f>DB!$D$169</f>
        <v>Mouse, Optical, USB 2.0</v>
      </c>
      <c r="Z374" s="329" t="s">
        <v>2946</v>
      </c>
      <c r="AA374" s="329"/>
      <c r="AB374" s="345"/>
      <c r="AC374" s="339"/>
    </row>
    <row r="375" spans="1:29" ht="31.5" hidden="1">
      <c r="A375" s="329"/>
      <c r="B375" s="372" t="s">
        <v>623</v>
      </c>
      <c r="C375" s="341">
        <v>1</v>
      </c>
      <c r="D375" s="377" t="s">
        <v>103</v>
      </c>
      <c r="E375" s="348">
        <v>3000</v>
      </c>
      <c r="F375" s="376">
        <v>3000</v>
      </c>
      <c r="G375" s="377"/>
      <c r="H375" s="341">
        <v>1</v>
      </c>
      <c r="I375" s="341">
        <v>1</v>
      </c>
      <c r="J375" s="341"/>
      <c r="K375" s="341"/>
      <c r="L375" s="341">
        <v>0</v>
      </c>
      <c r="M375" s="341"/>
      <c r="N375" s="341"/>
      <c r="O375" s="341"/>
      <c r="P375" s="341">
        <v>0</v>
      </c>
      <c r="Q375" s="341"/>
      <c r="R375" s="341"/>
      <c r="S375" s="341"/>
      <c r="T375" s="341">
        <v>0</v>
      </c>
      <c r="U375" s="341"/>
      <c r="V375" s="341"/>
      <c r="W375" s="341"/>
      <c r="X375" s="329" t="s">
        <v>140</v>
      </c>
      <c r="Y375" s="330" t="str">
        <f>DB!$D$73</f>
        <v>Webcam Professional Full HD</v>
      </c>
      <c r="Z375" s="329" t="s">
        <v>8</v>
      </c>
      <c r="AA375" s="329"/>
      <c r="AB375" s="345"/>
      <c r="AC375" s="339"/>
    </row>
    <row r="376" spans="1:29" hidden="1">
      <c r="A376" s="329"/>
      <c r="B376" s="372" t="s">
        <v>568</v>
      </c>
      <c r="C376" s="341">
        <v>2</v>
      </c>
      <c r="D376" s="377" t="s">
        <v>103</v>
      </c>
      <c r="E376" s="348">
        <v>3500</v>
      </c>
      <c r="F376" s="376">
        <v>7000</v>
      </c>
      <c r="G376" s="377"/>
      <c r="H376" s="341">
        <v>1</v>
      </c>
      <c r="I376" s="341">
        <v>1</v>
      </c>
      <c r="J376" s="341"/>
      <c r="K376" s="341"/>
      <c r="L376" s="341">
        <v>1</v>
      </c>
      <c r="M376" s="341">
        <v>1</v>
      </c>
      <c r="N376" s="341"/>
      <c r="O376" s="341"/>
      <c r="P376" s="341">
        <v>0</v>
      </c>
      <c r="Q376" s="341"/>
      <c r="R376" s="341"/>
      <c r="S376" s="341"/>
      <c r="T376" s="341">
        <v>0</v>
      </c>
      <c r="U376" s="341"/>
      <c r="V376" s="341"/>
      <c r="W376" s="341"/>
      <c r="X376" s="329" t="s">
        <v>140</v>
      </c>
      <c r="Y376" s="369" t="str">
        <f>DB!$D$6</f>
        <v>UPS 650VA, AVR, 230V</v>
      </c>
      <c r="Z376" s="329" t="s">
        <v>8</v>
      </c>
      <c r="AA376" s="329"/>
      <c r="AB376" s="345"/>
      <c r="AC376" s="339"/>
    </row>
    <row r="377" spans="1:29" hidden="1">
      <c r="A377" s="329"/>
      <c r="B377" s="334" t="s">
        <v>868</v>
      </c>
      <c r="C377" s="341">
        <v>28</v>
      </c>
      <c r="D377" s="377" t="s">
        <v>103</v>
      </c>
      <c r="E377" s="373">
        <v>450</v>
      </c>
      <c r="F377" s="376">
        <v>12600</v>
      </c>
      <c r="G377" s="377"/>
      <c r="H377" s="341">
        <v>7</v>
      </c>
      <c r="I377" s="341">
        <v>7</v>
      </c>
      <c r="J377" s="341"/>
      <c r="K377" s="341"/>
      <c r="L377" s="341">
        <v>7</v>
      </c>
      <c r="M377" s="341">
        <v>7</v>
      </c>
      <c r="N377" s="341"/>
      <c r="O377" s="341"/>
      <c r="P377" s="341">
        <v>7</v>
      </c>
      <c r="Q377" s="341">
        <v>7</v>
      </c>
      <c r="R377" s="341"/>
      <c r="S377" s="341"/>
      <c r="T377" s="341">
        <v>7</v>
      </c>
      <c r="U377" s="341">
        <v>7</v>
      </c>
      <c r="V377" s="341"/>
      <c r="W377" s="341"/>
      <c r="X377" s="329" t="s">
        <v>140</v>
      </c>
      <c r="Y377" s="361" t="s">
        <v>199</v>
      </c>
      <c r="Z377" s="329" t="s">
        <v>8</v>
      </c>
      <c r="AA377" s="329"/>
      <c r="AB377" s="345"/>
      <c r="AC377" s="339"/>
    </row>
    <row r="378" spans="1:29" hidden="1">
      <c r="A378" s="329"/>
      <c r="B378" s="334" t="s">
        <v>869</v>
      </c>
      <c r="C378" s="341">
        <v>10</v>
      </c>
      <c r="D378" s="377" t="s">
        <v>103</v>
      </c>
      <c r="E378" s="373">
        <v>450</v>
      </c>
      <c r="F378" s="376">
        <v>4500</v>
      </c>
      <c r="G378" s="377"/>
      <c r="H378" s="341">
        <v>5</v>
      </c>
      <c r="I378" s="341">
        <v>5</v>
      </c>
      <c r="J378" s="341"/>
      <c r="K378" s="341"/>
      <c r="L378" s="341">
        <v>0</v>
      </c>
      <c r="M378" s="341"/>
      <c r="N378" s="341"/>
      <c r="O378" s="341"/>
      <c r="P378" s="341">
        <v>5</v>
      </c>
      <c r="Q378" s="341">
        <v>5</v>
      </c>
      <c r="R378" s="341"/>
      <c r="S378" s="341"/>
      <c r="T378" s="341">
        <v>0</v>
      </c>
      <c r="U378" s="341"/>
      <c r="V378" s="341"/>
      <c r="W378" s="341"/>
      <c r="X378" s="329" t="s">
        <v>140</v>
      </c>
      <c r="Y378" s="361" t="s">
        <v>209</v>
      </c>
      <c r="Z378" s="329" t="s">
        <v>8</v>
      </c>
      <c r="AA378" s="329"/>
      <c r="AB378" s="345"/>
      <c r="AC378" s="339"/>
    </row>
    <row r="379" spans="1:29" ht="31.5" hidden="1">
      <c r="A379" s="329"/>
      <c r="B379" s="334" t="s">
        <v>870</v>
      </c>
      <c r="C379" s="341">
        <v>10</v>
      </c>
      <c r="D379" s="377" t="s">
        <v>103</v>
      </c>
      <c r="E379" s="373">
        <v>450</v>
      </c>
      <c r="F379" s="376">
        <v>4500</v>
      </c>
      <c r="G379" s="377"/>
      <c r="H379" s="341">
        <v>5</v>
      </c>
      <c r="I379" s="341">
        <v>5</v>
      </c>
      <c r="J379" s="341"/>
      <c r="K379" s="341"/>
      <c r="L379" s="341">
        <v>0</v>
      </c>
      <c r="M379" s="341"/>
      <c r="N379" s="341"/>
      <c r="O379" s="341"/>
      <c r="P379" s="341">
        <v>5</v>
      </c>
      <c r="Q379" s="341">
        <v>5</v>
      </c>
      <c r="R379" s="341"/>
      <c r="S379" s="341"/>
      <c r="T379" s="341">
        <v>0</v>
      </c>
      <c r="U379" s="341"/>
      <c r="V379" s="341"/>
      <c r="W379" s="341"/>
      <c r="X379" s="329" t="s">
        <v>140</v>
      </c>
      <c r="Y379" s="361" t="s">
        <v>210</v>
      </c>
      <c r="Z379" s="329" t="s">
        <v>8</v>
      </c>
      <c r="AA379" s="329"/>
      <c r="AB379" s="345"/>
      <c r="AC379" s="339"/>
    </row>
    <row r="380" spans="1:29" hidden="1">
      <c r="A380" s="329"/>
      <c r="B380" s="334" t="s">
        <v>871</v>
      </c>
      <c r="C380" s="341">
        <v>10</v>
      </c>
      <c r="D380" s="377" t="s">
        <v>103</v>
      </c>
      <c r="E380" s="373">
        <v>450</v>
      </c>
      <c r="F380" s="376">
        <v>4500</v>
      </c>
      <c r="G380" s="377"/>
      <c r="H380" s="341">
        <v>5</v>
      </c>
      <c r="I380" s="341">
        <v>5</v>
      </c>
      <c r="J380" s="341"/>
      <c r="K380" s="341"/>
      <c r="L380" s="341">
        <v>0</v>
      </c>
      <c r="M380" s="341"/>
      <c r="N380" s="341"/>
      <c r="O380" s="341"/>
      <c r="P380" s="341">
        <v>5</v>
      </c>
      <c r="Q380" s="341">
        <v>5</v>
      </c>
      <c r="R380" s="341"/>
      <c r="S380" s="341"/>
      <c r="T380" s="341">
        <v>0</v>
      </c>
      <c r="U380" s="341"/>
      <c r="V380" s="341"/>
      <c r="W380" s="341"/>
      <c r="X380" s="329" t="s">
        <v>140</v>
      </c>
      <c r="Y380" s="361" t="s">
        <v>211</v>
      </c>
      <c r="Z380" s="329" t="s">
        <v>8</v>
      </c>
      <c r="AA380" s="329"/>
      <c r="AB380" s="345"/>
      <c r="AC380" s="339"/>
    </row>
    <row r="381" spans="1:29" ht="31.5" hidden="1">
      <c r="A381" s="329"/>
      <c r="B381" s="334" t="s">
        <v>872</v>
      </c>
      <c r="C381" s="341">
        <v>40</v>
      </c>
      <c r="D381" s="377" t="s">
        <v>103</v>
      </c>
      <c r="E381" s="373">
        <v>430</v>
      </c>
      <c r="F381" s="376">
        <v>17200</v>
      </c>
      <c r="G381" s="377"/>
      <c r="H381" s="341">
        <v>10</v>
      </c>
      <c r="I381" s="341">
        <v>10</v>
      </c>
      <c r="J381" s="341"/>
      <c r="K381" s="341"/>
      <c r="L381" s="341">
        <v>10</v>
      </c>
      <c r="M381" s="341">
        <v>10</v>
      </c>
      <c r="N381" s="341"/>
      <c r="O381" s="341"/>
      <c r="P381" s="341">
        <v>10</v>
      </c>
      <c r="Q381" s="341">
        <v>10</v>
      </c>
      <c r="R381" s="341"/>
      <c r="S381" s="341"/>
      <c r="T381" s="341">
        <v>10</v>
      </c>
      <c r="U381" s="341">
        <v>10</v>
      </c>
      <c r="V381" s="341"/>
      <c r="W381" s="341"/>
      <c r="X381" s="329" t="s">
        <v>140</v>
      </c>
      <c r="Y381" s="330" t="str">
        <f>DB!$D$177</f>
        <v>EPSON LQ310 Ribbon Cartridge (SO15634)</v>
      </c>
      <c r="Z381" s="351" t="s">
        <v>8</v>
      </c>
      <c r="AA381" s="329"/>
      <c r="AB381" s="345"/>
      <c r="AC381" s="339"/>
    </row>
    <row r="382" spans="1:29" hidden="1">
      <c r="A382" s="329"/>
      <c r="B382" s="370" t="s">
        <v>891</v>
      </c>
      <c r="C382" s="335">
        <v>1</v>
      </c>
      <c r="D382" s="359" t="s">
        <v>103</v>
      </c>
      <c r="E382" s="374">
        <v>25000</v>
      </c>
      <c r="F382" s="374">
        <v>25000</v>
      </c>
      <c r="G382" s="341" t="s">
        <v>342</v>
      </c>
      <c r="H382" s="343">
        <v>1</v>
      </c>
      <c r="I382" s="371">
        <v>1</v>
      </c>
      <c r="J382" s="349"/>
      <c r="K382" s="349"/>
      <c r="L382" s="343">
        <v>0</v>
      </c>
      <c r="M382" s="349"/>
      <c r="N382" s="349"/>
      <c r="O382" s="349"/>
      <c r="P382" s="343">
        <v>0</v>
      </c>
      <c r="Q382" s="349"/>
      <c r="R382" s="349"/>
      <c r="S382" s="349"/>
      <c r="T382" s="343">
        <v>0</v>
      </c>
      <c r="U382" s="349"/>
      <c r="V382" s="349"/>
      <c r="W382" s="349"/>
      <c r="X382" s="329" t="s">
        <v>178</v>
      </c>
      <c r="Y382" s="330" t="str">
        <f>DB!$D$190</f>
        <v>Android Tablet 10.5"</v>
      </c>
      <c r="Z382" s="329" t="s">
        <v>8</v>
      </c>
      <c r="AA382" s="329"/>
      <c r="AB382" s="345"/>
      <c r="AC382" s="339"/>
    </row>
    <row r="383" spans="1:29">
      <c r="A383" s="329"/>
      <c r="B383" s="372" t="s">
        <v>880</v>
      </c>
      <c r="C383" s="335">
        <v>2</v>
      </c>
      <c r="D383" s="362" t="s">
        <v>103</v>
      </c>
      <c r="E383" s="348">
        <v>43000</v>
      </c>
      <c r="F383" s="348">
        <v>86000</v>
      </c>
      <c r="G383" s="377" t="s">
        <v>342</v>
      </c>
      <c r="H383" s="341">
        <v>2</v>
      </c>
      <c r="I383" s="373">
        <v>2</v>
      </c>
      <c r="J383" s="349"/>
      <c r="K383" s="349"/>
      <c r="L383" s="341">
        <v>0</v>
      </c>
      <c r="M383" s="349"/>
      <c r="N383" s="349"/>
      <c r="O383" s="349"/>
      <c r="P383" s="341">
        <v>0</v>
      </c>
      <c r="Q383" s="349"/>
      <c r="R383" s="349"/>
      <c r="S383" s="349"/>
      <c r="T383" s="341">
        <v>0</v>
      </c>
      <c r="U383" s="349"/>
      <c r="V383" s="349"/>
      <c r="W383" s="349"/>
      <c r="X383" s="329" t="s">
        <v>178</v>
      </c>
      <c r="Y383" s="330" t="str">
        <f>DB!$D$194</f>
        <v>Branded Desktop Computer Set</v>
      </c>
      <c r="Z383" s="329" t="s">
        <v>2964</v>
      </c>
      <c r="AA383" s="329"/>
      <c r="AB383" s="345"/>
      <c r="AC383" s="339"/>
    </row>
    <row r="384" spans="1:29" ht="47.25" hidden="1">
      <c r="A384" s="329"/>
      <c r="B384" s="372" t="s">
        <v>892</v>
      </c>
      <c r="C384" s="335">
        <v>1</v>
      </c>
      <c r="D384" s="362" t="s">
        <v>103</v>
      </c>
      <c r="E384" s="348">
        <v>1400</v>
      </c>
      <c r="F384" s="348">
        <v>1400</v>
      </c>
      <c r="G384" s="377" t="s">
        <v>3054</v>
      </c>
      <c r="H384" s="341">
        <v>1</v>
      </c>
      <c r="I384" s="373">
        <v>1</v>
      </c>
      <c r="J384" s="349"/>
      <c r="K384" s="349"/>
      <c r="L384" s="341">
        <v>0</v>
      </c>
      <c r="M384" s="349"/>
      <c r="N384" s="349"/>
      <c r="O384" s="349"/>
      <c r="P384" s="341">
        <v>0</v>
      </c>
      <c r="Q384" s="349"/>
      <c r="R384" s="349"/>
      <c r="S384" s="349"/>
      <c r="T384" s="341">
        <v>0</v>
      </c>
      <c r="U384" s="349"/>
      <c r="V384" s="349"/>
      <c r="W384" s="349"/>
      <c r="X384" s="329" t="s">
        <v>178</v>
      </c>
      <c r="Y384" s="330" t="str">
        <f>DB!$D$84</f>
        <v>HP Printhead Black compatible with the existing HP Smart Tank 515</v>
      </c>
      <c r="Z384" s="351" t="s">
        <v>8</v>
      </c>
      <c r="AA384" s="329"/>
      <c r="AB384" s="345"/>
      <c r="AC384" s="339"/>
    </row>
    <row r="385" spans="1:29" ht="47.25" hidden="1">
      <c r="A385" s="329"/>
      <c r="B385" s="372" t="s">
        <v>893</v>
      </c>
      <c r="C385" s="335">
        <v>1</v>
      </c>
      <c r="D385" s="362" t="s">
        <v>103</v>
      </c>
      <c r="E385" s="348">
        <v>1800</v>
      </c>
      <c r="F385" s="348">
        <v>1800</v>
      </c>
      <c r="G385" s="377" t="s">
        <v>3054</v>
      </c>
      <c r="H385" s="341">
        <v>1</v>
      </c>
      <c r="I385" s="373">
        <v>1</v>
      </c>
      <c r="J385" s="349"/>
      <c r="K385" s="349"/>
      <c r="L385" s="341">
        <v>0</v>
      </c>
      <c r="M385" s="349"/>
      <c r="N385" s="349"/>
      <c r="O385" s="349"/>
      <c r="P385" s="341">
        <v>0</v>
      </c>
      <c r="Q385" s="349"/>
      <c r="R385" s="349"/>
      <c r="S385" s="349"/>
      <c r="T385" s="341">
        <v>0</v>
      </c>
      <c r="U385" s="349"/>
      <c r="V385" s="349"/>
      <c r="W385" s="349"/>
      <c r="X385" s="329" t="s">
        <v>178</v>
      </c>
      <c r="Y385" s="330" t="str">
        <f>DB!$D$85</f>
        <v>HP Printhead Tri-color compatible with the existing HP Smart Tank 515</v>
      </c>
      <c r="Z385" s="351" t="s">
        <v>8</v>
      </c>
      <c r="AA385" s="329"/>
      <c r="AB385" s="345"/>
      <c r="AC385" s="339"/>
    </row>
    <row r="386" spans="1:29" hidden="1">
      <c r="A386" s="329"/>
      <c r="B386" s="372" t="s">
        <v>234</v>
      </c>
      <c r="C386" s="335">
        <v>3</v>
      </c>
      <c r="D386" s="335" t="s">
        <v>103</v>
      </c>
      <c r="E386" s="341">
        <v>480</v>
      </c>
      <c r="F386" s="348">
        <v>1440</v>
      </c>
      <c r="G386" s="341" t="s">
        <v>342</v>
      </c>
      <c r="H386" s="341">
        <v>1</v>
      </c>
      <c r="I386" s="341">
        <v>1</v>
      </c>
      <c r="J386" s="349"/>
      <c r="K386" s="349"/>
      <c r="L386" s="341">
        <v>1</v>
      </c>
      <c r="M386" s="341">
        <v>1</v>
      </c>
      <c r="N386" s="349"/>
      <c r="O386" s="349"/>
      <c r="P386" s="341">
        <v>1</v>
      </c>
      <c r="Q386" s="341">
        <v>1</v>
      </c>
      <c r="R386" s="349"/>
      <c r="S386" s="349"/>
      <c r="T386" s="341">
        <v>0</v>
      </c>
      <c r="U386" s="349"/>
      <c r="V386" s="349"/>
      <c r="W386" s="349"/>
      <c r="X386" s="329" t="s">
        <v>178</v>
      </c>
      <c r="Y386" s="336" t="str">
        <f>DB!$D$168</f>
        <v>Keyboard, Full Size, USB 2.0</v>
      </c>
      <c r="Z386" s="329" t="s">
        <v>2946</v>
      </c>
      <c r="AA386" s="329"/>
      <c r="AB386" s="345"/>
      <c r="AC386" s="339"/>
    </row>
    <row r="387" spans="1:29" hidden="1">
      <c r="A387" s="329"/>
      <c r="B387" s="372" t="s">
        <v>239</v>
      </c>
      <c r="C387" s="335">
        <v>3</v>
      </c>
      <c r="D387" s="335" t="s">
        <v>103</v>
      </c>
      <c r="E387" s="341">
        <v>380</v>
      </c>
      <c r="F387" s="348">
        <v>1140</v>
      </c>
      <c r="G387" s="341" t="s">
        <v>342</v>
      </c>
      <c r="H387" s="341">
        <v>1</v>
      </c>
      <c r="I387" s="341">
        <v>1</v>
      </c>
      <c r="J387" s="349"/>
      <c r="K387" s="349"/>
      <c r="L387" s="341">
        <v>1</v>
      </c>
      <c r="M387" s="341">
        <v>1</v>
      </c>
      <c r="N387" s="349"/>
      <c r="O387" s="349"/>
      <c r="P387" s="341">
        <v>1</v>
      </c>
      <c r="Q387" s="341">
        <v>1</v>
      </c>
      <c r="R387" s="349"/>
      <c r="S387" s="349"/>
      <c r="T387" s="341">
        <v>0</v>
      </c>
      <c r="U387" s="349"/>
      <c r="V387" s="349"/>
      <c r="W387" s="349"/>
      <c r="X387" s="329" t="s">
        <v>178</v>
      </c>
      <c r="Y387" s="346" t="str">
        <f>DB!$D$169</f>
        <v>Mouse, Optical, USB 2.0</v>
      </c>
      <c r="Z387" s="329" t="s">
        <v>2946</v>
      </c>
      <c r="AA387" s="329"/>
      <c r="AB387" s="345"/>
      <c r="AC387" s="339"/>
    </row>
    <row r="388" spans="1:29" ht="31.5" hidden="1">
      <c r="A388" s="329"/>
      <c r="B388" s="418" t="s">
        <v>894</v>
      </c>
      <c r="C388" s="419">
        <v>1</v>
      </c>
      <c r="D388" s="420" t="s">
        <v>466</v>
      </c>
      <c r="E388" s="421">
        <v>10000</v>
      </c>
      <c r="F388" s="421">
        <v>10000</v>
      </c>
      <c r="G388" s="420" t="s">
        <v>342</v>
      </c>
      <c r="H388" s="384">
        <v>1</v>
      </c>
      <c r="I388" s="384">
        <v>1</v>
      </c>
      <c r="J388" s="384"/>
      <c r="K388" s="384"/>
      <c r="L388" s="384">
        <v>0</v>
      </c>
      <c r="M388" s="384"/>
      <c r="N388" s="384"/>
      <c r="O388" s="384"/>
      <c r="P388" s="384">
        <v>0</v>
      </c>
      <c r="Q388" s="384"/>
      <c r="R388" s="384"/>
      <c r="S388" s="384">
        <v>0</v>
      </c>
      <c r="T388" s="384">
        <v>0</v>
      </c>
      <c r="U388" s="384"/>
      <c r="V388" s="384"/>
      <c r="W388" s="341"/>
      <c r="X388" s="329" t="s">
        <v>178</v>
      </c>
      <c r="Y388" s="330"/>
      <c r="Z388" s="329" t="s">
        <v>2962</v>
      </c>
      <c r="AA388" s="329"/>
      <c r="AB388" s="345"/>
      <c r="AC388" s="339"/>
    </row>
    <row r="389" spans="1:29" hidden="1">
      <c r="A389" s="329"/>
      <c r="B389" s="370" t="s">
        <v>891</v>
      </c>
      <c r="C389" s="335">
        <v>1</v>
      </c>
      <c r="D389" s="337" t="s">
        <v>103</v>
      </c>
      <c r="E389" s="343" t="s">
        <v>3055</v>
      </c>
      <c r="F389" s="362" t="s">
        <v>3055</v>
      </c>
      <c r="G389" s="341" t="s">
        <v>342</v>
      </c>
      <c r="H389" s="337">
        <v>1</v>
      </c>
      <c r="I389" s="343">
        <v>1</v>
      </c>
      <c r="J389" s="343"/>
      <c r="K389" s="343"/>
      <c r="L389" s="343">
        <v>0</v>
      </c>
      <c r="M389" s="343"/>
      <c r="N389" s="343"/>
      <c r="O389" s="343"/>
      <c r="P389" s="343">
        <v>0</v>
      </c>
      <c r="Q389" s="343"/>
      <c r="R389" s="343"/>
      <c r="S389" s="343"/>
      <c r="T389" s="343">
        <v>0</v>
      </c>
      <c r="U389" s="343"/>
      <c r="V389" s="343"/>
      <c r="W389" s="337"/>
      <c r="X389" s="329" t="s">
        <v>151</v>
      </c>
      <c r="Y389" s="330" t="str">
        <f>DB!$D$190</f>
        <v>Android Tablet 10.5"</v>
      </c>
      <c r="Z389" s="329" t="s">
        <v>8</v>
      </c>
      <c r="AA389" s="329"/>
      <c r="AB389" s="345"/>
      <c r="AC389" s="339"/>
    </row>
    <row r="390" spans="1:29">
      <c r="A390" s="329"/>
      <c r="B390" s="372" t="s">
        <v>880</v>
      </c>
      <c r="C390" s="335">
        <v>1</v>
      </c>
      <c r="D390" s="335" t="s">
        <v>103</v>
      </c>
      <c r="E390" s="341" t="s">
        <v>3055</v>
      </c>
      <c r="F390" s="362" t="s">
        <v>3055</v>
      </c>
      <c r="G390" s="341" t="s">
        <v>342</v>
      </c>
      <c r="H390" s="335">
        <v>1</v>
      </c>
      <c r="I390" s="341">
        <v>1</v>
      </c>
      <c r="J390" s="341"/>
      <c r="K390" s="341"/>
      <c r="L390" s="341">
        <v>0</v>
      </c>
      <c r="M390" s="341"/>
      <c r="N390" s="341"/>
      <c r="O390" s="341"/>
      <c r="P390" s="341">
        <v>0</v>
      </c>
      <c r="Q390" s="341"/>
      <c r="R390" s="341"/>
      <c r="S390" s="341"/>
      <c r="T390" s="341">
        <v>0</v>
      </c>
      <c r="U390" s="341"/>
      <c r="V390" s="341"/>
      <c r="W390" s="335"/>
      <c r="X390" s="329" t="s">
        <v>151</v>
      </c>
      <c r="Y390" s="330" t="str">
        <f>DB!$D$194</f>
        <v>Branded Desktop Computer Set</v>
      </c>
      <c r="Z390" s="329" t="s">
        <v>2964</v>
      </c>
      <c r="AA390" s="329"/>
      <c r="AB390" s="345"/>
      <c r="AC390" s="339"/>
    </row>
    <row r="391" spans="1:29" ht="47.25" hidden="1">
      <c r="A391" s="329"/>
      <c r="B391" s="372" t="s">
        <v>892</v>
      </c>
      <c r="C391" s="335">
        <v>1</v>
      </c>
      <c r="D391" s="335" t="s">
        <v>103</v>
      </c>
      <c r="E391" s="341" t="s">
        <v>3055</v>
      </c>
      <c r="F391" s="362" t="s">
        <v>3055</v>
      </c>
      <c r="G391" s="341" t="s">
        <v>3054</v>
      </c>
      <c r="H391" s="335">
        <v>1</v>
      </c>
      <c r="I391" s="341">
        <v>1</v>
      </c>
      <c r="J391" s="341"/>
      <c r="K391" s="341"/>
      <c r="L391" s="341">
        <v>0</v>
      </c>
      <c r="M391" s="341"/>
      <c r="N391" s="341"/>
      <c r="O391" s="341"/>
      <c r="P391" s="341">
        <v>0</v>
      </c>
      <c r="Q391" s="341"/>
      <c r="R391" s="341"/>
      <c r="S391" s="341"/>
      <c r="T391" s="341">
        <v>0</v>
      </c>
      <c r="U391" s="341"/>
      <c r="V391" s="341"/>
      <c r="W391" s="335"/>
      <c r="X391" s="329" t="s">
        <v>151</v>
      </c>
      <c r="Y391" s="330" t="str">
        <f>DB!$D$84</f>
        <v>HP Printhead Black compatible with the existing HP Smart Tank 515</v>
      </c>
      <c r="Z391" s="351" t="s">
        <v>8</v>
      </c>
      <c r="AA391" s="329"/>
      <c r="AB391" s="345"/>
      <c r="AC391" s="339"/>
    </row>
    <row r="392" spans="1:29" ht="47.25" hidden="1">
      <c r="A392" s="329"/>
      <c r="B392" s="372" t="s">
        <v>893</v>
      </c>
      <c r="C392" s="335">
        <v>1</v>
      </c>
      <c r="D392" s="335" t="s">
        <v>103</v>
      </c>
      <c r="E392" s="341" t="s">
        <v>3055</v>
      </c>
      <c r="F392" s="362" t="s">
        <v>3055</v>
      </c>
      <c r="G392" s="341" t="s">
        <v>3054</v>
      </c>
      <c r="H392" s="335">
        <v>1</v>
      </c>
      <c r="I392" s="341">
        <v>1</v>
      </c>
      <c r="J392" s="341"/>
      <c r="K392" s="341"/>
      <c r="L392" s="341">
        <v>0</v>
      </c>
      <c r="M392" s="341"/>
      <c r="N392" s="341"/>
      <c r="O392" s="341"/>
      <c r="P392" s="341">
        <v>0</v>
      </c>
      <c r="Q392" s="341"/>
      <c r="R392" s="341"/>
      <c r="S392" s="341"/>
      <c r="T392" s="341">
        <v>0</v>
      </c>
      <c r="U392" s="341"/>
      <c r="V392" s="341"/>
      <c r="W392" s="335"/>
      <c r="X392" s="329" t="s">
        <v>151</v>
      </c>
      <c r="Y392" s="330" t="str">
        <f>DB!$D$85</f>
        <v>HP Printhead Tri-color compatible with the existing HP Smart Tank 515</v>
      </c>
      <c r="Z392" s="351" t="s">
        <v>8</v>
      </c>
      <c r="AA392" s="329"/>
      <c r="AB392" s="345"/>
      <c r="AC392" s="339"/>
    </row>
    <row r="393" spans="1:29" hidden="1">
      <c r="A393" s="329"/>
      <c r="B393" s="372" t="s">
        <v>234</v>
      </c>
      <c r="C393" s="335">
        <v>3</v>
      </c>
      <c r="D393" s="362" t="s">
        <v>103</v>
      </c>
      <c r="E393" s="373" t="s">
        <v>3055</v>
      </c>
      <c r="F393" s="371" t="s">
        <v>3055</v>
      </c>
      <c r="G393" s="335" t="s">
        <v>342</v>
      </c>
      <c r="H393" s="335">
        <v>1</v>
      </c>
      <c r="I393" s="373">
        <v>1</v>
      </c>
      <c r="J393" s="373"/>
      <c r="K393" s="373"/>
      <c r="L393" s="341">
        <v>1</v>
      </c>
      <c r="M393" s="373">
        <v>1</v>
      </c>
      <c r="N393" s="373"/>
      <c r="O393" s="373"/>
      <c r="P393" s="341">
        <v>1</v>
      </c>
      <c r="Q393" s="373">
        <v>1</v>
      </c>
      <c r="R393" s="373"/>
      <c r="S393" s="373"/>
      <c r="T393" s="341">
        <v>0</v>
      </c>
      <c r="U393" s="373"/>
      <c r="V393" s="373"/>
      <c r="W393" s="362"/>
      <c r="X393" s="329" t="s">
        <v>151</v>
      </c>
      <c r="Y393" s="336" t="str">
        <f>DB!$D$168</f>
        <v>Keyboard, Full Size, USB 2.0</v>
      </c>
      <c r="Z393" s="329" t="s">
        <v>2946</v>
      </c>
      <c r="AA393" s="329"/>
      <c r="AB393" s="345"/>
      <c r="AC393" s="339"/>
    </row>
    <row r="394" spans="1:29" hidden="1">
      <c r="A394" s="329"/>
      <c r="B394" s="372" t="s">
        <v>239</v>
      </c>
      <c r="C394" s="335">
        <v>3</v>
      </c>
      <c r="D394" s="362" t="s">
        <v>103</v>
      </c>
      <c r="E394" s="373" t="s">
        <v>3055</v>
      </c>
      <c r="F394" s="373" t="s">
        <v>3055</v>
      </c>
      <c r="G394" s="391" t="s">
        <v>342</v>
      </c>
      <c r="H394" s="335">
        <v>1</v>
      </c>
      <c r="I394" s="373">
        <v>1</v>
      </c>
      <c r="J394" s="373"/>
      <c r="K394" s="373"/>
      <c r="L394" s="341">
        <v>1</v>
      </c>
      <c r="M394" s="373">
        <v>1</v>
      </c>
      <c r="N394" s="373"/>
      <c r="O394" s="373"/>
      <c r="P394" s="341">
        <v>1</v>
      </c>
      <c r="Q394" s="373">
        <v>1</v>
      </c>
      <c r="R394" s="373"/>
      <c r="S394" s="373"/>
      <c r="T394" s="341">
        <v>0</v>
      </c>
      <c r="U394" s="373"/>
      <c r="V394" s="373"/>
      <c r="W394" s="362"/>
      <c r="X394" s="329" t="s">
        <v>151</v>
      </c>
      <c r="Y394" s="346" t="str">
        <f>DB!$D$169</f>
        <v>Mouse, Optical, USB 2.0</v>
      </c>
      <c r="Z394" s="329" t="s">
        <v>2946</v>
      </c>
      <c r="AA394" s="329"/>
      <c r="AB394" s="345"/>
      <c r="AC394" s="339"/>
    </row>
    <row r="395" spans="1:29" hidden="1">
      <c r="A395" s="329"/>
      <c r="B395" s="372" t="s">
        <v>568</v>
      </c>
      <c r="C395" s="335">
        <v>1</v>
      </c>
      <c r="D395" s="362" t="s">
        <v>103</v>
      </c>
      <c r="E395" s="373" t="s">
        <v>3055</v>
      </c>
      <c r="F395" s="373" t="s">
        <v>3055</v>
      </c>
      <c r="G395" s="391" t="s">
        <v>342</v>
      </c>
      <c r="H395" s="335">
        <v>1</v>
      </c>
      <c r="I395" s="373">
        <v>1</v>
      </c>
      <c r="J395" s="373"/>
      <c r="K395" s="373"/>
      <c r="L395" s="341">
        <v>0</v>
      </c>
      <c r="M395" s="373"/>
      <c r="N395" s="373"/>
      <c r="O395" s="373"/>
      <c r="P395" s="341">
        <v>0</v>
      </c>
      <c r="Q395" s="373"/>
      <c r="R395" s="373"/>
      <c r="S395" s="373"/>
      <c r="T395" s="341">
        <v>0</v>
      </c>
      <c r="U395" s="373"/>
      <c r="V395" s="373"/>
      <c r="W395" s="362"/>
      <c r="X395" s="329" t="s">
        <v>151</v>
      </c>
      <c r="Y395" s="369" t="str">
        <f>DB!$D$6</f>
        <v>UPS 650VA, AVR, 230V</v>
      </c>
      <c r="Z395" s="329" t="s">
        <v>8</v>
      </c>
      <c r="AA395" s="329"/>
      <c r="AB395" s="345"/>
      <c r="AC395" s="339"/>
    </row>
    <row r="396" spans="1:29" ht="31.5" hidden="1">
      <c r="A396" s="329"/>
      <c r="B396" s="334" t="s">
        <v>547</v>
      </c>
      <c r="C396" s="343">
        <v>24</v>
      </c>
      <c r="D396" s="341" t="s">
        <v>103</v>
      </c>
      <c r="E396" s="341">
        <v>380</v>
      </c>
      <c r="F396" s="373" t="s">
        <v>3055</v>
      </c>
      <c r="G396" s="335" t="s">
        <v>342</v>
      </c>
      <c r="H396" s="335">
        <v>6</v>
      </c>
      <c r="I396" s="341">
        <v>2</v>
      </c>
      <c r="J396" s="341">
        <v>2</v>
      </c>
      <c r="K396" s="341">
        <v>2</v>
      </c>
      <c r="L396" s="341">
        <v>6</v>
      </c>
      <c r="M396" s="341">
        <v>2</v>
      </c>
      <c r="N396" s="341">
        <v>2</v>
      </c>
      <c r="O396" s="341">
        <v>2</v>
      </c>
      <c r="P396" s="341">
        <v>6</v>
      </c>
      <c r="Q396" s="341">
        <v>2</v>
      </c>
      <c r="R396" s="341">
        <v>2</v>
      </c>
      <c r="S396" s="341">
        <v>2</v>
      </c>
      <c r="T396" s="341">
        <v>6</v>
      </c>
      <c r="U396" s="341">
        <v>2</v>
      </c>
      <c r="V396" s="341">
        <v>2</v>
      </c>
      <c r="W396" s="343">
        <v>2</v>
      </c>
      <c r="X396" s="329" t="s">
        <v>151</v>
      </c>
      <c r="Y396" s="369" t="str">
        <f>DB!$D$110</f>
        <v>HP Genuine Ink Refill - (GT53) Black</v>
      </c>
      <c r="Z396" s="329" t="s">
        <v>8</v>
      </c>
      <c r="AA396" s="329"/>
      <c r="AB396" s="345"/>
      <c r="AC396" s="339"/>
    </row>
    <row r="397" spans="1:29" ht="31.5" hidden="1">
      <c r="A397" s="329"/>
      <c r="B397" s="334" t="s">
        <v>548</v>
      </c>
      <c r="C397" s="341">
        <v>12</v>
      </c>
      <c r="D397" s="341" t="s">
        <v>103</v>
      </c>
      <c r="E397" s="341">
        <v>380</v>
      </c>
      <c r="F397" s="373" t="s">
        <v>3055</v>
      </c>
      <c r="G397" s="391" t="s">
        <v>342</v>
      </c>
      <c r="H397" s="335">
        <v>3</v>
      </c>
      <c r="I397" s="341">
        <v>1</v>
      </c>
      <c r="J397" s="341">
        <v>1</v>
      </c>
      <c r="K397" s="341">
        <v>1</v>
      </c>
      <c r="L397" s="341">
        <v>3</v>
      </c>
      <c r="M397" s="341">
        <v>1</v>
      </c>
      <c r="N397" s="341">
        <v>1</v>
      </c>
      <c r="O397" s="341">
        <v>1</v>
      </c>
      <c r="P397" s="341">
        <v>3</v>
      </c>
      <c r="Q397" s="341">
        <v>1</v>
      </c>
      <c r="R397" s="341">
        <v>1</v>
      </c>
      <c r="S397" s="341">
        <v>1</v>
      </c>
      <c r="T397" s="341">
        <v>3</v>
      </c>
      <c r="U397" s="341">
        <v>1</v>
      </c>
      <c r="V397" s="341">
        <v>1</v>
      </c>
      <c r="W397" s="341">
        <v>1</v>
      </c>
      <c r="X397" s="329" t="s">
        <v>151</v>
      </c>
      <c r="Y397" s="330" t="str">
        <f>DB!$D$112</f>
        <v>HP Genuine Ink Refill - (GT52) Cyan</v>
      </c>
      <c r="Z397" s="329" t="s">
        <v>8</v>
      </c>
      <c r="AA397" s="329"/>
      <c r="AB397" s="345"/>
      <c r="AC397" s="339"/>
    </row>
    <row r="398" spans="1:29" ht="31.5" hidden="1">
      <c r="A398" s="329"/>
      <c r="B398" s="334" t="s">
        <v>549</v>
      </c>
      <c r="C398" s="341">
        <v>12</v>
      </c>
      <c r="D398" s="341" t="s">
        <v>103</v>
      </c>
      <c r="E398" s="341">
        <v>380</v>
      </c>
      <c r="F398" s="373" t="s">
        <v>3055</v>
      </c>
      <c r="G398" s="391" t="s">
        <v>342</v>
      </c>
      <c r="H398" s="335">
        <v>3</v>
      </c>
      <c r="I398" s="341">
        <v>1</v>
      </c>
      <c r="J398" s="341">
        <v>1</v>
      </c>
      <c r="K398" s="341">
        <v>1</v>
      </c>
      <c r="L398" s="341">
        <v>3</v>
      </c>
      <c r="M398" s="341">
        <v>1</v>
      </c>
      <c r="N398" s="341">
        <v>1</v>
      </c>
      <c r="O398" s="341">
        <v>1</v>
      </c>
      <c r="P398" s="341">
        <v>3</v>
      </c>
      <c r="Q398" s="341">
        <v>1</v>
      </c>
      <c r="R398" s="341">
        <v>1</v>
      </c>
      <c r="S398" s="341">
        <v>1</v>
      </c>
      <c r="T398" s="341">
        <v>3</v>
      </c>
      <c r="U398" s="341">
        <v>1</v>
      </c>
      <c r="V398" s="341">
        <v>1</v>
      </c>
      <c r="W398" s="341">
        <v>1</v>
      </c>
      <c r="X398" s="329" t="s">
        <v>151</v>
      </c>
      <c r="Y398" s="330" t="str">
        <f>DB!$D$113</f>
        <v>HP Genuine Ink Refill - (GT52) Yellow</v>
      </c>
      <c r="Z398" s="329" t="s">
        <v>8</v>
      </c>
      <c r="AA398" s="329"/>
      <c r="AB398" s="345"/>
      <c r="AC398" s="339"/>
    </row>
    <row r="399" spans="1:29" ht="31.5" hidden="1">
      <c r="A399" s="329"/>
      <c r="B399" s="334" t="s">
        <v>550</v>
      </c>
      <c r="C399" s="341">
        <v>12</v>
      </c>
      <c r="D399" s="341" t="s">
        <v>103</v>
      </c>
      <c r="E399" s="341">
        <v>380</v>
      </c>
      <c r="F399" s="373" t="s">
        <v>3055</v>
      </c>
      <c r="G399" s="391" t="s">
        <v>342</v>
      </c>
      <c r="H399" s="335">
        <v>3</v>
      </c>
      <c r="I399" s="341">
        <v>1</v>
      </c>
      <c r="J399" s="341">
        <v>1</v>
      </c>
      <c r="K399" s="341">
        <v>1</v>
      </c>
      <c r="L399" s="341">
        <v>3</v>
      </c>
      <c r="M399" s="341">
        <v>1</v>
      </c>
      <c r="N399" s="341">
        <v>1</v>
      </c>
      <c r="O399" s="341">
        <v>1</v>
      </c>
      <c r="P399" s="341">
        <v>3</v>
      </c>
      <c r="Q399" s="341">
        <v>1</v>
      </c>
      <c r="R399" s="341">
        <v>1</v>
      </c>
      <c r="S399" s="341">
        <v>1</v>
      </c>
      <c r="T399" s="341">
        <v>3</v>
      </c>
      <c r="U399" s="341">
        <v>1</v>
      </c>
      <c r="V399" s="341">
        <v>1</v>
      </c>
      <c r="W399" s="341">
        <v>1</v>
      </c>
      <c r="X399" s="329" t="s">
        <v>151</v>
      </c>
      <c r="Y399" s="330" t="str">
        <f>DB!$D$111</f>
        <v>HP Genuine Ink Refill - (GT52) Magenta</v>
      </c>
      <c r="Z399" s="329" t="s">
        <v>8</v>
      </c>
      <c r="AA399" s="329"/>
      <c r="AB399" s="345"/>
      <c r="AC399" s="339"/>
    </row>
    <row r="400" spans="1:29" ht="31.5" hidden="1">
      <c r="A400" s="329"/>
      <c r="B400" s="372" t="s">
        <v>882</v>
      </c>
      <c r="C400" s="335">
        <v>1</v>
      </c>
      <c r="D400" s="335" t="s">
        <v>103</v>
      </c>
      <c r="E400" s="341" t="s">
        <v>3055</v>
      </c>
      <c r="F400" s="362" t="s">
        <v>3055</v>
      </c>
      <c r="G400" s="377" t="s">
        <v>342</v>
      </c>
      <c r="H400" s="335">
        <v>1</v>
      </c>
      <c r="I400" s="341">
        <v>1</v>
      </c>
      <c r="J400" s="341"/>
      <c r="K400" s="341"/>
      <c r="L400" s="341">
        <v>0</v>
      </c>
      <c r="M400" s="341"/>
      <c r="N400" s="341"/>
      <c r="O400" s="341"/>
      <c r="P400" s="341">
        <v>0</v>
      </c>
      <c r="Q400" s="341"/>
      <c r="R400" s="341"/>
      <c r="S400" s="341"/>
      <c r="T400" s="341">
        <v>0</v>
      </c>
      <c r="U400" s="341"/>
      <c r="V400" s="341"/>
      <c r="W400" s="337"/>
      <c r="X400" s="329" t="s">
        <v>151</v>
      </c>
      <c r="Y400" s="330" t="str">
        <f>DB!$D$73</f>
        <v>Webcam Professional Full HD</v>
      </c>
      <c r="Z400" s="329" t="s">
        <v>8</v>
      </c>
      <c r="AA400" s="329"/>
      <c r="AB400" s="345"/>
      <c r="AC400" s="339"/>
    </row>
    <row r="401" spans="1:29" hidden="1">
      <c r="A401" s="329"/>
      <c r="B401" s="338" t="s">
        <v>873</v>
      </c>
      <c r="C401" s="375">
        <v>1</v>
      </c>
      <c r="D401" s="375" t="s">
        <v>103</v>
      </c>
      <c r="E401" s="375">
        <v>380</v>
      </c>
      <c r="F401" s="375">
        <v>380</v>
      </c>
      <c r="G401" s="343" t="s">
        <v>2973</v>
      </c>
      <c r="H401" s="343">
        <v>1</v>
      </c>
      <c r="I401" s="343">
        <v>1</v>
      </c>
      <c r="J401" s="343"/>
      <c r="K401" s="343"/>
      <c r="L401" s="343"/>
      <c r="M401" s="343"/>
      <c r="N401" s="343"/>
      <c r="O401" s="343"/>
      <c r="P401" s="343"/>
      <c r="Q401" s="343"/>
      <c r="R401" s="343"/>
      <c r="S401" s="343"/>
      <c r="T401" s="343"/>
      <c r="U401" s="343"/>
      <c r="V401" s="343"/>
      <c r="W401" s="343"/>
      <c r="X401" s="329" t="s">
        <v>177</v>
      </c>
      <c r="Y401" s="336" t="str">
        <f>DB!$D$168</f>
        <v>Keyboard, Full Size, USB 2.0</v>
      </c>
      <c r="Z401" s="329" t="s">
        <v>2946</v>
      </c>
      <c r="AA401" s="329"/>
      <c r="AB401" s="345"/>
      <c r="AC401" s="339"/>
    </row>
    <row r="402" spans="1:29" hidden="1">
      <c r="A402" s="329"/>
      <c r="B402" s="334" t="s">
        <v>874</v>
      </c>
      <c r="C402" s="377">
        <v>1</v>
      </c>
      <c r="D402" s="377" t="s">
        <v>103</v>
      </c>
      <c r="E402" s="377">
        <v>380</v>
      </c>
      <c r="F402" s="377">
        <v>380</v>
      </c>
      <c r="G402" s="341" t="s">
        <v>2973</v>
      </c>
      <c r="H402" s="341">
        <v>1</v>
      </c>
      <c r="I402" s="341">
        <v>1</v>
      </c>
      <c r="J402" s="341"/>
      <c r="K402" s="341"/>
      <c r="L402" s="341"/>
      <c r="M402" s="341"/>
      <c r="N402" s="341"/>
      <c r="O402" s="341"/>
      <c r="P402" s="341"/>
      <c r="Q402" s="341"/>
      <c r="R402" s="341"/>
      <c r="S402" s="341"/>
      <c r="T402" s="341"/>
      <c r="U402" s="341"/>
      <c r="V402" s="341"/>
      <c r="W402" s="341"/>
      <c r="X402" s="329" t="s">
        <v>177</v>
      </c>
      <c r="Y402" s="346" t="str">
        <f>DB!$D$169</f>
        <v>Mouse, Optical, USB 2.0</v>
      </c>
      <c r="Z402" s="329" t="s">
        <v>2946</v>
      </c>
      <c r="AA402" s="329"/>
      <c r="AB402" s="345"/>
      <c r="AC402" s="339"/>
    </row>
    <row r="403" spans="1:29">
      <c r="A403" s="329"/>
      <c r="B403" s="334" t="s">
        <v>877</v>
      </c>
      <c r="C403" s="377">
        <v>2</v>
      </c>
      <c r="D403" s="377" t="s">
        <v>103</v>
      </c>
      <c r="E403" s="377">
        <v>1000</v>
      </c>
      <c r="F403" s="377" t="s">
        <v>3052</v>
      </c>
      <c r="G403" s="341" t="s">
        <v>2973</v>
      </c>
      <c r="H403" s="341">
        <v>2</v>
      </c>
      <c r="I403" s="341">
        <v>2</v>
      </c>
      <c r="J403" s="341"/>
      <c r="K403" s="341"/>
      <c r="L403" s="341"/>
      <c r="M403" s="341"/>
      <c r="N403" s="341"/>
      <c r="O403" s="341"/>
      <c r="P403" s="341"/>
      <c r="Q403" s="341"/>
      <c r="R403" s="341"/>
      <c r="S403" s="341"/>
      <c r="T403" s="341"/>
      <c r="U403" s="341"/>
      <c r="V403" s="341"/>
      <c r="W403" s="341"/>
      <c r="X403" s="329" t="s">
        <v>177</v>
      </c>
      <c r="Y403" s="330" t="str">
        <f>DB!$D$194</f>
        <v>Branded Desktop Computer Set</v>
      </c>
      <c r="Z403" s="329" t="s">
        <v>2964</v>
      </c>
      <c r="AA403" s="329"/>
      <c r="AB403" s="345"/>
      <c r="AC403" s="339"/>
    </row>
    <row r="404" spans="1:29" hidden="1">
      <c r="A404" s="329"/>
      <c r="B404" s="334" t="s">
        <v>879</v>
      </c>
      <c r="C404" s="341">
        <v>1</v>
      </c>
      <c r="D404" s="341" t="s">
        <v>103</v>
      </c>
      <c r="E404" s="347">
        <v>1000</v>
      </c>
      <c r="F404" s="422">
        <v>1000</v>
      </c>
      <c r="G404" s="341" t="s">
        <v>2973</v>
      </c>
      <c r="H404" s="341">
        <v>1</v>
      </c>
      <c r="I404" s="341">
        <v>1</v>
      </c>
      <c r="J404" s="341"/>
      <c r="K404" s="341"/>
      <c r="L404" s="341"/>
      <c r="M404" s="341"/>
      <c r="N404" s="341"/>
      <c r="O404" s="341"/>
      <c r="P404" s="341"/>
      <c r="Q404" s="341"/>
      <c r="R404" s="341"/>
      <c r="S404" s="340"/>
      <c r="T404" s="335"/>
      <c r="U404" s="341"/>
      <c r="V404" s="341"/>
      <c r="W404" s="341"/>
      <c r="X404" s="329" t="s">
        <v>177</v>
      </c>
      <c r="Y404" s="330" t="str">
        <f>DB!$D$73</f>
        <v>Webcam Professional Full HD</v>
      </c>
      <c r="Z404" s="329" t="s">
        <v>8</v>
      </c>
      <c r="AA404" s="329"/>
      <c r="AB404" s="345"/>
      <c r="AC404" s="339"/>
    </row>
    <row r="405" spans="1:29" ht="31.5" hidden="1">
      <c r="A405" s="329"/>
      <c r="B405" s="334" t="s">
        <v>889</v>
      </c>
      <c r="C405" s="377">
        <v>72</v>
      </c>
      <c r="D405" s="341" t="s">
        <v>103</v>
      </c>
      <c r="E405" s="377">
        <v>380</v>
      </c>
      <c r="F405" s="347">
        <v>27360</v>
      </c>
      <c r="G405" s="341" t="s">
        <v>342</v>
      </c>
      <c r="H405" s="341">
        <v>18</v>
      </c>
      <c r="I405" s="341">
        <v>6</v>
      </c>
      <c r="J405" s="341">
        <v>6</v>
      </c>
      <c r="K405" s="341">
        <v>6</v>
      </c>
      <c r="L405" s="341">
        <v>18</v>
      </c>
      <c r="M405" s="341">
        <v>6</v>
      </c>
      <c r="N405" s="341">
        <v>6</v>
      </c>
      <c r="O405" s="341">
        <v>6</v>
      </c>
      <c r="P405" s="341">
        <v>18</v>
      </c>
      <c r="Q405" s="341">
        <v>6</v>
      </c>
      <c r="R405" s="341">
        <v>6</v>
      </c>
      <c r="S405" s="341">
        <v>6</v>
      </c>
      <c r="T405" s="341">
        <v>18</v>
      </c>
      <c r="U405" s="341">
        <v>6</v>
      </c>
      <c r="V405" s="341">
        <v>6</v>
      </c>
      <c r="W405" s="341">
        <v>6</v>
      </c>
      <c r="X405" s="329" t="s">
        <v>177</v>
      </c>
      <c r="Y405" s="330" t="str">
        <f>DB!$D$177</f>
        <v>EPSON LQ310 Ribbon Cartridge (SO15634)</v>
      </c>
      <c r="Z405" s="329" t="s">
        <v>8</v>
      </c>
      <c r="AA405" s="329"/>
      <c r="AB405" s="345"/>
      <c r="AC405" s="339"/>
    </row>
    <row r="406" spans="1:29" hidden="1">
      <c r="A406" s="329"/>
      <c r="B406" s="334" t="s">
        <v>897</v>
      </c>
      <c r="C406" s="341">
        <v>24</v>
      </c>
      <c r="D406" s="341" t="s">
        <v>103</v>
      </c>
      <c r="E406" s="341">
        <v>380</v>
      </c>
      <c r="F406" s="347">
        <v>9120</v>
      </c>
      <c r="G406" s="341" t="s">
        <v>342</v>
      </c>
      <c r="H406" s="341">
        <v>6</v>
      </c>
      <c r="I406" s="341">
        <v>2</v>
      </c>
      <c r="J406" s="341">
        <v>2</v>
      </c>
      <c r="K406" s="341">
        <v>2</v>
      </c>
      <c r="L406" s="341">
        <v>6</v>
      </c>
      <c r="M406" s="341">
        <v>2</v>
      </c>
      <c r="N406" s="341">
        <v>2</v>
      </c>
      <c r="O406" s="341">
        <v>2</v>
      </c>
      <c r="P406" s="341">
        <v>6</v>
      </c>
      <c r="Q406" s="341">
        <v>2</v>
      </c>
      <c r="R406" s="341">
        <v>2</v>
      </c>
      <c r="S406" s="341">
        <v>2</v>
      </c>
      <c r="T406" s="341">
        <v>6</v>
      </c>
      <c r="U406" s="341">
        <v>2</v>
      </c>
      <c r="V406" s="341">
        <v>2</v>
      </c>
      <c r="W406" s="341">
        <v>2</v>
      </c>
      <c r="X406" s="329" t="s">
        <v>177</v>
      </c>
      <c r="Y406" s="361" t="s">
        <v>199</v>
      </c>
      <c r="Z406" s="329" t="s">
        <v>8</v>
      </c>
      <c r="AA406" s="329"/>
      <c r="AB406" s="345"/>
      <c r="AC406" s="339"/>
    </row>
    <row r="407" spans="1:29" hidden="1">
      <c r="A407" s="329"/>
      <c r="B407" s="334" t="s">
        <v>900</v>
      </c>
      <c r="C407" s="341">
        <v>12</v>
      </c>
      <c r="D407" s="341" t="s">
        <v>103</v>
      </c>
      <c r="E407" s="341">
        <v>380</v>
      </c>
      <c r="F407" s="347">
        <v>4560</v>
      </c>
      <c r="G407" s="341" t="s">
        <v>342</v>
      </c>
      <c r="H407" s="341">
        <v>3</v>
      </c>
      <c r="I407" s="341">
        <v>1</v>
      </c>
      <c r="J407" s="341">
        <v>1</v>
      </c>
      <c r="K407" s="341">
        <v>1</v>
      </c>
      <c r="L407" s="341">
        <v>3</v>
      </c>
      <c r="M407" s="341">
        <v>1</v>
      </c>
      <c r="N407" s="341">
        <v>1</v>
      </c>
      <c r="O407" s="341">
        <v>1</v>
      </c>
      <c r="P407" s="341">
        <v>3</v>
      </c>
      <c r="Q407" s="341">
        <v>1</v>
      </c>
      <c r="R407" s="341">
        <v>1</v>
      </c>
      <c r="S407" s="341">
        <v>1</v>
      </c>
      <c r="T407" s="341">
        <v>3</v>
      </c>
      <c r="U407" s="341">
        <v>1</v>
      </c>
      <c r="V407" s="341">
        <v>1</v>
      </c>
      <c r="W407" s="341">
        <v>1</v>
      </c>
      <c r="X407" s="329" t="s">
        <v>177</v>
      </c>
      <c r="Y407" s="361" t="s">
        <v>209</v>
      </c>
      <c r="Z407" s="329" t="s">
        <v>8</v>
      </c>
      <c r="AA407" s="329"/>
      <c r="AB407" s="345"/>
      <c r="AC407" s="339"/>
    </row>
    <row r="408" spans="1:29" ht="31.5" hidden="1">
      <c r="A408" s="329"/>
      <c r="B408" s="334" t="s">
        <v>899</v>
      </c>
      <c r="C408" s="341">
        <v>12</v>
      </c>
      <c r="D408" s="341" t="s">
        <v>103</v>
      </c>
      <c r="E408" s="341">
        <v>380</v>
      </c>
      <c r="F408" s="347">
        <v>4560</v>
      </c>
      <c r="G408" s="341" t="s">
        <v>342</v>
      </c>
      <c r="H408" s="341">
        <v>3</v>
      </c>
      <c r="I408" s="341">
        <v>1</v>
      </c>
      <c r="J408" s="341">
        <v>1</v>
      </c>
      <c r="K408" s="341">
        <v>1</v>
      </c>
      <c r="L408" s="341">
        <v>3</v>
      </c>
      <c r="M408" s="341">
        <v>1</v>
      </c>
      <c r="N408" s="341">
        <v>1</v>
      </c>
      <c r="O408" s="341">
        <v>1</v>
      </c>
      <c r="P408" s="341">
        <v>3</v>
      </c>
      <c r="Q408" s="341">
        <v>1</v>
      </c>
      <c r="R408" s="341">
        <v>1</v>
      </c>
      <c r="S408" s="341">
        <v>1</v>
      </c>
      <c r="T408" s="341">
        <v>3</v>
      </c>
      <c r="U408" s="341">
        <v>1</v>
      </c>
      <c r="V408" s="341">
        <v>1</v>
      </c>
      <c r="W408" s="341">
        <v>1</v>
      </c>
      <c r="X408" s="329" t="s">
        <v>177</v>
      </c>
      <c r="Y408" s="361" t="s">
        <v>210</v>
      </c>
      <c r="Z408" s="329" t="s">
        <v>8</v>
      </c>
      <c r="AA408" s="329"/>
      <c r="AB408" s="345"/>
      <c r="AC408" s="339"/>
    </row>
    <row r="409" spans="1:29" hidden="1">
      <c r="A409" s="329"/>
      <c r="B409" s="334" t="s">
        <v>898</v>
      </c>
      <c r="C409" s="341">
        <v>12</v>
      </c>
      <c r="D409" s="341" t="s">
        <v>103</v>
      </c>
      <c r="E409" s="341">
        <v>380</v>
      </c>
      <c r="F409" s="347">
        <v>4560</v>
      </c>
      <c r="G409" s="341" t="s">
        <v>342</v>
      </c>
      <c r="H409" s="341">
        <v>3</v>
      </c>
      <c r="I409" s="341">
        <v>1</v>
      </c>
      <c r="J409" s="341">
        <v>1</v>
      </c>
      <c r="K409" s="341">
        <v>1</v>
      </c>
      <c r="L409" s="341">
        <v>3</v>
      </c>
      <c r="M409" s="341">
        <v>1</v>
      </c>
      <c r="N409" s="341">
        <v>1</v>
      </c>
      <c r="O409" s="341">
        <v>1</v>
      </c>
      <c r="P409" s="341">
        <v>3</v>
      </c>
      <c r="Q409" s="341">
        <v>1</v>
      </c>
      <c r="R409" s="341">
        <v>1</v>
      </c>
      <c r="S409" s="341">
        <v>1</v>
      </c>
      <c r="T409" s="341">
        <v>3</v>
      </c>
      <c r="U409" s="341">
        <v>1</v>
      </c>
      <c r="V409" s="341">
        <v>1</v>
      </c>
      <c r="W409" s="341">
        <v>1</v>
      </c>
      <c r="X409" s="329" t="s">
        <v>177</v>
      </c>
      <c r="Y409" s="361" t="s">
        <v>211</v>
      </c>
      <c r="Z409" s="329" t="s">
        <v>8</v>
      </c>
      <c r="AA409" s="329"/>
      <c r="AB409" s="345"/>
      <c r="AC409" s="339"/>
    </row>
    <row r="410" spans="1:29" hidden="1">
      <c r="A410" s="329"/>
      <c r="B410" s="338" t="s">
        <v>3056</v>
      </c>
      <c r="C410" s="340">
        <v>1</v>
      </c>
      <c r="D410" s="377" t="s">
        <v>103</v>
      </c>
      <c r="E410" s="347">
        <v>1886</v>
      </c>
      <c r="F410" s="342">
        <v>1886</v>
      </c>
      <c r="G410" s="343" t="s">
        <v>342</v>
      </c>
      <c r="H410" s="343">
        <v>1</v>
      </c>
      <c r="I410" s="340">
        <v>1</v>
      </c>
      <c r="J410" s="344"/>
      <c r="K410" s="344"/>
      <c r="L410" s="337"/>
      <c r="M410" s="340"/>
      <c r="N410" s="344"/>
      <c r="O410" s="344"/>
      <c r="P410" s="337"/>
      <c r="Q410" s="340"/>
      <c r="R410" s="344"/>
      <c r="S410" s="344"/>
      <c r="T410" s="337"/>
      <c r="U410" s="343"/>
      <c r="V410" s="343"/>
      <c r="W410" s="343"/>
      <c r="X410" s="329" t="s">
        <v>236</v>
      </c>
      <c r="Y410" s="330"/>
      <c r="Z410" s="329" t="s">
        <v>2946</v>
      </c>
      <c r="AA410" s="329"/>
      <c r="AB410" s="345"/>
      <c r="AC410" s="339"/>
    </row>
    <row r="411" spans="1:29" hidden="1">
      <c r="A411" s="329"/>
      <c r="B411" s="334" t="s">
        <v>234</v>
      </c>
      <c r="C411" s="340">
        <v>2</v>
      </c>
      <c r="D411" s="335" t="s">
        <v>103</v>
      </c>
      <c r="E411" s="341">
        <v>480</v>
      </c>
      <c r="F411" s="341">
        <v>960</v>
      </c>
      <c r="G411" s="341" t="s">
        <v>342</v>
      </c>
      <c r="H411" s="341">
        <v>1</v>
      </c>
      <c r="I411" s="340">
        <v>1</v>
      </c>
      <c r="J411" s="344"/>
      <c r="K411" s="344"/>
      <c r="L411" s="335">
        <v>0</v>
      </c>
      <c r="M411" s="340"/>
      <c r="N411" s="344"/>
      <c r="O411" s="344"/>
      <c r="P411" s="335">
        <v>1</v>
      </c>
      <c r="Q411" s="340">
        <v>1</v>
      </c>
      <c r="R411" s="344"/>
      <c r="S411" s="344"/>
      <c r="T411" s="335">
        <v>0</v>
      </c>
      <c r="U411" s="341"/>
      <c r="V411" s="341"/>
      <c r="W411" s="341"/>
      <c r="X411" s="329" t="s">
        <v>236</v>
      </c>
      <c r="Y411" s="336" t="str">
        <f>DB!$D$168</f>
        <v>Keyboard, Full Size, USB 2.0</v>
      </c>
      <c r="Z411" s="329" t="s">
        <v>2946</v>
      </c>
      <c r="AA411" s="329"/>
      <c r="AB411" s="345"/>
      <c r="AC411" s="339"/>
    </row>
    <row r="412" spans="1:29" hidden="1">
      <c r="A412" s="329"/>
      <c r="B412" s="334" t="s">
        <v>239</v>
      </c>
      <c r="C412" s="340">
        <v>2</v>
      </c>
      <c r="D412" s="335" t="s">
        <v>103</v>
      </c>
      <c r="E412" s="341">
        <v>380</v>
      </c>
      <c r="F412" s="341">
        <v>760</v>
      </c>
      <c r="G412" s="341" t="s">
        <v>342</v>
      </c>
      <c r="H412" s="341">
        <v>1</v>
      </c>
      <c r="I412" s="340">
        <v>1</v>
      </c>
      <c r="J412" s="344"/>
      <c r="K412" s="344"/>
      <c r="L412" s="335">
        <v>0</v>
      </c>
      <c r="M412" s="340"/>
      <c r="N412" s="344"/>
      <c r="O412" s="344"/>
      <c r="P412" s="335">
        <v>1</v>
      </c>
      <c r="Q412" s="340">
        <v>1</v>
      </c>
      <c r="R412" s="344"/>
      <c r="S412" s="344"/>
      <c r="T412" s="335">
        <v>0</v>
      </c>
      <c r="U412" s="341"/>
      <c r="V412" s="341"/>
      <c r="W412" s="341"/>
      <c r="X412" s="329" t="s">
        <v>236</v>
      </c>
      <c r="Y412" s="346" t="str">
        <f>DB!$D$169</f>
        <v>Mouse, Optical, USB 2.0</v>
      </c>
      <c r="Z412" s="329" t="s">
        <v>2946</v>
      </c>
      <c r="AA412" s="329"/>
      <c r="AB412" s="345"/>
      <c r="AC412" s="339"/>
    </row>
    <row r="413" spans="1:29" hidden="1">
      <c r="A413" s="329"/>
      <c r="B413" s="334" t="s">
        <v>493</v>
      </c>
      <c r="C413" s="340">
        <v>1</v>
      </c>
      <c r="D413" s="335" t="s">
        <v>466</v>
      </c>
      <c r="E413" s="347">
        <v>10000</v>
      </c>
      <c r="F413" s="347">
        <v>10000</v>
      </c>
      <c r="G413" s="341" t="s">
        <v>342</v>
      </c>
      <c r="H413" s="341">
        <v>1</v>
      </c>
      <c r="I413" s="340">
        <v>1</v>
      </c>
      <c r="J413" s="344"/>
      <c r="K413" s="344"/>
      <c r="L413" s="335">
        <v>0</v>
      </c>
      <c r="M413" s="340"/>
      <c r="N413" s="344"/>
      <c r="O413" s="344"/>
      <c r="P413" s="335">
        <v>0</v>
      </c>
      <c r="Q413" s="340"/>
      <c r="R413" s="344"/>
      <c r="S413" s="344"/>
      <c r="T413" s="335">
        <v>0</v>
      </c>
      <c r="U413" s="341"/>
      <c r="V413" s="341"/>
      <c r="W413" s="341"/>
      <c r="X413" s="329" t="s">
        <v>236</v>
      </c>
      <c r="Y413" s="330"/>
      <c r="Z413" s="329" t="s">
        <v>2962</v>
      </c>
      <c r="AA413" s="329"/>
      <c r="AB413" s="345"/>
      <c r="AC413" s="339"/>
    </row>
    <row r="414" spans="1:29" ht="31.5" hidden="1">
      <c r="A414" s="329"/>
      <c r="B414" s="334" t="s">
        <v>623</v>
      </c>
      <c r="C414" s="340">
        <v>1</v>
      </c>
      <c r="D414" s="335" t="s">
        <v>103</v>
      </c>
      <c r="E414" s="347">
        <v>3000</v>
      </c>
      <c r="F414" s="347">
        <v>3000</v>
      </c>
      <c r="G414" s="341" t="s">
        <v>342</v>
      </c>
      <c r="H414" s="341">
        <v>1</v>
      </c>
      <c r="I414" s="340">
        <v>1</v>
      </c>
      <c r="J414" s="344"/>
      <c r="K414" s="344"/>
      <c r="L414" s="335">
        <v>0</v>
      </c>
      <c r="M414" s="340"/>
      <c r="N414" s="344"/>
      <c r="O414" s="344"/>
      <c r="P414" s="335">
        <v>0</v>
      </c>
      <c r="Q414" s="340"/>
      <c r="R414" s="344"/>
      <c r="S414" s="344"/>
      <c r="T414" s="335">
        <v>0</v>
      </c>
      <c r="U414" s="341"/>
      <c r="V414" s="341"/>
      <c r="W414" s="341"/>
      <c r="X414" s="329" t="s">
        <v>236</v>
      </c>
      <c r="Y414" s="330" t="str">
        <f>DB!$D$73</f>
        <v>Webcam Professional Full HD</v>
      </c>
      <c r="Z414" s="329" t="s">
        <v>8</v>
      </c>
      <c r="AA414" s="329"/>
      <c r="AB414" s="345"/>
      <c r="AC414" s="339"/>
    </row>
    <row r="415" spans="1:29" hidden="1">
      <c r="A415" s="329"/>
      <c r="B415" s="338" t="s">
        <v>3057</v>
      </c>
      <c r="C415" s="343">
        <v>12</v>
      </c>
      <c r="D415" s="343" t="s">
        <v>103</v>
      </c>
      <c r="E415" s="343">
        <v>320</v>
      </c>
      <c r="F415" s="348">
        <v>3840</v>
      </c>
      <c r="G415" s="341" t="s">
        <v>342</v>
      </c>
      <c r="H415" s="343">
        <v>3</v>
      </c>
      <c r="I415" s="343">
        <v>1</v>
      </c>
      <c r="J415" s="343">
        <v>1</v>
      </c>
      <c r="K415" s="343">
        <v>1</v>
      </c>
      <c r="L415" s="343">
        <v>3</v>
      </c>
      <c r="M415" s="343">
        <v>1</v>
      </c>
      <c r="N415" s="343">
        <v>1</v>
      </c>
      <c r="O415" s="343">
        <v>1</v>
      </c>
      <c r="P415" s="343">
        <v>3</v>
      </c>
      <c r="Q415" s="343">
        <v>1</v>
      </c>
      <c r="R415" s="343">
        <v>1</v>
      </c>
      <c r="S415" s="343">
        <v>1</v>
      </c>
      <c r="T415" s="343">
        <v>3</v>
      </c>
      <c r="U415" s="343">
        <v>1</v>
      </c>
      <c r="V415" s="343">
        <v>1</v>
      </c>
      <c r="W415" s="335">
        <v>1</v>
      </c>
      <c r="X415" s="329" t="s">
        <v>236</v>
      </c>
      <c r="Y415" s="330" t="str">
        <f>DB!$D$102</f>
        <v>Epson Genuine Ink T6641 Black</v>
      </c>
      <c r="Z415" s="329" t="s">
        <v>8</v>
      </c>
      <c r="AA415" s="329"/>
      <c r="AB415" s="345"/>
      <c r="AC415" s="339"/>
    </row>
    <row r="416" spans="1:29" hidden="1">
      <c r="A416" s="329"/>
      <c r="B416" s="334" t="s">
        <v>3058</v>
      </c>
      <c r="C416" s="341">
        <v>12</v>
      </c>
      <c r="D416" s="341" t="s">
        <v>103</v>
      </c>
      <c r="E416" s="341">
        <v>300</v>
      </c>
      <c r="F416" s="348">
        <v>3600</v>
      </c>
      <c r="G416" s="341" t="s">
        <v>342</v>
      </c>
      <c r="H416" s="341">
        <v>3</v>
      </c>
      <c r="I416" s="341">
        <v>1</v>
      </c>
      <c r="J416" s="341">
        <v>1</v>
      </c>
      <c r="K416" s="341">
        <v>1</v>
      </c>
      <c r="L416" s="341">
        <v>3</v>
      </c>
      <c r="M416" s="341">
        <v>1</v>
      </c>
      <c r="N416" s="341">
        <v>1</v>
      </c>
      <c r="O416" s="341">
        <v>1</v>
      </c>
      <c r="P416" s="341">
        <v>3</v>
      </c>
      <c r="Q416" s="341">
        <v>1</v>
      </c>
      <c r="R416" s="341">
        <v>1</v>
      </c>
      <c r="S416" s="341">
        <v>1</v>
      </c>
      <c r="T416" s="341">
        <v>3</v>
      </c>
      <c r="U416" s="341">
        <v>1</v>
      </c>
      <c r="V416" s="341">
        <v>1</v>
      </c>
      <c r="W416" s="343">
        <v>1</v>
      </c>
      <c r="X416" s="329" t="s">
        <v>236</v>
      </c>
      <c r="Y416" s="330" t="str">
        <f>DB!$D$103</f>
        <v>Epson Genuine Ink T6642 Cyan</v>
      </c>
      <c r="Z416" s="351" t="s">
        <v>8</v>
      </c>
      <c r="AA416" s="329"/>
      <c r="AB416" s="345"/>
      <c r="AC416" s="339"/>
    </row>
    <row r="417" spans="1:29" ht="31.5" hidden="1">
      <c r="A417" s="329"/>
      <c r="B417" s="334" t="s">
        <v>3059</v>
      </c>
      <c r="C417" s="341">
        <v>12</v>
      </c>
      <c r="D417" s="341" t="s">
        <v>103</v>
      </c>
      <c r="E417" s="341">
        <v>300</v>
      </c>
      <c r="F417" s="348">
        <v>3600</v>
      </c>
      <c r="G417" s="341" t="s">
        <v>342</v>
      </c>
      <c r="H417" s="341">
        <v>3</v>
      </c>
      <c r="I417" s="341">
        <v>1</v>
      </c>
      <c r="J417" s="341">
        <v>1</v>
      </c>
      <c r="K417" s="341">
        <v>1</v>
      </c>
      <c r="L417" s="341">
        <v>3</v>
      </c>
      <c r="M417" s="341">
        <v>1</v>
      </c>
      <c r="N417" s="341">
        <v>1</v>
      </c>
      <c r="O417" s="341">
        <v>1</v>
      </c>
      <c r="P417" s="341">
        <v>3</v>
      </c>
      <c r="Q417" s="341">
        <v>1</v>
      </c>
      <c r="R417" s="341">
        <v>1</v>
      </c>
      <c r="S417" s="341">
        <v>1</v>
      </c>
      <c r="T417" s="341">
        <v>3</v>
      </c>
      <c r="U417" s="341">
        <v>1</v>
      </c>
      <c r="V417" s="341">
        <v>1</v>
      </c>
      <c r="W417" s="341">
        <v>1</v>
      </c>
      <c r="X417" s="329" t="s">
        <v>236</v>
      </c>
      <c r="Y417" s="330" t="str">
        <f>DB!$D$104</f>
        <v>Epson Genuine Ink T6643 Magenta</v>
      </c>
      <c r="Z417" s="351" t="s">
        <v>8</v>
      </c>
      <c r="AA417" s="329"/>
      <c r="AB417" s="345"/>
      <c r="AC417" s="339"/>
    </row>
    <row r="418" spans="1:29" ht="31.5" hidden="1">
      <c r="A418" s="329"/>
      <c r="B418" s="334" t="s">
        <v>3060</v>
      </c>
      <c r="C418" s="341">
        <v>12</v>
      </c>
      <c r="D418" s="341" t="s">
        <v>103</v>
      </c>
      <c r="E418" s="341">
        <v>300</v>
      </c>
      <c r="F418" s="348">
        <v>3600</v>
      </c>
      <c r="G418" s="341" t="s">
        <v>342</v>
      </c>
      <c r="H418" s="341">
        <v>3</v>
      </c>
      <c r="I418" s="341">
        <v>1</v>
      </c>
      <c r="J418" s="341">
        <v>1</v>
      </c>
      <c r="K418" s="341">
        <v>1</v>
      </c>
      <c r="L418" s="341">
        <v>3</v>
      </c>
      <c r="M418" s="341">
        <v>1</v>
      </c>
      <c r="N418" s="341">
        <v>1</v>
      </c>
      <c r="O418" s="341">
        <v>1</v>
      </c>
      <c r="P418" s="341">
        <v>3</v>
      </c>
      <c r="Q418" s="341">
        <v>1</v>
      </c>
      <c r="R418" s="341">
        <v>1</v>
      </c>
      <c r="S418" s="341">
        <v>1</v>
      </c>
      <c r="T418" s="341">
        <v>3</v>
      </c>
      <c r="U418" s="341">
        <v>1</v>
      </c>
      <c r="V418" s="341">
        <v>1</v>
      </c>
      <c r="W418" s="341">
        <v>1</v>
      </c>
      <c r="X418" s="329" t="s">
        <v>236</v>
      </c>
      <c r="Y418" s="330" t="str">
        <f>DB!$D$105</f>
        <v>Epson Genuine Ink T6644 Yellow</v>
      </c>
      <c r="Z418" s="351" t="s">
        <v>8</v>
      </c>
      <c r="AA418" s="329"/>
      <c r="AB418" s="345"/>
      <c r="AC418" s="339"/>
    </row>
    <row r="419" spans="1:29" ht="31.5" hidden="1">
      <c r="A419" s="329"/>
      <c r="B419" s="334" t="s">
        <v>3061</v>
      </c>
      <c r="C419" s="341">
        <v>48</v>
      </c>
      <c r="D419" s="341" t="s">
        <v>103</v>
      </c>
      <c r="E419" s="341">
        <v>500</v>
      </c>
      <c r="F419" s="348">
        <v>18000</v>
      </c>
      <c r="G419" s="341" t="s">
        <v>342</v>
      </c>
      <c r="H419" s="341">
        <v>12</v>
      </c>
      <c r="I419" s="341">
        <v>4</v>
      </c>
      <c r="J419" s="341">
        <v>4</v>
      </c>
      <c r="K419" s="341">
        <v>4</v>
      </c>
      <c r="L419" s="341">
        <v>12</v>
      </c>
      <c r="M419" s="341">
        <v>4</v>
      </c>
      <c r="N419" s="341">
        <v>4</v>
      </c>
      <c r="O419" s="341">
        <v>4</v>
      </c>
      <c r="P419" s="341">
        <v>12</v>
      </c>
      <c r="Q419" s="341">
        <v>4</v>
      </c>
      <c r="R419" s="341">
        <v>4</v>
      </c>
      <c r="S419" s="341">
        <v>4</v>
      </c>
      <c r="T419" s="341">
        <v>12</v>
      </c>
      <c r="U419" s="341">
        <v>4</v>
      </c>
      <c r="V419" s="341">
        <v>4</v>
      </c>
      <c r="W419" s="337">
        <v>4</v>
      </c>
      <c r="X419" s="329" t="s">
        <v>236</v>
      </c>
      <c r="Y419" s="330"/>
      <c r="Z419" s="329" t="s">
        <v>3030</v>
      </c>
      <c r="AA419" s="329"/>
      <c r="AB419" s="345"/>
      <c r="AC419" s="339"/>
    </row>
    <row r="420" spans="1:29" hidden="1">
      <c r="A420" s="329"/>
      <c r="B420" s="338" t="s">
        <v>234</v>
      </c>
      <c r="C420" s="340">
        <v>2</v>
      </c>
      <c r="D420" s="335" t="s">
        <v>103</v>
      </c>
      <c r="E420" s="337">
        <v>380</v>
      </c>
      <c r="F420" s="337">
        <v>760</v>
      </c>
      <c r="G420" s="409" t="s">
        <v>3038</v>
      </c>
      <c r="H420" s="337">
        <v>1</v>
      </c>
      <c r="I420" s="340">
        <v>1</v>
      </c>
      <c r="J420" s="344"/>
      <c r="K420" s="344"/>
      <c r="L420" s="337">
        <v>0</v>
      </c>
      <c r="M420" s="340"/>
      <c r="N420" s="344"/>
      <c r="O420" s="344"/>
      <c r="P420" s="337">
        <v>1</v>
      </c>
      <c r="Q420" s="340">
        <v>1</v>
      </c>
      <c r="R420" s="344"/>
      <c r="S420" s="344"/>
      <c r="T420" s="337">
        <v>0</v>
      </c>
      <c r="U420" s="343"/>
      <c r="V420" s="343"/>
      <c r="W420" s="343"/>
      <c r="X420" s="329" t="s">
        <v>3062</v>
      </c>
      <c r="Y420" s="336" t="str">
        <f>DB!$D$168</f>
        <v>Keyboard, Full Size, USB 2.0</v>
      </c>
      <c r="Z420" s="329" t="s">
        <v>2946</v>
      </c>
      <c r="AA420" s="329"/>
      <c r="AB420" s="345"/>
      <c r="AC420" s="339"/>
    </row>
    <row r="421" spans="1:29" hidden="1">
      <c r="A421" s="329"/>
      <c r="B421" s="334" t="s">
        <v>239</v>
      </c>
      <c r="C421" s="340">
        <v>2</v>
      </c>
      <c r="D421" s="335" t="s">
        <v>103</v>
      </c>
      <c r="E421" s="335">
        <v>380</v>
      </c>
      <c r="F421" s="335">
        <v>760</v>
      </c>
      <c r="G421" s="407" t="s">
        <v>3038</v>
      </c>
      <c r="H421" s="335">
        <v>1</v>
      </c>
      <c r="I421" s="340">
        <v>1</v>
      </c>
      <c r="J421" s="344"/>
      <c r="K421" s="344"/>
      <c r="L421" s="335">
        <v>0</v>
      </c>
      <c r="M421" s="340"/>
      <c r="N421" s="344"/>
      <c r="O421" s="344"/>
      <c r="P421" s="335">
        <v>1</v>
      </c>
      <c r="Q421" s="340">
        <v>1</v>
      </c>
      <c r="R421" s="344"/>
      <c r="S421" s="344"/>
      <c r="T421" s="335">
        <v>0</v>
      </c>
      <c r="U421" s="341"/>
      <c r="V421" s="341"/>
      <c r="W421" s="341"/>
      <c r="X421" s="329" t="s">
        <v>3062</v>
      </c>
      <c r="Y421" s="346" t="str">
        <f>DB!$D$169</f>
        <v>Mouse, Optical, USB 2.0</v>
      </c>
      <c r="Z421" s="329" t="s">
        <v>2946</v>
      </c>
      <c r="AA421" s="329"/>
      <c r="AB421" s="345"/>
      <c r="AC421" s="339"/>
    </row>
    <row r="422" spans="1:29" hidden="1">
      <c r="A422" s="329"/>
      <c r="B422" s="334" t="s">
        <v>493</v>
      </c>
      <c r="C422" s="340">
        <v>1</v>
      </c>
      <c r="D422" s="335" t="s">
        <v>103</v>
      </c>
      <c r="E422" s="385">
        <v>8500</v>
      </c>
      <c r="F422" s="385">
        <v>8500</v>
      </c>
      <c r="G422" s="407" t="s">
        <v>3038</v>
      </c>
      <c r="H422" s="335">
        <v>1</v>
      </c>
      <c r="I422" s="340">
        <v>1</v>
      </c>
      <c r="J422" s="344"/>
      <c r="K422" s="344"/>
      <c r="L422" s="335">
        <v>0</v>
      </c>
      <c r="M422" s="340"/>
      <c r="N422" s="344"/>
      <c r="O422" s="344"/>
      <c r="P422" s="335">
        <v>0</v>
      </c>
      <c r="Q422" s="340"/>
      <c r="R422" s="344"/>
      <c r="S422" s="344"/>
      <c r="T422" s="335">
        <v>0</v>
      </c>
      <c r="U422" s="341"/>
      <c r="V422" s="341"/>
      <c r="W422" s="341"/>
      <c r="X422" s="329" t="s">
        <v>3062</v>
      </c>
      <c r="Y422" s="330"/>
      <c r="Z422" s="329" t="s">
        <v>2962</v>
      </c>
      <c r="AA422" s="329"/>
      <c r="AB422" s="345"/>
      <c r="AC422" s="339"/>
    </row>
    <row r="423" spans="1:29" hidden="1">
      <c r="A423" s="329"/>
      <c r="B423" s="334" t="s">
        <v>568</v>
      </c>
      <c r="C423" s="340">
        <v>2</v>
      </c>
      <c r="D423" s="335" t="s">
        <v>103</v>
      </c>
      <c r="E423" s="385">
        <v>3500</v>
      </c>
      <c r="F423" s="385">
        <v>7000</v>
      </c>
      <c r="G423" s="407" t="s">
        <v>3038</v>
      </c>
      <c r="H423" s="335">
        <v>1</v>
      </c>
      <c r="I423" s="340">
        <v>1</v>
      </c>
      <c r="J423" s="344"/>
      <c r="K423" s="344"/>
      <c r="L423" s="335">
        <v>0</v>
      </c>
      <c r="M423" s="340"/>
      <c r="N423" s="344"/>
      <c r="O423" s="344"/>
      <c r="P423" s="335">
        <v>1</v>
      </c>
      <c r="Q423" s="340">
        <v>1</v>
      </c>
      <c r="R423" s="344"/>
      <c r="S423" s="344"/>
      <c r="T423" s="335">
        <v>0</v>
      </c>
      <c r="U423" s="341"/>
      <c r="V423" s="341"/>
      <c r="W423" s="341"/>
      <c r="X423" s="329" t="s">
        <v>3062</v>
      </c>
      <c r="Y423" s="369" t="str">
        <f>DB!$D$6</f>
        <v>UPS 650VA, AVR, 230V</v>
      </c>
      <c r="Z423" s="329" t="s">
        <v>8</v>
      </c>
      <c r="AA423" s="329"/>
      <c r="AB423" s="345"/>
      <c r="AC423" s="339"/>
    </row>
    <row r="424" spans="1:29" hidden="1">
      <c r="A424" s="329"/>
      <c r="B424" s="338" t="s">
        <v>483</v>
      </c>
      <c r="C424" s="344">
        <v>1</v>
      </c>
      <c r="D424" s="335" t="s">
        <v>103</v>
      </c>
      <c r="E424" s="385">
        <v>2500</v>
      </c>
      <c r="F424" s="385">
        <v>2500</v>
      </c>
      <c r="G424" s="407" t="s">
        <v>3038</v>
      </c>
      <c r="H424" s="335">
        <v>1</v>
      </c>
      <c r="I424" s="340">
        <v>1</v>
      </c>
      <c r="J424" s="344"/>
      <c r="K424" s="344"/>
      <c r="L424" s="335">
        <v>0</v>
      </c>
      <c r="M424" s="340"/>
      <c r="N424" s="344"/>
      <c r="O424" s="344"/>
      <c r="P424" s="335">
        <v>0</v>
      </c>
      <c r="Q424" s="340"/>
      <c r="R424" s="344"/>
      <c r="S424" s="344"/>
      <c r="T424" s="335">
        <v>0</v>
      </c>
      <c r="U424" s="341"/>
      <c r="V424" s="341"/>
      <c r="W424" s="341"/>
      <c r="X424" s="329" t="s">
        <v>3062</v>
      </c>
      <c r="Y424" s="330"/>
      <c r="Z424" s="329" t="s">
        <v>11</v>
      </c>
      <c r="AA424" s="329"/>
      <c r="AB424" s="345"/>
      <c r="AC424" s="339"/>
    </row>
    <row r="425" spans="1:29" hidden="1">
      <c r="A425" s="329"/>
      <c r="B425" s="334" t="s">
        <v>836</v>
      </c>
      <c r="C425" s="344">
        <v>1</v>
      </c>
      <c r="D425" s="335" t="s">
        <v>466</v>
      </c>
      <c r="E425" s="385">
        <v>38100.97</v>
      </c>
      <c r="F425" s="335" t="s">
        <v>3052</v>
      </c>
      <c r="G425" s="407" t="s">
        <v>3038</v>
      </c>
      <c r="H425" s="335">
        <v>1</v>
      </c>
      <c r="I425" s="340">
        <v>1</v>
      </c>
      <c r="J425" s="344"/>
      <c r="K425" s="344"/>
      <c r="L425" s="335">
        <v>0</v>
      </c>
      <c r="M425" s="340"/>
      <c r="N425" s="344"/>
      <c r="O425" s="344"/>
      <c r="P425" s="335">
        <v>0</v>
      </c>
      <c r="Q425" s="340"/>
      <c r="R425" s="344"/>
      <c r="S425" s="344"/>
      <c r="T425" s="335">
        <v>0</v>
      </c>
      <c r="U425" s="341"/>
      <c r="V425" s="341"/>
      <c r="W425" s="341"/>
      <c r="X425" s="329" t="s">
        <v>3062</v>
      </c>
      <c r="Y425" s="330" t="str">
        <f>DB!$D$76</f>
        <v>Dot Matrix Printer 24-Pin</v>
      </c>
      <c r="Z425" s="329" t="s">
        <v>8</v>
      </c>
      <c r="AA425" s="329"/>
      <c r="AB425" s="345"/>
      <c r="AC425" s="339"/>
    </row>
    <row r="426" spans="1:29" hidden="1">
      <c r="A426" s="329"/>
      <c r="B426" s="334" t="s">
        <v>817</v>
      </c>
      <c r="C426" s="344">
        <v>1</v>
      </c>
      <c r="D426" s="335" t="s">
        <v>103</v>
      </c>
      <c r="E426" s="385">
        <v>2500</v>
      </c>
      <c r="F426" s="385">
        <v>2500</v>
      </c>
      <c r="G426" s="407" t="s">
        <v>3038</v>
      </c>
      <c r="H426" s="411">
        <v>1</v>
      </c>
      <c r="I426" s="357">
        <v>1</v>
      </c>
      <c r="J426" s="410"/>
      <c r="K426" s="344"/>
      <c r="L426" s="335">
        <v>0</v>
      </c>
      <c r="M426" s="340"/>
      <c r="N426" s="344"/>
      <c r="O426" s="344"/>
      <c r="P426" s="335">
        <v>0</v>
      </c>
      <c r="Q426" s="340"/>
      <c r="R426" s="344"/>
      <c r="S426" s="344"/>
      <c r="T426" s="335">
        <v>0</v>
      </c>
      <c r="U426" s="341"/>
      <c r="V426" s="341"/>
      <c r="W426" s="341"/>
      <c r="X426" s="329" t="s">
        <v>3062</v>
      </c>
      <c r="Y426" s="330" t="str">
        <f>DB!$D$37</f>
        <v>Single Line Telephone (Black)</v>
      </c>
      <c r="Z426" s="329" t="s">
        <v>8</v>
      </c>
      <c r="AA426" s="329"/>
      <c r="AB426" s="345"/>
      <c r="AC426" s="339"/>
    </row>
    <row r="427" spans="1:29" hidden="1">
      <c r="A427" s="329"/>
      <c r="B427" s="338" t="s">
        <v>482</v>
      </c>
      <c r="C427" s="343">
        <v>1</v>
      </c>
      <c r="D427" s="343" t="s">
        <v>103</v>
      </c>
      <c r="E427" s="342">
        <v>8500</v>
      </c>
      <c r="F427" s="342">
        <v>8500</v>
      </c>
      <c r="G427" s="407" t="s">
        <v>3038</v>
      </c>
      <c r="H427" s="343">
        <v>1</v>
      </c>
      <c r="I427" s="343">
        <v>1</v>
      </c>
      <c r="J427" s="343"/>
      <c r="K427" s="340"/>
      <c r="L427" s="335">
        <v>0</v>
      </c>
      <c r="M427" s="340"/>
      <c r="N427" s="344"/>
      <c r="O427" s="344"/>
      <c r="P427" s="335">
        <v>0</v>
      </c>
      <c r="Q427" s="340"/>
      <c r="R427" s="344"/>
      <c r="S427" s="344"/>
      <c r="T427" s="335">
        <v>0</v>
      </c>
      <c r="U427" s="341"/>
      <c r="V427" s="341"/>
      <c r="W427" s="341"/>
      <c r="X427" s="329" t="s">
        <v>3062</v>
      </c>
      <c r="Y427" s="330"/>
      <c r="Z427" s="329" t="s">
        <v>2962</v>
      </c>
      <c r="AA427" s="329"/>
      <c r="AB427" s="345"/>
      <c r="AC427" s="339"/>
    </row>
    <row r="428" spans="1:29" hidden="1">
      <c r="A428" s="329"/>
      <c r="B428" s="338" t="s">
        <v>234</v>
      </c>
      <c r="C428" s="340">
        <v>2</v>
      </c>
      <c r="D428" s="335" t="s">
        <v>103</v>
      </c>
      <c r="E428" s="337">
        <v>380</v>
      </c>
      <c r="F428" s="337">
        <v>760</v>
      </c>
      <c r="G428" s="409" t="s">
        <v>3038</v>
      </c>
      <c r="H428" s="337">
        <v>1</v>
      </c>
      <c r="I428" s="340">
        <v>1</v>
      </c>
      <c r="J428" s="344"/>
      <c r="K428" s="344"/>
      <c r="L428" s="337">
        <v>0</v>
      </c>
      <c r="M428" s="340"/>
      <c r="N428" s="344"/>
      <c r="O428" s="344"/>
      <c r="P428" s="337">
        <v>1</v>
      </c>
      <c r="Q428" s="340">
        <v>1</v>
      </c>
      <c r="R428" s="344"/>
      <c r="S428" s="344"/>
      <c r="T428" s="337">
        <v>0</v>
      </c>
      <c r="U428" s="343"/>
      <c r="V428" s="343"/>
      <c r="W428" s="343"/>
      <c r="X428" s="329" t="s">
        <v>3063</v>
      </c>
      <c r="Y428" s="336" t="str">
        <f>DB!$D$168</f>
        <v>Keyboard, Full Size, USB 2.0</v>
      </c>
      <c r="Z428" s="329" t="s">
        <v>2946</v>
      </c>
      <c r="AA428" s="329"/>
      <c r="AB428" s="345"/>
      <c r="AC428" s="339"/>
    </row>
    <row r="429" spans="1:29" hidden="1">
      <c r="A429" s="329"/>
      <c r="B429" s="334" t="s">
        <v>239</v>
      </c>
      <c r="C429" s="340">
        <v>2</v>
      </c>
      <c r="D429" s="335" t="s">
        <v>103</v>
      </c>
      <c r="E429" s="335">
        <v>380</v>
      </c>
      <c r="F429" s="335">
        <v>760</v>
      </c>
      <c r="G429" s="407" t="s">
        <v>3038</v>
      </c>
      <c r="H429" s="335">
        <v>1</v>
      </c>
      <c r="I429" s="340">
        <v>1</v>
      </c>
      <c r="J429" s="344"/>
      <c r="K429" s="344"/>
      <c r="L429" s="335">
        <v>0</v>
      </c>
      <c r="M429" s="340"/>
      <c r="N429" s="344"/>
      <c r="O429" s="344"/>
      <c r="P429" s="335">
        <v>1</v>
      </c>
      <c r="Q429" s="340">
        <v>1</v>
      </c>
      <c r="R429" s="344"/>
      <c r="S429" s="344"/>
      <c r="T429" s="335">
        <v>0</v>
      </c>
      <c r="U429" s="341"/>
      <c r="V429" s="341"/>
      <c r="W429" s="341"/>
      <c r="X429" s="329" t="s">
        <v>3063</v>
      </c>
      <c r="Y429" s="346" t="str">
        <f>DB!$D$169</f>
        <v>Mouse, Optical, USB 2.0</v>
      </c>
      <c r="Z429" s="329" t="s">
        <v>2946</v>
      </c>
      <c r="AA429" s="329"/>
      <c r="AB429" s="345"/>
      <c r="AC429" s="339"/>
    </row>
    <row r="430" spans="1:29" hidden="1">
      <c r="A430" s="329"/>
      <c r="B430" s="334" t="s">
        <v>493</v>
      </c>
      <c r="C430" s="340">
        <v>1</v>
      </c>
      <c r="D430" s="335" t="s">
        <v>103</v>
      </c>
      <c r="E430" s="385">
        <v>8500</v>
      </c>
      <c r="F430" s="385">
        <v>8500</v>
      </c>
      <c r="G430" s="407" t="s">
        <v>3038</v>
      </c>
      <c r="H430" s="335">
        <v>1</v>
      </c>
      <c r="I430" s="340">
        <v>1</v>
      </c>
      <c r="J430" s="344"/>
      <c r="K430" s="344"/>
      <c r="L430" s="335">
        <v>0</v>
      </c>
      <c r="M430" s="340"/>
      <c r="N430" s="344"/>
      <c r="O430" s="344"/>
      <c r="P430" s="335">
        <v>0</v>
      </c>
      <c r="Q430" s="340"/>
      <c r="R430" s="344"/>
      <c r="S430" s="344"/>
      <c r="T430" s="335">
        <v>0</v>
      </c>
      <c r="U430" s="341"/>
      <c r="V430" s="341"/>
      <c r="W430" s="341"/>
      <c r="X430" s="329" t="s">
        <v>3063</v>
      </c>
      <c r="Y430" s="330"/>
      <c r="Z430" s="329" t="s">
        <v>2962</v>
      </c>
      <c r="AA430" s="329"/>
      <c r="AB430" s="345"/>
      <c r="AC430" s="339"/>
    </row>
    <row r="431" spans="1:29" hidden="1">
      <c r="A431" s="329"/>
      <c r="B431" s="334" t="s">
        <v>568</v>
      </c>
      <c r="C431" s="340">
        <v>2</v>
      </c>
      <c r="D431" s="335" t="s">
        <v>103</v>
      </c>
      <c r="E431" s="385">
        <v>3500</v>
      </c>
      <c r="F431" s="385">
        <v>7000</v>
      </c>
      <c r="G431" s="407" t="s">
        <v>3038</v>
      </c>
      <c r="H431" s="335">
        <v>1</v>
      </c>
      <c r="I431" s="340">
        <v>1</v>
      </c>
      <c r="J431" s="344"/>
      <c r="K431" s="344"/>
      <c r="L431" s="335">
        <v>0</v>
      </c>
      <c r="M431" s="340"/>
      <c r="N431" s="344"/>
      <c r="O431" s="344"/>
      <c r="P431" s="335">
        <v>1</v>
      </c>
      <c r="Q431" s="340">
        <v>1</v>
      </c>
      <c r="R431" s="344"/>
      <c r="S431" s="344"/>
      <c r="T431" s="335">
        <v>0</v>
      </c>
      <c r="U431" s="341"/>
      <c r="V431" s="341"/>
      <c r="W431" s="341"/>
      <c r="X431" s="329" t="s">
        <v>3063</v>
      </c>
      <c r="Y431" s="369" t="str">
        <f>DB!$D$6</f>
        <v>UPS 650VA, AVR, 230V</v>
      </c>
      <c r="Z431" s="329" t="s">
        <v>8</v>
      </c>
      <c r="AA431" s="329"/>
      <c r="AB431" s="345"/>
      <c r="AC431" s="339"/>
    </row>
    <row r="432" spans="1:29" hidden="1">
      <c r="A432" s="329"/>
      <c r="B432" s="338" t="s">
        <v>483</v>
      </c>
      <c r="C432" s="344">
        <v>1</v>
      </c>
      <c r="D432" s="335" t="s">
        <v>103</v>
      </c>
      <c r="E432" s="385">
        <v>2500</v>
      </c>
      <c r="F432" s="385">
        <v>2500</v>
      </c>
      <c r="G432" s="407" t="s">
        <v>3038</v>
      </c>
      <c r="H432" s="335">
        <v>1</v>
      </c>
      <c r="I432" s="340">
        <v>1</v>
      </c>
      <c r="J432" s="344"/>
      <c r="K432" s="344"/>
      <c r="L432" s="335">
        <v>0</v>
      </c>
      <c r="M432" s="340"/>
      <c r="N432" s="344"/>
      <c r="O432" s="344"/>
      <c r="P432" s="335">
        <v>0</v>
      </c>
      <c r="Q432" s="340"/>
      <c r="R432" s="344"/>
      <c r="S432" s="344"/>
      <c r="T432" s="335">
        <v>0</v>
      </c>
      <c r="U432" s="341"/>
      <c r="V432" s="341"/>
      <c r="W432" s="341"/>
      <c r="X432" s="329" t="s">
        <v>3063</v>
      </c>
      <c r="Y432" s="330"/>
      <c r="Z432" s="329" t="s">
        <v>11</v>
      </c>
      <c r="AA432" s="329"/>
      <c r="AB432" s="345"/>
      <c r="AC432" s="339"/>
    </row>
    <row r="433" spans="1:29" hidden="1">
      <c r="A433" s="329"/>
      <c r="B433" s="334" t="s">
        <v>909</v>
      </c>
      <c r="C433" s="344">
        <v>1</v>
      </c>
      <c r="D433" s="335" t="s">
        <v>466</v>
      </c>
      <c r="E433" s="385">
        <v>38100.97</v>
      </c>
      <c r="F433" s="335" t="s">
        <v>3052</v>
      </c>
      <c r="G433" s="407" t="s">
        <v>3038</v>
      </c>
      <c r="H433" s="335">
        <v>1</v>
      </c>
      <c r="I433" s="340">
        <v>1</v>
      </c>
      <c r="J433" s="344"/>
      <c r="K433" s="344"/>
      <c r="L433" s="335">
        <v>0</v>
      </c>
      <c r="M433" s="340"/>
      <c r="N433" s="344"/>
      <c r="O433" s="344"/>
      <c r="P433" s="335">
        <v>0</v>
      </c>
      <c r="Q433" s="340"/>
      <c r="R433" s="344"/>
      <c r="S433" s="344"/>
      <c r="T433" s="335">
        <v>0</v>
      </c>
      <c r="U433" s="341"/>
      <c r="V433" s="341"/>
      <c r="W433" s="341"/>
      <c r="X433" s="329" t="s">
        <v>3063</v>
      </c>
      <c r="Y433" s="330"/>
      <c r="Z433" s="329" t="s">
        <v>2962</v>
      </c>
      <c r="AA433" s="329"/>
      <c r="AB433" s="345"/>
      <c r="AC433" s="339"/>
    </row>
    <row r="434" spans="1:29" hidden="1">
      <c r="A434" s="329"/>
      <c r="B434" s="334" t="s">
        <v>817</v>
      </c>
      <c r="C434" s="344">
        <v>1</v>
      </c>
      <c r="D434" s="335" t="s">
        <v>103</v>
      </c>
      <c r="E434" s="385">
        <v>2500</v>
      </c>
      <c r="F434" s="385">
        <v>2500</v>
      </c>
      <c r="G434" s="407" t="s">
        <v>3038</v>
      </c>
      <c r="H434" s="411">
        <v>1</v>
      </c>
      <c r="I434" s="357">
        <v>1</v>
      </c>
      <c r="J434" s="410"/>
      <c r="K434" s="344"/>
      <c r="L434" s="335">
        <v>0</v>
      </c>
      <c r="M434" s="340"/>
      <c r="N434" s="344"/>
      <c r="O434" s="344"/>
      <c r="P434" s="335">
        <v>0</v>
      </c>
      <c r="Q434" s="340"/>
      <c r="R434" s="344"/>
      <c r="S434" s="344"/>
      <c r="T434" s="335">
        <v>0</v>
      </c>
      <c r="U434" s="341"/>
      <c r="V434" s="341"/>
      <c r="W434" s="341"/>
      <c r="X434" s="329" t="s">
        <v>3063</v>
      </c>
      <c r="Y434" s="330" t="str">
        <f>DB!$D$37</f>
        <v>Single Line Telephone (Black)</v>
      </c>
      <c r="Z434" s="329" t="s">
        <v>8</v>
      </c>
      <c r="AA434" s="329"/>
      <c r="AB434" s="345"/>
      <c r="AC434" s="339"/>
    </row>
    <row r="435" spans="1:29" hidden="1">
      <c r="A435" s="329"/>
      <c r="B435" s="338" t="s">
        <v>482</v>
      </c>
      <c r="C435" s="343">
        <v>1</v>
      </c>
      <c r="D435" s="343" t="s">
        <v>103</v>
      </c>
      <c r="E435" s="342">
        <v>8500</v>
      </c>
      <c r="F435" s="342">
        <v>8500</v>
      </c>
      <c r="G435" s="407" t="s">
        <v>3038</v>
      </c>
      <c r="H435" s="343">
        <v>1</v>
      </c>
      <c r="I435" s="343">
        <v>1</v>
      </c>
      <c r="J435" s="343"/>
      <c r="K435" s="340"/>
      <c r="L435" s="335">
        <v>0</v>
      </c>
      <c r="M435" s="340"/>
      <c r="N435" s="344"/>
      <c r="O435" s="344"/>
      <c r="P435" s="335">
        <v>0</v>
      </c>
      <c r="Q435" s="340"/>
      <c r="R435" s="344"/>
      <c r="S435" s="344"/>
      <c r="T435" s="335">
        <v>0</v>
      </c>
      <c r="U435" s="341"/>
      <c r="V435" s="341"/>
      <c r="W435" s="341"/>
      <c r="X435" s="329" t="s">
        <v>3063</v>
      </c>
      <c r="Y435" s="330"/>
      <c r="Z435" s="329" t="s">
        <v>2962</v>
      </c>
      <c r="AA435" s="329"/>
      <c r="AB435" s="345"/>
      <c r="AC435" s="339"/>
    </row>
    <row r="436" spans="1:29" hidden="1">
      <c r="A436" s="329"/>
      <c r="B436" s="338" t="s">
        <v>3064</v>
      </c>
      <c r="C436" s="375">
        <v>35</v>
      </c>
      <c r="D436" s="343" t="s">
        <v>103</v>
      </c>
      <c r="E436" s="335"/>
      <c r="F436" s="343"/>
      <c r="G436" s="343"/>
      <c r="H436" s="335">
        <v>9</v>
      </c>
      <c r="I436" s="340"/>
      <c r="J436" s="344"/>
      <c r="K436" s="344"/>
      <c r="L436" s="337">
        <v>8</v>
      </c>
      <c r="M436" s="344"/>
      <c r="N436" s="344"/>
      <c r="O436" s="344"/>
      <c r="P436" s="337">
        <v>9</v>
      </c>
      <c r="Q436" s="344"/>
      <c r="R436" s="344"/>
      <c r="S436" s="344"/>
      <c r="T436" s="337">
        <v>9</v>
      </c>
      <c r="U436" s="335"/>
      <c r="V436" s="341"/>
      <c r="W436" s="341"/>
      <c r="X436" s="329" t="s">
        <v>3063</v>
      </c>
      <c r="Y436" s="330" t="str">
        <f>DB!$D$102</f>
        <v>Epson Genuine Ink T6641 Black</v>
      </c>
      <c r="Z436" s="329" t="s">
        <v>8</v>
      </c>
      <c r="AA436" s="329"/>
      <c r="AB436" s="345"/>
      <c r="AC436" s="339"/>
    </row>
    <row r="437" spans="1:29" hidden="1">
      <c r="A437" s="329"/>
      <c r="B437" s="334" t="s">
        <v>3065</v>
      </c>
      <c r="C437" s="377">
        <v>24</v>
      </c>
      <c r="D437" s="341" t="s">
        <v>103</v>
      </c>
      <c r="E437" s="335"/>
      <c r="F437" s="341"/>
      <c r="G437" s="341"/>
      <c r="H437" s="335">
        <v>6</v>
      </c>
      <c r="I437" s="340"/>
      <c r="J437" s="344"/>
      <c r="K437" s="344"/>
      <c r="L437" s="335">
        <v>6</v>
      </c>
      <c r="M437" s="344"/>
      <c r="N437" s="344"/>
      <c r="O437" s="344"/>
      <c r="P437" s="335">
        <v>6</v>
      </c>
      <c r="Q437" s="344"/>
      <c r="R437" s="344"/>
      <c r="S437" s="344"/>
      <c r="T437" s="335">
        <v>6</v>
      </c>
      <c r="U437" s="335"/>
      <c r="V437" s="341"/>
      <c r="W437" s="341"/>
      <c r="X437" s="329" t="s">
        <v>3063</v>
      </c>
      <c r="Y437" s="330" t="str">
        <f>DB!$D$103</f>
        <v>Epson Genuine Ink T6642 Cyan</v>
      </c>
      <c r="Z437" s="351" t="s">
        <v>8</v>
      </c>
      <c r="AA437" s="329"/>
      <c r="AB437" s="345"/>
      <c r="AC437" s="339"/>
    </row>
    <row r="438" spans="1:29" ht="31.5" hidden="1">
      <c r="A438" s="329"/>
      <c r="B438" s="334" t="s">
        <v>3066</v>
      </c>
      <c r="C438" s="377">
        <v>24</v>
      </c>
      <c r="D438" s="341" t="s">
        <v>103</v>
      </c>
      <c r="E438" s="335"/>
      <c r="F438" s="341"/>
      <c r="G438" s="341"/>
      <c r="H438" s="335">
        <v>6</v>
      </c>
      <c r="I438" s="340"/>
      <c r="J438" s="344"/>
      <c r="K438" s="344"/>
      <c r="L438" s="335">
        <v>6</v>
      </c>
      <c r="M438" s="344"/>
      <c r="N438" s="344"/>
      <c r="O438" s="344"/>
      <c r="P438" s="335">
        <v>6</v>
      </c>
      <c r="Q438" s="344"/>
      <c r="R438" s="344"/>
      <c r="S438" s="344"/>
      <c r="T438" s="335">
        <v>6</v>
      </c>
      <c r="U438" s="335"/>
      <c r="V438" s="341"/>
      <c r="W438" s="341"/>
      <c r="X438" s="329" t="s">
        <v>3063</v>
      </c>
      <c r="Y438" s="330" t="str">
        <f>DB!$D$105</f>
        <v>Epson Genuine Ink T6644 Yellow</v>
      </c>
      <c r="Z438" s="351" t="s">
        <v>8</v>
      </c>
      <c r="AA438" s="329"/>
      <c r="AB438" s="345"/>
      <c r="AC438" s="339"/>
    </row>
    <row r="439" spans="1:29" ht="31.5" hidden="1">
      <c r="A439" s="329"/>
      <c r="B439" s="334" t="s">
        <v>3067</v>
      </c>
      <c r="C439" s="377">
        <v>24</v>
      </c>
      <c r="D439" s="341" t="s">
        <v>103</v>
      </c>
      <c r="E439" s="335"/>
      <c r="F439" s="341"/>
      <c r="G439" s="341"/>
      <c r="H439" s="335">
        <v>6</v>
      </c>
      <c r="I439" s="340"/>
      <c r="J439" s="344"/>
      <c r="K439" s="344"/>
      <c r="L439" s="335">
        <v>6</v>
      </c>
      <c r="M439" s="344"/>
      <c r="N439" s="344"/>
      <c r="O439" s="344"/>
      <c r="P439" s="335">
        <v>6</v>
      </c>
      <c r="Q439" s="344"/>
      <c r="R439" s="344"/>
      <c r="S439" s="344"/>
      <c r="T439" s="335">
        <v>6</v>
      </c>
      <c r="U439" s="335"/>
      <c r="V439" s="341"/>
      <c r="W439" s="341"/>
      <c r="X439" s="329" t="s">
        <v>3063</v>
      </c>
      <c r="Y439" s="330" t="str">
        <f>DB!$D$104</f>
        <v>Epson Genuine Ink T6643 Magenta</v>
      </c>
      <c r="Z439" s="351" t="s">
        <v>8</v>
      </c>
      <c r="AA439" s="329"/>
      <c r="AB439" s="345"/>
      <c r="AC439" s="339"/>
    </row>
    <row r="440" spans="1:29" hidden="1">
      <c r="A440" s="329"/>
      <c r="B440" s="338" t="s">
        <v>234</v>
      </c>
      <c r="C440" s="340">
        <v>2</v>
      </c>
      <c r="D440" s="335" t="s">
        <v>103</v>
      </c>
      <c r="E440" s="337">
        <v>380</v>
      </c>
      <c r="F440" s="337">
        <v>760</v>
      </c>
      <c r="G440" s="409" t="s">
        <v>3038</v>
      </c>
      <c r="H440" s="337">
        <v>1</v>
      </c>
      <c r="I440" s="340">
        <v>1</v>
      </c>
      <c r="J440" s="344"/>
      <c r="K440" s="344"/>
      <c r="L440" s="337">
        <v>0</v>
      </c>
      <c r="M440" s="340"/>
      <c r="N440" s="344"/>
      <c r="O440" s="344"/>
      <c r="P440" s="337">
        <v>1</v>
      </c>
      <c r="Q440" s="340">
        <v>1</v>
      </c>
      <c r="R440" s="344"/>
      <c r="S440" s="344"/>
      <c r="T440" s="337">
        <v>0</v>
      </c>
      <c r="U440" s="343"/>
      <c r="V440" s="343"/>
      <c r="W440" s="343"/>
      <c r="X440" s="329" t="s">
        <v>3068</v>
      </c>
      <c r="Y440" s="336" t="str">
        <f>DB!$D$168</f>
        <v>Keyboard, Full Size, USB 2.0</v>
      </c>
      <c r="Z440" s="329" t="s">
        <v>2946</v>
      </c>
      <c r="AA440" s="329"/>
      <c r="AB440" s="345"/>
      <c r="AC440" s="339"/>
    </row>
    <row r="441" spans="1:29" hidden="1">
      <c r="A441" s="329"/>
      <c r="B441" s="334" t="s">
        <v>239</v>
      </c>
      <c r="C441" s="340">
        <v>2</v>
      </c>
      <c r="D441" s="335" t="s">
        <v>103</v>
      </c>
      <c r="E441" s="335">
        <v>380</v>
      </c>
      <c r="F441" s="335">
        <v>760</v>
      </c>
      <c r="G441" s="407" t="s">
        <v>3038</v>
      </c>
      <c r="H441" s="335">
        <v>1</v>
      </c>
      <c r="I441" s="340">
        <v>1</v>
      </c>
      <c r="J441" s="344"/>
      <c r="K441" s="344"/>
      <c r="L441" s="335">
        <v>0</v>
      </c>
      <c r="M441" s="340"/>
      <c r="N441" s="344"/>
      <c r="O441" s="344"/>
      <c r="P441" s="335">
        <v>1</v>
      </c>
      <c r="Q441" s="340">
        <v>1</v>
      </c>
      <c r="R441" s="344"/>
      <c r="S441" s="344"/>
      <c r="T441" s="335">
        <v>0</v>
      </c>
      <c r="U441" s="341"/>
      <c r="V441" s="341"/>
      <c r="W441" s="341"/>
      <c r="X441" s="329" t="s">
        <v>3068</v>
      </c>
      <c r="Y441" s="346" t="str">
        <f>DB!$D$169</f>
        <v>Mouse, Optical, USB 2.0</v>
      </c>
      <c r="Z441" s="329" t="s">
        <v>2946</v>
      </c>
      <c r="AA441" s="329"/>
      <c r="AB441" s="345"/>
      <c r="AC441" s="339"/>
    </row>
    <row r="442" spans="1:29" hidden="1">
      <c r="A442" s="329"/>
      <c r="B442" s="334" t="s">
        <v>493</v>
      </c>
      <c r="C442" s="340">
        <v>2</v>
      </c>
      <c r="D442" s="335" t="s">
        <v>103</v>
      </c>
      <c r="E442" s="385">
        <v>3500</v>
      </c>
      <c r="F442" s="385">
        <v>7000</v>
      </c>
      <c r="G442" s="407" t="s">
        <v>3038</v>
      </c>
      <c r="H442" s="335">
        <v>1</v>
      </c>
      <c r="I442" s="340">
        <v>1</v>
      </c>
      <c r="J442" s="344"/>
      <c r="K442" s="344"/>
      <c r="L442" s="335">
        <v>0</v>
      </c>
      <c r="M442" s="340"/>
      <c r="N442" s="344"/>
      <c r="O442" s="344"/>
      <c r="P442" s="335">
        <v>1</v>
      </c>
      <c r="Q442" s="340">
        <v>1</v>
      </c>
      <c r="R442" s="344"/>
      <c r="S442" s="344"/>
      <c r="T442" s="335">
        <v>0</v>
      </c>
      <c r="U442" s="341"/>
      <c r="V442" s="341"/>
      <c r="W442" s="341"/>
      <c r="X442" s="329" t="s">
        <v>3068</v>
      </c>
      <c r="Y442" s="369"/>
      <c r="Z442" s="329" t="s">
        <v>2962</v>
      </c>
      <c r="AA442" s="329"/>
      <c r="AB442" s="345"/>
      <c r="AC442" s="339"/>
    </row>
    <row r="443" spans="1:29" hidden="1">
      <c r="A443" s="329"/>
      <c r="B443" s="334" t="s">
        <v>568</v>
      </c>
      <c r="C443" s="340">
        <v>5</v>
      </c>
      <c r="D443" s="335" t="s">
        <v>103</v>
      </c>
      <c r="E443" s="385">
        <v>2500</v>
      </c>
      <c r="F443" s="335" t="s">
        <v>3052</v>
      </c>
      <c r="G443" s="407" t="s">
        <v>3038</v>
      </c>
      <c r="H443" s="335">
        <v>5</v>
      </c>
      <c r="I443" s="340">
        <v>5</v>
      </c>
      <c r="J443" s="344"/>
      <c r="K443" s="344"/>
      <c r="L443" s="335">
        <v>0</v>
      </c>
      <c r="M443" s="340"/>
      <c r="N443" s="344"/>
      <c r="O443" s="344"/>
      <c r="P443" s="335">
        <v>0</v>
      </c>
      <c r="Q443" s="340"/>
      <c r="R443" s="344"/>
      <c r="S443" s="344"/>
      <c r="T443" s="335">
        <v>0</v>
      </c>
      <c r="U443" s="341"/>
      <c r="V443" s="341"/>
      <c r="W443" s="341"/>
      <c r="X443" s="329" t="s">
        <v>3068</v>
      </c>
      <c r="Y443" s="369" t="str">
        <f>DB!$D$6</f>
        <v>UPS 650VA, AVR, 230V</v>
      </c>
      <c r="Z443" s="329" t="s">
        <v>8</v>
      </c>
      <c r="AA443" s="329"/>
      <c r="AB443" s="345"/>
      <c r="AC443" s="339"/>
    </row>
    <row r="444" spans="1:29" hidden="1">
      <c r="A444" s="329"/>
      <c r="B444" s="338" t="s">
        <v>483</v>
      </c>
      <c r="C444" s="344">
        <v>1</v>
      </c>
      <c r="D444" s="335" t="s">
        <v>103</v>
      </c>
      <c r="E444" s="385">
        <v>2500</v>
      </c>
      <c r="F444" s="385">
        <v>2500</v>
      </c>
      <c r="G444" s="407" t="s">
        <v>3038</v>
      </c>
      <c r="H444" s="335">
        <v>1</v>
      </c>
      <c r="I444" s="340">
        <v>1</v>
      </c>
      <c r="J444" s="344"/>
      <c r="K444" s="344"/>
      <c r="L444" s="335">
        <v>0</v>
      </c>
      <c r="M444" s="340"/>
      <c r="N444" s="344"/>
      <c r="O444" s="344"/>
      <c r="P444" s="335">
        <v>0</v>
      </c>
      <c r="Q444" s="340"/>
      <c r="R444" s="344"/>
      <c r="S444" s="344"/>
      <c r="T444" s="335">
        <v>0</v>
      </c>
      <c r="U444" s="341"/>
      <c r="V444" s="341"/>
      <c r="W444" s="341"/>
      <c r="X444" s="329" t="s">
        <v>3068</v>
      </c>
      <c r="Y444" s="330"/>
      <c r="Z444" s="329" t="s">
        <v>11</v>
      </c>
      <c r="AA444" s="329"/>
      <c r="AB444" s="345"/>
      <c r="AC444" s="339"/>
    </row>
    <row r="445" spans="1:29" hidden="1">
      <c r="A445" s="329"/>
      <c r="B445" s="334" t="s">
        <v>836</v>
      </c>
      <c r="C445" s="344">
        <v>1</v>
      </c>
      <c r="D445" s="335" t="s">
        <v>103</v>
      </c>
      <c r="E445" s="385">
        <v>38100.97</v>
      </c>
      <c r="F445" s="335" t="s">
        <v>3052</v>
      </c>
      <c r="G445" s="407" t="s">
        <v>3038</v>
      </c>
      <c r="H445" s="335">
        <v>1</v>
      </c>
      <c r="I445" s="340">
        <v>1</v>
      </c>
      <c r="J445" s="344"/>
      <c r="K445" s="344"/>
      <c r="L445" s="335">
        <v>0</v>
      </c>
      <c r="M445" s="340"/>
      <c r="N445" s="344"/>
      <c r="O445" s="344"/>
      <c r="P445" s="335">
        <v>0</v>
      </c>
      <c r="Q445" s="340"/>
      <c r="R445" s="344"/>
      <c r="S445" s="344"/>
      <c r="T445" s="335">
        <v>0</v>
      </c>
      <c r="U445" s="341"/>
      <c r="V445" s="341"/>
      <c r="W445" s="341"/>
      <c r="X445" s="329" t="s">
        <v>3068</v>
      </c>
      <c r="Y445" s="330" t="str">
        <f>DB!$D$76</f>
        <v>Dot Matrix Printer 24-Pin</v>
      </c>
      <c r="Z445" s="329" t="s">
        <v>8</v>
      </c>
      <c r="AA445" s="329"/>
      <c r="AB445" s="345"/>
      <c r="AC445" s="339"/>
    </row>
    <row r="446" spans="1:29" hidden="1">
      <c r="A446" s="329"/>
      <c r="B446" s="334" t="s">
        <v>817</v>
      </c>
      <c r="C446" s="344">
        <v>1</v>
      </c>
      <c r="D446" s="335" t="s">
        <v>103</v>
      </c>
      <c r="E446" s="385">
        <v>2500</v>
      </c>
      <c r="F446" s="385">
        <v>2500</v>
      </c>
      <c r="G446" s="407" t="s">
        <v>3038</v>
      </c>
      <c r="H446" s="335">
        <v>1</v>
      </c>
      <c r="I446" s="340">
        <v>1</v>
      </c>
      <c r="J446" s="344"/>
      <c r="K446" s="344"/>
      <c r="L446" s="335">
        <v>0</v>
      </c>
      <c r="M446" s="340"/>
      <c r="N446" s="344"/>
      <c r="O446" s="344"/>
      <c r="P446" s="335">
        <v>0</v>
      </c>
      <c r="Q446" s="340"/>
      <c r="R446" s="344"/>
      <c r="S446" s="344"/>
      <c r="T446" s="335">
        <v>0</v>
      </c>
      <c r="U446" s="341"/>
      <c r="V446" s="341"/>
      <c r="W446" s="341"/>
      <c r="X446" s="329" t="s">
        <v>3068</v>
      </c>
      <c r="Y446" s="330" t="str">
        <f>DB!$D$37</f>
        <v>Single Line Telephone (Black)</v>
      </c>
      <c r="Z446" s="329" t="s">
        <v>8</v>
      </c>
      <c r="AA446" s="329"/>
      <c r="AB446" s="345"/>
      <c r="AC446" s="339"/>
    </row>
    <row r="447" spans="1:29" ht="31.5" hidden="1">
      <c r="A447" s="329"/>
      <c r="B447" s="334" t="s">
        <v>454</v>
      </c>
      <c r="C447" s="343">
        <v>12</v>
      </c>
      <c r="D447" s="343" t="s">
        <v>103</v>
      </c>
      <c r="E447" s="341">
        <v>140.5</v>
      </c>
      <c r="F447" s="343">
        <v>1686</v>
      </c>
      <c r="G447" s="337" t="s">
        <v>342</v>
      </c>
      <c r="H447" s="337">
        <v>3</v>
      </c>
      <c r="I447" s="343">
        <v>1</v>
      </c>
      <c r="J447" s="343">
        <v>1</v>
      </c>
      <c r="K447" s="343">
        <v>1</v>
      </c>
      <c r="L447" s="343">
        <v>3</v>
      </c>
      <c r="M447" s="343">
        <v>1</v>
      </c>
      <c r="N447" s="343">
        <v>1</v>
      </c>
      <c r="O447" s="343">
        <v>1</v>
      </c>
      <c r="P447" s="343">
        <v>3</v>
      </c>
      <c r="Q447" s="343">
        <v>1</v>
      </c>
      <c r="R447" s="343">
        <v>1</v>
      </c>
      <c r="S447" s="343">
        <v>1</v>
      </c>
      <c r="T447" s="343">
        <v>3</v>
      </c>
      <c r="U447" s="343">
        <v>1</v>
      </c>
      <c r="V447" s="343">
        <v>1</v>
      </c>
      <c r="W447" s="335">
        <v>1</v>
      </c>
      <c r="X447" s="329" t="s">
        <v>3068</v>
      </c>
      <c r="Y447" s="330" t="str">
        <f>DB!$D$177</f>
        <v>EPSON LQ310 Ribbon Cartridge (SO15634)</v>
      </c>
      <c r="Z447" s="351" t="s">
        <v>8</v>
      </c>
      <c r="AA447" s="329"/>
      <c r="AB447" s="345"/>
      <c r="AC447" s="339"/>
    </row>
    <row r="448" spans="1:29" hidden="1">
      <c r="A448" s="329"/>
      <c r="B448" s="338" t="s">
        <v>234</v>
      </c>
      <c r="C448" s="340">
        <v>2</v>
      </c>
      <c r="D448" s="335" t="s">
        <v>103</v>
      </c>
      <c r="E448" s="337">
        <v>380</v>
      </c>
      <c r="F448" s="337">
        <v>760</v>
      </c>
      <c r="G448" s="409" t="s">
        <v>3038</v>
      </c>
      <c r="H448" s="337">
        <v>1</v>
      </c>
      <c r="I448" s="340">
        <v>1</v>
      </c>
      <c r="J448" s="344"/>
      <c r="K448" s="344"/>
      <c r="L448" s="337">
        <v>0</v>
      </c>
      <c r="M448" s="340"/>
      <c r="N448" s="344"/>
      <c r="O448" s="344"/>
      <c r="P448" s="337">
        <v>1</v>
      </c>
      <c r="Q448" s="340">
        <v>1</v>
      </c>
      <c r="R448" s="344"/>
      <c r="S448" s="344"/>
      <c r="T448" s="337">
        <v>0</v>
      </c>
      <c r="U448" s="343"/>
      <c r="V448" s="343"/>
      <c r="W448" s="343"/>
      <c r="X448" s="329" t="s">
        <v>3069</v>
      </c>
      <c r="Y448" s="336" t="str">
        <f>DB!$D$168</f>
        <v>Keyboard, Full Size, USB 2.0</v>
      </c>
      <c r="Z448" s="329" t="s">
        <v>2946</v>
      </c>
      <c r="AA448" s="329"/>
      <c r="AB448" s="345"/>
      <c r="AC448" s="339"/>
    </row>
    <row r="449" spans="1:29" hidden="1">
      <c r="A449" s="329"/>
      <c r="B449" s="334" t="s">
        <v>239</v>
      </c>
      <c r="C449" s="340">
        <v>2</v>
      </c>
      <c r="D449" s="335" t="s">
        <v>103</v>
      </c>
      <c r="E449" s="335">
        <v>380</v>
      </c>
      <c r="F449" s="335">
        <v>760</v>
      </c>
      <c r="G449" s="407" t="s">
        <v>3038</v>
      </c>
      <c r="H449" s="335">
        <v>1</v>
      </c>
      <c r="I449" s="340">
        <v>1</v>
      </c>
      <c r="J449" s="344"/>
      <c r="K449" s="344"/>
      <c r="L449" s="335">
        <v>0</v>
      </c>
      <c r="M449" s="340"/>
      <c r="N449" s="344"/>
      <c r="O449" s="344"/>
      <c r="P449" s="335">
        <v>1</v>
      </c>
      <c r="Q449" s="340">
        <v>1</v>
      </c>
      <c r="R449" s="344"/>
      <c r="S449" s="344"/>
      <c r="T449" s="335">
        <v>0</v>
      </c>
      <c r="U449" s="341"/>
      <c r="V449" s="341"/>
      <c r="W449" s="341"/>
      <c r="X449" s="329" t="s">
        <v>3069</v>
      </c>
      <c r="Y449" s="346" t="str">
        <f>DB!$D$169</f>
        <v>Mouse, Optical, USB 2.0</v>
      </c>
      <c r="Z449" s="329" t="s">
        <v>2946</v>
      </c>
      <c r="AA449" s="329"/>
      <c r="AB449" s="345"/>
      <c r="AC449" s="339"/>
    </row>
    <row r="450" spans="1:29" hidden="1">
      <c r="A450" s="329"/>
      <c r="B450" s="334" t="s">
        <v>493</v>
      </c>
      <c r="C450" s="340">
        <v>1</v>
      </c>
      <c r="D450" s="335" t="s">
        <v>103</v>
      </c>
      <c r="E450" s="385">
        <v>8500</v>
      </c>
      <c r="F450" s="385">
        <v>8500</v>
      </c>
      <c r="G450" s="407" t="s">
        <v>3038</v>
      </c>
      <c r="H450" s="335">
        <v>1</v>
      </c>
      <c r="I450" s="340">
        <v>1</v>
      </c>
      <c r="J450" s="344"/>
      <c r="K450" s="344"/>
      <c r="L450" s="335">
        <v>0</v>
      </c>
      <c r="M450" s="340"/>
      <c r="N450" s="344"/>
      <c r="O450" s="344"/>
      <c r="P450" s="335">
        <v>0</v>
      </c>
      <c r="Q450" s="340"/>
      <c r="R450" s="344"/>
      <c r="S450" s="344"/>
      <c r="T450" s="335">
        <v>0</v>
      </c>
      <c r="U450" s="341"/>
      <c r="V450" s="341"/>
      <c r="W450" s="341"/>
      <c r="X450" s="329" t="s">
        <v>3069</v>
      </c>
      <c r="Y450" s="330"/>
      <c r="Z450" s="329" t="s">
        <v>2962</v>
      </c>
      <c r="AA450" s="329"/>
      <c r="AB450" s="345"/>
      <c r="AC450" s="339"/>
    </row>
    <row r="451" spans="1:29" hidden="1">
      <c r="A451" s="329"/>
      <c r="B451" s="334" t="s">
        <v>568</v>
      </c>
      <c r="C451" s="340">
        <v>2</v>
      </c>
      <c r="D451" s="335" t="s">
        <v>103</v>
      </c>
      <c r="E451" s="385">
        <v>3500</v>
      </c>
      <c r="F451" s="385">
        <v>7000</v>
      </c>
      <c r="G451" s="407" t="s">
        <v>3038</v>
      </c>
      <c r="H451" s="335">
        <v>1</v>
      </c>
      <c r="I451" s="340">
        <v>1</v>
      </c>
      <c r="J451" s="344"/>
      <c r="K451" s="344"/>
      <c r="L451" s="335">
        <v>0</v>
      </c>
      <c r="M451" s="340"/>
      <c r="N451" s="344"/>
      <c r="O451" s="344"/>
      <c r="P451" s="335">
        <v>1</v>
      </c>
      <c r="Q451" s="340">
        <v>1</v>
      </c>
      <c r="R451" s="344"/>
      <c r="S451" s="344"/>
      <c r="T451" s="335">
        <v>0</v>
      </c>
      <c r="U451" s="341"/>
      <c r="V451" s="341"/>
      <c r="W451" s="341"/>
      <c r="X451" s="329" t="s">
        <v>3069</v>
      </c>
      <c r="Y451" s="369" t="str">
        <f>DB!$D$6</f>
        <v>UPS 650VA, AVR, 230V</v>
      </c>
      <c r="Z451" s="329" t="s">
        <v>8</v>
      </c>
      <c r="AA451" s="329"/>
      <c r="AB451" s="345"/>
      <c r="AC451" s="339"/>
    </row>
    <row r="452" spans="1:29" hidden="1">
      <c r="A452" s="329"/>
      <c r="B452" s="338" t="s">
        <v>483</v>
      </c>
      <c r="C452" s="344">
        <v>1</v>
      </c>
      <c r="D452" s="335" t="s">
        <v>103</v>
      </c>
      <c r="E452" s="385">
        <v>2500</v>
      </c>
      <c r="F452" s="385">
        <v>2500</v>
      </c>
      <c r="G452" s="407" t="s">
        <v>3038</v>
      </c>
      <c r="H452" s="335">
        <v>1</v>
      </c>
      <c r="I452" s="340">
        <v>1</v>
      </c>
      <c r="J452" s="344"/>
      <c r="K452" s="344"/>
      <c r="L452" s="335">
        <v>0</v>
      </c>
      <c r="M452" s="340"/>
      <c r="N452" s="344"/>
      <c r="O452" s="344"/>
      <c r="P452" s="335">
        <v>0</v>
      </c>
      <c r="Q452" s="340"/>
      <c r="R452" s="344"/>
      <c r="S452" s="344"/>
      <c r="T452" s="335">
        <v>0</v>
      </c>
      <c r="U452" s="341"/>
      <c r="V452" s="341"/>
      <c r="W452" s="341"/>
      <c r="X452" s="329" t="s">
        <v>3069</v>
      </c>
      <c r="Y452" s="330"/>
      <c r="Z452" s="329" t="s">
        <v>11</v>
      </c>
      <c r="AA452" s="329"/>
      <c r="AB452" s="345"/>
      <c r="AC452" s="339"/>
    </row>
    <row r="453" spans="1:29" hidden="1">
      <c r="A453" s="329"/>
      <c r="B453" s="334" t="s">
        <v>836</v>
      </c>
      <c r="C453" s="344">
        <v>1</v>
      </c>
      <c r="D453" s="335" t="s">
        <v>466</v>
      </c>
      <c r="E453" s="385">
        <v>38100.97</v>
      </c>
      <c r="F453" s="385">
        <v>38100.97</v>
      </c>
      <c r="G453" s="407" t="s">
        <v>3038</v>
      </c>
      <c r="H453" s="335">
        <v>1</v>
      </c>
      <c r="I453" s="340">
        <v>1</v>
      </c>
      <c r="J453" s="344"/>
      <c r="K453" s="344"/>
      <c r="L453" s="335">
        <v>0</v>
      </c>
      <c r="M453" s="340"/>
      <c r="N453" s="344"/>
      <c r="O453" s="344"/>
      <c r="P453" s="335">
        <v>0</v>
      </c>
      <c r="Q453" s="340"/>
      <c r="R453" s="344"/>
      <c r="S453" s="344"/>
      <c r="T453" s="335">
        <v>0</v>
      </c>
      <c r="U453" s="341"/>
      <c r="V453" s="341"/>
      <c r="W453" s="341"/>
      <c r="X453" s="329" t="s">
        <v>3069</v>
      </c>
      <c r="Y453" s="330" t="str">
        <f>DB!$D$76</f>
        <v>Dot Matrix Printer 24-Pin</v>
      </c>
      <c r="Z453" s="329" t="s">
        <v>8</v>
      </c>
      <c r="AA453" s="329"/>
      <c r="AB453" s="345"/>
      <c r="AC453" s="339"/>
    </row>
    <row r="454" spans="1:29" hidden="1">
      <c r="A454" s="329"/>
      <c r="B454" s="334" t="s">
        <v>817</v>
      </c>
      <c r="C454" s="344">
        <v>1</v>
      </c>
      <c r="D454" s="335" t="s">
        <v>103</v>
      </c>
      <c r="E454" s="385">
        <v>2500</v>
      </c>
      <c r="F454" s="385">
        <v>2500</v>
      </c>
      <c r="G454" s="407" t="s">
        <v>3038</v>
      </c>
      <c r="H454" s="411">
        <v>1</v>
      </c>
      <c r="I454" s="357">
        <v>1</v>
      </c>
      <c r="J454" s="410"/>
      <c r="K454" s="344"/>
      <c r="L454" s="335">
        <v>0</v>
      </c>
      <c r="M454" s="340"/>
      <c r="N454" s="344"/>
      <c r="O454" s="344"/>
      <c r="P454" s="335">
        <v>0</v>
      </c>
      <c r="Q454" s="340"/>
      <c r="R454" s="344"/>
      <c r="S454" s="344"/>
      <c r="T454" s="335">
        <v>0</v>
      </c>
      <c r="U454" s="341"/>
      <c r="V454" s="341"/>
      <c r="W454" s="341"/>
      <c r="X454" s="329" t="s">
        <v>3069</v>
      </c>
      <c r="Y454" s="330" t="str">
        <f>DB!$D$37</f>
        <v>Single Line Telephone (Black)</v>
      </c>
      <c r="Z454" s="329" t="s">
        <v>8</v>
      </c>
      <c r="AA454" s="329"/>
      <c r="AB454" s="345"/>
      <c r="AC454" s="339"/>
    </row>
    <row r="455" spans="1:29" hidden="1">
      <c r="A455" s="329"/>
      <c r="B455" s="338" t="s">
        <v>482</v>
      </c>
      <c r="C455" s="343">
        <v>1</v>
      </c>
      <c r="D455" s="343" t="s">
        <v>103</v>
      </c>
      <c r="E455" s="342">
        <v>8500</v>
      </c>
      <c r="F455" s="342">
        <v>8500</v>
      </c>
      <c r="G455" s="407" t="s">
        <v>3038</v>
      </c>
      <c r="H455" s="343">
        <v>1</v>
      </c>
      <c r="I455" s="343">
        <v>1</v>
      </c>
      <c r="J455" s="343"/>
      <c r="K455" s="340"/>
      <c r="L455" s="335">
        <v>0</v>
      </c>
      <c r="M455" s="340"/>
      <c r="N455" s="344"/>
      <c r="O455" s="344"/>
      <c r="P455" s="335">
        <v>0</v>
      </c>
      <c r="Q455" s="340"/>
      <c r="R455" s="344"/>
      <c r="S455" s="344"/>
      <c r="T455" s="335">
        <v>0</v>
      </c>
      <c r="U455" s="341"/>
      <c r="V455" s="341"/>
      <c r="W455" s="341"/>
      <c r="X455" s="329" t="s">
        <v>3069</v>
      </c>
      <c r="Y455" s="330"/>
      <c r="Z455" s="329" t="s">
        <v>2962</v>
      </c>
      <c r="AA455" s="329"/>
      <c r="AB455" s="345"/>
      <c r="AC455" s="339"/>
    </row>
    <row r="456" spans="1:29" ht="31.5" hidden="1">
      <c r="A456" s="329"/>
      <c r="B456" s="338" t="s">
        <v>454</v>
      </c>
      <c r="C456" s="343">
        <v>36</v>
      </c>
      <c r="D456" s="343" t="s">
        <v>103</v>
      </c>
      <c r="E456" s="343">
        <v>140.5</v>
      </c>
      <c r="F456" s="343">
        <v>5058</v>
      </c>
      <c r="G456" s="337" t="s">
        <v>342</v>
      </c>
      <c r="H456" s="341">
        <v>15</v>
      </c>
      <c r="I456" s="335">
        <v>9</v>
      </c>
      <c r="J456" s="341">
        <v>3</v>
      </c>
      <c r="K456" s="343">
        <v>3</v>
      </c>
      <c r="L456" s="343">
        <v>3</v>
      </c>
      <c r="M456" s="343">
        <v>9</v>
      </c>
      <c r="N456" s="343">
        <v>3</v>
      </c>
      <c r="O456" s="343">
        <v>3</v>
      </c>
      <c r="P456" s="343">
        <v>3</v>
      </c>
      <c r="Q456" s="343">
        <v>9</v>
      </c>
      <c r="R456" s="343">
        <v>3</v>
      </c>
      <c r="S456" s="343">
        <v>3</v>
      </c>
      <c r="T456" s="343">
        <v>3</v>
      </c>
      <c r="U456" s="343">
        <v>9</v>
      </c>
      <c r="V456" s="343">
        <v>3</v>
      </c>
      <c r="W456" s="343">
        <v>3</v>
      </c>
      <c r="X456" s="329" t="s">
        <v>3069</v>
      </c>
      <c r="Y456" s="330" t="str">
        <f>DB!$D$177</f>
        <v>EPSON LQ310 Ribbon Cartridge (SO15634)</v>
      </c>
      <c r="Z456" s="351" t="s">
        <v>8</v>
      </c>
      <c r="AA456" s="329"/>
      <c r="AB456" s="345"/>
      <c r="AC456" s="339"/>
    </row>
    <row r="457" spans="1:29" hidden="1">
      <c r="A457" s="329"/>
      <c r="B457" s="334" t="s">
        <v>3041</v>
      </c>
      <c r="C457" s="344">
        <v>8</v>
      </c>
      <c r="D457" s="335" t="s">
        <v>103</v>
      </c>
      <c r="E457" s="341">
        <v>300</v>
      </c>
      <c r="F457" s="342">
        <v>2400</v>
      </c>
      <c r="G457" s="409" t="s">
        <v>3038</v>
      </c>
      <c r="H457" s="335">
        <v>2</v>
      </c>
      <c r="I457" s="340">
        <v>1</v>
      </c>
      <c r="J457" s="344"/>
      <c r="K457" s="344">
        <v>1</v>
      </c>
      <c r="L457" s="337">
        <v>2</v>
      </c>
      <c r="M457" s="340">
        <v>1</v>
      </c>
      <c r="N457" s="344"/>
      <c r="O457" s="344">
        <v>1</v>
      </c>
      <c r="P457" s="337">
        <v>2</v>
      </c>
      <c r="Q457" s="340">
        <v>1</v>
      </c>
      <c r="R457" s="344"/>
      <c r="S457" s="344">
        <v>1</v>
      </c>
      <c r="T457" s="337">
        <v>2</v>
      </c>
      <c r="U457" s="340">
        <v>1</v>
      </c>
      <c r="V457" s="344"/>
      <c r="W457" s="344">
        <v>1</v>
      </c>
      <c r="X457" s="329" t="s">
        <v>3069</v>
      </c>
      <c r="Y457" s="361" t="s">
        <v>199</v>
      </c>
      <c r="Z457" s="329" t="s">
        <v>8</v>
      </c>
      <c r="AA457" s="329"/>
      <c r="AB457" s="345"/>
      <c r="AC457" s="339"/>
    </row>
    <row r="458" spans="1:29" hidden="1">
      <c r="A458" s="329"/>
      <c r="B458" s="334" t="s">
        <v>3042</v>
      </c>
      <c r="C458" s="344">
        <v>8</v>
      </c>
      <c r="D458" s="335" t="s">
        <v>103</v>
      </c>
      <c r="E458" s="341">
        <v>300</v>
      </c>
      <c r="F458" s="347">
        <v>2400</v>
      </c>
      <c r="G458" s="407" t="s">
        <v>3038</v>
      </c>
      <c r="H458" s="335">
        <v>2</v>
      </c>
      <c r="I458" s="340">
        <v>1</v>
      </c>
      <c r="J458" s="344"/>
      <c r="K458" s="344">
        <v>1</v>
      </c>
      <c r="L458" s="335">
        <v>2</v>
      </c>
      <c r="M458" s="340">
        <v>1</v>
      </c>
      <c r="N458" s="344"/>
      <c r="O458" s="344">
        <v>1</v>
      </c>
      <c r="P458" s="335">
        <v>2</v>
      </c>
      <c r="Q458" s="340">
        <v>1</v>
      </c>
      <c r="R458" s="344"/>
      <c r="S458" s="344">
        <v>1</v>
      </c>
      <c r="T458" s="335">
        <v>2</v>
      </c>
      <c r="U458" s="340">
        <v>1</v>
      </c>
      <c r="V458" s="344"/>
      <c r="W458" s="344">
        <v>1</v>
      </c>
      <c r="X458" s="329" t="s">
        <v>3069</v>
      </c>
      <c r="Y458" s="361" t="s">
        <v>209</v>
      </c>
      <c r="Z458" s="329" t="s">
        <v>8</v>
      </c>
      <c r="AA458" s="329"/>
      <c r="AB458" s="345"/>
      <c r="AC458" s="339"/>
    </row>
    <row r="459" spans="1:29" ht="31.5" hidden="1">
      <c r="A459" s="329"/>
      <c r="B459" s="334" t="s">
        <v>3043</v>
      </c>
      <c r="C459" s="344">
        <v>8</v>
      </c>
      <c r="D459" s="335" t="s">
        <v>103</v>
      </c>
      <c r="E459" s="341">
        <v>300</v>
      </c>
      <c r="F459" s="347">
        <v>2400</v>
      </c>
      <c r="G459" s="407" t="s">
        <v>3038</v>
      </c>
      <c r="H459" s="335">
        <v>2</v>
      </c>
      <c r="I459" s="340">
        <v>1</v>
      </c>
      <c r="J459" s="344"/>
      <c r="K459" s="344">
        <v>1</v>
      </c>
      <c r="L459" s="335">
        <v>2</v>
      </c>
      <c r="M459" s="340">
        <v>1</v>
      </c>
      <c r="N459" s="344"/>
      <c r="O459" s="344">
        <v>1</v>
      </c>
      <c r="P459" s="335">
        <v>2</v>
      </c>
      <c r="Q459" s="340">
        <v>1</v>
      </c>
      <c r="R459" s="344"/>
      <c r="S459" s="344">
        <v>1</v>
      </c>
      <c r="T459" s="335">
        <v>2</v>
      </c>
      <c r="U459" s="340">
        <v>1</v>
      </c>
      <c r="V459" s="344"/>
      <c r="W459" s="344">
        <v>1</v>
      </c>
      <c r="X459" s="329" t="s">
        <v>3069</v>
      </c>
      <c r="Y459" s="361" t="s">
        <v>210</v>
      </c>
      <c r="Z459" s="329" t="s">
        <v>8</v>
      </c>
      <c r="AA459" s="329"/>
      <c r="AB459" s="345"/>
      <c r="AC459" s="339"/>
    </row>
    <row r="460" spans="1:29" hidden="1">
      <c r="A460" s="329"/>
      <c r="B460" s="334" t="s">
        <v>3044</v>
      </c>
      <c r="C460" s="344">
        <v>8</v>
      </c>
      <c r="D460" s="335" t="s">
        <v>103</v>
      </c>
      <c r="E460" s="341">
        <v>300</v>
      </c>
      <c r="F460" s="347">
        <v>2400</v>
      </c>
      <c r="G460" s="407" t="s">
        <v>3038</v>
      </c>
      <c r="H460" s="335">
        <v>2</v>
      </c>
      <c r="I460" s="340">
        <v>1</v>
      </c>
      <c r="J460" s="344"/>
      <c r="K460" s="344">
        <v>1</v>
      </c>
      <c r="L460" s="335">
        <v>2</v>
      </c>
      <c r="M460" s="340">
        <v>1</v>
      </c>
      <c r="N460" s="344"/>
      <c r="O460" s="344">
        <v>1</v>
      </c>
      <c r="P460" s="335">
        <v>2</v>
      </c>
      <c r="Q460" s="340">
        <v>1</v>
      </c>
      <c r="R460" s="344"/>
      <c r="S460" s="344">
        <v>1</v>
      </c>
      <c r="T460" s="335">
        <v>2</v>
      </c>
      <c r="U460" s="340">
        <v>1</v>
      </c>
      <c r="V460" s="344"/>
      <c r="W460" s="344">
        <v>1</v>
      </c>
      <c r="X460" s="329" t="s">
        <v>3069</v>
      </c>
      <c r="Y460" s="361" t="s">
        <v>211</v>
      </c>
      <c r="Z460" s="329" t="s">
        <v>8</v>
      </c>
      <c r="AA460" s="329"/>
      <c r="AB460" s="345"/>
      <c r="AC460" s="339"/>
    </row>
    <row r="461" spans="1:29" hidden="1">
      <c r="A461" s="329"/>
      <c r="B461" s="338" t="s">
        <v>234</v>
      </c>
      <c r="C461" s="340">
        <v>2</v>
      </c>
      <c r="D461" s="335" t="s">
        <v>103</v>
      </c>
      <c r="E461" s="337">
        <v>380</v>
      </c>
      <c r="F461" s="337">
        <v>760</v>
      </c>
      <c r="G461" s="409" t="s">
        <v>3038</v>
      </c>
      <c r="H461" s="337">
        <v>1</v>
      </c>
      <c r="I461" s="340">
        <v>1</v>
      </c>
      <c r="J461" s="344"/>
      <c r="K461" s="344"/>
      <c r="L461" s="337">
        <v>0</v>
      </c>
      <c r="M461" s="340"/>
      <c r="N461" s="344"/>
      <c r="O461" s="344"/>
      <c r="P461" s="337">
        <v>1</v>
      </c>
      <c r="Q461" s="340">
        <v>1</v>
      </c>
      <c r="R461" s="344"/>
      <c r="S461" s="344"/>
      <c r="T461" s="337">
        <v>0</v>
      </c>
      <c r="U461" s="343"/>
      <c r="V461" s="343"/>
      <c r="W461" s="343"/>
      <c r="X461" s="329" t="s">
        <v>3070</v>
      </c>
      <c r="Y461" s="336" t="str">
        <f>DB!$D$168</f>
        <v>Keyboard, Full Size, USB 2.0</v>
      </c>
      <c r="Z461" s="329" t="s">
        <v>2946</v>
      </c>
      <c r="AA461" s="329"/>
      <c r="AB461" s="345"/>
      <c r="AC461" s="339"/>
    </row>
    <row r="462" spans="1:29" hidden="1">
      <c r="A462" s="329"/>
      <c r="B462" s="334" t="s">
        <v>239</v>
      </c>
      <c r="C462" s="340">
        <v>2</v>
      </c>
      <c r="D462" s="335" t="s">
        <v>103</v>
      </c>
      <c r="E462" s="335">
        <v>380</v>
      </c>
      <c r="F462" s="335">
        <v>760</v>
      </c>
      <c r="G462" s="407" t="s">
        <v>3038</v>
      </c>
      <c r="H462" s="335">
        <v>1</v>
      </c>
      <c r="I462" s="340">
        <v>1</v>
      </c>
      <c r="J462" s="344"/>
      <c r="K462" s="344"/>
      <c r="L462" s="335">
        <v>0</v>
      </c>
      <c r="M462" s="340"/>
      <c r="N462" s="344"/>
      <c r="O462" s="344"/>
      <c r="P462" s="335">
        <v>1</v>
      </c>
      <c r="Q462" s="340">
        <v>1</v>
      </c>
      <c r="R462" s="344"/>
      <c r="S462" s="344"/>
      <c r="T462" s="335">
        <v>0</v>
      </c>
      <c r="U462" s="341"/>
      <c r="V462" s="341"/>
      <c r="W462" s="341"/>
      <c r="X462" s="329" t="s">
        <v>3070</v>
      </c>
      <c r="Y462" s="346" t="str">
        <f>DB!$D$169</f>
        <v>Mouse, Optical, USB 2.0</v>
      </c>
      <c r="Z462" s="329" t="s">
        <v>2946</v>
      </c>
      <c r="AA462" s="329"/>
      <c r="AB462" s="345"/>
      <c r="AC462" s="339"/>
    </row>
    <row r="463" spans="1:29" hidden="1">
      <c r="A463" s="329"/>
      <c r="B463" s="334" t="s">
        <v>493</v>
      </c>
      <c r="C463" s="340">
        <v>1</v>
      </c>
      <c r="D463" s="335" t="s">
        <v>103</v>
      </c>
      <c r="E463" s="385">
        <v>8500</v>
      </c>
      <c r="F463" s="385">
        <v>8500</v>
      </c>
      <c r="G463" s="407" t="s">
        <v>3038</v>
      </c>
      <c r="H463" s="335">
        <v>1</v>
      </c>
      <c r="I463" s="340">
        <v>1</v>
      </c>
      <c r="J463" s="344"/>
      <c r="K463" s="344"/>
      <c r="L463" s="335">
        <v>0</v>
      </c>
      <c r="M463" s="340"/>
      <c r="N463" s="344"/>
      <c r="O463" s="344"/>
      <c r="P463" s="335">
        <v>0</v>
      </c>
      <c r="Q463" s="340"/>
      <c r="R463" s="344"/>
      <c r="S463" s="344"/>
      <c r="T463" s="335">
        <v>0</v>
      </c>
      <c r="U463" s="341"/>
      <c r="V463" s="341"/>
      <c r="W463" s="341"/>
      <c r="X463" s="329" t="s">
        <v>3070</v>
      </c>
      <c r="Y463" s="330"/>
      <c r="Z463" s="329" t="s">
        <v>2962</v>
      </c>
      <c r="AA463" s="329"/>
      <c r="AB463" s="345"/>
      <c r="AC463" s="339"/>
    </row>
    <row r="464" spans="1:29" hidden="1">
      <c r="A464" s="329"/>
      <c r="B464" s="334" t="s">
        <v>568</v>
      </c>
      <c r="C464" s="340">
        <v>2</v>
      </c>
      <c r="D464" s="335" t="s">
        <v>103</v>
      </c>
      <c r="E464" s="385">
        <v>3500</v>
      </c>
      <c r="F464" s="385">
        <v>7000</v>
      </c>
      <c r="G464" s="407" t="s">
        <v>3038</v>
      </c>
      <c r="H464" s="335">
        <v>1</v>
      </c>
      <c r="I464" s="340">
        <v>1</v>
      </c>
      <c r="J464" s="344"/>
      <c r="K464" s="344"/>
      <c r="L464" s="335">
        <v>0</v>
      </c>
      <c r="M464" s="340"/>
      <c r="N464" s="344"/>
      <c r="O464" s="344"/>
      <c r="P464" s="335">
        <v>1</v>
      </c>
      <c r="Q464" s="340">
        <v>1</v>
      </c>
      <c r="R464" s="344"/>
      <c r="S464" s="344"/>
      <c r="T464" s="335">
        <v>0</v>
      </c>
      <c r="U464" s="341"/>
      <c r="V464" s="341"/>
      <c r="W464" s="341"/>
      <c r="X464" s="329" t="s">
        <v>3070</v>
      </c>
      <c r="Y464" s="369" t="str">
        <f>DB!$D$6</f>
        <v>UPS 650VA, AVR, 230V</v>
      </c>
      <c r="Z464" s="329" t="s">
        <v>8</v>
      </c>
      <c r="AA464" s="329"/>
      <c r="AB464" s="345"/>
      <c r="AC464" s="339"/>
    </row>
    <row r="465" spans="1:29" hidden="1">
      <c r="A465" s="329"/>
      <c r="B465" s="338" t="s">
        <v>483</v>
      </c>
      <c r="C465" s="344">
        <v>1</v>
      </c>
      <c r="D465" s="335" t="s">
        <v>103</v>
      </c>
      <c r="E465" s="385">
        <v>2500</v>
      </c>
      <c r="F465" s="385">
        <v>2500</v>
      </c>
      <c r="G465" s="407" t="s">
        <v>3038</v>
      </c>
      <c r="H465" s="335">
        <v>1</v>
      </c>
      <c r="I465" s="340">
        <v>1</v>
      </c>
      <c r="J465" s="344"/>
      <c r="K465" s="344"/>
      <c r="L465" s="335">
        <v>0</v>
      </c>
      <c r="M465" s="340"/>
      <c r="N465" s="344"/>
      <c r="O465" s="344"/>
      <c r="P465" s="335">
        <v>0</v>
      </c>
      <c r="Q465" s="340"/>
      <c r="R465" s="344"/>
      <c r="S465" s="344"/>
      <c r="T465" s="335">
        <v>0</v>
      </c>
      <c r="U465" s="341"/>
      <c r="V465" s="341"/>
      <c r="W465" s="341"/>
      <c r="X465" s="329" t="s">
        <v>3070</v>
      </c>
      <c r="Y465" s="330"/>
      <c r="Z465" s="329" t="s">
        <v>11</v>
      </c>
      <c r="AA465" s="329"/>
      <c r="AB465" s="345"/>
      <c r="AC465" s="339"/>
    </row>
    <row r="466" spans="1:29" hidden="1">
      <c r="A466" s="329"/>
      <c r="B466" s="334" t="s">
        <v>836</v>
      </c>
      <c r="C466" s="344">
        <v>1</v>
      </c>
      <c r="D466" s="335" t="s">
        <v>466</v>
      </c>
      <c r="E466" s="385">
        <v>38100.97</v>
      </c>
      <c r="F466" s="385">
        <v>38100.97</v>
      </c>
      <c r="G466" s="407" t="s">
        <v>3038</v>
      </c>
      <c r="H466" s="335">
        <v>1</v>
      </c>
      <c r="I466" s="340">
        <v>1</v>
      </c>
      <c r="J466" s="344"/>
      <c r="K466" s="344"/>
      <c r="L466" s="335">
        <v>0</v>
      </c>
      <c r="M466" s="340"/>
      <c r="N466" s="344"/>
      <c r="O466" s="344"/>
      <c r="P466" s="335">
        <v>0</v>
      </c>
      <c r="Q466" s="340"/>
      <c r="R466" s="344"/>
      <c r="S466" s="344"/>
      <c r="T466" s="335">
        <v>0</v>
      </c>
      <c r="U466" s="341"/>
      <c r="V466" s="341"/>
      <c r="W466" s="341"/>
      <c r="X466" s="329" t="s">
        <v>3070</v>
      </c>
      <c r="Y466" s="330" t="str">
        <f>DB!$D$76</f>
        <v>Dot Matrix Printer 24-Pin</v>
      </c>
      <c r="Z466" s="329" t="s">
        <v>8</v>
      </c>
      <c r="AA466" s="329"/>
      <c r="AB466" s="345"/>
      <c r="AC466" s="339"/>
    </row>
    <row r="467" spans="1:29" hidden="1">
      <c r="A467" s="329"/>
      <c r="B467" s="334" t="s">
        <v>817</v>
      </c>
      <c r="C467" s="344">
        <v>1</v>
      </c>
      <c r="D467" s="335" t="s">
        <v>103</v>
      </c>
      <c r="E467" s="385">
        <v>2500</v>
      </c>
      <c r="F467" s="385">
        <v>2500</v>
      </c>
      <c r="G467" s="407" t="s">
        <v>3038</v>
      </c>
      <c r="H467" s="411">
        <v>1</v>
      </c>
      <c r="I467" s="357">
        <v>1</v>
      </c>
      <c r="J467" s="410"/>
      <c r="K467" s="344"/>
      <c r="L467" s="335">
        <v>0</v>
      </c>
      <c r="M467" s="340"/>
      <c r="N467" s="344"/>
      <c r="O467" s="344"/>
      <c r="P467" s="335">
        <v>0</v>
      </c>
      <c r="Q467" s="340"/>
      <c r="R467" s="344"/>
      <c r="S467" s="344"/>
      <c r="T467" s="335">
        <v>0</v>
      </c>
      <c r="U467" s="341"/>
      <c r="V467" s="341"/>
      <c r="W467" s="341"/>
      <c r="X467" s="329" t="s">
        <v>3070</v>
      </c>
      <c r="Y467" s="330" t="str">
        <f>DB!$D$37</f>
        <v>Single Line Telephone (Black)</v>
      </c>
      <c r="Z467" s="329" t="s">
        <v>8</v>
      </c>
      <c r="AA467" s="329"/>
      <c r="AB467" s="345"/>
      <c r="AC467" s="339"/>
    </row>
    <row r="468" spans="1:29" hidden="1">
      <c r="A468" s="329"/>
      <c r="B468" s="338" t="s">
        <v>482</v>
      </c>
      <c r="C468" s="343">
        <v>1</v>
      </c>
      <c r="D468" s="343" t="s">
        <v>103</v>
      </c>
      <c r="E468" s="342">
        <v>8500</v>
      </c>
      <c r="F468" s="342">
        <v>8500</v>
      </c>
      <c r="G468" s="407" t="s">
        <v>3038</v>
      </c>
      <c r="H468" s="343">
        <v>1</v>
      </c>
      <c r="I468" s="343">
        <v>1</v>
      </c>
      <c r="J468" s="343"/>
      <c r="K468" s="340"/>
      <c r="L468" s="335">
        <v>0</v>
      </c>
      <c r="M468" s="340"/>
      <c r="N468" s="344"/>
      <c r="O468" s="344"/>
      <c r="P468" s="335">
        <v>0</v>
      </c>
      <c r="Q468" s="340"/>
      <c r="R468" s="344"/>
      <c r="S468" s="344"/>
      <c r="T468" s="335">
        <v>0</v>
      </c>
      <c r="U468" s="341"/>
      <c r="V468" s="341"/>
      <c r="W468" s="341"/>
      <c r="X468" s="329" t="s">
        <v>3070</v>
      </c>
      <c r="Y468" s="330"/>
      <c r="Z468" s="329" t="s">
        <v>2962</v>
      </c>
      <c r="AA468" s="329"/>
      <c r="AB468" s="345"/>
      <c r="AC468" s="339"/>
    </row>
    <row r="469" spans="1:29" ht="94.5">
      <c r="A469" s="329"/>
      <c r="B469" s="338" t="s">
        <v>3071</v>
      </c>
      <c r="C469" s="343">
        <v>1</v>
      </c>
      <c r="D469" s="343" t="s">
        <v>118</v>
      </c>
      <c r="E469" s="343">
        <v>43000</v>
      </c>
      <c r="F469" s="343">
        <v>43000</v>
      </c>
      <c r="G469" s="343" t="s">
        <v>3038</v>
      </c>
      <c r="H469" s="343">
        <v>1</v>
      </c>
      <c r="I469" s="343"/>
      <c r="J469" s="343">
        <v>1</v>
      </c>
      <c r="K469" s="343"/>
      <c r="L469" s="343"/>
      <c r="M469" s="343"/>
      <c r="N469" s="343"/>
      <c r="O469" s="343"/>
      <c r="P469" s="343"/>
      <c r="Q469" s="343"/>
      <c r="R469" s="343"/>
      <c r="S469" s="343"/>
      <c r="T469" s="343"/>
      <c r="U469" s="343"/>
      <c r="V469" s="343"/>
      <c r="W469" s="343"/>
      <c r="X469" s="329" t="s">
        <v>3072</v>
      </c>
      <c r="Y469" s="330" t="str">
        <f>DB!$D$194</f>
        <v>Branded Desktop Computer Set</v>
      </c>
      <c r="Z469" s="329" t="s">
        <v>2964</v>
      </c>
      <c r="AA469" s="329"/>
      <c r="AB469" s="345"/>
      <c r="AC469" s="339"/>
    </row>
    <row r="470" spans="1:29" ht="31.5" hidden="1">
      <c r="A470" s="329"/>
      <c r="B470" s="372" t="s">
        <v>920</v>
      </c>
      <c r="C470" s="341" t="s">
        <v>103</v>
      </c>
      <c r="D470" s="341">
        <v>2300</v>
      </c>
      <c r="E470" s="341">
        <v>1</v>
      </c>
      <c r="F470" s="341">
        <v>2300</v>
      </c>
      <c r="G470" s="341" t="s">
        <v>3038</v>
      </c>
      <c r="H470" s="341">
        <v>1</v>
      </c>
      <c r="I470" s="341"/>
      <c r="J470" s="341">
        <v>1</v>
      </c>
      <c r="K470" s="341"/>
      <c r="L470" s="341"/>
      <c r="M470" s="341"/>
      <c r="N470" s="341"/>
      <c r="O470" s="341"/>
      <c r="P470" s="341"/>
      <c r="Q470" s="341"/>
      <c r="R470" s="341"/>
      <c r="S470" s="341"/>
      <c r="T470" s="341"/>
      <c r="U470" s="341"/>
      <c r="V470" s="341"/>
      <c r="W470" s="341"/>
      <c r="X470" s="329" t="s">
        <v>3072</v>
      </c>
      <c r="Y470" s="330"/>
      <c r="Z470" s="329" t="s">
        <v>11</v>
      </c>
      <c r="AA470" s="329"/>
      <c r="AB470" s="345"/>
      <c r="AC470" s="339"/>
    </row>
    <row r="471" spans="1:29" hidden="1">
      <c r="A471" s="329"/>
      <c r="B471" s="372" t="s">
        <v>720</v>
      </c>
      <c r="C471" s="341" t="s">
        <v>103</v>
      </c>
      <c r="D471" s="341">
        <v>480</v>
      </c>
      <c r="E471" s="341"/>
      <c r="F471" s="341">
        <v>17280</v>
      </c>
      <c r="G471" s="341" t="s">
        <v>3038</v>
      </c>
      <c r="H471" s="341">
        <v>9</v>
      </c>
      <c r="I471" s="341">
        <v>3</v>
      </c>
      <c r="J471" s="341">
        <v>3</v>
      </c>
      <c r="K471" s="341">
        <v>3</v>
      </c>
      <c r="L471" s="341">
        <v>9</v>
      </c>
      <c r="M471" s="341">
        <v>3</v>
      </c>
      <c r="N471" s="341">
        <v>3</v>
      </c>
      <c r="O471" s="341">
        <v>3</v>
      </c>
      <c r="P471" s="341">
        <v>9</v>
      </c>
      <c r="Q471" s="341">
        <v>3</v>
      </c>
      <c r="R471" s="341">
        <v>3</v>
      </c>
      <c r="S471" s="341">
        <v>3</v>
      </c>
      <c r="T471" s="341">
        <v>9</v>
      </c>
      <c r="U471" s="341">
        <v>3</v>
      </c>
      <c r="V471" s="341">
        <v>3</v>
      </c>
      <c r="W471" s="341">
        <v>3</v>
      </c>
      <c r="X471" s="329" t="s">
        <v>3072</v>
      </c>
      <c r="Y471" s="330" t="str">
        <f>DB!$D$102</f>
        <v>Epson Genuine Ink T6641 Black</v>
      </c>
      <c r="Z471" s="329" t="s">
        <v>8</v>
      </c>
      <c r="AA471" s="329"/>
      <c r="AB471" s="345"/>
      <c r="AC471" s="339"/>
    </row>
    <row r="472" spans="1:29" hidden="1">
      <c r="A472" s="329"/>
      <c r="B472" s="334" t="s">
        <v>721</v>
      </c>
      <c r="C472" s="341" t="s">
        <v>103</v>
      </c>
      <c r="D472" s="341">
        <v>480</v>
      </c>
      <c r="E472" s="341"/>
      <c r="F472" s="341">
        <v>11520</v>
      </c>
      <c r="G472" s="341" t="s">
        <v>3038</v>
      </c>
      <c r="H472" s="341">
        <v>6</v>
      </c>
      <c r="I472" s="341">
        <v>2</v>
      </c>
      <c r="J472" s="341">
        <v>2</v>
      </c>
      <c r="K472" s="341">
        <v>2</v>
      </c>
      <c r="L472" s="341">
        <v>6</v>
      </c>
      <c r="M472" s="341">
        <v>2</v>
      </c>
      <c r="N472" s="341">
        <v>2</v>
      </c>
      <c r="O472" s="341">
        <v>2</v>
      </c>
      <c r="P472" s="341">
        <v>6</v>
      </c>
      <c r="Q472" s="341">
        <v>2</v>
      </c>
      <c r="R472" s="341">
        <v>2</v>
      </c>
      <c r="S472" s="341">
        <v>2</v>
      </c>
      <c r="T472" s="341">
        <v>6</v>
      </c>
      <c r="U472" s="341">
        <v>2</v>
      </c>
      <c r="V472" s="341">
        <v>2</v>
      </c>
      <c r="W472" s="341">
        <v>2</v>
      </c>
      <c r="X472" s="329" t="s">
        <v>3072</v>
      </c>
      <c r="Y472" s="330" t="str">
        <f>DB!$D$103</f>
        <v>Epson Genuine Ink T6642 Cyan</v>
      </c>
      <c r="Z472" s="351" t="s">
        <v>8</v>
      </c>
      <c r="AA472" s="329"/>
      <c r="AB472" s="345"/>
      <c r="AC472" s="339"/>
    </row>
    <row r="473" spans="1:29" ht="31.5" hidden="1">
      <c r="A473" s="329"/>
      <c r="B473" s="334" t="s">
        <v>722</v>
      </c>
      <c r="C473" s="341" t="s">
        <v>103</v>
      </c>
      <c r="D473" s="341">
        <v>480</v>
      </c>
      <c r="E473" s="341"/>
      <c r="F473" s="341">
        <v>10080</v>
      </c>
      <c r="G473" s="341" t="s">
        <v>3038</v>
      </c>
      <c r="H473" s="341">
        <v>6</v>
      </c>
      <c r="I473" s="341">
        <v>2</v>
      </c>
      <c r="J473" s="341">
        <v>2</v>
      </c>
      <c r="K473" s="341">
        <v>2</v>
      </c>
      <c r="L473" s="341">
        <v>3</v>
      </c>
      <c r="M473" s="341">
        <v>2</v>
      </c>
      <c r="N473" s="341">
        <v>2</v>
      </c>
      <c r="O473" s="341">
        <v>2</v>
      </c>
      <c r="P473" s="341">
        <v>3</v>
      </c>
      <c r="Q473" s="341">
        <v>2</v>
      </c>
      <c r="R473" s="341">
        <v>2</v>
      </c>
      <c r="S473" s="341">
        <v>2</v>
      </c>
      <c r="T473" s="341">
        <v>3</v>
      </c>
      <c r="U473" s="341">
        <v>2</v>
      </c>
      <c r="V473" s="341">
        <v>2</v>
      </c>
      <c r="W473" s="341">
        <v>2</v>
      </c>
      <c r="X473" s="329" t="s">
        <v>3072</v>
      </c>
      <c r="Y473" s="330" t="str">
        <f>DB!$D$105</f>
        <v>Epson Genuine Ink T6644 Yellow</v>
      </c>
      <c r="Z473" s="351" t="s">
        <v>8</v>
      </c>
      <c r="AA473" s="329"/>
      <c r="AB473" s="345"/>
      <c r="AC473" s="339"/>
    </row>
    <row r="474" spans="1:29" ht="31.5" hidden="1">
      <c r="A474" s="329"/>
      <c r="B474" s="334" t="s">
        <v>723</v>
      </c>
      <c r="C474" s="341" t="s">
        <v>103</v>
      </c>
      <c r="D474" s="341">
        <v>480</v>
      </c>
      <c r="E474" s="341"/>
      <c r="F474" s="341">
        <v>11520</v>
      </c>
      <c r="G474" s="341" t="s">
        <v>3038</v>
      </c>
      <c r="H474" s="341">
        <v>6</v>
      </c>
      <c r="I474" s="341">
        <v>2</v>
      </c>
      <c r="J474" s="341">
        <v>2</v>
      </c>
      <c r="K474" s="341">
        <v>2</v>
      </c>
      <c r="L474" s="341">
        <v>6</v>
      </c>
      <c r="M474" s="341">
        <v>2</v>
      </c>
      <c r="N474" s="341">
        <v>2</v>
      </c>
      <c r="O474" s="341">
        <v>2</v>
      </c>
      <c r="P474" s="341">
        <v>6</v>
      </c>
      <c r="Q474" s="341">
        <v>2</v>
      </c>
      <c r="R474" s="341">
        <v>2</v>
      </c>
      <c r="S474" s="341">
        <v>2</v>
      </c>
      <c r="T474" s="341">
        <v>6</v>
      </c>
      <c r="U474" s="341">
        <v>2</v>
      </c>
      <c r="V474" s="341">
        <v>2</v>
      </c>
      <c r="W474" s="341">
        <v>2</v>
      </c>
      <c r="X474" s="329" t="s">
        <v>3072</v>
      </c>
      <c r="Y474" s="330" t="str">
        <f>DB!$D$104</f>
        <v>Epson Genuine Ink T6643 Magenta</v>
      </c>
      <c r="Z474" s="351" t="s">
        <v>8</v>
      </c>
      <c r="AA474" s="329"/>
      <c r="AB474" s="345"/>
      <c r="AC474" s="339"/>
    </row>
    <row r="475" spans="1:29" hidden="1">
      <c r="A475" s="329"/>
      <c r="B475" s="334" t="s">
        <v>598</v>
      </c>
      <c r="C475" s="341">
        <v>1</v>
      </c>
      <c r="D475" s="377" t="s">
        <v>103</v>
      </c>
      <c r="E475" s="341">
        <v>500</v>
      </c>
      <c r="F475" s="341">
        <v>850</v>
      </c>
      <c r="G475" s="341" t="s">
        <v>3038</v>
      </c>
      <c r="H475" s="341">
        <v>1</v>
      </c>
      <c r="I475" s="341"/>
      <c r="J475" s="341">
        <v>1</v>
      </c>
      <c r="K475" s="341"/>
      <c r="L475" s="341"/>
      <c r="M475" s="341"/>
      <c r="N475" s="341"/>
      <c r="O475" s="341"/>
      <c r="P475" s="341"/>
      <c r="Q475" s="341"/>
      <c r="R475" s="341"/>
      <c r="S475" s="341"/>
      <c r="T475" s="341"/>
      <c r="U475" s="341"/>
      <c r="V475" s="341"/>
      <c r="W475" s="337"/>
      <c r="X475" s="329" t="s">
        <v>3072</v>
      </c>
      <c r="Y475" s="330"/>
      <c r="Z475" s="329" t="s">
        <v>2946</v>
      </c>
      <c r="AA475" s="329"/>
      <c r="AB475" s="345"/>
      <c r="AC475" s="339"/>
    </row>
    <row r="476" spans="1:29" ht="47.25" hidden="1">
      <c r="A476" s="329"/>
      <c r="B476" s="334" t="s">
        <v>746</v>
      </c>
      <c r="C476" s="341" t="s">
        <v>103</v>
      </c>
      <c r="D476" s="341">
        <v>8500</v>
      </c>
      <c r="E476" s="341">
        <v>1</v>
      </c>
      <c r="F476" s="341">
        <v>8500</v>
      </c>
      <c r="G476" s="341" t="s">
        <v>3038</v>
      </c>
      <c r="H476" s="341">
        <v>1</v>
      </c>
      <c r="I476" s="341"/>
      <c r="J476" s="341">
        <v>1</v>
      </c>
      <c r="K476" s="341"/>
      <c r="L476" s="341"/>
      <c r="M476" s="341"/>
      <c r="N476" s="341"/>
      <c r="O476" s="341"/>
      <c r="P476" s="341"/>
      <c r="Q476" s="341"/>
      <c r="R476" s="341"/>
      <c r="S476" s="341"/>
      <c r="T476" s="341"/>
      <c r="U476" s="341"/>
      <c r="V476" s="341"/>
      <c r="W476" s="335"/>
      <c r="X476" s="329" t="s">
        <v>3072</v>
      </c>
      <c r="Y476" s="330"/>
      <c r="Z476" s="329" t="s">
        <v>2962</v>
      </c>
      <c r="AA476" s="329"/>
      <c r="AB476" s="345"/>
      <c r="AC476" s="339"/>
    </row>
    <row r="477" spans="1:29" hidden="1">
      <c r="A477" s="329"/>
      <c r="B477" s="338" t="s">
        <v>3073</v>
      </c>
      <c r="C477" s="343">
        <v>40</v>
      </c>
      <c r="D477" s="343" t="s">
        <v>103</v>
      </c>
      <c r="E477" s="343">
        <v>150</v>
      </c>
      <c r="F477" s="342">
        <v>6000</v>
      </c>
      <c r="G477" s="377"/>
      <c r="H477" s="343">
        <v>10</v>
      </c>
      <c r="I477" s="343">
        <v>3</v>
      </c>
      <c r="J477" s="343">
        <v>3</v>
      </c>
      <c r="K477" s="343">
        <v>4</v>
      </c>
      <c r="L477" s="343">
        <v>10</v>
      </c>
      <c r="M477" s="343">
        <v>3</v>
      </c>
      <c r="N477" s="343">
        <v>3</v>
      </c>
      <c r="O477" s="343">
        <v>4</v>
      </c>
      <c r="P477" s="343">
        <v>10</v>
      </c>
      <c r="Q477" s="343">
        <v>3</v>
      </c>
      <c r="R477" s="343">
        <v>3</v>
      </c>
      <c r="S477" s="343">
        <v>4</v>
      </c>
      <c r="T477" s="343">
        <v>10</v>
      </c>
      <c r="U477" s="343">
        <v>3</v>
      </c>
      <c r="V477" s="343">
        <v>3</v>
      </c>
      <c r="W477" s="343">
        <v>4</v>
      </c>
      <c r="X477" s="329" t="s">
        <v>125</v>
      </c>
      <c r="Y477" s="330"/>
      <c r="Z477" s="329" t="s">
        <v>11</v>
      </c>
      <c r="AA477" s="329"/>
      <c r="AB477" s="345"/>
      <c r="AC477" s="339"/>
    </row>
    <row r="478" spans="1:29" hidden="1">
      <c r="A478" s="329"/>
      <c r="B478" s="334" t="s">
        <v>3074</v>
      </c>
      <c r="C478" s="341">
        <v>40</v>
      </c>
      <c r="D478" s="341" t="s">
        <v>103</v>
      </c>
      <c r="E478" s="341">
        <v>150</v>
      </c>
      <c r="F478" s="347">
        <v>6000</v>
      </c>
      <c r="G478" s="377"/>
      <c r="H478" s="341">
        <v>10</v>
      </c>
      <c r="I478" s="341">
        <v>3</v>
      </c>
      <c r="J478" s="341">
        <v>3</v>
      </c>
      <c r="K478" s="341">
        <v>4</v>
      </c>
      <c r="L478" s="341">
        <v>10</v>
      </c>
      <c r="M478" s="341">
        <v>3</v>
      </c>
      <c r="N478" s="341">
        <v>3</v>
      </c>
      <c r="O478" s="341">
        <v>4</v>
      </c>
      <c r="P478" s="341">
        <v>10</v>
      </c>
      <c r="Q478" s="341">
        <v>3</v>
      </c>
      <c r="R478" s="341">
        <v>3</v>
      </c>
      <c r="S478" s="341">
        <v>4</v>
      </c>
      <c r="T478" s="341">
        <v>10</v>
      </c>
      <c r="U478" s="341">
        <v>3</v>
      </c>
      <c r="V478" s="341">
        <v>3</v>
      </c>
      <c r="W478" s="341">
        <v>4</v>
      </c>
      <c r="X478" s="329" t="s">
        <v>125</v>
      </c>
      <c r="Y478" s="330"/>
      <c r="Z478" s="329" t="s">
        <v>11</v>
      </c>
      <c r="AA478" s="329"/>
      <c r="AB478" s="345"/>
      <c r="AC478" s="339"/>
    </row>
    <row r="479" spans="1:29" hidden="1">
      <c r="A479" s="329"/>
      <c r="B479" s="334" t="s">
        <v>3075</v>
      </c>
      <c r="C479" s="341">
        <v>80</v>
      </c>
      <c r="D479" s="341" t="s">
        <v>103</v>
      </c>
      <c r="E479" s="341">
        <v>150</v>
      </c>
      <c r="F479" s="347">
        <v>12000</v>
      </c>
      <c r="G479" s="377"/>
      <c r="H479" s="341">
        <v>20</v>
      </c>
      <c r="I479" s="341">
        <v>6</v>
      </c>
      <c r="J479" s="341">
        <v>6</v>
      </c>
      <c r="K479" s="341">
        <v>8</v>
      </c>
      <c r="L479" s="341">
        <v>20</v>
      </c>
      <c r="M479" s="341">
        <v>6</v>
      </c>
      <c r="N479" s="341">
        <v>6</v>
      </c>
      <c r="O479" s="341">
        <v>8</v>
      </c>
      <c r="P479" s="341">
        <v>20</v>
      </c>
      <c r="Q479" s="341">
        <v>6</v>
      </c>
      <c r="R479" s="341">
        <v>6</v>
      </c>
      <c r="S479" s="341">
        <v>8</v>
      </c>
      <c r="T479" s="341">
        <v>20</v>
      </c>
      <c r="U479" s="341">
        <v>6</v>
      </c>
      <c r="V479" s="341">
        <v>6</v>
      </c>
      <c r="W479" s="341">
        <v>8</v>
      </c>
      <c r="X479" s="329" t="s">
        <v>125</v>
      </c>
      <c r="Y479" s="330"/>
      <c r="Z479" s="329" t="s">
        <v>11</v>
      </c>
      <c r="AA479" s="329"/>
      <c r="AB479" s="345"/>
      <c r="AC479" s="339"/>
    </row>
    <row r="480" spans="1:29" hidden="1">
      <c r="A480" s="329"/>
      <c r="B480" s="334" t="s">
        <v>3076</v>
      </c>
      <c r="C480" s="341">
        <v>40</v>
      </c>
      <c r="D480" s="341" t="s">
        <v>103</v>
      </c>
      <c r="E480" s="341">
        <v>150</v>
      </c>
      <c r="F480" s="347">
        <v>6000</v>
      </c>
      <c r="G480" s="377"/>
      <c r="H480" s="341">
        <v>10</v>
      </c>
      <c r="I480" s="341">
        <v>3</v>
      </c>
      <c r="J480" s="341">
        <v>3</v>
      </c>
      <c r="K480" s="341">
        <v>4</v>
      </c>
      <c r="L480" s="341">
        <v>10</v>
      </c>
      <c r="M480" s="341">
        <v>3</v>
      </c>
      <c r="N480" s="341">
        <v>3</v>
      </c>
      <c r="O480" s="341">
        <v>4</v>
      </c>
      <c r="P480" s="341">
        <v>10</v>
      </c>
      <c r="Q480" s="341">
        <v>3</v>
      </c>
      <c r="R480" s="341">
        <v>3</v>
      </c>
      <c r="S480" s="341">
        <v>4</v>
      </c>
      <c r="T480" s="341">
        <v>10</v>
      </c>
      <c r="U480" s="341">
        <v>3</v>
      </c>
      <c r="V480" s="341">
        <v>3</v>
      </c>
      <c r="W480" s="341">
        <v>4</v>
      </c>
      <c r="X480" s="329" t="s">
        <v>125</v>
      </c>
      <c r="Y480" s="330"/>
      <c r="Z480" s="329" t="s">
        <v>11</v>
      </c>
      <c r="AA480" s="329"/>
      <c r="AB480" s="345"/>
      <c r="AC480" s="339"/>
    </row>
    <row r="481" spans="1:29" hidden="1">
      <c r="A481" s="329"/>
      <c r="B481" s="334" t="s">
        <v>922</v>
      </c>
      <c r="C481" s="341">
        <v>1</v>
      </c>
      <c r="D481" s="341" t="s">
        <v>103</v>
      </c>
      <c r="E481" s="347">
        <v>2800</v>
      </c>
      <c r="F481" s="347">
        <v>2800</v>
      </c>
      <c r="G481" s="377"/>
      <c r="H481" s="341">
        <v>1</v>
      </c>
      <c r="I481" s="341" t="s">
        <v>533</v>
      </c>
      <c r="J481" s="341"/>
      <c r="K481" s="341"/>
      <c r="L481" s="341"/>
      <c r="M481" s="341"/>
      <c r="N481" s="341"/>
      <c r="O481" s="341"/>
      <c r="P481" s="341"/>
      <c r="Q481" s="341"/>
      <c r="R481" s="341"/>
      <c r="S481" s="341"/>
      <c r="T481" s="341"/>
      <c r="U481" s="341"/>
      <c r="V481" s="341"/>
      <c r="W481" s="341"/>
      <c r="X481" s="329" t="s">
        <v>125</v>
      </c>
      <c r="Y481" s="330" t="str">
        <f>DB!$D$40</f>
        <v>21.5" FHD LED Monitor</v>
      </c>
      <c r="Z481" s="329" t="s">
        <v>8</v>
      </c>
      <c r="AA481" s="329"/>
      <c r="AB481" s="345"/>
      <c r="AC481" s="339"/>
    </row>
    <row r="482" spans="1:29">
      <c r="A482" s="329"/>
      <c r="B482" s="334" t="s">
        <v>467</v>
      </c>
      <c r="C482" s="341">
        <v>1</v>
      </c>
      <c r="D482" s="341" t="s">
        <v>118</v>
      </c>
      <c r="E482" s="347">
        <v>40000</v>
      </c>
      <c r="F482" s="347">
        <v>40000</v>
      </c>
      <c r="G482" s="377"/>
      <c r="H482" s="341"/>
      <c r="I482" s="341"/>
      <c r="J482" s="341"/>
      <c r="K482" s="341"/>
      <c r="L482" s="341">
        <v>1</v>
      </c>
      <c r="M482" s="341" t="s">
        <v>533</v>
      </c>
      <c r="N482" s="341"/>
      <c r="O482" s="341"/>
      <c r="P482" s="341"/>
      <c r="Q482" s="341"/>
      <c r="R482" s="341"/>
      <c r="S482" s="341"/>
      <c r="T482" s="341"/>
      <c r="U482" s="341"/>
      <c r="V482" s="341"/>
      <c r="W482" s="341"/>
      <c r="X482" s="329" t="s">
        <v>125</v>
      </c>
      <c r="Y482" s="330" t="str">
        <f>DB!$D$194</f>
        <v>Branded Desktop Computer Set</v>
      </c>
      <c r="Z482" s="329" t="s">
        <v>2964</v>
      </c>
      <c r="AA482" s="329"/>
      <c r="AB482" s="345"/>
      <c r="AC482" s="339"/>
    </row>
    <row r="483" spans="1:29" hidden="1">
      <c r="A483" s="329"/>
      <c r="B483" s="334" t="s">
        <v>234</v>
      </c>
      <c r="C483" s="341">
        <v>1</v>
      </c>
      <c r="D483" s="341" t="s">
        <v>103</v>
      </c>
      <c r="E483" s="341">
        <v>380</v>
      </c>
      <c r="F483" s="341">
        <v>380</v>
      </c>
      <c r="G483" s="377"/>
      <c r="H483" s="341"/>
      <c r="I483" s="341"/>
      <c r="J483" s="341"/>
      <c r="K483" s="341"/>
      <c r="L483" s="341">
        <v>1</v>
      </c>
      <c r="M483" s="341" t="s">
        <v>533</v>
      </c>
      <c r="N483" s="341"/>
      <c r="O483" s="341"/>
      <c r="P483" s="341"/>
      <c r="Q483" s="341"/>
      <c r="R483" s="341"/>
      <c r="S483" s="341"/>
      <c r="T483" s="341"/>
      <c r="U483" s="341"/>
      <c r="V483" s="341"/>
      <c r="W483" s="341"/>
      <c r="X483" s="329" t="s">
        <v>125</v>
      </c>
      <c r="Y483" s="336" t="str">
        <f>DB!$D$168</f>
        <v>Keyboard, Full Size, USB 2.0</v>
      </c>
      <c r="Z483" s="329" t="s">
        <v>2946</v>
      </c>
      <c r="AA483" s="329"/>
      <c r="AB483" s="345"/>
      <c r="AC483" s="339"/>
    </row>
    <row r="484" spans="1:29" hidden="1">
      <c r="A484" s="329"/>
      <c r="B484" s="334" t="s">
        <v>599</v>
      </c>
      <c r="C484" s="341">
        <v>1</v>
      </c>
      <c r="D484" s="341" t="s">
        <v>103</v>
      </c>
      <c r="E484" s="341">
        <v>500</v>
      </c>
      <c r="F484" s="341">
        <v>500</v>
      </c>
      <c r="G484" s="377"/>
      <c r="H484" s="341"/>
      <c r="I484" s="341"/>
      <c r="J484" s="341"/>
      <c r="K484" s="341"/>
      <c r="L484" s="341">
        <v>1</v>
      </c>
      <c r="M484" s="341" t="s">
        <v>533</v>
      </c>
      <c r="N484" s="341"/>
      <c r="O484" s="341"/>
      <c r="P484" s="341"/>
      <c r="Q484" s="341"/>
      <c r="R484" s="341"/>
      <c r="S484" s="341"/>
      <c r="T484" s="341"/>
      <c r="U484" s="341"/>
      <c r="V484" s="341"/>
      <c r="W484" s="341"/>
      <c r="X484" s="329" t="s">
        <v>125</v>
      </c>
      <c r="Y484" s="351"/>
      <c r="Z484" s="329" t="s">
        <v>2946</v>
      </c>
      <c r="AA484" s="329"/>
      <c r="AB484" s="345"/>
      <c r="AC484" s="339"/>
    </row>
    <row r="485" spans="1:29" ht="31.5" hidden="1">
      <c r="A485" s="329"/>
      <c r="B485" s="372" t="s">
        <v>454</v>
      </c>
      <c r="C485" s="341">
        <v>20</v>
      </c>
      <c r="D485" s="341" t="s">
        <v>103</v>
      </c>
      <c r="E485" s="341"/>
      <c r="F485" s="341"/>
      <c r="G485" s="377"/>
      <c r="H485" s="341"/>
      <c r="I485" s="341"/>
      <c r="J485" s="341"/>
      <c r="K485" s="341"/>
      <c r="L485" s="341"/>
      <c r="M485" s="341"/>
      <c r="N485" s="341"/>
      <c r="O485" s="341"/>
      <c r="P485" s="341"/>
      <c r="Q485" s="341"/>
      <c r="R485" s="341"/>
      <c r="S485" s="341"/>
      <c r="T485" s="341"/>
      <c r="U485" s="341"/>
      <c r="V485" s="341"/>
      <c r="W485" s="341"/>
      <c r="X485" s="329" t="s">
        <v>125</v>
      </c>
      <c r="Y485" s="330" t="str">
        <f>DB!$D$177</f>
        <v>EPSON LQ310 Ribbon Cartridge (SO15634)</v>
      </c>
      <c r="Z485" s="329" t="s">
        <v>8</v>
      </c>
      <c r="AA485" s="329"/>
      <c r="AB485" s="345"/>
      <c r="AC485" s="339"/>
    </row>
    <row r="486" spans="1:29" hidden="1">
      <c r="A486" s="329"/>
      <c r="B486" s="338" t="s">
        <v>3073</v>
      </c>
      <c r="C486" s="343">
        <v>40</v>
      </c>
      <c r="D486" s="343" t="s">
        <v>103</v>
      </c>
      <c r="E486" s="343">
        <v>150</v>
      </c>
      <c r="F486" s="342">
        <v>6000</v>
      </c>
      <c r="G486" s="377"/>
      <c r="H486" s="343">
        <v>10</v>
      </c>
      <c r="I486" s="343">
        <v>3</v>
      </c>
      <c r="J486" s="343">
        <v>3</v>
      </c>
      <c r="K486" s="343">
        <v>4</v>
      </c>
      <c r="L486" s="343">
        <v>10</v>
      </c>
      <c r="M486" s="343">
        <v>3</v>
      </c>
      <c r="N486" s="343">
        <v>3</v>
      </c>
      <c r="O486" s="343">
        <v>4</v>
      </c>
      <c r="P486" s="343">
        <v>10</v>
      </c>
      <c r="Q486" s="343">
        <v>3</v>
      </c>
      <c r="R486" s="343">
        <v>3</v>
      </c>
      <c r="S486" s="343">
        <v>4</v>
      </c>
      <c r="T486" s="343">
        <v>10</v>
      </c>
      <c r="U486" s="343">
        <v>3</v>
      </c>
      <c r="V486" s="343">
        <v>3</v>
      </c>
      <c r="W486" s="343">
        <v>4</v>
      </c>
      <c r="X486" s="329" t="s">
        <v>123</v>
      </c>
      <c r="Y486" s="361" t="s">
        <v>209</v>
      </c>
      <c r="Z486" s="329" t="s">
        <v>8</v>
      </c>
      <c r="AA486" s="329"/>
      <c r="AB486" s="345"/>
      <c r="AC486" s="339"/>
    </row>
    <row r="487" spans="1:29" ht="31.5" hidden="1">
      <c r="A487" s="329"/>
      <c r="B487" s="334" t="s">
        <v>3074</v>
      </c>
      <c r="C487" s="341">
        <v>40</v>
      </c>
      <c r="D487" s="341" t="s">
        <v>103</v>
      </c>
      <c r="E487" s="341">
        <v>150</v>
      </c>
      <c r="F487" s="347">
        <v>6000</v>
      </c>
      <c r="G487" s="377"/>
      <c r="H487" s="341">
        <v>10</v>
      </c>
      <c r="I487" s="341">
        <v>3</v>
      </c>
      <c r="J487" s="341">
        <v>3</v>
      </c>
      <c r="K487" s="341">
        <v>4</v>
      </c>
      <c r="L487" s="341">
        <v>10</v>
      </c>
      <c r="M487" s="341">
        <v>3</v>
      </c>
      <c r="N487" s="341">
        <v>3</v>
      </c>
      <c r="O487" s="341">
        <v>4</v>
      </c>
      <c r="P487" s="341">
        <v>10</v>
      </c>
      <c r="Q487" s="341">
        <v>3</v>
      </c>
      <c r="R487" s="341">
        <v>3</v>
      </c>
      <c r="S487" s="341">
        <v>4</v>
      </c>
      <c r="T487" s="341">
        <v>10</v>
      </c>
      <c r="U487" s="341">
        <v>3</v>
      </c>
      <c r="V487" s="341">
        <v>3</v>
      </c>
      <c r="W487" s="341">
        <v>4</v>
      </c>
      <c r="X487" s="329" t="s">
        <v>123</v>
      </c>
      <c r="Y487" s="361" t="s">
        <v>210</v>
      </c>
      <c r="Z487" s="329" t="s">
        <v>8</v>
      </c>
      <c r="AA487" s="329"/>
      <c r="AB487" s="345"/>
      <c r="AC487" s="339"/>
    </row>
    <row r="488" spans="1:29" hidden="1">
      <c r="A488" s="329"/>
      <c r="B488" s="334" t="s">
        <v>3075</v>
      </c>
      <c r="C488" s="341">
        <v>80</v>
      </c>
      <c r="D488" s="341" t="s">
        <v>103</v>
      </c>
      <c r="E488" s="341">
        <v>150</v>
      </c>
      <c r="F488" s="347">
        <v>12000</v>
      </c>
      <c r="G488" s="377"/>
      <c r="H488" s="341">
        <v>20</v>
      </c>
      <c r="I488" s="341">
        <v>6</v>
      </c>
      <c r="J488" s="341">
        <v>6</v>
      </c>
      <c r="K488" s="341">
        <v>8</v>
      </c>
      <c r="L488" s="341">
        <v>20</v>
      </c>
      <c r="M488" s="341">
        <v>6</v>
      </c>
      <c r="N488" s="341">
        <v>6</v>
      </c>
      <c r="O488" s="341">
        <v>8</v>
      </c>
      <c r="P488" s="341">
        <v>20</v>
      </c>
      <c r="Q488" s="341">
        <v>6</v>
      </c>
      <c r="R488" s="341">
        <v>6</v>
      </c>
      <c r="S488" s="341">
        <v>8</v>
      </c>
      <c r="T488" s="341">
        <v>20</v>
      </c>
      <c r="U488" s="341">
        <v>6</v>
      </c>
      <c r="V488" s="341">
        <v>6</v>
      </c>
      <c r="W488" s="341">
        <v>8</v>
      </c>
      <c r="X488" s="329" t="s">
        <v>123</v>
      </c>
      <c r="Y488" s="361" t="s">
        <v>199</v>
      </c>
      <c r="Z488" s="329" t="s">
        <v>8</v>
      </c>
      <c r="AA488" s="329"/>
      <c r="AB488" s="345"/>
      <c r="AC488" s="339"/>
    </row>
    <row r="489" spans="1:29" hidden="1">
      <c r="A489" s="329"/>
      <c r="B489" s="334" t="s">
        <v>3076</v>
      </c>
      <c r="C489" s="341">
        <v>40</v>
      </c>
      <c r="D489" s="341" t="s">
        <v>103</v>
      </c>
      <c r="E489" s="341">
        <v>150</v>
      </c>
      <c r="F489" s="347">
        <v>6000</v>
      </c>
      <c r="G489" s="377"/>
      <c r="H489" s="341">
        <v>10</v>
      </c>
      <c r="I489" s="341">
        <v>3</v>
      </c>
      <c r="J489" s="341">
        <v>3</v>
      </c>
      <c r="K489" s="341">
        <v>4</v>
      </c>
      <c r="L489" s="341">
        <v>10</v>
      </c>
      <c r="M489" s="341">
        <v>3</v>
      </c>
      <c r="N489" s="341">
        <v>3</v>
      </c>
      <c r="O489" s="341">
        <v>4</v>
      </c>
      <c r="P489" s="341">
        <v>10</v>
      </c>
      <c r="Q489" s="341">
        <v>3</v>
      </c>
      <c r="R489" s="341">
        <v>3</v>
      </c>
      <c r="S489" s="341">
        <v>4</v>
      </c>
      <c r="T489" s="341">
        <v>10</v>
      </c>
      <c r="U489" s="341">
        <v>3</v>
      </c>
      <c r="V489" s="341">
        <v>3</v>
      </c>
      <c r="W489" s="341">
        <v>4</v>
      </c>
      <c r="X489" s="329" t="s">
        <v>123</v>
      </c>
      <c r="Y489" s="361" t="s">
        <v>211</v>
      </c>
      <c r="Z489" s="329" t="s">
        <v>8</v>
      </c>
      <c r="AA489" s="329"/>
      <c r="AB489" s="345"/>
      <c r="AC489" s="339"/>
    </row>
    <row r="490" spans="1:29" hidden="1">
      <c r="A490" s="329"/>
      <c r="B490" s="334" t="s">
        <v>922</v>
      </c>
      <c r="C490" s="341">
        <v>1</v>
      </c>
      <c r="D490" s="341" t="s">
        <v>103</v>
      </c>
      <c r="E490" s="347">
        <v>2800</v>
      </c>
      <c r="F490" s="347">
        <v>2800</v>
      </c>
      <c r="G490" s="377"/>
      <c r="H490" s="341">
        <v>1</v>
      </c>
      <c r="I490" s="341" t="s">
        <v>533</v>
      </c>
      <c r="J490" s="341"/>
      <c r="K490" s="341"/>
      <c r="L490" s="341"/>
      <c r="M490" s="341"/>
      <c r="N490" s="341"/>
      <c r="O490" s="341"/>
      <c r="P490" s="341"/>
      <c r="Q490" s="341"/>
      <c r="R490" s="341"/>
      <c r="S490" s="341"/>
      <c r="T490" s="341"/>
      <c r="U490" s="341"/>
      <c r="V490" s="341"/>
      <c r="W490" s="341"/>
      <c r="X490" s="329" t="s">
        <v>123</v>
      </c>
      <c r="Y490" s="330" t="str">
        <f>DB!$D$40</f>
        <v>21.5" FHD LED Monitor</v>
      </c>
      <c r="Z490" s="329" t="s">
        <v>8</v>
      </c>
      <c r="AA490" s="329"/>
      <c r="AB490" s="345"/>
      <c r="AC490" s="339"/>
    </row>
    <row r="491" spans="1:29">
      <c r="A491" s="329"/>
      <c r="B491" s="334" t="s">
        <v>467</v>
      </c>
      <c r="C491" s="341">
        <v>1</v>
      </c>
      <c r="D491" s="341" t="s">
        <v>118</v>
      </c>
      <c r="E491" s="347">
        <v>40000</v>
      </c>
      <c r="F491" s="347">
        <v>40000</v>
      </c>
      <c r="G491" s="377"/>
      <c r="H491" s="341"/>
      <c r="I491" s="341"/>
      <c r="J491" s="341"/>
      <c r="K491" s="341"/>
      <c r="L491" s="341">
        <v>1</v>
      </c>
      <c r="M491" s="341" t="s">
        <v>533</v>
      </c>
      <c r="N491" s="341"/>
      <c r="O491" s="341"/>
      <c r="P491" s="341"/>
      <c r="Q491" s="341"/>
      <c r="R491" s="341"/>
      <c r="S491" s="341"/>
      <c r="T491" s="341"/>
      <c r="U491" s="341"/>
      <c r="V491" s="341"/>
      <c r="W491" s="341"/>
      <c r="X491" s="329" t="s">
        <v>123</v>
      </c>
      <c r="Y491" s="330" t="str">
        <f>DB!$D$194</f>
        <v>Branded Desktop Computer Set</v>
      </c>
      <c r="Z491" s="329" t="s">
        <v>2964</v>
      </c>
      <c r="AA491" s="329"/>
      <c r="AB491" s="345"/>
      <c r="AC491" s="339"/>
    </row>
    <row r="492" spans="1:29" hidden="1">
      <c r="A492" s="329"/>
      <c r="B492" s="334" t="s">
        <v>234</v>
      </c>
      <c r="C492" s="341">
        <v>1</v>
      </c>
      <c r="D492" s="341" t="s">
        <v>103</v>
      </c>
      <c r="E492" s="341">
        <v>380</v>
      </c>
      <c r="F492" s="341">
        <v>380</v>
      </c>
      <c r="G492" s="377"/>
      <c r="H492" s="341"/>
      <c r="I492" s="341"/>
      <c r="J492" s="341"/>
      <c r="K492" s="341"/>
      <c r="L492" s="341">
        <v>1</v>
      </c>
      <c r="M492" s="341" t="s">
        <v>533</v>
      </c>
      <c r="N492" s="341"/>
      <c r="O492" s="341"/>
      <c r="P492" s="341"/>
      <c r="Q492" s="341"/>
      <c r="R492" s="341"/>
      <c r="S492" s="341"/>
      <c r="T492" s="341"/>
      <c r="U492" s="341"/>
      <c r="V492" s="341"/>
      <c r="W492" s="341"/>
      <c r="X492" s="329" t="s">
        <v>123</v>
      </c>
      <c r="Y492" s="336" t="str">
        <f>DB!$D$168</f>
        <v>Keyboard, Full Size, USB 2.0</v>
      </c>
      <c r="Z492" s="329" t="s">
        <v>2946</v>
      </c>
      <c r="AA492" s="329"/>
      <c r="AB492" s="345"/>
      <c r="AC492" s="339"/>
    </row>
    <row r="493" spans="1:29" hidden="1">
      <c r="A493" s="329"/>
      <c r="B493" s="334" t="s">
        <v>599</v>
      </c>
      <c r="C493" s="341">
        <v>1</v>
      </c>
      <c r="D493" s="341" t="s">
        <v>103</v>
      </c>
      <c r="E493" s="341">
        <v>500</v>
      </c>
      <c r="F493" s="341">
        <v>500</v>
      </c>
      <c r="G493" s="377"/>
      <c r="H493" s="341"/>
      <c r="I493" s="341"/>
      <c r="J493" s="341"/>
      <c r="K493" s="341"/>
      <c r="L493" s="341">
        <v>1</v>
      </c>
      <c r="M493" s="341" t="s">
        <v>533</v>
      </c>
      <c r="N493" s="341"/>
      <c r="O493" s="341"/>
      <c r="P493" s="341"/>
      <c r="Q493" s="341"/>
      <c r="R493" s="341"/>
      <c r="S493" s="341"/>
      <c r="T493" s="341"/>
      <c r="U493" s="341"/>
      <c r="V493" s="341"/>
      <c r="W493" s="341"/>
      <c r="X493" s="329" t="s">
        <v>123</v>
      </c>
      <c r="Y493" s="330"/>
      <c r="Z493" s="329" t="s">
        <v>2946</v>
      </c>
      <c r="AA493" s="329"/>
      <c r="AB493" s="345"/>
      <c r="AC493" s="339"/>
    </row>
    <row r="494" spans="1:29" hidden="1">
      <c r="A494" s="329"/>
      <c r="B494" s="338" t="s">
        <v>3073</v>
      </c>
      <c r="C494" s="343">
        <v>40</v>
      </c>
      <c r="D494" s="343" t="s">
        <v>103</v>
      </c>
      <c r="E494" s="343">
        <v>150</v>
      </c>
      <c r="F494" s="342">
        <v>6000</v>
      </c>
      <c r="G494" s="377"/>
      <c r="H494" s="343">
        <v>10</v>
      </c>
      <c r="I494" s="343">
        <v>3</v>
      </c>
      <c r="J494" s="343">
        <v>3</v>
      </c>
      <c r="K494" s="343">
        <v>4</v>
      </c>
      <c r="L494" s="343">
        <v>10</v>
      </c>
      <c r="M494" s="343">
        <v>3</v>
      </c>
      <c r="N494" s="343">
        <v>3</v>
      </c>
      <c r="O494" s="343">
        <v>4</v>
      </c>
      <c r="P494" s="343">
        <v>10</v>
      </c>
      <c r="Q494" s="343">
        <v>3</v>
      </c>
      <c r="R494" s="343">
        <v>3</v>
      </c>
      <c r="S494" s="343">
        <v>4</v>
      </c>
      <c r="T494" s="343">
        <v>10</v>
      </c>
      <c r="U494" s="343">
        <v>3</v>
      </c>
      <c r="V494" s="343">
        <v>3</v>
      </c>
      <c r="W494" s="343">
        <v>4</v>
      </c>
      <c r="X494" s="329" t="s">
        <v>126</v>
      </c>
      <c r="Y494" s="330" t="str">
        <f>DB!$D$102</f>
        <v>Epson Genuine Ink T6641 Black</v>
      </c>
      <c r="Z494" s="329" t="s">
        <v>8</v>
      </c>
      <c r="AA494" s="329"/>
      <c r="AB494" s="345"/>
      <c r="AC494" s="339"/>
    </row>
    <row r="495" spans="1:29" hidden="1">
      <c r="A495" s="329"/>
      <c r="B495" s="334" t="s">
        <v>3074</v>
      </c>
      <c r="C495" s="341">
        <v>40</v>
      </c>
      <c r="D495" s="341" t="s">
        <v>103</v>
      </c>
      <c r="E495" s="341">
        <v>150</v>
      </c>
      <c r="F495" s="347">
        <v>6000</v>
      </c>
      <c r="G495" s="377"/>
      <c r="H495" s="341">
        <v>10</v>
      </c>
      <c r="I495" s="341">
        <v>3</v>
      </c>
      <c r="J495" s="341">
        <v>3</v>
      </c>
      <c r="K495" s="341">
        <v>4</v>
      </c>
      <c r="L495" s="341">
        <v>10</v>
      </c>
      <c r="M495" s="341">
        <v>3</v>
      </c>
      <c r="N495" s="341">
        <v>3</v>
      </c>
      <c r="O495" s="341">
        <v>4</v>
      </c>
      <c r="P495" s="341">
        <v>10</v>
      </c>
      <c r="Q495" s="341">
        <v>3</v>
      </c>
      <c r="R495" s="341">
        <v>3</v>
      </c>
      <c r="S495" s="341">
        <v>4</v>
      </c>
      <c r="T495" s="341">
        <v>10</v>
      </c>
      <c r="U495" s="341">
        <v>3</v>
      </c>
      <c r="V495" s="341">
        <v>3</v>
      </c>
      <c r="W495" s="341">
        <v>4</v>
      </c>
      <c r="X495" s="329" t="s">
        <v>126</v>
      </c>
      <c r="Y495" s="330" t="str">
        <f>DB!$D$103</f>
        <v>Epson Genuine Ink T6642 Cyan</v>
      </c>
      <c r="Z495" s="351" t="s">
        <v>8</v>
      </c>
      <c r="AA495" s="329"/>
      <c r="AB495" s="345"/>
      <c r="AC495" s="339"/>
    </row>
    <row r="496" spans="1:29" ht="31.5" hidden="1">
      <c r="A496" s="329"/>
      <c r="B496" s="334" t="s">
        <v>3075</v>
      </c>
      <c r="C496" s="341">
        <v>80</v>
      </c>
      <c r="D496" s="341" t="s">
        <v>103</v>
      </c>
      <c r="E496" s="341">
        <v>150</v>
      </c>
      <c r="F496" s="347">
        <v>12000</v>
      </c>
      <c r="G496" s="377"/>
      <c r="H496" s="341">
        <v>20</v>
      </c>
      <c r="I496" s="341">
        <v>6</v>
      </c>
      <c r="J496" s="341">
        <v>6</v>
      </c>
      <c r="K496" s="341">
        <v>8</v>
      </c>
      <c r="L496" s="341">
        <v>20</v>
      </c>
      <c r="M496" s="341">
        <v>6</v>
      </c>
      <c r="N496" s="341">
        <v>6</v>
      </c>
      <c r="O496" s="341">
        <v>8</v>
      </c>
      <c r="P496" s="341">
        <v>20</v>
      </c>
      <c r="Q496" s="341">
        <v>6</v>
      </c>
      <c r="R496" s="341">
        <v>6</v>
      </c>
      <c r="S496" s="341">
        <v>8</v>
      </c>
      <c r="T496" s="341">
        <v>20</v>
      </c>
      <c r="U496" s="341">
        <v>6</v>
      </c>
      <c r="V496" s="341">
        <v>6</v>
      </c>
      <c r="W496" s="341">
        <v>8</v>
      </c>
      <c r="X496" s="329" t="s">
        <v>126</v>
      </c>
      <c r="Y496" s="330" t="str">
        <f>DB!$D$105</f>
        <v>Epson Genuine Ink T6644 Yellow</v>
      </c>
      <c r="Z496" s="351" t="s">
        <v>8</v>
      </c>
      <c r="AA496" s="329"/>
      <c r="AB496" s="345"/>
      <c r="AC496" s="339"/>
    </row>
    <row r="497" spans="1:29" ht="31.5" hidden="1">
      <c r="A497" s="329"/>
      <c r="B497" s="334" t="s">
        <v>3076</v>
      </c>
      <c r="C497" s="341">
        <v>40</v>
      </c>
      <c r="D497" s="341" t="s">
        <v>103</v>
      </c>
      <c r="E497" s="341">
        <v>150</v>
      </c>
      <c r="F497" s="347">
        <v>6000</v>
      </c>
      <c r="G497" s="377"/>
      <c r="H497" s="341">
        <v>10</v>
      </c>
      <c r="I497" s="341">
        <v>3</v>
      </c>
      <c r="J497" s="341">
        <v>3</v>
      </c>
      <c r="K497" s="341">
        <v>4</v>
      </c>
      <c r="L497" s="341">
        <v>10</v>
      </c>
      <c r="M497" s="341">
        <v>3</v>
      </c>
      <c r="N497" s="341">
        <v>3</v>
      </c>
      <c r="O497" s="341">
        <v>4</v>
      </c>
      <c r="P497" s="341">
        <v>10</v>
      </c>
      <c r="Q497" s="341">
        <v>3</v>
      </c>
      <c r="R497" s="341">
        <v>3</v>
      </c>
      <c r="S497" s="341">
        <v>4</v>
      </c>
      <c r="T497" s="341">
        <v>10</v>
      </c>
      <c r="U497" s="341">
        <v>3</v>
      </c>
      <c r="V497" s="341">
        <v>3</v>
      </c>
      <c r="W497" s="341">
        <v>4</v>
      </c>
      <c r="X497" s="329" t="s">
        <v>126</v>
      </c>
      <c r="Y497" s="330" t="str">
        <f>DB!$D$104</f>
        <v>Epson Genuine Ink T6643 Magenta</v>
      </c>
      <c r="Z497" s="351" t="s">
        <v>8</v>
      </c>
      <c r="AA497" s="329"/>
      <c r="AB497" s="345"/>
      <c r="AC497" s="339"/>
    </row>
    <row r="498" spans="1:29" hidden="1">
      <c r="A498" s="329"/>
      <c r="B498" s="334" t="s">
        <v>922</v>
      </c>
      <c r="C498" s="341">
        <v>1</v>
      </c>
      <c r="D498" s="341" t="s">
        <v>103</v>
      </c>
      <c r="E498" s="347">
        <v>2800</v>
      </c>
      <c r="F498" s="347">
        <v>2800</v>
      </c>
      <c r="G498" s="377"/>
      <c r="H498" s="341">
        <v>1</v>
      </c>
      <c r="I498" s="341" t="s">
        <v>533</v>
      </c>
      <c r="J498" s="341"/>
      <c r="K498" s="341"/>
      <c r="L498" s="341"/>
      <c r="M498" s="341"/>
      <c r="N498" s="341"/>
      <c r="O498" s="341"/>
      <c r="P498" s="341"/>
      <c r="Q498" s="341"/>
      <c r="R498" s="341"/>
      <c r="S498" s="341"/>
      <c r="T498" s="341"/>
      <c r="U498" s="341"/>
      <c r="V498" s="341"/>
      <c r="W498" s="341"/>
      <c r="X498" s="329" t="s">
        <v>126</v>
      </c>
      <c r="Y498" s="330" t="str">
        <f>DB!$D$40</f>
        <v>21.5" FHD LED Monitor</v>
      </c>
      <c r="Z498" s="329" t="s">
        <v>8</v>
      </c>
      <c r="AA498" s="329"/>
      <c r="AB498" s="345"/>
      <c r="AC498" s="339"/>
    </row>
    <row r="499" spans="1:29">
      <c r="A499" s="329"/>
      <c r="B499" s="334" t="s">
        <v>467</v>
      </c>
      <c r="C499" s="341">
        <v>1</v>
      </c>
      <c r="D499" s="341" t="s">
        <v>118</v>
      </c>
      <c r="E499" s="347">
        <v>40000</v>
      </c>
      <c r="F499" s="347">
        <v>40000</v>
      </c>
      <c r="G499" s="377"/>
      <c r="H499" s="341"/>
      <c r="I499" s="341"/>
      <c r="J499" s="341"/>
      <c r="K499" s="341"/>
      <c r="L499" s="341">
        <v>1</v>
      </c>
      <c r="M499" s="341" t="s">
        <v>533</v>
      </c>
      <c r="N499" s="341"/>
      <c r="O499" s="341"/>
      <c r="P499" s="341"/>
      <c r="Q499" s="341"/>
      <c r="R499" s="341"/>
      <c r="S499" s="341"/>
      <c r="T499" s="341"/>
      <c r="U499" s="341"/>
      <c r="V499" s="341"/>
      <c r="W499" s="341"/>
      <c r="X499" s="329" t="s">
        <v>126</v>
      </c>
      <c r="Y499" s="330" t="str">
        <f>DB!$D$194</f>
        <v>Branded Desktop Computer Set</v>
      </c>
      <c r="Z499" s="329" t="s">
        <v>2964</v>
      </c>
      <c r="AA499" s="329"/>
      <c r="AB499" s="345"/>
      <c r="AC499" s="339"/>
    </row>
    <row r="500" spans="1:29" hidden="1">
      <c r="A500" s="329"/>
      <c r="B500" s="334" t="s">
        <v>234</v>
      </c>
      <c r="C500" s="341">
        <v>1</v>
      </c>
      <c r="D500" s="341" t="s">
        <v>103</v>
      </c>
      <c r="E500" s="341">
        <v>380</v>
      </c>
      <c r="F500" s="341">
        <v>380</v>
      </c>
      <c r="G500" s="377"/>
      <c r="H500" s="341"/>
      <c r="I500" s="341"/>
      <c r="J500" s="341"/>
      <c r="K500" s="341"/>
      <c r="L500" s="341">
        <v>1</v>
      </c>
      <c r="M500" s="341" t="s">
        <v>533</v>
      </c>
      <c r="N500" s="341"/>
      <c r="O500" s="341"/>
      <c r="P500" s="341"/>
      <c r="Q500" s="341"/>
      <c r="R500" s="341"/>
      <c r="S500" s="341"/>
      <c r="T500" s="341"/>
      <c r="U500" s="341"/>
      <c r="V500" s="341"/>
      <c r="W500" s="341"/>
      <c r="X500" s="329" t="s">
        <v>126</v>
      </c>
      <c r="Y500" s="336" t="str">
        <f>DB!$D$168</f>
        <v>Keyboard, Full Size, USB 2.0</v>
      </c>
      <c r="Z500" s="329" t="s">
        <v>2946</v>
      </c>
      <c r="AA500" s="329"/>
      <c r="AB500" s="345"/>
      <c r="AC500" s="339"/>
    </row>
    <row r="501" spans="1:29" hidden="1">
      <c r="A501" s="329"/>
      <c r="B501" s="334" t="s">
        <v>599</v>
      </c>
      <c r="C501" s="341">
        <v>1</v>
      </c>
      <c r="D501" s="341" t="s">
        <v>103</v>
      </c>
      <c r="E501" s="341">
        <v>500</v>
      </c>
      <c r="F501" s="341">
        <v>500</v>
      </c>
      <c r="G501" s="377"/>
      <c r="H501" s="341"/>
      <c r="I501" s="341"/>
      <c r="J501" s="341"/>
      <c r="K501" s="341"/>
      <c r="L501" s="341">
        <v>1</v>
      </c>
      <c r="M501" s="341" t="s">
        <v>533</v>
      </c>
      <c r="N501" s="341"/>
      <c r="O501" s="341"/>
      <c r="P501" s="341"/>
      <c r="Q501" s="341"/>
      <c r="R501" s="341"/>
      <c r="S501" s="341"/>
      <c r="T501" s="341"/>
      <c r="U501" s="341"/>
      <c r="V501" s="341"/>
      <c r="W501" s="341"/>
      <c r="X501" s="329" t="s">
        <v>126</v>
      </c>
      <c r="Y501" s="330"/>
      <c r="Z501" s="329" t="s">
        <v>2946</v>
      </c>
      <c r="AA501" s="329"/>
      <c r="AB501" s="345"/>
      <c r="AC501" s="339"/>
    </row>
    <row r="502" spans="1:29" hidden="1">
      <c r="A502" s="329"/>
      <c r="B502" s="338" t="s">
        <v>3073</v>
      </c>
      <c r="C502" s="343">
        <v>30</v>
      </c>
      <c r="D502" s="343" t="s">
        <v>103</v>
      </c>
      <c r="E502" s="343">
        <v>150</v>
      </c>
      <c r="F502" s="342">
        <v>4500</v>
      </c>
      <c r="G502" s="377"/>
      <c r="H502" s="343">
        <v>8</v>
      </c>
      <c r="I502" s="343" t="s">
        <v>533</v>
      </c>
      <c r="J502" s="343"/>
      <c r="K502" s="343"/>
      <c r="L502" s="343">
        <v>7</v>
      </c>
      <c r="M502" s="343" t="s">
        <v>533</v>
      </c>
      <c r="N502" s="343"/>
      <c r="O502" s="343"/>
      <c r="P502" s="343">
        <v>8</v>
      </c>
      <c r="Q502" s="343" t="s">
        <v>533</v>
      </c>
      <c r="R502" s="343"/>
      <c r="S502" s="343"/>
      <c r="T502" s="343">
        <v>7</v>
      </c>
      <c r="U502" s="343" t="s">
        <v>533</v>
      </c>
      <c r="V502" s="343"/>
      <c r="W502" s="343"/>
      <c r="X502" s="329" t="s">
        <v>128</v>
      </c>
      <c r="Y502" s="330" t="str">
        <f>DB!$D$102</f>
        <v>Epson Genuine Ink T6641 Black</v>
      </c>
      <c r="Z502" s="329" t="s">
        <v>8</v>
      </c>
      <c r="AA502" s="329"/>
      <c r="AB502" s="345"/>
      <c r="AC502" s="339"/>
    </row>
    <row r="503" spans="1:29" hidden="1">
      <c r="A503" s="329"/>
      <c r="B503" s="334" t="s">
        <v>3074</v>
      </c>
      <c r="C503" s="341">
        <v>30</v>
      </c>
      <c r="D503" s="341" t="s">
        <v>103</v>
      </c>
      <c r="E503" s="341">
        <v>150</v>
      </c>
      <c r="F503" s="347">
        <v>4500</v>
      </c>
      <c r="G503" s="377"/>
      <c r="H503" s="341">
        <v>8</v>
      </c>
      <c r="I503" s="341" t="s">
        <v>533</v>
      </c>
      <c r="J503" s="341"/>
      <c r="K503" s="341"/>
      <c r="L503" s="341">
        <v>7</v>
      </c>
      <c r="M503" s="341" t="s">
        <v>533</v>
      </c>
      <c r="N503" s="341"/>
      <c r="O503" s="341"/>
      <c r="P503" s="341">
        <v>8</v>
      </c>
      <c r="Q503" s="341" t="s">
        <v>533</v>
      </c>
      <c r="R503" s="341"/>
      <c r="S503" s="341"/>
      <c r="T503" s="341">
        <v>7</v>
      </c>
      <c r="U503" s="341" t="s">
        <v>533</v>
      </c>
      <c r="V503" s="341"/>
      <c r="W503" s="341"/>
      <c r="X503" s="329" t="s">
        <v>128</v>
      </c>
      <c r="Y503" s="330" t="str">
        <f>DB!$D$103</f>
        <v>Epson Genuine Ink T6642 Cyan</v>
      </c>
      <c r="Z503" s="351" t="s">
        <v>8</v>
      </c>
      <c r="AA503" s="329"/>
      <c r="AB503" s="345"/>
      <c r="AC503" s="339"/>
    </row>
    <row r="504" spans="1:29" ht="31.5" hidden="1">
      <c r="A504" s="329"/>
      <c r="B504" s="334" t="s">
        <v>3075</v>
      </c>
      <c r="C504" s="341">
        <v>70</v>
      </c>
      <c r="D504" s="341" t="s">
        <v>103</v>
      </c>
      <c r="E504" s="341">
        <v>150</v>
      </c>
      <c r="F504" s="347">
        <v>10500</v>
      </c>
      <c r="G504" s="377"/>
      <c r="H504" s="341">
        <v>18</v>
      </c>
      <c r="I504" s="341" t="s">
        <v>533</v>
      </c>
      <c r="J504" s="341"/>
      <c r="K504" s="341"/>
      <c r="L504" s="341">
        <v>17</v>
      </c>
      <c r="M504" s="341" t="s">
        <v>533</v>
      </c>
      <c r="N504" s="341"/>
      <c r="O504" s="341"/>
      <c r="P504" s="341">
        <v>18</v>
      </c>
      <c r="Q504" s="341" t="s">
        <v>533</v>
      </c>
      <c r="R504" s="341"/>
      <c r="S504" s="341"/>
      <c r="T504" s="341">
        <v>17</v>
      </c>
      <c r="U504" s="341" t="s">
        <v>533</v>
      </c>
      <c r="V504" s="341"/>
      <c r="W504" s="341"/>
      <c r="X504" s="329" t="s">
        <v>128</v>
      </c>
      <c r="Y504" s="330" t="str">
        <f>DB!$D$105</f>
        <v>Epson Genuine Ink T6644 Yellow</v>
      </c>
      <c r="Z504" s="351" t="s">
        <v>8</v>
      </c>
      <c r="AA504" s="329"/>
      <c r="AB504" s="345"/>
      <c r="AC504" s="339"/>
    </row>
    <row r="505" spans="1:29" ht="31.5" hidden="1">
      <c r="A505" s="329"/>
      <c r="B505" s="334" t="s">
        <v>3076</v>
      </c>
      <c r="C505" s="341">
        <v>40</v>
      </c>
      <c r="D505" s="341" t="s">
        <v>103</v>
      </c>
      <c r="E505" s="341">
        <v>150</v>
      </c>
      <c r="F505" s="347">
        <v>6000</v>
      </c>
      <c r="G505" s="377"/>
      <c r="H505" s="341">
        <v>8</v>
      </c>
      <c r="I505" s="341" t="s">
        <v>533</v>
      </c>
      <c r="J505" s="341"/>
      <c r="K505" s="341"/>
      <c r="L505" s="341">
        <v>7</v>
      </c>
      <c r="M505" s="341" t="s">
        <v>533</v>
      </c>
      <c r="N505" s="341"/>
      <c r="O505" s="341"/>
      <c r="P505" s="341">
        <v>18</v>
      </c>
      <c r="Q505" s="341" t="s">
        <v>533</v>
      </c>
      <c r="R505" s="341"/>
      <c r="S505" s="341"/>
      <c r="T505" s="341">
        <v>7</v>
      </c>
      <c r="U505" s="341" t="s">
        <v>533</v>
      </c>
      <c r="V505" s="341"/>
      <c r="W505" s="341"/>
      <c r="X505" s="329" t="s">
        <v>128</v>
      </c>
      <c r="Y505" s="330" t="str">
        <f>DB!$D$104</f>
        <v>Epson Genuine Ink T6643 Magenta</v>
      </c>
      <c r="Z505" s="351" t="s">
        <v>8</v>
      </c>
      <c r="AA505" s="329"/>
      <c r="AB505" s="345"/>
      <c r="AC505" s="339"/>
    </row>
    <row r="506" spans="1:29" hidden="1">
      <c r="A506" s="329"/>
      <c r="B506" s="334" t="s">
        <v>922</v>
      </c>
      <c r="C506" s="341">
        <v>1</v>
      </c>
      <c r="D506" s="341" t="s">
        <v>103</v>
      </c>
      <c r="E506" s="347">
        <v>2800</v>
      </c>
      <c r="F506" s="347">
        <v>2800</v>
      </c>
      <c r="G506" s="377"/>
      <c r="H506" s="341">
        <v>1</v>
      </c>
      <c r="I506" s="341" t="s">
        <v>533</v>
      </c>
      <c r="J506" s="341"/>
      <c r="K506" s="341"/>
      <c r="L506" s="341"/>
      <c r="M506" s="341"/>
      <c r="N506" s="341"/>
      <c r="O506" s="341"/>
      <c r="P506" s="341"/>
      <c r="Q506" s="341"/>
      <c r="R506" s="341"/>
      <c r="S506" s="341"/>
      <c r="T506" s="341"/>
      <c r="U506" s="341"/>
      <c r="V506" s="341"/>
      <c r="W506" s="341"/>
      <c r="X506" s="329" t="s">
        <v>128</v>
      </c>
      <c r="Y506" s="330" t="str">
        <f>DB!$D$40</f>
        <v>21.5" FHD LED Monitor</v>
      </c>
      <c r="Z506" s="329" t="s">
        <v>8</v>
      </c>
      <c r="AA506" s="329"/>
      <c r="AB506" s="345"/>
      <c r="AC506" s="339"/>
    </row>
    <row r="507" spans="1:29">
      <c r="A507" s="329"/>
      <c r="B507" s="334" t="s">
        <v>467</v>
      </c>
      <c r="C507" s="341">
        <v>1</v>
      </c>
      <c r="D507" s="341" t="s">
        <v>118</v>
      </c>
      <c r="E507" s="347">
        <v>40000</v>
      </c>
      <c r="F507" s="347">
        <v>40000</v>
      </c>
      <c r="G507" s="377"/>
      <c r="H507" s="341"/>
      <c r="I507" s="341"/>
      <c r="J507" s="341"/>
      <c r="K507" s="341"/>
      <c r="L507" s="341">
        <v>1</v>
      </c>
      <c r="M507" s="341" t="s">
        <v>533</v>
      </c>
      <c r="N507" s="341"/>
      <c r="O507" s="341"/>
      <c r="P507" s="341"/>
      <c r="Q507" s="341"/>
      <c r="R507" s="341"/>
      <c r="S507" s="341"/>
      <c r="T507" s="341"/>
      <c r="U507" s="341"/>
      <c r="V507" s="341"/>
      <c r="W507" s="341"/>
      <c r="X507" s="329" t="s">
        <v>128</v>
      </c>
      <c r="Y507" s="330" t="str">
        <f>DB!$D$194</f>
        <v>Branded Desktop Computer Set</v>
      </c>
      <c r="Z507" s="329" t="s">
        <v>2964</v>
      </c>
      <c r="AA507" s="329"/>
      <c r="AB507" s="345"/>
      <c r="AC507" s="339"/>
    </row>
    <row r="508" spans="1:29" hidden="1">
      <c r="A508" s="329"/>
      <c r="B508" s="334" t="s">
        <v>234</v>
      </c>
      <c r="C508" s="341">
        <v>1</v>
      </c>
      <c r="D508" s="341" t="s">
        <v>103</v>
      </c>
      <c r="E508" s="341">
        <v>380</v>
      </c>
      <c r="F508" s="341">
        <v>380</v>
      </c>
      <c r="G508" s="377"/>
      <c r="H508" s="341"/>
      <c r="I508" s="341"/>
      <c r="J508" s="341"/>
      <c r="K508" s="341"/>
      <c r="L508" s="341">
        <v>1</v>
      </c>
      <c r="M508" s="341" t="s">
        <v>533</v>
      </c>
      <c r="N508" s="341"/>
      <c r="O508" s="341"/>
      <c r="P508" s="341"/>
      <c r="Q508" s="341"/>
      <c r="R508" s="341"/>
      <c r="S508" s="341"/>
      <c r="T508" s="341"/>
      <c r="U508" s="341"/>
      <c r="V508" s="341"/>
      <c r="W508" s="341"/>
      <c r="X508" s="329" t="s">
        <v>128</v>
      </c>
      <c r="Y508" s="336" t="str">
        <f>DB!$D$168</f>
        <v>Keyboard, Full Size, USB 2.0</v>
      </c>
      <c r="Z508" s="329" t="s">
        <v>2946</v>
      </c>
      <c r="AA508" s="329"/>
      <c r="AB508" s="345"/>
      <c r="AC508" s="339"/>
    </row>
    <row r="509" spans="1:29" hidden="1">
      <c r="A509" s="329"/>
      <c r="B509" s="334" t="s">
        <v>598</v>
      </c>
      <c r="C509" s="341">
        <v>1</v>
      </c>
      <c r="D509" s="341" t="s">
        <v>103</v>
      </c>
      <c r="E509" s="341">
        <v>350</v>
      </c>
      <c r="F509" s="341">
        <v>350</v>
      </c>
      <c r="G509" s="377"/>
      <c r="H509" s="341"/>
      <c r="I509" s="341"/>
      <c r="J509" s="341"/>
      <c r="K509" s="341"/>
      <c r="L509" s="341">
        <v>1</v>
      </c>
      <c r="M509" s="341" t="s">
        <v>533</v>
      </c>
      <c r="N509" s="341"/>
      <c r="O509" s="341"/>
      <c r="P509" s="341"/>
      <c r="Q509" s="341"/>
      <c r="R509" s="341"/>
      <c r="S509" s="341"/>
      <c r="T509" s="341"/>
      <c r="U509" s="341"/>
      <c r="V509" s="341"/>
      <c r="W509" s="341"/>
      <c r="X509" s="329" t="s">
        <v>128</v>
      </c>
      <c r="Y509" s="330"/>
      <c r="Z509" s="329" t="s">
        <v>2946</v>
      </c>
      <c r="AA509" s="329"/>
      <c r="AB509" s="345"/>
      <c r="AC509" s="339"/>
    </row>
    <row r="510" spans="1:29" hidden="1">
      <c r="A510" s="329"/>
      <c r="B510" s="334" t="s">
        <v>599</v>
      </c>
      <c r="C510" s="341">
        <v>1</v>
      </c>
      <c r="D510" s="341" t="s">
        <v>103</v>
      </c>
      <c r="E510" s="341">
        <v>500</v>
      </c>
      <c r="F510" s="341">
        <v>500</v>
      </c>
      <c r="G510" s="377"/>
      <c r="H510" s="341"/>
      <c r="I510" s="341"/>
      <c r="J510" s="341"/>
      <c r="K510" s="341"/>
      <c r="L510" s="341">
        <v>1</v>
      </c>
      <c r="M510" s="341" t="s">
        <v>533</v>
      </c>
      <c r="N510" s="341"/>
      <c r="O510" s="341"/>
      <c r="P510" s="341"/>
      <c r="Q510" s="341"/>
      <c r="R510" s="341"/>
      <c r="S510" s="341"/>
      <c r="T510" s="341"/>
      <c r="U510" s="341"/>
      <c r="V510" s="341"/>
      <c r="W510" s="341"/>
      <c r="X510" s="329" t="s">
        <v>128</v>
      </c>
      <c r="Y510" s="330"/>
      <c r="Z510" s="329" t="s">
        <v>2946</v>
      </c>
      <c r="AA510" s="329"/>
      <c r="AB510" s="345"/>
      <c r="AC510" s="339"/>
    </row>
    <row r="511" spans="1:29" ht="94.5">
      <c r="A511" s="329"/>
      <c r="B511" s="338" t="s">
        <v>3071</v>
      </c>
      <c r="C511" s="343">
        <v>1</v>
      </c>
      <c r="D511" s="343" t="s">
        <v>118</v>
      </c>
      <c r="E511" s="343">
        <v>43000</v>
      </c>
      <c r="F511" s="343">
        <v>43000</v>
      </c>
      <c r="G511" s="343" t="s">
        <v>3038</v>
      </c>
      <c r="H511" s="343">
        <v>1</v>
      </c>
      <c r="I511" s="343"/>
      <c r="J511" s="343">
        <v>1</v>
      </c>
      <c r="K511" s="343"/>
      <c r="L511" s="343"/>
      <c r="M511" s="343"/>
      <c r="N511" s="343"/>
      <c r="O511" s="343"/>
      <c r="P511" s="343"/>
      <c r="Q511" s="343"/>
      <c r="R511" s="343"/>
      <c r="S511" s="343"/>
      <c r="T511" s="343"/>
      <c r="U511" s="343"/>
      <c r="V511" s="343"/>
      <c r="W511" s="337"/>
      <c r="X511" s="329" t="s">
        <v>129</v>
      </c>
      <c r="Y511" s="330" t="str">
        <f>DB!$D$194</f>
        <v>Branded Desktop Computer Set</v>
      </c>
      <c r="Z511" s="329" t="s">
        <v>2964</v>
      </c>
      <c r="AA511" s="329"/>
      <c r="AB511" s="345"/>
      <c r="AC511" s="339"/>
    </row>
    <row r="512" spans="1:29" ht="31.5" hidden="1">
      <c r="A512" s="329"/>
      <c r="B512" s="372" t="s">
        <v>454</v>
      </c>
      <c r="C512" s="341" t="s">
        <v>103</v>
      </c>
      <c r="D512" s="341">
        <v>380</v>
      </c>
      <c r="E512" s="341">
        <v>1</v>
      </c>
      <c r="F512" s="341">
        <v>2300</v>
      </c>
      <c r="G512" s="341" t="s">
        <v>3038</v>
      </c>
      <c r="H512" s="341">
        <v>1</v>
      </c>
      <c r="I512" s="341"/>
      <c r="J512" s="341">
        <v>1</v>
      </c>
      <c r="K512" s="341"/>
      <c r="L512" s="341"/>
      <c r="M512" s="341"/>
      <c r="N512" s="341"/>
      <c r="O512" s="341"/>
      <c r="P512" s="341"/>
      <c r="Q512" s="341"/>
      <c r="R512" s="341"/>
      <c r="S512" s="341"/>
      <c r="T512" s="341"/>
      <c r="U512" s="341"/>
      <c r="V512" s="341"/>
      <c r="W512" s="335"/>
      <c r="X512" s="329" t="s">
        <v>129</v>
      </c>
      <c r="Y512" s="330" t="str">
        <f>DB!$D$177</f>
        <v>EPSON LQ310 Ribbon Cartridge (SO15634)</v>
      </c>
      <c r="Z512" s="329" t="s">
        <v>8</v>
      </c>
      <c r="AA512" s="329"/>
      <c r="AB512" s="345"/>
      <c r="AC512" s="339"/>
    </row>
    <row r="513" spans="1:29" hidden="1">
      <c r="A513" s="329"/>
      <c r="B513" s="372" t="s">
        <v>720</v>
      </c>
      <c r="C513" s="341" t="s">
        <v>103</v>
      </c>
      <c r="D513" s="341">
        <v>480</v>
      </c>
      <c r="E513" s="341"/>
      <c r="F513" s="341">
        <v>17280</v>
      </c>
      <c r="G513" s="341" t="s">
        <v>3038</v>
      </c>
      <c r="H513" s="341">
        <v>9</v>
      </c>
      <c r="I513" s="341">
        <v>3</v>
      </c>
      <c r="J513" s="341">
        <v>3</v>
      </c>
      <c r="K513" s="341">
        <v>3</v>
      </c>
      <c r="L513" s="341">
        <v>9</v>
      </c>
      <c r="M513" s="341">
        <v>3</v>
      </c>
      <c r="N513" s="341">
        <v>3</v>
      </c>
      <c r="O513" s="341">
        <v>3</v>
      </c>
      <c r="P513" s="341">
        <v>9</v>
      </c>
      <c r="Q513" s="341">
        <v>3</v>
      </c>
      <c r="R513" s="341">
        <v>3</v>
      </c>
      <c r="S513" s="341">
        <v>3</v>
      </c>
      <c r="T513" s="341">
        <v>9</v>
      </c>
      <c r="U513" s="341">
        <v>3</v>
      </c>
      <c r="V513" s="341">
        <v>3</v>
      </c>
      <c r="W513" s="335">
        <v>3</v>
      </c>
      <c r="X513" s="329" t="s">
        <v>129</v>
      </c>
      <c r="Y513" s="330" t="str">
        <f>DB!$D$102</f>
        <v>Epson Genuine Ink T6641 Black</v>
      </c>
      <c r="Z513" s="329" t="s">
        <v>8</v>
      </c>
      <c r="AA513" s="329"/>
      <c r="AB513" s="345"/>
      <c r="AC513" s="339"/>
    </row>
    <row r="514" spans="1:29" hidden="1">
      <c r="A514" s="329"/>
      <c r="B514" s="334" t="s">
        <v>721</v>
      </c>
      <c r="C514" s="341" t="s">
        <v>103</v>
      </c>
      <c r="D514" s="341">
        <v>480</v>
      </c>
      <c r="E514" s="341"/>
      <c r="F514" s="341">
        <v>11520</v>
      </c>
      <c r="G514" s="341" t="s">
        <v>3038</v>
      </c>
      <c r="H514" s="341">
        <v>6</v>
      </c>
      <c r="I514" s="341">
        <v>2</v>
      </c>
      <c r="J514" s="341">
        <v>2</v>
      </c>
      <c r="K514" s="341">
        <v>2</v>
      </c>
      <c r="L514" s="341">
        <v>6</v>
      </c>
      <c r="M514" s="341">
        <v>2</v>
      </c>
      <c r="N514" s="341">
        <v>2</v>
      </c>
      <c r="O514" s="341">
        <v>2</v>
      </c>
      <c r="P514" s="341">
        <v>6</v>
      </c>
      <c r="Q514" s="341">
        <v>2</v>
      </c>
      <c r="R514" s="341">
        <v>2</v>
      </c>
      <c r="S514" s="341">
        <v>2</v>
      </c>
      <c r="T514" s="341">
        <v>6</v>
      </c>
      <c r="U514" s="341">
        <v>2</v>
      </c>
      <c r="V514" s="341">
        <v>2</v>
      </c>
      <c r="W514" s="335">
        <v>2</v>
      </c>
      <c r="X514" s="329" t="s">
        <v>129</v>
      </c>
      <c r="Y514" s="330" t="str">
        <f>DB!$D$103</f>
        <v>Epson Genuine Ink T6642 Cyan</v>
      </c>
      <c r="Z514" s="351" t="s">
        <v>8</v>
      </c>
      <c r="AA514" s="329"/>
      <c r="AB514" s="345"/>
      <c r="AC514" s="339"/>
    </row>
    <row r="515" spans="1:29" ht="31.5" hidden="1">
      <c r="A515" s="329"/>
      <c r="B515" s="334" t="s">
        <v>722</v>
      </c>
      <c r="C515" s="341" t="s">
        <v>103</v>
      </c>
      <c r="D515" s="341">
        <v>480</v>
      </c>
      <c r="E515" s="341"/>
      <c r="F515" s="341">
        <v>10080</v>
      </c>
      <c r="G515" s="341" t="s">
        <v>3038</v>
      </c>
      <c r="H515" s="341">
        <v>6</v>
      </c>
      <c r="I515" s="341">
        <v>2</v>
      </c>
      <c r="J515" s="341">
        <v>2</v>
      </c>
      <c r="K515" s="341">
        <v>2</v>
      </c>
      <c r="L515" s="341">
        <v>3</v>
      </c>
      <c r="M515" s="341">
        <v>2</v>
      </c>
      <c r="N515" s="341">
        <v>2</v>
      </c>
      <c r="O515" s="341">
        <v>2</v>
      </c>
      <c r="P515" s="341">
        <v>3</v>
      </c>
      <c r="Q515" s="341">
        <v>2</v>
      </c>
      <c r="R515" s="341">
        <v>2</v>
      </c>
      <c r="S515" s="341">
        <v>2</v>
      </c>
      <c r="T515" s="341">
        <v>3</v>
      </c>
      <c r="U515" s="341">
        <v>2</v>
      </c>
      <c r="V515" s="341">
        <v>2</v>
      </c>
      <c r="W515" s="335">
        <v>2</v>
      </c>
      <c r="X515" s="329" t="s">
        <v>129</v>
      </c>
      <c r="Y515" s="330" t="str">
        <f>DB!$D$105</f>
        <v>Epson Genuine Ink T6644 Yellow</v>
      </c>
      <c r="Z515" s="351" t="s">
        <v>8</v>
      </c>
      <c r="AA515" s="329"/>
      <c r="AB515" s="345"/>
      <c r="AC515" s="339"/>
    </row>
    <row r="516" spans="1:29" ht="31.5" hidden="1">
      <c r="A516" s="329"/>
      <c r="B516" s="334" t="s">
        <v>723</v>
      </c>
      <c r="C516" s="341" t="s">
        <v>103</v>
      </c>
      <c r="D516" s="341">
        <v>480</v>
      </c>
      <c r="E516" s="341"/>
      <c r="F516" s="341">
        <v>11520</v>
      </c>
      <c r="G516" s="341" t="s">
        <v>3038</v>
      </c>
      <c r="H516" s="341">
        <v>6</v>
      </c>
      <c r="I516" s="341">
        <v>2</v>
      </c>
      <c r="J516" s="341">
        <v>2</v>
      </c>
      <c r="K516" s="341">
        <v>2</v>
      </c>
      <c r="L516" s="341">
        <v>6</v>
      </c>
      <c r="M516" s="341">
        <v>2</v>
      </c>
      <c r="N516" s="341">
        <v>2</v>
      </c>
      <c r="O516" s="341">
        <v>2</v>
      </c>
      <c r="P516" s="341">
        <v>6</v>
      </c>
      <c r="Q516" s="341">
        <v>2</v>
      </c>
      <c r="R516" s="341">
        <v>2</v>
      </c>
      <c r="S516" s="341">
        <v>2</v>
      </c>
      <c r="T516" s="341">
        <v>6</v>
      </c>
      <c r="U516" s="341">
        <v>2</v>
      </c>
      <c r="V516" s="341">
        <v>2</v>
      </c>
      <c r="W516" s="335">
        <v>2</v>
      </c>
      <c r="X516" s="329" t="s">
        <v>129</v>
      </c>
      <c r="Y516" s="330" t="str">
        <f>DB!$D$104</f>
        <v>Epson Genuine Ink T6643 Magenta</v>
      </c>
      <c r="Z516" s="351" t="s">
        <v>8</v>
      </c>
      <c r="AA516" s="329"/>
      <c r="AB516" s="345"/>
      <c r="AC516" s="339"/>
    </row>
    <row r="517" spans="1:29" hidden="1">
      <c r="A517" s="329"/>
      <c r="B517" s="334" t="s">
        <v>599</v>
      </c>
      <c r="C517" s="341">
        <v>1</v>
      </c>
      <c r="D517" s="341" t="s">
        <v>103</v>
      </c>
      <c r="E517" s="341">
        <v>500</v>
      </c>
      <c r="F517" s="341">
        <v>850</v>
      </c>
      <c r="G517" s="341" t="s">
        <v>3038</v>
      </c>
      <c r="H517" s="341">
        <v>1</v>
      </c>
      <c r="I517" s="341"/>
      <c r="J517" s="341">
        <v>1</v>
      </c>
      <c r="K517" s="341"/>
      <c r="L517" s="341"/>
      <c r="M517" s="341"/>
      <c r="N517" s="341"/>
      <c r="O517" s="341"/>
      <c r="P517" s="341"/>
      <c r="Q517" s="341"/>
      <c r="R517" s="341"/>
      <c r="S517" s="341"/>
      <c r="T517" s="341"/>
      <c r="U517" s="341"/>
      <c r="V517" s="341"/>
      <c r="W517" s="335"/>
      <c r="X517" s="329" t="s">
        <v>129</v>
      </c>
      <c r="Y517" s="330"/>
      <c r="Z517" s="329" t="s">
        <v>2946</v>
      </c>
      <c r="AA517" s="329"/>
      <c r="AB517" s="345"/>
      <c r="AC517" s="339"/>
    </row>
    <row r="518" spans="1:29" ht="47.25" hidden="1">
      <c r="A518" s="329"/>
      <c r="B518" s="334" t="s">
        <v>746</v>
      </c>
      <c r="C518" s="341" t="s">
        <v>103</v>
      </c>
      <c r="D518" s="341">
        <v>8500</v>
      </c>
      <c r="E518" s="341">
        <v>1</v>
      </c>
      <c r="F518" s="341">
        <v>8500</v>
      </c>
      <c r="G518" s="341" t="s">
        <v>3038</v>
      </c>
      <c r="H518" s="341">
        <v>1</v>
      </c>
      <c r="I518" s="341"/>
      <c r="J518" s="341">
        <v>1</v>
      </c>
      <c r="K518" s="341"/>
      <c r="L518" s="341"/>
      <c r="M518" s="341"/>
      <c r="N518" s="341"/>
      <c r="O518" s="341"/>
      <c r="P518" s="341"/>
      <c r="Q518" s="341"/>
      <c r="R518" s="341"/>
      <c r="S518" s="341"/>
      <c r="T518" s="341"/>
      <c r="U518" s="341"/>
      <c r="V518" s="341"/>
      <c r="W518" s="335"/>
      <c r="X518" s="329" t="s">
        <v>129</v>
      </c>
      <c r="Y518" s="330"/>
      <c r="Z518" s="329" t="s">
        <v>2962</v>
      </c>
      <c r="AA518" s="329"/>
      <c r="AB518" s="345"/>
      <c r="AC518" s="339"/>
    </row>
    <row r="519" spans="1:29" hidden="1">
      <c r="A519" s="329"/>
      <c r="B519" s="338" t="s">
        <v>234</v>
      </c>
      <c r="C519" s="340">
        <v>2</v>
      </c>
      <c r="D519" s="335" t="s">
        <v>103</v>
      </c>
      <c r="E519" s="337">
        <v>380</v>
      </c>
      <c r="F519" s="337">
        <v>760</v>
      </c>
      <c r="G519" s="409" t="s">
        <v>3038</v>
      </c>
      <c r="H519" s="337">
        <v>1</v>
      </c>
      <c r="I519" s="340">
        <v>1</v>
      </c>
      <c r="J519" s="344"/>
      <c r="K519" s="344"/>
      <c r="L519" s="337">
        <v>0</v>
      </c>
      <c r="M519" s="340"/>
      <c r="N519" s="344"/>
      <c r="O519" s="344"/>
      <c r="P519" s="337">
        <v>1</v>
      </c>
      <c r="Q519" s="340">
        <v>1</v>
      </c>
      <c r="R519" s="344"/>
      <c r="S519" s="344"/>
      <c r="T519" s="337">
        <v>0</v>
      </c>
      <c r="U519" s="343"/>
      <c r="V519" s="343"/>
      <c r="W519" s="343"/>
      <c r="X519" s="329" t="s">
        <v>3077</v>
      </c>
      <c r="Y519" s="336" t="str">
        <f>DB!$D$168</f>
        <v>Keyboard, Full Size, USB 2.0</v>
      </c>
      <c r="Z519" s="329" t="s">
        <v>2946</v>
      </c>
      <c r="AA519" s="329"/>
      <c r="AB519" s="345"/>
      <c r="AC519" s="339"/>
    </row>
    <row r="520" spans="1:29" hidden="1">
      <c r="A520" s="329"/>
      <c r="B520" s="334" t="s">
        <v>239</v>
      </c>
      <c r="C520" s="340">
        <v>2</v>
      </c>
      <c r="D520" s="335" t="s">
        <v>103</v>
      </c>
      <c r="E520" s="335">
        <v>380</v>
      </c>
      <c r="F520" s="335">
        <v>760</v>
      </c>
      <c r="G520" s="407" t="s">
        <v>3038</v>
      </c>
      <c r="H520" s="335">
        <v>1</v>
      </c>
      <c r="I520" s="340">
        <v>1</v>
      </c>
      <c r="J520" s="344"/>
      <c r="K520" s="344"/>
      <c r="L520" s="335">
        <v>0</v>
      </c>
      <c r="M520" s="340"/>
      <c r="N520" s="344"/>
      <c r="O520" s="344"/>
      <c r="P520" s="335">
        <v>1</v>
      </c>
      <c r="Q520" s="340">
        <v>1</v>
      </c>
      <c r="R520" s="344"/>
      <c r="S520" s="344"/>
      <c r="T520" s="335">
        <v>0</v>
      </c>
      <c r="U520" s="341"/>
      <c r="V520" s="341"/>
      <c r="W520" s="341"/>
      <c r="X520" s="329" t="s">
        <v>3077</v>
      </c>
      <c r="Y520" s="346" t="str">
        <f>DB!$D$169</f>
        <v>Mouse, Optical, USB 2.0</v>
      </c>
      <c r="Z520" s="329" t="s">
        <v>2946</v>
      </c>
      <c r="AA520" s="329"/>
      <c r="AB520" s="345"/>
      <c r="AC520" s="339"/>
    </row>
    <row r="521" spans="1:29" hidden="1">
      <c r="A521" s="329"/>
      <c r="B521" s="334" t="s">
        <v>493</v>
      </c>
      <c r="C521" s="340">
        <v>1</v>
      </c>
      <c r="D521" s="335" t="s">
        <v>103</v>
      </c>
      <c r="E521" s="385">
        <v>8500</v>
      </c>
      <c r="F521" s="385">
        <v>8500</v>
      </c>
      <c r="G521" s="407" t="s">
        <v>3038</v>
      </c>
      <c r="H521" s="335">
        <v>1</v>
      </c>
      <c r="I521" s="340">
        <v>1</v>
      </c>
      <c r="J521" s="344"/>
      <c r="K521" s="344"/>
      <c r="L521" s="335">
        <v>0</v>
      </c>
      <c r="M521" s="340"/>
      <c r="N521" s="344"/>
      <c r="O521" s="344"/>
      <c r="P521" s="335">
        <v>0</v>
      </c>
      <c r="Q521" s="340"/>
      <c r="R521" s="344"/>
      <c r="S521" s="344"/>
      <c r="T521" s="335">
        <v>0</v>
      </c>
      <c r="U521" s="341"/>
      <c r="V521" s="341"/>
      <c r="W521" s="341"/>
      <c r="X521" s="329" t="s">
        <v>3077</v>
      </c>
      <c r="Y521" s="330"/>
      <c r="Z521" s="329" t="s">
        <v>2962</v>
      </c>
      <c r="AA521" s="329"/>
      <c r="AB521" s="345"/>
      <c r="AC521" s="339"/>
    </row>
    <row r="522" spans="1:29" hidden="1">
      <c r="A522" s="329"/>
      <c r="B522" s="334" t="s">
        <v>568</v>
      </c>
      <c r="C522" s="340">
        <v>2</v>
      </c>
      <c r="D522" s="335" t="s">
        <v>103</v>
      </c>
      <c r="E522" s="385">
        <v>3500</v>
      </c>
      <c r="F522" s="385">
        <v>7000</v>
      </c>
      <c r="G522" s="407" t="s">
        <v>3038</v>
      </c>
      <c r="H522" s="335">
        <v>1</v>
      </c>
      <c r="I522" s="340">
        <v>1</v>
      </c>
      <c r="J522" s="344"/>
      <c r="K522" s="344"/>
      <c r="L522" s="335">
        <v>0</v>
      </c>
      <c r="M522" s="340"/>
      <c r="N522" s="344"/>
      <c r="O522" s="344"/>
      <c r="P522" s="335">
        <v>1</v>
      </c>
      <c r="Q522" s="340">
        <v>1</v>
      </c>
      <c r="R522" s="344"/>
      <c r="S522" s="344"/>
      <c r="T522" s="335">
        <v>0</v>
      </c>
      <c r="U522" s="341"/>
      <c r="V522" s="341"/>
      <c r="W522" s="341"/>
      <c r="X522" s="329" t="s">
        <v>3077</v>
      </c>
      <c r="Y522" s="369" t="str">
        <f>DB!$D$6</f>
        <v>UPS 650VA, AVR, 230V</v>
      </c>
      <c r="Z522" s="329" t="s">
        <v>8</v>
      </c>
      <c r="AA522" s="329"/>
      <c r="AB522" s="345"/>
      <c r="AC522" s="339"/>
    </row>
    <row r="523" spans="1:29" hidden="1">
      <c r="A523" s="329"/>
      <c r="B523" s="338" t="s">
        <v>483</v>
      </c>
      <c r="C523" s="344">
        <v>1</v>
      </c>
      <c r="D523" s="335" t="s">
        <v>103</v>
      </c>
      <c r="E523" s="385">
        <v>2500</v>
      </c>
      <c r="F523" s="385">
        <v>2500</v>
      </c>
      <c r="G523" s="407" t="s">
        <v>3038</v>
      </c>
      <c r="H523" s="335">
        <v>1</v>
      </c>
      <c r="I523" s="340">
        <v>1</v>
      </c>
      <c r="J523" s="344"/>
      <c r="K523" s="344"/>
      <c r="L523" s="335">
        <v>0</v>
      </c>
      <c r="M523" s="340"/>
      <c r="N523" s="344"/>
      <c r="O523" s="344"/>
      <c r="P523" s="335">
        <v>0</v>
      </c>
      <c r="Q523" s="340"/>
      <c r="R523" s="344"/>
      <c r="S523" s="344"/>
      <c r="T523" s="335">
        <v>0</v>
      </c>
      <c r="U523" s="341"/>
      <c r="V523" s="341"/>
      <c r="W523" s="341"/>
      <c r="X523" s="329" t="s">
        <v>3077</v>
      </c>
      <c r="Y523" s="330"/>
      <c r="Z523" s="329" t="s">
        <v>11</v>
      </c>
      <c r="AA523" s="329"/>
      <c r="AB523" s="345"/>
      <c r="AC523" s="339"/>
    </row>
    <row r="524" spans="1:29">
      <c r="A524" s="329"/>
      <c r="B524" s="334" t="s">
        <v>3078</v>
      </c>
      <c r="C524" s="344">
        <v>1</v>
      </c>
      <c r="D524" s="335" t="s">
        <v>466</v>
      </c>
      <c r="E524" s="335" t="s">
        <v>3079</v>
      </c>
      <c r="F524" s="335" t="s">
        <v>3079</v>
      </c>
      <c r="G524" s="407" t="s">
        <v>3038</v>
      </c>
      <c r="H524" s="335">
        <v>1</v>
      </c>
      <c r="I524" s="340">
        <v>1</v>
      </c>
      <c r="J524" s="344"/>
      <c r="K524" s="344"/>
      <c r="L524" s="335">
        <v>0</v>
      </c>
      <c r="M524" s="340"/>
      <c r="N524" s="344"/>
      <c r="O524" s="344"/>
      <c r="P524" s="335">
        <v>0</v>
      </c>
      <c r="Q524" s="340"/>
      <c r="R524" s="344"/>
      <c r="S524" s="344"/>
      <c r="T524" s="335">
        <v>0</v>
      </c>
      <c r="U524" s="341"/>
      <c r="V524" s="341"/>
      <c r="W524" s="341"/>
      <c r="X524" s="329" t="s">
        <v>3077</v>
      </c>
      <c r="Y524" s="330" t="str">
        <f>DB!$D$194</f>
        <v>Branded Desktop Computer Set</v>
      </c>
      <c r="Z524" s="329" t="s">
        <v>2964</v>
      </c>
      <c r="AA524" s="329"/>
      <c r="AB524" s="345"/>
      <c r="AC524" s="339"/>
    </row>
    <row r="525" spans="1:29" hidden="1">
      <c r="A525" s="329"/>
      <c r="B525" s="334" t="s">
        <v>817</v>
      </c>
      <c r="C525" s="344">
        <v>1</v>
      </c>
      <c r="D525" s="335" t="s">
        <v>103</v>
      </c>
      <c r="E525" s="385">
        <v>2500</v>
      </c>
      <c r="F525" s="385">
        <v>2500</v>
      </c>
      <c r="G525" s="407" t="s">
        <v>3038</v>
      </c>
      <c r="H525" s="335">
        <v>1</v>
      </c>
      <c r="I525" s="340">
        <v>1</v>
      </c>
      <c r="J525" s="344"/>
      <c r="K525" s="344"/>
      <c r="L525" s="335">
        <v>0</v>
      </c>
      <c r="M525" s="340"/>
      <c r="N525" s="344"/>
      <c r="O525" s="344"/>
      <c r="P525" s="335">
        <v>0</v>
      </c>
      <c r="Q525" s="340"/>
      <c r="R525" s="344"/>
      <c r="S525" s="344"/>
      <c r="T525" s="335">
        <v>0</v>
      </c>
      <c r="U525" s="341"/>
      <c r="V525" s="341"/>
      <c r="W525" s="341"/>
      <c r="X525" s="329" t="s">
        <v>3077</v>
      </c>
      <c r="Y525" s="330" t="str">
        <f>DB!$D$37</f>
        <v>Single Line Telephone (Black)</v>
      </c>
      <c r="Z525" s="329" t="s">
        <v>8</v>
      </c>
      <c r="AA525" s="329"/>
      <c r="AB525" s="345"/>
      <c r="AC525" s="339"/>
    </row>
    <row r="526" spans="1:29" hidden="1">
      <c r="A526" s="329"/>
      <c r="B526" s="334" t="s">
        <v>3041</v>
      </c>
      <c r="C526" s="343">
        <v>40</v>
      </c>
      <c r="D526" s="343" t="s">
        <v>571</v>
      </c>
      <c r="E526" s="341">
        <v>350</v>
      </c>
      <c r="F526" s="342">
        <v>7000</v>
      </c>
      <c r="G526" s="394" t="s">
        <v>3038</v>
      </c>
      <c r="H526" s="343">
        <v>10</v>
      </c>
      <c r="I526" s="343">
        <v>5</v>
      </c>
      <c r="J526" s="343">
        <v>5</v>
      </c>
      <c r="K526" s="343">
        <v>0</v>
      </c>
      <c r="L526" s="343">
        <v>10</v>
      </c>
      <c r="M526" s="343">
        <v>5</v>
      </c>
      <c r="N526" s="343">
        <v>5</v>
      </c>
      <c r="O526" s="343">
        <v>0</v>
      </c>
      <c r="P526" s="343">
        <v>10</v>
      </c>
      <c r="Q526" s="343">
        <v>5</v>
      </c>
      <c r="R526" s="343">
        <v>5</v>
      </c>
      <c r="S526" s="343">
        <v>0</v>
      </c>
      <c r="T526" s="343">
        <v>10</v>
      </c>
      <c r="U526" s="343">
        <v>5</v>
      </c>
      <c r="V526" s="343">
        <v>5</v>
      </c>
      <c r="W526" s="335">
        <v>0</v>
      </c>
      <c r="X526" s="329" t="s">
        <v>3077</v>
      </c>
      <c r="Y526" s="361" t="s">
        <v>199</v>
      </c>
      <c r="Z526" s="329" t="s">
        <v>8</v>
      </c>
      <c r="AA526" s="329"/>
      <c r="AB526" s="345"/>
      <c r="AC526" s="339"/>
    </row>
    <row r="527" spans="1:29" hidden="1">
      <c r="A527" s="329"/>
      <c r="B527" s="334" t="s">
        <v>3042</v>
      </c>
      <c r="C527" s="341">
        <v>20</v>
      </c>
      <c r="D527" s="341" t="s">
        <v>571</v>
      </c>
      <c r="E527" s="341">
        <v>350</v>
      </c>
      <c r="F527" s="347">
        <v>7000</v>
      </c>
      <c r="G527" s="394" t="s">
        <v>3038</v>
      </c>
      <c r="H527" s="341">
        <v>5</v>
      </c>
      <c r="I527" s="341">
        <v>5</v>
      </c>
      <c r="J527" s="341">
        <v>0</v>
      </c>
      <c r="K527" s="341">
        <v>0</v>
      </c>
      <c r="L527" s="341">
        <v>5</v>
      </c>
      <c r="M527" s="341">
        <v>5</v>
      </c>
      <c r="N527" s="341">
        <v>0</v>
      </c>
      <c r="O527" s="341">
        <v>0</v>
      </c>
      <c r="P527" s="341">
        <v>5</v>
      </c>
      <c r="Q527" s="341">
        <v>5</v>
      </c>
      <c r="R527" s="341">
        <v>0</v>
      </c>
      <c r="S527" s="341">
        <v>0</v>
      </c>
      <c r="T527" s="341">
        <v>5</v>
      </c>
      <c r="U527" s="341">
        <v>5</v>
      </c>
      <c r="V527" s="341">
        <v>0</v>
      </c>
      <c r="W527" s="335">
        <v>0</v>
      </c>
      <c r="X527" s="329" t="s">
        <v>3077</v>
      </c>
      <c r="Y527" s="361" t="s">
        <v>209</v>
      </c>
      <c r="Z527" s="329" t="s">
        <v>8</v>
      </c>
      <c r="AA527" s="329"/>
      <c r="AB527" s="345"/>
      <c r="AC527" s="339"/>
    </row>
    <row r="528" spans="1:29" ht="31.5" hidden="1">
      <c r="A528" s="329"/>
      <c r="B528" s="334" t="s">
        <v>3043</v>
      </c>
      <c r="C528" s="341">
        <v>20</v>
      </c>
      <c r="D528" s="341" t="s">
        <v>571</v>
      </c>
      <c r="E528" s="341">
        <v>350</v>
      </c>
      <c r="F528" s="347">
        <v>7000</v>
      </c>
      <c r="G528" s="394" t="s">
        <v>3038</v>
      </c>
      <c r="H528" s="341">
        <v>5</v>
      </c>
      <c r="I528" s="341">
        <v>5</v>
      </c>
      <c r="J528" s="341">
        <v>0</v>
      </c>
      <c r="K528" s="341">
        <v>0</v>
      </c>
      <c r="L528" s="341">
        <v>5</v>
      </c>
      <c r="M528" s="341">
        <v>5</v>
      </c>
      <c r="N528" s="341">
        <v>0</v>
      </c>
      <c r="O528" s="341">
        <v>0</v>
      </c>
      <c r="P528" s="341">
        <v>5</v>
      </c>
      <c r="Q528" s="341">
        <v>5</v>
      </c>
      <c r="R528" s="341">
        <v>0</v>
      </c>
      <c r="S528" s="341">
        <v>0</v>
      </c>
      <c r="T528" s="341">
        <v>5</v>
      </c>
      <c r="U528" s="341">
        <v>5</v>
      </c>
      <c r="V528" s="341">
        <v>0</v>
      </c>
      <c r="W528" s="335">
        <v>0</v>
      </c>
      <c r="X528" s="329" t="s">
        <v>3077</v>
      </c>
      <c r="Y528" s="361" t="s">
        <v>210</v>
      </c>
      <c r="Z528" s="329" t="s">
        <v>8</v>
      </c>
      <c r="AA528" s="329"/>
      <c r="AB528" s="345"/>
      <c r="AC528" s="339"/>
    </row>
    <row r="529" spans="1:29" hidden="1">
      <c r="A529" s="329"/>
      <c r="B529" s="334" t="s">
        <v>3044</v>
      </c>
      <c r="C529" s="341">
        <v>20</v>
      </c>
      <c r="D529" s="341" t="s">
        <v>571</v>
      </c>
      <c r="E529" s="341">
        <v>350</v>
      </c>
      <c r="F529" s="347">
        <v>7000</v>
      </c>
      <c r="G529" s="394" t="s">
        <v>3038</v>
      </c>
      <c r="H529" s="341">
        <v>5</v>
      </c>
      <c r="I529" s="341">
        <v>5</v>
      </c>
      <c r="J529" s="341">
        <v>0</v>
      </c>
      <c r="K529" s="341">
        <v>0</v>
      </c>
      <c r="L529" s="341">
        <v>5</v>
      </c>
      <c r="M529" s="341">
        <v>5</v>
      </c>
      <c r="N529" s="341">
        <v>0</v>
      </c>
      <c r="O529" s="341">
        <v>0</v>
      </c>
      <c r="P529" s="341">
        <v>5</v>
      </c>
      <c r="Q529" s="341">
        <v>5</v>
      </c>
      <c r="R529" s="341">
        <v>0</v>
      </c>
      <c r="S529" s="341">
        <v>0</v>
      </c>
      <c r="T529" s="341">
        <v>5</v>
      </c>
      <c r="U529" s="341">
        <v>5</v>
      </c>
      <c r="V529" s="341">
        <v>0</v>
      </c>
      <c r="W529" s="335">
        <v>0</v>
      </c>
      <c r="X529" s="329" t="s">
        <v>3077</v>
      </c>
      <c r="Y529" s="361" t="s">
        <v>211</v>
      </c>
      <c r="Z529" s="329" t="s">
        <v>8</v>
      </c>
      <c r="AA529" s="329"/>
      <c r="AB529" s="345"/>
      <c r="AC529" s="339"/>
    </row>
    <row r="530" spans="1:29" hidden="1">
      <c r="A530" s="329"/>
      <c r="B530" s="334" t="s">
        <v>3080</v>
      </c>
      <c r="C530" s="341">
        <v>40</v>
      </c>
      <c r="D530" s="341" t="s">
        <v>571</v>
      </c>
      <c r="E530" s="341">
        <v>320</v>
      </c>
      <c r="F530" s="341" t="s">
        <v>3079</v>
      </c>
      <c r="G530" s="394" t="s">
        <v>3038</v>
      </c>
      <c r="H530" s="341">
        <v>10</v>
      </c>
      <c r="I530" s="341">
        <v>5</v>
      </c>
      <c r="J530" s="341">
        <v>5</v>
      </c>
      <c r="K530" s="341">
        <v>0</v>
      </c>
      <c r="L530" s="341">
        <v>10</v>
      </c>
      <c r="M530" s="341">
        <v>5</v>
      </c>
      <c r="N530" s="341">
        <v>5</v>
      </c>
      <c r="O530" s="341">
        <v>0</v>
      </c>
      <c r="P530" s="341">
        <v>10</v>
      </c>
      <c r="Q530" s="341">
        <v>5</v>
      </c>
      <c r="R530" s="341">
        <v>5</v>
      </c>
      <c r="S530" s="341">
        <v>0</v>
      </c>
      <c r="T530" s="341">
        <v>10</v>
      </c>
      <c r="U530" s="341">
        <v>5</v>
      </c>
      <c r="V530" s="341">
        <v>5</v>
      </c>
      <c r="W530" s="335">
        <v>0</v>
      </c>
      <c r="X530" s="329" t="s">
        <v>3077</v>
      </c>
      <c r="Y530" s="330" t="str">
        <f>DB!$D$102</f>
        <v>Epson Genuine Ink T6641 Black</v>
      </c>
      <c r="Z530" s="329" t="s">
        <v>8</v>
      </c>
      <c r="AA530" s="329"/>
      <c r="AB530" s="345"/>
      <c r="AC530" s="339"/>
    </row>
    <row r="531" spans="1:29" hidden="1">
      <c r="A531" s="329"/>
      <c r="B531" s="334" t="s">
        <v>3081</v>
      </c>
      <c r="C531" s="341">
        <v>20</v>
      </c>
      <c r="D531" s="341" t="s">
        <v>571</v>
      </c>
      <c r="E531" s="341">
        <v>320</v>
      </c>
      <c r="F531" s="347">
        <v>6400</v>
      </c>
      <c r="G531" s="394" t="s">
        <v>3038</v>
      </c>
      <c r="H531" s="341">
        <v>5</v>
      </c>
      <c r="I531" s="341">
        <v>5</v>
      </c>
      <c r="J531" s="341">
        <v>0</v>
      </c>
      <c r="K531" s="341">
        <v>0</v>
      </c>
      <c r="L531" s="341">
        <v>5</v>
      </c>
      <c r="M531" s="341">
        <v>5</v>
      </c>
      <c r="N531" s="341">
        <v>0</v>
      </c>
      <c r="O531" s="341">
        <v>0</v>
      </c>
      <c r="P531" s="341">
        <v>5</v>
      </c>
      <c r="Q531" s="341">
        <v>5</v>
      </c>
      <c r="R531" s="341">
        <v>0</v>
      </c>
      <c r="S531" s="341">
        <v>0</v>
      </c>
      <c r="T531" s="341">
        <v>5</v>
      </c>
      <c r="U531" s="341">
        <v>5</v>
      </c>
      <c r="V531" s="341">
        <v>0</v>
      </c>
      <c r="W531" s="335">
        <v>0</v>
      </c>
      <c r="X531" s="329" t="s">
        <v>3077</v>
      </c>
      <c r="Y531" s="330" t="str">
        <f>DB!$D$103</f>
        <v>Epson Genuine Ink T6642 Cyan</v>
      </c>
      <c r="Z531" s="351" t="s">
        <v>8</v>
      </c>
      <c r="AA531" s="329"/>
      <c r="AB531" s="345"/>
      <c r="AC531" s="339"/>
    </row>
    <row r="532" spans="1:29" ht="31.5" hidden="1">
      <c r="A532" s="329"/>
      <c r="B532" s="334" t="s">
        <v>3082</v>
      </c>
      <c r="C532" s="341">
        <v>20</v>
      </c>
      <c r="D532" s="341" t="s">
        <v>571</v>
      </c>
      <c r="E532" s="341">
        <v>320</v>
      </c>
      <c r="F532" s="347">
        <v>6400</v>
      </c>
      <c r="G532" s="394" t="s">
        <v>3038</v>
      </c>
      <c r="H532" s="341">
        <v>5</v>
      </c>
      <c r="I532" s="341">
        <v>5</v>
      </c>
      <c r="J532" s="341">
        <v>0</v>
      </c>
      <c r="K532" s="341">
        <v>0</v>
      </c>
      <c r="L532" s="341">
        <v>5</v>
      </c>
      <c r="M532" s="341">
        <v>5</v>
      </c>
      <c r="N532" s="341">
        <v>0</v>
      </c>
      <c r="O532" s="341">
        <v>0</v>
      </c>
      <c r="P532" s="341">
        <v>5</v>
      </c>
      <c r="Q532" s="341">
        <v>5</v>
      </c>
      <c r="R532" s="341">
        <v>0</v>
      </c>
      <c r="S532" s="341">
        <v>0</v>
      </c>
      <c r="T532" s="341">
        <v>5</v>
      </c>
      <c r="U532" s="341">
        <v>5</v>
      </c>
      <c r="V532" s="341">
        <v>0</v>
      </c>
      <c r="W532" s="335">
        <v>0</v>
      </c>
      <c r="X532" s="329" t="s">
        <v>3077</v>
      </c>
      <c r="Y532" s="330" t="str">
        <f>DB!$D$105</f>
        <v>Epson Genuine Ink T6644 Yellow</v>
      </c>
      <c r="Z532" s="351" t="s">
        <v>8</v>
      </c>
      <c r="AA532" s="329"/>
      <c r="AB532" s="345"/>
      <c r="AC532" s="339"/>
    </row>
    <row r="533" spans="1:29" ht="31.5" hidden="1">
      <c r="A533" s="329"/>
      <c r="B533" s="334" t="s">
        <v>3083</v>
      </c>
      <c r="C533" s="341">
        <v>20</v>
      </c>
      <c r="D533" s="341" t="s">
        <v>571</v>
      </c>
      <c r="E533" s="341">
        <v>320</v>
      </c>
      <c r="F533" s="347">
        <v>6400</v>
      </c>
      <c r="G533" s="394" t="s">
        <v>3038</v>
      </c>
      <c r="H533" s="341">
        <v>10</v>
      </c>
      <c r="I533" s="341">
        <v>5</v>
      </c>
      <c r="J533" s="341">
        <v>5</v>
      </c>
      <c r="K533" s="341">
        <v>0</v>
      </c>
      <c r="L533" s="341">
        <v>10</v>
      </c>
      <c r="M533" s="341">
        <v>5</v>
      </c>
      <c r="N533" s="341">
        <v>5</v>
      </c>
      <c r="O533" s="341">
        <v>0</v>
      </c>
      <c r="P533" s="341">
        <v>10</v>
      </c>
      <c r="Q533" s="341">
        <v>5</v>
      </c>
      <c r="R533" s="341">
        <v>5</v>
      </c>
      <c r="S533" s="341">
        <v>0</v>
      </c>
      <c r="T533" s="341">
        <v>10</v>
      </c>
      <c r="U533" s="341">
        <v>5</v>
      </c>
      <c r="V533" s="341">
        <v>5</v>
      </c>
      <c r="W533" s="335">
        <v>0</v>
      </c>
      <c r="X533" s="329" t="s">
        <v>3077</v>
      </c>
      <c r="Y533" s="330" t="str">
        <f>DB!$D$104</f>
        <v>Epson Genuine Ink T6643 Magenta</v>
      </c>
      <c r="Z533" s="351" t="s">
        <v>8</v>
      </c>
      <c r="AA533" s="329"/>
      <c r="AB533" s="345"/>
      <c r="AC533" s="339"/>
    </row>
    <row r="534" spans="1:29" ht="31.5" hidden="1">
      <c r="A534" s="329"/>
      <c r="B534" s="334" t="s">
        <v>1561</v>
      </c>
      <c r="C534" s="341">
        <v>40</v>
      </c>
      <c r="D534" s="341" t="s">
        <v>571</v>
      </c>
      <c r="E534" s="341">
        <v>399</v>
      </c>
      <c r="F534" s="341" t="s">
        <v>3079</v>
      </c>
      <c r="G534" s="394" t="s">
        <v>3038</v>
      </c>
      <c r="H534" s="341">
        <v>10</v>
      </c>
      <c r="I534" s="341">
        <v>5</v>
      </c>
      <c r="J534" s="341">
        <v>5</v>
      </c>
      <c r="K534" s="341">
        <v>0</v>
      </c>
      <c r="L534" s="341">
        <v>10</v>
      </c>
      <c r="M534" s="341">
        <v>5</v>
      </c>
      <c r="N534" s="341">
        <v>5</v>
      </c>
      <c r="O534" s="341">
        <v>0</v>
      </c>
      <c r="P534" s="341">
        <v>10</v>
      </c>
      <c r="Q534" s="341">
        <v>5</v>
      </c>
      <c r="R534" s="341">
        <v>5</v>
      </c>
      <c r="S534" s="341">
        <v>0</v>
      </c>
      <c r="T534" s="341">
        <v>10</v>
      </c>
      <c r="U534" s="341">
        <v>5</v>
      </c>
      <c r="V534" s="341">
        <v>5</v>
      </c>
      <c r="W534" s="335">
        <v>0</v>
      </c>
      <c r="X534" s="329" t="s">
        <v>3077</v>
      </c>
      <c r="Y534" s="330" t="str">
        <f>DB!$D$178</f>
        <v>Canon Ink Bottle Refill GI -790 Black</v>
      </c>
      <c r="Z534" s="351" t="s">
        <v>8</v>
      </c>
      <c r="AA534" s="329"/>
      <c r="AB534" s="345"/>
      <c r="AC534" s="339"/>
    </row>
    <row r="535" spans="1:29" ht="31.5" hidden="1">
      <c r="A535" s="329"/>
      <c r="B535" s="334" t="s">
        <v>1564</v>
      </c>
      <c r="C535" s="341">
        <v>20</v>
      </c>
      <c r="D535" s="341" t="s">
        <v>571</v>
      </c>
      <c r="E535" s="341">
        <v>399</v>
      </c>
      <c r="F535" s="347">
        <v>7980</v>
      </c>
      <c r="G535" s="394" t="s">
        <v>3038</v>
      </c>
      <c r="H535" s="341">
        <v>10</v>
      </c>
      <c r="I535" s="341">
        <v>5</v>
      </c>
      <c r="J535" s="341">
        <v>5</v>
      </c>
      <c r="K535" s="341">
        <v>0</v>
      </c>
      <c r="L535" s="341">
        <v>10</v>
      </c>
      <c r="M535" s="341">
        <v>5</v>
      </c>
      <c r="N535" s="341">
        <v>5</v>
      </c>
      <c r="O535" s="341">
        <v>0</v>
      </c>
      <c r="P535" s="341">
        <v>10</v>
      </c>
      <c r="Q535" s="341">
        <v>5</v>
      </c>
      <c r="R535" s="341">
        <v>5</v>
      </c>
      <c r="S535" s="341">
        <v>0</v>
      </c>
      <c r="T535" s="341">
        <v>10</v>
      </c>
      <c r="U535" s="341">
        <v>5</v>
      </c>
      <c r="V535" s="341">
        <v>5</v>
      </c>
      <c r="W535" s="335">
        <v>0</v>
      </c>
      <c r="X535" s="329" t="s">
        <v>3077</v>
      </c>
      <c r="Y535" s="330" t="str">
        <f>DB!$D$179</f>
        <v>Canon Ink Bottle Refill GI -790 Cyan</v>
      </c>
      <c r="Z535" s="351" t="s">
        <v>8</v>
      </c>
      <c r="AA535" s="329"/>
      <c r="AB535" s="345"/>
      <c r="AC535" s="339"/>
    </row>
    <row r="536" spans="1:29" ht="31.5" hidden="1">
      <c r="A536" s="329"/>
      <c r="B536" s="334" t="s">
        <v>1566</v>
      </c>
      <c r="C536" s="341">
        <v>20</v>
      </c>
      <c r="D536" s="341" t="s">
        <v>571</v>
      </c>
      <c r="E536" s="341">
        <v>399</v>
      </c>
      <c r="F536" s="347">
        <v>7980</v>
      </c>
      <c r="G536" s="394" t="s">
        <v>3038</v>
      </c>
      <c r="H536" s="341">
        <v>10</v>
      </c>
      <c r="I536" s="341">
        <v>5</v>
      </c>
      <c r="J536" s="341">
        <v>5</v>
      </c>
      <c r="K536" s="341">
        <v>0</v>
      </c>
      <c r="L536" s="341">
        <v>10</v>
      </c>
      <c r="M536" s="341">
        <v>5</v>
      </c>
      <c r="N536" s="341">
        <v>5</v>
      </c>
      <c r="O536" s="341">
        <v>0</v>
      </c>
      <c r="P536" s="341">
        <v>10</v>
      </c>
      <c r="Q536" s="341">
        <v>5</v>
      </c>
      <c r="R536" s="341">
        <v>5</v>
      </c>
      <c r="S536" s="341">
        <v>0</v>
      </c>
      <c r="T536" s="341">
        <v>10</v>
      </c>
      <c r="U536" s="341">
        <v>5</v>
      </c>
      <c r="V536" s="341">
        <v>5</v>
      </c>
      <c r="W536" s="335">
        <v>0</v>
      </c>
      <c r="X536" s="329" t="s">
        <v>3077</v>
      </c>
      <c r="Y536" s="330" t="str">
        <f>DB!$D$180</f>
        <v>Canon Ink Bottle Refill GI -790 Yellow</v>
      </c>
      <c r="Z536" s="351" t="s">
        <v>8</v>
      </c>
      <c r="AA536" s="329"/>
      <c r="AB536" s="345"/>
      <c r="AC536" s="339"/>
    </row>
    <row r="537" spans="1:29" ht="31.5" hidden="1">
      <c r="A537" s="329"/>
      <c r="B537" s="334" t="s">
        <v>1568</v>
      </c>
      <c r="C537" s="341">
        <v>20</v>
      </c>
      <c r="D537" s="341" t="s">
        <v>571</v>
      </c>
      <c r="E537" s="341">
        <v>399</v>
      </c>
      <c r="F537" s="347">
        <v>7980</v>
      </c>
      <c r="G537" s="394" t="s">
        <v>3038</v>
      </c>
      <c r="H537" s="341">
        <v>10</v>
      </c>
      <c r="I537" s="341">
        <v>5</v>
      </c>
      <c r="J537" s="341">
        <v>5</v>
      </c>
      <c r="K537" s="341">
        <v>0</v>
      </c>
      <c r="L537" s="341">
        <v>10</v>
      </c>
      <c r="M537" s="341">
        <v>5</v>
      </c>
      <c r="N537" s="341">
        <v>5</v>
      </c>
      <c r="O537" s="341">
        <v>0</v>
      </c>
      <c r="P537" s="341">
        <v>10</v>
      </c>
      <c r="Q537" s="341">
        <v>5</v>
      </c>
      <c r="R537" s="341">
        <v>5</v>
      </c>
      <c r="S537" s="341">
        <v>0</v>
      </c>
      <c r="T537" s="341">
        <v>10</v>
      </c>
      <c r="U537" s="341">
        <v>5</v>
      </c>
      <c r="V537" s="341">
        <v>5</v>
      </c>
      <c r="W537" s="335">
        <v>0</v>
      </c>
      <c r="X537" s="329" t="s">
        <v>3077</v>
      </c>
      <c r="Y537" s="330" t="str">
        <f>DB!$D$181</f>
        <v>Canon Ink Bottle Refill GI -790 Magenta</v>
      </c>
      <c r="Z537" s="351" t="s">
        <v>8</v>
      </c>
      <c r="AA537" s="329"/>
      <c r="AB537" s="345"/>
      <c r="AC537" s="339"/>
    </row>
    <row r="538" spans="1:29" hidden="1">
      <c r="A538" s="329"/>
      <c r="B538" s="338" t="s">
        <v>3084</v>
      </c>
      <c r="C538" s="343">
        <v>1</v>
      </c>
      <c r="D538" s="343" t="s">
        <v>103</v>
      </c>
      <c r="E538" s="343">
        <v>10000</v>
      </c>
      <c r="F538" s="343">
        <v>10000</v>
      </c>
      <c r="G538" s="343" t="s">
        <v>342</v>
      </c>
      <c r="H538" s="343">
        <v>1</v>
      </c>
      <c r="I538" s="343">
        <v>1</v>
      </c>
      <c r="J538" s="343">
        <v>0</v>
      </c>
      <c r="K538" s="343">
        <v>0</v>
      </c>
      <c r="L538" s="343">
        <v>0</v>
      </c>
      <c r="M538" s="343">
        <v>0</v>
      </c>
      <c r="N538" s="343">
        <v>0</v>
      </c>
      <c r="O538" s="343">
        <v>0</v>
      </c>
      <c r="P538" s="343">
        <v>0</v>
      </c>
      <c r="Q538" s="343">
        <v>0</v>
      </c>
      <c r="R538" s="343">
        <v>0</v>
      </c>
      <c r="S538" s="343">
        <v>0</v>
      </c>
      <c r="T538" s="343">
        <v>0</v>
      </c>
      <c r="U538" s="343">
        <v>0</v>
      </c>
      <c r="V538" s="343">
        <v>0</v>
      </c>
      <c r="W538" s="343">
        <v>0</v>
      </c>
      <c r="X538" s="329" t="s">
        <v>130</v>
      </c>
      <c r="Y538" s="330"/>
      <c r="Z538" s="329" t="s">
        <v>2962</v>
      </c>
      <c r="AA538" s="329"/>
      <c r="AB538" s="345"/>
      <c r="AC538" s="339"/>
    </row>
    <row r="539" spans="1:29" hidden="1">
      <c r="A539" s="329"/>
      <c r="B539" s="370" t="s">
        <v>873</v>
      </c>
      <c r="C539" s="371">
        <v>4</v>
      </c>
      <c r="D539" s="371" t="s">
        <v>103</v>
      </c>
      <c r="E539" s="379"/>
      <c r="F539" s="371"/>
      <c r="G539" s="371">
        <v>380</v>
      </c>
      <c r="H539" s="374">
        <v>1520</v>
      </c>
      <c r="I539" s="371">
        <v>2</v>
      </c>
      <c r="J539" s="371">
        <v>760</v>
      </c>
      <c r="K539" s="371"/>
      <c r="L539" s="371"/>
      <c r="M539" s="371">
        <v>2</v>
      </c>
      <c r="N539" s="371">
        <v>760</v>
      </c>
      <c r="O539" s="371"/>
      <c r="P539" s="371"/>
      <c r="Q539" s="371"/>
      <c r="R539" s="371"/>
      <c r="S539" s="329"/>
      <c r="T539" s="329"/>
      <c r="U539" s="329"/>
      <c r="V539" s="329"/>
      <c r="W539" s="329"/>
      <c r="X539" s="329" t="s">
        <v>181</v>
      </c>
      <c r="Y539" s="336" t="str">
        <f>DB!$D$168</f>
        <v>Keyboard, Full Size, USB 2.0</v>
      </c>
      <c r="Z539" s="329" t="s">
        <v>2946</v>
      </c>
      <c r="AA539" s="329"/>
      <c r="AB539" s="345"/>
      <c r="AC539" s="339"/>
    </row>
    <row r="540" spans="1:29" hidden="1">
      <c r="A540" s="329"/>
      <c r="B540" s="372" t="s">
        <v>924</v>
      </c>
      <c r="C540" s="373">
        <v>8</v>
      </c>
      <c r="D540" s="373" t="s">
        <v>103</v>
      </c>
      <c r="E540" s="379"/>
      <c r="F540" s="373"/>
      <c r="G540" s="373">
        <v>380</v>
      </c>
      <c r="H540" s="348">
        <v>3040</v>
      </c>
      <c r="I540" s="373">
        <v>4</v>
      </c>
      <c r="J540" s="348">
        <v>1520</v>
      </c>
      <c r="K540" s="373"/>
      <c r="L540" s="373"/>
      <c r="M540" s="373">
        <v>4</v>
      </c>
      <c r="N540" s="348">
        <v>1520</v>
      </c>
      <c r="O540" s="373"/>
      <c r="P540" s="373"/>
      <c r="Q540" s="373"/>
      <c r="R540" s="373"/>
      <c r="S540" s="329"/>
      <c r="T540" s="329"/>
      <c r="U540" s="329"/>
      <c r="V540" s="329"/>
      <c r="W540" s="329"/>
      <c r="X540" s="329" t="s">
        <v>181</v>
      </c>
      <c r="Y540" s="346" t="str">
        <f>DB!$D$169</f>
        <v>Mouse, Optical, USB 2.0</v>
      </c>
      <c r="Z540" s="329" t="s">
        <v>2946</v>
      </c>
      <c r="AA540" s="329"/>
      <c r="AB540" s="345"/>
      <c r="AC540" s="339"/>
    </row>
    <row r="541" spans="1:29" hidden="1">
      <c r="A541" s="329"/>
      <c r="B541" s="372" t="s">
        <v>925</v>
      </c>
      <c r="C541" s="373">
        <v>2</v>
      </c>
      <c r="D541" s="373" t="s">
        <v>103</v>
      </c>
      <c r="E541" s="379"/>
      <c r="F541" s="373"/>
      <c r="G541" s="348">
        <v>3500</v>
      </c>
      <c r="H541" s="348">
        <v>7000</v>
      </c>
      <c r="I541" s="373">
        <v>1</v>
      </c>
      <c r="J541" s="348">
        <v>3500</v>
      </c>
      <c r="K541" s="373"/>
      <c r="L541" s="373"/>
      <c r="M541" s="373"/>
      <c r="N541" s="373"/>
      <c r="O541" s="373"/>
      <c r="P541" s="373"/>
      <c r="Q541" s="373"/>
      <c r="R541" s="373"/>
      <c r="S541" s="329"/>
      <c r="T541" s="329"/>
      <c r="U541" s="329"/>
      <c r="V541" s="329"/>
      <c r="W541" s="329"/>
      <c r="X541" s="329" t="s">
        <v>181</v>
      </c>
      <c r="Y541" s="369" t="str">
        <f>DB!$D$6</f>
        <v>UPS 650VA, AVR, 230V</v>
      </c>
      <c r="Z541" s="329" t="s">
        <v>8</v>
      </c>
      <c r="AA541" s="329"/>
      <c r="AB541" s="345"/>
      <c r="AC541" s="339"/>
    </row>
    <row r="542" spans="1:29" hidden="1">
      <c r="A542" s="329"/>
      <c r="B542" s="372" t="s">
        <v>922</v>
      </c>
      <c r="C542" s="373">
        <v>3</v>
      </c>
      <c r="D542" s="373" t="s">
        <v>103</v>
      </c>
      <c r="E542" s="379"/>
      <c r="F542" s="373"/>
      <c r="G542" s="348">
        <v>8400</v>
      </c>
      <c r="H542" s="348">
        <v>2800</v>
      </c>
      <c r="I542" s="373">
        <v>3</v>
      </c>
      <c r="J542" s="348">
        <v>8400</v>
      </c>
      <c r="K542" s="373"/>
      <c r="L542" s="373"/>
      <c r="M542" s="373"/>
      <c r="N542" s="373"/>
      <c r="O542" s="373"/>
      <c r="P542" s="373"/>
      <c r="Q542" s="373"/>
      <c r="R542" s="373"/>
      <c r="S542" s="329"/>
      <c r="T542" s="329"/>
      <c r="U542" s="329"/>
      <c r="V542" s="329"/>
      <c r="W542" s="329"/>
      <c r="X542" s="329" t="s">
        <v>181</v>
      </c>
      <c r="Y542" s="330" t="str">
        <f>DB!$D$40</f>
        <v>21.5" FHD LED Monitor</v>
      </c>
      <c r="Z542" s="329" t="s">
        <v>8</v>
      </c>
      <c r="AA542" s="329"/>
      <c r="AB542" s="345"/>
      <c r="AC542" s="339"/>
    </row>
    <row r="543" spans="1:29">
      <c r="A543" s="329"/>
      <c r="B543" s="372" t="s">
        <v>523</v>
      </c>
      <c r="C543" s="373">
        <v>1</v>
      </c>
      <c r="D543" s="373" t="s">
        <v>103</v>
      </c>
      <c r="E543" s="379"/>
      <c r="F543" s="373"/>
      <c r="G543" s="373"/>
      <c r="H543" s="373"/>
      <c r="I543" s="373">
        <v>1</v>
      </c>
      <c r="J543" s="373"/>
      <c r="K543" s="373"/>
      <c r="L543" s="373"/>
      <c r="M543" s="373"/>
      <c r="N543" s="373"/>
      <c r="O543" s="373"/>
      <c r="P543" s="373"/>
      <c r="Q543" s="373"/>
      <c r="R543" s="373"/>
      <c r="S543" s="329"/>
      <c r="T543" s="329"/>
      <c r="U543" s="329"/>
      <c r="V543" s="329"/>
      <c r="W543" s="329"/>
      <c r="X543" s="329" t="s">
        <v>181</v>
      </c>
      <c r="Y543" s="330" t="str">
        <f>DB!$D$194</f>
        <v>Branded Desktop Computer Set</v>
      </c>
      <c r="Z543" s="329" t="s">
        <v>2964</v>
      </c>
      <c r="AA543" s="329"/>
      <c r="AB543" s="345"/>
      <c r="AC543" s="339"/>
    </row>
    <row r="544" spans="1:29" hidden="1">
      <c r="A544" s="329"/>
      <c r="B544" s="372" t="s">
        <v>482</v>
      </c>
      <c r="C544" s="373">
        <v>1</v>
      </c>
      <c r="D544" s="373" t="s">
        <v>103</v>
      </c>
      <c r="E544" s="379"/>
      <c r="F544" s="373"/>
      <c r="G544" s="348">
        <v>8500</v>
      </c>
      <c r="H544" s="348">
        <v>8500</v>
      </c>
      <c r="I544" s="373">
        <v>1</v>
      </c>
      <c r="J544" s="348">
        <v>8500</v>
      </c>
      <c r="K544" s="373"/>
      <c r="L544" s="373"/>
      <c r="M544" s="373"/>
      <c r="N544" s="373"/>
      <c r="O544" s="373"/>
      <c r="P544" s="373"/>
      <c r="Q544" s="373"/>
      <c r="R544" s="373"/>
      <c r="S544" s="329"/>
      <c r="T544" s="329"/>
      <c r="U544" s="329"/>
      <c r="V544" s="329"/>
      <c r="W544" s="329"/>
      <c r="X544" s="329" t="s">
        <v>181</v>
      </c>
      <c r="Y544" s="330"/>
      <c r="Z544" s="329" t="s">
        <v>2962</v>
      </c>
      <c r="AA544" s="329"/>
      <c r="AB544" s="345"/>
      <c r="AC544" s="339"/>
    </row>
    <row r="545" spans="1:29" hidden="1">
      <c r="A545" s="329"/>
      <c r="B545" s="334" t="s">
        <v>483</v>
      </c>
      <c r="C545" s="373">
        <v>1</v>
      </c>
      <c r="D545" s="341" t="s">
        <v>103</v>
      </c>
      <c r="E545" s="379">
        <v>150</v>
      </c>
      <c r="F545" s="373">
        <v>200</v>
      </c>
      <c r="G545" s="348">
        <v>2500</v>
      </c>
      <c r="H545" s="348">
        <v>2500</v>
      </c>
      <c r="I545" s="341">
        <v>1</v>
      </c>
      <c r="J545" s="348">
        <v>2500</v>
      </c>
      <c r="K545" s="373"/>
      <c r="L545" s="373"/>
      <c r="M545" s="373"/>
      <c r="N545" s="373"/>
      <c r="O545" s="373"/>
      <c r="P545" s="373"/>
      <c r="Q545" s="373"/>
      <c r="R545" s="373"/>
      <c r="S545" s="329"/>
      <c r="T545" s="329"/>
      <c r="U545" s="329"/>
      <c r="V545" s="329"/>
      <c r="W545" s="329"/>
      <c r="X545" s="329" t="s">
        <v>181</v>
      </c>
      <c r="Y545" s="330"/>
      <c r="Z545" s="329" t="s">
        <v>11</v>
      </c>
      <c r="AA545" s="329"/>
      <c r="AB545" s="345"/>
      <c r="AC545" s="339"/>
    </row>
    <row r="546" spans="1:29" hidden="1">
      <c r="A546" s="329"/>
      <c r="B546" s="334" t="s">
        <v>836</v>
      </c>
      <c r="C546" s="373">
        <v>1</v>
      </c>
      <c r="D546" s="341" t="s">
        <v>103</v>
      </c>
      <c r="E546" s="379"/>
      <c r="F546" s="373"/>
      <c r="G546" s="373"/>
      <c r="H546" s="373"/>
      <c r="I546" s="341"/>
      <c r="J546" s="373"/>
      <c r="K546" s="373"/>
      <c r="L546" s="373"/>
      <c r="M546" s="373"/>
      <c r="N546" s="373"/>
      <c r="O546" s="373"/>
      <c r="P546" s="373"/>
      <c r="Q546" s="373"/>
      <c r="R546" s="373"/>
      <c r="S546" s="329"/>
      <c r="T546" s="329"/>
      <c r="U546" s="329"/>
      <c r="V546" s="329"/>
      <c r="W546" s="329"/>
      <c r="X546" s="329" t="s">
        <v>181</v>
      </c>
      <c r="Y546" s="330"/>
      <c r="Z546" s="329" t="s">
        <v>2962</v>
      </c>
      <c r="AA546" s="329"/>
      <c r="AB546" s="345"/>
      <c r="AC546" s="339"/>
    </row>
    <row r="547" spans="1:29" hidden="1">
      <c r="A547" s="329"/>
      <c r="B547" s="423" t="s">
        <v>817</v>
      </c>
      <c r="C547" s="398">
        <v>3</v>
      </c>
      <c r="D547" s="398" t="s">
        <v>103</v>
      </c>
      <c r="E547" s="424"/>
      <c r="F547" s="398"/>
      <c r="G547" s="425">
        <v>2500</v>
      </c>
      <c r="H547" s="425">
        <v>2500</v>
      </c>
      <c r="I547" s="398">
        <v>3</v>
      </c>
      <c r="J547" s="425">
        <v>2500</v>
      </c>
      <c r="K547" s="398"/>
      <c r="L547" s="398"/>
      <c r="M547" s="398"/>
      <c r="N547" s="398"/>
      <c r="O547" s="398"/>
      <c r="P547" s="398"/>
      <c r="Q547" s="398"/>
      <c r="R547" s="398"/>
      <c r="S547" s="329"/>
      <c r="T547" s="329"/>
      <c r="U547" s="329"/>
      <c r="V547" s="329"/>
      <c r="W547" s="329"/>
      <c r="X547" s="329" t="s">
        <v>181</v>
      </c>
      <c r="Y547" s="330" t="str">
        <f>DB!$D$37</f>
        <v>Single Line Telephone (Black)</v>
      </c>
      <c r="Z547" s="329" t="s">
        <v>8</v>
      </c>
      <c r="AA547" s="329"/>
      <c r="AB547" s="345"/>
      <c r="AC547" s="339"/>
    </row>
    <row r="548" spans="1:29" hidden="1">
      <c r="A548" s="329"/>
      <c r="B548" s="370" t="s">
        <v>3085</v>
      </c>
      <c r="C548" s="426">
        <v>16</v>
      </c>
      <c r="D548" s="371" t="s">
        <v>3086</v>
      </c>
      <c r="E548" s="378"/>
      <c r="F548" s="371"/>
      <c r="G548" s="371"/>
      <c r="H548" s="343"/>
      <c r="I548" s="371">
        <v>16</v>
      </c>
      <c r="J548" s="371"/>
      <c r="K548" s="371"/>
      <c r="L548" s="371"/>
      <c r="M548" s="371"/>
      <c r="N548" s="371"/>
      <c r="O548" s="371"/>
      <c r="P548" s="371"/>
      <c r="Q548" s="371"/>
      <c r="R548" s="371"/>
      <c r="S548" s="329"/>
      <c r="T548" s="329"/>
      <c r="U548" s="329"/>
      <c r="V548" s="329"/>
      <c r="W548" s="329"/>
      <c r="X548" s="329" t="s">
        <v>181</v>
      </c>
      <c r="Y548" s="361" t="s">
        <v>199</v>
      </c>
      <c r="Z548" s="329" t="s">
        <v>8</v>
      </c>
      <c r="AA548" s="329"/>
      <c r="AB548" s="345"/>
      <c r="AC548" s="339"/>
    </row>
    <row r="549" spans="1:29" ht="31.5" hidden="1">
      <c r="A549" s="329"/>
      <c r="B549" s="372" t="s">
        <v>3087</v>
      </c>
      <c r="C549" s="427">
        <v>16</v>
      </c>
      <c r="D549" s="373" t="s">
        <v>3088</v>
      </c>
      <c r="E549" s="379"/>
      <c r="F549" s="373"/>
      <c r="G549" s="373"/>
      <c r="H549" s="341"/>
      <c r="I549" s="373">
        <v>16</v>
      </c>
      <c r="J549" s="373"/>
      <c r="K549" s="373"/>
      <c r="L549" s="373"/>
      <c r="M549" s="373"/>
      <c r="N549" s="373"/>
      <c r="O549" s="373"/>
      <c r="P549" s="373"/>
      <c r="Q549" s="373"/>
      <c r="R549" s="373"/>
      <c r="S549" s="329"/>
      <c r="T549" s="329"/>
      <c r="U549" s="329"/>
      <c r="V549" s="329"/>
      <c r="W549" s="329"/>
      <c r="X549" s="329" t="s">
        <v>181</v>
      </c>
      <c r="Y549" s="361" t="s">
        <v>210</v>
      </c>
      <c r="Z549" s="329" t="s">
        <v>8</v>
      </c>
      <c r="AA549" s="329"/>
      <c r="AB549" s="345"/>
      <c r="AC549" s="339"/>
    </row>
    <row r="550" spans="1:29" hidden="1">
      <c r="A550" s="329"/>
      <c r="B550" s="372" t="s">
        <v>3089</v>
      </c>
      <c r="C550" s="427">
        <v>16</v>
      </c>
      <c r="D550" s="373" t="s">
        <v>3088</v>
      </c>
      <c r="E550" s="379"/>
      <c r="F550" s="373"/>
      <c r="G550" s="373"/>
      <c r="H550" s="341"/>
      <c r="I550" s="373">
        <v>16</v>
      </c>
      <c r="J550" s="373"/>
      <c r="K550" s="373"/>
      <c r="L550" s="373"/>
      <c r="M550" s="373"/>
      <c r="N550" s="373"/>
      <c r="O550" s="373"/>
      <c r="P550" s="373"/>
      <c r="Q550" s="373"/>
      <c r="R550" s="373"/>
      <c r="S550" s="329"/>
      <c r="T550" s="329"/>
      <c r="U550" s="329"/>
      <c r="V550" s="329"/>
      <c r="W550" s="329"/>
      <c r="X550" s="329" t="s">
        <v>181</v>
      </c>
      <c r="Y550" s="361" t="s">
        <v>211</v>
      </c>
      <c r="Z550" s="329" t="s">
        <v>8</v>
      </c>
      <c r="AA550" s="329"/>
      <c r="AB550" s="345"/>
      <c r="AC550" s="339"/>
    </row>
    <row r="551" spans="1:29" hidden="1">
      <c r="A551" s="329"/>
      <c r="B551" s="372" t="s">
        <v>3090</v>
      </c>
      <c r="C551" s="427">
        <v>16</v>
      </c>
      <c r="D551" s="373" t="s">
        <v>3088</v>
      </c>
      <c r="E551" s="379"/>
      <c r="F551" s="373"/>
      <c r="G551" s="373"/>
      <c r="H551" s="341"/>
      <c r="I551" s="373">
        <v>16</v>
      </c>
      <c r="J551" s="373"/>
      <c r="K551" s="373"/>
      <c r="L551" s="373"/>
      <c r="M551" s="373"/>
      <c r="N551" s="373"/>
      <c r="O551" s="373"/>
      <c r="P551" s="373"/>
      <c r="Q551" s="373"/>
      <c r="R551" s="373"/>
      <c r="S551" s="329"/>
      <c r="T551" s="329"/>
      <c r="U551" s="329"/>
      <c r="V551" s="329"/>
      <c r="W551" s="329"/>
      <c r="X551" s="329" t="s">
        <v>181</v>
      </c>
      <c r="Y551" s="361" t="s">
        <v>209</v>
      </c>
      <c r="Z551" s="329" t="s">
        <v>8</v>
      </c>
      <c r="AA551" s="329"/>
      <c r="AB551" s="345"/>
      <c r="AC551" s="339"/>
    </row>
    <row r="552" spans="1:29" hidden="1">
      <c r="A552" s="329"/>
      <c r="B552" s="338" t="s">
        <v>234</v>
      </c>
      <c r="C552" s="340">
        <v>2</v>
      </c>
      <c r="D552" s="335" t="s">
        <v>103</v>
      </c>
      <c r="E552" s="337">
        <v>380</v>
      </c>
      <c r="F552" s="337">
        <v>760</v>
      </c>
      <c r="G552" s="409" t="s">
        <v>3038</v>
      </c>
      <c r="H552" s="337">
        <v>1</v>
      </c>
      <c r="I552" s="340">
        <v>1</v>
      </c>
      <c r="J552" s="344"/>
      <c r="K552" s="344"/>
      <c r="L552" s="337">
        <v>0</v>
      </c>
      <c r="M552" s="340"/>
      <c r="N552" s="344"/>
      <c r="O552" s="344"/>
      <c r="P552" s="337">
        <v>1</v>
      </c>
      <c r="Q552" s="340">
        <v>1</v>
      </c>
      <c r="R552" s="344"/>
      <c r="S552" s="344"/>
      <c r="T552" s="337">
        <v>0</v>
      </c>
      <c r="U552" s="343"/>
      <c r="V552" s="343"/>
      <c r="W552" s="343"/>
      <c r="X552" s="329" t="s">
        <v>3091</v>
      </c>
      <c r="Y552" s="336" t="str">
        <f>DB!$D$168</f>
        <v>Keyboard, Full Size, USB 2.0</v>
      </c>
      <c r="Z552" s="329" t="s">
        <v>2946</v>
      </c>
      <c r="AA552" s="329"/>
      <c r="AB552" s="345"/>
      <c r="AC552" s="339"/>
    </row>
    <row r="553" spans="1:29" hidden="1">
      <c r="A553" s="329"/>
      <c r="B553" s="334" t="s">
        <v>239</v>
      </c>
      <c r="C553" s="340">
        <v>2</v>
      </c>
      <c r="D553" s="335" t="s">
        <v>103</v>
      </c>
      <c r="E553" s="335">
        <v>380</v>
      </c>
      <c r="F553" s="335">
        <v>760</v>
      </c>
      <c r="G553" s="407" t="s">
        <v>3038</v>
      </c>
      <c r="H553" s="335">
        <v>1</v>
      </c>
      <c r="I553" s="340">
        <v>1</v>
      </c>
      <c r="J553" s="344"/>
      <c r="K553" s="344"/>
      <c r="L553" s="335">
        <v>0</v>
      </c>
      <c r="M553" s="340"/>
      <c r="N553" s="344"/>
      <c r="O553" s="344"/>
      <c r="P553" s="335">
        <v>1</v>
      </c>
      <c r="Q553" s="340">
        <v>1</v>
      </c>
      <c r="R553" s="344"/>
      <c r="S553" s="344"/>
      <c r="T553" s="335">
        <v>0</v>
      </c>
      <c r="U553" s="341"/>
      <c r="V553" s="341"/>
      <c r="W553" s="341"/>
      <c r="X553" s="329" t="s">
        <v>3091</v>
      </c>
      <c r="Y553" s="346" t="str">
        <f>DB!$D$169</f>
        <v>Mouse, Optical, USB 2.0</v>
      </c>
      <c r="Z553" s="329" t="s">
        <v>2946</v>
      </c>
      <c r="AA553" s="329"/>
      <c r="AB553" s="345"/>
      <c r="AC553" s="339"/>
    </row>
    <row r="554" spans="1:29" hidden="1">
      <c r="A554" s="329"/>
      <c r="B554" s="334" t="s">
        <v>493</v>
      </c>
      <c r="C554" s="340">
        <v>1</v>
      </c>
      <c r="D554" s="335" t="s">
        <v>103</v>
      </c>
      <c r="E554" s="385">
        <v>8500</v>
      </c>
      <c r="F554" s="385">
        <v>8500</v>
      </c>
      <c r="G554" s="407" t="s">
        <v>3038</v>
      </c>
      <c r="H554" s="335">
        <v>1</v>
      </c>
      <c r="I554" s="340">
        <v>1</v>
      </c>
      <c r="J554" s="344"/>
      <c r="K554" s="344"/>
      <c r="L554" s="335">
        <v>0</v>
      </c>
      <c r="M554" s="340"/>
      <c r="N554" s="344"/>
      <c r="O554" s="344"/>
      <c r="P554" s="335">
        <v>0</v>
      </c>
      <c r="Q554" s="340"/>
      <c r="R554" s="344"/>
      <c r="S554" s="344"/>
      <c r="T554" s="335">
        <v>0</v>
      </c>
      <c r="U554" s="341"/>
      <c r="V554" s="341"/>
      <c r="W554" s="341"/>
      <c r="X554" s="329" t="s">
        <v>3091</v>
      </c>
      <c r="Y554" s="330"/>
      <c r="Z554" s="329" t="s">
        <v>2962</v>
      </c>
      <c r="AA554" s="329"/>
      <c r="AB554" s="345"/>
      <c r="AC554" s="339"/>
    </row>
    <row r="555" spans="1:29" hidden="1">
      <c r="A555" s="329"/>
      <c r="B555" s="334" t="s">
        <v>568</v>
      </c>
      <c r="C555" s="340">
        <v>2</v>
      </c>
      <c r="D555" s="335" t="s">
        <v>103</v>
      </c>
      <c r="E555" s="385">
        <v>3500</v>
      </c>
      <c r="F555" s="385">
        <v>7000</v>
      </c>
      <c r="G555" s="407" t="s">
        <v>3038</v>
      </c>
      <c r="H555" s="335">
        <v>1</v>
      </c>
      <c r="I555" s="340">
        <v>1</v>
      </c>
      <c r="J555" s="344"/>
      <c r="K555" s="344"/>
      <c r="L555" s="335">
        <v>0</v>
      </c>
      <c r="M555" s="340"/>
      <c r="N555" s="344"/>
      <c r="O555" s="344"/>
      <c r="P555" s="335">
        <v>1</v>
      </c>
      <c r="Q555" s="340">
        <v>1</v>
      </c>
      <c r="R555" s="344"/>
      <c r="S555" s="344"/>
      <c r="T555" s="335">
        <v>0</v>
      </c>
      <c r="U555" s="341"/>
      <c r="V555" s="341"/>
      <c r="W555" s="341"/>
      <c r="X555" s="329" t="s">
        <v>3091</v>
      </c>
      <c r="Y555" s="369" t="str">
        <f>DB!$D$6</f>
        <v>UPS 650VA, AVR, 230V</v>
      </c>
      <c r="Z555" s="329" t="s">
        <v>8</v>
      </c>
      <c r="AA555" s="329"/>
      <c r="AB555" s="345"/>
      <c r="AC555" s="339"/>
    </row>
    <row r="556" spans="1:29" hidden="1">
      <c r="A556" s="329"/>
      <c r="B556" s="338" t="s">
        <v>483</v>
      </c>
      <c r="C556" s="344">
        <v>1</v>
      </c>
      <c r="D556" s="335" t="s">
        <v>103</v>
      </c>
      <c r="E556" s="385">
        <v>2500</v>
      </c>
      <c r="F556" s="385">
        <v>2500</v>
      </c>
      <c r="G556" s="407" t="s">
        <v>3038</v>
      </c>
      <c r="H556" s="335">
        <v>1</v>
      </c>
      <c r="I556" s="340">
        <v>1</v>
      </c>
      <c r="J556" s="344"/>
      <c r="K556" s="344"/>
      <c r="L556" s="335">
        <v>0</v>
      </c>
      <c r="M556" s="340"/>
      <c r="N556" s="344"/>
      <c r="O556" s="344"/>
      <c r="P556" s="335">
        <v>0</v>
      </c>
      <c r="Q556" s="340"/>
      <c r="R556" s="344"/>
      <c r="S556" s="344"/>
      <c r="T556" s="335">
        <v>0</v>
      </c>
      <c r="U556" s="341"/>
      <c r="V556" s="341"/>
      <c r="W556" s="341"/>
      <c r="X556" s="329" t="s">
        <v>3091</v>
      </c>
      <c r="Y556" s="330" t="str">
        <f>DB!$D$76</f>
        <v>Dot Matrix Printer 24-Pin</v>
      </c>
      <c r="Z556" s="329" t="s">
        <v>8</v>
      </c>
      <c r="AA556" s="329"/>
      <c r="AB556" s="345"/>
      <c r="AC556" s="339"/>
    </row>
    <row r="557" spans="1:29" hidden="1">
      <c r="A557" s="329"/>
      <c r="B557" s="334" t="s">
        <v>921</v>
      </c>
      <c r="C557" s="344">
        <v>2</v>
      </c>
      <c r="D557" s="335" t="s">
        <v>466</v>
      </c>
      <c r="E557" s="385">
        <v>38100.97</v>
      </c>
      <c r="F557" s="385">
        <v>76201.94</v>
      </c>
      <c r="G557" s="407" t="s">
        <v>3038</v>
      </c>
      <c r="H557" s="335">
        <v>1</v>
      </c>
      <c r="I557" s="340">
        <v>1</v>
      </c>
      <c r="J557" s="344"/>
      <c r="K557" s="344"/>
      <c r="L557" s="335">
        <v>0</v>
      </c>
      <c r="M557" s="340"/>
      <c r="N557" s="344"/>
      <c r="O557" s="344"/>
      <c r="P557" s="335">
        <v>1</v>
      </c>
      <c r="Q557" s="340">
        <v>1</v>
      </c>
      <c r="R557" s="344"/>
      <c r="S557" s="344"/>
      <c r="T557" s="335">
        <v>0</v>
      </c>
      <c r="U557" s="341"/>
      <c r="V557" s="341"/>
      <c r="W557" s="341"/>
      <c r="X557" s="329" t="s">
        <v>3091</v>
      </c>
      <c r="Y557" s="330" t="str">
        <f>DB!$D$76</f>
        <v>Dot Matrix Printer 24-Pin</v>
      </c>
      <c r="Z557" s="329" t="s">
        <v>8</v>
      </c>
      <c r="AA557" s="329"/>
      <c r="AB557" s="345"/>
      <c r="AC557" s="339"/>
    </row>
    <row r="558" spans="1:29" hidden="1">
      <c r="A558" s="329"/>
      <c r="B558" s="334" t="s">
        <v>922</v>
      </c>
      <c r="C558" s="344">
        <v>2</v>
      </c>
      <c r="D558" s="335" t="s">
        <v>103</v>
      </c>
      <c r="E558" s="385">
        <v>2800</v>
      </c>
      <c r="F558" s="385">
        <v>5600</v>
      </c>
      <c r="G558" s="407" t="s">
        <v>3038</v>
      </c>
      <c r="H558" s="335">
        <v>1</v>
      </c>
      <c r="I558" s="340">
        <v>1</v>
      </c>
      <c r="J558" s="344"/>
      <c r="K558" s="344"/>
      <c r="L558" s="335">
        <v>0</v>
      </c>
      <c r="M558" s="340"/>
      <c r="N558" s="344"/>
      <c r="O558" s="344"/>
      <c r="P558" s="335">
        <v>1</v>
      </c>
      <c r="Q558" s="340">
        <v>1</v>
      </c>
      <c r="R558" s="344"/>
      <c r="S558" s="344"/>
      <c r="T558" s="335">
        <v>0</v>
      </c>
      <c r="U558" s="341"/>
      <c r="V558" s="341"/>
      <c r="W558" s="341"/>
      <c r="X558" s="329" t="s">
        <v>3091</v>
      </c>
      <c r="Y558" s="330" t="str">
        <f>DB!$D$40</f>
        <v>21.5" FHD LED Monitor</v>
      </c>
      <c r="Z558" s="329" t="s">
        <v>8</v>
      </c>
      <c r="AA558" s="329"/>
      <c r="AB558" s="345"/>
      <c r="AC558" s="339"/>
    </row>
    <row r="559" spans="1:29" hidden="1">
      <c r="A559" s="329"/>
      <c r="B559" s="334" t="s">
        <v>923</v>
      </c>
      <c r="C559" s="344">
        <v>2</v>
      </c>
      <c r="D559" s="335" t="s">
        <v>103</v>
      </c>
      <c r="E559" s="385">
        <v>10000</v>
      </c>
      <c r="F559" s="385">
        <v>20000</v>
      </c>
      <c r="G559" s="407" t="s">
        <v>3038</v>
      </c>
      <c r="H559" s="335">
        <v>1</v>
      </c>
      <c r="I559" s="340">
        <v>1</v>
      </c>
      <c r="J559" s="428"/>
      <c r="K559" s="428"/>
      <c r="L559" s="335">
        <v>0</v>
      </c>
      <c r="M559" s="428"/>
      <c r="N559" s="428"/>
      <c r="O559" s="428"/>
      <c r="P559" s="335">
        <v>1</v>
      </c>
      <c r="Q559" s="340">
        <v>1</v>
      </c>
      <c r="R559" s="428"/>
      <c r="S559" s="428"/>
      <c r="T559" s="335">
        <v>0</v>
      </c>
      <c r="U559" s="349"/>
      <c r="V559" s="349"/>
      <c r="W559" s="349"/>
      <c r="X559" s="329" t="s">
        <v>3091</v>
      </c>
      <c r="Y559" s="330"/>
      <c r="Z559" s="329" t="s">
        <v>2962</v>
      </c>
      <c r="AA559" s="329"/>
      <c r="AB559" s="345"/>
      <c r="AC559" s="339"/>
    </row>
    <row r="560" spans="1:29" hidden="1">
      <c r="A560" s="329"/>
      <c r="B560" s="334" t="s">
        <v>817</v>
      </c>
      <c r="C560" s="410">
        <v>1</v>
      </c>
      <c r="D560" s="335" t="s">
        <v>103</v>
      </c>
      <c r="E560" s="429">
        <v>2500</v>
      </c>
      <c r="F560" s="429">
        <v>2500</v>
      </c>
      <c r="G560" s="430" t="s">
        <v>3038</v>
      </c>
      <c r="H560" s="411">
        <v>1</v>
      </c>
      <c r="I560" s="357">
        <v>1</v>
      </c>
      <c r="J560" s="431"/>
      <c r="K560" s="431"/>
      <c r="L560" s="411">
        <v>0</v>
      </c>
      <c r="M560" s="431"/>
      <c r="N560" s="431"/>
      <c r="O560" s="431"/>
      <c r="P560" s="411">
        <v>0</v>
      </c>
      <c r="Q560" s="431"/>
      <c r="R560" s="431"/>
      <c r="S560" s="431"/>
      <c r="T560" s="411">
        <v>0</v>
      </c>
      <c r="U560" s="432"/>
      <c r="V560" s="432"/>
      <c r="W560" s="432"/>
      <c r="X560" s="329" t="s">
        <v>3091</v>
      </c>
      <c r="Y560" s="330" t="str">
        <f>DB!$D$37</f>
        <v>Single Line Telephone (Black)</v>
      </c>
      <c r="Z560" s="329" t="s">
        <v>8</v>
      </c>
      <c r="AA560" s="329"/>
      <c r="AB560" s="345"/>
      <c r="AC560" s="339"/>
    </row>
    <row r="561" spans="1:29" hidden="1">
      <c r="A561" s="329"/>
      <c r="B561" s="334" t="s">
        <v>3092</v>
      </c>
      <c r="C561" s="344">
        <v>48</v>
      </c>
      <c r="D561" s="335" t="s">
        <v>103</v>
      </c>
      <c r="E561" s="337">
        <v>300</v>
      </c>
      <c r="F561" s="433">
        <v>14400</v>
      </c>
      <c r="G561" s="434" t="s">
        <v>342</v>
      </c>
      <c r="H561" s="412">
        <v>12</v>
      </c>
      <c r="I561" s="384">
        <v>4</v>
      </c>
      <c r="J561" s="337">
        <v>4</v>
      </c>
      <c r="K561" s="343">
        <v>4</v>
      </c>
      <c r="L561" s="343">
        <v>12</v>
      </c>
      <c r="M561" s="343">
        <v>4</v>
      </c>
      <c r="N561" s="343">
        <v>4</v>
      </c>
      <c r="O561" s="343">
        <v>4</v>
      </c>
      <c r="P561" s="435">
        <v>12</v>
      </c>
      <c r="Q561" s="337">
        <v>4</v>
      </c>
      <c r="R561" s="343">
        <v>4</v>
      </c>
      <c r="S561" s="343">
        <v>4</v>
      </c>
      <c r="T561" s="384">
        <v>12</v>
      </c>
      <c r="U561" s="337">
        <v>4</v>
      </c>
      <c r="V561" s="343">
        <v>4</v>
      </c>
      <c r="W561" s="343">
        <v>4</v>
      </c>
      <c r="X561" s="329" t="s">
        <v>3091</v>
      </c>
      <c r="Y561" s="330"/>
      <c r="Z561" s="329" t="s">
        <v>11</v>
      </c>
      <c r="AA561" s="329"/>
      <c r="AB561" s="345"/>
      <c r="AC561" s="339"/>
    </row>
    <row r="562" spans="1:29" hidden="1">
      <c r="A562" s="329"/>
      <c r="B562" s="334" t="s">
        <v>3093</v>
      </c>
      <c r="C562" s="344">
        <v>48</v>
      </c>
      <c r="D562" s="335" t="s">
        <v>103</v>
      </c>
      <c r="E562" s="335">
        <v>300</v>
      </c>
      <c r="F562" s="433">
        <v>14400</v>
      </c>
      <c r="G562" s="434" t="s">
        <v>342</v>
      </c>
      <c r="H562" s="412">
        <v>12</v>
      </c>
      <c r="I562" s="340">
        <v>4</v>
      </c>
      <c r="J562" s="335">
        <v>4</v>
      </c>
      <c r="K562" s="341">
        <v>4</v>
      </c>
      <c r="L562" s="341">
        <v>12</v>
      </c>
      <c r="M562" s="341">
        <v>4</v>
      </c>
      <c r="N562" s="341">
        <v>4</v>
      </c>
      <c r="O562" s="341">
        <v>4</v>
      </c>
      <c r="P562" s="435">
        <v>12</v>
      </c>
      <c r="Q562" s="335">
        <v>4</v>
      </c>
      <c r="R562" s="341">
        <v>4</v>
      </c>
      <c r="S562" s="341">
        <v>4</v>
      </c>
      <c r="T562" s="357">
        <v>12</v>
      </c>
      <c r="U562" s="335">
        <v>4</v>
      </c>
      <c r="V562" s="341">
        <v>4</v>
      </c>
      <c r="W562" s="341">
        <v>4</v>
      </c>
      <c r="X562" s="329" t="s">
        <v>3091</v>
      </c>
      <c r="Y562" s="330"/>
      <c r="Z562" s="329" t="s">
        <v>11</v>
      </c>
      <c r="AA562" s="329"/>
      <c r="AB562" s="345"/>
      <c r="AC562" s="339"/>
    </row>
    <row r="563" spans="1:29" hidden="1">
      <c r="A563" s="329"/>
      <c r="B563" s="334" t="s">
        <v>3094</v>
      </c>
      <c r="C563" s="344">
        <v>48</v>
      </c>
      <c r="D563" s="335" t="s">
        <v>103</v>
      </c>
      <c r="E563" s="335">
        <v>300</v>
      </c>
      <c r="F563" s="433">
        <v>14400</v>
      </c>
      <c r="G563" s="434" t="s">
        <v>342</v>
      </c>
      <c r="H563" s="412">
        <v>12</v>
      </c>
      <c r="I563" s="340">
        <v>4</v>
      </c>
      <c r="J563" s="335">
        <v>4</v>
      </c>
      <c r="K563" s="341">
        <v>4</v>
      </c>
      <c r="L563" s="341">
        <v>12</v>
      </c>
      <c r="M563" s="341">
        <v>4</v>
      </c>
      <c r="N563" s="341">
        <v>4</v>
      </c>
      <c r="O563" s="341">
        <v>4</v>
      </c>
      <c r="P563" s="435">
        <v>12</v>
      </c>
      <c r="Q563" s="335">
        <v>4</v>
      </c>
      <c r="R563" s="341">
        <v>4</v>
      </c>
      <c r="S563" s="341">
        <v>4</v>
      </c>
      <c r="T563" s="384">
        <v>12</v>
      </c>
      <c r="U563" s="335">
        <v>4</v>
      </c>
      <c r="V563" s="341">
        <v>4</v>
      </c>
      <c r="W563" s="341">
        <v>4</v>
      </c>
      <c r="X563" s="329" t="s">
        <v>3091</v>
      </c>
      <c r="Y563" s="330"/>
      <c r="Z563" s="329" t="s">
        <v>11</v>
      </c>
      <c r="AA563" s="329"/>
      <c r="AB563" s="345"/>
      <c r="AC563" s="339"/>
    </row>
    <row r="564" spans="1:29" hidden="1">
      <c r="A564" s="329"/>
      <c r="B564" s="334" t="s">
        <v>3095</v>
      </c>
      <c r="C564" s="344">
        <v>48</v>
      </c>
      <c r="D564" s="335" t="s">
        <v>103</v>
      </c>
      <c r="E564" s="335">
        <v>300</v>
      </c>
      <c r="F564" s="433">
        <v>14400</v>
      </c>
      <c r="G564" s="434" t="s">
        <v>342</v>
      </c>
      <c r="H564" s="412">
        <v>12</v>
      </c>
      <c r="I564" s="340">
        <v>4</v>
      </c>
      <c r="J564" s="335">
        <v>4</v>
      </c>
      <c r="K564" s="341">
        <v>4</v>
      </c>
      <c r="L564" s="341">
        <v>12</v>
      </c>
      <c r="M564" s="341">
        <v>4</v>
      </c>
      <c r="N564" s="341">
        <v>4</v>
      </c>
      <c r="O564" s="341">
        <v>4</v>
      </c>
      <c r="P564" s="435">
        <v>12</v>
      </c>
      <c r="Q564" s="335">
        <v>4</v>
      </c>
      <c r="R564" s="341">
        <v>4</v>
      </c>
      <c r="S564" s="341">
        <v>4</v>
      </c>
      <c r="T564" s="357">
        <v>12</v>
      </c>
      <c r="U564" s="335">
        <v>4</v>
      </c>
      <c r="V564" s="341">
        <v>4</v>
      </c>
      <c r="W564" s="341">
        <v>4</v>
      </c>
      <c r="X564" s="329" t="s">
        <v>3091</v>
      </c>
      <c r="Y564" s="330"/>
      <c r="Z564" s="329" t="s">
        <v>11</v>
      </c>
      <c r="AA564" s="329"/>
      <c r="AB564" s="345"/>
      <c r="AC564" s="339"/>
    </row>
    <row r="565" spans="1:29" ht="31.5" hidden="1">
      <c r="A565" s="329"/>
      <c r="B565" s="334" t="s">
        <v>454</v>
      </c>
      <c r="C565" s="344">
        <v>48</v>
      </c>
      <c r="D565" s="335" t="s">
        <v>103</v>
      </c>
      <c r="E565" s="335">
        <v>140.5</v>
      </c>
      <c r="F565" s="433">
        <v>6744</v>
      </c>
      <c r="G565" s="434" t="s">
        <v>342</v>
      </c>
      <c r="H565" s="412">
        <v>12</v>
      </c>
      <c r="I565" s="340">
        <v>4</v>
      </c>
      <c r="J565" s="436">
        <v>4</v>
      </c>
      <c r="K565" s="436">
        <v>4</v>
      </c>
      <c r="L565" s="335">
        <v>12</v>
      </c>
      <c r="M565" s="341">
        <v>4</v>
      </c>
      <c r="N565" s="341">
        <v>4</v>
      </c>
      <c r="O565" s="341">
        <v>4</v>
      </c>
      <c r="P565" s="435">
        <v>12</v>
      </c>
      <c r="Q565" s="335">
        <v>4</v>
      </c>
      <c r="R565" s="341">
        <v>4</v>
      </c>
      <c r="S565" s="341">
        <v>4</v>
      </c>
      <c r="T565" s="435">
        <v>12</v>
      </c>
      <c r="U565" s="335">
        <v>4</v>
      </c>
      <c r="V565" s="341">
        <v>4</v>
      </c>
      <c r="W565" s="341">
        <v>4</v>
      </c>
      <c r="X565" s="329" t="s">
        <v>3091</v>
      </c>
      <c r="Y565" s="369" t="str">
        <f>DB!$D$177</f>
        <v>EPSON LQ310 Ribbon Cartridge (SO15634)</v>
      </c>
      <c r="Z565" s="351" t="s">
        <v>8</v>
      </c>
      <c r="AA565" s="329"/>
      <c r="AB565" s="345"/>
      <c r="AC565" s="339"/>
    </row>
    <row r="566" spans="1:29" hidden="1">
      <c r="A566" s="329"/>
      <c r="B566" s="370" t="s">
        <v>785</v>
      </c>
      <c r="C566" s="371">
        <v>6</v>
      </c>
      <c r="D566" s="371" t="s">
        <v>103</v>
      </c>
      <c r="E566" s="371"/>
      <c r="F566" s="371"/>
      <c r="G566" s="437" t="s">
        <v>447</v>
      </c>
      <c r="H566" s="437">
        <v>3</v>
      </c>
      <c r="I566" s="371">
        <v>3</v>
      </c>
      <c r="J566" s="371">
        <v>0</v>
      </c>
      <c r="K566" s="371">
        <v>0</v>
      </c>
      <c r="L566" s="371">
        <v>0</v>
      </c>
      <c r="M566" s="371">
        <v>0</v>
      </c>
      <c r="N566" s="371">
        <v>0</v>
      </c>
      <c r="O566" s="371">
        <v>0</v>
      </c>
      <c r="P566" s="371">
        <v>3</v>
      </c>
      <c r="Q566" s="371">
        <v>3</v>
      </c>
      <c r="R566" s="371">
        <v>0</v>
      </c>
      <c r="S566" s="371">
        <v>0</v>
      </c>
      <c r="T566" s="371">
        <v>0</v>
      </c>
      <c r="U566" s="371">
        <v>0</v>
      </c>
      <c r="V566" s="371">
        <v>0</v>
      </c>
      <c r="W566" s="371">
        <v>0</v>
      </c>
      <c r="X566" s="329" t="s">
        <v>112</v>
      </c>
      <c r="Y566" s="369" t="str">
        <f>DB!$D$76</f>
        <v>Dot Matrix Printer 24-Pin</v>
      </c>
      <c r="Z566" s="351" t="s">
        <v>8</v>
      </c>
      <c r="AA566" s="329"/>
      <c r="AB566" s="345"/>
      <c r="AC566" s="339"/>
    </row>
    <row r="567" spans="1:29" ht="31.5" hidden="1">
      <c r="A567" s="329"/>
      <c r="B567" s="372" t="s">
        <v>454</v>
      </c>
      <c r="C567" s="373">
        <v>720</v>
      </c>
      <c r="D567" s="373" t="s">
        <v>103</v>
      </c>
      <c r="E567" s="373"/>
      <c r="F567" s="373"/>
      <c r="G567" s="437" t="s">
        <v>447</v>
      </c>
      <c r="H567" s="437">
        <v>180</v>
      </c>
      <c r="I567" s="373">
        <v>60</v>
      </c>
      <c r="J567" s="373">
        <v>60</v>
      </c>
      <c r="K567" s="373">
        <v>60</v>
      </c>
      <c r="L567" s="373">
        <v>180</v>
      </c>
      <c r="M567" s="373">
        <v>60</v>
      </c>
      <c r="N567" s="373">
        <v>60</v>
      </c>
      <c r="O567" s="373">
        <v>60</v>
      </c>
      <c r="P567" s="373">
        <v>180</v>
      </c>
      <c r="Q567" s="373">
        <v>60</v>
      </c>
      <c r="R567" s="373">
        <v>60</v>
      </c>
      <c r="S567" s="373">
        <v>60</v>
      </c>
      <c r="T567" s="373">
        <v>180</v>
      </c>
      <c r="U567" s="373">
        <v>60</v>
      </c>
      <c r="V567" s="373">
        <v>60</v>
      </c>
      <c r="W567" s="373">
        <v>60</v>
      </c>
      <c r="X567" s="329" t="s">
        <v>112</v>
      </c>
      <c r="Y567" s="369" t="str">
        <f>DB!$D$177</f>
        <v>EPSON LQ310 Ribbon Cartridge (SO15634)</v>
      </c>
      <c r="Z567" s="351" t="s">
        <v>8</v>
      </c>
      <c r="AA567" s="329"/>
      <c r="AB567" s="345"/>
      <c r="AC567" s="339"/>
    </row>
    <row r="568" spans="1:29" hidden="1">
      <c r="A568" s="329"/>
      <c r="B568" s="372" t="s">
        <v>786</v>
      </c>
      <c r="C568" s="373">
        <v>36</v>
      </c>
      <c r="D568" s="373" t="s">
        <v>103</v>
      </c>
      <c r="E568" s="373"/>
      <c r="F568" s="373"/>
      <c r="G568" s="437" t="s">
        <v>447</v>
      </c>
      <c r="H568" s="437">
        <v>9</v>
      </c>
      <c r="I568" s="373">
        <v>3</v>
      </c>
      <c r="J568" s="373">
        <v>3</v>
      </c>
      <c r="K568" s="373">
        <v>3</v>
      </c>
      <c r="L568" s="373">
        <v>9</v>
      </c>
      <c r="M568" s="373">
        <v>3</v>
      </c>
      <c r="N568" s="373">
        <v>3</v>
      </c>
      <c r="O568" s="373">
        <v>3</v>
      </c>
      <c r="P568" s="373">
        <v>9</v>
      </c>
      <c r="Q568" s="373">
        <v>3</v>
      </c>
      <c r="R568" s="373">
        <v>3</v>
      </c>
      <c r="S568" s="373">
        <v>3</v>
      </c>
      <c r="T568" s="373">
        <v>9</v>
      </c>
      <c r="U568" s="373">
        <v>3</v>
      </c>
      <c r="V568" s="373">
        <v>3</v>
      </c>
      <c r="W568" s="373">
        <v>3</v>
      </c>
      <c r="X568" s="329" t="s">
        <v>112</v>
      </c>
      <c r="Y568" s="330"/>
      <c r="Z568" s="329" t="s">
        <v>2952</v>
      </c>
      <c r="AA568" s="329"/>
      <c r="AB568" s="345"/>
      <c r="AC568" s="339"/>
    </row>
    <row r="569" spans="1:29" hidden="1">
      <c r="A569" s="329"/>
      <c r="B569" s="372" t="s">
        <v>787</v>
      </c>
      <c r="C569" s="373">
        <v>1</v>
      </c>
      <c r="D569" s="373" t="s">
        <v>103</v>
      </c>
      <c r="E569" s="373"/>
      <c r="F569" s="373"/>
      <c r="G569" s="437" t="s">
        <v>447</v>
      </c>
      <c r="H569" s="371">
        <v>1</v>
      </c>
      <c r="I569" s="373">
        <v>1</v>
      </c>
      <c r="J569" s="373">
        <v>0</v>
      </c>
      <c r="K569" s="373">
        <v>0</v>
      </c>
      <c r="L569" s="373">
        <v>0</v>
      </c>
      <c r="M569" s="373">
        <v>0</v>
      </c>
      <c r="N569" s="373">
        <v>0</v>
      </c>
      <c r="O569" s="373">
        <v>0</v>
      </c>
      <c r="P569" s="373">
        <v>0</v>
      </c>
      <c r="Q569" s="373">
        <v>0</v>
      </c>
      <c r="R569" s="373">
        <v>0</v>
      </c>
      <c r="S569" s="373">
        <v>0</v>
      </c>
      <c r="T569" s="373">
        <v>0</v>
      </c>
      <c r="U569" s="373">
        <v>0</v>
      </c>
      <c r="V569" s="373">
        <v>0</v>
      </c>
      <c r="W569" s="373">
        <v>0</v>
      </c>
      <c r="X569" s="329" t="s">
        <v>112</v>
      </c>
      <c r="Y569" s="330"/>
      <c r="Z569" s="329" t="s">
        <v>2952</v>
      </c>
      <c r="AA569" s="329"/>
      <c r="AB569" s="345"/>
      <c r="AC569" s="339"/>
    </row>
    <row r="570" spans="1:29" hidden="1">
      <c r="A570" s="329"/>
      <c r="B570" s="372" t="s">
        <v>788</v>
      </c>
      <c r="C570" s="373">
        <v>4</v>
      </c>
      <c r="D570" s="373" t="s">
        <v>103</v>
      </c>
      <c r="E570" s="373"/>
      <c r="F570" s="373"/>
      <c r="G570" s="437" t="s">
        <v>447</v>
      </c>
      <c r="H570" s="373">
        <v>1</v>
      </c>
      <c r="I570" s="373">
        <v>1</v>
      </c>
      <c r="J570" s="373">
        <v>0</v>
      </c>
      <c r="K570" s="373">
        <v>0</v>
      </c>
      <c r="L570" s="373">
        <v>1</v>
      </c>
      <c r="M570" s="373">
        <v>1</v>
      </c>
      <c r="N570" s="373">
        <v>0</v>
      </c>
      <c r="O570" s="373">
        <v>0</v>
      </c>
      <c r="P570" s="373">
        <v>1</v>
      </c>
      <c r="Q570" s="373">
        <v>1</v>
      </c>
      <c r="R570" s="373">
        <v>0</v>
      </c>
      <c r="S570" s="373">
        <v>0</v>
      </c>
      <c r="T570" s="373">
        <v>1</v>
      </c>
      <c r="U570" s="373">
        <v>1</v>
      </c>
      <c r="V570" s="373">
        <v>0</v>
      </c>
      <c r="W570" s="373">
        <v>0</v>
      </c>
      <c r="X570" s="329" t="s">
        <v>112</v>
      </c>
      <c r="Y570" s="330"/>
      <c r="Z570" s="329" t="s">
        <v>2952</v>
      </c>
      <c r="AA570" s="329"/>
      <c r="AB570" s="345"/>
      <c r="AC570" s="339"/>
    </row>
    <row r="571" spans="1:29" hidden="1">
      <c r="A571" s="329"/>
      <c r="B571" s="372" t="s">
        <v>779</v>
      </c>
      <c r="C571" s="373">
        <v>36</v>
      </c>
      <c r="D571" s="373" t="s">
        <v>773</v>
      </c>
      <c r="E571" s="373"/>
      <c r="F571" s="373"/>
      <c r="G571" s="437" t="s">
        <v>447</v>
      </c>
      <c r="H571" s="373">
        <v>9</v>
      </c>
      <c r="I571" s="373">
        <v>3</v>
      </c>
      <c r="J571" s="373">
        <v>3</v>
      </c>
      <c r="K571" s="373">
        <v>3</v>
      </c>
      <c r="L571" s="373">
        <v>9</v>
      </c>
      <c r="M571" s="373">
        <v>3</v>
      </c>
      <c r="N571" s="373">
        <v>3</v>
      </c>
      <c r="O571" s="373">
        <v>3</v>
      </c>
      <c r="P571" s="373">
        <v>9</v>
      </c>
      <c r="Q571" s="373">
        <v>3</v>
      </c>
      <c r="R571" s="373">
        <v>3</v>
      </c>
      <c r="S571" s="373">
        <v>3</v>
      </c>
      <c r="T571" s="373">
        <v>9</v>
      </c>
      <c r="U571" s="373">
        <v>3</v>
      </c>
      <c r="V571" s="373">
        <v>3</v>
      </c>
      <c r="W571" s="373">
        <v>3</v>
      </c>
      <c r="X571" s="329" t="s">
        <v>112</v>
      </c>
      <c r="Y571" s="330"/>
      <c r="Z571" s="329" t="s">
        <v>2952</v>
      </c>
      <c r="AA571" s="329"/>
      <c r="AB571" s="345"/>
      <c r="AC571" s="339"/>
    </row>
    <row r="572" spans="1:29" hidden="1">
      <c r="A572" s="329"/>
      <c r="B572" s="372" t="s">
        <v>3096</v>
      </c>
      <c r="C572" s="373">
        <v>8</v>
      </c>
      <c r="D572" s="373" t="s">
        <v>776</v>
      </c>
      <c r="E572" s="373"/>
      <c r="F572" s="373"/>
      <c r="G572" s="437" t="s">
        <v>447</v>
      </c>
      <c r="H572" s="373">
        <v>2</v>
      </c>
      <c r="I572" s="373">
        <v>2</v>
      </c>
      <c r="J572" s="373">
        <v>0</v>
      </c>
      <c r="K572" s="373">
        <v>0</v>
      </c>
      <c r="L572" s="373">
        <v>2</v>
      </c>
      <c r="M572" s="373">
        <v>2</v>
      </c>
      <c r="N572" s="373">
        <v>0</v>
      </c>
      <c r="O572" s="373">
        <v>0</v>
      </c>
      <c r="P572" s="373">
        <v>2</v>
      </c>
      <c r="Q572" s="373">
        <v>2</v>
      </c>
      <c r="R572" s="373">
        <v>0</v>
      </c>
      <c r="S572" s="373">
        <v>0</v>
      </c>
      <c r="T572" s="373">
        <v>2</v>
      </c>
      <c r="U572" s="373">
        <v>2</v>
      </c>
      <c r="V572" s="373">
        <v>0</v>
      </c>
      <c r="W572" s="373">
        <v>0</v>
      </c>
      <c r="X572" s="329" t="s">
        <v>112</v>
      </c>
      <c r="Y572" s="330"/>
      <c r="Z572" s="329" t="s">
        <v>2952</v>
      </c>
      <c r="AA572" s="329"/>
      <c r="AB572" s="345"/>
      <c r="AC572" s="339"/>
    </row>
    <row r="573" spans="1:29" hidden="1">
      <c r="A573" s="329"/>
      <c r="B573" s="372" t="s">
        <v>772</v>
      </c>
      <c r="C573" s="398">
        <v>48</v>
      </c>
      <c r="D573" s="373" t="s">
        <v>773</v>
      </c>
      <c r="E573" s="373"/>
      <c r="F573" s="373"/>
      <c r="G573" s="437" t="s">
        <v>447</v>
      </c>
      <c r="H573" s="373">
        <v>12</v>
      </c>
      <c r="I573" s="373">
        <v>4</v>
      </c>
      <c r="J573" s="373">
        <v>4</v>
      </c>
      <c r="K573" s="373">
        <v>4</v>
      </c>
      <c r="L573" s="373">
        <v>12</v>
      </c>
      <c r="M573" s="373">
        <v>4</v>
      </c>
      <c r="N573" s="373">
        <v>4</v>
      </c>
      <c r="O573" s="373">
        <v>4</v>
      </c>
      <c r="P573" s="373">
        <v>12</v>
      </c>
      <c r="Q573" s="373">
        <v>4</v>
      </c>
      <c r="R573" s="373">
        <v>4</v>
      </c>
      <c r="S573" s="373">
        <v>4</v>
      </c>
      <c r="T573" s="373">
        <v>12</v>
      </c>
      <c r="U573" s="373">
        <v>4</v>
      </c>
      <c r="V573" s="373">
        <v>4</v>
      </c>
      <c r="W573" s="373">
        <v>4</v>
      </c>
      <c r="X573" s="329" t="s">
        <v>112</v>
      </c>
      <c r="Y573" s="330"/>
      <c r="Z573" s="329" t="s">
        <v>2952</v>
      </c>
      <c r="AA573" s="329"/>
      <c r="AB573" s="345"/>
      <c r="AC573" s="339"/>
    </row>
    <row r="574" spans="1:29" hidden="1">
      <c r="A574" s="329"/>
      <c r="B574" s="372" t="s">
        <v>774</v>
      </c>
      <c r="C574" s="437">
        <v>6</v>
      </c>
      <c r="D574" s="373" t="s">
        <v>103</v>
      </c>
      <c r="E574" s="373"/>
      <c r="F574" s="398"/>
      <c r="G574" s="437" t="s">
        <v>447</v>
      </c>
      <c r="H574" s="398">
        <v>2</v>
      </c>
      <c r="I574" s="373">
        <v>2</v>
      </c>
      <c r="J574" s="373">
        <v>0</v>
      </c>
      <c r="K574" s="373">
        <v>0</v>
      </c>
      <c r="L574" s="373">
        <v>1</v>
      </c>
      <c r="M574" s="373">
        <v>1</v>
      </c>
      <c r="N574" s="373">
        <v>0</v>
      </c>
      <c r="O574" s="373">
        <v>0</v>
      </c>
      <c r="P574" s="373">
        <v>2</v>
      </c>
      <c r="Q574" s="373">
        <v>2</v>
      </c>
      <c r="R574" s="373">
        <v>0</v>
      </c>
      <c r="S574" s="373">
        <v>0</v>
      </c>
      <c r="T574" s="373">
        <v>1</v>
      </c>
      <c r="U574" s="373">
        <v>1</v>
      </c>
      <c r="V574" s="373">
        <v>0</v>
      </c>
      <c r="W574" s="373">
        <v>0</v>
      </c>
      <c r="X574" s="329" t="s">
        <v>112</v>
      </c>
      <c r="Y574" s="330"/>
      <c r="Z574" s="329" t="s">
        <v>2952</v>
      </c>
      <c r="AA574" s="329"/>
      <c r="AB574" s="345"/>
      <c r="AC574" s="339"/>
    </row>
    <row r="575" spans="1:29">
      <c r="A575" s="329"/>
      <c r="B575" s="372" t="s">
        <v>775</v>
      </c>
      <c r="C575" s="371">
        <v>17</v>
      </c>
      <c r="D575" s="373" t="s">
        <v>776</v>
      </c>
      <c r="E575" s="373"/>
      <c r="F575" s="371"/>
      <c r="G575" s="437" t="s">
        <v>447</v>
      </c>
      <c r="H575" s="371">
        <v>10</v>
      </c>
      <c r="I575" s="373">
        <v>10</v>
      </c>
      <c r="J575" s="373">
        <v>0</v>
      </c>
      <c r="K575" s="373">
        <v>0</v>
      </c>
      <c r="L575" s="373">
        <v>2</v>
      </c>
      <c r="M575" s="373">
        <v>2</v>
      </c>
      <c r="N575" s="373">
        <v>0</v>
      </c>
      <c r="O575" s="373">
        <v>0</v>
      </c>
      <c r="P575" s="373">
        <v>3</v>
      </c>
      <c r="Q575" s="373">
        <v>3</v>
      </c>
      <c r="R575" s="373">
        <v>0</v>
      </c>
      <c r="S575" s="373">
        <v>0</v>
      </c>
      <c r="T575" s="373">
        <v>2</v>
      </c>
      <c r="U575" s="373">
        <v>2</v>
      </c>
      <c r="V575" s="373">
        <v>0</v>
      </c>
      <c r="W575" s="373">
        <v>0</v>
      </c>
      <c r="X575" s="329" t="s">
        <v>112</v>
      </c>
      <c r="Y575" s="330" t="str">
        <f>DB!$D$194</f>
        <v>Branded Desktop Computer Set</v>
      </c>
      <c r="Z575" s="329" t="s">
        <v>2964</v>
      </c>
      <c r="AA575" s="329"/>
      <c r="AB575" s="345"/>
      <c r="AC575" s="339"/>
    </row>
    <row r="576" spans="1:29" hidden="1">
      <c r="A576" s="329"/>
      <c r="B576" s="372" t="s">
        <v>596</v>
      </c>
      <c r="C576" s="373">
        <v>17</v>
      </c>
      <c r="D576" s="373" t="s">
        <v>103</v>
      </c>
      <c r="E576" s="373"/>
      <c r="F576" s="373"/>
      <c r="G576" s="437" t="s">
        <v>447</v>
      </c>
      <c r="H576" s="373">
        <v>10</v>
      </c>
      <c r="I576" s="373">
        <v>10</v>
      </c>
      <c r="J576" s="373">
        <v>0</v>
      </c>
      <c r="K576" s="373">
        <v>0</v>
      </c>
      <c r="L576" s="373">
        <v>2</v>
      </c>
      <c r="M576" s="373">
        <v>2</v>
      </c>
      <c r="N576" s="373">
        <v>0</v>
      </c>
      <c r="O576" s="373">
        <v>0</v>
      </c>
      <c r="P576" s="373">
        <v>3</v>
      </c>
      <c r="Q576" s="373">
        <v>3</v>
      </c>
      <c r="R576" s="373">
        <v>0</v>
      </c>
      <c r="S576" s="373">
        <v>0</v>
      </c>
      <c r="T576" s="373">
        <v>2</v>
      </c>
      <c r="U576" s="373">
        <v>2</v>
      </c>
      <c r="V576" s="373">
        <v>0</v>
      </c>
      <c r="W576" s="373">
        <v>0</v>
      </c>
      <c r="X576" s="329" t="s">
        <v>112</v>
      </c>
      <c r="Y576" s="369" t="str">
        <f>DB!$D$6</f>
        <v>UPS 650VA, AVR, 230V</v>
      </c>
      <c r="Z576" s="351" t="s">
        <v>8</v>
      </c>
      <c r="AA576" s="329"/>
      <c r="AB576" s="345"/>
      <c r="AC576" s="339"/>
    </row>
    <row r="577" spans="1:29" hidden="1">
      <c r="A577" s="329"/>
      <c r="B577" s="372" t="s">
        <v>469</v>
      </c>
      <c r="C577" s="373">
        <v>2</v>
      </c>
      <c r="D577" s="373" t="s">
        <v>103</v>
      </c>
      <c r="E577" s="373"/>
      <c r="F577" s="373"/>
      <c r="G577" s="437" t="s">
        <v>447</v>
      </c>
      <c r="H577" s="373">
        <v>2</v>
      </c>
      <c r="I577" s="373">
        <v>2</v>
      </c>
      <c r="J577" s="373">
        <v>0</v>
      </c>
      <c r="K577" s="373">
        <v>0</v>
      </c>
      <c r="L577" s="373">
        <v>0</v>
      </c>
      <c r="M577" s="373">
        <v>0</v>
      </c>
      <c r="N577" s="373">
        <v>0</v>
      </c>
      <c r="O577" s="373">
        <v>0</v>
      </c>
      <c r="P577" s="373">
        <v>0</v>
      </c>
      <c r="Q577" s="373">
        <v>0</v>
      </c>
      <c r="R577" s="373">
        <v>0</v>
      </c>
      <c r="S577" s="373">
        <v>0</v>
      </c>
      <c r="T577" s="373">
        <v>0</v>
      </c>
      <c r="U577" s="373">
        <v>0</v>
      </c>
      <c r="V577" s="373">
        <v>0</v>
      </c>
      <c r="W577" s="373">
        <v>0</v>
      </c>
      <c r="X577" s="329" t="s">
        <v>112</v>
      </c>
      <c r="Y577" s="330"/>
      <c r="Z577" s="329" t="s">
        <v>2962</v>
      </c>
      <c r="AA577" s="329"/>
      <c r="AB577" s="345"/>
      <c r="AC577" s="339"/>
    </row>
    <row r="578" spans="1:29" hidden="1">
      <c r="A578" s="329"/>
      <c r="B578" s="372" t="s">
        <v>789</v>
      </c>
      <c r="C578" s="373">
        <v>2</v>
      </c>
      <c r="D578" s="373" t="s">
        <v>776</v>
      </c>
      <c r="E578" s="373"/>
      <c r="F578" s="398"/>
      <c r="G578" s="437" t="s">
        <v>447</v>
      </c>
      <c r="H578" s="373">
        <v>1</v>
      </c>
      <c r="I578" s="373">
        <v>1</v>
      </c>
      <c r="J578" s="373">
        <v>0</v>
      </c>
      <c r="K578" s="373">
        <v>0</v>
      </c>
      <c r="L578" s="373">
        <v>0</v>
      </c>
      <c r="M578" s="373">
        <v>0</v>
      </c>
      <c r="N578" s="373">
        <v>0</v>
      </c>
      <c r="O578" s="373">
        <v>0</v>
      </c>
      <c r="P578" s="373">
        <v>1</v>
      </c>
      <c r="Q578" s="373">
        <v>1</v>
      </c>
      <c r="R578" s="373">
        <v>0</v>
      </c>
      <c r="S578" s="373">
        <v>0</v>
      </c>
      <c r="T578" s="373">
        <v>0</v>
      </c>
      <c r="U578" s="373">
        <v>0</v>
      </c>
      <c r="V578" s="373">
        <v>0</v>
      </c>
      <c r="W578" s="373">
        <v>0</v>
      </c>
      <c r="X578" s="329" t="s">
        <v>112</v>
      </c>
      <c r="Y578" s="330"/>
      <c r="Z578" s="329" t="s">
        <v>2952</v>
      </c>
      <c r="AA578" s="329"/>
      <c r="AB578" s="345"/>
      <c r="AC578" s="339"/>
    </row>
    <row r="579" spans="1:29" ht="31.5" hidden="1">
      <c r="A579" s="329"/>
      <c r="B579" s="334" t="s">
        <v>791</v>
      </c>
      <c r="C579" s="373">
        <v>24</v>
      </c>
      <c r="D579" s="373" t="s">
        <v>103</v>
      </c>
      <c r="E579" s="373"/>
      <c r="F579" s="371"/>
      <c r="G579" s="437" t="s">
        <v>447</v>
      </c>
      <c r="H579" s="373">
        <v>12</v>
      </c>
      <c r="I579" s="373">
        <v>12</v>
      </c>
      <c r="J579" s="373">
        <v>0</v>
      </c>
      <c r="K579" s="373">
        <v>0</v>
      </c>
      <c r="L579" s="373">
        <v>0</v>
      </c>
      <c r="M579" s="373">
        <v>0</v>
      </c>
      <c r="N579" s="373">
        <v>0</v>
      </c>
      <c r="O579" s="373">
        <v>0</v>
      </c>
      <c r="P579" s="373">
        <v>12</v>
      </c>
      <c r="Q579" s="373">
        <v>12</v>
      </c>
      <c r="R579" s="373">
        <v>0</v>
      </c>
      <c r="S579" s="373">
        <v>0</v>
      </c>
      <c r="T579" s="373">
        <v>0</v>
      </c>
      <c r="U579" s="373">
        <v>0</v>
      </c>
      <c r="V579" s="373">
        <v>0</v>
      </c>
      <c r="W579" s="373">
        <v>0</v>
      </c>
      <c r="X579" s="329" t="s">
        <v>112</v>
      </c>
      <c r="Y579" s="369" t="str">
        <f>DB!$D$110</f>
        <v>HP Genuine Ink Refill - (GT53) Black</v>
      </c>
      <c r="Z579" s="329" t="s">
        <v>8</v>
      </c>
      <c r="AA579" s="329"/>
      <c r="AB579" s="345"/>
      <c r="AC579" s="339"/>
    </row>
    <row r="580" spans="1:29" hidden="1">
      <c r="A580" s="329"/>
      <c r="B580" s="382" t="s">
        <v>3097</v>
      </c>
      <c r="C580" s="362">
        <v>2</v>
      </c>
      <c r="D580" s="373" t="s">
        <v>103</v>
      </c>
      <c r="E580" s="341">
        <v>500</v>
      </c>
      <c r="F580" s="341">
        <v>850</v>
      </c>
      <c r="G580" s="371" t="s">
        <v>752</v>
      </c>
      <c r="H580" s="373">
        <v>2</v>
      </c>
      <c r="I580" s="373">
        <v>2</v>
      </c>
      <c r="J580" s="373">
        <v>0</v>
      </c>
      <c r="K580" s="373">
        <v>0</v>
      </c>
      <c r="L580" s="373">
        <v>0</v>
      </c>
      <c r="M580" s="373">
        <v>0</v>
      </c>
      <c r="N580" s="373">
        <v>0</v>
      </c>
      <c r="O580" s="373">
        <v>0</v>
      </c>
      <c r="P580" s="373">
        <v>0</v>
      </c>
      <c r="Q580" s="373">
        <v>0</v>
      </c>
      <c r="R580" s="373">
        <v>0</v>
      </c>
      <c r="S580" s="373">
        <v>0</v>
      </c>
      <c r="T580" s="373">
        <v>0</v>
      </c>
      <c r="U580" s="373">
        <v>0</v>
      </c>
      <c r="V580" s="373">
        <v>0</v>
      </c>
      <c r="W580" s="373">
        <v>0</v>
      </c>
      <c r="X580" s="329" t="s">
        <v>112</v>
      </c>
      <c r="Y580" s="330"/>
      <c r="Z580" s="329" t="s">
        <v>2946</v>
      </c>
      <c r="AA580" s="329"/>
      <c r="AB580" s="345"/>
      <c r="AC580" s="339"/>
    </row>
    <row r="581" spans="1:29" hidden="1">
      <c r="A581" s="329"/>
      <c r="B581" s="338" t="s">
        <v>3098</v>
      </c>
      <c r="C581" s="371">
        <v>1</v>
      </c>
      <c r="D581" s="343" t="s">
        <v>103</v>
      </c>
      <c r="E581" s="342">
        <v>80000</v>
      </c>
      <c r="F581" s="399">
        <v>80000</v>
      </c>
      <c r="G581" s="375" t="s">
        <v>342</v>
      </c>
      <c r="H581" s="343">
        <v>1</v>
      </c>
      <c r="I581" s="343">
        <v>1</v>
      </c>
      <c r="J581" s="343"/>
      <c r="K581" s="343"/>
      <c r="L581" s="343">
        <v>0</v>
      </c>
      <c r="M581" s="343"/>
      <c r="N581" s="343"/>
      <c r="O581" s="343"/>
      <c r="P581" s="343">
        <v>0</v>
      </c>
      <c r="Q581" s="343"/>
      <c r="R581" s="343"/>
      <c r="S581" s="343"/>
      <c r="T581" s="343">
        <v>0</v>
      </c>
      <c r="U581" s="343"/>
      <c r="V581" s="343"/>
      <c r="W581" s="343"/>
      <c r="X581" s="329" t="s">
        <v>2567</v>
      </c>
      <c r="Y581" s="330"/>
      <c r="Z581" s="329" t="s">
        <v>2952</v>
      </c>
      <c r="AA581" s="329"/>
      <c r="AB581" s="345"/>
      <c r="AC581" s="339"/>
    </row>
    <row r="582" spans="1:29" hidden="1">
      <c r="A582" s="329"/>
      <c r="B582" s="334" t="s">
        <v>482</v>
      </c>
      <c r="C582" s="373">
        <v>1</v>
      </c>
      <c r="D582" s="341" t="s">
        <v>92</v>
      </c>
      <c r="E582" s="347">
        <v>8500</v>
      </c>
      <c r="F582" s="376">
        <v>8500</v>
      </c>
      <c r="G582" s="377" t="s">
        <v>342</v>
      </c>
      <c r="H582" s="341">
        <v>1</v>
      </c>
      <c r="I582" s="341">
        <v>1</v>
      </c>
      <c r="J582" s="341"/>
      <c r="K582" s="341"/>
      <c r="L582" s="341">
        <v>0</v>
      </c>
      <c r="M582" s="341"/>
      <c r="N582" s="341"/>
      <c r="O582" s="341"/>
      <c r="P582" s="341">
        <v>0</v>
      </c>
      <c r="Q582" s="341"/>
      <c r="R582" s="341"/>
      <c r="S582" s="341"/>
      <c r="T582" s="341">
        <v>0</v>
      </c>
      <c r="U582" s="341"/>
      <c r="V582" s="341"/>
      <c r="W582" s="341"/>
      <c r="X582" s="329" t="s">
        <v>2567</v>
      </c>
      <c r="Y582" s="330"/>
      <c r="Z582" s="329" t="s">
        <v>2962</v>
      </c>
      <c r="AA582" s="329"/>
      <c r="AB582" s="345"/>
      <c r="AC582" s="339"/>
    </row>
    <row r="583" spans="1:29" hidden="1">
      <c r="A583" s="329"/>
      <c r="B583" s="334" t="s">
        <v>532</v>
      </c>
      <c r="C583" s="341">
        <v>5</v>
      </c>
      <c r="D583" s="341" t="s">
        <v>103</v>
      </c>
      <c r="E583" s="341">
        <v>500</v>
      </c>
      <c r="F583" s="347">
        <v>2500</v>
      </c>
      <c r="G583" s="341" t="s">
        <v>342</v>
      </c>
      <c r="H583" s="354">
        <v>5</v>
      </c>
      <c r="I583" s="354" t="s">
        <v>533</v>
      </c>
      <c r="J583" s="354"/>
      <c r="K583" s="354"/>
      <c r="L583" s="341">
        <v>0</v>
      </c>
      <c r="M583" s="341"/>
      <c r="N583" s="341"/>
      <c r="O583" s="341"/>
      <c r="P583" s="341">
        <v>0</v>
      </c>
      <c r="Q583" s="341"/>
      <c r="R583" s="341"/>
      <c r="S583" s="341"/>
      <c r="T583" s="341">
        <v>0</v>
      </c>
      <c r="U583" s="341"/>
      <c r="V583" s="341"/>
      <c r="W583" s="341"/>
      <c r="X583" s="329" t="s">
        <v>2567</v>
      </c>
      <c r="Y583" s="330"/>
      <c r="Z583" s="329" t="s">
        <v>2946</v>
      </c>
      <c r="AA583" s="329"/>
      <c r="AB583" s="345"/>
      <c r="AC583" s="339"/>
    </row>
    <row r="584" spans="1:29" hidden="1">
      <c r="A584" s="329"/>
      <c r="B584" s="334" t="s">
        <v>3099</v>
      </c>
      <c r="C584" s="341">
        <v>1</v>
      </c>
      <c r="D584" s="341" t="s">
        <v>118</v>
      </c>
      <c r="E584" s="347">
        <v>27000</v>
      </c>
      <c r="F584" s="347">
        <v>27000</v>
      </c>
      <c r="G584" s="341" t="s">
        <v>342</v>
      </c>
      <c r="H584" s="397">
        <v>1</v>
      </c>
      <c r="I584" s="397" t="s">
        <v>533</v>
      </c>
      <c r="J584" s="397"/>
      <c r="K584" s="397"/>
      <c r="L584" s="341">
        <v>0</v>
      </c>
      <c r="M584" s="341"/>
      <c r="N584" s="341"/>
      <c r="O584" s="341"/>
      <c r="P584" s="341">
        <v>0</v>
      </c>
      <c r="Q584" s="341"/>
      <c r="R584" s="341"/>
      <c r="S584" s="341"/>
      <c r="T584" s="341">
        <v>0</v>
      </c>
      <c r="U584" s="341"/>
      <c r="V584" s="341"/>
      <c r="W584" s="341"/>
      <c r="X584" s="329" t="s">
        <v>2567</v>
      </c>
      <c r="Y584" s="330"/>
      <c r="Z584" s="329" t="s">
        <v>2958</v>
      </c>
      <c r="AA584" s="329"/>
      <c r="AB584" s="345"/>
      <c r="AC584" s="339"/>
    </row>
    <row r="585" spans="1:29" ht="47.25" hidden="1">
      <c r="A585" s="329"/>
      <c r="B585" s="334" t="s">
        <v>534</v>
      </c>
      <c r="C585" s="341">
        <v>1</v>
      </c>
      <c r="D585" s="341" t="s">
        <v>103</v>
      </c>
      <c r="E585" s="347">
        <v>3000</v>
      </c>
      <c r="F585" s="347">
        <v>3000</v>
      </c>
      <c r="G585" s="341" t="s">
        <v>342</v>
      </c>
      <c r="H585" s="397">
        <v>1</v>
      </c>
      <c r="I585" s="397" t="s">
        <v>533</v>
      </c>
      <c r="J585" s="397"/>
      <c r="K585" s="397"/>
      <c r="L585" s="341">
        <v>0</v>
      </c>
      <c r="M585" s="341"/>
      <c r="N585" s="341"/>
      <c r="O585" s="341"/>
      <c r="P585" s="341">
        <v>0</v>
      </c>
      <c r="Q585" s="341"/>
      <c r="R585" s="341"/>
      <c r="S585" s="341"/>
      <c r="T585" s="341">
        <v>0</v>
      </c>
      <c r="U585" s="341"/>
      <c r="V585" s="341"/>
      <c r="W585" s="341"/>
      <c r="X585" s="329" t="s">
        <v>2567</v>
      </c>
      <c r="Y585" s="330" t="str">
        <f>DB!$D$90</f>
        <v>Professional Presenter Wireless Presentation Clicker Remote</v>
      </c>
      <c r="Z585" s="329" t="s">
        <v>8</v>
      </c>
      <c r="AA585" s="329"/>
      <c r="AB585" s="345"/>
      <c r="AC585" s="339"/>
    </row>
    <row r="586" spans="1:29" hidden="1">
      <c r="A586" s="329"/>
      <c r="B586" s="372" t="s">
        <v>535</v>
      </c>
      <c r="C586" s="373">
        <v>2</v>
      </c>
      <c r="D586" s="377" t="s">
        <v>103</v>
      </c>
      <c r="E586" s="376">
        <v>5000</v>
      </c>
      <c r="F586" s="376">
        <v>10000</v>
      </c>
      <c r="G586" s="341" t="s">
        <v>342</v>
      </c>
      <c r="H586" s="343">
        <v>2</v>
      </c>
      <c r="I586" s="343">
        <v>2</v>
      </c>
      <c r="J586" s="343"/>
      <c r="K586" s="343"/>
      <c r="L586" s="341">
        <v>0</v>
      </c>
      <c r="M586" s="341"/>
      <c r="N586" s="341"/>
      <c r="O586" s="341"/>
      <c r="P586" s="341">
        <v>0</v>
      </c>
      <c r="Q586" s="341"/>
      <c r="R586" s="341"/>
      <c r="S586" s="341"/>
      <c r="T586" s="341">
        <v>0</v>
      </c>
      <c r="U586" s="341"/>
      <c r="V586" s="341"/>
      <c r="W586" s="341"/>
      <c r="X586" s="329" t="s">
        <v>2567</v>
      </c>
      <c r="Y586" s="369" t="str">
        <f>DB!$D$6</f>
        <v>UPS 650VA, AVR, 230V</v>
      </c>
      <c r="Z586" s="351" t="s">
        <v>8</v>
      </c>
      <c r="AA586" s="329"/>
      <c r="AB586" s="345"/>
      <c r="AC586" s="339"/>
    </row>
    <row r="587" spans="1:29" ht="31.5">
      <c r="A587" s="329"/>
      <c r="B587" s="370" t="s">
        <v>3100</v>
      </c>
      <c r="C587" s="337">
        <v>2</v>
      </c>
      <c r="D587" s="359" t="s">
        <v>466</v>
      </c>
      <c r="E587" s="343">
        <v>80000</v>
      </c>
      <c r="F587" s="337">
        <v>160000</v>
      </c>
      <c r="G587" s="343" t="s">
        <v>342</v>
      </c>
      <c r="H587" s="343">
        <v>2</v>
      </c>
      <c r="I587" s="343">
        <v>2</v>
      </c>
      <c r="J587" s="343">
        <v>0</v>
      </c>
      <c r="K587" s="343">
        <v>0</v>
      </c>
      <c r="L587" s="343">
        <v>0</v>
      </c>
      <c r="M587" s="343">
        <v>0</v>
      </c>
      <c r="N587" s="343">
        <v>0</v>
      </c>
      <c r="O587" s="343">
        <v>0</v>
      </c>
      <c r="P587" s="343">
        <v>0</v>
      </c>
      <c r="Q587" s="343">
        <v>0</v>
      </c>
      <c r="R587" s="343">
        <v>0</v>
      </c>
      <c r="S587" s="343">
        <v>0</v>
      </c>
      <c r="T587" s="343">
        <v>0</v>
      </c>
      <c r="U587" s="343">
        <v>0</v>
      </c>
      <c r="V587" s="343">
        <v>0</v>
      </c>
      <c r="W587" s="343">
        <v>0</v>
      </c>
      <c r="X587" s="329" t="s">
        <v>3101</v>
      </c>
      <c r="Y587" s="330" t="str">
        <f>DB!$D$194</f>
        <v>Branded Desktop Computer Set</v>
      </c>
      <c r="Z587" s="329" t="s">
        <v>2964</v>
      </c>
      <c r="AA587" s="329"/>
      <c r="AB587" s="345"/>
      <c r="AC587" s="339"/>
    </row>
    <row r="588" spans="1:29" ht="31.5" hidden="1">
      <c r="A588" s="329"/>
      <c r="B588" s="372" t="s">
        <v>3102</v>
      </c>
      <c r="C588" s="335">
        <v>2</v>
      </c>
      <c r="D588" s="362" t="s">
        <v>466</v>
      </c>
      <c r="E588" s="341">
        <v>10000</v>
      </c>
      <c r="F588" s="335">
        <v>20000</v>
      </c>
      <c r="G588" s="341" t="s">
        <v>342</v>
      </c>
      <c r="H588" s="341">
        <v>2</v>
      </c>
      <c r="I588" s="341">
        <v>2</v>
      </c>
      <c r="J588" s="341">
        <v>0</v>
      </c>
      <c r="K588" s="341">
        <v>0</v>
      </c>
      <c r="L588" s="341">
        <v>0</v>
      </c>
      <c r="M588" s="341">
        <v>0</v>
      </c>
      <c r="N588" s="341">
        <v>0</v>
      </c>
      <c r="O588" s="341">
        <v>0</v>
      </c>
      <c r="P588" s="341">
        <v>0</v>
      </c>
      <c r="Q588" s="341">
        <v>0</v>
      </c>
      <c r="R588" s="341">
        <v>0</v>
      </c>
      <c r="S588" s="341">
        <v>0</v>
      </c>
      <c r="T588" s="341">
        <v>0</v>
      </c>
      <c r="U588" s="341">
        <v>0</v>
      </c>
      <c r="V588" s="341">
        <v>0</v>
      </c>
      <c r="W588" s="341">
        <v>0</v>
      </c>
      <c r="X588" s="329" t="s">
        <v>3101</v>
      </c>
      <c r="Y588" s="330"/>
      <c r="Z588" s="329" t="s">
        <v>2962</v>
      </c>
      <c r="AA588" s="329"/>
      <c r="AB588" s="345"/>
      <c r="AC588" s="339"/>
    </row>
    <row r="589" spans="1:29" hidden="1">
      <c r="A589" s="329"/>
      <c r="B589" s="372" t="s">
        <v>3103</v>
      </c>
      <c r="C589" s="335">
        <v>2</v>
      </c>
      <c r="D589" s="362" t="s">
        <v>103</v>
      </c>
      <c r="E589" s="347">
        <v>3500</v>
      </c>
      <c r="F589" s="335">
        <v>7000</v>
      </c>
      <c r="G589" s="341" t="s">
        <v>342</v>
      </c>
      <c r="H589" s="341">
        <v>2</v>
      </c>
      <c r="I589" s="341">
        <v>3</v>
      </c>
      <c r="J589" s="341">
        <v>0</v>
      </c>
      <c r="K589" s="341">
        <v>0</v>
      </c>
      <c r="L589" s="341">
        <v>0</v>
      </c>
      <c r="M589" s="341">
        <v>0</v>
      </c>
      <c r="N589" s="341">
        <v>0</v>
      </c>
      <c r="O589" s="341">
        <v>0</v>
      </c>
      <c r="P589" s="341">
        <v>0</v>
      </c>
      <c r="Q589" s="341">
        <v>0</v>
      </c>
      <c r="R589" s="341">
        <v>0</v>
      </c>
      <c r="S589" s="341">
        <v>0</v>
      </c>
      <c r="T589" s="341">
        <v>0</v>
      </c>
      <c r="U589" s="341">
        <v>0</v>
      </c>
      <c r="V589" s="341">
        <v>0</v>
      </c>
      <c r="W589" s="341">
        <v>0</v>
      </c>
      <c r="X589" s="329" t="s">
        <v>3101</v>
      </c>
      <c r="Y589" s="369" t="str">
        <f>DB!$D$6</f>
        <v>UPS 650VA, AVR, 230V</v>
      </c>
      <c r="Z589" s="351" t="s">
        <v>8</v>
      </c>
      <c r="AA589" s="329"/>
      <c r="AB589" s="345"/>
      <c r="AC589" s="339"/>
    </row>
    <row r="590" spans="1:29" hidden="1">
      <c r="A590" s="329"/>
      <c r="B590" s="372" t="s">
        <v>643</v>
      </c>
      <c r="C590" s="335">
        <v>48</v>
      </c>
      <c r="D590" s="343" t="s">
        <v>103</v>
      </c>
      <c r="E590" s="335">
        <v>400</v>
      </c>
      <c r="F590" s="335">
        <v>19200</v>
      </c>
      <c r="G590" s="341" t="s">
        <v>342</v>
      </c>
      <c r="H590" s="341">
        <v>12</v>
      </c>
      <c r="I590" s="341">
        <v>4</v>
      </c>
      <c r="J590" s="341">
        <v>4</v>
      </c>
      <c r="K590" s="341">
        <v>4</v>
      </c>
      <c r="L590" s="341">
        <v>12</v>
      </c>
      <c r="M590" s="341">
        <v>4</v>
      </c>
      <c r="N590" s="341">
        <v>4</v>
      </c>
      <c r="O590" s="341">
        <v>4</v>
      </c>
      <c r="P590" s="341">
        <v>12</v>
      </c>
      <c r="Q590" s="341">
        <v>4</v>
      </c>
      <c r="R590" s="341">
        <v>4</v>
      </c>
      <c r="S590" s="341">
        <v>4</v>
      </c>
      <c r="T590" s="341">
        <v>12</v>
      </c>
      <c r="U590" s="341">
        <v>4</v>
      </c>
      <c r="V590" s="341">
        <v>4</v>
      </c>
      <c r="W590" s="341">
        <v>4</v>
      </c>
      <c r="X590" s="329" t="s">
        <v>3101</v>
      </c>
      <c r="Y590" s="330" t="str">
        <f>DB!$D$102</f>
        <v>Epson Genuine Ink T6641 Black</v>
      </c>
      <c r="Z590" s="329" t="s">
        <v>8</v>
      </c>
      <c r="AA590" s="329"/>
      <c r="AB590" s="345"/>
      <c r="AC590" s="339"/>
    </row>
    <row r="591" spans="1:29" hidden="1">
      <c r="A591" s="329"/>
      <c r="B591" s="372" t="s">
        <v>644</v>
      </c>
      <c r="C591" s="335">
        <v>48</v>
      </c>
      <c r="D591" s="341" t="s">
        <v>103</v>
      </c>
      <c r="E591" s="335">
        <v>400</v>
      </c>
      <c r="F591" s="335">
        <v>19200</v>
      </c>
      <c r="G591" s="341" t="s">
        <v>342</v>
      </c>
      <c r="H591" s="341">
        <v>12</v>
      </c>
      <c r="I591" s="341">
        <v>4</v>
      </c>
      <c r="J591" s="341">
        <v>4</v>
      </c>
      <c r="K591" s="341">
        <v>4</v>
      </c>
      <c r="L591" s="341">
        <v>12</v>
      </c>
      <c r="M591" s="341">
        <v>4</v>
      </c>
      <c r="N591" s="341">
        <v>4</v>
      </c>
      <c r="O591" s="341">
        <v>4</v>
      </c>
      <c r="P591" s="341">
        <v>12</v>
      </c>
      <c r="Q591" s="341">
        <v>4</v>
      </c>
      <c r="R591" s="341">
        <v>4</v>
      </c>
      <c r="S591" s="341">
        <v>4</v>
      </c>
      <c r="T591" s="341">
        <v>12</v>
      </c>
      <c r="U591" s="341">
        <v>4</v>
      </c>
      <c r="V591" s="341">
        <v>4</v>
      </c>
      <c r="W591" s="341">
        <v>4</v>
      </c>
      <c r="X591" s="329" t="s">
        <v>3101</v>
      </c>
      <c r="Y591" s="330" t="str">
        <f>DB!$D$103</f>
        <v>Epson Genuine Ink T6642 Cyan</v>
      </c>
      <c r="Z591" s="351" t="s">
        <v>8</v>
      </c>
      <c r="AA591" s="329"/>
      <c r="AB591" s="345"/>
      <c r="AC591" s="339"/>
    </row>
    <row r="592" spans="1:29" ht="31.5" hidden="1">
      <c r="A592" s="329"/>
      <c r="B592" s="372" t="s">
        <v>645</v>
      </c>
      <c r="C592" s="335">
        <v>48</v>
      </c>
      <c r="D592" s="341" t="s">
        <v>103</v>
      </c>
      <c r="E592" s="335">
        <v>400</v>
      </c>
      <c r="F592" s="335">
        <v>19200</v>
      </c>
      <c r="G592" s="341" t="s">
        <v>342</v>
      </c>
      <c r="H592" s="341">
        <v>12</v>
      </c>
      <c r="I592" s="341">
        <v>4</v>
      </c>
      <c r="J592" s="341">
        <v>4</v>
      </c>
      <c r="K592" s="341">
        <v>4</v>
      </c>
      <c r="L592" s="341">
        <v>12</v>
      </c>
      <c r="M592" s="341">
        <v>4</v>
      </c>
      <c r="N592" s="341">
        <v>4</v>
      </c>
      <c r="O592" s="341">
        <v>4</v>
      </c>
      <c r="P592" s="341">
        <v>12</v>
      </c>
      <c r="Q592" s="341">
        <v>4</v>
      </c>
      <c r="R592" s="341">
        <v>4</v>
      </c>
      <c r="S592" s="341">
        <v>4</v>
      </c>
      <c r="T592" s="341">
        <v>12</v>
      </c>
      <c r="U592" s="341">
        <v>4</v>
      </c>
      <c r="V592" s="341">
        <v>4</v>
      </c>
      <c r="W592" s="341">
        <v>4</v>
      </c>
      <c r="X592" s="329" t="s">
        <v>3101</v>
      </c>
      <c r="Y592" s="330" t="str">
        <f>DB!$D$105</f>
        <v>Epson Genuine Ink T6644 Yellow</v>
      </c>
      <c r="Z592" s="351" t="s">
        <v>8</v>
      </c>
      <c r="AA592" s="329"/>
      <c r="AB592" s="345"/>
      <c r="AC592" s="339"/>
    </row>
    <row r="593" spans="1:29" ht="31.5" hidden="1">
      <c r="A593" s="329"/>
      <c r="B593" s="372" t="s">
        <v>646</v>
      </c>
      <c r="C593" s="335">
        <v>48</v>
      </c>
      <c r="D593" s="341" t="s">
        <v>103</v>
      </c>
      <c r="E593" s="335">
        <v>400</v>
      </c>
      <c r="F593" s="335">
        <v>19200</v>
      </c>
      <c r="G593" s="341" t="s">
        <v>342</v>
      </c>
      <c r="H593" s="341">
        <v>12</v>
      </c>
      <c r="I593" s="341">
        <v>4</v>
      </c>
      <c r="J593" s="341">
        <v>4</v>
      </c>
      <c r="K593" s="341">
        <v>4</v>
      </c>
      <c r="L593" s="341">
        <v>12</v>
      </c>
      <c r="M593" s="341">
        <v>4</v>
      </c>
      <c r="N593" s="341">
        <v>4</v>
      </c>
      <c r="O593" s="341">
        <v>4</v>
      </c>
      <c r="P593" s="341">
        <v>12</v>
      </c>
      <c r="Q593" s="341">
        <v>4</v>
      </c>
      <c r="R593" s="341">
        <v>4</v>
      </c>
      <c r="S593" s="341">
        <v>4</v>
      </c>
      <c r="T593" s="341">
        <v>12</v>
      </c>
      <c r="U593" s="341">
        <v>4</v>
      </c>
      <c r="V593" s="341">
        <v>4</v>
      </c>
      <c r="W593" s="341">
        <v>4</v>
      </c>
      <c r="X593" s="329" t="s">
        <v>3101</v>
      </c>
      <c r="Y593" s="330" t="str">
        <f>DB!$D$104</f>
        <v>Epson Genuine Ink T6643 Magenta</v>
      </c>
      <c r="Z593" s="351" t="s">
        <v>8</v>
      </c>
      <c r="AA593" s="329"/>
      <c r="AB593" s="345"/>
      <c r="AC593" s="339"/>
    </row>
    <row r="594" spans="1:29" hidden="1">
      <c r="A594" s="329"/>
      <c r="B594" s="372" t="s">
        <v>3104</v>
      </c>
      <c r="C594" s="335">
        <v>24</v>
      </c>
      <c r="D594" s="341" t="s">
        <v>103</v>
      </c>
      <c r="E594" s="335">
        <v>400</v>
      </c>
      <c r="F594" s="335">
        <v>9600</v>
      </c>
      <c r="G594" s="341" t="s">
        <v>342</v>
      </c>
      <c r="H594" s="341">
        <v>6</v>
      </c>
      <c r="I594" s="341">
        <v>2</v>
      </c>
      <c r="J594" s="341">
        <v>2</v>
      </c>
      <c r="K594" s="341">
        <v>2</v>
      </c>
      <c r="L594" s="341">
        <v>6</v>
      </c>
      <c r="M594" s="341">
        <v>2</v>
      </c>
      <c r="N594" s="341">
        <v>2</v>
      </c>
      <c r="O594" s="341">
        <v>2</v>
      </c>
      <c r="P594" s="341">
        <v>6</v>
      </c>
      <c r="Q594" s="341">
        <v>2</v>
      </c>
      <c r="R594" s="341">
        <v>2</v>
      </c>
      <c r="S594" s="341">
        <v>2</v>
      </c>
      <c r="T594" s="341">
        <v>6</v>
      </c>
      <c r="U594" s="341">
        <v>2</v>
      </c>
      <c r="V594" s="341">
        <v>2</v>
      </c>
      <c r="W594" s="341">
        <v>2</v>
      </c>
      <c r="X594" s="329" t="s">
        <v>3101</v>
      </c>
      <c r="Y594" s="330" t="str">
        <f>DB!$D$102</f>
        <v>Epson Genuine Ink T6641 Black</v>
      </c>
      <c r="Z594" s="329" t="s">
        <v>8</v>
      </c>
      <c r="AA594" s="329"/>
      <c r="AB594" s="345"/>
      <c r="AC594" s="339"/>
    </row>
    <row r="595" spans="1:29" hidden="1">
      <c r="A595" s="329"/>
      <c r="B595" s="372" t="s">
        <v>3105</v>
      </c>
      <c r="C595" s="335">
        <v>24</v>
      </c>
      <c r="D595" s="341" t="s">
        <v>103</v>
      </c>
      <c r="E595" s="335">
        <v>400</v>
      </c>
      <c r="F595" s="335">
        <v>9600</v>
      </c>
      <c r="G595" s="341" t="s">
        <v>342</v>
      </c>
      <c r="H595" s="341">
        <v>6</v>
      </c>
      <c r="I595" s="341">
        <v>2</v>
      </c>
      <c r="J595" s="341">
        <v>2</v>
      </c>
      <c r="K595" s="341">
        <v>2</v>
      </c>
      <c r="L595" s="341">
        <v>6</v>
      </c>
      <c r="M595" s="341">
        <v>2</v>
      </c>
      <c r="N595" s="341">
        <v>2</v>
      </c>
      <c r="O595" s="341">
        <v>2</v>
      </c>
      <c r="P595" s="341">
        <v>6</v>
      </c>
      <c r="Q595" s="341">
        <v>2</v>
      </c>
      <c r="R595" s="341">
        <v>2</v>
      </c>
      <c r="S595" s="341">
        <v>2</v>
      </c>
      <c r="T595" s="341">
        <v>6</v>
      </c>
      <c r="U595" s="341">
        <v>2</v>
      </c>
      <c r="V595" s="341">
        <v>2</v>
      </c>
      <c r="W595" s="341">
        <v>2</v>
      </c>
      <c r="X595" s="329" t="s">
        <v>3101</v>
      </c>
      <c r="Y595" s="330" t="str">
        <f>DB!$D$103</f>
        <v>Epson Genuine Ink T6642 Cyan</v>
      </c>
      <c r="Z595" s="351" t="s">
        <v>8</v>
      </c>
      <c r="AA595" s="329"/>
      <c r="AB595" s="345"/>
      <c r="AC595" s="339"/>
    </row>
    <row r="596" spans="1:29" ht="31.5" hidden="1">
      <c r="A596" s="329"/>
      <c r="B596" s="372" t="s">
        <v>3106</v>
      </c>
      <c r="C596" s="335">
        <v>24</v>
      </c>
      <c r="D596" s="341" t="s">
        <v>103</v>
      </c>
      <c r="E596" s="335">
        <v>400</v>
      </c>
      <c r="F596" s="335">
        <v>9600</v>
      </c>
      <c r="G596" s="341" t="s">
        <v>342</v>
      </c>
      <c r="H596" s="341">
        <v>6</v>
      </c>
      <c r="I596" s="341">
        <v>2</v>
      </c>
      <c r="J596" s="341">
        <v>2</v>
      </c>
      <c r="K596" s="341">
        <v>2</v>
      </c>
      <c r="L596" s="341">
        <v>6</v>
      </c>
      <c r="M596" s="341">
        <v>2</v>
      </c>
      <c r="N596" s="341">
        <v>2</v>
      </c>
      <c r="O596" s="341">
        <v>2</v>
      </c>
      <c r="P596" s="341">
        <v>6</v>
      </c>
      <c r="Q596" s="341">
        <v>2</v>
      </c>
      <c r="R596" s="341">
        <v>2</v>
      </c>
      <c r="S596" s="341">
        <v>2</v>
      </c>
      <c r="T596" s="341">
        <v>6</v>
      </c>
      <c r="U596" s="341">
        <v>2</v>
      </c>
      <c r="V596" s="341">
        <v>2</v>
      </c>
      <c r="W596" s="341">
        <v>2</v>
      </c>
      <c r="X596" s="329" t="s">
        <v>3101</v>
      </c>
      <c r="Y596" s="330" t="str">
        <f>DB!$D$105</f>
        <v>Epson Genuine Ink T6644 Yellow</v>
      </c>
      <c r="Z596" s="351" t="s">
        <v>8</v>
      </c>
      <c r="AA596" s="329"/>
      <c r="AB596" s="345"/>
      <c r="AC596" s="339"/>
    </row>
    <row r="597" spans="1:29" ht="31.5" hidden="1">
      <c r="A597" s="329"/>
      <c r="B597" s="372" t="s">
        <v>3107</v>
      </c>
      <c r="C597" s="335">
        <v>24</v>
      </c>
      <c r="D597" s="341" t="s">
        <v>103</v>
      </c>
      <c r="E597" s="335">
        <v>400</v>
      </c>
      <c r="F597" s="335">
        <v>9600</v>
      </c>
      <c r="G597" s="341" t="s">
        <v>342</v>
      </c>
      <c r="H597" s="341">
        <v>6</v>
      </c>
      <c r="I597" s="341">
        <v>2</v>
      </c>
      <c r="J597" s="341">
        <v>2</v>
      </c>
      <c r="K597" s="341">
        <v>2</v>
      </c>
      <c r="L597" s="341">
        <v>6</v>
      </c>
      <c r="M597" s="341">
        <v>2</v>
      </c>
      <c r="N597" s="341">
        <v>2</v>
      </c>
      <c r="O597" s="341">
        <v>2</v>
      </c>
      <c r="P597" s="341">
        <v>6</v>
      </c>
      <c r="Q597" s="341">
        <v>2</v>
      </c>
      <c r="R597" s="341">
        <v>2</v>
      </c>
      <c r="S597" s="341">
        <v>2</v>
      </c>
      <c r="T597" s="341">
        <v>6</v>
      </c>
      <c r="U597" s="341">
        <v>2</v>
      </c>
      <c r="V597" s="341">
        <v>2</v>
      </c>
      <c r="W597" s="341">
        <v>2</v>
      </c>
      <c r="X597" s="329" t="s">
        <v>3101</v>
      </c>
      <c r="Y597" s="330" t="str">
        <f>DB!$D$104</f>
        <v>Epson Genuine Ink T6643 Magenta</v>
      </c>
      <c r="Z597" s="351" t="s">
        <v>8</v>
      </c>
      <c r="AA597" s="329"/>
      <c r="AB597" s="345"/>
      <c r="AC597" s="339"/>
    </row>
    <row r="598" spans="1:29" hidden="1">
      <c r="A598" s="329"/>
      <c r="B598" s="372" t="s">
        <v>647</v>
      </c>
      <c r="C598" s="335">
        <v>312</v>
      </c>
      <c r="D598" s="341" t="s">
        <v>103</v>
      </c>
      <c r="E598" s="335">
        <v>400</v>
      </c>
      <c r="F598" s="335">
        <v>124800</v>
      </c>
      <c r="G598" s="341" t="s">
        <v>342</v>
      </c>
      <c r="H598" s="341">
        <v>78</v>
      </c>
      <c r="I598" s="341">
        <v>26</v>
      </c>
      <c r="J598" s="341">
        <v>26</v>
      </c>
      <c r="K598" s="341">
        <v>26</v>
      </c>
      <c r="L598" s="341">
        <v>78</v>
      </c>
      <c r="M598" s="341">
        <v>26</v>
      </c>
      <c r="N598" s="341">
        <v>26</v>
      </c>
      <c r="O598" s="341">
        <v>26</v>
      </c>
      <c r="P598" s="341">
        <v>78</v>
      </c>
      <c r="Q598" s="341">
        <v>26</v>
      </c>
      <c r="R598" s="341">
        <v>26</v>
      </c>
      <c r="S598" s="341">
        <v>26</v>
      </c>
      <c r="T598" s="341">
        <v>78</v>
      </c>
      <c r="U598" s="341">
        <v>26</v>
      </c>
      <c r="V598" s="341">
        <v>26</v>
      </c>
      <c r="W598" s="341">
        <v>26</v>
      </c>
      <c r="X598" s="329" t="s">
        <v>3101</v>
      </c>
      <c r="Y598" s="361" t="s">
        <v>199</v>
      </c>
      <c r="Z598" s="329" t="s">
        <v>8</v>
      </c>
      <c r="AA598" s="329"/>
      <c r="AB598" s="345"/>
      <c r="AC598" s="339"/>
    </row>
    <row r="599" spans="1:29" ht="31.5" hidden="1">
      <c r="A599" s="329"/>
      <c r="B599" s="372" t="s">
        <v>648</v>
      </c>
      <c r="C599" s="335">
        <v>312</v>
      </c>
      <c r="D599" s="341" t="s">
        <v>103</v>
      </c>
      <c r="E599" s="335">
        <v>400</v>
      </c>
      <c r="F599" s="335">
        <v>124800</v>
      </c>
      <c r="G599" s="341" t="s">
        <v>342</v>
      </c>
      <c r="H599" s="341">
        <v>78</v>
      </c>
      <c r="I599" s="341">
        <v>26</v>
      </c>
      <c r="J599" s="341">
        <v>26</v>
      </c>
      <c r="K599" s="341">
        <v>26</v>
      </c>
      <c r="L599" s="341">
        <v>78</v>
      </c>
      <c r="M599" s="341">
        <v>26</v>
      </c>
      <c r="N599" s="341">
        <v>26</v>
      </c>
      <c r="O599" s="341">
        <v>26</v>
      </c>
      <c r="P599" s="341">
        <v>78</v>
      </c>
      <c r="Q599" s="341">
        <v>26</v>
      </c>
      <c r="R599" s="341">
        <v>26</v>
      </c>
      <c r="S599" s="341">
        <v>26</v>
      </c>
      <c r="T599" s="341">
        <v>78</v>
      </c>
      <c r="U599" s="341">
        <v>26</v>
      </c>
      <c r="V599" s="341">
        <v>26</v>
      </c>
      <c r="W599" s="341">
        <v>26</v>
      </c>
      <c r="X599" s="329" t="s">
        <v>3101</v>
      </c>
      <c r="Y599" s="361" t="s">
        <v>210</v>
      </c>
      <c r="Z599" s="329" t="s">
        <v>8</v>
      </c>
      <c r="AA599" s="329"/>
      <c r="AB599" s="345"/>
      <c r="AC599" s="339"/>
    </row>
    <row r="600" spans="1:29" hidden="1">
      <c r="A600" s="329"/>
      <c r="B600" s="372" t="s">
        <v>649</v>
      </c>
      <c r="C600" s="335">
        <v>312</v>
      </c>
      <c r="D600" s="341" t="s">
        <v>103</v>
      </c>
      <c r="E600" s="335">
        <v>400</v>
      </c>
      <c r="F600" s="335">
        <v>124800</v>
      </c>
      <c r="G600" s="341" t="s">
        <v>342</v>
      </c>
      <c r="H600" s="341">
        <v>78</v>
      </c>
      <c r="I600" s="341">
        <v>26</v>
      </c>
      <c r="J600" s="341">
        <v>26</v>
      </c>
      <c r="K600" s="341">
        <v>26</v>
      </c>
      <c r="L600" s="341">
        <v>78</v>
      </c>
      <c r="M600" s="341">
        <v>26</v>
      </c>
      <c r="N600" s="341">
        <v>26</v>
      </c>
      <c r="O600" s="341">
        <v>26</v>
      </c>
      <c r="P600" s="341">
        <v>78</v>
      </c>
      <c r="Q600" s="341">
        <v>26</v>
      </c>
      <c r="R600" s="341">
        <v>26</v>
      </c>
      <c r="S600" s="341">
        <v>26</v>
      </c>
      <c r="T600" s="341">
        <v>78</v>
      </c>
      <c r="U600" s="341">
        <v>26</v>
      </c>
      <c r="V600" s="341">
        <v>26</v>
      </c>
      <c r="W600" s="341">
        <v>26</v>
      </c>
      <c r="X600" s="329" t="s">
        <v>3101</v>
      </c>
      <c r="Y600" s="361" t="s">
        <v>211</v>
      </c>
      <c r="Z600" s="329" t="s">
        <v>8</v>
      </c>
      <c r="AA600" s="329"/>
      <c r="AB600" s="345"/>
      <c r="AC600" s="339"/>
    </row>
    <row r="601" spans="1:29" hidden="1">
      <c r="A601" s="329"/>
      <c r="B601" s="372" t="s">
        <v>650</v>
      </c>
      <c r="C601" s="335">
        <v>312</v>
      </c>
      <c r="D601" s="341" t="s">
        <v>103</v>
      </c>
      <c r="E601" s="335">
        <v>400</v>
      </c>
      <c r="F601" s="335">
        <v>124800</v>
      </c>
      <c r="G601" s="341" t="s">
        <v>342</v>
      </c>
      <c r="H601" s="341">
        <v>78</v>
      </c>
      <c r="I601" s="341">
        <v>26</v>
      </c>
      <c r="J601" s="341">
        <v>26</v>
      </c>
      <c r="K601" s="341">
        <v>26</v>
      </c>
      <c r="L601" s="341">
        <v>78</v>
      </c>
      <c r="M601" s="341">
        <v>26</v>
      </c>
      <c r="N601" s="341">
        <v>26</v>
      </c>
      <c r="O601" s="341">
        <v>26</v>
      </c>
      <c r="P601" s="341">
        <v>78</v>
      </c>
      <c r="Q601" s="341">
        <v>26</v>
      </c>
      <c r="R601" s="341">
        <v>26</v>
      </c>
      <c r="S601" s="341">
        <v>26</v>
      </c>
      <c r="T601" s="341">
        <v>78</v>
      </c>
      <c r="U601" s="341">
        <v>26</v>
      </c>
      <c r="V601" s="341">
        <v>26</v>
      </c>
      <c r="W601" s="341">
        <v>26</v>
      </c>
      <c r="X601" s="329" t="s">
        <v>3101</v>
      </c>
      <c r="Y601" s="361" t="s">
        <v>209</v>
      </c>
      <c r="Z601" s="329" t="s">
        <v>8</v>
      </c>
      <c r="AA601" s="329"/>
      <c r="AB601" s="345"/>
      <c r="AC601" s="339"/>
    </row>
    <row r="602" spans="1:29" ht="31.5" hidden="1">
      <c r="A602" s="329"/>
      <c r="B602" s="370" t="s">
        <v>3108</v>
      </c>
      <c r="C602" s="341">
        <v>4</v>
      </c>
      <c r="D602" s="341" t="s">
        <v>103</v>
      </c>
      <c r="E602" s="335">
        <v>6000</v>
      </c>
      <c r="F602" s="335">
        <v>24000</v>
      </c>
      <c r="G602" s="341" t="s">
        <v>342</v>
      </c>
      <c r="H602" s="341">
        <v>1</v>
      </c>
      <c r="I602" s="341">
        <v>1</v>
      </c>
      <c r="J602" s="341">
        <v>0</v>
      </c>
      <c r="K602" s="341">
        <v>0</v>
      </c>
      <c r="L602" s="341">
        <v>1</v>
      </c>
      <c r="M602" s="341">
        <v>1</v>
      </c>
      <c r="N602" s="341">
        <v>0</v>
      </c>
      <c r="O602" s="341">
        <v>0</v>
      </c>
      <c r="P602" s="341">
        <v>1</v>
      </c>
      <c r="Q602" s="341">
        <v>1</v>
      </c>
      <c r="R602" s="341">
        <v>0</v>
      </c>
      <c r="S602" s="341">
        <v>0</v>
      </c>
      <c r="T602" s="341">
        <v>1</v>
      </c>
      <c r="U602" s="341">
        <v>1</v>
      </c>
      <c r="V602" s="341">
        <v>0</v>
      </c>
      <c r="W602" s="341">
        <v>0</v>
      </c>
      <c r="X602" s="329" t="s">
        <v>3101</v>
      </c>
      <c r="Y602" s="361" t="str">
        <f>DB!$D$176</f>
        <v>Brother Toner Cartridge TN-3448</v>
      </c>
      <c r="Z602" s="329" t="s">
        <v>8</v>
      </c>
      <c r="AA602" s="329"/>
      <c r="AB602" s="345"/>
      <c r="AC602" s="339"/>
    </row>
    <row r="603" spans="1:29" hidden="1">
      <c r="A603" s="329"/>
      <c r="B603" s="372" t="s">
        <v>651</v>
      </c>
      <c r="C603" s="341">
        <v>4</v>
      </c>
      <c r="D603" s="341" t="s">
        <v>103</v>
      </c>
      <c r="E603" s="335">
        <v>4000</v>
      </c>
      <c r="F603" s="335">
        <v>16000</v>
      </c>
      <c r="G603" s="341" t="s">
        <v>342</v>
      </c>
      <c r="H603" s="341">
        <v>1</v>
      </c>
      <c r="I603" s="341">
        <v>1</v>
      </c>
      <c r="J603" s="341">
        <v>0</v>
      </c>
      <c r="K603" s="341">
        <v>0</v>
      </c>
      <c r="L603" s="341">
        <v>1</v>
      </c>
      <c r="M603" s="341">
        <v>1</v>
      </c>
      <c r="N603" s="341">
        <v>0</v>
      </c>
      <c r="O603" s="341">
        <v>0</v>
      </c>
      <c r="P603" s="341">
        <v>1</v>
      </c>
      <c r="Q603" s="341">
        <v>1</v>
      </c>
      <c r="R603" s="341">
        <v>0</v>
      </c>
      <c r="S603" s="341">
        <v>0</v>
      </c>
      <c r="T603" s="341">
        <v>1</v>
      </c>
      <c r="U603" s="341">
        <v>1</v>
      </c>
      <c r="V603" s="341">
        <v>0</v>
      </c>
      <c r="W603" s="341">
        <v>0</v>
      </c>
      <c r="X603" s="329" t="s">
        <v>3101</v>
      </c>
      <c r="Y603" s="330"/>
      <c r="Z603" s="329" t="s">
        <v>2952</v>
      </c>
      <c r="AA603" s="329"/>
      <c r="AB603" s="345"/>
      <c r="AC603" s="339"/>
    </row>
    <row r="604" spans="1:29" ht="31.5" hidden="1">
      <c r="A604" s="329"/>
      <c r="B604" s="334" t="s">
        <v>454</v>
      </c>
      <c r="C604" s="341">
        <v>240</v>
      </c>
      <c r="D604" s="341" t="s">
        <v>103</v>
      </c>
      <c r="E604" s="335">
        <v>500</v>
      </c>
      <c r="F604" s="335">
        <v>120000</v>
      </c>
      <c r="G604" s="341" t="s">
        <v>342</v>
      </c>
      <c r="H604" s="341">
        <v>60</v>
      </c>
      <c r="I604" s="341">
        <v>20</v>
      </c>
      <c r="J604" s="341">
        <v>20</v>
      </c>
      <c r="K604" s="341">
        <v>20</v>
      </c>
      <c r="L604" s="341">
        <v>60</v>
      </c>
      <c r="M604" s="341">
        <v>20</v>
      </c>
      <c r="N604" s="341">
        <v>20</v>
      </c>
      <c r="O604" s="341">
        <v>20</v>
      </c>
      <c r="P604" s="341">
        <v>60</v>
      </c>
      <c r="Q604" s="341">
        <v>20</v>
      </c>
      <c r="R604" s="341">
        <v>20</v>
      </c>
      <c r="S604" s="341">
        <v>20</v>
      </c>
      <c r="T604" s="341">
        <v>60</v>
      </c>
      <c r="U604" s="341">
        <v>20</v>
      </c>
      <c r="V604" s="341">
        <v>20</v>
      </c>
      <c r="W604" s="341">
        <v>20</v>
      </c>
      <c r="X604" s="329" t="s">
        <v>3101</v>
      </c>
      <c r="Y604" s="369" t="str">
        <f>DB!$D$177</f>
        <v>EPSON LQ310 Ribbon Cartridge (SO15634)</v>
      </c>
      <c r="Z604" s="351" t="s">
        <v>8</v>
      </c>
      <c r="AA604" s="329"/>
      <c r="AB604" s="345"/>
      <c r="AC604" s="339"/>
    </row>
    <row r="605" spans="1:29" hidden="1">
      <c r="A605" s="329"/>
      <c r="B605" s="338" t="s">
        <v>595</v>
      </c>
      <c r="C605" s="343">
        <v>10</v>
      </c>
      <c r="D605" s="343" t="s">
        <v>103</v>
      </c>
      <c r="E605" s="342">
        <v>2500</v>
      </c>
      <c r="F605" s="342">
        <v>25000</v>
      </c>
      <c r="G605" s="343" t="s">
        <v>342</v>
      </c>
      <c r="H605" s="343">
        <v>3</v>
      </c>
      <c r="I605" s="343" t="s">
        <v>544</v>
      </c>
      <c r="J605" s="343"/>
      <c r="K605" s="343"/>
      <c r="L605" s="343">
        <v>2</v>
      </c>
      <c r="M605" s="343" t="s">
        <v>544</v>
      </c>
      <c r="N605" s="343"/>
      <c r="O605" s="343"/>
      <c r="P605" s="343">
        <v>2</v>
      </c>
      <c r="Q605" s="343" t="s">
        <v>544</v>
      </c>
      <c r="R605" s="343"/>
      <c r="S605" s="343"/>
      <c r="T605" s="343">
        <v>3</v>
      </c>
      <c r="U605" s="343" t="s">
        <v>544</v>
      </c>
      <c r="V605" s="343"/>
      <c r="W605" s="343"/>
      <c r="X605" s="329" t="s">
        <v>3109</v>
      </c>
      <c r="Y605" s="330"/>
      <c r="Z605" s="329" t="s">
        <v>11</v>
      </c>
      <c r="AA605" s="329"/>
      <c r="AB605" s="345"/>
      <c r="AC605" s="339"/>
    </row>
    <row r="606" spans="1:29" hidden="1">
      <c r="A606" s="329"/>
      <c r="B606" s="334" t="s">
        <v>3110</v>
      </c>
      <c r="C606" s="341">
        <v>5</v>
      </c>
      <c r="D606" s="341" t="s">
        <v>103</v>
      </c>
      <c r="E606" s="347">
        <v>10000</v>
      </c>
      <c r="F606" s="347">
        <v>50000</v>
      </c>
      <c r="G606" s="341" t="s">
        <v>342</v>
      </c>
      <c r="H606" s="341">
        <v>3</v>
      </c>
      <c r="I606" s="341" t="s">
        <v>544</v>
      </c>
      <c r="J606" s="341"/>
      <c r="K606" s="341"/>
      <c r="L606" s="341"/>
      <c r="M606" s="341"/>
      <c r="N606" s="341"/>
      <c r="O606" s="341"/>
      <c r="P606" s="341">
        <v>2</v>
      </c>
      <c r="Q606" s="341" t="s">
        <v>544</v>
      </c>
      <c r="R606" s="341"/>
      <c r="S606" s="341"/>
      <c r="T606" s="341"/>
      <c r="U606" s="341"/>
      <c r="V606" s="341"/>
      <c r="W606" s="341"/>
      <c r="X606" s="329" t="s">
        <v>3109</v>
      </c>
      <c r="Y606" s="330"/>
      <c r="Z606" s="329" t="s">
        <v>11</v>
      </c>
      <c r="AA606" s="329"/>
      <c r="AB606" s="345"/>
      <c r="AC606" s="339"/>
    </row>
    <row r="607" spans="1:29" hidden="1">
      <c r="A607" s="329"/>
      <c r="B607" s="334" t="s">
        <v>483</v>
      </c>
      <c r="C607" s="341">
        <v>5</v>
      </c>
      <c r="D607" s="341" t="s">
        <v>103</v>
      </c>
      <c r="E607" s="347">
        <v>2500</v>
      </c>
      <c r="F607" s="347">
        <v>12500</v>
      </c>
      <c r="G607" s="341" t="s">
        <v>342</v>
      </c>
      <c r="H607" s="341">
        <v>3</v>
      </c>
      <c r="I607" s="341" t="s">
        <v>544</v>
      </c>
      <c r="J607" s="341"/>
      <c r="K607" s="341"/>
      <c r="L607" s="341"/>
      <c r="M607" s="341"/>
      <c r="N607" s="341"/>
      <c r="O607" s="341"/>
      <c r="P607" s="341">
        <v>2</v>
      </c>
      <c r="Q607" s="341" t="s">
        <v>544</v>
      </c>
      <c r="R607" s="341"/>
      <c r="S607" s="341"/>
      <c r="T607" s="341"/>
      <c r="U607" s="341"/>
      <c r="V607" s="341"/>
      <c r="W607" s="341"/>
      <c r="X607" s="329" t="s">
        <v>3109</v>
      </c>
      <c r="Y607" s="330"/>
      <c r="Z607" s="329" t="s">
        <v>11</v>
      </c>
      <c r="AA607" s="329"/>
      <c r="AB607" s="345"/>
      <c r="AC607" s="339"/>
    </row>
    <row r="608" spans="1:29">
      <c r="A608" s="329"/>
      <c r="B608" s="334" t="s">
        <v>467</v>
      </c>
      <c r="C608" s="341">
        <v>9</v>
      </c>
      <c r="D608" s="341" t="s">
        <v>118</v>
      </c>
      <c r="E608" s="347">
        <v>40000</v>
      </c>
      <c r="F608" s="347">
        <v>360000</v>
      </c>
      <c r="G608" s="341" t="s">
        <v>342</v>
      </c>
      <c r="H608" s="341">
        <v>7</v>
      </c>
      <c r="I608" s="341" t="s">
        <v>544</v>
      </c>
      <c r="J608" s="341"/>
      <c r="K608" s="341"/>
      <c r="L608" s="341"/>
      <c r="M608" s="341"/>
      <c r="N608" s="341"/>
      <c r="O608" s="341"/>
      <c r="P608" s="341">
        <v>2</v>
      </c>
      <c r="Q608" s="341" t="s">
        <v>544</v>
      </c>
      <c r="R608" s="341"/>
      <c r="S608" s="341"/>
      <c r="T608" s="341"/>
      <c r="U608" s="341"/>
      <c r="V608" s="341"/>
      <c r="W608" s="341"/>
      <c r="X608" s="329" t="s">
        <v>3109</v>
      </c>
      <c r="Y608" s="330" t="str">
        <f>DB!$D$194</f>
        <v>Branded Desktop Computer Set</v>
      </c>
      <c r="Z608" s="329" t="s">
        <v>2964</v>
      </c>
      <c r="AA608" s="329"/>
      <c r="AB608" s="345"/>
      <c r="AC608" s="339"/>
    </row>
    <row r="609" spans="1:29" hidden="1">
      <c r="A609" s="329"/>
      <c r="B609" s="334" t="s">
        <v>597</v>
      </c>
      <c r="C609" s="341">
        <v>1</v>
      </c>
      <c r="D609" s="341" t="s">
        <v>103</v>
      </c>
      <c r="E609" s="347">
        <v>75000</v>
      </c>
      <c r="F609" s="347">
        <v>75000</v>
      </c>
      <c r="G609" s="341" t="s">
        <v>342</v>
      </c>
      <c r="H609" s="341">
        <v>1</v>
      </c>
      <c r="I609" s="341" t="s">
        <v>544</v>
      </c>
      <c r="J609" s="341"/>
      <c r="K609" s="341"/>
      <c r="L609" s="341"/>
      <c r="M609" s="341"/>
      <c r="N609" s="341"/>
      <c r="O609" s="341"/>
      <c r="P609" s="341"/>
      <c r="Q609" s="341"/>
      <c r="R609" s="341"/>
      <c r="S609" s="341"/>
      <c r="T609" s="341"/>
      <c r="U609" s="341"/>
      <c r="V609" s="341"/>
      <c r="W609" s="341"/>
      <c r="X609" s="329" t="s">
        <v>3109</v>
      </c>
      <c r="Y609" s="330"/>
      <c r="Z609" s="329" t="s">
        <v>2952</v>
      </c>
      <c r="AA609" s="329"/>
      <c r="AB609" s="345"/>
      <c r="AC609" s="339"/>
    </row>
    <row r="610" spans="1:29" hidden="1">
      <c r="A610" s="329"/>
      <c r="B610" s="334" t="s">
        <v>482</v>
      </c>
      <c r="C610" s="341">
        <v>7</v>
      </c>
      <c r="D610" s="341" t="s">
        <v>103</v>
      </c>
      <c r="E610" s="347">
        <v>8500</v>
      </c>
      <c r="F610" s="347">
        <v>59500</v>
      </c>
      <c r="G610" s="341" t="s">
        <v>342</v>
      </c>
      <c r="H610" s="341">
        <v>4</v>
      </c>
      <c r="I610" s="341" t="s">
        <v>544</v>
      </c>
      <c r="J610" s="341"/>
      <c r="K610" s="341"/>
      <c r="L610" s="341"/>
      <c r="M610" s="341"/>
      <c r="N610" s="341"/>
      <c r="O610" s="341"/>
      <c r="P610" s="341">
        <v>3</v>
      </c>
      <c r="Q610" s="341" t="s">
        <v>544</v>
      </c>
      <c r="R610" s="341"/>
      <c r="S610" s="341"/>
      <c r="T610" s="341"/>
      <c r="U610" s="341"/>
      <c r="V610" s="341"/>
      <c r="W610" s="341"/>
      <c r="X610" s="329" t="s">
        <v>3109</v>
      </c>
      <c r="Y610" s="330"/>
      <c r="Z610" s="329" t="s">
        <v>2962</v>
      </c>
      <c r="AA610" s="329"/>
      <c r="AB610" s="345"/>
      <c r="AC610" s="339"/>
    </row>
    <row r="611" spans="1:29" hidden="1">
      <c r="A611" s="329"/>
      <c r="B611" s="334" t="s">
        <v>598</v>
      </c>
      <c r="C611" s="341">
        <v>20</v>
      </c>
      <c r="D611" s="341" t="s">
        <v>103</v>
      </c>
      <c r="E611" s="341">
        <v>350</v>
      </c>
      <c r="F611" s="347">
        <v>7000</v>
      </c>
      <c r="G611" s="341" t="s">
        <v>342</v>
      </c>
      <c r="H611" s="341">
        <v>5</v>
      </c>
      <c r="I611" s="341" t="s">
        <v>544</v>
      </c>
      <c r="J611" s="341"/>
      <c r="K611" s="341"/>
      <c r="L611" s="341">
        <v>5</v>
      </c>
      <c r="M611" s="341" t="s">
        <v>544</v>
      </c>
      <c r="N611" s="341"/>
      <c r="O611" s="341"/>
      <c r="P611" s="341">
        <v>5</v>
      </c>
      <c r="Q611" s="341" t="s">
        <v>544</v>
      </c>
      <c r="R611" s="341"/>
      <c r="S611" s="341"/>
      <c r="T611" s="341">
        <v>5</v>
      </c>
      <c r="U611" s="341" t="s">
        <v>544</v>
      </c>
      <c r="V611" s="341"/>
      <c r="W611" s="341"/>
      <c r="X611" s="329" t="s">
        <v>3109</v>
      </c>
      <c r="Y611" s="330" t="str">
        <f>DB!$D$78</f>
        <v>16GB Flash Drive</v>
      </c>
      <c r="Z611" s="329" t="s">
        <v>8</v>
      </c>
      <c r="AA611" s="329"/>
      <c r="AB611" s="345"/>
      <c r="AC611" s="339"/>
    </row>
    <row r="612" spans="1:29" hidden="1">
      <c r="A612" s="329"/>
      <c r="B612" s="334" t="s">
        <v>599</v>
      </c>
      <c r="C612" s="341">
        <v>10</v>
      </c>
      <c r="D612" s="341" t="s">
        <v>103</v>
      </c>
      <c r="E612" s="341">
        <v>500</v>
      </c>
      <c r="F612" s="347">
        <v>5000</v>
      </c>
      <c r="G612" s="341" t="s">
        <v>342</v>
      </c>
      <c r="H612" s="341">
        <v>5</v>
      </c>
      <c r="I612" s="341" t="s">
        <v>544</v>
      </c>
      <c r="J612" s="341"/>
      <c r="K612" s="341"/>
      <c r="L612" s="341"/>
      <c r="M612" s="341"/>
      <c r="N612" s="341"/>
      <c r="O612" s="341"/>
      <c r="P612" s="341">
        <v>5</v>
      </c>
      <c r="Q612" s="341" t="s">
        <v>544</v>
      </c>
      <c r="R612" s="341"/>
      <c r="S612" s="341"/>
      <c r="T612" s="341"/>
      <c r="U612" s="341"/>
      <c r="V612" s="341"/>
      <c r="W612" s="341"/>
      <c r="X612" s="329" t="s">
        <v>3109</v>
      </c>
      <c r="Y612" s="330" t="str">
        <f>DB!$D$79</f>
        <v>32GB Flash Drive</v>
      </c>
      <c r="Z612" s="329" t="s">
        <v>8</v>
      </c>
      <c r="AA612" s="329"/>
      <c r="AB612" s="345"/>
      <c r="AC612" s="339"/>
    </row>
    <row r="613" spans="1:29" hidden="1">
      <c r="A613" s="329"/>
      <c r="B613" s="334" t="s">
        <v>568</v>
      </c>
      <c r="C613" s="341">
        <v>4</v>
      </c>
      <c r="D613" s="341" t="s">
        <v>103</v>
      </c>
      <c r="E613" s="347">
        <v>3500</v>
      </c>
      <c r="F613" s="347">
        <v>14000</v>
      </c>
      <c r="G613" s="341" t="s">
        <v>342</v>
      </c>
      <c r="H613" s="341">
        <v>2</v>
      </c>
      <c r="I613" s="341" t="s">
        <v>544</v>
      </c>
      <c r="J613" s="341"/>
      <c r="K613" s="341"/>
      <c r="L613" s="341"/>
      <c r="M613" s="341"/>
      <c r="N613" s="341"/>
      <c r="O613" s="341"/>
      <c r="P613" s="341">
        <v>2</v>
      </c>
      <c r="Q613" s="341" t="s">
        <v>544</v>
      </c>
      <c r="R613" s="341"/>
      <c r="S613" s="341"/>
      <c r="T613" s="341"/>
      <c r="U613" s="341"/>
      <c r="V613" s="341"/>
      <c r="W613" s="341"/>
      <c r="X613" s="329" t="s">
        <v>3109</v>
      </c>
      <c r="Y613" s="369" t="str">
        <f>DB!$D$6</f>
        <v>UPS 650VA, AVR, 230V</v>
      </c>
      <c r="Z613" s="351" t="s">
        <v>8</v>
      </c>
      <c r="AA613" s="329"/>
      <c r="AB613" s="345"/>
      <c r="AC613" s="339"/>
    </row>
    <row r="614" spans="1:29" hidden="1">
      <c r="A614" s="329"/>
      <c r="B614" s="438" t="s">
        <v>3111</v>
      </c>
      <c r="C614" s="367">
        <v>800</v>
      </c>
      <c r="D614" s="367" t="s">
        <v>486</v>
      </c>
      <c r="E614" s="439"/>
      <c r="F614" s="439"/>
      <c r="G614" s="367" t="s">
        <v>342</v>
      </c>
      <c r="H614" s="367">
        <v>200</v>
      </c>
      <c r="I614" s="367"/>
      <c r="J614" s="367"/>
      <c r="K614" s="367"/>
      <c r="L614" s="367">
        <v>200</v>
      </c>
      <c r="M614" s="367"/>
      <c r="N614" s="367"/>
      <c r="O614" s="367"/>
      <c r="P614" s="367">
        <v>200</v>
      </c>
      <c r="Q614" s="367"/>
      <c r="R614" s="367"/>
      <c r="S614" s="367"/>
      <c r="T614" s="367">
        <v>200</v>
      </c>
      <c r="U614" s="367"/>
      <c r="V614" s="367"/>
      <c r="W614" s="367"/>
      <c r="X614" s="329" t="s">
        <v>3109</v>
      </c>
      <c r="Y614" s="330" t="str">
        <f>DB!$D$102</f>
        <v>Epson Genuine Ink T6641 Black</v>
      </c>
      <c r="Z614" s="329" t="s">
        <v>8</v>
      </c>
      <c r="AA614" s="329"/>
      <c r="AB614" s="345"/>
      <c r="AC614" s="339"/>
    </row>
    <row r="615" spans="1:29" hidden="1">
      <c r="A615" s="329"/>
      <c r="B615" s="440" t="s">
        <v>3112</v>
      </c>
      <c r="C615" s="441">
        <v>800</v>
      </c>
      <c r="D615" s="441" t="s">
        <v>486</v>
      </c>
      <c r="E615" s="442"/>
      <c r="F615" s="442"/>
      <c r="G615" s="441" t="s">
        <v>342</v>
      </c>
      <c r="H615" s="441">
        <v>200</v>
      </c>
      <c r="I615" s="441"/>
      <c r="J615" s="441"/>
      <c r="K615" s="441"/>
      <c r="L615" s="441">
        <v>200</v>
      </c>
      <c r="M615" s="441"/>
      <c r="N615" s="441"/>
      <c r="O615" s="441"/>
      <c r="P615" s="441">
        <v>200</v>
      </c>
      <c r="Q615" s="441"/>
      <c r="R615" s="441"/>
      <c r="S615" s="441"/>
      <c r="T615" s="441">
        <v>200</v>
      </c>
      <c r="U615" s="441"/>
      <c r="V615" s="441"/>
      <c r="W615" s="441"/>
      <c r="X615" s="329" t="s">
        <v>3109</v>
      </c>
      <c r="Y615" s="330" t="str">
        <f>DB!$D$103</f>
        <v>Epson Genuine Ink T6642 Cyan</v>
      </c>
      <c r="Z615" s="351" t="s">
        <v>8</v>
      </c>
      <c r="AA615" s="329"/>
      <c r="AB615" s="345"/>
      <c r="AC615" s="339"/>
    </row>
    <row r="616" spans="1:29" ht="31.5" hidden="1">
      <c r="A616" s="329"/>
      <c r="B616" s="440" t="s">
        <v>3113</v>
      </c>
      <c r="C616" s="441">
        <v>800</v>
      </c>
      <c r="D616" s="441" t="s">
        <v>486</v>
      </c>
      <c r="E616" s="442"/>
      <c r="F616" s="442"/>
      <c r="G616" s="441" t="s">
        <v>342</v>
      </c>
      <c r="H616" s="441">
        <v>200</v>
      </c>
      <c r="I616" s="441"/>
      <c r="J616" s="441"/>
      <c r="K616" s="441"/>
      <c r="L616" s="441">
        <v>200</v>
      </c>
      <c r="M616" s="441"/>
      <c r="N616" s="441"/>
      <c r="O616" s="441"/>
      <c r="P616" s="441">
        <v>200</v>
      </c>
      <c r="Q616" s="441"/>
      <c r="R616" s="441"/>
      <c r="S616" s="441"/>
      <c r="T616" s="441">
        <v>200</v>
      </c>
      <c r="U616" s="441"/>
      <c r="V616" s="441"/>
      <c r="W616" s="441"/>
      <c r="X616" s="329" t="s">
        <v>3109</v>
      </c>
      <c r="Y616" s="330" t="str">
        <f>DB!$D$105</f>
        <v>Epson Genuine Ink T6644 Yellow</v>
      </c>
      <c r="Z616" s="351" t="s">
        <v>8</v>
      </c>
      <c r="AA616" s="329"/>
      <c r="AB616" s="345"/>
      <c r="AC616" s="339"/>
    </row>
    <row r="617" spans="1:29" ht="31.5" hidden="1">
      <c r="A617" s="329"/>
      <c r="B617" s="440" t="s">
        <v>3114</v>
      </c>
      <c r="C617" s="441">
        <v>800</v>
      </c>
      <c r="D617" s="441" t="s">
        <v>486</v>
      </c>
      <c r="E617" s="442"/>
      <c r="F617" s="442"/>
      <c r="G617" s="441" t="s">
        <v>342</v>
      </c>
      <c r="H617" s="441">
        <v>200</v>
      </c>
      <c r="I617" s="441"/>
      <c r="J617" s="441"/>
      <c r="K617" s="441"/>
      <c r="L617" s="441">
        <v>200</v>
      </c>
      <c r="M617" s="441"/>
      <c r="N617" s="441"/>
      <c r="O617" s="441"/>
      <c r="P617" s="441">
        <v>200</v>
      </c>
      <c r="Q617" s="441"/>
      <c r="R617" s="441"/>
      <c r="S617" s="441"/>
      <c r="T617" s="441">
        <v>200</v>
      </c>
      <c r="U617" s="441"/>
      <c r="V617" s="441"/>
      <c r="W617" s="441"/>
      <c r="X617" s="329" t="s">
        <v>3109</v>
      </c>
      <c r="Y617" s="330" t="str">
        <f>DB!$D$104</f>
        <v>Epson Genuine Ink T6643 Magenta</v>
      </c>
      <c r="Z617" s="351" t="s">
        <v>8</v>
      </c>
      <c r="AA617" s="329"/>
      <c r="AB617" s="345"/>
      <c r="AC617" s="339"/>
    </row>
    <row r="618" spans="1:29" hidden="1">
      <c r="A618" s="329"/>
      <c r="B618" s="363" t="s">
        <v>199</v>
      </c>
      <c r="C618" s="367">
        <v>800</v>
      </c>
      <c r="D618" s="367" t="s">
        <v>486</v>
      </c>
      <c r="E618" s="439"/>
      <c r="F618" s="439"/>
      <c r="G618" s="367" t="s">
        <v>342</v>
      </c>
      <c r="H618" s="367">
        <v>200</v>
      </c>
      <c r="I618" s="367"/>
      <c r="J618" s="367"/>
      <c r="K618" s="367"/>
      <c r="L618" s="367">
        <v>200</v>
      </c>
      <c r="M618" s="367"/>
      <c r="N618" s="367"/>
      <c r="O618" s="367"/>
      <c r="P618" s="367">
        <v>200</v>
      </c>
      <c r="Q618" s="367"/>
      <c r="R618" s="367"/>
      <c r="S618" s="367"/>
      <c r="T618" s="367">
        <v>200</v>
      </c>
      <c r="U618" s="443"/>
      <c r="V618" s="443"/>
      <c r="W618" s="443"/>
      <c r="X618" s="329" t="s">
        <v>3109</v>
      </c>
      <c r="Y618" s="361" t="s">
        <v>199</v>
      </c>
      <c r="Z618" s="329" t="s">
        <v>8</v>
      </c>
      <c r="AA618" s="329"/>
      <c r="AB618" s="345"/>
      <c r="AC618" s="339"/>
    </row>
    <row r="619" spans="1:29" ht="31.5" hidden="1">
      <c r="A619" s="329"/>
      <c r="B619" s="444" t="s">
        <v>209</v>
      </c>
      <c r="C619" s="441">
        <v>800</v>
      </c>
      <c r="D619" s="441" t="s">
        <v>486</v>
      </c>
      <c r="E619" s="442"/>
      <c r="F619" s="442"/>
      <c r="G619" s="441" t="s">
        <v>342</v>
      </c>
      <c r="H619" s="441">
        <v>200</v>
      </c>
      <c r="I619" s="441"/>
      <c r="J619" s="441"/>
      <c r="K619" s="441"/>
      <c r="L619" s="441">
        <v>200</v>
      </c>
      <c r="M619" s="441"/>
      <c r="N619" s="441"/>
      <c r="O619" s="441"/>
      <c r="P619" s="441">
        <v>200</v>
      </c>
      <c r="Q619" s="441"/>
      <c r="R619" s="441"/>
      <c r="S619" s="441"/>
      <c r="T619" s="441">
        <v>200</v>
      </c>
      <c r="U619" s="445"/>
      <c r="V619" s="445"/>
      <c r="W619" s="445"/>
      <c r="X619" s="329" t="s">
        <v>3109</v>
      </c>
      <c r="Y619" s="361" t="s">
        <v>210</v>
      </c>
      <c r="Z619" s="329" t="s">
        <v>8</v>
      </c>
      <c r="AA619" s="329"/>
      <c r="AB619" s="345"/>
      <c r="AC619" s="339"/>
    </row>
    <row r="620" spans="1:29" hidden="1">
      <c r="A620" s="329"/>
      <c r="B620" s="444" t="s">
        <v>210</v>
      </c>
      <c r="C620" s="441">
        <v>800</v>
      </c>
      <c r="D620" s="441" t="s">
        <v>486</v>
      </c>
      <c r="E620" s="442"/>
      <c r="F620" s="442"/>
      <c r="G620" s="441" t="s">
        <v>342</v>
      </c>
      <c r="H620" s="441">
        <v>200</v>
      </c>
      <c r="I620" s="441"/>
      <c r="J620" s="441"/>
      <c r="K620" s="441"/>
      <c r="L620" s="441">
        <v>200</v>
      </c>
      <c r="M620" s="441"/>
      <c r="N620" s="441"/>
      <c r="O620" s="441"/>
      <c r="P620" s="441">
        <v>200</v>
      </c>
      <c r="Q620" s="441"/>
      <c r="R620" s="441"/>
      <c r="S620" s="441"/>
      <c r="T620" s="441">
        <v>200</v>
      </c>
      <c r="U620" s="445"/>
      <c r="V620" s="445"/>
      <c r="W620" s="445"/>
      <c r="X620" s="329" t="s">
        <v>3109</v>
      </c>
      <c r="Y620" s="361" t="s">
        <v>211</v>
      </c>
      <c r="Z620" s="329" t="s">
        <v>8</v>
      </c>
      <c r="AA620" s="329"/>
      <c r="AB620" s="345"/>
      <c r="AC620" s="339"/>
    </row>
    <row r="621" spans="1:29" hidden="1">
      <c r="A621" s="329"/>
      <c r="B621" s="444" t="s">
        <v>211</v>
      </c>
      <c r="C621" s="441">
        <v>800</v>
      </c>
      <c r="D621" s="441" t="s">
        <v>486</v>
      </c>
      <c r="E621" s="442"/>
      <c r="F621" s="442"/>
      <c r="G621" s="441" t="s">
        <v>342</v>
      </c>
      <c r="H621" s="441">
        <v>200</v>
      </c>
      <c r="I621" s="441"/>
      <c r="J621" s="441"/>
      <c r="K621" s="441"/>
      <c r="L621" s="441">
        <v>200</v>
      </c>
      <c r="M621" s="441"/>
      <c r="N621" s="441"/>
      <c r="O621" s="441"/>
      <c r="P621" s="441">
        <v>200</v>
      </c>
      <c r="Q621" s="441"/>
      <c r="R621" s="441"/>
      <c r="S621" s="441"/>
      <c r="T621" s="441">
        <v>200</v>
      </c>
      <c r="U621" s="445"/>
      <c r="V621" s="445"/>
      <c r="W621" s="445"/>
      <c r="X621" s="329" t="s">
        <v>3109</v>
      </c>
      <c r="Y621" s="361" t="s">
        <v>209</v>
      </c>
      <c r="Z621" s="329" t="s">
        <v>8</v>
      </c>
      <c r="AA621" s="329"/>
      <c r="AB621" s="345"/>
      <c r="AC621" s="339"/>
    </row>
    <row r="622" spans="1:29" hidden="1">
      <c r="A622" s="329"/>
      <c r="B622" s="440" t="s">
        <v>600</v>
      </c>
      <c r="C622" s="441">
        <v>800</v>
      </c>
      <c r="D622" s="441" t="s">
        <v>601</v>
      </c>
      <c r="E622" s="442"/>
      <c r="F622" s="442"/>
      <c r="G622" s="441" t="s">
        <v>342</v>
      </c>
      <c r="H622" s="441">
        <v>200</v>
      </c>
      <c r="I622" s="441"/>
      <c r="J622" s="441"/>
      <c r="K622" s="441"/>
      <c r="L622" s="441">
        <v>200</v>
      </c>
      <c r="M622" s="441"/>
      <c r="N622" s="441"/>
      <c r="O622" s="441"/>
      <c r="P622" s="441">
        <v>200</v>
      </c>
      <c r="Q622" s="441"/>
      <c r="R622" s="441"/>
      <c r="S622" s="441"/>
      <c r="T622" s="441">
        <v>200</v>
      </c>
      <c r="U622" s="441"/>
      <c r="V622" s="441"/>
      <c r="W622" s="441"/>
      <c r="X622" s="329" t="s">
        <v>3109</v>
      </c>
      <c r="Y622" s="330" t="str">
        <f>DB!$D$188</f>
        <v>HP 680 Tri-Color Ink Cartridge</v>
      </c>
      <c r="Z622" s="351" t="s">
        <v>8</v>
      </c>
      <c r="AA622" s="329"/>
      <c r="AB622" s="345"/>
      <c r="AC622" s="339"/>
    </row>
    <row r="623" spans="1:29" hidden="1">
      <c r="A623" s="329"/>
      <c r="B623" s="440" t="s">
        <v>602</v>
      </c>
      <c r="C623" s="441">
        <v>800</v>
      </c>
      <c r="D623" s="441" t="s">
        <v>601</v>
      </c>
      <c r="E623" s="442"/>
      <c r="F623" s="442"/>
      <c r="G623" s="441" t="s">
        <v>342</v>
      </c>
      <c r="H623" s="441">
        <v>200</v>
      </c>
      <c r="I623" s="441"/>
      <c r="J623" s="441"/>
      <c r="K623" s="441"/>
      <c r="L623" s="441">
        <v>200</v>
      </c>
      <c r="M623" s="441"/>
      <c r="N623" s="441"/>
      <c r="O623" s="441"/>
      <c r="P623" s="441">
        <v>200</v>
      </c>
      <c r="Q623" s="441"/>
      <c r="R623" s="441"/>
      <c r="S623" s="441"/>
      <c r="T623" s="441">
        <v>200</v>
      </c>
      <c r="U623" s="441"/>
      <c r="V623" s="441"/>
      <c r="W623" s="441"/>
      <c r="X623" s="329" t="s">
        <v>3109</v>
      </c>
      <c r="Y623" s="330" t="str">
        <f>DB!D189</f>
        <v>HP Laserjet P1102 Cartridge</v>
      </c>
      <c r="Z623" s="351" t="s">
        <v>8</v>
      </c>
      <c r="AA623" s="329"/>
      <c r="AB623" s="345"/>
      <c r="AC623" s="339"/>
    </row>
    <row r="624" spans="1:29" hidden="1">
      <c r="A624" s="329"/>
      <c r="B624" s="440" t="s">
        <v>603</v>
      </c>
      <c r="C624" s="441">
        <v>800</v>
      </c>
      <c r="D624" s="441" t="s">
        <v>601</v>
      </c>
      <c r="E624" s="442"/>
      <c r="F624" s="442"/>
      <c r="G624" s="441" t="s">
        <v>342</v>
      </c>
      <c r="H624" s="441">
        <v>200</v>
      </c>
      <c r="I624" s="441"/>
      <c r="J624" s="441"/>
      <c r="K624" s="441"/>
      <c r="L624" s="441">
        <v>200</v>
      </c>
      <c r="M624" s="441"/>
      <c r="N624" s="441"/>
      <c r="O624" s="441"/>
      <c r="P624" s="441">
        <v>200</v>
      </c>
      <c r="Q624" s="441"/>
      <c r="R624" s="441"/>
      <c r="S624" s="441"/>
      <c r="T624" s="441">
        <v>200</v>
      </c>
      <c r="U624" s="441"/>
      <c r="V624" s="441"/>
      <c r="W624" s="441"/>
      <c r="X624" s="329" t="s">
        <v>3109</v>
      </c>
      <c r="Y624" s="330"/>
      <c r="Z624" s="329" t="s">
        <v>11</v>
      </c>
      <c r="AA624" s="329"/>
      <c r="AB624" s="345"/>
      <c r="AC624" s="339"/>
    </row>
    <row r="625" spans="1:29" hidden="1">
      <c r="A625" s="329"/>
      <c r="B625" s="440" t="s">
        <v>3115</v>
      </c>
      <c r="C625" s="441">
        <v>800</v>
      </c>
      <c r="D625" s="441" t="s">
        <v>601</v>
      </c>
      <c r="E625" s="442"/>
      <c r="F625" s="442"/>
      <c r="G625" s="441" t="s">
        <v>342</v>
      </c>
      <c r="H625" s="441">
        <v>200</v>
      </c>
      <c r="I625" s="441"/>
      <c r="J625" s="441"/>
      <c r="K625" s="441"/>
      <c r="L625" s="441">
        <v>200</v>
      </c>
      <c r="M625" s="441"/>
      <c r="N625" s="441"/>
      <c r="O625" s="441"/>
      <c r="P625" s="441">
        <v>200</v>
      </c>
      <c r="Q625" s="441"/>
      <c r="R625" s="441"/>
      <c r="S625" s="441"/>
      <c r="T625" s="441">
        <v>200</v>
      </c>
      <c r="U625" s="441"/>
      <c r="V625" s="441"/>
      <c r="W625" s="441"/>
      <c r="X625" s="329" t="s">
        <v>3109</v>
      </c>
      <c r="Y625" s="330"/>
      <c r="Z625" s="329" t="s">
        <v>2952</v>
      </c>
      <c r="AA625" s="329"/>
      <c r="AB625" s="345"/>
      <c r="AC625" s="339"/>
    </row>
    <row r="626" spans="1:29" hidden="1">
      <c r="A626" s="329"/>
      <c r="B626" s="440" t="s">
        <v>3116</v>
      </c>
      <c r="C626" s="441">
        <v>800</v>
      </c>
      <c r="D626" s="441" t="s">
        <v>486</v>
      </c>
      <c r="E626" s="442"/>
      <c r="F626" s="442"/>
      <c r="G626" s="441" t="s">
        <v>342</v>
      </c>
      <c r="H626" s="441">
        <v>200</v>
      </c>
      <c r="I626" s="441"/>
      <c r="J626" s="441"/>
      <c r="K626" s="441"/>
      <c r="L626" s="441">
        <v>200</v>
      </c>
      <c r="M626" s="441"/>
      <c r="N626" s="441"/>
      <c r="O626" s="441"/>
      <c r="P626" s="441">
        <v>200</v>
      </c>
      <c r="Q626" s="441"/>
      <c r="R626" s="441"/>
      <c r="S626" s="441"/>
      <c r="T626" s="441">
        <v>200</v>
      </c>
      <c r="U626" s="441"/>
      <c r="V626" s="441"/>
      <c r="W626" s="441"/>
      <c r="X626" s="329" t="s">
        <v>3109</v>
      </c>
      <c r="Y626" s="330"/>
      <c r="Z626" s="329" t="s">
        <v>11</v>
      </c>
      <c r="AA626" s="329"/>
      <c r="AB626" s="345"/>
      <c r="AC626" s="339"/>
    </row>
    <row r="627" spans="1:29" hidden="1">
      <c r="A627" s="329"/>
      <c r="B627" s="381" t="s">
        <v>3117</v>
      </c>
      <c r="C627" s="343">
        <v>1</v>
      </c>
      <c r="D627" s="343" t="s">
        <v>103</v>
      </c>
      <c r="E627" s="399">
        <v>3000</v>
      </c>
      <c r="F627" s="376">
        <v>3000</v>
      </c>
      <c r="G627" s="343" t="s">
        <v>342</v>
      </c>
      <c r="H627" s="343">
        <v>1</v>
      </c>
      <c r="I627" s="343">
        <v>1</v>
      </c>
      <c r="J627" s="343">
        <v>0</v>
      </c>
      <c r="K627" s="343">
        <v>0</v>
      </c>
      <c r="L627" s="343">
        <v>0</v>
      </c>
      <c r="M627" s="343">
        <v>0</v>
      </c>
      <c r="N627" s="343">
        <v>0</v>
      </c>
      <c r="O627" s="343">
        <v>0</v>
      </c>
      <c r="P627" s="343">
        <v>0</v>
      </c>
      <c r="Q627" s="343">
        <v>0</v>
      </c>
      <c r="R627" s="343">
        <v>0</v>
      </c>
      <c r="S627" s="343">
        <v>0</v>
      </c>
      <c r="T627" s="343">
        <v>0</v>
      </c>
      <c r="U627" s="343">
        <v>0</v>
      </c>
      <c r="V627" s="343">
        <v>0</v>
      </c>
      <c r="W627" s="343">
        <v>0</v>
      </c>
      <c r="X627" s="329" t="s">
        <v>203</v>
      </c>
      <c r="Y627" s="330"/>
      <c r="Z627" s="329" t="s">
        <v>2946</v>
      </c>
      <c r="AA627" s="329"/>
      <c r="AB627" s="345"/>
      <c r="AC627" s="339"/>
    </row>
    <row r="628" spans="1:29" hidden="1">
      <c r="A628" s="329"/>
      <c r="B628" s="334" t="s">
        <v>3118</v>
      </c>
      <c r="C628" s="341">
        <v>1</v>
      </c>
      <c r="D628" s="341" t="s">
        <v>466</v>
      </c>
      <c r="E628" s="376">
        <v>3000</v>
      </c>
      <c r="F628" s="376">
        <v>3000</v>
      </c>
      <c r="G628" s="341" t="s">
        <v>342</v>
      </c>
      <c r="H628" s="341">
        <v>1</v>
      </c>
      <c r="I628" s="341">
        <v>1</v>
      </c>
      <c r="J628" s="341">
        <v>0</v>
      </c>
      <c r="K628" s="341">
        <v>0</v>
      </c>
      <c r="L628" s="341">
        <v>0</v>
      </c>
      <c r="M628" s="341">
        <v>0</v>
      </c>
      <c r="N628" s="341">
        <v>0</v>
      </c>
      <c r="O628" s="341">
        <v>0</v>
      </c>
      <c r="P628" s="341">
        <v>0</v>
      </c>
      <c r="Q628" s="341">
        <v>0</v>
      </c>
      <c r="R628" s="341">
        <v>0</v>
      </c>
      <c r="S628" s="341">
        <v>0</v>
      </c>
      <c r="T628" s="341">
        <v>0</v>
      </c>
      <c r="U628" s="341">
        <v>0</v>
      </c>
      <c r="V628" s="341">
        <v>0</v>
      </c>
      <c r="W628" s="341">
        <v>0</v>
      </c>
      <c r="X628" s="329" t="s">
        <v>203</v>
      </c>
      <c r="Y628" s="330"/>
      <c r="Z628" s="329" t="s">
        <v>2962</v>
      </c>
      <c r="AA628" s="329"/>
      <c r="AB628" s="345"/>
      <c r="AC628" s="339"/>
    </row>
    <row r="629" spans="1:29">
      <c r="A629" s="329"/>
      <c r="B629" s="334" t="s">
        <v>849</v>
      </c>
      <c r="C629" s="341">
        <v>1</v>
      </c>
      <c r="D629" s="341" t="s">
        <v>466</v>
      </c>
      <c r="E629" s="376">
        <v>45000</v>
      </c>
      <c r="F629" s="376">
        <v>45000</v>
      </c>
      <c r="G629" s="341" t="s">
        <v>342</v>
      </c>
      <c r="H629" s="341">
        <v>1</v>
      </c>
      <c r="I629" s="341">
        <v>1</v>
      </c>
      <c r="J629" s="341">
        <v>0</v>
      </c>
      <c r="K629" s="341">
        <v>0</v>
      </c>
      <c r="L629" s="341">
        <v>0</v>
      </c>
      <c r="M629" s="341">
        <v>0</v>
      </c>
      <c r="N629" s="341">
        <v>0</v>
      </c>
      <c r="O629" s="341">
        <v>0</v>
      </c>
      <c r="P629" s="341">
        <v>0</v>
      </c>
      <c r="Q629" s="341">
        <v>0</v>
      </c>
      <c r="R629" s="341">
        <v>0</v>
      </c>
      <c r="S629" s="341">
        <v>0</v>
      </c>
      <c r="T629" s="341">
        <v>0</v>
      </c>
      <c r="U629" s="341">
        <v>0</v>
      </c>
      <c r="V629" s="341">
        <v>0</v>
      </c>
      <c r="W629" s="341">
        <v>0</v>
      </c>
      <c r="X629" s="329" t="s">
        <v>203</v>
      </c>
      <c r="Y629" s="330" t="str">
        <f>DB!$D$194</f>
        <v>Branded Desktop Computer Set</v>
      </c>
      <c r="Z629" s="329" t="s">
        <v>2964</v>
      </c>
      <c r="AA629" s="329"/>
      <c r="AB629" s="345"/>
      <c r="AC629" s="339"/>
    </row>
    <row r="630" spans="1:29" ht="31.5" hidden="1">
      <c r="A630" s="329"/>
      <c r="B630" s="372" t="s">
        <v>882</v>
      </c>
      <c r="C630" s="357">
        <v>1</v>
      </c>
      <c r="D630" s="335" t="s">
        <v>466</v>
      </c>
      <c r="E630" s="347">
        <v>3000</v>
      </c>
      <c r="F630" s="376">
        <v>3000</v>
      </c>
      <c r="G630" s="341" t="s">
        <v>342</v>
      </c>
      <c r="H630" s="341">
        <v>1</v>
      </c>
      <c r="I630" s="341">
        <v>1</v>
      </c>
      <c r="J630" s="341">
        <v>0</v>
      </c>
      <c r="K630" s="341">
        <v>0</v>
      </c>
      <c r="L630" s="341">
        <v>0</v>
      </c>
      <c r="M630" s="341">
        <v>0</v>
      </c>
      <c r="N630" s="341">
        <v>0</v>
      </c>
      <c r="O630" s="341">
        <v>0</v>
      </c>
      <c r="P630" s="341">
        <v>0</v>
      </c>
      <c r="Q630" s="341">
        <v>0</v>
      </c>
      <c r="R630" s="341">
        <v>0</v>
      </c>
      <c r="S630" s="341">
        <v>0</v>
      </c>
      <c r="T630" s="341">
        <v>0</v>
      </c>
      <c r="U630" s="341">
        <v>0</v>
      </c>
      <c r="V630" s="341">
        <v>0</v>
      </c>
      <c r="W630" s="341">
        <v>0</v>
      </c>
      <c r="X630" s="329" t="s">
        <v>203</v>
      </c>
      <c r="Y630" s="330" t="str">
        <f>DB!$D$73</f>
        <v>Webcam Professional Full HD</v>
      </c>
      <c r="Z630" s="329" t="s">
        <v>8</v>
      </c>
      <c r="AA630" s="329"/>
      <c r="AB630" s="345"/>
      <c r="AC630" s="339"/>
    </row>
    <row r="631" spans="1:29" ht="31.5" hidden="1">
      <c r="A631" s="329"/>
      <c r="B631" s="380" t="s">
        <v>653</v>
      </c>
      <c r="C631" s="375">
        <v>1</v>
      </c>
      <c r="D631" s="405" t="s">
        <v>92</v>
      </c>
      <c r="E631" s="375">
        <v>150000</v>
      </c>
      <c r="F631" s="399">
        <v>150000</v>
      </c>
      <c r="G631" s="375" t="s">
        <v>342</v>
      </c>
      <c r="H631" s="343">
        <v>1</v>
      </c>
      <c r="I631" s="343">
        <v>1</v>
      </c>
      <c r="J631" s="343">
        <v>0</v>
      </c>
      <c r="K631" s="343">
        <v>0</v>
      </c>
      <c r="L631" s="343">
        <v>0</v>
      </c>
      <c r="M631" s="343">
        <v>0</v>
      </c>
      <c r="N631" s="343">
        <v>0</v>
      </c>
      <c r="O631" s="343">
        <v>0</v>
      </c>
      <c r="P631" s="343">
        <v>0</v>
      </c>
      <c r="Q631" s="343">
        <v>0</v>
      </c>
      <c r="R631" s="343">
        <v>0</v>
      </c>
      <c r="S631" s="343">
        <v>0</v>
      </c>
      <c r="T631" s="343">
        <v>0</v>
      </c>
      <c r="U631" s="343">
        <v>0</v>
      </c>
      <c r="V631" s="343">
        <v>0</v>
      </c>
      <c r="W631" s="343">
        <v>0</v>
      </c>
      <c r="X631" s="329" t="s">
        <v>110</v>
      </c>
      <c r="Y631" s="330"/>
      <c r="Z631" s="329" t="s">
        <v>2952</v>
      </c>
      <c r="AA631" s="329"/>
      <c r="AB631" s="345"/>
      <c r="AC631" s="339"/>
    </row>
    <row r="632" spans="1:29">
      <c r="A632" s="329"/>
      <c r="B632" s="381" t="s">
        <v>654</v>
      </c>
      <c r="C632" s="377">
        <v>6</v>
      </c>
      <c r="D632" s="394" t="s">
        <v>92</v>
      </c>
      <c r="E632" s="376">
        <v>42390.400000000001</v>
      </c>
      <c r="F632" s="376">
        <v>254342.39999999999</v>
      </c>
      <c r="G632" s="377" t="s">
        <v>342</v>
      </c>
      <c r="H632" s="341">
        <v>6</v>
      </c>
      <c r="I632" s="341">
        <v>6</v>
      </c>
      <c r="J632" s="341">
        <v>0</v>
      </c>
      <c r="K632" s="341">
        <v>0</v>
      </c>
      <c r="L632" s="341">
        <v>0</v>
      </c>
      <c r="M632" s="341">
        <v>0</v>
      </c>
      <c r="N632" s="341">
        <v>0</v>
      </c>
      <c r="O632" s="341">
        <v>0</v>
      </c>
      <c r="P632" s="341">
        <v>0</v>
      </c>
      <c r="Q632" s="341">
        <v>0</v>
      </c>
      <c r="R632" s="341">
        <v>0</v>
      </c>
      <c r="S632" s="341">
        <v>0</v>
      </c>
      <c r="T632" s="341">
        <v>0</v>
      </c>
      <c r="U632" s="341">
        <v>0</v>
      </c>
      <c r="V632" s="341">
        <v>0</v>
      </c>
      <c r="W632" s="341">
        <v>0</v>
      </c>
      <c r="X632" s="329" t="s">
        <v>110</v>
      </c>
      <c r="Y632" s="330" t="str">
        <f>DB!$D$194</f>
        <v>Branded Desktop Computer Set</v>
      </c>
      <c r="Z632" s="329" t="s">
        <v>2964</v>
      </c>
      <c r="AA632" s="329"/>
      <c r="AB632" s="345"/>
      <c r="AC632" s="339"/>
    </row>
    <row r="633" spans="1:29" ht="31.5" hidden="1">
      <c r="A633" s="329"/>
      <c r="B633" s="381" t="s">
        <v>655</v>
      </c>
      <c r="C633" s="377">
        <v>1</v>
      </c>
      <c r="D633" s="394" t="s">
        <v>92</v>
      </c>
      <c r="E633" s="376">
        <v>7339.16</v>
      </c>
      <c r="F633" s="376">
        <v>7339.16</v>
      </c>
      <c r="G633" s="377" t="s">
        <v>342</v>
      </c>
      <c r="H633" s="341">
        <v>1</v>
      </c>
      <c r="I633" s="341">
        <v>1</v>
      </c>
      <c r="J633" s="341">
        <v>0</v>
      </c>
      <c r="K633" s="341">
        <v>0</v>
      </c>
      <c r="L633" s="341">
        <v>0</v>
      </c>
      <c r="M633" s="341">
        <v>0</v>
      </c>
      <c r="N633" s="341">
        <v>0</v>
      </c>
      <c r="O633" s="341">
        <v>0</v>
      </c>
      <c r="P633" s="341">
        <v>0</v>
      </c>
      <c r="Q633" s="341">
        <v>0</v>
      </c>
      <c r="R633" s="341">
        <v>0</v>
      </c>
      <c r="S633" s="341">
        <v>0</v>
      </c>
      <c r="T633" s="341">
        <v>0</v>
      </c>
      <c r="U633" s="341">
        <v>0</v>
      </c>
      <c r="V633" s="341">
        <v>0</v>
      </c>
      <c r="W633" s="341">
        <v>0</v>
      </c>
      <c r="X633" s="329" t="s">
        <v>110</v>
      </c>
      <c r="Y633" s="330" t="str">
        <f>DB!$D$87</f>
        <v>Stereo Digital Voice Recorder with Built-in USB</v>
      </c>
      <c r="Z633" s="351" t="s">
        <v>8</v>
      </c>
      <c r="AA633" s="329"/>
      <c r="AB633" s="345"/>
      <c r="AC633" s="339"/>
    </row>
    <row r="634" spans="1:29" hidden="1">
      <c r="A634" s="329"/>
      <c r="B634" s="381" t="s">
        <v>656</v>
      </c>
      <c r="C634" s="377">
        <v>5</v>
      </c>
      <c r="D634" s="394" t="s">
        <v>657</v>
      </c>
      <c r="E634" s="377">
        <v>6947.2</v>
      </c>
      <c r="F634" s="376">
        <v>34736</v>
      </c>
      <c r="G634" s="377" t="s">
        <v>342</v>
      </c>
      <c r="H634" s="341">
        <v>5</v>
      </c>
      <c r="I634" s="341">
        <v>5</v>
      </c>
      <c r="J634" s="341">
        <v>0</v>
      </c>
      <c r="K634" s="341">
        <v>0</v>
      </c>
      <c r="L634" s="341">
        <v>0</v>
      </c>
      <c r="M634" s="341">
        <v>0</v>
      </c>
      <c r="N634" s="341">
        <v>0</v>
      </c>
      <c r="O634" s="341">
        <v>0</v>
      </c>
      <c r="P634" s="341">
        <v>0</v>
      </c>
      <c r="Q634" s="341">
        <v>0</v>
      </c>
      <c r="R634" s="341">
        <v>0</v>
      </c>
      <c r="S634" s="341">
        <v>0</v>
      </c>
      <c r="T634" s="341">
        <v>0</v>
      </c>
      <c r="U634" s="341">
        <v>0</v>
      </c>
      <c r="V634" s="341">
        <v>0</v>
      </c>
      <c r="W634" s="341">
        <v>0</v>
      </c>
      <c r="X634" s="329" t="s">
        <v>110</v>
      </c>
      <c r="Y634" s="330"/>
      <c r="Z634" s="329" t="s">
        <v>2952</v>
      </c>
      <c r="AA634" s="329"/>
      <c r="AB634" s="345"/>
      <c r="AC634" s="339"/>
    </row>
    <row r="635" spans="1:29" hidden="1">
      <c r="A635" s="329"/>
      <c r="B635" s="381" t="s">
        <v>731</v>
      </c>
      <c r="C635" s="377">
        <v>2</v>
      </c>
      <c r="D635" s="394" t="s">
        <v>92</v>
      </c>
      <c r="E635" s="376">
        <v>2792.4</v>
      </c>
      <c r="F635" s="376">
        <v>5584.8</v>
      </c>
      <c r="G635" s="377" t="s">
        <v>342</v>
      </c>
      <c r="H635" s="341">
        <v>2</v>
      </c>
      <c r="I635" s="341">
        <v>2</v>
      </c>
      <c r="J635" s="341">
        <v>0</v>
      </c>
      <c r="K635" s="341">
        <v>0</v>
      </c>
      <c r="L635" s="341">
        <v>0</v>
      </c>
      <c r="M635" s="341">
        <v>0</v>
      </c>
      <c r="N635" s="341">
        <v>0</v>
      </c>
      <c r="O635" s="341">
        <v>0</v>
      </c>
      <c r="P635" s="341">
        <v>0</v>
      </c>
      <c r="Q635" s="341">
        <v>0</v>
      </c>
      <c r="R635" s="341">
        <v>0</v>
      </c>
      <c r="S635" s="341">
        <v>0</v>
      </c>
      <c r="T635" s="341">
        <v>0</v>
      </c>
      <c r="U635" s="341">
        <v>0</v>
      </c>
      <c r="V635" s="341">
        <v>0</v>
      </c>
      <c r="W635" s="341">
        <v>0</v>
      </c>
      <c r="X635" s="329" t="s">
        <v>110</v>
      </c>
      <c r="Y635" s="330"/>
      <c r="Z635" s="329" t="s">
        <v>2946</v>
      </c>
      <c r="AA635" s="329"/>
      <c r="AB635" s="345"/>
      <c r="AC635" s="339"/>
    </row>
    <row r="636" spans="1:29" hidden="1">
      <c r="A636" s="329"/>
      <c r="B636" s="381" t="s">
        <v>658</v>
      </c>
      <c r="C636" s="377">
        <v>6</v>
      </c>
      <c r="D636" s="394" t="s">
        <v>601</v>
      </c>
      <c r="E636" s="377">
        <v>166.4</v>
      </c>
      <c r="F636" s="376">
        <v>9984</v>
      </c>
      <c r="G636" s="377" t="s">
        <v>342</v>
      </c>
      <c r="H636" s="341">
        <v>6</v>
      </c>
      <c r="I636" s="341">
        <v>6</v>
      </c>
      <c r="J636" s="341">
        <v>0</v>
      </c>
      <c r="K636" s="341">
        <v>0</v>
      </c>
      <c r="L636" s="341">
        <v>0</v>
      </c>
      <c r="M636" s="341">
        <v>0</v>
      </c>
      <c r="N636" s="341">
        <v>0</v>
      </c>
      <c r="O636" s="341">
        <v>0</v>
      </c>
      <c r="P636" s="341">
        <v>0</v>
      </c>
      <c r="Q636" s="341">
        <v>0</v>
      </c>
      <c r="R636" s="341">
        <v>0</v>
      </c>
      <c r="S636" s="341">
        <v>0</v>
      </c>
      <c r="T636" s="341">
        <v>0</v>
      </c>
      <c r="U636" s="341">
        <v>0</v>
      </c>
      <c r="V636" s="341">
        <v>0</v>
      </c>
      <c r="W636" s="341">
        <v>0</v>
      </c>
      <c r="X636" s="329" t="s">
        <v>110</v>
      </c>
      <c r="Y636" s="330" t="str">
        <f>DB!$D$78</f>
        <v>16GB Flash Drive</v>
      </c>
      <c r="Z636" s="329" t="s">
        <v>8</v>
      </c>
      <c r="AA636" s="329"/>
      <c r="AB636" s="345"/>
      <c r="AC636" s="339"/>
    </row>
    <row r="637" spans="1:29" hidden="1">
      <c r="A637" s="329"/>
      <c r="B637" s="381" t="s">
        <v>659</v>
      </c>
      <c r="C637" s="377">
        <v>36</v>
      </c>
      <c r="D637" s="394" t="s">
        <v>657</v>
      </c>
      <c r="E637" s="377">
        <v>249.6</v>
      </c>
      <c r="F637" s="376">
        <v>8985.6</v>
      </c>
      <c r="G637" s="377" t="s">
        <v>342</v>
      </c>
      <c r="H637" s="341">
        <v>9</v>
      </c>
      <c r="I637" s="341">
        <v>3</v>
      </c>
      <c r="J637" s="341">
        <v>3</v>
      </c>
      <c r="K637" s="341">
        <v>3</v>
      </c>
      <c r="L637" s="341">
        <v>9</v>
      </c>
      <c r="M637" s="341">
        <v>3</v>
      </c>
      <c r="N637" s="341">
        <v>3</v>
      </c>
      <c r="O637" s="341">
        <v>3</v>
      </c>
      <c r="P637" s="341">
        <v>9</v>
      </c>
      <c r="Q637" s="341">
        <v>3</v>
      </c>
      <c r="R637" s="341">
        <v>3</v>
      </c>
      <c r="S637" s="341">
        <v>3</v>
      </c>
      <c r="T637" s="341">
        <v>9</v>
      </c>
      <c r="U637" s="341">
        <v>3</v>
      </c>
      <c r="V637" s="341">
        <v>3</v>
      </c>
      <c r="W637" s="341">
        <v>3</v>
      </c>
      <c r="X637" s="329" t="s">
        <v>110</v>
      </c>
      <c r="Y637" s="330" t="str">
        <f>DB!$D$102</f>
        <v>Epson Genuine Ink T6641 Black</v>
      </c>
      <c r="Z637" s="329" t="s">
        <v>8</v>
      </c>
      <c r="AA637" s="329"/>
      <c r="AB637" s="345"/>
      <c r="AC637" s="339"/>
    </row>
    <row r="638" spans="1:29" hidden="1">
      <c r="A638" s="329"/>
      <c r="B638" s="381" t="s">
        <v>660</v>
      </c>
      <c r="C638" s="377">
        <v>36</v>
      </c>
      <c r="D638" s="394" t="s">
        <v>657</v>
      </c>
      <c r="E638" s="377">
        <v>249.6</v>
      </c>
      <c r="F638" s="376">
        <v>8985.6</v>
      </c>
      <c r="G638" s="377" t="s">
        <v>342</v>
      </c>
      <c r="H638" s="341">
        <v>9</v>
      </c>
      <c r="I638" s="341">
        <v>3</v>
      </c>
      <c r="J638" s="341">
        <v>3</v>
      </c>
      <c r="K638" s="341">
        <v>3</v>
      </c>
      <c r="L638" s="341">
        <v>9</v>
      </c>
      <c r="M638" s="341">
        <v>3</v>
      </c>
      <c r="N638" s="341">
        <v>3</v>
      </c>
      <c r="O638" s="341">
        <v>3</v>
      </c>
      <c r="P638" s="341">
        <v>9</v>
      </c>
      <c r="Q638" s="341">
        <v>3</v>
      </c>
      <c r="R638" s="341">
        <v>3</v>
      </c>
      <c r="S638" s="341">
        <v>3</v>
      </c>
      <c r="T638" s="341">
        <v>9</v>
      </c>
      <c r="U638" s="341">
        <v>3</v>
      </c>
      <c r="V638" s="341">
        <v>3</v>
      </c>
      <c r="W638" s="341">
        <v>3</v>
      </c>
      <c r="X638" s="329" t="s">
        <v>110</v>
      </c>
      <c r="Y638" s="330" t="str">
        <f>DB!$D$103</f>
        <v>Epson Genuine Ink T6642 Cyan</v>
      </c>
      <c r="Z638" s="351" t="s">
        <v>8</v>
      </c>
      <c r="AA638" s="329"/>
      <c r="AB638" s="345"/>
      <c r="AC638" s="339"/>
    </row>
    <row r="639" spans="1:29" ht="31.5" hidden="1">
      <c r="A639" s="329"/>
      <c r="B639" s="381" t="s">
        <v>661</v>
      </c>
      <c r="C639" s="377">
        <v>36</v>
      </c>
      <c r="D639" s="394" t="s">
        <v>657</v>
      </c>
      <c r="E639" s="377">
        <v>249.6</v>
      </c>
      <c r="F639" s="376">
        <v>8985.6</v>
      </c>
      <c r="G639" s="377" t="s">
        <v>342</v>
      </c>
      <c r="H639" s="341">
        <v>9</v>
      </c>
      <c r="I639" s="341">
        <v>3</v>
      </c>
      <c r="J639" s="341">
        <v>3</v>
      </c>
      <c r="K639" s="341">
        <v>3</v>
      </c>
      <c r="L639" s="341">
        <v>9</v>
      </c>
      <c r="M639" s="341">
        <v>3</v>
      </c>
      <c r="N639" s="341">
        <v>3</v>
      </c>
      <c r="O639" s="341">
        <v>3</v>
      </c>
      <c r="P639" s="341">
        <v>9</v>
      </c>
      <c r="Q639" s="341">
        <v>3</v>
      </c>
      <c r="R639" s="341">
        <v>3</v>
      </c>
      <c r="S639" s="341">
        <v>3</v>
      </c>
      <c r="T639" s="341">
        <v>9</v>
      </c>
      <c r="U639" s="341">
        <v>3</v>
      </c>
      <c r="V639" s="341">
        <v>3</v>
      </c>
      <c r="W639" s="341">
        <v>3</v>
      </c>
      <c r="X639" s="329" t="s">
        <v>110</v>
      </c>
      <c r="Y639" s="330" t="str">
        <f>DB!$D$104</f>
        <v>Epson Genuine Ink T6643 Magenta</v>
      </c>
      <c r="Z639" s="351" t="s">
        <v>8</v>
      </c>
      <c r="AA639" s="329"/>
      <c r="AB639" s="345"/>
      <c r="AC639" s="339"/>
    </row>
    <row r="640" spans="1:29" ht="31.5" hidden="1">
      <c r="A640" s="329"/>
      <c r="B640" s="381" t="s">
        <v>662</v>
      </c>
      <c r="C640" s="377">
        <v>36</v>
      </c>
      <c r="D640" s="394" t="s">
        <v>657</v>
      </c>
      <c r="E640" s="377">
        <v>249.6</v>
      </c>
      <c r="F640" s="376">
        <v>8985.6</v>
      </c>
      <c r="G640" s="377" t="s">
        <v>342</v>
      </c>
      <c r="H640" s="341">
        <v>9</v>
      </c>
      <c r="I640" s="341">
        <v>3</v>
      </c>
      <c r="J640" s="341">
        <v>3</v>
      </c>
      <c r="K640" s="341">
        <v>3</v>
      </c>
      <c r="L640" s="341">
        <v>9</v>
      </c>
      <c r="M640" s="341">
        <v>3</v>
      </c>
      <c r="N640" s="341">
        <v>3</v>
      </c>
      <c r="O640" s="341">
        <v>3</v>
      </c>
      <c r="P640" s="341">
        <v>9</v>
      </c>
      <c r="Q640" s="341">
        <v>3</v>
      </c>
      <c r="R640" s="341">
        <v>3</v>
      </c>
      <c r="S640" s="341">
        <v>3</v>
      </c>
      <c r="T640" s="341">
        <v>9</v>
      </c>
      <c r="U640" s="341">
        <v>3</v>
      </c>
      <c r="V640" s="341">
        <v>3</v>
      </c>
      <c r="W640" s="341">
        <v>3</v>
      </c>
      <c r="X640" s="329" t="s">
        <v>110</v>
      </c>
      <c r="Y640" s="330" t="str">
        <f>DB!$D$105</f>
        <v>Epson Genuine Ink T6644 Yellow</v>
      </c>
      <c r="Z640" s="351" t="s">
        <v>8</v>
      </c>
      <c r="AA640" s="329"/>
      <c r="AB640" s="345"/>
      <c r="AC640" s="339"/>
    </row>
    <row r="641" spans="1:29" hidden="1">
      <c r="A641" s="329"/>
      <c r="B641" s="381" t="s">
        <v>663</v>
      </c>
      <c r="C641" s="377">
        <v>36</v>
      </c>
      <c r="D641" s="394" t="s">
        <v>486</v>
      </c>
      <c r="E641" s="377">
        <v>300</v>
      </c>
      <c r="F641" s="376">
        <v>10800</v>
      </c>
      <c r="G641" s="377" t="s">
        <v>342</v>
      </c>
      <c r="H641" s="341">
        <v>9</v>
      </c>
      <c r="I641" s="341">
        <v>3</v>
      </c>
      <c r="J641" s="341">
        <v>3</v>
      </c>
      <c r="K641" s="341">
        <v>3</v>
      </c>
      <c r="L641" s="341">
        <v>9</v>
      </c>
      <c r="M641" s="341">
        <v>3</v>
      </c>
      <c r="N641" s="341">
        <v>3</v>
      </c>
      <c r="O641" s="341">
        <v>3</v>
      </c>
      <c r="P641" s="341">
        <v>9</v>
      </c>
      <c r="Q641" s="341">
        <v>3</v>
      </c>
      <c r="R641" s="341">
        <v>3</v>
      </c>
      <c r="S641" s="341">
        <v>3</v>
      </c>
      <c r="T641" s="341">
        <v>9</v>
      </c>
      <c r="U641" s="341">
        <v>3</v>
      </c>
      <c r="V641" s="341">
        <v>3</v>
      </c>
      <c r="W641" s="341">
        <v>3</v>
      </c>
      <c r="X641" s="329" t="s">
        <v>110</v>
      </c>
      <c r="Y641" s="361" t="s">
        <v>199</v>
      </c>
      <c r="Z641" s="329" t="s">
        <v>8</v>
      </c>
      <c r="AA641" s="329"/>
      <c r="AB641" s="345"/>
      <c r="AC641" s="339"/>
    </row>
    <row r="642" spans="1:29" hidden="1">
      <c r="A642" s="329"/>
      <c r="B642" s="381" t="s">
        <v>664</v>
      </c>
      <c r="C642" s="377">
        <v>36</v>
      </c>
      <c r="D642" s="394" t="s">
        <v>486</v>
      </c>
      <c r="E642" s="377">
        <v>300</v>
      </c>
      <c r="F642" s="376">
        <v>10800</v>
      </c>
      <c r="G642" s="377" t="s">
        <v>342</v>
      </c>
      <c r="H642" s="341">
        <v>9</v>
      </c>
      <c r="I642" s="341">
        <v>3</v>
      </c>
      <c r="J642" s="341">
        <v>3</v>
      </c>
      <c r="K642" s="341">
        <v>3</v>
      </c>
      <c r="L642" s="341">
        <v>9</v>
      </c>
      <c r="M642" s="341">
        <v>3</v>
      </c>
      <c r="N642" s="341">
        <v>3</v>
      </c>
      <c r="O642" s="341">
        <v>3</v>
      </c>
      <c r="P642" s="341">
        <v>9</v>
      </c>
      <c r="Q642" s="341">
        <v>3</v>
      </c>
      <c r="R642" s="341">
        <v>3</v>
      </c>
      <c r="S642" s="341">
        <v>3</v>
      </c>
      <c r="T642" s="341">
        <v>9</v>
      </c>
      <c r="U642" s="341">
        <v>3</v>
      </c>
      <c r="V642" s="341">
        <v>3</v>
      </c>
      <c r="W642" s="341">
        <v>3</v>
      </c>
      <c r="X642" s="329" t="s">
        <v>110</v>
      </c>
      <c r="Y642" s="361" t="s">
        <v>209</v>
      </c>
      <c r="Z642" s="329" t="s">
        <v>8</v>
      </c>
      <c r="AA642" s="329"/>
      <c r="AB642" s="345"/>
      <c r="AC642" s="339"/>
    </row>
    <row r="643" spans="1:29" ht="31.5" hidden="1">
      <c r="A643" s="329"/>
      <c r="B643" s="381" t="s">
        <v>665</v>
      </c>
      <c r="C643" s="377">
        <v>36</v>
      </c>
      <c r="D643" s="394" t="s">
        <v>486</v>
      </c>
      <c r="E643" s="377">
        <v>300</v>
      </c>
      <c r="F643" s="376">
        <v>10800</v>
      </c>
      <c r="G643" s="377" t="s">
        <v>342</v>
      </c>
      <c r="H643" s="341">
        <v>9</v>
      </c>
      <c r="I643" s="341">
        <v>3</v>
      </c>
      <c r="J643" s="341">
        <v>3</v>
      </c>
      <c r="K643" s="341">
        <v>3</v>
      </c>
      <c r="L643" s="341">
        <v>9</v>
      </c>
      <c r="M643" s="341">
        <v>3</v>
      </c>
      <c r="N643" s="341">
        <v>3</v>
      </c>
      <c r="O643" s="341">
        <v>3</v>
      </c>
      <c r="P643" s="341">
        <v>9</v>
      </c>
      <c r="Q643" s="341">
        <v>3</v>
      </c>
      <c r="R643" s="341">
        <v>3</v>
      </c>
      <c r="S643" s="341">
        <v>3</v>
      </c>
      <c r="T643" s="341">
        <v>9</v>
      </c>
      <c r="U643" s="341">
        <v>3</v>
      </c>
      <c r="V643" s="341">
        <v>3</v>
      </c>
      <c r="W643" s="341">
        <v>3</v>
      </c>
      <c r="X643" s="329" t="s">
        <v>110</v>
      </c>
      <c r="Y643" s="361" t="s">
        <v>210</v>
      </c>
      <c r="Z643" s="329" t="s">
        <v>8</v>
      </c>
      <c r="AA643" s="329"/>
      <c r="AB643" s="345"/>
      <c r="AC643" s="339"/>
    </row>
    <row r="644" spans="1:29" hidden="1">
      <c r="A644" s="329"/>
      <c r="B644" s="381" t="s">
        <v>666</v>
      </c>
      <c r="C644" s="377">
        <v>36</v>
      </c>
      <c r="D644" s="394" t="s">
        <v>486</v>
      </c>
      <c r="E644" s="377">
        <v>300</v>
      </c>
      <c r="F644" s="376">
        <v>10800</v>
      </c>
      <c r="G644" s="377" t="s">
        <v>342</v>
      </c>
      <c r="H644" s="341">
        <v>9</v>
      </c>
      <c r="I644" s="341">
        <v>3</v>
      </c>
      <c r="J644" s="341">
        <v>3</v>
      </c>
      <c r="K644" s="341">
        <v>3</v>
      </c>
      <c r="L644" s="341">
        <v>9</v>
      </c>
      <c r="M644" s="341">
        <v>3</v>
      </c>
      <c r="N644" s="341">
        <v>3</v>
      </c>
      <c r="O644" s="341">
        <v>3</v>
      </c>
      <c r="P644" s="341">
        <v>9</v>
      </c>
      <c r="Q644" s="341">
        <v>3</v>
      </c>
      <c r="R644" s="341">
        <v>3</v>
      </c>
      <c r="S644" s="341">
        <v>3</v>
      </c>
      <c r="T644" s="341">
        <v>9</v>
      </c>
      <c r="U644" s="341">
        <v>3</v>
      </c>
      <c r="V644" s="341">
        <v>3</v>
      </c>
      <c r="W644" s="341">
        <v>3</v>
      </c>
      <c r="X644" s="329" t="s">
        <v>110</v>
      </c>
      <c r="Y644" s="361" t="s">
        <v>211</v>
      </c>
      <c r="Z644" s="329" t="s">
        <v>8</v>
      </c>
      <c r="AA644" s="329"/>
      <c r="AB644" s="345"/>
      <c r="AC644" s="339"/>
    </row>
    <row r="645" spans="1:29" hidden="1">
      <c r="A645" s="329"/>
      <c r="B645" s="381" t="s">
        <v>667</v>
      </c>
      <c r="C645" s="377">
        <v>3</v>
      </c>
      <c r="D645" s="377" t="s">
        <v>103</v>
      </c>
      <c r="E645" s="377">
        <v>480</v>
      </c>
      <c r="F645" s="376">
        <v>1440</v>
      </c>
      <c r="G645" s="377" t="s">
        <v>342</v>
      </c>
      <c r="H645" s="341">
        <v>5</v>
      </c>
      <c r="I645" s="341">
        <v>5</v>
      </c>
      <c r="J645" s="341">
        <v>0</v>
      </c>
      <c r="K645" s="341">
        <v>0</v>
      </c>
      <c r="L645" s="341">
        <v>0</v>
      </c>
      <c r="M645" s="341">
        <v>0</v>
      </c>
      <c r="N645" s="341">
        <v>0</v>
      </c>
      <c r="O645" s="341">
        <v>0</v>
      </c>
      <c r="P645" s="341">
        <v>0</v>
      </c>
      <c r="Q645" s="341">
        <v>0</v>
      </c>
      <c r="R645" s="341">
        <v>0</v>
      </c>
      <c r="S645" s="341">
        <v>0</v>
      </c>
      <c r="T645" s="341">
        <v>0</v>
      </c>
      <c r="U645" s="341">
        <v>0</v>
      </c>
      <c r="V645" s="341">
        <v>0</v>
      </c>
      <c r="W645" s="341">
        <v>0</v>
      </c>
      <c r="X645" s="329" t="s">
        <v>110</v>
      </c>
      <c r="Y645" s="336" t="str">
        <f>DB!$D$168</f>
        <v>Keyboard, Full Size, USB 2.0</v>
      </c>
      <c r="Z645" s="329" t="s">
        <v>2946</v>
      </c>
      <c r="AA645" s="329"/>
      <c r="AB645" s="345"/>
      <c r="AC645" s="339"/>
    </row>
    <row r="646" spans="1:29" hidden="1">
      <c r="A646" s="329"/>
      <c r="B646" s="381" t="s">
        <v>668</v>
      </c>
      <c r="C646" s="377">
        <v>1</v>
      </c>
      <c r="D646" s="394" t="s">
        <v>466</v>
      </c>
      <c r="E646" s="376">
        <v>46800</v>
      </c>
      <c r="F646" s="376">
        <v>46800</v>
      </c>
      <c r="G646" s="377" t="s">
        <v>342</v>
      </c>
      <c r="H646" s="341">
        <v>1</v>
      </c>
      <c r="I646" s="341">
        <v>1</v>
      </c>
      <c r="J646" s="341">
        <v>0</v>
      </c>
      <c r="K646" s="341">
        <v>0</v>
      </c>
      <c r="L646" s="341">
        <v>0</v>
      </c>
      <c r="M646" s="341">
        <v>0</v>
      </c>
      <c r="N646" s="341">
        <v>0</v>
      </c>
      <c r="O646" s="341">
        <v>0</v>
      </c>
      <c r="P646" s="341">
        <v>0</v>
      </c>
      <c r="Q646" s="341">
        <v>0</v>
      </c>
      <c r="R646" s="341">
        <v>0</v>
      </c>
      <c r="S646" s="341">
        <v>0</v>
      </c>
      <c r="T646" s="341">
        <v>0</v>
      </c>
      <c r="U646" s="341">
        <v>0</v>
      </c>
      <c r="V646" s="341">
        <v>0</v>
      </c>
      <c r="W646" s="341">
        <v>0</v>
      </c>
      <c r="X646" s="329" t="s">
        <v>110</v>
      </c>
      <c r="Y646" s="330"/>
      <c r="Z646" s="329" t="s">
        <v>688</v>
      </c>
      <c r="AA646" s="329"/>
      <c r="AB646" s="345"/>
      <c r="AC646" s="339"/>
    </row>
    <row r="647" spans="1:29" hidden="1">
      <c r="A647" s="329"/>
      <c r="B647" s="381" t="s">
        <v>669</v>
      </c>
      <c r="C647" s="377">
        <v>2</v>
      </c>
      <c r="D647" s="394" t="s">
        <v>466</v>
      </c>
      <c r="E647" s="376">
        <v>42380</v>
      </c>
      <c r="F647" s="376">
        <v>84760</v>
      </c>
      <c r="G647" s="377" t="s">
        <v>342</v>
      </c>
      <c r="H647" s="341">
        <v>2</v>
      </c>
      <c r="I647" s="341">
        <v>2</v>
      </c>
      <c r="J647" s="341">
        <v>0</v>
      </c>
      <c r="K647" s="341">
        <v>0</v>
      </c>
      <c r="L647" s="341">
        <v>0</v>
      </c>
      <c r="M647" s="341">
        <v>0</v>
      </c>
      <c r="N647" s="341">
        <v>0</v>
      </c>
      <c r="O647" s="341">
        <v>0</v>
      </c>
      <c r="P647" s="341">
        <v>0</v>
      </c>
      <c r="Q647" s="341">
        <v>0</v>
      </c>
      <c r="R647" s="341">
        <v>0</v>
      </c>
      <c r="S647" s="341">
        <v>0</v>
      </c>
      <c r="T647" s="341">
        <v>0</v>
      </c>
      <c r="U647" s="341">
        <v>0</v>
      </c>
      <c r="V647" s="341">
        <v>0</v>
      </c>
      <c r="W647" s="341">
        <v>0</v>
      </c>
      <c r="X647" s="329" t="s">
        <v>110</v>
      </c>
      <c r="Y647" s="369"/>
      <c r="Z647" s="329" t="s">
        <v>688</v>
      </c>
      <c r="AA647" s="329"/>
      <c r="AB647" s="345"/>
      <c r="AC647" s="339"/>
    </row>
    <row r="648" spans="1:29" hidden="1">
      <c r="A648" s="329"/>
      <c r="B648" s="381" t="s">
        <v>3119</v>
      </c>
      <c r="C648" s="377">
        <v>5</v>
      </c>
      <c r="D648" s="394" t="s">
        <v>657</v>
      </c>
      <c r="E648" s="377">
        <v>6947.2</v>
      </c>
      <c r="F648" s="376">
        <v>34736</v>
      </c>
      <c r="G648" s="377" t="s">
        <v>342</v>
      </c>
      <c r="H648" s="341">
        <v>5</v>
      </c>
      <c r="I648" s="341">
        <v>5</v>
      </c>
      <c r="J648" s="341">
        <v>0</v>
      </c>
      <c r="K648" s="341">
        <v>0</v>
      </c>
      <c r="L648" s="341">
        <v>0</v>
      </c>
      <c r="M648" s="341">
        <v>0</v>
      </c>
      <c r="N648" s="341">
        <v>0</v>
      </c>
      <c r="O648" s="341">
        <v>0</v>
      </c>
      <c r="P648" s="341">
        <v>0</v>
      </c>
      <c r="Q648" s="341">
        <v>0</v>
      </c>
      <c r="R648" s="341">
        <v>0</v>
      </c>
      <c r="S648" s="341">
        <v>0</v>
      </c>
      <c r="T648" s="341">
        <v>0</v>
      </c>
      <c r="U648" s="341">
        <v>0</v>
      </c>
      <c r="V648" s="341">
        <v>0</v>
      </c>
      <c r="W648" s="341">
        <v>0</v>
      </c>
      <c r="X648" s="329" t="s">
        <v>110</v>
      </c>
      <c r="Y648" s="330"/>
      <c r="Z648" s="329" t="s">
        <v>2952</v>
      </c>
      <c r="AA648" s="329"/>
      <c r="AB648" s="345"/>
      <c r="AC648" s="339"/>
    </row>
    <row r="649" spans="1:29" hidden="1">
      <c r="A649" s="329"/>
      <c r="B649" s="381" t="s">
        <v>671</v>
      </c>
      <c r="C649" s="377">
        <v>10</v>
      </c>
      <c r="D649" s="394" t="s">
        <v>92</v>
      </c>
      <c r="E649" s="377">
        <v>149.76</v>
      </c>
      <c r="F649" s="376">
        <v>1497.6</v>
      </c>
      <c r="G649" s="377" t="s">
        <v>342</v>
      </c>
      <c r="H649" s="341">
        <v>10</v>
      </c>
      <c r="I649" s="341">
        <v>10</v>
      </c>
      <c r="J649" s="341">
        <v>0</v>
      </c>
      <c r="K649" s="341">
        <v>0</v>
      </c>
      <c r="L649" s="341">
        <v>0</v>
      </c>
      <c r="M649" s="341">
        <v>0</v>
      </c>
      <c r="N649" s="341">
        <v>0</v>
      </c>
      <c r="O649" s="341">
        <v>0</v>
      </c>
      <c r="P649" s="341">
        <v>0</v>
      </c>
      <c r="Q649" s="341">
        <v>0</v>
      </c>
      <c r="R649" s="341">
        <v>0</v>
      </c>
      <c r="S649" s="341">
        <v>0</v>
      </c>
      <c r="T649" s="341">
        <v>0</v>
      </c>
      <c r="U649" s="341">
        <v>0</v>
      </c>
      <c r="V649" s="341">
        <v>0</v>
      </c>
      <c r="W649" s="341">
        <v>0</v>
      </c>
      <c r="X649" s="329" t="s">
        <v>110</v>
      </c>
      <c r="Y649" s="346" t="str">
        <f>DB!$D$169</f>
        <v>Mouse, Optical, USB 2.0</v>
      </c>
      <c r="Z649" s="329" t="s">
        <v>2946</v>
      </c>
      <c r="AA649" s="329"/>
      <c r="AB649" s="345"/>
      <c r="AC649" s="339"/>
    </row>
    <row r="650" spans="1:29" hidden="1">
      <c r="A650" s="329"/>
      <c r="B650" s="381" t="s">
        <v>672</v>
      </c>
      <c r="C650" s="377">
        <v>5</v>
      </c>
      <c r="D650" s="377" t="s">
        <v>466</v>
      </c>
      <c r="E650" s="376">
        <v>10000</v>
      </c>
      <c r="F650" s="376">
        <v>30000</v>
      </c>
      <c r="G650" s="377" t="s">
        <v>342</v>
      </c>
      <c r="H650" s="341">
        <v>5</v>
      </c>
      <c r="I650" s="341">
        <v>5</v>
      </c>
      <c r="J650" s="341">
        <v>0</v>
      </c>
      <c r="K650" s="341">
        <v>0</v>
      </c>
      <c r="L650" s="341">
        <v>0</v>
      </c>
      <c r="M650" s="341">
        <v>0</v>
      </c>
      <c r="N650" s="341">
        <v>0</v>
      </c>
      <c r="O650" s="341">
        <v>0</v>
      </c>
      <c r="P650" s="341">
        <v>0</v>
      </c>
      <c r="Q650" s="341">
        <v>0</v>
      </c>
      <c r="R650" s="341">
        <v>0</v>
      </c>
      <c r="S650" s="341">
        <v>0</v>
      </c>
      <c r="T650" s="341">
        <v>0</v>
      </c>
      <c r="U650" s="341">
        <v>0</v>
      </c>
      <c r="V650" s="341">
        <v>0</v>
      </c>
      <c r="W650" s="341">
        <v>0</v>
      </c>
      <c r="X650" s="329" t="s">
        <v>110</v>
      </c>
      <c r="Y650" s="330"/>
      <c r="Z650" s="329" t="s">
        <v>2952</v>
      </c>
      <c r="AA650" s="329"/>
      <c r="AB650" s="345"/>
      <c r="AC650" s="339"/>
    </row>
    <row r="651" spans="1:29" hidden="1">
      <c r="A651" s="329"/>
      <c r="B651" s="334" t="s">
        <v>673</v>
      </c>
      <c r="C651" s="377">
        <v>8</v>
      </c>
      <c r="D651" s="394" t="s">
        <v>466</v>
      </c>
      <c r="E651" s="377">
        <v>12500</v>
      </c>
      <c r="F651" s="376">
        <v>100000</v>
      </c>
      <c r="G651" s="377" t="s">
        <v>342</v>
      </c>
      <c r="H651" s="341">
        <v>6</v>
      </c>
      <c r="I651" s="341">
        <v>6</v>
      </c>
      <c r="J651" s="341">
        <v>0</v>
      </c>
      <c r="K651" s="341">
        <v>0</v>
      </c>
      <c r="L651" s="341">
        <v>0</v>
      </c>
      <c r="M651" s="341">
        <v>0</v>
      </c>
      <c r="N651" s="341">
        <v>0</v>
      </c>
      <c r="O651" s="341">
        <v>0</v>
      </c>
      <c r="P651" s="341">
        <v>2</v>
      </c>
      <c r="Q651" s="341">
        <v>2</v>
      </c>
      <c r="R651" s="341">
        <v>0</v>
      </c>
      <c r="S651" s="341">
        <v>0</v>
      </c>
      <c r="T651" s="341">
        <v>0</v>
      </c>
      <c r="U651" s="341">
        <v>0</v>
      </c>
      <c r="V651" s="341">
        <v>0</v>
      </c>
      <c r="W651" s="341">
        <v>0</v>
      </c>
      <c r="X651" s="329" t="s">
        <v>110</v>
      </c>
      <c r="Y651" s="330" t="str">
        <f>DB!D89</f>
        <v>Thermal POS Receipt Printer</v>
      </c>
      <c r="Z651" s="329" t="s">
        <v>8</v>
      </c>
      <c r="AA651" s="329"/>
      <c r="AB651" s="345"/>
      <c r="AC651" s="339"/>
    </row>
    <row r="652" spans="1:29" hidden="1">
      <c r="A652" s="329"/>
      <c r="B652" s="381" t="s">
        <v>674</v>
      </c>
      <c r="C652" s="377">
        <v>20</v>
      </c>
      <c r="D652" s="377" t="s">
        <v>92</v>
      </c>
      <c r="E652" s="377">
        <v>2000</v>
      </c>
      <c r="F652" s="377">
        <v>40000</v>
      </c>
      <c r="G652" s="377" t="s">
        <v>342</v>
      </c>
      <c r="H652" s="341">
        <v>5</v>
      </c>
      <c r="I652" s="341">
        <v>5</v>
      </c>
      <c r="J652" s="341">
        <v>0</v>
      </c>
      <c r="K652" s="341">
        <v>0</v>
      </c>
      <c r="L652" s="341">
        <v>5</v>
      </c>
      <c r="M652" s="341">
        <v>5</v>
      </c>
      <c r="N652" s="341">
        <v>0</v>
      </c>
      <c r="O652" s="341">
        <v>0</v>
      </c>
      <c r="P652" s="341">
        <v>5</v>
      </c>
      <c r="Q652" s="341">
        <v>5</v>
      </c>
      <c r="R652" s="341">
        <v>0</v>
      </c>
      <c r="S652" s="341">
        <v>0</v>
      </c>
      <c r="T652" s="341">
        <v>5</v>
      </c>
      <c r="U652" s="341">
        <v>5</v>
      </c>
      <c r="V652" s="341">
        <v>0</v>
      </c>
      <c r="W652" s="341">
        <v>0</v>
      </c>
      <c r="X652" s="329" t="s">
        <v>110</v>
      </c>
      <c r="Y652" s="330"/>
      <c r="Z652" s="329" t="s">
        <v>2952</v>
      </c>
      <c r="AA652" s="329"/>
      <c r="AB652" s="345"/>
      <c r="AC652" s="339"/>
    </row>
    <row r="653" spans="1:29" ht="31.5" hidden="1">
      <c r="A653" s="329"/>
      <c r="B653" s="334" t="s">
        <v>676</v>
      </c>
      <c r="C653" s="377">
        <v>5</v>
      </c>
      <c r="D653" s="394" t="s">
        <v>92</v>
      </c>
      <c r="E653" s="376">
        <v>3000</v>
      </c>
      <c r="F653" s="376">
        <v>15000</v>
      </c>
      <c r="G653" s="377" t="s">
        <v>342</v>
      </c>
      <c r="H653" s="341">
        <v>5</v>
      </c>
      <c r="I653" s="341">
        <v>5</v>
      </c>
      <c r="J653" s="341">
        <v>0</v>
      </c>
      <c r="K653" s="341">
        <v>0</v>
      </c>
      <c r="L653" s="341">
        <v>0</v>
      </c>
      <c r="M653" s="341">
        <v>0</v>
      </c>
      <c r="N653" s="341">
        <v>0</v>
      </c>
      <c r="O653" s="341">
        <v>0</v>
      </c>
      <c r="P653" s="341">
        <v>0</v>
      </c>
      <c r="Q653" s="341">
        <v>0</v>
      </c>
      <c r="R653" s="341">
        <v>0</v>
      </c>
      <c r="S653" s="341">
        <v>0</v>
      </c>
      <c r="T653" s="341">
        <v>0</v>
      </c>
      <c r="U653" s="341">
        <v>0</v>
      </c>
      <c r="V653" s="341">
        <v>0</v>
      </c>
      <c r="W653" s="341">
        <v>0</v>
      </c>
      <c r="X653" s="329" t="s">
        <v>110</v>
      </c>
      <c r="Y653" s="330" t="str">
        <f>DB!$D$73</f>
        <v>Webcam Professional Full HD</v>
      </c>
      <c r="Z653" s="329" t="s">
        <v>8</v>
      </c>
      <c r="AA653" s="329"/>
      <c r="AB653" s="345"/>
      <c r="AC653" s="339"/>
    </row>
    <row r="654" spans="1:29">
      <c r="A654" s="329"/>
      <c r="B654" s="338" t="s">
        <v>467</v>
      </c>
      <c r="C654" s="343">
        <v>6</v>
      </c>
      <c r="D654" s="343" t="s">
        <v>118</v>
      </c>
      <c r="E654" s="342">
        <v>40000</v>
      </c>
      <c r="F654" s="342">
        <v>240000</v>
      </c>
      <c r="G654" s="377"/>
      <c r="H654" s="343">
        <v>3</v>
      </c>
      <c r="I654" s="343" t="s">
        <v>533</v>
      </c>
      <c r="J654" s="343"/>
      <c r="K654" s="343"/>
      <c r="L654" s="343">
        <v>3</v>
      </c>
      <c r="M654" s="343" t="s">
        <v>533</v>
      </c>
      <c r="N654" s="343"/>
      <c r="O654" s="343"/>
      <c r="P654" s="343"/>
      <c r="Q654" s="343"/>
      <c r="R654" s="343"/>
      <c r="S654" s="343"/>
      <c r="T654" s="343"/>
      <c r="U654" s="343"/>
      <c r="V654" s="343"/>
      <c r="W654" s="343"/>
      <c r="X654" s="329" t="s">
        <v>174</v>
      </c>
      <c r="Y654" s="330" t="str">
        <f>DB!$D$194</f>
        <v>Branded Desktop Computer Set</v>
      </c>
      <c r="Z654" s="329" t="s">
        <v>2964</v>
      </c>
      <c r="AA654" s="329"/>
      <c r="AB654" s="345"/>
      <c r="AC654" s="339"/>
    </row>
    <row r="655" spans="1:29" hidden="1">
      <c r="A655" s="329"/>
      <c r="B655" s="334" t="s">
        <v>234</v>
      </c>
      <c r="C655" s="341">
        <v>6</v>
      </c>
      <c r="D655" s="341" t="s">
        <v>103</v>
      </c>
      <c r="E655" s="341">
        <v>380</v>
      </c>
      <c r="F655" s="347">
        <v>2280</v>
      </c>
      <c r="G655" s="377"/>
      <c r="H655" s="341">
        <v>3</v>
      </c>
      <c r="I655" s="341" t="s">
        <v>533</v>
      </c>
      <c r="J655" s="341"/>
      <c r="K655" s="341"/>
      <c r="L655" s="341"/>
      <c r="M655" s="341"/>
      <c r="N655" s="341"/>
      <c r="O655" s="341"/>
      <c r="P655" s="341">
        <v>3</v>
      </c>
      <c r="Q655" s="341" t="s">
        <v>533</v>
      </c>
      <c r="R655" s="341"/>
      <c r="S655" s="341"/>
      <c r="T655" s="341"/>
      <c r="U655" s="341"/>
      <c r="V655" s="341"/>
      <c r="W655" s="341"/>
      <c r="X655" s="329" t="s">
        <v>174</v>
      </c>
      <c r="Y655" s="336" t="str">
        <f>DB!$D$168</f>
        <v>Keyboard, Full Size, USB 2.0</v>
      </c>
      <c r="Z655" s="329" t="s">
        <v>2946</v>
      </c>
      <c r="AA655" s="329"/>
      <c r="AB655" s="345"/>
      <c r="AC655" s="339"/>
    </row>
    <row r="656" spans="1:29" hidden="1">
      <c r="A656" s="329"/>
      <c r="B656" s="334" t="s">
        <v>239</v>
      </c>
      <c r="C656" s="341">
        <v>6</v>
      </c>
      <c r="D656" s="341" t="s">
        <v>103</v>
      </c>
      <c r="E656" s="341">
        <v>380</v>
      </c>
      <c r="F656" s="347">
        <v>2280</v>
      </c>
      <c r="G656" s="377"/>
      <c r="H656" s="341">
        <v>3</v>
      </c>
      <c r="I656" s="341" t="s">
        <v>533</v>
      </c>
      <c r="J656" s="341"/>
      <c r="K656" s="341"/>
      <c r="L656" s="341"/>
      <c r="M656" s="341"/>
      <c r="N656" s="341"/>
      <c r="O656" s="341"/>
      <c r="P656" s="341">
        <v>3</v>
      </c>
      <c r="Q656" s="341" t="s">
        <v>533</v>
      </c>
      <c r="R656" s="341"/>
      <c r="S656" s="341"/>
      <c r="T656" s="341"/>
      <c r="U656" s="341"/>
      <c r="V656" s="341"/>
      <c r="W656" s="341"/>
      <c r="X656" s="329" t="s">
        <v>174</v>
      </c>
      <c r="Y656" s="346" t="str">
        <f>DB!$D$169</f>
        <v>Mouse, Optical, USB 2.0</v>
      </c>
      <c r="Z656" s="329" t="s">
        <v>2946</v>
      </c>
      <c r="AA656" s="329"/>
      <c r="AB656" s="345"/>
      <c r="AC656" s="339"/>
    </row>
    <row r="657" spans="1:29" hidden="1">
      <c r="A657" s="329"/>
      <c r="B657" s="334" t="s">
        <v>482</v>
      </c>
      <c r="C657" s="341">
        <v>6</v>
      </c>
      <c r="D657" s="341" t="s">
        <v>103</v>
      </c>
      <c r="E657" s="347">
        <v>8500</v>
      </c>
      <c r="F657" s="347">
        <v>51000</v>
      </c>
      <c r="G657" s="377"/>
      <c r="H657" s="341">
        <v>2</v>
      </c>
      <c r="I657" s="341" t="s">
        <v>533</v>
      </c>
      <c r="J657" s="341"/>
      <c r="K657" s="341"/>
      <c r="L657" s="341">
        <v>2</v>
      </c>
      <c r="M657" s="341" t="s">
        <v>533</v>
      </c>
      <c r="N657" s="341"/>
      <c r="O657" s="341"/>
      <c r="P657" s="341">
        <v>2</v>
      </c>
      <c r="Q657" s="341" t="s">
        <v>533</v>
      </c>
      <c r="R657" s="341"/>
      <c r="S657" s="341"/>
      <c r="T657" s="341"/>
      <c r="U657" s="341"/>
      <c r="V657" s="341"/>
      <c r="W657" s="341"/>
      <c r="X657" s="329" t="s">
        <v>174</v>
      </c>
      <c r="Y657" s="330"/>
      <c r="Z657" s="329" t="s">
        <v>2962</v>
      </c>
      <c r="AA657" s="329"/>
      <c r="AB657" s="345"/>
      <c r="AC657" s="339"/>
    </row>
    <row r="658" spans="1:29" hidden="1">
      <c r="A658" s="329"/>
      <c r="B658" s="334" t="s">
        <v>614</v>
      </c>
      <c r="C658" s="341">
        <v>4</v>
      </c>
      <c r="D658" s="341" t="s">
        <v>103</v>
      </c>
      <c r="E658" s="347">
        <v>6500</v>
      </c>
      <c r="F658" s="347">
        <v>26000</v>
      </c>
      <c r="G658" s="377"/>
      <c r="H658" s="341">
        <v>2</v>
      </c>
      <c r="I658" s="341" t="s">
        <v>533</v>
      </c>
      <c r="J658" s="341"/>
      <c r="K658" s="341"/>
      <c r="L658" s="341">
        <v>1</v>
      </c>
      <c r="M658" s="341" t="s">
        <v>533</v>
      </c>
      <c r="N658" s="341"/>
      <c r="O658" s="341"/>
      <c r="P658" s="341">
        <v>1</v>
      </c>
      <c r="Q658" s="341" t="s">
        <v>533</v>
      </c>
      <c r="R658" s="341"/>
      <c r="S658" s="341"/>
      <c r="T658" s="341"/>
      <c r="U658" s="341"/>
      <c r="V658" s="341"/>
      <c r="W658" s="341"/>
      <c r="X658" s="329" t="s">
        <v>174</v>
      </c>
      <c r="Y658" s="330"/>
      <c r="Z658" s="329" t="s">
        <v>2962</v>
      </c>
      <c r="AA658" s="329"/>
      <c r="AB658" s="345"/>
      <c r="AC658" s="339"/>
    </row>
    <row r="659" spans="1:29" ht="31.5" hidden="1">
      <c r="A659" s="329"/>
      <c r="B659" s="334" t="s">
        <v>615</v>
      </c>
      <c r="C659" s="341">
        <v>1</v>
      </c>
      <c r="D659" s="341" t="s">
        <v>103</v>
      </c>
      <c r="E659" s="347">
        <v>20000</v>
      </c>
      <c r="F659" s="347">
        <v>20000</v>
      </c>
      <c r="G659" s="377"/>
      <c r="H659" s="341">
        <v>1</v>
      </c>
      <c r="I659" s="341" t="s">
        <v>533</v>
      </c>
      <c r="J659" s="341"/>
      <c r="K659" s="341"/>
      <c r="L659" s="341"/>
      <c r="M659" s="341"/>
      <c r="N659" s="341"/>
      <c r="O659" s="341"/>
      <c r="P659" s="341"/>
      <c r="Q659" s="341"/>
      <c r="R659" s="341"/>
      <c r="S659" s="341"/>
      <c r="T659" s="341"/>
      <c r="U659" s="341"/>
      <c r="V659" s="341"/>
      <c r="W659" s="341"/>
      <c r="X659" s="329" t="s">
        <v>174</v>
      </c>
      <c r="Y659" s="330" t="str">
        <f>DB!D97</f>
        <v>Kyocera ECOSYS P6230cdn Yellow Toner Cartridge</v>
      </c>
      <c r="Z659" s="329" t="s">
        <v>8</v>
      </c>
      <c r="AA659" s="329"/>
      <c r="AB659" s="345"/>
      <c r="AC659" s="339"/>
    </row>
    <row r="660" spans="1:29" hidden="1">
      <c r="A660" s="329"/>
      <c r="B660" s="334" t="s">
        <v>568</v>
      </c>
      <c r="C660" s="341">
        <v>4</v>
      </c>
      <c r="D660" s="341" t="s">
        <v>103</v>
      </c>
      <c r="E660" s="347">
        <v>3500</v>
      </c>
      <c r="F660" s="347">
        <v>14000</v>
      </c>
      <c r="G660" s="377"/>
      <c r="H660" s="341">
        <v>2</v>
      </c>
      <c r="I660" s="341" t="s">
        <v>533</v>
      </c>
      <c r="J660" s="341"/>
      <c r="K660" s="341"/>
      <c r="L660" s="341">
        <v>1</v>
      </c>
      <c r="M660" s="341" t="s">
        <v>533</v>
      </c>
      <c r="N660" s="341"/>
      <c r="O660" s="341"/>
      <c r="P660" s="341">
        <v>1</v>
      </c>
      <c r="Q660" s="341" t="s">
        <v>533</v>
      </c>
      <c r="R660" s="341"/>
      <c r="S660" s="341"/>
      <c r="T660" s="341"/>
      <c r="U660" s="341"/>
      <c r="V660" s="341"/>
      <c r="W660" s="341"/>
      <c r="X660" s="329" t="s">
        <v>174</v>
      </c>
      <c r="Y660" s="369" t="str">
        <f>DB!$D$6</f>
        <v>UPS 650VA, AVR, 230V</v>
      </c>
      <c r="Z660" s="351" t="s">
        <v>8</v>
      </c>
      <c r="AA660" s="329"/>
      <c r="AB660" s="345"/>
      <c r="AC660" s="339"/>
    </row>
    <row r="661" spans="1:29" ht="31.5" hidden="1">
      <c r="A661" s="329"/>
      <c r="B661" s="334" t="s">
        <v>616</v>
      </c>
      <c r="C661" s="341">
        <v>2</v>
      </c>
      <c r="D661" s="341" t="s">
        <v>103</v>
      </c>
      <c r="E661" s="347">
        <v>70000</v>
      </c>
      <c r="F661" s="347">
        <v>140000</v>
      </c>
      <c r="G661" s="377"/>
      <c r="H661" s="341">
        <v>1</v>
      </c>
      <c r="I661" s="341" t="s">
        <v>533</v>
      </c>
      <c r="J661" s="341"/>
      <c r="K661" s="341"/>
      <c r="L661" s="341">
        <v>1</v>
      </c>
      <c r="M661" s="341" t="s">
        <v>533</v>
      </c>
      <c r="N661" s="341"/>
      <c r="O661" s="341"/>
      <c r="P661" s="341"/>
      <c r="Q661" s="341"/>
      <c r="R661" s="341"/>
      <c r="S661" s="341"/>
      <c r="T661" s="341"/>
      <c r="U661" s="341"/>
      <c r="V661" s="341"/>
      <c r="W661" s="341"/>
      <c r="X661" s="329" t="s">
        <v>174</v>
      </c>
      <c r="Y661" s="330" t="str">
        <f>DB!D86</f>
        <v>Desktop Type Document Scanner</v>
      </c>
      <c r="Z661" s="351" t="s">
        <v>8</v>
      </c>
      <c r="AA661" s="329"/>
      <c r="AB661" s="345"/>
      <c r="AC661" s="339"/>
    </row>
    <row r="662" spans="1:29" ht="31.5" hidden="1">
      <c r="A662" s="329"/>
      <c r="B662" s="330" t="s">
        <v>540</v>
      </c>
      <c r="C662" s="446">
        <v>1</v>
      </c>
      <c r="D662" s="397" t="s">
        <v>103</v>
      </c>
      <c r="E662" s="437">
        <v>2000</v>
      </c>
      <c r="F662" s="447">
        <v>2000</v>
      </c>
      <c r="G662" s="373" t="s">
        <v>342</v>
      </c>
      <c r="H662" s="437">
        <v>1</v>
      </c>
      <c r="I662" s="437">
        <v>1</v>
      </c>
      <c r="J662" s="437"/>
      <c r="K662" s="437"/>
      <c r="L662" s="437">
        <v>0</v>
      </c>
      <c r="M662" s="397"/>
      <c r="N662" s="437"/>
      <c r="O662" s="437"/>
      <c r="P662" s="437">
        <v>0</v>
      </c>
      <c r="Q662" s="397"/>
      <c r="R662" s="437"/>
      <c r="S662" s="437"/>
      <c r="T662" s="437">
        <v>0</v>
      </c>
      <c r="U662" s="397"/>
      <c r="V662" s="437"/>
      <c r="W662" s="437"/>
      <c r="X662" s="329" t="s">
        <v>132</v>
      </c>
      <c r="Y662" s="330" t="str">
        <f>DB!D42</f>
        <v>Network Cable Tester RJ45 RJ11 Network LAN Ethernet</v>
      </c>
      <c r="Z662" s="329" t="s">
        <v>8</v>
      </c>
      <c r="AA662" s="329"/>
      <c r="AB662" s="345"/>
      <c r="AC662" s="339"/>
    </row>
    <row r="663" spans="1:29" hidden="1">
      <c r="A663" s="329"/>
      <c r="B663" s="330" t="s">
        <v>182</v>
      </c>
      <c r="C663" s="412">
        <v>1</v>
      </c>
      <c r="D663" s="397" t="s">
        <v>118</v>
      </c>
      <c r="E663" s="448">
        <v>70000</v>
      </c>
      <c r="F663" s="449">
        <v>70000</v>
      </c>
      <c r="G663" s="354" t="s">
        <v>342</v>
      </c>
      <c r="H663" s="437">
        <v>1</v>
      </c>
      <c r="I663" s="437">
        <v>1</v>
      </c>
      <c r="J663" s="450"/>
      <c r="K663" s="412"/>
      <c r="L663" s="437">
        <v>0</v>
      </c>
      <c r="M663" s="412"/>
      <c r="N663" s="397"/>
      <c r="O663" s="397"/>
      <c r="P663" s="451">
        <v>0</v>
      </c>
      <c r="Q663" s="450"/>
      <c r="R663" s="450"/>
      <c r="S663" s="412"/>
      <c r="T663" s="437">
        <v>0</v>
      </c>
      <c r="U663" s="397"/>
      <c r="V663" s="397"/>
      <c r="W663" s="412"/>
      <c r="X663" s="329" t="s">
        <v>132</v>
      </c>
      <c r="Y663" s="330"/>
      <c r="Z663" s="329" t="s">
        <v>688</v>
      </c>
      <c r="AA663" s="329"/>
      <c r="AB663" s="345"/>
      <c r="AC663" s="339"/>
    </row>
    <row r="664" spans="1:29">
      <c r="A664" s="329"/>
      <c r="B664" s="330" t="s">
        <v>542</v>
      </c>
      <c r="C664" s="446">
        <v>1</v>
      </c>
      <c r="D664" s="450" t="s">
        <v>466</v>
      </c>
      <c r="E664" s="446"/>
      <c r="F664" s="437" t="s">
        <v>488</v>
      </c>
      <c r="G664" s="446" t="s">
        <v>342</v>
      </c>
      <c r="H664" s="437">
        <v>1</v>
      </c>
      <c r="I664" s="397">
        <v>1</v>
      </c>
      <c r="J664" s="437"/>
      <c r="K664" s="437"/>
      <c r="L664" s="437">
        <v>0</v>
      </c>
      <c r="M664" s="397"/>
      <c r="N664" s="397"/>
      <c r="O664" s="397"/>
      <c r="P664" s="329">
        <v>0</v>
      </c>
      <c r="Q664" s="412"/>
      <c r="R664" s="397"/>
      <c r="S664" s="397"/>
      <c r="T664" s="329">
        <v>0</v>
      </c>
      <c r="U664" s="412"/>
      <c r="V664" s="397"/>
      <c r="W664" s="397"/>
      <c r="X664" s="329" t="s">
        <v>132</v>
      </c>
      <c r="Y664" s="330" t="str">
        <f>DB!$D$194</f>
        <v>Branded Desktop Computer Set</v>
      </c>
      <c r="Z664" s="329" t="s">
        <v>2964</v>
      </c>
      <c r="AA664" s="329"/>
      <c r="AB664" s="345"/>
      <c r="AC664" s="339"/>
    </row>
    <row r="665" spans="1:29" hidden="1">
      <c r="A665" s="329"/>
      <c r="B665" s="330" t="s">
        <v>390</v>
      </c>
      <c r="C665" s="446">
        <v>1</v>
      </c>
      <c r="D665" s="397" t="s">
        <v>466</v>
      </c>
      <c r="E665" s="452">
        <v>10000</v>
      </c>
      <c r="F665" s="452">
        <v>10000</v>
      </c>
      <c r="G665" s="437" t="s">
        <v>342</v>
      </c>
      <c r="H665" s="451">
        <v>1</v>
      </c>
      <c r="I665" s="412">
        <v>1</v>
      </c>
      <c r="J665" s="437"/>
      <c r="K665" s="437"/>
      <c r="L665" s="437">
        <v>0</v>
      </c>
      <c r="M665" s="437"/>
      <c r="N665" s="437"/>
      <c r="O665" s="451"/>
      <c r="P665" s="446">
        <v>0</v>
      </c>
      <c r="Q665" s="450"/>
      <c r="R665" s="446"/>
      <c r="S665" s="437"/>
      <c r="T665" s="453">
        <v>0</v>
      </c>
      <c r="U665" s="412"/>
      <c r="V665" s="397"/>
      <c r="W665" s="397"/>
      <c r="X665" s="329" t="s">
        <v>132</v>
      </c>
      <c r="Y665" s="330"/>
      <c r="Z665" s="329" t="s">
        <v>2962</v>
      </c>
      <c r="AA665" s="329"/>
      <c r="AB665" s="345"/>
      <c r="AC665" s="339"/>
    </row>
    <row r="666" spans="1:29" hidden="1">
      <c r="A666" s="329"/>
      <c r="B666" s="338" t="s">
        <v>482</v>
      </c>
      <c r="C666" s="343">
        <v>2</v>
      </c>
      <c r="D666" s="343" t="s">
        <v>103</v>
      </c>
      <c r="E666" s="342">
        <v>8500</v>
      </c>
      <c r="F666" s="342">
        <v>17000</v>
      </c>
      <c r="G666" s="377"/>
      <c r="H666" s="343">
        <v>2</v>
      </c>
      <c r="I666" s="343">
        <v>2</v>
      </c>
      <c r="J666" s="343"/>
      <c r="K666" s="343"/>
      <c r="L666" s="343"/>
      <c r="M666" s="343"/>
      <c r="N666" s="343"/>
      <c r="O666" s="343"/>
      <c r="P666" s="343"/>
      <c r="Q666" s="343"/>
      <c r="R666" s="343"/>
      <c r="S666" s="343"/>
      <c r="T666" s="343"/>
      <c r="U666" s="343"/>
      <c r="V666" s="343"/>
      <c r="W666" s="343"/>
      <c r="X666" s="329" t="s">
        <v>171</v>
      </c>
      <c r="Y666" s="330"/>
      <c r="Z666" s="329" t="s">
        <v>2962</v>
      </c>
      <c r="AA666" s="329"/>
      <c r="AC666" s="8"/>
    </row>
    <row r="667" spans="1:29" hidden="1">
      <c r="A667" s="329"/>
      <c r="B667" s="334" t="s">
        <v>552</v>
      </c>
      <c r="C667" s="341">
        <v>12</v>
      </c>
      <c r="D667" s="341" t="s">
        <v>103</v>
      </c>
      <c r="E667" s="347">
        <v>7135</v>
      </c>
      <c r="F667" s="347">
        <v>85620</v>
      </c>
      <c r="G667" s="377"/>
      <c r="H667" s="341">
        <v>3</v>
      </c>
      <c r="I667" s="341">
        <v>3</v>
      </c>
      <c r="J667" s="341"/>
      <c r="K667" s="341"/>
      <c r="L667" s="341">
        <v>3</v>
      </c>
      <c r="M667" s="341">
        <v>3</v>
      </c>
      <c r="N667" s="341"/>
      <c r="O667" s="341"/>
      <c r="P667" s="341">
        <v>3</v>
      </c>
      <c r="Q667" s="341">
        <v>3</v>
      </c>
      <c r="R667" s="341"/>
      <c r="S667" s="341"/>
      <c r="T667" s="341">
        <v>3</v>
      </c>
      <c r="U667" s="341">
        <v>3</v>
      </c>
      <c r="V667" s="341"/>
      <c r="W667" s="341"/>
      <c r="X667" s="329" t="s">
        <v>171</v>
      </c>
      <c r="Y667" s="330"/>
      <c r="Z667" s="329" t="s">
        <v>2952</v>
      </c>
      <c r="AA667" s="329"/>
      <c r="AC667" s="8"/>
    </row>
    <row r="668" spans="1:29" hidden="1">
      <c r="A668" s="329"/>
      <c r="B668" s="334" t="s">
        <v>3120</v>
      </c>
      <c r="C668" s="341">
        <v>1</v>
      </c>
      <c r="D668" s="341" t="s">
        <v>118</v>
      </c>
      <c r="E668" s="347">
        <v>30000</v>
      </c>
      <c r="F668" s="347">
        <v>30000</v>
      </c>
      <c r="G668" s="377"/>
      <c r="H668" s="341">
        <v>1</v>
      </c>
      <c r="I668" s="341">
        <v>1</v>
      </c>
      <c r="J668" s="341"/>
      <c r="K668" s="341"/>
      <c r="L668" s="341"/>
      <c r="M668" s="341"/>
      <c r="N668" s="341"/>
      <c r="O668" s="341"/>
      <c r="P668" s="341"/>
      <c r="Q668" s="341"/>
      <c r="R668" s="341"/>
      <c r="S668" s="341"/>
      <c r="T668" s="341"/>
      <c r="U668" s="341"/>
      <c r="V668" s="341"/>
      <c r="W668" s="341"/>
      <c r="X668" s="329" t="s">
        <v>171</v>
      </c>
      <c r="Y668" s="330"/>
      <c r="Z668" s="329" t="s">
        <v>11</v>
      </c>
      <c r="AA668" s="329"/>
      <c r="AC668" s="8"/>
    </row>
    <row r="669" spans="1:29" hidden="1">
      <c r="A669" s="329"/>
      <c r="B669" s="334" t="s">
        <v>3121</v>
      </c>
      <c r="C669" s="341">
        <v>1</v>
      </c>
      <c r="D669" s="341" t="s">
        <v>118</v>
      </c>
      <c r="E669" s="347">
        <v>20000</v>
      </c>
      <c r="F669" s="347">
        <v>20000</v>
      </c>
      <c r="G669" s="377"/>
      <c r="H669" s="341">
        <v>1</v>
      </c>
      <c r="I669" s="341">
        <v>1</v>
      </c>
      <c r="J669" s="341"/>
      <c r="K669" s="341"/>
      <c r="L669" s="341"/>
      <c r="M669" s="341"/>
      <c r="N669" s="341"/>
      <c r="O669" s="341"/>
      <c r="P669" s="341"/>
      <c r="Q669" s="341"/>
      <c r="R669" s="341"/>
      <c r="S669" s="341"/>
      <c r="T669" s="341"/>
      <c r="U669" s="341"/>
      <c r="V669" s="341"/>
      <c r="W669" s="341"/>
      <c r="X669" s="329" t="s">
        <v>171</v>
      </c>
      <c r="Y669" s="330"/>
      <c r="Z669" s="329" t="s">
        <v>11</v>
      </c>
      <c r="AA669" s="329"/>
      <c r="AC669" s="8"/>
    </row>
    <row r="670" spans="1:29" hidden="1">
      <c r="A670" s="329"/>
      <c r="B670" s="334" t="s">
        <v>553</v>
      </c>
      <c r="C670" s="341">
        <v>1</v>
      </c>
      <c r="D670" s="341" t="s">
        <v>118</v>
      </c>
      <c r="E670" s="347">
        <v>15000</v>
      </c>
      <c r="F670" s="347">
        <v>15000</v>
      </c>
      <c r="G670" s="377"/>
      <c r="H670" s="341">
        <v>1</v>
      </c>
      <c r="I670" s="341">
        <v>1</v>
      </c>
      <c r="J670" s="341"/>
      <c r="K670" s="341"/>
      <c r="L670" s="341"/>
      <c r="M670" s="341"/>
      <c r="N670" s="341"/>
      <c r="O670" s="341"/>
      <c r="P670" s="341"/>
      <c r="Q670" s="341"/>
      <c r="R670" s="341"/>
      <c r="S670" s="341"/>
      <c r="T670" s="341"/>
      <c r="U670" s="341"/>
      <c r="V670" s="341"/>
      <c r="W670" s="341"/>
      <c r="X670" s="329" t="s">
        <v>171</v>
      </c>
      <c r="Y670" s="330" t="str">
        <f>DB!$D$73</f>
        <v>Webcam Professional Full HD</v>
      </c>
      <c r="Z670" s="329" t="s">
        <v>8</v>
      </c>
      <c r="AA670" s="329"/>
      <c r="AC670" s="8"/>
    </row>
    <row r="671" spans="1:29" hidden="1">
      <c r="A671" s="329"/>
      <c r="B671" s="334" t="s">
        <v>554</v>
      </c>
      <c r="C671" s="341">
        <v>1</v>
      </c>
      <c r="D671" s="341" t="s">
        <v>118</v>
      </c>
      <c r="E671" s="347">
        <v>50000</v>
      </c>
      <c r="F671" s="347">
        <v>50000</v>
      </c>
      <c r="G671" s="377"/>
      <c r="H671" s="341">
        <v>1</v>
      </c>
      <c r="I671" s="341">
        <v>1</v>
      </c>
      <c r="J671" s="341"/>
      <c r="K671" s="341"/>
      <c r="L671" s="341"/>
      <c r="M671" s="341"/>
      <c r="N671" s="341"/>
      <c r="O671" s="341"/>
      <c r="P671" s="341"/>
      <c r="Q671" s="341"/>
      <c r="R671" s="341"/>
      <c r="S671" s="341"/>
      <c r="T671" s="341"/>
      <c r="U671" s="341"/>
      <c r="V671" s="341"/>
      <c r="W671" s="341"/>
      <c r="X671" s="329" t="s">
        <v>171</v>
      </c>
      <c r="Y671" s="330"/>
      <c r="Z671" s="329" t="s">
        <v>688</v>
      </c>
      <c r="AA671" s="329"/>
      <c r="AC671" s="8"/>
    </row>
    <row r="672" spans="1:29">
      <c r="A672" s="329"/>
      <c r="B672" s="334" t="s">
        <v>467</v>
      </c>
      <c r="C672" s="341">
        <v>2</v>
      </c>
      <c r="D672" s="341" t="s">
        <v>118</v>
      </c>
      <c r="E672" s="347">
        <v>40000</v>
      </c>
      <c r="F672" s="347">
        <v>80000</v>
      </c>
      <c r="G672" s="377"/>
      <c r="H672" s="341">
        <v>2</v>
      </c>
      <c r="I672" s="341">
        <v>2</v>
      </c>
      <c r="J672" s="341"/>
      <c r="K672" s="341"/>
      <c r="L672" s="341"/>
      <c r="M672" s="341"/>
      <c r="N672" s="341"/>
      <c r="O672" s="341"/>
      <c r="P672" s="341"/>
      <c r="Q672" s="341"/>
      <c r="R672" s="341"/>
      <c r="S672" s="341"/>
      <c r="T672" s="341"/>
      <c r="U672" s="341"/>
      <c r="V672" s="341"/>
      <c r="W672" s="341"/>
      <c r="X672" s="329" t="s">
        <v>171</v>
      </c>
      <c r="Y672" s="330" t="str">
        <f>DB!$D$194</f>
        <v>Branded Desktop Computer Set</v>
      </c>
      <c r="Z672" s="329" t="s">
        <v>2964</v>
      </c>
      <c r="AA672" s="329"/>
      <c r="AC672" s="8"/>
    </row>
    <row r="673" spans="1:29" ht="31.5" hidden="1">
      <c r="A673" s="329"/>
      <c r="B673" s="334" t="s">
        <v>557</v>
      </c>
      <c r="C673" s="341">
        <v>10</v>
      </c>
      <c r="D673" s="341" t="s">
        <v>103</v>
      </c>
      <c r="E673" s="341">
        <v>320</v>
      </c>
      <c r="F673" s="347">
        <v>3200</v>
      </c>
      <c r="G673" s="377"/>
      <c r="H673" s="341">
        <v>5</v>
      </c>
      <c r="I673" s="341">
        <v>5</v>
      </c>
      <c r="J673" s="341"/>
      <c r="K673" s="341"/>
      <c r="L673" s="341"/>
      <c r="M673" s="341"/>
      <c r="N673" s="341"/>
      <c r="O673" s="341"/>
      <c r="P673" s="341">
        <v>5</v>
      </c>
      <c r="Q673" s="341">
        <v>5</v>
      </c>
      <c r="R673" s="341"/>
      <c r="S673" s="341"/>
      <c r="T673" s="341"/>
      <c r="U673" s="341"/>
      <c r="V673" s="341"/>
      <c r="W673" s="341"/>
      <c r="X673" s="329" t="s">
        <v>171</v>
      </c>
      <c r="Y673" s="330" t="str">
        <f>DB!$D$102</f>
        <v>Epson Genuine Ink T6641 Black</v>
      </c>
      <c r="Z673" s="329" t="s">
        <v>8</v>
      </c>
      <c r="AA673" s="329"/>
      <c r="AC673" s="8"/>
    </row>
    <row r="674" spans="1:29" hidden="1">
      <c r="A674" s="329"/>
      <c r="B674" s="334" t="s">
        <v>558</v>
      </c>
      <c r="C674" s="341">
        <v>3</v>
      </c>
      <c r="D674" s="341" t="s">
        <v>103</v>
      </c>
      <c r="E674" s="341">
        <v>300</v>
      </c>
      <c r="F674" s="341">
        <v>900</v>
      </c>
      <c r="G674" s="377"/>
      <c r="H674" s="341">
        <v>3</v>
      </c>
      <c r="I674" s="341">
        <v>3</v>
      </c>
      <c r="J674" s="341"/>
      <c r="K674" s="341"/>
      <c r="L674" s="341"/>
      <c r="M674" s="341"/>
      <c r="N674" s="341"/>
      <c r="O674" s="341"/>
      <c r="P674" s="341"/>
      <c r="Q674" s="341"/>
      <c r="R674" s="341"/>
      <c r="S674" s="341"/>
      <c r="T674" s="341"/>
      <c r="U674" s="341"/>
      <c r="V674" s="341"/>
      <c r="W674" s="341"/>
      <c r="X674" s="329" t="s">
        <v>171</v>
      </c>
      <c r="Y674" s="330" t="str">
        <f>DB!$D$103</f>
        <v>Epson Genuine Ink T6642 Cyan</v>
      </c>
      <c r="Z674" s="351" t="s">
        <v>8</v>
      </c>
      <c r="AA674" s="329"/>
      <c r="AC674" s="8"/>
    </row>
    <row r="675" spans="1:29" ht="31.5" hidden="1">
      <c r="A675" s="329"/>
      <c r="B675" s="334" t="s">
        <v>559</v>
      </c>
      <c r="C675" s="341">
        <v>3</v>
      </c>
      <c r="D675" s="341" t="s">
        <v>103</v>
      </c>
      <c r="E675" s="341">
        <v>300</v>
      </c>
      <c r="F675" s="341">
        <v>900</v>
      </c>
      <c r="G675" s="377"/>
      <c r="H675" s="341">
        <v>3</v>
      </c>
      <c r="I675" s="341">
        <v>3</v>
      </c>
      <c r="J675" s="341"/>
      <c r="K675" s="341"/>
      <c r="L675" s="341"/>
      <c r="M675" s="341"/>
      <c r="N675" s="341"/>
      <c r="O675" s="341"/>
      <c r="P675" s="341"/>
      <c r="Q675" s="341"/>
      <c r="R675" s="341"/>
      <c r="S675" s="341"/>
      <c r="T675" s="341"/>
      <c r="U675" s="341"/>
      <c r="V675" s="341"/>
      <c r="W675" s="341"/>
      <c r="X675" s="329" t="s">
        <v>171</v>
      </c>
      <c r="Y675" s="330" t="str">
        <f>DB!$D$104</f>
        <v>Epson Genuine Ink T6643 Magenta</v>
      </c>
      <c r="Z675" s="351" t="s">
        <v>8</v>
      </c>
      <c r="AA675" s="329"/>
      <c r="AC675" s="8"/>
    </row>
    <row r="676" spans="1:29" ht="31.5" hidden="1">
      <c r="A676" s="329"/>
      <c r="B676" s="334" t="s">
        <v>560</v>
      </c>
      <c r="C676" s="377">
        <v>3</v>
      </c>
      <c r="D676" s="377" t="s">
        <v>103</v>
      </c>
      <c r="E676" s="341">
        <v>300</v>
      </c>
      <c r="F676" s="341">
        <v>900</v>
      </c>
      <c r="G676" s="377"/>
      <c r="H676" s="341">
        <v>3</v>
      </c>
      <c r="I676" s="341">
        <v>3</v>
      </c>
      <c r="J676" s="341"/>
      <c r="K676" s="341"/>
      <c r="L676" s="341"/>
      <c r="M676" s="341"/>
      <c r="N676" s="341"/>
      <c r="O676" s="341"/>
      <c r="P676" s="341"/>
      <c r="Q676" s="341"/>
      <c r="R676" s="341"/>
      <c r="S676" s="341"/>
      <c r="T676" s="341"/>
      <c r="U676" s="341"/>
      <c r="V676" s="341"/>
      <c r="W676" s="341"/>
      <c r="X676" s="329" t="s">
        <v>171</v>
      </c>
      <c r="Y676" s="330" t="str">
        <f>DB!$D$105</f>
        <v>Epson Genuine Ink T6644 Yellow</v>
      </c>
      <c r="Z676" s="351" t="s">
        <v>8</v>
      </c>
      <c r="AA676" s="329"/>
      <c r="AC676" s="8"/>
    </row>
    <row r="677" spans="1:29" hidden="1">
      <c r="A677" s="329"/>
      <c r="B677" s="338" t="s">
        <v>234</v>
      </c>
      <c r="C677" s="340">
        <v>4</v>
      </c>
      <c r="D677" s="335" t="s">
        <v>103</v>
      </c>
      <c r="E677" s="341">
        <v>480</v>
      </c>
      <c r="F677" s="347">
        <v>1800</v>
      </c>
      <c r="G677" s="343" t="s">
        <v>342</v>
      </c>
      <c r="H677" s="454">
        <v>3</v>
      </c>
      <c r="I677" s="340">
        <v>3</v>
      </c>
      <c r="J677" s="344"/>
      <c r="K677" s="344"/>
      <c r="L677" s="455">
        <v>0</v>
      </c>
      <c r="M677" s="340"/>
      <c r="N677" s="344"/>
      <c r="O677" s="344"/>
      <c r="P677" s="455">
        <v>0</v>
      </c>
      <c r="Q677" s="340"/>
      <c r="R677" s="344"/>
      <c r="S677" s="344"/>
      <c r="T677" s="455">
        <v>0</v>
      </c>
      <c r="U677" s="343"/>
      <c r="V677" s="343"/>
      <c r="W677" s="343"/>
      <c r="X677" s="329" t="s">
        <v>3122</v>
      </c>
      <c r="Y677" s="336" t="str">
        <f>DB!$D$168</f>
        <v>Keyboard, Full Size, USB 2.0</v>
      </c>
      <c r="Z677" s="329" t="s">
        <v>2946</v>
      </c>
      <c r="AA677" s="329"/>
      <c r="AC677" s="8"/>
    </row>
    <row r="678" spans="1:29" hidden="1">
      <c r="A678" s="329"/>
      <c r="B678" s="334" t="s">
        <v>239</v>
      </c>
      <c r="C678" s="340">
        <v>4</v>
      </c>
      <c r="D678" s="335" t="s">
        <v>103</v>
      </c>
      <c r="E678" s="341">
        <v>380</v>
      </c>
      <c r="F678" s="347">
        <v>1520</v>
      </c>
      <c r="G678" s="341" t="s">
        <v>342</v>
      </c>
      <c r="H678" s="456">
        <v>3</v>
      </c>
      <c r="I678" s="340">
        <v>3</v>
      </c>
      <c r="J678" s="344"/>
      <c r="K678" s="344"/>
      <c r="L678" s="457">
        <v>0</v>
      </c>
      <c r="M678" s="340"/>
      <c r="N678" s="344"/>
      <c r="O678" s="344"/>
      <c r="P678" s="457">
        <v>0</v>
      </c>
      <c r="Q678" s="340"/>
      <c r="R678" s="344"/>
      <c r="S678" s="344"/>
      <c r="T678" s="457">
        <v>0</v>
      </c>
      <c r="U678" s="341"/>
      <c r="V678" s="341"/>
      <c r="W678" s="341"/>
      <c r="X678" s="329" t="s">
        <v>3122</v>
      </c>
      <c r="Y678" s="346" t="str">
        <f>DB!$D$169</f>
        <v>Mouse, Optical, USB 2.0</v>
      </c>
      <c r="Z678" s="329" t="s">
        <v>2946</v>
      </c>
      <c r="AA678" s="329"/>
      <c r="AC678" s="8"/>
    </row>
    <row r="679" spans="1:29" hidden="1">
      <c r="A679" s="329"/>
      <c r="B679" s="334" t="s">
        <v>568</v>
      </c>
      <c r="C679" s="340">
        <v>3</v>
      </c>
      <c r="D679" s="335" t="s">
        <v>103</v>
      </c>
      <c r="E679" s="347">
        <v>3500</v>
      </c>
      <c r="F679" s="347">
        <v>10500</v>
      </c>
      <c r="G679" s="341" t="s">
        <v>342</v>
      </c>
      <c r="H679" s="456">
        <v>4</v>
      </c>
      <c r="I679" s="340">
        <v>4</v>
      </c>
      <c r="J679" s="344"/>
      <c r="K679" s="344"/>
      <c r="L679" s="457">
        <v>0</v>
      </c>
      <c r="M679" s="340"/>
      <c r="N679" s="344"/>
      <c r="O679" s="344"/>
      <c r="P679" s="457">
        <v>0</v>
      </c>
      <c r="Q679" s="340"/>
      <c r="R679" s="344"/>
      <c r="S679" s="344"/>
      <c r="T679" s="457"/>
      <c r="U679" s="341"/>
      <c r="V679" s="341"/>
      <c r="W679" s="341"/>
      <c r="X679" s="329" t="s">
        <v>3122</v>
      </c>
      <c r="Y679" s="369" t="str">
        <f>DB!$D$6</f>
        <v>UPS 650VA, AVR, 230V</v>
      </c>
      <c r="Z679" s="351" t="s">
        <v>8</v>
      </c>
      <c r="AA679" s="329"/>
      <c r="AC679" s="8"/>
    </row>
    <row r="680" spans="1:29" ht="31.5" hidden="1">
      <c r="A680" s="329"/>
      <c r="B680" s="338" t="s">
        <v>454</v>
      </c>
      <c r="C680" s="343">
        <v>24</v>
      </c>
      <c r="D680" s="343" t="s">
        <v>103</v>
      </c>
      <c r="E680" s="343">
        <v>380</v>
      </c>
      <c r="F680" s="347">
        <v>9120</v>
      </c>
      <c r="G680" s="343" t="s">
        <v>342</v>
      </c>
      <c r="H680" s="343">
        <v>6</v>
      </c>
      <c r="I680" s="343">
        <v>6</v>
      </c>
      <c r="J680" s="371" t="s">
        <v>488</v>
      </c>
      <c r="K680" s="371" t="s">
        <v>488</v>
      </c>
      <c r="L680" s="343">
        <v>6</v>
      </c>
      <c r="M680" s="343">
        <v>6</v>
      </c>
      <c r="N680" s="371" t="s">
        <v>488</v>
      </c>
      <c r="O680" s="371" t="s">
        <v>488</v>
      </c>
      <c r="P680" s="343">
        <v>6</v>
      </c>
      <c r="Q680" s="343">
        <v>6</v>
      </c>
      <c r="R680" s="371" t="s">
        <v>488</v>
      </c>
      <c r="S680" s="371" t="s">
        <v>488</v>
      </c>
      <c r="T680" s="343">
        <v>6</v>
      </c>
      <c r="U680" s="343">
        <v>6</v>
      </c>
      <c r="V680" s="371" t="s">
        <v>488</v>
      </c>
      <c r="W680" s="371" t="s">
        <v>488</v>
      </c>
      <c r="X680" s="329" t="s">
        <v>208</v>
      </c>
      <c r="Y680" s="369" t="str">
        <f>DB!$D$177</f>
        <v>EPSON LQ310 Ribbon Cartridge (SO15634)</v>
      </c>
      <c r="Z680" s="351" t="s">
        <v>8</v>
      </c>
      <c r="AA680" s="329"/>
      <c r="AC680" s="8"/>
    </row>
    <row r="681" spans="1:29" hidden="1">
      <c r="A681" s="329"/>
      <c r="B681" s="334" t="s">
        <v>485</v>
      </c>
      <c r="C681" s="341">
        <v>12</v>
      </c>
      <c r="D681" s="341" t="s">
        <v>486</v>
      </c>
      <c r="E681" s="341">
        <v>405</v>
      </c>
      <c r="F681" s="422">
        <v>4860</v>
      </c>
      <c r="G681" s="341" t="s">
        <v>342</v>
      </c>
      <c r="H681" s="341">
        <v>3</v>
      </c>
      <c r="I681" s="341">
        <v>1</v>
      </c>
      <c r="J681" s="341">
        <v>1</v>
      </c>
      <c r="K681" s="341">
        <v>1</v>
      </c>
      <c r="L681" s="341">
        <v>3</v>
      </c>
      <c r="M681" s="341">
        <v>1</v>
      </c>
      <c r="N681" s="341">
        <v>1</v>
      </c>
      <c r="O681" s="341">
        <v>1</v>
      </c>
      <c r="P681" s="341">
        <v>3</v>
      </c>
      <c r="Q681" s="341">
        <v>1</v>
      </c>
      <c r="R681" s="341">
        <v>1</v>
      </c>
      <c r="S681" s="341">
        <v>1</v>
      </c>
      <c r="T681" s="341">
        <v>3</v>
      </c>
      <c r="U681" s="341">
        <v>1</v>
      </c>
      <c r="V681" s="341">
        <v>1</v>
      </c>
      <c r="W681" s="341">
        <v>1</v>
      </c>
      <c r="X681" s="329" t="s">
        <v>208</v>
      </c>
      <c r="Y681" s="361" t="s">
        <v>199</v>
      </c>
      <c r="Z681" s="329" t="s">
        <v>8</v>
      </c>
      <c r="AA681" s="329"/>
      <c r="AC681" s="8"/>
    </row>
    <row r="682" spans="1:29" hidden="1">
      <c r="A682" s="329"/>
      <c r="B682" s="334" t="s">
        <v>487</v>
      </c>
      <c r="C682" s="341">
        <v>8</v>
      </c>
      <c r="D682" s="341" t="s">
        <v>486</v>
      </c>
      <c r="E682" s="341">
        <v>405</v>
      </c>
      <c r="F682" s="422">
        <v>3240</v>
      </c>
      <c r="G682" s="341" t="s">
        <v>342</v>
      </c>
      <c r="H682" s="341">
        <v>2</v>
      </c>
      <c r="I682" s="341">
        <v>2</v>
      </c>
      <c r="J682" s="373" t="s">
        <v>488</v>
      </c>
      <c r="K682" s="373" t="s">
        <v>488</v>
      </c>
      <c r="L682" s="341">
        <v>2</v>
      </c>
      <c r="M682" s="341">
        <v>2</v>
      </c>
      <c r="N682" s="373" t="s">
        <v>488</v>
      </c>
      <c r="O682" s="373" t="s">
        <v>488</v>
      </c>
      <c r="P682" s="341">
        <v>2</v>
      </c>
      <c r="Q682" s="341">
        <v>2</v>
      </c>
      <c r="R682" s="373" t="s">
        <v>488</v>
      </c>
      <c r="S682" s="373" t="s">
        <v>488</v>
      </c>
      <c r="T682" s="341">
        <v>2</v>
      </c>
      <c r="U682" s="341">
        <v>2</v>
      </c>
      <c r="V682" s="373" t="s">
        <v>488</v>
      </c>
      <c r="W682" s="373" t="s">
        <v>488</v>
      </c>
      <c r="X682" s="329" t="s">
        <v>208</v>
      </c>
      <c r="Y682" s="361" t="s">
        <v>209</v>
      </c>
      <c r="Z682" s="329" t="s">
        <v>8</v>
      </c>
      <c r="AA682" s="329"/>
      <c r="AC682" s="8"/>
    </row>
    <row r="683" spans="1:29" ht="31.5" hidden="1">
      <c r="A683" s="329"/>
      <c r="B683" s="334" t="s">
        <v>489</v>
      </c>
      <c r="C683" s="341">
        <v>8</v>
      </c>
      <c r="D683" s="341" t="s">
        <v>486</v>
      </c>
      <c r="E683" s="341">
        <v>405</v>
      </c>
      <c r="F683" s="422">
        <v>3240</v>
      </c>
      <c r="G683" s="341" t="s">
        <v>342</v>
      </c>
      <c r="H683" s="341">
        <v>2</v>
      </c>
      <c r="I683" s="341">
        <v>2</v>
      </c>
      <c r="J683" s="373" t="s">
        <v>488</v>
      </c>
      <c r="K683" s="373" t="s">
        <v>488</v>
      </c>
      <c r="L683" s="341">
        <v>2</v>
      </c>
      <c r="M683" s="341">
        <v>2</v>
      </c>
      <c r="N683" s="373" t="s">
        <v>488</v>
      </c>
      <c r="O683" s="373" t="s">
        <v>488</v>
      </c>
      <c r="P683" s="341">
        <v>2</v>
      </c>
      <c r="Q683" s="341">
        <v>2</v>
      </c>
      <c r="R683" s="373" t="s">
        <v>488</v>
      </c>
      <c r="S683" s="373" t="s">
        <v>488</v>
      </c>
      <c r="T683" s="341">
        <v>2</v>
      </c>
      <c r="U683" s="341">
        <v>2</v>
      </c>
      <c r="V683" s="373" t="s">
        <v>488</v>
      </c>
      <c r="W683" s="373" t="s">
        <v>488</v>
      </c>
      <c r="X683" s="329" t="s">
        <v>208</v>
      </c>
      <c r="Y683" s="361" t="s">
        <v>210</v>
      </c>
      <c r="Z683" s="329" t="s">
        <v>8</v>
      </c>
      <c r="AA683" s="329"/>
      <c r="AC683" s="8"/>
    </row>
    <row r="684" spans="1:29" hidden="1">
      <c r="A684" s="329"/>
      <c r="B684" s="334" t="s">
        <v>490</v>
      </c>
      <c r="C684" s="341">
        <v>8</v>
      </c>
      <c r="D684" s="341" t="s">
        <v>486</v>
      </c>
      <c r="E684" s="341">
        <v>405</v>
      </c>
      <c r="F684" s="422">
        <v>3240</v>
      </c>
      <c r="G684" s="341" t="s">
        <v>342</v>
      </c>
      <c r="H684" s="341">
        <v>2</v>
      </c>
      <c r="I684" s="341">
        <v>2</v>
      </c>
      <c r="J684" s="373" t="s">
        <v>488</v>
      </c>
      <c r="K684" s="373" t="s">
        <v>488</v>
      </c>
      <c r="L684" s="341">
        <v>2</v>
      </c>
      <c r="M684" s="341">
        <v>2</v>
      </c>
      <c r="N684" s="373" t="s">
        <v>488</v>
      </c>
      <c r="O684" s="373" t="s">
        <v>488</v>
      </c>
      <c r="P684" s="341">
        <v>2</v>
      </c>
      <c r="Q684" s="341">
        <v>2</v>
      </c>
      <c r="R684" s="373" t="s">
        <v>488</v>
      </c>
      <c r="S684" s="373" t="s">
        <v>488</v>
      </c>
      <c r="T684" s="341">
        <v>2</v>
      </c>
      <c r="U684" s="341">
        <v>2</v>
      </c>
      <c r="V684" s="373" t="s">
        <v>488</v>
      </c>
      <c r="W684" s="373" t="s">
        <v>488</v>
      </c>
      <c r="X684" s="329" t="s">
        <v>208</v>
      </c>
      <c r="Y684" s="361" t="s">
        <v>211</v>
      </c>
      <c r="Z684" s="329" t="s">
        <v>8</v>
      </c>
      <c r="AA684" s="329"/>
      <c r="AC684" s="8"/>
    </row>
    <row r="685" spans="1:29" hidden="1">
      <c r="A685" s="329"/>
      <c r="B685" s="334" t="s">
        <v>491</v>
      </c>
      <c r="C685" s="341">
        <v>3</v>
      </c>
      <c r="D685" s="341" t="s">
        <v>103</v>
      </c>
      <c r="E685" s="341">
        <v>999</v>
      </c>
      <c r="F685" s="341">
        <v>2997</v>
      </c>
      <c r="G685" s="341" t="s">
        <v>342</v>
      </c>
      <c r="H685" s="341">
        <v>1</v>
      </c>
      <c r="I685" s="341">
        <v>1</v>
      </c>
      <c r="J685" s="373" t="s">
        <v>488</v>
      </c>
      <c r="K685" s="373" t="s">
        <v>488</v>
      </c>
      <c r="L685" s="341">
        <v>0</v>
      </c>
      <c r="M685" s="373" t="s">
        <v>488</v>
      </c>
      <c r="N685" s="373" t="s">
        <v>488</v>
      </c>
      <c r="O685" s="373" t="s">
        <v>488</v>
      </c>
      <c r="P685" s="341">
        <v>0</v>
      </c>
      <c r="Q685" s="373" t="s">
        <v>488</v>
      </c>
      <c r="R685" s="373" t="s">
        <v>488</v>
      </c>
      <c r="S685" s="373" t="s">
        <v>488</v>
      </c>
      <c r="T685" s="341">
        <v>0</v>
      </c>
      <c r="U685" s="373" t="s">
        <v>488</v>
      </c>
      <c r="V685" s="373" t="s">
        <v>488</v>
      </c>
      <c r="W685" s="373" t="s">
        <v>488</v>
      </c>
      <c r="X685" s="329" t="s">
        <v>208</v>
      </c>
      <c r="Y685" s="330" t="str">
        <f>DB!$D$73</f>
        <v>Webcam Professional Full HD</v>
      </c>
      <c r="Z685" s="329" t="s">
        <v>8</v>
      </c>
      <c r="AA685" s="329"/>
      <c r="AC685" s="8"/>
    </row>
    <row r="686" spans="1:29" ht="63" hidden="1">
      <c r="A686" s="329"/>
      <c r="B686" s="346" t="s">
        <v>492</v>
      </c>
      <c r="C686" s="341">
        <v>3</v>
      </c>
      <c r="D686" s="341" t="s">
        <v>103</v>
      </c>
      <c r="E686" s="376">
        <v>3000</v>
      </c>
      <c r="F686" s="341">
        <v>9000</v>
      </c>
      <c r="G686" s="341" t="s">
        <v>342</v>
      </c>
      <c r="H686" s="341">
        <v>3</v>
      </c>
      <c r="I686" s="341">
        <v>3</v>
      </c>
      <c r="J686" s="373" t="s">
        <v>488</v>
      </c>
      <c r="K686" s="373" t="s">
        <v>488</v>
      </c>
      <c r="L686" s="341">
        <v>0</v>
      </c>
      <c r="M686" s="373" t="s">
        <v>488</v>
      </c>
      <c r="N686" s="373" t="s">
        <v>488</v>
      </c>
      <c r="O686" s="373" t="s">
        <v>488</v>
      </c>
      <c r="P686" s="341">
        <v>0</v>
      </c>
      <c r="Q686" s="373" t="s">
        <v>488</v>
      </c>
      <c r="R686" s="373" t="s">
        <v>488</v>
      </c>
      <c r="S686" s="373" t="s">
        <v>488</v>
      </c>
      <c r="T686" s="341">
        <v>0</v>
      </c>
      <c r="U686" s="373" t="s">
        <v>488</v>
      </c>
      <c r="V686" s="373" t="s">
        <v>488</v>
      </c>
      <c r="W686" s="373" t="s">
        <v>488</v>
      </c>
      <c r="X686" s="329" t="s">
        <v>208</v>
      </c>
      <c r="Y686" s="330"/>
      <c r="Z686" s="329" t="s">
        <v>2946</v>
      </c>
      <c r="AA686" s="329"/>
      <c r="AC686" s="8"/>
    </row>
    <row r="687" spans="1:29" hidden="1">
      <c r="A687" s="329"/>
      <c r="B687" s="372" t="s">
        <v>239</v>
      </c>
      <c r="C687" s="377">
        <v>2</v>
      </c>
      <c r="D687" s="373" t="s">
        <v>103</v>
      </c>
      <c r="E687" s="373">
        <v>380</v>
      </c>
      <c r="F687" s="373">
        <v>760</v>
      </c>
      <c r="G687" s="377" t="s">
        <v>342</v>
      </c>
      <c r="H687" s="341">
        <v>2</v>
      </c>
      <c r="I687" s="341">
        <v>2</v>
      </c>
      <c r="J687" s="373" t="s">
        <v>488</v>
      </c>
      <c r="K687" s="373" t="s">
        <v>488</v>
      </c>
      <c r="L687" s="341">
        <v>0</v>
      </c>
      <c r="M687" s="373" t="s">
        <v>488</v>
      </c>
      <c r="N687" s="373" t="s">
        <v>488</v>
      </c>
      <c r="O687" s="373" t="s">
        <v>488</v>
      </c>
      <c r="P687" s="341">
        <v>0</v>
      </c>
      <c r="Q687" s="373" t="s">
        <v>488</v>
      </c>
      <c r="R687" s="373" t="s">
        <v>488</v>
      </c>
      <c r="S687" s="373" t="s">
        <v>488</v>
      </c>
      <c r="T687" s="341">
        <v>0</v>
      </c>
      <c r="U687" s="373" t="s">
        <v>488</v>
      </c>
      <c r="V687" s="373" t="s">
        <v>488</v>
      </c>
      <c r="W687" s="373" t="s">
        <v>488</v>
      </c>
      <c r="X687" s="329" t="s">
        <v>208</v>
      </c>
      <c r="Y687" s="346" t="str">
        <f>DB!$D$169</f>
        <v>Mouse, Optical, USB 2.0</v>
      </c>
      <c r="Z687" s="329" t="s">
        <v>2946</v>
      </c>
      <c r="AA687" s="329"/>
      <c r="AC687" s="8"/>
    </row>
    <row r="688" spans="1:29" hidden="1">
      <c r="A688" s="329"/>
      <c r="B688" s="372" t="s">
        <v>493</v>
      </c>
      <c r="C688" s="377">
        <v>2</v>
      </c>
      <c r="D688" s="373" t="s">
        <v>466</v>
      </c>
      <c r="E688" s="348">
        <v>10000</v>
      </c>
      <c r="F688" s="348">
        <v>20000</v>
      </c>
      <c r="G688" s="377" t="s">
        <v>342</v>
      </c>
      <c r="H688" s="341">
        <v>1</v>
      </c>
      <c r="I688" s="341">
        <v>1</v>
      </c>
      <c r="J688" s="373" t="s">
        <v>488</v>
      </c>
      <c r="K688" s="373" t="s">
        <v>488</v>
      </c>
      <c r="L688" s="341">
        <v>0</v>
      </c>
      <c r="M688" s="373" t="s">
        <v>488</v>
      </c>
      <c r="N688" s="373" t="s">
        <v>488</v>
      </c>
      <c r="O688" s="373" t="s">
        <v>488</v>
      </c>
      <c r="P688" s="341">
        <v>0</v>
      </c>
      <c r="Q688" s="373" t="s">
        <v>488</v>
      </c>
      <c r="R688" s="373" t="s">
        <v>488</v>
      </c>
      <c r="S688" s="373" t="s">
        <v>488</v>
      </c>
      <c r="T688" s="341">
        <v>0</v>
      </c>
      <c r="U688" s="373" t="s">
        <v>488</v>
      </c>
      <c r="V688" s="373" t="s">
        <v>488</v>
      </c>
      <c r="W688" s="373" t="s">
        <v>488</v>
      </c>
      <c r="X688" s="329" t="s">
        <v>208</v>
      </c>
      <c r="Y688" s="330"/>
      <c r="Z688" s="329" t="s">
        <v>2962</v>
      </c>
      <c r="AA688" s="329"/>
      <c r="AC688" s="8"/>
    </row>
    <row r="689" spans="1:29" hidden="1">
      <c r="A689" s="329"/>
      <c r="B689" s="423" t="s">
        <v>3123</v>
      </c>
      <c r="C689" s="354">
        <v>1</v>
      </c>
      <c r="D689" s="398" t="s">
        <v>466</v>
      </c>
      <c r="E689" s="425">
        <v>25000</v>
      </c>
      <c r="F689" s="348">
        <v>25000</v>
      </c>
      <c r="G689" s="377" t="s">
        <v>342</v>
      </c>
      <c r="H689" s="341">
        <v>1</v>
      </c>
      <c r="I689" s="341">
        <v>1</v>
      </c>
      <c r="J689" s="373" t="s">
        <v>488</v>
      </c>
      <c r="K689" s="373" t="s">
        <v>488</v>
      </c>
      <c r="L689" s="341">
        <v>0</v>
      </c>
      <c r="M689" s="373" t="s">
        <v>488</v>
      </c>
      <c r="N689" s="373" t="s">
        <v>488</v>
      </c>
      <c r="O689" s="373" t="s">
        <v>488</v>
      </c>
      <c r="P689" s="341">
        <v>0</v>
      </c>
      <c r="Q689" s="373" t="s">
        <v>488</v>
      </c>
      <c r="R689" s="373" t="s">
        <v>488</v>
      </c>
      <c r="S689" s="373" t="s">
        <v>488</v>
      </c>
      <c r="T689" s="341">
        <v>0</v>
      </c>
      <c r="U689" s="373" t="s">
        <v>488</v>
      </c>
      <c r="V689" s="373" t="s">
        <v>488</v>
      </c>
      <c r="W689" s="373" t="s">
        <v>488</v>
      </c>
      <c r="X689" s="329" t="s">
        <v>208</v>
      </c>
      <c r="Y689" s="330"/>
      <c r="Z689" s="329" t="s">
        <v>11</v>
      </c>
      <c r="AA689" s="329"/>
      <c r="AC689" s="8"/>
    </row>
    <row r="690" spans="1:29" hidden="1">
      <c r="A690" s="329"/>
      <c r="B690" s="458" t="s">
        <v>688</v>
      </c>
      <c r="C690" s="454">
        <v>1</v>
      </c>
      <c r="D690" s="454" t="s">
        <v>103</v>
      </c>
      <c r="E690" s="459">
        <v>30000</v>
      </c>
      <c r="F690" s="459">
        <v>30000</v>
      </c>
      <c r="G690" s="377" t="s">
        <v>342</v>
      </c>
      <c r="H690" s="454"/>
      <c r="I690" s="454"/>
      <c r="J690" s="343"/>
      <c r="K690" s="343"/>
      <c r="L690" s="343"/>
      <c r="M690" s="343"/>
      <c r="N690" s="343"/>
      <c r="O690" s="343"/>
      <c r="P690" s="343"/>
      <c r="Q690" s="343"/>
      <c r="R690" s="343"/>
      <c r="S690" s="343"/>
      <c r="T690" s="343"/>
      <c r="U690" s="343"/>
      <c r="V690" s="343"/>
      <c r="W690" s="343"/>
      <c r="X690" s="329" t="s">
        <v>3124</v>
      </c>
      <c r="Y690" s="330"/>
      <c r="Z690" s="329" t="s">
        <v>688</v>
      </c>
      <c r="AA690" s="329"/>
      <c r="AC690" s="8"/>
    </row>
    <row r="691" spans="1:29">
      <c r="A691" s="329"/>
      <c r="B691" s="460" t="s">
        <v>467</v>
      </c>
      <c r="C691" s="456">
        <v>4</v>
      </c>
      <c r="D691" s="456" t="s">
        <v>118</v>
      </c>
      <c r="E691" s="461">
        <v>40000</v>
      </c>
      <c r="F691" s="461">
        <v>160000</v>
      </c>
      <c r="G691" s="377" t="s">
        <v>342</v>
      </c>
      <c r="H691" s="456"/>
      <c r="I691" s="456"/>
      <c r="J691" s="341"/>
      <c r="K691" s="341"/>
      <c r="L691" s="341"/>
      <c r="M691" s="341"/>
      <c r="N691" s="341"/>
      <c r="O691" s="341"/>
      <c r="P691" s="341"/>
      <c r="Q691" s="341"/>
      <c r="R691" s="341"/>
      <c r="S691" s="341"/>
      <c r="T691" s="341"/>
      <c r="U691" s="341"/>
      <c r="V691" s="341"/>
      <c r="W691" s="341"/>
      <c r="X691" s="329" t="s">
        <v>3124</v>
      </c>
      <c r="Y691" s="330" t="str">
        <f>DB!$D$194</f>
        <v>Branded Desktop Computer Set</v>
      </c>
      <c r="Z691" s="329" t="s">
        <v>2964</v>
      </c>
      <c r="AA691" s="329"/>
      <c r="AC691" s="8"/>
    </row>
    <row r="692" spans="1:29" hidden="1">
      <c r="A692" s="329"/>
      <c r="B692" s="460" t="s">
        <v>482</v>
      </c>
      <c r="C692" s="456">
        <v>2</v>
      </c>
      <c r="D692" s="456" t="s">
        <v>103</v>
      </c>
      <c r="E692" s="461">
        <v>8500</v>
      </c>
      <c r="F692" s="461">
        <v>17000</v>
      </c>
      <c r="G692" s="377" t="s">
        <v>342</v>
      </c>
      <c r="H692" s="456"/>
      <c r="I692" s="456"/>
      <c r="J692" s="341"/>
      <c r="K692" s="341"/>
      <c r="L692" s="341"/>
      <c r="M692" s="341"/>
      <c r="N692" s="341"/>
      <c r="O692" s="341"/>
      <c r="P692" s="341"/>
      <c r="Q692" s="341"/>
      <c r="R692" s="341"/>
      <c r="S692" s="341"/>
      <c r="T692" s="341"/>
      <c r="U692" s="341"/>
      <c r="V692" s="341"/>
      <c r="W692" s="341"/>
      <c r="X692" s="329" t="s">
        <v>3124</v>
      </c>
      <c r="Y692" s="330"/>
      <c r="Z692" s="329" t="s">
        <v>2962</v>
      </c>
      <c r="AA692" s="329"/>
      <c r="AC692" s="8"/>
    </row>
    <row r="693" spans="1:29" hidden="1">
      <c r="A693" s="329"/>
      <c r="B693" s="460" t="s">
        <v>568</v>
      </c>
      <c r="C693" s="456">
        <v>2</v>
      </c>
      <c r="D693" s="456" t="s">
        <v>103</v>
      </c>
      <c r="E693" s="461">
        <v>3500</v>
      </c>
      <c r="F693" s="461">
        <v>7000</v>
      </c>
      <c r="G693" s="377" t="s">
        <v>342</v>
      </c>
      <c r="H693" s="456"/>
      <c r="I693" s="456"/>
      <c r="J693" s="341"/>
      <c r="K693" s="341"/>
      <c r="L693" s="341"/>
      <c r="M693" s="341"/>
      <c r="N693" s="341"/>
      <c r="O693" s="341"/>
      <c r="P693" s="341"/>
      <c r="Q693" s="341"/>
      <c r="R693" s="341"/>
      <c r="S693" s="341"/>
      <c r="T693" s="341"/>
      <c r="U693" s="341"/>
      <c r="V693" s="341"/>
      <c r="W693" s="341"/>
      <c r="X693" s="329" t="s">
        <v>3124</v>
      </c>
      <c r="Y693" s="369" t="str">
        <f>DB!$D$6</f>
        <v>UPS 650VA, AVR, 230V</v>
      </c>
      <c r="Z693" s="351" t="s">
        <v>8</v>
      </c>
      <c r="AA693" s="329"/>
      <c r="AC693" s="8"/>
    </row>
    <row r="694" spans="1:29" hidden="1">
      <c r="A694" s="329"/>
      <c r="B694" s="460" t="s">
        <v>818</v>
      </c>
      <c r="C694" s="456">
        <v>1</v>
      </c>
      <c r="D694" s="456" t="s">
        <v>466</v>
      </c>
      <c r="E694" s="461">
        <v>40000</v>
      </c>
      <c r="F694" s="461">
        <v>40000</v>
      </c>
      <c r="G694" s="377" t="s">
        <v>342</v>
      </c>
      <c r="H694" s="456"/>
      <c r="I694" s="456"/>
      <c r="J694" s="341"/>
      <c r="K694" s="341"/>
      <c r="L694" s="341"/>
      <c r="M694" s="341"/>
      <c r="N694" s="341"/>
      <c r="O694" s="341"/>
      <c r="P694" s="341"/>
      <c r="Q694" s="341"/>
      <c r="R694" s="341"/>
      <c r="S694" s="341"/>
      <c r="T694" s="341"/>
      <c r="U694" s="341"/>
      <c r="V694" s="341"/>
      <c r="W694" s="341"/>
      <c r="X694" s="329" t="s">
        <v>3124</v>
      </c>
      <c r="Y694" s="330" t="str">
        <f>DB!D88</f>
        <v>Projector</v>
      </c>
      <c r="Z694" s="351" t="s">
        <v>8</v>
      </c>
      <c r="AA694" s="329"/>
      <c r="AC694" s="8"/>
    </row>
    <row r="695" spans="1:29" ht="31.5" hidden="1">
      <c r="A695" s="329"/>
      <c r="B695" s="460" t="s">
        <v>930</v>
      </c>
      <c r="C695" s="456">
        <v>2</v>
      </c>
      <c r="D695" s="456" t="s">
        <v>103</v>
      </c>
      <c r="E695" s="461">
        <v>4000</v>
      </c>
      <c r="F695" s="461">
        <v>8000</v>
      </c>
      <c r="G695" s="377" t="s">
        <v>342</v>
      </c>
      <c r="H695" s="456"/>
      <c r="I695" s="456"/>
      <c r="J695" s="341"/>
      <c r="K695" s="341"/>
      <c r="L695" s="341"/>
      <c r="M695" s="341"/>
      <c r="N695" s="341"/>
      <c r="O695" s="341"/>
      <c r="P695" s="341"/>
      <c r="Q695" s="341"/>
      <c r="R695" s="341"/>
      <c r="S695" s="341"/>
      <c r="T695" s="341"/>
      <c r="U695" s="341"/>
      <c r="V695" s="341"/>
      <c r="W695" s="341"/>
      <c r="X695" s="329" t="s">
        <v>3124</v>
      </c>
      <c r="Y695" s="330" t="str">
        <f>DB!$D$75</f>
        <v>2TB Slim Portable Hard Drive External HDD</v>
      </c>
      <c r="Z695" s="329" t="s">
        <v>8</v>
      </c>
      <c r="AA695" s="329"/>
      <c r="AC695" s="8"/>
    </row>
    <row r="696" spans="1:29" hidden="1">
      <c r="A696" s="329"/>
      <c r="B696" s="380" t="s">
        <v>2980</v>
      </c>
      <c r="C696" s="375">
        <v>16</v>
      </c>
      <c r="D696" s="359" t="s">
        <v>657</v>
      </c>
      <c r="E696" s="343">
        <v>350</v>
      </c>
      <c r="F696" s="462">
        <v>5600</v>
      </c>
      <c r="G696" s="377" t="s">
        <v>342</v>
      </c>
      <c r="H696" s="343">
        <v>4</v>
      </c>
      <c r="I696" s="343">
        <v>2</v>
      </c>
      <c r="J696" s="343">
        <v>2</v>
      </c>
      <c r="K696" s="349"/>
      <c r="L696" s="343">
        <v>4</v>
      </c>
      <c r="M696" s="343">
        <v>2</v>
      </c>
      <c r="N696" s="343">
        <v>2</v>
      </c>
      <c r="O696" s="349"/>
      <c r="P696" s="343">
        <v>4</v>
      </c>
      <c r="Q696" s="343">
        <v>2</v>
      </c>
      <c r="R696" s="343">
        <v>2</v>
      </c>
      <c r="S696" s="349"/>
      <c r="T696" s="343">
        <v>4</v>
      </c>
      <c r="U696" s="343">
        <v>2</v>
      </c>
      <c r="V696" s="343">
        <v>2</v>
      </c>
      <c r="W696" s="349"/>
      <c r="X696" s="329" t="s">
        <v>2981</v>
      </c>
      <c r="Y696" s="361" t="s">
        <v>199</v>
      </c>
      <c r="Z696" s="329" t="s">
        <v>8</v>
      </c>
      <c r="AA696" s="329"/>
      <c r="AC696" s="8"/>
    </row>
    <row r="697" spans="1:29" hidden="1">
      <c r="A697" s="329"/>
      <c r="B697" s="381" t="s">
        <v>2982</v>
      </c>
      <c r="C697" s="377">
        <v>16</v>
      </c>
      <c r="D697" s="362" t="s">
        <v>657</v>
      </c>
      <c r="E697" s="341">
        <v>350</v>
      </c>
      <c r="F697" s="462">
        <v>5600</v>
      </c>
      <c r="G697" s="377" t="s">
        <v>342</v>
      </c>
      <c r="H697" s="341">
        <v>4</v>
      </c>
      <c r="I697" s="341">
        <v>2</v>
      </c>
      <c r="J697" s="341">
        <v>2</v>
      </c>
      <c r="K697" s="349"/>
      <c r="L697" s="341">
        <v>4</v>
      </c>
      <c r="M697" s="341">
        <v>2</v>
      </c>
      <c r="N697" s="341">
        <v>2</v>
      </c>
      <c r="O697" s="349"/>
      <c r="P697" s="341">
        <v>4</v>
      </c>
      <c r="Q697" s="341">
        <v>2</v>
      </c>
      <c r="R697" s="341">
        <v>2</v>
      </c>
      <c r="S697" s="349"/>
      <c r="T697" s="341">
        <v>4</v>
      </c>
      <c r="U697" s="341">
        <v>2</v>
      </c>
      <c r="V697" s="341">
        <v>2</v>
      </c>
      <c r="W697" s="349"/>
      <c r="X697" s="329" t="s">
        <v>2981</v>
      </c>
      <c r="Y697" s="361" t="s">
        <v>209</v>
      </c>
      <c r="Z697" s="329" t="s">
        <v>8</v>
      </c>
      <c r="AA697" s="329"/>
      <c r="AC697" s="8"/>
    </row>
    <row r="698" spans="1:29" ht="31.5" hidden="1">
      <c r="A698" s="329"/>
      <c r="B698" s="381" t="s">
        <v>2983</v>
      </c>
      <c r="C698" s="377">
        <v>16</v>
      </c>
      <c r="D698" s="362" t="s">
        <v>657</v>
      </c>
      <c r="E698" s="341">
        <v>350</v>
      </c>
      <c r="F698" s="462">
        <v>5600</v>
      </c>
      <c r="G698" s="377" t="s">
        <v>342</v>
      </c>
      <c r="H698" s="341">
        <v>4</v>
      </c>
      <c r="I698" s="341">
        <v>2</v>
      </c>
      <c r="J698" s="341">
        <v>2</v>
      </c>
      <c r="K698" s="349"/>
      <c r="L698" s="341">
        <v>4</v>
      </c>
      <c r="M698" s="341">
        <v>2</v>
      </c>
      <c r="N698" s="341">
        <v>2</v>
      </c>
      <c r="O698" s="349"/>
      <c r="P698" s="341">
        <v>4</v>
      </c>
      <c r="Q698" s="341">
        <v>2</v>
      </c>
      <c r="R698" s="341">
        <v>2</v>
      </c>
      <c r="S698" s="349"/>
      <c r="T698" s="341">
        <v>4</v>
      </c>
      <c r="U698" s="341">
        <v>2</v>
      </c>
      <c r="V698" s="341">
        <v>2</v>
      </c>
      <c r="W698" s="349"/>
      <c r="X698" s="329" t="s">
        <v>2981</v>
      </c>
      <c r="Y698" s="361" t="s">
        <v>210</v>
      </c>
      <c r="Z698" s="329" t="s">
        <v>8</v>
      </c>
      <c r="AA698" s="329"/>
      <c r="AC698" s="8"/>
    </row>
    <row r="699" spans="1:29" hidden="1">
      <c r="A699" s="329"/>
      <c r="B699" s="381" t="s">
        <v>2984</v>
      </c>
      <c r="C699" s="377">
        <v>16</v>
      </c>
      <c r="D699" s="362" t="s">
        <v>657</v>
      </c>
      <c r="E699" s="341">
        <v>350</v>
      </c>
      <c r="F699" s="462">
        <v>5600</v>
      </c>
      <c r="G699" s="377" t="s">
        <v>342</v>
      </c>
      <c r="H699" s="341">
        <v>4</v>
      </c>
      <c r="I699" s="341">
        <v>2</v>
      </c>
      <c r="J699" s="341">
        <v>2</v>
      </c>
      <c r="K699" s="349"/>
      <c r="L699" s="341">
        <v>4</v>
      </c>
      <c r="M699" s="341">
        <v>2</v>
      </c>
      <c r="N699" s="341">
        <v>2</v>
      </c>
      <c r="O699" s="349"/>
      <c r="P699" s="341">
        <v>4</v>
      </c>
      <c r="Q699" s="341">
        <v>2</v>
      </c>
      <c r="R699" s="341">
        <v>2</v>
      </c>
      <c r="S699" s="349"/>
      <c r="T699" s="341">
        <v>4</v>
      </c>
      <c r="U699" s="341">
        <v>2</v>
      </c>
      <c r="V699" s="341">
        <v>2</v>
      </c>
      <c r="W699" s="349"/>
      <c r="X699" s="329" t="s">
        <v>2981</v>
      </c>
      <c r="Y699" s="361" t="s">
        <v>211</v>
      </c>
      <c r="Z699" s="329" t="s">
        <v>8</v>
      </c>
      <c r="AA699" s="329"/>
      <c r="AC699" s="8"/>
    </row>
    <row r="700" spans="1:29">
      <c r="A700" s="329"/>
      <c r="B700" s="338" t="s">
        <v>654</v>
      </c>
      <c r="C700" s="343">
        <v>2</v>
      </c>
      <c r="D700" s="343" t="s">
        <v>92</v>
      </c>
      <c r="E700" s="342">
        <v>42390.400000000001</v>
      </c>
      <c r="F700" s="342">
        <v>84780.800000000003</v>
      </c>
      <c r="G700" s="377" t="s">
        <v>342</v>
      </c>
      <c r="H700" s="343">
        <v>2</v>
      </c>
      <c r="I700" s="343"/>
      <c r="J700" s="343" t="s">
        <v>546</v>
      </c>
      <c r="K700" s="343"/>
      <c r="L700" s="343"/>
      <c r="M700" s="343"/>
      <c r="N700" s="343"/>
      <c r="O700" s="343"/>
      <c r="P700" s="343"/>
      <c r="Q700" s="343"/>
      <c r="R700" s="343"/>
      <c r="S700" s="343"/>
      <c r="T700" s="343"/>
      <c r="U700" s="343"/>
      <c r="V700" s="343"/>
      <c r="W700" s="343"/>
      <c r="X700" s="329" t="s">
        <v>3125</v>
      </c>
      <c r="Y700" s="330" t="str">
        <f>DB!$D$194</f>
        <v>Branded Desktop Computer Set</v>
      </c>
      <c r="Z700" s="329" t="s">
        <v>2964</v>
      </c>
      <c r="AA700" s="329"/>
      <c r="AC700" s="8"/>
    </row>
    <row r="701" spans="1:29" hidden="1">
      <c r="A701" s="329"/>
      <c r="B701" s="334" t="s">
        <v>3126</v>
      </c>
      <c r="C701" s="341">
        <v>1</v>
      </c>
      <c r="D701" s="341" t="s">
        <v>92</v>
      </c>
      <c r="E701" s="347">
        <v>2792.4</v>
      </c>
      <c r="F701" s="347">
        <v>2792.4</v>
      </c>
      <c r="G701" s="377" t="s">
        <v>342</v>
      </c>
      <c r="H701" s="341">
        <v>1</v>
      </c>
      <c r="I701" s="341" t="s">
        <v>544</v>
      </c>
      <c r="J701" s="341"/>
      <c r="K701" s="341"/>
      <c r="L701" s="341"/>
      <c r="M701" s="341"/>
      <c r="N701" s="341"/>
      <c r="O701" s="341"/>
      <c r="P701" s="341"/>
      <c r="Q701" s="341"/>
      <c r="R701" s="341"/>
      <c r="S701" s="341"/>
      <c r="T701" s="341"/>
      <c r="U701" s="341"/>
      <c r="V701" s="341"/>
      <c r="W701" s="341"/>
      <c r="X701" s="329" t="s">
        <v>3125</v>
      </c>
      <c r="Y701" s="330"/>
      <c r="Z701" s="329" t="s">
        <v>2946</v>
      </c>
      <c r="AA701" s="329"/>
      <c r="AC701" s="8"/>
    </row>
    <row r="702" spans="1:29" ht="31.5" hidden="1">
      <c r="A702" s="329"/>
      <c r="B702" s="334" t="s">
        <v>3127</v>
      </c>
      <c r="C702" s="341">
        <v>2</v>
      </c>
      <c r="D702" s="341" t="s">
        <v>103</v>
      </c>
      <c r="E702" s="347">
        <v>8500</v>
      </c>
      <c r="F702" s="347">
        <v>17000</v>
      </c>
      <c r="G702" s="377" t="s">
        <v>342</v>
      </c>
      <c r="H702" s="341">
        <v>2</v>
      </c>
      <c r="I702" s="341"/>
      <c r="J702" s="341" t="s">
        <v>544</v>
      </c>
      <c r="K702" s="341"/>
      <c r="L702" s="341"/>
      <c r="M702" s="341"/>
      <c r="N702" s="341"/>
      <c r="O702" s="341"/>
      <c r="P702" s="341"/>
      <c r="Q702" s="341"/>
      <c r="R702" s="341"/>
      <c r="S702" s="341"/>
      <c r="T702" s="341"/>
      <c r="U702" s="341"/>
      <c r="V702" s="341"/>
      <c r="W702" s="341"/>
      <c r="X702" s="329" t="s">
        <v>3125</v>
      </c>
      <c r="Y702" s="330"/>
      <c r="Z702" s="329" t="s">
        <v>2962</v>
      </c>
      <c r="AA702" s="329"/>
      <c r="AC702" s="8"/>
    </row>
    <row r="703" spans="1:29" hidden="1">
      <c r="A703" s="329"/>
      <c r="B703" s="334" t="s">
        <v>3128</v>
      </c>
      <c r="C703" s="341">
        <v>5</v>
      </c>
      <c r="D703" s="341" t="s">
        <v>103</v>
      </c>
      <c r="E703" s="341">
        <v>166.4</v>
      </c>
      <c r="F703" s="341">
        <v>832</v>
      </c>
      <c r="G703" s="377" t="s">
        <v>342</v>
      </c>
      <c r="H703" s="341">
        <v>5</v>
      </c>
      <c r="I703" s="341" t="s">
        <v>544</v>
      </c>
      <c r="J703" s="341"/>
      <c r="K703" s="341"/>
      <c r="L703" s="341"/>
      <c r="M703" s="341"/>
      <c r="N703" s="341"/>
      <c r="O703" s="341"/>
      <c r="P703" s="341"/>
      <c r="Q703" s="341"/>
      <c r="R703" s="341"/>
      <c r="S703" s="341"/>
      <c r="T703" s="341"/>
      <c r="U703" s="341"/>
      <c r="V703" s="341"/>
      <c r="W703" s="341"/>
      <c r="X703" s="329" t="s">
        <v>3125</v>
      </c>
      <c r="Y703" s="330"/>
      <c r="Z703" s="329" t="s">
        <v>2946</v>
      </c>
      <c r="AA703" s="329"/>
      <c r="AC703" s="8"/>
    </row>
    <row r="704" spans="1:29" hidden="1">
      <c r="A704" s="329"/>
      <c r="B704" s="381" t="s">
        <v>2980</v>
      </c>
      <c r="C704" s="377">
        <v>20</v>
      </c>
      <c r="D704" s="359" t="s">
        <v>657</v>
      </c>
      <c r="E704" s="343">
        <v>350</v>
      </c>
      <c r="F704" s="462">
        <v>7000</v>
      </c>
      <c r="G704" s="377" t="s">
        <v>342</v>
      </c>
      <c r="H704" s="341">
        <v>5</v>
      </c>
      <c r="I704" s="349"/>
      <c r="J704" s="341">
        <v>5</v>
      </c>
      <c r="K704" s="349"/>
      <c r="L704" s="341">
        <v>5</v>
      </c>
      <c r="M704" s="349"/>
      <c r="N704" s="341">
        <v>5</v>
      </c>
      <c r="O704" s="349"/>
      <c r="P704" s="341">
        <v>5</v>
      </c>
      <c r="Q704" s="349"/>
      <c r="R704" s="341">
        <v>5</v>
      </c>
      <c r="S704" s="349"/>
      <c r="T704" s="341">
        <v>5</v>
      </c>
      <c r="U704" s="349"/>
      <c r="V704" s="341">
        <v>5</v>
      </c>
      <c r="W704" s="341"/>
      <c r="X704" s="329" t="s">
        <v>3125</v>
      </c>
      <c r="Y704" s="361" t="s">
        <v>199</v>
      </c>
      <c r="Z704" s="329" t="s">
        <v>8</v>
      </c>
      <c r="AA704" s="329"/>
      <c r="AC704" s="8"/>
    </row>
    <row r="705" spans="1:29" hidden="1">
      <c r="A705" s="329"/>
      <c r="B705" s="381" t="s">
        <v>2982</v>
      </c>
      <c r="C705" s="377">
        <v>16</v>
      </c>
      <c r="D705" s="362" t="s">
        <v>657</v>
      </c>
      <c r="E705" s="341">
        <v>350</v>
      </c>
      <c r="F705" s="462">
        <v>5600</v>
      </c>
      <c r="G705" s="377" t="s">
        <v>342</v>
      </c>
      <c r="H705" s="341">
        <v>4</v>
      </c>
      <c r="I705" s="341">
        <v>2</v>
      </c>
      <c r="J705" s="341">
        <v>2</v>
      </c>
      <c r="K705" s="349"/>
      <c r="L705" s="341">
        <v>4</v>
      </c>
      <c r="M705" s="341">
        <v>2</v>
      </c>
      <c r="N705" s="341">
        <v>2</v>
      </c>
      <c r="O705" s="349"/>
      <c r="P705" s="341">
        <v>4</v>
      </c>
      <c r="Q705" s="341">
        <v>2</v>
      </c>
      <c r="R705" s="341">
        <v>2</v>
      </c>
      <c r="S705" s="349"/>
      <c r="T705" s="341">
        <v>4</v>
      </c>
      <c r="U705" s="341">
        <v>2</v>
      </c>
      <c r="V705" s="341">
        <v>2</v>
      </c>
      <c r="W705" s="341"/>
      <c r="X705" s="329" t="s">
        <v>3125</v>
      </c>
      <c r="Y705" s="361" t="s">
        <v>209</v>
      </c>
      <c r="Z705" s="329" t="s">
        <v>8</v>
      </c>
      <c r="AA705" s="329"/>
      <c r="AC705" s="8"/>
    </row>
    <row r="706" spans="1:29" ht="31.5" hidden="1">
      <c r="A706" s="329"/>
      <c r="B706" s="381" t="s">
        <v>2983</v>
      </c>
      <c r="C706" s="377">
        <v>16</v>
      </c>
      <c r="D706" s="362" t="s">
        <v>657</v>
      </c>
      <c r="E706" s="341">
        <v>350</v>
      </c>
      <c r="F706" s="462">
        <v>5600</v>
      </c>
      <c r="G706" s="377" t="s">
        <v>342</v>
      </c>
      <c r="H706" s="341">
        <v>4</v>
      </c>
      <c r="I706" s="341">
        <v>2</v>
      </c>
      <c r="J706" s="341">
        <v>2</v>
      </c>
      <c r="K706" s="349"/>
      <c r="L706" s="341">
        <v>4</v>
      </c>
      <c r="M706" s="341">
        <v>2</v>
      </c>
      <c r="N706" s="341">
        <v>2</v>
      </c>
      <c r="O706" s="349"/>
      <c r="P706" s="341">
        <v>4</v>
      </c>
      <c r="Q706" s="341">
        <v>2</v>
      </c>
      <c r="R706" s="341">
        <v>2</v>
      </c>
      <c r="S706" s="349"/>
      <c r="T706" s="341">
        <v>4</v>
      </c>
      <c r="U706" s="341">
        <v>2</v>
      </c>
      <c r="V706" s="341">
        <v>2</v>
      </c>
      <c r="W706" s="341"/>
      <c r="X706" s="329" t="s">
        <v>3125</v>
      </c>
      <c r="Y706" s="361" t="s">
        <v>210</v>
      </c>
      <c r="Z706" s="329" t="s">
        <v>8</v>
      </c>
      <c r="AA706" s="329"/>
      <c r="AC706" s="8"/>
    </row>
    <row r="707" spans="1:29" hidden="1">
      <c r="A707" s="329"/>
      <c r="B707" s="381" t="s">
        <v>2984</v>
      </c>
      <c r="C707" s="377">
        <v>16</v>
      </c>
      <c r="D707" s="362" t="s">
        <v>657</v>
      </c>
      <c r="E707" s="341">
        <v>350</v>
      </c>
      <c r="F707" s="462">
        <v>5600</v>
      </c>
      <c r="G707" s="377" t="s">
        <v>342</v>
      </c>
      <c r="H707" s="341">
        <v>4</v>
      </c>
      <c r="I707" s="341">
        <v>2</v>
      </c>
      <c r="J707" s="341">
        <v>2</v>
      </c>
      <c r="K707" s="349"/>
      <c r="L707" s="341">
        <v>4</v>
      </c>
      <c r="M707" s="341">
        <v>2</v>
      </c>
      <c r="N707" s="341">
        <v>2</v>
      </c>
      <c r="O707" s="349"/>
      <c r="P707" s="341">
        <v>4</v>
      </c>
      <c r="Q707" s="341">
        <v>2</v>
      </c>
      <c r="R707" s="341">
        <v>2</v>
      </c>
      <c r="S707" s="349"/>
      <c r="T707" s="341">
        <v>4</v>
      </c>
      <c r="U707" s="341">
        <v>2</v>
      </c>
      <c r="V707" s="341">
        <v>2</v>
      </c>
      <c r="W707" s="341"/>
      <c r="X707" s="329" t="s">
        <v>3125</v>
      </c>
      <c r="Y707" s="361" t="s">
        <v>211</v>
      </c>
      <c r="Z707" s="329" t="s">
        <v>8</v>
      </c>
      <c r="AA707" s="329"/>
      <c r="AC707" s="8"/>
    </row>
    <row r="708" spans="1:29" hidden="1">
      <c r="A708" s="329"/>
      <c r="B708" s="458" t="s">
        <v>3129</v>
      </c>
      <c r="C708" s="454">
        <v>1</v>
      </c>
      <c r="D708" s="454" t="s">
        <v>103</v>
      </c>
      <c r="E708" s="459">
        <v>30000</v>
      </c>
      <c r="F708" s="459">
        <v>30000</v>
      </c>
      <c r="G708" s="377" t="s">
        <v>342</v>
      </c>
      <c r="H708" s="454">
        <v>1</v>
      </c>
      <c r="I708" s="454">
        <v>1</v>
      </c>
      <c r="J708" s="343"/>
      <c r="K708" s="343"/>
      <c r="L708" s="343"/>
      <c r="M708" s="343"/>
      <c r="N708" s="343"/>
      <c r="O708" s="343"/>
      <c r="P708" s="343"/>
      <c r="Q708" s="343"/>
      <c r="R708" s="343"/>
      <c r="S708" s="343"/>
      <c r="T708" s="343"/>
      <c r="U708" s="343"/>
      <c r="V708" s="343"/>
      <c r="W708" s="343"/>
      <c r="X708" s="329" t="s">
        <v>3130</v>
      </c>
      <c r="Y708" s="330"/>
      <c r="Z708" s="329" t="s">
        <v>2952</v>
      </c>
      <c r="AA708" s="329"/>
      <c r="AC708" s="8"/>
    </row>
    <row r="709" spans="1:29">
      <c r="A709" s="329"/>
      <c r="B709" s="460" t="s">
        <v>3131</v>
      </c>
      <c r="C709" s="456">
        <v>1</v>
      </c>
      <c r="D709" s="456" t="s">
        <v>118</v>
      </c>
      <c r="E709" s="461">
        <v>50000</v>
      </c>
      <c r="F709" s="461">
        <v>50000</v>
      </c>
      <c r="G709" s="377" t="s">
        <v>342</v>
      </c>
      <c r="H709" s="456">
        <v>1</v>
      </c>
      <c r="I709" s="456">
        <v>1</v>
      </c>
      <c r="J709" s="341"/>
      <c r="K709" s="341"/>
      <c r="L709" s="341"/>
      <c r="M709" s="341"/>
      <c r="N709" s="341"/>
      <c r="O709" s="341"/>
      <c r="P709" s="341"/>
      <c r="Q709" s="341"/>
      <c r="R709" s="341"/>
      <c r="S709" s="341"/>
      <c r="T709" s="341"/>
      <c r="U709" s="341"/>
      <c r="V709" s="341"/>
      <c r="W709" s="341"/>
      <c r="X709" s="329" t="s">
        <v>3130</v>
      </c>
      <c r="Y709" s="330" t="str">
        <f>DB!$D$194</f>
        <v>Branded Desktop Computer Set</v>
      </c>
      <c r="Z709" s="329" t="s">
        <v>2964</v>
      </c>
      <c r="AA709" s="329"/>
      <c r="AC709" s="8"/>
    </row>
    <row r="710" spans="1:29" hidden="1">
      <c r="A710" s="329"/>
      <c r="B710" s="460" t="s">
        <v>2940</v>
      </c>
      <c r="C710" s="456">
        <v>1</v>
      </c>
      <c r="D710" s="456" t="s">
        <v>103</v>
      </c>
      <c r="E710" s="461">
        <v>8500</v>
      </c>
      <c r="F710" s="461">
        <v>8500</v>
      </c>
      <c r="G710" s="377" t="s">
        <v>342</v>
      </c>
      <c r="H710" s="456">
        <v>1</v>
      </c>
      <c r="I710" s="456">
        <v>1</v>
      </c>
      <c r="J710" s="341"/>
      <c r="K710" s="341"/>
      <c r="L710" s="341"/>
      <c r="M710" s="341"/>
      <c r="N710" s="341"/>
      <c r="O710" s="341"/>
      <c r="P710" s="341"/>
      <c r="Q710" s="341"/>
      <c r="R710" s="341"/>
      <c r="S710" s="341"/>
      <c r="T710" s="341"/>
      <c r="U710" s="341"/>
      <c r="V710" s="341"/>
      <c r="W710" s="341"/>
      <c r="X710" s="329" t="s">
        <v>3130</v>
      </c>
      <c r="Y710" s="330"/>
      <c r="Z710" s="329" t="s">
        <v>2958</v>
      </c>
      <c r="AA710" s="329"/>
      <c r="AC710" s="8"/>
    </row>
    <row r="711" spans="1:29" hidden="1">
      <c r="A711" s="329"/>
      <c r="B711" s="460" t="s">
        <v>3132</v>
      </c>
      <c r="C711" s="456">
        <v>1</v>
      </c>
      <c r="D711" s="456" t="s">
        <v>103</v>
      </c>
      <c r="E711" s="461">
        <v>3500</v>
      </c>
      <c r="F711" s="461">
        <v>3500</v>
      </c>
      <c r="G711" s="377" t="s">
        <v>342</v>
      </c>
      <c r="H711" s="456">
        <v>1</v>
      </c>
      <c r="I711" s="456">
        <v>1</v>
      </c>
      <c r="J711" s="341"/>
      <c r="K711" s="341"/>
      <c r="L711" s="341"/>
      <c r="M711" s="341"/>
      <c r="N711" s="341"/>
      <c r="O711" s="341"/>
      <c r="P711" s="341"/>
      <c r="Q711" s="341"/>
      <c r="R711" s="341"/>
      <c r="S711" s="341"/>
      <c r="T711" s="341"/>
      <c r="U711" s="341"/>
      <c r="V711" s="341"/>
      <c r="W711" s="341"/>
      <c r="X711" s="329" t="s">
        <v>3130</v>
      </c>
      <c r="Y711" s="330"/>
      <c r="Z711" s="329" t="s">
        <v>3133</v>
      </c>
      <c r="AA711" s="329"/>
      <c r="AC711" s="8"/>
    </row>
    <row r="712" spans="1:29" hidden="1">
      <c r="A712" s="329"/>
      <c r="B712" s="460" t="s">
        <v>818</v>
      </c>
      <c r="C712" s="456">
        <v>1</v>
      </c>
      <c r="D712" s="456" t="s">
        <v>466</v>
      </c>
      <c r="E712" s="461">
        <v>40000</v>
      </c>
      <c r="F712" s="461">
        <v>40000</v>
      </c>
      <c r="G712" s="377" t="s">
        <v>342</v>
      </c>
      <c r="H712" s="456">
        <v>1</v>
      </c>
      <c r="I712" s="456">
        <v>1</v>
      </c>
      <c r="J712" s="341"/>
      <c r="K712" s="341"/>
      <c r="L712" s="341"/>
      <c r="M712" s="341"/>
      <c r="N712" s="341"/>
      <c r="O712" s="341"/>
      <c r="P712" s="341"/>
      <c r="Q712" s="341"/>
      <c r="R712" s="341"/>
      <c r="S712" s="341"/>
      <c r="T712" s="341"/>
      <c r="U712" s="341"/>
      <c r="V712" s="341"/>
      <c r="W712" s="341"/>
      <c r="X712" s="329" t="s">
        <v>3130</v>
      </c>
      <c r="Y712" s="330" t="str">
        <f>DB!D106</f>
        <v>Epson Genuine Ink (003) Black</v>
      </c>
      <c r="Z712" s="351" t="s">
        <v>8</v>
      </c>
      <c r="AA712" s="329"/>
      <c r="AC712" s="8"/>
    </row>
    <row r="713" spans="1:29" hidden="1">
      <c r="A713" s="329"/>
      <c r="B713" s="460" t="s">
        <v>3134</v>
      </c>
      <c r="C713" s="456">
        <v>1</v>
      </c>
      <c r="D713" s="456" t="s">
        <v>103</v>
      </c>
      <c r="E713" s="461">
        <v>10000</v>
      </c>
      <c r="F713" s="461">
        <v>10000</v>
      </c>
      <c r="G713" s="377" t="s">
        <v>342</v>
      </c>
      <c r="H713" s="456">
        <v>1</v>
      </c>
      <c r="I713" s="456">
        <v>1</v>
      </c>
      <c r="J713" s="341"/>
      <c r="K713" s="341"/>
      <c r="L713" s="341"/>
      <c r="M713" s="341"/>
      <c r="N713" s="341"/>
      <c r="O713" s="341"/>
      <c r="P713" s="341"/>
      <c r="Q713" s="341"/>
      <c r="R713" s="341"/>
      <c r="S713" s="341"/>
      <c r="T713" s="341"/>
      <c r="U713" s="341"/>
      <c r="V713" s="341"/>
      <c r="W713" s="341"/>
      <c r="X713" s="329" t="s">
        <v>3130</v>
      </c>
      <c r="Y713" s="330"/>
      <c r="Z713" s="329" t="s">
        <v>2946</v>
      </c>
      <c r="AA713" s="329"/>
      <c r="AC713" s="8"/>
    </row>
    <row r="714" spans="1:29" ht="31.5" hidden="1">
      <c r="A714" s="329"/>
      <c r="B714" s="460" t="s">
        <v>930</v>
      </c>
      <c r="C714" s="456">
        <v>2</v>
      </c>
      <c r="D714" s="456" t="s">
        <v>103</v>
      </c>
      <c r="E714" s="461">
        <v>4000</v>
      </c>
      <c r="F714" s="461">
        <v>8000</v>
      </c>
      <c r="G714" s="377" t="s">
        <v>342</v>
      </c>
      <c r="H714" s="456">
        <v>1</v>
      </c>
      <c r="I714" s="456">
        <v>1</v>
      </c>
      <c r="J714" s="341"/>
      <c r="K714" s="341"/>
      <c r="L714" s="463">
        <v>1</v>
      </c>
      <c r="M714" s="463">
        <v>1</v>
      </c>
      <c r="N714" s="341"/>
      <c r="O714" s="341"/>
      <c r="P714" s="341"/>
      <c r="Q714" s="341"/>
      <c r="R714" s="341"/>
      <c r="S714" s="341"/>
      <c r="T714" s="341"/>
      <c r="U714" s="341"/>
      <c r="V714" s="341"/>
      <c r="W714" s="341"/>
      <c r="X714" s="329" t="s">
        <v>3130</v>
      </c>
      <c r="Y714" s="330" t="str">
        <f>DB!$D$75</f>
        <v>2TB Slim Portable Hard Drive External HDD</v>
      </c>
      <c r="Z714" s="329" t="s">
        <v>8</v>
      </c>
      <c r="AA714" s="329"/>
      <c r="AC714" s="8"/>
    </row>
    <row r="715" spans="1:29" hidden="1">
      <c r="A715" s="329"/>
      <c r="B715" s="464" t="s">
        <v>3135</v>
      </c>
      <c r="C715" s="465">
        <v>1</v>
      </c>
      <c r="D715" s="465" t="s">
        <v>103</v>
      </c>
      <c r="E715" s="465">
        <v>500</v>
      </c>
      <c r="F715" s="456">
        <v>500</v>
      </c>
      <c r="G715" s="377" t="s">
        <v>342</v>
      </c>
      <c r="H715" s="465">
        <v>1</v>
      </c>
      <c r="I715" s="465">
        <v>1</v>
      </c>
      <c r="J715" s="354"/>
      <c r="K715" s="354"/>
      <c r="L715" s="354"/>
      <c r="M715" s="354"/>
      <c r="N715" s="354"/>
      <c r="O715" s="354"/>
      <c r="P715" s="354"/>
      <c r="Q715" s="354"/>
      <c r="R715" s="354"/>
      <c r="S715" s="354"/>
      <c r="T715" s="354"/>
      <c r="U715" s="354"/>
      <c r="V715" s="354"/>
      <c r="W715" s="354"/>
      <c r="X715" s="329" t="s">
        <v>3130</v>
      </c>
      <c r="Y715" s="330" t="str">
        <f>DB!D184</f>
        <v>HDMI 2.0 Cable 4K 5m</v>
      </c>
      <c r="Z715" s="329" t="s">
        <v>8</v>
      </c>
      <c r="AA715" s="329"/>
      <c r="AC715" s="8"/>
    </row>
    <row r="716" spans="1:29" hidden="1">
      <c r="A716" s="329"/>
      <c r="B716" s="466" t="s">
        <v>3136</v>
      </c>
      <c r="C716" s="467">
        <v>1</v>
      </c>
      <c r="D716" s="467" t="s">
        <v>103</v>
      </c>
      <c r="E716" s="468">
        <v>10000</v>
      </c>
      <c r="F716" s="461">
        <v>10000</v>
      </c>
      <c r="G716" s="377" t="s">
        <v>342</v>
      </c>
      <c r="H716" s="467">
        <v>1</v>
      </c>
      <c r="I716" s="467">
        <v>1</v>
      </c>
      <c r="J716" s="397"/>
      <c r="K716" s="397"/>
      <c r="L716" s="397"/>
      <c r="M716" s="397"/>
      <c r="N716" s="397"/>
      <c r="O716" s="397"/>
      <c r="P716" s="397"/>
      <c r="Q716" s="397"/>
      <c r="R716" s="397"/>
      <c r="S716" s="397"/>
      <c r="T716" s="397"/>
      <c r="U716" s="397"/>
      <c r="V716" s="397"/>
      <c r="W716" s="397"/>
      <c r="X716" s="329" t="s">
        <v>3130</v>
      </c>
      <c r="Y716" s="330"/>
      <c r="Z716" s="329" t="s">
        <v>11</v>
      </c>
      <c r="AA716" s="329"/>
      <c r="AC716" s="8"/>
    </row>
    <row r="717" spans="1:29" hidden="1">
      <c r="A717" s="329"/>
      <c r="B717" s="466" t="s">
        <v>3137</v>
      </c>
      <c r="C717" s="467">
        <v>1</v>
      </c>
      <c r="D717" s="467" t="s">
        <v>466</v>
      </c>
      <c r="E717" s="468">
        <v>2000</v>
      </c>
      <c r="F717" s="461">
        <v>2000</v>
      </c>
      <c r="G717" s="377" t="s">
        <v>342</v>
      </c>
      <c r="H717" s="467">
        <v>1</v>
      </c>
      <c r="I717" s="467">
        <v>1</v>
      </c>
      <c r="J717" s="397"/>
      <c r="K717" s="397"/>
      <c r="L717" s="397"/>
      <c r="M717" s="397"/>
      <c r="N717" s="397"/>
      <c r="O717" s="397"/>
      <c r="P717" s="397"/>
      <c r="Q717" s="397"/>
      <c r="R717" s="397"/>
      <c r="S717" s="397"/>
      <c r="T717" s="397"/>
      <c r="U717" s="397"/>
      <c r="V717" s="397"/>
      <c r="W717" s="397"/>
      <c r="X717" s="329" t="s">
        <v>3130</v>
      </c>
      <c r="Y717" s="330"/>
      <c r="Z717" s="329" t="s">
        <v>3133</v>
      </c>
      <c r="AA717" s="329"/>
      <c r="AC717" s="8"/>
    </row>
    <row r="718" spans="1:29" hidden="1">
      <c r="A718" s="329"/>
      <c r="B718" s="466" t="s">
        <v>3138</v>
      </c>
      <c r="C718" s="467">
        <v>1</v>
      </c>
      <c r="D718" s="467" t="s">
        <v>466</v>
      </c>
      <c r="E718" s="468">
        <v>2000</v>
      </c>
      <c r="F718" s="461">
        <v>2000</v>
      </c>
      <c r="G718" s="377" t="s">
        <v>342</v>
      </c>
      <c r="H718" s="467">
        <v>1</v>
      </c>
      <c r="I718" s="467">
        <v>1</v>
      </c>
      <c r="J718" s="397"/>
      <c r="K718" s="397"/>
      <c r="L718" s="397"/>
      <c r="M718" s="397"/>
      <c r="N718" s="397"/>
      <c r="O718" s="397"/>
      <c r="P718" s="397"/>
      <c r="Q718" s="397"/>
      <c r="R718" s="397"/>
      <c r="S718" s="397"/>
      <c r="T718" s="397"/>
      <c r="U718" s="397"/>
      <c r="V718" s="397"/>
      <c r="W718" s="397"/>
      <c r="X718" s="329" t="s">
        <v>3130</v>
      </c>
      <c r="Y718" s="330"/>
      <c r="Z718" s="329" t="s">
        <v>11</v>
      </c>
      <c r="AA718" s="329"/>
      <c r="AC718" s="8"/>
    </row>
    <row r="719" spans="1:29" hidden="1">
      <c r="A719" s="329"/>
      <c r="B719" s="466" t="s">
        <v>931</v>
      </c>
      <c r="C719" s="467">
        <v>6</v>
      </c>
      <c r="D719" s="467" t="s">
        <v>571</v>
      </c>
      <c r="E719" s="467">
        <v>275</v>
      </c>
      <c r="F719" s="461">
        <v>1650</v>
      </c>
      <c r="G719" s="377" t="s">
        <v>342</v>
      </c>
      <c r="H719" s="467">
        <v>3</v>
      </c>
      <c r="I719" s="467">
        <v>3</v>
      </c>
      <c r="J719" s="397"/>
      <c r="K719" s="397"/>
      <c r="L719" s="397"/>
      <c r="M719" s="397"/>
      <c r="N719" s="397"/>
      <c r="O719" s="397"/>
      <c r="P719" s="467">
        <v>3</v>
      </c>
      <c r="Q719" s="467">
        <v>3</v>
      </c>
      <c r="R719" s="397"/>
      <c r="S719" s="397"/>
      <c r="T719" s="397"/>
      <c r="U719" s="397"/>
      <c r="V719" s="397"/>
      <c r="W719" s="397"/>
      <c r="X719" s="329" t="s">
        <v>3130</v>
      </c>
      <c r="Y719" s="361" t="s">
        <v>199</v>
      </c>
      <c r="Z719" s="329" t="s">
        <v>8</v>
      </c>
      <c r="AA719" s="329"/>
      <c r="AC719" s="8"/>
    </row>
    <row r="720" spans="1:29" hidden="1">
      <c r="A720" s="329"/>
      <c r="B720" s="466" t="s">
        <v>932</v>
      </c>
      <c r="C720" s="467">
        <v>2</v>
      </c>
      <c r="D720" s="467" t="s">
        <v>571</v>
      </c>
      <c r="E720" s="467">
        <v>275</v>
      </c>
      <c r="F720" s="456">
        <v>550</v>
      </c>
      <c r="G720" s="377" t="s">
        <v>342</v>
      </c>
      <c r="H720" s="467">
        <v>2</v>
      </c>
      <c r="I720" s="467">
        <v>1</v>
      </c>
      <c r="J720" s="397">
        <v>1</v>
      </c>
      <c r="K720" s="397"/>
      <c r="L720" s="397"/>
      <c r="M720" s="397"/>
      <c r="N720" s="397"/>
      <c r="O720" s="397"/>
      <c r="P720" s="397"/>
      <c r="Q720" s="397"/>
      <c r="R720" s="397"/>
      <c r="S720" s="397"/>
      <c r="T720" s="397"/>
      <c r="U720" s="397"/>
      <c r="V720" s="397"/>
      <c r="W720" s="397"/>
      <c r="X720" s="329" t="s">
        <v>3130</v>
      </c>
      <c r="Y720" s="361" t="s">
        <v>209</v>
      </c>
      <c r="Z720" s="329" t="s">
        <v>8</v>
      </c>
      <c r="AA720" s="329"/>
      <c r="AC720" s="8"/>
    </row>
    <row r="721" spans="1:29" ht="31.5" hidden="1">
      <c r="A721" s="329"/>
      <c r="B721" s="466" t="s">
        <v>933</v>
      </c>
      <c r="C721" s="467">
        <v>2</v>
      </c>
      <c r="D721" s="467" t="s">
        <v>571</v>
      </c>
      <c r="E721" s="467">
        <v>275</v>
      </c>
      <c r="F721" s="456">
        <v>550</v>
      </c>
      <c r="G721" s="377" t="s">
        <v>342</v>
      </c>
      <c r="H721" s="467">
        <v>2</v>
      </c>
      <c r="I721" s="467">
        <v>1</v>
      </c>
      <c r="J721" s="397">
        <v>1</v>
      </c>
      <c r="K721" s="397"/>
      <c r="L721" s="397"/>
      <c r="M721" s="397"/>
      <c r="N721" s="397"/>
      <c r="O721" s="397"/>
      <c r="P721" s="397"/>
      <c r="Q721" s="397"/>
      <c r="R721" s="397"/>
      <c r="S721" s="397"/>
      <c r="T721" s="397"/>
      <c r="U721" s="397"/>
      <c r="V721" s="397"/>
      <c r="W721" s="397"/>
      <c r="X721" s="329" t="s">
        <v>3130</v>
      </c>
      <c r="Y721" s="361" t="s">
        <v>210</v>
      </c>
      <c r="Z721" s="329" t="s">
        <v>8</v>
      </c>
      <c r="AA721" s="329"/>
      <c r="AC721" s="8"/>
    </row>
    <row r="722" spans="1:29" hidden="1">
      <c r="A722" s="329"/>
      <c r="B722" s="466" t="s">
        <v>934</v>
      </c>
      <c r="C722" s="467">
        <v>2</v>
      </c>
      <c r="D722" s="467" t="s">
        <v>571</v>
      </c>
      <c r="E722" s="467">
        <v>275</v>
      </c>
      <c r="F722" s="456">
        <v>550</v>
      </c>
      <c r="G722" s="377" t="s">
        <v>342</v>
      </c>
      <c r="H722" s="467">
        <v>2</v>
      </c>
      <c r="I722" s="467">
        <v>1</v>
      </c>
      <c r="J722" s="397">
        <v>1</v>
      </c>
      <c r="K722" s="397"/>
      <c r="L722" s="397"/>
      <c r="M722" s="397"/>
      <c r="N722" s="397"/>
      <c r="O722" s="397"/>
      <c r="P722" s="397"/>
      <c r="Q722" s="397"/>
      <c r="R722" s="397"/>
      <c r="S722" s="397"/>
      <c r="T722" s="397"/>
      <c r="U722" s="397"/>
      <c r="V722" s="397"/>
      <c r="W722" s="397"/>
      <c r="X722" s="329" t="s">
        <v>3130</v>
      </c>
      <c r="Y722" s="361" t="s">
        <v>211</v>
      </c>
      <c r="Z722" s="329" t="s">
        <v>8</v>
      </c>
      <c r="AA722" s="329"/>
      <c r="AC722" s="8"/>
    </row>
    <row r="723" spans="1:29" hidden="1">
      <c r="A723" s="329"/>
      <c r="B723" s="338" t="s">
        <v>234</v>
      </c>
      <c r="C723" s="340">
        <v>1</v>
      </c>
      <c r="D723" s="335" t="s">
        <v>103</v>
      </c>
      <c r="E723" s="341">
        <v>480</v>
      </c>
      <c r="F723" s="343">
        <v>480</v>
      </c>
      <c r="G723" s="343" t="s">
        <v>342</v>
      </c>
      <c r="H723" s="454">
        <v>1</v>
      </c>
      <c r="I723" s="340">
        <v>1</v>
      </c>
      <c r="J723" s="344"/>
      <c r="K723" s="344"/>
      <c r="L723" s="455">
        <v>0</v>
      </c>
      <c r="M723" s="340"/>
      <c r="N723" s="344"/>
      <c r="O723" s="344"/>
      <c r="P723" s="455">
        <v>0</v>
      </c>
      <c r="Q723" s="340"/>
      <c r="R723" s="344"/>
      <c r="S723" s="344"/>
      <c r="T723" s="455">
        <v>0</v>
      </c>
      <c r="U723" s="343"/>
      <c r="V723" s="343"/>
      <c r="W723" s="343"/>
      <c r="X723" s="329" t="s">
        <v>133</v>
      </c>
      <c r="Y723" s="336" t="str">
        <f>DB!$D$168</f>
        <v>Keyboard, Full Size, USB 2.0</v>
      </c>
      <c r="Z723" s="329" t="s">
        <v>2946</v>
      </c>
      <c r="AA723" s="329"/>
      <c r="AC723" s="8"/>
    </row>
    <row r="724" spans="1:29" hidden="1">
      <c r="A724" s="329"/>
      <c r="B724" s="334" t="s">
        <v>465</v>
      </c>
      <c r="C724" s="340">
        <v>1</v>
      </c>
      <c r="D724" s="335" t="s">
        <v>466</v>
      </c>
      <c r="E724" s="341">
        <v>149.76</v>
      </c>
      <c r="F724" s="341">
        <v>149.76</v>
      </c>
      <c r="G724" s="341" t="s">
        <v>342</v>
      </c>
      <c r="H724" s="456">
        <v>1</v>
      </c>
      <c r="I724" s="340">
        <v>1</v>
      </c>
      <c r="J724" s="344"/>
      <c r="K724" s="344"/>
      <c r="L724" s="457">
        <v>0</v>
      </c>
      <c r="M724" s="340"/>
      <c r="N724" s="344"/>
      <c r="O724" s="344"/>
      <c r="P724" s="457">
        <v>0</v>
      </c>
      <c r="Q724" s="340"/>
      <c r="R724" s="344"/>
      <c r="S724" s="344"/>
      <c r="T724" s="457">
        <v>0</v>
      </c>
      <c r="U724" s="341"/>
      <c r="V724" s="341"/>
      <c r="W724" s="341"/>
      <c r="X724" s="329" t="s">
        <v>133</v>
      </c>
      <c r="Y724" s="346" t="str">
        <f>DB!$D$169</f>
        <v>Mouse, Optical, USB 2.0</v>
      </c>
      <c r="Z724" s="329" t="s">
        <v>2946</v>
      </c>
      <c r="AA724" s="329"/>
      <c r="AC724" s="8"/>
    </row>
    <row r="725" spans="1:29" hidden="1">
      <c r="A725" s="329"/>
      <c r="B725" s="334" t="s">
        <v>474</v>
      </c>
      <c r="C725" s="341">
        <v>5</v>
      </c>
      <c r="D725" s="341" t="s">
        <v>103</v>
      </c>
      <c r="E725" s="341">
        <v>500</v>
      </c>
      <c r="F725" s="347">
        <v>2500</v>
      </c>
      <c r="G725" s="341" t="s">
        <v>342</v>
      </c>
      <c r="H725" s="456">
        <v>2</v>
      </c>
      <c r="I725" s="341">
        <v>1</v>
      </c>
      <c r="J725" s="341"/>
      <c r="K725" s="341">
        <v>1</v>
      </c>
      <c r="L725" s="456">
        <v>1</v>
      </c>
      <c r="M725" s="341">
        <v>1</v>
      </c>
      <c r="N725" s="341"/>
      <c r="O725" s="341"/>
      <c r="P725" s="456">
        <v>1</v>
      </c>
      <c r="Q725" s="341">
        <v>1</v>
      </c>
      <c r="R725" s="341"/>
      <c r="S725" s="340"/>
      <c r="T725" s="457">
        <v>1</v>
      </c>
      <c r="U725" s="341">
        <v>1</v>
      </c>
      <c r="V725" s="341"/>
      <c r="W725" s="341"/>
      <c r="X725" s="329" t="s">
        <v>133</v>
      </c>
      <c r="Y725" s="330" t="str">
        <f>DB!$D$79</f>
        <v>32GB Flash Drive</v>
      </c>
      <c r="Z725" s="329" t="s">
        <v>8</v>
      </c>
      <c r="AA725" s="329"/>
      <c r="AC725" s="8"/>
    </row>
    <row r="726" spans="1:29" ht="31.5" hidden="1">
      <c r="A726" s="329"/>
      <c r="B726" s="334" t="s">
        <v>475</v>
      </c>
      <c r="C726" s="341">
        <v>2</v>
      </c>
      <c r="D726" s="341" t="s">
        <v>103</v>
      </c>
      <c r="E726" s="347">
        <v>5000</v>
      </c>
      <c r="F726" s="347">
        <v>10000</v>
      </c>
      <c r="G726" s="341" t="s">
        <v>342</v>
      </c>
      <c r="H726" s="456">
        <v>2</v>
      </c>
      <c r="I726" s="341">
        <v>2</v>
      </c>
      <c r="J726" s="341"/>
      <c r="K726" s="341"/>
      <c r="L726" s="456">
        <v>0</v>
      </c>
      <c r="M726" s="341"/>
      <c r="N726" s="341"/>
      <c r="O726" s="341"/>
      <c r="P726" s="456">
        <v>0</v>
      </c>
      <c r="Q726" s="341"/>
      <c r="R726" s="341"/>
      <c r="S726" s="340"/>
      <c r="T726" s="457">
        <v>0</v>
      </c>
      <c r="U726" s="341"/>
      <c r="V726" s="341"/>
      <c r="W726" s="341"/>
      <c r="X726" s="329" t="s">
        <v>133</v>
      </c>
      <c r="Y726" s="330" t="str">
        <f>DB!$D$75</f>
        <v>2TB Slim Portable Hard Drive External HDD</v>
      </c>
      <c r="Z726" s="329" t="s">
        <v>8</v>
      </c>
      <c r="AA726" s="329"/>
      <c r="AC726" s="8"/>
    </row>
    <row r="727" spans="1:29" hidden="1">
      <c r="A727" s="329"/>
      <c r="B727" s="334" t="s">
        <v>476</v>
      </c>
      <c r="C727" s="341">
        <v>1</v>
      </c>
      <c r="D727" s="341" t="s">
        <v>103</v>
      </c>
      <c r="E727" s="347">
        <v>60000</v>
      </c>
      <c r="F727" s="347">
        <v>60000</v>
      </c>
      <c r="G727" s="341" t="s">
        <v>342</v>
      </c>
      <c r="H727" s="456">
        <v>1</v>
      </c>
      <c r="I727" s="341">
        <v>1</v>
      </c>
      <c r="J727" s="341"/>
      <c r="K727" s="341"/>
      <c r="L727" s="456">
        <v>0</v>
      </c>
      <c r="M727" s="341"/>
      <c r="N727" s="341"/>
      <c r="O727" s="341"/>
      <c r="P727" s="456">
        <v>0</v>
      </c>
      <c r="Q727" s="341"/>
      <c r="R727" s="341"/>
      <c r="S727" s="340"/>
      <c r="T727" s="457">
        <v>0</v>
      </c>
      <c r="U727" s="341"/>
      <c r="V727" s="341"/>
      <c r="W727" s="341"/>
      <c r="X727" s="329" t="s">
        <v>133</v>
      </c>
      <c r="Y727" s="330"/>
      <c r="Z727" s="329" t="s">
        <v>688</v>
      </c>
      <c r="AA727" s="329"/>
      <c r="AC727" s="8"/>
    </row>
    <row r="728" spans="1:29" hidden="1">
      <c r="A728" s="329"/>
      <c r="B728" s="334" t="s">
        <v>3021</v>
      </c>
      <c r="C728" s="341">
        <v>1</v>
      </c>
      <c r="D728" s="341" t="s">
        <v>103</v>
      </c>
      <c r="E728" s="347">
        <v>60000</v>
      </c>
      <c r="F728" s="347">
        <v>60000</v>
      </c>
      <c r="G728" s="341" t="s">
        <v>342</v>
      </c>
      <c r="H728" s="456">
        <v>1</v>
      </c>
      <c r="I728" s="341">
        <v>1</v>
      </c>
      <c r="J728" s="341"/>
      <c r="K728" s="341"/>
      <c r="L728" s="456">
        <v>0</v>
      </c>
      <c r="M728" s="341"/>
      <c r="N728" s="341"/>
      <c r="O728" s="341"/>
      <c r="P728" s="456">
        <v>0</v>
      </c>
      <c r="Q728" s="341"/>
      <c r="R728" s="341"/>
      <c r="S728" s="340"/>
      <c r="T728" s="457">
        <v>0</v>
      </c>
      <c r="U728" s="341"/>
      <c r="V728" s="341"/>
      <c r="W728" s="341"/>
      <c r="X728" s="329" t="s">
        <v>133</v>
      </c>
      <c r="Y728" s="330"/>
      <c r="Z728" s="329" t="s">
        <v>688</v>
      </c>
      <c r="AA728" s="329"/>
      <c r="AC728" s="8"/>
    </row>
    <row r="729" spans="1:29" hidden="1">
      <c r="A729" s="329"/>
      <c r="B729" s="334" t="s">
        <v>3022</v>
      </c>
      <c r="C729" s="341">
        <v>2</v>
      </c>
      <c r="D729" s="341" t="s">
        <v>103</v>
      </c>
      <c r="E729" s="347">
        <v>35000</v>
      </c>
      <c r="F729" s="347">
        <v>70000</v>
      </c>
      <c r="G729" s="341" t="s">
        <v>342</v>
      </c>
      <c r="H729" s="456">
        <v>2</v>
      </c>
      <c r="I729" s="341">
        <v>2</v>
      </c>
      <c r="J729" s="341"/>
      <c r="K729" s="341"/>
      <c r="L729" s="456">
        <v>0</v>
      </c>
      <c r="M729" s="341"/>
      <c r="N729" s="341"/>
      <c r="O729" s="341"/>
      <c r="P729" s="456">
        <v>0</v>
      </c>
      <c r="Q729" s="341"/>
      <c r="R729" s="341"/>
      <c r="S729" s="340"/>
      <c r="T729" s="457">
        <v>0</v>
      </c>
      <c r="U729" s="341"/>
      <c r="V729" s="341"/>
      <c r="W729" s="341"/>
      <c r="X729" s="329" t="s">
        <v>133</v>
      </c>
      <c r="Y729" s="330" t="str">
        <f>DB!$D$73</f>
        <v>Webcam Professional Full HD</v>
      </c>
      <c r="Z729" s="329" t="s">
        <v>8</v>
      </c>
      <c r="AA729" s="329"/>
      <c r="AC729" s="8"/>
    </row>
    <row r="730" spans="1:29" hidden="1">
      <c r="A730" s="329"/>
      <c r="B730" s="334" t="s">
        <v>3023</v>
      </c>
      <c r="C730" s="341">
        <v>1</v>
      </c>
      <c r="D730" s="341" t="s">
        <v>103</v>
      </c>
      <c r="E730" s="347">
        <v>5000</v>
      </c>
      <c r="F730" s="347">
        <v>5000</v>
      </c>
      <c r="G730" s="341" t="s">
        <v>342</v>
      </c>
      <c r="H730" s="456">
        <v>1</v>
      </c>
      <c r="I730" s="341">
        <v>1</v>
      </c>
      <c r="J730" s="341"/>
      <c r="K730" s="341"/>
      <c r="L730" s="456">
        <v>0</v>
      </c>
      <c r="M730" s="341"/>
      <c r="N730" s="341"/>
      <c r="O730" s="341"/>
      <c r="P730" s="456">
        <v>0</v>
      </c>
      <c r="Q730" s="341"/>
      <c r="R730" s="341"/>
      <c r="S730" s="340"/>
      <c r="T730" s="457">
        <v>0</v>
      </c>
      <c r="U730" s="341"/>
      <c r="V730" s="341"/>
      <c r="W730" s="341"/>
      <c r="X730" s="329" t="s">
        <v>133</v>
      </c>
      <c r="Y730" s="330"/>
      <c r="Z730" s="329" t="s">
        <v>11</v>
      </c>
      <c r="AA730" s="329"/>
      <c r="AC730" s="8"/>
    </row>
    <row r="731" spans="1:29" hidden="1">
      <c r="A731" s="329"/>
      <c r="B731" s="334" t="s">
        <v>3024</v>
      </c>
      <c r="C731" s="341">
        <v>1</v>
      </c>
      <c r="D731" s="341" t="s">
        <v>103</v>
      </c>
      <c r="E731" s="347">
        <v>5000</v>
      </c>
      <c r="F731" s="347">
        <v>5000</v>
      </c>
      <c r="G731" s="341" t="s">
        <v>342</v>
      </c>
      <c r="H731" s="456">
        <v>1</v>
      </c>
      <c r="I731" s="341">
        <v>1</v>
      </c>
      <c r="J731" s="341"/>
      <c r="K731" s="341"/>
      <c r="L731" s="456">
        <v>0</v>
      </c>
      <c r="M731" s="341"/>
      <c r="N731" s="341"/>
      <c r="O731" s="341"/>
      <c r="P731" s="456">
        <v>0</v>
      </c>
      <c r="Q731" s="341"/>
      <c r="R731" s="341"/>
      <c r="S731" s="340"/>
      <c r="T731" s="457">
        <v>0</v>
      </c>
      <c r="U731" s="341"/>
      <c r="V731" s="341"/>
      <c r="W731" s="341"/>
      <c r="X731" s="329" t="s">
        <v>133</v>
      </c>
      <c r="Y731" s="330"/>
      <c r="Z731" s="329" t="s">
        <v>11</v>
      </c>
      <c r="AA731" s="329"/>
      <c r="AC731" s="8"/>
    </row>
    <row r="732" spans="1:29" hidden="1">
      <c r="A732" s="329"/>
      <c r="B732" s="334" t="s">
        <v>3025</v>
      </c>
      <c r="C732" s="341">
        <v>1</v>
      </c>
      <c r="D732" s="341" t="s">
        <v>103</v>
      </c>
      <c r="E732" s="341">
        <v>500</v>
      </c>
      <c r="F732" s="341">
        <v>500</v>
      </c>
      <c r="G732" s="341" t="s">
        <v>342</v>
      </c>
      <c r="H732" s="456">
        <v>1</v>
      </c>
      <c r="I732" s="341">
        <v>1</v>
      </c>
      <c r="J732" s="341"/>
      <c r="K732" s="341"/>
      <c r="L732" s="456">
        <v>0</v>
      </c>
      <c r="M732" s="341"/>
      <c r="N732" s="341"/>
      <c r="O732" s="341"/>
      <c r="P732" s="456">
        <v>0</v>
      </c>
      <c r="Q732" s="341"/>
      <c r="R732" s="341"/>
      <c r="S732" s="340"/>
      <c r="T732" s="457">
        <v>0</v>
      </c>
      <c r="U732" s="341"/>
      <c r="V732" s="341"/>
      <c r="W732" s="341"/>
      <c r="X732" s="329" t="s">
        <v>133</v>
      </c>
      <c r="Y732" s="330"/>
      <c r="Z732" s="329" t="s">
        <v>11</v>
      </c>
      <c r="AA732" s="329"/>
      <c r="AC732" s="8"/>
    </row>
    <row r="733" spans="1:29" hidden="1">
      <c r="A733" s="329"/>
      <c r="B733" s="334" t="s">
        <v>3026</v>
      </c>
      <c r="C733" s="341">
        <v>1</v>
      </c>
      <c r="D733" s="341" t="s">
        <v>3027</v>
      </c>
      <c r="E733" s="341">
        <v>500</v>
      </c>
      <c r="F733" s="341">
        <v>500</v>
      </c>
      <c r="G733" s="341" t="s">
        <v>342</v>
      </c>
      <c r="H733" s="456">
        <v>1</v>
      </c>
      <c r="I733" s="341">
        <v>1</v>
      </c>
      <c r="J733" s="341"/>
      <c r="K733" s="341"/>
      <c r="L733" s="456">
        <v>0</v>
      </c>
      <c r="M733" s="341"/>
      <c r="N733" s="341"/>
      <c r="O733" s="341"/>
      <c r="P733" s="456">
        <v>0</v>
      </c>
      <c r="Q733" s="341"/>
      <c r="R733" s="341"/>
      <c r="S733" s="340"/>
      <c r="T733" s="457">
        <v>0</v>
      </c>
      <c r="U733" s="341"/>
      <c r="V733" s="341"/>
      <c r="W733" s="341"/>
      <c r="X733" s="329" t="s">
        <v>133</v>
      </c>
      <c r="Y733" s="330"/>
      <c r="Z733" s="329" t="s">
        <v>11</v>
      </c>
      <c r="AA733" s="329"/>
      <c r="AC733" s="8"/>
    </row>
    <row r="734" spans="1:29" ht="31.5" hidden="1">
      <c r="A734" s="329"/>
      <c r="B734" s="334" t="s">
        <v>527</v>
      </c>
      <c r="C734" s="341">
        <v>1</v>
      </c>
      <c r="D734" s="341" t="s">
        <v>103</v>
      </c>
      <c r="E734" s="347">
        <v>55000</v>
      </c>
      <c r="F734" s="347">
        <v>55000</v>
      </c>
      <c r="G734" s="341" t="s">
        <v>342</v>
      </c>
      <c r="H734" s="456">
        <v>1</v>
      </c>
      <c r="I734" s="341">
        <v>1</v>
      </c>
      <c r="J734" s="341"/>
      <c r="K734" s="341"/>
      <c r="L734" s="456">
        <v>0</v>
      </c>
      <c r="M734" s="341"/>
      <c r="N734" s="341"/>
      <c r="O734" s="341"/>
      <c r="P734" s="456">
        <v>0</v>
      </c>
      <c r="Q734" s="341"/>
      <c r="R734" s="341"/>
      <c r="S734" s="340"/>
      <c r="T734" s="457">
        <v>0</v>
      </c>
      <c r="U734" s="341"/>
      <c r="V734" s="341"/>
      <c r="W734" s="341"/>
      <c r="X734" s="329" t="s">
        <v>133</v>
      </c>
      <c r="Y734" s="330" t="str">
        <f>DB!D191</f>
        <v>Android Tablet (USB-C) 10" screen with pen</v>
      </c>
      <c r="Z734" s="329" t="s">
        <v>8</v>
      </c>
      <c r="AA734" s="329"/>
      <c r="AC734" s="8"/>
    </row>
    <row r="735" spans="1:29" hidden="1">
      <c r="A735" s="329"/>
      <c r="B735" s="338" t="s">
        <v>528</v>
      </c>
      <c r="C735" s="343">
        <v>60</v>
      </c>
      <c r="D735" s="343" t="s">
        <v>103</v>
      </c>
      <c r="E735" s="343">
        <v>249.6</v>
      </c>
      <c r="F735" s="348">
        <v>14976</v>
      </c>
      <c r="G735" s="341" t="s">
        <v>342</v>
      </c>
      <c r="H735" s="343">
        <v>15</v>
      </c>
      <c r="I735" s="343">
        <v>5</v>
      </c>
      <c r="J735" s="343">
        <v>5</v>
      </c>
      <c r="K735" s="343">
        <v>5</v>
      </c>
      <c r="L735" s="343">
        <v>15</v>
      </c>
      <c r="M735" s="343">
        <v>5</v>
      </c>
      <c r="N735" s="343">
        <v>5</v>
      </c>
      <c r="O735" s="343">
        <v>5</v>
      </c>
      <c r="P735" s="343">
        <v>15</v>
      </c>
      <c r="Q735" s="343">
        <v>5</v>
      </c>
      <c r="R735" s="343">
        <v>5</v>
      </c>
      <c r="S735" s="343">
        <v>5</v>
      </c>
      <c r="T735" s="343">
        <v>15</v>
      </c>
      <c r="U735" s="343">
        <v>5</v>
      </c>
      <c r="V735" s="343">
        <v>5</v>
      </c>
      <c r="W735" s="343">
        <v>5</v>
      </c>
      <c r="X735" s="329" t="s">
        <v>133</v>
      </c>
      <c r="Y735" s="330" t="str">
        <f>DB!$D$102</f>
        <v>Epson Genuine Ink T6641 Black</v>
      </c>
      <c r="Z735" s="329" t="s">
        <v>8</v>
      </c>
      <c r="AA735" s="329"/>
      <c r="AC735" s="8"/>
    </row>
    <row r="736" spans="1:29" hidden="1">
      <c r="A736" s="329"/>
      <c r="B736" s="334" t="s">
        <v>529</v>
      </c>
      <c r="C736" s="341">
        <v>30</v>
      </c>
      <c r="D736" s="341" t="s">
        <v>103</v>
      </c>
      <c r="E736" s="341">
        <v>249.6</v>
      </c>
      <c r="F736" s="348">
        <v>7488</v>
      </c>
      <c r="G736" s="341" t="s">
        <v>342</v>
      </c>
      <c r="H736" s="341">
        <v>7</v>
      </c>
      <c r="I736" s="341">
        <v>3</v>
      </c>
      <c r="J736" s="341">
        <v>2</v>
      </c>
      <c r="K736" s="341">
        <v>2</v>
      </c>
      <c r="L736" s="341">
        <v>8</v>
      </c>
      <c r="M736" s="341">
        <v>3</v>
      </c>
      <c r="N736" s="341">
        <v>2</v>
      </c>
      <c r="O736" s="341">
        <v>3</v>
      </c>
      <c r="P736" s="341">
        <v>7</v>
      </c>
      <c r="Q736" s="341">
        <v>3</v>
      </c>
      <c r="R736" s="341">
        <v>2</v>
      </c>
      <c r="S736" s="341">
        <v>2</v>
      </c>
      <c r="T736" s="341">
        <v>8</v>
      </c>
      <c r="U736" s="341">
        <v>3</v>
      </c>
      <c r="V736" s="341">
        <v>2</v>
      </c>
      <c r="W736" s="341">
        <v>3</v>
      </c>
      <c r="X736" s="329" t="s">
        <v>133</v>
      </c>
      <c r="Y736" s="330" t="str">
        <f>DB!$D$103</f>
        <v>Epson Genuine Ink T6642 Cyan</v>
      </c>
      <c r="Z736" s="351" t="s">
        <v>8</v>
      </c>
      <c r="AA736" s="329"/>
      <c r="AC736" s="8"/>
    </row>
    <row r="737" spans="1:29" ht="31.5" hidden="1">
      <c r="A737" s="329"/>
      <c r="B737" s="334" t="s">
        <v>530</v>
      </c>
      <c r="C737" s="341">
        <v>30</v>
      </c>
      <c r="D737" s="341" t="s">
        <v>103</v>
      </c>
      <c r="E737" s="341">
        <v>249.6</v>
      </c>
      <c r="F737" s="348">
        <v>7488</v>
      </c>
      <c r="G737" s="341" t="s">
        <v>342</v>
      </c>
      <c r="H737" s="341">
        <v>7</v>
      </c>
      <c r="I737" s="341">
        <v>3</v>
      </c>
      <c r="J737" s="341">
        <v>2</v>
      </c>
      <c r="K737" s="341">
        <v>2</v>
      </c>
      <c r="L737" s="341">
        <v>8</v>
      </c>
      <c r="M737" s="341">
        <v>3</v>
      </c>
      <c r="N737" s="341">
        <v>2</v>
      </c>
      <c r="O737" s="341">
        <v>3</v>
      </c>
      <c r="P737" s="341">
        <v>7</v>
      </c>
      <c r="Q737" s="341">
        <v>3</v>
      </c>
      <c r="R737" s="341">
        <v>2</v>
      </c>
      <c r="S737" s="341">
        <v>2</v>
      </c>
      <c r="T737" s="341">
        <v>8</v>
      </c>
      <c r="U737" s="341">
        <v>3</v>
      </c>
      <c r="V737" s="341">
        <v>2</v>
      </c>
      <c r="W737" s="341">
        <v>3</v>
      </c>
      <c r="X737" s="329" t="s">
        <v>133</v>
      </c>
      <c r="Y737" s="330" t="str">
        <f>DB!$D$104</f>
        <v>Epson Genuine Ink T6643 Magenta</v>
      </c>
      <c r="Z737" s="351" t="s">
        <v>8</v>
      </c>
      <c r="AA737" s="329"/>
      <c r="AC737" s="8"/>
    </row>
    <row r="738" spans="1:29" ht="31.5" hidden="1">
      <c r="A738" s="329"/>
      <c r="B738" s="334" t="s">
        <v>531</v>
      </c>
      <c r="C738" s="341">
        <v>30</v>
      </c>
      <c r="D738" s="341" t="s">
        <v>103</v>
      </c>
      <c r="E738" s="341">
        <v>249.6</v>
      </c>
      <c r="F738" s="348">
        <v>7488</v>
      </c>
      <c r="G738" s="341" t="s">
        <v>342</v>
      </c>
      <c r="H738" s="341">
        <v>7</v>
      </c>
      <c r="I738" s="341">
        <v>3</v>
      </c>
      <c r="J738" s="341">
        <v>2</v>
      </c>
      <c r="K738" s="341">
        <v>2</v>
      </c>
      <c r="L738" s="341">
        <v>8</v>
      </c>
      <c r="M738" s="341">
        <v>3</v>
      </c>
      <c r="N738" s="341">
        <v>2</v>
      </c>
      <c r="O738" s="341">
        <v>3</v>
      </c>
      <c r="P738" s="341">
        <v>7</v>
      </c>
      <c r="Q738" s="341">
        <v>3</v>
      </c>
      <c r="R738" s="341">
        <v>2</v>
      </c>
      <c r="S738" s="341">
        <v>2</v>
      </c>
      <c r="T738" s="341">
        <v>8</v>
      </c>
      <c r="U738" s="341">
        <v>3</v>
      </c>
      <c r="V738" s="341">
        <v>2</v>
      </c>
      <c r="W738" s="341">
        <v>3</v>
      </c>
      <c r="X738" s="329" t="s">
        <v>133</v>
      </c>
      <c r="Y738" s="330" t="str">
        <f>DB!$D$105</f>
        <v>Epson Genuine Ink T6644 Yellow</v>
      </c>
      <c r="Z738" s="351" t="s">
        <v>8</v>
      </c>
      <c r="AA738" s="329"/>
      <c r="AC738" s="8"/>
    </row>
    <row r="739" spans="1:29" hidden="1">
      <c r="A739" s="329"/>
      <c r="B739" s="338" t="s">
        <v>3139</v>
      </c>
      <c r="C739" s="343">
        <v>20</v>
      </c>
      <c r="D739" s="343" t="s">
        <v>103</v>
      </c>
      <c r="E739" s="342">
        <v>9240</v>
      </c>
      <c r="F739" s="342">
        <v>184800</v>
      </c>
      <c r="G739" s="343" t="s">
        <v>342</v>
      </c>
      <c r="H739" s="343">
        <v>5</v>
      </c>
      <c r="I739" s="343">
        <v>5</v>
      </c>
      <c r="J739" s="343"/>
      <c r="K739" s="343"/>
      <c r="L739" s="343">
        <v>5</v>
      </c>
      <c r="M739" s="343">
        <v>5</v>
      </c>
      <c r="N739" s="343"/>
      <c r="O739" s="343"/>
      <c r="P739" s="343">
        <v>5</v>
      </c>
      <c r="Q739" s="343">
        <v>5</v>
      </c>
      <c r="R739" s="343"/>
      <c r="S739" s="343"/>
      <c r="T739" s="343">
        <v>5</v>
      </c>
      <c r="U739" s="343">
        <v>5</v>
      </c>
      <c r="V739" s="343"/>
      <c r="W739" s="343"/>
      <c r="X739" s="329" t="s">
        <v>184</v>
      </c>
      <c r="Y739" s="330"/>
      <c r="Z739" s="329" t="s">
        <v>2952</v>
      </c>
      <c r="AA739" s="329"/>
      <c r="AC739" s="8"/>
    </row>
    <row r="740" spans="1:29" ht="31.5" hidden="1">
      <c r="A740" s="329"/>
      <c r="B740" s="334" t="s">
        <v>807</v>
      </c>
      <c r="C740" s="341">
        <v>16</v>
      </c>
      <c r="D740" s="341" t="s">
        <v>103</v>
      </c>
      <c r="E740" s="341">
        <v>365</v>
      </c>
      <c r="F740" s="347">
        <v>5840</v>
      </c>
      <c r="G740" s="341" t="s">
        <v>342</v>
      </c>
      <c r="H740" s="341">
        <v>4</v>
      </c>
      <c r="I740" s="341">
        <v>4</v>
      </c>
      <c r="J740" s="341"/>
      <c r="K740" s="341"/>
      <c r="L740" s="341">
        <v>4</v>
      </c>
      <c r="M740" s="341">
        <v>4</v>
      </c>
      <c r="N740" s="341"/>
      <c r="O740" s="341"/>
      <c r="P740" s="341">
        <v>4</v>
      </c>
      <c r="Q740" s="341">
        <v>4</v>
      </c>
      <c r="R740" s="341"/>
      <c r="S740" s="341"/>
      <c r="T740" s="341">
        <v>4</v>
      </c>
      <c r="U740" s="341">
        <v>4</v>
      </c>
      <c r="V740" s="341"/>
      <c r="W740" s="341"/>
      <c r="X740" s="329" t="s">
        <v>184</v>
      </c>
      <c r="Y740" s="369" t="str">
        <f>DB!$D$110</f>
        <v>HP Genuine Ink Refill - (GT53) Black</v>
      </c>
      <c r="Z740" s="329" t="s">
        <v>8</v>
      </c>
      <c r="AA740" s="329"/>
      <c r="AC740" s="8"/>
    </row>
    <row r="741" spans="1:29" ht="31.5" hidden="1">
      <c r="A741" s="329"/>
      <c r="B741" s="334" t="s">
        <v>808</v>
      </c>
      <c r="C741" s="341">
        <v>10</v>
      </c>
      <c r="D741" s="341" t="s">
        <v>103</v>
      </c>
      <c r="E741" s="341">
        <v>305</v>
      </c>
      <c r="F741" s="347">
        <v>3050</v>
      </c>
      <c r="G741" s="341" t="s">
        <v>342</v>
      </c>
      <c r="H741" s="341">
        <v>5</v>
      </c>
      <c r="I741" s="341">
        <v>5</v>
      </c>
      <c r="J741" s="341"/>
      <c r="K741" s="341"/>
      <c r="L741" s="341">
        <v>5</v>
      </c>
      <c r="M741" s="341">
        <v>5</v>
      </c>
      <c r="N741" s="341"/>
      <c r="O741" s="341"/>
      <c r="P741" s="341">
        <v>5</v>
      </c>
      <c r="Q741" s="341">
        <v>5</v>
      </c>
      <c r="R741" s="341"/>
      <c r="S741" s="341"/>
      <c r="T741" s="341">
        <v>5</v>
      </c>
      <c r="U741" s="341">
        <v>5</v>
      </c>
      <c r="V741" s="341"/>
      <c r="W741" s="341"/>
      <c r="X741" s="329" t="s">
        <v>184</v>
      </c>
      <c r="Y741" s="330" t="str">
        <f>DB!$D$112</f>
        <v>HP Genuine Ink Refill - (GT52) Cyan</v>
      </c>
      <c r="Z741" s="329" t="s">
        <v>8</v>
      </c>
      <c r="AA741" s="329"/>
      <c r="AC741" s="8"/>
    </row>
    <row r="742" spans="1:29" ht="31.5" hidden="1">
      <c r="A742" s="329"/>
      <c r="B742" s="334" t="s">
        <v>809</v>
      </c>
      <c r="C742" s="341">
        <v>10</v>
      </c>
      <c r="D742" s="341" t="s">
        <v>103</v>
      </c>
      <c r="E742" s="341">
        <v>305</v>
      </c>
      <c r="F742" s="347">
        <v>3050</v>
      </c>
      <c r="G742" s="341" t="s">
        <v>342</v>
      </c>
      <c r="H742" s="341">
        <v>5</v>
      </c>
      <c r="I742" s="341">
        <v>5</v>
      </c>
      <c r="J742" s="341"/>
      <c r="K742" s="341"/>
      <c r="L742" s="341">
        <v>5</v>
      </c>
      <c r="M742" s="341">
        <v>5</v>
      </c>
      <c r="N742" s="341"/>
      <c r="O742" s="341"/>
      <c r="P742" s="341">
        <v>5</v>
      </c>
      <c r="Q742" s="341">
        <v>5</v>
      </c>
      <c r="R742" s="341"/>
      <c r="S742" s="341"/>
      <c r="T742" s="341">
        <v>5</v>
      </c>
      <c r="U742" s="341">
        <v>5</v>
      </c>
      <c r="V742" s="341"/>
      <c r="W742" s="341"/>
      <c r="X742" s="329" t="s">
        <v>184</v>
      </c>
      <c r="Y742" s="330" t="str">
        <f>DB!$D$113</f>
        <v>HP Genuine Ink Refill - (GT52) Yellow</v>
      </c>
      <c r="Z742" s="329" t="s">
        <v>8</v>
      </c>
      <c r="AA742" s="329"/>
      <c r="AC742" s="8"/>
    </row>
    <row r="743" spans="1:29" ht="31.5" hidden="1">
      <c r="A743" s="329"/>
      <c r="B743" s="334" t="s">
        <v>810</v>
      </c>
      <c r="C743" s="341">
        <v>10</v>
      </c>
      <c r="D743" s="341" t="s">
        <v>103</v>
      </c>
      <c r="E743" s="341">
        <v>305</v>
      </c>
      <c r="F743" s="347">
        <v>3050</v>
      </c>
      <c r="G743" s="341" t="s">
        <v>342</v>
      </c>
      <c r="H743" s="341">
        <v>5</v>
      </c>
      <c r="I743" s="341">
        <v>5</v>
      </c>
      <c r="J743" s="341"/>
      <c r="K743" s="341"/>
      <c r="L743" s="341">
        <v>5</v>
      </c>
      <c r="M743" s="341">
        <v>5</v>
      </c>
      <c r="N743" s="341"/>
      <c r="O743" s="341"/>
      <c r="P743" s="341">
        <v>5</v>
      </c>
      <c r="Q743" s="341">
        <v>5</v>
      </c>
      <c r="R743" s="341"/>
      <c r="S743" s="341"/>
      <c r="T743" s="341">
        <v>5</v>
      </c>
      <c r="U743" s="341">
        <v>5</v>
      </c>
      <c r="V743" s="341"/>
      <c r="W743" s="341"/>
      <c r="X743" s="329" t="s">
        <v>184</v>
      </c>
      <c r="Y743" s="330" t="str">
        <f>DB!$D$111</f>
        <v>HP Genuine Ink Refill - (GT52) Magenta</v>
      </c>
      <c r="Z743" s="329" t="s">
        <v>8</v>
      </c>
      <c r="AA743" s="329"/>
      <c r="AC743" s="8"/>
    </row>
    <row r="744" spans="1:29" ht="31.5" hidden="1">
      <c r="A744" s="329"/>
      <c r="B744" s="334" t="s">
        <v>3140</v>
      </c>
      <c r="C744" s="341">
        <v>5</v>
      </c>
      <c r="D744" s="341" t="s">
        <v>638</v>
      </c>
      <c r="E744" s="341">
        <v>330</v>
      </c>
      <c r="F744" s="347">
        <v>1650</v>
      </c>
      <c r="G744" s="341" t="s">
        <v>342</v>
      </c>
      <c r="H744" s="341">
        <v>0</v>
      </c>
      <c r="I744" s="341"/>
      <c r="J744" s="341"/>
      <c r="K744" s="341"/>
      <c r="L744" s="341">
        <v>5</v>
      </c>
      <c r="M744" s="341">
        <v>5</v>
      </c>
      <c r="N744" s="341"/>
      <c r="O744" s="341"/>
      <c r="P744" s="341">
        <v>0</v>
      </c>
      <c r="Q744" s="341"/>
      <c r="R744" s="341"/>
      <c r="S744" s="341"/>
      <c r="T744" s="341">
        <v>5</v>
      </c>
      <c r="U744" s="341">
        <v>5</v>
      </c>
      <c r="V744" s="341"/>
      <c r="W744" s="341"/>
      <c r="X744" s="329" t="s">
        <v>184</v>
      </c>
      <c r="Y744" s="361" t="s">
        <v>199</v>
      </c>
      <c r="Z744" s="329" t="s">
        <v>8</v>
      </c>
      <c r="AA744" s="329"/>
      <c r="AC744" s="8"/>
    </row>
    <row r="745" spans="1:29" hidden="1">
      <c r="A745" s="329"/>
      <c r="B745" s="334" t="s">
        <v>3141</v>
      </c>
      <c r="C745" s="341">
        <v>5</v>
      </c>
      <c r="D745" s="341" t="s">
        <v>638</v>
      </c>
      <c r="E745" s="341">
        <v>420</v>
      </c>
      <c r="F745" s="347">
        <v>2100</v>
      </c>
      <c r="G745" s="341" t="s">
        <v>342</v>
      </c>
      <c r="H745" s="341">
        <v>0</v>
      </c>
      <c r="I745" s="341"/>
      <c r="J745" s="341"/>
      <c r="K745" s="341"/>
      <c r="L745" s="341">
        <v>5</v>
      </c>
      <c r="M745" s="341">
        <v>5</v>
      </c>
      <c r="N745" s="341"/>
      <c r="O745" s="341"/>
      <c r="P745" s="341">
        <v>0</v>
      </c>
      <c r="Q745" s="341"/>
      <c r="R745" s="341"/>
      <c r="S745" s="341"/>
      <c r="T745" s="341">
        <v>5</v>
      </c>
      <c r="U745" s="341">
        <v>5</v>
      </c>
      <c r="V745" s="341"/>
      <c r="W745" s="341"/>
      <c r="X745" s="329" t="s">
        <v>184</v>
      </c>
      <c r="Y745" s="361" t="s">
        <v>209</v>
      </c>
      <c r="Z745" s="329" t="s">
        <v>8</v>
      </c>
      <c r="AA745" s="329"/>
      <c r="AC745" s="8"/>
    </row>
    <row r="746" spans="1:29" ht="31.5" hidden="1">
      <c r="A746" s="329"/>
      <c r="B746" s="334" t="s">
        <v>3142</v>
      </c>
      <c r="C746" s="341">
        <v>5</v>
      </c>
      <c r="D746" s="341" t="s">
        <v>638</v>
      </c>
      <c r="E746" s="341">
        <v>420</v>
      </c>
      <c r="F746" s="347">
        <v>2100</v>
      </c>
      <c r="G746" s="341" t="s">
        <v>342</v>
      </c>
      <c r="H746" s="341">
        <v>0</v>
      </c>
      <c r="I746" s="341"/>
      <c r="J746" s="341"/>
      <c r="K746" s="341"/>
      <c r="L746" s="341">
        <v>5</v>
      </c>
      <c r="M746" s="341">
        <v>5</v>
      </c>
      <c r="N746" s="341"/>
      <c r="O746" s="341"/>
      <c r="P746" s="341">
        <v>0</v>
      </c>
      <c r="Q746" s="341"/>
      <c r="R746" s="341"/>
      <c r="S746" s="341"/>
      <c r="T746" s="341">
        <v>5</v>
      </c>
      <c r="U746" s="341">
        <v>5</v>
      </c>
      <c r="V746" s="341"/>
      <c r="W746" s="341"/>
      <c r="X746" s="329" t="s">
        <v>184</v>
      </c>
      <c r="Y746" s="361" t="s">
        <v>210</v>
      </c>
      <c r="Z746" s="329" t="s">
        <v>8</v>
      </c>
      <c r="AA746" s="329"/>
      <c r="AC746" s="8"/>
    </row>
    <row r="747" spans="1:29" ht="31.5" hidden="1">
      <c r="A747" s="329"/>
      <c r="B747" s="353" t="s">
        <v>3143</v>
      </c>
      <c r="C747" s="354">
        <v>5</v>
      </c>
      <c r="D747" s="341" t="s">
        <v>638</v>
      </c>
      <c r="E747" s="341">
        <v>420</v>
      </c>
      <c r="F747" s="347">
        <v>2100</v>
      </c>
      <c r="G747" s="341" t="s">
        <v>342</v>
      </c>
      <c r="H747" s="341">
        <v>0</v>
      </c>
      <c r="I747" s="341"/>
      <c r="J747" s="341"/>
      <c r="K747" s="341"/>
      <c r="L747" s="341">
        <v>5</v>
      </c>
      <c r="M747" s="341">
        <v>5</v>
      </c>
      <c r="N747" s="341"/>
      <c r="O747" s="341"/>
      <c r="P747" s="341">
        <v>0</v>
      </c>
      <c r="Q747" s="341"/>
      <c r="R747" s="341"/>
      <c r="S747" s="341"/>
      <c r="T747" s="341">
        <v>5</v>
      </c>
      <c r="U747" s="341">
        <v>5</v>
      </c>
      <c r="V747" s="341"/>
      <c r="W747" s="341"/>
      <c r="X747" s="329" t="s">
        <v>184</v>
      </c>
      <c r="Y747" s="361" t="s">
        <v>211</v>
      </c>
      <c r="Z747" s="329" t="s">
        <v>8</v>
      </c>
      <c r="AA747" s="329"/>
      <c r="AC747" s="8"/>
    </row>
    <row r="748" spans="1:29" ht="31.5" hidden="1">
      <c r="A748" s="329"/>
      <c r="B748" s="333" t="s">
        <v>557</v>
      </c>
      <c r="C748" s="397">
        <v>10</v>
      </c>
      <c r="D748" s="341" t="s">
        <v>103</v>
      </c>
      <c r="E748" s="341">
        <v>339.75</v>
      </c>
      <c r="F748" s="347">
        <v>3397.5</v>
      </c>
      <c r="G748" s="341" t="s">
        <v>342</v>
      </c>
      <c r="H748" s="341">
        <v>5</v>
      </c>
      <c r="I748" s="341">
        <v>5</v>
      </c>
      <c r="J748" s="341"/>
      <c r="K748" s="341"/>
      <c r="L748" s="341">
        <v>0</v>
      </c>
      <c r="M748" s="341"/>
      <c r="N748" s="341"/>
      <c r="O748" s="341"/>
      <c r="P748" s="341">
        <v>5</v>
      </c>
      <c r="Q748" s="341">
        <v>5</v>
      </c>
      <c r="R748" s="341"/>
      <c r="S748" s="341"/>
      <c r="T748" s="341">
        <v>0</v>
      </c>
      <c r="U748" s="341"/>
      <c r="V748" s="341"/>
      <c r="W748" s="341"/>
      <c r="X748" s="329" t="s">
        <v>184</v>
      </c>
      <c r="Y748" s="330" t="str">
        <f>DB!$D$102</f>
        <v>Epson Genuine Ink T6641 Black</v>
      </c>
      <c r="Z748" s="329" t="s">
        <v>8</v>
      </c>
      <c r="AA748" s="329"/>
      <c r="AC748" s="8"/>
    </row>
    <row r="749" spans="1:29" hidden="1">
      <c r="A749" s="329"/>
      <c r="B749" s="333" t="s">
        <v>558</v>
      </c>
      <c r="C749" s="397">
        <v>5</v>
      </c>
      <c r="D749" s="341" t="s">
        <v>103</v>
      </c>
      <c r="E749" s="341">
        <v>345</v>
      </c>
      <c r="F749" s="347">
        <v>1725</v>
      </c>
      <c r="G749" s="341" t="s">
        <v>342</v>
      </c>
      <c r="H749" s="341">
        <v>0</v>
      </c>
      <c r="I749" s="341"/>
      <c r="J749" s="341"/>
      <c r="K749" s="341"/>
      <c r="L749" s="341">
        <v>5</v>
      </c>
      <c r="M749" s="341">
        <v>5</v>
      </c>
      <c r="N749" s="341"/>
      <c r="O749" s="341"/>
      <c r="P749" s="341">
        <v>0</v>
      </c>
      <c r="Q749" s="341"/>
      <c r="R749" s="341"/>
      <c r="S749" s="341"/>
      <c r="T749" s="341">
        <v>0</v>
      </c>
      <c r="U749" s="341"/>
      <c r="V749" s="341"/>
      <c r="W749" s="341"/>
      <c r="X749" s="329" t="s">
        <v>184</v>
      </c>
      <c r="Y749" s="330" t="str">
        <f>DB!$D$103</f>
        <v>Epson Genuine Ink T6642 Cyan</v>
      </c>
      <c r="Z749" s="351" t="s">
        <v>8</v>
      </c>
      <c r="AA749" s="329"/>
      <c r="AC749" s="8"/>
    </row>
    <row r="750" spans="1:29" ht="31.5" hidden="1">
      <c r="A750" s="329"/>
      <c r="B750" s="333" t="s">
        <v>559</v>
      </c>
      <c r="C750" s="397">
        <v>5</v>
      </c>
      <c r="D750" s="341" t="s">
        <v>103</v>
      </c>
      <c r="E750" s="341">
        <v>345</v>
      </c>
      <c r="F750" s="347">
        <v>1725</v>
      </c>
      <c r="G750" s="341" t="s">
        <v>342</v>
      </c>
      <c r="H750" s="341">
        <v>0</v>
      </c>
      <c r="I750" s="341"/>
      <c r="J750" s="341"/>
      <c r="K750" s="341"/>
      <c r="L750" s="341">
        <v>5</v>
      </c>
      <c r="M750" s="341">
        <v>5</v>
      </c>
      <c r="N750" s="341"/>
      <c r="O750" s="341"/>
      <c r="P750" s="341">
        <v>0</v>
      </c>
      <c r="Q750" s="341"/>
      <c r="R750" s="341"/>
      <c r="S750" s="341"/>
      <c r="T750" s="341">
        <v>0</v>
      </c>
      <c r="U750" s="341"/>
      <c r="V750" s="341"/>
      <c r="W750" s="341"/>
      <c r="X750" s="329" t="s">
        <v>184</v>
      </c>
      <c r="Y750" s="330" t="str">
        <f>DB!$D$104</f>
        <v>Epson Genuine Ink T6643 Magenta</v>
      </c>
      <c r="Z750" s="351" t="s">
        <v>8</v>
      </c>
      <c r="AA750" s="329"/>
      <c r="AC750" s="8"/>
    </row>
    <row r="751" spans="1:29" ht="31.5" hidden="1">
      <c r="A751" s="329"/>
      <c r="B751" s="333" t="s">
        <v>709</v>
      </c>
      <c r="C751" s="397">
        <v>5</v>
      </c>
      <c r="D751" s="341" t="s">
        <v>103</v>
      </c>
      <c r="E751" s="341">
        <v>345</v>
      </c>
      <c r="F751" s="347">
        <v>1725</v>
      </c>
      <c r="G751" s="341" t="s">
        <v>342</v>
      </c>
      <c r="H751" s="341">
        <v>0</v>
      </c>
      <c r="I751" s="341"/>
      <c r="J751" s="341"/>
      <c r="K751" s="341"/>
      <c r="L751" s="341">
        <v>5</v>
      </c>
      <c r="M751" s="341">
        <v>5</v>
      </c>
      <c r="N751" s="341"/>
      <c r="O751" s="341"/>
      <c r="P751" s="341">
        <v>0</v>
      </c>
      <c r="Q751" s="341"/>
      <c r="R751" s="341"/>
      <c r="S751" s="341"/>
      <c r="T751" s="341">
        <v>0</v>
      </c>
      <c r="U751" s="341"/>
      <c r="V751" s="341"/>
      <c r="W751" s="341"/>
      <c r="X751" s="329" t="s">
        <v>184</v>
      </c>
      <c r="Y751" s="330" t="str">
        <f>DB!$D$105</f>
        <v>Epson Genuine Ink T6644 Yellow</v>
      </c>
      <c r="Z751" s="351" t="s">
        <v>8</v>
      </c>
      <c r="AA751" s="329"/>
      <c r="AC751" s="8"/>
    </row>
    <row r="752" spans="1:29" hidden="1">
      <c r="A752" s="329"/>
      <c r="B752" s="333" t="s">
        <v>3144</v>
      </c>
      <c r="C752" s="397">
        <v>10</v>
      </c>
      <c r="D752" s="341" t="s">
        <v>638</v>
      </c>
      <c r="E752" s="341">
        <v>390</v>
      </c>
      <c r="F752" s="347">
        <v>3900</v>
      </c>
      <c r="G752" s="341" t="s">
        <v>342</v>
      </c>
      <c r="H752" s="341">
        <v>5</v>
      </c>
      <c r="I752" s="341">
        <v>5</v>
      </c>
      <c r="J752" s="341"/>
      <c r="K752" s="341"/>
      <c r="L752" s="341">
        <v>0</v>
      </c>
      <c r="M752" s="341"/>
      <c r="N752" s="341"/>
      <c r="O752" s="341"/>
      <c r="P752" s="341">
        <v>5</v>
      </c>
      <c r="Q752" s="341">
        <v>5</v>
      </c>
      <c r="R752" s="341"/>
      <c r="S752" s="341"/>
      <c r="T752" s="341">
        <v>0</v>
      </c>
      <c r="U752" s="341"/>
      <c r="V752" s="341"/>
      <c r="W752" s="341"/>
      <c r="X752" s="329" t="s">
        <v>184</v>
      </c>
      <c r="Y752" s="330" t="str">
        <f>DB!$D$175</f>
        <v>Brother Genuine Ink BT6000BK</v>
      </c>
      <c r="Z752" s="351" t="s">
        <v>8</v>
      </c>
      <c r="AA752" s="329"/>
      <c r="AC752" s="8"/>
    </row>
    <row r="753" spans="1:29" hidden="1">
      <c r="A753" s="329"/>
      <c r="B753" s="333" t="s">
        <v>3145</v>
      </c>
      <c r="C753" s="397">
        <v>5</v>
      </c>
      <c r="D753" s="341" t="s">
        <v>638</v>
      </c>
      <c r="E753" s="341">
        <v>390</v>
      </c>
      <c r="F753" s="347">
        <v>1950</v>
      </c>
      <c r="G753" s="341" t="s">
        <v>342</v>
      </c>
      <c r="H753" s="341">
        <v>0</v>
      </c>
      <c r="I753" s="341"/>
      <c r="J753" s="341"/>
      <c r="K753" s="341"/>
      <c r="L753" s="341">
        <v>0</v>
      </c>
      <c r="M753" s="341"/>
      <c r="N753" s="341"/>
      <c r="O753" s="341"/>
      <c r="P753" s="341">
        <v>5</v>
      </c>
      <c r="Q753" s="341">
        <v>5</v>
      </c>
      <c r="R753" s="341"/>
      <c r="S753" s="341"/>
      <c r="T753" s="341">
        <v>0</v>
      </c>
      <c r="U753" s="341"/>
      <c r="V753" s="341"/>
      <c r="W753" s="341"/>
      <c r="X753" s="329" t="s">
        <v>184</v>
      </c>
      <c r="Y753" s="330" t="str">
        <f>DB!$D$173</f>
        <v>Brother Genuine Ink BT5000Y</v>
      </c>
      <c r="Z753" s="351" t="s">
        <v>8</v>
      </c>
      <c r="AA753" s="329"/>
      <c r="AC753" s="8"/>
    </row>
    <row r="754" spans="1:29" hidden="1">
      <c r="A754" s="329"/>
      <c r="B754" s="333" t="s">
        <v>3146</v>
      </c>
      <c r="C754" s="397">
        <v>5</v>
      </c>
      <c r="D754" s="341" t="s">
        <v>638</v>
      </c>
      <c r="E754" s="341">
        <v>390</v>
      </c>
      <c r="F754" s="347">
        <v>1950</v>
      </c>
      <c r="G754" s="341" t="s">
        <v>342</v>
      </c>
      <c r="H754" s="341">
        <v>0</v>
      </c>
      <c r="I754" s="341"/>
      <c r="J754" s="341"/>
      <c r="K754" s="341"/>
      <c r="L754" s="341">
        <v>0</v>
      </c>
      <c r="M754" s="341"/>
      <c r="N754" s="341"/>
      <c r="O754" s="341"/>
      <c r="P754" s="341">
        <v>5</v>
      </c>
      <c r="Q754" s="341">
        <v>5</v>
      </c>
      <c r="R754" s="341"/>
      <c r="S754" s="341"/>
      <c r="T754" s="341">
        <v>0</v>
      </c>
      <c r="U754" s="341"/>
      <c r="V754" s="341"/>
      <c r="W754" s="341"/>
      <c r="X754" s="329" t="s">
        <v>184</v>
      </c>
      <c r="Y754" s="330" t="str">
        <f>DB!$D$172</f>
        <v>Brother Genuine Ink BT5000C</v>
      </c>
      <c r="Z754" s="351" t="s">
        <v>8</v>
      </c>
      <c r="AA754" s="329"/>
      <c r="AC754" s="8"/>
    </row>
    <row r="755" spans="1:29" hidden="1">
      <c r="A755" s="329"/>
      <c r="B755" s="333" t="s">
        <v>3147</v>
      </c>
      <c r="C755" s="397">
        <v>5</v>
      </c>
      <c r="D755" s="341" t="s">
        <v>638</v>
      </c>
      <c r="E755" s="341">
        <v>390</v>
      </c>
      <c r="F755" s="347">
        <v>1950</v>
      </c>
      <c r="G755" s="341" t="s">
        <v>342</v>
      </c>
      <c r="H755" s="341">
        <v>0</v>
      </c>
      <c r="I755" s="341"/>
      <c r="J755" s="341"/>
      <c r="K755" s="341"/>
      <c r="L755" s="341">
        <v>0</v>
      </c>
      <c r="M755" s="341"/>
      <c r="N755" s="341"/>
      <c r="O755" s="341"/>
      <c r="P755" s="341">
        <v>5</v>
      </c>
      <c r="Q755" s="341">
        <v>5</v>
      </c>
      <c r="R755" s="341"/>
      <c r="S755" s="341"/>
      <c r="T755" s="341">
        <v>0</v>
      </c>
      <c r="U755" s="341"/>
      <c r="V755" s="341"/>
      <c r="W755" s="341"/>
      <c r="X755" s="329" t="s">
        <v>184</v>
      </c>
      <c r="Y755" s="330" t="str">
        <f>DB!$D$174</f>
        <v>Brother Genuine Ink BT5000M</v>
      </c>
      <c r="Z755" s="351" t="s">
        <v>8</v>
      </c>
      <c r="AA755" s="329"/>
      <c r="AC755" s="8"/>
    </row>
    <row r="756" spans="1:29" hidden="1">
      <c r="A756" s="329"/>
      <c r="B756" s="333" t="s">
        <v>774</v>
      </c>
      <c r="C756" s="397">
        <v>1</v>
      </c>
      <c r="D756" s="354" t="s">
        <v>103</v>
      </c>
      <c r="E756" s="355">
        <v>35200</v>
      </c>
      <c r="F756" s="347">
        <v>35200</v>
      </c>
      <c r="G756" s="341" t="s">
        <v>342</v>
      </c>
      <c r="H756" s="341">
        <v>1</v>
      </c>
      <c r="I756" s="341">
        <v>1</v>
      </c>
      <c r="J756" s="341"/>
      <c r="K756" s="341"/>
      <c r="L756" s="341">
        <v>0</v>
      </c>
      <c r="M756" s="341"/>
      <c r="N756" s="341"/>
      <c r="O756" s="341"/>
      <c r="P756" s="341">
        <v>0</v>
      </c>
      <c r="Q756" s="341"/>
      <c r="R756" s="341"/>
      <c r="S756" s="341"/>
      <c r="T756" s="341">
        <v>0</v>
      </c>
      <c r="U756" s="354"/>
      <c r="V756" s="354"/>
      <c r="W756" s="354"/>
      <c r="X756" s="329" t="s">
        <v>184</v>
      </c>
      <c r="Y756" s="369"/>
      <c r="Z756" s="351" t="s">
        <v>2952</v>
      </c>
      <c r="AA756" s="329"/>
      <c r="AC756" s="8"/>
    </row>
    <row r="757" spans="1:29" ht="31.5" hidden="1">
      <c r="A757" s="329"/>
      <c r="B757" s="333" t="s">
        <v>1581</v>
      </c>
      <c r="C757" s="397">
        <v>400</v>
      </c>
      <c r="D757" s="397" t="s">
        <v>103</v>
      </c>
      <c r="E757" s="397">
        <v>840</v>
      </c>
      <c r="F757" s="347">
        <v>336000</v>
      </c>
      <c r="G757" s="341" t="s">
        <v>342</v>
      </c>
      <c r="H757" s="341">
        <v>100</v>
      </c>
      <c r="I757" s="341">
        <v>100</v>
      </c>
      <c r="J757" s="341"/>
      <c r="K757" s="341"/>
      <c r="L757" s="341">
        <v>100</v>
      </c>
      <c r="M757" s="341">
        <v>100</v>
      </c>
      <c r="N757" s="341"/>
      <c r="O757" s="341"/>
      <c r="P757" s="341">
        <v>100</v>
      </c>
      <c r="Q757" s="341">
        <v>100</v>
      </c>
      <c r="R757" s="341"/>
      <c r="S757" s="341"/>
      <c r="T757" s="341">
        <v>100</v>
      </c>
      <c r="U757" s="397">
        <v>100</v>
      </c>
      <c r="V757" s="397"/>
      <c r="W757" s="397"/>
      <c r="X757" s="329" t="s">
        <v>184</v>
      </c>
      <c r="Y757" s="330" t="str">
        <f>DB!$D$186</f>
        <v>RISO Ink Compatible to existing RISO SF 5130</v>
      </c>
      <c r="Z757" s="351" t="s">
        <v>8</v>
      </c>
      <c r="AA757" s="329"/>
      <c r="AC757" s="8"/>
    </row>
    <row r="758" spans="1:29" ht="31.5" hidden="1">
      <c r="A758" s="329"/>
      <c r="B758" s="333" t="s">
        <v>1584</v>
      </c>
      <c r="C758" s="397">
        <v>400</v>
      </c>
      <c r="D758" s="397" t="s">
        <v>103</v>
      </c>
      <c r="E758" s="397">
        <v>850</v>
      </c>
      <c r="F758" s="347">
        <v>340000</v>
      </c>
      <c r="G758" s="341" t="s">
        <v>342</v>
      </c>
      <c r="H758" s="341">
        <v>100</v>
      </c>
      <c r="I758" s="341">
        <v>100</v>
      </c>
      <c r="J758" s="341"/>
      <c r="K758" s="341"/>
      <c r="L758" s="341">
        <v>100</v>
      </c>
      <c r="M758" s="341">
        <v>100</v>
      </c>
      <c r="N758" s="341"/>
      <c r="O758" s="341"/>
      <c r="P758" s="341">
        <v>100</v>
      </c>
      <c r="Q758" s="341">
        <v>100</v>
      </c>
      <c r="R758" s="341"/>
      <c r="S758" s="341"/>
      <c r="T758" s="341">
        <v>100</v>
      </c>
      <c r="U758" s="397">
        <v>100</v>
      </c>
      <c r="V758" s="397"/>
      <c r="W758" s="397"/>
      <c r="X758" s="329" t="s">
        <v>184</v>
      </c>
      <c r="Y758" s="330" t="str">
        <f>DB!$D$187</f>
        <v>RISO Ink Compatible to existing RISO EZ 371A</v>
      </c>
      <c r="Z758" s="351" t="s">
        <v>8</v>
      </c>
      <c r="AA758" s="329"/>
      <c r="AC758" s="8"/>
    </row>
    <row r="759" spans="1:29">
      <c r="A759" s="329"/>
      <c r="B759" s="330" t="s">
        <v>849</v>
      </c>
      <c r="C759" s="329">
        <v>7</v>
      </c>
      <c r="D759" s="337" t="s">
        <v>466</v>
      </c>
      <c r="E759" s="342">
        <v>65000</v>
      </c>
      <c r="F759" s="342">
        <v>455000</v>
      </c>
      <c r="G759" s="343" t="s">
        <v>3148</v>
      </c>
      <c r="H759" s="343">
        <v>7</v>
      </c>
      <c r="I759" s="343"/>
      <c r="J759" s="343">
        <v>7</v>
      </c>
      <c r="K759" s="343"/>
      <c r="L759" s="343"/>
      <c r="M759" s="343"/>
      <c r="N759" s="343"/>
      <c r="O759" s="343"/>
      <c r="P759" s="343"/>
      <c r="Q759" s="343"/>
      <c r="R759" s="343"/>
      <c r="S759" s="343"/>
      <c r="T759" s="343"/>
      <c r="U759" s="343"/>
      <c r="V759" s="343"/>
      <c r="W759" s="343"/>
      <c r="X759" s="329" t="s">
        <v>184</v>
      </c>
      <c r="Y759" s="330" t="str">
        <f>DB!$D$194</f>
        <v>Branded Desktop Computer Set</v>
      </c>
      <c r="Z759" s="329" t="s">
        <v>2964</v>
      </c>
      <c r="AA759" s="329"/>
      <c r="AC759" s="8"/>
    </row>
    <row r="760" spans="1:29" hidden="1">
      <c r="A760" s="329"/>
      <c r="B760" s="330" t="s">
        <v>3149</v>
      </c>
      <c r="C760" s="329">
        <v>7</v>
      </c>
      <c r="D760" s="337" t="s">
        <v>103</v>
      </c>
      <c r="E760" s="347"/>
      <c r="F760" s="347"/>
      <c r="G760" s="341"/>
      <c r="H760" s="343">
        <v>7</v>
      </c>
      <c r="I760" s="343"/>
      <c r="J760" s="343">
        <v>7</v>
      </c>
      <c r="K760" s="343"/>
      <c r="L760" s="341"/>
      <c r="M760" s="341"/>
      <c r="N760" s="341"/>
      <c r="O760" s="341"/>
      <c r="P760" s="341"/>
      <c r="Q760" s="341"/>
      <c r="R760" s="341"/>
      <c r="S760" s="341"/>
      <c r="T760" s="341"/>
      <c r="U760" s="341"/>
      <c r="V760" s="341"/>
      <c r="W760" s="341"/>
      <c r="X760" s="329" t="s">
        <v>184</v>
      </c>
      <c r="Y760" s="369" t="str">
        <f>DB!$D$6</f>
        <v>UPS 650VA, AVR, 230V</v>
      </c>
      <c r="Z760" s="351" t="s">
        <v>8</v>
      </c>
      <c r="AA760" s="329"/>
      <c r="AC760" s="8"/>
    </row>
    <row r="761" spans="1:29" ht="31.5" hidden="1">
      <c r="A761" s="329"/>
      <c r="B761" s="330" t="s">
        <v>3150</v>
      </c>
      <c r="C761" s="329">
        <v>3</v>
      </c>
      <c r="D761" s="335" t="s">
        <v>758</v>
      </c>
      <c r="E761" s="347">
        <v>70000</v>
      </c>
      <c r="F761" s="347">
        <v>210000</v>
      </c>
      <c r="G761" s="341" t="s">
        <v>3148</v>
      </c>
      <c r="H761" s="341">
        <v>3</v>
      </c>
      <c r="I761" s="341"/>
      <c r="J761" s="341">
        <v>3</v>
      </c>
      <c r="K761" s="341"/>
      <c r="L761" s="341"/>
      <c r="M761" s="341"/>
      <c r="N761" s="341"/>
      <c r="O761" s="341"/>
      <c r="P761" s="341"/>
      <c r="Q761" s="341"/>
      <c r="R761" s="341"/>
      <c r="S761" s="341"/>
      <c r="T761" s="341"/>
      <c r="U761" s="341"/>
      <c r="V761" s="341"/>
      <c r="W761" s="341"/>
      <c r="X761" s="329" t="s">
        <v>184</v>
      </c>
      <c r="Y761" s="330" t="str">
        <f>DB!$D$86</f>
        <v>Desktop Type Document Scanner</v>
      </c>
      <c r="Z761" s="351" t="s">
        <v>8</v>
      </c>
      <c r="AA761" s="329"/>
      <c r="AC761" s="8"/>
    </row>
    <row r="762" spans="1:29" hidden="1">
      <c r="A762" s="329"/>
      <c r="B762" s="338" t="s">
        <v>3151</v>
      </c>
      <c r="C762" s="343">
        <v>2</v>
      </c>
      <c r="D762" s="335" t="s">
        <v>466</v>
      </c>
      <c r="E762" s="347">
        <v>130000</v>
      </c>
      <c r="F762" s="347">
        <v>260000</v>
      </c>
      <c r="G762" s="341" t="s">
        <v>3148</v>
      </c>
      <c r="H762" s="341">
        <v>2</v>
      </c>
      <c r="I762" s="341"/>
      <c r="J762" s="341">
        <v>2</v>
      </c>
      <c r="K762" s="341"/>
      <c r="L762" s="341">
        <v>0</v>
      </c>
      <c r="M762" s="341"/>
      <c r="N762" s="341"/>
      <c r="O762" s="341"/>
      <c r="P762" s="341">
        <v>0</v>
      </c>
      <c r="Q762" s="341"/>
      <c r="R762" s="341"/>
      <c r="S762" s="341"/>
      <c r="T762" s="341">
        <v>0</v>
      </c>
      <c r="U762" s="341"/>
      <c r="V762" s="341"/>
      <c r="W762" s="341"/>
      <c r="X762" s="329" t="s">
        <v>184</v>
      </c>
      <c r="Y762" s="330"/>
      <c r="Z762" s="329" t="s">
        <v>2952</v>
      </c>
      <c r="AA762" s="329"/>
      <c r="AC762" s="8"/>
    </row>
    <row r="763" spans="1:29" ht="31.5" hidden="1">
      <c r="A763" s="329"/>
      <c r="B763" s="333" t="s">
        <v>3152</v>
      </c>
      <c r="C763" s="341">
        <v>2</v>
      </c>
      <c r="D763" s="343" t="s">
        <v>638</v>
      </c>
      <c r="E763" s="341">
        <v>500</v>
      </c>
      <c r="F763" s="343">
        <v>1000</v>
      </c>
      <c r="G763" s="343"/>
      <c r="H763" s="343">
        <v>1</v>
      </c>
      <c r="I763" s="343"/>
      <c r="J763" s="343"/>
      <c r="K763" s="343"/>
      <c r="L763" s="343">
        <v>0</v>
      </c>
      <c r="M763" s="343"/>
      <c r="N763" s="343"/>
      <c r="O763" s="343"/>
      <c r="P763" s="343">
        <v>1</v>
      </c>
      <c r="Q763" s="343"/>
      <c r="R763" s="343"/>
      <c r="S763" s="343"/>
      <c r="T763" s="343">
        <v>0</v>
      </c>
      <c r="U763" s="343"/>
      <c r="V763" s="343"/>
      <c r="W763" s="343"/>
      <c r="X763" s="329" t="s">
        <v>3153</v>
      </c>
      <c r="Y763" s="330" t="str">
        <f>DB!$D$104</f>
        <v>Epson Genuine Ink T6643 Magenta</v>
      </c>
      <c r="Z763" s="329" t="s">
        <v>8</v>
      </c>
      <c r="AA763" s="329"/>
      <c r="AC763" s="8"/>
    </row>
    <row r="764" spans="1:29" hidden="1">
      <c r="A764" s="329"/>
      <c r="B764" s="333" t="s">
        <v>3154</v>
      </c>
      <c r="C764" s="341">
        <v>2</v>
      </c>
      <c r="D764" s="341" t="s">
        <v>638</v>
      </c>
      <c r="E764" s="341">
        <v>500</v>
      </c>
      <c r="F764" s="341">
        <v>1000</v>
      </c>
      <c r="G764" s="341"/>
      <c r="H764" s="341">
        <v>1</v>
      </c>
      <c r="I764" s="341"/>
      <c r="J764" s="341"/>
      <c r="K764" s="341"/>
      <c r="L764" s="341">
        <v>0</v>
      </c>
      <c r="M764" s="341"/>
      <c r="N764" s="341"/>
      <c r="O764" s="341"/>
      <c r="P764" s="341">
        <v>1</v>
      </c>
      <c r="Q764" s="341"/>
      <c r="R764" s="341"/>
      <c r="S764" s="341"/>
      <c r="T764" s="341">
        <v>0</v>
      </c>
      <c r="U764" s="341"/>
      <c r="V764" s="341"/>
      <c r="W764" s="341"/>
      <c r="X764" s="329" t="s">
        <v>3153</v>
      </c>
      <c r="Y764" s="330" t="str">
        <f>DB!$D$103</f>
        <v>Epson Genuine Ink T6642 Cyan</v>
      </c>
      <c r="Z764" s="351" t="s">
        <v>8</v>
      </c>
      <c r="AA764" s="329"/>
      <c r="AC764" s="8"/>
    </row>
    <row r="765" spans="1:29" ht="31.5" hidden="1">
      <c r="A765" s="329"/>
      <c r="B765" s="333" t="s">
        <v>3155</v>
      </c>
      <c r="C765" s="341">
        <v>2</v>
      </c>
      <c r="D765" s="341" t="s">
        <v>638</v>
      </c>
      <c r="E765" s="341">
        <v>500</v>
      </c>
      <c r="F765" s="341">
        <v>1000</v>
      </c>
      <c r="G765" s="341"/>
      <c r="H765" s="341">
        <v>1</v>
      </c>
      <c r="I765" s="341"/>
      <c r="J765" s="341"/>
      <c r="K765" s="341"/>
      <c r="L765" s="341">
        <v>0</v>
      </c>
      <c r="M765" s="341"/>
      <c r="N765" s="341"/>
      <c r="O765" s="341"/>
      <c r="P765" s="341">
        <v>1</v>
      </c>
      <c r="Q765" s="341"/>
      <c r="R765" s="341"/>
      <c r="S765" s="341"/>
      <c r="T765" s="341">
        <v>0</v>
      </c>
      <c r="U765" s="341"/>
      <c r="V765" s="341"/>
      <c r="W765" s="341"/>
      <c r="X765" s="329" t="s">
        <v>3153</v>
      </c>
      <c r="Y765" s="330" t="str">
        <f>DB!$D$105</f>
        <v>Epson Genuine Ink T6644 Yellow</v>
      </c>
      <c r="Z765" s="351" t="s">
        <v>8</v>
      </c>
      <c r="AA765" s="329"/>
      <c r="AC765" s="8"/>
    </row>
    <row r="766" spans="1:29" hidden="1">
      <c r="A766" s="329"/>
      <c r="B766" s="333" t="s">
        <v>3156</v>
      </c>
      <c r="C766" s="341">
        <v>3</v>
      </c>
      <c r="D766" s="341" t="s">
        <v>638</v>
      </c>
      <c r="E766" s="341">
        <v>500</v>
      </c>
      <c r="F766" s="341">
        <v>1500</v>
      </c>
      <c r="G766" s="341"/>
      <c r="H766" s="341">
        <v>1</v>
      </c>
      <c r="I766" s="341"/>
      <c r="J766" s="341"/>
      <c r="K766" s="341"/>
      <c r="L766" s="341">
        <v>1</v>
      </c>
      <c r="M766" s="341"/>
      <c r="N766" s="341"/>
      <c r="O766" s="341"/>
      <c r="P766" s="341">
        <v>1</v>
      </c>
      <c r="Q766" s="341"/>
      <c r="R766" s="341"/>
      <c r="S766" s="341"/>
      <c r="T766" s="341">
        <v>0</v>
      </c>
      <c r="U766" s="341"/>
      <c r="V766" s="341"/>
      <c r="W766" s="341"/>
      <c r="X766" s="329" t="s">
        <v>3153</v>
      </c>
      <c r="Y766" s="330" t="str">
        <f>DB!$D$102</f>
        <v>Epson Genuine Ink T6641 Black</v>
      </c>
      <c r="Z766" s="351" t="s">
        <v>8</v>
      </c>
      <c r="AA766" s="329"/>
      <c r="AC766" s="8"/>
    </row>
    <row r="767" spans="1:29" ht="31.5" hidden="1">
      <c r="A767" s="329"/>
      <c r="B767" s="333" t="s">
        <v>3157</v>
      </c>
      <c r="C767" s="341">
        <v>2</v>
      </c>
      <c r="D767" s="341" t="s">
        <v>638</v>
      </c>
      <c r="E767" s="341">
        <v>500</v>
      </c>
      <c r="F767" s="341">
        <v>1000</v>
      </c>
      <c r="G767" s="341"/>
      <c r="H767" s="341">
        <v>1</v>
      </c>
      <c r="I767" s="341"/>
      <c r="J767" s="341"/>
      <c r="K767" s="341"/>
      <c r="L767" s="341">
        <v>0</v>
      </c>
      <c r="M767" s="341"/>
      <c r="N767" s="341"/>
      <c r="O767" s="341"/>
      <c r="P767" s="341">
        <v>1</v>
      </c>
      <c r="Q767" s="341"/>
      <c r="R767" s="341"/>
      <c r="S767" s="341"/>
      <c r="T767" s="341">
        <v>0</v>
      </c>
      <c r="U767" s="341"/>
      <c r="V767" s="341"/>
      <c r="W767" s="341"/>
      <c r="X767" s="329" t="s">
        <v>3153</v>
      </c>
      <c r="Y767" s="361" t="s">
        <v>210</v>
      </c>
      <c r="Z767" s="329" t="s">
        <v>8</v>
      </c>
      <c r="AA767" s="329"/>
      <c r="AC767" s="8"/>
    </row>
    <row r="768" spans="1:29" hidden="1">
      <c r="A768" s="329"/>
      <c r="B768" s="333" t="s">
        <v>3158</v>
      </c>
      <c r="C768" s="341">
        <v>2</v>
      </c>
      <c r="D768" s="341" t="s">
        <v>638</v>
      </c>
      <c r="E768" s="341">
        <v>500</v>
      </c>
      <c r="F768" s="341">
        <v>1000</v>
      </c>
      <c r="G768" s="341"/>
      <c r="H768" s="341">
        <v>1</v>
      </c>
      <c r="I768" s="341"/>
      <c r="J768" s="341"/>
      <c r="K768" s="341"/>
      <c r="L768" s="341">
        <v>0</v>
      </c>
      <c r="M768" s="341"/>
      <c r="N768" s="341"/>
      <c r="O768" s="341"/>
      <c r="P768" s="341">
        <v>1</v>
      </c>
      <c r="Q768" s="341"/>
      <c r="R768" s="341"/>
      <c r="S768" s="341"/>
      <c r="T768" s="341">
        <v>0</v>
      </c>
      <c r="U768" s="341"/>
      <c r="V768" s="341"/>
      <c r="W768" s="341"/>
      <c r="X768" s="329" t="s">
        <v>3153</v>
      </c>
      <c r="Y768" s="361" t="s">
        <v>209</v>
      </c>
      <c r="Z768" s="329" t="s">
        <v>8</v>
      </c>
      <c r="AA768" s="329"/>
      <c r="AC768" s="8"/>
    </row>
    <row r="769" spans="1:29" hidden="1">
      <c r="A769" s="329"/>
      <c r="B769" s="333" t="s">
        <v>3159</v>
      </c>
      <c r="C769" s="341">
        <v>2</v>
      </c>
      <c r="D769" s="341" t="s">
        <v>638</v>
      </c>
      <c r="E769" s="341">
        <v>500</v>
      </c>
      <c r="F769" s="341">
        <v>1000</v>
      </c>
      <c r="G769" s="341"/>
      <c r="H769" s="341">
        <v>1</v>
      </c>
      <c r="I769" s="341"/>
      <c r="J769" s="341"/>
      <c r="K769" s="341"/>
      <c r="L769" s="341">
        <v>0</v>
      </c>
      <c r="M769" s="341"/>
      <c r="N769" s="341"/>
      <c r="O769" s="341"/>
      <c r="P769" s="341">
        <v>1</v>
      </c>
      <c r="Q769" s="341"/>
      <c r="R769" s="341"/>
      <c r="S769" s="341"/>
      <c r="T769" s="341">
        <v>0</v>
      </c>
      <c r="U769" s="341"/>
      <c r="V769" s="341"/>
      <c r="W769" s="341"/>
      <c r="X769" s="329" t="s">
        <v>3153</v>
      </c>
      <c r="Y769" s="361" t="s">
        <v>211</v>
      </c>
      <c r="Z769" s="329" t="s">
        <v>8</v>
      </c>
      <c r="AA769" s="329"/>
      <c r="AC769" s="8"/>
    </row>
    <row r="770" spans="1:29" hidden="1">
      <c r="A770" s="329"/>
      <c r="B770" s="333" t="s">
        <v>3160</v>
      </c>
      <c r="C770" s="341">
        <v>3</v>
      </c>
      <c r="D770" s="341" t="s">
        <v>638</v>
      </c>
      <c r="E770" s="341">
        <v>500</v>
      </c>
      <c r="F770" s="341">
        <v>1500</v>
      </c>
      <c r="G770" s="341"/>
      <c r="H770" s="341">
        <v>1</v>
      </c>
      <c r="I770" s="341"/>
      <c r="J770" s="341"/>
      <c r="K770" s="341"/>
      <c r="L770" s="341">
        <v>1</v>
      </c>
      <c r="M770" s="341"/>
      <c r="N770" s="341"/>
      <c r="O770" s="341"/>
      <c r="P770" s="341">
        <v>1</v>
      </c>
      <c r="Q770" s="341"/>
      <c r="R770" s="341"/>
      <c r="S770" s="341"/>
      <c r="T770" s="341">
        <v>0</v>
      </c>
      <c r="U770" s="341"/>
      <c r="V770" s="341"/>
      <c r="W770" s="341"/>
      <c r="X770" s="329" t="s">
        <v>3153</v>
      </c>
      <c r="Y770" s="361" t="s">
        <v>199</v>
      </c>
      <c r="Z770" s="329" t="s">
        <v>8</v>
      </c>
      <c r="AA770" s="329"/>
      <c r="AC770" s="8"/>
    </row>
    <row r="771" spans="1:29" hidden="1">
      <c r="A771" s="329"/>
      <c r="B771" s="333" t="s">
        <v>3161</v>
      </c>
      <c r="C771" s="341">
        <v>1</v>
      </c>
      <c r="D771" s="343" t="s">
        <v>103</v>
      </c>
      <c r="E771" s="347">
        <v>20000</v>
      </c>
      <c r="F771" s="343">
        <v>20000</v>
      </c>
      <c r="G771" s="343"/>
      <c r="H771" s="343">
        <v>1</v>
      </c>
      <c r="I771" s="343"/>
      <c r="J771" s="343"/>
      <c r="K771" s="343"/>
      <c r="L771" s="343">
        <v>0</v>
      </c>
      <c r="M771" s="343"/>
      <c r="N771" s="343"/>
      <c r="O771" s="343"/>
      <c r="P771" s="343">
        <v>0</v>
      </c>
      <c r="Q771" s="343"/>
      <c r="R771" s="343"/>
      <c r="S771" s="343"/>
      <c r="T771" s="343">
        <v>0</v>
      </c>
      <c r="U771" s="343"/>
      <c r="V771" s="343"/>
      <c r="W771" s="329"/>
      <c r="X771" s="329" t="s">
        <v>3153</v>
      </c>
      <c r="Y771" s="369"/>
      <c r="Z771" s="329" t="s">
        <v>2962</v>
      </c>
      <c r="AA771" s="329"/>
      <c r="AC771" s="8"/>
    </row>
    <row r="772" spans="1:29" hidden="1">
      <c r="A772" s="329"/>
      <c r="B772" s="338" t="s">
        <v>3162</v>
      </c>
      <c r="C772" s="343">
        <v>1</v>
      </c>
      <c r="D772" s="343" t="s">
        <v>103</v>
      </c>
      <c r="E772" s="343">
        <v>166</v>
      </c>
      <c r="F772" s="343">
        <v>166.4</v>
      </c>
      <c r="G772" s="343"/>
      <c r="H772" s="343">
        <v>1</v>
      </c>
      <c r="I772" s="343"/>
      <c r="J772" s="343"/>
      <c r="K772" s="343"/>
      <c r="L772" s="343">
        <v>0</v>
      </c>
      <c r="M772" s="343"/>
      <c r="N772" s="343"/>
      <c r="O772" s="343"/>
      <c r="P772" s="343">
        <v>0</v>
      </c>
      <c r="Q772" s="343"/>
      <c r="R772" s="343"/>
      <c r="S772" s="343"/>
      <c r="T772" s="343">
        <v>0</v>
      </c>
      <c r="U772" s="343"/>
      <c r="V772" s="343"/>
      <c r="W772" s="343"/>
      <c r="X772" s="329" t="s">
        <v>3153</v>
      </c>
      <c r="Y772" s="330" t="str">
        <f>DB!D78</f>
        <v>16GB Flash Drive</v>
      </c>
      <c r="Z772" s="329" t="s">
        <v>8</v>
      </c>
      <c r="AA772" s="329"/>
      <c r="AC772" s="8"/>
    </row>
    <row r="773" spans="1:29" hidden="1">
      <c r="A773" s="329"/>
      <c r="B773" s="334" t="s">
        <v>3163</v>
      </c>
      <c r="C773" s="341">
        <v>1</v>
      </c>
      <c r="D773" s="341" t="s">
        <v>466</v>
      </c>
      <c r="E773" s="422">
        <v>2792</v>
      </c>
      <c r="F773" s="341">
        <v>2792.4</v>
      </c>
      <c r="G773" s="341"/>
      <c r="H773" s="341">
        <v>1</v>
      </c>
      <c r="I773" s="341"/>
      <c r="J773" s="341"/>
      <c r="K773" s="341"/>
      <c r="L773" s="341">
        <v>0</v>
      </c>
      <c r="M773" s="341"/>
      <c r="N773" s="341"/>
      <c r="O773" s="341"/>
      <c r="P773" s="341">
        <v>0</v>
      </c>
      <c r="Q773" s="341"/>
      <c r="R773" s="341"/>
      <c r="S773" s="341"/>
      <c r="T773" s="341">
        <v>0</v>
      </c>
      <c r="U773" s="341"/>
      <c r="V773" s="341"/>
      <c r="W773" s="341"/>
      <c r="X773" s="329" t="s">
        <v>3153</v>
      </c>
      <c r="Y773" s="330"/>
      <c r="Z773" s="329" t="s">
        <v>2946</v>
      </c>
      <c r="AA773" s="329"/>
      <c r="AC773" s="8"/>
    </row>
    <row r="774" spans="1:29" hidden="1">
      <c r="A774" s="329"/>
      <c r="B774" s="334" t="s">
        <v>3164</v>
      </c>
      <c r="C774" s="341">
        <v>1</v>
      </c>
      <c r="D774" s="341" t="s">
        <v>118</v>
      </c>
      <c r="E774" s="422">
        <v>23624</v>
      </c>
      <c r="F774" s="341">
        <v>23623.599999999999</v>
      </c>
      <c r="G774" s="341"/>
      <c r="H774" s="341">
        <v>1</v>
      </c>
      <c r="I774" s="341"/>
      <c r="J774" s="341"/>
      <c r="K774" s="341"/>
      <c r="L774" s="341">
        <v>0</v>
      </c>
      <c r="M774" s="341"/>
      <c r="N774" s="341"/>
      <c r="O774" s="341"/>
      <c r="P774" s="341">
        <v>0</v>
      </c>
      <c r="Q774" s="341"/>
      <c r="R774" s="341"/>
      <c r="S774" s="341"/>
      <c r="T774" s="341">
        <v>0</v>
      </c>
      <c r="U774" s="341"/>
      <c r="V774" s="341"/>
      <c r="W774" s="341"/>
      <c r="X774" s="329" t="s">
        <v>3153</v>
      </c>
      <c r="Y774" s="330"/>
      <c r="Z774" s="329" t="s">
        <v>2958</v>
      </c>
      <c r="AA774" s="329"/>
      <c r="AC774" s="8"/>
    </row>
    <row r="775" spans="1:29">
      <c r="A775" s="329"/>
      <c r="B775" s="438" t="s">
        <v>3165</v>
      </c>
      <c r="C775" s="367">
        <v>5</v>
      </c>
      <c r="D775" s="469" t="s">
        <v>103</v>
      </c>
      <c r="E775" s="469"/>
      <c r="F775" s="469" t="s">
        <v>488</v>
      </c>
      <c r="G775" s="469" t="s">
        <v>447</v>
      </c>
      <c r="H775" s="469">
        <v>2</v>
      </c>
      <c r="I775" s="469"/>
      <c r="J775" s="469"/>
      <c r="K775" s="469"/>
      <c r="L775" s="469">
        <v>2</v>
      </c>
      <c r="M775" s="469"/>
      <c r="N775" s="469"/>
      <c r="O775" s="469"/>
      <c r="P775" s="469">
        <v>1</v>
      </c>
      <c r="Q775" s="469"/>
      <c r="R775" s="469"/>
      <c r="S775" s="469"/>
      <c r="T775" s="469">
        <v>0</v>
      </c>
      <c r="U775" s="469"/>
      <c r="V775" s="469"/>
      <c r="W775" s="469"/>
      <c r="X775" s="329" t="s">
        <v>3166</v>
      </c>
      <c r="Y775" s="330" t="str">
        <f>DB!$D$194</f>
        <v>Branded Desktop Computer Set</v>
      </c>
      <c r="Z775" s="329" t="s">
        <v>3167</v>
      </c>
      <c r="AA775" s="329"/>
      <c r="AC775" s="8"/>
    </row>
    <row r="776" spans="1:29" hidden="1">
      <c r="A776" s="329"/>
      <c r="B776" s="440" t="s">
        <v>577</v>
      </c>
      <c r="C776" s="441">
        <v>5</v>
      </c>
      <c r="D776" s="470" t="s">
        <v>103</v>
      </c>
      <c r="E776" s="470"/>
      <c r="F776" s="470" t="s">
        <v>488</v>
      </c>
      <c r="G776" s="470" t="s">
        <v>447</v>
      </c>
      <c r="H776" s="470">
        <v>2</v>
      </c>
      <c r="I776" s="470"/>
      <c r="J776" s="470"/>
      <c r="K776" s="470"/>
      <c r="L776" s="470">
        <v>2</v>
      </c>
      <c r="M776" s="470"/>
      <c r="N776" s="470"/>
      <c r="O776" s="470"/>
      <c r="P776" s="470">
        <v>1</v>
      </c>
      <c r="Q776" s="470"/>
      <c r="R776" s="470"/>
      <c r="S776" s="470"/>
      <c r="T776" s="470">
        <v>0</v>
      </c>
      <c r="U776" s="470"/>
      <c r="V776" s="470"/>
      <c r="W776" s="470"/>
      <c r="X776" s="329" t="s">
        <v>3166</v>
      </c>
      <c r="Y776" s="330" t="str">
        <f>DB!$D$37</f>
        <v>Single Line Telephone (Black)</v>
      </c>
      <c r="Z776" s="329" t="s">
        <v>8</v>
      </c>
      <c r="AA776" s="329"/>
      <c r="AC776" s="8"/>
    </row>
    <row r="777" spans="1:29" hidden="1">
      <c r="A777" s="329"/>
      <c r="B777" s="471" t="s">
        <v>578</v>
      </c>
      <c r="C777" s="470">
        <v>5</v>
      </c>
      <c r="D777" s="470" t="s">
        <v>103</v>
      </c>
      <c r="E777" s="470"/>
      <c r="F777" s="470" t="s">
        <v>488</v>
      </c>
      <c r="G777" s="470" t="s">
        <v>447</v>
      </c>
      <c r="H777" s="470">
        <v>2</v>
      </c>
      <c r="I777" s="470"/>
      <c r="J777" s="470"/>
      <c r="K777" s="470"/>
      <c r="L777" s="470">
        <v>2</v>
      </c>
      <c r="M777" s="470"/>
      <c r="N777" s="470"/>
      <c r="O777" s="470"/>
      <c r="P777" s="470">
        <v>1</v>
      </c>
      <c r="Q777" s="470"/>
      <c r="R777" s="470"/>
      <c r="S777" s="470"/>
      <c r="T777" s="470">
        <v>0</v>
      </c>
      <c r="U777" s="470"/>
      <c r="V777" s="470"/>
      <c r="W777" s="470"/>
      <c r="X777" s="329" t="s">
        <v>3166</v>
      </c>
      <c r="Y777" s="330"/>
      <c r="Z777" s="329" t="s">
        <v>2962</v>
      </c>
      <c r="AA777" s="329"/>
      <c r="AC777" s="8"/>
    </row>
    <row r="778" spans="1:29" ht="31.5" hidden="1">
      <c r="A778" s="329"/>
      <c r="B778" s="471" t="s">
        <v>579</v>
      </c>
      <c r="C778" s="470">
        <v>24</v>
      </c>
      <c r="D778" s="470" t="s">
        <v>103</v>
      </c>
      <c r="E778" s="470"/>
      <c r="F778" s="470" t="s">
        <v>488</v>
      </c>
      <c r="G778" s="470" t="s">
        <v>447</v>
      </c>
      <c r="H778" s="470">
        <v>6</v>
      </c>
      <c r="I778" s="470"/>
      <c r="J778" s="470"/>
      <c r="K778" s="470"/>
      <c r="L778" s="470">
        <v>6</v>
      </c>
      <c r="M778" s="470"/>
      <c r="N778" s="470"/>
      <c r="O778" s="470"/>
      <c r="P778" s="470">
        <v>6</v>
      </c>
      <c r="Q778" s="470"/>
      <c r="R778" s="470"/>
      <c r="S778" s="470"/>
      <c r="T778" s="470">
        <v>6</v>
      </c>
      <c r="U778" s="470"/>
      <c r="V778" s="470"/>
      <c r="W778" s="470"/>
      <c r="X778" s="329" t="s">
        <v>3166</v>
      </c>
      <c r="Y778" s="369" t="str">
        <f>DB!$D$110</f>
        <v>HP Genuine Ink Refill - (GT53) Black</v>
      </c>
      <c r="Z778" s="329" t="s">
        <v>8</v>
      </c>
      <c r="AA778" s="329"/>
      <c r="AC778" s="8"/>
    </row>
    <row r="779" spans="1:29" ht="31.5" hidden="1">
      <c r="A779" s="329"/>
      <c r="B779" s="471" t="s">
        <v>580</v>
      </c>
      <c r="C779" s="470">
        <v>24</v>
      </c>
      <c r="D779" s="470" t="s">
        <v>103</v>
      </c>
      <c r="E779" s="470"/>
      <c r="F779" s="470" t="s">
        <v>488</v>
      </c>
      <c r="G779" s="470" t="s">
        <v>447</v>
      </c>
      <c r="H779" s="470">
        <v>6</v>
      </c>
      <c r="I779" s="470"/>
      <c r="J779" s="470"/>
      <c r="K779" s="470"/>
      <c r="L779" s="470">
        <v>6</v>
      </c>
      <c r="M779" s="470"/>
      <c r="N779" s="470"/>
      <c r="O779" s="470"/>
      <c r="P779" s="470">
        <v>6</v>
      </c>
      <c r="Q779" s="470"/>
      <c r="R779" s="470"/>
      <c r="S779" s="470"/>
      <c r="T779" s="470">
        <v>6</v>
      </c>
      <c r="U779" s="470"/>
      <c r="V779" s="470"/>
      <c r="W779" s="470"/>
      <c r="X779" s="329" t="s">
        <v>3166</v>
      </c>
      <c r="Y779" s="330" t="str">
        <f>DB!$D$112</f>
        <v>HP Genuine Ink Refill - (GT52) Cyan</v>
      </c>
      <c r="Z779" s="329" t="s">
        <v>8</v>
      </c>
      <c r="AA779" s="329"/>
      <c r="AC779" s="8"/>
    </row>
    <row r="780" spans="1:29" ht="31.5" hidden="1">
      <c r="A780" s="329"/>
      <c r="B780" s="471" t="s">
        <v>581</v>
      </c>
      <c r="C780" s="470">
        <v>24</v>
      </c>
      <c r="D780" s="470" t="s">
        <v>103</v>
      </c>
      <c r="E780" s="470"/>
      <c r="F780" s="470" t="s">
        <v>488</v>
      </c>
      <c r="G780" s="470" t="s">
        <v>447</v>
      </c>
      <c r="H780" s="470">
        <v>6</v>
      </c>
      <c r="I780" s="470"/>
      <c r="J780" s="470"/>
      <c r="K780" s="470"/>
      <c r="L780" s="470">
        <v>6</v>
      </c>
      <c r="M780" s="470"/>
      <c r="N780" s="470"/>
      <c r="O780" s="470"/>
      <c r="P780" s="470">
        <v>6</v>
      </c>
      <c r="Q780" s="470"/>
      <c r="R780" s="470"/>
      <c r="S780" s="470"/>
      <c r="T780" s="470">
        <v>6</v>
      </c>
      <c r="U780" s="470"/>
      <c r="V780" s="470"/>
      <c r="W780" s="470"/>
      <c r="X780" s="329" t="s">
        <v>3166</v>
      </c>
      <c r="Y780" s="330" t="str">
        <f>DB!$D$113</f>
        <v>HP Genuine Ink Refill - (GT52) Yellow</v>
      </c>
      <c r="Z780" s="329" t="s">
        <v>8</v>
      </c>
      <c r="AA780" s="329"/>
      <c r="AC780" s="8"/>
    </row>
    <row r="781" spans="1:29" ht="31.5" hidden="1">
      <c r="A781" s="329"/>
      <c r="B781" s="471" t="s">
        <v>582</v>
      </c>
      <c r="C781" s="470">
        <v>24</v>
      </c>
      <c r="D781" s="470" t="s">
        <v>103</v>
      </c>
      <c r="E781" s="470"/>
      <c r="F781" s="470" t="s">
        <v>488</v>
      </c>
      <c r="G781" s="470" t="s">
        <v>447</v>
      </c>
      <c r="H781" s="470">
        <v>6</v>
      </c>
      <c r="I781" s="470"/>
      <c r="J781" s="470"/>
      <c r="K781" s="470"/>
      <c r="L781" s="470">
        <v>6</v>
      </c>
      <c r="M781" s="470"/>
      <c r="N781" s="470"/>
      <c r="O781" s="470"/>
      <c r="P781" s="470">
        <v>6</v>
      </c>
      <c r="Q781" s="470"/>
      <c r="R781" s="470"/>
      <c r="S781" s="470"/>
      <c r="T781" s="470">
        <v>6</v>
      </c>
      <c r="U781" s="470"/>
      <c r="V781" s="470"/>
      <c r="W781" s="470"/>
      <c r="X781" s="329" t="s">
        <v>3166</v>
      </c>
      <c r="Y781" s="330" t="str">
        <f>DB!$D$111</f>
        <v>HP Genuine Ink Refill - (GT52) Magenta</v>
      </c>
      <c r="Z781" s="329" t="s">
        <v>8</v>
      </c>
      <c r="AA781" s="329"/>
      <c r="AC781" s="8"/>
    </row>
    <row r="782" spans="1:29" hidden="1">
      <c r="A782" s="329"/>
      <c r="B782" s="471" t="s">
        <v>584</v>
      </c>
      <c r="C782" s="470">
        <v>24</v>
      </c>
      <c r="D782" s="470" t="s">
        <v>103</v>
      </c>
      <c r="E782" s="470"/>
      <c r="F782" s="470" t="s">
        <v>488</v>
      </c>
      <c r="G782" s="470" t="s">
        <v>447</v>
      </c>
      <c r="H782" s="470">
        <v>6</v>
      </c>
      <c r="I782" s="470"/>
      <c r="J782" s="470"/>
      <c r="K782" s="470"/>
      <c r="L782" s="470">
        <v>6</v>
      </c>
      <c r="M782" s="470"/>
      <c r="N782" s="470"/>
      <c r="O782" s="470"/>
      <c r="P782" s="470">
        <v>6</v>
      </c>
      <c r="Q782" s="470"/>
      <c r="R782" s="470"/>
      <c r="S782" s="470"/>
      <c r="T782" s="470">
        <v>6</v>
      </c>
      <c r="U782" s="470"/>
      <c r="V782" s="470"/>
      <c r="W782" s="470"/>
      <c r="X782" s="329" t="s">
        <v>3166</v>
      </c>
      <c r="Y782" s="361" t="s">
        <v>199</v>
      </c>
      <c r="Z782" s="329" t="s">
        <v>8</v>
      </c>
      <c r="AA782" s="329"/>
      <c r="AC782" s="8"/>
    </row>
    <row r="783" spans="1:29" hidden="1">
      <c r="A783" s="329"/>
      <c r="B783" s="471" t="s">
        <v>585</v>
      </c>
      <c r="C783" s="470">
        <v>24</v>
      </c>
      <c r="D783" s="470" t="s">
        <v>103</v>
      </c>
      <c r="E783" s="470"/>
      <c r="F783" s="470" t="s">
        <v>488</v>
      </c>
      <c r="G783" s="470" t="s">
        <v>447</v>
      </c>
      <c r="H783" s="470">
        <v>6</v>
      </c>
      <c r="I783" s="470"/>
      <c r="J783" s="470"/>
      <c r="K783" s="470"/>
      <c r="L783" s="470">
        <v>6</v>
      </c>
      <c r="M783" s="470"/>
      <c r="N783" s="470"/>
      <c r="O783" s="470"/>
      <c r="P783" s="470">
        <v>6</v>
      </c>
      <c r="Q783" s="470"/>
      <c r="R783" s="470"/>
      <c r="S783" s="470"/>
      <c r="T783" s="470">
        <v>6</v>
      </c>
      <c r="U783" s="470"/>
      <c r="V783" s="470"/>
      <c r="W783" s="470"/>
      <c r="X783" s="329" t="s">
        <v>3166</v>
      </c>
      <c r="Y783" s="361" t="s">
        <v>209</v>
      </c>
      <c r="Z783" s="329" t="s">
        <v>8</v>
      </c>
      <c r="AA783" s="329"/>
      <c r="AC783" s="8"/>
    </row>
    <row r="784" spans="1:29" hidden="1">
      <c r="A784" s="329"/>
      <c r="B784" s="471" t="s">
        <v>586</v>
      </c>
      <c r="C784" s="470">
        <v>24</v>
      </c>
      <c r="D784" s="470" t="s">
        <v>103</v>
      </c>
      <c r="E784" s="470"/>
      <c r="F784" s="470" t="s">
        <v>488</v>
      </c>
      <c r="G784" s="470" t="s">
        <v>447</v>
      </c>
      <c r="H784" s="470">
        <v>6</v>
      </c>
      <c r="I784" s="470"/>
      <c r="J784" s="470"/>
      <c r="K784" s="470"/>
      <c r="L784" s="470">
        <v>6</v>
      </c>
      <c r="M784" s="470"/>
      <c r="N784" s="470"/>
      <c r="O784" s="470"/>
      <c r="P784" s="470">
        <v>6</v>
      </c>
      <c r="Q784" s="470"/>
      <c r="R784" s="470"/>
      <c r="S784" s="470"/>
      <c r="T784" s="470">
        <v>6</v>
      </c>
      <c r="U784" s="470"/>
      <c r="V784" s="470"/>
      <c r="W784" s="470"/>
      <c r="X784" s="329" t="s">
        <v>3166</v>
      </c>
      <c r="Y784" s="361" t="s">
        <v>211</v>
      </c>
      <c r="Z784" s="329" t="s">
        <v>8</v>
      </c>
      <c r="AA784" s="329"/>
      <c r="AC784" s="8"/>
    </row>
    <row r="785" spans="1:29" ht="31.5" hidden="1">
      <c r="A785" s="329"/>
      <c r="B785" s="471" t="s">
        <v>587</v>
      </c>
      <c r="C785" s="470">
        <v>24</v>
      </c>
      <c r="D785" s="470" t="s">
        <v>103</v>
      </c>
      <c r="E785" s="470"/>
      <c r="F785" s="470" t="s">
        <v>488</v>
      </c>
      <c r="G785" s="470" t="s">
        <v>447</v>
      </c>
      <c r="H785" s="470">
        <v>6</v>
      </c>
      <c r="I785" s="470"/>
      <c r="J785" s="470"/>
      <c r="K785" s="470"/>
      <c r="L785" s="470">
        <v>6</v>
      </c>
      <c r="M785" s="470"/>
      <c r="N785" s="470"/>
      <c r="O785" s="470"/>
      <c r="P785" s="470">
        <v>6</v>
      </c>
      <c r="Q785" s="470"/>
      <c r="R785" s="470"/>
      <c r="S785" s="470"/>
      <c r="T785" s="470">
        <v>6</v>
      </c>
      <c r="U785" s="470"/>
      <c r="V785" s="470"/>
      <c r="W785" s="470"/>
      <c r="X785" s="329" t="s">
        <v>3166</v>
      </c>
      <c r="Y785" s="361" t="s">
        <v>210</v>
      </c>
      <c r="Z785" s="329" t="s">
        <v>8</v>
      </c>
      <c r="AA785" s="329"/>
      <c r="AC785" s="8"/>
    </row>
    <row r="786" spans="1:29" ht="47.25" hidden="1">
      <c r="A786" s="329"/>
      <c r="B786" s="471" t="s">
        <v>583</v>
      </c>
      <c r="C786" s="470">
        <v>4</v>
      </c>
      <c r="D786" s="470" t="s">
        <v>103</v>
      </c>
      <c r="E786" s="470"/>
      <c r="F786" s="470" t="s">
        <v>488</v>
      </c>
      <c r="G786" s="470" t="s">
        <v>447</v>
      </c>
      <c r="H786" s="470">
        <v>1</v>
      </c>
      <c r="I786" s="470"/>
      <c r="J786" s="470"/>
      <c r="K786" s="470"/>
      <c r="L786" s="470">
        <v>1</v>
      </c>
      <c r="M786" s="470"/>
      <c r="N786" s="470"/>
      <c r="O786" s="470"/>
      <c r="P786" s="470">
        <v>1</v>
      </c>
      <c r="Q786" s="470"/>
      <c r="R786" s="470"/>
      <c r="S786" s="470"/>
      <c r="T786" s="470">
        <v>1</v>
      </c>
      <c r="U786" s="470"/>
      <c r="V786" s="470"/>
      <c r="W786" s="470"/>
      <c r="X786" s="329" t="s">
        <v>3166</v>
      </c>
      <c r="Y786" s="369" t="str">
        <f>DB!$D$84</f>
        <v>HP Printhead Black compatible with the existing HP Smart Tank 515</v>
      </c>
      <c r="Z786" s="329" t="s">
        <v>8</v>
      </c>
      <c r="AA786" s="329"/>
      <c r="AC786" s="8"/>
    </row>
    <row r="787" spans="1:29" hidden="1">
      <c r="A787" s="329"/>
      <c r="B787" s="471" t="s">
        <v>588</v>
      </c>
      <c r="C787" s="470">
        <v>4</v>
      </c>
      <c r="D787" s="470" t="s">
        <v>103</v>
      </c>
      <c r="E787" s="470"/>
      <c r="F787" s="470" t="s">
        <v>488</v>
      </c>
      <c r="G787" s="470" t="s">
        <v>447</v>
      </c>
      <c r="H787" s="470">
        <v>1</v>
      </c>
      <c r="I787" s="470"/>
      <c r="J787" s="470"/>
      <c r="K787" s="470"/>
      <c r="L787" s="470">
        <v>1</v>
      </c>
      <c r="M787" s="470"/>
      <c r="N787" s="470"/>
      <c r="O787" s="470"/>
      <c r="P787" s="470">
        <v>1</v>
      </c>
      <c r="Q787" s="470"/>
      <c r="R787" s="470"/>
      <c r="S787" s="470"/>
      <c r="T787" s="470">
        <v>1</v>
      </c>
      <c r="U787" s="470"/>
      <c r="V787" s="470"/>
      <c r="W787" s="470"/>
      <c r="X787" s="329" t="s">
        <v>3166</v>
      </c>
      <c r="Y787" s="330"/>
      <c r="Z787" s="329" t="s">
        <v>11</v>
      </c>
      <c r="AA787" s="329"/>
      <c r="AC787" s="8"/>
    </row>
    <row r="788" spans="1:29" ht="12.75">
      <c r="A788" s="8"/>
      <c r="B788" s="83"/>
      <c r="C788" s="59"/>
      <c r="D788" s="59"/>
      <c r="E788" s="59"/>
      <c r="F788" s="59"/>
      <c r="G788" s="8"/>
      <c r="H788" s="8"/>
      <c r="I788" s="8"/>
      <c r="J788" s="8"/>
      <c r="K788" s="8"/>
      <c r="L788" s="8"/>
      <c r="M788" s="8"/>
      <c r="N788" s="8"/>
      <c r="O788" s="8"/>
      <c r="P788" s="8"/>
      <c r="Q788" s="8"/>
      <c r="R788" s="8"/>
      <c r="S788" s="8"/>
      <c r="T788" s="8"/>
      <c r="U788" s="8"/>
      <c r="V788" s="8"/>
      <c r="W788" s="8"/>
      <c r="X788" s="8"/>
      <c r="Y788" s="85"/>
      <c r="Z788" s="8"/>
      <c r="AA788" s="59"/>
      <c r="AC788" s="8"/>
    </row>
    <row r="789" spans="1:29" ht="12.75">
      <c r="A789" s="8"/>
      <c r="B789" s="83"/>
      <c r="C789" s="59"/>
      <c r="D789" s="59"/>
      <c r="E789" s="59"/>
      <c r="F789" s="59"/>
      <c r="G789" s="8"/>
      <c r="H789" s="8"/>
      <c r="I789" s="8"/>
      <c r="J789" s="8"/>
      <c r="K789" s="8"/>
      <c r="L789" s="8"/>
      <c r="M789" s="8"/>
      <c r="N789" s="8"/>
      <c r="O789" s="8"/>
      <c r="P789" s="8"/>
      <c r="Q789" s="8"/>
      <c r="R789" s="8"/>
      <c r="S789" s="8"/>
      <c r="T789" s="8"/>
      <c r="U789" s="8"/>
      <c r="V789" s="8"/>
      <c r="W789" s="8"/>
      <c r="X789" s="8"/>
      <c r="Y789" s="85"/>
      <c r="Z789" s="8"/>
      <c r="AA789" s="59"/>
      <c r="AC789" s="8"/>
    </row>
    <row r="790" spans="1:29" ht="12.75">
      <c r="A790" s="8"/>
      <c r="B790" s="83"/>
      <c r="C790" s="59"/>
      <c r="D790" s="59"/>
      <c r="E790" s="59"/>
      <c r="F790" s="59"/>
      <c r="G790" s="8"/>
      <c r="H790" s="8"/>
      <c r="I790" s="8"/>
      <c r="J790" s="8"/>
      <c r="K790" s="8"/>
      <c r="L790" s="8"/>
      <c r="M790" s="8"/>
      <c r="N790" s="8"/>
      <c r="O790" s="8"/>
      <c r="P790" s="8"/>
      <c r="Q790" s="8"/>
      <c r="R790" s="8"/>
      <c r="S790" s="8"/>
      <c r="T790" s="8"/>
      <c r="U790" s="8"/>
      <c r="V790" s="8"/>
      <c r="W790" s="8"/>
      <c r="X790" s="8"/>
      <c r="Y790" s="85"/>
      <c r="Z790" s="8"/>
      <c r="AA790" s="59"/>
      <c r="AC790" s="8"/>
    </row>
    <row r="791" spans="1:29" ht="12.75">
      <c r="A791" s="8"/>
      <c r="B791" s="83"/>
      <c r="C791" s="59"/>
      <c r="D791" s="59"/>
      <c r="E791" s="59"/>
      <c r="F791" s="59"/>
      <c r="G791" s="8"/>
      <c r="H791" s="8"/>
      <c r="I791" s="8"/>
      <c r="J791" s="8"/>
      <c r="K791" s="8"/>
      <c r="L791" s="8"/>
      <c r="M791" s="8"/>
      <c r="N791" s="8"/>
      <c r="O791" s="8"/>
      <c r="P791" s="8"/>
      <c r="Q791" s="8"/>
      <c r="R791" s="8"/>
      <c r="S791" s="8"/>
      <c r="T791" s="8"/>
      <c r="U791" s="8"/>
      <c r="V791" s="8"/>
      <c r="W791" s="8"/>
      <c r="X791" s="8"/>
      <c r="Y791" s="85"/>
      <c r="Z791" s="8"/>
      <c r="AA791" s="59"/>
      <c r="AC791" s="8"/>
    </row>
    <row r="792" spans="1:29" ht="12.75">
      <c r="A792" s="8"/>
      <c r="B792" s="83"/>
      <c r="C792" s="59"/>
      <c r="D792" s="59"/>
      <c r="E792" s="59"/>
      <c r="F792" s="59"/>
      <c r="G792" s="8"/>
      <c r="H792" s="8"/>
      <c r="I792" s="8"/>
      <c r="J792" s="8"/>
      <c r="K792" s="8"/>
      <c r="L792" s="8"/>
      <c r="M792" s="8"/>
      <c r="N792" s="8"/>
      <c r="O792" s="8"/>
      <c r="P792" s="8"/>
      <c r="Q792" s="8"/>
      <c r="R792" s="8"/>
      <c r="S792" s="8"/>
      <c r="T792" s="8"/>
      <c r="U792" s="8"/>
      <c r="V792" s="8"/>
      <c r="W792" s="8"/>
      <c r="X792" s="8"/>
      <c r="Y792" s="85"/>
      <c r="Z792" s="8"/>
      <c r="AA792" s="59"/>
      <c r="AC792" s="8"/>
    </row>
    <row r="793" spans="1:29" ht="12.75">
      <c r="A793" s="8"/>
      <c r="B793" s="83"/>
      <c r="C793" s="59"/>
      <c r="D793" s="59"/>
      <c r="E793" s="59"/>
      <c r="F793" s="59"/>
      <c r="G793" s="8"/>
      <c r="H793" s="8"/>
      <c r="I793" s="8"/>
      <c r="J793" s="8"/>
      <c r="K793" s="8"/>
      <c r="L793" s="8"/>
      <c r="M793" s="8"/>
      <c r="N793" s="8"/>
      <c r="O793" s="8"/>
      <c r="P793" s="8"/>
      <c r="Q793" s="8"/>
      <c r="R793" s="8"/>
      <c r="S793" s="8"/>
      <c r="T793" s="8"/>
      <c r="U793" s="8"/>
      <c r="V793" s="8"/>
      <c r="W793" s="8"/>
      <c r="X793" s="8"/>
      <c r="Y793" s="85"/>
      <c r="Z793" s="8"/>
      <c r="AA793" s="59"/>
      <c r="AC793" s="8"/>
    </row>
    <row r="794" spans="1:29" ht="12.75">
      <c r="A794" s="8"/>
      <c r="B794" s="83"/>
      <c r="C794" s="59"/>
      <c r="D794" s="59"/>
      <c r="E794" s="59"/>
      <c r="F794" s="59"/>
      <c r="G794" s="8"/>
      <c r="H794" s="8"/>
      <c r="I794" s="8"/>
      <c r="J794" s="8"/>
      <c r="K794" s="8"/>
      <c r="L794" s="8"/>
      <c r="M794" s="8"/>
      <c r="N794" s="8"/>
      <c r="O794" s="8"/>
      <c r="P794" s="8"/>
      <c r="Q794" s="8"/>
      <c r="R794" s="8"/>
      <c r="S794" s="8"/>
      <c r="T794" s="8"/>
      <c r="U794" s="8"/>
      <c r="V794" s="8"/>
      <c r="W794" s="8"/>
      <c r="X794" s="8"/>
      <c r="Y794" s="85"/>
      <c r="Z794" s="8"/>
      <c r="AA794" s="59"/>
      <c r="AC794" s="8"/>
    </row>
    <row r="795" spans="1:29" ht="12.75">
      <c r="A795" s="8"/>
      <c r="B795" s="83"/>
      <c r="C795" s="59"/>
      <c r="D795" s="59"/>
      <c r="E795" s="59"/>
      <c r="F795" s="59"/>
      <c r="G795" s="8"/>
      <c r="H795" s="8"/>
      <c r="I795" s="8"/>
      <c r="J795" s="8"/>
      <c r="K795" s="8"/>
      <c r="L795" s="8"/>
      <c r="M795" s="8"/>
      <c r="N795" s="8"/>
      <c r="O795" s="8"/>
      <c r="P795" s="8"/>
      <c r="Q795" s="8"/>
      <c r="R795" s="8"/>
      <c r="S795" s="8"/>
      <c r="T795" s="8"/>
      <c r="U795" s="8"/>
      <c r="V795" s="8"/>
      <c r="W795" s="8"/>
      <c r="X795" s="8"/>
      <c r="Y795" s="85"/>
      <c r="Z795" s="8"/>
      <c r="AA795" s="59"/>
      <c r="AC795" s="8"/>
    </row>
    <row r="796" spans="1:29" ht="12.75">
      <c r="A796" s="8"/>
      <c r="B796" s="83"/>
      <c r="C796" s="59"/>
      <c r="D796" s="59"/>
      <c r="E796" s="59"/>
      <c r="F796" s="59"/>
      <c r="G796" s="8"/>
      <c r="H796" s="8"/>
      <c r="I796" s="8"/>
      <c r="J796" s="8"/>
      <c r="K796" s="8"/>
      <c r="L796" s="8"/>
      <c r="M796" s="8"/>
      <c r="N796" s="8"/>
      <c r="O796" s="8"/>
      <c r="P796" s="8"/>
      <c r="Q796" s="8"/>
      <c r="R796" s="8"/>
      <c r="S796" s="8"/>
      <c r="T796" s="8"/>
      <c r="U796" s="8"/>
      <c r="V796" s="8"/>
      <c r="W796" s="8"/>
      <c r="X796" s="8"/>
      <c r="Y796" s="85"/>
      <c r="Z796" s="8"/>
      <c r="AA796" s="59"/>
      <c r="AC796" s="8"/>
    </row>
    <row r="797" spans="1:29" ht="12.75">
      <c r="A797" s="8"/>
      <c r="B797" s="83"/>
      <c r="C797" s="59"/>
      <c r="D797" s="59"/>
      <c r="E797" s="59"/>
      <c r="F797" s="59"/>
      <c r="G797" s="8"/>
      <c r="H797" s="8"/>
      <c r="I797" s="8"/>
      <c r="J797" s="8"/>
      <c r="K797" s="8"/>
      <c r="L797" s="8"/>
      <c r="M797" s="8"/>
      <c r="N797" s="8"/>
      <c r="O797" s="8"/>
      <c r="P797" s="8"/>
      <c r="Q797" s="8"/>
      <c r="R797" s="8"/>
      <c r="S797" s="8"/>
      <c r="T797" s="8"/>
      <c r="U797" s="8"/>
      <c r="V797" s="8"/>
      <c r="W797" s="8"/>
      <c r="X797" s="8"/>
      <c r="Y797" s="85"/>
      <c r="Z797" s="8"/>
      <c r="AA797" s="59"/>
      <c r="AC797" s="8"/>
    </row>
    <row r="798" spans="1:29" ht="12.75">
      <c r="A798" s="8"/>
      <c r="B798" s="83"/>
      <c r="C798" s="59"/>
      <c r="D798" s="59"/>
      <c r="E798" s="59"/>
      <c r="F798" s="59"/>
      <c r="G798" s="8"/>
      <c r="H798" s="8"/>
      <c r="I798" s="8"/>
      <c r="J798" s="8"/>
      <c r="K798" s="8"/>
      <c r="L798" s="8"/>
      <c r="M798" s="8"/>
      <c r="N798" s="8"/>
      <c r="O798" s="8"/>
      <c r="P798" s="8"/>
      <c r="Q798" s="8"/>
      <c r="R798" s="8"/>
      <c r="S798" s="8"/>
      <c r="T798" s="8"/>
      <c r="U798" s="8"/>
      <c r="V798" s="8"/>
      <c r="W798" s="8"/>
      <c r="X798" s="8"/>
      <c r="Y798" s="85"/>
      <c r="Z798" s="8"/>
      <c r="AA798" s="59"/>
      <c r="AC798" s="8"/>
    </row>
    <row r="799" spans="1:29" ht="12.75">
      <c r="A799" s="8"/>
      <c r="B799" s="83"/>
      <c r="C799" s="59"/>
      <c r="D799" s="59"/>
      <c r="E799" s="59"/>
      <c r="F799" s="59"/>
      <c r="G799" s="8"/>
      <c r="H799" s="8"/>
      <c r="I799" s="8"/>
      <c r="J799" s="8"/>
      <c r="K799" s="8"/>
      <c r="L799" s="8"/>
      <c r="M799" s="8"/>
      <c r="N799" s="8"/>
      <c r="O799" s="8"/>
      <c r="P799" s="8"/>
      <c r="Q799" s="8"/>
      <c r="R799" s="8"/>
      <c r="S799" s="8"/>
      <c r="T799" s="8"/>
      <c r="U799" s="8"/>
      <c r="V799" s="8"/>
      <c r="W799" s="8"/>
      <c r="X799" s="8"/>
      <c r="Y799" s="85"/>
      <c r="Z799" s="8"/>
      <c r="AA799" s="59"/>
      <c r="AC799" s="8"/>
    </row>
    <row r="800" spans="1:29" ht="12.75">
      <c r="A800" s="8"/>
      <c r="B800" s="83"/>
      <c r="C800" s="59"/>
      <c r="D800" s="59"/>
      <c r="E800" s="59"/>
      <c r="F800" s="59"/>
      <c r="G800" s="8"/>
      <c r="H800" s="8"/>
      <c r="I800" s="8"/>
      <c r="J800" s="8"/>
      <c r="K800" s="8"/>
      <c r="L800" s="8"/>
      <c r="M800" s="8"/>
      <c r="N800" s="8"/>
      <c r="O800" s="8"/>
      <c r="P800" s="8"/>
      <c r="Q800" s="8"/>
      <c r="R800" s="8"/>
      <c r="S800" s="8"/>
      <c r="T800" s="8"/>
      <c r="U800" s="8"/>
      <c r="V800" s="8"/>
      <c r="W800" s="8"/>
      <c r="X800" s="8"/>
      <c r="Y800" s="85"/>
      <c r="Z800" s="8"/>
      <c r="AA800" s="59"/>
      <c r="AC800" s="8"/>
    </row>
    <row r="801" spans="1:29" ht="12.75">
      <c r="A801" s="8"/>
      <c r="B801" s="83"/>
      <c r="C801" s="59"/>
      <c r="D801" s="59"/>
      <c r="E801" s="59"/>
      <c r="F801" s="59"/>
      <c r="G801" s="8"/>
      <c r="H801" s="8"/>
      <c r="I801" s="8"/>
      <c r="J801" s="8"/>
      <c r="K801" s="8"/>
      <c r="L801" s="8"/>
      <c r="M801" s="8"/>
      <c r="N801" s="8"/>
      <c r="O801" s="8"/>
      <c r="P801" s="8"/>
      <c r="Q801" s="8"/>
      <c r="R801" s="8"/>
      <c r="S801" s="8"/>
      <c r="T801" s="8"/>
      <c r="U801" s="8"/>
      <c r="V801" s="8"/>
      <c r="W801" s="8"/>
      <c r="X801" s="8"/>
      <c r="Y801" s="85"/>
      <c r="Z801" s="8"/>
      <c r="AA801" s="59"/>
      <c r="AC801" s="8"/>
    </row>
    <row r="802" spans="1:29" ht="12.75">
      <c r="A802" s="8"/>
      <c r="B802" s="83"/>
      <c r="C802" s="59"/>
      <c r="D802" s="59"/>
      <c r="E802" s="59"/>
      <c r="F802" s="59"/>
      <c r="G802" s="8"/>
      <c r="H802" s="8"/>
      <c r="I802" s="8"/>
      <c r="J802" s="8"/>
      <c r="K802" s="8"/>
      <c r="L802" s="8"/>
      <c r="M802" s="8"/>
      <c r="N802" s="8"/>
      <c r="O802" s="8"/>
      <c r="P802" s="8"/>
      <c r="Q802" s="8"/>
      <c r="R802" s="8"/>
      <c r="S802" s="8"/>
      <c r="T802" s="8"/>
      <c r="U802" s="8"/>
      <c r="V802" s="8"/>
      <c r="W802" s="8"/>
      <c r="X802" s="8"/>
      <c r="Y802" s="85"/>
      <c r="Z802" s="8"/>
      <c r="AA802" s="59"/>
      <c r="AC802" s="8"/>
    </row>
    <row r="803" spans="1:29" ht="12.75">
      <c r="A803" s="8"/>
      <c r="B803" s="83"/>
      <c r="C803" s="59"/>
      <c r="D803" s="59"/>
      <c r="E803" s="59"/>
      <c r="F803" s="59"/>
      <c r="G803" s="8"/>
      <c r="H803" s="8"/>
      <c r="I803" s="8"/>
      <c r="J803" s="8"/>
      <c r="K803" s="8"/>
      <c r="L803" s="8"/>
      <c r="M803" s="8"/>
      <c r="N803" s="8"/>
      <c r="O803" s="8"/>
      <c r="P803" s="8"/>
      <c r="Q803" s="8"/>
      <c r="R803" s="8"/>
      <c r="S803" s="8"/>
      <c r="T803" s="8"/>
      <c r="U803" s="8"/>
      <c r="V803" s="8"/>
      <c r="W803" s="8"/>
      <c r="X803" s="8"/>
      <c r="Y803" s="85"/>
      <c r="Z803" s="8"/>
      <c r="AA803" s="59"/>
      <c r="AC803" s="8"/>
    </row>
    <row r="804" spans="1:29" ht="12.75">
      <c r="A804" s="8"/>
      <c r="B804" s="83"/>
      <c r="C804" s="59"/>
      <c r="D804" s="59"/>
      <c r="E804" s="59"/>
      <c r="F804" s="59"/>
      <c r="G804" s="8"/>
      <c r="H804" s="8"/>
      <c r="I804" s="8"/>
      <c r="J804" s="8"/>
      <c r="K804" s="8"/>
      <c r="L804" s="8"/>
      <c r="M804" s="8"/>
      <c r="N804" s="8"/>
      <c r="O804" s="8"/>
      <c r="P804" s="8"/>
      <c r="Q804" s="8"/>
      <c r="R804" s="8"/>
      <c r="S804" s="8"/>
      <c r="T804" s="8"/>
      <c r="U804" s="8"/>
      <c r="V804" s="8"/>
      <c r="W804" s="8"/>
      <c r="X804" s="8"/>
      <c r="Y804" s="85"/>
      <c r="Z804" s="8"/>
      <c r="AA804" s="59"/>
      <c r="AC804" s="8"/>
    </row>
    <row r="805" spans="1:29" ht="12.75">
      <c r="A805" s="8"/>
      <c r="B805" s="83"/>
      <c r="C805" s="59"/>
      <c r="D805" s="59"/>
      <c r="E805" s="59"/>
      <c r="F805" s="59"/>
      <c r="G805" s="8"/>
      <c r="H805" s="8"/>
      <c r="I805" s="8"/>
      <c r="J805" s="8"/>
      <c r="K805" s="8"/>
      <c r="L805" s="8"/>
      <c r="M805" s="8"/>
      <c r="N805" s="8"/>
      <c r="O805" s="8"/>
      <c r="P805" s="8"/>
      <c r="Q805" s="8"/>
      <c r="R805" s="8"/>
      <c r="S805" s="8"/>
      <c r="T805" s="8"/>
      <c r="U805" s="8"/>
      <c r="V805" s="8"/>
      <c r="W805" s="8"/>
      <c r="X805" s="8"/>
      <c r="Y805" s="85"/>
      <c r="Z805" s="8"/>
      <c r="AA805" s="59"/>
      <c r="AC805" s="8"/>
    </row>
    <row r="806" spans="1:29" ht="12.75">
      <c r="A806" s="8"/>
      <c r="B806" s="83"/>
      <c r="C806" s="59"/>
      <c r="D806" s="59"/>
      <c r="E806" s="59"/>
      <c r="F806" s="59"/>
      <c r="G806" s="8"/>
      <c r="H806" s="8"/>
      <c r="I806" s="8"/>
      <c r="J806" s="8"/>
      <c r="K806" s="8"/>
      <c r="L806" s="8"/>
      <c r="M806" s="8"/>
      <c r="N806" s="8"/>
      <c r="O806" s="8"/>
      <c r="P806" s="8"/>
      <c r="Q806" s="8"/>
      <c r="R806" s="8"/>
      <c r="S806" s="8"/>
      <c r="T806" s="8"/>
      <c r="U806" s="8"/>
      <c r="V806" s="8"/>
      <c r="W806" s="8"/>
      <c r="X806" s="8"/>
      <c r="Y806" s="85"/>
      <c r="Z806" s="8"/>
      <c r="AA806" s="59"/>
      <c r="AC806" s="8"/>
    </row>
    <row r="807" spans="1:29" ht="12.75">
      <c r="A807" s="8"/>
      <c r="B807" s="83"/>
      <c r="C807" s="59"/>
      <c r="D807" s="59"/>
      <c r="E807" s="59"/>
      <c r="F807" s="59"/>
      <c r="G807" s="8"/>
      <c r="H807" s="8"/>
      <c r="I807" s="8"/>
      <c r="J807" s="8"/>
      <c r="K807" s="8"/>
      <c r="L807" s="8"/>
      <c r="M807" s="8"/>
      <c r="N807" s="8"/>
      <c r="O807" s="8"/>
      <c r="P807" s="8"/>
      <c r="Q807" s="8"/>
      <c r="R807" s="8"/>
      <c r="S807" s="8"/>
      <c r="T807" s="8"/>
      <c r="U807" s="8"/>
      <c r="V807" s="8"/>
      <c r="W807" s="8"/>
      <c r="X807" s="8"/>
      <c r="Y807" s="85"/>
      <c r="Z807" s="8"/>
      <c r="AA807" s="59"/>
      <c r="AC807" s="8"/>
    </row>
    <row r="808" spans="1:29" ht="12.75">
      <c r="A808" s="8"/>
      <c r="B808" s="83"/>
      <c r="C808" s="59"/>
      <c r="D808" s="59"/>
      <c r="E808" s="59"/>
      <c r="F808" s="59"/>
      <c r="G808" s="8"/>
      <c r="H808" s="8"/>
      <c r="I808" s="8"/>
      <c r="J808" s="8"/>
      <c r="K808" s="8"/>
      <c r="L808" s="8"/>
      <c r="M808" s="8"/>
      <c r="N808" s="8"/>
      <c r="O808" s="8"/>
      <c r="P808" s="8"/>
      <c r="Q808" s="8"/>
      <c r="R808" s="8"/>
      <c r="S808" s="8"/>
      <c r="T808" s="8"/>
      <c r="U808" s="8"/>
      <c r="V808" s="8"/>
      <c r="W808" s="8"/>
      <c r="X808" s="8"/>
      <c r="Y808" s="85"/>
      <c r="Z808" s="8"/>
      <c r="AA808" s="59"/>
      <c r="AC808" s="8"/>
    </row>
    <row r="809" spans="1:29" ht="12.75">
      <c r="A809" s="8"/>
      <c r="B809" s="83"/>
      <c r="C809" s="59"/>
      <c r="D809" s="59"/>
      <c r="E809" s="59"/>
      <c r="F809" s="59"/>
      <c r="G809" s="8"/>
      <c r="H809" s="8"/>
      <c r="I809" s="8"/>
      <c r="J809" s="8"/>
      <c r="K809" s="8"/>
      <c r="L809" s="8"/>
      <c r="M809" s="8"/>
      <c r="N809" s="8"/>
      <c r="O809" s="8"/>
      <c r="P809" s="8"/>
      <c r="Q809" s="8"/>
      <c r="R809" s="8"/>
      <c r="S809" s="8"/>
      <c r="T809" s="8"/>
      <c r="U809" s="8"/>
      <c r="V809" s="8"/>
      <c r="W809" s="8"/>
      <c r="X809" s="8"/>
      <c r="Y809" s="85"/>
      <c r="Z809" s="8"/>
      <c r="AA809" s="59"/>
      <c r="AC809" s="8"/>
    </row>
    <row r="810" spans="1:29" ht="12.75">
      <c r="A810" s="8"/>
      <c r="B810" s="83"/>
      <c r="C810" s="59"/>
      <c r="D810" s="59"/>
      <c r="E810" s="59"/>
      <c r="F810" s="59"/>
      <c r="G810" s="8"/>
      <c r="H810" s="8"/>
      <c r="I810" s="8"/>
      <c r="J810" s="8"/>
      <c r="K810" s="8"/>
      <c r="L810" s="8"/>
      <c r="M810" s="8"/>
      <c r="N810" s="8"/>
      <c r="O810" s="8"/>
      <c r="P810" s="8"/>
      <c r="Q810" s="8"/>
      <c r="R810" s="8"/>
      <c r="S810" s="8"/>
      <c r="T810" s="8"/>
      <c r="U810" s="8"/>
      <c r="V810" s="8"/>
      <c r="W810" s="8"/>
      <c r="X810" s="8"/>
      <c r="Y810" s="85"/>
      <c r="Z810" s="8"/>
      <c r="AA810" s="59"/>
      <c r="AC810" s="8"/>
    </row>
    <row r="811" spans="1:29" ht="12.75">
      <c r="A811" s="8"/>
      <c r="B811" s="83"/>
      <c r="C811" s="59"/>
      <c r="D811" s="59"/>
      <c r="E811" s="59"/>
      <c r="F811" s="59"/>
      <c r="G811" s="8"/>
      <c r="H811" s="8"/>
      <c r="I811" s="8"/>
      <c r="J811" s="8"/>
      <c r="K811" s="8"/>
      <c r="L811" s="8"/>
      <c r="M811" s="8"/>
      <c r="N811" s="8"/>
      <c r="O811" s="8"/>
      <c r="P811" s="8"/>
      <c r="Q811" s="8"/>
      <c r="R811" s="8"/>
      <c r="S811" s="8"/>
      <c r="T811" s="8"/>
      <c r="U811" s="8"/>
      <c r="V811" s="8"/>
      <c r="W811" s="8"/>
      <c r="X811" s="8"/>
      <c r="Y811" s="85"/>
      <c r="Z811" s="8"/>
      <c r="AA811" s="59"/>
      <c r="AC811" s="8"/>
    </row>
    <row r="812" spans="1:29" ht="12.75">
      <c r="A812" s="8"/>
      <c r="B812" s="83"/>
      <c r="C812" s="59"/>
      <c r="D812" s="59"/>
      <c r="E812" s="59"/>
      <c r="F812" s="59"/>
      <c r="G812" s="8"/>
      <c r="H812" s="8"/>
      <c r="I812" s="8"/>
      <c r="J812" s="8"/>
      <c r="K812" s="8"/>
      <c r="L812" s="8"/>
      <c r="M812" s="8"/>
      <c r="N812" s="8"/>
      <c r="O812" s="8"/>
      <c r="P812" s="8"/>
      <c r="Q812" s="8"/>
      <c r="R812" s="8"/>
      <c r="S812" s="8"/>
      <c r="T812" s="8"/>
      <c r="U812" s="8"/>
      <c r="V812" s="8"/>
      <c r="W812" s="8"/>
      <c r="X812" s="8"/>
      <c r="Y812" s="85"/>
      <c r="Z812" s="8"/>
      <c r="AA812" s="59"/>
      <c r="AC812" s="8"/>
    </row>
    <row r="813" spans="1:29" ht="12.75">
      <c r="A813" s="8"/>
      <c r="B813" s="83"/>
      <c r="C813" s="59"/>
      <c r="D813" s="59"/>
      <c r="E813" s="59"/>
      <c r="F813" s="59"/>
      <c r="G813" s="8"/>
      <c r="H813" s="8"/>
      <c r="I813" s="8"/>
      <c r="J813" s="8"/>
      <c r="K813" s="8"/>
      <c r="L813" s="8"/>
      <c r="M813" s="8"/>
      <c r="N813" s="8"/>
      <c r="O813" s="8"/>
      <c r="P813" s="8"/>
      <c r="Q813" s="8"/>
      <c r="R813" s="8"/>
      <c r="S813" s="8"/>
      <c r="T813" s="8"/>
      <c r="U813" s="8"/>
      <c r="V813" s="8"/>
      <c r="W813" s="8"/>
      <c r="X813" s="8"/>
      <c r="Y813" s="85"/>
      <c r="Z813" s="8"/>
      <c r="AA813" s="59"/>
      <c r="AC813" s="8"/>
    </row>
    <row r="814" spans="1:29" ht="12.75">
      <c r="A814" s="8"/>
      <c r="B814" s="83"/>
      <c r="C814" s="59"/>
      <c r="D814" s="59"/>
      <c r="E814" s="59"/>
      <c r="F814" s="59"/>
      <c r="G814" s="8"/>
      <c r="H814" s="8"/>
      <c r="I814" s="8"/>
      <c r="J814" s="8"/>
      <c r="K814" s="8"/>
      <c r="L814" s="8"/>
      <c r="M814" s="8"/>
      <c r="N814" s="8"/>
      <c r="O814" s="8"/>
      <c r="P814" s="8"/>
      <c r="Q814" s="8"/>
      <c r="R814" s="8"/>
      <c r="S814" s="8"/>
      <c r="T814" s="8"/>
      <c r="U814" s="8"/>
      <c r="V814" s="8"/>
      <c r="W814" s="8"/>
      <c r="X814" s="8"/>
      <c r="Y814" s="85"/>
      <c r="Z814" s="8"/>
      <c r="AA814" s="59"/>
      <c r="AC814" s="8"/>
    </row>
    <row r="815" spans="1:29" ht="12.75">
      <c r="A815" s="8"/>
      <c r="B815" s="83"/>
      <c r="C815" s="59"/>
      <c r="D815" s="59"/>
      <c r="E815" s="59"/>
      <c r="F815" s="59"/>
      <c r="G815" s="8"/>
      <c r="H815" s="8"/>
      <c r="I815" s="8"/>
      <c r="J815" s="8"/>
      <c r="K815" s="8"/>
      <c r="L815" s="8"/>
      <c r="M815" s="8"/>
      <c r="N815" s="8"/>
      <c r="O815" s="8"/>
      <c r="P815" s="8"/>
      <c r="Q815" s="8"/>
      <c r="R815" s="8"/>
      <c r="S815" s="8"/>
      <c r="T815" s="8"/>
      <c r="U815" s="8"/>
      <c r="V815" s="8"/>
      <c r="W815" s="8"/>
      <c r="X815" s="8"/>
      <c r="Y815" s="85"/>
      <c r="Z815" s="8"/>
      <c r="AA815" s="59"/>
      <c r="AC815" s="8"/>
    </row>
    <row r="816" spans="1:29" ht="12.75">
      <c r="A816" s="8"/>
      <c r="B816" s="83"/>
      <c r="C816" s="59"/>
      <c r="D816" s="59"/>
      <c r="E816" s="59"/>
      <c r="F816" s="59"/>
      <c r="G816" s="8"/>
      <c r="H816" s="8"/>
      <c r="I816" s="8"/>
      <c r="J816" s="8"/>
      <c r="K816" s="8"/>
      <c r="L816" s="8"/>
      <c r="M816" s="8"/>
      <c r="N816" s="8"/>
      <c r="O816" s="8"/>
      <c r="P816" s="8"/>
      <c r="Q816" s="8"/>
      <c r="R816" s="8"/>
      <c r="S816" s="8"/>
      <c r="T816" s="8"/>
      <c r="U816" s="8"/>
      <c r="V816" s="8"/>
      <c r="W816" s="8"/>
      <c r="X816" s="8"/>
      <c r="Y816" s="85"/>
      <c r="Z816" s="8"/>
      <c r="AA816" s="59"/>
      <c r="AC816" s="8"/>
    </row>
    <row r="817" spans="1:29" ht="12.75">
      <c r="A817" s="8"/>
      <c r="B817" s="83"/>
      <c r="C817" s="59"/>
      <c r="D817" s="59"/>
      <c r="E817" s="59"/>
      <c r="F817" s="59"/>
      <c r="G817" s="8"/>
      <c r="H817" s="8"/>
      <c r="I817" s="8"/>
      <c r="J817" s="8"/>
      <c r="K817" s="8"/>
      <c r="L817" s="8"/>
      <c r="M817" s="8"/>
      <c r="N817" s="8"/>
      <c r="O817" s="8"/>
      <c r="P817" s="8"/>
      <c r="Q817" s="8"/>
      <c r="R817" s="8"/>
      <c r="S817" s="8"/>
      <c r="T817" s="8"/>
      <c r="U817" s="8"/>
      <c r="V817" s="8"/>
      <c r="W817" s="8"/>
      <c r="X817" s="8"/>
      <c r="Y817" s="85"/>
      <c r="Z817" s="8"/>
      <c r="AA817" s="59"/>
      <c r="AC817" s="8"/>
    </row>
    <row r="818" spans="1:29" ht="12.75">
      <c r="A818" s="8"/>
      <c r="B818" s="83"/>
      <c r="C818" s="59"/>
      <c r="D818" s="59"/>
      <c r="E818" s="59"/>
      <c r="F818" s="59"/>
      <c r="G818" s="8"/>
      <c r="H818" s="8"/>
      <c r="I818" s="8"/>
      <c r="J818" s="8"/>
      <c r="K818" s="8"/>
      <c r="L818" s="8"/>
      <c r="M818" s="8"/>
      <c r="N818" s="8"/>
      <c r="O818" s="8"/>
      <c r="P818" s="8"/>
      <c r="Q818" s="8"/>
      <c r="R818" s="8"/>
      <c r="S818" s="8"/>
      <c r="T818" s="8"/>
      <c r="U818" s="8"/>
      <c r="V818" s="8"/>
      <c r="W818" s="8"/>
      <c r="X818" s="8"/>
      <c r="Y818" s="85"/>
      <c r="Z818" s="8"/>
      <c r="AA818" s="59"/>
      <c r="AC818" s="8"/>
    </row>
    <row r="819" spans="1:29" ht="12.75">
      <c r="A819" s="8"/>
      <c r="B819" s="83"/>
      <c r="C819" s="59"/>
      <c r="D819" s="59"/>
      <c r="E819" s="59"/>
      <c r="F819" s="59"/>
      <c r="G819" s="8"/>
      <c r="H819" s="8"/>
      <c r="I819" s="8"/>
      <c r="J819" s="8"/>
      <c r="K819" s="8"/>
      <c r="L819" s="8"/>
      <c r="M819" s="8"/>
      <c r="N819" s="8"/>
      <c r="O819" s="8"/>
      <c r="P819" s="8"/>
      <c r="Q819" s="8"/>
      <c r="R819" s="8"/>
      <c r="S819" s="8"/>
      <c r="T819" s="8"/>
      <c r="U819" s="8"/>
      <c r="V819" s="8"/>
      <c r="W819" s="8"/>
      <c r="X819" s="8"/>
      <c r="Y819" s="85"/>
      <c r="Z819" s="8"/>
      <c r="AA819" s="59"/>
      <c r="AC819" s="8"/>
    </row>
    <row r="820" spans="1:29" ht="12.75">
      <c r="A820" s="8"/>
      <c r="B820" s="83"/>
      <c r="C820" s="59"/>
      <c r="D820" s="59"/>
      <c r="E820" s="59"/>
      <c r="F820" s="59"/>
      <c r="G820" s="8"/>
      <c r="H820" s="8"/>
      <c r="I820" s="8"/>
      <c r="J820" s="8"/>
      <c r="K820" s="8"/>
      <c r="L820" s="8"/>
      <c r="M820" s="8"/>
      <c r="N820" s="8"/>
      <c r="O820" s="8"/>
      <c r="P820" s="8"/>
      <c r="Q820" s="8"/>
      <c r="R820" s="8"/>
      <c r="S820" s="8"/>
      <c r="T820" s="8"/>
      <c r="U820" s="8"/>
      <c r="V820" s="8"/>
      <c r="W820" s="8"/>
      <c r="X820" s="8"/>
      <c r="Y820" s="85"/>
      <c r="Z820" s="8"/>
      <c r="AA820" s="59"/>
      <c r="AC820" s="8"/>
    </row>
    <row r="821" spans="1:29" ht="12.75">
      <c r="A821" s="8"/>
      <c r="B821" s="83"/>
      <c r="C821" s="59"/>
      <c r="D821" s="59"/>
      <c r="E821" s="59"/>
      <c r="F821" s="59"/>
      <c r="G821" s="8"/>
      <c r="H821" s="8"/>
      <c r="I821" s="8"/>
      <c r="J821" s="8"/>
      <c r="K821" s="8"/>
      <c r="L821" s="8"/>
      <c r="M821" s="8"/>
      <c r="N821" s="8"/>
      <c r="O821" s="8"/>
      <c r="P821" s="8"/>
      <c r="Q821" s="8"/>
      <c r="R821" s="8"/>
      <c r="S821" s="8"/>
      <c r="T821" s="8"/>
      <c r="U821" s="8"/>
      <c r="V821" s="8"/>
      <c r="W821" s="8"/>
      <c r="X821" s="8"/>
      <c r="Y821" s="85"/>
      <c r="Z821" s="8"/>
      <c r="AA821" s="59"/>
      <c r="AC821" s="8"/>
    </row>
    <row r="822" spans="1:29" ht="12.75">
      <c r="A822" s="8"/>
      <c r="B822" s="83"/>
      <c r="C822" s="59"/>
      <c r="D822" s="59"/>
      <c r="E822" s="59"/>
      <c r="F822" s="59"/>
      <c r="G822" s="8"/>
      <c r="H822" s="8"/>
      <c r="I822" s="8"/>
      <c r="J822" s="8"/>
      <c r="K822" s="8"/>
      <c r="L822" s="8"/>
      <c r="M822" s="8"/>
      <c r="N822" s="8"/>
      <c r="O822" s="8"/>
      <c r="P822" s="8"/>
      <c r="Q822" s="8"/>
      <c r="R822" s="8"/>
      <c r="S822" s="8"/>
      <c r="T822" s="8"/>
      <c r="U822" s="8"/>
      <c r="V822" s="8"/>
      <c r="W822" s="8"/>
      <c r="X822" s="8"/>
      <c r="Y822" s="85"/>
      <c r="Z822" s="8"/>
      <c r="AA822" s="59"/>
      <c r="AC822" s="8"/>
    </row>
    <row r="823" spans="1:29" ht="12.75">
      <c r="A823" s="8"/>
      <c r="B823" s="83"/>
      <c r="C823" s="59"/>
      <c r="D823" s="59"/>
      <c r="E823" s="59"/>
      <c r="F823" s="59"/>
      <c r="G823" s="8"/>
      <c r="H823" s="8"/>
      <c r="I823" s="8"/>
      <c r="J823" s="8"/>
      <c r="K823" s="8"/>
      <c r="L823" s="8"/>
      <c r="M823" s="8"/>
      <c r="N823" s="8"/>
      <c r="O823" s="8"/>
      <c r="P823" s="8"/>
      <c r="Q823" s="8"/>
      <c r="R823" s="8"/>
      <c r="S823" s="8"/>
      <c r="T823" s="8"/>
      <c r="U823" s="8"/>
      <c r="V823" s="8"/>
      <c r="W823" s="8"/>
      <c r="X823" s="8"/>
      <c r="Y823" s="85"/>
      <c r="Z823" s="8"/>
      <c r="AA823" s="59"/>
      <c r="AC823" s="8"/>
    </row>
    <row r="824" spans="1:29" ht="12.75">
      <c r="A824" s="8"/>
      <c r="B824" s="83"/>
      <c r="C824" s="59"/>
      <c r="D824" s="59"/>
      <c r="E824" s="59"/>
      <c r="F824" s="59"/>
      <c r="G824" s="8"/>
      <c r="H824" s="8"/>
      <c r="I824" s="8"/>
      <c r="J824" s="8"/>
      <c r="K824" s="8"/>
      <c r="L824" s="8"/>
      <c r="M824" s="8"/>
      <c r="N824" s="8"/>
      <c r="O824" s="8"/>
      <c r="P824" s="8"/>
      <c r="Q824" s="8"/>
      <c r="R824" s="8"/>
      <c r="S824" s="8"/>
      <c r="T824" s="8"/>
      <c r="U824" s="8"/>
      <c r="V824" s="8"/>
      <c r="W824" s="8"/>
      <c r="X824" s="8"/>
      <c r="Y824" s="85"/>
      <c r="Z824" s="8"/>
      <c r="AA824" s="59"/>
      <c r="AC824" s="8"/>
    </row>
    <row r="825" spans="1:29" ht="12.75">
      <c r="A825" s="8"/>
      <c r="B825" s="83"/>
      <c r="C825" s="59"/>
      <c r="D825" s="59"/>
      <c r="E825" s="59"/>
      <c r="F825" s="59"/>
      <c r="G825" s="8"/>
      <c r="H825" s="8"/>
      <c r="I825" s="8"/>
      <c r="J825" s="8"/>
      <c r="K825" s="8"/>
      <c r="L825" s="8"/>
      <c r="M825" s="8"/>
      <c r="N825" s="8"/>
      <c r="O825" s="8"/>
      <c r="P825" s="8"/>
      <c r="Q825" s="8"/>
      <c r="R825" s="8"/>
      <c r="S825" s="8"/>
      <c r="T825" s="8"/>
      <c r="U825" s="8"/>
      <c r="V825" s="8"/>
      <c r="W825" s="8"/>
      <c r="X825" s="8"/>
      <c r="Y825" s="85"/>
      <c r="Z825" s="8"/>
      <c r="AA825" s="59"/>
      <c r="AC825" s="8"/>
    </row>
    <row r="826" spans="1:29" ht="12.75">
      <c r="A826" s="8"/>
      <c r="B826" s="83"/>
      <c r="C826" s="59"/>
      <c r="D826" s="59"/>
      <c r="E826" s="59"/>
      <c r="F826" s="59"/>
      <c r="G826" s="8"/>
      <c r="H826" s="8"/>
      <c r="I826" s="8"/>
      <c r="J826" s="8"/>
      <c r="K826" s="8"/>
      <c r="L826" s="8"/>
      <c r="M826" s="8"/>
      <c r="N826" s="8"/>
      <c r="O826" s="8"/>
      <c r="P826" s="8"/>
      <c r="Q826" s="8"/>
      <c r="R826" s="8"/>
      <c r="S826" s="8"/>
      <c r="T826" s="8"/>
      <c r="U826" s="8"/>
      <c r="V826" s="8"/>
      <c r="W826" s="8"/>
      <c r="X826" s="8"/>
      <c r="Y826" s="85"/>
      <c r="Z826" s="8"/>
      <c r="AA826" s="59"/>
      <c r="AC826" s="8"/>
    </row>
    <row r="827" spans="1:29" ht="12.75">
      <c r="A827" s="8"/>
      <c r="B827" s="83"/>
      <c r="C827" s="59"/>
      <c r="D827" s="59"/>
      <c r="E827" s="59"/>
      <c r="F827" s="59"/>
      <c r="G827" s="8"/>
      <c r="H827" s="8"/>
      <c r="I827" s="8"/>
      <c r="J827" s="8"/>
      <c r="K827" s="8"/>
      <c r="L827" s="8"/>
      <c r="M827" s="8"/>
      <c r="N827" s="8"/>
      <c r="O827" s="8"/>
      <c r="P827" s="8"/>
      <c r="Q827" s="8"/>
      <c r="R827" s="8"/>
      <c r="S827" s="8"/>
      <c r="T827" s="8"/>
      <c r="U827" s="8"/>
      <c r="V827" s="8"/>
      <c r="W827" s="8"/>
      <c r="X827" s="8"/>
      <c r="Y827" s="85"/>
      <c r="Z827" s="8"/>
      <c r="AA827" s="59"/>
      <c r="AC827" s="8"/>
    </row>
    <row r="828" spans="1:29" ht="12.75">
      <c r="A828" s="8"/>
      <c r="B828" s="83"/>
      <c r="C828" s="59"/>
      <c r="D828" s="59"/>
      <c r="E828" s="59"/>
      <c r="F828" s="59"/>
      <c r="G828" s="8"/>
      <c r="H828" s="8"/>
      <c r="I828" s="8"/>
      <c r="J828" s="8"/>
      <c r="K828" s="8"/>
      <c r="L828" s="8"/>
      <c r="M828" s="8"/>
      <c r="N828" s="8"/>
      <c r="O828" s="8"/>
      <c r="P828" s="8"/>
      <c r="Q828" s="8"/>
      <c r="R828" s="8"/>
      <c r="S828" s="8"/>
      <c r="T828" s="8"/>
      <c r="U828" s="8"/>
      <c r="V828" s="8"/>
      <c r="W828" s="8"/>
      <c r="X828" s="8"/>
      <c r="Y828" s="85"/>
      <c r="Z828" s="8"/>
      <c r="AA828" s="59"/>
      <c r="AC828" s="8"/>
    </row>
    <row r="829" spans="1:29" ht="12.75">
      <c r="A829" s="8"/>
      <c r="B829" s="83"/>
      <c r="C829" s="59"/>
      <c r="D829" s="59"/>
      <c r="E829" s="59"/>
      <c r="F829" s="59"/>
      <c r="G829" s="8"/>
      <c r="H829" s="8"/>
      <c r="I829" s="8"/>
      <c r="J829" s="8"/>
      <c r="K829" s="8"/>
      <c r="L829" s="8"/>
      <c r="M829" s="8"/>
      <c r="N829" s="8"/>
      <c r="O829" s="8"/>
      <c r="P829" s="8"/>
      <c r="Q829" s="8"/>
      <c r="R829" s="8"/>
      <c r="S829" s="8"/>
      <c r="T829" s="8"/>
      <c r="U829" s="8"/>
      <c r="V829" s="8"/>
      <c r="W829" s="8"/>
      <c r="X829" s="8"/>
      <c r="Y829" s="85"/>
      <c r="Z829" s="8"/>
      <c r="AA829" s="59"/>
      <c r="AC829" s="8"/>
    </row>
    <row r="830" spans="1:29" ht="12.75">
      <c r="A830" s="8"/>
      <c r="B830" s="83"/>
      <c r="C830" s="59"/>
      <c r="D830" s="59"/>
      <c r="E830" s="59"/>
      <c r="F830" s="59"/>
      <c r="G830" s="8"/>
      <c r="H830" s="8"/>
      <c r="I830" s="8"/>
      <c r="J830" s="8"/>
      <c r="K830" s="8"/>
      <c r="L830" s="8"/>
      <c r="M830" s="8"/>
      <c r="N830" s="8"/>
      <c r="O830" s="8"/>
      <c r="P830" s="8"/>
      <c r="Q830" s="8"/>
      <c r="R830" s="8"/>
      <c r="S830" s="8"/>
      <c r="T830" s="8"/>
      <c r="U830" s="8"/>
      <c r="V830" s="8"/>
      <c r="W830" s="8"/>
      <c r="X830" s="8"/>
      <c r="Y830" s="85"/>
      <c r="Z830" s="8"/>
      <c r="AA830" s="59"/>
      <c r="AC830" s="8"/>
    </row>
    <row r="831" spans="1:29" ht="12.75">
      <c r="A831" s="8"/>
      <c r="B831" s="83"/>
      <c r="C831" s="59"/>
      <c r="D831" s="59"/>
      <c r="E831" s="59"/>
      <c r="F831" s="59"/>
      <c r="G831" s="8"/>
      <c r="H831" s="8"/>
      <c r="I831" s="8"/>
      <c r="J831" s="8"/>
      <c r="K831" s="8"/>
      <c r="L831" s="8"/>
      <c r="M831" s="8"/>
      <c r="N831" s="8"/>
      <c r="O831" s="8"/>
      <c r="P831" s="8"/>
      <c r="Q831" s="8"/>
      <c r="R831" s="8"/>
      <c r="S831" s="8"/>
      <c r="T831" s="8"/>
      <c r="U831" s="8"/>
      <c r="V831" s="8"/>
      <c r="W831" s="8"/>
      <c r="X831" s="8"/>
      <c r="Y831" s="85"/>
      <c r="Z831" s="8"/>
      <c r="AA831" s="59"/>
      <c r="AC831" s="8"/>
    </row>
    <row r="832" spans="1:29" ht="12.75">
      <c r="A832" s="8"/>
      <c r="B832" s="83"/>
      <c r="C832" s="59"/>
      <c r="D832" s="59"/>
      <c r="E832" s="59"/>
      <c r="F832" s="59"/>
      <c r="G832" s="8"/>
      <c r="H832" s="8"/>
      <c r="I832" s="8"/>
      <c r="J832" s="8"/>
      <c r="K832" s="8"/>
      <c r="L832" s="8"/>
      <c r="M832" s="8"/>
      <c r="N832" s="8"/>
      <c r="O832" s="8"/>
      <c r="P832" s="8"/>
      <c r="Q832" s="8"/>
      <c r="R832" s="8"/>
      <c r="S832" s="8"/>
      <c r="T832" s="8"/>
      <c r="U832" s="8"/>
      <c r="V832" s="8"/>
      <c r="W832" s="8"/>
      <c r="X832" s="8"/>
      <c r="Y832" s="85"/>
      <c r="Z832" s="8"/>
      <c r="AA832" s="59"/>
      <c r="AC832" s="8"/>
    </row>
    <row r="833" spans="1:29" ht="12.75">
      <c r="A833" s="8"/>
      <c r="B833" s="83"/>
      <c r="C833" s="59"/>
      <c r="D833" s="59"/>
      <c r="E833" s="59"/>
      <c r="F833" s="59"/>
      <c r="G833" s="8"/>
      <c r="H833" s="8"/>
      <c r="I833" s="8"/>
      <c r="J833" s="8"/>
      <c r="K833" s="8"/>
      <c r="L833" s="8"/>
      <c r="M833" s="8"/>
      <c r="N833" s="8"/>
      <c r="O833" s="8"/>
      <c r="P833" s="8"/>
      <c r="Q833" s="8"/>
      <c r="R833" s="8"/>
      <c r="S833" s="8"/>
      <c r="T833" s="8"/>
      <c r="U833" s="8"/>
      <c r="V833" s="8"/>
      <c r="W833" s="8"/>
      <c r="X833" s="8"/>
      <c r="Y833" s="85"/>
      <c r="Z833" s="8"/>
      <c r="AA833" s="59"/>
      <c r="AC833" s="8"/>
    </row>
    <row r="834" spans="1:29" ht="12.75">
      <c r="A834" s="8"/>
      <c r="B834" s="83"/>
      <c r="C834" s="59"/>
      <c r="D834" s="59"/>
      <c r="E834" s="59"/>
      <c r="F834" s="59"/>
      <c r="G834" s="8"/>
      <c r="H834" s="8"/>
      <c r="I834" s="8"/>
      <c r="J834" s="8"/>
      <c r="K834" s="8"/>
      <c r="L834" s="8"/>
      <c r="M834" s="8"/>
      <c r="N834" s="8"/>
      <c r="O834" s="8"/>
      <c r="P834" s="8"/>
      <c r="Q834" s="8"/>
      <c r="R834" s="8"/>
      <c r="S834" s="8"/>
      <c r="T834" s="8"/>
      <c r="U834" s="8"/>
      <c r="V834" s="8"/>
      <c r="W834" s="8"/>
      <c r="X834" s="8"/>
      <c r="Y834" s="85"/>
      <c r="Z834" s="8"/>
      <c r="AA834" s="59"/>
      <c r="AC834" s="8"/>
    </row>
    <row r="835" spans="1:29" ht="12.75">
      <c r="A835" s="8"/>
      <c r="B835" s="83"/>
      <c r="C835" s="59"/>
      <c r="D835" s="59"/>
      <c r="E835" s="59"/>
      <c r="F835" s="59"/>
      <c r="G835" s="8"/>
      <c r="H835" s="8"/>
      <c r="I835" s="8"/>
      <c r="J835" s="8"/>
      <c r="K835" s="8"/>
      <c r="L835" s="8"/>
      <c r="M835" s="8"/>
      <c r="N835" s="8"/>
      <c r="O835" s="8"/>
      <c r="P835" s="8"/>
      <c r="Q835" s="8"/>
      <c r="R835" s="8"/>
      <c r="S835" s="8"/>
      <c r="T835" s="8"/>
      <c r="U835" s="8"/>
      <c r="V835" s="8"/>
      <c r="W835" s="8"/>
      <c r="X835" s="8"/>
      <c r="Y835" s="85"/>
      <c r="Z835" s="8"/>
      <c r="AA835" s="59"/>
      <c r="AC835" s="8"/>
    </row>
    <row r="836" spans="1:29" ht="12.75">
      <c r="A836" s="8"/>
      <c r="B836" s="83"/>
      <c r="C836" s="59"/>
      <c r="D836" s="59"/>
      <c r="E836" s="59"/>
      <c r="F836" s="59"/>
      <c r="G836" s="8"/>
      <c r="H836" s="8"/>
      <c r="I836" s="8"/>
      <c r="J836" s="8"/>
      <c r="K836" s="8"/>
      <c r="L836" s="8"/>
      <c r="M836" s="8"/>
      <c r="N836" s="8"/>
      <c r="O836" s="8"/>
      <c r="P836" s="8"/>
      <c r="Q836" s="8"/>
      <c r="R836" s="8"/>
      <c r="S836" s="8"/>
      <c r="T836" s="8"/>
      <c r="U836" s="8"/>
      <c r="V836" s="8"/>
      <c r="W836" s="8"/>
      <c r="X836" s="8"/>
      <c r="Y836" s="85"/>
      <c r="Z836" s="8"/>
      <c r="AA836" s="59"/>
      <c r="AC836" s="8"/>
    </row>
    <row r="837" spans="1:29" ht="12.75">
      <c r="A837" s="8"/>
      <c r="B837" s="83"/>
      <c r="C837" s="59"/>
      <c r="D837" s="59"/>
      <c r="E837" s="59"/>
      <c r="F837" s="59"/>
      <c r="G837" s="8"/>
      <c r="H837" s="8"/>
      <c r="I837" s="8"/>
      <c r="J837" s="8"/>
      <c r="K837" s="8"/>
      <c r="L837" s="8"/>
      <c r="M837" s="8"/>
      <c r="N837" s="8"/>
      <c r="O837" s="8"/>
      <c r="P837" s="8"/>
      <c r="Q837" s="8"/>
      <c r="R837" s="8"/>
      <c r="S837" s="8"/>
      <c r="T837" s="8"/>
      <c r="U837" s="8"/>
      <c r="V837" s="8"/>
      <c r="W837" s="8"/>
      <c r="X837" s="8"/>
      <c r="Y837" s="85"/>
      <c r="Z837" s="8"/>
      <c r="AA837" s="59"/>
      <c r="AC837" s="8"/>
    </row>
    <row r="838" spans="1:29" ht="12.75">
      <c r="A838" s="8"/>
      <c r="B838" s="83"/>
      <c r="C838" s="59"/>
      <c r="D838" s="59"/>
      <c r="E838" s="59"/>
      <c r="F838" s="59"/>
      <c r="G838" s="8"/>
      <c r="H838" s="8"/>
      <c r="I838" s="8"/>
      <c r="J838" s="8"/>
      <c r="K838" s="8"/>
      <c r="L838" s="8"/>
      <c r="M838" s="8"/>
      <c r="N838" s="8"/>
      <c r="O838" s="8"/>
      <c r="P838" s="8"/>
      <c r="Q838" s="8"/>
      <c r="R838" s="8"/>
      <c r="S838" s="8"/>
      <c r="T838" s="8"/>
      <c r="U838" s="8"/>
      <c r="V838" s="8"/>
      <c r="W838" s="8"/>
      <c r="X838" s="8"/>
      <c r="Y838" s="85"/>
      <c r="Z838" s="8"/>
      <c r="AA838" s="59"/>
      <c r="AC838" s="8"/>
    </row>
    <row r="839" spans="1:29" ht="12.75">
      <c r="A839" s="8"/>
      <c r="B839" s="83"/>
      <c r="C839" s="59"/>
      <c r="D839" s="59"/>
      <c r="E839" s="59"/>
      <c r="F839" s="59"/>
      <c r="G839" s="8"/>
      <c r="H839" s="8"/>
      <c r="I839" s="8"/>
      <c r="J839" s="8"/>
      <c r="K839" s="8"/>
      <c r="L839" s="8"/>
      <c r="M839" s="8"/>
      <c r="N839" s="8"/>
      <c r="O839" s="8"/>
      <c r="P839" s="8"/>
      <c r="Q839" s="8"/>
      <c r="R839" s="8"/>
      <c r="S839" s="8"/>
      <c r="T839" s="8"/>
      <c r="U839" s="8"/>
      <c r="V839" s="8"/>
      <c r="W839" s="8"/>
      <c r="X839" s="8"/>
      <c r="Y839" s="85"/>
      <c r="Z839" s="8"/>
      <c r="AA839" s="59"/>
      <c r="AC839" s="8"/>
    </row>
    <row r="840" spans="1:29" ht="12.75">
      <c r="A840" s="8"/>
      <c r="B840" s="83"/>
      <c r="C840" s="59"/>
      <c r="D840" s="59"/>
      <c r="E840" s="59"/>
      <c r="F840" s="59"/>
      <c r="G840" s="8"/>
      <c r="H840" s="8"/>
      <c r="I840" s="8"/>
      <c r="J840" s="8"/>
      <c r="K840" s="8"/>
      <c r="L840" s="8"/>
      <c r="M840" s="8"/>
      <c r="N840" s="8"/>
      <c r="O840" s="8"/>
      <c r="P840" s="8"/>
      <c r="Q840" s="8"/>
      <c r="R840" s="8"/>
      <c r="S840" s="8"/>
      <c r="T840" s="8"/>
      <c r="U840" s="8"/>
      <c r="V840" s="8"/>
      <c r="W840" s="8"/>
      <c r="X840" s="8"/>
      <c r="Y840" s="85"/>
      <c r="Z840" s="8"/>
      <c r="AA840" s="59"/>
      <c r="AC840" s="8"/>
    </row>
    <row r="841" spans="1:29" ht="12.75">
      <c r="A841" s="8"/>
      <c r="B841" s="83"/>
      <c r="C841" s="59"/>
      <c r="D841" s="59"/>
      <c r="E841" s="59"/>
      <c r="F841" s="59"/>
      <c r="G841" s="8"/>
      <c r="H841" s="8"/>
      <c r="I841" s="8"/>
      <c r="J841" s="8"/>
      <c r="K841" s="8"/>
      <c r="L841" s="8"/>
      <c r="M841" s="8"/>
      <c r="N841" s="8"/>
      <c r="O841" s="8"/>
      <c r="P841" s="8"/>
      <c r="Q841" s="8"/>
      <c r="R841" s="8"/>
      <c r="S841" s="8"/>
      <c r="T841" s="8"/>
      <c r="U841" s="8"/>
      <c r="V841" s="8"/>
      <c r="W841" s="8"/>
      <c r="X841" s="8"/>
      <c r="Y841" s="85"/>
      <c r="Z841" s="8"/>
      <c r="AA841" s="59"/>
      <c r="AC841" s="8"/>
    </row>
    <row r="842" spans="1:29" ht="12.75">
      <c r="A842" s="8"/>
      <c r="B842" s="83"/>
      <c r="C842" s="59"/>
      <c r="D842" s="59"/>
      <c r="E842" s="59"/>
      <c r="F842" s="59"/>
      <c r="G842" s="8"/>
      <c r="H842" s="8"/>
      <c r="I842" s="8"/>
      <c r="J842" s="8"/>
      <c r="K842" s="8"/>
      <c r="L842" s="8"/>
      <c r="M842" s="8"/>
      <c r="N842" s="8"/>
      <c r="O842" s="8"/>
      <c r="P842" s="8"/>
      <c r="Q842" s="8"/>
      <c r="R842" s="8"/>
      <c r="S842" s="8"/>
      <c r="T842" s="8"/>
      <c r="U842" s="8"/>
      <c r="V842" s="8"/>
      <c r="W842" s="8"/>
      <c r="X842" s="8"/>
      <c r="Y842" s="85"/>
      <c r="Z842" s="8"/>
      <c r="AA842" s="59"/>
      <c r="AC842" s="8"/>
    </row>
    <row r="843" spans="1:29" ht="12.75">
      <c r="A843" s="8"/>
      <c r="B843" s="83"/>
      <c r="C843" s="59"/>
      <c r="D843" s="59"/>
      <c r="E843" s="59"/>
      <c r="F843" s="59"/>
      <c r="G843" s="8"/>
      <c r="H843" s="8"/>
      <c r="I843" s="8"/>
      <c r="J843" s="8"/>
      <c r="K843" s="8"/>
      <c r="L843" s="8"/>
      <c r="M843" s="8"/>
      <c r="N843" s="8"/>
      <c r="O843" s="8"/>
      <c r="P843" s="8"/>
      <c r="Q843" s="8"/>
      <c r="R843" s="8"/>
      <c r="S843" s="8"/>
      <c r="T843" s="8"/>
      <c r="U843" s="8"/>
      <c r="V843" s="8"/>
      <c r="W843" s="8"/>
      <c r="X843" s="8"/>
      <c r="Y843" s="85"/>
      <c r="Z843" s="8"/>
      <c r="AA843" s="59"/>
      <c r="AC843" s="8"/>
    </row>
    <row r="844" spans="1:29" ht="12.75">
      <c r="A844" s="8"/>
      <c r="B844" s="83"/>
      <c r="C844" s="59"/>
      <c r="D844" s="59"/>
      <c r="E844" s="59"/>
      <c r="F844" s="59"/>
      <c r="G844" s="8"/>
      <c r="H844" s="8"/>
      <c r="I844" s="8"/>
      <c r="J844" s="8"/>
      <c r="K844" s="8"/>
      <c r="L844" s="8"/>
      <c r="M844" s="8"/>
      <c r="N844" s="8"/>
      <c r="O844" s="8"/>
      <c r="P844" s="8"/>
      <c r="Q844" s="8"/>
      <c r="R844" s="8"/>
      <c r="S844" s="8"/>
      <c r="T844" s="8"/>
      <c r="U844" s="8"/>
      <c r="V844" s="8"/>
      <c r="W844" s="8"/>
      <c r="X844" s="8"/>
      <c r="Y844" s="85"/>
      <c r="Z844" s="8"/>
      <c r="AA844" s="59"/>
      <c r="AC844" s="8"/>
    </row>
    <row r="845" spans="1:29" ht="12.75">
      <c r="A845" s="8"/>
      <c r="B845" s="83"/>
      <c r="C845" s="59"/>
      <c r="D845" s="59"/>
      <c r="E845" s="59"/>
      <c r="F845" s="59"/>
      <c r="G845" s="8"/>
      <c r="H845" s="8"/>
      <c r="I845" s="8"/>
      <c r="J845" s="8"/>
      <c r="K845" s="8"/>
      <c r="L845" s="8"/>
      <c r="M845" s="8"/>
      <c r="N845" s="8"/>
      <c r="O845" s="8"/>
      <c r="P845" s="8"/>
      <c r="Q845" s="8"/>
      <c r="R845" s="8"/>
      <c r="S845" s="8"/>
      <c r="T845" s="8"/>
      <c r="U845" s="8"/>
      <c r="V845" s="8"/>
      <c r="W845" s="8"/>
      <c r="X845" s="8"/>
      <c r="Y845" s="85"/>
      <c r="Z845" s="8"/>
      <c r="AA845" s="59"/>
      <c r="AC845" s="8"/>
    </row>
    <row r="846" spans="1:29" ht="12.75">
      <c r="A846" s="8"/>
      <c r="B846" s="83"/>
      <c r="C846" s="59"/>
      <c r="D846" s="59"/>
      <c r="E846" s="59"/>
      <c r="F846" s="59"/>
      <c r="G846" s="8"/>
      <c r="H846" s="8"/>
      <c r="I846" s="8"/>
      <c r="J846" s="8"/>
      <c r="K846" s="8"/>
      <c r="L846" s="8"/>
      <c r="M846" s="8"/>
      <c r="N846" s="8"/>
      <c r="O846" s="8"/>
      <c r="P846" s="8"/>
      <c r="Q846" s="8"/>
      <c r="R846" s="8"/>
      <c r="S846" s="8"/>
      <c r="T846" s="8"/>
      <c r="U846" s="8"/>
      <c r="V846" s="8"/>
      <c r="W846" s="8"/>
      <c r="X846" s="8"/>
      <c r="Y846" s="85"/>
      <c r="Z846" s="8"/>
      <c r="AA846" s="59"/>
      <c r="AC846" s="8"/>
    </row>
    <row r="847" spans="1:29" ht="12.75">
      <c r="A847" s="8"/>
      <c r="B847" s="83"/>
      <c r="C847" s="59"/>
      <c r="D847" s="59"/>
      <c r="E847" s="59"/>
      <c r="F847" s="59"/>
      <c r="G847" s="8"/>
      <c r="H847" s="8"/>
      <c r="I847" s="8"/>
      <c r="J847" s="8"/>
      <c r="K847" s="8"/>
      <c r="L847" s="8"/>
      <c r="M847" s="8"/>
      <c r="N847" s="8"/>
      <c r="O847" s="8"/>
      <c r="P847" s="8"/>
      <c r="Q847" s="8"/>
      <c r="R847" s="8"/>
      <c r="S847" s="8"/>
      <c r="T847" s="8"/>
      <c r="U847" s="8"/>
      <c r="V847" s="8"/>
      <c r="W847" s="8"/>
      <c r="X847" s="8"/>
      <c r="Y847" s="85"/>
      <c r="Z847" s="8"/>
      <c r="AA847" s="59"/>
      <c r="AC847" s="8"/>
    </row>
    <row r="848" spans="1:29" ht="12.75">
      <c r="A848" s="8"/>
      <c r="B848" s="83"/>
      <c r="C848" s="59"/>
      <c r="D848" s="59"/>
      <c r="E848" s="59"/>
      <c r="F848" s="59"/>
      <c r="G848" s="8"/>
      <c r="H848" s="8"/>
      <c r="I848" s="8"/>
      <c r="J848" s="8"/>
      <c r="K848" s="8"/>
      <c r="L848" s="8"/>
      <c r="M848" s="8"/>
      <c r="N848" s="8"/>
      <c r="O848" s="8"/>
      <c r="P848" s="8"/>
      <c r="Q848" s="8"/>
      <c r="R848" s="8"/>
      <c r="S848" s="8"/>
      <c r="T848" s="8"/>
      <c r="U848" s="8"/>
      <c r="V848" s="8"/>
      <c r="W848" s="8"/>
      <c r="X848" s="8"/>
      <c r="Y848" s="85"/>
      <c r="Z848" s="8"/>
      <c r="AA848" s="59"/>
      <c r="AC848" s="8"/>
    </row>
    <row r="849" spans="1:29" ht="12.75">
      <c r="A849" s="8"/>
      <c r="B849" s="83"/>
      <c r="C849" s="59"/>
      <c r="D849" s="59"/>
      <c r="E849" s="59"/>
      <c r="F849" s="59"/>
      <c r="G849" s="8"/>
      <c r="H849" s="8"/>
      <c r="I849" s="8"/>
      <c r="J849" s="8"/>
      <c r="K849" s="8"/>
      <c r="L849" s="8"/>
      <c r="M849" s="8"/>
      <c r="N849" s="8"/>
      <c r="O849" s="8"/>
      <c r="P849" s="8"/>
      <c r="Q849" s="8"/>
      <c r="R849" s="8"/>
      <c r="S849" s="8"/>
      <c r="T849" s="8"/>
      <c r="U849" s="8"/>
      <c r="V849" s="8"/>
      <c r="W849" s="8"/>
      <c r="X849" s="8"/>
      <c r="Y849" s="85"/>
      <c r="Z849" s="8"/>
      <c r="AA849" s="59"/>
      <c r="AC849" s="8"/>
    </row>
    <row r="850" spans="1:29" ht="12.75">
      <c r="A850" s="8"/>
      <c r="B850" s="83"/>
      <c r="C850" s="59"/>
      <c r="D850" s="59"/>
      <c r="E850" s="59"/>
      <c r="F850" s="59"/>
      <c r="G850" s="8"/>
      <c r="H850" s="8"/>
      <c r="I850" s="8"/>
      <c r="J850" s="8"/>
      <c r="K850" s="8"/>
      <c r="L850" s="8"/>
      <c r="M850" s="8"/>
      <c r="N850" s="8"/>
      <c r="O850" s="8"/>
      <c r="P850" s="8"/>
      <c r="Q850" s="8"/>
      <c r="R850" s="8"/>
      <c r="S850" s="8"/>
      <c r="T850" s="8"/>
      <c r="U850" s="8"/>
      <c r="V850" s="8"/>
      <c r="W850" s="8"/>
      <c r="X850" s="8"/>
      <c r="Y850" s="85"/>
      <c r="Z850" s="8"/>
      <c r="AA850" s="59"/>
      <c r="AC850" s="8"/>
    </row>
    <row r="851" spans="1:29" ht="12.75">
      <c r="A851" s="8"/>
      <c r="B851" s="83"/>
      <c r="C851" s="59"/>
      <c r="D851" s="59"/>
      <c r="E851" s="59"/>
      <c r="F851" s="59"/>
      <c r="G851" s="8"/>
      <c r="H851" s="8"/>
      <c r="I851" s="8"/>
      <c r="J851" s="8"/>
      <c r="K851" s="8"/>
      <c r="L851" s="8"/>
      <c r="M851" s="8"/>
      <c r="N851" s="8"/>
      <c r="O851" s="8"/>
      <c r="P851" s="8"/>
      <c r="Q851" s="8"/>
      <c r="R851" s="8"/>
      <c r="S851" s="8"/>
      <c r="T851" s="8"/>
      <c r="U851" s="8"/>
      <c r="V851" s="8"/>
      <c r="W851" s="8"/>
      <c r="X851" s="8"/>
      <c r="Y851" s="85"/>
      <c r="Z851" s="8"/>
      <c r="AA851" s="59"/>
      <c r="AC851" s="8"/>
    </row>
    <row r="852" spans="1:29" ht="12.75">
      <c r="A852" s="8"/>
      <c r="B852" s="83"/>
      <c r="C852" s="59"/>
      <c r="D852" s="59"/>
      <c r="E852" s="59"/>
      <c r="F852" s="59"/>
      <c r="G852" s="8"/>
      <c r="H852" s="8"/>
      <c r="I852" s="8"/>
      <c r="J852" s="8"/>
      <c r="K852" s="8"/>
      <c r="L852" s="8"/>
      <c r="M852" s="8"/>
      <c r="N852" s="8"/>
      <c r="O852" s="8"/>
      <c r="P852" s="8"/>
      <c r="Q852" s="8"/>
      <c r="R852" s="8"/>
      <c r="S852" s="8"/>
      <c r="T852" s="8"/>
      <c r="U852" s="8"/>
      <c r="V852" s="8"/>
      <c r="W852" s="8"/>
      <c r="X852" s="8"/>
      <c r="Y852" s="85"/>
      <c r="Z852" s="8"/>
      <c r="AA852" s="59"/>
      <c r="AC852" s="8"/>
    </row>
    <row r="853" spans="1:29" ht="12.75">
      <c r="A853" s="8"/>
      <c r="B853" s="83"/>
      <c r="C853" s="59"/>
      <c r="D853" s="59"/>
      <c r="E853" s="59"/>
      <c r="F853" s="59"/>
      <c r="G853" s="8"/>
      <c r="H853" s="8"/>
      <c r="I853" s="8"/>
      <c r="J853" s="8"/>
      <c r="K853" s="8"/>
      <c r="L853" s="8"/>
      <c r="M853" s="8"/>
      <c r="N853" s="8"/>
      <c r="O853" s="8"/>
      <c r="P853" s="8"/>
      <c r="Q853" s="8"/>
      <c r="R853" s="8"/>
      <c r="S853" s="8"/>
      <c r="T853" s="8"/>
      <c r="U853" s="8"/>
      <c r="V853" s="8"/>
      <c r="W853" s="8"/>
      <c r="X853" s="8"/>
      <c r="Y853" s="85"/>
      <c r="Z853" s="8"/>
      <c r="AA853" s="59"/>
      <c r="AC853" s="8"/>
    </row>
    <row r="854" spans="1:29" ht="12.75">
      <c r="A854" s="8"/>
      <c r="B854" s="83"/>
      <c r="C854" s="59"/>
      <c r="D854" s="59"/>
      <c r="E854" s="59"/>
      <c r="F854" s="59"/>
      <c r="G854" s="8"/>
      <c r="H854" s="8"/>
      <c r="I854" s="8"/>
      <c r="J854" s="8"/>
      <c r="K854" s="8"/>
      <c r="L854" s="8"/>
      <c r="M854" s="8"/>
      <c r="N854" s="8"/>
      <c r="O854" s="8"/>
      <c r="P854" s="8"/>
      <c r="Q854" s="8"/>
      <c r="R854" s="8"/>
      <c r="S854" s="8"/>
      <c r="T854" s="8"/>
      <c r="U854" s="8"/>
      <c r="V854" s="8"/>
      <c r="W854" s="8"/>
      <c r="X854" s="8"/>
      <c r="Y854" s="85"/>
      <c r="Z854" s="8"/>
      <c r="AA854" s="59"/>
      <c r="AC854" s="8"/>
    </row>
    <row r="855" spans="1:29" ht="12.75">
      <c r="A855" s="8"/>
      <c r="B855" s="83"/>
      <c r="C855" s="59"/>
      <c r="D855" s="59"/>
      <c r="E855" s="59"/>
      <c r="F855" s="59"/>
      <c r="G855" s="8"/>
      <c r="H855" s="8"/>
      <c r="I855" s="8"/>
      <c r="J855" s="8"/>
      <c r="K855" s="8"/>
      <c r="L855" s="8"/>
      <c r="M855" s="8"/>
      <c r="N855" s="8"/>
      <c r="O855" s="8"/>
      <c r="P855" s="8"/>
      <c r="Q855" s="8"/>
      <c r="R855" s="8"/>
      <c r="S855" s="8"/>
      <c r="T855" s="8"/>
      <c r="U855" s="8"/>
      <c r="V855" s="8"/>
      <c r="W855" s="8"/>
      <c r="X855" s="8"/>
      <c r="Y855" s="85"/>
      <c r="Z855" s="8"/>
      <c r="AA855" s="59"/>
      <c r="AC855" s="8"/>
    </row>
    <row r="856" spans="1:29" ht="12.75">
      <c r="A856" s="8"/>
      <c r="B856" s="83"/>
      <c r="C856" s="59"/>
      <c r="D856" s="59"/>
      <c r="E856" s="59"/>
      <c r="F856" s="59"/>
      <c r="G856" s="8"/>
      <c r="H856" s="8"/>
      <c r="I856" s="8"/>
      <c r="J856" s="8"/>
      <c r="K856" s="8"/>
      <c r="L856" s="8"/>
      <c r="M856" s="8"/>
      <c r="N856" s="8"/>
      <c r="O856" s="8"/>
      <c r="P856" s="8"/>
      <c r="Q856" s="8"/>
      <c r="R856" s="8"/>
      <c r="S856" s="8"/>
      <c r="T856" s="8"/>
      <c r="U856" s="8"/>
      <c r="V856" s="8"/>
      <c r="W856" s="8"/>
      <c r="X856" s="8"/>
      <c r="Y856" s="85"/>
      <c r="Z856" s="8"/>
      <c r="AA856" s="59"/>
      <c r="AC856" s="8"/>
    </row>
    <row r="857" spans="1:29" ht="12.75">
      <c r="A857" s="8"/>
      <c r="B857" s="83"/>
      <c r="C857" s="59"/>
      <c r="D857" s="59"/>
      <c r="E857" s="59"/>
      <c r="F857" s="59"/>
      <c r="G857" s="8"/>
      <c r="H857" s="8"/>
      <c r="I857" s="8"/>
      <c r="J857" s="8"/>
      <c r="K857" s="8"/>
      <c r="L857" s="8"/>
      <c r="M857" s="8"/>
      <c r="N857" s="8"/>
      <c r="O857" s="8"/>
      <c r="P857" s="8"/>
      <c r="Q857" s="8"/>
      <c r="R857" s="8"/>
      <c r="S857" s="8"/>
      <c r="T857" s="8"/>
      <c r="U857" s="8"/>
      <c r="V857" s="8"/>
      <c r="W857" s="8"/>
      <c r="X857" s="8"/>
      <c r="Y857" s="85"/>
      <c r="Z857" s="8"/>
      <c r="AA857" s="59"/>
      <c r="AC857" s="8"/>
    </row>
    <row r="858" spans="1:29" ht="12.75">
      <c r="A858" s="8"/>
      <c r="B858" s="83"/>
      <c r="C858" s="59"/>
      <c r="D858" s="59"/>
      <c r="E858" s="59"/>
      <c r="F858" s="59"/>
      <c r="G858" s="8"/>
      <c r="H858" s="8"/>
      <c r="I858" s="8"/>
      <c r="J858" s="8"/>
      <c r="K858" s="8"/>
      <c r="L858" s="8"/>
      <c r="M858" s="8"/>
      <c r="N858" s="8"/>
      <c r="O858" s="8"/>
      <c r="P858" s="8"/>
      <c r="Q858" s="8"/>
      <c r="R858" s="8"/>
      <c r="S858" s="8"/>
      <c r="T858" s="8"/>
      <c r="U858" s="8"/>
      <c r="V858" s="8"/>
      <c r="W858" s="8"/>
      <c r="X858" s="8"/>
      <c r="Y858" s="85"/>
      <c r="Z858" s="8"/>
      <c r="AA858" s="59"/>
      <c r="AC858" s="8"/>
    </row>
    <row r="859" spans="1:29" ht="12.75">
      <c r="A859" s="8"/>
      <c r="B859" s="83"/>
      <c r="C859" s="59"/>
      <c r="D859" s="59"/>
      <c r="E859" s="59"/>
      <c r="F859" s="59"/>
      <c r="G859" s="8"/>
      <c r="H859" s="8"/>
      <c r="I859" s="8"/>
      <c r="J859" s="8"/>
      <c r="K859" s="8"/>
      <c r="L859" s="8"/>
      <c r="M859" s="8"/>
      <c r="N859" s="8"/>
      <c r="O859" s="8"/>
      <c r="P859" s="8"/>
      <c r="Q859" s="8"/>
      <c r="R859" s="8"/>
      <c r="S859" s="8"/>
      <c r="T859" s="8"/>
      <c r="U859" s="8"/>
      <c r="V859" s="8"/>
      <c r="W859" s="8"/>
      <c r="X859" s="8"/>
      <c r="Y859" s="85"/>
      <c r="Z859" s="8"/>
      <c r="AA859" s="59"/>
      <c r="AC859" s="8"/>
    </row>
    <row r="860" spans="1:29" ht="12.75">
      <c r="A860" s="8"/>
      <c r="B860" s="83"/>
      <c r="C860" s="59"/>
      <c r="D860" s="59"/>
      <c r="E860" s="59"/>
      <c r="F860" s="59"/>
      <c r="G860" s="8"/>
      <c r="H860" s="8"/>
      <c r="I860" s="8"/>
      <c r="J860" s="8"/>
      <c r="K860" s="8"/>
      <c r="L860" s="8"/>
      <c r="M860" s="8"/>
      <c r="N860" s="8"/>
      <c r="O860" s="8"/>
      <c r="P860" s="8"/>
      <c r="Q860" s="8"/>
      <c r="R860" s="8"/>
      <c r="S860" s="8"/>
      <c r="T860" s="8"/>
      <c r="U860" s="8"/>
      <c r="V860" s="8"/>
      <c r="W860" s="8"/>
      <c r="X860" s="8"/>
      <c r="Y860" s="85"/>
      <c r="Z860" s="8"/>
      <c r="AA860" s="59"/>
      <c r="AC860" s="8"/>
    </row>
    <row r="861" spans="1:29" ht="12.75">
      <c r="A861" s="8"/>
      <c r="B861" s="83"/>
      <c r="C861" s="59"/>
      <c r="D861" s="59"/>
      <c r="E861" s="59"/>
      <c r="F861" s="59"/>
      <c r="G861" s="8"/>
      <c r="H861" s="8"/>
      <c r="I861" s="8"/>
      <c r="J861" s="8"/>
      <c r="K861" s="8"/>
      <c r="L861" s="8"/>
      <c r="M861" s="8"/>
      <c r="N861" s="8"/>
      <c r="O861" s="8"/>
      <c r="P861" s="8"/>
      <c r="Q861" s="8"/>
      <c r="R861" s="8"/>
      <c r="S861" s="8"/>
      <c r="T861" s="8"/>
      <c r="U861" s="8"/>
      <c r="V861" s="8"/>
      <c r="W861" s="8"/>
      <c r="X861" s="8"/>
      <c r="Y861" s="85"/>
      <c r="Z861" s="8"/>
      <c r="AA861" s="59"/>
      <c r="AC861" s="8"/>
    </row>
    <row r="862" spans="1:29" ht="12.75">
      <c r="A862" s="8"/>
      <c r="B862" s="83"/>
      <c r="C862" s="59"/>
      <c r="D862" s="59"/>
      <c r="E862" s="59"/>
      <c r="F862" s="59"/>
      <c r="G862" s="8"/>
      <c r="H862" s="8"/>
      <c r="I862" s="8"/>
      <c r="J862" s="8"/>
      <c r="K862" s="8"/>
      <c r="L862" s="8"/>
      <c r="M862" s="8"/>
      <c r="N862" s="8"/>
      <c r="O862" s="8"/>
      <c r="P862" s="8"/>
      <c r="Q862" s="8"/>
      <c r="R862" s="8"/>
      <c r="S862" s="8"/>
      <c r="T862" s="8"/>
      <c r="U862" s="8"/>
      <c r="V862" s="8"/>
      <c r="W862" s="8"/>
      <c r="X862" s="8"/>
      <c r="Y862" s="85"/>
      <c r="Z862" s="8"/>
      <c r="AA862" s="59"/>
      <c r="AC862" s="8"/>
    </row>
    <row r="863" spans="1:29" ht="12.75">
      <c r="A863" s="8"/>
      <c r="B863" s="83"/>
      <c r="C863" s="59"/>
      <c r="D863" s="59"/>
      <c r="E863" s="59"/>
      <c r="F863" s="59"/>
      <c r="G863" s="8"/>
      <c r="H863" s="8"/>
      <c r="I863" s="8"/>
      <c r="J863" s="8"/>
      <c r="K863" s="8"/>
      <c r="L863" s="8"/>
      <c r="M863" s="8"/>
      <c r="N863" s="8"/>
      <c r="O863" s="8"/>
      <c r="P863" s="8"/>
      <c r="Q863" s="8"/>
      <c r="R863" s="8"/>
      <c r="S863" s="8"/>
      <c r="T863" s="8"/>
      <c r="U863" s="8"/>
      <c r="V863" s="8"/>
      <c r="W863" s="8"/>
      <c r="X863" s="8"/>
      <c r="Y863" s="85"/>
      <c r="Z863" s="8"/>
      <c r="AA863" s="59"/>
      <c r="AC863" s="8"/>
    </row>
    <row r="864" spans="1:29" ht="12.75">
      <c r="A864" s="8"/>
      <c r="B864" s="83"/>
      <c r="C864" s="59"/>
      <c r="D864" s="59"/>
      <c r="E864" s="59"/>
      <c r="F864" s="59"/>
      <c r="G864" s="8"/>
      <c r="H864" s="8"/>
      <c r="I864" s="8"/>
      <c r="J864" s="8"/>
      <c r="K864" s="8"/>
      <c r="L864" s="8"/>
      <c r="M864" s="8"/>
      <c r="N864" s="8"/>
      <c r="O864" s="8"/>
      <c r="P864" s="8"/>
      <c r="Q864" s="8"/>
      <c r="R864" s="8"/>
      <c r="S864" s="8"/>
      <c r="T864" s="8"/>
      <c r="U864" s="8"/>
      <c r="V864" s="8"/>
      <c r="W864" s="8"/>
      <c r="X864" s="8"/>
      <c r="Y864" s="85"/>
      <c r="Z864" s="8"/>
      <c r="AA864" s="59"/>
      <c r="AC864" s="8"/>
    </row>
    <row r="865" spans="1:29" ht="12.75">
      <c r="A865" s="8"/>
      <c r="B865" s="83"/>
      <c r="C865" s="59"/>
      <c r="D865" s="59"/>
      <c r="E865" s="59"/>
      <c r="F865" s="59"/>
      <c r="G865" s="8"/>
      <c r="H865" s="8"/>
      <c r="I865" s="8"/>
      <c r="J865" s="8"/>
      <c r="K865" s="8"/>
      <c r="L865" s="8"/>
      <c r="M865" s="8"/>
      <c r="N865" s="8"/>
      <c r="O865" s="8"/>
      <c r="P865" s="8"/>
      <c r="Q865" s="8"/>
      <c r="R865" s="8"/>
      <c r="S865" s="8"/>
      <c r="T865" s="8"/>
      <c r="U865" s="8"/>
      <c r="V865" s="8"/>
      <c r="W865" s="8"/>
      <c r="X865" s="8"/>
      <c r="Y865" s="85"/>
      <c r="Z865" s="8"/>
      <c r="AA865" s="59"/>
      <c r="AC865" s="8"/>
    </row>
    <row r="866" spans="1:29" ht="12.75">
      <c r="A866" s="8"/>
      <c r="B866" s="83"/>
      <c r="C866" s="59"/>
      <c r="D866" s="59"/>
      <c r="E866" s="59"/>
      <c r="F866" s="59"/>
      <c r="G866" s="8"/>
      <c r="H866" s="8"/>
      <c r="I866" s="8"/>
      <c r="J866" s="8"/>
      <c r="K866" s="8"/>
      <c r="L866" s="8"/>
      <c r="M866" s="8"/>
      <c r="N866" s="8"/>
      <c r="O866" s="8"/>
      <c r="P866" s="8"/>
      <c r="Q866" s="8"/>
      <c r="R866" s="8"/>
      <c r="S866" s="8"/>
      <c r="T866" s="8"/>
      <c r="U866" s="8"/>
      <c r="V866" s="8"/>
      <c r="W866" s="8"/>
      <c r="X866" s="8"/>
      <c r="Y866" s="85"/>
      <c r="Z866" s="8"/>
      <c r="AA866" s="59"/>
      <c r="AC866" s="8"/>
    </row>
    <row r="867" spans="1:29" ht="12.75">
      <c r="A867" s="8"/>
      <c r="B867" s="83"/>
      <c r="C867" s="59"/>
      <c r="D867" s="59"/>
      <c r="E867" s="59"/>
      <c r="F867" s="59"/>
      <c r="G867" s="8"/>
      <c r="H867" s="8"/>
      <c r="I867" s="8"/>
      <c r="J867" s="8"/>
      <c r="K867" s="8"/>
      <c r="L867" s="8"/>
      <c r="M867" s="8"/>
      <c r="N867" s="8"/>
      <c r="O867" s="8"/>
      <c r="P867" s="8"/>
      <c r="Q867" s="8"/>
      <c r="R867" s="8"/>
      <c r="S867" s="8"/>
      <c r="T867" s="8"/>
      <c r="U867" s="8"/>
      <c r="V867" s="8"/>
      <c r="W867" s="8"/>
      <c r="X867" s="8"/>
      <c r="Y867" s="85"/>
      <c r="Z867" s="8"/>
      <c r="AA867" s="59"/>
      <c r="AC867" s="8"/>
    </row>
    <row r="868" spans="1:29" ht="12.75">
      <c r="A868" s="8"/>
      <c r="B868" s="83"/>
      <c r="C868" s="59"/>
      <c r="D868" s="59"/>
      <c r="E868" s="59"/>
      <c r="F868" s="59"/>
      <c r="G868" s="8"/>
      <c r="H868" s="8"/>
      <c r="I868" s="8"/>
      <c r="J868" s="8"/>
      <c r="K868" s="8"/>
      <c r="L868" s="8"/>
      <c r="M868" s="8"/>
      <c r="N868" s="8"/>
      <c r="O868" s="8"/>
      <c r="P868" s="8"/>
      <c r="Q868" s="8"/>
      <c r="R868" s="8"/>
      <c r="S868" s="8"/>
      <c r="T868" s="8"/>
      <c r="U868" s="8"/>
      <c r="V868" s="8"/>
      <c r="W868" s="8"/>
      <c r="X868" s="8"/>
      <c r="Y868" s="85"/>
      <c r="Z868" s="8"/>
      <c r="AA868" s="59"/>
      <c r="AC868" s="8"/>
    </row>
    <row r="869" spans="1:29" ht="12.75">
      <c r="A869" s="8"/>
      <c r="B869" s="83"/>
      <c r="C869" s="59"/>
      <c r="D869" s="59"/>
      <c r="E869" s="59"/>
      <c r="F869" s="59"/>
      <c r="G869" s="8"/>
      <c r="H869" s="8"/>
      <c r="I869" s="8"/>
      <c r="J869" s="8"/>
      <c r="K869" s="8"/>
      <c r="L869" s="8"/>
      <c r="M869" s="8"/>
      <c r="N869" s="8"/>
      <c r="O869" s="8"/>
      <c r="P869" s="8"/>
      <c r="Q869" s="8"/>
      <c r="R869" s="8"/>
      <c r="S869" s="8"/>
      <c r="T869" s="8"/>
      <c r="U869" s="8"/>
      <c r="V869" s="8"/>
      <c r="W869" s="8"/>
      <c r="X869" s="8"/>
      <c r="Y869" s="85"/>
      <c r="Z869" s="8"/>
      <c r="AA869" s="59"/>
      <c r="AC869" s="8"/>
    </row>
    <row r="870" spans="1:29" ht="12.75">
      <c r="A870" s="8"/>
      <c r="B870" s="83"/>
      <c r="C870" s="59"/>
      <c r="D870" s="59"/>
      <c r="E870" s="59"/>
      <c r="F870" s="59"/>
      <c r="G870" s="8"/>
      <c r="H870" s="8"/>
      <c r="I870" s="8"/>
      <c r="J870" s="8"/>
      <c r="K870" s="8"/>
      <c r="L870" s="8"/>
      <c r="M870" s="8"/>
      <c r="N870" s="8"/>
      <c r="O870" s="8"/>
      <c r="P870" s="8"/>
      <c r="Q870" s="8"/>
      <c r="R870" s="8"/>
      <c r="S870" s="8"/>
      <c r="T870" s="8"/>
      <c r="U870" s="8"/>
      <c r="V870" s="8"/>
      <c r="W870" s="8"/>
      <c r="X870" s="8"/>
      <c r="Y870" s="85"/>
      <c r="Z870" s="8"/>
      <c r="AA870" s="59"/>
      <c r="AC870" s="8"/>
    </row>
    <row r="871" spans="1:29" ht="12.75">
      <c r="A871" s="8"/>
      <c r="B871" s="83"/>
      <c r="C871" s="59"/>
      <c r="D871" s="59"/>
      <c r="E871" s="59"/>
      <c r="F871" s="59"/>
      <c r="G871" s="8"/>
      <c r="H871" s="8"/>
      <c r="I871" s="8"/>
      <c r="J871" s="8"/>
      <c r="K871" s="8"/>
      <c r="L871" s="8"/>
      <c r="M871" s="8"/>
      <c r="N871" s="8"/>
      <c r="O871" s="8"/>
      <c r="P871" s="8"/>
      <c r="Q871" s="8"/>
      <c r="R871" s="8"/>
      <c r="S871" s="8"/>
      <c r="T871" s="8"/>
      <c r="U871" s="8"/>
      <c r="V871" s="8"/>
      <c r="W871" s="8"/>
      <c r="X871" s="8"/>
      <c r="Y871" s="85"/>
      <c r="Z871" s="8"/>
      <c r="AA871" s="59"/>
      <c r="AC871" s="8"/>
    </row>
    <row r="872" spans="1:29" ht="12.75">
      <c r="A872" s="8"/>
      <c r="B872" s="83"/>
      <c r="C872" s="59"/>
      <c r="D872" s="59"/>
      <c r="E872" s="59"/>
      <c r="F872" s="59"/>
      <c r="G872" s="8"/>
      <c r="H872" s="8"/>
      <c r="I872" s="8"/>
      <c r="J872" s="8"/>
      <c r="K872" s="8"/>
      <c r="L872" s="8"/>
      <c r="M872" s="8"/>
      <c r="N872" s="8"/>
      <c r="O872" s="8"/>
      <c r="P872" s="8"/>
      <c r="Q872" s="8"/>
      <c r="R872" s="8"/>
      <c r="S872" s="8"/>
      <c r="T872" s="8"/>
      <c r="U872" s="8"/>
      <c r="V872" s="8"/>
      <c r="W872" s="8"/>
      <c r="X872" s="8"/>
      <c r="Y872" s="85"/>
      <c r="Z872" s="8"/>
      <c r="AA872" s="59"/>
      <c r="AC872" s="8"/>
    </row>
    <row r="873" spans="1:29" ht="12.75">
      <c r="A873" s="8"/>
      <c r="B873" s="83"/>
      <c r="C873" s="59"/>
      <c r="D873" s="59"/>
      <c r="E873" s="59"/>
      <c r="F873" s="59"/>
      <c r="G873" s="8"/>
      <c r="H873" s="8"/>
      <c r="I873" s="8"/>
      <c r="J873" s="8"/>
      <c r="K873" s="8"/>
      <c r="L873" s="8"/>
      <c r="M873" s="8"/>
      <c r="N873" s="8"/>
      <c r="O873" s="8"/>
      <c r="P873" s="8"/>
      <c r="Q873" s="8"/>
      <c r="R873" s="8"/>
      <c r="S873" s="8"/>
      <c r="T873" s="8"/>
      <c r="U873" s="8"/>
      <c r="V873" s="8"/>
      <c r="W873" s="8"/>
      <c r="X873" s="8"/>
      <c r="Y873" s="85"/>
      <c r="Z873" s="8"/>
      <c r="AA873" s="59"/>
      <c r="AC873" s="8"/>
    </row>
    <row r="874" spans="1:29" ht="12.75">
      <c r="A874" s="8"/>
      <c r="B874" s="83"/>
      <c r="C874" s="59"/>
      <c r="D874" s="59"/>
      <c r="E874" s="59"/>
      <c r="F874" s="59"/>
      <c r="G874" s="8"/>
      <c r="H874" s="8"/>
      <c r="I874" s="8"/>
      <c r="J874" s="8"/>
      <c r="K874" s="8"/>
      <c r="L874" s="8"/>
      <c r="M874" s="8"/>
      <c r="N874" s="8"/>
      <c r="O874" s="8"/>
      <c r="P874" s="8"/>
      <c r="Q874" s="8"/>
      <c r="R874" s="8"/>
      <c r="S874" s="8"/>
      <c r="T874" s="8"/>
      <c r="U874" s="8"/>
      <c r="V874" s="8"/>
      <c r="W874" s="8"/>
      <c r="X874" s="8"/>
      <c r="Y874" s="85"/>
      <c r="Z874" s="8"/>
      <c r="AA874" s="59"/>
      <c r="AC874" s="8"/>
    </row>
    <row r="875" spans="1:29" ht="12.75">
      <c r="A875" s="8"/>
      <c r="B875" s="83"/>
      <c r="C875" s="59"/>
      <c r="D875" s="59"/>
      <c r="E875" s="59"/>
      <c r="F875" s="59"/>
      <c r="G875" s="8"/>
      <c r="H875" s="8"/>
      <c r="I875" s="8"/>
      <c r="J875" s="8"/>
      <c r="K875" s="8"/>
      <c r="L875" s="8"/>
      <c r="M875" s="8"/>
      <c r="N875" s="8"/>
      <c r="O875" s="8"/>
      <c r="P875" s="8"/>
      <c r="Q875" s="8"/>
      <c r="R875" s="8"/>
      <c r="S875" s="8"/>
      <c r="T875" s="8"/>
      <c r="U875" s="8"/>
      <c r="V875" s="8"/>
      <c r="W875" s="8"/>
      <c r="X875" s="8"/>
      <c r="Y875" s="85"/>
      <c r="Z875" s="8"/>
      <c r="AA875" s="59"/>
      <c r="AC875" s="8"/>
    </row>
    <row r="876" spans="1:29" ht="12.75">
      <c r="A876" s="8"/>
      <c r="B876" s="83"/>
      <c r="C876" s="59"/>
      <c r="D876" s="59"/>
      <c r="E876" s="59"/>
      <c r="F876" s="59"/>
      <c r="G876" s="8"/>
      <c r="H876" s="8"/>
      <c r="I876" s="8"/>
      <c r="J876" s="8"/>
      <c r="K876" s="8"/>
      <c r="L876" s="8"/>
      <c r="M876" s="8"/>
      <c r="N876" s="8"/>
      <c r="O876" s="8"/>
      <c r="P876" s="8"/>
      <c r="Q876" s="8"/>
      <c r="R876" s="8"/>
      <c r="S876" s="8"/>
      <c r="T876" s="8"/>
      <c r="U876" s="8"/>
      <c r="V876" s="8"/>
      <c r="W876" s="8"/>
      <c r="X876" s="8"/>
      <c r="Y876" s="85"/>
      <c r="Z876" s="8"/>
      <c r="AA876" s="59"/>
      <c r="AC876" s="8"/>
    </row>
    <row r="877" spans="1:29" ht="12.75">
      <c r="A877" s="8"/>
      <c r="B877" s="83"/>
      <c r="C877" s="59"/>
      <c r="D877" s="59"/>
      <c r="E877" s="59"/>
      <c r="F877" s="59"/>
      <c r="G877" s="8"/>
      <c r="H877" s="8"/>
      <c r="I877" s="8"/>
      <c r="J877" s="8"/>
      <c r="K877" s="8"/>
      <c r="L877" s="8"/>
      <c r="M877" s="8"/>
      <c r="N877" s="8"/>
      <c r="O877" s="8"/>
      <c r="P877" s="8"/>
      <c r="Q877" s="8"/>
      <c r="R877" s="8"/>
      <c r="S877" s="8"/>
      <c r="T877" s="8"/>
      <c r="U877" s="8"/>
      <c r="V877" s="8"/>
      <c r="W877" s="8"/>
      <c r="X877" s="8"/>
      <c r="Y877" s="85"/>
      <c r="Z877" s="8"/>
      <c r="AA877" s="59"/>
      <c r="AC877" s="8"/>
    </row>
    <row r="878" spans="1:29" ht="12.75">
      <c r="A878" s="8"/>
      <c r="B878" s="83"/>
      <c r="C878" s="59"/>
      <c r="D878" s="59"/>
      <c r="E878" s="59"/>
      <c r="F878" s="59"/>
      <c r="G878" s="8"/>
      <c r="H878" s="8"/>
      <c r="I878" s="8"/>
      <c r="J878" s="8"/>
      <c r="K878" s="8"/>
      <c r="L878" s="8"/>
      <c r="M878" s="8"/>
      <c r="N878" s="8"/>
      <c r="O878" s="8"/>
      <c r="P878" s="8"/>
      <c r="Q878" s="8"/>
      <c r="R878" s="8"/>
      <c r="S878" s="8"/>
      <c r="T878" s="8"/>
      <c r="U878" s="8"/>
      <c r="V878" s="8"/>
      <c r="W878" s="8"/>
      <c r="X878" s="8"/>
      <c r="Y878" s="85"/>
      <c r="Z878" s="8"/>
      <c r="AA878" s="59"/>
      <c r="AC878" s="8"/>
    </row>
    <row r="879" spans="1:29" ht="12.75">
      <c r="A879" s="8"/>
      <c r="B879" s="83"/>
      <c r="C879" s="59"/>
      <c r="D879" s="59"/>
      <c r="E879" s="59"/>
      <c r="F879" s="59"/>
      <c r="G879" s="8"/>
      <c r="H879" s="8"/>
      <c r="I879" s="8"/>
      <c r="J879" s="8"/>
      <c r="K879" s="8"/>
      <c r="L879" s="8"/>
      <c r="M879" s="8"/>
      <c r="N879" s="8"/>
      <c r="O879" s="8"/>
      <c r="P879" s="8"/>
      <c r="Q879" s="8"/>
      <c r="R879" s="8"/>
      <c r="S879" s="8"/>
      <c r="T879" s="8"/>
      <c r="U879" s="8"/>
      <c r="V879" s="8"/>
      <c r="W879" s="8"/>
      <c r="X879" s="8"/>
      <c r="Y879" s="85"/>
      <c r="Z879" s="8"/>
      <c r="AA879" s="59"/>
      <c r="AC879" s="8"/>
    </row>
    <row r="880" spans="1:29" ht="12.75">
      <c r="A880" s="8"/>
      <c r="B880" s="83"/>
      <c r="C880" s="59"/>
      <c r="D880" s="59"/>
      <c r="E880" s="59"/>
      <c r="F880" s="59"/>
      <c r="G880" s="8"/>
      <c r="H880" s="8"/>
      <c r="I880" s="8"/>
      <c r="J880" s="8"/>
      <c r="K880" s="8"/>
      <c r="L880" s="8"/>
      <c r="M880" s="8"/>
      <c r="N880" s="8"/>
      <c r="O880" s="8"/>
      <c r="P880" s="8"/>
      <c r="Q880" s="8"/>
      <c r="R880" s="8"/>
      <c r="S880" s="8"/>
      <c r="T880" s="8"/>
      <c r="U880" s="8"/>
      <c r="V880" s="8"/>
      <c r="W880" s="8"/>
      <c r="X880" s="8"/>
      <c r="Y880" s="85"/>
      <c r="Z880" s="8"/>
      <c r="AA880" s="59"/>
      <c r="AC880" s="8"/>
    </row>
    <row r="881" spans="1:29" ht="12.75">
      <c r="A881" s="8"/>
      <c r="B881" s="83"/>
      <c r="C881" s="59"/>
      <c r="D881" s="59"/>
      <c r="E881" s="59"/>
      <c r="F881" s="59"/>
      <c r="G881" s="8"/>
      <c r="H881" s="8"/>
      <c r="I881" s="8"/>
      <c r="J881" s="8"/>
      <c r="K881" s="8"/>
      <c r="L881" s="8"/>
      <c r="M881" s="8"/>
      <c r="N881" s="8"/>
      <c r="O881" s="8"/>
      <c r="P881" s="8"/>
      <c r="Q881" s="8"/>
      <c r="R881" s="8"/>
      <c r="S881" s="8"/>
      <c r="T881" s="8"/>
      <c r="U881" s="8"/>
      <c r="V881" s="8"/>
      <c r="W881" s="8"/>
      <c r="X881" s="8"/>
      <c r="Y881" s="85"/>
      <c r="Z881" s="8"/>
      <c r="AA881" s="59"/>
      <c r="AC881" s="8"/>
    </row>
    <row r="882" spans="1:29" ht="12.75">
      <c r="A882" s="8"/>
      <c r="B882" s="83"/>
      <c r="C882" s="59"/>
      <c r="D882" s="59"/>
      <c r="E882" s="59"/>
      <c r="F882" s="59"/>
      <c r="G882" s="8"/>
      <c r="H882" s="8"/>
      <c r="I882" s="8"/>
      <c r="J882" s="8"/>
      <c r="K882" s="8"/>
      <c r="L882" s="8"/>
      <c r="M882" s="8"/>
      <c r="N882" s="8"/>
      <c r="O882" s="8"/>
      <c r="P882" s="8"/>
      <c r="Q882" s="8"/>
      <c r="R882" s="8"/>
      <c r="S882" s="8"/>
      <c r="T882" s="8"/>
      <c r="U882" s="8"/>
      <c r="V882" s="8"/>
      <c r="W882" s="8"/>
      <c r="X882" s="8"/>
      <c r="Y882" s="85"/>
      <c r="Z882" s="8"/>
      <c r="AA882" s="59"/>
      <c r="AC882" s="8"/>
    </row>
    <row r="883" spans="1:29" ht="12.75">
      <c r="A883" s="8"/>
      <c r="B883" s="83"/>
      <c r="C883" s="59"/>
      <c r="D883" s="59"/>
      <c r="E883" s="59"/>
      <c r="F883" s="59"/>
      <c r="G883" s="8"/>
      <c r="H883" s="8"/>
      <c r="I883" s="8"/>
      <c r="J883" s="8"/>
      <c r="K883" s="8"/>
      <c r="L883" s="8"/>
      <c r="M883" s="8"/>
      <c r="N883" s="8"/>
      <c r="O883" s="8"/>
      <c r="P883" s="8"/>
      <c r="Q883" s="8"/>
      <c r="R883" s="8"/>
      <c r="S883" s="8"/>
      <c r="T883" s="8"/>
      <c r="U883" s="8"/>
      <c r="V883" s="8"/>
      <c r="W883" s="8"/>
      <c r="X883" s="8"/>
      <c r="Y883" s="85"/>
      <c r="Z883" s="8"/>
      <c r="AA883" s="59"/>
      <c r="AC883" s="8"/>
    </row>
    <row r="884" spans="1:29" ht="12.75">
      <c r="A884" s="8"/>
      <c r="B884" s="83"/>
      <c r="C884" s="59"/>
      <c r="D884" s="59"/>
      <c r="E884" s="59"/>
      <c r="F884" s="59"/>
      <c r="G884" s="8"/>
      <c r="H884" s="8"/>
      <c r="I884" s="8"/>
      <c r="J884" s="8"/>
      <c r="K884" s="8"/>
      <c r="L884" s="8"/>
      <c r="M884" s="8"/>
      <c r="N884" s="8"/>
      <c r="O884" s="8"/>
      <c r="P884" s="8"/>
      <c r="Q884" s="8"/>
      <c r="R884" s="8"/>
      <c r="S884" s="8"/>
      <c r="T884" s="8"/>
      <c r="U884" s="8"/>
      <c r="V884" s="8"/>
      <c r="W884" s="8"/>
      <c r="X884" s="8"/>
      <c r="Y884" s="85"/>
      <c r="Z884" s="8"/>
      <c r="AA884" s="59"/>
      <c r="AC884" s="8"/>
    </row>
    <row r="885" spans="1:29" ht="12.75">
      <c r="A885" s="8"/>
      <c r="B885" s="83"/>
      <c r="C885" s="59"/>
      <c r="D885" s="59"/>
      <c r="E885" s="59"/>
      <c r="F885" s="59"/>
      <c r="G885" s="8"/>
      <c r="H885" s="8"/>
      <c r="I885" s="8"/>
      <c r="J885" s="8"/>
      <c r="K885" s="8"/>
      <c r="L885" s="8"/>
      <c r="M885" s="8"/>
      <c r="N885" s="8"/>
      <c r="O885" s="8"/>
      <c r="P885" s="8"/>
      <c r="Q885" s="8"/>
      <c r="R885" s="8"/>
      <c r="S885" s="8"/>
      <c r="T885" s="8"/>
      <c r="U885" s="8"/>
      <c r="V885" s="8"/>
      <c r="W885" s="8"/>
      <c r="X885" s="8"/>
      <c r="Y885" s="85"/>
      <c r="Z885" s="8"/>
      <c r="AA885" s="59"/>
      <c r="AC885" s="8"/>
    </row>
    <row r="886" spans="1:29" ht="12.75">
      <c r="A886" s="8"/>
      <c r="B886" s="83"/>
      <c r="C886" s="59"/>
      <c r="D886" s="59"/>
      <c r="E886" s="59"/>
      <c r="F886" s="59"/>
      <c r="G886" s="8"/>
      <c r="H886" s="8"/>
      <c r="I886" s="8"/>
      <c r="J886" s="8"/>
      <c r="K886" s="8"/>
      <c r="L886" s="8"/>
      <c r="M886" s="8"/>
      <c r="N886" s="8"/>
      <c r="O886" s="8"/>
      <c r="P886" s="8"/>
      <c r="Q886" s="8"/>
      <c r="R886" s="8"/>
      <c r="S886" s="8"/>
      <c r="T886" s="8"/>
      <c r="U886" s="8"/>
      <c r="V886" s="8"/>
      <c r="W886" s="8"/>
      <c r="X886" s="8"/>
      <c r="Y886" s="85"/>
      <c r="Z886" s="8"/>
      <c r="AA886" s="59"/>
      <c r="AC886" s="8"/>
    </row>
    <row r="887" spans="1:29" ht="12.75">
      <c r="A887" s="8"/>
      <c r="B887" s="83"/>
      <c r="C887" s="59"/>
      <c r="D887" s="59"/>
      <c r="E887" s="59"/>
      <c r="F887" s="59"/>
      <c r="G887" s="8"/>
      <c r="H887" s="8"/>
      <c r="I887" s="8"/>
      <c r="J887" s="8"/>
      <c r="K887" s="8"/>
      <c r="L887" s="8"/>
      <c r="M887" s="8"/>
      <c r="N887" s="8"/>
      <c r="O887" s="8"/>
      <c r="P887" s="8"/>
      <c r="Q887" s="8"/>
      <c r="R887" s="8"/>
      <c r="S887" s="8"/>
      <c r="T887" s="8"/>
      <c r="U887" s="8"/>
      <c r="V887" s="8"/>
      <c r="W887" s="8"/>
      <c r="X887" s="8"/>
      <c r="Y887" s="85"/>
      <c r="Z887" s="8"/>
      <c r="AA887" s="59"/>
      <c r="AC887" s="8"/>
    </row>
    <row r="888" spans="1:29" ht="12.75">
      <c r="A888" s="8"/>
      <c r="B888" s="83"/>
      <c r="C888" s="59"/>
      <c r="D888" s="59"/>
      <c r="E888" s="59"/>
      <c r="F888" s="59"/>
      <c r="G888" s="8"/>
      <c r="H888" s="8"/>
      <c r="I888" s="8"/>
      <c r="J888" s="8"/>
      <c r="K888" s="8"/>
      <c r="L888" s="8"/>
      <c r="M888" s="8"/>
      <c r="N888" s="8"/>
      <c r="O888" s="8"/>
      <c r="P888" s="8"/>
      <c r="Q888" s="8"/>
      <c r="R888" s="8"/>
      <c r="S888" s="8"/>
      <c r="T888" s="8"/>
      <c r="U888" s="8"/>
      <c r="V888" s="8"/>
      <c r="W888" s="8"/>
      <c r="X888" s="8"/>
      <c r="Y888" s="85"/>
      <c r="Z888" s="8"/>
      <c r="AA888" s="59"/>
      <c r="AC888" s="8"/>
    </row>
    <row r="889" spans="1:29" ht="12.75">
      <c r="A889" s="8"/>
      <c r="B889" s="83"/>
      <c r="C889" s="59"/>
      <c r="D889" s="59"/>
      <c r="E889" s="59"/>
      <c r="F889" s="59"/>
      <c r="G889" s="8"/>
      <c r="H889" s="8"/>
      <c r="I889" s="8"/>
      <c r="J889" s="8"/>
      <c r="K889" s="8"/>
      <c r="L889" s="8"/>
      <c r="M889" s="8"/>
      <c r="N889" s="8"/>
      <c r="O889" s="8"/>
      <c r="P889" s="8"/>
      <c r="Q889" s="8"/>
      <c r="R889" s="8"/>
      <c r="S889" s="8"/>
      <c r="T889" s="8"/>
      <c r="U889" s="8"/>
      <c r="V889" s="8"/>
      <c r="W889" s="8"/>
      <c r="X889" s="8"/>
      <c r="Y889" s="85"/>
      <c r="Z889" s="8"/>
      <c r="AA889" s="59"/>
      <c r="AC889" s="8"/>
    </row>
    <row r="890" spans="1:29" ht="12.75">
      <c r="A890" s="8"/>
      <c r="B890" s="83"/>
      <c r="C890" s="59"/>
      <c r="D890" s="59"/>
      <c r="E890" s="59"/>
      <c r="F890" s="59"/>
      <c r="G890" s="8"/>
      <c r="H890" s="8"/>
      <c r="I890" s="8"/>
      <c r="J890" s="8"/>
      <c r="K890" s="8"/>
      <c r="L890" s="8"/>
      <c r="M890" s="8"/>
      <c r="N890" s="8"/>
      <c r="O890" s="8"/>
      <c r="P890" s="8"/>
      <c r="Q890" s="8"/>
      <c r="R890" s="8"/>
      <c r="S890" s="8"/>
      <c r="T890" s="8"/>
      <c r="U890" s="8"/>
      <c r="V890" s="8"/>
      <c r="W890" s="8"/>
      <c r="X890" s="8"/>
      <c r="Y890" s="85"/>
      <c r="Z890" s="8"/>
      <c r="AA890" s="59"/>
      <c r="AC890" s="8"/>
    </row>
    <row r="891" spans="1:29" ht="12.75">
      <c r="A891" s="8"/>
      <c r="B891" s="83"/>
      <c r="C891" s="59"/>
      <c r="D891" s="59"/>
      <c r="E891" s="59"/>
      <c r="F891" s="59"/>
      <c r="G891" s="8"/>
      <c r="H891" s="8"/>
      <c r="I891" s="8"/>
      <c r="J891" s="8"/>
      <c r="K891" s="8"/>
      <c r="L891" s="8"/>
      <c r="M891" s="8"/>
      <c r="N891" s="8"/>
      <c r="O891" s="8"/>
      <c r="P891" s="8"/>
      <c r="Q891" s="8"/>
      <c r="R891" s="8"/>
      <c r="S891" s="8"/>
      <c r="T891" s="8"/>
      <c r="U891" s="8"/>
      <c r="V891" s="8"/>
      <c r="W891" s="8"/>
      <c r="X891" s="8"/>
      <c r="Y891" s="85"/>
      <c r="Z891" s="8"/>
      <c r="AA891" s="59"/>
      <c r="AC891" s="8"/>
    </row>
    <row r="892" spans="1:29" ht="12.75">
      <c r="A892" s="8"/>
      <c r="B892" s="83"/>
      <c r="C892" s="59"/>
      <c r="D892" s="59"/>
      <c r="E892" s="59"/>
      <c r="F892" s="59"/>
      <c r="G892" s="8"/>
      <c r="H892" s="8"/>
      <c r="I892" s="8"/>
      <c r="J892" s="8"/>
      <c r="K892" s="8"/>
      <c r="L892" s="8"/>
      <c r="M892" s="8"/>
      <c r="N892" s="8"/>
      <c r="O892" s="8"/>
      <c r="P892" s="8"/>
      <c r="Q892" s="8"/>
      <c r="R892" s="8"/>
      <c r="S892" s="8"/>
      <c r="T892" s="8"/>
      <c r="U892" s="8"/>
      <c r="V892" s="8"/>
      <c r="W892" s="8"/>
      <c r="X892" s="8"/>
      <c r="Y892" s="85"/>
      <c r="Z892" s="8"/>
      <c r="AA892" s="59"/>
      <c r="AC892" s="8"/>
    </row>
    <row r="893" spans="1:29" ht="12.75">
      <c r="A893" s="8"/>
      <c r="B893" s="83"/>
      <c r="C893" s="59"/>
      <c r="D893" s="59"/>
      <c r="E893" s="59"/>
      <c r="F893" s="59"/>
      <c r="G893" s="8"/>
      <c r="H893" s="8"/>
      <c r="I893" s="8"/>
      <c r="J893" s="8"/>
      <c r="K893" s="8"/>
      <c r="L893" s="8"/>
      <c r="M893" s="8"/>
      <c r="N893" s="8"/>
      <c r="O893" s="8"/>
      <c r="P893" s="8"/>
      <c r="Q893" s="8"/>
      <c r="R893" s="8"/>
      <c r="S893" s="8"/>
      <c r="T893" s="8"/>
      <c r="U893" s="8"/>
      <c r="V893" s="8"/>
      <c r="W893" s="8"/>
      <c r="X893" s="8"/>
      <c r="Y893" s="85"/>
      <c r="Z893" s="8"/>
      <c r="AA893" s="59"/>
      <c r="AC893" s="8"/>
    </row>
    <row r="894" spans="1:29" ht="12.75">
      <c r="A894" s="8"/>
      <c r="B894" s="83"/>
      <c r="C894" s="59"/>
      <c r="D894" s="59"/>
      <c r="E894" s="59"/>
      <c r="F894" s="59"/>
      <c r="G894" s="8"/>
      <c r="H894" s="8"/>
      <c r="I894" s="8"/>
      <c r="J894" s="8"/>
      <c r="K894" s="8"/>
      <c r="L894" s="8"/>
      <c r="M894" s="8"/>
      <c r="N894" s="8"/>
      <c r="O894" s="8"/>
      <c r="P894" s="8"/>
      <c r="Q894" s="8"/>
      <c r="R894" s="8"/>
      <c r="S894" s="8"/>
      <c r="T894" s="8"/>
      <c r="U894" s="8"/>
      <c r="V894" s="8"/>
      <c r="W894" s="8"/>
      <c r="X894" s="8"/>
      <c r="Y894" s="85"/>
      <c r="Z894" s="8"/>
      <c r="AA894" s="59"/>
      <c r="AC894" s="8"/>
    </row>
    <row r="895" spans="1:29" ht="12.75">
      <c r="A895" s="8"/>
      <c r="B895" s="83"/>
      <c r="C895" s="59"/>
      <c r="D895" s="59"/>
      <c r="E895" s="59"/>
      <c r="F895" s="59"/>
      <c r="G895" s="8"/>
      <c r="H895" s="8"/>
      <c r="I895" s="8"/>
      <c r="J895" s="8"/>
      <c r="K895" s="8"/>
      <c r="L895" s="8"/>
      <c r="M895" s="8"/>
      <c r="N895" s="8"/>
      <c r="O895" s="8"/>
      <c r="P895" s="8"/>
      <c r="Q895" s="8"/>
      <c r="R895" s="8"/>
      <c r="S895" s="8"/>
      <c r="T895" s="8"/>
      <c r="U895" s="8"/>
      <c r="V895" s="8"/>
      <c r="W895" s="8"/>
      <c r="X895" s="8"/>
      <c r="Y895" s="85"/>
      <c r="Z895" s="8"/>
      <c r="AA895" s="59"/>
      <c r="AC895" s="8"/>
    </row>
    <row r="896" spans="1:29" ht="12.75">
      <c r="A896" s="8"/>
      <c r="B896" s="83"/>
      <c r="C896" s="59"/>
      <c r="D896" s="59"/>
      <c r="E896" s="59"/>
      <c r="F896" s="59"/>
      <c r="G896" s="8"/>
      <c r="H896" s="8"/>
      <c r="I896" s="8"/>
      <c r="J896" s="8"/>
      <c r="K896" s="8"/>
      <c r="L896" s="8"/>
      <c r="M896" s="8"/>
      <c r="N896" s="8"/>
      <c r="O896" s="8"/>
      <c r="P896" s="8"/>
      <c r="Q896" s="8"/>
      <c r="R896" s="8"/>
      <c r="S896" s="8"/>
      <c r="T896" s="8"/>
      <c r="U896" s="8"/>
      <c r="V896" s="8"/>
      <c r="W896" s="8"/>
      <c r="X896" s="8"/>
      <c r="Y896" s="85"/>
      <c r="Z896" s="8"/>
      <c r="AA896" s="59"/>
      <c r="AC896" s="8"/>
    </row>
    <row r="897" spans="1:29" ht="12.75">
      <c r="A897" s="8"/>
      <c r="B897" s="83"/>
      <c r="C897" s="59"/>
      <c r="D897" s="59"/>
      <c r="E897" s="59"/>
      <c r="F897" s="59"/>
      <c r="G897" s="8"/>
      <c r="H897" s="8"/>
      <c r="I897" s="8"/>
      <c r="J897" s="8"/>
      <c r="K897" s="8"/>
      <c r="L897" s="8"/>
      <c r="M897" s="8"/>
      <c r="N897" s="8"/>
      <c r="O897" s="8"/>
      <c r="P897" s="8"/>
      <c r="Q897" s="8"/>
      <c r="R897" s="8"/>
      <c r="S897" s="8"/>
      <c r="T897" s="8"/>
      <c r="U897" s="8"/>
      <c r="V897" s="8"/>
      <c r="W897" s="8"/>
      <c r="X897" s="8"/>
      <c r="Y897" s="85"/>
      <c r="Z897" s="8"/>
      <c r="AA897" s="59"/>
      <c r="AC897" s="8"/>
    </row>
    <row r="898" spans="1:29" ht="12.75">
      <c r="A898" s="8"/>
      <c r="B898" s="83"/>
      <c r="C898" s="59"/>
      <c r="D898" s="59"/>
      <c r="E898" s="59"/>
      <c r="F898" s="59"/>
      <c r="G898" s="8"/>
      <c r="H898" s="8"/>
      <c r="I898" s="8"/>
      <c r="J898" s="8"/>
      <c r="K898" s="8"/>
      <c r="L898" s="8"/>
      <c r="M898" s="8"/>
      <c r="N898" s="8"/>
      <c r="O898" s="8"/>
      <c r="P898" s="8"/>
      <c r="Q898" s="8"/>
      <c r="R898" s="8"/>
      <c r="S898" s="8"/>
      <c r="T898" s="8"/>
      <c r="U898" s="8"/>
      <c r="V898" s="8"/>
      <c r="W898" s="8"/>
      <c r="X898" s="8"/>
      <c r="Y898" s="85"/>
      <c r="Z898" s="8"/>
      <c r="AA898" s="59"/>
      <c r="AC898" s="8"/>
    </row>
    <row r="899" spans="1:29" ht="12.75">
      <c r="A899" s="8"/>
      <c r="B899" s="83"/>
      <c r="C899" s="59"/>
      <c r="D899" s="59"/>
      <c r="E899" s="59"/>
      <c r="F899" s="59"/>
      <c r="G899" s="8"/>
      <c r="H899" s="8"/>
      <c r="I899" s="8"/>
      <c r="J899" s="8"/>
      <c r="K899" s="8"/>
      <c r="L899" s="8"/>
      <c r="M899" s="8"/>
      <c r="N899" s="8"/>
      <c r="O899" s="8"/>
      <c r="P899" s="8"/>
      <c r="Q899" s="8"/>
      <c r="R899" s="8"/>
      <c r="S899" s="8"/>
      <c r="T899" s="8"/>
      <c r="U899" s="8"/>
      <c r="V899" s="8"/>
      <c r="W899" s="8"/>
      <c r="X899" s="8"/>
      <c r="Y899" s="85"/>
      <c r="Z899" s="8"/>
      <c r="AA899" s="59"/>
      <c r="AC899" s="8"/>
    </row>
    <row r="900" spans="1:29" ht="12.75">
      <c r="A900" s="8"/>
      <c r="B900" s="83"/>
      <c r="C900" s="59"/>
      <c r="D900" s="59"/>
      <c r="E900" s="59"/>
      <c r="F900" s="59"/>
      <c r="G900" s="8"/>
      <c r="H900" s="8"/>
      <c r="I900" s="8"/>
      <c r="J900" s="8"/>
      <c r="K900" s="8"/>
      <c r="L900" s="8"/>
      <c r="M900" s="8"/>
      <c r="N900" s="8"/>
      <c r="O900" s="8"/>
      <c r="P900" s="8"/>
      <c r="Q900" s="8"/>
      <c r="R900" s="8"/>
      <c r="S900" s="8"/>
      <c r="T900" s="8"/>
      <c r="U900" s="8"/>
      <c r="V900" s="8"/>
      <c r="W900" s="8"/>
      <c r="X900" s="8"/>
      <c r="Y900" s="85"/>
      <c r="Z900" s="8"/>
      <c r="AA900" s="59"/>
      <c r="AC900" s="8"/>
    </row>
    <row r="901" spans="1:29" ht="12.75">
      <c r="A901" s="8"/>
      <c r="B901" s="83"/>
      <c r="C901" s="59"/>
      <c r="D901" s="59"/>
      <c r="E901" s="59"/>
      <c r="F901" s="59"/>
      <c r="G901" s="8"/>
      <c r="H901" s="8"/>
      <c r="I901" s="8"/>
      <c r="J901" s="8"/>
      <c r="K901" s="8"/>
      <c r="L901" s="8"/>
      <c r="M901" s="8"/>
      <c r="N901" s="8"/>
      <c r="O901" s="8"/>
      <c r="P901" s="8"/>
      <c r="Q901" s="8"/>
      <c r="R901" s="8"/>
      <c r="S901" s="8"/>
      <c r="T901" s="8"/>
      <c r="U901" s="8"/>
      <c r="V901" s="8"/>
      <c r="W901" s="8"/>
      <c r="X901" s="8"/>
      <c r="Y901" s="85"/>
      <c r="Z901" s="8"/>
      <c r="AA901" s="59"/>
      <c r="AC901" s="8"/>
    </row>
    <row r="902" spans="1:29" ht="12.75">
      <c r="A902" s="8"/>
      <c r="B902" s="83"/>
      <c r="C902" s="59"/>
      <c r="D902" s="59"/>
      <c r="E902" s="59"/>
      <c r="F902" s="59"/>
      <c r="G902" s="8"/>
      <c r="H902" s="8"/>
      <c r="I902" s="8"/>
      <c r="J902" s="8"/>
      <c r="K902" s="8"/>
      <c r="L902" s="8"/>
      <c r="M902" s="8"/>
      <c r="N902" s="8"/>
      <c r="O902" s="8"/>
      <c r="P902" s="8"/>
      <c r="Q902" s="8"/>
      <c r="R902" s="8"/>
      <c r="S902" s="8"/>
      <c r="T902" s="8"/>
      <c r="U902" s="8"/>
      <c r="V902" s="8"/>
      <c r="W902" s="8"/>
      <c r="X902" s="8"/>
      <c r="Y902" s="85"/>
      <c r="Z902" s="8"/>
      <c r="AA902" s="59"/>
      <c r="AC902" s="8"/>
    </row>
    <row r="903" spans="1:29" ht="12.75">
      <c r="A903" s="8"/>
      <c r="B903" s="83"/>
      <c r="C903" s="59"/>
      <c r="D903" s="59"/>
      <c r="E903" s="59"/>
      <c r="F903" s="59"/>
      <c r="G903" s="8"/>
      <c r="H903" s="8"/>
      <c r="I903" s="8"/>
      <c r="J903" s="8"/>
      <c r="K903" s="8"/>
      <c r="L903" s="8"/>
      <c r="M903" s="8"/>
      <c r="N903" s="8"/>
      <c r="O903" s="8"/>
      <c r="P903" s="8"/>
      <c r="Q903" s="8"/>
      <c r="R903" s="8"/>
      <c r="S903" s="8"/>
      <c r="T903" s="8"/>
      <c r="U903" s="8"/>
      <c r="V903" s="8"/>
      <c r="W903" s="8"/>
      <c r="X903" s="8"/>
      <c r="Y903" s="85"/>
      <c r="Z903" s="8"/>
      <c r="AA903" s="59"/>
      <c r="AC903" s="8"/>
    </row>
    <row r="904" spans="1:29" ht="12.75">
      <c r="A904" s="8"/>
      <c r="B904" s="83"/>
      <c r="C904" s="59"/>
      <c r="D904" s="59"/>
      <c r="E904" s="59"/>
      <c r="F904" s="59"/>
      <c r="G904" s="8"/>
      <c r="H904" s="8"/>
      <c r="I904" s="8"/>
      <c r="J904" s="8"/>
      <c r="K904" s="8"/>
      <c r="L904" s="8"/>
      <c r="M904" s="8"/>
      <c r="N904" s="8"/>
      <c r="O904" s="8"/>
      <c r="P904" s="8"/>
      <c r="Q904" s="8"/>
      <c r="R904" s="8"/>
      <c r="S904" s="8"/>
      <c r="T904" s="8"/>
      <c r="U904" s="8"/>
      <c r="V904" s="8"/>
      <c r="W904" s="8"/>
      <c r="X904" s="8"/>
      <c r="Y904" s="85"/>
      <c r="Z904" s="8"/>
      <c r="AA904" s="59"/>
      <c r="AC904" s="8"/>
    </row>
    <row r="905" spans="1:29" ht="12.75">
      <c r="A905" s="8"/>
      <c r="B905" s="83"/>
      <c r="C905" s="59"/>
      <c r="D905" s="59"/>
      <c r="E905" s="59"/>
      <c r="F905" s="59"/>
      <c r="G905" s="8"/>
      <c r="H905" s="8"/>
      <c r="I905" s="8"/>
      <c r="J905" s="8"/>
      <c r="K905" s="8"/>
      <c r="L905" s="8"/>
      <c r="M905" s="8"/>
      <c r="N905" s="8"/>
      <c r="O905" s="8"/>
      <c r="P905" s="8"/>
      <c r="Q905" s="8"/>
      <c r="R905" s="8"/>
      <c r="S905" s="8"/>
      <c r="T905" s="8"/>
      <c r="U905" s="8"/>
      <c r="V905" s="8"/>
      <c r="W905" s="8"/>
      <c r="X905" s="8"/>
      <c r="Y905" s="85"/>
      <c r="Z905" s="8"/>
      <c r="AA905" s="59"/>
      <c r="AC905" s="8"/>
    </row>
    <row r="906" spans="1:29" ht="12.75">
      <c r="A906" s="8"/>
      <c r="B906" s="83"/>
      <c r="C906" s="59"/>
      <c r="D906" s="59"/>
      <c r="E906" s="59"/>
      <c r="F906" s="59"/>
      <c r="G906" s="8"/>
      <c r="H906" s="8"/>
      <c r="I906" s="8"/>
      <c r="J906" s="8"/>
      <c r="K906" s="8"/>
      <c r="L906" s="8"/>
      <c r="M906" s="8"/>
      <c r="N906" s="8"/>
      <c r="O906" s="8"/>
      <c r="P906" s="8"/>
      <c r="Q906" s="8"/>
      <c r="R906" s="8"/>
      <c r="S906" s="8"/>
      <c r="T906" s="8"/>
      <c r="U906" s="8"/>
      <c r="V906" s="8"/>
      <c r="W906" s="8"/>
      <c r="X906" s="8"/>
      <c r="Y906" s="85"/>
      <c r="Z906" s="8"/>
      <c r="AA906" s="59"/>
      <c r="AC906" s="8"/>
    </row>
    <row r="907" spans="1:29" ht="12.75">
      <c r="A907" s="8"/>
      <c r="B907" s="83"/>
      <c r="C907" s="59"/>
      <c r="D907" s="59"/>
      <c r="E907" s="59"/>
      <c r="F907" s="59"/>
      <c r="G907" s="8"/>
      <c r="H907" s="8"/>
      <c r="I907" s="8"/>
      <c r="J907" s="8"/>
      <c r="K907" s="8"/>
      <c r="L907" s="8"/>
      <c r="M907" s="8"/>
      <c r="N907" s="8"/>
      <c r="O907" s="8"/>
      <c r="P907" s="8"/>
      <c r="Q907" s="8"/>
      <c r="R907" s="8"/>
      <c r="S907" s="8"/>
      <c r="T907" s="8"/>
      <c r="U907" s="8"/>
      <c r="V907" s="8"/>
      <c r="W907" s="8"/>
      <c r="X907" s="8"/>
      <c r="Y907" s="85"/>
      <c r="Z907" s="8"/>
      <c r="AA907" s="59"/>
      <c r="AC907" s="8"/>
    </row>
    <row r="908" spans="1:29" ht="12.75">
      <c r="A908" s="8"/>
      <c r="B908" s="83"/>
      <c r="C908" s="59"/>
      <c r="D908" s="59"/>
      <c r="E908" s="59"/>
      <c r="F908" s="59"/>
      <c r="G908" s="8"/>
      <c r="H908" s="8"/>
      <c r="I908" s="8"/>
      <c r="J908" s="8"/>
      <c r="K908" s="8"/>
      <c r="L908" s="8"/>
      <c r="M908" s="8"/>
      <c r="N908" s="8"/>
      <c r="O908" s="8"/>
      <c r="P908" s="8"/>
      <c r="Q908" s="8"/>
      <c r="R908" s="8"/>
      <c r="S908" s="8"/>
      <c r="T908" s="8"/>
      <c r="U908" s="8"/>
      <c r="V908" s="8"/>
      <c r="W908" s="8"/>
      <c r="X908" s="8"/>
      <c r="Y908" s="85"/>
      <c r="Z908" s="8"/>
      <c r="AA908" s="59"/>
      <c r="AC908" s="8"/>
    </row>
    <row r="909" spans="1:29" ht="12.75">
      <c r="A909" s="8"/>
      <c r="B909" s="83"/>
      <c r="C909" s="59"/>
      <c r="D909" s="59"/>
      <c r="E909" s="59"/>
      <c r="F909" s="59"/>
      <c r="G909" s="8"/>
      <c r="H909" s="8"/>
      <c r="I909" s="8"/>
      <c r="J909" s="8"/>
      <c r="K909" s="8"/>
      <c r="L909" s="8"/>
      <c r="M909" s="8"/>
      <c r="N909" s="8"/>
      <c r="O909" s="8"/>
      <c r="P909" s="8"/>
      <c r="Q909" s="8"/>
      <c r="R909" s="8"/>
      <c r="S909" s="8"/>
      <c r="T909" s="8"/>
      <c r="U909" s="8"/>
      <c r="V909" s="8"/>
      <c r="W909" s="8"/>
      <c r="X909" s="8"/>
      <c r="Y909" s="85"/>
      <c r="Z909" s="8"/>
      <c r="AA909" s="59"/>
      <c r="AC909" s="8"/>
    </row>
    <row r="910" spans="1:29" ht="12.75">
      <c r="A910" s="8"/>
      <c r="B910" s="83"/>
      <c r="C910" s="59"/>
      <c r="D910" s="59"/>
      <c r="E910" s="59"/>
      <c r="F910" s="59"/>
      <c r="G910" s="8"/>
      <c r="H910" s="8"/>
      <c r="I910" s="8"/>
      <c r="J910" s="8"/>
      <c r="K910" s="8"/>
      <c r="L910" s="8"/>
      <c r="M910" s="8"/>
      <c r="N910" s="8"/>
      <c r="O910" s="8"/>
      <c r="P910" s="8"/>
      <c r="Q910" s="8"/>
      <c r="R910" s="8"/>
      <c r="S910" s="8"/>
      <c r="T910" s="8"/>
      <c r="U910" s="8"/>
      <c r="V910" s="8"/>
      <c r="W910" s="8"/>
      <c r="X910" s="8"/>
      <c r="Y910" s="85"/>
      <c r="Z910" s="8"/>
      <c r="AA910" s="59"/>
      <c r="AC910" s="8"/>
    </row>
    <row r="911" spans="1:29" ht="12.75">
      <c r="A911" s="8"/>
      <c r="B911" s="83"/>
      <c r="C911" s="59"/>
      <c r="D911" s="59"/>
      <c r="E911" s="59"/>
      <c r="F911" s="59"/>
      <c r="G911" s="8"/>
      <c r="H911" s="8"/>
      <c r="I911" s="8"/>
      <c r="J911" s="8"/>
      <c r="K911" s="8"/>
      <c r="L911" s="8"/>
      <c r="M911" s="8"/>
      <c r="N911" s="8"/>
      <c r="O911" s="8"/>
      <c r="P911" s="8"/>
      <c r="Q911" s="8"/>
      <c r="R911" s="8"/>
      <c r="S911" s="8"/>
      <c r="T911" s="8"/>
      <c r="U911" s="8"/>
      <c r="V911" s="8"/>
      <c r="W911" s="8"/>
      <c r="X911" s="8"/>
      <c r="Y911" s="85"/>
      <c r="Z911" s="8"/>
      <c r="AA911" s="59"/>
      <c r="AC911" s="8"/>
    </row>
    <row r="912" spans="1:29" ht="12.75">
      <c r="A912" s="8"/>
      <c r="B912" s="83"/>
      <c r="C912" s="59"/>
      <c r="D912" s="59"/>
      <c r="E912" s="59"/>
      <c r="F912" s="59"/>
      <c r="G912" s="8"/>
      <c r="H912" s="8"/>
      <c r="I912" s="8"/>
      <c r="J912" s="8"/>
      <c r="K912" s="8"/>
      <c r="L912" s="8"/>
      <c r="M912" s="8"/>
      <c r="N912" s="8"/>
      <c r="O912" s="8"/>
      <c r="P912" s="8"/>
      <c r="Q912" s="8"/>
      <c r="R912" s="8"/>
      <c r="S912" s="8"/>
      <c r="T912" s="8"/>
      <c r="U912" s="8"/>
      <c r="V912" s="8"/>
      <c r="W912" s="8"/>
      <c r="X912" s="8"/>
      <c r="Y912" s="85"/>
      <c r="Z912" s="8"/>
      <c r="AA912" s="59"/>
      <c r="AC912" s="8"/>
    </row>
    <row r="913" spans="1:29" ht="12.75">
      <c r="A913" s="8"/>
      <c r="B913" s="83"/>
      <c r="C913" s="59"/>
      <c r="D913" s="59"/>
      <c r="E913" s="59"/>
      <c r="F913" s="59"/>
      <c r="G913" s="8"/>
      <c r="H913" s="8"/>
      <c r="I913" s="8"/>
      <c r="J913" s="8"/>
      <c r="K913" s="8"/>
      <c r="L913" s="8"/>
      <c r="M913" s="8"/>
      <c r="N913" s="8"/>
      <c r="O913" s="8"/>
      <c r="P913" s="8"/>
      <c r="Q913" s="8"/>
      <c r="R913" s="8"/>
      <c r="S913" s="8"/>
      <c r="T913" s="8"/>
      <c r="U913" s="8"/>
      <c r="V913" s="8"/>
      <c r="W913" s="8"/>
      <c r="X913" s="8"/>
      <c r="Y913" s="85"/>
      <c r="Z913" s="8"/>
      <c r="AA913" s="59"/>
      <c r="AC913" s="8"/>
    </row>
    <row r="914" spans="1:29" ht="12.75">
      <c r="A914" s="8"/>
      <c r="B914" s="83"/>
      <c r="C914" s="59"/>
      <c r="D914" s="59"/>
      <c r="E914" s="59"/>
      <c r="F914" s="59"/>
      <c r="G914" s="8"/>
      <c r="H914" s="8"/>
      <c r="I914" s="8"/>
      <c r="J914" s="8"/>
      <c r="K914" s="8"/>
      <c r="L914" s="8"/>
      <c r="M914" s="8"/>
      <c r="N914" s="8"/>
      <c r="O914" s="8"/>
      <c r="P914" s="8"/>
      <c r="Q914" s="8"/>
      <c r="R914" s="8"/>
      <c r="S914" s="8"/>
      <c r="T914" s="8"/>
      <c r="U914" s="8"/>
      <c r="V914" s="8"/>
      <c r="W914" s="8"/>
      <c r="X914" s="8"/>
      <c r="Y914" s="85"/>
      <c r="Z914" s="8"/>
      <c r="AA914" s="59"/>
      <c r="AC914" s="8"/>
    </row>
    <row r="915" spans="1:29" ht="12.75">
      <c r="A915" s="8"/>
      <c r="B915" s="83"/>
      <c r="C915" s="59"/>
      <c r="D915" s="59"/>
      <c r="E915" s="59"/>
      <c r="F915" s="59"/>
      <c r="G915" s="8"/>
      <c r="H915" s="8"/>
      <c r="I915" s="8"/>
      <c r="J915" s="8"/>
      <c r="K915" s="8"/>
      <c r="L915" s="8"/>
      <c r="M915" s="8"/>
      <c r="N915" s="8"/>
      <c r="O915" s="8"/>
      <c r="P915" s="8"/>
      <c r="Q915" s="8"/>
      <c r="R915" s="8"/>
      <c r="S915" s="8"/>
      <c r="T915" s="8"/>
      <c r="U915" s="8"/>
      <c r="V915" s="8"/>
      <c r="W915" s="8"/>
      <c r="X915" s="8"/>
      <c r="Y915" s="85"/>
      <c r="Z915" s="8"/>
      <c r="AA915" s="59"/>
      <c r="AC915" s="8"/>
    </row>
    <row r="916" spans="1:29" ht="12.75">
      <c r="A916" s="8"/>
      <c r="B916" s="83"/>
      <c r="C916" s="59"/>
      <c r="D916" s="59"/>
      <c r="E916" s="59"/>
      <c r="F916" s="59"/>
      <c r="G916" s="8"/>
      <c r="H916" s="8"/>
      <c r="I916" s="8"/>
      <c r="J916" s="8"/>
      <c r="K916" s="8"/>
      <c r="L916" s="8"/>
      <c r="M916" s="8"/>
      <c r="N916" s="8"/>
      <c r="O916" s="8"/>
      <c r="P916" s="8"/>
      <c r="Q916" s="8"/>
      <c r="R916" s="8"/>
      <c r="S916" s="8"/>
      <c r="T916" s="8"/>
      <c r="U916" s="8"/>
      <c r="V916" s="8"/>
      <c r="W916" s="8"/>
      <c r="X916" s="8"/>
      <c r="Y916" s="85"/>
      <c r="Z916" s="8"/>
      <c r="AA916" s="59"/>
      <c r="AC916" s="8"/>
    </row>
    <row r="917" spans="1:29" ht="12.75">
      <c r="A917" s="8"/>
      <c r="B917" s="83"/>
      <c r="C917" s="59"/>
      <c r="D917" s="59"/>
      <c r="E917" s="59"/>
      <c r="F917" s="59"/>
      <c r="G917" s="8"/>
      <c r="H917" s="8"/>
      <c r="I917" s="8"/>
      <c r="J917" s="8"/>
      <c r="K917" s="8"/>
      <c r="L917" s="8"/>
      <c r="M917" s="8"/>
      <c r="N917" s="8"/>
      <c r="O917" s="8"/>
      <c r="P917" s="8"/>
      <c r="Q917" s="8"/>
      <c r="R917" s="8"/>
      <c r="S917" s="8"/>
      <c r="T917" s="8"/>
      <c r="U917" s="8"/>
      <c r="V917" s="8"/>
      <c r="W917" s="8"/>
      <c r="X917" s="8"/>
      <c r="Y917" s="85"/>
      <c r="Z917" s="8"/>
      <c r="AA917" s="59"/>
      <c r="AC917" s="8"/>
    </row>
    <row r="918" spans="1:29" ht="12.75">
      <c r="A918" s="8"/>
      <c r="B918" s="83"/>
      <c r="C918" s="59"/>
      <c r="D918" s="59"/>
      <c r="E918" s="59"/>
      <c r="F918" s="59"/>
      <c r="G918" s="8"/>
      <c r="H918" s="8"/>
      <c r="I918" s="8"/>
      <c r="J918" s="8"/>
      <c r="K918" s="8"/>
      <c r="L918" s="8"/>
      <c r="M918" s="8"/>
      <c r="N918" s="8"/>
      <c r="O918" s="8"/>
      <c r="P918" s="8"/>
      <c r="Q918" s="8"/>
      <c r="R918" s="8"/>
      <c r="S918" s="8"/>
      <c r="T918" s="8"/>
      <c r="U918" s="8"/>
      <c r="V918" s="8"/>
      <c r="W918" s="8"/>
      <c r="X918" s="8"/>
      <c r="Y918" s="85"/>
      <c r="Z918" s="8"/>
      <c r="AA918" s="59"/>
      <c r="AC918" s="8"/>
    </row>
    <row r="919" spans="1:29" ht="12.75">
      <c r="A919" s="8"/>
      <c r="B919" s="83"/>
      <c r="C919" s="59"/>
      <c r="D919" s="59"/>
      <c r="E919" s="59"/>
      <c r="F919" s="59"/>
      <c r="G919" s="8"/>
      <c r="H919" s="8"/>
      <c r="I919" s="8"/>
      <c r="J919" s="8"/>
      <c r="K919" s="8"/>
      <c r="L919" s="8"/>
      <c r="M919" s="8"/>
      <c r="N919" s="8"/>
      <c r="O919" s="8"/>
      <c r="P919" s="8"/>
      <c r="Q919" s="8"/>
      <c r="R919" s="8"/>
      <c r="S919" s="8"/>
      <c r="T919" s="8"/>
      <c r="U919" s="8"/>
      <c r="V919" s="8"/>
      <c r="W919" s="8"/>
      <c r="X919" s="8"/>
      <c r="Y919" s="85"/>
      <c r="Z919" s="8"/>
      <c r="AA919" s="59"/>
      <c r="AC919" s="8"/>
    </row>
    <row r="920" spans="1:29" ht="12.75">
      <c r="A920" s="8"/>
      <c r="B920" s="83"/>
      <c r="C920" s="59"/>
      <c r="D920" s="59"/>
      <c r="E920" s="59"/>
      <c r="F920" s="59"/>
      <c r="G920" s="8"/>
      <c r="H920" s="8"/>
      <c r="I920" s="8"/>
      <c r="J920" s="8"/>
      <c r="K920" s="8"/>
      <c r="L920" s="8"/>
      <c r="M920" s="8"/>
      <c r="N920" s="8"/>
      <c r="O920" s="8"/>
      <c r="P920" s="8"/>
      <c r="Q920" s="8"/>
      <c r="R920" s="8"/>
      <c r="S920" s="8"/>
      <c r="T920" s="8"/>
      <c r="U920" s="8"/>
      <c r="V920" s="8"/>
      <c r="W920" s="8"/>
      <c r="X920" s="8"/>
      <c r="Y920" s="85"/>
      <c r="Z920" s="8"/>
      <c r="AA920" s="59"/>
      <c r="AC920" s="8"/>
    </row>
    <row r="921" spans="1:29" ht="12.75">
      <c r="A921" s="8"/>
      <c r="B921" s="83"/>
      <c r="C921" s="59"/>
      <c r="D921" s="59"/>
      <c r="E921" s="59"/>
      <c r="F921" s="59"/>
      <c r="G921" s="8"/>
      <c r="H921" s="8"/>
      <c r="I921" s="8"/>
      <c r="J921" s="8"/>
      <c r="K921" s="8"/>
      <c r="L921" s="8"/>
      <c r="M921" s="8"/>
      <c r="N921" s="8"/>
      <c r="O921" s="8"/>
      <c r="P921" s="8"/>
      <c r="Q921" s="8"/>
      <c r="R921" s="8"/>
      <c r="S921" s="8"/>
      <c r="T921" s="8"/>
      <c r="U921" s="8"/>
      <c r="V921" s="8"/>
      <c r="W921" s="8"/>
      <c r="X921" s="8"/>
      <c r="Y921" s="85"/>
      <c r="Z921" s="8"/>
      <c r="AA921" s="59"/>
      <c r="AC921" s="8"/>
    </row>
    <row r="922" spans="1:29" ht="12.75">
      <c r="A922" s="8"/>
      <c r="B922" s="83"/>
      <c r="C922" s="59"/>
      <c r="D922" s="59"/>
      <c r="E922" s="59"/>
      <c r="F922" s="59"/>
      <c r="G922" s="8"/>
      <c r="H922" s="8"/>
      <c r="I922" s="8"/>
      <c r="J922" s="8"/>
      <c r="K922" s="8"/>
      <c r="L922" s="8"/>
      <c r="M922" s="8"/>
      <c r="N922" s="8"/>
      <c r="O922" s="8"/>
      <c r="P922" s="8"/>
      <c r="Q922" s="8"/>
      <c r="R922" s="8"/>
      <c r="S922" s="8"/>
      <c r="T922" s="8"/>
      <c r="U922" s="8"/>
      <c r="V922" s="8"/>
      <c r="W922" s="8"/>
      <c r="X922" s="8"/>
      <c r="Y922" s="85"/>
      <c r="Z922" s="8"/>
      <c r="AA922" s="59"/>
      <c r="AC922" s="8"/>
    </row>
    <row r="923" spans="1:29" ht="12.75">
      <c r="A923" s="8"/>
      <c r="B923" s="83"/>
      <c r="C923" s="59"/>
      <c r="D923" s="59"/>
      <c r="E923" s="59"/>
      <c r="F923" s="59"/>
      <c r="G923" s="8"/>
      <c r="H923" s="8"/>
      <c r="I923" s="8"/>
      <c r="J923" s="8"/>
      <c r="K923" s="8"/>
      <c r="L923" s="8"/>
      <c r="M923" s="8"/>
      <c r="N923" s="8"/>
      <c r="O923" s="8"/>
      <c r="P923" s="8"/>
      <c r="Q923" s="8"/>
      <c r="R923" s="8"/>
      <c r="S923" s="8"/>
      <c r="T923" s="8"/>
      <c r="U923" s="8"/>
      <c r="V923" s="8"/>
      <c r="W923" s="8"/>
      <c r="X923" s="8"/>
      <c r="Y923" s="85"/>
      <c r="Z923" s="8"/>
      <c r="AA923" s="59"/>
      <c r="AC923" s="8"/>
    </row>
    <row r="924" spans="1:29" ht="12.75">
      <c r="A924" s="8"/>
      <c r="B924" s="83"/>
      <c r="C924" s="59"/>
      <c r="D924" s="59"/>
      <c r="E924" s="59"/>
      <c r="F924" s="59"/>
      <c r="G924" s="8"/>
      <c r="H924" s="8"/>
      <c r="I924" s="8"/>
      <c r="J924" s="8"/>
      <c r="K924" s="8"/>
      <c r="L924" s="8"/>
      <c r="M924" s="8"/>
      <c r="N924" s="8"/>
      <c r="O924" s="8"/>
      <c r="P924" s="8"/>
      <c r="Q924" s="8"/>
      <c r="R924" s="8"/>
      <c r="S924" s="8"/>
      <c r="T924" s="8"/>
      <c r="U924" s="8"/>
      <c r="V924" s="8"/>
      <c r="W924" s="8"/>
      <c r="X924" s="8"/>
      <c r="Y924" s="85"/>
      <c r="Z924" s="8"/>
      <c r="AA924" s="59"/>
      <c r="AC924" s="8"/>
    </row>
    <row r="925" spans="1:29" ht="12.75">
      <c r="A925" s="8"/>
      <c r="B925" s="83"/>
      <c r="C925" s="59"/>
      <c r="D925" s="59"/>
      <c r="E925" s="59"/>
      <c r="F925" s="59"/>
      <c r="G925" s="8"/>
      <c r="H925" s="8"/>
      <c r="I925" s="8"/>
      <c r="J925" s="8"/>
      <c r="K925" s="8"/>
      <c r="L925" s="8"/>
      <c r="M925" s="8"/>
      <c r="N925" s="8"/>
      <c r="O925" s="8"/>
      <c r="P925" s="8"/>
      <c r="Q925" s="8"/>
      <c r="R925" s="8"/>
      <c r="S925" s="8"/>
      <c r="T925" s="8"/>
      <c r="U925" s="8"/>
      <c r="V925" s="8"/>
      <c r="W925" s="8"/>
      <c r="X925" s="8"/>
      <c r="Y925" s="85"/>
      <c r="Z925" s="8"/>
      <c r="AA925" s="59"/>
      <c r="AC925" s="8"/>
    </row>
    <row r="926" spans="1:29" ht="12.75">
      <c r="A926" s="8"/>
      <c r="B926" s="83"/>
      <c r="C926" s="59"/>
      <c r="D926" s="59"/>
      <c r="E926" s="59"/>
      <c r="F926" s="59"/>
      <c r="G926" s="8"/>
      <c r="H926" s="8"/>
      <c r="I926" s="8"/>
      <c r="J926" s="8"/>
      <c r="K926" s="8"/>
      <c r="L926" s="8"/>
      <c r="M926" s="8"/>
      <c r="N926" s="8"/>
      <c r="O926" s="8"/>
      <c r="P926" s="8"/>
      <c r="Q926" s="8"/>
      <c r="R926" s="8"/>
      <c r="S926" s="8"/>
      <c r="T926" s="8"/>
      <c r="U926" s="8"/>
      <c r="V926" s="8"/>
      <c r="W926" s="8"/>
      <c r="X926" s="8"/>
      <c r="Y926" s="85"/>
      <c r="Z926" s="8"/>
      <c r="AA926" s="59"/>
      <c r="AC926" s="8"/>
    </row>
    <row r="927" spans="1:29" ht="12.75">
      <c r="A927" s="8"/>
      <c r="B927" s="83"/>
      <c r="C927" s="59"/>
      <c r="D927" s="59"/>
      <c r="E927" s="59"/>
      <c r="F927" s="59"/>
      <c r="G927" s="8"/>
      <c r="H927" s="8"/>
      <c r="I927" s="8"/>
      <c r="J927" s="8"/>
      <c r="K927" s="8"/>
      <c r="L927" s="8"/>
      <c r="M927" s="8"/>
      <c r="N927" s="8"/>
      <c r="O927" s="8"/>
      <c r="P927" s="8"/>
      <c r="Q927" s="8"/>
      <c r="R927" s="8"/>
      <c r="S927" s="8"/>
      <c r="T927" s="8"/>
      <c r="U927" s="8"/>
      <c r="V927" s="8"/>
      <c r="W927" s="8"/>
      <c r="X927" s="8"/>
      <c r="Y927" s="85"/>
      <c r="Z927" s="8"/>
      <c r="AA927" s="59"/>
      <c r="AC927" s="8"/>
    </row>
    <row r="928" spans="1:29" ht="12.75">
      <c r="A928" s="8"/>
      <c r="B928" s="83"/>
      <c r="C928" s="59"/>
      <c r="D928" s="59"/>
      <c r="E928" s="59"/>
      <c r="F928" s="59"/>
      <c r="G928" s="8"/>
      <c r="H928" s="8"/>
      <c r="I928" s="8"/>
      <c r="J928" s="8"/>
      <c r="K928" s="8"/>
      <c r="L928" s="8"/>
      <c r="M928" s="8"/>
      <c r="N928" s="8"/>
      <c r="O928" s="8"/>
      <c r="P928" s="8"/>
      <c r="Q928" s="8"/>
      <c r="R928" s="8"/>
      <c r="S928" s="8"/>
      <c r="T928" s="8"/>
      <c r="U928" s="8"/>
      <c r="V928" s="8"/>
      <c r="W928" s="8"/>
      <c r="X928" s="8"/>
      <c r="Y928" s="85"/>
      <c r="Z928" s="8"/>
      <c r="AA928" s="59"/>
      <c r="AC928" s="8"/>
    </row>
    <row r="929" spans="1:29" ht="12.75">
      <c r="A929" s="8"/>
      <c r="B929" s="83"/>
      <c r="C929" s="59"/>
      <c r="D929" s="59"/>
      <c r="E929" s="59"/>
      <c r="F929" s="59"/>
      <c r="G929" s="8"/>
      <c r="H929" s="8"/>
      <c r="I929" s="8"/>
      <c r="J929" s="8"/>
      <c r="K929" s="8"/>
      <c r="L929" s="8"/>
      <c r="M929" s="8"/>
      <c r="N929" s="8"/>
      <c r="O929" s="8"/>
      <c r="P929" s="8"/>
      <c r="Q929" s="8"/>
      <c r="R929" s="8"/>
      <c r="S929" s="8"/>
      <c r="T929" s="8"/>
      <c r="U929" s="8"/>
      <c r="V929" s="8"/>
      <c r="W929" s="8"/>
      <c r="X929" s="8"/>
      <c r="Y929" s="85"/>
      <c r="Z929" s="8"/>
      <c r="AA929" s="59"/>
      <c r="AC929" s="8"/>
    </row>
    <row r="930" spans="1:29" ht="12.75">
      <c r="A930" s="8"/>
      <c r="B930" s="83"/>
      <c r="C930" s="59"/>
      <c r="D930" s="59"/>
      <c r="E930" s="59"/>
      <c r="F930" s="59"/>
      <c r="G930" s="8"/>
      <c r="H930" s="8"/>
      <c r="I930" s="8"/>
      <c r="J930" s="8"/>
      <c r="K930" s="8"/>
      <c r="L930" s="8"/>
      <c r="M930" s="8"/>
      <c r="N930" s="8"/>
      <c r="O930" s="8"/>
      <c r="P930" s="8"/>
      <c r="Q930" s="8"/>
      <c r="R930" s="8"/>
      <c r="S930" s="8"/>
      <c r="T930" s="8"/>
      <c r="U930" s="8"/>
      <c r="V930" s="8"/>
      <c r="W930" s="8"/>
      <c r="X930" s="8"/>
      <c r="Y930" s="85"/>
      <c r="Z930" s="8"/>
      <c r="AA930" s="59"/>
      <c r="AC930" s="8"/>
    </row>
    <row r="931" spans="1:29" ht="12.75">
      <c r="A931" s="8"/>
      <c r="B931" s="83"/>
      <c r="C931" s="59"/>
      <c r="D931" s="59"/>
      <c r="E931" s="59"/>
      <c r="F931" s="59"/>
      <c r="G931" s="8"/>
      <c r="H931" s="8"/>
      <c r="I931" s="8"/>
      <c r="J931" s="8"/>
      <c r="K931" s="8"/>
      <c r="L931" s="8"/>
      <c r="M931" s="8"/>
      <c r="N931" s="8"/>
      <c r="O931" s="8"/>
      <c r="P931" s="8"/>
      <c r="Q931" s="8"/>
      <c r="R931" s="8"/>
      <c r="S931" s="8"/>
      <c r="T931" s="8"/>
      <c r="U931" s="8"/>
      <c r="V931" s="8"/>
      <c r="W931" s="8"/>
      <c r="X931" s="8"/>
      <c r="Y931" s="85"/>
      <c r="Z931" s="8"/>
      <c r="AA931" s="59"/>
      <c r="AC931" s="8"/>
    </row>
    <row r="932" spans="1:29" ht="12.75">
      <c r="A932" s="8"/>
      <c r="B932" s="83"/>
      <c r="C932" s="59"/>
      <c r="D932" s="59"/>
      <c r="E932" s="59"/>
      <c r="F932" s="59"/>
      <c r="G932" s="8"/>
      <c r="H932" s="8"/>
      <c r="I932" s="8"/>
      <c r="J932" s="8"/>
      <c r="K932" s="8"/>
      <c r="L932" s="8"/>
      <c r="M932" s="8"/>
      <c r="N932" s="8"/>
      <c r="O932" s="8"/>
      <c r="P932" s="8"/>
      <c r="Q932" s="8"/>
      <c r="R932" s="8"/>
      <c r="S932" s="8"/>
      <c r="T932" s="8"/>
      <c r="U932" s="8"/>
      <c r="V932" s="8"/>
      <c r="W932" s="8"/>
      <c r="X932" s="8"/>
      <c r="Y932" s="85"/>
      <c r="Z932" s="8"/>
      <c r="AA932" s="59"/>
      <c r="AC932" s="8"/>
    </row>
    <row r="933" spans="1:29" ht="12.75">
      <c r="A933" s="8"/>
      <c r="B933" s="83"/>
      <c r="C933" s="59"/>
      <c r="D933" s="59"/>
      <c r="E933" s="59"/>
      <c r="F933" s="59"/>
      <c r="G933" s="8"/>
      <c r="H933" s="8"/>
      <c r="I933" s="8"/>
      <c r="J933" s="8"/>
      <c r="K933" s="8"/>
      <c r="L933" s="8"/>
      <c r="M933" s="8"/>
      <c r="N933" s="8"/>
      <c r="O933" s="8"/>
      <c r="P933" s="8"/>
      <c r="Q933" s="8"/>
      <c r="R933" s="8"/>
      <c r="S933" s="8"/>
      <c r="T933" s="8"/>
      <c r="U933" s="8"/>
      <c r="V933" s="8"/>
      <c r="W933" s="8"/>
      <c r="X933" s="8"/>
      <c r="Y933" s="85"/>
      <c r="Z933" s="8"/>
      <c r="AA933" s="59"/>
      <c r="AC933" s="8"/>
    </row>
    <row r="934" spans="1:29" ht="12.75">
      <c r="A934" s="8"/>
      <c r="B934" s="83"/>
      <c r="C934" s="59"/>
      <c r="D934" s="59"/>
      <c r="E934" s="59"/>
      <c r="F934" s="59"/>
      <c r="G934" s="8"/>
      <c r="H934" s="8"/>
      <c r="I934" s="8"/>
      <c r="J934" s="8"/>
      <c r="K934" s="8"/>
      <c r="L934" s="8"/>
      <c r="M934" s="8"/>
      <c r="N934" s="8"/>
      <c r="O934" s="8"/>
      <c r="P934" s="8"/>
      <c r="Q934" s="8"/>
      <c r="R934" s="8"/>
      <c r="S934" s="8"/>
      <c r="T934" s="8"/>
      <c r="U934" s="8"/>
      <c r="V934" s="8"/>
      <c r="W934" s="8"/>
      <c r="X934" s="8"/>
      <c r="Y934" s="85"/>
      <c r="Z934" s="8"/>
      <c r="AA934" s="59"/>
      <c r="AC934" s="8"/>
    </row>
    <row r="935" spans="1:29" ht="12.75">
      <c r="A935" s="8"/>
      <c r="B935" s="83"/>
      <c r="C935" s="59"/>
      <c r="D935" s="59"/>
      <c r="E935" s="59"/>
      <c r="F935" s="59"/>
      <c r="G935" s="8"/>
      <c r="H935" s="8"/>
      <c r="I935" s="8"/>
      <c r="J935" s="8"/>
      <c r="K935" s="8"/>
      <c r="L935" s="8"/>
      <c r="M935" s="8"/>
      <c r="N935" s="8"/>
      <c r="O935" s="8"/>
      <c r="P935" s="8"/>
      <c r="Q935" s="8"/>
      <c r="R935" s="8"/>
      <c r="S935" s="8"/>
      <c r="T935" s="8"/>
      <c r="U935" s="8"/>
      <c r="V935" s="8"/>
      <c r="W935" s="8"/>
      <c r="X935" s="8"/>
      <c r="Y935" s="85"/>
      <c r="Z935" s="8"/>
      <c r="AA935" s="59"/>
      <c r="AC935" s="8"/>
    </row>
    <row r="936" spans="1:29" ht="12.75">
      <c r="A936" s="8"/>
      <c r="B936" s="83"/>
      <c r="C936" s="59"/>
      <c r="D936" s="59"/>
      <c r="E936" s="59"/>
      <c r="F936" s="59"/>
      <c r="G936" s="8"/>
      <c r="H936" s="8"/>
      <c r="I936" s="8"/>
      <c r="J936" s="8"/>
      <c r="K936" s="8"/>
      <c r="L936" s="8"/>
      <c r="M936" s="8"/>
      <c r="N936" s="8"/>
      <c r="O936" s="8"/>
      <c r="P936" s="8"/>
      <c r="Q936" s="8"/>
      <c r="R936" s="8"/>
      <c r="S936" s="8"/>
      <c r="T936" s="8"/>
      <c r="U936" s="8"/>
      <c r="V936" s="8"/>
      <c r="W936" s="8"/>
      <c r="X936" s="8"/>
      <c r="Y936" s="85"/>
      <c r="Z936" s="8"/>
      <c r="AA936" s="59"/>
      <c r="AC936" s="8"/>
    </row>
    <row r="937" spans="1:29" ht="12.75">
      <c r="A937" s="8"/>
      <c r="B937" s="83"/>
      <c r="C937" s="59"/>
      <c r="D937" s="59"/>
      <c r="E937" s="59"/>
      <c r="F937" s="59"/>
      <c r="G937" s="8"/>
      <c r="H937" s="8"/>
      <c r="I937" s="8"/>
      <c r="J937" s="8"/>
      <c r="K937" s="8"/>
      <c r="L937" s="8"/>
      <c r="M937" s="8"/>
      <c r="N937" s="8"/>
      <c r="O937" s="8"/>
      <c r="P937" s="8"/>
      <c r="Q937" s="8"/>
      <c r="R937" s="8"/>
      <c r="S937" s="8"/>
      <c r="T937" s="8"/>
      <c r="U937" s="8"/>
      <c r="V937" s="8"/>
      <c r="W937" s="8"/>
      <c r="X937" s="8"/>
      <c r="Y937" s="85"/>
      <c r="Z937" s="8"/>
      <c r="AA937" s="59"/>
      <c r="AC937" s="8"/>
    </row>
    <row r="938" spans="1:29" ht="12.75">
      <c r="A938" s="8"/>
      <c r="B938" s="83"/>
      <c r="C938" s="59"/>
      <c r="D938" s="59"/>
      <c r="E938" s="59"/>
      <c r="F938" s="59"/>
      <c r="G938" s="8"/>
      <c r="H938" s="8"/>
      <c r="I938" s="8"/>
      <c r="J938" s="8"/>
      <c r="K938" s="8"/>
      <c r="L938" s="8"/>
      <c r="M938" s="8"/>
      <c r="N938" s="8"/>
      <c r="O938" s="8"/>
      <c r="P938" s="8"/>
      <c r="Q938" s="8"/>
      <c r="R938" s="8"/>
      <c r="S938" s="8"/>
      <c r="T938" s="8"/>
      <c r="U938" s="8"/>
      <c r="V938" s="8"/>
      <c r="W938" s="8"/>
      <c r="X938" s="8"/>
      <c r="Y938" s="85"/>
      <c r="Z938" s="8"/>
      <c r="AA938" s="59"/>
      <c r="AC938" s="8"/>
    </row>
    <row r="939" spans="1:29" ht="12.75">
      <c r="A939" s="8"/>
      <c r="B939" s="83"/>
      <c r="C939" s="59"/>
      <c r="D939" s="59"/>
      <c r="E939" s="59"/>
      <c r="F939" s="59"/>
      <c r="G939" s="8"/>
      <c r="H939" s="8"/>
      <c r="I939" s="8"/>
      <c r="J939" s="8"/>
      <c r="K939" s="8"/>
      <c r="L939" s="8"/>
      <c r="M939" s="8"/>
      <c r="N939" s="8"/>
      <c r="O939" s="8"/>
      <c r="P939" s="8"/>
      <c r="Q939" s="8"/>
      <c r="R939" s="8"/>
      <c r="S939" s="8"/>
      <c r="T939" s="8"/>
      <c r="U939" s="8"/>
      <c r="V939" s="8"/>
      <c r="W939" s="8"/>
      <c r="X939" s="8"/>
      <c r="Y939" s="85"/>
      <c r="Z939" s="8"/>
      <c r="AA939" s="59"/>
      <c r="AC939" s="8"/>
    </row>
    <row r="940" spans="1:29" ht="12.75">
      <c r="A940" s="8"/>
      <c r="B940" s="83"/>
      <c r="C940" s="59"/>
      <c r="D940" s="59"/>
      <c r="E940" s="59"/>
      <c r="F940" s="59"/>
      <c r="G940" s="8"/>
      <c r="H940" s="8"/>
      <c r="I940" s="8"/>
      <c r="J940" s="8"/>
      <c r="K940" s="8"/>
      <c r="L940" s="8"/>
      <c r="M940" s="8"/>
      <c r="N940" s="8"/>
      <c r="O940" s="8"/>
      <c r="P940" s="8"/>
      <c r="Q940" s="8"/>
      <c r="R940" s="8"/>
      <c r="S940" s="8"/>
      <c r="T940" s="8"/>
      <c r="U940" s="8"/>
      <c r="V940" s="8"/>
      <c r="W940" s="8"/>
      <c r="X940" s="8"/>
      <c r="Y940" s="85"/>
      <c r="Z940" s="8"/>
      <c r="AA940" s="59"/>
      <c r="AC940" s="8"/>
    </row>
    <row r="941" spans="1:29" ht="12.75">
      <c r="A941" s="8"/>
      <c r="B941" s="83"/>
      <c r="C941" s="59"/>
      <c r="D941" s="59"/>
      <c r="E941" s="59"/>
      <c r="F941" s="59"/>
      <c r="G941" s="8"/>
      <c r="H941" s="8"/>
      <c r="I941" s="8"/>
      <c r="J941" s="8"/>
      <c r="K941" s="8"/>
      <c r="L941" s="8"/>
      <c r="M941" s="8"/>
      <c r="N941" s="8"/>
      <c r="O941" s="8"/>
      <c r="P941" s="8"/>
      <c r="Q941" s="8"/>
      <c r="R941" s="8"/>
      <c r="S941" s="8"/>
      <c r="T941" s="8"/>
      <c r="U941" s="8"/>
      <c r="V941" s="8"/>
      <c r="W941" s="8"/>
      <c r="X941" s="8"/>
      <c r="Y941" s="85"/>
      <c r="Z941" s="8"/>
      <c r="AA941" s="59"/>
      <c r="AC941" s="8"/>
    </row>
    <row r="942" spans="1:29" ht="12.75">
      <c r="A942" s="8"/>
      <c r="B942" s="83"/>
      <c r="C942" s="59"/>
      <c r="D942" s="59"/>
      <c r="E942" s="59"/>
      <c r="F942" s="59"/>
      <c r="G942" s="8"/>
      <c r="H942" s="8"/>
      <c r="I942" s="8"/>
      <c r="J942" s="8"/>
      <c r="K942" s="8"/>
      <c r="L942" s="8"/>
      <c r="M942" s="8"/>
      <c r="N942" s="8"/>
      <c r="O942" s="8"/>
      <c r="P942" s="8"/>
      <c r="Q942" s="8"/>
      <c r="R942" s="8"/>
      <c r="S942" s="8"/>
      <c r="T942" s="8"/>
      <c r="U942" s="8"/>
      <c r="V942" s="8"/>
      <c r="W942" s="8"/>
      <c r="X942" s="8"/>
      <c r="Y942" s="85"/>
      <c r="Z942" s="8"/>
      <c r="AA942" s="59"/>
      <c r="AC942" s="8"/>
    </row>
  </sheetData>
  <autoFilter ref="A4:AD787">
    <filterColumn colId="25">
      <filters>
        <filter val="deSKTOP"/>
        <filter val="Laptop"/>
        <filter val="OK"/>
        <filter val="printer"/>
        <filter val="X"/>
      </filters>
    </filterColumn>
  </autoFilter>
  <mergeCells count="1">
    <mergeCell ref="H3:W3"/>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A928"/>
  <sheetViews>
    <sheetView workbookViewId="0">
      <pane xSplit="4" ySplit="4" topLeftCell="E5" activePane="bottomRight" state="frozen"/>
      <selection pane="topRight" activeCell="E1" sqref="E1"/>
      <selection pane="bottomLeft" activeCell="A5" sqref="A5"/>
      <selection pane="bottomRight" activeCell="E5" sqref="E5"/>
    </sheetView>
  </sheetViews>
  <sheetFormatPr defaultColWidth="12.5703125" defaultRowHeight="15.75" customHeight="1"/>
  <cols>
    <col min="1" max="1" width="3.5703125" customWidth="1"/>
    <col min="2" max="2" width="63" customWidth="1"/>
    <col min="8" max="23" width="5.42578125" customWidth="1"/>
    <col min="24" max="24" width="15.140625" customWidth="1"/>
    <col min="26" max="27" width="16.85546875" customWidth="1"/>
  </cols>
  <sheetData>
    <row r="1" spans="1:27" ht="12.75">
      <c r="E1" s="74"/>
      <c r="F1" s="74"/>
    </row>
    <row r="2" spans="1:27" ht="12.75">
      <c r="A2" s="345"/>
      <c r="B2" s="331">
        <f>SUBTOTAL(3,B5:B928)</f>
        <v>748</v>
      </c>
      <c r="C2" s="345"/>
      <c r="D2" s="345"/>
      <c r="E2" s="331"/>
      <c r="F2" s="331"/>
      <c r="G2" s="345"/>
      <c r="H2" s="345"/>
      <c r="I2" s="345"/>
      <c r="J2" s="345"/>
      <c r="K2" s="345"/>
      <c r="L2" s="345"/>
      <c r="M2" s="345"/>
      <c r="N2" s="345"/>
      <c r="O2" s="345"/>
      <c r="P2" s="345"/>
      <c r="Q2" s="345"/>
      <c r="R2" s="345"/>
      <c r="S2" s="345"/>
      <c r="T2" s="345"/>
      <c r="U2" s="345"/>
      <c r="V2" s="345"/>
      <c r="W2" s="345"/>
      <c r="X2" s="331">
        <f>SUBTOTAL(3,X5:X928)</f>
        <v>748</v>
      </c>
      <c r="Y2" s="345"/>
      <c r="Z2" s="331">
        <f ca="1">SUBTOTAL(3,Z5:Z928)</f>
        <v>65</v>
      </c>
    </row>
    <row r="3" spans="1:27" ht="38.25">
      <c r="A3" s="472" t="s">
        <v>320</v>
      </c>
      <c r="B3" s="473" t="s">
        <v>321</v>
      </c>
      <c r="C3" s="472" t="s">
        <v>85</v>
      </c>
      <c r="D3" s="472" t="s">
        <v>92</v>
      </c>
      <c r="E3" s="472" t="s">
        <v>93</v>
      </c>
      <c r="F3" s="472" t="s">
        <v>435</v>
      </c>
      <c r="G3" s="472" t="s">
        <v>323</v>
      </c>
      <c r="H3" s="1480" t="s">
        <v>324</v>
      </c>
      <c r="I3" s="1479"/>
      <c r="J3" s="1479"/>
      <c r="K3" s="1479"/>
      <c r="L3" s="1479"/>
      <c r="M3" s="1479"/>
      <c r="N3" s="1479"/>
      <c r="O3" s="1479"/>
      <c r="P3" s="1479"/>
      <c r="Q3" s="1479"/>
      <c r="R3" s="1479"/>
      <c r="S3" s="1479"/>
      <c r="T3" s="1479"/>
      <c r="U3" s="1479"/>
      <c r="V3" s="1479"/>
      <c r="W3" s="1438"/>
      <c r="X3" s="331"/>
      <c r="Y3" s="474"/>
      <c r="AA3" s="74"/>
    </row>
    <row r="4" spans="1:27" ht="33.75" customHeight="1">
      <c r="A4" s="475"/>
      <c r="B4" s="476"/>
      <c r="C4" s="475"/>
      <c r="D4" s="475"/>
      <c r="E4" s="475"/>
      <c r="F4" s="475"/>
      <c r="G4" s="475"/>
      <c r="H4" s="477" t="s">
        <v>436</v>
      </c>
      <c r="I4" s="477" t="s">
        <v>326</v>
      </c>
      <c r="J4" s="477" t="s">
        <v>327</v>
      </c>
      <c r="K4" s="477" t="s">
        <v>328</v>
      </c>
      <c r="L4" s="477" t="s">
        <v>437</v>
      </c>
      <c r="M4" s="477" t="s">
        <v>330</v>
      </c>
      <c r="N4" s="477" t="s">
        <v>331</v>
      </c>
      <c r="O4" s="477" t="s">
        <v>438</v>
      </c>
      <c r="P4" s="477" t="s">
        <v>439</v>
      </c>
      <c r="Q4" s="477" t="s">
        <v>334</v>
      </c>
      <c r="R4" s="477" t="s">
        <v>335</v>
      </c>
      <c r="S4" s="477" t="s">
        <v>336</v>
      </c>
      <c r="T4" s="477" t="s">
        <v>440</v>
      </c>
      <c r="U4" s="477" t="s">
        <v>338</v>
      </c>
      <c r="V4" s="477" t="s">
        <v>339</v>
      </c>
      <c r="W4" s="477" t="s">
        <v>340</v>
      </c>
      <c r="X4" s="478" t="s">
        <v>354</v>
      </c>
      <c r="Y4" s="478" t="s">
        <v>441</v>
      </c>
      <c r="Z4" s="345"/>
    </row>
    <row r="5" spans="1:27" ht="12.75">
      <c r="A5" s="479">
        <v>1</v>
      </c>
      <c r="B5" s="480" t="s">
        <v>234</v>
      </c>
      <c r="C5" s="481">
        <v>3</v>
      </c>
      <c r="D5" s="482" t="s">
        <v>103</v>
      </c>
      <c r="E5" s="483">
        <v>480</v>
      </c>
      <c r="F5" s="484">
        <v>1440</v>
      </c>
      <c r="G5" s="485" t="s">
        <v>342</v>
      </c>
      <c r="H5" s="485">
        <v>3</v>
      </c>
      <c r="I5" s="481">
        <v>3</v>
      </c>
      <c r="J5" s="486"/>
      <c r="K5" s="486"/>
      <c r="L5" s="479">
        <v>0</v>
      </c>
      <c r="M5" s="481"/>
      <c r="N5" s="486"/>
      <c r="O5" s="486"/>
      <c r="P5" s="479">
        <v>0</v>
      </c>
      <c r="Q5" s="481"/>
      <c r="R5" s="486"/>
      <c r="S5" s="486"/>
      <c r="T5" s="479">
        <v>0</v>
      </c>
      <c r="U5" s="485"/>
      <c r="V5" s="485"/>
      <c r="W5" s="485"/>
      <c r="X5" s="474" t="s">
        <v>2945</v>
      </c>
      <c r="Y5" s="474" t="s">
        <v>2946</v>
      </c>
      <c r="Z5" s="345" t="str">
        <f ca="1">IFERROR(__xludf.DUMMYFUNCTION("sort(UNIQUE(X5:X928))"),"Accounting ")</f>
        <v xml:space="preserve">Accounting </v>
      </c>
    </row>
    <row r="6" spans="1:27" ht="12.75">
      <c r="A6" s="482">
        <v>2</v>
      </c>
      <c r="B6" s="487" t="s">
        <v>239</v>
      </c>
      <c r="C6" s="481">
        <v>3</v>
      </c>
      <c r="D6" s="482" t="s">
        <v>103</v>
      </c>
      <c r="E6" s="483">
        <v>380</v>
      </c>
      <c r="F6" s="488">
        <v>1140</v>
      </c>
      <c r="G6" s="483" t="s">
        <v>342</v>
      </c>
      <c r="H6" s="483">
        <v>3</v>
      </c>
      <c r="I6" s="481">
        <v>3</v>
      </c>
      <c r="J6" s="486"/>
      <c r="K6" s="486"/>
      <c r="L6" s="482">
        <v>0</v>
      </c>
      <c r="M6" s="481"/>
      <c r="N6" s="486"/>
      <c r="O6" s="486"/>
      <c r="P6" s="482">
        <v>0</v>
      </c>
      <c r="Q6" s="481"/>
      <c r="R6" s="486"/>
      <c r="S6" s="486"/>
      <c r="T6" s="482">
        <v>0</v>
      </c>
      <c r="U6" s="483"/>
      <c r="V6" s="483"/>
      <c r="W6" s="483"/>
      <c r="X6" s="474" t="s">
        <v>2945</v>
      </c>
      <c r="Y6" s="474" t="s">
        <v>2946</v>
      </c>
      <c r="Z6" s="345" t="str">
        <f ca="1">IFERROR(__xludf.DUMMYFUNCTION("""COMPUTED_VALUE"""),"ANIMAL BITE")</f>
        <v>ANIMAL BITE</v>
      </c>
    </row>
    <row r="7" spans="1:27" ht="12.75">
      <c r="A7" s="482">
        <v>3</v>
      </c>
      <c r="B7" s="487" t="s">
        <v>2947</v>
      </c>
      <c r="C7" s="481">
        <v>3</v>
      </c>
      <c r="D7" s="482" t="s">
        <v>466</v>
      </c>
      <c r="E7" s="488">
        <v>6800</v>
      </c>
      <c r="F7" s="488">
        <v>20400</v>
      </c>
      <c r="G7" s="483" t="s">
        <v>342</v>
      </c>
      <c r="H7" s="483">
        <v>3</v>
      </c>
      <c r="I7" s="481">
        <v>3</v>
      </c>
      <c r="J7" s="486"/>
      <c r="K7" s="486"/>
      <c r="L7" s="482">
        <v>0</v>
      </c>
      <c r="M7" s="481"/>
      <c r="N7" s="486"/>
      <c r="O7" s="486"/>
      <c r="P7" s="482">
        <v>0</v>
      </c>
      <c r="Q7" s="481"/>
      <c r="R7" s="486"/>
      <c r="S7" s="486"/>
      <c r="T7" s="482">
        <v>0</v>
      </c>
      <c r="U7" s="483"/>
      <c r="V7" s="483"/>
      <c r="W7" s="483"/>
      <c r="X7" s="474" t="s">
        <v>2945</v>
      </c>
      <c r="Y7" s="474"/>
      <c r="Z7" s="345" t="str">
        <f ca="1">IFERROR(__xludf.DUMMYFUNCTION("""COMPUTED_VALUE"""),"BILLING AND CLAIMS SECTION")</f>
        <v>BILLING AND CLAIMS SECTION</v>
      </c>
    </row>
    <row r="8" spans="1:27" ht="12.75">
      <c r="A8" s="482">
        <v>5</v>
      </c>
      <c r="B8" s="487" t="s">
        <v>568</v>
      </c>
      <c r="C8" s="481">
        <v>3</v>
      </c>
      <c r="D8" s="482" t="s">
        <v>103</v>
      </c>
      <c r="E8" s="488">
        <v>3500</v>
      </c>
      <c r="F8" s="488">
        <v>10500</v>
      </c>
      <c r="G8" s="483" t="s">
        <v>342</v>
      </c>
      <c r="H8" s="483">
        <v>0</v>
      </c>
      <c r="I8" s="481"/>
      <c r="J8" s="486"/>
      <c r="K8" s="486"/>
      <c r="L8" s="482">
        <v>0</v>
      </c>
      <c r="M8" s="481"/>
      <c r="N8" s="486"/>
      <c r="O8" s="486"/>
      <c r="P8" s="482">
        <v>0</v>
      </c>
      <c r="Q8" s="481"/>
      <c r="R8" s="486"/>
      <c r="S8" s="486"/>
      <c r="T8" s="482">
        <v>3</v>
      </c>
      <c r="U8" s="483">
        <v>3</v>
      </c>
      <c r="V8" s="483"/>
      <c r="W8" s="483"/>
      <c r="X8" s="474" t="s">
        <v>2945</v>
      </c>
      <c r="Y8" s="474"/>
      <c r="Z8" s="345" t="str">
        <f ca="1">IFERROR(__xludf.DUMMYFUNCTION("""COMPUTED_VALUE"""),"BLOODBANK")</f>
        <v>BLOODBANK</v>
      </c>
    </row>
    <row r="9" spans="1:27" ht="12.75">
      <c r="A9" s="482">
        <v>6</v>
      </c>
      <c r="B9" s="487" t="s">
        <v>623</v>
      </c>
      <c r="C9" s="481">
        <v>1</v>
      </c>
      <c r="D9" s="482" t="s">
        <v>103</v>
      </c>
      <c r="E9" s="488">
        <v>3000</v>
      </c>
      <c r="F9" s="488">
        <v>3000</v>
      </c>
      <c r="G9" s="483" t="s">
        <v>342</v>
      </c>
      <c r="H9" s="483">
        <v>1</v>
      </c>
      <c r="I9" s="481">
        <v>1</v>
      </c>
      <c r="J9" s="486"/>
      <c r="K9" s="486"/>
      <c r="L9" s="482">
        <v>0</v>
      </c>
      <c r="M9" s="481"/>
      <c r="N9" s="486"/>
      <c r="O9" s="486"/>
      <c r="P9" s="482">
        <v>0</v>
      </c>
      <c r="Q9" s="481"/>
      <c r="R9" s="486"/>
      <c r="S9" s="486"/>
      <c r="T9" s="482">
        <v>0</v>
      </c>
      <c r="U9" s="483"/>
      <c r="V9" s="483"/>
      <c r="W9" s="483"/>
      <c r="X9" s="474" t="s">
        <v>2945</v>
      </c>
      <c r="Y9" s="474"/>
      <c r="Z9" s="345" t="str">
        <f ca="1">IFERROR(__xludf.DUMMYFUNCTION("""COMPUTED_VALUE"""),"BUDGET")</f>
        <v>BUDGET</v>
      </c>
    </row>
    <row r="10" spans="1:27" ht="12.75">
      <c r="A10" s="482">
        <v>7</v>
      </c>
      <c r="B10" s="487" t="s">
        <v>492</v>
      </c>
      <c r="C10" s="481">
        <v>1</v>
      </c>
      <c r="D10" s="482" t="s">
        <v>103</v>
      </c>
      <c r="E10" s="488">
        <v>3000</v>
      </c>
      <c r="F10" s="488">
        <v>3000</v>
      </c>
      <c r="G10" s="483" t="s">
        <v>342</v>
      </c>
      <c r="H10" s="483">
        <v>1</v>
      </c>
      <c r="I10" s="481">
        <v>1</v>
      </c>
      <c r="J10" s="486"/>
      <c r="K10" s="486"/>
      <c r="L10" s="482">
        <v>0</v>
      </c>
      <c r="M10" s="481"/>
      <c r="N10" s="486"/>
      <c r="O10" s="486"/>
      <c r="P10" s="482">
        <v>0</v>
      </c>
      <c r="Q10" s="481"/>
      <c r="R10" s="486"/>
      <c r="S10" s="486"/>
      <c r="T10" s="482">
        <v>0</v>
      </c>
      <c r="U10" s="483"/>
      <c r="V10" s="483"/>
      <c r="W10" s="483"/>
      <c r="X10" s="474" t="s">
        <v>2945</v>
      </c>
      <c r="Y10" s="474"/>
      <c r="Z10" s="345" t="str">
        <f ca="1">IFERROR(__xludf.DUMMYFUNCTION("""COMPUTED_VALUE"""),"CMPS")</f>
        <v>CMPS</v>
      </c>
    </row>
    <row r="11" spans="1:27" ht="12.75">
      <c r="A11" s="482">
        <v>8</v>
      </c>
      <c r="B11" s="487" t="s">
        <v>624</v>
      </c>
      <c r="C11" s="481">
        <v>1</v>
      </c>
      <c r="D11" s="482" t="s">
        <v>466</v>
      </c>
      <c r="E11" s="488">
        <v>46800</v>
      </c>
      <c r="F11" s="488">
        <v>46800</v>
      </c>
      <c r="G11" s="483" t="s">
        <v>2949</v>
      </c>
      <c r="H11" s="483">
        <v>1</v>
      </c>
      <c r="I11" s="481">
        <v>1</v>
      </c>
      <c r="J11" s="486"/>
      <c r="K11" s="486"/>
      <c r="L11" s="482">
        <v>0</v>
      </c>
      <c r="M11" s="481"/>
      <c r="N11" s="486"/>
      <c r="O11" s="486"/>
      <c r="P11" s="482">
        <v>0</v>
      </c>
      <c r="Q11" s="481"/>
      <c r="R11" s="486"/>
      <c r="S11" s="486"/>
      <c r="T11" s="482">
        <v>0</v>
      </c>
      <c r="U11" s="483"/>
      <c r="V11" s="483"/>
      <c r="W11" s="483"/>
      <c r="X11" s="474" t="s">
        <v>2945</v>
      </c>
      <c r="Y11" s="474"/>
      <c r="Z11" s="345" t="str">
        <f ca="1">IFERROR(__xludf.DUMMYFUNCTION("""COMPUTED_VALUE"""),"CNO")</f>
        <v>CNO</v>
      </c>
    </row>
    <row r="12" spans="1:27" ht="12.75">
      <c r="A12" s="479">
        <v>9</v>
      </c>
      <c r="B12" s="480" t="s">
        <v>720</v>
      </c>
      <c r="C12" s="479">
        <v>12</v>
      </c>
      <c r="D12" s="485" t="s">
        <v>103</v>
      </c>
      <c r="E12" s="485">
        <v>320</v>
      </c>
      <c r="F12" s="489">
        <v>3840</v>
      </c>
      <c r="G12" s="483" t="s">
        <v>342</v>
      </c>
      <c r="H12" s="485">
        <v>3</v>
      </c>
      <c r="I12" s="485">
        <v>1</v>
      </c>
      <c r="J12" s="485">
        <v>1</v>
      </c>
      <c r="K12" s="485">
        <v>1</v>
      </c>
      <c r="L12" s="485">
        <v>3</v>
      </c>
      <c r="M12" s="485">
        <v>1</v>
      </c>
      <c r="N12" s="485">
        <v>1</v>
      </c>
      <c r="O12" s="485">
        <v>1</v>
      </c>
      <c r="P12" s="485">
        <v>3</v>
      </c>
      <c r="Q12" s="485">
        <v>1</v>
      </c>
      <c r="R12" s="485">
        <v>1</v>
      </c>
      <c r="S12" s="485">
        <v>1</v>
      </c>
      <c r="T12" s="485">
        <v>3</v>
      </c>
      <c r="U12" s="485">
        <v>1</v>
      </c>
      <c r="V12" s="485">
        <v>1</v>
      </c>
      <c r="W12" s="479">
        <v>1</v>
      </c>
      <c r="X12" s="474" t="s">
        <v>2945</v>
      </c>
      <c r="Y12" s="474"/>
      <c r="Z12" s="345" t="str">
        <f ca="1">IFERROR(__xludf.DUMMYFUNCTION("""COMPUTED_VALUE"""),"COVID ICU")</f>
        <v>COVID ICU</v>
      </c>
    </row>
    <row r="13" spans="1:27" ht="12.75">
      <c r="A13" s="482">
        <v>10</v>
      </c>
      <c r="B13" s="487" t="s">
        <v>759</v>
      </c>
      <c r="C13" s="482">
        <v>12</v>
      </c>
      <c r="D13" s="483" t="s">
        <v>103</v>
      </c>
      <c r="E13" s="483">
        <v>300</v>
      </c>
      <c r="F13" s="489">
        <v>3600</v>
      </c>
      <c r="G13" s="483" t="s">
        <v>342</v>
      </c>
      <c r="H13" s="483">
        <v>3</v>
      </c>
      <c r="I13" s="483">
        <v>1</v>
      </c>
      <c r="J13" s="483">
        <v>1</v>
      </c>
      <c r="K13" s="483">
        <v>1</v>
      </c>
      <c r="L13" s="483">
        <v>3</v>
      </c>
      <c r="M13" s="483">
        <v>1</v>
      </c>
      <c r="N13" s="483">
        <v>1</v>
      </c>
      <c r="O13" s="483">
        <v>1</v>
      </c>
      <c r="P13" s="483">
        <v>3</v>
      </c>
      <c r="Q13" s="483">
        <v>1</v>
      </c>
      <c r="R13" s="483">
        <v>1</v>
      </c>
      <c r="S13" s="483">
        <v>1</v>
      </c>
      <c r="T13" s="483">
        <v>3</v>
      </c>
      <c r="U13" s="483">
        <v>1</v>
      </c>
      <c r="V13" s="483">
        <v>1</v>
      </c>
      <c r="W13" s="482">
        <v>1</v>
      </c>
      <c r="X13" s="474" t="s">
        <v>2945</v>
      </c>
      <c r="Y13" s="474"/>
      <c r="Z13" s="345" t="str">
        <f ca="1">IFERROR(__xludf.DUMMYFUNCTION("""COMPUTED_VALUE"""),"CSSR")</f>
        <v>CSSR</v>
      </c>
    </row>
    <row r="14" spans="1:27" ht="12.75">
      <c r="A14" s="482">
        <v>11</v>
      </c>
      <c r="B14" s="487" t="s">
        <v>760</v>
      </c>
      <c r="C14" s="482">
        <v>12</v>
      </c>
      <c r="D14" s="483" t="s">
        <v>103</v>
      </c>
      <c r="E14" s="483">
        <v>300</v>
      </c>
      <c r="F14" s="489">
        <v>3600</v>
      </c>
      <c r="G14" s="483" t="s">
        <v>342</v>
      </c>
      <c r="H14" s="483">
        <v>3</v>
      </c>
      <c r="I14" s="483">
        <v>1</v>
      </c>
      <c r="J14" s="483">
        <v>1</v>
      </c>
      <c r="K14" s="483">
        <v>1</v>
      </c>
      <c r="L14" s="483">
        <v>3</v>
      </c>
      <c r="M14" s="483">
        <v>1</v>
      </c>
      <c r="N14" s="483">
        <v>1</v>
      </c>
      <c r="O14" s="483">
        <v>1</v>
      </c>
      <c r="P14" s="483">
        <v>3</v>
      </c>
      <c r="Q14" s="483">
        <v>1</v>
      </c>
      <c r="R14" s="483">
        <v>1</v>
      </c>
      <c r="S14" s="483">
        <v>1</v>
      </c>
      <c r="T14" s="483">
        <v>3</v>
      </c>
      <c r="U14" s="483">
        <v>1</v>
      </c>
      <c r="V14" s="483">
        <v>1</v>
      </c>
      <c r="W14" s="482">
        <v>1</v>
      </c>
      <c r="X14" s="474" t="s">
        <v>2945</v>
      </c>
      <c r="Y14" s="474"/>
      <c r="Z14" s="345" t="str">
        <f ca="1">IFERROR(__xludf.DUMMYFUNCTION("""COMPUTED_VALUE"""),"DCC")</f>
        <v>DCC</v>
      </c>
    </row>
    <row r="15" spans="1:27" ht="12.75">
      <c r="A15" s="482">
        <v>12</v>
      </c>
      <c r="B15" s="487" t="s">
        <v>761</v>
      </c>
      <c r="C15" s="482">
        <v>12</v>
      </c>
      <c r="D15" s="483" t="s">
        <v>103</v>
      </c>
      <c r="E15" s="483">
        <v>300</v>
      </c>
      <c r="F15" s="489">
        <v>3600</v>
      </c>
      <c r="G15" s="483" t="s">
        <v>342</v>
      </c>
      <c r="H15" s="483">
        <v>3</v>
      </c>
      <c r="I15" s="483">
        <v>1</v>
      </c>
      <c r="J15" s="483">
        <v>1</v>
      </c>
      <c r="K15" s="483">
        <v>1</v>
      </c>
      <c r="L15" s="483">
        <v>3</v>
      </c>
      <c r="M15" s="483">
        <v>1</v>
      </c>
      <c r="N15" s="483">
        <v>1</v>
      </c>
      <c r="O15" s="483">
        <v>1</v>
      </c>
      <c r="P15" s="483">
        <v>3</v>
      </c>
      <c r="Q15" s="483">
        <v>1</v>
      </c>
      <c r="R15" s="483">
        <v>1</v>
      </c>
      <c r="S15" s="483">
        <v>1</v>
      </c>
      <c r="T15" s="483">
        <v>3</v>
      </c>
      <c r="U15" s="483">
        <v>1</v>
      </c>
      <c r="V15" s="483">
        <v>1</v>
      </c>
      <c r="W15" s="482">
        <v>1</v>
      </c>
      <c r="X15" s="474" t="s">
        <v>2945</v>
      </c>
      <c r="Y15" s="474"/>
      <c r="Z15" s="345" t="str">
        <f ca="1">IFERROR(__xludf.DUMMYFUNCTION("""COMPUTED_VALUE"""),"DENTAL")</f>
        <v>DENTAL</v>
      </c>
    </row>
    <row r="16" spans="1:27" ht="12.75">
      <c r="A16" s="482">
        <v>13</v>
      </c>
      <c r="B16" s="487" t="s">
        <v>547</v>
      </c>
      <c r="C16" s="482">
        <v>48</v>
      </c>
      <c r="D16" s="483" t="s">
        <v>103</v>
      </c>
      <c r="E16" s="483">
        <v>380</v>
      </c>
      <c r="F16" s="489">
        <v>18240</v>
      </c>
      <c r="G16" s="483" t="s">
        <v>342</v>
      </c>
      <c r="H16" s="483">
        <v>12</v>
      </c>
      <c r="I16" s="483">
        <v>4</v>
      </c>
      <c r="J16" s="483">
        <v>4</v>
      </c>
      <c r="K16" s="483">
        <v>4</v>
      </c>
      <c r="L16" s="483">
        <v>12</v>
      </c>
      <c r="M16" s="483">
        <v>4</v>
      </c>
      <c r="N16" s="483">
        <v>4</v>
      </c>
      <c r="O16" s="483">
        <v>4</v>
      </c>
      <c r="P16" s="483">
        <v>12</v>
      </c>
      <c r="Q16" s="483">
        <v>4</v>
      </c>
      <c r="R16" s="483">
        <v>4</v>
      </c>
      <c r="S16" s="483">
        <v>4</v>
      </c>
      <c r="T16" s="483">
        <v>12</v>
      </c>
      <c r="U16" s="483">
        <v>4</v>
      </c>
      <c r="V16" s="483">
        <v>4</v>
      </c>
      <c r="W16" s="482">
        <v>4</v>
      </c>
      <c r="X16" s="474" t="s">
        <v>2945</v>
      </c>
      <c r="Y16" s="474"/>
      <c r="Z16" s="345" t="str">
        <f ca="1">IFERROR(__xludf.DUMMYFUNCTION("""COMPUTED_VALUE"""),"DEPARTMEMT OF FAMILY AND COMMUNITY MEDICINE / EMPLOYEES' CLINIC / SDN")</f>
        <v>DEPARTMEMT OF FAMILY AND COMMUNITY MEDICINE / EMPLOYEES' CLINIC / SDN</v>
      </c>
    </row>
    <row r="17" spans="1:26" ht="12.75">
      <c r="A17" s="482">
        <v>14</v>
      </c>
      <c r="B17" s="487" t="s">
        <v>548</v>
      </c>
      <c r="C17" s="482">
        <v>8</v>
      </c>
      <c r="D17" s="483" t="s">
        <v>103</v>
      </c>
      <c r="E17" s="483">
        <v>380</v>
      </c>
      <c r="F17" s="489">
        <v>3040</v>
      </c>
      <c r="G17" s="483" t="s">
        <v>342</v>
      </c>
      <c r="H17" s="483">
        <v>4</v>
      </c>
      <c r="I17" s="483">
        <v>4</v>
      </c>
      <c r="J17" s="490"/>
      <c r="K17" s="490"/>
      <c r="L17" s="483">
        <v>0</v>
      </c>
      <c r="M17" s="490"/>
      <c r="N17" s="490"/>
      <c r="O17" s="490"/>
      <c r="P17" s="483">
        <v>4</v>
      </c>
      <c r="Q17" s="483">
        <v>4</v>
      </c>
      <c r="R17" s="490"/>
      <c r="S17" s="490"/>
      <c r="T17" s="483">
        <v>0</v>
      </c>
      <c r="U17" s="490"/>
      <c r="V17" s="490"/>
      <c r="W17" s="490"/>
      <c r="X17" s="474" t="s">
        <v>2945</v>
      </c>
      <c r="Y17" s="474"/>
      <c r="Z17" s="345" t="str">
        <f ca="1">IFERROR(__xludf.DUMMYFUNCTION("""COMPUTED_VALUE"""),"DEPARTMENT OF ANESTHESIOLOGY ")</f>
        <v xml:space="preserve">DEPARTMENT OF ANESTHESIOLOGY </v>
      </c>
    </row>
    <row r="18" spans="1:26" ht="12.75">
      <c r="A18" s="482">
        <v>15</v>
      </c>
      <c r="B18" s="487" t="s">
        <v>549</v>
      </c>
      <c r="C18" s="482">
        <v>8</v>
      </c>
      <c r="D18" s="483" t="s">
        <v>103</v>
      </c>
      <c r="E18" s="483">
        <v>380</v>
      </c>
      <c r="F18" s="489">
        <v>3040</v>
      </c>
      <c r="G18" s="483" t="s">
        <v>342</v>
      </c>
      <c r="H18" s="483">
        <v>4</v>
      </c>
      <c r="I18" s="483">
        <v>4</v>
      </c>
      <c r="J18" s="490"/>
      <c r="K18" s="490"/>
      <c r="L18" s="483">
        <v>0</v>
      </c>
      <c r="M18" s="490"/>
      <c r="N18" s="490"/>
      <c r="O18" s="490"/>
      <c r="P18" s="483">
        <v>4</v>
      </c>
      <c r="Q18" s="483">
        <v>4</v>
      </c>
      <c r="R18" s="490"/>
      <c r="S18" s="490"/>
      <c r="T18" s="483">
        <v>0</v>
      </c>
      <c r="U18" s="490"/>
      <c r="V18" s="490"/>
      <c r="W18" s="490"/>
      <c r="X18" s="474" t="s">
        <v>2945</v>
      </c>
      <c r="Y18" s="474"/>
      <c r="Z18" s="345" t="str">
        <f ca="1">IFERROR(__xludf.DUMMYFUNCTION("""COMPUTED_VALUE"""),"DEPARTMENT OF EMERGENCY MEDICINE")</f>
        <v>DEPARTMENT OF EMERGENCY MEDICINE</v>
      </c>
    </row>
    <row r="19" spans="1:26" ht="12.75">
      <c r="A19" s="482">
        <v>16</v>
      </c>
      <c r="B19" s="487" t="s">
        <v>550</v>
      </c>
      <c r="C19" s="482">
        <v>8</v>
      </c>
      <c r="D19" s="483" t="s">
        <v>103</v>
      </c>
      <c r="E19" s="483">
        <v>380</v>
      </c>
      <c r="F19" s="489">
        <v>3040</v>
      </c>
      <c r="G19" s="483" t="s">
        <v>342</v>
      </c>
      <c r="H19" s="483">
        <v>4</v>
      </c>
      <c r="I19" s="483">
        <v>4</v>
      </c>
      <c r="J19" s="490"/>
      <c r="K19" s="490"/>
      <c r="L19" s="483">
        <v>0</v>
      </c>
      <c r="M19" s="490"/>
      <c r="N19" s="490"/>
      <c r="O19" s="490"/>
      <c r="P19" s="483">
        <v>4</v>
      </c>
      <c r="Q19" s="483">
        <v>4</v>
      </c>
      <c r="R19" s="490"/>
      <c r="S19" s="490"/>
      <c r="T19" s="483">
        <v>0</v>
      </c>
      <c r="U19" s="490"/>
      <c r="V19" s="490"/>
      <c r="W19" s="490"/>
      <c r="X19" s="474" t="s">
        <v>2945</v>
      </c>
      <c r="Y19" s="474"/>
      <c r="Z19" s="345" t="str">
        <f ca="1">IFERROR(__xludf.DUMMYFUNCTION("""COMPUTED_VALUE"""),"DEPARTMENT OF OBSTETRICS AND GYNECOLOGY")</f>
        <v>DEPARTMENT OF OBSTETRICS AND GYNECOLOGY</v>
      </c>
    </row>
    <row r="20" spans="1:26" ht="12.75">
      <c r="A20" s="482">
        <v>17</v>
      </c>
      <c r="B20" s="487" t="s">
        <v>762</v>
      </c>
      <c r="C20" s="482">
        <v>8</v>
      </c>
      <c r="D20" s="483" t="s">
        <v>103</v>
      </c>
      <c r="E20" s="488">
        <v>1400</v>
      </c>
      <c r="F20" s="489">
        <v>11200</v>
      </c>
      <c r="G20" s="483" t="s">
        <v>342</v>
      </c>
      <c r="H20" s="483">
        <v>4</v>
      </c>
      <c r="I20" s="483">
        <v>4</v>
      </c>
      <c r="J20" s="490"/>
      <c r="K20" s="490"/>
      <c r="L20" s="483">
        <v>0</v>
      </c>
      <c r="M20" s="490"/>
      <c r="N20" s="490"/>
      <c r="O20" s="490"/>
      <c r="P20" s="483">
        <v>4</v>
      </c>
      <c r="Q20" s="483">
        <v>4</v>
      </c>
      <c r="R20" s="490"/>
      <c r="S20" s="490"/>
      <c r="T20" s="483">
        <v>0</v>
      </c>
      <c r="U20" s="490"/>
      <c r="V20" s="490"/>
      <c r="W20" s="490"/>
      <c r="X20" s="474" t="s">
        <v>2945</v>
      </c>
      <c r="Y20" s="474"/>
      <c r="Z20" s="345" t="str">
        <f ca="1">IFERROR(__xludf.DUMMYFUNCTION("""COMPUTED_VALUE"""),"DEPARTMENT OF OTOLARYNGOLOGY - HEAD AND NECK SURGERY")</f>
        <v>DEPARTMENT OF OTOLARYNGOLOGY - HEAD AND NECK SURGERY</v>
      </c>
    </row>
    <row r="21" spans="1:26" ht="12.75">
      <c r="A21" s="482">
        <v>18</v>
      </c>
      <c r="B21" s="487" t="s">
        <v>763</v>
      </c>
      <c r="C21" s="482">
        <v>8</v>
      </c>
      <c r="D21" s="483" t="s">
        <v>103</v>
      </c>
      <c r="E21" s="488">
        <v>1800</v>
      </c>
      <c r="F21" s="489">
        <v>14400</v>
      </c>
      <c r="G21" s="483" t="s">
        <v>342</v>
      </c>
      <c r="H21" s="483">
        <v>4</v>
      </c>
      <c r="I21" s="483">
        <v>4</v>
      </c>
      <c r="J21" s="490"/>
      <c r="K21" s="490"/>
      <c r="L21" s="483">
        <v>0</v>
      </c>
      <c r="M21" s="490"/>
      <c r="N21" s="490"/>
      <c r="O21" s="490"/>
      <c r="P21" s="483">
        <v>4</v>
      </c>
      <c r="Q21" s="483">
        <v>4</v>
      </c>
      <c r="R21" s="490"/>
      <c r="S21" s="490"/>
      <c r="T21" s="483">
        <v>0</v>
      </c>
      <c r="U21" s="490"/>
      <c r="V21" s="490"/>
      <c r="W21" s="490"/>
      <c r="X21" s="474" t="s">
        <v>2945</v>
      </c>
      <c r="Y21" s="474"/>
      <c r="Z21" s="345" t="str">
        <f ca="1">IFERROR(__xludf.DUMMYFUNCTION("""COMPUTED_VALUE"""),"DEPARTMENT OF PEDIATRICS")</f>
        <v>DEPARTMENT OF PEDIATRICS</v>
      </c>
    </row>
    <row r="22" spans="1:26" ht="12.75">
      <c r="A22" s="482">
        <v>19</v>
      </c>
      <c r="B22" s="487" t="s">
        <v>3168</v>
      </c>
      <c r="C22" s="482">
        <v>1</v>
      </c>
      <c r="D22" s="483" t="s">
        <v>103</v>
      </c>
      <c r="E22" s="488">
        <v>14500</v>
      </c>
      <c r="F22" s="489">
        <v>14500</v>
      </c>
      <c r="G22" s="483" t="s">
        <v>342</v>
      </c>
      <c r="H22" s="483">
        <v>1</v>
      </c>
      <c r="I22" s="483">
        <v>1</v>
      </c>
      <c r="J22" s="490"/>
      <c r="K22" s="490"/>
      <c r="L22" s="483">
        <v>0</v>
      </c>
      <c r="M22" s="490">
        <v>0</v>
      </c>
      <c r="N22" s="490"/>
      <c r="O22" s="490"/>
      <c r="P22" s="483">
        <v>0</v>
      </c>
      <c r="Q22" s="490">
        <v>0</v>
      </c>
      <c r="R22" s="490"/>
      <c r="S22" s="490"/>
      <c r="T22" s="483">
        <v>0</v>
      </c>
      <c r="U22" s="490">
        <v>0</v>
      </c>
      <c r="V22" s="490"/>
      <c r="W22" s="490"/>
      <c r="X22" s="474" t="s">
        <v>2945</v>
      </c>
      <c r="Y22" s="474"/>
      <c r="Z22" s="345" t="str">
        <f ca="1">IFERROR(__xludf.DUMMYFUNCTION("""COMPUTED_VALUE"""),"DEPARTMENT OF SURGERY")</f>
        <v>DEPARTMENT OF SURGERY</v>
      </c>
    </row>
    <row r="23" spans="1:26" ht="12.75">
      <c r="A23" s="482">
        <v>20</v>
      </c>
      <c r="B23" s="487" t="s">
        <v>2953</v>
      </c>
      <c r="C23" s="482">
        <v>24</v>
      </c>
      <c r="D23" s="483" t="s">
        <v>103</v>
      </c>
      <c r="E23" s="488">
        <v>8800</v>
      </c>
      <c r="F23" s="489">
        <v>211200</v>
      </c>
      <c r="G23" s="483" t="s">
        <v>342</v>
      </c>
      <c r="H23" s="483">
        <v>6</v>
      </c>
      <c r="I23" s="483">
        <v>2</v>
      </c>
      <c r="J23" s="483">
        <v>2</v>
      </c>
      <c r="K23" s="483">
        <v>2</v>
      </c>
      <c r="L23" s="483">
        <v>6</v>
      </c>
      <c r="M23" s="483">
        <v>2</v>
      </c>
      <c r="N23" s="483">
        <v>2</v>
      </c>
      <c r="O23" s="483">
        <v>2</v>
      </c>
      <c r="P23" s="483">
        <v>6</v>
      </c>
      <c r="Q23" s="483">
        <v>2</v>
      </c>
      <c r="R23" s="483">
        <v>2</v>
      </c>
      <c r="S23" s="483">
        <v>2</v>
      </c>
      <c r="T23" s="483">
        <v>6</v>
      </c>
      <c r="U23" s="483">
        <v>2</v>
      </c>
      <c r="V23" s="483">
        <v>2</v>
      </c>
      <c r="W23" s="482">
        <v>2</v>
      </c>
      <c r="X23" s="474" t="s">
        <v>2945</v>
      </c>
      <c r="Y23" s="474"/>
      <c r="Z23" s="345" t="str">
        <f ca="1">IFERROR(__xludf.DUMMYFUNCTION("""COMPUTED_VALUE"""),"DIETARY")</f>
        <v>DIETARY</v>
      </c>
    </row>
    <row r="24" spans="1:26" ht="12.75">
      <c r="A24" s="482">
        <v>21</v>
      </c>
      <c r="B24" s="487" t="s">
        <v>2954</v>
      </c>
      <c r="C24" s="482">
        <v>12</v>
      </c>
      <c r="D24" s="483" t="s">
        <v>103</v>
      </c>
      <c r="E24" s="488">
        <v>7410</v>
      </c>
      <c r="F24" s="489">
        <v>88920</v>
      </c>
      <c r="G24" s="483" t="s">
        <v>342</v>
      </c>
      <c r="H24" s="483">
        <v>3</v>
      </c>
      <c r="I24" s="483">
        <v>1</v>
      </c>
      <c r="J24" s="483">
        <v>1</v>
      </c>
      <c r="K24" s="483">
        <v>1</v>
      </c>
      <c r="L24" s="483">
        <v>3</v>
      </c>
      <c r="M24" s="483">
        <v>1</v>
      </c>
      <c r="N24" s="483">
        <v>1</v>
      </c>
      <c r="O24" s="483">
        <v>1</v>
      </c>
      <c r="P24" s="483">
        <v>3</v>
      </c>
      <c r="Q24" s="483">
        <v>1</v>
      </c>
      <c r="R24" s="483">
        <v>1</v>
      </c>
      <c r="S24" s="483">
        <v>1</v>
      </c>
      <c r="T24" s="483">
        <v>3</v>
      </c>
      <c r="U24" s="483">
        <v>1</v>
      </c>
      <c r="V24" s="483">
        <v>1</v>
      </c>
      <c r="W24" s="485">
        <v>1</v>
      </c>
      <c r="X24" s="474" t="s">
        <v>2945</v>
      </c>
      <c r="Y24" s="474"/>
      <c r="Z24" s="345" t="str">
        <f ca="1">IFERROR(__xludf.DUMMYFUNCTION("""COMPUTED_VALUE"""),"DMI")</f>
        <v>DMI</v>
      </c>
    </row>
    <row r="25" spans="1:26" ht="12.75">
      <c r="A25" s="482">
        <v>22</v>
      </c>
      <c r="B25" s="487" t="s">
        <v>2955</v>
      </c>
      <c r="C25" s="482">
        <v>12</v>
      </c>
      <c r="D25" s="483" t="s">
        <v>103</v>
      </c>
      <c r="E25" s="488">
        <v>7800</v>
      </c>
      <c r="F25" s="489">
        <v>93600</v>
      </c>
      <c r="G25" s="483" t="s">
        <v>342</v>
      </c>
      <c r="H25" s="483">
        <v>3</v>
      </c>
      <c r="I25" s="483">
        <v>1</v>
      </c>
      <c r="J25" s="483">
        <v>1</v>
      </c>
      <c r="K25" s="483">
        <v>1</v>
      </c>
      <c r="L25" s="483">
        <v>3</v>
      </c>
      <c r="M25" s="483">
        <v>1</v>
      </c>
      <c r="N25" s="483">
        <v>1</v>
      </c>
      <c r="O25" s="483">
        <v>1</v>
      </c>
      <c r="P25" s="483">
        <v>3</v>
      </c>
      <c r="Q25" s="483">
        <v>1</v>
      </c>
      <c r="R25" s="483">
        <v>1</v>
      </c>
      <c r="S25" s="483">
        <v>1</v>
      </c>
      <c r="T25" s="483">
        <v>3</v>
      </c>
      <c r="U25" s="483">
        <v>1</v>
      </c>
      <c r="V25" s="483">
        <v>1</v>
      </c>
      <c r="W25" s="479">
        <v>1</v>
      </c>
      <c r="X25" s="474" t="s">
        <v>2945</v>
      </c>
      <c r="Y25" s="474"/>
      <c r="Z25" s="345" t="str">
        <f ca="1">IFERROR(__xludf.DUMMYFUNCTION("""COMPUTED_VALUE"""),"DPL")</f>
        <v>DPL</v>
      </c>
    </row>
    <row r="26" spans="1:26" ht="12.75">
      <c r="A26" s="474"/>
      <c r="B26" s="491" t="s">
        <v>679</v>
      </c>
      <c r="C26" s="482">
        <v>1</v>
      </c>
      <c r="D26" s="485" t="s">
        <v>103</v>
      </c>
      <c r="E26" s="485">
        <v>700</v>
      </c>
      <c r="F26" s="483">
        <v>700</v>
      </c>
      <c r="G26" s="474"/>
      <c r="H26" s="479">
        <v>1</v>
      </c>
      <c r="I26" s="479">
        <v>1</v>
      </c>
      <c r="J26" s="474"/>
      <c r="K26" s="474"/>
      <c r="L26" s="479"/>
      <c r="M26" s="479"/>
      <c r="N26" s="474"/>
      <c r="O26" s="474"/>
      <c r="P26" s="479"/>
      <c r="Q26" s="479"/>
      <c r="R26" s="474"/>
      <c r="S26" s="474"/>
      <c r="T26" s="479"/>
      <c r="U26" s="479"/>
      <c r="V26" s="474"/>
      <c r="W26" s="474"/>
      <c r="X26" s="474" t="s">
        <v>179</v>
      </c>
      <c r="Y26" s="474"/>
      <c r="Z26" s="345" t="str">
        <f ca="1">IFERROR(__xludf.DUMMYFUNCTION("""COMPUTED_VALUE"""),"DR")</f>
        <v>DR</v>
      </c>
    </row>
    <row r="27" spans="1:26" ht="12.75">
      <c r="A27" s="474"/>
      <c r="B27" s="492" t="s">
        <v>2956</v>
      </c>
      <c r="C27" s="482">
        <v>1</v>
      </c>
      <c r="D27" s="483" t="s">
        <v>118</v>
      </c>
      <c r="E27" s="488">
        <v>42000</v>
      </c>
      <c r="F27" s="488">
        <v>42000</v>
      </c>
      <c r="G27" s="474"/>
      <c r="H27" s="482">
        <v>1</v>
      </c>
      <c r="I27" s="482">
        <v>1</v>
      </c>
      <c r="J27" s="474"/>
      <c r="K27" s="474"/>
      <c r="L27" s="482"/>
      <c r="M27" s="482"/>
      <c r="N27" s="474"/>
      <c r="O27" s="474"/>
      <c r="P27" s="482"/>
      <c r="Q27" s="482"/>
      <c r="R27" s="474"/>
      <c r="S27" s="474"/>
      <c r="T27" s="482"/>
      <c r="U27" s="482"/>
      <c r="V27" s="474"/>
      <c r="W27" s="474"/>
      <c r="X27" s="474" t="s">
        <v>179</v>
      </c>
      <c r="Y27" s="474"/>
      <c r="Z27" s="345" t="str">
        <f ca="1">IFERROR(__xludf.DUMMYFUNCTION("""COMPUTED_VALUE"""),"ER")</f>
        <v>ER</v>
      </c>
    </row>
    <row r="28" spans="1:26" ht="12.75">
      <c r="A28" s="474"/>
      <c r="B28" s="493" t="s">
        <v>2957</v>
      </c>
      <c r="C28" s="482">
        <v>1</v>
      </c>
      <c r="D28" s="483" t="s">
        <v>118</v>
      </c>
      <c r="E28" s="488">
        <v>40000</v>
      </c>
      <c r="F28" s="488">
        <v>40000</v>
      </c>
      <c r="G28" s="474"/>
      <c r="H28" s="482">
        <v>1</v>
      </c>
      <c r="I28" s="482">
        <v>1</v>
      </c>
      <c r="J28" s="474"/>
      <c r="K28" s="474"/>
      <c r="L28" s="482"/>
      <c r="M28" s="482"/>
      <c r="N28" s="474"/>
      <c r="O28" s="474"/>
      <c r="P28" s="482"/>
      <c r="Q28" s="482"/>
      <c r="R28" s="474"/>
      <c r="S28" s="474"/>
      <c r="T28" s="482"/>
      <c r="U28" s="482"/>
      <c r="V28" s="474"/>
      <c r="W28" s="474"/>
      <c r="X28" s="474" t="s">
        <v>179</v>
      </c>
      <c r="Y28" s="474"/>
      <c r="Z28" s="345" t="str">
        <f ca="1">IFERROR(__xludf.DUMMYFUNCTION("""COMPUTED_VALUE"""),"HDU")</f>
        <v>HDU</v>
      </c>
    </row>
    <row r="29" spans="1:26" ht="12.75">
      <c r="A29" s="474"/>
      <c r="B29" s="492" t="s">
        <v>2959</v>
      </c>
      <c r="C29" s="482">
        <v>1</v>
      </c>
      <c r="D29" s="483" t="s">
        <v>103</v>
      </c>
      <c r="E29" s="488">
        <v>2250</v>
      </c>
      <c r="F29" s="488">
        <v>2250</v>
      </c>
      <c r="G29" s="474"/>
      <c r="H29" s="482">
        <v>1</v>
      </c>
      <c r="I29" s="482">
        <v>1</v>
      </c>
      <c r="J29" s="474"/>
      <c r="K29" s="474"/>
      <c r="L29" s="482"/>
      <c r="M29" s="482"/>
      <c r="N29" s="474"/>
      <c r="O29" s="474"/>
      <c r="P29" s="482"/>
      <c r="Q29" s="482"/>
      <c r="R29" s="474"/>
      <c r="S29" s="474"/>
      <c r="T29" s="482"/>
      <c r="U29" s="482"/>
      <c r="V29" s="474"/>
      <c r="W29" s="474"/>
      <c r="X29" s="474" t="s">
        <v>179</v>
      </c>
      <c r="Y29" s="474"/>
      <c r="Z29" s="345" t="str">
        <f ca="1">IFERROR(__xludf.DUMMYFUNCTION("""COMPUTED_VALUE"""),"HEMODIALYSIS FINANCE")</f>
        <v>HEMODIALYSIS FINANCE</v>
      </c>
    </row>
    <row r="30" spans="1:26" ht="12.75">
      <c r="A30" s="474"/>
      <c r="B30" s="492" t="s">
        <v>720</v>
      </c>
      <c r="C30" s="482">
        <v>20</v>
      </c>
      <c r="D30" s="483" t="s">
        <v>103</v>
      </c>
      <c r="E30" s="483">
        <v>480</v>
      </c>
      <c r="F30" s="488">
        <v>9600</v>
      </c>
      <c r="G30" s="474"/>
      <c r="H30" s="482">
        <v>5</v>
      </c>
      <c r="I30" s="482">
        <v>5</v>
      </c>
      <c r="J30" s="474"/>
      <c r="K30" s="474"/>
      <c r="L30" s="482">
        <v>5</v>
      </c>
      <c r="M30" s="482">
        <v>5</v>
      </c>
      <c r="N30" s="474"/>
      <c r="O30" s="474"/>
      <c r="P30" s="482">
        <v>5</v>
      </c>
      <c r="Q30" s="482">
        <v>5</v>
      </c>
      <c r="R30" s="474"/>
      <c r="S30" s="474"/>
      <c r="T30" s="482">
        <v>5</v>
      </c>
      <c r="U30" s="482">
        <v>5</v>
      </c>
      <c r="V30" s="474"/>
      <c r="W30" s="474"/>
      <c r="X30" s="474" t="s">
        <v>179</v>
      </c>
      <c r="Y30" s="474"/>
      <c r="Z30" s="345" t="str">
        <f ca="1">IFERROR(__xludf.DUMMYFUNCTION("""COMPUTED_VALUE"""),"HEPO")</f>
        <v>HEPO</v>
      </c>
    </row>
    <row r="31" spans="1:26" ht="12.75">
      <c r="A31" s="474"/>
      <c r="B31" s="492" t="s">
        <v>721</v>
      </c>
      <c r="C31" s="482">
        <v>8</v>
      </c>
      <c r="D31" s="483" t="s">
        <v>103</v>
      </c>
      <c r="E31" s="483">
        <v>480</v>
      </c>
      <c r="F31" s="488">
        <v>3840</v>
      </c>
      <c r="G31" s="474"/>
      <c r="H31" s="482">
        <v>2</v>
      </c>
      <c r="I31" s="482">
        <v>2</v>
      </c>
      <c r="J31" s="474"/>
      <c r="K31" s="474"/>
      <c r="L31" s="482">
        <v>2</v>
      </c>
      <c r="M31" s="482">
        <v>2</v>
      </c>
      <c r="N31" s="474"/>
      <c r="O31" s="474"/>
      <c r="P31" s="482">
        <v>2</v>
      </c>
      <c r="Q31" s="482">
        <v>2</v>
      </c>
      <c r="R31" s="474"/>
      <c r="S31" s="474"/>
      <c r="T31" s="482">
        <v>2</v>
      </c>
      <c r="U31" s="482">
        <v>2</v>
      </c>
      <c r="V31" s="474"/>
      <c r="W31" s="474"/>
      <c r="X31" s="474" t="s">
        <v>179</v>
      </c>
      <c r="Y31" s="474"/>
      <c r="Z31" s="345" t="str">
        <f ca="1">IFERROR(__xludf.DUMMYFUNCTION("""COMPUTED_VALUE"""),"HIRM")</f>
        <v>HIRM</v>
      </c>
    </row>
    <row r="32" spans="1:26" ht="12.75">
      <c r="A32" s="474"/>
      <c r="B32" s="492" t="s">
        <v>722</v>
      </c>
      <c r="C32" s="482">
        <v>8</v>
      </c>
      <c r="D32" s="483" t="s">
        <v>103</v>
      </c>
      <c r="E32" s="483">
        <v>480</v>
      </c>
      <c r="F32" s="488">
        <v>3840</v>
      </c>
      <c r="G32" s="474"/>
      <c r="H32" s="482">
        <v>2</v>
      </c>
      <c r="I32" s="482">
        <v>2</v>
      </c>
      <c r="J32" s="474"/>
      <c r="K32" s="474"/>
      <c r="L32" s="482">
        <v>2</v>
      </c>
      <c r="M32" s="482">
        <v>2</v>
      </c>
      <c r="N32" s="474"/>
      <c r="O32" s="474"/>
      <c r="P32" s="482">
        <v>2</v>
      </c>
      <c r="Q32" s="482">
        <v>2</v>
      </c>
      <c r="R32" s="474"/>
      <c r="S32" s="474"/>
      <c r="T32" s="482">
        <v>2</v>
      </c>
      <c r="U32" s="482">
        <v>2</v>
      </c>
      <c r="V32" s="474"/>
      <c r="W32" s="474"/>
      <c r="X32" s="474" t="s">
        <v>179</v>
      </c>
      <c r="Y32" s="474"/>
      <c r="Z32" s="345" t="str">
        <f ca="1">IFERROR(__xludf.DUMMYFUNCTION("""COMPUTED_VALUE"""),"HRMO")</f>
        <v>HRMO</v>
      </c>
    </row>
    <row r="33" spans="1:26" ht="12.75">
      <c r="A33" s="474"/>
      <c r="B33" s="492" t="s">
        <v>723</v>
      </c>
      <c r="C33" s="482">
        <v>8</v>
      </c>
      <c r="D33" s="483" t="s">
        <v>103</v>
      </c>
      <c r="E33" s="483">
        <v>480</v>
      </c>
      <c r="F33" s="488">
        <v>3840</v>
      </c>
      <c r="G33" s="474"/>
      <c r="H33" s="482">
        <v>2</v>
      </c>
      <c r="I33" s="482">
        <v>2</v>
      </c>
      <c r="J33" s="474"/>
      <c r="K33" s="474"/>
      <c r="L33" s="482">
        <v>2</v>
      </c>
      <c r="M33" s="482">
        <v>2</v>
      </c>
      <c r="N33" s="474"/>
      <c r="O33" s="474"/>
      <c r="P33" s="482">
        <v>2</v>
      </c>
      <c r="Q33" s="482">
        <v>2</v>
      </c>
      <c r="R33" s="474"/>
      <c r="S33" s="474"/>
      <c r="T33" s="482">
        <v>2</v>
      </c>
      <c r="U33" s="482">
        <v>2</v>
      </c>
      <c r="V33" s="474"/>
      <c r="W33" s="474"/>
      <c r="X33" s="474" t="s">
        <v>179</v>
      </c>
      <c r="Y33" s="474"/>
      <c r="Z33" s="345" t="str">
        <f ca="1">IFERROR(__xludf.DUMMYFUNCTION("""COMPUTED_VALUE"""),"IICU")</f>
        <v>IICU</v>
      </c>
    </row>
    <row r="34" spans="1:26" ht="12.75">
      <c r="A34" s="474"/>
      <c r="B34" s="492" t="s">
        <v>1347</v>
      </c>
      <c r="C34" s="482">
        <v>2</v>
      </c>
      <c r="D34" s="483" t="s">
        <v>103</v>
      </c>
      <c r="E34" s="488">
        <v>6160</v>
      </c>
      <c r="F34" s="488">
        <v>12320</v>
      </c>
      <c r="G34" s="474"/>
      <c r="H34" s="482">
        <v>1</v>
      </c>
      <c r="I34" s="482">
        <v>1</v>
      </c>
      <c r="J34" s="474"/>
      <c r="K34" s="474"/>
      <c r="L34" s="482"/>
      <c r="M34" s="482"/>
      <c r="N34" s="474"/>
      <c r="O34" s="474"/>
      <c r="P34" s="482">
        <v>1</v>
      </c>
      <c r="Q34" s="482">
        <v>1</v>
      </c>
      <c r="R34" s="474"/>
      <c r="S34" s="474"/>
      <c r="T34" s="482"/>
      <c r="U34" s="482"/>
      <c r="V34" s="474"/>
      <c r="W34" s="474"/>
      <c r="X34" s="474" t="s">
        <v>179</v>
      </c>
      <c r="Y34" s="474"/>
      <c r="Z34" s="345" t="str">
        <f ca="1">IFERROR(__xludf.DUMMYFUNCTION("""COMPUTED_VALUE"""),"INFECTIOUS")</f>
        <v>INFECTIOUS</v>
      </c>
    </row>
    <row r="35" spans="1:26" ht="12.75">
      <c r="A35" s="474"/>
      <c r="B35" s="492" t="s">
        <v>2960</v>
      </c>
      <c r="C35" s="482">
        <v>1</v>
      </c>
      <c r="D35" s="483" t="s">
        <v>103</v>
      </c>
      <c r="E35" s="488">
        <v>45000</v>
      </c>
      <c r="F35" s="488">
        <v>45000</v>
      </c>
      <c r="G35" s="474"/>
      <c r="H35" s="482">
        <v>1</v>
      </c>
      <c r="I35" s="482">
        <v>1</v>
      </c>
      <c r="J35" s="474"/>
      <c r="K35" s="474"/>
      <c r="L35" s="482"/>
      <c r="M35" s="482"/>
      <c r="N35" s="474"/>
      <c r="O35" s="474"/>
      <c r="P35" s="482"/>
      <c r="Q35" s="482"/>
      <c r="R35" s="474"/>
      <c r="S35" s="474"/>
      <c r="T35" s="482"/>
      <c r="U35" s="482"/>
      <c r="V35" s="474"/>
      <c r="W35" s="474"/>
      <c r="X35" s="474" t="s">
        <v>179</v>
      </c>
      <c r="Y35" s="474"/>
      <c r="Z35" s="345" t="str">
        <f ca="1">IFERROR(__xludf.DUMMYFUNCTION("""COMPUTED_VALUE"""),"INTERNAL MEDICINE")</f>
        <v>INTERNAL MEDICINE</v>
      </c>
    </row>
    <row r="36" spans="1:26" ht="12.75">
      <c r="A36" s="474"/>
      <c r="B36" s="492" t="s">
        <v>2961</v>
      </c>
      <c r="C36" s="482">
        <v>1</v>
      </c>
      <c r="D36" s="483" t="s">
        <v>103</v>
      </c>
      <c r="E36" s="488">
        <v>49000</v>
      </c>
      <c r="F36" s="488">
        <v>49000</v>
      </c>
      <c r="G36" s="474"/>
      <c r="H36" s="482">
        <v>1</v>
      </c>
      <c r="I36" s="482">
        <v>1</v>
      </c>
      <c r="J36" s="474"/>
      <c r="K36" s="474"/>
      <c r="L36" s="482"/>
      <c r="M36" s="482"/>
      <c r="N36" s="474"/>
      <c r="O36" s="474"/>
      <c r="P36" s="482"/>
      <c r="Q36" s="482"/>
      <c r="R36" s="474"/>
      <c r="S36" s="474"/>
      <c r="T36" s="482"/>
      <c r="U36" s="482"/>
      <c r="V36" s="474"/>
      <c r="W36" s="474"/>
      <c r="X36" s="474" t="s">
        <v>179</v>
      </c>
      <c r="Y36" s="474"/>
      <c r="Z36" s="345" t="str">
        <f ca="1">IFERROR(__xludf.DUMMYFUNCTION("""COMPUTED_VALUE"""),"LINEN")</f>
        <v>LINEN</v>
      </c>
    </row>
    <row r="37" spans="1:26" ht="12.75">
      <c r="A37" s="474"/>
      <c r="B37" s="492" t="s">
        <v>683</v>
      </c>
      <c r="C37" s="482">
        <v>4</v>
      </c>
      <c r="D37" s="483" t="s">
        <v>103</v>
      </c>
      <c r="E37" s="488">
        <v>9000</v>
      </c>
      <c r="F37" s="488">
        <v>36000</v>
      </c>
      <c r="G37" s="474"/>
      <c r="H37" s="482">
        <v>2</v>
      </c>
      <c r="I37" s="482">
        <v>2</v>
      </c>
      <c r="J37" s="474"/>
      <c r="K37" s="474"/>
      <c r="L37" s="482">
        <v>2</v>
      </c>
      <c r="M37" s="482">
        <v>2</v>
      </c>
      <c r="N37" s="474"/>
      <c r="O37" s="474"/>
      <c r="P37" s="482"/>
      <c r="Q37" s="482"/>
      <c r="R37" s="474"/>
      <c r="S37" s="474"/>
      <c r="T37" s="482"/>
      <c r="U37" s="482"/>
      <c r="V37" s="474"/>
      <c r="W37" s="474"/>
      <c r="X37" s="474" t="s">
        <v>179</v>
      </c>
      <c r="Y37" s="474"/>
      <c r="Z37" s="345" t="str">
        <f ca="1">IFERROR(__xludf.DUMMYFUNCTION("""COMPUTED_VALUE"""),"NICU1")</f>
        <v>NICU1</v>
      </c>
    </row>
    <row r="38" spans="1:26" ht="12.75">
      <c r="A38" s="474"/>
      <c r="B38" s="492" t="s">
        <v>1338</v>
      </c>
      <c r="C38" s="482">
        <v>2</v>
      </c>
      <c r="D38" s="483" t="s">
        <v>103</v>
      </c>
      <c r="E38" s="488">
        <v>3500</v>
      </c>
      <c r="F38" s="488">
        <v>7000</v>
      </c>
      <c r="G38" s="474"/>
      <c r="H38" s="482">
        <v>2</v>
      </c>
      <c r="I38" s="482">
        <v>2</v>
      </c>
      <c r="J38" s="474"/>
      <c r="K38" s="474"/>
      <c r="L38" s="482"/>
      <c r="M38" s="482"/>
      <c r="N38" s="474"/>
      <c r="O38" s="474"/>
      <c r="P38" s="482"/>
      <c r="Q38" s="482"/>
      <c r="R38" s="474"/>
      <c r="S38" s="474"/>
      <c r="T38" s="482"/>
      <c r="U38" s="482"/>
      <c r="V38" s="474"/>
      <c r="W38" s="474"/>
      <c r="X38" s="474" t="s">
        <v>179</v>
      </c>
      <c r="Y38" s="474"/>
      <c r="Z38" s="345" t="str">
        <f ca="1">IFERROR(__xludf.DUMMYFUNCTION("""COMPUTED_VALUE"""),"NICU2")</f>
        <v>NICU2</v>
      </c>
    </row>
    <row r="39" spans="1:26" ht="12.75">
      <c r="A39" s="474"/>
      <c r="B39" s="492" t="s">
        <v>1340</v>
      </c>
      <c r="C39" s="482">
        <v>2</v>
      </c>
      <c r="D39" s="483" t="s">
        <v>103</v>
      </c>
      <c r="E39" s="488">
        <v>3500</v>
      </c>
      <c r="F39" s="488">
        <v>7000</v>
      </c>
      <c r="G39" s="474"/>
      <c r="H39" s="482">
        <v>2</v>
      </c>
      <c r="I39" s="482">
        <v>2</v>
      </c>
      <c r="J39" s="474"/>
      <c r="K39" s="474"/>
      <c r="L39" s="482"/>
      <c r="M39" s="482"/>
      <c r="N39" s="474"/>
      <c r="O39" s="474"/>
      <c r="P39" s="482"/>
      <c r="Q39" s="482"/>
      <c r="R39" s="474"/>
      <c r="S39" s="474"/>
      <c r="T39" s="482"/>
      <c r="U39" s="482"/>
      <c r="V39" s="474"/>
      <c r="W39" s="474"/>
      <c r="X39" s="474" t="s">
        <v>179</v>
      </c>
      <c r="Y39" s="474"/>
      <c r="Z39" s="345" t="str">
        <f ca="1">IFERROR(__xludf.DUMMYFUNCTION("""COMPUTED_VALUE"""),"NMB 1ST ONCO")</f>
        <v>NMB 1ST ONCO</v>
      </c>
    </row>
    <row r="40" spans="1:26" ht="12.75">
      <c r="A40" s="474"/>
      <c r="B40" s="492" t="s">
        <v>1342</v>
      </c>
      <c r="C40" s="482">
        <v>2</v>
      </c>
      <c r="D40" s="483" t="s">
        <v>103</v>
      </c>
      <c r="E40" s="488">
        <v>3500</v>
      </c>
      <c r="F40" s="488">
        <v>7000</v>
      </c>
      <c r="G40" s="474"/>
      <c r="H40" s="482">
        <v>2</v>
      </c>
      <c r="I40" s="482">
        <v>2</v>
      </c>
      <c r="J40" s="474"/>
      <c r="K40" s="474"/>
      <c r="L40" s="482"/>
      <c r="M40" s="482"/>
      <c r="N40" s="474"/>
      <c r="O40" s="474"/>
      <c r="P40" s="482"/>
      <c r="Q40" s="482"/>
      <c r="R40" s="474"/>
      <c r="S40" s="474"/>
      <c r="T40" s="482"/>
      <c r="U40" s="482"/>
      <c r="V40" s="474"/>
      <c r="W40" s="474"/>
      <c r="X40" s="474" t="s">
        <v>179</v>
      </c>
      <c r="Y40" s="474"/>
      <c r="Z40" s="345" t="str">
        <f ca="1">IFERROR(__xludf.DUMMYFUNCTION("""COMPUTED_VALUE"""),"NMB 2ND")</f>
        <v>NMB 2ND</v>
      </c>
    </row>
    <row r="41" spans="1:26" ht="12.75">
      <c r="A41" s="474"/>
      <c r="B41" s="492" t="s">
        <v>1344</v>
      </c>
      <c r="C41" s="482">
        <v>2</v>
      </c>
      <c r="D41" s="483" t="s">
        <v>103</v>
      </c>
      <c r="E41" s="488">
        <v>3500</v>
      </c>
      <c r="F41" s="488">
        <v>7000</v>
      </c>
      <c r="G41" s="474"/>
      <c r="H41" s="482">
        <v>2</v>
      </c>
      <c r="I41" s="482">
        <v>2</v>
      </c>
      <c r="J41" s="474"/>
      <c r="K41" s="474"/>
      <c r="L41" s="482"/>
      <c r="M41" s="482"/>
      <c r="N41" s="474"/>
      <c r="O41" s="474"/>
      <c r="P41" s="482"/>
      <c r="Q41" s="482"/>
      <c r="R41" s="474"/>
      <c r="S41" s="474"/>
      <c r="T41" s="482"/>
      <c r="U41" s="482"/>
      <c r="V41" s="474"/>
      <c r="W41" s="474"/>
      <c r="X41" s="474" t="s">
        <v>179</v>
      </c>
      <c r="Y41" s="474"/>
      <c r="Z41" s="345" t="str">
        <f ca="1">IFERROR(__xludf.DUMMYFUNCTION("""COMPUTED_VALUE"""),"NMB 3RD")</f>
        <v>NMB 3RD</v>
      </c>
    </row>
    <row r="42" spans="1:26" ht="12.75">
      <c r="A42" s="474"/>
      <c r="B42" s="492" t="s">
        <v>2963</v>
      </c>
      <c r="C42" s="482">
        <v>1</v>
      </c>
      <c r="D42" s="483" t="s">
        <v>118</v>
      </c>
      <c r="E42" s="488">
        <v>100000</v>
      </c>
      <c r="F42" s="488">
        <v>100000</v>
      </c>
      <c r="G42" s="474"/>
      <c r="H42" s="482">
        <v>1</v>
      </c>
      <c r="I42" s="482">
        <v>1</v>
      </c>
      <c r="J42" s="474"/>
      <c r="K42" s="474"/>
      <c r="L42" s="482"/>
      <c r="M42" s="482"/>
      <c r="N42" s="474"/>
      <c r="O42" s="474"/>
      <c r="P42" s="482"/>
      <c r="Q42" s="482"/>
      <c r="R42" s="474"/>
      <c r="S42" s="474"/>
      <c r="T42" s="482"/>
      <c r="U42" s="482"/>
      <c r="V42" s="474"/>
      <c r="W42" s="474"/>
      <c r="X42" s="474" t="s">
        <v>179</v>
      </c>
      <c r="Y42" s="474"/>
      <c r="Z42" s="345" t="str">
        <f ca="1">IFERROR(__xludf.DUMMYFUNCTION("""COMPUTED_VALUE"""),"NMB 4TH")</f>
        <v>NMB 4TH</v>
      </c>
    </row>
    <row r="43" spans="1:26" ht="12.75">
      <c r="A43" s="474"/>
      <c r="B43" s="492" t="s">
        <v>598</v>
      </c>
      <c r="C43" s="482">
        <v>8</v>
      </c>
      <c r="D43" s="483" t="s">
        <v>103</v>
      </c>
      <c r="E43" s="483">
        <v>850</v>
      </c>
      <c r="F43" s="488">
        <v>6800</v>
      </c>
      <c r="G43" s="474"/>
      <c r="H43" s="482">
        <v>8</v>
      </c>
      <c r="I43" s="482">
        <v>8</v>
      </c>
      <c r="J43" s="474"/>
      <c r="K43" s="474"/>
      <c r="L43" s="482"/>
      <c r="M43" s="482"/>
      <c r="N43" s="474"/>
      <c r="O43" s="474"/>
      <c r="P43" s="482"/>
      <c r="Q43" s="482"/>
      <c r="R43" s="474"/>
      <c r="S43" s="474"/>
      <c r="T43" s="482"/>
      <c r="U43" s="482"/>
      <c r="V43" s="474"/>
      <c r="W43" s="474"/>
      <c r="X43" s="474" t="s">
        <v>179</v>
      </c>
      <c r="Y43" s="474"/>
      <c r="Z43" s="345" t="str">
        <f ca="1">IFERROR(__xludf.DUMMYFUNCTION("""COMPUTED_VALUE"""),"NMB 5TH ICU CCU")</f>
        <v>NMB 5TH ICU CCU</v>
      </c>
    </row>
    <row r="44" spans="1:26" ht="12.75">
      <c r="A44" s="474"/>
      <c r="B44" s="492" t="s">
        <v>1639</v>
      </c>
      <c r="C44" s="482" t="s">
        <v>488</v>
      </c>
      <c r="D44" s="483" t="s">
        <v>758</v>
      </c>
      <c r="E44" s="488">
        <v>100000</v>
      </c>
      <c r="F44" s="483" t="s">
        <v>488</v>
      </c>
      <c r="G44" s="474"/>
      <c r="H44" s="482"/>
      <c r="I44" s="482"/>
      <c r="J44" s="474"/>
      <c r="K44" s="474"/>
      <c r="L44" s="482"/>
      <c r="M44" s="482"/>
      <c r="N44" s="474"/>
      <c r="O44" s="474"/>
      <c r="P44" s="482"/>
      <c r="Q44" s="482"/>
      <c r="R44" s="474"/>
      <c r="S44" s="474"/>
      <c r="T44" s="482"/>
      <c r="U44" s="482"/>
      <c r="V44" s="474"/>
      <c r="W44" s="474"/>
      <c r="X44" s="474" t="s">
        <v>179</v>
      </c>
      <c r="Y44" s="474"/>
      <c r="Z44" s="345" t="str">
        <f ca="1">IFERROR(__xludf.DUMMYFUNCTION("""COMPUTED_VALUE"""),"NSU")</f>
        <v>NSU</v>
      </c>
    </row>
    <row r="45" spans="1:26" ht="12.75">
      <c r="A45" s="474"/>
      <c r="B45" s="492" t="s">
        <v>689</v>
      </c>
      <c r="C45" s="482">
        <v>1</v>
      </c>
      <c r="D45" s="483" t="s">
        <v>103</v>
      </c>
      <c r="E45" s="488">
        <v>3000</v>
      </c>
      <c r="F45" s="488">
        <v>3000</v>
      </c>
      <c r="G45" s="474"/>
      <c r="H45" s="482">
        <v>1</v>
      </c>
      <c r="I45" s="482">
        <v>1</v>
      </c>
      <c r="J45" s="474"/>
      <c r="K45" s="474"/>
      <c r="L45" s="482"/>
      <c r="M45" s="482"/>
      <c r="N45" s="474"/>
      <c r="O45" s="474"/>
      <c r="P45" s="482"/>
      <c r="Q45" s="482"/>
      <c r="R45" s="474"/>
      <c r="S45" s="474"/>
      <c r="T45" s="482"/>
      <c r="U45" s="482"/>
      <c r="V45" s="474"/>
      <c r="W45" s="474"/>
      <c r="X45" s="474" t="s">
        <v>179</v>
      </c>
      <c r="Y45" s="474"/>
      <c r="Z45" s="345" t="str">
        <f ca="1">IFERROR(__xludf.DUMMYFUNCTION("""COMPUTED_VALUE"""),"OB COMPLEX")</f>
        <v>OB COMPLEX</v>
      </c>
    </row>
    <row r="46" spans="1:26" ht="12.75">
      <c r="A46" s="474"/>
      <c r="B46" s="492" t="s">
        <v>690</v>
      </c>
      <c r="C46" s="482">
        <v>20</v>
      </c>
      <c r="D46" s="483" t="s">
        <v>103</v>
      </c>
      <c r="E46" s="483">
        <v>250</v>
      </c>
      <c r="F46" s="488">
        <v>5000</v>
      </c>
      <c r="G46" s="474"/>
      <c r="H46" s="483">
        <v>5</v>
      </c>
      <c r="I46" s="483">
        <v>5</v>
      </c>
      <c r="J46" s="474"/>
      <c r="K46" s="474"/>
      <c r="L46" s="482">
        <v>5</v>
      </c>
      <c r="M46" s="482">
        <v>5</v>
      </c>
      <c r="N46" s="474"/>
      <c r="O46" s="474"/>
      <c r="P46" s="482">
        <v>5</v>
      </c>
      <c r="Q46" s="482">
        <v>5</v>
      </c>
      <c r="R46" s="474"/>
      <c r="S46" s="474"/>
      <c r="T46" s="482">
        <v>5</v>
      </c>
      <c r="U46" s="482">
        <v>5</v>
      </c>
      <c r="V46" s="474"/>
      <c r="W46" s="474"/>
      <c r="X46" s="474" t="s">
        <v>179</v>
      </c>
      <c r="Y46" s="474"/>
      <c r="Z46" s="345" t="str">
        <f ca="1">IFERROR(__xludf.DUMMYFUNCTION("""COMPUTED_VALUE"""),"OPD DFCM")</f>
        <v>OPD DFCM</v>
      </c>
    </row>
    <row r="47" spans="1:26" ht="12.75">
      <c r="A47" s="474"/>
      <c r="B47" s="492" t="s">
        <v>691</v>
      </c>
      <c r="C47" s="482">
        <v>8</v>
      </c>
      <c r="D47" s="483" t="s">
        <v>103</v>
      </c>
      <c r="E47" s="483">
        <v>250</v>
      </c>
      <c r="F47" s="488">
        <v>2000</v>
      </c>
      <c r="G47" s="474"/>
      <c r="H47" s="483">
        <v>2</v>
      </c>
      <c r="I47" s="483">
        <v>2</v>
      </c>
      <c r="J47" s="474"/>
      <c r="K47" s="474"/>
      <c r="L47" s="482">
        <v>2</v>
      </c>
      <c r="M47" s="482">
        <v>2</v>
      </c>
      <c r="N47" s="474"/>
      <c r="O47" s="474"/>
      <c r="P47" s="482">
        <v>2</v>
      </c>
      <c r="Q47" s="482">
        <v>2</v>
      </c>
      <c r="R47" s="474"/>
      <c r="S47" s="474"/>
      <c r="T47" s="482">
        <v>2</v>
      </c>
      <c r="U47" s="482">
        <v>2</v>
      </c>
      <c r="V47" s="474"/>
      <c r="W47" s="474"/>
      <c r="X47" s="474" t="s">
        <v>179</v>
      </c>
      <c r="Y47" s="474"/>
      <c r="Z47" s="345" t="str">
        <f ca="1">IFERROR(__xludf.DUMMYFUNCTION("""COMPUTED_VALUE"""),"OPD MEDICAL")</f>
        <v>OPD MEDICAL</v>
      </c>
    </row>
    <row r="48" spans="1:26" ht="12.75">
      <c r="A48" s="474"/>
      <c r="B48" s="492" t="s">
        <v>692</v>
      </c>
      <c r="C48" s="482">
        <v>8</v>
      </c>
      <c r="D48" s="483" t="s">
        <v>103</v>
      </c>
      <c r="E48" s="483">
        <v>250</v>
      </c>
      <c r="F48" s="488">
        <v>2000</v>
      </c>
      <c r="G48" s="474"/>
      <c r="H48" s="483">
        <v>2</v>
      </c>
      <c r="I48" s="483">
        <v>2</v>
      </c>
      <c r="J48" s="474"/>
      <c r="K48" s="474"/>
      <c r="L48" s="482">
        <v>2</v>
      </c>
      <c r="M48" s="482">
        <v>2</v>
      </c>
      <c r="N48" s="474"/>
      <c r="O48" s="474"/>
      <c r="P48" s="482">
        <v>2</v>
      </c>
      <c r="Q48" s="482">
        <v>2</v>
      </c>
      <c r="R48" s="474"/>
      <c r="S48" s="474"/>
      <c r="T48" s="482">
        <v>2</v>
      </c>
      <c r="U48" s="482">
        <v>2</v>
      </c>
      <c r="V48" s="474"/>
      <c r="W48" s="474"/>
      <c r="X48" s="474" t="s">
        <v>179</v>
      </c>
      <c r="Y48" s="474"/>
      <c r="Z48" s="345" t="str">
        <f ca="1">IFERROR(__xludf.DUMMYFUNCTION("""COMPUTED_VALUE"""),"OPD OB")</f>
        <v>OPD OB</v>
      </c>
    </row>
    <row r="49" spans="1:26" ht="12.75">
      <c r="A49" s="474"/>
      <c r="B49" s="492" t="s">
        <v>693</v>
      </c>
      <c r="C49" s="482">
        <v>8</v>
      </c>
      <c r="D49" s="483" t="s">
        <v>103</v>
      </c>
      <c r="E49" s="483">
        <v>250</v>
      </c>
      <c r="F49" s="488">
        <v>2000</v>
      </c>
      <c r="G49" s="474"/>
      <c r="H49" s="483">
        <v>2</v>
      </c>
      <c r="I49" s="483">
        <v>2</v>
      </c>
      <c r="J49" s="474"/>
      <c r="K49" s="474"/>
      <c r="L49" s="482">
        <v>2</v>
      </c>
      <c r="M49" s="482">
        <v>2</v>
      </c>
      <c r="N49" s="474"/>
      <c r="O49" s="474"/>
      <c r="P49" s="482">
        <v>2</v>
      </c>
      <c r="Q49" s="482">
        <v>2</v>
      </c>
      <c r="R49" s="474"/>
      <c r="S49" s="474"/>
      <c r="T49" s="482">
        <v>2</v>
      </c>
      <c r="U49" s="482">
        <v>2</v>
      </c>
      <c r="V49" s="474"/>
      <c r="W49" s="474"/>
      <c r="X49" s="474" t="s">
        <v>179</v>
      </c>
      <c r="Y49" s="474"/>
      <c r="Z49" s="345" t="str">
        <f ca="1">IFERROR(__xludf.DUMMYFUNCTION("""COMPUTED_VALUE"""),"OPD OFFICE")</f>
        <v>OPD OFFICE</v>
      </c>
    </row>
    <row r="50" spans="1:26" ht="12.75">
      <c r="A50" s="474"/>
      <c r="B50" s="494" t="s">
        <v>746</v>
      </c>
      <c r="C50" s="485">
        <v>1</v>
      </c>
      <c r="D50" s="485" t="s">
        <v>466</v>
      </c>
      <c r="E50" s="485">
        <v>8500</v>
      </c>
      <c r="F50" s="484">
        <v>8500</v>
      </c>
      <c r="G50" s="495"/>
      <c r="H50" s="496">
        <v>0</v>
      </c>
      <c r="I50" s="495"/>
      <c r="J50" s="495"/>
      <c r="K50" s="495"/>
      <c r="L50" s="496">
        <v>1</v>
      </c>
      <c r="M50" s="495"/>
      <c r="N50" s="495"/>
      <c r="O50" s="496">
        <v>1</v>
      </c>
      <c r="P50" s="496">
        <v>0</v>
      </c>
      <c r="Q50" s="495"/>
      <c r="R50" s="495"/>
      <c r="S50" s="495"/>
      <c r="T50" s="496">
        <v>0</v>
      </c>
      <c r="U50" s="495"/>
      <c r="V50" s="495"/>
      <c r="W50" s="495"/>
      <c r="X50" s="474" t="s">
        <v>200</v>
      </c>
      <c r="Y50" s="474"/>
      <c r="Z50" s="345" t="str">
        <f ca="1">IFERROR(__xludf.DUMMYFUNCTION("""COMPUTED_VALUE"""),"OPD PEDIA")</f>
        <v>OPD PEDIA</v>
      </c>
    </row>
    <row r="51" spans="1:26" ht="12.75">
      <c r="A51" s="474"/>
      <c r="B51" s="497" t="s">
        <v>2967</v>
      </c>
      <c r="C51" s="483">
        <v>1</v>
      </c>
      <c r="D51" s="483" t="s">
        <v>466</v>
      </c>
      <c r="E51" s="483">
        <v>15000</v>
      </c>
      <c r="F51" s="488">
        <v>15000</v>
      </c>
      <c r="G51" s="498"/>
      <c r="H51" s="499">
        <v>1</v>
      </c>
      <c r="I51" s="499">
        <v>1</v>
      </c>
      <c r="J51" s="498"/>
      <c r="K51" s="498"/>
      <c r="L51" s="499">
        <v>0</v>
      </c>
      <c r="M51" s="498"/>
      <c r="N51" s="498"/>
      <c r="O51" s="498"/>
      <c r="P51" s="499">
        <v>0</v>
      </c>
      <c r="Q51" s="498"/>
      <c r="R51" s="498"/>
      <c r="S51" s="498"/>
      <c r="T51" s="499">
        <v>0</v>
      </c>
      <c r="U51" s="498"/>
      <c r="V51" s="498"/>
      <c r="W51" s="498"/>
      <c r="X51" s="474" t="s">
        <v>200</v>
      </c>
      <c r="Y51" s="474"/>
      <c r="Z51" s="345" t="str">
        <f ca="1">IFERROR(__xludf.DUMMYFUNCTION("""COMPUTED_VALUE"""),"OPD SURGERY")</f>
        <v>OPD SURGERY</v>
      </c>
    </row>
    <row r="52" spans="1:26" ht="12.75">
      <c r="A52" s="474"/>
      <c r="B52" s="497" t="s">
        <v>2968</v>
      </c>
      <c r="C52" s="483">
        <v>10</v>
      </c>
      <c r="D52" s="483" t="s">
        <v>638</v>
      </c>
      <c r="E52" s="483">
        <v>900</v>
      </c>
      <c r="F52" s="488">
        <v>9000</v>
      </c>
      <c r="G52" s="498"/>
      <c r="H52" s="499">
        <v>5</v>
      </c>
      <c r="I52" s="499">
        <v>5</v>
      </c>
      <c r="J52" s="498"/>
      <c r="K52" s="498"/>
      <c r="L52" s="499">
        <v>0</v>
      </c>
      <c r="M52" s="498"/>
      <c r="N52" s="498"/>
      <c r="O52" s="498"/>
      <c r="P52" s="499">
        <v>5</v>
      </c>
      <c r="Q52" s="499">
        <v>5</v>
      </c>
      <c r="R52" s="498"/>
      <c r="S52" s="498"/>
      <c r="T52" s="499">
        <v>0</v>
      </c>
      <c r="U52" s="498"/>
      <c r="V52" s="498"/>
      <c r="W52" s="498"/>
      <c r="X52" s="474" t="s">
        <v>200</v>
      </c>
      <c r="Y52" s="474"/>
      <c r="Z52" s="345" t="str">
        <f ca="1">IFERROR(__xludf.DUMMYFUNCTION("""COMPUTED_VALUE"""),"OPHTHA")</f>
        <v>OPHTHA</v>
      </c>
    </row>
    <row r="53" spans="1:26" ht="12.75">
      <c r="A53" s="474"/>
      <c r="B53" s="497" t="s">
        <v>2969</v>
      </c>
      <c r="C53" s="483">
        <v>10</v>
      </c>
      <c r="D53" s="483" t="s">
        <v>638</v>
      </c>
      <c r="E53" s="483">
        <v>900</v>
      </c>
      <c r="F53" s="488">
        <v>9000</v>
      </c>
      <c r="G53" s="498"/>
      <c r="H53" s="499">
        <v>5</v>
      </c>
      <c r="I53" s="499">
        <v>5</v>
      </c>
      <c r="J53" s="498"/>
      <c r="K53" s="498"/>
      <c r="L53" s="499">
        <v>0</v>
      </c>
      <c r="M53" s="498"/>
      <c r="N53" s="498"/>
      <c r="O53" s="498"/>
      <c r="P53" s="499">
        <v>5</v>
      </c>
      <c r="Q53" s="499">
        <v>5</v>
      </c>
      <c r="R53" s="498"/>
      <c r="S53" s="498"/>
      <c r="T53" s="499">
        <v>0</v>
      </c>
      <c r="U53" s="498"/>
      <c r="V53" s="498"/>
      <c r="W53" s="498"/>
      <c r="X53" s="474" t="s">
        <v>200</v>
      </c>
      <c r="Y53" s="474"/>
      <c r="Z53" s="345" t="str">
        <f ca="1">IFERROR(__xludf.DUMMYFUNCTION("""COMPUTED_VALUE"""),"OR PACU")</f>
        <v>OR PACU</v>
      </c>
    </row>
    <row r="54" spans="1:26" ht="12.75">
      <c r="A54" s="474"/>
      <c r="B54" s="497" t="s">
        <v>2970</v>
      </c>
      <c r="C54" s="483">
        <v>10</v>
      </c>
      <c r="D54" s="483" t="s">
        <v>638</v>
      </c>
      <c r="E54" s="483">
        <v>900</v>
      </c>
      <c r="F54" s="488">
        <v>9000</v>
      </c>
      <c r="G54" s="498"/>
      <c r="H54" s="499">
        <v>5</v>
      </c>
      <c r="I54" s="499">
        <v>5</v>
      </c>
      <c r="J54" s="498"/>
      <c r="K54" s="498"/>
      <c r="L54" s="499">
        <v>0</v>
      </c>
      <c r="M54" s="498"/>
      <c r="N54" s="498"/>
      <c r="O54" s="498"/>
      <c r="P54" s="499">
        <v>5</v>
      </c>
      <c r="Q54" s="499">
        <v>5</v>
      </c>
      <c r="R54" s="498"/>
      <c r="S54" s="498"/>
      <c r="T54" s="499">
        <v>0</v>
      </c>
      <c r="U54" s="498"/>
      <c r="V54" s="498"/>
      <c r="W54" s="498"/>
      <c r="X54" s="474" t="s">
        <v>200</v>
      </c>
      <c r="Y54" s="474"/>
      <c r="Z54" s="345" t="str">
        <f ca="1">IFERROR(__xludf.DUMMYFUNCTION("""COMPUTED_VALUE"""),"OSM")</f>
        <v>OSM</v>
      </c>
    </row>
    <row r="55" spans="1:26" ht="12.75">
      <c r="A55" s="474"/>
      <c r="B55" s="497" t="s">
        <v>2971</v>
      </c>
      <c r="C55" s="483">
        <v>10</v>
      </c>
      <c r="D55" s="483" t="s">
        <v>638</v>
      </c>
      <c r="E55" s="483">
        <v>900</v>
      </c>
      <c r="F55" s="488">
        <v>9000</v>
      </c>
      <c r="G55" s="498"/>
      <c r="H55" s="499">
        <v>5</v>
      </c>
      <c r="I55" s="499">
        <v>5</v>
      </c>
      <c r="J55" s="498"/>
      <c r="K55" s="498"/>
      <c r="L55" s="499">
        <v>0</v>
      </c>
      <c r="M55" s="498"/>
      <c r="N55" s="498"/>
      <c r="O55" s="498"/>
      <c r="P55" s="499">
        <v>5</v>
      </c>
      <c r="Q55" s="499">
        <v>5</v>
      </c>
      <c r="R55" s="498"/>
      <c r="S55" s="498"/>
      <c r="T55" s="499">
        <v>0</v>
      </c>
      <c r="U55" s="498"/>
      <c r="V55" s="498"/>
      <c r="W55" s="498"/>
      <c r="X55" s="474" t="s">
        <v>200</v>
      </c>
      <c r="Y55" s="474"/>
      <c r="Z55" s="345" t="str">
        <f ca="1">IFERROR(__xludf.DUMMYFUNCTION("""COMPUTED_VALUE"""),"PEDIA 1ST")</f>
        <v>PEDIA 1ST</v>
      </c>
    </row>
    <row r="56" spans="1:26" ht="12.75">
      <c r="A56" s="474"/>
      <c r="B56" s="497" t="s">
        <v>528</v>
      </c>
      <c r="C56" s="483">
        <v>65</v>
      </c>
      <c r="D56" s="483" t="s">
        <v>633</v>
      </c>
      <c r="E56" s="483">
        <v>249.6</v>
      </c>
      <c r="F56" s="488">
        <v>16224</v>
      </c>
      <c r="G56" s="498"/>
      <c r="H56" s="499">
        <v>25</v>
      </c>
      <c r="I56" s="499">
        <v>10</v>
      </c>
      <c r="J56" s="499">
        <v>10</v>
      </c>
      <c r="K56" s="499">
        <v>5</v>
      </c>
      <c r="L56" s="499">
        <v>20</v>
      </c>
      <c r="M56" s="499">
        <v>5</v>
      </c>
      <c r="N56" s="499">
        <v>10</v>
      </c>
      <c r="O56" s="499">
        <v>5</v>
      </c>
      <c r="P56" s="499">
        <v>15</v>
      </c>
      <c r="Q56" s="499">
        <v>5</v>
      </c>
      <c r="R56" s="499">
        <v>5</v>
      </c>
      <c r="S56" s="499">
        <v>5</v>
      </c>
      <c r="T56" s="499">
        <v>5</v>
      </c>
      <c r="U56" s="499">
        <v>5</v>
      </c>
      <c r="V56" s="498"/>
      <c r="W56" s="498"/>
      <c r="X56" s="474" t="s">
        <v>200</v>
      </c>
      <c r="Y56" s="474"/>
      <c r="Z56" s="345" t="str">
        <f ca="1">IFERROR(__xludf.DUMMYFUNCTION("""COMPUTED_VALUE"""),"PEDIA 3RD")</f>
        <v>PEDIA 3RD</v>
      </c>
    </row>
    <row r="57" spans="1:26" ht="12.75">
      <c r="A57" s="474"/>
      <c r="B57" s="497" t="s">
        <v>529</v>
      </c>
      <c r="C57" s="483">
        <v>50</v>
      </c>
      <c r="D57" s="483" t="s">
        <v>633</v>
      </c>
      <c r="E57" s="483">
        <v>249.6</v>
      </c>
      <c r="F57" s="488">
        <v>12480</v>
      </c>
      <c r="G57" s="498"/>
      <c r="H57" s="499">
        <v>15</v>
      </c>
      <c r="I57" s="499">
        <v>5</v>
      </c>
      <c r="J57" s="499">
        <v>5</v>
      </c>
      <c r="K57" s="499">
        <v>5</v>
      </c>
      <c r="L57" s="499">
        <v>15</v>
      </c>
      <c r="M57" s="499">
        <v>5</v>
      </c>
      <c r="N57" s="499">
        <v>5</v>
      </c>
      <c r="O57" s="499">
        <v>5</v>
      </c>
      <c r="P57" s="499">
        <v>15</v>
      </c>
      <c r="Q57" s="499">
        <v>5</v>
      </c>
      <c r="R57" s="499">
        <v>5</v>
      </c>
      <c r="S57" s="499">
        <v>5</v>
      </c>
      <c r="T57" s="499">
        <v>5</v>
      </c>
      <c r="U57" s="499">
        <v>5</v>
      </c>
      <c r="V57" s="498"/>
      <c r="W57" s="498"/>
      <c r="X57" s="474" t="s">
        <v>200</v>
      </c>
      <c r="Y57" s="474"/>
      <c r="Z57" s="345" t="str">
        <f ca="1">IFERROR(__xludf.DUMMYFUNCTION("""COMPUTED_VALUE"""),"PETRO")</f>
        <v>PETRO</v>
      </c>
    </row>
    <row r="58" spans="1:26" ht="12.75">
      <c r="A58" s="474"/>
      <c r="B58" s="497" t="s">
        <v>530</v>
      </c>
      <c r="C58" s="483">
        <v>50</v>
      </c>
      <c r="D58" s="483" t="s">
        <v>633</v>
      </c>
      <c r="E58" s="483">
        <v>249.6</v>
      </c>
      <c r="F58" s="488">
        <v>12480</v>
      </c>
      <c r="G58" s="498"/>
      <c r="H58" s="499">
        <v>15</v>
      </c>
      <c r="I58" s="499">
        <v>5</v>
      </c>
      <c r="J58" s="499">
        <v>5</v>
      </c>
      <c r="K58" s="499">
        <v>5</v>
      </c>
      <c r="L58" s="499">
        <v>15</v>
      </c>
      <c r="M58" s="499">
        <v>5</v>
      </c>
      <c r="N58" s="499">
        <v>5</v>
      </c>
      <c r="O58" s="499">
        <v>5</v>
      </c>
      <c r="P58" s="499">
        <v>15</v>
      </c>
      <c r="Q58" s="499">
        <v>5</v>
      </c>
      <c r="R58" s="499">
        <v>5</v>
      </c>
      <c r="S58" s="499">
        <v>5</v>
      </c>
      <c r="T58" s="499">
        <v>5</v>
      </c>
      <c r="U58" s="499">
        <v>5</v>
      </c>
      <c r="V58" s="498"/>
      <c r="W58" s="498"/>
      <c r="X58" s="474" t="s">
        <v>200</v>
      </c>
      <c r="Y58" s="474"/>
      <c r="Z58" s="345" t="str">
        <f ca="1">IFERROR(__xludf.DUMMYFUNCTION("""COMPUTED_VALUE"""),"PHARMACY")</f>
        <v>PHARMACY</v>
      </c>
    </row>
    <row r="59" spans="1:26" ht="12.75">
      <c r="A59" s="474"/>
      <c r="B59" s="497" t="s">
        <v>531</v>
      </c>
      <c r="C59" s="483">
        <v>50</v>
      </c>
      <c r="D59" s="483" t="s">
        <v>633</v>
      </c>
      <c r="E59" s="483">
        <v>249.6</v>
      </c>
      <c r="F59" s="488">
        <v>12480</v>
      </c>
      <c r="G59" s="498"/>
      <c r="H59" s="499">
        <v>15</v>
      </c>
      <c r="I59" s="499">
        <v>5</v>
      </c>
      <c r="J59" s="499">
        <v>5</v>
      </c>
      <c r="K59" s="499">
        <v>5</v>
      </c>
      <c r="L59" s="499">
        <v>15</v>
      </c>
      <c r="M59" s="499">
        <v>5</v>
      </c>
      <c r="N59" s="499">
        <v>5</v>
      </c>
      <c r="O59" s="499">
        <v>5</v>
      </c>
      <c r="P59" s="499">
        <v>15</v>
      </c>
      <c r="Q59" s="499">
        <v>5</v>
      </c>
      <c r="R59" s="499">
        <v>5</v>
      </c>
      <c r="S59" s="499">
        <v>5</v>
      </c>
      <c r="T59" s="499">
        <v>5</v>
      </c>
      <c r="U59" s="499">
        <v>5</v>
      </c>
      <c r="V59" s="498"/>
      <c r="W59" s="498"/>
      <c r="X59" s="474" t="s">
        <v>200</v>
      </c>
      <c r="Y59" s="474"/>
      <c r="Z59" s="345" t="str">
        <f ca="1">IFERROR(__xludf.DUMMYFUNCTION("""COMPUTED_VALUE"""),"PHYSICAL MEDICINE AND REHABILITATION")</f>
        <v>PHYSICAL MEDICINE AND REHABILITATION</v>
      </c>
    </row>
    <row r="60" spans="1:26" ht="12.75">
      <c r="A60" s="474"/>
      <c r="B60" s="497" t="s">
        <v>2972</v>
      </c>
      <c r="C60" s="483">
        <v>1</v>
      </c>
      <c r="D60" s="483" t="s">
        <v>466</v>
      </c>
      <c r="E60" s="483">
        <v>70000</v>
      </c>
      <c r="F60" s="488">
        <v>70000</v>
      </c>
      <c r="G60" s="498"/>
      <c r="H60" s="499">
        <v>1</v>
      </c>
      <c r="I60" s="499">
        <v>1</v>
      </c>
      <c r="J60" s="498"/>
      <c r="K60" s="498"/>
      <c r="L60" s="499">
        <v>0</v>
      </c>
      <c r="M60" s="498"/>
      <c r="N60" s="498"/>
      <c r="O60" s="498"/>
      <c r="P60" s="499">
        <v>0</v>
      </c>
      <c r="Q60" s="498"/>
      <c r="R60" s="498"/>
      <c r="S60" s="498"/>
      <c r="T60" s="499">
        <v>0</v>
      </c>
      <c r="U60" s="498"/>
      <c r="V60" s="498"/>
      <c r="W60" s="498"/>
      <c r="X60" s="474" t="s">
        <v>200</v>
      </c>
      <c r="Y60" s="474"/>
      <c r="Z60" s="345" t="str">
        <f ca="1">IFERROR(__xludf.DUMMYFUNCTION("""COMPUTED_VALUE"""),"PICU")</f>
        <v>PICU</v>
      </c>
    </row>
    <row r="61" spans="1:26" ht="12.75">
      <c r="A61" s="474"/>
      <c r="B61" s="500" t="s">
        <v>873</v>
      </c>
      <c r="C61" s="485">
        <v>1</v>
      </c>
      <c r="D61" s="485" t="s">
        <v>103</v>
      </c>
      <c r="E61" s="485">
        <v>380</v>
      </c>
      <c r="F61" s="485">
        <v>380</v>
      </c>
      <c r="G61" s="485" t="s">
        <v>2973</v>
      </c>
      <c r="H61" s="485">
        <v>1</v>
      </c>
      <c r="I61" s="485">
        <v>1</v>
      </c>
      <c r="J61" s="490"/>
      <c r="K61" s="490"/>
      <c r="L61" s="485"/>
      <c r="M61" s="490"/>
      <c r="N61" s="490"/>
      <c r="O61" s="501"/>
      <c r="P61" s="485"/>
      <c r="Q61" s="501"/>
      <c r="R61" s="501"/>
      <c r="S61" s="501"/>
      <c r="T61" s="485"/>
      <c r="U61" s="501"/>
      <c r="V61" s="501"/>
      <c r="W61" s="490"/>
      <c r="X61" s="474" t="s">
        <v>2974</v>
      </c>
      <c r="Y61" s="474"/>
      <c r="Z61" s="345" t="str">
        <f ca="1">IFERROR(__xludf.DUMMYFUNCTION("""COMPUTED_VALUE"""),"PROCUREMENT")</f>
        <v>PROCUREMENT</v>
      </c>
    </row>
    <row r="62" spans="1:26" ht="12.75">
      <c r="A62" s="474"/>
      <c r="B62" s="497" t="s">
        <v>874</v>
      </c>
      <c r="C62" s="483">
        <v>1</v>
      </c>
      <c r="D62" s="483" t="s">
        <v>103</v>
      </c>
      <c r="E62" s="483">
        <v>380</v>
      </c>
      <c r="F62" s="483">
        <v>380</v>
      </c>
      <c r="G62" s="483" t="s">
        <v>2973</v>
      </c>
      <c r="H62" s="483">
        <v>1</v>
      </c>
      <c r="I62" s="483">
        <v>1</v>
      </c>
      <c r="J62" s="490"/>
      <c r="K62" s="490"/>
      <c r="L62" s="483"/>
      <c r="M62" s="490"/>
      <c r="N62" s="490"/>
      <c r="O62" s="501"/>
      <c r="P62" s="483"/>
      <c r="Q62" s="501"/>
      <c r="R62" s="501"/>
      <c r="S62" s="501"/>
      <c r="T62" s="483"/>
      <c r="U62" s="501"/>
      <c r="V62" s="501"/>
      <c r="W62" s="490"/>
      <c r="X62" s="474" t="s">
        <v>2974</v>
      </c>
      <c r="Y62" s="474"/>
      <c r="Z62" s="345" t="str">
        <f ca="1">IFERROR(__xludf.DUMMYFUNCTION("""COMPUTED_VALUE"""),"PROPERTY AND SUPPLY SECTION")</f>
        <v>PROPERTY AND SUPPLY SECTION</v>
      </c>
    </row>
    <row r="63" spans="1:26" ht="12.75">
      <c r="A63" s="474"/>
      <c r="B63" s="497" t="s">
        <v>877</v>
      </c>
      <c r="C63" s="483">
        <v>1</v>
      </c>
      <c r="D63" s="483" t="s">
        <v>103</v>
      </c>
      <c r="E63" s="483">
        <v>1000</v>
      </c>
      <c r="F63" s="488">
        <v>1000</v>
      </c>
      <c r="G63" s="483" t="s">
        <v>2973</v>
      </c>
      <c r="H63" s="483">
        <v>1</v>
      </c>
      <c r="I63" s="483">
        <v>1</v>
      </c>
      <c r="J63" s="490"/>
      <c r="K63" s="490"/>
      <c r="L63" s="483"/>
      <c r="M63" s="490"/>
      <c r="N63" s="490"/>
      <c r="O63" s="501"/>
      <c r="P63" s="483"/>
      <c r="Q63" s="501"/>
      <c r="R63" s="501"/>
      <c r="S63" s="490"/>
      <c r="T63" s="483"/>
      <c r="U63" s="501"/>
      <c r="V63" s="501"/>
      <c r="W63" s="490"/>
      <c r="X63" s="474" t="s">
        <v>2974</v>
      </c>
      <c r="Y63" s="474"/>
      <c r="Z63" s="345" t="str">
        <f ca="1">IFERROR(__xludf.DUMMYFUNCTION("""COMPUTED_VALUE"""),"PSYCH 1ST")</f>
        <v>PSYCH 1ST</v>
      </c>
    </row>
    <row r="64" spans="1:26" ht="12.75">
      <c r="A64" s="474"/>
      <c r="B64" s="502" t="s">
        <v>879</v>
      </c>
      <c r="C64" s="503">
        <v>1</v>
      </c>
      <c r="D64" s="503" t="s">
        <v>103</v>
      </c>
      <c r="E64" s="504">
        <v>1000</v>
      </c>
      <c r="F64" s="488">
        <v>1000</v>
      </c>
      <c r="G64" s="503" t="s">
        <v>2973</v>
      </c>
      <c r="H64" s="503">
        <v>1</v>
      </c>
      <c r="I64" s="503">
        <v>1</v>
      </c>
      <c r="J64" s="505"/>
      <c r="K64" s="505"/>
      <c r="L64" s="506"/>
      <c r="M64" s="505"/>
      <c r="N64" s="505"/>
      <c r="O64" s="507"/>
      <c r="P64" s="506"/>
      <c r="Q64" s="507"/>
      <c r="R64" s="507"/>
      <c r="S64" s="505"/>
      <c r="T64" s="506"/>
      <c r="U64" s="507"/>
      <c r="V64" s="507"/>
      <c r="W64" s="508"/>
      <c r="X64" s="474" t="s">
        <v>2974</v>
      </c>
      <c r="Y64" s="474"/>
      <c r="Z64" s="345" t="str">
        <f ca="1">IFERROR(__xludf.DUMMYFUNCTION("""COMPUTED_VALUE"""),"PSYCH 2ND")</f>
        <v>PSYCH 2ND</v>
      </c>
    </row>
    <row r="65" spans="1:26" ht="12.75">
      <c r="A65" s="474"/>
      <c r="B65" s="500" t="s">
        <v>2975</v>
      </c>
      <c r="C65" s="483">
        <v>24</v>
      </c>
      <c r="D65" s="483" t="s">
        <v>103</v>
      </c>
      <c r="E65" s="483">
        <v>200</v>
      </c>
      <c r="F65" s="488">
        <v>4800</v>
      </c>
      <c r="G65" s="483" t="s">
        <v>2976</v>
      </c>
      <c r="H65" s="483">
        <v>6</v>
      </c>
      <c r="I65" s="483">
        <v>2</v>
      </c>
      <c r="J65" s="483">
        <v>2</v>
      </c>
      <c r="K65" s="483">
        <v>2</v>
      </c>
      <c r="L65" s="483">
        <v>6</v>
      </c>
      <c r="M65" s="483">
        <v>2</v>
      </c>
      <c r="N65" s="483">
        <v>2</v>
      </c>
      <c r="O65" s="483">
        <v>2</v>
      </c>
      <c r="P65" s="483">
        <v>6</v>
      </c>
      <c r="Q65" s="483">
        <v>2</v>
      </c>
      <c r="R65" s="483">
        <v>2</v>
      </c>
      <c r="S65" s="483">
        <v>2</v>
      </c>
      <c r="T65" s="483">
        <v>6</v>
      </c>
      <c r="U65" s="483">
        <v>2</v>
      </c>
      <c r="V65" s="483">
        <v>2</v>
      </c>
      <c r="W65" s="483">
        <v>2</v>
      </c>
      <c r="X65" s="474" t="s">
        <v>2974</v>
      </c>
      <c r="Y65" s="474"/>
      <c r="Z65" s="345" t="str">
        <f ca="1">IFERROR(__xludf.DUMMYFUNCTION("""COMPUTED_VALUE"""),"PUBLIC HEALTH UNIT")</f>
        <v>PUBLIC HEALTH UNIT</v>
      </c>
    </row>
    <row r="66" spans="1:26" ht="12.75">
      <c r="A66" s="474"/>
      <c r="B66" s="497" t="s">
        <v>2977</v>
      </c>
      <c r="C66" s="483">
        <v>24</v>
      </c>
      <c r="D66" s="483" t="s">
        <v>103</v>
      </c>
      <c r="E66" s="483">
        <v>200</v>
      </c>
      <c r="F66" s="488">
        <v>4800</v>
      </c>
      <c r="G66" s="483" t="s">
        <v>2976</v>
      </c>
      <c r="H66" s="483">
        <v>6</v>
      </c>
      <c r="I66" s="483">
        <v>2</v>
      </c>
      <c r="J66" s="483">
        <v>2</v>
      </c>
      <c r="K66" s="483">
        <v>2</v>
      </c>
      <c r="L66" s="483">
        <v>6</v>
      </c>
      <c r="M66" s="483">
        <v>2</v>
      </c>
      <c r="N66" s="483">
        <v>2</v>
      </c>
      <c r="O66" s="483">
        <v>2</v>
      </c>
      <c r="P66" s="483">
        <v>6</v>
      </c>
      <c r="Q66" s="483">
        <v>2</v>
      </c>
      <c r="R66" s="483">
        <v>2</v>
      </c>
      <c r="S66" s="483">
        <v>2</v>
      </c>
      <c r="T66" s="483">
        <v>6</v>
      </c>
      <c r="U66" s="483">
        <v>2</v>
      </c>
      <c r="V66" s="483">
        <v>2</v>
      </c>
      <c r="W66" s="483">
        <v>2</v>
      </c>
      <c r="X66" s="474" t="s">
        <v>2974</v>
      </c>
      <c r="Y66" s="474"/>
      <c r="Z66" s="345" t="str">
        <f ca="1">IFERROR(__xludf.DUMMYFUNCTION("""COMPUTED_VALUE"""),"SECURITY")</f>
        <v>SECURITY</v>
      </c>
    </row>
    <row r="67" spans="1:26" ht="12.75">
      <c r="A67" s="474"/>
      <c r="B67" s="497" t="s">
        <v>2978</v>
      </c>
      <c r="C67" s="503">
        <v>24</v>
      </c>
      <c r="D67" s="483" t="s">
        <v>103</v>
      </c>
      <c r="E67" s="483">
        <v>200</v>
      </c>
      <c r="F67" s="488">
        <v>4800</v>
      </c>
      <c r="G67" s="483" t="s">
        <v>2976</v>
      </c>
      <c r="H67" s="483">
        <v>6</v>
      </c>
      <c r="I67" s="483">
        <v>2</v>
      </c>
      <c r="J67" s="483">
        <v>2</v>
      </c>
      <c r="K67" s="483">
        <v>2</v>
      </c>
      <c r="L67" s="483">
        <v>6</v>
      </c>
      <c r="M67" s="483">
        <v>2</v>
      </c>
      <c r="N67" s="483">
        <v>2</v>
      </c>
      <c r="O67" s="483">
        <v>2</v>
      </c>
      <c r="P67" s="483">
        <v>6</v>
      </c>
      <c r="Q67" s="483">
        <v>2</v>
      </c>
      <c r="R67" s="483">
        <v>2</v>
      </c>
      <c r="S67" s="483">
        <v>2</v>
      </c>
      <c r="T67" s="483">
        <v>6</v>
      </c>
      <c r="U67" s="483">
        <v>2</v>
      </c>
      <c r="V67" s="483">
        <v>2</v>
      </c>
      <c r="W67" s="483">
        <v>2</v>
      </c>
      <c r="X67" s="474" t="s">
        <v>2974</v>
      </c>
      <c r="Y67" s="474"/>
      <c r="Z67" s="345" t="str">
        <f ca="1">IFERROR(__xludf.DUMMYFUNCTION("""COMPUTED_VALUE"""),"SURGERY COMPLEX")</f>
        <v>SURGERY COMPLEX</v>
      </c>
    </row>
    <row r="68" spans="1:26" ht="12.75">
      <c r="A68" s="474"/>
      <c r="B68" s="497" t="s">
        <v>2979</v>
      </c>
      <c r="C68" s="485">
        <v>24</v>
      </c>
      <c r="D68" s="503" t="s">
        <v>103</v>
      </c>
      <c r="E68" s="503">
        <v>200</v>
      </c>
      <c r="F68" s="504">
        <v>4800</v>
      </c>
      <c r="G68" s="503" t="s">
        <v>2976</v>
      </c>
      <c r="H68" s="503">
        <v>6</v>
      </c>
      <c r="I68" s="503">
        <v>2</v>
      </c>
      <c r="J68" s="503">
        <v>2</v>
      </c>
      <c r="K68" s="503">
        <v>2</v>
      </c>
      <c r="L68" s="503">
        <v>6</v>
      </c>
      <c r="M68" s="503">
        <v>2</v>
      </c>
      <c r="N68" s="503">
        <v>2</v>
      </c>
      <c r="O68" s="503">
        <v>2</v>
      </c>
      <c r="P68" s="503">
        <v>6</v>
      </c>
      <c r="Q68" s="503">
        <v>2</v>
      </c>
      <c r="R68" s="503">
        <v>2</v>
      </c>
      <c r="S68" s="503">
        <v>2</v>
      </c>
      <c r="T68" s="503">
        <v>6</v>
      </c>
      <c r="U68" s="503">
        <v>2</v>
      </c>
      <c r="V68" s="503">
        <v>2</v>
      </c>
      <c r="W68" s="503">
        <v>2</v>
      </c>
      <c r="X68" s="474" t="s">
        <v>2974</v>
      </c>
      <c r="Y68" s="474"/>
      <c r="Z68" s="345" t="str">
        <f ca="1">IFERROR(__xludf.DUMMYFUNCTION("""COMPUTED_VALUE"""),"TB DOTS")</f>
        <v>TB DOTS</v>
      </c>
    </row>
    <row r="69" spans="1:26" ht="12.75">
      <c r="A69" s="474"/>
      <c r="B69" s="494" t="s">
        <v>2980</v>
      </c>
      <c r="C69" s="485">
        <v>16</v>
      </c>
      <c r="D69" s="509" t="s">
        <v>657</v>
      </c>
      <c r="E69" s="485">
        <v>350</v>
      </c>
      <c r="F69" s="510">
        <v>5600</v>
      </c>
      <c r="G69" s="483" t="s">
        <v>342</v>
      </c>
      <c r="H69" s="485">
        <v>4</v>
      </c>
      <c r="I69" s="485">
        <v>2</v>
      </c>
      <c r="J69" s="485">
        <v>2</v>
      </c>
      <c r="K69" s="490"/>
      <c r="L69" s="485">
        <v>4</v>
      </c>
      <c r="M69" s="485">
        <v>2</v>
      </c>
      <c r="N69" s="485">
        <v>2</v>
      </c>
      <c r="O69" s="490"/>
      <c r="P69" s="485">
        <v>4</v>
      </c>
      <c r="Q69" s="485">
        <v>2</v>
      </c>
      <c r="R69" s="485">
        <v>2</v>
      </c>
      <c r="S69" s="490"/>
      <c r="T69" s="485">
        <v>4</v>
      </c>
      <c r="U69" s="485">
        <v>2</v>
      </c>
      <c r="V69" s="485">
        <v>2</v>
      </c>
      <c r="W69" s="490"/>
      <c r="X69" s="474" t="s">
        <v>2981</v>
      </c>
      <c r="Y69" s="474"/>
      <c r="Z69" s="345" t="str">
        <f ca="1">IFERROR(__xludf.DUMMYFUNCTION("""COMPUTED_VALUE"""),"TOXICOLOGY")</f>
        <v>TOXICOLOGY</v>
      </c>
    </row>
    <row r="70" spans="1:26" ht="12.75">
      <c r="A70" s="474"/>
      <c r="B70" s="511" t="s">
        <v>2982</v>
      </c>
      <c r="C70" s="483">
        <v>16</v>
      </c>
      <c r="D70" s="512" t="s">
        <v>657</v>
      </c>
      <c r="E70" s="483">
        <v>350</v>
      </c>
      <c r="F70" s="510">
        <v>5600</v>
      </c>
      <c r="G70" s="483" t="s">
        <v>342</v>
      </c>
      <c r="H70" s="483">
        <v>4</v>
      </c>
      <c r="I70" s="483">
        <v>2</v>
      </c>
      <c r="J70" s="483">
        <v>2</v>
      </c>
      <c r="K70" s="490"/>
      <c r="L70" s="483">
        <v>4</v>
      </c>
      <c r="M70" s="483">
        <v>2</v>
      </c>
      <c r="N70" s="483">
        <v>2</v>
      </c>
      <c r="O70" s="490"/>
      <c r="P70" s="483">
        <v>4</v>
      </c>
      <c r="Q70" s="483">
        <v>2</v>
      </c>
      <c r="R70" s="483">
        <v>2</v>
      </c>
      <c r="S70" s="490"/>
      <c r="T70" s="483">
        <v>4</v>
      </c>
      <c r="U70" s="483">
        <v>2</v>
      </c>
      <c r="V70" s="483">
        <v>2</v>
      </c>
      <c r="W70" s="490"/>
      <c r="X70" s="474" t="s">
        <v>2981</v>
      </c>
      <c r="Y70" s="474"/>
      <c r="Z70" s="345"/>
    </row>
    <row r="71" spans="1:26" ht="12.75">
      <c r="A71" s="474"/>
      <c r="B71" s="511" t="s">
        <v>2983</v>
      </c>
      <c r="C71" s="483">
        <v>16</v>
      </c>
      <c r="D71" s="512" t="s">
        <v>657</v>
      </c>
      <c r="E71" s="483">
        <v>350</v>
      </c>
      <c r="F71" s="510">
        <v>5600</v>
      </c>
      <c r="G71" s="483" t="s">
        <v>342</v>
      </c>
      <c r="H71" s="483">
        <v>4</v>
      </c>
      <c r="I71" s="483">
        <v>2</v>
      </c>
      <c r="J71" s="483">
        <v>2</v>
      </c>
      <c r="K71" s="490"/>
      <c r="L71" s="483">
        <v>4</v>
      </c>
      <c r="M71" s="483">
        <v>2</v>
      </c>
      <c r="N71" s="483">
        <v>2</v>
      </c>
      <c r="O71" s="490"/>
      <c r="P71" s="483">
        <v>4</v>
      </c>
      <c r="Q71" s="483">
        <v>2</v>
      </c>
      <c r="R71" s="483">
        <v>2</v>
      </c>
      <c r="S71" s="490"/>
      <c r="T71" s="483">
        <v>4</v>
      </c>
      <c r="U71" s="483">
        <v>2</v>
      </c>
      <c r="V71" s="483">
        <v>2</v>
      </c>
      <c r="W71" s="490"/>
      <c r="X71" s="474" t="s">
        <v>2981</v>
      </c>
      <c r="Y71" s="474"/>
      <c r="Z71" s="345"/>
    </row>
    <row r="72" spans="1:26" ht="12.75">
      <c r="A72" s="474"/>
      <c r="B72" s="511" t="s">
        <v>2984</v>
      </c>
      <c r="C72" s="483">
        <v>16</v>
      </c>
      <c r="D72" s="512" t="s">
        <v>657</v>
      </c>
      <c r="E72" s="483">
        <v>350</v>
      </c>
      <c r="F72" s="510">
        <v>5600</v>
      </c>
      <c r="G72" s="483" t="s">
        <v>342</v>
      </c>
      <c r="H72" s="483">
        <v>4</v>
      </c>
      <c r="I72" s="483">
        <v>2</v>
      </c>
      <c r="J72" s="483">
        <v>2</v>
      </c>
      <c r="K72" s="490"/>
      <c r="L72" s="483">
        <v>4</v>
      </c>
      <c r="M72" s="483">
        <v>2</v>
      </c>
      <c r="N72" s="483">
        <v>2</v>
      </c>
      <c r="O72" s="490"/>
      <c r="P72" s="483">
        <v>4</v>
      </c>
      <c r="Q72" s="483">
        <v>2</v>
      </c>
      <c r="R72" s="483">
        <v>2</v>
      </c>
      <c r="S72" s="490"/>
      <c r="T72" s="483">
        <v>4</v>
      </c>
      <c r="U72" s="483">
        <v>2</v>
      </c>
      <c r="V72" s="483">
        <v>2</v>
      </c>
      <c r="W72" s="490"/>
      <c r="X72" s="474" t="s">
        <v>2981</v>
      </c>
      <c r="Y72" s="474"/>
      <c r="Z72" s="345"/>
    </row>
    <row r="73" spans="1:26" ht="12.75">
      <c r="A73" s="474"/>
      <c r="B73" s="513" t="s">
        <v>234</v>
      </c>
      <c r="C73" s="514">
        <v>2</v>
      </c>
      <c r="D73" s="514" t="s">
        <v>103</v>
      </c>
      <c r="E73" s="514">
        <v>489.5</v>
      </c>
      <c r="F73" s="514">
        <v>979</v>
      </c>
      <c r="G73" s="514" t="s">
        <v>513</v>
      </c>
      <c r="H73" s="514">
        <v>2</v>
      </c>
      <c r="I73" s="515">
        <v>2</v>
      </c>
      <c r="J73" s="515">
        <v>0</v>
      </c>
      <c r="K73" s="515">
        <v>0</v>
      </c>
      <c r="L73" s="514">
        <v>0</v>
      </c>
      <c r="M73" s="515">
        <v>0</v>
      </c>
      <c r="N73" s="515">
        <v>0</v>
      </c>
      <c r="O73" s="515">
        <v>0</v>
      </c>
      <c r="P73" s="514">
        <v>0</v>
      </c>
      <c r="Q73" s="515">
        <v>0</v>
      </c>
      <c r="R73" s="515">
        <v>0</v>
      </c>
      <c r="S73" s="515">
        <v>0</v>
      </c>
      <c r="T73" s="514">
        <v>0</v>
      </c>
      <c r="U73" s="515">
        <v>0</v>
      </c>
      <c r="V73" s="515">
        <v>0</v>
      </c>
      <c r="W73" s="515">
        <v>0</v>
      </c>
      <c r="X73" s="474" t="s">
        <v>3169</v>
      </c>
      <c r="Y73" s="474"/>
      <c r="Z73" s="345"/>
    </row>
    <row r="74" spans="1:26" ht="12.75">
      <c r="A74" s="474"/>
      <c r="B74" s="516" t="s">
        <v>2986</v>
      </c>
      <c r="C74" s="517">
        <v>40</v>
      </c>
      <c r="D74" s="517" t="s">
        <v>2987</v>
      </c>
      <c r="E74" s="517">
        <v>249.6</v>
      </c>
      <c r="F74" s="489">
        <v>9984</v>
      </c>
      <c r="G74" s="517" t="s">
        <v>513</v>
      </c>
      <c r="H74" s="517">
        <v>10</v>
      </c>
      <c r="I74" s="518">
        <v>3</v>
      </c>
      <c r="J74" s="518">
        <v>4</v>
      </c>
      <c r="K74" s="518">
        <v>3</v>
      </c>
      <c r="L74" s="517">
        <v>10</v>
      </c>
      <c r="M74" s="518">
        <v>3</v>
      </c>
      <c r="N74" s="518">
        <v>4</v>
      </c>
      <c r="O74" s="518">
        <v>3</v>
      </c>
      <c r="P74" s="517">
        <v>10</v>
      </c>
      <c r="Q74" s="518">
        <v>3</v>
      </c>
      <c r="R74" s="518">
        <v>4</v>
      </c>
      <c r="S74" s="518">
        <v>3</v>
      </c>
      <c r="T74" s="517">
        <v>10</v>
      </c>
      <c r="U74" s="518">
        <v>3</v>
      </c>
      <c r="V74" s="518">
        <v>4</v>
      </c>
      <c r="W74" s="518">
        <v>3</v>
      </c>
      <c r="X74" s="474" t="s">
        <v>3169</v>
      </c>
      <c r="Y74" s="474"/>
      <c r="Z74" s="345"/>
    </row>
    <row r="75" spans="1:26" ht="12.75">
      <c r="A75" s="474"/>
      <c r="B75" s="516" t="s">
        <v>2988</v>
      </c>
      <c r="C75" s="517">
        <v>20</v>
      </c>
      <c r="D75" s="517" t="s">
        <v>2987</v>
      </c>
      <c r="E75" s="517">
        <v>249.6</v>
      </c>
      <c r="F75" s="489">
        <v>4992</v>
      </c>
      <c r="G75" s="517" t="s">
        <v>513</v>
      </c>
      <c r="H75" s="517">
        <v>5</v>
      </c>
      <c r="I75" s="518">
        <v>5</v>
      </c>
      <c r="J75" s="518">
        <v>0</v>
      </c>
      <c r="K75" s="518">
        <v>0</v>
      </c>
      <c r="L75" s="517">
        <v>5</v>
      </c>
      <c r="M75" s="518">
        <v>5</v>
      </c>
      <c r="N75" s="518">
        <v>0</v>
      </c>
      <c r="O75" s="518">
        <v>0</v>
      </c>
      <c r="P75" s="517">
        <v>5</v>
      </c>
      <c r="Q75" s="518">
        <v>5</v>
      </c>
      <c r="R75" s="518">
        <v>0</v>
      </c>
      <c r="S75" s="518">
        <v>0</v>
      </c>
      <c r="T75" s="517">
        <v>5</v>
      </c>
      <c r="U75" s="518">
        <v>5</v>
      </c>
      <c r="V75" s="518">
        <v>0</v>
      </c>
      <c r="W75" s="518">
        <v>0</v>
      </c>
      <c r="X75" s="474" t="s">
        <v>3169</v>
      </c>
      <c r="Y75" s="474"/>
      <c r="Z75" s="345"/>
    </row>
    <row r="76" spans="1:26" ht="12.75">
      <c r="A76" s="474"/>
      <c r="B76" s="516" t="s">
        <v>2989</v>
      </c>
      <c r="C76" s="517">
        <v>20</v>
      </c>
      <c r="D76" s="517" t="s">
        <v>2987</v>
      </c>
      <c r="E76" s="517">
        <v>249.6</v>
      </c>
      <c r="F76" s="489">
        <v>4992</v>
      </c>
      <c r="G76" s="517" t="s">
        <v>513</v>
      </c>
      <c r="H76" s="517">
        <v>5</v>
      </c>
      <c r="I76" s="518">
        <v>5</v>
      </c>
      <c r="J76" s="518">
        <v>0</v>
      </c>
      <c r="K76" s="518">
        <v>0</v>
      </c>
      <c r="L76" s="517">
        <v>5</v>
      </c>
      <c r="M76" s="518">
        <v>5</v>
      </c>
      <c r="N76" s="518">
        <v>0</v>
      </c>
      <c r="O76" s="518">
        <v>0</v>
      </c>
      <c r="P76" s="517">
        <v>5</v>
      </c>
      <c r="Q76" s="518">
        <v>5</v>
      </c>
      <c r="R76" s="518">
        <v>0</v>
      </c>
      <c r="S76" s="518">
        <v>0</v>
      </c>
      <c r="T76" s="517">
        <v>5</v>
      </c>
      <c r="U76" s="518">
        <v>5</v>
      </c>
      <c r="V76" s="518">
        <v>0</v>
      </c>
      <c r="W76" s="518">
        <v>0</v>
      </c>
      <c r="X76" s="474" t="s">
        <v>3169</v>
      </c>
      <c r="Y76" s="474"/>
      <c r="Z76" s="345"/>
    </row>
    <row r="77" spans="1:26" ht="12.75">
      <c r="A77" s="474"/>
      <c r="B77" s="516" t="s">
        <v>2990</v>
      </c>
      <c r="C77" s="517">
        <v>20</v>
      </c>
      <c r="D77" s="517" t="s">
        <v>2987</v>
      </c>
      <c r="E77" s="517">
        <v>249.6</v>
      </c>
      <c r="F77" s="489">
        <v>4992</v>
      </c>
      <c r="G77" s="517" t="s">
        <v>513</v>
      </c>
      <c r="H77" s="517">
        <v>5</v>
      </c>
      <c r="I77" s="518">
        <v>5</v>
      </c>
      <c r="J77" s="518">
        <v>0</v>
      </c>
      <c r="K77" s="518">
        <v>0</v>
      </c>
      <c r="L77" s="517">
        <v>5</v>
      </c>
      <c r="M77" s="518">
        <v>5</v>
      </c>
      <c r="N77" s="518">
        <v>0</v>
      </c>
      <c r="O77" s="518">
        <v>0</v>
      </c>
      <c r="P77" s="517">
        <v>5</v>
      </c>
      <c r="Q77" s="518">
        <v>5</v>
      </c>
      <c r="R77" s="518">
        <v>0</v>
      </c>
      <c r="S77" s="518">
        <v>0</v>
      </c>
      <c r="T77" s="517">
        <v>5</v>
      </c>
      <c r="U77" s="518">
        <v>5</v>
      </c>
      <c r="V77" s="518">
        <v>0</v>
      </c>
      <c r="W77" s="518">
        <v>0</v>
      </c>
      <c r="X77" s="474" t="s">
        <v>3169</v>
      </c>
      <c r="Y77" s="474"/>
      <c r="Z77" s="345"/>
    </row>
    <row r="78" spans="1:26" ht="12.75">
      <c r="A78" s="474"/>
      <c r="B78" s="516" t="s">
        <v>528</v>
      </c>
      <c r="C78" s="517">
        <v>40</v>
      </c>
      <c r="D78" s="517" t="s">
        <v>2987</v>
      </c>
      <c r="E78" s="517">
        <v>249.6</v>
      </c>
      <c r="F78" s="489">
        <v>9984</v>
      </c>
      <c r="G78" s="517" t="s">
        <v>513</v>
      </c>
      <c r="H78" s="517">
        <v>10</v>
      </c>
      <c r="I78" s="518">
        <v>3</v>
      </c>
      <c r="J78" s="518">
        <v>4</v>
      </c>
      <c r="K78" s="518">
        <v>3</v>
      </c>
      <c r="L78" s="517">
        <v>10</v>
      </c>
      <c r="M78" s="518">
        <v>3</v>
      </c>
      <c r="N78" s="518">
        <v>4</v>
      </c>
      <c r="O78" s="518">
        <v>3</v>
      </c>
      <c r="P78" s="517">
        <v>10</v>
      </c>
      <c r="Q78" s="518">
        <v>3</v>
      </c>
      <c r="R78" s="518">
        <v>4</v>
      </c>
      <c r="S78" s="518">
        <v>3</v>
      </c>
      <c r="T78" s="517">
        <v>10</v>
      </c>
      <c r="U78" s="518">
        <v>3</v>
      </c>
      <c r="V78" s="518">
        <v>4</v>
      </c>
      <c r="W78" s="518">
        <v>3</v>
      </c>
      <c r="X78" s="474" t="s">
        <v>3169</v>
      </c>
      <c r="Y78" s="474"/>
      <c r="Z78" s="345"/>
    </row>
    <row r="79" spans="1:26" ht="12.75">
      <c r="A79" s="474"/>
      <c r="B79" s="516" t="s">
        <v>529</v>
      </c>
      <c r="C79" s="517">
        <v>20</v>
      </c>
      <c r="D79" s="517" t="s">
        <v>2987</v>
      </c>
      <c r="E79" s="517">
        <v>249.6</v>
      </c>
      <c r="F79" s="489">
        <v>4992</v>
      </c>
      <c r="G79" s="517" t="s">
        <v>513</v>
      </c>
      <c r="H79" s="517">
        <v>5</v>
      </c>
      <c r="I79" s="518">
        <v>5</v>
      </c>
      <c r="J79" s="518">
        <v>0</v>
      </c>
      <c r="K79" s="518">
        <v>0</v>
      </c>
      <c r="L79" s="517">
        <v>5</v>
      </c>
      <c r="M79" s="518">
        <v>5</v>
      </c>
      <c r="N79" s="518">
        <v>0</v>
      </c>
      <c r="O79" s="518">
        <v>0</v>
      </c>
      <c r="P79" s="517">
        <v>5</v>
      </c>
      <c r="Q79" s="518">
        <v>5</v>
      </c>
      <c r="R79" s="518">
        <v>0</v>
      </c>
      <c r="S79" s="518">
        <v>0</v>
      </c>
      <c r="T79" s="517">
        <v>5</v>
      </c>
      <c r="U79" s="518">
        <v>5</v>
      </c>
      <c r="V79" s="518">
        <v>0</v>
      </c>
      <c r="W79" s="518">
        <v>0</v>
      </c>
      <c r="X79" s="474" t="s">
        <v>3169</v>
      </c>
      <c r="Y79" s="474"/>
      <c r="Z79" s="345"/>
    </row>
    <row r="80" spans="1:26" ht="12.75">
      <c r="A80" s="474"/>
      <c r="B80" s="516" t="s">
        <v>530</v>
      </c>
      <c r="C80" s="517">
        <v>20</v>
      </c>
      <c r="D80" s="517" t="s">
        <v>2987</v>
      </c>
      <c r="E80" s="517">
        <v>249.6</v>
      </c>
      <c r="F80" s="489">
        <v>4992</v>
      </c>
      <c r="G80" s="517" t="s">
        <v>513</v>
      </c>
      <c r="H80" s="517">
        <v>5</v>
      </c>
      <c r="I80" s="518">
        <v>5</v>
      </c>
      <c r="J80" s="518">
        <v>0</v>
      </c>
      <c r="K80" s="518">
        <v>0</v>
      </c>
      <c r="L80" s="517">
        <v>5</v>
      </c>
      <c r="M80" s="518">
        <v>5</v>
      </c>
      <c r="N80" s="518">
        <v>0</v>
      </c>
      <c r="O80" s="518">
        <v>0</v>
      </c>
      <c r="P80" s="517">
        <v>5</v>
      </c>
      <c r="Q80" s="518">
        <v>5</v>
      </c>
      <c r="R80" s="518">
        <v>0</v>
      </c>
      <c r="S80" s="518">
        <v>0</v>
      </c>
      <c r="T80" s="517">
        <v>5</v>
      </c>
      <c r="U80" s="518">
        <v>5</v>
      </c>
      <c r="V80" s="518">
        <v>0</v>
      </c>
      <c r="W80" s="518">
        <v>0</v>
      </c>
      <c r="X80" s="474" t="s">
        <v>3169</v>
      </c>
      <c r="Y80" s="474"/>
      <c r="Z80" s="345"/>
    </row>
    <row r="81" spans="1:26" ht="12.75">
      <c r="A81" s="474"/>
      <c r="B81" s="516" t="s">
        <v>531</v>
      </c>
      <c r="C81" s="517">
        <v>20</v>
      </c>
      <c r="D81" s="517" t="s">
        <v>2987</v>
      </c>
      <c r="E81" s="517">
        <v>249.6</v>
      </c>
      <c r="F81" s="489">
        <v>4992</v>
      </c>
      <c r="G81" s="517" t="s">
        <v>513</v>
      </c>
      <c r="H81" s="517">
        <v>5</v>
      </c>
      <c r="I81" s="518">
        <v>5</v>
      </c>
      <c r="J81" s="518">
        <v>0</v>
      </c>
      <c r="K81" s="518">
        <v>0</v>
      </c>
      <c r="L81" s="517">
        <v>5</v>
      </c>
      <c r="M81" s="518">
        <v>5</v>
      </c>
      <c r="N81" s="518">
        <v>0</v>
      </c>
      <c r="O81" s="518">
        <v>0</v>
      </c>
      <c r="P81" s="517">
        <v>5</v>
      </c>
      <c r="Q81" s="518">
        <v>5</v>
      </c>
      <c r="R81" s="518">
        <v>0</v>
      </c>
      <c r="S81" s="518">
        <v>0</v>
      </c>
      <c r="T81" s="517">
        <v>5</v>
      </c>
      <c r="U81" s="518">
        <v>5</v>
      </c>
      <c r="V81" s="518">
        <v>0</v>
      </c>
      <c r="W81" s="518">
        <v>0</v>
      </c>
      <c r="X81" s="474" t="s">
        <v>3169</v>
      </c>
      <c r="Y81" s="474"/>
      <c r="Z81" s="345"/>
    </row>
    <row r="82" spans="1:26" ht="12.75">
      <c r="A82" s="474"/>
      <c r="B82" s="516" t="s">
        <v>1389</v>
      </c>
      <c r="C82" s="517">
        <v>1</v>
      </c>
      <c r="D82" s="517" t="s">
        <v>446</v>
      </c>
      <c r="E82" s="517">
        <v>42592</v>
      </c>
      <c r="F82" s="489">
        <v>42592</v>
      </c>
      <c r="G82" s="517" t="s">
        <v>513</v>
      </c>
      <c r="H82" s="517">
        <v>1</v>
      </c>
      <c r="I82" s="518">
        <v>1</v>
      </c>
      <c r="J82" s="518">
        <v>0</v>
      </c>
      <c r="K82" s="518">
        <v>0</v>
      </c>
      <c r="L82" s="517">
        <v>0</v>
      </c>
      <c r="M82" s="518">
        <v>0</v>
      </c>
      <c r="N82" s="518">
        <v>0</v>
      </c>
      <c r="O82" s="518">
        <v>0</v>
      </c>
      <c r="P82" s="517">
        <v>0</v>
      </c>
      <c r="Q82" s="518">
        <v>0</v>
      </c>
      <c r="R82" s="518">
        <v>0</v>
      </c>
      <c r="S82" s="518">
        <v>0</v>
      </c>
      <c r="T82" s="517">
        <v>0</v>
      </c>
      <c r="U82" s="518">
        <v>0</v>
      </c>
      <c r="V82" s="518">
        <v>0</v>
      </c>
      <c r="W82" s="518">
        <v>0</v>
      </c>
      <c r="X82" s="474" t="s">
        <v>3169</v>
      </c>
      <c r="Y82" s="474"/>
      <c r="Z82" s="345"/>
    </row>
    <row r="83" spans="1:26" ht="12.75">
      <c r="A83" s="474"/>
      <c r="B83" s="516" t="s">
        <v>520</v>
      </c>
      <c r="C83" s="517">
        <v>24</v>
      </c>
      <c r="D83" s="517" t="s">
        <v>773</v>
      </c>
      <c r="E83" s="517">
        <v>9680</v>
      </c>
      <c r="F83" s="489">
        <v>232320</v>
      </c>
      <c r="G83" s="517" t="s">
        <v>513</v>
      </c>
      <c r="H83" s="517">
        <v>6</v>
      </c>
      <c r="I83" s="518">
        <v>2</v>
      </c>
      <c r="J83" s="518">
        <v>2</v>
      </c>
      <c r="K83" s="518">
        <v>2</v>
      </c>
      <c r="L83" s="517">
        <v>6</v>
      </c>
      <c r="M83" s="518">
        <v>2</v>
      </c>
      <c r="N83" s="518">
        <v>2</v>
      </c>
      <c r="O83" s="518">
        <v>2</v>
      </c>
      <c r="P83" s="517">
        <v>6</v>
      </c>
      <c r="Q83" s="518">
        <v>2</v>
      </c>
      <c r="R83" s="518">
        <v>2</v>
      </c>
      <c r="S83" s="518">
        <v>2</v>
      </c>
      <c r="T83" s="517">
        <v>6</v>
      </c>
      <c r="U83" s="518">
        <v>2</v>
      </c>
      <c r="V83" s="518">
        <v>2</v>
      </c>
      <c r="W83" s="518">
        <v>2</v>
      </c>
      <c r="X83" s="474" t="s">
        <v>3169</v>
      </c>
      <c r="Y83" s="474"/>
      <c r="Z83" s="345"/>
    </row>
    <row r="84" spans="1:26" ht="12.75">
      <c r="A84" s="474"/>
      <c r="B84" s="516" t="s">
        <v>2991</v>
      </c>
      <c r="C84" s="517">
        <v>24</v>
      </c>
      <c r="D84" s="517" t="s">
        <v>773</v>
      </c>
      <c r="E84" s="517">
        <v>8580</v>
      </c>
      <c r="F84" s="489">
        <v>205920</v>
      </c>
      <c r="G84" s="517" t="s">
        <v>513</v>
      </c>
      <c r="H84" s="517">
        <v>6</v>
      </c>
      <c r="I84" s="518">
        <v>2</v>
      </c>
      <c r="J84" s="518">
        <v>2</v>
      </c>
      <c r="K84" s="518">
        <v>2</v>
      </c>
      <c r="L84" s="517">
        <v>6</v>
      </c>
      <c r="M84" s="518">
        <v>2</v>
      </c>
      <c r="N84" s="518">
        <v>2</v>
      </c>
      <c r="O84" s="518">
        <v>2</v>
      </c>
      <c r="P84" s="517">
        <v>6</v>
      </c>
      <c r="Q84" s="518">
        <v>2</v>
      </c>
      <c r="R84" s="518">
        <v>2</v>
      </c>
      <c r="S84" s="518">
        <v>2</v>
      </c>
      <c r="T84" s="517">
        <v>6</v>
      </c>
      <c r="U84" s="518">
        <v>2</v>
      </c>
      <c r="V84" s="518">
        <v>2</v>
      </c>
      <c r="W84" s="518">
        <v>2</v>
      </c>
      <c r="X84" s="474" t="s">
        <v>3169</v>
      </c>
      <c r="Y84" s="474"/>
      <c r="Z84" s="345"/>
    </row>
    <row r="85" spans="1:26" ht="12.75">
      <c r="A85" s="474"/>
      <c r="B85" s="513" t="s">
        <v>521</v>
      </c>
      <c r="C85" s="514">
        <v>2</v>
      </c>
      <c r="D85" s="514" t="s">
        <v>92</v>
      </c>
      <c r="E85" s="519">
        <v>3839</v>
      </c>
      <c r="F85" s="519">
        <v>7678</v>
      </c>
      <c r="G85" s="514" t="s">
        <v>513</v>
      </c>
      <c r="H85" s="514">
        <v>2</v>
      </c>
      <c r="I85" s="515">
        <v>2</v>
      </c>
      <c r="J85" s="515">
        <v>0</v>
      </c>
      <c r="K85" s="515">
        <v>0</v>
      </c>
      <c r="L85" s="514">
        <v>0</v>
      </c>
      <c r="M85" s="515">
        <v>0</v>
      </c>
      <c r="N85" s="515">
        <v>0</v>
      </c>
      <c r="O85" s="515">
        <v>0</v>
      </c>
      <c r="P85" s="514">
        <v>0</v>
      </c>
      <c r="Q85" s="515">
        <v>0</v>
      </c>
      <c r="R85" s="515">
        <v>0</v>
      </c>
      <c r="S85" s="515">
        <v>0</v>
      </c>
      <c r="T85" s="514">
        <v>0</v>
      </c>
      <c r="U85" s="515">
        <v>0</v>
      </c>
      <c r="V85" s="515">
        <v>0</v>
      </c>
      <c r="W85" s="515">
        <v>0</v>
      </c>
      <c r="X85" s="474" t="s">
        <v>3169</v>
      </c>
      <c r="Y85" s="474"/>
      <c r="Z85" s="345"/>
    </row>
    <row r="86" spans="1:26" ht="12.75">
      <c r="A86" s="474"/>
      <c r="B86" s="516" t="s">
        <v>731</v>
      </c>
      <c r="C86" s="517">
        <v>2</v>
      </c>
      <c r="D86" s="517" t="s">
        <v>92</v>
      </c>
      <c r="E86" s="489">
        <v>2792.4</v>
      </c>
      <c r="F86" s="489">
        <v>5584.8</v>
      </c>
      <c r="G86" s="517" t="s">
        <v>513</v>
      </c>
      <c r="H86" s="517">
        <v>2</v>
      </c>
      <c r="I86" s="518">
        <v>2</v>
      </c>
      <c r="J86" s="518">
        <v>0</v>
      </c>
      <c r="K86" s="518">
        <v>0</v>
      </c>
      <c r="L86" s="517">
        <v>0</v>
      </c>
      <c r="M86" s="518">
        <v>0</v>
      </c>
      <c r="N86" s="518">
        <v>0</v>
      </c>
      <c r="O86" s="518">
        <v>0</v>
      </c>
      <c r="P86" s="517">
        <v>0</v>
      </c>
      <c r="Q86" s="518">
        <v>0</v>
      </c>
      <c r="R86" s="518">
        <v>0</v>
      </c>
      <c r="S86" s="518">
        <v>0</v>
      </c>
      <c r="T86" s="517">
        <v>0</v>
      </c>
      <c r="U86" s="518">
        <v>0</v>
      </c>
      <c r="V86" s="518">
        <v>0</v>
      </c>
      <c r="W86" s="518">
        <v>0</v>
      </c>
      <c r="X86" s="474" t="s">
        <v>3169</v>
      </c>
      <c r="Y86" s="474"/>
      <c r="Z86" s="345"/>
    </row>
    <row r="87" spans="1:26" ht="12.75">
      <c r="A87" s="474"/>
      <c r="B87" s="516" t="s">
        <v>2992</v>
      </c>
      <c r="C87" s="517">
        <v>1</v>
      </c>
      <c r="D87" s="517" t="s">
        <v>2993</v>
      </c>
      <c r="E87" s="489">
        <v>23568.6</v>
      </c>
      <c r="F87" s="489">
        <v>23568.6</v>
      </c>
      <c r="G87" s="517" t="s">
        <v>513</v>
      </c>
      <c r="H87" s="517">
        <v>1</v>
      </c>
      <c r="I87" s="518">
        <v>1</v>
      </c>
      <c r="J87" s="518">
        <v>0</v>
      </c>
      <c r="K87" s="518">
        <v>0</v>
      </c>
      <c r="L87" s="517">
        <v>0</v>
      </c>
      <c r="M87" s="518">
        <v>0</v>
      </c>
      <c r="N87" s="518">
        <v>0</v>
      </c>
      <c r="O87" s="518">
        <v>0</v>
      </c>
      <c r="P87" s="517">
        <v>0</v>
      </c>
      <c r="Q87" s="518">
        <v>0</v>
      </c>
      <c r="R87" s="518">
        <v>0</v>
      </c>
      <c r="S87" s="518">
        <v>0</v>
      </c>
      <c r="T87" s="517">
        <v>0</v>
      </c>
      <c r="U87" s="518">
        <v>0</v>
      </c>
      <c r="V87" s="518">
        <v>0</v>
      </c>
      <c r="W87" s="518">
        <v>0</v>
      </c>
      <c r="X87" s="474" t="s">
        <v>3169</v>
      </c>
      <c r="Y87" s="474"/>
      <c r="Z87" s="345"/>
    </row>
    <row r="88" spans="1:26" ht="12.75">
      <c r="A88" s="474"/>
      <c r="B88" s="513" t="s">
        <v>2994</v>
      </c>
      <c r="C88" s="514">
        <v>3</v>
      </c>
      <c r="D88" s="514" t="s">
        <v>118</v>
      </c>
      <c r="E88" s="519">
        <v>69890</v>
      </c>
      <c r="F88" s="519">
        <v>1048350</v>
      </c>
      <c r="G88" s="514"/>
      <c r="H88" s="514">
        <v>3</v>
      </c>
      <c r="I88" s="515">
        <v>1</v>
      </c>
      <c r="J88" s="515">
        <v>1</v>
      </c>
      <c r="K88" s="515">
        <v>1</v>
      </c>
      <c r="L88" s="514">
        <v>0</v>
      </c>
      <c r="M88" s="515">
        <v>0</v>
      </c>
      <c r="N88" s="515">
        <v>0</v>
      </c>
      <c r="O88" s="515">
        <v>0</v>
      </c>
      <c r="P88" s="514">
        <v>0</v>
      </c>
      <c r="Q88" s="515">
        <v>0</v>
      </c>
      <c r="R88" s="515">
        <v>0</v>
      </c>
      <c r="S88" s="515">
        <v>0</v>
      </c>
      <c r="T88" s="514">
        <v>0</v>
      </c>
      <c r="U88" s="515">
        <v>0</v>
      </c>
      <c r="V88" s="515">
        <v>0</v>
      </c>
      <c r="W88" s="515">
        <v>0</v>
      </c>
      <c r="X88" s="474" t="s">
        <v>3169</v>
      </c>
      <c r="Y88" s="474"/>
      <c r="Z88" s="345"/>
    </row>
    <row r="89" spans="1:26" ht="12.75">
      <c r="A89" s="345"/>
      <c r="B89" s="520" t="s">
        <v>2995</v>
      </c>
      <c r="C89" s="521">
        <v>4</v>
      </c>
      <c r="D89" s="522" t="s">
        <v>638</v>
      </c>
      <c r="E89" s="523">
        <v>305</v>
      </c>
      <c r="F89" s="524">
        <v>12200</v>
      </c>
      <c r="G89" s="521"/>
      <c r="H89" s="521">
        <v>1</v>
      </c>
      <c r="I89" s="521">
        <v>1</v>
      </c>
      <c r="J89" s="521">
        <v>0</v>
      </c>
      <c r="K89" s="521">
        <v>0</v>
      </c>
      <c r="L89" s="521">
        <v>1</v>
      </c>
      <c r="M89" s="521">
        <v>1</v>
      </c>
      <c r="N89" s="521">
        <v>0</v>
      </c>
      <c r="O89" s="521">
        <v>0</v>
      </c>
      <c r="P89" s="521">
        <v>1</v>
      </c>
      <c r="Q89" s="521">
        <v>1</v>
      </c>
      <c r="R89" s="521">
        <v>0</v>
      </c>
      <c r="S89" s="521">
        <v>0</v>
      </c>
      <c r="T89" s="521">
        <v>1</v>
      </c>
      <c r="U89" s="521">
        <v>1</v>
      </c>
      <c r="V89" s="521">
        <v>0</v>
      </c>
      <c r="W89" s="521">
        <v>0</v>
      </c>
      <c r="X89" s="345" t="s">
        <v>2996</v>
      </c>
      <c r="Y89" s="345"/>
      <c r="Z89" s="345"/>
    </row>
    <row r="90" spans="1:26" ht="12.75">
      <c r="A90" s="345"/>
      <c r="B90" s="525" t="s">
        <v>2997</v>
      </c>
      <c r="C90" s="526">
        <v>4</v>
      </c>
      <c r="D90" s="527" t="s">
        <v>638</v>
      </c>
      <c r="E90" s="528">
        <v>305</v>
      </c>
      <c r="F90" s="524">
        <v>12200</v>
      </c>
      <c r="G90" s="526"/>
      <c r="H90" s="526">
        <v>1</v>
      </c>
      <c r="I90" s="526">
        <v>1</v>
      </c>
      <c r="J90" s="526">
        <v>0</v>
      </c>
      <c r="K90" s="526">
        <v>0</v>
      </c>
      <c r="L90" s="526">
        <v>1</v>
      </c>
      <c r="M90" s="526">
        <v>1</v>
      </c>
      <c r="N90" s="526">
        <v>0</v>
      </c>
      <c r="O90" s="526">
        <v>0</v>
      </c>
      <c r="P90" s="526">
        <v>1</v>
      </c>
      <c r="Q90" s="526">
        <v>1</v>
      </c>
      <c r="R90" s="526">
        <v>0</v>
      </c>
      <c r="S90" s="526">
        <v>0</v>
      </c>
      <c r="T90" s="526">
        <v>1</v>
      </c>
      <c r="U90" s="526">
        <v>1</v>
      </c>
      <c r="V90" s="526">
        <v>0</v>
      </c>
      <c r="W90" s="526">
        <v>0</v>
      </c>
      <c r="X90" s="345" t="s">
        <v>2996</v>
      </c>
      <c r="Y90" s="345"/>
      <c r="Z90" s="345"/>
    </row>
    <row r="91" spans="1:26" ht="12.75">
      <c r="A91" s="345"/>
      <c r="B91" s="525" t="s">
        <v>2998</v>
      </c>
      <c r="C91" s="526">
        <v>8</v>
      </c>
      <c r="D91" s="527" t="s">
        <v>638</v>
      </c>
      <c r="E91" s="529">
        <v>365</v>
      </c>
      <c r="F91" s="524">
        <v>29200</v>
      </c>
      <c r="G91" s="526"/>
      <c r="H91" s="526">
        <v>2</v>
      </c>
      <c r="I91" s="526">
        <v>1</v>
      </c>
      <c r="J91" s="526">
        <v>0</v>
      </c>
      <c r="K91" s="526">
        <v>1</v>
      </c>
      <c r="L91" s="526">
        <v>2</v>
      </c>
      <c r="M91" s="526">
        <v>0</v>
      </c>
      <c r="N91" s="526">
        <v>1</v>
      </c>
      <c r="O91" s="526">
        <v>1</v>
      </c>
      <c r="P91" s="526">
        <v>2</v>
      </c>
      <c r="Q91" s="526">
        <v>0</v>
      </c>
      <c r="R91" s="526">
        <v>1</v>
      </c>
      <c r="S91" s="526">
        <v>1</v>
      </c>
      <c r="T91" s="526">
        <v>2</v>
      </c>
      <c r="U91" s="526">
        <v>1</v>
      </c>
      <c r="V91" s="526">
        <v>0</v>
      </c>
      <c r="W91" s="526">
        <v>1</v>
      </c>
      <c r="X91" s="345" t="s">
        <v>2996</v>
      </c>
      <c r="Y91" s="345"/>
      <c r="Z91" s="345"/>
    </row>
    <row r="92" spans="1:26" ht="12.75">
      <c r="A92" s="345"/>
      <c r="B92" s="525" t="s">
        <v>2999</v>
      </c>
      <c r="C92" s="526">
        <v>4</v>
      </c>
      <c r="D92" s="527" t="s">
        <v>638</v>
      </c>
      <c r="E92" s="529">
        <v>305</v>
      </c>
      <c r="F92" s="524">
        <v>12200</v>
      </c>
      <c r="G92" s="526"/>
      <c r="H92" s="526">
        <v>1</v>
      </c>
      <c r="I92" s="526">
        <v>1</v>
      </c>
      <c r="J92" s="526">
        <v>0</v>
      </c>
      <c r="K92" s="526">
        <v>0</v>
      </c>
      <c r="L92" s="526">
        <v>1</v>
      </c>
      <c r="M92" s="526">
        <v>1</v>
      </c>
      <c r="N92" s="526">
        <v>0</v>
      </c>
      <c r="O92" s="526">
        <v>0</v>
      </c>
      <c r="P92" s="526">
        <v>1</v>
      </c>
      <c r="Q92" s="526">
        <v>1</v>
      </c>
      <c r="R92" s="526">
        <v>0</v>
      </c>
      <c r="S92" s="526">
        <v>0</v>
      </c>
      <c r="T92" s="526">
        <v>1</v>
      </c>
      <c r="U92" s="526">
        <v>1</v>
      </c>
      <c r="V92" s="526">
        <v>0</v>
      </c>
      <c r="W92" s="526">
        <v>0</v>
      </c>
      <c r="X92" s="345" t="s">
        <v>2996</v>
      </c>
      <c r="Y92" s="345"/>
      <c r="Z92" s="345"/>
    </row>
    <row r="93" spans="1:26" ht="12.75">
      <c r="A93" s="345"/>
      <c r="B93" s="500" t="s">
        <v>3000</v>
      </c>
      <c r="C93" s="483">
        <v>5</v>
      </c>
      <c r="D93" s="485" t="s">
        <v>103</v>
      </c>
      <c r="E93" s="485">
        <v>275</v>
      </c>
      <c r="F93" s="488">
        <v>1375</v>
      </c>
      <c r="G93" s="483" t="s">
        <v>495</v>
      </c>
      <c r="H93" s="483">
        <v>2</v>
      </c>
      <c r="I93" s="485">
        <v>2</v>
      </c>
      <c r="J93" s="485">
        <v>0</v>
      </c>
      <c r="K93" s="485">
        <v>0</v>
      </c>
      <c r="L93" s="483">
        <v>1</v>
      </c>
      <c r="M93" s="485">
        <v>1</v>
      </c>
      <c r="N93" s="485">
        <v>0</v>
      </c>
      <c r="O93" s="485">
        <v>0</v>
      </c>
      <c r="P93" s="483">
        <v>1</v>
      </c>
      <c r="Q93" s="485">
        <v>1</v>
      </c>
      <c r="R93" s="485">
        <v>0</v>
      </c>
      <c r="S93" s="485">
        <v>0</v>
      </c>
      <c r="T93" s="483">
        <v>1</v>
      </c>
      <c r="U93" s="485">
        <v>1</v>
      </c>
      <c r="V93" s="485">
        <v>0</v>
      </c>
      <c r="W93" s="485">
        <v>0</v>
      </c>
      <c r="X93" s="345" t="s">
        <v>113</v>
      </c>
      <c r="Y93" s="345"/>
      <c r="Z93" s="345"/>
    </row>
    <row r="94" spans="1:26" ht="12.75">
      <c r="A94" s="345"/>
      <c r="B94" s="530" t="s">
        <v>508</v>
      </c>
      <c r="C94" s="483">
        <v>1</v>
      </c>
      <c r="D94" s="483" t="s">
        <v>103</v>
      </c>
      <c r="E94" s="488">
        <v>2923.5</v>
      </c>
      <c r="F94" s="488">
        <v>2923.5</v>
      </c>
      <c r="G94" s="483" t="s">
        <v>495</v>
      </c>
      <c r="H94" s="483">
        <v>1</v>
      </c>
      <c r="I94" s="483">
        <v>1</v>
      </c>
      <c r="J94" s="483">
        <v>0</v>
      </c>
      <c r="K94" s="483">
        <v>0</v>
      </c>
      <c r="L94" s="483">
        <v>0</v>
      </c>
      <c r="M94" s="483">
        <v>0</v>
      </c>
      <c r="N94" s="483">
        <v>0</v>
      </c>
      <c r="O94" s="483">
        <v>0</v>
      </c>
      <c r="P94" s="483">
        <v>0</v>
      </c>
      <c r="Q94" s="483">
        <v>0</v>
      </c>
      <c r="R94" s="483">
        <v>0</v>
      </c>
      <c r="S94" s="483">
        <v>0</v>
      </c>
      <c r="T94" s="483">
        <v>0</v>
      </c>
      <c r="U94" s="483">
        <v>0</v>
      </c>
      <c r="V94" s="483">
        <v>0</v>
      </c>
      <c r="W94" s="483">
        <v>0</v>
      </c>
      <c r="X94" s="345" t="s">
        <v>113</v>
      </c>
      <c r="Y94" s="345"/>
      <c r="Z94" s="345"/>
    </row>
    <row r="95" spans="1:26" ht="12.75">
      <c r="A95" s="345"/>
      <c r="B95" s="497" t="s">
        <v>509</v>
      </c>
      <c r="C95" s="483">
        <v>5</v>
      </c>
      <c r="D95" s="483" t="s">
        <v>103</v>
      </c>
      <c r="E95" s="483">
        <v>231</v>
      </c>
      <c r="F95" s="488">
        <v>1155</v>
      </c>
      <c r="G95" s="483" t="s">
        <v>495</v>
      </c>
      <c r="H95" s="483">
        <v>2</v>
      </c>
      <c r="I95" s="483">
        <v>2</v>
      </c>
      <c r="J95" s="483">
        <v>0</v>
      </c>
      <c r="K95" s="483">
        <v>0</v>
      </c>
      <c r="L95" s="483">
        <v>2</v>
      </c>
      <c r="M95" s="483">
        <v>2</v>
      </c>
      <c r="N95" s="483">
        <v>0</v>
      </c>
      <c r="O95" s="483">
        <v>0</v>
      </c>
      <c r="P95" s="483">
        <v>1</v>
      </c>
      <c r="Q95" s="483">
        <v>1</v>
      </c>
      <c r="R95" s="483">
        <v>0</v>
      </c>
      <c r="S95" s="483">
        <v>0</v>
      </c>
      <c r="T95" s="483">
        <v>0</v>
      </c>
      <c r="U95" s="483">
        <v>0</v>
      </c>
      <c r="V95" s="483">
        <v>0</v>
      </c>
      <c r="W95" s="483">
        <v>0</v>
      </c>
      <c r="X95" s="345" t="s">
        <v>113</v>
      </c>
      <c r="Y95" s="345"/>
      <c r="Z95" s="345"/>
    </row>
    <row r="96" spans="1:26" ht="12.75">
      <c r="A96" s="345"/>
      <c r="B96" s="497" t="s">
        <v>510</v>
      </c>
      <c r="C96" s="483">
        <v>5</v>
      </c>
      <c r="D96" s="483" t="s">
        <v>103</v>
      </c>
      <c r="E96" s="483">
        <v>489.5</v>
      </c>
      <c r="F96" s="488">
        <v>2447.5</v>
      </c>
      <c r="G96" s="483" t="s">
        <v>495</v>
      </c>
      <c r="H96" s="483">
        <v>2</v>
      </c>
      <c r="I96" s="483">
        <v>2</v>
      </c>
      <c r="J96" s="483">
        <v>0</v>
      </c>
      <c r="K96" s="483">
        <v>0</v>
      </c>
      <c r="L96" s="483">
        <v>2</v>
      </c>
      <c r="M96" s="483">
        <v>2</v>
      </c>
      <c r="N96" s="483">
        <v>0</v>
      </c>
      <c r="O96" s="483">
        <v>0</v>
      </c>
      <c r="P96" s="483">
        <v>1</v>
      </c>
      <c r="Q96" s="483">
        <v>1</v>
      </c>
      <c r="R96" s="483">
        <v>0</v>
      </c>
      <c r="S96" s="483">
        <v>0</v>
      </c>
      <c r="T96" s="483">
        <v>0</v>
      </c>
      <c r="U96" s="483">
        <v>0</v>
      </c>
      <c r="V96" s="483">
        <v>0</v>
      </c>
      <c r="W96" s="483">
        <v>0</v>
      </c>
      <c r="X96" s="345" t="s">
        <v>113</v>
      </c>
      <c r="Y96" s="345"/>
      <c r="Z96" s="345"/>
    </row>
    <row r="97" spans="1:26" ht="12.75">
      <c r="A97" s="345"/>
      <c r="B97" s="497" t="s">
        <v>511</v>
      </c>
      <c r="C97" s="483">
        <v>2</v>
      </c>
      <c r="D97" s="483" t="s">
        <v>103</v>
      </c>
      <c r="E97" s="488">
        <v>3839</v>
      </c>
      <c r="F97" s="488">
        <v>7678</v>
      </c>
      <c r="G97" s="483" t="s">
        <v>495</v>
      </c>
      <c r="H97" s="483">
        <v>2</v>
      </c>
      <c r="I97" s="483">
        <v>2</v>
      </c>
      <c r="J97" s="483">
        <v>0</v>
      </c>
      <c r="K97" s="483">
        <v>0</v>
      </c>
      <c r="L97" s="483">
        <v>0</v>
      </c>
      <c r="M97" s="483">
        <v>0</v>
      </c>
      <c r="N97" s="483">
        <v>0</v>
      </c>
      <c r="O97" s="483">
        <v>0</v>
      </c>
      <c r="P97" s="483">
        <v>0</v>
      </c>
      <c r="Q97" s="483">
        <v>0</v>
      </c>
      <c r="R97" s="483">
        <v>0</v>
      </c>
      <c r="S97" s="483">
        <v>0</v>
      </c>
      <c r="T97" s="483">
        <v>0</v>
      </c>
      <c r="U97" s="483">
        <v>0</v>
      </c>
      <c r="V97" s="483">
        <v>0</v>
      </c>
      <c r="W97" s="483">
        <v>0</v>
      </c>
      <c r="X97" s="345" t="s">
        <v>113</v>
      </c>
      <c r="Y97" s="345"/>
      <c r="Z97" s="345"/>
    </row>
    <row r="98" spans="1:26" ht="12.75">
      <c r="A98" s="345"/>
      <c r="B98" s="497" t="s">
        <v>3001</v>
      </c>
      <c r="C98" s="483">
        <v>5</v>
      </c>
      <c r="D98" s="483" t="s">
        <v>103</v>
      </c>
      <c r="E98" s="488">
        <v>2271.75</v>
      </c>
      <c r="F98" s="488">
        <v>11358.75</v>
      </c>
      <c r="G98" s="483" t="s">
        <v>495</v>
      </c>
      <c r="H98" s="483">
        <v>2</v>
      </c>
      <c r="I98" s="483">
        <v>2</v>
      </c>
      <c r="J98" s="483">
        <v>0</v>
      </c>
      <c r="K98" s="483">
        <v>0</v>
      </c>
      <c r="L98" s="483">
        <v>2</v>
      </c>
      <c r="M98" s="483">
        <v>2</v>
      </c>
      <c r="N98" s="483">
        <v>0</v>
      </c>
      <c r="O98" s="483">
        <v>0</v>
      </c>
      <c r="P98" s="483">
        <v>1</v>
      </c>
      <c r="Q98" s="483">
        <v>1</v>
      </c>
      <c r="R98" s="483">
        <v>0</v>
      </c>
      <c r="S98" s="483">
        <v>0</v>
      </c>
      <c r="T98" s="483">
        <v>0</v>
      </c>
      <c r="U98" s="483">
        <v>0</v>
      </c>
      <c r="V98" s="483">
        <v>0</v>
      </c>
      <c r="W98" s="483">
        <v>0</v>
      </c>
      <c r="X98" s="345" t="s">
        <v>113</v>
      </c>
      <c r="Y98" s="345"/>
      <c r="Z98" s="345"/>
    </row>
    <row r="99" spans="1:26" ht="12.75">
      <c r="A99" s="345"/>
      <c r="B99" s="497" t="s">
        <v>3002</v>
      </c>
      <c r="C99" s="483">
        <v>1</v>
      </c>
      <c r="D99" s="483" t="s">
        <v>103</v>
      </c>
      <c r="E99" s="488">
        <v>7572.15</v>
      </c>
      <c r="F99" s="488">
        <v>7572.15</v>
      </c>
      <c r="G99" s="483" t="s">
        <v>495</v>
      </c>
      <c r="H99" s="483">
        <v>1</v>
      </c>
      <c r="I99" s="483">
        <v>1</v>
      </c>
      <c r="J99" s="483">
        <v>0</v>
      </c>
      <c r="K99" s="483">
        <v>0</v>
      </c>
      <c r="L99" s="483">
        <v>0</v>
      </c>
      <c r="M99" s="483">
        <v>0</v>
      </c>
      <c r="N99" s="483">
        <v>0</v>
      </c>
      <c r="O99" s="483">
        <v>0</v>
      </c>
      <c r="P99" s="483">
        <v>0</v>
      </c>
      <c r="Q99" s="483">
        <v>0</v>
      </c>
      <c r="R99" s="483">
        <v>0</v>
      </c>
      <c r="S99" s="483">
        <v>0</v>
      </c>
      <c r="T99" s="483">
        <v>0</v>
      </c>
      <c r="U99" s="483">
        <v>0</v>
      </c>
      <c r="V99" s="483">
        <v>0</v>
      </c>
      <c r="W99" s="483">
        <v>0</v>
      </c>
      <c r="X99" s="345" t="s">
        <v>113</v>
      </c>
      <c r="Y99" s="345"/>
      <c r="Z99" s="345"/>
    </row>
    <row r="100" spans="1:26" ht="12.75">
      <c r="A100" s="345"/>
      <c r="B100" s="500" t="s">
        <v>496</v>
      </c>
      <c r="C100" s="483">
        <v>24</v>
      </c>
      <c r="D100" s="485" t="s">
        <v>103</v>
      </c>
      <c r="E100" s="485">
        <v>341</v>
      </c>
      <c r="F100" s="488">
        <v>8184</v>
      </c>
      <c r="G100" s="483" t="s">
        <v>495</v>
      </c>
      <c r="H100" s="483">
        <v>6</v>
      </c>
      <c r="I100" s="485">
        <v>2</v>
      </c>
      <c r="J100" s="485">
        <v>2</v>
      </c>
      <c r="K100" s="485">
        <v>2</v>
      </c>
      <c r="L100" s="483">
        <v>6</v>
      </c>
      <c r="M100" s="485">
        <v>2</v>
      </c>
      <c r="N100" s="485">
        <v>2</v>
      </c>
      <c r="O100" s="485">
        <v>2</v>
      </c>
      <c r="P100" s="483">
        <v>6</v>
      </c>
      <c r="Q100" s="485">
        <v>2</v>
      </c>
      <c r="R100" s="485">
        <v>2</v>
      </c>
      <c r="S100" s="485">
        <v>2</v>
      </c>
      <c r="T100" s="483">
        <v>6</v>
      </c>
      <c r="U100" s="485">
        <v>2</v>
      </c>
      <c r="V100" s="485">
        <v>2</v>
      </c>
      <c r="W100" s="485">
        <v>2</v>
      </c>
      <c r="X100" s="345" t="s">
        <v>113</v>
      </c>
      <c r="Y100" s="345"/>
      <c r="Z100" s="345"/>
    </row>
    <row r="101" spans="1:26" ht="12.75">
      <c r="A101" s="345"/>
      <c r="B101" s="497" t="s">
        <v>497</v>
      </c>
      <c r="C101" s="483">
        <v>12</v>
      </c>
      <c r="D101" s="483" t="s">
        <v>103</v>
      </c>
      <c r="E101" s="483">
        <v>335.5</v>
      </c>
      <c r="F101" s="488">
        <v>4026</v>
      </c>
      <c r="G101" s="483" t="s">
        <v>495</v>
      </c>
      <c r="H101" s="483">
        <v>3</v>
      </c>
      <c r="I101" s="483">
        <v>1</v>
      </c>
      <c r="J101" s="483">
        <v>1</v>
      </c>
      <c r="K101" s="483">
        <v>1</v>
      </c>
      <c r="L101" s="483">
        <v>3</v>
      </c>
      <c r="M101" s="483">
        <v>1</v>
      </c>
      <c r="N101" s="483">
        <v>1</v>
      </c>
      <c r="O101" s="483">
        <v>1</v>
      </c>
      <c r="P101" s="483">
        <v>3</v>
      </c>
      <c r="Q101" s="483">
        <v>1</v>
      </c>
      <c r="R101" s="483">
        <v>1</v>
      </c>
      <c r="S101" s="483">
        <v>1</v>
      </c>
      <c r="T101" s="483">
        <v>3</v>
      </c>
      <c r="U101" s="483">
        <v>1</v>
      </c>
      <c r="V101" s="483">
        <v>1</v>
      </c>
      <c r="W101" s="483">
        <v>1</v>
      </c>
      <c r="X101" s="345" t="s">
        <v>113</v>
      </c>
      <c r="Y101" s="345"/>
      <c r="Z101" s="345"/>
    </row>
    <row r="102" spans="1:26" ht="12.75">
      <c r="A102" s="345"/>
      <c r="B102" s="497" t="s">
        <v>498</v>
      </c>
      <c r="C102" s="483">
        <v>12</v>
      </c>
      <c r="D102" s="483" t="s">
        <v>103</v>
      </c>
      <c r="E102" s="483">
        <v>335.5</v>
      </c>
      <c r="F102" s="488">
        <v>4026</v>
      </c>
      <c r="G102" s="483" t="s">
        <v>495</v>
      </c>
      <c r="H102" s="483">
        <v>3</v>
      </c>
      <c r="I102" s="483">
        <v>1</v>
      </c>
      <c r="J102" s="483">
        <v>1</v>
      </c>
      <c r="K102" s="483">
        <v>1</v>
      </c>
      <c r="L102" s="483">
        <v>3</v>
      </c>
      <c r="M102" s="483">
        <v>1</v>
      </c>
      <c r="N102" s="483">
        <v>1</v>
      </c>
      <c r="O102" s="483">
        <v>1</v>
      </c>
      <c r="P102" s="483">
        <v>3</v>
      </c>
      <c r="Q102" s="483">
        <v>1</v>
      </c>
      <c r="R102" s="483">
        <v>1</v>
      </c>
      <c r="S102" s="483">
        <v>1</v>
      </c>
      <c r="T102" s="483">
        <v>3</v>
      </c>
      <c r="U102" s="483">
        <v>1</v>
      </c>
      <c r="V102" s="483">
        <v>1</v>
      </c>
      <c r="W102" s="483">
        <v>1</v>
      </c>
      <c r="X102" s="345" t="s">
        <v>113</v>
      </c>
      <c r="Y102" s="345"/>
      <c r="Z102" s="345"/>
    </row>
    <row r="103" spans="1:26" ht="12.75">
      <c r="A103" s="345"/>
      <c r="B103" s="497" t="s">
        <v>499</v>
      </c>
      <c r="C103" s="483">
        <v>12</v>
      </c>
      <c r="D103" s="483" t="s">
        <v>103</v>
      </c>
      <c r="E103" s="483">
        <v>335.5</v>
      </c>
      <c r="F103" s="488">
        <v>4026</v>
      </c>
      <c r="G103" s="483" t="s">
        <v>495</v>
      </c>
      <c r="H103" s="483">
        <v>3</v>
      </c>
      <c r="I103" s="483">
        <v>1</v>
      </c>
      <c r="J103" s="483">
        <v>1</v>
      </c>
      <c r="K103" s="483">
        <v>1</v>
      </c>
      <c r="L103" s="483">
        <v>3</v>
      </c>
      <c r="M103" s="483">
        <v>1</v>
      </c>
      <c r="N103" s="483">
        <v>1</v>
      </c>
      <c r="O103" s="483">
        <v>1</v>
      </c>
      <c r="P103" s="483">
        <v>3</v>
      </c>
      <c r="Q103" s="483">
        <v>1</v>
      </c>
      <c r="R103" s="483">
        <v>1</v>
      </c>
      <c r="S103" s="483">
        <v>1</v>
      </c>
      <c r="T103" s="483">
        <v>3</v>
      </c>
      <c r="U103" s="483">
        <v>1</v>
      </c>
      <c r="V103" s="483">
        <v>1</v>
      </c>
      <c r="W103" s="483">
        <v>1</v>
      </c>
      <c r="X103" s="345" t="s">
        <v>113</v>
      </c>
      <c r="Y103" s="345"/>
      <c r="Z103" s="345"/>
    </row>
    <row r="104" spans="1:26" ht="12.75">
      <c r="A104" s="345"/>
      <c r="B104" s="497" t="s">
        <v>3003</v>
      </c>
      <c r="C104" s="483">
        <v>12</v>
      </c>
      <c r="D104" s="483" t="s">
        <v>571</v>
      </c>
      <c r="E104" s="483">
        <v>500</v>
      </c>
      <c r="F104" s="488">
        <v>6000</v>
      </c>
      <c r="G104" s="483" t="s">
        <v>495</v>
      </c>
      <c r="H104" s="483">
        <v>3</v>
      </c>
      <c r="I104" s="483">
        <v>1</v>
      </c>
      <c r="J104" s="483">
        <v>1</v>
      </c>
      <c r="K104" s="483">
        <v>1</v>
      </c>
      <c r="L104" s="483">
        <v>3</v>
      </c>
      <c r="M104" s="483">
        <v>1</v>
      </c>
      <c r="N104" s="483">
        <v>1</v>
      </c>
      <c r="O104" s="483">
        <v>1</v>
      </c>
      <c r="P104" s="483">
        <v>3</v>
      </c>
      <c r="Q104" s="483">
        <v>1</v>
      </c>
      <c r="R104" s="483">
        <v>1</v>
      </c>
      <c r="S104" s="483">
        <v>1</v>
      </c>
      <c r="T104" s="483">
        <v>3</v>
      </c>
      <c r="U104" s="483">
        <v>1</v>
      </c>
      <c r="V104" s="483">
        <v>1</v>
      </c>
      <c r="W104" s="483">
        <v>1</v>
      </c>
      <c r="X104" s="345" t="s">
        <v>113</v>
      </c>
      <c r="Y104" s="345"/>
      <c r="Z104" s="345"/>
    </row>
    <row r="105" spans="1:26" ht="12.75">
      <c r="A105" s="345"/>
      <c r="B105" s="497" t="s">
        <v>3004</v>
      </c>
      <c r="C105" s="483">
        <v>8</v>
      </c>
      <c r="D105" s="483" t="s">
        <v>571</v>
      </c>
      <c r="E105" s="483">
        <v>500</v>
      </c>
      <c r="F105" s="488">
        <v>4000</v>
      </c>
      <c r="G105" s="483" t="s">
        <v>495</v>
      </c>
      <c r="H105" s="483">
        <v>2</v>
      </c>
      <c r="I105" s="483">
        <v>1</v>
      </c>
      <c r="J105" s="483">
        <v>0</v>
      </c>
      <c r="K105" s="483">
        <v>1</v>
      </c>
      <c r="L105" s="483">
        <v>2</v>
      </c>
      <c r="M105" s="483">
        <v>1</v>
      </c>
      <c r="N105" s="483">
        <v>0</v>
      </c>
      <c r="O105" s="483">
        <v>1</v>
      </c>
      <c r="P105" s="483">
        <v>2</v>
      </c>
      <c r="Q105" s="483">
        <v>1</v>
      </c>
      <c r="R105" s="483">
        <v>0</v>
      </c>
      <c r="S105" s="483">
        <v>1</v>
      </c>
      <c r="T105" s="483">
        <v>2</v>
      </c>
      <c r="U105" s="483">
        <v>1</v>
      </c>
      <c r="V105" s="483">
        <v>0</v>
      </c>
      <c r="W105" s="483">
        <v>1</v>
      </c>
      <c r="X105" s="345" t="s">
        <v>113</v>
      </c>
      <c r="Y105" s="345"/>
      <c r="Z105" s="345"/>
    </row>
    <row r="106" spans="1:26" ht="12.75">
      <c r="A106" s="345"/>
      <c r="B106" s="497" t="s">
        <v>3005</v>
      </c>
      <c r="C106" s="483">
        <v>8</v>
      </c>
      <c r="D106" s="483" t="s">
        <v>571</v>
      </c>
      <c r="E106" s="483">
        <v>500</v>
      </c>
      <c r="F106" s="488">
        <v>4000</v>
      </c>
      <c r="G106" s="483" t="s">
        <v>495</v>
      </c>
      <c r="H106" s="483">
        <v>2</v>
      </c>
      <c r="I106" s="483">
        <v>1</v>
      </c>
      <c r="J106" s="483">
        <v>0</v>
      </c>
      <c r="K106" s="483">
        <v>1</v>
      </c>
      <c r="L106" s="483">
        <v>2</v>
      </c>
      <c r="M106" s="483">
        <v>1</v>
      </c>
      <c r="N106" s="483">
        <v>0</v>
      </c>
      <c r="O106" s="483">
        <v>1</v>
      </c>
      <c r="P106" s="483">
        <v>2</v>
      </c>
      <c r="Q106" s="483">
        <v>1</v>
      </c>
      <c r="R106" s="483">
        <v>0</v>
      </c>
      <c r="S106" s="483">
        <v>1</v>
      </c>
      <c r="T106" s="483">
        <v>2</v>
      </c>
      <c r="U106" s="483">
        <v>1</v>
      </c>
      <c r="V106" s="483">
        <v>0</v>
      </c>
      <c r="W106" s="483">
        <v>1</v>
      </c>
      <c r="X106" s="345" t="s">
        <v>113</v>
      </c>
      <c r="Y106" s="345"/>
      <c r="Z106" s="345"/>
    </row>
    <row r="107" spans="1:26" ht="12.75">
      <c r="A107" s="345"/>
      <c r="B107" s="497" t="s">
        <v>3006</v>
      </c>
      <c r="C107" s="483">
        <v>8</v>
      </c>
      <c r="D107" s="483" t="s">
        <v>571</v>
      </c>
      <c r="E107" s="483">
        <v>500</v>
      </c>
      <c r="F107" s="488">
        <v>4000</v>
      </c>
      <c r="G107" s="483" t="s">
        <v>495</v>
      </c>
      <c r="H107" s="483">
        <v>2</v>
      </c>
      <c r="I107" s="483">
        <v>1</v>
      </c>
      <c r="J107" s="483">
        <v>0</v>
      </c>
      <c r="K107" s="483">
        <v>1</v>
      </c>
      <c r="L107" s="483">
        <v>2</v>
      </c>
      <c r="M107" s="483">
        <v>1</v>
      </c>
      <c r="N107" s="483">
        <v>0</v>
      </c>
      <c r="O107" s="483">
        <v>1</v>
      </c>
      <c r="P107" s="483">
        <v>2</v>
      </c>
      <c r="Q107" s="483">
        <v>1</v>
      </c>
      <c r="R107" s="483">
        <v>0</v>
      </c>
      <c r="S107" s="483">
        <v>1</v>
      </c>
      <c r="T107" s="483">
        <v>2</v>
      </c>
      <c r="U107" s="483">
        <v>1</v>
      </c>
      <c r="V107" s="483">
        <v>0</v>
      </c>
      <c r="W107" s="483">
        <v>1</v>
      </c>
      <c r="X107" s="345" t="s">
        <v>113</v>
      </c>
      <c r="Y107" s="345"/>
      <c r="Z107" s="345"/>
    </row>
    <row r="108" spans="1:26" ht="12.75">
      <c r="A108" s="345"/>
      <c r="B108" s="497" t="s">
        <v>500</v>
      </c>
      <c r="C108" s="483">
        <v>12</v>
      </c>
      <c r="D108" s="483" t="s">
        <v>103</v>
      </c>
      <c r="E108" s="488">
        <v>9680</v>
      </c>
      <c r="F108" s="488">
        <v>116160</v>
      </c>
      <c r="G108" s="483" t="s">
        <v>495</v>
      </c>
      <c r="H108" s="483">
        <v>3</v>
      </c>
      <c r="I108" s="483">
        <v>1</v>
      </c>
      <c r="J108" s="483">
        <v>1</v>
      </c>
      <c r="K108" s="483">
        <v>1</v>
      </c>
      <c r="L108" s="483">
        <v>3</v>
      </c>
      <c r="M108" s="483">
        <v>1</v>
      </c>
      <c r="N108" s="483">
        <v>1</v>
      </c>
      <c r="O108" s="483">
        <v>1</v>
      </c>
      <c r="P108" s="483">
        <v>3</v>
      </c>
      <c r="Q108" s="483">
        <v>1</v>
      </c>
      <c r="R108" s="483">
        <v>1</v>
      </c>
      <c r="S108" s="483">
        <v>1</v>
      </c>
      <c r="T108" s="483">
        <v>3</v>
      </c>
      <c r="U108" s="483">
        <v>1</v>
      </c>
      <c r="V108" s="483">
        <v>1</v>
      </c>
      <c r="W108" s="483">
        <v>1</v>
      </c>
      <c r="X108" s="345" t="s">
        <v>113</v>
      </c>
      <c r="Y108" s="345"/>
      <c r="Z108" s="345"/>
    </row>
    <row r="109" spans="1:26" ht="12.75">
      <c r="A109" s="345"/>
      <c r="B109" s="497" t="s">
        <v>501</v>
      </c>
      <c r="C109" s="483">
        <v>2</v>
      </c>
      <c r="D109" s="483" t="s">
        <v>103</v>
      </c>
      <c r="E109" s="488">
        <v>38720</v>
      </c>
      <c r="F109" s="488">
        <v>77440</v>
      </c>
      <c r="G109" s="483" t="s">
        <v>495</v>
      </c>
      <c r="H109" s="483">
        <v>1</v>
      </c>
      <c r="I109" s="483">
        <v>1</v>
      </c>
      <c r="J109" s="483">
        <v>0</v>
      </c>
      <c r="K109" s="483">
        <v>0</v>
      </c>
      <c r="L109" s="483">
        <v>0</v>
      </c>
      <c r="M109" s="483">
        <v>0</v>
      </c>
      <c r="N109" s="483">
        <v>0</v>
      </c>
      <c r="O109" s="483">
        <v>0</v>
      </c>
      <c r="P109" s="483">
        <v>1</v>
      </c>
      <c r="Q109" s="483">
        <v>1</v>
      </c>
      <c r="R109" s="483">
        <v>0</v>
      </c>
      <c r="S109" s="483">
        <v>0</v>
      </c>
      <c r="T109" s="483">
        <v>0</v>
      </c>
      <c r="U109" s="483">
        <v>0</v>
      </c>
      <c r="V109" s="483">
        <v>0</v>
      </c>
      <c r="W109" s="483">
        <v>0</v>
      </c>
      <c r="X109" s="345" t="s">
        <v>113</v>
      </c>
      <c r="Y109" s="345"/>
      <c r="Z109" s="345"/>
    </row>
    <row r="110" spans="1:26" ht="12.75">
      <c r="A110" s="345"/>
      <c r="B110" s="531" t="s">
        <v>621</v>
      </c>
      <c r="C110" s="198">
        <v>6</v>
      </c>
      <c r="D110" s="198" t="s">
        <v>118</v>
      </c>
      <c r="E110" s="198"/>
      <c r="F110" s="198" t="s">
        <v>488</v>
      </c>
      <c r="G110" s="198" t="s">
        <v>342</v>
      </c>
      <c r="H110" s="532">
        <v>6</v>
      </c>
      <c r="I110" s="198">
        <v>6</v>
      </c>
      <c r="J110" s="198"/>
      <c r="K110" s="198"/>
      <c r="L110" s="532">
        <v>0</v>
      </c>
      <c r="M110" s="198"/>
      <c r="N110" s="198"/>
      <c r="O110" s="198"/>
      <c r="P110" s="532">
        <v>0</v>
      </c>
      <c r="Q110" s="198"/>
      <c r="R110" s="198"/>
      <c r="S110" s="198"/>
      <c r="T110" s="532">
        <v>0</v>
      </c>
      <c r="U110" s="198"/>
      <c r="V110" s="198"/>
      <c r="W110" s="198"/>
      <c r="X110" s="345" t="s">
        <v>2558</v>
      </c>
      <c r="Y110" s="345"/>
      <c r="Z110" s="345"/>
    </row>
    <row r="111" spans="1:26" ht="12.75">
      <c r="A111" s="345"/>
      <c r="B111" s="533" t="s">
        <v>3007</v>
      </c>
      <c r="C111" s="200">
        <v>2</v>
      </c>
      <c r="D111" s="200" t="s">
        <v>103</v>
      </c>
      <c r="E111" s="200"/>
      <c r="F111" s="200" t="s">
        <v>488</v>
      </c>
      <c r="G111" s="200" t="s">
        <v>342</v>
      </c>
      <c r="H111" s="534">
        <v>2</v>
      </c>
      <c r="I111" s="200">
        <v>2</v>
      </c>
      <c r="J111" s="200"/>
      <c r="K111" s="200"/>
      <c r="L111" s="534">
        <v>0</v>
      </c>
      <c r="M111" s="200"/>
      <c r="N111" s="200"/>
      <c r="O111" s="200"/>
      <c r="P111" s="534">
        <v>0</v>
      </c>
      <c r="Q111" s="200"/>
      <c r="R111" s="200"/>
      <c r="S111" s="200"/>
      <c r="T111" s="534">
        <v>0</v>
      </c>
      <c r="U111" s="200"/>
      <c r="V111" s="200"/>
      <c r="W111" s="200"/>
      <c r="X111" s="345" t="s">
        <v>2558</v>
      </c>
      <c r="Y111" s="345"/>
      <c r="Z111" s="345"/>
    </row>
    <row r="112" spans="1:26" ht="12.75">
      <c r="A112" s="345"/>
      <c r="B112" s="533" t="s">
        <v>622</v>
      </c>
      <c r="C112" s="200">
        <v>10</v>
      </c>
      <c r="D112" s="200" t="s">
        <v>103</v>
      </c>
      <c r="E112" s="200"/>
      <c r="F112" s="200" t="s">
        <v>488</v>
      </c>
      <c r="G112" s="200" t="s">
        <v>342</v>
      </c>
      <c r="H112" s="534">
        <v>10</v>
      </c>
      <c r="I112" s="200">
        <v>10</v>
      </c>
      <c r="J112" s="200"/>
      <c r="K112" s="200"/>
      <c r="L112" s="534">
        <v>0</v>
      </c>
      <c r="M112" s="200"/>
      <c r="N112" s="200"/>
      <c r="O112" s="200"/>
      <c r="P112" s="534">
        <v>0</v>
      </c>
      <c r="Q112" s="200"/>
      <c r="R112" s="200"/>
      <c r="S112" s="200"/>
      <c r="T112" s="534">
        <v>0</v>
      </c>
      <c r="U112" s="200"/>
      <c r="V112" s="200"/>
      <c r="W112" s="200"/>
      <c r="X112" s="345" t="s">
        <v>2558</v>
      </c>
      <c r="Y112" s="345"/>
      <c r="Z112" s="345"/>
    </row>
    <row r="113" spans="1:26" ht="12.75">
      <c r="A113" s="345"/>
      <c r="B113" s="192" t="s">
        <v>234</v>
      </c>
      <c r="C113" s="200">
        <v>3</v>
      </c>
      <c r="D113" s="200" t="s">
        <v>103</v>
      </c>
      <c r="E113" s="535"/>
      <c r="F113" s="200" t="s">
        <v>488</v>
      </c>
      <c r="G113" s="200" t="s">
        <v>342</v>
      </c>
      <c r="H113" s="534">
        <v>3</v>
      </c>
      <c r="I113" s="200">
        <v>3</v>
      </c>
      <c r="J113" s="200"/>
      <c r="K113" s="200"/>
      <c r="L113" s="534">
        <v>0</v>
      </c>
      <c r="M113" s="200"/>
      <c r="N113" s="200"/>
      <c r="O113" s="200"/>
      <c r="P113" s="534">
        <v>0</v>
      </c>
      <c r="Q113" s="200"/>
      <c r="R113" s="200"/>
      <c r="S113" s="200"/>
      <c r="T113" s="534">
        <v>0</v>
      </c>
      <c r="U113" s="200"/>
      <c r="V113" s="200"/>
      <c r="W113" s="200"/>
      <c r="X113" s="345" t="s">
        <v>2558</v>
      </c>
      <c r="Y113" s="345"/>
      <c r="Z113" s="345"/>
    </row>
    <row r="114" spans="1:26" ht="12.75">
      <c r="A114" s="345"/>
      <c r="B114" s="192" t="s">
        <v>239</v>
      </c>
      <c r="C114" s="200">
        <v>3</v>
      </c>
      <c r="D114" s="200" t="s">
        <v>103</v>
      </c>
      <c r="E114" s="535"/>
      <c r="F114" s="200" t="s">
        <v>488</v>
      </c>
      <c r="G114" s="200" t="s">
        <v>342</v>
      </c>
      <c r="H114" s="534">
        <v>3</v>
      </c>
      <c r="I114" s="200">
        <v>3</v>
      </c>
      <c r="J114" s="200"/>
      <c r="K114" s="200"/>
      <c r="L114" s="534">
        <v>0</v>
      </c>
      <c r="M114" s="200"/>
      <c r="N114" s="200"/>
      <c r="O114" s="200"/>
      <c r="P114" s="534">
        <v>0</v>
      </c>
      <c r="Q114" s="200"/>
      <c r="R114" s="200"/>
      <c r="S114" s="200"/>
      <c r="T114" s="534">
        <v>0</v>
      </c>
      <c r="U114" s="200"/>
      <c r="V114" s="200"/>
      <c r="W114" s="200"/>
      <c r="X114" s="345" t="s">
        <v>2558</v>
      </c>
      <c r="Y114" s="345"/>
      <c r="Z114" s="345"/>
    </row>
    <row r="115" spans="1:26" ht="12.75">
      <c r="A115" s="345"/>
      <c r="B115" s="192" t="s">
        <v>493</v>
      </c>
      <c r="C115" s="200">
        <v>2</v>
      </c>
      <c r="D115" s="200" t="s">
        <v>466</v>
      </c>
      <c r="E115" s="535"/>
      <c r="F115" s="200" t="s">
        <v>488</v>
      </c>
      <c r="G115" s="200" t="s">
        <v>342</v>
      </c>
      <c r="H115" s="534">
        <v>2</v>
      </c>
      <c r="I115" s="200">
        <v>2</v>
      </c>
      <c r="J115" s="200"/>
      <c r="K115" s="200"/>
      <c r="L115" s="534">
        <v>0</v>
      </c>
      <c r="M115" s="200"/>
      <c r="N115" s="200"/>
      <c r="O115" s="200"/>
      <c r="P115" s="534">
        <v>0</v>
      </c>
      <c r="Q115" s="200"/>
      <c r="R115" s="200"/>
      <c r="S115" s="200"/>
      <c r="T115" s="534">
        <v>0</v>
      </c>
      <c r="U115" s="200"/>
      <c r="V115" s="200"/>
      <c r="W115" s="200"/>
      <c r="X115" s="345" t="s">
        <v>2558</v>
      </c>
      <c r="Y115" s="345"/>
      <c r="Z115" s="345"/>
    </row>
    <row r="116" spans="1:26" ht="12.75">
      <c r="A116" s="345"/>
      <c r="B116" s="192" t="s">
        <v>3008</v>
      </c>
      <c r="C116" s="200">
        <v>1</v>
      </c>
      <c r="D116" s="200" t="s">
        <v>103</v>
      </c>
      <c r="E116" s="535"/>
      <c r="F116" s="200" t="s">
        <v>488</v>
      </c>
      <c r="G116" s="200" t="s">
        <v>342</v>
      </c>
      <c r="H116" s="534">
        <v>1</v>
      </c>
      <c r="I116" s="200">
        <v>1</v>
      </c>
      <c r="J116" s="200"/>
      <c r="K116" s="200"/>
      <c r="L116" s="534">
        <v>0</v>
      </c>
      <c r="M116" s="200"/>
      <c r="N116" s="200"/>
      <c r="O116" s="200"/>
      <c r="P116" s="534">
        <v>0</v>
      </c>
      <c r="Q116" s="200"/>
      <c r="R116" s="200"/>
      <c r="S116" s="200"/>
      <c r="T116" s="534">
        <v>0</v>
      </c>
      <c r="U116" s="200"/>
      <c r="V116" s="200"/>
      <c r="W116" s="200"/>
      <c r="X116" s="345" t="s">
        <v>2558</v>
      </c>
      <c r="Y116" s="345"/>
      <c r="Z116" s="345"/>
    </row>
    <row r="117" spans="1:26" ht="12.75">
      <c r="A117" s="345"/>
      <c r="B117" s="192" t="s">
        <v>568</v>
      </c>
      <c r="C117" s="200">
        <v>6</v>
      </c>
      <c r="D117" s="200" t="s">
        <v>103</v>
      </c>
      <c r="E117" s="535"/>
      <c r="F117" s="200" t="s">
        <v>488</v>
      </c>
      <c r="G117" s="200" t="s">
        <v>342</v>
      </c>
      <c r="H117" s="534">
        <v>6</v>
      </c>
      <c r="I117" s="200">
        <v>6</v>
      </c>
      <c r="J117" s="200"/>
      <c r="K117" s="200"/>
      <c r="L117" s="534">
        <v>0</v>
      </c>
      <c r="M117" s="200"/>
      <c r="N117" s="200"/>
      <c r="O117" s="200"/>
      <c r="P117" s="534">
        <v>0</v>
      </c>
      <c r="Q117" s="200"/>
      <c r="R117" s="200"/>
      <c r="S117" s="200"/>
      <c r="T117" s="534">
        <v>0</v>
      </c>
      <c r="U117" s="200"/>
      <c r="V117" s="200"/>
      <c r="W117" s="200"/>
      <c r="X117" s="345" t="s">
        <v>2558</v>
      </c>
      <c r="Y117" s="345"/>
      <c r="Z117" s="345"/>
    </row>
    <row r="118" spans="1:26" ht="12.75">
      <c r="A118" s="345"/>
      <c r="B118" s="192" t="s">
        <v>623</v>
      </c>
      <c r="C118" s="200">
        <v>2</v>
      </c>
      <c r="D118" s="200" t="s">
        <v>103</v>
      </c>
      <c r="E118" s="535"/>
      <c r="F118" s="200" t="s">
        <v>488</v>
      </c>
      <c r="G118" s="200" t="s">
        <v>342</v>
      </c>
      <c r="H118" s="534">
        <v>2</v>
      </c>
      <c r="I118" s="200">
        <v>2</v>
      </c>
      <c r="J118" s="200"/>
      <c r="K118" s="200"/>
      <c r="L118" s="534">
        <v>0</v>
      </c>
      <c r="M118" s="200"/>
      <c r="N118" s="200"/>
      <c r="O118" s="200"/>
      <c r="P118" s="534">
        <v>0</v>
      </c>
      <c r="Q118" s="200"/>
      <c r="R118" s="200"/>
      <c r="S118" s="200"/>
      <c r="T118" s="534">
        <v>0</v>
      </c>
      <c r="U118" s="200"/>
      <c r="V118" s="200"/>
      <c r="W118" s="200"/>
      <c r="X118" s="345" t="s">
        <v>2558</v>
      </c>
      <c r="Y118" s="345"/>
      <c r="Z118" s="345"/>
    </row>
    <row r="119" spans="1:26" ht="12.75">
      <c r="A119" s="345"/>
      <c r="B119" s="192" t="s">
        <v>492</v>
      </c>
      <c r="C119" s="200">
        <v>2</v>
      </c>
      <c r="D119" s="200" t="s">
        <v>103</v>
      </c>
      <c r="E119" s="535"/>
      <c r="F119" s="200" t="s">
        <v>488</v>
      </c>
      <c r="G119" s="200" t="s">
        <v>342</v>
      </c>
      <c r="H119" s="534">
        <v>2</v>
      </c>
      <c r="I119" s="200">
        <v>2</v>
      </c>
      <c r="J119" s="200"/>
      <c r="K119" s="200"/>
      <c r="L119" s="534">
        <v>0</v>
      </c>
      <c r="M119" s="200"/>
      <c r="N119" s="200"/>
      <c r="O119" s="200"/>
      <c r="P119" s="534">
        <v>0</v>
      </c>
      <c r="Q119" s="200"/>
      <c r="R119" s="200"/>
      <c r="S119" s="200"/>
      <c r="T119" s="534">
        <v>0</v>
      </c>
      <c r="U119" s="200"/>
      <c r="V119" s="200"/>
      <c r="W119" s="200"/>
      <c r="X119" s="345" t="s">
        <v>2558</v>
      </c>
      <c r="Y119" s="345"/>
      <c r="Z119" s="345"/>
    </row>
    <row r="120" spans="1:26" ht="12.75">
      <c r="A120" s="345"/>
      <c r="B120" s="192" t="s">
        <v>624</v>
      </c>
      <c r="C120" s="200">
        <v>1</v>
      </c>
      <c r="D120" s="200" t="s">
        <v>466</v>
      </c>
      <c r="E120" s="535"/>
      <c r="F120" s="200" t="s">
        <v>488</v>
      </c>
      <c r="G120" s="200" t="s">
        <v>342</v>
      </c>
      <c r="H120" s="534">
        <v>1</v>
      </c>
      <c r="I120" s="200">
        <v>1</v>
      </c>
      <c r="J120" s="200"/>
      <c r="K120" s="200"/>
      <c r="L120" s="534">
        <v>0</v>
      </c>
      <c r="M120" s="200"/>
      <c r="N120" s="200"/>
      <c r="O120" s="200"/>
      <c r="P120" s="534">
        <v>0</v>
      </c>
      <c r="Q120" s="200"/>
      <c r="R120" s="200"/>
      <c r="S120" s="200"/>
      <c r="T120" s="534">
        <v>0</v>
      </c>
      <c r="U120" s="200"/>
      <c r="V120" s="200"/>
      <c r="W120" s="200"/>
      <c r="X120" s="345" t="s">
        <v>2558</v>
      </c>
      <c r="Y120" s="345"/>
      <c r="Z120" s="345"/>
    </row>
    <row r="121" spans="1:26" ht="12.75">
      <c r="A121" s="345"/>
      <c r="B121" s="192" t="s">
        <v>244</v>
      </c>
      <c r="C121" s="200">
        <v>0</v>
      </c>
      <c r="D121" s="200" t="s">
        <v>103</v>
      </c>
      <c r="E121" s="535"/>
      <c r="F121" s="200"/>
      <c r="G121" s="200" t="s">
        <v>342</v>
      </c>
      <c r="H121" s="534">
        <v>0</v>
      </c>
      <c r="I121" s="200"/>
      <c r="J121" s="200"/>
      <c r="K121" s="200"/>
      <c r="L121" s="534">
        <v>0</v>
      </c>
      <c r="M121" s="200"/>
      <c r="N121" s="200"/>
      <c r="O121" s="200"/>
      <c r="P121" s="534">
        <v>0</v>
      </c>
      <c r="Q121" s="200"/>
      <c r="R121" s="200"/>
      <c r="S121" s="200"/>
      <c r="T121" s="534">
        <v>0</v>
      </c>
      <c r="U121" s="200"/>
      <c r="V121" s="200"/>
      <c r="W121" s="200"/>
      <c r="X121" s="345" t="s">
        <v>2558</v>
      </c>
      <c r="Y121" s="345"/>
      <c r="Z121" s="345"/>
    </row>
    <row r="122" spans="1:26" ht="12.75">
      <c r="A122" s="345"/>
      <c r="B122" s="192" t="s">
        <v>625</v>
      </c>
      <c r="C122" s="200">
        <v>2</v>
      </c>
      <c r="D122" s="200" t="s">
        <v>103</v>
      </c>
      <c r="E122" s="535"/>
      <c r="F122" s="200"/>
      <c r="G122" s="200" t="s">
        <v>342</v>
      </c>
      <c r="H122" s="534">
        <v>2</v>
      </c>
      <c r="I122" s="200">
        <v>2</v>
      </c>
      <c r="J122" s="200"/>
      <c r="K122" s="200"/>
      <c r="L122" s="534">
        <v>0</v>
      </c>
      <c r="M122" s="200"/>
      <c r="N122" s="200"/>
      <c r="O122" s="200"/>
      <c r="P122" s="534">
        <v>0</v>
      </c>
      <c r="Q122" s="200"/>
      <c r="R122" s="200"/>
      <c r="S122" s="200"/>
      <c r="T122" s="534">
        <v>0</v>
      </c>
      <c r="U122" s="200"/>
      <c r="V122" s="200"/>
      <c r="W122" s="200"/>
      <c r="X122" s="345" t="s">
        <v>2558</v>
      </c>
      <c r="Y122" s="345"/>
      <c r="Z122" s="345"/>
    </row>
    <row r="123" spans="1:26" ht="12.75">
      <c r="A123" s="345"/>
      <c r="B123" s="192" t="s">
        <v>626</v>
      </c>
      <c r="C123" s="200">
        <v>4</v>
      </c>
      <c r="D123" s="200" t="s">
        <v>103</v>
      </c>
      <c r="E123" s="535"/>
      <c r="F123" s="200"/>
      <c r="G123" s="200" t="s">
        <v>342</v>
      </c>
      <c r="H123" s="534">
        <v>4</v>
      </c>
      <c r="I123" s="200">
        <v>4</v>
      </c>
      <c r="J123" s="200"/>
      <c r="K123" s="200"/>
      <c r="L123" s="534">
        <v>0</v>
      </c>
      <c r="M123" s="200"/>
      <c r="N123" s="200"/>
      <c r="O123" s="200"/>
      <c r="P123" s="534">
        <v>0</v>
      </c>
      <c r="Q123" s="200"/>
      <c r="R123" s="200"/>
      <c r="S123" s="200"/>
      <c r="T123" s="534">
        <v>0</v>
      </c>
      <c r="U123" s="200"/>
      <c r="V123" s="200"/>
      <c r="W123" s="200"/>
      <c r="X123" s="345" t="s">
        <v>2558</v>
      </c>
      <c r="Y123" s="345"/>
      <c r="Z123" s="345"/>
    </row>
    <row r="124" spans="1:26" ht="12.75">
      <c r="A124" s="345"/>
      <c r="B124" s="533" t="s">
        <v>627</v>
      </c>
      <c r="C124" s="200">
        <v>60</v>
      </c>
      <c r="D124" s="200" t="s">
        <v>103</v>
      </c>
      <c r="E124" s="535"/>
      <c r="F124" s="200"/>
      <c r="G124" s="200" t="s">
        <v>342</v>
      </c>
      <c r="H124" s="534">
        <v>15</v>
      </c>
      <c r="I124" s="181">
        <v>5</v>
      </c>
      <c r="J124" s="181">
        <v>5</v>
      </c>
      <c r="K124" s="181">
        <v>5</v>
      </c>
      <c r="L124" s="534">
        <v>15</v>
      </c>
      <c r="M124" s="181">
        <v>5</v>
      </c>
      <c r="N124" s="181">
        <v>5</v>
      </c>
      <c r="O124" s="181">
        <v>5</v>
      </c>
      <c r="P124" s="534">
        <v>15</v>
      </c>
      <c r="Q124" s="181">
        <v>5</v>
      </c>
      <c r="R124" s="181">
        <v>5</v>
      </c>
      <c r="S124" s="181">
        <v>5</v>
      </c>
      <c r="T124" s="534">
        <v>15</v>
      </c>
      <c r="U124" s="181">
        <v>5</v>
      </c>
      <c r="V124" s="181">
        <v>5</v>
      </c>
      <c r="W124" s="181">
        <v>5</v>
      </c>
      <c r="X124" s="345" t="s">
        <v>2558</v>
      </c>
      <c r="Y124" s="345"/>
      <c r="Z124" s="345"/>
    </row>
    <row r="125" spans="1:26" ht="12.75">
      <c r="A125" s="345"/>
      <c r="B125" s="533" t="s">
        <v>628</v>
      </c>
      <c r="C125" s="200">
        <v>33</v>
      </c>
      <c r="D125" s="536" t="s">
        <v>103</v>
      </c>
      <c r="E125" s="535"/>
      <c r="F125" s="200"/>
      <c r="G125" s="200" t="s">
        <v>342</v>
      </c>
      <c r="H125" s="534">
        <v>6</v>
      </c>
      <c r="I125" s="181">
        <v>2</v>
      </c>
      <c r="J125" s="181">
        <v>2</v>
      </c>
      <c r="K125" s="181">
        <v>2</v>
      </c>
      <c r="L125" s="534">
        <v>9</v>
      </c>
      <c r="M125" s="181">
        <v>3</v>
      </c>
      <c r="N125" s="181">
        <v>3</v>
      </c>
      <c r="O125" s="181">
        <v>3</v>
      </c>
      <c r="P125" s="534">
        <v>9</v>
      </c>
      <c r="Q125" s="181">
        <v>3</v>
      </c>
      <c r="R125" s="181">
        <v>3</v>
      </c>
      <c r="S125" s="181">
        <v>3</v>
      </c>
      <c r="T125" s="534">
        <v>9</v>
      </c>
      <c r="U125" s="181">
        <v>3</v>
      </c>
      <c r="V125" s="181">
        <v>3</v>
      </c>
      <c r="W125" s="181">
        <v>3</v>
      </c>
      <c r="X125" s="345" t="s">
        <v>2558</v>
      </c>
      <c r="Y125" s="345"/>
      <c r="Z125" s="345"/>
    </row>
    <row r="126" spans="1:26" ht="12.75">
      <c r="A126" s="345"/>
      <c r="B126" s="533" t="s">
        <v>629</v>
      </c>
      <c r="C126" s="200">
        <v>33</v>
      </c>
      <c r="D126" s="200" t="s">
        <v>103</v>
      </c>
      <c r="E126" s="535"/>
      <c r="F126" s="200"/>
      <c r="G126" s="200" t="s">
        <v>342</v>
      </c>
      <c r="H126" s="534">
        <v>6</v>
      </c>
      <c r="I126" s="181">
        <v>2</v>
      </c>
      <c r="J126" s="181">
        <v>2</v>
      </c>
      <c r="K126" s="181">
        <v>2</v>
      </c>
      <c r="L126" s="534">
        <v>9</v>
      </c>
      <c r="M126" s="181">
        <v>3</v>
      </c>
      <c r="N126" s="181">
        <v>3</v>
      </c>
      <c r="O126" s="181">
        <v>3</v>
      </c>
      <c r="P126" s="534">
        <v>9</v>
      </c>
      <c r="Q126" s="181">
        <v>3</v>
      </c>
      <c r="R126" s="181">
        <v>3</v>
      </c>
      <c r="S126" s="181">
        <v>3</v>
      </c>
      <c r="T126" s="534">
        <v>9</v>
      </c>
      <c r="U126" s="181">
        <v>3</v>
      </c>
      <c r="V126" s="181">
        <v>3</v>
      </c>
      <c r="W126" s="181">
        <v>3</v>
      </c>
      <c r="X126" s="345" t="s">
        <v>2558</v>
      </c>
      <c r="Y126" s="345"/>
      <c r="Z126" s="345"/>
    </row>
    <row r="127" spans="1:26" ht="12.75">
      <c r="A127" s="345"/>
      <c r="B127" s="533" t="s">
        <v>630</v>
      </c>
      <c r="C127" s="200">
        <v>33</v>
      </c>
      <c r="D127" s="200" t="s">
        <v>103</v>
      </c>
      <c r="E127" s="535"/>
      <c r="F127" s="200"/>
      <c r="G127" s="200" t="s">
        <v>342</v>
      </c>
      <c r="H127" s="534">
        <v>6</v>
      </c>
      <c r="I127" s="181">
        <v>2</v>
      </c>
      <c r="J127" s="181">
        <v>2</v>
      </c>
      <c r="K127" s="181">
        <v>2</v>
      </c>
      <c r="L127" s="534">
        <v>9</v>
      </c>
      <c r="M127" s="181">
        <v>3</v>
      </c>
      <c r="N127" s="181">
        <v>3</v>
      </c>
      <c r="O127" s="181">
        <v>3</v>
      </c>
      <c r="P127" s="534">
        <v>9</v>
      </c>
      <c r="Q127" s="181">
        <v>3</v>
      </c>
      <c r="R127" s="181">
        <v>3</v>
      </c>
      <c r="S127" s="181">
        <v>3</v>
      </c>
      <c r="T127" s="534">
        <v>9</v>
      </c>
      <c r="U127" s="181">
        <v>3</v>
      </c>
      <c r="V127" s="181">
        <v>3</v>
      </c>
      <c r="W127" s="181">
        <v>3</v>
      </c>
      <c r="X127" s="345" t="s">
        <v>2558</v>
      </c>
      <c r="Y127" s="345"/>
      <c r="Z127" s="345"/>
    </row>
    <row r="128" spans="1:26" ht="12.75">
      <c r="A128" s="345"/>
      <c r="B128" s="533" t="s">
        <v>570</v>
      </c>
      <c r="C128" s="200">
        <v>36</v>
      </c>
      <c r="D128" s="200" t="s">
        <v>103</v>
      </c>
      <c r="E128" s="535"/>
      <c r="F128" s="200"/>
      <c r="G128" s="200" t="s">
        <v>342</v>
      </c>
      <c r="H128" s="534">
        <v>9</v>
      </c>
      <c r="I128" s="181">
        <v>3</v>
      </c>
      <c r="J128" s="181">
        <v>3</v>
      </c>
      <c r="K128" s="181">
        <v>3</v>
      </c>
      <c r="L128" s="534">
        <v>9</v>
      </c>
      <c r="M128" s="181">
        <v>3</v>
      </c>
      <c r="N128" s="181">
        <v>3</v>
      </c>
      <c r="O128" s="181">
        <v>3</v>
      </c>
      <c r="P128" s="534">
        <v>9</v>
      </c>
      <c r="Q128" s="181">
        <v>3</v>
      </c>
      <c r="R128" s="181">
        <v>3</v>
      </c>
      <c r="S128" s="181">
        <v>3</v>
      </c>
      <c r="T128" s="534">
        <v>9</v>
      </c>
      <c r="U128" s="181">
        <v>3</v>
      </c>
      <c r="V128" s="181">
        <v>3</v>
      </c>
      <c r="W128" s="181">
        <v>3</v>
      </c>
      <c r="X128" s="345" t="s">
        <v>2558</v>
      </c>
      <c r="Y128" s="345"/>
      <c r="Z128" s="345"/>
    </row>
    <row r="129" spans="1:26" ht="12.75">
      <c r="A129" s="345"/>
      <c r="B129" s="533" t="s">
        <v>572</v>
      </c>
      <c r="C129" s="200">
        <v>12</v>
      </c>
      <c r="D129" s="200" t="s">
        <v>103</v>
      </c>
      <c r="E129" s="535"/>
      <c r="F129" s="200"/>
      <c r="G129" s="200" t="s">
        <v>342</v>
      </c>
      <c r="H129" s="534">
        <v>3</v>
      </c>
      <c r="I129" s="181">
        <v>1</v>
      </c>
      <c r="J129" s="181">
        <v>1</v>
      </c>
      <c r="K129" s="181">
        <v>1</v>
      </c>
      <c r="L129" s="534">
        <v>3</v>
      </c>
      <c r="M129" s="181">
        <v>1</v>
      </c>
      <c r="N129" s="181">
        <v>1</v>
      </c>
      <c r="O129" s="181">
        <v>1</v>
      </c>
      <c r="P129" s="534">
        <v>3</v>
      </c>
      <c r="Q129" s="181">
        <v>1</v>
      </c>
      <c r="R129" s="181">
        <v>1</v>
      </c>
      <c r="S129" s="181">
        <v>1</v>
      </c>
      <c r="T129" s="534">
        <v>3</v>
      </c>
      <c r="U129" s="181">
        <v>1</v>
      </c>
      <c r="V129" s="181">
        <v>1</v>
      </c>
      <c r="W129" s="181">
        <v>1</v>
      </c>
      <c r="X129" s="345" t="s">
        <v>2558</v>
      </c>
      <c r="Y129" s="345"/>
      <c r="Z129" s="345"/>
    </row>
    <row r="130" spans="1:26" ht="12.75">
      <c r="A130" s="345"/>
      <c r="B130" s="533" t="s">
        <v>573</v>
      </c>
      <c r="C130" s="200">
        <v>12</v>
      </c>
      <c r="D130" s="200" t="s">
        <v>103</v>
      </c>
      <c r="E130" s="535"/>
      <c r="F130" s="200"/>
      <c r="G130" s="200" t="s">
        <v>342</v>
      </c>
      <c r="H130" s="534">
        <v>3</v>
      </c>
      <c r="I130" s="181">
        <v>1</v>
      </c>
      <c r="J130" s="181">
        <v>1</v>
      </c>
      <c r="K130" s="181">
        <v>1</v>
      </c>
      <c r="L130" s="534">
        <v>3</v>
      </c>
      <c r="M130" s="181">
        <v>1</v>
      </c>
      <c r="N130" s="181">
        <v>1</v>
      </c>
      <c r="O130" s="181">
        <v>1</v>
      </c>
      <c r="P130" s="534">
        <v>3</v>
      </c>
      <c r="Q130" s="181">
        <v>1</v>
      </c>
      <c r="R130" s="181">
        <v>1</v>
      </c>
      <c r="S130" s="181">
        <v>1</v>
      </c>
      <c r="T130" s="534">
        <v>3</v>
      </c>
      <c r="U130" s="181">
        <v>1</v>
      </c>
      <c r="V130" s="181">
        <v>1</v>
      </c>
      <c r="W130" s="181">
        <v>1</v>
      </c>
      <c r="X130" s="345" t="s">
        <v>2558</v>
      </c>
      <c r="Y130" s="345"/>
      <c r="Z130" s="345"/>
    </row>
    <row r="131" spans="1:26" ht="12.75">
      <c r="A131" s="345"/>
      <c r="B131" s="533" t="s">
        <v>631</v>
      </c>
      <c r="C131" s="200">
        <v>12</v>
      </c>
      <c r="D131" s="200" t="s">
        <v>103</v>
      </c>
      <c r="E131" s="536"/>
      <c r="F131" s="536"/>
      <c r="G131" s="200" t="s">
        <v>342</v>
      </c>
      <c r="H131" s="534">
        <v>3</v>
      </c>
      <c r="I131" s="181">
        <v>1</v>
      </c>
      <c r="J131" s="181">
        <v>1</v>
      </c>
      <c r="K131" s="181">
        <v>1</v>
      </c>
      <c r="L131" s="534">
        <v>3</v>
      </c>
      <c r="M131" s="181">
        <v>1</v>
      </c>
      <c r="N131" s="181">
        <v>1</v>
      </c>
      <c r="O131" s="181">
        <v>1</v>
      </c>
      <c r="P131" s="534">
        <v>3</v>
      </c>
      <c r="Q131" s="181">
        <v>1</v>
      </c>
      <c r="R131" s="181">
        <v>1</v>
      </c>
      <c r="S131" s="181">
        <v>1</v>
      </c>
      <c r="T131" s="534">
        <v>3</v>
      </c>
      <c r="U131" s="181">
        <v>1</v>
      </c>
      <c r="V131" s="181">
        <v>1</v>
      </c>
      <c r="W131" s="181">
        <v>1</v>
      </c>
      <c r="X131" s="345" t="s">
        <v>2558</v>
      </c>
      <c r="Y131" s="345"/>
      <c r="Z131" s="345"/>
    </row>
    <row r="132" spans="1:26" ht="12.75">
      <c r="A132" s="345"/>
      <c r="B132" s="537" t="s">
        <v>467</v>
      </c>
      <c r="C132" s="521">
        <v>1</v>
      </c>
      <c r="D132" s="521" t="s">
        <v>118</v>
      </c>
      <c r="E132" s="521"/>
      <c r="F132" s="521"/>
      <c r="G132" s="521"/>
      <c r="H132" s="521">
        <v>0</v>
      </c>
      <c r="I132" s="521"/>
      <c r="J132" s="521"/>
      <c r="K132" s="521"/>
      <c r="L132" s="521">
        <v>0</v>
      </c>
      <c r="M132" s="521">
        <v>0</v>
      </c>
      <c r="N132" s="521"/>
      <c r="O132" s="521"/>
      <c r="P132" s="521">
        <v>1</v>
      </c>
      <c r="Q132" s="521">
        <v>1</v>
      </c>
      <c r="R132" s="521"/>
      <c r="S132" s="521"/>
      <c r="T132" s="521">
        <v>0</v>
      </c>
      <c r="U132" s="521"/>
      <c r="V132" s="521"/>
      <c r="W132" s="521"/>
      <c r="X132" s="345" t="s">
        <v>3009</v>
      </c>
      <c r="Y132" s="345"/>
      <c r="Z132" s="345"/>
    </row>
    <row r="133" spans="1:26" ht="12.75">
      <c r="A133" s="345"/>
      <c r="B133" s="525" t="s">
        <v>1554</v>
      </c>
      <c r="C133" s="526">
        <v>8</v>
      </c>
      <c r="D133" s="526" t="s">
        <v>103</v>
      </c>
      <c r="E133" s="528"/>
      <c r="F133" s="526"/>
      <c r="G133" s="526"/>
      <c r="H133" s="526">
        <v>2</v>
      </c>
      <c r="I133" s="526">
        <v>1</v>
      </c>
      <c r="J133" s="526"/>
      <c r="K133" s="526">
        <v>1</v>
      </c>
      <c r="L133" s="526">
        <v>2</v>
      </c>
      <c r="M133" s="526">
        <v>1</v>
      </c>
      <c r="N133" s="526"/>
      <c r="O133" s="526">
        <v>1</v>
      </c>
      <c r="P133" s="526">
        <v>2</v>
      </c>
      <c r="Q133" s="526">
        <v>1</v>
      </c>
      <c r="R133" s="526"/>
      <c r="S133" s="526">
        <v>1</v>
      </c>
      <c r="T133" s="526">
        <v>2</v>
      </c>
      <c r="U133" s="526">
        <v>1</v>
      </c>
      <c r="V133" s="526"/>
      <c r="W133" s="526">
        <v>1</v>
      </c>
      <c r="X133" s="345" t="s">
        <v>3009</v>
      </c>
      <c r="Y133" s="345"/>
      <c r="Z133" s="345"/>
    </row>
    <row r="134" spans="1:26" ht="12.75">
      <c r="A134" s="345"/>
      <c r="B134" s="525" t="s">
        <v>3010</v>
      </c>
      <c r="C134" s="526">
        <v>8</v>
      </c>
      <c r="D134" s="526" t="s">
        <v>638</v>
      </c>
      <c r="E134" s="528"/>
      <c r="F134" s="526"/>
      <c r="G134" s="526"/>
      <c r="H134" s="526">
        <v>2</v>
      </c>
      <c r="I134" s="526">
        <v>1</v>
      </c>
      <c r="J134" s="526"/>
      <c r="K134" s="526">
        <v>1</v>
      </c>
      <c r="L134" s="526">
        <v>2</v>
      </c>
      <c r="M134" s="526">
        <v>1</v>
      </c>
      <c r="N134" s="526"/>
      <c r="O134" s="526">
        <v>1</v>
      </c>
      <c r="P134" s="526">
        <v>2</v>
      </c>
      <c r="Q134" s="526">
        <v>1</v>
      </c>
      <c r="R134" s="526"/>
      <c r="S134" s="526">
        <v>1</v>
      </c>
      <c r="T134" s="526">
        <v>2</v>
      </c>
      <c r="U134" s="526">
        <v>1</v>
      </c>
      <c r="V134" s="526"/>
      <c r="W134" s="526">
        <v>1</v>
      </c>
      <c r="X134" s="345" t="s">
        <v>3009</v>
      </c>
      <c r="Y134" s="345"/>
      <c r="Z134" s="345"/>
    </row>
    <row r="135" spans="1:26" ht="12.75">
      <c r="A135" s="345"/>
      <c r="B135" s="525" t="s">
        <v>3011</v>
      </c>
      <c r="C135" s="526">
        <v>8</v>
      </c>
      <c r="D135" s="526" t="s">
        <v>638</v>
      </c>
      <c r="E135" s="528"/>
      <c r="F135" s="526"/>
      <c r="G135" s="526"/>
      <c r="H135" s="526">
        <v>2</v>
      </c>
      <c r="I135" s="526">
        <v>1</v>
      </c>
      <c r="J135" s="526"/>
      <c r="K135" s="526">
        <v>1</v>
      </c>
      <c r="L135" s="526">
        <v>2</v>
      </c>
      <c r="M135" s="526">
        <v>1</v>
      </c>
      <c r="N135" s="526"/>
      <c r="O135" s="526">
        <v>1</v>
      </c>
      <c r="P135" s="526">
        <v>2</v>
      </c>
      <c r="Q135" s="526">
        <v>1</v>
      </c>
      <c r="R135" s="526"/>
      <c r="S135" s="526">
        <v>1</v>
      </c>
      <c r="T135" s="526">
        <v>2</v>
      </c>
      <c r="U135" s="526">
        <v>1</v>
      </c>
      <c r="V135" s="526"/>
      <c r="W135" s="526">
        <v>1</v>
      </c>
      <c r="X135" s="345" t="s">
        <v>3009</v>
      </c>
      <c r="Y135" s="345"/>
      <c r="Z135" s="345"/>
    </row>
    <row r="136" spans="1:26" ht="12.75">
      <c r="A136" s="345"/>
      <c r="B136" s="525" t="s">
        <v>3012</v>
      </c>
      <c r="C136" s="526">
        <v>8</v>
      </c>
      <c r="D136" s="526" t="s">
        <v>638</v>
      </c>
      <c r="E136" s="528"/>
      <c r="F136" s="526"/>
      <c r="G136" s="526"/>
      <c r="H136" s="526">
        <v>2</v>
      </c>
      <c r="I136" s="526">
        <v>1</v>
      </c>
      <c r="J136" s="526"/>
      <c r="K136" s="526">
        <v>1</v>
      </c>
      <c r="L136" s="526">
        <v>2</v>
      </c>
      <c r="M136" s="526">
        <v>1</v>
      </c>
      <c r="N136" s="526"/>
      <c r="O136" s="526">
        <v>1</v>
      </c>
      <c r="P136" s="526">
        <v>2</v>
      </c>
      <c r="Q136" s="526">
        <v>1</v>
      </c>
      <c r="R136" s="526"/>
      <c r="S136" s="526">
        <v>1</v>
      </c>
      <c r="T136" s="526">
        <v>2</v>
      </c>
      <c r="U136" s="526">
        <v>1</v>
      </c>
      <c r="V136" s="526"/>
      <c r="W136" s="526">
        <v>1</v>
      </c>
      <c r="X136" s="345" t="s">
        <v>3009</v>
      </c>
      <c r="Y136" s="345"/>
      <c r="Z136" s="345"/>
    </row>
    <row r="137" spans="1:26" ht="12.75">
      <c r="A137" s="345"/>
      <c r="B137" s="525" t="s">
        <v>3013</v>
      </c>
      <c r="C137" s="526">
        <v>8</v>
      </c>
      <c r="D137" s="526" t="s">
        <v>638</v>
      </c>
      <c r="E137" s="526"/>
      <c r="F137" s="526"/>
      <c r="G137" s="526"/>
      <c r="H137" s="526">
        <v>2</v>
      </c>
      <c r="I137" s="526">
        <v>1</v>
      </c>
      <c r="J137" s="526"/>
      <c r="K137" s="526">
        <v>1</v>
      </c>
      <c r="L137" s="526">
        <v>2</v>
      </c>
      <c r="M137" s="526">
        <v>1</v>
      </c>
      <c r="N137" s="526"/>
      <c r="O137" s="526">
        <v>1</v>
      </c>
      <c r="P137" s="526">
        <v>2</v>
      </c>
      <c r="Q137" s="526">
        <v>1</v>
      </c>
      <c r="R137" s="526"/>
      <c r="S137" s="526">
        <v>1</v>
      </c>
      <c r="T137" s="526">
        <v>2</v>
      </c>
      <c r="U137" s="526">
        <v>1</v>
      </c>
      <c r="V137" s="526"/>
      <c r="W137" s="526">
        <v>1</v>
      </c>
      <c r="X137" s="345" t="s">
        <v>3009</v>
      </c>
      <c r="Y137" s="345"/>
      <c r="Z137" s="345"/>
    </row>
    <row r="138" spans="1:26" ht="12.75">
      <c r="A138" s="345"/>
      <c r="B138" s="538" t="s">
        <v>3014</v>
      </c>
      <c r="C138" s="526">
        <v>2</v>
      </c>
      <c r="D138" s="526" t="s">
        <v>103</v>
      </c>
      <c r="E138" s="526"/>
      <c r="F138" s="526"/>
      <c r="G138" s="526"/>
      <c r="H138" s="526">
        <v>1</v>
      </c>
      <c r="I138" s="526">
        <v>1</v>
      </c>
      <c r="J138" s="526"/>
      <c r="K138" s="526"/>
      <c r="L138" s="526">
        <v>0</v>
      </c>
      <c r="M138" s="526"/>
      <c r="N138" s="526"/>
      <c r="O138" s="526"/>
      <c r="P138" s="526">
        <v>1</v>
      </c>
      <c r="Q138" s="526">
        <v>1</v>
      </c>
      <c r="R138" s="526"/>
      <c r="S138" s="526"/>
      <c r="T138" s="526">
        <v>0</v>
      </c>
      <c r="U138" s="526"/>
      <c r="V138" s="526"/>
      <c r="W138" s="526"/>
      <c r="X138" s="345" t="s">
        <v>3009</v>
      </c>
      <c r="Y138" s="345"/>
      <c r="Z138" s="345"/>
    </row>
    <row r="139" spans="1:26" ht="12.75">
      <c r="A139" s="345"/>
      <c r="B139" s="539" t="s">
        <v>469</v>
      </c>
      <c r="C139" s="540">
        <v>2</v>
      </c>
      <c r="D139" s="540" t="s">
        <v>103</v>
      </c>
      <c r="E139" s="541">
        <v>10000</v>
      </c>
      <c r="F139" s="542">
        <v>20000</v>
      </c>
      <c r="G139" s="543" t="s">
        <v>342</v>
      </c>
      <c r="H139" s="544">
        <v>2</v>
      </c>
      <c r="I139" s="479"/>
      <c r="J139" s="485"/>
      <c r="K139" s="485"/>
      <c r="L139" s="545"/>
      <c r="M139" s="485"/>
      <c r="N139" s="485"/>
      <c r="O139" s="485"/>
      <c r="P139" s="545"/>
      <c r="Q139" s="485"/>
      <c r="R139" s="485"/>
      <c r="S139" s="485"/>
      <c r="T139" s="545"/>
      <c r="U139" s="485"/>
      <c r="V139" s="485"/>
      <c r="W139" s="485"/>
      <c r="X139" s="345" t="s">
        <v>169</v>
      </c>
      <c r="Y139" s="345"/>
      <c r="Z139" s="345"/>
    </row>
    <row r="140" spans="1:26" ht="12.75">
      <c r="A140" s="345"/>
      <c r="B140" s="546" t="s">
        <v>617</v>
      </c>
      <c r="C140" s="547">
        <v>1</v>
      </c>
      <c r="D140" s="547" t="s">
        <v>118</v>
      </c>
      <c r="E140" s="548">
        <v>70000</v>
      </c>
      <c r="F140" s="548">
        <v>70000</v>
      </c>
      <c r="G140" s="543" t="s">
        <v>342</v>
      </c>
      <c r="H140" s="549">
        <v>1</v>
      </c>
      <c r="I140" s="550"/>
      <c r="J140" s="543"/>
      <c r="K140" s="543"/>
      <c r="L140" s="543">
        <v>1</v>
      </c>
      <c r="M140" s="543"/>
      <c r="N140" s="543"/>
      <c r="O140" s="543"/>
      <c r="P140" s="543"/>
      <c r="Q140" s="543"/>
      <c r="R140" s="543"/>
      <c r="S140" s="543"/>
      <c r="T140" s="543"/>
      <c r="U140" s="543"/>
      <c r="V140" s="543"/>
      <c r="W140" s="543"/>
      <c r="X140" s="345" t="s">
        <v>169</v>
      </c>
      <c r="Y140" s="345"/>
      <c r="Z140" s="345"/>
    </row>
    <row r="141" spans="1:26" ht="12.75">
      <c r="A141" s="345"/>
      <c r="B141" s="551" t="s">
        <v>620</v>
      </c>
      <c r="C141" s="550">
        <v>1</v>
      </c>
      <c r="D141" s="540" t="s">
        <v>103</v>
      </c>
      <c r="E141" s="552">
        <v>70000</v>
      </c>
      <c r="F141" s="548">
        <v>70000</v>
      </c>
      <c r="G141" s="543" t="s">
        <v>342</v>
      </c>
      <c r="H141" s="540">
        <v>1</v>
      </c>
      <c r="I141" s="550"/>
      <c r="J141" s="543"/>
      <c r="K141" s="543"/>
      <c r="L141" s="543"/>
      <c r="M141" s="543"/>
      <c r="N141" s="543"/>
      <c r="O141" s="543"/>
      <c r="P141" s="543"/>
      <c r="Q141" s="543"/>
      <c r="R141" s="543"/>
      <c r="S141" s="543"/>
      <c r="T141" s="543"/>
      <c r="U141" s="543"/>
      <c r="V141" s="543"/>
      <c r="W141" s="543"/>
      <c r="X141" s="345" t="s">
        <v>169</v>
      </c>
      <c r="Y141" s="345"/>
      <c r="Z141" s="345"/>
    </row>
    <row r="142" spans="1:26" ht="12.75">
      <c r="A142" s="345"/>
      <c r="B142" s="553" t="s">
        <v>445</v>
      </c>
      <c r="C142" s="482">
        <v>1</v>
      </c>
      <c r="D142" s="152" t="s">
        <v>446</v>
      </c>
      <c r="E142" s="554"/>
      <c r="F142" s="177"/>
      <c r="G142" s="177" t="s">
        <v>447</v>
      </c>
      <c r="H142" s="177">
        <v>0</v>
      </c>
      <c r="I142" s="555"/>
      <c r="J142" s="555"/>
      <c r="K142" s="555"/>
      <c r="L142" s="177">
        <v>1</v>
      </c>
      <c r="M142" s="556">
        <v>1</v>
      </c>
      <c r="N142" s="555"/>
      <c r="O142" s="555"/>
      <c r="P142" s="177">
        <v>0</v>
      </c>
      <c r="Q142" s="555"/>
      <c r="R142" s="555"/>
      <c r="S142" s="555"/>
      <c r="T142" s="177">
        <v>0</v>
      </c>
      <c r="U142" s="555"/>
      <c r="V142" s="555"/>
      <c r="W142" s="555"/>
      <c r="X142" s="345" t="s">
        <v>3015</v>
      </c>
      <c r="Y142" s="345"/>
      <c r="Z142" s="345"/>
    </row>
    <row r="143" spans="1:26" ht="12.75">
      <c r="A143" s="345"/>
      <c r="B143" s="530" t="s">
        <v>448</v>
      </c>
      <c r="C143" s="554">
        <v>1</v>
      </c>
      <c r="D143" s="181" t="s">
        <v>446</v>
      </c>
      <c r="E143" s="557"/>
      <c r="F143" s="181"/>
      <c r="G143" s="181" t="s">
        <v>447</v>
      </c>
      <c r="H143" s="181">
        <v>0</v>
      </c>
      <c r="I143" s="558"/>
      <c r="J143" s="558"/>
      <c r="K143" s="558"/>
      <c r="L143" s="181">
        <v>1</v>
      </c>
      <c r="M143" s="559">
        <v>1</v>
      </c>
      <c r="N143" s="558"/>
      <c r="O143" s="558"/>
      <c r="P143" s="181">
        <v>0</v>
      </c>
      <c r="Q143" s="558"/>
      <c r="R143" s="558"/>
      <c r="S143" s="558"/>
      <c r="T143" s="181">
        <v>0</v>
      </c>
      <c r="U143" s="558"/>
      <c r="V143" s="558"/>
      <c r="W143" s="558"/>
      <c r="X143" s="345" t="s">
        <v>3015</v>
      </c>
      <c r="Y143" s="345"/>
      <c r="Z143" s="345"/>
    </row>
    <row r="144" spans="1:26" ht="12.75">
      <c r="A144" s="345"/>
      <c r="B144" s="530" t="s">
        <v>449</v>
      </c>
      <c r="C144" s="557">
        <v>2</v>
      </c>
      <c r="D144" s="181" t="s">
        <v>446</v>
      </c>
      <c r="E144" s="557"/>
      <c r="F144" s="181"/>
      <c r="G144" s="181" t="s">
        <v>447</v>
      </c>
      <c r="H144" s="181">
        <v>0</v>
      </c>
      <c r="I144" s="558"/>
      <c r="J144" s="558"/>
      <c r="K144" s="558"/>
      <c r="L144" s="181">
        <v>1</v>
      </c>
      <c r="M144" s="559">
        <v>1</v>
      </c>
      <c r="N144" s="558"/>
      <c r="O144" s="558"/>
      <c r="P144" s="181">
        <v>0</v>
      </c>
      <c r="Q144" s="558"/>
      <c r="R144" s="558"/>
      <c r="S144" s="558"/>
      <c r="T144" s="181">
        <v>0</v>
      </c>
      <c r="U144" s="558"/>
      <c r="V144" s="558"/>
      <c r="W144" s="558"/>
      <c r="X144" s="345" t="s">
        <v>3015</v>
      </c>
      <c r="Y144" s="345"/>
      <c r="Z144" s="345"/>
    </row>
    <row r="145" spans="1:26" ht="12.75">
      <c r="A145" s="345"/>
      <c r="B145" s="530" t="s">
        <v>450</v>
      </c>
      <c r="C145" s="557">
        <v>3</v>
      </c>
      <c r="D145" s="181" t="s">
        <v>446</v>
      </c>
      <c r="E145" s="557"/>
      <c r="F145" s="181"/>
      <c r="G145" s="181" t="s">
        <v>447</v>
      </c>
      <c r="H145" s="181">
        <v>0</v>
      </c>
      <c r="I145" s="558"/>
      <c r="J145" s="558"/>
      <c r="K145" s="558"/>
      <c r="L145" s="181">
        <v>1</v>
      </c>
      <c r="M145" s="559">
        <v>1</v>
      </c>
      <c r="N145" s="558"/>
      <c r="O145" s="558"/>
      <c r="P145" s="181">
        <v>0</v>
      </c>
      <c r="Q145" s="558"/>
      <c r="R145" s="558"/>
      <c r="S145" s="558"/>
      <c r="T145" s="181">
        <v>0</v>
      </c>
      <c r="U145" s="558"/>
      <c r="V145" s="558"/>
      <c r="W145" s="558"/>
      <c r="X145" s="345" t="s">
        <v>3015</v>
      </c>
      <c r="Y145" s="345"/>
      <c r="Z145" s="345"/>
    </row>
    <row r="146" spans="1:26" ht="12.75">
      <c r="A146" s="345"/>
      <c r="B146" s="530" t="s">
        <v>451</v>
      </c>
      <c r="C146" s="557">
        <v>2</v>
      </c>
      <c r="D146" s="181" t="s">
        <v>446</v>
      </c>
      <c r="E146" s="557"/>
      <c r="F146" s="181"/>
      <c r="G146" s="181" t="s">
        <v>447</v>
      </c>
      <c r="H146" s="181">
        <v>0</v>
      </c>
      <c r="I146" s="558"/>
      <c r="J146" s="558"/>
      <c r="K146" s="558"/>
      <c r="L146" s="181">
        <v>1</v>
      </c>
      <c r="M146" s="559">
        <v>1</v>
      </c>
      <c r="N146" s="558"/>
      <c r="O146" s="558"/>
      <c r="P146" s="181">
        <v>0</v>
      </c>
      <c r="Q146" s="558"/>
      <c r="R146" s="558"/>
      <c r="S146" s="558"/>
      <c r="T146" s="181">
        <v>0</v>
      </c>
      <c r="U146" s="558"/>
      <c r="V146" s="558"/>
      <c r="W146" s="558"/>
      <c r="X146" s="345" t="s">
        <v>3015</v>
      </c>
      <c r="Y146" s="345"/>
      <c r="Z146" s="345"/>
    </row>
    <row r="147" spans="1:26" ht="12.75">
      <c r="A147" s="345"/>
      <c r="B147" s="560" t="s">
        <v>452</v>
      </c>
      <c r="C147" s="561">
        <v>1</v>
      </c>
      <c r="D147" s="561" t="s">
        <v>446</v>
      </c>
      <c r="E147" s="562"/>
      <c r="F147" s="181"/>
      <c r="G147" s="181" t="s">
        <v>447</v>
      </c>
      <c r="H147" s="181">
        <v>0</v>
      </c>
      <c r="I147" s="558"/>
      <c r="J147" s="558"/>
      <c r="K147" s="558"/>
      <c r="L147" s="181">
        <v>1</v>
      </c>
      <c r="M147" s="559">
        <v>1</v>
      </c>
      <c r="N147" s="558"/>
      <c r="O147" s="558"/>
      <c r="P147" s="181">
        <v>0</v>
      </c>
      <c r="Q147" s="558"/>
      <c r="R147" s="558"/>
      <c r="S147" s="558"/>
      <c r="T147" s="181">
        <v>0</v>
      </c>
      <c r="U147" s="558"/>
      <c r="V147" s="558"/>
      <c r="W147" s="558"/>
      <c r="X147" s="345" t="s">
        <v>3015</v>
      </c>
      <c r="Y147" s="345"/>
      <c r="Z147" s="345"/>
    </row>
    <row r="148" spans="1:26" ht="12.75">
      <c r="A148" s="345"/>
      <c r="B148" s="563" t="s">
        <v>454</v>
      </c>
      <c r="C148" s="564">
        <v>60</v>
      </c>
      <c r="D148" s="565" t="s">
        <v>446</v>
      </c>
      <c r="E148" s="565"/>
      <c r="F148" s="181"/>
      <c r="G148" s="181" t="s">
        <v>447</v>
      </c>
      <c r="H148" s="181">
        <v>15</v>
      </c>
      <c r="I148" s="559">
        <v>15</v>
      </c>
      <c r="J148" s="558"/>
      <c r="K148" s="558"/>
      <c r="L148" s="181">
        <v>15</v>
      </c>
      <c r="M148" s="559">
        <v>15</v>
      </c>
      <c r="N148" s="558"/>
      <c r="O148" s="558"/>
      <c r="P148" s="181">
        <v>15</v>
      </c>
      <c r="Q148" s="559">
        <v>15</v>
      </c>
      <c r="R148" s="558"/>
      <c r="S148" s="558"/>
      <c r="T148" s="181">
        <v>15</v>
      </c>
      <c r="U148" s="559">
        <v>15</v>
      </c>
      <c r="V148" s="558"/>
      <c r="W148" s="558"/>
      <c r="X148" s="345" t="s">
        <v>3015</v>
      </c>
      <c r="Y148" s="345"/>
      <c r="Z148" s="345"/>
    </row>
    <row r="149" spans="1:26" ht="12.75">
      <c r="A149" s="345"/>
      <c r="B149" s="563" t="s">
        <v>455</v>
      </c>
      <c r="C149" s="562">
        <v>12</v>
      </c>
      <c r="D149" s="565" t="s">
        <v>446</v>
      </c>
      <c r="E149" s="565"/>
      <c r="F149" s="181"/>
      <c r="G149" s="181" t="s">
        <v>447</v>
      </c>
      <c r="H149" s="181">
        <v>3</v>
      </c>
      <c r="I149" s="559">
        <v>3</v>
      </c>
      <c r="J149" s="558"/>
      <c r="K149" s="558"/>
      <c r="L149" s="181">
        <v>3</v>
      </c>
      <c r="M149" s="559">
        <v>3</v>
      </c>
      <c r="N149" s="558"/>
      <c r="O149" s="558"/>
      <c r="P149" s="181">
        <v>3</v>
      </c>
      <c r="Q149" s="559">
        <v>3</v>
      </c>
      <c r="R149" s="558"/>
      <c r="S149" s="558"/>
      <c r="T149" s="181">
        <v>3</v>
      </c>
      <c r="U149" s="559">
        <v>3</v>
      </c>
      <c r="V149" s="558"/>
      <c r="W149" s="558"/>
      <c r="X149" s="345" t="s">
        <v>3015</v>
      </c>
      <c r="Y149" s="345"/>
      <c r="Z149" s="345"/>
    </row>
    <row r="150" spans="1:26" ht="12.75">
      <c r="A150" s="345"/>
      <c r="B150" s="566" t="s">
        <v>456</v>
      </c>
      <c r="C150" s="561">
        <v>2</v>
      </c>
      <c r="D150" s="567" t="s">
        <v>446</v>
      </c>
      <c r="E150" s="562"/>
      <c r="F150" s="181"/>
      <c r="G150" s="181" t="s">
        <v>447</v>
      </c>
      <c r="H150" s="181">
        <v>1</v>
      </c>
      <c r="I150" s="559">
        <v>1</v>
      </c>
      <c r="J150" s="558"/>
      <c r="K150" s="558"/>
      <c r="L150" s="181">
        <v>0</v>
      </c>
      <c r="M150" s="558"/>
      <c r="N150" s="558"/>
      <c r="O150" s="558"/>
      <c r="P150" s="181">
        <v>1</v>
      </c>
      <c r="Q150" s="559">
        <v>1</v>
      </c>
      <c r="R150" s="558"/>
      <c r="S150" s="558"/>
      <c r="T150" s="181">
        <v>0</v>
      </c>
      <c r="U150" s="558"/>
      <c r="V150" s="558"/>
      <c r="W150" s="558"/>
      <c r="X150" s="345" t="s">
        <v>3015</v>
      </c>
      <c r="Y150" s="345"/>
      <c r="Z150" s="345"/>
    </row>
    <row r="151" spans="1:26" ht="12.75">
      <c r="A151" s="345"/>
      <c r="B151" s="563" t="s">
        <v>458</v>
      </c>
      <c r="C151" s="568">
        <v>2</v>
      </c>
      <c r="D151" s="565" t="s">
        <v>446</v>
      </c>
      <c r="E151" s="565"/>
      <c r="F151" s="181"/>
      <c r="G151" s="181" t="s">
        <v>447</v>
      </c>
      <c r="H151" s="181">
        <v>1</v>
      </c>
      <c r="I151" s="559">
        <v>1</v>
      </c>
      <c r="J151" s="558"/>
      <c r="K151" s="558"/>
      <c r="L151" s="181">
        <v>0</v>
      </c>
      <c r="M151" s="558"/>
      <c r="N151" s="558"/>
      <c r="O151" s="558"/>
      <c r="P151" s="181">
        <v>1</v>
      </c>
      <c r="Q151" s="559">
        <v>1</v>
      </c>
      <c r="R151" s="558"/>
      <c r="S151" s="558"/>
      <c r="T151" s="181">
        <v>0</v>
      </c>
      <c r="U151" s="558"/>
      <c r="V151" s="558"/>
      <c r="W151" s="558"/>
      <c r="X151" s="345" t="s">
        <v>3015</v>
      </c>
      <c r="Y151" s="345"/>
      <c r="Z151" s="345"/>
    </row>
    <row r="152" spans="1:26" ht="12.75">
      <c r="A152" s="345"/>
      <c r="B152" s="563" t="s">
        <v>459</v>
      </c>
      <c r="C152" s="565">
        <v>10</v>
      </c>
      <c r="D152" s="565" t="s">
        <v>446</v>
      </c>
      <c r="E152" s="565"/>
      <c r="F152" s="181"/>
      <c r="G152" s="181" t="s">
        <v>447</v>
      </c>
      <c r="H152" s="181">
        <v>3</v>
      </c>
      <c r="I152" s="559">
        <v>3</v>
      </c>
      <c r="J152" s="558"/>
      <c r="K152" s="558"/>
      <c r="L152" s="181">
        <v>2</v>
      </c>
      <c r="M152" s="559">
        <v>2</v>
      </c>
      <c r="N152" s="558"/>
      <c r="O152" s="558"/>
      <c r="P152" s="181">
        <v>3</v>
      </c>
      <c r="Q152" s="559">
        <v>3</v>
      </c>
      <c r="R152" s="558"/>
      <c r="S152" s="558"/>
      <c r="T152" s="181">
        <v>2</v>
      </c>
      <c r="U152" s="559">
        <v>2</v>
      </c>
      <c r="V152" s="558"/>
      <c r="W152" s="558"/>
      <c r="X152" s="345" t="s">
        <v>3015</v>
      </c>
      <c r="Y152" s="345"/>
      <c r="Z152" s="345"/>
    </row>
    <row r="153" spans="1:26" ht="12.75">
      <c r="A153" s="345"/>
      <c r="B153" s="563" t="s">
        <v>460</v>
      </c>
      <c r="C153" s="565">
        <v>2</v>
      </c>
      <c r="D153" s="565" t="s">
        <v>446</v>
      </c>
      <c r="E153" s="562"/>
      <c r="F153" s="181"/>
      <c r="G153" s="181" t="s">
        <v>447</v>
      </c>
      <c r="H153" s="181">
        <v>1</v>
      </c>
      <c r="I153" s="559">
        <v>1</v>
      </c>
      <c r="J153" s="558"/>
      <c r="K153" s="558"/>
      <c r="L153" s="181">
        <v>0</v>
      </c>
      <c r="M153" s="558"/>
      <c r="N153" s="558"/>
      <c r="O153" s="558"/>
      <c r="P153" s="181">
        <v>1</v>
      </c>
      <c r="Q153" s="559">
        <v>1</v>
      </c>
      <c r="R153" s="558"/>
      <c r="S153" s="558"/>
      <c r="T153" s="181">
        <v>0</v>
      </c>
      <c r="U153" s="558"/>
      <c r="V153" s="558"/>
      <c r="W153" s="558"/>
      <c r="X153" s="345" t="s">
        <v>3015</v>
      </c>
      <c r="Y153" s="345"/>
      <c r="Z153" s="345"/>
    </row>
    <row r="154" spans="1:26" ht="12.75">
      <c r="A154" s="345"/>
      <c r="B154" s="500" t="s">
        <v>716</v>
      </c>
      <c r="C154" s="198">
        <v>1</v>
      </c>
      <c r="D154" s="198" t="s">
        <v>466</v>
      </c>
      <c r="E154" s="345"/>
      <c r="F154" s="331"/>
      <c r="G154" s="198" t="s">
        <v>342</v>
      </c>
      <c r="H154" s="151">
        <v>1</v>
      </c>
      <c r="I154" s="345"/>
      <c r="J154" s="345"/>
      <c r="K154" s="345"/>
      <c r="L154" s="151">
        <v>0</v>
      </c>
      <c r="M154" s="345"/>
      <c r="N154" s="345"/>
      <c r="O154" s="345"/>
      <c r="P154" s="151">
        <v>0</v>
      </c>
      <c r="Q154" s="345"/>
      <c r="R154" s="345"/>
      <c r="S154" s="345"/>
      <c r="T154" s="151">
        <v>0</v>
      </c>
      <c r="U154" s="345"/>
      <c r="V154" s="345"/>
      <c r="W154" s="345"/>
      <c r="X154" s="345" t="s">
        <v>117</v>
      </c>
      <c r="Y154" s="345"/>
      <c r="Z154" s="345"/>
    </row>
    <row r="155" spans="1:26" ht="12.75">
      <c r="A155" s="345"/>
      <c r="B155" s="511" t="s">
        <v>717</v>
      </c>
      <c r="C155" s="569">
        <v>1</v>
      </c>
      <c r="D155" s="569" t="s">
        <v>466</v>
      </c>
      <c r="E155" s="345"/>
      <c r="F155" s="331"/>
      <c r="G155" s="569" t="s">
        <v>342</v>
      </c>
      <c r="H155" s="189">
        <v>1</v>
      </c>
      <c r="I155" s="345"/>
      <c r="J155" s="345"/>
      <c r="K155" s="345"/>
      <c r="L155" s="189">
        <v>0</v>
      </c>
      <c r="M155" s="345"/>
      <c r="N155" s="345"/>
      <c r="O155" s="345"/>
      <c r="P155" s="189">
        <v>0</v>
      </c>
      <c r="Q155" s="345"/>
      <c r="R155" s="345"/>
      <c r="S155" s="345"/>
      <c r="T155" s="189">
        <v>0</v>
      </c>
      <c r="U155" s="345"/>
      <c r="V155" s="345"/>
      <c r="W155" s="345"/>
      <c r="X155" s="345" t="s">
        <v>117</v>
      </c>
      <c r="Y155" s="345"/>
      <c r="Z155" s="345"/>
    </row>
    <row r="156" spans="1:26" ht="12.75">
      <c r="A156" s="345"/>
      <c r="B156" s="511" t="s">
        <v>718</v>
      </c>
      <c r="C156" s="569">
        <v>1</v>
      </c>
      <c r="D156" s="569" t="s">
        <v>466</v>
      </c>
      <c r="E156" s="345"/>
      <c r="F156" s="331"/>
      <c r="G156" s="569" t="s">
        <v>342</v>
      </c>
      <c r="H156" s="189">
        <v>1</v>
      </c>
      <c r="I156" s="345"/>
      <c r="J156" s="345"/>
      <c r="K156" s="345"/>
      <c r="L156" s="189">
        <v>0</v>
      </c>
      <c r="M156" s="345"/>
      <c r="N156" s="345"/>
      <c r="O156" s="345"/>
      <c r="P156" s="189">
        <v>0</v>
      </c>
      <c r="Q156" s="345"/>
      <c r="R156" s="345"/>
      <c r="S156" s="345"/>
      <c r="T156" s="189">
        <v>0</v>
      </c>
      <c r="U156" s="345"/>
      <c r="V156" s="345"/>
      <c r="W156" s="345"/>
      <c r="X156" s="345" t="s">
        <v>117</v>
      </c>
      <c r="Y156" s="345"/>
      <c r="Z156" s="345"/>
    </row>
    <row r="157" spans="1:26" ht="12.75">
      <c r="A157" s="345"/>
      <c r="B157" s="192" t="s">
        <v>719</v>
      </c>
      <c r="C157" s="189">
        <v>0</v>
      </c>
      <c r="D157" s="200" t="s">
        <v>466</v>
      </c>
      <c r="E157" s="345"/>
      <c r="F157" s="331"/>
      <c r="G157" s="570" t="s">
        <v>342</v>
      </c>
      <c r="H157" s="189">
        <v>5</v>
      </c>
      <c r="I157" s="345"/>
      <c r="J157" s="345"/>
      <c r="K157" s="345"/>
      <c r="L157" s="189">
        <v>5</v>
      </c>
      <c r="M157" s="345"/>
      <c r="N157" s="345"/>
      <c r="O157" s="345"/>
      <c r="P157" s="189">
        <v>5</v>
      </c>
      <c r="Q157" s="345"/>
      <c r="R157" s="345"/>
      <c r="S157" s="345"/>
      <c r="T157" s="189">
        <v>5</v>
      </c>
      <c r="U157" s="345"/>
      <c r="V157" s="345"/>
      <c r="W157" s="345"/>
      <c r="X157" s="345" t="s">
        <v>117</v>
      </c>
      <c r="Y157" s="345"/>
      <c r="Z157" s="345"/>
    </row>
    <row r="158" spans="1:26" ht="12.75">
      <c r="A158" s="345"/>
      <c r="B158" s="494" t="s">
        <v>720</v>
      </c>
      <c r="C158" s="189">
        <v>20</v>
      </c>
      <c r="D158" s="200" t="s">
        <v>571</v>
      </c>
      <c r="E158" s="345"/>
      <c r="F158" s="331"/>
      <c r="G158" s="569" t="s">
        <v>342</v>
      </c>
      <c r="H158" s="189">
        <v>2</v>
      </c>
      <c r="I158" s="345"/>
      <c r="J158" s="345"/>
      <c r="K158" s="345"/>
      <c r="L158" s="189">
        <v>2</v>
      </c>
      <c r="M158" s="345"/>
      <c r="N158" s="345"/>
      <c r="O158" s="345"/>
      <c r="P158" s="189">
        <v>2</v>
      </c>
      <c r="Q158" s="345"/>
      <c r="R158" s="345"/>
      <c r="S158" s="345"/>
      <c r="T158" s="189">
        <v>2</v>
      </c>
      <c r="U158" s="345"/>
      <c r="V158" s="345"/>
      <c r="W158" s="345"/>
      <c r="X158" s="345" t="s">
        <v>117</v>
      </c>
      <c r="Y158" s="345"/>
      <c r="Z158" s="345"/>
    </row>
    <row r="159" spans="1:26" ht="12.75">
      <c r="A159" s="345"/>
      <c r="B159" s="511" t="s">
        <v>721</v>
      </c>
      <c r="C159" s="189">
        <v>8</v>
      </c>
      <c r="D159" s="200" t="s">
        <v>571</v>
      </c>
      <c r="E159" s="345"/>
      <c r="F159" s="331"/>
      <c r="G159" s="569" t="s">
        <v>342</v>
      </c>
      <c r="H159" s="189">
        <v>2</v>
      </c>
      <c r="I159" s="345"/>
      <c r="J159" s="345"/>
      <c r="K159" s="345"/>
      <c r="L159" s="189">
        <v>2</v>
      </c>
      <c r="M159" s="345"/>
      <c r="N159" s="345"/>
      <c r="O159" s="345"/>
      <c r="P159" s="189">
        <v>2</v>
      </c>
      <c r="Q159" s="345"/>
      <c r="R159" s="345"/>
      <c r="S159" s="345"/>
      <c r="T159" s="189">
        <v>2</v>
      </c>
      <c r="U159" s="345"/>
      <c r="V159" s="345"/>
      <c r="W159" s="345"/>
      <c r="X159" s="345" t="s">
        <v>117</v>
      </c>
      <c r="Y159" s="345"/>
      <c r="Z159" s="345"/>
    </row>
    <row r="160" spans="1:26" ht="12.75">
      <c r="A160" s="345"/>
      <c r="B160" s="511" t="s">
        <v>722</v>
      </c>
      <c r="C160" s="189">
        <v>8</v>
      </c>
      <c r="D160" s="200" t="s">
        <v>571</v>
      </c>
      <c r="E160" s="345"/>
      <c r="F160" s="331"/>
      <c r="G160" s="569" t="s">
        <v>342</v>
      </c>
      <c r="H160" s="189">
        <v>2</v>
      </c>
      <c r="I160" s="345"/>
      <c r="J160" s="345"/>
      <c r="K160" s="345"/>
      <c r="L160" s="189">
        <v>2</v>
      </c>
      <c r="M160" s="345"/>
      <c r="N160" s="345"/>
      <c r="O160" s="345"/>
      <c r="P160" s="189">
        <v>2</v>
      </c>
      <c r="Q160" s="345"/>
      <c r="R160" s="345"/>
      <c r="S160" s="345"/>
      <c r="T160" s="189">
        <v>2</v>
      </c>
      <c r="U160" s="345"/>
      <c r="V160" s="345"/>
      <c r="W160" s="345"/>
      <c r="X160" s="345" t="s">
        <v>117</v>
      </c>
      <c r="Y160" s="345"/>
      <c r="Z160" s="345"/>
    </row>
    <row r="161" spans="1:26" ht="12.75">
      <c r="A161" s="345"/>
      <c r="B161" s="511" t="s">
        <v>723</v>
      </c>
      <c r="C161" s="189">
        <v>8</v>
      </c>
      <c r="D161" s="200" t="s">
        <v>571</v>
      </c>
      <c r="E161" s="345"/>
      <c r="F161" s="331"/>
      <c r="G161" s="569" t="s">
        <v>342</v>
      </c>
      <c r="H161" s="189">
        <v>2</v>
      </c>
      <c r="I161" s="345"/>
      <c r="J161" s="345"/>
      <c r="K161" s="345"/>
      <c r="L161" s="189">
        <v>2</v>
      </c>
      <c r="M161" s="345"/>
      <c r="N161" s="345"/>
      <c r="O161" s="345"/>
      <c r="P161" s="189">
        <v>2</v>
      </c>
      <c r="Q161" s="345"/>
      <c r="R161" s="345"/>
      <c r="S161" s="345"/>
      <c r="T161" s="189">
        <v>2</v>
      </c>
      <c r="U161" s="345"/>
      <c r="V161" s="345"/>
      <c r="W161" s="345"/>
      <c r="X161" s="345" t="s">
        <v>117</v>
      </c>
      <c r="Y161" s="345"/>
      <c r="Z161" s="345"/>
    </row>
    <row r="162" spans="1:26" ht="12.75">
      <c r="A162" s="345"/>
      <c r="B162" s="571" t="s">
        <v>724</v>
      </c>
      <c r="C162" s="189">
        <v>10</v>
      </c>
      <c r="D162" s="200" t="s">
        <v>571</v>
      </c>
      <c r="E162" s="345"/>
      <c r="F162" s="331"/>
      <c r="G162" s="569" t="s">
        <v>342</v>
      </c>
      <c r="H162" s="189">
        <v>5</v>
      </c>
      <c r="I162" s="345"/>
      <c r="J162" s="345"/>
      <c r="K162" s="345"/>
      <c r="L162" s="189">
        <v>0</v>
      </c>
      <c r="M162" s="345"/>
      <c r="N162" s="345"/>
      <c r="O162" s="345"/>
      <c r="P162" s="189">
        <v>5</v>
      </c>
      <c r="Q162" s="345"/>
      <c r="R162" s="345"/>
      <c r="S162" s="345"/>
      <c r="T162" s="189">
        <v>0</v>
      </c>
      <c r="U162" s="345"/>
      <c r="V162" s="345"/>
      <c r="W162" s="345"/>
      <c r="X162" s="345" t="s">
        <v>117</v>
      </c>
      <c r="Y162" s="345"/>
      <c r="Z162" s="345"/>
    </row>
    <row r="163" spans="1:26" ht="12.75">
      <c r="A163" s="345"/>
      <c r="B163" s="571" t="s">
        <v>725</v>
      </c>
      <c r="C163" s="189">
        <v>5</v>
      </c>
      <c r="D163" s="200" t="s">
        <v>571</v>
      </c>
      <c r="E163" s="345"/>
      <c r="F163" s="331"/>
      <c r="G163" s="569" t="s">
        <v>342</v>
      </c>
      <c r="H163" s="189">
        <v>2</v>
      </c>
      <c r="I163" s="345"/>
      <c r="J163" s="345"/>
      <c r="K163" s="345"/>
      <c r="L163" s="189">
        <v>2</v>
      </c>
      <c r="M163" s="345"/>
      <c r="N163" s="345"/>
      <c r="O163" s="345"/>
      <c r="P163" s="189">
        <v>1</v>
      </c>
      <c r="Q163" s="345"/>
      <c r="R163" s="345"/>
      <c r="S163" s="345"/>
      <c r="T163" s="189">
        <v>0</v>
      </c>
      <c r="U163" s="345"/>
      <c r="V163" s="345"/>
      <c r="W163" s="345"/>
      <c r="X163" s="345" t="s">
        <v>117</v>
      </c>
      <c r="Y163" s="345"/>
      <c r="Z163" s="345"/>
    </row>
    <row r="164" spans="1:26" ht="12.75">
      <c r="A164" s="345"/>
      <c r="B164" s="571" t="s">
        <v>726</v>
      </c>
      <c r="C164" s="189">
        <v>5</v>
      </c>
      <c r="D164" s="200" t="s">
        <v>571</v>
      </c>
      <c r="E164" s="345"/>
      <c r="F164" s="331"/>
      <c r="G164" s="569" t="s">
        <v>342</v>
      </c>
      <c r="H164" s="189">
        <v>2</v>
      </c>
      <c r="I164" s="345"/>
      <c r="J164" s="345"/>
      <c r="K164" s="345"/>
      <c r="L164" s="189">
        <v>2</v>
      </c>
      <c r="M164" s="345"/>
      <c r="N164" s="345"/>
      <c r="O164" s="345"/>
      <c r="P164" s="189">
        <v>1</v>
      </c>
      <c r="Q164" s="345"/>
      <c r="R164" s="345"/>
      <c r="S164" s="345"/>
      <c r="T164" s="189">
        <v>0</v>
      </c>
      <c r="U164" s="345"/>
      <c r="V164" s="345"/>
      <c r="W164" s="345"/>
      <c r="X164" s="345" t="s">
        <v>117</v>
      </c>
      <c r="Y164" s="345"/>
      <c r="Z164" s="345"/>
    </row>
    <row r="165" spans="1:26" ht="12.75">
      <c r="A165" s="345"/>
      <c r="B165" s="571" t="s">
        <v>727</v>
      </c>
      <c r="C165" s="189">
        <v>5</v>
      </c>
      <c r="D165" s="200" t="s">
        <v>571</v>
      </c>
      <c r="E165" s="345"/>
      <c r="F165" s="331"/>
      <c r="G165" s="569" t="s">
        <v>342</v>
      </c>
      <c r="H165" s="189">
        <v>2</v>
      </c>
      <c r="I165" s="345"/>
      <c r="J165" s="345"/>
      <c r="K165" s="345"/>
      <c r="L165" s="189">
        <v>2</v>
      </c>
      <c r="M165" s="345"/>
      <c r="N165" s="345"/>
      <c r="O165" s="345"/>
      <c r="P165" s="189">
        <v>1</v>
      </c>
      <c r="Q165" s="345"/>
      <c r="R165" s="345"/>
      <c r="S165" s="345"/>
      <c r="T165" s="189">
        <v>0</v>
      </c>
      <c r="U165" s="345"/>
      <c r="V165" s="345"/>
      <c r="W165" s="345"/>
      <c r="X165" s="345" t="s">
        <v>117</v>
      </c>
      <c r="Y165" s="345"/>
      <c r="Z165" s="345"/>
    </row>
    <row r="166" spans="1:26" ht="12.75">
      <c r="A166" s="345"/>
      <c r="B166" s="553" t="s">
        <v>224</v>
      </c>
      <c r="C166" s="514">
        <v>20</v>
      </c>
      <c r="D166" s="514" t="s">
        <v>118</v>
      </c>
      <c r="E166" s="572">
        <v>10000</v>
      </c>
      <c r="F166" s="573">
        <v>200000</v>
      </c>
      <c r="G166" s="514" t="s">
        <v>447</v>
      </c>
      <c r="H166" s="514">
        <v>20</v>
      </c>
      <c r="I166" s="514" t="s">
        <v>544</v>
      </c>
      <c r="J166" s="574"/>
      <c r="K166" s="574"/>
      <c r="L166" s="574"/>
      <c r="M166" s="574"/>
      <c r="N166" s="574"/>
      <c r="O166" s="574"/>
      <c r="P166" s="574"/>
      <c r="Q166" s="574"/>
      <c r="R166" s="574"/>
      <c r="S166" s="574"/>
      <c r="T166" s="574"/>
      <c r="U166" s="574"/>
      <c r="V166" s="574"/>
      <c r="W166" s="574"/>
      <c r="X166" s="345" t="s">
        <v>153</v>
      </c>
      <c r="Y166" s="345"/>
      <c r="Z166" s="345"/>
    </row>
    <row r="167" spans="1:26" ht="12.75">
      <c r="A167" s="345"/>
      <c r="B167" s="530" t="s">
        <v>152</v>
      </c>
      <c r="C167" s="517">
        <v>2</v>
      </c>
      <c r="D167" s="517" t="s">
        <v>118</v>
      </c>
      <c r="E167" s="517" t="s">
        <v>3017</v>
      </c>
      <c r="F167" s="575">
        <v>100000</v>
      </c>
      <c r="G167" s="517" t="s">
        <v>447</v>
      </c>
      <c r="H167" s="517">
        <v>2</v>
      </c>
      <c r="I167" s="517" t="s">
        <v>544</v>
      </c>
      <c r="J167" s="576"/>
      <c r="K167" s="576"/>
      <c r="L167" s="576"/>
      <c r="M167" s="576"/>
      <c r="N167" s="576"/>
      <c r="O167" s="576"/>
      <c r="P167" s="576"/>
      <c r="Q167" s="576"/>
      <c r="R167" s="576"/>
      <c r="S167" s="576"/>
      <c r="T167" s="576"/>
      <c r="U167" s="576"/>
      <c r="V167" s="576"/>
      <c r="W167" s="576"/>
      <c r="X167" s="345" t="s">
        <v>153</v>
      </c>
      <c r="Y167" s="345"/>
      <c r="Z167" s="345"/>
    </row>
    <row r="168" spans="1:26" ht="12.75">
      <c r="A168" s="345"/>
      <c r="B168" s="516" t="s">
        <v>547</v>
      </c>
      <c r="C168" s="517">
        <v>10</v>
      </c>
      <c r="D168" s="517" t="s">
        <v>103</v>
      </c>
      <c r="E168" s="517">
        <v>380</v>
      </c>
      <c r="F168" s="489">
        <v>3800</v>
      </c>
      <c r="G168" s="517" t="s">
        <v>447</v>
      </c>
      <c r="H168" s="517">
        <v>3</v>
      </c>
      <c r="I168" s="517" t="s">
        <v>544</v>
      </c>
      <c r="J168" s="576"/>
      <c r="K168" s="576"/>
      <c r="L168" s="518">
        <v>3</v>
      </c>
      <c r="M168" s="517" t="s">
        <v>544</v>
      </c>
      <c r="N168" s="576"/>
      <c r="O168" s="576"/>
      <c r="P168" s="518">
        <v>4</v>
      </c>
      <c r="Q168" s="517" t="s">
        <v>544</v>
      </c>
      <c r="R168" s="576"/>
      <c r="S168" s="576"/>
      <c r="T168" s="576"/>
      <c r="U168" s="517"/>
      <c r="V168" s="576"/>
      <c r="W168" s="576"/>
      <c r="X168" s="345" t="s">
        <v>153</v>
      </c>
      <c r="Y168" s="345"/>
      <c r="Z168" s="345"/>
    </row>
    <row r="169" spans="1:26" ht="12.75">
      <c r="A169" s="345"/>
      <c r="B169" s="516" t="s">
        <v>548</v>
      </c>
      <c r="C169" s="517">
        <v>5</v>
      </c>
      <c r="D169" s="517" t="s">
        <v>103</v>
      </c>
      <c r="E169" s="517">
        <v>380</v>
      </c>
      <c r="F169" s="489">
        <v>1900</v>
      </c>
      <c r="G169" s="517" t="s">
        <v>447</v>
      </c>
      <c r="H169" s="517">
        <v>2</v>
      </c>
      <c r="I169" s="517" t="s">
        <v>544</v>
      </c>
      <c r="J169" s="576"/>
      <c r="K169" s="576"/>
      <c r="L169" s="518">
        <v>2</v>
      </c>
      <c r="M169" s="517" t="s">
        <v>544</v>
      </c>
      <c r="N169" s="576"/>
      <c r="O169" s="576"/>
      <c r="P169" s="518">
        <v>1</v>
      </c>
      <c r="Q169" s="517" t="s">
        <v>544</v>
      </c>
      <c r="R169" s="576"/>
      <c r="S169" s="576"/>
      <c r="T169" s="576"/>
      <c r="U169" s="517"/>
      <c r="V169" s="576"/>
      <c r="W169" s="576"/>
      <c r="X169" s="345" t="s">
        <v>153</v>
      </c>
      <c r="Y169" s="345"/>
      <c r="Z169" s="345"/>
    </row>
    <row r="170" spans="1:26" ht="12.75">
      <c r="A170" s="345"/>
      <c r="B170" s="516" t="s">
        <v>549</v>
      </c>
      <c r="C170" s="517">
        <v>5</v>
      </c>
      <c r="D170" s="517" t="s">
        <v>103</v>
      </c>
      <c r="E170" s="517">
        <v>380</v>
      </c>
      <c r="F170" s="489">
        <v>1900</v>
      </c>
      <c r="G170" s="517" t="s">
        <v>447</v>
      </c>
      <c r="H170" s="517">
        <v>2</v>
      </c>
      <c r="I170" s="517" t="s">
        <v>544</v>
      </c>
      <c r="J170" s="576"/>
      <c r="K170" s="576"/>
      <c r="L170" s="518">
        <v>2</v>
      </c>
      <c r="M170" s="517" t="s">
        <v>544</v>
      </c>
      <c r="N170" s="576"/>
      <c r="O170" s="576"/>
      <c r="P170" s="518">
        <v>1</v>
      </c>
      <c r="Q170" s="517" t="s">
        <v>544</v>
      </c>
      <c r="R170" s="576"/>
      <c r="S170" s="576"/>
      <c r="T170" s="576"/>
      <c r="U170" s="517"/>
      <c r="V170" s="576"/>
      <c r="W170" s="576"/>
      <c r="X170" s="345" t="s">
        <v>153</v>
      </c>
      <c r="Y170" s="345"/>
      <c r="Z170" s="345"/>
    </row>
    <row r="171" spans="1:26" ht="12.75">
      <c r="A171" s="345"/>
      <c r="B171" s="516" t="s">
        <v>550</v>
      </c>
      <c r="C171" s="517">
        <v>5</v>
      </c>
      <c r="D171" s="517" t="s">
        <v>103</v>
      </c>
      <c r="E171" s="517">
        <v>380</v>
      </c>
      <c r="F171" s="489">
        <v>1900</v>
      </c>
      <c r="G171" s="517" t="s">
        <v>447</v>
      </c>
      <c r="H171" s="517">
        <v>2</v>
      </c>
      <c r="I171" s="517" t="s">
        <v>544</v>
      </c>
      <c r="J171" s="576"/>
      <c r="K171" s="576"/>
      <c r="L171" s="518">
        <v>2</v>
      </c>
      <c r="M171" s="517" t="s">
        <v>544</v>
      </c>
      <c r="N171" s="576"/>
      <c r="O171" s="576"/>
      <c r="P171" s="518">
        <v>1</v>
      </c>
      <c r="Q171" s="517" t="s">
        <v>544</v>
      </c>
      <c r="R171" s="576"/>
      <c r="S171" s="576"/>
      <c r="T171" s="576"/>
      <c r="U171" s="517"/>
      <c r="V171" s="576"/>
      <c r="W171" s="576"/>
      <c r="X171" s="345" t="s">
        <v>153</v>
      </c>
      <c r="Y171" s="345"/>
      <c r="Z171" s="345"/>
    </row>
    <row r="172" spans="1:26" ht="12.75">
      <c r="A172" s="345"/>
      <c r="B172" s="516" t="s">
        <v>551</v>
      </c>
      <c r="C172" s="517">
        <v>6</v>
      </c>
      <c r="D172" s="517" t="s">
        <v>103</v>
      </c>
      <c r="E172" s="577">
        <v>4500</v>
      </c>
      <c r="F172" s="489">
        <v>27000</v>
      </c>
      <c r="G172" s="517" t="s">
        <v>447</v>
      </c>
      <c r="H172" s="517">
        <v>3</v>
      </c>
      <c r="I172" s="517" t="s">
        <v>544</v>
      </c>
      <c r="J172" s="576"/>
      <c r="K172" s="576"/>
      <c r="L172" s="518">
        <v>3</v>
      </c>
      <c r="M172" s="517" t="s">
        <v>544</v>
      </c>
      <c r="N172" s="576"/>
      <c r="O172" s="576"/>
      <c r="P172" s="518">
        <v>3</v>
      </c>
      <c r="Q172" s="517" t="s">
        <v>544</v>
      </c>
      <c r="R172" s="576"/>
      <c r="S172" s="576"/>
      <c r="T172" s="517">
        <v>1</v>
      </c>
      <c r="U172" s="576" t="s">
        <v>544</v>
      </c>
      <c r="V172" s="576"/>
      <c r="W172" s="576"/>
      <c r="X172" s="345" t="s">
        <v>153</v>
      </c>
      <c r="Y172" s="345"/>
      <c r="Z172" s="345"/>
    </row>
    <row r="173" spans="1:26" ht="12.75">
      <c r="A173" s="345"/>
      <c r="B173" s="516" t="s">
        <v>3018</v>
      </c>
      <c r="C173" s="517">
        <v>1</v>
      </c>
      <c r="D173" s="517" t="s">
        <v>103</v>
      </c>
      <c r="E173" s="577">
        <v>18000</v>
      </c>
      <c r="F173" s="489">
        <v>18500</v>
      </c>
      <c r="G173" s="517" t="s">
        <v>447</v>
      </c>
      <c r="H173" s="517">
        <v>1</v>
      </c>
      <c r="I173" s="517" t="s">
        <v>544</v>
      </c>
      <c r="J173" s="576"/>
      <c r="K173" s="576"/>
      <c r="L173" s="576"/>
      <c r="M173" s="517"/>
      <c r="N173" s="576"/>
      <c r="O173" s="576"/>
      <c r="P173" s="576"/>
      <c r="Q173" s="517"/>
      <c r="R173" s="576"/>
      <c r="S173" s="576"/>
      <c r="T173" s="576"/>
      <c r="U173" s="517"/>
      <c r="V173" s="576"/>
      <c r="W173" s="576"/>
      <c r="X173" s="345" t="s">
        <v>153</v>
      </c>
      <c r="Y173" s="345"/>
      <c r="Z173" s="345"/>
    </row>
    <row r="174" spans="1:26" ht="12.75">
      <c r="A174" s="345"/>
      <c r="B174" s="511" t="s">
        <v>234</v>
      </c>
      <c r="C174" s="485">
        <v>2</v>
      </c>
      <c r="D174" s="485" t="s">
        <v>103</v>
      </c>
      <c r="E174" s="518">
        <v>380</v>
      </c>
      <c r="F174" s="499">
        <v>760</v>
      </c>
      <c r="G174" s="485"/>
      <c r="H174" s="485">
        <v>1</v>
      </c>
      <c r="I174" s="485">
        <v>1</v>
      </c>
      <c r="J174" s="485"/>
      <c r="K174" s="485"/>
      <c r="L174" s="485">
        <v>1</v>
      </c>
      <c r="M174" s="485">
        <v>1</v>
      </c>
      <c r="N174" s="485"/>
      <c r="O174" s="485"/>
      <c r="P174" s="485">
        <v>0</v>
      </c>
      <c r="Q174" s="485"/>
      <c r="R174" s="485"/>
      <c r="S174" s="485"/>
      <c r="T174" s="485">
        <v>0</v>
      </c>
      <c r="U174" s="485"/>
      <c r="V174" s="485"/>
      <c r="W174" s="485"/>
      <c r="X174" s="345" t="s">
        <v>116</v>
      </c>
      <c r="Y174" s="345"/>
      <c r="Z174" s="345"/>
    </row>
    <row r="175" spans="1:26" ht="12.75">
      <c r="A175" s="345"/>
      <c r="B175" s="511" t="s">
        <v>239</v>
      </c>
      <c r="C175" s="483">
        <v>2</v>
      </c>
      <c r="D175" s="483" t="s">
        <v>103</v>
      </c>
      <c r="E175" s="518">
        <v>380</v>
      </c>
      <c r="F175" s="499">
        <v>760</v>
      </c>
      <c r="G175" s="483"/>
      <c r="H175" s="483">
        <v>1</v>
      </c>
      <c r="I175" s="483">
        <v>1</v>
      </c>
      <c r="J175" s="483"/>
      <c r="K175" s="483"/>
      <c r="L175" s="483">
        <v>1</v>
      </c>
      <c r="M175" s="483">
        <v>1</v>
      </c>
      <c r="N175" s="483"/>
      <c r="O175" s="483"/>
      <c r="P175" s="483">
        <v>0</v>
      </c>
      <c r="Q175" s="483"/>
      <c r="R175" s="483"/>
      <c r="S175" s="483"/>
      <c r="T175" s="483">
        <v>0</v>
      </c>
      <c r="U175" s="483"/>
      <c r="V175" s="483"/>
      <c r="W175" s="483"/>
      <c r="X175" s="345" t="s">
        <v>116</v>
      </c>
      <c r="Y175" s="345"/>
      <c r="Z175" s="345"/>
    </row>
    <row r="176" spans="1:26" ht="12.75">
      <c r="A176" s="345"/>
      <c r="B176" s="511" t="s">
        <v>728</v>
      </c>
      <c r="C176" s="483">
        <v>3</v>
      </c>
      <c r="D176" s="483" t="s">
        <v>103</v>
      </c>
      <c r="E176" s="578">
        <v>3500</v>
      </c>
      <c r="F176" s="579">
        <v>10500</v>
      </c>
      <c r="G176" s="483"/>
      <c r="H176" s="483">
        <v>3</v>
      </c>
      <c r="I176" s="483">
        <v>3</v>
      </c>
      <c r="J176" s="483"/>
      <c r="K176" s="483"/>
      <c r="L176" s="483">
        <v>0</v>
      </c>
      <c r="M176" s="483"/>
      <c r="N176" s="483"/>
      <c r="O176" s="483"/>
      <c r="P176" s="483">
        <v>0</v>
      </c>
      <c r="Q176" s="483"/>
      <c r="R176" s="483"/>
      <c r="S176" s="483"/>
      <c r="T176" s="483">
        <v>0</v>
      </c>
      <c r="U176" s="483"/>
      <c r="V176" s="483"/>
      <c r="W176" s="483"/>
      <c r="X176" s="345" t="s">
        <v>116</v>
      </c>
      <c r="Y176" s="345"/>
      <c r="Z176" s="345"/>
    </row>
    <row r="177" spans="1:26" ht="12.75">
      <c r="A177" s="345"/>
      <c r="B177" s="511" t="s">
        <v>729</v>
      </c>
      <c r="C177" s="483">
        <v>700</v>
      </c>
      <c r="D177" s="483" t="s">
        <v>103</v>
      </c>
      <c r="E177" s="580">
        <v>5.5</v>
      </c>
      <c r="F177" s="579">
        <v>3850</v>
      </c>
      <c r="G177" s="483"/>
      <c r="H177" s="483">
        <v>250</v>
      </c>
      <c r="I177" s="483">
        <v>84</v>
      </c>
      <c r="J177" s="483">
        <v>83</v>
      </c>
      <c r="K177" s="483">
        <v>83</v>
      </c>
      <c r="L177" s="483">
        <v>250</v>
      </c>
      <c r="M177" s="483">
        <v>84</v>
      </c>
      <c r="N177" s="483">
        <v>83</v>
      </c>
      <c r="O177" s="483">
        <v>83</v>
      </c>
      <c r="P177" s="483">
        <v>250</v>
      </c>
      <c r="Q177" s="483">
        <v>84</v>
      </c>
      <c r="R177" s="483">
        <v>83</v>
      </c>
      <c r="S177" s="483">
        <v>83</v>
      </c>
      <c r="T177" s="483">
        <v>250</v>
      </c>
      <c r="U177" s="483">
        <v>84</v>
      </c>
      <c r="V177" s="483">
        <v>83</v>
      </c>
      <c r="W177" s="483">
        <v>83</v>
      </c>
      <c r="X177" s="345" t="s">
        <v>116</v>
      </c>
      <c r="Y177" s="345"/>
      <c r="Z177" s="345"/>
    </row>
    <row r="178" spans="1:26" ht="12.75">
      <c r="A178" s="345"/>
      <c r="B178" s="581" t="s">
        <v>730</v>
      </c>
      <c r="C178" s="482">
        <v>24</v>
      </c>
      <c r="D178" s="483" t="s">
        <v>103</v>
      </c>
      <c r="E178" s="578">
        <v>5200</v>
      </c>
      <c r="F178" s="579">
        <v>124800</v>
      </c>
      <c r="G178" s="483"/>
      <c r="H178" s="483">
        <v>6</v>
      </c>
      <c r="I178" s="483">
        <v>2</v>
      </c>
      <c r="J178" s="483">
        <v>2</v>
      </c>
      <c r="K178" s="483">
        <v>2</v>
      </c>
      <c r="L178" s="483">
        <v>6</v>
      </c>
      <c r="M178" s="483">
        <v>2</v>
      </c>
      <c r="N178" s="483">
        <v>2</v>
      </c>
      <c r="O178" s="483">
        <v>2</v>
      </c>
      <c r="P178" s="483">
        <v>6</v>
      </c>
      <c r="Q178" s="483">
        <v>2</v>
      </c>
      <c r="R178" s="483">
        <v>2</v>
      </c>
      <c r="S178" s="483">
        <v>2</v>
      </c>
      <c r="T178" s="483">
        <v>6</v>
      </c>
      <c r="U178" s="483">
        <v>2</v>
      </c>
      <c r="V178" s="483">
        <v>2</v>
      </c>
      <c r="W178" s="483">
        <v>2</v>
      </c>
      <c r="X178" s="345" t="s">
        <v>116</v>
      </c>
      <c r="Y178" s="345"/>
      <c r="Z178" s="345"/>
    </row>
    <row r="179" spans="1:26" ht="12.75">
      <c r="A179" s="345"/>
      <c r="B179" s="582" t="s">
        <v>731</v>
      </c>
      <c r="C179" s="482">
        <v>2</v>
      </c>
      <c r="D179" s="483" t="s">
        <v>466</v>
      </c>
      <c r="E179" s="578">
        <v>2792</v>
      </c>
      <c r="F179" s="579">
        <v>5584</v>
      </c>
      <c r="G179" s="483"/>
      <c r="H179" s="483">
        <v>1</v>
      </c>
      <c r="I179" s="483">
        <v>1</v>
      </c>
      <c r="J179" s="483"/>
      <c r="K179" s="483"/>
      <c r="L179" s="483">
        <v>1</v>
      </c>
      <c r="M179" s="483">
        <v>1</v>
      </c>
      <c r="N179" s="483"/>
      <c r="O179" s="483"/>
      <c r="P179" s="483">
        <v>0</v>
      </c>
      <c r="Q179" s="483"/>
      <c r="R179" s="483"/>
      <c r="S179" s="483"/>
      <c r="T179" s="483">
        <v>0</v>
      </c>
      <c r="U179" s="483"/>
      <c r="V179" s="483"/>
      <c r="W179" s="483"/>
      <c r="X179" s="345" t="s">
        <v>116</v>
      </c>
      <c r="Y179" s="345"/>
      <c r="Z179" s="345"/>
    </row>
    <row r="180" spans="1:26" ht="12.75">
      <c r="A180" s="345"/>
      <c r="B180" s="583" t="s">
        <v>528</v>
      </c>
      <c r="C180" s="482">
        <v>20</v>
      </c>
      <c r="D180" s="483" t="s">
        <v>657</v>
      </c>
      <c r="E180" s="499">
        <v>249.6</v>
      </c>
      <c r="F180" s="579">
        <v>4992</v>
      </c>
      <c r="G180" s="483"/>
      <c r="H180" s="483">
        <v>5</v>
      </c>
      <c r="I180" s="483">
        <v>2</v>
      </c>
      <c r="J180" s="483">
        <v>2</v>
      </c>
      <c r="K180" s="483">
        <v>1</v>
      </c>
      <c r="L180" s="483">
        <v>5</v>
      </c>
      <c r="M180" s="483">
        <v>2</v>
      </c>
      <c r="N180" s="483">
        <v>2</v>
      </c>
      <c r="O180" s="483">
        <v>1</v>
      </c>
      <c r="P180" s="483">
        <v>5</v>
      </c>
      <c r="Q180" s="483">
        <v>2</v>
      </c>
      <c r="R180" s="483">
        <v>2</v>
      </c>
      <c r="S180" s="483">
        <v>1</v>
      </c>
      <c r="T180" s="483">
        <v>5</v>
      </c>
      <c r="U180" s="483">
        <v>2</v>
      </c>
      <c r="V180" s="483">
        <v>2</v>
      </c>
      <c r="W180" s="483">
        <v>1</v>
      </c>
      <c r="X180" s="345" t="s">
        <v>116</v>
      </c>
      <c r="Y180" s="345"/>
      <c r="Z180" s="345"/>
    </row>
    <row r="181" spans="1:26" ht="12.75">
      <c r="A181" s="345"/>
      <c r="B181" s="583" t="s">
        <v>529</v>
      </c>
      <c r="C181" s="482">
        <v>12</v>
      </c>
      <c r="D181" s="483" t="s">
        <v>657</v>
      </c>
      <c r="E181" s="499">
        <v>249.6</v>
      </c>
      <c r="F181" s="579">
        <v>2995.2</v>
      </c>
      <c r="G181" s="483"/>
      <c r="H181" s="483">
        <v>3</v>
      </c>
      <c r="I181" s="483">
        <v>1</v>
      </c>
      <c r="J181" s="483">
        <v>1</v>
      </c>
      <c r="K181" s="483">
        <v>1</v>
      </c>
      <c r="L181" s="483">
        <v>3</v>
      </c>
      <c r="M181" s="483">
        <v>1</v>
      </c>
      <c r="N181" s="483">
        <v>1</v>
      </c>
      <c r="O181" s="483">
        <v>1</v>
      </c>
      <c r="P181" s="483">
        <v>3</v>
      </c>
      <c r="Q181" s="483">
        <v>1</v>
      </c>
      <c r="R181" s="483">
        <v>1</v>
      </c>
      <c r="S181" s="483">
        <v>1</v>
      </c>
      <c r="T181" s="483">
        <v>3</v>
      </c>
      <c r="U181" s="483">
        <v>1</v>
      </c>
      <c r="V181" s="483">
        <v>1</v>
      </c>
      <c r="W181" s="483">
        <v>1</v>
      </c>
      <c r="X181" s="345" t="s">
        <v>116</v>
      </c>
      <c r="Y181" s="345"/>
      <c r="Z181" s="345"/>
    </row>
    <row r="182" spans="1:26" ht="12.75">
      <c r="A182" s="345"/>
      <c r="B182" s="583" t="s">
        <v>530</v>
      </c>
      <c r="C182" s="482">
        <v>12</v>
      </c>
      <c r="D182" s="483" t="s">
        <v>657</v>
      </c>
      <c r="E182" s="499">
        <v>249.6</v>
      </c>
      <c r="F182" s="579">
        <v>2995.2</v>
      </c>
      <c r="G182" s="483"/>
      <c r="H182" s="483">
        <v>3</v>
      </c>
      <c r="I182" s="483">
        <v>1</v>
      </c>
      <c r="J182" s="483">
        <v>1</v>
      </c>
      <c r="K182" s="483">
        <v>1</v>
      </c>
      <c r="L182" s="483">
        <v>3</v>
      </c>
      <c r="M182" s="483">
        <v>1</v>
      </c>
      <c r="N182" s="483">
        <v>1</v>
      </c>
      <c r="O182" s="483">
        <v>1</v>
      </c>
      <c r="P182" s="483">
        <v>3</v>
      </c>
      <c r="Q182" s="483">
        <v>1</v>
      </c>
      <c r="R182" s="483">
        <v>1</v>
      </c>
      <c r="S182" s="483">
        <v>1</v>
      </c>
      <c r="T182" s="483">
        <v>3</v>
      </c>
      <c r="U182" s="483">
        <v>1</v>
      </c>
      <c r="V182" s="483">
        <v>1</v>
      </c>
      <c r="W182" s="483">
        <v>1</v>
      </c>
      <c r="X182" s="345" t="s">
        <v>116</v>
      </c>
      <c r="Y182" s="345"/>
      <c r="Z182" s="345"/>
    </row>
    <row r="183" spans="1:26" ht="12.75">
      <c r="A183" s="345"/>
      <c r="B183" s="583" t="s">
        <v>531</v>
      </c>
      <c r="C183" s="482">
        <v>12</v>
      </c>
      <c r="D183" s="483" t="s">
        <v>657</v>
      </c>
      <c r="E183" s="499">
        <v>249.6</v>
      </c>
      <c r="F183" s="579">
        <v>2995.2</v>
      </c>
      <c r="G183" s="483"/>
      <c r="H183" s="483">
        <v>3</v>
      </c>
      <c r="I183" s="483">
        <v>1</v>
      </c>
      <c r="J183" s="483">
        <v>1</v>
      </c>
      <c r="K183" s="483">
        <v>1</v>
      </c>
      <c r="L183" s="483">
        <v>3</v>
      </c>
      <c r="M183" s="483">
        <v>1</v>
      </c>
      <c r="N183" s="483">
        <v>1</v>
      </c>
      <c r="O183" s="483">
        <v>1</v>
      </c>
      <c r="P183" s="483">
        <v>3</v>
      </c>
      <c r="Q183" s="483">
        <v>1</v>
      </c>
      <c r="R183" s="483">
        <v>1</v>
      </c>
      <c r="S183" s="483">
        <v>1</v>
      </c>
      <c r="T183" s="483">
        <v>3</v>
      </c>
      <c r="U183" s="483">
        <v>1</v>
      </c>
      <c r="V183" s="483">
        <v>1</v>
      </c>
      <c r="W183" s="483">
        <v>1</v>
      </c>
      <c r="X183" s="345" t="s">
        <v>116</v>
      </c>
      <c r="Y183" s="345"/>
      <c r="Z183" s="345"/>
    </row>
    <row r="184" spans="1:26" ht="12.75">
      <c r="A184" s="345"/>
      <c r="B184" s="584" t="s">
        <v>732</v>
      </c>
      <c r="C184" s="483">
        <v>12</v>
      </c>
      <c r="D184" s="483" t="s">
        <v>657</v>
      </c>
      <c r="E184" s="499">
        <v>275</v>
      </c>
      <c r="F184" s="579">
        <v>3300</v>
      </c>
      <c r="G184" s="483"/>
      <c r="H184" s="483">
        <v>3</v>
      </c>
      <c r="I184" s="483">
        <v>1</v>
      </c>
      <c r="J184" s="483">
        <v>1</v>
      </c>
      <c r="K184" s="483">
        <v>1</v>
      </c>
      <c r="L184" s="483">
        <v>3</v>
      </c>
      <c r="M184" s="483">
        <v>1</v>
      </c>
      <c r="N184" s="483">
        <v>1</v>
      </c>
      <c r="O184" s="483">
        <v>1</v>
      </c>
      <c r="P184" s="483">
        <v>3</v>
      </c>
      <c r="Q184" s="483">
        <v>1</v>
      </c>
      <c r="R184" s="483">
        <v>1</v>
      </c>
      <c r="S184" s="483">
        <v>1</v>
      </c>
      <c r="T184" s="483">
        <v>3</v>
      </c>
      <c r="U184" s="483">
        <v>1</v>
      </c>
      <c r="V184" s="483">
        <v>1</v>
      </c>
      <c r="W184" s="483">
        <v>1</v>
      </c>
      <c r="X184" s="345" t="s">
        <v>116</v>
      </c>
      <c r="Y184" s="345"/>
      <c r="Z184" s="345"/>
    </row>
    <row r="185" spans="1:26" ht="12.75">
      <c r="A185" s="345"/>
      <c r="B185" s="571" t="s">
        <v>733</v>
      </c>
      <c r="C185" s="483">
        <v>12</v>
      </c>
      <c r="D185" s="483" t="s">
        <v>657</v>
      </c>
      <c r="E185" s="499">
        <v>275</v>
      </c>
      <c r="F185" s="579">
        <v>3300</v>
      </c>
      <c r="G185" s="483"/>
      <c r="H185" s="483">
        <v>3</v>
      </c>
      <c r="I185" s="483">
        <v>1</v>
      </c>
      <c r="J185" s="483">
        <v>1</v>
      </c>
      <c r="K185" s="483">
        <v>1</v>
      </c>
      <c r="L185" s="483">
        <v>3</v>
      </c>
      <c r="M185" s="483">
        <v>1</v>
      </c>
      <c r="N185" s="483">
        <v>1</v>
      </c>
      <c r="O185" s="483">
        <v>1</v>
      </c>
      <c r="P185" s="483">
        <v>3</v>
      </c>
      <c r="Q185" s="483">
        <v>1</v>
      </c>
      <c r="R185" s="483">
        <v>1</v>
      </c>
      <c r="S185" s="483">
        <v>1</v>
      </c>
      <c r="T185" s="483">
        <v>3</v>
      </c>
      <c r="U185" s="483">
        <v>1</v>
      </c>
      <c r="V185" s="483">
        <v>1</v>
      </c>
      <c r="W185" s="483">
        <v>1</v>
      </c>
      <c r="X185" s="345" t="s">
        <v>116</v>
      </c>
      <c r="Y185" s="345"/>
      <c r="Z185" s="345"/>
    </row>
    <row r="186" spans="1:26" ht="12.75">
      <c r="A186" s="345"/>
      <c r="B186" s="511" t="s">
        <v>734</v>
      </c>
      <c r="C186" s="483">
        <v>12</v>
      </c>
      <c r="D186" s="483" t="s">
        <v>657</v>
      </c>
      <c r="E186" s="499">
        <v>275</v>
      </c>
      <c r="F186" s="579">
        <v>3300</v>
      </c>
      <c r="G186" s="483"/>
      <c r="H186" s="483">
        <v>3</v>
      </c>
      <c r="I186" s="483">
        <v>1</v>
      </c>
      <c r="J186" s="483">
        <v>1</v>
      </c>
      <c r="K186" s="483">
        <v>1</v>
      </c>
      <c r="L186" s="483">
        <v>3</v>
      </c>
      <c r="M186" s="483">
        <v>1</v>
      </c>
      <c r="N186" s="483">
        <v>1</v>
      </c>
      <c r="O186" s="483">
        <v>1</v>
      </c>
      <c r="P186" s="483">
        <v>3</v>
      </c>
      <c r="Q186" s="483">
        <v>1</v>
      </c>
      <c r="R186" s="483">
        <v>1</v>
      </c>
      <c r="S186" s="483">
        <v>1</v>
      </c>
      <c r="T186" s="483">
        <v>3</v>
      </c>
      <c r="U186" s="483">
        <v>1</v>
      </c>
      <c r="V186" s="483">
        <v>1</v>
      </c>
      <c r="W186" s="483">
        <v>1</v>
      </c>
      <c r="X186" s="345" t="s">
        <v>116</v>
      </c>
      <c r="Y186" s="345"/>
      <c r="Z186" s="345"/>
    </row>
    <row r="187" spans="1:26" ht="12.75">
      <c r="A187" s="345"/>
      <c r="B187" s="511" t="s">
        <v>735</v>
      </c>
      <c r="C187" s="483">
        <v>12</v>
      </c>
      <c r="D187" s="483" t="s">
        <v>657</v>
      </c>
      <c r="E187" s="499">
        <v>275</v>
      </c>
      <c r="F187" s="579">
        <v>3300</v>
      </c>
      <c r="G187" s="483"/>
      <c r="H187" s="483">
        <v>3</v>
      </c>
      <c r="I187" s="483">
        <v>1</v>
      </c>
      <c r="J187" s="483">
        <v>1</v>
      </c>
      <c r="K187" s="483">
        <v>1</v>
      </c>
      <c r="L187" s="483">
        <v>3</v>
      </c>
      <c r="M187" s="483">
        <v>1</v>
      </c>
      <c r="N187" s="483">
        <v>1</v>
      </c>
      <c r="O187" s="483">
        <v>1</v>
      </c>
      <c r="P187" s="483">
        <v>3</v>
      </c>
      <c r="Q187" s="483">
        <v>1</v>
      </c>
      <c r="R187" s="483">
        <v>1</v>
      </c>
      <c r="S187" s="483">
        <v>1</v>
      </c>
      <c r="T187" s="483">
        <v>3</v>
      </c>
      <c r="U187" s="483">
        <v>1</v>
      </c>
      <c r="V187" s="483">
        <v>1</v>
      </c>
      <c r="W187" s="483">
        <v>1</v>
      </c>
      <c r="X187" s="345" t="s">
        <v>116</v>
      </c>
      <c r="Y187" s="345"/>
      <c r="Z187" s="345"/>
    </row>
    <row r="188" spans="1:26" ht="12.75">
      <c r="A188" s="345"/>
      <c r="B188" s="513" t="s">
        <v>736</v>
      </c>
      <c r="C188" s="482">
        <v>12</v>
      </c>
      <c r="D188" s="483" t="s">
        <v>657</v>
      </c>
      <c r="E188" s="499">
        <v>275</v>
      </c>
      <c r="F188" s="579">
        <v>3300</v>
      </c>
      <c r="G188" s="483"/>
      <c r="H188" s="483">
        <v>3</v>
      </c>
      <c r="I188" s="483">
        <v>1</v>
      </c>
      <c r="J188" s="483">
        <v>1</v>
      </c>
      <c r="K188" s="483">
        <v>1</v>
      </c>
      <c r="L188" s="483">
        <v>3</v>
      </c>
      <c r="M188" s="483">
        <v>1</v>
      </c>
      <c r="N188" s="483">
        <v>1</v>
      </c>
      <c r="O188" s="483">
        <v>1</v>
      </c>
      <c r="P188" s="483">
        <v>3</v>
      </c>
      <c r="Q188" s="483">
        <v>1</v>
      </c>
      <c r="R188" s="483">
        <v>1</v>
      </c>
      <c r="S188" s="483">
        <v>1</v>
      </c>
      <c r="T188" s="483">
        <v>3</v>
      </c>
      <c r="U188" s="483">
        <v>1</v>
      </c>
      <c r="V188" s="483">
        <v>1</v>
      </c>
      <c r="W188" s="483">
        <v>1</v>
      </c>
      <c r="X188" s="345" t="s">
        <v>116</v>
      </c>
      <c r="Y188" s="345"/>
      <c r="Z188" s="345"/>
    </row>
    <row r="189" spans="1:26" ht="12.75">
      <c r="A189" s="345"/>
      <c r="B189" s="516" t="s">
        <v>737</v>
      </c>
      <c r="C189" s="482">
        <v>12</v>
      </c>
      <c r="D189" s="483" t="s">
        <v>657</v>
      </c>
      <c r="E189" s="499">
        <v>275</v>
      </c>
      <c r="F189" s="579">
        <v>3300</v>
      </c>
      <c r="G189" s="483"/>
      <c r="H189" s="483">
        <v>3</v>
      </c>
      <c r="I189" s="483">
        <v>1</v>
      </c>
      <c r="J189" s="483">
        <v>1</v>
      </c>
      <c r="K189" s="483">
        <v>1</v>
      </c>
      <c r="L189" s="483">
        <v>3</v>
      </c>
      <c r="M189" s="483">
        <v>1</v>
      </c>
      <c r="N189" s="483">
        <v>1</v>
      </c>
      <c r="O189" s="483">
        <v>1</v>
      </c>
      <c r="P189" s="483">
        <v>3</v>
      </c>
      <c r="Q189" s="483">
        <v>1</v>
      </c>
      <c r="R189" s="483">
        <v>1</v>
      </c>
      <c r="S189" s="483">
        <v>1</v>
      </c>
      <c r="T189" s="483">
        <v>3</v>
      </c>
      <c r="U189" s="483">
        <v>1</v>
      </c>
      <c r="V189" s="483">
        <v>1</v>
      </c>
      <c r="W189" s="483">
        <v>1</v>
      </c>
      <c r="X189" s="345" t="s">
        <v>116</v>
      </c>
      <c r="Y189" s="345"/>
      <c r="Z189" s="345"/>
    </row>
    <row r="190" spans="1:26" ht="12.75">
      <c r="A190" s="345"/>
      <c r="B190" s="583" t="s">
        <v>738</v>
      </c>
      <c r="C190" s="482">
        <v>12</v>
      </c>
      <c r="D190" s="483" t="s">
        <v>657</v>
      </c>
      <c r="E190" s="499">
        <v>275</v>
      </c>
      <c r="F190" s="579">
        <v>3300</v>
      </c>
      <c r="G190" s="483"/>
      <c r="H190" s="483">
        <v>3</v>
      </c>
      <c r="I190" s="483">
        <v>1</v>
      </c>
      <c r="J190" s="483">
        <v>1</v>
      </c>
      <c r="K190" s="483">
        <v>1</v>
      </c>
      <c r="L190" s="483">
        <v>3</v>
      </c>
      <c r="M190" s="483">
        <v>1</v>
      </c>
      <c r="N190" s="483">
        <v>1</v>
      </c>
      <c r="O190" s="483">
        <v>1</v>
      </c>
      <c r="P190" s="483">
        <v>3</v>
      </c>
      <c r="Q190" s="483">
        <v>1</v>
      </c>
      <c r="R190" s="483">
        <v>1</v>
      </c>
      <c r="S190" s="483">
        <v>1</v>
      </c>
      <c r="T190" s="483">
        <v>3</v>
      </c>
      <c r="U190" s="483">
        <v>1</v>
      </c>
      <c r="V190" s="483">
        <v>1</v>
      </c>
      <c r="W190" s="483">
        <v>1</v>
      </c>
      <c r="X190" s="345" t="s">
        <v>116</v>
      </c>
      <c r="Y190" s="345"/>
      <c r="Z190" s="345"/>
    </row>
    <row r="191" spans="1:26" ht="12.75">
      <c r="A191" s="345"/>
      <c r="B191" s="516" t="s">
        <v>739</v>
      </c>
      <c r="C191" s="482">
        <v>12</v>
      </c>
      <c r="D191" s="483" t="s">
        <v>657</v>
      </c>
      <c r="E191" s="499">
        <v>275</v>
      </c>
      <c r="F191" s="579">
        <v>3300</v>
      </c>
      <c r="G191" s="483"/>
      <c r="H191" s="483">
        <v>3</v>
      </c>
      <c r="I191" s="483">
        <v>1</v>
      </c>
      <c r="J191" s="483">
        <v>1</v>
      </c>
      <c r="K191" s="483">
        <v>1</v>
      </c>
      <c r="L191" s="483">
        <v>3</v>
      </c>
      <c r="M191" s="483">
        <v>1</v>
      </c>
      <c r="N191" s="483">
        <v>1</v>
      </c>
      <c r="O191" s="483">
        <v>1</v>
      </c>
      <c r="P191" s="483">
        <v>3</v>
      </c>
      <c r="Q191" s="483">
        <v>1</v>
      </c>
      <c r="R191" s="483">
        <v>1</v>
      </c>
      <c r="S191" s="483">
        <v>1</v>
      </c>
      <c r="T191" s="483">
        <v>3</v>
      </c>
      <c r="U191" s="483">
        <v>1</v>
      </c>
      <c r="V191" s="483">
        <v>1</v>
      </c>
      <c r="W191" s="483">
        <v>1</v>
      </c>
      <c r="X191" s="345" t="s">
        <v>116</v>
      </c>
      <c r="Y191" s="345"/>
      <c r="Z191" s="345"/>
    </row>
    <row r="192" spans="1:26" ht="12.75">
      <c r="A192" s="345"/>
      <c r="B192" s="516" t="s">
        <v>740</v>
      </c>
      <c r="C192" s="482">
        <v>2</v>
      </c>
      <c r="D192" s="483" t="s">
        <v>657</v>
      </c>
      <c r="E192" s="579">
        <v>8359.52</v>
      </c>
      <c r="F192" s="579">
        <v>16719.04</v>
      </c>
      <c r="G192" s="483"/>
      <c r="H192" s="483">
        <v>1</v>
      </c>
      <c r="I192" s="483">
        <v>1</v>
      </c>
      <c r="J192" s="483"/>
      <c r="K192" s="483"/>
      <c r="L192" s="483">
        <v>1</v>
      </c>
      <c r="M192" s="483">
        <v>1</v>
      </c>
      <c r="N192" s="483"/>
      <c r="O192" s="483"/>
      <c r="P192" s="483">
        <v>0</v>
      </c>
      <c r="Q192" s="483"/>
      <c r="R192" s="483"/>
      <c r="S192" s="483"/>
      <c r="T192" s="483">
        <v>0</v>
      </c>
      <c r="U192" s="483"/>
      <c r="V192" s="483"/>
      <c r="W192" s="483"/>
      <c r="X192" s="345" t="s">
        <v>116</v>
      </c>
      <c r="Y192" s="345"/>
      <c r="Z192" s="345"/>
    </row>
    <row r="193" spans="1:26" ht="12.75">
      <c r="A193" s="345"/>
      <c r="B193" s="516" t="s">
        <v>3019</v>
      </c>
      <c r="C193" s="482">
        <v>24</v>
      </c>
      <c r="D193" s="483" t="s">
        <v>103</v>
      </c>
      <c r="E193" s="579">
        <v>1500</v>
      </c>
      <c r="F193" s="579">
        <v>36000</v>
      </c>
      <c r="G193" s="483"/>
      <c r="H193" s="483">
        <v>6</v>
      </c>
      <c r="I193" s="483">
        <v>2</v>
      </c>
      <c r="J193" s="483">
        <v>2</v>
      </c>
      <c r="K193" s="483">
        <v>2</v>
      </c>
      <c r="L193" s="483">
        <v>6</v>
      </c>
      <c r="M193" s="483">
        <v>2</v>
      </c>
      <c r="N193" s="483">
        <v>2</v>
      </c>
      <c r="O193" s="483">
        <v>2</v>
      </c>
      <c r="P193" s="483">
        <v>6</v>
      </c>
      <c r="Q193" s="483">
        <v>2</v>
      </c>
      <c r="R193" s="483">
        <v>2</v>
      </c>
      <c r="S193" s="483">
        <v>2</v>
      </c>
      <c r="T193" s="483">
        <v>0</v>
      </c>
      <c r="U193" s="483"/>
      <c r="V193" s="483"/>
      <c r="W193" s="483"/>
      <c r="X193" s="345" t="s">
        <v>116</v>
      </c>
      <c r="Y193" s="345"/>
      <c r="Z193" s="345"/>
    </row>
    <row r="194" spans="1:26" ht="12.75">
      <c r="A194" s="345"/>
      <c r="B194" s="494" t="s">
        <v>741</v>
      </c>
      <c r="C194" s="483">
        <v>15</v>
      </c>
      <c r="D194" s="483" t="s">
        <v>103</v>
      </c>
      <c r="E194" s="578">
        <v>8800</v>
      </c>
      <c r="F194" s="579">
        <v>132000</v>
      </c>
      <c r="G194" s="483"/>
      <c r="H194" s="483">
        <v>4</v>
      </c>
      <c r="I194" s="483">
        <v>2</v>
      </c>
      <c r="J194" s="483">
        <v>1</v>
      </c>
      <c r="K194" s="483">
        <v>1</v>
      </c>
      <c r="L194" s="483">
        <v>4</v>
      </c>
      <c r="M194" s="483">
        <v>2</v>
      </c>
      <c r="N194" s="483">
        <v>1</v>
      </c>
      <c r="O194" s="483">
        <v>1</v>
      </c>
      <c r="P194" s="483">
        <v>4</v>
      </c>
      <c r="Q194" s="483">
        <v>2</v>
      </c>
      <c r="R194" s="483">
        <v>1</v>
      </c>
      <c r="S194" s="483">
        <v>1</v>
      </c>
      <c r="T194" s="483">
        <v>3</v>
      </c>
      <c r="U194" s="483">
        <v>1</v>
      </c>
      <c r="V194" s="483">
        <v>1</v>
      </c>
      <c r="W194" s="483">
        <v>1</v>
      </c>
      <c r="X194" s="345" t="s">
        <v>116</v>
      </c>
      <c r="Y194" s="345"/>
      <c r="Z194" s="345"/>
    </row>
    <row r="195" spans="1:26" ht="12.75">
      <c r="A195" s="345"/>
      <c r="B195" s="511" t="s">
        <v>742</v>
      </c>
      <c r="C195" s="483">
        <v>2</v>
      </c>
      <c r="D195" s="483" t="s">
        <v>103</v>
      </c>
      <c r="E195" s="578">
        <v>35200</v>
      </c>
      <c r="F195" s="579">
        <v>70400</v>
      </c>
      <c r="G195" s="483"/>
      <c r="H195" s="483">
        <v>1</v>
      </c>
      <c r="I195" s="483">
        <v>1</v>
      </c>
      <c r="J195" s="483"/>
      <c r="K195" s="483"/>
      <c r="L195" s="483">
        <v>1</v>
      </c>
      <c r="M195" s="483">
        <v>1</v>
      </c>
      <c r="N195" s="483"/>
      <c r="O195" s="483"/>
      <c r="P195" s="483">
        <v>0</v>
      </c>
      <c r="Q195" s="483"/>
      <c r="R195" s="483"/>
      <c r="S195" s="483"/>
      <c r="T195" s="483">
        <v>0</v>
      </c>
      <c r="U195" s="483"/>
      <c r="V195" s="483"/>
      <c r="W195" s="483"/>
      <c r="X195" s="345" t="s">
        <v>116</v>
      </c>
      <c r="Y195" s="345"/>
      <c r="Z195" s="345"/>
    </row>
    <row r="196" spans="1:26" ht="12.75">
      <c r="A196" s="345"/>
      <c r="B196" s="511" t="s">
        <v>743</v>
      </c>
      <c r="C196" s="483">
        <v>15</v>
      </c>
      <c r="D196" s="483" t="s">
        <v>103</v>
      </c>
      <c r="E196" s="578">
        <v>8800</v>
      </c>
      <c r="F196" s="579">
        <v>132000</v>
      </c>
      <c r="G196" s="483"/>
      <c r="H196" s="483">
        <v>4</v>
      </c>
      <c r="I196" s="483">
        <v>2</v>
      </c>
      <c r="J196" s="483">
        <v>1</v>
      </c>
      <c r="K196" s="483">
        <v>1</v>
      </c>
      <c r="L196" s="483">
        <v>4</v>
      </c>
      <c r="M196" s="483">
        <v>2</v>
      </c>
      <c r="N196" s="483">
        <v>1</v>
      </c>
      <c r="O196" s="483">
        <v>1</v>
      </c>
      <c r="P196" s="483">
        <v>4</v>
      </c>
      <c r="Q196" s="483">
        <v>2</v>
      </c>
      <c r="R196" s="483">
        <v>1</v>
      </c>
      <c r="S196" s="483">
        <v>1</v>
      </c>
      <c r="T196" s="483">
        <v>3</v>
      </c>
      <c r="U196" s="483">
        <v>1</v>
      </c>
      <c r="V196" s="483">
        <v>1</v>
      </c>
      <c r="W196" s="483">
        <v>1</v>
      </c>
      <c r="X196" s="345" t="s">
        <v>116</v>
      </c>
      <c r="Y196" s="345"/>
      <c r="Z196" s="345"/>
    </row>
    <row r="197" spans="1:26" ht="12.75">
      <c r="A197" s="345"/>
      <c r="B197" s="511" t="s">
        <v>744</v>
      </c>
      <c r="C197" s="483">
        <v>2</v>
      </c>
      <c r="D197" s="483" t="s">
        <v>103</v>
      </c>
      <c r="E197" s="578">
        <v>35200</v>
      </c>
      <c r="F197" s="579">
        <v>70400</v>
      </c>
      <c r="G197" s="483"/>
      <c r="H197" s="483">
        <v>1</v>
      </c>
      <c r="I197" s="483">
        <v>1</v>
      </c>
      <c r="J197" s="483"/>
      <c r="K197" s="483"/>
      <c r="L197" s="483">
        <v>1</v>
      </c>
      <c r="M197" s="483">
        <v>1</v>
      </c>
      <c r="N197" s="483"/>
      <c r="O197" s="483"/>
      <c r="P197" s="483">
        <v>0</v>
      </c>
      <c r="Q197" s="483"/>
      <c r="R197" s="483"/>
      <c r="S197" s="483"/>
      <c r="T197" s="483">
        <v>0</v>
      </c>
      <c r="U197" s="483"/>
      <c r="V197" s="483"/>
      <c r="W197" s="483"/>
      <c r="X197" s="345" t="s">
        <v>116</v>
      </c>
      <c r="Y197" s="345"/>
      <c r="Z197" s="345"/>
    </row>
    <row r="198" spans="1:26" ht="12.75">
      <c r="A198" s="345"/>
      <c r="B198" s="511" t="s">
        <v>746</v>
      </c>
      <c r="C198" s="483">
        <v>5</v>
      </c>
      <c r="D198" s="503" t="s">
        <v>103</v>
      </c>
      <c r="E198" s="578">
        <v>8500</v>
      </c>
      <c r="F198" s="579">
        <v>42500</v>
      </c>
      <c r="G198" s="483"/>
      <c r="H198" s="483">
        <v>2</v>
      </c>
      <c r="I198" s="483">
        <v>2</v>
      </c>
      <c r="J198" s="483"/>
      <c r="K198" s="483"/>
      <c r="L198" s="483">
        <v>2</v>
      </c>
      <c r="M198" s="483">
        <v>2</v>
      </c>
      <c r="N198" s="483"/>
      <c r="O198" s="483"/>
      <c r="P198" s="483">
        <v>1</v>
      </c>
      <c r="Q198" s="483">
        <v>1</v>
      </c>
      <c r="R198" s="483"/>
      <c r="S198" s="483"/>
      <c r="T198" s="483">
        <v>0</v>
      </c>
      <c r="U198" s="483"/>
      <c r="V198" s="483"/>
      <c r="W198" s="483"/>
      <c r="X198" s="345" t="s">
        <v>116</v>
      </c>
      <c r="Y198" s="345"/>
      <c r="Z198" s="345"/>
    </row>
    <row r="199" spans="1:26" ht="12.75">
      <c r="A199" s="345"/>
      <c r="B199" s="511" t="s">
        <v>747</v>
      </c>
      <c r="C199" s="483">
        <v>2</v>
      </c>
      <c r="D199" s="585" t="s">
        <v>103</v>
      </c>
      <c r="E199" s="518"/>
      <c r="F199" s="499"/>
      <c r="G199" s="483"/>
      <c r="H199" s="483">
        <v>2</v>
      </c>
      <c r="I199" s="483">
        <v>2</v>
      </c>
      <c r="J199" s="483"/>
      <c r="K199" s="483"/>
      <c r="L199" s="483">
        <v>0</v>
      </c>
      <c r="M199" s="483"/>
      <c r="N199" s="483"/>
      <c r="O199" s="483"/>
      <c r="P199" s="483">
        <v>0</v>
      </c>
      <c r="Q199" s="483"/>
      <c r="R199" s="483"/>
      <c r="S199" s="483"/>
      <c r="T199" s="483">
        <v>0</v>
      </c>
      <c r="U199" s="483"/>
      <c r="V199" s="483"/>
      <c r="W199" s="483"/>
      <c r="X199" s="345" t="s">
        <v>116</v>
      </c>
      <c r="Y199" s="345"/>
      <c r="Z199" s="345"/>
    </row>
    <row r="200" spans="1:26" ht="12.75">
      <c r="A200" s="345"/>
      <c r="B200" s="511" t="s">
        <v>748</v>
      </c>
      <c r="C200" s="483">
        <v>1</v>
      </c>
      <c r="D200" s="485" t="s">
        <v>103</v>
      </c>
      <c r="E200" s="518" t="s">
        <v>3020</v>
      </c>
      <c r="F200" s="499" t="s">
        <v>3020</v>
      </c>
      <c r="G200" s="483"/>
      <c r="H200" s="483">
        <v>1</v>
      </c>
      <c r="I200" s="483">
        <v>1</v>
      </c>
      <c r="J200" s="483"/>
      <c r="K200" s="483"/>
      <c r="L200" s="483">
        <v>0</v>
      </c>
      <c r="M200" s="483"/>
      <c r="N200" s="483"/>
      <c r="O200" s="483"/>
      <c r="P200" s="483">
        <v>0</v>
      </c>
      <c r="Q200" s="483"/>
      <c r="R200" s="483"/>
      <c r="S200" s="483"/>
      <c r="T200" s="483">
        <v>0</v>
      </c>
      <c r="U200" s="483"/>
      <c r="V200" s="483"/>
      <c r="W200" s="483"/>
      <c r="X200" s="345" t="s">
        <v>116</v>
      </c>
      <c r="Y200" s="345"/>
      <c r="Z200" s="345"/>
    </row>
    <row r="201" spans="1:26" ht="12.75">
      <c r="A201" s="345"/>
      <c r="B201" s="511" t="s">
        <v>749</v>
      </c>
      <c r="C201" s="483">
        <v>2</v>
      </c>
      <c r="D201" s="483" t="s">
        <v>103</v>
      </c>
      <c r="E201" s="578">
        <v>5000</v>
      </c>
      <c r="F201" s="579">
        <v>10000</v>
      </c>
      <c r="G201" s="483"/>
      <c r="H201" s="483">
        <v>2</v>
      </c>
      <c r="I201" s="483">
        <v>2</v>
      </c>
      <c r="J201" s="483"/>
      <c r="K201" s="483"/>
      <c r="L201" s="483">
        <v>0</v>
      </c>
      <c r="M201" s="483"/>
      <c r="N201" s="483"/>
      <c r="O201" s="483"/>
      <c r="P201" s="483">
        <v>0</v>
      </c>
      <c r="Q201" s="483"/>
      <c r="R201" s="483"/>
      <c r="S201" s="483"/>
      <c r="T201" s="483">
        <v>0</v>
      </c>
      <c r="U201" s="483"/>
      <c r="V201" s="483"/>
      <c r="W201" s="483"/>
      <c r="X201" s="345" t="s">
        <v>116</v>
      </c>
      <c r="Y201" s="345"/>
      <c r="Z201" s="345"/>
    </row>
    <row r="202" spans="1:26" ht="12.75">
      <c r="A202" s="345"/>
      <c r="B202" s="502" t="s">
        <v>750</v>
      </c>
      <c r="C202" s="503">
        <v>5</v>
      </c>
      <c r="D202" s="503" t="s">
        <v>103</v>
      </c>
      <c r="E202" s="586">
        <v>600</v>
      </c>
      <c r="F202" s="587">
        <v>3000</v>
      </c>
      <c r="G202" s="503"/>
      <c r="H202" s="503">
        <v>5</v>
      </c>
      <c r="I202" s="503">
        <v>5</v>
      </c>
      <c r="J202" s="503"/>
      <c r="K202" s="503"/>
      <c r="L202" s="503">
        <v>0</v>
      </c>
      <c r="M202" s="503"/>
      <c r="N202" s="503"/>
      <c r="O202" s="503"/>
      <c r="P202" s="503">
        <v>0</v>
      </c>
      <c r="Q202" s="503"/>
      <c r="R202" s="503"/>
      <c r="S202" s="503"/>
      <c r="T202" s="503">
        <v>0</v>
      </c>
      <c r="U202" s="503"/>
      <c r="V202" s="503"/>
      <c r="W202" s="503"/>
      <c r="X202" s="345" t="s">
        <v>116</v>
      </c>
      <c r="Y202" s="345"/>
      <c r="Z202" s="345"/>
    </row>
    <row r="203" spans="1:26" ht="12.75">
      <c r="A203" s="345"/>
      <c r="B203" s="588" t="s">
        <v>234</v>
      </c>
      <c r="C203" s="589">
        <v>1</v>
      </c>
      <c r="D203" s="550" t="s">
        <v>103</v>
      </c>
      <c r="E203" s="528">
        <v>480</v>
      </c>
      <c r="F203" s="590">
        <v>480</v>
      </c>
      <c r="G203" s="547" t="s">
        <v>342</v>
      </c>
      <c r="H203" s="591">
        <v>1</v>
      </c>
      <c r="I203" s="589">
        <v>1</v>
      </c>
      <c r="J203" s="592"/>
      <c r="K203" s="592"/>
      <c r="L203" s="593">
        <v>0</v>
      </c>
      <c r="M203" s="589"/>
      <c r="N203" s="592"/>
      <c r="O203" s="592"/>
      <c r="P203" s="593">
        <v>0</v>
      </c>
      <c r="Q203" s="589"/>
      <c r="R203" s="592"/>
      <c r="S203" s="592"/>
      <c r="T203" s="593">
        <v>0</v>
      </c>
      <c r="U203" s="547"/>
      <c r="V203" s="547"/>
      <c r="W203" s="547"/>
      <c r="X203" s="345" t="s">
        <v>172</v>
      </c>
      <c r="Y203" s="345"/>
      <c r="Z203" s="345"/>
    </row>
    <row r="204" spans="1:26" ht="12.75">
      <c r="A204" s="345"/>
      <c r="B204" s="594" t="s">
        <v>465</v>
      </c>
      <c r="C204" s="589">
        <v>1</v>
      </c>
      <c r="D204" s="550" t="s">
        <v>466</v>
      </c>
      <c r="E204" s="528">
        <v>149.76</v>
      </c>
      <c r="F204" s="595">
        <v>149.76</v>
      </c>
      <c r="G204" s="543" t="s">
        <v>342</v>
      </c>
      <c r="H204" s="596">
        <v>1</v>
      </c>
      <c r="I204" s="589">
        <v>1</v>
      </c>
      <c r="J204" s="592"/>
      <c r="K204" s="592"/>
      <c r="L204" s="597">
        <v>0</v>
      </c>
      <c r="M204" s="589"/>
      <c r="N204" s="592"/>
      <c r="O204" s="592"/>
      <c r="P204" s="597">
        <v>0</v>
      </c>
      <c r="Q204" s="589"/>
      <c r="R204" s="592"/>
      <c r="S204" s="592"/>
      <c r="T204" s="597">
        <v>0</v>
      </c>
      <c r="U204" s="543"/>
      <c r="V204" s="543"/>
      <c r="W204" s="543"/>
      <c r="X204" s="345" t="s">
        <v>172</v>
      </c>
      <c r="Y204" s="345"/>
      <c r="Z204" s="345"/>
    </row>
    <row r="205" spans="1:26" ht="12.75">
      <c r="A205" s="345"/>
      <c r="B205" s="594" t="s">
        <v>474</v>
      </c>
      <c r="C205" s="543">
        <v>5</v>
      </c>
      <c r="D205" s="543" t="s">
        <v>103</v>
      </c>
      <c r="E205" s="528">
        <v>500</v>
      </c>
      <c r="F205" s="598">
        <v>2500</v>
      </c>
      <c r="G205" s="543" t="s">
        <v>342</v>
      </c>
      <c r="H205" s="596">
        <v>2</v>
      </c>
      <c r="I205" s="526">
        <v>1</v>
      </c>
      <c r="J205" s="526"/>
      <c r="K205" s="526">
        <v>1</v>
      </c>
      <c r="L205" s="596">
        <v>1</v>
      </c>
      <c r="M205" s="526">
        <v>1</v>
      </c>
      <c r="N205" s="526"/>
      <c r="O205" s="526"/>
      <c r="P205" s="596">
        <v>1</v>
      </c>
      <c r="Q205" s="526">
        <v>1</v>
      </c>
      <c r="R205" s="526"/>
      <c r="S205" s="599"/>
      <c r="T205" s="597">
        <v>1</v>
      </c>
      <c r="U205" s="526">
        <v>1</v>
      </c>
      <c r="V205" s="526"/>
      <c r="W205" s="526"/>
      <c r="X205" s="345" t="s">
        <v>172</v>
      </c>
      <c r="Y205" s="345"/>
      <c r="Z205" s="345"/>
    </row>
    <row r="206" spans="1:26" ht="12.75">
      <c r="A206" s="345"/>
      <c r="B206" s="537" t="s">
        <v>467</v>
      </c>
      <c r="C206" s="547">
        <v>1</v>
      </c>
      <c r="D206" s="547" t="s">
        <v>103</v>
      </c>
      <c r="E206" s="600">
        <v>60000</v>
      </c>
      <c r="F206" s="524">
        <v>60000</v>
      </c>
      <c r="G206" s="547" t="s">
        <v>342</v>
      </c>
      <c r="H206" s="597">
        <v>1</v>
      </c>
      <c r="I206" s="526">
        <v>1</v>
      </c>
      <c r="J206" s="526"/>
      <c r="K206" s="526"/>
      <c r="L206" s="596"/>
      <c r="M206" s="526"/>
      <c r="N206" s="526"/>
      <c r="O206" s="526"/>
      <c r="P206" s="596"/>
      <c r="Q206" s="526"/>
      <c r="R206" s="526"/>
      <c r="S206" s="599"/>
      <c r="T206" s="597"/>
      <c r="U206" s="526"/>
      <c r="V206" s="526"/>
      <c r="W206" s="526"/>
      <c r="X206" s="345" t="s">
        <v>172</v>
      </c>
      <c r="Y206" s="345"/>
      <c r="Z206" s="345"/>
    </row>
    <row r="207" spans="1:26" ht="12.75">
      <c r="A207" s="345"/>
      <c r="B207" s="601" t="s">
        <v>468</v>
      </c>
      <c r="C207" s="550">
        <v>1</v>
      </c>
      <c r="D207" s="543" t="s">
        <v>103</v>
      </c>
      <c r="E207" s="602">
        <v>15000</v>
      </c>
      <c r="F207" s="603">
        <v>15000</v>
      </c>
      <c r="G207" s="543" t="s">
        <v>342</v>
      </c>
      <c r="H207" s="597">
        <v>1</v>
      </c>
      <c r="I207" s="526">
        <v>1</v>
      </c>
      <c r="J207" s="526"/>
      <c r="K207" s="526"/>
      <c r="L207" s="596"/>
      <c r="M207" s="526"/>
      <c r="N207" s="526"/>
      <c r="O207" s="526"/>
      <c r="P207" s="596"/>
      <c r="Q207" s="526"/>
      <c r="R207" s="526"/>
      <c r="S207" s="599"/>
      <c r="T207" s="597"/>
      <c r="U207" s="526"/>
      <c r="V207" s="526"/>
      <c r="W207" s="526"/>
      <c r="X207" s="345" t="s">
        <v>172</v>
      </c>
      <c r="Y207" s="345"/>
      <c r="Z207" s="345"/>
    </row>
    <row r="208" spans="1:26" ht="12.75">
      <c r="A208" s="345"/>
      <c r="B208" s="588" t="s">
        <v>3021</v>
      </c>
      <c r="C208" s="547">
        <v>1</v>
      </c>
      <c r="D208" s="543" t="s">
        <v>103</v>
      </c>
      <c r="E208" s="604">
        <v>60000</v>
      </c>
      <c r="F208" s="605">
        <v>60000</v>
      </c>
      <c r="G208" s="547" t="s">
        <v>342</v>
      </c>
      <c r="H208" s="596">
        <v>1</v>
      </c>
      <c r="I208" s="543">
        <v>1</v>
      </c>
      <c r="J208" s="543"/>
      <c r="K208" s="543"/>
      <c r="L208" s="596">
        <v>0</v>
      </c>
      <c r="M208" s="543"/>
      <c r="N208" s="543"/>
      <c r="O208" s="543"/>
      <c r="P208" s="596">
        <v>0</v>
      </c>
      <c r="Q208" s="543"/>
      <c r="R208" s="543"/>
      <c r="S208" s="589"/>
      <c r="T208" s="597">
        <v>0</v>
      </c>
      <c r="U208" s="543"/>
      <c r="V208" s="543"/>
      <c r="W208" s="543"/>
      <c r="X208" s="345" t="s">
        <v>172</v>
      </c>
      <c r="Y208" s="345"/>
      <c r="Z208" s="345"/>
    </row>
    <row r="209" spans="1:26" ht="12.75">
      <c r="A209" s="345"/>
      <c r="B209" s="594" t="s">
        <v>3022</v>
      </c>
      <c r="C209" s="543">
        <v>2</v>
      </c>
      <c r="D209" s="543" t="s">
        <v>103</v>
      </c>
      <c r="E209" s="606">
        <v>35000</v>
      </c>
      <c r="F209" s="598">
        <v>70000</v>
      </c>
      <c r="G209" s="543" t="s">
        <v>342</v>
      </c>
      <c r="H209" s="596">
        <v>2</v>
      </c>
      <c r="I209" s="543">
        <v>2</v>
      </c>
      <c r="J209" s="543"/>
      <c r="K209" s="543"/>
      <c r="L209" s="596">
        <v>0</v>
      </c>
      <c r="M209" s="543"/>
      <c r="N209" s="543"/>
      <c r="O209" s="543"/>
      <c r="P209" s="596">
        <v>0</v>
      </c>
      <c r="Q209" s="543"/>
      <c r="R209" s="543"/>
      <c r="S209" s="589"/>
      <c r="T209" s="597">
        <v>0</v>
      </c>
      <c r="U209" s="543"/>
      <c r="V209" s="543"/>
      <c r="W209" s="543"/>
      <c r="X209" s="345" t="s">
        <v>172</v>
      </c>
      <c r="Y209" s="345"/>
      <c r="Z209" s="345"/>
    </row>
    <row r="210" spans="1:26" ht="12.75">
      <c r="A210" s="345"/>
      <c r="B210" s="594" t="s">
        <v>3023</v>
      </c>
      <c r="C210" s="543">
        <v>1</v>
      </c>
      <c r="D210" s="543" t="s">
        <v>103</v>
      </c>
      <c r="E210" s="606">
        <v>5000</v>
      </c>
      <c r="F210" s="598">
        <v>5000</v>
      </c>
      <c r="G210" s="543" t="s">
        <v>342</v>
      </c>
      <c r="H210" s="596">
        <v>1</v>
      </c>
      <c r="I210" s="543">
        <v>1</v>
      </c>
      <c r="J210" s="543"/>
      <c r="K210" s="543"/>
      <c r="L210" s="596">
        <v>0</v>
      </c>
      <c r="M210" s="543"/>
      <c r="N210" s="543"/>
      <c r="O210" s="543"/>
      <c r="P210" s="596">
        <v>0</v>
      </c>
      <c r="Q210" s="543"/>
      <c r="R210" s="543"/>
      <c r="S210" s="589"/>
      <c r="T210" s="597">
        <v>0</v>
      </c>
      <c r="U210" s="543"/>
      <c r="V210" s="543"/>
      <c r="W210" s="543"/>
      <c r="X210" s="345" t="s">
        <v>172</v>
      </c>
      <c r="Y210" s="345"/>
      <c r="Z210" s="345"/>
    </row>
    <row r="211" spans="1:26" ht="12.75">
      <c r="A211" s="345"/>
      <c r="B211" s="594" t="s">
        <v>3024</v>
      </c>
      <c r="C211" s="543">
        <v>1</v>
      </c>
      <c r="D211" s="543" t="s">
        <v>103</v>
      </c>
      <c r="E211" s="606">
        <v>5000</v>
      </c>
      <c r="F211" s="598">
        <v>5000</v>
      </c>
      <c r="G211" s="543" t="s">
        <v>342</v>
      </c>
      <c r="H211" s="596">
        <v>1</v>
      </c>
      <c r="I211" s="543">
        <v>1</v>
      </c>
      <c r="J211" s="543"/>
      <c r="K211" s="543"/>
      <c r="L211" s="596">
        <v>0</v>
      </c>
      <c r="M211" s="543"/>
      <c r="N211" s="543"/>
      <c r="O211" s="543"/>
      <c r="P211" s="596">
        <v>0</v>
      </c>
      <c r="Q211" s="543"/>
      <c r="R211" s="543"/>
      <c r="S211" s="589"/>
      <c r="T211" s="597">
        <v>0</v>
      </c>
      <c r="U211" s="543"/>
      <c r="V211" s="543"/>
      <c r="W211" s="543"/>
      <c r="X211" s="345" t="s">
        <v>172</v>
      </c>
      <c r="Y211" s="345"/>
      <c r="Z211" s="345"/>
    </row>
    <row r="212" spans="1:26" ht="12.75">
      <c r="A212" s="345"/>
      <c r="B212" s="594" t="s">
        <v>3025</v>
      </c>
      <c r="C212" s="543">
        <v>1</v>
      </c>
      <c r="D212" s="543" t="s">
        <v>103</v>
      </c>
      <c r="E212" s="528">
        <v>500</v>
      </c>
      <c r="F212" s="595">
        <v>500</v>
      </c>
      <c r="G212" s="543" t="s">
        <v>342</v>
      </c>
      <c r="H212" s="596">
        <v>1</v>
      </c>
      <c r="I212" s="543">
        <v>1</v>
      </c>
      <c r="J212" s="543"/>
      <c r="K212" s="543"/>
      <c r="L212" s="596">
        <v>0</v>
      </c>
      <c r="M212" s="543"/>
      <c r="N212" s="543"/>
      <c r="O212" s="543"/>
      <c r="P212" s="596">
        <v>0</v>
      </c>
      <c r="Q212" s="543"/>
      <c r="R212" s="543"/>
      <c r="S212" s="589"/>
      <c r="T212" s="597">
        <v>0</v>
      </c>
      <c r="U212" s="543"/>
      <c r="V212" s="543"/>
      <c r="W212" s="543"/>
      <c r="X212" s="345" t="s">
        <v>172</v>
      </c>
      <c r="Y212" s="345"/>
      <c r="Z212" s="345"/>
    </row>
    <row r="213" spans="1:26" ht="12.75">
      <c r="A213" s="345"/>
      <c r="B213" s="594" t="s">
        <v>3026</v>
      </c>
      <c r="C213" s="543">
        <v>1</v>
      </c>
      <c r="D213" s="543" t="s">
        <v>3027</v>
      </c>
      <c r="E213" s="528">
        <v>500</v>
      </c>
      <c r="F213" s="595">
        <v>500</v>
      </c>
      <c r="G213" s="543" t="s">
        <v>342</v>
      </c>
      <c r="H213" s="596">
        <v>1</v>
      </c>
      <c r="I213" s="543">
        <v>1</v>
      </c>
      <c r="J213" s="543"/>
      <c r="K213" s="543"/>
      <c r="L213" s="596">
        <v>0</v>
      </c>
      <c r="M213" s="543"/>
      <c r="N213" s="543"/>
      <c r="O213" s="543"/>
      <c r="P213" s="596">
        <v>0</v>
      </c>
      <c r="Q213" s="543"/>
      <c r="R213" s="543"/>
      <c r="S213" s="589"/>
      <c r="T213" s="597">
        <v>0</v>
      </c>
      <c r="U213" s="543"/>
      <c r="V213" s="543"/>
      <c r="W213" s="543"/>
      <c r="X213" s="345" t="s">
        <v>172</v>
      </c>
      <c r="Y213" s="345"/>
      <c r="Z213" s="345"/>
    </row>
    <row r="214" spans="1:26" ht="12.75">
      <c r="A214" s="345"/>
      <c r="B214" s="588" t="s">
        <v>470</v>
      </c>
      <c r="C214" s="547">
        <v>24</v>
      </c>
      <c r="D214" s="547" t="s">
        <v>103</v>
      </c>
      <c r="E214" s="547">
        <v>249.6</v>
      </c>
      <c r="F214" s="607">
        <v>5990.4</v>
      </c>
      <c r="G214" s="543" t="s">
        <v>342</v>
      </c>
      <c r="H214" s="568">
        <v>6</v>
      </c>
      <c r="I214" s="547">
        <v>2</v>
      </c>
      <c r="J214" s="547">
        <v>2</v>
      </c>
      <c r="K214" s="547">
        <v>2</v>
      </c>
      <c r="L214" s="568">
        <v>6</v>
      </c>
      <c r="M214" s="547">
        <v>2</v>
      </c>
      <c r="N214" s="547">
        <v>2</v>
      </c>
      <c r="O214" s="547">
        <v>2</v>
      </c>
      <c r="P214" s="568">
        <v>6</v>
      </c>
      <c r="Q214" s="547">
        <v>2</v>
      </c>
      <c r="R214" s="547">
        <v>2</v>
      </c>
      <c r="S214" s="547">
        <v>2</v>
      </c>
      <c r="T214" s="568">
        <v>6</v>
      </c>
      <c r="U214" s="547">
        <v>2</v>
      </c>
      <c r="V214" s="547">
        <v>2</v>
      </c>
      <c r="W214" s="547">
        <v>2</v>
      </c>
      <c r="X214" s="345" t="s">
        <v>172</v>
      </c>
      <c r="Y214" s="345"/>
      <c r="Z214" s="345"/>
    </row>
    <row r="215" spans="1:26" ht="12.75">
      <c r="A215" s="345"/>
      <c r="B215" s="594" t="s">
        <v>471</v>
      </c>
      <c r="C215" s="543">
        <v>24</v>
      </c>
      <c r="D215" s="543" t="s">
        <v>103</v>
      </c>
      <c r="E215" s="543">
        <v>249.6</v>
      </c>
      <c r="F215" s="607">
        <v>5990.4</v>
      </c>
      <c r="G215" s="543" t="s">
        <v>342</v>
      </c>
      <c r="H215" s="565">
        <v>6</v>
      </c>
      <c r="I215" s="543">
        <v>2</v>
      </c>
      <c r="J215" s="543">
        <v>2</v>
      </c>
      <c r="K215" s="543">
        <v>2</v>
      </c>
      <c r="L215" s="565">
        <v>6</v>
      </c>
      <c r="M215" s="543">
        <v>2</v>
      </c>
      <c r="N215" s="543">
        <v>2</v>
      </c>
      <c r="O215" s="543">
        <v>2</v>
      </c>
      <c r="P215" s="565">
        <v>6</v>
      </c>
      <c r="Q215" s="543">
        <v>2</v>
      </c>
      <c r="R215" s="543">
        <v>2</v>
      </c>
      <c r="S215" s="543">
        <v>2</v>
      </c>
      <c r="T215" s="565">
        <v>6</v>
      </c>
      <c r="U215" s="543">
        <v>2</v>
      </c>
      <c r="V215" s="543">
        <v>2</v>
      </c>
      <c r="W215" s="543">
        <v>2</v>
      </c>
      <c r="X215" s="345" t="s">
        <v>172</v>
      </c>
      <c r="Y215" s="345"/>
      <c r="Z215" s="345"/>
    </row>
    <row r="216" spans="1:26" ht="12.75">
      <c r="A216" s="345"/>
      <c r="B216" s="594" t="s">
        <v>472</v>
      </c>
      <c r="C216" s="543">
        <v>24</v>
      </c>
      <c r="D216" s="543" t="s">
        <v>103</v>
      </c>
      <c r="E216" s="543">
        <v>249.6</v>
      </c>
      <c r="F216" s="607">
        <v>5990.4</v>
      </c>
      <c r="G216" s="543" t="s">
        <v>342</v>
      </c>
      <c r="H216" s="565">
        <v>6</v>
      </c>
      <c r="I216" s="543">
        <v>2</v>
      </c>
      <c r="J216" s="543">
        <v>2</v>
      </c>
      <c r="K216" s="543">
        <v>2</v>
      </c>
      <c r="L216" s="565">
        <v>6</v>
      </c>
      <c r="M216" s="543">
        <v>2</v>
      </c>
      <c r="N216" s="543">
        <v>2</v>
      </c>
      <c r="O216" s="543">
        <v>2</v>
      </c>
      <c r="P216" s="565">
        <v>6</v>
      </c>
      <c r="Q216" s="543">
        <v>2</v>
      </c>
      <c r="R216" s="543">
        <v>2</v>
      </c>
      <c r="S216" s="543">
        <v>2</v>
      </c>
      <c r="T216" s="565">
        <v>6</v>
      </c>
      <c r="U216" s="543">
        <v>2</v>
      </c>
      <c r="V216" s="543">
        <v>2</v>
      </c>
      <c r="W216" s="543">
        <v>2</v>
      </c>
      <c r="X216" s="345" t="s">
        <v>172</v>
      </c>
      <c r="Y216" s="345"/>
      <c r="Z216" s="345"/>
    </row>
    <row r="217" spans="1:26" ht="12.75">
      <c r="A217" s="345"/>
      <c r="B217" s="594" t="s">
        <v>473</v>
      </c>
      <c r="C217" s="543">
        <v>24</v>
      </c>
      <c r="D217" s="543" t="s">
        <v>103</v>
      </c>
      <c r="E217" s="543">
        <v>249.6</v>
      </c>
      <c r="F217" s="607">
        <v>5990.4</v>
      </c>
      <c r="G217" s="543" t="s">
        <v>342</v>
      </c>
      <c r="H217" s="565">
        <v>6</v>
      </c>
      <c r="I217" s="543">
        <v>2</v>
      </c>
      <c r="J217" s="543">
        <v>2</v>
      </c>
      <c r="K217" s="543">
        <v>2</v>
      </c>
      <c r="L217" s="565">
        <v>6</v>
      </c>
      <c r="M217" s="543">
        <v>2</v>
      </c>
      <c r="N217" s="543">
        <v>2</v>
      </c>
      <c r="O217" s="543">
        <v>2</v>
      </c>
      <c r="P217" s="565">
        <v>6</v>
      </c>
      <c r="Q217" s="543">
        <v>2</v>
      </c>
      <c r="R217" s="543">
        <v>2</v>
      </c>
      <c r="S217" s="543">
        <v>2</v>
      </c>
      <c r="T217" s="565">
        <v>6</v>
      </c>
      <c r="U217" s="543">
        <v>2</v>
      </c>
      <c r="V217" s="543">
        <v>2</v>
      </c>
      <c r="W217" s="543">
        <v>2</v>
      </c>
      <c r="X217" s="345" t="s">
        <v>172</v>
      </c>
      <c r="Y217" s="345"/>
      <c r="Z217" s="345"/>
    </row>
    <row r="218" spans="1:26" ht="12.75">
      <c r="A218" s="345"/>
      <c r="B218" s="479" t="s">
        <v>239</v>
      </c>
      <c r="C218" s="485" t="s">
        <v>103</v>
      </c>
      <c r="D218" s="483">
        <v>1</v>
      </c>
      <c r="E218" s="485">
        <v>380</v>
      </c>
      <c r="F218" s="483">
        <v>380</v>
      </c>
      <c r="G218" s="345"/>
      <c r="H218" s="479">
        <v>1</v>
      </c>
      <c r="I218" s="345"/>
      <c r="J218" s="345"/>
      <c r="K218" s="345"/>
      <c r="L218" s="479">
        <v>0</v>
      </c>
      <c r="M218" s="345"/>
      <c r="N218" s="345"/>
      <c r="O218" s="345"/>
      <c r="P218" s="479">
        <v>0</v>
      </c>
      <c r="Q218" s="345"/>
      <c r="R218" s="345"/>
      <c r="S218" s="345"/>
      <c r="T218" s="479">
        <v>0</v>
      </c>
      <c r="U218" s="345"/>
      <c r="V218" s="345"/>
      <c r="W218" s="345"/>
      <c r="X218" s="345" t="s">
        <v>115</v>
      </c>
      <c r="Y218" s="345"/>
      <c r="Z218" s="345"/>
    </row>
    <row r="219" spans="1:26" ht="12.75">
      <c r="A219" s="345"/>
      <c r="B219" s="482" t="s">
        <v>599</v>
      </c>
      <c r="C219" s="483" t="s">
        <v>103</v>
      </c>
      <c r="D219" s="483">
        <v>1</v>
      </c>
      <c r="E219" s="483">
        <v>500</v>
      </c>
      <c r="F219" s="483">
        <v>500</v>
      </c>
      <c r="G219" s="345"/>
      <c r="H219" s="482">
        <v>1</v>
      </c>
      <c r="I219" s="345"/>
      <c r="J219" s="345"/>
      <c r="K219" s="345"/>
      <c r="L219" s="482">
        <v>0</v>
      </c>
      <c r="M219" s="345"/>
      <c r="N219" s="345"/>
      <c r="O219" s="345"/>
      <c r="P219" s="482">
        <v>0</v>
      </c>
      <c r="Q219" s="345"/>
      <c r="R219" s="345"/>
      <c r="S219" s="345"/>
      <c r="T219" s="482">
        <v>0</v>
      </c>
      <c r="U219" s="345"/>
      <c r="V219" s="345"/>
      <c r="W219" s="345"/>
      <c r="X219" s="345" t="s">
        <v>115</v>
      </c>
      <c r="Y219" s="345"/>
      <c r="Z219" s="345"/>
    </row>
    <row r="220" spans="1:26" ht="12.75">
      <c r="A220" s="345"/>
      <c r="B220" s="189" t="s">
        <v>815</v>
      </c>
      <c r="C220" s="483" t="s">
        <v>773</v>
      </c>
      <c r="D220" s="483">
        <v>1</v>
      </c>
      <c r="E220" s="488">
        <v>2500</v>
      </c>
      <c r="F220" s="488">
        <v>2500</v>
      </c>
      <c r="G220" s="345"/>
      <c r="H220" s="482">
        <v>1</v>
      </c>
      <c r="I220" s="345"/>
      <c r="J220" s="345"/>
      <c r="K220" s="345"/>
      <c r="L220" s="482">
        <v>0</v>
      </c>
      <c r="M220" s="345"/>
      <c r="N220" s="345"/>
      <c r="O220" s="345"/>
      <c r="P220" s="482">
        <v>0</v>
      </c>
      <c r="Q220" s="345"/>
      <c r="R220" s="345"/>
      <c r="S220" s="345"/>
      <c r="T220" s="482">
        <v>0</v>
      </c>
      <c r="U220" s="345"/>
      <c r="V220" s="345"/>
      <c r="W220" s="345"/>
      <c r="X220" s="345" t="s">
        <v>115</v>
      </c>
      <c r="Y220" s="345"/>
      <c r="Z220" s="345"/>
    </row>
    <row r="221" spans="1:26" ht="12.75">
      <c r="A221" s="345"/>
      <c r="B221" s="550" t="s">
        <v>816</v>
      </c>
      <c r="C221" s="526" t="s">
        <v>103</v>
      </c>
      <c r="D221" s="526">
        <v>1</v>
      </c>
      <c r="E221" s="526">
        <v>3500</v>
      </c>
      <c r="F221" s="526">
        <v>3500</v>
      </c>
      <c r="G221" s="345"/>
      <c r="H221" s="608">
        <v>1</v>
      </c>
      <c r="I221" s="345"/>
      <c r="J221" s="345"/>
      <c r="K221" s="345"/>
      <c r="L221" s="482">
        <v>0</v>
      </c>
      <c r="M221" s="345"/>
      <c r="N221" s="345"/>
      <c r="O221" s="345"/>
      <c r="P221" s="482">
        <v>0</v>
      </c>
      <c r="Q221" s="345"/>
      <c r="R221" s="345"/>
      <c r="S221" s="345"/>
      <c r="T221" s="482">
        <v>0</v>
      </c>
      <c r="U221" s="345"/>
      <c r="V221" s="345"/>
      <c r="W221" s="345"/>
      <c r="X221" s="345" t="s">
        <v>115</v>
      </c>
      <c r="Y221" s="345"/>
      <c r="Z221" s="345"/>
    </row>
    <row r="222" spans="1:26" ht="12.75">
      <c r="A222" s="345"/>
      <c r="B222" s="189" t="s">
        <v>817</v>
      </c>
      <c r="C222" s="526" t="s">
        <v>118</v>
      </c>
      <c r="D222" s="526">
        <v>1</v>
      </c>
      <c r="E222" s="526">
        <v>2500</v>
      </c>
      <c r="F222" s="526">
        <v>25000</v>
      </c>
      <c r="G222" s="345"/>
      <c r="H222" s="608">
        <v>1</v>
      </c>
      <c r="I222" s="345"/>
      <c r="J222" s="345"/>
      <c r="K222" s="345"/>
      <c r="L222" s="482">
        <v>0</v>
      </c>
      <c r="M222" s="345"/>
      <c r="N222" s="345"/>
      <c r="O222" s="345"/>
      <c r="P222" s="482">
        <v>0</v>
      </c>
      <c r="Q222" s="345"/>
      <c r="R222" s="345"/>
      <c r="S222" s="345"/>
      <c r="T222" s="482">
        <v>0</v>
      </c>
      <c r="U222" s="345"/>
      <c r="V222" s="345"/>
      <c r="W222" s="345"/>
      <c r="X222" s="345" t="s">
        <v>115</v>
      </c>
      <c r="Y222" s="345"/>
      <c r="Z222" s="345"/>
    </row>
    <row r="223" spans="1:26" ht="12.75">
      <c r="A223" s="345"/>
      <c r="B223" s="189" t="s">
        <v>467</v>
      </c>
      <c r="C223" s="483" t="s">
        <v>118</v>
      </c>
      <c r="D223" s="483">
        <v>1</v>
      </c>
      <c r="E223" s="488">
        <v>40000</v>
      </c>
      <c r="F223" s="488">
        <v>40000</v>
      </c>
      <c r="G223" s="345"/>
      <c r="H223" s="482">
        <v>1</v>
      </c>
      <c r="I223" s="345"/>
      <c r="J223" s="345"/>
      <c r="K223" s="345"/>
      <c r="L223" s="482">
        <v>0</v>
      </c>
      <c r="M223" s="345"/>
      <c r="N223" s="345"/>
      <c r="O223" s="345"/>
      <c r="P223" s="482">
        <v>0</v>
      </c>
      <c r="Q223" s="345"/>
      <c r="R223" s="345"/>
      <c r="S223" s="345"/>
      <c r="T223" s="482">
        <v>0</v>
      </c>
      <c r="U223" s="345"/>
      <c r="V223" s="345"/>
      <c r="W223" s="345"/>
      <c r="X223" s="345" t="s">
        <v>115</v>
      </c>
      <c r="Y223" s="345"/>
      <c r="Z223" s="345"/>
    </row>
    <row r="224" spans="1:26" ht="12.75">
      <c r="A224" s="345"/>
      <c r="B224" s="189" t="s">
        <v>482</v>
      </c>
      <c r="C224" s="483" t="s">
        <v>103</v>
      </c>
      <c r="D224" s="483">
        <v>1</v>
      </c>
      <c r="E224" s="488">
        <v>8500</v>
      </c>
      <c r="F224" s="488">
        <v>8500</v>
      </c>
      <c r="G224" s="345"/>
      <c r="H224" s="482">
        <v>1</v>
      </c>
      <c r="I224" s="345"/>
      <c r="J224" s="345"/>
      <c r="K224" s="345"/>
      <c r="L224" s="482">
        <v>0</v>
      </c>
      <c r="M224" s="345"/>
      <c r="N224" s="345"/>
      <c r="O224" s="345"/>
      <c r="P224" s="482">
        <v>0</v>
      </c>
      <c r="Q224" s="345"/>
      <c r="R224" s="345"/>
      <c r="S224" s="345"/>
      <c r="T224" s="482">
        <v>0</v>
      </c>
      <c r="U224" s="345"/>
      <c r="V224" s="345"/>
      <c r="W224" s="345"/>
      <c r="X224" s="345" t="s">
        <v>115</v>
      </c>
      <c r="Y224" s="345"/>
      <c r="Z224" s="345"/>
    </row>
    <row r="225" spans="1:26" ht="12.75">
      <c r="A225" s="345"/>
      <c r="B225" s="189" t="s">
        <v>239</v>
      </c>
      <c r="C225" s="483" t="s">
        <v>103</v>
      </c>
      <c r="D225" s="483">
        <v>1</v>
      </c>
      <c r="E225" s="483">
        <v>380</v>
      </c>
      <c r="F225" s="483">
        <v>380</v>
      </c>
      <c r="G225" s="345"/>
      <c r="H225" s="482">
        <v>1</v>
      </c>
      <c r="I225" s="345"/>
      <c r="J225" s="345"/>
      <c r="K225" s="345"/>
      <c r="L225" s="482">
        <v>0</v>
      </c>
      <c r="M225" s="345"/>
      <c r="N225" s="345"/>
      <c r="O225" s="345"/>
      <c r="P225" s="482">
        <v>0</v>
      </c>
      <c r="Q225" s="345"/>
      <c r="R225" s="345"/>
      <c r="S225" s="345"/>
      <c r="T225" s="482">
        <v>0</v>
      </c>
      <c r="U225" s="345"/>
      <c r="V225" s="345"/>
      <c r="W225" s="345"/>
      <c r="X225" s="345" t="s">
        <v>115</v>
      </c>
      <c r="Y225" s="345"/>
      <c r="Z225" s="345"/>
    </row>
    <row r="226" spans="1:26" ht="12.75">
      <c r="A226" s="345"/>
      <c r="B226" s="189" t="s">
        <v>234</v>
      </c>
      <c r="C226" s="483">
        <v>1</v>
      </c>
      <c r="D226" s="550" t="s">
        <v>103</v>
      </c>
      <c r="E226" s="483">
        <v>380</v>
      </c>
      <c r="F226" s="483">
        <v>380</v>
      </c>
      <c r="G226" s="345"/>
      <c r="H226" s="482">
        <v>1</v>
      </c>
      <c r="I226" s="345"/>
      <c r="J226" s="345"/>
      <c r="K226" s="345"/>
      <c r="L226" s="482">
        <v>0</v>
      </c>
      <c r="M226" s="345"/>
      <c r="N226" s="345"/>
      <c r="O226" s="345"/>
      <c r="P226" s="482">
        <v>0</v>
      </c>
      <c r="Q226" s="345"/>
      <c r="R226" s="345"/>
      <c r="S226" s="345"/>
      <c r="T226" s="482">
        <v>0</v>
      </c>
      <c r="U226" s="345"/>
      <c r="V226" s="345"/>
      <c r="W226" s="345"/>
      <c r="X226" s="345" t="s">
        <v>115</v>
      </c>
      <c r="Y226" s="345"/>
      <c r="Z226" s="345"/>
    </row>
    <row r="227" spans="1:26" ht="12.75">
      <c r="A227" s="345"/>
      <c r="B227" s="189" t="s">
        <v>182</v>
      </c>
      <c r="C227" s="526" t="s">
        <v>118</v>
      </c>
      <c r="D227" s="483">
        <v>1</v>
      </c>
      <c r="E227" s="220">
        <v>50000</v>
      </c>
      <c r="F227" s="220">
        <v>50000</v>
      </c>
      <c r="G227" s="345"/>
      <c r="H227" s="189">
        <v>1</v>
      </c>
      <c r="I227" s="345"/>
      <c r="J227" s="345"/>
      <c r="K227" s="345"/>
      <c r="L227" s="482">
        <v>0</v>
      </c>
      <c r="M227" s="345"/>
      <c r="N227" s="345"/>
      <c r="O227" s="345"/>
      <c r="P227" s="482">
        <v>0</v>
      </c>
      <c r="Q227" s="345"/>
      <c r="R227" s="345"/>
      <c r="S227" s="345"/>
      <c r="T227" s="482">
        <v>0</v>
      </c>
      <c r="U227" s="345"/>
      <c r="V227" s="345"/>
      <c r="W227" s="345"/>
      <c r="X227" s="345" t="s">
        <v>115</v>
      </c>
      <c r="Y227" s="345"/>
      <c r="Z227" s="345"/>
    </row>
    <row r="228" spans="1:26" ht="12.75">
      <c r="A228" s="345"/>
      <c r="B228" s="189" t="s">
        <v>818</v>
      </c>
      <c r="C228" s="526" t="s">
        <v>103</v>
      </c>
      <c r="D228" s="483">
        <v>1</v>
      </c>
      <c r="E228" s="220">
        <v>40000</v>
      </c>
      <c r="F228" s="220">
        <v>40000</v>
      </c>
      <c r="G228" s="345"/>
      <c r="H228" s="189">
        <v>1</v>
      </c>
      <c r="I228" s="345"/>
      <c r="J228" s="345"/>
      <c r="K228" s="345"/>
      <c r="L228" s="482">
        <v>0</v>
      </c>
      <c r="M228" s="345"/>
      <c r="N228" s="345"/>
      <c r="O228" s="345"/>
      <c r="P228" s="482">
        <v>0</v>
      </c>
      <c r="Q228" s="345"/>
      <c r="R228" s="345"/>
      <c r="S228" s="345"/>
      <c r="T228" s="482">
        <v>0</v>
      </c>
      <c r="U228" s="345"/>
      <c r="V228" s="345"/>
      <c r="W228" s="345"/>
      <c r="X228" s="345" t="s">
        <v>115</v>
      </c>
      <c r="Y228" s="345"/>
      <c r="Z228" s="345"/>
    </row>
    <row r="229" spans="1:26" ht="12.75">
      <c r="A229" s="345"/>
      <c r="B229" s="189" t="s">
        <v>819</v>
      </c>
      <c r="C229" s="526" t="s">
        <v>103</v>
      </c>
      <c r="D229" s="483">
        <v>1</v>
      </c>
      <c r="E229" s="220">
        <v>5000</v>
      </c>
      <c r="F229" s="220">
        <v>5000</v>
      </c>
      <c r="G229" s="345"/>
      <c r="H229" s="189">
        <v>1</v>
      </c>
      <c r="I229" s="345"/>
      <c r="J229" s="345"/>
      <c r="K229" s="345"/>
      <c r="L229" s="482">
        <v>0</v>
      </c>
      <c r="M229" s="345"/>
      <c r="N229" s="345"/>
      <c r="O229" s="345"/>
      <c r="P229" s="482">
        <v>0</v>
      </c>
      <c r="Q229" s="345"/>
      <c r="R229" s="345"/>
      <c r="S229" s="345"/>
      <c r="T229" s="482">
        <v>0</v>
      </c>
      <c r="U229" s="345"/>
      <c r="V229" s="345"/>
      <c r="W229" s="345"/>
      <c r="X229" s="345" t="s">
        <v>115</v>
      </c>
      <c r="Y229" s="345"/>
      <c r="Z229" s="345"/>
    </row>
    <row r="230" spans="1:26" ht="12.75">
      <c r="A230" s="345"/>
      <c r="B230" s="189" t="s">
        <v>820</v>
      </c>
      <c r="C230" s="526" t="s">
        <v>103</v>
      </c>
      <c r="D230" s="483">
        <v>1</v>
      </c>
      <c r="E230" s="220">
        <v>6500</v>
      </c>
      <c r="F230" s="220">
        <v>6500</v>
      </c>
      <c r="G230" s="345"/>
      <c r="H230" s="189">
        <v>1</v>
      </c>
      <c r="I230" s="345"/>
      <c r="J230" s="345"/>
      <c r="K230" s="345"/>
      <c r="L230" s="482">
        <v>0</v>
      </c>
      <c r="M230" s="345"/>
      <c r="N230" s="345"/>
      <c r="O230" s="345"/>
      <c r="P230" s="482">
        <v>0</v>
      </c>
      <c r="Q230" s="345"/>
      <c r="R230" s="345"/>
      <c r="S230" s="345"/>
      <c r="T230" s="482">
        <v>0</v>
      </c>
      <c r="U230" s="345"/>
      <c r="V230" s="345"/>
      <c r="W230" s="345"/>
      <c r="X230" s="345" t="s">
        <v>115</v>
      </c>
      <c r="Y230" s="345"/>
      <c r="Z230" s="345"/>
    </row>
    <row r="231" spans="1:26" ht="12.75">
      <c r="A231" s="345"/>
      <c r="B231" s="189" t="s">
        <v>821</v>
      </c>
      <c r="C231" s="526" t="s">
        <v>103</v>
      </c>
      <c r="D231" s="483">
        <v>1</v>
      </c>
      <c r="E231" s="220">
        <v>3000</v>
      </c>
      <c r="F231" s="220">
        <v>3000</v>
      </c>
      <c r="G231" s="345"/>
      <c r="H231" s="189">
        <v>1</v>
      </c>
      <c r="I231" s="345"/>
      <c r="J231" s="345"/>
      <c r="K231" s="345"/>
      <c r="L231" s="482">
        <v>0</v>
      </c>
      <c r="M231" s="345"/>
      <c r="N231" s="345"/>
      <c r="O231" s="345"/>
      <c r="P231" s="482">
        <v>0</v>
      </c>
      <c r="Q231" s="345"/>
      <c r="R231" s="345"/>
      <c r="S231" s="345"/>
      <c r="T231" s="482">
        <v>0</v>
      </c>
      <c r="U231" s="345"/>
      <c r="V231" s="345"/>
      <c r="W231" s="345"/>
      <c r="X231" s="345" t="s">
        <v>115</v>
      </c>
      <c r="Y231" s="345"/>
      <c r="Z231" s="345"/>
    </row>
    <row r="232" spans="1:26" ht="12.75">
      <c r="A232" s="345"/>
      <c r="B232" s="189" t="s">
        <v>822</v>
      </c>
      <c r="C232" s="526" t="s">
        <v>773</v>
      </c>
      <c r="D232" s="483">
        <v>1</v>
      </c>
      <c r="E232" s="200"/>
      <c r="F232" s="200">
        <v>1</v>
      </c>
      <c r="G232" s="345"/>
      <c r="H232" s="189">
        <v>1</v>
      </c>
      <c r="I232" s="345"/>
      <c r="J232" s="345"/>
      <c r="K232" s="345"/>
      <c r="L232" s="482">
        <v>0</v>
      </c>
      <c r="M232" s="345"/>
      <c r="N232" s="345"/>
      <c r="O232" s="345"/>
      <c r="P232" s="482" t="s">
        <v>3028</v>
      </c>
      <c r="Q232" s="345"/>
      <c r="R232" s="345"/>
      <c r="S232" s="345"/>
      <c r="T232" s="482" t="s">
        <v>3028</v>
      </c>
      <c r="U232" s="345"/>
      <c r="V232" s="345"/>
      <c r="W232" s="345"/>
      <c r="X232" s="345" t="s">
        <v>115</v>
      </c>
      <c r="Y232" s="345"/>
      <c r="Z232" s="345"/>
    </row>
    <row r="233" spans="1:26" ht="12.75">
      <c r="A233" s="345"/>
      <c r="B233" s="482" t="s">
        <v>823</v>
      </c>
      <c r="C233" s="483" t="s">
        <v>103</v>
      </c>
      <c r="D233" s="483">
        <v>1</v>
      </c>
      <c r="E233" s="488">
        <v>120000</v>
      </c>
      <c r="F233" s="488">
        <v>120000</v>
      </c>
      <c r="G233" s="345"/>
      <c r="H233" s="482">
        <v>1</v>
      </c>
      <c r="I233" s="345"/>
      <c r="J233" s="345"/>
      <c r="K233" s="345"/>
      <c r="L233" s="482">
        <v>0</v>
      </c>
      <c r="M233" s="345"/>
      <c r="N233" s="345"/>
      <c r="O233" s="345"/>
      <c r="P233" s="482">
        <v>0</v>
      </c>
      <c r="Q233" s="345"/>
      <c r="R233" s="345"/>
      <c r="S233" s="345"/>
      <c r="T233" s="482">
        <v>0</v>
      </c>
      <c r="U233" s="345"/>
      <c r="V233" s="345"/>
      <c r="W233" s="345"/>
      <c r="X233" s="345" t="s">
        <v>115</v>
      </c>
      <c r="Y233" s="345"/>
      <c r="Z233" s="345"/>
    </row>
    <row r="234" spans="1:26" ht="12.75">
      <c r="A234" s="345"/>
      <c r="B234" s="588" t="s">
        <v>547</v>
      </c>
      <c r="C234" s="547" t="s">
        <v>103</v>
      </c>
      <c r="D234" s="547">
        <v>48</v>
      </c>
      <c r="E234" s="547">
        <v>380</v>
      </c>
      <c r="F234" s="609">
        <v>18240</v>
      </c>
      <c r="G234" s="345"/>
      <c r="H234" s="479">
        <v>12</v>
      </c>
      <c r="I234" s="345"/>
      <c r="J234" s="345"/>
      <c r="K234" s="345"/>
      <c r="L234" s="479">
        <v>12</v>
      </c>
      <c r="M234" s="345"/>
      <c r="N234" s="345"/>
      <c r="O234" s="345"/>
      <c r="P234" s="479">
        <v>12</v>
      </c>
      <c r="Q234" s="345"/>
      <c r="R234" s="345"/>
      <c r="S234" s="345"/>
      <c r="T234" s="479">
        <v>12</v>
      </c>
      <c r="U234" s="345"/>
      <c r="V234" s="345"/>
      <c r="W234" s="345"/>
      <c r="X234" s="345" t="s">
        <v>115</v>
      </c>
      <c r="Y234" s="345"/>
      <c r="Z234" s="345"/>
    </row>
    <row r="235" spans="1:26" ht="12.75">
      <c r="A235" s="345"/>
      <c r="B235" s="594" t="s">
        <v>548</v>
      </c>
      <c r="C235" s="543" t="s">
        <v>103</v>
      </c>
      <c r="D235" s="543">
        <v>48</v>
      </c>
      <c r="E235" s="543">
        <v>380</v>
      </c>
      <c r="F235" s="609">
        <v>18240</v>
      </c>
      <c r="G235" s="345"/>
      <c r="H235" s="482">
        <v>12</v>
      </c>
      <c r="I235" s="345"/>
      <c r="J235" s="345"/>
      <c r="K235" s="345"/>
      <c r="L235" s="482">
        <v>12</v>
      </c>
      <c r="M235" s="345"/>
      <c r="N235" s="345"/>
      <c r="O235" s="345"/>
      <c r="P235" s="482">
        <v>12</v>
      </c>
      <c r="Q235" s="345"/>
      <c r="R235" s="345"/>
      <c r="S235" s="345"/>
      <c r="T235" s="482">
        <v>12</v>
      </c>
      <c r="U235" s="345"/>
      <c r="V235" s="345"/>
      <c r="W235" s="345"/>
      <c r="X235" s="345" t="s">
        <v>115</v>
      </c>
      <c r="Y235" s="345"/>
      <c r="Z235" s="345"/>
    </row>
    <row r="236" spans="1:26" ht="12.75">
      <c r="A236" s="345"/>
      <c r="B236" s="594" t="s">
        <v>549</v>
      </c>
      <c r="C236" s="543" t="s">
        <v>103</v>
      </c>
      <c r="D236" s="543">
        <v>48</v>
      </c>
      <c r="E236" s="543">
        <v>380</v>
      </c>
      <c r="F236" s="609">
        <v>18240</v>
      </c>
      <c r="G236" s="345"/>
      <c r="H236" s="482">
        <v>12</v>
      </c>
      <c r="I236" s="345"/>
      <c r="J236" s="345"/>
      <c r="K236" s="345"/>
      <c r="L236" s="482">
        <v>12</v>
      </c>
      <c r="M236" s="345"/>
      <c r="N236" s="345"/>
      <c r="O236" s="345"/>
      <c r="P236" s="482">
        <v>12</v>
      </c>
      <c r="Q236" s="345"/>
      <c r="R236" s="345"/>
      <c r="S236" s="345"/>
      <c r="T236" s="482">
        <v>12</v>
      </c>
      <c r="U236" s="345"/>
      <c r="V236" s="345"/>
      <c r="W236" s="345"/>
      <c r="X236" s="345" t="s">
        <v>115</v>
      </c>
      <c r="Y236" s="345"/>
      <c r="Z236" s="345"/>
    </row>
    <row r="237" spans="1:26" ht="12.75">
      <c r="A237" s="345"/>
      <c r="B237" s="594" t="s">
        <v>550</v>
      </c>
      <c r="C237" s="543" t="s">
        <v>103</v>
      </c>
      <c r="D237" s="543">
        <v>48</v>
      </c>
      <c r="E237" s="543">
        <v>380</v>
      </c>
      <c r="F237" s="609">
        <v>18240</v>
      </c>
      <c r="G237" s="345"/>
      <c r="H237" s="482">
        <v>12</v>
      </c>
      <c r="I237" s="345"/>
      <c r="J237" s="345"/>
      <c r="K237" s="345"/>
      <c r="L237" s="482">
        <v>12</v>
      </c>
      <c r="M237" s="345"/>
      <c r="N237" s="345"/>
      <c r="O237" s="345"/>
      <c r="P237" s="482">
        <v>12</v>
      </c>
      <c r="Q237" s="345"/>
      <c r="R237" s="345"/>
      <c r="S237" s="345"/>
      <c r="T237" s="482">
        <v>12</v>
      </c>
      <c r="U237" s="345"/>
      <c r="V237" s="345"/>
      <c r="W237" s="345"/>
      <c r="X237" s="345" t="s">
        <v>115</v>
      </c>
      <c r="Y237" s="345"/>
      <c r="Z237" s="345"/>
    </row>
    <row r="238" spans="1:26" ht="12.75">
      <c r="A238" s="345"/>
      <c r="B238" s="482" t="s">
        <v>824</v>
      </c>
      <c r="C238" s="610" t="s">
        <v>103</v>
      </c>
      <c r="D238" s="611">
        <v>8</v>
      </c>
      <c r="E238" s="548">
        <v>8800</v>
      </c>
      <c r="F238" s="609">
        <v>70400</v>
      </c>
      <c r="G238" s="345"/>
      <c r="H238" s="482">
        <v>4</v>
      </c>
      <c r="I238" s="345"/>
      <c r="J238" s="345"/>
      <c r="K238" s="345"/>
      <c r="L238" s="482">
        <v>4</v>
      </c>
      <c r="M238" s="345"/>
      <c r="N238" s="345"/>
      <c r="O238" s="345"/>
      <c r="P238" s="482"/>
      <c r="Q238" s="345"/>
      <c r="R238" s="345"/>
      <c r="S238" s="345"/>
      <c r="T238" s="482"/>
      <c r="U238" s="345"/>
      <c r="V238" s="345"/>
      <c r="W238" s="345"/>
      <c r="X238" s="345" t="s">
        <v>115</v>
      </c>
      <c r="Y238" s="345"/>
      <c r="Z238" s="345"/>
    </row>
    <row r="239" spans="1:26" ht="12.75">
      <c r="A239" s="345"/>
      <c r="B239" s="612" t="s">
        <v>742</v>
      </c>
      <c r="C239" s="200" t="s">
        <v>103</v>
      </c>
      <c r="D239" s="611">
        <v>4</v>
      </c>
      <c r="E239" s="548">
        <v>7800</v>
      </c>
      <c r="F239" s="609">
        <v>31200</v>
      </c>
      <c r="G239" s="345"/>
      <c r="H239" s="482">
        <v>2</v>
      </c>
      <c r="I239" s="345"/>
      <c r="J239" s="345"/>
      <c r="K239" s="345"/>
      <c r="L239" s="482">
        <v>2</v>
      </c>
      <c r="M239" s="345"/>
      <c r="N239" s="345"/>
      <c r="O239" s="345"/>
      <c r="P239" s="482"/>
      <c r="Q239" s="345"/>
      <c r="R239" s="345"/>
      <c r="S239" s="345"/>
      <c r="T239" s="482"/>
      <c r="U239" s="345"/>
      <c r="V239" s="345"/>
      <c r="W239" s="345"/>
      <c r="X239" s="345" t="s">
        <v>115</v>
      </c>
      <c r="Y239" s="345"/>
      <c r="Z239" s="345"/>
    </row>
    <row r="240" spans="1:26" ht="12.75">
      <c r="A240" s="345"/>
      <c r="B240" s="582" t="s">
        <v>3029</v>
      </c>
      <c r="C240" s="613">
        <v>1</v>
      </c>
      <c r="D240" s="610" t="s">
        <v>446</v>
      </c>
      <c r="E240" s="614">
        <v>10000</v>
      </c>
      <c r="F240" s="614">
        <v>10000</v>
      </c>
      <c r="G240" s="610" t="s">
        <v>752</v>
      </c>
      <c r="H240" s="615">
        <v>1</v>
      </c>
      <c r="I240" s="345"/>
      <c r="J240" s="345"/>
      <c r="K240" s="345"/>
      <c r="L240" s="345"/>
      <c r="M240" s="345"/>
      <c r="N240" s="345"/>
      <c r="O240" s="345"/>
      <c r="P240" s="615"/>
      <c r="Q240" s="345"/>
      <c r="R240" s="345"/>
      <c r="S240" s="345"/>
      <c r="T240" s="345"/>
      <c r="U240" s="345"/>
      <c r="V240" s="345"/>
      <c r="W240" s="345"/>
      <c r="X240" s="345" t="s">
        <v>170</v>
      </c>
      <c r="Y240" s="345"/>
      <c r="Z240" s="345"/>
    </row>
    <row r="241" spans="1:26" ht="12.75">
      <c r="A241" s="345"/>
      <c r="B241" s="583" t="s">
        <v>523</v>
      </c>
      <c r="C241" s="616">
        <v>2</v>
      </c>
      <c r="D241" s="613" t="s">
        <v>446</v>
      </c>
      <c r="E241" s="617">
        <v>2000</v>
      </c>
      <c r="F241" s="618">
        <v>4000</v>
      </c>
      <c r="G241" s="610" t="s">
        <v>752</v>
      </c>
      <c r="H241" s="613">
        <v>2</v>
      </c>
      <c r="I241" s="345"/>
      <c r="J241" s="345"/>
      <c r="K241" s="345"/>
      <c r="L241" s="345"/>
      <c r="M241" s="345"/>
      <c r="N241" s="345"/>
      <c r="O241" s="345"/>
      <c r="P241" s="613"/>
      <c r="Q241" s="345"/>
      <c r="R241" s="345"/>
      <c r="S241" s="345"/>
      <c r="T241" s="345"/>
      <c r="U241" s="345"/>
      <c r="V241" s="345"/>
      <c r="W241" s="345"/>
      <c r="X241" s="345" t="s">
        <v>170</v>
      </c>
      <c r="Y241" s="345"/>
      <c r="Z241" s="345"/>
    </row>
    <row r="242" spans="1:26" ht="12.75">
      <c r="A242" s="345"/>
      <c r="B242" s="497" t="s">
        <v>654</v>
      </c>
      <c r="C242" s="610">
        <v>1</v>
      </c>
      <c r="D242" s="613" t="s">
        <v>446</v>
      </c>
      <c r="E242" s="618">
        <v>42390</v>
      </c>
      <c r="F242" s="619">
        <v>42390</v>
      </c>
      <c r="G242" s="613" t="s">
        <v>752</v>
      </c>
      <c r="H242" s="613">
        <v>1</v>
      </c>
      <c r="I242" s="345"/>
      <c r="J242" s="345"/>
      <c r="K242" s="345"/>
      <c r="L242" s="345"/>
      <c r="M242" s="345"/>
      <c r="N242" s="345"/>
      <c r="O242" s="345"/>
      <c r="P242" s="613"/>
      <c r="Q242" s="345"/>
      <c r="R242" s="345"/>
      <c r="S242" s="345"/>
      <c r="T242" s="345"/>
      <c r="U242" s="345"/>
      <c r="V242" s="345"/>
      <c r="W242" s="345"/>
      <c r="X242" s="345" t="s">
        <v>170</v>
      </c>
      <c r="Y242" s="345"/>
      <c r="Z242" s="345"/>
    </row>
    <row r="243" spans="1:26" ht="12.75">
      <c r="A243" s="345"/>
      <c r="B243" s="497" t="s">
        <v>825</v>
      </c>
      <c r="C243" s="610">
        <v>1</v>
      </c>
      <c r="D243" s="613" t="s">
        <v>446</v>
      </c>
      <c r="E243" s="618">
        <v>38100.97</v>
      </c>
      <c r="F243" s="614">
        <v>38100.97</v>
      </c>
      <c r="G243" s="613" t="s">
        <v>752</v>
      </c>
      <c r="H243" s="613">
        <v>1</v>
      </c>
      <c r="I243" s="345"/>
      <c r="J243" s="345"/>
      <c r="K243" s="345"/>
      <c r="L243" s="345"/>
      <c r="M243" s="345"/>
      <c r="N243" s="345"/>
      <c r="O243" s="345"/>
      <c r="P243" s="613"/>
      <c r="Q243" s="345"/>
      <c r="R243" s="345"/>
      <c r="S243" s="345"/>
      <c r="T243" s="345"/>
      <c r="U243" s="345"/>
      <c r="V243" s="345"/>
      <c r="W243" s="345"/>
      <c r="X243" s="345" t="s">
        <v>170</v>
      </c>
      <c r="Y243" s="345"/>
      <c r="Z243" s="345"/>
    </row>
    <row r="244" spans="1:26" ht="12.75">
      <c r="A244" s="345"/>
      <c r="B244" s="497" t="s">
        <v>826</v>
      </c>
      <c r="C244" s="613">
        <v>8</v>
      </c>
      <c r="D244" s="610" t="s">
        <v>571</v>
      </c>
      <c r="E244" s="497">
        <v>249.6</v>
      </c>
      <c r="F244" s="618">
        <v>1996.8</v>
      </c>
      <c r="G244" s="610" t="s">
        <v>3031</v>
      </c>
      <c r="H244" s="613">
        <v>4</v>
      </c>
      <c r="I244" s="345"/>
      <c r="J244" s="345"/>
      <c r="K244" s="345"/>
      <c r="L244" s="345"/>
      <c r="M244" s="345"/>
      <c r="N244" s="345"/>
      <c r="O244" s="345"/>
      <c r="P244" s="613">
        <v>4</v>
      </c>
      <c r="Q244" s="345"/>
      <c r="R244" s="345"/>
      <c r="S244" s="345"/>
      <c r="T244" s="345"/>
      <c r="U244" s="345"/>
      <c r="V244" s="345"/>
      <c r="W244" s="345"/>
      <c r="X244" s="345" t="s">
        <v>170</v>
      </c>
      <c r="Y244" s="345"/>
      <c r="Z244" s="345"/>
    </row>
    <row r="245" spans="1:26" ht="12.75">
      <c r="A245" s="345"/>
      <c r="B245" s="497" t="s">
        <v>827</v>
      </c>
      <c r="C245" s="613">
        <v>2</v>
      </c>
      <c r="D245" s="610" t="s">
        <v>571</v>
      </c>
      <c r="E245" s="497">
        <v>249.6</v>
      </c>
      <c r="F245" s="613">
        <v>499.2</v>
      </c>
      <c r="G245" s="610" t="s">
        <v>3031</v>
      </c>
      <c r="H245" s="613">
        <v>1</v>
      </c>
      <c r="I245" s="345"/>
      <c r="J245" s="345"/>
      <c r="K245" s="345"/>
      <c r="L245" s="345"/>
      <c r="M245" s="345"/>
      <c r="N245" s="345"/>
      <c r="O245" s="345"/>
      <c r="P245" s="613">
        <v>1</v>
      </c>
      <c r="Q245" s="345"/>
      <c r="R245" s="345"/>
      <c r="S245" s="345"/>
      <c r="T245" s="345"/>
      <c r="U245" s="345"/>
      <c r="V245" s="345"/>
      <c r="W245" s="345"/>
      <c r="X245" s="345" t="s">
        <v>170</v>
      </c>
      <c r="Y245" s="345"/>
      <c r="Z245" s="345"/>
    </row>
    <row r="246" spans="1:26" ht="12.75">
      <c r="A246" s="345"/>
      <c r="B246" s="497" t="s">
        <v>828</v>
      </c>
      <c r="C246" s="613">
        <v>2</v>
      </c>
      <c r="D246" s="610" t="s">
        <v>571</v>
      </c>
      <c r="E246" s="613">
        <v>249.6</v>
      </c>
      <c r="F246" s="613">
        <v>499.2</v>
      </c>
      <c r="G246" s="610" t="s">
        <v>3031</v>
      </c>
      <c r="H246" s="613">
        <v>1</v>
      </c>
      <c r="I246" s="345"/>
      <c r="J246" s="345"/>
      <c r="K246" s="345"/>
      <c r="L246" s="345"/>
      <c r="M246" s="345"/>
      <c r="N246" s="345"/>
      <c r="O246" s="345"/>
      <c r="P246" s="613">
        <v>1</v>
      </c>
      <c r="Q246" s="345"/>
      <c r="R246" s="345"/>
      <c r="S246" s="345"/>
      <c r="T246" s="345"/>
      <c r="U246" s="345"/>
      <c r="V246" s="345"/>
      <c r="W246" s="345"/>
      <c r="X246" s="345" t="s">
        <v>170</v>
      </c>
      <c r="Y246" s="345"/>
      <c r="Z246" s="345"/>
    </row>
    <row r="247" spans="1:26" ht="12.75">
      <c r="A247" s="345"/>
      <c r="B247" s="497" t="s">
        <v>829</v>
      </c>
      <c r="C247" s="613">
        <v>2</v>
      </c>
      <c r="D247" s="610" t="s">
        <v>571</v>
      </c>
      <c r="E247" s="610">
        <v>249.6</v>
      </c>
      <c r="F247" s="610">
        <v>499.2</v>
      </c>
      <c r="G247" s="610" t="s">
        <v>3031</v>
      </c>
      <c r="H247" s="613">
        <v>1</v>
      </c>
      <c r="I247" s="345"/>
      <c r="J247" s="345"/>
      <c r="K247" s="345"/>
      <c r="L247" s="345"/>
      <c r="M247" s="345"/>
      <c r="N247" s="345"/>
      <c r="O247" s="345"/>
      <c r="P247" s="613">
        <v>1</v>
      </c>
      <c r="Q247" s="345"/>
      <c r="R247" s="345"/>
      <c r="S247" s="345"/>
      <c r="T247" s="345"/>
      <c r="U247" s="345"/>
      <c r="V247" s="345"/>
      <c r="W247" s="345"/>
      <c r="X247" s="345" t="s">
        <v>170</v>
      </c>
      <c r="Y247" s="345"/>
      <c r="Z247" s="345"/>
    </row>
    <row r="248" spans="1:26" ht="12.75">
      <c r="A248" s="345"/>
      <c r="B248" s="497" t="s">
        <v>830</v>
      </c>
      <c r="C248" s="613">
        <v>4</v>
      </c>
      <c r="D248" s="610" t="s">
        <v>571</v>
      </c>
      <c r="E248" s="500">
        <v>249.6</v>
      </c>
      <c r="F248" s="613">
        <v>998.4</v>
      </c>
      <c r="G248" s="610" t="s">
        <v>3031</v>
      </c>
      <c r="H248" s="613">
        <v>2</v>
      </c>
      <c r="I248" s="345"/>
      <c r="J248" s="345"/>
      <c r="K248" s="345"/>
      <c r="L248" s="345"/>
      <c r="M248" s="345"/>
      <c r="N248" s="345"/>
      <c r="O248" s="345"/>
      <c r="P248" s="613">
        <v>2</v>
      </c>
      <c r="Q248" s="345"/>
      <c r="R248" s="345"/>
      <c r="S248" s="345"/>
      <c r="T248" s="345"/>
      <c r="U248" s="345"/>
      <c r="V248" s="345"/>
      <c r="W248" s="345"/>
      <c r="X248" s="345" t="s">
        <v>170</v>
      </c>
      <c r="Y248" s="345"/>
      <c r="Z248" s="345"/>
    </row>
    <row r="249" spans="1:26" ht="12.75">
      <c r="A249" s="345"/>
      <c r="B249" s="497" t="s">
        <v>831</v>
      </c>
      <c r="C249" s="613">
        <v>4</v>
      </c>
      <c r="D249" s="610" t="s">
        <v>571</v>
      </c>
      <c r="E249" s="497">
        <v>249.6</v>
      </c>
      <c r="F249" s="613">
        <v>998.4</v>
      </c>
      <c r="G249" s="610" t="s">
        <v>3031</v>
      </c>
      <c r="H249" s="613">
        <v>2</v>
      </c>
      <c r="I249" s="345"/>
      <c r="J249" s="345"/>
      <c r="K249" s="345"/>
      <c r="L249" s="345"/>
      <c r="M249" s="345"/>
      <c r="N249" s="345"/>
      <c r="O249" s="345"/>
      <c r="P249" s="613">
        <v>2</v>
      </c>
      <c r="Q249" s="345"/>
      <c r="R249" s="345"/>
      <c r="S249" s="345"/>
      <c r="T249" s="345"/>
      <c r="U249" s="345"/>
      <c r="V249" s="345"/>
      <c r="W249" s="345"/>
      <c r="X249" s="345" t="s">
        <v>170</v>
      </c>
      <c r="Y249" s="345"/>
      <c r="Z249" s="345"/>
    </row>
    <row r="250" spans="1:26" ht="12.75">
      <c r="A250" s="345"/>
      <c r="B250" s="497" t="s">
        <v>832</v>
      </c>
      <c r="C250" s="613">
        <v>4</v>
      </c>
      <c r="D250" s="610" t="s">
        <v>571</v>
      </c>
      <c r="E250" s="613">
        <v>249.6</v>
      </c>
      <c r="F250" s="613">
        <v>998.4</v>
      </c>
      <c r="G250" s="610" t="s">
        <v>3031</v>
      </c>
      <c r="H250" s="613">
        <v>2</v>
      </c>
      <c r="I250" s="345"/>
      <c r="J250" s="345"/>
      <c r="K250" s="345"/>
      <c r="L250" s="345"/>
      <c r="M250" s="345"/>
      <c r="N250" s="345"/>
      <c r="O250" s="345"/>
      <c r="P250" s="613">
        <v>2</v>
      </c>
      <c r="Q250" s="345"/>
      <c r="R250" s="345"/>
      <c r="S250" s="345"/>
      <c r="T250" s="345"/>
      <c r="U250" s="345"/>
      <c r="V250" s="345"/>
      <c r="W250" s="345"/>
      <c r="X250" s="345" t="s">
        <v>170</v>
      </c>
      <c r="Y250" s="345"/>
      <c r="Z250" s="345"/>
    </row>
    <row r="251" spans="1:26" ht="12.75">
      <c r="A251" s="345"/>
      <c r="B251" s="497" t="s">
        <v>833</v>
      </c>
      <c r="C251" s="613">
        <v>8</v>
      </c>
      <c r="D251" s="610" t="s">
        <v>571</v>
      </c>
      <c r="E251" s="610">
        <v>249.6</v>
      </c>
      <c r="F251" s="614">
        <v>1996.8</v>
      </c>
      <c r="G251" s="610" t="s">
        <v>3031</v>
      </c>
      <c r="H251" s="613">
        <v>4</v>
      </c>
      <c r="I251" s="345"/>
      <c r="J251" s="345"/>
      <c r="K251" s="345"/>
      <c r="L251" s="345"/>
      <c r="M251" s="345"/>
      <c r="N251" s="345"/>
      <c r="O251" s="345"/>
      <c r="P251" s="613">
        <v>4</v>
      </c>
      <c r="Q251" s="345"/>
      <c r="R251" s="345"/>
      <c r="S251" s="345"/>
      <c r="T251" s="345"/>
      <c r="U251" s="345"/>
      <c r="V251" s="345"/>
      <c r="W251" s="345"/>
      <c r="X251" s="345" t="s">
        <v>170</v>
      </c>
      <c r="Y251" s="345"/>
      <c r="Z251" s="345"/>
    </row>
    <row r="252" spans="1:26" ht="12.75">
      <c r="A252" s="345"/>
      <c r="B252" s="620" t="s">
        <v>3032</v>
      </c>
      <c r="C252" s="621">
        <v>2</v>
      </c>
      <c r="D252" s="522" t="s">
        <v>466</v>
      </c>
      <c r="E252" s="622">
        <v>2636</v>
      </c>
      <c r="F252" s="623">
        <v>5272</v>
      </c>
      <c r="G252" s="624"/>
      <c r="H252" s="554">
        <v>1</v>
      </c>
      <c r="I252" s="624">
        <v>1</v>
      </c>
      <c r="J252" s="624">
        <v>0</v>
      </c>
      <c r="K252" s="624">
        <v>0</v>
      </c>
      <c r="L252" s="554">
        <v>0</v>
      </c>
      <c r="M252" s="624">
        <v>0</v>
      </c>
      <c r="N252" s="624">
        <v>0</v>
      </c>
      <c r="O252" s="624">
        <v>0</v>
      </c>
      <c r="P252" s="554">
        <v>1</v>
      </c>
      <c r="Q252" s="624">
        <v>1</v>
      </c>
      <c r="R252" s="624">
        <v>0</v>
      </c>
      <c r="S252" s="624">
        <v>0</v>
      </c>
      <c r="T252" s="554">
        <v>0</v>
      </c>
      <c r="U252" s="624">
        <v>0</v>
      </c>
      <c r="V252" s="624">
        <v>0</v>
      </c>
      <c r="W252" s="624">
        <v>0</v>
      </c>
      <c r="X252" s="345" t="s">
        <v>196</v>
      </c>
      <c r="Y252" s="345"/>
      <c r="Z252" s="345"/>
    </row>
    <row r="253" spans="1:26" ht="12.75">
      <c r="A253" s="345"/>
      <c r="B253" s="625" t="s">
        <v>526</v>
      </c>
      <c r="C253" s="569">
        <v>1</v>
      </c>
      <c r="D253" s="527" t="s">
        <v>103</v>
      </c>
      <c r="E253" s="626">
        <v>25000</v>
      </c>
      <c r="F253" s="627">
        <v>25000</v>
      </c>
      <c r="G253" s="628"/>
      <c r="H253" s="557">
        <v>1</v>
      </c>
      <c r="I253" s="628">
        <v>1</v>
      </c>
      <c r="J253" s="628">
        <v>0</v>
      </c>
      <c r="K253" s="628">
        <v>0</v>
      </c>
      <c r="L253" s="557">
        <v>0</v>
      </c>
      <c r="M253" s="628">
        <v>0</v>
      </c>
      <c r="N253" s="628">
        <v>0</v>
      </c>
      <c r="O253" s="628">
        <v>0</v>
      </c>
      <c r="P253" s="557">
        <v>0</v>
      </c>
      <c r="Q253" s="628">
        <v>0</v>
      </c>
      <c r="R253" s="628">
        <v>0</v>
      </c>
      <c r="S253" s="628">
        <v>0</v>
      </c>
      <c r="T253" s="557">
        <v>0</v>
      </c>
      <c r="U253" s="628">
        <v>0</v>
      </c>
      <c r="V253" s="628">
        <v>0</v>
      </c>
      <c r="W253" s="628">
        <v>0</v>
      </c>
      <c r="X253" s="345" t="s">
        <v>196</v>
      </c>
      <c r="Y253" s="345"/>
      <c r="Z253" s="345"/>
    </row>
    <row r="254" spans="1:26" ht="12.75">
      <c r="A254" s="345"/>
      <c r="B254" s="629" t="s">
        <v>568</v>
      </c>
      <c r="C254" s="569">
        <v>2</v>
      </c>
      <c r="D254" s="557" t="s">
        <v>103</v>
      </c>
      <c r="E254" s="607">
        <v>3500</v>
      </c>
      <c r="F254" s="627">
        <v>7000</v>
      </c>
      <c r="G254" s="630" t="s">
        <v>342</v>
      </c>
      <c r="H254" s="631">
        <v>1</v>
      </c>
      <c r="I254" s="557">
        <v>1</v>
      </c>
      <c r="J254" s="628">
        <v>0</v>
      </c>
      <c r="K254" s="628">
        <v>0</v>
      </c>
      <c r="L254" s="557">
        <v>0</v>
      </c>
      <c r="M254" s="628">
        <v>0</v>
      </c>
      <c r="N254" s="628">
        <v>0</v>
      </c>
      <c r="O254" s="628">
        <v>0</v>
      </c>
      <c r="P254" s="557">
        <v>1</v>
      </c>
      <c r="Q254" s="557">
        <v>1</v>
      </c>
      <c r="R254" s="628">
        <v>0</v>
      </c>
      <c r="S254" s="628">
        <v>0</v>
      </c>
      <c r="T254" s="557">
        <v>0</v>
      </c>
      <c r="U254" s="628">
        <v>0</v>
      </c>
      <c r="V254" s="628">
        <v>0</v>
      </c>
      <c r="W254" s="628">
        <v>0</v>
      </c>
      <c r="X254" s="345" t="s">
        <v>196</v>
      </c>
      <c r="Y254" s="345"/>
      <c r="Z254" s="345"/>
    </row>
    <row r="255" spans="1:26" ht="12.75">
      <c r="A255" s="345"/>
      <c r="B255" s="632" t="s">
        <v>3003</v>
      </c>
      <c r="C255" s="569">
        <v>120</v>
      </c>
      <c r="D255" s="633" t="s">
        <v>571</v>
      </c>
      <c r="E255" s="634">
        <v>500</v>
      </c>
      <c r="F255" s="627">
        <v>60000</v>
      </c>
      <c r="G255" s="547"/>
      <c r="H255" s="557">
        <v>30</v>
      </c>
      <c r="I255" s="543">
        <v>10</v>
      </c>
      <c r="J255" s="543">
        <v>10</v>
      </c>
      <c r="K255" s="543">
        <v>10</v>
      </c>
      <c r="L255" s="557">
        <v>30</v>
      </c>
      <c r="M255" s="543">
        <v>10</v>
      </c>
      <c r="N255" s="543">
        <v>10</v>
      </c>
      <c r="O255" s="543">
        <v>10</v>
      </c>
      <c r="P255" s="557">
        <v>30</v>
      </c>
      <c r="Q255" s="543">
        <v>10</v>
      </c>
      <c r="R255" s="543">
        <v>10</v>
      </c>
      <c r="S255" s="543">
        <v>10</v>
      </c>
      <c r="T255" s="557">
        <v>30</v>
      </c>
      <c r="U255" s="543">
        <v>10</v>
      </c>
      <c r="V255" s="543">
        <v>10</v>
      </c>
      <c r="W255" s="543">
        <v>10</v>
      </c>
      <c r="X255" s="345" t="s">
        <v>196</v>
      </c>
      <c r="Y255" s="345"/>
      <c r="Z255" s="345"/>
    </row>
    <row r="256" spans="1:26" ht="12.75">
      <c r="A256" s="345"/>
      <c r="B256" s="632" t="s">
        <v>3004</v>
      </c>
      <c r="C256" s="569">
        <v>24</v>
      </c>
      <c r="D256" s="633" t="s">
        <v>571</v>
      </c>
      <c r="E256" s="634">
        <v>500</v>
      </c>
      <c r="F256" s="627">
        <v>12000</v>
      </c>
      <c r="G256" s="543"/>
      <c r="H256" s="557">
        <v>6</v>
      </c>
      <c r="I256" s="543">
        <v>2</v>
      </c>
      <c r="J256" s="543">
        <v>2</v>
      </c>
      <c r="K256" s="543">
        <v>2</v>
      </c>
      <c r="L256" s="557">
        <v>6</v>
      </c>
      <c r="M256" s="543">
        <v>2</v>
      </c>
      <c r="N256" s="543">
        <v>2</v>
      </c>
      <c r="O256" s="543">
        <v>2</v>
      </c>
      <c r="P256" s="557">
        <v>6</v>
      </c>
      <c r="Q256" s="543">
        <v>2</v>
      </c>
      <c r="R256" s="543">
        <v>2</v>
      </c>
      <c r="S256" s="543">
        <v>2</v>
      </c>
      <c r="T256" s="557">
        <v>6</v>
      </c>
      <c r="U256" s="543">
        <v>2</v>
      </c>
      <c r="V256" s="543">
        <v>2</v>
      </c>
      <c r="W256" s="543">
        <v>2</v>
      </c>
      <c r="X256" s="345" t="s">
        <v>196</v>
      </c>
      <c r="Y256" s="345"/>
      <c r="Z256" s="345"/>
    </row>
    <row r="257" spans="1:26" ht="12.75">
      <c r="A257" s="345"/>
      <c r="B257" s="632" t="s">
        <v>3005</v>
      </c>
      <c r="C257" s="569">
        <v>24</v>
      </c>
      <c r="D257" s="633" t="s">
        <v>571</v>
      </c>
      <c r="E257" s="634">
        <v>500</v>
      </c>
      <c r="F257" s="627">
        <v>12000</v>
      </c>
      <c r="G257" s="543"/>
      <c r="H257" s="557">
        <v>6</v>
      </c>
      <c r="I257" s="543">
        <v>2</v>
      </c>
      <c r="J257" s="543">
        <v>2</v>
      </c>
      <c r="K257" s="543">
        <v>2</v>
      </c>
      <c r="L257" s="557">
        <v>6</v>
      </c>
      <c r="M257" s="543">
        <v>2</v>
      </c>
      <c r="N257" s="543">
        <v>2</v>
      </c>
      <c r="O257" s="543">
        <v>2</v>
      </c>
      <c r="P257" s="557">
        <v>6</v>
      </c>
      <c r="Q257" s="543">
        <v>2</v>
      </c>
      <c r="R257" s="543">
        <v>2</v>
      </c>
      <c r="S257" s="543">
        <v>2</v>
      </c>
      <c r="T257" s="557">
        <v>6</v>
      </c>
      <c r="U257" s="543">
        <v>2</v>
      </c>
      <c r="V257" s="543">
        <v>2</v>
      </c>
      <c r="W257" s="543">
        <v>2</v>
      </c>
      <c r="X257" s="345" t="s">
        <v>196</v>
      </c>
      <c r="Y257" s="345"/>
      <c r="Z257" s="345"/>
    </row>
    <row r="258" spans="1:26" ht="12.75">
      <c r="A258" s="345"/>
      <c r="B258" s="632" t="s">
        <v>3006</v>
      </c>
      <c r="C258" s="569">
        <v>24</v>
      </c>
      <c r="D258" s="633" t="s">
        <v>571</v>
      </c>
      <c r="E258" s="634">
        <v>500</v>
      </c>
      <c r="F258" s="627">
        <v>12000</v>
      </c>
      <c r="G258" s="543"/>
      <c r="H258" s="557">
        <v>6</v>
      </c>
      <c r="I258" s="543">
        <v>2</v>
      </c>
      <c r="J258" s="543">
        <v>2</v>
      </c>
      <c r="K258" s="543">
        <v>2</v>
      </c>
      <c r="L258" s="557">
        <v>6</v>
      </c>
      <c r="M258" s="543">
        <v>2</v>
      </c>
      <c r="N258" s="543">
        <v>2</v>
      </c>
      <c r="O258" s="543">
        <v>2</v>
      </c>
      <c r="P258" s="557">
        <v>6</v>
      </c>
      <c r="Q258" s="543">
        <v>2</v>
      </c>
      <c r="R258" s="543">
        <v>2</v>
      </c>
      <c r="S258" s="543">
        <v>2</v>
      </c>
      <c r="T258" s="557">
        <v>6</v>
      </c>
      <c r="U258" s="543">
        <v>2</v>
      </c>
      <c r="V258" s="543">
        <v>2</v>
      </c>
      <c r="W258" s="543">
        <v>2</v>
      </c>
      <c r="X258" s="345" t="s">
        <v>196</v>
      </c>
      <c r="Y258" s="345"/>
      <c r="Z258" s="345"/>
    </row>
    <row r="259" spans="1:26" ht="12.75">
      <c r="A259" s="345"/>
      <c r="B259" s="533" t="s">
        <v>889</v>
      </c>
      <c r="C259" s="569">
        <v>60</v>
      </c>
      <c r="D259" s="200" t="s">
        <v>103</v>
      </c>
      <c r="E259" s="635">
        <v>380</v>
      </c>
      <c r="F259" s="627">
        <v>22800</v>
      </c>
      <c r="G259" s="200" t="s">
        <v>2976</v>
      </c>
      <c r="H259" s="557">
        <v>15</v>
      </c>
      <c r="I259" s="200">
        <v>5</v>
      </c>
      <c r="J259" s="200">
        <v>5</v>
      </c>
      <c r="K259" s="200">
        <v>5</v>
      </c>
      <c r="L259" s="557">
        <v>15</v>
      </c>
      <c r="M259" s="200">
        <v>5</v>
      </c>
      <c r="N259" s="200">
        <v>5</v>
      </c>
      <c r="O259" s="200">
        <v>5</v>
      </c>
      <c r="P259" s="557">
        <v>15</v>
      </c>
      <c r="Q259" s="200">
        <v>5</v>
      </c>
      <c r="R259" s="200">
        <v>5</v>
      </c>
      <c r="S259" s="200">
        <v>5</v>
      </c>
      <c r="T259" s="557">
        <v>15</v>
      </c>
      <c r="U259" s="200">
        <v>5</v>
      </c>
      <c r="V259" s="200">
        <v>5</v>
      </c>
      <c r="W259" s="200">
        <v>5</v>
      </c>
      <c r="X259" s="345" t="s">
        <v>196</v>
      </c>
      <c r="Y259" s="345"/>
      <c r="Z259" s="345"/>
    </row>
    <row r="260" spans="1:26" ht="12.75">
      <c r="A260" s="345"/>
      <c r="B260" s="588" t="s">
        <v>897</v>
      </c>
      <c r="C260" s="570">
        <v>120</v>
      </c>
      <c r="D260" s="633" t="s">
        <v>571</v>
      </c>
      <c r="E260" s="635">
        <v>380</v>
      </c>
      <c r="F260" s="627">
        <v>45600</v>
      </c>
      <c r="G260" s="543"/>
      <c r="H260" s="557">
        <v>30</v>
      </c>
      <c r="I260" s="543">
        <v>10</v>
      </c>
      <c r="J260" s="543">
        <v>10</v>
      </c>
      <c r="K260" s="543">
        <v>10</v>
      </c>
      <c r="L260" s="557">
        <v>30</v>
      </c>
      <c r="M260" s="543">
        <v>10</v>
      </c>
      <c r="N260" s="543">
        <v>10</v>
      </c>
      <c r="O260" s="543">
        <v>10</v>
      </c>
      <c r="P260" s="557">
        <v>30</v>
      </c>
      <c r="Q260" s="543">
        <v>10</v>
      </c>
      <c r="R260" s="543">
        <v>10</v>
      </c>
      <c r="S260" s="543">
        <v>10</v>
      </c>
      <c r="T260" s="557">
        <v>30</v>
      </c>
      <c r="U260" s="543">
        <v>10</v>
      </c>
      <c r="V260" s="543">
        <v>10</v>
      </c>
      <c r="W260" s="543">
        <v>10</v>
      </c>
      <c r="X260" s="345" t="s">
        <v>196</v>
      </c>
      <c r="Y260" s="345"/>
      <c r="Z260" s="345"/>
    </row>
    <row r="261" spans="1:26" ht="12.75">
      <c r="A261" s="345"/>
      <c r="B261" s="594" t="s">
        <v>900</v>
      </c>
      <c r="C261" s="570">
        <v>24</v>
      </c>
      <c r="D261" s="633" t="s">
        <v>571</v>
      </c>
      <c r="E261" s="635">
        <v>380</v>
      </c>
      <c r="F261" s="627">
        <v>9120</v>
      </c>
      <c r="G261" s="543"/>
      <c r="H261" s="557">
        <v>6</v>
      </c>
      <c r="I261" s="543">
        <v>2</v>
      </c>
      <c r="J261" s="543">
        <v>2</v>
      </c>
      <c r="K261" s="543">
        <v>2</v>
      </c>
      <c r="L261" s="557">
        <v>6</v>
      </c>
      <c r="M261" s="543">
        <v>2</v>
      </c>
      <c r="N261" s="543">
        <v>2</v>
      </c>
      <c r="O261" s="543">
        <v>2</v>
      </c>
      <c r="P261" s="557">
        <v>6</v>
      </c>
      <c r="Q261" s="543">
        <v>2</v>
      </c>
      <c r="R261" s="543">
        <v>2</v>
      </c>
      <c r="S261" s="543">
        <v>2</v>
      </c>
      <c r="T261" s="557">
        <v>6</v>
      </c>
      <c r="U261" s="543">
        <v>2</v>
      </c>
      <c r="V261" s="543">
        <v>2</v>
      </c>
      <c r="W261" s="543">
        <v>2</v>
      </c>
      <c r="X261" s="345" t="s">
        <v>196</v>
      </c>
      <c r="Y261" s="345"/>
      <c r="Z261" s="345"/>
    </row>
    <row r="262" spans="1:26" ht="12.75">
      <c r="A262" s="345"/>
      <c r="B262" s="594" t="s">
        <v>899</v>
      </c>
      <c r="C262" s="570">
        <v>24</v>
      </c>
      <c r="D262" s="633" t="s">
        <v>571</v>
      </c>
      <c r="E262" s="635">
        <v>380</v>
      </c>
      <c r="F262" s="627">
        <v>9120</v>
      </c>
      <c r="G262" s="543"/>
      <c r="H262" s="557">
        <v>6</v>
      </c>
      <c r="I262" s="543">
        <v>2</v>
      </c>
      <c r="J262" s="543">
        <v>2</v>
      </c>
      <c r="K262" s="543">
        <v>2</v>
      </c>
      <c r="L262" s="557">
        <v>6</v>
      </c>
      <c r="M262" s="543">
        <v>2</v>
      </c>
      <c r="N262" s="543">
        <v>2</v>
      </c>
      <c r="O262" s="543">
        <v>2</v>
      </c>
      <c r="P262" s="557">
        <v>6</v>
      </c>
      <c r="Q262" s="543">
        <v>2</v>
      </c>
      <c r="R262" s="543">
        <v>2</v>
      </c>
      <c r="S262" s="543">
        <v>2</v>
      </c>
      <c r="T262" s="557">
        <v>6</v>
      </c>
      <c r="U262" s="543">
        <v>2</v>
      </c>
      <c r="V262" s="543">
        <v>2</v>
      </c>
      <c r="W262" s="543">
        <v>2</v>
      </c>
      <c r="X262" s="345" t="s">
        <v>196</v>
      </c>
      <c r="Y262" s="345"/>
      <c r="Z262" s="345"/>
    </row>
    <row r="263" spans="1:26" ht="12.75">
      <c r="A263" s="345"/>
      <c r="B263" s="594" t="s">
        <v>898</v>
      </c>
      <c r="C263" s="570">
        <v>24</v>
      </c>
      <c r="D263" s="633" t="s">
        <v>571</v>
      </c>
      <c r="E263" s="635">
        <v>380</v>
      </c>
      <c r="F263" s="627">
        <v>9120</v>
      </c>
      <c r="G263" s="543"/>
      <c r="H263" s="557">
        <v>6</v>
      </c>
      <c r="I263" s="543">
        <v>2</v>
      </c>
      <c r="J263" s="543">
        <v>2</v>
      </c>
      <c r="K263" s="543">
        <v>2</v>
      </c>
      <c r="L263" s="557">
        <v>6</v>
      </c>
      <c r="M263" s="543">
        <v>2</v>
      </c>
      <c r="N263" s="543">
        <v>2</v>
      </c>
      <c r="O263" s="543">
        <v>2</v>
      </c>
      <c r="P263" s="557">
        <v>6</v>
      </c>
      <c r="Q263" s="543">
        <v>2</v>
      </c>
      <c r="R263" s="543">
        <v>2</v>
      </c>
      <c r="S263" s="543">
        <v>2</v>
      </c>
      <c r="T263" s="557">
        <v>6</v>
      </c>
      <c r="U263" s="543">
        <v>2</v>
      </c>
      <c r="V263" s="543">
        <v>2</v>
      </c>
      <c r="W263" s="543">
        <v>2</v>
      </c>
      <c r="X263" s="345" t="s">
        <v>196</v>
      </c>
      <c r="Y263" s="345"/>
      <c r="Z263" s="345"/>
    </row>
    <row r="264" spans="1:26" ht="12.75">
      <c r="A264" s="345"/>
      <c r="B264" s="511" t="s">
        <v>3033</v>
      </c>
      <c r="C264" s="486">
        <v>2</v>
      </c>
      <c r="D264" s="482" t="s">
        <v>118</v>
      </c>
      <c r="E264" s="579">
        <v>4500</v>
      </c>
      <c r="F264" s="636">
        <v>9000</v>
      </c>
      <c r="G264" s="485"/>
      <c r="H264" s="637">
        <v>1</v>
      </c>
      <c r="I264" s="481">
        <v>1</v>
      </c>
      <c r="J264" s="486"/>
      <c r="K264" s="486"/>
      <c r="L264" s="638"/>
      <c r="M264" s="481"/>
      <c r="N264" s="486"/>
      <c r="O264" s="486"/>
      <c r="P264" s="638">
        <v>1</v>
      </c>
      <c r="Q264" s="481"/>
      <c r="R264" s="486"/>
      <c r="S264" s="486"/>
      <c r="T264" s="638"/>
      <c r="U264" s="485"/>
      <c r="V264" s="485"/>
      <c r="W264" s="485"/>
      <c r="X264" s="345" t="s">
        <v>3034</v>
      </c>
      <c r="Y264" s="345"/>
      <c r="Z264" s="345"/>
    </row>
    <row r="265" spans="1:26" ht="12.75">
      <c r="A265" s="345"/>
      <c r="B265" s="511" t="s">
        <v>3035</v>
      </c>
      <c r="C265" s="486">
        <v>2</v>
      </c>
      <c r="D265" s="482" t="s">
        <v>118</v>
      </c>
      <c r="E265" s="579">
        <v>18000</v>
      </c>
      <c r="F265" s="639">
        <v>16000</v>
      </c>
      <c r="G265" s="483"/>
      <c r="H265" s="640">
        <v>1</v>
      </c>
      <c r="I265" s="481">
        <v>1</v>
      </c>
      <c r="J265" s="486"/>
      <c r="K265" s="486"/>
      <c r="L265" s="641"/>
      <c r="M265" s="481"/>
      <c r="N265" s="486"/>
      <c r="O265" s="486"/>
      <c r="P265" s="641">
        <v>1</v>
      </c>
      <c r="Q265" s="481"/>
      <c r="R265" s="486"/>
      <c r="S265" s="486"/>
      <c r="T265" s="641"/>
      <c r="U265" s="483"/>
      <c r="V265" s="483"/>
      <c r="W265" s="483"/>
      <c r="X265" s="345" t="s">
        <v>3034</v>
      </c>
      <c r="Y265" s="345"/>
      <c r="Z265" s="345"/>
    </row>
    <row r="266" spans="1:26" ht="12.75">
      <c r="A266" s="345"/>
      <c r="B266" s="511" t="s">
        <v>3170</v>
      </c>
      <c r="C266" s="486">
        <v>24</v>
      </c>
      <c r="D266" s="482" t="s">
        <v>776</v>
      </c>
      <c r="E266" s="579">
        <v>2000</v>
      </c>
      <c r="F266" s="639">
        <v>48000</v>
      </c>
      <c r="G266" s="483"/>
      <c r="H266" s="640">
        <v>6</v>
      </c>
      <c r="I266" s="481">
        <v>2</v>
      </c>
      <c r="J266" s="486">
        <v>2</v>
      </c>
      <c r="K266" s="486">
        <v>2</v>
      </c>
      <c r="L266" s="641">
        <v>6</v>
      </c>
      <c r="M266" s="481">
        <v>2</v>
      </c>
      <c r="N266" s="486">
        <v>2</v>
      </c>
      <c r="O266" s="486">
        <v>2</v>
      </c>
      <c r="P266" s="641">
        <v>6</v>
      </c>
      <c r="Q266" s="481">
        <v>2</v>
      </c>
      <c r="R266" s="486">
        <v>2</v>
      </c>
      <c r="S266" s="486">
        <v>2</v>
      </c>
      <c r="T266" s="641">
        <v>6</v>
      </c>
      <c r="U266" s="483">
        <v>2</v>
      </c>
      <c r="V266" s="483">
        <v>2</v>
      </c>
      <c r="W266" s="483">
        <v>2</v>
      </c>
      <c r="X266" s="345" t="s">
        <v>3034</v>
      </c>
      <c r="Y266" s="345"/>
      <c r="Z266" s="345"/>
    </row>
    <row r="267" spans="1:26" ht="12.75">
      <c r="A267" s="345"/>
      <c r="B267" s="494" t="s">
        <v>3036</v>
      </c>
      <c r="C267" s="481">
        <v>4</v>
      </c>
      <c r="D267" s="482" t="s">
        <v>776</v>
      </c>
      <c r="E267" s="499">
        <v>500</v>
      </c>
      <c r="F267" s="639">
        <v>2000</v>
      </c>
      <c r="G267" s="483"/>
      <c r="H267" s="640">
        <v>1</v>
      </c>
      <c r="I267" s="481">
        <v>1</v>
      </c>
      <c r="J267" s="486"/>
      <c r="K267" s="486"/>
      <c r="L267" s="641">
        <v>1</v>
      </c>
      <c r="M267" s="481">
        <v>1</v>
      </c>
      <c r="N267" s="486"/>
      <c r="O267" s="486"/>
      <c r="P267" s="641">
        <v>1</v>
      </c>
      <c r="Q267" s="481">
        <v>1</v>
      </c>
      <c r="R267" s="486"/>
      <c r="S267" s="486"/>
      <c r="T267" s="641">
        <v>1</v>
      </c>
      <c r="U267" s="483">
        <v>1</v>
      </c>
      <c r="V267" s="483"/>
      <c r="W267" s="483"/>
      <c r="X267" s="345" t="s">
        <v>3034</v>
      </c>
      <c r="Y267" s="345"/>
      <c r="Z267" s="345"/>
    </row>
    <row r="268" spans="1:26" ht="12.75">
      <c r="A268" s="345"/>
      <c r="B268" s="494" t="s">
        <v>547</v>
      </c>
      <c r="C268" s="485">
        <v>48</v>
      </c>
      <c r="D268" s="485" t="s">
        <v>103</v>
      </c>
      <c r="E268" s="485"/>
      <c r="F268" s="517" t="s">
        <v>488</v>
      </c>
      <c r="G268" s="483"/>
      <c r="H268" s="564">
        <v>12</v>
      </c>
      <c r="I268" s="496">
        <v>4</v>
      </c>
      <c r="J268" s="496">
        <v>4</v>
      </c>
      <c r="K268" s="496">
        <v>4</v>
      </c>
      <c r="L268" s="642">
        <v>12</v>
      </c>
      <c r="M268" s="496">
        <v>4</v>
      </c>
      <c r="N268" s="496">
        <v>4</v>
      </c>
      <c r="O268" s="496">
        <v>4</v>
      </c>
      <c r="P268" s="642">
        <v>12</v>
      </c>
      <c r="Q268" s="496">
        <v>4</v>
      </c>
      <c r="R268" s="496">
        <v>4</v>
      </c>
      <c r="S268" s="496">
        <v>4</v>
      </c>
      <c r="T268" s="642">
        <v>12</v>
      </c>
      <c r="U268" s="496">
        <v>4</v>
      </c>
      <c r="V268" s="496">
        <v>4</v>
      </c>
      <c r="W268" s="496">
        <v>4</v>
      </c>
      <c r="X268" s="345" t="s">
        <v>3034</v>
      </c>
      <c r="Y268" s="345"/>
      <c r="Z268" s="345"/>
    </row>
    <row r="269" spans="1:26" ht="12.75">
      <c r="A269" s="345"/>
      <c r="B269" s="511" t="s">
        <v>548</v>
      </c>
      <c r="C269" s="483">
        <v>48</v>
      </c>
      <c r="D269" s="483" t="s">
        <v>103</v>
      </c>
      <c r="E269" s="483"/>
      <c r="F269" s="517" t="s">
        <v>488</v>
      </c>
      <c r="G269" s="483"/>
      <c r="H269" s="562">
        <v>12</v>
      </c>
      <c r="I269" s="499">
        <v>4</v>
      </c>
      <c r="J269" s="499">
        <v>4</v>
      </c>
      <c r="K269" s="499">
        <v>4</v>
      </c>
      <c r="L269" s="643">
        <v>12</v>
      </c>
      <c r="M269" s="499">
        <v>4</v>
      </c>
      <c r="N269" s="499">
        <v>4</v>
      </c>
      <c r="O269" s="499">
        <v>4</v>
      </c>
      <c r="P269" s="643">
        <v>12</v>
      </c>
      <c r="Q269" s="499">
        <v>4</v>
      </c>
      <c r="R269" s="499">
        <v>4</v>
      </c>
      <c r="S269" s="499">
        <v>4</v>
      </c>
      <c r="T269" s="643">
        <v>12</v>
      </c>
      <c r="U269" s="499">
        <v>4</v>
      </c>
      <c r="V269" s="499">
        <v>4</v>
      </c>
      <c r="W269" s="499">
        <v>4</v>
      </c>
      <c r="X269" s="345" t="s">
        <v>3034</v>
      </c>
      <c r="Y269" s="345"/>
      <c r="Z269" s="345"/>
    </row>
    <row r="270" spans="1:26" ht="12.75">
      <c r="A270" s="345"/>
      <c r="B270" s="511" t="s">
        <v>549</v>
      </c>
      <c r="C270" s="483">
        <v>48</v>
      </c>
      <c r="D270" s="483" t="s">
        <v>103</v>
      </c>
      <c r="E270" s="483"/>
      <c r="F270" s="517" t="s">
        <v>488</v>
      </c>
      <c r="G270" s="483"/>
      <c r="H270" s="562">
        <v>12</v>
      </c>
      <c r="I270" s="499">
        <v>4</v>
      </c>
      <c r="J270" s="499">
        <v>4</v>
      </c>
      <c r="K270" s="499">
        <v>4</v>
      </c>
      <c r="L270" s="643">
        <v>12</v>
      </c>
      <c r="M270" s="499">
        <v>4</v>
      </c>
      <c r="N270" s="499">
        <v>4</v>
      </c>
      <c r="O270" s="499">
        <v>4</v>
      </c>
      <c r="P270" s="643">
        <v>12</v>
      </c>
      <c r="Q270" s="499">
        <v>4</v>
      </c>
      <c r="R270" s="499">
        <v>4</v>
      </c>
      <c r="S270" s="499">
        <v>4</v>
      </c>
      <c r="T270" s="643">
        <v>12</v>
      </c>
      <c r="U270" s="499">
        <v>4</v>
      </c>
      <c r="V270" s="499">
        <v>4</v>
      </c>
      <c r="W270" s="499">
        <v>4</v>
      </c>
      <c r="X270" s="345" t="s">
        <v>3034</v>
      </c>
      <c r="Y270" s="345"/>
      <c r="Z270" s="345"/>
    </row>
    <row r="271" spans="1:26" ht="12.75">
      <c r="A271" s="345"/>
      <c r="B271" s="511" t="s">
        <v>550</v>
      </c>
      <c r="C271" s="483">
        <v>48</v>
      </c>
      <c r="D271" s="483" t="s">
        <v>103</v>
      </c>
      <c r="E271" s="483"/>
      <c r="F271" s="517" t="s">
        <v>488</v>
      </c>
      <c r="G271" s="483"/>
      <c r="H271" s="562">
        <v>12</v>
      </c>
      <c r="I271" s="499">
        <v>4</v>
      </c>
      <c r="J271" s="499">
        <v>4</v>
      </c>
      <c r="K271" s="499">
        <v>4</v>
      </c>
      <c r="L271" s="643">
        <v>12</v>
      </c>
      <c r="M271" s="499">
        <v>4</v>
      </c>
      <c r="N271" s="499">
        <v>4</v>
      </c>
      <c r="O271" s="499">
        <v>4</v>
      </c>
      <c r="P271" s="643">
        <v>12</v>
      </c>
      <c r="Q271" s="499">
        <v>4</v>
      </c>
      <c r="R271" s="499">
        <v>4</v>
      </c>
      <c r="S271" s="499">
        <v>4</v>
      </c>
      <c r="T271" s="643">
        <v>12</v>
      </c>
      <c r="U271" s="499">
        <v>4</v>
      </c>
      <c r="V271" s="499">
        <v>4</v>
      </c>
      <c r="W271" s="499">
        <v>4</v>
      </c>
      <c r="X271" s="345" t="s">
        <v>3034</v>
      </c>
      <c r="Y271" s="345"/>
      <c r="Z271" s="345"/>
    </row>
    <row r="272" spans="1:26" ht="12.75">
      <c r="A272" s="345"/>
      <c r="B272" s="516" t="s">
        <v>3037</v>
      </c>
      <c r="C272" s="517">
        <v>10</v>
      </c>
      <c r="D272" s="517" t="s">
        <v>773</v>
      </c>
      <c r="E272" s="517"/>
      <c r="F272" s="517"/>
      <c r="G272" s="517"/>
      <c r="H272" s="644">
        <v>5</v>
      </c>
      <c r="I272" s="518">
        <v>5</v>
      </c>
      <c r="J272" s="576"/>
      <c r="K272" s="576"/>
      <c r="L272" s="645">
        <v>0</v>
      </c>
      <c r="M272" s="576"/>
      <c r="N272" s="576"/>
      <c r="O272" s="576"/>
      <c r="P272" s="645">
        <v>5</v>
      </c>
      <c r="Q272" s="518">
        <v>5</v>
      </c>
      <c r="R272" s="576"/>
      <c r="S272" s="576"/>
      <c r="T272" s="645">
        <v>0</v>
      </c>
      <c r="U272" s="576"/>
      <c r="V272" s="576"/>
      <c r="W272" s="576"/>
      <c r="X272" s="345" t="s">
        <v>3034</v>
      </c>
      <c r="Y272" s="345"/>
      <c r="Z272" s="345"/>
    </row>
    <row r="273" spans="1:26" ht="12.75">
      <c r="A273" s="345"/>
      <c r="B273" s="511" t="s">
        <v>849</v>
      </c>
      <c r="C273" s="481">
        <v>2</v>
      </c>
      <c r="D273" s="482" t="s">
        <v>103</v>
      </c>
      <c r="E273" s="506"/>
      <c r="F273" s="482"/>
      <c r="G273" s="646" t="s">
        <v>3038</v>
      </c>
      <c r="H273" s="647">
        <v>1</v>
      </c>
      <c r="I273" s="481">
        <v>1</v>
      </c>
      <c r="J273" s="486"/>
      <c r="K273" s="486"/>
      <c r="L273" s="647"/>
      <c r="M273" s="481"/>
      <c r="N273" s="486"/>
      <c r="O273" s="486"/>
      <c r="P273" s="647"/>
      <c r="Q273" s="481"/>
      <c r="R273" s="486"/>
      <c r="S273" s="486"/>
      <c r="T273" s="647">
        <v>1</v>
      </c>
      <c r="U273" s="485">
        <v>1</v>
      </c>
      <c r="V273" s="485"/>
      <c r="W273" s="485"/>
      <c r="X273" s="345" t="s">
        <v>2613</v>
      </c>
      <c r="Y273" s="345"/>
      <c r="Z273" s="345"/>
    </row>
    <row r="274" spans="1:26" ht="12.75">
      <c r="A274" s="345"/>
      <c r="B274" s="511" t="s">
        <v>817</v>
      </c>
      <c r="C274" s="481">
        <v>4</v>
      </c>
      <c r="D274" s="482" t="s">
        <v>103</v>
      </c>
      <c r="E274" s="479"/>
      <c r="F274" s="511"/>
      <c r="G274" s="648" t="s">
        <v>3038</v>
      </c>
      <c r="H274" s="561">
        <v>1</v>
      </c>
      <c r="I274" s="481">
        <v>1</v>
      </c>
      <c r="J274" s="486"/>
      <c r="K274" s="486"/>
      <c r="L274" s="561">
        <v>1</v>
      </c>
      <c r="M274" s="481">
        <v>1</v>
      </c>
      <c r="N274" s="486"/>
      <c r="O274" s="486"/>
      <c r="P274" s="561">
        <v>1</v>
      </c>
      <c r="Q274" s="481">
        <v>1</v>
      </c>
      <c r="R274" s="486"/>
      <c r="S274" s="486"/>
      <c r="T274" s="561">
        <v>0</v>
      </c>
      <c r="U274" s="483"/>
      <c r="V274" s="483"/>
      <c r="W274" s="483"/>
      <c r="X274" s="345" t="s">
        <v>2613</v>
      </c>
      <c r="Y274" s="345"/>
      <c r="Z274" s="345"/>
    </row>
    <row r="275" spans="1:26" ht="12.75">
      <c r="A275" s="345"/>
      <c r="B275" s="511" t="s">
        <v>234</v>
      </c>
      <c r="C275" s="481">
        <v>2</v>
      </c>
      <c r="D275" s="482" t="s">
        <v>103</v>
      </c>
      <c r="E275" s="482"/>
      <c r="F275" s="511"/>
      <c r="G275" s="648" t="s">
        <v>3038</v>
      </c>
      <c r="H275" s="561">
        <v>1</v>
      </c>
      <c r="I275" s="481">
        <v>1</v>
      </c>
      <c r="J275" s="486"/>
      <c r="K275" s="486"/>
      <c r="L275" s="561">
        <v>0</v>
      </c>
      <c r="M275" s="481"/>
      <c r="N275" s="486"/>
      <c r="O275" s="486"/>
      <c r="P275" s="561">
        <v>1</v>
      </c>
      <c r="Q275" s="481">
        <v>1</v>
      </c>
      <c r="R275" s="486"/>
      <c r="S275" s="486"/>
      <c r="T275" s="561">
        <v>0</v>
      </c>
      <c r="U275" s="483"/>
      <c r="V275" s="483"/>
      <c r="W275" s="483"/>
      <c r="X275" s="345" t="s">
        <v>2613</v>
      </c>
      <c r="Y275" s="345"/>
      <c r="Z275" s="345"/>
    </row>
    <row r="276" spans="1:26" ht="12.75">
      <c r="A276" s="345"/>
      <c r="B276" s="494" t="s">
        <v>239</v>
      </c>
      <c r="C276" s="486">
        <v>2</v>
      </c>
      <c r="D276" s="482" t="s">
        <v>103</v>
      </c>
      <c r="E276" s="482"/>
      <c r="F276" s="511"/>
      <c r="G276" s="648" t="s">
        <v>3038</v>
      </c>
      <c r="H276" s="561">
        <v>1</v>
      </c>
      <c r="I276" s="481">
        <v>1</v>
      </c>
      <c r="J276" s="486"/>
      <c r="K276" s="486"/>
      <c r="L276" s="561">
        <v>0</v>
      </c>
      <c r="M276" s="481"/>
      <c r="N276" s="486"/>
      <c r="O276" s="486"/>
      <c r="P276" s="561">
        <v>1</v>
      </c>
      <c r="Q276" s="481">
        <v>1</v>
      </c>
      <c r="R276" s="486"/>
      <c r="S276" s="486"/>
      <c r="T276" s="561">
        <v>0</v>
      </c>
      <c r="U276" s="483"/>
      <c r="V276" s="483"/>
      <c r="W276" s="483"/>
      <c r="X276" s="345" t="s">
        <v>2613</v>
      </c>
      <c r="Y276" s="345"/>
      <c r="Z276" s="345"/>
    </row>
    <row r="277" spans="1:26" ht="12.75">
      <c r="A277" s="345"/>
      <c r="B277" s="581" t="s">
        <v>841</v>
      </c>
      <c r="C277" s="486"/>
      <c r="D277" s="482"/>
      <c r="E277" s="506"/>
      <c r="F277" s="511"/>
      <c r="G277" s="648"/>
      <c r="H277" s="561"/>
      <c r="I277" s="481"/>
      <c r="J277" s="486"/>
      <c r="K277" s="486"/>
      <c r="L277" s="561"/>
      <c r="M277" s="481"/>
      <c r="N277" s="486"/>
      <c r="O277" s="486"/>
      <c r="P277" s="561"/>
      <c r="Q277" s="481"/>
      <c r="R277" s="486"/>
      <c r="S277" s="486"/>
      <c r="T277" s="561"/>
      <c r="U277" s="483"/>
      <c r="V277" s="483"/>
      <c r="W277" s="503"/>
      <c r="X277" s="345" t="s">
        <v>2613</v>
      </c>
      <c r="Y277" s="345"/>
      <c r="Z277" s="345"/>
    </row>
    <row r="278" spans="1:26" ht="12.75">
      <c r="A278" s="345"/>
      <c r="B278" s="494" t="s">
        <v>851</v>
      </c>
      <c r="C278" s="481">
        <v>60</v>
      </c>
      <c r="D278" s="482" t="s">
        <v>103</v>
      </c>
      <c r="E278" s="506"/>
      <c r="F278" s="511"/>
      <c r="G278" s="648" t="s">
        <v>3038</v>
      </c>
      <c r="H278" s="561">
        <v>15</v>
      </c>
      <c r="I278" s="481">
        <v>5</v>
      </c>
      <c r="J278" s="486">
        <v>5</v>
      </c>
      <c r="K278" s="486">
        <v>5</v>
      </c>
      <c r="L278" s="561">
        <v>15</v>
      </c>
      <c r="M278" s="481">
        <v>5</v>
      </c>
      <c r="N278" s="486">
        <v>5</v>
      </c>
      <c r="O278" s="486">
        <v>5</v>
      </c>
      <c r="P278" s="561">
        <v>15</v>
      </c>
      <c r="Q278" s="481">
        <v>5</v>
      </c>
      <c r="R278" s="486">
        <v>5</v>
      </c>
      <c r="S278" s="486">
        <v>5</v>
      </c>
      <c r="T278" s="561">
        <v>15</v>
      </c>
      <c r="U278" s="483">
        <v>5</v>
      </c>
      <c r="V278" s="483">
        <v>5</v>
      </c>
      <c r="W278" s="585">
        <v>5</v>
      </c>
      <c r="X278" s="345" t="s">
        <v>2613</v>
      </c>
      <c r="Y278" s="345"/>
      <c r="Z278" s="345"/>
    </row>
    <row r="279" spans="1:26" ht="12.75">
      <c r="A279" s="345"/>
      <c r="B279" s="511" t="s">
        <v>852</v>
      </c>
      <c r="C279" s="481">
        <v>60</v>
      </c>
      <c r="D279" s="482" t="s">
        <v>103</v>
      </c>
      <c r="E279" s="506"/>
      <c r="F279" s="511"/>
      <c r="G279" s="648" t="s">
        <v>3038</v>
      </c>
      <c r="H279" s="561">
        <v>15</v>
      </c>
      <c r="I279" s="481">
        <v>5</v>
      </c>
      <c r="J279" s="486">
        <v>5</v>
      </c>
      <c r="K279" s="486">
        <v>5</v>
      </c>
      <c r="L279" s="561">
        <v>15</v>
      </c>
      <c r="M279" s="481">
        <v>5</v>
      </c>
      <c r="N279" s="486">
        <v>5</v>
      </c>
      <c r="O279" s="486">
        <v>5</v>
      </c>
      <c r="P279" s="561">
        <v>15</v>
      </c>
      <c r="Q279" s="481">
        <v>5</v>
      </c>
      <c r="R279" s="486">
        <v>5</v>
      </c>
      <c r="S279" s="486">
        <v>5</v>
      </c>
      <c r="T279" s="561">
        <v>15</v>
      </c>
      <c r="U279" s="481">
        <v>5</v>
      </c>
      <c r="V279" s="486">
        <v>5</v>
      </c>
      <c r="W279" s="479">
        <v>5</v>
      </c>
      <c r="X279" s="345" t="s">
        <v>2613</v>
      </c>
      <c r="Y279" s="345"/>
      <c r="Z279" s="345"/>
    </row>
    <row r="280" spans="1:26" ht="12.75">
      <c r="A280" s="345"/>
      <c r="B280" s="511" t="s">
        <v>853</v>
      </c>
      <c r="C280" s="481">
        <v>60</v>
      </c>
      <c r="D280" s="482" t="s">
        <v>103</v>
      </c>
      <c r="E280" s="506"/>
      <c r="F280" s="511"/>
      <c r="G280" s="648" t="s">
        <v>3038</v>
      </c>
      <c r="H280" s="561">
        <v>15</v>
      </c>
      <c r="I280" s="481">
        <v>5</v>
      </c>
      <c r="J280" s="486">
        <v>5</v>
      </c>
      <c r="K280" s="486">
        <v>5</v>
      </c>
      <c r="L280" s="561">
        <v>15</v>
      </c>
      <c r="M280" s="481">
        <v>5</v>
      </c>
      <c r="N280" s="486">
        <v>5</v>
      </c>
      <c r="O280" s="486">
        <v>5</v>
      </c>
      <c r="P280" s="561">
        <v>15</v>
      </c>
      <c r="Q280" s="481">
        <v>5</v>
      </c>
      <c r="R280" s="486">
        <v>5</v>
      </c>
      <c r="S280" s="486">
        <v>5</v>
      </c>
      <c r="T280" s="561">
        <v>15</v>
      </c>
      <c r="U280" s="481">
        <v>5</v>
      </c>
      <c r="V280" s="486">
        <v>5</v>
      </c>
      <c r="W280" s="482">
        <v>5</v>
      </c>
      <c r="X280" s="345" t="s">
        <v>2613</v>
      </c>
      <c r="Y280" s="345"/>
      <c r="Z280" s="345"/>
    </row>
    <row r="281" spans="1:26" ht="12.75">
      <c r="A281" s="345"/>
      <c r="B281" s="511" t="s">
        <v>854</v>
      </c>
      <c r="C281" s="481">
        <v>60</v>
      </c>
      <c r="D281" s="482" t="s">
        <v>103</v>
      </c>
      <c r="E281" s="496"/>
      <c r="F281" s="487"/>
      <c r="G281" s="648" t="s">
        <v>3038</v>
      </c>
      <c r="H281" s="561">
        <v>15</v>
      </c>
      <c r="I281" s="481">
        <v>5</v>
      </c>
      <c r="J281" s="486">
        <v>5</v>
      </c>
      <c r="K281" s="486">
        <v>5</v>
      </c>
      <c r="L281" s="561">
        <v>15</v>
      </c>
      <c r="M281" s="481">
        <v>5</v>
      </c>
      <c r="N281" s="486">
        <v>5</v>
      </c>
      <c r="O281" s="486">
        <v>5</v>
      </c>
      <c r="P281" s="561">
        <v>15</v>
      </c>
      <c r="Q281" s="481">
        <v>5</v>
      </c>
      <c r="R281" s="486">
        <v>5</v>
      </c>
      <c r="S281" s="486">
        <v>5</v>
      </c>
      <c r="T281" s="561">
        <v>15</v>
      </c>
      <c r="U281" s="481">
        <v>5</v>
      </c>
      <c r="V281" s="649">
        <v>5</v>
      </c>
      <c r="W281" s="650">
        <v>5</v>
      </c>
      <c r="X281" s="345" t="s">
        <v>2613</v>
      </c>
      <c r="Y281" s="345"/>
      <c r="Z281" s="345"/>
    </row>
    <row r="282" spans="1:26" ht="12.75">
      <c r="A282" s="345"/>
      <c r="B282" s="511" t="s">
        <v>857</v>
      </c>
      <c r="C282" s="481">
        <v>8</v>
      </c>
      <c r="D282" s="482" t="s">
        <v>103</v>
      </c>
      <c r="E282" s="499"/>
      <c r="F282" s="487"/>
      <c r="G282" s="648" t="s">
        <v>3038</v>
      </c>
      <c r="H282" s="561">
        <v>2</v>
      </c>
      <c r="I282" s="481">
        <v>1</v>
      </c>
      <c r="J282" s="486"/>
      <c r="K282" s="486">
        <v>1</v>
      </c>
      <c r="L282" s="561">
        <v>2</v>
      </c>
      <c r="M282" s="481">
        <v>1</v>
      </c>
      <c r="N282" s="486"/>
      <c r="O282" s="486">
        <v>1</v>
      </c>
      <c r="P282" s="561">
        <v>2</v>
      </c>
      <c r="Q282" s="481">
        <v>1</v>
      </c>
      <c r="R282" s="486"/>
      <c r="S282" s="486">
        <v>1</v>
      </c>
      <c r="T282" s="561">
        <v>2</v>
      </c>
      <c r="U282" s="481">
        <v>1</v>
      </c>
      <c r="V282" s="506"/>
      <c r="W282" s="651">
        <v>1</v>
      </c>
      <c r="X282" s="345" t="s">
        <v>2613</v>
      </c>
      <c r="Y282" s="345"/>
      <c r="Z282" s="345"/>
    </row>
    <row r="283" spans="1:26" ht="12.75">
      <c r="A283" s="345"/>
      <c r="B283" s="511" t="s">
        <v>859</v>
      </c>
      <c r="C283" s="481">
        <v>4</v>
      </c>
      <c r="D283" s="482" t="s">
        <v>103</v>
      </c>
      <c r="E283" s="499"/>
      <c r="F283" s="487"/>
      <c r="G283" s="648" t="s">
        <v>3038</v>
      </c>
      <c r="H283" s="561">
        <v>1</v>
      </c>
      <c r="I283" s="481">
        <v>1</v>
      </c>
      <c r="J283" s="486"/>
      <c r="K283" s="486"/>
      <c r="L283" s="561">
        <v>1</v>
      </c>
      <c r="M283" s="481">
        <v>1</v>
      </c>
      <c r="N283" s="486"/>
      <c r="O283" s="486"/>
      <c r="P283" s="561">
        <v>1</v>
      </c>
      <c r="Q283" s="481">
        <v>1</v>
      </c>
      <c r="R283" s="486"/>
      <c r="S283" s="486"/>
      <c r="T283" s="561">
        <v>1</v>
      </c>
      <c r="U283" s="481">
        <v>1</v>
      </c>
      <c r="V283" s="479"/>
      <c r="W283" s="485"/>
      <c r="X283" s="345" t="s">
        <v>2613</v>
      </c>
      <c r="Y283" s="345"/>
      <c r="Z283" s="345"/>
    </row>
    <row r="284" spans="1:26" ht="12.75">
      <c r="A284" s="345"/>
      <c r="B284" s="588" t="s">
        <v>3039</v>
      </c>
      <c r="C284" s="589">
        <v>1</v>
      </c>
      <c r="D284" s="550" t="s">
        <v>103</v>
      </c>
      <c r="E284" s="598">
        <v>1886</v>
      </c>
      <c r="F284" s="605">
        <v>1886</v>
      </c>
      <c r="G284" s="547" t="s">
        <v>342</v>
      </c>
      <c r="H284" s="652">
        <v>1</v>
      </c>
      <c r="I284" s="589">
        <v>1</v>
      </c>
      <c r="J284" s="592"/>
      <c r="K284" s="592"/>
      <c r="L284" s="653">
        <v>0</v>
      </c>
      <c r="M284" s="589"/>
      <c r="N284" s="592"/>
      <c r="O284" s="592"/>
      <c r="P284" s="653">
        <v>0</v>
      </c>
      <c r="Q284" s="589"/>
      <c r="R284" s="592"/>
      <c r="S284" s="592"/>
      <c r="T284" s="653">
        <v>0</v>
      </c>
      <c r="U284" s="547"/>
      <c r="V284" s="547"/>
      <c r="W284" s="547"/>
      <c r="X284" s="345" t="s">
        <v>109</v>
      </c>
      <c r="Y284" s="345"/>
      <c r="Z284" s="345"/>
    </row>
    <row r="285" spans="1:26" ht="12.75">
      <c r="A285" s="345"/>
      <c r="B285" s="594" t="s">
        <v>3040</v>
      </c>
      <c r="C285" s="589">
        <v>1</v>
      </c>
      <c r="D285" s="550" t="s">
        <v>118</v>
      </c>
      <c r="E285" s="598">
        <v>40000</v>
      </c>
      <c r="F285" s="598">
        <v>40000</v>
      </c>
      <c r="G285" s="543" t="s">
        <v>342</v>
      </c>
      <c r="H285" s="654">
        <v>1</v>
      </c>
      <c r="I285" s="589">
        <v>1</v>
      </c>
      <c r="J285" s="592"/>
      <c r="K285" s="592"/>
      <c r="L285" s="655">
        <v>0</v>
      </c>
      <c r="M285" s="589"/>
      <c r="N285" s="592"/>
      <c r="O285" s="592"/>
      <c r="P285" s="655">
        <v>0</v>
      </c>
      <c r="Q285" s="589"/>
      <c r="R285" s="592"/>
      <c r="S285" s="592"/>
      <c r="T285" s="655">
        <v>0</v>
      </c>
      <c r="U285" s="543"/>
      <c r="V285" s="543"/>
      <c r="W285" s="543"/>
      <c r="X285" s="345" t="s">
        <v>109</v>
      </c>
      <c r="Y285" s="345"/>
      <c r="Z285" s="345"/>
    </row>
    <row r="286" spans="1:26" ht="12.75">
      <c r="A286" s="345"/>
      <c r="B286" s="594" t="s">
        <v>234</v>
      </c>
      <c r="C286" s="589">
        <v>2</v>
      </c>
      <c r="D286" s="550" t="s">
        <v>103</v>
      </c>
      <c r="E286" s="528">
        <v>480</v>
      </c>
      <c r="F286" s="528">
        <v>960</v>
      </c>
      <c r="G286" s="543" t="s">
        <v>342</v>
      </c>
      <c r="H286" s="654">
        <v>1</v>
      </c>
      <c r="I286" s="589">
        <v>1</v>
      </c>
      <c r="J286" s="592"/>
      <c r="K286" s="592"/>
      <c r="L286" s="655">
        <v>0</v>
      </c>
      <c r="M286" s="589"/>
      <c r="N286" s="592"/>
      <c r="O286" s="592"/>
      <c r="P286" s="655">
        <v>1</v>
      </c>
      <c r="Q286" s="589">
        <v>1</v>
      </c>
      <c r="R286" s="592"/>
      <c r="S286" s="592"/>
      <c r="T286" s="655">
        <v>0</v>
      </c>
      <c r="U286" s="543"/>
      <c r="V286" s="543"/>
      <c r="W286" s="543"/>
      <c r="X286" s="345" t="s">
        <v>109</v>
      </c>
      <c r="Y286" s="345"/>
      <c r="Z286" s="345"/>
    </row>
    <row r="287" spans="1:26" ht="12.75">
      <c r="A287" s="345"/>
      <c r="B287" s="594" t="s">
        <v>239</v>
      </c>
      <c r="C287" s="589">
        <v>2</v>
      </c>
      <c r="D287" s="550" t="s">
        <v>103</v>
      </c>
      <c r="E287" s="528">
        <v>380</v>
      </c>
      <c r="F287" s="595">
        <v>760</v>
      </c>
      <c r="G287" s="543" t="s">
        <v>342</v>
      </c>
      <c r="H287" s="654">
        <v>1</v>
      </c>
      <c r="I287" s="589">
        <v>1</v>
      </c>
      <c r="J287" s="592"/>
      <c r="K287" s="592"/>
      <c r="L287" s="655">
        <v>0</v>
      </c>
      <c r="M287" s="589"/>
      <c r="N287" s="592"/>
      <c r="O287" s="592"/>
      <c r="P287" s="655">
        <v>1</v>
      </c>
      <c r="Q287" s="589">
        <v>1</v>
      </c>
      <c r="R287" s="592"/>
      <c r="S287" s="592"/>
      <c r="T287" s="655">
        <v>0</v>
      </c>
      <c r="U287" s="543"/>
      <c r="V287" s="543"/>
      <c r="W287" s="543"/>
      <c r="X287" s="345" t="s">
        <v>109</v>
      </c>
      <c r="Y287" s="345"/>
      <c r="Z287" s="345"/>
    </row>
    <row r="288" spans="1:26" ht="12.75">
      <c r="A288" s="345"/>
      <c r="B288" s="594" t="s">
        <v>493</v>
      </c>
      <c r="C288" s="589">
        <v>1</v>
      </c>
      <c r="D288" s="550" t="s">
        <v>466</v>
      </c>
      <c r="E288" s="606">
        <v>10000</v>
      </c>
      <c r="F288" s="606">
        <v>7000</v>
      </c>
      <c r="G288" s="543" t="s">
        <v>342</v>
      </c>
      <c r="H288" s="654">
        <v>1</v>
      </c>
      <c r="I288" s="589">
        <v>1</v>
      </c>
      <c r="J288" s="592"/>
      <c r="K288" s="592"/>
      <c r="L288" s="655">
        <v>0</v>
      </c>
      <c r="M288" s="589"/>
      <c r="N288" s="592"/>
      <c r="O288" s="592"/>
      <c r="P288" s="655">
        <v>0</v>
      </c>
      <c r="Q288" s="589"/>
      <c r="R288" s="592"/>
      <c r="S288" s="592"/>
      <c r="T288" s="655">
        <v>0</v>
      </c>
      <c r="U288" s="543"/>
      <c r="V288" s="543"/>
      <c r="W288" s="543"/>
      <c r="X288" s="345" t="s">
        <v>109</v>
      </c>
      <c r="Y288" s="345"/>
      <c r="Z288" s="345"/>
    </row>
    <row r="289" spans="1:26" ht="12.75">
      <c r="A289" s="345"/>
      <c r="B289" s="656" t="s">
        <v>836</v>
      </c>
      <c r="C289" s="592">
        <v>1</v>
      </c>
      <c r="D289" s="550" t="s">
        <v>103</v>
      </c>
      <c r="E289" s="657">
        <v>38100.97</v>
      </c>
      <c r="F289" s="658">
        <v>38100.97</v>
      </c>
      <c r="G289" s="659" t="s">
        <v>3038</v>
      </c>
      <c r="H289" s="655">
        <v>1</v>
      </c>
      <c r="I289" s="589">
        <v>1</v>
      </c>
      <c r="J289" s="592"/>
      <c r="K289" s="592"/>
      <c r="L289" s="655">
        <v>0</v>
      </c>
      <c r="M289" s="589"/>
      <c r="N289" s="592"/>
      <c r="O289" s="592"/>
      <c r="P289" s="655">
        <v>0</v>
      </c>
      <c r="Q289" s="589"/>
      <c r="R289" s="592"/>
      <c r="S289" s="592"/>
      <c r="T289" s="655">
        <v>0</v>
      </c>
      <c r="U289" s="543"/>
      <c r="V289" s="543"/>
      <c r="W289" s="543"/>
      <c r="X289" s="345" t="s">
        <v>109</v>
      </c>
      <c r="Y289" s="345"/>
      <c r="Z289" s="345"/>
    </row>
    <row r="290" spans="1:26" ht="12.75">
      <c r="A290" s="345"/>
      <c r="B290" s="660" t="s">
        <v>483</v>
      </c>
      <c r="C290" s="592">
        <v>1</v>
      </c>
      <c r="D290" s="550" t="s">
        <v>103</v>
      </c>
      <c r="E290" s="661">
        <v>2500</v>
      </c>
      <c r="F290" s="658">
        <v>2500</v>
      </c>
      <c r="G290" s="630" t="s">
        <v>3038</v>
      </c>
      <c r="H290" s="655">
        <v>1</v>
      </c>
      <c r="I290" s="589">
        <v>1</v>
      </c>
      <c r="J290" s="592"/>
      <c r="K290" s="592"/>
      <c r="L290" s="655">
        <v>0</v>
      </c>
      <c r="M290" s="589"/>
      <c r="N290" s="592"/>
      <c r="O290" s="592"/>
      <c r="P290" s="655">
        <v>0</v>
      </c>
      <c r="Q290" s="589"/>
      <c r="R290" s="592"/>
      <c r="S290" s="592"/>
      <c r="T290" s="655">
        <v>0</v>
      </c>
      <c r="U290" s="543"/>
      <c r="V290" s="543"/>
      <c r="W290" s="543"/>
      <c r="X290" s="345" t="s">
        <v>109</v>
      </c>
      <c r="Y290" s="345"/>
      <c r="Z290" s="345"/>
    </row>
    <row r="291" spans="1:26" ht="12.75">
      <c r="A291" s="345"/>
      <c r="B291" s="660" t="s">
        <v>817</v>
      </c>
      <c r="C291" s="592">
        <v>1</v>
      </c>
      <c r="D291" s="550" t="s">
        <v>103</v>
      </c>
      <c r="E291" s="661">
        <v>2500</v>
      </c>
      <c r="F291" s="658">
        <v>2500</v>
      </c>
      <c r="G291" s="630" t="s">
        <v>3038</v>
      </c>
      <c r="H291" s="655">
        <v>1</v>
      </c>
      <c r="I291" s="589">
        <v>1</v>
      </c>
      <c r="J291" s="592"/>
      <c r="K291" s="592"/>
      <c r="L291" s="655">
        <v>0</v>
      </c>
      <c r="M291" s="589"/>
      <c r="N291" s="592"/>
      <c r="O291" s="592"/>
      <c r="P291" s="655">
        <v>0</v>
      </c>
      <c r="Q291" s="589"/>
      <c r="R291" s="592"/>
      <c r="S291" s="592"/>
      <c r="T291" s="655">
        <v>0</v>
      </c>
      <c r="U291" s="543"/>
      <c r="V291" s="543"/>
      <c r="W291" s="543"/>
      <c r="X291" s="345" t="s">
        <v>109</v>
      </c>
      <c r="Y291" s="345"/>
      <c r="Z291" s="345"/>
    </row>
    <row r="292" spans="1:26" ht="12.75">
      <c r="A292" s="345"/>
      <c r="B292" s="497" t="s">
        <v>454</v>
      </c>
      <c r="C292" s="496">
        <v>36</v>
      </c>
      <c r="D292" s="496" t="s">
        <v>103</v>
      </c>
      <c r="E292" s="499">
        <v>140.5</v>
      </c>
      <c r="F292" s="496">
        <v>5058</v>
      </c>
      <c r="G292" s="662" t="s">
        <v>342</v>
      </c>
      <c r="H292" s="654">
        <v>9</v>
      </c>
      <c r="I292" s="615">
        <v>3</v>
      </c>
      <c r="J292" s="485">
        <v>3</v>
      </c>
      <c r="K292" s="485">
        <v>3</v>
      </c>
      <c r="L292" s="564">
        <v>9</v>
      </c>
      <c r="M292" s="616">
        <v>3</v>
      </c>
      <c r="N292" s="485">
        <v>3</v>
      </c>
      <c r="O292" s="485">
        <v>3</v>
      </c>
      <c r="P292" s="564">
        <v>9</v>
      </c>
      <c r="Q292" s="616">
        <v>3</v>
      </c>
      <c r="R292" s="485">
        <v>3</v>
      </c>
      <c r="S292" s="485">
        <v>3</v>
      </c>
      <c r="T292" s="564">
        <v>3</v>
      </c>
      <c r="U292" s="616">
        <v>9</v>
      </c>
      <c r="V292" s="485">
        <v>3</v>
      </c>
      <c r="W292" s="485">
        <v>3</v>
      </c>
      <c r="X292" s="345" t="s">
        <v>109</v>
      </c>
      <c r="Y292" s="345"/>
      <c r="Z292" s="345"/>
    </row>
    <row r="293" spans="1:26" ht="12.75">
      <c r="A293" s="345"/>
      <c r="B293" s="511" t="s">
        <v>3041</v>
      </c>
      <c r="C293" s="663">
        <v>8</v>
      </c>
      <c r="D293" s="664" t="s">
        <v>103</v>
      </c>
      <c r="E293" s="499">
        <v>300</v>
      </c>
      <c r="F293" s="665">
        <v>2400</v>
      </c>
      <c r="G293" s="659" t="s">
        <v>3038</v>
      </c>
      <c r="H293" s="655">
        <v>2</v>
      </c>
      <c r="I293" s="589">
        <v>1</v>
      </c>
      <c r="J293" s="592"/>
      <c r="K293" s="592">
        <v>1</v>
      </c>
      <c r="L293" s="653">
        <v>2</v>
      </c>
      <c r="M293" s="589">
        <v>1</v>
      </c>
      <c r="N293" s="592"/>
      <c r="O293" s="592">
        <v>1</v>
      </c>
      <c r="P293" s="653">
        <v>2</v>
      </c>
      <c r="Q293" s="589">
        <v>1</v>
      </c>
      <c r="R293" s="592"/>
      <c r="S293" s="592">
        <v>1</v>
      </c>
      <c r="T293" s="653">
        <v>2</v>
      </c>
      <c r="U293" s="589">
        <v>1</v>
      </c>
      <c r="V293" s="592"/>
      <c r="W293" s="550">
        <v>1</v>
      </c>
      <c r="X293" s="345" t="s">
        <v>109</v>
      </c>
      <c r="Y293" s="345"/>
      <c r="Z293" s="345"/>
    </row>
    <row r="294" spans="1:26" ht="12.75">
      <c r="A294" s="345"/>
      <c r="B294" s="511" t="s">
        <v>3042</v>
      </c>
      <c r="C294" s="666">
        <v>8</v>
      </c>
      <c r="D294" s="664" t="s">
        <v>103</v>
      </c>
      <c r="E294" s="499">
        <v>300</v>
      </c>
      <c r="F294" s="579">
        <v>2400</v>
      </c>
      <c r="G294" s="630" t="s">
        <v>3038</v>
      </c>
      <c r="H294" s="655">
        <v>2</v>
      </c>
      <c r="I294" s="589">
        <v>1</v>
      </c>
      <c r="J294" s="592"/>
      <c r="K294" s="592">
        <v>1</v>
      </c>
      <c r="L294" s="655">
        <v>2</v>
      </c>
      <c r="M294" s="589">
        <v>1</v>
      </c>
      <c r="N294" s="592"/>
      <c r="O294" s="592">
        <v>1</v>
      </c>
      <c r="P294" s="655">
        <v>2</v>
      </c>
      <c r="Q294" s="589">
        <v>1</v>
      </c>
      <c r="R294" s="592"/>
      <c r="S294" s="592">
        <v>1</v>
      </c>
      <c r="T294" s="655">
        <v>2</v>
      </c>
      <c r="U294" s="589">
        <v>1</v>
      </c>
      <c r="V294" s="592"/>
      <c r="W294" s="550">
        <v>1</v>
      </c>
      <c r="X294" s="345" t="s">
        <v>109</v>
      </c>
      <c r="Y294" s="345"/>
      <c r="Z294" s="345"/>
    </row>
    <row r="295" spans="1:26" ht="12.75">
      <c r="A295" s="345"/>
      <c r="B295" s="511" t="s">
        <v>3043</v>
      </c>
      <c r="C295" s="666">
        <v>8</v>
      </c>
      <c r="D295" s="664" t="s">
        <v>103</v>
      </c>
      <c r="E295" s="499">
        <v>300</v>
      </c>
      <c r="F295" s="579">
        <v>2400</v>
      </c>
      <c r="G295" s="630" t="s">
        <v>3038</v>
      </c>
      <c r="H295" s="655">
        <v>2</v>
      </c>
      <c r="I295" s="589">
        <v>1</v>
      </c>
      <c r="J295" s="592"/>
      <c r="K295" s="592">
        <v>1</v>
      </c>
      <c r="L295" s="655">
        <v>2</v>
      </c>
      <c r="M295" s="589">
        <v>1</v>
      </c>
      <c r="N295" s="592"/>
      <c r="O295" s="592">
        <v>1</v>
      </c>
      <c r="P295" s="655">
        <v>2</v>
      </c>
      <c r="Q295" s="589">
        <v>1</v>
      </c>
      <c r="R295" s="592"/>
      <c r="S295" s="592">
        <v>1</v>
      </c>
      <c r="T295" s="655">
        <v>2</v>
      </c>
      <c r="U295" s="589">
        <v>1</v>
      </c>
      <c r="V295" s="592"/>
      <c r="W295" s="550">
        <v>1</v>
      </c>
      <c r="X295" s="345" t="s">
        <v>109</v>
      </c>
      <c r="Y295" s="345"/>
      <c r="Z295" s="345"/>
    </row>
    <row r="296" spans="1:26" ht="12.75">
      <c r="A296" s="345"/>
      <c r="B296" s="511" t="s">
        <v>3044</v>
      </c>
      <c r="C296" s="666">
        <v>8</v>
      </c>
      <c r="D296" s="664" t="s">
        <v>103</v>
      </c>
      <c r="E296" s="499">
        <v>300</v>
      </c>
      <c r="F296" s="579">
        <v>2400</v>
      </c>
      <c r="G296" s="630" t="s">
        <v>3038</v>
      </c>
      <c r="H296" s="655">
        <v>2</v>
      </c>
      <c r="I296" s="589">
        <v>1</v>
      </c>
      <c r="J296" s="592"/>
      <c r="K296" s="592">
        <v>1</v>
      </c>
      <c r="L296" s="655">
        <v>2</v>
      </c>
      <c r="M296" s="589">
        <v>1</v>
      </c>
      <c r="N296" s="592"/>
      <c r="O296" s="592">
        <v>1</v>
      </c>
      <c r="P296" s="655">
        <v>2</v>
      </c>
      <c r="Q296" s="589">
        <v>1</v>
      </c>
      <c r="R296" s="592"/>
      <c r="S296" s="592">
        <v>1</v>
      </c>
      <c r="T296" s="655">
        <v>2</v>
      </c>
      <c r="U296" s="589">
        <v>1</v>
      </c>
      <c r="V296" s="592"/>
      <c r="W296" s="550">
        <v>1</v>
      </c>
      <c r="X296" s="345" t="s">
        <v>109</v>
      </c>
      <c r="Y296" s="345"/>
      <c r="Z296" s="345"/>
    </row>
    <row r="297" spans="1:26" ht="12.75">
      <c r="A297" s="345"/>
      <c r="B297" s="594" t="s">
        <v>568</v>
      </c>
      <c r="C297" s="589">
        <v>5</v>
      </c>
      <c r="D297" s="550" t="s">
        <v>103</v>
      </c>
      <c r="E297" s="657">
        <v>2500</v>
      </c>
      <c r="F297" s="658">
        <v>12500</v>
      </c>
      <c r="G297" s="630" t="s">
        <v>3038</v>
      </c>
      <c r="H297" s="655">
        <v>5</v>
      </c>
      <c r="I297" s="589">
        <v>5</v>
      </c>
      <c r="J297" s="592"/>
      <c r="K297" s="592"/>
      <c r="L297" s="655">
        <v>0</v>
      </c>
      <c r="M297" s="589"/>
      <c r="N297" s="592"/>
      <c r="O297" s="592"/>
      <c r="P297" s="655">
        <v>0</v>
      </c>
      <c r="Q297" s="589"/>
      <c r="R297" s="592"/>
      <c r="S297" s="592"/>
      <c r="T297" s="655">
        <v>0</v>
      </c>
      <c r="U297" s="543"/>
      <c r="V297" s="543"/>
      <c r="W297" s="543"/>
      <c r="X297" s="345" t="s">
        <v>109</v>
      </c>
      <c r="Y297" s="345"/>
      <c r="Z297" s="345"/>
    </row>
    <row r="298" spans="1:26" ht="12.75">
      <c r="A298" s="345"/>
      <c r="B298" s="494" t="s">
        <v>817</v>
      </c>
      <c r="C298" s="152">
        <v>1</v>
      </c>
      <c r="D298" s="177" t="s">
        <v>895</v>
      </c>
      <c r="E298" s="177"/>
      <c r="F298" s="177">
        <v>18.36</v>
      </c>
      <c r="G298" s="151" t="s">
        <v>342</v>
      </c>
      <c r="H298" s="564">
        <v>1</v>
      </c>
      <c r="I298" s="481">
        <v>1</v>
      </c>
      <c r="J298" s="486"/>
      <c r="K298" s="486"/>
      <c r="L298" s="647">
        <v>0</v>
      </c>
      <c r="M298" s="481"/>
      <c r="N298" s="486"/>
      <c r="O298" s="486"/>
      <c r="P298" s="647">
        <v>0</v>
      </c>
      <c r="Q298" s="481"/>
      <c r="R298" s="486"/>
      <c r="S298" s="486"/>
      <c r="T298" s="647">
        <v>0</v>
      </c>
      <c r="U298" s="485"/>
      <c r="V298" s="485"/>
      <c r="W298" s="485"/>
      <c r="X298" s="345" t="s">
        <v>3045</v>
      </c>
      <c r="Y298" s="345"/>
      <c r="Z298" s="345"/>
    </row>
    <row r="299" spans="1:26" ht="12.75">
      <c r="A299" s="345"/>
      <c r="B299" s="511" t="s">
        <v>234</v>
      </c>
      <c r="C299" s="172">
        <v>2</v>
      </c>
      <c r="D299" s="181" t="s">
        <v>895</v>
      </c>
      <c r="E299" s="181"/>
      <c r="F299" s="181">
        <v>18.36</v>
      </c>
      <c r="G299" s="189" t="s">
        <v>342</v>
      </c>
      <c r="H299" s="562">
        <v>1</v>
      </c>
      <c r="I299" s="481">
        <v>1</v>
      </c>
      <c r="J299" s="486"/>
      <c r="K299" s="486"/>
      <c r="L299" s="561">
        <v>0</v>
      </c>
      <c r="M299" s="481"/>
      <c r="N299" s="486"/>
      <c r="O299" s="486"/>
      <c r="P299" s="561">
        <v>1</v>
      </c>
      <c r="Q299" s="481">
        <v>1</v>
      </c>
      <c r="R299" s="486"/>
      <c r="S299" s="486"/>
      <c r="T299" s="561">
        <v>0</v>
      </c>
      <c r="U299" s="483"/>
      <c r="V299" s="483"/>
      <c r="W299" s="483"/>
      <c r="X299" s="345" t="s">
        <v>3045</v>
      </c>
      <c r="Y299" s="345"/>
      <c r="Z299" s="345"/>
    </row>
    <row r="300" spans="1:26" ht="12.75">
      <c r="A300" s="345"/>
      <c r="B300" s="494" t="s">
        <v>239</v>
      </c>
      <c r="C300" s="181">
        <v>2</v>
      </c>
      <c r="D300" s="181" t="s">
        <v>895</v>
      </c>
      <c r="E300" s="181"/>
      <c r="F300" s="181">
        <v>18.36</v>
      </c>
      <c r="G300" s="189" t="s">
        <v>342</v>
      </c>
      <c r="H300" s="562">
        <v>1</v>
      </c>
      <c r="I300" s="481">
        <v>1</v>
      </c>
      <c r="J300" s="486"/>
      <c r="K300" s="486"/>
      <c r="L300" s="561">
        <v>0</v>
      </c>
      <c r="M300" s="481"/>
      <c r="N300" s="486"/>
      <c r="O300" s="486"/>
      <c r="P300" s="561">
        <v>1</v>
      </c>
      <c r="Q300" s="481">
        <v>1</v>
      </c>
      <c r="R300" s="486"/>
      <c r="S300" s="486"/>
      <c r="T300" s="561">
        <v>0</v>
      </c>
      <c r="U300" s="483"/>
      <c r="V300" s="483"/>
      <c r="W300" s="483"/>
      <c r="X300" s="345" t="s">
        <v>3045</v>
      </c>
      <c r="Y300" s="345"/>
      <c r="Z300" s="345"/>
    </row>
    <row r="301" spans="1:26" ht="12.75">
      <c r="A301" s="345"/>
      <c r="B301" s="494" t="s">
        <v>896</v>
      </c>
      <c r="C301" s="172">
        <v>1</v>
      </c>
      <c r="D301" s="181" t="s">
        <v>895</v>
      </c>
      <c r="E301" s="181"/>
      <c r="F301" s="181">
        <v>18.36</v>
      </c>
      <c r="G301" s="189" t="s">
        <v>342</v>
      </c>
      <c r="H301" s="562">
        <v>1</v>
      </c>
      <c r="I301" s="481">
        <v>1</v>
      </c>
      <c r="J301" s="486"/>
      <c r="K301" s="486"/>
      <c r="L301" s="561">
        <v>0</v>
      </c>
      <c r="M301" s="481"/>
      <c r="N301" s="486"/>
      <c r="O301" s="486"/>
      <c r="P301" s="561">
        <v>0</v>
      </c>
      <c r="Q301" s="481"/>
      <c r="R301" s="486"/>
      <c r="S301" s="486"/>
      <c r="T301" s="561">
        <v>0</v>
      </c>
      <c r="U301" s="483"/>
      <c r="V301" s="483"/>
      <c r="W301" s="483"/>
      <c r="X301" s="345" t="s">
        <v>3045</v>
      </c>
      <c r="Y301" s="345"/>
      <c r="Z301" s="345"/>
    </row>
    <row r="302" spans="1:26" ht="12.75">
      <c r="A302" s="345"/>
      <c r="B302" s="667" t="s">
        <v>897</v>
      </c>
      <c r="C302" s="181">
        <v>48</v>
      </c>
      <c r="D302" s="181" t="s">
        <v>895</v>
      </c>
      <c r="E302" s="181"/>
      <c r="F302" s="181">
        <v>20.48</v>
      </c>
      <c r="G302" s="189" t="s">
        <v>342</v>
      </c>
      <c r="H302" s="647">
        <v>12</v>
      </c>
      <c r="I302" s="616">
        <v>4</v>
      </c>
      <c r="J302" s="616">
        <v>4</v>
      </c>
      <c r="K302" s="616">
        <v>4</v>
      </c>
      <c r="L302" s="564">
        <v>12</v>
      </c>
      <c r="M302" s="616">
        <v>4</v>
      </c>
      <c r="N302" s="616">
        <v>4</v>
      </c>
      <c r="O302" s="616">
        <v>4</v>
      </c>
      <c r="P302" s="564">
        <v>12</v>
      </c>
      <c r="Q302" s="616">
        <v>4</v>
      </c>
      <c r="R302" s="616">
        <v>4</v>
      </c>
      <c r="S302" s="616">
        <v>4</v>
      </c>
      <c r="T302" s="564">
        <v>12</v>
      </c>
      <c r="U302" s="616">
        <v>4</v>
      </c>
      <c r="V302" s="616">
        <v>4</v>
      </c>
      <c r="W302" s="613">
        <v>4</v>
      </c>
      <c r="X302" s="345" t="s">
        <v>3045</v>
      </c>
      <c r="Y302" s="345"/>
      <c r="Z302" s="345"/>
    </row>
    <row r="303" spans="1:26" ht="12.75">
      <c r="A303" s="345"/>
      <c r="B303" s="668" t="s">
        <v>898</v>
      </c>
      <c r="C303" s="181">
        <v>12</v>
      </c>
      <c r="D303" s="181" t="s">
        <v>92</v>
      </c>
      <c r="E303" s="181"/>
      <c r="F303" s="181" t="s">
        <v>3046</v>
      </c>
      <c r="G303" s="189" t="s">
        <v>342</v>
      </c>
      <c r="H303" s="561">
        <v>3</v>
      </c>
      <c r="I303" s="610">
        <v>1</v>
      </c>
      <c r="J303" s="610">
        <v>1</v>
      </c>
      <c r="K303" s="610">
        <v>1</v>
      </c>
      <c r="L303" s="562">
        <v>3</v>
      </c>
      <c r="M303" s="610">
        <v>1</v>
      </c>
      <c r="N303" s="610">
        <v>1</v>
      </c>
      <c r="O303" s="610">
        <v>1</v>
      </c>
      <c r="P303" s="562">
        <v>3</v>
      </c>
      <c r="Q303" s="610">
        <v>1</v>
      </c>
      <c r="R303" s="610">
        <v>1</v>
      </c>
      <c r="S303" s="610">
        <v>1</v>
      </c>
      <c r="T303" s="562">
        <v>3</v>
      </c>
      <c r="U303" s="610">
        <v>1</v>
      </c>
      <c r="V303" s="610">
        <v>1</v>
      </c>
      <c r="W303" s="613">
        <v>1</v>
      </c>
      <c r="X303" s="345" t="s">
        <v>3045</v>
      </c>
      <c r="Y303" s="345"/>
      <c r="Z303" s="345"/>
    </row>
    <row r="304" spans="1:26" ht="12.75">
      <c r="A304" s="345"/>
      <c r="B304" s="668" t="s">
        <v>899</v>
      </c>
      <c r="C304" s="181">
        <v>12</v>
      </c>
      <c r="D304" s="181" t="s">
        <v>3047</v>
      </c>
      <c r="E304" s="181"/>
      <c r="F304" s="181" t="s">
        <v>3046</v>
      </c>
      <c r="G304" s="189" t="s">
        <v>342</v>
      </c>
      <c r="H304" s="561">
        <v>3</v>
      </c>
      <c r="I304" s="610">
        <v>1</v>
      </c>
      <c r="J304" s="610">
        <v>1</v>
      </c>
      <c r="K304" s="610">
        <v>1</v>
      </c>
      <c r="L304" s="562">
        <v>3</v>
      </c>
      <c r="M304" s="610">
        <v>1</v>
      </c>
      <c r="N304" s="610">
        <v>1</v>
      </c>
      <c r="O304" s="610">
        <v>1</v>
      </c>
      <c r="P304" s="562">
        <v>3</v>
      </c>
      <c r="Q304" s="610">
        <v>1</v>
      </c>
      <c r="R304" s="610">
        <v>1</v>
      </c>
      <c r="S304" s="610">
        <v>1</v>
      </c>
      <c r="T304" s="562">
        <v>3</v>
      </c>
      <c r="U304" s="610">
        <v>1</v>
      </c>
      <c r="V304" s="610">
        <v>1</v>
      </c>
      <c r="W304" s="613">
        <v>1</v>
      </c>
      <c r="X304" s="345" t="s">
        <v>3045</v>
      </c>
      <c r="Y304" s="345"/>
      <c r="Z304" s="345"/>
    </row>
    <row r="305" spans="1:26" ht="12.75">
      <c r="A305" s="345"/>
      <c r="B305" s="668" t="s">
        <v>900</v>
      </c>
      <c r="C305" s="181">
        <v>12</v>
      </c>
      <c r="D305" s="181" t="s">
        <v>3047</v>
      </c>
      <c r="E305" s="181"/>
      <c r="F305" s="181" t="s">
        <v>3046</v>
      </c>
      <c r="G305" s="189" t="s">
        <v>342</v>
      </c>
      <c r="H305" s="561">
        <v>3</v>
      </c>
      <c r="I305" s="610">
        <v>1</v>
      </c>
      <c r="J305" s="610">
        <v>1</v>
      </c>
      <c r="K305" s="610">
        <v>1</v>
      </c>
      <c r="L305" s="562">
        <v>3</v>
      </c>
      <c r="M305" s="610">
        <v>1</v>
      </c>
      <c r="N305" s="610">
        <v>1</v>
      </c>
      <c r="O305" s="610">
        <v>1</v>
      </c>
      <c r="P305" s="562">
        <v>3</v>
      </c>
      <c r="Q305" s="610">
        <v>1</v>
      </c>
      <c r="R305" s="610">
        <v>1</v>
      </c>
      <c r="S305" s="610">
        <v>1</v>
      </c>
      <c r="T305" s="562">
        <v>3</v>
      </c>
      <c r="U305" s="610">
        <v>1</v>
      </c>
      <c r="V305" s="610">
        <v>1</v>
      </c>
      <c r="W305" s="613">
        <v>1</v>
      </c>
      <c r="X305" s="345" t="s">
        <v>3045</v>
      </c>
      <c r="Y305" s="345"/>
      <c r="Z305" s="345"/>
    </row>
    <row r="306" spans="1:26" ht="12.75">
      <c r="A306" s="345"/>
      <c r="B306" s="188" t="s">
        <v>817</v>
      </c>
      <c r="C306" s="152">
        <v>1</v>
      </c>
      <c r="D306" s="177" t="s">
        <v>895</v>
      </c>
      <c r="E306" s="177"/>
      <c r="F306" s="177">
        <v>18.36</v>
      </c>
      <c r="G306" s="151" t="s">
        <v>342</v>
      </c>
      <c r="H306" s="669">
        <v>1</v>
      </c>
      <c r="I306" s="203">
        <v>1</v>
      </c>
      <c r="J306" s="197"/>
      <c r="K306" s="197"/>
      <c r="L306" s="670">
        <v>0</v>
      </c>
      <c r="M306" s="203"/>
      <c r="N306" s="197"/>
      <c r="O306" s="197"/>
      <c r="P306" s="670">
        <v>0</v>
      </c>
      <c r="Q306" s="203"/>
      <c r="R306" s="197"/>
      <c r="S306" s="197"/>
      <c r="T306" s="670">
        <v>0</v>
      </c>
      <c r="U306" s="198"/>
      <c r="V306" s="198"/>
      <c r="W306" s="198"/>
      <c r="X306" s="345" t="s">
        <v>2579</v>
      </c>
      <c r="Y306" s="345"/>
      <c r="Z306" s="345"/>
    </row>
    <row r="307" spans="1:26" ht="12.75">
      <c r="A307" s="345"/>
      <c r="B307" s="192" t="s">
        <v>234</v>
      </c>
      <c r="C307" s="172">
        <v>2</v>
      </c>
      <c r="D307" s="181" t="s">
        <v>895</v>
      </c>
      <c r="E307" s="181"/>
      <c r="F307" s="181">
        <v>18.36</v>
      </c>
      <c r="G307" s="189" t="s">
        <v>342</v>
      </c>
      <c r="H307" s="671">
        <v>1</v>
      </c>
      <c r="I307" s="203">
        <v>1</v>
      </c>
      <c r="J307" s="197"/>
      <c r="K307" s="197"/>
      <c r="L307" s="672">
        <v>0</v>
      </c>
      <c r="M307" s="203"/>
      <c r="N307" s="197"/>
      <c r="O307" s="197"/>
      <c r="P307" s="672">
        <v>1</v>
      </c>
      <c r="Q307" s="203">
        <v>1</v>
      </c>
      <c r="R307" s="197"/>
      <c r="S307" s="197"/>
      <c r="T307" s="672">
        <v>0</v>
      </c>
      <c r="U307" s="200"/>
      <c r="V307" s="200"/>
      <c r="W307" s="200"/>
      <c r="X307" s="345" t="s">
        <v>2579</v>
      </c>
      <c r="Y307" s="345"/>
      <c r="Z307" s="345"/>
    </row>
    <row r="308" spans="1:26" ht="12.75">
      <c r="A308" s="345"/>
      <c r="B308" s="188" t="s">
        <v>239</v>
      </c>
      <c r="C308" s="181">
        <v>2</v>
      </c>
      <c r="D308" s="181" t="s">
        <v>895</v>
      </c>
      <c r="E308" s="181"/>
      <c r="F308" s="181">
        <v>18.36</v>
      </c>
      <c r="G308" s="189" t="s">
        <v>342</v>
      </c>
      <c r="H308" s="671">
        <v>1</v>
      </c>
      <c r="I308" s="203">
        <v>1</v>
      </c>
      <c r="J308" s="197"/>
      <c r="K308" s="197"/>
      <c r="L308" s="672">
        <v>0</v>
      </c>
      <c r="M308" s="203"/>
      <c r="N308" s="197"/>
      <c r="O308" s="197"/>
      <c r="P308" s="672">
        <v>1</v>
      </c>
      <c r="Q308" s="203">
        <v>1</v>
      </c>
      <c r="R308" s="197"/>
      <c r="S308" s="197"/>
      <c r="T308" s="672">
        <v>0</v>
      </c>
      <c r="U308" s="200"/>
      <c r="V308" s="200"/>
      <c r="W308" s="200"/>
      <c r="X308" s="345" t="s">
        <v>2579</v>
      </c>
      <c r="Y308" s="345"/>
      <c r="Z308" s="345"/>
    </row>
    <row r="309" spans="1:26" ht="12.75">
      <c r="A309" s="345"/>
      <c r="B309" s="204" t="s">
        <v>3048</v>
      </c>
      <c r="C309" s="172">
        <v>1</v>
      </c>
      <c r="D309" s="181" t="s">
        <v>895</v>
      </c>
      <c r="E309" s="181"/>
      <c r="F309" s="181">
        <v>18.36</v>
      </c>
      <c r="G309" s="189" t="s">
        <v>342</v>
      </c>
      <c r="H309" s="671">
        <v>1</v>
      </c>
      <c r="I309" s="203">
        <v>1</v>
      </c>
      <c r="J309" s="197"/>
      <c r="K309" s="197"/>
      <c r="L309" s="672"/>
      <c r="M309" s="203"/>
      <c r="N309" s="197"/>
      <c r="O309" s="197"/>
      <c r="P309" s="672"/>
      <c r="Q309" s="203"/>
      <c r="R309" s="197"/>
      <c r="S309" s="197"/>
      <c r="T309" s="672"/>
      <c r="U309" s="200"/>
      <c r="V309" s="200"/>
      <c r="W309" s="200"/>
      <c r="X309" s="345" t="s">
        <v>2579</v>
      </c>
      <c r="Y309" s="345"/>
      <c r="Z309" s="345"/>
    </row>
    <row r="310" spans="1:26" ht="12.75">
      <c r="A310" s="345"/>
      <c r="B310" s="188" t="s">
        <v>896</v>
      </c>
      <c r="C310" s="172">
        <v>1</v>
      </c>
      <c r="D310" s="181" t="s">
        <v>895</v>
      </c>
      <c r="E310" s="181"/>
      <c r="F310" s="181">
        <v>20.48</v>
      </c>
      <c r="G310" s="189" t="s">
        <v>342</v>
      </c>
      <c r="H310" s="671">
        <v>1</v>
      </c>
      <c r="I310" s="203">
        <v>1</v>
      </c>
      <c r="J310" s="197"/>
      <c r="K310" s="197"/>
      <c r="L310" s="672">
        <v>0</v>
      </c>
      <c r="M310" s="203"/>
      <c r="N310" s="197"/>
      <c r="O310" s="197"/>
      <c r="P310" s="672">
        <v>0</v>
      </c>
      <c r="Q310" s="203"/>
      <c r="R310" s="197"/>
      <c r="S310" s="197"/>
      <c r="T310" s="672">
        <v>0</v>
      </c>
      <c r="U310" s="200"/>
      <c r="V310" s="200"/>
      <c r="W310" s="200"/>
      <c r="X310" s="345" t="s">
        <v>2579</v>
      </c>
      <c r="Y310" s="345"/>
      <c r="Z310" s="345"/>
    </row>
    <row r="311" spans="1:26" ht="12.75">
      <c r="A311" s="345"/>
      <c r="B311" s="673" t="s">
        <v>897</v>
      </c>
      <c r="C311" s="181">
        <v>48</v>
      </c>
      <c r="D311" s="181" t="s">
        <v>92</v>
      </c>
      <c r="E311" s="181"/>
      <c r="F311" s="181" t="s">
        <v>3046</v>
      </c>
      <c r="G311" s="189" t="s">
        <v>342</v>
      </c>
      <c r="H311" s="670">
        <v>12</v>
      </c>
      <c r="I311" s="621">
        <v>4</v>
      </c>
      <c r="J311" s="621">
        <v>4</v>
      </c>
      <c r="K311" s="621">
        <v>4</v>
      </c>
      <c r="L311" s="669">
        <v>12</v>
      </c>
      <c r="M311" s="621">
        <v>4</v>
      </c>
      <c r="N311" s="621">
        <v>4</v>
      </c>
      <c r="O311" s="621">
        <v>4</v>
      </c>
      <c r="P311" s="669">
        <v>12</v>
      </c>
      <c r="Q311" s="621">
        <v>4</v>
      </c>
      <c r="R311" s="621">
        <v>4</v>
      </c>
      <c r="S311" s="621">
        <v>4</v>
      </c>
      <c r="T311" s="669">
        <v>12</v>
      </c>
      <c r="U311" s="621">
        <v>4</v>
      </c>
      <c r="V311" s="621">
        <v>4</v>
      </c>
      <c r="W311" s="570">
        <v>4</v>
      </c>
      <c r="X311" s="345" t="s">
        <v>2579</v>
      </c>
      <c r="Y311" s="345"/>
      <c r="Z311" s="345"/>
    </row>
    <row r="312" spans="1:26" ht="12.75">
      <c r="A312" s="345"/>
      <c r="B312" s="674" t="s">
        <v>898</v>
      </c>
      <c r="C312" s="181">
        <v>12</v>
      </c>
      <c r="D312" s="181" t="s">
        <v>3047</v>
      </c>
      <c r="E312" s="181"/>
      <c r="F312" s="181" t="s">
        <v>3046</v>
      </c>
      <c r="G312" s="189" t="s">
        <v>342</v>
      </c>
      <c r="H312" s="672">
        <v>3</v>
      </c>
      <c r="I312" s="569">
        <v>1</v>
      </c>
      <c r="J312" s="569">
        <v>1</v>
      </c>
      <c r="K312" s="569">
        <v>1</v>
      </c>
      <c r="L312" s="671">
        <v>3</v>
      </c>
      <c r="M312" s="569">
        <v>1</v>
      </c>
      <c r="N312" s="569">
        <v>1</v>
      </c>
      <c r="O312" s="569">
        <v>1</v>
      </c>
      <c r="P312" s="671">
        <v>3</v>
      </c>
      <c r="Q312" s="569">
        <v>1</v>
      </c>
      <c r="R312" s="569">
        <v>1</v>
      </c>
      <c r="S312" s="569">
        <v>1</v>
      </c>
      <c r="T312" s="671">
        <v>3</v>
      </c>
      <c r="U312" s="569">
        <v>1</v>
      </c>
      <c r="V312" s="569">
        <v>1</v>
      </c>
      <c r="W312" s="570">
        <v>1</v>
      </c>
      <c r="X312" s="345" t="s">
        <v>2579</v>
      </c>
      <c r="Y312" s="345"/>
      <c r="Z312" s="345"/>
    </row>
    <row r="313" spans="1:26" ht="12.75">
      <c r="A313" s="345"/>
      <c r="B313" s="674" t="s">
        <v>899</v>
      </c>
      <c r="C313" s="181">
        <v>12</v>
      </c>
      <c r="D313" s="181" t="s">
        <v>3047</v>
      </c>
      <c r="E313" s="181"/>
      <c r="F313" s="181" t="s">
        <v>3046</v>
      </c>
      <c r="G313" s="189" t="s">
        <v>342</v>
      </c>
      <c r="H313" s="672">
        <v>3</v>
      </c>
      <c r="I313" s="569">
        <v>1</v>
      </c>
      <c r="J313" s="569">
        <v>1</v>
      </c>
      <c r="K313" s="569">
        <v>1</v>
      </c>
      <c r="L313" s="671">
        <v>3</v>
      </c>
      <c r="M313" s="569">
        <v>1</v>
      </c>
      <c r="N313" s="569">
        <v>1</v>
      </c>
      <c r="O313" s="569">
        <v>1</v>
      </c>
      <c r="P313" s="671">
        <v>3</v>
      </c>
      <c r="Q313" s="569">
        <v>1</v>
      </c>
      <c r="R313" s="569">
        <v>1</v>
      </c>
      <c r="S313" s="569">
        <v>1</v>
      </c>
      <c r="T313" s="671">
        <v>3</v>
      </c>
      <c r="U313" s="569">
        <v>1</v>
      </c>
      <c r="V313" s="569">
        <v>1</v>
      </c>
      <c r="W313" s="570">
        <v>1</v>
      </c>
      <c r="X313" s="345" t="s">
        <v>2579</v>
      </c>
      <c r="Y313" s="345"/>
      <c r="Z313" s="345"/>
    </row>
    <row r="314" spans="1:26" ht="12.75">
      <c r="A314" s="345"/>
      <c r="B314" s="674" t="s">
        <v>900</v>
      </c>
      <c r="C314" s="181">
        <v>12</v>
      </c>
      <c r="D314" s="181" t="s">
        <v>601</v>
      </c>
      <c r="E314" s="181"/>
      <c r="F314" s="181">
        <v>33.22</v>
      </c>
      <c r="G314" s="189" t="s">
        <v>342</v>
      </c>
      <c r="H314" s="672">
        <v>3</v>
      </c>
      <c r="I314" s="569">
        <v>1</v>
      </c>
      <c r="J314" s="569">
        <v>1</v>
      </c>
      <c r="K314" s="569">
        <v>1</v>
      </c>
      <c r="L314" s="671">
        <v>3</v>
      </c>
      <c r="M314" s="569">
        <v>1</v>
      </c>
      <c r="N314" s="569">
        <v>1</v>
      </c>
      <c r="O314" s="569">
        <v>1</v>
      </c>
      <c r="P314" s="671">
        <v>3</v>
      </c>
      <c r="Q314" s="569">
        <v>1</v>
      </c>
      <c r="R314" s="569">
        <v>1</v>
      </c>
      <c r="S314" s="569">
        <v>1</v>
      </c>
      <c r="T314" s="671">
        <v>3</v>
      </c>
      <c r="U314" s="569">
        <v>1</v>
      </c>
      <c r="V314" s="569">
        <v>1</v>
      </c>
      <c r="W314" s="570">
        <v>1</v>
      </c>
      <c r="X314" s="345" t="s">
        <v>2579</v>
      </c>
      <c r="Y314" s="345"/>
      <c r="Z314" s="345"/>
    </row>
    <row r="315" spans="1:26" ht="12.75">
      <c r="A315" s="345"/>
      <c r="B315" s="188" t="s">
        <v>234</v>
      </c>
      <c r="C315" s="181">
        <v>2</v>
      </c>
      <c r="D315" s="181" t="s">
        <v>895</v>
      </c>
      <c r="E315" s="181"/>
      <c r="F315" s="181">
        <v>18.36</v>
      </c>
      <c r="G315" s="198" t="s">
        <v>342</v>
      </c>
      <c r="H315" s="669">
        <v>1</v>
      </c>
      <c r="I315" s="203">
        <v>1</v>
      </c>
      <c r="J315" s="197"/>
      <c r="K315" s="197"/>
      <c r="L315" s="670">
        <v>0</v>
      </c>
      <c r="M315" s="203"/>
      <c r="N315" s="197"/>
      <c r="O315" s="197"/>
      <c r="P315" s="670">
        <v>1</v>
      </c>
      <c r="Q315" s="203">
        <v>1</v>
      </c>
      <c r="R315" s="197"/>
      <c r="S315" s="197"/>
      <c r="T315" s="670">
        <v>0</v>
      </c>
      <c r="U315" s="198"/>
      <c r="V315" s="198"/>
      <c r="W315" s="198"/>
      <c r="X315" s="345" t="s">
        <v>3049</v>
      </c>
      <c r="Y315" s="345"/>
      <c r="Z315" s="345"/>
    </row>
    <row r="316" spans="1:26" ht="12.75">
      <c r="A316" s="345"/>
      <c r="B316" s="192" t="s">
        <v>239</v>
      </c>
      <c r="C316" s="152">
        <v>2</v>
      </c>
      <c r="D316" s="177" t="s">
        <v>895</v>
      </c>
      <c r="E316" s="177"/>
      <c r="F316" s="177">
        <v>18.36</v>
      </c>
      <c r="G316" s="189" t="s">
        <v>342</v>
      </c>
      <c r="H316" s="671">
        <v>1</v>
      </c>
      <c r="I316" s="203">
        <v>1</v>
      </c>
      <c r="J316" s="197"/>
      <c r="K316" s="197"/>
      <c r="L316" s="672">
        <v>0</v>
      </c>
      <c r="M316" s="203"/>
      <c r="N316" s="197"/>
      <c r="O316" s="197"/>
      <c r="P316" s="672">
        <v>1</v>
      </c>
      <c r="Q316" s="203">
        <v>1</v>
      </c>
      <c r="R316" s="197"/>
      <c r="S316" s="197"/>
      <c r="T316" s="672">
        <v>0</v>
      </c>
      <c r="U316" s="200"/>
      <c r="V316" s="200"/>
      <c r="W316" s="200"/>
      <c r="X316" s="345" t="s">
        <v>3049</v>
      </c>
      <c r="Y316" s="345"/>
      <c r="Z316" s="345"/>
    </row>
    <row r="317" spans="1:26" ht="12.75">
      <c r="A317" s="345"/>
      <c r="B317" s="188" t="s">
        <v>817</v>
      </c>
      <c r="C317" s="181">
        <v>1</v>
      </c>
      <c r="D317" s="181" t="s">
        <v>895</v>
      </c>
      <c r="E317" s="181"/>
      <c r="F317" s="181">
        <v>18.36</v>
      </c>
      <c r="G317" s="189" t="s">
        <v>342</v>
      </c>
      <c r="H317" s="671">
        <v>1</v>
      </c>
      <c r="I317" s="203">
        <v>1</v>
      </c>
      <c r="J317" s="197"/>
      <c r="K317" s="197"/>
      <c r="L317" s="672">
        <v>0</v>
      </c>
      <c r="M317" s="203"/>
      <c r="N317" s="197"/>
      <c r="O317" s="197"/>
      <c r="P317" s="672">
        <v>0</v>
      </c>
      <c r="Q317" s="203"/>
      <c r="R317" s="197"/>
      <c r="S317" s="197"/>
      <c r="T317" s="672">
        <v>0</v>
      </c>
      <c r="U317" s="200"/>
      <c r="V317" s="200"/>
      <c r="W317" s="200"/>
      <c r="X317" s="345" t="s">
        <v>3049</v>
      </c>
      <c r="Y317" s="345"/>
      <c r="Z317" s="345"/>
    </row>
    <row r="318" spans="1:26" ht="12.75">
      <c r="A318" s="345"/>
      <c r="B318" s="188" t="s">
        <v>896</v>
      </c>
      <c r="C318" s="172">
        <v>1</v>
      </c>
      <c r="D318" s="181" t="s">
        <v>895</v>
      </c>
      <c r="E318" s="181"/>
      <c r="F318" s="181">
        <v>18.36</v>
      </c>
      <c r="G318" s="189" t="s">
        <v>342</v>
      </c>
      <c r="H318" s="671">
        <v>1</v>
      </c>
      <c r="I318" s="203">
        <v>1</v>
      </c>
      <c r="J318" s="197"/>
      <c r="K318" s="197"/>
      <c r="L318" s="672">
        <v>0</v>
      </c>
      <c r="M318" s="203"/>
      <c r="N318" s="197"/>
      <c r="O318" s="197"/>
      <c r="P318" s="672">
        <v>0</v>
      </c>
      <c r="Q318" s="203"/>
      <c r="R318" s="197"/>
      <c r="S318" s="197"/>
      <c r="T318" s="672">
        <v>0</v>
      </c>
      <c r="U318" s="200"/>
      <c r="V318" s="200"/>
      <c r="W318" s="200"/>
      <c r="X318" s="345" t="s">
        <v>3049</v>
      </c>
      <c r="Y318" s="345"/>
      <c r="Z318" s="345"/>
    </row>
    <row r="319" spans="1:26" ht="12.75">
      <c r="A319" s="345"/>
      <c r="B319" s="673" t="s">
        <v>897</v>
      </c>
      <c r="C319" s="181">
        <v>48</v>
      </c>
      <c r="D319" s="181" t="s">
        <v>895</v>
      </c>
      <c r="E319" s="181"/>
      <c r="F319" s="181">
        <v>20.48</v>
      </c>
      <c r="G319" s="189" t="s">
        <v>342</v>
      </c>
      <c r="H319" s="670">
        <v>12</v>
      </c>
      <c r="I319" s="621">
        <v>4</v>
      </c>
      <c r="J319" s="621">
        <v>4</v>
      </c>
      <c r="K319" s="621">
        <v>4</v>
      </c>
      <c r="L319" s="669">
        <v>12</v>
      </c>
      <c r="M319" s="621">
        <v>4</v>
      </c>
      <c r="N319" s="621">
        <v>4</v>
      </c>
      <c r="O319" s="621">
        <v>4</v>
      </c>
      <c r="P319" s="669">
        <v>12</v>
      </c>
      <c r="Q319" s="621">
        <v>4</v>
      </c>
      <c r="R319" s="621">
        <v>4</v>
      </c>
      <c r="S319" s="621">
        <v>4</v>
      </c>
      <c r="T319" s="669">
        <v>12</v>
      </c>
      <c r="U319" s="621">
        <v>4</v>
      </c>
      <c r="V319" s="621">
        <v>4</v>
      </c>
      <c r="W319" s="570">
        <v>4</v>
      </c>
      <c r="X319" s="345" t="s">
        <v>3049</v>
      </c>
      <c r="Y319" s="345"/>
      <c r="Z319" s="345"/>
    </row>
    <row r="320" spans="1:26" ht="12.75">
      <c r="A320" s="345"/>
      <c r="B320" s="674" t="s">
        <v>898</v>
      </c>
      <c r="C320" s="181">
        <v>12</v>
      </c>
      <c r="D320" s="181" t="s">
        <v>92</v>
      </c>
      <c r="E320" s="181"/>
      <c r="F320" s="181" t="s">
        <v>3046</v>
      </c>
      <c r="G320" s="189" t="s">
        <v>342</v>
      </c>
      <c r="H320" s="672">
        <v>3</v>
      </c>
      <c r="I320" s="569">
        <v>1</v>
      </c>
      <c r="J320" s="569">
        <v>1</v>
      </c>
      <c r="K320" s="569">
        <v>1</v>
      </c>
      <c r="L320" s="671">
        <v>3</v>
      </c>
      <c r="M320" s="569">
        <v>1</v>
      </c>
      <c r="N320" s="569">
        <v>1</v>
      </c>
      <c r="O320" s="569">
        <v>1</v>
      </c>
      <c r="P320" s="671">
        <v>3</v>
      </c>
      <c r="Q320" s="569">
        <v>1</v>
      </c>
      <c r="R320" s="569">
        <v>1</v>
      </c>
      <c r="S320" s="569">
        <v>1</v>
      </c>
      <c r="T320" s="671">
        <v>3</v>
      </c>
      <c r="U320" s="569">
        <v>1</v>
      </c>
      <c r="V320" s="569">
        <v>1</v>
      </c>
      <c r="W320" s="570">
        <v>1</v>
      </c>
      <c r="X320" s="345" t="s">
        <v>3049</v>
      </c>
      <c r="Y320" s="345"/>
      <c r="Z320" s="345"/>
    </row>
    <row r="321" spans="1:26" ht="12.75">
      <c r="A321" s="345"/>
      <c r="B321" s="674" t="s">
        <v>899</v>
      </c>
      <c r="C321" s="181">
        <v>12</v>
      </c>
      <c r="D321" s="181" t="s">
        <v>3047</v>
      </c>
      <c r="E321" s="181"/>
      <c r="F321" s="181" t="s">
        <v>3046</v>
      </c>
      <c r="G321" s="189" t="s">
        <v>342</v>
      </c>
      <c r="H321" s="672">
        <v>3</v>
      </c>
      <c r="I321" s="569">
        <v>1</v>
      </c>
      <c r="J321" s="569">
        <v>1</v>
      </c>
      <c r="K321" s="569">
        <v>1</v>
      </c>
      <c r="L321" s="671">
        <v>3</v>
      </c>
      <c r="M321" s="569">
        <v>1</v>
      </c>
      <c r="N321" s="569">
        <v>1</v>
      </c>
      <c r="O321" s="569">
        <v>1</v>
      </c>
      <c r="P321" s="671">
        <v>3</v>
      </c>
      <c r="Q321" s="569">
        <v>1</v>
      </c>
      <c r="R321" s="569">
        <v>1</v>
      </c>
      <c r="S321" s="569">
        <v>1</v>
      </c>
      <c r="T321" s="671">
        <v>3</v>
      </c>
      <c r="U321" s="569">
        <v>1</v>
      </c>
      <c r="V321" s="569">
        <v>1</v>
      </c>
      <c r="W321" s="570">
        <v>1</v>
      </c>
      <c r="X321" s="345" t="s">
        <v>3049</v>
      </c>
      <c r="Y321" s="345"/>
      <c r="Z321" s="345"/>
    </row>
    <row r="322" spans="1:26" ht="12.75">
      <c r="A322" s="345"/>
      <c r="B322" s="674" t="s">
        <v>900</v>
      </c>
      <c r="C322" s="181">
        <v>12</v>
      </c>
      <c r="D322" s="181" t="s">
        <v>3047</v>
      </c>
      <c r="E322" s="181"/>
      <c r="F322" s="181" t="s">
        <v>3046</v>
      </c>
      <c r="G322" s="189" t="s">
        <v>342</v>
      </c>
      <c r="H322" s="672">
        <v>3</v>
      </c>
      <c r="I322" s="569">
        <v>1</v>
      </c>
      <c r="J322" s="569">
        <v>1</v>
      </c>
      <c r="K322" s="569">
        <v>1</v>
      </c>
      <c r="L322" s="671">
        <v>3</v>
      </c>
      <c r="M322" s="569">
        <v>1</v>
      </c>
      <c r="N322" s="569">
        <v>1</v>
      </c>
      <c r="O322" s="569">
        <v>1</v>
      </c>
      <c r="P322" s="671">
        <v>3</v>
      </c>
      <c r="Q322" s="569">
        <v>1</v>
      </c>
      <c r="R322" s="569">
        <v>1</v>
      </c>
      <c r="S322" s="569">
        <v>1</v>
      </c>
      <c r="T322" s="671">
        <v>3</v>
      </c>
      <c r="U322" s="569">
        <v>1</v>
      </c>
      <c r="V322" s="569">
        <v>1</v>
      </c>
      <c r="W322" s="570">
        <v>1</v>
      </c>
      <c r="X322" s="345" t="s">
        <v>3049</v>
      </c>
      <c r="Y322" s="345"/>
      <c r="Z322" s="345"/>
    </row>
    <row r="323" spans="1:26" ht="12.75">
      <c r="A323" s="345"/>
      <c r="B323" s="188" t="s">
        <v>817</v>
      </c>
      <c r="C323" s="152">
        <v>1</v>
      </c>
      <c r="D323" s="177" t="s">
        <v>895</v>
      </c>
      <c r="E323" s="177"/>
      <c r="F323" s="177">
        <v>18.36</v>
      </c>
      <c r="G323" s="151" t="s">
        <v>342</v>
      </c>
      <c r="H323" s="669">
        <v>1</v>
      </c>
      <c r="I323" s="203">
        <v>1</v>
      </c>
      <c r="J323" s="197"/>
      <c r="K323" s="197"/>
      <c r="L323" s="670">
        <v>0</v>
      </c>
      <c r="M323" s="203"/>
      <c r="N323" s="197"/>
      <c r="O323" s="197"/>
      <c r="P323" s="670">
        <v>0</v>
      </c>
      <c r="Q323" s="203"/>
      <c r="R323" s="197"/>
      <c r="S323" s="197"/>
      <c r="T323" s="670">
        <v>0</v>
      </c>
      <c r="U323" s="198"/>
      <c r="V323" s="198"/>
      <c r="W323" s="198"/>
      <c r="X323" s="345" t="s">
        <v>3050</v>
      </c>
      <c r="Y323" s="345"/>
      <c r="Z323" s="345"/>
    </row>
    <row r="324" spans="1:26" ht="12.75">
      <c r="A324" s="345"/>
      <c r="B324" s="192" t="s">
        <v>234</v>
      </c>
      <c r="C324" s="172">
        <v>2</v>
      </c>
      <c r="D324" s="181" t="s">
        <v>895</v>
      </c>
      <c r="E324" s="181"/>
      <c r="F324" s="181">
        <v>18.36</v>
      </c>
      <c r="G324" s="189" t="s">
        <v>342</v>
      </c>
      <c r="H324" s="671">
        <v>1</v>
      </c>
      <c r="I324" s="203">
        <v>1</v>
      </c>
      <c r="J324" s="197"/>
      <c r="K324" s="197"/>
      <c r="L324" s="672">
        <v>0</v>
      </c>
      <c r="M324" s="203"/>
      <c r="N324" s="197"/>
      <c r="O324" s="197"/>
      <c r="P324" s="672">
        <v>1</v>
      </c>
      <c r="Q324" s="203">
        <v>1</v>
      </c>
      <c r="R324" s="197"/>
      <c r="S324" s="197"/>
      <c r="T324" s="672">
        <v>0</v>
      </c>
      <c r="U324" s="200"/>
      <c r="V324" s="200"/>
      <c r="W324" s="200"/>
      <c r="X324" s="345" t="s">
        <v>3050</v>
      </c>
      <c r="Y324" s="345"/>
      <c r="Z324" s="345"/>
    </row>
    <row r="325" spans="1:26" ht="12.75">
      <c r="A325" s="345"/>
      <c r="B325" s="188" t="s">
        <v>239</v>
      </c>
      <c r="C325" s="181">
        <v>2</v>
      </c>
      <c r="D325" s="181" t="s">
        <v>895</v>
      </c>
      <c r="E325" s="181"/>
      <c r="F325" s="181">
        <v>18.36</v>
      </c>
      <c r="G325" s="189" t="s">
        <v>342</v>
      </c>
      <c r="H325" s="671">
        <v>1</v>
      </c>
      <c r="I325" s="203">
        <v>1</v>
      </c>
      <c r="J325" s="197"/>
      <c r="K325" s="197"/>
      <c r="L325" s="672">
        <v>0</v>
      </c>
      <c r="M325" s="203"/>
      <c r="N325" s="197"/>
      <c r="O325" s="197"/>
      <c r="P325" s="672">
        <v>1</v>
      </c>
      <c r="Q325" s="203">
        <v>1</v>
      </c>
      <c r="R325" s="197"/>
      <c r="S325" s="197"/>
      <c r="T325" s="672">
        <v>0</v>
      </c>
      <c r="U325" s="200"/>
      <c r="V325" s="200"/>
      <c r="W325" s="200"/>
      <c r="X325" s="345" t="s">
        <v>3050</v>
      </c>
      <c r="Y325" s="345"/>
      <c r="Z325" s="345"/>
    </row>
    <row r="326" spans="1:26" ht="12.75">
      <c r="A326" s="345"/>
      <c r="B326" s="188" t="s">
        <v>896</v>
      </c>
      <c r="C326" s="172">
        <v>1</v>
      </c>
      <c r="D326" s="181" t="s">
        <v>895</v>
      </c>
      <c r="E326" s="181"/>
      <c r="F326" s="181">
        <v>18.36</v>
      </c>
      <c r="G326" s="189" t="s">
        <v>342</v>
      </c>
      <c r="H326" s="671">
        <v>1</v>
      </c>
      <c r="I326" s="203">
        <v>1</v>
      </c>
      <c r="J326" s="197"/>
      <c r="K326" s="197"/>
      <c r="L326" s="672">
        <v>0</v>
      </c>
      <c r="M326" s="203"/>
      <c r="N326" s="197"/>
      <c r="O326" s="197"/>
      <c r="P326" s="672">
        <v>0</v>
      </c>
      <c r="Q326" s="203"/>
      <c r="R326" s="197"/>
      <c r="S326" s="197"/>
      <c r="T326" s="672">
        <v>0</v>
      </c>
      <c r="U326" s="200"/>
      <c r="V326" s="200"/>
      <c r="W326" s="200"/>
      <c r="X326" s="345" t="s">
        <v>3050</v>
      </c>
      <c r="Y326" s="345"/>
      <c r="Z326" s="345"/>
    </row>
    <row r="327" spans="1:26" ht="12.75">
      <c r="A327" s="345"/>
      <c r="B327" s="673" t="s">
        <v>897</v>
      </c>
      <c r="C327" s="181">
        <v>48</v>
      </c>
      <c r="D327" s="181" t="s">
        <v>895</v>
      </c>
      <c r="E327" s="181"/>
      <c r="F327" s="181">
        <v>20.48</v>
      </c>
      <c r="G327" s="189" t="s">
        <v>342</v>
      </c>
      <c r="H327" s="670">
        <v>12</v>
      </c>
      <c r="I327" s="621">
        <v>4</v>
      </c>
      <c r="J327" s="621">
        <v>4</v>
      </c>
      <c r="K327" s="621">
        <v>4</v>
      </c>
      <c r="L327" s="669">
        <v>12</v>
      </c>
      <c r="M327" s="621">
        <v>4</v>
      </c>
      <c r="N327" s="621">
        <v>4</v>
      </c>
      <c r="O327" s="621">
        <v>4</v>
      </c>
      <c r="P327" s="669">
        <v>12</v>
      </c>
      <c r="Q327" s="621">
        <v>4</v>
      </c>
      <c r="R327" s="621">
        <v>4</v>
      </c>
      <c r="S327" s="621">
        <v>4</v>
      </c>
      <c r="T327" s="669">
        <v>12</v>
      </c>
      <c r="U327" s="621">
        <v>4</v>
      </c>
      <c r="V327" s="621">
        <v>4</v>
      </c>
      <c r="W327" s="570">
        <v>4</v>
      </c>
      <c r="X327" s="345" t="s">
        <v>3050</v>
      </c>
      <c r="Y327" s="345"/>
      <c r="Z327" s="345"/>
    </row>
    <row r="328" spans="1:26" ht="12.75">
      <c r="A328" s="345"/>
      <c r="B328" s="674" t="s">
        <v>898</v>
      </c>
      <c r="C328" s="181">
        <v>24</v>
      </c>
      <c r="D328" s="181" t="s">
        <v>92</v>
      </c>
      <c r="E328" s="181"/>
      <c r="F328" s="181" t="s">
        <v>3046</v>
      </c>
      <c r="G328" s="189" t="s">
        <v>342</v>
      </c>
      <c r="H328" s="672">
        <v>6</v>
      </c>
      <c r="I328" s="569">
        <v>2</v>
      </c>
      <c r="J328" s="569">
        <v>2</v>
      </c>
      <c r="K328" s="569">
        <v>2</v>
      </c>
      <c r="L328" s="671">
        <v>6</v>
      </c>
      <c r="M328" s="569">
        <v>2</v>
      </c>
      <c r="N328" s="569">
        <v>2</v>
      </c>
      <c r="O328" s="569">
        <v>2</v>
      </c>
      <c r="P328" s="671">
        <v>6</v>
      </c>
      <c r="Q328" s="569">
        <v>2</v>
      </c>
      <c r="R328" s="569">
        <v>2</v>
      </c>
      <c r="S328" s="569">
        <v>2</v>
      </c>
      <c r="T328" s="671">
        <v>6</v>
      </c>
      <c r="U328" s="569">
        <v>2</v>
      </c>
      <c r="V328" s="569">
        <v>2</v>
      </c>
      <c r="W328" s="570">
        <v>2</v>
      </c>
      <c r="X328" s="345" t="s">
        <v>3050</v>
      </c>
      <c r="Y328" s="345"/>
      <c r="Z328" s="345"/>
    </row>
    <row r="329" spans="1:26" ht="12.75">
      <c r="A329" s="345"/>
      <c r="B329" s="674" t="s">
        <v>899</v>
      </c>
      <c r="C329" s="181">
        <v>24</v>
      </c>
      <c r="D329" s="181" t="s">
        <v>3047</v>
      </c>
      <c r="E329" s="181"/>
      <c r="F329" s="181" t="s">
        <v>3046</v>
      </c>
      <c r="G329" s="189" t="s">
        <v>342</v>
      </c>
      <c r="H329" s="672">
        <v>6</v>
      </c>
      <c r="I329" s="569">
        <v>2</v>
      </c>
      <c r="J329" s="569">
        <v>2</v>
      </c>
      <c r="K329" s="569">
        <v>2</v>
      </c>
      <c r="L329" s="671">
        <v>6</v>
      </c>
      <c r="M329" s="569">
        <v>2</v>
      </c>
      <c r="N329" s="569">
        <v>2</v>
      </c>
      <c r="O329" s="569">
        <v>2</v>
      </c>
      <c r="P329" s="671">
        <v>6</v>
      </c>
      <c r="Q329" s="569">
        <v>2</v>
      </c>
      <c r="R329" s="569">
        <v>2</v>
      </c>
      <c r="S329" s="569">
        <v>2</v>
      </c>
      <c r="T329" s="671">
        <v>6</v>
      </c>
      <c r="U329" s="569">
        <v>2</v>
      </c>
      <c r="V329" s="569">
        <v>2</v>
      </c>
      <c r="W329" s="570">
        <v>2</v>
      </c>
      <c r="X329" s="345" t="s">
        <v>3050</v>
      </c>
      <c r="Y329" s="345"/>
      <c r="Z329" s="345"/>
    </row>
    <row r="330" spans="1:26" ht="12.75">
      <c r="A330" s="345"/>
      <c r="B330" s="674" t="s">
        <v>900</v>
      </c>
      <c r="C330" s="181">
        <v>24</v>
      </c>
      <c r="D330" s="181" t="s">
        <v>3047</v>
      </c>
      <c r="E330" s="181"/>
      <c r="F330" s="181" t="s">
        <v>3046</v>
      </c>
      <c r="G330" s="189" t="s">
        <v>342</v>
      </c>
      <c r="H330" s="672">
        <v>6</v>
      </c>
      <c r="I330" s="569">
        <v>2</v>
      </c>
      <c r="J330" s="569">
        <v>2</v>
      </c>
      <c r="K330" s="569">
        <v>2</v>
      </c>
      <c r="L330" s="671">
        <v>6</v>
      </c>
      <c r="M330" s="569">
        <v>2</v>
      </c>
      <c r="N330" s="569">
        <v>2</v>
      </c>
      <c r="O330" s="569">
        <v>2</v>
      </c>
      <c r="P330" s="671">
        <v>6</v>
      </c>
      <c r="Q330" s="569">
        <v>2</v>
      </c>
      <c r="R330" s="569">
        <v>2</v>
      </c>
      <c r="S330" s="569">
        <v>2</v>
      </c>
      <c r="T330" s="671">
        <v>6</v>
      </c>
      <c r="U330" s="569">
        <v>2</v>
      </c>
      <c r="V330" s="569">
        <v>2</v>
      </c>
      <c r="W330" s="570">
        <v>2</v>
      </c>
      <c r="X330" s="345" t="s">
        <v>3050</v>
      </c>
      <c r="Y330" s="345"/>
      <c r="Z330" s="345"/>
    </row>
    <row r="331" spans="1:26" ht="12.75">
      <c r="A331" s="345"/>
      <c r="B331" s="675" t="s">
        <v>873</v>
      </c>
      <c r="C331" s="616">
        <v>1</v>
      </c>
      <c r="D331" s="616" t="s">
        <v>103</v>
      </c>
      <c r="E331" s="616">
        <v>380</v>
      </c>
      <c r="F331" s="676">
        <v>380</v>
      </c>
      <c r="G331" s="485" t="s">
        <v>2973</v>
      </c>
      <c r="H331" s="564">
        <v>1</v>
      </c>
      <c r="I331" s="616">
        <v>1</v>
      </c>
      <c r="J331" s="677"/>
      <c r="K331" s="677"/>
      <c r="L331" s="564"/>
      <c r="M331" s="677"/>
      <c r="N331" s="677"/>
      <c r="O331" s="678"/>
      <c r="P331" s="564"/>
      <c r="Q331" s="501"/>
      <c r="R331" s="501"/>
      <c r="S331" s="501"/>
      <c r="T331" s="564"/>
      <c r="U331" s="501"/>
      <c r="V331" s="501"/>
      <c r="W331" s="679"/>
      <c r="X331" s="345" t="s">
        <v>2974</v>
      </c>
      <c r="Y331" s="345"/>
      <c r="Z331" s="345"/>
    </row>
    <row r="332" spans="1:26" ht="12.75">
      <c r="A332" s="345"/>
      <c r="B332" s="612" t="s">
        <v>874</v>
      </c>
      <c r="C332" s="610">
        <v>1</v>
      </c>
      <c r="D332" s="610" t="s">
        <v>103</v>
      </c>
      <c r="E332" s="610">
        <v>380</v>
      </c>
      <c r="F332" s="680">
        <v>380</v>
      </c>
      <c r="G332" s="483" t="s">
        <v>2973</v>
      </c>
      <c r="H332" s="562">
        <v>1</v>
      </c>
      <c r="I332" s="610">
        <v>1</v>
      </c>
      <c r="J332" s="677"/>
      <c r="K332" s="677"/>
      <c r="L332" s="562"/>
      <c r="M332" s="677"/>
      <c r="N332" s="677"/>
      <c r="O332" s="678"/>
      <c r="P332" s="562"/>
      <c r="Q332" s="501"/>
      <c r="R332" s="501"/>
      <c r="S332" s="501"/>
      <c r="T332" s="562"/>
      <c r="U332" s="501"/>
      <c r="V332" s="501"/>
      <c r="W332" s="679"/>
      <c r="X332" s="345" t="s">
        <v>2974</v>
      </c>
      <c r="Y332" s="345"/>
      <c r="Z332" s="345"/>
    </row>
    <row r="333" spans="1:26" ht="12.75">
      <c r="A333" s="345"/>
      <c r="B333" s="612" t="s">
        <v>877</v>
      </c>
      <c r="C333" s="610">
        <v>1</v>
      </c>
      <c r="D333" s="610" t="s">
        <v>103</v>
      </c>
      <c r="E333" s="610">
        <v>1000</v>
      </c>
      <c r="F333" s="681">
        <v>1000</v>
      </c>
      <c r="G333" s="483" t="s">
        <v>2973</v>
      </c>
      <c r="H333" s="562">
        <v>1</v>
      </c>
      <c r="I333" s="610">
        <v>1</v>
      </c>
      <c r="J333" s="677"/>
      <c r="K333" s="677"/>
      <c r="L333" s="562"/>
      <c r="M333" s="677"/>
      <c r="N333" s="677"/>
      <c r="O333" s="678"/>
      <c r="P333" s="562"/>
      <c r="Q333" s="678"/>
      <c r="R333" s="678"/>
      <c r="S333" s="677"/>
      <c r="T333" s="562"/>
      <c r="U333" s="678"/>
      <c r="V333" s="678"/>
      <c r="W333" s="679"/>
      <c r="X333" s="345" t="s">
        <v>2974</v>
      </c>
      <c r="Y333" s="345"/>
      <c r="Z333" s="345"/>
    </row>
    <row r="334" spans="1:26" ht="12.75">
      <c r="A334" s="345"/>
      <c r="B334" s="682" t="s">
        <v>879</v>
      </c>
      <c r="C334" s="543">
        <v>1</v>
      </c>
      <c r="D334" s="543" t="s">
        <v>103</v>
      </c>
      <c r="E334" s="606">
        <v>1000</v>
      </c>
      <c r="F334" s="681">
        <v>1000</v>
      </c>
      <c r="G334" s="483" t="s">
        <v>2973</v>
      </c>
      <c r="H334" s="654">
        <v>1</v>
      </c>
      <c r="I334" s="526">
        <v>1</v>
      </c>
      <c r="J334" s="610"/>
      <c r="K334" s="610"/>
      <c r="L334" s="562"/>
      <c r="M334" s="610"/>
      <c r="N334" s="610"/>
      <c r="O334" s="680"/>
      <c r="P334" s="562"/>
      <c r="Q334" s="680"/>
      <c r="R334" s="680"/>
      <c r="S334" s="610"/>
      <c r="T334" s="562"/>
      <c r="U334" s="680"/>
      <c r="V334" s="680"/>
      <c r="W334" s="554"/>
      <c r="X334" s="345" t="s">
        <v>2974</v>
      </c>
      <c r="Y334" s="345"/>
      <c r="Z334" s="345"/>
    </row>
    <row r="335" spans="1:26" ht="12.75">
      <c r="A335" s="345"/>
      <c r="B335" s="497" t="s">
        <v>2975</v>
      </c>
      <c r="C335" s="683">
        <v>24</v>
      </c>
      <c r="D335" s="684" t="s">
        <v>103</v>
      </c>
      <c r="E335" s="684">
        <v>200</v>
      </c>
      <c r="F335" s="685">
        <v>4800</v>
      </c>
      <c r="G335" s="684" t="s">
        <v>2976</v>
      </c>
      <c r="H335" s="686">
        <v>6</v>
      </c>
      <c r="I335" s="683">
        <v>2</v>
      </c>
      <c r="J335" s="683">
        <v>2</v>
      </c>
      <c r="K335" s="683">
        <v>2</v>
      </c>
      <c r="L335" s="686">
        <v>6</v>
      </c>
      <c r="M335" s="683">
        <v>2</v>
      </c>
      <c r="N335" s="683">
        <v>2</v>
      </c>
      <c r="O335" s="683">
        <v>2</v>
      </c>
      <c r="P335" s="686">
        <v>6</v>
      </c>
      <c r="Q335" s="683">
        <v>2</v>
      </c>
      <c r="R335" s="683">
        <v>2</v>
      </c>
      <c r="S335" s="683">
        <v>2</v>
      </c>
      <c r="T335" s="686">
        <v>6</v>
      </c>
      <c r="U335" s="684">
        <v>2</v>
      </c>
      <c r="V335" s="684">
        <v>2</v>
      </c>
      <c r="W335" s="684">
        <v>2</v>
      </c>
      <c r="X335" s="345" t="s">
        <v>2974</v>
      </c>
      <c r="Y335" s="345"/>
      <c r="Z335" s="345"/>
    </row>
    <row r="336" spans="1:26" ht="12.75">
      <c r="A336" s="345"/>
      <c r="B336" s="500" t="s">
        <v>2977</v>
      </c>
      <c r="C336" s="687">
        <v>24</v>
      </c>
      <c r="D336" s="684" t="s">
        <v>103</v>
      </c>
      <c r="E336" s="684">
        <v>200</v>
      </c>
      <c r="F336" s="685">
        <v>4800</v>
      </c>
      <c r="G336" s="688" t="s">
        <v>2976</v>
      </c>
      <c r="H336" s="689">
        <v>6</v>
      </c>
      <c r="I336" s="683">
        <v>2</v>
      </c>
      <c r="J336" s="683">
        <v>2</v>
      </c>
      <c r="K336" s="683">
        <v>2</v>
      </c>
      <c r="L336" s="686">
        <v>6</v>
      </c>
      <c r="M336" s="683">
        <v>2</v>
      </c>
      <c r="N336" s="683">
        <v>2</v>
      </c>
      <c r="O336" s="683">
        <v>2</v>
      </c>
      <c r="P336" s="686">
        <v>6</v>
      </c>
      <c r="Q336" s="683">
        <v>2</v>
      </c>
      <c r="R336" s="683">
        <v>2</v>
      </c>
      <c r="S336" s="683">
        <v>2</v>
      </c>
      <c r="T336" s="686">
        <v>6</v>
      </c>
      <c r="U336" s="684">
        <v>2</v>
      </c>
      <c r="V336" s="684">
        <v>2</v>
      </c>
      <c r="W336" s="684">
        <v>2</v>
      </c>
      <c r="X336" s="345" t="s">
        <v>2974</v>
      </c>
      <c r="Y336" s="345"/>
      <c r="Z336" s="345"/>
    </row>
    <row r="337" spans="1:26" ht="12.75">
      <c r="A337" s="345"/>
      <c r="B337" s="497" t="s">
        <v>2978</v>
      </c>
      <c r="C337" s="690">
        <v>24</v>
      </c>
      <c r="D337" s="684" t="s">
        <v>103</v>
      </c>
      <c r="E337" s="684">
        <v>200</v>
      </c>
      <c r="F337" s="685">
        <v>4800</v>
      </c>
      <c r="G337" s="691" t="s">
        <v>2976</v>
      </c>
      <c r="H337" s="689">
        <v>6</v>
      </c>
      <c r="I337" s="683">
        <v>2</v>
      </c>
      <c r="J337" s="683">
        <v>2</v>
      </c>
      <c r="K337" s="683">
        <v>2</v>
      </c>
      <c r="L337" s="686">
        <v>6</v>
      </c>
      <c r="M337" s="683">
        <v>2</v>
      </c>
      <c r="N337" s="683">
        <v>2</v>
      </c>
      <c r="O337" s="683">
        <v>2</v>
      </c>
      <c r="P337" s="686">
        <v>6</v>
      </c>
      <c r="Q337" s="683">
        <v>2</v>
      </c>
      <c r="R337" s="683">
        <v>2</v>
      </c>
      <c r="S337" s="683">
        <v>2</v>
      </c>
      <c r="T337" s="686">
        <v>6</v>
      </c>
      <c r="U337" s="684">
        <v>2</v>
      </c>
      <c r="V337" s="684">
        <v>2</v>
      </c>
      <c r="W337" s="684">
        <v>2</v>
      </c>
      <c r="X337" s="345" t="s">
        <v>2974</v>
      </c>
      <c r="Y337" s="345"/>
      <c r="Z337" s="345"/>
    </row>
    <row r="338" spans="1:26" ht="12.75">
      <c r="A338" s="345"/>
      <c r="B338" s="497" t="s">
        <v>2979</v>
      </c>
      <c r="C338" s="692">
        <v>24</v>
      </c>
      <c r="D338" s="693" t="s">
        <v>103</v>
      </c>
      <c r="E338" s="693">
        <v>200</v>
      </c>
      <c r="F338" s="694">
        <v>4800</v>
      </c>
      <c r="G338" s="695" t="s">
        <v>2976</v>
      </c>
      <c r="H338" s="696">
        <v>6</v>
      </c>
      <c r="I338" s="697">
        <v>2</v>
      </c>
      <c r="J338" s="697">
        <v>2</v>
      </c>
      <c r="K338" s="697">
        <v>2</v>
      </c>
      <c r="L338" s="698">
        <v>6</v>
      </c>
      <c r="M338" s="697">
        <v>2</v>
      </c>
      <c r="N338" s="697">
        <v>2</v>
      </c>
      <c r="O338" s="697">
        <v>2</v>
      </c>
      <c r="P338" s="698">
        <v>6</v>
      </c>
      <c r="Q338" s="697">
        <v>2</v>
      </c>
      <c r="R338" s="697">
        <v>2</v>
      </c>
      <c r="S338" s="697">
        <v>2</v>
      </c>
      <c r="T338" s="698">
        <v>6</v>
      </c>
      <c r="U338" s="693">
        <v>2</v>
      </c>
      <c r="V338" s="693">
        <v>2</v>
      </c>
      <c r="W338" s="693">
        <v>2</v>
      </c>
      <c r="X338" s="345" t="s">
        <v>2974</v>
      </c>
      <c r="Y338" s="345"/>
      <c r="Z338" s="345"/>
    </row>
    <row r="339" spans="1:26" ht="12.75">
      <c r="A339" s="345"/>
      <c r="B339" s="533" t="s">
        <v>873</v>
      </c>
      <c r="C339" s="569">
        <v>1</v>
      </c>
      <c r="D339" s="569" t="s">
        <v>103</v>
      </c>
      <c r="E339" s="569">
        <v>380</v>
      </c>
      <c r="F339" s="635">
        <v>380</v>
      </c>
      <c r="G339" s="200" t="s">
        <v>2973</v>
      </c>
      <c r="H339" s="671">
        <v>1</v>
      </c>
      <c r="I339" s="569">
        <v>1</v>
      </c>
      <c r="J339" s="699"/>
      <c r="K339" s="699"/>
      <c r="L339" s="671"/>
      <c r="M339" s="699"/>
      <c r="N339" s="699"/>
      <c r="O339" s="700"/>
      <c r="P339" s="671"/>
      <c r="Q339" s="701"/>
      <c r="R339" s="701"/>
      <c r="S339" s="701"/>
      <c r="T339" s="671"/>
      <c r="U339" s="701"/>
      <c r="V339" s="701"/>
      <c r="W339" s="702"/>
      <c r="X339" s="345" t="s">
        <v>3051</v>
      </c>
      <c r="Y339" s="345"/>
      <c r="Z339" s="345"/>
    </row>
    <row r="340" spans="1:26" ht="12.75">
      <c r="A340" s="345"/>
      <c r="B340" s="531" t="s">
        <v>874</v>
      </c>
      <c r="C340" s="621">
        <v>1</v>
      </c>
      <c r="D340" s="621" t="s">
        <v>103</v>
      </c>
      <c r="E340" s="621">
        <v>380</v>
      </c>
      <c r="F340" s="703">
        <v>380</v>
      </c>
      <c r="G340" s="198" t="s">
        <v>2973</v>
      </c>
      <c r="H340" s="669">
        <v>1</v>
      </c>
      <c r="I340" s="621">
        <v>1</v>
      </c>
      <c r="J340" s="704"/>
      <c r="K340" s="704"/>
      <c r="L340" s="669"/>
      <c r="M340" s="704"/>
      <c r="N340" s="704"/>
      <c r="O340" s="705"/>
      <c r="P340" s="669"/>
      <c r="Q340" s="706"/>
      <c r="R340" s="706"/>
      <c r="S340" s="706"/>
      <c r="T340" s="669"/>
      <c r="U340" s="706"/>
      <c r="V340" s="706"/>
      <c r="W340" s="165"/>
      <c r="X340" s="345" t="s">
        <v>3051</v>
      </c>
      <c r="Y340" s="345"/>
      <c r="Z340" s="345"/>
    </row>
    <row r="341" spans="1:26" ht="12.75">
      <c r="A341" s="345"/>
      <c r="B341" s="533" t="s">
        <v>875</v>
      </c>
      <c r="C341" s="569">
        <v>1</v>
      </c>
      <c r="D341" s="569" t="s">
        <v>92</v>
      </c>
      <c r="E341" s="569" t="s">
        <v>3052</v>
      </c>
      <c r="F341" s="707">
        <v>10000</v>
      </c>
      <c r="G341" s="200" t="s">
        <v>2973</v>
      </c>
      <c r="H341" s="671">
        <v>1</v>
      </c>
      <c r="I341" s="569">
        <v>1</v>
      </c>
      <c r="J341" s="704"/>
      <c r="K341" s="704"/>
      <c r="L341" s="671"/>
      <c r="M341" s="704"/>
      <c r="N341" s="704"/>
      <c r="O341" s="705"/>
      <c r="P341" s="671"/>
      <c r="Q341" s="706"/>
      <c r="R341" s="706"/>
      <c r="S341" s="706"/>
      <c r="T341" s="671"/>
      <c r="U341" s="706"/>
      <c r="V341" s="706"/>
      <c r="W341" s="165"/>
      <c r="X341" s="345" t="s">
        <v>3051</v>
      </c>
      <c r="Y341" s="345"/>
      <c r="Z341" s="345"/>
    </row>
    <row r="342" spans="1:26" ht="12.75">
      <c r="A342" s="345"/>
      <c r="B342" s="533" t="s">
        <v>877</v>
      </c>
      <c r="C342" s="569">
        <v>1</v>
      </c>
      <c r="D342" s="569" t="s">
        <v>103</v>
      </c>
      <c r="E342" s="569">
        <v>1000</v>
      </c>
      <c r="F342" s="707">
        <v>1000</v>
      </c>
      <c r="G342" s="200" t="s">
        <v>2973</v>
      </c>
      <c r="H342" s="671">
        <v>1</v>
      </c>
      <c r="I342" s="569">
        <v>1</v>
      </c>
      <c r="J342" s="569"/>
      <c r="K342" s="569"/>
      <c r="L342" s="671"/>
      <c r="M342" s="569"/>
      <c r="N342" s="569"/>
      <c r="O342" s="708"/>
      <c r="P342" s="671"/>
      <c r="Q342" s="536"/>
      <c r="R342" s="536"/>
      <c r="S342" s="536"/>
      <c r="T342" s="671"/>
      <c r="U342" s="536"/>
      <c r="V342" s="536"/>
      <c r="W342" s="172"/>
      <c r="X342" s="345" t="s">
        <v>3051</v>
      </c>
      <c r="Y342" s="345"/>
      <c r="Z342" s="345"/>
    </row>
    <row r="343" spans="1:26" ht="12.75">
      <c r="A343" s="345"/>
      <c r="B343" s="533" t="s">
        <v>879</v>
      </c>
      <c r="C343" s="569">
        <v>1</v>
      </c>
      <c r="D343" s="569" t="s">
        <v>103</v>
      </c>
      <c r="E343" s="569">
        <v>1000</v>
      </c>
      <c r="F343" s="707">
        <v>1000</v>
      </c>
      <c r="G343" s="200" t="s">
        <v>2973</v>
      </c>
      <c r="H343" s="671">
        <v>1</v>
      </c>
      <c r="I343" s="569">
        <v>1</v>
      </c>
      <c r="J343" s="569"/>
      <c r="K343" s="569"/>
      <c r="L343" s="671"/>
      <c r="M343" s="569"/>
      <c r="N343" s="569"/>
      <c r="O343" s="708"/>
      <c r="P343" s="671"/>
      <c r="Q343" s="536"/>
      <c r="R343" s="536"/>
      <c r="S343" s="536"/>
      <c r="T343" s="671"/>
      <c r="U343" s="536"/>
      <c r="V343" s="536"/>
      <c r="W343" s="172"/>
      <c r="X343" s="345" t="s">
        <v>3051</v>
      </c>
      <c r="Y343" s="345"/>
      <c r="Z343" s="345"/>
    </row>
    <row r="344" spans="1:26" ht="12.75">
      <c r="A344" s="345"/>
      <c r="B344" s="533" t="s">
        <v>720</v>
      </c>
      <c r="C344" s="569">
        <v>24</v>
      </c>
      <c r="D344" s="569" t="s">
        <v>103</v>
      </c>
      <c r="E344" s="569">
        <v>200</v>
      </c>
      <c r="F344" s="707">
        <v>4800</v>
      </c>
      <c r="G344" s="200" t="s">
        <v>2973</v>
      </c>
      <c r="H344" s="671">
        <v>6</v>
      </c>
      <c r="I344" s="569">
        <v>2</v>
      </c>
      <c r="J344" s="569">
        <v>2</v>
      </c>
      <c r="K344" s="569">
        <v>2</v>
      </c>
      <c r="L344" s="671">
        <v>6</v>
      </c>
      <c r="M344" s="569">
        <v>2</v>
      </c>
      <c r="N344" s="569">
        <v>2</v>
      </c>
      <c r="O344" s="569">
        <v>2</v>
      </c>
      <c r="P344" s="671">
        <v>6</v>
      </c>
      <c r="Q344" s="569">
        <v>2</v>
      </c>
      <c r="R344" s="569">
        <v>2</v>
      </c>
      <c r="S344" s="569">
        <v>2</v>
      </c>
      <c r="T344" s="671">
        <v>6</v>
      </c>
      <c r="U344" s="569">
        <v>2</v>
      </c>
      <c r="V344" s="569">
        <v>2</v>
      </c>
      <c r="W344" s="570">
        <v>2</v>
      </c>
      <c r="X344" s="345" t="s">
        <v>3051</v>
      </c>
      <c r="Y344" s="345"/>
      <c r="Z344" s="345"/>
    </row>
    <row r="345" spans="1:26" ht="12.75">
      <c r="A345" s="345"/>
      <c r="B345" s="533" t="s">
        <v>721</v>
      </c>
      <c r="C345" s="569">
        <v>24</v>
      </c>
      <c r="D345" s="569" t="s">
        <v>103</v>
      </c>
      <c r="E345" s="569">
        <v>200</v>
      </c>
      <c r="F345" s="707">
        <v>4800</v>
      </c>
      <c r="G345" s="200" t="s">
        <v>2973</v>
      </c>
      <c r="H345" s="671">
        <v>6</v>
      </c>
      <c r="I345" s="569">
        <v>2</v>
      </c>
      <c r="J345" s="569">
        <v>2</v>
      </c>
      <c r="K345" s="569">
        <v>2</v>
      </c>
      <c r="L345" s="671">
        <v>6</v>
      </c>
      <c r="M345" s="569">
        <v>2</v>
      </c>
      <c r="N345" s="569">
        <v>2</v>
      </c>
      <c r="O345" s="569">
        <v>2</v>
      </c>
      <c r="P345" s="671">
        <v>6</v>
      </c>
      <c r="Q345" s="569">
        <v>2</v>
      </c>
      <c r="R345" s="569">
        <v>2</v>
      </c>
      <c r="S345" s="569">
        <v>2</v>
      </c>
      <c r="T345" s="671">
        <v>6</v>
      </c>
      <c r="U345" s="569">
        <v>2</v>
      </c>
      <c r="V345" s="569">
        <v>2</v>
      </c>
      <c r="W345" s="570">
        <v>2</v>
      </c>
      <c r="X345" s="345" t="s">
        <v>3051</v>
      </c>
      <c r="Y345" s="345"/>
      <c r="Z345" s="345"/>
    </row>
    <row r="346" spans="1:26" ht="12.75">
      <c r="A346" s="345"/>
      <c r="B346" s="533" t="s">
        <v>722</v>
      </c>
      <c r="C346" s="569">
        <v>24</v>
      </c>
      <c r="D346" s="569" t="s">
        <v>103</v>
      </c>
      <c r="E346" s="569">
        <v>200</v>
      </c>
      <c r="F346" s="707">
        <v>4800</v>
      </c>
      <c r="G346" s="200" t="s">
        <v>2973</v>
      </c>
      <c r="H346" s="671">
        <v>6</v>
      </c>
      <c r="I346" s="569">
        <v>2</v>
      </c>
      <c r="J346" s="569">
        <v>2</v>
      </c>
      <c r="K346" s="569">
        <v>2</v>
      </c>
      <c r="L346" s="671">
        <v>6</v>
      </c>
      <c r="M346" s="569">
        <v>2</v>
      </c>
      <c r="N346" s="569">
        <v>2</v>
      </c>
      <c r="O346" s="569">
        <v>2</v>
      </c>
      <c r="P346" s="671">
        <v>6</v>
      </c>
      <c r="Q346" s="569">
        <v>2</v>
      </c>
      <c r="R346" s="569">
        <v>2</v>
      </c>
      <c r="S346" s="569">
        <v>2</v>
      </c>
      <c r="T346" s="671">
        <v>6</v>
      </c>
      <c r="U346" s="569">
        <v>2</v>
      </c>
      <c r="V346" s="569">
        <v>2</v>
      </c>
      <c r="W346" s="570">
        <v>2</v>
      </c>
      <c r="X346" s="345" t="s">
        <v>3051</v>
      </c>
      <c r="Y346" s="345"/>
      <c r="Z346" s="345"/>
    </row>
    <row r="347" spans="1:26" ht="12.75">
      <c r="A347" s="345"/>
      <c r="B347" s="533" t="s">
        <v>723</v>
      </c>
      <c r="C347" s="569">
        <v>24</v>
      </c>
      <c r="D347" s="569" t="s">
        <v>103</v>
      </c>
      <c r="E347" s="569">
        <v>200</v>
      </c>
      <c r="F347" s="707">
        <v>4800</v>
      </c>
      <c r="G347" s="200" t="s">
        <v>2973</v>
      </c>
      <c r="H347" s="671">
        <v>6</v>
      </c>
      <c r="I347" s="569">
        <v>2</v>
      </c>
      <c r="J347" s="569">
        <v>2</v>
      </c>
      <c r="K347" s="569">
        <v>2</v>
      </c>
      <c r="L347" s="671">
        <v>6</v>
      </c>
      <c r="M347" s="569">
        <v>2</v>
      </c>
      <c r="N347" s="569">
        <v>2</v>
      </c>
      <c r="O347" s="569">
        <v>2</v>
      </c>
      <c r="P347" s="671">
        <v>6</v>
      </c>
      <c r="Q347" s="569">
        <v>2</v>
      </c>
      <c r="R347" s="569">
        <v>2</v>
      </c>
      <c r="S347" s="569">
        <v>2</v>
      </c>
      <c r="T347" s="671">
        <v>6</v>
      </c>
      <c r="U347" s="569">
        <v>2</v>
      </c>
      <c r="V347" s="569">
        <v>2</v>
      </c>
      <c r="W347" s="570">
        <v>2</v>
      </c>
      <c r="X347" s="345" t="s">
        <v>3051</v>
      </c>
      <c r="Y347" s="345"/>
      <c r="Z347" s="345"/>
    </row>
    <row r="348" spans="1:26" ht="12.75">
      <c r="A348" s="345"/>
      <c r="B348" s="533" t="s">
        <v>889</v>
      </c>
      <c r="C348" s="569">
        <v>24</v>
      </c>
      <c r="D348" s="569" t="s">
        <v>103</v>
      </c>
      <c r="E348" s="569">
        <v>380</v>
      </c>
      <c r="F348" s="635">
        <v>380</v>
      </c>
      <c r="G348" s="200" t="s">
        <v>2973</v>
      </c>
      <c r="H348" s="671">
        <v>6</v>
      </c>
      <c r="I348" s="569">
        <v>2</v>
      </c>
      <c r="J348" s="569">
        <v>2</v>
      </c>
      <c r="K348" s="569">
        <v>2</v>
      </c>
      <c r="L348" s="671">
        <v>6</v>
      </c>
      <c r="M348" s="569">
        <v>2</v>
      </c>
      <c r="N348" s="569">
        <v>2</v>
      </c>
      <c r="O348" s="569">
        <v>2</v>
      </c>
      <c r="P348" s="671">
        <v>6</v>
      </c>
      <c r="Q348" s="569">
        <v>2</v>
      </c>
      <c r="R348" s="569">
        <v>2</v>
      </c>
      <c r="S348" s="569">
        <v>2</v>
      </c>
      <c r="T348" s="671">
        <v>6</v>
      </c>
      <c r="U348" s="569">
        <v>2</v>
      </c>
      <c r="V348" s="569">
        <v>2</v>
      </c>
      <c r="W348" s="570">
        <v>2</v>
      </c>
      <c r="X348" s="345" t="s">
        <v>3051</v>
      </c>
      <c r="Y348" s="345"/>
      <c r="Z348" s="345"/>
    </row>
    <row r="349" spans="1:26" ht="12.75">
      <c r="A349" s="345"/>
      <c r="B349" s="595" t="s">
        <v>3053</v>
      </c>
      <c r="C349" s="589">
        <v>3</v>
      </c>
      <c r="D349" s="550" t="s">
        <v>773</v>
      </c>
      <c r="E349" s="540"/>
      <c r="F349" s="550"/>
      <c r="G349" s="709" t="s">
        <v>3038</v>
      </c>
      <c r="H349" s="653">
        <v>3</v>
      </c>
      <c r="I349" s="547">
        <v>3</v>
      </c>
      <c r="J349" s="547"/>
      <c r="K349" s="547"/>
      <c r="L349" s="652">
        <v>0</v>
      </c>
      <c r="M349" s="547"/>
      <c r="N349" s="547"/>
      <c r="O349" s="547"/>
      <c r="P349" s="652">
        <v>0</v>
      </c>
      <c r="Q349" s="547">
        <v>0</v>
      </c>
      <c r="R349" s="547"/>
      <c r="S349" s="547"/>
      <c r="T349" s="652">
        <v>0</v>
      </c>
      <c r="U349" s="485"/>
      <c r="V349" s="485"/>
      <c r="W349" s="485"/>
      <c r="X349" s="345" t="s">
        <v>237</v>
      </c>
      <c r="Y349" s="345"/>
      <c r="Z349" s="345"/>
    </row>
    <row r="350" spans="1:26" ht="12.75">
      <c r="A350" s="345"/>
      <c r="B350" s="595" t="s">
        <v>234</v>
      </c>
      <c r="C350" s="589">
        <v>3</v>
      </c>
      <c r="D350" s="550" t="s">
        <v>103</v>
      </c>
      <c r="E350" s="710"/>
      <c r="F350" s="550"/>
      <c r="G350" s="711" t="s">
        <v>3038</v>
      </c>
      <c r="H350" s="655">
        <v>3</v>
      </c>
      <c r="I350" s="543">
        <v>3</v>
      </c>
      <c r="J350" s="543"/>
      <c r="K350" s="543"/>
      <c r="L350" s="654">
        <v>0</v>
      </c>
      <c r="M350" s="543"/>
      <c r="N350" s="543"/>
      <c r="O350" s="543"/>
      <c r="P350" s="654">
        <v>0</v>
      </c>
      <c r="Q350" s="543">
        <v>0</v>
      </c>
      <c r="R350" s="543"/>
      <c r="S350" s="543"/>
      <c r="T350" s="654">
        <v>0</v>
      </c>
      <c r="U350" s="543"/>
      <c r="V350" s="543"/>
      <c r="W350" s="543"/>
      <c r="X350" s="345" t="s">
        <v>237</v>
      </c>
      <c r="Y350" s="345"/>
      <c r="Z350" s="345"/>
    </row>
    <row r="351" spans="1:26" ht="12.75">
      <c r="A351" s="345"/>
      <c r="B351" s="595" t="s">
        <v>239</v>
      </c>
      <c r="C351" s="589">
        <v>3</v>
      </c>
      <c r="D351" s="550" t="s">
        <v>103</v>
      </c>
      <c r="E351" s="712"/>
      <c r="F351" s="550"/>
      <c r="G351" s="711" t="s">
        <v>3038</v>
      </c>
      <c r="H351" s="655">
        <v>3</v>
      </c>
      <c r="I351" s="543">
        <v>3</v>
      </c>
      <c r="J351" s="543"/>
      <c r="K351" s="543"/>
      <c r="L351" s="654">
        <v>0</v>
      </c>
      <c r="M351" s="543"/>
      <c r="N351" s="543"/>
      <c r="O351" s="543"/>
      <c r="P351" s="654">
        <v>0</v>
      </c>
      <c r="Q351" s="543">
        <v>0</v>
      </c>
      <c r="R351" s="543"/>
      <c r="S351" s="543"/>
      <c r="T351" s="654">
        <v>0</v>
      </c>
      <c r="U351" s="543"/>
      <c r="V351" s="543"/>
      <c r="W351" s="543"/>
      <c r="X351" s="345" t="s">
        <v>237</v>
      </c>
      <c r="Y351" s="345"/>
      <c r="Z351" s="345"/>
    </row>
    <row r="352" spans="1:26" ht="12.75">
      <c r="A352" s="345"/>
      <c r="B352" s="595" t="s">
        <v>493</v>
      </c>
      <c r="C352" s="589">
        <v>1</v>
      </c>
      <c r="D352" s="550" t="s">
        <v>103</v>
      </c>
      <c r="E352" s="712"/>
      <c r="F352" s="550"/>
      <c r="G352" s="711" t="s">
        <v>3038</v>
      </c>
      <c r="H352" s="655">
        <v>1</v>
      </c>
      <c r="I352" s="543">
        <v>1</v>
      </c>
      <c r="J352" s="543"/>
      <c r="K352" s="543"/>
      <c r="L352" s="654">
        <v>0</v>
      </c>
      <c r="M352" s="543"/>
      <c r="N352" s="543"/>
      <c r="O352" s="543"/>
      <c r="P352" s="654">
        <v>0</v>
      </c>
      <c r="Q352" s="543"/>
      <c r="R352" s="543"/>
      <c r="S352" s="543"/>
      <c r="T352" s="654">
        <v>0</v>
      </c>
      <c r="U352" s="543"/>
      <c r="V352" s="543"/>
      <c r="W352" s="543"/>
      <c r="X352" s="345" t="s">
        <v>237</v>
      </c>
      <c r="Y352" s="345"/>
      <c r="Z352" s="345"/>
    </row>
    <row r="353" spans="1:26" ht="12.75">
      <c r="A353" s="345"/>
      <c r="B353" s="595" t="s">
        <v>568</v>
      </c>
      <c r="C353" s="589">
        <v>3</v>
      </c>
      <c r="D353" s="550" t="s">
        <v>103</v>
      </c>
      <c r="E353" s="712"/>
      <c r="F353" s="550"/>
      <c r="G353" s="711" t="s">
        <v>3038</v>
      </c>
      <c r="H353" s="655">
        <v>3</v>
      </c>
      <c r="I353" s="543">
        <v>3</v>
      </c>
      <c r="J353" s="543"/>
      <c r="K353" s="543"/>
      <c r="L353" s="654">
        <v>0</v>
      </c>
      <c r="M353" s="543"/>
      <c r="N353" s="543"/>
      <c r="O353" s="543"/>
      <c r="P353" s="654">
        <v>0</v>
      </c>
      <c r="Q353" s="543">
        <v>0</v>
      </c>
      <c r="R353" s="543"/>
      <c r="S353" s="543"/>
      <c r="T353" s="654">
        <v>0</v>
      </c>
      <c r="U353" s="543"/>
      <c r="V353" s="543"/>
      <c r="W353" s="543"/>
      <c r="X353" s="345" t="s">
        <v>237</v>
      </c>
      <c r="Y353" s="345"/>
      <c r="Z353" s="345"/>
    </row>
    <row r="354" spans="1:26" ht="12.75">
      <c r="A354" s="345"/>
      <c r="B354" s="595" t="s">
        <v>483</v>
      </c>
      <c r="C354" s="589">
        <v>1</v>
      </c>
      <c r="D354" s="550" t="s">
        <v>103</v>
      </c>
      <c r="E354" s="712"/>
      <c r="F354" s="550"/>
      <c r="G354" s="711" t="s">
        <v>3038</v>
      </c>
      <c r="H354" s="655">
        <v>1</v>
      </c>
      <c r="I354" s="543">
        <v>1</v>
      </c>
      <c r="J354" s="543"/>
      <c r="K354" s="543"/>
      <c r="L354" s="654">
        <v>0</v>
      </c>
      <c r="M354" s="543"/>
      <c r="N354" s="543"/>
      <c r="O354" s="543"/>
      <c r="P354" s="654">
        <v>0</v>
      </c>
      <c r="Q354" s="543"/>
      <c r="R354" s="543"/>
      <c r="S354" s="543"/>
      <c r="T354" s="654">
        <v>0</v>
      </c>
      <c r="U354" s="543"/>
      <c r="V354" s="543"/>
      <c r="W354" s="543"/>
      <c r="X354" s="345" t="s">
        <v>237</v>
      </c>
      <c r="Y354" s="345"/>
      <c r="Z354" s="345"/>
    </row>
    <row r="355" spans="1:26" ht="12.75">
      <c r="A355" s="345"/>
      <c r="B355" s="595" t="s">
        <v>836</v>
      </c>
      <c r="C355" s="589">
        <v>3</v>
      </c>
      <c r="D355" s="550" t="s">
        <v>103</v>
      </c>
      <c r="E355" s="712"/>
      <c r="F355" s="550"/>
      <c r="G355" s="711" t="s">
        <v>3038</v>
      </c>
      <c r="H355" s="655">
        <v>3</v>
      </c>
      <c r="I355" s="543">
        <v>3</v>
      </c>
      <c r="J355" s="543"/>
      <c r="K355" s="543"/>
      <c r="L355" s="654">
        <v>0</v>
      </c>
      <c r="M355" s="543"/>
      <c r="N355" s="543"/>
      <c r="O355" s="543"/>
      <c r="P355" s="654">
        <v>0</v>
      </c>
      <c r="Q355" s="543">
        <v>0</v>
      </c>
      <c r="R355" s="543"/>
      <c r="S355" s="543"/>
      <c r="T355" s="654">
        <v>0</v>
      </c>
      <c r="U355" s="543"/>
      <c r="V355" s="543"/>
      <c r="W355" s="543"/>
      <c r="X355" s="345" t="s">
        <v>237</v>
      </c>
      <c r="Y355" s="345"/>
      <c r="Z355" s="345"/>
    </row>
    <row r="356" spans="1:26" ht="12.75">
      <c r="A356" s="345"/>
      <c r="B356" s="595" t="s">
        <v>817</v>
      </c>
      <c r="C356" s="589">
        <v>3</v>
      </c>
      <c r="D356" s="550" t="s">
        <v>103</v>
      </c>
      <c r="E356" s="712"/>
      <c r="F356" s="550"/>
      <c r="G356" s="711" t="s">
        <v>3038</v>
      </c>
      <c r="H356" s="655">
        <v>3</v>
      </c>
      <c r="I356" s="543">
        <v>3</v>
      </c>
      <c r="J356" s="543"/>
      <c r="K356" s="543"/>
      <c r="L356" s="654">
        <v>0</v>
      </c>
      <c r="M356" s="543"/>
      <c r="N356" s="543"/>
      <c r="O356" s="543"/>
      <c r="P356" s="654">
        <v>0</v>
      </c>
      <c r="Q356" s="543">
        <v>0</v>
      </c>
      <c r="R356" s="543"/>
      <c r="S356" s="543"/>
      <c r="T356" s="654">
        <v>0</v>
      </c>
      <c r="U356" s="543"/>
      <c r="V356" s="543"/>
      <c r="W356" s="543"/>
      <c r="X356" s="345" t="s">
        <v>237</v>
      </c>
      <c r="Y356" s="345"/>
      <c r="Z356" s="345"/>
    </row>
    <row r="357" spans="1:26" ht="12.75">
      <c r="A357" s="345"/>
      <c r="B357" s="595" t="s">
        <v>900</v>
      </c>
      <c r="C357" s="713">
        <v>150</v>
      </c>
      <c r="D357" s="521" t="s">
        <v>103</v>
      </c>
      <c r="E357" s="526"/>
      <c r="F357" s="628"/>
      <c r="G357" s="526" t="s">
        <v>342</v>
      </c>
      <c r="H357" s="640">
        <v>36</v>
      </c>
      <c r="I357" s="526">
        <v>12</v>
      </c>
      <c r="J357" s="526">
        <v>12</v>
      </c>
      <c r="K357" s="526">
        <v>12</v>
      </c>
      <c r="L357" s="640">
        <v>36</v>
      </c>
      <c r="M357" s="526">
        <v>12</v>
      </c>
      <c r="N357" s="526">
        <v>12</v>
      </c>
      <c r="O357" s="526">
        <v>12</v>
      </c>
      <c r="P357" s="640">
        <v>36</v>
      </c>
      <c r="Q357" s="526">
        <v>12</v>
      </c>
      <c r="R357" s="526">
        <v>12</v>
      </c>
      <c r="S357" s="526">
        <v>12</v>
      </c>
      <c r="T357" s="714">
        <v>36</v>
      </c>
      <c r="U357" s="608">
        <v>12</v>
      </c>
      <c r="V357" s="526">
        <v>12</v>
      </c>
      <c r="W357" s="526">
        <v>12</v>
      </c>
      <c r="X357" s="345" t="s">
        <v>237</v>
      </c>
      <c r="Y357" s="345"/>
      <c r="Z357" s="345"/>
    </row>
    <row r="358" spans="1:26" ht="12.75">
      <c r="A358" s="345"/>
      <c r="B358" s="595" t="s">
        <v>898</v>
      </c>
      <c r="C358" s="608">
        <v>150</v>
      </c>
      <c r="D358" s="526" t="s">
        <v>103</v>
      </c>
      <c r="E358" s="526"/>
      <c r="F358" s="628"/>
      <c r="G358" s="526" t="s">
        <v>342</v>
      </c>
      <c r="H358" s="640">
        <v>36</v>
      </c>
      <c r="I358" s="526">
        <v>12</v>
      </c>
      <c r="J358" s="526">
        <v>12</v>
      </c>
      <c r="K358" s="526">
        <v>12</v>
      </c>
      <c r="L358" s="640">
        <v>36</v>
      </c>
      <c r="M358" s="526">
        <v>12</v>
      </c>
      <c r="N358" s="526">
        <v>12</v>
      </c>
      <c r="O358" s="526">
        <v>12</v>
      </c>
      <c r="P358" s="640">
        <v>36</v>
      </c>
      <c r="Q358" s="526">
        <v>12</v>
      </c>
      <c r="R358" s="526">
        <v>12</v>
      </c>
      <c r="S358" s="526">
        <v>12</v>
      </c>
      <c r="T358" s="714">
        <v>36</v>
      </c>
      <c r="U358" s="608">
        <v>12</v>
      </c>
      <c r="V358" s="526">
        <v>12</v>
      </c>
      <c r="W358" s="526">
        <v>12</v>
      </c>
      <c r="X358" s="345" t="s">
        <v>237</v>
      </c>
      <c r="Y358" s="345"/>
      <c r="Z358" s="345"/>
    </row>
    <row r="359" spans="1:26" ht="12.75">
      <c r="A359" s="345"/>
      <c r="B359" s="595" t="s">
        <v>899</v>
      </c>
      <c r="C359" s="608">
        <v>150</v>
      </c>
      <c r="D359" s="526" t="s">
        <v>103</v>
      </c>
      <c r="E359" s="526"/>
      <c r="F359" s="628"/>
      <c r="G359" s="526" t="s">
        <v>342</v>
      </c>
      <c r="H359" s="640">
        <v>36</v>
      </c>
      <c r="I359" s="526">
        <v>12</v>
      </c>
      <c r="J359" s="526">
        <v>12</v>
      </c>
      <c r="K359" s="526">
        <v>12</v>
      </c>
      <c r="L359" s="640">
        <v>36</v>
      </c>
      <c r="M359" s="526">
        <v>12</v>
      </c>
      <c r="N359" s="526">
        <v>12</v>
      </c>
      <c r="O359" s="526">
        <v>12</v>
      </c>
      <c r="P359" s="640">
        <v>36</v>
      </c>
      <c r="Q359" s="526">
        <v>12</v>
      </c>
      <c r="R359" s="526">
        <v>12</v>
      </c>
      <c r="S359" s="526">
        <v>12</v>
      </c>
      <c r="T359" s="714">
        <v>36</v>
      </c>
      <c r="U359" s="608">
        <v>12</v>
      </c>
      <c r="V359" s="526">
        <v>12</v>
      </c>
      <c r="W359" s="526">
        <v>12</v>
      </c>
      <c r="X359" s="345" t="s">
        <v>237</v>
      </c>
      <c r="Y359" s="345"/>
      <c r="Z359" s="345"/>
    </row>
    <row r="360" spans="1:26" ht="12.75">
      <c r="A360" s="345"/>
      <c r="B360" s="595" t="s">
        <v>897</v>
      </c>
      <c r="C360" s="608">
        <v>150</v>
      </c>
      <c r="D360" s="526" t="s">
        <v>103</v>
      </c>
      <c r="E360" s="526"/>
      <c r="F360" s="628"/>
      <c r="G360" s="526" t="s">
        <v>342</v>
      </c>
      <c r="H360" s="640">
        <v>36</v>
      </c>
      <c r="I360" s="526">
        <v>12</v>
      </c>
      <c r="J360" s="526">
        <v>12</v>
      </c>
      <c r="K360" s="526">
        <v>12</v>
      </c>
      <c r="L360" s="640">
        <v>36</v>
      </c>
      <c r="M360" s="526">
        <v>12</v>
      </c>
      <c r="N360" s="526">
        <v>12</v>
      </c>
      <c r="O360" s="526">
        <v>12</v>
      </c>
      <c r="P360" s="640">
        <v>36</v>
      </c>
      <c r="Q360" s="526">
        <v>12</v>
      </c>
      <c r="R360" s="526">
        <v>12</v>
      </c>
      <c r="S360" s="526">
        <v>12</v>
      </c>
      <c r="T360" s="714">
        <v>36</v>
      </c>
      <c r="U360" s="608">
        <v>12</v>
      </c>
      <c r="V360" s="526">
        <v>12</v>
      </c>
      <c r="W360" s="526">
        <v>12</v>
      </c>
      <c r="X360" s="345" t="s">
        <v>237</v>
      </c>
      <c r="Y360" s="345"/>
      <c r="Z360" s="345"/>
    </row>
    <row r="361" spans="1:26" ht="12.75">
      <c r="A361" s="345"/>
      <c r="B361" s="588" t="s">
        <v>864</v>
      </c>
      <c r="C361" s="543">
        <v>1</v>
      </c>
      <c r="D361" s="521" t="s">
        <v>776</v>
      </c>
      <c r="E361" s="600">
        <v>43000</v>
      </c>
      <c r="F361" s="524">
        <v>43000</v>
      </c>
      <c r="G361" s="526"/>
      <c r="H361" s="715">
        <v>0</v>
      </c>
      <c r="I361" s="521"/>
      <c r="J361" s="521"/>
      <c r="K361" s="521"/>
      <c r="L361" s="715">
        <v>1</v>
      </c>
      <c r="M361" s="521">
        <v>1</v>
      </c>
      <c r="N361" s="521"/>
      <c r="O361" s="521"/>
      <c r="P361" s="715">
        <v>0</v>
      </c>
      <c r="Q361" s="521"/>
      <c r="R361" s="521"/>
      <c r="S361" s="521"/>
      <c r="T361" s="715">
        <v>0</v>
      </c>
      <c r="U361" s="521"/>
      <c r="V361" s="521"/>
      <c r="W361" s="521"/>
      <c r="X361" s="345" t="s">
        <v>140</v>
      </c>
      <c r="Y361" s="345"/>
      <c r="Z361" s="345"/>
    </row>
    <row r="362" spans="1:26" ht="12.75">
      <c r="A362" s="345"/>
      <c r="B362" s="716" t="s">
        <v>2962</v>
      </c>
      <c r="C362" s="543">
        <v>1</v>
      </c>
      <c r="D362" s="526" t="s">
        <v>103</v>
      </c>
      <c r="E362" s="524">
        <v>9000</v>
      </c>
      <c r="F362" s="524">
        <v>9000</v>
      </c>
      <c r="G362" s="526"/>
      <c r="H362" s="715">
        <v>0</v>
      </c>
      <c r="I362" s="526"/>
      <c r="J362" s="526"/>
      <c r="K362" s="526"/>
      <c r="L362" s="715">
        <v>1</v>
      </c>
      <c r="M362" s="526">
        <v>1</v>
      </c>
      <c r="N362" s="526"/>
      <c r="O362" s="526"/>
      <c r="P362" s="715">
        <v>0</v>
      </c>
      <c r="Q362" s="526"/>
      <c r="R362" s="526"/>
      <c r="S362" s="526"/>
      <c r="T362" s="715">
        <v>0</v>
      </c>
      <c r="U362" s="526"/>
      <c r="V362" s="526"/>
      <c r="W362" s="526"/>
      <c r="X362" s="345" t="s">
        <v>140</v>
      </c>
      <c r="Y362" s="345"/>
      <c r="Z362" s="345"/>
    </row>
    <row r="363" spans="1:26" ht="12.75">
      <c r="A363" s="345"/>
      <c r="B363" s="629" t="s">
        <v>866</v>
      </c>
      <c r="C363" s="543">
        <v>2</v>
      </c>
      <c r="D363" s="526" t="s">
        <v>103</v>
      </c>
      <c r="E363" s="526">
        <v>500</v>
      </c>
      <c r="F363" s="524">
        <v>1000</v>
      </c>
      <c r="G363" s="526"/>
      <c r="H363" s="715">
        <v>1</v>
      </c>
      <c r="I363" s="526">
        <v>1</v>
      </c>
      <c r="J363" s="526"/>
      <c r="K363" s="526"/>
      <c r="L363" s="715">
        <v>0</v>
      </c>
      <c r="M363" s="526"/>
      <c r="N363" s="526"/>
      <c r="O363" s="526"/>
      <c r="P363" s="715">
        <v>1</v>
      </c>
      <c r="Q363" s="526">
        <v>1</v>
      </c>
      <c r="R363" s="526"/>
      <c r="S363" s="526"/>
      <c r="T363" s="715">
        <v>0</v>
      </c>
      <c r="U363" s="526"/>
      <c r="V363" s="526"/>
      <c r="W363" s="526"/>
      <c r="X363" s="345" t="s">
        <v>140</v>
      </c>
      <c r="Y363" s="345"/>
      <c r="Z363" s="345"/>
    </row>
    <row r="364" spans="1:26" ht="12.75">
      <c r="A364" s="345"/>
      <c r="B364" s="716" t="s">
        <v>867</v>
      </c>
      <c r="C364" s="543">
        <v>2</v>
      </c>
      <c r="D364" s="526" t="s">
        <v>103</v>
      </c>
      <c r="E364" s="526">
        <v>500</v>
      </c>
      <c r="F364" s="524">
        <v>1000</v>
      </c>
      <c r="G364" s="526"/>
      <c r="H364" s="715">
        <v>1</v>
      </c>
      <c r="I364" s="526">
        <v>1</v>
      </c>
      <c r="J364" s="526"/>
      <c r="K364" s="526"/>
      <c r="L364" s="715">
        <v>0</v>
      </c>
      <c r="M364" s="526"/>
      <c r="N364" s="526"/>
      <c r="O364" s="526"/>
      <c r="P364" s="715">
        <v>1</v>
      </c>
      <c r="Q364" s="526">
        <v>1</v>
      </c>
      <c r="R364" s="526"/>
      <c r="S364" s="526"/>
      <c r="T364" s="715">
        <v>0</v>
      </c>
      <c r="U364" s="526"/>
      <c r="V364" s="526"/>
      <c r="W364" s="526"/>
      <c r="X364" s="345" t="s">
        <v>140</v>
      </c>
      <c r="Y364" s="345"/>
      <c r="Z364" s="345"/>
    </row>
    <row r="365" spans="1:26" ht="12.75">
      <c r="A365" s="345"/>
      <c r="B365" s="629" t="s">
        <v>234</v>
      </c>
      <c r="C365" s="543">
        <v>2</v>
      </c>
      <c r="D365" s="526" t="s">
        <v>103</v>
      </c>
      <c r="E365" s="557">
        <v>480</v>
      </c>
      <c r="F365" s="526">
        <v>960</v>
      </c>
      <c r="G365" s="526"/>
      <c r="H365" s="715">
        <v>1</v>
      </c>
      <c r="I365" s="526">
        <v>1</v>
      </c>
      <c r="J365" s="526"/>
      <c r="K365" s="526"/>
      <c r="L365" s="715">
        <v>1</v>
      </c>
      <c r="M365" s="526">
        <v>1</v>
      </c>
      <c r="N365" s="526"/>
      <c r="O365" s="526"/>
      <c r="P365" s="715">
        <v>0</v>
      </c>
      <c r="Q365" s="526"/>
      <c r="R365" s="526"/>
      <c r="S365" s="526"/>
      <c r="T365" s="715">
        <v>0</v>
      </c>
      <c r="U365" s="526"/>
      <c r="V365" s="526"/>
      <c r="W365" s="526"/>
      <c r="X365" s="345" t="s">
        <v>140</v>
      </c>
      <c r="Y365" s="345"/>
      <c r="Z365" s="345"/>
    </row>
    <row r="366" spans="1:26" ht="12.75">
      <c r="A366" s="345"/>
      <c r="B366" s="629" t="s">
        <v>239</v>
      </c>
      <c r="C366" s="543">
        <v>2</v>
      </c>
      <c r="D366" s="526" t="s">
        <v>103</v>
      </c>
      <c r="E366" s="557">
        <v>380</v>
      </c>
      <c r="F366" s="526">
        <v>760</v>
      </c>
      <c r="G366" s="526"/>
      <c r="H366" s="715">
        <v>1</v>
      </c>
      <c r="I366" s="526">
        <v>1</v>
      </c>
      <c r="J366" s="526"/>
      <c r="K366" s="526"/>
      <c r="L366" s="715">
        <v>0</v>
      </c>
      <c r="M366" s="526"/>
      <c r="N366" s="526"/>
      <c r="O366" s="526"/>
      <c r="P366" s="715">
        <v>1</v>
      </c>
      <c r="Q366" s="526">
        <v>1</v>
      </c>
      <c r="R366" s="526"/>
      <c r="S366" s="526"/>
      <c r="T366" s="715">
        <v>0</v>
      </c>
      <c r="U366" s="526"/>
      <c r="V366" s="526"/>
      <c r="W366" s="526"/>
      <c r="X366" s="345" t="s">
        <v>140</v>
      </c>
      <c r="Y366" s="345"/>
      <c r="Z366" s="345"/>
    </row>
    <row r="367" spans="1:26" ht="12.75">
      <c r="A367" s="345"/>
      <c r="B367" s="629" t="s">
        <v>623</v>
      </c>
      <c r="C367" s="543">
        <v>1</v>
      </c>
      <c r="D367" s="526" t="s">
        <v>103</v>
      </c>
      <c r="E367" s="607">
        <v>3000</v>
      </c>
      <c r="F367" s="524">
        <v>3000</v>
      </c>
      <c r="G367" s="526"/>
      <c r="H367" s="715">
        <v>1</v>
      </c>
      <c r="I367" s="526">
        <v>1</v>
      </c>
      <c r="J367" s="526"/>
      <c r="K367" s="526"/>
      <c r="L367" s="715">
        <v>0</v>
      </c>
      <c r="M367" s="526"/>
      <c r="N367" s="526"/>
      <c r="O367" s="526"/>
      <c r="P367" s="715">
        <v>0</v>
      </c>
      <c r="Q367" s="526"/>
      <c r="R367" s="526"/>
      <c r="S367" s="526"/>
      <c r="T367" s="715">
        <v>0</v>
      </c>
      <c r="U367" s="526"/>
      <c r="V367" s="526"/>
      <c r="W367" s="526"/>
      <c r="X367" s="345" t="s">
        <v>140</v>
      </c>
      <c r="Y367" s="345"/>
      <c r="Z367" s="345"/>
    </row>
    <row r="368" spans="1:26" ht="12.75">
      <c r="A368" s="345"/>
      <c r="B368" s="629" t="s">
        <v>568</v>
      </c>
      <c r="C368" s="543">
        <v>2</v>
      </c>
      <c r="D368" s="526" t="s">
        <v>103</v>
      </c>
      <c r="E368" s="607">
        <v>3500</v>
      </c>
      <c r="F368" s="524">
        <v>7000</v>
      </c>
      <c r="G368" s="526"/>
      <c r="H368" s="715">
        <v>1</v>
      </c>
      <c r="I368" s="526">
        <v>1</v>
      </c>
      <c r="J368" s="526"/>
      <c r="K368" s="526"/>
      <c r="L368" s="715">
        <v>1</v>
      </c>
      <c r="M368" s="526">
        <v>1</v>
      </c>
      <c r="N368" s="526"/>
      <c r="O368" s="526"/>
      <c r="P368" s="715">
        <v>0</v>
      </c>
      <c r="Q368" s="526"/>
      <c r="R368" s="526"/>
      <c r="S368" s="526"/>
      <c r="T368" s="715">
        <v>0</v>
      </c>
      <c r="U368" s="526"/>
      <c r="V368" s="526"/>
      <c r="W368" s="526"/>
      <c r="X368" s="345" t="s">
        <v>140</v>
      </c>
      <c r="Y368" s="345"/>
      <c r="Z368" s="345"/>
    </row>
    <row r="369" spans="1:26" ht="12.75">
      <c r="A369" s="345"/>
      <c r="B369" s="594" t="s">
        <v>868</v>
      </c>
      <c r="C369" s="543">
        <v>28</v>
      </c>
      <c r="D369" s="526" t="s">
        <v>103</v>
      </c>
      <c r="E369" s="557">
        <v>450</v>
      </c>
      <c r="F369" s="524">
        <v>12600</v>
      </c>
      <c r="G369" s="526"/>
      <c r="H369" s="715">
        <v>7</v>
      </c>
      <c r="I369" s="526">
        <v>7</v>
      </c>
      <c r="J369" s="526"/>
      <c r="K369" s="526"/>
      <c r="L369" s="715">
        <v>7</v>
      </c>
      <c r="M369" s="526">
        <v>7</v>
      </c>
      <c r="N369" s="526"/>
      <c r="O369" s="526"/>
      <c r="P369" s="715">
        <v>7</v>
      </c>
      <c r="Q369" s="526">
        <v>7</v>
      </c>
      <c r="R369" s="526"/>
      <c r="S369" s="526"/>
      <c r="T369" s="715">
        <v>7</v>
      </c>
      <c r="U369" s="526">
        <v>7</v>
      </c>
      <c r="V369" s="526"/>
      <c r="W369" s="526"/>
      <c r="X369" s="345" t="s">
        <v>140</v>
      </c>
      <c r="Y369" s="345"/>
      <c r="Z369" s="345"/>
    </row>
    <row r="370" spans="1:26" ht="12.75">
      <c r="A370" s="345"/>
      <c r="B370" s="594" t="s">
        <v>869</v>
      </c>
      <c r="C370" s="543">
        <v>10</v>
      </c>
      <c r="D370" s="526" t="s">
        <v>103</v>
      </c>
      <c r="E370" s="557">
        <v>450</v>
      </c>
      <c r="F370" s="524">
        <v>4500</v>
      </c>
      <c r="G370" s="526"/>
      <c r="H370" s="715">
        <v>5</v>
      </c>
      <c r="I370" s="526">
        <v>5</v>
      </c>
      <c r="J370" s="526"/>
      <c r="K370" s="526"/>
      <c r="L370" s="715">
        <v>0</v>
      </c>
      <c r="M370" s="526"/>
      <c r="N370" s="526"/>
      <c r="O370" s="526"/>
      <c r="P370" s="715">
        <v>5</v>
      </c>
      <c r="Q370" s="526">
        <v>5</v>
      </c>
      <c r="R370" s="526"/>
      <c r="S370" s="526"/>
      <c r="T370" s="715">
        <v>0</v>
      </c>
      <c r="U370" s="526"/>
      <c r="V370" s="526"/>
      <c r="W370" s="526"/>
      <c r="X370" s="345" t="s">
        <v>140</v>
      </c>
      <c r="Y370" s="345"/>
      <c r="Z370" s="345"/>
    </row>
    <row r="371" spans="1:26" ht="12.75">
      <c r="A371" s="345"/>
      <c r="B371" s="594" t="s">
        <v>870</v>
      </c>
      <c r="C371" s="543">
        <v>10</v>
      </c>
      <c r="D371" s="526" t="s">
        <v>103</v>
      </c>
      <c r="E371" s="557">
        <v>450</v>
      </c>
      <c r="F371" s="524">
        <v>4500</v>
      </c>
      <c r="G371" s="526"/>
      <c r="H371" s="715">
        <v>5</v>
      </c>
      <c r="I371" s="526">
        <v>5</v>
      </c>
      <c r="J371" s="526"/>
      <c r="K371" s="526"/>
      <c r="L371" s="715">
        <v>0</v>
      </c>
      <c r="M371" s="526"/>
      <c r="N371" s="526"/>
      <c r="O371" s="526"/>
      <c r="P371" s="715">
        <v>5</v>
      </c>
      <c r="Q371" s="526">
        <v>5</v>
      </c>
      <c r="R371" s="526"/>
      <c r="S371" s="526"/>
      <c r="T371" s="715">
        <v>0</v>
      </c>
      <c r="U371" s="526"/>
      <c r="V371" s="526"/>
      <c r="W371" s="526"/>
      <c r="X371" s="345" t="s">
        <v>140</v>
      </c>
      <c r="Y371" s="345"/>
      <c r="Z371" s="345"/>
    </row>
    <row r="372" spans="1:26" ht="12.75">
      <c r="A372" s="345"/>
      <c r="B372" s="594" t="s">
        <v>871</v>
      </c>
      <c r="C372" s="543">
        <v>10</v>
      </c>
      <c r="D372" s="526" t="s">
        <v>103</v>
      </c>
      <c r="E372" s="557">
        <v>450</v>
      </c>
      <c r="F372" s="524">
        <v>4500</v>
      </c>
      <c r="G372" s="526"/>
      <c r="H372" s="715">
        <v>5</v>
      </c>
      <c r="I372" s="526">
        <v>5</v>
      </c>
      <c r="J372" s="526"/>
      <c r="K372" s="526"/>
      <c r="L372" s="715">
        <v>0</v>
      </c>
      <c r="M372" s="526"/>
      <c r="N372" s="526"/>
      <c r="O372" s="526"/>
      <c r="P372" s="715">
        <v>5</v>
      </c>
      <c r="Q372" s="526">
        <v>5</v>
      </c>
      <c r="R372" s="526"/>
      <c r="S372" s="526"/>
      <c r="T372" s="715">
        <v>0</v>
      </c>
      <c r="U372" s="526"/>
      <c r="V372" s="526"/>
      <c r="W372" s="526"/>
      <c r="X372" s="345" t="s">
        <v>140</v>
      </c>
      <c r="Y372" s="345"/>
      <c r="Z372" s="345"/>
    </row>
    <row r="373" spans="1:26" ht="12.75">
      <c r="A373" s="345"/>
      <c r="B373" s="594" t="s">
        <v>872</v>
      </c>
      <c r="C373" s="543">
        <v>40</v>
      </c>
      <c r="D373" s="526" t="s">
        <v>103</v>
      </c>
      <c r="E373" s="557">
        <v>430</v>
      </c>
      <c r="F373" s="524">
        <v>17200</v>
      </c>
      <c r="G373" s="526"/>
      <c r="H373" s="715">
        <v>10</v>
      </c>
      <c r="I373" s="526">
        <v>10</v>
      </c>
      <c r="J373" s="526"/>
      <c r="K373" s="526"/>
      <c r="L373" s="715">
        <v>10</v>
      </c>
      <c r="M373" s="526">
        <v>10</v>
      </c>
      <c r="N373" s="526"/>
      <c r="O373" s="526"/>
      <c r="P373" s="715">
        <v>10</v>
      </c>
      <c r="Q373" s="526">
        <v>10</v>
      </c>
      <c r="R373" s="526"/>
      <c r="S373" s="526"/>
      <c r="T373" s="715">
        <v>10</v>
      </c>
      <c r="U373" s="526">
        <v>10</v>
      </c>
      <c r="V373" s="526"/>
      <c r="W373" s="526"/>
      <c r="X373" s="345" t="s">
        <v>140</v>
      </c>
      <c r="Y373" s="345"/>
      <c r="Z373" s="345"/>
    </row>
    <row r="374" spans="1:26" ht="12.75">
      <c r="A374" s="345"/>
      <c r="B374" s="717" t="s">
        <v>891</v>
      </c>
      <c r="C374" s="550">
        <v>1</v>
      </c>
      <c r="D374" s="718" t="s">
        <v>103</v>
      </c>
      <c r="E374" s="719">
        <v>25000</v>
      </c>
      <c r="F374" s="719">
        <v>25000</v>
      </c>
      <c r="G374" s="543" t="s">
        <v>342</v>
      </c>
      <c r="H374" s="568">
        <v>1</v>
      </c>
      <c r="I374" s="554">
        <v>1</v>
      </c>
      <c r="J374" s="679"/>
      <c r="K374" s="679"/>
      <c r="L374" s="568">
        <v>0</v>
      </c>
      <c r="M374" s="679"/>
      <c r="N374" s="679"/>
      <c r="O374" s="679"/>
      <c r="P374" s="568">
        <v>0</v>
      </c>
      <c r="Q374" s="679"/>
      <c r="R374" s="679"/>
      <c r="S374" s="679"/>
      <c r="T374" s="568">
        <v>0</v>
      </c>
      <c r="U374" s="679"/>
      <c r="V374" s="679"/>
      <c r="W374" s="679"/>
      <c r="X374" s="345" t="s">
        <v>178</v>
      </c>
      <c r="Y374" s="345"/>
      <c r="Z374" s="345"/>
    </row>
    <row r="375" spans="1:26" ht="12.75">
      <c r="A375" s="345"/>
      <c r="B375" s="629" t="s">
        <v>880</v>
      </c>
      <c r="C375" s="550">
        <v>2</v>
      </c>
      <c r="D375" s="631" t="s">
        <v>103</v>
      </c>
      <c r="E375" s="607">
        <v>43000</v>
      </c>
      <c r="F375" s="607">
        <v>86000</v>
      </c>
      <c r="G375" s="526" t="s">
        <v>342</v>
      </c>
      <c r="H375" s="565">
        <v>2</v>
      </c>
      <c r="I375" s="557">
        <v>2</v>
      </c>
      <c r="J375" s="679"/>
      <c r="K375" s="679"/>
      <c r="L375" s="565">
        <v>0</v>
      </c>
      <c r="M375" s="679"/>
      <c r="N375" s="679"/>
      <c r="O375" s="679"/>
      <c r="P375" s="565">
        <v>0</v>
      </c>
      <c r="Q375" s="679"/>
      <c r="R375" s="679"/>
      <c r="S375" s="679"/>
      <c r="T375" s="565">
        <v>0</v>
      </c>
      <c r="U375" s="679"/>
      <c r="V375" s="679"/>
      <c r="W375" s="679"/>
      <c r="X375" s="345" t="s">
        <v>178</v>
      </c>
      <c r="Y375" s="345"/>
      <c r="Z375" s="345"/>
    </row>
    <row r="376" spans="1:26" ht="12.75">
      <c r="A376" s="345"/>
      <c r="B376" s="629" t="s">
        <v>892</v>
      </c>
      <c r="C376" s="550">
        <v>1</v>
      </c>
      <c r="D376" s="631" t="s">
        <v>103</v>
      </c>
      <c r="E376" s="607">
        <v>1400</v>
      </c>
      <c r="F376" s="607">
        <v>1400</v>
      </c>
      <c r="G376" s="526" t="s">
        <v>3054</v>
      </c>
      <c r="H376" s="565">
        <v>1</v>
      </c>
      <c r="I376" s="557">
        <v>1</v>
      </c>
      <c r="J376" s="679"/>
      <c r="K376" s="679"/>
      <c r="L376" s="565">
        <v>0</v>
      </c>
      <c r="M376" s="679"/>
      <c r="N376" s="679"/>
      <c r="O376" s="679"/>
      <c r="P376" s="565">
        <v>0</v>
      </c>
      <c r="Q376" s="679"/>
      <c r="R376" s="679"/>
      <c r="S376" s="679"/>
      <c r="T376" s="565">
        <v>0</v>
      </c>
      <c r="U376" s="679"/>
      <c r="V376" s="679"/>
      <c r="W376" s="679"/>
      <c r="X376" s="345" t="s">
        <v>178</v>
      </c>
      <c r="Y376" s="345"/>
      <c r="Z376" s="345"/>
    </row>
    <row r="377" spans="1:26" ht="12.75">
      <c r="A377" s="345"/>
      <c r="B377" s="629" t="s">
        <v>893</v>
      </c>
      <c r="C377" s="550">
        <v>1</v>
      </c>
      <c r="D377" s="631" t="s">
        <v>103</v>
      </c>
      <c r="E377" s="607">
        <v>1800</v>
      </c>
      <c r="F377" s="607">
        <v>1800</v>
      </c>
      <c r="G377" s="526" t="s">
        <v>3054</v>
      </c>
      <c r="H377" s="565">
        <v>1</v>
      </c>
      <c r="I377" s="557">
        <v>1</v>
      </c>
      <c r="J377" s="679"/>
      <c r="K377" s="679"/>
      <c r="L377" s="565">
        <v>0</v>
      </c>
      <c r="M377" s="679"/>
      <c r="N377" s="679"/>
      <c r="O377" s="679"/>
      <c r="P377" s="565">
        <v>0</v>
      </c>
      <c r="Q377" s="679"/>
      <c r="R377" s="679"/>
      <c r="S377" s="679"/>
      <c r="T377" s="565">
        <v>0</v>
      </c>
      <c r="U377" s="679"/>
      <c r="V377" s="679"/>
      <c r="W377" s="679"/>
      <c r="X377" s="345" t="s">
        <v>178</v>
      </c>
      <c r="Y377" s="345"/>
      <c r="Z377" s="345"/>
    </row>
    <row r="378" spans="1:26" ht="12.75">
      <c r="A378" s="345"/>
      <c r="B378" s="629" t="s">
        <v>234</v>
      </c>
      <c r="C378" s="550">
        <v>3</v>
      </c>
      <c r="D378" s="550" t="s">
        <v>103</v>
      </c>
      <c r="E378" s="543">
        <v>480</v>
      </c>
      <c r="F378" s="607">
        <v>1440</v>
      </c>
      <c r="G378" s="543" t="s">
        <v>342</v>
      </c>
      <c r="H378" s="565">
        <v>1</v>
      </c>
      <c r="I378" s="526">
        <v>1</v>
      </c>
      <c r="J378" s="720"/>
      <c r="K378" s="720"/>
      <c r="L378" s="565">
        <v>1</v>
      </c>
      <c r="M378" s="526">
        <v>1</v>
      </c>
      <c r="N378" s="720"/>
      <c r="O378" s="720"/>
      <c r="P378" s="565">
        <v>1</v>
      </c>
      <c r="Q378" s="526">
        <v>1</v>
      </c>
      <c r="R378" s="720"/>
      <c r="S378" s="720"/>
      <c r="T378" s="565">
        <v>0</v>
      </c>
      <c r="U378" s="720"/>
      <c r="V378" s="720"/>
      <c r="W378" s="720"/>
      <c r="X378" s="345" t="s">
        <v>178</v>
      </c>
      <c r="Y378" s="345"/>
      <c r="Z378" s="345"/>
    </row>
    <row r="379" spans="1:26" ht="12.75">
      <c r="A379" s="345"/>
      <c r="B379" s="629" t="s">
        <v>239</v>
      </c>
      <c r="C379" s="550">
        <v>3</v>
      </c>
      <c r="D379" s="550" t="s">
        <v>103</v>
      </c>
      <c r="E379" s="543">
        <v>380</v>
      </c>
      <c r="F379" s="607">
        <v>1140</v>
      </c>
      <c r="G379" s="543" t="s">
        <v>342</v>
      </c>
      <c r="H379" s="565">
        <v>1</v>
      </c>
      <c r="I379" s="526">
        <v>1</v>
      </c>
      <c r="J379" s="720"/>
      <c r="K379" s="720"/>
      <c r="L379" s="565">
        <v>1</v>
      </c>
      <c r="M379" s="526">
        <v>1</v>
      </c>
      <c r="N379" s="720"/>
      <c r="O379" s="720"/>
      <c r="P379" s="565">
        <v>1</v>
      </c>
      <c r="Q379" s="526">
        <v>1</v>
      </c>
      <c r="R379" s="720"/>
      <c r="S379" s="720"/>
      <c r="T379" s="565">
        <v>0</v>
      </c>
      <c r="U379" s="720"/>
      <c r="V379" s="720"/>
      <c r="W379" s="720"/>
      <c r="X379" s="345" t="s">
        <v>178</v>
      </c>
      <c r="Y379" s="345"/>
      <c r="Z379" s="345"/>
    </row>
    <row r="380" spans="1:26" ht="12.75">
      <c r="A380" s="345"/>
      <c r="B380" s="721" t="s">
        <v>894</v>
      </c>
      <c r="C380" s="722">
        <v>1</v>
      </c>
      <c r="D380" s="723" t="s">
        <v>466</v>
      </c>
      <c r="E380" s="724">
        <v>10000</v>
      </c>
      <c r="F380" s="724">
        <v>10000</v>
      </c>
      <c r="G380" s="723" t="s">
        <v>342</v>
      </c>
      <c r="H380" s="723">
        <v>1</v>
      </c>
      <c r="I380" s="723">
        <v>1</v>
      </c>
      <c r="J380" s="723"/>
      <c r="K380" s="723"/>
      <c r="L380" s="723">
        <v>0</v>
      </c>
      <c r="M380" s="723"/>
      <c r="N380" s="723"/>
      <c r="O380" s="723"/>
      <c r="P380" s="723">
        <v>0</v>
      </c>
      <c r="Q380" s="723"/>
      <c r="R380" s="723"/>
      <c r="S380" s="723">
        <v>0</v>
      </c>
      <c r="T380" s="723">
        <v>0</v>
      </c>
      <c r="U380" s="723"/>
      <c r="V380" s="723"/>
      <c r="W380" s="725"/>
      <c r="X380" s="345" t="s">
        <v>178</v>
      </c>
      <c r="Y380" s="345"/>
      <c r="Z380" s="345"/>
    </row>
    <row r="381" spans="1:26" ht="12.75">
      <c r="A381" s="345"/>
      <c r="B381" s="717" t="s">
        <v>891</v>
      </c>
      <c r="C381" s="550">
        <v>1</v>
      </c>
      <c r="D381" s="662" t="s">
        <v>103</v>
      </c>
      <c r="E381" s="547" t="s">
        <v>3055</v>
      </c>
      <c r="F381" s="631" t="s">
        <v>3055</v>
      </c>
      <c r="G381" s="543" t="s">
        <v>342</v>
      </c>
      <c r="H381" s="726">
        <v>1</v>
      </c>
      <c r="I381" s="521">
        <v>1</v>
      </c>
      <c r="J381" s="521"/>
      <c r="K381" s="521"/>
      <c r="L381" s="568">
        <v>0</v>
      </c>
      <c r="M381" s="521"/>
      <c r="N381" s="521"/>
      <c r="O381" s="521"/>
      <c r="P381" s="568">
        <v>0</v>
      </c>
      <c r="Q381" s="521"/>
      <c r="R381" s="521"/>
      <c r="S381" s="521"/>
      <c r="T381" s="568">
        <v>0</v>
      </c>
      <c r="U381" s="521"/>
      <c r="V381" s="521"/>
      <c r="W381" s="713"/>
      <c r="X381" s="345" t="s">
        <v>151</v>
      </c>
      <c r="Y381" s="345"/>
      <c r="Z381" s="345"/>
    </row>
    <row r="382" spans="1:26" ht="12.75">
      <c r="A382" s="345"/>
      <c r="B382" s="629" t="s">
        <v>880</v>
      </c>
      <c r="C382" s="550">
        <v>1</v>
      </c>
      <c r="D382" s="550" t="s">
        <v>103</v>
      </c>
      <c r="E382" s="543" t="s">
        <v>3055</v>
      </c>
      <c r="F382" s="631" t="s">
        <v>3055</v>
      </c>
      <c r="G382" s="543" t="s">
        <v>342</v>
      </c>
      <c r="H382" s="567">
        <v>1</v>
      </c>
      <c r="I382" s="526">
        <v>1</v>
      </c>
      <c r="J382" s="526"/>
      <c r="K382" s="526"/>
      <c r="L382" s="565">
        <v>0</v>
      </c>
      <c r="M382" s="526"/>
      <c r="N382" s="526"/>
      <c r="O382" s="526"/>
      <c r="P382" s="565">
        <v>0</v>
      </c>
      <c r="Q382" s="526"/>
      <c r="R382" s="526"/>
      <c r="S382" s="526"/>
      <c r="T382" s="565">
        <v>0</v>
      </c>
      <c r="U382" s="526"/>
      <c r="V382" s="526"/>
      <c r="W382" s="608"/>
      <c r="X382" s="345" t="s">
        <v>151</v>
      </c>
      <c r="Y382" s="345"/>
      <c r="Z382" s="345"/>
    </row>
    <row r="383" spans="1:26" ht="12.75">
      <c r="A383" s="345"/>
      <c r="B383" s="629" t="s">
        <v>892</v>
      </c>
      <c r="C383" s="550">
        <v>1</v>
      </c>
      <c r="D383" s="550" t="s">
        <v>103</v>
      </c>
      <c r="E383" s="543" t="s">
        <v>3055</v>
      </c>
      <c r="F383" s="631" t="s">
        <v>3055</v>
      </c>
      <c r="G383" s="543" t="s">
        <v>3054</v>
      </c>
      <c r="H383" s="567">
        <v>1</v>
      </c>
      <c r="I383" s="526">
        <v>1</v>
      </c>
      <c r="J383" s="526"/>
      <c r="K383" s="526"/>
      <c r="L383" s="565">
        <v>0</v>
      </c>
      <c r="M383" s="526"/>
      <c r="N383" s="526"/>
      <c r="O383" s="526"/>
      <c r="P383" s="565">
        <v>0</v>
      </c>
      <c r="Q383" s="526"/>
      <c r="R383" s="526"/>
      <c r="S383" s="526"/>
      <c r="T383" s="565">
        <v>0</v>
      </c>
      <c r="U383" s="526"/>
      <c r="V383" s="526"/>
      <c r="W383" s="608"/>
      <c r="X383" s="345" t="s">
        <v>151</v>
      </c>
      <c r="Y383" s="345"/>
      <c r="Z383" s="345"/>
    </row>
    <row r="384" spans="1:26" ht="12.75">
      <c r="A384" s="345"/>
      <c r="B384" s="629" t="s">
        <v>893</v>
      </c>
      <c r="C384" s="550">
        <v>1</v>
      </c>
      <c r="D384" s="550" t="s">
        <v>103</v>
      </c>
      <c r="E384" s="543" t="s">
        <v>3055</v>
      </c>
      <c r="F384" s="631" t="s">
        <v>3055</v>
      </c>
      <c r="G384" s="543" t="s">
        <v>3054</v>
      </c>
      <c r="H384" s="567">
        <v>1</v>
      </c>
      <c r="I384" s="526">
        <v>1</v>
      </c>
      <c r="J384" s="526"/>
      <c r="K384" s="526"/>
      <c r="L384" s="565">
        <v>0</v>
      </c>
      <c r="M384" s="526"/>
      <c r="N384" s="526"/>
      <c r="O384" s="526"/>
      <c r="P384" s="565">
        <v>0</v>
      </c>
      <c r="Q384" s="526"/>
      <c r="R384" s="526"/>
      <c r="S384" s="526"/>
      <c r="T384" s="565">
        <v>0</v>
      </c>
      <c r="U384" s="526"/>
      <c r="V384" s="526"/>
      <c r="W384" s="608"/>
      <c r="X384" s="345" t="s">
        <v>151</v>
      </c>
      <c r="Y384" s="345"/>
      <c r="Z384" s="345"/>
    </row>
    <row r="385" spans="1:26" ht="12.75">
      <c r="A385" s="345"/>
      <c r="B385" s="629" t="s">
        <v>234</v>
      </c>
      <c r="C385" s="550">
        <v>3</v>
      </c>
      <c r="D385" s="631" t="s">
        <v>103</v>
      </c>
      <c r="E385" s="557" t="s">
        <v>3055</v>
      </c>
      <c r="F385" s="554" t="s">
        <v>3055</v>
      </c>
      <c r="G385" s="550" t="s">
        <v>342</v>
      </c>
      <c r="H385" s="567">
        <v>1</v>
      </c>
      <c r="I385" s="557">
        <v>1</v>
      </c>
      <c r="J385" s="557"/>
      <c r="K385" s="557"/>
      <c r="L385" s="565">
        <v>1</v>
      </c>
      <c r="M385" s="557">
        <v>1</v>
      </c>
      <c r="N385" s="557"/>
      <c r="O385" s="557"/>
      <c r="P385" s="565">
        <v>1</v>
      </c>
      <c r="Q385" s="557">
        <v>1</v>
      </c>
      <c r="R385" s="557"/>
      <c r="S385" s="557"/>
      <c r="T385" s="565">
        <v>0</v>
      </c>
      <c r="U385" s="557"/>
      <c r="V385" s="557"/>
      <c r="W385" s="631"/>
      <c r="X385" s="345" t="s">
        <v>151</v>
      </c>
      <c r="Y385" s="345"/>
      <c r="Z385" s="345"/>
    </row>
    <row r="386" spans="1:26" ht="12.75">
      <c r="A386" s="345"/>
      <c r="B386" s="629" t="s">
        <v>239</v>
      </c>
      <c r="C386" s="550">
        <v>3</v>
      </c>
      <c r="D386" s="631" t="s">
        <v>103</v>
      </c>
      <c r="E386" s="557" t="s">
        <v>3055</v>
      </c>
      <c r="F386" s="557" t="s">
        <v>3055</v>
      </c>
      <c r="G386" s="608" t="s">
        <v>342</v>
      </c>
      <c r="H386" s="567">
        <v>1</v>
      </c>
      <c r="I386" s="557">
        <v>1</v>
      </c>
      <c r="J386" s="557"/>
      <c r="K386" s="557"/>
      <c r="L386" s="565">
        <v>1</v>
      </c>
      <c r="M386" s="557">
        <v>1</v>
      </c>
      <c r="N386" s="557"/>
      <c r="O386" s="557"/>
      <c r="P386" s="565">
        <v>1</v>
      </c>
      <c r="Q386" s="557">
        <v>1</v>
      </c>
      <c r="R386" s="557"/>
      <c r="S386" s="557"/>
      <c r="T386" s="565">
        <v>0</v>
      </c>
      <c r="U386" s="557"/>
      <c r="V386" s="557"/>
      <c r="W386" s="631"/>
      <c r="X386" s="345" t="s">
        <v>151</v>
      </c>
      <c r="Y386" s="345"/>
      <c r="Z386" s="345"/>
    </row>
    <row r="387" spans="1:26" ht="12.75">
      <c r="A387" s="345"/>
      <c r="B387" s="629" t="s">
        <v>568</v>
      </c>
      <c r="C387" s="550">
        <v>1</v>
      </c>
      <c r="D387" s="631" t="s">
        <v>103</v>
      </c>
      <c r="E387" s="557" t="s">
        <v>3055</v>
      </c>
      <c r="F387" s="557" t="s">
        <v>3055</v>
      </c>
      <c r="G387" s="608" t="s">
        <v>342</v>
      </c>
      <c r="H387" s="567">
        <v>1</v>
      </c>
      <c r="I387" s="557">
        <v>1</v>
      </c>
      <c r="J387" s="557"/>
      <c r="K387" s="557"/>
      <c r="L387" s="565">
        <v>0</v>
      </c>
      <c r="M387" s="557"/>
      <c r="N387" s="557"/>
      <c r="O387" s="557"/>
      <c r="P387" s="565">
        <v>0</v>
      </c>
      <c r="Q387" s="557"/>
      <c r="R387" s="557"/>
      <c r="S387" s="557"/>
      <c r="T387" s="565">
        <v>0</v>
      </c>
      <c r="U387" s="557"/>
      <c r="V387" s="557"/>
      <c r="W387" s="631"/>
      <c r="X387" s="345" t="s">
        <v>151</v>
      </c>
      <c r="Y387" s="345"/>
      <c r="Z387" s="345"/>
    </row>
    <row r="388" spans="1:26" ht="12.75">
      <c r="A388" s="345"/>
      <c r="B388" s="594" t="s">
        <v>547</v>
      </c>
      <c r="C388" s="547">
        <v>24</v>
      </c>
      <c r="D388" s="543" t="s">
        <v>103</v>
      </c>
      <c r="E388" s="543">
        <v>380</v>
      </c>
      <c r="F388" s="557" t="s">
        <v>3055</v>
      </c>
      <c r="G388" s="550" t="s">
        <v>342</v>
      </c>
      <c r="H388" s="567">
        <v>6</v>
      </c>
      <c r="I388" s="543">
        <v>2</v>
      </c>
      <c r="J388" s="543">
        <v>2</v>
      </c>
      <c r="K388" s="543">
        <v>2</v>
      </c>
      <c r="L388" s="565">
        <v>6</v>
      </c>
      <c r="M388" s="543">
        <v>2</v>
      </c>
      <c r="N388" s="543">
        <v>2</v>
      </c>
      <c r="O388" s="543">
        <v>2</v>
      </c>
      <c r="P388" s="565">
        <v>6</v>
      </c>
      <c r="Q388" s="543">
        <v>2</v>
      </c>
      <c r="R388" s="543">
        <v>2</v>
      </c>
      <c r="S388" s="543">
        <v>2</v>
      </c>
      <c r="T388" s="565">
        <v>6</v>
      </c>
      <c r="U388" s="543">
        <v>2</v>
      </c>
      <c r="V388" s="543">
        <v>2</v>
      </c>
      <c r="W388" s="547">
        <v>2</v>
      </c>
      <c r="X388" s="345" t="s">
        <v>151</v>
      </c>
      <c r="Y388" s="345"/>
      <c r="Z388" s="345"/>
    </row>
    <row r="389" spans="1:26" ht="12.75">
      <c r="A389" s="345"/>
      <c r="B389" s="594" t="s">
        <v>548</v>
      </c>
      <c r="C389" s="543">
        <v>12</v>
      </c>
      <c r="D389" s="543" t="s">
        <v>103</v>
      </c>
      <c r="E389" s="543">
        <v>380</v>
      </c>
      <c r="F389" s="557" t="s">
        <v>3055</v>
      </c>
      <c r="G389" s="608" t="s">
        <v>342</v>
      </c>
      <c r="H389" s="567">
        <v>3</v>
      </c>
      <c r="I389" s="543">
        <v>1</v>
      </c>
      <c r="J389" s="543">
        <v>1</v>
      </c>
      <c r="K389" s="543">
        <v>1</v>
      </c>
      <c r="L389" s="565">
        <v>3</v>
      </c>
      <c r="M389" s="543">
        <v>1</v>
      </c>
      <c r="N389" s="543">
        <v>1</v>
      </c>
      <c r="O389" s="543">
        <v>1</v>
      </c>
      <c r="P389" s="565">
        <v>3</v>
      </c>
      <c r="Q389" s="543">
        <v>1</v>
      </c>
      <c r="R389" s="543">
        <v>1</v>
      </c>
      <c r="S389" s="543">
        <v>1</v>
      </c>
      <c r="T389" s="565">
        <v>3</v>
      </c>
      <c r="U389" s="543">
        <v>1</v>
      </c>
      <c r="V389" s="543">
        <v>1</v>
      </c>
      <c r="W389" s="543">
        <v>1</v>
      </c>
      <c r="X389" s="345" t="s">
        <v>151</v>
      </c>
      <c r="Y389" s="345"/>
      <c r="Z389" s="345"/>
    </row>
    <row r="390" spans="1:26" ht="12.75">
      <c r="A390" s="345"/>
      <c r="B390" s="594" t="s">
        <v>549</v>
      </c>
      <c r="C390" s="543">
        <v>12</v>
      </c>
      <c r="D390" s="543" t="s">
        <v>103</v>
      </c>
      <c r="E390" s="543">
        <v>380</v>
      </c>
      <c r="F390" s="557" t="s">
        <v>3055</v>
      </c>
      <c r="G390" s="608" t="s">
        <v>342</v>
      </c>
      <c r="H390" s="567">
        <v>3</v>
      </c>
      <c r="I390" s="543">
        <v>1</v>
      </c>
      <c r="J390" s="543">
        <v>1</v>
      </c>
      <c r="K390" s="543">
        <v>1</v>
      </c>
      <c r="L390" s="565">
        <v>3</v>
      </c>
      <c r="M390" s="543">
        <v>1</v>
      </c>
      <c r="N390" s="543">
        <v>1</v>
      </c>
      <c r="O390" s="543">
        <v>1</v>
      </c>
      <c r="P390" s="565">
        <v>3</v>
      </c>
      <c r="Q390" s="543">
        <v>1</v>
      </c>
      <c r="R390" s="543">
        <v>1</v>
      </c>
      <c r="S390" s="543">
        <v>1</v>
      </c>
      <c r="T390" s="565">
        <v>3</v>
      </c>
      <c r="U390" s="543">
        <v>1</v>
      </c>
      <c r="V390" s="543">
        <v>1</v>
      </c>
      <c r="W390" s="543">
        <v>1</v>
      </c>
      <c r="X390" s="345" t="s">
        <v>151</v>
      </c>
      <c r="Y390" s="345"/>
      <c r="Z390" s="345"/>
    </row>
    <row r="391" spans="1:26" ht="12.75">
      <c r="A391" s="345"/>
      <c r="B391" s="594" t="s">
        <v>550</v>
      </c>
      <c r="C391" s="543">
        <v>12</v>
      </c>
      <c r="D391" s="543" t="s">
        <v>103</v>
      </c>
      <c r="E391" s="543">
        <v>380</v>
      </c>
      <c r="F391" s="557" t="s">
        <v>3055</v>
      </c>
      <c r="G391" s="608" t="s">
        <v>342</v>
      </c>
      <c r="H391" s="567">
        <v>3</v>
      </c>
      <c r="I391" s="543">
        <v>1</v>
      </c>
      <c r="J391" s="543">
        <v>1</v>
      </c>
      <c r="K391" s="543">
        <v>1</v>
      </c>
      <c r="L391" s="565">
        <v>3</v>
      </c>
      <c r="M391" s="543">
        <v>1</v>
      </c>
      <c r="N391" s="543">
        <v>1</v>
      </c>
      <c r="O391" s="543">
        <v>1</v>
      </c>
      <c r="P391" s="565">
        <v>3</v>
      </c>
      <c r="Q391" s="543">
        <v>1</v>
      </c>
      <c r="R391" s="543">
        <v>1</v>
      </c>
      <c r="S391" s="543">
        <v>1</v>
      </c>
      <c r="T391" s="565">
        <v>3</v>
      </c>
      <c r="U391" s="543">
        <v>1</v>
      </c>
      <c r="V391" s="543">
        <v>1</v>
      </c>
      <c r="W391" s="543">
        <v>1</v>
      </c>
      <c r="X391" s="345" t="s">
        <v>151</v>
      </c>
      <c r="Y391" s="345"/>
      <c r="Z391" s="345"/>
    </row>
    <row r="392" spans="1:26" ht="12.75">
      <c r="A392" s="345"/>
      <c r="B392" s="629" t="s">
        <v>882</v>
      </c>
      <c r="C392" s="550">
        <v>1</v>
      </c>
      <c r="D392" s="550" t="s">
        <v>103</v>
      </c>
      <c r="E392" s="543" t="s">
        <v>3055</v>
      </c>
      <c r="F392" s="631" t="s">
        <v>3055</v>
      </c>
      <c r="G392" s="526" t="s">
        <v>342</v>
      </c>
      <c r="H392" s="567">
        <v>1</v>
      </c>
      <c r="I392" s="526">
        <v>1</v>
      </c>
      <c r="J392" s="526"/>
      <c r="K392" s="526"/>
      <c r="L392" s="565">
        <v>0</v>
      </c>
      <c r="M392" s="526"/>
      <c r="N392" s="526"/>
      <c r="O392" s="526"/>
      <c r="P392" s="565">
        <v>0</v>
      </c>
      <c r="Q392" s="526"/>
      <c r="R392" s="526"/>
      <c r="S392" s="526"/>
      <c r="T392" s="565">
        <v>0</v>
      </c>
      <c r="U392" s="526"/>
      <c r="V392" s="526"/>
      <c r="W392" s="713"/>
      <c r="X392" s="345" t="s">
        <v>151</v>
      </c>
      <c r="Y392" s="345"/>
      <c r="Z392" s="345"/>
    </row>
    <row r="393" spans="1:26" ht="12.75">
      <c r="A393" s="345"/>
      <c r="B393" s="500" t="s">
        <v>873</v>
      </c>
      <c r="C393" s="616">
        <v>1</v>
      </c>
      <c r="D393" s="616" t="s">
        <v>103</v>
      </c>
      <c r="E393" s="616">
        <v>380</v>
      </c>
      <c r="F393" s="676">
        <v>380</v>
      </c>
      <c r="G393" s="485" t="s">
        <v>2973</v>
      </c>
      <c r="H393" s="616">
        <v>1</v>
      </c>
      <c r="I393" s="616">
        <v>1</v>
      </c>
      <c r="J393" s="616"/>
      <c r="K393" s="616"/>
      <c r="L393" s="616"/>
      <c r="M393" s="616"/>
      <c r="N393" s="616"/>
      <c r="O393" s="676"/>
      <c r="P393" s="616"/>
      <c r="Q393" s="495"/>
      <c r="R393" s="495"/>
      <c r="S393" s="495"/>
      <c r="T393" s="616"/>
      <c r="U393" s="495"/>
      <c r="V393" s="495"/>
      <c r="W393" s="547"/>
      <c r="X393" s="345" t="s">
        <v>177</v>
      </c>
      <c r="Y393" s="345"/>
      <c r="Z393" s="345"/>
    </row>
    <row r="394" spans="1:26" ht="12.75">
      <c r="A394" s="345"/>
      <c r="B394" s="497" t="s">
        <v>874</v>
      </c>
      <c r="C394" s="610">
        <v>1</v>
      </c>
      <c r="D394" s="610" t="s">
        <v>103</v>
      </c>
      <c r="E394" s="610">
        <v>380</v>
      </c>
      <c r="F394" s="680">
        <v>380</v>
      </c>
      <c r="G394" s="483" t="s">
        <v>2973</v>
      </c>
      <c r="H394" s="610">
        <v>1</v>
      </c>
      <c r="I394" s="610">
        <v>1</v>
      </c>
      <c r="J394" s="610"/>
      <c r="K394" s="610"/>
      <c r="L394" s="610"/>
      <c r="M394" s="610"/>
      <c r="N394" s="610"/>
      <c r="O394" s="680"/>
      <c r="P394" s="610"/>
      <c r="Q394" s="498"/>
      <c r="R394" s="498"/>
      <c r="S394" s="498"/>
      <c r="T394" s="610"/>
      <c r="U394" s="498"/>
      <c r="V394" s="498"/>
      <c r="W394" s="543"/>
      <c r="X394" s="345" t="s">
        <v>177</v>
      </c>
      <c r="Y394" s="345"/>
      <c r="Z394" s="345"/>
    </row>
    <row r="395" spans="1:26" ht="12.75">
      <c r="A395" s="345"/>
      <c r="B395" s="497" t="s">
        <v>877</v>
      </c>
      <c r="C395" s="610">
        <v>2</v>
      </c>
      <c r="D395" s="610" t="s">
        <v>103</v>
      </c>
      <c r="E395" s="610">
        <v>1000</v>
      </c>
      <c r="F395" s="610" t="s">
        <v>3052</v>
      </c>
      <c r="G395" s="483" t="s">
        <v>2973</v>
      </c>
      <c r="H395" s="610">
        <v>2</v>
      </c>
      <c r="I395" s="610">
        <v>2</v>
      </c>
      <c r="J395" s="610"/>
      <c r="K395" s="610"/>
      <c r="L395" s="610"/>
      <c r="M395" s="610"/>
      <c r="N395" s="610"/>
      <c r="O395" s="680"/>
      <c r="P395" s="610"/>
      <c r="Q395" s="680"/>
      <c r="R395" s="680"/>
      <c r="S395" s="610"/>
      <c r="T395" s="610"/>
      <c r="U395" s="680"/>
      <c r="V395" s="680"/>
      <c r="W395" s="543"/>
      <c r="X395" s="345" t="s">
        <v>177</v>
      </c>
      <c r="Y395" s="345"/>
      <c r="Z395" s="345"/>
    </row>
    <row r="396" spans="1:26" ht="12.75">
      <c r="A396" s="345"/>
      <c r="B396" s="594" t="s">
        <v>879</v>
      </c>
      <c r="C396" s="543">
        <v>1</v>
      </c>
      <c r="D396" s="543" t="s">
        <v>103</v>
      </c>
      <c r="E396" s="606">
        <v>1000</v>
      </c>
      <c r="F396" s="727">
        <v>1000</v>
      </c>
      <c r="G396" s="483" t="s">
        <v>2973</v>
      </c>
      <c r="H396" s="526">
        <v>1</v>
      </c>
      <c r="I396" s="526">
        <v>1</v>
      </c>
      <c r="J396" s="526"/>
      <c r="K396" s="526"/>
      <c r="L396" s="526"/>
      <c r="M396" s="526"/>
      <c r="N396" s="526"/>
      <c r="O396" s="526"/>
      <c r="P396" s="526"/>
      <c r="Q396" s="526"/>
      <c r="R396" s="526"/>
      <c r="S396" s="599"/>
      <c r="T396" s="608"/>
      <c r="U396" s="526"/>
      <c r="V396" s="526"/>
      <c r="W396" s="526"/>
      <c r="X396" s="345" t="s">
        <v>177</v>
      </c>
      <c r="Y396" s="345"/>
      <c r="Z396" s="345"/>
    </row>
    <row r="397" spans="1:26" ht="12.75">
      <c r="A397" s="345"/>
      <c r="B397" s="716" t="s">
        <v>889</v>
      </c>
      <c r="C397" s="526">
        <v>72</v>
      </c>
      <c r="D397" s="543" t="s">
        <v>103</v>
      </c>
      <c r="E397" s="529">
        <v>380</v>
      </c>
      <c r="F397" s="606">
        <v>27360</v>
      </c>
      <c r="G397" s="543" t="s">
        <v>342</v>
      </c>
      <c r="H397" s="728">
        <v>18</v>
      </c>
      <c r="I397" s="543">
        <v>6</v>
      </c>
      <c r="J397" s="543">
        <v>6</v>
      </c>
      <c r="K397" s="543">
        <v>6</v>
      </c>
      <c r="L397" s="728">
        <v>18</v>
      </c>
      <c r="M397" s="543">
        <v>6</v>
      </c>
      <c r="N397" s="543">
        <v>6</v>
      </c>
      <c r="O397" s="543">
        <v>6</v>
      </c>
      <c r="P397" s="728">
        <v>18</v>
      </c>
      <c r="Q397" s="543">
        <v>6</v>
      </c>
      <c r="R397" s="543">
        <v>6</v>
      </c>
      <c r="S397" s="543">
        <v>6</v>
      </c>
      <c r="T397" s="728">
        <v>18</v>
      </c>
      <c r="U397" s="543">
        <v>6</v>
      </c>
      <c r="V397" s="543">
        <v>6</v>
      </c>
      <c r="W397" s="543">
        <v>6</v>
      </c>
      <c r="X397" s="345" t="s">
        <v>177</v>
      </c>
      <c r="Y397" s="345"/>
      <c r="Z397" s="345"/>
    </row>
    <row r="398" spans="1:26" ht="12.75">
      <c r="A398" s="345"/>
      <c r="B398" s="594" t="s">
        <v>897</v>
      </c>
      <c r="C398" s="543">
        <v>24</v>
      </c>
      <c r="D398" s="543" t="s">
        <v>103</v>
      </c>
      <c r="E398" s="543">
        <v>380</v>
      </c>
      <c r="F398" s="548">
        <v>9120</v>
      </c>
      <c r="G398" s="543" t="s">
        <v>342</v>
      </c>
      <c r="H398" s="728">
        <v>6</v>
      </c>
      <c r="I398" s="543">
        <v>2</v>
      </c>
      <c r="J398" s="543">
        <v>2</v>
      </c>
      <c r="K398" s="543">
        <v>2</v>
      </c>
      <c r="L398" s="728">
        <v>6</v>
      </c>
      <c r="M398" s="543">
        <v>2</v>
      </c>
      <c r="N398" s="543">
        <v>2</v>
      </c>
      <c r="O398" s="543">
        <v>2</v>
      </c>
      <c r="P398" s="728">
        <v>6</v>
      </c>
      <c r="Q398" s="543">
        <v>2</v>
      </c>
      <c r="R398" s="543">
        <v>2</v>
      </c>
      <c r="S398" s="543">
        <v>2</v>
      </c>
      <c r="T398" s="728">
        <v>6</v>
      </c>
      <c r="U398" s="543">
        <v>2</v>
      </c>
      <c r="V398" s="543">
        <v>2</v>
      </c>
      <c r="W398" s="543">
        <v>2</v>
      </c>
      <c r="X398" s="345" t="s">
        <v>177</v>
      </c>
      <c r="Y398" s="345"/>
      <c r="Z398" s="345"/>
    </row>
    <row r="399" spans="1:26" ht="12.75">
      <c r="A399" s="345"/>
      <c r="B399" s="594" t="s">
        <v>900</v>
      </c>
      <c r="C399" s="543">
        <v>12</v>
      </c>
      <c r="D399" s="543" t="s">
        <v>103</v>
      </c>
      <c r="E399" s="543">
        <v>380</v>
      </c>
      <c r="F399" s="548">
        <v>4560</v>
      </c>
      <c r="G399" s="543" t="s">
        <v>342</v>
      </c>
      <c r="H399" s="728">
        <v>3</v>
      </c>
      <c r="I399" s="543">
        <v>1</v>
      </c>
      <c r="J399" s="543">
        <v>1</v>
      </c>
      <c r="K399" s="543">
        <v>1</v>
      </c>
      <c r="L399" s="728">
        <v>3</v>
      </c>
      <c r="M399" s="543">
        <v>1</v>
      </c>
      <c r="N399" s="543">
        <v>1</v>
      </c>
      <c r="O399" s="543">
        <v>1</v>
      </c>
      <c r="P399" s="728">
        <v>3</v>
      </c>
      <c r="Q399" s="543">
        <v>1</v>
      </c>
      <c r="R399" s="543">
        <v>1</v>
      </c>
      <c r="S399" s="543">
        <v>1</v>
      </c>
      <c r="T399" s="728">
        <v>3</v>
      </c>
      <c r="U399" s="543">
        <v>1</v>
      </c>
      <c r="V399" s="543">
        <v>1</v>
      </c>
      <c r="W399" s="543">
        <v>1</v>
      </c>
      <c r="X399" s="345" t="s">
        <v>177</v>
      </c>
      <c r="Y399" s="345"/>
      <c r="Z399" s="345"/>
    </row>
    <row r="400" spans="1:26" ht="12.75">
      <c r="A400" s="345"/>
      <c r="B400" s="594" t="s">
        <v>899</v>
      </c>
      <c r="C400" s="543">
        <v>12</v>
      </c>
      <c r="D400" s="543" t="s">
        <v>103</v>
      </c>
      <c r="E400" s="543">
        <v>380</v>
      </c>
      <c r="F400" s="548">
        <v>4560</v>
      </c>
      <c r="G400" s="543" t="s">
        <v>342</v>
      </c>
      <c r="H400" s="728">
        <v>3</v>
      </c>
      <c r="I400" s="543">
        <v>1</v>
      </c>
      <c r="J400" s="543">
        <v>1</v>
      </c>
      <c r="K400" s="543">
        <v>1</v>
      </c>
      <c r="L400" s="728">
        <v>3</v>
      </c>
      <c r="M400" s="543">
        <v>1</v>
      </c>
      <c r="N400" s="543">
        <v>1</v>
      </c>
      <c r="O400" s="543">
        <v>1</v>
      </c>
      <c r="P400" s="728">
        <v>3</v>
      </c>
      <c r="Q400" s="543">
        <v>1</v>
      </c>
      <c r="R400" s="543">
        <v>1</v>
      </c>
      <c r="S400" s="543">
        <v>1</v>
      </c>
      <c r="T400" s="728">
        <v>3</v>
      </c>
      <c r="U400" s="543">
        <v>1</v>
      </c>
      <c r="V400" s="543">
        <v>1</v>
      </c>
      <c r="W400" s="543">
        <v>1</v>
      </c>
      <c r="X400" s="345" t="s">
        <v>177</v>
      </c>
      <c r="Y400" s="345"/>
      <c r="Z400" s="345"/>
    </row>
    <row r="401" spans="1:26" ht="12.75">
      <c r="A401" s="345"/>
      <c r="B401" s="594" t="s">
        <v>898</v>
      </c>
      <c r="C401" s="543">
        <v>12</v>
      </c>
      <c r="D401" s="543" t="s">
        <v>103</v>
      </c>
      <c r="E401" s="543">
        <v>380</v>
      </c>
      <c r="F401" s="548">
        <v>4560</v>
      </c>
      <c r="G401" s="543" t="s">
        <v>342</v>
      </c>
      <c r="H401" s="728">
        <v>3</v>
      </c>
      <c r="I401" s="543">
        <v>1</v>
      </c>
      <c r="J401" s="543">
        <v>1</v>
      </c>
      <c r="K401" s="543">
        <v>1</v>
      </c>
      <c r="L401" s="728">
        <v>3</v>
      </c>
      <c r="M401" s="543">
        <v>1</v>
      </c>
      <c r="N401" s="543">
        <v>1</v>
      </c>
      <c r="O401" s="543">
        <v>1</v>
      </c>
      <c r="P401" s="728">
        <v>3</v>
      </c>
      <c r="Q401" s="543">
        <v>1</v>
      </c>
      <c r="R401" s="543">
        <v>1</v>
      </c>
      <c r="S401" s="543">
        <v>1</v>
      </c>
      <c r="T401" s="728">
        <v>3</v>
      </c>
      <c r="U401" s="543">
        <v>1</v>
      </c>
      <c r="V401" s="543">
        <v>1</v>
      </c>
      <c r="W401" s="543">
        <v>1</v>
      </c>
      <c r="X401" s="345" t="s">
        <v>177</v>
      </c>
      <c r="Y401" s="345"/>
      <c r="Z401" s="345"/>
    </row>
    <row r="402" spans="1:26" ht="12.75">
      <c r="A402" s="345"/>
      <c r="B402" s="588" t="s">
        <v>3056</v>
      </c>
      <c r="C402" s="589">
        <v>1</v>
      </c>
      <c r="D402" s="550"/>
      <c r="E402" s="598">
        <v>1886</v>
      </c>
      <c r="F402" s="605">
        <v>1886</v>
      </c>
      <c r="G402" s="547" t="s">
        <v>342</v>
      </c>
      <c r="H402" s="652">
        <v>1</v>
      </c>
      <c r="I402" s="589">
        <v>1</v>
      </c>
      <c r="J402" s="592"/>
      <c r="K402" s="592"/>
      <c r="L402" s="653"/>
      <c r="M402" s="589"/>
      <c r="N402" s="592"/>
      <c r="O402" s="592"/>
      <c r="P402" s="653"/>
      <c r="Q402" s="589"/>
      <c r="R402" s="592"/>
      <c r="S402" s="592"/>
      <c r="T402" s="653"/>
      <c r="U402" s="547"/>
      <c r="V402" s="547"/>
      <c r="W402" s="547"/>
      <c r="X402" s="345" t="s">
        <v>236</v>
      </c>
      <c r="Y402" s="345"/>
      <c r="Z402" s="345"/>
    </row>
    <row r="403" spans="1:26" ht="12.75">
      <c r="A403" s="345"/>
      <c r="B403" s="594" t="s">
        <v>234</v>
      </c>
      <c r="C403" s="589">
        <v>2</v>
      </c>
      <c r="D403" s="550" t="s">
        <v>103</v>
      </c>
      <c r="E403" s="528">
        <v>480</v>
      </c>
      <c r="F403" s="528">
        <v>960</v>
      </c>
      <c r="G403" s="543" t="s">
        <v>342</v>
      </c>
      <c r="H403" s="654">
        <v>1</v>
      </c>
      <c r="I403" s="589">
        <v>1</v>
      </c>
      <c r="J403" s="592"/>
      <c r="K403" s="592"/>
      <c r="L403" s="655">
        <v>0</v>
      </c>
      <c r="M403" s="589"/>
      <c r="N403" s="592"/>
      <c r="O403" s="592"/>
      <c r="P403" s="655">
        <v>1</v>
      </c>
      <c r="Q403" s="589">
        <v>1</v>
      </c>
      <c r="R403" s="592"/>
      <c r="S403" s="592"/>
      <c r="T403" s="655">
        <v>0</v>
      </c>
      <c r="U403" s="543"/>
      <c r="V403" s="543"/>
      <c r="W403" s="543"/>
      <c r="X403" s="345" t="s">
        <v>236</v>
      </c>
      <c r="Y403" s="345"/>
      <c r="Z403" s="345"/>
    </row>
    <row r="404" spans="1:26" ht="12.75">
      <c r="A404" s="345"/>
      <c r="B404" s="594" t="s">
        <v>239</v>
      </c>
      <c r="C404" s="589">
        <v>2</v>
      </c>
      <c r="D404" s="550" t="s">
        <v>103</v>
      </c>
      <c r="E404" s="528">
        <v>380</v>
      </c>
      <c r="F404" s="595">
        <v>760</v>
      </c>
      <c r="G404" s="543" t="s">
        <v>342</v>
      </c>
      <c r="H404" s="654">
        <v>1</v>
      </c>
      <c r="I404" s="589">
        <v>1</v>
      </c>
      <c r="J404" s="592"/>
      <c r="K404" s="592"/>
      <c r="L404" s="655">
        <v>0</v>
      </c>
      <c r="M404" s="589"/>
      <c r="N404" s="592"/>
      <c r="O404" s="592"/>
      <c r="P404" s="655">
        <v>1</v>
      </c>
      <c r="Q404" s="589">
        <v>1</v>
      </c>
      <c r="R404" s="592"/>
      <c r="S404" s="592"/>
      <c r="T404" s="655">
        <v>0</v>
      </c>
      <c r="U404" s="543"/>
      <c r="V404" s="543"/>
      <c r="W404" s="543"/>
      <c r="X404" s="345" t="s">
        <v>236</v>
      </c>
      <c r="Y404" s="345"/>
      <c r="Z404" s="345"/>
    </row>
    <row r="405" spans="1:26" ht="12.75">
      <c r="A405" s="345"/>
      <c r="B405" s="594" t="s">
        <v>493</v>
      </c>
      <c r="C405" s="589">
        <v>1</v>
      </c>
      <c r="D405" s="550" t="s">
        <v>466</v>
      </c>
      <c r="E405" s="606">
        <v>10000</v>
      </c>
      <c r="F405" s="606">
        <v>10000</v>
      </c>
      <c r="G405" s="543" t="s">
        <v>342</v>
      </c>
      <c r="H405" s="654">
        <v>1</v>
      </c>
      <c r="I405" s="589">
        <v>1</v>
      </c>
      <c r="J405" s="592"/>
      <c r="K405" s="592"/>
      <c r="L405" s="655">
        <v>0</v>
      </c>
      <c r="M405" s="589"/>
      <c r="N405" s="592"/>
      <c r="O405" s="592"/>
      <c r="P405" s="655">
        <v>0</v>
      </c>
      <c r="Q405" s="589"/>
      <c r="R405" s="592"/>
      <c r="S405" s="592"/>
      <c r="T405" s="655">
        <v>0</v>
      </c>
      <c r="U405" s="543"/>
      <c r="V405" s="543"/>
      <c r="W405" s="543"/>
      <c r="X405" s="345" t="s">
        <v>236</v>
      </c>
      <c r="Y405" s="345"/>
      <c r="Z405" s="345"/>
    </row>
    <row r="406" spans="1:26" ht="12.75">
      <c r="A406" s="345"/>
      <c r="B406" s="594" t="s">
        <v>623</v>
      </c>
      <c r="C406" s="589">
        <v>1</v>
      </c>
      <c r="D406" s="550" t="s">
        <v>103</v>
      </c>
      <c r="E406" s="606">
        <v>3000</v>
      </c>
      <c r="F406" s="598">
        <v>3000</v>
      </c>
      <c r="G406" s="543" t="s">
        <v>342</v>
      </c>
      <c r="H406" s="654">
        <v>1</v>
      </c>
      <c r="I406" s="589">
        <v>1</v>
      </c>
      <c r="J406" s="592"/>
      <c r="K406" s="592"/>
      <c r="L406" s="655">
        <v>0</v>
      </c>
      <c r="M406" s="589"/>
      <c r="N406" s="592"/>
      <c r="O406" s="592"/>
      <c r="P406" s="655">
        <v>0</v>
      </c>
      <c r="Q406" s="589"/>
      <c r="R406" s="592"/>
      <c r="S406" s="592"/>
      <c r="T406" s="655">
        <v>0</v>
      </c>
      <c r="U406" s="543"/>
      <c r="V406" s="543"/>
      <c r="W406" s="543"/>
      <c r="X406" s="345" t="s">
        <v>236</v>
      </c>
      <c r="Y406" s="345"/>
      <c r="Z406" s="345"/>
    </row>
    <row r="407" spans="1:26" ht="12.75">
      <c r="A407" s="345"/>
      <c r="B407" s="588" t="s">
        <v>3057</v>
      </c>
      <c r="C407" s="547">
        <v>12</v>
      </c>
      <c r="D407" s="547" t="s">
        <v>103</v>
      </c>
      <c r="E407" s="547">
        <v>320</v>
      </c>
      <c r="F407" s="607">
        <v>3840</v>
      </c>
      <c r="G407" s="543" t="s">
        <v>342</v>
      </c>
      <c r="H407" s="568">
        <v>3</v>
      </c>
      <c r="I407" s="547">
        <v>1</v>
      </c>
      <c r="J407" s="547">
        <v>1</v>
      </c>
      <c r="K407" s="547">
        <v>1</v>
      </c>
      <c r="L407" s="568">
        <v>3</v>
      </c>
      <c r="M407" s="547">
        <v>1</v>
      </c>
      <c r="N407" s="547">
        <v>1</v>
      </c>
      <c r="O407" s="547">
        <v>1</v>
      </c>
      <c r="P407" s="568">
        <v>3</v>
      </c>
      <c r="Q407" s="547">
        <v>1</v>
      </c>
      <c r="R407" s="547">
        <v>1</v>
      </c>
      <c r="S407" s="547">
        <v>1</v>
      </c>
      <c r="T407" s="568">
        <v>3</v>
      </c>
      <c r="U407" s="547">
        <v>1</v>
      </c>
      <c r="V407" s="547">
        <v>1</v>
      </c>
      <c r="W407" s="550">
        <v>1</v>
      </c>
      <c r="X407" s="345" t="s">
        <v>236</v>
      </c>
      <c r="Y407" s="345"/>
      <c r="Z407" s="345"/>
    </row>
    <row r="408" spans="1:26" ht="12.75">
      <c r="A408" s="345"/>
      <c r="B408" s="594" t="s">
        <v>3058</v>
      </c>
      <c r="C408" s="543">
        <v>12</v>
      </c>
      <c r="D408" s="543" t="s">
        <v>103</v>
      </c>
      <c r="E408" s="543">
        <v>300</v>
      </c>
      <c r="F408" s="607">
        <v>3600</v>
      </c>
      <c r="G408" s="543" t="s">
        <v>342</v>
      </c>
      <c r="H408" s="565">
        <v>3</v>
      </c>
      <c r="I408" s="543">
        <v>1</v>
      </c>
      <c r="J408" s="543">
        <v>1</v>
      </c>
      <c r="K408" s="543">
        <v>1</v>
      </c>
      <c r="L408" s="565">
        <v>3</v>
      </c>
      <c r="M408" s="543">
        <v>1</v>
      </c>
      <c r="N408" s="543">
        <v>1</v>
      </c>
      <c r="O408" s="543">
        <v>1</v>
      </c>
      <c r="P408" s="565">
        <v>3</v>
      </c>
      <c r="Q408" s="543">
        <v>1</v>
      </c>
      <c r="R408" s="543">
        <v>1</v>
      </c>
      <c r="S408" s="543">
        <v>1</v>
      </c>
      <c r="T408" s="565">
        <v>3</v>
      </c>
      <c r="U408" s="543">
        <v>1</v>
      </c>
      <c r="V408" s="543">
        <v>1</v>
      </c>
      <c r="W408" s="547">
        <v>1</v>
      </c>
      <c r="X408" s="345" t="s">
        <v>236</v>
      </c>
      <c r="Y408" s="345"/>
      <c r="Z408" s="345"/>
    </row>
    <row r="409" spans="1:26" ht="12.75">
      <c r="A409" s="345"/>
      <c r="B409" s="594" t="s">
        <v>3059</v>
      </c>
      <c r="C409" s="543">
        <v>12</v>
      </c>
      <c r="D409" s="543" t="s">
        <v>103</v>
      </c>
      <c r="E409" s="543">
        <v>300</v>
      </c>
      <c r="F409" s="607">
        <v>3600</v>
      </c>
      <c r="G409" s="543" t="s">
        <v>342</v>
      </c>
      <c r="H409" s="565">
        <v>3</v>
      </c>
      <c r="I409" s="543">
        <v>1</v>
      </c>
      <c r="J409" s="543">
        <v>1</v>
      </c>
      <c r="K409" s="543">
        <v>1</v>
      </c>
      <c r="L409" s="565">
        <v>3</v>
      </c>
      <c r="M409" s="543">
        <v>1</v>
      </c>
      <c r="N409" s="543">
        <v>1</v>
      </c>
      <c r="O409" s="543">
        <v>1</v>
      </c>
      <c r="P409" s="565">
        <v>3</v>
      </c>
      <c r="Q409" s="543">
        <v>1</v>
      </c>
      <c r="R409" s="543">
        <v>1</v>
      </c>
      <c r="S409" s="543">
        <v>1</v>
      </c>
      <c r="T409" s="565">
        <v>3</v>
      </c>
      <c r="U409" s="543">
        <v>1</v>
      </c>
      <c r="V409" s="543">
        <v>1</v>
      </c>
      <c r="W409" s="543">
        <v>1</v>
      </c>
      <c r="X409" s="345" t="s">
        <v>236</v>
      </c>
      <c r="Y409" s="345"/>
      <c r="Z409" s="345"/>
    </row>
    <row r="410" spans="1:26" ht="12.75">
      <c r="A410" s="345"/>
      <c r="B410" s="594" t="s">
        <v>3060</v>
      </c>
      <c r="C410" s="543">
        <v>12</v>
      </c>
      <c r="D410" s="543" t="s">
        <v>103</v>
      </c>
      <c r="E410" s="543">
        <v>300</v>
      </c>
      <c r="F410" s="607">
        <v>3600</v>
      </c>
      <c r="G410" s="543" t="s">
        <v>342</v>
      </c>
      <c r="H410" s="565">
        <v>3</v>
      </c>
      <c r="I410" s="543">
        <v>1</v>
      </c>
      <c r="J410" s="543">
        <v>1</v>
      </c>
      <c r="K410" s="543">
        <v>1</v>
      </c>
      <c r="L410" s="565">
        <v>3</v>
      </c>
      <c r="M410" s="543">
        <v>1</v>
      </c>
      <c r="N410" s="543">
        <v>1</v>
      </c>
      <c r="O410" s="543">
        <v>1</v>
      </c>
      <c r="P410" s="565">
        <v>3</v>
      </c>
      <c r="Q410" s="543">
        <v>1</v>
      </c>
      <c r="R410" s="543">
        <v>1</v>
      </c>
      <c r="S410" s="543">
        <v>1</v>
      </c>
      <c r="T410" s="565">
        <v>3</v>
      </c>
      <c r="U410" s="543">
        <v>1</v>
      </c>
      <c r="V410" s="543">
        <v>1</v>
      </c>
      <c r="W410" s="543">
        <v>1</v>
      </c>
      <c r="X410" s="345" t="s">
        <v>236</v>
      </c>
      <c r="Y410" s="345"/>
      <c r="Z410" s="345"/>
    </row>
    <row r="411" spans="1:26" ht="12.75">
      <c r="A411" s="345"/>
      <c r="B411" s="716" t="s">
        <v>3061</v>
      </c>
      <c r="C411" s="543">
        <v>48</v>
      </c>
      <c r="D411" s="543" t="s">
        <v>103</v>
      </c>
      <c r="E411" s="543">
        <v>500</v>
      </c>
      <c r="F411" s="607">
        <v>18000</v>
      </c>
      <c r="G411" s="543" t="s">
        <v>342</v>
      </c>
      <c r="H411" s="565">
        <v>12</v>
      </c>
      <c r="I411" s="543">
        <v>4</v>
      </c>
      <c r="J411" s="543">
        <v>4</v>
      </c>
      <c r="K411" s="543">
        <v>4</v>
      </c>
      <c r="L411" s="565">
        <v>12</v>
      </c>
      <c r="M411" s="543">
        <v>4</v>
      </c>
      <c r="N411" s="543">
        <v>4</v>
      </c>
      <c r="O411" s="543">
        <v>4</v>
      </c>
      <c r="P411" s="565">
        <v>12</v>
      </c>
      <c r="Q411" s="543">
        <v>4</v>
      </c>
      <c r="R411" s="543">
        <v>4</v>
      </c>
      <c r="S411" s="543">
        <v>4</v>
      </c>
      <c r="T411" s="565">
        <v>12</v>
      </c>
      <c r="U411" s="543">
        <v>4</v>
      </c>
      <c r="V411" s="543">
        <v>4</v>
      </c>
      <c r="W411" s="662">
        <v>4</v>
      </c>
      <c r="X411" s="345" t="s">
        <v>236</v>
      </c>
      <c r="Y411" s="345"/>
      <c r="Z411" s="345"/>
    </row>
    <row r="412" spans="1:26" ht="12.75">
      <c r="A412" s="345"/>
      <c r="B412" s="588" t="s">
        <v>234</v>
      </c>
      <c r="C412" s="589">
        <v>2</v>
      </c>
      <c r="D412" s="550" t="s">
        <v>103</v>
      </c>
      <c r="E412" s="710">
        <v>380</v>
      </c>
      <c r="F412" s="588">
        <v>760</v>
      </c>
      <c r="G412" s="659" t="s">
        <v>3038</v>
      </c>
      <c r="H412" s="653">
        <v>1</v>
      </c>
      <c r="I412" s="589">
        <v>1</v>
      </c>
      <c r="J412" s="592"/>
      <c r="K412" s="592"/>
      <c r="L412" s="653">
        <v>0</v>
      </c>
      <c r="M412" s="589"/>
      <c r="N412" s="592"/>
      <c r="O412" s="592"/>
      <c r="P412" s="653">
        <v>1</v>
      </c>
      <c r="Q412" s="589">
        <v>1</v>
      </c>
      <c r="R412" s="592"/>
      <c r="S412" s="592"/>
      <c r="T412" s="653">
        <v>0</v>
      </c>
      <c r="U412" s="547"/>
      <c r="V412" s="547"/>
      <c r="W412" s="547"/>
      <c r="X412" s="345" t="s">
        <v>3062</v>
      </c>
      <c r="Y412" s="345"/>
      <c r="Z412" s="345"/>
    </row>
    <row r="413" spans="1:26" ht="12.75">
      <c r="A413" s="345"/>
      <c r="B413" s="594" t="s">
        <v>239</v>
      </c>
      <c r="C413" s="589">
        <v>2</v>
      </c>
      <c r="D413" s="550" t="s">
        <v>103</v>
      </c>
      <c r="E413" s="712">
        <v>380</v>
      </c>
      <c r="F413" s="594">
        <v>760</v>
      </c>
      <c r="G413" s="630" t="s">
        <v>3038</v>
      </c>
      <c r="H413" s="655">
        <v>1</v>
      </c>
      <c r="I413" s="589">
        <v>1</v>
      </c>
      <c r="J413" s="592"/>
      <c r="K413" s="592"/>
      <c r="L413" s="655">
        <v>0</v>
      </c>
      <c r="M413" s="589"/>
      <c r="N413" s="592"/>
      <c r="O413" s="592"/>
      <c r="P413" s="655">
        <v>1</v>
      </c>
      <c r="Q413" s="589">
        <v>1</v>
      </c>
      <c r="R413" s="592"/>
      <c r="S413" s="592"/>
      <c r="T413" s="655">
        <v>0</v>
      </c>
      <c r="U413" s="543"/>
      <c r="V413" s="543"/>
      <c r="W413" s="543"/>
      <c r="X413" s="345" t="s">
        <v>3062</v>
      </c>
      <c r="Y413" s="345"/>
      <c r="Z413" s="345"/>
    </row>
    <row r="414" spans="1:26" ht="12.75">
      <c r="A414" s="345"/>
      <c r="B414" s="594" t="s">
        <v>493</v>
      </c>
      <c r="C414" s="589">
        <v>1</v>
      </c>
      <c r="D414" s="550" t="s">
        <v>103</v>
      </c>
      <c r="E414" s="661">
        <v>8500</v>
      </c>
      <c r="F414" s="658">
        <v>8500</v>
      </c>
      <c r="G414" s="630" t="s">
        <v>3038</v>
      </c>
      <c r="H414" s="655">
        <v>1</v>
      </c>
      <c r="I414" s="589">
        <v>1</v>
      </c>
      <c r="J414" s="592"/>
      <c r="K414" s="592"/>
      <c r="L414" s="655">
        <v>0</v>
      </c>
      <c r="M414" s="589"/>
      <c r="N414" s="592"/>
      <c r="O414" s="592"/>
      <c r="P414" s="655">
        <v>0</v>
      </c>
      <c r="Q414" s="589"/>
      <c r="R414" s="592"/>
      <c r="S414" s="592"/>
      <c r="T414" s="655">
        <v>0</v>
      </c>
      <c r="U414" s="543"/>
      <c r="V414" s="543"/>
      <c r="W414" s="543"/>
      <c r="X414" s="345" t="s">
        <v>3062</v>
      </c>
      <c r="Y414" s="345"/>
      <c r="Z414" s="345"/>
    </row>
    <row r="415" spans="1:26" ht="12.75">
      <c r="A415" s="345"/>
      <c r="B415" s="594" t="s">
        <v>568</v>
      </c>
      <c r="C415" s="589">
        <v>2</v>
      </c>
      <c r="D415" s="550" t="s">
        <v>103</v>
      </c>
      <c r="E415" s="661">
        <v>3500</v>
      </c>
      <c r="F415" s="658">
        <v>7000</v>
      </c>
      <c r="G415" s="630" t="s">
        <v>3038</v>
      </c>
      <c r="H415" s="655">
        <v>1</v>
      </c>
      <c r="I415" s="589">
        <v>1</v>
      </c>
      <c r="J415" s="592"/>
      <c r="K415" s="592"/>
      <c r="L415" s="655">
        <v>0</v>
      </c>
      <c r="M415" s="589"/>
      <c r="N415" s="592"/>
      <c r="O415" s="592"/>
      <c r="P415" s="655">
        <v>1</v>
      </c>
      <c r="Q415" s="589">
        <v>1</v>
      </c>
      <c r="R415" s="592"/>
      <c r="S415" s="592"/>
      <c r="T415" s="655">
        <v>0</v>
      </c>
      <c r="U415" s="543"/>
      <c r="V415" s="543"/>
      <c r="W415" s="543"/>
      <c r="X415" s="345" t="s">
        <v>3062</v>
      </c>
      <c r="Y415" s="345"/>
      <c r="Z415" s="345"/>
    </row>
    <row r="416" spans="1:26" ht="12.75">
      <c r="A416" s="345"/>
      <c r="B416" s="656" t="s">
        <v>483</v>
      </c>
      <c r="C416" s="592">
        <v>1</v>
      </c>
      <c r="D416" s="550" t="s">
        <v>103</v>
      </c>
      <c r="E416" s="661">
        <v>2500</v>
      </c>
      <c r="F416" s="658">
        <v>2500</v>
      </c>
      <c r="G416" s="630" t="s">
        <v>3038</v>
      </c>
      <c r="H416" s="655">
        <v>1</v>
      </c>
      <c r="I416" s="589">
        <v>1</v>
      </c>
      <c r="J416" s="592"/>
      <c r="K416" s="592"/>
      <c r="L416" s="655">
        <v>0</v>
      </c>
      <c r="M416" s="589"/>
      <c r="N416" s="592"/>
      <c r="O416" s="592"/>
      <c r="P416" s="655">
        <v>0</v>
      </c>
      <c r="Q416" s="589"/>
      <c r="R416" s="592"/>
      <c r="S416" s="592"/>
      <c r="T416" s="655">
        <v>0</v>
      </c>
      <c r="U416" s="543"/>
      <c r="V416" s="543"/>
      <c r="W416" s="543"/>
      <c r="X416" s="345" t="s">
        <v>3062</v>
      </c>
      <c r="Y416" s="345"/>
      <c r="Z416" s="345"/>
    </row>
    <row r="417" spans="1:26" ht="12.75">
      <c r="A417" s="345"/>
      <c r="B417" s="660" t="s">
        <v>836</v>
      </c>
      <c r="C417" s="592">
        <v>1</v>
      </c>
      <c r="D417" s="550" t="s">
        <v>466</v>
      </c>
      <c r="E417" s="661">
        <v>38100.97</v>
      </c>
      <c r="F417" s="594" t="s">
        <v>3052</v>
      </c>
      <c r="G417" s="630" t="s">
        <v>3038</v>
      </c>
      <c r="H417" s="655">
        <v>1</v>
      </c>
      <c r="I417" s="589">
        <v>1</v>
      </c>
      <c r="J417" s="592"/>
      <c r="K417" s="592"/>
      <c r="L417" s="655">
        <v>0</v>
      </c>
      <c r="M417" s="589"/>
      <c r="N417" s="592"/>
      <c r="O417" s="592"/>
      <c r="P417" s="655">
        <v>0</v>
      </c>
      <c r="Q417" s="589"/>
      <c r="R417" s="592"/>
      <c r="S417" s="592"/>
      <c r="T417" s="655">
        <v>0</v>
      </c>
      <c r="U417" s="543"/>
      <c r="V417" s="543"/>
      <c r="W417" s="543"/>
      <c r="X417" s="345" t="s">
        <v>3062</v>
      </c>
      <c r="Y417" s="345"/>
      <c r="Z417" s="345"/>
    </row>
    <row r="418" spans="1:26" ht="12.75">
      <c r="A418" s="345"/>
      <c r="B418" s="660" t="s">
        <v>817</v>
      </c>
      <c r="C418" s="592">
        <v>1</v>
      </c>
      <c r="D418" s="550" t="s">
        <v>103</v>
      </c>
      <c r="E418" s="661">
        <v>2500</v>
      </c>
      <c r="F418" s="658">
        <v>2500</v>
      </c>
      <c r="G418" s="630" t="s">
        <v>3038</v>
      </c>
      <c r="H418" s="729">
        <v>1</v>
      </c>
      <c r="I418" s="540">
        <v>1</v>
      </c>
      <c r="J418" s="730"/>
      <c r="K418" s="592"/>
      <c r="L418" s="655">
        <v>0</v>
      </c>
      <c r="M418" s="589"/>
      <c r="N418" s="592"/>
      <c r="O418" s="592"/>
      <c r="P418" s="655">
        <v>0</v>
      </c>
      <c r="Q418" s="589"/>
      <c r="R418" s="592"/>
      <c r="S418" s="592"/>
      <c r="T418" s="655">
        <v>0</v>
      </c>
      <c r="U418" s="543"/>
      <c r="V418" s="543"/>
      <c r="W418" s="543"/>
      <c r="X418" s="345" t="s">
        <v>3062</v>
      </c>
      <c r="Y418" s="345"/>
      <c r="Z418" s="345"/>
    </row>
    <row r="419" spans="1:26" ht="12.75">
      <c r="A419" s="345"/>
      <c r="B419" s="188" t="s">
        <v>482</v>
      </c>
      <c r="C419" s="731">
        <v>1</v>
      </c>
      <c r="D419" s="731" t="s">
        <v>103</v>
      </c>
      <c r="E419" s="732">
        <v>8500</v>
      </c>
      <c r="F419" s="733">
        <v>8500</v>
      </c>
      <c r="G419" s="630" t="s">
        <v>3038</v>
      </c>
      <c r="H419" s="198">
        <v>1</v>
      </c>
      <c r="I419" s="731">
        <v>1</v>
      </c>
      <c r="J419" s="734"/>
      <c r="K419" s="589"/>
      <c r="L419" s="655">
        <v>0</v>
      </c>
      <c r="M419" s="589"/>
      <c r="N419" s="592"/>
      <c r="O419" s="592"/>
      <c r="P419" s="655">
        <v>0</v>
      </c>
      <c r="Q419" s="589"/>
      <c r="R419" s="592"/>
      <c r="S419" s="592"/>
      <c r="T419" s="655">
        <v>0</v>
      </c>
      <c r="U419" s="543"/>
      <c r="V419" s="543"/>
      <c r="W419" s="543"/>
      <c r="X419" s="345" t="s">
        <v>3062</v>
      </c>
      <c r="Y419" s="345"/>
      <c r="Z419" s="345"/>
    </row>
    <row r="420" spans="1:26" ht="12.75">
      <c r="A420" s="345"/>
      <c r="B420" s="588" t="s">
        <v>234</v>
      </c>
      <c r="C420" s="589">
        <v>2</v>
      </c>
      <c r="D420" s="550" t="s">
        <v>103</v>
      </c>
      <c r="E420" s="710">
        <v>380</v>
      </c>
      <c r="F420" s="588">
        <v>760</v>
      </c>
      <c r="G420" s="659" t="s">
        <v>3038</v>
      </c>
      <c r="H420" s="653">
        <v>1</v>
      </c>
      <c r="I420" s="589">
        <v>1</v>
      </c>
      <c r="J420" s="592"/>
      <c r="K420" s="592"/>
      <c r="L420" s="653">
        <v>0</v>
      </c>
      <c r="M420" s="589"/>
      <c r="N420" s="592"/>
      <c r="O420" s="592"/>
      <c r="P420" s="653">
        <v>1</v>
      </c>
      <c r="Q420" s="589">
        <v>1</v>
      </c>
      <c r="R420" s="592"/>
      <c r="S420" s="592"/>
      <c r="T420" s="653">
        <v>0</v>
      </c>
      <c r="U420" s="547"/>
      <c r="V420" s="547"/>
      <c r="W420" s="547"/>
      <c r="X420" s="345" t="s">
        <v>3063</v>
      </c>
      <c r="Y420" s="345"/>
      <c r="Z420" s="345"/>
    </row>
    <row r="421" spans="1:26" ht="12.75">
      <c r="A421" s="345"/>
      <c r="B421" s="594" t="s">
        <v>239</v>
      </c>
      <c r="C421" s="589">
        <v>2</v>
      </c>
      <c r="D421" s="550" t="s">
        <v>103</v>
      </c>
      <c r="E421" s="712">
        <v>380</v>
      </c>
      <c r="F421" s="594">
        <v>760</v>
      </c>
      <c r="G421" s="630" t="s">
        <v>3038</v>
      </c>
      <c r="H421" s="655">
        <v>1</v>
      </c>
      <c r="I421" s="589">
        <v>1</v>
      </c>
      <c r="J421" s="592"/>
      <c r="K421" s="592"/>
      <c r="L421" s="655">
        <v>0</v>
      </c>
      <c r="M421" s="589"/>
      <c r="N421" s="592"/>
      <c r="O421" s="592"/>
      <c r="P421" s="655">
        <v>1</v>
      </c>
      <c r="Q421" s="589">
        <v>1</v>
      </c>
      <c r="R421" s="592"/>
      <c r="S421" s="592"/>
      <c r="T421" s="655">
        <v>0</v>
      </c>
      <c r="U421" s="543"/>
      <c r="V421" s="543"/>
      <c r="W421" s="543"/>
      <c r="X421" s="345" t="s">
        <v>3063</v>
      </c>
      <c r="Y421" s="345"/>
      <c r="Z421" s="345"/>
    </row>
    <row r="422" spans="1:26" ht="12.75">
      <c r="A422" s="345"/>
      <c r="B422" s="594" t="s">
        <v>493</v>
      </c>
      <c r="C422" s="589">
        <v>1</v>
      </c>
      <c r="D422" s="550" t="s">
        <v>103</v>
      </c>
      <c r="E422" s="661">
        <v>8500</v>
      </c>
      <c r="F422" s="658">
        <v>8500</v>
      </c>
      <c r="G422" s="630" t="s">
        <v>3038</v>
      </c>
      <c r="H422" s="655">
        <v>1</v>
      </c>
      <c r="I422" s="589">
        <v>1</v>
      </c>
      <c r="J422" s="592"/>
      <c r="K422" s="592"/>
      <c r="L422" s="655">
        <v>0</v>
      </c>
      <c r="M422" s="589"/>
      <c r="N422" s="592"/>
      <c r="O422" s="592"/>
      <c r="P422" s="655">
        <v>0</v>
      </c>
      <c r="Q422" s="589"/>
      <c r="R422" s="592"/>
      <c r="S422" s="592"/>
      <c r="T422" s="655">
        <v>0</v>
      </c>
      <c r="U422" s="543"/>
      <c r="V422" s="543"/>
      <c r="W422" s="543"/>
      <c r="X422" s="345" t="s">
        <v>3063</v>
      </c>
      <c r="Y422" s="345"/>
      <c r="Z422" s="345"/>
    </row>
    <row r="423" spans="1:26" ht="12.75">
      <c r="A423" s="345"/>
      <c r="B423" s="594" t="s">
        <v>568</v>
      </c>
      <c r="C423" s="589">
        <v>2</v>
      </c>
      <c r="D423" s="550" t="s">
        <v>103</v>
      </c>
      <c r="E423" s="661">
        <v>3500</v>
      </c>
      <c r="F423" s="658">
        <v>7000</v>
      </c>
      <c r="G423" s="630" t="s">
        <v>3038</v>
      </c>
      <c r="H423" s="655">
        <v>1</v>
      </c>
      <c r="I423" s="589">
        <v>1</v>
      </c>
      <c r="J423" s="592"/>
      <c r="K423" s="592"/>
      <c r="L423" s="655">
        <v>0</v>
      </c>
      <c r="M423" s="589"/>
      <c r="N423" s="592"/>
      <c r="O423" s="592"/>
      <c r="P423" s="655">
        <v>1</v>
      </c>
      <c r="Q423" s="589">
        <v>1</v>
      </c>
      <c r="R423" s="592"/>
      <c r="S423" s="592"/>
      <c r="T423" s="655">
        <v>0</v>
      </c>
      <c r="U423" s="543"/>
      <c r="V423" s="543"/>
      <c r="W423" s="543"/>
      <c r="X423" s="345" t="s">
        <v>3063</v>
      </c>
      <c r="Y423" s="345"/>
      <c r="Z423" s="345"/>
    </row>
    <row r="424" spans="1:26" ht="12.75">
      <c r="A424" s="345"/>
      <c r="B424" s="656" t="s">
        <v>483</v>
      </c>
      <c r="C424" s="592">
        <v>1</v>
      </c>
      <c r="D424" s="550" t="s">
        <v>103</v>
      </c>
      <c r="E424" s="661">
        <v>2500</v>
      </c>
      <c r="F424" s="658">
        <v>2500</v>
      </c>
      <c r="G424" s="630" t="s">
        <v>3038</v>
      </c>
      <c r="H424" s="655">
        <v>1</v>
      </c>
      <c r="I424" s="589">
        <v>1</v>
      </c>
      <c r="J424" s="592"/>
      <c r="K424" s="592"/>
      <c r="L424" s="655">
        <v>0</v>
      </c>
      <c r="M424" s="589"/>
      <c r="N424" s="592"/>
      <c r="O424" s="592"/>
      <c r="P424" s="655">
        <v>0</v>
      </c>
      <c r="Q424" s="589"/>
      <c r="R424" s="592"/>
      <c r="S424" s="592"/>
      <c r="T424" s="655">
        <v>0</v>
      </c>
      <c r="U424" s="543"/>
      <c r="V424" s="543"/>
      <c r="W424" s="543"/>
      <c r="X424" s="345" t="s">
        <v>3063</v>
      </c>
      <c r="Y424" s="345"/>
      <c r="Z424" s="345"/>
    </row>
    <row r="425" spans="1:26" ht="12.75">
      <c r="A425" s="345"/>
      <c r="B425" s="660" t="s">
        <v>909</v>
      </c>
      <c r="C425" s="592">
        <v>1</v>
      </c>
      <c r="D425" s="550" t="s">
        <v>466</v>
      </c>
      <c r="E425" s="661">
        <v>38100.97</v>
      </c>
      <c r="F425" s="594" t="s">
        <v>3052</v>
      </c>
      <c r="G425" s="630" t="s">
        <v>3038</v>
      </c>
      <c r="H425" s="655">
        <v>1</v>
      </c>
      <c r="I425" s="589">
        <v>1</v>
      </c>
      <c r="J425" s="592"/>
      <c r="K425" s="592"/>
      <c r="L425" s="655">
        <v>0</v>
      </c>
      <c r="M425" s="589"/>
      <c r="N425" s="592"/>
      <c r="O425" s="592"/>
      <c r="P425" s="655">
        <v>0</v>
      </c>
      <c r="Q425" s="589"/>
      <c r="R425" s="592"/>
      <c r="S425" s="592"/>
      <c r="T425" s="655">
        <v>0</v>
      </c>
      <c r="U425" s="543"/>
      <c r="V425" s="543"/>
      <c r="W425" s="543"/>
      <c r="X425" s="345" t="s">
        <v>3063</v>
      </c>
      <c r="Y425" s="345"/>
      <c r="Z425" s="345"/>
    </row>
    <row r="426" spans="1:26" ht="12.75">
      <c r="A426" s="345"/>
      <c r="B426" s="660" t="s">
        <v>817</v>
      </c>
      <c r="C426" s="592">
        <v>1</v>
      </c>
      <c r="D426" s="550" t="s">
        <v>103</v>
      </c>
      <c r="E426" s="661">
        <v>2500</v>
      </c>
      <c r="F426" s="658">
        <v>2500</v>
      </c>
      <c r="G426" s="630" t="s">
        <v>3038</v>
      </c>
      <c r="H426" s="729">
        <v>1</v>
      </c>
      <c r="I426" s="540">
        <v>1</v>
      </c>
      <c r="J426" s="730"/>
      <c r="K426" s="592"/>
      <c r="L426" s="655">
        <v>0</v>
      </c>
      <c r="M426" s="589"/>
      <c r="N426" s="592"/>
      <c r="O426" s="592"/>
      <c r="P426" s="655">
        <v>0</v>
      </c>
      <c r="Q426" s="589"/>
      <c r="R426" s="592"/>
      <c r="S426" s="592"/>
      <c r="T426" s="655">
        <v>0</v>
      </c>
      <c r="U426" s="543"/>
      <c r="V426" s="543"/>
      <c r="W426" s="543"/>
      <c r="X426" s="345" t="s">
        <v>3063</v>
      </c>
      <c r="Y426" s="345"/>
      <c r="Z426" s="345"/>
    </row>
    <row r="427" spans="1:26" ht="12.75">
      <c r="A427" s="345"/>
      <c r="B427" s="188" t="s">
        <v>482</v>
      </c>
      <c r="C427" s="731">
        <v>1</v>
      </c>
      <c r="D427" s="731" t="s">
        <v>103</v>
      </c>
      <c r="E427" s="732">
        <v>8500</v>
      </c>
      <c r="F427" s="733">
        <v>8500</v>
      </c>
      <c r="G427" s="630" t="s">
        <v>3038</v>
      </c>
      <c r="H427" s="198">
        <v>1</v>
      </c>
      <c r="I427" s="731">
        <v>1</v>
      </c>
      <c r="J427" s="734"/>
      <c r="K427" s="589"/>
      <c r="L427" s="655">
        <v>0</v>
      </c>
      <c r="M427" s="589"/>
      <c r="N427" s="592"/>
      <c r="O427" s="592"/>
      <c r="P427" s="655">
        <v>0</v>
      </c>
      <c r="Q427" s="589"/>
      <c r="R427" s="592"/>
      <c r="S427" s="592"/>
      <c r="T427" s="655">
        <v>0</v>
      </c>
      <c r="U427" s="543"/>
      <c r="V427" s="543"/>
      <c r="W427" s="543"/>
      <c r="X427" s="345" t="s">
        <v>3063</v>
      </c>
      <c r="Y427" s="345"/>
      <c r="Z427" s="345"/>
    </row>
    <row r="428" spans="1:26" ht="12.75">
      <c r="A428" s="345"/>
      <c r="B428" s="588" t="s">
        <v>3064</v>
      </c>
      <c r="C428" s="521">
        <v>35</v>
      </c>
      <c r="D428" s="547" t="s">
        <v>103</v>
      </c>
      <c r="E428" s="735"/>
      <c r="F428" s="590"/>
      <c r="G428" s="547"/>
      <c r="H428" s="567">
        <v>9</v>
      </c>
      <c r="I428" s="589"/>
      <c r="J428" s="592"/>
      <c r="K428" s="592"/>
      <c r="L428" s="726">
        <v>8</v>
      </c>
      <c r="M428" s="592"/>
      <c r="N428" s="592"/>
      <c r="O428" s="592"/>
      <c r="P428" s="726">
        <v>9</v>
      </c>
      <c r="Q428" s="592"/>
      <c r="R428" s="592"/>
      <c r="S428" s="592"/>
      <c r="T428" s="726">
        <v>9</v>
      </c>
      <c r="U428" s="550"/>
      <c r="V428" s="543"/>
      <c r="W428" s="543"/>
      <c r="X428" s="345" t="s">
        <v>3063</v>
      </c>
      <c r="Y428" s="345"/>
      <c r="Z428" s="345"/>
    </row>
    <row r="429" spans="1:26" ht="12.75">
      <c r="A429" s="345"/>
      <c r="B429" s="594" t="s">
        <v>3065</v>
      </c>
      <c r="C429" s="526">
        <v>24</v>
      </c>
      <c r="D429" s="543" t="s">
        <v>103</v>
      </c>
      <c r="E429" s="735"/>
      <c r="F429" s="595"/>
      <c r="G429" s="543"/>
      <c r="H429" s="567">
        <v>6</v>
      </c>
      <c r="I429" s="589"/>
      <c r="J429" s="592"/>
      <c r="K429" s="592"/>
      <c r="L429" s="567">
        <v>6</v>
      </c>
      <c r="M429" s="592"/>
      <c r="N429" s="592"/>
      <c r="O429" s="592"/>
      <c r="P429" s="567">
        <v>6</v>
      </c>
      <c r="Q429" s="592"/>
      <c r="R429" s="592"/>
      <c r="S429" s="592"/>
      <c r="T429" s="567">
        <v>6</v>
      </c>
      <c r="U429" s="550"/>
      <c r="V429" s="543"/>
      <c r="W429" s="543"/>
      <c r="X429" s="345" t="s">
        <v>3063</v>
      </c>
      <c r="Y429" s="345"/>
      <c r="Z429" s="345"/>
    </row>
    <row r="430" spans="1:26" ht="12.75">
      <c r="A430" s="345"/>
      <c r="B430" s="594" t="s">
        <v>3066</v>
      </c>
      <c r="C430" s="526">
        <v>24</v>
      </c>
      <c r="D430" s="543" t="s">
        <v>103</v>
      </c>
      <c r="E430" s="735"/>
      <c r="F430" s="595"/>
      <c r="G430" s="543"/>
      <c r="H430" s="567">
        <v>6</v>
      </c>
      <c r="I430" s="589"/>
      <c r="J430" s="592"/>
      <c r="K430" s="592"/>
      <c r="L430" s="567">
        <v>6</v>
      </c>
      <c r="M430" s="592"/>
      <c r="N430" s="592"/>
      <c r="O430" s="592"/>
      <c r="P430" s="567">
        <v>6</v>
      </c>
      <c r="Q430" s="592"/>
      <c r="R430" s="592"/>
      <c r="S430" s="592"/>
      <c r="T430" s="567">
        <v>6</v>
      </c>
      <c r="U430" s="550"/>
      <c r="V430" s="543"/>
      <c r="W430" s="543"/>
      <c r="X430" s="345" t="s">
        <v>3063</v>
      </c>
      <c r="Y430" s="345"/>
      <c r="Z430" s="345"/>
    </row>
    <row r="431" spans="1:26" ht="12.75">
      <c r="A431" s="345"/>
      <c r="B431" s="594" t="s">
        <v>3067</v>
      </c>
      <c r="C431" s="526">
        <v>24</v>
      </c>
      <c r="D431" s="543" t="s">
        <v>103</v>
      </c>
      <c r="E431" s="735"/>
      <c r="F431" s="595"/>
      <c r="G431" s="543"/>
      <c r="H431" s="567">
        <v>6</v>
      </c>
      <c r="I431" s="589"/>
      <c r="J431" s="592"/>
      <c r="K431" s="592"/>
      <c r="L431" s="567">
        <v>6</v>
      </c>
      <c r="M431" s="592"/>
      <c r="N431" s="592"/>
      <c r="O431" s="592"/>
      <c r="P431" s="567">
        <v>6</v>
      </c>
      <c r="Q431" s="592"/>
      <c r="R431" s="592"/>
      <c r="S431" s="592"/>
      <c r="T431" s="567">
        <v>6</v>
      </c>
      <c r="U431" s="550"/>
      <c r="V431" s="543"/>
      <c r="W431" s="543"/>
      <c r="X431" s="345" t="s">
        <v>3063</v>
      </c>
      <c r="Y431" s="345"/>
      <c r="Z431" s="345"/>
    </row>
    <row r="432" spans="1:26" ht="12.75">
      <c r="A432" s="345"/>
      <c r="B432" s="588" t="s">
        <v>234</v>
      </c>
      <c r="C432" s="589">
        <v>2</v>
      </c>
      <c r="D432" s="550" t="s">
        <v>103</v>
      </c>
      <c r="E432" s="710">
        <v>380</v>
      </c>
      <c r="F432" s="588">
        <v>760</v>
      </c>
      <c r="G432" s="659" t="s">
        <v>3038</v>
      </c>
      <c r="H432" s="653">
        <v>1</v>
      </c>
      <c r="I432" s="589">
        <v>1</v>
      </c>
      <c r="J432" s="592"/>
      <c r="K432" s="592"/>
      <c r="L432" s="653">
        <v>0</v>
      </c>
      <c r="M432" s="589"/>
      <c r="N432" s="592"/>
      <c r="O432" s="592"/>
      <c r="P432" s="653">
        <v>1</v>
      </c>
      <c r="Q432" s="589">
        <v>1</v>
      </c>
      <c r="R432" s="592"/>
      <c r="S432" s="592"/>
      <c r="T432" s="653">
        <v>0</v>
      </c>
      <c r="U432" s="547"/>
      <c r="V432" s="547"/>
      <c r="W432" s="547"/>
      <c r="X432" s="345" t="s">
        <v>3068</v>
      </c>
      <c r="Y432" s="345"/>
      <c r="Z432" s="345"/>
    </row>
    <row r="433" spans="1:26" ht="12.75">
      <c r="A433" s="345"/>
      <c r="B433" s="594" t="s">
        <v>239</v>
      </c>
      <c r="C433" s="589">
        <v>2</v>
      </c>
      <c r="D433" s="550" t="s">
        <v>103</v>
      </c>
      <c r="E433" s="712">
        <v>380</v>
      </c>
      <c r="F433" s="594">
        <v>760</v>
      </c>
      <c r="G433" s="630" t="s">
        <v>3038</v>
      </c>
      <c r="H433" s="655">
        <v>1</v>
      </c>
      <c r="I433" s="589">
        <v>1</v>
      </c>
      <c r="J433" s="592"/>
      <c r="K433" s="592"/>
      <c r="L433" s="655">
        <v>0</v>
      </c>
      <c r="M433" s="589"/>
      <c r="N433" s="592"/>
      <c r="O433" s="592"/>
      <c r="P433" s="655">
        <v>1</v>
      </c>
      <c r="Q433" s="589">
        <v>1</v>
      </c>
      <c r="R433" s="592"/>
      <c r="S433" s="592"/>
      <c r="T433" s="655">
        <v>0</v>
      </c>
      <c r="U433" s="543"/>
      <c r="V433" s="543"/>
      <c r="W433" s="543"/>
      <c r="X433" s="345" t="s">
        <v>3068</v>
      </c>
      <c r="Y433" s="345"/>
      <c r="Z433" s="345"/>
    </row>
    <row r="434" spans="1:26" ht="12.75">
      <c r="A434" s="345"/>
      <c r="B434" s="594" t="s">
        <v>493</v>
      </c>
      <c r="C434" s="589">
        <v>2</v>
      </c>
      <c r="D434" s="550" t="s">
        <v>103</v>
      </c>
      <c r="E434" s="661">
        <v>3500</v>
      </c>
      <c r="F434" s="658">
        <v>7000</v>
      </c>
      <c r="G434" s="630" t="s">
        <v>3038</v>
      </c>
      <c r="H434" s="655">
        <v>1</v>
      </c>
      <c r="I434" s="589">
        <v>1</v>
      </c>
      <c r="J434" s="592"/>
      <c r="K434" s="592"/>
      <c r="L434" s="655">
        <v>0</v>
      </c>
      <c r="M434" s="589"/>
      <c r="N434" s="592"/>
      <c r="O434" s="592"/>
      <c r="P434" s="655">
        <v>1</v>
      </c>
      <c r="Q434" s="589">
        <v>1</v>
      </c>
      <c r="R434" s="592"/>
      <c r="S434" s="592"/>
      <c r="T434" s="655">
        <v>0</v>
      </c>
      <c r="U434" s="543"/>
      <c r="V434" s="543"/>
      <c r="W434" s="543"/>
      <c r="X434" s="345" t="s">
        <v>3068</v>
      </c>
      <c r="Y434" s="345"/>
      <c r="Z434" s="345"/>
    </row>
    <row r="435" spans="1:26" ht="12.75">
      <c r="A435" s="345"/>
      <c r="B435" s="594" t="s">
        <v>568</v>
      </c>
      <c r="C435" s="589">
        <v>5</v>
      </c>
      <c r="D435" s="550" t="s">
        <v>103</v>
      </c>
      <c r="E435" s="661">
        <v>2500</v>
      </c>
      <c r="F435" s="594" t="s">
        <v>3052</v>
      </c>
      <c r="G435" s="630" t="s">
        <v>3038</v>
      </c>
      <c r="H435" s="655">
        <v>5</v>
      </c>
      <c r="I435" s="589">
        <v>5</v>
      </c>
      <c r="J435" s="592"/>
      <c r="K435" s="592"/>
      <c r="L435" s="655">
        <v>0</v>
      </c>
      <c r="M435" s="589"/>
      <c r="N435" s="592"/>
      <c r="O435" s="592"/>
      <c r="P435" s="655">
        <v>0</v>
      </c>
      <c r="Q435" s="589"/>
      <c r="R435" s="592"/>
      <c r="S435" s="592"/>
      <c r="T435" s="655">
        <v>0</v>
      </c>
      <c r="U435" s="543"/>
      <c r="V435" s="543"/>
      <c r="W435" s="543"/>
      <c r="X435" s="345" t="s">
        <v>3068</v>
      </c>
      <c r="Y435" s="345"/>
      <c r="Z435" s="345"/>
    </row>
    <row r="436" spans="1:26" ht="12.75">
      <c r="A436" s="345"/>
      <c r="B436" s="656" t="s">
        <v>483</v>
      </c>
      <c r="C436" s="592">
        <v>1</v>
      </c>
      <c r="D436" s="550" t="s">
        <v>103</v>
      </c>
      <c r="E436" s="661">
        <v>2500</v>
      </c>
      <c r="F436" s="658">
        <v>2500</v>
      </c>
      <c r="G436" s="630" t="s">
        <v>3038</v>
      </c>
      <c r="H436" s="655">
        <v>1</v>
      </c>
      <c r="I436" s="589">
        <v>1</v>
      </c>
      <c r="J436" s="592"/>
      <c r="K436" s="592"/>
      <c r="L436" s="655">
        <v>0</v>
      </c>
      <c r="M436" s="589"/>
      <c r="N436" s="592"/>
      <c r="O436" s="592"/>
      <c r="P436" s="655">
        <v>0</v>
      </c>
      <c r="Q436" s="589"/>
      <c r="R436" s="592"/>
      <c r="S436" s="592"/>
      <c r="T436" s="655">
        <v>0</v>
      </c>
      <c r="U436" s="543"/>
      <c r="V436" s="543"/>
      <c r="W436" s="543"/>
      <c r="X436" s="345" t="s">
        <v>3068</v>
      </c>
      <c r="Y436" s="345"/>
      <c r="Z436" s="345"/>
    </row>
    <row r="437" spans="1:26" ht="12.75">
      <c r="A437" s="345"/>
      <c r="B437" s="660" t="s">
        <v>836</v>
      </c>
      <c r="C437" s="592">
        <v>1</v>
      </c>
      <c r="D437" s="550" t="s">
        <v>103</v>
      </c>
      <c r="E437" s="661">
        <v>38100.97</v>
      </c>
      <c r="F437" s="594" t="s">
        <v>3052</v>
      </c>
      <c r="G437" s="630" t="s">
        <v>3038</v>
      </c>
      <c r="H437" s="655">
        <v>1</v>
      </c>
      <c r="I437" s="589">
        <v>1</v>
      </c>
      <c r="J437" s="592"/>
      <c r="K437" s="592"/>
      <c r="L437" s="655">
        <v>0</v>
      </c>
      <c r="M437" s="589"/>
      <c r="N437" s="592"/>
      <c r="O437" s="592"/>
      <c r="P437" s="655">
        <v>0</v>
      </c>
      <c r="Q437" s="589"/>
      <c r="R437" s="592"/>
      <c r="S437" s="592"/>
      <c r="T437" s="655">
        <v>0</v>
      </c>
      <c r="U437" s="543"/>
      <c r="V437" s="543"/>
      <c r="W437" s="543"/>
      <c r="X437" s="345" t="s">
        <v>3068</v>
      </c>
      <c r="Y437" s="345"/>
      <c r="Z437" s="345"/>
    </row>
    <row r="438" spans="1:26" ht="12.75">
      <c r="A438" s="345"/>
      <c r="B438" s="660" t="s">
        <v>817</v>
      </c>
      <c r="C438" s="592">
        <v>1</v>
      </c>
      <c r="D438" s="550" t="s">
        <v>103</v>
      </c>
      <c r="E438" s="661">
        <v>2500</v>
      </c>
      <c r="F438" s="658">
        <v>2500</v>
      </c>
      <c r="G438" s="630" t="s">
        <v>3038</v>
      </c>
      <c r="H438" s="655">
        <v>1</v>
      </c>
      <c r="I438" s="589">
        <v>1</v>
      </c>
      <c r="J438" s="592"/>
      <c r="K438" s="592"/>
      <c r="L438" s="655">
        <v>0</v>
      </c>
      <c r="M438" s="589"/>
      <c r="N438" s="592"/>
      <c r="O438" s="592"/>
      <c r="P438" s="655">
        <v>0</v>
      </c>
      <c r="Q438" s="589"/>
      <c r="R438" s="592"/>
      <c r="S438" s="592"/>
      <c r="T438" s="655">
        <v>0</v>
      </c>
      <c r="U438" s="543"/>
      <c r="V438" s="543"/>
      <c r="W438" s="543"/>
      <c r="X438" s="345" t="s">
        <v>3068</v>
      </c>
      <c r="Y438" s="345"/>
      <c r="Z438" s="345"/>
    </row>
    <row r="439" spans="1:26" ht="12.75">
      <c r="A439" s="345"/>
      <c r="B439" s="497" t="s">
        <v>454</v>
      </c>
      <c r="C439" s="485">
        <v>12</v>
      </c>
      <c r="D439" s="485" t="s">
        <v>103</v>
      </c>
      <c r="E439" s="483">
        <v>140.5</v>
      </c>
      <c r="F439" s="485">
        <v>1686</v>
      </c>
      <c r="G439" s="662" t="s">
        <v>342</v>
      </c>
      <c r="H439" s="638">
        <v>3</v>
      </c>
      <c r="I439" s="485">
        <v>1</v>
      </c>
      <c r="J439" s="485">
        <v>1</v>
      </c>
      <c r="K439" s="485">
        <v>1</v>
      </c>
      <c r="L439" s="637">
        <v>3</v>
      </c>
      <c r="M439" s="485">
        <v>1</v>
      </c>
      <c r="N439" s="485">
        <v>1</v>
      </c>
      <c r="O439" s="485">
        <v>1</v>
      </c>
      <c r="P439" s="637">
        <v>3</v>
      </c>
      <c r="Q439" s="485">
        <v>1</v>
      </c>
      <c r="R439" s="485">
        <v>1</v>
      </c>
      <c r="S439" s="485">
        <v>1</v>
      </c>
      <c r="T439" s="637">
        <v>3</v>
      </c>
      <c r="U439" s="485">
        <v>1</v>
      </c>
      <c r="V439" s="485">
        <v>1</v>
      </c>
      <c r="W439" s="482">
        <v>1</v>
      </c>
      <c r="X439" s="345" t="s">
        <v>3068</v>
      </c>
      <c r="Y439" s="345"/>
      <c r="Z439" s="345"/>
    </row>
    <row r="440" spans="1:26" ht="12.75">
      <c r="A440" s="345"/>
      <c r="B440" s="494" t="s">
        <v>234</v>
      </c>
      <c r="C440" s="736">
        <v>2</v>
      </c>
      <c r="D440" s="664" t="s">
        <v>103</v>
      </c>
      <c r="E440" s="737">
        <v>380</v>
      </c>
      <c r="F440" s="737">
        <v>760</v>
      </c>
      <c r="G440" s="659" t="s">
        <v>3038</v>
      </c>
      <c r="H440" s="653">
        <v>1</v>
      </c>
      <c r="I440" s="589">
        <v>1</v>
      </c>
      <c r="J440" s="592"/>
      <c r="K440" s="592"/>
      <c r="L440" s="653">
        <v>0</v>
      </c>
      <c r="M440" s="589"/>
      <c r="N440" s="592"/>
      <c r="O440" s="592"/>
      <c r="P440" s="653">
        <v>1</v>
      </c>
      <c r="Q440" s="589">
        <v>1</v>
      </c>
      <c r="R440" s="592"/>
      <c r="S440" s="592"/>
      <c r="T440" s="653">
        <v>0</v>
      </c>
      <c r="U440" s="547"/>
      <c r="V440" s="547"/>
      <c r="W440" s="547"/>
      <c r="X440" s="345" t="s">
        <v>3069</v>
      </c>
      <c r="Y440" s="345"/>
      <c r="Z440" s="345"/>
    </row>
    <row r="441" spans="1:26" ht="12.75">
      <c r="A441" s="345"/>
      <c r="B441" s="511" t="s">
        <v>239</v>
      </c>
      <c r="C441" s="736">
        <v>2</v>
      </c>
      <c r="D441" s="664" t="s">
        <v>103</v>
      </c>
      <c r="E441" s="664">
        <v>380</v>
      </c>
      <c r="F441" s="664">
        <v>760</v>
      </c>
      <c r="G441" s="630" t="s">
        <v>3038</v>
      </c>
      <c r="H441" s="655">
        <v>1</v>
      </c>
      <c r="I441" s="589">
        <v>1</v>
      </c>
      <c r="J441" s="592"/>
      <c r="K441" s="592"/>
      <c r="L441" s="655">
        <v>0</v>
      </c>
      <c r="M441" s="589"/>
      <c r="N441" s="592"/>
      <c r="O441" s="592"/>
      <c r="P441" s="655">
        <v>1</v>
      </c>
      <c r="Q441" s="589">
        <v>1</v>
      </c>
      <c r="R441" s="592"/>
      <c r="S441" s="592"/>
      <c r="T441" s="655">
        <v>0</v>
      </c>
      <c r="U441" s="543"/>
      <c r="V441" s="543"/>
      <c r="W441" s="543"/>
      <c r="X441" s="345" t="s">
        <v>3069</v>
      </c>
      <c r="Y441" s="345"/>
      <c r="Z441" s="345"/>
    </row>
    <row r="442" spans="1:26" ht="12.75">
      <c r="A442" s="345"/>
      <c r="B442" s="511" t="s">
        <v>493</v>
      </c>
      <c r="C442" s="736">
        <v>1</v>
      </c>
      <c r="D442" s="664" t="s">
        <v>103</v>
      </c>
      <c r="E442" s="738">
        <v>8500</v>
      </c>
      <c r="F442" s="738">
        <v>8500</v>
      </c>
      <c r="G442" s="630" t="s">
        <v>3038</v>
      </c>
      <c r="H442" s="655">
        <v>1</v>
      </c>
      <c r="I442" s="589">
        <v>1</v>
      </c>
      <c r="J442" s="592"/>
      <c r="K442" s="592"/>
      <c r="L442" s="655">
        <v>0</v>
      </c>
      <c r="M442" s="589"/>
      <c r="N442" s="592"/>
      <c r="O442" s="592"/>
      <c r="P442" s="655">
        <v>0</v>
      </c>
      <c r="Q442" s="589"/>
      <c r="R442" s="592"/>
      <c r="S442" s="592"/>
      <c r="T442" s="655">
        <v>0</v>
      </c>
      <c r="U442" s="543"/>
      <c r="V442" s="543"/>
      <c r="W442" s="543"/>
      <c r="X442" s="345" t="s">
        <v>3069</v>
      </c>
      <c r="Y442" s="345"/>
      <c r="Z442" s="345"/>
    </row>
    <row r="443" spans="1:26" ht="12.75">
      <c r="A443" s="345"/>
      <c r="B443" s="511" t="s">
        <v>568</v>
      </c>
      <c r="C443" s="736">
        <v>2</v>
      </c>
      <c r="D443" s="664" t="s">
        <v>103</v>
      </c>
      <c r="E443" s="738">
        <v>3500</v>
      </c>
      <c r="F443" s="738">
        <v>7000</v>
      </c>
      <c r="G443" s="630" t="s">
        <v>3038</v>
      </c>
      <c r="H443" s="655">
        <v>1</v>
      </c>
      <c r="I443" s="589">
        <v>1</v>
      </c>
      <c r="J443" s="592"/>
      <c r="K443" s="592"/>
      <c r="L443" s="655">
        <v>0</v>
      </c>
      <c r="M443" s="589"/>
      <c r="N443" s="592"/>
      <c r="O443" s="592"/>
      <c r="P443" s="655">
        <v>1</v>
      </c>
      <c r="Q443" s="589">
        <v>1</v>
      </c>
      <c r="R443" s="592"/>
      <c r="S443" s="592"/>
      <c r="T443" s="655">
        <v>0</v>
      </c>
      <c r="U443" s="543"/>
      <c r="V443" s="543"/>
      <c r="W443" s="543"/>
      <c r="X443" s="345" t="s">
        <v>3069</v>
      </c>
      <c r="Y443" s="345"/>
      <c r="Z443" s="345"/>
    </row>
    <row r="444" spans="1:26" ht="12.75">
      <c r="A444" s="345"/>
      <c r="B444" s="494" t="s">
        <v>483</v>
      </c>
      <c r="C444" s="663">
        <v>1</v>
      </c>
      <c r="D444" s="664" t="s">
        <v>103</v>
      </c>
      <c r="E444" s="738">
        <v>2500</v>
      </c>
      <c r="F444" s="738">
        <v>2500</v>
      </c>
      <c r="G444" s="630" t="s">
        <v>3038</v>
      </c>
      <c r="H444" s="655">
        <v>1</v>
      </c>
      <c r="I444" s="589">
        <v>1</v>
      </c>
      <c r="J444" s="592"/>
      <c r="K444" s="592"/>
      <c r="L444" s="655">
        <v>0</v>
      </c>
      <c r="M444" s="589"/>
      <c r="N444" s="592"/>
      <c r="O444" s="592"/>
      <c r="P444" s="655">
        <v>0</v>
      </c>
      <c r="Q444" s="589"/>
      <c r="R444" s="592"/>
      <c r="S444" s="592"/>
      <c r="T444" s="655">
        <v>0</v>
      </c>
      <c r="U444" s="543"/>
      <c r="V444" s="543"/>
      <c r="W444" s="543"/>
      <c r="X444" s="345" t="s">
        <v>3069</v>
      </c>
      <c r="Y444" s="345"/>
      <c r="Z444" s="345"/>
    </row>
    <row r="445" spans="1:26" ht="12.75">
      <c r="A445" s="345"/>
      <c r="B445" s="511" t="s">
        <v>836</v>
      </c>
      <c r="C445" s="663">
        <v>1</v>
      </c>
      <c r="D445" s="664" t="s">
        <v>466</v>
      </c>
      <c r="E445" s="738">
        <v>38100.97</v>
      </c>
      <c r="F445" s="738">
        <v>38100.97</v>
      </c>
      <c r="G445" s="630" t="s">
        <v>3038</v>
      </c>
      <c r="H445" s="655">
        <v>1</v>
      </c>
      <c r="I445" s="589">
        <v>1</v>
      </c>
      <c r="J445" s="592"/>
      <c r="K445" s="592"/>
      <c r="L445" s="655">
        <v>0</v>
      </c>
      <c r="M445" s="589"/>
      <c r="N445" s="592"/>
      <c r="O445" s="592"/>
      <c r="P445" s="655">
        <v>0</v>
      </c>
      <c r="Q445" s="589"/>
      <c r="R445" s="592"/>
      <c r="S445" s="592"/>
      <c r="T445" s="655">
        <v>0</v>
      </c>
      <c r="U445" s="543"/>
      <c r="V445" s="543"/>
      <c r="W445" s="543"/>
      <c r="X445" s="345" t="s">
        <v>3069</v>
      </c>
      <c r="Y445" s="345"/>
      <c r="Z445" s="345"/>
    </row>
    <row r="446" spans="1:26" ht="12.75">
      <c r="A446" s="345"/>
      <c r="B446" s="511" t="s">
        <v>817</v>
      </c>
      <c r="C446" s="663">
        <v>1</v>
      </c>
      <c r="D446" s="664" t="s">
        <v>103</v>
      </c>
      <c r="E446" s="738">
        <v>2500</v>
      </c>
      <c r="F446" s="738">
        <v>2500</v>
      </c>
      <c r="G446" s="630" t="s">
        <v>3038</v>
      </c>
      <c r="H446" s="729">
        <v>1</v>
      </c>
      <c r="I446" s="540">
        <v>1</v>
      </c>
      <c r="J446" s="730"/>
      <c r="K446" s="592"/>
      <c r="L446" s="655">
        <v>0</v>
      </c>
      <c r="M446" s="589"/>
      <c r="N446" s="592"/>
      <c r="O446" s="592"/>
      <c r="P446" s="655">
        <v>0</v>
      </c>
      <c r="Q446" s="589"/>
      <c r="R446" s="592"/>
      <c r="S446" s="592"/>
      <c r="T446" s="655">
        <v>0</v>
      </c>
      <c r="U446" s="543"/>
      <c r="V446" s="543"/>
      <c r="W446" s="543"/>
      <c r="X446" s="345" t="s">
        <v>3069</v>
      </c>
      <c r="Y446" s="345"/>
      <c r="Z446" s="345"/>
    </row>
    <row r="447" spans="1:26" ht="12.75">
      <c r="A447" s="345"/>
      <c r="B447" s="494" t="s">
        <v>482</v>
      </c>
      <c r="C447" s="496">
        <v>1</v>
      </c>
      <c r="D447" s="496" t="s">
        <v>103</v>
      </c>
      <c r="E447" s="665">
        <v>8500</v>
      </c>
      <c r="F447" s="665">
        <v>8500</v>
      </c>
      <c r="G447" s="630" t="s">
        <v>3038</v>
      </c>
      <c r="H447" s="198">
        <v>1</v>
      </c>
      <c r="I447" s="731">
        <v>1</v>
      </c>
      <c r="J447" s="734"/>
      <c r="K447" s="589"/>
      <c r="L447" s="655">
        <v>0</v>
      </c>
      <c r="M447" s="589"/>
      <c r="N447" s="592"/>
      <c r="O447" s="592"/>
      <c r="P447" s="655">
        <v>0</v>
      </c>
      <c r="Q447" s="589"/>
      <c r="R447" s="592"/>
      <c r="S447" s="592"/>
      <c r="T447" s="655">
        <v>0</v>
      </c>
      <c r="U447" s="543"/>
      <c r="V447" s="543"/>
      <c r="W447" s="543"/>
      <c r="X447" s="345" t="s">
        <v>3069</v>
      </c>
      <c r="Y447" s="345"/>
      <c r="Z447" s="345"/>
    </row>
    <row r="448" spans="1:26" ht="12.75">
      <c r="A448" s="345"/>
      <c r="B448" s="500" t="s">
        <v>454</v>
      </c>
      <c r="C448" s="496">
        <v>36</v>
      </c>
      <c r="D448" s="496" t="s">
        <v>103</v>
      </c>
      <c r="E448" s="496">
        <v>140.5</v>
      </c>
      <c r="F448" s="496">
        <v>5058</v>
      </c>
      <c r="G448" s="662" t="s">
        <v>342</v>
      </c>
      <c r="H448" s="654">
        <v>15</v>
      </c>
      <c r="I448" s="641">
        <v>9</v>
      </c>
      <c r="J448" s="483">
        <v>3</v>
      </c>
      <c r="K448" s="485">
        <v>3</v>
      </c>
      <c r="L448" s="485">
        <v>3</v>
      </c>
      <c r="M448" s="637">
        <v>9</v>
      </c>
      <c r="N448" s="485">
        <v>3</v>
      </c>
      <c r="O448" s="485">
        <v>3</v>
      </c>
      <c r="P448" s="485">
        <v>3</v>
      </c>
      <c r="Q448" s="637">
        <v>9</v>
      </c>
      <c r="R448" s="485">
        <v>3</v>
      </c>
      <c r="S448" s="485">
        <v>3</v>
      </c>
      <c r="T448" s="485">
        <v>3</v>
      </c>
      <c r="U448" s="637">
        <v>9</v>
      </c>
      <c r="V448" s="485">
        <v>3</v>
      </c>
      <c r="W448" s="485">
        <v>3</v>
      </c>
      <c r="X448" s="345" t="s">
        <v>3069</v>
      </c>
      <c r="Y448" s="345"/>
      <c r="Z448" s="345"/>
    </row>
    <row r="449" spans="1:26" ht="12.75">
      <c r="A449" s="345"/>
      <c r="B449" s="511" t="s">
        <v>3041</v>
      </c>
      <c r="C449" s="663">
        <v>8</v>
      </c>
      <c r="D449" s="664" t="s">
        <v>103</v>
      </c>
      <c r="E449" s="499">
        <v>300</v>
      </c>
      <c r="F449" s="665">
        <v>2400</v>
      </c>
      <c r="G449" s="659" t="s">
        <v>3038</v>
      </c>
      <c r="H449" s="655">
        <v>2</v>
      </c>
      <c r="I449" s="589">
        <v>1</v>
      </c>
      <c r="J449" s="592"/>
      <c r="K449" s="592">
        <v>1</v>
      </c>
      <c r="L449" s="653">
        <v>2</v>
      </c>
      <c r="M449" s="589">
        <v>1</v>
      </c>
      <c r="N449" s="592"/>
      <c r="O449" s="592">
        <v>1</v>
      </c>
      <c r="P449" s="653">
        <v>2</v>
      </c>
      <c r="Q449" s="589">
        <v>1</v>
      </c>
      <c r="R449" s="592"/>
      <c r="S449" s="592">
        <v>1</v>
      </c>
      <c r="T449" s="653">
        <v>2</v>
      </c>
      <c r="U449" s="589">
        <v>1</v>
      </c>
      <c r="V449" s="592"/>
      <c r="W449" s="592">
        <v>1</v>
      </c>
      <c r="X449" s="345" t="s">
        <v>3069</v>
      </c>
      <c r="Y449" s="345"/>
      <c r="Z449" s="345"/>
    </row>
    <row r="450" spans="1:26" ht="12.75">
      <c r="A450" s="345"/>
      <c r="B450" s="511" t="s">
        <v>3042</v>
      </c>
      <c r="C450" s="666">
        <v>8</v>
      </c>
      <c r="D450" s="664" t="s">
        <v>103</v>
      </c>
      <c r="E450" s="499">
        <v>300</v>
      </c>
      <c r="F450" s="579">
        <v>2400</v>
      </c>
      <c r="G450" s="630" t="s">
        <v>3038</v>
      </c>
      <c r="H450" s="655">
        <v>2</v>
      </c>
      <c r="I450" s="589">
        <v>1</v>
      </c>
      <c r="J450" s="592"/>
      <c r="K450" s="592">
        <v>1</v>
      </c>
      <c r="L450" s="655">
        <v>2</v>
      </c>
      <c r="M450" s="589">
        <v>1</v>
      </c>
      <c r="N450" s="592"/>
      <c r="O450" s="592">
        <v>1</v>
      </c>
      <c r="P450" s="655">
        <v>2</v>
      </c>
      <c r="Q450" s="589">
        <v>1</v>
      </c>
      <c r="R450" s="592"/>
      <c r="S450" s="592">
        <v>1</v>
      </c>
      <c r="T450" s="655">
        <v>2</v>
      </c>
      <c r="U450" s="589">
        <v>1</v>
      </c>
      <c r="V450" s="592"/>
      <c r="W450" s="592">
        <v>1</v>
      </c>
      <c r="X450" s="345" t="s">
        <v>3069</v>
      </c>
      <c r="Y450" s="345"/>
      <c r="Z450" s="345"/>
    </row>
    <row r="451" spans="1:26" ht="12.75">
      <c r="A451" s="345"/>
      <c r="B451" s="511" t="s">
        <v>3043</v>
      </c>
      <c r="C451" s="666">
        <v>8</v>
      </c>
      <c r="D451" s="664" t="s">
        <v>103</v>
      </c>
      <c r="E451" s="499">
        <v>300</v>
      </c>
      <c r="F451" s="579">
        <v>2400</v>
      </c>
      <c r="G451" s="630" t="s">
        <v>3038</v>
      </c>
      <c r="H451" s="655">
        <v>2</v>
      </c>
      <c r="I451" s="589">
        <v>1</v>
      </c>
      <c r="J451" s="592"/>
      <c r="K451" s="592">
        <v>1</v>
      </c>
      <c r="L451" s="655">
        <v>2</v>
      </c>
      <c r="M451" s="589">
        <v>1</v>
      </c>
      <c r="N451" s="592"/>
      <c r="O451" s="592">
        <v>1</v>
      </c>
      <c r="P451" s="655">
        <v>2</v>
      </c>
      <c r="Q451" s="589">
        <v>1</v>
      </c>
      <c r="R451" s="592"/>
      <c r="S451" s="592">
        <v>1</v>
      </c>
      <c r="T451" s="655">
        <v>2</v>
      </c>
      <c r="U451" s="589">
        <v>1</v>
      </c>
      <c r="V451" s="592"/>
      <c r="W451" s="592">
        <v>1</v>
      </c>
      <c r="X451" s="345" t="s">
        <v>3069</v>
      </c>
      <c r="Y451" s="345"/>
      <c r="Z451" s="345"/>
    </row>
    <row r="452" spans="1:26" ht="12.75">
      <c r="A452" s="345"/>
      <c r="B452" s="511" t="s">
        <v>3044</v>
      </c>
      <c r="C452" s="666">
        <v>8</v>
      </c>
      <c r="D452" s="664" t="s">
        <v>103</v>
      </c>
      <c r="E452" s="499">
        <v>300</v>
      </c>
      <c r="F452" s="579">
        <v>2400</v>
      </c>
      <c r="G452" s="630" t="s">
        <v>3038</v>
      </c>
      <c r="H452" s="655">
        <v>2</v>
      </c>
      <c r="I452" s="589">
        <v>1</v>
      </c>
      <c r="J452" s="592"/>
      <c r="K452" s="592">
        <v>1</v>
      </c>
      <c r="L452" s="655">
        <v>2</v>
      </c>
      <c r="M452" s="589">
        <v>1</v>
      </c>
      <c r="N452" s="592"/>
      <c r="O452" s="592">
        <v>1</v>
      </c>
      <c r="P452" s="655">
        <v>2</v>
      </c>
      <c r="Q452" s="589">
        <v>1</v>
      </c>
      <c r="R452" s="592"/>
      <c r="S452" s="592">
        <v>1</v>
      </c>
      <c r="T452" s="655">
        <v>2</v>
      </c>
      <c r="U452" s="589">
        <v>1</v>
      </c>
      <c r="V452" s="592"/>
      <c r="W452" s="592">
        <v>1</v>
      </c>
      <c r="X452" s="345" t="s">
        <v>3069</v>
      </c>
      <c r="Y452" s="345"/>
      <c r="Z452" s="345"/>
    </row>
    <row r="453" spans="1:26" ht="12.75">
      <c r="A453" s="345"/>
      <c r="B453" s="588" t="s">
        <v>234</v>
      </c>
      <c r="C453" s="589">
        <v>2</v>
      </c>
      <c r="D453" s="550" t="s">
        <v>103</v>
      </c>
      <c r="E453" s="710">
        <v>380</v>
      </c>
      <c r="F453" s="588">
        <v>760</v>
      </c>
      <c r="G453" s="659" t="s">
        <v>3038</v>
      </c>
      <c r="H453" s="653">
        <v>1</v>
      </c>
      <c r="I453" s="589">
        <v>1</v>
      </c>
      <c r="J453" s="592"/>
      <c r="K453" s="592"/>
      <c r="L453" s="653">
        <v>0</v>
      </c>
      <c r="M453" s="589"/>
      <c r="N453" s="592"/>
      <c r="O453" s="592"/>
      <c r="P453" s="653">
        <v>1</v>
      </c>
      <c r="Q453" s="589">
        <v>1</v>
      </c>
      <c r="R453" s="592"/>
      <c r="S453" s="592"/>
      <c r="T453" s="653">
        <v>0</v>
      </c>
      <c r="U453" s="547"/>
      <c r="V453" s="547"/>
      <c r="W453" s="547"/>
      <c r="X453" s="345" t="s">
        <v>3070</v>
      </c>
      <c r="Y453" s="345"/>
      <c r="Z453" s="345"/>
    </row>
    <row r="454" spans="1:26" ht="12.75">
      <c r="A454" s="345"/>
      <c r="B454" s="594" t="s">
        <v>239</v>
      </c>
      <c r="C454" s="589">
        <v>2</v>
      </c>
      <c r="D454" s="550" t="s">
        <v>103</v>
      </c>
      <c r="E454" s="712">
        <v>380</v>
      </c>
      <c r="F454" s="594">
        <v>760</v>
      </c>
      <c r="G454" s="630" t="s">
        <v>3038</v>
      </c>
      <c r="H454" s="655">
        <v>1</v>
      </c>
      <c r="I454" s="589">
        <v>1</v>
      </c>
      <c r="J454" s="592"/>
      <c r="K454" s="592"/>
      <c r="L454" s="655">
        <v>0</v>
      </c>
      <c r="M454" s="589"/>
      <c r="N454" s="592"/>
      <c r="O454" s="592"/>
      <c r="P454" s="655">
        <v>1</v>
      </c>
      <c r="Q454" s="589">
        <v>1</v>
      </c>
      <c r="R454" s="592"/>
      <c r="S454" s="592"/>
      <c r="T454" s="655">
        <v>0</v>
      </c>
      <c r="U454" s="543"/>
      <c r="V454" s="543"/>
      <c r="W454" s="543"/>
      <c r="X454" s="345" t="s">
        <v>3070</v>
      </c>
      <c r="Y454" s="345"/>
      <c r="Z454" s="345"/>
    </row>
    <row r="455" spans="1:26" ht="12.75">
      <c r="A455" s="345"/>
      <c r="B455" s="594" t="s">
        <v>493</v>
      </c>
      <c r="C455" s="589">
        <v>1</v>
      </c>
      <c r="D455" s="550" t="s">
        <v>103</v>
      </c>
      <c r="E455" s="661">
        <v>8500</v>
      </c>
      <c r="F455" s="658">
        <v>8500</v>
      </c>
      <c r="G455" s="630" t="s">
        <v>3038</v>
      </c>
      <c r="H455" s="655">
        <v>1</v>
      </c>
      <c r="I455" s="589">
        <v>1</v>
      </c>
      <c r="J455" s="592"/>
      <c r="K455" s="592"/>
      <c r="L455" s="655">
        <v>0</v>
      </c>
      <c r="M455" s="589"/>
      <c r="N455" s="592"/>
      <c r="O455" s="592"/>
      <c r="P455" s="655">
        <v>0</v>
      </c>
      <c r="Q455" s="589"/>
      <c r="R455" s="592"/>
      <c r="S455" s="592"/>
      <c r="T455" s="655">
        <v>0</v>
      </c>
      <c r="U455" s="543"/>
      <c r="V455" s="543"/>
      <c r="W455" s="543"/>
      <c r="X455" s="345" t="s">
        <v>3070</v>
      </c>
      <c r="Y455" s="345"/>
      <c r="Z455" s="345"/>
    </row>
    <row r="456" spans="1:26" ht="12.75">
      <c r="A456" s="345"/>
      <c r="B456" s="594" t="s">
        <v>568</v>
      </c>
      <c r="C456" s="589">
        <v>2</v>
      </c>
      <c r="D456" s="550" t="s">
        <v>103</v>
      </c>
      <c r="E456" s="661">
        <v>3500</v>
      </c>
      <c r="F456" s="658">
        <v>7000</v>
      </c>
      <c r="G456" s="630" t="s">
        <v>3038</v>
      </c>
      <c r="H456" s="655">
        <v>1</v>
      </c>
      <c r="I456" s="589">
        <v>1</v>
      </c>
      <c r="J456" s="592"/>
      <c r="K456" s="592"/>
      <c r="L456" s="655">
        <v>0</v>
      </c>
      <c r="M456" s="589"/>
      <c r="N456" s="592"/>
      <c r="O456" s="592"/>
      <c r="P456" s="655">
        <v>1</v>
      </c>
      <c r="Q456" s="589">
        <v>1</v>
      </c>
      <c r="R456" s="592"/>
      <c r="S456" s="592"/>
      <c r="T456" s="655">
        <v>0</v>
      </c>
      <c r="U456" s="543"/>
      <c r="V456" s="543"/>
      <c r="W456" s="543"/>
      <c r="X456" s="345" t="s">
        <v>3070</v>
      </c>
      <c r="Y456" s="345"/>
      <c r="Z456" s="345"/>
    </row>
    <row r="457" spans="1:26" ht="12.75">
      <c r="A457" s="345"/>
      <c r="B457" s="656" t="s">
        <v>483</v>
      </c>
      <c r="C457" s="592">
        <v>1</v>
      </c>
      <c r="D457" s="550" t="s">
        <v>103</v>
      </c>
      <c r="E457" s="661">
        <v>2500</v>
      </c>
      <c r="F457" s="658">
        <v>2500</v>
      </c>
      <c r="G457" s="630" t="s">
        <v>3038</v>
      </c>
      <c r="H457" s="655">
        <v>1</v>
      </c>
      <c r="I457" s="589">
        <v>1</v>
      </c>
      <c r="J457" s="592"/>
      <c r="K457" s="592"/>
      <c r="L457" s="655">
        <v>0</v>
      </c>
      <c r="M457" s="589"/>
      <c r="N457" s="592"/>
      <c r="O457" s="592"/>
      <c r="P457" s="655">
        <v>0</v>
      </c>
      <c r="Q457" s="589"/>
      <c r="R457" s="592"/>
      <c r="S457" s="592"/>
      <c r="T457" s="655">
        <v>0</v>
      </c>
      <c r="U457" s="543"/>
      <c r="V457" s="543"/>
      <c r="W457" s="543"/>
      <c r="X457" s="345" t="s">
        <v>3070</v>
      </c>
      <c r="Y457" s="345"/>
      <c r="Z457" s="345"/>
    </row>
    <row r="458" spans="1:26" ht="12.75">
      <c r="A458" s="345"/>
      <c r="B458" s="660" t="s">
        <v>836</v>
      </c>
      <c r="C458" s="592">
        <v>1</v>
      </c>
      <c r="D458" s="550" t="s">
        <v>466</v>
      </c>
      <c r="E458" s="661">
        <v>38100.97</v>
      </c>
      <c r="F458" s="658">
        <v>38100.97</v>
      </c>
      <c r="G458" s="630" t="s">
        <v>3038</v>
      </c>
      <c r="H458" s="655">
        <v>1</v>
      </c>
      <c r="I458" s="589">
        <v>1</v>
      </c>
      <c r="J458" s="592"/>
      <c r="K458" s="592"/>
      <c r="L458" s="655">
        <v>0</v>
      </c>
      <c r="M458" s="589"/>
      <c r="N458" s="592"/>
      <c r="O458" s="592"/>
      <c r="P458" s="655">
        <v>0</v>
      </c>
      <c r="Q458" s="589"/>
      <c r="R458" s="592"/>
      <c r="S458" s="592"/>
      <c r="T458" s="655">
        <v>0</v>
      </c>
      <c r="U458" s="543"/>
      <c r="V458" s="543"/>
      <c r="W458" s="543"/>
      <c r="X458" s="345" t="s">
        <v>3070</v>
      </c>
      <c r="Y458" s="345"/>
      <c r="Z458" s="345"/>
    </row>
    <row r="459" spans="1:26" ht="12.75">
      <c r="A459" s="345"/>
      <c r="B459" s="660" t="s">
        <v>817</v>
      </c>
      <c r="C459" s="592">
        <v>1</v>
      </c>
      <c r="D459" s="550" t="s">
        <v>103</v>
      </c>
      <c r="E459" s="661">
        <v>2500</v>
      </c>
      <c r="F459" s="658">
        <v>2500</v>
      </c>
      <c r="G459" s="630" t="s">
        <v>3038</v>
      </c>
      <c r="H459" s="729">
        <v>1</v>
      </c>
      <c r="I459" s="540">
        <v>1</v>
      </c>
      <c r="J459" s="730"/>
      <c r="K459" s="592"/>
      <c r="L459" s="655">
        <v>0</v>
      </c>
      <c r="M459" s="589"/>
      <c r="N459" s="592"/>
      <c r="O459" s="592"/>
      <c r="P459" s="655">
        <v>0</v>
      </c>
      <c r="Q459" s="589"/>
      <c r="R459" s="592"/>
      <c r="S459" s="592"/>
      <c r="T459" s="655">
        <v>0</v>
      </c>
      <c r="U459" s="543"/>
      <c r="V459" s="543"/>
      <c r="W459" s="543"/>
      <c r="X459" s="345" t="s">
        <v>3070</v>
      </c>
      <c r="Y459" s="345"/>
      <c r="Z459" s="345"/>
    </row>
    <row r="460" spans="1:26" ht="12.75">
      <c r="A460" s="345"/>
      <c r="B460" s="188" t="s">
        <v>482</v>
      </c>
      <c r="C460" s="731">
        <v>1</v>
      </c>
      <c r="D460" s="731" t="s">
        <v>103</v>
      </c>
      <c r="E460" s="732">
        <v>8500</v>
      </c>
      <c r="F460" s="733">
        <v>8500</v>
      </c>
      <c r="G460" s="630" t="s">
        <v>3038</v>
      </c>
      <c r="H460" s="198">
        <v>1</v>
      </c>
      <c r="I460" s="731">
        <v>1</v>
      </c>
      <c r="J460" s="734"/>
      <c r="K460" s="589"/>
      <c r="L460" s="655">
        <v>0</v>
      </c>
      <c r="M460" s="589"/>
      <c r="N460" s="592"/>
      <c r="O460" s="592"/>
      <c r="P460" s="655">
        <v>0</v>
      </c>
      <c r="Q460" s="589"/>
      <c r="R460" s="592"/>
      <c r="S460" s="592"/>
      <c r="T460" s="655">
        <v>0</v>
      </c>
      <c r="U460" s="543"/>
      <c r="V460" s="543"/>
      <c r="W460" s="543"/>
      <c r="X460" s="345" t="s">
        <v>3070</v>
      </c>
      <c r="Y460" s="345"/>
      <c r="Z460" s="345"/>
    </row>
    <row r="461" spans="1:26" ht="12.75">
      <c r="A461" s="345"/>
      <c r="B461" s="500" t="s">
        <v>3071</v>
      </c>
      <c r="C461" s="485">
        <v>1</v>
      </c>
      <c r="D461" s="485" t="s">
        <v>118</v>
      </c>
      <c r="E461" s="485">
        <v>43000</v>
      </c>
      <c r="F461" s="485">
        <v>43000</v>
      </c>
      <c r="G461" s="485" t="s">
        <v>3038</v>
      </c>
      <c r="H461" s="485">
        <v>1</v>
      </c>
      <c r="I461" s="485"/>
      <c r="J461" s="485">
        <v>1</v>
      </c>
      <c r="K461" s="485"/>
      <c r="L461" s="485"/>
      <c r="M461" s="485"/>
      <c r="N461" s="485"/>
      <c r="O461" s="485"/>
      <c r="P461" s="485"/>
      <c r="Q461" s="485"/>
      <c r="R461" s="485"/>
      <c r="S461" s="485"/>
      <c r="T461" s="485"/>
      <c r="U461" s="485"/>
      <c r="V461" s="485"/>
      <c r="W461" s="485"/>
      <c r="X461" s="345" t="s">
        <v>3072</v>
      </c>
      <c r="Y461" s="345"/>
      <c r="Z461" s="345"/>
    </row>
    <row r="462" spans="1:26" ht="12.75">
      <c r="A462" s="345"/>
      <c r="B462" s="516" t="s">
        <v>920</v>
      </c>
      <c r="C462" s="483" t="s">
        <v>103</v>
      </c>
      <c r="D462" s="483">
        <v>2300</v>
      </c>
      <c r="E462" s="483">
        <v>1</v>
      </c>
      <c r="F462" s="483">
        <v>2300</v>
      </c>
      <c r="G462" s="483" t="s">
        <v>3038</v>
      </c>
      <c r="H462" s="483">
        <v>1</v>
      </c>
      <c r="I462" s="483"/>
      <c r="J462" s="483">
        <v>1</v>
      </c>
      <c r="K462" s="483"/>
      <c r="L462" s="483"/>
      <c r="M462" s="483"/>
      <c r="N462" s="483"/>
      <c r="O462" s="483"/>
      <c r="P462" s="483"/>
      <c r="Q462" s="483"/>
      <c r="R462" s="483"/>
      <c r="S462" s="483"/>
      <c r="T462" s="483"/>
      <c r="U462" s="483"/>
      <c r="V462" s="483"/>
      <c r="W462" s="483"/>
      <c r="X462" s="345" t="s">
        <v>3072</v>
      </c>
      <c r="Y462" s="345"/>
      <c r="Z462" s="345"/>
    </row>
    <row r="463" spans="1:26" ht="12.75">
      <c r="A463" s="345"/>
      <c r="B463" s="516" t="s">
        <v>720</v>
      </c>
      <c r="C463" s="483" t="s">
        <v>103</v>
      </c>
      <c r="D463" s="483">
        <v>480</v>
      </c>
      <c r="E463" s="483"/>
      <c r="F463" s="483">
        <v>17280</v>
      </c>
      <c r="G463" s="483" t="s">
        <v>3038</v>
      </c>
      <c r="H463" s="483">
        <v>9</v>
      </c>
      <c r="I463" s="483">
        <v>3</v>
      </c>
      <c r="J463" s="483">
        <v>3</v>
      </c>
      <c r="K463" s="483">
        <v>3</v>
      </c>
      <c r="L463" s="483">
        <v>9</v>
      </c>
      <c r="M463" s="483">
        <v>3</v>
      </c>
      <c r="N463" s="483">
        <v>3</v>
      </c>
      <c r="O463" s="483">
        <v>3</v>
      </c>
      <c r="P463" s="483">
        <v>9</v>
      </c>
      <c r="Q463" s="483">
        <v>3</v>
      </c>
      <c r="R463" s="483">
        <v>3</v>
      </c>
      <c r="S463" s="483">
        <v>3</v>
      </c>
      <c r="T463" s="483">
        <v>9</v>
      </c>
      <c r="U463" s="483">
        <v>3</v>
      </c>
      <c r="V463" s="483">
        <v>3</v>
      </c>
      <c r="W463" s="483">
        <v>3</v>
      </c>
      <c r="X463" s="345" t="s">
        <v>3072</v>
      </c>
      <c r="Y463" s="345"/>
      <c r="Z463" s="345"/>
    </row>
    <row r="464" spans="1:26" ht="12.75">
      <c r="A464" s="345"/>
      <c r="B464" s="497" t="s">
        <v>721</v>
      </c>
      <c r="C464" s="483" t="s">
        <v>103</v>
      </c>
      <c r="D464" s="483">
        <v>480</v>
      </c>
      <c r="E464" s="483"/>
      <c r="F464" s="483">
        <v>11520</v>
      </c>
      <c r="G464" s="483" t="s">
        <v>3038</v>
      </c>
      <c r="H464" s="483">
        <v>6</v>
      </c>
      <c r="I464" s="483">
        <v>2</v>
      </c>
      <c r="J464" s="483">
        <v>2</v>
      </c>
      <c r="K464" s="483">
        <v>2</v>
      </c>
      <c r="L464" s="483">
        <v>6</v>
      </c>
      <c r="M464" s="483">
        <v>2</v>
      </c>
      <c r="N464" s="483">
        <v>2</v>
      </c>
      <c r="O464" s="483">
        <v>2</v>
      </c>
      <c r="P464" s="483">
        <v>6</v>
      </c>
      <c r="Q464" s="483">
        <v>2</v>
      </c>
      <c r="R464" s="483">
        <v>2</v>
      </c>
      <c r="S464" s="483">
        <v>2</v>
      </c>
      <c r="T464" s="483">
        <v>6</v>
      </c>
      <c r="U464" s="483">
        <v>2</v>
      </c>
      <c r="V464" s="483">
        <v>2</v>
      </c>
      <c r="W464" s="483">
        <v>2</v>
      </c>
      <c r="X464" s="345" t="s">
        <v>3072</v>
      </c>
      <c r="Y464" s="345"/>
      <c r="Z464" s="345"/>
    </row>
    <row r="465" spans="1:26" ht="12.75">
      <c r="A465" s="345"/>
      <c r="B465" s="497" t="s">
        <v>722</v>
      </c>
      <c r="C465" s="483" t="s">
        <v>103</v>
      </c>
      <c r="D465" s="483">
        <v>480</v>
      </c>
      <c r="E465" s="483"/>
      <c r="F465" s="483">
        <v>10080</v>
      </c>
      <c r="G465" s="483" t="s">
        <v>3038</v>
      </c>
      <c r="H465" s="483">
        <v>6</v>
      </c>
      <c r="I465" s="483">
        <v>2</v>
      </c>
      <c r="J465" s="483">
        <v>2</v>
      </c>
      <c r="K465" s="483">
        <v>2</v>
      </c>
      <c r="L465" s="483">
        <v>3</v>
      </c>
      <c r="M465" s="483">
        <v>2</v>
      </c>
      <c r="N465" s="483">
        <v>2</v>
      </c>
      <c r="O465" s="483">
        <v>2</v>
      </c>
      <c r="P465" s="483">
        <v>3</v>
      </c>
      <c r="Q465" s="483">
        <v>2</v>
      </c>
      <c r="R465" s="483">
        <v>2</v>
      </c>
      <c r="S465" s="483">
        <v>2</v>
      </c>
      <c r="T465" s="483">
        <v>3</v>
      </c>
      <c r="U465" s="483">
        <v>2</v>
      </c>
      <c r="V465" s="483">
        <v>2</v>
      </c>
      <c r="W465" s="483">
        <v>2</v>
      </c>
      <c r="X465" s="345" t="s">
        <v>3072</v>
      </c>
      <c r="Y465" s="345"/>
      <c r="Z465" s="345"/>
    </row>
    <row r="466" spans="1:26" ht="12.75">
      <c r="A466" s="345"/>
      <c r="B466" s="497" t="s">
        <v>723</v>
      </c>
      <c r="C466" s="483" t="s">
        <v>103</v>
      </c>
      <c r="D466" s="483">
        <v>480</v>
      </c>
      <c r="E466" s="483"/>
      <c r="F466" s="483">
        <v>11520</v>
      </c>
      <c r="G466" s="483" t="s">
        <v>3038</v>
      </c>
      <c r="H466" s="483">
        <v>6</v>
      </c>
      <c r="I466" s="483">
        <v>2</v>
      </c>
      <c r="J466" s="483">
        <v>2</v>
      </c>
      <c r="K466" s="483">
        <v>2</v>
      </c>
      <c r="L466" s="483">
        <v>6</v>
      </c>
      <c r="M466" s="483">
        <v>2</v>
      </c>
      <c r="N466" s="483">
        <v>2</v>
      </c>
      <c r="O466" s="483">
        <v>2</v>
      </c>
      <c r="P466" s="483">
        <v>6</v>
      </c>
      <c r="Q466" s="483">
        <v>2</v>
      </c>
      <c r="R466" s="483">
        <v>2</v>
      </c>
      <c r="S466" s="483">
        <v>2</v>
      </c>
      <c r="T466" s="483">
        <v>6</v>
      </c>
      <c r="U466" s="483">
        <v>2</v>
      </c>
      <c r="V466" s="483">
        <v>2</v>
      </c>
      <c r="W466" s="483">
        <v>2</v>
      </c>
      <c r="X466" s="345" t="s">
        <v>3072</v>
      </c>
      <c r="Y466" s="345"/>
      <c r="Z466" s="345"/>
    </row>
    <row r="467" spans="1:26" ht="12.75">
      <c r="A467" s="345"/>
      <c r="B467" s="497" t="s">
        <v>598</v>
      </c>
      <c r="C467" s="483" t="s">
        <v>103</v>
      </c>
      <c r="D467" s="483">
        <v>850</v>
      </c>
      <c r="E467" s="483">
        <v>1</v>
      </c>
      <c r="F467" s="483">
        <v>850</v>
      </c>
      <c r="G467" s="483" t="s">
        <v>3038</v>
      </c>
      <c r="H467" s="483">
        <v>1</v>
      </c>
      <c r="I467" s="483"/>
      <c r="J467" s="483">
        <v>1</v>
      </c>
      <c r="K467" s="483"/>
      <c r="L467" s="483"/>
      <c r="M467" s="483"/>
      <c r="N467" s="483"/>
      <c r="O467" s="483"/>
      <c r="P467" s="483"/>
      <c r="Q467" s="483"/>
      <c r="R467" s="483"/>
      <c r="S467" s="483"/>
      <c r="T467" s="483"/>
      <c r="U467" s="483"/>
      <c r="V467" s="483"/>
      <c r="W467" s="479"/>
      <c r="X467" s="345" t="s">
        <v>3072</v>
      </c>
      <c r="Y467" s="345"/>
      <c r="Z467" s="345"/>
    </row>
    <row r="468" spans="1:26" ht="12.75">
      <c r="A468" s="345"/>
      <c r="B468" s="482" t="s">
        <v>746</v>
      </c>
      <c r="C468" s="483" t="s">
        <v>103</v>
      </c>
      <c r="D468" s="483">
        <v>8500</v>
      </c>
      <c r="E468" s="483">
        <v>1</v>
      </c>
      <c r="F468" s="483">
        <v>8500</v>
      </c>
      <c r="G468" s="483" t="s">
        <v>3038</v>
      </c>
      <c r="H468" s="483">
        <v>1</v>
      </c>
      <c r="I468" s="483"/>
      <c r="J468" s="483">
        <v>1</v>
      </c>
      <c r="K468" s="483"/>
      <c r="L468" s="483"/>
      <c r="M468" s="483"/>
      <c r="N468" s="483"/>
      <c r="O468" s="483"/>
      <c r="P468" s="483"/>
      <c r="Q468" s="483"/>
      <c r="R468" s="483"/>
      <c r="S468" s="483"/>
      <c r="T468" s="483"/>
      <c r="U468" s="483"/>
      <c r="V468" s="483"/>
      <c r="W468" s="482"/>
      <c r="X468" s="345" t="s">
        <v>3072</v>
      </c>
      <c r="Y468" s="345"/>
      <c r="Z468" s="345"/>
    </row>
    <row r="469" spans="1:26" ht="12.75">
      <c r="A469" s="345"/>
      <c r="B469" s="531" t="s">
        <v>3073</v>
      </c>
      <c r="C469" s="198">
        <v>40</v>
      </c>
      <c r="D469" s="198" t="s">
        <v>103</v>
      </c>
      <c r="E469" s="198">
        <v>150</v>
      </c>
      <c r="F469" s="219">
        <v>6000</v>
      </c>
      <c r="G469" s="526"/>
      <c r="H469" s="198">
        <v>10</v>
      </c>
      <c r="I469" s="521">
        <v>3</v>
      </c>
      <c r="J469" s="521">
        <v>3</v>
      </c>
      <c r="K469" s="521">
        <v>4</v>
      </c>
      <c r="L469" s="198">
        <v>10</v>
      </c>
      <c r="M469" s="521">
        <v>3</v>
      </c>
      <c r="N469" s="521">
        <v>3</v>
      </c>
      <c r="O469" s="521">
        <v>4</v>
      </c>
      <c r="P469" s="198">
        <v>10</v>
      </c>
      <c r="Q469" s="521">
        <v>3</v>
      </c>
      <c r="R469" s="521">
        <v>3</v>
      </c>
      <c r="S469" s="521">
        <v>4</v>
      </c>
      <c r="T469" s="198">
        <v>10</v>
      </c>
      <c r="U469" s="521">
        <v>3</v>
      </c>
      <c r="V469" s="521">
        <v>3</v>
      </c>
      <c r="W469" s="521">
        <v>4</v>
      </c>
      <c r="X469" s="345" t="s">
        <v>125</v>
      </c>
      <c r="Y469" s="345"/>
      <c r="Z469" s="345"/>
    </row>
    <row r="470" spans="1:26" ht="12.75">
      <c r="A470" s="345"/>
      <c r="B470" s="533" t="s">
        <v>3074</v>
      </c>
      <c r="C470" s="200">
        <v>40</v>
      </c>
      <c r="D470" s="200" t="s">
        <v>103</v>
      </c>
      <c r="E470" s="200">
        <v>150</v>
      </c>
      <c r="F470" s="220">
        <v>6000</v>
      </c>
      <c r="G470" s="526"/>
      <c r="H470" s="200">
        <v>10</v>
      </c>
      <c r="I470" s="526">
        <v>3</v>
      </c>
      <c r="J470" s="526">
        <v>3</v>
      </c>
      <c r="K470" s="526">
        <v>4</v>
      </c>
      <c r="L470" s="200">
        <v>10</v>
      </c>
      <c r="M470" s="526">
        <v>3</v>
      </c>
      <c r="N470" s="526">
        <v>3</v>
      </c>
      <c r="O470" s="526">
        <v>4</v>
      </c>
      <c r="P470" s="200">
        <v>10</v>
      </c>
      <c r="Q470" s="526">
        <v>3</v>
      </c>
      <c r="R470" s="526">
        <v>3</v>
      </c>
      <c r="S470" s="526">
        <v>4</v>
      </c>
      <c r="T470" s="200">
        <v>10</v>
      </c>
      <c r="U470" s="526">
        <v>3</v>
      </c>
      <c r="V470" s="526">
        <v>3</v>
      </c>
      <c r="W470" s="526">
        <v>4</v>
      </c>
      <c r="X470" s="345" t="s">
        <v>125</v>
      </c>
      <c r="Y470" s="345"/>
      <c r="Z470" s="345"/>
    </row>
    <row r="471" spans="1:26" ht="12.75">
      <c r="A471" s="345"/>
      <c r="B471" s="533" t="s">
        <v>3075</v>
      </c>
      <c r="C471" s="200">
        <v>80</v>
      </c>
      <c r="D471" s="200" t="s">
        <v>103</v>
      </c>
      <c r="E471" s="200">
        <v>150</v>
      </c>
      <c r="F471" s="220">
        <v>12000</v>
      </c>
      <c r="G471" s="526"/>
      <c r="H471" s="200">
        <v>20</v>
      </c>
      <c r="I471" s="526">
        <v>6</v>
      </c>
      <c r="J471" s="526">
        <v>6</v>
      </c>
      <c r="K471" s="526">
        <v>8</v>
      </c>
      <c r="L471" s="200">
        <v>20</v>
      </c>
      <c r="M471" s="526">
        <v>6</v>
      </c>
      <c r="N471" s="526">
        <v>6</v>
      </c>
      <c r="O471" s="526">
        <v>8</v>
      </c>
      <c r="P471" s="200">
        <v>20</v>
      </c>
      <c r="Q471" s="526">
        <v>6</v>
      </c>
      <c r="R471" s="526">
        <v>6</v>
      </c>
      <c r="S471" s="526">
        <v>8</v>
      </c>
      <c r="T471" s="200">
        <v>20</v>
      </c>
      <c r="U471" s="526">
        <v>6</v>
      </c>
      <c r="V471" s="526">
        <v>6</v>
      </c>
      <c r="W471" s="526">
        <v>8</v>
      </c>
      <c r="X471" s="345" t="s">
        <v>125</v>
      </c>
      <c r="Y471" s="345"/>
      <c r="Z471" s="345"/>
    </row>
    <row r="472" spans="1:26" ht="12.75">
      <c r="A472" s="345"/>
      <c r="B472" s="533" t="s">
        <v>3076</v>
      </c>
      <c r="C472" s="200">
        <v>40</v>
      </c>
      <c r="D472" s="200" t="s">
        <v>103</v>
      </c>
      <c r="E472" s="200">
        <v>150</v>
      </c>
      <c r="F472" s="220">
        <v>6000</v>
      </c>
      <c r="G472" s="526"/>
      <c r="H472" s="200">
        <v>10</v>
      </c>
      <c r="I472" s="526">
        <v>3</v>
      </c>
      <c r="J472" s="526">
        <v>3</v>
      </c>
      <c r="K472" s="526">
        <v>4</v>
      </c>
      <c r="L472" s="200">
        <v>10</v>
      </c>
      <c r="M472" s="526">
        <v>3</v>
      </c>
      <c r="N472" s="526">
        <v>3</v>
      </c>
      <c r="O472" s="526">
        <v>4</v>
      </c>
      <c r="P472" s="200">
        <v>10</v>
      </c>
      <c r="Q472" s="526">
        <v>3</v>
      </c>
      <c r="R472" s="526">
        <v>3</v>
      </c>
      <c r="S472" s="526">
        <v>4</v>
      </c>
      <c r="T472" s="200">
        <v>10</v>
      </c>
      <c r="U472" s="526">
        <v>3</v>
      </c>
      <c r="V472" s="526">
        <v>3</v>
      </c>
      <c r="W472" s="526">
        <v>4</v>
      </c>
      <c r="X472" s="345" t="s">
        <v>125</v>
      </c>
      <c r="Y472" s="345"/>
      <c r="Z472" s="345"/>
    </row>
    <row r="473" spans="1:26" ht="12.75">
      <c r="A473" s="345"/>
      <c r="B473" s="533" t="s">
        <v>922</v>
      </c>
      <c r="C473" s="200">
        <v>1</v>
      </c>
      <c r="D473" s="200" t="s">
        <v>103</v>
      </c>
      <c r="E473" s="220">
        <v>2800</v>
      </c>
      <c r="F473" s="220">
        <v>2800</v>
      </c>
      <c r="G473" s="526"/>
      <c r="H473" s="535">
        <v>1</v>
      </c>
      <c r="I473" s="526" t="s">
        <v>533</v>
      </c>
      <c r="J473" s="526"/>
      <c r="K473" s="526"/>
      <c r="L473" s="536"/>
      <c r="M473" s="526"/>
      <c r="N473" s="526"/>
      <c r="O473" s="526"/>
      <c r="P473" s="536"/>
      <c r="Q473" s="526"/>
      <c r="R473" s="526"/>
      <c r="S473" s="526"/>
      <c r="T473" s="536"/>
      <c r="U473" s="526"/>
      <c r="V473" s="526"/>
      <c r="W473" s="526"/>
      <c r="X473" s="345" t="s">
        <v>125</v>
      </c>
      <c r="Y473" s="345"/>
      <c r="Z473" s="345"/>
    </row>
    <row r="474" spans="1:26" ht="12.75">
      <c r="A474" s="345"/>
      <c r="B474" s="533" t="s">
        <v>467</v>
      </c>
      <c r="C474" s="200">
        <v>1</v>
      </c>
      <c r="D474" s="200" t="s">
        <v>118</v>
      </c>
      <c r="E474" s="220">
        <v>40000</v>
      </c>
      <c r="F474" s="220">
        <v>40000</v>
      </c>
      <c r="G474" s="526"/>
      <c r="H474" s="536"/>
      <c r="I474" s="526"/>
      <c r="J474" s="526"/>
      <c r="K474" s="526"/>
      <c r="L474" s="535">
        <v>1</v>
      </c>
      <c r="M474" s="526" t="s">
        <v>533</v>
      </c>
      <c r="N474" s="526"/>
      <c r="O474" s="526"/>
      <c r="P474" s="536"/>
      <c r="Q474" s="526"/>
      <c r="R474" s="526"/>
      <c r="S474" s="526"/>
      <c r="T474" s="536"/>
      <c r="U474" s="526"/>
      <c r="V474" s="526"/>
      <c r="W474" s="526"/>
      <c r="X474" s="345" t="s">
        <v>125</v>
      </c>
      <c r="Y474" s="345"/>
      <c r="Z474" s="345"/>
    </row>
    <row r="475" spans="1:26" ht="12.75">
      <c r="A475" s="345"/>
      <c r="B475" s="533" t="s">
        <v>234</v>
      </c>
      <c r="C475" s="200">
        <v>1</v>
      </c>
      <c r="D475" s="200" t="s">
        <v>103</v>
      </c>
      <c r="E475" s="200">
        <v>380</v>
      </c>
      <c r="F475" s="200">
        <v>380</v>
      </c>
      <c r="G475" s="526"/>
      <c r="H475" s="536"/>
      <c r="I475" s="526"/>
      <c r="J475" s="526"/>
      <c r="K475" s="526"/>
      <c r="L475" s="535">
        <v>1</v>
      </c>
      <c r="M475" s="526" t="s">
        <v>533</v>
      </c>
      <c r="N475" s="526"/>
      <c r="O475" s="526"/>
      <c r="P475" s="536"/>
      <c r="Q475" s="526"/>
      <c r="R475" s="526"/>
      <c r="S475" s="526"/>
      <c r="T475" s="536"/>
      <c r="U475" s="526"/>
      <c r="V475" s="526"/>
      <c r="W475" s="526"/>
      <c r="X475" s="345" t="s">
        <v>125</v>
      </c>
      <c r="Y475" s="345"/>
      <c r="Z475" s="345"/>
    </row>
    <row r="476" spans="1:26" ht="12.75">
      <c r="A476" s="345"/>
      <c r="B476" s="533" t="s">
        <v>599</v>
      </c>
      <c r="C476" s="200">
        <v>1</v>
      </c>
      <c r="D476" s="200" t="s">
        <v>103</v>
      </c>
      <c r="E476" s="200">
        <v>500</v>
      </c>
      <c r="F476" s="200">
        <v>500</v>
      </c>
      <c r="G476" s="526"/>
      <c r="H476" s="536"/>
      <c r="I476" s="526"/>
      <c r="J476" s="526"/>
      <c r="K476" s="526"/>
      <c r="L476" s="535">
        <v>1</v>
      </c>
      <c r="M476" s="526" t="s">
        <v>533</v>
      </c>
      <c r="N476" s="526"/>
      <c r="O476" s="526"/>
      <c r="P476" s="536"/>
      <c r="Q476" s="526"/>
      <c r="R476" s="526"/>
      <c r="S476" s="526"/>
      <c r="T476" s="536"/>
      <c r="U476" s="526"/>
      <c r="V476" s="526"/>
      <c r="W476" s="526"/>
      <c r="X476" s="345" t="s">
        <v>125</v>
      </c>
      <c r="Y476" s="345"/>
      <c r="Z476" s="345"/>
    </row>
    <row r="477" spans="1:26" ht="12.75">
      <c r="A477" s="345"/>
      <c r="B477" s="531" t="s">
        <v>3073</v>
      </c>
      <c r="C477" s="198">
        <v>40</v>
      </c>
      <c r="D477" s="198" t="s">
        <v>103</v>
      </c>
      <c r="E477" s="198">
        <v>150</v>
      </c>
      <c r="F477" s="219">
        <v>6000</v>
      </c>
      <c r="G477" s="526"/>
      <c r="H477" s="198">
        <v>10</v>
      </c>
      <c r="I477" s="521">
        <v>3</v>
      </c>
      <c r="J477" s="521">
        <v>3</v>
      </c>
      <c r="K477" s="521">
        <v>4</v>
      </c>
      <c r="L477" s="198">
        <v>10</v>
      </c>
      <c r="M477" s="521">
        <v>3</v>
      </c>
      <c r="N477" s="521">
        <v>3</v>
      </c>
      <c r="O477" s="521">
        <v>4</v>
      </c>
      <c r="P477" s="198">
        <v>10</v>
      </c>
      <c r="Q477" s="521">
        <v>3</v>
      </c>
      <c r="R477" s="521">
        <v>3</v>
      </c>
      <c r="S477" s="521">
        <v>4</v>
      </c>
      <c r="T477" s="198">
        <v>10</v>
      </c>
      <c r="U477" s="521">
        <v>3</v>
      </c>
      <c r="V477" s="521">
        <v>3</v>
      </c>
      <c r="W477" s="521">
        <v>4</v>
      </c>
      <c r="X477" s="345" t="s">
        <v>123</v>
      </c>
      <c r="Y477" s="345"/>
      <c r="Z477" s="345"/>
    </row>
    <row r="478" spans="1:26" ht="12.75">
      <c r="A478" s="345"/>
      <c r="B478" s="533" t="s">
        <v>3074</v>
      </c>
      <c r="C478" s="200">
        <v>40</v>
      </c>
      <c r="D478" s="200" t="s">
        <v>103</v>
      </c>
      <c r="E478" s="200">
        <v>150</v>
      </c>
      <c r="F478" s="220">
        <v>6000</v>
      </c>
      <c r="G478" s="526"/>
      <c r="H478" s="200">
        <v>10</v>
      </c>
      <c r="I478" s="526">
        <v>3</v>
      </c>
      <c r="J478" s="526">
        <v>3</v>
      </c>
      <c r="K478" s="526">
        <v>4</v>
      </c>
      <c r="L478" s="200">
        <v>10</v>
      </c>
      <c r="M478" s="526">
        <v>3</v>
      </c>
      <c r="N478" s="526">
        <v>3</v>
      </c>
      <c r="O478" s="526">
        <v>4</v>
      </c>
      <c r="P478" s="200">
        <v>10</v>
      </c>
      <c r="Q478" s="526">
        <v>3</v>
      </c>
      <c r="R478" s="526">
        <v>3</v>
      </c>
      <c r="S478" s="526">
        <v>4</v>
      </c>
      <c r="T478" s="200">
        <v>10</v>
      </c>
      <c r="U478" s="526">
        <v>3</v>
      </c>
      <c r="V478" s="526">
        <v>3</v>
      </c>
      <c r="W478" s="526">
        <v>4</v>
      </c>
      <c r="X478" s="345" t="s">
        <v>123</v>
      </c>
      <c r="Y478" s="345"/>
      <c r="Z478" s="345"/>
    </row>
    <row r="479" spans="1:26" ht="12.75">
      <c r="A479" s="345"/>
      <c r="B479" s="533" t="s">
        <v>3075</v>
      </c>
      <c r="C479" s="200">
        <v>80</v>
      </c>
      <c r="D479" s="200" t="s">
        <v>103</v>
      </c>
      <c r="E479" s="200">
        <v>150</v>
      </c>
      <c r="F479" s="220">
        <v>12000</v>
      </c>
      <c r="G479" s="526"/>
      <c r="H479" s="200">
        <v>20</v>
      </c>
      <c r="I479" s="526">
        <v>6</v>
      </c>
      <c r="J479" s="526">
        <v>6</v>
      </c>
      <c r="K479" s="526">
        <v>8</v>
      </c>
      <c r="L479" s="200">
        <v>20</v>
      </c>
      <c r="M479" s="526">
        <v>6</v>
      </c>
      <c r="N479" s="526">
        <v>6</v>
      </c>
      <c r="O479" s="526">
        <v>8</v>
      </c>
      <c r="P479" s="200">
        <v>20</v>
      </c>
      <c r="Q479" s="526">
        <v>6</v>
      </c>
      <c r="R479" s="526">
        <v>6</v>
      </c>
      <c r="S479" s="526">
        <v>8</v>
      </c>
      <c r="T479" s="200">
        <v>20</v>
      </c>
      <c r="U479" s="526">
        <v>6</v>
      </c>
      <c r="V479" s="526">
        <v>6</v>
      </c>
      <c r="W479" s="526">
        <v>8</v>
      </c>
      <c r="X479" s="345" t="s">
        <v>123</v>
      </c>
      <c r="Y479" s="345"/>
      <c r="Z479" s="345"/>
    </row>
    <row r="480" spans="1:26" ht="12.75">
      <c r="A480" s="345"/>
      <c r="B480" s="533" t="s">
        <v>3076</v>
      </c>
      <c r="C480" s="200">
        <v>40</v>
      </c>
      <c r="D480" s="200" t="s">
        <v>103</v>
      </c>
      <c r="E480" s="200">
        <v>150</v>
      </c>
      <c r="F480" s="220">
        <v>6000</v>
      </c>
      <c r="G480" s="526"/>
      <c r="H480" s="200">
        <v>10</v>
      </c>
      <c r="I480" s="526">
        <v>3</v>
      </c>
      <c r="J480" s="526">
        <v>3</v>
      </c>
      <c r="K480" s="526">
        <v>4</v>
      </c>
      <c r="L480" s="200">
        <v>10</v>
      </c>
      <c r="M480" s="526">
        <v>3</v>
      </c>
      <c r="N480" s="526">
        <v>3</v>
      </c>
      <c r="O480" s="526">
        <v>4</v>
      </c>
      <c r="P480" s="200">
        <v>10</v>
      </c>
      <c r="Q480" s="526">
        <v>3</v>
      </c>
      <c r="R480" s="526">
        <v>3</v>
      </c>
      <c r="S480" s="526">
        <v>4</v>
      </c>
      <c r="T480" s="200">
        <v>10</v>
      </c>
      <c r="U480" s="526">
        <v>3</v>
      </c>
      <c r="V480" s="526">
        <v>3</v>
      </c>
      <c r="W480" s="526">
        <v>4</v>
      </c>
      <c r="X480" s="345" t="s">
        <v>123</v>
      </c>
      <c r="Y480" s="345"/>
      <c r="Z480" s="345"/>
    </row>
    <row r="481" spans="1:26" ht="12.75">
      <c r="A481" s="345"/>
      <c r="B481" s="533" t="s">
        <v>922</v>
      </c>
      <c r="C481" s="200">
        <v>1</v>
      </c>
      <c r="D481" s="200" t="s">
        <v>103</v>
      </c>
      <c r="E481" s="220">
        <v>2800</v>
      </c>
      <c r="F481" s="220">
        <v>2800</v>
      </c>
      <c r="G481" s="526"/>
      <c r="H481" s="535">
        <v>1</v>
      </c>
      <c r="I481" s="526" t="s">
        <v>533</v>
      </c>
      <c r="J481" s="526"/>
      <c r="K481" s="526"/>
      <c r="L481" s="536"/>
      <c r="M481" s="526"/>
      <c r="N481" s="526"/>
      <c r="O481" s="526"/>
      <c r="P481" s="536"/>
      <c r="Q481" s="526"/>
      <c r="R481" s="526"/>
      <c r="S481" s="526"/>
      <c r="T481" s="536"/>
      <c r="U481" s="526"/>
      <c r="V481" s="526"/>
      <c r="W481" s="526"/>
      <c r="X481" s="345" t="s">
        <v>123</v>
      </c>
      <c r="Y481" s="345"/>
      <c r="Z481" s="345"/>
    </row>
    <row r="482" spans="1:26" ht="12.75">
      <c r="A482" s="345"/>
      <c r="B482" s="533" t="s">
        <v>467</v>
      </c>
      <c r="C482" s="200">
        <v>1</v>
      </c>
      <c r="D482" s="200" t="s">
        <v>118</v>
      </c>
      <c r="E482" s="220">
        <v>40000</v>
      </c>
      <c r="F482" s="220">
        <v>40000</v>
      </c>
      <c r="G482" s="526"/>
      <c r="H482" s="536"/>
      <c r="I482" s="526"/>
      <c r="J482" s="526"/>
      <c r="K482" s="526"/>
      <c r="L482" s="535">
        <v>1</v>
      </c>
      <c r="M482" s="526" t="s">
        <v>533</v>
      </c>
      <c r="N482" s="526"/>
      <c r="O482" s="526"/>
      <c r="P482" s="536"/>
      <c r="Q482" s="526"/>
      <c r="R482" s="526"/>
      <c r="S482" s="526"/>
      <c r="T482" s="536"/>
      <c r="U482" s="526"/>
      <c r="V482" s="526"/>
      <c r="W482" s="526"/>
      <c r="X482" s="345" t="s">
        <v>123</v>
      </c>
      <c r="Y482" s="345"/>
      <c r="Z482" s="345"/>
    </row>
    <row r="483" spans="1:26" ht="12.75">
      <c r="A483" s="345"/>
      <c r="B483" s="533" t="s">
        <v>234</v>
      </c>
      <c r="C483" s="200">
        <v>1</v>
      </c>
      <c r="D483" s="200" t="s">
        <v>103</v>
      </c>
      <c r="E483" s="200">
        <v>380</v>
      </c>
      <c r="F483" s="200">
        <v>380</v>
      </c>
      <c r="G483" s="526"/>
      <c r="H483" s="536"/>
      <c r="I483" s="526"/>
      <c r="J483" s="526"/>
      <c r="K483" s="526"/>
      <c r="L483" s="535">
        <v>1</v>
      </c>
      <c r="M483" s="526" t="s">
        <v>533</v>
      </c>
      <c r="N483" s="526"/>
      <c r="O483" s="526"/>
      <c r="P483" s="536"/>
      <c r="Q483" s="526"/>
      <c r="R483" s="526"/>
      <c r="S483" s="526"/>
      <c r="T483" s="536"/>
      <c r="U483" s="526"/>
      <c r="V483" s="526"/>
      <c r="W483" s="526"/>
      <c r="X483" s="345" t="s">
        <v>123</v>
      </c>
      <c r="Y483" s="345"/>
      <c r="Z483" s="345"/>
    </row>
    <row r="484" spans="1:26" ht="12.75">
      <c r="A484" s="345"/>
      <c r="B484" s="533" t="s">
        <v>599</v>
      </c>
      <c r="C484" s="200">
        <v>1</v>
      </c>
      <c r="D484" s="200" t="s">
        <v>103</v>
      </c>
      <c r="E484" s="200">
        <v>500</v>
      </c>
      <c r="F484" s="200">
        <v>500</v>
      </c>
      <c r="G484" s="526"/>
      <c r="H484" s="536"/>
      <c r="I484" s="526"/>
      <c r="J484" s="526"/>
      <c r="K484" s="526"/>
      <c r="L484" s="535">
        <v>1</v>
      </c>
      <c r="M484" s="526" t="s">
        <v>533</v>
      </c>
      <c r="N484" s="526"/>
      <c r="O484" s="526"/>
      <c r="P484" s="536"/>
      <c r="Q484" s="526"/>
      <c r="R484" s="526"/>
      <c r="S484" s="526"/>
      <c r="T484" s="536"/>
      <c r="U484" s="526"/>
      <c r="V484" s="526"/>
      <c r="W484" s="526"/>
      <c r="X484" s="345" t="s">
        <v>123</v>
      </c>
      <c r="Y484" s="345"/>
      <c r="Z484" s="345"/>
    </row>
    <row r="485" spans="1:26" ht="12.75">
      <c r="A485" s="345"/>
      <c r="B485" s="531" t="s">
        <v>3073</v>
      </c>
      <c r="C485" s="198">
        <v>40</v>
      </c>
      <c r="D485" s="198" t="s">
        <v>103</v>
      </c>
      <c r="E485" s="198">
        <v>150</v>
      </c>
      <c r="F485" s="219">
        <v>6000</v>
      </c>
      <c r="G485" s="526"/>
      <c r="H485" s="198">
        <v>10</v>
      </c>
      <c r="I485" s="521">
        <v>3</v>
      </c>
      <c r="J485" s="521">
        <v>3</v>
      </c>
      <c r="K485" s="521">
        <v>4</v>
      </c>
      <c r="L485" s="198">
        <v>10</v>
      </c>
      <c r="M485" s="521">
        <v>3</v>
      </c>
      <c r="N485" s="521">
        <v>3</v>
      </c>
      <c r="O485" s="521">
        <v>4</v>
      </c>
      <c r="P485" s="198">
        <v>10</v>
      </c>
      <c r="Q485" s="521">
        <v>3</v>
      </c>
      <c r="R485" s="521">
        <v>3</v>
      </c>
      <c r="S485" s="521">
        <v>4</v>
      </c>
      <c r="T485" s="198">
        <v>10</v>
      </c>
      <c r="U485" s="521">
        <v>3</v>
      </c>
      <c r="V485" s="521">
        <v>3</v>
      </c>
      <c r="W485" s="521">
        <v>4</v>
      </c>
      <c r="X485" s="345" t="s">
        <v>126</v>
      </c>
      <c r="Y485" s="345"/>
      <c r="Z485" s="345"/>
    </row>
    <row r="486" spans="1:26" ht="12.75">
      <c r="A486" s="345"/>
      <c r="B486" s="533" t="s">
        <v>3074</v>
      </c>
      <c r="C486" s="200">
        <v>40</v>
      </c>
      <c r="D486" s="200" t="s">
        <v>103</v>
      </c>
      <c r="E486" s="200">
        <v>150</v>
      </c>
      <c r="F486" s="220">
        <v>6000</v>
      </c>
      <c r="G486" s="526"/>
      <c r="H486" s="200">
        <v>10</v>
      </c>
      <c r="I486" s="526">
        <v>3</v>
      </c>
      <c r="J486" s="526">
        <v>3</v>
      </c>
      <c r="K486" s="526">
        <v>4</v>
      </c>
      <c r="L486" s="200">
        <v>10</v>
      </c>
      <c r="M486" s="526">
        <v>3</v>
      </c>
      <c r="N486" s="526">
        <v>3</v>
      </c>
      <c r="O486" s="526">
        <v>4</v>
      </c>
      <c r="P486" s="200">
        <v>10</v>
      </c>
      <c r="Q486" s="526">
        <v>3</v>
      </c>
      <c r="R486" s="526">
        <v>3</v>
      </c>
      <c r="S486" s="526">
        <v>4</v>
      </c>
      <c r="T486" s="200">
        <v>10</v>
      </c>
      <c r="U486" s="526">
        <v>3</v>
      </c>
      <c r="V486" s="526">
        <v>3</v>
      </c>
      <c r="W486" s="526">
        <v>4</v>
      </c>
      <c r="X486" s="345" t="s">
        <v>126</v>
      </c>
      <c r="Y486" s="345"/>
      <c r="Z486" s="345"/>
    </row>
    <row r="487" spans="1:26" ht="12.75">
      <c r="A487" s="345"/>
      <c r="B487" s="533" t="s">
        <v>3075</v>
      </c>
      <c r="C487" s="200">
        <v>80</v>
      </c>
      <c r="D487" s="200" t="s">
        <v>103</v>
      </c>
      <c r="E487" s="200">
        <v>150</v>
      </c>
      <c r="F487" s="220">
        <v>12000</v>
      </c>
      <c r="G487" s="526"/>
      <c r="H487" s="200">
        <v>20</v>
      </c>
      <c r="I487" s="526">
        <v>6</v>
      </c>
      <c r="J487" s="526">
        <v>6</v>
      </c>
      <c r="K487" s="526">
        <v>8</v>
      </c>
      <c r="L487" s="200">
        <v>20</v>
      </c>
      <c r="M487" s="526">
        <v>6</v>
      </c>
      <c r="N487" s="526">
        <v>6</v>
      </c>
      <c r="O487" s="526">
        <v>8</v>
      </c>
      <c r="P487" s="200">
        <v>20</v>
      </c>
      <c r="Q487" s="526">
        <v>6</v>
      </c>
      <c r="R487" s="526">
        <v>6</v>
      </c>
      <c r="S487" s="526">
        <v>8</v>
      </c>
      <c r="T487" s="200">
        <v>20</v>
      </c>
      <c r="U487" s="526">
        <v>6</v>
      </c>
      <c r="V487" s="526">
        <v>6</v>
      </c>
      <c r="W487" s="526">
        <v>8</v>
      </c>
      <c r="X487" s="345" t="s">
        <v>126</v>
      </c>
      <c r="Y487" s="345"/>
      <c r="Z487" s="345"/>
    </row>
    <row r="488" spans="1:26" ht="12.75">
      <c r="A488" s="345"/>
      <c r="B488" s="533" t="s">
        <v>3076</v>
      </c>
      <c r="C488" s="200">
        <v>40</v>
      </c>
      <c r="D488" s="200" t="s">
        <v>103</v>
      </c>
      <c r="E488" s="200">
        <v>150</v>
      </c>
      <c r="F488" s="220">
        <v>6000</v>
      </c>
      <c r="G488" s="526"/>
      <c r="H488" s="200">
        <v>10</v>
      </c>
      <c r="I488" s="526">
        <v>3</v>
      </c>
      <c r="J488" s="526">
        <v>3</v>
      </c>
      <c r="K488" s="526">
        <v>4</v>
      </c>
      <c r="L488" s="200">
        <v>10</v>
      </c>
      <c r="M488" s="526">
        <v>3</v>
      </c>
      <c r="N488" s="526">
        <v>3</v>
      </c>
      <c r="O488" s="526">
        <v>4</v>
      </c>
      <c r="P488" s="200">
        <v>10</v>
      </c>
      <c r="Q488" s="526">
        <v>3</v>
      </c>
      <c r="R488" s="526">
        <v>3</v>
      </c>
      <c r="S488" s="526">
        <v>4</v>
      </c>
      <c r="T488" s="200">
        <v>10</v>
      </c>
      <c r="U488" s="526">
        <v>3</v>
      </c>
      <c r="V488" s="526">
        <v>3</v>
      </c>
      <c r="W488" s="526">
        <v>4</v>
      </c>
      <c r="X488" s="345" t="s">
        <v>126</v>
      </c>
      <c r="Y488" s="345"/>
      <c r="Z488" s="345"/>
    </row>
    <row r="489" spans="1:26" ht="12.75">
      <c r="A489" s="345"/>
      <c r="B489" s="533" t="s">
        <v>922</v>
      </c>
      <c r="C489" s="200">
        <v>1</v>
      </c>
      <c r="D489" s="200" t="s">
        <v>103</v>
      </c>
      <c r="E489" s="220">
        <v>2800</v>
      </c>
      <c r="F489" s="220">
        <v>2800</v>
      </c>
      <c r="G489" s="526"/>
      <c r="H489" s="535">
        <v>1</v>
      </c>
      <c r="I489" s="526" t="s">
        <v>533</v>
      </c>
      <c r="J489" s="526"/>
      <c r="K489" s="526"/>
      <c r="L489" s="536"/>
      <c r="M489" s="526"/>
      <c r="N489" s="526"/>
      <c r="O489" s="526"/>
      <c r="P489" s="536"/>
      <c r="Q489" s="526"/>
      <c r="R489" s="526"/>
      <c r="S489" s="526"/>
      <c r="T489" s="536"/>
      <c r="U489" s="526"/>
      <c r="V489" s="526"/>
      <c r="W489" s="526"/>
      <c r="X489" s="345" t="s">
        <v>126</v>
      </c>
      <c r="Y489" s="345"/>
      <c r="Z489" s="345"/>
    </row>
    <row r="490" spans="1:26" ht="12.75">
      <c r="A490" s="345"/>
      <c r="B490" s="533" t="s">
        <v>467</v>
      </c>
      <c r="C490" s="200">
        <v>1</v>
      </c>
      <c r="D490" s="200" t="s">
        <v>118</v>
      </c>
      <c r="E490" s="220">
        <v>40000</v>
      </c>
      <c r="F490" s="220">
        <v>40000</v>
      </c>
      <c r="G490" s="526"/>
      <c r="H490" s="536"/>
      <c r="I490" s="526"/>
      <c r="J490" s="526"/>
      <c r="K490" s="526"/>
      <c r="L490" s="535">
        <v>1</v>
      </c>
      <c r="M490" s="526" t="s">
        <v>533</v>
      </c>
      <c r="N490" s="526"/>
      <c r="O490" s="526"/>
      <c r="P490" s="536"/>
      <c r="Q490" s="526"/>
      <c r="R490" s="526"/>
      <c r="S490" s="526"/>
      <c r="T490" s="536"/>
      <c r="U490" s="526"/>
      <c r="V490" s="526"/>
      <c r="W490" s="526"/>
      <c r="X490" s="345" t="s">
        <v>126</v>
      </c>
      <c r="Y490" s="345"/>
      <c r="Z490" s="345"/>
    </row>
    <row r="491" spans="1:26" ht="12.75">
      <c r="A491" s="345"/>
      <c r="B491" s="533" t="s">
        <v>234</v>
      </c>
      <c r="C491" s="200">
        <v>1</v>
      </c>
      <c r="D491" s="200" t="s">
        <v>103</v>
      </c>
      <c r="E491" s="200">
        <v>380</v>
      </c>
      <c r="F491" s="200">
        <v>380</v>
      </c>
      <c r="G491" s="526"/>
      <c r="H491" s="536"/>
      <c r="I491" s="526"/>
      <c r="J491" s="526"/>
      <c r="K491" s="526"/>
      <c r="L491" s="535">
        <v>1</v>
      </c>
      <c r="M491" s="526" t="s">
        <v>533</v>
      </c>
      <c r="N491" s="526"/>
      <c r="O491" s="526"/>
      <c r="P491" s="536"/>
      <c r="Q491" s="526"/>
      <c r="R491" s="526"/>
      <c r="S491" s="526"/>
      <c r="T491" s="536"/>
      <c r="U491" s="526"/>
      <c r="V491" s="526"/>
      <c r="W491" s="526"/>
      <c r="X491" s="345" t="s">
        <v>126</v>
      </c>
      <c r="Y491" s="345"/>
      <c r="Z491" s="345"/>
    </row>
    <row r="492" spans="1:26" ht="12.75">
      <c r="A492" s="345"/>
      <c r="B492" s="533" t="s">
        <v>599</v>
      </c>
      <c r="C492" s="200">
        <v>1</v>
      </c>
      <c r="D492" s="200" t="s">
        <v>103</v>
      </c>
      <c r="E492" s="200">
        <v>500</v>
      </c>
      <c r="F492" s="200">
        <v>500</v>
      </c>
      <c r="G492" s="526"/>
      <c r="H492" s="536"/>
      <c r="I492" s="526"/>
      <c r="J492" s="526"/>
      <c r="K492" s="526"/>
      <c r="L492" s="535">
        <v>1</v>
      </c>
      <c r="M492" s="526" t="s">
        <v>533</v>
      </c>
      <c r="N492" s="526"/>
      <c r="O492" s="526"/>
      <c r="P492" s="536"/>
      <c r="Q492" s="526"/>
      <c r="R492" s="526"/>
      <c r="S492" s="526"/>
      <c r="T492" s="536"/>
      <c r="U492" s="526"/>
      <c r="V492" s="526"/>
      <c r="W492" s="526"/>
      <c r="X492" s="345" t="s">
        <v>126</v>
      </c>
      <c r="Y492" s="345"/>
      <c r="Z492" s="345"/>
    </row>
    <row r="493" spans="1:26" ht="12.75">
      <c r="A493" s="345"/>
      <c r="B493" s="531" t="s">
        <v>3073</v>
      </c>
      <c r="C493" s="198">
        <v>30</v>
      </c>
      <c r="D493" s="198" t="s">
        <v>103</v>
      </c>
      <c r="E493" s="198">
        <v>150</v>
      </c>
      <c r="F493" s="219">
        <v>4500</v>
      </c>
      <c r="G493" s="526"/>
      <c r="H493" s="739">
        <v>8</v>
      </c>
      <c r="I493" s="521" t="s">
        <v>533</v>
      </c>
      <c r="J493" s="521"/>
      <c r="K493" s="521"/>
      <c r="L493" s="739">
        <v>7</v>
      </c>
      <c r="M493" s="521" t="s">
        <v>533</v>
      </c>
      <c r="N493" s="521"/>
      <c r="O493" s="521"/>
      <c r="P493" s="739">
        <v>8</v>
      </c>
      <c r="Q493" s="521" t="s">
        <v>533</v>
      </c>
      <c r="R493" s="521"/>
      <c r="S493" s="521"/>
      <c r="T493" s="739">
        <v>7</v>
      </c>
      <c r="U493" s="521" t="s">
        <v>533</v>
      </c>
      <c r="V493" s="521"/>
      <c r="W493" s="521"/>
      <c r="X493" s="345" t="s">
        <v>128</v>
      </c>
      <c r="Y493" s="345"/>
      <c r="Z493" s="345"/>
    </row>
    <row r="494" spans="1:26" ht="12.75">
      <c r="A494" s="345"/>
      <c r="B494" s="533" t="s">
        <v>3074</v>
      </c>
      <c r="C494" s="200">
        <v>30</v>
      </c>
      <c r="D494" s="200" t="s">
        <v>103</v>
      </c>
      <c r="E494" s="200">
        <v>150</v>
      </c>
      <c r="F494" s="220">
        <v>4500</v>
      </c>
      <c r="G494" s="526"/>
      <c r="H494" s="535">
        <v>8</v>
      </c>
      <c r="I494" s="526" t="s">
        <v>533</v>
      </c>
      <c r="J494" s="526"/>
      <c r="K494" s="526"/>
      <c r="L494" s="535">
        <v>7</v>
      </c>
      <c r="M494" s="526" t="s">
        <v>533</v>
      </c>
      <c r="N494" s="526"/>
      <c r="O494" s="526"/>
      <c r="P494" s="535">
        <v>8</v>
      </c>
      <c r="Q494" s="526" t="s">
        <v>533</v>
      </c>
      <c r="R494" s="526"/>
      <c r="S494" s="526"/>
      <c r="T494" s="535">
        <v>7</v>
      </c>
      <c r="U494" s="526" t="s">
        <v>533</v>
      </c>
      <c r="V494" s="526"/>
      <c r="W494" s="526"/>
      <c r="X494" s="345" t="s">
        <v>128</v>
      </c>
      <c r="Y494" s="345"/>
      <c r="Z494" s="345"/>
    </row>
    <row r="495" spans="1:26" ht="12.75">
      <c r="A495" s="345"/>
      <c r="B495" s="533" t="s">
        <v>3075</v>
      </c>
      <c r="C495" s="200">
        <v>70</v>
      </c>
      <c r="D495" s="200" t="s">
        <v>103</v>
      </c>
      <c r="E495" s="200">
        <v>150</v>
      </c>
      <c r="F495" s="220">
        <v>10500</v>
      </c>
      <c r="G495" s="526"/>
      <c r="H495" s="535">
        <v>18</v>
      </c>
      <c r="I495" s="526" t="s">
        <v>533</v>
      </c>
      <c r="J495" s="526"/>
      <c r="K495" s="526"/>
      <c r="L495" s="535">
        <v>17</v>
      </c>
      <c r="M495" s="526" t="s">
        <v>533</v>
      </c>
      <c r="N495" s="526"/>
      <c r="O495" s="526"/>
      <c r="P495" s="535">
        <v>18</v>
      </c>
      <c r="Q495" s="526" t="s">
        <v>533</v>
      </c>
      <c r="R495" s="526"/>
      <c r="S495" s="526"/>
      <c r="T495" s="535">
        <v>17</v>
      </c>
      <c r="U495" s="526" t="s">
        <v>533</v>
      </c>
      <c r="V495" s="526"/>
      <c r="W495" s="526"/>
      <c r="X495" s="345" t="s">
        <v>128</v>
      </c>
      <c r="Y495" s="345"/>
      <c r="Z495" s="345"/>
    </row>
    <row r="496" spans="1:26" ht="12.75">
      <c r="A496" s="345"/>
      <c r="B496" s="533" t="s">
        <v>3076</v>
      </c>
      <c r="C496" s="200">
        <v>40</v>
      </c>
      <c r="D496" s="200" t="s">
        <v>103</v>
      </c>
      <c r="E496" s="200">
        <v>150</v>
      </c>
      <c r="F496" s="220">
        <v>6000</v>
      </c>
      <c r="G496" s="526"/>
      <c r="H496" s="535">
        <v>8</v>
      </c>
      <c r="I496" s="526" t="s">
        <v>533</v>
      </c>
      <c r="J496" s="526"/>
      <c r="K496" s="526"/>
      <c r="L496" s="535">
        <v>7</v>
      </c>
      <c r="M496" s="526" t="s">
        <v>533</v>
      </c>
      <c r="N496" s="526"/>
      <c r="O496" s="526"/>
      <c r="P496" s="535">
        <v>18</v>
      </c>
      <c r="Q496" s="526" t="s">
        <v>533</v>
      </c>
      <c r="R496" s="526"/>
      <c r="S496" s="526"/>
      <c r="T496" s="535">
        <v>7</v>
      </c>
      <c r="U496" s="526" t="s">
        <v>533</v>
      </c>
      <c r="V496" s="526"/>
      <c r="W496" s="526"/>
      <c r="X496" s="345" t="s">
        <v>128</v>
      </c>
      <c r="Y496" s="345"/>
      <c r="Z496" s="345"/>
    </row>
    <row r="497" spans="1:26" ht="12.75">
      <c r="A497" s="345"/>
      <c r="B497" s="533" t="s">
        <v>922</v>
      </c>
      <c r="C497" s="200">
        <v>1</v>
      </c>
      <c r="D497" s="200" t="s">
        <v>103</v>
      </c>
      <c r="E497" s="220">
        <v>2800</v>
      </c>
      <c r="F497" s="220">
        <v>2800</v>
      </c>
      <c r="G497" s="526"/>
      <c r="H497" s="535">
        <v>1</v>
      </c>
      <c r="I497" s="526" t="s">
        <v>533</v>
      </c>
      <c r="J497" s="526"/>
      <c r="K497" s="526"/>
      <c r="L497" s="536"/>
      <c r="M497" s="526"/>
      <c r="N497" s="526"/>
      <c r="O497" s="526"/>
      <c r="P497" s="536"/>
      <c r="Q497" s="526"/>
      <c r="R497" s="526"/>
      <c r="S497" s="526"/>
      <c r="T497" s="536"/>
      <c r="U497" s="526"/>
      <c r="V497" s="526"/>
      <c r="W497" s="526"/>
      <c r="X497" s="345" t="s">
        <v>128</v>
      </c>
      <c r="Y497" s="345"/>
      <c r="Z497" s="345"/>
    </row>
    <row r="498" spans="1:26" ht="12.75">
      <c r="A498" s="345"/>
      <c r="B498" s="533" t="s">
        <v>467</v>
      </c>
      <c r="C498" s="200">
        <v>1</v>
      </c>
      <c r="D498" s="200" t="s">
        <v>118</v>
      </c>
      <c r="E498" s="220">
        <v>40000</v>
      </c>
      <c r="F498" s="220">
        <v>40000</v>
      </c>
      <c r="G498" s="526"/>
      <c r="H498" s="536"/>
      <c r="I498" s="526"/>
      <c r="J498" s="526"/>
      <c r="K498" s="526"/>
      <c r="L498" s="535">
        <v>1</v>
      </c>
      <c r="M498" s="526" t="s">
        <v>533</v>
      </c>
      <c r="N498" s="526"/>
      <c r="O498" s="526"/>
      <c r="P498" s="536"/>
      <c r="Q498" s="526"/>
      <c r="R498" s="526"/>
      <c r="S498" s="526"/>
      <c r="T498" s="536"/>
      <c r="U498" s="526"/>
      <c r="V498" s="526"/>
      <c r="W498" s="526"/>
      <c r="X498" s="345" t="s">
        <v>128</v>
      </c>
      <c r="Y498" s="345"/>
      <c r="Z498" s="345"/>
    </row>
    <row r="499" spans="1:26" ht="12.75">
      <c r="A499" s="345"/>
      <c r="B499" s="533" t="s">
        <v>234</v>
      </c>
      <c r="C499" s="200">
        <v>1</v>
      </c>
      <c r="D499" s="200" t="s">
        <v>103</v>
      </c>
      <c r="E499" s="200">
        <v>380</v>
      </c>
      <c r="F499" s="200">
        <v>380</v>
      </c>
      <c r="G499" s="526"/>
      <c r="H499" s="536"/>
      <c r="I499" s="526"/>
      <c r="J499" s="526"/>
      <c r="K499" s="526"/>
      <c r="L499" s="535">
        <v>1</v>
      </c>
      <c r="M499" s="526" t="s">
        <v>533</v>
      </c>
      <c r="N499" s="526"/>
      <c r="O499" s="526"/>
      <c r="P499" s="536"/>
      <c r="Q499" s="526"/>
      <c r="R499" s="526"/>
      <c r="S499" s="526"/>
      <c r="T499" s="536"/>
      <c r="U499" s="526"/>
      <c r="V499" s="526"/>
      <c r="W499" s="526"/>
      <c r="X499" s="345" t="s">
        <v>128</v>
      </c>
      <c r="Y499" s="345"/>
      <c r="Z499" s="345"/>
    </row>
    <row r="500" spans="1:26" ht="12.75">
      <c r="A500" s="345"/>
      <c r="B500" s="533" t="s">
        <v>598</v>
      </c>
      <c r="C500" s="200">
        <v>1</v>
      </c>
      <c r="D500" s="200" t="s">
        <v>103</v>
      </c>
      <c r="E500" s="200">
        <v>350</v>
      </c>
      <c r="F500" s="200">
        <v>350</v>
      </c>
      <c r="G500" s="526"/>
      <c r="H500" s="536"/>
      <c r="I500" s="526"/>
      <c r="J500" s="526"/>
      <c r="K500" s="526"/>
      <c r="L500" s="535">
        <v>1</v>
      </c>
      <c r="M500" s="526" t="s">
        <v>533</v>
      </c>
      <c r="N500" s="526"/>
      <c r="O500" s="526"/>
      <c r="P500" s="536"/>
      <c r="Q500" s="526"/>
      <c r="R500" s="526"/>
      <c r="S500" s="526"/>
      <c r="T500" s="536"/>
      <c r="U500" s="526"/>
      <c r="V500" s="526"/>
      <c r="W500" s="526"/>
      <c r="X500" s="345" t="s">
        <v>128</v>
      </c>
      <c r="Y500" s="345"/>
      <c r="Z500" s="345"/>
    </row>
    <row r="501" spans="1:26" ht="12.75">
      <c r="A501" s="345"/>
      <c r="B501" s="533" t="s">
        <v>599</v>
      </c>
      <c r="C501" s="200">
        <v>1</v>
      </c>
      <c r="D501" s="200" t="s">
        <v>103</v>
      </c>
      <c r="E501" s="200">
        <v>500</v>
      </c>
      <c r="F501" s="200">
        <v>500</v>
      </c>
      <c r="G501" s="526"/>
      <c r="H501" s="536"/>
      <c r="I501" s="526"/>
      <c r="J501" s="526"/>
      <c r="K501" s="526"/>
      <c r="L501" s="535">
        <v>1</v>
      </c>
      <c r="M501" s="526" t="s">
        <v>533</v>
      </c>
      <c r="N501" s="526"/>
      <c r="O501" s="526"/>
      <c r="P501" s="536"/>
      <c r="Q501" s="526"/>
      <c r="R501" s="526"/>
      <c r="S501" s="526"/>
      <c r="T501" s="536"/>
      <c r="U501" s="526"/>
      <c r="V501" s="526"/>
      <c r="W501" s="526"/>
      <c r="X501" s="345" t="s">
        <v>128</v>
      </c>
      <c r="Y501" s="345"/>
      <c r="Z501" s="345"/>
    </row>
    <row r="502" spans="1:26" ht="12.75">
      <c r="A502" s="345"/>
      <c r="B502" s="500" t="s">
        <v>3071</v>
      </c>
      <c r="C502" s="485">
        <v>1</v>
      </c>
      <c r="D502" s="485" t="s">
        <v>118</v>
      </c>
      <c r="E502" s="485">
        <v>43000</v>
      </c>
      <c r="F502" s="485">
        <v>43000</v>
      </c>
      <c r="G502" s="485" t="s">
        <v>3038</v>
      </c>
      <c r="H502" s="485">
        <v>1</v>
      </c>
      <c r="I502" s="485"/>
      <c r="J502" s="485">
        <v>1</v>
      </c>
      <c r="K502" s="485"/>
      <c r="L502" s="485"/>
      <c r="M502" s="485"/>
      <c r="N502" s="485"/>
      <c r="O502" s="485"/>
      <c r="P502" s="485"/>
      <c r="Q502" s="485"/>
      <c r="R502" s="485"/>
      <c r="S502" s="485"/>
      <c r="T502" s="485"/>
      <c r="U502" s="485"/>
      <c r="V502" s="485"/>
      <c r="W502" s="479"/>
      <c r="X502" s="345" t="s">
        <v>129</v>
      </c>
      <c r="Y502" s="345"/>
      <c r="Z502" s="345"/>
    </row>
    <row r="503" spans="1:26" ht="12.75">
      <c r="A503" s="345"/>
      <c r="B503" s="516" t="s">
        <v>454</v>
      </c>
      <c r="C503" s="483" t="s">
        <v>103</v>
      </c>
      <c r="D503" s="483">
        <v>380</v>
      </c>
      <c r="E503" s="483">
        <v>1</v>
      </c>
      <c r="F503" s="483">
        <v>2300</v>
      </c>
      <c r="G503" s="483" t="s">
        <v>3038</v>
      </c>
      <c r="H503" s="483">
        <v>1</v>
      </c>
      <c r="I503" s="483"/>
      <c r="J503" s="483">
        <v>1</v>
      </c>
      <c r="K503" s="483"/>
      <c r="L503" s="483"/>
      <c r="M503" s="483"/>
      <c r="N503" s="483"/>
      <c r="O503" s="483"/>
      <c r="P503" s="483"/>
      <c r="Q503" s="483"/>
      <c r="R503" s="483"/>
      <c r="S503" s="483"/>
      <c r="T503" s="483"/>
      <c r="U503" s="483"/>
      <c r="V503" s="483"/>
      <c r="W503" s="482"/>
      <c r="X503" s="345" t="s">
        <v>129</v>
      </c>
      <c r="Y503" s="345"/>
      <c r="Z503" s="345"/>
    </row>
    <row r="504" spans="1:26" ht="12.75">
      <c r="A504" s="345"/>
      <c r="B504" s="516" t="s">
        <v>720</v>
      </c>
      <c r="C504" s="483" t="s">
        <v>103</v>
      </c>
      <c r="D504" s="483">
        <v>480</v>
      </c>
      <c r="E504" s="483"/>
      <c r="F504" s="483">
        <v>17280</v>
      </c>
      <c r="G504" s="483" t="s">
        <v>3038</v>
      </c>
      <c r="H504" s="483">
        <v>9</v>
      </c>
      <c r="I504" s="483">
        <v>3</v>
      </c>
      <c r="J504" s="483">
        <v>3</v>
      </c>
      <c r="K504" s="483">
        <v>3</v>
      </c>
      <c r="L504" s="483">
        <v>9</v>
      </c>
      <c r="M504" s="483">
        <v>3</v>
      </c>
      <c r="N504" s="483">
        <v>3</v>
      </c>
      <c r="O504" s="483">
        <v>3</v>
      </c>
      <c r="P504" s="483">
        <v>9</v>
      </c>
      <c r="Q504" s="483">
        <v>3</v>
      </c>
      <c r="R504" s="483">
        <v>3</v>
      </c>
      <c r="S504" s="483">
        <v>3</v>
      </c>
      <c r="T504" s="483">
        <v>9</v>
      </c>
      <c r="U504" s="483">
        <v>3</v>
      </c>
      <c r="V504" s="483">
        <v>3</v>
      </c>
      <c r="W504" s="482">
        <v>3</v>
      </c>
      <c r="X504" s="345" t="s">
        <v>129</v>
      </c>
      <c r="Y504" s="345"/>
      <c r="Z504" s="345"/>
    </row>
    <row r="505" spans="1:26" ht="12.75">
      <c r="A505" s="345"/>
      <c r="B505" s="497" t="s">
        <v>721</v>
      </c>
      <c r="C505" s="483" t="s">
        <v>103</v>
      </c>
      <c r="D505" s="483">
        <v>480</v>
      </c>
      <c r="E505" s="483"/>
      <c r="F505" s="483">
        <v>11520</v>
      </c>
      <c r="G505" s="483" t="s">
        <v>3038</v>
      </c>
      <c r="H505" s="483">
        <v>6</v>
      </c>
      <c r="I505" s="483">
        <v>2</v>
      </c>
      <c r="J505" s="483">
        <v>2</v>
      </c>
      <c r="K505" s="483">
        <v>2</v>
      </c>
      <c r="L505" s="483">
        <v>6</v>
      </c>
      <c r="M505" s="483">
        <v>2</v>
      </c>
      <c r="N505" s="483">
        <v>2</v>
      </c>
      <c r="O505" s="483">
        <v>2</v>
      </c>
      <c r="P505" s="483">
        <v>6</v>
      </c>
      <c r="Q505" s="483">
        <v>2</v>
      </c>
      <c r="R505" s="483">
        <v>2</v>
      </c>
      <c r="S505" s="483">
        <v>2</v>
      </c>
      <c r="T505" s="483">
        <v>6</v>
      </c>
      <c r="U505" s="483">
        <v>2</v>
      </c>
      <c r="V505" s="483">
        <v>2</v>
      </c>
      <c r="W505" s="482">
        <v>2</v>
      </c>
      <c r="X505" s="345" t="s">
        <v>129</v>
      </c>
      <c r="Y505" s="345"/>
      <c r="Z505" s="345"/>
    </row>
    <row r="506" spans="1:26" ht="12.75">
      <c r="A506" s="345"/>
      <c r="B506" s="497" t="s">
        <v>722</v>
      </c>
      <c r="C506" s="483" t="s">
        <v>103</v>
      </c>
      <c r="D506" s="483">
        <v>480</v>
      </c>
      <c r="E506" s="483"/>
      <c r="F506" s="483">
        <v>10080</v>
      </c>
      <c r="G506" s="483" t="s">
        <v>3038</v>
      </c>
      <c r="H506" s="483">
        <v>6</v>
      </c>
      <c r="I506" s="483">
        <v>2</v>
      </c>
      <c r="J506" s="483">
        <v>2</v>
      </c>
      <c r="K506" s="483">
        <v>2</v>
      </c>
      <c r="L506" s="483">
        <v>3</v>
      </c>
      <c r="M506" s="483">
        <v>2</v>
      </c>
      <c r="N506" s="483">
        <v>2</v>
      </c>
      <c r="O506" s="483">
        <v>2</v>
      </c>
      <c r="P506" s="483">
        <v>3</v>
      </c>
      <c r="Q506" s="483">
        <v>2</v>
      </c>
      <c r="R506" s="483">
        <v>2</v>
      </c>
      <c r="S506" s="483">
        <v>2</v>
      </c>
      <c r="T506" s="483">
        <v>3</v>
      </c>
      <c r="U506" s="483">
        <v>2</v>
      </c>
      <c r="V506" s="483">
        <v>2</v>
      </c>
      <c r="W506" s="482">
        <v>2</v>
      </c>
      <c r="X506" s="345" t="s">
        <v>129</v>
      </c>
      <c r="Y506" s="345"/>
      <c r="Z506" s="345"/>
    </row>
    <row r="507" spans="1:26" ht="12.75">
      <c r="A507" s="345"/>
      <c r="B507" s="497" t="s">
        <v>723</v>
      </c>
      <c r="C507" s="483" t="s">
        <v>103</v>
      </c>
      <c r="D507" s="483">
        <v>480</v>
      </c>
      <c r="E507" s="483"/>
      <c r="F507" s="483">
        <v>11520</v>
      </c>
      <c r="G507" s="483" t="s">
        <v>3038</v>
      </c>
      <c r="H507" s="483">
        <v>6</v>
      </c>
      <c r="I507" s="483">
        <v>2</v>
      </c>
      <c r="J507" s="483">
        <v>2</v>
      </c>
      <c r="K507" s="483">
        <v>2</v>
      </c>
      <c r="L507" s="483">
        <v>6</v>
      </c>
      <c r="M507" s="483">
        <v>2</v>
      </c>
      <c r="N507" s="483">
        <v>2</v>
      </c>
      <c r="O507" s="483">
        <v>2</v>
      </c>
      <c r="P507" s="483">
        <v>6</v>
      </c>
      <c r="Q507" s="483">
        <v>2</v>
      </c>
      <c r="R507" s="483">
        <v>2</v>
      </c>
      <c r="S507" s="483">
        <v>2</v>
      </c>
      <c r="T507" s="483">
        <v>6</v>
      </c>
      <c r="U507" s="483">
        <v>2</v>
      </c>
      <c r="V507" s="483">
        <v>2</v>
      </c>
      <c r="W507" s="482">
        <v>2</v>
      </c>
      <c r="X507" s="345" t="s">
        <v>129</v>
      </c>
      <c r="Y507" s="345"/>
      <c r="Z507" s="345"/>
    </row>
    <row r="508" spans="1:26" ht="12.75">
      <c r="A508" s="345"/>
      <c r="B508" s="497" t="s">
        <v>599</v>
      </c>
      <c r="C508" s="483" t="s">
        <v>103</v>
      </c>
      <c r="D508" s="483">
        <v>850</v>
      </c>
      <c r="E508" s="483">
        <v>1</v>
      </c>
      <c r="F508" s="483">
        <v>850</v>
      </c>
      <c r="G508" s="483" t="s">
        <v>3038</v>
      </c>
      <c r="H508" s="483">
        <v>1</v>
      </c>
      <c r="I508" s="483"/>
      <c r="J508" s="483">
        <v>1</v>
      </c>
      <c r="K508" s="483"/>
      <c r="L508" s="483"/>
      <c r="M508" s="483"/>
      <c r="N508" s="483"/>
      <c r="O508" s="483"/>
      <c r="P508" s="483"/>
      <c r="Q508" s="483"/>
      <c r="R508" s="483"/>
      <c r="S508" s="483"/>
      <c r="T508" s="483"/>
      <c r="U508" s="483"/>
      <c r="V508" s="483"/>
      <c r="W508" s="482"/>
      <c r="X508" s="345" t="s">
        <v>129</v>
      </c>
      <c r="Y508" s="345"/>
      <c r="Z508" s="345"/>
    </row>
    <row r="509" spans="1:26" ht="12.75">
      <c r="A509" s="345"/>
      <c r="B509" s="482" t="s">
        <v>746</v>
      </c>
      <c r="C509" s="483" t="s">
        <v>103</v>
      </c>
      <c r="D509" s="483">
        <v>8500</v>
      </c>
      <c r="E509" s="483">
        <v>1</v>
      </c>
      <c r="F509" s="483">
        <v>8500</v>
      </c>
      <c r="G509" s="483" t="s">
        <v>3038</v>
      </c>
      <c r="H509" s="483">
        <v>1</v>
      </c>
      <c r="I509" s="483"/>
      <c r="J509" s="483">
        <v>1</v>
      </c>
      <c r="K509" s="483"/>
      <c r="L509" s="483"/>
      <c r="M509" s="483"/>
      <c r="N509" s="483"/>
      <c r="O509" s="483"/>
      <c r="P509" s="483"/>
      <c r="Q509" s="483"/>
      <c r="R509" s="483"/>
      <c r="S509" s="483"/>
      <c r="T509" s="483"/>
      <c r="U509" s="483"/>
      <c r="V509" s="483"/>
      <c r="W509" s="482"/>
      <c r="X509" s="345" t="s">
        <v>129</v>
      </c>
      <c r="Y509" s="345"/>
      <c r="Z509" s="345"/>
    </row>
    <row r="510" spans="1:26" ht="12.75">
      <c r="A510" s="345"/>
      <c r="B510" s="494" t="s">
        <v>234</v>
      </c>
      <c r="C510" s="481">
        <v>2</v>
      </c>
      <c r="D510" s="482" t="s">
        <v>103</v>
      </c>
      <c r="E510" s="479">
        <v>380</v>
      </c>
      <c r="F510" s="494">
        <v>760</v>
      </c>
      <c r="G510" s="646" t="s">
        <v>3038</v>
      </c>
      <c r="H510" s="638">
        <v>1</v>
      </c>
      <c r="I510" s="481">
        <v>1</v>
      </c>
      <c r="J510" s="486"/>
      <c r="K510" s="486"/>
      <c r="L510" s="638">
        <v>0</v>
      </c>
      <c r="M510" s="481"/>
      <c r="N510" s="486"/>
      <c r="O510" s="486"/>
      <c r="P510" s="638">
        <v>1</v>
      </c>
      <c r="Q510" s="481">
        <v>1</v>
      </c>
      <c r="R510" s="486"/>
      <c r="S510" s="486"/>
      <c r="T510" s="638">
        <v>0</v>
      </c>
      <c r="U510" s="485"/>
      <c r="V510" s="485"/>
      <c r="W510" s="485"/>
      <c r="X510" s="345" t="s">
        <v>3077</v>
      </c>
      <c r="Y510" s="345"/>
      <c r="Z510" s="345"/>
    </row>
    <row r="511" spans="1:26" ht="12.75">
      <c r="A511" s="345"/>
      <c r="B511" s="511" t="s">
        <v>239</v>
      </c>
      <c r="C511" s="481">
        <v>2</v>
      </c>
      <c r="D511" s="482" t="s">
        <v>103</v>
      </c>
      <c r="E511" s="482">
        <v>380</v>
      </c>
      <c r="F511" s="511">
        <v>760</v>
      </c>
      <c r="G511" s="648" t="s">
        <v>3038</v>
      </c>
      <c r="H511" s="641">
        <v>1</v>
      </c>
      <c r="I511" s="481">
        <v>1</v>
      </c>
      <c r="J511" s="486"/>
      <c r="K511" s="486"/>
      <c r="L511" s="641">
        <v>0</v>
      </c>
      <c r="M511" s="481"/>
      <c r="N511" s="486"/>
      <c r="O511" s="486"/>
      <c r="P511" s="641">
        <v>1</v>
      </c>
      <c r="Q511" s="481">
        <v>1</v>
      </c>
      <c r="R511" s="486"/>
      <c r="S511" s="486"/>
      <c r="T511" s="641">
        <v>0</v>
      </c>
      <c r="U511" s="483"/>
      <c r="V511" s="483"/>
      <c r="W511" s="483"/>
      <c r="X511" s="345" t="s">
        <v>3077</v>
      </c>
      <c r="Y511" s="345"/>
      <c r="Z511" s="345"/>
    </row>
    <row r="512" spans="1:26" ht="12.75">
      <c r="A512" s="345"/>
      <c r="B512" s="511" t="s">
        <v>493</v>
      </c>
      <c r="C512" s="481">
        <v>1</v>
      </c>
      <c r="D512" s="482" t="s">
        <v>103</v>
      </c>
      <c r="E512" s="740">
        <v>8500</v>
      </c>
      <c r="F512" s="741">
        <v>8500</v>
      </c>
      <c r="G512" s="648" t="s">
        <v>3038</v>
      </c>
      <c r="H512" s="641">
        <v>1</v>
      </c>
      <c r="I512" s="481">
        <v>1</v>
      </c>
      <c r="J512" s="486"/>
      <c r="K512" s="486"/>
      <c r="L512" s="641">
        <v>0</v>
      </c>
      <c r="M512" s="481"/>
      <c r="N512" s="486"/>
      <c r="O512" s="486"/>
      <c r="P512" s="641">
        <v>0</v>
      </c>
      <c r="Q512" s="481"/>
      <c r="R512" s="486"/>
      <c r="S512" s="486"/>
      <c r="T512" s="641">
        <v>0</v>
      </c>
      <c r="U512" s="483"/>
      <c r="V512" s="483"/>
      <c r="W512" s="483"/>
      <c r="X512" s="345" t="s">
        <v>3077</v>
      </c>
      <c r="Y512" s="345"/>
      <c r="Z512" s="345"/>
    </row>
    <row r="513" spans="1:26" ht="12.75">
      <c r="A513" s="345"/>
      <c r="B513" s="511" t="s">
        <v>568</v>
      </c>
      <c r="C513" s="481">
        <v>2</v>
      </c>
      <c r="D513" s="482" t="s">
        <v>103</v>
      </c>
      <c r="E513" s="740">
        <v>3500</v>
      </c>
      <c r="F513" s="741">
        <v>7000</v>
      </c>
      <c r="G513" s="648" t="s">
        <v>3038</v>
      </c>
      <c r="H513" s="641">
        <v>1</v>
      </c>
      <c r="I513" s="481">
        <v>1</v>
      </c>
      <c r="J513" s="486"/>
      <c r="K513" s="486"/>
      <c r="L513" s="641">
        <v>0</v>
      </c>
      <c r="M513" s="481"/>
      <c r="N513" s="486"/>
      <c r="O513" s="486"/>
      <c r="P513" s="641">
        <v>1</v>
      </c>
      <c r="Q513" s="481">
        <v>1</v>
      </c>
      <c r="R513" s="486"/>
      <c r="S513" s="486"/>
      <c r="T513" s="641">
        <v>0</v>
      </c>
      <c r="U513" s="483"/>
      <c r="V513" s="483"/>
      <c r="W513" s="483"/>
      <c r="X513" s="345" t="s">
        <v>3077</v>
      </c>
      <c r="Y513" s="345"/>
      <c r="Z513" s="345"/>
    </row>
    <row r="514" spans="1:26" ht="12.75">
      <c r="A514" s="345"/>
      <c r="B514" s="494" t="s">
        <v>483</v>
      </c>
      <c r="C514" s="486">
        <v>1</v>
      </c>
      <c r="D514" s="482" t="s">
        <v>103</v>
      </c>
      <c r="E514" s="740">
        <v>2500</v>
      </c>
      <c r="F514" s="741">
        <v>2500</v>
      </c>
      <c r="G514" s="648" t="s">
        <v>3038</v>
      </c>
      <c r="H514" s="641">
        <v>1</v>
      </c>
      <c r="I514" s="481">
        <v>1</v>
      </c>
      <c r="J514" s="486"/>
      <c r="K514" s="486"/>
      <c r="L514" s="641">
        <v>0</v>
      </c>
      <c r="M514" s="481"/>
      <c r="N514" s="486"/>
      <c r="O514" s="486"/>
      <c r="P514" s="641">
        <v>0</v>
      </c>
      <c r="Q514" s="481"/>
      <c r="R514" s="486"/>
      <c r="S514" s="486"/>
      <c r="T514" s="641">
        <v>0</v>
      </c>
      <c r="U514" s="483"/>
      <c r="V514" s="483"/>
      <c r="W514" s="483"/>
      <c r="X514" s="345" t="s">
        <v>3077</v>
      </c>
      <c r="Y514" s="345"/>
      <c r="Z514" s="345"/>
    </row>
    <row r="515" spans="1:26" ht="12.75">
      <c r="A515" s="345"/>
      <c r="B515" s="742" t="s">
        <v>3078</v>
      </c>
      <c r="C515" s="486">
        <v>1</v>
      </c>
      <c r="D515" s="482" t="s">
        <v>466</v>
      </c>
      <c r="E515" s="482" t="s">
        <v>3079</v>
      </c>
      <c r="F515" s="511" t="s">
        <v>3079</v>
      </c>
      <c r="G515" s="648" t="s">
        <v>3038</v>
      </c>
      <c r="H515" s="641">
        <v>1</v>
      </c>
      <c r="I515" s="481">
        <v>1</v>
      </c>
      <c r="J515" s="486"/>
      <c r="K515" s="486"/>
      <c r="L515" s="641">
        <v>0</v>
      </c>
      <c r="M515" s="481"/>
      <c r="N515" s="486"/>
      <c r="O515" s="486"/>
      <c r="P515" s="641">
        <v>0</v>
      </c>
      <c r="Q515" s="481"/>
      <c r="R515" s="486"/>
      <c r="S515" s="486"/>
      <c r="T515" s="641">
        <v>0</v>
      </c>
      <c r="U515" s="483"/>
      <c r="V515" s="483"/>
      <c r="W515" s="483"/>
      <c r="X515" s="345" t="s">
        <v>3077</v>
      </c>
      <c r="Y515" s="345"/>
      <c r="Z515" s="345"/>
    </row>
    <row r="516" spans="1:26" ht="12.75">
      <c r="A516" s="345"/>
      <c r="B516" s="511" t="s">
        <v>817</v>
      </c>
      <c r="C516" s="486">
        <v>1</v>
      </c>
      <c r="D516" s="482" t="s">
        <v>103</v>
      </c>
      <c r="E516" s="740">
        <v>2500</v>
      </c>
      <c r="F516" s="741">
        <v>2500</v>
      </c>
      <c r="G516" s="648" t="s">
        <v>3038</v>
      </c>
      <c r="H516" s="641">
        <v>1</v>
      </c>
      <c r="I516" s="481">
        <v>1</v>
      </c>
      <c r="J516" s="486"/>
      <c r="K516" s="486"/>
      <c r="L516" s="641">
        <v>0</v>
      </c>
      <c r="M516" s="481"/>
      <c r="N516" s="486"/>
      <c r="O516" s="486"/>
      <c r="P516" s="641">
        <v>0</v>
      </c>
      <c r="Q516" s="481"/>
      <c r="R516" s="486"/>
      <c r="S516" s="486"/>
      <c r="T516" s="641">
        <v>0</v>
      </c>
      <c r="U516" s="483"/>
      <c r="V516" s="483"/>
      <c r="W516" s="483"/>
      <c r="X516" s="345" t="s">
        <v>3077</v>
      </c>
      <c r="Y516" s="345"/>
      <c r="Z516" s="345"/>
    </row>
    <row r="517" spans="1:26" ht="12.75">
      <c r="A517" s="345"/>
      <c r="B517" s="511" t="s">
        <v>3041</v>
      </c>
      <c r="C517" s="198">
        <v>40</v>
      </c>
      <c r="D517" s="198" t="s">
        <v>571</v>
      </c>
      <c r="E517" s="200">
        <v>350</v>
      </c>
      <c r="F517" s="219">
        <v>7000</v>
      </c>
      <c r="G517" s="743" t="s">
        <v>3038</v>
      </c>
      <c r="H517" s="637">
        <v>10</v>
      </c>
      <c r="I517" s="485">
        <v>5</v>
      </c>
      <c r="J517" s="485">
        <v>5</v>
      </c>
      <c r="K517" s="485">
        <v>0</v>
      </c>
      <c r="L517" s="637">
        <v>10</v>
      </c>
      <c r="M517" s="485">
        <v>5</v>
      </c>
      <c r="N517" s="485">
        <v>5</v>
      </c>
      <c r="O517" s="485">
        <v>0</v>
      </c>
      <c r="P517" s="637">
        <v>10</v>
      </c>
      <c r="Q517" s="485">
        <v>5</v>
      </c>
      <c r="R517" s="485">
        <v>5</v>
      </c>
      <c r="S517" s="485">
        <v>0</v>
      </c>
      <c r="T517" s="637">
        <v>10</v>
      </c>
      <c r="U517" s="485">
        <v>5</v>
      </c>
      <c r="V517" s="485">
        <v>5</v>
      </c>
      <c r="W517" s="482">
        <v>0</v>
      </c>
      <c r="X517" s="345" t="s">
        <v>3077</v>
      </c>
      <c r="Y517" s="345"/>
      <c r="Z517" s="345"/>
    </row>
    <row r="518" spans="1:26" ht="12.75">
      <c r="A518" s="345"/>
      <c r="B518" s="511" t="s">
        <v>3042</v>
      </c>
      <c r="C518" s="200">
        <v>20</v>
      </c>
      <c r="D518" s="200" t="s">
        <v>571</v>
      </c>
      <c r="E518" s="200">
        <v>350</v>
      </c>
      <c r="F518" s="220">
        <v>7000</v>
      </c>
      <c r="G518" s="743" t="s">
        <v>3038</v>
      </c>
      <c r="H518" s="640">
        <v>5</v>
      </c>
      <c r="I518" s="483">
        <v>5</v>
      </c>
      <c r="J518" s="483">
        <v>0</v>
      </c>
      <c r="K518" s="483">
        <v>0</v>
      </c>
      <c r="L518" s="640">
        <v>5</v>
      </c>
      <c r="M518" s="483">
        <v>5</v>
      </c>
      <c r="N518" s="483">
        <v>0</v>
      </c>
      <c r="O518" s="483">
        <v>0</v>
      </c>
      <c r="P518" s="640">
        <v>5</v>
      </c>
      <c r="Q518" s="483">
        <v>5</v>
      </c>
      <c r="R518" s="483">
        <v>0</v>
      </c>
      <c r="S518" s="483">
        <v>0</v>
      </c>
      <c r="T518" s="640">
        <v>5</v>
      </c>
      <c r="U518" s="483">
        <v>5</v>
      </c>
      <c r="V518" s="483">
        <v>0</v>
      </c>
      <c r="W518" s="482">
        <v>0</v>
      </c>
      <c r="X518" s="345" t="s">
        <v>3077</v>
      </c>
      <c r="Y518" s="345"/>
      <c r="Z518" s="345"/>
    </row>
    <row r="519" spans="1:26" ht="12.75">
      <c r="A519" s="345"/>
      <c r="B519" s="511" t="s">
        <v>3043</v>
      </c>
      <c r="C519" s="200">
        <v>20</v>
      </c>
      <c r="D519" s="200" t="s">
        <v>571</v>
      </c>
      <c r="E519" s="200">
        <v>350</v>
      </c>
      <c r="F519" s="220">
        <v>7000</v>
      </c>
      <c r="G519" s="743" t="s">
        <v>3038</v>
      </c>
      <c r="H519" s="640">
        <v>5</v>
      </c>
      <c r="I519" s="483">
        <v>5</v>
      </c>
      <c r="J519" s="483">
        <v>0</v>
      </c>
      <c r="K519" s="483">
        <v>0</v>
      </c>
      <c r="L519" s="640">
        <v>5</v>
      </c>
      <c r="M519" s="483">
        <v>5</v>
      </c>
      <c r="N519" s="483">
        <v>0</v>
      </c>
      <c r="O519" s="483">
        <v>0</v>
      </c>
      <c r="P519" s="640">
        <v>5</v>
      </c>
      <c r="Q519" s="483">
        <v>5</v>
      </c>
      <c r="R519" s="483">
        <v>0</v>
      </c>
      <c r="S519" s="483">
        <v>0</v>
      </c>
      <c r="T519" s="640">
        <v>5</v>
      </c>
      <c r="U519" s="483">
        <v>5</v>
      </c>
      <c r="V519" s="483">
        <v>0</v>
      </c>
      <c r="W519" s="482">
        <v>0</v>
      </c>
      <c r="X519" s="345" t="s">
        <v>3077</v>
      </c>
      <c r="Y519" s="345"/>
      <c r="Z519" s="345"/>
    </row>
    <row r="520" spans="1:26" ht="12.75">
      <c r="A520" s="345"/>
      <c r="B520" s="511" t="s">
        <v>3044</v>
      </c>
      <c r="C520" s="200">
        <v>20</v>
      </c>
      <c r="D520" s="200" t="s">
        <v>571</v>
      </c>
      <c r="E520" s="200">
        <v>350</v>
      </c>
      <c r="F520" s="220">
        <v>7000</v>
      </c>
      <c r="G520" s="743" t="s">
        <v>3038</v>
      </c>
      <c r="H520" s="640">
        <v>5</v>
      </c>
      <c r="I520" s="483">
        <v>5</v>
      </c>
      <c r="J520" s="483">
        <v>0</v>
      </c>
      <c r="K520" s="483">
        <v>0</v>
      </c>
      <c r="L520" s="640">
        <v>5</v>
      </c>
      <c r="M520" s="483">
        <v>5</v>
      </c>
      <c r="N520" s="483">
        <v>0</v>
      </c>
      <c r="O520" s="483">
        <v>0</v>
      </c>
      <c r="P520" s="640">
        <v>5</v>
      </c>
      <c r="Q520" s="483">
        <v>5</v>
      </c>
      <c r="R520" s="483">
        <v>0</v>
      </c>
      <c r="S520" s="483">
        <v>0</v>
      </c>
      <c r="T520" s="640">
        <v>5</v>
      </c>
      <c r="U520" s="483">
        <v>5</v>
      </c>
      <c r="V520" s="483">
        <v>0</v>
      </c>
      <c r="W520" s="482">
        <v>0</v>
      </c>
      <c r="X520" s="345" t="s">
        <v>3077</v>
      </c>
      <c r="Y520" s="345"/>
      <c r="Z520" s="345"/>
    </row>
    <row r="521" spans="1:26" ht="12.75">
      <c r="A521" s="345"/>
      <c r="B521" s="511" t="s">
        <v>3080</v>
      </c>
      <c r="C521" s="200">
        <v>40</v>
      </c>
      <c r="D521" s="200" t="s">
        <v>571</v>
      </c>
      <c r="E521" s="200">
        <v>320</v>
      </c>
      <c r="F521" s="200" t="s">
        <v>3079</v>
      </c>
      <c r="G521" s="743" t="s">
        <v>3038</v>
      </c>
      <c r="H521" s="640">
        <v>10</v>
      </c>
      <c r="I521" s="483">
        <v>5</v>
      </c>
      <c r="J521" s="483">
        <v>5</v>
      </c>
      <c r="K521" s="483">
        <v>0</v>
      </c>
      <c r="L521" s="640">
        <v>10</v>
      </c>
      <c r="M521" s="483">
        <v>5</v>
      </c>
      <c r="N521" s="483">
        <v>5</v>
      </c>
      <c r="O521" s="483">
        <v>0</v>
      </c>
      <c r="P521" s="640">
        <v>10</v>
      </c>
      <c r="Q521" s="483">
        <v>5</v>
      </c>
      <c r="R521" s="483">
        <v>5</v>
      </c>
      <c r="S521" s="483">
        <v>0</v>
      </c>
      <c r="T521" s="640">
        <v>10</v>
      </c>
      <c r="U521" s="483">
        <v>5</v>
      </c>
      <c r="V521" s="483">
        <v>5</v>
      </c>
      <c r="W521" s="482">
        <v>0</v>
      </c>
      <c r="X521" s="345" t="s">
        <v>3077</v>
      </c>
      <c r="Y521" s="345"/>
      <c r="Z521" s="345"/>
    </row>
    <row r="522" spans="1:26" ht="12.75">
      <c r="A522" s="345"/>
      <c r="B522" s="511" t="s">
        <v>3081</v>
      </c>
      <c r="C522" s="200">
        <v>20</v>
      </c>
      <c r="D522" s="200" t="s">
        <v>571</v>
      </c>
      <c r="E522" s="200">
        <v>320</v>
      </c>
      <c r="F522" s="220">
        <v>6400</v>
      </c>
      <c r="G522" s="743" t="s">
        <v>3038</v>
      </c>
      <c r="H522" s="640">
        <v>5</v>
      </c>
      <c r="I522" s="483">
        <v>5</v>
      </c>
      <c r="J522" s="483">
        <v>0</v>
      </c>
      <c r="K522" s="483">
        <v>0</v>
      </c>
      <c r="L522" s="640">
        <v>5</v>
      </c>
      <c r="M522" s="483">
        <v>5</v>
      </c>
      <c r="N522" s="483">
        <v>0</v>
      </c>
      <c r="O522" s="483">
        <v>0</v>
      </c>
      <c r="P522" s="640">
        <v>5</v>
      </c>
      <c r="Q522" s="483">
        <v>5</v>
      </c>
      <c r="R522" s="483">
        <v>0</v>
      </c>
      <c r="S522" s="483">
        <v>0</v>
      </c>
      <c r="T522" s="640">
        <v>5</v>
      </c>
      <c r="U522" s="483">
        <v>5</v>
      </c>
      <c r="V522" s="483">
        <v>0</v>
      </c>
      <c r="W522" s="482">
        <v>0</v>
      </c>
      <c r="X522" s="345" t="s">
        <v>3077</v>
      </c>
      <c r="Y522" s="345"/>
      <c r="Z522" s="345"/>
    </row>
    <row r="523" spans="1:26" ht="12.75">
      <c r="A523" s="345"/>
      <c r="B523" s="511" t="s">
        <v>3082</v>
      </c>
      <c r="C523" s="200">
        <v>20</v>
      </c>
      <c r="D523" s="200" t="s">
        <v>571</v>
      </c>
      <c r="E523" s="200">
        <v>320</v>
      </c>
      <c r="F523" s="220">
        <v>6400</v>
      </c>
      <c r="G523" s="743" t="s">
        <v>3038</v>
      </c>
      <c r="H523" s="640">
        <v>5</v>
      </c>
      <c r="I523" s="483">
        <v>5</v>
      </c>
      <c r="J523" s="483">
        <v>0</v>
      </c>
      <c r="K523" s="483">
        <v>0</v>
      </c>
      <c r="L523" s="640">
        <v>5</v>
      </c>
      <c r="M523" s="483">
        <v>5</v>
      </c>
      <c r="N523" s="483">
        <v>0</v>
      </c>
      <c r="O523" s="483">
        <v>0</v>
      </c>
      <c r="P523" s="640">
        <v>5</v>
      </c>
      <c r="Q523" s="483">
        <v>5</v>
      </c>
      <c r="R523" s="483">
        <v>0</v>
      </c>
      <c r="S523" s="483">
        <v>0</v>
      </c>
      <c r="T523" s="640">
        <v>5</v>
      </c>
      <c r="U523" s="483">
        <v>5</v>
      </c>
      <c r="V523" s="483">
        <v>0</v>
      </c>
      <c r="W523" s="482">
        <v>0</v>
      </c>
      <c r="X523" s="345" t="s">
        <v>3077</v>
      </c>
      <c r="Y523" s="345"/>
      <c r="Z523" s="345"/>
    </row>
    <row r="524" spans="1:26" ht="12.75">
      <c r="A524" s="345"/>
      <c r="B524" s="511" t="s">
        <v>3083</v>
      </c>
      <c r="C524" s="200">
        <v>20</v>
      </c>
      <c r="D524" s="200" t="s">
        <v>571</v>
      </c>
      <c r="E524" s="200">
        <v>320</v>
      </c>
      <c r="F524" s="220">
        <v>6400</v>
      </c>
      <c r="G524" s="743" t="s">
        <v>3038</v>
      </c>
      <c r="H524" s="640">
        <v>10</v>
      </c>
      <c r="I524" s="483">
        <v>5</v>
      </c>
      <c r="J524" s="483">
        <v>5</v>
      </c>
      <c r="K524" s="483">
        <v>0</v>
      </c>
      <c r="L524" s="640">
        <v>10</v>
      </c>
      <c r="M524" s="483">
        <v>5</v>
      </c>
      <c r="N524" s="483">
        <v>5</v>
      </c>
      <c r="O524" s="483">
        <v>0</v>
      </c>
      <c r="P524" s="640">
        <v>10</v>
      </c>
      <c r="Q524" s="483">
        <v>5</v>
      </c>
      <c r="R524" s="483">
        <v>5</v>
      </c>
      <c r="S524" s="483">
        <v>0</v>
      </c>
      <c r="T524" s="640">
        <v>10</v>
      </c>
      <c r="U524" s="483">
        <v>5</v>
      </c>
      <c r="V524" s="483">
        <v>5</v>
      </c>
      <c r="W524" s="482">
        <v>0</v>
      </c>
      <c r="X524" s="345" t="s">
        <v>3077</v>
      </c>
      <c r="Y524" s="345"/>
      <c r="Z524" s="345"/>
    </row>
    <row r="525" spans="1:26" ht="12.75">
      <c r="A525" s="345"/>
      <c r="B525" s="511" t="s">
        <v>1561</v>
      </c>
      <c r="C525" s="200">
        <v>40</v>
      </c>
      <c r="D525" s="200" t="s">
        <v>571</v>
      </c>
      <c r="E525" s="200">
        <v>399</v>
      </c>
      <c r="F525" s="200" t="s">
        <v>3079</v>
      </c>
      <c r="G525" s="743" t="s">
        <v>3038</v>
      </c>
      <c r="H525" s="640">
        <v>10</v>
      </c>
      <c r="I525" s="483">
        <v>5</v>
      </c>
      <c r="J525" s="483">
        <v>5</v>
      </c>
      <c r="K525" s="483">
        <v>0</v>
      </c>
      <c r="L525" s="640">
        <v>10</v>
      </c>
      <c r="M525" s="483">
        <v>5</v>
      </c>
      <c r="N525" s="483">
        <v>5</v>
      </c>
      <c r="O525" s="483">
        <v>0</v>
      </c>
      <c r="P525" s="640">
        <v>10</v>
      </c>
      <c r="Q525" s="483">
        <v>5</v>
      </c>
      <c r="R525" s="483">
        <v>5</v>
      </c>
      <c r="S525" s="483">
        <v>0</v>
      </c>
      <c r="T525" s="640">
        <v>10</v>
      </c>
      <c r="U525" s="483">
        <v>5</v>
      </c>
      <c r="V525" s="483">
        <v>5</v>
      </c>
      <c r="W525" s="482">
        <v>0</v>
      </c>
      <c r="X525" s="345" t="s">
        <v>3077</v>
      </c>
      <c r="Y525" s="345"/>
      <c r="Z525" s="345"/>
    </row>
    <row r="526" spans="1:26" ht="12.75">
      <c r="A526" s="345"/>
      <c r="B526" s="511" t="s">
        <v>1564</v>
      </c>
      <c r="C526" s="200">
        <v>20</v>
      </c>
      <c r="D526" s="200" t="s">
        <v>571</v>
      </c>
      <c r="E526" s="200">
        <v>399</v>
      </c>
      <c r="F526" s="220">
        <v>7980</v>
      </c>
      <c r="G526" s="743" t="s">
        <v>3038</v>
      </c>
      <c r="H526" s="640">
        <v>10</v>
      </c>
      <c r="I526" s="483">
        <v>5</v>
      </c>
      <c r="J526" s="483">
        <v>5</v>
      </c>
      <c r="K526" s="483">
        <v>0</v>
      </c>
      <c r="L526" s="640">
        <v>10</v>
      </c>
      <c r="M526" s="483">
        <v>5</v>
      </c>
      <c r="N526" s="483">
        <v>5</v>
      </c>
      <c r="O526" s="483">
        <v>0</v>
      </c>
      <c r="P526" s="640">
        <v>10</v>
      </c>
      <c r="Q526" s="483">
        <v>5</v>
      </c>
      <c r="R526" s="483">
        <v>5</v>
      </c>
      <c r="S526" s="483">
        <v>0</v>
      </c>
      <c r="T526" s="640">
        <v>10</v>
      </c>
      <c r="U526" s="483">
        <v>5</v>
      </c>
      <c r="V526" s="483">
        <v>5</v>
      </c>
      <c r="W526" s="482">
        <v>0</v>
      </c>
      <c r="X526" s="345" t="s">
        <v>3077</v>
      </c>
      <c r="Y526" s="345"/>
      <c r="Z526" s="345"/>
    </row>
    <row r="527" spans="1:26" ht="12.75">
      <c r="A527" s="345"/>
      <c r="B527" s="511" t="s">
        <v>1566</v>
      </c>
      <c r="C527" s="200">
        <v>20</v>
      </c>
      <c r="D527" s="200" t="s">
        <v>571</v>
      </c>
      <c r="E527" s="200">
        <v>399</v>
      </c>
      <c r="F527" s="220">
        <v>7980</v>
      </c>
      <c r="G527" s="743" t="s">
        <v>3038</v>
      </c>
      <c r="H527" s="640">
        <v>10</v>
      </c>
      <c r="I527" s="483">
        <v>5</v>
      </c>
      <c r="J527" s="483">
        <v>5</v>
      </c>
      <c r="K527" s="483">
        <v>0</v>
      </c>
      <c r="L527" s="640">
        <v>10</v>
      </c>
      <c r="M527" s="483">
        <v>5</v>
      </c>
      <c r="N527" s="483">
        <v>5</v>
      </c>
      <c r="O527" s="483">
        <v>0</v>
      </c>
      <c r="P527" s="640">
        <v>10</v>
      </c>
      <c r="Q527" s="483">
        <v>5</v>
      </c>
      <c r="R527" s="483">
        <v>5</v>
      </c>
      <c r="S527" s="483">
        <v>0</v>
      </c>
      <c r="T527" s="640">
        <v>10</v>
      </c>
      <c r="U527" s="483">
        <v>5</v>
      </c>
      <c r="V527" s="483">
        <v>5</v>
      </c>
      <c r="W527" s="482">
        <v>0</v>
      </c>
      <c r="X527" s="345" t="s">
        <v>3077</v>
      </c>
      <c r="Y527" s="345"/>
      <c r="Z527" s="345"/>
    </row>
    <row r="528" spans="1:26" ht="12.75">
      <c r="A528" s="345"/>
      <c r="B528" s="511" t="s">
        <v>1568</v>
      </c>
      <c r="C528" s="200">
        <v>20</v>
      </c>
      <c r="D528" s="200" t="s">
        <v>571</v>
      </c>
      <c r="E528" s="200">
        <v>399</v>
      </c>
      <c r="F528" s="220">
        <v>7980</v>
      </c>
      <c r="G528" s="743" t="s">
        <v>3038</v>
      </c>
      <c r="H528" s="640">
        <v>10</v>
      </c>
      <c r="I528" s="483">
        <v>5</v>
      </c>
      <c r="J528" s="483">
        <v>5</v>
      </c>
      <c r="K528" s="483">
        <v>0</v>
      </c>
      <c r="L528" s="640">
        <v>10</v>
      </c>
      <c r="M528" s="483">
        <v>5</v>
      </c>
      <c r="N528" s="483">
        <v>5</v>
      </c>
      <c r="O528" s="483">
        <v>0</v>
      </c>
      <c r="P528" s="640">
        <v>10</v>
      </c>
      <c r="Q528" s="483">
        <v>5</v>
      </c>
      <c r="R528" s="483">
        <v>5</v>
      </c>
      <c r="S528" s="483">
        <v>0</v>
      </c>
      <c r="T528" s="640">
        <v>10</v>
      </c>
      <c r="U528" s="483">
        <v>5</v>
      </c>
      <c r="V528" s="483">
        <v>5</v>
      </c>
      <c r="W528" s="482">
        <v>0</v>
      </c>
      <c r="X528" s="345" t="s">
        <v>3077</v>
      </c>
      <c r="Y528" s="345"/>
      <c r="Z528" s="345"/>
    </row>
    <row r="529" spans="1:26" ht="12.75">
      <c r="A529" s="345"/>
      <c r="B529" s="500" t="s">
        <v>3084</v>
      </c>
      <c r="C529" s="485">
        <v>1</v>
      </c>
      <c r="D529" s="485" t="s">
        <v>103</v>
      </c>
      <c r="E529" s="485">
        <v>10000</v>
      </c>
      <c r="F529" s="485">
        <v>10000</v>
      </c>
      <c r="G529" s="547" t="s">
        <v>342</v>
      </c>
      <c r="H529" s="485">
        <v>1</v>
      </c>
      <c r="I529" s="485">
        <v>1</v>
      </c>
      <c r="J529" s="485">
        <v>0</v>
      </c>
      <c r="K529" s="485">
        <v>0</v>
      </c>
      <c r="L529" s="485">
        <v>0</v>
      </c>
      <c r="M529" s="485">
        <v>0</v>
      </c>
      <c r="N529" s="485">
        <v>0</v>
      </c>
      <c r="O529" s="485">
        <v>0</v>
      </c>
      <c r="P529" s="485">
        <v>0</v>
      </c>
      <c r="Q529" s="485">
        <v>0</v>
      </c>
      <c r="R529" s="485">
        <v>0</v>
      </c>
      <c r="S529" s="485">
        <v>0</v>
      </c>
      <c r="T529" s="485">
        <v>0</v>
      </c>
      <c r="U529" s="485">
        <v>0</v>
      </c>
      <c r="V529" s="485">
        <v>0</v>
      </c>
      <c r="W529" s="485">
        <v>0</v>
      </c>
      <c r="X529" s="345" t="s">
        <v>130</v>
      </c>
      <c r="Y529" s="345"/>
      <c r="Z529" s="345"/>
    </row>
    <row r="530" spans="1:26" ht="12.75">
      <c r="A530" s="345"/>
      <c r="B530" s="744" t="s">
        <v>873</v>
      </c>
      <c r="C530" s="522">
        <v>4</v>
      </c>
      <c r="D530" s="522" t="s">
        <v>103</v>
      </c>
      <c r="E530" s="745"/>
      <c r="F530" s="522"/>
      <c r="G530" s="522">
        <v>380</v>
      </c>
      <c r="H530" s="746">
        <v>1520</v>
      </c>
      <c r="I530" s="522">
        <v>2</v>
      </c>
      <c r="J530" s="522">
        <v>760</v>
      </c>
      <c r="K530" s="522"/>
      <c r="L530" s="522"/>
      <c r="M530" s="522">
        <v>2</v>
      </c>
      <c r="N530" s="522">
        <v>760</v>
      </c>
      <c r="O530" s="522"/>
      <c r="P530" s="522"/>
      <c r="Q530" s="522"/>
      <c r="R530" s="522"/>
      <c r="S530" s="345"/>
      <c r="T530" s="345"/>
      <c r="U530" s="345"/>
      <c r="V530" s="345"/>
      <c r="W530" s="345"/>
      <c r="X530" s="345" t="s">
        <v>181</v>
      </c>
      <c r="Y530" s="345"/>
      <c r="Z530" s="345"/>
    </row>
    <row r="531" spans="1:26" ht="12.75">
      <c r="A531" s="345"/>
      <c r="B531" s="747" t="s">
        <v>924</v>
      </c>
      <c r="C531" s="527">
        <v>8</v>
      </c>
      <c r="D531" s="527" t="s">
        <v>103</v>
      </c>
      <c r="E531" s="745"/>
      <c r="F531" s="527"/>
      <c r="G531" s="527">
        <v>380</v>
      </c>
      <c r="H531" s="748">
        <v>3040</v>
      </c>
      <c r="I531" s="527">
        <v>4</v>
      </c>
      <c r="J531" s="748">
        <v>1520</v>
      </c>
      <c r="K531" s="527"/>
      <c r="L531" s="527"/>
      <c r="M531" s="527">
        <v>4</v>
      </c>
      <c r="N531" s="748">
        <v>1520</v>
      </c>
      <c r="O531" s="527"/>
      <c r="P531" s="527"/>
      <c r="Q531" s="527"/>
      <c r="R531" s="527"/>
      <c r="S531" s="345"/>
      <c r="T531" s="345"/>
      <c r="U531" s="345"/>
      <c r="V531" s="345"/>
      <c r="W531" s="345"/>
      <c r="X531" s="345" t="s">
        <v>181</v>
      </c>
      <c r="Y531" s="345"/>
      <c r="Z531" s="345"/>
    </row>
    <row r="532" spans="1:26" ht="12.75">
      <c r="A532" s="345"/>
      <c r="B532" s="747" t="s">
        <v>925</v>
      </c>
      <c r="C532" s="527">
        <v>2</v>
      </c>
      <c r="D532" s="527" t="s">
        <v>103</v>
      </c>
      <c r="E532" s="745"/>
      <c r="F532" s="527"/>
      <c r="G532" s="748">
        <v>3500</v>
      </c>
      <c r="H532" s="748">
        <v>7000</v>
      </c>
      <c r="I532" s="527">
        <v>1</v>
      </c>
      <c r="J532" s="748">
        <v>3500</v>
      </c>
      <c r="K532" s="527"/>
      <c r="L532" s="527"/>
      <c r="M532" s="527"/>
      <c r="N532" s="527"/>
      <c r="O532" s="527"/>
      <c r="P532" s="527"/>
      <c r="Q532" s="527"/>
      <c r="R532" s="527"/>
      <c r="S532" s="345"/>
      <c r="T532" s="345"/>
      <c r="U532" s="345"/>
      <c r="V532" s="345"/>
      <c r="W532" s="345"/>
      <c r="X532" s="345" t="s">
        <v>181</v>
      </c>
      <c r="Y532" s="345"/>
      <c r="Z532" s="345"/>
    </row>
    <row r="533" spans="1:26" ht="12.75">
      <c r="A533" s="345"/>
      <c r="B533" s="747" t="s">
        <v>922</v>
      </c>
      <c r="C533" s="527">
        <v>3</v>
      </c>
      <c r="D533" s="527" t="s">
        <v>103</v>
      </c>
      <c r="E533" s="745"/>
      <c r="F533" s="527"/>
      <c r="G533" s="748">
        <v>8400</v>
      </c>
      <c r="H533" s="748">
        <v>2800</v>
      </c>
      <c r="I533" s="527">
        <v>3</v>
      </c>
      <c r="J533" s="748">
        <v>8400</v>
      </c>
      <c r="K533" s="527"/>
      <c r="L533" s="527"/>
      <c r="M533" s="527"/>
      <c r="N533" s="527"/>
      <c r="O533" s="527"/>
      <c r="P533" s="527"/>
      <c r="Q533" s="527"/>
      <c r="R533" s="527"/>
      <c r="S533" s="345"/>
      <c r="T533" s="345"/>
      <c r="U533" s="345"/>
      <c r="V533" s="345"/>
      <c r="W533" s="345"/>
      <c r="X533" s="345" t="s">
        <v>181</v>
      </c>
      <c r="Y533" s="345"/>
      <c r="Z533" s="345"/>
    </row>
    <row r="534" spans="1:26" ht="12.75">
      <c r="A534" s="345"/>
      <c r="B534" s="747" t="s">
        <v>523</v>
      </c>
      <c r="C534" s="527">
        <v>1</v>
      </c>
      <c r="D534" s="527" t="s">
        <v>103</v>
      </c>
      <c r="E534" s="745"/>
      <c r="F534" s="527"/>
      <c r="G534" s="527"/>
      <c r="H534" s="527"/>
      <c r="I534" s="527">
        <v>1</v>
      </c>
      <c r="J534" s="527"/>
      <c r="K534" s="527"/>
      <c r="L534" s="527"/>
      <c r="M534" s="527"/>
      <c r="N534" s="527"/>
      <c r="O534" s="527"/>
      <c r="P534" s="527"/>
      <c r="Q534" s="527"/>
      <c r="R534" s="527"/>
      <c r="S534" s="345"/>
      <c r="T534" s="345"/>
      <c r="U534" s="345"/>
      <c r="V534" s="345"/>
      <c r="W534" s="345"/>
      <c r="X534" s="345" t="s">
        <v>181</v>
      </c>
      <c r="Y534" s="345"/>
      <c r="Z534" s="345"/>
    </row>
    <row r="535" spans="1:26" ht="12.75">
      <c r="A535" s="345"/>
      <c r="B535" s="172" t="s">
        <v>482</v>
      </c>
      <c r="C535" s="527">
        <v>1</v>
      </c>
      <c r="D535" s="527" t="s">
        <v>103</v>
      </c>
      <c r="E535" s="745"/>
      <c r="F535" s="527"/>
      <c r="G535" s="748">
        <v>8500</v>
      </c>
      <c r="H535" s="748">
        <v>8500</v>
      </c>
      <c r="I535" s="527">
        <v>1</v>
      </c>
      <c r="J535" s="748">
        <v>8500</v>
      </c>
      <c r="K535" s="527"/>
      <c r="L535" s="527"/>
      <c r="M535" s="527"/>
      <c r="N535" s="527"/>
      <c r="O535" s="527"/>
      <c r="P535" s="527"/>
      <c r="Q535" s="527"/>
      <c r="R535" s="527"/>
      <c r="S535" s="345"/>
      <c r="T535" s="345"/>
      <c r="U535" s="345"/>
      <c r="V535" s="345"/>
      <c r="W535" s="345"/>
      <c r="X535" s="345" t="s">
        <v>181</v>
      </c>
      <c r="Y535" s="345"/>
      <c r="Z535" s="345"/>
    </row>
    <row r="536" spans="1:26" ht="12.75">
      <c r="A536" s="345"/>
      <c r="B536" s="712" t="s">
        <v>483</v>
      </c>
      <c r="C536" s="527">
        <v>1</v>
      </c>
      <c r="D536" s="633" t="s">
        <v>103</v>
      </c>
      <c r="E536" s="745">
        <v>150</v>
      </c>
      <c r="F536" s="527">
        <v>200</v>
      </c>
      <c r="G536" s="748">
        <v>2500</v>
      </c>
      <c r="H536" s="748">
        <v>2500</v>
      </c>
      <c r="I536" s="633">
        <v>1</v>
      </c>
      <c r="J536" s="748">
        <v>2500</v>
      </c>
      <c r="K536" s="527"/>
      <c r="L536" s="527"/>
      <c r="M536" s="527"/>
      <c r="N536" s="527"/>
      <c r="O536" s="527"/>
      <c r="P536" s="527"/>
      <c r="Q536" s="527"/>
      <c r="R536" s="527"/>
      <c r="S536" s="345"/>
      <c r="T536" s="345"/>
      <c r="U536" s="345"/>
      <c r="V536" s="345"/>
      <c r="W536" s="345"/>
      <c r="X536" s="345" t="s">
        <v>181</v>
      </c>
      <c r="Y536" s="345"/>
      <c r="Z536" s="345"/>
    </row>
    <row r="537" spans="1:26" ht="12.75">
      <c r="A537" s="345"/>
      <c r="B537" s="712" t="s">
        <v>836</v>
      </c>
      <c r="C537" s="527">
        <v>1</v>
      </c>
      <c r="D537" s="633" t="s">
        <v>103</v>
      </c>
      <c r="E537" s="745"/>
      <c r="F537" s="527"/>
      <c r="G537" s="527"/>
      <c r="H537" s="527"/>
      <c r="I537" s="633"/>
      <c r="J537" s="527"/>
      <c r="K537" s="527"/>
      <c r="L537" s="527"/>
      <c r="M537" s="527"/>
      <c r="N537" s="527"/>
      <c r="O537" s="527"/>
      <c r="P537" s="527"/>
      <c r="Q537" s="527"/>
      <c r="R537" s="527"/>
      <c r="S537" s="345"/>
      <c r="T537" s="345"/>
      <c r="U537" s="345"/>
      <c r="V537" s="345"/>
      <c r="W537" s="345"/>
      <c r="X537" s="345" t="s">
        <v>181</v>
      </c>
      <c r="Y537" s="345"/>
      <c r="Z537" s="345"/>
    </row>
    <row r="538" spans="1:26" ht="12.75">
      <c r="A538" s="345"/>
      <c r="B538" s="749" t="s">
        <v>817</v>
      </c>
      <c r="C538" s="750">
        <v>3</v>
      </c>
      <c r="D538" s="750" t="s">
        <v>103</v>
      </c>
      <c r="E538" s="751"/>
      <c r="F538" s="750"/>
      <c r="G538" s="752">
        <v>2500</v>
      </c>
      <c r="H538" s="752">
        <v>2500</v>
      </c>
      <c r="I538" s="750">
        <v>3</v>
      </c>
      <c r="J538" s="752">
        <v>2500</v>
      </c>
      <c r="K538" s="750"/>
      <c r="L538" s="750"/>
      <c r="M538" s="750"/>
      <c r="N538" s="750"/>
      <c r="O538" s="750"/>
      <c r="P538" s="750"/>
      <c r="Q538" s="750"/>
      <c r="R538" s="750"/>
      <c r="S538" s="345"/>
      <c r="T538" s="345"/>
      <c r="U538" s="345"/>
      <c r="V538" s="345"/>
      <c r="W538" s="345"/>
      <c r="X538" s="345" t="s">
        <v>181</v>
      </c>
      <c r="Y538" s="345"/>
      <c r="Z538" s="345"/>
    </row>
    <row r="539" spans="1:26" ht="12.75">
      <c r="A539" s="345"/>
      <c r="B539" s="553" t="s">
        <v>3085</v>
      </c>
      <c r="C539" s="753">
        <v>16</v>
      </c>
      <c r="D539" s="514" t="s">
        <v>3086</v>
      </c>
      <c r="E539" s="754"/>
      <c r="F539" s="522"/>
      <c r="G539" s="522"/>
      <c r="H539" s="495"/>
      <c r="I539" s="753">
        <v>16</v>
      </c>
      <c r="J539" s="522"/>
      <c r="K539" s="522"/>
      <c r="L539" s="522"/>
      <c r="M539" s="522"/>
      <c r="N539" s="522"/>
      <c r="O539" s="522"/>
      <c r="P539" s="755"/>
      <c r="Q539" s="755"/>
      <c r="R539" s="755"/>
      <c r="S539" s="345"/>
      <c r="T539" s="345"/>
      <c r="U539" s="345"/>
      <c r="V539" s="345"/>
      <c r="W539" s="345"/>
      <c r="X539" s="345" t="s">
        <v>181</v>
      </c>
      <c r="Y539" s="345"/>
      <c r="Z539" s="345"/>
    </row>
    <row r="540" spans="1:26" ht="12.75">
      <c r="A540" s="345"/>
      <c r="B540" s="530" t="s">
        <v>3087</v>
      </c>
      <c r="C540" s="756">
        <v>16</v>
      </c>
      <c r="D540" s="517" t="s">
        <v>3088</v>
      </c>
      <c r="E540" s="745"/>
      <c r="F540" s="527"/>
      <c r="G540" s="527"/>
      <c r="H540" s="498"/>
      <c r="I540" s="756">
        <v>16</v>
      </c>
      <c r="J540" s="527"/>
      <c r="K540" s="527"/>
      <c r="L540" s="527"/>
      <c r="M540" s="527"/>
      <c r="N540" s="527"/>
      <c r="O540" s="527"/>
      <c r="P540" s="527"/>
      <c r="Q540" s="757"/>
      <c r="R540" s="757"/>
      <c r="S540" s="345"/>
      <c r="T540" s="345"/>
      <c r="U540" s="345"/>
      <c r="V540" s="345"/>
      <c r="W540" s="345"/>
      <c r="X540" s="345" t="s">
        <v>181</v>
      </c>
      <c r="Y540" s="345"/>
      <c r="Z540" s="345"/>
    </row>
    <row r="541" spans="1:26" ht="12.75">
      <c r="A541" s="345"/>
      <c r="B541" s="530" t="s">
        <v>3089</v>
      </c>
      <c r="C541" s="756">
        <v>16</v>
      </c>
      <c r="D541" s="517" t="s">
        <v>3088</v>
      </c>
      <c r="E541" s="745"/>
      <c r="F541" s="527"/>
      <c r="G541" s="527"/>
      <c r="H541" s="498"/>
      <c r="I541" s="756">
        <v>16</v>
      </c>
      <c r="J541" s="527"/>
      <c r="K541" s="527"/>
      <c r="L541" s="527"/>
      <c r="M541" s="527"/>
      <c r="N541" s="527"/>
      <c r="O541" s="527"/>
      <c r="P541" s="527"/>
      <c r="Q541" s="757"/>
      <c r="R541" s="757"/>
      <c r="S541" s="345"/>
      <c r="T541" s="345"/>
      <c r="U541" s="345"/>
      <c r="V541" s="345"/>
      <c r="W541" s="345"/>
      <c r="X541" s="345" t="s">
        <v>181</v>
      </c>
      <c r="Y541" s="345"/>
      <c r="Z541" s="345"/>
    </row>
    <row r="542" spans="1:26" ht="12.75">
      <c r="A542" s="345"/>
      <c r="B542" s="530" t="s">
        <v>3090</v>
      </c>
      <c r="C542" s="756">
        <v>16</v>
      </c>
      <c r="D542" s="517" t="s">
        <v>3088</v>
      </c>
      <c r="E542" s="745"/>
      <c r="F542" s="527"/>
      <c r="G542" s="527"/>
      <c r="H542" s="498"/>
      <c r="I542" s="756">
        <v>16</v>
      </c>
      <c r="J542" s="527"/>
      <c r="K542" s="527"/>
      <c r="L542" s="527"/>
      <c r="M542" s="527"/>
      <c r="N542" s="527"/>
      <c r="O542" s="527"/>
      <c r="P542" s="527"/>
      <c r="Q542" s="757"/>
      <c r="R542" s="757"/>
      <c r="S542" s="345"/>
      <c r="T542" s="345"/>
      <c r="U542" s="345"/>
      <c r="V542" s="345"/>
      <c r="W542" s="345"/>
      <c r="X542" s="345" t="s">
        <v>181</v>
      </c>
      <c r="Y542" s="345"/>
      <c r="Z542" s="345"/>
    </row>
    <row r="543" spans="1:26" ht="12.75">
      <c r="A543" s="345"/>
      <c r="B543" s="588" t="s">
        <v>234</v>
      </c>
      <c r="C543" s="589">
        <v>2</v>
      </c>
      <c r="D543" s="550" t="s">
        <v>103</v>
      </c>
      <c r="E543" s="710">
        <v>380</v>
      </c>
      <c r="F543" s="588">
        <v>760</v>
      </c>
      <c r="G543" s="659" t="s">
        <v>3038</v>
      </c>
      <c r="H543" s="653">
        <v>1</v>
      </c>
      <c r="I543" s="589">
        <v>1</v>
      </c>
      <c r="J543" s="592"/>
      <c r="K543" s="592"/>
      <c r="L543" s="653">
        <v>0</v>
      </c>
      <c r="M543" s="589"/>
      <c r="N543" s="592"/>
      <c r="O543" s="592"/>
      <c r="P543" s="653">
        <v>1</v>
      </c>
      <c r="Q543" s="589">
        <v>1</v>
      </c>
      <c r="R543" s="592"/>
      <c r="S543" s="592"/>
      <c r="T543" s="653">
        <v>0</v>
      </c>
      <c r="U543" s="547"/>
      <c r="V543" s="547"/>
      <c r="W543" s="547"/>
      <c r="X543" s="345" t="s">
        <v>3091</v>
      </c>
      <c r="Y543" s="345"/>
      <c r="Z543" s="345"/>
    </row>
    <row r="544" spans="1:26" ht="12.75">
      <c r="A544" s="345"/>
      <c r="B544" s="594" t="s">
        <v>239</v>
      </c>
      <c r="C544" s="589">
        <v>2</v>
      </c>
      <c r="D544" s="550" t="s">
        <v>103</v>
      </c>
      <c r="E544" s="712">
        <v>380</v>
      </c>
      <c r="F544" s="594">
        <v>760</v>
      </c>
      <c r="G544" s="630" t="s">
        <v>3038</v>
      </c>
      <c r="H544" s="655">
        <v>1</v>
      </c>
      <c r="I544" s="589">
        <v>1</v>
      </c>
      <c r="J544" s="592"/>
      <c r="K544" s="592"/>
      <c r="L544" s="655">
        <v>0</v>
      </c>
      <c r="M544" s="589"/>
      <c r="N544" s="592"/>
      <c r="O544" s="592"/>
      <c r="P544" s="655">
        <v>1</v>
      </c>
      <c r="Q544" s="589">
        <v>1</v>
      </c>
      <c r="R544" s="592"/>
      <c r="S544" s="592"/>
      <c r="T544" s="655">
        <v>0</v>
      </c>
      <c r="U544" s="543"/>
      <c r="V544" s="543"/>
      <c r="W544" s="543"/>
      <c r="X544" s="345" t="s">
        <v>3091</v>
      </c>
      <c r="Y544" s="345"/>
      <c r="Z544" s="345"/>
    </row>
    <row r="545" spans="1:26" ht="12.75">
      <c r="A545" s="345"/>
      <c r="B545" s="594" t="s">
        <v>493</v>
      </c>
      <c r="C545" s="589">
        <v>1</v>
      </c>
      <c r="D545" s="550" t="s">
        <v>103</v>
      </c>
      <c r="E545" s="661">
        <v>8500</v>
      </c>
      <c r="F545" s="658">
        <v>8500</v>
      </c>
      <c r="G545" s="630" t="s">
        <v>3038</v>
      </c>
      <c r="H545" s="655">
        <v>1</v>
      </c>
      <c r="I545" s="589">
        <v>1</v>
      </c>
      <c r="J545" s="592"/>
      <c r="K545" s="592"/>
      <c r="L545" s="655">
        <v>0</v>
      </c>
      <c r="M545" s="589"/>
      <c r="N545" s="592"/>
      <c r="O545" s="592"/>
      <c r="P545" s="655">
        <v>0</v>
      </c>
      <c r="Q545" s="589"/>
      <c r="R545" s="592"/>
      <c r="S545" s="592"/>
      <c r="T545" s="655">
        <v>0</v>
      </c>
      <c r="U545" s="543"/>
      <c r="V545" s="543"/>
      <c r="W545" s="543"/>
      <c r="X545" s="345" t="s">
        <v>3091</v>
      </c>
      <c r="Y545" s="345"/>
      <c r="Z545" s="345"/>
    </row>
    <row r="546" spans="1:26" ht="12.75">
      <c r="A546" s="345"/>
      <c r="B546" s="594" t="s">
        <v>568</v>
      </c>
      <c r="C546" s="589">
        <v>2</v>
      </c>
      <c r="D546" s="550" t="s">
        <v>103</v>
      </c>
      <c r="E546" s="661">
        <v>3500</v>
      </c>
      <c r="F546" s="658">
        <v>7000</v>
      </c>
      <c r="G546" s="630" t="s">
        <v>3038</v>
      </c>
      <c r="H546" s="655">
        <v>1</v>
      </c>
      <c r="I546" s="589">
        <v>1</v>
      </c>
      <c r="J546" s="592"/>
      <c r="K546" s="592"/>
      <c r="L546" s="655">
        <v>0</v>
      </c>
      <c r="M546" s="589"/>
      <c r="N546" s="592"/>
      <c r="O546" s="592"/>
      <c r="P546" s="655">
        <v>1</v>
      </c>
      <c r="Q546" s="589">
        <v>1</v>
      </c>
      <c r="R546" s="592"/>
      <c r="S546" s="592"/>
      <c r="T546" s="655">
        <v>0</v>
      </c>
      <c r="U546" s="543"/>
      <c r="V546" s="543"/>
      <c r="W546" s="543"/>
      <c r="X546" s="345" t="s">
        <v>3091</v>
      </c>
      <c r="Y546" s="345"/>
      <c r="Z546" s="345"/>
    </row>
    <row r="547" spans="1:26" ht="12.75">
      <c r="A547" s="345"/>
      <c r="B547" s="656" t="s">
        <v>483</v>
      </c>
      <c r="C547" s="592">
        <v>1</v>
      </c>
      <c r="D547" s="550" t="s">
        <v>103</v>
      </c>
      <c r="E547" s="661">
        <v>2500</v>
      </c>
      <c r="F547" s="658">
        <v>2500</v>
      </c>
      <c r="G547" s="630" t="s">
        <v>3038</v>
      </c>
      <c r="H547" s="655">
        <v>1</v>
      </c>
      <c r="I547" s="589">
        <v>1</v>
      </c>
      <c r="J547" s="592"/>
      <c r="K547" s="592"/>
      <c r="L547" s="655">
        <v>0</v>
      </c>
      <c r="M547" s="589"/>
      <c r="N547" s="592"/>
      <c r="O547" s="592"/>
      <c r="P547" s="655">
        <v>0</v>
      </c>
      <c r="Q547" s="589"/>
      <c r="R547" s="592"/>
      <c r="S547" s="592"/>
      <c r="T547" s="655">
        <v>0</v>
      </c>
      <c r="U547" s="543"/>
      <c r="V547" s="543"/>
      <c r="W547" s="543"/>
      <c r="X547" s="345" t="s">
        <v>3091</v>
      </c>
      <c r="Y547" s="345"/>
      <c r="Z547" s="345"/>
    </row>
    <row r="548" spans="1:26" ht="12.75">
      <c r="A548" s="345"/>
      <c r="B548" s="660" t="s">
        <v>921</v>
      </c>
      <c r="C548" s="592">
        <v>2</v>
      </c>
      <c r="D548" s="550" t="s">
        <v>466</v>
      </c>
      <c r="E548" s="661">
        <v>38100.97</v>
      </c>
      <c r="F548" s="658">
        <v>76201.94</v>
      </c>
      <c r="G548" s="630" t="s">
        <v>3038</v>
      </c>
      <c r="H548" s="655">
        <v>1</v>
      </c>
      <c r="I548" s="589">
        <v>1</v>
      </c>
      <c r="J548" s="592"/>
      <c r="K548" s="592"/>
      <c r="L548" s="655">
        <v>0</v>
      </c>
      <c r="M548" s="589"/>
      <c r="N548" s="592"/>
      <c r="O548" s="592"/>
      <c r="P548" s="655">
        <v>1</v>
      </c>
      <c r="Q548" s="589">
        <v>1</v>
      </c>
      <c r="R548" s="592"/>
      <c r="S548" s="592"/>
      <c r="T548" s="655">
        <v>0</v>
      </c>
      <c r="U548" s="543"/>
      <c r="V548" s="543"/>
      <c r="W548" s="543"/>
      <c r="X548" s="345" t="s">
        <v>3091</v>
      </c>
      <c r="Y548" s="345"/>
      <c r="Z548" s="345"/>
    </row>
    <row r="549" spans="1:26" ht="12.75">
      <c r="A549" s="345"/>
      <c r="B549" s="660" t="s">
        <v>922</v>
      </c>
      <c r="C549" s="592">
        <v>2</v>
      </c>
      <c r="D549" s="550" t="s">
        <v>103</v>
      </c>
      <c r="E549" s="661">
        <v>2800</v>
      </c>
      <c r="F549" s="658">
        <v>5600</v>
      </c>
      <c r="G549" s="630" t="s">
        <v>3038</v>
      </c>
      <c r="H549" s="655">
        <v>1</v>
      </c>
      <c r="I549" s="589">
        <v>1</v>
      </c>
      <c r="J549" s="592"/>
      <c r="K549" s="592"/>
      <c r="L549" s="655">
        <v>0</v>
      </c>
      <c r="M549" s="589"/>
      <c r="N549" s="592"/>
      <c r="O549" s="592"/>
      <c r="P549" s="655">
        <v>1</v>
      </c>
      <c r="Q549" s="589">
        <v>1</v>
      </c>
      <c r="R549" s="592"/>
      <c r="S549" s="592"/>
      <c r="T549" s="655">
        <v>0</v>
      </c>
      <c r="U549" s="543"/>
      <c r="V549" s="543"/>
      <c r="W549" s="543"/>
      <c r="X549" s="345" t="s">
        <v>3091</v>
      </c>
      <c r="Y549" s="345"/>
      <c r="Z549" s="345"/>
    </row>
    <row r="550" spans="1:26" ht="12.75">
      <c r="A550" s="345"/>
      <c r="B550" s="660" t="s">
        <v>923</v>
      </c>
      <c r="C550" s="592">
        <v>2</v>
      </c>
      <c r="D550" s="550" t="s">
        <v>103</v>
      </c>
      <c r="E550" s="661">
        <v>10000</v>
      </c>
      <c r="F550" s="658">
        <v>20000</v>
      </c>
      <c r="G550" s="630" t="s">
        <v>3038</v>
      </c>
      <c r="H550" s="655">
        <v>1</v>
      </c>
      <c r="I550" s="589">
        <v>1</v>
      </c>
      <c r="J550" s="758"/>
      <c r="K550" s="758"/>
      <c r="L550" s="655">
        <v>0</v>
      </c>
      <c r="M550" s="758"/>
      <c r="N550" s="758"/>
      <c r="O550" s="758"/>
      <c r="P550" s="655">
        <v>1</v>
      </c>
      <c r="Q550" s="589">
        <v>1</v>
      </c>
      <c r="R550" s="758"/>
      <c r="S550" s="758"/>
      <c r="T550" s="655">
        <v>0</v>
      </c>
      <c r="U550" s="679"/>
      <c r="V550" s="679"/>
      <c r="W550" s="679"/>
      <c r="X550" s="345" t="s">
        <v>3091</v>
      </c>
      <c r="Y550" s="345"/>
      <c r="Z550" s="345"/>
    </row>
    <row r="551" spans="1:26" ht="12.75">
      <c r="A551" s="345"/>
      <c r="B551" s="660" t="s">
        <v>817</v>
      </c>
      <c r="C551" s="730">
        <v>1</v>
      </c>
      <c r="D551" s="550" t="s">
        <v>103</v>
      </c>
      <c r="E551" s="759">
        <v>2500</v>
      </c>
      <c r="F551" s="760">
        <v>2500</v>
      </c>
      <c r="G551" s="761" t="s">
        <v>3038</v>
      </c>
      <c r="H551" s="729">
        <v>1</v>
      </c>
      <c r="I551" s="540">
        <v>1</v>
      </c>
      <c r="J551" s="762"/>
      <c r="K551" s="762"/>
      <c r="L551" s="729">
        <v>0</v>
      </c>
      <c r="M551" s="762"/>
      <c r="N551" s="762"/>
      <c r="O551" s="762"/>
      <c r="P551" s="729">
        <v>0</v>
      </c>
      <c r="Q551" s="762"/>
      <c r="R551" s="762"/>
      <c r="S551" s="762"/>
      <c r="T551" s="729">
        <v>0</v>
      </c>
      <c r="U551" s="763"/>
      <c r="V551" s="763"/>
      <c r="W551" s="763"/>
      <c r="X551" s="345" t="s">
        <v>3091</v>
      </c>
      <c r="Y551" s="345"/>
      <c r="Z551" s="345"/>
    </row>
    <row r="552" spans="1:26" ht="12.75">
      <c r="A552" s="345"/>
      <c r="B552" s="660" t="s">
        <v>3092</v>
      </c>
      <c r="C552" s="592">
        <v>48</v>
      </c>
      <c r="D552" s="550" t="s">
        <v>103</v>
      </c>
      <c r="E552" s="710">
        <v>300</v>
      </c>
      <c r="F552" s="764">
        <v>14400</v>
      </c>
      <c r="G552" s="765" t="s">
        <v>342</v>
      </c>
      <c r="H552" s="766">
        <v>12</v>
      </c>
      <c r="I552" s="767">
        <v>4</v>
      </c>
      <c r="J552" s="662">
        <v>4</v>
      </c>
      <c r="K552" s="547">
        <v>4</v>
      </c>
      <c r="L552" s="652">
        <v>12</v>
      </c>
      <c r="M552" s="547">
        <v>4</v>
      </c>
      <c r="N552" s="547">
        <v>4</v>
      </c>
      <c r="O552" s="547">
        <v>4</v>
      </c>
      <c r="P552" s="768">
        <v>12</v>
      </c>
      <c r="Q552" s="662">
        <v>4</v>
      </c>
      <c r="R552" s="547">
        <v>4</v>
      </c>
      <c r="S552" s="547">
        <v>4</v>
      </c>
      <c r="T552" s="769">
        <v>12</v>
      </c>
      <c r="U552" s="662">
        <v>4</v>
      </c>
      <c r="V552" s="547">
        <v>4</v>
      </c>
      <c r="W552" s="547">
        <v>4</v>
      </c>
      <c r="X552" s="345" t="s">
        <v>3091</v>
      </c>
      <c r="Y552" s="345"/>
      <c r="Z552" s="345"/>
    </row>
    <row r="553" spans="1:26" ht="12.75">
      <c r="A553" s="345"/>
      <c r="B553" s="660" t="s">
        <v>3093</v>
      </c>
      <c r="C553" s="592">
        <v>48</v>
      </c>
      <c r="D553" s="550" t="s">
        <v>103</v>
      </c>
      <c r="E553" s="712">
        <v>300</v>
      </c>
      <c r="F553" s="764">
        <v>14400</v>
      </c>
      <c r="G553" s="765" t="s">
        <v>342</v>
      </c>
      <c r="H553" s="766">
        <v>12</v>
      </c>
      <c r="I553" s="599">
        <v>4</v>
      </c>
      <c r="J553" s="550">
        <v>4</v>
      </c>
      <c r="K553" s="543">
        <v>4</v>
      </c>
      <c r="L553" s="654">
        <v>12</v>
      </c>
      <c r="M553" s="543">
        <v>4</v>
      </c>
      <c r="N553" s="543">
        <v>4</v>
      </c>
      <c r="O553" s="543">
        <v>4</v>
      </c>
      <c r="P553" s="768">
        <v>12</v>
      </c>
      <c r="Q553" s="550">
        <v>4</v>
      </c>
      <c r="R553" s="543">
        <v>4</v>
      </c>
      <c r="S553" s="543">
        <v>4</v>
      </c>
      <c r="T553" s="770">
        <v>12</v>
      </c>
      <c r="U553" s="550">
        <v>4</v>
      </c>
      <c r="V553" s="543">
        <v>4</v>
      </c>
      <c r="W553" s="543">
        <v>4</v>
      </c>
      <c r="X553" s="345" t="s">
        <v>3091</v>
      </c>
      <c r="Y553" s="345"/>
      <c r="Z553" s="345"/>
    </row>
    <row r="554" spans="1:26" ht="12.75">
      <c r="A554" s="345"/>
      <c r="B554" s="660" t="s">
        <v>3094</v>
      </c>
      <c r="C554" s="592">
        <v>48</v>
      </c>
      <c r="D554" s="550" t="s">
        <v>103</v>
      </c>
      <c r="E554" s="712">
        <v>300</v>
      </c>
      <c r="F554" s="764">
        <v>14400</v>
      </c>
      <c r="G554" s="765" t="s">
        <v>342</v>
      </c>
      <c r="H554" s="766">
        <v>12</v>
      </c>
      <c r="I554" s="599">
        <v>4</v>
      </c>
      <c r="J554" s="550">
        <v>4</v>
      </c>
      <c r="K554" s="543">
        <v>4</v>
      </c>
      <c r="L554" s="654">
        <v>12</v>
      </c>
      <c r="M554" s="543">
        <v>4</v>
      </c>
      <c r="N554" s="543">
        <v>4</v>
      </c>
      <c r="O554" s="543">
        <v>4</v>
      </c>
      <c r="P554" s="768">
        <v>12</v>
      </c>
      <c r="Q554" s="550">
        <v>4</v>
      </c>
      <c r="R554" s="543">
        <v>4</v>
      </c>
      <c r="S554" s="543">
        <v>4</v>
      </c>
      <c r="T554" s="769">
        <v>12</v>
      </c>
      <c r="U554" s="550">
        <v>4</v>
      </c>
      <c r="V554" s="543">
        <v>4</v>
      </c>
      <c r="W554" s="543">
        <v>4</v>
      </c>
      <c r="X554" s="345" t="s">
        <v>3091</v>
      </c>
      <c r="Y554" s="345"/>
      <c r="Z554" s="345"/>
    </row>
    <row r="555" spans="1:26" ht="12.75">
      <c r="A555" s="345"/>
      <c r="B555" s="660" t="s">
        <v>3095</v>
      </c>
      <c r="C555" s="592">
        <v>48</v>
      </c>
      <c r="D555" s="550" t="s">
        <v>103</v>
      </c>
      <c r="E555" s="712">
        <v>300</v>
      </c>
      <c r="F555" s="764">
        <v>14400</v>
      </c>
      <c r="G555" s="765" t="s">
        <v>342</v>
      </c>
      <c r="H555" s="766">
        <v>12</v>
      </c>
      <c r="I555" s="599">
        <v>4</v>
      </c>
      <c r="J555" s="550">
        <v>4</v>
      </c>
      <c r="K555" s="543">
        <v>4</v>
      </c>
      <c r="L555" s="654">
        <v>12</v>
      </c>
      <c r="M555" s="543">
        <v>4</v>
      </c>
      <c r="N555" s="543">
        <v>4</v>
      </c>
      <c r="O555" s="543">
        <v>4</v>
      </c>
      <c r="P555" s="768">
        <v>12</v>
      </c>
      <c r="Q555" s="550">
        <v>4</v>
      </c>
      <c r="R555" s="543">
        <v>4</v>
      </c>
      <c r="S555" s="543">
        <v>4</v>
      </c>
      <c r="T555" s="770">
        <v>12</v>
      </c>
      <c r="U555" s="550">
        <v>4</v>
      </c>
      <c r="V555" s="543">
        <v>4</v>
      </c>
      <c r="W555" s="543">
        <v>4</v>
      </c>
      <c r="X555" s="345" t="s">
        <v>3091</v>
      </c>
      <c r="Y555" s="345"/>
      <c r="Z555" s="345"/>
    </row>
    <row r="556" spans="1:26" ht="12.75">
      <c r="A556" s="345"/>
      <c r="B556" s="660" t="s">
        <v>454</v>
      </c>
      <c r="C556" s="592">
        <v>48</v>
      </c>
      <c r="D556" s="550" t="s">
        <v>103</v>
      </c>
      <c r="E556" s="712">
        <v>140.5</v>
      </c>
      <c r="F556" s="764">
        <v>6744</v>
      </c>
      <c r="G556" s="765" t="s">
        <v>342</v>
      </c>
      <c r="H556" s="766">
        <v>12</v>
      </c>
      <c r="I556" s="599">
        <v>4</v>
      </c>
      <c r="J556" s="771">
        <v>4</v>
      </c>
      <c r="K556" s="771">
        <v>4</v>
      </c>
      <c r="L556" s="655">
        <v>12</v>
      </c>
      <c r="M556" s="543">
        <v>4</v>
      </c>
      <c r="N556" s="543">
        <v>4</v>
      </c>
      <c r="O556" s="543">
        <v>4</v>
      </c>
      <c r="P556" s="768">
        <v>12</v>
      </c>
      <c r="Q556" s="550">
        <v>4</v>
      </c>
      <c r="R556" s="543">
        <v>4</v>
      </c>
      <c r="S556" s="543">
        <v>4</v>
      </c>
      <c r="T556" s="768">
        <v>12</v>
      </c>
      <c r="U556" s="550">
        <v>4</v>
      </c>
      <c r="V556" s="543">
        <v>4</v>
      </c>
      <c r="W556" s="543">
        <v>4</v>
      </c>
      <c r="X556" s="345" t="s">
        <v>3091</v>
      </c>
      <c r="Y556" s="345"/>
      <c r="Z556" s="345"/>
    </row>
    <row r="557" spans="1:26" ht="12.75">
      <c r="A557" s="345"/>
      <c r="B557" s="195" t="s">
        <v>785</v>
      </c>
      <c r="C557" s="177">
        <v>6</v>
      </c>
      <c r="D557" s="177" t="s">
        <v>103</v>
      </c>
      <c r="E557" s="177"/>
      <c r="F557" s="177"/>
      <c r="G557" s="772" t="s">
        <v>447</v>
      </c>
      <c r="H557" s="772">
        <v>3</v>
      </c>
      <c r="I557" s="556">
        <v>3</v>
      </c>
      <c r="J557" s="556">
        <v>0</v>
      </c>
      <c r="K557" s="556">
        <v>0</v>
      </c>
      <c r="L557" s="177">
        <v>0</v>
      </c>
      <c r="M557" s="556">
        <v>0</v>
      </c>
      <c r="N557" s="556">
        <v>0</v>
      </c>
      <c r="O557" s="556">
        <v>0</v>
      </c>
      <c r="P557" s="177">
        <v>3</v>
      </c>
      <c r="Q557" s="556">
        <v>3</v>
      </c>
      <c r="R557" s="556">
        <v>0</v>
      </c>
      <c r="S557" s="556">
        <v>0</v>
      </c>
      <c r="T557" s="177">
        <v>0</v>
      </c>
      <c r="U557" s="556">
        <v>0</v>
      </c>
      <c r="V557" s="556">
        <v>0</v>
      </c>
      <c r="W557" s="556">
        <v>0</v>
      </c>
      <c r="X557" s="345" t="s">
        <v>112</v>
      </c>
      <c r="Y557" s="345"/>
      <c r="Z557" s="345"/>
    </row>
    <row r="558" spans="1:26" ht="12.75">
      <c r="A558" s="345"/>
      <c r="B558" s="221" t="s">
        <v>454</v>
      </c>
      <c r="C558" s="181">
        <v>720</v>
      </c>
      <c r="D558" s="181" t="s">
        <v>103</v>
      </c>
      <c r="E558" s="181"/>
      <c r="F558" s="181"/>
      <c r="G558" s="772" t="s">
        <v>447</v>
      </c>
      <c r="H558" s="772">
        <v>180</v>
      </c>
      <c r="I558" s="559">
        <v>60</v>
      </c>
      <c r="J558" s="559">
        <v>60</v>
      </c>
      <c r="K558" s="559">
        <v>60</v>
      </c>
      <c r="L558" s="181">
        <v>180</v>
      </c>
      <c r="M558" s="559">
        <v>60</v>
      </c>
      <c r="N558" s="559">
        <v>60</v>
      </c>
      <c r="O558" s="559">
        <v>60</v>
      </c>
      <c r="P558" s="181">
        <v>180</v>
      </c>
      <c r="Q558" s="559">
        <v>60</v>
      </c>
      <c r="R558" s="559">
        <v>60</v>
      </c>
      <c r="S558" s="559">
        <v>60</v>
      </c>
      <c r="T558" s="181">
        <v>180</v>
      </c>
      <c r="U558" s="559">
        <v>60</v>
      </c>
      <c r="V558" s="559">
        <v>60</v>
      </c>
      <c r="W558" s="559">
        <v>60</v>
      </c>
      <c r="X558" s="345" t="s">
        <v>112</v>
      </c>
      <c r="Y558" s="345"/>
      <c r="Z558" s="345"/>
    </row>
    <row r="559" spans="1:26" ht="12.75">
      <c r="A559" s="345"/>
      <c r="B559" s="221" t="s">
        <v>786</v>
      </c>
      <c r="C559" s="181">
        <v>36</v>
      </c>
      <c r="D559" s="181" t="s">
        <v>103</v>
      </c>
      <c r="E559" s="181"/>
      <c r="F559" s="181"/>
      <c r="G559" s="772" t="s">
        <v>447</v>
      </c>
      <c r="H559" s="772">
        <v>9</v>
      </c>
      <c r="I559" s="559">
        <v>3</v>
      </c>
      <c r="J559" s="559">
        <v>3</v>
      </c>
      <c r="K559" s="559">
        <v>3</v>
      </c>
      <c r="L559" s="181">
        <v>9</v>
      </c>
      <c r="M559" s="559">
        <v>3</v>
      </c>
      <c r="N559" s="559">
        <v>3</v>
      </c>
      <c r="O559" s="559">
        <v>3</v>
      </c>
      <c r="P559" s="181">
        <v>9</v>
      </c>
      <c r="Q559" s="559">
        <v>3</v>
      </c>
      <c r="R559" s="559">
        <v>3</v>
      </c>
      <c r="S559" s="559">
        <v>3</v>
      </c>
      <c r="T559" s="181">
        <v>9</v>
      </c>
      <c r="U559" s="559">
        <v>3</v>
      </c>
      <c r="V559" s="559">
        <v>3</v>
      </c>
      <c r="W559" s="559">
        <v>3</v>
      </c>
      <c r="X559" s="345" t="s">
        <v>112</v>
      </c>
      <c r="Y559" s="345"/>
      <c r="Z559" s="345"/>
    </row>
    <row r="560" spans="1:26" ht="12.75">
      <c r="A560" s="345"/>
      <c r="B560" s="221" t="s">
        <v>787</v>
      </c>
      <c r="C560" s="181">
        <v>1</v>
      </c>
      <c r="D560" s="181" t="s">
        <v>103</v>
      </c>
      <c r="E560" s="181"/>
      <c r="F560" s="181"/>
      <c r="G560" s="772" t="s">
        <v>447</v>
      </c>
      <c r="H560" s="177">
        <v>1</v>
      </c>
      <c r="I560" s="559">
        <v>1</v>
      </c>
      <c r="J560" s="559">
        <v>0</v>
      </c>
      <c r="K560" s="559">
        <v>0</v>
      </c>
      <c r="L560" s="181">
        <v>0</v>
      </c>
      <c r="M560" s="559">
        <v>0</v>
      </c>
      <c r="N560" s="559">
        <v>0</v>
      </c>
      <c r="O560" s="559">
        <v>0</v>
      </c>
      <c r="P560" s="181">
        <v>0</v>
      </c>
      <c r="Q560" s="559">
        <v>0</v>
      </c>
      <c r="R560" s="559">
        <v>0</v>
      </c>
      <c r="S560" s="559">
        <v>0</v>
      </c>
      <c r="T560" s="181">
        <v>0</v>
      </c>
      <c r="U560" s="559">
        <v>0</v>
      </c>
      <c r="V560" s="559">
        <v>0</v>
      </c>
      <c r="W560" s="559">
        <v>0</v>
      </c>
      <c r="X560" s="345" t="s">
        <v>112</v>
      </c>
      <c r="Y560" s="345"/>
      <c r="Z560" s="345"/>
    </row>
    <row r="561" spans="1:26" ht="12.75">
      <c r="A561" s="345"/>
      <c r="B561" s="221" t="s">
        <v>788</v>
      </c>
      <c r="C561" s="181">
        <v>4</v>
      </c>
      <c r="D561" s="181" t="s">
        <v>103</v>
      </c>
      <c r="E561" s="181"/>
      <c r="F561" s="181"/>
      <c r="G561" s="772" t="s">
        <v>447</v>
      </c>
      <c r="H561" s="181">
        <v>1</v>
      </c>
      <c r="I561" s="559">
        <v>1</v>
      </c>
      <c r="J561" s="559">
        <v>0</v>
      </c>
      <c r="K561" s="559">
        <v>0</v>
      </c>
      <c r="L561" s="181">
        <v>1</v>
      </c>
      <c r="M561" s="559">
        <v>1</v>
      </c>
      <c r="N561" s="559">
        <v>0</v>
      </c>
      <c r="O561" s="559">
        <v>0</v>
      </c>
      <c r="P561" s="181">
        <v>1</v>
      </c>
      <c r="Q561" s="559">
        <v>1</v>
      </c>
      <c r="R561" s="559">
        <v>0</v>
      </c>
      <c r="S561" s="559">
        <v>0</v>
      </c>
      <c r="T561" s="181">
        <v>1</v>
      </c>
      <c r="U561" s="559">
        <v>1</v>
      </c>
      <c r="V561" s="559">
        <v>0</v>
      </c>
      <c r="W561" s="559">
        <v>0</v>
      </c>
      <c r="X561" s="345" t="s">
        <v>112</v>
      </c>
      <c r="Y561" s="345"/>
      <c r="Z561" s="345"/>
    </row>
    <row r="562" spans="1:26" ht="12.75">
      <c r="A562" s="345"/>
      <c r="B562" s="221" t="s">
        <v>779</v>
      </c>
      <c r="C562" s="181">
        <v>36</v>
      </c>
      <c r="D562" s="181" t="s">
        <v>773</v>
      </c>
      <c r="E562" s="181"/>
      <c r="F562" s="181"/>
      <c r="G562" s="772" t="s">
        <v>447</v>
      </c>
      <c r="H562" s="181">
        <v>9</v>
      </c>
      <c r="I562" s="559">
        <v>3</v>
      </c>
      <c r="J562" s="559">
        <v>3</v>
      </c>
      <c r="K562" s="559">
        <v>3</v>
      </c>
      <c r="L562" s="181">
        <v>9</v>
      </c>
      <c r="M562" s="559">
        <v>3</v>
      </c>
      <c r="N562" s="559">
        <v>3</v>
      </c>
      <c r="O562" s="559">
        <v>3</v>
      </c>
      <c r="P562" s="181">
        <v>9</v>
      </c>
      <c r="Q562" s="559">
        <v>3</v>
      </c>
      <c r="R562" s="559">
        <v>3</v>
      </c>
      <c r="S562" s="559">
        <v>3</v>
      </c>
      <c r="T562" s="181">
        <v>9</v>
      </c>
      <c r="U562" s="559">
        <v>3</v>
      </c>
      <c r="V562" s="559">
        <v>3</v>
      </c>
      <c r="W562" s="559">
        <v>3</v>
      </c>
      <c r="X562" s="345" t="s">
        <v>112</v>
      </c>
      <c r="Y562" s="345"/>
      <c r="Z562" s="345"/>
    </row>
    <row r="563" spans="1:26" ht="12.75">
      <c r="A563" s="345"/>
      <c r="B563" s="221" t="s">
        <v>3096</v>
      </c>
      <c r="C563" s="181">
        <v>8</v>
      </c>
      <c r="D563" s="181" t="s">
        <v>776</v>
      </c>
      <c r="E563" s="181"/>
      <c r="F563" s="181"/>
      <c r="G563" s="772" t="s">
        <v>447</v>
      </c>
      <c r="H563" s="181">
        <v>2</v>
      </c>
      <c r="I563" s="559">
        <v>2</v>
      </c>
      <c r="J563" s="559">
        <v>0</v>
      </c>
      <c r="K563" s="559">
        <v>0</v>
      </c>
      <c r="L563" s="181">
        <v>2</v>
      </c>
      <c r="M563" s="559">
        <v>2</v>
      </c>
      <c r="N563" s="559">
        <v>0</v>
      </c>
      <c r="O563" s="559">
        <v>0</v>
      </c>
      <c r="P563" s="181">
        <v>2</v>
      </c>
      <c r="Q563" s="559">
        <v>2</v>
      </c>
      <c r="R563" s="559">
        <v>0</v>
      </c>
      <c r="S563" s="559">
        <v>0</v>
      </c>
      <c r="T563" s="181">
        <v>2</v>
      </c>
      <c r="U563" s="559">
        <v>2</v>
      </c>
      <c r="V563" s="559">
        <v>0</v>
      </c>
      <c r="W563" s="559">
        <v>0</v>
      </c>
      <c r="X563" s="345" t="s">
        <v>112</v>
      </c>
      <c r="Y563" s="345"/>
      <c r="Z563" s="345"/>
    </row>
    <row r="564" spans="1:26" ht="12.75">
      <c r="A564" s="345"/>
      <c r="B564" s="221" t="s">
        <v>772</v>
      </c>
      <c r="C564" s="773">
        <v>48</v>
      </c>
      <c r="D564" s="181" t="s">
        <v>773</v>
      </c>
      <c r="E564" s="181"/>
      <c r="F564" s="181"/>
      <c r="G564" s="772" t="s">
        <v>447</v>
      </c>
      <c r="H564" s="181">
        <v>12</v>
      </c>
      <c r="I564" s="559">
        <v>4</v>
      </c>
      <c r="J564" s="559">
        <v>4</v>
      </c>
      <c r="K564" s="559">
        <v>4</v>
      </c>
      <c r="L564" s="181">
        <v>12</v>
      </c>
      <c r="M564" s="559">
        <v>4</v>
      </c>
      <c r="N564" s="559">
        <v>4</v>
      </c>
      <c r="O564" s="559">
        <v>4</v>
      </c>
      <c r="P564" s="181">
        <v>12</v>
      </c>
      <c r="Q564" s="559">
        <v>4</v>
      </c>
      <c r="R564" s="559">
        <v>4</v>
      </c>
      <c r="S564" s="559">
        <v>4</v>
      </c>
      <c r="T564" s="181">
        <v>12</v>
      </c>
      <c r="U564" s="559">
        <v>4</v>
      </c>
      <c r="V564" s="559">
        <v>4</v>
      </c>
      <c r="W564" s="559">
        <v>4</v>
      </c>
      <c r="X564" s="345" t="s">
        <v>112</v>
      </c>
      <c r="Y564" s="345"/>
      <c r="Z564" s="345"/>
    </row>
    <row r="565" spans="1:26" ht="12.75">
      <c r="A565" s="345"/>
      <c r="B565" s="221" t="s">
        <v>774</v>
      </c>
      <c r="C565" s="772">
        <v>6</v>
      </c>
      <c r="D565" s="181" t="s">
        <v>103</v>
      </c>
      <c r="E565" s="181"/>
      <c r="F565" s="773"/>
      <c r="G565" s="772" t="s">
        <v>447</v>
      </c>
      <c r="H565" s="773">
        <v>2</v>
      </c>
      <c r="I565" s="559">
        <v>2</v>
      </c>
      <c r="J565" s="559">
        <v>0</v>
      </c>
      <c r="K565" s="559">
        <v>0</v>
      </c>
      <c r="L565" s="181">
        <v>1</v>
      </c>
      <c r="M565" s="559">
        <v>1</v>
      </c>
      <c r="N565" s="559">
        <v>0</v>
      </c>
      <c r="O565" s="559">
        <v>0</v>
      </c>
      <c r="P565" s="181">
        <v>2</v>
      </c>
      <c r="Q565" s="559">
        <v>2</v>
      </c>
      <c r="R565" s="559">
        <v>0</v>
      </c>
      <c r="S565" s="559">
        <v>0</v>
      </c>
      <c r="T565" s="181">
        <v>1</v>
      </c>
      <c r="U565" s="559">
        <v>1</v>
      </c>
      <c r="V565" s="559">
        <v>0</v>
      </c>
      <c r="W565" s="559">
        <v>0</v>
      </c>
      <c r="X565" s="345" t="s">
        <v>112</v>
      </c>
      <c r="Y565" s="345"/>
      <c r="Z565" s="345"/>
    </row>
    <row r="566" spans="1:26" ht="12.75">
      <c r="A566" s="345"/>
      <c r="B566" s="221" t="s">
        <v>775</v>
      </c>
      <c r="C566" s="177">
        <v>17</v>
      </c>
      <c r="D566" s="181" t="s">
        <v>776</v>
      </c>
      <c r="E566" s="181"/>
      <c r="F566" s="177"/>
      <c r="G566" s="772" t="s">
        <v>447</v>
      </c>
      <c r="H566" s="177">
        <v>10</v>
      </c>
      <c r="I566" s="559">
        <v>10</v>
      </c>
      <c r="J566" s="559">
        <v>0</v>
      </c>
      <c r="K566" s="559">
        <v>0</v>
      </c>
      <c r="L566" s="181">
        <v>2</v>
      </c>
      <c r="M566" s="559">
        <v>2</v>
      </c>
      <c r="N566" s="559">
        <v>0</v>
      </c>
      <c r="O566" s="559">
        <v>0</v>
      </c>
      <c r="P566" s="181">
        <v>3</v>
      </c>
      <c r="Q566" s="559">
        <v>3</v>
      </c>
      <c r="R566" s="559">
        <v>0</v>
      </c>
      <c r="S566" s="559">
        <v>0</v>
      </c>
      <c r="T566" s="181">
        <v>2</v>
      </c>
      <c r="U566" s="559">
        <v>2</v>
      </c>
      <c r="V566" s="559">
        <v>0</v>
      </c>
      <c r="W566" s="559">
        <v>0</v>
      </c>
      <c r="X566" s="345" t="s">
        <v>112</v>
      </c>
      <c r="Y566" s="345"/>
      <c r="Z566" s="345"/>
    </row>
    <row r="567" spans="1:26" ht="12.75">
      <c r="A567" s="345"/>
      <c r="B567" s="221" t="s">
        <v>596</v>
      </c>
      <c r="C567" s="181">
        <v>17</v>
      </c>
      <c r="D567" s="181" t="s">
        <v>103</v>
      </c>
      <c r="E567" s="181"/>
      <c r="F567" s="181"/>
      <c r="G567" s="772" t="s">
        <v>447</v>
      </c>
      <c r="H567" s="181">
        <v>10</v>
      </c>
      <c r="I567" s="559">
        <v>10</v>
      </c>
      <c r="J567" s="559">
        <v>0</v>
      </c>
      <c r="K567" s="559">
        <v>0</v>
      </c>
      <c r="L567" s="181">
        <v>2</v>
      </c>
      <c r="M567" s="559">
        <v>2</v>
      </c>
      <c r="N567" s="559">
        <v>0</v>
      </c>
      <c r="O567" s="559">
        <v>0</v>
      </c>
      <c r="P567" s="181">
        <v>3</v>
      </c>
      <c r="Q567" s="559">
        <v>3</v>
      </c>
      <c r="R567" s="559">
        <v>0</v>
      </c>
      <c r="S567" s="559">
        <v>0</v>
      </c>
      <c r="T567" s="181">
        <v>2</v>
      </c>
      <c r="U567" s="559">
        <v>2</v>
      </c>
      <c r="V567" s="559">
        <v>0</v>
      </c>
      <c r="W567" s="559">
        <v>0</v>
      </c>
      <c r="X567" s="345" t="s">
        <v>112</v>
      </c>
      <c r="Y567" s="345"/>
      <c r="Z567" s="345"/>
    </row>
    <row r="568" spans="1:26" ht="12.75">
      <c r="A568" s="345"/>
      <c r="B568" s="221" t="s">
        <v>469</v>
      </c>
      <c r="C568" s="181">
        <v>2</v>
      </c>
      <c r="D568" s="181" t="s">
        <v>103</v>
      </c>
      <c r="E568" s="181"/>
      <c r="F568" s="181"/>
      <c r="G568" s="772" t="s">
        <v>447</v>
      </c>
      <c r="H568" s="181">
        <v>2</v>
      </c>
      <c r="I568" s="559">
        <v>2</v>
      </c>
      <c r="J568" s="559">
        <v>0</v>
      </c>
      <c r="K568" s="559">
        <v>0</v>
      </c>
      <c r="L568" s="181">
        <v>0</v>
      </c>
      <c r="M568" s="559">
        <v>0</v>
      </c>
      <c r="N568" s="559">
        <v>0</v>
      </c>
      <c r="O568" s="559">
        <v>0</v>
      </c>
      <c r="P568" s="181">
        <v>0</v>
      </c>
      <c r="Q568" s="559">
        <v>0</v>
      </c>
      <c r="R568" s="559">
        <v>0</v>
      </c>
      <c r="S568" s="559">
        <v>0</v>
      </c>
      <c r="T568" s="181">
        <v>0</v>
      </c>
      <c r="U568" s="559">
        <v>0</v>
      </c>
      <c r="V568" s="559">
        <v>0</v>
      </c>
      <c r="W568" s="559">
        <v>0</v>
      </c>
      <c r="X568" s="345" t="s">
        <v>112</v>
      </c>
      <c r="Y568" s="345"/>
      <c r="Z568" s="345"/>
    </row>
    <row r="569" spans="1:26" ht="12.75">
      <c r="A569" s="345"/>
      <c r="B569" s="221" t="s">
        <v>789</v>
      </c>
      <c r="C569" s="181">
        <v>2</v>
      </c>
      <c r="D569" s="181" t="s">
        <v>776</v>
      </c>
      <c r="E569" s="181"/>
      <c r="F569" s="773"/>
      <c r="G569" s="772" t="s">
        <v>447</v>
      </c>
      <c r="H569" s="181">
        <v>1</v>
      </c>
      <c r="I569" s="559">
        <v>1</v>
      </c>
      <c r="J569" s="559">
        <v>0</v>
      </c>
      <c r="K569" s="559">
        <v>0</v>
      </c>
      <c r="L569" s="181">
        <v>0</v>
      </c>
      <c r="M569" s="559">
        <v>0</v>
      </c>
      <c r="N569" s="559">
        <v>0</v>
      </c>
      <c r="O569" s="559">
        <v>0</v>
      </c>
      <c r="P569" s="181">
        <v>1</v>
      </c>
      <c r="Q569" s="559">
        <v>1</v>
      </c>
      <c r="R569" s="559">
        <v>0</v>
      </c>
      <c r="S569" s="559">
        <v>0</v>
      </c>
      <c r="T569" s="181">
        <v>0</v>
      </c>
      <c r="U569" s="559">
        <v>0</v>
      </c>
      <c r="V569" s="559">
        <v>0</v>
      </c>
      <c r="W569" s="559">
        <v>0</v>
      </c>
      <c r="X569" s="345" t="s">
        <v>112</v>
      </c>
      <c r="Y569" s="345"/>
      <c r="Z569" s="345"/>
    </row>
    <row r="570" spans="1:26" ht="12.75">
      <c r="A570" s="345"/>
      <c r="B570" s="533" t="s">
        <v>791</v>
      </c>
      <c r="C570" s="181">
        <v>24</v>
      </c>
      <c r="D570" s="181" t="s">
        <v>103</v>
      </c>
      <c r="E570" s="181"/>
      <c r="F570" s="177"/>
      <c r="G570" s="772" t="s">
        <v>447</v>
      </c>
      <c r="H570" s="181">
        <v>12</v>
      </c>
      <c r="I570" s="559">
        <v>12</v>
      </c>
      <c r="J570" s="559">
        <v>0</v>
      </c>
      <c r="K570" s="559">
        <v>0</v>
      </c>
      <c r="L570" s="181">
        <v>0</v>
      </c>
      <c r="M570" s="559">
        <v>0</v>
      </c>
      <c r="N570" s="559">
        <v>0</v>
      </c>
      <c r="O570" s="559">
        <v>0</v>
      </c>
      <c r="P570" s="181">
        <v>12</v>
      </c>
      <c r="Q570" s="559">
        <v>12</v>
      </c>
      <c r="R570" s="559">
        <v>0</v>
      </c>
      <c r="S570" s="559">
        <v>0</v>
      </c>
      <c r="T570" s="181">
        <v>0</v>
      </c>
      <c r="U570" s="559">
        <v>0</v>
      </c>
      <c r="V570" s="559">
        <v>0</v>
      </c>
      <c r="W570" s="559">
        <v>0</v>
      </c>
      <c r="X570" s="345" t="s">
        <v>112</v>
      </c>
      <c r="Y570" s="345"/>
      <c r="Z570" s="345"/>
    </row>
    <row r="571" spans="1:26" ht="12.75">
      <c r="A571" s="345"/>
      <c r="B571" s="774" t="s">
        <v>3097</v>
      </c>
      <c r="C571" s="172">
        <v>2</v>
      </c>
      <c r="D571" s="181" t="s">
        <v>103</v>
      </c>
      <c r="E571" s="181"/>
      <c r="F571" s="181"/>
      <c r="G571" s="177" t="s">
        <v>752</v>
      </c>
      <c r="H571" s="181">
        <v>2</v>
      </c>
      <c r="I571" s="559">
        <v>2</v>
      </c>
      <c r="J571" s="559">
        <v>0</v>
      </c>
      <c r="K571" s="559">
        <v>0</v>
      </c>
      <c r="L571" s="181">
        <v>0</v>
      </c>
      <c r="M571" s="559">
        <v>0</v>
      </c>
      <c r="N571" s="559">
        <v>0</v>
      </c>
      <c r="O571" s="559">
        <v>0</v>
      </c>
      <c r="P571" s="181">
        <v>0</v>
      </c>
      <c r="Q571" s="559">
        <v>0</v>
      </c>
      <c r="R571" s="559">
        <v>0</v>
      </c>
      <c r="S571" s="559">
        <v>0</v>
      </c>
      <c r="T571" s="181">
        <v>0</v>
      </c>
      <c r="U571" s="559">
        <v>0</v>
      </c>
      <c r="V571" s="559">
        <v>0</v>
      </c>
      <c r="W571" s="559">
        <v>0</v>
      </c>
      <c r="X571" s="345" t="s">
        <v>112</v>
      </c>
      <c r="Y571" s="345"/>
      <c r="Z571" s="345"/>
    </row>
    <row r="572" spans="1:26" ht="12.75">
      <c r="A572" s="345"/>
      <c r="B572" s="546" t="s">
        <v>3098</v>
      </c>
      <c r="C572" s="554">
        <v>1</v>
      </c>
      <c r="D572" s="547" t="s">
        <v>103</v>
      </c>
      <c r="E572" s="604">
        <v>80000</v>
      </c>
      <c r="F572" s="600">
        <v>80000</v>
      </c>
      <c r="G572" s="521" t="s">
        <v>342</v>
      </c>
      <c r="H572" s="547">
        <v>1</v>
      </c>
      <c r="I572" s="521">
        <v>1</v>
      </c>
      <c r="J572" s="521"/>
      <c r="K572" s="521"/>
      <c r="L572" s="547">
        <v>0</v>
      </c>
      <c r="M572" s="521"/>
      <c r="N572" s="521"/>
      <c r="O572" s="521"/>
      <c r="P572" s="547">
        <v>0</v>
      </c>
      <c r="Q572" s="521"/>
      <c r="R572" s="521"/>
      <c r="S572" s="521"/>
      <c r="T572" s="547">
        <v>0</v>
      </c>
      <c r="U572" s="521"/>
      <c r="V572" s="521"/>
      <c r="W572" s="521"/>
      <c r="X572" s="345" t="s">
        <v>2567</v>
      </c>
      <c r="Y572" s="345"/>
      <c r="Z572" s="345"/>
    </row>
    <row r="573" spans="1:26" ht="12.75">
      <c r="A573" s="345"/>
      <c r="B573" s="716" t="s">
        <v>482</v>
      </c>
      <c r="C573" s="557">
        <v>1</v>
      </c>
      <c r="D573" s="543" t="s">
        <v>92</v>
      </c>
      <c r="E573" s="606">
        <v>8500</v>
      </c>
      <c r="F573" s="524">
        <v>8500</v>
      </c>
      <c r="G573" s="526" t="s">
        <v>342</v>
      </c>
      <c r="H573" s="543">
        <v>1</v>
      </c>
      <c r="I573" s="526">
        <v>1</v>
      </c>
      <c r="J573" s="526"/>
      <c r="K573" s="526"/>
      <c r="L573" s="543">
        <v>0</v>
      </c>
      <c r="M573" s="526"/>
      <c r="N573" s="526"/>
      <c r="O573" s="526"/>
      <c r="P573" s="543">
        <v>0</v>
      </c>
      <c r="Q573" s="526"/>
      <c r="R573" s="526"/>
      <c r="S573" s="526"/>
      <c r="T573" s="543">
        <v>0</v>
      </c>
      <c r="U573" s="526"/>
      <c r="V573" s="526"/>
      <c r="W573" s="526"/>
      <c r="X573" s="345" t="s">
        <v>2567</v>
      </c>
      <c r="Y573" s="345"/>
      <c r="Z573" s="345"/>
    </row>
    <row r="574" spans="1:26" ht="12.75">
      <c r="A574" s="345"/>
      <c r="B574" s="716" t="s">
        <v>532</v>
      </c>
      <c r="C574" s="543">
        <v>5</v>
      </c>
      <c r="D574" s="543" t="s">
        <v>103</v>
      </c>
      <c r="E574" s="543">
        <v>500</v>
      </c>
      <c r="F574" s="548">
        <v>2500</v>
      </c>
      <c r="G574" s="543" t="s">
        <v>342</v>
      </c>
      <c r="H574" s="775">
        <v>5</v>
      </c>
      <c r="I574" s="776" t="s">
        <v>533</v>
      </c>
      <c r="J574" s="776"/>
      <c r="K574" s="776"/>
      <c r="L574" s="543">
        <v>0</v>
      </c>
      <c r="M574" s="526"/>
      <c r="N574" s="526"/>
      <c r="O574" s="526"/>
      <c r="P574" s="543">
        <v>0</v>
      </c>
      <c r="Q574" s="526"/>
      <c r="R574" s="526"/>
      <c r="S574" s="526"/>
      <c r="T574" s="543">
        <v>0</v>
      </c>
      <c r="U574" s="526"/>
      <c r="V574" s="526"/>
      <c r="W574" s="526"/>
      <c r="X574" s="345" t="s">
        <v>2567</v>
      </c>
      <c r="Y574" s="345"/>
      <c r="Z574" s="345"/>
    </row>
    <row r="575" spans="1:26" ht="12.75">
      <c r="A575" s="345"/>
      <c r="B575" s="716" t="s">
        <v>3099</v>
      </c>
      <c r="C575" s="543">
        <v>1</v>
      </c>
      <c r="D575" s="543" t="s">
        <v>118</v>
      </c>
      <c r="E575" s="548">
        <v>27000</v>
      </c>
      <c r="F575" s="548">
        <v>27000</v>
      </c>
      <c r="G575" s="543" t="s">
        <v>342</v>
      </c>
      <c r="H575" s="777">
        <v>1</v>
      </c>
      <c r="I575" s="778" t="s">
        <v>533</v>
      </c>
      <c r="J575" s="778"/>
      <c r="K575" s="778"/>
      <c r="L575" s="543">
        <v>0</v>
      </c>
      <c r="M575" s="526"/>
      <c r="N575" s="526"/>
      <c r="O575" s="526"/>
      <c r="P575" s="543">
        <v>0</v>
      </c>
      <c r="Q575" s="526"/>
      <c r="R575" s="526"/>
      <c r="S575" s="526"/>
      <c r="T575" s="543">
        <v>0</v>
      </c>
      <c r="U575" s="526"/>
      <c r="V575" s="526"/>
      <c r="W575" s="526"/>
      <c r="X575" s="345" t="s">
        <v>2567</v>
      </c>
      <c r="Y575" s="345"/>
      <c r="Z575" s="345"/>
    </row>
    <row r="576" spans="1:26" ht="12.75">
      <c r="A576" s="345"/>
      <c r="B576" s="716" t="s">
        <v>534</v>
      </c>
      <c r="C576" s="543">
        <v>1</v>
      </c>
      <c r="D576" s="543" t="s">
        <v>103</v>
      </c>
      <c r="E576" s="548">
        <v>3000</v>
      </c>
      <c r="F576" s="548">
        <v>3000</v>
      </c>
      <c r="G576" s="543" t="s">
        <v>342</v>
      </c>
      <c r="H576" s="777">
        <v>1</v>
      </c>
      <c r="I576" s="778" t="s">
        <v>533</v>
      </c>
      <c r="J576" s="778"/>
      <c r="K576" s="778"/>
      <c r="L576" s="543">
        <v>0</v>
      </c>
      <c r="M576" s="526"/>
      <c r="N576" s="526"/>
      <c r="O576" s="526"/>
      <c r="P576" s="543">
        <v>0</v>
      </c>
      <c r="Q576" s="526"/>
      <c r="R576" s="526"/>
      <c r="S576" s="526"/>
      <c r="T576" s="543">
        <v>0</v>
      </c>
      <c r="U576" s="526"/>
      <c r="V576" s="526"/>
      <c r="W576" s="526"/>
      <c r="X576" s="345" t="s">
        <v>2567</v>
      </c>
      <c r="Y576" s="345"/>
      <c r="Z576" s="345"/>
    </row>
    <row r="577" spans="1:26" ht="12.75">
      <c r="A577" s="345"/>
      <c r="B577" s="525" t="s">
        <v>535</v>
      </c>
      <c r="C577" s="557">
        <v>2</v>
      </c>
      <c r="D577" s="526" t="s">
        <v>103</v>
      </c>
      <c r="E577" s="524">
        <v>5000</v>
      </c>
      <c r="F577" s="524">
        <v>10000</v>
      </c>
      <c r="G577" s="543" t="s">
        <v>342</v>
      </c>
      <c r="H577" s="547">
        <v>2</v>
      </c>
      <c r="I577" s="547">
        <v>2</v>
      </c>
      <c r="J577" s="547"/>
      <c r="K577" s="547"/>
      <c r="L577" s="543">
        <v>0</v>
      </c>
      <c r="M577" s="526"/>
      <c r="N577" s="526"/>
      <c r="O577" s="526"/>
      <c r="P577" s="543">
        <v>0</v>
      </c>
      <c r="Q577" s="526"/>
      <c r="R577" s="526"/>
      <c r="S577" s="526"/>
      <c r="T577" s="543">
        <v>0</v>
      </c>
      <c r="U577" s="526"/>
      <c r="V577" s="526"/>
      <c r="W577" s="526"/>
      <c r="X577" s="345" t="s">
        <v>2567</v>
      </c>
      <c r="Y577" s="345"/>
      <c r="Z577" s="345"/>
    </row>
    <row r="578" spans="1:26" ht="12.75">
      <c r="A578" s="345"/>
      <c r="B578" s="152" t="s">
        <v>3100</v>
      </c>
      <c r="C578" s="151">
        <v>2</v>
      </c>
      <c r="D578" s="152" t="s">
        <v>466</v>
      </c>
      <c r="E578" s="198">
        <v>80000</v>
      </c>
      <c r="F578" s="151">
        <v>160000</v>
      </c>
      <c r="G578" s="198" t="s">
        <v>342</v>
      </c>
      <c r="H578" s="669">
        <v>2</v>
      </c>
      <c r="I578" s="198">
        <v>2</v>
      </c>
      <c r="J578" s="198">
        <v>0</v>
      </c>
      <c r="K578" s="198">
        <v>0</v>
      </c>
      <c r="L578" s="669">
        <v>0</v>
      </c>
      <c r="M578" s="198">
        <v>0</v>
      </c>
      <c r="N578" s="198">
        <v>0</v>
      </c>
      <c r="O578" s="198">
        <v>0</v>
      </c>
      <c r="P578" s="669">
        <v>0</v>
      </c>
      <c r="Q578" s="198">
        <v>0</v>
      </c>
      <c r="R578" s="198">
        <v>0</v>
      </c>
      <c r="S578" s="198">
        <v>0</v>
      </c>
      <c r="T578" s="669">
        <v>0</v>
      </c>
      <c r="U578" s="198">
        <v>0</v>
      </c>
      <c r="V578" s="198">
        <v>0</v>
      </c>
      <c r="W578" s="198">
        <v>0</v>
      </c>
      <c r="X578" s="345" t="s">
        <v>3101</v>
      </c>
      <c r="Y578" s="345"/>
      <c r="Z578" s="345"/>
    </row>
    <row r="579" spans="1:26" ht="12.75">
      <c r="A579" s="345"/>
      <c r="B579" s="172" t="s">
        <v>3102</v>
      </c>
      <c r="C579" s="189">
        <v>2</v>
      </c>
      <c r="D579" s="172" t="s">
        <v>466</v>
      </c>
      <c r="E579" s="200">
        <v>10000</v>
      </c>
      <c r="F579" s="189">
        <v>20000</v>
      </c>
      <c r="G579" s="200" t="s">
        <v>342</v>
      </c>
      <c r="H579" s="671">
        <v>2</v>
      </c>
      <c r="I579" s="200">
        <v>2</v>
      </c>
      <c r="J579" s="200">
        <v>0</v>
      </c>
      <c r="K579" s="200">
        <v>0</v>
      </c>
      <c r="L579" s="671">
        <v>0</v>
      </c>
      <c r="M579" s="200">
        <v>0</v>
      </c>
      <c r="N579" s="200">
        <v>0</v>
      </c>
      <c r="O579" s="200">
        <v>0</v>
      </c>
      <c r="P579" s="671">
        <v>0</v>
      </c>
      <c r="Q579" s="200">
        <v>0</v>
      </c>
      <c r="R579" s="200">
        <v>0</v>
      </c>
      <c r="S579" s="200">
        <v>0</v>
      </c>
      <c r="T579" s="671">
        <v>0</v>
      </c>
      <c r="U579" s="200">
        <v>0</v>
      </c>
      <c r="V579" s="200">
        <v>0</v>
      </c>
      <c r="W579" s="200">
        <v>0</v>
      </c>
      <c r="X579" s="345" t="s">
        <v>3101</v>
      </c>
      <c r="Y579" s="345"/>
      <c r="Z579" s="345"/>
    </row>
    <row r="580" spans="1:26" ht="12.75">
      <c r="A580" s="345"/>
      <c r="B580" s="172" t="s">
        <v>3103</v>
      </c>
      <c r="C580" s="189">
        <v>2</v>
      </c>
      <c r="D580" s="172" t="s">
        <v>103</v>
      </c>
      <c r="E580" s="220">
        <v>3500</v>
      </c>
      <c r="F580" s="189">
        <v>7000</v>
      </c>
      <c r="G580" s="200" t="s">
        <v>342</v>
      </c>
      <c r="H580" s="671">
        <v>2</v>
      </c>
      <c r="I580" s="200">
        <v>3</v>
      </c>
      <c r="J580" s="200">
        <v>0</v>
      </c>
      <c r="K580" s="200">
        <v>0</v>
      </c>
      <c r="L580" s="671">
        <v>0</v>
      </c>
      <c r="M580" s="200">
        <v>0</v>
      </c>
      <c r="N580" s="200">
        <v>0</v>
      </c>
      <c r="O580" s="200">
        <v>0</v>
      </c>
      <c r="P580" s="671">
        <v>0</v>
      </c>
      <c r="Q580" s="200">
        <v>0</v>
      </c>
      <c r="R580" s="200">
        <v>0</v>
      </c>
      <c r="S580" s="200">
        <v>0</v>
      </c>
      <c r="T580" s="671">
        <v>0</v>
      </c>
      <c r="U580" s="200">
        <v>0</v>
      </c>
      <c r="V580" s="200">
        <v>0</v>
      </c>
      <c r="W580" s="200">
        <v>0</v>
      </c>
      <c r="X580" s="345" t="s">
        <v>3101</v>
      </c>
      <c r="Y580" s="345"/>
      <c r="Z580" s="345"/>
    </row>
    <row r="581" spans="1:26" ht="12.75">
      <c r="A581" s="345"/>
      <c r="B581" s="172" t="s">
        <v>643</v>
      </c>
      <c r="C581" s="189">
        <v>48</v>
      </c>
      <c r="D581" s="198" t="s">
        <v>103</v>
      </c>
      <c r="E581" s="189">
        <v>400</v>
      </c>
      <c r="F581" s="189">
        <v>19200</v>
      </c>
      <c r="G581" s="200" t="s">
        <v>342</v>
      </c>
      <c r="H581" s="671">
        <v>12</v>
      </c>
      <c r="I581" s="200">
        <v>4</v>
      </c>
      <c r="J581" s="200">
        <v>4</v>
      </c>
      <c r="K581" s="200">
        <v>4</v>
      </c>
      <c r="L581" s="671">
        <v>12</v>
      </c>
      <c r="M581" s="200">
        <v>4</v>
      </c>
      <c r="N581" s="200">
        <v>4</v>
      </c>
      <c r="O581" s="200">
        <v>4</v>
      </c>
      <c r="P581" s="671">
        <v>12</v>
      </c>
      <c r="Q581" s="200">
        <v>4</v>
      </c>
      <c r="R581" s="200">
        <v>4</v>
      </c>
      <c r="S581" s="200">
        <v>4</v>
      </c>
      <c r="T581" s="671">
        <v>12</v>
      </c>
      <c r="U581" s="200">
        <v>4</v>
      </c>
      <c r="V581" s="200">
        <v>4</v>
      </c>
      <c r="W581" s="200">
        <v>4</v>
      </c>
      <c r="X581" s="345" t="s">
        <v>3101</v>
      </c>
      <c r="Y581" s="345"/>
      <c r="Z581" s="345"/>
    </row>
    <row r="582" spans="1:26" ht="12.75">
      <c r="A582" s="345"/>
      <c r="B582" s="172" t="s">
        <v>644</v>
      </c>
      <c r="C582" s="189">
        <v>48</v>
      </c>
      <c r="D582" s="200" t="s">
        <v>103</v>
      </c>
      <c r="E582" s="189">
        <v>400</v>
      </c>
      <c r="F582" s="189">
        <v>19200</v>
      </c>
      <c r="G582" s="200" t="s">
        <v>342</v>
      </c>
      <c r="H582" s="671">
        <v>12</v>
      </c>
      <c r="I582" s="200">
        <v>4</v>
      </c>
      <c r="J582" s="200">
        <v>4</v>
      </c>
      <c r="K582" s="200">
        <v>4</v>
      </c>
      <c r="L582" s="671">
        <v>12</v>
      </c>
      <c r="M582" s="200">
        <v>4</v>
      </c>
      <c r="N582" s="200">
        <v>4</v>
      </c>
      <c r="O582" s="200">
        <v>4</v>
      </c>
      <c r="P582" s="671">
        <v>12</v>
      </c>
      <c r="Q582" s="200">
        <v>4</v>
      </c>
      <c r="R582" s="200">
        <v>4</v>
      </c>
      <c r="S582" s="200">
        <v>4</v>
      </c>
      <c r="T582" s="671">
        <v>12</v>
      </c>
      <c r="U582" s="200">
        <v>4</v>
      </c>
      <c r="V582" s="200">
        <v>4</v>
      </c>
      <c r="W582" s="200">
        <v>4</v>
      </c>
      <c r="X582" s="345" t="s">
        <v>3101</v>
      </c>
      <c r="Y582" s="345"/>
      <c r="Z582" s="345"/>
    </row>
    <row r="583" spans="1:26" ht="12.75">
      <c r="A583" s="345"/>
      <c r="B583" s="172" t="s">
        <v>645</v>
      </c>
      <c r="C583" s="189">
        <v>48</v>
      </c>
      <c r="D583" s="200" t="s">
        <v>103</v>
      </c>
      <c r="E583" s="189">
        <v>400</v>
      </c>
      <c r="F583" s="189">
        <v>19200</v>
      </c>
      <c r="G583" s="200" t="s">
        <v>342</v>
      </c>
      <c r="H583" s="671">
        <v>12</v>
      </c>
      <c r="I583" s="200">
        <v>4</v>
      </c>
      <c r="J583" s="200">
        <v>4</v>
      </c>
      <c r="K583" s="200">
        <v>4</v>
      </c>
      <c r="L583" s="671">
        <v>12</v>
      </c>
      <c r="M583" s="200">
        <v>4</v>
      </c>
      <c r="N583" s="200">
        <v>4</v>
      </c>
      <c r="O583" s="200">
        <v>4</v>
      </c>
      <c r="P583" s="671">
        <v>12</v>
      </c>
      <c r="Q583" s="200">
        <v>4</v>
      </c>
      <c r="R583" s="200">
        <v>4</v>
      </c>
      <c r="S583" s="200">
        <v>4</v>
      </c>
      <c r="T583" s="671">
        <v>12</v>
      </c>
      <c r="U583" s="200">
        <v>4</v>
      </c>
      <c r="V583" s="200">
        <v>4</v>
      </c>
      <c r="W583" s="200">
        <v>4</v>
      </c>
      <c r="X583" s="345" t="s">
        <v>3101</v>
      </c>
      <c r="Y583" s="345"/>
      <c r="Z583" s="345"/>
    </row>
    <row r="584" spans="1:26" ht="12.75">
      <c r="A584" s="345"/>
      <c r="B584" s="172" t="s">
        <v>646</v>
      </c>
      <c r="C584" s="189">
        <v>48</v>
      </c>
      <c r="D584" s="200" t="s">
        <v>103</v>
      </c>
      <c r="E584" s="189">
        <v>400</v>
      </c>
      <c r="F584" s="189">
        <v>19200</v>
      </c>
      <c r="G584" s="200" t="s">
        <v>342</v>
      </c>
      <c r="H584" s="671">
        <v>12</v>
      </c>
      <c r="I584" s="200">
        <v>4</v>
      </c>
      <c r="J584" s="200">
        <v>4</v>
      </c>
      <c r="K584" s="200">
        <v>4</v>
      </c>
      <c r="L584" s="671">
        <v>12</v>
      </c>
      <c r="M584" s="200">
        <v>4</v>
      </c>
      <c r="N584" s="200">
        <v>4</v>
      </c>
      <c r="O584" s="200">
        <v>4</v>
      </c>
      <c r="P584" s="671">
        <v>12</v>
      </c>
      <c r="Q584" s="200">
        <v>4</v>
      </c>
      <c r="R584" s="200">
        <v>4</v>
      </c>
      <c r="S584" s="200">
        <v>4</v>
      </c>
      <c r="T584" s="671">
        <v>12</v>
      </c>
      <c r="U584" s="200">
        <v>4</v>
      </c>
      <c r="V584" s="200">
        <v>4</v>
      </c>
      <c r="W584" s="200">
        <v>4</v>
      </c>
      <c r="X584" s="345" t="s">
        <v>3101</v>
      </c>
      <c r="Y584" s="345"/>
      <c r="Z584" s="345"/>
    </row>
    <row r="585" spans="1:26" ht="12.75">
      <c r="A585" s="345"/>
      <c r="B585" s="172" t="s">
        <v>3104</v>
      </c>
      <c r="C585" s="189">
        <v>24</v>
      </c>
      <c r="D585" s="200" t="s">
        <v>103</v>
      </c>
      <c r="E585" s="189">
        <v>400</v>
      </c>
      <c r="F585" s="189">
        <v>9600</v>
      </c>
      <c r="G585" s="200" t="s">
        <v>342</v>
      </c>
      <c r="H585" s="671">
        <v>6</v>
      </c>
      <c r="I585" s="200">
        <v>2</v>
      </c>
      <c r="J585" s="200">
        <v>2</v>
      </c>
      <c r="K585" s="200">
        <v>2</v>
      </c>
      <c r="L585" s="671">
        <v>6</v>
      </c>
      <c r="M585" s="200">
        <v>2</v>
      </c>
      <c r="N585" s="200">
        <v>2</v>
      </c>
      <c r="O585" s="200">
        <v>2</v>
      </c>
      <c r="P585" s="671">
        <v>6</v>
      </c>
      <c r="Q585" s="200">
        <v>2</v>
      </c>
      <c r="R585" s="200">
        <v>2</v>
      </c>
      <c r="S585" s="200">
        <v>2</v>
      </c>
      <c r="T585" s="671">
        <v>6</v>
      </c>
      <c r="U585" s="200">
        <v>2</v>
      </c>
      <c r="V585" s="200">
        <v>2</v>
      </c>
      <c r="W585" s="200">
        <v>2</v>
      </c>
      <c r="X585" s="345" t="s">
        <v>3101</v>
      </c>
      <c r="Y585" s="345"/>
      <c r="Z585" s="345"/>
    </row>
    <row r="586" spans="1:26" ht="12.75">
      <c r="A586" s="345"/>
      <c r="B586" s="172" t="s">
        <v>3105</v>
      </c>
      <c r="C586" s="189">
        <v>24</v>
      </c>
      <c r="D586" s="200" t="s">
        <v>103</v>
      </c>
      <c r="E586" s="189">
        <v>400</v>
      </c>
      <c r="F586" s="189">
        <v>9600</v>
      </c>
      <c r="G586" s="200" t="s">
        <v>342</v>
      </c>
      <c r="H586" s="671">
        <v>6</v>
      </c>
      <c r="I586" s="200">
        <v>2</v>
      </c>
      <c r="J586" s="200">
        <v>2</v>
      </c>
      <c r="K586" s="200">
        <v>2</v>
      </c>
      <c r="L586" s="671">
        <v>6</v>
      </c>
      <c r="M586" s="200">
        <v>2</v>
      </c>
      <c r="N586" s="200">
        <v>2</v>
      </c>
      <c r="O586" s="200">
        <v>2</v>
      </c>
      <c r="P586" s="671">
        <v>6</v>
      </c>
      <c r="Q586" s="200">
        <v>2</v>
      </c>
      <c r="R586" s="200">
        <v>2</v>
      </c>
      <c r="S586" s="200">
        <v>2</v>
      </c>
      <c r="T586" s="671">
        <v>6</v>
      </c>
      <c r="U586" s="200">
        <v>2</v>
      </c>
      <c r="V586" s="200">
        <v>2</v>
      </c>
      <c r="W586" s="200">
        <v>2</v>
      </c>
      <c r="X586" s="345" t="s">
        <v>3101</v>
      </c>
      <c r="Y586" s="345"/>
      <c r="Z586" s="345"/>
    </row>
    <row r="587" spans="1:26" ht="12.75">
      <c r="A587" s="345"/>
      <c r="B587" s="172" t="s">
        <v>3106</v>
      </c>
      <c r="C587" s="189">
        <v>24</v>
      </c>
      <c r="D587" s="200" t="s">
        <v>103</v>
      </c>
      <c r="E587" s="189">
        <v>400</v>
      </c>
      <c r="F587" s="189">
        <v>9600</v>
      </c>
      <c r="G587" s="200" t="s">
        <v>342</v>
      </c>
      <c r="H587" s="671">
        <v>6</v>
      </c>
      <c r="I587" s="200">
        <v>2</v>
      </c>
      <c r="J587" s="200">
        <v>2</v>
      </c>
      <c r="K587" s="200">
        <v>2</v>
      </c>
      <c r="L587" s="671">
        <v>6</v>
      </c>
      <c r="M587" s="200">
        <v>2</v>
      </c>
      <c r="N587" s="200">
        <v>2</v>
      </c>
      <c r="O587" s="200">
        <v>2</v>
      </c>
      <c r="P587" s="671">
        <v>6</v>
      </c>
      <c r="Q587" s="200">
        <v>2</v>
      </c>
      <c r="R587" s="200">
        <v>2</v>
      </c>
      <c r="S587" s="200">
        <v>2</v>
      </c>
      <c r="T587" s="671">
        <v>6</v>
      </c>
      <c r="U587" s="200">
        <v>2</v>
      </c>
      <c r="V587" s="200">
        <v>2</v>
      </c>
      <c r="W587" s="200">
        <v>2</v>
      </c>
      <c r="X587" s="345" t="s">
        <v>3101</v>
      </c>
      <c r="Y587" s="345"/>
      <c r="Z587" s="345"/>
    </row>
    <row r="588" spans="1:26" ht="12.75">
      <c r="A588" s="345"/>
      <c r="B588" s="172" t="s">
        <v>3107</v>
      </c>
      <c r="C588" s="189">
        <v>24</v>
      </c>
      <c r="D588" s="200" t="s">
        <v>103</v>
      </c>
      <c r="E588" s="189">
        <v>400</v>
      </c>
      <c r="F588" s="189">
        <v>9600</v>
      </c>
      <c r="G588" s="200" t="s">
        <v>342</v>
      </c>
      <c r="H588" s="671">
        <v>6</v>
      </c>
      <c r="I588" s="200">
        <v>2</v>
      </c>
      <c r="J588" s="200">
        <v>2</v>
      </c>
      <c r="K588" s="200">
        <v>2</v>
      </c>
      <c r="L588" s="671">
        <v>6</v>
      </c>
      <c r="M588" s="200">
        <v>2</v>
      </c>
      <c r="N588" s="200">
        <v>2</v>
      </c>
      <c r="O588" s="200">
        <v>2</v>
      </c>
      <c r="P588" s="671">
        <v>6</v>
      </c>
      <c r="Q588" s="200">
        <v>2</v>
      </c>
      <c r="R588" s="200">
        <v>2</v>
      </c>
      <c r="S588" s="200">
        <v>2</v>
      </c>
      <c r="T588" s="671">
        <v>6</v>
      </c>
      <c r="U588" s="200">
        <v>2</v>
      </c>
      <c r="V588" s="200">
        <v>2</v>
      </c>
      <c r="W588" s="200">
        <v>2</v>
      </c>
      <c r="X588" s="345" t="s">
        <v>3101</v>
      </c>
      <c r="Y588" s="345"/>
      <c r="Z588" s="345"/>
    </row>
    <row r="589" spans="1:26" ht="12.75">
      <c r="A589" s="345"/>
      <c r="B589" s="172" t="s">
        <v>647</v>
      </c>
      <c r="C589" s="189">
        <v>312</v>
      </c>
      <c r="D589" s="200" t="s">
        <v>103</v>
      </c>
      <c r="E589" s="189">
        <v>400</v>
      </c>
      <c r="F589" s="189">
        <v>124800</v>
      </c>
      <c r="G589" s="200" t="s">
        <v>342</v>
      </c>
      <c r="H589" s="671">
        <v>78</v>
      </c>
      <c r="I589" s="200">
        <v>26</v>
      </c>
      <c r="J589" s="200">
        <v>26</v>
      </c>
      <c r="K589" s="200">
        <v>26</v>
      </c>
      <c r="L589" s="671">
        <v>78</v>
      </c>
      <c r="M589" s="200">
        <v>26</v>
      </c>
      <c r="N589" s="200">
        <v>26</v>
      </c>
      <c r="O589" s="200">
        <v>26</v>
      </c>
      <c r="P589" s="671">
        <v>78</v>
      </c>
      <c r="Q589" s="200">
        <v>26</v>
      </c>
      <c r="R589" s="200">
        <v>26</v>
      </c>
      <c r="S589" s="200">
        <v>26</v>
      </c>
      <c r="T589" s="671">
        <v>78</v>
      </c>
      <c r="U589" s="200">
        <v>26</v>
      </c>
      <c r="V589" s="200">
        <v>26</v>
      </c>
      <c r="W589" s="200">
        <v>26</v>
      </c>
      <c r="X589" s="345" t="s">
        <v>3101</v>
      </c>
      <c r="Y589" s="345"/>
      <c r="Z589" s="345"/>
    </row>
    <row r="590" spans="1:26" ht="12.75">
      <c r="A590" s="345"/>
      <c r="B590" s="172" t="s">
        <v>648</v>
      </c>
      <c r="C590" s="189">
        <v>312</v>
      </c>
      <c r="D590" s="200" t="s">
        <v>103</v>
      </c>
      <c r="E590" s="189">
        <v>400</v>
      </c>
      <c r="F590" s="189">
        <v>124800</v>
      </c>
      <c r="G590" s="200" t="s">
        <v>342</v>
      </c>
      <c r="H590" s="671">
        <v>78</v>
      </c>
      <c r="I590" s="200">
        <v>26</v>
      </c>
      <c r="J590" s="200">
        <v>26</v>
      </c>
      <c r="K590" s="200">
        <v>26</v>
      </c>
      <c r="L590" s="671">
        <v>78</v>
      </c>
      <c r="M590" s="200">
        <v>26</v>
      </c>
      <c r="N590" s="200">
        <v>26</v>
      </c>
      <c r="O590" s="200">
        <v>26</v>
      </c>
      <c r="P590" s="671">
        <v>78</v>
      </c>
      <c r="Q590" s="200">
        <v>26</v>
      </c>
      <c r="R590" s="200">
        <v>26</v>
      </c>
      <c r="S590" s="200">
        <v>26</v>
      </c>
      <c r="T590" s="671">
        <v>78</v>
      </c>
      <c r="U590" s="200">
        <v>26</v>
      </c>
      <c r="V590" s="200">
        <v>26</v>
      </c>
      <c r="W590" s="200">
        <v>26</v>
      </c>
      <c r="X590" s="345" t="s">
        <v>3101</v>
      </c>
      <c r="Y590" s="345"/>
      <c r="Z590" s="345"/>
    </row>
    <row r="591" spans="1:26" ht="12.75">
      <c r="A591" s="345"/>
      <c r="B591" s="172" t="s">
        <v>649</v>
      </c>
      <c r="C591" s="189">
        <v>312</v>
      </c>
      <c r="D591" s="200" t="s">
        <v>103</v>
      </c>
      <c r="E591" s="189">
        <v>400</v>
      </c>
      <c r="F591" s="189">
        <v>124800</v>
      </c>
      <c r="G591" s="200" t="s">
        <v>342</v>
      </c>
      <c r="H591" s="671">
        <v>78</v>
      </c>
      <c r="I591" s="200">
        <v>26</v>
      </c>
      <c r="J591" s="200">
        <v>26</v>
      </c>
      <c r="K591" s="200">
        <v>26</v>
      </c>
      <c r="L591" s="671">
        <v>78</v>
      </c>
      <c r="M591" s="200">
        <v>26</v>
      </c>
      <c r="N591" s="200">
        <v>26</v>
      </c>
      <c r="O591" s="200">
        <v>26</v>
      </c>
      <c r="P591" s="671">
        <v>78</v>
      </c>
      <c r="Q591" s="200">
        <v>26</v>
      </c>
      <c r="R591" s="200">
        <v>26</v>
      </c>
      <c r="S591" s="200">
        <v>26</v>
      </c>
      <c r="T591" s="671">
        <v>78</v>
      </c>
      <c r="U591" s="200">
        <v>26</v>
      </c>
      <c r="V591" s="200">
        <v>26</v>
      </c>
      <c r="W591" s="200">
        <v>26</v>
      </c>
      <c r="X591" s="345" t="s">
        <v>3101</v>
      </c>
      <c r="Y591" s="345"/>
      <c r="Z591" s="345"/>
    </row>
    <row r="592" spans="1:26" ht="12.75">
      <c r="A592" s="345"/>
      <c r="B592" s="172" t="s">
        <v>650</v>
      </c>
      <c r="C592" s="189">
        <v>312</v>
      </c>
      <c r="D592" s="200" t="s">
        <v>103</v>
      </c>
      <c r="E592" s="189">
        <v>400</v>
      </c>
      <c r="F592" s="189">
        <v>124800</v>
      </c>
      <c r="G592" s="200" t="s">
        <v>342</v>
      </c>
      <c r="H592" s="671">
        <v>78</v>
      </c>
      <c r="I592" s="200">
        <v>26</v>
      </c>
      <c r="J592" s="200">
        <v>26</v>
      </c>
      <c r="K592" s="200">
        <v>26</v>
      </c>
      <c r="L592" s="671">
        <v>78</v>
      </c>
      <c r="M592" s="200">
        <v>26</v>
      </c>
      <c r="N592" s="200">
        <v>26</v>
      </c>
      <c r="O592" s="200">
        <v>26</v>
      </c>
      <c r="P592" s="671">
        <v>78</v>
      </c>
      <c r="Q592" s="200">
        <v>26</v>
      </c>
      <c r="R592" s="200">
        <v>26</v>
      </c>
      <c r="S592" s="200">
        <v>26</v>
      </c>
      <c r="T592" s="671">
        <v>78</v>
      </c>
      <c r="U592" s="200">
        <v>26</v>
      </c>
      <c r="V592" s="200">
        <v>26</v>
      </c>
      <c r="W592" s="200">
        <v>26</v>
      </c>
      <c r="X592" s="345" t="s">
        <v>3101</v>
      </c>
      <c r="Y592" s="345"/>
      <c r="Z592" s="345"/>
    </row>
    <row r="593" spans="1:26" ht="12.75">
      <c r="A593" s="345"/>
      <c r="B593" s="152" t="s">
        <v>3108</v>
      </c>
      <c r="C593" s="200">
        <v>4</v>
      </c>
      <c r="D593" s="200" t="s">
        <v>103</v>
      </c>
      <c r="E593" s="189">
        <v>6000</v>
      </c>
      <c r="F593" s="189">
        <v>24000</v>
      </c>
      <c r="G593" s="200" t="s">
        <v>342</v>
      </c>
      <c r="H593" s="671">
        <v>1</v>
      </c>
      <c r="I593" s="200">
        <v>1</v>
      </c>
      <c r="J593" s="200">
        <v>0</v>
      </c>
      <c r="K593" s="200">
        <v>0</v>
      </c>
      <c r="L593" s="671">
        <v>1</v>
      </c>
      <c r="M593" s="200">
        <v>1</v>
      </c>
      <c r="N593" s="200">
        <v>0</v>
      </c>
      <c r="O593" s="200">
        <v>0</v>
      </c>
      <c r="P593" s="671">
        <v>1</v>
      </c>
      <c r="Q593" s="200">
        <v>1</v>
      </c>
      <c r="R593" s="200">
        <v>0</v>
      </c>
      <c r="S593" s="200">
        <v>0</v>
      </c>
      <c r="T593" s="671">
        <v>1</v>
      </c>
      <c r="U593" s="200">
        <v>1</v>
      </c>
      <c r="V593" s="200">
        <v>0</v>
      </c>
      <c r="W593" s="200">
        <v>0</v>
      </c>
      <c r="X593" s="345" t="s">
        <v>3101</v>
      </c>
      <c r="Y593" s="345"/>
      <c r="Z593" s="345"/>
    </row>
    <row r="594" spans="1:26" ht="12.75">
      <c r="A594" s="345"/>
      <c r="B594" s="172" t="s">
        <v>651</v>
      </c>
      <c r="C594" s="200">
        <v>4</v>
      </c>
      <c r="D594" s="200" t="s">
        <v>103</v>
      </c>
      <c r="E594" s="189">
        <v>4000</v>
      </c>
      <c r="F594" s="189">
        <v>16000</v>
      </c>
      <c r="G594" s="200" t="s">
        <v>342</v>
      </c>
      <c r="H594" s="671">
        <v>1</v>
      </c>
      <c r="I594" s="200">
        <v>1</v>
      </c>
      <c r="J594" s="200">
        <v>0</v>
      </c>
      <c r="K594" s="200">
        <v>0</v>
      </c>
      <c r="L594" s="671">
        <v>1</v>
      </c>
      <c r="M594" s="200">
        <v>1</v>
      </c>
      <c r="N594" s="200">
        <v>0</v>
      </c>
      <c r="O594" s="200">
        <v>0</v>
      </c>
      <c r="P594" s="671">
        <v>1</v>
      </c>
      <c r="Q594" s="200">
        <v>1</v>
      </c>
      <c r="R594" s="200">
        <v>0</v>
      </c>
      <c r="S594" s="200">
        <v>0</v>
      </c>
      <c r="T594" s="671">
        <v>1</v>
      </c>
      <c r="U594" s="200">
        <v>1</v>
      </c>
      <c r="V594" s="200">
        <v>0</v>
      </c>
      <c r="W594" s="200">
        <v>0</v>
      </c>
      <c r="X594" s="345" t="s">
        <v>3101</v>
      </c>
      <c r="Y594" s="345"/>
      <c r="Z594" s="345"/>
    </row>
    <row r="595" spans="1:26" ht="12.75">
      <c r="A595" s="345"/>
      <c r="B595" s="189" t="s">
        <v>454</v>
      </c>
      <c r="C595" s="200">
        <v>240</v>
      </c>
      <c r="D595" s="200" t="s">
        <v>103</v>
      </c>
      <c r="E595" s="189">
        <v>500</v>
      </c>
      <c r="F595" s="189">
        <v>120000</v>
      </c>
      <c r="G595" s="200" t="s">
        <v>342</v>
      </c>
      <c r="H595" s="671">
        <v>60</v>
      </c>
      <c r="I595" s="200">
        <v>20</v>
      </c>
      <c r="J595" s="200">
        <v>20</v>
      </c>
      <c r="K595" s="200">
        <v>20</v>
      </c>
      <c r="L595" s="671">
        <v>60</v>
      </c>
      <c r="M595" s="200">
        <v>20</v>
      </c>
      <c r="N595" s="200">
        <v>20</v>
      </c>
      <c r="O595" s="200">
        <v>20</v>
      </c>
      <c r="P595" s="671">
        <v>60</v>
      </c>
      <c r="Q595" s="200">
        <v>20</v>
      </c>
      <c r="R595" s="200">
        <v>20</v>
      </c>
      <c r="S595" s="200">
        <v>20</v>
      </c>
      <c r="T595" s="671">
        <v>60</v>
      </c>
      <c r="U595" s="200">
        <v>20</v>
      </c>
      <c r="V595" s="200">
        <v>20</v>
      </c>
      <c r="W595" s="200">
        <v>20</v>
      </c>
      <c r="X595" s="345" t="s">
        <v>3101</v>
      </c>
      <c r="Y595" s="345"/>
      <c r="Z595" s="345"/>
    </row>
    <row r="596" spans="1:26" ht="12.75">
      <c r="A596" s="345"/>
      <c r="B596" s="531" t="s">
        <v>595</v>
      </c>
      <c r="C596" s="198">
        <v>10</v>
      </c>
      <c r="D596" s="198" t="s">
        <v>103</v>
      </c>
      <c r="E596" s="219">
        <v>2500</v>
      </c>
      <c r="F596" s="219">
        <v>25000</v>
      </c>
      <c r="G596" s="198" t="s">
        <v>342</v>
      </c>
      <c r="H596" s="198">
        <v>3</v>
      </c>
      <c r="I596" s="198" t="s">
        <v>544</v>
      </c>
      <c r="J596" s="779"/>
      <c r="K596" s="779"/>
      <c r="L596" s="198">
        <v>2</v>
      </c>
      <c r="M596" s="779" t="s">
        <v>544</v>
      </c>
      <c r="N596" s="779"/>
      <c r="O596" s="779"/>
      <c r="P596" s="198">
        <v>2</v>
      </c>
      <c r="Q596" s="779" t="s">
        <v>544</v>
      </c>
      <c r="R596" s="779"/>
      <c r="S596" s="779"/>
      <c r="T596" s="198">
        <v>3</v>
      </c>
      <c r="U596" s="779" t="s">
        <v>544</v>
      </c>
      <c r="V596" s="779"/>
      <c r="W596" s="779"/>
      <c r="X596" s="345" t="s">
        <v>3109</v>
      </c>
      <c r="Y596" s="345"/>
      <c r="Z596" s="345"/>
    </row>
    <row r="597" spans="1:26" ht="12.75">
      <c r="A597" s="345"/>
      <c r="B597" s="533" t="s">
        <v>3110</v>
      </c>
      <c r="C597" s="200">
        <v>5</v>
      </c>
      <c r="D597" s="200" t="s">
        <v>103</v>
      </c>
      <c r="E597" s="220">
        <v>10000</v>
      </c>
      <c r="F597" s="220">
        <v>50000</v>
      </c>
      <c r="G597" s="200" t="s">
        <v>342</v>
      </c>
      <c r="H597" s="200">
        <v>3</v>
      </c>
      <c r="I597" s="200" t="s">
        <v>544</v>
      </c>
      <c r="J597" s="536"/>
      <c r="K597" s="536"/>
      <c r="L597" s="200"/>
      <c r="M597" s="536"/>
      <c r="N597" s="536"/>
      <c r="O597" s="536"/>
      <c r="P597" s="200">
        <v>2</v>
      </c>
      <c r="Q597" s="536" t="s">
        <v>544</v>
      </c>
      <c r="R597" s="536"/>
      <c r="S597" s="536"/>
      <c r="T597" s="200"/>
      <c r="U597" s="536"/>
      <c r="V597" s="536"/>
      <c r="W597" s="536"/>
      <c r="X597" s="345" t="s">
        <v>3109</v>
      </c>
      <c r="Y597" s="345"/>
      <c r="Z597" s="345"/>
    </row>
    <row r="598" spans="1:26" ht="12.75">
      <c r="A598" s="345"/>
      <c r="B598" s="533" t="s">
        <v>483</v>
      </c>
      <c r="C598" s="200">
        <v>5</v>
      </c>
      <c r="D598" s="200" t="s">
        <v>103</v>
      </c>
      <c r="E598" s="220">
        <v>2500</v>
      </c>
      <c r="F598" s="220">
        <v>12500</v>
      </c>
      <c r="G598" s="200" t="s">
        <v>342</v>
      </c>
      <c r="H598" s="200">
        <v>3</v>
      </c>
      <c r="I598" s="200" t="s">
        <v>544</v>
      </c>
      <c r="J598" s="536"/>
      <c r="K598" s="536"/>
      <c r="L598" s="200"/>
      <c r="M598" s="536"/>
      <c r="N598" s="536"/>
      <c r="O598" s="536"/>
      <c r="P598" s="200">
        <v>2</v>
      </c>
      <c r="Q598" s="536" t="s">
        <v>544</v>
      </c>
      <c r="R598" s="536"/>
      <c r="S598" s="536"/>
      <c r="T598" s="200"/>
      <c r="U598" s="536"/>
      <c r="V598" s="536"/>
      <c r="W598" s="536"/>
      <c r="X598" s="345" t="s">
        <v>3109</v>
      </c>
      <c r="Y598" s="345"/>
      <c r="Z598" s="345"/>
    </row>
    <row r="599" spans="1:26" ht="12.75">
      <c r="A599" s="345"/>
      <c r="B599" s="533" t="s">
        <v>467</v>
      </c>
      <c r="C599" s="200">
        <v>9</v>
      </c>
      <c r="D599" s="200" t="s">
        <v>118</v>
      </c>
      <c r="E599" s="220">
        <v>40000</v>
      </c>
      <c r="F599" s="220">
        <v>360000</v>
      </c>
      <c r="G599" s="200" t="s">
        <v>342</v>
      </c>
      <c r="H599" s="200">
        <v>7</v>
      </c>
      <c r="I599" s="200" t="s">
        <v>544</v>
      </c>
      <c r="J599" s="536"/>
      <c r="K599" s="536"/>
      <c r="L599" s="200"/>
      <c r="M599" s="536"/>
      <c r="N599" s="536"/>
      <c r="O599" s="536"/>
      <c r="P599" s="200">
        <v>2</v>
      </c>
      <c r="Q599" s="536" t="s">
        <v>544</v>
      </c>
      <c r="R599" s="536"/>
      <c r="S599" s="536"/>
      <c r="T599" s="200"/>
      <c r="U599" s="536"/>
      <c r="V599" s="536"/>
      <c r="W599" s="536"/>
      <c r="X599" s="345" t="s">
        <v>3109</v>
      </c>
      <c r="Y599" s="345"/>
      <c r="Z599" s="345"/>
    </row>
    <row r="600" spans="1:26" ht="12.75">
      <c r="A600" s="345"/>
      <c r="B600" s="533" t="s">
        <v>597</v>
      </c>
      <c r="C600" s="200">
        <v>1</v>
      </c>
      <c r="D600" s="200" t="s">
        <v>103</v>
      </c>
      <c r="E600" s="220">
        <v>75000</v>
      </c>
      <c r="F600" s="220">
        <v>75000</v>
      </c>
      <c r="G600" s="200" t="s">
        <v>342</v>
      </c>
      <c r="H600" s="200">
        <v>1</v>
      </c>
      <c r="I600" s="200" t="s">
        <v>544</v>
      </c>
      <c r="J600" s="536"/>
      <c r="K600" s="536"/>
      <c r="L600" s="200"/>
      <c r="M600" s="536"/>
      <c r="N600" s="536"/>
      <c r="O600" s="536"/>
      <c r="P600" s="200"/>
      <c r="Q600" s="536"/>
      <c r="R600" s="536"/>
      <c r="S600" s="536"/>
      <c r="T600" s="200"/>
      <c r="U600" s="536"/>
      <c r="V600" s="536"/>
      <c r="W600" s="536"/>
      <c r="X600" s="345" t="s">
        <v>3109</v>
      </c>
      <c r="Y600" s="345"/>
      <c r="Z600" s="345"/>
    </row>
    <row r="601" spans="1:26" ht="12.75">
      <c r="A601" s="345"/>
      <c r="B601" s="533" t="s">
        <v>482</v>
      </c>
      <c r="C601" s="200">
        <v>7</v>
      </c>
      <c r="D601" s="200" t="s">
        <v>103</v>
      </c>
      <c r="E601" s="220">
        <v>8500</v>
      </c>
      <c r="F601" s="220">
        <v>59500</v>
      </c>
      <c r="G601" s="200" t="s">
        <v>342</v>
      </c>
      <c r="H601" s="200">
        <v>4</v>
      </c>
      <c r="I601" s="200" t="s">
        <v>544</v>
      </c>
      <c r="J601" s="536"/>
      <c r="K601" s="536"/>
      <c r="L601" s="200"/>
      <c r="M601" s="536"/>
      <c r="N601" s="536"/>
      <c r="O601" s="536"/>
      <c r="P601" s="200">
        <v>3</v>
      </c>
      <c r="Q601" s="536" t="s">
        <v>544</v>
      </c>
      <c r="R601" s="536"/>
      <c r="S601" s="536"/>
      <c r="T601" s="200"/>
      <c r="U601" s="536"/>
      <c r="V601" s="536"/>
      <c r="W601" s="536"/>
      <c r="X601" s="345" t="s">
        <v>3109</v>
      </c>
      <c r="Y601" s="345"/>
      <c r="Z601" s="345"/>
    </row>
    <row r="602" spans="1:26" ht="12.75">
      <c r="A602" s="345"/>
      <c r="B602" s="533" t="s">
        <v>598</v>
      </c>
      <c r="C602" s="200">
        <v>20</v>
      </c>
      <c r="D602" s="200" t="s">
        <v>103</v>
      </c>
      <c r="E602" s="200">
        <v>350</v>
      </c>
      <c r="F602" s="220">
        <v>7000</v>
      </c>
      <c r="G602" s="200" t="s">
        <v>342</v>
      </c>
      <c r="H602" s="200">
        <v>5</v>
      </c>
      <c r="I602" s="200" t="s">
        <v>544</v>
      </c>
      <c r="J602" s="536"/>
      <c r="K602" s="536"/>
      <c r="L602" s="200">
        <v>5</v>
      </c>
      <c r="M602" s="536" t="s">
        <v>544</v>
      </c>
      <c r="N602" s="536"/>
      <c r="O602" s="536"/>
      <c r="P602" s="200">
        <v>5</v>
      </c>
      <c r="Q602" s="536" t="s">
        <v>544</v>
      </c>
      <c r="R602" s="536"/>
      <c r="S602" s="536"/>
      <c r="T602" s="200">
        <v>5</v>
      </c>
      <c r="U602" s="536" t="s">
        <v>544</v>
      </c>
      <c r="V602" s="536"/>
      <c r="W602" s="536"/>
      <c r="X602" s="345" t="s">
        <v>3109</v>
      </c>
      <c r="Y602" s="345"/>
      <c r="Z602" s="345"/>
    </row>
    <row r="603" spans="1:26" ht="12.75">
      <c r="A603" s="345"/>
      <c r="B603" s="533" t="s">
        <v>599</v>
      </c>
      <c r="C603" s="200">
        <v>10</v>
      </c>
      <c r="D603" s="200" t="s">
        <v>103</v>
      </c>
      <c r="E603" s="200">
        <v>500</v>
      </c>
      <c r="F603" s="220">
        <v>5000</v>
      </c>
      <c r="G603" s="200" t="s">
        <v>342</v>
      </c>
      <c r="H603" s="200">
        <v>5</v>
      </c>
      <c r="I603" s="200" t="s">
        <v>544</v>
      </c>
      <c r="J603" s="536"/>
      <c r="K603" s="536"/>
      <c r="L603" s="536"/>
      <c r="M603" s="536"/>
      <c r="N603" s="536"/>
      <c r="O603" s="536"/>
      <c r="P603" s="200">
        <v>5</v>
      </c>
      <c r="Q603" s="536" t="s">
        <v>544</v>
      </c>
      <c r="R603" s="536"/>
      <c r="S603" s="536"/>
      <c r="T603" s="200"/>
      <c r="U603" s="536"/>
      <c r="V603" s="536"/>
      <c r="W603" s="536"/>
      <c r="X603" s="345" t="s">
        <v>3109</v>
      </c>
      <c r="Y603" s="345"/>
      <c r="Z603" s="345"/>
    </row>
    <row r="604" spans="1:26" ht="12.75">
      <c r="A604" s="345"/>
      <c r="B604" s="533" t="s">
        <v>568</v>
      </c>
      <c r="C604" s="200">
        <v>4</v>
      </c>
      <c r="D604" s="200" t="s">
        <v>103</v>
      </c>
      <c r="E604" s="220">
        <v>3500</v>
      </c>
      <c r="F604" s="220">
        <v>14000</v>
      </c>
      <c r="G604" s="200" t="s">
        <v>342</v>
      </c>
      <c r="H604" s="200">
        <v>2</v>
      </c>
      <c r="I604" s="200" t="s">
        <v>544</v>
      </c>
      <c r="J604" s="536"/>
      <c r="K604" s="536"/>
      <c r="L604" s="536"/>
      <c r="M604" s="536"/>
      <c r="N604" s="536"/>
      <c r="O604" s="536"/>
      <c r="P604" s="200">
        <v>2</v>
      </c>
      <c r="Q604" s="536" t="s">
        <v>544</v>
      </c>
      <c r="R604" s="536"/>
      <c r="S604" s="536"/>
      <c r="T604" s="536"/>
      <c r="U604" s="536"/>
      <c r="V604" s="536"/>
      <c r="W604" s="536"/>
      <c r="X604" s="345" t="s">
        <v>3109</v>
      </c>
      <c r="Y604" s="345"/>
      <c r="Z604" s="345"/>
    </row>
    <row r="605" spans="1:26" ht="12.75">
      <c r="A605" s="345"/>
      <c r="B605" s="780" t="s">
        <v>3117</v>
      </c>
      <c r="C605" s="547">
        <v>1</v>
      </c>
      <c r="D605" s="547" t="s">
        <v>103</v>
      </c>
      <c r="E605" s="600">
        <v>3000</v>
      </c>
      <c r="F605" s="524">
        <v>3000</v>
      </c>
      <c r="G605" s="547" t="s">
        <v>342</v>
      </c>
      <c r="H605" s="781">
        <v>1</v>
      </c>
      <c r="I605" s="521">
        <v>1</v>
      </c>
      <c r="J605" s="521">
        <v>0</v>
      </c>
      <c r="K605" s="521">
        <v>0</v>
      </c>
      <c r="L605" s="781">
        <v>0</v>
      </c>
      <c r="M605" s="521">
        <v>0</v>
      </c>
      <c r="N605" s="521">
        <v>0</v>
      </c>
      <c r="O605" s="521">
        <v>0</v>
      </c>
      <c r="P605" s="781">
        <v>0</v>
      </c>
      <c r="Q605" s="521">
        <v>0</v>
      </c>
      <c r="R605" s="521">
        <v>0</v>
      </c>
      <c r="S605" s="521">
        <v>0</v>
      </c>
      <c r="T605" s="781">
        <v>0</v>
      </c>
      <c r="U605" s="521">
        <v>0</v>
      </c>
      <c r="V605" s="521">
        <v>0</v>
      </c>
      <c r="W605" s="521">
        <v>0</v>
      </c>
      <c r="X605" s="345" t="s">
        <v>203</v>
      </c>
      <c r="Y605" s="345"/>
      <c r="Z605" s="345"/>
    </row>
    <row r="606" spans="1:26" ht="12.75">
      <c r="A606" s="345"/>
      <c r="B606" s="594" t="s">
        <v>3118</v>
      </c>
      <c r="C606" s="543">
        <v>1</v>
      </c>
      <c r="D606" s="543" t="s">
        <v>466</v>
      </c>
      <c r="E606" s="524">
        <v>3000</v>
      </c>
      <c r="F606" s="524">
        <v>3000</v>
      </c>
      <c r="G606" s="543" t="s">
        <v>342</v>
      </c>
      <c r="H606" s="782">
        <v>1</v>
      </c>
      <c r="I606" s="526">
        <v>1</v>
      </c>
      <c r="J606" s="526">
        <v>0</v>
      </c>
      <c r="K606" s="526">
        <v>0</v>
      </c>
      <c r="L606" s="782">
        <v>0</v>
      </c>
      <c r="M606" s="526">
        <v>0</v>
      </c>
      <c r="N606" s="526">
        <v>0</v>
      </c>
      <c r="O606" s="526">
        <v>0</v>
      </c>
      <c r="P606" s="782">
        <v>0</v>
      </c>
      <c r="Q606" s="526">
        <v>0</v>
      </c>
      <c r="R606" s="526">
        <v>0</v>
      </c>
      <c r="S606" s="526">
        <v>0</v>
      </c>
      <c r="T606" s="782">
        <v>0</v>
      </c>
      <c r="U606" s="526">
        <v>0</v>
      </c>
      <c r="V606" s="526">
        <v>0</v>
      </c>
      <c r="W606" s="526">
        <v>0</v>
      </c>
      <c r="X606" s="345" t="s">
        <v>203</v>
      </c>
      <c r="Y606" s="345"/>
      <c r="Z606" s="345"/>
    </row>
    <row r="607" spans="1:26" ht="12.75">
      <c r="A607" s="345"/>
      <c r="B607" s="594" t="s">
        <v>849</v>
      </c>
      <c r="C607" s="543">
        <v>1</v>
      </c>
      <c r="D607" s="543" t="s">
        <v>466</v>
      </c>
      <c r="E607" s="524">
        <v>45000</v>
      </c>
      <c r="F607" s="524">
        <v>45000</v>
      </c>
      <c r="G607" s="543" t="s">
        <v>342</v>
      </c>
      <c r="H607" s="782">
        <v>1</v>
      </c>
      <c r="I607" s="526">
        <v>1</v>
      </c>
      <c r="J607" s="526">
        <v>0</v>
      </c>
      <c r="K607" s="526">
        <v>0</v>
      </c>
      <c r="L607" s="782">
        <v>0</v>
      </c>
      <c r="M607" s="526">
        <v>0</v>
      </c>
      <c r="N607" s="526">
        <v>0</v>
      </c>
      <c r="O607" s="526">
        <v>0</v>
      </c>
      <c r="P607" s="782">
        <v>0</v>
      </c>
      <c r="Q607" s="526">
        <v>0</v>
      </c>
      <c r="R607" s="526">
        <v>0</v>
      </c>
      <c r="S607" s="526">
        <v>0</v>
      </c>
      <c r="T607" s="782">
        <v>0</v>
      </c>
      <c r="U607" s="526">
        <v>0</v>
      </c>
      <c r="V607" s="526">
        <v>0</v>
      </c>
      <c r="W607" s="526">
        <v>0</v>
      </c>
      <c r="X607" s="345" t="s">
        <v>203</v>
      </c>
      <c r="Y607" s="345"/>
      <c r="Z607" s="345"/>
    </row>
    <row r="608" spans="1:26" ht="12.75">
      <c r="A608" s="345"/>
      <c r="B608" s="629" t="s">
        <v>882</v>
      </c>
      <c r="C608" s="540">
        <v>1</v>
      </c>
      <c r="D608" s="550" t="s">
        <v>466</v>
      </c>
      <c r="E608" s="606">
        <v>3000</v>
      </c>
      <c r="F608" s="524">
        <v>3000</v>
      </c>
      <c r="G608" s="543" t="s">
        <v>342</v>
      </c>
      <c r="H608" s="782">
        <v>1</v>
      </c>
      <c r="I608" s="526">
        <v>1</v>
      </c>
      <c r="J608" s="526">
        <v>0</v>
      </c>
      <c r="K608" s="526">
        <v>0</v>
      </c>
      <c r="L608" s="782">
        <v>0</v>
      </c>
      <c r="M608" s="526">
        <v>0</v>
      </c>
      <c r="N608" s="526">
        <v>0</v>
      </c>
      <c r="O608" s="526">
        <v>0</v>
      </c>
      <c r="P608" s="782">
        <v>0</v>
      </c>
      <c r="Q608" s="526">
        <v>0</v>
      </c>
      <c r="R608" s="526">
        <v>0</v>
      </c>
      <c r="S608" s="526">
        <v>0</v>
      </c>
      <c r="T608" s="782">
        <v>0</v>
      </c>
      <c r="U608" s="526">
        <v>0</v>
      </c>
      <c r="V608" s="526">
        <v>0</v>
      </c>
      <c r="W608" s="526">
        <v>0</v>
      </c>
      <c r="X608" s="345" t="s">
        <v>203</v>
      </c>
      <c r="Y608" s="345"/>
      <c r="Z608" s="345"/>
    </row>
    <row r="609" spans="1:26" ht="12.75">
      <c r="A609" s="345"/>
      <c r="B609" s="537" t="s">
        <v>653</v>
      </c>
      <c r="C609" s="521">
        <v>1</v>
      </c>
      <c r="D609" s="624" t="s">
        <v>92</v>
      </c>
      <c r="E609" s="783">
        <v>150000</v>
      </c>
      <c r="F609" s="600">
        <v>150000</v>
      </c>
      <c r="G609" s="521" t="s">
        <v>342</v>
      </c>
      <c r="H609" s="521">
        <v>1</v>
      </c>
      <c r="I609" s="521">
        <v>1</v>
      </c>
      <c r="J609" s="521">
        <v>0</v>
      </c>
      <c r="K609" s="521">
        <v>0</v>
      </c>
      <c r="L609" s="521">
        <v>0</v>
      </c>
      <c r="M609" s="521">
        <v>0</v>
      </c>
      <c r="N609" s="521">
        <v>0</v>
      </c>
      <c r="O609" s="521">
        <v>0</v>
      </c>
      <c r="P609" s="521">
        <v>0</v>
      </c>
      <c r="Q609" s="521">
        <v>0</v>
      </c>
      <c r="R609" s="521">
        <v>0</v>
      </c>
      <c r="S609" s="521">
        <v>0</v>
      </c>
      <c r="T609" s="521">
        <v>0</v>
      </c>
      <c r="U609" s="521">
        <v>0</v>
      </c>
      <c r="V609" s="521">
        <v>0</v>
      </c>
      <c r="W609" s="521">
        <v>0</v>
      </c>
      <c r="X609" s="345" t="s">
        <v>110</v>
      </c>
      <c r="Y609" s="345"/>
      <c r="Z609" s="345"/>
    </row>
    <row r="610" spans="1:26" ht="12.75">
      <c r="A610" s="345"/>
      <c r="B610" s="538" t="s">
        <v>654</v>
      </c>
      <c r="C610" s="526">
        <v>6</v>
      </c>
      <c r="D610" s="628" t="s">
        <v>92</v>
      </c>
      <c r="E610" s="784">
        <v>42390.400000000001</v>
      </c>
      <c r="F610" s="524">
        <v>254342.39999999999</v>
      </c>
      <c r="G610" s="526" t="s">
        <v>342</v>
      </c>
      <c r="H610" s="526">
        <v>6</v>
      </c>
      <c r="I610" s="526">
        <v>6</v>
      </c>
      <c r="J610" s="526">
        <v>0</v>
      </c>
      <c r="K610" s="526">
        <v>0</v>
      </c>
      <c r="L610" s="526">
        <v>0</v>
      </c>
      <c r="M610" s="526">
        <v>0</v>
      </c>
      <c r="N610" s="526">
        <v>0</v>
      </c>
      <c r="O610" s="526">
        <v>0</v>
      </c>
      <c r="P610" s="526">
        <v>0</v>
      </c>
      <c r="Q610" s="526">
        <v>0</v>
      </c>
      <c r="R610" s="526">
        <v>0</v>
      </c>
      <c r="S610" s="526">
        <v>0</v>
      </c>
      <c r="T610" s="526">
        <v>0</v>
      </c>
      <c r="U610" s="526">
        <v>0</v>
      </c>
      <c r="V610" s="526">
        <v>0</v>
      </c>
      <c r="W610" s="526">
        <v>0</v>
      </c>
      <c r="X610" s="345" t="s">
        <v>110</v>
      </c>
      <c r="Y610" s="345"/>
      <c r="Z610" s="345"/>
    </row>
    <row r="611" spans="1:26" ht="12.75">
      <c r="A611" s="345"/>
      <c r="B611" s="538" t="s">
        <v>655</v>
      </c>
      <c r="C611" s="526">
        <v>1</v>
      </c>
      <c r="D611" s="628" t="s">
        <v>92</v>
      </c>
      <c r="E611" s="784">
        <v>7339.16</v>
      </c>
      <c r="F611" s="524">
        <v>7339.16</v>
      </c>
      <c r="G611" s="526" t="s">
        <v>342</v>
      </c>
      <c r="H611" s="526">
        <v>1</v>
      </c>
      <c r="I611" s="526">
        <v>1</v>
      </c>
      <c r="J611" s="526">
        <v>0</v>
      </c>
      <c r="K611" s="526">
        <v>0</v>
      </c>
      <c r="L611" s="526">
        <v>0</v>
      </c>
      <c r="M611" s="526">
        <v>0</v>
      </c>
      <c r="N611" s="526">
        <v>0</v>
      </c>
      <c r="O611" s="526">
        <v>0</v>
      </c>
      <c r="P611" s="526">
        <v>0</v>
      </c>
      <c r="Q611" s="526">
        <v>0</v>
      </c>
      <c r="R611" s="526">
        <v>0</v>
      </c>
      <c r="S611" s="526">
        <v>0</v>
      </c>
      <c r="T611" s="526">
        <v>0</v>
      </c>
      <c r="U611" s="526">
        <v>0</v>
      </c>
      <c r="V611" s="526">
        <v>0</v>
      </c>
      <c r="W611" s="526">
        <v>0</v>
      </c>
      <c r="X611" s="345" t="s">
        <v>110</v>
      </c>
      <c r="Y611" s="345"/>
      <c r="Z611" s="345"/>
    </row>
    <row r="612" spans="1:26" ht="12.75">
      <c r="A612" s="345"/>
      <c r="B612" s="538" t="s">
        <v>656</v>
      </c>
      <c r="C612" s="526">
        <v>5</v>
      </c>
      <c r="D612" s="628" t="s">
        <v>657</v>
      </c>
      <c r="E612" s="785">
        <v>6947.2</v>
      </c>
      <c r="F612" s="524">
        <v>34736</v>
      </c>
      <c r="G612" s="526" t="s">
        <v>342</v>
      </c>
      <c r="H612" s="526">
        <v>5</v>
      </c>
      <c r="I612" s="526">
        <v>5</v>
      </c>
      <c r="J612" s="526">
        <v>0</v>
      </c>
      <c r="K612" s="526">
        <v>0</v>
      </c>
      <c r="L612" s="526">
        <v>0</v>
      </c>
      <c r="M612" s="526">
        <v>0</v>
      </c>
      <c r="N612" s="526">
        <v>0</v>
      </c>
      <c r="O612" s="526">
        <v>0</v>
      </c>
      <c r="P612" s="526">
        <v>0</v>
      </c>
      <c r="Q612" s="526">
        <v>0</v>
      </c>
      <c r="R612" s="526">
        <v>0</v>
      </c>
      <c r="S612" s="526">
        <v>0</v>
      </c>
      <c r="T612" s="526">
        <v>0</v>
      </c>
      <c r="U612" s="526">
        <v>0</v>
      </c>
      <c r="V612" s="526">
        <v>0</v>
      </c>
      <c r="W612" s="526">
        <v>0</v>
      </c>
      <c r="X612" s="345" t="s">
        <v>110</v>
      </c>
      <c r="Y612" s="345"/>
      <c r="Z612" s="345"/>
    </row>
    <row r="613" spans="1:26" ht="12.75">
      <c r="A613" s="345"/>
      <c r="B613" s="538" t="s">
        <v>731</v>
      </c>
      <c r="C613" s="526">
        <v>2</v>
      </c>
      <c r="D613" s="628" t="s">
        <v>92</v>
      </c>
      <c r="E613" s="784">
        <v>2792.4</v>
      </c>
      <c r="F613" s="524">
        <v>5584.8</v>
      </c>
      <c r="G613" s="526" t="s">
        <v>342</v>
      </c>
      <c r="H613" s="526">
        <v>2</v>
      </c>
      <c r="I613" s="526">
        <v>2</v>
      </c>
      <c r="J613" s="526">
        <v>0</v>
      </c>
      <c r="K613" s="526">
        <v>0</v>
      </c>
      <c r="L613" s="526">
        <v>0</v>
      </c>
      <c r="M613" s="526">
        <v>0</v>
      </c>
      <c r="N613" s="526">
        <v>0</v>
      </c>
      <c r="O613" s="526">
        <v>0</v>
      </c>
      <c r="P613" s="526">
        <v>0</v>
      </c>
      <c r="Q613" s="526">
        <v>0</v>
      </c>
      <c r="R613" s="526">
        <v>0</v>
      </c>
      <c r="S613" s="526">
        <v>0</v>
      </c>
      <c r="T613" s="526">
        <v>0</v>
      </c>
      <c r="U613" s="526">
        <v>0</v>
      </c>
      <c r="V613" s="526">
        <v>0</v>
      </c>
      <c r="W613" s="526">
        <v>0</v>
      </c>
      <c r="X613" s="345" t="s">
        <v>110</v>
      </c>
      <c r="Y613" s="345"/>
      <c r="Z613" s="345"/>
    </row>
    <row r="614" spans="1:26" ht="12.75">
      <c r="A614" s="345"/>
      <c r="B614" s="538" t="s">
        <v>658</v>
      </c>
      <c r="C614" s="526">
        <v>60</v>
      </c>
      <c r="D614" s="628" t="s">
        <v>601</v>
      </c>
      <c r="E614" s="785">
        <v>166.4</v>
      </c>
      <c r="F614" s="524">
        <v>9984</v>
      </c>
      <c r="G614" s="526" t="s">
        <v>342</v>
      </c>
      <c r="H614" s="526">
        <v>15</v>
      </c>
      <c r="I614" s="526">
        <v>15</v>
      </c>
      <c r="J614" s="526">
        <v>0</v>
      </c>
      <c r="K614" s="526">
        <v>0</v>
      </c>
      <c r="L614" s="526">
        <v>15</v>
      </c>
      <c r="M614" s="526">
        <v>15</v>
      </c>
      <c r="N614" s="526">
        <v>0</v>
      </c>
      <c r="O614" s="526">
        <v>0</v>
      </c>
      <c r="P614" s="526">
        <v>15</v>
      </c>
      <c r="Q614" s="526">
        <v>15</v>
      </c>
      <c r="R614" s="526">
        <v>0</v>
      </c>
      <c r="S614" s="526">
        <v>0</v>
      </c>
      <c r="T614" s="526">
        <v>15</v>
      </c>
      <c r="U614" s="526">
        <v>15</v>
      </c>
      <c r="V614" s="526">
        <v>0</v>
      </c>
      <c r="W614" s="526">
        <v>0</v>
      </c>
      <c r="X614" s="345" t="s">
        <v>110</v>
      </c>
      <c r="Y614" s="345"/>
      <c r="Z614" s="345"/>
    </row>
    <row r="615" spans="1:26" ht="12.75">
      <c r="A615" s="345"/>
      <c r="B615" s="538" t="s">
        <v>659</v>
      </c>
      <c r="C615" s="526">
        <v>36</v>
      </c>
      <c r="D615" s="628" t="s">
        <v>657</v>
      </c>
      <c r="E615" s="785">
        <v>249.6</v>
      </c>
      <c r="F615" s="524">
        <v>8985.6</v>
      </c>
      <c r="G615" s="526" t="s">
        <v>342</v>
      </c>
      <c r="H615" s="526">
        <v>9</v>
      </c>
      <c r="I615" s="526">
        <v>3</v>
      </c>
      <c r="J615" s="526">
        <v>3</v>
      </c>
      <c r="K615" s="526">
        <v>3</v>
      </c>
      <c r="L615" s="526">
        <v>9</v>
      </c>
      <c r="M615" s="526">
        <v>3</v>
      </c>
      <c r="N615" s="526">
        <v>3</v>
      </c>
      <c r="O615" s="526">
        <v>3</v>
      </c>
      <c r="P615" s="526">
        <v>9</v>
      </c>
      <c r="Q615" s="526">
        <v>3</v>
      </c>
      <c r="R615" s="526">
        <v>3</v>
      </c>
      <c r="S615" s="526">
        <v>3</v>
      </c>
      <c r="T615" s="526">
        <v>9</v>
      </c>
      <c r="U615" s="526">
        <v>3</v>
      </c>
      <c r="V615" s="526">
        <v>3</v>
      </c>
      <c r="W615" s="526">
        <v>3</v>
      </c>
      <c r="X615" s="345" t="s">
        <v>110</v>
      </c>
      <c r="Y615" s="345"/>
      <c r="Z615" s="345"/>
    </row>
    <row r="616" spans="1:26" ht="12.75">
      <c r="A616" s="345"/>
      <c r="B616" s="538" t="s">
        <v>660</v>
      </c>
      <c r="C616" s="526">
        <v>36</v>
      </c>
      <c r="D616" s="628" t="s">
        <v>657</v>
      </c>
      <c r="E616" s="785">
        <v>249.6</v>
      </c>
      <c r="F616" s="524">
        <v>8985.6</v>
      </c>
      <c r="G616" s="526" t="s">
        <v>342</v>
      </c>
      <c r="H616" s="526">
        <v>9</v>
      </c>
      <c r="I616" s="526">
        <v>3</v>
      </c>
      <c r="J616" s="526">
        <v>3</v>
      </c>
      <c r="K616" s="526">
        <v>3</v>
      </c>
      <c r="L616" s="526">
        <v>9</v>
      </c>
      <c r="M616" s="526">
        <v>3</v>
      </c>
      <c r="N616" s="526">
        <v>3</v>
      </c>
      <c r="O616" s="526">
        <v>3</v>
      </c>
      <c r="P616" s="526">
        <v>9</v>
      </c>
      <c r="Q616" s="526">
        <v>3</v>
      </c>
      <c r="R616" s="526">
        <v>3</v>
      </c>
      <c r="S616" s="526">
        <v>3</v>
      </c>
      <c r="T616" s="526">
        <v>9</v>
      </c>
      <c r="U616" s="526">
        <v>3</v>
      </c>
      <c r="V616" s="526">
        <v>3</v>
      </c>
      <c r="W616" s="526">
        <v>3</v>
      </c>
      <c r="X616" s="345" t="s">
        <v>110</v>
      </c>
      <c r="Y616" s="345"/>
      <c r="Z616" s="345"/>
    </row>
    <row r="617" spans="1:26" ht="12.75">
      <c r="A617" s="345"/>
      <c r="B617" s="538" t="s">
        <v>661</v>
      </c>
      <c r="C617" s="526">
        <v>36</v>
      </c>
      <c r="D617" s="628" t="s">
        <v>657</v>
      </c>
      <c r="E617" s="785">
        <v>249.6</v>
      </c>
      <c r="F617" s="524">
        <v>8985.6</v>
      </c>
      <c r="G617" s="526" t="s">
        <v>342</v>
      </c>
      <c r="H617" s="526">
        <v>9</v>
      </c>
      <c r="I617" s="526">
        <v>3</v>
      </c>
      <c r="J617" s="526">
        <v>3</v>
      </c>
      <c r="K617" s="526">
        <v>3</v>
      </c>
      <c r="L617" s="526">
        <v>9</v>
      </c>
      <c r="M617" s="526">
        <v>3</v>
      </c>
      <c r="N617" s="526">
        <v>3</v>
      </c>
      <c r="O617" s="526">
        <v>3</v>
      </c>
      <c r="P617" s="526">
        <v>9</v>
      </c>
      <c r="Q617" s="526">
        <v>3</v>
      </c>
      <c r="R617" s="526">
        <v>3</v>
      </c>
      <c r="S617" s="526">
        <v>3</v>
      </c>
      <c r="T617" s="526">
        <v>9</v>
      </c>
      <c r="U617" s="526">
        <v>3</v>
      </c>
      <c r="V617" s="526">
        <v>3</v>
      </c>
      <c r="W617" s="526">
        <v>3</v>
      </c>
      <c r="X617" s="345" t="s">
        <v>110</v>
      </c>
      <c r="Y617" s="345"/>
      <c r="Z617" s="345"/>
    </row>
    <row r="618" spans="1:26" ht="12.75">
      <c r="A618" s="345"/>
      <c r="B618" s="538" t="s">
        <v>662</v>
      </c>
      <c r="C618" s="526">
        <v>36</v>
      </c>
      <c r="D618" s="628" t="s">
        <v>657</v>
      </c>
      <c r="E618" s="785">
        <v>249.6</v>
      </c>
      <c r="F618" s="524">
        <v>8985.6</v>
      </c>
      <c r="G618" s="526" t="s">
        <v>342</v>
      </c>
      <c r="H618" s="526">
        <v>9</v>
      </c>
      <c r="I618" s="526">
        <v>3</v>
      </c>
      <c r="J618" s="526">
        <v>3</v>
      </c>
      <c r="K618" s="526">
        <v>3</v>
      </c>
      <c r="L618" s="526">
        <v>9</v>
      </c>
      <c r="M618" s="526">
        <v>3</v>
      </c>
      <c r="N618" s="526">
        <v>3</v>
      </c>
      <c r="O618" s="526">
        <v>3</v>
      </c>
      <c r="P618" s="526">
        <v>9</v>
      </c>
      <c r="Q618" s="526">
        <v>3</v>
      </c>
      <c r="R618" s="526">
        <v>3</v>
      </c>
      <c r="S618" s="526">
        <v>3</v>
      </c>
      <c r="T618" s="526">
        <v>9</v>
      </c>
      <c r="U618" s="526">
        <v>3</v>
      </c>
      <c r="V618" s="526">
        <v>3</v>
      </c>
      <c r="W618" s="526">
        <v>3</v>
      </c>
      <c r="X618" s="345" t="s">
        <v>110</v>
      </c>
      <c r="Y618" s="345"/>
      <c r="Z618" s="345"/>
    </row>
    <row r="619" spans="1:26" ht="12.75">
      <c r="A619" s="345"/>
      <c r="B619" s="538" t="s">
        <v>663</v>
      </c>
      <c r="C619" s="526">
        <v>36</v>
      </c>
      <c r="D619" s="628" t="s">
        <v>486</v>
      </c>
      <c r="E619" s="785">
        <v>300</v>
      </c>
      <c r="F619" s="524">
        <v>10800</v>
      </c>
      <c r="G619" s="526" t="s">
        <v>342</v>
      </c>
      <c r="H619" s="526">
        <v>9</v>
      </c>
      <c r="I619" s="526">
        <v>3</v>
      </c>
      <c r="J619" s="526">
        <v>3</v>
      </c>
      <c r="K619" s="526">
        <v>3</v>
      </c>
      <c r="L619" s="526">
        <v>9</v>
      </c>
      <c r="M619" s="526">
        <v>3</v>
      </c>
      <c r="N619" s="526">
        <v>3</v>
      </c>
      <c r="O619" s="526">
        <v>3</v>
      </c>
      <c r="P619" s="526">
        <v>9</v>
      </c>
      <c r="Q619" s="526">
        <v>3</v>
      </c>
      <c r="R619" s="526">
        <v>3</v>
      </c>
      <c r="S619" s="526">
        <v>3</v>
      </c>
      <c r="T619" s="526">
        <v>9</v>
      </c>
      <c r="U619" s="526">
        <v>3</v>
      </c>
      <c r="V619" s="526">
        <v>3</v>
      </c>
      <c r="W619" s="526">
        <v>3</v>
      </c>
      <c r="X619" s="345" t="s">
        <v>110</v>
      </c>
      <c r="Y619" s="345"/>
      <c r="Z619" s="345"/>
    </row>
    <row r="620" spans="1:26" ht="12.75">
      <c r="A620" s="345"/>
      <c r="B620" s="538" t="s">
        <v>664</v>
      </c>
      <c r="C620" s="526">
        <v>36</v>
      </c>
      <c r="D620" s="628" t="s">
        <v>486</v>
      </c>
      <c r="E620" s="785">
        <v>300</v>
      </c>
      <c r="F620" s="524">
        <v>10800</v>
      </c>
      <c r="G620" s="526" t="s">
        <v>342</v>
      </c>
      <c r="H620" s="526">
        <v>9</v>
      </c>
      <c r="I620" s="526">
        <v>3</v>
      </c>
      <c r="J620" s="526">
        <v>3</v>
      </c>
      <c r="K620" s="526">
        <v>3</v>
      </c>
      <c r="L620" s="526">
        <v>9</v>
      </c>
      <c r="M620" s="526">
        <v>3</v>
      </c>
      <c r="N620" s="526">
        <v>3</v>
      </c>
      <c r="O620" s="526">
        <v>3</v>
      </c>
      <c r="P620" s="526">
        <v>9</v>
      </c>
      <c r="Q620" s="526">
        <v>3</v>
      </c>
      <c r="R620" s="526">
        <v>3</v>
      </c>
      <c r="S620" s="526">
        <v>3</v>
      </c>
      <c r="T620" s="526">
        <v>9</v>
      </c>
      <c r="U620" s="526">
        <v>3</v>
      </c>
      <c r="V620" s="526">
        <v>3</v>
      </c>
      <c r="W620" s="526">
        <v>3</v>
      </c>
      <c r="X620" s="345" t="s">
        <v>110</v>
      </c>
      <c r="Y620" s="345"/>
      <c r="Z620" s="345"/>
    </row>
    <row r="621" spans="1:26" ht="12.75">
      <c r="A621" s="345"/>
      <c r="B621" s="538" t="s">
        <v>665</v>
      </c>
      <c r="C621" s="526">
        <v>36</v>
      </c>
      <c r="D621" s="628" t="s">
        <v>486</v>
      </c>
      <c r="E621" s="785">
        <v>300</v>
      </c>
      <c r="F621" s="524">
        <v>10800</v>
      </c>
      <c r="G621" s="526" t="s">
        <v>342</v>
      </c>
      <c r="H621" s="526">
        <v>9</v>
      </c>
      <c r="I621" s="526">
        <v>3</v>
      </c>
      <c r="J621" s="526">
        <v>3</v>
      </c>
      <c r="K621" s="526">
        <v>3</v>
      </c>
      <c r="L621" s="526">
        <v>9</v>
      </c>
      <c r="M621" s="526">
        <v>3</v>
      </c>
      <c r="N621" s="526">
        <v>3</v>
      </c>
      <c r="O621" s="526">
        <v>3</v>
      </c>
      <c r="P621" s="526">
        <v>9</v>
      </c>
      <c r="Q621" s="526">
        <v>3</v>
      </c>
      <c r="R621" s="526">
        <v>3</v>
      </c>
      <c r="S621" s="526">
        <v>3</v>
      </c>
      <c r="T621" s="526">
        <v>9</v>
      </c>
      <c r="U621" s="526">
        <v>3</v>
      </c>
      <c r="V621" s="526">
        <v>3</v>
      </c>
      <c r="W621" s="526">
        <v>3</v>
      </c>
      <c r="X621" s="345" t="s">
        <v>110</v>
      </c>
      <c r="Y621" s="345"/>
      <c r="Z621" s="345"/>
    </row>
    <row r="622" spans="1:26" ht="12.75">
      <c r="A622" s="345"/>
      <c r="B622" s="538" t="s">
        <v>666</v>
      </c>
      <c r="C622" s="526">
        <v>36</v>
      </c>
      <c r="D622" s="628" t="s">
        <v>486</v>
      </c>
      <c r="E622" s="785">
        <v>300</v>
      </c>
      <c r="F622" s="524">
        <v>10800</v>
      </c>
      <c r="G622" s="526" t="s">
        <v>342</v>
      </c>
      <c r="H622" s="526">
        <v>9</v>
      </c>
      <c r="I622" s="526">
        <v>3</v>
      </c>
      <c r="J622" s="526">
        <v>3</v>
      </c>
      <c r="K622" s="526">
        <v>3</v>
      </c>
      <c r="L622" s="526">
        <v>9</v>
      </c>
      <c r="M622" s="526">
        <v>3</v>
      </c>
      <c r="N622" s="526">
        <v>3</v>
      </c>
      <c r="O622" s="526">
        <v>3</v>
      </c>
      <c r="P622" s="526">
        <v>9</v>
      </c>
      <c r="Q622" s="526">
        <v>3</v>
      </c>
      <c r="R622" s="526">
        <v>3</v>
      </c>
      <c r="S622" s="526">
        <v>3</v>
      </c>
      <c r="T622" s="526">
        <v>9</v>
      </c>
      <c r="U622" s="526">
        <v>3</v>
      </c>
      <c r="V622" s="526">
        <v>3</v>
      </c>
      <c r="W622" s="526">
        <v>3</v>
      </c>
      <c r="X622" s="345" t="s">
        <v>110</v>
      </c>
      <c r="Y622" s="345"/>
      <c r="Z622" s="345"/>
    </row>
    <row r="623" spans="1:26" ht="12.75">
      <c r="A623" s="345"/>
      <c r="B623" s="538" t="s">
        <v>667</v>
      </c>
      <c r="C623" s="526">
        <v>3</v>
      </c>
      <c r="D623" s="526" t="s">
        <v>103</v>
      </c>
      <c r="E623" s="529">
        <v>480</v>
      </c>
      <c r="F623" s="786">
        <v>1440</v>
      </c>
      <c r="G623" s="526" t="s">
        <v>342</v>
      </c>
      <c r="H623" s="526">
        <v>5</v>
      </c>
      <c r="I623" s="526">
        <v>5</v>
      </c>
      <c r="J623" s="526">
        <v>0</v>
      </c>
      <c r="K623" s="526">
        <v>0</v>
      </c>
      <c r="L623" s="526">
        <v>0</v>
      </c>
      <c r="M623" s="526">
        <v>0</v>
      </c>
      <c r="N623" s="526">
        <v>0</v>
      </c>
      <c r="O623" s="526">
        <v>0</v>
      </c>
      <c r="P623" s="526">
        <v>0</v>
      </c>
      <c r="Q623" s="526">
        <v>0</v>
      </c>
      <c r="R623" s="526">
        <v>0</v>
      </c>
      <c r="S623" s="526">
        <v>0</v>
      </c>
      <c r="T623" s="526">
        <v>0</v>
      </c>
      <c r="U623" s="526">
        <v>0</v>
      </c>
      <c r="V623" s="526">
        <v>0</v>
      </c>
      <c r="W623" s="526">
        <v>0</v>
      </c>
      <c r="X623" s="345" t="s">
        <v>110</v>
      </c>
      <c r="Y623" s="345"/>
      <c r="Z623" s="345"/>
    </row>
    <row r="624" spans="1:26" ht="12.75">
      <c r="A624" s="345"/>
      <c r="B624" s="538" t="s">
        <v>668</v>
      </c>
      <c r="C624" s="526">
        <v>1</v>
      </c>
      <c r="D624" s="628" t="s">
        <v>466</v>
      </c>
      <c r="E624" s="784">
        <v>46800</v>
      </c>
      <c r="F624" s="524">
        <v>46800</v>
      </c>
      <c r="G624" s="526" t="s">
        <v>342</v>
      </c>
      <c r="H624" s="526">
        <v>1</v>
      </c>
      <c r="I624" s="526">
        <v>1</v>
      </c>
      <c r="J624" s="526">
        <v>0</v>
      </c>
      <c r="K624" s="526">
        <v>0</v>
      </c>
      <c r="L624" s="526">
        <v>0</v>
      </c>
      <c r="M624" s="526">
        <v>0</v>
      </c>
      <c r="N624" s="526">
        <v>0</v>
      </c>
      <c r="O624" s="526">
        <v>0</v>
      </c>
      <c r="P624" s="526">
        <v>0</v>
      </c>
      <c r="Q624" s="526">
        <v>0</v>
      </c>
      <c r="R624" s="526">
        <v>0</v>
      </c>
      <c r="S624" s="526">
        <v>0</v>
      </c>
      <c r="T624" s="526">
        <v>0</v>
      </c>
      <c r="U624" s="526">
        <v>0</v>
      </c>
      <c r="V624" s="526">
        <v>0</v>
      </c>
      <c r="W624" s="526">
        <v>0</v>
      </c>
      <c r="X624" s="345" t="s">
        <v>110</v>
      </c>
      <c r="Y624" s="345"/>
      <c r="Z624" s="345"/>
    </row>
    <row r="625" spans="1:26" ht="12.75">
      <c r="A625" s="345"/>
      <c r="B625" s="538" t="s">
        <v>669</v>
      </c>
      <c r="C625" s="526">
        <v>2</v>
      </c>
      <c r="D625" s="628" t="s">
        <v>466</v>
      </c>
      <c r="E625" s="784">
        <v>42380</v>
      </c>
      <c r="F625" s="524">
        <v>84760</v>
      </c>
      <c r="G625" s="526" t="s">
        <v>342</v>
      </c>
      <c r="H625" s="526">
        <v>2</v>
      </c>
      <c r="I625" s="526">
        <v>2</v>
      </c>
      <c r="J625" s="526">
        <v>0</v>
      </c>
      <c r="K625" s="526">
        <v>0</v>
      </c>
      <c r="L625" s="526">
        <v>0</v>
      </c>
      <c r="M625" s="526">
        <v>0</v>
      </c>
      <c r="N625" s="526">
        <v>0</v>
      </c>
      <c r="O625" s="526">
        <v>0</v>
      </c>
      <c r="P625" s="526">
        <v>0</v>
      </c>
      <c r="Q625" s="526">
        <v>0</v>
      </c>
      <c r="R625" s="526">
        <v>0</v>
      </c>
      <c r="S625" s="526">
        <v>0</v>
      </c>
      <c r="T625" s="526">
        <v>0</v>
      </c>
      <c r="U625" s="526">
        <v>0</v>
      </c>
      <c r="V625" s="526">
        <v>0</v>
      </c>
      <c r="W625" s="526">
        <v>0</v>
      </c>
      <c r="X625" s="345" t="s">
        <v>110</v>
      </c>
      <c r="Y625" s="345"/>
      <c r="Z625" s="345"/>
    </row>
    <row r="626" spans="1:26" ht="12.75">
      <c r="A626" s="345"/>
      <c r="B626" s="538" t="s">
        <v>3119</v>
      </c>
      <c r="C626" s="526">
        <v>5</v>
      </c>
      <c r="D626" s="628" t="s">
        <v>657</v>
      </c>
      <c r="E626" s="785">
        <v>6947.2</v>
      </c>
      <c r="F626" s="524">
        <v>34736</v>
      </c>
      <c r="G626" s="526" t="s">
        <v>342</v>
      </c>
      <c r="H626" s="526">
        <v>5</v>
      </c>
      <c r="I626" s="526">
        <v>5</v>
      </c>
      <c r="J626" s="526">
        <v>0</v>
      </c>
      <c r="K626" s="526">
        <v>0</v>
      </c>
      <c r="L626" s="526">
        <v>0</v>
      </c>
      <c r="M626" s="526">
        <v>0</v>
      </c>
      <c r="N626" s="526">
        <v>0</v>
      </c>
      <c r="O626" s="526">
        <v>0</v>
      </c>
      <c r="P626" s="526">
        <v>0</v>
      </c>
      <c r="Q626" s="526">
        <v>0</v>
      </c>
      <c r="R626" s="526">
        <v>0</v>
      </c>
      <c r="S626" s="526">
        <v>0</v>
      </c>
      <c r="T626" s="526">
        <v>0</v>
      </c>
      <c r="U626" s="526">
        <v>0</v>
      </c>
      <c r="V626" s="526">
        <v>0</v>
      </c>
      <c r="W626" s="526">
        <v>0</v>
      </c>
      <c r="X626" s="345" t="s">
        <v>110</v>
      </c>
      <c r="Y626" s="345"/>
      <c r="Z626" s="345"/>
    </row>
    <row r="627" spans="1:26" ht="12.75">
      <c r="A627" s="345"/>
      <c r="B627" s="538" t="s">
        <v>671</v>
      </c>
      <c r="C627" s="526">
        <v>10</v>
      </c>
      <c r="D627" s="628" t="s">
        <v>92</v>
      </c>
      <c r="E627" s="785">
        <v>149.76</v>
      </c>
      <c r="F627" s="524">
        <v>1497.6</v>
      </c>
      <c r="G627" s="526" t="s">
        <v>342</v>
      </c>
      <c r="H627" s="526">
        <v>10</v>
      </c>
      <c r="I627" s="526">
        <v>10</v>
      </c>
      <c r="J627" s="526">
        <v>0</v>
      </c>
      <c r="K627" s="526">
        <v>0</v>
      </c>
      <c r="L627" s="526">
        <v>0</v>
      </c>
      <c r="M627" s="526">
        <v>0</v>
      </c>
      <c r="N627" s="526">
        <v>0</v>
      </c>
      <c r="O627" s="526">
        <v>0</v>
      </c>
      <c r="P627" s="526">
        <v>0</v>
      </c>
      <c r="Q627" s="526">
        <v>0</v>
      </c>
      <c r="R627" s="526">
        <v>0</v>
      </c>
      <c r="S627" s="526">
        <v>0</v>
      </c>
      <c r="T627" s="526">
        <v>0</v>
      </c>
      <c r="U627" s="526">
        <v>0</v>
      </c>
      <c r="V627" s="526">
        <v>0</v>
      </c>
      <c r="W627" s="526">
        <v>0</v>
      </c>
      <c r="X627" s="345" t="s">
        <v>110</v>
      </c>
      <c r="Y627" s="345"/>
      <c r="Z627" s="345"/>
    </row>
    <row r="628" spans="1:26" ht="12.75">
      <c r="A628" s="345"/>
      <c r="B628" s="538" t="s">
        <v>672</v>
      </c>
      <c r="C628" s="526">
        <v>5</v>
      </c>
      <c r="D628" s="526" t="s">
        <v>466</v>
      </c>
      <c r="E628" s="787">
        <v>10000</v>
      </c>
      <c r="F628" s="786">
        <v>30000</v>
      </c>
      <c r="G628" s="526" t="s">
        <v>342</v>
      </c>
      <c r="H628" s="526">
        <v>5</v>
      </c>
      <c r="I628" s="526">
        <v>5</v>
      </c>
      <c r="J628" s="526">
        <v>0</v>
      </c>
      <c r="K628" s="526">
        <v>0</v>
      </c>
      <c r="L628" s="526">
        <v>0</v>
      </c>
      <c r="M628" s="526">
        <v>0</v>
      </c>
      <c r="N628" s="526">
        <v>0</v>
      </c>
      <c r="O628" s="526">
        <v>0</v>
      </c>
      <c r="P628" s="526">
        <v>0</v>
      </c>
      <c r="Q628" s="526">
        <v>0</v>
      </c>
      <c r="R628" s="526">
        <v>0</v>
      </c>
      <c r="S628" s="526">
        <v>0</v>
      </c>
      <c r="T628" s="526">
        <v>0</v>
      </c>
      <c r="U628" s="526">
        <v>0</v>
      </c>
      <c r="V628" s="526">
        <v>0</v>
      </c>
      <c r="W628" s="526">
        <v>0</v>
      </c>
      <c r="X628" s="345" t="s">
        <v>110</v>
      </c>
      <c r="Y628" s="345"/>
      <c r="Z628" s="345"/>
    </row>
    <row r="629" spans="1:26" ht="12.75">
      <c r="A629" s="345"/>
      <c r="B629" s="716" t="s">
        <v>673</v>
      </c>
      <c r="C629" s="526">
        <v>8</v>
      </c>
      <c r="D629" s="628" t="s">
        <v>466</v>
      </c>
      <c r="E629" s="785">
        <v>12500</v>
      </c>
      <c r="F629" s="524">
        <v>100000</v>
      </c>
      <c r="G629" s="526" t="s">
        <v>342</v>
      </c>
      <c r="H629" s="526">
        <v>6</v>
      </c>
      <c r="I629" s="526">
        <v>6</v>
      </c>
      <c r="J629" s="526">
        <v>0</v>
      </c>
      <c r="K629" s="526">
        <v>0</v>
      </c>
      <c r="L629" s="526">
        <v>0</v>
      </c>
      <c r="M629" s="526">
        <v>0</v>
      </c>
      <c r="N629" s="526">
        <v>0</v>
      </c>
      <c r="O629" s="526">
        <v>0</v>
      </c>
      <c r="P629" s="526">
        <v>2</v>
      </c>
      <c r="Q629" s="526">
        <v>2</v>
      </c>
      <c r="R629" s="526">
        <v>0</v>
      </c>
      <c r="S629" s="526">
        <v>0</v>
      </c>
      <c r="T629" s="526">
        <v>0</v>
      </c>
      <c r="U629" s="526">
        <v>0</v>
      </c>
      <c r="V629" s="526">
        <v>0</v>
      </c>
      <c r="W629" s="526">
        <v>0</v>
      </c>
      <c r="X629" s="345" t="s">
        <v>110</v>
      </c>
      <c r="Y629" s="345"/>
      <c r="Z629" s="345"/>
    </row>
    <row r="630" spans="1:26" ht="12.75">
      <c r="A630" s="345"/>
      <c r="B630" s="538" t="s">
        <v>674</v>
      </c>
      <c r="C630" s="526">
        <v>20</v>
      </c>
      <c r="D630" s="526" t="s">
        <v>92</v>
      </c>
      <c r="E630" s="529">
        <v>2000</v>
      </c>
      <c r="F630" s="529">
        <v>40000</v>
      </c>
      <c r="G630" s="526" t="s">
        <v>342</v>
      </c>
      <c r="H630" s="526">
        <v>5</v>
      </c>
      <c r="I630" s="526">
        <v>5</v>
      </c>
      <c r="J630" s="526">
        <v>0</v>
      </c>
      <c r="K630" s="526">
        <v>0</v>
      </c>
      <c r="L630" s="526">
        <v>5</v>
      </c>
      <c r="M630" s="526">
        <v>5</v>
      </c>
      <c r="N630" s="526">
        <v>0</v>
      </c>
      <c r="O630" s="526">
        <v>0</v>
      </c>
      <c r="P630" s="526">
        <v>5</v>
      </c>
      <c r="Q630" s="526">
        <v>5</v>
      </c>
      <c r="R630" s="526">
        <v>0</v>
      </c>
      <c r="S630" s="526">
        <v>0</v>
      </c>
      <c r="T630" s="526">
        <v>5</v>
      </c>
      <c r="U630" s="526">
        <v>5</v>
      </c>
      <c r="V630" s="526">
        <v>0</v>
      </c>
      <c r="W630" s="526">
        <v>0</v>
      </c>
      <c r="X630" s="345" t="s">
        <v>110</v>
      </c>
      <c r="Y630" s="345"/>
      <c r="Z630" s="345"/>
    </row>
    <row r="631" spans="1:26" ht="12.75">
      <c r="A631" s="345"/>
      <c r="B631" s="716" t="s">
        <v>676</v>
      </c>
      <c r="C631" s="526">
        <v>5</v>
      </c>
      <c r="D631" s="628" t="s">
        <v>92</v>
      </c>
      <c r="E631" s="784">
        <v>3000</v>
      </c>
      <c r="F631" s="524">
        <v>15000</v>
      </c>
      <c r="G631" s="526" t="s">
        <v>342</v>
      </c>
      <c r="H631" s="526">
        <v>5</v>
      </c>
      <c r="I631" s="526">
        <v>5</v>
      </c>
      <c r="J631" s="526">
        <v>0</v>
      </c>
      <c r="K631" s="526">
        <v>0</v>
      </c>
      <c r="L631" s="526">
        <v>0</v>
      </c>
      <c r="M631" s="526">
        <v>0</v>
      </c>
      <c r="N631" s="526">
        <v>0</v>
      </c>
      <c r="O631" s="526">
        <v>0</v>
      </c>
      <c r="P631" s="526">
        <v>0</v>
      </c>
      <c r="Q631" s="526">
        <v>0</v>
      </c>
      <c r="R631" s="526">
        <v>0</v>
      </c>
      <c r="S631" s="526">
        <v>0</v>
      </c>
      <c r="T631" s="526">
        <v>0</v>
      </c>
      <c r="U631" s="526">
        <v>0</v>
      </c>
      <c r="V631" s="526">
        <v>0</v>
      </c>
      <c r="W631" s="526">
        <v>0</v>
      </c>
      <c r="X631" s="345" t="s">
        <v>110</v>
      </c>
      <c r="Y631" s="345"/>
      <c r="Z631" s="345"/>
    </row>
    <row r="632" spans="1:26" ht="12.75">
      <c r="A632" s="345"/>
      <c r="B632" s="531" t="s">
        <v>467</v>
      </c>
      <c r="C632" s="198">
        <v>6</v>
      </c>
      <c r="D632" s="198" t="s">
        <v>118</v>
      </c>
      <c r="E632" s="219">
        <v>40000</v>
      </c>
      <c r="F632" s="219">
        <v>240000</v>
      </c>
      <c r="G632" s="526"/>
      <c r="H632" s="198">
        <v>3</v>
      </c>
      <c r="I632" s="521" t="s">
        <v>533</v>
      </c>
      <c r="J632" s="521"/>
      <c r="K632" s="521"/>
      <c r="L632" s="198">
        <v>3</v>
      </c>
      <c r="M632" s="521" t="s">
        <v>533</v>
      </c>
      <c r="N632" s="521"/>
      <c r="O632" s="521"/>
      <c r="P632" s="779"/>
      <c r="Q632" s="521"/>
      <c r="R632" s="521"/>
      <c r="S632" s="521"/>
      <c r="T632" s="779"/>
      <c r="U632" s="521"/>
      <c r="V632" s="521"/>
      <c r="W632" s="521"/>
      <c r="X632" s="345" t="s">
        <v>174</v>
      </c>
      <c r="Y632" s="345"/>
      <c r="Z632" s="345"/>
    </row>
    <row r="633" spans="1:26" ht="12.75">
      <c r="A633" s="345"/>
      <c r="B633" s="533" t="s">
        <v>234</v>
      </c>
      <c r="C633" s="200">
        <v>6</v>
      </c>
      <c r="D633" s="200" t="s">
        <v>103</v>
      </c>
      <c r="E633" s="200">
        <v>380</v>
      </c>
      <c r="F633" s="220">
        <v>2280</v>
      </c>
      <c r="G633" s="526"/>
      <c r="H633" s="200">
        <v>3</v>
      </c>
      <c r="I633" s="526" t="s">
        <v>533</v>
      </c>
      <c r="J633" s="526"/>
      <c r="K633" s="526"/>
      <c r="L633" s="200"/>
      <c r="M633" s="526"/>
      <c r="N633" s="526"/>
      <c r="O633" s="526"/>
      <c r="P633" s="200">
        <v>3</v>
      </c>
      <c r="Q633" s="526" t="s">
        <v>533</v>
      </c>
      <c r="R633" s="526"/>
      <c r="S633" s="526"/>
      <c r="T633" s="536"/>
      <c r="U633" s="526"/>
      <c r="V633" s="526"/>
      <c r="W633" s="526"/>
      <c r="X633" s="345" t="s">
        <v>174</v>
      </c>
      <c r="Y633" s="345"/>
      <c r="Z633" s="345"/>
    </row>
    <row r="634" spans="1:26" ht="12.75">
      <c r="A634" s="345"/>
      <c r="B634" s="533" t="s">
        <v>239</v>
      </c>
      <c r="C634" s="200">
        <v>6</v>
      </c>
      <c r="D634" s="200" t="s">
        <v>103</v>
      </c>
      <c r="E634" s="200">
        <v>380</v>
      </c>
      <c r="F634" s="220">
        <v>2280</v>
      </c>
      <c r="G634" s="526"/>
      <c r="H634" s="200">
        <v>3</v>
      </c>
      <c r="I634" s="526" t="s">
        <v>533</v>
      </c>
      <c r="J634" s="526"/>
      <c r="K634" s="526"/>
      <c r="L634" s="200"/>
      <c r="M634" s="526"/>
      <c r="N634" s="526"/>
      <c r="O634" s="526"/>
      <c r="P634" s="200">
        <v>3</v>
      </c>
      <c r="Q634" s="526" t="s">
        <v>533</v>
      </c>
      <c r="R634" s="526"/>
      <c r="S634" s="526"/>
      <c r="T634" s="536"/>
      <c r="U634" s="526"/>
      <c r="V634" s="526"/>
      <c r="W634" s="526"/>
      <c r="X634" s="345" t="s">
        <v>174</v>
      </c>
      <c r="Y634" s="345"/>
      <c r="Z634" s="345"/>
    </row>
    <row r="635" spans="1:26" ht="12.75">
      <c r="A635" s="345"/>
      <c r="B635" s="533" t="s">
        <v>482</v>
      </c>
      <c r="C635" s="200">
        <v>6</v>
      </c>
      <c r="D635" s="200" t="s">
        <v>103</v>
      </c>
      <c r="E635" s="220">
        <v>8500</v>
      </c>
      <c r="F635" s="220">
        <v>51000</v>
      </c>
      <c r="G635" s="526"/>
      <c r="H635" s="200">
        <v>2</v>
      </c>
      <c r="I635" s="526" t="s">
        <v>533</v>
      </c>
      <c r="J635" s="526"/>
      <c r="K635" s="526"/>
      <c r="L635" s="200">
        <v>2</v>
      </c>
      <c r="M635" s="526" t="s">
        <v>533</v>
      </c>
      <c r="N635" s="526"/>
      <c r="O635" s="526"/>
      <c r="P635" s="200">
        <v>2</v>
      </c>
      <c r="Q635" s="526" t="s">
        <v>533</v>
      </c>
      <c r="R635" s="526"/>
      <c r="S635" s="526"/>
      <c r="T635" s="536"/>
      <c r="U635" s="526"/>
      <c r="V635" s="526"/>
      <c r="W635" s="526"/>
      <c r="X635" s="345" t="s">
        <v>174</v>
      </c>
      <c r="Y635" s="345"/>
      <c r="Z635" s="345"/>
    </row>
    <row r="636" spans="1:26" ht="12.75">
      <c r="A636" s="345"/>
      <c r="B636" s="533" t="s">
        <v>614</v>
      </c>
      <c r="C636" s="200">
        <v>4</v>
      </c>
      <c r="D636" s="200" t="s">
        <v>103</v>
      </c>
      <c r="E636" s="220">
        <v>6500</v>
      </c>
      <c r="F636" s="220">
        <v>26000</v>
      </c>
      <c r="G636" s="526"/>
      <c r="H636" s="200">
        <v>2</v>
      </c>
      <c r="I636" s="526" t="s">
        <v>533</v>
      </c>
      <c r="J636" s="526"/>
      <c r="K636" s="526"/>
      <c r="L636" s="200">
        <v>1</v>
      </c>
      <c r="M636" s="526" t="s">
        <v>533</v>
      </c>
      <c r="N636" s="526"/>
      <c r="O636" s="526"/>
      <c r="P636" s="200">
        <v>1</v>
      </c>
      <c r="Q636" s="526" t="s">
        <v>533</v>
      </c>
      <c r="R636" s="526"/>
      <c r="S636" s="526"/>
      <c r="T636" s="536"/>
      <c r="U636" s="526"/>
      <c r="V636" s="526"/>
      <c r="W636" s="526"/>
      <c r="X636" s="345" t="s">
        <v>174</v>
      </c>
      <c r="Y636" s="345"/>
      <c r="Z636" s="345"/>
    </row>
    <row r="637" spans="1:26" ht="12.75">
      <c r="A637" s="345"/>
      <c r="B637" s="533" t="s">
        <v>615</v>
      </c>
      <c r="C637" s="200">
        <v>1</v>
      </c>
      <c r="D637" s="200" t="s">
        <v>103</v>
      </c>
      <c r="E637" s="220">
        <v>20000</v>
      </c>
      <c r="F637" s="220">
        <v>20000</v>
      </c>
      <c r="G637" s="526"/>
      <c r="H637" s="200">
        <v>1</v>
      </c>
      <c r="I637" s="526" t="s">
        <v>533</v>
      </c>
      <c r="J637" s="526"/>
      <c r="K637" s="526"/>
      <c r="L637" s="200"/>
      <c r="M637" s="526"/>
      <c r="N637" s="526"/>
      <c r="O637" s="526"/>
      <c r="P637" s="200"/>
      <c r="Q637" s="526"/>
      <c r="R637" s="526"/>
      <c r="S637" s="526"/>
      <c r="T637" s="536"/>
      <c r="U637" s="526"/>
      <c r="V637" s="526"/>
      <c r="W637" s="526"/>
      <c r="X637" s="345" t="s">
        <v>174</v>
      </c>
      <c r="Y637" s="345"/>
      <c r="Z637" s="345"/>
    </row>
    <row r="638" spans="1:26" ht="12.75">
      <c r="A638" s="345"/>
      <c r="B638" s="533" t="s">
        <v>568</v>
      </c>
      <c r="C638" s="200">
        <v>4</v>
      </c>
      <c r="D638" s="200" t="s">
        <v>103</v>
      </c>
      <c r="E638" s="220">
        <v>3500</v>
      </c>
      <c r="F638" s="220">
        <v>14000</v>
      </c>
      <c r="G638" s="526"/>
      <c r="H638" s="200">
        <v>2</v>
      </c>
      <c r="I638" s="526" t="s">
        <v>533</v>
      </c>
      <c r="J638" s="526"/>
      <c r="K638" s="526"/>
      <c r="L638" s="200">
        <v>1</v>
      </c>
      <c r="M638" s="526" t="s">
        <v>533</v>
      </c>
      <c r="N638" s="526"/>
      <c r="O638" s="526"/>
      <c r="P638" s="200">
        <v>1</v>
      </c>
      <c r="Q638" s="526" t="s">
        <v>533</v>
      </c>
      <c r="R638" s="526"/>
      <c r="S638" s="526"/>
      <c r="T638" s="536"/>
      <c r="U638" s="526"/>
      <c r="V638" s="526"/>
      <c r="W638" s="526"/>
      <c r="X638" s="345" t="s">
        <v>174</v>
      </c>
      <c r="Y638" s="345"/>
      <c r="Z638" s="345"/>
    </row>
    <row r="639" spans="1:26" ht="12.75">
      <c r="A639" s="345"/>
      <c r="B639" s="533" t="s">
        <v>616</v>
      </c>
      <c r="C639" s="200">
        <v>2</v>
      </c>
      <c r="D639" s="200" t="s">
        <v>103</v>
      </c>
      <c r="E639" s="220">
        <v>70000</v>
      </c>
      <c r="F639" s="220">
        <v>140000</v>
      </c>
      <c r="G639" s="526"/>
      <c r="H639" s="200">
        <v>1</v>
      </c>
      <c r="I639" s="526" t="s">
        <v>533</v>
      </c>
      <c r="J639" s="526"/>
      <c r="K639" s="526"/>
      <c r="L639" s="200">
        <v>1</v>
      </c>
      <c r="M639" s="526" t="s">
        <v>533</v>
      </c>
      <c r="N639" s="526"/>
      <c r="O639" s="526"/>
      <c r="P639" s="200"/>
      <c r="Q639" s="526"/>
      <c r="R639" s="526"/>
      <c r="S639" s="526"/>
      <c r="T639" s="536"/>
      <c r="U639" s="526"/>
      <c r="V639" s="526"/>
      <c r="W639" s="526"/>
      <c r="X639" s="345" t="s">
        <v>174</v>
      </c>
      <c r="Y639" s="345"/>
      <c r="Z639" s="345"/>
    </row>
    <row r="640" spans="1:26" ht="12.75">
      <c r="A640" s="345"/>
      <c r="B640" s="345" t="s">
        <v>540</v>
      </c>
      <c r="C640" s="788">
        <v>1</v>
      </c>
      <c r="D640" s="777" t="s">
        <v>103</v>
      </c>
      <c r="E640" s="789">
        <v>2000</v>
      </c>
      <c r="F640" s="790">
        <v>2000</v>
      </c>
      <c r="G640" s="557" t="s">
        <v>342</v>
      </c>
      <c r="H640" s="789">
        <v>1</v>
      </c>
      <c r="I640" s="789">
        <v>1</v>
      </c>
      <c r="J640" s="789"/>
      <c r="K640" s="789"/>
      <c r="L640" s="789">
        <v>0</v>
      </c>
      <c r="M640" s="777"/>
      <c r="N640" s="789"/>
      <c r="O640" s="789"/>
      <c r="P640" s="789">
        <v>0</v>
      </c>
      <c r="Q640" s="777"/>
      <c r="R640" s="789"/>
      <c r="S640" s="789"/>
      <c r="T640" s="789">
        <v>0</v>
      </c>
      <c r="U640" s="777"/>
      <c r="V640" s="789"/>
      <c r="W640" s="789"/>
      <c r="X640" s="345" t="s">
        <v>132</v>
      </c>
      <c r="Y640" s="345"/>
      <c r="Z640" s="345"/>
    </row>
    <row r="641" spans="1:26" ht="12.75">
      <c r="A641" s="345"/>
      <c r="B641" s="345" t="s">
        <v>182</v>
      </c>
      <c r="C641" s="791">
        <v>1</v>
      </c>
      <c r="D641" s="777" t="s">
        <v>118</v>
      </c>
      <c r="E641" s="792">
        <v>70000</v>
      </c>
      <c r="F641" s="793">
        <v>70000</v>
      </c>
      <c r="G641" s="775" t="s">
        <v>342</v>
      </c>
      <c r="H641" s="789">
        <v>1</v>
      </c>
      <c r="I641" s="789">
        <v>1</v>
      </c>
      <c r="J641" s="794"/>
      <c r="K641" s="791"/>
      <c r="L641" s="789">
        <v>0</v>
      </c>
      <c r="M641" s="791"/>
      <c r="N641" s="777"/>
      <c r="O641" s="777"/>
      <c r="P641" s="795">
        <v>0</v>
      </c>
      <c r="Q641" s="794"/>
      <c r="R641" s="794"/>
      <c r="S641" s="791"/>
      <c r="T641" s="789">
        <v>0</v>
      </c>
      <c r="U641" s="777"/>
      <c r="V641" s="777"/>
      <c r="W641" s="791"/>
      <c r="X641" s="345" t="s">
        <v>132</v>
      </c>
      <c r="Y641" s="345"/>
      <c r="Z641" s="345"/>
    </row>
    <row r="642" spans="1:26" ht="12.75">
      <c r="A642" s="345"/>
      <c r="B642" s="345" t="s">
        <v>542</v>
      </c>
      <c r="C642" s="788">
        <v>1</v>
      </c>
      <c r="D642" s="794" t="s">
        <v>466</v>
      </c>
      <c r="E642" s="788"/>
      <c r="F642" s="789" t="s">
        <v>488</v>
      </c>
      <c r="G642" s="788" t="s">
        <v>342</v>
      </c>
      <c r="H642" s="789">
        <v>1</v>
      </c>
      <c r="I642" s="777">
        <v>1</v>
      </c>
      <c r="J642" s="789"/>
      <c r="K642" s="789"/>
      <c r="L642" s="789">
        <v>0</v>
      </c>
      <c r="M642" s="796"/>
      <c r="N642" s="796"/>
      <c r="O642" s="796"/>
      <c r="P642" s="797">
        <v>0</v>
      </c>
      <c r="Q642" s="798"/>
      <c r="R642" s="796"/>
      <c r="S642" s="796"/>
      <c r="T642" s="797">
        <v>0</v>
      </c>
      <c r="U642" s="798"/>
      <c r="V642" s="796"/>
      <c r="W642" s="796"/>
      <c r="X642" s="345" t="s">
        <v>132</v>
      </c>
      <c r="Y642" s="345"/>
      <c r="Z642" s="345"/>
    </row>
    <row r="643" spans="1:26" ht="12.75">
      <c r="A643" s="345"/>
      <c r="B643" s="345" t="s">
        <v>390</v>
      </c>
      <c r="C643" s="788">
        <v>1</v>
      </c>
      <c r="D643" s="777" t="s">
        <v>466</v>
      </c>
      <c r="E643" s="799">
        <v>10000</v>
      </c>
      <c r="F643" s="799">
        <v>10000</v>
      </c>
      <c r="G643" s="789" t="s">
        <v>342</v>
      </c>
      <c r="H643" s="795">
        <v>1</v>
      </c>
      <c r="I643" s="791">
        <v>1</v>
      </c>
      <c r="J643" s="789"/>
      <c r="K643" s="789"/>
      <c r="L643" s="789">
        <v>0</v>
      </c>
      <c r="M643" s="789"/>
      <c r="N643" s="789"/>
      <c r="O643" s="795"/>
      <c r="P643" s="788">
        <v>0</v>
      </c>
      <c r="Q643" s="800"/>
      <c r="R643" s="788"/>
      <c r="S643" s="789"/>
      <c r="T643" s="801">
        <v>0</v>
      </c>
      <c r="U643" s="798"/>
      <c r="V643" s="796"/>
      <c r="W643" s="796"/>
      <c r="X643" s="345" t="s">
        <v>132</v>
      </c>
      <c r="Y643" s="345"/>
      <c r="Z643" s="345"/>
    </row>
    <row r="644" spans="1:26" ht="12.75">
      <c r="B644" s="802" t="s">
        <v>482</v>
      </c>
      <c r="C644" s="803">
        <v>2</v>
      </c>
      <c r="D644" s="803" t="s">
        <v>103</v>
      </c>
      <c r="E644" s="804">
        <v>8500</v>
      </c>
      <c r="F644" s="804">
        <v>17000</v>
      </c>
      <c r="G644" s="805"/>
      <c r="H644" s="806">
        <v>2</v>
      </c>
      <c r="I644" s="806">
        <v>2</v>
      </c>
      <c r="J644" s="807"/>
      <c r="K644" s="807"/>
      <c r="L644" s="808"/>
      <c r="M644" s="807"/>
      <c r="N644" s="807"/>
      <c r="O644" s="807"/>
      <c r="P644" s="808"/>
      <c r="Q644" s="807"/>
      <c r="R644" s="807"/>
      <c r="S644" s="807"/>
      <c r="T644" s="808"/>
      <c r="U644" s="807"/>
      <c r="V644" s="809"/>
      <c r="W644" s="809"/>
      <c r="X644" s="1" t="s">
        <v>171</v>
      </c>
    </row>
    <row r="645" spans="1:26" ht="12.75">
      <c r="B645" s="810" t="s">
        <v>552</v>
      </c>
      <c r="C645" s="811">
        <v>12</v>
      </c>
      <c r="D645" s="811" t="s">
        <v>103</v>
      </c>
      <c r="E645" s="812">
        <v>7135</v>
      </c>
      <c r="F645" s="812">
        <v>85620</v>
      </c>
      <c r="G645" s="805"/>
      <c r="H645" s="813">
        <v>3</v>
      </c>
      <c r="I645" s="813">
        <v>3</v>
      </c>
      <c r="J645" s="814"/>
      <c r="K645" s="814"/>
      <c r="L645" s="813">
        <v>3</v>
      </c>
      <c r="M645" s="814">
        <v>3</v>
      </c>
      <c r="N645" s="814"/>
      <c r="O645" s="814"/>
      <c r="P645" s="813">
        <v>3</v>
      </c>
      <c r="Q645" s="814">
        <v>3</v>
      </c>
      <c r="R645" s="814"/>
      <c r="S645" s="814"/>
      <c r="T645" s="813">
        <v>3</v>
      </c>
      <c r="U645" s="814">
        <v>3</v>
      </c>
      <c r="V645" s="805"/>
      <c r="W645" s="805"/>
      <c r="X645" s="1" t="s">
        <v>171</v>
      </c>
    </row>
    <row r="646" spans="1:26" ht="12.75">
      <c r="B646" s="810" t="s">
        <v>3120</v>
      </c>
      <c r="C646" s="811">
        <v>1</v>
      </c>
      <c r="D646" s="811" t="s">
        <v>118</v>
      </c>
      <c r="E646" s="812">
        <v>30000</v>
      </c>
      <c r="F646" s="812">
        <v>30000</v>
      </c>
      <c r="G646" s="805"/>
      <c r="H646" s="813">
        <v>1</v>
      </c>
      <c r="I646" s="813">
        <v>1</v>
      </c>
      <c r="J646" s="814"/>
      <c r="K646" s="814"/>
      <c r="L646" s="815"/>
      <c r="M646" s="814"/>
      <c r="N646" s="814"/>
      <c r="O646" s="814"/>
      <c r="P646" s="815"/>
      <c r="Q646" s="814"/>
      <c r="R646" s="814"/>
      <c r="S646" s="814"/>
      <c r="T646" s="815"/>
      <c r="U646" s="814"/>
      <c r="V646" s="805"/>
      <c r="W646" s="805"/>
      <c r="X646" s="1" t="s">
        <v>171</v>
      </c>
    </row>
    <row r="647" spans="1:26" ht="12.75">
      <c r="B647" s="810" t="s">
        <v>3121</v>
      </c>
      <c r="C647" s="811">
        <v>1</v>
      </c>
      <c r="D647" s="811" t="s">
        <v>118</v>
      </c>
      <c r="E647" s="812">
        <v>20000</v>
      </c>
      <c r="F647" s="812">
        <v>20000</v>
      </c>
      <c r="G647" s="805"/>
      <c r="H647" s="813">
        <v>1</v>
      </c>
      <c r="I647" s="813">
        <v>1</v>
      </c>
      <c r="J647" s="814"/>
      <c r="K647" s="814"/>
      <c r="L647" s="815"/>
      <c r="M647" s="814"/>
      <c r="N647" s="814"/>
      <c r="O647" s="814"/>
      <c r="P647" s="815"/>
      <c r="Q647" s="814"/>
      <c r="R647" s="814"/>
      <c r="S647" s="814"/>
      <c r="T647" s="815"/>
      <c r="U647" s="814"/>
      <c r="V647" s="805"/>
      <c r="W647" s="805"/>
      <c r="X647" s="1" t="s">
        <v>171</v>
      </c>
    </row>
    <row r="648" spans="1:26" ht="12.75">
      <c r="B648" s="810" t="s">
        <v>553</v>
      </c>
      <c r="C648" s="811">
        <v>1</v>
      </c>
      <c r="D648" s="811" t="s">
        <v>118</v>
      </c>
      <c r="E648" s="812">
        <v>15000</v>
      </c>
      <c r="F648" s="812">
        <v>15000</v>
      </c>
      <c r="G648" s="805"/>
      <c r="H648" s="813">
        <v>1</v>
      </c>
      <c r="I648" s="813">
        <v>1</v>
      </c>
      <c r="J648" s="814"/>
      <c r="K648" s="814"/>
      <c r="L648" s="815"/>
      <c r="M648" s="814"/>
      <c r="N648" s="814"/>
      <c r="O648" s="814"/>
      <c r="P648" s="815"/>
      <c r="Q648" s="814"/>
      <c r="R648" s="814"/>
      <c r="S648" s="814"/>
      <c r="T648" s="815"/>
      <c r="U648" s="814"/>
      <c r="V648" s="805"/>
      <c r="W648" s="805"/>
      <c r="X648" s="1" t="s">
        <v>171</v>
      </c>
    </row>
    <row r="649" spans="1:26" ht="12.75">
      <c r="B649" s="810" t="s">
        <v>554</v>
      </c>
      <c r="C649" s="811">
        <v>1</v>
      </c>
      <c r="D649" s="811" t="s">
        <v>118</v>
      </c>
      <c r="E649" s="812">
        <v>50000</v>
      </c>
      <c r="F649" s="812">
        <v>50000</v>
      </c>
      <c r="G649" s="805"/>
      <c r="H649" s="813">
        <v>1</v>
      </c>
      <c r="I649" s="813">
        <v>1</v>
      </c>
      <c r="J649" s="814"/>
      <c r="K649" s="814"/>
      <c r="L649" s="815"/>
      <c r="M649" s="814"/>
      <c r="N649" s="814"/>
      <c r="O649" s="814"/>
      <c r="P649" s="815"/>
      <c r="Q649" s="814"/>
      <c r="R649" s="814"/>
      <c r="S649" s="814"/>
      <c r="T649" s="815"/>
      <c r="U649" s="814"/>
      <c r="V649" s="805"/>
      <c r="W649" s="805"/>
      <c r="X649" s="1" t="s">
        <v>171</v>
      </c>
    </row>
    <row r="650" spans="1:26" ht="12.75">
      <c r="B650" s="810" t="s">
        <v>467</v>
      </c>
      <c r="C650" s="811">
        <v>2</v>
      </c>
      <c r="D650" s="811" t="s">
        <v>118</v>
      </c>
      <c r="E650" s="812">
        <v>40000</v>
      </c>
      <c r="F650" s="812">
        <v>80000</v>
      </c>
      <c r="G650" s="805"/>
      <c r="H650" s="813">
        <v>2</v>
      </c>
      <c r="I650" s="813">
        <v>2</v>
      </c>
      <c r="J650" s="814"/>
      <c r="K650" s="814"/>
      <c r="L650" s="815"/>
      <c r="M650" s="814"/>
      <c r="N650" s="814"/>
      <c r="O650" s="814"/>
      <c r="P650" s="815"/>
      <c r="Q650" s="814"/>
      <c r="R650" s="814"/>
      <c r="S650" s="814"/>
      <c r="T650" s="815"/>
      <c r="U650" s="814"/>
      <c r="V650" s="805"/>
      <c r="W650" s="805"/>
      <c r="X650" s="1" t="s">
        <v>171</v>
      </c>
    </row>
    <row r="651" spans="1:26" ht="12.75">
      <c r="B651" s="816" t="s">
        <v>557</v>
      </c>
      <c r="C651" s="811">
        <v>10</v>
      </c>
      <c r="D651" s="811" t="s">
        <v>103</v>
      </c>
      <c r="E651" s="811">
        <v>320</v>
      </c>
      <c r="F651" s="812">
        <v>3200</v>
      </c>
      <c r="G651" s="805"/>
      <c r="H651" s="813">
        <v>5</v>
      </c>
      <c r="I651" s="813">
        <v>5</v>
      </c>
      <c r="J651" s="814"/>
      <c r="K651" s="814"/>
      <c r="L651" s="815"/>
      <c r="M651" s="814"/>
      <c r="N651" s="814"/>
      <c r="O651" s="814"/>
      <c r="P651" s="813">
        <v>5</v>
      </c>
      <c r="Q651" s="814">
        <v>5</v>
      </c>
      <c r="R651" s="814"/>
      <c r="S651" s="814"/>
      <c r="T651" s="815"/>
      <c r="U651" s="814"/>
      <c r="V651" s="805"/>
      <c r="W651" s="805"/>
      <c r="X651" s="1" t="s">
        <v>171</v>
      </c>
    </row>
    <row r="652" spans="1:26" ht="12.75">
      <c r="B652" s="816" t="s">
        <v>558</v>
      </c>
      <c r="C652" s="811">
        <v>3</v>
      </c>
      <c r="D652" s="811" t="s">
        <v>103</v>
      </c>
      <c r="E652" s="811">
        <v>300</v>
      </c>
      <c r="F652" s="811">
        <v>900</v>
      </c>
      <c r="G652" s="805"/>
      <c r="H652" s="813">
        <v>3</v>
      </c>
      <c r="I652" s="813">
        <v>3</v>
      </c>
      <c r="J652" s="814"/>
      <c r="K652" s="814"/>
      <c r="L652" s="815"/>
      <c r="M652" s="814"/>
      <c r="N652" s="814"/>
      <c r="O652" s="814"/>
      <c r="P652" s="815"/>
      <c r="Q652" s="814"/>
      <c r="R652" s="814"/>
      <c r="S652" s="814"/>
      <c r="T652" s="815"/>
      <c r="U652" s="814"/>
      <c r="V652" s="805"/>
      <c r="W652" s="805"/>
      <c r="X652" s="1" t="s">
        <v>171</v>
      </c>
    </row>
    <row r="653" spans="1:26" ht="12.75">
      <c r="B653" s="816" t="s">
        <v>559</v>
      </c>
      <c r="C653" s="811">
        <v>3</v>
      </c>
      <c r="D653" s="811" t="s">
        <v>103</v>
      </c>
      <c r="E653" s="811">
        <v>300</v>
      </c>
      <c r="F653" s="811">
        <v>900</v>
      </c>
      <c r="G653" s="805"/>
      <c r="H653" s="813">
        <v>3</v>
      </c>
      <c r="I653" s="813">
        <v>3</v>
      </c>
      <c r="J653" s="814"/>
      <c r="K653" s="814"/>
      <c r="L653" s="815"/>
      <c r="M653" s="814"/>
      <c r="N653" s="814"/>
      <c r="O653" s="814"/>
      <c r="P653" s="815"/>
      <c r="Q653" s="814"/>
      <c r="R653" s="814"/>
      <c r="S653" s="814"/>
      <c r="T653" s="815"/>
      <c r="U653" s="814"/>
      <c r="V653" s="805"/>
      <c r="W653" s="805"/>
      <c r="X653" s="1" t="s">
        <v>171</v>
      </c>
    </row>
    <row r="654" spans="1:26" ht="12.75">
      <c r="B654" s="816" t="s">
        <v>560</v>
      </c>
      <c r="C654" s="817">
        <v>3</v>
      </c>
      <c r="D654" s="817" t="s">
        <v>103</v>
      </c>
      <c r="E654" s="818">
        <v>300</v>
      </c>
      <c r="F654" s="818">
        <v>900</v>
      </c>
      <c r="G654" s="817"/>
      <c r="H654" s="819">
        <v>3</v>
      </c>
      <c r="I654" s="819">
        <v>3</v>
      </c>
      <c r="J654" s="820"/>
      <c r="K654" s="820"/>
      <c r="L654" s="821"/>
      <c r="M654" s="820"/>
      <c r="N654" s="820"/>
      <c r="O654" s="820"/>
      <c r="P654" s="821"/>
      <c r="Q654" s="820"/>
      <c r="R654" s="820"/>
      <c r="S654" s="820"/>
      <c r="T654" s="821"/>
      <c r="U654" s="820"/>
      <c r="V654" s="820"/>
      <c r="W654" s="820"/>
      <c r="X654" s="1" t="s">
        <v>171</v>
      </c>
    </row>
    <row r="655" spans="1:26">
      <c r="B655" s="822" t="s">
        <v>234</v>
      </c>
      <c r="C655" s="823">
        <v>4</v>
      </c>
      <c r="D655" s="824" t="s">
        <v>103</v>
      </c>
      <c r="E655" s="825">
        <v>480</v>
      </c>
      <c r="F655" s="826">
        <v>1800</v>
      </c>
      <c r="G655" s="827" t="s">
        <v>342</v>
      </c>
      <c r="H655" s="828">
        <v>3</v>
      </c>
      <c r="I655" s="823">
        <v>3</v>
      </c>
      <c r="J655" s="829"/>
      <c r="K655" s="829"/>
      <c r="L655" s="830">
        <v>0</v>
      </c>
      <c r="M655" s="823"/>
      <c r="N655" s="829"/>
      <c r="O655" s="829"/>
      <c r="P655" s="830">
        <v>0</v>
      </c>
      <c r="Q655" s="823"/>
      <c r="R655" s="829"/>
      <c r="S655" s="829"/>
      <c r="T655" s="830">
        <v>0</v>
      </c>
      <c r="U655" s="827"/>
      <c r="V655" s="827"/>
      <c r="W655" s="827"/>
      <c r="X655" s="1" t="s">
        <v>3122</v>
      </c>
    </row>
    <row r="656" spans="1:26">
      <c r="B656" s="831" t="s">
        <v>239</v>
      </c>
      <c r="C656" s="823">
        <v>4</v>
      </c>
      <c r="D656" s="824" t="s">
        <v>103</v>
      </c>
      <c r="E656" s="825">
        <v>380</v>
      </c>
      <c r="F656" s="832">
        <v>1520</v>
      </c>
      <c r="G656" s="833" t="s">
        <v>342</v>
      </c>
      <c r="H656" s="834">
        <v>3</v>
      </c>
      <c r="I656" s="823">
        <v>3</v>
      </c>
      <c r="J656" s="829"/>
      <c r="K656" s="829"/>
      <c r="L656" s="835">
        <v>0</v>
      </c>
      <c r="M656" s="823"/>
      <c r="N656" s="829"/>
      <c r="O656" s="829"/>
      <c r="P656" s="835">
        <v>0</v>
      </c>
      <c r="Q656" s="823"/>
      <c r="R656" s="829"/>
      <c r="S656" s="829"/>
      <c r="T656" s="835">
        <v>0</v>
      </c>
      <c r="U656" s="833"/>
      <c r="V656" s="833"/>
      <c r="W656" s="833"/>
      <c r="X656" s="1" t="s">
        <v>3122</v>
      </c>
    </row>
    <row r="657" spans="2:24">
      <c r="B657" s="831" t="s">
        <v>568</v>
      </c>
      <c r="C657" s="823">
        <v>3</v>
      </c>
      <c r="D657" s="824" t="s">
        <v>103</v>
      </c>
      <c r="E657" s="836">
        <v>3500</v>
      </c>
      <c r="F657" s="832">
        <v>10500</v>
      </c>
      <c r="G657" s="833" t="s">
        <v>342</v>
      </c>
      <c r="H657" s="834">
        <v>4</v>
      </c>
      <c r="I657" s="823">
        <v>4</v>
      </c>
      <c r="J657" s="829"/>
      <c r="K657" s="829"/>
      <c r="L657" s="835">
        <v>0</v>
      </c>
      <c r="M657" s="823"/>
      <c r="N657" s="829"/>
      <c r="O657" s="829"/>
      <c r="P657" s="835">
        <v>0</v>
      </c>
      <c r="Q657" s="823"/>
      <c r="R657" s="829"/>
      <c r="S657" s="829"/>
      <c r="T657" s="835"/>
      <c r="U657" s="833"/>
      <c r="V657" s="833"/>
      <c r="W657" s="833"/>
      <c r="X657" s="1" t="s">
        <v>3122</v>
      </c>
    </row>
    <row r="658" spans="2:24" ht="12.75">
      <c r="B658" s="837" t="s">
        <v>454</v>
      </c>
      <c r="C658" s="838">
        <v>24</v>
      </c>
      <c r="D658" s="838" t="s">
        <v>103</v>
      </c>
      <c r="E658" s="838">
        <v>380</v>
      </c>
      <c r="F658" s="839">
        <v>9120</v>
      </c>
      <c r="G658" s="838" t="s">
        <v>342</v>
      </c>
      <c r="H658" s="838">
        <v>6</v>
      </c>
      <c r="I658" s="838">
        <v>6</v>
      </c>
      <c r="J658" s="840" t="s">
        <v>488</v>
      </c>
      <c r="K658" s="840" t="s">
        <v>488</v>
      </c>
      <c r="L658" s="838">
        <v>6</v>
      </c>
      <c r="M658" s="838">
        <v>6</v>
      </c>
      <c r="N658" s="840" t="s">
        <v>488</v>
      </c>
      <c r="O658" s="840" t="s">
        <v>488</v>
      </c>
      <c r="P658" s="838">
        <v>6</v>
      </c>
      <c r="Q658" s="838">
        <v>6</v>
      </c>
      <c r="R658" s="840" t="s">
        <v>488</v>
      </c>
      <c r="S658" s="840" t="s">
        <v>488</v>
      </c>
      <c r="T658" s="838">
        <v>6</v>
      </c>
      <c r="U658" s="838">
        <v>6</v>
      </c>
      <c r="V658" s="840" t="s">
        <v>488</v>
      </c>
      <c r="W658" s="840" t="s">
        <v>488</v>
      </c>
      <c r="X658" s="1" t="s">
        <v>208</v>
      </c>
    </row>
    <row r="659" spans="2:24" ht="15">
      <c r="B659" s="841" t="s">
        <v>485</v>
      </c>
      <c r="C659" s="842">
        <v>12</v>
      </c>
      <c r="D659" s="842" t="s">
        <v>486</v>
      </c>
      <c r="E659" s="843">
        <v>405</v>
      </c>
      <c r="F659" s="844">
        <v>4860</v>
      </c>
      <c r="G659" s="842" t="s">
        <v>342</v>
      </c>
      <c r="H659" s="842">
        <v>3</v>
      </c>
      <c r="I659" s="842">
        <v>1</v>
      </c>
      <c r="J659" s="842">
        <v>1</v>
      </c>
      <c r="K659" s="842">
        <v>1</v>
      </c>
      <c r="L659" s="842">
        <v>3</v>
      </c>
      <c r="M659" s="842">
        <v>1</v>
      </c>
      <c r="N659" s="842">
        <v>1</v>
      </c>
      <c r="O659" s="842">
        <v>1</v>
      </c>
      <c r="P659" s="842">
        <v>3</v>
      </c>
      <c r="Q659" s="842">
        <v>1</v>
      </c>
      <c r="R659" s="842">
        <v>1</v>
      </c>
      <c r="S659" s="842">
        <v>1</v>
      </c>
      <c r="T659" s="842">
        <v>3</v>
      </c>
      <c r="U659" s="842">
        <v>1</v>
      </c>
      <c r="V659" s="842">
        <v>1</v>
      </c>
      <c r="W659" s="842">
        <v>1</v>
      </c>
      <c r="X659" s="1" t="s">
        <v>208</v>
      </c>
    </row>
    <row r="660" spans="2:24" ht="15">
      <c r="B660" s="841" t="s">
        <v>487</v>
      </c>
      <c r="C660" s="842">
        <v>8</v>
      </c>
      <c r="D660" s="842" t="s">
        <v>486</v>
      </c>
      <c r="E660" s="843">
        <v>405</v>
      </c>
      <c r="F660" s="844">
        <v>3240</v>
      </c>
      <c r="G660" s="842" t="s">
        <v>342</v>
      </c>
      <c r="H660" s="845">
        <v>2</v>
      </c>
      <c r="I660" s="845">
        <v>2</v>
      </c>
      <c r="J660" s="846" t="s">
        <v>488</v>
      </c>
      <c r="K660" s="846" t="s">
        <v>488</v>
      </c>
      <c r="L660" s="845">
        <v>2</v>
      </c>
      <c r="M660" s="845">
        <v>2</v>
      </c>
      <c r="N660" s="846" t="s">
        <v>488</v>
      </c>
      <c r="O660" s="846" t="s">
        <v>488</v>
      </c>
      <c r="P660" s="845">
        <v>2</v>
      </c>
      <c r="Q660" s="845">
        <v>2</v>
      </c>
      <c r="R660" s="846" t="s">
        <v>488</v>
      </c>
      <c r="S660" s="846" t="s">
        <v>488</v>
      </c>
      <c r="T660" s="845">
        <v>2</v>
      </c>
      <c r="U660" s="845">
        <v>2</v>
      </c>
      <c r="V660" s="846" t="s">
        <v>488</v>
      </c>
      <c r="W660" s="846" t="s">
        <v>488</v>
      </c>
      <c r="X660" s="1" t="s">
        <v>208</v>
      </c>
    </row>
    <row r="661" spans="2:24" ht="15">
      <c r="B661" s="841" t="s">
        <v>489</v>
      </c>
      <c r="C661" s="842">
        <v>8</v>
      </c>
      <c r="D661" s="842" t="s">
        <v>486</v>
      </c>
      <c r="E661" s="843">
        <v>405</v>
      </c>
      <c r="F661" s="844">
        <v>3240</v>
      </c>
      <c r="G661" s="842" t="s">
        <v>342</v>
      </c>
      <c r="H661" s="845">
        <v>2</v>
      </c>
      <c r="I661" s="845">
        <v>2</v>
      </c>
      <c r="J661" s="846" t="s">
        <v>488</v>
      </c>
      <c r="K661" s="846" t="s">
        <v>488</v>
      </c>
      <c r="L661" s="845">
        <v>2</v>
      </c>
      <c r="M661" s="845">
        <v>2</v>
      </c>
      <c r="N661" s="846" t="s">
        <v>488</v>
      </c>
      <c r="O661" s="846" t="s">
        <v>488</v>
      </c>
      <c r="P661" s="845">
        <v>2</v>
      </c>
      <c r="Q661" s="845">
        <v>2</v>
      </c>
      <c r="R661" s="846" t="s">
        <v>488</v>
      </c>
      <c r="S661" s="846" t="s">
        <v>488</v>
      </c>
      <c r="T661" s="845">
        <v>2</v>
      </c>
      <c r="U661" s="845">
        <v>2</v>
      </c>
      <c r="V661" s="846" t="s">
        <v>488</v>
      </c>
      <c r="W661" s="846" t="s">
        <v>488</v>
      </c>
      <c r="X661" s="1" t="s">
        <v>208</v>
      </c>
    </row>
    <row r="662" spans="2:24" ht="15">
      <c r="B662" s="841" t="s">
        <v>490</v>
      </c>
      <c r="C662" s="842">
        <v>8</v>
      </c>
      <c r="D662" s="842" t="s">
        <v>486</v>
      </c>
      <c r="E662" s="843">
        <v>405</v>
      </c>
      <c r="F662" s="844">
        <v>3240</v>
      </c>
      <c r="G662" s="842" t="s">
        <v>342</v>
      </c>
      <c r="H662" s="845">
        <v>2</v>
      </c>
      <c r="I662" s="845">
        <v>2</v>
      </c>
      <c r="J662" s="846" t="s">
        <v>488</v>
      </c>
      <c r="K662" s="846" t="s">
        <v>488</v>
      </c>
      <c r="L662" s="845">
        <v>2</v>
      </c>
      <c r="M662" s="845">
        <v>2</v>
      </c>
      <c r="N662" s="846" t="s">
        <v>488</v>
      </c>
      <c r="O662" s="846" t="s">
        <v>488</v>
      </c>
      <c r="P662" s="845">
        <v>2</v>
      </c>
      <c r="Q662" s="845">
        <v>2</v>
      </c>
      <c r="R662" s="846" t="s">
        <v>488</v>
      </c>
      <c r="S662" s="846" t="s">
        <v>488</v>
      </c>
      <c r="T662" s="845">
        <v>2</v>
      </c>
      <c r="U662" s="845">
        <v>2</v>
      </c>
      <c r="V662" s="846" t="s">
        <v>488</v>
      </c>
      <c r="W662" s="846" t="s">
        <v>488</v>
      </c>
      <c r="X662" s="1" t="s">
        <v>208</v>
      </c>
    </row>
    <row r="663" spans="2:24" ht="15">
      <c r="B663" s="841" t="s">
        <v>491</v>
      </c>
      <c r="C663" s="842">
        <v>3</v>
      </c>
      <c r="D663" s="842" t="s">
        <v>103</v>
      </c>
      <c r="E663" s="847">
        <v>999</v>
      </c>
      <c r="F663" s="847">
        <v>2997</v>
      </c>
      <c r="G663" s="842" t="s">
        <v>342</v>
      </c>
      <c r="H663" s="845">
        <v>1</v>
      </c>
      <c r="I663" s="845">
        <v>1</v>
      </c>
      <c r="J663" s="846" t="s">
        <v>488</v>
      </c>
      <c r="K663" s="846" t="s">
        <v>488</v>
      </c>
      <c r="L663" s="845">
        <v>0</v>
      </c>
      <c r="M663" s="846" t="s">
        <v>488</v>
      </c>
      <c r="N663" s="846" t="s">
        <v>488</v>
      </c>
      <c r="O663" s="846" t="s">
        <v>488</v>
      </c>
      <c r="P663" s="845">
        <v>0</v>
      </c>
      <c r="Q663" s="846" t="s">
        <v>488</v>
      </c>
      <c r="R663" s="846" t="s">
        <v>488</v>
      </c>
      <c r="S663" s="846" t="s">
        <v>488</v>
      </c>
      <c r="T663" s="845">
        <v>0</v>
      </c>
      <c r="U663" s="846" t="s">
        <v>488</v>
      </c>
      <c r="V663" s="846" t="s">
        <v>488</v>
      </c>
      <c r="W663" s="846" t="s">
        <v>488</v>
      </c>
      <c r="X663" s="1" t="s">
        <v>208</v>
      </c>
    </row>
    <row r="664" spans="2:24" ht="15">
      <c r="B664" s="845" t="s">
        <v>492</v>
      </c>
      <c r="C664" s="845">
        <v>3</v>
      </c>
      <c r="D664" s="845" t="s">
        <v>103</v>
      </c>
      <c r="E664" s="848">
        <v>3000</v>
      </c>
      <c r="F664" s="847">
        <v>9000</v>
      </c>
      <c r="G664" s="845" t="s">
        <v>342</v>
      </c>
      <c r="H664" s="845">
        <v>3</v>
      </c>
      <c r="I664" s="845">
        <v>3</v>
      </c>
      <c r="J664" s="846" t="s">
        <v>488</v>
      </c>
      <c r="K664" s="846" t="s">
        <v>488</v>
      </c>
      <c r="L664" s="845">
        <v>0</v>
      </c>
      <c r="M664" s="846" t="s">
        <v>488</v>
      </c>
      <c r="N664" s="846" t="s">
        <v>488</v>
      </c>
      <c r="O664" s="846" t="s">
        <v>488</v>
      </c>
      <c r="P664" s="845">
        <v>0</v>
      </c>
      <c r="Q664" s="846" t="s">
        <v>488</v>
      </c>
      <c r="R664" s="846" t="s">
        <v>488</v>
      </c>
      <c r="S664" s="846" t="s">
        <v>488</v>
      </c>
      <c r="T664" s="845">
        <v>0</v>
      </c>
      <c r="U664" s="846" t="s">
        <v>488</v>
      </c>
      <c r="V664" s="846" t="s">
        <v>488</v>
      </c>
      <c r="W664" s="846" t="s">
        <v>488</v>
      </c>
      <c r="X664" s="1" t="s">
        <v>208</v>
      </c>
    </row>
    <row r="665" spans="2:24" ht="15">
      <c r="B665" s="849" t="s">
        <v>239</v>
      </c>
      <c r="C665" s="850">
        <v>2</v>
      </c>
      <c r="D665" s="851" t="s">
        <v>103</v>
      </c>
      <c r="E665" s="851">
        <v>380</v>
      </c>
      <c r="F665" s="851">
        <v>760</v>
      </c>
      <c r="G665" s="850" t="s">
        <v>342</v>
      </c>
      <c r="H665" s="845">
        <v>2</v>
      </c>
      <c r="I665" s="845">
        <v>2</v>
      </c>
      <c r="J665" s="846" t="s">
        <v>488</v>
      </c>
      <c r="K665" s="846" t="s">
        <v>488</v>
      </c>
      <c r="L665" s="845">
        <v>0</v>
      </c>
      <c r="M665" s="846" t="s">
        <v>488</v>
      </c>
      <c r="N665" s="846" t="s">
        <v>488</v>
      </c>
      <c r="O665" s="846" t="s">
        <v>488</v>
      </c>
      <c r="P665" s="845">
        <v>0</v>
      </c>
      <c r="Q665" s="846" t="s">
        <v>488</v>
      </c>
      <c r="R665" s="846" t="s">
        <v>488</v>
      </c>
      <c r="S665" s="846" t="s">
        <v>488</v>
      </c>
      <c r="T665" s="845">
        <v>0</v>
      </c>
      <c r="U665" s="846" t="s">
        <v>488</v>
      </c>
      <c r="V665" s="846" t="s">
        <v>488</v>
      </c>
      <c r="W665" s="846" t="s">
        <v>488</v>
      </c>
      <c r="X665" s="1" t="s">
        <v>208</v>
      </c>
    </row>
    <row r="666" spans="2:24" ht="15">
      <c r="B666" s="849" t="s">
        <v>493</v>
      </c>
      <c r="C666" s="850">
        <v>2</v>
      </c>
      <c r="D666" s="851" t="s">
        <v>466</v>
      </c>
      <c r="E666" s="852">
        <v>10000</v>
      </c>
      <c r="F666" s="852">
        <v>20000</v>
      </c>
      <c r="G666" s="850" t="s">
        <v>342</v>
      </c>
      <c r="H666" s="845">
        <v>1</v>
      </c>
      <c r="I666" s="845">
        <v>1</v>
      </c>
      <c r="J666" s="846" t="s">
        <v>488</v>
      </c>
      <c r="K666" s="846" t="s">
        <v>488</v>
      </c>
      <c r="L666" s="845">
        <v>0</v>
      </c>
      <c r="M666" s="846" t="s">
        <v>488</v>
      </c>
      <c r="N666" s="846" t="s">
        <v>488</v>
      </c>
      <c r="O666" s="846" t="s">
        <v>488</v>
      </c>
      <c r="P666" s="845">
        <v>0</v>
      </c>
      <c r="Q666" s="846" t="s">
        <v>488</v>
      </c>
      <c r="R666" s="846" t="s">
        <v>488</v>
      </c>
      <c r="S666" s="846" t="s">
        <v>488</v>
      </c>
      <c r="T666" s="845">
        <v>0</v>
      </c>
      <c r="U666" s="846" t="s">
        <v>488</v>
      </c>
      <c r="V666" s="846" t="s">
        <v>488</v>
      </c>
      <c r="W666" s="846" t="s">
        <v>488</v>
      </c>
      <c r="X666" s="1" t="s">
        <v>208</v>
      </c>
    </row>
    <row r="667" spans="2:24" ht="15">
      <c r="B667" s="853" t="s">
        <v>3123</v>
      </c>
      <c r="C667" s="854">
        <v>1</v>
      </c>
      <c r="D667" s="855" t="s">
        <v>466</v>
      </c>
      <c r="E667" s="856">
        <v>25000</v>
      </c>
      <c r="F667" s="852">
        <v>25000</v>
      </c>
      <c r="G667" s="850" t="s">
        <v>342</v>
      </c>
      <c r="H667" s="845">
        <v>1</v>
      </c>
      <c r="I667" s="845">
        <v>1</v>
      </c>
      <c r="J667" s="846" t="s">
        <v>488</v>
      </c>
      <c r="K667" s="846" t="s">
        <v>488</v>
      </c>
      <c r="L667" s="845">
        <v>0</v>
      </c>
      <c r="M667" s="846" t="s">
        <v>488</v>
      </c>
      <c r="N667" s="846" t="s">
        <v>488</v>
      </c>
      <c r="O667" s="846" t="s">
        <v>488</v>
      </c>
      <c r="P667" s="845">
        <v>0</v>
      </c>
      <c r="Q667" s="846" t="s">
        <v>488</v>
      </c>
      <c r="R667" s="846" t="s">
        <v>488</v>
      </c>
      <c r="S667" s="846" t="s">
        <v>488</v>
      </c>
      <c r="T667" s="845">
        <v>0</v>
      </c>
      <c r="U667" s="846" t="s">
        <v>488</v>
      </c>
      <c r="V667" s="846" t="s">
        <v>488</v>
      </c>
      <c r="W667" s="846" t="s">
        <v>488</v>
      </c>
      <c r="X667" s="1" t="s">
        <v>208</v>
      </c>
    </row>
    <row r="668" spans="2:24" ht="15">
      <c r="B668" s="262" t="s">
        <v>688</v>
      </c>
      <c r="C668" s="263">
        <v>1</v>
      </c>
      <c r="D668" s="263" t="s">
        <v>103</v>
      </c>
      <c r="E668" s="857">
        <v>30000</v>
      </c>
      <c r="F668" s="857">
        <v>30000</v>
      </c>
      <c r="G668" s="858" t="s">
        <v>342</v>
      </c>
      <c r="H668" s="859"/>
      <c r="I668" s="860"/>
      <c r="J668" s="861"/>
      <c r="K668" s="861"/>
      <c r="L668" s="862"/>
      <c r="M668" s="861"/>
      <c r="N668" s="861"/>
      <c r="O668" s="861"/>
      <c r="P668" s="862"/>
      <c r="Q668" s="861"/>
      <c r="R668" s="861"/>
      <c r="S668" s="861"/>
      <c r="T668" s="862"/>
      <c r="U668" s="861"/>
      <c r="V668" s="861"/>
      <c r="W668" s="861"/>
      <c r="X668" s="1" t="s">
        <v>3124</v>
      </c>
    </row>
    <row r="669" spans="2:24" ht="15">
      <c r="B669" s="264" t="s">
        <v>467</v>
      </c>
      <c r="C669" s="265">
        <v>4</v>
      </c>
      <c r="D669" s="265" t="s">
        <v>118</v>
      </c>
      <c r="E669" s="863">
        <v>40000</v>
      </c>
      <c r="F669" s="863">
        <v>160000</v>
      </c>
      <c r="G669" s="858" t="s">
        <v>342</v>
      </c>
      <c r="H669" s="864"/>
      <c r="I669" s="865"/>
      <c r="J669" s="866"/>
      <c r="K669" s="866"/>
      <c r="L669" s="845"/>
      <c r="M669" s="866"/>
      <c r="N669" s="866"/>
      <c r="O669" s="866"/>
      <c r="P669" s="845"/>
      <c r="Q669" s="866"/>
      <c r="R669" s="866"/>
      <c r="S669" s="866"/>
      <c r="T669" s="845"/>
      <c r="U669" s="866"/>
      <c r="V669" s="866"/>
      <c r="W669" s="866"/>
      <c r="X669" s="1" t="s">
        <v>3124</v>
      </c>
    </row>
    <row r="670" spans="2:24" ht="15">
      <c r="B670" s="264" t="s">
        <v>482</v>
      </c>
      <c r="C670" s="265">
        <v>2</v>
      </c>
      <c r="D670" s="265" t="s">
        <v>103</v>
      </c>
      <c r="E670" s="863">
        <v>8500</v>
      </c>
      <c r="F670" s="863">
        <v>17000</v>
      </c>
      <c r="G670" s="858" t="s">
        <v>342</v>
      </c>
      <c r="H670" s="864"/>
      <c r="I670" s="865"/>
      <c r="J670" s="866"/>
      <c r="K670" s="866"/>
      <c r="L670" s="845"/>
      <c r="M670" s="866"/>
      <c r="N670" s="866"/>
      <c r="O670" s="866"/>
      <c r="P670" s="845"/>
      <c r="Q670" s="866"/>
      <c r="R670" s="866"/>
      <c r="S670" s="866"/>
      <c r="T670" s="845"/>
      <c r="U670" s="866"/>
      <c r="V670" s="866"/>
      <c r="W670" s="866"/>
      <c r="X670" s="1" t="s">
        <v>3124</v>
      </c>
    </row>
    <row r="671" spans="2:24" ht="15">
      <c r="B671" s="264" t="s">
        <v>568</v>
      </c>
      <c r="C671" s="265">
        <v>2</v>
      </c>
      <c r="D671" s="265" t="s">
        <v>103</v>
      </c>
      <c r="E671" s="863">
        <v>3500</v>
      </c>
      <c r="F671" s="863">
        <v>7000</v>
      </c>
      <c r="G671" s="858" t="s">
        <v>342</v>
      </c>
      <c r="H671" s="864"/>
      <c r="I671" s="865"/>
      <c r="J671" s="866"/>
      <c r="K671" s="866"/>
      <c r="L671" s="845"/>
      <c r="M671" s="866"/>
      <c r="N671" s="866"/>
      <c r="O671" s="866"/>
      <c r="P671" s="845"/>
      <c r="Q671" s="866"/>
      <c r="R671" s="866"/>
      <c r="S671" s="866"/>
      <c r="T671" s="845"/>
      <c r="U671" s="866"/>
      <c r="V671" s="866"/>
      <c r="W671" s="866"/>
      <c r="X671" s="1" t="s">
        <v>3124</v>
      </c>
    </row>
    <row r="672" spans="2:24" ht="15">
      <c r="B672" s="264" t="s">
        <v>818</v>
      </c>
      <c r="C672" s="265">
        <v>1</v>
      </c>
      <c r="D672" s="265" t="s">
        <v>466</v>
      </c>
      <c r="E672" s="863">
        <v>40000</v>
      </c>
      <c r="F672" s="863">
        <v>40000</v>
      </c>
      <c r="G672" s="858" t="s">
        <v>342</v>
      </c>
      <c r="H672" s="864"/>
      <c r="I672" s="865"/>
      <c r="J672" s="866"/>
      <c r="K672" s="866"/>
      <c r="L672" s="845"/>
      <c r="M672" s="866"/>
      <c r="N672" s="866"/>
      <c r="O672" s="866"/>
      <c r="P672" s="845"/>
      <c r="Q672" s="866"/>
      <c r="R672" s="866"/>
      <c r="S672" s="866"/>
      <c r="T672" s="845"/>
      <c r="U672" s="866"/>
      <c r="V672" s="866"/>
      <c r="W672" s="866"/>
      <c r="X672" s="1" t="s">
        <v>3124</v>
      </c>
    </row>
    <row r="673" spans="2:24" ht="15">
      <c r="B673" s="264" t="s">
        <v>930</v>
      </c>
      <c r="C673" s="265">
        <v>2</v>
      </c>
      <c r="D673" s="265" t="s">
        <v>103</v>
      </c>
      <c r="E673" s="863">
        <v>4000</v>
      </c>
      <c r="F673" s="863">
        <v>8000</v>
      </c>
      <c r="G673" s="858" t="s">
        <v>342</v>
      </c>
      <c r="H673" s="864"/>
      <c r="I673" s="865"/>
      <c r="J673" s="845"/>
      <c r="K673" s="845"/>
      <c r="L673" s="845"/>
      <c r="M673" s="845"/>
      <c r="N673" s="845"/>
      <c r="O673" s="845"/>
      <c r="P673" s="845"/>
      <c r="Q673" s="845"/>
      <c r="R673" s="845"/>
      <c r="S673" s="845"/>
      <c r="T673" s="845"/>
      <c r="U673" s="845"/>
      <c r="V673" s="845"/>
      <c r="W673" s="845"/>
      <c r="X673" s="1" t="s">
        <v>3124</v>
      </c>
    </row>
    <row r="674" spans="2:24" ht="15">
      <c r="B674" s="867" t="s">
        <v>2980</v>
      </c>
      <c r="C674" s="868">
        <v>16</v>
      </c>
      <c r="D674" s="869" t="s">
        <v>657</v>
      </c>
      <c r="E674" s="870">
        <v>350</v>
      </c>
      <c r="F674" s="871">
        <v>5600</v>
      </c>
      <c r="G674" s="872" t="s">
        <v>342</v>
      </c>
      <c r="H674" s="868">
        <v>4</v>
      </c>
      <c r="I674" s="868">
        <v>2</v>
      </c>
      <c r="J674" s="868">
        <v>2</v>
      </c>
      <c r="K674" s="873"/>
      <c r="L674" s="868">
        <v>4</v>
      </c>
      <c r="M674" s="868">
        <v>2</v>
      </c>
      <c r="N674" s="868">
        <v>2</v>
      </c>
      <c r="O674" s="873"/>
      <c r="P674" s="868">
        <v>4</v>
      </c>
      <c r="Q674" s="868">
        <v>2</v>
      </c>
      <c r="R674" s="868">
        <v>2</v>
      </c>
      <c r="S674" s="873"/>
      <c r="T674" s="868">
        <v>4</v>
      </c>
      <c r="U674" s="868">
        <v>2</v>
      </c>
      <c r="V674" s="868">
        <v>2</v>
      </c>
      <c r="W674" s="873"/>
      <c r="X674" s="1" t="s">
        <v>2981</v>
      </c>
    </row>
    <row r="675" spans="2:24" ht="15">
      <c r="B675" s="874" t="s">
        <v>2982</v>
      </c>
      <c r="C675" s="872">
        <v>16</v>
      </c>
      <c r="D675" s="875" t="s">
        <v>657</v>
      </c>
      <c r="E675" s="876">
        <v>350</v>
      </c>
      <c r="F675" s="871">
        <v>5600</v>
      </c>
      <c r="G675" s="872" t="s">
        <v>342</v>
      </c>
      <c r="H675" s="872">
        <v>4</v>
      </c>
      <c r="I675" s="872">
        <v>2</v>
      </c>
      <c r="J675" s="872">
        <v>2</v>
      </c>
      <c r="K675" s="873"/>
      <c r="L675" s="872">
        <v>4</v>
      </c>
      <c r="M675" s="872">
        <v>2</v>
      </c>
      <c r="N675" s="872">
        <v>2</v>
      </c>
      <c r="O675" s="873"/>
      <c r="P675" s="872">
        <v>4</v>
      </c>
      <c r="Q675" s="872">
        <v>2</v>
      </c>
      <c r="R675" s="872">
        <v>2</v>
      </c>
      <c r="S675" s="873"/>
      <c r="T675" s="872">
        <v>4</v>
      </c>
      <c r="U675" s="872">
        <v>2</v>
      </c>
      <c r="V675" s="872">
        <v>2</v>
      </c>
      <c r="W675" s="873"/>
      <c r="X675" s="1" t="s">
        <v>2981</v>
      </c>
    </row>
    <row r="676" spans="2:24" ht="15">
      <c r="B676" s="874" t="s">
        <v>2983</v>
      </c>
      <c r="C676" s="872">
        <v>16</v>
      </c>
      <c r="D676" s="875" t="s">
        <v>657</v>
      </c>
      <c r="E676" s="876">
        <v>350</v>
      </c>
      <c r="F676" s="871">
        <v>5600</v>
      </c>
      <c r="G676" s="872" t="s">
        <v>342</v>
      </c>
      <c r="H676" s="872">
        <v>4</v>
      </c>
      <c r="I676" s="872">
        <v>2</v>
      </c>
      <c r="J676" s="872">
        <v>2</v>
      </c>
      <c r="K676" s="873"/>
      <c r="L676" s="872">
        <v>4</v>
      </c>
      <c r="M676" s="872">
        <v>2</v>
      </c>
      <c r="N676" s="872">
        <v>2</v>
      </c>
      <c r="O676" s="873"/>
      <c r="P676" s="872">
        <v>4</v>
      </c>
      <c r="Q676" s="872">
        <v>2</v>
      </c>
      <c r="R676" s="872">
        <v>2</v>
      </c>
      <c r="S676" s="873"/>
      <c r="T676" s="872">
        <v>4</v>
      </c>
      <c r="U676" s="872">
        <v>2</v>
      </c>
      <c r="V676" s="872">
        <v>2</v>
      </c>
      <c r="W676" s="873"/>
      <c r="X676" s="1" t="s">
        <v>2981</v>
      </c>
    </row>
    <row r="677" spans="2:24" ht="15">
      <c r="B677" s="874" t="s">
        <v>2984</v>
      </c>
      <c r="C677" s="872">
        <v>16</v>
      </c>
      <c r="D677" s="875" t="s">
        <v>657</v>
      </c>
      <c r="E677" s="876">
        <v>350</v>
      </c>
      <c r="F677" s="871">
        <v>5600</v>
      </c>
      <c r="G677" s="872" t="s">
        <v>342</v>
      </c>
      <c r="H677" s="872">
        <v>4</v>
      </c>
      <c r="I677" s="872">
        <v>2</v>
      </c>
      <c r="J677" s="872">
        <v>2</v>
      </c>
      <c r="K677" s="873"/>
      <c r="L677" s="872">
        <v>4</v>
      </c>
      <c r="M677" s="872">
        <v>2</v>
      </c>
      <c r="N677" s="872">
        <v>2</v>
      </c>
      <c r="O677" s="873"/>
      <c r="P677" s="872">
        <v>4</v>
      </c>
      <c r="Q677" s="872">
        <v>2</v>
      </c>
      <c r="R677" s="872">
        <v>2</v>
      </c>
      <c r="S677" s="873"/>
      <c r="T677" s="872">
        <v>4</v>
      </c>
      <c r="U677" s="872">
        <v>2</v>
      </c>
      <c r="V677" s="872">
        <v>2</v>
      </c>
      <c r="W677" s="873"/>
      <c r="X677" s="1" t="s">
        <v>2981</v>
      </c>
    </row>
    <row r="678" spans="2:24" ht="14.25">
      <c r="B678" s="877" t="s">
        <v>654</v>
      </c>
      <c r="C678" s="878">
        <v>2</v>
      </c>
      <c r="D678" s="878" t="s">
        <v>92</v>
      </c>
      <c r="E678" s="879">
        <v>42390.400000000001</v>
      </c>
      <c r="F678" s="879">
        <v>84780.800000000003</v>
      </c>
      <c r="G678" s="880" t="s">
        <v>342</v>
      </c>
      <c r="H678" s="878">
        <v>2</v>
      </c>
      <c r="I678" s="881"/>
      <c r="J678" s="881" t="s">
        <v>546</v>
      </c>
      <c r="K678" s="881"/>
      <c r="L678" s="882"/>
      <c r="M678" s="881"/>
      <c r="N678" s="881"/>
      <c r="O678" s="881"/>
      <c r="P678" s="882"/>
      <c r="Q678" s="881"/>
      <c r="R678" s="881"/>
      <c r="S678" s="881"/>
      <c r="T678" s="882"/>
      <c r="U678" s="881"/>
      <c r="V678" s="881"/>
      <c r="W678" s="881"/>
      <c r="X678" s="1" t="s">
        <v>3125</v>
      </c>
    </row>
    <row r="679" spans="2:24" ht="14.25">
      <c r="B679" s="883" t="s">
        <v>3126</v>
      </c>
      <c r="C679" s="884">
        <v>1</v>
      </c>
      <c r="D679" s="884" t="s">
        <v>92</v>
      </c>
      <c r="E679" s="885">
        <v>2792.4</v>
      </c>
      <c r="F679" s="885">
        <v>2792.4</v>
      </c>
      <c r="G679" s="880" t="s">
        <v>342</v>
      </c>
      <c r="H679" s="884">
        <v>1</v>
      </c>
      <c r="I679" s="880" t="s">
        <v>544</v>
      </c>
      <c r="J679" s="880"/>
      <c r="K679" s="880"/>
      <c r="L679" s="886"/>
      <c r="M679" s="880"/>
      <c r="N679" s="880"/>
      <c r="O679" s="880"/>
      <c r="P679" s="886"/>
      <c r="Q679" s="880"/>
      <c r="R679" s="880"/>
      <c r="S679" s="880"/>
      <c r="T679" s="886"/>
      <c r="U679" s="880"/>
      <c r="V679" s="880"/>
      <c r="W679" s="880"/>
      <c r="X679" s="1" t="s">
        <v>3125</v>
      </c>
    </row>
    <row r="680" spans="2:24" ht="14.25">
      <c r="B680" s="883" t="s">
        <v>3127</v>
      </c>
      <c r="C680" s="884">
        <v>2</v>
      </c>
      <c r="D680" s="884" t="s">
        <v>103</v>
      </c>
      <c r="E680" s="885">
        <v>8500</v>
      </c>
      <c r="F680" s="885">
        <v>17000</v>
      </c>
      <c r="G680" s="880" t="s">
        <v>342</v>
      </c>
      <c r="H680" s="884">
        <v>2</v>
      </c>
      <c r="I680" s="880"/>
      <c r="J680" s="880" t="s">
        <v>544</v>
      </c>
      <c r="K680" s="880"/>
      <c r="L680" s="886"/>
      <c r="M680" s="880"/>
      <c r="N680" s="880"/>
      <c r="O680" s="880"/>
      <c r="P680" s="886"/>
      <c r="Q680" s="880"/>
      <c r="R680" s="880"/>
      <c r="S680" s="880"/>
      <c r="T680" s="886"/>
      <c r="U680" s="880"/>
      <c r="V680" s="880"/>
      <c r="W680" s="880"/>
      <c r="X680" s="1" t="s">
        <v>3125</v>
      </c>
    </row>
    <row r="681" spans="2:24" ht="14.25">
      <c r="B681" s="883" t="s">
        <v>3128</v>
      </c>
      <c r="C681" s="884">
        <v>5</v>
      </c>
      <c r="D681" s="884" t="s">
        <v>103</v>
      </c>
      <c r="E681" s="884">
        <v>166.4</v>
      </c>
      <c r="F681" s="884">
        <v>832</v>
      </c>
      <c r="G681" s="880" t="s">
        <v>342</v>
      </c>
      <c r="H681" s="884">
        <v>5</v>
      </c>
      <c r="I681" s="880" t="s">
        <v>544</v>
      </c>
      <c r="J681" s="880"/>
      <c r="K681" s="880"/>
      <c r="L681" s="886"/>
      <c r="M681" s="880"/>
      <c r="N681" s="880"/>
      <c r="O681" s="880"/>
      <c r="P681" s="886"/>
      <c r="Q681" s="880"/>
      <c r="R681" s="880"/>
      <c r="S681" s="880"/>
      <c r="T681" s="886"/>
      <c r="U681" s="880"/>
      <c r="V681" s="880"/>
      <c r="W681" s="880"/>
      <c r="X681" s="1" t="s">
        <v>3125</v>
      </c>
    </row>
    <row r="682" spans="2:24" ht="14.25">
      <c r="B682" s="887" t="s">
        <v>2980</v>
      </c>
      <c r="C682" s="880">
        <v>20</v>
      </c>
      <c r="D682" s="888" t="s">
        <v>657</v>
      </c>
      <c r="E682" s="889">
        <v>350</v>
      </c>
      <c r="F682" s="890">
        <v>7000</v>
      </c>
      <c r="G682" s="880" t="s">
        <v>342</v>
      </c>
      <c r="H682" s="880">
        <v>5</v>
      </c>
      <c r="I682" s="891"/>
      <c r="J682" s="880">
        <v>5</v>
      </c>
      <c r="K682" s="891"/>
      <c r="L682" s="880">
        <v>5</v>
      </c>
      <c r="M682" s="891"/>
      <c r="N682" s="880">
        <v>5</v>
      </c>
      <c r="O682" s="891"/>
      <c r="P682" s="880">
        <v>5</v>
      </c>
      <c r="Q682" s="891"/>
      <c r="R682" s="880">
        <v>5</v>
      </c>
      <c r="S682" s="891"/>
      <c r="T682" s="880">
        <v>5</v>
      </c>
      <c r="U682" s="891"/>
      <c r="V682" s="880">
        <v>5</v>
      </c>
      <c r="W682" s="880"/>
      <c r="X682" s="1" t="s">
        <v>3125</v>
      </c>
    </row>
    <row r="683" spans="2:24" ht="14.25">
      <c r="B683" s="887" t="s">
        <v>2982</v>
      </c>
      <c r="C683" s="880">
        <v>16</v>
      </c>
      <c r="D683" s="892" t="s">
        <v>657</v>
      </c>
      <c r="E683" s="893">
        <v>350</v>
      </c>
      <c r="F683" s="890">
        <v>5600</v>
      </c>
      <c r="G683" s="880" t="s">
        <v>342</v>
      </c>
      <c r="H683" s="880">
        <v>4</v>
      </c>
      <c r="I683" s="880">
        <v>2</v>
      </c>
      <c r="J683" s="880">
        <v>2</v>
      </c>
      <c r="K683" s="891"/>
      <c r="L683" s="880">
        <v>4</v>
      </c>
      <c r="M683" s="880">
        <v>2</v>
      </c>
      <c r="N683" s="880">
        <v>2</v>
      </c>
      <c r="O683" s="891"/>
      <c r="P683" s="880">
        <v>4</v>
      </c>
      <c r="Q683" s="880">
        <v>2</v>
      </c>
      <c r="R683" s="880">
        <v>2</v>
      </c>
      <c r="S683" s="891"/>
      <c r="T683" s="880">
        <v>4</v>
      </c>
      <c r="U683" s="880">
        <v>2</v>
      </c>
      <c r="V683" s="880">
        <v>2</v>
      </c>
      <c r="W683" s="880"/>
      <c r="X683" s="1" t="s">
        <v>3125</v>
      </c>
    </row>
    <row r="684" spans="2:24" ht="14.25">
      <c r="B684" s="887" t="s">
        <v>2983</v>
      </c>
      <c r="C684" s="880">
        <v>16</v>
      </c>
      <c r="D684" s="892" t="s">
        <v>657</v>
      </c>
      <c r="E684" s="893">
        <v>350</v>
      </c>
      <c r="F684" s="890">
        <v>5600</v>
      </c>
      <c r="G684" s="880" t="s">
        <v>342</v>
      </c>
      <c r="H684" s="880">
        <v>4</v>
      </c>
      <c r="I684" s="880">
        <v>2</v>
      </c>
      <c r="J684" s="880">
        <v>2</v>
      </c>
      <c r="K684" s="891"/>
      <c r="L684" s="880">
        <v>4</v>
      </c>
      <c r="M684" s="880">
        <v>2</v>
      </c>
      <c r="N684" s="880">
        <v>2</v>
      </c>
      <c r="O684" s="891"/>
      <c r="P684" s="880">
        <v>4</v>
      </c>
      <c r="Q684" s="880">
        <v>2</v>
      </c>
      <c r="R684" s="880">
        <v>2</v>
      </c>
      <c r="S684" s="891"/>
      <c r="T684" s="880">
        <v>4</v>
      </c>
      <c r="U684" s="880">
        <v>2</v>
      </c>
      <c r="V684" s="880">
        <v>2</v>
      </c>
      <c r="W684" s="880"/>
      <c r="X684" s="1" t="s">
        <v>3125</v>
      </c>
    </row>
    <row r="685" spans="2:24" ht="14.25">
      <c r="B685" s="887" t="s">
        <v>2984</v>
      </c>
      <c r="C685" s="880">
        <v>16</v>
      </c>
      <c r="D685" s="892" t="s">
        <v>657</v>
      </c>
      <c r="E685" s="893">
        <v>350</v>
      </c>
      <c r="F685" s="890">
        <v>5600</v>
      </c>
      <c r="G685" s="880" t="s">
        <v>342</v>
      </c>
      <c r="H685" s="880">
        <v>4</v>
      </c>
      <c r="I685" s="880">
        <v>2</v>
      </c>
      <c r="J685" s="880">
        <v>2</v>
      </c>
      <c r="K685" s="891"/>
      <c r="L685" s="880">
        <v>4</v>
      </c>
      <c r="M685" s="880">
        <v>2</v>
      </c>
      <c r="N685" s="880">
        <v>2</v>
      </c>
      <c r="O685" s="891"/>
      <c r="P685" s="880">
        <v>4</v>
      </c>
      <c r="Q685" s="880">
        <v>2</v>
      </c>
      <c r="R685" s="880">
        <v>2</v>
      </c>
      <c r="S685" s="891"/>
      <c r="T685" s="880">
        <v>4</v>
      </c>
      <c r="U685" s="880">
        <v>2</v>
      </c>
      <c r="V685" s="880">
        <v>2</v>
      </c>
      <c r="W685" s="880"/>
      <c r="X685" s="1" t="s">
        <v>3125</v>
      </c>
    </row>
    <row r="686" spans="2:24" ht="15">
      <c r="B686" s="262" t="s">
        <v>3129</v>
      </c>
      <c r="C686" s="263">
        <v>1</v>
      </c>
      <c r="D686" s="263" t="s">
        <v>103</v>
      </c>
      <c r="E686" s="857">
        <v>30000</v>
      </c>
      <c r="F686" s="857">
        <v>30000</v>
      </c>
      <c r="G686" s="858" t="s">
        <v>342</v>
      </c>
      <c r="H686" s="894">
        <v>1</v>
      </c>
      <c r="I686" s="860">
        <v>1</v>
      </c>
      <c r="J686" s="861"/>
      <c r="K686" s="861"/>
      <c r="L686" s="862"/>
      <c r="M686" s="861"/>
      <c r="N686" s="861"/>
      <c r="O686" s="861"/>
      <c r="P686" s="862"/>
      <c r="Q686" s="861"/>
      <c r="R686" s="861"/>
      <c r="S686" s="861"/>
      <c r="T686" s="862"/>
      <c r="U686" s="861"/>
      <c r="V686" s="861"/>
      <c r="W686" s="861"/>
      <c r="X686" s="1" t="s">
        <v>3130</v>
      </c>
    </row>
    <row r="687" spans="2:24" ht="15">
      <c r="B687" s="264" t="s">
        <v>3131</v>
      </c>
      <c r="C687" s="265">
        <v>1</v>
      </c>
      <c r="D687" s="265" t="s">
        <v>118</v>
      </c>
      <c r="E687" s="863">
        <v>50000</v>
      </c>
      <c r="F687" s="863">
        <v>50000</v>
      </c>
      <c r="G687" s="858" t="s">
        <v>342</v>
      </c>
      <c r="H687" s="895">
        <v>1</v>
      </c>
      <c r="I687" s="865">
        <v>1</v>
      </c>
      <c r="J687" s="866"/>
      <c r="K687" s="866"/>
      <c r="L687" s="845"/>
      <c r="M687" s="866"/>
      <c r="N687" s="866"/>
      <c r="O687" s="866"/>
      <c r="P687" s="845"/>
      <c r="Q687" s="866"/>
      <c r="R687" s="866"/>
      <c r="S687" s="866"/>
      <c r="T687" s="845"/>
      <c r="U687" s="866"/>
      <c r="V687" s="866"/>
      <c r="W687" s="866"/>
      <c r="X687" s="1" t="s">
        <v>3130</v>
      </c>
    </row>
    <row r="688" spans="2:24" ht="15">
      <c r="B688" s="264" t="s">
        <v>2940</v>
      </c>
      <c r="C688" s="265">
        <v>1</v>
      </c>
      <c r="D688" s="265" t="s">
        <v>103</v>
      </c>
      <c r="E688" s="863">
        <v>8500</v>
      </c>
      <c r="F688" s="863">
        <v>8500</v>
      </c>
      <c r="G688" s="858" t="s">
        <v>342</v>
      </c>
      <c r="H688" s="895">
        <v>1</v>
      </c>
      <c r="I688" s="865">
        <v>1</v>
      </c>
      <c r="J688" s="866"/>
      <c r="K688" s="866"/>
      <c r="L688" s="845"/>
      <c r="M688" s="866"/>
      <c r="N688" s="866"/>
      <c r="O688" s="866"/>
      <c r="P688" s="845"/>
      <c r="Q688" s="866"/>
      <c r="R688" s="866"/>
      <c r="S688" s="866"/>
      <c r="T688" s="845"/>
      <c r="U688" s="866"/>
      <c r="V688" s="866"/>
      <c r="W688" s="866"/>
      <c r="X688" s="1" t="s">
        <v>3130</v>
      </c>
    </row>
    <row r="689" spans="2:24" ht="15">
      <c r="B689" s="264" t="s">
        <v>3132</v>
      </c>
      <c r="C689" s="265">
        <v>1</v>
      </c>
      <c r="D689" s="265" t="s">
        <v>103</v>
      </c>
      <c r="E689" s="863">
        <v>3500</v>
      </c>
      <c r="F689" s="863">
        <v>3500</v>
      </c>
      <c r="G689" s="858" t="s">
        <v>342</v>
      </c>
      <c r="H689" s="895">
        <v>1</v>
      </c>
      <c r="I689" s="865">
        <v>1</v>
      </c>
      <c r="J689" s="866"/>
      <c r="K689" s="866"/>
      <c r="L689" s="845"/>
      <c r="M689" s="866"/>
      <c r="N689" s="866"/>
      <c r="O689" s="866"/>
      <c r="P689" s="845"/>
      <c r="Q689" s="866"/>
      <c r="R689" s="866"/>
      <c r="S689" s="866"/>
      <c r="T689" s="845"/>
      <c r="U689" s="866"/>
      <c r="V689" s="866"/>
      <c r="W689" s="866"/>
      <c r="X689" s="1" t="s">
        <v>3130</v>
      </c>
    </row>
    <row r="690" spans="2:24" ht="15">
      <c r="B690" s="264" t="s">
        <v>818</v>
      </c>
      <c r="C690" s="265">
        <v>1</v>
      </c>
      <c r="D690" s="265" t="s">
        <v>466</v>
      </c>
      <c r="E690" s="863">
        <v>40000</v>
      </c>
      <c r="F690" s="863">
        <v>40000</v>
      </c>
      <c r="G690" s="858" t="s">
        <v>342</v>
      </c>
      <c r="H690" s="895">
        <v>1</v>
      </c>
      <c r="I690" s="865">
        <v>1</v>
      </c>
      <c r="J690" s="866"/>
      <c r="K690" s="866"/>
      <c r="L690" s="845"/>
      <c r="M690" s="866"/>
      <c r="N690" s="866"/>
      <c r="O690" s="866"/>
      <c r="P690" s="845"/>
      <c r="Q690" s="866"/>
      <c r="R690" s="866"/>
      <c r="S690" s="866"/>
      <c r="T690" s="845"/>
      <c r="U690" s="866"/>
      <c r="V690" s="866"/>
      <c r="W690" s="866"/>
      <c r="X690" s="1" t="s">
        <v>3130</v>
      </c>
    </row>
    <row r="691" spans="2:24" ht="15">
      <c r="B691" s="264" t="s">
        <v>3134</v>
      </c>
      <c r="C691" s="265">
        <v>1</v>
      </c>
      <c r="D691" s="265" t="s">
        <v>103</v>
      </c>
      <c r="E691" s="863">
        <v>10000</v>
      </c>
      <c r="F691" s="863">
        <v>10000</v>
      </c>
      <c r="G691" s="858" t="s">
        <v>342</v>
      </c>
      <c r="H691" s="895">
        <v>1</v>
      </c>
      <c r="I691" s="865">
        <v>1</v>
      </c>
      <c r="J691" s="866"/>
      <c r="K691" s="866"/>
      <c r="L691" s="845"/>
      <c r="M691" s="866"/>
      <c r="N691" s="866"/>
      <c r="O691" s="866"/>
      <c r="P691" s="845"/>
      <c r="Q691" s="866"/>
      <c r="R691" s="866"/>
      <c r="S691" s="866"/>
      <c r="T691" s="845"/>
      <c r="U691" s="866"/>
      <c r="V691" s="866"/>
      <c r="W691" s="866"/>
      <c r="X691" s="1" t="s">
        <v>3130</v>
      </c>
    </row>
    <row r="692" spans="2:24" ht="15">
      <c r="B692" s="264" t="s">
        <v>930</v>
      </c>
      <c r="C692" s="265">
        <v>2</v>
      </c>
      <c r="D692" s="265" t="s">
        <v>103</v>
      </c>
      <c r="E692" s="863">
        <v>4000</v>
      </c>
      <c r="F692" s="863">
        <v>8000</v>
      </c>
      <c r="G692" s="858" t="s">
        <v>342</v>
      </c>
      <c r="H692" s="895">
        <v>1</v>
      </c>
      <c r="I692" s="865">
        <v>1</v>
      </c>
      <c r="J692" s="845"/>
      <c r="K692" s="845"/>
      <c r="L692" s="896">
        <v>1</v>
      </c>
      <c r="M692" s="896">
        <v>1</v>
      </c>
      <c r="N692" s="845"/>
      <c r="O692" s="845"/>
      <c r="P692" s="845"/>
      <c r="Q692" s="845"/>
      <c r="R692" s="845"/>
      <c r="S692" s="845"/>
      <c r="T692" s="845"/>
      <c r="U692" s="845"/>
      <c r="V692" s="845"/>
      <c r="W692" s="845"/>
      <c r="X692" s="1" t="s">
        <v>3130</v>
      </c>
    </row>
    <row r="693" spans="2:24" ht="15">
      <c r="B693" s="266" t="s">
        <v>3135</v>
      </c>
      <c r="C693" s="267">
        <v>1</v>
      </c>
      <c r="D693" s="267" t="s">
        <v>103</v>
      </c>
      <c r="E693" s="267">
        <v>500</v>
      </c>
      <c r="F693" s="265">
        <v>500</v>
      </c>
      <c r="G693" s="858" t="s">
        <v>342</v>
      </c>
      <c r="H693" s="897">
        <v>1</v>
      </c>
      <c r="I693" s="898">
        <v>1</v>
      </c>
      <c r="J693" s="899"/>
      <c r="K693" s="899"/>
      <c r="L693" s="899"/>
      <c r="M693" s="899"/>
      <c r="N693" s="899"/>
      <c r="O693" s="899"/>
      <c r="P693" s="899"/>
      <c r="Q693" s="899"/>
      <c r="R693" s="899"/>
      <c r="S693" s="899"/>
      <c r="T693" s="899"/>
      <c r="U693" s="899"/>
      <c r="V693" s="899"/>
      <c r="W693" s="899"/>
      <c r="X693" s="1" t="s">
        <v>3130</v>
      </c>
    </row>
    <row r="694" spans="2:24" ht="15">
      <c r="B694" s="268" t="s">
        <v>3136</v>
      </c>
      <c r="C694" s="269">
        <v>1</v>
      </c>
      <c r="D694" s="269" t="s">
        <v>103</v>
      </c>
      <c r="E694" s="900">
        <v>10000</v>
      </c>
      <c r="F694" s="863">
        <v>10000</v>
      </c>
      <c r="G694" s="858" t="s">
        <v>342</v>
      </c>
      <c r="H694" s="901">
        <v>1</v>
      </c>
      <c r="I694" s="902">
        <v>1</v>
      </c>
      <c r="J694" s="903"/>
      <c r="K694" s="903"/>
      <c r="L694" s="903"/>
      <c r="M694" s="903"/>
      <c r="N694" s="903"/>
      <c r="O694" s="903"/>
      <c r="P694" s="903"/>
      <c r="Q694" s="903"/>
      <c r="R694" s="903"/>
      <c r="S694" s="903"/>
      <c r="T694" s="903"/>
      <c r="U694" s="903"/>
      <c r="V694" s="903"/>
      <c r="W694" s="903"/>
      <c r="X694" s="1" t="s">
        <v>3130</v>
      </c>
    </row>
    <row r="695" spans="2:24" ht="15">
      <c r="B695" s="268" t="s">
        <v>3137</v>
      </c>
      <c r="C695" s="269">
        <v>1</v>
      </c>
      <c r="D695" s="269" t="s">
        <v>466</v>
      </c>
      <c r="E695" s="900">
        <v>2000</v>
      </c>
      <c r="F695" s="863">
        <v>2000</v>
      </c>
      <c r="G695" s="858" t="s">
        <v>342</v>
      </c>
      <c r="H695" s="901">
        <v>1</v>
      </c>
      <c r="I695" s="902">
        <v>1</v>
      </c>
      <c r="J695" s="903"/>
      <c r="K695" s="903"/>
      <c r="L695" s="903"/>
      <c r="M695" s="903"/>
      <c r="N695" s="903"/>
      <c r="O695" s="903"/>
      <c r="P695" s="903"/>
      <c r="Q695" s="903"/>
      <c r="R695" s="903"/>
      <c r="S695" s="903"/>
      <c r="T695" s="903"/>
      <c r="U695" s="903"/>
      <c r="V695" s="903"/>
      <c r="W695" s="903"/>
      <c r="X695" s="1" t="s">
        <v>3130</v>
      </c>
    </row>
    <row r="696" spans="2:24" ht="15">
      <c r="B696" s="268" t="s">
        <v>3138</v>
      </c>
      <c r="C696" s="269">
        <v>1</v>
      </c>
      <c r="D696" s="269" t="s">
        <v>466</v>
      </c>
      <c r="E696" s="900">
        <v>2000</v>
      </c>
      <c r="F696" s="863">
        <v>2000</v>
      </c>
      <c r="G696" s="858" t="s">
        <v>342</v>
      </c>
      <c r="H696" s="901">
        <v>1</v>
      </c>
      <c r="I696" s="902">
        <v>1</v>
      </c>
      <c r="J696" s="903"/>
      <c r="K696" s="903"/>
      <c r="L696" s="903"/>
      <c r="M696" s="903"/>
      <c r="N696" s="903"/>
      <c r="O696" s="903"/>
      <c r="P696" s="903"/>
      <c r="Q696" s="903"/>
      <c r="R696" s="903"/>
      <c r="S696" s="903"/>
      <c r="T696" s="903"/>
      <c r="U696" s="903"/>
      <c r="V696" s="903"/>
      <c r="W696" s="903"/>
      <c r="X696" s="1" t="s">
        <v>3130</v>
      </c>
    </row>
    <row r="697" spans="2:24" ht="15">
      <c r="B697" s="268" t="s">
        <v>931</v>
      </c>
      <c r="C697" s="269">
        <v>6</v>
      </c>
      <c r="D697" s="269" t="s">
        <v>571</v>
      </c>
      <c r="E697" s="269">
        <v>275</v>
      </c>
      <c r="F697" s="863">
        <v>1650</v>
      </c>
      <c r="G697" s="858" t="s">
        <v>342</v>
      </c>
      <c r="H697" s="901">
        <v>3</v>
      </c>
      <c r="I697" s="902">
        <v>3</v>
      </c>
      <c r="J697" s="903"/>
      <c r="K697" s="903"/>
      <c r="L697" s="903"/>
      <c r="M697" s="903"/>
      <c r="N697" s="903"/>
      <c r="O697" s="903"/>
      <c r="P697" s="904">
        <v>3</v>
      </c>
      <c r="Q697" s="904">
        <v>3</v>
      </c>
      <c r="R697" s="903"/>
      <c r="S697" s="903"/>
      <c r="T697" s="903"/>
      <c r="U697" s="903"/>
      <c r="V697" s="903"/>
      <c r="W697" s="903"/>
      <c r="X697" s="1" t="s">
        <v>3130</v>
      </c>
    </row>
    <row r="698" spans="2:24" ht="15">
      <c r="B698" s="268" t="s">
        <v>932</v>
      </c>
      <c r="C698" s="269">
        <v>2</v>
      </c>
      <c r="D698" s="269" t="s">
        <v>571</v>
      </c>
      <c r="E698" s="269">
        <v>275</v>
      </c>
      <c r="F698" s="265">
        <v>550</v>
      </c>
      <c r="G698" s="858" t="s">
        <v>342</v>
      </c>
      <c r="H698" s="901">
        <v>2</v>
      </c>
      <c r="I698" s="902">
        <v>1</v>
      </c>
      <c r="J698" s="903">
        <v>1</v>
      </c>
      <c r="K698" s="903"/>
      <c r="L698" s="903"/>
      <c r="M698" s="903"/>
      <c r="N698" s="903"/>
      <c r="O698" s="903"/>
      <c r="P698" s="903"/>
      <c r="Q698" s="903"/>
      <c r="R698" s="903"/>
      <c r="S698" s="903"/>
      <c r="T698" s="903"/>
      <c r="U698" s="903"/>
      <c r="V698" s="903"/>
      <c r="W698" s="903"/>
      <c r="X698" s="1" t="s">
        <v>3130</v>
      </c>
    </row>
    <row r="699" spans="2:24" ht="15">
      <c r="B699" s="268" t="s">
        <v>933</v>
      </c>
      <c r="C699" s="269">
        <v>2</v>
      </c>
      <c r="D699" s="269" t="s">
        <v>571</v>
      </c>
      <c r="E699" s="269">
        <v>275</v>
      </c>
      <c r="F699" s="265">
        <v>550</v>
      </c>
      <c r="G699" s="858" t="s">
        <v>342</v>
      </c>
      <c r="H699" s="901">
        <v>2</v>
      </c>
      <c r="I699" s="902">
        <v>1</v>
      </c>
      <c r="J699" s="903">
        <v>1</v>
      </c>
      <c r="K699" s="903"/>
      <c r="L699" s="903"/>
      <c r="M699" s="903"/>
      <c r="N699" s="903"/>
      <c r="O699" s="903"/>
      <c r="P699" s="903"/>
      <c r="Q699" s="903"/>
      <c r="R699" s="903"/>
      <c r="S699" s="903"/>
      <c r="T699" s="903"/>
      <c r="U699" s="903"/>
      <c r="V699" s="903"/>
      <c r="W699" s="903"/>
      <c r="X699" s="1" t="s">
        <v>3130</v>
      </c>
    </row>
    <row r="700" spans="2:24" ht="15">
      <c r="B700" s="268" t="s">
        <v>934</v>
      </c>
      <c r="C700" s="269">
        <v>2</v>
      </c>
      <c r="D700" s="269" t="s">
        <v>571</v>
      </c>
      <c r="E700" s="269">
        <v>275</v>
      </c>
      <c r="F700" s="265">
        <v>550</v>
      </c>
      <c r="G700" s="858" t="s">
        <v>342</v>
      </c>
      <c r="H700" s="901">
        <v>2</v>
      </c>
      <c r="I700" s="902">
        <v>1</v>
      </c>
      <c r="J700" s="903">
        <v>1</v>
      </c>
      <c r="K700" s="903"/>
      <c r="L700" s="903"/>
      <c r="M700" s="903"/>
      <c r="N700" s="903"/>
      <c r="O700" s="903"/>
      <c r="P700" s="903"/>
      <c r="Q700" s="903"/>
      <c r="R700" s="903"/>
      <c r="S700" s="903"/>
      <c r="T700" s="903"/>
      <c r="U700" s="903"/>
      <c r="V700" s="903"/>
      <c r="W700" s="903"/>
      <c r="X700" s="1" t="s">
        <v>3130</v>
      </c>
    </row>
    <row r="701" spans="2:24" ht="14.25">
      <c r="B701" s="905" t="s">
        <v>234</v>
      </c>
      <c r="C701" s="906">
        <v>1</v>
      </c>
      <c r="D701" s="907" t="s">
        <v>103</v>
      </c>
      <c r="E701" s="908">
        <v>480</v>
      </c>
      <c r="F701" s="909">
        <v>480</v>
      </c>
      <c r="G701" s="910" t="s">
        <v>342</v>
      </c>
      <c r="H701" s="911">
        <v>1</v>
      </c>
      <c r="I701" s="906">
        <v>1</v>
      </c>
      <c r="J701" s="912"/>
      <c r="K701" s="913"/>
      <c r="L701" s="914">
        <v>0</v>
      </c>
      <c r="M701" s="906"/>
      <c r="N701" s="912"/>
      <c r="O701" s="913"/>
      <c r="P701" s="914">
        <v>0</v>
      </c>
      <c r="Q701" s="906"/>
      <c r="R701" s="912"/>
      <c r="S701" s="913"/>
      <c r="T701" s="914">
        <v>0</v>
      </c>
      <c r="U701" s="915"/>
      <c r="V701" s="915"/>
      <c r="W701" s="915"/>
      <c r="X701" s="1" t="s">
        <v>133</v>
      </c>
    </row>
    <row r="702" spans="2:24" ht="14.25">
      <c r="B702" s="916" t="s">
        <v>465</v>
      </c>
      <c r="C702" s="906">
        <v>1</v>
      </c>
      <c r="D702" s="907" t="s">
        <v>466</v>
      </c>
      <c r="E702" s="908">
        <v>149.76</v>
      </c>
      <c r="F702" s="917">
        <v>149.76</v>
      </c>
      <c r="G702" s="918" t="s">
        <v>342</v>
      </c>
      <c r="H702" s="919">
        <v>1</v>
      </c>
      <c r="I702" s="906">
        <v>1</v>
      </c>
      <c r="J702" s="912"/>
      <c r="K702" s="913"/>
      <c r="L702" s="920">
        <v>0</v>
      </c>
      <c r="M702" s="906"/>
      <c r="N702" s="912"/>
      <c r="O702" s="913"/>
      <c r="P702" s="920">
        <v>0</v>
      </c>
      <c r="Q702" s="906"/>
      <c r="R702" s="912"/>
      <c r="S702" s="913"/>
      <c r="T702" s="920">
        <v>0</v>
      </c>
      <c r="U702" s="921"/>
      <c r="V702" s="921"/>
      <c r="W702" s="921"/>
      <c r="X702" s="1" t="s">
        <v>133</v>
      </c>
    </row>
    <row r="703" spans="2:24" ht="14.25">
      <c r="B703" s="916" t="s">
        <v>474</v>
      </c>
      <c r="C703" s="921">
        <v>5</v>
      </c>
      <c r="D703" s="921" t="s">
        <v>103</v>
      </c>
      <c r="E703" s="908">
        <v>500</v>
      </c>
      <c r="F703" s="922">
        <v>2500</v>
      </c>
      <c r="G703" s="918" t="s">
        <v>342</v>
      </c>
      <c r="H703" s="919">
        <v>2</v>
      </c>
      <c r="I703" s="805">
        <v>1</v>
      </c>
      <c r="J703" s="850"/>
      <c r="K703" s="850">
        <v>1</v>
      </c>
      <c r="L703" s="919">
        <v>1</v>
      </c>
      <c r="M703" s="805">
        <v>1</v>
      </c>
      <c r="N703" s="850"/>
      <c r="O703" s="850"/>
      <c r="P703" s="919">
        <v>1</v>
      </c>
      <c r="Q703" s="805">
        <v>1</v>
      </c>
      <c r="R703" s="850"/>
      <c r="S703" s="923"/>
      <c r="T703" s="920">
        <v>1</v>
      </c>
      <c r="U703" s="850">
        <v>1</v>
      </c>
      <c r="V703" s="850"/>
      <c r="W703" s="850"/>
      <c r="X703" s="1" t="s">
        <v>133</v>
      </c>
    </row>
    <row r="704" spans="2:24" ht="14.25">
      <c r="B704" s="916" t="s">
        <v>475</v>
      </c>
      <c r="C704" s="921">
        <v>2</v>
      </c>
      <c r="D704" s="921" t="s">
        <v>103</v>
      </c>
      <c r="E704" s="924">
        <v>5000</v>
      </c>
      <c r="F704" s="922">
        <v>10000</v>
      </c>
      <c r="G704" s="918" t="s">
        <v>342</v>
      </c>
      <c r="H704" s="919">
        <v>2</v>
      </c>
      <c r="I704" s="918">
        <v>2</v>
      </c>
      <c r="J704" s="921"/>
      <c r="K704" s="921"/>
      <c r="L704" s="919">
        <v>0</v>
      </c>
      <c r="M704" s="918"/>
      <c r="N704" s="921"/>
      <c r="O704" s="921"/>
      <c r="P704" s="919">
        <v>0</v>
      </c>
      <c r="Q704" s="918"/>
      <c r="R704" s="921"/>
      <c r="S704" s="906"/>
      <c r="T704" s="920">
        <v>0</v>
      </c>
      <c r="U704" s="921"/>
      <c r="V704" s="921"/>
      <c r="W704" s="921"/>
      <c r="X704" s="1" t="s">
        <v>133</v>
      </c>
    </row>
    <row r="705" spans="2:24" ht="14.25">
      <c r="B705" s="916" t="s">
        <v>476</v>
      </c>
      <c r="C705" s="921">
        <v>1</v>
      </c>
      <c r="D705" s="921" t="s">
        <v>103</v>
      </c>
      <c r="E705" s="924">
        <v>60000</v>
      </c>
      <c r="F705" s="922">
        <v>60000</v>
      </c>
      <c r="G705" s="918" t="s">
        <v>342</v>
      </c>
      <c r="H705" s="919">
        <v>1</v>
      </c>
      <c r="I705" s="918">
        <v>1</v>
      </c>
      <c r="J705" s="921"/>
      <c r="K705" s="921"/>
      <c r="L705" s="919">
        <v>0</v>
      </c>
      <c r="M705" s="918"/>
      <c r="N705" s="921"/>
      <c r="O705" s="921"/>
      <c r="P705" s="919">
        <v>0</v>
      </c>
      <c r="Q705" s="918"/>
      <c r="R705" s="921"/>
      <c r="S705" s="906"/>
      <c r="T705" s="920">
        <v>0</v>
      </c>
      <c r="U705" s="921"/>
      <c r="V705" s="921"/>
      <c r="W705" s="921"/>
      <c r="X705" s="1" t="s">
        <v>133</v>
      </c>
    </row>
    <row r="706" spans="2:24" ht="14.25">
      <c r="B706" s="916" t="s">
        <v>3021</v>
      </c>
      <c r="C706" s="921">
        <v>1</v>
      </c>
      <c r="D706" s="921" t="s">
        <v>103</v>
      </c>
      <c r="E706" s="924">
        <v>60000</v>
      </c>
      <c r="F706" s="922">
        <v>60000</v>
      </c>
      <c r="G706" s="918" t="s">
        <v>342</v>
      </c>
      <c r="H706" s="919">
        <v>1</v>
      </c>
      <c r="I706" s="918">
        <v>1</v>
      </c>
      <c r="J706" s="921"/>
      <c r="K706" s="921"/>
      <c r="L706" s="919">
        <v>0</v>
      </c>
      <c r="M706" s="918"/>
      <c r="N706" s="921"/>
      <c r="O706" s="921"/>
      <c r="P706" s="919">
        <v>0</v>
      </c>
      <c r="Q706" s="918"/>
      <c r="R706" s="921"/>
      <c r="S706" s="906"/>
      <c r="T706" s="920">
        <v>0</v>
      </c>
      <c r="U706" s="921"/>
      <c r="V706" s="921"/>
      <c r="W706" s="921"/>
      <c r="X706" s="1" t="s">
        <v>133</v>
      </c>
    </row>
    <row r="707" spans="2:24" ht="14.25">
      <c r="B707" s="916" t="s">
        <v>3022</v>
      </c>
      <c r="C707" s="921">
        <v>2</v>
      </c>
      <c r="D707" s="921" t="s">
        <v>103</v>
      </c>
      <c r="E707" s="924">
        <v>35000</v>
      </c>
      <c r="F707" s="922">
        <v>70000</v>
      </c>
      <c r="G707" s="918" t="s">
        <v>342</v>
      </c>
      <c r="H707" s="919">
        <v>2</v>
      </c>
      <c r="I707" s="918">
        <v>2</v>
      </c>
      <c r="J707" s="921"/>
      <c r="K707" s="921"/>
      <c r="L707" s="919">
        <v>0</v>
      </c>
      <c r="M707" s="918"/>
      <c r="N707" s="921"/>
      <c r="O707" s="921"/>
      <c r="P707" s="919">
        <v>0</v>
      </c>
      <c r="Q707" s="918"/>
      <c r="R707" s="921"/>
      <c r="S707" s="906"/>
      <c r="T707" s="920">
        <v>0</v>
      </c>
      <c r="U707" s="921"/>
      <c r="V707" s="921"/>
      <c r="W707" s="921"/>
      <c r="X707" s="1" t="s">
        <v>133</v>
      </c>
    </row>
    <row r="708" spans="2:24" ht="14.25">
      <c r="B708" s="916" t="s">
        <v>3023</v>
      </c>
      <c r="C708" s="921">
        <v>1</v>
      </c>
      <c r="D708" s="921" t="s">
        <v>103</v>
      </c>
      <c r="E708" s="924">
        <v>5000</v>
      </c>
      <c r="F708" s="922">
        <v>5000</v>
      </c>
      <c r="G708" s="918" t="s">
        <v>342</v>
      </c>
      <c r="H708" s="919">
        <v>1</v>
      </c>
      <c r="I708" s="918">
        <v>1</v>
      </c>
      <c r="J708" s="921"/>
      <c r="K708" s="921"/>
      <c r="L708" s="919">
        <v>0</v>
      </c>
      <c r="M708" s="918"/>
      <c r="N708" s="921"/>
      <c r="O708" s="921"/>
      <c r="P708" s="919">
        <v>0</v>
      </c>
      <c r="Q708" s="918"/>
      <c r="R708" s="921"/>
      <c r="S708" s="906"/>
      <c r="T708" s="920">
        <v>0</v>
      </c>
      <c r="U708" s="921"/>
      <c r="V708" s="921"/>
      <c r="W708" s="921"/>
      <c r="X708" s="1" t="s">
        <v>133</v>
      </c>
    </row>
    <row r="709" spans="2:24" ht="14.25">
      <c r="B709" s="916" t="s">
        <v>3024</v>
      </c>
      <c r="C709" s="921">
        <v>1</v>
      </c>
      <c r="D709" s="921" t="s">
        <v>103</v>
      </c>
      <c r="E709" s="924">
        <v>5000</v>
      </c>
      <c r="F709" s="922">
        <v>5000</v>
      </c>
      <c r="G709" s="918" t="s">
        <v>342</v>
      </c>
      <c r="H709" s="919">
        <v>1</v>
      </c>
      <c r="I709" s="918">
        <v>1</v>
      </c>
      <c r="J709" s="921"/>
      <c r="K709" s="921"/>
      <c r="L709" s="919">
        <v>0</v>
      </c>
      <c r="M709" s="918"/>
      <c r="N709" s="921"/>
      <c r="O709" s="921"/>
      <c r="P709" s="919">
        <v>0</v>
      </c>
      <c r="Q709" s="918"/>
      <c r="R709" s="921"/>
      <c r="S709" s="906"/>
      <c r="T709" s="920">
        <v>0</v>
      </c>
      <c r="U709" s="921"/>
      <c r="V709" s="921"/>
      <c r="W709" s="921"/>
      <c r="X709" s="1" t="s">
        <v>133</v>
      </c>
    </row>
    <row r="710" spans="2:24" ht="14.25">
      <c r="B710" s="916" t="s">
        <v>3025</v>
      </c>
      <c r="C710" s="921">
        <v>1</v>
      </c>
      <c r="D710" s="921" t="s">
        <v>103</v>
      </c>
      <c r="E710" s="908">
        <v>500</v>
      </c>
      <c r="F710" s="917">
        <v>500</v>
      </c>
      <c r="G710" s="918" t="s">
        <v>342</v>
      </c>
      <c r="H710" s="919">
        <v>1</v>
      </c>
      <c r="I710" s="918">
        <v>1</v>
      </c>
      <c r="J710" s="921"/>
      <c r="K710" s="921"/>
      <c r="L710" s="919">
        <v>0</v>
      </c>
      <c r="M710" s="918"/>
      <c r="N710" s="921"/>
      <c r="O710" s="921"/>
      <c r="P710" s="919">
        <v>0</v>
      </c>
      <c r="Q710" s="918"/>
      <c r="R710" s="921"/>
      <c r="S710" s="906"/>
      <c r="T710" s="920">
        <v>0</v>
      </c>
      <c r="U710" s="921"/>
      <c r="V710" s="921"/>
      <c r="W710" s="921"/>
      <c r="X710" s="1" t="s">
        <v>133</v>
      </c>
    </row>
    <row r="711" spans="2:24" ht="14.25">
      <c r="B711" s="916" t="s">
        <v>3026</v>
      </c>
      <c r="C711" s="921">
        <v>1</v>
      </c>
      <c r="D711" s="921" t="s">
        <v>3027</v>
      </c>
      <c r="E711" s="908">
        <v>500</v>
      </c>
      <c r="F711" s="917">
        <v>500</v>
      </c>
      <c r="G711" s="918" t="s">
        <v>342</v>
      </c>
      <c r="H711" s="919">
        <v>1</v>
      </c>
      <c r="I711" s="918">
        <v>1</v>
      </c>
      <c r="J711" s="921"/>
      <c r="K711" s="921"/>
      <c r="L711" s="919">
        <v>0</v>
      </c>
      <c r="M711" s="918"/>
      <c r="N711" s="921"/>
      <c r="O711" s="921"/>
      <c r="P711" s="919">
        <v>0</v>
      </c>
      <c r="Q711" s="918"/>
      <c r="R711" s="921"/>
      <c r="S711" s="906"/>
      <c r="T711" s="920">
        <v>0</v>
      </c>
      <c r="U711" s="921"/>
      <c r="V711" s="921"/>
      <c r="W711" s="921"/>
      <c r="X711" s="1" t="s">
        <v>133</v>
      </c>
    </row>
    <row r="712" spans="2:24" ht="14.25">
      <c r="B712" s="916" t="s">
        <v>527</v>
      </c>
      <c r="C712" s="921">
        <v>1</v>
      </c>
      <c r="D712" s="921" t="s">
        <v>103</v>
      </c>
      <c r="E712" s="924">
        <v>55000</v>
      </c>
      <c r="F712" s="922">
        <v>55000</v>
      </c>
      <c r="G712" s="918" t="s">
        <v>342</v>
      </c>
      <c r="H712" s="919">
        <v>1</v>
      </c>
      <c r="I712" s="918">
        <v>1</v>
      </c>
      <c r="J712" s="921"/>
      <c r="K712" s="921"/>
      <c r="L712" s="919">
        <v>0</v>
      </c>
      <c r="M712" s="918"/>
      <c r="N712" s="921"/>
      <c r="O712" s="921"/>
      <c r="P712" s="919">
        <v>0</v>
      </c>
      <c r="Q712" s="918"/>
      <c r="R712" s="921"/>
      <c r="S712" s="906"/>
      <c r="T712" s="920">
        <v>0</v>
      </c>
      <c r="U712" s="921"/>
      <c r="V712" s="921"/>
      <c r="W712" s="921"/>
      <c r="X712" s="1" t="s">
        <v>133</v>
      </c>
    </row>
    <row r="713" spans="2:24" ht="12.75">
      <c r="B713" s="925" t="s">
        <v>528</v>
      </c>
      <c r="C713" s="910">
        <v>60</v>
      </c>
      <c r="D713" s="910" t="s">
        <v>103</v>
      </c>
      <c r="E713" s="910">
        <v>249.6</v>
      </c>
      <c r="F713" s="926">
        <v>14976</v>
      </c>
      <c r="G713" s="927" t="s">
        <v>342</v>
      </c>
      <c r="H713" s="928">
        <v>15</v>
      </c>
      <c r="I713" s="929">
        <v>5</v>
      </c>
      <c r="J713" s="929">
        <v>5</v>
      </c>
      <c r="K713" s="929">
        <v>5</v>
      </c>
      <c r="L713" s="928">
        <v>15</v>
      </c>
      <c r="M713" s="929">
        <v>5</v>
      </c>
      <c r="N713" s="929">
        <v>5</v>
      </c>
      <c r="O713" s="929">
        <v>5</v>
      </c>
      <c r="P713" s="928">
        <v>15</v>
      </c>
      <c r="Q713" s="929">
        <v>5</v>
      </c>
      <c r="R713" s="929">
        <v>5</v>
      </c>
      <c r="S713" s="929">
        <v>5</v>
      </c>
      <c r="T713" s="928">
        <v>15</v>
      </c>
      <c r="U713" s="929">
        <v>5</v>
      </c>
      <c r="V713" s="929">
        <v>5</v>
      </c>
      <c r="W713" s="929">
        <v>5</v>
      </c>
      <c r="X713" s="1" t="s">
        <v>133</v>
      </c>
    </row>
    <row r="714" spans="2:24" ht="12.75">
      <c r="B714" s="930" t="s">
        <v>529</v>
      </c>
      <c r="C714" s="918">
        <v>30</v>
      </c>
      <c r="D714" s="918" t="s">
        <v>103</v>
      </c>
      <c r="E714" s="918">
        <v>249.6</v>
      </c>
      <c r="F714" s="926">
        <v>7488</v>
      </c>
      <c r="G714" s="927" t="s">
        <v>342</v>
      </c>
      <c r="H714" s="931">
        <v>7</v>
      </c>
      <c r="I714" s="927">
        <v>3</v>
      </c>
      <c r="J714" s="927">
        <v>2</v>
      </c>
      <c r="K714" s="927">
        <v>2</v>
      </c>
      <c r="L714" s="931">
        <v>8</v>
      </c>
      <c r="M714" s="927">
        <v>3</v>
      </c>
      <c r="N714" s="927">
        <v>2</v>
      </c>
      <c r="O714" s="927">
        <v>3</v>
      </c>
      <c r="P714" s="931">
        <v>7</v>
      </c>
      <c r="Q714" s="927">
        <v>3</v>
      </c>
      <c r="R714" s="927">
        <v>2</v>
      </c>
      <c r="S714" s="927">
        <v>2</v>
      </c>
      <c r="T714" s="931">
        <v>8</v>
      </c>
      <c r="U714" s="927">
        <v>3</v>
      </c>
      <c r="V714" s="927">
        <v>2</v>
      </c>
      <c r="W714" s="927">
        <v>3</v>
      </c>
      <c r="X714" s="1" t="s">
        <v>133</v>
      </c>
    </row>
    <row r="715" spans="2:24" ht="12.75">
      <c r="B715" s="930" t="s">
        <v>530</v>
      </c>
      <c r="C715" s="918">
        <v>30</v>
      </c>
      <c r="D715" s="918" t="s">
        <v>103</v>
      </c>
      <c r="E715" s="918">
        <v>249.6</v>
      </c>
      <c r="F715" s="926">
        <v>7488</v>
      </c>
      <c r="G715" s="927" t="s">
        <v>342</v>
      </c>
      <c r="H715" s="931">
        <v>7</v>
      </c>
      <c r="I715" s="927">
        <v>3</v>
      </c>
      <c r="J715" s="927">
        <v>2</v>
      </c>
      <c r="K715" s="927">
        <v>2</v>
      </c>
      <c r="L715" s="931">
        <v>8</v>
      </c>
      <c r="M715" s="927">
        <v>3</v>
      </c>
      <c r="N715" s="927">
        <v>2</v>
      </c>
      <c r="O715" s="927">
        <v>3</v>
      </c>
      <c r="P715" s="931">
        <v>7</v>
      </c>
      <c r="Q715" s="927">
        <v>3</v>
      </c>
      <c r="R715" s="927">
        <v>2</v>
      </c>
      <c r="S715" s="927">
        <v>2</v>
      </c>
      <c r="T715" s="931">
        <v>8</v>
      </c>
      <c r="U715" s="927">
        <v>3</v>
      </c>
      <c r="V715" s="927">
        <v>2</v>
      </c>
      <c r="W715" s="927">
        <v>3</v>
      </c>
      <c r="X715" s="1" t="s">
        <v>133</v>
      </c>
    </row>
    <row r="716" spans="2:24" ht="12.75">
      <c r="B716" s="930" t="s">
        <v>531</v>
      </c>
      <c r="C716" s="918">
        <v>30</v>
      </c>
      <c r="D716" s="918" t="s">
        <v>103</v>
      </c>
      <c r="E716" s="918">
        <v>249.6</v>
      </c>
      <c r="F716" s="926">
        <v>7488</v>
      </c>
      <c r="G716" s="927" t="s">
        <v>342</v>
      </c>
      <c r="H716" s="931">
        <v>7</v>
      </c>
      <c r="I716" s="927">
        <v>3</v>
      </c>
      <c r="J716" s="927">
        <v>2</v>
      </c>
      <c r="K716" s="927">
        <v>2</v>
      </c>
      <c r="L716" s="931">
        <v>8</v>
      </c>
      <c r="M716" s="927">
        <v>3</v>
      </c>
      <c r="N716" s="927">
        <v>2</v>
      </c>
      <c r="O716" s="927">
        <v>3</v>
      </c>
      <c r="P716" s="931">
        <v>7</v>
      </c>
      <c r="Q716" s="927">
        <v>3</v>
      </c>
      <c r="R716" s="927">
        <v>2</v>
      </c>
      <c r="S716" s="927">
        <v>2</v>
      </c>
      <c r="T716" s="931">
        <v>8</v>
      </c>
      <c r="U716" s="927">
        <v>3</v>
      </c>
      <c r="V716" s="927">
        <v>2</v>
      </c>
      <c r="W716" s="927">
        <v>3</v>
      </c>
      <c r="X716" s="1" t="s">
        <v>133</v>
      </c>
    </row>
    <row r="717" spans="2:24" ht="21">
      <c r="B717" s="932" t="s">
        <v>3139</v>
      </c>
      <c r="C717" s="933">
        <v>20</v>
      </c>
      <c r="D717" s="933" t="s">
        <v>103</v>
      </c>
      <c r="E717" s="934">
        <v>9240</v>
      </c>
      <c r="F717" s="934">
        <v>184800</v>
      </c>
      <c r="G717" s="933" t="s">
        <v>342</v>
      </c>
      <c r="H717" s="933">
        <v>5</v>
      </c>
      <c r="I717" s="933">
        <v>5</v>
      </c>
      <c r="J717" s="933"/>
      <c r="K717" s="933"/>
      <c r="L717" s="933">
        <v>5</v>
      </c>
      <c r="M717" s="933">
        <v>5</v>
      </c>
      <c r="N717" s="933"/>
      <c r="O717" s="933"/>
      <c r="P717" s="933">
        <v>5</v>
      </c>
      <c r="Q717" s="933">
        <v>5</v>
      </c>
      <c r="R717" s="933"/>
      <c r="S717" s="933"/>
      <c r="T717" s="933">
        <v>5</v>
      </c>
      <c r="U717" s="933">
        <v>5</v>
      </c>
      <c r="V717" s="933"/>
      <c r="W717" s="933"/>
      <c r="X717" s="1" t="s">
        <v>184</v>
      </c>
    </row>
    <row r="718" spans="2:24" ht="21">
      <c r="B718" s="935" t="s">
        <v>807</v>
      </c>
      <c r="C718" s="936">
        <v>16</v>
      </c>
      <c r="D718" s="936" t="s">
        <v>103</v>
      </c>
      <c r="E718" s="937">
        <v>365</v>
      </c>
      <c r="F718" s="938">
        <v>5840</v>
      </c>
      <c r="G718" s="936" t="s">
        <v>342</v>
      </c>
      <c r="H718" s="936">
        <v>4</v>
      </c>
      <c r="I718" s="936">
        <v>4</v>
      </c>
      <c r="J718" s="936"/>
      <c r="K718" s="936"/>
      <c r="L718" s="936">
        <v>4</v>
      </c>
      <c r="M718" s="936">
        <v>4</v>
      </c>
      <c r="N718" s="936"/>
      <c r="O718" s="936"/>
      <c r="P718" s="936">
        <v>4</v>
      </c>
      <c r="Q718" s="936">
        <v>4</v>
      </c>
      <c r="R718" s="936"/>
      <c r="S718" s="936"/>
      <c r="T718" s="936">
        <v>4</v>
      </c>
      <c r="U718" s="936">
        <v>4</v>
      </c>
      <c r="V718" s="936"/>
      <c r="W718" s="936"/>
      <c r="X718" s="1" t="s">
        <v>184</v>
      </c>
    </row>
    <row r="719" spans="2:24" ht="21">
      <c r="B719" s="935" t="s">
        <v>808</v>
      </c>
      <c r="C719" s="936">
        <v>10</v>
      </c>
      <c r="D719" s="936" t="s">
        <v>103</v>
      </c>
      <c r="E719" s="937">
        <v>305</v>
      </c>
      <c r="F719" s="938">
        <v>3050</v>
      </c>
      <c r="G719" s="936" t="s">
        <v>342</v>
      </c>
      <c r="H719" s="936">
        <v>5</v>
      </c>
      <c r="I719" s="936">
        <v>5</v>
      </c>
      <c r="J719" s="936"/>
      <c r="K719" s="936"/>
      <c r="L719" s="936">
        <v>5</v>
      </c>
      <c r="M719" s="936">
        <v>5</v>
      </c>
      <c r="N719" s="936"/>
      <c r="O719" s="936"/>
      <c r="P719" s="936">
        <v>5</v>
      </c>
      <c r="Q719" s="936">
        <v>5</v>
      </c>
      <c r="R719" s="936"/>
      <c r="S719" s="936"/>
      <c r="T719" s="936">
        <v>5</v>
      </c>
      <c r="U719" s="936">
        <v>5</v>
      </c>
      <c r="V719" s="936"/>
      <c r="W719" s="936"/>
      <c r="X719" s="1" t="s">
        <v>184</v>
      </c>
    </row>
    <row r="720" spans="2:24" ht="21">
      <c r="B720" s="935" t="s">
        <v>809</v>
      </c>
      <c r="C720" s="936">
        <v>10</v>
      </c>
      <c r="D720" s="936" t="s">
        <v>103</v>
      </c>
      <c r="E720" s="937">
        <v>305</v>
      </c>
      <c r="F720" s="938">
        <v>3050</v>
      </c>
      <c r="G720" s="936" t="s">
        <v>342</v>
      </c>
      <c r="H720" s="936">
        <v>5</v>
      </c>
      <c r="I720" s="936">
        <v>5</v>
      </c>
      <c r="J720" s="936"/>
      <c r="K720" s="936"/>
      <c r="L720" s="936">
        <v>5</v>
      </c>
      <c r="M720" s="936">
        <v>5</v>
      </c>
      <c r="N720" s="936"/>
      <c r="O720" s="936"/>
      <c r="P720" s="936">
        <v>5</v>
      </c>
      <c r="Q720" s="936">
        <v>5</v>
      </c>
      <c r="R720" s="936"/>
      <c r="S720" s="936"/>
      <c r="T720" s="936">
        <v>5</v>
      </c>
      <c r="U720" s="936">
        <v>5</v>
      </c>
      <c r="V720" s="936"/>
      <c r="W720" s="936"/>
      <c r="X720" s="1" t="s">
        <v>184</v>
      </c>
    </row>
    <row r="721" spans="2:24" ht="21">
      <c r="B721" s="935" t="s">
        <v>810</v>
      </c>
      <c r="C721" s="936">
        <v>10</v>
      </c>
      <c r="D721" s="936" t="s">
        <v>103</v>
      </c>
      <c r="E721" s="937">
        <v>305</v>
      </c>
      <c r="F721" s="938">
        <v>3050</v>
      </c>
      <c r="G721" s="936" t="s">
        <v>342</v>
      </c>
      <c r="H721" s="936">
        <v>5</v>
      </c>
      <c r="I721" s="936">
        <v>5</v>
      </c>
      <c r="J721" s="936"/>
      <c r="K721" s="936"/>
      <c r="L721" s="936">
        <v>5</v>
      </c>
      <c r="M721" s="936">
        <v>5</v>
      </c>
      <c r="N721" s="936"/>
      <c r="O721" s="936"/>
      <c r="P721" s="936">
        <v>5</v>
      </c>
      <c r="Q721" s="936">
        <v>5</v>
      </c>
      <c r="R721" s="936"/>
      <c r="S721" s="936"/>
      <c r="T721" s="936">
        <v>5</v>
      </c>
      <c r="U721" s="936">
        <v>5</v>
      </c>
      <c r="V721" s="936"/>
      <c r="W721" s="936"/>
      <c r="X721" s="1" t="s">
        <v>184</v>
      </c>
    </row>
    <row r="722" spans="2:24" ht="21">
      <c r="B722" s="935" t="s">
        <v>3140</v>
      </c>
      <c r="C722" s="936">
        <v>5</v>
      </c>
      <c r="D722" s="936" t="s">
        <v>638</v>
      </c>
      <c r="E722" s="937">
        <v>330</v>
      </c>
      <c r="F722" s="938">
        <v>1650</v>
      </c>
      <c r="G722" s="936" t="s">
        <v>342</v>
      </c>
      <c r="H722" s="936">
        <v>0</v>
      </c>
      <c r="I722" s="936"/>
      <c r="J722" s="936"/>
      <c r="K722" s="936"/>
      <c r="L722" s="936">
        <v>5</v>
      </c>
      <c r="M722" s="936">
        <v>5</v>
      </c>
      <c r="N722" s="936"/>
      <c r="O722" s="936"/>
      <c r="P722" s="936">
        <v>0</v>
      </c>
      <c r="Q722" s="936"/>
      <c r="R722" s="936"/>
      <c r="S722" s="936"/>
      <c r="T722" s="936">
        <v>5</v>
      </c>
      <c r="U722" s="936">
        <v>5</v>
      </c>
      <c r="V722" s="936"/>
      <c r="W722" s="936"/>
      <c r="X722" s="1" t="s">
        <v>184</v>
      </c>
    </row>
    <row r="723" spans="2:24" ht="21">
      <c r="B723" s="935" t="s">
        <v>3141</v>
      </c>
      <c r="C723" s="936">
        <v>5</v>
      </c>
      <c r="D723" s="936" t="s">
        <v>638</v>
      </c>
      <c r="E723" s="937">
        <v>420</v>
      </c>
      <c r="F723" s="938">
        <v>2100</v>
      </c>
      <c r="G723" s="936" t="s">
        <v>342</v>
      </c>
      <c r="H723" s="936">
        <v>0</v>
      </c>
      <c r="I723" s="936"/>
      <c r="J723" s="936"/>
      <c r="K723" s="936"/>
      <c r="L723" s="936">
        <v>5</v>
      </c>
      <c r="M723" s="936">
        <v>5</v>
      </c>
      <c r="N723" s="936"/>
      <c r="O723" s="936"/>
      <c r="P723" s="936">
        <v>0</v>
      </c>
      <c r="Q723" s="936"/>
      <c r="R723" s="936"/>
      <c r="S723" s="936"/>
      <c r="T723" s="936">
        <v>5</v>
      </c>
      <c r="U723" s="936">
        <v>5</v>
      </c>
      <c r="V723" s="936"/>
      <c r="W723" s="936"/>
      <c r="X723" s="1" t="s">
        <v>184</v>
      </c>
    </row>
    <row r="724" spans="2:24" ht="21">
      <c r="B724" s="935" t="s">
        <v>3142</v>
      </c>
      <c r="C724" s="936">
        <v>5</v>
      </c>
      <c r="D724" s="936" t="s">
        <v>638</v>
      </c>
      <c r="E724" s="937">
        <v>420</v>
      </c>
      <c r="F724" s="938">
        <v>2100</v>
      </c>
      <c r="G724" s="936" t="s">
        <v>342</v>
      </c>
      <c r="H724" s="936">
        <v>0</v>
      </c>
      <c r="I724" s="936"/>
      <c r="J724" s="936"/>
      <c r="K724" s="936"/>
      <c r="L724" s="936">
        <v>5</v>
      </c>
      <c r="M724" s="936">
        <v>5</v>
      </c>
      <c r="N724" s="936"/>
      <c r="O724" s="936"/>
      <c r="P724" s="936">
        <v>0</v>
      </c>
      <c r="Q724" s="936"/>
      <c r="R724" s="936"/>
      <c r="S724" s="936"/>
      <c r="T724" s="936">
        <v>5</v>
      </c>
      <c r="U724" s="936">
        <v>5</v>
      </c>
      <c r="V724" s="936"/>
      <c r="W724" s="936"/>
      <c r="X724" s="1" t="s">
        <v>184</v>
      </c>
    </row>
    <row r="725" spans="2:24" ht="21">
      <c r="B725" s="939" t="s">
        <v>3143</v>
      </c>
      <c r="C725" s="940">
        <v>5</v>
      </c>
      <c r="D725" s="936" t="s">
        <v>638</v>
      </c>
      <c r="E725" s="937">
        <v>420</v>
      </c>
      <c r="F725" s="938">
        <v>2100</v>
      </c>
      <c r="G725" s="936" t="s">
        <v>342</v>
      </c>
      <c r="H725" s="936">
        <v>0</v>
      </c>
      <c r="I725" s="936"/>
      <c r="J725" s="936"/>
      <c r="K725" s="936"/>
      <c r="L725" s="936">
        <v>5</v>
      </c>
      <c r="M725" s="936">
        <v>5</v>
      </c>
      <c r="N725" s="936"/>
      <c r="O725" s="936"/>
      <c r="P725" s="936">
        <v>0</v>
      </c>
      <c r="Q725" s="936"/>
      <c r="R725" s="936"/>
      <c r="S725" s="936"/>
      <c r="T725" s="936">
        <v>5</v>
      </c>
      <c r="U725" s="936">
        <v>5</v>
      </c>
      <c r="V725" s="936"/>
      <c r="W725" s="936"/>
      <c r="X725" s="1" t="s">
        <v>184</v>
      </c>
    </row>
    <row r="726" spans="2:24" ht="21">
      <c r="B726" s="941" t="s">
        <v>557</v>
      </c>
      <c r="C726" s="942">
        <v>10</v>
      </c>
      <c r="D726" s="936" t="s">
        <v>103</v>
      </c>
      <c r="E726" s="937">
        <v>339.75</v>
      </c>
      <c r="F726" s="938">
        <v>3397.5</v>
      </c>
      <c r="G726" s="936" t="s">
        <v>342</v>
      </c>
      <c r="H726" s="936">
        <v>5</v>
      </c>
      <c r="I726" s="936">
        <v>5</v>
      </c>
      <c r="J726" s="936"/>
      <c r="K726" s="936"/>
      <c r="L726" s="936">
        <v>0</v>
      </c>
      <c r="M726" s="936"/>
      <c r="N726" s="936"/>
      <c r="O726" s="936"/>
      <c r="P726" s="936">
        <v>5</v>
      </c>
      <c r="Q726" s="936">
        <v>5</v>
      </c>
      <c r="R726" s="936"/>
      <c r="S726" s="936"/>
      <c r="T726" s="936">
        <v>0</v>
      </c>
      <c r="U726" s="936"/>
      <c r="V726" s="936"/>
      <c r="W726" s="936"/>
      <c r="X726" s="1" t="s">
        <v>184</v>
      </c>
    </row>
    <row r="727" spans="2:24" ht="21">
      <c r="B727" s="941" t="s">
        <v>558</v>
      </c>
      <c r="C727" s="942">
        <v>5</v>
      </c>
      <c r="D727" s="936" t="s">
        <v>103</v>
      </c>
      <c r="E727" s="937">
        <v>345</v>
      </c>
      <c r="F727" s="938">
        <v>1725</v>
      </c>
      <c r="G727" s="936" t="s">
        <v>342</v>
      </c>
      <c r="H727" s="936">
        <v>0</v>
      </c>
      <c r="I727" s="936"/>
      <c r="J727" s="936"/>
      <c r="K727" s="936"/>
      <c r="L727" s="936">
        <v>5</v>
      </c>
      <c r="M727" s="936">
        <v>5</v>
      </c>
      <c r="N727" s="936"/>
      <c r="O727" s="936"/>
      <c r="P727" s="936">
        <v>0</v>
      </c>
      <c r="Q727" s="936"/>
      <c r="R727" s="936"/>
      <c r="S727" s="936"/>
      <c r="T727" s="936">
        <v>0</v>
      </c>
      <c r="U727" s="936"/>
      <c r="V727" s="936"/>
      <c r="W727" s="936"/>
      <c r="X727" s="1" t="s">
        <v>184</v>
      </c>
    </row>
    <row r="728" spans="2:24" ht="21">
      <c r="B728" s="941" t="s">
        <v>559</v>
      </c>
      <c r="C728" s="942">
        <v>5</v>
      </c>
      <c r="D728" s="936" t="s">
        <v>103</v>
      </c>
      <c r="E728" s="937">
        <v>345</v>
      </c>
      <c r="F728" s="938">
        <v>1725</v>
      </c>
      <c r="G728" s="936" t="s">
        <v>342</v>
      </c>
      <c r="H728" s="936">
        <v>0</v>
      </c>
      <c r="I728" s="936"/>
      <c r="J728" s="936"/>
      <c r="K728" s="936"/>
      <c r="L728" s="936">
        <v>5</v>
      </c>
      <c r="M728" s="936">
        <v>5</v>
      </c>
      <c r="N728" s="936"/>
      <c r="O728" s="936"/>
      <c r="P728" s="936">
        <v>0</v>
      </c>
      <c r="Q728" s="936"/>
      <c r="R728" s="936"/>
      <c r="S728" s="936"/>
      <c r="T728" s="936">
        <v>0</v>
      </c>
      <c r="U728" s="936"/>
      <c r="V728" s="936"/>
      <c r="W728" s="936"/>
      <c r="X728" s="1" t="s">
        <v>184</v>
      </c>
    </row>
    <row r="729" spans="2:24" ht="21">
      <c r="B729" s="941" t="s">
        <v>709</v>
      </c>
      <c r="C729" s="942">
        <v>5</v>
      </c>
      <c r="D729" s="936" t="s">
        <v>103</v>
      </c>
      <c r="E729" s="937">
        <v>345</v>
      </c>
      <c r="F729" s="938">
        <v>1725</v>
      </c>
      <c r="G729" s="936" t="s">
        <v>342</v>
      </c>
      <c r="H729" s="936">
        <v>0</v>
      </c>
      <c r="I729" s="936"/>
      <c r="J729" s="936"/>
      <c r="K729" s="936"/>
      <c r="L729" s="936">
        <v>5</v>
      </c>
      <c r="M729" s="936">
        <v>5</v>
      </c>
      <c r="N729" s="936"/>
      <c r="O729" s="936"/>
      <c r="P729" s="936">
        <v>0</v>
      </c>
      <c r="Q729" s="936"/>
      <c r="R729" s="936"/>
      <c r="S729" s="936"/>
      <c r="T729" s="936">
        <v>0</v>
      </c>
      <c r="U729" s="936"/>
      <c r="V729" s="936"/>
      <c r="W729" s="936"/>
      <c r="X729" s="1" t="s">
        <v>184</v>
      </c>
    </row>
    <row r="730" spans="2:24" ht="21">
      <c r="B730" s="941" t="s">
        <v>3144</v>
      </c>
      <c r="C730" s="942">
        <v>10</v>
      </c>
      <c r="D730" s="936" t="s">
        <v>638</v>
      </c>
      <c r="E730" s="937">
        <v>390</v>
      </c>
      <c r="F730" s="938">
        <v>3900</v>
      </c>
      <c r="G730" s="936" t="s">
        <v>342</v>
      </c>
      <c r="H730" s="936">
        <v>5</v>
      </c>
      <c r="I730" s="936">
        <v>5</v>
      </c>
      <c r="J730" s="936"/>
      <c r="K730" s="936"/>
      <c r="L730" s="936">
        <v>0</v>
      </c>
      <c r="M730" s="936"/>
      <c r="N730" s="936"/>
      <c r="O730" s="936"/>
      <c r="P730" s="936">
        <v>5</v>
      </c>
      <c r="Q730" s="936">
        <v>5</v>
      </c>
      <c r="R730" s="936"/>
      <c r="S730" s="936"/>
      <c r="T730" s="936">
        <v>0</v>
      </c>
      <c r="U730" s="936"/>
      <c r="V730" s="936"/>
      <c r="W730" s="936"/>
      <c r="X730" s="1" t="s">
        <v>184</v>
      </c>
    </row>
    <row r="731" spans="2:24" ht="21">
      <c r="B731" s="941" t="s">
        <v>3145</v>
      </c>
      <c r="C731" s="942">
        <v>5</v>
      </c>
      <c r="D731" s="936" t="s">
        <v>638</v>
      </c>
      <c r="E731" s="937">
        <v>390</v>
      </c>
      <c r="F731" s="938">
        <v>1950</v>
      </c>
      <c r="G731" s="936" t="s">
        <v>342</v>
      </c>
      <c r="H731" s="936">
        <v>0</v>
      </c>
      <c r="I731" s="936"/>
      <c r="J731" s="936"/>
      <c r="K731" s="936"/>
      <c r="L731" s="936">
        <v>0</v>
      </c>
      <c r="M731" s="936"/>
      <c r="N731" s="936"/>
      <c r="O731" s="936"/>
      <c r="P731" s="936">
        <v>5</v>
      </c>
      <c r="Q731" s="936">
        <v>5</v>
      </c>
      <c r="R731" s="936"/>
      <c r="S731" s="936"/>
      <c r="T731" s="936">
        <v>0</v>
      </c>
      <c r="U731" s="936"/>
      <c r="V731" s="936"/>
      <c r="W731" s="936"/>
      <c r="X731" s="1" t="s">
        <v>184</v>
      </c>
    </row>
    <row r="732" spans="2:24" ht="21">
      <c r="B732" s="941" t="s">
        <v>3146</v>
      </c>
      <c r="C732" s="942">
        <v>5</v>
      </c>
      <c r="D732" s="936" t="s">
        <v>638</v>
      </c>
      <c r="E732" s="937">
        <v>390</v>
      </c>
      <c r="F732" s="938">
        <v>1950</v>
      </c>
      <c r="G732" s="936" t="s">
        <v>342</v>
      </c>
      <c r="H732" s="936">
        <v>0</v>
      </c>
      <c r="I732" s="936"/>
      <c r="J732" s="936"/>
      <c r="K732" s="936"/>
      <c r="L732" s="936">
        <v>0</v>
      </c>
      <c r="M732" s="936"/>
      <c r="N732" s="936"/>
      <c r="O732" s="936"/>
      <c r="P732" s="936">
        <v>5</v>
      </c>
      <c r="Q732" s="936">
        <v>5</v>
      </c>
      <c r="R732" s="936"/>
      <c r="S732" s="936"/>
      <c r="T732" s="936">
        <v>0</v>
      </c>
      <c r="U732" s="936"/>
      <c r="V732" s="936"/>
      <c r="W732" s="936"/>
      <c r="X732" s="1" t="s">
        <v>184</v>
      </c>
    </row>
    <row r="733" spans="2:24" ht="21">
      <c r="B733" s="941" t="s">
        <v>3147</v>
      </c>
      <c r="C733" s="942">
        <v>5</v>
      </c>
      <c r="D733" s="936" t="s">
        <v>638</v>
      </c>
      <c r="E733" s="937">
        <v>390</v>
      </c>
      <c r="F733" s="938">
        <v>1950</v>
      </c>
      <c r="G733" s="936" t="s">
        <v>342</v>
      </c>
      <c r="H733" s="936">
        <v>0</v>
      </c>
      <c r="I733" s="936"/>
      <c r="J733" s="936"/>
      <c r="K733" s="936"/>
      <c r="L733" s="936">
        <v>0</v>
      </c>
      <c r="M733" s="936"/>
      <c r="N733" s="936"/>
      <c r="O733" s="936"/>
      <c r="P733" s="936">
        <v>5</v>
      </c>
      <c r="Q733" s="936">
        <v>5</v>
      </c>
      <c r="R733" s="936"/>
      <c r="S733" s="936"/>
      <c r="T733" s="936">
        <v>0</v>
      </c>
      <c r="U733" s="936"/>
      <c r="V733" s="936"/>
      <c r="W733" s="936"/>
      <c r="X733" s="1" t="s">
        <v>184</v>
      </c>
    </row>
    <row r="734" spans="2:24" ht="21">
      <c r="B734" s="941" t="s">
        <v>774</v>
      </c>
      <c r="C734" s="942">
        <v>1</v>
      </c>
      <c r="D734" s="940" t="s">
        <v>103</v>
      </c>
      <c r="E734" s="943">
        <v>35200</v>
      </c>
      <c r="F734" s="938">
        <v>35200</v>
      </c>
      <c r="G734" s="936" t="s">
        <v>342</v>
      </c>
      <c r="H734" s="936">
        <v>1</v>
      </c>
      <c r="I734" s="936">
        <v>1</v>
      </c>
      <c r="J734" s="936"/>
      <c r="K734" s="936"/>
      <c r="L734" s="936">
        <v>0</v>
      </c>
      <c r="M734" s="936"/>
      <c r="N734" s="936"/>
      <c r="O734" s="936"/>
      <c r="P734" s="936">
        <v>0</v>
      </c>
      <c r="Q734" s="936"/>
      <c r="R734" s="936"/>
      <c r="S734" s="936"/>
      <c r="T734" s="936">
        <v>0</v>
      </c>
      <c r="U734" s="940"/>
      <c r="V734" s="940"/>
      <c r="W734" s="940"/>
      <c r="X734" s="1" t="s">
        <v>184</v>
      </c>
    </row>
    <row r="735" spans="2:24" ht="21">
      <c r="B735" s="941" t="s">
        <v>1581</v>
      </c>
      <c r="C735" s="942">
        <v>400</v>
      </c>
      <c r="D735" s="942" t="s">
        <v>103</v>
      </c>
      <c r="E735" s="944">
        <v>840</v>
      </c>
      <c r="F735" s="938">
        <v>336000</v>
      </c>
      <c r="G735" s="936" t="s">
        <v>342</v>
      </c>
      <c r="H735" s="936">
        <v>100</v>
      </c>
      <c r="I735" s="936">
        <v>100</v>
      </c>
      <c r="J735" s="936"/>
      <c r="K735" s="936"/>
      <c r="L735" s="936">
        <v>100</v>
      </c>
      <c r="M735" s="936">
        <v>100</v>
      </c>
      <c r="N735" s="936"/>
      <c r="O735" s="936"/>
      <c r="P735" s="936">
        <v>100</v>
      </c>
      <c r="Q735" s="936">
        <v>100</v>
      </c>
      <c r="R735" s="936"/>
      <c r="S735" s="936"/>
      <c r="T735" s="936">
        <v>100</v>
      </c>
      <c r="U735" s="942">
        <v>100</v>
      </c>
      <c r="V735" s="942"/>
      <c r="W735" s="942"/>
      <c r="X735" s="1" t="s">
        <v>184</v>
      </c>
    </row>
    <row r="736" spans="2:24" ht="21">
      <c r="B736" s="941" t="s">
        <v>1584</v>
      </c>
      <c r="C736" s="942">
        <v>400</v>
      </c>
      <c r="D736" s="942" t="s">
        <v>103</v>
      </c>
      <c r="E736" s="944">
        <v>850</v>
      </c>
      <c r="F736" s="938">
        <v>340000</v>
      </c>
      <c r="G736" s="936" t="s">
        <v>342</v>
      </c>
      <c r="H736" s="936">
        <v>100</v>
      </c>
      <c r="I736" s="936">
        <v>100</v>
      </c>
      <c r="J736" s="936"/>
      <c r="K736" s="936"/>
      <c r="L736" s="936">
        <v>100</v>
      </c>
      <c r="M736" s="936">
        <v>100</v>
      </c>
      <c r="N736" s="936"/>
      <c r="O736" s="936"/>
      <c r="P736" s="936">
        <v>100</v>
      </c>
      <c r="Q736" s="936">
        <v>100</v>
      </c>
      <c r="R736" s="936"/>
      <c r="S736" s="936"/>
      <c r="T736" s="936">
        <v>100</v>
      </c>
      <c r="U736" s="942">
        <v>100</v>
      </c>
      <c r="V736" s="942"/>
      <c r="W736" s="942"/>
      <c r="X736" s="1" t="s">
        <v>184</v>
      </c>
    </row>
    <row r="737" spans="2:24" ht="21">
      <c r="B737" s="1" t="s">
        <v>849</v>
      </c>
      <c r="C737" s="1">
        <v>7</v>
      </c>
      <c r="D737" s="945" t="s">
        <v>466</v>
      </c>
      <c r="E737" s="946">
        <v>65000</v>
      </c>
      <c r="F737" s="946">
        <v>455000</v>
      </c>
      <c r="G737" s="862" t="s">
        <v>3148</v>
      </c>
      <c r="H737" s="933">
        <v>7</v>
      </c>
      <c r="I737" s="933"/>
      <c r="J737" s="933">
        <v>7</v>
      </c>
      <c r="K737" s="933"/>
      <c r="L737" s="933"/>
      <c r="M737" s="933"/>
      <c r="N737" s="933"/>
      <c r="O737" s="933"/>
      <c r="P737" s="933"/>
      <c r="Q737" s="933"/>
      <c r="R737" s="933"/>
      <c r="S737" s="933"/>
      <c r="T737" s="933"/>
      <c r="U737" s="933"/>
      <c r="V737" s="933"/>
      <c r="W737" s="933"/>
      <c r="X737" s="1" t="s">
        <v>184</v>
      </c>
    </row>
    <row r="738" spans="2:24" ht="21">
      <c r="B738" s="1" t="s">
        <v>3149</v>
      </c>
      <c r="C738" s="1">
        <v>7</v>
      </c>
      <c r="D738" s="945" t="s">
        <v>103</v>
      </c>
      <c r="E738" s="947"/>
      <c r="F738" s="947"/>
      <c r="G738" s="936"/>
      <c r="H738" s="933">
        <v>7</v>
      </c>
      <c r="I738" s="933"/>
      <c r="J738" s="933">
        <v>7</v>
      </c>
      <c r="K738" s="933"/>
      <c r="L738" s="936"/>
      <c r="M738" s="936"/>
      <c r="N738" s="936"/>
      <c r="O738" s="936"/>
      <c r="P738" s="936"/>
      <c r="Q738" s="936"/>
      <c r="R738" s="936"/>
      <c r="S738" s="936"/>
      <c r="T738" s="936"/>
      <c r="U738" s="936"/>
      <c r="V738" s="936"/>
      <c r="W738" s="936"/>
      <c r="X738" s="1" t="s">
        <v>184</v>
      </c>
    </row>
    <row r="739" spans="2:24" ht="21">
      <c r="B739" s="1" t="s">
        <v>3150</v>
      </c>
      <c r="C739" s="1">
        <v>3</v>
      </c>
      <c r="D739" s="948" t="s">
        <v>758</v>
      </c>
      <c r="E739" s="947">
        <v>70000</v>
      </c>
      <c r="F739" s="947">
        <v>210000</v>
      </c>
      <c r="G739" s="936" t="s">
        <v>3148</v>
      </c>
      <c r="H739" s="936">
        <v>3</v>
      </c>
      <c r="I739" s="936"/>
      <c r="J739" s="936">
        <v>3</v>
      </c>
      <c r="K739" s="936"/>
      <c r="L739" s="936"/>
      <c r="M739" s="936"/>
      <c r="N739" s="936"/>
      <c r="O739" s="936"/>
      <c r="P739" s="936"/>
      <c r="Q739" s="936"/>
      <c r="R739" s="936"/>
      <c r="S739" s="936"/>
      <c r="T739" s="936"/>
      <c r="U739" s="936"/>
      <c r="V739" s="936"/>
      <c r="W739" s="936"/>
      <c r="X739" s="1" t="s">
        <v>184</v>
      </c>
    </row>
    <row r="740" spans="2:24" ht="21">
      <c r="B740" s="949" t="s">
        <v>3151</v>
      </c>
      <c r="C740" s="933">
        <v>2</v>
      </c>
      <c r="D740" s="948" t="s">
        <v>466</v>
      </c>
      <c r="E740" s="947">
        <v>130000</v>
      </c>
      <c r="F740" s="947">
        <v>260000</v>
      </c>
      <c r="G740" s="936" t="s">
        <v>3148</v>
      </c>
      <c r="H740" s="936">
        <v>2</v>
      </c>
      <c r="I740" s="936"/>
      <c r="J740" s="936">
        <v>2</v>
      </c>
      <c r="K740" s="936"/>
      <c r="L740" s="936">
        <v>0</v>
      </c>
      <c r="M740" s="936"/>
      <c r="N740" s="936"/>
      <c r="O740" s="936"/>
      <c r="P740" s="936">
        <v>0</v>
      </c>
      <c r="Q740" s="936"/>
      <c r="R740" s="936"/>
      <c r="S740" s="936"/>
      <c r="T740" s="936">
        <v>0</v>
      </c>
      <c r="U740" s="936"/>
      <c r="V740" s="936"/>
      <c r="W740" s="936"/>
      <c r="X740" s="1" t="s">
        <v>184</v>
      </c>
    </row>
    <row r="741" spans="2:24">
      <c r="B741" s="950" t="s">
        <v>3152</v>
      </c>
      <c r="C741" s="441">
        <v>2</v>
      </c>
      <c r="D741" s="367" t="s">
        <v>638</v>
      </c>
      <c r="E741" s="847">
        <v>500</v>
      </c>
      <c r="F741" s="951">
        <v>1000</v>
      </c>
      <c r="G741" s="952"/>
      <c r="H741" s="951">
        <v>1</v>
      </c>
      <c r="I741" s="952"/>
      <c r="J741" s="952"/>
      <c r="K741" s="952"/>
      <c r="L741" s="951">
        <v>0</v>
      </c>
      <c r="M741" s="952"/>
      <c r="N741" s="952"/>
      <c r="O741" s="952"/>
      <c r="P741" s="951">
        <v>1</v>
      </c>
      <c r="Q741" s="952"/>
      <c r="R741" s="952"/>
      <c r="S741" s="952"/>
      <c r="T741" s="951">
        <v>0</v>
      </c>
      <c r="U741" s="952"/>
      <c r="V741" s="952"/>
      <c r="W741" s="952"/>
      <c r="X741" s="1" t="s">
        <v>3153</v>
      </c>
    </row>
    <row r="742" spans="2:24">
      <c r="B742" s="950" t="s">
        <v>3154</v>
      </c>
      <c r="C742" s="441">
        <v>2</v>
      </c>
      <c r="D742" s="441" t="s">
        <v>638</v>
      </c>
      <c r="E742" s="847">
        <v>500</v>
      </c>
      <c r="F742" s="847">
        <v>1000</v>
      </c>
      <c r="G742" s="953"/>
      <c r="H742" s="847">
        <v>1</v>
      </c>
      <c r="I742" s="953"/>
      <c r="J742" s="953"/>
      <c r="K742" s="953"/>
      <c r="L742" s="847">
        <v>0</v>
      </c>
      <c r="M742" s="953"/>
      <c r="N742" s="953"/>
      <c r="O742" s="953"/>
      <c r="P742" s="847">
        <v>1</v>
      </c>
      <c r="Q742" s="953"/>
      <c r="R742" s="953"/>
      <c r="S742" s="953"/>
      <c r="T742" s="847">
        <v>0</v>
      </c>
      <c r="U742" s="953"/>
      <c r="V742" s="953"/>
      <c r="W742" s="953"/>
      <c r="X742" s="1" t="s">
        <v>3153</v>
      </c>
    </row>
    <row r="743" spans="2:24">
      <c r="B743" s="950" t="s">
        <v>3155</v>
      </c>
      <c r="C743" s="441">
        <v>2</v>
      </c>
      <c r="D743" s="441" t="s">
        <v>638</v>
      </c>
      <c r="E743" s="847">
        <v>500</v>
      </c>
      <c r="F743" s="847">
        <v>1000</v>
      </c>
      <c r="G743" s="953"/>
      <c r="H743" s="847">
        <v>1</v>
      </c>
      <c r="I743" s="953"/>
      <c r="J743" s="953"/>
      <c r="K743" s="953"/>
      <c r="L743" s="847">
        <v>0</v>
      </c>
      <c r="M743" s="953"/>
      <c r="N743" s="953"/>
      <c r="O743" s="953"/>
      <c r="P743" s="847">
        <v>1</v>
      </c>
      <c r="Q743" s="953"/>
      <c r="R743" s="953"/>
      <c r="S743" s="953"/>
      <c r="T743" s="847">
        <v>0</v>
      </c>
      <c r="U743" s="953"/>
      <c r="V743" s="953"/>
      <c r="W743" s="953"/>
      <c r="X743" s="1" t="s">
        <v>3153</v>
      </c>
    </row>
    <row r="744" spans="2:24">
      <c r="B744" s="950" t="s">
        <v>3156</v>
      </c>
      <c r="C744" s="441">
        <v>3</v>
      </c>
      <c r="D744" s="441" t="s">
        <v>638</v>
      </c>
      <c r="E744" s="847">
        <v>500</v>
      </c>
      <c r="F744" s="847">
        <v>1500</v>
      </c>
      <c r="G744" s="953"/>
      <c r="H744" s="847">
        <v>1</v>
      </c>
      <c r="I744" s="953"/>
      <c r="J744" s="953"/>
      <c r="K744" s="953"/>
      <c r="L744" s="847">
        <v>1</v>
      </c>
      <c r="M744" s="953"/>
      <c r="N744" s="953"/>
      <c r="O744" s="953"/>
      <c r="P744" s="847">
        <v>1</v>
      </c>
      <c r="Q744" s="953"/>
      <c r="R744" s="953"/>
      <c r="S744" s="953"/>
      <c r="T744" s="847">
        <v>0</v>
      </c>
      <c r="U744" s="953"/>
      <c r="V744" s="953"/>
      <c r="W744" s="953"/>
      <c r="X744" s="1" t="s">
        <v>3153</v>
      </c>
    </row>
    <row r="745" spans="2:24">
      <c r="B745" s="950" t="s">
        <v>3157</v>
      </c>
      <c r="C745" s="441">
        <v>2</v>
      </c>
      <c r="D745" s="441" t="s">
        <v>638</v>
      </c>
      <c r="E745" s="847">
        <v>500</v>
      </c>
      <c r="F745" s="847">
        <v>1000</v>
      </c>
      <c r="G745" s="953"/>
      <c r="H745" s="847">
        <v>1</v>
      </c>
      <c r="I745" s="953"/>
      <c r="J745" s="953"/>
      <c r="K745" s="953"/>
      <c r="L745" s="847">
        <v>0</v>
      </c>
      <c r="M745" s="953"/>
      <c r="N745" s="953"/>
      <c r="O745" s="953"/>
      <c r="P745" s="847">
        <v>1</v>
      </c>
      <c r="Q745" s="953"/>
      <c r="R745" s="953"/>
      <c r="S745" s="953"/>
      <c r="T745" s="847">
        <v>0</v>
      </c>
      <c r="U745" s="953"/>
      <c r="V745" s="953"/>
      <c r="W745" s="953"/>
      <c r="X745" s="1" t="s">
        <v>3153</v>
      </c>
    </row>
    <row r="746" spans="2:24">
      <c r="B746" s="950" t="s">
        <v>3158</v>
      </c>
      <c r="C746" s="441">
        <v>2</v>
      </c>
      <c r="D746" s="441" t="s">
        <v>638</v>
      </c>
      <c r="E746" s="847">
        <v>500</v>
      </c>
      <c r="F746" s="847">
        <v>1000</v>
      </c>
      <c r="G746" s="953"/>
      <c r="H746" s="847">
        <v>1</v>
      </c>
      <c r="I746" s="953"/>
      <c r="J746" s="953"/>
      <c r="K746" s="953"/>
      <c r="L746" s="847">
        <v>0</v>
      </c>
      <c r="M746" s="953"/>
      <c r="N746" s="953"/>
      <c r="O746" s="953"/>
      <c r="P746" s="847">
        <v>1</v>
      </c>
      <c r="Q746" s="953"/>
      <c r="R746" s="953"/>
      <c r="S746" s="953"/>
      <c r="T746" s="847">
        <v>0</v>
      </c>
      <c r="U746" s="953"/>
      <c r="V746" s="953"/>
      <c r="W746" s="953"/>
      <c r="X746" s="1" t="s">
        <v>3153</v>
      </c>
    </row>
    <row r="747" spans="2:24">
      <c r="B747" s="950" t="s">
        <v>3159</v>
      </c>
      <c r="C747" s="441">
        <v>2</v>
      </c>
      <c r="D747" s="441" t="s">
        <v>638</v>
      </c>
      <c r="E747" s="847">
        <v>500</v>
      </c>
      <c r="F747" s="847">
        <v>1000</v>
      </c>
      <c r="G747" s="953"/>
      <c r="H747" s="847">
        <v>1</v>
      </c>
      <c r="I747" s="953"/>
      <c r="J747" s="953"/>
      <c r="K747" s="953"/>
      <c r="L747" s="847">
        <v>0</v>
      </c>
      <c r="M747" s="953"/>
      <c r="N747" s="953"/>
      <c r="O747" s="953"/>
      <c r="P747" s="847">
        <v>1</v>
      </c>
      <c r="Q747" s="953"/>
      <c r="R747" s="953"/>
      <c r="S747" s="953"/>
      <c r="T747" s="847">
        <v>0</v>
      </c>
      <c r="U747" s="953"/>
      <c r="V747" s="953"/>
      <c r="W747" s="953"/>
      <c r="X747" s="1" t="s">
        <v>3153</v>
      </c>
    </row>
    <row r="748" spans="2:24">
      <c r="B748" s="950" t="s">
        <v>3160</v>
      </c>
      <c r="C748" s="441">
        <v>3</v>
      </c>
      <c r="D748" s="441" t="s">
        <v>638</v>
      </c>
      <c r="E748" s="847">
        <v>500</v>
      </c>
      <c r="F748" s="847">
        <v>1500</v>
      </c>
      <c r="G748" s="953"/>
      <c r="H748" s="847">
        <v>1</v>
      </c>
      <c r="I748" s="953"/>
      <c r="J748" s="953"/>
      <c r="K748" s="953"/>
      <c r="L748" s="847">
        <v>1</v>
      </c>
      <c r="M748" s="953"/>
      <c r="N748" s="953"/>
      <c r="O748" s="953"/>
      <c r="P748" s="847">
        <v>1</v>
      </c>
      <c r="Q748" s="953"/>
      <c r="R748" s="953"/>
      <c r="S748" s="953"/>
      <c r="T748" s="847">
        <v>0</v>
      </c>
      <c r="U748" s="953"/>
      <c r="V748" s="953"/>
      <c r="W748" s="953"/>
      <c r="X748" s="1" t="s">
        <v>3153</v>
      </c>
    </row>
    <row r="749" spans="2:24">
      <c r="B749" s="950" t="s">
        <v>3161</v>
      </c>
      <c r="C749" s="441">
        <v>1</v>
      </c>
      <c r="D749" s="367" t="s">
        <v>103</v>
      </c>
      <c r="E749" s="954">
        <v>20000</v>
      </c>
      <c r="F749" s="951">
        <v>20000</v>
      </c>
      <c r="G749" s="952"/>
      <c r="H749" s="951">
        <v>1</v>
      </c>
      <c r="I749" s="952"/>
      <c r="J749" s="952"/>
      <c r="K749" s="952"/>
      <c r="L749" s="951">
        <v>0</v>
      </c>
      <c r="M749" s="952"/>
      <c r="N749" s="952"/>
      <c r="O749" s="952"/>
      <c r="P749" s="951">
        <v>0</v>
      </c>
      <c r="Q749" s="952"/>
      <c r="R749" s="952"/>
      <c r="S749" s="952"/>
      <c r="T749" s="951">
        <v>0</v>
      </c>
      <c r="U749" s="952"/>
      <c r="V749" s="952"/>
      <c r="X749" s="1" t="s">
        <v>3153</v>
      </c>
    </row>
    <row r="750" spans="2:24" ht="15">
      <c r="B750" s="955" t="s">
        <v>3162</v>
      </c>
      <c r="C750" s="862">
        <v>1</v>
      </c>
      <c r="D750" s="862" t="s">
        <v>103</v>
      </c>
      <c r="E750" s="951">
        <v>166</v>
      </c>
      <c r="F750" s="951">
        <v>166.4</v>
      </c>
      <c r="G750" s="951"/>
      <c r="H750" s="951">
        <v>1</v>
      </c>
      <c r="I750" s="951"/>
      <c r="J750" s="951"/>
      <c r="K750" s="951"/>
      <c r="L750" s="951">
        <v>0</v>
      </c>
      <c r="M750" s="951"/>
      <c r="N750" s="951"/>
      <c r="O750" s="951"/>
      <c r="P750" s="951">
        <v>0</v>
      </c>
      <c r="Q750" s="951"/>
      <c r="R750" s="951"/>
      <c r="S750" s="951"/>
      <c r="T750" s="951">
        <v>0</v>
      </c>
      <c r="U750" s="951"/>
      <c r="V750" s="951"/>
      <c r="W750" s="951"/>
      <c r="X750" s="1" t="s">
        <v>3153</v>
      </c>
    </row>
    <row r="751" spans="2:24" ht="15">
      <c r="B751" s="956" t="s">
        <v>3163</v>
      </c>
      <c r="C751" s="845">
        <v>1</v>
      </c>
      <c r="D751" s="845" t="s">
        <v>466</v>
      </c>
      <c r="E751" s="844">
        <v>2792</v>
      </c>
      <c r="F751" s="847">
        <v>2792.4</v>
      </c>
      <c r="G751" s="847"/>
      <c r="H751" s="847">
        <v>1</v>
      </c>
      <c r="I751" s="847"/>
      <c r="J751" s="847"/>
      <c r="K751" s="847"/>
      <c r="L751" s="847">
        <v>0</v>
      </c>
      <c r="M751" s="847"/>
      <c r="N751" s="847"/>
      <c r="O751" s="847"/>
      <c r="P751" s="847">
        <v>0</v>
      </c>
      <c r="Q751" s="847"/>
      <c r="R751" s="847"/>
      <c r="S751" s="847"/>
      <c r="T751" s="847">
        <v>0</v>
      </c>
      <c r="U751" s="847"/>
      <c r="V751" s="847"/>
      <c r="W751" s="847"/>
      <c r="X751" s="1" t="s">
        <v>3153</v>
      </c>
    </row>
    <row r="752" spans="2:24" ht="15">
      <c r="B752" s="956" t="s">
        <v>3164</v>
      </c>
      <c r="C752" s="845">
        <v>1</v>
      </c>
      <c r="D752" s="845" t="s">
        <v>118</v>
      </c>
      <c r="E752" s="844">
        <v>23624</v>
      </c>
      <c r="F752" s="847">
        <v>23623.599999999999</v>
      </c>
      <c r="G752" s="847"/>
      <c r="H752" s="847">
        <v>1</v>
      </c>
      <c r="I752" s="847"/>
      <c r="J752" s="847"/>
      <c r="K752" s="847"/>
      <c r="L752" s="847">
        <v>0</v>
      </c>
      <c r="M752" s="847"/>
      <c r="N752" s="847"/>
      <c r="O752" s="847"/>
      <c r="P752" s="847">
        <v>0</v>
      </c>
      <c r="Q752" s="847"/>
      <c r="R752" s="847"/>
      <c r="S752" s="847"/>
      <c r="T752" s="847">
        <v>0</v>
      </c>
      <c r="U752" s="847"/>
      <c r="V752" s="847"/>
      <c r="W752" s="847"/>
      <c r="X752" s="1" t="s">
        <v>3153</v>
      </c>
    </row>
    <row r="753" spans="5:6" ht="12.75">
      <c r="E753" s="74"/>
      <c r="F753" s="74"/>
    </row>
    <row r="754" spans="5:6" ht="12.75">
      <c r="E754" s="74"/>
      <c r="F754" s="74"/>
    </row>
    <row r="755" spans="5:6" ht="12.75">
      <c r="E755" s="74"/>
      <c r="F755" s="74"/>
    </row>
    <row r="756" spans="5:6" ht="12.75">
      <c r="E756" s="74"/>
      <c r="F756" s="74"/>
    </row>
    <row r="757" spans="5:6" ht="12.75">
      <c r="E757" s="74"/>
      <c r="F757" s="74"/>
    </row>
    <row r="758" spans="5:6" ht="12.75">
      <c r="E758" s="74"/>
      <c r="F758" s="74"/>
    </row>
    <row r="759" spans="5:6" ht="12.75">
      <c r="E759" s="74"/>
      <c r="F759" s="74"/>
    </row>
    <row r="760" spans="5:6" ht="12.75">
      <c r="E760" s="74"/>
      <c r="F760" s="74"/>
    </row>
    <row r="761" spans="5:6" ht="12.75">
      <c r="E761" s="74"/>
      <c r="F761" s="74"/>
    </row>
    <row r="762" spans="5:6" ht="12.75">
      <c r="E762" s="74"/>
      <c r="F762" s="74"/>
    </row>
    <row r="763" spans="5:6" ht="12.75">
      <c r="E763" s="74"/>
      <c r="F763" s="74"/>
    </row>
    <row r="764" spans="5:6" ht="12.75">
      <c r="E764" s="74"/>
      <c r="F764" s="74"/>
    </row>
    <row r="765" spans="5:6" ht="12.75">
      <c r="E765" s="74"/>
      <c r="F765" s="74"/>
    </row>
    <row r="766" spans="5:6" ht="12.75">
      <c r="E766" s="74"/>
      <c r="F766" s="74"/>
    </row>
    <row r="767" spans="5:6" ht="12.75">
      <c r="E767" s="74"/>
      <c r="F767" s="74"/>
    </row>
    <row r="768" spans="5:6" ht="12.75">
      <c r="E768" s="74"/>
      <c r="F768" s="74"/>
    </row>
    <row r="769" spans="5:6" ht="12.75">
      <c r="E769" s="74"/>
      <c r="F769" s="74"/>
    </row>
    <row r="770" spans="5:6" ht="12.75">
      <c r="E770" s="74"/>
      <c r="F770" s="74"/>
    </row>
    <row r="771" spans="5:6" ht="12.75">
      <c r="E771" s="74"/>
      <c r="F771" s="74"/>
    </row>
    <row r="772" spans="5:6" ht="12.75">
      <c r="E772" s="74"/>
      <c r="F772" s="74"/>
    </row>
    <row r="773" spans="5:6" ht="12.75">
      <c r="E773" s="74"/>
      <c r="F773" s="74"/>
    </row>
    <row r="774" spans="5:6" ht="12.75">
      <c r="E774" s="74"/>
      <c r="F774" s="74"/>
    </row>
    <row r="775" spans="5:6" ht="12.75">
      <c r="E775" s="74"/>
      <c r="F775" s="74"/>
    </row>
    <row r="776" spans="5:6" ht="12.75">
      <c r="E776" s="74"/>
      <c r="F776" s="74"/>
    </row>
    <row r="777" spans="5:6" ht="12.75">
      <c r="E777" s="74"/>
      <c r="F777" s="74"/>
    </row>
    <row r="778" spans="5:6" ht="12.75">
      <c r="E778" s="74"/>
      <c r="F778" s="74"/>
    </row>
    <row r="779" spans="5:6" ht="12.75">
      <c r="E779" s="74"/>
      <c r="F779" s="74"/>
    </row>
    <row r="780" spans="5:6" ht="12.75">
      <c r="E780" s="74"/>
      <c r="F780" s="74"/>
    </row>
    <row r="781" spans="5:6" ht="12.75">
      <c r="E781" s="74"/>
      <c r="F781" s="74"/>
    </row>
    <row r="782" spans="5:6" ht="12.75">
      <c r="E782" s="74"/>
      <c r="F782" s="74"/>
    </row>
    <row r="783" spans="5:6" ht="12.75">
      <c r="E783" s="74"/>
      <c r="F783" s="74"/>
    </row>
    <row r="784" spans="5:6" ht="12.75">
      <c r="E784" s="74"/>
      <c r="F784" s="74"/>
    </row>
    <row r="785" spans="5:6" ht="12.75">
      <c r="E785" s="74"/>
      <c r="F785" s="74"/>
    </row>
    <row r="786" spans="5:6" ht="12.75">
      <c r="E786" s="74"/>
      <c r="F786" s="74"/>
    </row>
    <row r="787" spans="5:6" ht="12.75">
      <c r="E787" s="74"/>
      <c r="F787" s="74"/>
    </row>
    <row r="788" spans="5:6" ht="12.75">
      <c r="E788" s="74"/>
      <c r="F788" s="74"/>
    </row>
    <row r="789" spans="5:6" ht="12.75">
      <c r="E789" s="74"/>
      <c r="F789" s="74"/>
    </row>
    <row r="790" spans="5:6" ht="12.75">
      <c r="E790" s="74"/>
      <c r="F790" s="74"/>
    </row>
    <row r="791" spans="5:6" ht="12.75">
      <c r="E791" s="74"/>
      <c r="F791" s="74"/>
    </row>
    <row r="792" spans="5:6" ht="12.75">
      <c r="E792" s="74"/>
      <c r="F792" s="74"/>
    </row>
    <row r="793" spans="5:6" ht="12.75">
      <c r="E793" s="74"/>
      <c r="F793" s="74"/>
    </row>
    <row r="794" spans="5:6" ht="12.75">
      <c r="E794" s="74"/>
      <c r="F794" s="74"/>
    </row>
    <row r="795" spans="5:6" ht="12.75">
      <c r="E795" s="74"/>
      <c r="F795" s="74"/>
    </row>
    <row r="796" spans="5:6" ht="12.75">
      <c r="E796" s="74"/>
      <c r="F796" s="74"/>
    </row>
    <row r="797" spans="5:6" ht="12.75">
      <c r="E797" s="74"/>
      <c r="F797" s="74"/>
    </row>
    <row r="798" spans="5:6" ht="12.75">
      <c r="E798" s="74"/>
      <c r="F798" s="74"/>
    </row>
    <row r="799" spans="5:6" ht="12.75">
      <c r="E799" s="74"/>
      <c r="F799" s="74"/>
    </row>
    <row r="800" spans="5:6" ht="12.75">
      <c r="E800" s="74"/>
      <c r="F800" s="74"/>
    </row>
    <row r="801" spans="5:6" ht="12.75">
      <c r="E801" s="74"/>
      <c r="F801" s="74"/>
    </row>
    <row r="802" spans="5:6" ht="12.75">
      <c r="E802" s="74"/>
      <c r="F802" s="74"/>
    </row>
    <row r="803" spans="5:6" ht="12.75">
      <c r="E803" s="74"/>
      <c r="F803" s="74"/>
    </row>
    <row r="804" spans="5:6" ht="12.75">
      <c r="E804" s="74"/>
      <c r="F804" s="74"/>
    </row>
    <row r="805" spans="5:6" ht="12.75">
      <c r="E805" s="74"/>
      <c r="F805" s="74"/>
    </row>
    <row r="806" spans="5:6" ht="12.75">
      <c r="E806" s="74"/>
      <c r="F806" s="74"/>
    </row>
    <row r="807" spans="5:6" ht="12.75">
      <c r="E807" s="74"/>
      <c r="F807" s="74"/>
    </row>
    <row r="808" spans="5:6" ht="12.75">
      <c r="E808" s="74"/>
      <c r="F808" s="74"/>
    </row>
    <row r="809" spans="5:6" ht="12.75">
      <c r="E809" s="74"/>
      <c r="F809" s="74"/>
    </row>
    <row r="810" spans="5:6" ht="12.75">
      <c r="E810" s="74"/>
      <c r="F810" s="74"/>
    </row>
    <row r="811" spans="5:6" ht="12.75">
      <c r="E811" s="74"/>
      <c r="F811" s="74"/>
    </row>
    <row r="812" spans="5:6" ht="12.75">
      <c r="E812" s="74"/>
      <c r="F812" s="74"/>
    </row>
    <row r="813" spans="5:6" ht="12.75">
      <c r="E813" s="74"/>
      <c r="F813" s="74"/>
    </row>
    <row r="814" spans="5:6" ht="12.75">
      <c r="E814" s="74"/>
      <c r="F814" s="74"/>
    </row>
    <row r="815" spans="5:6" ht="12.75">
      <c r="E815" s="74"/>
      <c r="F815" s="74"/>
    </row>
    <row r="816" spans="5:6" ht="12.75">
      <c r="E816" s="74"/>
      <c r="F816" s="74"/>
    </row>
    <row r="817" spans="5:6" ht="12.75">
      <c r="E817" s="74"/>
      <c r="F817" s="74"/>
    </row>
    <row r="818" spans="5:6" ht="12.75">
      <c r="E818" s="74"/>
      <c r="F818" s="74"/>
    </row>
    <row r="819" spans="5:6" ht="12.75">
      <c r="E819" s="74"/>
      <c r="F819" s="74"/>
    </row>
    <row r="820" spans="5:6" ht="12.75">
      <c r="E820" s="74"/>
      <c r="F820" s="74"/>
    </row>
    <row r="821" spans="5:6" ht="12.75">
      <c r="E821" s="74"/>
      <c r="F821" s="74"/>
    </row>
    <row r="822" spans="5:6" ht="12.75">
      <c r="E822" s="74"/>
      <c r="F822" s="74"/>
    </row>
    <row r="823" spans="5:6" ht="12.75">
      <c r="E823" s="74"/>
      <c r="F823" s="74"/>
    </row>
    <row r="824" spans="5:6" ht="12.75">
      <c r="E824" s="74"/>
      <c r="F824" s="74"/>
    </row>
    <row r="825" spans="5:6" ht="12.75">
      <c r="E825" s="74"/>
      <c r="F825" s="74"/>
    </row>
    <row r="826" spans="5:6" ht="12.75">
      <c r="E826" s="74"/>
      <c r="F826" s="74"/>
    </row>
    <row r="827" spans="5:6" ht="12.75">
      <c r="E827" s="74"/>
      <c r="F827" s="74"/>
    </row>
    <row r="828" spans="5:6" ht="12.75">
      <c r="E828" s="74"/>
      <c r="F828" s="74"/>
    </row>
    <row r="829" spans="5:6" ht="12.75">
      <c r="E829" s="74"/>
      <c r="F829" s="74"/>
    </row>
    <row r="830" spans="5:6" ht="12.75">
      <c r="E830" s="74"/>
      <c r="F830" s="74"/>
    </row>
    <row r="831" spans="5:6" ht="12.75">
      <c r="E831" s="74"/>
      <c r="F831" s="74"/>
    </row>
    <row r="832" spans="5:6" ht="12.75">
      <c r="E832" s="74"/>
      <c r="F832" s="74"/>
    </row>
    <row r="833" spans="5:6" ht="12.75">
      <c r="E833" s="74"/>
      <c r="F833" s="74"/>
    </row>
    <row r="834" spans="5:6" ht="12.75">
      <c r="E834" s="74"/>
      <c r="F834" s="74"/>
    </row>
    <row r="835" spans="5:6" ht="12.75">
      <c r="E835" s="74"/>
      <c r="F835" s="74"/>
    </row>
    <row r="836" spans="5:6" ht="12.75">
      <c r="E836" s="74"/>
      <c r="F836" s="74"/>
    </row>
    <row r="837" spans="5:6" ht="12.75">
      <c r="E837" s="74"/>
      <c r="F837" s="74"/>
    </row>
    <row r="838" spans="5:6" ht="12.75">
      <c r="E838" s="74"/>
      <c r="F838" s="74"/>
    </row>
    <row r="839" spans="5:6" ht="12.75">
      <c r="E839" s="74"/>
      <c r="F839" s="74"/>
    </row>
    <row r="840" spans="5:6" ht="12.75">
      <c r="E840" s="74"/>
      <c r="F840" s="74"/>
    </row>
    <row r="841" spans="5:6" ht="12.75">
      <c r="E841" s="74"/>
      <c r="F841" s="74"/>
    </row>
    <row r="842" spans="5:6" ht="12.75">
      <c r="E842" s="74"/>
      <c r="F842" s="74"/>
    </row>
    <row r="843" spans="5:6" ht="12.75">
      <c r="E843" s="74"/>
      <c r="F843" s="74"/>
    </row>
    <row r="844" spans="5:6" ht="12.75">
      <c r="E844" s="74"/>
      <c r="F844" s="74"/>
    </row>
    <row r="845" spans="5:6" ht="12.75">
      <c r="E845" s="74"/>
      <c r="F845" s="74"/>
    </row>
    <row r="846" spans="5:6" ht="12.75">
      <c r="E846" s="74"/>
      <c r="F846" s="74"/>
    </row>
    <row r="847" spans="5:6" ht="12.75">
      <c r="E847" s="74"/>
      <c r="F847" s="74"/>
    </row>
    <row r="848" spans="5:6" ht="12.75">
      <c r="E848" s="74"/>
      <c r="F848" s="74"/>
    </row>
    <row r="849" spans="5:6" ht="12.75">
      <c r="E849" s="74"/>
      <c r="F849" s="74"/>
    </row>
    <row r="850" spans="5:6" ht="12.75">
      <c r="E850" s="74"/>
      <c r="F850" s="74"/>
    </row>
    <row r="851" spans="5:6" ht="12.75">
      <c r="E851" s="74"/>
      <c r="F851" s="74"/>
    </row>
    <row r="852" spans="5:6" ht="12.75">
      <c r="E852" s="74"/>
      <c r="F852" s="74"/>
    </row>
    <row r="853" spans="5:6" ht="12.75">
      <c r="E853" s="74"/>
      <c r="F853" s="74"/>
    </row>
    <row r="854" spans="5:6" ht="12.75">
      <c r="E854" s="74"/>
      <c r="F854" s="74"/>
    </row>
    <row r="855" spans="5:6" ht="12.75">
      <c r="E855" s="74"/>
      <c r="F855" s="74"/>
    </row>
    <row r="856" spans="5:6" ht="12.75">
      <c r="E856" s="74"/>
      <c r="F856" s="74"/>
    </row>
    <row r="857" spans="5:6" ht="12.75">
      <c r="E857" s="74"/>
      <c r="F857" s="74"/>
    </row>
    <row r="858" spans="5:6" ht="12.75">
      <c r="E858" s="74"/>
      <c r="F858" s="74"/>
    </row>
    <row r="859" spans="5:6" ht="12.75">
      <c r="E859" s="74"/>
      <c r="F859" s="74"/>
    </row>
    <row r="860" spans="5:6" ht="12.75">
      <c r="E860" s="74"/>
      <c r="F860" s="74"/>
    </row>
    <row r="861" spans="5:6" ht="12.75">
      <c r="E861" s="74"/>
      <c r="F861" s="74"/>
    </row>
    <row r="862" spans="5:6" ht="12.75">
      <c r="E862" s="74"/>
      <c r="F862" s="74"/>
    </row>
    <row r="863" spans="5:6" ht="12.75">
      <c r="E863" s="74"/>
      <c r="F863" s="74"/>
    </row>
    <row r="864" spans="5:6" ht="12.75">
      <c r="E864" s="74"/>
      <c r="F864" s="74"/>
    </row>
    <row r="865" spans="5:6" ht="12.75">
      <c r="E865" s="74"/>
      <c r="F865" s="74"/>
    </row>
    <row r="866" spans="5:6" ht="12.75">
      <c r="E866" s="74"/>
      <c r="F866" s="74"/>
    </row>
    <row r="867" spans="5:6" ht="12.75">
      <c r="E867" s="74"/>
      <c r="F867" s="74"/>
    </row>
    <row r="868" spans="5:6" ht="12.75">
      <c r="E868" s="74"/>
      <c r="F868" s="74"/>
    </row>
    <row r="869" spans="5:6" ht="12.75">
      <c r="E869" s="74"/>
      <c r="F869" s="74"/>
    </row>
    <row r="870" spans="5:6" ht="12.75">
      <c r="E870" s="74"/>
      <c r="F870" s="74"/>
    </row>
    <row r="871" spans="5:6" ht="12.75">
      <c r="E871" s="74"/>
      <c r="F871" s="74"/>
    </row>
    <row r="872" spans="5:6" ht="12.75">
      <c r="E872" s="74"/>
      <c r="F872" s="74"/>
    </row>
    <row r="873" spans="5:6" ht="12.75">
      <c r="E873" s="74"/>
      <c r="F873" s="74"/>
    </row>
    <row r="874" spans="5:6" ht="12.75">
      <c r="E874" s="74"/>
      <c r="F874" s="74"/>
    </row>
    <row r="875" spans="5:6" ht="12.75">
      <c r="E875" s="74"/>
      <c r="F875" s="74"/>
    </row>
    <row r="876" spans="5:6" ht="12.75">
      <c r="E876" s="74"/>
      <c r="F876" s="74"/>
    </row>
    <row r="877" spans="5:6" ht="12.75">
      <c r="E877" s="74"/>
      <c r="F877" s="74"/>
    </row>
    <row r="878" spans="5:6" ht="12.75">
      <c r="E878" s="74"/>
      <c r="F878" s="74"/>
    </row>
    <row r="879" spans="5:6" ht="12.75">
      <c r="E879" s="74"/>
      <c r="F879" s="74"/>
    </row>
    <row r="880" spans="5:6" ht="12.75">
      <c r="E880" s="74"/>
      <c r="F880" s="74"/>
    </row>
    <row r="881" spans="5:6" ht="12.75">
      <c r="E881" s="74"/>
      <c r="F881" s="74"/>
    </row>
    <row r="882" spans="5:6" ht="12.75">
      <c r="E882" s="74"/>
      <c r="F882" s="74"/>
    </row>
    <row r="883" spans="5:6" ht="12.75">
      <c r="E883" s="74"/>
      <c r="F883" s="74"/>
    </row>
    <row r="884" spans="5:6" ht="12.75">
      <c r="E884" s="74"/>
      <c r="F884" s="74"/>
    </row>
    <row r="885" spans="5:6" ht="12.75">
      <c r="E885" s="74"/>
      <c r="F885" s="74"/>
    </row>
    <row r="886" spans="5:6" ht="12.75">
      <c r="E886" s="74"/>
      <c r="F886" s="74"/>
    </row>
    <row r="887" spans="5:6" ht="12.75">
      <c r="E887" s="74"/>
      <c r="F887" s="74"/>
    </row>
    <row r="888" spans="5:6" ht="12.75">
      <c r="E888" s="74"/>
      <c r="F888" s="74"/>
    </row>
    <row r="889" spans="5:6" ht="12.75">
      <c r="E889" s="74"/>
      <c r="F889" s="74"/>
    </row>
    <row r="890" spans="5:6" ht="12.75">
      <c r="E890" s="74"/>
      <c r="F890" s="74"/>
    </row>
    <row r="891" spans="5:6" ht="12.75">
      <c r="E891" s="74"/>
      <c r="F891" s="74"/>
    </row>
    <row r="892" spans="5:6" ht="12.75">
      <c r="E892" s="74"/>
      <c r="F892" s="74"/>
    </row>
    <row r="893" spans="5:6" ht="12.75">
      <c r="E893" s="74"/>
      <c r="F893" s="74"/>
    </row>
    <row r="894" spans="5:6" ht="12.75">
      <c r="E894" s="74"/>
      <c r="F894" s="74"/>
    </row>
    <row r="895" spans="5:6" ht="12.75">
      <c r="E895" s="74"/>
      <c r="F895" s="74"/>
    </row>
    <row r="896" spans="5:6" ht="12.75">
      <c r="E896" s="74"/>
      <c r="F896" s="74"/>
    </row>
    <row r="897" spans="5:6" ht="12.75">
      <c r="E897" s="74"/>
      <c r="F897" s="74"/>
    </row>
    <row r="898" spans="5:6" ht="12.75">
      <c r="E898" s="74"/>
      <c r="F898" s="74"/>
    </row>
    <row r="899" spans="5:6" ht="12.75">
      <c r="E899" s="74"/>
      <c r="F899" s="74"/>
    </row>
    <row r="900" spans="5:6" ht="12.75">
      <c r="E900" s="74"/>
      <c r="F900" s="74"/>
    </row>
    <row r="901" spans="5:6" ht="12.75">
      <c r="E901" s="74"/>
      <c r="F901" s="74"/>
    </row>
    <row r="902" spans="5:6" ht="12.75">
      <c r="E902" s="74"/>
      <c r="F902" s="74"/>
    </row>
    <row r="903" spans="5:6" ht="12.75">
      <c r="E903" s="74"/>
      <c r="F903" s="74"/>
    </row>
    <row r="904" spans="5:6" ht="12.75">
      <c r="E904" s="74"/>
      <c r="F904" s="74"/>
    </row>
    <row r="905" spans="5:6" ht="12.75">
      <c r="E905" s="74"/>
      <c r="F905" s="74"/>
    </row>
    <row r="906" spans="5:6" ht="12.75">
      <c r="E906" s="74"/>
      <c r="F906" s="74"/>
    </row>
    <row r="907" spans="5:6" ht="12.75">
      <c r="E907" s="74"/>
      <c r="F907" s="74"/>
    </row>
    <row r="908" spans="5:6" ht="12.75">
      <c r="E908" s="74"/>
      <c r="F908" s="74"/>
    </row>
    <row r="909" spans="5:6" ht="12.75">
      <c r="E909" s="74"/>
      <c r="F909" s="74"/>
    </row>
    <row r="910" spans="5:6" ht="12.75">
      <c r="E910" s="74"/>
      <c r="F910" s="74"/>
    </row>
    <row r="911" spans="5:6" ht="12.75">
      <c r="E911" s="74"/>
      <c r="F911" s="74"/>
    </row>
    <row r="912" spans="5:6" ht="12.75">
      <c r="E912" s="74"/>
      <c r="F912" s="74"/>
    </row>
    <row r="913" spans="5:6" ht="12.75">
      <c r="E913" s="74"/>
      <c r="F913" s="74"/>
    </row>
    <row r="914" spans="5:6" ht="12.75">
      <c r="E914" s="74"/>
      <c r="F914" s="74"/>
    </row>
    <row r="915" spans="5:6" ht="12.75">
      <c r="E915" s="74"/>
      <c r="F915" s="74"/>
    </row>
    <row r="916" spans="5:6" ht="12.75">
      <c r="E916" s="74"/>
      <c r="F916" s="74"/>
    </row>
    <row r="917" spans="5:6" ht="12.75">
      <c r="E917" s="74"/>
      <c r="F917" s="74"/>
    </row>
    <row r="918" spans="5:6" ht="12.75">
      <c r="E918" s="74"/>
      <c r="F918" s="74"/>
    </row>
    <row r="919" spans="5:6" ht="12.75">
      <c r="E919" s="74"/>
      <c r="F919" s="74"/>
    </row>
    <row r="920" spans="5:6" ht="12.75">
      <c r="E920" s="74"/>
      <c r="F920" s="74"/>
    </row>
    <row r="921" spans="5:6" ht="12.75">
      <c r="E921" s="74"/>
      <c r="F921" s="74"/>
    </row>
    <row r="922" spans="5:6" ht="12.75">
      <c r="E922" s="74"/>
      <c r="F922" s="74"/>
    </row>
    <row r="923" spans="5:6" ht="12.75">
      <c r="E923" s="74"/>
      <c r="F923" s="74"/>
    </row>
    <row r="924" spans="5:6" ht="12.75">
      <c r="E924" s="74"/>
      <c r="F924" s="74"/>
    </row>
    <row r="925" spans="5:6" ht="12.75">
      <c r="E925" s="74"/>
      <c r="F925" s="74"/>
    </row>
    <row r="926" spans="5:6" ht="12.75">
      <c r="E926" s="74"/>
      <c r="F926" s="74"/>
    </row>
    <row r="927" spans="5:6" ht="12.75">
      <c r="E927" s="74"/>
      <c r="F927" s="74"/>
    </row>
    <row r="928" spans="5:6" ht="12.75">
      <c r="E928" s="74"/>
      <c r="F928" s="74"/>
    </row>
  </sheetData>
  <mergeCells count="1">
    <mergeCell ref="H3:W3"/>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workbookViewId="0"/>
  </sheetViews>
  <sheetFormatPr defaultColWidth="12.5703125" defaultRowHeight="15.75" customHeight="1"/>
  <cols>
    <col min="1" max="1" width="12" customWidth="1"/>
    <col min="2" max="2" width="68.85546875" customWidth="1"/>
    <col min="3" max="4" width="5.85546875" customWidth="1"/>
    <col min="5" max="5" width="22.5703125" customWidth="1"/>
    <col min="6" max="6" width="9.140625" customWidth="1"/>
    <col min="7" max="7" width="10.140625" customWidth="1"/>
    <col min="8" max="8" width="13.42578125" customWidth="1"/>
    <col min="9" max="9" width="5.85546875" customWidth="1"/>
    <col min="10" max="10" width="5.5703125" customWidth="1"/>
    <col min="11" max="11" width="12.5703125" customWidth="1"/>
    <col min="12" max="12" width="8.140625" customWidth="1"/>
    <col min="13" max="13" width="10.140625" customWidth="1"/>
    <col min="14" max="14" width="19.140625" customWidth="1"/>
    <col min="15" max="15" width="8.140625" customWidth="1"/>
    <col min="16" max="16" width="10.140625" customWidth="1"/>
  </cols>
  <sheetData>
    <row r="1" spans="1:26" ht="15.75" customHeight="1">
      <c r="A1" s="1481" t="s">
        <v>3171</v>
      </c>
      <c r="B1" s="1483" t="s">
        <v>3172</v>
      </c>
      <c r="C1" s="1484" t="s">
        <v>3173</v>
      </c>
      <c r="D1" s="1484" t="s">
        <v>92</v>
      </c>
      <c r="E1" s="1485" t="s">
        <v>3174</v>
      </c>
      <c r="F1" s="1442"/>
      <c r="G1" s="1443"/>
      <c r="H1" s="1485" t="s">
        <v>3175</v>
      </c>
      <c r="I1" s="1442"/>
      <c r="J1" s="1443"/>
      <c r="K1" s="1485" t="s">
        <v>3176</v>
      </c>
      <c r="L1" s="1442"/>
      <c r="M1" s="1443"/>
      <c r="N1" s="1485" t="s">
        <v>3177</v>
      </c>
      <c r="O1" s="1442"/>
      <c r="P1" s="1443"/>
      <c r="Q1" s="116"/>
      <c r="R1" s="116"/>
      <c r="S1" s="116"/>
      <c r="T1" s="116"/>
      <c r="U1" s="116"/>
      <c r="V1" s="116"/>
      <c r="W1" s="116"/>
      <c r="X1" s="116"/>
      <c r="Y1" s="116"/>
      <c r="Z1" s="116"/>
    </row>
    <row r="2" spans="1:26" ht="15.75" customHeight="1">
      <c r="A2" s="1482"/>
      <c r="B2" s="1482"/>
      <c r="C2" s="1482"/>
      <c r="D2" s="1482"/>
      <c r="E2" s="1486" t="s">
        <v>2759</v>
      </c>
      <c r="F2" s="958" t="s">
        <v>92</v>
      </c>
      <c r="G2" s="957" t="s">
        <v>430</v>
      </c>
      <c r="H2" s="1486" t="s">
        <v>2759</v>
      </c>
      <c r="I2" s="959" t="s">
        <v>92</v>
      </c>
      <c r="J2" s="958" t="s">
        <v>430</v>
      </c>
      <c r="K2" s="1486" t="s">
        <v>2759</v>
      </c>
      <c r="L2" s="958" t="s">
        <v>92</v>
      </c>
      <c r="M2" s="957" t="s">
        <v>430</v>
      </c>
      <c r="N2" s="1486" t="s">
        <v>2759</v>
      </c>
      <c r="O2" s="959" t="s">
        <v>92</v>
      </c>
      <c r="P2" s="959" t="s">
        <v>430</v>
      </c>
      <c r="Q2" s="116"/>
      <c r="R2" s="116"/>
      <c r="S2" s="116"/>
      <c r="T2" s="116"/>
      <c r="U2" s="116"/>
      <c r="V2" s="116"/>
      <c r="W2" s="116"/>
      <c r="X2" s="116"/>
      <c r="Y2" s="116"/>
      <c r="Z2" s="116"/>
    </row>
    <row r="3" spans="1:26" ht="15.75" customHeight="1">
      <c r="A3" s="1448"/>
      <c r="B3" s="1448"/>
      <c r="C3" s="1482"/>
      <c r="D3" s="1482"/>
      <c r="E3" s="1482"/>
      <c r="F3" s="958" t="s">
        <v>429</v>
      </c>
      <c r="G3" s="957" t="s">
        <v>3178</v>
      </c>
      <c r="H3" s="1482"/>
      <c r="I3" s="959" t="s">
        <v>429</v>
      </c>
      <c r="J3" s="958" t="s">
        <v>3178</v>
      </c>
      <c r="K3" s="1482"/>
      <c r="L3" s="958" t="s">
        <v>429</v>
      </c>
      <c r="M3" s="957" t="s">
        <v>3178</v>
      </c>
      <c r="N3" s="1482"/>
      <c r="O3" s="959" t="s">
        <v>429</v>
      </c>
      <c r="P3" s="959" t="s">
        <v>3178</v>
      </c>
      <c r="Q3" s="116"/>
      <c r="R3" s="116"/>
      <c r="S3" s="116"/>
      <c r="T3" s="116"/>
      <c r="U3" s="116"/>
      <c r="V3" s="116"/>
      <c r="W3" s="116"/>
      <c r="X3" s="116"/>
      <c r="Y3" s="116"/>
      <c r="Z3" s="116"/>
    </row>
    <row r="4" spans="1:26" ht="15.75" customHeight="1">
      <c r="A4" s="440" t="s">
        <v>3179</v>
      </c>
      <c r="B4" s="960" t="s">
        <v>3180</v>
      </c>
      <c r="C4" s="961" t="s">
        <v>3181</v>
      </c>
      <c r="D4" s="367" t="s">
        <v>103</v>
      </c>
      <c r="E4" s="367">
        <v>3</v>
      </c>
      <c r="F4" s="962">
        <v>1600</v>
      </c>
      <c r="G4" s="439">
        <v>4800</v>
      </c>
      <c r="H4" s="367"/>
      <c r="I4" s="963"/>
      <c r="J4" s="963" t="s">
        <v>488</v>
      </c>
      <c r="K4" s="367"/>
      <c r="L4" s="963" t="s">
        <v>488</v>
      </c>
      <c r="M4" s="963" t="s">
        <v>488</v>
      </c>
      <c r="N4" s="367">
        <v>3</v>
      </c>
      <c r="O4" s="964">
        <v>1600</v>
      </c>
      <c r="P4" s="439">
        <v>4800</v>
      </c>
      <c r="Q4" s="116"/>
      <c r="R4" s="116"/>
      <c r="S4" s="116"/>
      <c r="T4" s="116"/>
      <c r="U4" s="116"/>
      <c r="V4" s="116"/>
      <c r="W4" s="116"/>
      <c r="X4" s="116"/>
      <c r="Y4" s="116"/>
      <c r="Z4" s="116"/>
    </row>
    <row r="5" spans="1:26" ht="15.75" customHeight="1">
      <c r="A5" s="440" t="s">
        <v>3182</v>
      </c>
      <c r="B5" s="960" t="s">
        <v>3183</v>
      </c>
      <c r="C5" s="965" t="s">
        <v>3181</v>
      </c>
      <c r="D5" s="441" t="s">
        <v>103</v>
      </c>
      <c r="E5" s="441">
        <v>2</v>
      </c>
      <c r="F5" s="966">
        <v>5200</v>
      </c>
      <c r="G5" s="442">
        <v>10400</v>
      </c>
      <c r="H5" s="441"/>
      <c r="I5" s="967"/>
      <c r="J5" s="967" t="s">
        <v>488</v>
      </c>
      <c r="K5" s="441"/>
      <c r="L5" s="967" t="s">
        <v>488</v>
      </c>
      <c r="M5" s="967" t="s">
        <v>488</v>
      </c>
      <c r="N5" s="441">
        <v>2</v>
      </c>
      <c r="O5" s="968">
        <v>5200</v>
      </c>
      <c r="P5" s="442">
        <v>10400</v>
      </c>
      <c r="Q5" s="116"/>
      <c r="R5" s="116"/>
      <c r="S5" s="116"/>
      <c r="T5" s="116"/>
      <c r="U5" s="116"/>
      <c r="V5" s="116"/>
      <c r="W5" s="116"/>
      <c r="X5" s="116"/>
      <c r="Y5" s="116"/>
      <c r="Z5" s="116"/>
    </row>
    <row r="6" spans="1:26" ht="15.75" customHeight="1">
      <c r="A6" s="440" t="s">
        <v>3184</v>
      </c>
      <c r="B6" s="960" t="s">
        <v>3185</v>
      </c>
      <c r="C6" s="965" t="s">
        <v>3181</v>
      </c>
      <c r="D6" s="441" t="s">
        <v>103</v>
      </c>
      <c r="E6" s="441">
        <v>27</v>
      </c>
      <c r="F6" s="966">
        <v>3900</v>
      </c>
      <c r="G6" s="442">
        <v>105300</v>
      </c>
      <c r="H6" s="441"/>
      <c r="I6" s="967"/>
      <c r="J6" s="967" t="s">
        <v>488</v>
      </c>
      <c r="K6" s="441"/>
      <c r="L6" s="967" t="s">
        <v>488</v>
      </c>
      <c r="M6" s="967" t="s">
        <v>488</v>
      </c>
      <c r="N6" s="441">
        <v>27</v>
      </c>
      <c r="O6" s="968">
        <v>3900</v>
      </c>
      <c r="P6" s="442">
        <v>105300</v>
      </c>
      <c r="Q6" s="116"/>
      <c r="R6" s="116"/>
      <c r="S6" s="116"/>
      <c r="T6" s="116"/>
      <c r="U6" s="116"/>
      <c r="V6" s="116"/>
      <c r="W6" s="116"/>
      <c r="X6" s="116"/>
      <c r="Y6" s="116"/>
      <c r="Z6" s="116"/>
    </row>
    <row r="7" spans="1:26" ht="15.75" customHeight="1">
      <c r="A7" s="438" t="s">
        <v>3186</v>
      </c>
      <c r="B7" s="969" t="s">
        <v>3187</v>
      </c>
      <c r="C7" s="961" t="s">
        <v>3181</v>
      </c>
      <c r="D7" s="961" t="s">
        <v>773</v>
      </c>
      <c r="E7" s="367">
        <v>27</v>
      </c>
      <c r="F7" s="962">
        <v>2980</v>
      </c>
      <c r="G7" s="439">
        <v>80460</v>
      </c>
      <c r="H7" s="367"/>
      <c r="I7" s="963"/>
      <c r="J7" s="963"/>
      <c r="K7" s="367"/>
      <c r="L7" s="963" t="s">
        <v>488</v>
      </c>
      <c r="M7" s="963" t="s">
        <v>488</v>
      </c>
      <c r="N7" s="367">
        <v>27</v>
      </c>
      <c r="O7" s="964">
        <v>2980</v>
      </c>
      <c r="P7" s="439">
        <v>80460</v>
      </c>
      <c r="Q7" s="116"/>
      <c r="R7" s="116"/>
      <c r="S7" s="116"/>
      <c r="T7" s="116"/>
      <c r="U7" s="116"/>
      <c r="V7" s="116"/>
      <c r="W7" s="116"/>
      <c r="X7" s="116"/>
      <c r="Y7" s="116"/>
      <c r="Z7" s="116"/>
    </row>
    <row r="8" spans="1:26" ht="15.75" customHeight="1">
      <c r="A8" s="440" t="s">
        <v>3188</v>
      </c>
      <c r="B8" s="960" t="s">
        <v>3189</v>
      </c>
      <c r="C8" s="965" t="s">
        <v>3181</v>
      </c>
      <c r="D8" s="965" t="s">
        <v>773</v>
      </c>
      <c r="E8" s="441">
        <v>4</v>
      </c>
      <c r="F8" s="966">
        <v>7995</v>
      </c>
      <c r="G8" s="442">
        <v>31980</v>
      </c>
      <c r="H8" s="441"/>
      <c r="I8" s="967"/>
      <c r="J8" s="967"/>
      <c r="K8" s="441"/>
      <c r="L8" s="967" t="s">
        <v>488</v>
      </c>
      <c r="M8" s="967" t="s">
        <v>488</v>
      </c>
      <c r="N8" s="441">
        <v>4</v>
      </c>
      <c r="O8" s="968">
        <v>7995</v>
      </c>
      <c r="P8" s="442">
        <v>31980</v>
      </c>
      <c r="Q8" s="116"/>
      <c r="R8" s="116"/>
      <c r="S8" s="116"/>
      <c r="T8" s="116"/>
      <c r="U8" s="116"/>
      <c r="V8" s="116"/>
      <c r="W8" s="116"/>
      <c r="X8" s="116"/>
      <c r="Y8" s="116"/>
      <c r="Z8" s="116"/>
    </row>
    <row r="9" spans="1:26" ht="15.75" customHeight="1">
      <c r="A9" s="438" t="s">
        <v>3190</v>
      </c>
      <c r="B9" s="969" t="s">
        <v>820</v>
      </c>
      <c r="C9" s="961" t="s">
        <v>3181</v>
      </c>
      <c r="D9" s="367" t="s">
        <v>103</v>
      </c>
      <c r="E9" s="367">
        <v>1</v>
      </c>
      <c r="F9" s="962">
        <v>4950</v>
      </c>
      <c r="G9" s="439">
        <v>4950</v>
      </c>
      <c r="H9" s="367"/>
      <c r="I9" s="963"/>
      <c r="J9" s="963"/>
      <c r="K9" s="367"/>
      <c r="L9" s="963" t="s">
        <v>488</v>
      </c>
      <c r="M9" s="963" t="s">
        <v>488</v>
      </c>
      <c r="N9" s="367">
        <v>1</v>
      </c>
      <c r="O9" s="964">
        <v>4950</v>
      </c>
      <c r="P9" s="439">
        <v>4950</v>
      </c>
      <c r="Q9" s="116"/>
      <c r="R9" s="116"/>
      <c r="S9" s="116"/>
      <c r="T9" s="116"/>
      <c r="U9" s="116"/>
      <c r="V9" s="116"/>
      <c r="W9" s="116"/>
      <c r="X9" s="116"/>
      <c r="Y9" s="116"/>
      <c r="Z9" s="116"/>
    </row>
    <row r="10" spans="1:26" ht="15.75" customHeight="1">
      <c r="A10" s="438" t="s">
        <v>3191</v>
      </c>
      <c r="B10" s="969" t="s">
        <v>3192</v>
      </c>
      <c r="C10" s="961" t="s">
        <v>3181</v>
      </c>
      <c r="D10" s="367" t="s">
        <v>773</v>
      </c>
      <c r="E10" s="367">
        <v>16</v>
      </c>
      <c r="F10" s="964">
        <v>2450</v>
      </c>
      <c r="G10" s="439">
        <v>39200</v>
      </c>
      <c r="H10" s="367"/>
      <c r="I10" s="963"/>
      <c r="J10" s="963"/>
      <c r="K10" s="367"/>
      <c r="L10" s="963"/>
      <c r="M10" s="963"/>
      <c r="N10" s="367"/>
      <c r="O10" s="963"/>
      <c r="P10" s="367"/>
      <c r="Q10" s="116"/>
      <c r="R10" s="116"/>
      <c r="S10" s="116"/>
      <c r="T10" s="116"/>
      <c r="U10" s="116"/>
      <c r="V10" s="116"/>
      <c r="W10" s="116"/>
      <c r="X10" s="116"/>
      <c r="Y10" s="116"/>
      <c r="Z10" s="116"/>
    </row>
    <row r="11" spans="1:26" ht="15.75" customHeight="1">
      <c r="A11" s="438" t="s">
        <v>3193</v>
      </c>
      <c r="B11" s="970" t="s">
        <v>3194</v>
      </c>
      <c r="C11" s="971" t="s">
        <v>3195</v>
      </c>
      <c r="D11" s="971" t="s">
        <v>773</v>
      </c>
      <c r="E11" s="469">
        <v>3</v>
      </c>
      <c r="F11" s="972">
        <v>3450</v>
      </c>
      <c r="G11" s="973">
        <v>10350</v>
      </c>
      <c r="H11" s="469"/>
      <c r="I11" s="974"/>
      <c r="J11" s="974"/>
      <c r="K11" s="469"/>
      <c r="L11" s="974"/>
      <c r="M11" s="971"/>
      <c r="N11" s="469"/>
      <c r="O11" s="971"/>
      <c r="P11" s="971"/>
      <c r="Q11" s="116"/>
      <c r="R11" s="116"/>
      <c r="S11" s="116"/>
      <c r="T11" s="116"/>
      <c r="U11" s="116"/>
      <c r="V11" s="116"/>
      <c r="W11" s="116"/>
      <c r="X11" s="116"/>
      <c r="Y11" s="116"/>
      <c r="Z11" s="116"/>
    </row>
    <row r="12" spans="1:26" ht="15.75" customHeight="1">
      <c r="A12" s="975" t="s">
        <v>3196</v>
      </c>
      <c r="B12" s="969" t="s">
        <v>3197</v>
      </c>
      <c r="C12" s="975" t="s">
        <v>3195</v>
      </c>
      <c r="D12" s="469" t="s">
        <v>773</v>
      </c>
      <c r="E12" s="469">
        <v>10</v>
      </c>
      <c r="F12" s="972">
        <v>3885</v>
      </c>
      <c r="G12" s="973">
        <v>38850</v>
      </c>
      <c r="H12" s="469"/>
      <c r="I12" s="974"/>
      <c r="J12" s="974"/>
      <c r="K12" s="469"/>
      <c r="L12" s="974" t="s">
        <v>488</v>
      </c>
      <c r="M12" s="974" t="s">
        <v>488</v>
      </c>
      <c r="N12" s="469"/>
      <c r="O12" s="974" t="s">
        <v>488</v>
      </c>
      <c r="P12" s="469" t="s">
        <v>488</v>
      </c>
      <c r="Q12" s="116"/>
      <c r="R12" s="116"/>
      <c r="S12" s="116"/>
      <c r="T12" s="116"/>
      <c r="U12" s="116"/>
      <c r="V12" s="116"/>
      <c r="W12" s="116"/>
      <c r="X12" s="116"/>
      <c r="Y12" s="116"/>
      <c r="Z12" s="116"/>
    </row>
    <row r="13" spans="1:26" ht="15.75" customHeight="1">
      <c r="A13" s="471" t="s">
        <v>3198</v>
      </c>
      <c r="B13" s="960" t="s">
        <v>3199</v>
      </c>
      <c r="C13" s="471" t="s">
        <v>3195</v>
      </c>
      <c r="D13" s="470" t="s">
        <v>446</v>
      </c>
      <c r="E13" s="470">
        <v>4</v>
      </c>
      <c r="F13" s="976">
        <v>11895</v>
      </c>
      <c r="G13" s="977">
        <v>47580</v>
      </c>
      <c r="H13" s="470"/>
      <c r="I13" s="978"/>
      <c r="J13" s="978"/>
      <c r="K13" s="470"/>
      <c r="L13" s="978" t="s">
        <v>488</v>
      </c>
      <c r="M13" s="978" t="s">
        <v>488</v>
      </c>
      <c r="N13" s="470"/>
      <c r="O13" s="978" t="s">
        <v>488</v>
      </c>
      <c r="P13" s="470" t="s">
        <v>488</v>
      </c>
      <c r="Q13" s="116"/>
      <c r="R13" s="116"/>
      <c r="S13" s="116"/>
      <c r="T13" s="116"/>
      <c r="U13" s="116"/>
      <c r="V13" s="116"/>
      <c r="W13" s="116"/>
      <c r="X13" s="116"/>
      <c r="Y13" s="116"/>
      <c r="Z13" s="116"/>
    </row>
    <row r="14" spans="1:26" ht="15.75" customHeight="1">
      <c r="A14" s="471" t="s">
        <v>3200</v>
      </c>
      <c r="B14" s="960" t="s">
        <v>3201</v>
      </c>
      <c r="C14" s="471" t="s">
        <v>3195</v>
      </c>
      <c r="D14" s="470" t="s">
        <v>446</v>
      </c>
      <c r="E14" s="470">
        <v>30</v>
      </c>
      <c r="F14" s="976">
        <v>3795</v>
      </c>
      <c r="G14" s="977">
        <v>113850</v>
      </c>
      <c r="H14" s="470"/>
      <c r="I14" s="978"/>
      <c r="J14" s="978"/>
      <c r="K14" s="470"/>
      <c r="L14" s="978" t="s">
        <v>488</v>
      </c>
      <c r="M14" s="978" t="s">
        <v>488</v>
      </c>
      <c r="N14" s="470"/>
      <c r="O14" s="978" t="s">
        <v>488</v>
      </c>
      <c r="P14" s="470" t="s">
        <v>488</v>
      </c>
      <c r="Q14" s="116"/>
      <c r="R14" s="116"/>
      <c r="S14" s="116"/>
      <c r="T14" s="116"/>
      <c r="U14" s="116"/>
      <c r="V14" s="116"/>
      <c r="W14" s="116"/>
      <c r="X14" s="116"/>
      <c r="Y14" s="116"/>
      <c r="Z14" s="116"/>
    </row>
    <row r="15" spans="1:26" ht="15.75" customHeight="1">
      <c r="A15" s="471" t="s">
        <v>3202</v>
      </c>
      <c r="B15" s="960" t="s">
        <v>3203</v>
      </c>
      <c r="C15" s="471" t="s">
        <v>3195</v>
      </c>
      <c r="D15" s="470" t="s">
        <v>446</v>
      </c>
      <c r="E15" s="470">
        <v>50</v>
      </c>
      <c r="F15" s="976">
        <v>3285</v>
      </c>
      <c r="G15" s="977">
        <v>164250</v>
      </c>
      <c r="H15" s="470"/>
      <c r="I15" s="978"/>
      <c r="J15" s="978"/>
      <c r="K15" s="470"/>
      <c r="L15" s="978" t="s">
        <v>488</v>
      </c>
      <c r="M15" s="978" t="s">
        <v>488</v>
      </c>
      <c r="N15" s="470"/>
      <c r="O15" s="978" t="s">
        <v>488</v>
      </c>
      <c r="P15" s="470" t="s">
        <v>488</v>
      </c>
      <c r="Q15" s="116"/>
      <c r="R15" s="116"/>
      <c r="S15" s="116"/>
      <c r="T15" s="116"/>
      <c r="U15" s="116"/>
      <c r="V15" s="116"/>
      <c r="W15" s="116"/>
      <c r="X15" s="116"/>
      <c r="Y15" s="116"/>
      <c r="Z15" s="116"/>
    </row>
    <row r="16" spans="1:26" ht="15.75" customHeight="1">
      <c r="A16" s="975" t="s">
        <v>3204</v>
      </c>
      <c r="B16" s="979" t="s">
        <v>3205</v>
      </c>
      <c r="C16" s="975" t="s">
        <v>3195</v>
      </c>
      <c r="D16" s="469" t="s">
        <v>773</v>
      </c>
      <c r="E16" s="469">
        <v>4</v>
      </c>
      <c r="F16" s="972">
        <v>8585</v>
      </c>
      <c r="G16" s="972">
        <v>34340</v>
      </c>
      <c r="H16" s="469"/>
      <c r="I16" s="974"/>
      <c r="J16" s="974"/>
      <c r="K16" s="469"/>
      <c r="L16" s="974" t="s">
        <v>488</v>
      </c>
      <c r="M16" s="974" t="s">
        <v>488</v>
      </c>
      <c r="N16" s="469"/>
      <c r="O16" s="974" t="s">
        <v>488</v>
      </c>
      <c r="P16" s="469" t="s">
        <v>488</v>
      </c>
      <c r="Q16" s="116"/>
      <c r="R16" s="116"/>
      <c r="S16" s="116"/>
      <c r="T16" s="116"/>
      <c r="U16" s="116"/>
      <c r="V16" s="116"/>
      <c r="W16" s="116"/>
      <c r="X16" s="116"/>
      <c r="Y16" s="116"/>
      <c r="Z16" s="116"/>
    </row>
    <row r="17" spans="1:26" ht="15.75" customHeight="1">
      <c r="A17" s="975" t="s">
        <v>3206</v>
      </c>
      <c r="B17" s="980" t="s">
        <v>3207</v>
      </c>
      <c r="C17" s="469" t="s">
        <v>3195</v>
      </c>
      <c r="D17" s="469" t="s">
        <v>103</v>
      </c>
      <c r="E17" s="469">
        <v>33</v>
      </c>
      <c r="F17" s="981">
        <v>500</v>
      </c>
      <c r="G17" s="973">
        <v>16500</v>
      </c>
      <c r="H17" s="469"/>
      <c r="I17" s="974"/>
      <c r="J17" s="469" t="s">
        <v>488</v>
      </c>
      <c r="K17" s="469">
        <v>5</v>
      </c>
      <c r="L17" s="974">
        <v>500</v>
      </c>
      <c r="M17" s="973">
        <v>2500</v>
      </c>
      <c r="N17" s="469"/>
      <c r="O17" s="469"/>
      <c r="P17" s="469"/>
      <c r="Q17" s="469">
        <v>28</v>
      </c>
      <c r="R17" s="981">
        <v>500</v>
      </c>
      <c r="S17" s="973">
        <v>14000</v>
      </c>
      <c r="T17" s="116"/>
      <c r="U17" s="116"/>
      <c r="V17" s="116"/>
      <c r="W17" s="116"/>
      <c r="X17" s="116"/>
      <c r="Y17" s="116"/>
      <c r="Z17" s="116"/>
    </row>
    <row r="18" spans="1:26" ht="15.75" customHeight="1">
      <c r="A18" s="471" t="s">
        <v>3208</v>
      </c>
      <c r="B18" s="982" t="s">
        <v>3209</v>
      </c>
      <c r="C18" s="470" t="s">
        <v>3195</v>
      </c>
      <c r="D18" s="470" t="s">
        <v>103</v>
      </c>
      <c r="E18" s="470">
        <v>10</v>
      </c>
      <c r="F18" s="983">
        <v>450</v>
      </c>
      <c r="G18" s="977">
        <v>4500</v>
      </c>
      <c r="H18" s="470"/>
      <c r="I18" s="978"/>
      <c r="J18" s="470" t="s">
        <v>488</v>
      </c>
      <c r="K18" s="470">
        <v>10</v>
      </c>
      <c r="L18" s="978">
        <v>450</v>
      </c>
      <c r="M18" s="977">
        <v>4500</v>
      </c>
      <c r="N18" s="470"/>
      <c r="O18" s="470"/>
      <c r="P18" s="470"/>
      <c r="Q18" s="470">
        <v>0</v>
      </c>
      <c r="R18" s="983" t="s">
        <v>488</v>
      </c>
      <c r="S18" s="470" t="s">
        <v>488</v>
      </c>
      <c r="T18" s="116"/>
      <c r="U18" s="116"/>
      <c r="V18" s="116"/>
      <c r="W18" s="116"/>
      <c r="X18" s="116"/>
      <c r="Y18" s="116"/>
      <c r="Z18" s="116"/>
    </row>
    <row r="19" spans="1:26" ht="15.75" customHeight="1">
      <c r="A19" s="471" t="s">
        <v>3210</v>
      </c>
      <c r="B19" s="982" t="s">
        <v>3211</v>
      </c>
      <c r="C19" s="470" t="s">
        <v>3195</v>
      </c>
      <c r="D19" s="470" t="s">
        <v>103</v>
      </c>
      <c r="E19" s="470">
        <v>4</v>
      </c>
      <c r="F19" s="983">
        <v>450</v>
      </c>
      <c r="G19" s="977">
        <v>1800</v>
      </c>
      <c r="H19" s="470"/>
      <c r="I19" s="978"/>
      <c r="J19" s="470" t="s">
        <v>488</v>
      </c>
      <c r="K19" s="470">
        <v>4</v>
      </c>
      <c r="L19" s="978">
        <v>450</v>
      </c>
      <c r="M19" s="977">
        <v>1800</v>
      </c>
      <c r="N19" s="470"/>
      <c r="O19" s="470"/>
      <c r="P19" s="470"/>
      <c r="Q19" s="470">
        <v>0</v>
      </c>
      <c r="R19" s="983" t="s">
        <v>488</v>
      </c>
      <c r="S19" s="470" t="s">
        <v>488</v>
      </c>
      <c r="T19" s="116"/>
      <c r="U19" s="116"/>
      <c r="V19" s="116"/>
      <c r="W19" s="116"/>
      <c r="X19" s="116"/>
      <c r="Y19" s="116"/>
      <c r="Z19" s="116"/>
    </row>
    <row r="20" spans="1:26" ht="15.75" customHeight="1">
      <c r="A20" s="471" t="s">
        <v>3212</v>
      </c>
      <c r="B20" s="982" t="s">
        <v>3213</v>
      </c>
      <c r="C20" s="470" t="s">
        <v>3195</v>
      </c>
      <c r="D20" s="470" t="s">
        <v>103</v>
      </c>
      <c r="E20" s="470">
        <v>4</v>
      </c>
      <c r="F20" s="983">
        <v>450</v>
      </c>
      <c r="G20" s="977">
        <v>1800</v>
      </c>
      <c r="H20" s="470"/>
      <c r="I20" s="978"/>
      <c r="J20" s="470" t="s">
        <v>488</v>
      </c>
      <c r="K20" s="470">
        <v>4</v>
      </c>
      <c r="L20" s="978">
        <v>450</v>
      </c>
      <c r="M20" s="977">
        <v>1800</v>
      </c>
      <c r="N20" s="470"/>
      <c r="O20" s="470"/>
      <c r="P20" s="470"/>
      <c r="Q20" s="470">
        <v>0</v>
      </c>
      <c r="R20" s="983" t="s">
        <v>488</v>
      </c>
      <c r="S20" s="470" t="s">
        <v>488</v>
      </c>
      <c r="T20" s="116"/>
      <c r="U20" s="116"/>
      <c r="V20" s="116"/>
      <c r="W20" s="116"/>
      <c r="X20" s="116"/>
      <c r="Y20" s="116"/>
      <c r="Z20" s="116"/>
    </row>
    <row r="21" spans="1:26" ht="15.75" customHeight="1">
      <c r="A21" s="471" t="s">
        <v>3214</v>
      </c>
      <c r="B21" s="982" t="s">
        <v>3215</v>
      </c>
      <c r="C21" s="470" t="s">
        <v>3195</v>
      </c>
      <c r="D21" s="470" t="s">
        <v>103</v>
      </c>
      <c r="E21" s="470">
        <v>4</v>
      </c>
      <c r="F21" s="983">
        <v>450</v>
      </c>
      <c r="G21" s="977">
        <v>1800</v>
      </c>
      <c r="H21" s="470"/>
      <c r="I21" s="978"/>
      <c r="J21" s="470" t="s">
        <v>488</v>
      </c>
      <c r="K21" s="470">
        <v>4</v>
      </c>
      <c r="L21" s="978">
        <v>450</v>
      </c>
      <c r="M21" s="977">
        <v>1800</v>
      </c>
      <c r="N21" s="470"/>
      <c r="O21" s="470"/>
      <c r="P21" s="470"/>
      <c r="Q21" s="470">
        <v>0</v>
      </c>
      <c r="R21" s="983" t="s">
        <v>488</v>
      </c>
      <c r="S21" s="470" t="s">
        <v>488</v>
      </c>
      <c r="T21" s="116"/>
      <c r="U21" s="116"/>
      <c r="V21" s="116"/>
      <c r="W21" s="116"/>
      <c r="X21" s="116"/>
      <c r="Y21" s="116"/>
      <c r="Z21" s="116"/>
    </row>
    <row r="22" spans="1:26" ht="15.75" customHeight="1">
      <c r="A22" s="471" t="s">
        <v>3216</v>
      </c>
      <c r="B22" s="982" t="s">
        <v>720</v>
      </c>
      <c r="C22" s="470" t="s">
        <v>3195</v>
      </c>
      <c r="D22" s="470" t="s">
        <v>103</v>
      </c>
      <c r="E22" s="470">
        <v>28</v>
      </c>
      <c r="F22" s="983">
        <v>305</v>
      </c>
      <c r="G22" s="977">
        <v>8540</v>
      </c>
      <c r="H22" s="470"/>
      <c r="I22" s="978"/>
      <c r="J22" s="470" t="s">
        <v>488</v>
      </c>
      <c r="K22" s="470">
        <v>28</v>
      </c>
      <c r="L22" s="978">
        <v>305</v>
      </c>
      <c r="M22" s="977">
        <v>8540</v>
      </c>
      <c r="N22" s="470"/>
      <c r="O22" s="470"/>
      <c r="P22" s="470"/>
      <c r="Q22" s="470">
        <v>0</v>
      </c>
      <c r="R22" s="983" t="s">
        <v>488</v>
      </c>
      <c r="S22" s="470" t="s">
        <v>488</v>
      </c>
      <c r="T22" s="116"/>
      <c r="U22" s="116"/>
      <c r="V22" s="116"/>
      <c r="W22" s="116"/>
      <c r="X22" s="116"/>
      <c r="Y22" s="116"/>
      <c r="Z22" s="116"/>
    </row>
    <row r="23" spans="1:26" ht="15.75" customHeight="1">
      <c r="A23" s="471" t="s">
        <v>3217</v>
      </c>
      <c r="B23" s="982" t="s">
        <v>1359</v>
      </c>
      <c r="C23" s="470" t="s">
        <v>3195</v>
      </c>
      <c r="D23" s="470" t="s">
        <v>103</v>
      </c>
      <c r="E23" s="470">
        <v>16</v>
      </c>
      <c r="F23" s="983">
        <v>249.6</v>
      </c>
      <c r="G23" s="977">
        <v>3993.6</v>
      </c>
      <c r="H23" s="470"/>
      <c r="I23" s="978"/>
      <c r="J23" s="470" t="s">
        <v>488</v>
      </c>
      <c r="K23" s="470">
        <v>3</v>
      </c>
      <c r="L23" s="978">
        <v>249.6</v>
      </c>
      <c r="M23" s="470">
        <v>748.8</v>
      </c>
      <c r="N23" s="470"/>
      <c r="O23" s="470"/>
      <c r="P23" s="470"/>
      <c r="Q23" s="470">
        <v>13</v>
      </c>
      <c r="R23" s="983">
        <v>249.6</v>
      </c>
      <c r="S23" s="977">
        <v>3244.8</v>
      </c>
      <c r="T23" s="116"/>
      <c r="U23" s="116"/>
      <c r="V23" s="116"/>
      <c r="W23" s="116"/>
      <c r="X23" s="116"/>
      <c r="Y23" s="116"/>
      <c r="Z23" s="116"/>
    </row>
    <row r="24" spans="1:26" ht="15.75" customHeight="1">
      <c r="A24" s="471" t="s">
        <v>3218</v>
      </c>
      <c r="B24" s="982" t="s">
        <v>1361</v>
      </c>
      <c r="C24" s="470" t="s">
        <v>3195</v>
      </c>
      <c r="D24" s="470" t="s">
        <v>103</v>
      </c>
      <c r="E24" s="470">
        <v>14</v>
      </c>
      <c r="F24" s="983">
        <v>249.6</v>
      </c>
      <c r="G24" s="977">
        <v>3494.4</v>
      </c>
      <c r="H24" s="470"/>
      <c r="I24" s="978"/>
      <c r="J24" s="470" t="s">
        <v>488</v>
      </c>
      <c r="K24" s="470">
        <v>2</v>
      </c>
      <c r="L24" s="978">
        <v>249.6</v>
      </c>
      <c r="M24" s="470">
        <v>499.2</v>
      </c>
      <c r="N24" s="470"/>
      <c r="O24" s="470"/>
      <c r="P24" s="470"/>
      <c r="Q24" s="470">
        <v>12</v>
      </c>
      <c r="R24" s="983">
        <v>249.6</v>
      </c>
      <c r="S24" s="977">
        <v>2995.2</v>
      </c>
      <c r="T24" s="116"/>
      <c r="U24" s="116"/>
      <c r="V24" s="116"/>
      <c r="W24" s="116"/>
      <c r="X24" s="116"/>
      <c r="Y24" s="116"/>
      <c r="Z24" s="116"/>
    </row>
    <row r="25" spans="1:26" ht="15.75" customHeight="1">
      <c r="A25" s="471" t="s">
        <v>3219</v>
      </c>
      <c r="B25" s="982" t="s">
        <v>454</v>
      </c>
      <c r="C25" s="470" t="s">
        <v>3195</v>
      </c>
      <c r="D25" s="470" t="s">
        <v>103</v>
      </c>
      <c r="E25" s="470">
        <v>500</v>
      </c>
      <c r="F25" s="983">
        <v>285</v>
      </c>
      <c r="G25" s="977">
        <v>142500</v>
      </c>
      <c r="H25" s="470"/>
      <c r="I25" s="978"/>
      <c r="J25" s="470" t="s">
        <v>488</v>
      </c>
      <c r="K25" s="470"/>
      <c r="L25" s="978"/>
      <c r="M25" s="470" t="s">
        <v>488</v>
      </c>
      <c r="N25" s="470"/>
      <c r="O25" s="470"/>
      <c r="P25" s="470"/>
      <c r="Q25" s="470">
        <v>500</v>
      </c>
      <c r="R25" s="983">
        <v>285</v>
      </c>
      <c r="S25" s="977">
        <v>142500</v>
      </c>
      <c r="T25" s="116"/>
      <c r="U25" s="116"/>
      <c r="V25" s="116"/>
      <c r="W25" s="116"/>
      <c r="X25" s="116"/>
      <c r="Y25" s="116"/>
      <c r="Z25" s="116"/>
    </row>
    <row r="26" spans="1:26" ht="15.75" customHeight="1">
      <c r="A26" s="471" t="s">
        <v>3220</v>
      </c>
      <c r="B26" s="982" t="s">
        <v>3221</v>
      </c>
      <c r="C26" s="470" t="s">
        <v>3195</v>
      </c>
      <c r="D26" s="470" t="s">
        <v>103</v>
      </c>
      <c r="E26" s="470">
        <v>25</v>
      </c>
      <c r="F26" s="983">
        <v>166.4</v>
      </c>
      <c r="G26" s="977">
        <v>4160</v>
      </c>
      <c r="H26" s="470"/>
      <c r="I26" s="978"/>
      <c r="J26" s="470" t="s">
        <v>488</v>
      </c>
      <c r="K26" s="470"/>
      <c r="L26" s="978"/>
      <c r="M26" s="470" t="s">
        <v>488</v>
      </c>
      <c r="N26" s="470"/>
      <c r="O26" s="470"/>
      <c r="P26" s="470"/>
      <c r="Q26" s="470">
        <v>25</v>
      </c>
      <c r="R26" s="983">
        <v>166.4</v>
      </c>
      <c r="S26" s="977">
        <v>4160</v>
      </c>
      <c r="T26" s="116"/>
      <c r="U26" s="116"/>
      <c r="V26" s="116"/>
      <c r="W26" s="116"/>
      <c r="X26" s="116"/>
      <c r="Y26" s="116"/>
      <c r="Z26" s="116"/>
    </row>
    <row r="27" spans="1:26" ht="15.75" customHeight="1">
      <c r="A27" s="471" t="s">
        <v>3222</v>
      </c>
      <c r="B27" s="982" t="s">
        <v>778</v>
      </c>
      <c r="C27" s="470" t="s">
        <v>3195</v>
      </c>
      <c r="D27" s="470" t="s">
        <v>103</v>
      </c>
      <c r="E27" s="470">
        <v>17</v>
      </c>
      <c r="F27" s="983">
        <v>285</v>
      </c>
      <c r="G27" s="977">
        <v>4845</v>
      </c>
      <c r="H27" s="470"/>
      <c r="I27" s="978"/>
      <c r="J27" s="470" t="s">
        <v>488</v>
      </c>
      <c r="K27" s="470"/>
      <c r="L27" s="978"/>
      <c r="M27" s="470" t="s">
        <v>488</v>
      </c>
      <c r="N27" s="470"/>
      <c r="O27" s="470"/>
      <c r="P27" s="470"/>
      <c r="Q27" s="470">
        <v>17</v>
      </c>
      <c r="R27" s="983">
        <v>285</v>
      </c>
      <c r="S27" s="977">
        <v>4845</v>
      </c>
      <c r="T27" s="116"/>
      <c r="U27" s="116"/>
      <c r="V27" s="116"/>
      <c r="W27" s="116"/>
      <c r="X27" s="116"/>
      <c r="Y27" s="116"/>
      <c r="Z27" s="116"/>
    </row>
    <row r="28" spans="1:26" ht="15.75" customHeight="1">
      <c r="A28" s="471" t="s">
        <v>3223</v>
      </c>
      <c r="B28" s="982" t="s">
        <v>1377</v>
      </c>
      <c r="C28" s="470" t="s">
        <v>3195</v>
      </c>
      <c r="D28" s="470" t="s">
        <v>103</v>
      </c>
      <c r="E28" s="470">
        <v>20</v>
      </c>
      <c r="F28" s="983">
        <v>428</v>
      </c>
      <c r="G28" s="977">
        <v>8560</v>
      </c>
      <c r="H28" s="470"/>
      <c r="I28" s="978"/>
      <c r="J28" s="470" t="s">
        <v>488</v>
      </c>
      <c r="K28" s="470"/>
      <c r="L28" s="978"/>
      <c r="M28" s="470" t="s">
        <v>488</v>
      </c>
      <c r="N28" s="470"/>
      <c r="O28" s="470"/>
      <c r="P28" s="470"/>
      <c r="Q28" s="470">
        <v>20</v>
      </c>
      <c r="R28" s="983">
        <v>428</v>
      </c>
      <c r="S28" s="977">
        <v>8560</v>
      </c>
      <c r="T28" s="116"/>
      <c r="U28" s="116"/>
      <c r="V28" s="116"/>
      <c r="W28" s="116"/>
      <c r="X28" s="116"/>
      <c r="Y28" s="116"/>
      <c r="Z28" s="116"/>
    </row>
    <row r="29" spans="1:26" ht="15.75" customHeight="1">
      <c r="A29" s="471" t="s">
        <v>3224</v>
      </c>
      <c r="B29" s="982" t="s">
        <v>1373</v>
      </c>
      <c r="C29" s="470" t="s">
        <v>3195</v>
      </c>
      <c r="D29" s="470" t="s">
        <v>103</v>
      </c>
      <c r="E29" s="470">
        <v>120</v>
      </c>
      <c r="F29" s="983">
        <v>428</v>
      </c>
      <c r="G29" s="977">
        <v>51360</v>
      </c>
      <c r="H29" s="470"/>
      <c r="I29" s="978"/>
      <c r="J29" s="470" t="s">
        <v>488</v>
      </c>
      <c r="K29" s="470"/>
      <c r="L29" s="978"/>
      <c r="M29" s="470" t="s">
        <v>488</v>
      </c>
      <c r="N29" s="470"/>
      <c r="O29" s="470"/>
      <c r="P29" s="470"/>
      <c r="Q29" s="470">
        <v>120</v>
      </c>
      <c r="R29" s="983">
        <v>428</v>
      </c>
      <c r="S29" s="977">
        <v>51360</v>
      </c>
      <c r="T29" s="116"/>
      <c r="U29" s="116"/>
      <c r="V29" s="116"/>
      <c r="W29" s="116"/>
      <c r="X29" s="116"/>
      <c r="Y29" s="116"/>
      <c r="Z29" s="116"/>
    </row>
    <row r="30" spans="1:26" ht="15.75" customHeight="1">
      <c r="A30" s="471" t="s">
        <v>3225</v>
      </c>
      <c r="B30" s="982" t="s">
        <v>810</v>
      </c>
      <c r="C30" s="470" t="s">
        <v>3195</v>
      </c>
      <c r="D30" s="470" t="s">
        <v>103</v>
      </c>
      <c r="E30" s="470">
        <v>20</v>
      </c>
      <c r="F30" s="983">
        <v>428</v>
      </c>
      <c r="G30" s="977">
        <v>8560</v>
      </c>
      <c r="H30" s="470"/>
      <c r="I30" s="978"/>
      <c r="J30" s="470" t="s">
        <v>488</v>
      </c>
      <c r="K30" s="470"/>
      <c r="L30" s="978"/>
      <c r="M30" s="470" t="s">
        <v>488</v>
      </c>
      <c r="N30" s="470"/>
      <c r="O30" s="470"/>
      <c r="P30" s="470"/>
      <c r="Q30" s="470">
        <v>20</v>
      </c>
      <c r="R30" s="983">
        <v>428</v>
      </c>
      <c r="S30" s="977">
        <v>8560</v>
      </c>
      <c r="T30" s="116"/>
      <c r="U30" s="116"/>
      <c r="V30" s="116"/>
      <c r="W30" s="116"/>
      <c r="X30" s="116"/>
      <c r="Y30" s="116"/>
      <c r="Z30" s="116"/>
    </row>
    <row r="31" spans="1:26" ht="15.75" customHeight="1">
      <c r="A31" s="471" t="s">
        <v>3226</v>
      </c>
      <c r="B31" s="982" t="s">
        <v>3227</v>
      </c>
      <c r="C31" s="470" t="s">
        <v>3195</v>
      </c>
      <c r="D31" s="470" t="s">
        <v>103</v>
      </c>
      <c r="E31" s="470">
        <v>1</v>
      </c>
      <c r="F31" s="984">
        <v>11760</v>
      </c>
      <c r="G31" s="977">
        <v>11760</v>
      </c>
      <c r="H31" s="470"/>
      <c r="I31" s="978"/>
      <c r="J31" s="470" t="s">
        <v>488</v>
      </c>
      <c r="K31" s="470"/>
      <c r="L31" s="978"/>
      <c r="M31" s="470" t="s">
        <v>488</v>
      </c>
      <c r="N31" s="470"/>
      <c r="O31" s="470"/>
      <c r="P31" s="470"/>
      <c r="Q31" s="470">
        <v>1</v>
      </c>
      <c r="R31" s="984">
        <v>11760</v>
      </c>
      <c r="S31" s="977">
        <v>11760</v>
      </c>
      <c r="T31" s="116"/>
      <c r="U31" s="116"/>
      <c r="V31" s="116"/>
      <c r="W31" s="116"/>
      <c r="X31" s="116"/>
      <c r="Y31" s="116"/>
      <c r="Z31" s="116"/>
    </row>
    <row r="32" spans="1:26" ht="15.75" customHeight="1">
      <c r="A32" s="471" t="s">
        <v>3228</v>
      </c>
      <c r="B32" s="982" t="s">
        <v>3229</v>
      </c>
      <c r="C32" s="470" t="s">
        <v>3195</v>
      </c>
      <c r="D32" s="470" t="s">
        <v>103</v>
      </c>
      <c r="E32" s="470">
        <v>230</v>
      </c>
      <c r="F32" s="983">
        <v>5</v>
      </c>
      <c r="G32" s="977">
        <v>1150</v>
      </c>
      <c r="H32" s="470"/>
      <c r="I32" s="978"/>
      <c r="J32" s="470" t="s">
        <v>488</v>
      </c>
      <c r="K32" s="470"/>
      <c r="L32" s="978"/>
      <c r="M32" s="470" t="s">
        <v>488</v>
      </c>
      <c r="N32" s="470"/>
      <c r="O32" s="470"/>
      <c r="P32" s="470"/>
      <c r="Q32" s="470">
        <v>230</v>
      </c>
      <c r="R32" s="983">
        <v>5</v>
      </c>
      <c r="S32" s="977">
        <v>1150</v>
      </c>
      <c r="T32" s="116"/>
      <c r="U32" s="116"/>
      <c r="V32" s="116"/>
      <c r="W32" s="116"/>
      <c r="X32" s="116"/>
      <c r="Y32" s="116"/>
      <c r="Z32" s="116"/>
    </row>
    <row r="33" spans="1:26" ht="15.75" customHeight="1">
      <c r="A33" s="471" t="s">
        <v>3230</v>
      </c>
      <c r="B33" s="982" t="s">
        <v>3231</v>
      </c>
      <c r="C33" s="470" t="s">
        <v>3195</v>
      </c>
      <c r="D33" s="470" t="s">
        <v>103</v>
      </c>
      <c r="E33" s="470">
        <v>2</v>
      </c>
      <c r="F33" s="984">
        <v>1200</v>
      </c>
      <c r="G33" s="977">
        <v>2400</v>
      </c>
      <c r="H33" s="470"/>
      <c r="I33" s="978"/>
      <c r="J33" s="470" t="s">
        <v>488</v>
      </c>
      <c r="K33" s="470"/>
      <c r="L33" s="978"/>
      <c r="M33" s="470" t="s">
        <v>488</v>
      </c>
      <c r="N33" s="470"/>
      <c r="O33" s="470"/>
      <c r="P33" s="470"/>
      <c r="Q33" s="470">
        <v>2</v>
      </c>
      <c r="R33" s="984">
        <v>1200</v>
      </c>
      <c r="S33" s="977">
        <v>2400</v>
      </c>
      <c r="T33" s="116"/>
      <c r="U33" s="116"/>
      <c r="V33" s="116"/>
      <c r="W33" s="116"/>
      <c r="X33" s="116"/>
      <c r="Y33" s="116"/>
      <c r="Z33" s="116"/>
    </row>
    <row r="34" spans="1:26" ht="15.75" customHeight="1">
      <c r="A34" s="471" t="s">
        <v>3232</v>
      </c>
      <c r="B34" s="982" t="s">
        <v>3233</v>
      </c>
      <c r="C34" s="470" t="s">
        <v>3195</v>
      </c>
      <c r="D34" s="470" t="s">
        <v>103</v>
      </c>
      <c r="E34" s="470">
        <v>39</v>
      </c>
      <c r="F34" s="983">
        <v>245</v>
      </c>
      <c r="G34" s="977">
        <v>9555</v>
      </c>
      <c r="H34" s="470"/>
      <c r="I34" s="978"/>
      <c r="J34" s="470" t="s">
        <v>488</v>
      </c>
      <c r="K34" s="470"/>
      <c r="L34" s="978"/>
      <c r="M34" s="470" t="s">
        <v>488</v>
      </c>
      <c r="N34" s="470"/>
      <c r="O34" s="470"/>
      <c r="P34" s="470"/>
      <c r="Q34" s="470">
        <v>39</v>
      </c>
      <c r="R34" s="983">
        <v>245</v>
      </c>
      <c r="S34" s="977">
        <v>9555</v>
      </c>
      <c r="T34" s="116"/>
      <c r="U34" s="116"/>
      <c r="V34" s="116"/>
      <c r="W34" s="116"/>
      <c r="X34" s="116"/>
      <c r="Y34" s="116"/>
      <c r="Z34" s="116"/>
    </row>
    <row r="35" spans="1:26" ht="15.75" customHeight="1">
      <c r="A35" s="471" t="s">
        <v>3234</v>
      </c>
      <c r="B35" s="982" t="s">
        <v>3235</v>
      </c>
      <c r="C35" s="470" t="s">
        <v>3195</v>
      </c>
      <c r="D35" s="470" t="s">
        <v>103</v>
      </c>
      <c r="E35" s="470">
        <v>8</v>
      </c>
      <c r="F35" s="984">
        <v>6470</v>
      </c>
      <c r="G35" s="977">
        <v>51760</v>
      </c>
      <c r="H35" s="470"/>
      <c r="I35" s="978"/>
      <c r="J35" s="470" t="s">
        <v>488</v>
      </c>
      <c r="K35" s="470"/>
      <c r="L35" s="978"/>
      <c r="M35" s="470" t="s">
        <v>488</v>
      </c>
      <c r="N35" s="470"/>
      <c r="O35" s="470"/>
      <c r="P35" s="470"/>
      <c r="Q35" s="470">
        <v>8</v>
      </c>
      <c r="R35" s="984">
        <v>6470</v>
      </c>
      <c r="S35" s="977">
        <v>51760</v>
      </c>
      <c r="T35" s="116"/>
      <c r="U35" s="116"/>
      <c r="V35" s="116"/>
      <c r="W35" s="116"/>
      <c r="X35" s="116"/>
      <c r="Y35" s="116"/>
      <c r="Z35" s="116"/>
    </row>
    <row r="36" spans="1:26" ht="15.75" customHeight="1">
      <c r="A36" s="471" t="s">
        <v>3236</v>
      </c>
      <c r="B36" s="982" t="s">
        <v>3237</v>
      </c>
      <c r="C36" s="470" t="s">
        <v>3195</v>
      </c>
      <c r="D36" s="470" t="s">
        <v>103</v>
      </c>
      <c r="E36" s="470">
        <v>15</v>
      </c>
      <c r="F36" s="983">
        <v>209.5</v>
      </c>
      <c r="G36" s="977">
        <v>3142.52</v>
      </c>
      <c r="H36" s="470"/>
      <c r="I36" s="978"/>
      <c r="J36" s="470" t="s">
        <v>488</v>
      </c>
      <c r="K36" s="470"/>
      <c r="L36" s="983"/>
      <c r="M36" s="470" t="s">
        <v>488</v>
      </c>
      <c r="N36" s="470"/>
      <c r="O36" s="470"/>
      <c r="P36" s="470"/>
      <c r="Q36" s="470">
        <v>15</v>
      </c>
      <c r="R36" s="983">
        <v>209.5</v>
      </c>
      <c r="S36" s="977">
        <v>3142.52</v>
      </c>
      <c r="T36" s="116"/>
      <c r="U36" s="116"/>
      <c r="V36" s="116"/>
      <c r="W36" s="116"/>
      <c r="X36" s="116"/>
      <c r="Y36" s="116"/>
      <c r="Z36" s="116"/>
    </row>
    <row r="37" spans="1:26" ht="15.75" customHeight="1">
      <c r="A37" s="471" t="s">
        <v>3238</v>
      </c>
      <c r="B37" s="982" t="s">
        <v>3239</v>
      </c>
      <c r="C37" s="470" t="s">
        <v>3195</v>
      </c>
      <c r="D37" s="470" t="s">
        <v>103</v>
      </c>
      <c r="E37" s="470">
        <v>11</v>
      </c>
      <c r="F37" s="983">
        <v>380</v>
      </c>
      <c r="G37" s="977">
        <v>4180</v>
      </c>
      <c r="H37" s="470"/>
      <c r="I37" s="978"/>
      <c r="J37" s="470" t="s">
        <v>488</v>
      </c>
      <c r="K37" s="470"/>
      <c r="L37" s="983"/>
      <c r="M37" s="470" t="s">
        <v>488</v>
      </c>
      <c r="N37" s="470"/>
      <c r="O37" s="470"/>
      <c r="P37" s="470"/>
      <c r="Q37" s="470">
        <v>11</v>
      </c>
      <c r="R37" s="983">
        <v>380</v>
      </c>
      <c r="S37" s="977">
        <v>4180</v>
      </c>
      <c r="T37" s="116"/>
      <c r="U37" s="116"/>
      <c r="V37" s="116"/>
      <c r="W37" s="116"/>
      <c r="X37" s="116"/>
      <c r="Y37" s="116"/>
      <c r="Z37" s="116"/>
    </row>
    <row r="38" spans="1:26" ht="15.75" customHeight="1">
      <c r="A38" s="975" t="s">
        <v>3240</v>
      </c>
      <c r="B38" s="985" t="s">
        <v>3241</v>
      </c>
      <c r="C38" s="469" t="s">
        <v>3181</v>
      </c>
      <c r="D38" s="470" t="s">
        <v>902</v>
      </c>
      <c r="E38" s="470">
        <v>6</v>
      </c>
      <c r="F38" s="986">
        <v>4650</v>
      </c>
      <c r="G38" s="973">
        <v>27900</v>
      </c>
      <c r="H38" s="470"/>
      <c r="I38" s="981"/>
      <c r="J38" s="469" t="s">
        <v>488</v>
      </c>
      <c r="K38" s="469"/>
      <c r="L38" s="974"/>
      <c r="M38" s="469" t="s">
        <v>488</v>
      </c>
      <c r="N38" s="469"/>
      <c r="O38" s="469"/>
      <c r="P38" s="469" t="s">
        <v>488</v>
      </c>
      <c r="Q38" s="469">
        <v>6</v>
      </c>
      <c r="R38" s="986">
        <v>4650</v>
      </c>
      <c r="S38" s="973">
        <v>27900</v>
      </c>
      <c r="T38" s="116"/>
      <c r="U38" s="116"/>
      <c r="V38" s="116"/>
      <c r="W38" s="116"/>
      <c r="X38" s="116"/>
      <c r="Y38" s="116"/>
      <c r="Z38" s="116"/>
    </row>
    <row r="39" spans="1:26" ht="15.75" customHeight="1">
      <c r="A39" s="471" t="s">
        <v>3242</v>
      </c>
      <c r="B39" s="987" t="s">
        <v>3243</v>
      </c>
      <c r="C39" s="470" t="s">
        <v>3181</v>
      </c>
      <c r="D39" s="470" t="s">
        <v>103</v>
      </c>
      <c r="E39" s="470">
        <v>18</v>
      </c>
      <c r="F39" s="983">
        <v>759.14</v>
      </c>
      <c r="G39" s="977">
        <v>13664.5</v>
      </c>
      <c r="H39" s="470"/>
      <c r="I39" s="470"/>
      <c r="J39" s="470" t="s">
        <v>488</v>
      </c>
      <c r="K39" s="470"/>
      <c r="L39" s="978"/>
      <c r="M39" s="470" t="s">
        <v>488</v>
      </c>
      <c r="N39" s="470"/>
      <c r="O39" s="470"/>
      <c r="P39" s="470" t="s">
        <v>488</v>
      </c>
      <c r="Q39" s="470">
        <v>18</v>
      </c>
      <c r="R39" s="983">
        <v>759.14</v>
      </c>
      <c r="S39" s="977">
        <v>13664.5</v>
      </c>
      <c r="T39" s="116"/>
      <c r="U39" s="116"/>
      <c r="V39" s="116"/>
      <c r="W39" s="116"/>
      <c r="X39" s="116"/>
      <c r="Y39" s="116"/>
      <c r="Z39" s="116"/>
    </row>
    <row r="40" spans="1:26" ht="15.75" customHeight="1">
      <c r="A40" s="471" t="s">
        <v>3244</v>
      </c>
      <c r="B40" s="987" t="s">
        <v>3245</v>
      </c>
      <c r="C40" s="470" t="s">
        <v>3181</v>
      </c>
      <c r="D40" s="470" t="s">
        <v>638</v>
      </c>
      <c r="E40" s="470">
        <v>21</v>
      </c>
      <c r="F40" s="983">
        <v>330</v>
      </c>
      <c r="G40" s="977">
        <v>6930</v>
      </c>
      <c r="H40" s="470"/>
      <c r="I40" s="470"/>
      <c r="J40" s="470" t="s">
        <v>488</v>
      </c>
      <c r="K40" s="470">
        <v>21</v>
      </c>
      <c r="L40" s="978">
        <v>330</v>
      </c>
      <c r="M40" s="977">
        <v>6930</v>
      </c>
      <c r="N40" s="470"/>
      <c r="O40" s="470"/>
      <c r="P40" s="470" t="s">
        <v>488</v>
      </c>
      <c r="Q40" s="470">
        <v>0</v>
      </c>
      <c r="R40" s="983" t="s">
        <v>488</v>
      </c>
      <c r="S40" s="470" t="s">
        <v>488</v>
      </c>
      <c r="T40" s="116"/>
      <c r="U40" s="116"/>
      <c r="V40" s="116"/>
      <c r="W40" s="116"/>
      <c r="X40" s="116"/>
      <c r="Y40" s="116"/>
      <c r="Z40" s="116"/>
    </row>
    <row r="41" spans="1:26" ht="15.75" customHeight="1">
      <c r="A41" s="471" t="s">
        <v>3246</v>
      </c>
      <c r="B41" s="987" t="s">
        <v>3247</v>
      </c>
      <c r="C41" s="470" t="s">
        <v>3181</v>
      </c>
      <c r="D41" s="470" t="s">
        <v>638</v>
      </c>
      <c r="E41" s="470">
        <v>1</v>
      </c>
      <c r="F41" s="983">
        <v>330</v>
      </c>
      <c r="G41" s="470">
        <v>330</v>
      </c>
      <c r="H41" s="470"/>
      <c r="I41" s="470"/>
      <c r="J41" s="470" t="s">
        <v>488</v>
      </c>
      <c r="K41" s="470">
        <v>1</v>
      </c>
      <c r="L41" s="978">
        <v>330</v>
      </c>
      <c r="M41" s="470">
        <v>330</v>
      </c>
      <c r="N41" s="470"/>
      <c r="O41" s="470"/>
      <c r="P41" s="470" t="s">
        <v>488</v>
      </c>
      <c r="Q41" s="470">
        <v>0</v>
      </c>
      <c r="R41" s="983" t="s">
        <v>488</v>
      </c>
      <c r="S41" s="470" t="s">
        <v>488</v>
      </c>
      <c r="T41" s="116"/>
      <c r="U41" s="116"/>
      <c r="V41" s="116"/>
      <c r="W41" s="116"/>
      <c r="X41" s="116"/>
      <c r="Y41" s="116"/>
      <c r="Z41" s="116"/>
    </row>
    <row r="42" spans="1:26" ht="15.75" customHeight="1">
      <c r="A42" s="471" t="s">
        <v>3248</v>
      </c>
      <c r="B42" s="987" t="s">
        <v>3249</v>
      </c>
      <c r="C42" s="470" t="s">
        <v>3181</v>
      </c>
      <c r="D42" s="470" t="s">
        <v>638</v>
      </c>
      <c r="E42" s="470">
        <v>1</v>
      </c>
      <c r="F42" s="983">
        <v>330</v>
      </c>
      <c r="G42" s="470">
        <v>330</v>
      </c>
      <c r="H42" s="470"/>
      <c r="I42" s="470"/>
      <c r="J42" s="470" t="s">
        <v>488</v>
      </c>
      <c r="K42" s="470">
        <v>1</v>
      </c>
      <c r="L42" s="978">
        <v>330</v>
      </c>
      <c r="M42" s="470">
        <v>330</v>
      </c>
      <c r="N42" s="470"/>
      <c r="O42" s="470"/>
      <c r="P42" s="470" t="s">
        <v>488</v>
      </c>
      <c r="Q42" s="470">
        <v>0</v>
      </c>
      <c r="R42" s="983" t="s">
        <v>488</v>
      </c>
      <c r="S42" s="470" t="s">
        <v>488</v>
      </c>
      <c r="T42" s="116"/>
      <c r="U42" s="116"/>
      <c r="V42" s="116"/>
      <c r="W42" s="116"/>
      <c r="X42" s="116"/>
      <c r="Y42" s="116"/>
      <c r="Z42" s="116"/>
    </row>
    <row r="43" spans="1:26" ht="15.75" customHeight="1">
      <c r="A43" s="471" t="s">
        <v>3250</v>
      </c>
      <c r="B43" s="987" t="s">
        <v>3251</v>
      </c>
      <c r="C43" s="470" t="s">
        <v>3181</v>
      </c>
      <c r="D43" s="470" t="s">
        <v>638</v>
      </c>
      <c r="E43" s="470">
        <v>16</v>
      </c>
      <c r="F43" s="983">
        <v>330</v>
      </c>
      <c r="G43" s="977">
        <v>5280</v>
      </c>
      <c r="H43" s="470"/>
      <c r="I43" s="470"/>
      <c r="J43" s="470" t="s">
        <v>488</v>
      </c>
      <c r="K43" s="470">
        <v>7</v>
      </c>
      <c r="L43" s="978">
        <v>330</v>
      </c>
      <c r="M43" s="977">
        <v>2310</v>
      </c>
      <c r="N43" s="470"/>
      <c r="O43" s="470"/>
      <c r="P43" s="470" t="s">
        <v>488</v>
      </c>
      <c r="Q43" s="470">
        <v>9</v>
      </c>
      <c r="R43" s="983">
        <v>330</v>
      </c>
      <c r="S43" s="977">
        <v>2970</v>
      </c>
      <c r="T43" s="116"/>
      <c r="U43" s="116"/>
      <c r="V43" s="116"/>
      <c r="W43" s="116"/>
      <c r="X43" s="116"/>
      <c r="Y43" s="116"/>
      <c r="Z43" s="116"/>
    </row>
    <row r="44" spans="1:26" ht="15.75" customHeight="1">
      <c r="A44" s="471" t="s">
        <v>3252</v>
      </c>
      <c r="B44" s="987" t="s">
        <v>807</v>
      </c>
      <c r="C44" s="470" t="s">
        <v>3181</v>
      </c>
      <c r="D44" s="470" t="s">
        <v>103</v>
      </c>
      <c r="E44" s="470">
        <v>287</v>
      </c>
      <c r="F44" s="983">
        <v>365</v>
      </c>
      <c r="G44" s="977">
        <v>104755</v>
      </c>
      <c r="H44" s="470"/>
      <c r="I44" s="470"/>
      <c r="J44" s="470" t="s">
        <v>488</v>
      </c>
      <c r="K44" s="470">
        <v>22</v>
      </c>
      <c r="L44" s="978">
        <v>365</v>
      </c>
      <c r="M44" s="977">
        <v>8030</v>
      </c>
      <c r="N44" s="470"/>
      <c r="O44" s="470"/>
      <c r="P44" s="470" t="s">
        <v>488</v>
      </c>
      <c r="Q44" s="470">
        <v>265</v>
      </c>
      <c r="R44" s="983">
        <v>365</v>
      </c>
      <c r="S44" s="977">
        <v>96725</v>
      </c>
      <c r="T44" s="116"/>
      <c r="U44" s="116"/>
      <c r="V44" s="116"/>
      <c r="W44" s="116"/>
      <c r="X44" s="116"/>
      <c r="Y44" s="116"/>
      <c r="Z44" s="116"/>
    </row>
    <row r="45" spans="1:26" ht="15.75" customHeight="1">
      <c r="A45" s="471" t="s">
        <v>3253</v>
      </c>
      <c r="B45" s="987" t="s">
        <v>3254</v>
      </c>
      <c r="C45" s="470" t="s">
        <v>3181</v>
      </c>
      <c r="D45" s="470" t="s">
        <v>103</v>
      </c>
      <c r="E45" s="470">
        <v>71</v>
      </c>
      <c r="F45" s="983">
        <v>365</v>
      </c>
      <c r="G45" s="977">
        <v>25915</v>
      </c>
      <c r="H45" s="470"/>
      <c r="I45" s="470"/>
      <c r="J45" s="470" t="s">
        <v>488</v>
      </c>
      <c r="K45" s="470">
        <v>1</v>
      </c>
      <c r="L45" s="978">
        <v>365</v>
      </c>
      <c r="M45" s="470">
        <v>365</v>
      </c>
      <c r="N45" s="470"/>
      <c r="O45" s="470"/>
      <c r="P45" s="470" t="s">
        <v>488</v>
      </c>
      <c r="Q45" s="470">
        <v>70</v>
      </c>
      <c r="R45" s="983">
        <v>365</v>
      </c>
      <c r="S45" s="977">
        <v>25550</v>
      </c>
      <c r="T45" s="116"/>
      <c r="U45" s="116"/>
      <c r="V45" s="116"/>
      <c r="W45" s="116"/>
      <c r="X45" s="116"/>
      <c r="Y45" s="116"/>
      <c r="Z45" s="116"/>
    </row>
    <row r="46" spans="1:26" ht="15.75" customHeight="1">
      <c r="A46" s="471" t="s">
        <v>3255</v>
      </c>
      <c r="B46" s="987" t="s">
        <v>3256</v>
      </c>
      <c r="C46" s="470" t="s">
        <v>3181</v>
      </c>
      <c r="D46" s="470" t="s">
        <v>103</v>
      </c>
      <c r="E46" s="470">
        <v>71</v>
      </c>
      <c r="F46" s="983">
        <v>365</v>
      </c>
      <c r="G46" s="977">
        <v>25915</v>
      </c>
      <c r="H46" s="470"/>
      <c r="I46" s="470"/>
      <c r="J46" s="470" t="s">
        <v>488</v>
      </c>
      <c r="K46" s="470">
        <v>1</v>
      </c>
      <c r="L46" s="978">
        <v>365</v>
      </c>
      <c r="M46" s="470">
        <v>365</v>
      </c>
      <c r="N46" s="470"/>
      <c r="O46" s="470"/>
      <c r="P46" s="470" t="s">
        <v>488</v>
      </c>
      <c r="Q46" s="470">
        <v>70</v>
      </c>
      <c r="R46" s="983">
        <v>365</v>
      </c>
      <c r="S46" s="977">
        <v>25550</v>
      </c>
      <c r="T46" s="116"/>
      <c r="U46" s="116"/>
      <c r="V46" s="116"/>
      <c r="W46" s="116"/>
      <c r="X46" s="116"/>
      <c r="Y46" s="116"/>
      <c r="Z46" s="116"/>
    </row>
    <row r="47" spans="1:26" ht="15.75" customHeight="1">
      <c r="A47" s="471" t="s">
        <v>3257</v>
      </c>
      <c r="B47" s="987" t="s">
        <v>3258</v>
      </c>
      <c r="C47" s="470" t="s">
        <v>3181</v>
      </c>
      <c r="D47" s="470" t="s">
        <v>103</v>
      </c>
      <c r="E47" s="470">
        <v>72</v>
      </c>
      <c r="F47" s="983">
        <v>365</v>
      </c>
      <c r="G47" s="977">
        <v>26280</v>
      </c>
      <c r="H47" s="470"/>
      <c r="I47" s="470"/>
      <c r="J47" s="470" t="s">
        <v>488</v>
      </c>
      <c r="K47" s="470">
        <v>1</v>
      </c>
      <c r="L47" s="978">
        <v>365</v>
      </c>
      <c r="M47" s="470">
        <v>365</v>
      </c>
      <c r="N47" s="470"/>
      <c r="O47" s="470"/>
      <c r="P47" s="470" t="s">
        <v>488</v>
      </c>
      <c r="Q47" s="470">
        <v>71</v>
      </c>
      <c r="R47" s="983">
        <v>365</v>
      </c>
      <c r="S47" s="977">
        <v>25915</v>
      </c>
      <c r="T47" s="116"/>
      <c r="U47" s="116"/>
      <c r="V47" s="116"/>
      <c r="W47" s="116"/>
      <c r="X47" s="116"/>
      <c r="Y47" s="116"/>
      <c r="Z47" s="116"/>
    </row>
    <row r="48" spans="1:26" ht="15.75" customHeight="1">
      <c r="A48" s="471" t="s">
        <v>3259</v>
      </c>
      <c r="B48" s="987" t="s">
        <v>234</v>
      </c>
      <c r="C48" s="470" t="s">
        <v>3181</v>
      </c>
      <c r="D48" s="470" t="s">
        <v>103</v>
      </c>
      <c r="E48" s="470">
        <v>50</v>
      </c>
      <c r="F48" s="983">
        <v>390</v>
      </c>
      <c r="G48" s="977">
        <v>19500</v>
      </c>
      <c r="H48" s="470"/>
      <c r="I48" s="470"/>
      <c r="J48" s="470" t="s">
        <v>488</v>
      </c>
      <c r="K48" s="470"/>
      <c r="L48" s="978"/>
      <c r="M48" s="470" t="s">
        <v>488</v>
      </c>
      <c r="N48" s="470"/>
      <c r="O48" s="470"/>
      <c r="P48" s="470" t="s">
        <v>488</v>
      </c>
      <c r="Q48" s="470">
        <v>50</v>
      </c>
      <c r="R48" s="983">
        <v>390</v>
      </c>
      <c r="S48" s="977">
        <v>19500</v>
      </c>
      <c r="T48" s="116"/>
      <c r="U48" s="116"/>
      <c r="V48" s="116"/>
      <c r="W48" s="116"/>
      <c r="X48" s="116"/>
      <c r="Y48" s="116"/>
      <c r="Z48" s="116"/>
    </row>
    <row r="49" spans="1:26" ht="15.75" customHeight="1">
      <c r="A49" s="471" t="s">
        <v>3260</v>
      </c>
      <c r="B49" s="987" t="s">
        <v>3227</v>
      </c>
      <c r="C49" s="470" t="s">
        <v>3181</v>
      </c>
      <c r="D49" s="470" t="s">
        <v>118</v>
      </c>
      <c r="E49" s="470">
        <v>2</v>
      </c>
      <c r="F49" s="984">
        <v>12348</v>
      </c>
      <c r="G49" s="977">
        <v>24696</v>
      </c>
      <c r="H49" s="470"/>
      <c r="I49" s="470"/>
      <c r="J49" s="470" t="s">
        <v>488</v>
      </c>
      <c r="K49" s="470"/>
      <c r="L49" s="978"/>
      <c r="M49" s="470" t="s">
        <v>488</v>
      </c>
      <c r="N49" s="470"/>
      <c r="O49" s="470"/>
      <c r="P49" s="470" t="s">
        <v>488</v>
      </c>
      <c r="Q49" s="470">
        <v>2</v>
      </c>
      <c r="R49" s="984">
        <v>12348</v>
      </c>
      <c r="S49" s="977">
        <v>24696</v>
      </c>
      <c r="T49" s="116"/>
      <c r="U49" s="116"/>
      <c r="V49" s="116"/>
      <c r="W49" s="116"/>
      <c r="X49" s="116"/>
      <c r="Y49" s="116"/>
      <c r="Z49" s="116"/>
    </row>
    <row r="50" spans="1:26" ht="15.75" customHeight="1">
      <c r="A50" s="471" t="s">
        <v>3261</v>
      </c>
      <c r="B50" s="987" t="s">
        <v>3262</v>
      </c>
      <c r="C50" s="470" t="s">
        <v>3181</v>
      </c>
      <c r="D50" s="470" t="s">
        <v>776</v>
      </c>
      <c r="E50" s="470">
        <v>1</v>
      </c>
      <c r="F50" s="984">
        <v>12285</v>
      </c>
      <c r="G50" s="977">
        <v>12285</v>
      </c>
      <c r="H50" s="470"/>
      <c r="I50" s="470"/>
      <c r="J50" s="470" t="s">
        <v>488</v>
      </c>
      <c r="K50" s="470"/>
      <c r="L50" s="978"/>
      <c r="M50" s="470" t="s">
        <v>488</v>
      </c>
      <c r="N50" s="470"/>
      <c r="O50" s="470"/>
      <c r="P50" s="470" t="s">
        <v>488</v>
      </c>
      <c r="Q50" s="470">
        <v>1</v>
      </c>
      <c r="R50" s="984">
        <v>12285</v>
      </c>
      <c r="S50" s="977">
        <v>12285</v>
      </c>
      <c r="T50" s="116"/>
      <c r="U50" s="116"/>
      <c r="V50" s="116"/>
      <c r="W50" s="116"/>
      <c r="X50" s="116"/>
      <c r="Y50" s="116"/>
      <c r="Z50" s="116"/>
    </row>
    <row r="51" spans="1:26" ht="15.75" customHeight="1">
      <c r="A51" s="471" t="s">
        <v>3263</v>
      </c>
      <c r="B51" s="987" t="s">
        <v>501</v>
      </c>
      <c r="C51" s="470" t="s">
        <v>3181</v>
      </c>
      <c r="D51" s="470" t="s">
        <v>902</v>
      </c>
      <c r="E51" s="470">
        <v>1</v>
      </c>
      <c r="F51" s="984">
        <v>35200</v>
      </c>
      <c r="G51" s="977">
        <v>35200</v>
      </c>
      <c r="H51" s="470"/>
      <c r="I51" s="470"/>
      <c r="J51" s="470" t="s">
        <v>488</v>
      </c>
      <c r="K51" s="470"/>
      <c r="L51" s="978"/>
      <c r="M51" s="470" t="s">
        <v>488</v>
      </c>
      <c r="N51" s="470"/>
      <c r="O51" s="470"/>
      <c r="P51" s="470" t="s">
        <v>488</v>
      </c>
      <c r="Q51" s="470">
        <v>1</v>
      </c>
      <c r="R51" s="984">
        <v>35200</v>
      </c>
      <c r="S51" s="977">
        <v>35200</v>
      </c>
      <c r="T51" s="116"/>
      <c r="U51" s="116"/>
      <c r="V51" s="116"/>
      <c r="W51" s="116"/>
      <c r="X51" s="116"/>
      <c r="Y51" s="116"/>
      <c r="Z51" s="116"/>
    </row>
    <row r="52" spans="1:26" ht="15.75" customHeight="1">
      <c r="A52" s="471" t="s">
        <v>3264</v>
      </c>
      <c r="B52" s="987" t="s">
        <v>3265</v>
      </c>
      <c r="C52" s="470" t="s">
        <v>3181</v>
      </c>
      <c r="D52" s="470" t="s">
        <v>902</v>
      </c>
      <c r="E52" s="470">
        <v>99</v>
      </c>
      <c r="F52" s="984">
        <v>8936.36</v>
      </c>
      <c r="G52" s="977">
        <v>884700</v>
      </c>
      <c r="H52" s="470"/>
      <c r="I52" s="470"/>
      <c r="J52" s="470" t="s">
        <v>488</v>
      </c>
      <c r="K52" s="470"/>
      <c r="L52" s="978"/>
      <c r="M52" s="470" t="s">
        <v>488</v>
      </c>
      <c r="N52" s="470"/>
      <c r="O52" s="470"/>
      <c r="P52" s="470" t="s">
        <v>488</v>
      </c>
      <c r="Q52" s="470">
        <v>99</v>
      </c>
      <c r="R52" s="984">
        <v>8936.36</v>
      </c>
      <c r="S52" s="977">
        <v>884700</v>
      </c>
      <c r="T52" s="116"/>
      <c r="U52" s="116"/>
      <c r="V52" s="116"/>
      <c r="W52" s="116"/>
      <c r="X52" s="116"/>
      <c r="Y52" s="116"/>
      <c r="Z52" s="116"/>
    </row>
    <row r="53" spans="1:26" ht="15.75" customHeight="1">
      <c r="A53" s="471" t="s">
        <v>3266</v>
      </c>
      <c r="B53" s="987" t="s">
        <v>3267</v>
      </c>
      <c r="C53" s="470" t="s">
        <v>3181</v>
      </c>
      <c r="D53" s="470" t="s">
        <v>103</v>
      </c>
      <c r="E53" s="470">
        <v>91</v>
      </c>
      <c r="F53" s="984">
        <v>7172.81</v>
      </c>
      <c r="G53" s="977">
        <v>652725.93999999994</v>
      </c>
      <c r="H53" s="470"/>
      <c r="I53" s="470"/>
      <c r="J53" s="470" t="s">
        <v>488</v>
      </c>
      <c r="K53" s="470">
        <v>3</v>
      </c>
      <c r="L53" s="976">
        <v>7172.81</v>
      </c>
      <c r="M53" s="977">
        <v>21518.44</v>
      </c>
      <c r="N53" s="470"/>
      <c r="O53" s="470"/>
      <c r="P53" s="470" t="s">
        <v>488</v>
      </c>
      <c r="Q53" s="470">
        <v>88</v>
      </c>
      <c r="R53" s="984">
        <v>7172.81</v>
      </c>
      <c r="S53" s="977">
        <v>631207.5</v>
      </c>
      <c r="T53" s="116"/>
      <c r="U53" s="116"/>
      <c r="V53" s="116"/>
      <c r="W53" s="116"/>
      <c r="X53" s="116"/>
      <c r="Y53" s="116"/>
      <c r="Z53" s="116"/>
    </row>
    <row r="54" spans="1:26" ht="15.75" customHeight="1">
      <c r="A54" s="471" t="s">
        <v>3268</v>
      </c>
      <c r="B54" s="987" t="s">
        <v>780</v>
      </c>
      <c r="C54" s="470" t="s">
        <v>3181</v>
      </c>
      <c r="D54" s="470" t="s">
        <v>118</v>
      </c>
      <c r="E54" s="470">
        <v>1</v>
      </c>
      <c r="F54" s="984">
        <v>18000</v>
      </c>
      <c r="G54" s="977">
        <v>18000</v>
      </c>
      <c r="H54" s="470"/>
      <c r="I54" s="470"/>
      <c r="J54" s="470" t="s">
        <v>488</v>
      </c>
      <c r="K54" s="470"/>
      <c r="L54" s="978"/>
      <c r="M54" s="470" t="s">
        <v>488</v>
      </c>
      <c r="N54" s="470"/>
      <c r="O54" s="470"/>
      <c r="P54" s="470" t="s">
        <v>488</v>
      </c>
      <c r="Q54" s="470">
        <v>1</v>
      </c>
      <c r="R54" s="984">
        <v>18000</v>
      </c>
      <c r="S54" s="977">
        <v>18000</v>
      </c>
      <c r="T54" s="116"/>
      <c r="U54" s="116"/>
      <c r="V54" s="116"/>
      <c r="W54" s="116"/>
      <c r="X54" s="116"/>
      <c r="Y54" s="116"/>
      <c r="Z54" s="116"/>
    </row>
    <row r="55" spans="1:26" ht="15.75" customHeight="1">
      <c r="A55" s="471" t="s">
        <v>3269</v>
      </c>
      <c r="B55" s="987" t="s">
        <v>779</v>
      </c>
      <c r="C55" s="470" t="s">
        <v>3181</v>
      </c>
      <c r="D55" s="470" t="s">
        <v>103</v>
      </c>
      <c r="E55" s="470">
        <v>57</v>
      </c>
      <c r="F55" s="984">
        <v>8397.01</v>
      </c>
      <c r="G55" s="977">
        <v>478629.85</v>
      </c>
      <c r="H55" s="470"/>
      <c r="I55" s="470"/>
      <c r="J55" s="470" t="s">
        <v>488</v>
      </c>
      <c r="K55" s="470">
        <v>1</v>
      </c>
      <c r="L55" s="976">
        <v>8397.01</v>
      </c>
      <c r="M55" s="977">
        <v>8397.01</v>
      </c>
      <c r="N55" s="470"/>
      <c r="O55" s="470"/>
      <c r="P55" s="470" t="s">
        <v>488</v>
      </c>
      <c r="Q55" s="470">
        <v>56</v>
      </c>
      <c r="R55" s="984">
        <v>8397.01</v>
      </c>
      <c r="S55" s="977">
        <v>470232.84</v>
      </c>
      <c r="T55" s="116"/>
      <c r="U55" s="116"/>
      <c r="V55" s="116"/>
      <c r="W55" s="116"/>
      <c r="X55" s="116"/>
      <c r="Y55" s="116"/>
      <c r="Z55" s="116"/>
    </row>
    <row r="56" spans="1:26" ht="15.75" customHeight="1">
      <c r="A56" s="471" t="s">
        <v>3270</v>
      </c>
      <c r="B56" s="987" t="s">
        <v>3235</v>
      </c>
      <c r="C56" s="470" t="s">
        <v>3181</v>
      </c>
      <c r="D56" s="470" t="s">
        <v>103</v>
      </c>
      <c r="E56" s="470">
        <v>99</v>
      </c>
      <c r="F56" s="984">
        <v>6805.86</v>
      </c>
      <c r="G56" s="977">
        <v>673780</v>
      </c>
      <c r="H56" s="470"/>
      <c r="I56" s="470"/>
      <c r="J56" s="470" t="s">
        <v>488</v>
      </c>
      <c r="K56" s="470"/>
      <c r="L56" s="978"/>
      <c r="M56" s="470" t="s">
        <v>488</v>
      </c>
      <c r="N56" s="470"/>
      <c r="O56" s="470"/>
      <c r="P56" s="470" t="s">
        <v>488</v>
      </c>
      <c r="Q56" s="470">
        <v>99</v>
      </c>
      <c r="R56" s="984">
        <v>6805.86</v>
      </c>
      <c r="S56" s="977">
        <v>673780</v>
      </c>
      <c r="T56" s="116"/>
      <c r="U56" s="116"/>
      <c r="V56" s="116"/>
      <c r="W56" s="116"/>
      <c r="X56" s="116"/>
      <c r="Y56" s="116"/>
      <c r="Z56" s="116"/>
    </row>
    <row r="57" spans="1:26" ht="15.75" customHeight="1">
      <c r="A57" s="471" t="s">
        <v>3271</v>
      </c>
      <c r="B57" s="987" t="s">
        <v>3272</v>
      </c>
      <c r="C57" s="470" t="s">
        <v>3181</v>
      </c>
      <c r="D57" s="470" t="s">
        <v>103</v>
      </c>
      <c r="E57" s="470">
        <v>2</v>
      </c>
      <c r="F57" s="984">
        <v>64785</v>
      </c>
      <c r="G57" s="977">
        <v>129570</v>
      </c>
      <c r="H57" s="470"/>
      <c r="I57" s="470"/>
      <c r="J57" s="470" t="s">
        <v>488</v>
      </c>
      <c r="K57" s="470"/>
      <c r="L57" s="978"/>
      <c r="M57" s="470" t="s">
        <v>488</v>
      </c>
      <c r="N57" s="470"/>
      <c r="O57" s="470"/>
      <c r="P57" s="470" t="s">
        <v>488</v>
      </c>
      <c r="Q57" s="470">
        <v>2</v>
      </c>
      <c r="R57" s="984">
        <v>64785</v>
      </c>
      <c r="S57" s="977">
        <v>129570</v>
      </c>
      <c r="T57" s="116"/>
      <c r="U57" s="116"/>
      <c r="V57" s="116"/>
      <c r="W57" s="116"/>
      <c r="X57" s="116"/>
      <c r="Y57" s="116"/>
      <c r="Z57" s="116"/>
    </row>
    <row r="58" spans="1:26" ht="15.75" customHeight="1">
      <c r="A58" s="471" t="s">
        <v>3273</v>
      </c>
      <c r="B58" s="987" t="s">
        <v>3274</v>
      </c>
      <c r="C58" s="470" t="s">
        <v>3181</v>
      </c>
      <c r="D58" s="470" t="s">
        <v>103</v>
      </c>
      <c r="E58" s="470">
        <v>38</v>
      </c>
      <c r="F58" s="984">
        <v>9190.7900000000009</v>
      </c>
      <c r="G58" s="977">
        <v>349250</v>
      </c>
      <c r="H58" s="470"/>
      <c r="I58" s="983"/>
      <c r="J58" s="470" t="s">
        <v>488</v>
      </c>
      <c r="K58" s="470"/>
      <c r="L58" s="978"/>
      <c r="M58" s="470" t="s">
        <v>488</v>
      </c>
      <c r="N58" s="470"/>
      <c r="O58" s="470"/>
      <c r="P58" s="470" t="s">
        <v>488</v>
      </c>
      <c r="Q58" s="470">
        <v>38</v>
      </c>
      <c r="R58" s="984">
        <v>9190.7900000000009</v>
      </c>
      <c r="S58" s="977">
        <v>349250</v>
      </c>
      <c r="T58" s="116"/>
      <c r="U58" s="116"/>
      <c r="V58" s="116"/>
      <c r="W58" s="116"/>
      <c r="X58" s="116"/>
      <c r="Y58" s="116"/>
      <c r="Z58" s="116"/>
    </row>
    <row r="59" spans="1:26" ht="15.75" customHeight="1">
      <c r="A59" s="471" t="s">
        <v>3275</v>
      </c>
      <c r="B59" s="987" t="s">
        <v>239</v>
      </c>
      <c r="C59" s="470" t="s">
        <v>3181</v>
      </c>
      <c r="D59" s="470" t="s">
        <v>103</v>
      </c>
      <c r="E59" s="470">
        <v>43</v>
      </c>
      <c r="F59" s="983">
        <v>215.34</v>
      </c>
      <c r="G59" s="977">
        <v>9259.5499999999993</v>
      </c>
      <c r="H59" s="470"/>
      <c r="I59" s="470"/>
      <c r="J59" s="470" t="s">
        <v>488</v>
      </c>
      <c r="K59" s="470"/>
      <c r="L59" s="978"/>
      <c r="M59" s="470" t="s">
        <v>488</v>
      </c>
      <c r="N59" s="470"/>
      <c r="O59" s="470"/>
      <c r="P59" s="470" t="s">
        <v>488</v>
      </c>
      <c r="Q59" s="470">
        <v>43</v>
      </c>
      <c r="R59" s="983">
        <v>215.34</v>
      </c>
      <c r="S59" s="977">
        <v>9259.5499999999993</v>
      </c>
      <c r="T59" s="116"/>
      <c r="U59" s="116"/>
      <c r="V59" s="116"/>
      <c r="W59" s="116"/>
      <c r="X59" s="116"/>
      <c r="Y59" s="116"/>
      <c r="Z59" s="116"/>
    </row>
    <row r="60" spans="1:26" ht="15.75" customHeight="1">
      <c r="A60" s="471" t="s">
        <v>3276</v>
      </c>
      <c r="B60" s="987" t="s">
        <v>3277</v>
      </c>
      <c r="C60" s="470" t="s">
        <v>3181</v>
      </c>
      <c r="D60" s="470" t="s">
        <v>103</v>
      </c>
      <c r="E60" s="470">
        <v>70</v>
      </c>
      <c r="F60" s="984">
        <v>1690</v>
      </c>
      <c r="G60" s="977">
        <v>118300</v>
      </c>
      <c r="H60" s="470"/>
      <c r="I60" s="470"/>
      <c r="J60" s="470" t="s">
        <v>488</v>
      </c>
      <c r="K60" s="470">
        <v>70</v>
      </c>
      <c r="L60" s="976">
        <v>1690</v>
      </c>
      <c r="M60" s="977">
        <v>118300</v>
      </c>
      <c r="N60" s="470"/>
      <c r="O60" s="470"/>
      <c r="P60" s="470" t="s">
        <v>488</v>
      </c>
      <c r="Q60" s="470">
        <v>0</v>
      </c>
      <c r="R60" s="983" t="s">
        <v>488</v>
      </c>
      <c r="S60" s="470" t="s">
        <v>488</v>
      </c>
      <c r="T60" s="116"/>
      <c r="U60" s="116"/>
      <c r="V60" s="116"/>
      <c r="W60" s="116"/>
      <c r="X60" s="116"/>
      <c r="Y60" s="116"/>
      <c r="Z60" s="116"/>
    </row>
    <row r="61" spans="1:26">
      <c r="A61" s="471" t="s">
        <v>3278</v>
      </c>
      <c r="B61" s="987" t="s">
        <v>3279</v>
      </c>
      <c r="C61" s="470" t="s">
        <v>3181</v>
      </c>
      <c r="D61" s="470" t="s">
        <v>103</v>
      </c>
      <c r="E61" s="470">
        <v>18</v>
      </c>
      <c r="F61" s="984">
        <v>5250</v>
      </c>
      <c r="G61" s="977">
        <v>94500</v>
      </c>
      <c r="H61" s="470"/>
      <c r="I61" s="470"/>
      <c r="J61" s="470" t="s">
        <v>488</v>
      </c>
      <c r="K61" s="470"/>
      <c r="L61" s="978"/>
      <c r="M61" s="470" t="s">
        <v>488</v>
      </c>
      <c r="N61" s="470"/>
      <c r="O61" s="470"/>
      <c r="P61" s="470" t="s">
        <v>488</v>
      </c>
      <c r="Q61" s="470">
        <v>18</v>
      </c>
      <c r="R61" s="984">
        <v>5250</v>
      </c>
      <c r="S61" s="977">
        <v>94500</v>
      </c>
      <c r="T61" s="116"/>
      <c r="U61" s="116"/>
      <c r="V61" s="116"/>
      <c r="W61" s="116"/>
      <c r="X61" s="116"/>
      <c r="Y61" s="116"/>
      <c r="Z61" s="116"/>
    </row>
    <row r="62" spans="1:26">
      <c r="A62" s="471" t="s">
        <v>3280</v>
      </c>
      <c r="B62" s="987" t="s">
        <v>3281</v>
      </c>
      <c r="C62" s="470" t="s">
        <v>3181</v>
      </c>
      <c r="D62" s="470" t="s">
        <v>103</v>
      </c>
      <c r="E62" s="470">
        <v>20</v>
      </c>
      <c r="F62" s="983">
        <v>280</v>
      </c>
      <c r="G62" s="977">
        <v>5600</v>
      </c>
      <c r="H62" s="470"/>
      <c r="I62" s="470"/>
      <c r="J62" s="470" t="s">
        <v>488</v>
      </c>
      <c r="K62" s="470"/>
      <c r="L62" s="978"/>
      <c r="M62" s="470" t="s">
        <v>488</v>
      </c>
      <c r="N62" s="470"/>
      <c r="O62" s="470"/>
      <c r="P62" s="470" t="s">
        <v>488</v>
      </c>
      <c r="Q62" s="470">
        <v>20</v>
      </c>
      <c r="R62" s="983">
        <v>280</v>
      </c>
      <c r="S62" s="977">
        <v>5600</v>
      </c>
      <c r="T62" s="116"/>
      <c r="U62" s="116"/>
      <c r="V62" s="116"/>
      <c r="W62" s="116"/>
      <c r="X62" s="116"/>
      <c r="Y62" s="116"/>
      <c r="Z62" s="116"/>
    </row>
    <row r="63" spans="1:26">
      <c r="A63" s="471" t="s">
        <v>3282</v>
      </c>
      <c r="B63" s="987" t="s">
        <v>3283</v>
      </c>
      <c r="C63" s="470" t="s">
        <v>3181</v>
      </c>
      <c r="D63" s="470" t="s">
        <v>103</v>
      </c>
      <c r="E63" s="470">
        <v>74</v>
      </c>
      <c r="F63" s="984">
        <v>9700</v>
      </c>
      <c r="G63" s="977">
        <v>717800</v>
      </c>
      <c r="H63" s="470"/>
      <c r="I63" s="470"/>
      <c r="J63" s="470" t="s">
        <v>488</v>
      </c>
      <c r="K63" s="470">
        <v>9</v>
      </c>
      <c r="L63" s="976">
        <v>9700</v>
      </c>
      <c r="M63" s="977">
        <v>87300</v>
      </c>
      <c r="N63" s="470"/>
      <c r="O63" s="470"/>
      <c r="P63" s="470" t="s">
        <v>488</v>
      </c>
      <c r="Q63" s="470">
        <v>65</v>
      </c>
      <c r="R63" s="984">
        <v>9700</v>
      </c>
      <c r="S63" s="977">
        <v>630500</v>
      </c>
      <c r="T63" s="116"/>
      <c r="U63" s="116"/>
      <c r="V63" s="116"/>
      <c r="W63" s="116"/>
      <c r="X63" s="116"/>
      <c r="Y63" s="116"/>
      <c r="Z63" s="116"/>
    </row>
    <row r="64" spans="1:26">
      <c r="A64" s="471" t="s">
        <v>3284</v>
      </c>
      <c r="B64" s="987" t="s">
        <v>3285</v>
      </c>
      <c r="C64" s="470" t="s">
        <v>3181</v>
      </c>
      <c r="D64" s="470" t="s">
        <v>103</v>
      </c>
      <c r="E64" s="470">
        <v>71</v>
      </c>
      <c r="F64" s="983">
        <v>277.43</v>
      </c>
      <c r="G64" s="977">
        <v>19697.189999999999</v>
      </c>
      <c r="H64" s="470"/>
      <c r="I64" s="470"/>
      <c r="J64" s="470" t="s">
        <v>488</v>
      </c>
      <c r="K64" s="470">
        <v>1</v>
      </c>
      <c r="L64" s="978">
        <v>277.43</v>
      </c>
      <c r="M64" s="470">
        <v>277.43</v>
      </c>
      <c r="N64" s="470"/>
      <c r="O64" s="470"/>
      <c r="P64" s="470" t="s">
        <v>488</v>
      </c>
      <c r="Q64" s="470">
        <v>70</v>
      </c>
      <c r="R64" s="983">
        <v>277.43</v>
      </c>
      <c r="S64" s="977">
        <v>19419.759999999998</v>
      </c>
      <c r="T64" s="116"/>
      <c r="U64" s="116"/>
      <c r="V64" s="116"/>
      <c r="W64" s="116"/>
      <c r="X64" s="116"/>
      <c r="Y64" s="116"/>
      <c r="Z64" s="116"/>
    </row>
    <row r="65" spans="1:26">
      <c r="A65" s="471" t="s">
        <v>3286</v>
      </c>
      <c r="B65" s="987" t="s">
        <v>3287</v>
      </c>
      <c r="C65" s="470" t="s">
        <v>3181</v>
      </c>
      <c r="D65" s="470" t="s">
        <v>103</v>
      </c>
      <c r="E65" s="470">
        <v>26</v>
      </c>
      <c r="F65" s="983">
        <v>500</v>
      </c>
      <c r="G65" s="977">
        <v>13000</v>
      </c>
      <c r="H65" s="470"/>
      <c r="I65" s="470"/>
      <c r="J65" s="470" t="s">
        <v>488</v>
      </c>
      <c r="K65" s="470">
        <v>2</v>
      </c>
      <c r="L65" s="978">
        <v>500</v>
      </c>
      <c r="M65" s="977">
        <v>1000</v>
      </c>
      <c r="N65" s="470"/>
      <c r="O65" s="470"/>
      <c r="P65" s="470" t="s">
        <v>488</v>
      </c>
      <c r="Q65" s="470">
        <v>24</v>
      </c>
      <c r="R65" s="983">
        <v>500</v>
      </c>
      <c r="S65" s="977">
        <v>12000</v>
      </c>
      <c r="T65" s="116"/>
      <c r="U65" s="116"/>
      <c r="V65" s="116"/>
      <c r="W65" s="116"/>
      <c r="X65" s="116"/>
      <c r="Y65" s="116"/>
      <c r="Z65" s="116"/>
    </row>
    <row r="66" spans="1:26">
      <c r="A66" s="471" t="s">
        <v>3288</v>
      </c>
      <c r="B66" s="987" t="s">
        <v>3289</v>
      </c>
      <c r="C66" s="470" t="s">
        <v>3181</v>
      </c>
      <c r="D66" s="470" t="s">
        <v>103</v>
      </c>
      <c r="E66" s="470">
        <v>283</v>
      </c>
      <c r="F66" s="983">
        <v>180</v>
      </c>
      <c r="G66" s="977">
        <v>50940</v>
      </c>
      <c r="H66" s="470"/>
      <c r="I66" s="470"/>
      <c r="J66" s="470" t="s">
        <v>488</v>
      </c>
      <c r="K66" s="470">
        <v>97</v>
      </c>
      <c r="L66" s="978">
        <v>180</v>
      </c>
      <c r="M66" s="977">
        <v>17460</v>
      </c>
      <c r="N66" s="470"/>
      <c r="O66" s="470"/>
      <c r="P66" s="470" t="s">
        <v>488</v>
      </c>
      <c r="Q66" s="470">
        <v>186</v>
      </c>
      <c r="R66" s="983">
        <v>180</v>
      </c>
      <c r="S66" s="977">
        <v>33480</v>
      </c>
      <c r="T66" s="116"/>
      <c r="U66" s="116"/>
      <c r="V66" s="116"/>
      <c r="W66" s="116"/>
      <c r="X66" s="116"/>
      <c r="Y66" s="116"/>
      <c r="Z66" s="116"/>
    </row>
    <row r="67" spans="1:26" ht="15">
      <c r="A67" s="116"/>
      <c r="B67" s="988"/>
      <c r="C67" s="116"/>
      <c r="D67" s="116"/>
      <c r="E67" s="116"/>
      <c r="F67" s="116"/>
      <c r="G67" s="116"/>
      <c r="H67" s="116"/>
      <c r="I67" s="116"/>
      <c r="J67" s="116"/>
      <c r="K67" s="116"/>
      <c r="L67" s="116"/>
      <c r="M67" s="116"/>
      <c r="N67" s="116"/>
      <c r="O67" s="116"/>
      <c r="P67" s="116"/>
      <c r="Q67" s="116"/>
      <c r="R67" s="116"/>
      <c r="S67" s="116"/>
      <c r="T67" s="116"/>
      <c r="U67" s="116"/>
      <c r="V67" s="116"/>
      <c r="W67" s="116"/>
      <c r="X67" s="116"/>
      <c r="Y67" s="116"/>
      <c r="Z67" s="116"/>
    </row>
    <row r="68" spans="1:26" ht="15">
      <c r="A68" s="116"/>
      <c r="B68" s="988"/>
      <c r="C68" s="116"/>
      <c r="D68" s="116"/>
      <c r="E68" s="116"/>
      <c r="F68" s="116"/>
      <c r="G68" s="116"/>
      <c r="H68" s="116"/>
      <c r="I68" s="116"/>
      <c r="J68" s="116"/>
      <c r="K68" s="116"/>
      <c r="L68" s="116"/>
      <c r="M68" s="116"/>
      <c r="N68" s="116"/>
      <c r="O68" s="116"/>
      <c r="P68" s="116"/>
      <c r="Q68" s="116"/>
      <c r="R68" s="116"/>
      <c r="S68" s="116"/>
      <c r="T68" s="116"/>
      <c r="U68" s="116"/>
      <c r="V68" s="116"/>
      <c r="W68" s="116"/>
      <c r="X68" s="116"/>
      <c r="Y68" s="116"/>
      <c r="Z68" s="116"/>
    </row>
    <row r="69" spans="1:26" ht="15">
      <c r="A69" s="116"/>
      <c r="B69" s="988"/>
      <c r="C69" s="116"/>
      <c r="D69" s="116"/>
      <c r="E69" s="116"/>
      <c r="F69" s="116"/>
      <c r="G69" s="116"/>
      <c r="H69" s="116"/>
      <c r="I69" s="116"/>
      <c r="J69" s="116"/>
      <c r="K69" s="116"/>
      <c r="L69" s="116"/>
      <c r="M69" s="116"/>
      <c r="N69" s="116"/>
      <c r="O69" s="116"/>
      <c r="P69" s="116"/>
      <c r="Q69" s="116"/>
      <c r="R69" s="116"/>
      <c r="S69" s="116"/>
      <c r="T69" s="116"/>
      <c r="U69" s="116"/>
      <c r="V69" s="116"/>
      <c r="W69" s="116"/>
      <c r="X69" s="116"/>
      <c r="Y69" s="116"/>
      <c r="Z69" s="116"/>
    </row>
    <row r="70" spans="1:26" ht="15">
      <c r="A70" s="116"/>
      <c r="B70" s="988"/>
      <c r="C70" s="116"/>
      <c r="D70" s="116"/>
      <c r="E70" s="116"/>
      <c r="F70" s="116"/>
      <c r="G70" s="116"/>
      <c r="H70" s="116"/>
      <c r="I70" s="116"/>
      <c r="J70" s="116"/>
      <c r="K70" s="116"/>
      <c r="L70" s="116"/>
      <c r="M70" s="116"/>
      <c r="N70" s="116"/>
      <c r="O70" s="116"/>
      <c r="P70" s="116"/>
      <c r="Q70" s="116"/>
      <c r="R70" s="116"/>
      <c r="S70" s="116"/>
      <c r="T70" s="116"/>
      <c r="U70" s="116"/>
      <c r="V70" s="116"/>
      <c r="W70" s="116"/>
      <c r="X70" s="116"/>
      <c r="Y70" s="116"/>
      <c r="Z70" s="116"/>
    </row>
    <row r="71" spans="1:26" ht="15">
      <c r="A71" s="116"/>
      <c r="B71" s="988"/>
      <c r="C71" s="116"/>
      <c r="D71" s="116"/>
      <c r="E71" s="116"/>
      <c r="F71" s="116"/>
      <c r="G71" s="116"/>
      <c r="H71" s="116"/>
      <c r="I71" s="116"/>
      <c r="J71" s="116"/>
      <c r="K71" s="116"/>
      <c r="L71" s="116"/>
      <c r="M71" s="116"/>
      <c r="N71" s="116"/>
      <c r="O71" s="116"/>
      <c r="P71" s="116"/>
      <c r="Q71" s="116"/>
      <c r="R71" s="116"/>
      <c r="S71" s="116"/>
      <c r="T71" s="116"/>
      <c r="U71" s="116"/>
      <c r="V71" s="116"/>
      <c r="W71" s="116"/>
      <c r="X71" s="116"/>
      <c r="Y71" s="116"/>
      <c r="Z71" s="116"/>
    </row>
    <row r="72" spans="1:26" ht="15">
      <c r="A72" s="116"/>
      <c r="B72" s="988"/>
      <c r="C72" s="116"/>
      <c r="D72" s="116"/>
      <c r="E72" s="116"/>
      <c r="F72" s="116"/>
      <c r="G72" s="116"/>
      <c r="H72" s="116"/>
      <c r="I72" s="116"/>
      <c r="J72" s="116"/>
      <c r="K72" s="116"/>
      <c r="L72" s="116"/>
      <c r="M72" s="116"/>
      <c r="N72" s="116"/>
      <c r="O72" s="116"/>
      <c r="P72" s="116"/>
      <c r="Q72" s="116"/>
      <c r="R72" s="116"/>
      <c r="S72" s="116"/>
      <c r="T72" s="116"/>
      <c r="U72" s="116"/>
      <c r="V72" s="116"/>
      <c r="W72" s="116"/>
      <c r="X72" s="116"/>
      <c r="Y72" s="116"/>
      <c r="Z72" s="116"/>
    </row>
    <row r="73" spans="1:26" ht="15">
      <c r="A73" s="116"/>
      <c r="B73" s="988"/>
      <c r="C73" s="116"/>
      <c r="D73" s="116"/>
      <c r="E73" s="116"/>
      <c r="F73" s="116"/>
      <c r="G73" s="116"/>
      <c r="H73" s="116"/>
      <c r="I73" s="116"/>
      <c r="J73" s="116"/>
      <c r="K73" s="116"/>
      <c r="L73" s="116"/>
      <c r="M73" s="116"/>
      <c r="N73" s="116"/>
      <c r="O73" s="116"/>
      <c r="P73" s="116"/>
      <c r="Q73" s="116"/>
      <c r="R73" s="116"/>
      <c r="S73" s="116"/>
      <c r="T73" s="116"/>
      <c r="U73" s="116"/>
      <c r="V73" s="116"/>
      <c r="W73" s="116"/>
      <c r="X73" s="116"/>
      <c r="Y73" s="116"/>
      <c r="Z73" s="116"/>
    </row>
    <row r="74" spans="1:26" ht="15">
      <c r="A74" s="116"/>
      <c r="B74" s="988"/>
      <c r="C74" s="116"/>
      <c r="D74" s="116"/>
      <c r="E74" s="116"/>
      <c r="F74" s="116"/>
      <c r="G74" s="116"/>
      <c r="H74" s="116"/>
      <c r="I74" s="116"/>
      <c r="J74" s="116"/>
      <c r="K74" s="116"/>
      <c r="L74" s="116"/>
      <c r="M74" s="116"/>
      <c r="N74" s="116"/>
      <c r="O74" s="116"/>
      <c r="P74" s="116"/>
      <c r="Q74" s="116"/>
      <c r="R74" s="116"/>
      <c r="S74" s="116"/>
      <c r="T74" s="116"/>
      <c r="U74" s="116"/>
      <c r="V74" s="116"/>
      <c r="W74" s="116"/>
      <c r="X74" s="116"/>
      <c r="Y74" s="116"/>
      <c r="Z74" s="116"/>
    </row>
    <row r="75" spans="1:26" ht="15">
      <c r="A75" s="116"/>
      <c r="B75" s="988"/>
      <c r="C75" s="116"/>
      <c r="D75" s="116"/>
      <c r="E75" s="116"/>
      <c r="F75" s="116"/>
      <c r="G75" s="116"/>
      <c r="H75" s="116"/>
      <c r="I75" s="116"/>
      <c r="J75" s="116"/>
      <c r="K75" s="116"/>
      <c r="L75" s="116"/>
      <c r="M75" s="116"/>
      <c r="N75" s="116"/>
      <c r="O75" s="116"/>
      <c r="P75" s="116"/>
      <c r="Q75" s="116"/>
      <c r="R75" s="116"/>
      <c r="S75" s="116"/>
      <c r="T75" s="116"/>
      <c r="U75" s="116"/>
      <c r="V75" s="116"/>
      <c r="W75" s="116"/>
      <c r="X75" s="116"/>
      <c r="Y75" s="116"/>
      <c r="Z75" s="116"/>
    </row>
    <row r="76" spans="1:26" ht="15">
      <c r="A76" s="116"/>
      <c r="B76" s="988"/>
      <c r="C76" s="116"/>
      <c r="D76" s="116"/>
      <c r="E76" s="116"/>
      <c r="F76" s="116"/>
      <c r="G76" s="116"/>
      <c r="H76" s="116"/>
      <c r="I76" s="116"/>
      <c r="J76" s="116"/>
      <c r="K76" s="116"/>
      <c r="L76" s="116"/>
      <c r="M76" s="116"/>
      <c r="N76" s="116"/>
      <c r="O76" s="116"/>
      <c r="P76" s="116"/>
      <c r="Q76" s="116"/>
      <c r="R76" s="116"/>
      <c r="S76" s="116"/>
      <c r="T76" s="116"/>
      <c r="U76" s="116"/>
      <c r="V76" s="116"/>
      <c r="W76" s="116"/>
      <c r="X76" s="116"/>
      <c r="Y76" s="116"/>
      <c r="Z76" s="116"/>
    </row>
    <row r="77" spans="1:26" ht="15">
      <c r="A77" s="116"/>
      <c r="B77" s="988"/>
      <c r="C77" s="116"/>
      <c r="D77" s="116"/>
      <c r="E77" s="116"/>
      <c r="F77" s="116"/>
      <c r="G77" s="116"/>
      <c r="H77" s="116"/>
      <c r="I77" s="116"/>
      <c r="J77" s="116"/>
      <c r="K77" s="116"/>
      <c r="L77" s="116"/>
      <c r="M77" s="116"/>
      <c r="N77" s="116"/>
      <c r="O77" s="116"/>
      <c r="P77" s="116"/>
      <c r="Q77" s="116"/>
      <c r="R77" s="116"/>
      <c r="S77" s="116"/>
      <c r="T77" s="116"/>
      <c r="U77" s="116"/>
      <c r="V77" s="116"/>
      <c r="W77" s="116"/>
      <c r="X77" s="116"/>
      <c r="Y77" s="116"/>
      <c r="Z77" s="116"/>
    </row>
    <row r="78" spans="1:26" ht="15">
      <c r="A78" s="116"/>
      <c r="B78" s="988"/>
      <c r="C78" s="116"/>
      <c r="D78" s="116"/>
      <c r="E78" s="116"/>
      <c r="F78" s="116"/>
      <c r="G78" s="116"/>
      <c r="H78" s="116"/>
      <c r="I78" s="116"/>
      <c r="J78" s="116"/>
      <c r="K78" s="116"/>
      <c r="L78" s="116"/>
      <c r="M78" s="116"/>
      <c r="N78" s="116"/>
      <c r="O78" s="116"/>
      <c r="P78" s="116"/>
      <c r="Q78" s="116"/>
      <c r="R78" s="116"/>
      <c r="S78" s="116"/>
      <c r="T78" s="116"/>
      <c r="U78" s="116"/>
      <c r="V78" s="116"/>
      <c r="W78" s="116"/>
      <c r="X78" s="116"/>
      <c r="Y78" s="116"/>
      <c r="Z78" s="116"/>
    </row>
    <row r="79" spans="1:26" ht="15">
      <c r="A79" s="116"/>
      <c r="B79" s="988"/>
      <c r="C79" s="116"/>
      <c r="D79" s="116"/>
      <c r="E79" s="116"/>
      <c r="F79" s="116"/>
      <c r="G79" s="116"/>
      <c r="H79" s="116"/>
      <c r="I79" s="116"/>
      <c r="J79" s="116"/>
      <c r="K79" s="116"/>
      <c r="L79" s="116"/>
      <c r="M79" s="116"/>
      <c r="N79" s="116"/>
      <c r="O79" s="116"/>
      <c r="P79" s="116"/>
      <c r="Q79" s="116"/>
      <c r="R79" s="116"/>
      <c r="S79" s="116"/>
      <c r="T79" s="116"/>
      <c r="U79" s="116"/>
      <c r="V79" s="116"/>
      <c r="W79" s="116"/>
      <c r="X79" s="116"/>
      <c r="Y79" s="116"/>
      <c r="Z79" s="116"/>
    </row>
    <row r="80" spans="1:26" ht="15">
      <c r="A80" s="116"/>
      <c r="B80" s="988"/>
      <c r="C80" s="116"/>
      <c r="D80" s="116"/>
      <c r="E80" s="116"/>
      <c r="F80" s="116"/>
      <c r="G80" s="116"/>
      <c r="H80" s="116"/>
      <c r="I80" s="116"/>
      <c r="J80" s="116"/>
      <c r="K80" s="116"/>
      <c r="L80" s="116"/>
      <c r="M80" s="116"/>
      <c r="N80" s="116"/>
      <c r="O80" s="116"/>
      <c r="P80" s="116"/>
      <c r="Q80" s="116"/>
      <c r="R80" s="116"/>
      <c r="S80" s="116"/>
      <c r="T80" s="116"/>
      <c r="U80" s="116"/>
      <c r="V80" s="116"/>
      <c r="W80" s="116"/>
      <c r="X80" s="116"/>
      <c r="Y80" s="116"/>
      <c r="Z80" s="116"/>
    </row>
    <row r="81" spans="1:26" ht="15">
      <c r="A81" s="116"/>
      <c r="B81" s="988"/>
      <c r="C81" s="116"/>
      <c r="D81" s="116"/>
      <c r="E81" s="116"/>
      <c r="F81" s="116"/>
      <c r="G81" s="116"/>
      <c r="H81" s="116"/>
      <c r="I81" s="116"/>
      <c r="J81" s="116"/>
      <c r="K81" s="116"/>
      <c r="L81" s="116"/>
      <c r="M81" s="116"/>
      <c r="N81" s="116"/>
      <c r="O81" s="116"/>
      <c r="P81" s="116"/>
      <c r="Q81" s="116"/>
      <c r="R81" s="116"/>
      <c r="S81" s="116"/>
      <c r="T81" s="116"/>
      <c r="U81" s="116"/>
      <c r="V81" s="116"/>
      <c r="W81" s="116"/>
      <c r="X81" s="116"/>
      <c r="Y81" s="116"/>
      <c r="Z81" s="116"/>
    </row>
    <row r="82" spans="1:26" ht="15">
      <c r="A82" s="116"/>
      <c r="B82" s="988"/>
      <c r="C82" s="116"/>
      <c r="D82" s="116"/>
      <c r="E82" s="116"/>
      <c r="F82" s="116"/>
      <c r="G82" s="116"/>
      <c r="H82" s="116"/>
      <c r="I82" s="116"/>
      <c r="J82" s="116"/>
      <c r="K82" s="116"/>
      <c r="L82" s="116"/>
      <c r="M82" s="116"/>
      <c r="N82" s="116"/>
      <c r="O82" s="116"/>
      <c r="P82" s="116"/>
      <c r="Q82" s="116"/>
      <c r="R82" s="116"/>
      <c r="S82" s="116"/>
      <c r="T82" s="116"/>
      <c r="U82" s="116"/>
      <c r="V82" s="116"/>
      <c r="W82" s="116"/>
      <c r="X82" s="116"/>
      <c r="Y82" s="116"/>
      <c r="Z82" s="116"/>
    </row>
    <row r="83" spans="1:26" ht="15">
      <c r="A83" s="116"/>
      <c r="B83" s="988"/>
      <c r="C83" s="116"/>
      <c r="D83" s="116"/>
      <c r="E83" s="116"/>
      <c r="F83" s="116"/>
      <c r="G83" s="116"/>
      <c r="H83" s="116"/>
      <c r="I83" s="116"/>
      <c r="J83" s="116"/>
      <c r="K83" s="116"/>
      <c r="L83" s="116"/>
      <c r="M83" s="116"/>
      <c r="N83" s="116"/>
      <c r="O83" s="116"/>
      <c r="P83" s="116"/>
      <c r="Q83" s="116"/>
      <c r="R83" s="116"/>
      <c r="S83" s="116"/>
      <c r="T83" s="116"/>
      <c r="U83" s="116"/>
      <c r="V83" s="116"/>
      <c r="W83" s="116"/>
      <c r="X83" s="116"/>
      <c r="Y83" s="116"/>
      <c r="Z83" s="116"/>
    </row>
    <row r="84" spans="1:26" ht="15">
      <c r="A84" s="116"/>
      <c r="B84" s="988"/>
      <c r="C84" s="116"/>
      <c r="D84" s="116"/>
      <c r="E84" s="116"/>
      <c r="F84" s="116"/>
      <c r="G84" s="116"/>
      <c r="H84" s="116"/>
      <c r="I84" s="116"/>
      <c r="J84" s="116"/>
      <c r="K84" s="116"/>
      <c r="L84" s="116"/>
      <c r="M84" s="116"/>
      <c r="N84" s="116"/>
      <c r="O84" s="116"/>
      <c r="P84" s="116"/>
      <c r="Q84" s="116"/>
      <c r="R84" s="116"/>
      <c r="S84" s="116"/>
      <c r="T84" s="116"/>
      <c r="U84" s="116"/>
      <c r="V84" s="116"/>
      <c r="W84" s="116"/>
      <c r="X84" s="116"/>
      <c r="Y84" s="116"/>
      <c r="Z84" s="116"/>
    </row>
    <row r="85" spans="1:26" ht="15">
      <c r="A85" s="116"/>
      <c r="B85" s="988"/>
      <c r="C85" s="116"/>
      <c r="D85" s="116"/>
      <c r="E85" s="116"/>
      <c r="F85" s="116"/>
      <c r="G85" s="116"/>
      <c r="H85" s="116"/>
      <c r="I85" s="116"/>
      <c r="J85" s="116"/>
      <c r="K85" s="116"/>
      <c r="L85" s="116"/>
      <c r="M85" s="116"/>
      <c r="N85" s="116"/>
      <c r="O85" s="116"/>
      <c r="P85" s="116"/>
      <c r="Q85" s="116"/>
      <c r="R85" s="116"/>
      <c r="S85" s="116"/>
      <c r="T85" s="116"/>
      <c r="U85" s="116"/>
      <c r="V85" s="116"/>
      <c r="W85" s="116"/>
      <c r="X85" s="116"/>
      <c r="Y85" s="116"/>
      <c r="Z85" s="116"/>
    </row>
    <row r="86" spans="1:26" ht="15">
      <c r="A86" s="116"/>
      <c r="B86" s="988"/>
      <c r="C86" s="116"/>
      <c r="D86" s="116"/>
      <c r="E86" s="116"/>
      <c r="F86" s="116"/>
      <c r="G86" s="116"/>
      <c r="H86" s="116"/>
      <c r="I86" s="116"/>
      <c r="J86" s="116"/>
      <c r="K86" s="116"/>
      <c r="L86" s="116"/>
      <c r="M86" s="116"/>
      <c r="N86" s="116"/>
      <c r="O86" s="116"/>
      <c r="P86" s="116"/>
      <c r="Q86" s="116"/>
      <c r="R86" s="116"/>
      <c r="S86" s="116"/>
      <c r="T86" s="116"/>
      <c r="U86" s="116"/>
      <c r="V86" s="116"/>
      <c r="W86" s="116"/>
      <c r="X86" s="116"/>
      <c r="Y86" s="116"/>
      <c r="Z86" s="116"/>
    </row>
    <row r="87" spans="1:26" ht="15">
      <c r="A87" s="116"/>
      <c r="B87" s="988"/>
      <c r="C87" s="116"/>
      <c r="D87" s="116"/>
      <c r="E87" s="116"/>
      <c r="F87" s="116"/>
      <c r="G87" s="116"/>
      <c r="H87" s="116"/>
      <c r="I87" s="116"/>
      <c r="J87" s="116"/>
      <c r="K87" s="116"/>
      <c r="L87" s="116"/>
      <c r="M87" s="116"/>
      <c r="N87" s="116"/>
      <c r="O87" s="116"/>
      <c r="P87" s="116"/>
      <c r="Q87" s="116"/>
      <c r="R87" s="116"/>
      <c r="S87" s="116"/>
      <c r="T87" s="116"/>
      <c r="U87" s="116"/>
      <c r="V87" s="116"/>
      <c r="W87" s="116"/>
      <c r="X87" s="116"/>
      <c r="Y87" s="116"/>
      <c r="Z87" s="116"/>
    </row>
    <row r="88" spans="1:26" ht="15">
      <c r="A88" s="116"/>
      <c r="B88" s="988"/>
      <c r="C88" s="116"/>
      <c r="D88" s="116"/>
      <c r="E88" s="116"/>
      <c r="F88" s="116"/>
      <c r="G88" s="116"/>
      <c r="H88" s="116"/>
      <c r="I88" s="116"/>
      <c r="J88" s="116"/>
      <c r="K88" s="116"/>
      <c r="L88" s="116"/>
      <c r="M88" s="116"/>
      <c r="N88" s="116"/>
      <c r="O88" s="116"/>
      <c r="P88" s="116"/>
      <c r="Q88" s="116"/>
      <c r="R88" s="116"/>
      <c r="S88" s="116"/>
      <c r="T88" s="116"/>
      <c r="U88" s="116"/>
      <c r="V88" s="116"/>
      <c r="W88" s="116"/>
      <c r="X88" s="116"/>
      <c r="Y88" s="116"/>
      <c r="Z88" s="116"/>
    </row>
    <row r="89" spans="1:26" ht="15">
      <c r="A89" s="116"/>
      <c r="B89" s="988"/>
      <c r="C89" s="116"/>
      <c r="D89" s="116"/>
      <c r="E89" s="116"/>
      <c r="F89" s="116"/>
      <c r="G89" s="116"/>
      <c r="H89" s="116"/>
      <c r="I89" s="116"/>
      <c r="J89" s="116"/>
      <c r="K89" s="116"/>
      <c r="L89" s="116"/>
      <c r="M89" s="116"/>
      <c r="N89" s="116"/>
      <c r="O89" s="116"/>
      <c r="P89" s="116"/>
      <c r="Q89" s="116"/>
      <c r="R89" s="116"/>
      <c r="S89" s="116"/>
      <c r="T89" s="116"/>
      <c r="U89" s="116"/>
      <c r="V89" s="116"/>
      <c r="W89" s="116"/>
      <c r="X89" s="116"/>
      <c r="Y89" s="116"/>
      <c r="Z89" s="116"/>
    </row>
    <row r="90" spans="1:26" ht="15">
      <c r="A90" s="116"/>
      <c r="B90" s="988"/>
      <c r="C90" s="116"/>
      <c r="D90" s="116"/>
      <c r="E90" s="116"/>
      <c r="F90" s="116"/>
      <c r="G90" s="116"/>
      <c r="H90" s="116"/>
      <c r="I90" s="116"/>
      <c r="J90" s="116"/>
      <c r="K90" s="116"/>
      <c r="L90" s="116"/>
      <c r="M90" s="116"/>
      <c r="N90" s="116"/>
      <c r="O90" s="116"/>
      <c r="P90" s="116"/>
      <c r="Q90" s="116"/>
      <c r="R90" s="116"/>
      <c r="S90" s="116"/>
      <c r="T90" s="116"/>
      <c r="U90" s="116"/>
      <c r="V90" s="116"/>
      <c r="W90" s="116"/>
      <c r="X90" s="116"/>
      <c r="Y90" s="116"/>
      <c r="Z90" s="116"/>
    </row>
    <row r="91" spans="1:26" ht="15">
      <c r="A91" s="116"/>
      <c r="B91" s="988"/>
      <c r="C91" s="116"/>
      <c r="D91" s="116"/>
      <c r="E91" s="116"/>
      <c r="F91" s="116"/>
      <c r="G91" s="116"/>
      <c r="H91" s="116"/>
      <c r="I91" s="116"/>
      <c r="J91" s="116"/>
      <c r="K91" s="116"/>
      <c r="L91" s="116"/>
      <c r="M91" s="116"/>
      <c r="N91" s="116"/>
      <c r="O91" s="116"/>
      <c r="P91" s="116"/>
      <c r="Q91" s="116"/>
      <c r="R91" s="116"/>
      <c r="S91" s="116"/>
      <c r="T91" s="116"/>
      <c r="U91" s="116"/>
      <c r="V91" s="116"/>
      <c r="W91" s="116"/>
      <c r="X91" s="116"/>
      <c r="Y91" s="116"/>
      <c r="Z91" s="116"/>
    </row>
    <row r="92" spans="1:26" ht="15">
      <c r="A92" s="116"/>
      <c r="B92" s="988"/>
      <c r="C92" s="116"/>
      <c r="D92" s="116"/>
      <c r="E92" s="116"/>
      <c r="F92" s="116"/>
      <c r="G92" s="116"/>
      <c r="H92" s="116"/>
      <c r="I92" s="116"/>
      <c r="J92" s="116"/>
      <c r="K92" s="116"/>
      <c r="L92" s="116"/>
      <c r="M92" s="116"/>
      <c r="N92" s="116"/>
      <c r="O92" s="116"/>
      <c r="P92" s="116"/>
      <c r="Q92" s="116"/>
      <c r="R92" s="116"/>
      <c r="S92" s="116"/>
      <c r="T92" s="116"/>
      <c r="U92" s="116"/>
      <c r="V92" s="116"/>
      <c r="W92" s="116"/>
      <c r="X92" s="116"/>
      <c r="Y92" s="116"/>
      <c r="Z92" s="116"/>
    </row>
    <row r="93" spans="1:26" ht="15">
      <c r="A93" s="116"/>
      <c r="B93" s="988"/>
      <c r="C93" s="116"/>
      <c r="D93" s="116"/>
      <c r="E93" s="116"/>
      <c r="F93" s="116"/>
      <c r="G93" s="116"/>
      <c r="H93" s="116"/>
      <c r="I93" s="116"/>
      <c r="J93" s="116"/>
      <c r="K93" s="116"/>
      <c r="L93" s="116"/>
      <c r="M93" s="116"/>
      <c r="N93" s="116"/>
      <c r="O93" s="116"/>
      <c r="P93" s="116"/>
      <c r="Q93" s="116"/>
      <c r="R93" s="116"/>
      <c r="S93" s="116"/>
      <c r="T93" s="116"/>
      <c r="U93" s="116"/>
      <c r="V93" s="116"/>
      <c r="W93" s="116"/>
      <c r="X93" s="116"/>
      <c r="Y93" s="116"/>
      <c r="Z93" s="116"/>
    </row>
    <row r="94" spans="1:26" ht="15">
      <c r="A94" s="116"/>
      <c r="B94" s="988"/>
      <c r="C94" s="116"/>
      <c r="D94" s="116"/>
      <c r="E94" s="116"/>
      <c r="F94" s="116"/>
      <c r="G94" s="116"/>
      <c r="H94" s="116"/>
      <c r="I94" s="116"/>
      <c r="J94" s="116"/>
      <c r="K94" s="116"/>
      <c r="L94" s="116"/>
      <c r="M94" s="116"/>
      <c r="N94" s="116"/>
      <c r="O94" s="116"/>
      <c r="P94" s="116"/>
      <c r="Q94" s="116"/>
      <c r="R94" s="116"/>
      <c r="S94" s="116"/>
      <c r="T94" s="116"/>
      <c r="U94" s="116"/>
      <c r="V94" s="116"/>
      <c r="W94" s="116"/>
      <c r="X94" s="116"/>
      <c r="Y94" s="116"/>
      <c r="Z94" s="116"/>
    </row>
    <row r="95" spans="1:26" ht="15">
      <c r="A95" s="116"/>
      <c r="B95" s="988"/>
      <c r="C95" s="116"/>
      <c r="D95" s="116"/>
      <c r="E95" s="116"/>
      <c r="F95" s="116"/>
      <c r="G95" s="116"/>
      <c r="H95" s="116"/>
      <c r="I95" s="116"/>
      <c r="J95" s="116"/>
      <c r="K95" s="116"/>
      <c r="L95" s="116"/>
      <c r="M95" s="116"/>
      <c r="N95" s="116"/>
      <c r="O95" s="116"/>
      <c r="P95" s="116"/>
      <c r="Q95" s="116"/>
      <c r="R95" s="116"/>
      <c r="S95" s="116"/>
      <c r="T95" s="116"/>
      <c r="U95" s="116"/>
      <c r="V95" s="116"/>
      <c r="W95" s="116"/>
      <c r="X95" s="116"/>
      <c r="Y95" s="116"/>
      <c r="Z95" s="116"/>
    </row>
    <row r="96" spans="1:26" ht="15">
      <c r="A96" s="116"/>
      <c r="B96" s="988"/>
      <c r="C96" s="116"/>
      <c r="D96" s="116"/>
      <c r="E96" s="116"/>
      <c r="F96" s="116"/>
      <c r="G96" s="116"/>
      <c r="H96" s="116"/>
      <c r="I96" s="116"/>
      <c r="J96" s="116"/>
      <c r="K96" s="116"/>
      <c r="L96" s="116"/>
      <c r="M96" s="116"/>
      <c r="N96" s="116"/>
      <c r="O96" s="116"/>
      <c r="P96" s="116"/>
      <c r="Q96" s="116"/>
      <c r="R96" s="116"/>
      <c r="S96" s="116"/>
      <c r="T96" s="116"/>
      <c r="U96" s="116"/>
      <c r="V96" s="116"/>
      <c r="W96" s="116"/>
      <c r="X96" s="116"/>
      <c r="Y96" s="116"/>
      <c r="Z96" s="116"/>
    </row>
    <row r="97" spans="1:26" ht="15">
      <c r="A97" s="116"/>
      <c r="B97" s="988"/>
      <c r="C97" s="116"/>
      <c r="D97" s="116"/>
      <c r="E97" s="116"/>
      <c r="F97" s="116"/>
      <c r="G97" s="116"/>
      <c r="H97" s="116"/>
      <c r="I97" s="116"/>
      <c r="J97" s="116"/>
      <c r="K97" s="116"/>
      <c r="L97" s="116"/>
      <c r="M97" s="116"/>
      <c r="N97" s="116"/>
      <c r="O97" s="116"/>
      <c r="P97" s="116"/>
      <c r="Q97" s="116"/>
      <c r="R97" s="116"/>
      <c r="S97" s="116"/>
      <c r="T97" s="116"/>
      <c r="U97" s="116"/>
      <c r="V97" s="116"/>
      <c r="W97" s="116"/>
      <c r="X97" s="116"/>
      <c r="Y97" s="116"/>
      <c r="Z97" s="116"/>
    </row>
    <row r="98" spans="1:26" ht="15">
      <c r="A98" s="116"/>
      <c r="B98" s="988"/>
      <c r="C98" s="116"/>
      <c r="D98" s="116"/>
      <c r="E98" s="116"/>
      <c r="F98" s="116"/>
      <c r="G98" s="116"/>
      <c r="H98" s="116"/>
      <c r="I98" s="116"/>
      <c r="J98" s="116"/>
      <c r="K98" s="116"/>
      <c r="L98" s="116"/>
      <c r="M98" s="116"/>
      <c r="N98" s="116"/>
      <c r="O98" s="116"/>
      <c r="P98" s="116"/>
      <c r="Q98" s="116"/>
      <c r="R98" s="116"/>
      <c r="S98" s="116"/>
      <c r="T98" s="116"/>
      <c r="U98" s="116"/>
      <c r="V98" s="116"/>
      <c r="W98" s="116"/>
      <c r="X98" s="116"/>
      <c r="Y98" s="116"/>
      <c r="Z98" s="116"/>
    </row>
    <row r="99" spans="1:26" ht="15">
      <c r="A99" s="116"/>
      <c r="B99" s="988"/>
      <c r="C99" s="116"/>
      <c r="D99" s="116"/>
      <c r="E99" s="116"/>
      <c r="F99" s="116"/>
      <c r="G99" s="116"/>
      <c r="H99" s="116"/>
      <c r="I99" s="116"/>
      <c r="J99" s="116"/>
      <c r="K99" s="116"/>
      <c r="L99" s="116"/>
      <c r="M99" s="116"/>
      <c r="N99" s="116"/>
      <c r="O99" s="116"/>
      <c r="P99" s="116"/>
      <c r="Q99" s="116"/>
      <c r="R99" s="116"/>
      <c r="S99" s="116"/>
      <c r="T99" s="116"/>
      <c r="U99" s="116"/>
      <c r="V99" s="116"/>
      <c r="W99" s="116"/>
      <c r="X99" s="116"/>
      <c r="Y99" s="116"/>
      <c r="Z99" s="116"/>
    </row>
    <row r="100" spans="1:26" ht="15">
      <c r="A100" s="116"/>
      <c r="B100" s="988"/>
      <c r="C100" s="116"/>
      <c r="D100" s="116"/>
      <c r="E100" s="116"/>
      <c r="F100" s="116"/>
      <c r="G100" s="116"/>
      <c r="H100" s="116"/>
      <c r="I100" s="116"/>
      <c r="J100" s="116"/>
      <c r="K100" s="116"/>
      <c r="L100" s="116"/>
      <c r="M100" s="116"/>
      <c r="N100" s="116"/>
      <c r="O100" s="116"/>
      <c r="P100" s="116"/>
      <c r="Q100" s="116"/>
      <c r="R100" s="116"/>
      <c r="S100" s="116"/>
      <c r="T100" s="116"/>
      <c r="U100" s="116"/>
      <c r="V100" s="116"/>
      <c r="W100" s="116"/>
      <c r="X100" s="116"/>
      <c r="Y100" s="116"/>
      <c r="Z100" s="116"/>
    </row>
    <row r="101" spans="1:26" ht="15">
      <c r="A101" s="116"/>
      <c r="B101" s="988"/>
      <c r="C101" s="116"/>
      <c r="D101" s="116"/>
      <c r="E101" s="116"/>
      <c r="F101" s="116"/>
      <c r="G101" s="116"/>
      <c r="H101" s="116"/>
      <c r="I101" s="116"/>
      <c r="J101" s="116"/>
      <c r="K101" s="116"/>
      <c r="L101" s="116"/>
      <c r="M101" s="116"/>
      <c r="N101" s="116"/>
      <c r="O101" s="116"/>
      <c r="P101" s="116"/>
      <c r="Q101" s="116"/>
      <c r="R101" s="116"/>
      <c r="S101" s="116"/>
      <c r="T101" s="116"/>
      <c r="U101" s="116"/>
      <c r="V101" s="116"/>
      <c r="W101" s="116"/>
      <c r="X101" s="116"/>
      <c r="Y101" s="116"/>
      <c r="Z101" s="116"/>
    </row>
    <row r="102" spans="1:26" ht="15">
      <c r="A102" s="116"/>
      <c r="B102" s="988"/>
      <c r="C102" s="116"/>
      <c r="D102" s="116"/>
      <c r="E102" s="116"/>
      <c r="F102" s="116"/>
      <c r="G102" s="116"/>
      <c r="H102" s="116"/>
      <c r="I102" s="116"/>
      <c r="J102" s="116"/>
      <c r="K102" s="116"/>
      <c r="L102" s="116"/>
      <c r="M102" s="116"/>
      <c r="N102" s="116"/>
      <c r="O102" s="116"/>
      <c r="P102" s="116"/>
      <c r="Q102" s="116"/>
      <c r="R102" s="116"/>
      <c r="S102" s="116"/>
      <c r="T102" s="116"/>
      <c r="U102" s="116"/>
      <c r="V102" s="116"/>
      <c r="W102" s="116"/>
      <c r="X102" s="116"/>
      <c r="Y102" s="116"/>
      <c r="Z102" s="116"/>
    </row>
    <row r="103" spans="1:26" ht="15">
      <c r="A103" s="116"/>
      <c r="B103" s="988"/>
      <c r="C103" s="116"/>
      <c r="D103" s="116"/>
      <c r="E103" s="116"/>
      <c r="F103" s="116"/>
      <c r="G103" s="116"/>
      <c r="H103" s="116"/>
      <c r="I103" s="116"/>
      <c r="J103" s="116"/>
      <c r="K103" s="116"/>
      <c r="L103" s="116"/>
      <c r="M103" s="116"/>
      <c r="N103" s="116"/>
      <c r="O103" s="116"/>
      <c r="P103" s="116"/>
      <c r="Q103" s="116"/>
      <c r="R103" s="116"/>
      <c r="S103" s="116"/>
      <c r="T103" s="116"/>
      <c r="U103" s="116"/>
      <c r="V103" s="116"/>
      <c r="W103" s="116"/>
      <c r="X103" s="116"/>
      <c r="Y103" s="116"/>
      <c r="Z103" s="116"/>
    </row>
    <row r="104" spans="1:26" ht="15">
      <c r="A104" s="116"/>
      <c r="B104" s="988"/>
      <c r="C104" s="116"/>
      <c r="D104" s="116"/>
      <c r="E104" s="116"/>
      <c r="F104" s="116"/>
      <c r="G104" s="116"/>
      <c r="H104" s="116"/>
      <c r="I104" s="116"/>
      <c r="J104" s="116"/>
      <c r="K104" s="116"/>
      <c r="L104" s="116"/>
      <c r="M104" s="116"/>
      <c r="N104" s="116"/>
      <c r="O104" s="116"/>
      <c r="P104" s="116"/>
      <c r="Q104" s="116"/>
      <c r="R104" s="116"/>
      <c r="S104" s="116"/>
      <c r="T104" s="116"/>
      <c r="U104" s="116"/>
      <c r="V104" s="116"/>
      <c r="W104" s="116"/>
      <c r="X104" s="116"/>
      <c r="Y104" s="116"/>
      <c r="Z104" s="116"/>
    </row>
    <row r="105" spans="1:26" ht="15">
      <c r="A105" s="116"/>
      <c r="B105" s="988"/>
      <c r="C105" s="116"/>
      <c r="D105" s="116"/>
      <c r="E105" s="116"/>
      <c r="F105" s="116"/>
      <c r="G105" s="116"/>
      <c r="H105" s="116"/>
      <c r="I105" s="116"/>
      <c r="J105" s="116"/>
      <c r="K105" s="116"/>
      <c r="L105" s="116"/>
      <c r="M105" s="116"/>
      <c r="N105" s="116"/>
      <c r="O105" s="116"/>
      <c r="P105" s="116"/>
      <c r="Q105" s="116"/>
      <c r="R105" s="116"/>
      <c r="S105" s="116"/>
      <c r="T105" s="116"/>
      <c r="U105" s="116"/>
      <c r="V105" s="116"/>
      <c r="W105" s="116"/>
      <c r="X105" s="116"/>
      <c r="Y105" s="116"/>
      <c r="Z105" s="116"/>
    </row>
    <row r="106" spans="1:26" ht="15">
      <c r="A106" s="116"/>
      <c r="B106" s="988"/>
      <c r="C106" s="116"/>
      <c r="D106" s="116"/>
      <c r="E106" s="116"/>
      <c r="F106" s="116"/>
      <c r="G106" s="116"/>
      <c r="H106" s="116"/>
      <c r="I106" s="116"/>
      <c r="J106" s="116"/>
      <c r="K106" s="116"/>
      <c r="L106" s="116"/>
      <c r="M106" s="116"/>
      <c r="N106" s="116"/>
      <c r="O106" s="116"/>
      <c r="P106" s="116"/>
      <c r="Q106" s="116"/>
      <c r="R106" s="116"/>
      <c r="S106" s="116"/>
      <c r="T106" s="116"/>
      <c r="U106" s="116"/>
      <c r="V106" s="116"/>
      <c r="W106" s="116"/>
      <c r="X106" s="116"/>
      <c r="Y106" s="116"/>
      <c r="Z106" s="116"/>
    </row>
    <row r="107" spans="1:26" ht="15">
      <c r="A107" s="116"/>
      <c r="B107" s="988"/>
      <c r="C107" s="116"/>
      <c r="D107" s="116"/>
      <c r="E107" s="116"/>
      <c r="F107" s="116"/>
      <c r="G107" s="116"/>
      <c r="H107" s="116"/>
      <c r="I107" s="116"/>
      <c r="J107" s="116"/>
      <c r="K107" s="116"/>
      <c r="L107" s="116"/>
      <c r="M107" s="116"/>
      <c r="N107" s="116"/>
      <c r="O107" s="116"/>
      <c r="P107" s="116"/>
      <c r="Q107" s="116"/>
      <c r="R107" s="116"/>
      <c r="S107" s="116"/>
      <c r="T107" s="116"/>
      <c r="U107" s="116"/>
      <c r="V107" s="116"/>
      <c r="W107" s="116"/>
      <c r="X107" s="116"/>
      <c r="Y107" s="116"/>
      <c r="Z107" s="116"/>
    </row>
    <row r="108" spans="1:26" ht="15">
      <c r="A108" s="116"/>
      <c r="B108" s="988"/>
      <c r="C108" s="116"/>
      <c r="D108" s="116"/>
      <c r="E108" s="116"/>
      <c r="F108" s="116"/>
      <c r="G108" s="116"/>
      <c r="H108" s="116"/>
      <c r="I108" s="116"/>
      <c r="J108" s="116"/>
      <c r="K108" s="116"/>
      <c r="L108" s="116"/>
      <c r="M108" s="116"/>
      <c r="N108" s="116"/>
      <c r="O108" s="116"/>
      <c r="P108" s="116"/>
      <c r="Q108" s="116"/>
      <c r="R108" s="116"/>
      <c r="S108" s="116"/>
      <c r="T108" s="116"/>
      <c r="U108" s="116"/>
      <c r="V108" s="116"/>
      <c r="W108" s="116"/>
      <c r="X108" s="116"/>
      <c r="Y108" s="116"/>
      <c r="Z108" s="116"/>
    </row>
    <row r="109" spans="1:26" ht="15">
      <c r="A109" s="116"/>
      <c r="B109" s="988"/>
      <c r="C109" s="116"/>
      <c r="D109" s="116"/>
      <c r="E109" s="116"/>
      <c r="F109" s="116"/>
      <c r="G109" s="116"/>
      <c r="H109" s="116"/>
      <c r="I109" s="116"/>
      <c r="J109" s="116"/>
      <c r="K109" s="116"/>
      <c r="L109" s="116"/>
      <c r="M109" s="116"/>
      <c r="N109" s="116"/>
      <c r="O109" s="116"/>
      <c r="P109" s="116"/>
      <c r="Q109" s="116"/>
      <c r="R109" s="116"/>
      <c r="S109" s="116"/>
      <c r="T109" s="116"/>
      <c r="U109" s="116"/>
      <c r="V109" s="116"/>
      <c r="W109" s="116"/>
      <c r="X109" s="116"/>
      <c r="Y109" s="116"/>
      <c r="Z109" s="116"/>
    </row>
    <row r="110" spans="1:26" ht="15">
      <c r="A110" s="116"/>
      <c r="B110" s="988"/>
      <c r="C110" s="116"/>
      <c r="D110" s="116"/>
      <c r="E110" s="116"/>
      <c r="F110" s="116"/>
      <c r="G110" s="116"/>
      <c r="H110" s="116"/>
      <c r="I110" s="116"/>
      <c r="J110" s="116"/>
      <c r="K110" s="116"/>
      <c r="L110" s="116"/>
      <c r="M110" s="116"/>
      <c r="N110" s="116"/>
      <c r="O110" s="116"/>
      <c r="P110" s="116"/>
      <c r="Q110" s="116"/>
      <c r="R110" s="116"/>
      <c r="S110" s="116"/>
      <c r="T110" s="116"/>
      <c r="U110" s="116"/>
      <c r="V110" s="116"/>
      <c r="W110" s="116"/>
      <c r="X110" s="116"/>
      <c r="Y110" s="116"/>
      <c r="Z110" s="116"/>
    </row>
    <row r="111" spans="1:26" ht="15">
      <c r="A111" s="116"/>
      <c r="B111" s="988"/>
      <c r="C111" s="116"/>
      <c r="D111" s="116"/>
      <c r="E111" s="116"/>
      <c r="F111" s="116"/>
      <c r="G111" s="116"/>
      <c r="H111" s="116"/>
      <c r="I111" s="116"/>
      <c r="J111" s="116"/>
      <c r="K111" s="116"/>
      <c r="L111" s="116"/>
      <c r="M111" s="116"/>
      <c r="N111" s="116"/>
      <c r="O111" s="116"/>
      <c r="P111" s="116"/>
      <c r="Q111" s="116"/>
      <c r="R111" s="116"/>
      <c r="S111" s="116"/>
      <c r="T111" s="116"/>
      <c r="U111" s="116"/>
      <c r="V111" s="116"/>
      <c r="W111" s="116"/>
      <c r="X111" s="116"/>
      <c r="Y111" s="116"/>
      <c r="Z111" s="116"/>
    </row>
    <row r="112" spans="1:26" ht="15">
      <c r="A112" s="116"/>
      <c r="B112" s="988"/>
      <c r="C112" s="116"/>
      <c r="D112" s="116"/>
      <c r="E112" s="116"/>
      <c r="F112" s="116"/>
      <c r="G112" s="116"/>
      <c r="H112" s="116"/>
      <c r="I112" s="116"/>
      <c r="J112" s="116"/>
      <c r="K112" s="116"/>
      <c r="L112" s="116"/>
      <c r="M112" s="116"/>
      <c r="N112" s="116"/>
      <c r="O112" s="116"/>
      <c r="P112" s="116"/>
      <c r="Q112" s="116"/>
      <c r="R112" s="116"/>
      <c r="S112" s="116"/>
      <c r="T112" s="116"/>
      <c r="U112" s="116"/>
      <c r="V112" s="116"/>
      <c r="W112" s="116"/>
      <c r="X112" s="116"/>
      <c r="Y112" s="116"/>
      <c r="Z112" s="116"/>
    </row>
    <row r="113" spans="1:26" ht="15">
      <c r="A113" s="116"/>
      <c r="B113" s="988"/>
      <c r="C113" s="116"/>
      <c r="D113" s="116"/>
      <c r="E113" s="116"/>
      <c r="F113" s="116"/>
      <c r="G113" s="116"/>
      <c r="H113" s="116"/>
      <c r="I113" s="116"/>
      <c r="J113" s="116"/>
      <c r="K113" s="116"/>
      <c r="L113" s="116"/>
      <c r="M113" s="116"/>
      <c r="N113" s="116"/>
      <c r="O113" s="116"/>
      <c r="P113" s="116"/>
      <c r="Q113" s="116"/>
      <c r="R113" s="116"/>
      <c r="S113" s="116"/>
      <c r="T113" s="116"/>
      <c r="U113" s="116"/>
      <c r="V113" s="116"/>
      <c r="W113" s="116"/>
      <c r="X113" s="116"/>
      <c r="Y113" s="116"/>
      <c r="Z113" s="116"/>
    </row>
    <row r="114" spans="1:26" ht="15">
      <c r="A114" s="116"/>
      <c r="B114" s="988"/>
      <c r="C114" s="116"/>
      <c r="D114" s="116"/>
      <c r="E114" s="116"/>
      <c r="F114" s="116"/>
      <c r="G114" s="116"/>
      <c r="H114" s="116"/>
      <c r="I114" s="116"/>
      <c r="J114" s="116"/>
      <c r="K114" s="116"/>
      <c r="L114" s="116"/>
      <c r="M114" s="116"/>
      <c r="N114" s="116"/>
      <c r="O114" s="116"/>
      <c r="P114" s="116"/>
      <c r="Q114" s="116"/>
      <c r="R114" s="116"/>
      <c r="S114" s="116"/>
      <c r="T114" s="116"/>
      <c r="U114" s="116"/>
      <c r="V114" s="116"/>
      <c r="W114" s="116"/>
      <c r="X114" s="116"/>
      <c r="Y114" s="116"/>
      <c r="Z114" s="116"/>
    </row>
    <row r="115" spans="1:26" ht="15">
      <c r="A115" s="116"/>
      <c r="B115" s="988"/>
      <c r="C115" s="116"/>
      <c r="D115" s="116"/>
      <c r="E115" s="116"/>
      <c r="F115" s="116"/>
      <c r="G115" s="116"/>
      <c r="H115" s="116"/>
      <c r="I115" s="116"/>
      <c r="J115" s="116"/>
      <c r="K115" s="116"/>
      <c r="L115" s="116"/>
      <c r="M115" s="116"/>
      <c r="N115" s="116"/>
      <c r="O115" s="116"/>
      <c r="P115" s="116"/>
      <c r="Q115" s="116"/>
      <c r="R115" s="116"/>
      <c r="S115" s="116"/>
      <c r="T115" s="116"/>
      <c r="U115" s="116"/>
      <c r="V115" s="116"/>
      <c r="W115" s="116"/>
      <c r="X115" s="116"/>
      <c r="Y115" s="116"/>
      <c r="Z115" s="116"/>
    </row>
    <row r="116" spans="1:26" ht="15">
      <c r="A116" s="116"/>
      <c r="B116" s="988"/>
      <c r="C116" s="116"/>
      <c r="D116" s="116"/>
      <c r="E116" s="116"/>
      <c r="F116" s="116"/>
      <c r="G116" s="116"/>
      <c r="H116" s="116"/>
      <c r="I116" s="116"/>
      <c r="J116" s="116"/>
      <c r="K116" s="116"/>
      <c r="L116" s="116"/>
      <c r="M116" s="116"/>
      <c r="N116" s="116"/>
      <c r="O116" s="116"/>
      <c r="P116" s="116"/>
      <c r="Q116" s="116"/>
      <c r="R116" s="116"/>
      <c r="S116" s="116"/>
      <c r="T116" s="116"/>
      <c r="U116" s="116"/>
      <c r="V116" s="116"/>
      <c r="W116" s="116"/>
      <c r="X116" s="116"/>
      <c r="Y116" s="116"/>
      <c r="Z116" s="116"/>
    </row>
    <row r="117" spans="1:26" ht="15">
      <c r="A117" s="116"/>
      <c r="B117" s="988"/>
      <c r="C117" s="116"/>
      <c r="D117" s="116"/>
      <c r="E117" s="116"/>
      <c r="F117" s="116"/>
      <c r="G117" s="116"/>
      <c r="H117" s="116"/>
      <c r="I117" s="116"/>
      <c r="J117" s="116"/>
      <c r="K117" s="116"/>
      <c r="L117" s="116"/>
      <c r="M117" s="116"/>
      <c r="N117" s="116"/>
      <c r="O117" s="116"/>
      <c r="P117" s="116"/>
      <c r="Q117" s="116"/>
      <c r="R117" s="116"/>
      <c r="S117" s="116"/>
      <c r="T117" s="116"/>
      <c r="U117" s="116"/>
      <c r="V117" s="116"/>
      <c r="W117" s="116"/>
      <c r="X117" s="116"/>
      <c r="Y117" s="116"/>
      <c r="Z117" s="116"/>
    </row>
    <row r="118" spans="1:26" ht="15">
      <c r="A118" s="116"/>
      <c r="B118" s="988"/>
      <c r="C118" s="116"/>
      <c r="D118" s="116"/>
      <c r="E118" s="116"/>
      <c r="F118" s="116"/>
      <c r="G118" s="116"/>
      <c r="H118" s="116"/>
      <c r="I118" s="116"/>
      <c r="J118" s="116"/>
      <c r="K118" s="116"/>
      <c r="L118" s="116"/>
      <c r="M118" s="116"/>
      <c r="N118" s="116"/>
      <c r="O118" s="116"/>
      <c r="P118" s="116"/>
      <c r="Q118" s="116"/>
      <c r="R118" s="116"/>
      <c r="S118" s="116"/>
      <c r="T118" s="116"/>
      <c r="U118" s="116"/>
      <c r="V118" s="116"/>
      <c r="W118" s="116"/>
      <c r="X118" s="116"/>
      <c r="Y118" s="116"/>
      <c r="Z118" s="116"/>
    </row>
    <row r="119" spans="1:26" ht="15">
      <c r="A119" s="116"/>
      <c r="B119" s="988"/>
      <c r="C119" s="116"/>
      <c r="D119" s="116"/>
      <c r="E119" s="116"/>
      <c r="F119" s="116"/>
      <c r="G119" s="116"/>
      <c r="H119" s="116"/>
      <c r="I119" s="116"/>
      <c r="J119" s="116"/>
      <c r="K119" s="116"/>
      <c r="L119" s="116"/>
      <c r="M119" s="116"/>
      <c r="N119" s="116"/>
      <c r="O119" s="116"/>
      <c r="P119" s="116"/>
      <c r="Q119" s="116"/>
      <c r="R119" s="116"/>
      <c r="S119" s="116"/>
      <c r="T119" s="116"/>
      <c r="U119" s="116"/>
      <c r="V119" s="116"/>
      <c r="W119" s="116"/>
      <c r="X119" s="116"/>
      <c r="Y119" s="116"/>
      <c r="Z119" s="116"/>
    </row>
    <row r="120" spans="1:26" ht="15">
      <c r="A120" s="116"/>
      <c r="B120" s="988"/>
      <c r="C120" s="116"/>
      <c r="D120" s="116"/>
      <c r="E120" s="116"/>
      <c r="F120" s="116"/>
      <c r="G120" s="116"/>
      <c r="H120" s="116"/>
      <c r="I120" s="116"/>
      <c r="J120" s="116"/>
      <c r="K120" s="116"/>
      <c r="L120" s="116"/>
      <c r="M120" s="116"/>
      <c r="N120" s="116"/>
      <c r="O120" s="116"/>
      <c r="P120" s="116"/>
      <c r="Q120" s="116"/>
      <c r="R120" s="116"/>
      <c r="S120" s="116"/>
      <c r="T120" s="116"/>
      <c r="U120" s="116"/>
      <c r="V120" s="116"/>
      <c r="W120" s="116"/>
      <c r="X120" s="116"/>
      <c r="Y120" s="116"/>
      <c r="Z120" s="116"/>
    </row>
    <row r="121" spans="1:26" ht="15">
      <c r="A121" s="116"/>
      <c r="B121" s="988"/>
      <c r="C121" s="116"/>
      <c r="D121" s="116"/>
      <c r="E121" s="116"/>
      <c r="F121" s="116"/>
      <c r="G121" s="116"/>
      <c r="H121" s="116"/>
      <c r="I121" s="116"/>
      <c r="J121" s="116"/>
      <c r="K121" s="116"/>
      <c r="L121" s="116"/>
      <c r="M121" s="116"/>
      <c r="N121" s="116"/>
      <c r="O121" s="116"/>
      <c r="P121" s="116"/>
      <c r="Q121" s="116"/>
      <c r="R121" s="116"/>
      <c r="S121" s="116"/>
      <c r="T121" s="116"/>
      <c r="U121" s="116"/>
      <c r="V121" s="116"/>
      <c r="W121" s="116"/>
      <c r="X121" s="116"/>
      <c r="Y121" s="116"/>
      <c r="Z121" s="116"/>
    </row>
    <row r="122" spans="1:26" ht="15">
      <c r="A122" s="116"/>
      <c r="B122" s="988"/>
      <c r="C122" s="116"/>
      <c r="D122" s="116"/>
      <c r="E122" s="116"/>
      <c r="F122" s="116"/>
      <c r="G122" s="116"/>
      <c r="H122" s="116"/>
      <c r="I122" s="116"/>
      <c r="J122" s="116"/>
      <c r="K122" s="116"/>
      <c r="L122" s="116"/>
      <c r="M122" s="116"/>
      <c r="N122" s="116"/>
      <c r="O122" s="116"/>
      <c r="P122" s="116"/>
      <c r="Q122" s="116"/>
      <c r="R122" s="116"/>
      <c r="S122" s="116"/>
      <c r="T122" s="116"/>
      <c r="U122" s="116"/>
      <c r="V122" s="116"/>
      <c r="W122" s="116"/>
      <c r="X122" s="116"/>
      <c r="Y122" s="116"/>
      <c r="Z122" s="116"/>
    </row>
    <row r="123" spans="1:26" ht="15">
      <c r="A123" s="116"/>
      <c r="B123" s="988"/>
      <c r="C123" s="116"/>
      <c r="D123" s="116"/>
      <c r="E123" s="116"/>
      <c r="F123" s="116"/>
      <c r="G123" s="116"/>
      <c r="H123" s="116"/>
      <c r="I123" s="116"/>
      <c r="J123" s="116"/>
      <c r="K123" s="116"/>
      <c r="L123" s="116"/>
      <c r="M123" s="116"/>
      <c r="N123" s="116"/>
      <c r="O123" s="116"/>
      <c r="P123" s="116"/>
      <c r="Q123" s="116"/>
      <c r="R123" s="116"/>
      <c r="S123" s="116"/>
      <c r="T123" s="116"/>
      <c r="U123" s="116"/>
      <c r="V123" s="116"/>
      <c r="W123" s="116"/>
      <c r="X123" s="116"/>
      <c r="Y123" s="116"/>
      <c r="Z123" s="116"/>
    </row>
    <row r="124" spans="1:26" ht="15">
      <c r="A124" s="116"/>
      <c r="B124" s="988"/>
      <c r="C124" s="116"/>
      <c r="D124" s="116"/>
      <c r="E124" s="116"/>
      <c r="F124" s="116"/>
      <c r="G124" s="116"/>
      <c r="H124" s="116"/>
      <c r="I124" s="116"/>
      <c r="J124" s="116"/>
      <c r="K124" s="116"/>
      <c r="L124" s="116"/>
      <c r="M124" s="116"/>
      <c r="N124" s="116"/>
      <c r="O124" s="116"/>
      <c r="P124" s="116"/>
      <c r="Q124" s="116"/>
      <c r="R124" s="116"/>
      <c r="S124" s="116"/>
      <c r="T124" s="116"/>
      <c r="U124" s="116"/>
      <c r="V124" s="116"/>
      <c r="W124" s="116"/>
      <c r="X124" s="116"/>
      <c r="Y124" s="116"/>
      <c r="Z124" s="116"/>
    </row>
    <row r="125" spans="1:26" ht="15">
      <c r="A125" s="116"/>
      <c r="B125" s="988"/>
      <c r="C125" s="116"/>
      <c r="D125" s="116"/>
      <c r="E125" s="116"/>
      <c r="F125" s="116"/>
      <c r="G125" s="116"/>
      <c r="H125" s="116"/>
      <c r="I125" s="116"/>
      <c r="J125" s="116"/>
      <c r="K125" s="116"/>
      <c r="L125" s="116"/>
      <c r="M125" s="116"/>
      <c r="N125" s="116"/>
      <c r="O125" s="116"/>
      <c r="P125" s="116"/>
      <c r="Q125" s="116"/>
      <c r="R125" s="116"/>
      <c r="S125" s="116"/>
      <c r="T125" s="116"/>
      <c r="U125" s="116"/>
      <c r="V125" s="116"/>
      <c r="W125" s="116"/>
      <c r="X125" s="116"/>
      <c r="Y125" s="116"/>
      <c r="Z125" s="116"/>
    </row>
    <row r="126" spans="1:26" ht="15">
      <c r="A126" s="116"/>
      <c r="B126" s="988"/>
      <c r="C126" s="116"/>
      <c r="D126" s="116"/>
      <c r="E126" s="116"/>
      <c r="F126" s="116"/>
      <c r="G126" s="116"/>
      <c r="H126" s="116"/>
      <c r="I126" s="116"/>
      <c r="J126" s="116"/>
      <c r="K126" s="116"/>
      <c r="L126" s="116"/>
      <c r="M126" s="116"/>
      <c r="N126" s="116"/>
      <c r="O126" s="116"/>
      <c r="P126" s="116"/>
      <c r="Q126" s="116"/>
      <c r="R126" s="116"/>
      <c r="S126" s="116"/>
      <c r="T126" s="116"/>
      <c r="U126" s="116"/>
      <c r="V126" s="116"/>
      <c r="W126" s="116"/>
      <c r="X126" s="116"/>
      <c r="Y126" s="116"/>
      <c r="Z126" s="116"/>
    </row>
    <row r="127" spans="1:26" ht="15">
      <c r="A127" s="116"/>
      <c r="B127" s="988"/>
      <c r="C127" s="116"/>
      <c r="D127" s="116"/>
      <c r="E127" s="116"/>
      <c r="F127" s="116"/>
      <c r="G127" s="116"/>
      <c r="H127" s="116"/>
      <c r="I127" s="116"/>
      <c r="J127" s="116"/>
      <c r="K127" s="116"/>
      <c r="L127" s="116"/>
      <c r="M127" s="116"/>
      <c r="N127" s="116"/>
      <c r="O127" s="116"/>
      <c r="P127" s="116"/>
      <c r="Q127" s="116"/>
      <c r="R127" s="116"/>
      <c r="S127" s="116"/>
      <c r="T127" s="116"/>
      <c r="U127" s="116"/>
      <c r="V127" s="116"/>
      <c r="W127" s="116"/>
      <c r="X127" s="116"/>
      <c r="Y127" s="116"/>
      <c r="Z127" s="116"/>
    </row>
    <row r="128" spans="1:26" ht="15">
      <c r="A128" s="116"/>
      <c r="B128" s="988"/>
      <c r="C128" s="116"/>
      <c r="D128" s="116"/>
      <c r="E128" s="116"/>
      <c r="F128" s="116"/>
      <c r="G128" s="116"/>
      <c r="H128" s="116"/>
      <c r="I128" s="116"/>
      <c r="J128" s="116"/>
      <c r="K128" s="116"/>
      <c r="L128" s="116"/>
      <c r="M128" s="116"/>
      <c r="N128" s="116"/>
      <c r="O128" s="116"/>
      <c r="P128" s="116"/>
      <c r="Q128" s="116"/>
      <c r="R128" s="116"/>
      <c r="S128" s="116"/>
      <c r="T128" s="116"/>
      <c r="U128" s="116"/>
      <c r="V128" s="116"/>
      <c r="W128" s="116"/>
      <c r="X128" s="116"/>
      <c r="Y128" s="116"/>
      <c r="Z128" s="116"/>
    </row>
    <row r="129" spans="1:26" ht="15">
      <c r="A129" s="116"/>
      <c r="B129" s="988"/>
      <c r="C129" s="116"/>
      <c r="D129" s="116"/>
      <c r="E129" s="116"/>
      <c r="F129" s="116"/>
      <c r="G129" s="116"/>
      <c r="H129" s="116"/>
      <c r="I129" s="116"/>
      <c r="J129" s="116"/>
      <c r="K129" s="116"/>
      <c r="L129" s="116"/>
      <c r="M129" s="116"/>
      <c r="N129" s="116"/>
      <c r="O129" s="116"/>
      <c r="P129" s="116"/>
      <c r="Q129" s="116"/>
      <c r="R129" s="116"/>
      <c r="S129" s="116"/>
      <c r="T129" s="116"/>
      <c r="U129" s="116"/>
      <c r="V129" s="116"/>
      <c r="W129" s="116"/>
      <c r="X129" s="116"/>
      <c r="Y129" s="116"/>
      <c r="Z129" s="116"/>
    </row>
    <row r="130" spans="1:26" ht="15">
      <c r="A130" s="116"/>
      <c r="B130" s="988"/>
      <c r="C130" s="116"/>
      <c r="D130" s="116"/>
      <c r="E130" s="116"/>
      <c r="F130" s="116"/>
      <c r="G130" s="116"/>
      <c r="H130" s="116"/>
      <c r="I130" s="116"/>
      <c r="J130" s="116"/>
      <c r="K130" s="116"/>
      <c r="L130" s="116"/>
      <c r="M130" s="116"/>
      <c r="N130" s="116"/>
      <c r="O130" s="116"/>
      <c r="P130" s="116"/>
      <c r="Q130" s="116"/>
      <c r="R130" s="116"/>
      <c r="S130" s="116"/>
      <c r="T130" s="116"/>
      <c r="U130" s="116"/>
      <c r="V130" s="116"/>
      <c r="W130" s="116"/>
      <c r="X130" s="116"/>
      <c r="Y130" s="116"/>
      <c r="Z130" s="116"/>
    </row>
    <row r="131" spans="1:26" ht="15">
      <c r="A131" s="116"/>
      <c r="B131" s="988"/>
      <c r="C131" s="116"/>
      <c r="D131" s="116"/>
      <c r="E131" s="116"/>
      <c r="F131" s="116"/>
      <c r="G131" s="116"/>
      <c r="H131" s="116"/>
      <c r="I131" s="116"/>
      <c r="J131" s="116"/>
      <c r="K131" s="116"/>
      <c r="L131" s="116"/>
      <c r="M131" s="116"/>
      <c r="N131" s="116"/>
      <c r="O131" s="116"/>
      <c r="P131" s="116"/>
      <c r="Q131" s="116"/>
      <c r="R131" s="116"/>
      <c r="S131" s="116"/>
      <c r="T131" s="116"/>
      <c r="U131" s="116"/>
      <c r="V131" s="116"/>
      <c r="W131" s="116"/>
      <c r="X131" s="116"/>
      <c r="Y131" s="116"/>
      <c r="Z131" s="116"/>
    </row>
    <row r="132" spans="1:26" ht="15">
      <c r="A132" s="116"/>
      <c r="B132" s="988"/>
      <c r="C132" s="116"/>
      <c r="D132" s="116"/>
      <c r="E132" s="116"/>
      <c r="F132" s="116"/>
      <c r="G132" s="116"/>
      <c r="H132" s="116"/>
      <c r="I132" s="116"/>
      <c r="J132" s="116"/>
      <c r="K132" s="116"/>
      <c r="L132" s="116"/>
      <c r="M132" s="116"/>
      <c r="N132" s="116"/>
      <c r="O132" s="116"/>
      <c r="P132" s="116"/>
      <c r="Q132" s="116"/>
      <c r="R132" s="116"/>
      <c r="S132" s="116"/>
      <c r="T132" s="116"/>
      <c r="U132" s="116"/>
      <c r="V132" s="116"/>
      <c r="W132" s="116"/>
      <c r="X132" s="116"/>
      <c r="Y132" s="116"/>
      <c r="Z132" s="116"/>
    </row>
    <row r="133" spans="1:26" ht="15">
      <c r="A133" s="116"/>
      <c r="B133" s="988"/>
      <c r="C133" s="116"/>
      <c r="D133" s="116"/>
      <c r="E133" s="116"/>
      <c r="F133" s="116"/>
      <c r="G133" s="116"/>
      <c r="H133" s="116"/>
      <c r="I133" s="116"/>
      <c r="J133" s="116"/>
      <c r="K133" s="116"/>
      <c r="L133" s="116"/>
      <c r="M133" s="116"/>
      <c r="N133" s="116"/>
      <c r="O133" s="116"/>
      <c r="P133" s="116"/>
      <c r="Q133" s="116"/>
      <c r="R133" s="116"/>
      <c r="S133" s="116"/>
      <c r="T133" s="116"/>
      <c r="U133" s="116"/>
      <c r="V133" s="116"/>
      <c r="W133" s="116"/>
      <c r="X133" s="116"/>
      <c r="Y133" s="116"/>
      <c r="Z133" s="116"/>
    </row>
    <row r="134" spans="1:26" ht="15">
      <c r="A134" s="116"/>
      <c r="B134" s="988"/>
      <c r="C134" s="116"/>
      <c r="D134" s="116"/>
      <c r="E134" s="116"/>
      <c r="F134" s="116"/>
      <c r="G134" s="116"/>
      <c r="H134" s="116"/>
      <c r="I134" s="116"/>
      <c r="J134" s="116"/>
      <c r="K134" s="116"/>
      <c r="L134" s="116"/>
      <c r="M134" s="116"/>
      <c r="N134" s="116"/>
      <c r="O134" s="116"/>
      <c r="P134" s="116"/>
      <c r="Q134" s="116"/>
      <c r="R134" s="116"/>
      <c r="S134" s="116"/>
      <c r="T134" s="116"/>
      <c r="U134" s="116"/>
      <c r="V134" s="116"/>
      <c r="W134" s="116"/>
      <c r="X134" s="116"/>
      <c r="Y134" s="116"/>
      <c r="Z134" s="116"/>
    </row>
    <row r="135" spans="1:26" ht="15">
      <c r="A135" s="116"/>
      <c r="B135" s="988"/>
      <c r="C135" s="116"/>
      <c r="D135" s="116"/>
      <c r="E135" s="116"/>
      <c r="F135" s="116"/>
      <c r="G135" s="116"/>
      <c r="H135" s="116"/>
      <c r="I135" s="116"/>
      <c r="J135" s="116"/>
      <c r="K135" s="116"/>
      <c r="L135" s="116"/>
      <c r="M135" s="116"/>
      <c r="N135" s="116"/>
      <c r="O135" s="116"/>
      <c r="P135" s="116"/>
      <c r="Q135" s="116"/>
      <c r="R135" s="116"/>
      <c r="S135" s="116"/>
      <c r="T135" s="116"/>
      <c r="U135" s="116"/>
      <c r="V135" s="116"/>
      <c r="W135" s="116"/>
      <c r="X135" s="116"/>
      <c r="Y135" s="116"/>
      <c r="Z135" s="116"/>
    </row>
    <row r="136" spans="1:26" ht="15">
      <c r="A136" s="116"/>
      <c r="B136" s="988"/>
      <c r="C136" s="116"/>
      <c r="D136" s="116"/>
      <c r="E136" s="116"/>
      <c r="F136" s="116"/>
      <c r="G136" s="116"/>
      <c r="H136" s="116"/>
      <c r="I136" s="116"/>
      <c r="J136" s="116"/>
      <c r="K136" s="116"/>
      <c r="L136" s="116"/>
      <c r="M136" s="116"/>
      <c r="N136" s="116"/>
      <c r="O136" s="116"/>
      <c r="P136" s="116"/>
      <c r="Q136" s="116"/>
      <c r="R136" s="116"/>
      <c r="S136" s="116"/>
      <c r="T136" s="116"/>
      <c r="U136" s="116"/>
      <c r="V136" s="116"/>
      <c r="W136" s="116"/>
      <c r="X136" s="116"/>
      <c r="Y136" s="116"/>
      <c r="Z136" s="116"/>
    </row>
    <row r="137" spans="1:26" ht="15">
      <c r="A137" s="116"/>
      <c r="B137" s="988"/>
      <c r="C137" s="116"/>
      <c r="D137" s="116"/>
      <c r="E137" s="116"/>
      <c r="F137" s="116"/>
      <c r="G137" s="116"/>
      <c r="H137" s="116"/>
      <c r="I137" s="116"/>
      <c r="J137" s="116"/>
      <c r="K137" s="116"/>
      <c r="L137" s="116"/>
      <c r="M137" s="116"/>
      <c r="N137" s="116"/>
      <c r="O137" s="116"/>
      <c r="P137" s="116"/>
      <c r="Q137" s="116"/>
      <c r="R137" s="116"/>
      <c r="S137" s="116"/>
      <c r="T137" s="116"/>
      <c r="U137" s="116"/>
      <c r="V137" s="116"/>
      <c r="W137" s="116"/>
      <c r="X137" s="116"/>
      <c r="Y137" s="116"/>
      <c r="Z137" s="116"/>
    </row>
    <row r="138" spans="1:26" ht="15">
      <c r="A138" s="116"/>
      <c r="B138" s="988"/>
      <c r="C138" s="116"/>
      <c r="D138" s="116"/>
      <c r="E138" s="116"/>
      <c r="F138" s="116"/>
      <c r="G138" s="116"/>
      <c r="H138" s="116"/>
      <c r="I138" s="116"/>
      <c r="J138" s="116"/>
      <c r="K138" s="116"/>
      <c r="L138" s="116"/>
      <c r="M138" s="116"/>
      <c r="N138" s="116"/>
      <c r="O138" s="116"/>
      <c r="P138" s="116"/>
      <c r="Q138" s="116"/>
      <c r="R138" s="116"/>
      <c r="S138" s="116"/>
      <c r="T138" s="116"/>
      <c r="U138" s="116"/>
      <c r="V138" s="116"/>
      <c r="W138" s="116"/>
      <c r="X138" s="116"/>
      <c r="Y138" s="116"/>
      <c r="Z138" s="116"/>
    </row>
    <row r="139" spans="1:26" ht="15">
      <c r="A139" s="116"/>
      <c r="B139" s="988"/>
      <c r="C139" s="116"/>
      <c r="D139" s="116"/>
      <c r="E139" s="116"/>
      <c r="F139" s="116"/>
      <c r="G139" s="116"/>
      <c r="H139" s="116"/>
      <c r="I139" s="116"/>
      <c r="J139" s="116"/>
      <c r="K139" s="116"/>
      <c r="L139" s="116"/>
      <c r="M139" s="116"/>
      <c r="N139" s="116"/>
      <c r="O139" s="116"/>
      <c r="P139" s="116"/>
      <c r="Q139" s="116"/>
      <c r="R139" s="116"/>
      <c r="S139" s="116"/>
      <c r="T139" s="116"/>
      <c r="U139" s="116"/>
      <c r="V139" s="116"/>
      <c r="W139" s="116"/>
      <c r="X139" s="116"/>
      <c r="Y139" s="116"/>
      <c r="Z139" s="116"/>
    </row>
    <row r="140" spans="1:26" ht="15">
      <c r="A140" s="116"/>
      <c r="B140" s="988"/>
      <c r="C140" s="116"/>
      <c r="D140" s="116"/>
      <c r="E140" s="116"/>
      <c r="F140" s="116"/>
      <c r="G140" s="116"/>
      <c r="H140" s="116"/>
      <c r="I140" s="116"/>
      <c r="J140" s="116"/>
      <c r="K140" s="116"/>
      <c r="L140" s="116"/>
      <c r="M140" s="116"/>
      <c r="N140" s="116"/>
      <c r="O140" s="116"/>
      <c r="P140" s="116"/>
      <c r="Q140" s="116"/>
      <c r="R140" s="116"/>
      <c r="S140" s="116"/>
      <c r="T140" s="116"/>
      <c r="U140" s="116"/>
      <c r="V140" s="116"/>
      <c r="W140" s="116"/>
      <c r="X140" s="116"/>
      <c r="Y140" s="116"/>
      <c r="Z140" s="116"/>
    </row>
    <row r="141" spans="1:26" ht="15">
      <c r="A141" s="116"/>
      <c r="B141" s="988"/>
      <c r="C141" s="116"/>
      <c r="D141" s="116"/>
      <c r="E141" s="116"/>
      <c r="F141" s="116"/>
      <c r="G141" s="116"/>
      <c r="H141" s="116"/>
      <c r="I141" s="116"/>
      <c r="J141" s="116"/>
      <c r="K141" s="116"/>
      <c r="L141" s="116"/>
      <c r="M141" s="116"/>
      <c r="N141" s="116"/>
      <c r="O141" s="116"/>
      <c r="P141" s="116"/>
      <c r="Q141" s="116"/>
      <c r="R141" s="116"/>
      <c r="S141" s="116"/>
      <c r="T141" s="116"/>
      <c r="U141" s="116"/>
      <c r="V141" s="116"/>
      <c r="W141" s="116"/>
      <c r="X141" s="116"/>
      <c r="Y141" s="116"/>
      <c r="Z141" s="116"/>
    </row>
    <row r="142" spans="1:26" ht="15">
      <c r="A142" s="116"/>
      <c r="B142" s="988"/>
      <c r="C142" s="116"/>
      <c r="D142" s="116"/>
      <c r="E142" s="116"/>
      <c r="F142" s="116"/>
      <c r="G142" s="116"/>
      <c r="H142" s="116"/>
      <c r="I142" s="116"/>
      <c r="J142" s="116"/>
      <c r="K142" s="116"/>
      <c r="L142" s="116"/>
      <c r="M142" s="116"/>
      <c r="N142" s="116"/>
      <c r="O142" s="116"/>
      <c r="P142" s="116"/>
      <c r="Q142" s="116"/>
      <c r="R142" s="116"/>
      <c r="S142" s="116"/>
      <c r="T142" s="116"/>
      <c r="U142" s="116"/>
      <c r="V142" s="116"/>
      <c r="W142" s="116"/>
      <c r="X142" s="116"/>
      <c r="Y142" s="116"/>
      <c r="Z142" s="116"/>
    </row>
    <row r="143" spans="1:26" ht="15">
      <c r="A143" s="116"/>
      <c r="B143" s="988"/>
      <c r="C143" s="116"/>
      <c r="D143" s="116"/>
      <c r="E143" s="116"/>
      <c r="F143" s="116"/>
      <c r="G143" s="116"/>
      <c r="H143" s="116"/>
      <c r="I143" s="116"/>
      <c r="J143" s="116"/>
      <c r="K143" s="116"/>
      <c r="L143" s="116"/>
      <c r="M143" s="116"/>
      <c r="N143" s="116"/>
      <c r="O143" s="116"/>
      <c r="P143" s="116"/>
      <c r="Q143" s="116"/>
      <c r="R143" s="116"/>
      <c r="S143" s="116"/>
      <c r="T143" s="116"/>
      <c r="U143" s="116"/>
      <c r="V143" s="116"/>
      <c r="W143" s="116"/>
      <c r="X143" s="116"/>
      <c r="Y143" s="116"/>
      <c r="Z143" s="116"/>
    </row>
    <row r="144" spans="1:26" ht="15">
      <c r="A144" s="116"/>
      <c r="B144" s="988"/>
      <c r="C144" s="116"/>
      <c r="D144" s="116"/>
      <c r="E144" s="116"/>
      <c r="F144" s="116"/>
      <c r="G144" s="116"/>
      <c r="H144" s="116"/>
      <c r="I144" s="116"/>
      <c r="J144" s="116"/>
      <c r="K144" s="116"/>
      <c r="L144" s="116"/>
      <c r="M144" s="116"/>
      <c r="N144" s="116"/>
      <c r="O144" s="116"/>
      <c r="P144" s="116"/>
      <c r="Q144" s="116"/>
      <c r="R144" s="116"/>
      <c r="S144" s="116"/>
      <c r="T144" s="116"/>
      <c r="U144" s="116"/>
      <c r="V144" s="116"/>
      <c r="W144" s="116"/>
      <c r="X144" s="116"/>
      <c r="Y144" s="116"/>
      <c r="Z144" s="116"/>
    </row>
    <row r="145" spans="1:26" ht="15">
      <c r="A145" s="116"/>
      <c r="B145" s="988"/>
      <c r="C145" s="116"/>
      <c r="D145" s="116"/>
      <c r="E145" s="116"/>
      <c r="F145" s="116"/>
      <c r="G145" s="116"/>
      <c r="H145" s="116"/>
      <c r="I145" s="116"/>
      <c r="J145" s="116"/>
      <c r="K145" s="116"/>
      <c r="L145" s="116"/>
      <c r="M145" s="116"/>
      <c r="N145" s="116"/>
      <c r="O145" s="116"/>
      <c r="P145" s="116"/>
      <c r="Q145" s="116"/>
      <c r="R145" s="116"/>
      <c r="S145" s="116"/>
      <c r="T145" s="116"/>
      <c r="U145" s="116"/>
      <c r="V145" s="116"/>
      <c r="W145" s="116"/>
      <c r="X145" s="116"/>
      <c r="Y145" s="116"/>
      <c r="Z145" s="116"/>
    </row>
    <row r="146" spans="1:26" ht="15">
      <c r="A146" s="116"/>
      <c r="B146" s="988"/>
      <c r="C146" s="116"/>
      <c r="D146" s="116"/>
      <c r="E146" s="116"/>
      <c r="F146" s="116"/>
      <c r="G146" s="116"/>
      <c r="H146" s="116"/>
      <c r="I146" s="116"/>
      <c r="J146" s="116"/>
      <c r="K146" s="116"/>
      <c r="L146" s="116"/>
      <c r="M146" s="116"/>
      <c r="N146" s="116"/>
      <c r="O146" s="116"/>
      <c r="P146" s="116"/>
      <c r="Q146" s="116"/>
      <c r="R146" s="116"/>
      <c r="S146" s="116"/>
      <c r="T146" s="116"/>
      <c r="U146" s="116"/>
      <c r="V146" s="116"/>
      <c r="W146" s="116"/>
      <c r="X146" s="116"/>
      <c r="Y146" s="116"/>
      <c r="Z146" s="116"/>
    </row>
    <row r="147" spans="1:26" ht="15">
      <c r="A147" s="116"/>
      <c r="B147" s="988"/>
      <c r="C147" s="116"/>
      <c r="D147" s="116"/>
      <c r="E147" s="116"/>
      <c r="F147" s="116"/>
      <c r="G147" s="116"/>
      <c r="H147" s="116"/>
      <c r="I147" s="116"/>
      <c r="J147" s="116"/>
      <c r="K147" s="116"/>
      <c r="L147" s="116"/>
      <c r="M147" s="116"/>
      <c r="N147" s="116"/>
      <c r="O147" s="116"/>
      <c r="P147" s="116"/>
      <c r="Q147" s="116"/>
      <c r="R147" s="116"/>
      <c r="S147" s="116"/>
      <c r="T147" s="116"/>
      <c r="U147" s="116"/>
      <c r="V147" s="116"/>
      <c r="W147" s="116"/>
      <c r="X147" s="116"/>
      <c r="Y147" s="116"/>
      <c r="Z147" s="116"/>
    </row>
    <row r="148" spans="1:26" ht="15">
      <c r="A148" s="116"/>
      <c r="B148" s="988"/>
      <c r="C148" s="116"/>
      <c r="D148" s="116"/>
      <c r="E148" s="116"/>
      <c r="F148" s="116"/>
      <c r="G148" s="116"/>
      <c r="H148" s="116"/>
      <c r="I148" s="116"/>
      <c r="J148" s="116"/>
      <c r="K148" s="116"/>
      <c r="L148" s="116"/>
      <c r="M148" s="116"/>
      <c r="N148" s="116"/>
      <c r="O148" s="116"/>
      <c r="P148" s="116"/>
      <c r="Q148" s="116"/>
      <c r="R148" s="116"/>
      <c r="S148" s="116"/>
      <c r="T148" s="116"/>
      <c r="U148" s="116"/>
      <c r="V148" s="116"/>
      <c r="W148" s="116"/>
      <c r="X148" s="116"/>
      <c r="Y148" s="116"/>
      <c r="Z148" s="116"/>
    </row>
    <row r="149" spans="1:26" ht="15">
      <c r="A149" s="116"/>
      <c r="B149" s="988"/>
      <c r="C149" s="116"/>
      <c r="D149" s="116"/>
      <c r="E149" s="116"/>
      <c r="F149" s="116"/>
      <c r="G149" s="116"/>
      <c r="H149" s="116"/>
      <c r="I149" s="116"/>
      <c r="J149" s="116"/>
      <c r="K149" s="116"/>
      <c r="L149" s="116"/>
      <c r="M149" s="116"/>
      <c r="N149" s="116"/>
      <c r="O149" s="116"/>
      <c r="P149" s="116"/>
      <c r="Q149" s="116"/>
      <c r="R149" s="116"/>
      <c r="S149" s="116"/>
      <c r="T149" s="116"/>
      <c r="U149" s="116"/>
      <c r="V149" s="116"/>
      <c r="W149" s="116"/>
      <c r="X149" s="116"/>
      <c r="Y149" s="116"/>
      <c r="Z149" s="116"/>
    </row>
    <row r="150" spans="1:26" ht="15">
      <c r="A150" s="116"/>
      <c r="B150" s="988"/>
      <c r="C150" s="116"/>
      <c r="D150" s="116"/>
      <c r="E150" s="116"/>
      <c r="F150" s="116"/>
      <c r="G150" s="116"/>
      <c r="H150" s="116"/>
      <c r="I150" s="116"/>
      <c r="J150" s="116"/>
      <c r="K150" s="116"/>
      <c r="L150" s="116"/>
      <c r="M150" s="116"/>
      <c r="N150" s="116"/>
      <c r="O150" s="116"/>
      <c r="P150" s="116"/>
      <c r="Q150" s="116"/>
      <c r="R150" s="116"/>
      <c r="S150" s="116"/>
      <c r="T150" s="116"/>
      <c r="U150" s="116"/>
      <c r="V150" s="116"/>
      <c r="W150" s="116"/>
      <c r="X150" s="116"/>
      <c r="Y150" s="116"/>
      <c r="Z150" s="116"/>
    </row>
    <row r="151" spans="1:26" ht="15">
      <c r="A151" s="116"/>
      <c r="B151" s="988"/>
      <c r="C151" s="116"/>
      <c r="D151" s="116"/>
      <c r="E151" s="116"/>
      <c r="F151" s="116"/>
      <c r="G151" s="116"/>
      <c r="H151" s="116"/>
      <c r="I151" s="116"/>
      <c r="J151" s="116"/>
      <c r="K151" s="116"/>
      <c r="L151" s="116"/>
      <c r="M151" s="116"/>
      <c r="N151" s="116"/>
      <c r="O151" s="116"/>
      <c r="P151" s="116"/>
      <c r="Q151" s="116"/>
      <c r="R151" s="116"/>
      <c r="S151" s="116"/>
      <c r="T151" s="116"/>
      <c r="U151" s="116"/>
      <c r="V151" s="116"/>
      <c r="W151" s="116"/>
      <c r="X151" s="116"/>
      <c r="Y151" s="116"/>
      <c r="Z151" s="116"/>
    </row>
    <row r="152" spans="1:26" ht="15">
      <c r="A152" s="116"/>
      <c r="B152" s="988"/>
      <c r="C152" s="116"/>
      <c r="D152" s="116"/>
      <c r="E152" s="116"/>
      <c r="F152" s="116"/>
      <c r="G152" s="116"/>
      <c r="H152" s="116"/>
      <c r="I152" s="116"/>
      <c r="J152" s="116"/>
      <c r="K152" s="116"/>
      <c r="L152" s="116"/>
      <c r="M152" s="116"/>
      <c r="N152" s="116"/>
      <c r="O152" s="116"/>
      <c r="P152" s="116"/>
      <c r="Q152" s="116"/>
      <c r="R152" s="116"/>
      <c r="S152" s="116"/>
      <c r="T152" s="116"/>
      <c r="U152" s="116"/>
      <c r="V152" s="116"/>
      <c r="W152" s="116"/>
      <c r="X152" s="116"/>
      <c r="Y152" s="116"/>
      <c r="Z152" s="116"/>
    </row>
    <row r="153" spans="1:26" ht="15">
      <c r="A153" s="116"/>
      <c r="B153" s="988"/>
      <c r="C153" s="116"/>
      <c r="D153" s="116"/>
      <c r="E153" s="116"/>
      <c r="F153" s="116"/>
      <c r="G153" s="116"/>
      <c r="H153" s="116"/>
      <c r="I153" s="116"/>
      <c r="J153" s="116"/>
      <c r="K153" s="116"/>
      <c r="L153" s="116"/>
      <c r="M153" s="116"/>
      <c r="N153" s="116"/>
      <c r="O153" s="116"/>
      <c r="P153" s="116"/>
      <c r="Q153" s="116"/>
      <c r="R153" s="116"/>
      <c r="S153" s="116"/>
      <c r="T153" s="116"/>
      <c r="U153" s="116"/>
      <c r="V153" s="116"/>
      <c r="W153" s="116"/>
      <c r="X153" s="116"/>
      <c r="Y153" s="116"/>
      <c r="Z153" s="116"/>
    </row>
    <row r="154" spans="1:26" ht="15">
      <c r="A154" s="116"/>
      <c r="B154" s="988"/>
      <c r="C154" s="116"/>
      <c r="D154" s="116"/>
      <c r="E154" s="116"/>
      <c r="F154" s="116"/>
      <c r="G154" s="116"/>
      <c r="H154" s="116"/>
      <c r="I154" s="116"/>
      <c r="J154" s="116"/>
      <c r="K154" s="116"/>
      <c r="L154" s="116"/>
      <c r="M154" s="116"/>
      <c r="N154" s="116"/>
      <c r="O154" s="116"/>
      <c r="P154" s="116"/>
      <c r="Q154" s="116"/>
      <c r="R154" s="116"/>
      <c r="S154" s="116"/>
      <c r="T154" s="116"/>
      <c r="U154" s="116"/>
      <c r="V154" s="116"/>
      <c r="W154" s="116"/>
      <c r="X154" s="116"/>
      <c r="Y154" s="116"/>
      <c r="Z154" s="116"/>
    </row>
    <row r="155" spans="1:26" ht="15">
      <c r="A155" s="116"/>
      <c r="B155" s="988"/>
      <c r="C155" s="116"/>
      <c r="D155" s="116"/>
      <c r="E155" s="116"/>
      <c r="F155" s="116"/>
      <c r="G155" s="116"/>
      <c r="H155" s="116"/>
      <c r="I155" s="116"/>
      <c r="J155" s="116"/>
      <c r="K155" s="116"/>
      <c r="L155" s="116"/>
      <c r="M155" s="116"/>
      <c r="N155" s="116"/>
      <c r="O155" s="116"/>
      <c r="P155" s="116"/>
      <c r="Q155" s="116"/>
      <c r="R155" s="116"/>
      <c r="S155" s="116"/>
      <c r="T155" s="116"/>
      <c r="U155" s="116"/>
      <c r="V155" s="116"/>
      <c r="W155" s="116"/>
      <c r="X155" s="116"/>
      <c r="Y155" s="116"/>
      <c r="Z155" s="116"/>
    </row>
    <row r="156" spans="1:26" ht="15">
      <c r="A156" s="116"/>
      <c r="B156" s="988"/>
      <c r="C156" s="116"/>
      <c r="D156" s="116"/>
      <c r="E156" s="116"/>
      <c r="F156" s="116"/>
      <c r="G156" s="116"/>
      <c r="H156" s="116"/>
      <c r="I156" s="116"/>
      <c r="J156" s="116"/>
      <c r="K156" s="116"/>
      <c r="L156" s="116"/>
      <c r="M156" s="116"/>
      <c r="N156" s="116"/>
      <c r="O156" s="116"/>
      <c r="P156" s="116"/>
      <c r="Q156" s="116"/>
      <c r="R156" s="116"/>
      <c r="S156" s="116"/>
      <c r="T156" s="116"/>
      <c r="U156" s="116"/>
      <c r="V156" s="116"/>
      <c r="W156" s="116"/>
      <c r="X156" s="116"/>
      <c r="Y156" s="116"/>
      <c r="Z156" s="116"/>
    </row>
    <row r="157" spans="1:26" ht="15">
      <c r="A157" s="116"/>
      <c r="B157" s="988"/>
      <c r="C157" s="116"/>
      <c r="D157" s="116"/>
      <c r="E157" s="116"/>
      <c r="F157" s="116"/>
      <c r="G157" s="116"/>
      <c r="H157" s="116"/>
      <c r="I157" s="116"/>
      <c r="J157" s="116"/>
      <c r="K157" s="116"/>
      <c r="L157" s="116"/>
      <c r="M157" s="116"/>
      <c r="N157" s="116"/>
      <c r="O157" s="116"/>
      <c r="P157" s="116"/>
      <c r="Q157" s="116"/>
      <c r="R157" s="116"/>
      <c r="S157" s="116"/>
      <c r="T157" s="116"/>
      <c r="U157" s="116"/>
      <c r="V157" s="116"/>
      <c r="W157" s="116"/>
      <c r="X157" s="116"/>
      <c r="Y157" s="116"/>
      <c r="Z157" s="116"/>
    </row>
    <row r="158" spans="1:26" ht="15">
      <c r="A158" s="116"/>
      <c r="B158" s="988"/>
      <c r="C158" s="116"/>
      <c r="D158" s="116"/>
      <c r="E158" s="116"/>
      <c r="F158" s="116"/>
      <c r="G158" s="116"/>
      <c r="H158" s="116"/>
      <c r="I158" s="116"/>
      <c r="J158" s="116"/>
      <c r="K158" s="116"/>
      <c r="L158" s="116"/>
      <c r="M158" s="116"/>
      <c r="N158" s="116"/>
      <c r="O158" s="116"/>
      <c r="P158" s="116"/>
      <c r="Q158" s="116"/>
      <c r="R158" s="116"/>
      <c r="S158" s="116"/>
      <c r="T158" s="116"/>
      <c r="U158" s="116"/>
      <c r="V158" s="116"/>
      <c r="W158" s="116"/>
      <c r="X158" s="116"/>
      <c r="Y158" s="116"/>
      <c r="Z158" s="116"/>
    </row>
    <row r="159" spans="1:26" ht="15">
      <c r="A159" s="116"/>
      <c r="B159" s="988"/>
      <c r="C159" s="116"/>
      <c r="D159" s="116"/>
      <c r="E159" s="116"/>
      <c r="F159" s="116"/>
      <c r="G159" s="116"/>
      <c r="H159" s="116"/>
      <c r="I159" s="116"/>
      <c r="J159" s="116"/>
      <c r="K159" s="116"/>
      <c r="L159" s="116"/>
      <c r="M159" s="116"/>
      <c r="N159" s="116"/>
      <c r="O159" s="116"/>
      <c r="P159" s="116"/>
      <c r="Q159" s="116"/>
      <c r="R159" s="116"/>
      <c r="S159" s="116"/>
      <c r="T159" s="116"/>
      <c r="U159" s="116"/>
      <c r="V159" s="116"/>
      <c r="W159" s="116"/>
      <c r="X159" s="116"/>
      <c r="Y159" s="116"/>
      <c r="Z159" s="116"/>
    </row>
    <row r="160" spans="1:26" ht="15">
      <c r="A160" s="116"/>
      <c r="B160" s="988"/>
      <c r="C160" s="116"/>
      <c r="D160" s="116"/>
      <c r="E160" s="116"/>
      <c r="F160" s="116"/>
      <c r="G160" s="116"/>
      <c r="H160" s="116"/>
      <c r="I160" s="116"/>
      <c r="J160" s="116"/>
      <c r="K160" s="116"/>
      <c r="L160" s="116"/>
      <c r="M160" s="116"/>
      <c r="N160" s="116"/>
      <c r="O160" s="116"/>
      <c r="P160" s="116"/>
      <c r="Q160" s="116"/>
      <c r="R160" s="116"/>
      <c r="S160" s="116"/>
      <c r="T160" s="116"/>
      <c r="U160" s="116"/>
      <c r="V160" s="116"/>
      <c r="W160" s="116"/>
      <c r="X160" s="116"/>
      <c r="Y160" s="116"/>
      <c r="Z160" s="116"/>
    </row>
    <row r="161" spans="1:26" ht="15">
      <c r="A161" s="116"/>
      <c r="B161" s="988"/>
      <c r="C161" s="116"/>
      <c r="D161" s="116"/>
      <c r="E161" s="116"/>
      <c r="F161" s="116"/>
      <c r="G161" s="116"/>
      <c r="H161" s="116"/>
      <c r="I161" s="116"/>
      <c r="J161" s="116"/>
      <c r="K161" s="116"/>
      <c r="L161" s="116"/>
      <c r="M161" s="116"/>
      <c r="N161" s="116"/>
      <c r="O161" s="116"/>
      <c r="P161" s="116"/>
      <c r="Q161" s="116"/>
      <c r="R161" s="116"/>
      <c r="S161" s="116"/>
      <c r="T161" s="116"/>
      <c r="U161" s="116"/>
      <c r="V161" s="116"/>
      <c r="W161" s="116"/>
      <c r="X161" s="116"/>
      <c r="Y161" s="116"/>
      <c r="Z161" s="116"/>
    </row>
    <row r="162" spans="1:26" ht="15">
      <c r="A162" s="116"/>
      <c r="B162" s="988"/>
      <c r="C162" s="116"/>
      <c r="D162" s="116"/>
      <c r="E162" s="116"/>
      <c r="F162" s="116"/>
      <c r="G162" s="116"/>
      <c r="H162" s="116"/>
      <c r="I162" s="116"/>
      <c r="J162" s="116"/>
      <c r="K162" s="116"/>
      <c r="L162" s="116"/>
      <c r="M162" s="116"/>
      <c r="N162" s="116"/>
      <c r="O162" s="116"/>
      <c r="P162" s="116"/>
      <c r="Q162" s="116"/>
      <c r="R162" s="116"/>
      <c r="S162" s="116"/>
      <c r="T162" s="116"/>
      <c r="U162" s="116"/>
      <c r="V162" s="116"/>
      <c r="W162" s="116"/>
      <c r="X162" s="116"/>
      <c r="Y162" s="116"/>
      <c r="Z162" s="116"/>
    </row>
    <row r="163" spans="1:26" ht="15">
      <c r="A163" s="116"/>
      <c r="B163" s="988"/>
      <c r="C163" s="116"/>
      <c r="D163" s="116"/>
      <c r="E163" s="116"/>
      <c r="F163" s="116"/>
      <c r="G163" s="116"/>
      <c r="H163" s="116"/>
      <c r="I163" s="116"/>
      <c r="J163" s="116"/>
      <c r="K163" s="116"/>
      <c r="L163" s="116"/>
      <c r="M163" s="116"/>
      <c r="N163" s="116"/>
      <c r="O163" s="116"/>
      <c r="P163" s="116"/>
      <c r="Q163" s="116"/>
      <c r="R163" s="116"/>
      <c r="S163" s="116"/>
      <c r="T163" s="116"/>
      <c r="U163" s="116"/>
      <c r="V163" s="116"/>
      <c r="W163" s="116"/>
      <c r="X163" s="116"/>
      <c r="Y163" s="116"/>
      <c r="Z163" s="116"/>
    </row>
    <row r="164" spans="1:26" ht="15">
      <c r="A164" s="116"/>
      <c r="B164" s="988"/>
      <c r="C164" s="116"/>
      <c r="D164" s="116"/>
      <c r="E164" s="116"/>
      <c r="F164" s="116"/>
      <c r="G164" s="116"/>
      <c r="H164" s="116"/>
      <c r="I164" s="116"/>
      <c r="J164" s="116"/>
      <c r="K164" s="116"/>
      <c r="L164" s="116"/>
      <c r="M164" s="116"/>
      <c r="N164" s="116"/>
      <c r="O164" s="116"/>
      <c r="P164" s="116"/>
      <c r="Q164" s="116"/>
      <c r="R164" s="116"/>
      <c r="S164" s="116"/>
      <c r="T164" s="116"/>
      <c r="U164" s="116"/>
      <c r="V164" s="116"/>
      <c r="W164" s="116"/>
      <c r="X164" s="116"/>
      <c r="Y164" s="116"/>
      <c r="Z164" s="116"/>
    </row>
    <row r="165" spans="1:26" ht="15">
      <c r="A165" s="116"/>
      <c r="B165" s="988"/>
      <c r="C165" s="116"/>
      <c r="D165" s="116"/>
      <c r="E165" s="116"/>
      <c r="F165" s="116"/>
      <c r="G165" s="116"/>
      <c r="H165" s="116"/>
      <c r="I165" s="116"/>
      <c r="J165" s="116"/>
      <c r="K165" s="116"/>
      <c r="L165" s="116"/>
      <c r="M165" s="116"/>
      <c r="N165" s="116"/>
      <c r="O165" s="116"/>
      <c r="P165" s="116"/>
      <c r="Q165" s="116"/>
      <c r="R165" s="116"/>
      <c r="S165" s="116"/>
      <c r="T165" s="116"/>
      <c r="U165" s="116"/>
      <c r="V165" s="116"/>
      <c r="W165" s="116"/>
      <c r="X165" s="116"/>
      <c r="Y165" s="116"/>
      <c r="Z165" s="116"/>
    </row>
    <row r="166" spans="1:26" ht="15">
      <c r="A166" s="116"/>
      <c r="B166" s="988"/>
      <c r="C166" s="116"/>
      <c r="D166" s="116"/>
      <c r="E166" s="116"/>
      <c r="F166" s="116"/>
      <c r="G166" s="116"/>
      <c r="H166" s="116"/>
      <c r="I166" s="116"/>
      <c r="J166" s="116"/>
      <c r="K166" s="116"/>
      <c r="L166" s="116"/>
      <c r="M166" s="116"/>
      <c r="N166" s="116"/>
      <c r="O166" s="116"/>
      <c r="P166" s="116"/>
      <c r="Q166" s="116"/>
      <c r="R166" s="116"/>
      <c r="S166" s="116"/>
      <c r="T166" s="116"/>
      <c r="U166" s="116"/>
      <c r="V166" s="116"/>
      <c r="W166" s="116"/>
      <c r="X166" s="116"/>
      <c r="Y166" s="116"/>
      <c r="Z166" s="116"/>
    </row>
    <row r="167" spans="1:26" ht="15">
      <c r="A167" s="116"/>
      <c r="B167" s="988"/>
      <c r="C167" s="116"/>
      <c r="D167" s="116"/>
      <c r="E167" s="116"/>
      <c r="F167" s="116"/>
      <c r="G167" s="116"/>
      <c r="H167" s="116"/>
      <c r="I167" s="116"/>
      <c r="J167" s="116"/>
      <c r="K167" s="116"/>
      <c r="L167" s="116"/>
      <c r="M167" s="116"/>
      <c r="N167" s="116"/>
      <c r="O167" s="116"/>
      <c r="P167" s="116"/>
      <c r="Q167" s="116"/>
      <c r="R167" s="116"/>
      <c r="S167" s="116"/>
      <c r="T167" s="116"/>
      <c r="U167" s="116"/>
      <c r="V167" s="116"/>
      <c r="W167" s="116"/>
      <c r="X167" s="116"/>
      <c r="Y167" s="116"/>
      <c r="Z167" s="116"/>
    </row>
    <row r="168" spans="1:26" ht="15">
      <c r="A168" s="116"/>
      <c r="B168" s="988"/>
      <c r="C168" s="116"/>
      <c r="D168" s="116"/>
      <c r="E168" s="116"/>
      <c r="F168" s="116"/>
      <c r="G168" s="116"/>
      <c r="H168" s="116"/>
      <c r="I168" s="116"/>
      <c r="J168" s="116"/>
      <c r="K168" s="116"/>
      <c r="L168" s="116"/>
      <c r="M168" s="116"/>
      <c r="N168" s="116"/>
      <c r="O168" s="116"/>
      <c r="P168" s="116"/>
      <c r="Q168" s="116"/>
      <c r="R168" s="116"/>
      <c r="S168" s="116"/>
      <c r="T168" s="116"/>
      <c r="U168" s="116"/>
      <c r="V168" s="116"/>
      <c r="W168" s="116"/>
      <c r="X168" s="116"/>
      <c r="Y168" s="116"/>
      <c r="Z168" s="116"/>
    </row>
    <row r="169" spans="1:26" ht="15">
      <c r="A169" s="116"/>
      <c r="B169" s="988"/>
      <c r="C169" s="116"/>
      <c r="D169" s="116"/>
      <c r="E169" s="116"/>
      <c r="F169" s="116"/>
      <c r="G169" s="116"/>
      <c r="H169" s="116"/>
      <c r="I169" s="116"/>
      <c r="J169" s="116"/>
      <c r="K169" s="116"/>
      <c r="L169" s="116"/>
      <c r="M169" s="116"/>
      <c r="N169" s="116"/>
      <c r="O169" s="116"/>
      <c r="P169" s="116"/>
      <c r="Q169" s="116"/>
      <c r="R169" s="116"/>
      <c r="S169" s="116"/>
      <c r="T169" s="116"/>
      <c r="U169" s="116"/>
      <c r="V169" s="116"/>
      <c r="W169" s="116"/>
      <c r="X169" s="116"/>
      <c r="Y169" s="116"/>
      <c r="Z169" s="116"/>
    </row>
    <row r="170" spans="1:26" ht="15">
      <c r="A170" s="116"/>
      <c r="B170" s="988"/>
      <c r="C170" s="116"/>
      <c r="D170" s="116"/>
      <c r="E170" s="116"/>
      <c r="F170" s="116"/>
      <c r="G170" s="116"/>
      <c r="H170" s="116"/>
      <c r="I170" s="116"/>
      <c r="J170" s="116"/>
      <c r="K170" s="116"/>
      <c r="L170" s="116"/>
      <c r="M170" s="116"/>
      <c r="N170" s="116"/>
      <c r="O170" s="116"/>
      <c r="P170" s="116"/>
      <c r="Q170" s="116"/>
      <c r="R170" s="116"/>
      <c r="S170" s="116"/>
      <c r="T170" s="116"/>
      <c r="U170" s="116"/>
      <c r="V170" s="116"/>
      <c r="W170" s="116"/>
      <c r="X170" s="116"/>
      <c r="Y170" s="116"/>
      <c r="Z170" s="116"/>
    </row>
    <row r="171" spans="1:26" ht="15">
      <c r="A171" s="116"/>
      <c r="B171" s="988"/>
      <c r="C171" s="116"/>
      <c r="D171" s="116"/>
      <c r="E171" s="116"/>
      <c r="F171" s="116"/>
      <c r="G171" s="116"/>
      <c r="H171" s="116"/>
      <c r="I171" s="116"/>
      <c r="J171" s="116"/>
      <c r="K171" s="116"/>
      <c r="L171" s="116"/>
      <c r="M171" s="116"/>
      <c r="N171" s="116"/>
      <c r="O171" s="116"/>
      <c r="P171" s="116"/>
      <c r="Q171" s="116"/>
      <c r="R171" s="116"/>
      <c r="S171" s="116"/>
      <c r="T171" s="116"/>
      <c r="U171" s="116"/>
      <c r="V171" s="116"/>
      <c r="W171" s="116"/>
      <c r="X171" s="116"/>
      <c r="Y171" s="116"/>
      <c r="Z171" s="116"/>
    </row>
    <row r="172" spans="1:26" ht="15">
      <c r="A172" s="116"/>
      <c r="B172" s="988"/>
      <c r="C172" s="116"/>
      <c r="D172" s="116"/>
      <c r="E172" s="116"/>
      <c r="F172" s="116"/>
      <c r="G172" s="116"/>
      <c r="H172" s="116"/>
      <c r="I172" s="116"/>
      <c r="J172" s="116"/>
      <c r="K172" s="116"/>
      <c r="L172" s="116"/>
      <c r="M172" s="116"/>
      <c r="N172" s="116"/>
      <c r="O172" s="116"/>
      <c r="P172" s="116"/>
      <c r="Q172" s="116"/>
      <c r="R172" s="116"/>
      <c r="S172" s="116"/>
      <c r="T172" s="116"/>
      <c r="U172" s="116"/>
      <c r="V172" s="116"/>
      <c r="W172" s="116"/>
      <c r="X172" s="116"/>
      <c r="Y172" s="116"/>
      <c r="Z172" s="116"/>
    </row>
    <row r="173" spans="1:26" ht="15">
      <c r="A173" s="116"/>
      <c r="B173" s="988"/>
      <c r="C173" s="116"/>
      <c r="D173" s="116"/>
      <c r="E173" s="116"/>
      <c r="F173" s="116"/>
      <c r="G173" s="116"/>
      <c r="H173" s="116"/>
      <c r="I173" s="116"/>
      <c r="J173" s="116"/>
      <c r="K173" s="116"/>
      <c r="L173" s="116"/>
      <c r="M173" s="116"/>
      <c r="N173" s="116"/>
      <c r="O173" s="116"/>
      <c r="P173" s="116"/>
      <c r="Q173" s="116"/>
      <c r="R173" s="116"/>
      <c r="S173" s="116"/>
      <c r="T173" s="116"/>
      <c r="U173" s="116"/>
      <c r="V173" s="116"/>
      <c r="W173" s="116"/>
      <c r="X173" s="116"/>
      <c r="Y173" s="116"/>
      <c r="Z173" s="116"/>
    </row>
    <row r="174" spans="1:26" ht="15">
      <c r="A174" s="116"/>
      <c r="B174" s="988"/>
      <c r="C174" s="116"/>
      <c r="D174" s="116"/>
      <c r="E174" s="116"/>
      <c r="F174" s="116"/>
      <c r="G174" s="116"/>
      <c r="H174" s="116"/>
      <c r="I174" s="116"/>
      <c r="J174" s="116"/>
      <c r="K174" s="116"/>
      <c r="L174" s="116"/>
      <c r="M174" s="116"/>
      <c r="N174" s="116"/>
      <c r="O174" s="116"/>
      <c r="P174" s="116"/>
      <c r="Q174" s="116"/>
      <c r="R174" s="116"/>
      <c r="S174" s="116"/>
      <c r="T174" s="116"/>
      <c r="U174" s="116"/>
      <c r="V174" s="116"/>
      <c r="W174" s="116"/>
      <c r="X174" s="116"/>
      <c r="Y174" s="116"/>
      <c r="Z174" s="116"/>
    </row>
    <row r="175" spans="1:26" ht="15">
      <c r="A175" s="116"/>
      <c r="B175" s="988"/>
      <c r="C175" s="116"/>
      <c r="D175" s="116"/>
      <c r="E175" s="116"/>
      <c r="F175" s="116"/>
      <c r="G175" s="116"/>
      <c r="H175" s="116"/>
      <c r="I175" s="116"/>
      <c r="J175" s="116"/>
      <c r="K175" s="116"/>
      <c r="L175" s="116"/>
      <c r="M175" s="116"/>
      <c r="N175" s="116"/>
      <c r="O175" s="116"/>
      <c r="P175" s="116"/>
      <c r="Q175" s="116"/>
      <c r="R175" s="116"/>
      <c r="S175" s="116"/>
      <c r="T175" s="116"/>
      <c r="U175" s="116"/>
      <c r="V175" s="116"/>
      <c r="W175" s="116"/>
      <c r="X175" s="116"/>
      <c r="Y175" s="116"/>
      <c r="Z175" s="116"/>
    </row>
    <row r="176" spans="1:26" ht="15">
      <c r="A176" s="116"/>
      <c r="B176" s="988"/>
      <c r="C176" s="116"/>
      <c r="D176" s="116"/>
      <c r="E176" s="116"/>
      <c r="F176" s="116"/>
      <c r="G176" s="116"/>
      <c r="H176" s="116"/>
      <c r="I176" s="116"/>
      <c r="J176" s="116"/>
      <c r="K176" s="116"/>
      <c r="L176" s="116"/>
      <c r="M176" s="116"/>
      <c r="N176" s="116"/>
      <c r="O176" s="116"/>
      <c r="P176" s="116"/>
      <c r="Q176" s="116"/>
      <c r="R176" s="116"/>
      <c r="S176" s="116"/>
      <c r="T176" s="116"/>
      <c r="U176" s="116"/>
      <c r="V176" s="116"/>
      <c r="W176" s="116"/>
      <c r="X176" s="116"/>
      <c r="Y176" s="116"/>
      <c r="Z176" s="116"/>
    </row>
    <row r="177" spans="1:26" ht="15">
      <c r="A177" s="116"/>
      <c r="B177" s="988"/>
      <c r="C177" s="116"/>
      <c r="D177" s="116"/>
      <c r="E177" s="116"/>
      <c r="F177" s="116"/>
      <c r="G177" s="116"/>
      <c r="H177" s="116"/>
      <c r="I177" s="116"/>
      <c r="J177" s="116"/>
      <c r="K177" s="116"/>
      <c r="L177" s="116"/>
      <c r="M177" s="116"/>
      <c r="N177" s="116"/>
      <c r="O177" s="116"/>
      <c r="P177" s="116"/>
      <c r="Q177" s="116"/>
      <c r="R177" s="116"/>
      <c r="S177" s="116"/>
      <c r="T177" s="116"/>
      <c r="U177" s="116"/>
      <c r="V177" s="116"/>
      <c r="W177" s="116"/>
      <c r="X177" s="116"/>
      <c r="Y177" s="116"/>
      <c r="Z177" s="116"/>
    </row>
    <row r="178" spans="1:26" ht="15">
      <c r="A178" s="116"/>
      <c r="B178" s="988"/>
      <c r="C178" s="116"/>
      <c r="D178" s="116"/>
      <c r="E178" s="116"/>
      <c r="F178" s="116"/>
      <c r="G178" s="116"/>
      <c r="H178" s="116"/>
      <c r="I178" s="116"/>
      <c r="J178" s="116"/>
      <c r="K178" s="116"/>
      <c r="L178" s="116"/>
      <c r="M178" s="116"/>
      <c r="N178" s="116"/>
      <c r="O178" s="116"/>
      <c r="P178" s="116"/>
      <c r="Q178" s="116"/>
      <c r="R178" s="116"/>
      <c r="S178" s="116"/>
      <c r="T178" s="116"/>
      <c r="U178" s="116"/>
      <c r="V178" s="116"/>
      <c r="W178" s="116"/>
      <c r="X178" s="116"/>
      <c r="Y178" s="116"/>
      <c r="Z178" s="116"/>
    </row>
    <row r="179" spans="1:26" ht="15">
      <c r="A179" s="116"/>
      <c r="B179" s="988"/>
      <c r="C179" s="116"/>
      <c r="D179" s="116"/>
      <c r="E179" s="116"/>
      <c r="F179" s="116"/>
      <c r="G179" s="116"/>
      <c r="H179" s="116"/>
      <c r="I179" s="116"/>
      <c r="J179" s="116"/>
      <c r="K179" s="116"/>
      <c r="L179" s="116"/>
      <c r="M179" s="116"/>
      <c r="N179" s="116"/>
      <c r="O179" s="116"/>
      <c r="P179" s="116"/>
      <c r="Q179" s="116"/>
      <c r="R179" s="116"/>
      <c r="S179" s="116"/>
      <c r="T179" s="116"/>
      <c r="U179" s="116"/>
      <c r="V179" s="116"/>
      <c r="W179" s="116"/>
      <c r="X179" s="116"/>
      <c r="Y179" s="116"/>
      <c r="Z179" s="116"/>
    </row>
    <row r="180" spans="1:26" ht="15">
      <c r="A180" s="116"/>
      <c r="B180" s="988"/>
      <c r="C180" s="116"/>
      <c r="D180" s="116"/>
      <c r="E180" s="116"/>
      <c r="F180" s="116"/>
      <c r="G180" s="116"/>
      <c r="H180" s="116"/>
      <c r="I180" s="116"/>
      <c r="J180" s="116"/>
      <c r="K180" s="116"/>
      <c r="L180" s="116"/>
      <c r="M180" s="116"/>
      <c r="N180" s="116"/>
      <c r="O180" s="116"/>
      <c r="P180" s="116"/>
      <c r="Q180" s="116"/>
      <c r="R180" s="116"/>
      <c r="S180" s="116"/>
      <c r="T180" s="116"/>
      <c r="U180" s="116"/>
      <c r="V180" s="116"/>
      <c r="W180" s="116"/>
      <c r="X180" s="116"/>
      <c r="Y180" s="116"/>
      <c r="Z180" s="116"/>
    </row>
    <row r="181" spans="1:26" ht="15">
      <c r="A181" s="116"/>
      <c r="B181" s="988"/>
      <c r="C181" s="116"/>
      <c r="D181" s="116"/>
      <c r="E181" s="116"/>
      <c r="F181" s="116"/>
      <c r="G181" s="116"/>
      <c r="H181" s="116"/>
      <c r="I181" s="116"/>
      <c r="J181" s="116"/>
      <c r="K181" s="116"/>
      <c r="L181" s="116"/>
      <c r="M181" s="116"/>
      <c r="N181" s="116"/>
      <c r="O181" s="116"/>
      <c r="P181" s="116"/>
      <c r="Q181" s="116"/>
      <c r="R181" s="116"/>
      <c r="S181" s="116"/>
      <c r="T181" s="116"/>
      <c r="U181" s="116"/>
      <c r="V181" s="116"/>
      <c r="W181" s="116"/>
      <c r="X181" s="116"/>
      <c r="Y181" s="116"/>
      <c r="Z181" s="116"/>
    </row>
    <row r="182" spans="1:26" ht="15">
      <c r="A182" s="116"/>
      <c r="B182" s="988"/>
      <c r="C182" s="116"/>
      <c r="D182" s="116"/>
      <c r="E182" s="116"/>
      <c r="F182" s="116"/>
      <c r="G182" s="116"/>
      <c r="H182" s="116"/>
      <c r="I182" s="116"/>
      <c r="J182" s="116"/>
      <c r="K182" s="116"/>
      <c r="L182" s="116"/>
      <c r="M182" s="116"/>
      <c r="N182" s="116"/>
      <c r="O182" s="116"/>
      <c r="P182" s="116"/>
      <c r="Q182" s="116"/>
      <c r="R182" s="116"/>
      <c r="S182" s="116"/>
      <c r="T182" s="116"/>
      <c r="U182" s="116"/>
      <c r="V182" s="116"/>
      <c r="W182" s="116"/>
      <c r="X182" s="116"/>
      <c r="Y182" s="116"/>
      <c r="Z182" s="116"/>
    </row>
    <row r="183" spans="1:26" ht="15">
      <c r="A183" s="116"/>
      <c r="B183" s="988"/>
      <c r="C183" s="116"/>
      <c r="D183" s="116"/>
      <c r="E183" s="116"/>
      <c r="F183" s="116"/>
      <c r="G183" s="116"/>
      <c r="H183" s="116"/>
      <c r="I183" s="116"/>
      <c r="J183" s="116"/>
      <c r="K183" s="116"/>
      <c r="L183" s="116"/>
      <c r="M183" s="116"/>
      <c r="N183" s="116"/>
      <c r="O183" s="116"/>
      <c r="P183" s="116"/>
      <c r="Q183" s="116"/>
      <c r="R183" s="116"/>
      <c r="S183" s="116"/>
      <c r="T183" s="116"/>
      <c r="U183" s="116"/>
      <c r="V183" s="116"/>
      <c r="W183" s="116"/>
      <c r="X183" s="116"/>
      <c r="Y183" s="116"/>
      <c r="Z183" s="116"/>
    </row>
    <row r="184" spans="1:26" ht="15">
      <c r="A184" s="116"/>
      <c r="B184" s="988"/>
      <c r="C184" s="116"/>
      <c r="D184" s="116"/>
      <c r="E184" s="116"/>
      <c r="F184" s="116"/>
      <c r="G184" s="116"/>
      <c r="H184" s="116"/>
      <c r="I184" s="116"/>
      <c r="J184" s="116"/>
      <c r="K184" s="116"/>
      <c r="L184" s="116"/>
      <c r="M184" s="116"/>
      <c r="N184" s="116"/>
      <c r="O184" s="116"/>
      <c r="P184" s="116"/>
      <c r="Q184" s="116"/>
      <c r="R184" s="116"/>
      <c r="S184" s="116"/>
      <c r="T184" s="116"/>
      <c r="U184" s="116"/>
      <c r="V184" s="116"/>
      <c r="W184" s="116"/>
      <c r="X184" s="116"/>
      <c r="Y184" s="116"/>
      <c r="Z184" s="116"/>
    </row>
    <row r="185" spans="1:26" ht="15">
      <c r="A185" s="116"/>
      <c r="B185" s="988"/>
      <c r="C185" s="116"/>
      <c r="D185" s="116"/>
      <c r="E185" s="116"/>
      <c r="F185" s="116"/>
      <c r="G185" s="116"/>
      <c r="H185" s="116"/>
      <c r="I185" s="116"/>
      <c r="J185" s="116"/>
      <c r="K185" s="116"/>
      <c r="L185" s="116"/>
      <c r="M185" s="116"/>
      <c r="N185" s="116"/>
      <c r="O185" s="116"/>
      <c r="P185" s="116"/>
      <c r="Q185" s="116"/>
      <c r="R185" s="116"/>
      <c r="S185" s="116"/>
      <c r="T185" s="116"/>
      <c r="U185" s="116"/>
      <c r="V185" s="116"/>
      <c r="W185" s="116"/>
      <c r="X185" s="116"/>
      <c r="Y185" s="116"/>
      <c r="Z185" s="116"/>
    </row>
    <row r="186" spans="1:26" ht="15">
      <c r="A186" s="116"/>
      <c r="B186" s="988"/>
      <c r="C186" s="116"/>
      <c r="D186" s="116"/>
      <c r="E186" s="116"/>
      <c r="F186" s="116"/>
      <c r="G186" s="116"/>
      <c r="H186" s="116"/>
      <c r="I186" s="116"/>
      <c r="J186" s="116"/>
      <c r="K186" s="116"/>
      <c r="L186" s="116"/>
      <c r="M186" s="116"/>
      <c r="N186" s="116"/>
      <c r="O186" s="116"/>
      <c r="P186" s="116"/>
      <c r="Q186" s="116"/>
      <c r="R186" s="116"/>
      <c r="S186" s="116"/>
      <c r="T186" s="116"/>
      <c r="U186" s="116"/>
      <c r="V186" s="116"/>
      <c r="W186" s="116"/>
      <c r="X186" s="116"/>
      <c r="Y186" s="116"/>
      <c r="Z186" s="116"/>
    </row>
    <row r="187" spans="1:26" ht="15">
      <c r="A187" s="116"/>
      <c r="B187" s="988"/>
      <c r="C187" s="116"/>
      <c r="D187" s="116"/>
      <c r="E187" s="116"/>
      <c r="F187" s="116"/>
      <c r="G187" s="116"/>
      <c r="H187" s="116"/>
      <c r="I187" s="116"/>
      <c r="J187" s="116"/>
      <c r="K187" s="116"/>
      <c r="L187" s="116"/>
      <c r="M187" s="116"/>
      <c r="N187" s="116"/>
      <c r="O187" s="116"/>
      <c r="P187" s="116"/>
      <c r="Q187" s="116"/>
      <c r="R187" s="116"/>
      <c r="S187" s="116"/>
      <c r="T187" s="116"/>
      <c r="U187" s="116"/>
      <c r="V187" s="116"/>
      <c r="W187" s="116"/>
      <c r="X187" s="116"/>
      <c r="Y187" s="116"/>
      <c r="Z187" s="116"/>
    </row>
    <row r="188" spans="1:26" ht="15">
      <c r="A188" s="116"/>
      <c r="B188" s="988"/>
      <c r="C188" s="116"/>
      <c r="D188" s="116"/>
      <c r="E188" s="116"/>
      <c r="F188" s="116"/>
      <c r="G188" s="116"/>
      <c r="H188" s="116"/>
      <c r="I188" s="116"/>
      <c r="J188" s="116"/>
      <c r="K188" s="116"/>
      <c r="L188" s="116"/>
      <c r="M188" s="116"/>
      <c r="N188" s="116"/>
      <c r="O188" s="116"/>
      <c r="P188" s="116"/>
      <c r="Q188" s="116"/>
      <c r="R188" s="116"/>
      <c r="S188" s="116"/>
      <c r="T188" s="116"/>
      <c r="U188" s="116"/>
      <c r="V188" s="116"/>
      <c r="W188" s="116"/>
      <c r="X188" s="116"/>
      <c r="Y188" s="116"/>
      <c r="Z188" s="116"/>
    </row>
    <row r="189" spans="1:26" ht="15">
      <c r="A189" s="116"/>
      <c r="B189" s="988"/>
      <c r="C189" s="116"/>
      <c r="D189" s="116"/>
      <c r="E189" s="116"/>
      <c r="F189" s="116"/>
      <c r="G189" s="116"/>
      <c r="H189" s="116"/>
      <c r="I189" s="116"/>
      <c r="J189" s="116"/>
      <c r="K189" s="116"/>
      <c r="L189" s="116"/>
      <c r="M189" s="116"/>
      <c r="N189" s="116"/>
      <c r="O189" s="116"/>
      <c r="P189" s="116"/>
      <c r="Q189" s="116"/>
      <c r="R189" s="116"/>
      <c r="S189" s="116"/>
      <c r="T189" s="116"/>
      <c r="U189" s="116"/>
      <c r="V189" s="116"/>
      <c r="W189" s="116"/>
      <c r="X189" s="116"/>
      <c r="Y189" s="116"/>
      <c r="Z189" s="116"/>
    </row>
    <row r="190" spans="1:26" ht="15">
      <c r="A190" s="116"/>
      <c r="B190" s="988"/>
      <c r="C190" s="116"/>
      <c r="D190" s="116"/>
      <c r="E190" s="116"/>
      <c r="F190" s="116"/>
      <c r="G190" s="116"/>
      <c r="H190" s="116"/>
      <c r="I190" s="116"/>
      <c r="J190" s="116"/>
      <c r="K190" s="116"/>
      <c r="L190" s="116"/>
      <c r="M190" s="116"/>
      <c r="N190" s="116"/>
      <c r="O190" s="116"/>
      <c r="P190" s="116"/>
      <c r="Q190" s="116"/>
      <c r="R190" s="116"/>
      <c r="S190" s="116"/>
      <c r="T190" s="116"/>
      <c r="U190" s="116"/>
      <c r="V190" s="116"/>
      <c r="W190" s="116"/>
      <c r="X190" s="116"/>
      <c r="Y190" s="116"/>
      <c r="Z190" s="116"/>
    </row>
    <row r="191" spans="1:26" ht="15">
      <c r="A191" s="116"/>
      <c r="B191" s="988"/>
      <c r="C191" s="116"/>
      <c r="D191" s="116"/>
      <c r="E191" s="116"/>
      <c r="F191" s="116"/>
      <c r="G191" s="116"/>
      <c r="H191" s="116"/>
      <c r="I191" s="116"/>
      <c r="J191" s="116"/>
      <c r="K191" s="116"/>
      <c r="L191" s="116"/>
      <c r="M191" s="116"/>
      <c r="N191" s="116"/>
      <c r="O191" s="116"/>
      <c r="P191" s="116"/>
      <c r="Q191" s="116"/>
      <c r="R191" s="116"/>
      <c r="S191" s="116"/>
      <c r="T191" s="116"/>
      <c r="U191" s="116"/>
      <c r="V191" s="116"/>
      <c r="W191" s="116"/>
      <c r="X191" s="116"/>
      <c r="Y191" s="116"/>
      <c r="Z191" s="116"/>
    </row>
    <row r="192" spans="1:26" ht="15">
      <c r="A192" s="116"/>
      <c r="B192" s="988"/>
      <c r="C192" s="116"/>
      <c r="D192" s="116"/>
      <c r="E192" s="116"/>
      <c r="F192" s="116"/>
      <c r="G192" s="116"/>
      <c r="H192" s="116"/>
      <c r="I192" s="116"/>
      <c r="J192" s="116"/>
      <c r="K192" s="116"/>
      <c r="L192" s="116"/>
      <c r="M192" s="116"/>
      <c r="N192" s="116"/>
      <c r="O192" s="116"/>
      <c r="P192" s="116"/>
      <c r="Q192" s="116"/>
      <c r="R192" s="116"/>
      <c r="S192" s="116"/>
      <c r="T192" s="116"/>
      <c r="U192" s="116"/>
      <c r="V192" s="116"/>
      <c r="W192" s="116"/>
      <c r="X192" s="116"/>
      <c r="Y192" s="116"/>
      <c r="Z192" s="116"/>
    </row>
    <row r="193" spans="1:26" ht="15">
      <c r="A193" s="116"/>
      <c r="B193" s="988"/>
      <c r="C193" s="116"/>
      <c r="D193" s="116"/>
      <c r="E193" s="116"/>
      <c r="F193" s="116"/>
      <c r="G193" s="116"/>
      <c r="H193" s="116"/>
      <c r="I193" s="116"/>
      <c r="J193" s="116"/>
      <c r="K193" s="116"/>
      <c r="L193" s="116"/>
      <c r="M193" s="116"/>
      <c r="N193" s="116"/>
      <c r="O193" s="116"/>
      <c r="P193" s="116"/>
      <c r="Q193" s="116"/>
      <c r="R193" s="116"/>
      <c r="S193" s="116"/>
      <c r="T193" s="116"/>
      <c r="U193" s="116"/>
      <c r="V193" s="116"/>
      <c r="W193" s="116"/>
      <c r="X193" s="116"/>
      <c r="Y193" s="116"/>
      <c r="Z193" s="116"/>
    </row>
    <row r="194" spans="1:26" ht="15">
      <c r="A194" s="116"/>
      <c r="B194" s="988"/>
      <c r="C194" s="116"/>
      <c r="D194" s="116"/>
      <c r="E194" s="116"/>
      <c r="F194" s="116"/>
      <c r="G194" s="116"/>
      <c r="H194" s="116"/>
      <c r="I194" s="116"/>
      <c r="J194" s="116"/>
      <c r="K194" s="116"/>
      <c r="L194" s="116"/>
      <c r="M194" s="116"/>
      <c r="N194" s="116"/>
      <c r="O194" s="116"/>
      <c r="P194" s="116"/>
      <c r="Q194" s="116"/>
      <c r="R194" s="116"/>
      <c r="S194" s="116"/>
      <c r="T194" s="116"/>
      <c r="U194" s="116"/>
      <c r="V194" s="116"/>
      <c r="W194" s="116"/>
      <c r="X194" s="116"/>
      <c r="Y194" s="116"/>
      <c r="Z194" s="116"/>
    </row>
    <row r="195" spans="1:26" ht="15">
      <c r="A195" s="116"/>
      <c r="B195" s="988"/>
      <c r="C195" s="116"/>
      <c r="D195" s="116"/>
      <c r="E195" s="116"/>
      <c r="F195" s="116"/>
      <c r="G195" s="116"/>
      <c r="H195" s="116"/>
      <c r="I195" s="116"/>
      <c r="J195" s="116"/>
      <c r="K195" s="116"/>
      <c r="L195" s="116"/>
      <c r="M195" s="116"/>
      <c r="N195" s="116"/>
      <c r="O195" s="116"/>
      <c r="P195" s="116"/>
      <c r="Q195" s="116"/>
      <c r="R195" s="116"/>
      <c r="S195" s="116"/>
      <c r="T195" s="116"/>
      <c r="U195" s="116"/>
      <c r="V195" s="116"/>
      <c r="W195" s="116"/>
      <c r="X195" s="116"/>
      <c r="Y195" s="116"/>
      <c r="Z195" s="116"/>
    </row>
    <row r="196" spans="1:26" ht="15">
      <c r="A196" s="116"/>
      <c r="B196" s="988"/>
      <c r="C196" s="116"/>
      <c r="D196" s="116"/>
      <c r="E196" s="116"/>
      <c r="F196" s="116"/>
      <c r="G196" s="116"/>
      <c r="H196" s="116"/>
      <c r="I196" s="116"/>
      <c r="J196" s="116"/>
      <c r="K196" s="116"/>
      <c r="L196" s="116"/>
      <c r="M196" s="116"/>
      <c r="N196" s="116"/>
      <c r="O196" s="116"/>
      <c r="P196" s="116"/>
      <c r="Q196" s="116"/>
      <c r="R196" s="116"/>
      <c r="S196" s="116"/>
      <c r="T196" s="116"/>
      <c r="U196" s="116"/>
      <c r="V196" s="116"/>
      <c r="W196" s="116"/>
      <c r="X196" s="116"/>
      <c r="Y196" s="116"/>
      <c r="Z196" s="116"/>
    </row>
    <row r="197" spans="1:26" ht="15">
      <c r="A197" s="116"/>
      <c r="B197" s="988"/>
      <c r="C197" s="116"/>
      <c r="D197" s="116"/>
      <c r="E197" s="116"/>
      <c r="F197" s="116"/>
      <c r="G197" s="116"/>
      <c r="H197" s="116"/>
      <c r="I197" s="116"/>
      <c r="J197" s="116"/>
      <c r="K197" s="116"/>
      <c r="L197" s="116"/>
      <c r="M197" s="116"/>
      <c r="N197" s="116"/>
      <c r="O197" s="116"/>
      <c r="P197" s="116"/>
      <c r="Q197" s="116"/>
      <c r="R197" s="116"/>
      <c r="S197" s="116"/>
      <c r="T197" s="116"/>
      <c r="U197" s="116"/>
      <c r="V197" s="116"/>
      <c r="W197" s="116"/>
      <c r="X197" s="116"/>
      <c r="Y197" s="116"/>
      <c r="Z197" s="116"/>
    </row>
    <row r="198" spans="1:26" ht="15">
      <c r="A198" s="116"/>
      <c r="B198" s="988"/>
      <c r="C198" s="116"/>
      <c r="D198" s="116"/>
      <c r="E198" s="116"/>
      <c r="F198" s="116"/>
      <c r="G198" s="116"/>
      <c r="H198" s="116"/>
      <c r="I198" s="116"/>
      <c r="J198" s="116"/>
      <c r="K198" s="116"/>
      <c r="L198" s="116"/>
      <c r="M198" s="116"/>
      <c r="N198" s="116"/>
      <c r="O198" s="116"/>
      <c r="P198" s="116"/>
      <c r="Q198" s="116"/>
      <c r="R198" s="116"/>
      <c r="S198" s="116"/>
      <c r="T198" s="116"/>
      <c r="U198" s="116"/>
      <c r="V198" s="116"/>
      <c r="W198" s="116"/>
      <c r="X198" s="116"/>
      <c r="Y198" s="116"/>
      <c r="Z198" s="116"/>
    </row>
    <row r="199" spans="1:26" ht="15">
      <c r="A199" s="116"/>
      <c r="B199" s="988"/>
      <c r="C199" s="116"/>
      <c r="D199" s="116"/>
      <c r="E199" s="116"/>
      <c r="F199" s="116"/>
      <c r="G199" s="116"/>
      <c r="H199" s="116"/>
      <c r="I199" s="116"/>
      <c r="J199" s="116"/>
      <c r="K199" s="116"/>
      <c r="L199" s="116"/>
      <c r="M199" s="116"/>
      <c r="N199" s="116"/>
      <c r="O199" s="116"/>
      <c r="P199" s="116"/>
      <c r="Q199" s="116"/>
      <c r="R199" s="116"/>
      <c r="S199" s="116"/>
      <c r="T199" s="116"/>
      <c r="U199" s="116"/>
      <c r="V199" s="116"/>
      <c r="W199" s="116"/>
      <c r="X199" s="116"/>
      <c r="Y199" s="116"/>
      <c r="Z199" s="116"/>
    </row>
    <row r="200" spans="1:26" ht="15">
      <c r="A200" s="116"/>
      <c r="B200" s="988"/>
      <c r="C200" s="116"/>
      <c r="D200" s="116"/>
      <c r="E200" s="116"/>
      <c r="F200" s="116"/>
      <c r="G200" s="116"/>
      <c r="H200" s="116"/>
      <c r="I200" s="116"/>
      <c r="J200" s="116"/>
      <c r="K200" s="116"/>
      <c r="L200" s="116"/>
      <c r="M200" s="116"/>
      <c r="N200" s="116"/>
      <c r="O200" s="116"/>
      <c r="P200" s="116"/>
      <c r="Q200" s="116"/>
      <c r="R200" s="116"/>
      <c r="S200" s="116"/>
      <c r="T200" s="116"/>
      <c r="U200" s="116"/>
      <c r="V200" s="116"/>
      <c r="W200" s="116"/>
      <c r="X200" s="116"/>
      <c r="Y200" s="116"/>
      <c r="Z200" s="116"/>
    </row>
    <row r="201" spans="1:26" ht="15">
      <c r="A201" s="116"/>
      <c r="B201" s="988"/>
      <c r="C201" s="116"/>
      <c r="D201" s="116"/>
      <c r="E201" s="116"/>
      <c r="F201" s="116"/>
      <c r="G201" s="116"/>
      <c r="H201" s="116"/>
      <c r="I201" s="116"/>
      <c r="J201" s="116"/>
      <c r="K201" s="116"/>
      <c r="L201" s="116"/>
      <c r="M201" s="116"/>
      <c r="N201" s="116"/>
      <c r="O201" s="116"/>
      <c r="P201" s="116"/>
      <c r="Q201" s="116"/>
      <c r="R201" s="116"/>
      <c r="S201" s="116"/>
      <c r="T201" s="116"/>
      <c r="U201" s="116"/>
      <c r="V201" s="116"/>
      <c r="W201" s="116"/>
      <c r="X201" s="116"/>
      <c r="Y201" s="116"/>
      <c r="Z201" s="116"/>
    </row>
    <row r="202" spans="1:26" ht="15">
      <c r="A202" s="116"/>
      <c r="B202" s="988"/>
      <c r="C202" s="116"/>
      <c r="D202" s="116"/>
      <c r="E202" s="116"/>
      <c r="F202" s="116"/>
      <c r="G202" s="116"/>
      <c r="H202" s="116"/>
      <c r="I202" s="116"/>
      <c r="J202" s="116"/>
      <c r="K202" s="116"/>
      <c r="L202" s="116"/>
      <c r="M202" s="116"/>
      <c r="N202" s="116"/>
      <c r="O202" s="116"/>
      <c r="P202" s="116"/>
      <c r="Q202" s="116"/>
      <c r="R202" s="116"/>
      <c r="S202" s="116"/>
      <c r="T202" s="116"/>
      <c r="U202" s="116"/>
      <c r="V202" s="116"/>
      <c r="W202" s="116"/>
      <c r="X202" s="116"/>
      <c r="Y202" s="116"/>
      <c r="Z202" s="116"/>
    </row>
    <row r="203" spans="1:26" ht="15">
      <c r="A203" s="116"/>
      <c r="B203" s="988"/>
      <c r="C203" s="116"/>
      <c r="D203" s="116"/>
      <c r="E203" s="116"/>
      <c r="F203" s="116"/>
      <c r="G203" s="116"/>
      <c r="H203" s="116"/>
      <c r="I203" s="116"/>
      <c r="J203" s="116"/>
      <c r="K203" s="116"/>
      <c r="L203" s="116"/>
      <c r="M203" s="116"/>
      <c r="N203" s="116"/>
      <c r="O203" s="116"/>
      <c r="P203" s="116"/>
      <c r="Q203" s="116"/>
      <c r="R203" s="116"/>
      <c r="S203" s="116"/>
      <c r="T203" s="116"/>
      <c r="U203" s="116"/>
      <c r="V203" s="116"/>
      <c r="W203" s="116"/>
      <c r="X203" s="116"/>
      <c r="Y203" s="116"/>
      <c r="Z203" s="116"/>
    </row>
    <row r="204" spans="1:26" ht="15">
      <c r="A204" s="116"/>
      <c r="B204" s="988"/>
      <c r="C204" s="116"/>
      <c r="D204" s="116"/>
      <c r="E204" s="116"/>
      <c r="F204" s="116"/>
      <c r="G204" s="116"/>
      <c r="H204" s="116"/>
      <c r="I204" s="116"/>
      <c r="J204" s="116"/>
      <c r="K204" s="116"/>
      <c r="L204" s="116"/>
      <c r="M204" s="116"/>
      <c r="N204" s="116"/>
      <c r="O204" s="116"/>
      <c r="P204" s="116"/>
      <c r="Q204" s="116"/>
      <c r="R204" s="116"/>
      <c r="S204" s="116"/>
      <c r="T204" s="116"/>
      <c r="U204" s="116"/>
      <c r="V204" s="116"/>
      <c r="W204" s="116"/>
      <c r="X204" s="116"/>
      <c r="Y204" s="116"/>
      <c r="Z204" s="116"/>
    </row>
    <row r="205" spans="1:26" ht="15">
      <c r="A205" s="116"/>
      <c r="B205" s="988"/>
      <c r="C205" s="116"/>
      <c r="D205" s="116"/>
      <c r="E205" s="116"/>
      <c r="F205" s="116"/>
      <c r="G205" s="116"/>
      <c r="H205" s="116"/>
      <c r="I205" s="116"/>
      <c r="J205" s="116"/>
      <c r="K205" s="116"/>
      <c r="L205" s="116"/>
      <c r="M205" s="116"/>
      <c r="N205" s="116"/>
      <c r="O205" s="116"/>
      <c r="P205" s="116"/>
      <c r="Q205" s="116"/>
      <c r="R205" s="116"/>
      <c r="S205" s="116"/>
      <c r="T205" s="116"/>
      <c r="U205" s="116"/>
      <c r="V205" s="116"/>
      <c r="W205" s="116"/>
      <c r="X205" s="116"/>
      <c r="Y205" s="116"/>
      <c r="Z205" s="116"/>
    </row>
    <row r="206" spans="1:26" ht="15">
      <c r="A206" s="116"/>
      <c r="B206" s="988"/>
      <c r="C206" s="116"/>
      <c r="D206" s="116"/>
      <c r="E206" s="116"/>
      <c r="F206" s="116"/>
      <c r="G206" s="116"/>
      <c r="H206" s="116"/>
      <c r="I206" s="116"/>
      <c r="J206" s="116"/>
      <c r="K206" s="116"/>
      <c r="L206" s="116"/>
      <c r="M206" s="116"/>
      <c r="N206" s="116"/>
      <c r="O206" s="116"/>
      <c r="P206" s="116"/>
      <c r="Q206" s="116"/>
      <c r="R206" s="116"/>
      <c r="S206" s="116"/>
      <c r="T206" s="116"/>
      <c r="U206" s="116"/>
      <c r="V206" s="116"/>
      <c r="W206" s="116"/>
      <c r="X206" s="116"/>
      <c r="Y206" s="116"/>
      <c r="Z206" s="116"/>
    </row>
    <row r="207" spans="1:26" ht="15">
      <c r="A207" s="116"/>
      <c r="B207" s="988"/>
      <c r="C207" s="116"/>
      <c r="D207" s="116"/>
      <c r="E207" s="116"/>
      <c r="F207" s="116"/>
      <c r="G207" s="116"/>
      <c r="H207" s="116"/>
      <c r="I207" s="116"/>
      <c r="J207" s="116"/>
      <c r="K207" s="116"/>
      <c r="L207" s="116"/>
      <c r="M207" s="116"/>
      <c r="N207" s="116"/>
      <c r="O207" s="116"/>
      <c r="P207" s="116"/>
      <c r="Q207" s="116"/>
      <c r="R207" s="116"/>
      <c r="S207" s="116"/>
      <c r="T207" s="116"/>
      <c r="U207" s="116"/>
      <c r="V207" s="116"/>
      <c r="W207" s="116"/>
      <c r="X207" s="116"/>
      <c r="Y207" s="116"/>
      <c r="Z207" s="116"/>
    </row>
    <row r="208" spans="1:26" ht="15">
      <c r="A208" s="116"/>
      <c r="B208" s="988"/>
      <c r="C208" s="116"/>
      <c r="D208" s="116"/>
      <c r="E208" s="116"/>
      <c r="F208" s="116"/>
      <c r="G208" s="116"/>
      <c r="H208" s="116"/>
      <c r="I208" s="116"/>
      <c r="J208" s="116"/>
      <c r="K208" s="116"/>
      <c r="L208" s="116"/>
      <c r="M208" s="116"/>
      <c r="N208" s="116"/>
      <c r="O208" s="116"/>
      <c r="P208" s="116"/>
      <c r="Q208" s="116"/>
      <c r="R208" s="116"/>
      <c r="S208" s="116"/>
      <c r="T208" s="116"/>
      <c r="U208" s="116"/>
      <c r="V208" s="116"/>
      <c r="W208" s="116"/>
      <c r="X208" s="116"/>
      <c r="Y208" s="116"/>
      <c r="Z208" s="116"/>
    </row>
    <row r="209" spans="1:26" ht="15">
      <c r="A209" s="116"/>
      <c r="B209" s="988"/>
      <c r="C209" s="116"/>
      <c r="D209" s="116"/>
      <c r="E209" s="116"/>
      <c r="F209" s="116"/>
      <c r="G209" s="116"/>
      <c r="H209" s="116"/>
      <c r="I209" s="116"/>
      <c r="J209" s="116"/>
      <c r="K209" s="116"/>
      <c r="L209" s="116"/>
      <c r="M209" s="116"/>
      <c r="N209" s="116"/>
      <c r="O209" s="116"/>
      <c r="P209" s="116"/>
      <c r="Q209" s="116"/>
      <c r="R209" s="116"/>
      <c r="S209" s="116"/>
      <c r="T209" s="116"/>
      <c r="U209" s="116"/>
      <c r="V209" s="116"/>
      <c r="W209" s="116"/>
      <c r="X209" s="116"/>
      <c r="Y209" s="116"/>
      <c r="Z209" s="116"/>
    </row>
    <row r="210" spans="1:26" ht="15">
      <c r="A210" s="116"/>
      <c r="B210" s="988"/>
      <c r="C210" s="116"/>
      <c r="D210" s="116"/>
      <c r="E210" s="116"/>
      <c r="F210" s="116"/>
      <c r="G210" s="116"/>
      <c r="H210" s="116"/>
      <c r="I210" s="116"/>
      <c r="J210" s="116"/>
      <c r="K210" s="116"/>
      <c r="L210" s="116"/>
      <c r="M210" s="116"/>
      <c r="N210" s="116"/>
      <c r="O210" s="116"/>
      <c r="P210" s="116"/>
      <c r="Q210" s="116"/>
      <c r="R210" s="116"/>
      <c r="S210" s="116"/>
      <c r="T210" s="116"/>
      <c r="U210" s="116"/>
      <c r="V210" s="116"/>
      <c r="W210" s="116"/>
      <c r="X210" s="116"/>
      <c r="Y210" s="116"/>
      <c r="Z210" s="116"/>
    </row>
    <row r="211" spans="1:26" ht="15">
      <c r="A211" s="116"/>
      <c r="B211" s="988"/>
      <c r="C211" s="116"/>
      <c r="D211" s="116"/>
      <c r="E211" s="116"/>
      <c r="F211" s="116"/>
      <c r="G211" s="116"/>
      <c r="H211" s="116"/>
      <c r="I211" s="116"/>
      <c r="J211" s="116"/>
      <c r="K211" s="116"/>
      <c r="L211" s="116"/>
      <c r="M211" s="116"/>
      <c r="N211" s="116"/>
      <c r="O211" s="116"/>
      <c r="P211" s="116"/>
      <c r="Q211" s="116"/>
      <c r="R211" s="116"/>
      <c r="S211" s="116"/>
      <c r="T211" s="116"/>
      <c r="U211" s="116"/>
      <c r="V211" s="116"/>
      <c r="W211" s="116"/>
      <c r="X211" s="116"/>
      <c r="Y211" s="116"/>
      <c r="Z211" s="116"/>
    </row>
    <row r="212" spans="1:26" ht="15">
      <c r="A212" s="116"/>
      <c r="B212" s="988"/>
      <c r="C212" s="116"/>
      <c r="D212" s="116"/>
      <c r="E212" s="116"/>
      <c r="F212" s="116"/>
      <c r="G212" s="116"/>
      <c r="H212" s="116"/>
      <c r="I212" s="116"/>
      <c r="J212" s="116"/>
      <c r="K212" s="116"/>
      <c r="L212" s="116"/>
      <c r="M212" s="116"/>
      <c r="N212" s="116"/>
      <c r="O212" s="116"/>
      <c r="P212" s="116"/>
      <c r="Q212" s="116"/>
      <c r="R212" s="116"/>
      <c r="S212" s="116"/>
      <c r="T212" s="116"/>
      <c r="U212" s="116"/>
      <c r="V212" s="116"/>
      <c r="W212" s="116"/>
      <c r="X212" s="116"/>
      <c r="Y212" s="116"/>
      <c r="Z212" s="116"/>
    </row>
    <row r="213" spans="1:26" ht="15">
      <c r="A213" s="116"/>
      <c r="B213" s="988"/>
      <c r="C213" s="116"/>
      <c r="D213" s="116"/>
      <c r="E213" s="116"/>
      <c r="F213" s="116"/>
      <c r="G213" s="116"/>
      <c r="H213" s="116"/>
      <c r="I213" s="116"/>
      <c r="J213" s="116"/>
      <c r="K213" s="116"/>
      <c r="L213" s="116"/>
      <c r="M213" s="116"/>
      <c r="N213" s="116"/>
      <c r="O213" s="116"/>
      <c r="P213" s="116"/>
      <c r="Q213" s="116"/>
      <c r="R213" s="116"/>
      <c r="S213" s="116"/>
      <c r="T213" s="116"/>
      <c r="U213" s="116"/>
      <c r="V213" s="116"/>
      <c r="W213" s="116"/>
      <c r="X213" s="116"/>
      <c r="Y213" s="116"/>
      <c r="Z213" s="116"/>
    </row>
    <row r="214" spans="1:26" ht="15">
      <c r="A214" s="116"/>
      <c r="B214" s="988"/>
      <c r="C214" s="116"/>
      <c r="D214" s="116"/>
      <c r="E214" s="116"/>
      <c r="F214" s="116"/>
      <c r="G214" s="116"/>
      <c r="H214" s="116"/>
      <c r="I214" s="116"/>
      <c r="J214" s="116"/>
      <c r="K214" s="116"/>
      <c r="L214" s="116"/>
      <c r="M214" s="116"/>
      <c r="N214" s="116"/>
      <c r="O214" s="116"/>
      <c r="P214" s="116"/>
      <c r="Q214" s="116"/>
      <c r="R214" s="116"/>
      <c r="S214" s="116"/>
      <c r="T214" s="116"/>
      <c r="U214" s="116"/>
      <c r="V214" s="116"/>
      <c r="W214" s="116"/>
      <c r="X214" s="116"/>
      <c r="Y214" s="116"/>
      <c r="Z214" s="116"/>
    </row>
    <row r="215" spans="1:26" ht="15">
      <c r="A215" s="116"/>
      <c r="B215" s="988"/>
      <c r="C215" s="116"/>
      <c r="D215" s="116"/>
      <c r="E215" s="116"/>
      <c r="F215" s="116"/>
      <c r="G215" s="116"/>
      <c r="H215" s="116"/>
      <c r="I215" s="116"/>
      <c r="J215" s="116"/>
      <c r="K215" s="116"/>
      <c r="L215" s="116"/>
      <c r="M215" s="116"/>
      <c r="N215" s="116"/>
      <c r="O215" s="116"/>
      <c r="P215" s="116"/>
      <c r="Q215" s="116"/>
      <c r="R215" s="116"/>
      <c r="S215" s="116"/>
      <c r="T215" s="116"/>
      <c r="U215" s="116"/>
      <c r="V215" s="116"/>
      <c r="W215" s="116"/>
      <c r="X215" s="116"/>
      <c r="Y215" s="116"/>
      <c r="Z215" s="116"/>
    </row>
    <row r="216" spans="1:26" ht="15">
      <c r="A216" s="116"/>
      <c r="B216" s="988"/>
      <c r="C216" s="116"/>
      <c r="D216" s="116"/>
      <c r="E216" s="116"/>
      <c r="F216" s="116"/>
      <c r="G216" s="116"/>
      <c r="H216" s="116"/>
      <c r="I216" s="116"/>
      <c r="J216" s="116"/>
      <c r="K216" s="116"/>
      <c r="L216" s="116"/>
      <c r="M216" s="116"/>
      <c r="N216" s="116"/>
      <c r="O216" s="116"/>
      <c r="P216" s="116"/>
      <c r="Q216" s="116"/>
      <c r="R216" s="116"/>
      <c r="S216" s="116"/>
      <c r="T216" s="116"/>
      <c r="U216" s="116"/>
      <c r="V216" s="116"/>
      <c r="W216" s="116"/>
      <c r="X216" s="116"/>
      <c r="Y216" s="116"/>
      <c r="Z216" s="116"/>
    </row>
    <row r="217" spans="1:26" ht="15">
      <c r="A217" s="116"/>
      <c r="B217" s="988"/>
      <c r="C217" s="116"/>
      <c r="D217" s="116"/>
      <c r="E217" s="116"/>
      <c r="F217" s="116"/>
      <c r="G217" s="116"/>
      <c r="H217" s="116"/>
      <c r="I217" s="116"/>
      <c r="J217" s="116"/>
      <c r="K217" s="116"/>
      <c r="L217" s="116"/>
      <c r="M217" s="116"/>
      <c r="N217" s="116"/>
      <c r="O217" s="116"/>
      <c r="P217" s="116"/>
      <c r="Q217" s="116"/>
      <c r="R217" s="116"/>
      <c r="S217" s="116"/>
      <c r="T217" s="116"/>
      <c r="U217" s="116"/>
      <c r="V217" s="116"/>
      <c r="W217" s="116"/>
      <c r="X217" s="116"/>
      <c r="Y217" s="116"/>
      <c r="Z217" s="116"/>
    </row>
    <row r="218" spans="1:26" ht="15">
      <c r="A218" s="116"/>
      <c r="B218" s="988"/>
      <c r="C218" s="116"/>
      <c r="D218" s="116"/>
      <c r="E218" s="116"/>
      <c r="F218" s="116"/>
      <c r="G218" s="116"/>
      <c r="H218" s="116"/>
      <c r="I218" s="116"/>
      <c r="J218" s="116"/>
      <c r="K218" s="116"/>
      <c r="L218" s="116"/>
      <c r="M218" s="116"/>
      <c r="N218" s="116"/>
      <c r="O218" s="116"/>
      <c r="P218" s="116"/>
      <c r="Q218" s="116"/>
      <c r="R218" s="116"/>
      <c r="S218" s="116"/>
      <c r="T218" s="116"/>
      <c r="U218" s="116"/>
      <c r="V218" s="116"/>
      <c r="W218" s="116"/>
      <c r="X218" s="116"/>
      <c r="Y218" s="116"/>
      <c r="Z218" s="116"/>
    </row>
    <row r="219" spans="1:26" ht="15">
      <c r="A219" s="116"/>
      <c r="B219" s="988"/>
      <c r="C219" s="116"/>
      <c r="D219" s="116"/>
      <c r="E219" s="116"/>
      <c r="F219" s="116"/>
      <c r="G219" s="116"/>
      <c r="H219" s="116"/>
      <c r="I219" s="116"/>
      <c r="J219" s="116"/>
      <c r="K219" s="116"/>
      <c r="L219" s="116"/>
      <c r="M219" s="116"/>
      <c r="N219" s="116"/>
      <c r="O219" s="116"/>
      <c r="P219" s="116"/>
      <c r="Q219" s="116"/>
      <c r="R219" s="116"/>
      <c r="S219" s="116"/>
      <c r="T219" s="116"/>
      <c r="U219" s="116"/>
      <c r="V219" s="116"/>
      <c r="W219" s="116"/>
      <c r="X219" s="116"/>
      <c r="Y219" s="116"/>
      <c r="Z219" s="116"/>
    </row>
    <row r="220" spans="1:26" ht="15">
      <c r="A220" s="116"/>
      <c r="B220" s="988"/>
      <c r="C220" s="116"/>
      <c r="D220" s="116"/>
      <c r="E220" s="116"/>
      <c r="F220" s="116"/>
      <c r="G220" s="116"/>
      <c r="H220" s="116"/>
      <c r="I220" s="116"/>
      <c r="J220" s="116"/>
      <c r="K220" s="116"/>
      <c r="L220" s="116"/>
      <c r="M220" s="116"/>
      <c r="N220" s="116"/>
      <c r="O220" s="116"/>
      <c r="P220" s="116"/>
      <c r="Q220" s="116"/>
      <c r="R220" s="116"/>
      <c r="S220" s="116"/>
      <c r="T220" s="116"/>
      <c r="U220" s="116"/>
      <c r="V220" s="116"/>
      <c r="W220" s="116"/>
      <c r="X220" s="116"/>
      <c r="Y220" s="116"/>
      <c r="Z220" s="116"/>
    </row>
    <row r="221" spans="1:26" ht="15">
      <c r="A221" s="116"/>
      <c r="B221" s="988"/>
      <c r="C221" s="116"/>
      <c r="D221" s="116"/>
      <c r="E221" s="116"/>
      <c r="F221" s="116"/>
      <c r="G221" s="116"/>
      <c r="H221" s="116"/>
      <c r="I221" s="116"/>
      <c r="J221" s="116"/>
      <c r="K221" s="116"/>
      <c r="L221" s="116"/>
      <c r="M221" s="116"/>
      <c r="N221" s="116"/>
      <c r="O221" s="116"/>
      <c r="P221" s="116"/>
      <c r="Q221" s="116"/>
      <c r="R221" s="116"/>
      <c r="S221" s="116"/>
      <c r="T221" s="116"/>
      <c r="U221" s="116"/>
      <c r="V221" s="116"/>
      <c r="W221" s="116"/>
      <c r="X221" s="116"/>
      <c r="Y221" s="116"/>
      <c r="Z221" s="116"/>
    </row>
    <row r="222" spans="1:26" ht="15">
      <c r="A222" s="116"/>
      <c r="B222" s="988"/>
      <c r="C222" s="116"/>
      <c r="D222" s="116"/>
      <c r="E222" s="116"/>
      <c r="F222" s="116"/>
      <c r="G222" s="116"/>
      <c r="H222" s="116"/>
      <c r="I222" s="116"/>
      <c r="J222" s="116"/>
      <c r="K222" s="116"/>
      <c r="L222" s="116"/>
      <c r="M222" s="116"/>
      <c r="N222" s="116"/>
      <c r="O222" s="116"/>
      <c r="P222" s="116"/>
      <c r="Q222" s="116"/>
      <c r="R222" s="116"/>
      <c r="S222" s="116"/>
      <c r="T222" s="116"/>
      <c r="U222" s="116"/>
      <c r="V222" s="116"/>
      <c r="W222" s="116"/>
      <c r="X222" s="116"/>
      <c r="Y222" s="116"/>
      <c r="Z222" s="116"/>
    </row>
    <row r="223" spans="1:26" ht="15">
      <c r="A223" s="116"/>
      <c r="B223" s="988"/>
      <c r="C223" s="116"/>
      <c r="D223" s="116"/>
      <c r="E223" s="116"/>
      <c r="F223" s="116"/>
      <c r="G223" s="116"/>
      <c r="H223" s="116"/>
      <c r="I223" s="116"/>
      <c r="J223" s="116"/>
      <c r="K223" s="116"/>
      <c r="L223" s="116"/>
      <c r="M223" s="116"/>
      <c r="N223" s="116"/>
      <c r="O223" s="116"/>
      <c r="P223" s="116"/>
      <c r="Q223" s="116"/>
      <c r="R223" s="116"/>
      <c r="S223" s="116"/>
      <c r="T223" s="116"/>
      <c r="U223" s="116"/>
      <c r="V223" s="116"/>
      <c r="W223" s="116"/>
      <c r="X223" s="116"/>
      <c r="Y223" s="116"/>
      <c r="Z223" s="116"/>
    </row>
    <row r="224" spans="1:26" ht="15">
      <c r="A224" s="116"/>
      <c r="B224" s="988"/>
      <c r="C224" s="116"/>
      <c r="D224" s="116"/>
      <c r="E224" s="116"/>
      <c r="F224" s="116"/>
      <c r="G224" s="116"/>
      <c r="H224" s="116"/>
      <c r="I224" s="116"/>
      <c r="J224" s="116"/>
      <c r="K224" s="116"/>
      <c r="L224" s="116"/>
      <c r="M224" s="116"/>
      <c r="N224" s="116"/>
      <c r="O224" s="116"/>
      <c r="P224" s="116"/>
      <c r="Q224" s="116"/>
      <c r="R224" s="116"/>
      <c r="S224" s="116"/>
      <c r="T224" s="116"/>
      <c r="U224" s="116"/>
      <c r="V224" s="116"/>
      <c r="W224" s="116"/>
      <c r="X224" s="116"/>
      <c r="Y224" s="116"/>
      <c r="Z224" s="116"/>
    </row>
    <row r="225" spans="1:26" ht="15">
      <c r="A225" s="116"/>
      <c r="B225" s="988"/>
      <c r="C225" s="116"/>
      <c r="D225" s="116"/>
      <c r="E225" s="116"/>
      <c r="F225" s="116"/>
      <c r="G225" s="116"/>
      <c r="H225" s="116"/>
      <c r="I225" s="116"/>
      <c r="J225" s="116"/>
      <c r="K225" s="116"/>
      <c r="L225" s="116"/>
      <c r="M225" s="116"/>
      <c r="N225" s="116"/>
      <c r="O225" s="116"/>
      <c r="P225" s="116"/>
      <c r="Q225" s="116"/>
      <c r="R225" s="116"/>
      <c r="S225" s="116"/>
      <c r="T225" s="116"/>
      <c r="U225" s="116"/>
      <c r="V225" s="116"/>
      <c r="W225" s="116"/>
      <c r="X225" s="116"/>
      <c r="Y225" s="116"/>
      <c r="Z225" s="116"/>
    </row>
    <row r="226" spans="1:26" ht="15">
      <c r="A226" s="116"/>
      <c r="B226" s="988"/>
      <c r="C226" s="116"/>
      <c r="D226" s="116"/>
      <c r="E226" s="116"/>
      <c r="F226" s="116"/>
      <c r="G226" s="116"/>
      <c r="H226" s="116"/>
      <c r="I226" s="116"/>
      <c r="J226" s="116"/>
      <c r="K226" s="116"/>
      <c r="L226" s="116"/>
      <c r="M226" s="116"/>
      <c r="N226" s="116"/>
      <c r="O226" s="116"/>
      <c r="P226" s="116"/>
      <c r="Q226" s="116"/>
      <c r="R226" s="116"/>
      <c r="S226" s="116"/>
      <c r="T226" s="116"/>
      <c r="U226" s="116"/>
      <c r="V226" s="116"/>
      <c r="W226" s="116"/>
      <c r="X226" s="116"/>
      <c r="Y226" s="116"/>
      <c r="Z226" s="116"/>
    </row>
    <row r="227" spans="1:26" ht="15">
      <c r="A227" s="116"/>
      <c r="B227" s="988"/>
      <c r="C227" s="116"/>
      <c r="D227" s="116"/>
      <c r="E227" s="116"/>
      <c r="F227" s="116"/>
      <c r="G227" s="116"/>
      <c r="H227" s="116"/>
      <c r="I227" s="116"/>
      <c r="J227" s="116"/>
      <c r="K227" s="116"/>
      <c r="L227" s="116"/>
      <c r="M227" s="116"/>
      <c r="N227" s="116"/>
      <c r="O227" s="116"/>
      <c r="P227" s="116"/>
      <c r="Q227" s="116"/>
      <c r="R227" s="116"/>
      <c r="S227" s="116"/>
      <c r="T227" s="116"/>
      <c r="U227" s="116"/>
      <c r="V227" s="116"/>
      <c r="W227" s="116"/>
      <c r="X227" s="116"/>
      <c r="Y227" s="116"/>
      <c r="Z227" s="116"/>
    </row>
    <row r="228" spans="1:26" ht="15">
      <c r="A228" s="116"/>
      <c r="B228" s="988"/>
      <c r="C228" s="116"/>
      <c r="D228" s="116"/>
      <c r="E228" s="116"/>
      <c r="F228" s="116"/>
      <c r="G228" s="116"/>
      <c r="H228" s="116"/>
      <c r="I228" s="116"/>
      <c r="J228" s="116"/>
      <c r="K228" s="116"/>
      <c r="L228" s="116"/>
      <c r="M228" s="116"/>
      <c r="N228" s="116"/>
      <c r="O228" s="116"/>
      <c r="P228" s="116"/>
      <c r="Q228" s="116"/>
      <c r="R228" s="116"/>
      <c r="S228" s="116"/>
      <c r="T228" s="116"/>
      <c r="U228" s="116"/>
      <c r="V228" s="116"/>
      <c r="W228" s="116"/>
      <c r="X228" s="116"/>
      <c r="Y228" s="116"/>
      <c r="Z228" s="116"/>
    </row>
    <row r="229" spans="1:26" ht="15">
      <c r="A229" s="116"/>
      <c r="B229" s="988"/>
      <c r="C229" s="116"/>
      <c r="D229" s="116"/>
      <c r="E229" s="116"/>
      <c r="F229" s="116"/>
      <c r="G229" s="116"/>
      <c r="H229" s="116"/>
      <c r="I229" s="116"/>
      <c r="J229" s="116"/>
      <c r="K229" s="116"/>
      <c r="L229" s="116"/>
      <c r="M229" s="116"/>
      <c r="N229" s="116"/>
      <c r="O229" s="116"/>
      <c r="P229" s="116"/>
      <c r="Q229" s="116"/>
      <c r="R229" s="116"/>
      <c r="S229" s="116"/>
      <c r="T229" s="116"/>
      <c r="U229" s="116"/>
      <c r="V229" s="116"/>
      <c r="W229" s="116"/>
      <c r="X229" s="116"/>
      <c r="Y229" s="116"/>
      <c r="Z229" s="116"/>
    </row>
    <row r="230" spans="1:26" ht="15">
      <c r="A230" s="116"/>
      <c r="B230" s="988"/>
      <c r="C230" s="116"/>
      <c r="D230" s="116"/>
      <c r="E230" s="116"/>
      <c r="F230" s="116"/>
      <c r="G230" s="116"/>
      <c r="H230" s="116"/>
      <c r="I230" s="116"/>
      <c r="J230" s="116"/>
      <c r="K230" s="116"/>
      <c r="L230" s="116"/>
      <c r="M230" s="116"/>
      <c r="N230" s="116"/>
      <c r="O230" s="116"/>
      <c r="P230" s="116"/>
      <c r="Q230" s="116"/>
      <c r="R230" s="116"/>
      <c r="S230" s="116"/>
      <c r="T230" s="116"/>
      <c r="U230" s="116"/>
      <c r="V230" s="116"/>
      <c r="W230" s="116"/>
      <c r="X230" s="116"/>
      <c r="Y230" s="116"/>
      <c r="Z230" s="116"/>
    </row>
    <row r="231" spans="1:26" ht="15">
      <c r="A231" s="116"/>
      <c r="B231" s="988"/>
      <c r="C231" s="116"/>
      <c r="D231" s="116"/>
      <c r="E231" s="116"/>
      <c r="F231" s="116"/>
      <c r="G231" s="116"/>
      <c r="H231" s="116"/>
      <c r="I231" s="116"/>
      <c r="J231" s="116"/>
      <c r="K231" s="116"/>
      <c r="L231" s="116"/>
      <c r="M231" s="116"/>
      <c r="N231" s="116"/>
      <c r="O231" s="116"/>
      <c r="P231" s="116"/>
      <c r="Q231" s="116"/>
      <c r="R231" s="116"/>
      <c r="S231" s="116"/>
      <c r="T231" s="116"/>
      <c r="U231" s="116"/>
      <c r="V231" s="116"/>
      <c r="W231" s="116"/>
      <c r="X231" s="116"/>
      <c r="Y231" s="116"/>
      <c r="Z231" s="116"/>
    </row>
    <row r="232" spans="1:26" ht="15">
      <c r="A232" s="116"/>
      <c r="B232" s="988"/>
      <c r="C232" s="116"/>
      <c r="D232" s="116"/>
      <c r="E232" s="116"/>
      <c r="F232" s="116"/>
      <c r="G232" s="116"/>
      <c r="H232" s="116"/>
      <c r="I232" s="116"/>
      <c r="J232" s="116"/>
      <c r="K232" s="116"/>
      <c r="L232" s="116"/>
      <c r="M232" s="116"/>
      <c r="N232" s="116"/>
      <c r="O232" s="116"/>
      <c r="P232" s="116"/>
      <c r="Q232" s="116"/>
      <c r="R232" s="116"/>
      <c r="S232" s="116"/>
      <c r="T232" s="116"/>
      <c r="U232" s="116"/>
      <c r="V232" s="116"/>
      <c r="W232" s="116"/>
      <c r="X232" s="116"/>
      <c r="Y232" s="116"/>
      <c r="Z232" s="116"/>
    </row>
    <row r="233" spans="1:26" ht="15">
      <c r="A233" s="116"/>
      <c r="B233" s="988"/>
      <c r="C233" s="116"/>
      <c r="D233" s="116"/>
      <c r="E233" s="116"/>
      <c r="F233" s="116"/>
      <c r="G233" s="116"/>
      <c r="H233" s="116"/>
      <c r="I233" s="116"/>
      <c r="J233" s="116"/>
      <c r="K233" s="116"/>
      <c r="L233" s="116"/>
      <c r="M233" s="116"/>
      <c r="N233" s="116"/>
      <c r="O233" s="116"/>
      <c r="P233" s="116"/>
      <c r="Q233" s="116"/>
      <c r="R233" s="116"/>
      <c r="S233" s="116"/>
      <c r="T233" s="116"/>
      <c r="U233" s="116"/>
      <c r="V233" s="116"/>
      <c r="W233" s="116"/>
      <c r="X233" s="116"/>
      <c r="Y233" s="116"/>
      <c r="Z233" s="116"/>
    </row>
    <row r="234" spans="1:26" ht="15">
      <c r="A234" s="116"/>
      <c r="B234" s="988"/>
      <c r="C234" s="116"/>
      <c r="D234" s="116"/>
      <c r="E234" s="116"/>
      <c r="F234" s="116"/>
      <c r="G234" s="116"/>
      <c r="H234" s="116"/>
      <c r="I234" s="116"/>
      <c r="J234" s="116"/>
      <c r="K234" s="116"/>
      <c r="L234" s="116"/>
      <c r="M234" s="116"/>
      <c r="N234" s="116"/>
      <c r="O234" s="116"/>
      <c r="P234" s="116"/>
      <c r="Q234" s="116"/>
      <c r="R234" s="116"/>
      <c r="S234" s="116"/>
      <c r="T234" s="116"/>
      <c r="U234" s="116"/>
      <c r="V234" s="116"/>
      <c r="W234" s="116"/>
      <c r="X234" s="116"/>
      <c r="Y234" s="116"/>
      <c r="Z234" s="116"/>
    </row>
    <row r="235" spans="1:26" ht="15">
      <c r="A235" s="116"/>
      <c r="B235" s="988"/>
      <c r="C235" s="116"/>
      <c r="D235" s="116"/>
      <c r="E235" s="116"/>
      <c r="F235" s="116"/>
      <c r="G235" s="116"/>
      <c r="H235" s="116"/>
      <c r="I235" s="116"/>
      <c r="J235" s="116"/>
      <c r="K235" s="116"/>
      <c r="L235" s="116"/>
      <c r="M235" s="116"/>
      <c r="N235" s="116"/>
      <c r="O235" s="116"/>
      <c r="P235" s="116"/>
      <c r="Q235" s="116"/>
      <c r="R235" s="116"/>
      <c r="S235" s="116"/>
      <c r="T235" s="116"/>
      <c r="U235" s="116"/>
      <c r="V235" s="116"/>
      <c r="W235" s="116"/>
      <c r="X235" s="116"/>
      <c r="Y235" s="116"/>
      <c r="Z235" s="116"/>
    </row>
    <row r="236" spans="1:26" ht="15">
      <c r="A236" s="116"/>
      <c r="B236" s="988"/>
      <c r="C236" s="116"/>
      <c r="D236" s="116"/>
      <c r="E236" s="116"/>
      <c r="F236" s="116"/>
      <c r="G236" s="116"/>
      <c r="H236" s="116"/>
      <c r="I236" s="116"/>
      <c r="J236" s="116"/>
      <c r="K236" s="116"/>
      <c r="L236" s="116"/>
      <c r="M236" s="116"/>
      <c r="N236" s="116"/>
      <c r="O236" s="116"/>
      <c r="P236" s="116"/>
      <c r="Q236" s="116"/>
      <c r="R236" s="116"/>
      <c r="S236" s="116"/>
      <c r="T236" s="116"/>
      <c r="U236" s="116"/>
      <c r="V236" s="116"/>
      <c r="W236" s="116"/>
      <c r="X236" s="116"/>
      <c r="Y236" s="116"/>
      <c r="Z236" s="116"/>
    </row>
    <row r="237" spans="1:26" ht="15">
      <c r="A237" s="116"/>
      <c r="B237" s="988"/>
      <c r="C237" s="116"/>
      <c r="D237" s="116"/>
      <c r="E237" s="116"/>
      <c r="F237" s="116"/>
      <c r="G237" s="116"/>
      <c r="H237" s="116"/>
      <c r="I237" s="116"/>
      <c r="J237" s="116"/>
      <c r="K237" s="116"/>
      <c r="L237" s="116"/>
      <c r="M237" s="116"/>
      <c r="N237" s="116"/>
      <c r="O237" s="116"/>
      <c r="P237" s="116"/>
      <c r="Q237" s="116"/>
      <c r="R237" s="116"/>
      <c r="S237" s="116"/>
      <c r="T237" s="116"/>
      <c r="U237" s="116"/>
      <c r="V237" s="116"/>
      <c r="W237" s="116"/>
      <c r="X237" s="116"/>
      <c r="Y237" s="116"/>
      <c r="Z237" s="116"/>
    </row>
    <row r="238" spans="1:26" ht="15">
      <c r="A238" s="116"/>
      <c r="B238" s="988"/>
      <c r="C238" s="116"/>
      <c r="D238" s="116"/>
      <c r="E238" s="116"/>
      <c r="F238" s="116"/>
      <c r="G238" s="116"/>
      <c r="H238" s="116"/>
      <c r="I238" s="116"/>
      <c r="J238" s="116"/>
      <c r="K238" s="116"/>
      <c r="L238" s="116"/>
      <c r="M238" s="116"/>
      <c r="N238" s="116"/>
      <c r="O238" s="116"/>
      <c r="P238" s="116"/>
      <c r="Q238" s="116"/>
      <c r="R238" s="116"/>
      <c r="S238" s="116"/>
      <c r="T238" s="116"/>
      <c r="U238" s="116"/>
      <c r="V238" s="116"/>
      <c r="W238" s="116"/>
      <c r="X238" s="116"/>
      <c r="Y238" s="116"/>
      <c r="Z238" s="116"/>
    </row>
    <row r="239" spans="1:26" ht="15">
      <c r="A239" s="116"/>
      <c r="B239" s="988"/>
      <c r="C239" s="116"/>
      <c r="D239" s="116"/>
      <c r="E239" s="116"/>
      <c r="F239" s="116"/>
      <c r="G239" s="116"/>
      <c r="H239" s="116"/>
      <c r="I239" s="116"/>
      <c r="J239" s="116"/>
      <c r="K239" s="116"/>
      <c r="L239" s="116"/>
      <c r="M239" s="116"/>
      <c r="N239" s="116"/>
      <c r="O239" s="116"/>
      <c r="P239" s="116"/>
      <c r="Q239" s="116"/>
      <c r="R239" s="116"/>
      <c r="S239" s="116"/>
      <c r="T239" s="116"/>
      <c r="U239" s="116"/>
      <c r="V239" s="116"/>
      <c r="W239" s="116"/>
      <c r="X239" s="116"/>
      <c r="Y239" s="116"/>
      <c r="Z239" s="116"/>
    </row>
    <row r="240" spans="1:26" ht="15">
      <c r="A240" s="116"/>
      <c r="B240" s="988"/>
      <c r="C240" s="116"/>
      <c r="D240" s="116"/>
      <c r="E240" s="116"/>
      <c r="F240" s="116"/>
      <c r="G240" s="116"/>
      <c r="H240" s="116"/>
      <c r="I240" s="116"/>
      <c r="J240" s="116"/>
      <c r="K240" s="116"/>
      <c r="L240" s="116"/>
      <c r="M240" s="116"/>
      <c r="N240" s="116"/>
      <c r="O240" s="116"/>
      <c r="P240" s="116"/>
      <c r="Q240" s="116"/>
      <c r="R240" s="116"/>
      <c r="S240" s="116"/>
      <c r="T240" s="116"/>
      <c r="U240" s="116"/>
      <c r="V240" s="116"/>
      <c r="W240" s="116"/>
      <c r="X240" s="116"/>
      <c r="Y240" s="116"/>
      <c r="Z240" s="116"/>
    </row>
    <row r="241" spans="1:26" ht="15">
      <c r="A241" s="116"/>
      <c r="B241" s="988"/>
      <c r="C241" s="116"/>
      <c r="D241" s="116"/>
      <c r="E241" s="116"/>
      <c r="F241" s="116"/>
      <c r="G241" s="116"/>
      <c r="H241" s="116"/>
      <c r="I241" s="116"/>
      <c r="J241" s="116"/>
      <c r="K241" s="116"/>
      <c r="L241" s="116"/>
      <c r="M241" s="116"/>
      <c r="N241" s="116"/>
      <c r="O241" s="116"/>
      <c r="P241" s="116"/>
      <c r="Q241" s="116"/>
      <c r="R241" s="116"/>
      <c r="S241" s="116"/>
      <c r="T241" s="116"/>
      <c r="U241" s="116"/>
      <c r="V241" s="116"/>
      <c r="W241" s="116"/>
      <c r="X241" s="116"/>
      <c r="Y241" s="116"/>
      <c r="Z241" s="116"/>
    </row>
    <row r="242" spans="1:26" ht="15">
      <c r="A242" s="116"/>
      <c r="B242" s="988"/>
      <c r="C242" s="116"/>
      <c r="D242" s="116"/>
      <c r="E242" s="116"/>
      <c r="F242" s="116"/>
      <c r="G242" s="116"/>
      <c r="H242" s="116"/>
      <c r="I242" s="116"/>
      <c r="J242" s="116"/>
      <c r="K242" s="116"/>
      <c r="L242" s="116"/>
      <c r="M242" s="116"/>
      <c r="N242" s="116"/>
      <c r="O242" s="116"/>
      <c r="P242" s="116"/>
      <c r="Q242" s="116"/>
      <c r="R242" s="116"/>
      <c r="S242" s="116"/>
      <c r="T242" s="116"/>
      <c r="U242" s="116"/>
      <c r="V242" s="116"/>
      <c r="W242" s="116"/>
      <c r="X242" s="116"/>
      <c r="Y242" s="116"/>
      <c r="Z242" s="116"/>
    </row>
    <row r="243" spans="1:26" ht="15">
      <c r="A243" s="116"/>
      <c r="B243" s="988"/>
      <c r="C243" s="116"/>
      <c r="D243" s="116"/>
      <c r="E243" s="116"/>
      <c r="F243" s="116"/>
      <c r="G243" s="116"/>
      <c r="H243" s="116"/>
      <c r="I243" s="116"/>
      <c r="J243" s="116"/>
      <c r="K243" s="116"/>
      <c r="L243" s="116"/>
      <c r="M243" s="116"/>
      <c r="N243" s="116"/>
      <c r="O243" s="116"/>
      <c r="P243" s="116"/>
      <c r="Q243" s="116"/>
      <c r="R243" s="116"/>
      <c r="S243" s="116"/>
      <c r="T243" s="116"/>
      <c r="U243" s="116"/>
      <c r="V243" s="116"/>
      <c r="W243" s="116"/>
      <c r="X243" s="116"/>
      <c r="Y243" s="116"/>
      <c r="Z243" s="116"/>
    </row>
    <row r="244" spans="1:26" ht="15">
      <c r="A244" s="116"/>
      <c r="B244" s="988"/>
      <c r="C244" s="116"/>
      <c r="D244" s="116"/>
      <c r="E244" s="116"/>
      <c r="F244" s="116"/>
      <c r="G244" s="116"/>
      <c r="H244" s="116"/>
      <c r="I244" s="116"/>
      <c r="J244" s="116"/>
      <c r="K244" s="116"/>
      <c r="L244" s="116"/>
      <c r="M244" s="116"/>
      <c r="N244" s="116"/>
      <c r="O244" s="116"/>
      <c r="P244" s="116"/>
      <c r="Q244" s="116"/>
      <c r="R244" s="116"/>
      <c r="S244" s="116"/>
      <c r="T244" s="116"/>
      <c r="U244" s="116"/>
      <c r="V244" s="116"/>
      <c r="W244" s="116"/>
      <c r="X244" s="116"/>
      <c r="Y244" s="116"/>
      <c r="Z244" s="116"/>
    </row>
    <row r="245" spans="1:26" ht="15">
      <c r="A245" s="116"/>
      <c r="B245" s="988"/>
      <c r="C245" s="116"/>
      <c r="D245" s="116"/>
      <c r="E245" s="116"/>
      <c r="F245" s="116"/>
      <c r="G245" s="116"/>
      <c r="H245" s="116"/>
      <c r="I245" s="116"/>
      <c r="J245" s="116"/>
      <c r="K245" s="116"/>
      <c r="L245" s="116"/>
      <c r="M245" s="116"/>
      <c r="N245" s="116"/>
      <c r="O245" s="116"/>
      <c r="P245" s="116"/>
      <c r="Q245" s="116"/>
      <c r="R245" s="116"/>
      <c r="S245" s="116"/>
      <c r="T245" s="116"/>
      <c r="U245" s="116"/>
      <c r="V245" s="116"/>
      <c r="W245" s="116"/>
      <c r="X245" s="116"/>
      <c r="Y245" s="116"/>
      <c r="Z245" s="116"/>
    </row>
    <row r="246" spans="1:26" ht="15">
      <c r="A246" s="116"/>
      <c r="B246" s="988"/>
      <c r="C246" s="116"/>
      <c r="D246" s="116"/>
      <c r="E246" s="116"/>
      <c r="F246" s="116"/>
      <c r="G246" s="116"/>
      <c r="H246" s="116"/>
      <c r="I246" s="116"/>
      <c r="J246" s="116"/>
      <c r="K246" s="116"/>
      <c r="L246" s="116"/>
      <c r="M246" s="116"/>
      <c r="N246" s="116"/>
      <c r="O246" s="116"/>
      <c r="P246" s="116"/>
      <c r="Q246" s="116"/>
      <c r="R246" s="116"/>
      <c r="S246" s="116"/>
      <c r="T246" s="116"/>
      <c r="U246" s="116"/>
      <c r="V246" s="116"/>
      <c r="W246" s="116"/>
      <c r="X246" s="116"/>
      <c r="Y246" s="116"/>
      <c r="Z246" s="116"/>
    </row>
    <row r="247" spans="1:26" ht="15">
      <c r="A247" s="116"/>
      <c r="B247" s="988"/>
      <c r="C247" s="116"/>
      <c r="D247" s="116"/>
      <c r="E247" s="116"/>
      <c r="F247" s="116"/>
      <c r="G247" s="116"/>
      <c r="H247" s="116"/>
      <c r="I247" s="116"/>
      <c r="J247" s="116"/>
      <c r="K247" s="116"/>
      <c r="L247" s="116"/>
      <c r="M247" s="116"/>
      <c r="N247" s="116"/>
      <c r="O247" s="116"/>
      <c r="P247" s="116"/>
      <c r="Q247" s="116"/>
      <c r="R247" s="116"/>
      <c r="S247" s="116"/>
      <c r="T247" s="116"/>
      <c r="U247" s="116"/>
      <c r="V247" s="116"/>
      <c r="W247" s="116"/>
      <c r="X247" s="116"/>
      <c r="Y247" s="116"/>
      <c r="Z247" s="116"/>
    </row>
    <row r="248" spans="1:26" ht="15">
      <c r="A248" s="116"/>
      <c r="B248" s="988"/>
      <c r="C248" s="116"/>
      <c r="D248" s="116"/>
      <c r="E248" s="116"/>
      <c r="F248" s="116"/>
      <c r="G248" s="116"/>
      <c r="H248" s="116"/>
      <c r="I248" s="116"/>
      <c r="J248" s="116"/>
      <c r="K248" s="116"/>
      <c r="L248" s="116"/>
      <c r="M248" s="116"/>
      <c r="N248" s="116"/>
      <c r="O248" s="116"/>
      <c r="P248" s="116"/>
      <c r="Q248" s="116"/>
      <c r="R248" s="116"/>
      <c r="S248" s="116"/>
      <c r="T248" s="116"/>
      <c r="U248" s="116"/>
      <c r="V248" s="116"/>
      <c r="W248" s="116"/>
      <c r="X248" s="116"/>
      <c r="Y248" s="116"/>
      <c r="Z248" s="116"/>
    </row>
    <row r="249" spans="1:26" ht="15">
      <c r="A249" s="116"/>
      <c r="B249" s="988"/>
      <c r="C249" s="116"/>
      <c r="D249" s="116"/>
      <c r="E249" s="116"/>
      <c r="F249" s="116"/>
      <c r="G249" s="116"/>
      <c r="H249" s="116"/>
      <c r="I249" s="116"/>
      <c r="J249" s="116"/>
      <c r="K249" s="116"/>
      <c r="L249" s="116"/>
      <c r="M249" s="116"/>
      <c r="N249" s="116"/>
      <c r="O249" s="116"/>
      <c r="P249" s="116"/>
      <c r="Q249" s="116"/>
      <c r="R249" s="116"/>
      <c r="S249" s="116"/>
      <c r="T249" s="116"/>
      <c r="U249" s="116"/>
      <c r="V249" s="116"/>
      <c r="W249" s="116"/>
      <c r="X249" s="116"/>
      <c r="Y249" s="116"/>
      <c r="Z249" s="116"/>
    </row>
    <row r="250" spans="1:26" ht="15">
      <c r="A250" s="116"/>
      <c r="B250" s="988"/>
      <c r="C250" s="116"/>
      <c r="D250" s="116"/>
      <c r="E250" s="116"/>
      <c r="F250" s="116"/>
      <c r="G250" s="116"/>
      <c r="H250" s="116"/>
      <c r="I250" s="116"/>
      <c r="J250" s="116"/>
      <c r="K250" s="116"/>
      <c r="L250" s="116"/>
      <c r="M250" s="116"/>
      <c r="N250" s="116"/>
      <c r="O250" s="116"/>
      <c r="P250" s="116"/>
      <c r="Q250" s="116"/>
      <c r="R250" s="116"/>
      <c r="S250" s="116"/>
      <c r="T250" s="116"/>
      <c r="U250" s="116"/>
      <c r="V250" s="116"/>
      <c r="W250" s="116"/>
      <c r="X250" s="116"/>
      <c r="Y250" s="116"/>
      <c r="Z250" s="116"/>
    </row>
    <row r="251" spans="1:26" ht="15">
      <c r="A251" s="116"/>
      <c r="B251" s="988"/>
      <c r="C251" s="116"/>
      <c r="D251" s="116"/>
      <c r="E251" s="116"/>
      <c r="F251" s="116"/>
      <c r="G251" s="116"/>
      <c r="H251" s="116"/>
      <c r="I251" s="116"/>
      <c r="J251" s="116"/>
      <c r="K251" s="116"/>
      <c r="L251" s="116"/>
      <c r="M251" s="116"/>
      <c r="N251" s="116"/>
      <c r="O251" s="116"/>
      <c r="P251" s="116"/>
      <c r="Q251" s="116"/>
      <c r="R251" s="116"/>
      <c r="S251" s="116"/>
      <c r="T251" s="116"/>
      <c r="U251" s="116"/>
      <c r="V251" s="116"/>
      <c r="W251" s="116"/>
      <c r="X251" s="116"/>
      <c r="Y251" s="116"/>
      <c r="Z251" s="116"/>
    </row>
    <row r="252" spans="1:26" ht="15">
      <c r="A252" s="116"/>
      <c r="B252" s="988"/>
      <c r="C252" s="116"/>
      <c r="D252" s="116"/>
      <c r="E252" s="116"/>
      <c r="F252" s="116"/>
      <c r="G252" s="116"/>
      <c r="H252" s="116"/>
      <c r="I252" s="116"/>
      <c r="J252" s="116"/>
      <c r="K252" s="116"/>
      <c r="L252" s="116"/>
      <c r="M252" s="116"/>
      <c r="N252" s="116"/>
      <c r="O252" s="116"/>
      <c r="P252" s="116"/>
      <c r="Q252" s="116"/>
      <c r="R252" s="116"/>
      <c r="S252" s="116"/>
      <c r="T252" s="116"/>
      <c r="U252" s="116"/>
      <c r="V252" s="116"/>
      <c r="W252" s="116"/>
      <c r="X252" s="116"/>
      <c r="Y252" s="116"/>
      <c r="Z252" s="116"/>
    </row>
    <row r="253" spans="1:26" ht="15">
      <c r="A253" s="116"/>
      <c r="B253" s="988"/>
      <c r="C253" s="116"/>
      <c r="D253" s="116"/>
      <c r="E253" s="116"/>
      <c r="F253" s="116"/>
      <c r="G253" s="116"/>
      <c r="H253" s="116"/>
      <c r="I253" s="116"/>
      <c r="J253" s="116"/>
      <c r="K253" s="116"/>
      <c r="L253" s="116"/>
      <c r="M253" s="116"/>
      <c r="N253" s="116"/>
      <c r="O253" s="116"/>
      <c r="P253" s="116"/>
      <c r="Q253" s="116"/>
      <c r="R253" s="116"/>
      <c r="S253" s="116"/>
      <c r="T253" s="116"/>
      <c r="U253" s="116"/>
      <c r="V253" s="116"/>
      <c r="W253" s="116"/>
      <c r="X253" s="116"/>
      <c r="Y253" s="116"/>
      <c r="Z253" s="116"/>
    </row>
    <row r="254" spans="1:26" ht="15">
      <c r="A254" s="116"/>
      <c r="B254" s="988"/>
      <c r="C254" s="116"/>
      <c r="D254" s="116"/>
      <c r="E254" s="116"/>
      <c r="F254" s="116"/>
      <c r="G254" s="116"/>
      <c r="H254" s="116"/>
      <c r="I254" s="116"/>
      <c r="J254" s="116"/>
      <c r="K254" s="116"/>
      <c r="L254" s="116"/>
      <c r="M254" s="116"/>
      <c r="N254" s="116"/>
      <c r="O254" s="116"/>
      <c r="P254" s="116"/>
      <c r="Q254" s="116"/>
      <c r="R254" s="116"/>
      <c r="S254" s="116"/>
      <c r="T254" s="116"/>
      <c r="U254" s="116"/>
      <c r="V254" s="116"/>
      <c r="W254" s="116"/>
      <c r="X254" s="116"/>
      <c r="Y254" s="116"/>
      <c r="Z254" s="116"/>
    </row>
    <row r="255" spans="1:26" ht="15">
      <c r="A255" s="116"/>
      <c r="B255" s="988"/>
      <c r="C255" s="116"/>
      <c r="D255" s="116"/>
      <c r="E255" s="116"/>
      <c r="F255" s="116"/>
      <c r="G255" s="116"/>
      <c r="H255" s="116"/>
      <c r="I255" s="116"/>
      <c r="J255" s="116"/>
      <c r="K255" s="116"/>
      <c r="L255" s="116"/>
      <c r="M255" s="116"/>
      <c r="N255" s="116"/>
      <c r="O255" s="116"/>
      <c r="P255" s="116"/>
      <c r="Q255" s="116"/>
      <c r="R255" s="116"/>
      <c r="S255" s="116"/>
      <c r="T255" s="116"/>
      <c r="U255" s="116"/>
      <c r="V255" s="116"/>
      <c r="W255" s="116"/>
      <c r="X255" s="116"/>
      <c r="Y255" s="116"/>
      <c r="Z255" s="116"/>
    </row>
    <row r="256" spans="1:26" ht="15">
      <c r="A256" s="116"/>
      <c r="B256" s="988"/>
      <c r="C256" s="116"/>
      <c r="D256" s="116"/>
      <c r="E256" s="116"/>
      <c r="F256" s="116"/>
      <c r="G256" s="116"/>
      <c r="H256" s="116"/>
      <c r="I256" s="116"/>
      <c r="J256" s="116"/>
      <c r="K256" s="116"/>
      <c r="L256" s="116"/>
      <c r="M256" s="116"/>
      <c r="N256" s="116"/>
      <c r="O256" s="116"/>
      <c r="P256" s="116"/>
      <c r="Q256" s="116"/>
      <c r="R256" s="116"/>
      <c r="S256" s="116"/>
      <c r="T256" s="116"/>
      <c r="U256" s="116"/>
      <c r="V256" s="116"/>
      <c r="W256" s="116"/>
      <c r="X256" s="116"/>
      <c r="Y256" s="116"/>
      <c r="Z256" s="116"/>
    </row>
    <row r="257" spans="1:26" ht="15">
      <c r="A257" s="116"/>
      <c r="B257" s="988"/>
      <c r="C257" s="116"/>
      <c r="D257" s="116"/>
      <c r="E257" s="116"/>
      <c r="F257" s="116"/>
      <c r="G257" s="116"/>
      <c r="H257" s="116"/>
      <c r="I257" s="116"/>
      <c r="J257" s="116"/>
      <c r="K257" s="116"/>
      <c r="L257" s="116"/>
      <c r="M257" s="116"/>
      <c r="N257" s="116"/>
      <c r="O257" s="116"/>
      <c r="P257" s="116"/>
      <c r="Q257" s="116"/>
      <c r="R257" s="116"/>
      <c r="S257" s="116"/>
      <c r="T257" s="116"/>
      <c r="U257" s="116"/>
      <c r="V257" s="116"/>
      <c r="W257" s="116"/>
      <c r="X257" s="116"/>
      <c r="Y257" s="116"/>
      <c r="Z257" s="116"/>
    </row>
    <row r="258" spans="1:26" ht="15">
      <c r="A258" s="116"/>
      <c r="B258" s="988"/>
      <c r="C258" s="116"/>
      <c r="D258" s="116"/>
      <c r="E258" s="116"/>
      <c r="F258" s="116"/>
      <c r="G258" s="116"/>
      <c r="H258" s="116"/>
      <c r="I258" s="116"/>
      <c r="J258" s="116"/>
      <c r="K258" s="116"/>
      <c r="L258" s="116"/>
      <c r="M258" s="116"/>
      <c r="N258" s="116"/>
      <c r="O258" s="116"/>
      <c r="P258" s="116"/>
      <c r="Q258" s="116"/>
      <c r="R258" s="116"/>
      <c r="S258" s="116"/>
      <c r="T258" s="116"/>
      <c r="U258" s="116"/>
      <c r="V258" s="116"/>
      <c r="W258" s="116"/>
      <c r="X258" s="116"/>
      <c r="Y258" s="116"/>
      <c r="Z258" s="116"/>
    </row>
    <row r="259" spans="1:26" ht="15">
      <c r="A259" s="116"/>
      <c r="B259" s="988"/>
      <c r="C259" s="116"/>
      <c r="D259" s="116"/>
      <c r="E259" s="116"/>
      <c r="F259" s="116"/>
      <c r="G259" s="116"/>
      <c r="H259" s="116"/>
      <c r="I259" s="116"/>
      <c r="J259" s="116"/>
      <c r="K259" s="116"/>
      <c r="L259" s="116"/>
      <c r="M259" s="116"/>
      <c r="N259" s="116"/>
      <c r="O259" s="116"/>
      <c r="P259" s="116"/>
      <c r="Q259" s="116"/>
      <c r="R259" s="116"/>
      <c r="S259" s="116"/>
      <c r="T259" s="116"/>
      <c r="U259" s="116"/>
      <c r="V259" s="116"/>
      <c r="W259" s="116"/>
      <c r="X259" s="116"/>
      <c r="Y259" s="116"/>
      <c r="Z259" s="116"/>
    </row>
    <row r="260" spans="1:26" ht="15">
      <c r="A260" s="116"/>
      <c r="B260" s="988"/>
      <c r="C260" s="116"/>
      <c r="D260" s="116"/>
      <c r="E260" s="116"/>
      <c r="F260" s="116"/>
      <c r="G260" s="116"/>
      <c r="H260" s="116"/>
      <c r="I260" s="116"/>
      <c r="J260" s="116"/>
      <c r="K260" s="116"/>
      <c r="L260" s="116"/>
      <c r="M260" s="116"/>
      <c r="N260" s="116"/>
      <c r="O260" s="116"/>
      <c r="P260" s="116"/>
      <c r="Q260" s="116"/>
      <c r="R260" s="116"/>
      <c r="S260" s="116"/>
      <c r="T260" s="116"/>
      <c r="U260" s="116"/>
      <c r="V260" s="116"/>
      <c r="W260" s="116"/>
      <c r="X260" s="116"/>
      <c r="Y260" s="116"/>
      <c r="Z260" s="116"/>
    </row>
    <row r="261" spans="1:26" ht="15">
      <c r="A261" s="116"/>
      <c r="B261" s="988"/>
      <c r="C261" s="116"/>
      <c r="D261" s="116"/>
      <c r="E261" s="116"/>
      <c r="F261" s="116"/>
      <c r="G261" s="116"/>
      <c r="H261" s="116"/>
      <c r="I261" s="116"/>
      <c r="J261" s="116"/>
      <c r="K261" s="116"/>
      <c r="L261" s="116"/>
      <c r="M261" s="116"/>
      <c r="N261" s="116"/>
      <c r="O261" s="116"/>
      <c r="P261" s="116"/>
      <c r="Q261" s="116"/>
      <c r="R261" s="116"/>
      <c r="S261" s="116"/>
      <c r="T261" s="116"/>
      <c r="U261" s="116"/>
      <c r="V261" s="116"/>
      <c r="W261" s="116"/>
      <c r="X261" s="116"/>
      <c r="Y261" s="116"/>
      <c r="Z261" s="116"/>
    </row>
    <row r="262" spans="1:26" ht="15">
      <c r="A262" s="116"/>
      <c r="B262" s="988"/>
      <c r="C262" s="116"/>
      <c r="D262" s="116"/>
      <c r="E262" s="116"/>
      <c r="F262" s="116"/>
      <c r="G262" s="116"/>
      <c r="H262" s="116"/>
      <c r="I262" s="116"/>
      <c r="J262" s="116"/>
      <c r="K262" s="116"/>
      <c r="L262" s="116"/>
      <c r="M262" s="116"/>
      <c r="N262" s="116"/>
      <c r="O262" s="116"/>
      <c r="P262" s="116"/>
      <c r="Q262" s="116"/>
      <c r="R262" s="116"/>
      <c r="S262" s="116"/>
      <c r="T262" s="116"/>
      <c r="U262" s="116"/>
      <c r="V262" s="116"/>
      <c r="W262" s="116"/>
      <c r="X262" s="116"/>
      <c r="Y262" s="116"/>
      <c r="Z262" s="116"/>
    </row>
    <row r="263" spans="1:26" ht="15">
      <c r="A263" s="116"/>
      <c r="B263" s="988"/>
      <c r="C263" s="116"/>
      <c r="D263" s="116"/>
      <c r="E263" s="116"/>
      <c r="F263" s="116"/>
      <c r="G263" s="116"/>
      <c r="H263" s="116"/>
      <c r="I263" s="116"/>
      <c r="J263" s="116"/>
      <c r="K263" s="116"/>
      <c r="L263" s="116"/>
      <c r="M263" s="116"/>
      <c r="N263" s="116"/>
      <c r="O263" s="116"/>
      <c r="P263" s="116"/>
      <c r="Q263" s="116"/>
      <c r="R263" s="116"/>
      <c r="S263" s="116"/>
      <c r="T263" s="116"/>
      <c r="U263" s="116"/>
      <c r="V263" s="116"/>
      <c r="W263" s="116"/>
      <c r="X263" s="116"/>
      <c r="Y263" s="116"/>
      <c r="Z263" s="116"/>
    </row>
    <row r="264" spans="1:26" ht="15">
      <c r="A264" s="116"/>
      <c r="B264" s="988"/>
      <c r="C264" s="116"/>
      <c r="D264" s="116"/>
      <c r="E264" s="116"/>
      <c r="F264" s="116"/>
      <c r="G264" s="116"/>
      <c r="H264" s="116"/>
      <c r="I264" s="116"/>
      <c r="J264" s="116"/>
      <c r="K264" s="116"/>
      <c r="L264" s="116"/>
      <c r="M264" s="116"/>
      <c r="N264" s="116"/>
      <c r="O264" s="116"/>
      <c r="P264" s="116"/>
      <c r="Q264" s="116"/>
      <c r="R264" s="116"/>
      <c r="S264" s="116"/>
      <c r="T264" s="116"/>
      <c r="U264" s="116"/>
      <c r="V264" s="116"/>
      <c r="W264" s="116"/>
      <c r="X264" s="116"/>
      <c r="Y264" s="116"/>
      <c r="Z264" s="116"/>
    </row>
    <row r="265" spans="1:26" ht="15">
      <c r="A265" s="116"/>
      <c r="B265" s="988"/>
      <c r="C265" s="116"/>
      <c r="D265" s="116"/>
      <c r="E265" s="116"/>
      <c r="F265" s="116"/>
      <c r="G265" s="116"/>
      <c r="H265" s="116"/>
      <c r="I265" s="116"/>
      <c r="J265" s="116"/>
      <c r="K265" s="116"/>
      <c r="L265" s="116"/>
      <c r="M265" s="116"/>
      <c r="N265" s="116"/>
      <c r="O265" s="116"/>
      <c r="P265" s="116"/>
      <c r="Q265" s="116"/>
      <c r="R265" s="116"/>
      <c r="S265" s="116"/>
      <c r="T265" s="116"/>
      <c r="U265" s="116"/>
      <c r="V265" s="116"/>
      <c r="W265" s="116"/>
      <c r="X265" s="116"/>
      <c r="Y265" s="116"/>
      <c r="Z265" s="116"/>
    </row>
    <row r="266" spans="1:26" ht="15">
      <c r="A266" s="116"/>
      <c r="B266" s="988"/>
      <c r="C266" s="116"/>
      <c r="D266" s="116"/>
      <c r="E266" s="116"/>
      <c r="F266" s="116"/>
      <c r="G266" s="116"/>
      <c r="H266" s="116"/>
      <c r="I266" s="116"/>
      <c r="J266" s="116"/>
      <c r="K266" s="116"/>
      <c r="L266" s="116"/>
      <c r="M266" s="116"/>
      <c r="N266" s="116"/>
      <c r="O266" s="116"/>
      <c r="P266" s="116"/>
      <c r="Q266" s="116"/>
      <c r="R266" s="116"/>
      <c r="S266" s="116"/>
      <c r="T266" s="116"/>
      <c r="U266" s="116"/>
      <c r="V266" s="116"/>
      <c r="W266" s="116"/>
      <c r="X266" s="116"/>
      <c r="Y266" s="116"/>
      <c r="Z266" s="116"/>
    </row>
    <row r="267" spans="1:26" ht="15">
      <c r="A267" s="116"/>
      <c r="B267" s="988"/>
      <c r="C267" s="116"/>
      <c r="D267" s="116"/>
      <c r="E267" s="116"/>
      <c r="F267" s="116"/>
      <c r="G267" s="116"/>
      <c r="H267" s="116"/>
      <c r="I267" s="116"/>
      <c r="J267" s="116"/>
      <c r="K267" s="116"/>
      <c r="L267" s="116"/>
      <c r="M267" s="116"/>
      <c r="N267" s="116"/>
      <c r="O267" s="116"/>
      <c r="P267" s="116"/>
      <c r="Q267" s="116"/>
      <c r="R267" s="116"/>
      <c r="S267" s="116"/>
      <c r="T267" s="116"/>
      <c r="U267" s="116"/>
      <c r="V267" s="116"/>
      <c r="W267" s="116"/>
      <c r="X267" s="116"/>
      <c r="Y267" s="116"/>
      <c r="Z267" s="116"/>
    </row>
    <row r="268" spans="1:26" ht="15">
      <c r="A268" s="116"/>
      <c r="B268" s="988"/>
      <c r="C268" s="116"/>
      <c r="D268" s="116"/>
      <c r="E268" s="116"/>
      <c r="F268" s="116"/>
      <c r="G268" s="116"/>
      <c r="H268" s="116"/>
      <c r="I268" s="116"/>
      <c r="J268" s="116"/>
      <c r="K268" s="116"/>
      <c r="L268" s="116"/>
      <c r="M268" s="116"/>
      <c r="N268" s="116"/>
      <c r="O268" s="116"/>
      <c r="P268" s="116"/>
      <c r="Q268" s="116"/>
      <c r="R268" s="116"/>
      <c r="S268" s="116"/>
      <c r="T268" s="116"/>
      <c r="U268" s="116"/>
      <c r="V268" s="116"/>
      <c r="W268" s="116"/>
      <c r="X268" s="116"/>
      <c r="Y268" s="116"/>
      <c r="Z268" s="116"/>
    </row>
    <row r="269" spans="1:26" ht="15">
      <c r="A269" s="116"/>
      <c r="B269" s="988"/>
      <c r="C269" s="116"/>
      <c r="D269" s="116"/>
      <c r="E269" s="116"/>
      <c r="F269" s="116"/>
      <c r="G269" s="116"/>
      <c r="H269" s="116"/>
      <c r="I269" s="116"/>
      <c r="J269" s="116"/>
      <c r="K269" s="116"/>
      <c r="L269" s="116"/>
      <c r="M269" s="116"/>
      <c r="N269" s="116"/>
      <c r="O269" s="116"/>
      <c r="P269" s="116"/>
      <c r="Q269" s="116"/>
      <c r="R269" s="116"/>
      <c r="S269" s="116"/>
      <c r="T269" s="116"/>
      <c r="U269" s="116"/>
      <c r="V269" s="116"/>
      <c r="W269" s="116"/>
      <c r="X269" s="116"/>
      <c r="Y269" s="116"/>
      <c r="Z269" s="116"/>
    </row>
    <row r="270" spans="1:26" ht="15">
      <c r="A270" s="116"/>
      <c r="B270" s="988"/>
      <c r="C270" s="116"/>
      <c r="D270" s="116"/>
      <c r="E270" s="116"/>
      <c r="F270" s="116"/>
      <c r="G270" s="116"/>
      <c r="H270" s="116"/>
      <c r="I270" s="116"/>
      <c r="J270" s="116"/>
      <c r="K270" s="116"/>
      <c r="L270" s="116"/>
      <c r="M270" s="116"/>
      <c r="N270" s="116"/>
      <c r="O270" s="116"/>
      <c r="P270" s="116"/>
      <c r="Q270" s="116"/>
      <c r="R270" s="116"/>
      <c r="S270" s="116"/>
      <c r="T270" s="116"/>
      <c r="U270" s="116"/>
      <c r="V270" s="116"/>
      <c r="W270" s="116"/>
      <c r="X270" s="116"/>
      <c r="Y270" s="116"/>
      <c r="Z270" s="116"/>
    </row>
    <row r="271" spans="1:26" ht="15">
      <c r="A271" s="116"/>
      <c r="B271" s="988"/>
      <c r="C271" s="116"/>
      <c r="D271" s="116"/>
      <c r="E271" s="116"/>
      <c r="F271" s="116"/>
      <c r="G271" s="116"/>
      <c r="H271" s="116"/>
      <c r="I271" s="116"/>
      <c r="J271" s="116"/>
      <c r="K271" s="116"/>
      <c r="L271" s="116"/>
      <c r="M271" s="116"/>
      <c r="N271" s="116"/>
      <c r="O271" s="116"/>
      <c r="P271" s="116"/>
      <c r="Q271" s="116"/>
      <c r="R271" s="116"/>
      <c r="S271" s="116"/>
      <c r="T271" s="116"/>
      <c r="U271" s="116"/>
      <c r="V271" s="116"/>
      <c r="W271" s="116"/>
      <c r="X271" s="116"/>
      <c r="Y271" s="116"/>
      <c r="Z271" s="116"/>
    </row>
    <row r="272" spans="1:26" ht="15">
      <c r="A272" s="116"/>
      <c r="B272" s="988"/>
      <c r="C272" s="116"/>
      <c r="D272" s="116"/>
      <c r="E272" s="116"/>
      <c r="F272" s="116"/>
      <c r="G272" s="116"/>
      <c r="H272" s="116"/>
      <c r="I272" s="116"/>
      <c r="J272" s="116"/>
      <c r="K272" s="116"/>
      <c r="L272" s="116"/>
      <c r="M272" s="116"/>
      <c r="N272" s="116"/>
      <c r="O272" s="116"/>
      <c r="P272" s="116"/>
      <c r="Q272" s="116"/>
      <c r="R272" s="116"/>
      <c r="S272" s="116"/>
      <c r="T272" s="116"/>
      <c r="U272" s="116"/>
      <c r="V272" s="116"/>
      <c r="W272" s="116"/>
      <c r="X272" s="116"/>
      <c r="Y272" s="116"/>
      <c r="Z272" s="116"/>
    </row>
    <row r="273" spans="1:26" ht="15">
      <c r="A273" s="116"/>
      <c r="B273" s="988"/>
      <c r="C273" s="116"/>
      <c r="D273" s="116"/>
      <c r="E273" s="116"/>
      <c r="F273" s="116"/>
      <c r="G273" s="116"/>
      <c r="H273" s="116"/>
      <c r="I273" s="116"/>
      <c r="J273" s="116"/>
      <c r="K273" s="116"/>
      <c r="L273" s="116"/>
      <c r="M273" s="116"/>
      <c r="N273" s="116"/>
      <c r="O273" s="116"/>
      <c r="P273" s="116"/>
      <c r="Q273" s="116"/>
      <c r="R273" s="116"/>
      <c r="S273" s="116"/>
      <c r="T273" s="116"/>
      <c r="U273" s="116"/>
      <c r="V273" s="116"/>
      <c r="W273" s="116"/>
      <c r="X273" s="116"/>
      <c r="Y273" s="116"/>
      <c r="Z273" s="116"/>
    </row>
    <row r="274" spans="1:26" ht="15">
      <c r="A274" s="116"/>
      <c r="B274" s="988"/>
      <c r="C274" s="116"/>
      <c r="D274" s="116"/>
      <c r="E274" s="116"/>
      <c r="F274" s="116"/>
      <c r="G274" s="116"/>
      <c r="H274" s="116"/>
      <c r="I274" s="116"/>
      <c r="J274" s="116"/>
      <c r="K274" s="116"/>
      <c r="L274" s="116"/>
      <c r="M274" s="116"/>
      <c r="N274" s="116"/>
      <c r="O274" s="116"/>
      <c r="P274" s="116"/>
      <c r="Q274" s="116"/>
      <c r="R274" s="116"/>
      <c r="S274" s="116"/>
      <c r="T274" s="116"/>
      <c r="U274" s="116"/>
      <c r="V274" s="116"/>
      <c r="W274" s="116"/>
      <c r="X274" s="116"/>
      <c r="Y274" s="116"/>
      <c r="Z274" s="116"/>
    </row>
    <row r="275" spans="1:26" ht="15">
      <c r="A275" s="116"/>
      <c r="B275" s="988"/>
      <c r="C275" s="116"/>
      <c r="D275" s="116"/>
      <c r="E275" s="116"/>
      <c r="F275" s="116"/>
      <c r="G275" s="116"/>
      <c r="H275" s="116"/>
      <c r="I275" s="116"/>
      <c r="J275" s="116"/>
      <c r="K275" s="116"/>
      <c r="L275" s="116"/>
      <c r="M275" s="116"/>
      <c r="N275" s="116"/>
      <c r="O275" s="116"/>
      <c r="P275" s="116"/>
      <c r="Q275" s="116"/>
      <c r="R275" s="116"/>
      <c r="S275" s="116"/>
      <c r="T275" s="116"/>
      <c r="U275" s="116"/>
      <c r="V275" s="116"/>
      <c r="W275" s="116"/>
      <c r="X275" s="116"/>
      <c r="Y275" s="116"/>
      <c r="Z275" s="116"/>
    </row>
    <row r="276" spans="1:26" ht="15">
      <c r="A276" s="116"/>
      <c r="B276" s="988"/>
      <c r="C276" s="116"/>
      <c r="D276" s="116"/>
      <c r="E276" s="116"/>
      <c r="F276" s="116"/>
      <c r="G276" s="116"/>
      <c r="H276" s="116"/>
      <c r="I276" s="116"/>
      <c r="J276" s="116"/>
      <c r="K276" s="116"/>
      <c r="L276" s="116"/>
      <c r="M276" s="116"/>
      <c r="N276" s="116"/>
      <c r="O276" s="116"/>
      <c r="P276" s="116"/>
      <c r="Q276" s="116"/>
      <c r="R276" s="116"/>
      <c r="S276" s="116"/>
      <c r="T276" s="116"/>
      <c r="U276" s="116"/>
      <c r="V276" s="116"/>
      <c r="W276" s="116"/>
      <c r="X276" s="116"/>
      <c r="Y276" s="116"/>
      <c r="Z276" s="116"/>
    </row>
    <row r="277" spans="1:26" ht="15">
      <c r="A277" s="116"/>
      <c r="B277" s="988"/>
      <c r="C277" s="116"/>
      <c r="D277" s="116"/>
      <c r="E277" s="116"/>
      <c r="F277" s="116"/>
      <c r="G277" s="116"/>
      <c r="H277" s="116"/>
      <c r="I277" s="116"/>
      <c r="J277" s="116"/>
      <c r="K277" s="116"/>
      <c r="L277" s="116"/>
      <c r="M277" s="116"/>
      <c r="N277" s="116"/>
      <c r="O277" s="116"/>
      <c r="P277" s="116"/>
      <c r="Q277" s="116"/>
      <c r="R277" s="116"/>
      <c r="S277" s="116"/>
      <c r="T277" s="116"/>
      <c r="U277" s="116"/>
      <c r="V277" s="116"/>
      <c r="W277" s="116"/>
      <c r="X277" s="116"/>
      <c r="Y277" s="116"/>
      <c r="Z277" s="116"/>
    </row>
    <row r="278" spans="1:26" ht="15">
      <c r="A278" s="116"/>
      <c r="B278" s="988"/>
      <c r="C278" s="116"/>
      <c r="D278" s="116"/>
      <c r="E278" s="116"/>
      <c r="F278" s="116"/>
      <c r="G278" s="116"/>
      <c r="H278" s="116"/>
      <c r="I278" s="116"/>
      <c r="J278" s="116"/>
      <c r="K278" s="116"/>
      <c r="L278" s="116"/>
      <c r="M278" s="116"/>
      <c r="N278" s="116"/>
      <c r="O278" s="116"/>
      <c r="P278" s="116"/>
      <c r="Q278" s="116"/>
      <c r="R278" s="116"/>
      <c r="S278" s="116"/>
      <c r="T278" s="116"/>
      <c r="U278" s="116"/>
      <c r="V278" s="116"/>
      <c r="W278" s="116"/>
      <c r="X278" s="116"/>
      <c r="Y278" s="116"/>
      <c r="Z278" s="116"/>
    </row>
    <row r="279" spans="1:26" ht="15">
      <c r="A279" s="116"/>
      <c r="B279" s="988"/>
      <c r="C279" s="116"/>
      <c r="D279" s="116"/>
      <c r="E279" s="116"/>
      <c r="F279" s="116"/>
      <c r="G279" s="116"/>
      <c r="H279" s="116"/>
      <c r="I279" s="116"/>
      <c r="J279" s="116"/>
      <c r="K279" s="116"/>
      <c r="L279" s="116"/>
      <c r="M279" s="116"/>
      <c r="N279" s="116"/>
      <c r="O279" s="116"/>
      <c r="P279" s="116"/>
      <c r="Q279" s="116"/>
      <c r="R279" s="116"/>
      <c r="S279" s="116"/>
      <c r="T279" s="116"/>
      <c r="U279" s="116"/>
      <c r="V279" s="116"/>
      <c r="W279" s="116"/>
      <c r="X279" s="116"/>
      <c r="Y279" s="116"/>
      <c r="Z279" s="116"/>
    </row>
    <row r="280" spans="1:26" ht="15">
      <c r="A280" s="116"/>
      <c r="B280" s="988"/>
      <c r="C280" s="116"/>
      <c r="D280" s="116"/>
      <c r="E280" s="116"/>
      <c r="F280" s="116"/>
      <c r="G280" s="116"/>
      <c r="H280" s="116"/>
      <c r="I280" s="116"/>
      <c r="J280" s="116"/>
      <c r="K280" s="116"/>
      <c r="L280" s="116"/>
      <c r="M280" s="116"/>
      <c r="N280" s="116"/>
      <c r="O280" s="116"/>
      <c r="P280" s="116"/>
      <c r="Q280" s="116"/>
      <c r="R280" s="116"/>
      <c r="S280" s="116"/>
      <c r="T280" s="116"/>
      <c r="U280" s="116"/>
      <c r="V280" s="116"/>
      <c r="W280" s="116"/>
      <c r="X280" s="116"/>
      <c r="Y280" s="116"/>
      <c r="Z280" s="116"/>
    </row>
    <row r="281" spans="1:26" ht="15">
      <c r="A281" s="116"/>
      <c r="B281" s="988"/>
      <c r="C281" s="116"/>
      <c r="D281" s="116"/>
      <c r="E281" s="116"/>
      <c r="F281" s="116"/>
      <c r="G281" s="116"/>
      <c r="H281" s="116"/>
      <c r="I281" s="116"/>
      <c r="J281" s="116"/>
      <c r="K281" s="116"/>
      <c r="L281" s="116"/>
      <c r="M281" s="116"/>
      <c r="N281" s="116"/>
      <c r="O281" s="116"/>
      <c r="P281" s="116"/>
      <c r="Q281" s="116"/>
      <c r="R281" s="116"/>
      <c r="S281" s="116"/>
      <c r="T281" s="116"/>
      <c r="U281" s="116"/>
      <c r="V281" s="116"/>
      <c r="W281" s="116"/>
      <c r="X281" s="116"/>
      <c r="Y281" s="116"/>
      <c r="Z281" s="116"/>
    </row>
    <row r="282" spans="1:26" ht="15">
      <c r="A282" s="116"/>
      <c r="B282" s="988"/>
      <c r="C282" s="116"/>
      <c r="D282" s="116"/>
      <c r="E282" s="116"/>
      <c r="F282" s="116"/>
      <c r="G282" s="116"/>
      <c r="H282" s="116"/>
      <c r="I282" s="116"/>
      <c r="J282" s="116"/>
      <c r="K282" s="116"/>
      <c r="L282" s="116"/>
      <c r="M282" s="116"/>
      <c r="N282" s="116"/>
      <c r="O282" s="116"/>
      <c r="P282" s="116"/>
      <c r="Q282" s="116"/>
      <c r="R282" s="116"/>
      <c r="S282" s="116"/>
      <c r="T282" s="116"/>
      <c r="U282" s="116"/>
      <c r="V282" s="116"/>
      <c r="W282" s="116"/>
      <c r="X282" s="116"/>
      <c r="Y282" s="116"/>
      <c r="Z282" s="116"/>
    </row>
    <row r="283" spans="1:26" ht="15">
      <c r="A283" s="116"/>
      <c r="B283" s="988"/>
      <c r="C283" s="116"/>
      <c r="D283" s="116"/>
      <c r="E283" s="116"/>
      <c r="F283" s="116"/>
      <c r="G283" s="116"/>
      <c r="H283" s="116"/>
      <c r="I283" s="116"/>
      <c r="J283" s="116"/>
      <c r="K283" s="116"/>
      <c r="L283" s="116"/>
      <c r="M283" s="116"/>
      <c r="N283" s="116"/>
      <c r="O283" s="116"/>
      <c r="P283" s="116"/>
      <c r="Q283" s="116"/>
      <c r="R283" s="116"/>
      <c r="S283" s="116"/>
      <c r="T283" s="116"/>
      <c r="U283" s="116"/>
      <c r="V283" s="116"/>
      <c r="W283" s="116"/>
      <c r="X283" s="116"/>
      <c r="Y283" s="116"/>
      <c r="Z283" s="116"/>
    </row>
    <row r="284" spans="1:26" ht="15">
      <c r="A284" s="116"/>
      <c r="B284" s="988"/>
      <c r="C284" s="116"/>
      <c r="D284" s="116"/>
      <c r="E284" s="116"/>
      <c r="F284" s="116"/>
      <c r="G284" s="116"/>
      <c r="H284" s="116"/>
      <c r="I284" s="116"/>
      <c r="J284" s="116"/>
      <c r="K284" s="116"/>
      <c r="L284" s="116"/>
      <c r="M284" s="116"/>
      <c r="N284" s="116"/>
      <c r="O284" s="116"/>
      <c r="P284" s="116"/>
      <c r="Q284" s="116"/>
      <c r="R284" s="116"/>
      <c r="S284" s="116"/>
      <c r="T284" s="116"/>
      <c r="U284" s="116"/>
      <c r="V284" s="116"/>
      <c r="W284" s="116"/>
      <c r="X284" s="116"/>
      <c r="Y284" s="116"/>
      <c r="Z284" s="116"/>
    </row>
    <row r="285" spans="1:26" ht="15">
      <c r="A285" s="116"/>
      <c r="B285" s="988"/>
      <c r="C285" s="116"/>
      <c r="D285" s="116"/>
      <c r="E285" s="116"/>
      <c r="F285" s="116"/>
      <c r="G285" s="116"/>
      <c r="H285" s="116"/>
      <c r="I285" s="116"/>
      <c r="J285" s="116"/>
      <c r="K285" s="116"/>
      <c r="L285" s="116"/>
      <c r="M285" s="116"/>
      <c r="N285" s="116"/>
      <c r="O285" s="116"/>
      <c r="P285" s="116"/>
      <c r="Q285" s="116"/>
      <c r="R285" s="116"/>
      <c r="S285" s="116"/>
      <c r="T285" s="116"/>
      <c r="U285" s="116"/>
      <c r="V285" s="116"/>
      <c r="W285" s="116"/>
      <c r="X285" s="116"/>
      <c r="Y285" s="116"/>
      <c r="Z285" s="116"/>
    </row>
    <row r="286" spans="1:26" ht="15">
      <c r="A286" s="116"/>
      <c r="B286" s="988"/>
      <c r="C286" s="116"/>
      <c r="D286" s="116"/>
      <c r="E286" s="116"/>
      <c r="F286" s="116"/>
      <c r="G286" s="116"/>
      <c r="H286" s="116"/>
      <c r="I286" s="116"/>
      <c r="J286" s="116"/>
      <c r="K286" s="116"/>
      <c r="L286" s="116"/>
      <c r="M286" s="116"/>
      <c r="N286" s="116"/>
      <c r="O286" s="116"/>
      <c r="P286" s="116"/>
      <c r="Q286" s="116"/>
      <c r="R286" s="116"/>
      <c r="S286" s="116"/>
      <c r="T286" s="116"/>
      <c r="U286" s="116"/>
      <c r="V286" s="116"/>
      <c r="W286" s="116"/>
      <c r="X286" s="116"/>
      <c r="Y286" s="116"/>
      <c r="Z286" s="116"/>
    </row>
    <row r="287" spans="1:26" ht="15">
      <c r="A287" s="116"/>
      <c r="B287" s="988"/>
      <c r="C287" s="116"/>
      <c r="D287" s="116"/>
      <c r="E287" s="116"/>
      <c r="F287" s="116"/>
      <c r="G287" s="116"/>
      <c r="H287" s="116"/>
      <c r="I287" s="116"/>
      <c r="J287" s="116"/>
      <c r="K287" s="116"/>
      <c r="L287" s="116"/>
      <c r="M287" s="116"/>
      <c r="N287" s="116"/>
      <c r="O287" s="116"/>
      <c r="P287" s="116"/>
      <c r="Q287" s="116"/>
      <c r="R287" s="116"/>
      <c r="S287" s="116"/>
      <c r="T287" s="116"/>
      <c r="U287" s="116"/>
      <c r="V287" s="116"/>
      <c r="W287" s="116"/>
      <c r="X287" s="116"/>
      <c r="Y287" s="116"/>
      <c r="Z287" s="116"/>
    </row>
    <row r="288" spans="1:26" ht="15">
      <c r="A288" s="116"/>
      <c r="B288" s="988"/>
      <c r="C288" s="116"/>
      <c r="D288" s="116"/>
      <c r="E288" s="116"/>
      <c r="F288" s="116"/>
      <c r="G288" s="116"/>
      <c r="H288" s="116"/>
      <c r="I288" s="116"/>
      <c r="J288" s="116"/>
      <c r="K288" s="116"/>
      <c r="L288" s="116"/>
      <c r="M288" s="116"/>
      <c r="N288" s="116"/>
      <c r="O288" s="116"/>
      <c r="P288" s="116"/>
      <c r="Q288" s="116"/>
      <c r="R288" s="116"/>
      <c r="S288" s="116"/>
      <c r="T288" s="116"/>
      <c r="U288" s="116"/>
      <c r="V288" s="116"/>
      <c r="W288" s="116"/>
      <c r="X288" s="116"/>
      <c r="Y288" s="116"/>
      <c r="Z288" s="116"/>
    </row>
    <row r="289" spans="1:26" ht="15">
      <c r="A289" s="116"/>
      <c r="B289" s="988"/>
      <c r="C289" s="116"/>
      <c r="D289" s="116"/>
      <c r="E289" s="116"/>
      <c r="F289" s="116"/>
      <c r="G289" s="116"/>
      <c r="H289" s="116"/>
      <c r="I289" s="116"/>
      <c r="J289" s="116"/>
      <c r="K289" s="116"/>
      <c r="L289" s="116"/>
      <c r="M289" s="116"/>
      <c r="N289" s="116"/>
      <c r="O289" s="116"/>
      <c r="P289" s="116"/>
      <c r="Q289" s="116"/>
      <c r="R289" s="116"/>
      <c r="S289" s="116"/>
      <c r="T289" s="116"/>
      <c r="U289" s="116"/>
      <c r="V289" s="116"/>
      <c r="W289" s="116"/>
      <c r="X289" s="116"/>
      <c r="Y289" s="116"/>
      <c r="Z289" s="116"/>
    </row>
    <row r="290" spans="1:26" ht="15">
      <c r="A290" s="116"/>
      <c r="B290" s="988"/>
      <c r="C290" s="116"/>
      <c r="D290" s="116"/>
      <c r="E290" s="116"/>
      <c r="F290" s="116"/>
      <c r="G290" s="116"/>
      <c r="H290" s="116"/>
      <c r="I290" s="116"/>
      <c r="J290" s="116"/>
      <c r="K290" s="116"/>
      <c r="L290" s="116"/>
      <c r="M290" s="116"/>
      <c r="N290" s="116"/>
      <c r="O290" s="116"/>
      <c r="P290" s="116"/>
      <c r="Q290" s="116"/>
      <c r="R290" s="116"/>
      <c r="S290" s="116"/>
      <c r="T290" s="116"/>
      <c r="U290" s="116"/>
      <c r="V290" s="116"/>
      <c r="W290" s="116"/>
      <c r="X290" s="116"/>
      <c r="Y290" s="116"/>
      <c r="Z290" s="116"/>
    </row>
    <row r="291" spans="1:26" ht="15">
      <c r="A291" s="116"/>
      <c r="B291" s="988"/>
      <c r="C291" s="116"/>
      <c r="D291" s="116"/>
      <c r="E291" s="116"/>
      <c r="F291" s="116"/>
      <c r="G291" s="116"/>
      <c r="H291" s="116"/>
      <c r="I291" s="116"/>
      <c r="J291" s="116"/>
      <c r="K291" s="116"/>
      <c r="L291" s="116"/>
      <c r="M291" s="116"/>
      <c r="N291" s="116"/>
      <c r="O291" s="116"/>
      <c r="P291" s="116"/>
      <c r="Q291" s="116"/>
      <c r="R291" s="116"/>
      <c r="S291" s="116"/>
      <c r="T291" s="116"/>
      <c r="U291" s="116"/>
      <c r="V291" s="116"/>
      <c r="W291" s="116"/>
      <c r="X291" s="116"/>
      <c r="Y291" s="116"/>
      <c r="Z291" s="116"/>
    </row>
    <row r="292" spans="1:26" ht="15">
      <c r="A292" s="116"/>
      <c r="B292" s="988"/>
      <c r="C292" s="116"/>
      <c r="D292" s="116"/>
      <c r="E292" s="116"/>
      <c r="F292" s="116"/>
      <c r="G292" s="116"/>
      <c r="H292" s="116"/>
      <c r="I292" s="116"/>
      <c r="J292" s="116"/>
      <c r="K292" s="116"/>
      <c r="L292" s="116"/>
      <c r="M292" s="116"/>
      <c r="N292" s="116"/>
      <c r="O292" s="116"/>
      <c r="P292" s="116"/>
      <c r="Q292" s="116"/>
      <c r="R292" s="116"/>
      <c r="S292" s="116"/>
      <c r="T292" s="116"/>
      <c r="U292" s="116"/>
      <c r="V292" s="116"/>
      <c r="W292" s="116"/>
      <c r="X292" s="116"/>
      <c r="Y292" s="116"/>
      <c r="Z292" s="116"/>
    </row>
    <row r="293" spans="1:26" ht="15">
      <c r="A293" s="116"/>
      <c r="B293" s="988"/>
      <c r="C293" s="116"/>
      <c r="D293" s="116"/>
      <c r="E293" s="116"/>
      <c r="F293" s="116"/>
      <c r="G293" s="116"/>
      <c r="H293" s="116"/>
      <c r="I293" s="116"/>
      <c r="J293" s="116"/>
      <c r="K293" s="116"/>
      <c r="L293" s="116"/>
      <c r="M293" s="116"/>
      <c r="N293" s="116"/>
      <c r="O293" s="116"/>
      <c r="P293" s="116"/>
      <c r="Q293" s="116"/>
      <c r="R293" s="116"/>
      <c r="S293" s="116"/>
      <c r="T293" s="116"/>
      <c r="U293" s="116"/>
      <c r="V293" s="116"/>
      <c r="W293" s="116"/>
      <c r="X293" s="116"/>
      <c r="Y293" s="116"/>
      <c r="Z293" s="116"/>
    </row>
    <row r="294" spans="1:26" ht="15">
      <c r="A294" s="116"/>
      <c r="B294" s="988"/>
      <c r="C294" s="116"/>
      <c r="D294" s="116"/>
      <c r="E294" s="116"/>
      <c r="F294" s="116"/>
      <c r="G294" s="116"/>
      <c r="H294" s="116"/>
      <c r="I294" s="116"/>
      <c r="J294" s="116"/>
      <c r="K294" s="116"/>
      <c r="L294" s="116"/>
      <c r="M294" s="116"/>
      <c r="N294" s="116"/>
      <c r="O294" s="116"/>
      <c r="P294" s="116"/>
      <c r="Q294" s="116"/>
      <c r="R294" s="116"/>
      <c r="S294" s="116"/>
      <c r="T294" s="116"/>
      <c r="U294" s="116"/>
      <c r="V294" s="116"/>
      <c r="W294" s="116"/>
      <c r="X294" s="116"/>
      <c r="Y294" s="116"/>
      <c r="Z294" s="116"/>
    </row>
    <row r="295" spans="1:26" ht="15">
      <c r="A295" s="116"/>
      <c r="B295" s="988"/>
      <c r="C295" s="116"/>
      <c r="D295" s="116"/>
      <c r="E295" s="116"/>
      <c r="F295" s="116"/>
      <c r="G295" s="116"/>
      <c r="H295" s="116"/>
      <c r="I295" s="116"/>
      <c r="J295" s="116"/>
      <c r="K295" s="116"/>
      <c r="L295" s="116"/>
      <c r="M295" s="116"/>
      <c r="N295" s="116"/>
      <c r="O295" s="116"/>
      <c r="P295" s="116"/>
      <c r="Q295" s="116"/>
      <c r="R295" s="116"/>
      <c r="S295" s="116"/>
      <c r="T295" s="116"/>
      <c r="U295" s="116"/>
      <c r="V295" s="116"/>
      <c r="W295" s="116"/>
      <c r="X295" s="116"/>
      <c r="Y295" s="116"/>
      <c r="Z295" s="116"/>
    </row>
    <row r="296" spans="1:26" ht="15">
      <c r="A296" s="116"/>
      <c r="B296" s="988"/>
      <c r="C296" s="116"/>
      <c r="D296" s="116"/>
      <c r="E296" s="116"/>
      <c r="F296" s="116"/>
      <c r="G296" s="116"/>
      <c r="H296" s="116"/>
      <c r="I296" s="116"/>
      <c r="J296" s="116"/>
      <c r="K296" s="116"/>
      <c r="L296" s="116"/>
      <c r="M296" s="116"/>
      <c r="N296" s="116"/>
      <c r="O296" s="116"/>
      <c r="P296" s="116"/>
      <c r="Q296" s="116"/>
      <c r="R296" s="116"/>
      <c r="S296" s="116"/>
      <c r="T296" s="116"/>
      <c r="U296" s="116"/>
      <c r="V296" s="116"/>
      <c r="W296" s="116"/>
      <c r="X296" s="116"/>
      <c r="Y296" s="116"/>
      <c r="Z296" s="116"/>
    </row>
    <row r="297" spans="1:26" ht="15">
      <c r="A297" s="116"/>
      <c r="B297" s="988"/>
      <c r="C297" s="116"/>
      <c r="D297" s="116"/>
      <c r="E297" s="116"/>
      <c r="F297" s="116"/>
      <c r="G297" s="116"/>
      <c r="H297" s="116"/>
      <c r="I297" s="116"/>
      <c r="J297" s="116"/>
      <c r="K297" s="116"/>
      <c r="L297" s="116"/>
      <c r="M297" s="116"/>
      <c r="N297" s="116"/>
      <c r="O297" s="116"/>
      <c r="P297" s="116"/>
      <c r="Q297" s="116"/>
      <c r="R297" s="116"/>
      <c r="S297" s="116"/>
      <c r="T297" s="116"/>
      <c r="U297" s="116"/>
      <c r="V297" s="116"/>
      <c r="W297" s="116"/>
      <c r="X297" s="116"/>
      <c r="Y297" s="116"/>
      <c r="Z297" s="116"/>
    </row>
    <row r="298" spans="1:26" ht="15">
      <c r="A298" s="116"/>
      <c r="B298" s="988"/>
      <c r="C298" s="116"/>
      <c r="D298" s="116"/>
      <c r="E298" s="116"/>
      <c r="F298" s="116"/>
      <c r="G298" s="116"/>
      <c r="H298" s="116"/>
      <c r="I298" s="116"/>
      <c r="J298" s="116"/>
      <c r="K298" s="116"/>
      <c r="L298" s="116"/>
      <c r="M298" s="116"/>
      <c r="N298" s="116"/>
      <c r="O298" s="116"/>
      <c r="P298" s="116"/>
      <c r="Q298" s="116"/>
      <c r="R298" s="116"/>
      <c r="S298" s="116"/>
      <c r="T298" s="116"/>
      <c r="U298" s="116"/>
      <c r="V298" s="116"/>
      <c r="W298" s="116"/>
      <c r="X298" s="116"/>
      <c r="Y298" s="116"/>
      <c r="Z298" s="116"/>
    </row>
    <row r="299" spans="1:26" ht="15">
      <c r="A299" s="116"/>
      <c r="B299" s="988"/>
      <c r="C299" s="116"/>
      <c r="D299" s="116"/>
      <c r="E299" s="116"/>
      <c r="F299" s="116"/>
      <c r="G299" s="116"/>
      <c r="H299" s="116"/>
      <c r="I299" s="116"/>
      <c r="J299" s="116"/>
      <c r="K299" s="116"/>
      <c r="L299" s="116"/>
      <c r="M299" s="116"/>
      <c r="N299" s="116"/>
      <c r="O299" s="116"/>
      <c r="P299" s="116"/>
      <c r="Q299" s="116"/>
      <c r="R299" s="116"/>
      <c r="S299" s="116"/>
      <c r="T299" s="116"/>
      <c r="U299" s="116"/>
      <c r="V299" s="116"/>
      <c r="W299" s="116"/>
      <c r="X299" s="116"/>
      <c r="Y299" s="116"/>
      <c r="Z299" s="116"/>
    </row>
    <row r="300" spans="1:26" ht="15">
      <c r="A300" s="116"/>
      <c r="B300" s="988"/>
      <c r="C300" s="116"/>
      <c r="D300" s="116"/>
      <c r="E300" s="116"/>
      <c r="F300" s="116"/>
      <c r="G300" s="116"/>
      <c r="H300" s="116"/>
      <c r="I300" s="116"/>
      <c r="J300" s="116"/>
      <c r="K300" s="116"/>
      <c r="L300" s="116"/>
      <c r="M300" s="116"/>
      <c r="N300" s="116"/>
      <c r="O300" s="116"/>
      <c r="P300" s="116"/>
      <c r="Q300" s="116"/>
      <c r="R300" s="116"/>
      <c r="S300" s="116"/>
      <c r="T300" s="116"/>
      <c r="U300" s="116"/>
      <c r="V300" s="116"/>
      <c r="W300" s="116"/>
      <c r="X300" s="116"/>
      <c r="Y300" s="116"/>
      <c r="Z300" s="116"/>
    </row>
    <row r="301" spans="1:26" ht="15">
      <c r="A301" s="116"/>
      <c r="B301" s="988"/>
      <c r="C301" s="116"/>
      <c r="D301" s="116"/>
      <c r="E301" s="116"/>
      <c r="F301" s="116"/>
      <c r="G301" s="116"/>
      <c r="H301" s="116"/>
      <c r="I301" s="116"/>
      <c r="J301" s="116"/>
      <c r="K301" s="116"/>
      <c r="L301" s="116"/>
      <c r="M301" s="116"/>
      <c r="N301" s="116"/>
      <c r="O301" s="116"/>
      <c r="P301" s="116"/>
      <c r="Q301" s="116"/>
      <c r="R301" s="116"/>
      <c r="S301" s="116"/>
      <c r="T301" s="116"/>
      <c r="U301" s="116"/>
      <c r="V301" s="116"/>
      <c r="W301" s="116"/>
      <c r="X301" s="116"/>
      <c r="Y301" s="116"/>
      <c r="Z301" s="116"/>
    </row>
    <row r="302" spans="1:26" ht="15">
      <c r="A302" s="116"/>
      <c r="B302" s="988"/>
      <c r="C302" s="116"/>
      <c r="D302" s="116"/>
      <c r="E302" s="116"/>
      <c r="F302" s="116"/>
      <c r="G302" s="116"/>
      <c r="H302" s="116"/>
      <c r="I302" s="116"/>
      <c r="J302" s="116"/>
      <c r="K302" s="116"/>
      <c r="L302" s="116"/>
      <c r="M302" s="116"/>
      <c r="N302" s="116"/>
      <c r="O302" s="116"/>
      <c r="P302" s="116"/>
      <c r="Q302" s="116"/>
      <c r="R302" s="116"/>
      <c r="S302" s="116"/>
      <c r="T302" s="116"/>
      <c r="U302" s="116"/>
      <c r="V302" s="116"/>
      <c r="W302" s="116"/>
      <c r="X302" s="116"/>
      <c r="Y302" s="116"/>
      <c r="Z302" s="116"/>
    </row>
    <row r="303" spans="1:26" ht="15">
      <c r="A303" s="116"/>
      <c r="B303" s="988"/>
      <c r="C303" s="116"/>
      <c r="D303" s="116"/>
      <c r="E303" s="116"/>
      <c r="F303" s="116"/>
      <c r="G303" s="116"/>
      <c r="H303" s="116"/>
      <c r="I303" s="116"/>
      <c r="J303" s="116"/>
      <c r="K303" s="116"/>
      <c r="L303" s="116"/>
      <c r="M303" s="116"/>
      <c r="N303" s="116"/>
      <c r="O303" s="116"/>
      <c r="P303" s="116"/>
      <c r="Q303" s="116"/>
      <c r="R303" s="116"/>
      <c r="S303" s="116"/>
      <c r="T303" s="116"/>
      <c r="U303" s="116"/>
      <c r="V303" s="116"/>
      <c r="W303" s="116"/>
      <c r="X303" s="116"/>
      <c r="Y303" s="116"/>
      <c r="Z303" s="116"/>
    </row>
    <row r="304" spans="1:26" ht="15">
      <c r="A304" s="116"/>
      <c r="B304" s="988"/>
      <c r="C304" s="116"/>
      <c r="D304" s="116"/>
      <c r="E304" s="116"/>
      <c r="F304" s="116"/>
      <c r="G304" s="116"/>
      <c r="H304" s="116"/>
      <c r="I304" s="116"/>
      <c r="J304" s="116"/>
      <c r="K304" s="116"/>
      <c r="L304" s="116"/>
      <c r="M304" s="116"/>
      <c r="N304" s="116"/>
      <c r="O304" s="116"/>
      <c r="P304" s="116"/>
      <c r="Q304" s="116"/>
      <c r="R304" s="116"/>
      <c r="S304" s="116"/>
      <c r="T304" s="116"/>
      <c r="U304" s="116"/>
      <c r="V304" s="116"/>
      <c r="W304" s="116"/>
      <c r="X304" s="116"/>
      <c r="Y304" s="116"/>
      <c r="Z304" s="116"/>
    </row>
    <row r="305" spans="1:26" ht="15">
      <c r="A305" s="116"/>
      <c r="B305" s="988"/>
      <c r="C305" s="116"/>
      <c r="D305" s="116"/>
      <c r="E305" s="116"/>
      <c r="F305" s="116"/>
      <c r="G305" s="116"/>
      <c r="H305" s="116"/>
      <c r="I305" s="116"/>
      <c r="J305" s="116"/>
      <c r="K305" s="116"/>
      <c r="L305" s="116"/>
      <c r="M305" s="116"/>
      <c r="N305" s="116"/>
      <c r="O305" s="116"/>
      <c r="P305" s="116"/>
      <c r="Q305" s="116"/>
      <c r="R305" s="116"/>
      <c r="S305" s="116"/>
      <c r="T305" s="116"/>
      <c r="U305" s="116"/>
      <c r="V305" s="116"/>
      <c r="W305" s="116"/>
      <c r="X305" s="116"/>
      <c r="Y305" s="116"/>
      <c r="Z305" s="116"/>
    </row>
    <row r="306" spans="1:26" ht="15">
      <c r="A306" s="116"/>
      <c r="B306" s="988"/>
      <c r="C306" s="116"/>
      <c r="D306" s="116"/>
      <c r="E306" s="116"/>
      <c r="F306" s="116"/>
      <c r="G306" s="116"/>
      <c r="H306" s="116"/>
      <c r="I306" s="116"/>
      <c r="J306" s="116"/>
      <c r="K306" s="116"/>
      <c r="L306" s="116"/>
      <c r="M306" s="116"/>
      <c r="N306" s="116"/>
      <c r="O306" s="116"/>
      <c r="P306" s="116"/>
      <c r="Q306" s="116"/>
      <c r="R306" s="116"/>
      <c r="S306" s="116"/>
      <c r="T306" s="116"/>
      <c r="U306" s="116"/>
      <c r="V306" s="116"/>
      <c r="W306" s="116"/>
      <c r="X306" s="116"/>
      <c r="Y306" s="116"/>
      <c r="Z306" s="116"/>
    </row>
    <row r="307" spans="1:26" ht="15">
      <c r="A307" s="116"/>
      <c r="B307" s="988"/>
      <c r="C307" s="116"/>
      <c r="D307" s="116"/>
      <c r="E307" s="116"/>
      <c r="F307" s="116"/>
      <c r="G307" s="116"/>
      <c r="H307" s="116"/>
      <c r="I307" s="116"/>
      <c r="J307" s="116"/>
      <c r="K307" s="116"/>
      <c r="L307" s="116"/>
      <c r="M307" s="116"/>
      <c r="N307" s="116"/>
      <c r="O307" s="116"/>
      <c r="P307" s="116"/>
      <c r="Q307" s="116"/>
      <c r="R307" s="116"/>
      <c r="S307" s="116"/>
      <c r="T307" s="116"/>
      <c r="U307" s="116"/>
      <c r="V307" s="116"/>
      <c r="W307" s="116"/>
      <c r="X307" s="116"/>
      <c r="Y307" s="116"/>
      <c r="Z307" s="116"/>
    </row>
    <row r="308" spans="1:26" ht="15">
      <c r="A308" s="116"/>
      <c r="B308" s="988"/>
      <c r="C308" s="116"/>
      <c r="D308" s="116"/>
      <c r="E308" s="116"/>
      <c r="F308" s="116"/>
      <c r="G308" s="116"/>
      <c r="H308" s="116"/>
      <c r="I308" s="116"/>
      <c r="J308" s="116"/>
      <c r="K308" s="116"/>
      <c r="L308" s="116"/>
      <c r="M308" s="116"/>
      <c r="N308" s="116"/>
      <c r="O308" s="116"/>
      <c r="P308" s="116"/>
      <c r="Q308" s="116"/>
      <c r="R308" s="116"/>
      <c r="S308" s="116"/>
      <c r="T308" s="116"/>
      <c r="U308" s="116"/>
      <c r="V308" s="116"/>
      <c r="W308" s="116"/>
      <c r="X308" s="116"/>
      <c r="Y308" s="116"/>
      <c r="Z308" s="116"/>
    </row>
    <row r="309" spans="1:26" ht="15">
      <c r="A309" s="116"/>
      <c r="B309" s="988"/>
      <c r="C309" s="116"/>
      <c r="D309" s="116"/>
      <c r="E309" s="116"/>
      <c r="F309" s="116"/>
      <c r="G309" s="116"/>
      <c r="H309" s="116"/>
      <c r="I309" s="116"/>
      <c r="J309" s="116"/>
      <c r="K309" s="116"/>
      <c r="L309" s="116"/>
      <c r="M309" s="116"/>
      <c r="N309" s="116"/>
      <c r="O309" s="116"/>
      <c r="P309" s="116"/>
      <c r="Q309" s="116"/>
      <c r="R309" s="116"/>
      <c r="S309" s="116"/>
      <c r="T309" s="116"/>
      <c r="U309" s="116"/>
      <c r="V309" s="116"/>
      <c r="W309" s="116"/>
      <c r="X309" s="116"/>
      <c r="Y309" s="116"/>
      <c r="Z309" s="116"/>
    </row>
    <row r="310" spans="1:26" ht="15">
      <c r="A310" s="116"/>
      <c r="B310" s="988"/>
      <c r="C310" s="116"/>
      <c r="D310" s="116"/>
      <c r="E310" s="116"/>
      <c r="F310" s="116"/>
      <c r="G310" s="116"/>
      <c r="H310" s="116"/>
      <c r="I310" s="116"/>
      <c r="J310" s="116"/>
      <c r="K310" s="116"/>
      <c r="L310" s="116"/>
      <c r="M310" s="116"/>
      <c r="N310" s="116"/>
      <c r="O310" s="116"/>
      <c r="P310" s="116"/>
      <c r="Q310" s="116"/>
      <c r="R310" s="116"/>
      <c r="S310" s="116"/>
      <c r="T310" s="116"/>
      <c r="U310" s="116"/>
      <c r="V310" s="116"/>
      <c r="W310" s="116"/>
      <c r="X310" s="116"/>
      <c r="Y310" s="116"/>
      <c r="Z310" s="116"/>
    </row>
    <row r="311" spans="1:26" ht="15">
      <c r="A311" s="116"/>
      <c r="B311" s="988"/>
      <c r="C311" s="116"/>
      <c r="D311" s="116"/>
      <c r="E311" s="116"/>
      <c r="F311" s="116"/>
      <c r="G311" s="116"/>
      <c r="H311" s="116"/>
      <c r="I311" s="116"/>
      <c r="J311" s="116"/>
      <c r="K311" s="116"/>
      <c r="L311" s="116"/>
      <c r="M311" s="116"/>
      <c r="N311" s="116"/>
      <c r="O311" s="116"/>
      <c r="P311" s="116"/>
      <c r="Q311" s="116"/>
      <c r="R311" s="116"/>
      <c r="S311" s="116"/>
      <c r="T311" s="116"/>
      <c r="U311" s="116"/>
      <c r="V311" s="116"/>
      <c r="W311" s="116"/>
      <c r="X311" s="116"/>
      <c r="Y311" s="116"/>
      <c r="Z311" s="116"/>
    </row>
    <row r="312" spans="1:26" ht="15">
      <c r="A312" s="116"/>
      <c r="B312" s="988"/>
      <c r="C312" s="116"/>
      <c r="D312" s="116"/>
      <c r="E312" s="116"/>
      <c r="F312" s="116"/>
      <c r="G312" s="116"/>
      <c r="H312" s="116"/>
      <c r="I312" s="116"/>
      <c r="J312" s="116"/>
      <c r="K312" s="116"/>
      <c r="L312" s="116"/>
      <c r="M312" s="116"/>
      <c r="N312" s="116"/>
      <c r="O312" s="116"/>
      <c r="P312" s="116"/>
      <c r="Q312" s="116"/>
      <c r="R312" s="116"/>
      <c r="S312" s="116"/>
      <c r="T312" s="116"/>
      <c r="U312" s="116"/>
      <c r="V312" s="116"/>
      <c r="W312" s="116"/>
      <c r="X312" s="116"/>
      <c r="Y312" s="116"/>
      <c r="Z312" s="116"/>
    </row>
    <row r="313" spans="1:26" ht="15">
      <c r="A313" s="116"/>
      <c r="B313" s="988"/>
      <c r="C313" s="116"/>
      <c r="D313" s="116"/>
      <c r="E313" s="116"/>
      <c r="F313" s="116"/>
      <c r="G313" s="116"/>
      <c r="H313" s="116"/>
      <c r="I313" s="116"/>
      <c r="J313" s="116"/>
      <c r="K313" s="116"/>
      <c r="L313" s="116"/>
      <c r="M313" s="116"/>
      <c r="N313" s="116"/>
      <c r="O313" s="116"/>
      <c r="P313" s="116"/>
      <c r="Q313" s="116"/>
      <c r="R313" s="116"/>
      <c r="S313" s="116"/>
      <c r="T313" s="116"/>
      <c r="U313" s="116"/>
      <c r="V313" s="116"/>
      <c r="W313" s="116"/>
      <c r="X313" s="116"/>
      <c r="Y313" s="116"/>
      <c r="Z313" s="116"/>
    </row>
    <row r="314" spans="1:26" ht="15">
      <c r="A314" s="116"/>
      <c r="B314" s="988"/>
      <c r="C314" s="116"/>
      <c r="D314" s="116"/>
      <c r="E314" s="116"/>
      <c r="F314" s="116"/>
      <c r="G314" s="116"/>
      <c r="H314" s="116"/>
      <c r="I314" s="116"/>
      <c r="J314" s="116"/>
      <c r="K314" s="116"/>
      <c r="L314" s="116"/>
      <c r="M314" s="116"/>
      <c r="N314" s="116"/>
      <c r="O314" s="116"/>
      <c r="P314" s="116"/>
      <c r="Q314" s="116"/>
      <c r="R314" s="116"/>
      <c r="S314" s="116"/>
      <c r="T314" s="116"/>
      <c r="U314" s="116"/>
      <c r="V314" s="116"/>
      <c r="W314" s="116"/>
      <c r="X314" s="116"/>
      <c r="Y314" s="116"/>
      <c r="Z314" s="116"/>
    </row>
    <row r="315" spans="1:26" ht="15">
      <c r="A315" s="116"/>
      <c r="B315" s="988"/>
      <c r="C315" s="116"/>
      <c r="D315" s="116"/>
      <c r="E315" s="116"/>
      <c r="F315" s="116"/>
      <c r="G315" s="116"/>
      <c r="H315" s="116"/>
      <c r="I315" s="116"/>
      <c r="J315" s="116"/>
      <c r="K315" s="116"/>
      <c r="L315" s="116"/>
      <c r="M315" s="116"/>
      <c r="N315" s="116"/>
      <c r="O315" s="116"/>
      <c r="P315" s="116"/>
      <c r="Q315" s="116"/>
      <c r="R315" s="116"/>
      <c r="S315" s="116"/>
      <c r="T315" s="116"/>
      <c r="U315" s="116"/>
      <c r="V315" s="116"/>
      <c r="W315" s="116"/>
      <c r="X315" s="116"/>
      <c r="Y315" s="116"/>
      <c r="Z315" s="116"/>
    </row>
    <row r="316" spans="1:26" ht="15">
      <c r="A316" s="116"/>
      <c r="B316" s="988"/>
      <c r="C316" s="116"/>
      <c r="D316" s="116"/>
      <c r="E316" s="116"/>
      <c r="F316" s="116"/>
      <c r="G316" s="116"/>
      <c r="H316" s="116"/>
      <c r="I316" s="116"/>
      <c r="J316" s="116"/>
      <c r="K316" s="116"/>
      <c r="L316" s="116"/>
      <c r="M316" s="116"/>
      <c r="N316" s="116"/>
      <c r="O316" s="116"/>
      <c r="P316" s="116"/>
      <c r="Q316" s="116"/>
      <c r="R316" s="116"/>
      <c r="S316" s="116"/>
      <c r="T316" s="116"/>
      <c r="U316" s="116"/>
      <c r="V316" s="116"/>
      <c r="W316" s="116"/>
      <c r="X316" s="116"/>
      <c r="Y316" s="116"/>
      <c r="Z316" s="116"/>
    </row>
    <row r="317" spans="1:26" ht="15">
      <c r="A317" s="116"/>
      <c r="B317" s="988"/>
      <c r="C317" s="116"/>
      <c r="D317" s="116"/>
      <c r="E317" s="116"/>
      <c r="F317" s="116"/>
      <c r="G317" s="116"/>
      <c r="H317" s="116"/>
      <c r="I317" s="116"/>
      <c r="J317" s="116"/>
      <c r="K317" s="116"/>
      <c r="L317" s="116"/>
      <c r="M317" s="116"/>
      <c r="N317" s="116"/>
      <c r="O317" s="116"/>
      <c r="P317" s="116"/>
      <c r="Q317" s="116"/>
      <c r="R317" s="116"/>
      <c r="S317" s="116"/>
      <c r="T317" s="116"/>
      <c r="U317" s="116"/>
      <c r="V317" s="116"/>
      <c r="W317" s="116"/>
      <c r="X317" s="116"/>
      <c r="Y317" s="116"/>
      <c r="Z317" s="116"/>
    </row>
    <row r="318" spans="1:26" ht="15">
      <c r="A318" s="116"/>
      <c r="B318" s="988"/>
      <c r="C318" s="116"/>
      <c r="D318" s="116"/>
      <c r="E318" s="116"/>
      <c r="F318" s="116"/>
      <c r="G318" s="116"/>
      <c r="H318" s="116"/>
      <c r="I318" s="116"/>
      <c r="J318" s="116"/>
      <c r="K318" s="116"/>
      <c r="L318" s="116"/>
      <c r="M318" s="116"/>
      <c r="N318" s="116"/>
      <c r="O318" s="116"/>
      <c r="P318" s="116"/>
      <c r="Q318" s="116"/>
      <c r="R318" s="116"/>
      <c r="S318" s="116"/>
      <c r="T318" s="116"/>
      <c r="U318" s="116"/>
      <c r="V318" s="116"/>
      <c r="W318" s="116"/>
      <c r="X318" s="116"/>
      <c r="Y318" s="116"/>
      <c r="Z318" s="116"/>
    </row>
    <row r="319" spans="1:26" ht="15">
      <c r="A319" s="116"/>
      <c r="B319" s="988"/>
      <c r="C319" s="116"/>
      <c r="D319" s="116"/>
      <c r="E319" s="116"/>
      <c r="F319" s="116"/>
      <c r="G319" s="116"/>
      <c r="H319" s="116"/>
      <c r="I319" s="116"/>
      <c r="J319" s="116"/>
      <c r="K319" s="116"/>
      <c r="L319" s="116"/>
      <c r="M319" s="116"/>
      <c r="N319" s="116"/>
      <c r="O319" s="116"/>
      <c r="P319" s="116"/>
      <c r="Q319" s="116"/>
      <c r="R319" s="116"/>
      <c r="S319" s="116"/>
      <c r="T319" s="116"/>
      <c r="U319" s="116"/>
      <c r="V319" s="116"/>
      <c r="W319" s="116"/>
      <c r="X319" s="116"/>
      <c r="Y319" s="116"/>
      <c r="Z319" s="116"/>
    </row>
    <row r="320" spans="1:26" ht="15">
      <c r="A320" s="116"/>
      <c r="B320" s="988"/>
      <c r="C320" s="116"/>
      <c r="D320" s="116"/>
      <c r="E320" s="116"/>
      <c r="F320" s="116"/>
      <c r="G320" s="116"/>
      <c r="H320" s="116"/>
      <c r="I320" s="116"/>
      <c r="J320" s="116"/>
      <c r="K320" s="116"/>
      <c r="L320" s="116"/>
      <c r="M320" s="116"/>
      <c r="N320" s="116"/>
      <c r="O320" s="116"/>
      <c r="P320" s="116"/>
      <c r="Q320" s="116"/>
      <c r="R320" s="116"/>
      <c r="S320" s="116"/>
      <c r="T320" s="116"/>
      <c r="U320" s="116"/>
      <c r="V320" s="116"/>
      <c r="W320" s="116"/>
      <c r="X320" s="116"/>
      <c r="Y320" s="116"/>
      <c r="Z320" s="116"/>
    </row>
    <row r="321" spans="1:26" ht="15">
      <c r="A321" s="116"/>
      <c r="B321" s="988"/>
      <c r="C321" s="116"/>
      <c r="D321" s="116"/>
      <c r="E321" s="116"/>
      <c r="F321" s="116"/>
      <c r="G321" s="116"/>
      <c r="H321" s="116"/>
      <c r="I321" s="116"/>
      <c r="J321" s="116"/>
      <c r="K321" s="116"/>
      <c r="L321" s="116"/>
      <c r="M321" s="116"/>
      <c r="N321" s="116"/>
      <c r="O321" s="116"/>
      <c r="P321" s="116"/>
      <c r="Q321" s="116"/>
      <c r="R321" s="116"/>
      <c r="S321" s="116"/>
      <c r="T321" s="116"/>
      <c r="U321" s="116"/>
      <c r="V321" s="116"/>
      <c r="W321" s="116"/>
      <c r="X321" s="116"/>
      <c r="Y321" s="116"/>
      <c r="Z321" s="116"/>
    </row>
    <row r="322" spans="1:26" ht="15">
      <c r="A322" s="116"/>
      <c r="B322" s="988"/>
      <c r="C322" s="116"/>
      <c r="D322" s="116"/>
      <c r="E322" s="116"/>
      <c r="F322" s="116"/>
      <c r="G322" s="116"/>
      <c r="H322" s="116"/>
      <c r="I322" s="116"/>
      <c r="J322" s="116"/>
      <c r="K322" s="116"/>
      <c r="L322" s="116"/>
      <c r="M322" s="116"/>
      <c r="N322" s="116"/>
      <c r="O322" s="116"/>
      <c r="P322" s="116"/>
      <c r="Q322" s="116"/>
      <c r="R322" s="116"/>
      <c r="S322" s="116"/>
      <c r="T322" s="116"/>
      <c r="U322" s="116"/>
      <c r="V322" s="116"/>
      <c r="W322" s="116"/>
      <c r="X322" s="116"/>
      <c r="Y322" s="116"/>
      <c r="Z322" s="116"/>
    </row>
    <row r="323" spans="1:26" ht="15">
      <c r="A323" s="116"/>
      <c r="B323" s="988"/>
      <c r="C323" s="116"/>
      <c r="D323" s="116"/>
      <c r="E323" s="116"/>
      <c r="F323" s="116"/>
      <c r="G323" s="116"/>
      <c r="H323" s="116"/>
      <c r="I323" s="116"/>
      <c r="J323" s="116"/>
      <c r="K323" s="116"/>
      <c r="L323" s="116"/>
      <c r="M323" s="116"/>
      <c r="N323" s="116"/>
      <c r="O323" s="116"/>
      <c r="P323" s="116"/>
      <c r="Q323" s="116"/>
      <c r="R323" s="116"/>
      <c r="S323" s="116"/>
      <c r="T323" s="116"/>
      <c r="U323" s="116"/>
      <c r="V323" s="116"/>
      <c r="W323" s="116"/>
      <c r="X323" s="116"/>
      <c r="Y323" s="116"/>
      <c r="Z323" s="116"/>
    </row>
    <row r="324" spans="1:26" ht="15">
      <c r="A324" s="116"/>
      <c r="B324" s="988"/>
      <c r="C324" s="116"/>
      <c r="D324" s="116"/>
      <c r="E324" s="116"/>
      <c r="F324" s="116"/>
      <c r="G324" s="116"/>
      <c r="H324" s="116"/>
      <c r="I324" s="116"/>
      <c r="J324" s="116"/>
      <c r="K324" s="116"/>
      <c r="L324" s="116"/>
      <c r="M324" s="116"/>
      <c r="N324" s="116"/>
      <c r="O324" s="116"/>
      <c r="P324" s="116"/>
      <c r="Q324" s="116"/>
      <c r="R324" s="116"/>
      <c r="S324" s="116"/>
      <c r="T324" s="116"/>
      <c r="U324" s="116"/>
      <c r="V324" s="116"/>
      <c r="W324" s="116"/>
      <c r="X324" s="116"/>
      <c r="Y324" s="116"/>
      <c r="Z324" s="116"/>
    </row>
    <row r="325" spans="1:26" ht="15">
      <c r="A325" s="116"/>
      <c r="B325" s="988"/>
      <c r="C325" s="116"/>
      <c r="D325" s="116"/>
      <c r="E325" s="116"/>
      <c r="F325" s="116"/>
      <c r="G325" s="116"/>
      <c r="H325" s="116"/>
      <c r="I325" s="116"/>
      <c r="J325" s="116"/>
      <c r="K325" s="116"/>
      <c r="L325" s="116"/>
      <c r="M325" s="116"/>
      <c r="N325" s="116"/>
      <c r="O325" s="116"/>
      <c r="P325" s="116"/>
      <c r="Q325" s="116"/>
      <c r="R325" s="116"/>
      <c r="S325" s="116"/>
      <c r="T325" s="116"/>
      <c r="U325" s="116"/>
      <c r="V325" s="116"/>
      <c r="W325" s="116"/>
      <c r="X325" s="116"/>
      <c r="Y325" s="116"/>
      <c r="Z325" s="116"/>
    </row>
    <row r="326" spans="1:26" ht="15">
      <c r="A326" s="116"/>
      <c r="B326" s="988"/>
      <c r="C326" s="116"/>
      <c r="D326" s="116"/>
      <c r="E326" s="116"/>
      <c r="F326" s="116"/>
      <c r="G326" s="116"/>
      <c r="H326" s="116"/>
      <c r="I326" s="116"/>
      <c r="J326" s="116"/>
      <c r="K326" s="116"/>
      <c r="L326" s="116"/>
      <c r="M326" s="116"/>
      <c r="N326" s="116"/>
      <c r="O326" s="116"/>
      <c r="P326" s="116"/>
      <c r="Q326" s="116"/>
      <c r="R326" s="116"/>
      <c r="S326" s="116"/>
      <c r="T326" s="116"/>
      <c r="U326" s="116"/>
      <c r="V326" s="116"/>
      <c r="W326" s="116"/>
      <c r="X326" s="116"/>
      <c r="Y326" s="116"/>
      <c r="Z326" s="116"/>
    </row>
    <row r="327" spans="1:26" ht="15">
      <c r="A327" s="116"/>
      <c r="B327" s="988"/>
      <c r="C327" s="116"/>
      <c r="D327" s="116"/>
      <c r="E327" s="116"/>
      <c r="F327" s="116"/>
      <c r="G327" s="116"/>
      <c r="H327" s="116"/>
      <c r="I327" s="116"/>
      <c r="J327" s="116"/>
      <c r="K327" s="116"/>
      <c r="L327" s="116"/>
      <c r="M327" s="116"/>
      <c r="N327" s="116"/>
      <c r="O327" s="116"/>
      <c r="P327" s="116"/>
      <c r="Q327" s="116"/>
      <c r="R327" s="116"/>
      <c r="S327" s="116"/>
      <c r="T327" s="116"/>
      <c r="U327" s="116"/>
      <c r="V327" s="116"/>
      <c r="W327" s="116"/>
      <c r="X327" s="116"/>
      <c r="Y327" s="116"/>
      <c r="Z327" s="116"/>
    </row>
    <row r="328" spans="1:26" ht="15">
      <c r="A328" s="116"/>
      <c r="B328" s="988"/>
      <c r="C328" s="116"/>
      <c r="D328" s="116"/>
      <c r="E328" s="116"/>
      <c r="F328" s="116"/>
      <c r="G328" s="116"/>
      <c r="H328" s="116"/>
      <c r="I328" s="116"/>
      <c r="J328" s="116"/>
      <c r="K328" s="116"/>
      <c r="L328" s="116"/>
      <c r="M328" s="116"/>
      <c r="N328" s="116"/>
      <c r="O328" s="116"/>
      <c r="P328" s="116"/>
      <c r="Q328" s="116"/>
      <c r="R328" s="116"/>
      <c r="S328" s="116"/>
      <c r="T328" s="116"/>
      <c r="U328" s="116"/>
      <c r="V328" s="116"/>
      <c r="W328" s="116"/>
      <c r="X328" s="116"/>
      <c r="Y328" s="116"/>
      <c r="Z328" s="116"/>
    </row>
    <row r="329" spans="1:26" ht="15">
      <c r="A329" s="116"/>
      <c r="B329" s="988"/>
      <c r="C329" s="116"/>
      <c r="D329" s="116"/>
      <c r="E329" s="116"/>
      <c r="F329" s="116"/>
      <c r="G329" s="116"/>
      <c r="H329" s="116"/>
      <c r="I329" s="116"/>
      <c r="J329" s="116"/>
      <c r="K329" s="116"/>
      <c r="L329" s="116"/>
      <c r="M329" s="116"/>
      <c r="N329" s="116"/>
      <c r="O329" s="116"/>
      <c r="P329" s="116"/>
      <c r="Q329" s="116"/>
      <c r="R329" s="116"/>
      <c r="S329" s="116"/>
      <c r="T329" s="116"/>
      <c r="U329" s="116"/>
      <c r="V329" s="116"/>
      <c r="W329" s="116"/>
      <c r="X329" s="116"/>
      <c r="Y329" s="116"/>
      <c r="Z329" s="116"/>
    </row>
    <row r="330" spans="1:26" ht="15">
      <c r="A330" s="116"/>
      <c r="B330" s="988"/>
      <c r="C330" s="116"/>
      <c r="D330" s="116"/>
      <c r="E330" s="116"/>
      <c r="F330" s="116"/>
      <c r="G330" s="116"/>
      <c r="H330" s="116"/>
      <c r="I330" s="116"/>
      <c r="J330" s="116"/>
      <c r="K330" s="116"/>
      <c r="L330" s="116"/>
      <c r="M330" s="116"/>
      <c r="N330" s="116"/>
      <c r="O330" s="116"/>
      <c r="P330" s="116"/>
      <c r="Q330" s="116"/>
      <c r="R330" s="116"/>
      <c r="S330" s="116"/>
      <c r="T330" s="116"/>
      <c r="U330" s="116"/>
      <c r="V330" s="116"/>
      <c r="W330" s="116"/>
      <c r="X330" s="116"/>
      <c r="Y330" s="116"/>
      <c r="Z330" s="116"/>
    </row>
    <row r="331" spans="1:26" ht="15">
      <c r="A331" s="116"/>
      <c r="B331" s="988"/>
      <c r="C331" s="116"/>
      <c r="D331" s="116"/>
      <c r="E331" s="116"/>
      <c r="F331" s="116"/>
      <c r="G331" s="116"/>
      <c r="H331" s="116"/>
      <c r="I331" s="116"/>
      <c r="J331" s="116"/>
      <c r="K331" s="116"/>
      <c r="L331" s="116"/>
      <c r="M331" s="116"/>
      <c r="N331" s="116"/>
      <c r="O331" s="116"/>
      <c r="P331" s="116"/>
      <c r="Q331" s="116"/>
      <c r="R331" s="116"/>
      <c r="S331" s="116"/>
      <c r="T331" s="116"/>
      <c r="U331" s="116"/>
      <c r="V331" s="116"/>
      <c r="W331" s="116"/>
      <c r="X331" s="116"/>
      <c r="Y331" s="116"/>
      <c r="Z331" s="116"/>
    </row>
    <row r="332" spans="1:26" ht="15">
      <c r="A332" s="116"/>
      <c r="B332" s="988"/>
      <c r="C332" s="116"/>
      <c r="D332" s="116"/>
      <c r="E332" s="116"/>
      <c r="F332" s="116"/>
      <c r="G332" s="116"/>
      <c r="H332" s="116"/>
      <c r="I332" s="116"/>
      <c r="J332" s="116"/>
      <c r="K332" s="116"/>
      <c r="L332" s="116"/>
      <c r="M332" s="116"/>
      <c r="N332" s="116"/>
      <c r="O332" s="116"/>
      <c r="P332" s="116"/>
      <c r="Q332" s="116"/>
      <c r="R332" s="116"/>
      <c r="S332" s="116"/>
      <c r="T332" s="116"/>
      <c r="U332" s="116"/>
      <c r="V332" s="116"/>
      <c r="W332" s="116"/>
      <c r="X332" s="116"/>
      <c r="Y332" s="116"/>
      <c r="Z332" s="116"/>
    </row>
    <row r="333" spans="1:26" ht="15">
      <c r="A333" s="116"/>
      <c r="B333" s="988"/>
      <c r="C333" s="116"/>
      <c r="D333" s="116"/>
      <c r="E333" s="116"/>
      <c r="F333" s="116"/>
      <c r="G333" s="116"/>
      <c r="H333" s="116"/>
      <c r="I333" s="116"/>
      <c r="J333" s="116"/>
      <c r="K333" s="116"/>
      <c r="L333" s="116"/>
      <c r="M333" s="116"/>
      <c r="N333" s="116"/>
      <c r="O333" s="116"/>
      <c r="P333" s="116"/>
      <c r="Q333" s="116"/>
      <c r="R333" s="116"/>
      <c r="S333" s="116"/>
      <c r="T333" s="116"/>
      <c r="U333" s="116"/>
      <c r="V333" s="116"/>
      <c r="W333" s="116"/>
      <c r="X333" s="116"/>
      <c r="Y333" s="116"/>
      <c r="Z333" s="116"/>
    </row>
    <row r="334" spans="1:26" ht="15">
      <c r="A334" s="116"/>
      <c r="B334" s="988"/>
      <c r="C334" s="116"/>
      <c r="D334" s="116"/>
      <c r="E334" s="116"/>
      <c r="F334" s="116"/>
      <c r="G334" s="116"/>
      <c r="H334" s="116"/>
      <c r="I334" s="116"/>
      <c r="J334" s="116"/>
      <c r="K334" s="116"/>
      <c r="L334" s="116"/>
      <c r="M334" s="116"/>
      <c r="N334" s="116"/>
      <c r="O334" s="116"/>
      <c r="P334" s="116"/>
      <c r="Q334" s="116"/>
      <c r="R334" s="116"/>
      <c r="S334" s="116"/>
      <c r="T334" s="116"/>
      <c r="U334" s="116"/>
      <c r="V334" s="116"/>
      <c r="W334" s="116"/>
      <c r="X334" s="116"/>
      <c r="Y334" s="116"/>
      <c r="Z334" s="116"/>
    </row>
    <row r="335" spans="1:26" ht="15">
      <c r="A335" s="116"/>
      <c r="B335" s="988"/>
      <c r="C335" s="116"/>
      <c r="D335" s="116"/>
      <c r="E335" s="116"/>
      <c r="F335" s="116"/>
      <c r="G335" s="116"/>
      <c r="H335" s="116"/>
      <c r="I335" s="116"/>
      <c r="J335" s="116"/>
      <c r="K335" s="116"/>
      <c r="L335" s="116"/>
      <c r="M335" s="116"/>
      <c r="N335" s="116"/>
      <c r="O335" s="116"/>
      <c r="P335" s="116"/>
      <c r="Q335" s="116"/>
      <c r="R335" s="116"/>
      <c r="S335" s="116"/>
      <c r="T335" s="116"/>
      <c r="U335" s="116"/>
      <c r="V335" s="116"/>
      <c r="W335" s="116"/>
      <c r="X335" s="116"/>
      <c r="Y335" s="116"/>
      <c r="Z335" s="116"/>
    </row>
    <row r="336" spans="1:26" ht="15">
      <c r="A336" s="116"/>
      <c r="B336" s="988"/>
      <c r="C336" s="116"/>
      <c r="D336" s="116"/>
      <c r="E336" s="116"/>
      <c r="F336" s="116"/>
      <c r="G336" s="116"/>
      <c r="H336" s="116"/>
      <c r="I336" s="116"/>
      <c r="J336" s="116"/>
      <c r="K336" s="116"/>
      <c r="L336" s="116"/>
      <c r="M336" s="116"/>
      <c r="N336" s="116"/>
      <c r="O336" s="116"/>
      <c r="P336" s="116"/>
      <c r="Q336" s="116"/>
      <c r="R336" s="116"/>
      <c r="S336" s="116"/>
      <c r="T336" s="116"/>
      <c r="U336" s="116"/>
      <c r="V336" s="116"/>
      <c r="W336" s="116"/>
      <c r="X336" s="116"/>
      <c r="Y336" s="116"/>
      <c r="Z336" s="116"/>
    </row>
    <row r="337" spans="1:26" ht="15">
      <c r="A337" s="116"/>
      <c r="B337" s="988"/>
      <c r="C337" s="116"/>
      <c r="D337" s="116"/>
      <c r="E337" s="116"/>
      <c r="F337" s="116"/>
      <c r="G337" s="116"/>
      <c r="H337" s="116"/>
      <c r="I337" s="116"/>
      <c r="J337" s="116"/>
      <c r="K337" s="116"/>
      <c r="L337" s="116"/>
      <c r="M337" s="116"/>
      <c r="N337" s="116"/>
      <c r="O337" s="116"/>
      <c r="P337" s="116"/>
      <c r="Q337" s="116"/>
      <c r="R337" s="116"/>
      <c r="S337" s="116"/>
      <c r="T337" s="116"/>
      <c r="U337" s="116"/>
      <c r="V337" s="116"/>
      <c r="W337" s="116"/>
      <c r="X337" s="116"/>
      <c r="Y337" s="116"/>
      <c r="Z337" s="116"/>
    </row>
    <row r="338" spans="1:26" ht="15">
      <c r="A338" s="116"/>
      <c r="B338" s="988"/>
      <c r="C338" s="116"/>
      <c r="D338" s="116"/>
      <c r="E338" s="116"/>
      <c r="F338" s="116"/>
      <c r="G338" s="116"/>
      <c r="H338" s="116"/>
      <c r="I338" s="116"/>
      <c r="J338" s="116"/>
      <c r="K338" s="116"/>
      <c r="L338" s="116"/>
      <c r="M338" s="116"/>
      <c r="N338" s="116"/>
      <c r="O338" s="116"/>
      <c r="P338" s="116"/>
      <c r="Q338" s="116"/>
      <c r="R338" s="116"/>
      <c r="S338" s="116"/>
      <c r="T338" s="116"/>
      <c r="U338" s="116"/>
      <c r="V338" s="116"/>
      <c r="W338" s="116"/>
      <c r="X338" s="116"/>
      <c r="Y338" s="116"/>
      <c r="Z338" s="116"/>
    </row>
    <row r="339" spans="1:26" ht="15">
      <c r="A339" s="116"/>
      <c r="B339" s="988"/>
      <c r="C339" s="116"/>
      <c r="D339" s="116"/>
      <c r="E339" s="116"/>
      <c r="F339" s="116"/>
      <c r="G339" s="116"/>
      <c r="H339" s="116"/>
      <c r="I339" s="116"/>
      <c r="J339" s="116"/>
      <c r="K339" s="116"/>
      <c r="L339" s="116"/>
      <c r="M339" s="116"/>
      <c r="N339" s="116"/>
      <c r="O339" s="116"/>
      <c r="P339" s="116"/>
      <c r="Q339" s="116"/>
      <c r="R339" s="116"/>
      <c r="S339" s="116"/>
      <c r="T339" s="116"/>
      <c r="U339" s="116"/>
      <c r="V339" s="116"/>
      <c r="W339" s="116"/>
      <c r="X339" s="116"/>
      <c r="Y339" s="116"/>
      <c r="Z339" s="116"/>
    </row>
    <row r="340" spans="1:26" ht="15">
      <c r="A340" s="116"/>
      <c r="B340" s="988"/>
      <c r="C340" s="116"/>
      <c r="D340" s="116"/>
      <c r="E340" s="116"/>
      <c r="F340" s="116"/>
      <c r="G340" s="116"/>
      <c r="H340" s="116"/>
      <c r="I340" s="116"/>
      <c r="J340" s="116"/>
      <c r="K340" s="116"/>
      <c r="L340" s="116"/>
      <c r="M340" s="116"/>
      <c r="N340" s="116"/>
      <c r="O340" s="116"/>
      <c r="P340" s="116"/>
      <c r="Q340" s="116"/>
      <c r="R340" s="116"/>
      <c r="S340" s="116"/>
      <c r="T340" s="116"/>
      <c r="U340" s="116"/>
      <c r="V340" s="116"/>
      <c r="W340" s="116"/>
      <c r="X340" s="116"/>
      <c r="Y340" s="116"/>
      <c r="Z340" s="116"/>
    </row>
    <row r="341" spans="1:26" ht="15">
      <c r="A341" s="116"/>
      <c r="B341" s="988"/>
      <c r="C341" s="116"/>
      <c r="D341" s="116"/>
      <c r="E341" s="116"/>
      <c r="F341" s="116"/>
      <c r="G341" s="116"/>
      <c r="H341" s="116"/>
      <c r="I341" s="116"/>
      <c r="J341" s="116"/>
      <c r="K341" s="116"/>
      <c r="L341" s="116"/>
      <c r="M341" s="116"/>
      <c r="N341" s="116"/>
      <c r="O341" s="116"/>
      <c r="P341" s="116"/>
      <c r="Q341" s="116"/>
      <c r="R341" s="116"/>
      <c r="S341" s="116"/>
      <c r="T341" s="116"/>
      <c r="U341" s="116"/>
      <c r="V341" s="116"/>
      <c r="W341" s="116"/>
      <c r="X341" s="116"/>
      <c r="Y341" s="116"/>
      <c r="Z341" s="116"/>
    </row>
    <row r="342" spans="1:26" ht="15">
      <c r="A342" s="116"/>
      <c r="B342" s="988"/>
      <c r="C342" s="116"/>
      <c r="D342" s="116"/>
      <c r="E342" s="116"/>
      <c r="F342" s="116"/>
      <c r="G342" s="116"/>
      <c r="H342" s="116"/>
      <c r="I342" s="116"/>
      <c r="J342" s="116"/>
      <c r="K342" s="116"/>
      <c r="L342" s="116"/>
      <c r="M342" s="116"/>
      <c r="N342" s="116"/>
      <c r="O342" s="116"/>
      <c r="P342" s="116"/>
      <c r="Q342" s="116"/>
      <c r="R342" s="116"/>
      <c r="S342" s="116"/>
      <c r="T342" s="116"/>
      <c r="U342" s="116"/>
      <c r="V342" s="116"/>
      <c r="W342" s="116"/>
      <c r="X342" s="116"/>
      <c r="Y342" s="116"/>
      <c r="Z342" s="116"/>
    </row>
    <row r="343" spans="1:26" ht="15">
      <c r="A343" s="116"/>
      <c r="B343" s="988"/>
      <c r="C343" s="116"/>
      <c r="D343" s="116"/>
      <c r="E343" s="116"/>
      <c r="F343" s="116"/>
      <c r="G343" s="116"/>
      <c r="H343" s="116"/>
      <c r="I343" s="116"/>
      <c r="J343" s="116"/>
      <c r="K343" s="116"/>
      <c r="L343" s="116"/>
      <c r="M343" s="116"/>
      <c r="N343" s="116"/>
      <c r="O343" s="116"/>
      <c r="P343" s="116"/>
      <c r="Q343" s="116"/>
      <c r="R343" s="116"/>
      <c r="S343" s="116"/>
      <c r="T343" s="116"/>
      <c r="U343" s="116"/>
      <c r="V343" s="116"/>
      <c r="W343" s="116"/>
      <c r="X343" s="116"/>
      <c r="Y343" s="116"/>
      <c r="Z343" s="116"/>
    </row>
    <row r="344" spans="1:26" ht="15">
      <c r="A344" s="116"/>
      <c r="B344" s="988"/>
      <c r="C344" s="116"/>
      <c r="D344" s="116"/>
      <c r="E344" s="116"/>
      <c r="F344" s="116"/>
      <c r="G344" s="116"/>
      <c r="H344" s="116"/>
      <c r="I344" s="116"/>
      <c r="J344" s="116"/>
      <c r="K344" s="116"/>
      <c r="L344" s="116"/>
      <c r="M344" s="116"/>
      <c r="N344" s="116"/>
      <c r="O344" s="116"/>
      <c r="P344" s="116"/>
      <c r="Q344" s="116"/>
      <c r="R344" s="116"/>
      <c r="S344" s="116"/>
      <c r="T344" s="116"/>
      <c r="U344" s="116"/>
      <c r="V344" s="116"/>
      <c r="W344" s="116"/>
      <c r="X344" s="116"/>
      <c r="Y344" s="116"/>
      <c r="Z344" s="116"/>
    </row>
    <row r="345" spans="1:26" ht="15">
      <c r="A345" s="116"/>
      <c r="B345" s="988"/>
      <c r="C345" s="116"/>
      <c r="D345" s="116"/>
      <c r="E345" s="116"/>
      <c r="F345" s="116"/>
      <c r="G345" s="116"/>
      <c r="H345" s="116"/>
      <c r="I345" s="116"/>
      <c r="J345" s="116"/>
      <c r="K345" s="116"/>
      <c r="L345" s="116"/>
      <c r="M345" s="116"/>
      <c r="N345" s="116"/>
      <c r="O345" s="116"/>
      <c r="P345" s="116"/>
      <c r="Q345" s="116"/>
      <c r="R345" s="116"/>
      <c r="S345" s="116"/>
      <c r="T345" s="116"/>
      <c r="U345" s="116"/>
      <c r="V345" s="116"/>
      <c r="W345" s="116"/>
      <c r="X345" s="116"/>
      <c r="Y345" s="116"/>
      <c r="Z345" s="116"/>
    </row>
    <row r="346" spans="1:26" ht="15">
      <c r="A346" s="116"/>
      <c r="B346" s="988"/>
      <c r="C346" s="116"/>
      <c r="D346" s="116"/>
      <c r="E346" s="116"/>
      <c r="F346" s="116"/>
      <c r="G346" s="116"/>
      <c r="H346" s="116"/>
      <c r="I346" s="116"/>
      <c r="J346" s="116"/>
      <c r="K346" s="116"/>
      <c r="L346" s="116"/>
      <c r="M346" s="116"/>
      <c r="N346" s="116"/>
      <c r="O346" s="116"/>
      <c r="P346" s="116"/>
      <c r="Q346" s="116"/>
      <c r="R346" s="116"/>
      <c r="S346" s="116"/>
      <c r="T346" s="116"/>
      <c r="U346" s="116"/>
      <c r="V346" s="116"/>
      <c r="W346" s="116"/>
      <c r="X346" s="116"/>
      <c r="Y346" s="116"/>
      <c r="Z346" s="116"/>
    </row>
    <row r="347" spans="1:26" ht="15">
      <c r="A347" s="116"/>
      <c r="B347" s="988"/>
      <c r="C347" s="116"/>
      <c r="D347" s="116"/>
      <c r="E347" s="116"/>
      <c r="F347" s="116"/>
      <c r="G347" s="116"/>
      <c r="H347" s="116"/>
      <c r="I347" s="116"/>
      <c r="J347" s="116"/>
      <c r="K347" s="116"/>
      <c r="L347" s="116"/>
      <c r="M347" s="116"/>
      <c r="N347" s="116"/>
      <c r="O347" s="116"/>
      <c r="P347" s="116"/>
      <c r="Q347" s="116"/>
      <c r="R347" s="116"/>
      <c r="S347" s="116"/>
      <c r="T347" s="116"/>
      <c r="U347" s="116"/>
      <c r="V347" s="116"/>
      <c r="W347" s="116"/>
      <c r="X347" s="116"/>
      <c r="Y347" s="116"/>
      <c r="Z347" s="116"/>
    </row>
    <row r="348" spans="1:26" ht="15">
      <c r="A348" s="116"/>
      <c r="B348" s="988"/>
      <c r="C348" s="116"/>
      <c r="D348" s="116"/>
      <c r="E348" s="116"/>
      <c r="F348" s="116"/>
      <c r="G348" s="116"/>
      <c r="H348" s="116"/>
      <c r="I348" s="116"/>
      <c r="J348" s="116"/>
      <c r="K348" s="116"/>
      <c r="L348" s="116"/>
      <c r="M348" s="116"/>
      <c r="N348" s="116"/>
      <c r="O348" s="116"/>
      <c r="P348" s="116"/>
      <c r="Q348" s="116"/>
      <c r="R348" s="116"/>
      <c r="S348" s="116"/>
      <c r="T348" s="116"/>
      <c r="U348" s="116"/>
      <c r="V348" s="116"/>
      <c r="W348" s="116"/>
      <c r="X348" s="116"/>
      <c r="Y348" s="116"/>
      <c r="Z348" s="116"/>
    </row>
    <row r="349" spans="1:26" ht="15">
      <c r="A349" s="116"/>
      <c r="B349" s="988"/>
      <c r="C349" s="116"/>
      <c r="D349" s="116"/>
      <c r="E349" s="116"/>
      <c r="F349" s="116"/>
      <c r="G349" s="116"/>
      <c r="H349" s="116"/>
      <c r="I349" s="116"/>
      <c r="J349" s="116"/>
      <c r="K349" s="116"/>
      <c r="L349" s="116"/>
      <c r="M349" s="116"/>
      <c r="N349" s="116"/>
      <c r="O349" s="116"/>
      <c r="P349" s="116"/>
      <c r="Q349" s="116"/>
      <c r="R349" s="116"/>
      <c r="S349" s="116"/>
      <c r="T349" s="116"/>
      <c r="U349" s="116"/>
      <c r="V349" s="116"/>
      <c r="W349" s="116"/>
      <c r="X349" s="116"/>
      <c r="Y349" s="116"/>
      <c r="Z349" s="116"/>
    </row>
    <row r="350" spans="1:26" ht="15">
      <c r="A350" s="116"/>
      <c r="B350" s="988"/>
      <c r="C350" s="116"/>
      <c r="D350" s="116"/>
      <c r="E350" s="116"/>
      <c r="F350" s="116"/>
      <c r="G350" s="116"/>
      <c r="H350" s="116"/>
      <c r="I350" s="116"/>
      <c r="J350" s="116"/>
      <c r="K350" s="116"/>
      <c r="L350" s="116"/>
      <c r="M350" s="116"/>
      <c r="N350" s="116"/>
      <c r="O350" s="116"/>
      <c r="P350" s="116"/>
      <c r="Q350" s="116"/>
      <c r="R350" s="116"/>
      <c r="S350" s="116"/>
      <c r="T350" s="116"/>
      <c r="U350" s="116"/>
      <c r="V350" s="116"/>
      <c r="W350" s="116"/>
      <c r="X350" s="116"/>
      <c r="Y350" s="116"/>
      <c r="Z350" s="116"/>
    </row>
    <row r="351" spans="1:26" ht="15">
      <c r="A351" s="116"/>
      <c r="B351" s="988"/>
      <c r="C351" s="116"/>
      <c r="D351" s="116"/>
      <c r="E351" s="116"/>
      <c r="F351" s="116"/>
      <c r="G351" s="116"/>
      <c r="H351" s="116"/>
      <c r="I351" s="116"/>
      <c r="J351" s="116"/>
      <c r="K351" s="116"/>
      <c r="L351" s="116"/>
      <c r="M351" s="116"/>
      <c r="N351" s="116"/>
      <c r="O351" s="116"/>
      <c r="P351" s="116"/>
      <c r="Q351" s="116"/>
      <c r="R351" s="116"/>
      <c r="S351" s="116"/>
      <c r="T351" s="116"/>
      <c r="U351" s="116"/>
      <c r="V351" s="116"/>
      <c r="W351" s="116"/>
      <c r="X351" s="116"/>
      <c r="Y351" s="116"/>
      <c r="Z351" s="116"/>
    </row>
    <row r="352" spans="1:26" ht="15">
      <c r="A352" s="116"/>
      <c r="B352" s="988"/>
      <c r="C352" s="116"/>
      <c r="D352" s="116"/>
      <c r="E352" s="116"/>
      <c r="F352" s="116"/>
      <c r="G352" s="116"/>
      <c r="H352" s="116"/>
      <c r="I352" s="116"/>
      <c r="J352" s="116"/>
      <c r="K352" s="116"/>
      <c r="L352" s="116"/>
      <c r="M352" s="116"/>
      <c r="N352" s="116"/>
      <c r="O352" s="116"/>
      <c r="P352" s="116"/>
      <c r="Q352" s="116"/>
      <c r="R352" s="116"/>
      <c r="S352" s="116"/>
      <c r="T352" s="116"/>
      <c r="U352" s="116"/>
      <c r="V352" s="116"/>
      <c r="W352" s="116"/>
      <c r="X352" s="116"/>
      <c r="Y352" s="116"/>
      <c r="Z352" s="116"/>
    </row>
    <row r="353" spans="1:26" ht="15">
      <c r="A353" s="116"/>
      <c r="B353" s="988"/>
      <c r="C353" s="116"/>
      <c r="D353" s="116"/>
      <c r="E353" s="116"/>
      <c r="F353" s="116"/>
      <c r="G353" s="116"/>
      <c r="H353" s="116"/>
      <c r="I353" s="116"/>
      <c r="J353" s="116"/>
      <c r="K353" s="116"/>
      <c r="L353" s="116"/>
      <c r="M353" s="116"/>
      <c r="N353" s="116"/>
      <c r="O353" s="116"/>
      <c r="P353" s="116"/>
      <c r="Q353" s="116"/>
      <c r="R353" s="116"/>
      <c r="S353" s="116"/>
      <c r="T353" s="116"/>
      <c r="U353" s="116"/>
      <c r="V353" s="116"/>
      <c r="W353" s="116"/>
      <c r="X353" s="116"/>
      <c r="Y353" s="116"/>
      <c r="Z353" s="116"/>
    </row>
    <row r="354" spans="1:26" ht="15">
      <c r="A354" s="116"/>
      <c r="B354" s="988"/>
      <c r="C354" s="116"/>
      <c r="D354" s="116"/>
      <c r="E354" s="116"/>
      <c r="F354" s="116"/>
      <c r="G354" s="116"/>
      <c r="H354" s="116"/>
      <c r="I354" s="116"/>
      <c r="J354" s="116"/>
      <c r="K354" s="116"/>
      <c r="L354" s="116"/>
      <c r="M354" s="116"/>
      <c r="N354" s="116"/>
      <c r="O354" s="116"/>
      <c r="P354" s="116"/>
      <c r="Q354" s="116"/>
      <c r="R354" s="116"/>
      <c r="S354" s="116"/>
      <c r="T354" s="116"/>
      <c r="U354" s="116"/>
      <c r="V354" s="116"/>
      <c r="W354" s="116"/>
      <c r="X354" s="116"/>
      <c r="Y354" s="116"/>
      <c r="Z354" s="116"/>
    </row>
    <row r="355" spans="1:26" ht="15">
      <c r="A355" s="116"/>
      <c r="B355" s="988"/>
      <c r="C355" s="116"/>
      <c r="D355" s="116"/>
      <c r="E355" s="116"/>
      <c r="F355" s="116"/>
      <c r="G355" s="116"/>
      <c r="H355" s="116"/>
      <c r="I355" s="116"/>
      <c r="J355" s="116"/>
      <c r="K355" s="116"/>
      <c r="L355" s="116"/>
      <c r="M355" s="116"/>
      <c r="N355" s="116"/>
      <c r="O355" s="116"/>
      <c r="P355" s="116"/>
      <c r="Q355" s="116"/>
      <c r="R355" s="116"/>
      <c r="S355" s="116"/>
      <c r="T355" s="116"/>
      <c r="U355" s="116"/>
      <c r="V355" s="116"/>
      <c r="W355" s="116"/>
      <c r="X355" s="116"/>
      <c r="Y355" s="116"/>
      <c r="Z355" s="116"/>
    </row>
    <row r="356" spans="1:26" ht="15">
      <c r="A356" s="116"/>
      <c r="B356" s="988"/>
      <c r="C356" s="116"/>
      <c r="D356" s="116"/>
      <c r="E356" s="116"/>
      <c r="F356" s="116"/>
      <c r="G356" s="116"/>
      <c r="H356" s="116"/>
      <c r="I356" s="116"/>
      <c r="J356" s="116"/>
      <c r="K356" s="116"/>
      <c r="L356" s="116"/>
      <c r="M356" s="116"/>
      <c r="N356" s="116"/>
      <c r="O356" s="116"/>
      <c r="P356" s="116"/>
      <c r="Q356" s="116"/>
      <c r="R356" s="116"/>
      <c r="S356" s="116"/>
      <c r="T356" s="116"/>
      <c r="U356" s="116"/>
      <c r="V356" s="116"/>
      <c r="W356" s="116"/>
      <c r="X356" s="116"/>
      <c r="Y356" s="116"/>
      <c r="Z356" s="116"/>
    </row>
    <row r="357" spans="1:26" ht="15">
      <c r="A357" s="116"/>
      <c r="B357" s="988"/>
      <c r="C357" s="116"/>
      <c r="D357" s="116"/>
      <c r="E357" s="116"/>
      <c r="F357" s="116"/>
      <c r="G357" s="116"/>
      <c r="H357" s="116"/>
      <c r="I357" s="116"/>
      <c r="J357" s="116"/>
      <c r="K357" s="116"/>
      <c r="L357" s="116"/>
      <c r="M357" s="116"/>
      <c r="N357" s="116"/>
      <c r="O357" s="116"/>
      <c r="P357" s="116"/>
      <c r="Q357" s="116"/>
      <c r="R357" s="116"/>
      <c r="S357" s="116"/>
      <c r="T357" s="116"/>
      <c r="U357" s="116"/>
      <c r="V357" s="116"/>
      <c r="W357" s="116"/>
      <c r="X357" s="116"/>
      <c r="Y357" s="116"/>
      <c r="Z357" s="116"/>
    </row>
    <row r="358" spans="1:26" ht="15">
      <c r="A358" s="116"/>
      <c r="B358" s="988"/>
      <c r="C358" s="116"/>
      <c r="D358" s="116"/>
      <c r="E358" s="116"/>
      <c r="F358" s="116"/>
      <c r="G358" s="116"/>
      <c r="H358" s="116"/>
      <c r="I358" s="116"/>
      <c r="J358" s="116"/>
      <c r="K358" s="116"/>
      <c r="L358" s="116"/>
      <c r="M358" s="116"/>
      <c r="N358" s="116"/>
      <c r="O358" s="116"/>
      <c r="P358" s="116"/>
      <c r="Q358" s="116"/>
      <c r="R358" s="116"/>
      <c r="S358" s="116"/>
      <c r="T358" s="116"/>
      <c r="U358" s="116"/>
      <c r="V358" s="116"/>
      <c r="W358" s="116"/>
      <c r="X358" s="116"/>
      <c r="Y358" s="116"/>
      <c r="Z358" s="116"/>
    </row>
    <row r="359" spans="1:26" ht="15">
      <c r="A359" s="116"/>
      <c r="B359" s="988"/>
      <c r="C359" s="116"/>
      <c r="D359" s="116"/>
      <c r="E359" s="116"/>
      <c r="F359" s="116"/>
      <c r="G359" s="116"/>
      <c r="H359" s="116"/>
      <c r="I359" s="116"/>
      <c r="J359" s="116"/>
      <c r="K359" s="116"/>
      <c r="L359" s="116"/>
      <c r="M359" s="116"/>
      <c r="N359" s="116"/>
      <c r="O359" s="116"/>
      <c r="P359" s="116"/>
      <c r="Q359" s="116"/>
      <c r="R359" s="116"/>
      <c r="S359" s="116"/>
      <c r="T359" s="116"/>
      <c r="U359" s="116"/>
      <c r="V359" s="116"/>
      <c r="W359" s="116"/>
      <c r="X359" s="116"/>
      <c r="Y359" s="116"/>
      <c r="Z359" s="116"/>
    </row>
    <row r="360" spans="1:26" ht="15">
      <c r="A360" s="116"/>
      <c r="B360" s="988"/>
      <c r="C360" s="116"/>
      <c r="D360" s="116"/>
      <c r="E360" s="116"/>
      <c r="F360" s="116"/>
      <c r="G360" s="116"/>
      <c r="H360" s="116"/>
      <c r="I360" s="116"/>
      <c r="J360" s="116"/>
      <c r="K360" s="116"/>
      <c r="L360" s="116"/>
      <c r="M360" s="116"/>
      <c r="N360" s="116"/>
      <c r="O360" s="116"/>
      <c r="P360" s="116"/>
      <c r="Q360" s="116"/>
      <c r="R360" s="116"/>
      <c r="S360" s="116"/>
      <c r="T360" s="116"/>
      <c r="U360" s="116"/>
      <c r="V360" s="116"/>
      <c r="W360" s="116"/>
      <c r="X360" s="116"/>
      <c r="Y360" s="116"/>
      <c r="Z360" s="116"/>
    </row>
    <row r="361" spans="1:26" ht="15">
      <c r="A361" s="116"/>
      <c r="B361" s="988"/>
      <c r="C361" s="116"/>
      <c r="D361" s="116"/>
      <c r="E361" s="116"/>
      <c r="F361" s="116"/>
      <c r="G361" s="116"/>
      <c r="H361" s="116"/>
      <c r="I361" s="116"/>
      <c r="J361" s="116"/>
      <c r="K361" s="116"/>
      <c r="L361" s="116"/>
      <c r="M361" s="116"/>
      <c r="N361" s="116"/>
      <c r="O361" s="116"/>
      <c r="P361" s="116"/>
      <c r="Q361" s="116"/>
      <c r="R361" s="116"/>
      <c r="S361" s="116"/>
      <c r="T361" s="116"/>
      <c r="U361" s="116"/>
      <c r="V361" s="116"/>
      <c r="W361" s="116"/>
      <c r="X361" s="116"/>
      <c r="Y361" s="116"/>
      <c r="Z361" s="116"/>
    </row>
    <row r="362" spans="1:26" ht="15">
      <c r="A362" s="116"/>
      <c r="B362" s="988"/>
      <c r="C362" s="116"/>
      <c r="D362" s="116"/>
      <c r="E362" s="116"/>
      <c r="F362" s="116"/>
      <c r="G362" s="116"/>
      <c r="H362" s="116"/>
      <c r="I362" s="116"/>
      <c r="J362" s="116"/>
      <c r="K362" s="116"/>
      <c r="L362" s="116"/>
      <c r="M362" s="116"/>
      <c r="N362" s="116"/>
      <c r="O362" s="116"/>
      <c r="P362" s="116"/>
      <c r="Q362" s="116"/>
      <c r="R362" s="116"/>
      <c r="S362" s="116"/>
      <c r="T362" s="116"/>
      <c r="U362" s="116"/>
      <c r="V362" s="116"/>
      <c r="W362" s="116"/>
      <c r="X362" s="116"/>
      <c r="Y362" s="116"/>
      <c r="Z362" s="116"/>
    </row>
    <row r="363" spans="1:26" ht="15">
      <c r="A363" s="116"/>
      <c r="B363" s="988"/>
      <c r="C363" s="116"/>
      <c r="D363" s="116"/>
      <c r="E363" s="116"/>
      <c r="F363" s="116"/>
      <c r="G363" s="116"/>
      <c r="H363" s="116"/>
      <c r="I363" s="116"/>
      <c r="J363" s="116"/>
      <c r="K363" s="116"/>
      <c r="L363" s="116"/>
      <c r="M363" s="116"/>
      <c r="N363" s="116"/>
      <c r="O363" s="116"/>
      <c r="P363" s="116"/>
      <c r="Q363" s="116"/>
      <c r="R363" s="116"/>
      <c r="S363" s="116"/>
      <c r="T363" s="116"/>
      <c r="U363" s="116"/>
      <c r="V363" s="116"/>
      <c r="W363" s="116"/>
      <c r="X363" s="116"/>
      <c r="Y363" s="116"/>
      <c r="Z363" s="116"/>
    </row>
    <row r="364" spans="1:26" ht="15">
      <c r="A364" s="116"/>
      <c r="B364" s="988"/>
      <c r="C364" s="116"/>
      <c r="D364" s="116"/>
      <c r="E364" s="116"/>
      <c r="F364" s="116"/>
      <c r="G364" s="116"/>
      <c r="H364" s="116"/>
      <c r="I364" s="116"/>
      <c r="J364" s="116"/>
      <c r="K364" s="116"/>
      <c r="L364" s="116"/>
      <c r="M364" s="116"/>
      <c r="N364" s="116"/>
      <c r="O364" s="116"/>
      <c r="P364" s="116"/>
      <c r="Q364" s="116"/>
      <c r="R364" s="116"/>
      <c r="S364" s="116"/>
      <c r="T364" s="116"/>
      <c r="U364" s="116"/>
      <c r="V364" s="116"/>
      <c r="W364" s="116"/>
      <c r="X364" s="116"/>
      <c r="Y364" s="116"/>
      <c r="Z364" s="116"/>
    </row>
    <row r="365" spans="1:26" ht="15">
      <c r="A365" s="116"/>
      <c r="B365" s="988"/>
      <c r="C365" s="116"/>
      <c r="D365" s="116"/>
      <c r="E365" s="116"/>
      <c r="F365" s="116"/>
      <c r="G365" s="116"/>
      <c r="H365" s="116"/>
      <c r="I365" s="116"/>
      <c r="J365" s="116"/>
      <c r="K365" s="116"/>
      <c r="L365" s="116"/>
      <c r="M365" s="116"/>
      <c r="N365" s="116"/>
      <c r="O365" s="116"/>
      <c r="P365" s="116"/>
      <c r="Q365" s="116"/>
      <c r="R365" s="116"/>
      <c r="S365" s="116"/>
      <c r="T365" s="116"/>
      <c r="U365" s="116"/>
      <c r="V365" s="116"/>
      <c r="W365" s="116"/>
      <c r="X365" s="116"/>
      <c r="Y365" s="116"/>
      <c r="Z365" s="116"/>
    </row>
    <row r="366" spans="1:26" ht="15">
      <c r="A366" s="116"/>
      <c r="B366" s="988"/>
      <c r="C366" s="116"/>
      <c r="D366" s="116"/>
      <c r="E366" s="116"/>
      <c r="F366" s="116"/>
      <c r="G366" s="116"/>
      <c r="H366" s="116"/>
      <c r="I366" s="116"/>
      <c r="J366" s="116"/>
      <c r="K366" s="116"/>
      <c r="L366" s="116"/>
      <c r="M366" s="116"/>
      <c r="N366" s="116"/>
      <c r="O366" s="116"/>
      <c r="P366" s="116"/>
      <c r="Q366" s="116"/>
      <c r="R366" s="116"/>
      <c r="S366" s="116"/>
      <c r="T366" s="116"/>
      <c r="U366" s="116"/>
      <c r="V366" s="116"/>
      <c r="W366" s="116"/>
      <c r="X366" s="116"/>
      <c r="Y366" s="116"/>
      <c r="Z366" s="116"/>
    </row>
    <row r="367" spans="1:26" ht="15">
      <c r="A367" s="116"/>
      <c r="B367" s="988"/>
      <c r="C367" s="116"/>
      <c r="D367" s="116"/>
      <c r="E367" s="116"/>
      <c r="F367" s="116"/>
      <c r="G367" s="116"/>
      <c r="H367" s="116"/>
      <c r="I367" s="116"/>
      <c r="J367" s="116"/>
      <c r="K367" s="116"/>
      <c r="L367" s="116"/>
      <c r="M367" s="116"/>
      <c r="N367" s="116"/>
      <c r="O367" s="116"/>
      <c r="P367" s="116"/>
      <c r="Q367" s="116"/>
      <c r="R367" s="116"/>
      <c r="S367" s="116"/>
      <c r="T367" s="116"/>
      <c r="U367" s="116"/>
      <c r="V367" s="116"/>
      <c r="W367" s="116"/>
      <c r="X367" s="116"/>
      <c r="Y367" s="116"/>
      <c r="Z367" s="116"/>
    </row>
    <row r="368" spans="1:26" ht="15">
      <c r="A368" s="116"/>
      <c r="B368" s="988"/>
      <c r="C368" s="116"/>
      <c r="D368" s="116"/>
      <c r="E368" s="116"/>
      <c r="F368" s="116"/>
      <c r="G368" s="116"/>
      <c r="H368" s="116"/>
      <c r="I368" s="116"/>
      <c r="J368" s="116"/>
      <c r="K368" s="116"/>
      <c r="L368" s="116"/>
      <c r="M368" s="116"/>
      <c r="N368" s="116"/>
      <c r="O368" s="116"/>
      <c r="P368" s="116"/>
      <c r="Q368" s="116"/>
      <c r="R368" s="116"/>
      <c r="S368" s="116"/>
      <c r="T368" s="116"/>
      <c r="U368" s="116"/>
      <c r="V368" s="116"/>
      <c r="W368" s="116"/>
      <c r="X368" s="116"/>
      <c r="Y368" s="116"/>
      <c r="Z368" s="116"/>
    </row>
    <row r="369" spans="1:26" ht="15">
      <c r="A369" s="116"/>
      <c r="B369" s="988"/>
      <c r="C369" s="116"/>
      <c r="D369" s="116"/>
      <c r="E369" s="116"/>
      <c r="F369" s="116"/>
      <c r="G369" s="116"/>
      <c r="H369" s="116"/>
      <c r="I369" s="116"/>
      <c r="J369" s="116"/>
      <c r="K369" s="116"/>
      <c r="L369" s="116"/>
      <c r="M369" s="116"/>
      <c r="N369" s="116"/>
      <c r="O369" s="116"/>
      <c r="P369" s="116"/>
      <c r="Q369" s="116"/>
      <c r="R369" s="116"/>
      <c r="S369" s="116"/>
      <c r="T369" s="116"/>
      <c r="U369" s="116"/>
      <c r="V369" s="116"/>
      <c r="W369" s="116"/>
      <c r="X369" s="116"/>
      <c r="Y369" s="116"/>
      <c r="Z369" s="116"/>
    </row>
    <row r="370" spans="1:26" ht="15">
      <c r="A370" s="116"/>
      <c r="B370" s="988"/>
      <c r="C370" s="116"/>
      <c r="D370" s="116"/>
      <c r="E370" s="116"/>
      <c r="F370" s="116"/>
      <c r="G370" s="116"/>
      <c r="H370" s="116"/>
      <c r="I370" s="116"/>
      <c r="J370" s="116"/>
      <c r="K370" s="116"/>
      <c r="L370" s="116"/>
      <c r="M370" s="116"/>
      <c r="N370" s="116"/>
      <c r="O370" s="116"/>
      <c r="P370" s="116"/>
      <c r="Q370" s="116"/>
      <c r="R370" s="116"/>
      <c r="S370" s="116"/>
      <c r="T370" s="116"/>
      <c r="U370" s="116"/>
      <c r="V370" s="116"/>
      <c r="W370" s="116"/>
      <c r="X370" s="116"/>
      <c r="Y370" s="116"/>
      <c r="Z370" s="116"/>
    </row>
    <row r="371" spans="1:26" ht="15">
      <c r="A371" s="116"/>
      <c r="B371" s="988"/>
      <c r="C371" s="116"/>
      <c r="D371" s="116"/>
      <c r="E371" s="116"/>
      <c r="F371" s="116"/>
      <c r="G371" s="116"/>
      <c r="H371" s="116"/>
      <c r="I371" s="116"/>
      <c r="J371" s="116"/>
      <c r="K371" s="116"/>
      <c r="L371" s="116"/>
      <c r="M371" s="116"/>
      <c r="N371" s="116"/>
      <c r="O371" s="116"/>
      <c r="P371" s="116"/>
      <c r="Q371" s="116"/>
      <c r="R371" s="116"/>
      <c r="S371" s="116"/>
      <c r="T371" s="116"/>
      <c r="U371" s="116"/>
      <c r="V371" s="116"/>
      <c r="W371" s="116"/>
      <c r="X371" s="116"/>
      <c r="Y371" s="116"/>
      <c r="Z371" s="116"/>
    </row>
    <row r="372" spans="1:26" ht="15">
      <c r="A372" s="116"/>
      <c r="B372" s="988"/>
      <c r="C372" s="116"/>
      <c r="D372" s="116"/>
      <c r="E372" s="116"/>
      <c r="F372" s="116"/>
      <c r="G372" s="116"/>
      <c r="H372" s="116"/>
      <c r="I372" s="116"/>
      <c r="J372" s="116"/>
      <c r="K372" s="116"/>
      <c r="L372" s="116"/>
      <c r="M372" s="116"/>
      <c r="N372" s="116"/>
      <c r="O372" s="116"/>
      <c r="P372" s="116"/>
      <c r="Q372" s="116"/>
      <c r="R372" s="116"/>
      <c r="S372" s="116"/>
      <c r="T372" s="116"/>
      <c r="U372" s="116"/>
      <c r="V372" s="116"/>
      <c r="W372" s="116"/>
      <c r="X372" s="116"/>
      <c r="Y372" s="116"/>
      <c r="Z372" s="116"/>
    </row>
    <row r="373" spans="1:26" ht="15">
      <c r="A373" s="116"/>
      <c r="B373" s="988"/>
      <c r="C373" s="116"/>
      <c r="D373" s="116"/>
      <c r="E373" s="116"/>
      <c r="F373" s="116"/>
      <c r="G373" s="116"/>
      <c r="H373" s="116"/>
      <c r="I373" s="116"/>
      <c r="J373" s="116"/>
      <c r="K373" s="116"/>
      <c r="L373" s="116"/>
      <c r="M373" s="116"/>
      <c r="N373" s="116"/>
      <c r="O373" s="116"/>
      <c r="P373" s="116"/>
      <c r="Q373" s="116"/>
      <c r="R373" s="116"/>
      <c r="S373" s="116"/>
      <c r="T373" s="116"/>
      <c r="U373" s="116"/>
      <c r="V373" s="116"/>
      <c r="W373" s="116"/>
      <c r="X373" s="116"/>
      <c r="Y373" s="116"/>
      <c r="Z373" s="116"/>
    </row>
    <row r="374" spans="1:26" ht="15">
      <c r="A374" s="116"/>
      <c r="B374" s="988"/>
      <c r="C374" s="116"/>
      <c r="D374" s="116"/>
      <c r="E374" s="116"/>
      <c r="F374" s="116"/>
      <c r="G374" s="116"/>
      <c r="H374" s="116"/>
      <c r="I374" s="116"/>
      <c r="J374" s="116"/>
      <c r="K374" s="116"/>
      <c r="L374" s="116"/>
      <c r="M374" s="116"/>
      <c r="N374" s="116"/>
      <c r="O374" s="116"/>
      <c r="P374" s="116"/>
      <c r="Q374" s="116"/>
      <c r="R374" s="116"/>
      <c r="S374" s="116"/>
      <c r="T374" s="116"/>
      <c r="U374" s="116"/>
      <c r="V374" s="116"/>
      <c r="W374" s="116"/>
      <c r="X374" s="116"/>
      <c r="Y374" s="116"/>
      <c r="Z374" s="116"/>
    </row>
    <row r="375" spans="1:26" ht="15">
      <c r="A375" s="116"/>
      <c r="B375" s="988"/>
      <c r="C375" s="116"/>
      <c r="D375" s="116"/>
      <c r="E375" s="116"/>
      <c r="F375" s="116"/>
      <c r="G375" s="116"/>
      <c r="H375" s="116"/>
      <c r="I375" s="116"/>
      <c r="J375" s="116"/>
      <c r="K375" s="116"/>
      <c r="L375" s="116"/>
      <c r="M375" s="116"/>
      <c r="N375" s="116"/>
      <c r="O375" s="116"/>
      <c r="P375" s="116"/>
      <c r="Q375" s="116"/>
      <c r="R375" s="116"/>
      <c r="S375" s="116"/>
      <c r="T375" s="116"/>
      <c r="U375" s="116"/>
      <c r="V375" s="116"/>
      <c r="W375" s="116"/>
      <c r="X375" s="116"/>
      <c r="Y375" s="116"/>
      <c r="Z375" s="116"/>
    </row>
    <row r="376" spans="1:26" ht="15">
      <c r="A376" s="116"/>
      <c r="B376" s="988"/>
      <c r="C376" s="116"/>
      <c r="D376" s="116"/>
      <c r="E376" s="116"/>
      <c r="F376" s="116"/>
      <c r="G376" s="116"/>
      <c r="H376" s="116"/>
      <c r="I376" s="116"/>
      <c r="J376" s="116"/>
      <c r="K376" s="116"/>
      <c r="L376" s="116"/>
      <c r="M376" s="116"/>
      <c r="N376" s="116"/>
      <c r="O376" s="116"/>
      <c r="P376" s="116"/>
      <c r="Q376" s="116"/>
      <c r="R376" s="116"/>
      <c r="S376" s="116"/>
      <c r="T376" s="116"/>
      <c r="U376" s="116"/>
      <c r="V376" s="116"/>
      <c r="W376" s="116"/>
      <c r="X376" s="116"/>
      <c r="Y376" s="116"/>
      <c r="Z376" s="116"/>
    </row>
    <row r="377" spans="1:26" ht="15">
      <c r="A377" s="116"/>
      <c r="B377" s="988"/>
      <c r="C377" s="116"/>
      <c r="D377" s="116"/>
      <c r="E377" s="116"/>
      <c r="F377" s="116"/>
      <c r="G377" s="116"/>
      <c r="H377" s="116"/>
      <c r="I377" s="116"/>
      <c r="J377" s="116"/>
      <c r="K377" s="116"/>
      <c r="L377" s="116"/>
      <c r="M377" s="116"/>
      <c r="N377" s="116"/>
      <c r="O377" s="116"/>
      <c r="P377" s="116"/>
      <c r="Q377" s="116"/>
      <c r="R377" s="116"/>
      <c r="S377" s="116"/>
      <c r="T377" s="116"/>
      <c r="U377" s="116"/>
      <c r="V377" s="116"/>
      <c r="W377" s="116"/>
      <c r="X377" s="116"/>
      <c r="Y377" s="116"/>
      <c r="Z377" s="116"/>
    </row>
    <row r="378" spans="1:26" ht="15">
      <c r="A378" s="116"/>
      <c r="B378" s="988"/>
      <c r="C378" s="116"/>
      <c r="D378" s="116"/>
      <c r="E378" s="116"/>
      <c r="F378" s="116"/>
      <c r="G378" s="116"/>
      <c r="H378" s="116"/>
      <c r="I378" s="116"/>
      <c r="J378" s="116"/>
      <c r="K378" s="116"/>
      <c r="L378" s="116"/>
      <c r="M378" s="116"/>
      <c r="N378" s="116"/>
      <c r="O378" s="116"/>
      <c r="P378" s="116"/>
      <c r="Q378" s="116"/>
      <c r="R378" s="116"/>
      <c r="S378" s="116"/>
      <c r="T378" s="116"/>
      <c r="U378" s="116"/>
      <c r="V378" s="116"/>
      <c r="W378" s="116"/>
      <c r="X378" s="116"/>
      <c r="Y378" s="116"/>
      <c r="Z378" s="116"/>
    </row>
    <row r="379" spans="1:26" ht="15">
      <c r="A379" s="116"/>
      <c r="B379" s="988"/>
      <c r="C379" s="116"/>
      <c r="D379" s="116"/>
      <c r="E379" s="116"/>
      <c r="F379" s="116"/>
      <c r="G379" s="116"/>
      <c r="H379" s="116"/>
      <c r="I379" s="116"/>
      <c r="J379" s="116"/>
      <c r="K379" s="116"/>
      <c r="L379" s="116"/>
      <c r="M379" s="116"/>
      <c r="N379" s="116"/>
      <c r="O379" s="116"/>
      <c r="P379" s="116"/>
      <c r="Q379" s="116"/>
      <c r="R379" s="116"/>
      <c r="S379" s="116"/>
      <c r="T379" s="116"/>
      <c r="U379" s="116"/>
      <c r="V379" s="116"/>
      <c r="W379" s="116"/>
      <c r="X379" s="116"/>
      <c r="Y379" s="116"/>
      <c r="Z379" s="116"/>
    </row>
    <row r="380" spans="1:26" ht="15">
      <c r="A380" s="116"/>
      <c r="B380" s="988"/>
      <c r="C380" s="116"/>
      <c r="D380" s="116"/>
      <c r="E380" s="116"/>
      <c r="F380" s="116"/>
      <c r="G380" s="116"/>
      <c r="H380" s="116"/>
      <c r="I380" s="116"/>
      <c r="J380" s="116"/>
      <c r="K380" s="116"/>
      <c r="L380" s="116"/>
      <c r="M380" s="116"/>
      <c r="N380" s="116"/>
      <c r="O380" s="116"/>
      <c r="P380" s="116"/>
      <c r="Q380" s="116"/>
      <c r="R380" s="116"/>
      <c r="S380" s="116"/>
      <c r="T380" s="116"/>
      <c r="U380" s="116"/>
      <c r="V380" s="116"/>
      <c r="W380" s="116"/>
      <c r="X380" s="116"/>
      <c r="Y380" s="116"/>
      <c r="Z380" s="116"/>
    </row>
    <row r="381" spans="1:26" ht="15">
      <c r="A381" s="116"/>
      <c r="B381" s="988"/>
      <c r="C381" s="116"/>
      <c r="D381" s="116"/>
      <c r="E381" s="116"/>
      <c r="F381" s="116"/>
      <c r="G381" s="116"/>
      <c r="H381" s="116"/>
      <c r="I381" s="116"/>
      <c r="J381" s="116"/>
      <c r="K381" s="116"/>
      <c r="L381" s="116"/>
      <c r="M381" s="116"/>
      <c r="N381" s="116"/>
      <c r="O381" s="116"/>
      <c r="P381" s="116"/>
      <c r="Q381" s="116"/>
      <c r="R381" s="116"/>
      <c r="S381" s="116"/>
      <c r="T381" s="116"/>
      <c r="U381" s="116"/>
      <c r="V381" s="116"/>
      <c r="W381" s="116"/>
      <c r="X381" s="116"/>
      <c r="Y381" s="116"/>
      <c r="Z381" s="116"/>
    </row>
    <row r="382" spans="1:26" ht="15">
      <c r="A382" s="116"/>
      <c r="B382" s="988"/>
      <c r="C382" s="116"/>
      <c r="D382" s="116"/>
      <c r="E382" s="116"/>
      <c r="F382" s="116"/>
      <c r="G382" s="116"/>
      <c r="H382" s="116"/>
      <c r="I382" s="116"/>
      <c r="J382" s="116"/>
      <c r="K382" s="116"/>
      <c r="L382" s="116"/>
      <c r="M382" s="116"/>
      <c r="N382" s="116"/>
      <c r="O382" s="116"/>
      <c r="P382" s="116"/>
      <c r="Q382" s="116"/>
      <c r="R382" s="116"/>
      <c r="S382" s="116"/>
      <c r="T382" s="116"/>
      <c r="U382" s="116"/>
      <c r="V382" s="116"/>
      <c r="W382" s="116"/>
      <c r="X382" s="116"/>
      <c r="Y382" s="116"/>
      <c r="Z382" s="116"/>
    </row>
    <row r="383" spans="1:26" ht="15">
      <c r="A383" s="116"/>
      <c r="B383" s="988"/>
      <c r="C383" s="116"/>
      <c r="D383" s="116"/>
      <c r="E383" s="116"/>
      <c r="F383" s="116"/>
      <c r="G383" s="116"/>
      <c r="H383" s="116"/>
      <c r="I383" s="116"/>
      <c r="J383" s="116"/>
      <c r="K383" s="116"/>
      <c r="L383" s="116"/>
      <c r="M383" s="116"/>
      <c r="N383" s="116"/>
      <c r="O383" s="116"/>
      <c r="P383" s="116"/>
      <c r="Q383" s="116"/>
      <c r="R383" s="116"/>
      <c r="S383" s="116"/>
      <c r="T383" s="116"/>
      <c r="U383" s="116"/>
      <c r="V383" s="116"/>
      <c r="W383" s="116"/>
      <c r="X383" s="116"/>
      <c r="Y383" s="116"/>
      <c r="Z383" s="116"/>
    </row>
    <row r="384" spans="1:26" ht="15">
      <c r="A384" s="116"/>
      <c r="B384" s="988"/>
      <c r="C384" s="116"/>
      <c r="D384" s="116"/>
      <c r="E384" s="116"/>
      <c r="F384" s="116"/>
      <c r="G384" s="116"/>
      <c r="H384" s="116"/>
      <c r="I384" s="116"/>
      <c r="J384" s="116"/>
      <c r="K384" s="116"/>
      <c r="L384" s="116"/>
      <c r="M384" s="116"/>
      <c r="N384" s="116"/>
      <c r="O384" s="116"/>
      <c r="P384" s="116"/>
      <c r="Q384" s="116"/>
      <c r="R384" s="116"/>
      <c r="S384" s="116"/>
      <c r="T384" s="116"/>
      <c r="U384" s="116"/>
      <c r="V384" s="116"/>
      <c r="W384" s="116"/>
      <c r="X384" s="116"/>
      <c r="Y384" s="116"/>
      <c r="Z384" s="116"/>
    </row>
    <row r="385" spans="1:26" ht="15">
      <c r="A385" s="116"/>
      <c r="B385" s="988"/>
      <c r="C385" s="116"/>
      <c r="D385" s="116"/>
      <c r="E385" s="116"/>
      <c r="F385" s="116"/>
      <c r="G385" s="116"/>
      <c r="H385" s="116"/>
      <c r="I385" s="116"/>
      <c r="J385" s="116"/>
      <c r="K385" s="116"/>
      <c r="L385" s="116"/>
      <c r="M385" s="116"/>
      <c r="N385" s="116"/>
      <c r="O385" s="116"/>
      <c r="P385" s="116"/>
      <c r="Q385" s="116"/>
      <c r="R385" s="116"/>
      <c r="S385" s="116"/>
      <c r="T385" s="116"/>
      <c r="U385" s="116"/>
      <c r="V385" s="116"/>
      <c r="W385" s="116"/>
      <c r="X385" s="116"/>
      <c r="Y385" s="116"/>
      <c r="Z385" s="116"/>
    </row>
    <row r="386" spans="1:26" ht="15">
      <c r="A386" s="116"/>
      <c r="B386" s="988"/>
      <c r="C386" s="116"/>
      <c r="D386" s="116"/>
      <c r="E386" s="116"/>
      <c r="F386" s="116"/>
      <c r="G386" s="116"/>
      <c r="H386" s="116"/>
      <c r="I386" s="116"/>
      <c r="J386" s="116"/>
      <c r="K386" s="116"/>
      <c r="L386" s="116"/>
      <c r="M386" s="116"/>
      <c r="N386" s="116"/>
      <c r="O386" s="116"/>
      <c r="P386" s="116"/>
      <c r="Q386" s="116"/>
      <c r="R386" s="116"/>
      <c r="S386" s="116"/>
      <c r="T386" s="116"/>
      <c r="U386" s="116"/>
      <c r="V386" s="116"/>
      <c r="W386" s="116"/>
      <c r="X386" s="116"/>
      <c r="Y386" s="116"/>
      <c r="Z386" s="116"/>
    </row>
    <row r="387" spans="1:26" ht="15">
      <c r="A387" s="116"/>
      <c r="B387" s="988"/>
      <c r="C387" s="116"/>
      <c r="D387" s="116"/>
      <c r="E387" s="116"/>
      <c r="F387" s="116"/>
      <c r="G387" s="116"/>
      <c r="H387" s="116"/>
      <c r="I387" s="116"/>
      <c r="J387" s="116"/>
      <c r="K387" s="116"/>
      <c r="L387" s="116"/>
      <c r="M387" s="116"/>
      <c r="N387" s="116"/>
      <c r="O387" s="116"/>
      <c r="P387" s="116"/>
      <c r="Q387" s="116"/>
      <c r="R387" s="116"/>
      <c r="S387" s="116"/>
      <c r="T387" s="116"/>
      <c r="U387" s="116"/>
      <c r="V387" s="116"/>
      <c r="W387" s="116"/>
      <c r="X387" s="116"/>
      <c r="Y387" s="116"/>
      <c r="Z387" s="116"/>
    </row>
    <row r="388" spans="1:26" ht="15">
      <c r="A388" s="116"/>
      <c r="B388" s="988"/>
      <c r="C388" s="116"/>
      <c r="D388" s="116"/>
      <c r="E388" s="116"/>
      <c r="F388" s="116"/>
      <c r="G388" s="116"/>
      <c r="H388" s="116"/>
      <c r="I388" s="116"/>
      <c r="J388" s="116"/>
      <c r="K388" s="116"/>
      <c r="L388" s="116"/>
      <c r="M388" s="116"/>
      <c r="N388" s="116"/>
      <c r="O388" s="116"/>
      <c r="P388" s="116"/>
      <c r="Q388" s="116"/>
      <c r="R388" s="116"/>
      <c r="S388" s="116"/>
      <c r="T388" s="116"/>
      <c r="U388" s="116"/>
      <c r="V388" s="116"/>
      <c r="W388" s="116"/>
      <c r="X388" s="116"/>
      <c r="Y388" s="116"/>
      <c r="Z388" s="116"/>
    </row>
    <row r="389" spans="1:26" ht="15">
      <c r="A389" s="116"/>
      <c r="B389" s="988"/>
      <c r="C389" s="116"/>
      <c r="D389" s="116"/>
      <c r="E389" s="116"/>
      <c r="F389" s="116"/>
      <c r="G389" s="116"/>
      <c r="H389" s="116"/>
      <c r="I389" s="116"/>
      <c r="J389" s="116"/>
      <c r="K389" s="116"/>
      <c r="L389" s="116"/>
      <c r="M389" s="116"/>
      <c r="N389" s="116"/>
      <c r="O389" s="116"/>
      <c r="P389" s="116"/>
      <c r="Q389" s="116"/>
      <c r="R389" s="116"/>
      <c r="S389" s="116"/>
      <c r="T389" s="116"/>
      <c r="U389" s="116"/>
      <c r="V389" s="116"/>
      <c r="W389" s="116"/>
      <c r="X389" s="116"/>
      <c r="Y389" s="116"/>
      <c r="Z389" s="116"/>
    </row>
    <row r="390" spans="1:26" ht="15">
      <c r="A390" s="116"/>
      <c r="B390" s="988"/>
      <c r="C390" s="116"/>
      <c r="D390" s="116"/>
      <c r="E390" s="116"/>
      <c r="F390" s="116"/>
      <c r="G390" s="116"/>
      <c r="H390" s="116"/>
      <c r="I390" s="116"/>
      <c r="J390" s="116"/>
      <c r="K390" s="116"/>
      <c r="L390" s="116"/>
      <c r="M390" s="116"/>
      <c r="N390" s="116"/>
      <c r="O390" s="116"/>
      <c r="P390" s="116"/>
      <c r="Q390" s="116"/>
      <c r="R390" s="116"/>
      <c r="S390" s="116"/>
      <c r="T390" s="116"/>
      <c r="U390" s="116"/>
      <c r="V390" s="116"/>
      <c r="W390" s="116"/>
      <c r="X390" s="116"/>
      <c r="Y390" s="116"/>
      <c r="Z390" s="116"/>
    </row>
    <row r="391" spans="1:26" ht="15">
      <c r="A391" s="116"/>
      <c r="B391" s="988"/>
      <c r="C391" s="116"/>
      <c r="D391" s="116"/>
      <c r="E391" s="116"/>
      <c r="F391" s="116"/>
      <c r="G391" s="116"/>
      <c r="H391" s="116"/>
      <c r="I391" s="116"/>
      <c r="J391" s="116"/>
      <c r="K391" s="116"/>
      <c r="L391" s="116"/>
      <c r="M391" s="116"/>
      <c r="N391" s="116"/>
      <c r="O391" s="116"/>
      <c r="P391" s="116"/>
      <c r="Q391" s="116"/>
      <c r="R391" s="116"/>
      <c r="S391" s="116"/>
      <c r="T391" s="116"/>
      <c r="U391" s="116"/>
      <c r="V391" s="116"/>
      <c r="W391" s="116"/>
      <c r="X391" s="116"/>
      <c r="Y391" s="116"/>
      <c r="Z391" s="116"/>
    </row>
    <row r="392" spans="1:26" ht="15">
      <c r="A392" s="116"/>
      <c r="B392" s="988"/>
      <c r="C392" s="116"/>
      <c r="D392" s="116"/>
      <c r="E392" s="116"/>
      <c r="F392" s="116"/>
      <c r="G392" s="116"/>
      <c r="H392" s="116"/>
      <c r="I392" s="116"/>
      <c r="J392" s="116"/>
      <c r="K392" s="116"/>
      <c r="L392" s="116"/>
      <c r="M392" s="116"/>
      <c r="N392" s="116"/>
      <c r="O392" s="116"/>
      <c r="P392" s="116"/>
      <c r="Q392" s="116"/>
      <c r="R392" s="116"/>
      <c r="S392" s="116"/>
      <c r="T392" s="116"/>
      <c r="U392" s="116"/>
      <c r="V392" s="116"/>
      <c r="W392" s="116"/>
      <c r="X392" s="116"/>
      <c r="Y392" s="116"/>
      <c r="Z392" s="116"/>
    </row>
    <row r="393" spans="1:26" ht="15">
      <c r="A393" s="116"/>
      <c r="B393" s="988"/>
      <c r="C393" s="116"/>
      <c r="D393" s="116"/>
      <c r="E393" s="116"/>
      <c r="F393" s="116"/>
      <c r="G393" s="116"/>
      <c r="H393" s="116"/>
      <c r="I393" s="116"/>
      <c r="J393" s="116"/>
      <c r="K393" s="116"/>
      <c r="L393" s="116"/>
      <c r="M393" s="116"/>
      <c r="N393" s="116"/>
      <c r="O393" s="116"/>
      <c r="P393" s="116"/>
      <c r="Q393" s="116"/>
      <c r="R393" s="116"/>
      <c r="S393" s="116"/>
      <c r="T393" s="116"/>
      <c r="U393" s="116"/>
      <c r="V393" s="116"/>
      <c r="W393" s="116"/>
      <c r="X393" s="116"/>
      <c r="Y393" s="116"/>
      <c r="Z393" s="116"/>
    </row>
    <row r="394" spans="1:26" ht="15">
      <c r="A394" s="116"/>
      <c r="B394" s="988"/>
      <c r="C394" s="116"/>
      <c r="D394" s="116"/>
      <c r="E394" s="116"/>
      <c r="F394" s="116"/>
      <c r="G394" s="116"/>
      <c r="H394" s="116"/>
      <c r="I394" s="116"/>
      <c r="J394" s="116"/>
      <c r="K394" s="116"/>
      <c r="L394" s="116"/>
      <c r="M394" s="116"/>
      <c r="N394" s="116"/>
      <c r="O394" s="116"/>
      <c r="P394" s="116"/>
      <c r="Q394" s="116"/>
      <c r="R394" s="116"/>
      <c r="S394" s="116"/>
      <c r="T394" s="116"/>
      <c r="U394" s="116"/>
      <c r="V394" s="116"/>
      <c r="W394" s="116"/>
      <c r="X394" s="116"/>
      <c r="Y394" s="116"/>
      <c r="Z394" s="116"/>
    </row>
    <row r="395" spans="1:26" ht="15">
      <c r="A395" s="116"/>
      <c r="B395" s="988"/>
      <c r="C395" s="116"/>
      <c r="D395" s="116"/>
      <c r="E395" s="116"/>
      <c r="F395" s="116"/>
      <c r="G395" s="116"/>
      <c r="H395" s="116"/>
      <c r="I395" s="116"/>
      <c r="J395" s="116"/>
      <c r="K395" s="116"/>
      <c r="L395" s="116"/>
      <c r="M395" s="116"/>
      <c r="N395" s="116"/>
      <c r="O395" s="116"/>
      <c r="P395" s="116"/>
      <c r="Q395" s="116"/>
      <c r="R395" s="116"/>
      <c r="S395" s="116"/>
      <c r="T395" s="116"/>
      <c r="U395" s="116"/>
      <c r="V395" s="116"/>
      <c r="W395" s="116"/>
      <c r="X395" s="116"/>
      <c r="Y395" s="116"/>
      <c r="Z395" s="116"/>
    </row>
    <row r="396" spans="1:26" ht="15">
      <c r="A396" s="116"/>
      <c r="B396" s="988"/>
      <c r="C396" s="116"/>
      <c r="D396" s="116"/>
      <c r="E396" s="116"/>
      <c r="F396" s="116"/>
      <c r="G396" s="116"/>
      <c r="H396" s="116"/>
      <c r="I396" s="116"/>
      <c r="J396" s="116"/>
      <c r="K396" s="116"/>
      <c r="L396" s="116"/>
      <c r="M396" s="116"/>
      <c r="N396" s="116"/>
      <c r="O396" s="116"/>
      <c r="P396" s="116"/>
      <c r="Q396" s="116"/>
      <c r="R396" s="116"/>
      <c r="S396" s="116"/>
      <c r="T396" s="116"/>
      <c r="U396" s="116"/>
      <c r="V396" s="116"/>
      <c r="W396" s="116"/>
      <c r="X396" s="116"/>
      <c r="Y396" s="116"/>
      <c r="Z396" s="116"/>
    </row>
    <row r="397" spans="1:26" ht="15">
      <c r="A397" s="116"/>
      <c r="B397" s="988"/>
      <c r="C397" s="116"/>
      <c r="D397" s="116"/>
      <c r="E397" s="116"/>
      <c r="F397" s="116"/>
      <c r="G397" s="116"/>
      <c r="H397" s="116"/>
      <c r="I397" s="116"/>
      <c r="J397" s="116"/>
      <c r="K397" s="116"/>
      <c r="L397" s="116"/>
      <c r="M397" s="116"/>
      <c r="N397" s="116"/>
      <c r="O397" s="116"/>
      <c r="P397" s="116"/>
      <c r="Q397" s="116"/>
      <c r="R397" s="116"/>
      <c r="S397" s="116"/>
      <c r="T397" s="116"/>
      <c r="U397" s="116"/>
      <c r="V397" s="116"/>
      <c r="W397" s="116"/>
      <c r="X397" s="116"/>
      <c r="Y397" s="116"/>
      <c r="Z397" s="116"/>
    </row>
    <row r="398" spans="1:26" ht="15">
      <c r="A398" s="116"/>
      <c r="B398" s="988"/>
      <c r="C398" s="116"/>
      <c r="D398" s="116"/>
      <c r="E398" s="116"/>
      <c r="F398" s="116"/>
      <c r="G398" s="116"/>
      <c r="H398" s="116"/>
      <c r="I398" s="116"/>
      <c r="J398" s="116"/>
      <c r="K398" s="116"/>
      <c r="L398" s="116"/>
      <c r="M398" s="116"/>
      <c r="N398" s="116"/>
      <c r="O398" s="116"/>
      <c r="P398" s="116"/>
      <c r="Q398" s="116"/>
      <c r="R398" s="116"/>
      <c r="S398" s="116"/>
      <c r="T398" s="116"/>
      <c r="U398" s="116"/>
      <c r="V398" s="116"/>
      <c r="W398" s="116"/>
      <c r="X398" s="116"/>
      <c r="Y398" s="116"/>
      <c r="Z398" s="116"/>
    </row>
    <row r="399" spans="1:26" ht="15">
      <c r="A399" s="116"/>
      <c r="B399" s="988"/>
      <c r="C399" s="116"/>
      <c r="D399" s="116"/>
      <c r="E399" s="116"/>
      <c r="F399" s="116"/>
      <c r="G399" s="116"/>
      <c r="H399" s="116"/>
      <c r="I399" s="116"/>
      <c r="J399" s="116"/>
      <c r="K399" s="116"/>
      <c r="L399" s="116"/>
      <c r="M399" s="116"/>
      <c r="N399" s="116"/>
      <c r="O399" s="116"/>
      <c r="P399" s="116"/>
      <c r="Q399" s="116"/>
      <c r="R399" s="116"/>
      <c r="S399" s="116"/>
      <c r="T399" s="116"/>
      <c r="U399" s="116"/>
      <c r="V399" s="116"/>
      <c r="W399" s="116"/>
      <c r="X399" s="116"/>
      <c r="Y399" s="116"/>
      <c r="Z399" s="116"/>
    </row>
    <row r="400" spans="1:26" ht="15">
      <c r="A400" s="116"/>
      <c r="B400" s="988"/>
      <c r="C400" s="116"/>
      <c r="D400" s="116"/>
      <c r="E400" s="116"/>
      <c r="F400" s="116"/>
      <c r="G400" s="116"/>
      <c r="H400" s="116"/>
      <c r="I400" s="116"/>
      <c r="J400" s="116"/>
      <c r="K400" s="116"/>
      <c r="L400" s="116"/>
      <c r="M400" s="116"/>
      <c r="N400" s="116"/>
      <c r="O400" s="116"/>
      <c r="P400" s="116"/>
      <c r="Q400" s="116"/>
      <c r="R400" s="116"/>
      <c r="S400" s="116"/>
      <c r="T400" s="116"/>
      <c r="U400" s="116"/>
      <c r="V400" s="116"/>
      <c r="W400" s="116"/>
      <c r="X400" s="116"/>
      <c r="Y400" s="116"/>
      <c r="Z400" s="116"/>
    </row>
    <row r="401" spans="1:26" ht="15">
      <c r="A401" s="116"/>
      <c r="B401" s="988"/>
      <c r="C401" s="116"/>
      <c r="D401" s="116"/>
      <c r="E401" s="116"/>
      <c r="F401" s="116"/>
      <c r="G401" s="116"/>
      <c r="H401" s="116"/>
      <c r="I401" s="116"/>
      <c r="J401" s="116"/>
      <c r="K401" s="116"/>
      <c r="L401" s="116"/>
      <c r="M401" s="116"/>
      <c r="N401" s="116"/>
      <c r="O401" s="116"/>
      <c r="P401" s="116"/>
      <c r="Q401" s="116"/>
      <c r="R401" s="116"/>
      <c r="S401" s="116"/>
      <c r="T401" s="116"/>
      <c r="U401" s="116"/>
      <c r="V401" s="116"/>
      <c r="W401" s="116"/>
      <c r="X401" s="116"/>
      <c r="Y401" s="116"/>
      <c r="Z401" s="116"/>
    </row>
    <row r="402" spans="1:26" ht="15">
      <c r="A402" s="116"/>
      <c r="B402" s="988"/>
      <c r="C402" s="116"/>
      <c r="D402" s="116"/>
      <c r="E402" s="116"/>
      <c r="F402" s="116"/>
      <c r="G402" s="116"/>
      <c r="H402" s="116"/>
      <c r="I402" s="116"/>
      <c r="J402" s="116"/>
      <c r="K402" s="116"/>
      <c r="L402" s="116"/>
      <c r="M402" s="116"/>
      <c r="N402" s="116"/>
      <c r="O402" s="116"/>
      <c r="P402" s="116"/>
      <c r="Q402" s="116"/>
      <c r="R402" s="116"/>
      <c r="S402" s="116"/>
      <c r="T402" s="116"/>
      <c r="U402" s="116"/>
      <c r="V402" s="116"/>
      <c r="W402" s="116"/>
      <c r="X402" s="116"/>
      <c r="Y402" s="116"/>
      <c r="Z402" s="116"/>
    </row>
    <row r="403" spans="1:26" ht="15">
      <c r="A403" s="116"/>
      <c r="B403" s="988"/>
      <c r="C403" s="116"/>
      <c r="D403" s="116"/>
      <c r="E403" s="116"/>
      <c r="F403" s="116"/>
      <c r="G403" s="116"/>
      <c r="H403" s="116"/>
      <c r="I403" s="116"/>
      <c r="J403" s="116"/>
      <c r="K403" s="116"/>
      <c r="L403" s="116"/>
      <c r="M403" s="116"/>
      <c r="N403" s="116"/>
      <c r="O403" s="116"/>
      <c r="P403" s="116"/>
      <c r="Q403" s="116"/>
      <c r="R403" s="116"/>
      <c r="S403" s="116"/>
      <c r="T403" s="116"/>
      <c r="U403" s="116"/>
      <c r="V403" s="116"/>
      <c r="W403" s="116"/>
      <c r="X403" s="116"/>
      <c r="Y403" s="116"/>
      <c r="Z403" s="116"/>
    </row>
    <row r="404" spans="1:26" ht="15">
      <c r="A404" s="116"/>
      <c r="B404" s="988"/>
      <c r="C404" s="116"/>
      <c r="D404" s="116"/>
      <c r="E404" s="116"/>
      <c r="F404" s="116"/>
      <c r="G404" s="116"/>
      <c r="H404" s="116"/>
      <c r="I404" s="116"/>
      <c r="J404" s="116"/>
      <c r="K404" s="116"/>
      <c r="L404" s="116"/>
      <c r="M404" s="116"/>
      <c r="N404" s="116"/>
      <c r="O404" s="116"/>
      <c r="P404" s="116"/>
      <c r="Q404" s="116"/>
      <c r="R404" s="116"/>
      <c r="S404" s="116"/>
      <c r="T404" s="116"/>
      <c r="U404" s="116"/>
      <c r="V404" s="116"/>
      <c r="W404" s="116"/>
      <c r="X404" s="116"/>
      <c r="Y404" s="116"/>
      <c r="Z404" s="116"/>
    </row>
    <row r="405" spans="1:26" ht="15">
      <c r="A405" s="116"/>
      <c r="B405" s="988"/>
      <c r="C405" s="116"/>
      <c r="D405" s="116"/>
      <c r="E405" s="116"/>
      <c r="F405" s="116"/>
      <c r="G405" s="116"/>
      <c r="H405" s="116"/>
      <c r="I405" s="116"/>
      <c r="J405" s="116"/>
      <c r="K405" s="116"/>
      <c r="L405" s="116"/>
      <c r="M405" s="116"/>
      <c r="N405" s="116"/>
      <c r="O405" s="116"/>
      <c r="P405" s="116"/>
      <c r="Q405" s="116"/>
      <c r="R405" s="116"/>
      <c r="S405" s="116"/>
      <c r="T405" s="116"/>
      <c r="U405" s="116"/>
      <c r="V405" s="116"/>
      <c r="W405" s="116"/>
      <c r="X405" s="116"/>
      <c r="Y405" s="116"/>
      <c r="Z405" s="116"/>
    </row>
    <row r="406" spans="1:26" ht="15">
      <c r="A406" s="116"/>
      <c r="B406" s="988"/>
      <c r="C406" s="116"/>
      <c r="D406" s="116"/>
      <c r="E406" s="116"/>
      <c r="F406" s="116"/>
      <c r="G406" s="116"/>
      <c r="H406" s="116"/>
      <c r="I406" s="116"/>
      <c r="J406" s="116"/>
      <c r="K406" s="116"/>
      <c r="L406" s="116"/>
      <c r="M406" s="116"/>
      <c r="N406" s="116"/>
      <c r="O406" s="116"/>
      <c r="P406" s="116"/>
      <c r="Q406" s="116"/>
      <c r="R406" s="116"/>
      <c r="S406" s="116"/>
      <c r="T406" s="116"/>
      <c r="U406" s="116"/>
      <c r="V406" s="116"/>
      <c r="W406" s="116"/>
      <c r="X406" s="116"/>
      <c r="Y406" s="116"/>
      <c r="Z406" s="116"/>
    </row>
    <row r="407" spans="1:26" ht="15">
      <c r="A407" s="116"/>
      <c r="B407" s="988"/>
      <c r="C407" s="116"/>
      <c r="D407" s="116"/>
      <c r="E407" s="116"/>
      <c r="F407" s="116"/>
      <c r="G407" s="116"/>
      <c r="H407" s="116"/>
      <c r="I407" s="116"/>
      <c r="J407" s="116"/>
      <c r="K407" s="116"/>
      <c r="L407" s="116"/>
      <c r="M407" s="116"/>
      <c r="N407" s="116"/>
      <c r="O407" s="116"/>
      <c r="P407" s="116"/>
      <c r="Q407" s="116"/>
      <c r="R407" s="116"/>
      <c r="S407" s="116"/>
      <c r="T407" s="116"/>
      <c r="U407" s="116"/>
      <c r="V407" s="116"/>
      <c r="W407" s="116"/>
      <c r="X407" s="116"/>
      <c r="Y407" s="116"/>
      <c r="Z407" s="116"/>
    </row>
    <row r="408" spans="1:26" ht="15">
      <c r="A408" s="116"/>
      <c r="B408" s="988"/>
      <c r="C408" s="116"/>
      <c r="D408" s="116"/>
      <c r="E408" s="116"/>
      <c r="F408" s="116"/>
      <c r="G408" s="116"/>
      <c r="H408" s="116"/>
      <c r="I408" s="116"/>
      <c r="J408" s="116"/>
      <c r="K408" s="116"/>
      <c r="L408" s="116"/>
      <c r="M408" s="116"/>
      <c r="N408" s="116"/>
      <c r="O408" s="116"/>
      <c r="P408" s="116"/>
      <c r="Q408" s="116"/>
      <c r="R408" s="116"/>
      <c r="S408" s="116"/>
      <c r="T408" s="116"/>
      <c r="U408" s="116"/>
      <c r="V408" s="116"/>
      <c r="W408" s="116"/>
      <c r="X408" s="116"/>
      <c r="Y408" s="116"/>
      <c r="Z408" s="116"/>
    </row>
    <row r="409" spans="1:26" ht="15">
      <c r="A409" s="116"/>
      <c r="B409" s="988"/>
      <c r="C409" s="116"/>
      <c r="D409" s="116"/>
      <c r="E409" s="116"/>
      <c r="F409" s="116"/>
      <c r="G409" s="116"/>
      <c r="H409" s="116"/>
      <c r="I409" s="116"/>
      <c r="J409" s="116"/>
      <c r="K409" s="116"/>
      <c r="L409" s="116"/>
      <c r="M409" s="116"/>
      <c r="N409" s="116"/>
      <c r="O409" s="116"/>
      <c r="P409" s="116"/>
      <c r="Q409" s="116"/>
      <c r="R409" s="116"/>
      <c r="S409" s="116"/>
      <c r="T409" s="116"/>
      <c r="U409" s="116"/>
      <c r="V409" s="116"/>
      <c r="W409" s="116"/>
      <c r="X409" s="116"/>
      <c r="Y409" s="116"/>
      <c r="Z409" s="116"/>
    </row>
    <row r="410" spans="1:26" ht="15">
      <c r="A410" s="116"/>
      <c r="B410" s="988"/>
      <c r="C410" s="116"/>
      <c r="D410" s="116"/>
      <c r="E410" s="116"/>
      <c r="F410" s="116"/>
      <c r="G410" s="116"/>
      <c r="H410" s="116"/>
      <c r="I410" s="116"/>
      <c r="J410" s="116"/>
      <c r="K410" s="116"/>
      <c r="L410" s="116"/>
      <c r="M410" s="116"/>
      <c r="N410" s="116"/>
      <c r="O410" s="116"/>
      <c r="P410" s="116"/>
      <c r="Q410" s="116"/>
      <c r="R410" s="116"/>
      <c r="S410" s="116"/>
      <c r="T410" s="116"/>
      <c r="U410" s="116"/>
      <c r="V410" s="116"/>
      <c r="W410" s="116"/>
      <c r="X410" s="116"/>
      <c r="Y410" s="116"/>
      <c r="Z410" s="116"/>
    </row>
    <row r="411" spans="1:26" ht="15">
      <c r="A411" s="116"/>
      <c r="B411" s="988"/>
      <c r="C411" s="116"/>
      <c r="D411" s="116"/>
      <c r="E411" s="116"/>
      <c r="F411" s="116"/>
      <c r="G411" s="116"/>
      <c r="H411" s="116"/>
      <c r="I411" s="116"/>
      <c r="J411" s="116"/>
      <c r="K411" s="116"/>
      <c r="L411" s="116"/>
      <c r="M411" s="116"/>
      <c r="N411" s="116"/>
      <c r="O411" s="116"/>
      <c r="P411" s="116"/>
      <c r="Q411" s="116"/>
      <c r="R411" s="116"/>
      <c r="S411" s="116"/>
      <c r="T411" s="116"/>
      <c r="U411" s="116"/>
      <c r="V411" s="116"/>
      <c r="W411" s="116"/>
      <c r="X411" s="116"/>
      <c r="Y411" s="116"/>
      <c r="Z411" s="116"/>
    </row>
    <row r="412" spans="1:26" ht="15">
      <c r="A412" s="116"/>
      <c r="B412" s="988"/>
      <c r="C412" s="116"/>
      <c r="D412" s="116"/>
      <c r="E412" s="116"/>
      <c r="F412" s="116"/>
      <c r="G412" s="116"/>
      <c r="H412" s="116"/>
      <c r="I412" s="116"/>
      <c r="J412" s="116"/>
      <c r="K412" s="116"/>
      <c r="L412" s="116"/>
      <c r="M412" s="116"/>
      <c r="N412" s="116"/>
      <c r="O412" s="116"/>
      <c r="P412" s="116"/>
      <c r="Q412" s="116"/>
      <c r="R412" s="116"/>
      <c r="S412" s="116"/>
      <c r="T412" s="116"/>
      <c r="U412" s="116"/>
      <c r="V412" s="116"/>
      <c r="W412" s="116"/>
      <c r="X412" s="116"/>
      <c r="Y412" s="116"/>
      <c r="Z412" s="116"/>
    </row>
    <row r="413" spans="1:26" ht="15">
      <c r="A413" s="116"/>
      <c r="B413" s="988"/>
      <c r="C413" s="116"/>
      <c r="D413" s="116"/>
      <c r="E413" s="116"/>
      <c r="F413" s="116"/>
      <c r="G413" s="116"/>
      <c r="H413" s="116"/>
      <c r="I413" s="116"/>
      <c r="J413" s="116"/>
      <c r="K413" s="116"/>
      <c r="L413" s="116"/>
      <c r="M413" s="116"/>
      <c r="N413" s="116"/>
      <c r="O413" s="116"/>
      <c r="P413" s="116"/>
      <c r="Q413" s="116"/>
      <c r="R413" s="116"/>
      <c r="S413" s="116"/>
      <c r="T413" s="116"/>
      <c r="U413" s="116"/>
      <c r="V413" s="116"/>
      <c r="W413" s="116"/>
      <c r="X413" s="116"/>
      <c r="Y413" s="116"/>
      <c r="Z413" s="116"/>
    </row>
    <row r="414" spans="1:26" ht="15">
      <c r="A414" s="116"/>
      <c r="B414" s="988"/>
      <c r="C414" s="116"/>
      <c r="D414" s="116"/>
      <c r="E414" s="116"/>
      <c r="F414" s="116"/>
      <c r="G414" s="116"/>
      <c r="H414" s="116"/>
      <c r="I414" s="116"/>
      <c r="J414" s="116"/>
      <c r="K414" s="116"/>
      <c r="L414" s="116"/>
      <c r="M414" s="116"/>
      <c r="N414" s="116"/>
      <c r="O414" s="116"/>
      <c r="P414" s="116"/>
      <c r="Q414" s="116"/>
      <c r="R414" s="116"/>
      <c r="S414" s="116"/>
      <c r="T414" s="116"/>
      <c r="U414" s="116"/>
      <c r="V414" s="116"/>
      <c r="W414" s="116"/>
      <c r="X414" s="116"/>
      <c r="Y414" s="116"/>
      <c r="Z414" s="116"/>
    </row>
    <row r="415" spans="1:26" ht="15">
      <c r="A415" s="116"/>
      <c r="B415" s="988"/>
      <c r="C415" s="116"/>
      <c r="D415" s="116"/>
      <c r="E415" s="116"/>
      <c r="F415" s="116"/>
      <c r="G415" s="116"/>
      <c r="H415" s="116"/>
      <c r="I415" s="116"/>
      <c r="J415" s="116"/>
      <c r="K415" s="116"/>
      <c r="L415" s="116"/>
      <c r="M415" s="116"/>
      <c r="N415" s="116"/>
      <c r="O415" s="116"/>
      <c r="P415" s="116"/>
      <c r="Q415" s="116"/>
      <c r="R415" s="116"/>
      <c r="S415" s="116"/>
      <c r="T415" s="116"/>
      <c r="U415" s="116"/>
      <c r="V415" s="116"/>
      <c r="W415" s="116"/>
      <c r="X415" s="116"/>
      <c r="Y415" s="116"/>
      <c r="Z415" s="116"/>
    </row>
    <row r="416" spans="1:26" ht="15">
      <c r="A416" s="116"/>
      <c r="B416" s="988"/>
      <c r="C416" s="116"/>
      <c r="D416" s="116"/>
      <c r="E416" s="116"/>
      <c r="F416" s="116"/>
      <c r="G416" s="116"/>
      <c r="H416" s="116"/>
      <c r="I416" s="116"/>
      <c r="J416" s="116"/>
      <c r="K416" s="116"/>
      <c r="L416" s="116"/>
      <c r="M416" s="116"/>
      <c r="N416" s="116"/>
      <c r="O416" s="116"/>
      <c r="P416" s="116"/>
      <c r="Q416" s="116"/>
      <c r="R416" s="116"/>
      <c r="S416" s="116"/>
      <c r="T416" s="116"/>
      <c r="U416" s="116"/>
      <c r="V416" s="116"/>
      <c r="W416" s="116"/>
      <c r="X416" s="116"/>
      <c r="Y416" s="116"/>
      <c r="Z416" s="116"/>
    </row>
    <row r="417" spans="1:26" ht="15">
      <c r="A417" s="116"/>
      <c r="B417" s="988"/>
      <c r="C417" s="116"/>
      <c r="D417" s="116"/>
      <c r="E417" s="116"/>
      <c r="F417" s="116"/>
      <c r="G417" s="116"/>
      <c r="H417" s="116"/>
      <c r="I417" s="116"/>
      <c r="J417" s="116"/>
      <c r="K417" s="116"/>
      <c r="L417" s="116"/>
      <c r="M417" s="116"/>
      <c r="N417" s="116"/>
      <c r="O417" s="116"/>
      <c r="P417" s="116"/>
      <c r="Q417" s="116"/>
      <c r="R417" s="116"/>
      <c r="S417" s="116"/>
      <c r="T417" s="116"/>
      <c r="U417" s="116"/>
      <c r="V417" s="116"/>
      <c r="W417" s="116"/>
      <c r="X417" s="116"/>
      <c r="Y417" s="116"/>
      <c r="Z417" s="116"/>
    </row>
    <row r="418" spans="1:26" ht="15">
      <c r="A418" s="116"/>
      <c r="B418" s="988"/>
      <c r="C418" s="116"/>
      <c r="D418" s="116"/>
      <c r="E418" s="116"/>
      <c r="F418" s="116"/>
      <c r="G418" s="116"/>
      <c r="H418" s="116"/>
      <c r="I418" s="116"/>
      <c r="J418" s="116"/>
      <c r="K418" s="116"/>
      <c r="L418" s="116"/>
      <c r="M418" s="116"/>
      <c r="N418" s="116"/>
      <c r="O418" s="116"/>
      <c r="P418" s="116"/>
      <c r="Q418" s="116"/>
      <c r="R418" s="116"/>
      <c r="S418" s="116"/>
      <c r="T418" s="116"/>
      <c r="U418" s="116"/>
      <c r="V418" s="116"/>
      <c r="W418" s="116"/>
      <c r="X418" s="116"/>
      <c r="Y418" s="116"/>
      <c r="Z418" s="116"/>
    </row>
    <row r="419" spans="1:26" ht="15">
      <c r="A419" s="116"/>
      <c r="B419" s="988"/>
      <c r="C419" s="116"/>
      <c r="D419" s="116"/>
      <c r="E419" s="116"/>
      <c r="F419" s="116"/>
      <c r="G419" s="116"/>
      <c r="H419" s="116"/>
      <c r="I419" s="116"/>
      <c r="J419" s="116"/>
      <c r="K419" s="116"/>
      <c r="L419" s="116"/>
      <c r="M419" s="116"/>
      <c r="N419" s="116"/>
      <c r="O419" s="116"/>
      <c r="P419" s="116"/>
      <c r="Q419" s="116"/>
      <c r="R419" s="116"/>
      <c r="S419" s="116"/>
      <c r="T419" s="116"/>
      <c r="U419" s="116"/>
      <c r="V419" s="116"/>
      <c r="W419" s="116"/>
      <c r="X419" s="116"/>
      <c r="Y419" s="116"/>
      <c r="Z419" s="116"/>
    </row>
    <row r="420" spans="1:26" ht="15">
      <c r="A420" s="116"/>
      <c r="B420" s="988"/>
      <c r="C420" s="116"/>
      <c r="D420" s="116"/>
      <c r="E420" s="116"/>
      <c r="F420" s="116"/>
      <c r="G420" s="116"/>
      <c r="H420" s="116"/>
      <c r="I420" s="116"/>
      <c r="J420" s="116"/>
      <c r="K420" s="116"/>
      <c r="L420" s="116"/>
      <c r="M420" s="116"/>
      <c r="N420" s="116"/>
      <c r="O420" s="116"/>
      <c r="P420" s="116"/>
      <c r="Q420" s="116"/>
      <c r="R420" s="116"/>
      <c r="S420" s="116"/>
      <c r="T420" s="116"/>
      <c r="U420" s="116"/>
      <c r="V420" s="116"/>
      <c r="W420" s="116"/>
      <c r="X420" s="116"/>
      <c r="Y420" s="116"/>
      <c r="Z420" s="116"/>
    </row>
    <row r="421" spans="1:26" ht="15">
      <c r="A421" s="116"/>
      <c r="B421" s="988"/>
      <c r="C421" s="116"/>
      <c r="D421" s="116"/>
      <c r="E421" s="116"/>
      <c r="F421" s="116"/>
      <c r="G421" s="116"/>
      <c r="H421" s="116"/>
      <c r="I421" s="116"/>
      <c r="J421" s="116"/>
      <c r="K421" s="116"/>
      <c r="L421" s="116"/>
      <c r="M421" s="116"/>
      <c r="N421" s="116"/>
      <c r="O421" s="116"/>
      <c r="P421" s="116"/>
      <c r="Q421" s="116"/>
      <c r="R421" s="116"/>
      <c r="S421" s="116"/>
      <c r="T421" s="116"/>
      <c r="U421" s="116"/>
      <c r="V421" s="116"/>
      <c r="W421" s="116"/>
      <c r="X421" s="116"/>
      <c r="Y421" s="116"/>
      <c r="Z421" s="116"/>
    </row>
    <row r="422" spans="1:26" ht="15">
      <c r="A422" s="116"/>
      <c r="B422" s="988"/>
      <c r="C422" s="116"/>
      <c r="D422" s="116"/>
      <c r="E422" s="116"/>
      <c r="F422" s="116"/>
      <c r="G422" s="116"/>
      <c r="H422" s="116"/>
      <c r="I422" s="116"/>
      <c r="J422" s="116"/>
      <c r="K422" s="116"/>
      <c r="L422" s="116"/>
      <c r="M422" s="116"/>
      <c r="N422" s="116"/>
      <c r="O422" s="116"/>
      <c r="P422" s="116"/>
      <c r="Q422" s="116"/>
      <c r="R422" s="116"/>
      <c r="S422" s="116"/>
      <c r="T422" s="116"/>
      <c r="U422" s="116"/>
      <c r="V422" s="116"/>
      <c r="W422" s="116"/>
      <c r="X422" s="116"/>
      <c r="Y422" s="116"/>
      <c r="Z422" s="116"/>
    </row>
    <row r="423" spans="1:26" ht="15">
      <c r="A423" s="116"/>
      <c r="B423" s="988"/>
      <c r="C423" s="116"/>
      <c r="D423" s="116"/>
      <c r="E423" s="116"/>
      <c r="F423" s="116"/>
      <c r="G423" s="116"/>
      <c r="H423" s="116"/>
      <c r="I423" s="116"/>
      <c r="J423" s="116"/>
      <c r="K423" s="116"/>
      <c r="L423" s="116"/>
      <c r="M423" s="116"/>
      <c r="N423" s="116"/>
      <c r="O423" s="116"/>
      <c r="P423" s="116"/>
      <c r="Q423" s="116"/>
      <c r="R423" s="116"/>
      <c r="S423" s="116"/>
      <c r="T423" s="116"/>
      <c r="U423" s="116"/>
      <c r="V423" s="116"/>
      <c r="W423" s="116"/>
      <c r="X423" s="116"/>
      <c r="Y423" s="116"/>
      <c r="Z423" s="116"/>
    </row>
    <row r="424" spans="1:26" ht="15">
      <c r="A424" s="116"/>
      <c r="B424" s="988"/>
      <c r="C424" s="116"/>
      <c r="D424" s="116"/>
      <c r="E424" s="116"/>
      <c r="F424" s="116"/>
      <c r="G424" s="116"/>
      <c r="H424" s="116"/>
      <c r="I424" s="116"/>
      <c r="J424" s="116"/>
      <c r="K424" s="116"/>
      <c r="L424" s="116"/>
      <c r="M424" s="116"/>
      <c r="N424" s="116"/>
      <c r="O424" s="116"/>
      <c r="P424" s="116"/>
      <c r="Q424" s="116"/>
      <c r="R424" s="116"/>
      <c r="S424" s="116"/>
      <c r="T424" s="116"/>
      <c r="U424" s="116"/>
      <c r="V424" s="116"/>
      <c r="W424" s="116"/>
      <c r="X424" s="116"/>
      <c r="Y424" s="116"/>
      <c r="Z424" s="116"/>
    </row>
    <row r="425" spans="1:26" ht="15">
      <c r="A425" s="116"/>
      <c r="B425" s="988"/>
      <c r="C425" s="116"/>
      <c r="D425" s="116"/>
      <c r="E425" s="116"/>
      <c r="F425" s="116"/>
      <c r="G425" s="116"/>
      <c r="H425" s="116"/>
      <c r="I425" s="116"/>
      <c r="J425" s="116"/>
      <c r="K425" s="116"/>
      <c r="L425" s="116"/>
      <c r="M425" s="116"/>
      <c r="N425" s="116"/>
      <c r="O425" s="116"/>
      <c r="P425" s="116"/>
      <c r="Q425" s="116"/>
      <c r="R425" s="116"/>
      <c r="S425" s="116"/>
      <c r="T425" s="116"/>
      <c r="U425" s="116"/>
      <c r="V425" s="116"/>
      <c r="W425" s="116"/>
      <c r="X425" s="116"/>
      <c r="Y425" s="116"/>
      <c r="Z425" s="116"/>
    </row>
    <row r="426" spans="1:26" ht="15">
      <c r="A426" s="116"/>
      <c r="B426" s="988"/>
      <c r="C426" s="116"/>
      <c r="D426" s="116"/>
      <c r="E426" s="116"/>
      <c r="F426" s="116"/>
      <c r="G426" s="116"/>
      <c r="H426" s="116"/>
      <c r="I426" s="116"/>
      <c r="J426" s="116"/>
      <c r="K426" s="116"/>
      <c r="L426" s="116"/>
      <c r="M426" s="116"/>
      <c r="N426" s="116"/>
      <c r="O426" s="116"/>
      <c r="P426" s="116"/>
      <c r="Q426" s="116"/>
      <c r="R426" s="116"/>
      <c r="S426" s="116"/>
      <c r="T426" s="116"/>
      <c r="U426" s="116"/>
      <c r="V426" s="116"/>
      <c r="W426" s="116"/>
      <c r="X426" s="116"/>
      <c r="Y426" s="116"/>
      <c r="Z426" s="116"/>
    </row>
    <row r="427" spans="1:26" ht="15">
      <c r="A427" s="116"/>
      <c r="B427" s="988"/>
      <c r="C427" s="116"/>
      <c r="D427" s="116"/>
      <c r="E427" s="116"/>
      <c r="F427" s="116"/>
      <c r="G427" s="116"/>
      <c r="H427" s="116"/>
      <c r="I427" s="116"/>
      <c r="J427" s="116"/>
      <c r="K427" s="116"/>
      <c r="L427" s="116"/>
      <c r="M427" s="116"/>
      <c r="N427" s="116"/>
      <c r="O427" s="116"/>
      <c r="P427" s="116"/>
      <c r="Q427" s="116"/>
      <c r="R427" s="116"/>
      <c r="S427" s="116"/>
      <c r="T427" s="116"/>
      <c r="U427" s="116"/>
      <c r="V427" s="116"/>
      <c r="W427" s="116"/>
      <c r="X427" s="116"/>
      <c r="Y427" s="116"/>
      <c r="Z427" s="116"/>
    </row>
    <row r="428" spans="1:26" ht="15">
      <c r="A428" s="116"/>
      <c r="B428" s="988"/>
      <c r="C428" s="116"/>
      <c r="D428" s="116"/>
      <c r="E428" s="116"/>
      <c r="F428" s="116"/>
      <c r="G428" s="116"/>
      <c r="H428" s="116"/>
      <c r="I428" s="116"/>
      <c r="J428" s="116"/>
      <c r="K428" s="116"/>
      <c r="L428" s="116"/>
      <c r="M428" s="116"/>
      <c r="N428" s="116"/>
      <c r="O428" s="116"/>
      <c r="P428" s="116"/>
      <c r="Q428" s="116"/>
      <c r="R428" s="116"/>
      <c r="S428" s="116"/>
      <c r="T428" s="116"/>
      <c r="U428" s="116"/>
      <c r="V428" s="116"/>
      <c r="W428" s="116"/>
      <c r="X428" s="116"/>
      <c r="Y428" s="116"/>
      <c r="Z428" s="116"/>
    </row>
    <row r="429" spans="1:26" ht="15">
      <c r="A429" s="116"/>
      <c r="B429" s="988"/>
      <c r="C429" s="116"/>
      <c r="D429" s="116"/>
      <c r="E429" s="116"/>
      <c r="F429" s="116"/>
      <c r="G429" s="116"/>
      <c r="H429" s="116"/>
      <c r="I429" s="116"/>
      <c r="J429" s="116"/>
      <c r="K429" s="116"/>
      <c r="L429" s="116"/>
      <c r="M429" s="116"/>
      <c r="N429" s="116"/>
      <c r="O429" s="116"/>
      <c r="P429" s="116"/>
      <c r="Q429" s="116"/>
      <c r="R429" s="116"/>
      <c r="S429" s="116"/>
      <c r="T429" s="116"/>
      <c r="U429" s="116"/>
      <c r="V429" s="116"/>
      <c r="W429" s="116"/>
      <c r="X429" s="116"/>
      <c r="Y429" s="116"/>
      <c r="Z429" s="116"/>
    </row>
    <row r="430" spans="1:26" ht="15">
      <c r="A430" s="116"/>
      <c r="B430" s="988"/>
      <c r="C430" s="116"/>
      <c r="D430" s="116"/>
      <c r="E430" s="116"/>
      <c r="F430" s="116"/>
      <c r="G430" s="116"/>
      <c r="H430" s="116"/>
      <c r="I430" s="116"/>
      <c r="J430" s="116"/>
      <c r="K430" s="116"/>
      <c r="L430" s="116"/>
      <c r="M430" s="116"/>
      <c r="N430" s="116"/>
      <c r="O430" s="116"/>
      <c r="P430" s="116"/>
      <c r="Q430" s="116"/>
      <c r="R430" s="116"/>
      <c r="S430" s="116"/>
      <c r="T430" s="116"/>
      <c r="U430" s="116"/>
      <c r="V430" s="116"/>
      <c r="W430" s="116"/>
      <c r="X430" s="116"/>
      <c r="Y430" s="116"/>
      <c r="Z430" s="116"/>
    </row>
    <row r="431" spans="1:26" ht="15">
      <c r="A431" s="116"/>
      <c r="B431" s="988"/>
      <c r="C431" s="116"/>
      <c r="D431" s="116"/>
      <c r="E431" s="116"/>
      <c r="F431" s="116"/>
      <c r="G431" s="116"/>
      <c r="H431" s="116"/>
      <c r="I431" s="116"/>
      <c r="J431" s="116"/>
      <c r="K431" s="116"/>
      <c r="L431" s="116"/>
      <c r="M431" s="116"/>
      <c r="N431" s="116"/>
      <c r="O431" s="116"/>
      <c r="P431" s="116"/>
      <c r="Q431" s="116"/>
      <c r="R431" s="116"/>
      <c r="S431" s="116"/>
      <c r="T431" s="116"/>
      <c r="U431" s="116"/>
      <c r="V431" s="116"/>
      <c r="W431" s="116"/>
      <c r="X431" s="116"/>
      <c r="Y431" s="116"/>
      <c r="Z431" s="116"/>
    </row>
    <row r="432" spans="1:26" ht="15">
      <c r="A432" s="116"/>
      <c r="B432" s="988"/>
      <c r="C432" s="116"/>
      <c r="D432" s="116"/>
      <c r="E432" s="116"/>
      <c r="F432" s="116"/>
      <c r="G432" s="116"/>
      <c r="H432" s="116"/>
      <c r="I432" s="116"/>
      <c r="J432" s="116"/>
      <c r="K432" s="116"/>
      <c r="L432" s="116"/>
      <c r="M432" s="116"/>
      <c r="N432" s="116"/>
      <c r="O432" s="116"/>
      <c r="P432" s="116"/>
      <c r="Q432" s="116"/>
      <c r="R432" s="116"/>
      <c r="S432" s="116"/>
      <c r="T432" s="116"/>
      <c r="U432" s="116"/>
      <c r="V432" s="116"/>
      <c r="W432" s="116"/>
      <c r="X432" s="116"/>
      <c r="Y432" s="116"/>
      <c r="Z432" s="116"/>
    </row>
    <row r="433" spans="1:26" ht="15">
      <c r="A433" s="116"/>
      <c r="B433" s="988"/>
      <c r="C433" s="116"/>
      <c r="D433" s="116"/>
      <c r="E433" s="116"/>
      <c r="F433" s="116"/>
      <c r="G433" s="116"/>
      <c r="H433" s="116"/>
      <c r="I433" s="116"/>
      <c r="J433" s="116"/>
      <c r="K433" s="116"/>
      <c r="L433" s="116"/>
      <c r="M433" s="116"/>
      <c r="N433" s="116"/>
      <c r="O433" s="116"/>
      <c r="P433" s="116"/>
      <c r="Q433" s="116"/>
      <c r="R433" s="116"/>
      <c r="S433" s="116"/>
      <c r="T433" s="116"/>
      <c r="U433" s="116"/>
      <c r="V433" s="116"/>
      <c r="W433" s="116"/>
      <c r="X433" s="116"/>
      <c r="Y433" s="116"/>
      <c r="Z433" s="116"/>
    </row>
    <row r="434" spans="1:26" ht="15">
      <c r="A434" s="116"/>
      <c r="B434" s="988"/>
      <c r="C434" s="116"/>
      <c r="D434" s="116"/>
      <c r="E434" s="116"/>
      <c r="F434" s="116"/>
      <c r="G434" s="116"/>
      <c r="H434" s="116"/>
      <c r="I434" s="116"/>
      <c r="J434" s="116"/>
      <c r="K434" s="116"/>
      <c r="L434" s="116"/>
      <c r="M434" s="116"/>
      <c r="N434" s="116"/>
      <c r="O434" s="116"/>
      <c r="P434" s="116"/>
      <c r="Q434" s="116"/>
      <c r="R434" s="116"/>
      <c r="S434" s="116"/>
      <c r="T434" s="116"/>
      <c r="U434" s="116"/>
      <c r="V434" s="116"/>
      <c r="W434" s="116"/>
      <c r="X434" s="116"/>
      <c r="Y434" s="116"/>
      <c r="Z434" s="116"/>
    </row>
    <row r="435" spans="1:26" ht="15">
      <c r="A435" s="116"/>
      <c r="B435" s="988"/>
      <c r="C435" s="116"/>
      <c r="D435" s="116"/>
      <c r="E435" s="116"/>
      <c r="F435" s="116"/>
      <c r="G435" s="116"/>
      <c r="H435" s="116"/>
      <c r="I435" s="116"/>
      <c r="J435" s="116"/>
      <c r="K435" s="116"/>
      <c r="L435" s="116"/>
      <c r="M435" s="116"/>
      <c r="N435" s="116"/>
      <c r="O435" s="116"/>
      <c r="P435" s="116"/>
      <c r="Q435" s="116"/>
      <c r="R435" s="116"/>
      <c r="S435" s="116"/>
      <c r="T435" s="116"/>
      <c r="U435" s="116"/>
      <c r="V435" s="116"/>
      <c r="W435" s="116"/>
      <c r="X435" s="116"/>
      <c r="Y435" s="116"/>
      <c r="Z435" s="116"/>
    </row>
    <row r="436" spans="1:26" ht="15">
      <c r="A436" s="116"/>
      <c r="B436" s="988"/>
      <c r="C436" s="116"/>
      <c r="D436" s="116"/>
      <c r="E436" s="116"/>
      <c r="F436" s="116"/>
      <c r="G436" s="116"/>
      <c r="H436" s="116"/>
      <c r="I436" s="116"/>
      <c r="J436" s="116"/>
      <c r="K436" s="116"/>
      <c r="L436" s="116"/>
      <c r="M436" s="116"/>
      <c r="N436" s="116"/>
      <c r="O436" s="116"/>
      <c r="P436" s="116"/>
      <c r="Q436" s="116"/>
      <c r="R436" s="116"/>
      <c r="S436" s="116"/>
      <c r="T436" s="116"/>
      <c r="U436" s="116"/>
      <c r="V436" s="116"/>
      <c r="W436" s="116"/>
      <c r="X436" s="116"/>
      <c r="Y436" s="116"/>
      <c r="Z436" s="116"/>
    </row>
    <row r="437" spans="1:26" ht="15">
      <c r="A437" s="116"/>
      <c r="B437" s="988"/>
      <c r="C437" s="116"/>
      <c r="D437" s="116"/>
      <c r="E437" s="116"/>
      <c r="F437" s="116"/>
      <c r="G437" s="116"/>
      <c r="H437" s="116"/>
      <c r="I437" s="116"/>
      <c r="J437" s="116"/>
      <c r="K437" s="116"/>
      <c r="L437" s="116"/>
      <c r="M437" s="116"/>
      <c r="N437" s="116"/>
      <c r="O437" s="116"/>
      <c r="P437" s="116"/>
      <c r="Q437" s="116"/>
      <c r="R437" s="116"/>
      <c r="S437" s="116"/>
      <c r="T437" s="116"/>
      <c r="U437" s="116"/>
      <c r="V437" s="116"/>
      <c r="W437" s="116"/>
      <c r="X437" s="116"/>
      <c r="Y437" s="116"/>
      <c r="Z437" s="116"/>
    </row>
    <row r="438" spans="1:26" ht="15">
      <c r="A438" s="116"/>
      <c r="B438" s="988"/>
      <c r="C438" s="116"/>
      <c r="D438" s="116"/>
      <c r="E438" s="116"/>
      <c r="F438" s="116"/>
      <c r="G438" s="116"/>
      <c r="H438" s="116"/>
      <c r="I438" s="116"/>
      <c r="J438" s="116"/>
      <c r="K438" s="116"/>
      <c r="L438" s="116"/>
      <c r="M438" s="116"/>
      <c r="N438" s="116"/>
      <c r="O438" s="116"/>
      <c r="P438" s="116"/>
      <c r="Q438" s="116"/>
      <c r="R438" s="116"/>
      <c r="S438" s="116"/>
      <c r="T438" s="116"/>
      <c r="U438" s="116"/>
      <c r="V438" s="116"/>
      <c r="W438" s="116"/>
      <c r="X438" s="116"/>
      <c r="Y438" s="116"/>
      <c r="Z438" s="116"/>
    </row>
    <row r="439" spans="1:26" ht="15">
      <c r="A439" s="116"/>
      <c r="B439" s="988"/>
      <c r="C439" s="116"/>
      <c r="D439" s="116"/>
      <c r="E439" s="116"/>
      <c r="F439" s="116"/>
      <c r="G439" s="116"/>
      <c r="H439" s="116"/>
      <c r="I439" s="116"/>
      <c r="J439" s="116"/>
      <c r="K439" s="116"/>
      <c r="L439" s="116"/>
      <c r="M439" s="116"/>
      <c r="N439" s="116"/>
      <c r="O439" s="116"/>
      <c r="P439" s="116"/>
      <c r="Q439" s="116"/>
      <c r="R439" s="116"/>
      <c r="S439" s="116"/>
      <c r="T439" s="116"/>
      <c r="U439" s="116"/>
      <c r="V439" s="116"/>
      <c r="W439" s="116"/>
      <c r="X439" s="116"/>
      <c r="Y439" s="116"/>
      <c r="Z439" s="116"/>
    </row>
    <row r="440" spans="1:26" ht="15">
      <c r="A440" s="116"/>
      <c r="B440" s="988"/>
      <c r="C440" s="116"/>
      <c r="D440" s="116"/>
      <c r="E440" s="116"/>
      <c r="F440" s="116"/>
      <c r="G440" s="116"/>
      <c r="H440" s="116"/>
      <c r="I440" s="116"/>
      <c r="J440" s="116"/>
      <c r="K440" s="116"/>
      <c r="L440" s="116"/>
      <c r="M440" s="116"/>
      <c r="N440" s="116"/>
      <c r="O440" s="116"/>
      <c r="P440" s="116"/>
      <c r="Q440" s="116"/>
      <c r="R440" s="116"/>
      <c r="S440" s="116"/>
      <c r="T440" s="116"/>
      <c r="U440" s="116"/>
      <c r="V440" s="116"/>
      <c r="W440" s="116"/>
      <c r="X440" s="116"/>
      <c r="Y440" s="116"/>
      <c r="Z440" s="116"/>
    </row>
    <row r="441" spans="1:26" ht="15">
      <c r="A441" s="116"/>
      <c r="B441" s="988"/>
      <c r="C441" s="116"/>
      <c r="D441" s="116"/>
      <c r="E441" s="116"/>
      <c r="F441" s="116"/>
      <c r="G441" s="116"/>
      <c r="H441" s="116"/>
      <c r="I441" s="116"/>
      <c r="J441" s="116"/>
      <c r="K441" s="116"/>
      <c r="L441" s="116"/>
      <c r="M441" s="116"/>
      <c r="N441" s="116"/>
      <c r="O441" s="116"/>
      <c r="P441" s="116"/>
      <c r="Q441" s="116"/>
      <c r="R441" s="116"/>
      <c r="S441" s="116"/>
      <c r="T441" s="116"/>
      <c r="U441" s="116"/>
      <c r="V441" s="116"/>
      <c r="W441" s="116"/>
      <c r="X441" s="116"/>
      <c r="Y441" s="116"/>
      <c r="Z441" s="116"/>
    </row>
    <row r="442" spans="1:26" ht="15">
      <c r="A442" s="116"/>
      <c r="B442" s="988"/>
      <c r="C442" s="116"/>
      <c r="D442" s="116"/>
      <c r="E442" s="116"/>
      <c r="F442" s="116"/>
      <c r="G442" s="116"/>
      <c r="H442" s="116"/>
      <c r="I442" s="116"/>
      <c r="J442" s="116"/>
      <c r="K442" s="116"/>
      <c r="L442" s="116"/>
      <c r="M442" s="116"/>
      <c r="N442" s="116"/>
      <c r="O442" s="116"/>
      <c r="P442" s="116"/>
      <c r="Q442" s="116"/>
      <c r="R442" s="116"/>
      <c r="S442" s="116"/>
      <c r="T442" s="116"/>
      <c r="U442" s="116"/>
      <c r="V442" s="116"/>
      <c r="W442" s="116"/>
      <c r="X442" s="116"/>
      <c r="Y442" s="116"/>
      <c r="Z442" s="116"/>
    </row>
    <row r="443" spans="1:26" ht="15">
      <c r="A443" s="116"/>
      <c r="B443" s="988"/>
      <c r="C443" s="116"/>
      <c r="D443" s="116"/>
      <c r="E443" s="116"/>
      <c r="F443" s="116"/>
      <c r="G443" s="116"/>
      <c r="H443" s="116"/>
      <c r="I443" s="116"/>
      <c r="J443" s="116"/>
      <c r="K443" s="116"/>
      <c r="L443" s="116"/>
      <c r="M443" s="116"/>
      <c r="N443" s="116"/>
      <c r="O443" s="116"/>
      <c r="P443" s="116"/>
      <c r="Q443" s="116"/>
      <c r="R443" s="116"/>
      <c r="S443" s="116"/>
      <c r="T443" s="116"/>
      <c r="U443" s="116"/>
      <c r="V443" s="116"/>
      <c r="W443" s="116"/>
      <c r="X443" s="116"/>
      <c r="Y443" s="116"/>
      <c r="Z443" s="116"/>
    </row>
    <row r="444" spans="1:26" ht="15">
      <c r="A444" s="116"/>
      <c r="B444" s="988"/>
      <c r="C444" s="116"/>
      <c r="D444" s="116"/>
      <c r="E444" s="116"/>
      <c r="F444" s="116"/>
      <c r="G444" s="116"/>
      <c r="H444" s="116"/>
      <c r="I444" s="116"/>
      <c r="J444" s="116"/>
      <c r="K444" s="116"/>
      <c r="L444" s="116"/>
      <c r="M444" s="116"/>
      <c r="N444" s="116"/>
      <c r="O444" s="116"/>
      <c r="P444" s="116"/>
      <c r="Q444" s="116"/>
      <c r="R444" s="116"/>
      <c r="S444" s="116"/>
      <c r="T444" s="116"/>
      <c r="U444" s="116"/>
      <c r="V444" s="116"/>
      <c r="W444" s="116"/>
      <c r="X444" s="116"/>
      <c r="Y444" s="116"/>
      <c r="Z444" s="116"/>
    </row>
    <row r="445" spans="1:26" ht="15">
      <c r="A445" s="116"/>
      <c r="B445" s="988"/>
      <c r="C445" s="116"/>
      <c r="D445" s="116"/>
      <c r="E445" s="116"/>
      <c r="F445" s="116"/>
      <c r="G445" s="116"/>
      <c r="H445" s="116"/>
      <c r="I445" s="116"/>
      <c r="J445" s="116"/>
      <c r="K445" s="116"/>
      <c r="L445" s="116"/>
      <c r="M445" s="116"/>
      <c r="N445" s="116"/>
      <c r="O445" s="116"/>
      <c r="P445" s="116"/>
      <c r="Q445" s="116"/>
      <c r="R445" s="116"/>
      <c r="S445" s="116"/>
      <c r="T445" s="116"/>
      <c r="U445" s="116"/>
      <c r="V445" s="116"/>
      <c r="W445" s="116"/>
      <c r="X445" s="116"/>
      <c r="Y445" s="116"/>
      <c r="Z445" s="116"/>
    </row>
    <row r="446" spans="1:26" ht="15">
      <c r="A446" s="116"/>
      <c r="B446" s="988"/>
      <c r="C446" s="116"/>
      <c r="D446" s="116"/>
      <c r="E446" s="116"/>
      <c r="F446" s="116"/>
      <c r="G446" s="116"/>
      <c r="H446" s="116"/>
      <c r="I446" s="116"/>
      <c r="J446" s="116"/>
      <c r="K446" s="116"/>
      <c r="L446" s="116"/>
      <c r="M446" s="116"/>
      <c r="N446" s="116"/>
      <c r="O446" s="116"/>
      <c r="P446" s="116"/>
      <c r="Q446" s="116"/>
      <c r="R446" s="116"/>
      <c r="S446" s="116"/>
      <c r="T446" s="116"/>
      <c r="U446" s="116"/>
      <c r="V446" s="116"/>
      <c r="W446" s="116"/>
      <c r="X446" s="116"/>
      <c r="Y446" s="116"/>
      <c r="Z446" s="116"/>
    </row>
    <row r="447" spans="1:26" ht="15">
      <c r="A447" s="116"/>
      <c r="B447" s="988"/>
      <c r="C447" s="116"/>
      <c r="D447" s="116"/>
      <c r="E447" s="116"/>
      <c r="F447" s="116"/>
      <c r="G447" s="116"/>
      <c r="H447" s="116"/>
      <c r="I447" s="116"/>
      <c r="J447" s="116"/>
      <c r="K447" s="116"/>
      <c r="L447" s="116"/>
      <c r="M447" s="116"/>
      <c r="N447" s="116"/>
      <c r="O447" s="116"/>
      <c r="P447" s="116"/>
      <c r="Q447" s="116"/>
      <c r="R447" s="116"/>
      <c r="S447" s="116"/>
      <c r="T447" s="116"/>
      <c r="U447" s="116"/>
      <c r="V447" s="116"/>
      <c r="W447" s="116"/>
      <c r="X447" s="116"/>
      <c r="Y447" s="116"/>
      <c r="Z447" s="116"/>
    </row>
    <row r="448" spans="1:26" ht="15">
      <c r="A448" s="116"/>
      <c r="B448" s="988"/>
      <c r="C448" s="116"/>
      <c r="D448" s="116"/>
      <c r="E448" s="116"/>
      <c r="F448" s="116"/>
      <c r="G448" s="116"/>
      <c r="H448" s="116"/>
      <c r="I448" s="116"/>
      <c r="J448" s="116"/>
      <c r="K448" s="116"/>
      <c r="L448" s="116"/>
      <c r="M448" s="116"/>
      <c r="N448" s="116"/>
      <c r="O448" s="116"/>
      <c r="P448" s="116"/>
      <c r="Q448" s="116"/>
      <c r="R448" s="116"/>
      <c r="S448" s="116"/>
      <c r="T448" s="116"/>
      <c r="U448" s="116"/>
      <c r="V448" s="116"/>
      <c r="W448" s="116"/>
      <c r="X448" s="116"/>
      <c r="Y448" s="116"/>
      <c r="Z448" s="116"/>
    </row>
    <row r="449" spans="1:26" ht="15">
      <c r="A449" s="116"/>
      <c r="B449" s="988"/>
      <c r="C449" s="116"/>
      <c r="D449" s="116"/>
      <c r="E449" s="116"/>
      <c r="F449" s="116"/>
      <c r="G449" s="116"/>
      <c r="H449" s="116"/>
      <c r="I449" s="116"/>
      <c r="J449" s="116"/>
      <c r="K449" s="116"/>
      <c r="L449" s="116"/>
      <c r="M449" s="116"/>
      <c r="N449" s="116"/>
      <c r="O449" s="116"/>
      <c r="P449" s="116"/>
      <c r="Q449" s="116"/>
      <c r="R449" s="116"/>
      <c r="S449" s="116"/>
      <c r="T449" s="116"/>
      <c r="U449" s="116"/>
      <c r="V449" s="116"/>
      <c r="W449" s="116"/>
      <c r="X449" s="116"/>
      <c r="Y449" s="116"/>
      <c r="Z449" s="116"/>
    </row>
    <row r="450" spans="1:26" ht="15">
      <c r="A450" s="116"/>
      <c r="B450" s="988"/>
      <c r="C450" s="116"/>
      <c r="D450" s="116"/>
      <c r="E450" s="116"/>
      <c r="F450" s="116"/>
      <c r="G450" s="116"/>
      <c r="H450" s="116"/>
      <c r="I450" s="116"/>
      <c r="J450" s="116"/>
      <c r="K450" s="116"/>
      <c r="L450" s="116"/>
      <c r="M450" s="116"/>
      <c r="N450" s="116"/>
      <c r="O450" s="116"/>
      <c r="P450" s="116"/>
      <c r="Q450" s="116"/>
      <c r="R450" s="116"/>
      <c r="S450" s="116"/>
      <c r="T450" s="116"/>
      <c r="U450" s="116"/>
      <c r="V450" s="116"/>
      <c r="W450" s="116"/>
      <c r="X450" s="116"/>
      <c r="Y450" s="116"/>
      <c r="Z450" s="116"/>
    </row>
    <row r="451" spans="1:26" ht="15">
      <c r="A451" s="116"/>
      <c r="B451" s="988"/>
      <c r="C451" s="116"/>
      <c r="D451" s="116"/>
      <c r="E451" s="116"/>
      <c r="F451" s="116"/>
      <c r="G451" s="116"/>
      <c r="H451" s="116"/>
      <c r="I451" s="116"/>
      <c r="J451" s="116"/>
      <c r="K451" s="116"/>
      <c r="L451" s="116"/>
      <c r="M451" s="116"/>
      <c r="N451" s="116"/>
      <c r="O451" s="116"/>
      <c r="P451" s="116"/>
      <c r="Q451" s="116"/>
      <c r="R451" s="116"/>
      <c r="S451" s="116"/>
      <c r="T451" s="116"/>
      <c r="U451" s="116"/>
      <c r="V451" s="116"/>
      <c r="W451" s="116"/>
      <c r="X451" s="116"/>
      <c r="Y451" s="116"/>
      <c r="Z451" s="116"/>
    </row>
    <row r="452" spans="1:26" ht="15">
      <c r="A452" s="116"/>
      <c r="B452" s="988"/>
      <c r="C452" s="116"/>
      <c r="D452" s="116"/>
      <c r="E452" s="116"/>
      <c r="F452" s="116"/>
      <c r="G452" s="116"/>
      <c r="H452" s="116"/>
      <c r="I452" s="116"/>
      <c r="J452" s="116"/>
      <c r="K452" s="116"/>
      <c r="L452" s="116"/>
      <c r="M452" s="116"/>
      <c r="N452" s="116"/>
      <c r="O452" s="116"/>
      <c r="P452" s="116"/>
      <c r="Q452" s="116"/>
      <c r="R452" s="116"/>
      <c r="S452" s="116"/>
      <c r="T452" s="116"/>
      <c r="U452" s="116"/>
      <c r="V452" s="116"/>
      <c r="W452" s="116"/>
      <c r="X452" s="116"/>
      <c r="Y452" s="116"/>
      <c r="Z452" s="116"/>
    </row>
    <row r="453" spans="1:26" ht="15">
      <c r="A453" s="116"/>
      <c r="B453" s="988"/>
      <c r="C453" s="116"/>
      <c r="D453" s="116"/>
      <c r="E453" s="116"/>
      <c r="F453" s="116"/>
      <c r="G453" s="116"/>
      <c r="H453" s="116"/>
      <c r="I453" s="116"/>
      <c r="J453" s="116"/>
      <c r="K453" s="116"/>
      <c r="L453" s="116"/>
      <c r="M453" s="116"/>
      <c r="N453" s="116"/>
      <c r="O453" s="116"/>
      <c r="P453" s="116"/>
      <c r="Q453" s="116"/>
      <c r="R453" s="116"/>
      <c r="S453" s="116"/>
      <c r="T453" s="116"/>
      <c r="U453" s="116"/>
      <c r="V453" s="116"/>
      <c r="W453" s="116"/>
      <c r="X453" s="116"/>
      <c r="Y453" s="116"/>
      <c r="Z453" s="116"/>
    </row>
    <row r="454" spans="1:26" ht="15">
      <c r="A454" s="116"/>
      <c r="B454" s="988"/>
      <c r="C454" s="116"/>
      <c r="D454" s="116"/>
      <c r="E454" s="116"/>
      <c r="F454" s="116"/>
      <c r="G454" s="116"/>
      <c r="H454" s="116"/>
      <c r="I454" s="116"/>
      <c r="J454" s="116"/>
      <c r="K454" s="116"/>
      <c r="L454" s="116"/>
      <c r="M454" s="116"/>
      <c r="N454" s="116"/>
      <c r="O454" s="116"/>
      <c r="P454" s="116"/>
      <c r="Q454" s="116"/>
      <c r="R454" s="116"/>
      <c r="S454" s="116"/>
      <c r="T454" s="116"/>
      <c r="U454" s="116"/>
      <c r="V454" s="116"/>
      <c r="W454" s="116"/>
      <c r="X454" s="116"/>
      <c r="Y454" s="116"/>
      <c r="Z454" s="116"/>
    </row>
    <row r="455" spans="1:26" ht="15">
      <c r="A455" s="116"/>
      <c r="B455" s="988"/>
      <c r="C455" s="116"/>
      <c r="D455" s="116"/>
      <c r="E455" s="116"/>
      <c r="F455" s="116"/>
      <c r="G455" s="116"/>
      <c r="H455" s="116"/>
      <c r="I455" s="116"/>
      <c r="J455" s="116"/>
      <c r="K455" s="116"/>
      <c r="L455" s="116"/>
      <c r="M455" s="116"/>
      <c r="N455" s="116"/>
      <c r="O455" s="116"/>
      <c r="P455" s="116"/>
      <c r="Q455" s="116"/>
      <c r="R455" s="116"/>
      <c r="S455" s="116"/>
      <c r="T455" s="116"/>
      <c r="U455" s="116"/>
      <c r="V455" s="116"/>
      <c r="W455" s="116"/>
      <c r="X455" s="116"/>
      <c r="Y455" s="116"/>
      <c r="Z455" s="116"/>
    </row>
    <row r="456" spans="1:26" ht="15">
      <c r="A456" s="116"/>
      <c r="B456" s="988"/>
      <c r="C456" s="116"/>
      <c r="D456" s="116"/>
      <c r="E456" s="116"/>
      <c r="F456" s="116"/>
      <c r="G456" s="116"/>
      <c r="H456" s="116"/>
      <c r="I456" s="116"/>
      <c r="J456" s="116"/>
      <c r="K456" s="116"/>
      <c r="L456" s="116"/>
      <c r="M456" s="116"/>
      <c r="N456" s="116"/>
      <c r="O456" s="116"/>
      <c r="P456" s="116"/>
      <c r="Q456" s="116"/>
      <c r="R456" s="116"/>
      <c r="S456" s="116"/>
      <c r="T456" s="116"/>
      <c r="U456" s="116"/>
      <c r="V456" s="116"/>
      <c r="W456" s="116"/>
      <c r="X456" s="116"/>
      <c r="Y456" s="116"/>
      <c r="Z456" s="116"/>
    </row>
    <row r="457" spans="1:26" ht="15">
      <c r="A457" s="116"/>
      <c r="B457" s="988"/>
      <c r="C457" s="116"/>
      <c r="D457" s="116"/>
      <c r="E457" s="116"/>
      <c r="F457" s="116"/>
      <c r="G457" s="116"/>
      <c r="H457" s="116"/>
      <c r="I457" s="116"/>
      <c r="J457" s="116"/>
      <c r="K457" s="116"/>
      <c r="L457" s="116"/>
      <c r="M457" s="116"/>
      <c r="N457" s="116"/>
      <c r="O457" s="116"/>
      <c r="P457" s="116"/>
      <c r="Q457" s="116"/>
      <c r="R457" s="116"/>
      <c r="S457" s="116"/>
      <c r="T457" s="116"/>
      <c r="U457" s="116"/>
      <c r="V457" s="116"/>
      <c r="W457" s="116"/>
      <c r="X457" s="116"/>
      <c r="Y457" s="116"/>
      <c r="Z457" s="116"/>
    </row>
    <row r="458" spans="1:26" ht="15">
      <c r="A458" s="116"/>
      <c r="B458" s="988"/>
      <c r="C458" s="116"/>
      <c r="D458" s="116"/>
      <c r="E458" s="116"/>
      <c r="F458" s="116"/>
      <c r="G458" s="116"/>
      <c r="H458" s="116"/>
      <c r="I458" s="116"/>
      <c r="J458" s="116"/>
      <c r="K458" s="116"/>
      <c r="L458" s="116"/>
      <c r="M458" s="116"/>
      <c r="N458" s="116"/>
      <c r="O458" s="116"/>
      <c r="P458" s="116"/>
      <c r="Q458" s="116"/>
      <c r="R458" s="116"/>
      <c r="S458" s="116"/>
      <c r="T458" s="116"/>
      <c r="U458" s="116"/>
      <c r="V458" s="116"/>
      <c r="W458" s="116"/>
      <c r="X458" s="116"/>
      <c r="Y458" s="116"/>
      <c r="Z458" s="116"/>
    </row>
    <row r="459" spans="1:26" ht="15">
      <c r="A459" s="116"/>
      <c r="B459" s="988"/>
      <c r="C459" s="116"/>
      <c r="D459" s="116"/>
      <c r="E459" s="116"/>
      <c r="F459" s="116"/>
      <c r="G459" s="116"/>
      <c r="H459" s="116"/>
      <c r="I459" s="116"/>
      <c r="J459" s="116"/>
      <c r="K459" s="116"/>
      <c r="L459" s="116"/>
      <c r="M459" s="116"/>
      <c r="N459" s="116"/>
      <c r="O459" s="116"/>
      <c r="P459" s="116"/>
      <c r="Q459" s="116"/>
      <c r="R459" s="116"/>
      <c r="S459" s="116"/>
      <c r="T459" s="116"/>
      <c r="U459" s="116"/>
      <c r="V459" s="116"/>
      <c r="W459" s="116"/>
      <c r="X459" s="116"/>
      <c r="Y459" s="116"/>
      <c r="Z459" s="116"/>
    </row>
    <row r="460" spans="1:26" ht="15">
      <c r="A460" s="116"/>
      <c r="B460" s="988"/>
      <c r="C460" s="116"/>
      <c r="D460" s="116"/>
      <c r="E460" s="116"/>
      <c r="F460" s="116"/>
      <c r="G460" s="116"/>
      <c r="H460" s="116"/>
      <c r="I460" s="116"/>
      <c r="J460" s="116"/>
      <c r="K460" s="116"/>
      <c r="L460" s="116"/>
      <c r="M460" s="116"/>
      <c r="N460" s="116"/>
      <c r="O460" s="116"/>
      <c r="P460" s="116"/>
      <c r="Q460" s="116"/>
      <c r="R460" s="116"/>
      <c r="S460" s="116"/>
      <c r="T460" s="116"/>
      <c r="U460" s="116"/>
      <c r="V460" s="116"/>
      <c r="W460" s="116"/>
      <c r="X460" s="116"/>
      <c r="Y460" s="116"/>
      <c r="Z460" s="116"/>
    </row>
    <row r="461" spans="1:26" ht="15">
      <c r="A461" s="116"/>
      <c r="B461" s="988"/>
      <c r="C461" s="116"/>
      <c r="D461" s="116"/>
      <c r="E461" s="116"/>
      <c r="F461" s="116"/>
      <c r="G461" s="116"/>
      <c r="H461" s="116"/>
      <c r="I461" s="116"/>
      <c r="J461" s="116"/>
      <c r="K461" s="116"/>
      <c r="L461" s="116"/>
      <c r="M461" s="116"/>
      <c r="N461" s="116"/>
      <c r="O461" s="116"/>
      <c r="P461" s="116"/>
      <c r="Q461" s="116"/>
      <c r="R461" s="116"/>
      <c r="S461" s="116"/>
      <c r="T461" s="116"/>
      <c r="U461" s="116"/>
      <c r="V461" s="116"/>
      <c r="W461" s="116"/>
      <c r="X461" s="116"/>
      <c r="Y461" s="116"/>
      <c r="Z461" s="116"/>
    </row>
    <row r="462" spans="1:26" ht="15">
      <c r="A462" s="116"/>
      <c r="B462" s="988"/>
      <c r="C462" s="116"/>
      <c r="D462" s="116"/>
      <c r="E462" s="116"/>
      <c r="F462" s="116"/>
      <c r="G462" s="116"/>
      <c r="H462" s="116"/>
      <c r="I462" s="116"/>
      <c r="J462" s="116"/>
      <c r="K462" s="116"/>
      <c r="L462" s="116"/>
      <c r="M462" s="116"/>
      <c r="N462" s="116"/>
      <c r="O462" s="116"/>
      <c r="P462" s="116"/>
      <c r="Q462" s="116"/>
      <c r="R462" s="116"/>
      <c r="S462" s="116"/>
      <c r="T462" s="116"/>
      <c r="U462" s="116"/>
      <c r="V462" s="116"/>
      <c r="W462" s="116"/>
      <c r="X462" s="116"/>
      <c r="Y462" s="116"/>
      <c r="Z462" s="116"/>
    </row>
    <row r="463" spans="1:26" ht="15">
      <c r="A463" s="116"/>
      <c r="B463" s="988"/>
      <c r="C463" s="116"/>
      <c r="D463" s="116"/>
      <c r="E463" s="116"/>
      <c r="F463" s="116"/>
      <c r="G463" s="116"/>
      <c r="H463" s="116"/>
      <c r="I463" s="116"/>
      <c r="J463" s="116"/>
      <c r="K463" s="116"/>
      <c r="L463" s="116"/>
      <c r="M463" s="116"/>
      <c r="N463" s="116"/>
      <c r="O463" s="116"/>
      <c r="P463" s="116"/>
      <c r="Q463" s="116"/>
      <c r="R463" s="116"/>
      <c r="S463" s="116"/>
      <c r="T463" s="116"/>
      <c r="U463" s="116"/>
      <c r="V463" s="116"/>
      <c r="W463" s="116"/>
      <c r="X463" s="116"/>
      <c r="Y463" s="116"/>
      <c r="Z463" s="116"/>
    </row>
    <row r="464" spans="1:26" ht="15">
      <c r="A464" s="116"/>
      <c r="B464" s="988"/>
      <c r="C464" s="116"/>
      <c r="D464" s="116"/>
      <c r="E464" s="116"/>
      <c r="F464" s="116"/>
      <c r="G464" s="116"/>
      <c r="H464" s="116"/>
      <c r="I464" s="116"/>
      <c r="J464" s="116"/>
      <c r="K464" s="116"/>
      <c r="L464" s="116"/>
      <c r="M464" s="116"/>
      <c r="N464" s="116"/>
      <c r="O464" s="116"/>
      <c r="P464" s="116"/>
      <c r="Q464" s="116"/>
      <c r="R464" s="116"/>
      <c r="S464" s="116"/>
      <c r="T464" s="116"/>
      <c r="U464" s="116"/>
      <c r="V464" s="116"/>
      <c r="W464" s="116"/>
      <c r="X464" s="116"/>
      <c r="Y464" s="116"/>
      <c r="Z464" s="116"/>
    </row>
    <row r="465" spans="1:26" ht="15">
      <c r="A465" s="116"/>
      <c r="B465" s="988"/>
      <c r="C465" s="116"/>
      <c r="D465" s="116"/>
      <c r="E465" s="116"/>
      <c r="F465" s="116"/>
      <c r="G465" s="116"/>
      <c r="H465" s="116"/>
      <c r="I465" s="116"/>
      <c r="J465" s="116"/>
      <c r="K465" s="116"/>
      <c r="L465" s="116"/>
      <c r="M465" s="116"/>
      <c r="N465" s="116"/>
      <c r="O465" s="116"/>
      <c r="P465" s="116"/>
      <c r="Q465" s="116"/>
      <c r="R465" s="116"/>
      <c r="S465" s="116"/>
      <c r="T465" s="116"/>
      <c r="U465" s="116"/>
      <c r="V465" s="116"/>
      <c r="W465" s="116"/>
      <c r="X465" s="116"/>
      <c r="Y465" s="116"/>
      <c r="Z465" s="116"/>
    </row>
    <row r="466" spans="1:26" ht="15">
      <c r="A466" s="116"/>
      <c r="B466" s="988"/>
      <c r="C466" s="116"/>
      <c r="D466" s="116"/>
      <c r="E466" s="116"/>
      <c r="F466" s="116"/>
      <c r="G466" s="116"/>
      <c r="H466" s="116"/>
      <c r="I466" s="116"/>
      <c r="J466" s="116"/>
      <c r="K466" s="116"/>
      <c r="L466" s="116"/>
      <c r="M466" s="116"/>
      <c r="N466" s="116"/>
      <c r="O466" s="116"/>
      <c r="P466" s="116"/>
      <c r="Q466" s="116"/>
      <c r="R466" s="116"/>
      <c r="S466" s="116"/>
      <c r="T466" s="116"/>
      <c r="U466" s="116"/>
      <c r="V466" s="116"/>
      <c r="W466" s="116"/>
      <c r="X466" s="116"/>
      <c r="Y466" s="116"/>
      <c r="Z466" s="116"/>
    </row>
    <row r="467" spans="1:26" ht="15">
      <c r="A467" s="116"/>
      <c r="B467" s="988"/>
      <c r="C467" s="116"/>
      <c r="D467" s="116"/>
      <c r="E467" s="116"/>
      <c r="F467" s="116"/>
      <c r="G467" s="116"/>
      <c r="H467" s="116"/>
      <c r="I467" s="116"/>
      <c r="J467" s="116"/>
      <c r="K467" s="116"/>
      <c r="L467" s="116"/>
      <c r="M467" s="116"/>
      <c r="N467" s="116"/>
      <c r="O467" s="116"/>
      <c r="P467" s="116"/>
      <c r="Q467" s="116"/>
      <c r="R467" s="116"/>
      <c r="S467" s="116"/>
      <c r="T467" s="116"/>
      <c r="U467" s="116"/>
      <c r="V467" s="116"/>
      <c r="W467" s="116"/>
      <c r="X467" s="116"/>
      <c r="Y467" s="116"/>
      <c r="Z467" s="116"/>
    </row>
    <row r="468" spans="1:26" ht="15">
      <c r="A468" s="116"/>
      <c r="B468" s="988"/>
      <c r="C468" s="116"/>
      <c r="D468" s="116"/>
      <c r="E468" s="116"/>
      <c r="F468" s="116"/>
      <c r="G468" s="116"/>
      <c r="H468" s="116"/>
      <c r="I468" s="116"/>
      <c r="J468" s="116"/>
      <c r="K468" s="116"/>
      <c r="L468" s="116"/>
      <c r="M468" s="116"/>
      <c r="N468" s="116"/>
      <c r="O468" s="116"/>
      <c r="P468" s="116"/>
      <c r="Q468" s="116"/>
      <c r="R468" s="116"/>
      <c r="S468" s="116"/>
      <c r="T468" s="116"/>
      <c r="U468" s="116"/>
      <c r="V468" s="116"/>
      <c r="W468" s="116"/>
      <c r="X468" s="116"/>
      <c r="Y468" s="116"/>
      <c r="Z468" s="116"/>
    </row>
    <row r="469" spans="1:26" ht="15">
      <c r="A469" s="116"/>
      <c r="B469" s="988"/>
      <c r="C469" s="116"/>
      <c r="D469" s="116"/>
      <c r="E469" s="116"/>
      <c r="F469" s="116"/>
      <c r="G469" s="116"/>
      <c r="H469" s="116"/>
      <c r="I469" s="116"/>
      <c r="J469" s="116"/>
      <c r="K469" s="116"/>
      <c r="L469" s="116"/>
      <c r="M469" s="116"/>
      <c r="N469" s="116"/>
      <c r="O469" s="116"/>
      <c r="P469" s="116"/>
      <c r="Q469" s="116"/>
      <c r="R469" s="116"/>
      <c r="S469" s="116"/>
      <c r="T469" s="116"/>
      <c r="U469" s="116"/>
      <c r="V469" s="116"/>
      <c r="W469" s="116"/>
      <c r="X469" s="116"/>
      <c r="Y469" s="116"/>
      <c r="Z469" s="116"/>
    </row>
    <row r="470" spans="1:26" ht="15">
      <c r="A470" s="116"/>
      <c r="B470" s="988"/>
      <c r="C470" s="116"/>
      <c r="D470" s="116"/>
      <c r="E470" s="116"/>
      <c r="F470" s="116"/>
      <c r="G470" s="116"/>
      <c r="H470" s="116"/>
      <c r="I470" s="116"/>
      <c r="J470" s="116"/>
      <c r="K470" s="116"/>
      <c r="L470" s="116"/>
      <c r="M470" s="116"/>
      <c r="N470" s="116"/>
      <c r="O470" s="116"/>
      <c r="P470" s="116"/>
      <c r="Q470" s="116"/>
      <c r="R470" s="116"/>
      <c r="S470" s="116"/>
      <c r="T470" s="116"/>
      <c r="U470" s="116"/>
      <c r="V470" s="116"/>
      <c r="W470" s="116"/>
      <c r="X470" s="116"/>
      <c r="Y470" s="116"/>
      <c r="Z470" s="116"/>
    </row>
    <row r="471" spans="1:26" ht="15">
      <c r="A471" s="116"/>
      <c r="B471" s="988"/>
      <c r="C471" s="116"/>
      <c r="D471" s="116"/>
      <c r="E471" s="116"/>
      <c r="F471" s="116"/>
      <c r="G471" s="116"/>
      <c r="H471" s="116"/>
      <c r="I471" s="116"/>
      <c r="J471" s="116"/>
      <c r="K471" s="116"/>
      <c r="L471" s="116"/>
      <c r="M471" s="116"/>
      <c r="N471" s="116"/>
      <c r="O471" s="116"/>
      <c r="P471" s="116"/>
      <c r="Q471" s="116"/>
      <c r="R471" s="116"/>
      <c r="S471" s="116"/>
      <c r="T471" s="116"/>
      <c r="U471" s="116"/>
      <c r="V471" s="116"/>
      <c r="W471" s="116"/>
      <c r="X471" s="116"/>
      <c r="Y471" s="116"/>
      <c r="Z471" s="116"/>
    </row>
    <row r="472" spans="1:26" ht="15">
      <c r="A472" s="116"/>
      <c r="B472" s="988"/>
      <c r="C472" s="116"/>
      <c r="D472" s="116"/>
      <c r="E472" s="116"/>
      <c r="F472" s="116"/>
      <c r="G472" s="116"/>
      <c r="H472" s="116"/>
      <c r="I472" s="116"/>
      <c r="J472" s="116"/>
      <c r="K472" s="116"/>
      <c r="L472" s="116"/>
      <c r="M472" s="116"/>
      <c r="N472" s="116"/>
      <c r="O472" s="116"/>
      <c r="P472" s="116"/>
      <c r="Q472" s="116"/>
      <c r="R472" s="116"/>
      <c r="S472" s="116"/>
      <c r="T472" s="116"/>
      <c r="U472" s="116"/>
      <c r="V472" s="116"/>
      <c r="W472" s="116"/>
      <c r="X472" s="116"/>
      <c r="Y472" s="116"/>
      <c r="Z472" s="116"/>
    </row>
    <row r="473" spans="1:26" ht="15">
      <c r="A473" s="116"/>
      <c r="B473" s="988"/>
      <c r="C473" s="116"/>
      <c r="D473" s="116"/>
      <c r="E473" s="116"/>
      <c r="F473" s="116"/>
      <c r="G473" s="116"/>
      <c r="H473" s="116"/>
      <c r="I473" s="116"/>
      <c r="J473" s="116"/>
      <c r="K473" s="116"/>
      <c r="L473" s="116"/>
      <c r="M473" s="116"/>
      <c r="N473" s="116"/>
      <c r="O473" s="116"/>
      <c r="P473" s="116"/>
      <c r="Q473" s="116"/>
      <c r="R473" s="116"/>
      <c r="S473" s="116"/>
      <c r="T473" s="116"/>
      <c r="U473" s="116"/>
      <c r="V473" s="116"/>
      <c r="W473" s="116"/>
      <c r="X473" s="116"/>
      <c r="Y473" s="116"/>
      <c r="Z473" s="116"/>
    </row>
    <row r="474" spans="1:26" ht="15">
      <c r="A474" s="116"/>
      <c r="B474" s="988"/>
      <c r="C474" s="116"/>
      <c r="D474" s="116"/>
      <c r="E474" s="116"/>
      <c r="F474" s="116"/>
      <c r="G474" s="116"/>
      <c r="H474" s="116"/>
      <c r="I474" s="116"/>
      <c r="J474" s="116"/>
      <c r="K474" s="116"/>
      <c r="L474" s="116"/>
      <c r="M474" s="116"/>
      <c r="N474" s="116"/>
      <c r="O474" s="116"/>
      <c r="P474" s="116"/>
      <c r="Q474" s="116"/>
      <c r="R474" s="116"/>
      <c r="S474" s="116"/>
      <c r="T474" s="116"/>
      <c r="U474" s="116"/>
      <c r="V474" s="116"/>
      <c r="W474" s="116"/>
      <c r="X474" s="116"/>
      <c r="Y474" s="116"/>
      <c r="Z474" s="116"/>
    </row>
    <row r="475" spans="1:26" ht="15">
      <c r="A475" s="116"/>
      <c r="B475" s="988"/>
      <c r="C475" s="116"/>
      <c r="D475" s="116"/>
      <c r="E475" s="116"/>
      <c r="F475" s="116"/>
      <c r="G475" s="116"/>
      <c r="H475" s="116"/>
      <c r="I475" s="116"/>
      <c r="J475" s="116"/>
      <c r="K475" s="116"/>
      <c r="L475" s="116"/>
      <c r="M475" s="116"/>
      <c r="N475" s="116"/>
      <c r="O475" s="116"/>
      <c r="P475" s="116"/>
      <c r="Q475" s="116"/>
      <c r="R475" s="116"/>
      <c r="S475" s="116"/>
      <c r="T475" s="116"/>
      <c r="U475" s="116"/>
      <c r="V475" s="116"/>
      <c r="W475" s="116"/>
      <c r="X475" s="116"/>
      <c r="Y475" s="116"/>
      <c r="Z475" s="116"/>
    </row>
    <row r="476" spans="1:26" ht="15">
      <c r="A476" s="116"/>
      <c r="B476" s="988"/>
      <c r="C476" s="116"/>
      <c r="D476" s="116"/>
      <c r="E476" s="116"/>
      <c r="F476" s="116"/>
      <c r="G476" s="116"/>
      <c r="H476" s="116"/>
      <c r="I476" s="116"/>
      <c r="J476" s="116"/>
      <c r="K476" s="116"/>
      <c r="L476" s="116"/>
      <c r="M476" s="116"/>
      <c r="N476" s="116"/>
      <c r="O476" s="116"/>
      <c r="P476" s="116"/>
      <c r="Q476" s="116"/>
      <c r="R476" s="116"/>
      <c r="S476" s="116"/>
      <c r="T476" s="116"/>
      <c r="U476" s="116"/>
      <c r="V476" s="116"/>
      <c r="W476" s="116"/>
      <c r="X476" s="116"/>
      <c r="Y476" s="116"/>
      <c r="Z476" s="116"/>
    </row>
    <row r="477" spans="1:26" ht="15">
      <c r="A477" s="116"/>
      <c r="B477" s="988"/>
      <c r="C477" s="116"/>
      <c r="D477" s="116"/>
      <c r="E477" s="116"/>
      <c r="F477" s="116"/>
      <c r="G477" s="116"/>
      <c r="H477" s="116"/>
      <c r="I477" s="116"/>
      <c r="J477" s="116"/>
      <c r="K477" s="116"/>
      <c r="L477" s="116"/>
      <c r="M477" s="116"/>
      <c r="N477" s="116"/>
      <c r="O477" s="116"/>
      <c r="P477" s="116"/>
      <c r="Q477" s="116"/>
      <c r="R477" s="116"/>
      <c r="S477" s="116"/>
      <c r="T477" s="116"/>
      <c r="U477" s="116"/>
      <c r="V477" s="116"/>
      <c r="W477" s="116"/>
      <c r="X477" s="116"/>
      <c r="Y477" s="116"/>
      <c r="Z477" s="116"/>
    </row>
    <row r="478" spans="1:26" ht="15">
      <c r="A478" s="116"/>
      <c r="B478" s="988"/>
      <c r="C478" s="116"/>
      <c r="D478" s="116"/>
      <c r="E478" s="116"/>
      <c r="F478" s="116"/>
      <c r="G478" s="116"/>
      <c r="H478" s="116"/>
      <c r="I478" s="116"/>
      <c r="J478" s="116"/>
      <c r="K478" s="116"/>
      <c r="L478" s="116"/>
      <c r="M478" s="116"/>
      <c r="N478" s="116"/>
      <c r="O478" s="116"/>
      <c r="P478" s="116"/>
      <c r="Q478" s="116"/>
      <c r="R478" s="116"/>
      <c r="S478" s="116"/>
      <c r="T478" s="116"/>
      <c r="U478" s="116"/>
      <c r="V478" s="116"/>
      <c r="W478" s="116"/>
      <c r="X478" s="116"/>
      <c r="Y478" s="116"/>
      <c r="Z478" s="116"/>
    </row>
    <row r="479" spans="1:26" ht="15">
      <c r="A479" s="116"/>
      <c r="B479" s="988"/>
      <c r="C479" s="116"/>
      <c r="D479" s="116"/>
      <c r="E479" s="116"/>
      <c r="F479" s="116"/>
      <c r="G479" s="116"/>
      <c r="H479" s="116"/>
      <c r="I479" s="116"/>
      <c r="J479" s="116"/>
      <c r="K479" s="116"/>
      <c r="L479" s="116"/>
      <c r="M479" s="116"/>
      <c r="N479" s="116"/>
      <c r="O479" s="116"/>
      <c r="P479" s="116"/>
      <c r="Q479" s="116"/>
      <c r="R479" s="116"/>
      <c r="S479" s="116"/>
      <c r="T479" s="116"/>
      <c r="U479" s="116"/>
      <c r="V479" s="116"/>
      <c r="W479" s="116"/>
      <c r="X479" s="116"/>
      <c r="Y479" s="116"/>
      <c r="Z479" s="116"/>
    </row>
    <row r="480" spans="1:26" ht="15">
      <c r="A480" s="116"/>
      <c r="B480" s="988"/>
      <c r="C480" s="116"/>
      <c r="D480" s="116"/>
      <c r="E480" s="116"/>
      <c r="F480" s="116"/>
      <c r="G480" s="116"/>
      <c r="H480" s="116"/>
      <c r="I480" s="116"/>
      <c r="J480" s="116"/>
      <c r="K480" s="116"/>
      <c r="L480" s="116"/>
      <c r="M480" s="116"/>
      <c r="N480" s="116"/>
      <c r="O480" s="116"/>
      <c r="P480" s="116"/>
      <c r="Q480" s="116"/>
      <c r="R480" s="116"/>
      <c r="S480" s="116"/>
      <c r="T480" s="116"/>
      <c r="U480" s="116"/>
      <c r="V480" s="116"/>
      <c r="W480" s="116"/>
      <c r="X480" s="116"/>
      <c r="Y480" s="116"/>
      <c r="Z480" s="116"/>
    </row>
    <row r="481" spans="1:26" ht="15">
      <c r="A481" s="116"/>
      <c r="B481" s="988"/>
      <c r="C481" s="116"/>
      <c r="D481" s="116"/>
      <c r="E481" s="116"/>
      <c r="F481" s="116"/>
      <c r="G481" s="116"/>
      <c r="H481" s="116"/>
      <c r="I481" s="116"/>
      <c r="J481" s="116"/>
      <c r="K481" s="116"/>
      <c r="L481" s="116"/>
      <c r="M481" s="116"/>
      <c r="N481" s="116"/>
      <c r="O481" s="116"/>
      <c r="P481" s="116"/>
      <c r="Q481" s="116"/>
      <c r="R481" s="116"/>
      <c r="S481" s="116"/>
      <c r="T481" s="116"/>
      <c r="U481" s="116"/>
      <c r="V481" s="116"/>
      <c r="W481" s="116"/>
      <c r="X481" s="116"/>
      <c r="Y481" s="116"/>
      <c r="Z481" s="116"/>
    </row>
    <row r="482" spans="1:26" ht="15">
      <c r="A482" s="116"/>
      <c r="B482" s="988"/>
      <c r="C482" s="116"/>
      <c r="D482" s="116"/>
      <c r="E482" s="116"/>
      <c r="F482" s="116"/>
      <c r="G482" s="116"/>
      <c r="H482" s="116"/>
      <c r="I482" s="116"/>
      <c r="J482" s="116"/>
      <c r="K482" s="116"/>
      <c r="L482" s="116"/>
      <c r="M482" s="116"/>
      <c r="N482" s="116"/>
      <c r="O482" s="116"/>
      <c r="P482" s="116"/>
      <c r="Q482" s="116"/>
      <c r="R482" s="116"/>
      <c r="S482" s="116"/>
      <c r="T482" s="116"/>
      <c r="U482" s="116"/>
      <c r="V482" s="116"/>
      <c r="W482" s="116"/>
      <c r="X482" s="116"/>
      <c r="Y482" s="116"/>
      <c r="Z482" s="116"/>
    </row>
    <row r="483" spans="1:26" ht="15">
      <c r="A483" s="116"/>
      <c r="B483" s="988"/>
      <c r="C483" s="116"/>
      <c r="D483" s="116"/>
      <c r="E483" s="116"/>
      <c r="F483" s="116"/>
      <c r="G483" s="116"/>
      <c r="H483" s="116"/>
      <c r="I483" s="116"/>
      <c r="J483" s="116"/>
      <c r="K483" s="116"/>
      <c r="L483" s="116"/>
      <c r="M483" s="116"/>
      <c r="N483" s="116"/>
      <c r="O483" s="116"/>
      <c r="P483" s="116"/>
      <c r="Q483" s="116"/>
      <c r="R483" s="116"/>
      <c r="S483" s="116"/>
      <c r="T483" s="116"/>
      <c r="U483" s="116"/>
      <c r="V483" s="116"/>
      <c r="W483" s="116"/>
      <c r="X483" s="116"/>
      <c r="Y483" s="116"/>
      <c r="Z483" s="116"/>
    </row>
    <row r="484" spans="1:26" ht="15">
      <c r="A484" s="116"/>
      <c r="B484" s="988"/>
      <c r="C484" s="116"/>
      <c r="D484" s="116"/>
      <c r="E484" s="116"/>
      <c r="F484" s="116"/>
      <c r="G484" s="116"/>
      <c r="H484" s="116"/>
      <c r="I484" s="116"/>
      <c r="J484" s="116"/>
      <c r="K484" s="116"/>
      <c r="L484" s="116"/>
      <c r="M484" s="116"/>
      <c r="N484" s="116"/>
      <c r="O484" s="116"/>
      <c r="P484" s="116"/>
      <c r="Q484" s="116"/>
      <c r="R484" s="116"/>
      <c r="S484" s="116"/>
      <c r="T484" s="116"/>
      <c r="U484" s="116"/>
      <c r="V484" s="116"/>
      <c r="W484" s="116"/>
      <c r="X484" s="116"/>
      <c r="Y484" s="116"/>
      <c r="Z484" s="116"/>
    </row>
    <row r="485" spans="1:26" ht="15">
      <c r="A485" s="116"/>
      <c r="B485" s="988"/>
      <c r="C485" s="116"/>
      <c r="D485" s="116"/>
      <c r="E485" s="116"/>
      <c r="F485" s="116"/>
      <c r="G485" s="116"/>
      <c r="H485" s="116"/>
      <c r="I485" s="116"/>
      <c r="J485" s="116"/>
      <c r="K485" s="116"/>
      <c r="L485" s="116"/>
      <c r="M485" s="116"/>
      <c r="N485" s="116"/>
      <c r="O485" s="116"/>
      <c r="P485" s="116"/>
      <c r="Q485" s="116"/>
      <c r="R485" s="116"/>
      <c r="S485" s="116"/>
      <c r="T485" s="116"/>
      <c r="U485" s="116"/>
      <c r="V485" s="116"/>
      <c r="W485" s="116"/>
      <c r="X485" s="116"/>
      <c r="Y485" s="116"/>
      <c r="Z485" s="116"/>
    </row>
    <row r="486" spans="1:26" ht="15">
      <c r="A486" s="116"/>
      <c r="B486" s="988"/>
      <c r="C486" s="116"/>
      <c r="D486" s="116"/>
      <c r="E486" s="116"/>
      <c r="F486" s="116"/>
      <c r="G486" s="116"/>
      <c r="H486" s="116"/>
      <c r="I486" s="116"/>
      <c r="J486" s="116"/>
      <c r="K486" s="116"/>
      <c r="L486" s="116"/>
      <c r="M486" s="116"/>
      <c r="N486" s="116"/>
      <c r="O486" s="116"/>
      <c r="P486" s="116"/>
      <c r="Q486" s="116"/>
      <c r="R486" s="116"/>
      <c r="S486" s="116"/>
      <c r="T486" s="116"/>
      <c r="U486" s="116"/>
      <c r="V486" s="116"/>
      <c r="W486" s="116"/>
      <c r="X486" s="116"/>
      <c r="Y486" s="116"/>
      <c r="Z486" s="116"/>
    </row>
    <row r="487" spans="1:26" ht="15">
      <c r="A487" s="116"/>
      <c r="B487" s="988"/>
      <c r="C487" s="116"/>
      <c r="D487" s="116"/>
      <c r="E487" s="116"/>
      <c r="F487" s="116"/>
      <c r="G487" s="116"/>
      <c r="H487" s="116"/>
      <c r="I487" s="116"/>
      <c r="J487" s="116"/>
      <c r="K487" s="116"/>
      <c r="L487" s="116"/>
      <c r="M487" s="116"/>
      <c r="N487" s="116"/>
      <c r="O487" s="116"/>
      <c r="P487" s="116"/>
      <c r="Q487" s="116"/>
      <c r="R487" s="116"/>
      <c r="S487" s="116"/>
      <c r="T487" s="116"/>
      <c r="U487" s="116"/>
      <c r="V487" s="116"/>
      <c r="W487" s="116"/>
      <c r="X487" s="116"/>
      <c r="Y487" s="116"/>
      <c r="Z487" s="116"/>
    </row>
    <row r="488" spans="1:26" ht="15">
      <c r="A488" s="116"/>
      <c r="B488" s="988"/>
      <c r="C488" s="116"/>
      <c r="D488" s="116"/>
      <c r="E488" s="116"/>
      <c r="F488" s="116"/>
      <c r="G488" s="116"/>
      <c r="H488" s="116"/>
      <c r="I488" s="116"/>
      <c r="J488" s="116"/>
      <c r="K488" s="116"/>
      <c r="L488" s="116"/>
      <c r="M488" s="116"/>
      <c r="N488" s="116"/>
      <c r="O488" s="116"/>
      <c r="P488" s="116"/>
      <c r="Q488" s="116"/>
      <c r="R488" s="116"/>
      <c r="S488" s="116"/>
      <c r="T488" s="116"/>
      <c r="U488" s="116"/>
      <c r="V488" s="116"/>
      <c r="W488" s="116"/>
      <c r="X488" s="116"/>
      <c r="Y488" s="116"/>
      <c r="Z488" s="116"/>
    </row>
    <row r="489" spans="1:26" ht="15">
      <c r="A489" s="116"/>
      <c r="B489" s="988"/>
      <c r="C489" s="116"/>
      <c r="D489" s="116"/>
      <c r="E489" s="116"/>
      <c r="F489" s="116"/>
      <c r="G489" s="116"/>
      <c r="H489" s="116"/>
      <c r="I489" s="116"/>
      <c r="J489" s="116"/>
      <c r="K489" s="116"/>
      <c r="L489" s="116"/>
      <c r="M489" s="116"/>
      <c r="N489" s="116"/>
      <c r="O489" s="116"/>
      <c r="P489" s="116"/>
      <c r="Q489" s="116"/>
      <c r="R489" s="116"/>
      <c r="S489" s="116"/>
      <c r="T489" s="116"/>
      <c r="U489" s="116"/>
      <c r="V489" s="116"/>
      <c r="W489" s="116"/>
      <c r="X489" s="116"/>
      <c r="Y489" s="116"/>
      <c r="Z489" s="116"/>
    </row>
    <row r="490" spans="1:26" ht="15">
      <c r="A490" s="116"/>
      <c r="B490" s="988"/>
      <c r="C490" s="116"/>
      <c r="D490" s="116"/>
      <c r="E490" s="116"/>
      <c r="F490" s="116"/>
      <c r="G490" s="116"/>
      <c r="H490" s="116"/>
      <c r="I490" s="116"/>
      <c r="J490" s="116"/>
      <c r="K490" s="116"/>
      <c r="L490" s="116"/>
      <c r="M490" s="116"/>
      <c r="N490" s="116"/>
      <c r="O490" s="116"/>
      <c r="P490" s="116"/>
      <c r="Q490" s="116"/>
      <c r="R490" s="116"/>
      <c r="S490" s="116"/>
      <c r="T490" s="116"/>
      <c r="U490" s="116"/>
      <c r="V490" s="116"/>
      <c r="W490" s="116"/>
      <c r="X490" s="116"/>
      <c r="Y490" s="116"/>
      <c r="Z490" s="116"/>
    </row>
    <row r="491" spans="1:26" ht="15">
      <c r="A491" s="116"/>
      <c r="B491" s="988"/>
      <c r="C491" s="116"/>
      <c r="D491" s="116"/>
      <c r="E491" s="116"/>
      <c r="F491" s="116"/>
      <c r="G491" s="116"/>
      <c r="H491" s="116"/>
      <c r="I491" s="116"/>
      <c r="J491" s="116"/>
      <c r="K491" s="116"/>
      <c r="L491" s="116"/>
      <c r="M491" s="116"/>
      <c r="N491" s="116"/>
      <c r="O491" s="116"/>
      <c r="P491" s="116"/>
      <c r="Q491" s="116"/>
      <c r="R491" s="116"/>
      <c r="S491" s="116"/>
      <c r="T491" s="116"/>
      <c r="U491" s="116"/>
      <c r="V491" s="116"/>
      <c r="W491" s="116"/>
      <c r="X491" s="116"/>
      <c r="Y491" s="116"/>
      <c r="Z491" s="116"/>
    </row>
    <row r="492" spans="1:26" ht="15">
      <c r="A492" s="116"/>
      <c r="B492" s="988"/>
      <c r="C492" s="116"/>
      <c r="D492" s="116"/>
      <c r="E492" s="116"/>
      <c r="F492" s="116"/>
      <c r="G492" s="116"/>
      <c r="H492" s="116"/>
      <c r="I492" s="116"/>
      <c r="J492" s="116"/>
      <c r="K492" s="116"/>
      <c r="L492" s="116"/>
      <c r="M492" s="116"/>
      <c r="N492" s="116"/>
      <c r="O492" s="116"/>
      <c r="P492" s="116"/>
      <c r="Q492" s="116"/>
      <c r="R492" s="116"/>
      <c r="S492" s="116"/>
      <c r="T492" s="116"/>
      <c r="U492" s="116"/>
      <c r="V492" s="116"/>
      <c r="W492" s="116"/>
      <c r="X492" s="116"/>
      <c r="Y492" s="116"/>
      <c r="Z492" s="116"/>
    </row>
    <row r="493" spans="1:26" ht="15">
      <c r="A493" s="116"/>
      <c r="B493" s="988"/>
      <c r="C493" s="116"/>
      <c r="D493" s="116"/>
      <c r="E493" s="116"/>
      <c r="F493" s="116"/>
      <c r="G493" s="116"/>
      <c r="H493" s="116"/>
      <c r="I493" s="116"/>
      <c r="J493" s="116"/>
      <c r="K493" s="116"/>
      <c r="L493" s="116"/>
      <c r="M493" s="116"/>
      <c r="N493" s="116"/>
      <c r="O493" s="116"/>
      <c r="P493" s="116"/>
      <c r="Q493" s="116"/>
      <c r="R493" s="116"/>
      <c r="S493" s="116"/>
      <c r="T493" s="116"/>
      <c r="U493" s="116"/>
      <c r="V493" s="116"/>
      <c r="W493" s="116"/>
      <c r="X493" s="116"/>
      <c r="Y493" s="116"/>
      <c r="Z493" s="116"/>
    </row>
    <row r="494" spans="1:26" ht="15">
      <c r="A494" s="116"/>
      <c r="B494" s="988"/>
      <c r="C494" s="116"/>
      <c r="D494" s="116"/>
      <c r="E494" s="116"/>
      <c r="F494" s="116"/>
      <c r="G494" s="116"/>
      <c r="H494" s="116"/>
      <c r="I494" s="116"/>
      <c r="J494" s="116"/>
      <c r="K494" s="116"/>
      <c r="L494" s="116"/>
      <c r="M494" s="116"/>
      <c r="N494" s="116"/>
      <c r="O494" s="116"/>
      <c r="P494" s="116"/>
      <c r="Q494" s="116"/>
      <c r="R494" s="116"/>
      <c r="S494" s="116"/>
      <c r="T494" s="116"/>
      <c r="U494" s="116"/>
      <c r="V494" s="116"/>
      <c r="W494" s="116"/>
      <c r="X494" s="116"/>
      <c r="Y494" s="116"/>
      <c r="Z494" s="116"/>
    </row>
    <row r="495" spans="1:26" ht="15">
      <c r="A495" s="116"/>
      <c r="B495" s="988"/>
      <c r="C495" s="116"/>
      <c r="D495" s="116"/>
      <c r="E495" s="116"/>
      <c r="F495" s="116"/>
      <c r="G495" s="116"/>
      <c r="H495" s="116"/>
      <c r="I495" s="116"/>
      <c r="J495" s="116"/>
      <c r="K495" s="116"/>
      <c r="L495" s="116"/>
      <c r="M495" s="116"/>
      <c r="N495" s="116"/>
      <c r="O495" s="116"/>
      <c r="P495" s="116"/>
      <c r="Q495" s="116"/>
      <c r="R495" s="116"/>
      <c r="S495" s="116"/>
      <c r="T495" s="116"/>
      <c r="U495" s="116"/>
      <c r="V495" s="116"/>
      <c r="W495" s="116"/>
      <c r="X495" s="116"/>
      <c r="Y495" s="116"/>
      <c r="Z495" s="116"/>
    </row>
    <row r="496" spans="1:26" ht="15">
      <c r="A496" s="116"/>
      <c r="B496" s="988"/>
      <c r="C496" s="116"/>
      <c r="D496" s="116"/>
      <c r="E496" s="116"/>
      <c r="F496" s="116"/>
      <c r="G496" s="116"/>
      <c r="H496" s="116"/>
      <c r="I496" s="116"/>
      <c r="J496" s="116"/>
      <c r="K496" s="116"/>
      <c r="L496" s="116"/>
      <c r="M496" s="116"/>
      <c r="N496" s="116"/>
      <c r="O496" s="116"/>
      <c r="P496" s="116"/>
      <c r="Q496" s="116"/>
      <c r="R496" s="116"/>
      <c r="S496" s="116"/>
      <c r="T496" s="116"/>
      <c r="U496" s="116"/>
      <c r="V496" s="116"/>
      <c r="W496" s="116"/>
      <c r="X496" s="116"/>
      <c r="Y496" s="116"/>
      <c r="Z496" s="116"/>
    </row>
    <row r="497" spans="1:26" ht="15">
      <c r="A497" s="116"/>
      <c r="B497" s="988"/>
      <c r="C497" s="116"/>
      <c r="D497" s="116"/>
      <c r="E497" s="116"/>
      <c r="F497" s="116"/>
      <c r="G497" s="116"/>
      <c r="H497" s="116"/>
      <c r="I497" s="116"/>
      <c r="J497" s="116"/>
      <c r="K497" s="116"/>
      <c r="L497" s="116"/>
      <c r="M497" s="116"/>
      <c r="N497" s="116"/>
      <c r="O497" s="116"/>
      <c r="P497" s="116"/>
      <c r="Q497" s="116"/>
      <c r="R497" s="116"/>
      <c r="S497" s="116"/>
      <c r="T497" s="116"/>
      <c r="U497" s="116"/>
      <c r="V497" s="116"/>
      <c r="W497" s="116"/>
      <c r="X497" s="116"/>
      <c r="Y497" s="116"/>
      <c r="Z497" s="116"/>
    </row>
    <row r="498" spans="1:26" ht="15">
      <c r="A498" s="116"/>
      <c r="B498" s="988"/>
      <c r="C498" s="116"/>
      <c r="D498" s="116"/>
      <c r="E498" s="116"/>
      <c r="F498" s="116"/>
      <c r="G498" s="116"/>
      <c r="H498" s="116"/>
      <c r="I498" s="116"/>
      <c r="J498" s="116"/>
      <c r="K498" s="116"/>
      <c r="L498" s="116"/>
      <c r="M498" s="116"/>
      <c r="N498" s="116"/>
      <c r="O498" s="116"/>
      <c r="P498" s="116"/>
      <c r="Q498" s="116"/>
      <c r="R498" s="116"/>
      <c r="S498" s="116"/>
      <c r="T498" s="116"/>
      <c r="U498" s="116"/>
      <c r="V498" s="116"/>
      <c r="W498" s="116"/>
      <c r="X498" s="116"/>
      <c r="Y498" s="116"/>
      <c r="Z498" s="116"/>
    </row>
    <row r="499" spans="1:26" ht="15">
      <c r="A499" s="116"/>
      <c r="B499" s="988"/>
      <c r="C499" s="116"/>
      <c r="D499" s="116"/>
      <c r="E499" s="116"/>
      <c r="F499" s="116"/>
      <c r="G499" s="116"/>
      <c r="H499" s="116"/>
      <c r="I499" s="116"/>
      <c r="J499" s="116"/>
      <c r="K499" s="116"/>
      <c r="L499" s="116"/>
      <c r="M499" s="116"/>
      <c r="N499" s="116"/>
      <c r="O499" s="116"/>
      <c r="P499" s="116"/>
      <c r="Q499" s="116"/>
      <c r="R499" s="116"/>
      <c r="S499" s="116"/>
      <c r="T499" s="116"/>
      <c r="U499" s="116"/>
      <c r="V499" s="116"/>
      <c r="W499" s="116"/>
      <c r="X499" s="116"/>
      <c r="Y499" s="116"/>
      <c r="Z499" s="116"/>
    </row>
    <row r="500" spans="1:26" ht="15">
      <c r="A500" s="116"/>
      <c r="B500" s="988"/>
      <c r="C500" s="116"/>
      <c r="D500" s="116"/>
      <c r="E500" s="116"/>
      <c r="F500" s="116"/>
      <c r="G500" s="116"/>
      <c r="H500" s="116"/>
      <c r="I500" s="116"/>
      <c r="J500" s="116"/>
      <c r="K500" s="116"/>
      <c r="L500" s="116"/>
      <c r="M500" s="116"/>
      <c r="N500" s="116"/>
      <c r="O500" s="116"/>
      <c r="P500" s="116"/>
      <c r="Q500" s="116"/>
      <c r="R500" s="116"/>
      <c r="S500" s="116"/>
      <c r="T500" s="116"/>
      <c r="U500" s="116"/>
      <c r="V500" s="116"/>
      <c r="W500" s="116"/>
      <c r="X500" s="116"/>
      <c r="Y500" s="116"/>
      <c r="Z500" s="116"/>
    </row>
    <row r="501" spans="1:26" ht="15">
      <c r="A501" s="116"/>
      <c r="B501" s="988"/>
      <c r="C501" s="116"/>
      <c r="D501" s="116"/>
      <c r="E501" s="116"/>
      <c r="F501" s="116"/>
      <c r="G501" s="116"/>
      <c r="H501" s="116"/>
      <c r="I501" s="116"/>
      <c r="J501" s="116"/>
      <c r="K501" s="116"/>
      <c r="L501" s="116"/>
      <c r="M501" s="116"/>
      <c r="N501" s="116"/>
      <c r="O501" s="116"/>
      <c r="P501" s="116"/>
      <c r="Q501" s="116"/>
      <c r="R501" s="116"/>
      <c r="S501" s="116"/>
      <c r="T501" s="116"/>
      <c r="U501" s="116"/>
      <c r="V501" s="116"/>
      <c r="W501" s="116"/>
      <c r="X501" s="116"/>
      <c r="Y501" s="116"/>
      <c r="Z501" s="116"/>
    </row>
    <row r="502" spans="1:26" ht="15">
      <c r="A502" s="116"/>
      <c r="B502" s="988"/>
      <c r="C502" s="116"/>
      <c r="D502" s="116"/>
      <c r="E502" s="116"/>
      <c r="F502" s="116"/>
      <c r="G502" s="116"/>
      <c r="H502" s="116"/>
      <c r="I502" s="116"/>
      <c r="J502" s="116"/>
      <c r="K502" s="116"/>
      <c r="L502" s="116"/>
      <c r="M502" s="116"/>
      <c r="N502" s="116"/>
      <c r="O502" s="116"/>
      <c r="P502" s="116"/>
      <c r="Q502" s="116"/>
      <c r="R502" s="116"/>
      <c r="S502" s="116"/>
      <c r="T502" s="116"/>
      <c r="U502" s="116"/>
      <c r="V502" s="116"/>
      <c r="W502" s="116"/>
      <c r="X502" s="116"/>
      <c r="Y502" s="116"/>
      <c r="Z502" s="116"/>
    </row>
    <row r="503" spans="1:26" ht="15">
      <c r="A503" s="116"/>
      <c r="B503" s="988"/>
      <c r="C503" s="116"/>
      <c r="D503" s="116"/>
      <c r="E503" s="116"/>
      <c r="F503" s="116"/>
      <c r="G503" s="116"/>
      <c r="H503" s="116"/>
      <c r="I503" s="116"/>
      <c r="J503" s="116"/>
      <c r="K503" s="116"/>
      <c r="L503" s="116"/>
      <c r="M503" s="116"/>
      <c r="N503" s="116"/>
      <c r="O503" s="116"/>
      <c r="P503" s="116"/>
      <c r="Q503" s="116"/>
      <c r="R503" s="116"/>
      <c r="S503" s="116"/>
      <c r="T503" s="116"/>
      <c r="U503" s="116"/>
      <c r="V503" s="116"/>
      <c r="W503" s="116"/>
      <c r="X503" s="116"/>
      <c r="Y503" s="116"/>
      <c r="Z503" s="116"/>
    </row>
    <row r="504" spans="1:26" ht="15">
      <c r="A504" s="116"/>
      <c r="B504" s="988"/>
      <c r="C504" s="116"/>
      <c r="D504" s="116"/>
      <c r="E504" s="116"/>
      <c r="F504" s="116"/>
      <c r="G504" s="116"/>
      <c r="H504" s="116"/>
      <c r="I504" s="116"/>
      <c r="J504" s="116"/>
      <c r="K504" s="116"/>
      <c r="L504" s="116"/>
      <c r="M504" s="116"/>
      <c r="N504" s="116"/>
      <c r="O504" s="116"/>
      <c r="P504" s="116"/>
      <c r="Q504" s="116"/>
      <c r="R504" s="116"/>
      <c r="S504" s="116"/>
      <c r="T504" s="116"/>
      <c r="U504" s="116"/>
      <c r="V504" s="116"/>
      <c r="W504" s="116"/>
      <c r="X504" s="116"/>
      <c r="Y504" s="116"/>
      <c r="Z504" s="116"/>
    </row>
    <row r="505" spans="1:26" ht="15">
      <c r="A505" s="116"/>
      <c r="B505" s="988"/>
      <c r="C505" s="116"/>
      <c r="D505" s="116"/>
      <c r="E505" s="116"/>
      <c r="F505" s="116"/>
      <c r="G505" s="116"/>
      <c r="H505" s="116"/>
      <c r="I505" s="116"/>
      <c r="J505" s="116"/>
      <c r="K505" s="116"/>
      <c r="L505" s="116"/>
      <c r="M505" s="116"/>
      <c r="N505" s="116"/>
      <c r="O505" s="116"/>
      <c r="P505" s="116"/>
      <c r="Q505" s="116"/>
      <c r="R505" s="116"/>
      <c r="S505" s="116"/>
      <c r="T505" s="116"/>
      <c r="U505" s="116"/>
      <c r="V505" s="116"/>
      <c r="W505" s="116"/>
      <c r="X505" s="116"/>
      <c r="Y505" s="116"/>
      <c r="Z505" s="116"/>
    </row>
    <row r="506" spans="1:26" ht="15">
      <c r="A506" s="116"/>
      <c r="B506" s="988"/>
      <c r="C506" s="116"/>
      <c r="D506" s="116"/>
      <c r="E506" s="116"/>
      <c r="F506" s="116"/>
      <c r="G506" s="116"/>
      <c r="H506" s="116"/>
      <c r="I506" s="116"/>
      <c r="J506" s="116"/>
      <c r="K506" s="116"/>
      <c r="L506" s="116"/>
      <c r="M506" s="116"/>
      <c r="N506" s="116"/>
      <c r="O506" s="116"/>
      <c r="P506" s="116"/>
      <c r="Q506" s="116"/>
      <c r="R506" s="116"/>
      <c r="S506" s="116"/>
      <c r="T506" s="116"/>
      <c r="U506" s="116"/>
      <c r="V506" s="116"/>
      <c r="W506" s="116"/>
      <c r="X506" s="116"/>
      <c r="Y506" s="116"/>
      <c r="Z506" s="116"/>
    </row>
    <row r="507" spans="1:26" ht="15">
      <c r="A507" s="116"/>
      <c r="B507" s="988"/>
      <c r="C507" s="116"/>
      <c r="D507" s="116"/>
      <c r="E507" s="116"/>
      <c r="F507" s="116"/>
      <c r="G507" s="116"/>
      <c r="H507" s="116"/>
      <c r="I507" s="116"/>
      <c r="J507" s="116"/>
      <c r="K507" s="116"/>
      <c r="L507" s="116"/>
      <c r="M507" s="116"/>
      <c r="N507" s="116"/>
      <c r="O507" s="116"/>
      <c r="P507" s="116"/>
      <c r="Q507" s="116"/>
      <c r="R507" s="116"/>
      <c r="S507" s="116"/>
      <c r="T507" s="116"/>
      <c r="U507" s="116"/>
      <c r="V507" s="116"/>
      <c r="W507" s="116"/>
      <c r="X507" s="116"/>
      <c r="Y507" s="116"/>
      <c r="Z507" s="116"/>
    </row>
    <row r="508" spans="1:26" ht="15">
      <c r="A508" s="116"/>
      <c r="B508" s="988"/>
      <c r="C508" s="116"/>
      <c r="D508" s="116"/>
      <c r="E508" s="116"/>
      <c r="F508" s="116"/>
      <c r="G508" s="116"/>
      <c r="H508" s="116"/>
      <c r="I508" s="116"/>
      <c r="J508" s="116"/>
      <c r="K508" s="116"/>
      <c r="L508" s="116"/>
      <c r="M508" s="116"/>
      <c r="N508" s="116"/>
      <c r="O508" s="116"/>
      <c r="P508" s="116"/>
      <c r="Q508" s="116"/>
      <c r="R508" s="116"/>
      <c r="S508" s="116"/>
      <c r="T508" s="116"/>
      <c r="U508" s="116"/>
      <c r="V508" s="116"/>
      <c r="W508" s="116"/>
      <c r="X508" s="116"/>
      <c r="Y508" s="116"/>
      <c r="Z508" s="116"/>
    </row>
    <row r="509" spans="1:26" ht="15">
      <c r="A509" s="116"/>
      <c r="B509" s="988"/>
      <c r="C509" s="116"/>
      <c r="D509" s="116"/>
      <c r="E509" s="116"/>
      <c r="F509" s="116"/>
      <c r="G509" s="116"/>
      <c r="H509" s="116"/>
      <c r="I509" s="116"/>
      <c r="J509" s="116"/>
      <c r="K509" s="116"/>
      <c r="L509" s="116"/>
      <c r="M509" s="116"/>
      <c r="N509" s="116"/>
      <c r="O509" s="116"/>
      <c r="P509" s="116"/>
      <c r="Q509" s="116"/>
      <c r="R509" s="116"/>
      <c r="S509" s="116"/>
      <c r="T509" s="116"/>
      <c r="U509" s="116"/>
      <c r="V509" s="116"/>
      <c r="W509" s="116"/>
      <c r="X509" s="116"/>
      <c r="Y509" s="116"/>
      <c r="Z509" s="116"/>
    </row>
    <row r="510" spans="1:26" ht="15">
      <c r="A510" s="116"/>
      <c r="B510" s="988"/>
      <c r="C510" s="116"/>
      <c r="D510" s="116"/>
      <c r="E510" s="116"/>
      <c r="F510" s="116"/>
      <c r="G510" s="116"/>
      <c r="H510" s="116"/>
      <c r="I510" s="116"/>
      <c r="J510" s="116"/>
      <c r="K510" s="116"/>
      <c r="L510" s="116"/>
      <c r="M510" s="116"/>
      <c r="N510" s="116"/>
      <c r="O510" s="116"/>
      <c r="P510" s="116"/>
      <c r="Q510" s="116"/>
      <c r="R510" s="116"/>
      <c r="S510" s="116"/>
      <c r="T510" s="116"/>
      <c r="U510" s="116"/>
      <c r="V510" s="116"/>
      <c r="W510" s="116"/>
      <c r="X510" s="116"/>
      <c r="Y510" s="116"/>
      <c r="Z510" s="116"/>
    </row>
    <row r="511" spans="1:26" ht="15">
      <c r="A511" s="116"/>
      <c r="B511" s="988"/>
      <c r="C511" s="116"/>
      <c r="D511" s="116"/>
      <c r="E511" s="116"/>
      <c r="F511" s="116"/>
      <c r="G511" s="116"/>
      <c r="H511" s="116"/>
      <c r="I511" s="116"/>
      <c r="J511" s="116"/>
      <c r="K511" s="116"/>
      <c r="L511" s="116"/>
      <c r="M511" s="116"/>
      <c r="N511" s="116"/>
      <c r="O511" s="116"/>
      <c r="P511" s="116"/>
      <c r="Q511" s="116"/>
      <c r="R511" s="116"/>
      <c r="S511" s="116"/>
      <c r="T511" s="116"/>
      <c r="U511" s="116"/>
      <c r="V511" s="116"/>
      <c r="W511" s="116"/>
      <c r="X511" s="116"/>
      <c r="Y511" s="116"/>
      <c r="Z511" s="116"/>
    </row>
    <row r="512" spans="1:26" ht="15">
      <c r="A512" s="116"/>
      <c r="B512" s="988"/>
      <c r="C512" s="116"/>
      <c r="D512" s="116"/>
      <c r="E512" s="116"/>
      <c r="F512" s="116"/>
      <c r="G512" s="116"/>
      <c r="H512" s="116"/>
      <c r="I512" s="116"/>
      <c r="J512" s="116"/>
      <c r="K512" s="116"/>
      <c r="L512" s="116"/>
      <c r="M512" s="116"/>
      <c r="N512" s="116"/>
      <c r="O512" s="116"/>
      <c r="P512" s="116"/>
      <c r="Q512" s="116"/>
      <c r="R512" s="116"/>
      <c r="S512" s="116"/>
      <c r="T512" s="116"/>
      <c r="U512" s="116"/>
      <c r="V512" s="116"/>
      <c r="W512" s="116"/>
      <c r="X512" s="116"/>
      <c r="Y512" s="116"/>
      <c r="Z512" s="116"/>
    </row>
    <row r="513" spans="1:26" ht="15">
      <c r="A513" s="116"/>
      <c r="B513" s="988"/>
      <c r="C513" s="116"/>
      <c r="D513" s="116"/>
      <c r="E513" s="116"/>
      <c r="F513" s="116"/>
      <c r="G513" s="116"/>
      <c r="H513" s="116"/>
      <c r="I513" s="116"/>
      <c r="J513" s="116"/>
      <c r="K513" s="116"/>
      <c r="L513" s="116"/>
      <c r="M513" s="116"/>
      <c r="N513" s="116"/>
      <c r="O513" s="116"/>
      <c r="P513" s="116"/>
      <c r="Q513" s="116"/>
      <c r="R513" s="116"/>
      <c r="S513" s="116"/>
      <c r="T513" s="116"/>
      <c r="U513" s="116"/>
      <c r="V513" s="116"/>
      <c r="W513" s="116"/>
      <c r="X513" s="116"/>
      <c r="Y513" s="116"/>
      <c r="Z513" s="116"/>
    </row>
    <row r="514" spans="1:26" ht="15">
      <c r="A514" s="116"/>
      <c r="B514" s="988"/>
      <c r="C514" s="116"/>
      <c r="D514" s="116"/>
      <c r="E514" s="116"/>
      <c r="F514" s="116"/>
      <c r="G514" s="116"/>
      <c r="H514" s="116"/>
      <c r="I514" s="116"/>
      <c r="J514" s="116"/>
      <c r="K514" s="116"/>
      <c r="L514" s="116"/>
      <c r="M514" s="116"/>
      <c r="N514" s="116"/>
      <c r="O514" s="116"/>
      <c r="P514" s="116"/>
      <c r="Q514" s="116"/>
      <c r="R514" s="116"/>
      <c r="S514" s="116"/>
      <c r="T514" s="116"/>
      <c r="U514" s="116"/>
      <c r="V514" s="116"/>
      <c r="W514" s="116"/>
      <c r="X514" s="116"/>
      <c r="Y514" s="116"/>
      <c r="Z514" s="116"/>
    </row>
    <row r="515" spans="1:26" ht="15">
      <c r="A515" s="116"/>
      <c r="B515" s="988"/>
      <c r="C515" s="116"/>
      <c r="D515" s="116"/>
      <c r="E515" s="116"/>
      <c r="F515" s="116"/>
      <c r="G515" s="116"/>
      <c r="H515" s="116"/>
      <c r="I515" s="116"/>
      <c r="J515" s="116"/>
      <c r="K515" s="116"/>
      <c r="L515" s="116"/>
      <c r="M515" s="116"/>
      <c r="N515" s="116"/>
      <c r="O515" s="116"/>
      <c r="P515" s="116"/>
      <c r="Q515" s="116"/>
      <c r="R515" s="116"/>
      <c r="S515" s="116"/>
      <c r="T515" s="116"/>
      <c r="U515" s="116"/>
      <c r="V515" s="116"/>
      <c r="W515" s="116"/>
      <c r="X515" s="116"/>
      <c r="Y515" s="116"/>
      <c r="Z515" s="116"/>
    </row>
    <row r="516" spans="1:26" ht="15">
      <c r="A516" s="116"/>
      <c r="B516" s="988"/>
      <c r="C516" s="116"/>
      <c r="D516" s="116"/>
      <c r="E516" s="116"/>
      <c r="F516" s="116"/>
      <c r="G516" s="116"/>
      <c r="H516" s="116"/>
      <c r="I516" s="116"/>
      <c r="J516" s="116"/>
      <c r="K516" s="116"/>
      <c r="L516" s="116"/>
      <c r="M516" s="116"/>
      <c r="N516" s="116"/>
      <c r="O516" s="116"/>
      <c r="P516" s="116"/>
      <c r="Q516" s="116"/>
      <c r="R516" s="116"/>
      <c r="S516" s="116"/>
      <c r="T516" s="116"/>
      <c r="U516" s="116"/>
      <c r="V516" s="116"/>
      <c r="W516" s="116"/>
      <c r="X516" s="116"/>
      <c r="Y516" s="116"/>
      <c r="Z516" s="116"/>
    </row>
    <row r="517" spans="1:26" ht="15">
      <c r="A517" s="116"/>
      <c r="B517" s="988"/>
      <c r="C517" s="116"/>
      <c r="D517" s="116"/>
      <c r="E517" s="116"/>
      <c r="F517" s="116"/>
      <c r="G517" s="116"/>
      <c r="H517" s="116"/>
      <c r="I517" s="116"/>
      <c r="J517" s="116"/>
      <c r="K517" s="116"/>
      <c r="L517" s="116"/>
      <c r="M517" s="116"/>
      <c r="N517" s="116"/>
      <c r="O517" s="116"/>
      <c r="P517" s="116"/>
      <c r="Q517" s="116"/>
      <c r="R517" s="116"/>
      <c r="S517" s="116"/>
      <c r="T517" s="116"/>
      <c r="U517" s="116"/>
      <c r="V517" s="116"/>
      <c r="W517" s="116"/>
      <c r="X517" s="116"/>
      <c r="Y517" s="116"/>
      <c r="Z517" s="116"/>
    </row>
    <row r="518" spans="1:26" ht="15">
      <c r="A518" s="116"/>
      <c r="B518" s="988"/>
      <c r="C518" s="116"/>
      <c r="D518" s="116"/>
      <c r="E518" s="116"/>
      <c r="F518" s="116"/>
      <c r="G518" s="116"/>
      <c r="H518" s="116"/>
      <c r="I518" s="116"/>
      <c r="J518" s="116"/>
      <c r="K518" s="116"/>
      <c r="L518" s="116"/>
      <c r="M518" s="116"/>
      <c r="N518" s="116"/>
      <c r="O518" s="116"/>
      <c r="P518" s="116"/>
      <c r="Q518" s="116"/>
      <c r="R518" s="116"/>
      <c r="S518" s="116"/>
      <c r="T518" s="116"/>
      <c r="U518" s="116"/>
      <c r="V518" s="116"/>
      <c r="W518" s="116"/>
      <c r="X518" s="116"/>
      <c r="Y518" s="116"/>
      <c r="Z518" s="116"/>
    </row>
    <row r="519" spans="1:26" ht="15">
      <c r="A519" s="116"/>
      <c r="B519" s="988"/>
      <c r="C519" s="116"/>
      <c r="D519" s="116"/>
      <c r="E519" s="116"/>
      <c r="F519" s="116"/>
      <c r="G519" s="116"/>
      <c r="H519" s="116"/>
      <c r="I519" s="116"/>
      <c r="J519" s="116"/>
      <c r="K519" s="116"/>
      <c r="L519" s="116"/>
      <c r="M519" s="116"/>
      <c r="N519" s="116"/>
      <c r="O519" s="116"/>
      <c r="P519" s="116"/>
      <c r="Q519" s="116"/>
      <c r="R519" s="116"/>
      <c r="S519" s="116"/>
      <c r="T519" s="116"/>
      <c r="U519" s="116"/>
      <c r="V519" s="116"/>
      <c r="W519" s="116"/>
      <c r="X519" s="116"/>
      <c r="Y519" s="116"/>
      <c r="Z519" s="116"/>
    </row>
    <row r="520" spans="1:26" ht="15">
      <c r="A520" s="116"/>
      <c r="B520" s="988"/>
      <c r="C520" s="116"/>
      <c r="D520" s="116"/>
      <c r="E520" s="116"/>
      <c r="F520" s="116"/>
      <c r="G520" s="116"/>
      <c r="H520" s="116"/>
      <c r="I520" s="116"/>
      <c r="J520" s="116"/>
      <c r="K520" s="116"/>
      <c r="L520" s="116"/>
      <c r="M520" s="116"/>
      <c r="N520" s="116"/>
      <c r="O520" s="116"/>
      <c r="P520" s="116"/>
      <c r="Q520" s="116"/>
      <c r="R520" s="116"/>
      <c r="S520" s="116"/>
      <c r="T520" s="116"/>
      <c r="U520" s="116"/>
      <c r="V520" s="116"/>
      <c r="W520" s="116"/>
      <c r="X520" s="116"/>
      <c r="Y520" s="116"/>
      <c r="Z520" s="116"/>
    </row>
    <row r="521" spans="1:26" ht="15">
      <c r="A521" s="116"/>
      <c r="B521" s="988"/>
      <c r="C521" s="116"/>
      <c r="D521" s="116"/>
      <c r="E521" s="116"/>
      <c r="F521" s="116"/>
      <c r="G521" s="116"/>
      <c r="H521" s="116"/>
      <c r="I521" s="116"/>
      <c r="J521" s="116"/>
      <c r="K521" s="116"/>
      <c r="L521" s="116"/>
      <c r="M521" s="116"/>
      <c r="N521" s="116"/>
      <c r="O521" s="116"/>
      <c r="P521" s="116"/>
      <c r="Q521" s="116"/>
      <c r="R521" s="116"/>
      <c r="S521" s="116"/>
      <c r="T521" s="116"/>
      <c r="U521" s="116"/>
      <c r="V521" s="116"/>
      <c r="W521" s="116"/>
      <c r="X521" s="116"/>
      <c r="Y521" s="116"/>
      <c r="Z521" s="116"/>
    </row>
    <row r="522" spans="1:26" ht="15">
      <c r="A522" s="116"/>
      <c r="B522" s="988"/>
      <c r="C522" s="116"/>
      <c r="D522" s="116"/>
      <c r="E522" s="116"/>
      <c r="F522" s="116"/>
      <c r="G522" s="116"/>
      <c r="H522" s="116"/>
      <c r="I522" s="116"/>
      <c r="J522" s="116"/>
      <c r="K522" s="116"/>
      <c r="L522" s="116"/>
      <c r="M522" s="116"/>
      <c r="N522" s="116"/>
      <c r="O522" s="116"/>
      <c r="P522" s="116"/>
      <c r="Q522" s="116"/>
      <c r="R522" s="116"/>
      <c r="S522" s="116"/>
      <c r="T522" s="116"/>
      <c r="U522" s="116"/>
      <c r="V522" s="116"/>
      <c r="W522" s="116"/>
      <c r="X522" s="116"/>
      <c r="Y522" s="116"/>
      <c r="Z522" s="116"/>
    </row>
    <row r="523" spans="1:26" ht="15">
      <c r="A523" s="116"/>
      <c r="B523" s="988"/>
      <c r="C523" s="116"/>
      <c r="D523" s="116"/>
      <c r="E523" s="116"/>
      <c r="F523" s="116"/>
      <c r="G523" s="116"/>
      <c r="H523" s="116"/>
      <c r="I523" s="116"/>
      <c r="J523" s="116"/>
      <c r="K523" s="116"/>
      <c r="L523" s="116"/>
      <c r="M523" s="116"/>
      <c r="N523" s="116"/>
      <c r="O523" s="116"/>
      <c r="P523" s="116"/>
      <c r="Q523" s="116"/>
      <c r="R523" s="116"/>
      <c r="S523" s="116"/>
      <c r="T523" s="116"/>
      <c r="U523" s="116"/>
      <c r="V523" s="116"/>
      <c r="W523" s="116"/>
      <c r="X523" s="116"/>
      <c r="Y523" s="116"/>
      <c r="Z523" s="116"/>
    </row>
    <row r="524" spans="1:26" ht="15">
      <c r="A524" s="116"/>
      <c r="B524" s="988"/>
      <c r="C524" s="116"/>
      <c r="D524" s="116"/>
      <c r="E524" s="116"/>
      <c r="F524" s="116"/>
      <c r="G524" s="116"/>
      <c r="H524" s="116"/>
      <c r="I524" s="116"/>
      <c r="J524" s="116"/>
      <c r="K524" s="116"/>
      <c r="L524" s="116"/>
      <c r="M524" s="116"/>
      <c r="N524" s="116"/>
      <c r="O524" s="116"/>
      <c r="P524" s="116"/>
      <c r="Q524" s="116"/>
      <c r="R524" s="116"/>
      <c r="S524" s="116"/>
      <c r="T524" s="116"/>
      <c r="U524" s="116"/>
      <c r="V524" s="116"/>
      <c r="W524" s="116"/>
      <c r="X524" s="116"/>
      <c r="Y524" s="116"/>
      <c r="Z524" s="116"/>
    </row>
    <row r="525" spans="1:26" ht="15">
      <c r="A525" s="116"/>
      <c r="B525" s="988"/>
      <c r="C525" s="116"/>
      <c r="D525" s="116"/>
      <c r="E525" s="116"/>
      <c r="F525" s="116"/>
      <c r="G525" s="116"/>
      <c r="H525" s="116"/>
      <c r="I525" s="116"/>
      <c r="J525" s="116"/>
      <c r="K525" s="116"/>
      <c r="L525" s="116"/>
      <c r="M525" s="116"/>
      <c r="N525" s="116"/>
      <c r="O525" s="116"/>
      <c r="P525" s="116"/>
      <c r="Q525" s="116"/>
      <c r="R525" s="116"/>
      <c r="S525" s="116"/>
      <c r="T525" s="116"/>
      <c r="U525" s="116"/>
      <c r="V525" s="116"/>
      <c r="W525" s="116"/>
      <c r="X525" s="116"/>
      <c r="Y525" s="116"/>
      <c r="Z525" s="116"/>
    </row>
    <row r="526" spans="1:26" ht="15">
      <c r="A526" s="116"/>
      <c r="B526" s="988"/>
      <c r="C526" s="116"/>
      <c r="D526" s="116"/>
      <c r="E526" s="116"/>
      <c r="F526" s="116"/>
      <c r="G526" s="116"/>
      <c r="H526" s="116"/>
      <c r="I526" s="116"/>
      <c r="J526" s="116"/>
      <c r="K526" s="116"/>
      <c r="L526" s="116"/>
      <c r="M526" s="116"/>
      <c r="N526" s="116"/>
      <c r="O526" s="116"/>
      <c r="P526" s="116"/>
      <c r="Q526" s="116"/>
      <c r="R526" s="116"/>
      <c r="S526" s="116"/>
      <c r="T526" s="116"/>
      <c r="U526" s="116"/>
      <c r="V526" s="116"/>
      <c r="W526" s="116"/>
      <c r="X526" s="116"/>
      <c r="Y526" s="116"/>
      <c r="Z526" s="116"/>
    </row>
    <row r="527" spans="1:26" ht="15">
      <c r="A527" s="116"/>
      <c r="B527" s="988"/>
      <c r="C527" s="116"/>
      <c r="D527" s="116"/>
      <c r="E527" s="116"/>
      <c r="F527" s="116"/>
      <c r="G527" s="116"/>
      <c r="H527" s="116"/>
      <c r="I527" s="116"/>
      <c r="J527" s="116"/>
      <c r="K527" s="116"/>
      <c r="L527" s="116"/>
      <c r="M527" s="116"/>
      <c r="N527" s="116"/>
      <c r="O527" s="116"/>
      <c r="P527" s="116"/>
      <c r="Q527" s="116"/>
      <c r="R527" s="116"/>
      <c r="S527" s="116"/>
      <c r="T527" s="116"/>
      <c r="U527" s="116"/>
      <c r="V527" s="116"/>
      <c r="W527" s="116"/>
      <c r="X527" s="116"/>
      <c r="Y527" s="116"/>
      <c r="Z527" s="116"/>
    </row>
    <row r="528" spans="1:26" ht="15">
      <c r="A528" s="116"/>
      <c r="B528" s="988"/>
      <c r="C528" s="116"/>
      <c r="D528" s="116"/>
      <c r="E528" s="116"/>
      <c r="F528" s="116"/>
      <c r="G528" s="116"/>
      <c r="H528" s="116"/>
      <c r="I528" s="116"/>
      <c r="J528" s="116"/>
      <c r="K528" s="116"/>
      <c r="L528" s="116"/>
      <c r="M528" s="116"/>
      <c r="N528" s="116"/>
      <c r="O528" s="116"/>
      <c r="P528" s="116"/>
      <c r="Q528" s="116"/>
      <c r="R528" s="116"/>
      <c r="S528" s="116"/>
      <c r="T528" s="116"/>
      <c r="U528" s="116"/>
      <c r="V528" s="116"/>
      <c r="W528" s="116"/>
      <c r="X528" s="116"/>
      <c r="Y528" s="116"/>
      <c r="Z528" s="116"/>
    </row>
    <row r="529" spans="1:26" ht="15">
      <c r="A529" s="116"/>
      <c r="B529" s="988"/>
      <c r="C529" s="116"/>
      <c r="D529" s="116"/>
      <c r="E529" s="116"/>
      <c r="F529" s="116"/>
      <c r="G529" s="116"/>
      <c r="H529" s="116"/>
      <c r="I529" s="116"/>
      <c r="J529" s="116"/>
      <c r="K529" s="116"/>
      <c r="L529" s="116"/>
      <c r="M529" s="116"/>
      <c r="N529" s="116"/>
      <c r="O529" s="116"/>
      <c r="P529" s="116"/>
      <c r="Q529" s="116"/>
      <c r="R529" s="116"/>
      <c r="S529" s="116"/>
      <c r="T529" s="116"/>
      <c r="U529" s="116"/>
      <c r="V529" s="116"/>
      <c r="W529" s="116"/>
      <c r="X529" s="116"/>
      <c r="Y529" s="116"/>
      <c r="Z529" s="116"/>
    </row>
    <row r="530" spans="1:26" ht="15">
      <c r="A530" s="116"/>
      <c r="B530" s="988"/>
      <c r="C530" s="116"/>
      <c r="D530" s="116"/>
      <c r="E530" s="116"/>
      <c r="F530" s="116"/>
      <c r="G530" s="116"/>
      <c r="H530" s="116"/>
      <c r="I530" s="116"/>
      <c r="J530" s="116"/>
      <c r="K530" s="116"/>
      <c r="L530" s="116"/>
      <c r="M530" s="116"/>
      <c r="N530" s="116"/>
      <c r="O530" s="116"/>
      <c r="P530" s="116"/>
      <c r="Q530" s="116"/>
      <c r="R530" s="116"/>
      <c r="S530" s="116"/>
      <c r="T530" s="116"/>
      <c r="U530" s="116"/>
      <c r="V530" s="116"/>
      <c r="W530" s="116"/>
      <c r="X530" s="116"/>
      <c r="Y530" s="116"/>
      <c r="Z530" s="116"/>
    </row>
    <row r="531" spans="1:26" ht="15">
      <c r="A531" s="116"/>
      <c r="B531" s="988"/>
      <c r="C531" s="116"/>
      <c r="D531" s="116"/>
      <c r="E531" s="116"/>
      <c r="F531" s="116"/>
      <c r="G531" s="116"/>
      <c r="H531" s="116"/>
      <c r="I531" s="116"/>
      <c r="J531" s="116"/>
      <c r="K531" s="116"/>
      <c r="L531" s="116"/>
      <c r="M531" s="116"/>
      <c r="N531" s="116"/>
      <c r="O531" s="116"/>
      <c r="P531" s="116"/>
      <c r="Q531" s="116"/>
      <c r="R531" s="116"/>
      <c r="S531" s="116"/>
      <c r="T531" s="116"/>
      <c r="U531" s="116"/>
      <c r="V531" s="116"/>
      <c r="W531" s="116"/>
      <c r="X531" s="116"/>
      <c r="Y531" s="116"/>
      <c r="Z531" s="116"/>
    </row>
    <row r="532" spans="1:26" ht="15">
      <c r="A532" s="116"/>
      <c r="B532" s="988"/>
      <c r="C532" s="116"/>
      <c r="D532" s="116"/>
      <c r="E532" s="116"/>
      <c r="F532" s="116"/>
      <c r="G532" s="116"/>
      <c r="H532" s="116"/>
      <c r="I532" s="116"/>
      <c r="J532" s="116"/>
      <c r="K532" s="116"/>
      <c r="L532" s="116"/>
      <c r="M532" s="116"/>
      <c r="N532" s="116"/>
      <c r="O532" s="116"/>
      <c r="P532" s="116"/>
      <c r="Q532" s="116"/>
      <c r="R532" s="116"/>
      <c r="S532" s="116"/>
      <c r="T532" s="116"/>
      <c r="U532" s="116"/>
      <c r="V532" s="116"/>
      <c r="W532" s="116"/>
      <c r="X532" s="116"/>
      <c r="Y532" s="116"/>
      <c r="Z532" s="116"/>
    </row>
    <row r="533" spans="1:26" ht="15">
      <c r="A533" s="116"/>
      <c r="B533" s="988"/>
      <c r="C533" s="116"/>
      <c r="D533" s="116"/>
      <c r="E533" s="116"/>
      <c r="F533" s="116"/>
      <c r="G533" s="116"/>
      <c r="H533" s="116"/>
      <c r="I533" s="116"/>
      <c r="J533" s="116"/>
      <c r="K533" s="116"/>
      <c r="L533" s="116"/>
      <c r="M533" s="116"/>
      <c r="N533" s="116"/>
      <c r="O533" s="116"/>
      <c r="P533" s="116"/>
      <c r="Q533" s="116"/>
      <c r="R533" s="116"/>
      <c r="S533" s="116"/>
      <c r="T533" s="116"/>
      <c r="U533" s="116"/>
      <c r="V533" s="116"/>
      <c r="W533" s="116"/>
      <c r="X533" s="116"/>
      <c r="Y533" s="116"/>
      <c r="Z533" s="116"/>
    </row>
    <row r="534" spans="1:26" ht="15">
      <c r="A534" s="116"/>
      <c r="B534" s="988"/>
      <c r="C534" s="116"/>
      <c r="D534" s="116"/>
      <c r="E534" s="116"/>
      <c r="F534" s="116"/>
      <c r="G534" s="116"/>
      <c r="H534" s="116"/>
      <c r="I534" s="116"/>
      <c r="J534" s="116"/>
      <c r="K534" s="116"/>
      <c r="L534" s="116"/>
      <c r="M534" s="116"/>
      <c r="N534" s="116"/>
      <c r="O534" s="116"/>
      <c r="P534" s="116"/>
      <c r="Q534" s="116"/>
      <c r="R534" s="116"/>
      <c r="S534" s="116"/>
      <c r="T534" s="116"/>
      <c r="U534" s="116"/>
      <c r="V534" s="116"/>
      <c r="W534" s="116"/>
      <c r="X534" s="116"/>
      <c r="Y534" s="116"/>
      <c r="Z534" s="116"/>
    </row>
    <row r="535" spans="1:26" ht="15">
      <c r="A535" s="116"/>
      <c r="B535" s="988"/>
      <c r="C535" s="116"/>
      <c r="D535" s="116"/>
      <c r="E535" s="116"/>
      <c r="F535" s="116"/>
      <c r="G535" s="116"/>
      <c r="H535" s="116"/>
      <c r="I535" s="116"/>
      <c r="J535" s="116"/>
      <c r="K535" s="116"/>
      <c r="L535" s="116"/>
      <c r="M535" s="116"/>
      <c r="N535" s="116"/>
      <c r="O535" s="116"/>
      <c r="P535" s="116"/>
      <c r="Q535" s="116"/>
      <c r="R535" s="116"/>
      <c r="S535" s="116"/>
      <c r="T535" s="116"/>
      <c r="U535" s="116"/>
      <c r="V535" s="116"/>
      <c r="W535" s="116"/>
      <c r="X535" s="116"/>
      <c r="Y535" s="116"/>
      <c r="Z535" s="116"/>
    </row>
    <row r="536" spans="1:26" ht="15">
      <c r="A536" s="116"/>
      <c r="B536" s="988"/>
      <c r="C536" s="116"/>
      <c r="D536" s="116"/>
      <c r="E536" s="116"/>
      <c r="F536" s="116"/>
      <c r="G536" s="116"/>
      <c r="H536" s="116"/>
      <c r="I536" s="116"/>
      <c r="J536" s="116"/>
      <c r="K536" s="116"/>
      <c r="L536" s="116"/>
      <c r="M536" s="116"/>
      <c r="N536" s="116"/>
      <c r="O536" s="116"/>
      <c r="P536" s="116"/>
      <c r="Q536" s="116"/>
      <c r="R536" s="116"/>
      <c r="S536" s="116"/>
      <c r="T536" s="116"/>
      <c r="U536" s="116"/>
      <c r="V536" s="116"/>
      <c r="W536" s="116"/>
      <c r="X536" s="116"/>
      <c r="Y536" s="116"/>
      <c r="Z536" s="116"/>
    </row>
    <row r="537" spans="1:26" ht="15">
      <c r="A537" s="116"/>
      <c r="B537" s="988"/>
      <c r="C537" s="116"/>
      <c r="D537" s="116"/>
      <c r="E537" s="116"/>
      <c r="F537" s="116"/>
      <c r="G537" s="116"/>
      <c r="H537" s="116"/>
      <c r="I537" s="116"/>
      <c r="J537" s="116"/>
      <c r="K537" s="116"/>
      <c r="L537" s="116"/>
      <c r="M537" s="116"/>
      <c r="N537" s="116"/>
      <c r="O537" s="116"/>
      <c r="P537" s="116"/>
      <c r="Q537" s="116"/>
      <c r="R537" s="116"/>
      <c r="S537" s="116"/>
      <c r="T537" s="116"/>
      <c r="U537" s="116"/>
      <c r="V537" s="116"/>
      <c r="W537" s="116"/>
      <c r="X537" s="116"/>
      <c r="Y537" s="116"/>
      <c r="Z537" s="116"/>
    </row>
    <row r="538" spans="1:26" ht="15">
      <c r="A538" s="116"/>
      <c r="B538" s="988"/>
      <c r="C538" s="116"/>
      <c r="D538" s="116"/>
      <c r="E538" s="116"/>
      <c r="F538" s="116"/>
      <c r="G538" s="116"/>
      <c r="H538" s="116"/>
      <c r="I538" s="116"/>
      <c r="J538" s="116"/>
      <c r="K538" s="116"/>
      <c r="L538" s="116"/>
      <c r="M538" s="116"/>
      <c r="N538" s="116"/>
      <c r="O538" s="116"/>
      <c r="P538" s="116"/>
      <c r="Q538" s="116"/>
      <c r="R538" s="116"/>
      <c r="S538" s="116"/>
      <c r="T538" s="116"/>
      <c r="U538" s="116"/>
      <c r="V538" s="116"/>
      <c r="W538" s="116"/>
      <c r="X538" s="116"/>
      <c r="Y538" s="116"/>
      <c r="Z538" s="116"/>
    </row>
    <row r="539" spans="1:26" ht="15">
      <c r="A539" s="116"/>
      <c r="B539" s="988"/>
      <c r="C539" s="116"/>
      <c r="D539" s="116"/>
      <c r="E539" s="116"/>
      <c r="F539" s="116"/>
      <c r="G539" s="116"/>
      <c r="H539" s="116"/>
      <c r="I539" s="116"/>
      <c r="J539" s="116"/>
      <c r="K539" s="116"/>
      <c r="L539" s="116"/>
      <c r="M539" s="116"/>
      <c r="N539" s="116"/>
      <c r="O539" s="116"/>
      <c r="P539" s="116"/>
      <c r="Q539" s="116"/>
      <c r="R539" s="116"/>
      <c r="S539" s="116"/>
      <c r="T539" s="116"/>
      <c r="U539" s="116"/>
      <c r="V539" s="116"/>
      <c r="W539" s="116"/>
      <c r="X539" s="116"/>
      <c r="Y539" s="116"/>
      <c r="Z539" s="116"/>
    </row>
    <row r="540" spans="1:26" ht="15">
      <c r="A540" s="116"/>
      <c r="B540" s="988"/>
      <c r="C540" s="116"/>
      <c r="D540" s="116"/>
      <c r="E540" s="116"/>
      <c r="F540" s="116"/>
      <c r="G540" s="116"/>
      <c r="H540" s="116"/>
      <c r="I540" s="116"/>
      <c r="J540" s="116"/>
      <c r="K540" s="116"/>
      <c r="L540" s="116"/>
      <c r="M540" s="116"/>
      <c r="N540" s="116"/>
      <c r="O540" s="116"/>
      <c r="P540" s="116"/>
      <c r="Q540" s="116"/>
      <c r="R540" s="116"/>
      <c r="S540" s="116"/>
      <c r="T540" s="116"/>
      <c r="U540" s="116"/>
      <c r="V540" s="116"/>
      <c r="W540" s="116"/>
      <c r="X540" s="116"/>
      <c r="Y540" s="116"/>
      <c r="Z540" s="116"/>
    </row>
    <row r="541" spans="1:26" ht="15">
      <c r="A541" s="116"/>
      <c r="B541" s="988"/>
      <c r="C541" s="116"/>
      <c r="D541" s="116"/>
      <c r="E541" s="116"/>
      <c r="F541" s="116"/>
      <c r="G541" s="116"/>
      <c r="H541" s="116"/>
      <c r="I541" s="116"/>
      <c r="J541" s="116"/>
      <c r="K541" s="116"/>
      <c r="L541" s="116"/>
      <c r="M541" s="116"/>
      <c r="N541" s="116"/>
      <c r="O541" s="116"/>
      <c r="P541" s="116"/>
      <c r="Q541" s="116"/>
      <c r="R541" s="116"/>
      <c r="S541" s="116"/>
      <c r="T541" s="116"/>
      <c r="U541" s="116"/>
      <c r="V541" s="116"/>
      <c r="W541" s="116"/>
      <c r="X541" s="116"/>
      <c r="Y541" s="116"/>
      <c r="Z541" s="116"/>
    </row>
    <row r="542" spans="1:26" ht="15">
      <c r="A542" s="116"/>
      <c r="B542" s="988"/>
      <c r="C542" s="116"/>
      <c r="D542" s="116"/>
      <c r="E542" s="116"/>
      <c r="F542" s="116"/>
      <c r="G542" s="116"/>
      <c r="H542" s="116"/>
      <c r="I542" s="116"/>
      <c r="J542" s="116"/>
      <c r="K542" s="116"/>
      <c r="L542" s="116"/>
      <c r="M542" s="116"/>
      <c r="N542" s="116"/>
      <c r="O542" s="116"/>
      <c r="P542" s="116"/>
      <c r="Q542" s="116"/>
      <c r="R542" s="116"/>
      <c r="S542" s="116"/>
      <c r="T542" s="116"/>
      <c r="U542" s="116"/>
      <c r="V542" s="116"/>
      <c r="W542" s="116"/>
      <c r="X542" s="116"/>
      <c r="Y542" s="116"/>
      <c r="Z542" s="116"/>
    </row>
    <row r="543" spans="1:26" ht="15">
      <c r="A543" s="116"/>
      <c r="B543" s="988"/>
      <c r="C543" s="116"/>
      <c r="D543" s="116"/>
      <c r="E543" s="116"/>
      <c r="F543" s="116"/>
      <c r="G543" s="116"/>
      <c r="H543" s="116"/>
      <c r="I543" s="116"/>
      <c r="J543" s="116"/>
      <c r="K543" s="116"/>
      <c r="L543" s="116"/>
      <c r="M543" s="116"/>
      <c r="N543" s="116"/>
      <c r="O543" s="116"/>
      <c r="P543" s="116"/>
      <c r="Q543" s="116"/>
      <c r="R543" s="116"/>
      <c r="S543" s="116"/>
      <c r="T543" s="116"/>
      <c r="U543" s="116"/>
      <c r="V543" s="116"/>
      <c r="W543" s="116"/>
      <c r="X543" s="116"/>
      <c r="Y543" s="116"/>
      <c r="Z543" s="116"/>
    </row>
    <row r="544" spans="1:26" ht="15">
      <c r="A544" s="116"/>
      <c r="B544" s="988"/>
      <c r="C544" s="116"/>
      <c r="D544" s="116"/>
      <c r="E544" s="116"/>
      <c r="F544" s="116"/>
      <c r="G544" s="116"/>
      <c r="H544" s="116"/>
      <c r="I544" s="116"/>
      <c r="J544" s="116"/>
      <c r="K544" s="116"/>
      <c r="L544" s="116"/>
      <c r="M544" s="116"/>
      <c r="N544" s="116"/>
      <c r="O544" s="116"/>
      <c r="P544" s="116"/>
      <c r="Q544" s="116"/>
      <c r="R544" s="116"/>
      <c r="S544" s="116"/>
      <c r="T544" s="116"/>
      <c r="U544" s="116"/>
      <c r="V544" s="116"/>
      <c r="W544" s="116"/>
      <c r="X544" s="116"/>
      <c r="Y544" s="116"/>
      <c r="Z544" s="116"/>
    </row>
    <row r="545" spans="1:26" ht="15">
      <c r="A545" s="116"/>
      <c r="B545" s="988"/>
      <c r="C545" s="116"/>
      <c r="D545" s="116"/>
      <c r="E545" s="116"/>
      <c r="F545" s="116"/>
      <c r="G545" s="116"/>
      <c r="H545" s="116"/>
      <c r="I545" s="116"/>
      <c r="J545" s="116"/>
      <c r="K545" s="116"/>
      <c r="L545" s="116"/>
      <c r="M545" s="116"/>
      <c r="N545" s="116"/>
      <c r="O545" s="116"/>
      <c r="P545" s="116"/>
      <c r="Q545" s="116"/>
      <c r="R545" s="116"/>
      <c r="S545" s="116"/>
      <c r="T545" s="116"/>
      <c r="U545" s="116"/>
      <c r="V545" s="116"/>
      <c r="W545" s="116"/>
      <c r="X545" s="116"/>
      <c r="Y545" s="116"/>
      <c r="Z545" s="116"/>
    </row>
    <row r="546" spans="1:26" ht="15">
      <c r="A546" s="116"/>
      <c r="B546" s="988"/>
      <c r="C546" s="116"/>
      <c r="D546" s="116"/>
      <c r="E546" s="116"/>
      <c r="F546" s="116"/>
      <c r="G546" s="116"/>
      <c r="H546" s="116"/>
      <c r="I546" s="116"/>
      <c r="J546" s="116"/>
      <c r="K546" s="116"/>
      <c r="L546" s="116"/>
      <c r="M546" s="116"/>
      <c r="N546" s="116"/>
      <c r="O546" s="116"/>
      <c r="P546" s="116"/>
      <c r="Q546" s="116"/>
      <c r="R546" s="116"/>
      <c r="S546" s="116"/>
      <c r="T546" s="116"/>
      <c r="U546" s="116"/>
      <c r="V546" s="116"/>
      <c r="W546" s="116"/>
      <c r="X546" s="116"/>
      <c r="Y546" s="116"/>
      <c r="Z546" s="116"/>
    </row>
    <row r="547" spans="1:26" ht="15">
      <c r="A547" s="116"/>
      <c r="B547" s="988"/>
      <c r="C547" s="116"/>
      <c r="D547" s="116"/>
      <c r="E547" s="116"/>
      <c r="F547" s="116"/>
      <c r="G547" s="116"/>
      <c r="H547" s="116"/>
      <c r="I547" s="116"/>
      <c r="J547" s="116"/>
      <c r="K547" s="116"/>
      <c r="L547" s="116"/>
      <c r="M547" s="116"/>
      <c r="N547" s="116"/>
      <c r="O547" s="116"/>
      <c r="P547" s="116"/>
      <c r="Q547" s="116"/>
      <c r="R547" s="116"/>
      <c r="S547" s="116"/>
      <c r="T547" s="116"/>
      <c r="U547" s="116"/>
      <c r="V547" s="116"/>
      <c r="W547" s="116"/>
      <c r="X547" s="116"/>
      <c r="Y547" s="116"/>
      <c r="Z547" s="116"/>
    </row>
    <row r="548" spans="1:26" ht="15">
      <c r="A548" s="116"/>
      <c r="B548" s="988"/>
      <c r="C548" s="116"/>
      <c r="D548" s="116"/>
      <c r="E548" s="116"/>
      <c r="F548" s="116"/>
      <c r="G548" s="116"/>
      <c r="H548" s="116"/>
      <c r="I548" s="116"/>
      <c r="J548" s="116"/>
      <c r="K548" s="116"/>
      <c r="L548" s="116"/>
      <c r="M548" s="116"/>
      <c r="N548" s="116"/>
      <c r="O548" s="116"/>
      <c r="P548" s="116"/>
      <c r="Q548" s="116"/>
      <c r="R548" s="116"/>
      <c r="S548" s="116"/>
      <c r="T548" s="116"/>
      <c r="U548" s="116"/>
      <c r="V548" s="116"/>
      <c r="W548" s="116"/>
      <c r="X548" s="116"/>
      <c r="Y548" s="116"/>
      <c r="Z548" s="116"/>
    </row>
    <row r="549" spans="1:26" ht="15">
      <c r="A549" s="116"/>
      <c r="B549" s="988"/>
      <c r="C549" s="116"/>
      <c r="D549" s="116"/>
      <c r="E549" s="116"/>
      <c r="F549" s="116"/>
      <c r="G549" s="116"/>
      <c r="H549" s="116"/>
      <c r="I549" s="116"/>
      <c r="J549" s="116"/>
      <c r="K549" s="116"/>
      <c r="L549" s="116"/>
      <c r="M549" s="116"/>
      <c r="N549" s="116"/>
      <c r="O549" s="116"/>
      <c r="P549" s="116"/>
      <c r="Q549" s="116"/>
      <c r="R549" s="116"/>
      <c r="S549" s="116"/>
      <c r="T549" s="116"/>
      <c r="U549" s="116"/>
      <c r="V549" s="116"/>
      <c r="W549" s="116"/>
      <c r="X549" s="116"/>
      <c r="Y549" s="116"/>
      <c r="Z549" s="116"/>
    </row>
    <row r="550" spans="1:26" ht="15">
      <c r="A550" s="116"/>
      <c r="B550" s="988"/>
      <c r="C550" s="116"/>
      <c r="D550" s="116"/>
      <c r="E550" s="116"/>
      <c r="F550" s="116"/>
      <c r="G550" s="116"/>
      <c r="H550" s="116"/>
      <c r="I550" s="116"/>
      <c r="J550" s="116"/>
      <c r="K550" s="116"/>
      <c r="L550" s="116"/>
      <c r="M550" s="116"/>
      <c r="N550" s="116"/>
      <c r="O550" s="116"/>
      <c r="P550" s="116"/>
      <c r="Q550" s="116"/>
      <c r="R550" s="116"/>
      <c r="S550" s="116"/>
      <c r="T550" s="116"/>
      <c r="U550" s="116"/>
      <c r="V550" s="116"/>
      <c r="W550" s="116"/>
      <c r="X550" s="116"/>
      <c r="Y550" s="116"/>
      <c r="Z550" s="116"/>
    </row>
    <row r="551" spans="1:26" ht="15">
      <c r="A551" s="116"/>
      <c r="B551" s="988"/>
      <c r="C551" s="116"/>
      <c r="D551" s="116"/>
      <c r="E551" s="116"/>
      <c r="F551" s="116"/>
      <c r="G551" s="116"/>
      <c r="H551" s="116"/>
      <c r="I551" s="116"/>
      <c r="J551" s="116"/>
      <c r="K551" s="116"/>
      <c r="L551" s="116"/>
      <c r="M551" s="116"/>
      <c r="N551" s="116"/>
      <c r="O551" s="116"/>
      <c r="P551" s="116"/>
      <c r="Q551" s="116"/>
      <c r="R551" s="116"/>
      <c r="S551" s="116"/>
      <c r="T551" s="116"/>
      <c r="U551" s="116"/>
      <c r="V551" s="116"/>
      <c r="W551" s="116"/>
      <c r="X551" s="116"/>
      <c r="Y551" s="116"/>
      <c r="Z551" s="116"/>
    </row>
    <row r="552" spans="1:26" ht="15">
      <c r="A552" s="116"/>
      <c r="B552" s="988"/>
      <c r="C552" s="116"/>
      <c r="D552" s="116"/>
      <c r="E552" s="116"/>
      <c r="F552" s="116"/>
      <c r="G552" s="116"/>
      <c r="H552" s="116"/>
      <c r="I552" s="116"/>
      <c r="J552" s="116"/>
      <c r="K552" s="116"/>
      <c r="L552" s="116"/>
      <c r="M552" s="116"/>
      <c r="N552" s="116"/>
      <c r="O552" s="116"/>
      <c r="P552" s="116"/>
      <c r="Q552" s="116"/>
      <c r="R552" s="116"/>
      <c r="S552" s="116"/>
      <c r="T552" s="116"/>
      <c r="U552" s="116"/>
      <c r="V552" s="116"/>
      <c r="W552" s="116"/>
      <c r="X552" s="116"/>
      <c r="Y552" s="116"/>
      <c r="Z552" s="116"/>
    </row>
    <row r="553" spans="1:26" ht="15">
      <c r="A553" s="116"/>
      <c r="B553" s="988"/>
      <c r="C553" s="116"/>
      <c r="D553" s="116"/>
      <c r="E553" s="116"/>
      <c r="F553" s="116"/>
      <c r="G553" s="116"/>
      <c r="H553" s="116"/>
      <c r="I553" s="116"/>
      <c r="J553" s="116"/>
      <c r="K553" s="116"/>
      <c r="L553" s="116"/>
      <c r="M553" s="116"/>
      <c r="N553" s="116"/>
      <c r="O553" s="116"/>
      <c r="P553" s="116"/>
      <c r="Q553" s="116"/>
      <c r="R553" s="116"/>
      <c r="S553" s="116"/>
      <c r="T553" s="116"/>
      <c r="U553" s="116"/>
      <c r="V553" s="116"/>
      <c r="W553" s="116"/>
      <c r="X553" s="116"/>
      <c r="Y553" s="116"/>
      <c r="Z553" s="116"/>
    </row>
    <row r="554" spans="1:26" ht="15">
      <c r="A554" s="116"/>
      <c r="B554" s="988"/>
      <c r="C554" s="116"/>
      <c r="D554" s="116"/>
      <c r="E554" s="116"/>
      <c r="F554" s="116"/>
      <c r="G554" s="116"/>
      <c r="H554" s="116"/>
      <c r="I554" s="116"/>
      <c r="J554" s="116"/>
      <c r="K554" s="116"/>
      <c r="L554" s="116"/>
      <c r="M554" s="116"/>
      <c r="N554" s="116"/>
      <c r="O554" s="116"/>
      <c r="P554" s="116"/>
      <c r="Q554" s="116"/>
      <c r="R554" s="116"/>
      <c r="S554" s="116"/>
      <c r="T554" s="116"/>
      <c r="U554" s="116"/>
      <c r="V554" s="116"/>
      <c r="W554" s="116"/>
      <c r="X554" s="116"/>
      <c r="Y554" s="116"/>
      <c r="Z554" s="116"/>
    </row>
    <row r="555" spans="1:26" ht="15">
      <c r="A555" s="116"/>
      <c r="B555" s="988"/>
      <c r="C555" s="116"/>
      <c r="D555" s="116"/>
      <c r="E555" s="116"/>
      <c r="F555" s="116"/>
      <c r="G555" s="116"/>
      <c r="H555" s="116"/>
      <c r="I555" s="116"/>
      <c r="J555" s="116"/>
      <c r="K555" s="116"/>
      <c r="L555" s="116"/>
      <c r="M555" s="116"/>
      <c r="N555" s="116"/>
      <c r="O555" s="116"/>
      <c r="P555" s="116"/>
      <c r="Q555" s="116"/>
      <c r="R555" s="116"/>
      <c r="S555" s="116"/>
      <c r="T555" s="116"/>
      <c r="U555" s="116"/>
      <c r="V555" s="116"/>
      <c r="W555" s="116"/>
      <c r="X555" s="116"/>
      <c r="Y555" s="116"/>
      <c r="Z555" s="116"/>
    </row>
    <row r="556" spans="1:26" ht="15">
      <c r="A556" s="116"/>
      <c r="B556" s="988"/>
      <c r="C556" s="116"/>
      <c r="D556" s="116"/>
      <c r="E556" s="116"/>
      <c r="F556" s="116"/>
      <c r="G556" s="116"/>
      <c r="H556" s="116"/>
      <c r="I556" s="116"/>
      <c r="J556" s="116"/>
      <c r="K556" s="116"/>
      <c r="L556" s="116"/>
      <c r="M556" s="116"/>
      <c r="N556" s="116"/>
      <c r="O556" s="116"/>
      <c r="P556" s="116"/>
      <c r="Q556" s="116"/>
      <c r="R556" s="116"/>
      <c r="S556" s="116"/>
      <c r="T556" s="116"/>
      <c r="U556" s="116"/>
      <c r="V556" s="116"/>
      <c r="W556" s="116"/>
      <c r="X556" s="116"/>
      <c r="Y556" s="116"/>
      <c r="Z556" s="116"/>
    </row>
    <row r="557" spans="1:26" ht="15">
      <c r="A557" s="116"/>
      <c r="B557" s="988"/>
      <c r="C557" s="116"/>
      <c r="D557" s="116"/>
      <c r="E557" s="116"/>
      <c r="F557" s="116"/>
      <c r="G557" s="116"/>
      <c r="H557" s="116"/>
      <c r="I557" s="116"/>
      <c r="J557" s="116"/>
      <c r="K557" s="116"/>
      <c r="L557" s="116"/>
      <c r="M557" s="116"/>
      <c r="N557" s="116"/>
      <c r="O557" s="116"/>
      <c r="P557" s="116"/>
      <c r="Q557" s="116"/>
      <c r="R557" s="116"/>
      <c r="S557" s="116"/>
      <c r="T557" s="116"/>
      <c r="U557" s="116"/>
      <c r="V557" s="116"/>
      <c r="W557" s="116"/>
      <c r="X557" s="116"/>
      <c r="Y557" s="116"/>
      <c r="Z557" s="116"/>
    </row>
    <row r="558" spans="1:26" ht="15">
      <c r="A558" s="116"/>
      <c r="B558" s="988"/>
      <c r="C558" s="116"/>
      <c r="D558" s="116"/>
      <c r="E558" s="116"/>
      <c r="F558" s="116"/>
      <c r="G558" s="116"/>
      <c r="H558" s="116"/>
      <c r="I558" s="116"/>
      <c r="J558" s="116"/>
      <c r="K558" s="116"/>
      <c r="L558" s="116"/>
      <c r="M558" s="116"/>
      <c r="N558" s="116"/>
      <c r="O558" s="116"/>
      <c r="P558" s="116"/>
      <c r="Q558" s="116"/>
      <c r="R558" s="116"/>
      <c r="S558" s="116"/>
      <c r="T558" s="116"/>
      <c r="U558" s="116"/>
      <c r="V558" s="116"/>
      <c r="W558" s="116"/>
      <c r="X558" s="116"/>
      <c r="Y558" s="116"/>
      <c r="Z558" s="116"/>
    </row>
    <row r="559" spans="1:26" ht="15">
      <c r="A559" s="116"/>
      <c r="B559" s="988"/>
      <c r="C559" s="116"/>
      <c r="D559" s="116"/>
      <c r="E559" s="116"/>
      <c r="F559" s="116"/>
      <c r="G559" s="116"/>
      <c r="H559" s="116"/>
      <c r="I559" s="116"/>
      <c r="J559" s="116"/>
      <c r="K559" s="116"/>
      <c r="L559" s="116"/>
      <c r="M559" s="116"/>
      <c r="N559" s="116"/>
      <c r="O559" s="116"/>
      <c r="P559" s="116"/>
      <c r="Q559" s="116"/>
      <c r="R559" s="116"/>
      <c r="S559" s="116"/>
      <c r="T559" s="116"/>
      <c r="U559" s="116"/>
      <c r="V559" s="116"/>
      <c r="W559" s="116"/>
      <c r="X559" s="116"/>
      <c r="Y559" s="116"/>
      <c r="Z559" s="116"/>
    </row>
    <row r="560" spans="1:26" ht="15">
      <c r="A560" s="116"/>
      <c r="B560" s="988"/>
      <c r="C560" s="116"/>
      <c r="D560" s="116"/>
      <c r="E560" s="116"/>
      <c r="F560" s="116"/>
      <c r="G560" s="116"/>
      <c r="H560" s="116"/>
      <c r="I560" s="116"/>
      <c r="J560" s="116"/>
      <c r="K560" s="116"/>
      <c r="L560" s="116"/>
      <c r="M560" s="116"/>
      <c r="N560" s="116"/>
      <c r="O560" s="116"/>
      <c r="P560" s="116"/>
      <c r="Q560" s="116"/>
      <c r="R560" s="116"/>
      <c r="S560" s="116"/>
      <c r="T560" s="116"/>
      <c r="U560" s="116"/>
      <c r="V560" s="116"/>
      <c r="W560" s="116"/>
      <c r="X560" s="116"/>
      <c r="Y560" s="116"/>
      <c r="Z560" s="116"/>
    </row>
    <row r="561" spans="1:26" ht="15">
      <c r="A561" s="116"/>
      <c r="B561" s="988"/>
      <c r="C561" s="116"/>
      <c r="D561" s="116"/>
      <c r="E561" s="116"/>
      <c r="F561" s="116"/>
      <c r="G561" s="116"/>
      <c r="H561" s="116"/>
      <c r="I561" s="116"/>
      <c r="J561" s="116"/>
      <c r="K561" s="116"/>
      <c r="L561" s="116"/>
      <c r="M561" s="116"/>
      <c r="N561" s="116"/>
      <c r="O561" s="116"/>
      <c r="P561" s="116"/>
      <c r="Q561" s="116"/>
      <c r="R561" s="116"/>
      <c r="S561" s="116"/>
      <c r="T561" s="116"/>
      <c r="U561" s="116"/>
      <c r="V561" s="116"/>
      <c r="W561" s="116"/>
      <c r="X561" s="116"/>
      <c r="Y561" s="116"/>
      <c r="Z561" s="116"/>
    </row>
    <row r="562" spans="1:26" ht="15">
      <c r="A562" s="116"/>
      <c r="B562" s="988"/>
      <c r="C562" s="116"/>
      <c r="D562" s="116"/>
      <c r="E562" s="116"/>
      <c r="F562" s="116"/>
      <c r="G562" s="116"/>
      <c r="H562" s="116"/>
      <c r="I562" s="116"/>
      <c r="J562" s="116"/>
      <c r="K562" s="116"/>
      <c r="L562" s="116"/>
      <c r="M562" s="116"/>
      <c r="N562" s="116"/>
      <c r="O562" s="116"/>
      <c r="P562" s="116"/>
      <c r="Q562" s="116"/>
      <c r="R562" s="116"/>
      <c r="S562" s="116"/>
      <c r="T562" s="116"/>
      <c r="U562" s="116"/>
      <c r="V562" s="116"/>
      <c r="W562" s="116"/>
      <c r="X562" s="116"/>
      <c r="Y562" s="116"/>
      <c r="Z562" s="116"/>
    </row>
    <row r="563" spans="1:26" ht="15">
      <c r="A563" s="116"/>
      <c r="B563" s="988"/>
      <c r="C563" s="116"/>
      <c r="D563" s="116"/>
      <c r="E563" s="116"/>
      <c r="F563" s="116"/>
      <c r="G563" s="116"/>
      <c r="H563" s="116"/>
      <c r="I563" s="116"/>
      <c r="J563" s="116"/>
      <c r="K563" s="116"/>
      <c r="L563" s="116"/>
      <c r="M563" s="116"/>
      <c r="N563" s="116"/>
      <c r="O563" s="116"/>
      <c r="P563" s="116"/>
      <c r="Q563" s="116"/>
      <c r="R563" s="116"/>
      <c r="S563" s="116"/>
      <c r="T563" s="116"/>
      <c r="U563" s="116"/>
      <c r="V563" s="116"/>
      <c r="W563" s="116"/>
      <c r="X563" s="116"/>
      <c r="Y563" s="116"/>
      <c r="Z563" s="116"/>
    </row>
    <row r="564" spans="1:26" ht="15">
      <c r="A564" s="116"/>
      <c r="B564" s="988"/>
      <c r="C564" s="116"/>
      <c r="D564" s="116"/>
      <c r="E564" s="116"/>
      <c r="F564" s="116"/>
      <c r="G564" s="116"/>
      <c r="H564" s="116"/>
      <c r="I564" s="116"/>
      <c r="J564" s="116"/>
      <c r="K564" s="116"/>
      <c r="L564" s="116"/>
      <c r="M564" s="116"/>
      <c r="N564" s="116"/>
      <c r="O564" s="116"/>
      <c r="P564" s="116"/>
      <c r="Q564" s="116"/>
      <c r="R564" s="116"/>
      <c r="S564" s="116"/>
      <c r="T564" s="116"/>
      <c r="U564" s="116"/>
      <c r="V564" s="116"/>
      <c r="W564" s="116"/>
      <c r="X564" s="116"/>
      <c r="Y564" s="116"/>
      <c r="Z564" s="116"/>
    </row>
    <row r="565" spans="1:26" ht="15">
      <c r="A565" s="116"/>
      <c r="B565" s="988"/>
      <c r="C565" s="116"/>
      <c r="D565" s="116"/>
      <c r="E565" s="116"/>
      <c r="F565" s="116"/>
      <c r="G565" s="116"/>
      <c r="H565" s="116"/>
      <c r="I565" s="116"/>
      <c r="J565" s="116"/>
      <c r="K565" s="116"/>
      <c r="L565" s="116"/>
      <c r="M565" s="116"/>
      <c r="N565" s="116"/>
      <c r="O565" s="116"/>
      <c r="P565" s="116"/>
      <c r="Q565" s="116"/>
      <c r="R565" s="116"/>
      <c r="S565" s="116"/>
      <c r="T565" s="116"/>
      <c r="U565" s="116"/>
      <c r="V565" s="116"/>
      <c r="W565" s="116"/>
      <c r="X565" s="116"/>
      <c r="Y565" s="116"/>
      <c r="Z565" s="116"/>
    </row>
    <row r="566" spans="1:26" ht="15">
      <c r="A566" s="116"/>
      <c r="B566" s="988"/>
      <c r="C566" s="116"/>
      <c r="D566" s="116"/>
      <c r="E566" s="116"/>
      <c r="F566" s="116"/>
      <c r="G566" s="116"/>
      <c r="H566" s="116"/>
      <c r="I566" s="116"/>
      <c r="J566" s="116"/>
      <c r="K566" s="116"/>
      <c r="L566" s="116"/>
      <c r="M566" s="116"/>
      <c r="N566" s="116"/>
      <c r="O566" s="116"/>
      <c r="P566" s="116"/>
      <c r="Q566" s="116"/>
      <c r="R566" s="116"/>
      <c r="S566" s="116"/>
      <c r="T566" s="116"/>
      <c r="U566" s="116"/>
      <c r="V566" s="116"/>
      <c r="W566" s="116"/>
      <c r="X566" s="116"/>
      <c r="Y566" s="116"/>
      <c r="Z566" s="116"/>
    </row>
    <row r="567" spans="1:26" ht="15">
      <c r="A567" s="116"/>
      <c r="B567" s="988"/>
      <c r="C567" s="116"/>
      <c r="D567" s="116"/>
      <c r="E567" s="116"/>
      <c r="F567" s="116"/>
      <c r="G567" s="116"/>
      <c r="H567" s="116"/>
      <c r="I567" s="116"/>
      <c r="J567" s="116"/>
      <c r="K567" s="116"/>
      <c r="L567" s="116"/>
      <c r="M567" s="116"/>
      <c r="N567" s="116"/>
      <c r="O567" s="116"/>
      <c r="P567" s="116"/>
      <c r="Q567" s="116"/>
      <c r="R567" s="116"/>
      <c r="S567" s="116"/>
      <c r="T567" s="116"/>
      <c r="U567" s="116"/>
      <c r="V567" s="116"/>
      <c r="W567" s="116"/>
      <c r="X567" s="116"/>
      <c r="Y567" s="116"/>
      <c r="Z567" s="116"/>
    </row>
    <row r="568" spans="1:26" ht="15">
      <c r="A568" s="116"/>
      <c r="B568" s="988"/>
      <c r="C568" s="116"/>
      <c r="D568" s="116"/>
      <c r="E568" s="116"/>
      <c r="F568" s="116"/>
      <c r="G568" s="116"/>
      <c r="H568" s="116"/>
      <c r="I568" s="116"/>
      <c r="J568" s="116"/>
      <c r="K568" s="116"/>
      <c r="L568" s="116"/>
      <c r="M568" s="116"/>
      <c r="N568" s="116"/>
      <c r="O568" s="116"/>
      <c r="P568" s="116"/>
      <c r="Q568" s="116"/>
      <c r="R568" s="116"/>
      <c r="S568" s="116"/>
      <c r="T568" s="116"/>
      <c r="U568" s="116"/>
      <c r="V568" s="116"/>
      <c r="W568" s="116"/>
      <c r="X568" s="116"/>
      <c r="Y568" s="116"/>
      <c r="Z568" s="116"/>
    </row>
    <row r="569" spans="1:26" ht="15">
      <c r="A569" s="116"/>
      <c r="B569" s="988"/>
      <c r="C569" s="116"/>
      <c r="D569" s="116"/>
      <c r="E569" s="116"/>
      <c r="F569" s="116"/>
      <c r="G569" s="116"/>
      <c r="H569" s="116"/>
      <c r="I569" s="116"/>
      <c r="J569" s="116"/>
      <c r="K569" s="116"/>
      <c r="L569" s="116"/>
      <c r="M569" s="116"/>
      <c r="N569" s="116"/>
      <c r="O569" s="116"/>
      <c r="P569" s="116"/>
      <c r="Q569" s="116"/>
      <c r="R569" s="116"/>
      <c r="S569" s="116"/>
      <c r="T569" s="116"/>
      <c r="U569" s="116"/>
      <c r="V569" s="116"/>
      <c r="W569" s="116"/>
      <c r="X569" s="116"/>
      <c r="Y569" s="116"/>
      <c r="Z569" s="116"/>
    </row>
    <row r="570" spans="1:26" ht="15">
      <c r="A570" s="116"/>
      <c r="B570" s="988"/>
      <c r="C570" s="116"/>
      <c r="D570" s="116"/>
      <c r="E570" s="116"/>
      <c r="F570" s="116"/>
      <c r="G570" s="116"/>
      <c r="H570" s="116"/>
      <c r="I570" s="116"/>
      <c r="J570" s="116"/>
      <c r="K570" s="116"/>
      <c r="L570" s="116"/>
      <c r="M570" s="116"/>
      <c r="N570" s="116"/>
      <c r="O570" s="116"/>
      <c r="P570" s="116"/>
      <c r="Q570" s="116"/>
      <c r="R570" s="116"/>
      <c r="S570" s="116"/>
      <c r="T570" s="116"/>
      <c r="U570" s="116"/>
      <c r="V570" s="116"/>
      <c r="W570" s="116"/>
      <c r="X570" s="116"/>
      <c r="Y570" s="116"/>
      <c r="Z570" s="116"/>
    </row>
    <row r="571" spans="1:26" ht="15">
      <c r="A571" s="116"/>
      <c r="B571" s="988"/>
      <c r="C571" s="116"/>
      <c r="D571" s="116"/>
      <c r="E571" s="116"/>
      <c r="F571" s="116"/>
      <c r="G571" s="116"/>
      <c r="H571" s="116"/>
      <c r="I571" s="116"/>
      <c r="J571" s="116"/>
      <c r="K571" s="116"/>
      <c r="L571" s="116"/>
      <c r="M571" s="116"/>
      <c r="N571" s="116"/>
      <c r="O571" s="116"/>
      <c r="P571" s="116"/>
      <c r="Q571" s="116"/>
      <c r="R571" s="116"/>
      <c r="S571" s="116"/>
      <c r="T571" s="116"/>
      <c r="U571" s="116"/>
      <c r="V571" s="116"/>
      <c r="W571" s="116"/>
      <c r="X571" s="116"/>
      <c r="Y571" s="116"/>
      <c r="Z571" s="116"/>
    </row>
    <row r="572" spans="1:26" ht="15">
      <c r="A572" s="116"/>
      <c r="B572" s="988"/>
      <c r="C572" s="116"/>
      <c r="D572" s="116"/>
      <c r="E572" s="116"/>
      <c r="F572" s="116"/>
      <c r="G572" s="116"/>
      <c r="H572" s="116"/>
      <c r="I572" s="116"/>
      <c r="J572" s="116"/>
      <c r="K572" s="116"/>
      <c r="L572" s="116"/>
      <c r="M572" s="116"/>
      <c r="N572" s="116"/>
      <c r="O572" s="116"/>
      <c r="P572" s="116"/>
      <c r="Q572" s="116"/>
      <c r="R572" s="116"/>
      <c r="S572" s="116"/>
      <c r="T572" s="116"/>
      <c r="U572" s="116"/>
      <c r="V572" s="116"/>
      <c r="W572" s="116"/>
      <c r="X572" s="116"/>
      <c r="Y572" s="116"/>
      <c r="Z572" s="116"/>
    </row>
    <row r="573" spans="1:26" ht="15">
      <c r="A573" s="116"/>
      <c r="B573" s="988"/>
      <c r="C573" s="116"/>
      <c r="D573" s="116"/>
      <c r="E573" s="116"/>
      <c r="F573" s="116"/>
      <c r="G573" s="116"/>
      <c r="H573" s="116"/>
      <c r="I573" s="116"/>
      <c r="J573" s="116"/>
      <c r="K573" s="116"/>
      <c r="L573" s="116"/>
      <c r="M573" s="116"/>
      <c r="N573" s="116"/>
      <c r="O573" s="116"/>
      <c r="P573" s="116"/>
      <c r="Q573" s="116"/>
      <c r="R573" s="116"/>
      <c r="S573" s="116"/>
      <c r="T573" s="116"/>
      <c r="U573" s="116"/>
      <c r="V573" s="116"/>
      <c r="W573" s="116"/>
      <c r="X573" s="116"/>
      <c r="Y573" s="116"/>
      <c r="Z573" s="116"/>
    </row>
    <row r="574" spans="1:26" ht="15">
      <c r="A574" s="116"/>
      <c r="B574" s="988"/>
      <c r="C574" s="116"/>
      <c r="D574" s="116"/>
      <c r="E574" s="116"/>
      <c r="F574" s="116"/>
      <c r="G574" s="116"/>
      <c r="H574" s="116"/>
      <c r="I574" s="116"/>
      <c r="J574" s="116"/>
      <c r="K574" s="116"/>
      <c r="L574" s="116"/>
      <c r="M574" s="116"/>
      <c r="N574" s="116"/>
      <c r="O574" s="116"/>
      <c r="P574" s="116"/>
      <c r="Q574" s="116"/>
      <c r="R574" s="116"/>
      <c r="S574" s="116"/>
      <c r="T574" s="116"/>
      <c r="U574" s="116"/>
      <c r="V574" s="116"/>
      <c r="W574" s="116"/>
      <c r="X574" s="116"/>
      <c r="Y574" s="116"/>
      <c r="Z574" s="116"/>
    </row>
    <row r="575" spans="1:26" ht="15">
      <c r="A575" s="116"/>
      <c r="B575" s="988"/>
      <c r="C575" s="116"/>
      <c r="D575" s="116"/>
      <c r="E575" s="116"/>
      <c r="F575" s="116"/>
      <c r="G575" s="116"/>
      <c r="H575" s="116"/>
      <c r="I575" s="116"/>
      <c r="J575" s="116"/>
      <c r="K575" s="116"/>
      <c r="L575" s="116"/>
      <c r="M575" s="116"/>
      <c r="N575" s="116"/>
      <c r="O575" s="116"/>
      <c r="P575" s="116"/>
      <c r="Q575" s="116"/>
      <c r="R575" s="116"/>
      <c r="S575" s="116"/>
      <c r="T575" s="116"/>
      <c r="U575" s="116"/>
      <c r="V575" s="116"/>
      <c r="W575" s="116"/>
      <c r="X575" s="116"/>
      <c r="Y575" s="116"/>
      <c r="Z575" s="116"/>
    </row>
    <row r="576" spans="1:26" ht="15">
      <c r="A576" s="116"/>
      <c r="B576" s="988"/>
      <c r="C576" s="116"/>
      <c r="D576" s="116"/>
      <c r="E576" s="116"/>
      <c r="F576" s="116"/>
      <c r="G576" s="116"/>
      <c r="H576" s="116"/>
      <c r="I576" s="116"/>
      <c r="J576" s="116"/>
      <c r="K576" s="116"/>
      <c r="L576" s="116"/>
      <c r="M576" s="116"/>
      <c r="N576" s="116"/>
      <c r="O576" s="116"/>
      <c r="P576" s="116"/>
      <c r="Q576" s="116"/>
      <c r="R576" s="116"/>
      <c r="S576" s="116"/>
      <c r="T576" s="116"/>
      <c r="U576" s="116"/>
      <c r="V576" s="116"/>
      <c r="W576" s="116"/>
      <c r="X576" s="116"/>
      <c r="Y576" s="116"/>
      <c r="Z576" s="116"/>
    </row>
    <row r="577" spans="1:26" ht="15">
      <c r="A577" s="116"/>
      <c r="B577" s="988"/>
      <c r="C577" s="116"/>
      <c r="D577" s="116"/>
      <c r="E577" s="116"/>
      <c r="F577" s="116"/>
      <c r="G577" s="116"/>
      <c r="H577" s="116"/>
      <c r="I577" s="116"/>
      <c r="J577" s="116"/>
      <c r="K577" s="116"/>
      <c r="L577" s="116"/>
      <c r="M577" s="116"/>
      <c r="N577" s="116"/>
      <c r="O577" s="116"/>
      <c r="P577" s="116"/>
      <c r="Q577" s="116"/>
      <c r="R577" s="116"/>
      <c r="S577" s="116"/>
      <c r="T577" s="116"/>
      <c r="U577" s="116"/>
      <c r="V577" s="116"/>
      <c r="W577" s="116"/>
      <c r="X577" s="116"/>
      <c r="Y577" s="116"/>
      <c r="Z577" s="116"/>
    </row>
    <row r="578" spans="1:26" ht="15">
      <c r="A578" s="116"/>
      <c r="B578" s="988"/>
      <c r="C578" s="116"/>
      <c r="D578" s="116"/>
      <c r="E578" s="116"/>
      <c r="F578" s="116"/>
      <c r="G578" s="116"/>
      <c r="H578" s="116"/>
      <c r="I578" s="116"/>
      <c r="J578" s="116"/>
      <c r="K578" s="116"/>
      <c r="L578" s="116"/>
      <c r="M578" s="116"/>
      <c r="N578" s="116"/>
      <c r="O578" s="116"/>
      <c r="P578" s="116"/>
      <c r="Q578" s="116"/>
      <c r="R578" s="116"/>
      <c r="S578" s="116"/>
      <c r="T578" s="116"/>
      <c r="U578" s="116"/>
      <c r="V578" s="116"/>
      <c r="W578" s="116"/>
      <c r="X578" s="116"/>
      <c r="Y578" s="116"/>
      <c r="Z578" s="116"/>
    </row>
    <row r="579" spans="1:26" ht="15">
      <c r="A579" s="116"/>
      <c r="B579" s="988"/>
      <c r="C579" s="116"/>
      <c r="D579" s="116"/>
      <c r="E579" s="116"/>
      <c r="F579" s="116"/>
      <c r="G579" s="116"/>
      <c r="H579" s="116"/>
      <c r="I579" s="116"/>
      <c r="J579" s="116"/>
      <c r="K579" s="116"/>
      <c r="L579" s="116"/>
      <c r="M579" s="116"/>
      <c r="N579" s="116"/>
      <c r="O579" s="116"/>
      <c r="P579" s="116"/>
      <c r="Q579" s="116"/>
      <c r="R579" s="116"/>
      <c r="S579" s="116"/>
      <c r="T579" s="116"/>
      <c r="U579" s="116"/>
      <c r="V579" s="116"/>
      <c r="W579" s="116"/>
      <c r="X579" s="116"/>
      <c r="Y579" s="116"/>
      <c r="Z579" s="116"/>
    </row>
    <row r="580" spans="1:26" ht="15">
      <c r="A580" s="116"/>
      <c r="B580" s="988"/>
      <c r="C580" s="116"/>
      <c r="D580" s="116"/>
      <c r="E580" s="116"/>
      <c r="F580" s="116"/>
      <c r="G580" s="116"/>
      <c r="H580" s="116"/>
      <c r="I580" s="116"/>
      <c r="J580" s="116"/>
      <c r="K580" s="116"/>
      <c r="L580" s="116"/>
      <c r="M580" s="116"/>
      <c r="N580" s="116"/>
      <c r="O580" s="116"/>
      <c r="P580" s="116"/>
      <c r="Q580" s="116"/>
      <c r="R580" s="116"/>
      <c r="S580" s="116"/>
      <c r="T580" s="116"/>
      <c r="U580" s="116"/>
      <c r="V580" s="116"/>
      <c r="W580" s="116"/>
      <c r="X580" s="116"/>
      <c r="Y580" s="116"/>
      <c r="Z580" s="116"/>
    </row>
    <row r="581" spans="1:26" ht="15">
      <c r="A581" s="116"/>
      <c r="B581" s="988"/>
      <c r="C581" s="116"/>
      <c r="D581" s="116"/>
      <c r="E581" s="116"/>
      <c r="F581" s="116"/>
      <c r="G581" s="116"/>
      <c r="H581" s="116"/>
      <c r="I581" s="116"/>
      <c r="J581" s="116"/>
      <c r="K581" s="116"/>
      <c r="L581" s="116"/>
      <c r="M581" s="116"/>
      <c r="N581" s="116"/>
      <c r="O581" s="116"/>
      <c r="P581" s="116"/>
      <c r="Q581" s="116"/>
      <c r="R581" s="116"/>
      <c r="S581" s="116"/>
      <c r="T581" s="116"/>
      <c r="U581" s="116"/>
      <c r="V581" s="116"/>
      <c r="W581" s="116"/>
      <c r="X581" s="116"/>
      <c r="Y581" s="116"/>
      <c r="Z581" s="116"/>
    </row>
    <row r="582" spans="1:26" ht="15">
      <c r="A582" s="116"/>
      <c r="B582" s="988"/>
      <c r="C582" s="116"/>
      <c r="D582" s="116"/>
      <c r="E582" s="116"/>
      <c r="F582" s="116"/>
      <c r="G582" s="116"/>
      <c r="H582" s="116"/>
      <c r="I582" s="116"/>
      <c r="J582" s="116"/>
      <c r="K582" s="116"/>
      <c r="L582" s="116"/>
      <c r="M582" s="116"/>
      <c r="N582" s="116"/>
      <c r="O582" s="116"/>
      <c r="P582" s="116"/>
      <c r="Q582" s="116"/>
      <c r="R582" s="116"/>
      <c r="S582" s="116"/>
      <c r="T582" s="116"/>
      <c r="U582" s="116"/>
      <c r="V582" s="116"/>
      <c r="W582" s="116"/>
      <c r="X582" s="116"/>
      <c r="Y582" s="116"/>
      <c r="Z582" s="116"/>
    </row>
    <row r="583" spans="1:26" ht="15">
      <c r="A583" s="116"/>
      <c r="B583" s="988"/>
      <c r="C583" s="116"/>
      <c r="D583" s="116"/>
      <c r="E583" s="116"/>
      <c r="F583" s="116"/>
      <c r="G583" s="116"/>
      <c r="H583" s="116"/>
      <c r="I583" s="116"/>
      <c r="J583" s="116"/>
      <c r="K583" s="116"/>
      <c r="L583" s="116"/>
      <c r="M583" s="116"/>
      <c r="N583" s="116"/>
      <c r="O583" s="116"/>
      <c r="P583" s="116"/>
      <c r="Q583" s="116"/>
      <c r="R583" s="116"/>
      <c r="S583" s="116"/>
      <c r="T583" s="116"/>
      <c r="U583" s="116"/>
      <c r="V583" s="116"/>
      <c r="W583" s="116"/>
      <c r="X583" s="116"/>
      <c r="Y583" s="116"/>
      <c r="Z583" s="116"/>
    </row>
    <row r="584" spans="1:26" ht="15">
      <c r="A584" s="116"/>
      <c r="B584" s="988"/>
      <c r="C584" s="116"/>
      <c r="D584" s="116"/>
      <c r="E584" s="116"/>
      <c r="F584" s="116"/>
      <c r="G584" s="116"/>
      <c r="H584" s="116"/>
      <c r="I584" s="116"/>
      <c r="J584" s="116"/>
      <c r="K584" s="116"/>
      <c r="L584" s="116"/>
      <c r="M584" s="116"/>
      <c r="N584" s="116"/>
      <c r="O584" s="116"/>
      <c r="P584" s="116"/>
      <c r="Q584" s="116"/>
      <c r="R584" s="116"/>
      <c r="S584" s="116"/>
      <c r="T584" s="116"/>
      <c r="U584" s="116"/>
      <c r="V584" s="116"/>
      <c r="W584" s="116"/>
      <c r="X584" s="116"/>
      <c r="Y584" s="116"/>
      <c r="Z584" s="116"/>
    </row>
    <row r="585" spans="1:26" ht="15">
      <c r="A585" s="116"/>
      <c r="B585" s="988"/>
      <c r="C585" s="116"/>
      <c r="D585" s="116"/>
      <c r="E585" s="116"/>
      <c r="F585" s="116"/>
      <c r="G585" s="116"/>
      <c r="H585" s="116"/>
      <c r="I585" s="116"/>
      <c r="J585" s="116"/>
      <c r="K585" s="116"/>
      <c r="L585" s="116"/>
      <c r="M585" s="116"/>
      <c r="N585" s="116"/>
      <c r="O585" s="116"/>
      <c r="P585" s="116"/>
      <c r="Q585" s="116"/>
      <c r="R585" s="116"/>
      <c r="S585" s="116"/>
      <c r="T585" s="116"/>
      <c r="U585" s="116"/>
      <c r="V585" s="116"/>
      <c r="W585" s="116"/>
      <c r="X585" s="116"/>
      <c r="Y585" s="116"/>
      <c r="Z585" s="116"/>
    </row>
    <row r="586" spans="1:26" ht="15">
      <c r="A586" s="116"/>
      <c r="B586" s="988"/>
      <c r="C586" s="116"/>
      <c r="D586" s="116"/>
      <c r="E586" s="116"/>
      <c r="F586" s="116"/>
      <c r="G586" s="116"/>
      <c r="H586" s="116"/>
      <c r="I586" s="116"/>
      <c r="J586" s="116"/>
      <c r="K586" s="116"/>
      <c r="L586" s="116"/>
      <c r="M586" s="116"/>
      <c r="N586" s="116"/>
      <c r="O586" s="116"/>
      <c r="P586" s="116"/>
      <c r="Q586" s="116"/>
      <c r="R586" s="116"/>
      <c r="S586" s="116"/>
      <c r="T586" s="116"/>
      <c r="U586" s="116"/>
      <c r="V586" s="116"/>
      <c r="W586" s="116"/>
      <c r="X586" s="116"/>
      <c r="Y586" s="116"/>
      <c r="Z586" s="116"/>
    </row>
    <row r="587" spans="1:26" ht="15">
      <c r="A587" s="116"/>
      <c r="B587" s="988"/>
      <c r="C587" s="116"/>
      <c r="D587" s="116"/>
      <c r="E587" s="116"/>
      <c r="F587" s="116"/>
      <c r="G587" s="116"/>
      <c r="H587" s="116"/>
      <c r="I587" s="116"/>
      <c r="J587" s="116"/>
      <c r="K587" s="116"/>
      <c r="L587" s="116"/>
      <c r="M587" s="116"/>
      <c r="N587" s="116"/>
      <c r="O587" s="116"/>
      <c r="P587" s="116"/>
      <c r="Q587" s="116"/>
      <c r="R587" s="116"/>
      <c r="S587" s="116"/>
      <c r="T587" s="116"/>
      <c r="U587" s="116"/>
      <c r="V587" s="116"/>
      <c r="W587" s="116"/>
      <c r="X587" s="116"/>
      <c r="Y587" s="116"/>
      <c r="Z587" s="116"/>
    </row>
    <row r="588" spans="1:26" ht="15">
      <c r="A588" s="116"/>
      <c r="B588" s="988"/>
      <c r="C588" s="116"/>
      <c r="D588" s="116"/>
      <c r="E588" s="116"/>
      <c r="F588" s="116"/>
      <c r="G588" s="116"/>
      <c r="H588" s="116"/>
      <c r="I588" s="116"/>
      <c r="J588" s="116"/>
      <c r="K588" s="116"/>
      <c r="L588" s="116"/>
      <c r="M588" s="116"/>
      <c r="N588" s="116"/>
      <c r="O588" s="116"/>
      <c r="P588" s="116"/>
      <c r="Q588" s="116"/>
      <c r="R588" s="116"/>
      <c r="S588" s="116"/>
      <c r="T588" s="116"/>
      <c r="U588" s="116"/>
      <c r="V588" s="116"/>
      <c r="W588" s="116"/>
      <c r="X588" s="116"/>
      <c r="Y588" s="116"/>
      <c r="Z588" s="116"/>
    </row>
    <row r="589" spans="1:26" ht="15">
      <c r="A589" s="116"/>
      <c r="B589" s="988"/>
      <c r="C589" s="116"/>
      <c r="D589" s="116"/>
      <c r="E589" s="116"/>
      <c r="F589" s="116"/>
      <c r="G589" s="116"/>
      <c r="H589" s="116"/>
      <c r="I589" s="116"/>
      <c r="J589" s="116"/>
      <c r="K589" s="116"/>
      <c r="L589" s="116"/>
      <c r="M589" s="116"/>
      <c r="N589" s="116"/>
      <c r="O589" s="116"/>
      <c r="P589" s="116"/>
      <c r="Q589" s="116"/>
      <c r="R589" s="116"/>
      <c r="S589" s="116"/>
      <c r="T589" s="116"/>
      <c r="U589" s="116"/>
      <c r="V589" s="116"/>
      <c r="W589" s="116"/>
      <c r="X589" s="116"/>
      <c r="Y589" s="116"/>
      <c r="Z589" s="116"/>
    </row>
    <row r="590" spans="1:26" ht="15">
      <c r="A590" s="116"/>
      <c r="B590" s="988"/>
      <c r="C590" s="116"/>
      <c r="D590" s="116"/>
      <c r="E590" s="116"/>
      <c r="F590" s="116"/>
      <c r="G590" s="116"/>
      <c r="H590" s="116"/>
      <c r="I590" s="116"/>
      <c r="J590" s="116"/>
      <c r="K590" s="116"/>
      <c r="L590" s="116"/>
      <c r="M590" s="116"/>
      <c r="N590" s="116"/>
      <c r="O590" s="116"/>
      <c r="P590" s="116"/>
      <c r="Q590" s="116"/>
      <c r="R590" s="116"/>
      <c r="S590" s="116"/>
      <c r="T590" s="116"/>
      <c r="U590" s="116"/>
      <c r="V590" s="116"/>
      <c r="W590" s="116"/>
      <c r="X590" s="116"/>
      <c r="Y590" s="116"/>
      <c r="Z590" s="116"/>
    </row>
    <row r="591" spans="1:26" ht="15">
      <c r="A591" s="116"/>
      <c r="B591" s="988"/>
      <c r="C591" s="116"/>
      <c r="D591" s="116"/>
      <c r="E591" s="116"/>
      <c r="F591" s="116"/>
      <c r="G591" s="116"/>
      <c r="H591" s="116"/>
      <c r="I591" s="116"/>
      <c r="J591" s="116"/>
      <c r="K591" s="116"/>
      <c r="L591" s="116"/>
      <c r="M591" s="116"/>
      <c r="N591" s="116"/>
      <c r="O591" s="116"/>
      <c r="P591" s="116"/>
      <c r="Q591" s="116"/>
      <c r="R591" s="116"/>
      <c r="S591" s="116"/>
      <c r="T591" s="116"/>
      <c r="U591" s="116"/>
      <c r="V591" s="116"/>
      <c r="W591" s="116"/>
      <c r="X591" s="116"/>
      <c r="Y591" s="116"/>
      <c r="Z591" s="116"/>
    </row>
    <row r="592" spans="1:26" ht="15">
      <c r="A592" s="116"/>
      <c r="B592" s="988"/>
      <c r="C592" s="116"/>
      <c r="D592" s="116"/>
      <c r="E592" s="116"/>
      <c r="F592" s="116"/>
      <c r="G592" s="116"/>
      <c r="H592" s="116"/>
      <c r="I592" s="116"/>
      <c r="J592" s="116"/>
      <c r="K592" s="116"/>
      <c r="L592" s="116"/>
      <c r="M592" s="116"/>
      <c r="N592" s="116"/>
      <c r="O592" s="116"/>
      <c r="P592" s="116"/>
      <c r="Q592" s="116"/>
      <c r="R592" s="116"/>
      <c r="S592" s="116"/>
      <c r="T592" s="116"/>
      <c r="U592" s="116"/>
      <c r="V592" s="116"/>
      <c r="W592" s="116"/>
      <c r="X592" s="116"/>
      <c r="Y592" s="116"/>
      <c r="Z592" s="116"/>
    </row>
    <row r="593" spans="1:26" ht="15">
      <c r="A593" s="116"/>
      <c r="B593" s="988"/>
      <c r="C593" s="116"/>
      <c r="D593" s="116"/>
      <c r="E593" s="116"/>
      <c r="F593" s="116"/>
      <c r="G593" s="116"/>
      <c r="H593" s="116"/>
      <c r="I593" s="116"/>
      <c r="J593" s="116"/>
      <c r="K593" s="116"/>
      <c r="L593" s="116"/>
      <c r="M593" s="116"/>
      <c r="N593" s="116"/>
      <c r="O593" s="116"/>
      <c r="P593" s="116"/>
      <c r="Q593" s="116"/>
      <c r="R593" s="116"/>
      <c r="S593" s="116"/>
      <c r="T593" s="116"/>
      <c r="U593" s="116"/>
      <c r="V593" s="116"/>
      <c r="W593" s="116"/>
      <c r="X593" s="116"/>
      <c r="Y593" s="116"/>
      <c r="Z593" s="116"/>
    </row>
    <row r="594" spans="1:26" ht="15">
      <c r="A594" s="116"/>
      <c r="B594" s="988"/>
      <c r="C594" s="116"/>
      <c r="D594" s="116"/>
      <c r="E594" s="116"/>
      <c r="F594" s="116"/>
      <c r="G594" s="116"/>
      <c r="H594" s="116"/>
      <c r="I594" s="116"/>
      <c r="J594" s="116"/>
      <c r="K594" s="116"/>
      <c r="L594" s="116"/>
      <c r="M594" s="116"/>
      <c r="N594" s="116"/>
      <c r="O594" s="116"/>
      <c r="P594" s="116"/>
      <c r="Q594" s="116"/>
      <c r="R594" s="116"/>
      <c r="S594" s="116"/>
      <c r="T594" s="116"/>
      <c r="U594" s="116"/>
      <c r="V594" s="116"/>
      <c r="W594" s="116"/>
      <c r="X594" s="116"/>
      <c r="Y594" s="116"/>
      <c r="Z594" s="116"/>
    </row>
    <row r="595" spans="1:26" ht="15">
      <c r="A595" s="116"/>
      <c r="B595" s="988"/>
      <c r="C595" s="116"/>
      <c r="D595" s="116"/>
      <c r="E595" s="116"/>
      <c r="F595" s="116"/>
      <c r="G595" s="116"/>
      <c r="H595" s="116"/>
      <c r="I595" s="116"/>
      <c r="J595" s="116"/>
      <c r="K595" s="116"/>
      <c r="L595" s="116"/>
      <c r="M595" s="116"/>
      <c r="N595" s="116"/>
      <c r="O595" s="116"/>
      <c r="P595" s="116"/>
      <c r="Q595" s="116"/>
      <c r="R595" s="116"/>
      <c r="S595" s="116"/>
      <c r="T595" s="116"/>
      <c r="U595" s="116"/>
      <c r="V595" s="116"/>
      <c r="W595" s="116"/>
      <c r="X595" s="116"/>
      <c r="Y595" s="116"/>
      <c r="Z595" s="116"/>
    </row>
    <row r="596" spans="1:26" ht="15">
      <c r="A596" s="116"/>
      <c r="B596" s="988"/>
      <c r="C596" s="116"/>
      <c r="D596" s="116"/>
      <c r="E596" s="116"/>
      <c r="F596" s="116"/>
      <c r="G596" s="116"/>
      <c r="H596" s="116"/>
      <c r="I596" s="116"/>
      <c r="J596" s="116"/>
      <c r="K596" s="116"/>
      <c r="L596" s="116"/>
      <c r="M596" s="116"/>
      <c r="N596" s="116"/>
      <c r="O596" s="116"/>
      <c r="P596" s="116"/>
      <c r="Q596" s="116"/>
      <c r="R596" s="116"/>
      <c r="S596" s="116"/>
      <c r="T596" s="116"/>
      <c r="U596" s="116"/>
      <c r="V596" s="116"/>
      <c r="W596" s="116"/>
      <c r="X596" s="116"/>
      <c r="Y596" s="116"/>
      <c r="Z596" s="116"/>
    </row>
    <row r="597" spans="1:26" ht="15">
      <c r="A597" s="116"/>
      <c r="B597" s="988"/>
      <c r="C597" s="116"/>
      <c r="D597" s="116"/>
      <c r="E597" s="116"/>
      <c r="F597" s="116"/>
      <c r="G597" s="116"/>
      <c r="H597" s="116"/>
      <c r="I597" s="116"/>
      <c r="J597" s="116"/>
      <c r="K597" s="116"/>
      <c r="L597" s="116"/>
      <c r="M597" s="116"/>
      <c r="N597" s="116"/>
      <c r="O597" s="116"/>
      <c r="P597" s="116"/>
      <c r="Q597" s="116"/>
      <c r="R597" s="116"/>
      <c r="S597" s="116"/>
      <c r="T597" s="116"/>
      <c r="U597" s="116"/>
      <c r="V597" s="116"/>
      <c r="W597" s="116"/>
      <c r="X597" s="116"/>
      <c r="Y597" s="116"/>
      <c r="Z597" s="116"/>
    </row>
    <row r="598" spans="1:26" ht="15">
      <c r="A598" s="116"/>
      <c r="B598" s="988"/>
      <c r="C598" s="116"/>
      <c r="D598" s="116"/>
      <c r="E598" s="116"/>
      <c r="F598" s="116"/>
      <c r="G598" s="116"/>
      <c r="H598" s="116"/>
      <c r="I598" s="116"/>
      <c r="J598" s="116"/>
      <c r="K598" s="116"/>
      <c r="L598" s="116"/>
      <c r="M598" s="116"/>
      <c r="N598" s="116"/>
      <c r="O598" s="116"/>
      <c r="P598" s="116"/>
      <c r="Q598" s="116"/>
      <c r="R598" s="116"/>
      <c r="S598" s="116"/>
      <c r="T598" s="116"/>
      <c r="U598" s="116"/>
      <c r="V598" s="116"/>
      <c r="W598" s="116"/>
      <c r="X598" s="116"/>
      <c r="Y598" s="116"/>
      <c r="Z598" s="116"/>
    </row>
    <row r="599" spans="1:26" ht="15">
      <c r="A599" s="116"/>
      <c r="B599" s="988"/>
      <c r="C599" s="116"/>
      <c r="D599" s="116"/>
      <c r="E599" s="116"/>
      <c r="F599" s="116"/>
      <c r="G599" s="116"/>
      <c r="H599" s="116"/>
      <c r="I599" s="116"/>
      <c r="J599" s="116"/>
      <c r="K599" s="116"/>
      <c r="L599" s="116"/>
      <c r="M599" s="116"/>
      <c r="N599" s="116"/>
      <c r="O599" s="116"/>
      <c r="P599" s="116"/>
      <c r="Q599" s="116"/>
      <c r="R599" s="116"/>
      <c r="S599" s="116"/>
      <c r="T599" s="116"/>
      <c r="U599" s="116"/>
      <c r="V599" s="116"/>
      <c r="W599" s="116"/>
      <c r="X599" s="116"/>
      <c r="Y599" s="116"/>
      <c r="Z599" s="116"/>
    </row>
    <row r="600" spans="1:26" ht="15">
      <c r="A600" s="116"/>
      <c r="B600" s="988"/>
      <c r="C600" s="116"/>
      <c r="D600" s="116"/>
      <c r="E600" s="116"/>
      <c r="F600" s="116"/>
      <c r="G600" s="116"/>
      <c r="H600" s="116"/>
      <c r="I600" s="116"/>
      <c r="J600" s="116"/>
      <c r="K600" s="116"/>
      <c r="L600" s="116"/>
      <c r="M600" s="116"/>
      <c r="N600" s="116"/>
      <c r="O600" s="116"/>
      <c r="P600" s="116"/>
      <c r="Q600" s="116"/>
      <c r="R600" s="116"/>
      <c r="S600" s="116"/>
      <c r="T600" s="116"/>
      <c r="U600" s="116"/>
      <c r="V600" s="116"/>
      <c r="W600" s="116"/>
      <c r="X600" s="116"/>
      <c r="Y600" s="116"/>
      <c r="Z600" s="116"/>
    </row>
    <row r="601" spans="1:26" ht="15">
      <c r="A601" s="116"/>
      <c r="B601" s="988"/>
      <c r="C601" s="116"/>
      <c r="D601" s="116"/>
      <c r="E601" s="116"/>
      <c r="F601" s="116"/>
      <c r="G601" s="116"/>
      <c r="H601" s="116"/>
      <c r="I601" s="116"/>
      <c r="J601" s="116"/>
      <c r="K601" s="116"/>
      <c r="L601" s="116"/>
      <c r="M601" s="116"/>
      <c r="N601" s="116"/>
      <c r="O601" s="116"/>
      <c r="P601" s="116"/>
      <c r="Q601" s="116"/>
      <c r="R601" s="116"/>
      <c r="S601" s="116"/>
      <c r="T601" s="116"/>
      <c r="U601" s="116"/>
      <c r="V601" s="116"/>
      <c r="W601" s="116"/>
      <c r="X601" s="116"/>
      <c r="Y601" s="116"/>
      <c r="Z601" s="116"/>
    </row>
    <row r="602" spans="1:26" ht="15">
      <c r="A602" s="116"/>
      <c r="B602" s="988"/>
      <c r="C602" s="116"/>
      <c r="D602" s="116"/>
      <c r="E602" s="116"/>
      <c r="F602" s="116"/>
      <c r="G602" s="116"/>
      <c r="H602" s="116"/>
      <c r="I602" s="116"/>
      <c r="J602" s="116"/>
      <c r="K602" s="116"/>
      <c r="L602" s="116"/>
      <c r="M602" s="116"/>
      <c r="N602" s="116"/>
      <c r="O602" s="116"/>
      <c r="P602" s="116"/>
      <c r="Q602" s="116"/>
      <c r="R602" s="116"/>
      <c r="S602" s="116"/>
      <c r="T602" s="116"/>
      <c r="U602" s="116"/>
      <c r="V602" s="116"/>
      <c r="W602" s="116"/>
      <c r="X602" s="116"/>
      <c r="Y602" s="116"/>
      <c r="Z602" s="116"/>
    </row>
    <row r="603" spans="1:26" ht="15">
      <c r="A603" s="116"/>
      <c r="B603" s="988"/>
      <c r="C603" s="116"/>
      <c r="D603" s="116"/>
      <c r="E603" s="116"/>
      <c r="F603" s="116"/>
      <c r="G603" s="116"/>
      <c r="H603" s="116"/>
      <c r="I603" s="116"/>
      <c r="J603" s="116"/>
      <c r="K603" s="116"/>
      <c r="L603" s="116"/>
      <c r="M603" s="116"/>
      <c r="N603" s="116"/>
      <c r="O603" s="116"/>
      <c r="P603" s="116"/>
      <c r="Q603" s="116"/>
      <c r="R603" s="116"/>
      <c r="S603" s="116"/>
      <c r="T603" s="116"/>
      <c r="U603" s="116"/>
      <c r="V603" s="116"/>
      <c r="W603" s="116"/>
      <c r="X603" s="116"/>
      <c r="Y603" s="116"/>
      <c r="Z603" s="116"/>
    </row>
    <row r="604" spans="1:26" ht="15">
      <c r="A604" s="116"/>
      <c r="B604" s="988"/>
      <c r="C604" s="116"/>
      <c r="D604" s="116"/>
      <c r="E604" s="116"/>
      <c r="F604" s="116"/>
      <c r="G604" s="116"/>
      <c r="H604" s="116"/>
      <c r="I604" s="116"/>
      <c r="J604" s="116"/>
      <c r="K604" s="116"/>
      <c r="L604" s="116"/>
      <c r="M604" s="116"/>
      <c r="N604" s="116"/>
      <c r="O604" s="116"/>
      <c r="P604" s="116"/>
      <c r="Q604" s="116"/>
      <c r="R604" s="116"/>
      <c r="S604" s="116"/>
      <c r="T604" s="116"/>
      <c r="U604" s="116"/>
      <c r="V604" s="116"/>
      <c r="W604" s="116"/>
      <c r="X604" s="116"/>
      <c r="Y604" s="116"/>
      <c r="Z604" s="116"/>
    </row>
    <row r="605" spans="1:26" ht="15">
      <c r="A605" s="116"/>
      <c r="B605" s="988"/>
      <c r="C605" s="116"/>
      <c r="D605" s="116"/>
      <c r="E605" s="116"/>
      <c r="F605" s="116"/>
      <c r="G605" s="116"/>
      <c r="H605" s="116"/>
      <c r="I605" s="116"/>
      <c r="J605" s="116"/>
      <c r="K605" s="116"/>
      <c r="L605" s="116"/>
      <c r="M605" s="116"/>
      <c r="N605" s="116"/>
      <c r="O605" s="116"/>
      <c r="P605" s="116"/>
      <c r="Q605" s="116"/>
      <c r="R605" s="116"/>
      <c r="S605" s="116"/>
      <c r="T605" s="116"/>
      <c r="U605" s="116"/>
      <c r="V605" s="116"/>
      <c r="W605" s="116"/>
      <c r="X605" s="116"/>
      <c r="Y605" s="116"/>
      <c r="Z605" s="116"/>
    </row>
    <row r="606" spans="1:26" ht="15">
      <c r="A606" s="116"/>
      <c r="B606" s="988"/>
      <c r="C606" s="116"/>
      <c r="D606" s="116"/>
      <c r="E606" s="116"/>
      <c r="F606" s="116"/>
      <c r="G606" s="116"/>
      <c r="H606" s="116"/>
      <c r="I606" s="116"/>
      <c r="J606" s="116"/>
      <c r="K606" s="116"/>
      <c r="L606" s="116"/>
      <c r="M606" s="116"/>
      <c r="N606" s="116"/>
      <c r="O606" s="116"/>
      <c r="P606" s="116"/>
      <c r="Q606" s="116"/>
      <c r="R606" s="116"/>
      <c r="S606" s="116"/>
      <c r="T606" s="116"/>
      <c r="U606" s="116"/>
      <c r="V606" s="116"/>
      <c r="W606" s="116"/>
      <c r="X606" s="116"/>
      <c r="Y606" s="116"/>
      <c r="Z606" s="116"/>
    </row>
    <row r="607" spans="1:26" ht="15">
      <c r="A607" s="116"/>
      <c r="B607" s="988"/>
      <c r="C607" s="116"/>
      <c r="D607" s="116"/>
      <c r="E607" s="116"/>
      <c r="F607" s="116"/>
      <c r="G607" s="116"/>
      <c r="H607" s="116"/>
      <c r="I607" s="116"/>
      <c r="J607" s="116"/>
      <c r="K607" s="116"/>
      <c r="L607" s="116"/>
      <c r="M607" s="116"/>
      <c r="N607" s="116"/>
      <c r="O607" s="116"/>
      <c r="P607" s="116"/>
      <c r="Q607" s="116"/>
      <c r="R607" s="116"/>
      <c r="S607" s="116"/>
      <c r="T607" s="116"/>
      <c r="U607" s="116"/>
      <c r="V607" s="116"/>
      <c r="W607" s="116"/>
      <c r="X607" s="116"/>
      <c r="Y607" s="116"/>
      <c r="Z607" s="116"/>
    </row>
    <row r="608" spans="1:26" ht="15">
      <c r="A608" s="116"/>
      <c r="B608" s="988"/>
      <c r="C608" s="116"/>
      <c r="D608" s="116"/>
      <c r="E608" s="116"/>
      <c r="F608" s="116"/>
      <c r="G608" s="116"/>
      <c r="H608" s="116"/>
      <c r="I608" s="116"/>
      <c r="J608" s="116"/>
      <c r="K608" s="116"/>
      <c r="L608" s="116"/>
      <c r="M608" s="116"/>
      <c r="N608" s="116"/>
      <c r="O608" s="116"/>
      <c r="P608" s="116"/>
      <c r="Q608" s="116"/>
      <c r="R608" s="116"/>
      <c r="S608" s="116"/>
      <c r="T608" s="116"/>
      <c r="U608" s="116"/>
      <c r="V608" s="116"/>
      <c r="W608" s="116"/>
      <c r="X608" s="116"/>
      <c r="Y608" s="116"/>
      <c r="Z608" s="116"/>
    </row>
    <row r="609" spans="1:26" ht="15">
      <c r="A609" s="116"/>
      <c r="B609" s="988"/>
      <c r="C609" s="116"/>
      <c r="D609" s="116"/>
      <c r="E609" s="116"/>
      <c r="F609" s="116"/>
      <c r="G609" s="116"/>
      <c r="H609" s="116"/>
      <c r="I609" s="116"/>
      <c r="J609" s="116"/>
      <c r="K609" s="116"/>
      <c r="L609" s="116"/>
      <c r="M609" s="116"/>
      <c r="N609" s="116"/>
      <c r="O609" s="116"/>
      <c r="P609" s="116"/>
      <c r="Q609" s="116"/>
      <c r="R609" s="116"/>
      <c r="S609" s="116"/>
      <c r="T609" s="116"/>
      <c r="U609" s="116"/>
      <c r="V609" s="116"/>
      <c r="W609" s="116"/>
      <c r="X609" s="116"/>
      <c r="Y609" s="116"/>
      <c r="Z609" s="116"/>
    </row>
    <row r="610" spans="1:26" ht="15">
      <c r="A610" s="116"/>
      <c r="B610" s="988"/>
      <c r="C610" s="116"/>
      <c r="D610" s="116"/>
      <c r="E610" s="116"/>
      <c r="F610" s="116"/>
      <c r="G610" s="116"/>
      <c r="H610" s="116"/>
      <c r="I610" s="116"/>
      <c r="J610" s="116"/>
      <c r="K610" s="116"/>
      <c r="L610" s="116"/>
      <c r="M610" s="116"/>
      <c r="N610" s="116"/>
      <c r="O610" s="116"/>
      <c r="P610" s="116"/>
      <c r="Q610" s="116"/>
      <c r="R610" s="116"/>
      <c r="S610" s="116"/>
      <c r="T610" s="116"/>
      <c r="U610" s="116"/>
      <c r="V610" s="116"/>
      <c r="W610" s="116"/>
      <c r="X610" s="116"/>
      <c r="Y610" s="116"/>
      <c r="Z610" s="116"/>
    </row>
    <row r="611" spans="1:26" ht="15">
      <c r="A611" s="116"/>
      <c r="B611" s="988"/>
      <c r="C611" s="116"/>
      <c r="D611" s="116"/>
      <c r="E611" s="116"/>
      <c r="F611" s="116"/>
      <c r="G611" s="116"/>
      <c r="H611" s="116"/>
      <c r="I611" s="116"/>
      <c r="J611" s="116"/>
      <c r="K611" s="116"/>
      <c r="L611" s="116"/>
      <c r="M611" s="116"/>
      <c r="N611" s="116"/>
      <c r="O611" s="116"/>
      <c r="P611" s="116"/>
      <c r="Q611" s="116"/>
      <c r="R611" s="116"/>
      <c r="S611" s="116"/>
      <c r="T611" s="116"/>
      <c r="U611" s="116"/>
      <c r="V611" s="116"/>
      <c r="W611" s="116"/>
      <c r="X611" s="116"/>
      <c r="Y611" s="116"/>
      <c r="Z611" s="116"/>
    </row>
    <row r="612" spans="1:26" ht="15">
      <c r="A612" s="116"/>
      <c r="B612" s="988"/>
      <c r="C612" s="116"/>
      <c r="D612" s="116"/>
      <c r="E612" s="116"/>
      <c r="F612" s="116"/>
      <c r="G612" s="116"/>
      <c r="H612" s="116"/>
      <c r="I612" s="116"/>
      <c r="J612" s="116"/>
      <c r="K612" s="116"/>
      <c r="L612" s="116"/>
      <c r="M612" s="116"/>
      <c r="N612" s="116"/>
      <c r="O612" s="116"/>
      <c r="P612" s="116"/>
      <c r="Q612" s="116"/>
      <c r="R612" s="116"/>
      <c r="S612" s="116"/>
      <c r="T612" s="116"/>
      <c r="U612" s="116"/>
      <c r="V612" s="116"/>
      <c r="W612" s="116"/>
      <c r="X612" s="116"/>
      <c r="Y612" s="116"/>
      <c r="Z612" s="116"/>
    </row>
    <row r="613" spans="1:26" ht="15">
      <c r="A613" s="116"/>
      <c r="B613" s="988"/>
      <c r="C613" s="116"/>
      <c r="D613" s="116"/>
      <c r="E613" s="116"/>
      <c r="F613" s="116"/>
      <c r="G613" s="116"/>
      <c r="H613" s="116"/>
      <c r="I613" s="116"/>
      <c r="J613" s="116"/>
      <c r="K613" s="116"/>
      <c r="L613" s="116"/>
      <c r="M613" s="116"/>
      <c r="N613" s="116"/>
      <c r="O613" s="116"/>
      <c r="P613" s="116"/>
      <c r="Q613" s="116"/>
      <c r="R613" s="116"/>
      <c r="S613" s="116"/>
      <c r="T613" s="116"/>
      <c r="U613" s="116"/>
      <c r="V613" s="116"/>
      <c r="W613" s="116"/>
      <c r="X613" s="116"/>
      <c r="Y613" s="116"/>
      <c r="Z613" s="116"/>
    </row>
    <row r="614" spans="1:26" ht="15">
      <c r="A614" s="116"/>
      <c r="B614" s="988"/>
      <c r="C614" s="116"/>
      <c r="D614" s="116"/>
      <c r="E614" s="116"/>
      <c r="F614" s="116"/>
      <c r="G614" s="116"/>
      <c r="H614" s="116"/>
      <c r="I614" s="116"/>
      <c r="J614" s="116"/>
      <c r="K614" s="116"/>
      <c r="L614" s="116"/>
      <c r="M614" s="116"/>
      <c r="N614" s="116"/>
      <c r="O614" s="116"/>
      <c r="P614" s="116"/>
      <c r="Q614" s="116"/>
      <c r="R614" s="116"/>
      <c r="S614" s="116"/>
      <c r="T614" s="116"/>
      <c r="U614" s="116"/>
      <c r="V614" s="116"/>
      <c r="W614" s="116"/>
      <c r="X614" s="116"/>
      <c r="Y614" s="116"/>
      <c r="Z614" s="116"/>
    </row>
    <row r="615" spans="1:26" ht="15">
      <c r="A615" s="116"/>
      <c r="B615" s="988"/>
      <c r="C615" s="116"/>
      <c r="D615" s="116"/>
      <c r="E615" s="116"/>
      <c r="F615" s="116"/>
      <c r="G615" s="116"/>
      <c r="H615" s="116"/>
      <c r="I615" s="116"/>
      <c r="J615" s="116"/>
      <c r="K615" s="116"/>
      <c r="L615" s="116"/>
      <c r="M615" s="116"/>
      <c r="N615" s="116"/>
      <c r="O615" s="116"/>
      <c r="P615" s="116"/>
      <c r="Q615" s="116"/>
      <c r="R615" s="116"/>
      <c r="S615" s="116"/>
      <c r="T615" s="116"/>
      <c r="U615" s="116"/>
      <c r="V615" s="116"/>
      <c r="W615" s="116"/>
      <c r="X615" s="116"/>
      <c r="Y615" s="116"/>
      <c r="Z615" s="116"/>
    </row>
    <row r="616" spans="1:26" ht="15">
      <c r="A616" s="116"/>
      <c r="B616" s="988"/>
      <c r="C616" s="116"/>
      <c r="D616" s="116"/>
      <c r="E616" s="116"/>
      <c r="F616" s="116"/>
      <c r="G616" s="116"/>
      <c r="H616" s="116"/>
      <c r="I616" s="116"/>
      <c r="J616" s="116"/>
      <c r="K616" s="116"/>
      <c r="L616" s="116"/>
      <c r="M616" s="116"/>
      <c r="N616" s="116"/>
      <c r="O616" s="116"/>
      <c r="P616" s="116"/>
      <c r="Q616" s="116"/>
      <c r="R616" s="116"/>
      <c r="S616" s="116"/>
      <c r="T616" s="116"/>
      <c r="U616" s="116"/>
      <c r="V616" s="116"/>
      <c r="W616" s="116"/>
      <c r="X616" s="116"/>
      <c r="Y616" s="116"/>
      <c r="Z616" s="116"/>
    </row>
    <row r="617" spans="1:26" ht="15">
      <c r="A617" s="116"/>
      <c r="B617" s="988"/>
      <c r="C617" s="116"/>
      <c r="D617" s="116"/>
      <c r="E617" s="116"/>
      <c r="F617" s="116"/>
      <c r="G617" s="116"/>
      <c r="H617" s="116"/>
      <c r="I617" s="116"/>
      <c r="J617" s="116"/>
      <c r="K617" s="116"/>
      <c r="L617" s="116"/>
      <c r="M617" s="116"/>
      <c r="N617" s="116"/>
      <c r="O617" s="116"/>
      <c r="P617" s="116"/>
      <c r="Q617" s="116"/>
      <c r="R617" s="116"/>
      <c r="S617" s="116"/>
      <c r="T617" s="116"/>
      <c r="U617" s="116"/>
      <c r="V617" s="116"/>
      <c r="W617" s="116"/>
      <c r="X617" s="116"/>
      <c r="Y617" s="116"/>
      <c r="Z617" s="116"/>
    </row>
    <row r="618" spans="1:26" ht="15">
      <c r="A618" s="116"/>
      <c r="B618" s="988"/>
      <c r="C618" s="116"/>
      <c r="D618" s="116"/>
      <c r="E618" s="116"/>
      <c r="F618" s="116"/>
      <c r="G618" s="116"/>
      <c r="H618" s="116"/>
      <c r="I618" s="116"/>
      <c r="J618" s="116"/>
      <c r="K618" s="116"/>
      <c r="L618" s="116"/>
      <c r="M618" s="116"/>
      <c r="N618" s="116"/>
      <c r="O618" s="116"/>
      <c r="P618" s="116"/>
      <c r="Q618" s="116"/>
      <c r="R618" s="116"/>
      <c r="S618" s="116"/>
      <c r="T618" s="116"/>
      <c r="U618" s="116"/>
      <c r="V618" s="116"/>
      <c r="W618" s="116"/>
      <c r="X618" s="116"/>
      <c r="Y618" s="116"/>
      <c r="Z618" s="116"/>
    </row>
    <row r="619" spans="1:26" ht="15">
      <c r="A619" s="116"/>
      <c r="B619" s="988"/>
      <c r="C619" s="116"/>
      <c r="D619" s="116"/>
      <c r="E619" s="116"/>
      <c r="F619" s="116"/>
      <c r="G619" s="116"/>
      <c r="H619" s="116"/>
      <c r="I619" s="116"/>
      <c r="J619" s="116"/>
      <c r="K619" s="116"/>
      <c r="L619" s="116"/>
      <c r="M619" s="116"/>
      <c r="N619" s="116"/>
      <c r="O619" s="116"/>
      <c r="P619" s="116"/>
      <c r="Q619" s="116"/>
      <c r="R619" s="116"/>
      <c r="S619" s="116"/>
      <c r="T619" s="116"/>
      <c r="U619" s="116"/>
      <c r="V619" s="116"/>
      <c r="W619" s="116"/>
      <c r="X619" s="116"/>
      <c r="Y619" s="116"/>
      <c r="Z619" s="116"/>
    </row>
    <row r="620" spans="1:26" ht="15">
      <c r="A620" s="116"/>
      <c r="B620" s="988"/>
      <c r="C620" s="116"/>
      <c r="D620" s="116"/>
      <c r="E620" s="116"/>
      <c r="F620" s="116"/>
      <c r="G620" s="116"/>
      <c r="H620" s="116"/>
      <c r="I620" s="116"/>
      <c r="J620" s="116"/>
      <c r="K620" s="116"/>
      <c r="L620" s="116"/>
      <c r="M620" s="116"/>
      <c r="N620" s="116"/>
      <c r="O620" s="116"/>
      <c r="P620" s="116"/>
      <c r="Q620" s="116"/>
      <c r="R620" s="116"/>
      <c r="S620" s="116"/>
      <c r="T620" s="116"/>
      <c r="U620" s="116"/>
      <c r="V620" s="116"/>
      <c r="W620" s="116"/>
      <c r="X620" s="116"/>
      <c r="Y620" s="116"/>
      <c r="Z620" s="116"/>
    </row>
    <row r="621" spans="1:26" ht="15">
      <c r="A621" s="116"/>
      <c r="B621" s="988"/>
      <c r="C621" s="116"/>
      <c r="D621" s="116"/>
      <c r="E621" s="116"/>
      <c r="F621" s="116"/>
      <c r="G621" s="116"/>
      <c r="H621" s="116"/>
      <c r="I621" s="116"/>
      <c r="J621" s="116"/>
      <c r="K621" s="116"/>
      <c r="L621" s="116"/>
      <c r="M621" s="116"/>
      <c r="N621" s="116"/>
      <c r="O621" s="116"/>
      <c r="P621" s="116"/>
      <c r="Q621" s="116"/>
      <c r="R621" s="116"/>
      <c r="S621" s="116"/>
      <c r="T621" s="116"/>
      <c r="U621" s="116"/>
      <c r="V621" s="116"/>
      <c r="W621" s="116"/>
      <c r="X621" s="116"/>
      <c r="Y621" s="116"/>
      <c r="Z621" s="116"/>
    </row>
    <row r="622" spans="1:26" ht="15">
      <c r="A622" s="116"/>
      <c r="B622" s="988"/>
      <c r="C622" s="116"/>
      <c r="D622" s="116"/>
      <c r="E622" s="116"/>
      <c r="F622" s="116"/>
      <c r="G622" s="116"/>
      <c r="H622" s="116"/>
      <c r="I622" s="116"/>
      <c r="J622" s="116"/>
      <c r="K622" s="116"/>
      <c r="L622" s="116"/>
      <c r="M622" s="116"/>
      <c r="N622" s="116"/>
      <c r="O622" s="116"/>
      <c r="P622" s="116"/>
      <c r="Q622" s="116"/>
      <c r="R622" s="116"/>
      <c r="S622" s="116"/>
      <c r="T622" s="116"/>
      <c r="U622" s="116"/>
      <c r="V622" s="116"/>
      <c r="W622" s="116"/>
      <c r="X622" s="116"/>
      <c r="Y622" s="116"/>
      <c r="Z622" s="116"/>
    </row>
    <row r="623" spans="1:26" ht="15">
      <c r="A623" s="116"/>
      <c r="B623" s="988"/>
      <c r="C623" s="116"/>
      <c r="D623" s="116"/>
      <c r="E623" s="116"/>
      <c r="F623" s="116"/>
      <c r="G623" s="116"/>
      <c r="H623" s="116"/>
      <c r="I623" s="116"/>
      <c r="J623" s="116"/>
      <c r="K623" s="116"/>
      <c r="L623" s="116"/>
      <c r="M623" s="116"/>
      <c r="N623" s="116"/>
      <c r="O623" s="116"/>
      <c r="P623" s="116"/>
      <c r="Q623" s="116"/>
      <c r="R623" s="116"/>
      <c r="S623" s="116"/>
      <c r="T623" s="116"/>
      <c r="U623" s="116"/>
      <c r="V623" s="116"/>
      <c r="W623" s="116"/>
      <c r="X623" s="116"/>
      <c r="Y623" s="116"/>
      <c r="Z623" s="116"/>
    </row>
    <row r="624" spans="1:26" ht="15">
      <c r="A624" s="116"/>
      <c r="B624" s="988"/>
      <c r="C624" s="116"/>
      <c r="D624" s="116"/>
      <c r="E624" s="116"/>
      <c r="F624" s="116"/>
      <c r="G624" s="116"/>
      <c r="H624" s="116"/>
      <c r="I624" s="116"/>
      <c r="J624" s="116"/>
      <c r="K624" s="116"/>
      <c r="L624" s="116"/>
      <c r="M624" s="116"/>
      <c r="N624" s="116"/>
      <c r="O624" s="116"/>
      <c r="P624" s="116"/>
      <c r="Q624" s="116"/>
      <c r="R624" s="116"/>
      <c r="S624" s="116"/>
      <c r="T624" s="116"/>
      <c r="U624" s="116"/>
      <c r="V624" s="116"/>
      <c r="W624" s="116"/>
      <c r="X624" s="116"/>
      <c r="Y624" s="116"/>
      <c r="Z624" s="116"/>
    </row>
    <row r="625" spans="1:26" ht="15">
      <c r="A625" s="116"/>
      <c r="B625" s="988"/>
      <c r="C625" s="116"/>
      <c r="D625" s="116"/>
      <c r="E625" s="116"/>
      <c r="F625" s="116"/>
      <c r="G625" s="116"/>
      <c r="H625" s="116"/>
      <c r="I625" s="116"/>
      <c r="J625" s="116"/>
      <c r="K625" s="116"/>
      <c r="L625" s="116"/>
      <c r="M625" s="116"/>
      <c r="N625" s="116"/>
      <c r="O625" s="116"/>
      <c r="P625" s="116"/>
      <c r="Q625" s="116"/>
      <c r="R625" s="116"/>
      <c r="S625" s="116"/>
      <c r="T625" s="116"/>
      <c r="U625" s="116"/>
      <c r="V625" s="116"/>
      <c r="W625" s="116"/>
      <c r="X625" s="116"/>
      <c r="Y625" s="116"/>
      <c r="Z625" s="116"/>
    </row>
    <row r="626" spans="1:26" ht="15">
      <c r="A626" s="116"/>
      <c r="B626" s="988"/>
      <c r="C626" s="116"/>
      <c r="D626" s="116"/>
      <c r="E626" s="116"/>
      <c r="F626" s="116"/>
      <c r="G626" s="116"/>
      <c r="H626" s="116"/>
      <c r="I626" s="116"/>
      <c r="J626" s="116"/>
      <c r="K626" s="116"/>
      <c r="L626" s="116"/>
      <c r="M626" s="116"/>
      <c r="N626" s="116"/>
      <c r="O626" s="116"/>
      <c r="P626" s="116"/>
      <c r="Q626" s="116"/>
      <c r="R626" s="116"/>
      <c r="S626" s="116"/>
      <c r="T626" s="116"/>
      <c r="U626" s="116"/>
      <c r="V626" s="116"/>
      <c r="W626" s="116"/>
      <c r="X626" s="116"/>
      <c r="Y626" s="116"/>
      <c r="Z626" s="116"/>
    </row>
    <row r="627" spans="1:26" ht="15">
      <c r="A627" s="116"/>
      <c r="B627" s="988"/>
      <c r="C627" s="116"/>
      <c r="D627" s="116"/>
      <c r="E627" s="116"/>
      <c r="F627" s="116"/>
      <c r="G627" s="116"/>
      <c r="H627" s="116"/>
      <c r="I627" s="116"/>
      <c r="J627" s="116"/>
      <c r="K627" s="116"/>
      <c r="L627" s="116"/>
      <c r="M627" s="116"/>
      <c r="N627" s="116"/>
      <c r="O627" s="116"/>
      <c r="P627" s="116"/>
      <c r="Q627" s="116"/>
      <c r="R627" s="116"/>
      <c r="S627" s="116"/>
      <c r="T627" s="116"/>
      <c r="U627" s="116"/>
      <c r="V627" s="116"/>
      <c r="W627" s="116"/>
      <c r="X627" s="116"/>
      <c r="Y627" s="116"/>
      <c r="Z627" s="116"/>
    </row>
    <row r="628" spans="1:26" ht="15">
      <c r="A628" s="116"/>
      <c r="B628" s="988"/>
      <c r="C628" s="116"/>
      <c r="D628" s="116"/>
      <c r="E628" s="116"/>
      <c r="F628" s="116"/>
      <c r="G628" s="116"/>
      <c r="H628" s="116"/>
      <c r="I628" s="116"/>
      <c r="J628" s="116"/>
      <c r="K628" s="116"/>
      <c r="L628" s="116"/>
      <c r="M628" s="116"/>
      <c r="N628" s="116"/>
      <c r="O628" s="116"/>
      <c r="P628" s="116"/>
      <c r="Q628" s="116"/>
      <c r="R628" s="116"/>
      <c r="S628" s="116"/>
      <c r="T628" s="116"/>
      <c r="U628" s="116"/>
      <c r="V628" s="116"/>
      <c r="W628" s="116"/>
      <c r="X628" s="116"/>
      <c r="Y628" s="116"/>
      <c r="Z628" s="116"/>
    </row>
    <row r="629" spans="1:26" ht="15">
      <c r="A629" s="116"/>
      <c r="B629" s="988"/>
      <c r="C629" s="116"/>
      <c r="D629" s="116"/>
      <c r="E629" s="116"/>
      <c r="F629" s="116"/>
      <c r="G629" s="116"/>
      <c r="H629" s="116"/>
      <c r="I629" s="116"/>
      <c r="J629" s="116"/>
      <c r="K629" s="116"/>
      <c r="L629" s="116"/>
      <c r="M629" s="116"/>
      <c r="N629" s="116"/>
      <c r="O629" s="116"/>
      <c r="P629" s="116"/>
      <c r="Q629" s="116"/>
      <c r="R629" s="116"/>
      <c r="S629" s="116"/>
      <c r="T629" s="116"/>
      <c r="U629" s="116"/>
      <c r="V629" s="116"/>
      <c r="W629" s="116"/>
      <c r="X629" s="116"/>
      <c r="Y629" s="116"/>
      <c r="Z629" s="116"/>
    </row>
    <row r="630" spans="1:26" ht="15">
      <c r="A630" s="116"/>
      <c r="B630" s="988"/>
      <c r="C630" s="116"/>
      <c r="D630" s="116"/>
      <c r="E630" s="116"/>
      <c r="F630" s="116"/>
      <c r="G630" s="116"/>
      <c r="H630" s="116"/>
      <c r="I630" s="116"/>
      <c r="J630" s="116"/>
      <c r="K630" s="116"/>
      <c r="L630" s="116"/>
      <c r="M630" s="116"/>
      <c r="N630" s="116"/>
      <c r="O630" s="116"/>
      <c r="P630" s="116"/>
      <c r="Q630" s="116"/>
      <c r="R630" s="116"/>
      <c r="S630" s="116"/>
      <c r="T630" s="116"/>
      <c r="U630" s="116"/>
      <c r="V630" s="116"/>
      <c r="W630" s="116"/>
      <c r="X630" s="116"/>
      <c r="Y630" s="116"/>
      <c r="Z630" s="116"/>
    </row>
    <row r="631" spans="1:26" ht="15">
      <c r="A631" s="116"/>
      <c r="B631" s="988"/>
      <c r="C631" s="116"/>
      <c r="D631" s="116"/>
      <c r="E631" s="116"/>
      <c r="F631" s="116"/>
      <c r="G631" s="116"/>
      <c r="H631" s="116"/>
      <c r="I631" s="116"/>
      <c r="J631" s="116"/>
      <c r="K631" s="116"/>
      <c r="L631" s="116"/>
      <c r="M631" s="116"/>
      <c r="N631" s="116"/>
      <c r="O631" s="116"/>
      <c r="P631" s="116"/>
      <c r="Q631" s="116"/>
      <c r="R631" s="116"/>
      <c r="S631" s="116"/>
      <c r="T631" s="116"/>
      <c r="U631" s="116"/>
      <c r="V631" s="116"/>
      <c r="W631" s="116"/>
      <c r="X631" s="116"/>
      <c r="Y631" s="116"/>
      <c r="Z631" s="116"/>
    </row>
    <row r="632" spans="1:26" ht="15">
      <c r="A632" s="116"/>
      <c r="B632" s="988"/>
      <c r="C632" s="116"/>
      <c r="D632" s="116"/>
      <c r="E632" s="116"/>
      <c r="F632" s="116"/>
      <c r="G632" s="116"/>
      <c r="H632" s="116"/>
      <c r="I632" s="116"/>
      <c r="J632" s="116"/>
      <c r="K632" s="116"/>
      <c r="L632" s="116"/>
      <c r="M632" s="116"/>
      <c r="N632" s="116"/>
      <c r="O632" s="116"/>
      <c r="P632" s="116"/>
      <c r="Q632" s="116"/>
      <c r="R632" s="116"/>
      <c r="S632" s="116"/>
      <c r="T632" s="116"/>
      <c r="U632" s="116"/>
      <c r="V632" s="116"/>
      <c r="W632" s="116"/>
      <c r="X632" s="116"/>
      <c r="Y632" s="116"/>
      <c r="Z632" s="116"/>
    </row>
    <row r="633" spans="1:26" ht="15">
      <c r="A633" s="116"/>
      <c r="B633" s="988"/>
      <c r="C633" s="116"/>
      <c r="D633" s="116"/>
      <c r="E633" s="116"/>
      <c r="F633" s="116"/>
      <c r="G633" s="116"/>
      <c r="H633" s="116"/>
      <c r="I633" s="116"/>
      <c r="J633" s="116"/>
      <c r="K633" s="116"/>
      <c r="L633" s="116"/>
      <c r="M633" s="116"/>
      <c r="N633" s="116"/>
      <c r="O633" s="116"/>
      <c r="P633" s="116"/>
      <c r="Q633" s="116"/>
      <c r="R633" s="116"/>
      <c r="S633" s="116"/>
      <c r="T633" s="116"/>
      <c r="U633" s="116"/>
      <c r="V633" s="116"/>
      <c r="W633" s="116"/>
      <c r="X633" s="116"/>
      <c r="Y633" s="116"/>
      <c r="Z633" s="116"/>
    </row>
    <row r="634" spans="1:26" ht="15">
      <c r="A634" s="116"/>
      <c r="B634" s="988"/>
      <c r="C634" s="116"/>
      <c r="D634" s="116"/>
      <c r="E634" s="116"/>
      <c r="F634" s="116"/>
      <c r="G634" s="116"/>
      <c r="H634" s="116"/>
      <c r="I634" s="116"/>
      <c r="J634" s="116"/>
      <c r="K634" s="116"/>
      <c r="L634" s="116"/>
      <c r="M634" s="116"/>
      <c r="N634" s="116"/>
      <c r="O634" s="116"/>
      <c r="P634" s="116"/>
      <c r="Q634" s="116"/>
      <c r="R634" s="116"/>
      <c r="S634" s="116"/>
      <c r="T634" s="116"/>
      <c r="U634" s="116"/>
      <c r="V634" s="116"/>
      <c r="W634" s="116"/>
      <c r="X634" s="116"/>
      <c r="Y634" s="116"/>
      <c r="Z634" s="116"/>
    </row>
    <row r="635" spans="1:26" ht="15">
      <c r="A635" s="116"/>
      <c r="B635" s="988"/>
      <c r="C635" s="116"/>
      <c r="D635" s="116"/>
      <c r="E635" s="116"/>
      <c r="F635" s="116"/>
      <c r="G635" s="116"/>
      <c r="H635" s="116"/>
      <c r="I635" s="116"/>
      <c r="J635" s="116"/>
      <c r="K635" s="116"/>
      <c r="L635" s="116"/>
      <c r="M635" s="116"/>
      <c r="N635" s="116"/>
      <c r="O635" s="116"/>
      <c r="P635" s="116"/>
      <c r="Q635" s="116"/>
      <c r="R635" s="116"/>
      <c r="S635" s="116"/>
      <c r="T635" s="116"/>
      <c r="U635" s="116"/>
      <c r="V635" s="116"/>
      <c r="W635" s="116"/>
      <c r="X635" s="116"/>
      <c r="Y635" s="116"/>
      <c r="Z635" s="116"/>
    </row>
    <row r="636" spans="1:26" ht="15">
      <c r="A636" s="116"/>
      <c r="B636" s="988"/>
      <c r="C636" s="116"/>
      <c r="D636" s="116"/>
      <c r="E636" s="116"/>
      <c r="F636" s="116"/>
      <c r="G636" s="116"/>
      <c r="H636" s="116"/>
      <c r="I636" s="116"/>
      <c r="J636" s="116"/>
      <c r="K636" s="116"/>
      <c r="L636" s="116"/>
      <c r="M636" s="116"/>
      <c r="N636" s="116"/>
      <c r="O636" s="116"/>
      <c r="P636" s="116"/>
      <c r="Q636" s="116"/>
      <c r="R636" s="116"/>
      <c r="S636" s="116"/>
      <c r="T636" s="116"/>
      <c r="U636" s="116"/>
      <c r="V636" s="116"/>
      <c r="W636" s="116"/>
      <c r="X636" s="116"/>
      <c r="Y636" s="116"/>
      <c r="Z636" s="116"/>
    </row>
    <row r="637" spans="1:26" ht="15">
      <c r="A637" s="116"/>
      <c r="B637" s="988"/>
      <c r="C637" s="116"/>
      <c r="D637" s="116"/>
      <c r="E637" s="116"/>
      <c r="F637" s="116"/>
      <c r="G637" s="116"/>
      <c r="H637" s="116"/>
      <c r="I637" s="116"/>
      <c r="J637" s="116"/>
      <c r="K637" s="116"/>
      <c r="L637" s="116"/>
      <c r="M637" s="116"/>
      <c r="N637" s="116"/>
      <c r="O637" s="116"/>
      <c r="P637" s="116"/>
      <c r="Q637" s="116"/>
      <c r="R637" s="116"/>
      <c r="S637" s="116"/>
      <c r="T637" s="116"/>
      <c r="U637" s="116"/>
      <c r="V637" s="116"/>
      <c r="W637" s="116"/>
      <c r="X637" s="116"/>
      <c r="Y637" s="116"/>
      <c r="Z637" s="116"/>
    </row>
    <row r="638" spans="1:26" ht="15">
      <c r="A638" s="116"/>
      <c r="B638" s="988"/>
      <c r="C638" s="116"/>
      <c r="D638" s="116"/>
      <c r="E638" s="116"/>
      <c r="F638" s="116"/>
      <c r="G638" s="116"/>
      <c r="H638" s="116"/>
      <c r="I638" s="116"/>
      <c r="J638" s="116"/>
      <c r="K638" s="116"/>
      <c r="L638" s="116"/>
      <c r="M638" s="116"/>
      <c r="N638" s="116"/>
      <c r="O638" s="116"/>
      <c r="P638" s="116"/>
      <c r="Q638" s="116"/>
      <c r="R638" s="116"/>
      <c r="S638" s="116"/>
      <c r="T638" s="116"/>
      <c r="U638" s="116"/>
      <c r="V638" s="116"/>
      <c r="W638" s="116"/>
      <c r="X638" s="116"/>
      <c r="Y638" s="116"/>
      <c r="Z638" s="116"/>
    </row>
    <row r="639" spans="1:26" ht="15">
      <c r="A639" s="116"/>
      <c r="B639" s="988"/>
      <c r="C639" s="116"/>
      <c r="D639" s="116"/>
      <c r="E639" s="116"/>
      <c r="F639" s="116"/>
      <c r="G639" s="116"/>
      <c r="H639" s="116"/>
      <c r="I639" s="116"/>
      <c r="J639" s="116"/>
      <c r="K639" s="116"/>
      <c r="L639" s="116"/>
      <c r="M639" s="116"/>
      <c r="N639" s="116"/>
      <c r="O639" s="116"/>
      <c r="P639" s="116"/>
      <c r="Q639" s="116"/>
      <c r="R639" s="116"/>
      <c r="S639" s="116"/>
      <c r="T639" s="116"/>
      <c r="U639" s="116"/>
      <c r="V639" s="116"/>
      <c r="W639" s="116"/>
      <c r="X639" s="116"/>
      <c r="Y639" s="116"/>
      <c r="Z639" s="116"/>
    </row>
    <row r="640" spans="1:26" ht="15">
      <c r="A640" s="116"/>
      <c r="B640" s="988"/>
      <c r="C640" s="116"/>
      <c r="D640" s="116"/>
      <c r="E640" s="116"/>
      <c r="F640" s="116"/>
      <c r="G640" s="116"/>
      <c r="H640" s="116"/>
      <c r="I640" s="116"/>
      <c r="J640" s="116"/>
      <c r="K640" s="116"/>
      <c r="L640" s="116"/>
      <c r="M640" s="116"/>
      <c r="N640" s="116"/>
      <c r="O640" s="116"/>
      <c r="P640" s="116"/>
      <c r="Q640" s="116"/>
      <c r="R640" s="116"/>
      <c r="S640" s="116"/>
      <c r="T640" s="116"/>
      <c r="U640" s="116"/>
      <c r="V640" s="116"/>
      <c r="W640" s="116"/>
      <c r="X640" s="116"/>
      <c r="Y640" s="116"/>
      <c r="Z640" s="116"/>
    </row>
    <row r="641" spans="1:26" ht="15">
      <c r="A641" s="116"/>
      <c r="B641" s="988"/>
      <c r="C641" s="116"/>
      <c r="D641" s="116"/>
      <c r="E641" s="116"/>
      <c r="F641" s="116"/>
      <c r="G641" s="116"/>
      <c r="H641" s="116"/>
      <c r="I641" s="116"/>
      <c r="J641" s="116"/>
      <c r="K641" s="116"/>
      <c r="L641" s="116"/>
      <c r="M641" s="116"/>
      <c r="N641" s="116"/>
      <c r="O641" s="116"/>
      <c r="P641" s="116"/>
      <c r="Q641" s="116"/>
      <c r="R641" s="116"/>
      <c r="S641" s="116"/>
      <c r="T641" s="116"/>
      <c r="U641" s="116"/>
      <c r="V641" s="116"/>
      <c r="W641" s="116"/>
      <c r="X641" s="116"/>
      <c r="Y641" s="116"/>
      <c r="Z641" s="116"/>
    </row>
    <row r="642" spans="1:26" ht="15">
      <c r="A642" s="116"/>
      <c r="B642" s="988"/>
      <c r="C642" s="116"/>
      <c r="D642" s="116"/>
      <c r="E642" s="116"/>
      <c r="F642" s="116"/>
      <c r="G642" s="116"/>
      <c r="H642" s="116"/>
      <c r="I642" s="116"/>
      <c r="J642" s="116"/>
      <c r="K642" s="116"/>
      <c r="L642" s="116"/>
      <c r="M642" s="116"/>
      <c r="N642" s="116"/>
      <c r="O642" s="116"/>
      <c r="P642" s="116"/>
      <c r="Q642" s="116"/>
      <c r="R642" s="116"/>
      <c r="S642" s="116"/>
      <c r="T642" s="116"/>
      <c r="U642" s="116"/>
      <c r="V642" s="116"/>
      <c r="W642" s="116"/>
      <c r="X642" s="116"/>
      <c r="Y642" s="116"/>
      <c r="Z642" s="116"/>
    </row>
    <row r="643" spans="1:26" ht="15">
      <c r="A643" s="116"/>
      <c r="B643" s="988"/>
      <c r="C643" s="116"/>
      <c r="D643" s="116"/>
      <c r="E643" s="116"/>
      <c r="F643" s="116"/>
      <c r="G643" s="116"/>
      <c r="H643" s="116"/>
      <c r="I643" s="116"/>
      <c r="J643" s="116"/>
      <c r="K643" s="116"/>
      <c r="L643" s="116"/>
      <c r="M643" s="116"/>
      <c r="N643" s="116"/>
      <c r="O643" s="116"/>
      <c r="P643" s="116"/>
      <c r="Q643" s="116"/>
      <c r="R643" s="116"/>
      <c r="S643" s="116"/>
      <c r="T643" s="116"/>
      <c r="U643" s="116"/>
      <c r="V643" s="116"/>
      <c r="W643" s="116"/>
      <c r="X643" s="116"/>
      <c r="Y643" s="116"/>
      <c r="Z643" s="116"/>
    </row>
    <row r="644" spans="1:26" ht="15">
      <c r="A644" s="116"/>
      <c r="B644" s="988"/>
      <c r="C644" s="116"/>
      <c r="D644" s="116"/>
      <c r="E644" s="116"/>
      <c r="F644" s="116"/>
      <c r="G644" s="116"/>
      <c r="H644" s="116"/>
      <c r="I644" s="116"/>
      <c r="J644" s="116"/>
      <c r="K644" s="116"/>
      <c r="L644" s="116"/>
      <c r="M644" s="116"/>
      <c r="N644" s="116"/>
      <c r="O644" s="116"/>
      <c r="P644" s="116"/>
      <c r="Q644" s="116"/>
      <c r="R644" s="116"/>
      <c r="S644" s="116"/>
      <c r="T644" s="116"/>
      <c r="U644" s="116"/>
      <c r="V644" s="116"/>
      <c r="W644" s="116"/>
      <c r="X644" s="116"/>
      <c r="Y644" s="116"/>
      <c r="Z644" s="116"/>
    </row>
    <row r="645" spans="1:26" ht="15">
      <c r="A645" s="116"/>
      <c r="B645" s="988"/>
      <c r="C645" s="116"/>
      <c r="D645" s="116"/>
      <c r="E645" s="116"/>
      <c r="F645" s="116"/>
      <c r="G645" s="116"/>
      <c r="H645" s="116"/>
      <c r="I645" s="116"/>
      <c r="J645" s="116"/>
      <c r="K645" s="116"/>
      <c r="L645" s="116"/>
      <c r="M645" s="116"/>
      <c r="N645" s="116"/>
      <c r="O645" s="116"/>
      <c r="P645" s="116"/>
      <c r="Q645" s="116"/>
      <c r="R645" s="116"/>
      <c r="S645" s="116"/>
      <c r="T645" s="116"/>
      <c r="U645" s="116"/>
      <c r="V645" s="116"/>
      <c r="W645" s="116"/>
      <c r="X645" s="116"/>
      <c r="Y645" s="116"/>
      <c r="Z645" s="116"/>
    </row>
    <row r="646" spans="1:26" ht="15">
      <c r="A646" s="116"/>
      <c r="B646" s="988"/>
      <c r="C646" s="116"/>
      <c r="D646" s="116"/>
      <c r="E646" s="116"/>
      <c r="F646" s="116"/>
      <c r="G646" s="116"/>
      <c r="H646" s="116"/>
      <c r="I646" s="116"/>
      <c r="J646" s="116"/>
      <c r="K646" s="116"/>
      <c r="L646" s="116"/>
      <c r="M646" s="116"/>
      <c r="N646" s="116"/>
      <c r="O646" s="116"/>
      <c r="P646" s="116"/>
      <c r="Q646" s="116"/>
      <c r="R646" s="116"/>
      <c r="S646" s="116"/>
      <c r="T646" s="116"/>
      <c r="U646" s="116"/>
      <c r="V646" s="116"/>
      <c r="W646" s="116"/>
      <c r="X646" s="116"/>
      <c r="Y646" s="116"/>
      <c r="Z646" s="116"/>
    </row>
    <row r="647" spans="1:26" ht="15">
      <c r="A647" s="116"/>
      <c r="B647" s="988"/>
      <c r="C647" s="116"/>
      <c r="D647" s="116"/>
      <c r="E647" s="116"/>
      <c r="F647" s="116"/>
      <c r="G647" s="116"/>
      <c r="H647" s="116"/>
      <c r="I647" s="116"/>
      <c r="J647" s="116"/>
      <c r="K647" s="116"/>
      <c r="L647" s="116"/>
      <c r="M647" s="116"/>
      <c r="N647" s="116"/>
      <c r="O647" s="116"/>
      <c r="P647" s="116"/>
      <c r="Q647" s="116"/>
      <c r="R647" s="116"/>
      <c r="S647" s="116"/>
      <c r="T647" s="116"/>
      <c r="U647" s="116"/>
      <c r="V647" s="116"/>
      <c r="W647" s="116"/>
      <c r="X647" s="116"/>
      <c r="Y647" s="116"/>
      <c r="Z647" s="116"/>
    </row>
    <row r="648" spans="1:26" ht="15">
      <c r="A648" s="116"/>
      <c r="B648" s="988"/>
      <c r="C648" s="116"/>
      <c r="D648" s="116"/>
      <c r="E648" s="116"/>
      <c r="F648" s="116"/>
      <c r="G648" s="116"/>
      <c r="H648" s="116"/>
      <c r="I648" s="116"/>
      <c r="J648" s="116"/>
      <c r="K648" s="116"/>
      <c r="L648" s="116"/>
      <c r="M648" s="116"/>
      <c r="N648" s="116"/>
      <c r="O648" s="116"/>
      <c r="P648" s="116"/>
      <c r="Q648" s="116"/>
      <c r="R648" s="116"/>
      <c r="S648" s="116"/>
      <c r="T648" s="116"/>
      <c r="U648" s="116"/>
      <c r="V648" s="116"/>
      <c r="W648" s="116"/>
      <c r="X648" s="116"/>
      <c r="Y648" s="116"/>
      <c r="Z648" s="116"/>
    </row>
    <row r="649" spans="1:26" ht="15">
      <c r="A649" s="116"/>
      <c r="B649" s="988"/>
      <c r="C649" s="116"/>
      <c r="D649" s="116"/>
      <c r="E649" s="116"/>
      <c r="F649" s="116"/>
      <c r="G649" s="116"/>
      <c r="H649" s="116"/>
      <c r="I649" s="116"/>
      <c r="J649" s="116"/>
      <c r="K649" s="116"/>
      <c r="L649" s="116"/>
      <c r="M649" s="116"/>
      <c r="N649" s="116"/>
      <c r="O649" s="116"/>
      <c r="P649" s="116"/>
      <c r="Q649" s="116"/>
      <c r="R649" s="116"/>
      <c r="S649" s="116"/>
      <c r="T649" s="116"/>
      <c r="U649" s="116"/>
      <c r="V649" s="116"/>
      <c r="W649" s="116"/>
      <c r="X649" s="116"/>
      <c r="Y649" s="116"/>
      <c r="Z649" s="116"/>
    </row>
    <row r="650" spans="1:26" ht="15">
      <c r="A650" s="116"/>
      <c r="B650" s="988"/>
      <c r="C650" s="116"/>
      <c r="D650" s="116"/>
      <c r="E650" s="116"/>
      <c r="F650" s="116"/>
      <c r="G650" s="116"/>
      <c r="H650" s="116"/>
      <c r="I650" s="116"/>
      <c r="J650" s="116"/>
      <c r="K650" s="116"/>
      <c r="L650" s="116"/>
      <c r="M650" s="116"/>
      <c r="N650" s="116"/>
      <c r="O650" s="116"/>
      <c r="P650" s="116"/>
      <c r="Q650" s="116"/>
      <c r="R650" s="116"/>
      <c r="S650" s="116"/>
      <c r="T650" s="116"/>
      <c r="U650" s="116"/>
      <c r="V650" s="116"/>
      <c r="W650" s="116"/>
      <c r="X650" s="116"/>
      <c r="Y650" s="116"/>
      <c r="Z650" s="116"/>
    </row>
    <row r="651" spans="1:26" ht="15">
      <c r="A651" s="116"/>
      <c r="B651" s="988"/>
      <c r="C651" s="116"/>
      <c r="D651" s="116"/>
      <c r="E651" s="116"/>
      <c r="F651" s="116"/>
      <c r="G651" s="116"/>
      <c r="H651" s="116"/>
      <c r="I651" s="116"/>
      <c r="J651" s="116"/>
      <c r="K651" s="116"/>
      <c r="L651" s="116"/>
      <c r="M651" s="116"/>
      <c r="N651" s="116"/>
      <c r="O651" s="116"/>
      <c r="P651" s="116"/>
      <c r="Q651" s="116"/>
      <c r="R651" s="116"/>
      <c r="S651" s="116"/>
      <c r="T651" s="116"/>
      <c r="U651" s="116"/>
      <c r="V651" s="116"/>
      <c r="W651" s="116"/>
      <c r="X651" s="116"/>
      <c r="Y651" s="116"/>
      <c r="Z651" s="116"/>
    </row>
    <row r="652" spans="1:26" ht="15">
      <c r="A652" s="116"/>
      <c r="B652" s="988"/>
      <c r="C652" s="116"/>
      <c r="D652" s="116"/>
      <c r="E652" s="116"/>
      <c r="F652" s="116"/>
      <c r="G652" s="116"/>
      <c r="H652" s="116"/>
      <c r="I652" s="116"/>
      <c r="J652" s="116"/>
      <c r="K652" s="116"/>
      <c r="L652" s="116"/>
      <c r="M652" s="116"/>
      <c r="N652" s="116"/>
      <c r="O652" s="116"/>
      <c r="P652" s="116"/>
      <c r="Q652" s="116"/>
      <c r="R652" s="116"/>
      <c r="S652" s="116"/>
      <c r="T652" s="116"/>
      <c r="U652" s="116"/>
      <c r="V652" s="116"/>
      <c r="W652" s="116"/>
      <c r="X652" s="116"/>
      <c r="Y652" s="116"/>
      <c r="Z652" s="116"/>
    </row>
    <row r="653" spans="1:26" ht="15">
      <c r="A653" s="116"/>
      <c r="B653" s="988"/>
      <c r="C653" s="116"/>
      <c r="D653" s="116"/>
      <c r="E653" s="116"/>
      <c r="F653" s="116"/>
      <c r="G653" s="116"/>
      <c r="H653" s="116"/>
      <c r="I653" s="116"/>
      <c r="J653" s="116"/>
      <c r="K653" s="116"/>
      <c r="L653" s="116"/>
      <c r="M653" s="116"/>
      <c r="N653" s="116"/>
      <c r="O653" s="116"/>
      <c r="P653" s="116"/>
      <c r="Q653" s="116"/>
      <c r="R653" s="116"/>
      <c r="S653" s="116"/>
      <c r="T653" s="116"/>
      <c r="U653" s="116"/>
      <c r="V653" s="116"/>
      <c r="W653" s="116"/>
      <c r="X653" s="116"/>
      <c r="Y653" s="116"/>
      <c r="Z653" s="116"/>
    </row>
    <row r="654" spans="1:26" ht="15">
      <c r="A654" s="116"/>
      <c r="B654" s="988"/>
      <c r="C654" s="116"/>
      <c r="D654" s="116"/>
      <c r="E654" s="116"/>
      <c r="F654" s="116"/>
      <c r="G654" s="116"/>
      <c r="H654" s="116"/>
      <c r="I654" s="116"/>
      <c r="J654" s="116"/>
      <c r="K654" s="116"/>
      <c r="L654" s="116"/>
      <c r="M654" s="116"/>
      <c r="N654" s="116"/>
      <c r="O654" s="116"/>
      <c r="P654" s="116"/>
      <c r="Q654" s="116"/>
      <c r="R654" s="116"/>
      <c r="S654" s="116"/>
      <c r="T654" s="116"/>
      <c r="U654" s="116"/>
      <c r="V654" s="116"/>
      <c r="W654" s="116"/>
      <c r="X654" s="116"/>
      <c r="Y654" s="116"/>
      <c r="Z654" s="116"/>
    </row>
    <row r="655" spans="1:26" ht="15">
      <c r="A655" s="116"/>
      <c r="B655" s="988"/>
      <c r="C655" s="116"/>
      <c r="D655" s="116"/>
      <c r="E655" s="116"/>
      <c r="F655" s="116"/>
      <c r="G655" s="116"/>
      <c r="H655" s="116"/>
      <c r="I655" s="116"/>
      <c r="J655" s="116"/>
      <c r="K655" s="116"/>
      <c r="L655" s="116"/>
      <c r="M655" s="116"/>
      <c r="N655" s="116"/>
      <c r="O655" s="116"/>
      <c r="P655" s="116"/>
      <c r="Q655" s="116"/>
      <c r="R655" s="116"/>
      <c r="S655" s="116"/>
      <c r="T655" s="116"/>
      <c r="U655" s="116"/>
      <c r="V655" s="116"/>
      <c r="W655" s="116"/>
      <c r="X655" s="116"/>
      <c r="Y655" s="116"/>
      <c r="Z655" s="116"/>
    </row>
    <row r="656" spans="1:26" ht="15">
      <c r="A656" s="116"/>
      <c r="B656" s="988"/>
      <c r="C656" s="116"/>
      <c r="D656" s="116"/>
      <c r="E656" s="116"/>
      <c r="F656" s="116"/>
      <c r="G656" s="116"/>
      <c r="H656" s="116"/>
      <c r="I656" s="116"/>
      <c r="J656" s="116"/>
      <c r="K656" s="116"/>
      <c r="L656" s="116"/>
      <c r="M656" s="116"/>
      <c r="N656" s="116"/>
      <c r="O656" s="116"/>
      <c r="P656" s="116"/>
      <c r="Q656" s="116"/>
      <c r="R656" s="116"/>
      <c r="S656" s="116"/>
      <c r="T656" s="116"/>
      <c r="U656" s="116"/>
      <c r="V656" s="116"/>
      <c r="W656" s="116"/>
      <c r="X656" s="116"/>
      <c r="Y656" s="116"/>
      <c r="Z656" s="116"/>
    </row>
    <row r="657" spans="1:26" ht="15">
      <c r="A657" s="116"/>
      <c r="B657" s="988"/>
      <c r="C657" s="116"/>
      <c r="D657" s="116"/>
      <c r="E657" s="116"/>
      <c r="F657" s="116"/>
      <c r="G657" s="116"/>
      <c r="H657" s="116"/>
      <c r="I657" s="116"/>
      <c r="J657" s="116"/>
      <c r="K657" s="116"/>
      <c r="L657" s="116"/>
      <c r="M657" s="116"/>
      <c r="N657" s="116"/>
      <c r="O657" s="116"/>
      <c r="P657" s="116"/>
      <c r="Q657" s="116"/>
      <c r="R657" s="116"/>
      <c r="S657" s="116"/>
      <c r="T657" s="116"/>
      <c r="U657" s="116"/>
      <c r="V657" s="116"/>
      <c r="W657" s="116"/>
      <c r="X657" s="116"/>
      <c r="Y657" s="116"/>
      <c r="Z657" s="116"/>
    </row>
    <row r="658" spans="1:26" ht="15">
      <c r="A658" s="116"/>
      <c r="B658" s="988"/>
      <c r="C658" s="116"/>
      <c r="D658" s="116"/>
      <c r="E658" s="116"/>
      <c r="F658" s="116"/>
      <c r="G658" s="116"/>
      <c r="H658" s="116"/>
      <c r="I658" s="116"/>
      <c r="J658" s="116"/>
      <c r="K658" s="116"/>
      <c r="L658" s="116"/>
      <c r="M658" s="116"/>
      <c r="N658" s="116"/>
      <c r="O658" s="116"/>
      <c r="P658" s="116"/>
      <c r="Q658" s="116"/>
      <c r="R658" s="116"/>
      <c r="S658" s="116"/>
      <c r="T658" s="116"/>
      <c r="U658" s="116"/>
      <c r="V658" s="116"/>
      <c r="W658" s="116"/>
      <c r="X658" s="116"/>
      <c r="Y658" s="116"/>
      <c r="Z658" s="116"/>
    </row>
    <row r="659" spans="1:26" ht="15">
      <c r="A659" s="116"/>
      <c r="B659" s="988"/>
      <c r="C659" s="116"/>
      <c r="D659" s="116"/>
      <c r="E659" s="116"/>
      <c r="F659" s="116"/>
      <c r="G659" s="116"/>
      <c r="H659" s="116"/>
      <c r="I659" s="116"/>
      <c r="J659" s="116"/>
      <c r="K659" s="116"/>
      <c r="L659" s="116"/>
      <c r="M659" s="116"/>
      <c r="N659" s="116"/>
      <c r="O659" s="116"/>
      <c r="P659" s="116"/>
      <c r="Q659" s="116"/>
      <c r="R659" s="116"/>
      <c r="S659" s="116"/>
      <c r="T659" s="116"/>
      <c r="U659" s="116"/>
      <c r="V659" s="116"/>
      <c r="W659" s="116"/>
      <c r="X659" s="116"/>
      <c r="Y659" s="116"/>
      <c r="Z659" s="116"/>
    </row>
    <row r="660" spans="1:26" ht="15">
      <c r="A660" s="116"/>
      <c r="B660" s="988"/>
      <c r="C660" s="116"/>
      <c r="D660" s="116"/>
      <c r="E660" s="116"/>
      <c r="F660" s="116"/>
      <c r="G660" s="116"/>
      <c r="H660" s="116"/>
      <c r="I660" s="116"/>
      <c r="J660" s="116"/>
      <c r="K660" s="116"/>
      <c r="L660" s="116"/>
      <c r="M660" s="116"/>
      <c r="N660" s="116"/>
      <c r="O660" s="116"/>
      <c r="P660" s="116"/>
      <c r="Q660" s="116"/>
      <c r="R660" s="116"/>
      <c r="S660" s="116"/>
      <c r="T660" s="116"/>
      <c r="U660" s="116"/>
      <c r="V660" s="116"/>
      <c r="W660" s="116"/>
      <c r="X660" s="116"/>
      <c r="Y660" s="116"/>
      <c r="Z660" s="116"/>
    </row>
    <row r="661" spans="1:26" ht="15">
      <c r="A661" s="116"/>
      <c r="B661" s="988"/>
      <c r="C661" s="116"/>
      <c r="D661" s="116"/>
      <c r="E661" s="116"/>
      <c r="F661" s="116"/>
      <c r="G661" s="116"/>
      <c r="H661" s="116"/>
      <c r="I661" s="116"/>
      <c r="J661" s="116"/>
      <c r="K661" s="116"/>
      <c r="L661" s="116"/>
      <c r="M661" s="116"/>
      <c r="N661" s="116"/>
      <c r="O661" s="116"/>
      <c r="P661" s="116"/>
      <c r="Q661" s="116"/>
      <c r="R661" s="116"/>
      <c r="S661" s="116"/>
      <c r="T661" s="116"/>
      <c r="U661" s="116"/>
      <c r="V661" s="116"/>
      <c r="W661" s="116"/>
      <c r="X661" s="116"/>
      <c r="Y661" s="116"/>
      <c r="Z661" s="116"/>
    </row>
    <row r="662" spans="1:26" ht="15">
      <c r="A662" s="116"/>
      <c r="B662" s="988"/>
      <c r="C662" s="116"/>
      <c r="D662" s="116"/>
      <c r="E662" s="116"/>
      <c r="F662" s="116"/>
      <c r="G662" s="116"/>
      <c r="H662" s="116"/>
      <c r="I662" s="116"/>
      <c r="J662" s="116"/>
      <c r="K662" s="116"/>
      <c r="L662" s="116"/>
      <c r="M662" s="116"/>
      <c r="N662" s="116"/>
      <c r="O662" s="116"/>
      <c r="P662" s="116"/>
      <c r="Q662" s="116"/>
      <c r="R662" s="116"/>
      <c r="S662" s="116"/>
      <c r="T662" s="116"/>
      <c r="U662" s="116"/>
      <c r="V662" s="116"/>
      <c r="W662" s="116"/>
      <c r="X662" s="116"/>
      <c r="Y662" s="116"/>
      <c r="Z662" s="116"/>
    </row>
    <row r="663" spans="1:26" ht="15">
      <c r="A663" s="116"/>
      <c r="B663" s="988"/>
      <c r="C663" s="116"/>
      <c r="D663" s="116"/>
      <c r="E663" s="116"/>
      <c r="F663" s="116"/>
      <c r="G663" s="116"/>
      <c r="H663" s="116"/>
      <c r="I663" s="116"/>
      <c r="J663" s="116"/>
      <c r="K663" s="116"/>
      <c r="L663" s="116"/>
      <c r="M663" s="116"/>
      <c r="N663" s="116"/>
      <c r="O663" s="116"/>
      <c r="P663" s="116"/>
      <c r="Q663" s="116"/>
      <c r="R663" s="116"/>
      <c r="S663" s="116"/>
      <c r="T663" s="116"/>
      <c r="U663" s="116"/>
      <c r="V663" s="116"/>
      <c r="W663" s="116"/>
      <c r="X663" s="116"/>
      <c r="Y663" s="116"/>
      <c r="Z663" s="116"/>
    </row>
    <row r="664" spans="1:26" ht="15">
      <c r="A664" s="116"/>
      <c r="B664" s="988"/>
      <c r="C664" s="116"/>
      <c r="D664" s="116"/>
      <c r="E664" s="116"/>
      <c r="F664" s="116"/>
      <c r="G664" s="116"/>
      <c r="H664" s="116"/>
      <c r="I664" s="116"/>
      <c r="J664" s="116"/>
      <c r="K664" s="116"/>
      <c r="L664" s="116"/>
      <c r="M664" s="116"/>
      <c r="N664" s="116"/>
      <c r="O664" s="116"/>
      <c r="P664" s="116"/>
      <c r="Q664" s="116"/>
      <c r="R664" s="116"/>
      <c r="S664" s="116"/>
      <c r="T664" s="116"/>
      <c r="U664" s="116"/>
      <c r="V664" s="116"/>
      <c r="W664" s="116"/>
      <c r="X664" s="116"/>
      <c r="Y664" s="116"/>
      <c r="Z664" s="116"/>
    </row>
    <row r="665" spans="1:26" ht="15">
      <c r="A665" s="116"/>
      <c r="B665" s="988"/>
      <c r="C665" s="116"/>
      <c r="D665" s="116"/>
      <c r="E665" s="116"/>
      <c r="F665" s="116"/>
      <c r="G665" s="116"/>
      <c r="H665" s="116"/>
      <c r="I665" s="116"/>
      <c r="J665" s="116"/>
      <c r="K665" s="116"/>
      <c r="L665" s="116"/>
      <c r="M665" s="116"/>
      <c r="N665" s="116"/>
      <c r="O665" s="116"/>
      <c r="P665" s="116"/>
      <c r="Q665" s="116"/>
      <c r="R665" s="116"/>
      <c r="S665" s="116"/>
      <c r="T665" s="116"/>
      <c r="U665" s="116"/>
      <c r="V665" s="116"/>
      <c r="W665" s="116"/>
      <c r="X665" s="116"/>
      <c r="Y665" s="116"/>
      <c r="Z665" s="116"/>
    </row>
    <row r="666" spans="1:26" ht="15">
      <c r="A666" s="116"/>
      <c r="B666" s="988"/>
      <c r="C666" s="116"/>
      <c r="D666" s="116"/>
      <c r="E666" s="116"/>
      <c r="F666" s="116"/>
      <c r="G666" s="116"/>
      <c r="H666" s="116"/>
      <c r="I666" s="116"/>
      <c r="J666" s="116"/>
      <c r="K666" s="116"/>
      <c r="L666" s="116"/>
      <c r="M666" s="116"/>
      <c r="N666" s="116"/>
      <c r="O666" s="116"/>
      <c r="P666" s="116"/>
      <c r="Q666" s="116"/>
      <c r="R666" s="116"/>
      <c r="S666" s="116"/>
      <c r="T666" s="116"/>
      <c r="U666" s="116"/>
      <c r="V666" s="116"/>
      <c r="W666" s="116"/>
      <c r="X666" s="116"/>
      <c r="Y666" s="116"/>
      <c r="Z666" s="116"/>
    </row>
    <row r="667" spans="1:26" ht="15">
      <c r="A667" s="116"/>
      <c r="B667" s="988"/>
      <c r="C667" s="116"/>
      <c r="D667" s="116"/>
      <c r="E667" s="116"/>
      <c r="F667" s="116"/>
      <c r="G667" s="116"/>
      <c r="H667" s="116"/>
      <c r="I667" s="116"/>
      <c r="J667" s="116"/>
      <c r="K667" s="116"/>
      <c r="L667" s="116"/>
      <c r="M667" s="116"/>
      <c r="N667" s="116"/>
      <c r="O667" s="116"/>
      <c r="P667" s="116"/>
      <c r="Q667" s="116"/>
      <c r="R667" s="116"/>
      <c r="S667" s="116"/>
      <c r="T667" s="116"/>
      <c r="U667" s="116"/>
      <c r="V667" s="116"/>
      <c r="W667" s="116"/>
      <c r="X667" s="116"/>
      <c r="Y667" s="116"/>
      <c r="Z667" s="116"/>
    </row>
    <row r="668" spans="1:26" ht="15">
      <c r="A668" s="116"/>
      <c r="B668" s="988"/>
      <c r="C668" s="116"/>
      <c r="D668" s="116"/>
      <c r="E668" s="116"/>
      <c r="F668" s="116"/>
      <c r="G668" s="116"/>
      <c r="H668" s="116"/>
      <c r="I668" s="116"/>
      <c r="J668" s="116"/>
      <c r="K668" s="116"/>
      <c r="L668" s="116"/>
      <c r="M668" s="116"/>
      <c r="N668" s="116"/>
      <c r="O668" s="116"/>
      <c r="P668" s="116"/>
      <c r="Q668" s="116"/>
      <c r="R668" s="116"/>
      <c r="S668" s="116"/>
      <c r="T668" s="116"/>
      <c r="U668" s="116"/>
      <c r="V668" s="116"/>
      <c r="W668" s="116"/>
      <c r="X668" s="116"/>
      <c r="Y668" s="116"/>
      <c r="Z668" s="116"/>
    </row>
    <row r="669" spans="1:26" ht="15">
      <c r="A669" s="116"/>
      <c r="B669" s="988"/>
      <c r="C669" s="116"/>
      <c r="D669" s="116"/>
      <c r="E669" s="116"/>
      <c r="F669" s="116"/>
      <c r="G669" s="116"/>
      <c r="H669" s="116"/>
      <c r="I669" s="116"/>
      <c r="J669" s="116"/>
      <c r="K669" s="116"/>
      <c r="L669" s="116"/>
      <c r="M669" s="116"/>
      <c r="N669" s="116"/>
      <c r="O669" s="116"/>
      <c r="P669" s="116"/>
      <c r="Q669" s="116"/>
      <c r="R669" s="116"/>
      <c r="S669" s="116"/>
      <c r="T669" s="116"/>
      <c r="U669" s="116"/>
      <c r="V669" s="116"/>
      <c r="W669" s="116"/>
      <c r="X669" s="116"/>
      <c r="Y669" s="116"/>
      <c r="Z669" s="116"/>
    </row>
    <row r="670" spans="1:26" ht="15">
      <c r="A670" s="116"/>
      <c r="B670" s="988"/>
      <c r="C670" s="116"/>
      <c r="D670" s="116"/>
      <c r="E670" s="116"/>
      <c r="F670" s="116"/>
      <c r="G670" s="116"/>
      <c r="H670" s="116"/>
      <c r="I670" s="116"/>
      <c r="J670" s="116"/>
      <c r="K670" s="116"/>
      <c r="L670" s="116"/>
      <c r="M670" s="116"/>
      <c r="N670" s="116"/>
      <c r="O670" s="116"/>
      <c r="P670" s="116"/>
      <c r="Q670" s="116"/>
      <c r="R670" s="116"/>
      <c r="S670" s="116"/>
      <c r="T670" s="116"/>
      <c r="U670" s="116"/>
      <c r="V670" s="116"/>
      <c r="W670" s="116"/>
      <c r="X670" s="116"/>
      <c r="Y670" s="116"/>
      <c r="Z670" s="116"/>
    </row>
    <row r="671" spans="1:26" ht="15">
      <c r="A671" s="116"/>
      <c r="B671" s="988"/>
      <c r="C671" s="116"/>
      <c r="D671" s="116"/>
      <c r="E671" s="116"/>
      <c r="F671" s="116"/>
      <c r="G671" s="116"/>
      <c r="H671" s="116"/>
      <c r="I671" s="116"/>
      <c r="J671" s="116"/>
      <c r="K671" s="116"/>
      <c r="L671" s="116"/>
      <c r="M671" s="116"/>
      <c r="N671" s="116"/>
      <c r="O671" s="116"/>
      <c r="P671" s="116"/>
      <c r="Q671" s="116"/>
      <c r="R671" s="116"/>
      <c r="S671" s="116"/>
      <c r="T671" s="116"/>
      <c r="U671" s="116"/>
      <c r="V671" s="116"/>
      <c r="W671" s="116"/>
      <c r="X671" s="116"/>
      <c r="Y671" s="116"/>
      <c r="Z671" s="116"/>
    </row>
    <row r="672" spans="1:26" ht="15">
      <c r="A672" s="116"/>
      <c r="B672" s="988"/>
      <c r="C672" s="116"/>
      <c r="D672" s="116"/>
      <c r="E672" s="116"/>
      <c r="F672" s="116"/>
      <c r="G672" s="116"/>
      <c r="H672" s="116"/>
      <c r="I672" s="116"/>
      <c r="J672" s="116"/>
      <c r="K672" s="116"/>
      <c r="L672" s="116"/>
      <c r="M672" s="116"/>
      <c r="N672" s="116"/>
      <c r="O672" s="116"/>
      <c r="P672" s="116"/>
      <c r="Q672" s="116"/>
      <c r="R672" s="116"/>
      <c r="S672" s="116"/>
      <c r="T672" s="116"/>
      <c r="U672" s="116"/>
      <c r="V672" s="116"/>
      <c r="W672" s="116"/>
      <c r="X672" s="116"/>
      <c r="Y672" s="116"/>
      <c r="Z672" s="116"/>
    </row>
    <row r="673" spans="1:26" ht="15">
      <c r="A673" s="116"/>
      <c r="B673" s="988"/>
      <c r="C673" s="116"/>
      <c r="D673" s="116"/>
      <c r="E673" s="116"/>
      <c r="F673" s="116"/>
      <c r="G673" s="116"/>
      <c r="H673" s="116"/>
      <c r="I673" s="116"/>
      <c r="J673" s="116"/>
      <c r="K673" s="116"/>
      <c r="L673" s="116"/>
      <c r="M673" s="116"/>
      <c r="N673" s="116"/>
      <c r="O673" s="116"/>
      <c r="P673" s="116"/>
      <c r="Q673" s="116"/>
      <c r="R673" s="116"/>
      <c r="S673" s="116"/>
      <c r="T673" s="116"/>
      <c r="U673" s="116"/>
      <c r="V673" s="116"/>
      <c r="W673" s="116"/>
      <c r="X673" s="116"/>
      <c r="Y673" s="116"/>
      <c r="Z673" s="116"/>
    </row>
    <row r="674" spans="1:26" ht="15">
      <c r="A674" s="116"/>
      <c r="B674" s="988"/>
      <c r="C674" s="116"/>
      <c r="D674" s="116"/>
      <c r="E674" s="116"/>
      <c r="F674" s="116"/>
      <c r="G674" s="116"/>
      <c r="H674" s="116"/>
      <c r="I674" s="116"/>
      <c r="J674" s="116"/>
      <c r="K674" s="116"/>
      <c r="L674" s="116"/>
      <c r="M674" s="116"/>
      <c r="N674" s="116"/>
      <c r="O674" s="116"/>
      <c r="P674" s="116"/>
      <c r="Q674" s="116"/>
      <c r="R674" s="116"/>
      <c r="S674" s="116"/>
      <c r="T674" s="116"/>
      <c r="U674" s="116"/>
      <c r="V674" s="116"/>
      <c r="W674" s="116"/>
      <c r="X674" s="116"/>
      <c r="Y674" s="116"/>
      <c r="Z674" s="116"/>
    </row>
    <row r="675" spans="1:26" ht="15">
      <c r="A675" s="116"/>
      <c r="B675" s="988"/>
      <c r="C675" s="116"/>
      <c r="D675" s="116"/>
      <c r="E675" s="116"/>
      <c r="F675" s="116"/>
      <c r="G675" s="116"/>
      <c r="H675" s="116"/>
      <c r="I675" s="116"/>
      <c r="J675" s="116"/>
      <c r="K675" s="116"/>
      <c r="L675" s="116"/>
      <c r="M675" s="116"/>
      <c r="N675" s="116"/>
      <c r="O675" s="116"/>
      <c r="P675" s="116"/>
      <c r="Q675" s="116"/>
      <c r="R675" s="116"/>
      <c r="S675" s="116"/>
      <c r="T675" s="116"/>
      <c r="U675" s="116"/>
      <c r="V675" s="116"/>
      <c r="W675" s="116"/>
      <c r="X675" s="116"/>
      <c r="Y675" s="116"/>
      <c r="Z675" s="116"/>
    </row>
    <row r="676" spans="1:26" ht="15">
      <c r="A676" s="116"/>
      <c r="B676" s="988"/>
      <c r="C676" s="116"/>
      <c r="D676" s="116"/>
      <c r="E676" s="116"/>
      <c r="F676" s="116"/>
      <c r="G676" s="116"/>
      <c r="H676" s="116"/>
      <c r="I676" s="116"/>
      <c r="J676" s="116"/>
      <c r="K676" s="116"/>
      <c r="L676" s="116"/>
      <c r="M676" s="116"/>
      <c r="N676" s="116"/>
      <c r="O676" s="116"/>
      <c r="P676" s="116"/>
      <c r="Q676" s="116"/>
      <c r="R676" s="116"/>
      <c r="S676" s="116"/>
      <c r="T676" s="116"/>
      <c r="U676" s="116"/>
      <c r="V676" s="116"/>
      <c r="W676" s="116"/>
      <c r="X676" s="116"/>
      <c r="Y676" s="116"/>
      <c r="Z676" s="116"/>
    </row>
    <row r="677" spans="1:26" ht="15">
      <c r="A677" s="116"/>
      <c r="B677" s="988"/>
      <c r="C677" s="116"/>
      <c r="D677" s="116"/>
      <c r="E677" s="116"/>
      <c r="F677" s="116"/>
      <c r="G677" s="116"/>
      <c r="H677" s="116"/>
      <c r="I677" s="116"/>
      <c r="J677" s="116"/>
      <c r="K677" s="116"/>
      <c r="L677" s="116"/>
      <c r="M677" s="116"/>
      <c r="N677" s="116"/>
      <c r="O677" s="116"/>
      <c r="P677" s="116"/>
      <c r="Q677" s="116"/>
      <c r="R677" s="116"/>
      <c r="S677" s="116"/>
      <c r="T677" s="116"/>
      <c r="U677" s="116"/>
      <c r="V677" s="116"/>
      <c r="W677" s="116"/>
      <c r="X677" s="116"/>
      <c r="Y677" s="116"/>
      <c r="Z677" s="116"/>
    </row>
    <row r="678" spans="1:26" ht="15">
      <c r="A678" s="116"/>
      <c r="B678" s="988"/>
      <c r="C678" s="116"/>
      <c r="D678" s="116"/>
      <c r="E678" s="116"/>
      <c r="F678" s="116"/>
      <c r="G678" s="116"/>
      <c r="H678" s="116"/>
      <c r="I678" s="116"/>
      <c r="J678" s="116"/>
      <c r="K678" s="116"/>
      <c r="L678" s="116"/>
      <c r="M678" s="116"/>
      <c r="N678" s="116"/>
      <c r="O678" s="116"/>
      <c r="P678" s="116"/>
      <c r="Q678" s="116"/>
      <c r="R678" s="116"/>
      <c r="S678" s="116"/>
      <c r="T678" s="116"/>
      <c r="U678" s="116"/>
      <c r="V678" s="116"/>
      <c r="W678" s="116"/>
      <c r="X678" s="116"/>
      <c r="Y678" s="116"/>
      <c r="Z678" s="116"/>
    </row>
    <row r="679" spans="1:26" ht="15">
      <c r="A679" s="116"/>
      <c r="B679" s="988"/>
      <c r="C679" s="116"/>
      <c r="D679" s="116"/>
      <c r="E679" s="116"/>
      <c r="F679" s="116"/>
      <c r="G679" s="116"/>
      <c r="H679" s="116"/>
      <c r="I679" s="116"/>
      <c r="J679" s="116"/>
      <c r="K679" s="116"/>
      <c r="L679" s="116"/>
      <c r="M679" s="116"/>
      <c r="N679" s="116"/>
      <c r="O679" s="116"/>
      <c r="P679" s="116"/>
      <c r="Q679" s="116"/>
      <c r="R679" s="116"/>
      <c r="S679" s="116"/>
      <c r="T679" s="116"/>
      <c r="U679" s="116"/>
      <c r="V679" s="116"/>
      <c r="W679" s="116"/>
      <c r="X679" s="116"/>
      <c r="Y679" s="116"/>
      <c r="Z679" s="116"/>
    </row>
    <row r="680" spans="1:26" ht="15">
      <c r="A680" s="116"/>
      <c r="B680" s="988"/>
      <c r="C680" s="116"/>
      <c r="D680" s="116"/>
      <c r="E680" s="116"/>
      <c r="F680" s="116"/>
      <c r="G680" s="116"/>
      <c r="H680" s="116"/>
      <c r="I680" s="116"/>
      <c r="J680" s="116"/>
      <c r="K680" s="116"/>
      <c r="L680" s="116"/>
      <c r="M680" s="116"/>
      <c r="N680" s="116"/>
      <c r="O680" s="116"/>
      <c r="P680" s="116"/>
      <c r="Q680" s="116"/>
      <c r="R680" s="116"/>
      <c r="S680" s="116"/>
      <c r="T680" s="116"/>
      <c r="U680" s="116"/>
      <c r="V680" s="116"/>
      <c r="W680" s="116"/>
      <c r="X680" s="116"/>
      <c r="Y680" s="116"/>
      <c r="Z680" s="116"/>
    </row>
    <row r="681" spans="1:26" ht="15">
      <c r="A681" s="116"/>
      <c r="B681" s="988"/>
      <c r="C681" s="116"/>
      <c r="D681" s="116"/>
      <c r="E681" s="116"/>
      <c r="F681" s="116"/>
      <c r="G681" s="116"/>
      <c r="H681" s="116"/>
      <c r="I681" s="116"/>
      <c r="J681" s="116"/>
      <c r="K681" s="116"/>
      <c r="L681" s="116"/>
      <c r="M681" s="116"/>
      <c r="N681" s="116"/>
      <c r="O681" s="116"/>
      <c r="P681" s="116"/>
      <c r="Q681" s="116"/>
      <c r="R681" s="116"/>
      <c r="S681" s="116"/>
      <c r="T681" s="116"/>
      <c r="U681" s="116"/>
      <c r="V681" s="116"/>
      <c r="W681" s="116"/>
      <c r="X681" s="116"/>
      <c r="Y681" s="116"/>
      <c r="Z681" s="116"/>
    </row>
    <row r="682" spans="1:26" ht="15">
      <c r="A682" s="116"/>
      <c r="B682" s="988"/>
      <c r="C682" s="116"/>
      <c r="D682" s="116"/>
      <c r="E682" s="116"/>
      <c r="F682" s="116"/>
      <c r="G682" s="116"/>
      <c r="H682" s="116"/>
      <c r="I682" s="116"/>
      <c r="J682" s="116"/>
      <c r="K682" s="116"/>
      <c r="L682" s="116"/>
      <c r="M682" s="116"/>
      <c r="N682" s="116"/>
      <c r="O682" s="116"/>
      <c r="P682" s="116"/>
      <c r="Q682" s="116"/>
      <c r="R682" s="116"/>
      <c r="S682" s="116"/>
      <c r="T682" s="116"/>
      <c r="U682" s="116"/>
      <c r="V682" s="116"/>
      <c r="W682" s="116"/>
      <c r="X682" s="116"/>
      <c r="Y682" s="116"/>
      <c r="Z682" s="116"/>
    </row>
    <row r="683" spans="1:26" ht="15">
      <c r="A683" s="116"/>
      <c r="B683" s="988"/>
      <c r="C683" s="116"/>
      <c r="D683" s="116"/>
      <c r="E683" s="116"/>
      <c r="F683" s="116"/>
      <c r="G683" s="116"/>
      <c r="H683" s="116"/>
      <c r="I683" s="116"/>
      <c r="J683" s="116"/>
      <c r="K683" s="116"/>
      <c r="L683" s="116"/>
      <c r="M683" s="116"/>
      <c r="N683" s="116"/>
      <c r="O683" s="116"/>
      <c r="P683" s="116"/>
      <c r="Q683" s="116"/>
      <c r="R683" s="116"/>
      <c r="S683" s="116"/>
      <c r="T683" s="116"/>
      <c r="U683" s="116"/>
      <c r="V683" s="116"/>
      <c r="W683" s="116"/>
      <c r="X683" s="116"/>
      <c r="Y683" s="116"/>
      <c r="Z683" s="116"/>
    </row>
    <row r="684" spans="1:26" ht="15">
      <c r="A684" s="116"/>
      <c r="B684" s="988"/>
      <c r="C684" s="116"/>
      <c r="D684" s="116"/>
      <c r="E684" s="116"/>
      <c r="F684" s="116"/>
      <c r="G684" s="116"/>
      <c r="H684" s="116"/>
      <c r="I684" s="116"/>
      <c r="J684" s="116"/>
      <c r="K684" s="116"/>
      <c r="L684" s="116"/>
      <c r="M684" s="116"/>
      <c r="N684" s="116"/>
      <c r="O684" s="116"/>
      <c r="P684" s="116"/>
      <c r="Q684" s="116"/>
      <c r="R684" s="116"/>
      <c r="S684" s="116"/>
      <c r="T684" s="116"/>
      <c r="U684" s="116"/>
      <c r="V684" s="116"/>
      <c r="W684" s="116"/>
      <c r="X684" s="116"/>
      <c r="Y684" s="116"/>
      <c r="Z684" s="116"/>
    </row>
    <row r="685" spans="1:26" ht="15">
      <c r="A685" s="116"/>
      <c r="B685" s="988"/>
      <c r="C685" s="116"/>
      <c r="D685" s="116"/>
      <c r="E685" s="116"/>
      <c r="F685" s="116"/>
      <c r="G685" s="116"/>
      <c r="H685" s="116"/>
      <c r="I685" s="116"/>
      <c r="J685" s="116"/>
      <c r="K685" s="116"/>
      <c r="L685" s="116"/>
      <c r="M685" s="116"/>
      <c r="N685" s="116"/>
      <c r="O685" s="116"/>
      <c r="P685" s="116"/>
      <c r="Q685" s="116"/>
      <c r="R685" s="116"/>
      <c r="S685" s="116"/>
      <c r="T685" s="116"/>
      <c r="U685" s="116"/>
      <c r="V685" s="116"/>
      <c r="W685" s="116"/>
      <c r="X685" s="116"/>
      <c r="Y685" s="116"/>
      <c r="Z685" s="116"/>
    </row>
    <row r="686" spans="1:26" ht="15">
      <c r="A686" s="116"/>
      <c r="B686" s="988"/>
      <c r="C686" s="116"/>
      <c r="D686" s="116"/>
      <c r="E686" s="116"/>
      <c r="F686" s="116"/>
      <c r="G686" s="116"/>
      <c r="H686" s="116"/>
      <c r="I686" s="116"/>
      <c r="J686" s="116"/>
      <c r="K686" s="116"/>
      <c r="L686" s="116"/>
      <c r="M686" s="116"/>
      <c r="N686" s="116"/>
      <c r="O686" s="116"/>
      <c r="P686" s="116"/>
      <c r="Q686" s="116"/>
      <c r="R686" s="116"/>
      <c r="S686" s="116"/>
      <c r="T686" s="116"/>
      <c r="U686" s="116"/>
      <c r="V686" s="116"/>
      <c r="W686" s="116"/>
      <c r="X686" s="116"/>
      <c r="Y686" s="116"/>
      <c r="Z686" s="116"/>
    </row>
    <row r="687" spans="1:26" ht="15">
      <c r="A687" s="116"/>
      <c r="B687" s="988"/>
      <c r="C687" s="116"/>
      <c r="D687" s="116"/>
      <c r="E687" s="116"/>
      <c r="F687" s="116"/>
      <c r="G687" s="116"/>
      <c r="H687" s="116"/>
      <c r="I687" s="116"/>
      <c r="J687" s="116"/>
      <c r="K687" s="116"/>
      <c r="L687" s="116"/>
      <c r="M687" s="116"/>
      <c r="N687" s="116"/>
      <c r="O687" s="116"/>
      <c r="P687" s="116"/>
      <c r="Q687" s="116"/>
      <c r="R687" s="116"/>
      <c r="S687" s="116"/>
      <c r="T687" s="116"/>
      <c r="U687" s="116"/>
      <c r="V687" s="116"/>
      <c r="W687" s="116"/>
      <c r="X687" s="116"/>
      <c r="Y687" s="116"/>
      <c r="Z687" s="116"/>
    </row>
    <row r="688" spans="1:26" ht="15">
      <c r="A688" s="116"/>
      <c r="B688" s="988"/>
      <c r="C688" s="116"/>
      <c r="D688" s="116"/>
      <c r="E688" s="116"/>
      <c r="F688" s="116"/>
      <c r="G688" s="116"/>
      <c r="H688" s="116"/>
      <c r="I688" s="116"/>
      <c r="J688" s="116"/>
      <c r="K688" s="116"/>
      <c r="L688" s="116"/>
      <c r="M688" s="116"/>
      <c r="N688" s="116"/>
      <c r="O688" s="116"/>
      <c r="P688" s="116"/>
      <c r="Q688" s="116"/>
      <c r="R688" s="116"/>
      <c r="S688" s="116"/>
      <c r="T688" s="116"/>
      <c r="U688" s="116"/>
      <c r="V688" s="116"/>
      <c r="W688" s="116"/>
      <c r="X688" s="116"/>
      <c r="Y688" s="116"/>
      <c r="Z688" s="116"/>
    </row>
    <row r="689" spans="1:26" ht="15">
      <c r="A689" s="116"/>
      <c r="B689" s="988"/>
      <c r="C689" s="116"/>
      <c r="D689" s="116"/>
      <c r="E689" s="116"/>
      <c r="F689" s="116"/>
      <c r="G689" s="116"/>
      <c r="H689" s="116"/>
      <c r="I689" s="116"/>
      <c r="J689" s="116"/>
      <c r="K689" s="116"/>
      <c r="L689" s="116"/>
      <c r="M689" s="116"/>
      <c r="N689" s="116"/>
      <c r="O689" s="116"/>
      <c r="P689" s="116"/>
      <c r="Q689" s="116"/>
      <c r="R689" s="116"/>
      <c r="S689" s="116"/>
      <c r="T689" s="116"/>
      <c r="U689" s="116"/>
      <c r="V689" s="116"/>
      <c r="W689" s="116"/>
      <c r="X689" s="116"/>
      <c r="Y689" s="116"/>
      <c r="Z689" s="116"/>
    </row>
    <row r="690" spans="1:26" ht="15">
      <c r="A690" s="116"/>
      <c r="B690" s="988"/>
      <c r="C690" s="116"/>
      <c r="D690" s="116"/>
      <c r="E690" s="116"/>
      <c r="F690" s="116"/>
      <c r="G690" s="116"/>
      <c r="H690" s="116"/>
      <c r="I690" s="116"/>
      <c r="J690" s="116"/>
      <c r="K690" s="116"/>
      <c r="L690" s="116"/>
      <c r="M690" s="116"/>
      <c r="N690" s="116"/>
      <c r="O690" s="116"/>
      <c r="P690" s="116"/>
      <c r="Q690" s="116"/>
      <c r="R690" s="116"/>
      <c r="S690" s="116"/>
      <c r="T690" s="116"/>
      <c r="U690" s="116"/>
      <c r="V690" s="116"/>
      <c r="W690" s="116"/>
      <c r="X690" s="116"/>
      <c r="Y690" s="116"/>
      <c r="Z690" s="116"/>
    </row>
    <row r="691" spans="1:26" ht="15">
      <c r="A691" s="116"/>
      <c r="B691" s="988"/>
      <c r="C691" s="116"/>
      <c r="D691" s="116"/>
      <c r="E691" s="116"/>
      <c r="F691" s="116"/>
      <c r="G691" s="116"/>
      <c r="H691" s="116"/>
      <c r="I691" s="116"/>
      <c r="J691" s="116"/>
      <c r="K691" s="116"/>
      <c r="L691" s="116"/>
      <c r="M691" s="116"/>
      <c r="N691" s="116"/>
      <c r="O691" s="116"/>
      <c r="P691" s="116"/>
      <c r="Q691" s="116"/>
      <c r="R691" s="116"/>
      <c r="S691" s="116"/>
      <c r="T691" s="116"/>
      <c r="U691" s="116"/>
      <c r="V691" s="116"/>
      <c r="W691" s="116"/>
      <c r="X691" s="116"/>
      <c r="Y691" s="116"/>
      <c r="Z691" s="116"/>
    </row>
    <row r="692" spans="1:26" ht="15">
      <c r="A692" s="116"/>
      <c r="B692" s="988"/>
      <c r="C692" s="116"/>
      <c r="D692" s="116"/>
      <c r="E692" s="116"/>
      <c r="F692" s="116"/>
      <c r="G692" s="116"/>
      <c r="H692" s="116"/>
      <c r="I692" s="116"/>
      <c r="J692" s="116"/>
      <c r="K692" s="116"/>
      <c r="L692" s="116"/>
      <c r="M692" s="116"/>
      <c r="N692" s="116"/>
      <c r="O692" s="116"/>
      <c r="P692" s="116"/>
      <c r="Q692" s="116"/>
      <c r="R692" s="116"/>
      <c r="S692" s="116"/>
      <c r="T692" s="116"/>
      <c r="U692" s="116"/>
      <c r="V692" s="116"/>
      <c r="W692" s="116"/>
      <c r="X692" s="116"/>
      <c r="Y692" s="116"/>
      <c r="Z692" s="116"/>
    </row>
    <row r="693" spans="1:26" ht="15">
      <c r="A693" s="116"/>
      <c r="B693" s="988"/>
      <c r="C693" s="116"/>
      <c r="D693" s="116"/>
      <c r="E693" s="116"/>
      <c r="F693" s="116"/>
      <c r="G693" s="116"/>
      <c r="H693" s="116"/>
      <c r="I693" s="116"/>
      <c r="J693" s="116"/>
      <c r="K693" s="116"/>
      <c r="L693" s="116"/>
      <c r="M693" s="116"/>
      <c r="N693" s="116"/>
      <c r="O693" s="116"/>
      <c r="P693" s="116"/>
      <c r="Q693" s="116"/>
      <c r="R693" s="116"/>
      <c r="S693" s="116"/>
      <c r="T693" s="116"/>
      <c r="U693" s="116"/>
      <c r="V693" s="116"/>
      <c r="W693" s="116"/>
      <c r="X693" s="116"/>
      <c r="Y693" s="116"/>
      <c r="Z693" s="116"/>
    </row>
    <row r="694" spans="1:26" ht="15">
      <c r="A694" s="116"/>
      <c r="B694" s="988"/>
      <c r="C694" s="116"/>
      <c r="D694" s="116"/>
      <c r="E694" s="116"/>
      <c r="F694" s="116"/>
      <c r="G694" s="116"/>
      <c r="H694" s="116"/>
      <c r="I694" s="116"/>
      <c r="J694" s="116"/>
      <c r="K694" s="116"/>
      <c r="L694" s="116"/>
      <c r="M694" s="116"/>
      <c r="N694" s="116"/>
      <c r="O694" s="116"/>
      <c r="P694" s="116"/>
      <c r="Q694" s="116"/>
      <c r="R694" s="116"/>
      <c r="S694" s="116"/>
      <c r="T694" s="116"/>
      <c r="U694" s="116"/>
      <c r="V694" s="116"/>
      <c r="W694" s="116"/>
      <c r="X694" s="116"/>
      <c r="Y694" s="116"/>
      <c r="Z694" s="116"/>
    </row>
    <row r="695" spans="1:26" ht="15">
      <c r="A695" s="116"/>
      <c r="B695" s="988"/>
      <c r="C695" s="116"/>
      <c r="D695" s="116"/>
      <c r="E695" s="116"/>
      <c r="F695" s="116"/>
      <c r="G695" s="116"/>
      <c r="H695" s="116"/>
      <c r="I695" s="116"/>
      <c r="J695" s="116"/>
      <c r="K695" s="116"/>
      <c r="L695" s="116"/>
      <c r="M695" s="116"/>
      <c r="N695" s="116"/>
      <c r="O695" s="116"/>
      <c r="P695" s="116"/>
      <c r="Q695" s="116"/>
      <c r="R695" s="116"/>
      <c r="S695" s="116"/>
      <c r="T695" s="116"/>
      <c r="U695" s="116"/>
      <c r="V695" s="116"/>
      <c r="W695" s="116"/>
      <c r="X695" s="116"/>
      <c r="Y695" s="116"/>
      <c r="Z695" s="116"/>
    </row>
    <row r="696" spans="1:26" ht="15">
      <c r="A696" s="116"/>
      <c r="B696" s="988"/>
      <c r="C696" s="116"/>
      <c r="D696" s="116"/>
      <c r="E696" s="116"/>
      <c r="F696" s="116"/>
      <c r="G696" s="116"/>
      <c r="H696" s="116"/>
      <c r="I696" s="116"/>
      <c r="J696" s="116"/>
      <c r="K696" s="116"/>
      <c r="L696" s="116"/>
      <c r="M696" s="116"/>
      <c r="N696" s="116"/>
      <c r="O696" s="116"/>
      <c r="P696" s="116"/>
      <c r="Q696" s="116"/>
      <c r="R696" s="116"/>
      <c r="S696" s="116"/>
      <c r="T696" s="116"/>
      <c r="U696" s="116"/>
      <c r="V696" s="116"/>
      <c r="W696" s="116"/>
      <c r="X696" s="116"/>
      <c r="Y696" s="116"/>
      <c r="Z696" s="116"/>
    </row>
    <row r="697" spans="1:26" ht="15">
      <c r="A697" s="116"/>
      <c r="B697" s="988"/>
      <c r="C697" s="116"/>
      <c r="D697" s="116"/>
      <c r="E697" s="116"/>
      <c r="F697" s="116"/>
      <c r="G697" s="116"/>
      <c r="H697" s="116"/>
      <c r="I697" s="116"/>
      <c r="J697" s="116"/>
      <c r="K697" s="116"/>
      <c r="L697" s="116"/>
      <c r="M697" s="116"/>
      <c r="N697" s="116"/>
      <c r="O697" s="116"/>
      <c r="P697" s="116"/>
      <c r="Q697" s="116"/>
      <c r="R697" s="116"/>
      <c r="S697" s="116"/>
      <c r="T697" s="116"/>
      <c r="U697" s="116"/>
      <c r="V697" s="116"/>
      <c r="W697" s="116"/>
      <c r="X697" s="116"/>
      <c r="Y697" s="116"/>
      <c r="Z697" s="116"/>
    </row>
    <row r="698" spans="1:26" ht="15">
      <c r="A698" s="116"/>
      <c r="B698" s="988"/>
      <c r="C698" s="116"/>
      <c r="D698" s="116"/>
      <c r="E698" s="116"/>
      <c r="F698" s="116"/>
      <c r="G698" s="116"/>
      <c r="H698" s="116"/>
      <c r="I698" s="116"/>
      <c r="J698" s="116"/>
      <c r="K698" s="116"/>
      <c r="L698" s="116"/>
      <c r="M698" s="116"/>
      <c r="N698" s="116"/>
      <c r="O698" s="116"/>
      <c r="P698" s="116"/>
      <c r="Q698" s="116"/>
      <c r="R698" s="116"/>
      <c r="S698" s="116"/>
      <c r="T698" s="116"/>
      <c r="U698" s="116"/>
      <c r="V698" s="116"/>
      <c r="W698" s="116"/>
      <c r="X698" s="116"/>
      <c r="Y698" s="116"/>
      <c r="Z698" s="116"/>
    </row>
    <row r="699" spans="1:26" ht="15">
      <c r="A699" s="116"/>
      <c r="B699" s="988"/>
      <c r="C699" s="116"/>
      <c r="D699" s="116"/>
      <c r="E699" s="116"/>
      <c r="F699" s="116"/>
      <c r="G699" s="116"/>
      <c r="H699" s="116"/>
      <c r="I699" s="116"/>
      <c r="J699" s="116"/>
      <c r="K699" s="116"/>
      <c r="L699" s="116"/>
      <c r="M699" s="116"/>
      <c r="N699" s="116"/>
      <c r="O699" s="116"/>
      <c r="P699" s="116"/>
      <c r="Q699" s="116"/>
      <c r="R699" s="116"/>
      <c r="S699" s="116"/>
      <c r="T699" s="116"/>
      <c r="U699" s="116"/>
      <c r="V699" s="116"/>
      <c r="W699" s="116"/>
      <c r="X699" s="116"/>
      <c r="Y699" s="116"/>
      <c r="Z699" s="116"/>
    </row>
    <row r="700" spans="1:26" ht="15">
      <c r="A700" s="116"/>
      <c r="B700" s="988"/>
      <c r="C700" s="116"/>
      <c r="D700" s="116"/>
      <c r="E700" s="116"/>
      <c r="F700" s="116"/>
      <c r="G700" s="116"/>
      <c r="H700" s="116"/>
      <c r="I700" s="116"/>
      <c r="J700" s="116"/>
      <c r="K700" s="116"/>
      <c r="L700" s="116"/>
      <c r="M700" s="116"/>
      <c r="N700" s="116"/>
      <c r="O700" s="116"/>
      <c r="P700" s="116"/>
      <c r="Q700" s="116"/>
      <c r="R700" s="116"/>
      <c r="S700" s="116"/>
      <c r="T700" s="116"/>
      <c r="U700" s="116"/>
      <c r="V700" s="116"/>
      <c r="W700" s="116"/>
      <c r="X700" s="116"/>
      <c r="Y700" s="116"/>
      <c r="Z700" s="116"/>
    </row>
    <row r="701" spans="1:26" ht="15">
      <c r="A701" s="116"/>
      <c r="B701" s="988"/>
      <c r="C701" s="116"/>
      <c r="D701" s="116"/>
      <c r="E701" s="116"/>
      <c r="F701" s="116"/>
      <c r="G701" s="116"/>
      <c r="H701" s="116"/>
      <c r="I701" s="116"/>
      <c r="J701" s="116"/>
      <c r="K701" s="116"/>
      <c r="L701" s="116"/>
      <c r="M701" s="116"/>
      <c r="N701" s="116"/>
      <c r="O701" s="116"/>
      <c r="P701" s="116"/>
      <c r="Q701" s="116"/>
      <c r="R701" s="116"/>
      <c r="S701" s="116"/>
      <c r="T701" s="116"/>
      <c r="U701" s="116"/>
      <c r="V701" s="116"/>
      <c r="W701" s="116"/>
      <c r="X701" s="116"/>
      <c r="Y701" s="116"/>
      <c r="Z701" s="116"/>
    </row>
    <row r="702" spans="1:26" ht="15">
      <c r="A702" s="116"/>
      <c r="B702" s="988"/>
      <c r="C702" s="116"/>
      <c r="D702" s="116"/>
      <c r="E702" s="116"/>
      <c r="F702" s="116"/>
      <c r="G702" s="116"/>
      <c r="H702" s="116"/>
      <c r="I702" s="116"/>
      <c r="J702" s="116"/>
      <c r="K702" s="116"/>
      <c r="L702" s="116"/>
      <c r="M702" s="116"/>
      <c r="N702" s="116"/>
      <c r="O702" s="116"/>
      <c r="P702" s="116"/>
      <c r="Q702" s="116"/>
      <c r="R702" s="116"/>
      <c r="S702" s="116"/>
      <c r="T702" s="116"/>
      <c r="U702" s="116"/>
      <c r="V702" s="116"/>
      <c r="W702" s="116"/>
      <c r="X702" s="116"/>
      <c r="Y702" s="116"/>
      <c r="Z702" s="116"/>
    </row>
    <row r="703" spans="1:26" ht="15">
      <c r="A703" s="116"/>
      <c r="B703" s="988"/>
      <c r="C703" s="116"/>
      <c r="D703" s="116"/>
      <c r="E703" s="116"/>
      <c r="F703" s="116"/>
      <c r="G703" s="116"/>
      <c r="H703" s="116"/>
      <c r="I703" s="116"/>
      <c r="J703" s="116"/>
      <c r="K703" s="116"/>
      <c r="L703" s="116"/>
      <c r="M703" s="116"/>
      <c r="N703" s="116"/>
      <c r="O703" s="116"/>
      <c r="P703" s="116"/>
      <c r="Q703" s="116"/>
      <c r="R703" s="116"/>
      <c r="S703" s="116"/>
      <c r="T703" s="116"/>
      <c r="U703" s="116"/>
      <c r="V703" s="116"/>
      <c r="W703" s="116"/>
      <c r="X703" s="116"/>
      <c r="Y703" s="116"/>
      <c r="Z703" s="116"/>
    </row>
    <row r="704" spans="1:26" ht="15">
      <c r="A704" s="116"/>
      <c r="B704" s="988"/>
      <c r="C704" s="116"/>
      <c r="D704" s="116"/>
      <c r="E704" s="116"/>
      <c r="F704" s="116"/>
      <c r="G704" s="116"/>
      <c r="H704" s="116"/>
      <c r="I704" s="116"/>
      <c r="J704" s="116"/>
      <c r="K704" s="116"/>
      <c r="L704" s="116"/>
      <c r="M704" s="116"/>
      <c r="N704" s="116"/>
      <c r="O704" s="116"/>
      <c r="P704" s="116"/>
      <c r="Q704" s="116"/>
      <c r="R704" s="116"/>
      <c r="S704" s="116"/>
      <c r="T704" s="116"/>
      <c r="U704" s="116"/>
      <c r="V704" s="116"/>
      <c r="W704" s="116"/>
      <c r="X704" s="116"/>
      <c r="Y704" s="116"/>
      <c r="Z704" s="116"/>
    </row>
    <row r="705" spans="1:26" ht="15">
      <c r="A705" s="116"/>
      <c r="B705" s="988"/>
      <c r="C705" s="116"/>
      <c r="D705" s="116"/>
      <c r="E705" s="116"/>
      <c r="F705" s="116"/>
      <c r="G705" s="116"/>
      <c r="H705" s="116"/>
      <c r="I705" s="116"/>
      <c r="J705" s="116"/>
      <c r="K705" s="116"/>
      <c r="L705" s="116"/>
      <c r="M705" s="116"/>
      <c r="N705" s="116"/>
      <c r="O705" s="116"/>
      <c r="P705" s="116"/>
      <c r="Q705" s="116"/>
      <c r="R705" s="116"/>
      <c r="S705" s="116"/>
      <c r="T705" s="116"/>
      <c r="U705" s="116"/>
      <c r="V705" s="116"/>
      <c r="W705" s="116"/>
      <c r="X705" s="116"/>
      <c r="Y705" s="116"/>
      <c r="Z705" s="116"/>
    </row>
    <row r="706" spans="1:26" ht="15">
      <c r="A706" s="116"/>
      <c r="B706" s="988"/>
      <c r="C706" s="116"/>
      <c r="D706" s="116"/>
      <c r="E706" s="116"/>
      <c r="F706" s="116"/>
      <c r="G706" s="116"/>
      <c r="H706" s="116"/>
      <c r="I706" s="116"/>
      <c r="J706" s="116"/>
      <c r="K706" s="116"/>
      <c r="L706" s="116"/>
      <c r="M706" s="116"/>
      <c r="N706" s="116"/>
      <c r="O706" s="116"/>
      <c r="P706" s="116"/>
      <c r="Q706" s="116"/>
      <c r="R706" s="116"/>
      <c r="S706" s="116"/>
      <c r="T706" s="116"/>
      <c r="U706" s="116"/>
      <c r="V706" s="116"/>
      <c r="W706" s="116"/>
      <c r="X706" s="116"/>
      <c r="Y706" s="116"/>
      <c r="Z706" s="116"/>
    </row>
    <row r="707" spans="1:26" ht="15">
      <c r="A707" s="116"/>
      <c r="B707" s="988"/>
      <c r="C707" s="116"/>
      <c r="D707" s="116"/>
      <c r="E707" s="116"/>
      <c r="F707" s="116"/>
      <c r="G707" s="116"/>
      <c r="H707" s="116"/>
      <c r="I707" s="116"/>
      <c r="J707" s="116"/>
      <c r="K707" s="116"/>
      <c r="L707" s="116"/>
      <c r="M707" s="116"/>
      <c r="N707" s="116"/>
      <c r="O707" s="116"/>
      <c r="P707" s="116"/>
      <c r="Q707" s="116"/>
      <c r="R707" s="116"/>
      <c r="S707" s="116"/>
      <c r="T707" s="116"/>
      <c r="U707" s="116"/>
      <c r="V707" s="116"/>
      <c r="W707" s="116"/>
      <c r="X707" s="116"/>
      <c r="Y707" s="116"/>
      <c r="Z707" s="116"/>
    </row>
    <row r="708" spans="1:26" ht="15">
      <c r="A708" s="116"/>
      <c r="B708" s="988"/>
      <c r="C708" s="116"/>
      <c r="D708" s="116"/>
      <c r="E708" s="116"/>
      <c r="F708" s="116"/>
      <c r="G708" s="116"/>
      <c r="H708" s="116"/>
      <c r="I708" s="116"/>
      <c r="J708" s="116"/>
      <c r="K708" s="116"/>
      <c r="L708" s="116"/>
      <c r="M708" s="116"/>
      <c r="N708" s="116"/>
      <c r="O708" s="116"/>
      <c r="P708" s="116"/>
      <c r="Q708" s="116"/>
      <c r="R708" s="116"/>
      <c r="S708" s="116"/>
      <c r="T708" s="116"/>
      <c r="U708" s="116"/>
      <c r="V708" s="116"/>
      <c r="W708" s="116"/>
      <c r="X708" s="116"/>
      <c r="Y708" s="116"/>
      <c r="Z708" s="116"/>
    </row>
    <row r="709" spans="1:26" ht="15">
      <c r="A709" s="116"/>
      <c r="B709" s="988"/>
      <c r="C709" s="116"/>
      <c r="D709" s="116"/>
      <c r="E709" s="116"/>
      <c r="F709" s="116"/>
      <c r="G709" s="116"/>
      <c r="H709" s="116"/>
      <c r="I709" s="116"/>
      <c r="J709" s="116"/>
      <c r="K709" s="116"/>
      <c r="L709" s="116"/>
      <c r="M709" s="116"/>
      <c r="N709" s="116"/>
      <c r="O709" s="116"/>
      <c r="P709" s="116"/>
      <c r="Q709" s="116"/>
      <c r="R709" s="116"/>
      <c r="S709" s="116"/>
      <c r="T709" s="116"/>
      <c r="U709" s="116"/>
      <c r="V709" s="116"/>
      <c r="W709" s="116"/>
      <c r="X709" s="116"/>
      <c r="Y709" s="116"/>
      <c r="Z709" s="116"/>
    </row>
    <row r="710" spans="1:26" ht="15">
      <c r="A710" s="116"/>
      <c r="B710" s="988"/>
      <c r="C710" s="116"/>
      <c r="D710" s="116"/>
      <c r="E710" s="116"/>
      <c r="F710" s="116"/>
      <c r="G710" s="116"/>
      <c r="H710" s="116"/>
      <c r="I710" s="116"/>
      <c r="J710" s="116"/>
      <c r="K710" s="116"/>
      <c r="L710" s="116"/>
      <c r="M710" s="116"/>
      <c r="N710" s="116"/>
      <c r="O710" s="116"/>
      <c r="P710" s="116"/>
      <c r="Q710" s="116"/>
      <c r="R710" s="116"/>
      <c r="S710" s="116"/>
      <c r="T710" s="116"/>
      <c r="U710" s="116"/>
      <c r="V710" s="116"/>
      <c r="W710" s="116"/>
      <c r="X710" s="116"/>
      <c r="Y710" s="116"/>
      <c r="Z710" s="116"/>
    </row>
    <row r="711" spans="1:26" ht="15">
      <c r="A711" s="116"/>
      <c r="B711" s="988"/>
      <c r="C711" s="116"/>
      <c r="D711" s="116"/>
      <c r="E711" s="116"/>
      <c r="F711" s="116"/>
      <c r="G711" s="116"/>
      <c r="H711" s="116"/>
      <c r="I711" s="116"/>
      <c r="J711" s="116"/>
      <c r="K711" s="116"/>
      <c r="L711" s="116"/>
      <c r="M711" s="116"/>
      <c r="N711" s="116"/>
      <c r="O711" s="116"/>
      <c r="P711" s="116"/>
      <c r="Q711" s="116"/>
      <c r="R711" s="116"/>
      <c r="S711" s="116"/>
      <c r="T711" s="116"/>
      <c r="U711" s="116"/>
      <c r="V711" s="116"/>
      <c r="W711" s="116"/>
      <c r="X711" s="116"/>
      <c r="Y711" s="116"/>
      <c r="Z711" s="116"/>
    </row>
    <row r="712" spans="1:26" ht="15">
      <c r="A712" s="116"/>
      <c r="B712" s="988"/>
      <c r="C712" s="116"/>
      <c r="D712" s="116"/>
      <c r="E712" s="116"/>
      <c r="F712" s="116"/>
      <c r="G712" s="116"/>
      <c r="H712" s="116"/>
      <c r="I712" s="116"/>
      <c r="J712" s="116"/>
      <c r="K712" s="116"/>
      <c r="L712" s="116"/>
      <c r="M712" s="116"/>
      <c r="N712" s="116"/>
      <c r="O712" s="116"/>
      <c r="P712" s="116"/>
      <c r="Q712" s="116"/>
      <c r="R712" s="116"/>
      <c r="S712" s="116"/>
      <c r="T712" s="116"/>
      <c r="U712" s="116"/>
      <c r="V712" s="116"/>
      <c r="W712" s="116"/>
      <c r="X712" s="116"/>
      <c r="Y712" s="116"/>
      <c r="Z712" s="116"/>
    </row>
    <row r="713" spans="1:26" ht="15">
      <c r="A713" s="116"/>
      <c r="B713" s="988"/>
      <c r="C713" s="116"/>
      <c r="D713" s="116"/>
      <c r="E713" s="116"/>
      <c r="F713" s="116"/>
      <c r="G713" s="116"/>
      <c r="H713" s="116"/>
      <c r="I713" s="116"/>
      <c r="J713" s="116"/>
      <c r="K713" s="116"/>
      <c r="L713" s="116"/>
      <c r="M713" s="116"/>
      <c r="N713" s="116"/>
      <c r="O713" s="116"/>
      <c r="P713" s="116"/>
      <c r="Q713" s="116"/>
      <c r="R713" s="116"/>
      <c r="S713" s="116"/>
      <c r="T713" s="116"/>
      <c r="U713" s="116"/>
      <c r="V713" s="116"/>
      <c r="W713" s="116"/>
      <c r="X713" s="116"/>
      <c r="Y713" s="116"/>
      <c r="Z713" s="116"/>
    </row>
    <row r="714" spans="1:26" ht="15">
      <c r="A714" s="116"/>
      <c r="B714" s="988"/>
      <c r="C714" s="116"/>
      <c r="D714" s="116"/>
      <c r="E714" s="116"/>
      <c r="F714" s="116"/>
      <c r="G714" s="116"/>
      <c r="H714" s="116"/>
      <c r="I714" s="116"/>
      <c r="J714" s="116"/>
      <c r="K714" s="116"/>
      <c r="L714" s="116"/>
      <c r="M714" s="116"/>
      <c r="N714" s="116"/>
      <c r="O714" s="116"/>
      <c r="P714" s="116"/>
      <c r="Q714" s="116"/>
      <c r="R714" s="116"/>
      <c r="S714" s="116"/>
      <c r="T714" s="116"/>
      <c r="U714" s="116"/>
      <c r="V714" s="116"/>
      <c r="W714" s="116"/>
      <c r="X714" s="116"/>
      <c r="Y714" s="116"/>
      <c r="Z714" s="116"/>
    </row>
    <row r="715" spans="1:26" ht="15">
      <c r="A715" s="116"/>
      <c r="B715" s="988"/>
      <c r="C715" s="116"/>
      <c r="D715" s="116"/>
      <c r="E715" s="116"/>
      <c r="F715" s="116"/>
      <c r="G715" s="116"/>
      <c r="H715" s="116"/>
      <c r="I715" s="116"/>
      <c r="J715" s="116"/>
      <c r="K715" s="116"/>
      <c r="L715" s="116"/>
      <c r="M715" s="116"/>
      <c r="N715" s="116"/>
      <c r="O715" s="116"/>
      <c r="P715" s="116"/>
      <c r="Q715" s="116"/>
      <c r="R715" s="116"/>
      <c r="S715" s="116"/>
      <c r="T715" s="116"/>
      <c r="U715" s="116"/>
      <c r="V715" s="116"/>
      <c r="W715" s="116"/>
      <c r="X715" s="116"/>
      <c r="Y715" s="116"/>
      <c r="Z715" s="116"/>
    </row>
    <row r="716" spans="1:26" ht="15">
      <c r="A716" s="116"/>
      <c r="B716" s="988"/>
      <c r="C716" s="116"/>
      <c r="D716" s="116"/>
      <c r="E716" s="116"/>
      <c r="F716" s="116"/>
      <c r="G716" s="116"/>
      <c r="H716" s="116"/>
      <c r="I716" s="116"/>
      <c r="J716" s="116"/>
      <c r="K716" s="116"/>
      <c r="L716" s="116"/>
      <c r="M716" s="116"/>
      <c r="N716" s="116"/>
      <c r="O716" s="116"/>
      <c r="P716" s="116"/>
      <c r="Q716" s="116"/>
      <c r="R716" s="116"/>
      <c r="S716" s="116"/>
      <c r="T716" s="116"/>
      <c r="U716" s="116"/>
      <c r="V716" s="116"/>
      <c r="W716" s="116"/>
      <c r="X716" s="116"/>
      <c r="Y716" s="116"/>
      <c r="Z716" s="116"/>
    </row>
    <row r="717" spans="1:26" ht="15">
      <c r="A717" s="116"/>
      <c r="B717" s="988"/>
      <c r="C717" s="116"/>
      <c r="D717" s="116"/>
      <c r="E717" s="116"/>
      <c r="F717" s="116"/>
      <c r="G717" s="116"/>
      <c r="H717" s="116"/>
      <c r="I717" s="116"/>
      <c r="J717" s="116"/>
      <c r="K717" s="116"/>
      <c r="L717" s="116"/>
      <c r="M717" s="116"/>
      <c r="N717" s="116"/>
      <c r="O717" s="116"/>
      <c r="P717" s="116"/>
      <c r="Q717" s="116"/>
      <c r="R717" s="116"/>
      <c r="S717" s="116"/>
      <c r="T717" s="116"/>
      <c r="U717" s="116"/>
      <c r="V717" s="116"/>
      <c r="W717" s="116"/>
      <c r="X717" s="116"/>
      <c r="Y717" s="116"/>
      <c r="Z717" s="116"/>
    </row>
    <row r="718" spans="1:26" ht="15">
      <c r="A718" s="116"/>
      <c r="B718" s="988"/>
      <c r="C718" s="116"/>
      <c r="D718" s="116"/>
      <c r="E718" s="116"/>
      <c r="F718" s="116"/>
      <c r="G718" s="116"/>
      <c r="H718" s="116"/>
      <c r="I718" s="116"/>
      <c r="J718" s="116"/>
      <c r="K718" s="116"/>
      <c r="L718" s="116"/>
      <c r="M718" s="116"/>
      <c r="N718" s="116"/>
      <c r="O718" s="116"/>
      <c r="P718" s="116"/>
      <c r="Q718" s="116"/>
      <c r="R718" s="116"/>
      <c r="S718" s="116"/>
      <c r="T718" s="116"/>
      <c r="U718" s="116"/>
      <c r="V718" s="116"/>
      <c r="W718" s="116"/>
      <c r="X718" s="116"/>
      <c r="Y718" s="116"/>
      <c r="Z718" s="116"/>
    </row>
    <row r="719" spans="1:26" ht="15">
      <c r="A719" s="116"/>
      <c r="B719" s="988"/>
      <c r="C719" s="116"/>
      <c r="D719" s="116"/>
      <c r="E719" s="116"/>
      <c r="F719" s="116"/>
      <c r="G719" s="116"/>
      <c r="H719" s="116"/>
      <c r="I719" s="116"/>
      <c r="J719" s="116"/>
      <c r="K719" s="116"/>
      <c r="L719" s="116"/>
      <c r="M719" s="116"/>
      <c r="N719" s="116"/>
      <c r="O719" s="116"/>
      <c r="P719" s="116"/>
      <c r="Q719" s="116"/>
      <c r="R719" s="116"/>
      <c r="S719" s="116"/>
      <c r="T719" s="116"/>
      <c r="U719" s="116"/>
      <c r="V719" s="116"/>
      <c r="W719" s="116"/>
      <c r="X719" s="116"/>
      <c r="Y719" s="116"/>
      <c r="Z719" s="116"/>
    </row>
    <row r="720" spans="1:26" ht="15">
      <c r="A720" s="116"/>
      <c r="B720" s="988"/>
      <c r="C720" s="116"/>
      <c r="D720" s="116"/>
      <c r="E720" s="116"/>
      <c r="F720" s="116"/>
      <c r="G720" s="116"/>
      <c r="H720" s="116"/>
      <c r="I720" s="116"/>
      <c r="J720" s="116"/>
      <c r="K720" s="116"/>
      <c r="L720" s="116"/>
      <c r="M720" s="116"/>
      <c r="N720" s="116"/>
      <c r="O720" s="116"/>
      <c r="P720" s="116"/>
      <c r="Q720" s="116"/>
      <c r="R720" s="116"/>
      <c r="S720" s="116"/>
      <c r="T720" s="116"/>
      <c r="U720" s="116"/>
      <c r="V720" s="116"/>
      <c r="W720" s="116"/>
      <c r="X720" s="116"/>
      <c r="Y720" s="116"/>
      <c r="Z720" s="116"/>
    </row>
    <row r="721" spans="1:26" ht="15">
      <c r="A721" s="116"/>
      <c r="B721" s="988"/>
      <c r="C721" s="116"/>
      <c r="D721" s="116"/>
      <c r="E721" s="116"/>
      <c r="F721" s="116"/>
      <c r="G721" s="116"/>
      <c r="H721" s="116"/>
      <c r="I721" s="116"/>
      <c r="J721" s="116"/>
      <c r="K721" s="116"/>
      <c r="L721" s="116"/>
      <c r="M721" s="116"/>
      <c r="N721" s="116"/>
      <c r="O721" s="116"/>
      <c r="P721" s="116"/>
      <c r="Q721" s="116"/>
      <c r="R721" s="116"/>
      <c r="S721" s="116"/>
      <c r="T721" s="116"/>
      <c r="U721" s="116"/>
      <c r="V721" s="116"/>
      <c r="W721" s="116"/>
      <c r="X721" s="116"/>
      <c r="Y721" s="116"/>
      <c r="Z721" s="116"/>
    </row>
    <row r="722" spans="1:26" ht="15">
      <c r="A722" s="116"/>
      <c r="B722" s="988"/>
      <c r="C722" s="116"/>
      <c r="D722" s="116"/>
      <c r="E722" s="116"/>
      <c r="F722" s="116"/>
      <c r="G722" s="116"/>
      <c r="H722" s="116"/>
      <c r="I722" s="116"/>
      <c r="J722" s="116"/>
      <c r="K722" s="116"/>
      <c r="L722" s="116"/>
      <c r="M722" s="116"/>
      <c r="N722" s="116"/>
      <c r="O722" s="116"/>
      <c r="P722" s="116"/>
      <c r="Q722" s="116"/>
      <c r="R722" s="116"/>
      <c r="S722" s="116"/>
      <c r="T722" s="116"/>
      <c r="U722" s="116"/>
      <c r="V722" s="116"/>
      <c r="W722" s="116"/>
      <c r="X722" s="116"/>
      <c r="Y722" s="116"/>
      <c r="Z722" s="116"/>
    </row>
    <row r="723" spans="1:26" ht="15">
      <c r="A723" s="116"/>
      <c r="B723" s="988"/>
      <c r="C723" s="116"/>
      <c r="D723" s="116"/>
      <c r="E723" s="116"/>
      <c r="F723" s="116"/>
      <c r="G723" s="116"/>
      <c r="H723" s="116"/>
      <c r="I723" s="116"/>
      <c r="J723" s="116"/>
      <c r="K723" s="116"/>
      <c r="L723" s="116"/>
      <c r="M723" s="116"/>
      <c r="N723" s="116"/>
      <c r="O723" s="116"/>
      <c r="P723" s="116"/>
      <c r="Q723" s="116"/>
      <c r="R723" s="116"/>
      <c r="S723" s="116"/>
      <c r="T723" s="116"/>
      <c r="U723" s="116"/>
      <c r="V723" s="116"/>
      <c r="W723" s="116"/>
      <c r="X723" s="116"/>
      <c r="Y723" s="116"/>
      <c r="Z723" s="116"/>
    </row>
    <row r="724" spans="1:26" ht="15">
      <c r="A724" s="116"/>
      <c r="B724" s="988"/>
      <c r="C724" s="116"/>
      <c r="D724" s="116"/>
      <c r="E724" s="116"/>
      <c r="F724" s="116"/>
      <c r="G724" s="116"/>
      <c r="H724" s="116"/>
      <c r="I724" s="116"/>
      <c r="J724" s="116"/>
      <c r="K724" s="116"/>
      <c r="L724" s="116"/>
      <c r="M724" s="116"/>
      <c r="N724" s="116"/>
      <c r="O724" s="116"/>
      <c r="P724" s="116"/>
      <c r="Q724" s="116"/>
      <c r="R724" s="116"/>
      <c r="S724" s="116"/>
      <c r="T724" s="116"/>
      <c r="U724" s="116"/>
      <c r="V724" s="116"/>
      <c r="W724" s="116"/>
      <c r="X724" s="116"/>
      <c r="Y724" s="116"/>
      <c r="Z724" s="116"/>
    </row>
    <row r="725" spans="1:26" ht="15">
      <c r="A725" s="116"/>
      <c r="B725" s="988"/>
      <c r="C725" s="116"/>
      <c r="D725" s="116"/>
      <c r="E725" s="116"/>
      <c r="F725" s="116"/>
      <c r="G725" s="116"/>
      <c r="H725" s="116"/>
      <c r="I725" s="116"/>
      <c r="J725" s="116"/>
      <c r="K725" s="116"/>
      <c r="L725" s="116"/>
      <c r="M725" s="116"/>
      <c r="N725" s="116"/>
      <c r="O725" s="116"/>
      <c r="P725" s="116"/>
      <c r="Q725" s="116"/>
      <c r="R725" s="116"/>
      <c r="S725" s="116"/>
      <c r="T725" s="116"/>
      <c r="U725" s="116"/>
      <c r="V725" s="116"/>
      <c r="W725" s="116"/>
      <c r="X725" s="116"/>
      <c r="Y725" s="116"/>
      <c r="Z725" s="116"/>
    </row>
    <row r="726" spans="1:26" ht="15">
      <c r="A726" s="116"/>
      <c r="B726" s="988"/>
      <c r="C726" s="116"/>
      <c r="D726" s="116"/>
      <c r="E726" s="116"/>
      <c r="F726" s="116"/>
      <c r="G726" s="116"/>
      <c r="H726" s="116"/>
      <c r="I726" s="116"/>
      <c r="J726" s="116"/>
      <c r="K726" s="116"/>
      <c r="L726" s="116"/>
      <c r="M726" s="116"/>
      <c r="N726" s="116"/>
      <c r="O726" s="116"/>
      <c r="P726" s="116"/>
      <c r="Q726" s="116"/>
      <c r="R726" s="116"/>
      <c r="S726" s="116"/>
      <c r="T726" s="116"/>
      <c r="U726" s="116"/>
      <c r="V726" s="116"/>
      <c r="W726" s="116"/>
      <c r="X726" s="116"/>
      <c r="Y726" s="116"/>
      <c r="Z726" s="116"/>
    </row>
    <row r="727" spans="1:26" ht="15">
      <c r="A727" s="116"/>
      <c r="B727" s="988"/>
      <c r="C727" s="116"/>
      <c r="D727" s="116"/>
      <c r="E727" s="116"/>
      <c r="F727" s="116"/>
      <c r="G727" s="116"/>
      <c r="H727" s="116"/>
      <c r="I727" s="116"/>
      <c r="J727" s="116"/>
      <c r="K727" s="116"/>
      <c r="L727" s="116"/>
      <c r="M727" s="116"/>
      <c r="N727" s="116"/>
      <c r="O727" s="116"/>
      <c r="P727" s="116"/>
      <c r="Q727" s="116"/>
      <c r="R727" s="116"/>
      <c r="S727" s="116"/>
      <c r="T727" s="116"/>
      <c r="U727" s="116"/>
      <c r="V727" s="116"/>
      <c r="W727" s="116"/>
      <c r="X727" s="116"/>
      <c r="Y727" s="116"/>
      <c r="Z727" s="116"/>
    </row>
    <row r="728" spans="1:26" ht="15">
      <c r="A728" s="116"/>
      <c r="B728" s="988"/>
      <c r="C728" s="116"/>
      <c r="D728" s="116"/>
      <c r="E728" s="116"/>
      <c r="F728" s="116"/>
      <c r="G728" s="116"/>
      <c r="H728" s="116"/>
      <c r="I728" s="116"/>
      <c r="J728" s="116"/>
      <c r="K728" s="116"/>
      <c r="L728" s="116"/>
      <c r="M728" s="116"/>
      <c r="N728" s="116"/>
      <c r="O728" s="116"/>
      <c r="P728" s="116"/>
      <c r="Q728" s="116"/>
      <c r="R728" s="116"/>
      <c r="S728" s="116"/>
      <c r="T728" s="116"/>
      <c r="U728" s="116"/>
      <c r="V728" s="116"/>
      <c r="W728" s="116"/>
      <c r="X728" s="116"/>
      <c r="Y728" s="116"/>
      <c r="Z728" s="116"/>
    </row>
    <row r="729" spans="1:26" ht="15">
      <c r="A729" s="116"/>
      <c r="B729" s="988"/>
      <c r="C729" s="116"/>
      <c r="D729" s="116"/>
      <c r="E729" s="116"/>
      <c r="F729" s="116"/>
      <c r="G729" s="116"/>
      <c r="H729" s="116"/>
      <c r="I729" s="116"/>
      <c r="J729" s="116"/>
      <c r="K729" s="116"/>
      <c r="L729" s="116"/>
      <c r="M729" s="116"/>
      <c r="N729" s="116"/>
      <c r="O729" s="116"/>
      <c r="P729" s="116"/>
      <c r="Q729" s="116"/>
      <c r="R729" s="116"/>
      <c r="S729" s="116"/>
      <c r="T729" s="116"/>
      <c r="U729" s="116"/>
      <c r="V729" s="116"/>
      <c r="W729" s="116"/>
      <c r="X729" s="116"/>
      <c r="Y729" s="116"/>
      <c r="Z729" s="116"/>
    </row>
    <row r="730" spans="1:26" ht="15">
      <c r="A730" s="116"/>
      <c r="B730" s="988"/>
      <c r="C730" s="116"/>
      <c r="D730" s="116"/>
      <c r="E730" s="116"/>
      <c r="F730" s="116"/>
      <c r="G730" s="116"/>
      <c r="H730" s="116"/>
      <c r="I730" s="116"/>
      <c r="J730" s="116"/>
      <c r="K730" s="116"/>
      <c r="L730" s="116"/>
      <c r="M730" s="116"/>
      <c r="N730" s="116"/>
      <c r="O730" s="116"/>
      <c r="P730" s="116"/>
      <c r="Q730" s="116"/>
      <c r="R730" s="116"/>
      <c r="S730" s="116"/>
      <c r="T730" s="116"/>
      <c r="U730" s="116"/>
      <c r="V730" s="116"/>
      <c r="W730" s="116"/>
      <c r="X730" s="116"/>
      <c r="Y730" s="116"/>
      <c r="Z730" s="116"/>
    </row>
    <row r="731" spans="1:26" ht="15">
      <c r="A731" s="116"/>
      <c r="B731" s="988"/>
      <c r="C731" s="116"/>
      <c r="D731" s="116"/>
      <c r="E731" s="116"/>
      <c r="F731" s="116"/>
      <c r="G731" s="116"/>
      <c r="H731" s="116"/>
      <c r="I731" s="116"/>
      <c r="J731" s="116"/>
      <c r="K731" s="116"/>
      <c r="L731" s="116"/>
      <c r="M731" s="116"/>
      <c r="N731" s="116"/>
      <c r="O731" s="116"/>
      <c r="P731" s="116"/>
      <c r="Q731" s="116"/>
      <c r="R731" s="116"/>
      <c r="S731" s="116"/>
      <c r="T731" s="116"/>
      <c r="U731" s="116"/>
      <c r="V731" s="116"/>
      <c r="W731" s="116"/>
      <c r="X731" s="116"/>
      <c r="Y731" s="116"/>
      <c r="Z731" s="116"/>
    </row>
    <row r="732" spans="1:26" ht="15">
      <c r="A732" s="116"/>
      <c r="B732" s="988"/>
      <c r="C732" s="116"/>
      <c r="D732" s="116"/>
      <c r="E732" s="116"/>
      <c r="F732" s="116"/>
      <c r="G732" s="116"/>
      <c r="H732" s="116"/>
      <c r="I732" s="116"/>
      <c r="J732" s="116"/>
      <c r="K732" s="116"/>
      <c r="L732" s="116"/>
      <c r="M732" s="116"/>
      <c r="N732" s="116"/>
      <c r="O732" s="116"/>
      <c r="P732" s="116"/>
      <c r="Q732" s="116"/>
      <c r="R732" s="116"/>
      <c r="S732" s="116"/>
      <c r="T732" s="116"/>
      <c r="U732" s="116"/>
      <c r="V732" s="116"/>
      <c r="W732" s="116"/>
      <c r="X732" s="116"/>
      <c r="Y732" s="116"/>
      <c r="Z732" s="116"/>
    </row>
    <row r="733" spans="1:26" ht="15">
      <c r="A733" s="116"/>
      <c r="B733" s="988"/>
      <c r="C733" s="116"/>
      <c r="D733" s="116"/>
      <c r="E733" s="116"/>
      <c r="F733" s="116"/>
      <c r="G733" s="116"/>
      <c r="H733" s="116"/>
      <c r="I733" s="116"/>
      <c r="J733" s="116"/>
      <c r="K733" s="116"/>
      <c r="L733" s="116"/>
      <c r="M733" s="116"/>
      <c r="N733" s="116"/>
      <c r="O733" s="116"/>
      <c r="P733" s="116"/>
      <c r="Q733" s="116"/>
      <c r="R733" s="116"/>
      <c r="S733" s="116"/>
      <c r="T733" s="116"/>
      <c r="U733" s="116"/>
      <c r="V733" s="116"/>
      <c r="W733" s="116"/>
      <c r="X733" s="116"/>
      <c r="Y733" s="116"/>
      <c r="Z733" s="116"/>
    </row>
    <row r="734" spans="1:26" ht="15">
      <c r="A734" s="116"/>
      <c r="B734" s="988"/>
      <c r="C734" s="116"/>
      <c r="D734" s="116"/>
      <c r="E734" s="116"/>
      <c r="F734" s="116"/>
      <c r="G734" s="116"/>
      <c r="H734" s="116"/>
      <c r="I734" s="116"/>
      <c r="J734" s="116"/>
      <c r="K734" s="116"/>
      <c r="L734" s="116"/>
      <c r="M734" s="116"/>
      <c r="N734" s="116"/>
      <c r="O734" s="116"/>
      <c r="P734" s="116"/>
      <c r="Q734" s="116"/>
      <c r="R734" s="116"/>
      <c r="S734" s="116"/>
      <c r="T734" s="116"/>
      <c r="U734" s="116"/>
      <c r="V734" s="116"/>
      <c r="W734" s="116"/>
      <c r="X734" s="116"/>
      <c r="Y734" s="116"/>
      <c r="Z734" s="116"/>
    </row>
    <row r="735" spans="1:26" ht="15">
      <c r="A735" s="116"/>
      <c r="B735" s="988"/>
      <c r="C735" s="116"/>
      <c r="D735" s="116"/>
      <c r="E735" s="116"/>
      <c r="F735" s="116"/>
      <c r="G735" s="116"/>
      <c r="H735" s="116"/>
      <c r="I735" s="116"/>
      <c r="J735" s="116"/>
      <c r="K735" s="116"/>
      <c r="L735" s="116"/>
      <c r="M735" s="116"/>
      <c r="N735" s="116"/>
      <c r="O735" s="116"/>
      <c r="P735" s="116"/>
      <c r="Q735" s="116"/>
      <c r="R735" s="116"/>
      <c r="S735" s="116"/>
      <c r="T735" s="116"/>
      <c r="U735" s="116"/>
      <c r="V735" s="116"/>
      <c r="W735" s="116"/>
      <c r="X735" s="116"/>
      <c r="Y735" s="116"/>
      <c r="Z735" s="116"/>
    </row>
    <row r="736" spans="1:26" ht="15">
      <c r="A736" s="116"/>
      <c r="B736" s="988"/>
      <c r="C736" s="116"/>
      <c r="D736" s="116"/>
      <c r="E736" s="116"/>
      <c r="F736" s="116"/>
      <c r="G736" s="116"/>
      <c r="H736" s="116"/>
      <c r="I736" s="116"/>
      <c r="J736" s="116"/>
      <c r="K736" s="116"/>
      <c r="L736" s="116"/>
      <c r="M736" s="116"/>
      <c r="N736" s="116"/>
      <c r="O736" s="116"/>
      <c r="P736" s="116"/>
      <c r="Q736" s="116"/>
      <c r="R736" s="116"/>
      <c r="S736" s="116"/>
      <c r="T736" s="116"/>
      <c r="U736" s="116"/>
      <c r="V736" s="116"/>
      <c r="W736" s="116"/>
      <c r="X736" s="116"/>
      <c r="Y736" s="116"/>
      <c r="Z736" s="116"/>
    </row>
    <row r="737" spans="1:26" ht="15">
      <c r="A737" s="116"/>
      <c r="B737" s="988"/>
      <c r="C737" s="116"/>
      <c r="D737" s="116"/>
      <c r="E737" s="116"/>
      <c r="F737" s="116"/>
      <c r="G737" s="116"/>
      <c r="H737" s="116"/>
      <c r="I737" s="116"/>
      <c r="J737" s="116"/>
      <c r="K737" s="116"/>
      <c r="L737" s="116"/>
      <c r="M737" s="116"/>
      <c r="N737" s="116"/>
      <c r="O737" s="116"/>
      <c r="P737" s="116"/>
      <c r="Q737" s="116"/>
      <c r="R737" s="116"/>
      <c r="S737" s="116"/>
      <c r="T737" s="116"/>
      <c r="U737" s="116"/>
      <c r="V737" s="116"/>
      <c r="W737" s="116"/>
      <c r="X737" s="116"/>
      <c r="Y737" s="116"/>
      <c r="Z737" s="116"/>
    </row>
    <row r="738" spans="1:26" ht="15">
      <c r="A738" s="116"/>
      <c r="B738" s="988"/>
      <c r="C738" s="116"/>
      <c r="D738" s="116"/>
      <c r="E738" s="116"/>
      <c r="F738" s="116"/>
      <c r="G738" s="116"/>
      <c r="H738" s="116"/>
      <c r="I738" s="116"/>
      <c r="J738" s="116"/>
      <c r="K738" s="116"/>
      <c r="L738" s="116"/>
      <c r="M738" s="116"/>
      <c r="N738" s="116"/>
      <c r="O738" s="116"/>
      <c r="P738" s="116"/>
      <c r="Q738" s="116"/>
      <c r="R738" s="116"/>
      <c r="S738" s="116"/>
      <c r="T738" s="116"/>
      <c r="U738" s="116"/>
      <c r="V738" s="116"/>
      <c r="W738" s="116"/>
      <c r="X738" s="116"/>
      <c r="Y738" s="116"/>
      <c r="Z738" s="116"/>
    </row>
    <row r="739" spans="1:26" ht="15">
      <c r="A739" s="116"/>
      <c r="B739" s="988"/>
      <c r="C739" s="116"/>
      <c r="D739" s="116"/>
      <c r="E739" s="116"/>
      <c r="F739" s="116"/>
      <c r="G739" s="116"/>
      <c r="H739" s="116"/>
      <c r="I739" s="116"/>
      <c r="J739" s="116"/>
      <c r="K739" s="116"/>
      <c r="L739" s="116"/>
      <c r="M739" s="116"/>
      <c r="N739" s="116"/>
      <c r="O739" s="116"/>
      <c r="P739" s="116"/>
      <c r="Q739" s="116"/>
      <c r="R739" s="116"/>
      <c r="S739" s="116"/>
      <c r="T739" s="116"/>
      <c r="U739" s="116"/>
      <c r="V739" s="116"/>
      <c r="W739" s="116"/>
      <c r="X739" s="116"/>
      <c r="Y739" s="116"/>
      <c r="Z739" s="116"/>
    </row>
    <row r="740" spans="1:26" ht="15">
      <c r="A740" s="116"/>
      <c r="B740" s="988"/>
      <c r="C740" s="116"/>
      <c r="D740" s="116"/>
      <c r="E740" s="116"/>
      <c r="F740" s="116"/>
      <c r="G740" s="116"/>
      <c r="H740" s="116"/>
      <c r="I740" s="116"/>
      <c r="J740" s="116"/>
      <c r="K740" s="116"/>
      <c r="L740" s="116"/>
      <c r="M740" s="116"/>
      <c r="N740" s="116"/>
      <c r="O740" s="116"/>
      <c r="P740" s="116"/>
      <c r="Q740" s="116"/>
      <c r="R740" s="116"/>
      <c r="S740" s="116"/>
      <c r="T740" s="116"/>
      <c r="U740" s="116"/>
      <c r="V740" s="116"/>
      <c r="W740" s="116"/>
      <c r="X740" s="116"/>
      <c r="Y740" s="116"/>
      <c r="Z740" s="116"/>
    </row>
    <row r="741" spans="1:26" ht="15">
      <c r="A741" s="116"/>
      <c r="B741" s="988"/>
      <c r="C741" s="116"/>
      <c r="D741" s="116"/>
      <c r="E741" s="116"/>
      <c r="F741" s="116"/>
      <c r="G741" s="116"/>
      <c r="H741" s="116"/>
      <c r="I741" s="116"/>
      <c r="J741" s="116"/>
      <c r="K741" s="116"/>
      <c r="L741" s="116"/>
      <c r="M741" s="116"/>
      <c r="N741" s="116"/>
      <c r="O741" s="116"/>
      <c r="P741" s="116"/>
      <c r="Q741" s="116"/>
      <c r="R741" s="116"/>
      <c r="S741" s="116"/>
      <c r="T741" s="116"/>
      <c r="U741" s="116"/>
      <c r="V741" s="116"/>
      <c r="W741" s="116"/>
      <c r="X741" s="116"/>
      <c r="Y741" s="116"/>
      <c r="Z741" s="116"/>
    </row>
    <row r="742" spans="1:26" ht="15">
      <c r="A742" s="116"/>
      <c r="B742" s="988"/>
      <c r="C742" s="116"/>
      <c r="D742" s="116"/>
      <c r="E742" s="116"/>
      <c r="F742" s="116"/>
      <c r="G742" s="116"/>
      <c r="H742" s="116"/>
      <c r="I742" s="116"/>
      <c r="J742" s="116"/>
      <c r="K742" s="116"/>
      <c r="L742" s="116"/>
      <c r="M742" s="116"/>
      <c r="N742" s="116"/>
      <c r="O742" s="116"/>
      <c r="P742" s="116"/>
      <c r="Q742" s="116"/>
      <c r="R742" s="116"/>
      <c r="S742" s="116"/>
      <c r="T742" s="116"/>
      <c r="U742" s="116"/>
      <c r="V742" s="116"/>
      <c r="W742" s="116"/>
      <c r="X742" s="116"/>
      <c r="Y742" s="116"/>
      <c r="Z742" s="116"/>
    </row>
    <row r="743" spans="1:26" ht="15">
      <c r="A743" s="116"/>
      <c r="B743" s="988"/>
      <c r="C743" s="116"/>
      <c r="D743" s="116"/>
      <c r="E743" s="116"/>
      <c r="F743" s="116"/>
      <c r="G743" s="116"/>
      <c r="H743" s="116"/>
      <c r="I743" s="116"/>
      <c r="J743" s="116"/>
      <c r="K743" s="116"/>
      <c r="L743" s="116"/>
      <c r="M743" s="116"/>
      <c r="N743" s="116"/>
      <c r="O743" s="116"/>
      <c r="P743" s="116"/>
      <c r="Q743" s="116"/>
      <c r="R743" s="116"/>
      <c r="S743" s="116"/>
      <c r="T743" s="116"/>
      <c r="U743" s="116"/>
      <c r="V743" s="116"/>
      <c r="W743" s="116"/>
      <c r="X743" s="116"/>
      <c r="Y743" s="116"/>
      <c r="Z743" s="116"/>
    </row>
    <row r="744" spans="1:26" ht="15">
      <c r="A744" s="116"/>
      <c r="B744" s="988"/>
      <c r="C744" s="116"/>
      <c r="D744" s="116"/>
      <c r="E744" s="116"/>
      <c r="F744" s="116"/>
      <c r="G744" s="116"/>
      <c r="H744" s="116"/>
      <c r="I744" s="116"/>
      <c r="J744" s="116"/>
      <c r="K744" s="116"/>
      <c r="L744" s="116"/>
      <c r="M744" s="116"/>
      <c r="N744" s="116"/>
      <c r="O744" s="116"/>
      <c r="P744" s="116"/>
      <c r="Q744" s="116"/>
      <c r="R744" s="116"/>
      <c r="S744" s="116"/>
      <c r="T744" s="116"/>
      <c r="U744" s="116"/>
      <c r="V744" s="116"/>
      <c r="W744" s="116"/>
      <c r="X744" s="116"/>
      <c r="Y744" s="116"/>
      <c r="Z744" s="116"/>
    </row>
    <row r="745" spans="1:26" ht="15">
      <c r="A745" s="116"/>
      <c r="B745" s="988"/>
      <c r="C745" s="116"/>
      <c r="D745" s="116"/>
      <c r="E745" s="116"/>
      <c r="F745" s="116"/>
      <c r="G745" s="116"/>
      <c r="H745" s="116"/>
      <c r="I745" s="116"/>
      <c r="J745" s="116"/>
      <c r="K745" s="116"/>
      <c r="L745" s="116"/>
      <c r="M745" s="116"/>
      <c r="N745" s="116"/>
      <c r="O745" s="116"/>
      <c r="P745" s="116"/>
      <c r="Q745" s="116"/>
      <c r="R745" s="116"/>
      <c r="S745" s="116"/>
      <c r="T745" s="116"/>
      <c r="U745" s="116"/>
      <c r="V745" s="116"/>
      <c r="W745" s="116"/>
      <c r="X745" s="116"/>
      <c r="Y745" s="116"/>
      <c r="Z745" s="116"/>
    </row>
    <row r="746" spans="1:26" ht="15">
      <c r="A746" s="116"/>
      <c r="B746" s="988"/>
      <c r="C746" s="116"/>
      <c r="D746" s="116"/>
      <c r="E746" s="116"/>
      <c r="F746" s="116"/>
      <c r="G746" s="116"/>
      <c r="H746" s="116"/>
      <c r="I746" s="116"/>
      <c r="J746" s="116"/>
      <c r="K746" s="116"/>
      <c r="L746" s="116"/>
      <c r="M746" s="116"/>
      <c r="N746" s="116"/>
      <c r="O746" s="116"/>
      <c r="P746" s="116"/>
      <c r="Q746" s="116"/>
      <c r="R746" s="116"/>
      <c r="S746" s="116"/>
      <c r="T746" s="116"/>
      <c r="U746" s="116"/>
      <c r="V746" s="116"/>
      <c r="W746" s="116"/>
      <c r="X746" s="116"/>
      <c r="Y746" s="116"/>
      <c r="Z746" s="116"/>
    </row>
    <row r="747" spans="1:26" ht="15">
      <c r="A747" s="116"/>
      <c r="B747" s="988"/>
      <c r="C747" s="116"/>
      <c r="D747" s="116"/>
      <c r="E747" s="116"/>
      <c r="F747" s="116"/>
      <c r="G747" s="116"/>
      <c r="H747" s="116"/>
      <c r="I747" s="116"/>
      <c r="J747" s="116"/>
      <c r="K747" s="116"/>
      <c r="L747" s="116"/>
      <c r="M747" s="116"/>
      <c r="N747" s="116"/>
      <c r="O747" s="116"/>
      <c r="P747" s="116"/>
      <c r="Q747" s="116"/>
      <c r="R747" s="116"/>
      <c r="S747" s="116"/>
      <c r="T747" s="116"/>
      <c r="U747" s="116"/>
      <c r="V747" s="116"/>
      <c r="W747" s="116"/>
      <c r="X747" s="116"/>
      <c r="Y747" s="116"/>
      <c r="Z747" s="116"/>
    </row>
    <row r="748" spans="1:26" ht="15">
      <c r="A748" s="116"/>
      <c r="B748" s="988"/>
      <c r="C748" s="116"/>
      <c r="D748" s="116"/>
      <c r="E748" s="116"/>
      <c r="F748" s="116"/>
      <c r="G748" s="116"/>
      <c r="H748" s="116"/>
      <c r="I748" s="116"/>
      <c r="J748" s="116"/>
      <c r="K748" s="116"/>
      <c r="L748" s="116"/>
      <c r="M748" s="116"/>
      <c r="N748" s="116"/>
      <c r="O748" s="116"/>
      <c r="P748" s="116"/>
      <c r="Q748" s="116"/>
      <c r="R748" s="116"/>
      <c r="S748" s="116"/>
      <c r="T748" s="116"/>
      <c r="U748" s="116"/>
      <c r="V748" s="116"/>
      <c r="W748" s="116"/>
      <c r="X748" s="116"/>
      <c r="Y748" s="116"/>
      <c r="Z748" s="116"/>
    </row>
    <row r="749" spans="1:26" ht="15">
      <c r="A749" s="116"/>
      <c r="B749" s="988"/>
      <c r="C749" s="116"/>
      <c r="D749" s="116"/>
      <c r="E749" s="116"/>
      <c r="F749" s="116"/>
      <c r="G749" s="116"/>
      <c r="H749" s="116"/>
      <c r="I749" s="116"/>
      <c r="J749" s="116"/>
      <c r="K749" s="116"/>
      <c r="L749" s="116"/>
      <c r="M749" s="116"/>
      <c r="N749" s="116"/>
      <c r="O749" s="116"/>
      <c r="P749" s="116"/>
      <c r="Q749" s="116"/>
      <c r="R749" s="116"/>
      <c r="S749" s="116"/>
      <c r="T749" s="116"/>
      <c r="U749" s="116"/>
      <c r="V749" s="116"/>
      <c r="W749" s="116"/>
      <c r="X749" s="116"/>
      <c r="Y749" s="116"/>
      <c r="Z749" s="116"/>
    </row>
    <row r="750" spans="1:26" ht="15">
      <c r="A750" s="116"/>
      <c r="B750" s="988"/>
      <c r="C750" s="116"/>
      <c r="D750" s="116"/>
      <c r="E750" s="116"/>
      <c r="F750" s="116"/>
      <c r="G750" s="116"/>
      <c r="H750" s="116"/>
      <c r="I750" s="116"/>
      <c r="J750" s="116"/>
      <c r="K750" s="116"/>
      <c r="L750" s="116"/>
      <c r="M750" s="116"/>
      <c r="N750" s="116"/>
      <c r="O750" s="116"/>
      <c r="P750" s="116"/>
      <c r="Q750" s="116"/>
      <c r="R750" s="116"/>
      <c r="S750" s="116"/>
      <c r="T750" s="116"/>
      <c r="U750" s="116"/>
      <c r="V750" s="116"/>
      <c r="W750" s="116"/>
      <c r="X750" s="116"/>
      <c r="Y750" s="116"/>
      <c r="Z750" s="116"/>
    </row>
    <row r="751" spans="1:26" ht="15">
      <c r="A751" s="116"/>
      <c r="B751" s="988"/>
      <c r="C751" s="116"/>
      <c r="D751" s="116"/>
      <c r="E751" s="116"/>
      <c r="F751" s="116"/>
      <c r="G751" s="116"/>
      <c r="H751" s="116"/>
      <c r="I751" s="116"/>
      <c r="J751" s="116"/>
      <c r="K751" s="116"/>
      <c r="L751" s="116"/>
      <c r="M751" s="116"/>
      <c r="N751" s="116"/>
      <c r="O751" s="116"/>
      <c r="P751" s="116"/>
      <c r="Q751" s="116"/>
      <c r="R751" s="116"/>
      <c r="S751" s="116"/>
      <c r="T751" s="116"/>
      <c r="U751" s="116"/>
      <c r="V751" s="116"/>
      <c r="W751" s="116"/>
      <c r="X751" s="116"/>
      <c r="Y751" s="116"/>
      <c r="Z751" s="116"/>
    </row>
    <row r="752" spans="1:26" ht="15">
      <c r="A752" s="116"/>
      <c r="B752" s="988"/>
      <c r="C752" s="116"/>
      <c r="D752" s="116"/>
      <c r="E752" s="116"/>
      <c r="F752" s="116"/>
      <c r="G752" s="116"/>
      <c r="H752" s="116"/>
      <c r="I752" s="116"/>
      <c r="J752" s="116"/>
      <c r="K752" s="116"/>
      <c r="L752" s="116"/>
      <c r="M752" s="116"/>
      <c r="N752" s="116"/>
      <c r="O752" s="116"/>
      <c r="P752" s="116"/>
      <c r="Q752" s="116"/>
      <c r="R752" s="116"/>
      <c r="S752" s="116"/>
      <c r="T752" s="116"/>
      <c r="U752" s="116"/>
      <c r="V752" s="116"/>
      <c r="W752" s="116"/>
      <c r="X752" s="116"/>
      <c r="Y752" s="116"/>
      <c r="Z752" s="116"/>
    </row>
    <row r="753" spans="1:26" ht="15">
      <c r="A753" s="116"/>
      <c r="B753" s="988"/>
      <c r="C753" s="116"/>
      <c r="D753" s="116"/>
      <c r="E753" s="116"/>
      <c r="F753" s="116"/>
      <c r="G753" s="116"/>
      <c r="H753" s="116"/>
      <c r="I753" s="116"/>
      <c r="J753" s="116"/>
      <c r="K753" s="116"/>
      <c r="L753" s="116"/>
      <c r="M753" s="116"/>
      <c r="N753" s="116"/>
      <c r="O753" s="116"/>
      <c r="P753" s="116"/>
      <c r="Q753" s="116"/>
      <c r="R753" s="116"/>
      <c r="S753" s="116"/>
      <c r="T753" s="116"/>
      <c r="U753" s="116"/>
      <c r="V753" s="116"/>
      <c r="W753" s="116"/>
      <c r="X753" s="116"/>
      <c r="Y753" s="116"/>
      <c r="Z753" s="116"/>
    </row>
    <row r="754" spans="1:26" ht="15">
      <c r="A754" s="116"/>
      <c r="B754" s="988"/>
      <c r="C754" s="116"/>
      <c r="D754" s="116"/>
      <c r="E754" s="116"/>
      <c r="F754" s="116"/>
      <c r="G754" s="116"/>
      <c r="H754" s="116"/>
      <c r="I754" s="116"/>
      <c r="J754" s="116"/>
      <c r="K754" s="116"/>
      <c r="L754" s="116"/>
      <c r="M754" s="116"/>
      <c r="N754" s="116"/>
      <c r="O754" s="116"/>
      <c r="P754" s="116"/>
      <c r="Q754" s="116"/>
      <c r="R754" s="116"/>
      <c r="S754" s="116"/>
      <c r="T754" s="116"/>
      <c r="U754" s="116"/>
      <c r="V754" s="116"/>
      <c r="W754" s="116"/>
      <c r="X754" s="116"/>
      <c r="Y754" s="116"/>
      <c r="Z754" s="116"/>
    </row>
    <row r="755" spans="1:26" ht="15">
      <c r="A755" s="116"/>
      <c r="B755" s="988"/>
      <c r="C755" s="116"/>
      <c r="D755" s="116"/>
      <c r="E755" s="116"/>
      <c r="F755" s="116"/>
      <c r="G755" s="116"/>
      <c r="H755" s="116"/>
      <c r="I755" s="116"/>
      <c r="J755" s="116"/>
      <c r="K755" s="116"/>
      <c r="L755" s="116"/>
      <c r="M755" s="116"/>
      <c r="N755" s="116"/>
      <c r="O755" s="116"/>
      <c r="P755" s="116"/>
      <c r="Q755" s="116"/>
      <c r="R755" s="116"/>
      <c r="S755" s="116"/>
      <c r="T755" s="116"/>
      <c r="U755" s="116"/>
      <c r="V755" s="116"/>
      <c r="W755" s="116"/>
      <c r="X755" s="116"/>
      <c r="Y755" s="116"/>
      <c r="Z755" s="116"/>
    </row>
    <row r="756" spans="1:26" ht="15">
      <c r="A756" s="116"/>
      <c r="B756" s="988"/>
      <c r="C756" s="116"/>
      <c r="D756" s="116"/>
      <c r="E756" s="116"/>
      <c r="F756" s="116"/>
      <c r="G756" s="116"/>
      <c r="H756" s="116"/>
      <c r="I756" s="116"/>
      <c r="J756" s="116"/>
      <c r="K756" s="116"/>
      <c r="L756" s="116"/>
      <c r="M756" s="116"/>
      <c r="N756" s="116"/>
      <c r="O756" s="116"/>
      <c r="P756" s="116"/>
      <c r="Q756" s="116"/>
      <c r="R756" s="116"/>
      <c r="S756" s="116"/>
      <c r="T756" s="116"/>
      <c r="U756" s="116"/>
      <c r="V756" s="116"/>
      <c r="W756" s="116"/>
      <c r="X756" s="116"/>
      <c r="Y756" s="116"/>
      <c r="Z756" s="116"/>
    </row>
    <row r="757" spans="1:26" ht="15">
      <c r="A757" s="116"/>
      <c r="B757" s="988"/>
      <c r="C757" s="116"/>
      <c r="D757" s="116"/>
      <c r="E757" s="116"/>
      <c r="F757" s="116"/>
      <c r="G757" s="116"/>
      <c r="H757" s="116"/>
      <c r="I757" s="116"/>
      <c r="J757" s="116"/>
      <c r="K757" s="116"/>
      <c r="L757" s="116"/>
      <c r="M757" s="116"/>
      <c r="N757" s="116"/>
      <c r="O757" s="116"/>
      <c r="P757" s="116"/>
      <c r="Q757" s="116"/>
      <c r="R757" s="116"/>
      <c r="S757" s="116"/>
      <c r="T757" s="116"/>
      <c r="U757" s="116"/>
      <c r="V757" s="116"/>
      <c r="W757" s="116"/>
      <c r="X757" s="116"/>
      <c r="Y757" s="116"/>
      <c r="Z757" s="116"/>
    </row>
    <row r="758" spans="1:26" ht="15">
      <c r="A758" s="116"/>
      <c r="B758" s="988"/>
      <c r="C758" s="116"/>
      <c r="D758" s="116"/>
      <c r="E758" s="116"/>
      <c r="F758" s="116"/>
      <c r="G758" s="116"/>
      <c r="H758" s="116"/>
      <c r="I758" s="116"/>
      <c r="J758" s="116"/>
      <c r="K758" s="116"/>
      <c r="L758" s="116"/>
      <c r="M758" s="116"/>
      <c r="N758" s="116"/>
      <c r="O758" s="116"/>
      <c r="P758" s="116"/>
      <c r="Q758" s="116"/>
      <c r="R758" s="116"/>
      <c r="S758" s="116"/>
      <c r="T758" s="116"/>
      <c r="U758" s="116"/>
      <c r="V758" s="116"/>
      <c r="W758" s="116"/>
      <c r="X758" s="116"/>
      <c r="Y758" s="116"/>
      <c r="Z758" s="116"/>
    </row>
    <row r="759" spans="1:26" ht="15">
      <c r="A759" s="116"/>
      <c r="B759" s="988"/>
      <c r="C759" s="116"/>
      <c r="D759" s="116"/>
      <c r="E759" s="116"/>
      <c r="F759" s="116"/>
      <c r="G759" s="116"/>
      <c r="H759" s="116"/>
      <c r="I759" s="116"/>
      <c r="J759" s="116"/>
      <c r="K759" s="116"/>
      <c r="L759" s="116"/>
      <c r="M759" s="116"/>
      <c r="N759" s="116"/>
      <c r="O759" s="116"/>
      <c r="P759" s="116"/>
      <c r="Q759" s="116"/>
      <c r="R759" s="116"/>
      <c r="S759" s="116"/>
      <c r="T759" s="116"/>
      <c r="U759" s="116"/>
      <c r="V759" s="116"/>
      <c r="W759" s="116"/>
      <c r="X759" s="116"/>
      <c r="Y759" s="116"/>
      <c r="Z759" s="116"/>
    </row>
    <row r="760" spans="1:26" ht="15">
      <c r="A760" s="116"/>
      <c r="B760" s="988"/>
      <c r="C760" s="116"/>
      <c r="D760" s="116"/>
      <c r="E760" s="116"/>
      <c r="F760" s="116"/>
      <c r="G760" s="116"/>
      <c r="H760" s="116"/>
      <c r="I760" s="116"/>
      <c r="J760" s="116"/>
      <c r="K760" s="116"/>
      <c r="L760" s="116"/>
      <c r="M760" s="116"/>
      <c r="N760" s="116"/>
      <c r="O760" s="116"/>
      <c r="P760" s="116"/>
      <c r="Q760" s="116"/>
      <c r="R760" s="116"/>
      <c r="S760" s="116"/>
      <c r="T760" s="116"/>
      <c r="U760" s="116"/>
      <c r="V760" s="116"/>
      <c r="W760" s="116"/>
      <c r="X760" s="116"/>
      <c r="Y760" s="116"/>
      <c r="Z760" s="116"/>
    </row>
    <row r="761" spans="1:26" ht="15">
      <c r="A761" s="116"/>
      <c r="B761" s="988"/>
      <c r="C761" s="116"/>
      <c r="D761" s="116"/>
      <c r="E761" s="116"/>
      <c r="F761" s="116"/>
      <c r="G761" s="116"/>
      <c r="H761" s="116"/>
      <c r="I761" s="116"/>
      <c r="J761" s="116"/>
      <c r="K761" s="116"/>
      <c r="L761" s="116"/>
      <c r="M761" s="116"/>
      <c r="N761" s="116"/>
      <c r="O761" s="116"/>
      <c r="P761" s="116"/>
      <c r="Q761" s="116"/>
      <c r="R761" s="116"/>
      <c r="S761" s="116"/>
      <c r="T761" s="116"/>
      <c r="U761" s="116"/>
      <c r="V761" s="116"/>
      <c r="W761" s="116"/>
      <c r="X761" s="116"/>
      <c r="Y761" s="116"/>
      <c r="Z761" s="116"/>
    </row>
    <row r="762" spans="1:26" ht="15">
      <c r="A762" s="116"/>
      <c r="B762" s="988"/>
      <c r="C762" s="116"/>
      <c r="D762" s="116"/>
      <c r="E762" s="116"/>
      <c r="F762" s="116"/>
      <c r="G762" s="116"/>
      <c r="H762" s="116"/>
      <c r="I762" s="116"/>
      <c r="J762" s="116"/>
      <c r="K762" s="116"/>
      <c r="L762" s="116"/>
      <c r="M762" s="116"/>
      <c r="N762" s="116"/>
      <c r="O762" s="116"/>
      <c r="P762" s="116"/>
      <c r="Q762" s="116"/>
      <c r="R762" s="116"/>
      <c r="S762" s="116"/>
      <c r="T762" s="116"/>
      <c r="U762" s="116"/>
      <c r="V762" s="116"/>
      <c r="W762" s="116"/>
      <c r="X762" s="116"/>
      <c r="Y762" s="116"/>
      <c r="Z762" s="116"/>
    </row>
    <row r="763" spans="1:26" ht="15">
      <c r="A763" s="116"/>
      <c r="B763" s="988"/>
      <c r="C763" s="116"/>
      <c r="D763" s="116"/>
      <c r="E763" s="116"/>
      <c r="F763" s="116"/>
      <c r="G763" s="116"/>
      <c r="H763" s="116"/>
      <c r="I763" s="116"/>
      <c r="J763" s="116"/>
      <c r="K763" s="116"/>
      <c r="L763" s="116"/>
      <c r="M763" s="116"/>
      <c r="N763" s="116"/>
      <c r="O763" s="116"/>
      <c r="P763" s="116"/>
      <c r="Q763" s="116"/>
      <c r="R763" s="116"/>
      <c r="S763" s="116"/>
      <c r="T763" s="116"/>
      <c r="U763" s="116"/>
      <c r="V763" s="116"/>
      <c r="W763" s="116"/>
      <c r="X763" s="116"/>
      <c r="Y763" s="116"/>
      <c r="Z763" s="116"/>
    </row>
    <row r="764" spans="1:26" ht="15">
      <c r="A764" s="116"/>
      <c r="B764" s="988"/>
      <c r="C764" s="116"/>
      <c r="D764" s="116"/>
      <c r="E764" s="116"/>
      <c r="F764" s="116"/>
      <c r="G764" s="116"/>
      <c r="H764" s="116"/>
      <c r="I764" s="116"/>
      <c r="J764" s="116"/>
      <c r="K764" s="116"/>
      <c r="L764" s="116"/>
      <c r="M764" s="116"/>
      <c r="N764" s="116"/>
      <c r="O764" s="116"/>
      <c r="P764" s="116"/>
      <c r="Q764" s="116"/>
      <c r="R764" s="116"/>
      <c r="S764" s="116"/>
      <c r="T764" s="116"/>
      <c r="U764" s="116"/>
      <c r="V764" s="116"/>
      <c r="W764" s="116"/>
      <c r="X764" s="116"/>
      <c r="Y764" s="116"/>
      <c r="Z764" s="116"/>
    </row>
    <row r="765" spans="1:26" ht="15">
      <c r="A765" s="116"/>
      <c r="B765" s="988"/>
      <c r="C765" s="116"/>
      <c r="D765" s="116"/>
      <c r="E765" s="116"/>
      <c r="F765" s="116"/>
      <c r="G765" s="116"/>
      <c r="H765" s="116"/>
      <c r="I765" s="116"/>
      <c r="J765" s="116"/>
      <c r="K765" s="116"/>
      <c r="L765" s="116"/>
      <c r="M765" s="116"/>
      <c r="N765" s="116"/>
      <c r="O765" s="116"/>
      <c r="P765" s="116"/>
      <c r="Q765" s="116"/>
      <c r="R765" s="116"/>
      <c r="S765" s="116"/>
      <c r="T765" s="116"/>
      <c r="U765" s="116"/>
      <c r="V765" s="116"/>
      <c r="W765" s="116"/>
      <c r="X765" s="116"/>
      <c r="Y765" s="116"/>
      <c r="Z765" s="116"/>
    </row>
    <row r="766" spans="1:26" ht="15">
      <c r="A766" s="116"/>
      <c r="B766" s="988"/>
      <c r="C766" s="116"/>
      <c r="D766" s="116"/>
      <c r="E766" s="116"/>
      <c r="F766" s="116"/>
      <c r="G766" s="116"/>
      <c r="H766" s="116"/>
      <c r="I766" s="116"/>
      <c r="J766" s="116"/>
      <c r="K766" s="116"/>
      <c r="L766" s="116"/>
      <c r="M766" s="116"/>
      <c r="N766" s="116"/>
      <c r="O766" s="116"/>
      <c r="P766" s="116"/>
      <c r="Q766" s="116"/>
      <c r="R766" s="116"/>
      <c r="S766" s="116"/>
      <c r="T766" s="116"/>
      <c r="U766" s="116"/>
      <c r="V766" s="116"/>
      <c r="W766" s="116"/>
      <c r="X766" s="116"/>
      <c r="Y766" s="116"/>
      <c r="Z766" s="116"/>
    </row>
    <row r="767" spans="1:26" ht="15">
      <c r="A767" s="116"/>
      <c r="B767" s="988"/>
      <c r="C767" s="116"/>
      <c r="D767" s="116"/>
      <c r="E767" s="116"/>
      <c r="F767" s="116"/>
      <c r="G767" s="116"/>
      <c r="H767" s="116"/>
      <c r="I767" s="116"/>
      <c r="J767" s="116"/>
      <c r="K767" s="116"/>
      <c r="L767" s="116"/>
      <c r="M767" s="116"/>
      <c r="N767" s="116"/>
      <c r="O767" s="116"/>
      <c r="P767" s="116"/>
      <c r="Q767" s="116"/>
      <c r="R767" s="116"/>
      <c r="S767" s="116"/>
      <c r="T767" s="116"/>
      <c r="U767" s="116"/>
      <c r="V767" s="116"/>
      <c r="W767" s="116"/>
      <c r="X767" s="116"/>
      <c r="Y767" s="116"/>
      <c r="Z767" s="116"/>
    </row>
    <row r="768" spans="1:26" ht="15">
      <c r="A768" s="116"/>
      <c r="B768" s="988"/>
      <c r="C768" s="116"/>
      <c r="D768" s="116"/>
      <c r="E768" s="116"/>
      <c r="F768" s="116"/>
      <c r="G768" s="116"/>
      <c r="H768" s="116"/>
      <c r="I768" s="116"/>
      <c r="J768" s="116"/>
      <c r="K768" s="116"/>
      <c r="L768" s="116"/>
      <c r="M768" s="116"/>
      <c r="N768" s="116"/>
      <c r="O768" s="116"/>
      <c r="P768" s="116"/>
      <c r="Q768" s="116"/>
      <c r="R768" s="116"/>
      <c r="S768" s="116"/>
      <c r="T768" s="116"/>
      <c r="U768" s="116"/>
      <c r="V768" s="116"/>
      <c r="W768" s="116"/>
      <c r="X768" s="116"/>
      <c r="Y768" s="116"/>
      <c r="Z768" s="116"/>
    </row>
    <row r="769" spans="1:26" ht="15">
      <c r="A769" s="116"/>
      <c r="B769" s="988"/>
      <c r="C769" s="116"/>
      <c r="D769" s="116"/>
      <c r="E769" s="116"/>
      <c r="F769" s="116"/>
      <c r="G769" s="116"/>
      <c r="H769" s="116"/>
      <c r="I769" s="116"/>
      <c r="J769" s="116"/>
      <c r="K769" s="116"/>
      <c r="L769" s="116"/>
      <c r="M769" s="116"/>
      <c r="N769" s="116"/>
      <c r="O769" s="116"/>
      <c r="P769" s="116"/>
      <c r="Q769" s="116"/>
      <c r="R769" s="116"/>
      <c r="S769" s="116"/>
      <c r="T769" s="116"/>
      <c r="U769" s="116"/>
      <c r="V769" s="116"/>
      <c r="W769" s="116"/>
      <c r="X769" s="116"/>
      <c r="Y769" s="116"/>
      <c r="Z769" s="116"/>
    </row>
    <row r="770" spans="1:26" ht="15">
      <c r="A770" s="116"/>
      <c r="B770" s="988"/>
      <c r="C770" s="116"/>
      <c r="D770" s="116"/>
      <c r="E770" s="116"/>
      <c r="F770" s="116"/>
      <c r="G770" s="116"/>
      <c r="H770" s="116"/>
      <c r="I770" s="116"/>
      <c r="J770" s="116"/>
      <c r="K770" s="116"/>
      <c r="L770" s="116"/>
      <c r="M770" s="116"/>
      <c r="N770" s="116"/>
      <c r="O770" s="116"/>
      <c r="P770" s="116"/>
      <c r="Q770" s="116"/>
      <c r="R770" s="116"/>
      <c r="S770" s="116"/>
      <c r="T770" s="116"/>
      <c r="U770" s="116"/>
      <c r="V770" s="116"/>
      <c r="W770" s="116"/>
      <c r="X770" s="116"/>
      <c r="Y770" s="116"/>
      <c r="Z770" s="116"/>
    </row>
    <row r="771" spans="1:26" ht="15">
      <c r="A771" s="116"/>
      <c r="B771" s="988"/>
      <c r="C771" s="116"/>
      <c r="D771" s="116"/>
      <c r="E771" s="116"/>
      <c r="F771" s="116"/>
      <c r="G771" s="116"/>
      <c r="H771" s="116"/>
      <c r="I771" s="116"/>
      <c r="J771" s="116"/>
      <c r="K771" s="116"/>
      <c r="L771" s="116"/>
      <c r="M771" s="116"/>
      <c r="N771" s="116"/>
      <c r="O771" s="116"/>
      <c r="P771" s="116"/>
      <c r="Q771" s="116"/>
      <c r="R771" s="116"/>
      <c r="S771" s="116"/>
      <c r="T771" s="116"/>
      <c r="U771" s="116"/>
      <c r="V771" s="116"/>
      <c r="W771" s="116"/>
      <c r="X771" s="116"/>
      <c r="Y771" s="116"/>
      <c r="Z771" s="116"/>
    </row>
    <row r="772" spans="1:26" ht="15">
      <c r="A772" s="116"/>
      <c r="B772" s="988"/>
      <c r="C772" s="116"/>
      <c r="D772" s="116"/>
      <c r="E772" s="116"/>
      <c r="F772" s="116"/>
      <c r="G772" s="116"/>
      <c r="H772" s="116"/>
      <c r="I772" s="116"/>
      <c r="J772" s="116"/>
      <c r="K772" s="116"/>
      <c r="L772" s="116"/>
      <c r="M772" s="116"/>
      <c r="N772" s="116"/>
      <c r="O772" s="116"/>
      <c r="P772" s="116"/>
      <c r="Q772" s="116"/>
      <c r="R772" s="116"/>
      <c r="S772" s="116"/>
      <c r="T772" s="116"/>
      <c r="U772" s="116"/>
      <c r="V772" s="116"/>
      <c r="W772" s="116"/>
      <c r="X772" s="116"/>
      <c r="Y772" s="116"/>
      <c r="Z772" s="116"/>
    </row>
    <row r="773" spans="1:26" ht="15">
      <c r="A773" s="116"/>
      <c r="B773" s="988"/>
      <c r="C773" s="116"/>
      <c r="D773" s="116"/>
      <c r="E773" s="116"/>
      <c r="F773" s="116"/>
      <c r="G773" s="116"/>
      <c r="H773" s="116"/>
      <c r="I773" s="116"/>
      <c r="J773" s="116"/>
      <c r="K773" s="116"/>
      <c r="L773" s="116"/>
      <c r="M773" s="116"/>
      <c r="N773" s="116"/>
      <c r="O773" s="116"/>
      <c r="P773" s="116"/>
      <c r="Q773" s="116"/>
      <c r="R773" s="116"/>
      <c r="S773" s="116"/>
      <c r="T773" s="116"/>
      <c r="U773" s="116"/>
      <c r="V773" s="116"/>
      <c r="W773" s="116"/>
      <c r="X773" s="116"/>
      <c r="Y773" s="116"/>
      <c r="Z773" s="116"/>
    </row>
    <row r="774" spans="1:26" ht="15">
      <c r="A774" s="116"/>
      <c r="B774" s="988"/>
      <c r="C774" s="116"/>
      <c r="D774" s="116"/>
      <c r="E774" s="116"/>
      <c r="F774" s="116"/>
      <c r="G774" s="116"/>
      <c r="H774" s="116"/>
      <c r="I774" s="116"/>
      <c r="J774" s="116"/>
      <c r="K774" s="116"/>
      <c r="L774" s="116"/>
      <c r="M774" s="116"/>
      <c r="N774" s="116"/>
      <c r="O774" s="116"/>
      <c r="P774" s="116"/>
      <c r="Q774" s="116"/>
      <c r="R774" s="116"/>
      <c r="S774" s="116"/>
      <c r="T774" s="116"/>
      <c r="U774" s="116"/>
      <c r="V774" s="116"/>
      <c r="W774" s="116"/>
      <c r="X774" s="116"/>
      <c r="Y774" s="116"/>
      <c r="Z774" s="116"/>
    </row>
    <row r="775" spans="1:26" ht="15">
      <c r="A775" s="116"/>
      <c r="B775" s="988"/>
      <c r="C775" s="116"/>
      <c r="D775" s="116"/>
      <c r="E775" s="116"/>
      <c r="F775" s="116"/>
      <c r="G775" s="116"/>
      <c r="H775" s="116"/>
      <c r="I775" s="116"/>
      <c r="J775" s="116"/>
      <c r="K775" s="116"/>
      <c r="L775" s="116"/>
      <c r="M775" s="116"/>
      <c r="N775" s="116"/>
      <c r="O775" s="116"/>
      <c r="P775" s="116"/>
      <c r="Q775" s="116"/>
      <c r="R775" s="116"/>
      <c r="S775" s="116"/>
      <c r="T775" s="116"/>
      <c r="U775" s="116"/>
      <c r="V775" s="116"/>
      <c r="W775" s="116"/>
      <c r="X775" s="116"/>
      <c r="Y775" s="116"/>
      <c r="Z775" s="116"/>
    </row>
    <row r="776" spans="1:26" ht="15">
      <c r="A776" s="116"/>
      <c r="B776" s="988"/>
      <c r="C776" s="116"/>
      <c r="D776" s="116"/>
      <c r="E776" s="116"/>
      <c r="F776" s="116"/>
      <c r="G776" s="116"/>
      <c r="H776" s="116"/>
      <c r="I776" s="116"/>
      <c r="J776" s="116"/>
      <c r="K776" s="116"/>
      <c r="L776" s="116"/>
      <c r="M776" s="116"/>
      <c r="N776" s="116"/>
      <c r="O776" s="116"/>
      <c r="P776" s="116"/>
      <c r="Q776" s="116"/>
      <c r="R776" s="116"/>
      <c r="S776" s="116"/>
      <c r="T776" s="116"/>
      <c r="U776" s="116"/>
      <c r="V776" s="116"/>
      <c r="W776" s="116"/>
      <c r="X776" s="116"/>
      <c r="Y776" s="116"/>
      <c r="Z776" s="116"/>
    </row>
    <row r="777" spans="1:26" ht="15">
      <c r="A777" s="116"/>
      <c r="B777" s="988"/>
      <c r="C777" s="116"/>
      <c r="D777" s="116"/>
      <c r="E777" s="116"/>
      <c r="F777" s="116"/>
      <c r="G777" s="116"/>
      <c r="H777" s="116"/>
      <c r="I777" s="116"/>
      <c r="J777" s="116"/>
      <c r="K777" s="116"/>
      <c r="L777" s="116"/>
      <c r="M777" s="116"/>
      <c r="N777" s="116"/>
      <c r="O777" s="116"/>
      <c r="P777" s="116"/>
      <c r="Q777" s="116"/>
      <c r="R777" s="116"/>
      <c r="S777" s="116"/>
      <c r="T777" s="116"/>
      <c r="U777" s="116"/>
      <c r="V777" s="116"/>
      <c r="W777" s="116"/>
      <c r="X777" s="116"/>
      <c r="Y777" s="116"/>
      <c r="Z777" s="116"/>
    </row>
    <row r="778" spans="1:26" ht="15">
      <c r="A778" s="116"/>
      <c r="B778" s="988"/>
      <c r="C778" s="116"/>
      <c r="D778" s="116"/>
      <c r="E778" s="116"/>
      <c r="F778" s="116"/>
      <c r="G778" s="116"/>
      <c r="H778" s="116"/>
      <c r="I778" s="116"/>
      <c r="J778" s="116"/>
      <c r="K778" s="116"/>
      <c r="L778" s="116"/>
      <c r="M778" s="116"/>
      <c r="N778" s="116"/>
      <c r="O778" s="116"/>
      <c r="P778" s="116"/>
      <c r="Q778" s="116"/>
      <c r="R778" s="116"/>
      <c r="S778" s="116"/>
      <c r="T778" s="116"/>
      <c r="U778" s="116"/>
      <c r="V778" s="116"/>
      <c r="W778" s="116"/>
      <c r="X778" s="116"/>
      <c r="Y778" s="116"/>
      <c r="Z778" s="116"/>
    </row>
    <row r="779" spans="1:26" ht="15">
      <c r="A779" s="116"/>
      <c r="B779" s="988"/>
      <c r="C779" s="116"/>
      <c r="D779" s="116"/>
      <c r="E779" s="116"/>
      <c r="F779" s="116"/>
      <c r="G779" s="116"/>
      <c r="H779" s="116"/>
      <c r="I779" s="116"/>
      <c r="J779" s="116"/>
      <c r="K779" s="116"/>
      <c r="L779" s="116"/>
      <c r="M779" s="116"/>
      <c r="N779" s="116"/>
      <c r="O779" s="116"/>
      <c r="P779" s="116"/>
      <c r="Q779" s="116"/>
      <c r="R779" s="116"/>
      <c r="S779" s="116"/>
      <c r="T779" s="116"/>
      <c r="U779" s="116"/>
      <c r="V779" s="116"/>
      <c r="W779" s="116"/>
      <c r="X779" s="116"/>
      <c r="Y779" s="116"/>
      <c r="Z779" s="116"/>
    </row>
    <row r="780" spans="1:26" ht="15">
      <c r="A780" s="116"/>
      <c r="B780" s="988"/>
      <c r="C780" s="116"/>
      <c r="D780" s="116"/>
      <c r="E780" s="116"/>
      <c r="F780" s="116"/>
      <c r="G780" s="116"/>
      <c r="H780" s="116"/>
      <c r="I780" s="116"/>
      <c r="J780" s="116"/>
      <c r="K780" s="116"/>
      <c r="L780" s="116"/>
      <c r="M780" s="116"/>
      <c r="N780" s="116"/>
      <c r="O780" s="116"/>
      <c r="P780" s="116"/>
      <c r="Q780" s="116"/>
      <c r="R780" s="116"/>
      <c r="S780" s="116"/>
      <c r="T780" s="116"/>
      <c r="U780" s="116"/>
      <c r="V780" s="116"/>
      <c r="W780" s="116"/>
      <c r="X780" s="116"/>
      <c r="Y780" s="116"/>
      <c r="Z780" s="116"/>
    </row>
    <row r="781" spans="1:26" ht="15">
      <c r="A781" s="116"/>
      <c r="B781" s="988"/>
      <c r="C781" s="116"/>
      <c r="D781" s="116"/>
      <c r="E781" s="116"/>
      <c r="F781" s="116"/>
      <c r="G781" s="116"/>
      <c r="H781" s="116"/>
      <c r="I781" s="116"/>
      <c r="J781" s="116"/>
      <c r="K781" s="116"/>
      <c r="L781" s="116"/>
      <c r="M781" s="116"/>
      <c r="N781" s="116"/>
      <c r="O781" s="116"/>
      <c r="P781" s="116"/>
      <c r="Q781" s="116"/>
      <c r="R781" s="116"/>
      <c r="S781" s="116"/>
      <c r="T781" s="116"/>
      <c r="U781" s="116"/>
      <c r="V781" s="116"/>
      <c r="W781" s="116"/>
      <c r="X781" s="116"/>
      <c r="Y781" s="116"/>
      <c r="Z781" s="116"/>
    </row>
    <row r="782" spans="1:26" ht="15">
      <c r="A782" s="116"/>
      <c r="B782" s="988"/>
      <c r="C782" s="116"/>
      <c r="D782" s="116"/>
      <c r="E782" s="116"/>
      <c r="F782" s="116"/>
      <c r="G782" s="116"/>
      <c r="H782" s="116"/>
      <c r="I782" s="116"/>
      <c r="J782" s="116"/>
      <c r="K782" s="116"/>
      <c r="L782" s="116"/>
      <c r="M782" s="116"/>
      <c r="N782" s="116"/>
      <c r="O782" s="116"/>
      <c r="P782" s="116"/>
      <c r="Q782" s="116"/>
      <c r="R782" s="116"/>
      <c r="S782" s="116"/>
      <c r="T782" s="116"/>
      <c r="U782" s="116"/>
      <c r="V782" s="116"/>
      <c r="W782" s="116"/>
      <c r="X782" s="116"/>
      <c r="Y782" s="116"/>
      <c r="Z782" s="116"/>
    </row>
    <row r="783" spans="1:26" ht="15">
      <c r="A783" s="116"/>
      <c r="B783" s="988"/>
      <c r="C783" s="116"/>
      <c r="D783" s="116"/>
      <c r="E783" s="116"/>
      <c r="F783" s="116"/>
      <c r="G783" s="116"/>
      <c r="H783" s="116"/>
      <c r="I783" s="116"/>
      <c r="J783" s="116"/>
      <c r="K783" s="116"/>
      <c r="L783" s="116"/>
      <c r="M783" s="116"/>
      <c r="N783" s="116"/>
      <c r="O783" s="116"/>
      <c r="P783" s="116"/>
      <c r="Q783" s="116"/>
      <c r="R783" s="116"/>
      <c r="S783" s="116"/>
      <c r="T783" s="116"/>
      <c r="U783" s="116"/>
      <c r="V783" s="116"/>
      <c r="W783" s="116"/>
      <c r="X783" s="116"/>
      <c r="Y783" s="116"/>
      <c r="Z783" s="116"/>
    </row>
    <row r="784" spans="1:26" ht="15">
      <c r="A784" s="116"/>
      <c r="B784" s="988"/>
      <c r="C784" s="116"/>
      <c r="D784" s="116"/>
      <c r="E784" s="116"/>
      <c r="F784" s="116"/>
      <c r="G784" s="116"/>
      <c r="H784" s="116"/>
      <c r="I784" s="116"/>
      <c r="J784" s="116"/>
      <c r="K784" s="116"/>
      <c r="L784" s="116"/>
      <c r="M784" s="116"/>
      <c r="N784" s="116"/>
      <c r="O784" s="116"/>
      <c r="P784" s="116"/>
      <c r="Q784" s="116"/>
      <c r="R784" s="116"/>
      <c r="S784" s="116"/>
      <c r="T784" s="116"/>
      <c r="U784" s="116"/>
      <c r="V784" s="116"/>
      <c r="W784" s="116"/>
      <c r="X784" s="116"/>
      <c r="Y784" s="116"/>
      <c r="Z784" s="116"/>
    </row>
    <row r="785" spans="1:26" ht="15">
      <c r="A785" s="116"/>
      <c r="B785" s="988"/>
      <c r="C785" s="116"/>
      <c r="D785" s="116"/>
      <c r="E785" s="116"/>
      <c r="F785" s="116"/>
      <c r="G785" s="116"/>
      <c r="H785" s="116"/>
      <c r="I785" s="116"/>
      <c r="J785" s="116"/>
      <c r="K785" s="116"/>
      <c r="L785" s="116"/>
      <c r="M785" s="116"/>
      <c r="N785" s="116"/>
      <c r="O785" s="116"/>
      <c r="P785" s="116"/>
      <c r="Q785" s="116"/>
      <c r="R785" s="116"/>
      <c r="S785" s="116"/>
      <c r="T785" s="116"/>
      <c r="U785" s="116"/>
      <c r="V785" s="116"/>
      <c r="W785" s="116"/>
      <c r="X785" s="116"/>
      <c r="Y785" s="116"/>
      <c r="Z785" s="116"/>
    </row>
    <row r="786" spans="1:26" ht="15">
      <c r="A786" s="116"/>
      <c r="B786" s="988"/>
      <c r="C786" s="116"/>
      <c r="D786" s="116"/>
      <c r="E786" s="116"/>
      <c r="F786" s="116"/>
      <c r="G786" s="116"/>
      <c r="H786" s="116"/>
      <c r="I786" s="116"/>
      <c r="J786" s="116"/>
      <c r="K786" s="116"/>
      <c r="L786" s="116"/>
      <c r="M786" s="116"/>
      <c r="N786" s="116"/>
      <c r="O786" s="116"/>
      <c r="P786" s="116"/>
      <c r="Q786" s="116"/>
      <c r="R786" s="116"/>
      <c r="S786" s="116"/>
      <c r="T786" s="116"/>
      <c r="U786" s="116"/>
      <c r="V786" s="116"/>
      <c r="W786" s="116"/>
      <c r="X786" s="116"/>
      <c r="Y786" s="116"/>
      <c r="Z786" s="116"/>
    </row>
    <row r="787" spans="1:26" ht="15">
      <c r="A787" s="116"/>
      <c r="B787" s="988"/>
      <c r="C787" s="116"/>
      <c r="D787" s="116"/>
      <c r="E787" s="116"/>
      <c r="F787" s="116"/>
      <c r="G787" s="116"/>
      <c r="H787" s="116"/>
      <c r="I787" s="116"/>
      <c r="J787" s="116"/>
      <c r="K787" s="116"/>
      <c r="L787" s="116"/>
      <c r="M787" s="116"/>
      <c r="N787" s="116"/>
      <c r="O787" s="116"/>
      <c r="P787" s="116"/>
      <c r="Q787" s="116"/>
      <c r="R787" s="116"/>
      <c r="S787" s="116"/>
      <c r="T787" s="116"/>
      <c r="U787" s="116"/>
      <c r="V787" s="116"/>
      <c r="W787" s="116"/>
      <c r="X787" s="116"/>
      <c r="Y787" s="116"/>
      <c r="Z787" s="116"/>
    </row>
    <row r="788" spans="1:26" ht="15">
      <c r="A788" s="116"/>
      <c r="B788" s="988"/>
      <c r="C788" s="116"/>
      <c r="D788" s="116"/>
      <c r="E788" s="116"/>
      <c r="F788" s="116"/>
      <c r="G788" s="116"/>
      <c r="H788" s="116"/>
      <c r="I788" s="116"/>
      <c r="J788" s="116"/>
      <c r="K788" s="116"/>
      <c r="L788" s="116"/>
      <c r="M788" s="116"/>
      <c r="N788" s="116"/>
      <c r="O788" s="116"/>
      <c r="P788" s="116"/>
      <c r="Q788" s="116"/>
      <c r="R788" s="116"/>
      <c r="S788" s="116"/>
      <c r="T788" s="116"/>
      <c r="U788" s="116"/>
      <c r="V788" s="116"/>
      <c r="W788" s="116"/>
      <c r="X788" s="116"/>
      <c r="Y788" s="116"/>
      <c r="Z788" s="116"/>
    </row>
    <row r="789" spans="1:26" ht="15">
      <c r="A789" s="116"/>
      <c r="B789" s="988"/>
      <c r="C789" s="116"/>
      <c r="D789" s="116"/>
      <c r="E789" s="116"/>
      <c r="F789" s="116"/>
      <c r="G789" s="116"/>
      <c r="H789" s="116"/>
      <c r="I789" s="116"/>
      <c r="J789" s="116"/>
      <c r="K789" s="116"/>
      <c r="L789" s="116"/>
      <c r="M789" s="116"/>
      <c r="N789" s="116"/>
      <c r="O789" s="116"/>
      <c r="P789" s="116"/>
      <c r="Q789" s="116"/>
      <c r="R789" s="116"/>
      <c r="S789" s="116"/>
      <c r="T789" s="116"/>
      <c r="U789" s="116"/>
      <c r="V789" s="116"/>
      <c r="W789" s="116"/>
      <c r="X789" s="116"/>
      <c r="Y789" s="116"/>
      <c r="Z789" s="116"/>
    </row>
    <row r="790" spans="1:26" ht="15">
      <c r="A790" s="116"/>
      <c r="B790" s="988"/>
      <c r="C790" s="116"/>
      <c r="D790" s="116"/>
      <c r="E790" s="116"/>
      <c r="F790" s="116"/>
      <c r="G790" s="116"/>
      <c r="H790" s="116"/>
      <c r="I790" s="116"/>
      <c r="J790" s="116"/>
      <c r="K790" s="116"/>
      <c r="L790" s="116"/>
      <c r="M790" s="116"/>
      <c r="N790" s="116"/>
      <c r="O790" s="116"/>
      <c r="P790" s="116"/>
      <c r="Q790" s="116"/>
      <c r="R790" s="116"/>
      <c r="S790" s="116"/>
      <c r="T790" s="116"/>
      <c r="U790" s="116"/>
      <c r="V790" s="116"/>
      <c r="W790" s="116"/>
      <c r="X790" s="116"/>
      <c r="Y790" s="116"/>
      <c r="Z790" s="116"/>
    </row>
    <row r="791" spans="1:26" ht="15">
      <c r="A791" s="116"/>
      <c r="B791" s="988"/>
      <c r="C791" s="116"/>
      <c r="D791" s="116"/>
      <c r="E791" s="116"/>
      <c r="F791" s="116"/>
      <c r="G791" s="116"/>
      <c r="H791" s="116"/>
      <c r="I791" s="116"/>
      <c r="J791" s="116"/>
      <c r="K791" s="116"/>
      <c r="L791" s="116"/>
      <c r="M791" s="116"/>
      <c r="N791" s="116"/>
      <c r="O791" s="116"/>
      <c r="P791" s="116"/>
      <c r="Q791" s="116"/>
      <c r="R791" s="116"/>
      <c r="S791" s="116"/>
      <c r="T791" s="116"/>
      <c r="U791" s="116"/>
      <c r="V791" s="116"/>
      <c r="W791" s="116"/>
      <c r="X791" s="116"/>
      <c r="Y791" s="116"/>
      <c r="Z791" s="116"/>
    </row>
    <row r="792" spans="1:26" ht="15">
      <c r="A792" s="116"/>
      <c r="B792" s="988"/>
      <c r="C792" s="116"/>
      <c r="D792" s="116"/>
      <c r="E792" s="116"/>
      <c r="F792" s="116"/>
      <c r="G792" s="116"/>
      <c r="H792" s="116"/>
      <c r="I792" s="116"/>
      <c r="J792" s="116"/>
      <c r="K792" s="116"/>
      <c r="L792" s="116"/>
      <c r="M792" s="116"/>
      <c r="N792" s="116"/>
      <c r="O792" s="116"/>
      <c r="P792" s="116"/>
      <c r="Q792" s="116"/>
      <c r="R792" s="116"/>
      <c r="S792" s="116"/>
      <c r="T792" s="116"/>
      <c r="U792" s="116"/>
      <c r="V792" s="116"/>
      <c r="W792" s="116"/>
      <c r="X792" s="116"/>
      <c r="Y792" s="116"/>
      <c r="Z792" s="116"/>
    </row>
    <row r="793" spans="1:26" ht="15">
      <c r="A793" s="116"/>
      <c r="B793" s="988"/>
      <c r="C793" s="116"/>
      <c r="D793" s="116"/>
      <c r="E793" s="116"/>
      <c r="F793" s="116"/>
      <c r="G793" s="116"/>
      <c r="H793" s="116"/>
      <c r="I793" s="116"/>
      <c r="J793" s="116"/>
      <c r="K793" s="116"/>
      <c r="L793" s="116"/>
      <c r="M793" s="116"/>
      <c r="N793" s="116"/>
      <c r="O793" s="116"/>
      <c r="P793" s="116"/>
      <c r="Q793" s="116"/>
      <c r="R793" s="116"/>
      <c r="S793" s="116"/>
      <c r="T793" s="116"/>
      <c r="U793" s="116"/>
      <c r="V793" s="116"/>
      <c r="W793" s="116"/>
      <c r="X793" s="116"/>
      <c r="Y793" s="116"/>
      <c r="Z793" s="116"/>
    </row>
    <row r="794" spans="1:26" ht="15">
      <c r="A794" s="116"/>
      <c r="B794" s="988"/>
      <c r="C794" s="116"/>
      <c r="D794" s="116"/>
      <c r="E794" s="116"/>
      <c r="F794" s="116"/>
      <c r="G794" s="116"/>
      <c r="H794" s="116"/>
      <c r="I794" s="116"/>
      <c r="J794" s="116"/>
      <c r="K794" s="116"/>
      <c r="L794" s="116"/>
      <c r="M794" s="116"/>
      <c r="N794" s="116"/>
      <c r="O794" s="116"/>
      <c r="P794" s="116"/>
      <c r="Q794" s="116"/>
      <c r="R794" s="116"/>
      <c r="S794" s="116"/>
      <c r="T794" s="116"/>
      <c r="U794" s="116"/>
      <c r="V794" s="116"/>
      <c r="W794" s="116"/>
      <c r="X794" s="116"/>
      <c r="Y794" s="116"/>
      <c r="Z794" s="116"/>
    </row>
    <row r="795" spans="1:26" ht="15">
      <c r="A795" s="116"/>
      <c r="B795" s="988"/>
      <c r="C795" s="116"/>
      <c r="D795" s="116"/>
      <c r="E795" s="116"/>
      <c r="F795" s="116"/>
      <c r="G795" s="116"/>
      <c r="H795" s="116"/>
      <c r="I795" s="116"/>
      <c r="J795" s="116"/>
      <c r="K795" s="116"/>
      <c r="L795" s="116"/>
      <c r="M795" s="116"/>
      <c r="N795" s="116"/>
      <c r="O795" s="116"/>
      <c r="P795" s="116"/>
      <c r="Q795" s="116"/>
      <c r="R795" s="116"/>
      <c r="S795" s="116"/>
      <c r="T795" s="116"/>
      <c r="U795" s="116"/>
      <c r="V795" s="116"/>
      <c r="W795" s="116"/>
      <c r="X795" s="116"/>
      <c r="Y795" s="116"/>
      <c r="Z795" s="116"/>
    </row>
    <row r="796" spans="1:26" ht="15">
      <c r="A796" s="116"/>
      <c r="B796" s="988"/>
      <c r="C796" s="116"/>
      <c r="D796" s="116"/>
      <c r="E796" s="116"/>
      <c r="F796" s="116"/>
      <c r="G796" s="116"/>
      <c r="H796" s="116"/>
      <c r="I796" s="116"/>
      <c r="J796" s="116"/>
      <c r="K796" s="116"/>
      <c r="L796" s="116"/>
      <c r="M796" s="116"/>
      <c r="N796" s="116"/>
      <c r="O796" s="116"/>
      <c r="P796" s="116"/>
      <c r="Q796" s="116"/>
      <c r="R796" s="116"/>
      <c r="S796" s="116"/>
      <c r="T796" s="116"/>
      <c r="U796" s="116"/>
      <c r="V796" s="116"/>
      <c r="W796" s="116"/>
      <c r="X796" s="116"/>
      <c r="Y796" s="116"/>
      <c r="Z796" s="116"/>
    </row>
    <row r="797" spans="1:26" ht="15">
      <c r="A797" s="116"/>
      <c r="B797" s="988"/>
      <c r="C797" s="116"/>
      <c r="D797" s="116"/>
      <c r="E797" s="116"/>
      <c r="F797" s="116"/>
      <c r="G797" s="116"/>
      <c r="H797" s="116"/>
      <c r="I797" s="116"/>
      <c r="J797" s="116"/>
      <c r="K797" s="116"/>
      <c r="L797" s="116"/>
      <c r="M797" s="116"/>
      <c r="N797" s="116"/>
      <c r="O797" s="116"/>
      <c r="P797" s="116"/>
      <c r="Q797" s="116"/>
      <c r="R797" s="116"/>
      <c r="S797" s="116"/>
      <c r="T797" s="116"/>
      <c r="U797" s="116"/>
      <c r="V797" s="116"/>
      <c r="W797" s="116"/>
      <c r="X797" s="116"/>
      <c r="Y797" s="116"/>
      <c r="Z797" s="116"/>
    </row>
    <row r="798" spans="1:26" ht="15">
      <c r="A798" s="116"/>
      <c r="B798" s="988"/>
      <c r="C798" s="116"/>
      <c r="D798" s="116"/>
      <c r="E798" s="116"/>
      <c r="F798" s="116"/>
      <c r="G798" s="116"/>
      <c r="H798" s="116"/>
      <c r="I798" s="116"/>
      <c r="J798" s="116"/>
      <c r="K798" s="116"/>
      <c r="L798" s="116"/>
      <c r="M798" s="116"/>
      <c r="N798" s="116"/>
      <c r="O798" s="116"/>
      <c r="P798" s="116"/>
      <c r="Q798" s="116"/>
      <c r="R798" s="116"/>
      <c r="S798" s="116"/>
      <c r="T798" s="116"/>
      <c r="U798" s="116"/>
      <c r="V798" s="116"/>
      <c r="W798" s="116"/>
      <c r="X798" s="116"/>
      <c r="Y798" s="116"/>
      <c r="Z798" s="116"/>
    </row>
    <row r="799" spans="1:26" ht="15">
      <c r="A799" s="116"/>
      <c r="B799" s="988"/>
      <c r="C799" s="116"/>
      <c r="D799" s="116"/>
      <c r="E799" s="116"/>
      <c r="F799" s="116"/>
      <c r="G799" s="116"/>
      <c r="H799" s="116"/>
      <c r="I799" s="116"/>
      <c r="J799" s="116"/>
      <c r="K799" s="116"/>
      <c r="L799" s="116"/>
      <c r="M799" s="116"/>
      <c r="N799" s="116"/>
      <c r="O799" s="116"/>
      <c r="P799" s="116"/>
      <c r="Q799" s="116"/>
      <c r="R799" s="116"/>
      <c r="S799" s="116"/>
      <c r="T799" s="116"/>
      <c r="U799" s="116"/>
      <c r="V799" s="116"/>
      <c r="W799" s="116"/>
      <c r="X799" s="116"/>
      <c r="Y799" s="116"/>
      <c r="Z799" s="116"/>
    </row>
    <row r="800" spans="1:26" ht="15">
      <c r="A800" s="116"/>
      <c r="B800" s="988"/>
      <c r="C800" s="116"/>
      <c r="D800" s="116"/>
      <c r="E800" s="116"/>
      <c r="F800" s="116"/>
      <c r="G800" s="116"/>
      <c r="H800" s="116"/>
      <c r="I800" s="116"/>
      <c r="J800" s="116"/>
      <c r="K800" s="116"/>
      <c r="L800" s="116"/>
      <c r="M800" s="116"/>
      <c r="N800" s="116"/>
      <c r="O800" s="116"/>
      <c r="P800" s="116"/>
      <c r="Q800" s="116"/>
      <c r="R800" s="116"/>
      <c r="S800" s="116"/>
      <c r="T800" s="116"/>
      <c r="U800" s="116"/>
      <c r="V800" s="116"/>
      <c r="W800" s="116"/>
      <c r="X800" s="116"/>
      <c r="Y800" s="116"/>
      <c r="Z800" s="116"/>
    </row>
    <row r="801" spans="1:26" ht="15">
      <c r="A801" s="116"/>
      <c r="B801" s="988"/>
      <c r="C801" s="116"/>
      <c r="D801" s="116"/>
      <c r="E801" s="116"/>
      <c r="F801" s="116"/>
      <c r="G801" s="116"/>
      <c r="H801" s="116"/>
      <c r="I801" s="116"/>
      <c r="J801" s="116"/>
      <c r="K801" s="116"/>
      <c r="L801" s="116"/>
      <c r="M801" s="116"/>
      <c r="N801" s="116"/>
      <c r="O801" s="116"/>
      <c r="P801" s="116"/>
      <c r="Q801" s="116"/>
      <c r="R801" s="116"/>
      <c r="S801" s="116"/>
      <c r="T801" s="116"/>
      <c r="U801" s="116"/>
      <c r="V801" s="116"/>
      <c r="W801" s="116"/>
      <c r="X801" s="116"/>
      <c r="Y801" s="116"/>
      <c r="Z801" s="116"/>
    </row>
    <row r="802" spans="1:26" ht="15">
      <c r="A802" s="116"/>
      <c r="B802" s="988"/>
      <c r="C802" s="116"/>
      <c r="D802" s="116"/>
      <c r="E802" s="116"/>
      <c r="F802" s="116"/>
      <c r="G802" s="116"/>
      <c r="H802" s="116"/>
      <c r="I802" s="116"/>
      <c r="J802" s="116"/>
      <c r="K802" s="116"/>
      <c r="L802" s="116"/>
      <c r="M802" s="116"/>
      <c r="N802" s="116"/>
      <c r="O802" s="116"/>
      <c r="P802" s="116"/>
      <c r="Q802" s="116"/>
      <c r="R802" s="116"/>
      <c r="S802" s="116"/>
      <c r="T802" s="116"/>
      <c r="U802" s="116"/>
      <c r="V802" s="116"/>
      <c r="W802" s="116"/>
      <c r="X802" s="116"/>
      <c r="Y802" s="116"/>
      <c r="Z802" s="116"/>
    </row>
    <row r="803" spans="1:26" ht="15">
      <c r="A803" s="116"/>
      <c r="B803" s="988"/>
      <c r="C803" s="116"/>
      <c r="D803" s="116"/>
      <c r="E803" s="116"/>
      <c r="F803" s="116"/>
      <c r="G803" s="116"/>
      <c r="H803" s="116"/>
      <c r="I803" s="116"/>
      <c r="J803" s="116"/>
      <c r="K803" s="116"/>
      <c r="L803" s="116"/>
      <c r="M803" s="116"/>
      <c r="N803" s="116"/>
      <c r="O803" s="116"/>
      <c r="P803" s="116"/>
      <c r="Q803" s="116"/>
      <c r="R803" s="116"/>
      <c r="S803" s="116"/>
      <c r="T803" s="116"/>
      <c r="U803" s="116"/>
      <c r="V803" s="116"/>
      <c r="W803" s="116"/>
      <c r="X803" s="116"/>
      <c r="Y803" s="116"/>
      <c r="Z803" s="116"/>
    </row>
    <row r="804" spans="1:26" ht="15">
      <c r="A804" s="116"/>
      <c r="B804" s="988"/>
      <c r="C804" s="116"/>
      <c r="D804" s="116"/>
      <c r="E804" s="116"/>
      <c r="F804" s="116"/>
      <c r="G804" s="116"/>
      <c r="H804" s="116"/>
      <c r="I804" s="116"/>
      <c r="J804" s="116"/>
      <c r="K804" s="116"/>
      <c r="L804" s="116"/>
      <c r="M804" s="116"/>
      <c r="N804" s="116"/>
      <c r="O804" s="116"/>
      <c r="P804" s="116"/>
      <c r="Q804" s="116"/>
      <c r="R804" s="116"/>
      <c r="S804" s="116"/>
      <c r="T804" s="116"/>
      <c r="U804" s="116"/>
      <c r="V804" s="116"/>
      <c r="W804" s="116"/>
      <c r="X804" s="116"/>
      <c r="Y804" s="116"/>
      <c r="Z804" s="116"/>
    </row>
    <row r="805" spans="1:26" ht="15">
      <c r="A805" s="116"/>
      <c r="B805" s="988"/>
      <c r="C805" s="116"/>
      <c r="D805" s="116"/>
      <c r="E805" s="116"/>
      <c r="F805" s="116"/>
      <c r="G805" s="116"/>
      <c r="H805" s="116"/>
      <c r="I805" s="116"/>
      <c r="J805" s="116"/>
      <c r="K805" s="116"/>
      <c r="L805" s="116"/>
      <c r="M805" s="116"/>
      <c r="N805" s="116"/>
      <c r="O805" s="116"/>
      <c r="P805" s="116"/>
      <c r="Q805" s="116"/>
      <c r="R805" s="116"/>
      <c r="S805" s="116"/>
      <c r="T805" s="116"/>
      <c r="U805" s="116"/>
      <c r="V805" s="116"/>
      <c r="W805" s="116"/>
      <c r="X805" s="116"/>
      <c r="Y805" s="116"/>
      <c r="Z805" s="116"/>
    </row>
    <row r="806" spans="1:26" ht="15">
      <c r="A806" s="116"/>
      <c r="B806" s="988"/>
      <c r="C806" s="116"/>
      <c r="D806" s="116"/>
      <c r="E806" s="116"/>
      <c r="F806" s="116"/>
      <c r="G806" s="116"/>
      <c r="H806" s="116"/>
      <c r="I806" s="116"/>
      <c r="J806" s="116"/>
      <c r="K806" s="116"/>
      <c r="L806" s="116"/>
      <c r="M806" s="116"/>
      <c r="N806" s="116"/>
      <c r="O806" s="116"/>
      <c r="P806" s="116"/>
      <c r="Q806" s="116"/>
      <c r="R806" s="116"/>
      <c r="S806" s="116"/>
      <c r="T806" s="116"/>
      <c r="U806" s="116"/>
      <c r="V806" s="116"/>
      <c r="W806" s="116"/>
      <c r="X806" s="116"/>
      <c r="Y806" s="116"/>
      <c r="Z806" s="116"/>
    </row>
    <row r="807" spans="1:26" ht="15">
      <c r="A807" s="116"/>
      <c r="B807" s="988"/>
      <c r="C807" s="116"/>
      <c r="D807" s="116"/>
      <c r="E807" s="116"/>
      <c r="F807" s="116"/>
      <c r="G807" s="116"/>
      <c r="H807" s="116"/>
      <c r="I807" s="116"/>
      <c r="J807" s="116"/>
      <c r="K807" s="116"/>
      <c r="L807" s="116"/>
      <c r="M807" s="116"/>
      <c r="N807" s="116"/>
      <c r="O807" s="116"/>
      <c r="P807" s="116"/>
      <c r="Q807" s="116"/>
      <c r="R807" s="116"/>
      <c r="S807" s="116"/>
      <c r="T807" s="116"/>
      <c r="U807" s="116"/>
      <c r="V807" s="116"/>
      <c r="W807" s="116"/>
      <c r="X807" s="116"/>
      <c r="Y807" s="116"/>
      <c r="Z807" s="116"/>
    </row>
    <row r="808" spans="1:26" ht="15">
      <c r="A808" s="116"/>
      <c r="B808" s="988"/>
      <c r="C808" s="116"/>
      <c r="D808" s="116"/>
      <c r="E808" s="116"/>
      <c r="F808" s="116"/>
      <c r="G808" s="116"/>
      <c r="H808" s="116"/>
      <c r="I808" s="116"/>
      <c r="J808" s="116"/>
      <c r="K808" s="116"/>
      <c r="L808" s="116"/>
      <c r="M808" s="116"/>
      <c r="N808" s="116"/>
      <c r="O808" s="116"/>
      <c r="P808" s="116"/>
      <c r="Q808" s="116"/>
      <c r="R808" s="116"/>
      <c r="S808" s="116"/>
      <c r="T808" s="116"/>
      <c r="U808" s="116"/>
      <c r="V808" s="116"/>
      <c r="W808" s="116"/>
      <c r="X808" s="116"/>
      <c r="Y808" s="116"/>
      <c r="Z808" s="116"/>
    </row>
    <row r="809" spans="1:26" ht="15">
      <c r="A809" s="116"/>
      <c r="B809" s="988"/>
      <c r="C809" s="116"/>
      <c r="D809" s="116"/>
      <c r="E809" s="116"/>
      <c r="F809" s="116"/>
      <c r="G809" s="116"/>
      <c r="H809" s="116"/>
      <c r="I809" s="116"/>
      <c r="J809" s="116"/>
      <c r="K809" s="116"/>
      <c r="L809" s="116"/>
      <c r="M809" s="116"/>
      <c r="N809" s="116"/>
      <c r="O809" s="116"/>
      <c r="P809" s="116"/>
      <c r="Q809" s="116"/>
      <c r="R809" s="116"/>
      <c r="S809" s="116"/>
      <c r="T809" s="116"/>
      <c r="U809" s="116"/>
      <c r="V809" s="116"/>
      <c r="W809" s="116"/>
      <c r="X809" s="116"/>
      <c r="Y809" s="116"/>
      <c r="Z809" s="116"/>
    </row>
    <row r="810" spans="1:26" ht="15">
      <c r="A810" s="116"/>
      <c r="B810" s="988"/>
      <c r="C810" s="116"/>
      <c r="D810" s="116"/>
      <c r="E810" s="116"/>
      <c r="F810" s="116"/>
      <c r="G810" s="116"/>
      <c r="H810" s="116"/>
      <c r="I810" s="116"/>
      <c r="J810" s="116"/>
      <c r="K810" s="116"/>
      <c r="L810" s="116"/>
      <c r="M810" s="116"/>
      <c r="N810" s="116"/>
      <c r="O810" s="116"/>
      <c r="P810" s="116"/>
      <c r="Q810" s="116"/>
      <c r="R810" s="116"/>
      <c r="S810" s="116"/>
      <c r="T810" s="116"/>
      <c r="U810" s="116"/>
      <c r="V810" s="116"/>
      <c r="W810" s="116"/>
      <c r="X810" s="116"/>
      <c r="Y810" s="116"/>
      <c r="Z810" s="116"/>
    </row>
    <row r="811" spans="1:26" ht="15">
      <c r="A811" s="116"/>
      <c r="B811" s="988"/>
      <c r="C811" s="116"/>
      <c r="D811" s="116"/>
      <c r="E811" s="116"/>
      <c r="F811" s="116"/>
      <c r="G811" s="116"/>
      <c r="H811" s="116"/>
      <c r="I811" s="116"/>
      <c r="J811" s="116"/>
      <c r="K811" s="116"/>
      <c r="L811" s="116"/>
      <c r="M811" s="116"/>
      <c r="N811" s="116"/>
      <c r="O811" s="116"/>
      <c r="P811" s="116"/>
      <c r="Q811" s="116"/>
      <c r="R811" s="116"/>
      <c r="S811" s="116"/>
      <c r="T811" s="116"/>
      <c r="U811" s="116"/>
      <c r="V811" s="116"/>
      <c r="W811" s="116"/>
      <c r="X811" s="116"/>
      <c r="Y811" s="116"/>
      <c r="Z811" s="116"/>
    </row>
    <row r="812" spans="1:26" ht="15">
      <c r="A812" s="116"/>
      <c r="B812" s="988"/>
      <c r="C812" s="116"/>
      <c r="D812" s="116"/>
      <c r="E812" s="116"/>
      <c r="F812" s="116"/>
      <c r="G812" s="116"/>
      <c r="H812" s="116"/>
      <c r="I812" s="116"/>
      <c r="J812" s="116"/>
      <c r="K812" s="116"/>
      <c r="L812" s="116"/>
      <c r="M812" s="116"/>
      <c r="N812" s="116"/>
      <c r="O812" s="116"/>
      <c r="P812" s="116"/>
      <c r="Q812" s="116"/>
      <c r="R812" s="116"/>
      <c r="S812" s="116"/>
      <c r="T812" s="116"/>
      <c r="U812" s="116"/>
      <c r="V812" s="116"/>
      <c r="W812" s="116"/>
      <c r="X812" s="116"/>
      <c r="Y812" s="116"/>
      <c r="Z812" s="116"/>
    </row>
    <row r="813" spans="1:26" ht="15">
      <c r="A813" s="116"/>
      <c r="B813" s="988"/>
      <c r="C813" s="116"/>
      <c r="D813" s="116"/>
      <c r="E813" s="116"/>
      <c r="F813" s="116"/>
      <c r="G813" s="116"/>
      <c r="H813" s="116"/>
      <c r="I813" s="116"/>
      <c r="J813" s="116"/>
      <c r="K813" s="116"/>
      <c r="L813" s="116"/>
      <c r="M813" s="116"/>
      <c r="N813" s="116"/>
      <c r="O813" s="116"/>
      <c r="P813" s="116"/>
      <c r="Q813" s="116"/>
      <c r="R813" s="116"/>
      <c r="S813" s="116"/>
      <c r="T813" s="116"/>
      <c r="U813" s="116"/>
      <c r="V813" s="116"/>
      <c r="W813" s="116"/>
      <c r="X813" s="116"/>
      <c r="Y813" s="116"/>
      <c r="Z813" s="116"/>
    </row>
    <row r="814" spans="1:26" ht="15">
      <c r="A814" s="116"/>
      <c r="B814" s="988"/>
      <c r="C814" s="116"/>
      <c r="D814" s="116"/>
      <c r="E814" s="116"/>
      <c r="F814" s="116"/>
      <c r="G814" s="116"/>
      <c r="H814" s="116"/>
      <c r="I814" s="116"/>
      <c r="J814" s="116"/>
      <c r="K814" s="116"/>
      <c r="L814" s="116"/>
      <c r="M814" s="116"/>
      <c r="N814" s="116"/>
      <c r="O814" s="116"/>
      <c r="P814" s="116"/>
      <c r="Q814" s="116"/>
      <c r="R814" s="116"/>
      <c r="S814" s="116"/>
      <c r="T814" s="116"/>
      <c r="U814" s="116"/>
      <c r="V814" s="116"/>
      <c r="W814" s="116"/>
      <c r="X814" s="116"/>
      <c r="Y814" s="116"/>
      <c r="Z814" s="116"/>
    </row>
    <row r="815" spans="1:26" ht="15">
      <c r="A815" s="116"/>
      <c r="B815" s="988"/>
      <c r="C815" s="116"/>
      <c r="D815" s="116"/>
      <c r="E815" s="116"/>
      <c r="F815" s="116"/>
      <c r="G815" s="116"/>
      <c r="H815" s="116"/>
      <c r="I815" s="116"/>
      <c r="J815" s="116"/>
      <c r="K815" s="116"/>
      <c r="L815" s="116"/>
      <c r="M815" s="116"/>
      <c r="N815" s="116"/>
      <c r="O815" s="116"/>
      <c r="P815" s="116"/>
      <c r="Q815" s="116"/>
      <c r="R815" s="116"/>
      <c r="S815" s="116"/>
      <c r="T815" s="116"/>
      <c r="U815" s="116"/>
      <c r="V815" s="116"/>
      <c r="W815" s="116"/>
      <c r="X815" s="116"/>
      <c r="Y815" s="116"/>
      <c r="Z815" s="116"/>
    </row>
    <row r="816" spans="1:26" ht="15">
      <c r="A816" s="116"/>
      <c r="B816" s="988"/>
      <c r="C816" s="116"/>
      <c r="D816" s="116"/>
      <c r="E816" s="116"/>
      <c r="F816" s="116"/>
      <c r="G816" s="116"/>
      <c r="H816" s="116"/>
      <c r="I816" s="116"/>
      <c r="J816" s="116"/>
      <c r="K816" s="116"/>
      <c r="L816" s="116"/>
      <c r="M816" s="116"/>
      <c r="N816" s="116"/>
      <c r="O816" s="116"/>
      <c r="P816" s="116"/>
      <c r="Q816" s="116"/>
      <c r="R816" s="116"/>
      <c r="S816" s="116"/>
      <c r="T816" s="116"/>
      <c r="U816" s="116"/>
      <c r="V816" s="116"/>
      <c r="W816" s="116"/>
      <c r="X816" s="116"/>
      <c r="Y816" s="116"/>
      <c r="Z816" s="116"/>
    </row>
    <row r="817" spans="1:26" ht="15">
      <c r="A817" s="116"/>
      <c r="B817" s="988"/>
      <c r="C817" s="116"/>
      <c r="D817" s="116"/>
      <c r="E817" s="116"/>
      <c r="F817" s="116"/>
      <c r="G817" s="116"/>
      <c r="H817" s="116"/>
      <c r="I817" s="116"/>
      <c r="J817" s="116"/>
      <c r="K817" s="116"/>
      <c r="L817" s="116"/>
      <c r="M817" s="116"/>
      <c r="N817" s="116"/>
      <c r="O817" s="116"/>
      <c r="P817" s="116"/>
      <c r="Q817" s="116"/>
      <c r="R817" s="116"/>
      <c r="S817" s="116"/>
      <c r="T817" s="116"/>
      <c r="U817" s="116"/>
      <c r="V817" s="116"/>
      <c r="W817" s="116"/>
      <c r="X817" s="116"/>
      <c r="Y817" s="116"/>
      <c r="Z817" s="116"/>
    </row>
    <row r="818" spans="1:26" ht="15">
      <c r="A818" s="116"/>
      <c r="B818" s="988"/>
      <c r="C818" s="116"/>
      <c r="D818" s="116"/>
      <c r="E818" s="116"/>
      <c r="F818" s="116"/>
      <c r="G818" s="116"/>
      <c r="H818" s="116"/>
      <c r="I818" s="116"/>
      <c r="J818" s="116"/>
      <c r="K818" s="116"/>
      <c r="L818" s="116"/>
      <c r="M818" s="116"/>
      <c r="N818" s="116"/>
      <c r="O818" s="116"/>
      <c r="P818" s="116"/>
      <c r="Q818" s="116"/>
      <c r="R818" s="116"/>
      <c r="S818" s="116"/>
      <c r="T818" s="116"/>
      <c r="U818" s="116"/>
      <c r="V818" s="116"/>
      <c r="W818" s="116"/>
      <c r="X818" s="116"/>
      <c r="Y818" s="116"/>
      <c r="Z818" s="116"/>
    </row>
    <row r="819" spans="1:26" ht="15">
      <c r="A819" s="116"/>
      <c r="B819" s="988"/>
      <c r="C819" s="116"/>
      <c r="D819" s="116"/>
      <c r="E819" s="116"/>
      <c r="F819" s="116"/>
      <c r="G819" s="116"/>
      <c r="H819" s="116"/>
      <c r="I819" s="116"/>
      <c r="J819" s="116"/>
      <c r="K819" s="116"/>
      <c r="L819" s="116"/>
      <c r="M819" s="116"/>
      <c r="N819" s="116"/>
      <c r="O819" s="116"/>
      <c r="P819" s="116"/>
      <c r="Q819" s="116"/>
      <c r="R819" s="116"/>
      <c r="S819" s="116"/>
      <c r="T819" s="116"/>
      <c r="U819" s="116"/>
      <c r="V819" s="116"/>
      <c r="W819" s="116"/>
      <c r="X819" s="116"/>
      <c r="Y819" s="116"/>
      <c r="Z819" s="116"/>
    </row>
    <row r="820" spans="1:26" ht="15">
      <c r="A820" s="116"/>
      <c r="B820" s="988"/>
      <c r="C820" s="116"/>
      <c r="D820" s="116"/>
      <c r="E820" s="116"/>
      <c r="F820" s="116"/>
      <c r="G820" s="116"/>
      <c r="H820" s="116"/>
      <c r="I820" s="116"/>
      <c r="J820" s="116"/>
      <c r="K820" s="116"/>
      <c r="L820" s="116"/>
      <c r="M820" s="116"/>
      <c r="N820" s="116"/>
      <c r="O820" s="116"/>
      <c r="P820" s="116"/>
      <c r="Q820" s="116"/>
      <c r="R820" s="116"/>
      <c r="S820" s="116"/>
      <c r="T820" s="116"/>
      <c r="U820" s="116"/>
      <c r="V820" s="116"/>
      <c r="W820" s="116"/>
      <c r="X820" s="116"/>
      <c r="Y820" s="116"/>
      <c r="Z820" s="116"/>
    </row>
    <row r="821" spans="1:26" ht="15">
      <c r="A821" s="116"/>
      <c r="B821" s="988"/>
      <c r="C821" s="116"/>
      <c r="D821" s="116"/>
      <c r="E821" s="116"/>
      <c r="F821" s="116"/>
      <c r="G821" s="116"/>
      <c r="H821" s="116"/>
      <c r="I821" s="116"/>
      <c r="J821" s="116"/>
      <c r="K821" s="116"/>
      <c r="L821" s="116"/>
      <c r="M821" s="116"/>
      <c r="N821" s="116"/>
      <c r="O821" s="116"/>
      <c r="P821" s="116"/>
      <c r="Q821" s="116"/>
      <c r="R821" s="116"/>
      <c r="S821" s="116"/>
      <c r="T821" s="116"/>
      <c r="U821" s="116"/>
      <c r="V821" s="116"/>
      <c r="W821" s="116"/>
      <c r="X821" s="116"/>
      <c r="Y821" s="116"/>
      <c r="Z821" s="116"/>
    </row>
    <row r="822" spans="1:26" ht="15">
      <c r="A822" s="116"/>
      <c r="B822" s="988"/>
      <c r="C822" s="116"/>
      <c r="D822" s="116"/>
      <c r="E822" s="116"/>
      <c r="F822" s="116"/>
      <c r="G822" s="116"/>
      <c r="H822" s="116"/>
      <c r="I822" s="116"/>
      <c r="J822" s="116"/>
      <c r="K822" s="116"/>
      <c r="L822" s="116"/>
      <c r="M822" s="116"/>
      <c r="N822" s="116"/>
      <c r="O822" s="116"/>
      <c r="P822" s="116"/>
      <c r="Q822" s="116"/>
      <c r="R822" s="116"/>
      <c r="S822" s="116"/>
      <c r="T822" s="116"/>
      <c r="U822" s="116"/>
      <c r="V822" s="116"/>
      <c r="W822" s="116"/>
      <c r="X822" s="116"/>
      <c r="Y822" s="116"/>
      <c r="Z822" s="116"/>
    </row>
    <row r="823" spans="1:26" ht="15">
      <c r="A823" s="116"/>
      <c r="B823" s="988"/>
      <c r="C823" s="116"/>
      <c r="D823" s="116"/>
      <c r="E823" s="116"/>
      <c r="F823" s="116"/>
      <c r="G823" s="116"/>
      <c r="H823" s="116"/>
      <c r="I823" s="116"/>
      <c r="J823" s="116"/>
      <c r="K823" s="116"/>
      <c r="L823" s="116"/>
      <c r="M823" s="116"/>
      <c r="N823" s="116"/>
      <c r="O823" s="116"/>
      <c r="P823" s="116"/>
      <c r="Q823" s="116"/>
      <c r="R823" s="116"/>
      <c r="S823" s="116"/>
      <c r="T823" s="116"/>
      <c r="U823" s="116"/>
      <c r="V823" s="116"/>
      <c r="W823" s="116"/>
      <c r="X823" s="116"/>
      <c r="Y823" s="116"/>
      <c r="Z823" s="116"/>
    </row>
    <row r="824" spans="1:26" ht="15">
      <c r="A824" s="116"/>
      <c r="B824" s="988"/>
      <c r="C824" s="116"/>
      <c r="D824" s="116"/>
      <c r="E824" s="116"/>
      <c r="F824" s="116"/>
      <c r="G824" s="116"/>
      <c r="H824" s="116"/>
      <c r="I824" s="116"/>
      <c r="J824" s="116"/>
      <c r="K824" s="116"/>
      <c r="L824" s="116"/>
      <c r="M824" s="116"/>
      <c r="N824" s="116"/>
      <c r="O824" s="116"/>
      <c r="P824" s="116"/>
      <c r="Q824" s="116"/>
      <c r="R824" s="116"/>
      <c r="S824" s="116"/>
      <c r="T824" s="116"/>
      <c r="U824" s="116"/>
      <c r="V824" s="116"/>
      <c r="W824" s="116"/>
      <c r="X824" s="116"/>
      <c r="Y824" s="116"/>
      <c r="Z824" s="116"/>
    </row>
    <row r="825" spans="1:26" ht="15">
      <c r="A825" s="116"/>
      <c r="B825" s="988"/>
      <c r="C825" s="116"/>
      <c r="D825" s="116"/>
      <c r="E825" s="116"/>
      <c r="F825" s="116"/>
      <c r="G825" s="116"/>
      <c r="H825" s="116"/>
      <c r="I825" s="116"/>
      <c r="J825" s="116"/>
      <c r="K825" s="116"/>
      <c r="L825" s="116"/>
      <c r="M825" s="116"/>
      <c r="N825" s="116"/>
      <c r="O825" s="116"/>
      <c r="P825" s="116"/>
      <c r="Q825" s="116"/>
      <c r="R825" s="116"/>
      <c r="S825" s="116"/>
      <c r="T825" s="116"/>
      <c r="U825" s="116"/>
      <c r="V825" s="116"/>
      <c r="W825" s="116"/>
      <c r="X825" s="116"/>
      <c r="Y825" s="116"/>
      <c r="Z825" s="116"/>
    </row>
    <row r="826" spans="1:26" ht="15">
      <c r="A826" s="116"/>
      <c r="B826" s="988"/>
      <c r="C826" s="116"/>
      <c r="D826" s="116"/>
      <c r="E826" s="116"/>
      <c r="F826" s="116"/>
      <c r="G826" s="116"/>
      <c r="H826" s="116"/>
      <c r="I826" s="116"/>
      <c r="J826" s="116"/>
      <c r="K826" s="116"/>
      <c r="L826" s="116"/>
      <c r="M826" s="116"/>
      <c r="N826" s="116"/>
      <c r="O826" s="116"/>
      <c r="P826" s="116"/>
      <c r="Q826" s="116"/>
      <c r="R826" s="116"/>
      <c r="S826" s="116"/>
      <c r="T826" s="116"/>
      <c r="U826" s="116"/>
      <c r="V826" s="116"/>
      <c r="W826" s="116"/>
      <c r="X826" s="116"/>
      <c r="Y826" s="116"/>
      <c r="Z826" s="116"/>
    </row>
    <row r="827" spans="1:26" ht="15">
      <c r="A827" s="116"/>
      <c r="B827" s="988"/>
      <c r="C827" s="116"/>
      <c r="D827" s="116"/>
      <c r="E827" s="116"/>
      <c r="F827" s="116"/>
      <c r="G827" s="116"/>
      <c r="H827" s="116"/>
      <c r="I827" s="116"/>
      <c r="J827" s="116"/>
      <c r="K827" s="116"/>
      <c r="L827" s="116"/>
      <c r="M827" s="116"/>
      <c r="N827" s="116"/>
      <c r="O827" s="116"/>
      <c r="P827" s="116"/>
      <c r="Q827" s="116"/>
      <c r="R827" s="116"/>
      <c r="S827" s="116"/>
      <c r="T827" s="116"/>
      <c r="U827" s="116"/>
      <c r="V827" s="116"/>
      <c r="W827" s="116"/>
      <c r="X827" s="116"/>
      <c r="Y827" s="116"/>
      <c r="Z827" s="116"/>
    </row>
    <row r="828" spans="1:26" ht="15">
      <c r="A828" s="116"/>
      <c r="B828" s="988"/>
      <c r="C828" s="116"/>
      <c r="D828" s="116"/>
      <c r="E828" s="116"/>
      <c r="F828" s="116"/>
      <c r="G828" s="116"/>
      <c r="H828" s="116"/>
      <c r="I828" s="116"/>
      <c r="J828" s="116"/>
      <c r="K828" s="116"/>
      <c r="L828" s="116"/>
      <c r="M828" s="116"/>
      <c r="N828" s="116"/>
      <c r="O828" s="116"/>
      <c r="P828" s="116"/>
      <c r="Q828" s="116"/>
      <c r="R828" s="116"/>
      <c r="S828" s="116"/>
      <c r="T828" s="116"/>
      <c r="U828" s="116"/>
      <c r="V828" s="116"/>
      <c r="W828" s="116"/>
      <c r="X828" s="116"/>
      <c r="Y828" s="116"/>
      <c r="Z828" s="116"/>
    </row>
    <row r="829" spans="1:26" ht="15">
      <c r="A829" s="116"/>
      <c r="B829" s="988"/>
      <c r="C829" s="116"/>
      <c r="D829" s="116"/>
      <c r="E829" s="116"/>
      <c r="F829" s="116"/>
      <c r="G829" s="116"/>
      <c r="H829" s="116"/>
      <c r="I829" s="116"/>
      <c r="J829" s="116"/>
      <c r="K829" s="116"/>
      <c r="L829" s="116"/>
      <c r="M829" s="116"/>
      <c r="N829" s="116"/>
      <c r="O829" s="116"/>
      <c r="P829" s="116"/>
      <c r="Q829" s="116"/>
      <c r="R829" s="116"/>
      <c r="S829" s="116"/>
      <c r="T829" s="116"/>
      <c r="U829" s="116"/>
      <c r="V829" s="116"/>
      <c r="W829" s="116"/>
      <c r="X829" s="116"/>
      <c r="Y829" s="116"/>
      <c r="Z829" s="116"/>
    </row>
    <row r="830" spans="1:26" ht="15">
      <c r="A830" s="116"/>
      <c r="B830" s="988"/>
      <c r="C830" s="116"/>
      <c r="D830" s="116"/>
      <c r="E830" s="116"/>
      <c r="F830" s="116"/>
      <c r="G830" s="116"/>
      <c r="H830" s="116"/>
      <c r="I830" s="116"/>
      <c r="J830" s="116"/>
      <c r="K830" s="116"/>
      <c r="L830" s="116"/>
      <c r="M830" s="116"/>
      <c r="N830" s="116"/>
      <c r="O830" s="116"/>
      <c r="P830" s="116"/>
      <c r="Q830" s="116"/>
      <c r="R830" s="116"/>
      <c r="S830" s="116"/>
      <c r="T830" s="116"/>
      <c r="U830" s="116"/>
      <c r="V830" s="116"/>
      <c r="W830" s="116"/>
      <c r="X830" s="116"/>
      <c r="Y830" s="116"/>
      <c r="Z830" s="116"/>
    </row>
    <row r="831" spans="1:26" ht="15">
      <c r="A831" s="116"/>
      <c r="B831" s="988"/>
      <c r="C831" s="116"/>
      <c r="D831" s="116"/>
      <c r="E831" s="116"/>
      <c r="F831" s="116"/>
      <c r="G831" s="116"/>
      <c r="H831" s="116"/>
      <c r="I831" s="116"/>
      <c r="J831" s="116"/>
      <c r="K831" s="116"/>
      <c r="L831" s="116"/>
      <c r="M831" s="116"/>
      <c r="N831" s="116"/>
      <c r="O831" s="116"/>
      <c r="P831" s="116"/>
      <c r="Q831" s="116"/>
      <c r="R831" s="116"/>
      <c r="S831" s="116"/>
      <c r="T831" s="116"/>
      <c r="U831" s="116"/>
      <c r="V831" s="116"/>
      <c r="W831" s="116"/>
      <c r="X831" s="116"/>
      <c r="Y831" s="116"/>
      <c r="Z831" s="116"/>
    </row>
    <row r="832" spans="1:26" ht="15">
      <c r="A832" s="116"/>
      <c r="B832" s="988"/>
      <c r="C832" s="116"/>
      <c r="D832" s="116"/>
      <c r="E832" s="116"/>
      <c r="F832" s="116"/>
      <c r="G832" s="116"/>
      <c r="H832" s="116"/>
      <c r="I832" s="116"/>
      <c r="J832" s="116"/>
      <c r="K832" s="116"/>
      <c r="L832" s="116"/>
      <c r="M832" s="116"/>
      <c r="N832" s="116"/>
      <c r="O832" s="116"/>
      <c r="P832" s="116"/>
      <c r="Q832" s="116"/>
      <c r="R832" s="116"/>
      <c r="S832" s="116"/>
      <c r="T832" s="116"/>
      <c r="U832" s="116"/>
      <c r="V832" s="116"/>
      <c r="W832" s="116"/>
      <c r="X832" s="116"/>
      <c r="Y832" s="116"/>
      <c r="Z832" s="116"/>
    </row>
    <row r="833" spans="1:26" ht="15">
      <c r="A833" s="116"/>
      <c r="B833" s="988"/>
      <c r="C833" s="116"/>
      <c r="D833" s="116"/>
      <c r="E833" s="116"/>
      <c r="F833" s="116"/>
      <c r="G833" s="116"/>
      <c r="H833" s="116"/>
      <c r="I833" s="116"/>
      <c r="J833" s="116"/>
      <c r="K833" s="116"/>
      <c r="L833" s="116"/>
      <c r="M833" s="116"/>
      <c r="N833" s="116"/>
      <c r="O833" s="116"/>
      <c r="P833" s="116"/>
      <c r="Q833" s="116"/>
      <c r="R833" s="116"/>
      <c r="S833" s="116"/>
      <c r="T833" s="116"/>
      <c r="U833" s="116"/>
      <c r="V833" s="116"/>
      <c r="W833" s="116"/>
      <c r="X833" s="116"/>
      <c r="Y833" s="116"/>
      <c r="Z833" s="116"/>
    </row>
    <row r="834" spans="1:26" ht="15">
      <c r="A834" s="116"/>
      <c r="B834" s="988"/>
      <c r="C834" s="116"/>
      <c r="D834" s="116"/>
      <c r="E834" s="116"/>
      <c r="F834" s="116"/>
      <c r="G834" s="116"/>
      <c r="H834" s="116"/>
      <c r="I834" s="116"/>
      <c r="J834" s="116"/>
      <c r="K834" s="116"/>
      <c r="L834" s="116"/>
      <c r="M834" s="116"/>
      <c r="N834" s="116"/>
      <c r="O834" s="116"/>
      <c r="P834" s="116"/>
      <c r="Q834" s="116"/>
      <c r="R834" s="116"/>
      <c r="S834" s="116"/>
      <c r="T834" s="116"/>
      <c r="U834" s="116"/>
      <c r="V834" s="116"/>
      <c r="W834" s="116"/>
      <c r="X834" s="116"/>
      <c r="Y834" s="116"/>
      <c r="Z834" s="116"/>
    </row>
    <row r="835" spans="1:26" ht="15">
      <c r="A835" s="116"/>
      <c r="B835" s="988"/>
      <c r="C835" s="116"/>
      <c r="D835" s="116"/>
      <c r="E835" s="116"/>
      <c r="F835" s="116"/>
      <c r="G835" s="116"/>
      <c r="H835" s="116"/>
      <c r="I835" s="116"/>
      <c r="J835" s="116"/>
      <c r="K835" s="116"/>
      <c r="L835" s="116"/>
      <c r="M835" s="116"/>
      <c r="N835" s="116"/>
      <c r="O835" s="116"/>
      <c r="P835" s="116"/>
      <c r="Q835" s="116"/>
      <c r="R835" s="116"/>
      <c r="S835" s="116"/>
      <c r="T835" s="116"/>
      <c r="U835" s="116"/>
      <c r="V835" s="116"/>
      <c r="W835" s="116"/>
      <c r="X835" s="116"/>
      <c r="Y835" s="116"/>
      <c r="Z835" s="116"/>
    </row>
    <row r="836" spans="1:26" ht="15">
      <c r="A836" s="116"/>
      <c r="B836" s="988"/>
      <c r="C836" s="116"/>
      <c r="D836" s="116"/>
      <c r="E836" s="116"/>
      <c r="F836" s="116"/>
      <c r="G836" s="116"/>
      <c r="H836" s="116"/>
      <c r="I836" s="116"/>
      <c r="J836" s="116"/>
      <c r="K836" s="116"/>
      <c r="L836" s="116"/>
      <c r="M836" s="116"/>
      <c r="N836" s="116"/>
      <c r="O836" s="116"/>
      <c r="P836" s="116"/>
      <c r="Q836" s="116"/>
      <c r="R836" s="116"/>
      <c r="S836" s="116"/>
      <c r="T836" s="116"/>
      <c r="U836" s="116"/>
      <c r="V836" s="116"/>
      <c r="W836" s="116"/>
      <c r="X836" s="116"/>
      <c r="Y836" s="116"/>
      <c r="Z836" s="116"/>
    </row>
    <row r="837" spans="1:26" ht="15">
      <c r="A837" s="116"/>
      <c r="B837" s="988"/>
      <c r="C837" s="116"/>
      <c r="D837" s="116"/>
      <c r="E837" s="116"/>
      <c r="F837" s="116"/>
      <c r="G837" s="116"/>
      <c r="H837" s="116"/>
      <c r="I837" s="116"/>
      <c r="J837" s="116"/>
      <c r="K837" s="116"/>
      <c r="L837" s="116"/>
      <c r="M837" s="116"/>
      <c r="N837" s="116"/>
      <c r="O837" s="116"/>
      <c r="P837" s="116"/>
      <c r="Q837" s="116"/>
      <c r="R837" s="116"/>
      <c r="S837" s="116"/>
      <c r="T837" s="116"/>
      <c r="U837" s="116"/>
      <c r="V837" s="116"/>
      <c r="W837" s="116"/>
      <c r="X837" s="116"/>
      <c r="Y837" s="116"/>
      <c r="Z837" s="116"/>
    </row>
    <row r="838" spans="1:26" ht="15">
      <c r="A838" s="116"/>
      <c r="B838" s="988"/>
      <c r="C838" s="116"/>
      <c r="D838" s="116"/>
      <c r="E838" s="116"/>
      <c r="F838" s="116"/>
      <c r="G838" s="116"/>
      <c r="H838" s="116"/>
      <c r="I838" s="116"/>
      <c r="J838" s="116"/>
      <c r="K838" s="116"/>
      <c r="L838" s="116"/>
      <c r="M838" s="116"/>
      <c r="N838" s="116"/>
      <c r="O838" s="116"/>
      <c r="P838" s="116"/>
      <c r="Q838" s="116"/>
      <c r="R838" s="116"/>
      <c r="S838" s="116"/>
      <c r="T838" s="116"/>
      <c r="U838" s="116"/>
      <c r="V838" s="116"/>
      <c r="W838" s="116"/>
      <c r="X838" s="116"/>
      <c r="Y838" s="116"/>
      <c r="Z838" s="116"/>
    </row>
    <row r="839" spans="1:26" ht="15">
      <c r="A839" s="116"/>
      <c r="B839" s="988"/>
      <c r="C839" s="116"/>
      <c r="D839" s="116"/>
      <c r="E839" s="116"/>
      <c r="F839" s="116"/>
      <c r="G839" s="116"/>
      <c r="H839" s="116"/>
      <c r="I839" s="116"/>
      <c r="J839" s="116"/>
      <c r="K839" s="116"/>
      <c r="L839" s="116"/>
      <c r="M839" s="116"/>
      <c r="N839" s="116"/>
      <c r="O839" s="116"/>
      <c r="P839" s="116"/>
      <c r="Q839" s="116"/>
      <c r="R839" s="116"/>
      <c r="S839" s="116"/>
      <c r="T839" s="116"/>
      <c r="U839" s="116"/>
      <c r="V839" s="116"/>
      <c r="W839" s="116"/>
      <c r="X839" s="116"/>
      <c r="Y839" s="116"/>
      <c r="Z839" s="116"/>
    </row>
    <row r="840" spans="1:26" ht="15">
      <c r="A840" s="116"/>
      <c r="B840" s="988"/>
      <c r="C840" s="116"/>
      <c r="D840" s="116"/>
      <c r="E840" s="116"/>
      <c r="F840" s="116"/>
      <c r="G840" s="116"/>
      <c r="H840" s="116"/>
      <c r="I840" s="116"/>
      <c r="J840" s="116"/>
      <c r="K840" s="116"/>
      <c r="L840" s="116"/>
      <c r="M840" s="116"/>
      <c r="N840" s="116"/>
      <c r="O840" s="116"/>
      <c r="P840" s="116"/>
      <c r="Q840" s="116"/>
      <c r="R840" s="116"/>
      <c r="S840" s="116"/>
      <c r="T840" s="116"/>
      <c r="U840" s="116"/>
      <c r="V840" s="116"/>
      <c r="W840" s="116"/>
      <c r="X840" s="116"/>
      <c r="Y840" s="116"/>
      <c r="Z840" s="116"/>
    </row>
    <row r="841" spans="1:26" ht="15">
      <c r="A841" s="116"/>
      <c r="B841" s="988"/>
      <c r="C841" s="116"/>
      <c r="D841" s="116"/>
      <c r="E841" s="116"/>
      <c r="F841" s="116"/>
      <c r="G841" s="116"/>
      <c r="H841" s="116"/>
      <c r="I841" s="116"/>
      <c r="J841" s="116"/>
      <c r="K841" s="116"/>
      <c r="L841" s="116"/>
      <c r="M841" s="116"/>
      <c r="N841" s="116"/>
      <c r="O841" s="116"/>
      <c r="P841" s="116"/>
      <c r="Q841" s="116"/>
      <c r="R841" s="116"/>
      <c r="S841" s="116"/>
      <c r="T841" s="116"/>
      <c r="U841" s="116"/>
      <c r="V841" s="116"/>
      <c r="W841" s="116"/>
      <c r="X841" s="116"/>
      <c r="Y841" s="116"/>
      <c r="Z841" s="116"/>
    </row>
    <row r="842" spans="1:26" ht="15">
      <c r="A842" s="116"/>
      <c r="B842" s="988"/>
      <c r="C842" s="116"/>
      <c r="D842" s="116"/>
      <c r="E842" s="116"/>
      <c r="F842" s="116"/>
      <c r="G842" s="116"/>
      <c r="H842" s="116"/>
      <c r="I842" s="116"/>
      <c r="J842" s="116"/>
      <c r="K842" s="116"/>
      <c r="L842" s="116"/>
      <c r="M842" s="116"/>
      <c r="N842" s="116"/>
      <c r="O842" s="116"/>
      <c r="P842" s="116"/>
      <c r="Q842" s="116"/>
      <c r="R842" s="116"/>
      <c r="S842" s="116"/>
      <c r="T842" s="116"/>
      <c r="U842" s="116"/>
      <c r="V842" s="116"/>
      <c r="W842" s="116"/>
      <c r="X842" s="116"/>
      <c r="Y842" s="116"/>
      <c r="Z842" s="116"/>
    </row>
    <row r="843" spans="1:26" ht="15">
      <c r="A843" s="116"/>
      <c r="B843" s="988"/>
      <c r="C843" s="116"/>
      <c r="D843" s="116"/>
      <c r="E843" s="116"/>
      <c r="F843" s="116"/>
      <c r="G843" s="116"/>
      <c r="H843" s="116"/>
      <c r="I843" s="116"/>
      <c r="J843" s="116"/>
      <c r="K843" s="116"/>
      <c r="L843" s="116"/>
      <c r="M843" s="116"/>
      <c r="N843" s="116"/>
      <c r="O843" s="116"/>
      <c r="P843" s="116"/>
      <c r="Q843" s="116"/>
      <c r="R843" s="116"/>
      <c r="S843" s="116"/>
      <c r="T843" s="116"/>
      <c r="U843" s="116"/>
      <c r="V843" s="116"/>
      <c r="W843" s="116"/>
      <c r="X843" s="116"/>
      <c r="Y843" s="116"/>
      <c r="Z843" s="116"/>
    </row>
    <row r="844" spans="1:26" ht="15">
      <c r="A844" s="116"/>
      <c r="B844" s="988"/>
      <c r="C844" s="116"/>
      <c r="D844" s="116"/>
      <c r="E844" s="116"/>
      <c r="F844" s="116"/>
      <c r="G844" s="116"/>
      <c r="H844" s="116"/>
      <c r="I844" s="116"/>
      <c r="J844" s="116"/>
      <c r="K844" s="116"/>
      <c r="L844" s="116"/>
      <c r="M844" s="116"/>
      <c r="N844" s="116"/>
      <c r="O844" s="116"/>
      <c r="P844" s="116"/>
      <c r="Q844" s="116"/>
      <c r="R844" s="116"/>
      <c r="S844" s="116"/>
      <c r="T844" s="116"/>
      <c r="U844" s="116"/>
      <c r="V844" s="116"/>
      <c r="W844" s="116"/>
      <c r="X844" s="116"/>
      <c r="Y844" s="116"/>
      <c r="Z844" s="116"/>
    </row>
    <row r="845" spans="1:26" ht="15">
      <c r="A845" s="116"/>
      <c r="B845" s="988"/>
      <c r="C845" s="116"/>
      <c r="D845" s="116"/>
      <c r="E845" s="116"/>
      <c r="F845" s="116"/>
      <c r="G845" s="116"/>
      <c r="H845" s="116"/>
      <c r="I845" s="116"/>
      <c r="J845" s="116"/>
      <c r="K845" s="116"/>
      <c r="L845" s="116"/>
      <c r="M845" s="116"/>
      <c r="N845" s="116"/>
      <c r="O845" s="116"/>
      <c r="P845" s="116"/>
      <c r="Q845" s="116"/>
      <c r="R845" s="116"/>
      <c r="S845" s="116"/>
      <c r="T845" s="116"/>
      <c r="U845" s="116"/>
      <c r="V845" s="116"/>
      <c r="W845" s="116"/>
      <c r="X845" s="116"/>
      <c r="Y845" s="116"/>
      <c r="Z845" s="116"/>
    </row>
    <row r="846" spans="1:26" ht="15">
      <c r="A846" s="116"/>
      <c r="B846" s="988"/>
      <c r="C846" s="116"/>
      <c r="D846" s="116"/>
      <c r="E846" s="116"/>
      <c r="F846" s="116"/>
      <c r="G846" s="116"/>
      <c r="H846" s="116"/>
      <c r="I846" s="116"/>
      <c r="J846" s="116"/>
      <c r="K846" s="116"/>
      <c r="L846" s="116"/>
      <c r="M846" s="116"/>
      <c r="N846" s="116"/>
      <c r="O846" s="116"/>
      <c r="P846" s="116"/>
      <c r="Q846" s="116"/>
      <c r="R846" s="116"/>
      <c r="S846" s="116"/>
      <c r="T846" s="116"/>
      <c r="U846" s="116"/>
      <c r="V846" s="116"/>
      <c r="W846" s="116"/>
      <c r="X846" s="116"/>
      <c r="Y846" s="116"/>
      <c r="Z846" s="116"/>
    </row>
    <row r="847" spans="1:26" ht="15">
      <c r="A847" s="116"/>
      <c r="B847" s="988"/>
      <c r="C847" s="116"/>
      <c r="D847" s="116"/>
      <c r="E847" s="116"/>
      <c r="F847" s="116"/>
      <c r="G847" s="116"/>
      <c r="H847" s="116"/>
      <c r="I847" s="116"/>
      <c r="J847" s="116"/>
      <c r="K847" s="116"/>
      <c r="L847" s="116"/>
      <c r="M847" s="116"/>
      <c r="N847" s="116"/>
      <c r="O847" s="116"/>
      <c r="P847" s="116"/>
      <c r="Q847" s="116"/>
      <c r="R847" s="116"/>
      <c r="S847" s="116"/>
      <c r="T847" s="116"/>
      <c r="U847" s="116"/>
      <c r="V847" s="116"/>
      <c r="W847" s="116"/>
      <c r="X847" s="116"/>
      <c r="Y847" s="116"/>
      <c r="Z847" s="116"/>
    </row>
    <row r="848" spans="1:26" ht="15">
      <c r="A848" s="116"/>
      <c r="B848" s="988"/>
      <c r="C848" s="116"/>
      <c r="D848" s="116"/>
      <c r="E848" s="116"/>
      <c r="F848" s="116"/>
      <c r="G848" s="116"/>
      <c r="H848" s="116"/>
      <c r="I848" s="116"/>
      <c r="J848" s="116"/>
      <c r="K848" s="116"/>
      <c r="L848" s="116"/>
      <c r="M848" s="116"/>
      <c r="N848" s="116"/>
      <c r="O848" s="116"/>
      <c r="P848" s="116"/>
      <c r="Q848" s="116"/>
      <c r="R848" s="116"/>
      <c r="S848" s="116"/>
      <c r="T848" s="116"/>
      <c r="U848" s="116"/>
      <c r="V848" s="116"/>
      <c r="W848" s="116"/>
      <c r="X848" s="116"/>
      <c r="Y848" s="116"/>
      <c r="Z848" s="116"/>
    </row>
    <row r="849" spans="1:26" ht="15">
      <c r="A849" s="116"/>
      <c r="B849" s="988"/>
      <c r="C849" s="116"/>
      <c r="D849" s="116"/>
      <c r="E849" s="116"/>
      <c r="F849" s="116"/>
      <c r="G849" s="116"/>
      <c r="H849" s="116"/>
      <c r="I849" s="116"/>
      <c r="J849" s="116"/>
      <c r="K849" s="116"/>
      <c r="L849" s="116"/>
      <c r="M849" s="116"/>
      <c r="N849" s="116"/>
      <c r="O849" s="116"/>
      <c r="P849" s="116"/>
      <c r="Q849" s="116"/>
      <c r="R849" s="116"/>
      <c r="S849" s="116"/>
      <c r="T849" s="116"/>
      <c r="U849" s="116"/>
      <c r="V849" s="116"/>
      <c r="W849" s="116"/>
      <c r="X849" s="116"/>
      <c r="Y849" s="116"/>
      <c r="Z849" s="116"/>
    </row>
    <row r="850" spans="1:26" ht="15">
      <c r="A850" s="116"/>
      <c r="B850" s="988"/>
      <c r="C850" s="116"/>
      <c r="D850" s="116"/>
      <c r="E850" s="116"/>
      <c r="F850" s="116"/>
      <c r="G850" s="116"/>
      <c r="H850" s="116"/>
      <c r="I850" s="116"/>
      <c r="J850" s="116"/>
      <c r="K850" s="116"/>
      <c r="L850" s="116"/>
      <c r="M850" s="116"/>
      <c r="N850" s="116"/>
      <c r="O850" s="116"/>
      <c r="P850" s="116"/>
      <c r="Q850" s="116"/>
      <c r="R850" s="116"/>
      <c r="S850" s="116"/>
      <c r="T850" s="116"/>
      <c r="U850" s="116"/>
      <c r="V850" s="116"/>
      <c r="W850" s="116"/>
      <c r="X850" s="116"/>
      <c r="Y850" s="116"/>
      <c r="Z850" s="116"/>
    </row>
    <row r="851" spans="1:26" ht="15">
      <c r="A851" s="116"/>
      <c r="B851" s="988"/>
      <c r="C851" s="116"/>
      <c r="D851" s="116"/>
      <c r="E851" s="116"/>
      <c r="F851" s="116"/>
      <c r="G851" s="116"/>
      <c r="H851" s="116"/>
      <c r="I851" s="116"/>
      <c r="J851" s="116"/>
      <c r="K851" s="116"/>
      <c r="L851" s="116"/>
      <c r="M851" s="116"/>
      <c r="N851" s="116"/>
      <c r="O851" s="116"/>
      <c r="P851" s="116"/>
      <c r="Q851" s="116"/>
      <c r="R851" s="116"/>
      <c r="S851" s="116"/>
      <c r="T851" s="116"/>
      <c r="U851" s="116"/>
      <c r="V851" s="116"/>
      <c r="W851" s="116"/>
      <c r="X851" s="116"/>
      <c r="Y851" s="116"/>
      <c r="Z851" s="116"/>
    </row>
    <row r="852" spans="1:26" ht="15">
      <c r="A852" s="116"/>
      <c r="B852" s="988"/>
      <c r="C852" s="116"/>
      <c r="D852" s="116"/>
      <c r="E852" s="116"/>
      <c r="F852" s="116"/>
      <c r="G852" s="116"/>
      <c r="H852" s="116"/>
      <c r="I852" s="116"/>
      <c r="J852" s="116"/>
      <c r="K852" s="116"/>
      <c r="L852" s="116"/>
      <c r="M852" s="116"/>
      <c r="N852" s="116"/>
      <c r="O852" s="116"/>
      <c r="P852" s="116"/>
      <c r="Q852" s="116"/>
      <c r="R852" s="116"/>
      <c r="S852" s="116"/>
      <c r="T852" s="116"/>
      <c r="U852" s="116"/>
      <c r="V852" s="116"/>
      <c r="W852" s="116"/>
      <c r="X852" s="116"/>
      <c r="Y852" s="116"/>
      <c r="Z852" s="116"/>
    </row>
    <row r="853" spans="1:26" ht="15">
      <c r="A853" s="116"/>
      <c r="B853" s="988"/>
      <c r="C853" s="116"/>
      <c r="D853" s="116"/>
      <c r="E853" s="116"/>
      <c r="F853" s="116"/>
      <c r="G853" s="116"/>
      <c r="H853" s="116"/>
      <c r="I853" s="116"/>
      <c r="J853" s="116"/>
      <c r="K853" s="116"/>
      <c r="L853" s="116"/>
      <c r="M853" s="116"/>
      <c r="N853" s="116"/>
      <c r="O853" s="116"/>
      <c r="P853" s="116"/>
      <c r="Q853" s="116"/>
      <c r="R853" s="116"/>
      <c r="S853" s="116"/>
      <c r="T853" s="116"/>
      <c r="U853" s="116"/>
      <c r="V853" s="116"/>
      <c r="W853" s="116"/>
      <c r="X853" s="116"/>
      <c r="Y853" s="116"/>
      <c r="Z853" s="116"/>
    </row>
    <row r="854" spans="1:26" ht="15">
      <c r="A854" s="116"/>
      <c r="B854" s="988"/>
      <c r="C854" s="116"/>
      <c r="D854" s="116"/>
      <c r="E854" s="116"/>
      <c r="F854" s="116"/>
      <c r="G854" s="116"/>
      <c r="H854" s="116"/>
      <c r="I854" s="116"/>
      <c r="J854" s="116"/>
      <c r="K854" s="116"/>
      <c r="L854" s="116"/>
      <c r="M854" s="116"/>
      <c r="N854" s="116"/>
      <c r="O854" s="116"/>
      <c r="P854" s="116"/>
      <c r="Q854" s="116"/>
      <c r="R854" s="116"/>
      <c r="S854" s="116"/>
      <c r="T854" s="116"/>
      <c r="U854" s="116"/>
      <c r="V854" s="116"/>
      <c r="W854" s="116"/>
      <c r="X854" s="116"/>
      <c r="Y854" s="116"/>
      <c r="Z854" s="116"/>
    </row>
    <row r="855" spans="1:26" ht="15">
      <c r="A855" s="116"/>
      <c r="B855" s="988"/>
      <c r="C855" s="116"/>
      <c r="D855" s="116"/>
      <c r="E855" s="116"/>
      <c r="F855" s="116"/>
      <c r="G855" s="116"/>
      <c r="H855" s="116"/>
      <c r="I855" s="116"/>
      <c r="J855" s="116"/>
      <c r="K855" s="116"/>
      <c r="L855" s="116"/>
      <c r="M855" s="116"/>
      <c r="N855" s="116"/>
      <c r="O855" s="116"/>
      <c r="P855" s="116"/>
      <c r="Q855" s="116"/>
      <c r="R855" s="116"/>
      <c r="S855" s="116"/>
      <c r="T855" s="116"/>
      <c r="U855" s="116"/>
      <c r="V855" s="116"/>
      <c r="W855" s="116"/>
      <c r="X855" s="116"/>
      <c r="Y855" s="116"/>
      <c r="Z855" s="116"/>
    </row>
    <row r="856" spans="1:26" ht="15">
      <c r="A856" s="116"/>
      <c r="B856" s="988"/>
      <c r="C856" s="116"/>
      <c r="D856" s="116"/>
      <c r="E856" s="116"/>
      <c r="F856" s="116"/>
      <c r="G856" s="116"/>
      <c r="H856" s="116"/>
      <c r="I856" s="116"/>
      <c r="J856" s="116"/>
      <c r="K856" s="116"/>
      <c r="L856" s="116"/>
      <c r="M856" s="116"/>
      <c r="N856" s="116"/>
      <c r="O856" s="116"/>
      <c r="P856" s="116"/>
      <c r="Q856" s="116"/>
      <c r="R856" s="116"/>
      <c r="S856" s="116"/>
      <c r="T856" s="116"/>
      <c r="U856" s="116"/>
      <c r="V856" s="116"/>
      <c r="W856" s="116"/>
      <c r="X856" s="116"/>
      <c r="Y856" s="116"/>
      <c r="Z856" s="116"/>
    </row>
    <row r="857" spans="1:26" ht="15">
      <c r="A857" s="116"/>
      <c r="B857" s="988"/>
      <c r="C857" s="116"/>
      <c r="D857" s="116"/>
      <c r="E857" s="116"/>
      <c r="F857" s="116"/>
      <c r="G857" s="116"/>
      <c r="H857" s="116"/>
      <c r="I857" s="116"/>
      <c r="J857" s="116"/>
      <c r="K857" s="116"/>
      <c r="L857" s="116"/>
      <c r="M857" s="116"/>
      <c r="N857" s="116"/>
      <c r="O857" s="116"/>
      <c r="P857" s="116"/>
      <c r="Q857" s="116"/>
      <c r="R857" s="116"/>
      <c r="S857" s="116"/>
      <c r="T857" s="116"/>
      <c r="U857" s="116"/>
      <c r="V857" s="116"/>
      <c r="W857" s="116"/>
      <c r="X857" s="116"/>
      <c r="Y857" s="116"/>
      <c r="Z857" s="116"/>
    </row>
    <row r="858" spans="1:26" ht="15">
      <c r="A858" s="116"/>
      <c r="B858" s="988"/>
      <c r="C858" s="116"/>
      <c r="D858" s="116"/>
      <c r="E858" s="116"/>
      <c r="F858" s="116"/>
      <c r="G858" s="116"/>
      <c r="H858" s="116"/>
      <c r="I858" s="116"/>
      <c r="J858" s="116"/>
      <c r="K858" s="116"/>
      <c r="L858" s="116"/>
      <c r="M858" s="116"/>
      <c r="N858" s="116"/>
      <c r="O858" s="116"/>
      <c r="P858" s="116"/>
      <c r="Q858" s="116"/>
      <c r="R858" s="116"/>
      <c r="S858" s="116"/>
      <c r="T858" s="116"/>
      <c r="U858" s="116"/>
      <c r="V858" s="116"/>
      <c r="W858" s="116"/>
      <c r="X858" s="116"/>
      <c r="Y858" s="116"/>
      <c r="Z858" s="116"/>
    </row>
    <row r="859" spans="1:26" ht="15">
      <c r="A859" s="116"/>
      <c r="B859" s="988"/>
      <c r="C859" s="116"/>
      <c r="D859" s="116"/>
      <c r="E859" s="116"/>
      <c r="F859" s="116"/>
      <c r="G859" s="116"/>
      <c r="H859" s="116"/>
      <c r="I859" s="116"/>
      <c r="J859" s="116"/>
      <c r="K859" s="116"/>
      <c r="L859" s="116"/>
      <c r="M859" s="116"/>
      <c r="N859" s="116"/>
      <c r="O859" s="116"/>
      <c r="P859" s="116"/>
      <c r="Q859" s="116"/>
      <c r="R859" s="116"/>
      <c r="S859" s="116"/>
      <c r="T859" s="116"/>
      <c r="U859" s="116"/>
      <c r="V859" s="116"/>
      <c r="W859" s="116"/>
      <c r="X859" s="116"/>
      <c r="Y859" s="116"/>
      <c r="Z859" s="116"/>
    </row>
    <row r="860" spans="1:26" ht="15">
      <c r="A860" s="116"/>
      <c r="B860" s="988"/>
      <c r="C860" s="116"/>
      <c r="D860" s="116"/>
      <c r="E860" s="116"/>
      <c r="F860" s="116"/>
      <c r="G860" s="116"/>
      <c r="H860" s="116"/>
      <c r="I860" s="116"/>
      <c r="J860" s="116"/>
      <c r="K860" s="116"/>
      <c r="L860" s="116"/>
      <c r="M860" s="116"/>
      <c r="N860" s="116"/>
      <c r="O860" s="116"/>
      <c r="P860" s="116"/>
      <c r="Q860" s="116"/>
      <c r="R860" s="116"/>
      <c r="S860" s="116"/>
      <c r="T860" s="116"/>
      <c r="U860" s="116"/>
      <c r="V860" s="116"/>
      <c r="W860" s="116"/>
      <c r="X860" s="116"/>
      <c r="Y860" s="116"/>
      <c r="Z860" s="116"/>
    </row>
    <row r="861" spans="1:26" ht="15">
      <c r="A861" s="116"/>
      <c r="B861" s="988"/>
      <c r="C861" s="116"/>
      <c r="D861" s="116"/>
      <c r="E861" s="116"/>
      <c r="F861" s="116"/>
      <c r="G861" s="116"/>
      <c r="H861" s="116"/>
      <c r="I861" s="116"/>
      <c r="J861" s="116"/>
      <c r="K861" s="116"/>
      <c r="L861" s="116"/>
      <c r="M861" s="116"/>
      <c r="N861" s="116"/>
      <c r="O861" s="116"/>
      <c r="P861" s="116"/>
      <c r="Q861" s="116"/>
      <c r="R861" s="116"/>
      <c r="S861" s="116"/>
      <c r="T861" s="116"/>
      <c r="U861" s="116"/>
      <c r="V861" s="116"/>
      <c r="W861" s="116"/>
      <c r="X861" s="116"/>
      <c r="Y861" s="116"/>
      <c r="Z861" s="116"/>
    </row>
    <row r="862" spans="1:26" ht="15">
      <c r="A862" s="116"/>
      <c r="B862" s="988"/>
      <c r="C862" s="116"/>
      <c r="D862" s="116"/>
      <c r="E862" s="116"/>
      <c r="F862" s="116"/>
      <c r="G862" s="116"/>
      <c r="H862" s="116"/>
      <c r="I862" s="116"/>
      <c r="J862" s="116"/>
      <c r="K862" s="116"/>
      <c r="L862" s="116"/>
      <c r="M862" s="116"/>
      <c r="N862" s="116"/>
      <c r="O862" s="116"/>
      <c r="P862" s="116"/>
      <c r="Q862" s="116"/>
      <c r="R862" s="116"/>
      <c r="S862" s="116"/>
      <c r="T862" s="116"/>
      <c r="U862" s="116"/>
      <c r="V862" s="116"/>
      <c r="W862" s="116"/>
      <c r="X862" s="116"/>
      <c r="Y862" s="116"/>
      <c r="Z862" s="116"/>
    </row>
    <row r="863" spans="1:26" ht="15">
      <c r="A863" s="116"/>
      <c r="B863" s="988"/>
      <c r="C863" s="116"/>
      <c r="D863" s="116"/>
      <c r="E863" s="116"/>
      <c r="F863" s="116"/>
      <c r="G863" s="116"/>
      <c r="H863" s="116"/>
      <c r="I863" s="116"/>
      <c r="J863" s="116"/>
      <c r="K863" s="116"/>
      <c r="L863" s="116"/>
      <c r="M863" s="116"/>
      <c r="N863" s="116"/>
      <c r="O863" s="116"/>
      <c r="P863" s="116"/>
      <c r="Q863" s="116"/>
      <c r="R863" s="116"/>
      <c r="S863" s="116"/>
      <c r="T863" s="116"/>
      <c r="U863" s="116"/>
      <c r="V863" s="116"/>
      <c r="W863" s="116"/>
      <c r="X863" s="116"/>
      <c r="Y863" s="116"/>
      <c r="Z863" s="116"/>
    </row>
    <row r="864" spans="1:26" ht="15">
      <c r="A864" s="116"/>
      <c r="B864" s="988"/>
      <c r="C864" s="116"/>
      <c r="D864" s="116"/>
      <c r="E864" s="116"/>
      <c r="F864" s="116"/>
      <c r="G864" s="116"/>
      <c r="H864" s="116"/>
      <c r="I864" s="116"/>
      <c r="J864" s="116"/>
      <c r="K864" s="116"/>
      <c r="L864" s="116"/>
      <c r="M864" s="116"/>
      <c r="N864" s="116"/>
      <c r="O864" s="116"/>
      <c r="P864" s="116"/>
      <c r="Q864" s="116"/>
      <c r="R864" s="116"/>
      <c r="S864" s="116"/>
      <c r="T864" s="116"/>
      <c r="U864" s="116"/>
      <c r="V864" s="116"/>
      <c r="W864" s="116"/>
      <c r="X864" s="116"/>
      <c r="Y864" s="116"/>
      <c r="Z864" s="116"/>
    </row>
    <row r="865" spans="1:26" ht="15">
      <c r="A865" s="116"/>
      <c r="B865" s="988"/>
      <c r="C865" s="116"/>
      <c r="D865" s="116"/>
      <c r="E865" s="116"/>
      <c r="F865" s="116"/>
      <c r="G865" s="116"/>
      <c r="H865" s="116"/>
      <c r="I865" s="116"/>
      <c r="J865" s="116"/>
      <c r="K865" s="116"/>
      <c r="L865" s="116"/>
      <c r="M865" s="116"/>
      <c r="N865" s="116"/>
      <c r="O865" s="116"/>
      <c r="P865" s="116"/>
      <c r="Q865" s="116"/>
      <c r="R865" s="116"/>
      <c r="S865" s="116"/>
      <c r="T865" s="116"/>
      <c r="U865" s="116"/>
      <c r="V865" s="116"/>
      <c r="W865" s="116"/>
      <c r="X865" s="116"/>
      <c r="Y865" s="116"/>
      <c r="Z865" s="116"/>
    </row>
    <row r="866" spans="1:26" ht="15">
      <c r="A866" s="116"/>
      <c r="B866" s="988"/>
      <c r="C866" s="116"/>
      <c r="D866" s="116"/>
      <c r="E866" s="116"/>
      <c r="F866" s="116"/>
      <c r="G866" s="116"/>
      <c r="H866" s="116"/>
      <c r="I866" s="116"/>
      <c r="J866" s="116"/>
      <c r="K866" s="116"/>
      <c r="L866" s="116"/>
      <c r="M866" s="116"/>
      <c r="N866" s="116"/>
      <c r="O866" s="116"/>
      <c r="P866" s="116"/>
      <c r="Q866" s="116"/>
      <c r="R866" s="116"/>
      <c r="S866" s="116"/>
      <c r="T866" s="116"/>
      <c r="U866" s="116"/>
      <c r="V866" s="116"/>
      <c r="W866" s="116"/>
      <c r="X866" s="116"/>
      <c r="Y866" s="116"/>
      <c r="Z866" s="116"/>
    </row>
    <row r="867" spans="1:26" ht="15">
      <c r="A867" s="116"/>
      <c r="B867" s="988"/>
      <c r="C867" s="116"/>
      <c r="D867" s="116"/>
      <c r="E867" s="116"/>
      <c r="F867" s="116"/>
      <c r="G867" s="116"/>
      <c r="H867" s="116"/>
      <c r="I867" s="116"/>
      <c r="J867" s="116"/>
      <c r="K867" s="116"/>
      <c r="L867" s="116"/>
      <c r="M867" s="116"/>
      <c r="N867" s="116"/>
      <c r="O867" s="116"/>
      <c r="P867" s="116"/>
      <c r="Q867" s="116"/>
      <c r="R867" s="116"/>
      <c r="S867" s="116"/>
      <c r="T867" s="116"/>
      <c r="U867" s="116"/>
      <c r="V867" s="116"/>
      <c r="W867" s="116"/>
      <c r="X867" s="116"/>
      <c r="Y867" s="116"/>
      <c r="Z867" s="116"/>
    </row>
    <row r="868" spans="1:26" ht="15">
      <c r="A868" s="116"/>
      <c r="B868" s="988"/>
      <c r="C868" s="116"/>
      <c r="D868" s="116"/>
      <c r="E868" s="116"/>
      <c r="F868" s="116"/>
      <c r="G868" s="116"/>
      <c r="H868" s="116"/>
      <c r="I868" s="116"/>
      <c r="J868" s="116"/>
      <c r="K868" s="116"/>
      <c r="L868" s="116"/>
      <c r="M868" s="116"/>
      <c r="N868" s="116"/>
      <c r="O868" s="116"/>
      <c r="P868" s="116"/>
      <c r="Q868" s="116"/>
      <c r="R868" s="116"/>
      <c r="S868" s="116"/>
      <c r="T868" s="116"/>
      <c r="U868" s="116"/>
      <c r="V868" s="116"/>
      <c r="W868" s="116"/>
      <c r="X868" s="116"/>
      <c r="Y868" s="116"/>
      <c r="Z868" s="116"/>
    </row>
    <row r="869" spans="1:26" ht="15">
      <c r="A869" s="116"/>
      <c r="B869" s="988"/>
      <c r="C869" s="116"/>
      <c r="D869" s="116"/>
      <c r="E869" s="116"/>
      <c r="F869" s="116"/>
      <c r="G869" s="116"/>
      <c r="H869" s="116"/>
      <c r="I869" s="116"/>
      <c r="J869" s="116"/>
      <c r="K869" s="116"/>
      <c r="L869" s="116"/>
      <c r="M869" s="116"/>
      <c r="N869" s="116"/>
      <c r="O869" s="116"/>
      <c r="P869" s="116"/>
      <c r="Q869" s="116"/>
      <c r="R869" s="116"/>
      <c r="S869" s="116"/>
      <c r="T869" s="116"/>
      <c r="U869" s="116"/>
      <c r="V869" s="116"/>
      <c r="W869" s="116"/>
      <c r="X869" s="116"/>
      <c r="Y869" s="116"/>
      <c r="Z869" s="116"/>
    </row>
    <row r="870" spans="1:26" ht="15">
      <c r="A870" s="116"/>
      <c r="B870" s="988"/>
      <c r="C870" s="116"/>
      <c r="D870" s="116"/>
      <c r="E870" s="116"/>
      <c r="F870" s="116"/>
      <c r="G870" s="116"/>
      <c r="H870" s="116"/>
      <c r="I870" s="116"/>
      <c r="J870" s="116"/>
      <c r="K870" s="116"/>
      <c r="L870" s="116"/>
      <c r="M870" s="116"/>
      <c r="N870" s="116"/>
      <c r="O870" s="116"/>
      <c r="P870" s="116"/>
      <c r="Q870" s="116"/>
      <c r="R870" s="116"/>
      <c r="S870" s="116"/>
      <c r="T870" s="116"/>
      <c r="U870" s="116"/>
      <c r="V870" s="116"/>
      <c r="W870" s="116"/>
      <c r="X870" s="116"/>
      <c r="Y870" s="116"/>
      <c r="Z870" s="116"/>
    </row>
    <row r="871" spans="1:26" ht="15">
      <c r="A871" s="116"/>
      <c r="B871" s="988"/>
      <c r="C871" s="116"/>
      <c r="D871" s="116"/>
      <c r="E871" s="116"/>
      <c r="F871" s="116"/>
      <c r="G871" s="116"/>
      <c r="H871" s="116"/>
      <c r="I871" s="116"/>
      <c r="J871" s="116"/>
      <c r="K871" s="116"/>
      <c r="L871" s="116"/>
      <c r="M871" s="116"/>
      <c r="N871" s="116"/>
      <c r="O871" s="116"/>
      <c r="P871" s="116"/>
      <c r="Q871" s="116"/>
      <c r="R871" s="116"/>
      <c r="S871" s="116"/>
      <c r="T871" s="116"/>
      <c r="U871" s="116"/>
      <c r="V871" s="116"/>
      <c r="W871" s="116"/>
      <c r="X871" s="116"/>
      <c r="Y871" s="116"/>
      <c r="Z871" s="116"/>
    </row>
    <row r="872" spans="1:26" ht="15">
      <c r="A872" s="116"/>
      <c r="B872" s="988"/>
      <c r="C872" s="116"/>
      <c r="D872" s="116"/>
      <c r="E872" s="116"/>
      <c r="F872" s="116"/>
      <c r="G872" s="116"/>
      <c r="H872" s="116"/>
      <c r="I872" s="116"/>
      <c r="J872" s="116"/>
      <c r="K872" s="116"/>
      <c r="L872" s="116"/>
      <c r="M872" s="116"/>
      <c r="N872" s="116"/>
      <c r="O872" s="116"/>
      <c r="P872" s="116"/>
      <c r="Q872" s="116"/>
      <c r="R872" s="116"/>
      <c r="S872" s="116"/>
      <c r="T872" s="116"/>
      <c r="U872" s="116"/>
      <c r="V872" s="116"/>
      <c r="W872" s="116"/>
      <c r="X872" s="116"/>
      <c r="Y872" s="116"/>
      <c r="Z872" s="116"/>
    </row>
    <row r="873" spans="1:26" ht="15">
      <c r="A873" s="116"/>
      <c r="B873" s="988"/>
      <c r="C873" s="116"/>
      <c r="D873" s="116"/>
      <c r="E873" s="116"/>
      <c r="F873" s="116"/>
      <c r="G873" s="116"/>
      <c r="H873" s="116"/>
      <c r="I873" s="116"/>
      <c r="J873" s="116"/>
      <c r="K873" s="116"/>
      <c r="L873" s="116"/>
      <c r="M873" s="116"/>
      <c r="N873" s="116"/>
      <c r="O873" s="116"/>
      <c r="P873" s="116"/>
      <c r="Q873" s="116"/>
      <c r="R873" s="116"/>
      <c r="S873" s="116"/>
      <c r="T873" s="116"/>
      <c r="U873" s="116"/>
      <c r="V873" s="116"/>
      <c r="W873" s="116"/>
      <c r="X873" s="116"/>
      <c r="Y873" s="116"/>
      <c r="Z873" s="116"/>
    </row>
    <row r="874" spans="1:26" ht="15">
      <c r="A874" s="116"/>
      <c r="B874" s="988"/>
      <c r="C874" s="116"/>
      <c r="D874" s="116"/>
      <c r="E874" s="116"/>
      <c r="F874" s="116"/>
      <c r="G874" s="116"/>
      <c r="H874" s="116"/>
      <c r="I874" s="116"/>
      <c r="J874" s="116"/>
      <c r="K874" s="116"/>
      <c r="L874" s="116"/>
      <c r="M874" s="116"/>
      <c r="N874" s="116"/>
      <c r="O874" s="116"/>
      <c r="P874" s="116"/>
      <c r="Q874" s="116"/>
      <c r="R874" s="116"/>
      <c r="S874" s="116"/>
      <c r="T874" s="116"/>
      <c r="U874" s="116"/>
      <c r="V874" s="116"/>
      <c r="W874" s="116"/>
      <c r="X874" s="116"/>
      <c r="Y874" s="116"/>
      <c r="Z874" s="116"/>
    </row>
    <row r="875" spans="1:26" ht="15">
      <c r="A875" s="116"/>
      <c r="B875" s="988"/>
      <c r="C875" s="116"/>
      <c r="D875" s="116"/>
      <c r="E875" s="116"/>
      <c r="F875" s="116"/>
      <c r="G875" s="116"/>
      <c r="H875" s="116"/>
      <c r="I875" s="116"/>
      <c r="J875" s="116"/>
      <c r="K875" s="116"/>
      <c r="L875" s="116"/>
      <c r="M875" s="116"/>
      <c r="N875" s="116"/>
      <c r="O875" s="116"/>
      <c r="P875" s="116"/>
      <c r="Q875" s="116"/>
      <c r="R875" s="116"/>
      <c r="S875" s="116"/>
      <c r="T875" s="116"/>
      <c r="U875" s="116"/>
      <c r="V875" s="116"/>
      <c r="W875" s="116"/>
      <c r="X875" s="116"/>
      <c r="Y875" s="116"/>
      <c r="Z875" s="116"/>
    </row>
    <row r="876" spans="1:26" ht="15">
      <c r="A876" s="116"/>
      <c r="B876" s="988"/>
      <c r="C876" s="116"/>
      <c r="D876" s="116"/>
      <c r="E876" s="116"/>
      <c r="F876" s="116"/>
      <c r="G876" s="116"/>
      <c r="H876" s="116"/>
      <c r="I876" s="116"/>
      <c r="J876" s="116"/>
      <c r="K876" s="116"/>
      <c r="L876" s="116"/>
      <c r="M876" s="116"/>
      <c r="N876" s="116"/>
      <c r="O876" s="116"/>
      <c r="P876" s="116"/>
      <c r="Q876" s="116"/>
      <c r="R876" s="116"/>
      <c r="S876" s="116"/>
      <c r="T876" s="116"/>
      <c r="U876" s="116"/>
      <c r="V876" s="116"/>
      <c r="W876" s="116"/>
      <c r="X876" s="116"/>
      <c r="Y876" s="116"/>
      <c r="Z876" s="116"/>
    </row>
    <row r="877" spans="1:26" ht="15">
      <c r="A877" s="116"/>
      <c r="B877" s="988"/>
      <c r="C877" s="116"/>
      <c r="D877" s="116"/>
      <c r="E877" s="116"/>
      <c r="F877" s="116"/>
      <c r="G877" s="116"/>
      <c r="H877" s="116"/>
      <c r="I877" s="116"/>
      <c r="J877" s="116"/>
      <c r="K877" s="116"/>
      <c r="L877" s="116"/>
      <c r="M877" s="116"/>
      <c r="N877" s="116"/>
      <c r="O877" s="116"/>
      <c r="P877" s="116"/>
      <c r="Q877" s="116"/>
      <c r="R877" s="116"/>
      <c r="S877" s="116"/>
      <c r="T877" s="116"/>
      <c r="U877" s="116"/>
      <c r="V877" s="116"/>
      <c r="W877" s="116"/>
      <c r="X877" s="116"/>
      <c r="Y877" s="116"/>
      <c r="Z877" s="116"/>
    </row>
    <row r="878" spans="1:26" ht="15">
      <c r="A878" s="116"/>
      <c r="B878" s="988"/>
      <c r="C878" s="116"/>
      <c r="D878" s="116"/>
      <c r="E878" s="116"/>
      <c r="F878" s="116"/>
      <c r="G878" s="116"/>
      <c r="H878" s="116"/>
      <c r="I878" s="116"/>
      <c r="J878" s="116"/>
      <c r="K878" s="116"/>
      <c r="L878" s="116"/>
      <c r="M878" s="116"/>
      <c r="N878" s="116"/>
      <c r="O878" s="116"/>
      <c r="P878" s="116"/>
      <c r="Q878" s="116"/>
      <c r="R878" s="116"/>
      <c r="S878" s="116"/>
      <c r="T878" s="116"/>
      <c r="U878" s="116"/>
      <c r="V878" s="116"/>
      <c r="W878" s="116"/>
      <c r="X878" s="116"/>
      <c r="Y878" s="116"/>
      <c r="Z878" s="116"/>
    </row>
    <row r="879" spans="1:26" ht="15">
      <c r="A879" s="116"/>
      <c r="B879" s="988"/>
      <c r="C879" s="116"/>
      <c r="D879" s="116"/>
      <c r="E879" s="116"/>
      <c r="F879" s="116"/>
      <c r="G879" s="116"/>
      <c r="H879" s="116"/>
      <c r="I879" s="116"/>
      <c r="J879" s="116"/>
      <c r="K879" s="116"/>
      <c r="L879" s="116"/>
      <c r="M879" s="116"/>
      <c r="N879" s="116"/>
      <c r="O879" s="116"/>
      <c r="P879" s="116"/>
      <c r="Q879" s="116"/>
      <c r="R879" s="116"/>
      <c r="S879" s="116"/>
      <c r="T879" s="116"/>
      <c r="U879" s="116"/>
      <c r="V879" s="116"/>
      <c r="W879" s="116"/>
      <c r="X879" s="116"/>
      <c r="Y879" s="116"/>
      <c r="Z879" s="116"/>
    </row>
    <row r="880" spans="1:26" ht="15">
      <c r="A880" s="116"/>
      <c r="B880" s="988"/>
      <c r="C880" s="116"/>
      <c r="D880" s="116"/>
      <c r="E880" s="116"/>
      <c r="F880" s="116"/>
      <c r="G880" s="116"/>
      <c r="H880" s="116"/>
      <c r="I880" s="116"/>
      <c r="J880" s="116"/>
      <c r="K880" s="116"/>
      <c r="L880" s="116"/>
      <c r="M880" s="116"/>
      <c r="N880" s="116"/>
      <c r="O880" s="116"/>
      <c r="P880" s="116"/>
      <c r="Q880" s="116"/>
      <c r="R880" s="116"/>
      <c r="S880" s="116"/>
      <c r="T880" s="116"/>
      <c r="U880" s="116"/>
      <c r="V880" s="116"/>
      <c r="W880" s="116"/>
      <c r="X880" s="116"/>
      <c r="Y880" s="116"/>
      <c r="Z880" s="116"/>
    </row>
    <row r="881" spans="1:26" ht="15">
      <c r="A881" s="116"/>
      <c r="B881" s="988"/>
      <c r="C881" s="116"/>
      <c r="D881" s="116"/>
      <c r="E881" s="116"/>
      <c r="F881" s="116"/>
      <c r="G881" s="116"/>
      <c r="H881" s="116"/>
      <c r="I881" s="116"/>
      <c r="J881" s="116"/>
      <c r="K881" s="116"/>
      <c r="L881" s="116"/>
      <c r="M881" s="116"/>
      <c r="N881" s="116"/>
      <c r="O881" s="116"/>
      <c r="P881" s="116"/>
      <c r="Q881" s="116"/>
      <c r="R881" s="116"/>
      <c r="S881" s="116"/>
      <c r="T881" s="116"/>
      <c r="U881" s="116"/>
      <c r="V881" s="116"/>
      <c r="W881" s="116"/>
      <c r="X881" s="116"/>
      <c r="Y881" s="116"/>
      <c r="Z881" s="116"/>
    </row>
    <row r="882" spans="1:26" ht="15">
      <c r="A882" s="116"/>
      <c r="B882" s="988"/>
      <c r="C882" s="116"/>
      <c r="D882" s="116"/>
      <c r="E882" s="116"/>
      <c r="F882" s="116"/>
      <c r="G882" s="116"/>
      <c r="H882" s="116"/>
      <c r="I882" s="116"/>
      <c r="J882" s="116"/>
      <c r="K882" s="116"/>
      <c r="L882" s="116"/>
      <c r="M882" s="116"/>
      <c r="N882" s="116"/>
      <c r="O882" s="116"/>
      <c r="P882" s="116"/>
      <c r="Q882" s="116"/>
      <c r="R882" s="116"/>
      <c r="S882" s="116"/>
      <c r="T882" s="116"/>
      <c r="U882" s="116"/>
      <c r="V882" s="116"/>
      <c r="W882" s="116"/>
      <c r="X882" s="116"/>
      <c r="Y882" s="116"/>
      <c r="Z882" s="116"/>
    </row>
    <row r="883" spans="1:26" ht="15">
      <c r="A883" s="116"/>
      <c r="B883" s="988"/>
      <c r="C883" s="116"/>
      <c r="D883" s="116"/>
      <c r="E883" s="116"/>
      <c r="F883" s="116"/>
      <c r="G883" s="116"/>
      <c r="H883" s="116"/>
      <c r="I883" s="116"/>
      <c r="J883" s="116"/>
      <c r="K883" s="116"/>
      <c r="L883" s="116"/>
      <c r="M883" s="116"/>
      <c r="N883" s="116"/>
      <c r="O883" s="116"/>
      <c r="P883" s="116"/>
      <c r="Q883" s="116"/>
      <c r="R883" s="116"/>
      <c r="S883" s="116"/>
      <c r="T883" s="116"/>
      <c r="U883" s="116"/>
      <c r="V883" s="116"/>
      <c r="W883" s="116"/>
      <c r="X883" s="116"/>
      <c r="Y883" s="116"/>
      <c r="Z883" s="116"/>
    </row>
    <row r="884" spans="1:26" ht="15">
      <c r="A884" s="116"/>
      <c r="B884" s="988"/>
      <c r="C884" s="116"/>
      <c r="D884" s="116"/>
      <c r="E884" s="116"/>
      <c r="F884" s="116"/>
      <c r="G884" s="116"/>
      <c r="H884" s="116"/>
      <c r="I884" s="116"/>
      <c r="J884" s="116"/>
      <c r="K884" s="116"/>
      <c r="L884" s="116"/>
      <c r="M884" s="116"/>
      <c r="N884" s="116"/>
      <c r="O884" s="116"/>
      <c r="P884" s="116"/>
      <c r="Q884" s="116"/>
      <c r="R884" s="116"/>
      <c r="S884" s="116"/>
      <c r="T884" s="116"/>
      <c r="U884" s="116"/>
      <c r="V884" s="116"/>
      <c r="W884" s="116"/>
      <c r="X884" s="116"/>
      <c r="Y884" s="116"/>
      <c r="Z884" s="116"/>
    </row>
    <row r="885" spans="1:26" ht="15">
      <c r="A885" s="116"/>
      <c r="B885" s="988"/>
      <c r="C885" s="116"/>
      <c r="D885" s="116"/>
      <c r="E885" s="116"/>
      <c r="F885" s="116"/>
      <c r="G885" s="116"/>
      <c r="H885" s="116"/>
      <c r="I885" s="116"/>
      <c r="J885" s="116"/>
      <c r="K885" s="116"/>
      <c r="L885" s="116"/>
      <c r="M885" s="116"/>
      <c r="N885" s="116"/>
      <c r="O885" s="116"/>
      <c r="P885" s="116"/>
      <c r="Q885" s="116"/>
      <c r="R885" s="116"/>
      <c r="S885" s="116"/>
      <c r="T885" s="116"/>
      <c r="U885" s="116"/>
      <c r="V885" s="116"/>
      <c r="W885" s="116"/>
      <c r="X885" s="116"/>
      <c r="Y885" s="116"/>
      <c r="Z885" s="116"/>
    </row>
    <row r="886" spans="1:26" ht="15">
      <c r="A886" s="116"/>
      <c r="B886" s="988"/>
      <c r="C886" s="116"/>
      <c r="D886" s="116"/>
      <c r="E886" s="116"/>
      <c r="F886" s="116"/>
      <c r="G886" s="116"/>
      <c r="H886" s="116"/>
      <c r="I886" s="116"/>
      <c r="J886" s="116"/>
      <c r="K886" s="116"/>
      <c r="L886" s="116"/>
      <c r="M886" s="116"/>
      <c r="N886" s="116"/>
      <c r="O886" s="116"/>
      <c r="P886" s="116"/>
      <c r="Q886" s="116"/>
      <c r="R886" s="116"/>
      <c r="S886" s="116"/>
      <c r="T886" s="116"/>
      <c r="U886" s="116"/>
      <c r="V886" s="116"/>
      <c r="W886" s="116"/>
      <c r="X886" s="116"/>
      <c r="Y886" s="116"/>
      <c r="Z886" s="116"/>
    </row>
    <row r="887" spans="1:26" ht="15">
      <c r="A887" s="116"/>
      <c r="B887" s="988"/>
      <c r="C887" s="116"/>
      <c r="D887" s="116"/>
      <c r="E887" s="116"/>
      <c r="F887" s="116"/>
      <c r="G887" s="116"/>
      <c r="H887" s="116"/>
      <c r="I887" s="116"/>
      <c r="J887" s="116"/>
      <c r="K887" s="116"/>
      <c r="L887" s="116"/>
      <c r="M887" s="116"/>
      <c r="N887" s="116"/>
      <c r="O887" s="116"/>
      <c r="P887" s="116"/>
      <c r="Q887" s="116"/>
      <c r="R887" s="116"/>
      <c r="S887" s="116"/>
      <c r="T887" s="116"/>
      <c r="U887" s="116"/>
      <c r="V887" s="116"/>
      <c r="W887" s="116"/>
      <c r="X887" s="116"/>
      <c r="Y887" s="116"/>
      <c r="Z887" s="116"/>
    </row>
    <row r="888" spans="1:26" ht="15">
      <c r="A888" s="116"/>
      <c r="B888" s="988"/>
      <c r="C888" s="116"/>
      <c r="D888" s="116"/>
      <c r="E888" s="116"/>
      <c r="F888" s="116"/>
      <c r="G888" s="116"/>
      <c r="H888" s="116"/>
      <c r="I888" s="116"/>
      <c r="J888" s="116"/>
      <c r="K888" s="116"/>
      <c r="L888" s="116"/>
      <c r="M888" s="116"/>
      <c r="N888" s="116"/>
      <c r="O888" s="116"/>
      <c r="P888" s="116"/>
      <c r="Q888" s="116"/>
      <c r="R888" s="116"/>
      <c r="S888" s="116"/>
      <c r="T888" s="116"/>
      <c r="U888" s="116"/>
      <c r="V888" s="116"/>
      <c r="W888" s="116"/>
      <c r="X888" s="116"/>
      <c r="Y888" s="116"/>
      <c r="Z888" s="116"/>
    </row>
    <row r="889" spans="1:26" ht="15">
      <c r="A889" s="116"/>
      <c r="B889" s="988"/>
      <c r="C889" s="116"/>
      <c r="D889" s="116"/>
      <c r="E889" s="116"/>
      <c r="F889" s="116"/>
      <c r="G889" s="116"/>
      <c r="H889" s="116"/>
      <c r="I889" s="116"/>
      <c r="J889" s="116"/>
      <c r="K889" s="116"/>
      <c r="L889" s="116"/>
      <c r="M889" s="116"/>
      <c r="N889" s="116"/>
      <c r="O889" s="116"/>
      <c r="P889" s="116"/>
      <c r="Q889" s="116"/>
      <c r="R889" s="116"/>
      <c r="S889" s="116"/>
      <c r="T889" s="116"/>
      <c r="U889" s="116"/>
      <c r="V889" s="116"/>
      <c r="W889" s="116"/>
      <c r="X889" s="116"/>
      <c r="Y889" s="116"/>
      <c r="Z889" s="116"/>
    </row>
    <row r="890" spans="1:26" ht="15">
      <c r="A890" s="116"/>
      <c r="B890" s="988"/>
      <c r="C890" s="116"/>
      <c r="D890" s="116"/>
      <c r="E890" s="116"/>
      <c r="F890" s="116"/>
      <c r="G890" s="116"/>
      <c r="H890" s="116"/>
      <c r="I890" s="116"/>
      <c r="J890" s="116"/>
      <c r="K890" s="116"/>
      <c r="L890" s="116"/>
      <c r="M890" s="116"/>
      <c r="N890" s="116"/>
      <c r="O890" s="116"/>
      <c r="P890" s="116"/>
      <c r="Q890" s="116"/>
      <c r="R890" s="116"/>
      <c r="S890" s="116"/>
      <c r="T890" s="116"/>
      <c r="U890" s="116"/>
      <c r="V890" s="116"/>
      <c r="W890" s="116"/>
      <c r="X890" s="116"/>
      <c r="Y890" s="116"/>
      <c r="Z890" s="116"/>
    </row>
    <row r="891" spans="1:26" ht="15">
      <c r="A891" s="116"/>
      <c r="B891" s="988"/>
      <c r="C891" s="116"/>
      <c r="D891" s="116"/>
      <c r="E891" s="116"/>
      <c r="F891" s="116"/>
      <c r="G891" s="116"/>
      <c r="H891" s="116"/>
      <c r="I891" s="116"/>
      <c r="J891" s="116"/>
      <c r="K891" s="116"/>
      <c r="L891" s="116"/>
      <c r="M891" s="116"/>
      <c r="N891" s="116"/>
      <c r="O891" s="116"/>
      <c r="P891" s="116"/>
      <c r="Q891" s="116"/>
      <c r="R891" s="116"/>
      <c r="S891" s="116"/>
      <c r="T891" s="116"/>
      <c r="U891" s="116"/>
      <c r="V891" s="116"/>
      <c r="W891" s="116"/>
      <c r="X891" s="116"/>
      <c r="Y891" s="116"/>
      <c r="Z891" s="116"/>
    </row>
    <row r="892" spans="1:26" ht="15">
      <c r="A892" s="116"/>
      <c r="B892" s="988"/>
      <c r="C892" s="116"/>
      <c r="D892" s="116"/>
      <c r="E892" s="116"/>
      <c r="F892" s="116"/>
      <c r="G892" s="116"/>
      <c r="H892" s="116"/>
      <c r="I892" s="116"/>
      <c r="J892" s="116"/>
      <c r="K892" s="116"/>
      <c r="L892" s="116"/>
      <c r="M892" s="116"/>
      <c r="N892" s="116"/>
      <c r="O892" s="116"/>
      <c r="P892" s="116"/>
      <c r="Q892" s="116"/>
      <c r="R892" s="116"/>
      <c r="S892" s="116"/>
      <c r="T892" s="116"/>
      <c r="U892" s="116"/>
      <c r="V892" s="116"/>
      <c r="W892" s="116"/>
      <c r="X892" s="116"/>
      <c r="Y892" s="116"/>
      <c r="Z892" s="116"/>
    </row>
    <row r="893" spans="1:26" ht="15">
      <c r="A893" s="116"/>
      <c r="B893" s="988"/>
      <c r="C893" s="116"/>
      <c r="D893" s="116"/>
      <c r="E893" s="116"/>
      <c r="F893" s="116"/>
      <c r="G893" s="116"/>
      <c r="H893" s="116"/>
      <c r="I893" s="116"/>
      <c r="J893" s="116"/>
      <c r="K893" s="116"/>
      <c r="L893" s="116"/>
      <c r="M893" s="116"/>
      <c r="N893" s="116"/>
      <c r="O893" s="116"/>
      <c r="P893" s="116"/>
      <c r="Q893" s="116"/>
      <c r="R893" s="116"/>
      <c r="S893" s="116"/>
      <c r="T893" s="116"/>
      <c r="U893" s="116"/>
      <c r="V893" s="116"/>
      <c r="W893" s="116"/>
      <c r="X893" s="116"/>
      <c r="Y893" s="116"/>
      <c r="Z893" s="116"/>
    </row>
    <row r="894" spans="1:26" ht="15">
      <c r="A894" s="116"/>
      <c r="B894" s="988"/>
      <c r="C894" s="116"/>
      <c r="D894" s="116"/>
      <c r="E894" s="116"/>
      <c r="F894" s="116"/>
      <c r="G894" s="116"/>
      <c r="H894" s="116"/>
      <c r="I894" s="116"/>
      <c r="J894" s="116"/>
      <c r="K894" s="116"/>
      <c r="L894" s="116"/>
      <c r="M894" s="116"/>
      <c r="N894" s="116"/>
      <c r="O894" s="116"/>
      <c r="P894" s="116"/>
      <c r="Q894" s="116"/>
      <c r="R894" s="116"/>
      <c r="S894" s="116"/>
      <c r="T894" s="116"/>
      <c r="U894" s="116"/>
      <c r="V894" s="116"/>
      <c r="W894" s="116"/>
      <c r="X894" s="116"/>
      <c r="Y894" s="116"/>
      <c r="Z894" s="116"/>
    </row>
    <row r="895" spans="1:26" ht="15">
      <c r="A895" s="116"/>
      <c r="B895" s="988"/>
      <c r="C895" s="116"/>
      <c r="D895" s="116"/>
      <c r="E895" s="116"/>
      <c r="F895" s="116"/>
      <c r="G895" s="116"/>
      <c r="H895" s="116"/>
      <c r="I895" s="116"/>
      <c r="J895" s="116"/>
      <c r="K895" s="116"/>
      <c r="L895" s="116"/>
      <c r="M895" s="116"/>
      <c r="N895" s="116"/>
      <c r="O895" s="116"/>
      <c r="P895" s="116"/>
      <c r="Q895" s="116"/>
      <c r="R895" s="116"/>
      <c r="S895" s="116"/>
      <c r="T895" s="116"/>
      <c r="U895" s="116"/>
      <c r="V895" s="116"/>
      <c r="W895" s="116"/>
      <c r="X895" s="116"/>
      <c r="Y895" s="116"/>
      <c r="Z895" s="116"/>
    </row>
    <row r="896" spans="1:26" ht="15">
      <c r="A896" s="116"/>
      <c r="B896" s="988"/>
      <c r="C896" s="116"/>
      <c r="D896" s="116"/>
      <c r="E896" s="116"/>
      <c r="F896" s="116"/>
      <c r="G896" s="116"/>
      <c r="H896" s="116"/>
      <c r="I896" s="116"/>
      <c r="J896" s="116"/>
      <c r="K896" s="116"/>
      <c r="L896" s="116"/>
      <c r="M896" s="116"/>
      <c r="N896" s="116"/>
      <c r="O896" s="116"/>
      <c r="P896" s="116"/>
      <c r="Q896" s="116"/>
      <c r="R896" s="116"/>
      <c r="S896" s="116"/>
      <c r="T896" s="116"/>
      <c r="U896" s="116"/>
      <c r="V896" s="116"/>
      <c r="W896" s="116"/>
      <c r="X896" s="116"/>
      <c r="Y896" s="116"/>
      <c r="Z896" s="116"/>
    </row>
    <row r="897" spans="1:26" ht="15">
      <c r="A897" s="116"/>
      <c r="B897" s="988"/>
      <c r="C897" s="116"/>
      <c r="D897" s="116"/>
      <c r="E897" s="116"/>
      <c r="F897" s="116"/>
      <c r="G897" s="116"/>
      <c r="H897" s="116"/>
      <c r="I897" s="116"/>
      <c r="J897" s="116"/>
      <c r="K897" s="116"/>
      <c r="L897" s="116"/>
      <c r="M897" s="116"/>
      <c r="N897" s="116"/>
      <c r="O897" s="116"/>
      <c r="P897" s="116"/>
      <c r="Q897" s="116"/>
      <c r="R897" s="116"/>
      <c r="S897" s="116"/>
      <c r="T897" s="116"/>
      <c r="U897" s="116"/>
      <c r="V897" s="116"/>
      <c r="W897" s="116"/>
      <c r="X897" s="116"/>
      <c r="Y897" s="116"/>
      <c r="Z897" s="116"/>
    </row>
    <row r="898" spans="1:26" ht="15">
      <c r="A898" s="116"/>
      <c r="B898" s="988"/>
      <c r="C898" s="116"/>
      <c r="D898" s="116"/>
      <c r="E898" s="116"/>
      <c r="F898" s="116"/>
      <c r="G898" s="116"/>
      <c r="H898" s="116"/>
      <c r="I898" s="116"/>
      <c r="J898" s="116"/>
      <c r="K898" s="116"/>
      <c r="L898" s="116"/>
      <c r="M898" s="116"/>
      <c r="N898" s="116"/>
      <c r="O898" s="116"/>
      <c r="P898" s="116"/>
      <c r="Q898" s="116"/>
      <c r="R898" s="116"/>
      <c r="S898" s="116"/>
      <c r="T898" s="116"/>
      <c r="U898" s="116"/>
      <c r="V898" s="116"/>
      <c r="W898" s="116"/>
      <c r="X898" s="116"/>
      <c r="Y898" s="116"/>
      <c r="Z898" s="116"/>
    </row>
    <row r="899" spans="1:26" ht="15">
      <c r="A899" s="116"/>
      <c r="B899" s="988"/>
      <c r="C899" s="116"/>
      <c r="D899" s="116"/>
      <c r="E899" s="116"/>
      <c r="F899" s="116"/>
      <c r="G899" s="116"/>
      <c r="H899" s="116"/>
      <c r="I899" s="116"/>
      <c r="J899" s="116"/>
      <c r="K899" s="116"/>
      <c r="L899" s="116"/>
      <c r="M899" s="116"/>
      <c r="N899" s="116"/>
      <c r="O899" s="116"/>
      <c r="P899" s="116"/>
      <c r="Q899" s="116"/>
      <c r="R899" s="116"/>
      <c r="S899" s="116"/>
      <c r="T899" s="116"/>
      <c r="U899" s="116"/>
      <c r="V899" s="116"/>
      <c r="W899" s="116"/>
      <c r="X899" s="116"/>
      <c r="Y899" s="116"/>
      <c r="Z899" s="116"/>
    </row>
    <row r="900" spans="1:26" ht="15">
      <c r="A900" s="116"/>
      <c r="B900" s="988"/>
      <c r="C900" s="116"/>
      <c r="D900" s="116"/>
      <c r="E900" s="116"/>
      <c r="F900" s="116"/>
      <c r="G900" s="116"/>
      <c r="H900" s="116"/>
      <c r="I900" s="116"/>
      <c r="J900" s="116"/>
      <c r="K900" s="116"/>
      <c r="L900" s="116"/>
      <c r="M900" s="116"/>
      <c r="N900" s="116"/>
      <c r="O900" s="116"/>
      <c r="P900" s="116"/>
      <c r="Q900" s="116"/>
      <c r="R900" s="116"/>
      <c r="S900" s="116"/>
      <c r="T900" s="116"/>
      <c r="U900" s="116"/>
      <c r="V900" s="116"/>
      <c r="W900" s="116"/>
      <c r="X900" s="116"/>
      <c r="Y900" s="116"/>
      <c r="Z900" s="116"/>
    </row>
    <row r="901" spans="1:26" ht="15">
      <c r="A901" s="116"/>
      <c r="B901" s="988"/>
      <c r="C901" s="116"/>
      <c r="D901" s="116"/>
      <c r="E901" s="116"/>
      <c r="F901" s="116"/>
      <c r="G901" s="116"/>
      <c r="H901" s="116"/>
      <c r="I901" s="116"/>
      <c r="J901" s="116"/>
      <c r="K901" s="116"/>
      <c r="L901" s="116"/>
      <c r="M901" s="116"/>
      <c r="N901" s="116"/>
      <c r="O901" s="116"/>
      <c r="P901" s="116"/>
      <c r="Q901" s="116"/>
      <c r="R901" s="116"/>
      <c r="S901" s="116"/>
      <c r="T901" s="116"/>
      <c r="U901" s="116"/>
      <c r="V901" s="116"/>
      <c r="W901" s="116"/>
      <c r="X901" s="116"/>
      <c r="Y901" s="116"/>
      <c r="Z901" s="116"/>
    </row>
    <row r="902" spans="1:26" ht="15">
      <c r="A902" s="116"/>
      <c r="B902" s="988"/>
      <c r="C902" s="116"/>
      <c r="D902" s="116"/>
      <c r="E902" s="116"/>
      <c r="F902" s="116"/>
      <c r="G902" s="116"/>
      <c r="H902" s="116"/>
      <c r="I902" s="116"/>
      <c r="J902" s="116"/>
      <c r="K902" s="116"/>
      <c r="L902" s="116"/>
      <c r="M902" s="116"/>
      <c r="N902" s="116"/>
      <c r="O902" s="116"/>
      <c r="P902" s="116"/>
      <c r="Q902" s="116"/>
      <c r="R902" s="116"/>
      <c r="S902" s="116"/>
      <c r="T902" s="116"/>
      <c r="U902" s="116"/>
      <c r="V902" s="116"/>
      <c r="W902" s="116"/>
      <c r="X902" s="116"/>
      <c r="Y902" s="116"/>
      <c r="Z902" s="116"/>
    </row>
    <row r="903" spans="1:26" ht="15">
      <c r="A903" s="116"/>
      <c r="B903" s="988"/>
      <c r="C903" s="116"/>
      <c r="D903" s="116"/>
      <c r="E903" s="116"/>
      <c r="F903" s="116"/>
      <c r="G903" s="116"/>
      <c r="H903" s="116"/>
      <c r="I903" s="116"/>
      <c r="J903" s="116"/>
      <c r="K903" s="116"/>
      <c r="L903" s="116"/>
      <c r="M903" s="116"/>
      <c r="N903" s="116"/>
      <c r="O903" s="116"/>
      <c r="P903" s="116"/>
      <c r="Q903" s="116"/>
      <c r="R903" s="116"/>
      <c r="S903" s="116"/>
      <c r="T903" s="116"/>
      <c r="U903" s="116"/>
      <c r="V903" s="116"/>
      <c r="W903" s="116"/>
      <c r="X903" s="116"/>
      <c r="Y903" s="116"/>
      <c r="Z903" s="116"/>
    </row>
    <row r="904" spans="1:26" ht="15">
      <c r="A904" s="116"/>
      <c r="B904" s="988"/>
      <c r="C904" s="116"/>
      <c r="D904" s="116"/>
      <c r="E904" s="116"/>
      <c r="F904" s="116"/>
      <c r="G904" s="116"/>
      <c r="H904" s="116"/>
      <c r="I904" s="116"/>
      <c r="J904" s="116"/>
      <c r="K904" s="116"/>
      <c r="L904" s="116"/>
      <c r="M904" s="116"/>
      <c r="N904" s="116"/>
      <c r="O904" s="116"/>
      <c r="P904" s="116"/>
      <c r="Q904" s="116"/>
      <c r="R904" s="116"/>
      <c r="S904" s="116"/>
      <c r="T904" s="116"/>
      <c r="U904" s="116"/>
      <c r="V904" s="116"/>
      <c r="W904" s="116"/>
      <c r="X904" s="116"/>
      <c r="Y904" s="116"/>
      <c r="Z904" s="116"/>
    </row>
    <row r="905" spans="1:26" ht="15">
      <c r="A905" s="116"/>
      <c r="B905" s="988"/>
      <c r="C905" s="116"/>
      <c r="D905" s="116"/>
      <c r="E905" s="116"/>
      <c r="F905" s="116"/>
      <c r="G905" s="116"/>
      <c r="H905" s="116"/>
      <c r="I905" s="116"/>
      <c r="J905" s="116"/>
      <c r="K905" s="116"/>
      <c r="L905" s="116"/>
      <c r="M905" s="116"/>
      <c r="N905" s="116"/>
      <c r="O905" s="116"/>
      <c r="P905" s="116"/>
      <c r="Q905" s="116"/>
      <c r="R905" s="116"/>
      <c r="S905" s="116"/>
      <c r="T905" s="116"/>
      <c r="U905" s="116"/>
      <c r="V905" s="116"/>
      <c r="W905" s="116"/>
      <c r="X905" s="116"/>
      <c r="Y905" s="116"/>
      <c r="Z905" s="116"/>
    </row>
    <row r="906" spans="1:26" ht="15">
      <c r="A906" s="116"/>
      <c r="B906" s="988"/>
      <c r="C906" s="116"/>
      <c r="D906" s="116"/>
      <c r="E906" s="116"/>
      <c r="F906" s="116"/>
      <c r="G906" s="116"/>
      <c r="H906" s="116"/>
      <c r="I906" s="116"/>
      <c r="J906" s="116"/>
      <c r="K906" s="116"/>
      <c r="L906" s="116"/>
      <c r="M906" s="116"/>
      <c r="N906" s="116"/>
      <c r="O906" s="116"/>
      <c r="P906" s="116"/>
      <c r="Q906" s="116"/>
      <c r="R906" s="116"/>
      <c r="S906" s="116"/>
      <c r="T906" s="116"/>
      <c r="U906" s="116"/>
      <c r="V906" s="116"/>
      <c r="W906" s="116"/>
      <c r="X906" s="116"/>
      <c r="Y906" s="116"/>
      <c r="Z906" s="116"/>
    </row>
    <row r="907" spans="1:26" ht="15">
      <c r="A907" s="116"/>
      <c r="B907" s="988"/>
      <c r="C907" s="116"/>
      <c r="D907" s="116"/>
      <c r="E907" s="116"/>
      <c r="F907" s="116"/>
      <c r="G907" s="116"/>
      <c r="H907" s="116"/>
      <c r="I907" s="116"/>
      <c r="J907" s="116"/>
      <c r="K907" s="116"/>
      <c r="L907" s="116"/>
      <c r="M907" s="116"/>
      <c r="N907" s="116"/>
      <c r="O907" s="116"/>
      <c r="P907" s="116"/>
      <c r="Q907" s="116"/>
      <c r="R907" s="116"/>
      <c r="S907" s="116"/>
      <c r="T907" s="116"/>
      <c r="U907" s="116"/>
      <c r="V907" s="116"/>
      <c r="W907" s="116"/>
      <c r="X907" s="116"/>
      <c r="Y907" s="116"/>
      <c r="Z907" s="116"/>
    </row>
    <row r="908" spans="1:26" ht="15">
      <c r="A908" s="116"/>
      <c r="B908" s="988"/>
      <c r="C908" s="116"/>
      <c r="D908" s="116"/>
      <c r="E908" s="116"/>
      <c r="F908" s="116"/>
      <c r="G908" s="116"/>
      <c r="H908" s="116"/>
      <c r="I908" s="116"/>
      <c r="J908" s="116"/>
      <c r="K908" s="116"/>
      <c r="L908" s="116"/>
      <c r="M908" s="116"/>
      <c r="N908" s="116"/>
      <c r="O908" s="116"/>
      <c r="P908" s="116"/>
      <c r="Q908" s="116"/>
      <c r="R908" s="116"/>
      <c r="S908" s="116"/>
      <c r="T908" s="116"/>
      <c r="U908" s="116"/>
      <c r="V908" s="116"/>
      <c r="W908" s="116"/>
      <c r="X908" s="116"/>
      <c r="Y908" s="116"/>
      <c r="Z908" s="116"/>
    </row>
    <row r="909" spans="1:26" ht="15">
      <c r="A909" s="116"/>
      <c r="B909" s="988"/>
      <c r="C909" s="116"/>
      <c r="D909" s="116"/>
      <c r="E909" s="116"/>
      <c r="F909" s="116"/>
      <c r="G909" s="116"/>
      <c r="H909" s="116"/>
      <c r="I909" s="116"/>
      <c r="J909" s="116"/>
      <c r="K909" s="116"/>
      <c r="L909" s="116"/>
      <c r="M909" s="116"/>
      <c r="N909" s="116"/>
      <c r="O909" s="116"/>
      <c r="P909" s="116"/>
      <c r="Q909" s="116"/>
      <c r="R909" s="116"/>
      <c r="S909" s="116"/>
      <c r="T909" s="116"/>
      <c r="U909" s="116"/>
      <c r="V909" s="116"/>
      <c r="W909" s="116"/>
      <c r="X909" s="116"/>
      <c r="Y909" s="116"/>
      <c r="Z909" s="116"/>
    </row>
    <row r="910" spans="1:26" ht="15">
      <c r="A910" s="116"/>
      <c r="B910" s="988"/>
      <c r="C910" s="116"/>
      <c r="D910" s="116"/>
      <c r="E910" s="116"/>
      <c r="F910" s="116"/>
      <c r="G910" s="116"/>
      <c r="H910" s="116"/>
      <c r="I910" s="116"/>
      <c r="J910" s="116"/>
      <c r="K910" s="116"/>
      <c r="L910" s="116"/>
      <c r="M910" s="116"/>
      <c r="N910" s="116"/>
      <c r="O910" s="116"/>
      <c r="P910" s="116"/>
      <c r="Q910" s="116"/>
      <c r="R910" s="116"/>
      <c r="S910" s="116"/>
      <c r="T910" s="116"/>
      <c r="U910" s="116"/>
      <c r="V910" s="116"/>
      <c r="W910" s="116"/>
      <c r="X910" s="116"/>
      <c r="Y910" s="116"/>
      <c r="Z910" s="116"/>
    </row>
    <row r="911" spans="1:26" ht="15">
      <c r="A911" s="116"/>
      <c r="B911" s="988"/>
      <c r="C911" s="116"/>
      <c r="D911" s="116"/>
      <c r="E911" s="116"/>
      <c r="F911" s="116"/>
      <c r="G911" s="116"/>
      <c r="H911" s="116"/>
      <c r="I911" s="116"/>
      <c r="J911" s="116"/>
      <c r="K911" s="116"/>
      <c r="L911" s="116"/>
      <c r="M911" s="116"/>
      <c r="N911" s="116"/>
      <c r="O911" s="116"/>
      <c r="P911" s="116"/>
      <c r="Q911" s="116"/>
      <c r="R911" s="116"/>
      <c r="S911" s="116"/>
      <c r="T911" s="116"/>
      <c r="U911" s="116"/>
      <c r="V911" s="116"/>
      <c r="W911" s="116"/>
      <c r="X911" s="116"/>
      <c r="Y911" s="116"/>
      <c r="Z911" s="116"/>
    </row>
    <row r="912" spans="1:26" ht="15">
      <c r="A912" s="116"/>
      <c r="B912" s="988"/>
      <c r="C912" s="116"/>
      <c r="D912" s="116"/>
      <c r="E912" s="116"/>
      <c r="F912" s="116"/>
      <c r="G912" s="116"/>
      <c r="H912" s="116"/>
      <c r="I912" s="116"/>
      <c r="J912" s="116"/>
      <c r="K912" s="116"/>
      <c r="L912" s="116"/>
      <c r="M912" s="116"/>
      <c r="N912" s="116"/>
      <c r="O912" s="116"/>
      <c r="P912" s="116"/>
      <c r="Q912" s="116"/>
      <c r="R912" s="116"/>
      <c r="S912" s="116"/>
      <c r="T912" s="116"/>
      <c r="U912" s="116"/>
      <c r="V912" s="116"/>
      <c r="W912" s="116"/>
      <c r="X912" s="116"/>
      <c r="Y912" s="116"/>
      <c r="Z912" s="116"/>
    </row>
    <row r="913" spans="1:26" ht="15">
      <c r="A913" s="116"/>
      <c r="B913" s="988"/>
      <c r="C913" s="116"/>
      <c r="D913" s="116"/>
      <c r="E913" s="116"/>
      <c r="F913" s="116"/>
      <c r="G913" s="116"/>
      <c r="H913" s="116"/>
      <c r="I913" s="116"/>
      <c r="J913" s="116"/>
      <c r="K913" s="116"/>
      <c r="L913" s="116"/>
      <c r="M913" s="116"/>
      <c r="N913" s="116"/>
      <c r="O913" s="116"/>
      <c r="P913" s="116"/>
      <c r="Q913" s="116"/>
      <c r="R913" s="116"/>
      <c r="S913" s="116"/>
      <c r="T913" s="116"/>
      <c r="U913" s="116"/>
      <c r="V913" s="116"/>
      <c r="W913" s="116"/>
      <c r="X913" s="116"/>
      <c r="Y913" s="116"/>
      <c r="Z913" s="116"/>
    </row>
    <row r="914" spans="1:26" ht="15">
      <c r="A914" s="116"/>
      <c r="B914" s="988"/>
      <c r="C914" s="116"/>
      <c r="D914" s="116"/>
      <c r="E914" s="116"/>
      <c r="F914" s="116"/>
      <c r="G914" s="116"/>
      <c r="H914" s="116"/>
      <c r="I914" s="116"/>
      <c r="J914" s="116"/>
      <c r="K914" s="116"/>
      <c r="L914" s="116"/>
      <c r="M914" s="116"/>
      <c r="N914" s="116"/>
      <c r="O914" s="116"/>
      <c r="P914" s="116"/>
      <c r="Q914" s="116"/>
      <c r="R914" s="116"/>
      <c r="S914" s="116"/>
      <c r="T914" s="116"/>
      <c r="U914" s="116"/>
      <c r="V914" s="116"/>
      <c r="W914" s="116"/>
      <c r="X914" s="116"/>
      <c r="Y914" s="116"/>
      <c r="Z914" s="116"/>
    </row>
    <row r="915" spans="1:26" ht="15">
      <c r="A915" s="116"/>
      <c r="B915" s="988"/>
      <c r="C915" s="116"/>
      <c r="D915" s="116"/>
      <c r="E915" s="116"/>
      <c r="F915" s="116"/>
      <c r="G915" s="116"/>
      <c r="H915" s="116"/>
      <c r="I915" s="116"/>
      <c r="J915" s="116"/>
      <c r="K915" s="116"/>
      <c r="L915" s="116"/>
      <c r="M915" s="116"/>
      <c r="N915" s="116"/>
      <c r="O915" s="116"/>
      <c r="P915" s="116"/>
      <c r="Q915" s="116"/>
      <c r="R915" s="116"/>
      <c r="S915" s="116"/>
      <c r="T915" s="116"/>
      <c r="U915" s="116"/>
      <c r="V915" s="116"/>
      <c r="W915" s="116"/>
      <c r="X915" s="116"/>
      <c r="Y915" s="116"/>
      <c r="Z915" s="116"/>
    </row>
    <row r="916" spans="1:26" ht="15">
      <c r="A916" s="116"/>
      <c r="B916" s="988"/>
      <c r="C916" s="116"/>
      <c r="D916" s="116"/>
      <c r="E916" s="116"/>
      <c r="F916" s="116"/>
      <c r="G916" s="116"/>
      <c r="H916" s="116"/>
      <c r="I916" s="116"/>
      <c r="J916" s="116"/>
      <c r="K916" s="116"/>
      <c r="L916" s="116"/>
      <c r="M916" s="116"/>
      <c r="N916" s="116"/>
      <c r="O916" s="116"/>
      <c r="P916" s="116"/>
      <c r="Q916" s="116"/>
      <c r="R916" s="116"/>
      <c r="S916" s="116"/>
      <c r="T916" s="116"/>
      <c r="U916" s="116"/>
      <c r="V916" s="116"/>
      <c r="W916" s="116"/>
      <c r="X916" s="116"/>
      <c r="Y916" s="116"/>
      <c r="Z916" s="116"/>
    </row>
    <row r="917" spans="1:26" ht="15">
      <c r="A917" s="116"/>
      <c r="B917" s="988"/>
      <c r="C917" s="116"/>
      <c r="D917" s="116"/>
      <c r="E917" s="116"/>
      <c r="F917" s="116"/>
      <c r="G917" s="116"/>
      <c r="H917" s="116"/>
      <c r="I917" s="116"/>
      <c r="J917" s="116"/>
      <c r="K917" s="116"/>
      <c r="L917" s="116"/>
      <c r="M917" s="116"/>
      <c r="N917" s="116"/>
      <c r="O917" s="116"/>
      <c r="P917" s="116"/>
      <c r="Q917" s="116"/>
      <c r="R917" s="116"/>
      <c r="S917" s="116"/>
      <c r="T917" s="116"/>
      <c r="U917" s="116"/>
      <c r="V917" s="116"/>
      <c r="W917" s="116"/>
      <c r="X917" s="116"/>
      <c r="Y917" s="116"/>
      <c r="Z917" s="116"/>
    </row>
    <row r="918" spans="1:26" ht="15">
      <c r="A918" s="116"/>
      <c r="B918" s="988"/>
      <c r="C918" s="116"/>
      <c r="D918" s="116"/>
      <c r="E918" s="116"/>
      <c r="F918" s="116"/>
      <c r="G918" s="116"/>
      <c r="H918" s="116"/>
      <c r="I918" s="116"/>
      <c r="J918" s="116"/>
      <c r="K918" s="116"/>
      <c r="L918" s="116"/>
      <c r="M918" s="116"/>
      <c r="N918" s="116"/>
      <c r="O918" s="116"/>
      <c r="P918" s="116"/>
      <c r="Q918" s="116"/>
      <c r="R918" s="116"/>
      <c r="S918" s="116"/>
      <c r="T918" s="116"/>
      <c r="U918" s="116"/>
      <c r="V918" s="116"/>
      <c r="W918" s="116"/>
      <c r="X918" s="116"/>
      <c r="Y918" s="116"/>
      <c r="Z918" s="116"/>
    </row>
    <row r="919" spans="1:26" ht="15">
      <c r="A919" s="116"/>
      <c r="B919" s="988"/>
      <c r="C919" s="116"/>
      <c r="D919" s="116"/>
      <c r="E919" s="116"/>
      <c r="F919" s="116"/>
      <c r="G919" s="116"/>
      <c r="H919" s="116"/>
      <c r="I919" s="116"/>
      <c r="J919" s="116"/>
      <c r="K919" s="116"/>
      <c r="L919" s="116"/>
      <c r="M919" s="116"/>
      <c r="N919" s="116"/>
      <c r="O919" s="116"/>
      <c r="P919" s="116"/>
      <c r="Q919" s="116"/>
      <c r="R919" s="116"/>
      <c r="S919" s="116"/>
      <c r="T919" s="116"/>
      <c r="U919" s="116"/>
      <c r="V919" s="116"/>
      <c r="W919" s="116"/>
      <c r="X919" s="116"/>
      <c r="Y919" s="116"/>
      <c r="Z919" s="116"/>
    </row>
    <row r="920" spans="1:26" ht="15">
      <c r="A920" s="116"/>
      <c r="B920" s="988"/>
      <c r="C920" s="116"/>
      <c r="D920" s="116"/>
      <c r="E920" s="116"/>
      <c r="F920" s="116"/>
      <c r="G920" s="116"/>
      <c r="H920" s="116"/>
      <c r="I920" s="116"/>
      <c r="J920" s="116"/>
      <c r="K920" s="116"/>
      <c r="L920" s="116"/>
      <c r="M920" s="116"/>
      <c r="N920" s="116"/>
      <c r="O920" s="116"/>
      <c r="P920" s="116"/>
      <c r="Q920" s="116"/>
      <c r="R920" s="116"/>
      <c r="S920" s="116"/>
      <c r="T920" s="116"/>
      <c r="U920" s="116"/>
      <c r="V920" s="116"/>
      <c r="W920" s="116"/>
      <c r="X920" s="116"/>
      <c r="Y920" s="116"/>
      <c r="Z920" s="116"/>
    </row>
    <row r="921" spans="1:26" ht="15">
      <c r="A921" s="116"/>
      <c r="B921" s="988"/>
      <c r="C921" s="116"/>
      <c r="D921" s="116"/>
      <c r="E921" s="116"/>
      <c r="F921" s="116"/>
      <c r="G921" s="116"/>
      <c r="H921" s="116"/>
      <c r="I921" s="116"/>
      <c r="J921" s="116"/>
      <c r="K921" s="116"/>
      <c r="L921" s="116"/>
      <c r="M921" s="116"/>
      <c r="N921" s="116"/>
      <c r="O921" s="116"/>
      <c r="P921" s="116"/>
      <c r="Q921" s="116"/>
      <c r="R921" s="116"/>
      <c r="S921" s="116"/>
      <c r="T921" s="116"/>
      <c r="U921" s="116"/>
      <c r="V921" s="116"/>
      <c r="W921" s="116"/>
      <c r="X921" s="116"/>
      <c r="Y921" s="116"/>
      <c r="Z921" s="116"/>
    </row>
    <row r="922" spans="1:26" ht="15">
      <c r="A922" s="116"/>
      <c r="B922" s="988"/>
      <c r="C922" s="116"/>
      <c r="D922" s="116"/>
      <c r="E922" s="116"/>
      <c r="F922" s="116"/>
      <c r="G922" s="116"/>
      <c r="H922" s="116"/>
      <c r="I922" s="116"/>
      <c r="J922" s="116"/>
      <c r="K922" s="116"/>
      <c r="L922" s="116"/>
      <c r="M922" s="116"/>
      <c r="N922" s="116"/>
      <c r="O922" s="116"/>
      <c r="P922" s="116"/>
      <c r="Q922" s="116"/>
      <c r="R922" s="116"/>
      <c r="S922" s="116"/>
      <c r="T922" s="116"/>
      <c r="U922" s="116"/>
      <c r="V922" s="116"/>
      <c r="W922" s="116"/>
      <c r="X922" s="116"/>
      <c r="Y922" s="116"/>
      <c r="Z922" s="116"/>
    </row>
    <row r="923" spans="1:26" ht="15">
      <c r="A923" s="116"/>
      <c r="B923" s="988"/>
      <c r="C923" s="116"/>
      <c r="D923" s="116"/>
      <c r="E923" s="116"/>
      <c r="F923" s="116"/>
      <c r="G923" s="116"/>
      <c r="H923" s="116"/>
      <c r="I923" s="116"/>
      <c r="J923" s="116"/>
      <c r="K923" s="116"/>
      <c r="L923" s="116"/>
      <c r="M923" s="116"/>
      <c r="N923" s="116"/>
      <c r="O923" s="116"/>
      <c r="P923" s="116"/>
      <c r="Q923" s="116"/>
      <c r="R923" s="116"/>
      <c r="S923" s="116"/>
      <c r="T923" s="116"/>
      <c r="U923" s="116"/>
      <c r="V923" s="116"/>
      <c r="W923" s="116"/>
      <c r="X923" s="116"/>
      <c r="Y923" s="116"/>
      <c r="Z923" s="116"/>
    </row>
    <row r="924" spans="1:26" ht="15">
      <c r="A924" s="116"/>
      <c r="B924" s="988"/>
      <c r="C924" s="116"/>
      <c r="D924" s="116"/>
      <c r="E924" s="116"/>
      <c r="F924" s="116"/>
      <c r="G924" s="116"/>
      <c r="H924" s="116"/>
      <c r="I924" s="116"/>
      <c r="J924" s="116"/>
      <c r="K924" s="116"/>
      <c r="L924" s="116"/>
      <c r="M924" s="116"/>
      <c r="N924" s="116"/>
      <c r="O924" s="116"/>
      <c r="P924" s="116"/>
      <c r="Q924" s="116"/>
      <c r="R924" s="116"/>
      <c r="S924" s="116"/>
      <c r="T924" s="116"/>
      <c r="U924" s="116"/>
      <c r="V924" s="116"/>
      <c r="W924" s="116"/>
      <c r="X924" s="116"/>
      <c r="Y924" s="116"/>
      <c r="Z924" s="116"/>
    </row>
    <row r="925" spans="1:26" ht="15">
      <c r="A925" s="116"/>
      <c r="B925" s="988"/>
      <c r="C925" s="116"/>
      <c r="D925" s="116"/>
      <c r="E925" s="116"/>
      <c r="F925" s="116"/>
      <c r="G925" s="116"/>
      <c r="H925" s="116"/>
      <c r="I925" s="116"/>
      <c r="J925" s="116"/>
      <c r="K925" s="116"/>
      <c r="L925" s="116"/>
      <c r="M925" s="116"/>
      <c r="N925" s="116"/>
      <c r="O925" s="116"/>
      <c r="P925" s="116"/>
      <c r="Q925" s="116"/>
      <c r="R925" s="116"/>
      <c r="S925" s="116"/>
      <c r="T925" s="116"/>
      <c r="U925" s="116"/>
      <c r="V925" s="116"/>
      <c r="W925" s="116"/>
      <c r="X925" s="116"/>
      <c r="Y925" s="116"/>
      <c r="Z925" s="116"/>
    </row>
    <row r="926" spans="1:26" ht="15">
      <c r="A926" s="116"/>
      <c r="B926" s="988"/>
      <c r="C926" s="116"/>
      <c r="D926" s="116"/>
      <c r="E926" s="116"/>
      <c r="F926" s="116"/>
      <c r="G926" s="116"/>
      <c r="H926" s="116"/>
      <c r="I926" s="116"/>
      <c r="J926" s="116"/>
      <c r="K926" s="116"/>
      <c r="L926" s="116"/>
      <c r="M926" s="116"/>
      <c r="N926" s="116"/>
      <c r="O926" s="116"/>
      <c r="P926" s="116"/>
      <c r="Q926" s="116"/>
      <c r="R926" s="116"/>
      <c r="S926" s="116"/>
      <c r="T926" s="116"/>
      <c r="U926" s="116"/>
      <c r="V926" s="116"/>
      <c r="W926" s="116"/>
      <c r="X926" s="116"/>
      <c r="Y926" s="116"/>
      <c r="Z926" s="116"/>
    </row>
    <row r="927" spans="1:26" ht="15">
      <c r="A927" s="116"/>
      <c r="B927" s="988"/>
      <c r="C927" s="116"/>
      <c r="D927" s="116"/>
      <c r="E927" s="116"/>
      <c r="F927" s="116"/>
      <c r="G927" s="116"/>
      <c r="H927" s="116"/>
      <c r="I927" s="116"/>
      <c r="J927" s="116"/>
      <c r="K927" s="116"/>
      <c r="L927" s="116"/>
      <c r="M927" s="116"/>
      <c r="N927" s="116"/>
      <c r="O927" s="116"/>
      <c r="P927" s="116"/>
      <c r="Q927" s="116"/>
      <c r="R927" s="116"/>
      <c r="S927" s="116"/>
      <c r="T927" s="116"/>
      <c r="U927" s="116"/>
      <c r="V927" s="116"/>
      <c r="W927" s="116"/>
      <c r="X927" s="116"/>
      <c r="Y927" s="116"/>
      <c r="Z927" s="116"/>
    </row>
    <row r="928" spans="1:26" ht="15">
      <c r="A928" s="116"/>
      <c r="B928" s="988"/>
      <c r="C928" s="116"/>
      <c r="D928" s="116"/>
      <c r="E928" s="116"/>
      <c r="F928" s="116"/>
      <c r="G928" s="116"/>
      <c r="H928" s="116"/>
      <c r="I928" s="116"/>
      <c r="J928" s="116"/>
      <c r="K928" s="116"/>
      <c r="L928" s="116"/>
      <c r="M928" s="116"/>
      <c r="N928" s="116"/>
      <c r="O928" s="116"/>
      <c r="P928" s="116"/>
      <c r="Q928" s="116"/>
      <c r="R928" s="116"/>
      <c r="S928" s="116"/>
      <c r="T928" s="116"/>
      <c r="U928" s="116"/>
      <c r="V928" s="116"/>
      <c r="W928" s="116"/>
      <c r="X928" s="116"/>
      <c r="Y928" s="116"/>
      <c r="Z928" s="116"/>
    </row>
    <row r="929" spans="1:26" ht="15">
      <c r="A929" s="116"/>
      <c r="B929" s="988"/>
      <c r="C929" s="116"/>
      <c r="D929" s="116"/>
      <c r="E929" s="116"/>
      <c r="F929" s="116"/>
      <c r="G929" s="116"/>
      <c r="H929" s="116"/>
      <c r="I929" s="116"/>
      <c r="J929" s="116"/>
      <c r="K929" s="116"/>
      <c r="L929" s="116"/>
      <c r="M929" s="116"/>
      <c r="N929" s="116"/>
      <c r="O929" s="116"/>
      <c r="P929" s="116"/>
      <c r="Q929" s="116"/>
      <c r="R929" s="116"/>
      <c r="S929" s="116"/>
      <c r="T929" s="116"/>
      <c r="U929" s="116"/>
      <c r="V929" s="116"/>
      <c r="W929" s="116"/>
      <c r="X929" s="116"/>
      <c r="Y929" s="116"/>
      <c r="Z929" s="116"/>
    </row>
    <row r="930" spans="1:26" ht="15">
      <c r="A930" s="116"/>
      <c r="B930" s="988"/>
      <c r="C930" s="116"/>
      <c r="D930" s="116"/>
      <c r="E930" s="116"/>
      <c r="F930" s="116"/>
      <c r="G930" s="116"/>
      <c r="H930" s="116"/>
      <c r="I930" s="116"/>
      <c r="J930" s="116"/>
      <c r="K930" s="116"/>
      <c r="L930" s="116"/>
      <c r="M930" s="116"/>
      <c r="N930" s="116"/>
      <c r="O930" s="116"/>
      <c r="P930" s="116"/>
      <c r="Q930" s="116"/>
      <c r="R930" s="116"/>
      <c r="S930" s="116"/>
      <c r="T930" s="116"/>
      <c r="U930" s="116"/>
      <c r="V930" s="116"/>
      <c r="W930" s="116"/>
      <c r="X930" s="116"/>
      <c r="Y930" s="116"/>
      <c r="Z930" s="116"/>
    </row>
    <row r="931" spans="1:26" ht="15">
      <c r="A931" s="116"/>
      <c r="B931" s="988"/>
      <c r="C931" s="116"/>
      <c r="D931" s="116"/>
      <c r="E931" s="116"/>
      <c r="F931" s="116"/>
      <c r="G931" s="116"/>
      <c r="H931" s="116"/>
      <c r="I931" s="116"/>
      <c r="J931" s="116"/>
      <c r="K931" s="116"/>
      <c r="L931" s="116"/>
      <c r="M931" s="116"/>
      <c r="N931" s="116"/>
      <c r="O931" s="116"/>
      <c r="P931" s="116"/>
      <c r="Q931" s="116"/>
      <c r="R931" s="116"/>
      <c r="S931" s="116"/>
      <c r="T931" s="116"/>
      <c r="U931" s="116"/>
      <c r="V931" s="116"/>
      <c r="W931" s="116"/>
      <c r="X931" s="116"/>
      <c r="Y931" s="116"/>
      <c r="Z931" s="116"/>
    </row>
    <row r="932" spans="1:26" ht="15">
      <c r="A932" s="116"/>
      <c r="B932" s="988"/>
      <c r="C932" s="116"/>
      <c r="D932" s="116"/>
      <c r="E932" s="116"/>
      <c r="F932" s="116"/>
      <c r="G932" s="116"/>
      <c r="H932" s="116"/>
      <c r="I932" s="116"/>
      <c r="J932" s="116"/>
      <c r="K932" s="116"/>
      <c r="L932" s="116"/>
      <c r="M932" s="116"/>
      <c r="N932" s="116"/>
      <c r="O932" s="116"/>
      <c r="P932" s="116"/>
      <c r="Q932" s="116"/>
      <c r="R932" s="116"/>
      <c r="S932" s="116"/>
      <c r="T932" s="116"/>
      <c r="U932" s="116"/>
      <c r="V932" s="116"/>
      <c r="W932" s="116"/>
      <c r="X932" s="116"/>
      <c r="Y932" s="116"/>
      <c r="Z932" s="116"/>
    </row>
    <row r="933" spans="1:26" ht="15">
      <c r="A933" s="116"/>
      <c r="B933" s="988"/>
      <c r="C933" s="116"/>
      <c r="D933" s="116"/>
      <c r="E933" s="116"/>
      <c r="F933" s="116"/>
      <c r="G933" s="116"/>
      <c r="H933" s="116"/>
      <c r="I933" s="116"/>
      <c r="J933" s="116"/>
      <c r="K933" s="116"/>
      <c r="L933" s="116"/>
      <c r="M933" s="116"/>
      <c r="N933" s="116"/>
      <c r="O933" s="116"/>
      <c r="P933" s="116"/>
      <c r="Q933" s="116"/>
      <c r="R933" s="116"/>
      <c r="S933" s="116"/>
      <c r="T933" s="116"/>
      <c r="U933" s="116"/>
      <c r="V933" s="116"/>
      <c r="W933" s="116"/>
      <c r="X933" s="116"/>
      <c r="Y933" s="116"/>
      <c r="Z933" s="116"/>
    </row>
    <row r="934" spans="1:26" ht="15">
      <c r="A934" s="116"/>
      <c r="B934" s="988"/>
      <c r="C934" s="116"/>
      <c r="D934" s="116"/>
      <c r="E934" s="116"/>
      <c r="F934" s="116"/>
      <c r="G934" s="116"/>
      <c r="H934" s="116"/>
      <c r="I934" s="116"/>
      <c r="J934" s="116"/>
      <c r="K934" s="116"/>
      <c r="L934" s="116"/>
      <c r="M934" s="116"/>
      <c r="N934" s="116"/>
      <c r="O934" s="116"/>
      <c r="P934" s="116"/>
      <c r="Q934" s="116"/>
      <c r="R934" s="116"/>
      <c r="S934" s="116"/>
      <c r="T934" s="116"/>
      <c r="U934" s="116"/>
      <c r="V934" s="116"/>
      <c r="W934" s="116"/>
      <c r="X934" s="116"/>
      <c r="Y934" s="116"/>
      <c r="Z934" s="116"/>
    </row>
    <row r="935" spans="1:26" ht="15">
      <c r="A935" s="116"/>
      <c r="B935" s="988"/>
      <c r="C935" s="116"/>
      <c r="D935" s="116"/>
      <c r="E935" s="116"/>
      <c r="F935" s="116"/>
      <c r="G935" s="116"/>
      <c r="H935" s="116"/>
      <c r="I935" s="116"/>
      <c r="J935" s="116"/>
      <c r="K935" s="116"/>
      <c r="L935" s="116"/>
      <c r="M935" s="116"/>
      <c r="N935" s="116"/>
      <c r="O935" s="116"/>
      <c r="P935" s="116"/>
      <c r="Q935" s="116"/>
      <c r="R935" s="116"/>
      <c r="S935" s="116"/>
      <c r="T935" s="116"/>
      <c r="U935" s="116"/>
      <c r="V935" s="116"/>
      <c r="W935" s="116"/>
      <c r="X935" s="116"/>
      <c r="Y935" s="116"/>
      <c r="Z935" s="116"/>
    </row>
    <row r="936" spans="1:26" ht="15">
      <c r="A936" s="116"/>
      <c r="B936" s="988"/>
      <c r="C936" s="116"/>
      <c r="D936" s="116"/>
      <c r="E936" s="116"/>
      <c r="F936" s="116"/>
      <c r="G936" s="116"/>
      <c r="H936" s="116"/>
      <c r="I936" s="116"/>
      <c r="J936" s="116"/>
      <c r="K936" s="116"/>
      <c r="L936" s="116"/>
      <c r="M936" s="116"/>
      <c r="N936" s="116"/>
      <c r="O936" s="116"/>
      <c r="P936" s="116"/>
      <c r="Q936" s="116"/>
      <c r="R936" s="116"/>
      <c r="S936" s="116"/>
      <c r="T936" s="116"/>
      <c r="U936" s="116"/>
      <c r="V936" s="116"/>
      <c r="W936" s="116"/>
      <c r="X936" s="116"/>
      <c r="Y936" s="116"/>
      <c r="Z936" s="116"/>
    </row>
    <row r="937" spans="1:26" ht="15">
      <c r="A937" s="116"/>
      <c r="B937" s="988"/>
      <c r="C937" s="116"/>
      <c r="D937" s="116"/>
      <c r="E937" s="116"/>
      <c r="F937" s="116"/>
      <c r="G937" s="116"/>
      <c r="H937" s="116"/>
      <c r="I937" s="116"/>
      <c r="J937" s="116"/>
      <c r="K937" s="116"/>
      <c r="L937" s="116"/>
      <c r="M937" s="116"/>
      <c r="N937" s="116"/>
      <c r="O937" s="116"/>
      <c r="P937" s="116"/>
      <c r="Q937" s="116"/>
      <c r="R937" s="116"/>
      <c r="S937" s="116"/>
      <c r="T937" s="116"/>
      <c r="U937" s="116"/>
      <c r="V937" s="116"/>
      <c r="W937" s="116"/>
      <c r="X937" s="116"/>
      <c r="Y937" s="116"/>
      <c r="Z937" s="116"/>
    </row>
    <row r="938" spans="1:26" ht="15">
      <c r="A938" s="116"/>
      <c r="B938" s="988"/>
      <c r="C938" s="116"/>
      <c r="D938" s="116"/>
      <c r="E938" s="116"/>
      <c r="F938" s="116"/>
      <c r="G938" s="116"/>
      <c r="H938" s="116"/>
      <c r="I938" s="116"/>
      <c r="J938" s="116"/>
      <c r="K938" s="116"/>
      <c r="L938" s="116"/>
      <c r="M938" s="116"/>
      <c r="N938" s="116"/>
      <c r="O938" s="116"/>
      <c r="P938" s="116"/>
      <c r="Q938" s="116"/>
      <c r="R938" s="116"/>
      <c r="S938" s="116"/>
      <c r="T938" s="116"/>
      <c r="U938" s="116"/>
      <c r="V938" s="116"/>
      <c r="W938" s="116"/>
      <c r="X938" s="116"/>
      <c r="Y938" s="116"/>
      <c r="Z938" s="116"/>
    </row>
    <row r="939" spans="1:26" ht="15">
      <c r="A939" s="116"/>
      <c r="B939" s="988"/>
      <c r="C939" s="116"/>
      <c r="D939" s="116"/>
      <c r="E939" s="116"/>
      <c r="F939" s="116"/>
      <c r="G939" s="116"/>
      <c r="H939" s="116"/>
      <c r="I939" s="116"/>
      <c r="J939" s="116"/>
      <c r="K939" s="116"/>
      <c r="L939" s="116"/>
      <c r="M939" s="116"/>
      <c r="N939" s="116"/>
      <c r="O939" s="116"/>
      <c r="P939" s="116"/>
      <c r="Q939" s="116"/>
      <c r="R939" s="116"/>
      <c r="S939" s="116"/>
      <c r="T939" s="116"/>
      <c r="U939" s="116"/>
      <c r="V939" s="116"/>
      <c r="W939" s="116"/>
      <c r="X939" s="116"/>
      <c r="Y939" s="116"/>
      <c r="Z939" s="116"/>
    </row>
    <row r="940" spans="1:26" ht="15">
      <c r="A940" s="116"/>
      <c r="B940" s="988"/>
      <c r="C940" s="116"/>
      <c r="D940" s="116"/>
      <c r="E940" s="116"/>
      <c r="F940" s="116"/>
      <c r="G940" s="116"/>
      <c r="H940" s="116"/>
      <c r="I940" s="116"/>
      <c r="J940" s="116"/>
      <c r="K940" s="116"/>
      <c r="L940" s="116"/>
      <c r="M940" s="116"/>
      <c r="N940" s="116"/>
      <c r="O940" s="116"/>
      <c r="P940" s="116"/>
      <c r="Q940" s="116"/>
      <c r="R940" s="116"/>
      <c r="S940" s="116"/>
      <c r="T940" s="116"/>
      <c r="U940" s="116"/>
      <c r="V940" s="116"/>
      <c r="W940" s="116"/>
      <c r="X940" s="116"/>
      <c r="Y940" s="116"/>
      <c r="Z940" s="116"/>
    </row>
    <row r="941" spans="1:26" ht="15">
      <c r="A941" s="116"/>
      <c r="B941" s="988"/>
      <c r="C941" s="116"/>
      <c r="D941" s="116"/>
      <c r="E941" s="116"/>
      <c r="F941" s="116"/>
      <c r="G941" s="116"/>
      <c r="H941" s="116"/>
      <c r="I941" s="116"/>
      <c r="J941" s="116"/>
      <c r="K941" s="116"/>
      <c r="L941" s="116"/>
      <c r="M941" s="116"/>
      <c r="N941" s="116"/>
      <c r="O941" s="116"/>
      <c r="P941" s="116"/>
      <c r="Q941" s="116"/>
      <c r="R941" s="116"/>
      <c r="S941" s="116"/>
      <c r="T941" s="116"/>
      <c r="U941" s="116"/>
      <c r="V941" s="116"/>
      <c r="W941" s="116"/>
      <c r="X941" s="116"/>
      <c r="Y941" s="116"/>
      <c r="Z941" s="116"/>
    </row>
    <row r="942" spans="1:26" ht="15">
      <c r="A942" s="116"/>
      <c r="B942" s="988"/>
      <c r="C942" s="116"/>
      <c r="D942" s="116"/>
      <c r="E942" s="116"/>
      <c r="F942" s="116"/>
      <c r="G942" s="116"/>
      <c r="H942" s="116"/>
      <c r="I942" s="116"/>
      <c r="J942" s="116"/>
      <c r="K942" s="116"/>
      <c r="L942" s="116"/>
      <c r="M942" s="116"/>
      <c r="N942" s="116"/>
      <c r="O942" s="116"/>
      <c r="P942" s="116"/>
      <c r="Q942" s="116"/>
      <c r="R942" s="116"/>
      <c r="S942" s="116"/>
      <c r="T942" s="116"/>
      <c r="U942" s="116"/>
      <c r="V942" s="116"/>
      <c r="W942" s="116"/>
      <c r="X942" s="116"/>
      <c r="Y942" s="116"/>
      <c r="Z942" s="116"/>
    </row>
    <row r="943" spans="1:26" ht="15">
      <c r="A943" s="116"/>
      <c r="B943" s="988"/>
      <c r="C943" s="116"/>
      <c r="D943" s="116"/>
      <c r="E943" s="116"/>
      <c r="F943" s="116"/>
      <c r="G943" s="116"/>
      <c r="H943" s="116"/>
      <c r="I943" s="116"/>
      <c r="J943" s="116"/>
      <c r="K943" s="116"/>
      <c r="L943" s="116"/>
      <c r="M943" s="116"/>
      <c r="N943" s="116"/>
      <c r="O943" s="116"/>
      <c r="P943" s="116"/>
      <c r="Q943" s="116"/>
      <c r="R943" s="116"/>
      <c r="S943" s="116"/>
      <c r="T943" s="116"/>
      <c r="U943" s="116"/>
      <c r="V943" s="116"/>
      <c r="W943" s="116"/>
      <c r="X943" s="116"/>
      <c r="Y943" s="116"/>
      <c r="Z943" s="116"/>
    </row>
    <row r="944" spans="1:26" ht="15">
      <c r="A944" s="116"/>
      <c r="B944" s="988"/>
      <c r="C944" s="116"/>
      <c r="D944" s="116"/>
      <c r="E944" s="116"/>
      <c r="F944" s="116"/>
      <c r="G944" s="116"/>
      <c r="H944" s="116"/>
      <c r="I944" s="116"/>
      <c r="J944" s="116"/>
      <c r="K944" s="116"/>
      <c r="L944" s="116"/>
      <c r="M944" s="116"/>
      <c r="N944" s="116"/>
      <c r="O944" s="116"/>
      <c r="P944" s="116"/>
      <c r="Q944" s="116"/>
      <c r="R944" s="116"/>
      <c r="S944" s="116"/>
      <c r="T944" s="116"/>
      <c r="U944" s="116"/>
      <c r="V944" s="116"/>
      <c r="W944" s="116"/>
      <c r="X944" s="116"/>
      <c r="Y944" s="116"/>
      <c r="Z944" s="116"/>
    </row>
    <row r="945" spans="1:26" ht="15">
      <c r="A945" s="116"/>
      <c r="B945" s="988"/>
      <c r="C945" s="116"/>
      <c r="D945" s="116"/>
      <c r="E945" s="116"/>
      <c r="F945" s="116"/>
      <c r="G945" s="116"/>
      <c r="H945" s="116"/>
      <c r="I945" s="116"/>
      <c r="J945" s="116"/>
      <c r="K945" s="116"/>
      <c r="L945" s="116"/>
      <c r="M945" s="116"/>
      <c r="N945" s="116"/>
      <c r="O945" s="116"/>
      <c r="P945" s="116"/>
      <c r="Q945" s="116"/>
      <c r="R945" s="116"/>
      <c r="S945" s="116"/>
      <c r="T945" s="116"/>
      <c r="U945" s="116"/>
      <c r="V945" s="116"/>
      <c r="W945" s="116"/>
      <c r="X945" s="116"/>
      <c r="Y945" s="116"/>
      <c r="Z945" s="116"/>
    </row>
    <row r="946" spans="1:26" ht="15">
      <c r="A946" s="116"/>
      <c r="B946" s="988"/>
      <c r="C946" s="116"/>
      <c r="D946" s="116"/>
      <c r="E946" s="116"/>
      <c r="F946" s="116"/>
      <c r="G946" s="116"/>
      <c r="H946" s="116"/>
      <c r="I946" s="116"/>
      <c r="J946" s="116"/>
      <c r="K946" s="116"/>
      <c r="L946" s="116"/>
      <c r="M946" s="116"/>
      <c r="N946" s="116"/>
      <c r="O946" s="116"/>
      <c r="P946" s="116"/>
      <c r="Q946" s="116"/>
      <c r="R946" s="116"/>
      <c r="S946" s="116"/>
      <c r="T946" s="116"/>
      <c r="U946" s="116"/>
      <c r="V946" s="116"/>
      <c r="W946" s="116"/>
      <c r="X946" s="116"/>
      <c r="Y946" s="116"/>
      <c r="Z946" s="116"/>
    </row>
    <row r="947" spans="1:26" ht="15">
      <c r="A947" s="116"/>
      <c r="B947" s="988"/>
      <c r="C947" s="116"/>
      <c r="D947" s="116"/>
      <c r="E947" s="116"/>
      <c r="F947" s="116"/>
      <c r="G947" s="116"/>
      <c r="H947" s="116"/>
      <c r="I947" s="116"/>
      <c r="J947" s="116"/>
      <c r="K947" s="116"/>
      <c r="L947" s="116"/>
      <c r="M947" s="116"/>
      <c r="N947" s="116"/>
      <c r="O947" s="116"/>
      <c r="P947" s="116"/>
      <c r="Q947" s="116"/>
      <c r="R947" s="116"/>
      <c r="S947" s="116"/>
      <c r="T947" s="116"/>
      <c r="U947" s="116"/>
      <c r="V947" s="116"/>
      <c r="W947" s="116"/>
      <c r="X947" s="116"/>
      <c r="Y947" s="116"/>
      <c r="Z947" s="116"/>
    </row>
    <row r="948" spans="1:26" ht="15">
      <c r="A948" s="116"/>
      <c r="B948" s="988"/>
      <c r="C948" s="116"/>
      <c r="D948" s="116"/>
      <c r="E948" s="116"/>
      <c r="F948" s="116"/>
      <c r="G948" s="116"/>
      <c r="H948" s="116"/>
      <c r="I948" s="116"/>
      <c r="J948" s="116"/>
      <c r="K948" s="116"/>
      <c r="L948" s="116"/>
      <c r="M948" s="116"/>
      <c r="N948" s="116"/>
      <c r="O948" s="116"/>
      <c r="P948" s="116"/>
      <c r="Q948" s="116"/>
      <c r="R948" s="116"/>
      <c r="S948" s="116"/>
      <c r="T948" s="116"/>
      <c r="U948" s="116"/>
      <c r="V948" s="116"/>
      <c r="W948" s="116"/>
      <c r="X948" s="116"/>
      <c r="Y948" s="116"/>
      <c r="Z948" s="116"/>
    </row>
    <row r="949" spans="1:26" ht="15">
      <c r="A949" s="116"/>
      <c r="B949" s="988"/>
      <c r="C949" s="116"/>
      <c r="D949" s="116"/>
      <c r="E949" s="116"/>
      <c r="F949" s="116"/>
      <c r="G949" s="116"/>
      <c r="H949" s="116"/>
      <c r="I949" s="116"/>
      <c r="J949" s="116"/>
      <c r="K949" s="116"/>
      <c r="L949" s="116"/>
      <c r="M949" s="116"/>
      <c r="N949" s="116"/>
      <c r="O949" s="116"/>
      <c r="P949" s="116"/>
      <c r="Q949" s="116"/>
      <c r="R949" s="116"/>
      <c r="S949" s="116"/>
      <c r="T949" s="116"/>
      <c r="U949" s="116"/>
      <c r="V949" s="116"/>
      <c r="W949" s="116"/>
      <c r="X949" s="116"/>
      <c r="Y949" s="116"/>
      <c r="Z949" s="116"/>
    </row>
    <row r="950" spans="1:26" ht="15">
      <c r="A950" s="116"/>
      <c r="B950" s="988"/>
      <c r="C950" s="116"/>
      <c r="D950" s="116"/>
      <c r="E950" s="116"/>
      <c r="F950" s="116"/>
      <c r="G950" s="116"/>
      <c r="H950" s="116"/>
      <c r="I950" s="116"/>
      <c r="J950" s="116"/>
      <c r="K950" s="116"/>
      <c r="L950" s="116"/>
      <c r="M950" s="116"/>
      <c r="N950" s="116"/>
      <c r="O950" s="116"/>
      <c r="P950" s="116"/>
      <c r="Q950" s="116"/>
      <c r="R950" s="116"/>
      <c r="S950" s="116"/>
      <c r="T950" s="116"/>
      <c r="U950" s="116"/>
      <c r="V950" s="116"/>
      <c r="W950" s="116"/>
      <c r="X950" s="116"/>
      <c r="Y950" s="116"/>
      <c r="Z950" s="116"/>
    </row>
    <row r="951" spans="1:26" ht="15">
      <c r="A951" s="116"/>
      <c r="B951" s="988"/>
      <c r="C951" s="116"/>
      <c r="D951" s="116"/>
      <c r="E951" s="116"/>
      <c r="F951" s="116"/>
      <c r="G951" s="116"/>
      <c r="H951" s="116"/>
      <c r="I951" s="116"/>
      <c r="J951" s="116"/>
      <c r="K951" s="116"/>
      <c r="L951" s="116"/>
      <c r="M951" s="116"/>
      <c r="N951" s="116"/>
      <c r="O951" s="116"/>
      <c r="P951" s="116"/>
      <c r="Q951" s="116"/>
      <c r="R951" s="116"/>
      <c r="S951" s="116"/>
      <c r="T951" s="116"/>
      <c r="U951" s="116"/>
      <c r="V951" s="116"/>
      <c r="W951" s="116"/>
      <c r="X951" s="116"/>
      <c r="Y951" s="116"/>
      <c r="Z951" s="116"/>
    </row>
    <row r="952" spans="1:26" ht="15">
      <c r="A952" s="116"/>
      <c r="B952" s="988"/>
      <c r="C952" s="116"/>
      <c r="D952" s="116"/>
      <c r="E952" s="116"/>
      <c r="F952" s="116"/>
      <c r="G952" s="116"/>
      <c r="H952" s="116"/>
      <c r="I952" s="116"/>
      <c r="J952" s="116"/>
      <c r="K952" s="116"/>
      <c r="L952" s="116"/>
      <c r="M952" s="116"/>
      <c r="N952" s="116"/>
      <c r="O952" s="116"/>
      <c r="P952" s="116"/>
      <c r="Q952" s="116"/>
      <c r="R952" s="116"/>
      <c r="S952" s="116"/>
      <c r="T952" s="116"/>
      <c r="U952" s="116"/>
      <c r="V952" s="116"/>
      <c r="W952" s="116"/>
      <c r="X952" s="116"/>
      <c r="Y952" s="116"/>
      <c r="Z952" s="116"/>
    </row>
    <row r="953" spans="1:26" ht="15">
      <c r="A953" s="116"/>
      <c r="B953" s="988"/>
      <c r="C953" s="116"/>
      <c r="D953" s="116"/>
      <c r="E953" s="116"/>
      <c r="F953" s="116"/>
      <c r="G953" s="116"/>
      <c r="H953" s="116"/>
      <c r="I953" s="116"/>
      <c r="J953" s="116"/>
      <c r="K953" s="116"/>
      <c r="L953" s="116"/>
      <c r="M953" s="116"/>
      <c r="N953" s="116"/>
      <c r="O953" s="116"/>
      <c r="P953" s="116"/>
      <c r="Q953" s="116"/>
      <c r="R953" s="116"/>
      <c r="S953" s="116"/>
      <c r="T953" s="116"/>
      <c r="U953" s="116"/>
      <c r="V953" s="116"/>
      <c r="W953" s="116"/>
      <c r="X953" s="116"/>
      <c r="Y953" s="116"/>
      <c r="Z953" s="116"/>
    </row>
    <row r="954" spans="1:26" ht="15">
      <c r="A954" s="116"/>
      <c r="B954" s="988"/>
      <c r="C954" s="116"/>
      <c r="D954" s="116"/>
      <c r="E954" s="116"/>
      <c r="F954" s="116"/>
      <c r="G954" s="116"/>
      <c r="H954" s="116"/>
      <c r="I954" s="116"/>
      <c r="J954" s="116"/>
      <c r="K954" s="116"/>
      <c r="L954" s="116"/>
      <c r="M954" s="116"/>
      <c r="N954" s="116"/>
      <c r="O954" s="116"/>
      <c r="P954" s="116"/>
      <c r="Q954" s="116"/>
      <c r="R954" s="116"/>
      <c r="S954" s="116"/>
      <c r="T954" s="116"/>
      <c r="U954" s="116"/>
      <c r="V954" s="116"/>
      <c r="W954" s="116"/>
      <c r="X954" s="116"/>
      <c r="Y954" s="116"/>
      <c r="Z954" s="116"/>
    </row>
    <row r="955" spans="1:26" ht="15">
      <c r="A955" s="116"/>
      <c r="B955" s="988"/>
      <c r="C955" s="116"/>
      <c r="D955" s="116"/>
      <c r="E955" s="116"/>
      <c r="F955" s="116"/>
      <c r="G955" s="116"/>
      <c r="H955" s="116"/>
      <c r="I955" s="116"/>
      <c r="J955" s="116"/>
      <c r="K955" s="116"/>
      <c r="L955" s="116"/>
      <c r="M955" s="116"/>
      <c r="N955" s="116"/>
      <c r="O955" s="116"/>
      <c r="P955" s="116"/>
      <c r="Q955" s="116"/>
      <c r="R955" s="116"/>
      <c r="S955" s="116"/>
      <c r="T955" s="116"/>
      <c r="U955" s="116"/>
      <c r="V955" s="116"/>
      <c r="W955" s="116"/>
      <c r="X955" s="116"/>
      <c r="Y955" s="116"/>
      <c r="Z955" s="116"/>
    </row>
    <row r="956" spans="1:26" ht="15">
      <c r="A956" s="116"/>
      <c r="B956" s="988"/>
      <c r="C956" s="116"/>
      <c r="D956" s="116"/>
      <c r="E956" s="116"/>
      <c r="F956" s="116"/>
      <c r="G956" s="116"/>
      <c r="H956" s="116"/>
      <c r="I956" s="116"/>
      <c r="J956" s="116"/>
      <c r="K956" s="116"/>
      <c r="L956" s="116"/>
      <c r="M956" s="116"/>
      <c r="N956" s="116"/>
      <c r="O956" s="116"/>
      <c r="P956" s="116"/>
      <c r="Q956" s="116"/>
      <c r="R956" s="116"/>
      <c r="S956" s="116"/>
      <c r="T956" s="116"/>
      <c r="U956" s="116"/>
      <c r="V956" s="116"/>
      <c r="W956" s="116"/>
      <c r="X956" s="116"/>
      <c r="Y956" s="116"/>
      <c r="Z956" s="116"/>
    </row>
    <row r="957" spans="1:26" ht="15">
      <c r="A957" s="116"/>
      <c r="B957" s="988"/>
      <c r="C957" s="116"/>
      <c r="D957" s="116"/>
      <c r="E957" s="116"/>
      <c r="F957" s="116"/>
      <c r="G957" s="116"/>
      <c r="H957" s="116"/>
      <c r="I957" s="116"/>
      <c r="J957" s="116"/>
      <c r="K957" s="116"/>
      <c r="L957" s="116"/>
      <c r="M957" s="116"/>
      <c r="N957" s="116"/>
      <c r="O957" s="116"/>
      <c r="P957" s="116"/>
      <c r="Q957" s="116"/>
      <c r="R957" s="116"/>
      <c r="S957" s="116"/>
      <c r="T957" s="116"/>
      <c r="U957" s="116"/>
      <c r="V957" s="116"/>
      <c r="W957" s="116"/>
      <c r="X957" s="116"/>
      <c r="Y957" s="116"/>
      <c r="Z957" s="116"/>
    </row>
    <row r="958" spans="1:26" ht="15">
      <c r="A958" s="116"/>
      <c r="B958" s="988"/>
      <c r="C958" s="116"/>
      <c r="D958" s="116"/>
      <c r="E958" s="116"/>
      <c r="F958" s="116"/>
      <c r="G958" s="116"/>
      <c r="H958" s="116"/>
      <c r="I958" s="116"/>
      <c r="J958" s="116"/>
      <c r="K958" s="116"/>
      <c r="L958" s="116"/>
      <c r="M958" s="116"/>
      <c r="N958" s="116"/>
      <c r="O958" s="116"/>
      <c r="P958" s="116"/>
      <c r="Q958" s="116"/>
      <c r="R958" s="116"/>
      <c r="S958" s="116"/>
      <c r="T958" s="116"/>
      <c r="U958" s="116"/>
      <c r="V958" s="116"/>
      <c r="W958" s="116"/>
      <c r="X958" s="116"/>
      <c r="Y958" s="116"/>
      <c r="Z958" s="116"/>
    </row>
    <row r="959" spans="1:26" ht="15">
      <c r="A959" s="116"/>
      <c r="B959" s="988"/>
      <c r="C959" s="116"/>
      <c r="D959" s="116"/>
      <c r="E959" s="116"/>
      <c r="F959" s="116"/>
      <c r="G959" s="116"/>
      <c r="H959" s="116"/>
      <c r="I959" s="116"/>
      <c r="J959" s="116"/>
      <c r="K959" s="116"/>
      <c r="L959" s="116"/>
      <c r="M959" s="116"/>
      <c r="N959" s="116"/>
      <c r="O959" s="116"/>
      <c r="P959" s="116"/>
      <c r="Q959" s="116"/>
      <c r="R959" s="116"/>
      <c r="S959" s="116"/>
      <c r="T959" s="116"/>
      <c r="U959" s="116"/>
      <c r="V959" s="116"/>
      <c r="W959" s="116"/>
      <c r="X959" s="116"/>
      <c r="Y959" s="116"/>
      <c r="Z959" s="116"/>
    </row>
    <row r="960" spans="1:26" ht="15">
      <c r="A960" s="116"/>
      <c r="B960" s="988"/>
      <c r="C960" s="116"/>
      <c r="D960" s="116"/>
      <c r="E960" s="116"/>
      <c r="F960" s="116"/>
      <c r="G960" s="116"/>
      <c r="H960" s="116"/>
      <c r="I960" s="116"/>
      <c r="J960" s="116"/>
      <c r="K960" s="116"/>
      <c r="L960" s="116"/>
      <c r="M960" s="116"/>
      <c r="N960" s="116"/>
      <c r="O960" s="116"/>
      <c r="P960" s="116"/>
      <c r="Q960" s="116"/>
      <c r="R960" s="116"/>
      <c r="S960" s="116"/>
      <c r="T960" s="116"/>
      <c r="U960" s="116"/>
      <c r="V960" s="116"/>
      <c r="W960" s="116"/>
      <c r="X960" s="116"/>
      <c r="Y960" s="116"/>
      <c r="Z960" s="116"/>
    </row>
    <row r="961" spans="1:26" ht="15">
      <c r="A961" s="116"/>
      <c r="B961" s="988"/>
      <c r="C961" s="116"/>
      <c r="D961" s="116"/>
      <c r="E961" s="116"/>
      <c r="F961" s="116"/>
      <c r="G961" s="116"/>
      <c r="H961" s="116"/>
      <c r="I961" s="116"/>
      <c r="J961" s="116"/>
      <c r="K961" s="116"/>
      <c r="L961" s="116"/>
      <c r="M961" s="116"/>
      <c r="N961" s="116"/>
      <c r="O961" s="116"/>
      <c r="P961" s="116"/>
      <c r="Q961" s="116"/>
      <c r="R961" s="116"/>
      <c r="S961" s="116"/>
      <c r="T961" s="116"/>
      <c r="U961" s="116"/>
      <c r="V961" s="116"/>
      <c r="W961" s="116"/>
      <c r="X961" s="116"/>
      <c r="Y961" s="116"/>
      <c r="Z961" s="116"/>
    </row>
    <row r="962" spans="1:26" ht="15">
      <c r="A962" s="116"/>
      <c r="B962" s="988"/>
      <c r="C962" s="116"/>
      <c r="D962" s="116"/>
      <c r="E962" s="116"/>
      <c r="F962" s="116"/>
      <c r="G962" s="116"/>
      <c r="H962" s="116"/>
      <c r="I962" s="116"/>
      <c r="J962" s="116"/>
      <c r="K962" s="116"/>
      <c r="L962" s="116"/>
      <c r="M962" s="116"/>
      <c r="N962" s="116"/>
      <c r="O962" s="116"/>
      <c r="P962" s="116"/>
      <c r="Q962" s="116"/>
      <c r="R962" s="116"/>
      <c r="S962" s="116"/>
      <c r="T962" s="116"/>
      <c r="U962" s="116"/>
      <c r="V962" s="116"/>
      <c r="W962" s="116"/>
      <c r="X962" s="116"/>
      <c r="Y962" s="116"/>
      <c r="Z962" s="116"/>
    </row>
    <row r="963" spans="1:26" ht="15">
      <c r="A963" s="116"/>
      <c r="B963" s="988"/>
      <c r="C963" s="116"/>
      <c r="D963" s="116"/>
      <c r="E963" s="116"/>
      <c r="F963" s="116"/>
      <c r="G963" s="116"/>
      <c r="H963" s="116"/>
      <c r="I963" s="116"/>
      <c r="J963" s="116"/>
      <c r="K963" s="116"/>
      <c r="L963" s="116"/>
      <c r="M963" s="116"/>
      <c r="N963" s="116"/>
      <c r="O963" s="116"/>
      <c r="P963" s="116"/>
      <c r="Q963" s="116"/>
      <c r="R963" s="116"/>
      <c r="S963" s="116"/>
      <c r="T963" s="116"/>
      <c r="U963" s="116"/>
      <c r="V963" s="116"/>
      <c r="W963" s="116"/>
      <c r="X963" s="116"/>
      <c r="Y963" s="116"/>
      <c r="Z963" s="116"/>
    </row>
    <row r="964" spans="1:26" ht="15">
      <c r="A964" s="116"/>
      <c r="B964" s="988"/>
      <c r="C964" s="116"/>
      <c r="D964" s="116"/>
      <c r="E964" s="116"/>
      <c r="F964" s="116"/>
      <c r="G964" s="116"/>
      <c r="H964" s="116"/>
      <c r="I964" s="116"/>
      <c r="J964" s="116"/>
      <c r="K964" s="116"/>
      <c r="L964" s="116"/>
      <c r="M964" s="116"/>
      <c r="N964" s="116"/>
      <c r="O964" s="116"/>
      <c r="P964" s="116"/>
      <c r="Q964" s="116"/>
      <c r="R964" s="116"/>
      <c r="S964" s="116"/>
      <c r="T964" s="116"/>
      <c r="U964" s="116"/>
      <c r="V964" s="116"/>
      <c r="W964" s="116"/>
      <c r="X964" s="116"/>
      <c r="Y964" s="116"/>
      <c r="Z964" s="116"/>
    </row>
    <row r="965" spans="1:26" ht="15">
      <c r="A965" s="116"/>
      <c r="B965" s="988"/>
      <c r="C965" s="116"/>
      <c r="D965" s="116"/>
      <c r="E965" s="116"/>
      <c r="F965" s="116"/>
      <c r="G965" s="116"/>
      <c r="H965" s="116"/>
      <c r="I965" s="116"/>
      <c r="J965" s="116"/>
      <c r="K965" s="116"/>
      <c r="L965" s="116"/>
      <c r="M965" s="116"/>
      <c r="N965" s="116"/>
      <c r="O965" s="116"/>
      <c r="P965" s="116"/>
      <c r="Q965" s="116"/>
      <c r="R965" s="116"/>
      <c r="S965" s="116"/>
      <c r="T965" s="116"/>
      <c r="U965" s="116"/>
      <c r="V965" s="116"/>
      <c r="W965" s="116"/>
      <c r="X965" s="116"/>
      <c r="Y965" s="116"/>
      <c r="Z965" s="116"/>
    </row>
    <row r="966" spans="1:26" ht="15">
      <c r="A966" s="116"/>
      <c r="B966" s="988"/>
      <c r="C966" s="116"/>
      <c r="D966" s="116"/>
      <c r="E966" s="116"/>
      <c r="F966" s="116"/>
      <c r="G966" s="116"/>
      <c r="H966" s="116"/>
      <c r="I966" s="116"/>
      <c r="J966" s="116"/>
      <c r="K966" s="116"/>
      <c r="L966" s="116"/>
      <c r="M966" s="116"/>
      <c r="N966" s="116"/>
      <c r="O966" s="116"/>
      <c r="P966" s="116"/>
      <c r="Q966" s="116"/>
      <c r="R966" s="116"/>
      <c r="S966" s="116"/>
      <c r="T966" s="116"/>
      <c r="U966" s="116"/>
      <c r="V966" s="116"/>
      <c r="W966" s="116"/>
      <c r="X966" s="116"/>
      <c r="Y966" s="116"/>
      <c r="Z966" s="116"/>
    </row>
    <row r="967" spans="1:26" ht="15">
      <c r="A967" s="116"/>
      <c r="B967" s="988"/>
      <c r="C967" s="116"/>
      <c r="D967" s="116"/>
      <c r="E967" s="116"/>
      <c r="F967" s="116"/>
      <c r="G967" s="116"/>
      <c r="H967" s="116"/>
      <c r="I967" s="116"/>
      <c r="J967" s="116"/>
      <c r="K967" s="116"/>
      <c r="L967" s="116"/>
      <c r="M967" s="116"/>
      <c r="N967" s="116"/>
      <c r="O967" s="116"/>
      <c r="P967" s="116"/>
      <c r="Q967" s="116"/>
      <c r="R967" s="116"/>
      <c r="S967" s="116"/>
      <c r="T967" s="116"/>
      <c r="U967" s="116"/>
      <c r="V967" s="116"/>
      <c r="W967" s="116"/>
      <c r="X967" s="116"/>
      <c r="Y967" s="116"/>
      <c r="Z967" s="116"/>
    </row>
    <row r="968" spans="1:26" ht="15">
      <c r="A968" s="116"/>
      <c r="B968" s="988"/>
      <c r="C968" s="116"/>
      <c r="D968" s="116"/>
      <c r="E968" s="116"/>
      <c r="F968" s="116"/>
      <c r="G968" s="116"/>
      <c r="H968" s="116"/>
      <c r="I968" s="116"/>
      <c r="J968" s="116"/>
      <c r="K968" s="116"/>
      <c r="L968" s="116"/>
      <c r="M968" s="116"/>
      <c r="N968" s="116"/>
      <c r="O968" s="116"/>
      <c r="P968" s="116"/>
      <c r="Q968" s="116"/>
      <c r="R968" s="116"/>
      <c r="S968" s="116"/>
      <c r="T968" s="116"/>
      <c r="U968" s="116"/>
      <c r="V968" s="116"/>
      <c r="W968" s="116"/>
      <c r="X968" s="116"/>
      <c r="Y968" s="116"/>
      <c r="Z968" s="116"/>
    </row>
    <row r="969" spans="1:26" ht="15">
      <c r="A969" s="116"/>
      <c r="B969" s="988"/>
      <c r="C969" s="116"/>
      <c r="D969" s="116"/>
      <c r="E969" s="116"/>
      <c r="F969" s="116"/>
      <c r="G969" s="116"/>
      <c r="H969" s="116"/>
      <c r="I969" s="116"/>
      <c r="J969" s="116"/>
      <c r="K969" s="116"/>
      <c r="L969" s="116"/>
      <c r="M969" s="116"/>
      <c r="N969" s="116"/>
      <c r="O969" s="116"/>
      <c r="P969" s="116"/>
      <c r="Q969" s="116"/>
      <c r="R969" s="116"/>
      <c r="S969" s="116"/>
      <c r="T969" s="116"/>
      <c r="U969" s="116"/>
      <c r="V969" s="116"/>
      <c r="W969" s="116"/>
      <c r="X969" s="116"/>
      <c r="Y969" s="116"/>
      <c r="Z969" s="116"/>
    </row>
    <row r="970" spans="1:26" ht="15">
      <c r="A970" s="116"/>
      <c r="B970" s="988"/>
      <c r="C970" s="116"/>
      <c r="D970" s="116"/>
      <c r="E970" s="116"/>
      <c r="F970" s="116"/>
      <c r="G970" s="116"/>
      <c r="H970" s="116"/>
      <c r="I970" s="116"/>
      <c r="J970" s="116"/>
      <c r="K970" s="116"/>
      <c r="L970" s="116"/>
      <c r="M970" s="116"/>
      <c r="N970" s="116"/>
      <c r="O970" s="116"/>
      <c r="P970" s="116"/>
      <c r="Q970" s="116"/>
      <c r="R970" s="116"/>
      <c r="S970" s="116"/>
      <c r="T970" s="116"/>
      <c r="U970" s="116"/>
      <c r="V970" s="116"/>
      <c r="W970" s="116"/>
      <c r="X970" s="116"/>
      <c r="Y970" s="116"/>
      <c r="Z970" s="116"/>
    </row>
    <row r="971" spans="1:26" ht="15">
      <c r="A971" s="116"/>
      <c r="B971" s="988"/>
      <c r="C971" s="116"/>
      <c r="D971" s="116"/>
      <c r="E971" s="116"/>
      <c r="F971" s="116"/>
      <c r="G971" s="116"/>
      <c r="H971" s="116"/>
      <c r="I971" s="116"/>
      <c r="J971" s="116"/>
      <c r="K971" s="116"/>
      <c r="L971" s="116"/>
      <c r="M971" s="116"/>
      <c r="N971" s="116"/>
      <c r="O971" s="116"/>
      <c r="P971" s="116"/>
      <c r="Q971" s="116"/>
      <c r="R971" s="116"/>
      <c r="S971" s="116"/>
      <c r="T971" s="116"/>
      <c r="U971" s="116"/>
      <c r="V971" s="116"/>
      <c r="W971" s="116"/>
      <c r="X971" s="116"/>
      <c r="Y971" s="116"/>
      <c r="Z971" s="116"/>
    </row>
    <row r="972" spans="1:26" ht="15">
      <c r="A972" s="116"/>
      <c r="B972" s="988"/>
      <c r="C972" s="116"/>
      <c r="D972" s="116"/>
      <c r="E972" s="116"/>
      <c r="F972" s="116"/>
      <c r="G972" s="116"/>
      <c r="H972" s="116"/>
      <c r="I972" s="116"/>
      <c r="J972" s="116"/>
      <c r="K972" s="116"/>
      <c r="L972" s="116"/>
      <c r="M972" s="116"/>
      <c r="N972" s="116"/>
      <c r="O972" s="116"/>
      <c r="P972" s="116"/>
      <c r="Q972" s="116"/>
      <c r="R972" s="116"/>
      <c r="S972" s="116"/>
      <c r="T972" s="116"/>
      <c r="U972" s="116"/>
      <c r="V972" s="116"/>
      <c r="W972" s="116"/>
      <c r="X972" s="116"/>
      <c r="Y972" s="116"/>
      <c r="Z972" s="116"/>
    </row>
    <row r="973" spans="1:26" ht="15">
      <c r="A973" s="116"/>
      <c r="B973" s="988"/>
      <c r="C973" s="116"/>
      <c r="D973" s="116"/>
      <c r="E973" s="116"/>
      <c r="F973" s="116"/>
      <c r="G973" s="116"/>
      <c r="H973" s="116"/>
      <c r="I973" s="116"/>
      <c r="J973" s="116"/>
      <c r="K973" s="116"/>
      <c r="L973" s="116"/>
      <c r="M973" s="116"/>
      <c r="N973" s="116"/>
      <c r="O973" s="116"/>
      <c r="P973" s="116"/>
      <c r="Q973" s="116"/>
      <c r="R973" s="116"/>
      <c r="S973" s="116"/>
      <c r="T973" s="116"/>
      <c r="U973" s="116"/>
      <c r="V973" s="116"/>
      <c r="W973" s="116"/>
      <c r="X973" s="116"/>
      <c r="Y973" s="116"/>
      <c r="Z973" s="116"/>
    </row>
    <row r="974" spans="1:26" ht="15">
      <c r="A974" s="116"/>
      <c r="B974" s="988"/>
      <c r="C974" s="116"/>
      <c r="D974" s="116"/>
      <c r="E974" s="116"/>
      <c r="F974" s="116"/>
      <c r="G974" s="116"/>
      <c r="H974" s="116"/>
      <c r="I974" s="116"/>
      <c r="J974" s="116"/>
      <c r="K974" s="116"/>
      <c r="L974" s="116"/>
      <c r="M974" s="116"/>
      <c r="N974" s="116"/>
      <c r="O974" s="116"/>
      <c r="P974" s="116"/>
      <c r="Q974" s="116"/>
      <c r="R974" s="116"/>
      <c r="S974" s="116"/>
      <c r="T974" s="116"/>
      <c r="U974" s="116"/>
      <c r="V974" s="116"/>
      <c r="W974" s="116"/>
      <c r="X974" s="116"/>
      <c r="Y974" s="116"/>
      <c r="Z974" s="116"/>
    </row>
    <row r="975" spans="1:26" ht="15">
      <c r="A975" s="116"/>
      <c r="B975" s="988"/>
      <c r="C975" s="116"/>
      <c r="D975" s="116"/>
      <c r="E975" s="116"/>
      <c r="F975" s="116"/>
      <c r="G975" s="116"/>
      <c r="H975" s="116"/>
      <c r="I975" s="116"/>
      <c r="J975" s="116"/>
      <c r="K975" s="116"/>
      <c r="L975" s="116"/>
      <c r="M975" s="116"/>
      <c r="N975" s="116"/>
      <c r="O975" s="116"/>
      <c r="P975" s="116"/>
      <c r="Q975" s="116"/>
      <c r="R975" s="116"/>
      <c r="S975" s="116"/>
      <c r="T975" s="116"/>
      <c r="U975" s="116"/>
      <c r="V975" s="116"/>
      <c r="W975" s="116"/>
      <c r="X975" s="116"/>
      <c r="Y975" s="116"/>
      <c r="Z975" s="116"/>
    </row>
    <row r="976" spans="1:26" ht="15">
      <c r="A976" s="116"/>
      <c r="B976" s="988"/>
      <c r="C976" s="116"/>
      <c r="D976" s="116"/>
      <c r="E976" s="116"/>
      <c r="F976" s="116"/>
      <c r="G976" s="116"/>
      <c r="H976" s="116"/>
      <c r="I976" s="116"/>
      <c r="J976" s="116"/>
      <c r="K976" s="116"/>
      <c r="L976" s="116"/>
      <c r="M976" s="116"/>
      <c r="N976" s="116"/>
      <c r="O976" s="116"/>
      <c r="P976" s="116"/>
      <c r="Q976" s="116"/>
      <c r="R976" s="116"/>
      <c r="S976" s="116"/>
      <c r="T976" s="116"/>
      <c r="U976" s="116"/>
      <c r="V976" s="116"/>
      <c r="W976" s="116"/>
      <c r="X976" s="116"/>
      <c r="Y976" s="116"/>
      <c r="Z976" s="116"/>
    </row>
    <row r="977" spans="1:26" ht="15">
      <c r="A977" s="116"/>
      <c r="B977" s="988"/>
      <c r="C977" s="116"/>
      <c r="D977" s="116"/>
      <c r="E977" s="116"/>
      <c r="F977" s="116"/>
      <c r="G977" s="116"/>
      <c r="H977" s="116"/>
      <c r="I977" s="116"/>
      <c r="J977" s="116"/>
      <c r="K977" s="116"/>
      <c r="L977" s="116"/>
      <c r="M977" s="116"/>
      <c r="N977" s="116"/>
      <c r="O977" s="116"/>
      <c r="P977" s="116"/>
      <c r="Q977" s="116"/>
      <c r="R977" s="116"/>
      <c r="S977" s="116"/>
      <c r="T977" s="116"/>
      <c r="U977" s="116"/>
      <c r="V977" s="116"/>
      <c r="W977" s="116"/>
      <c r="X977" s="116"/>
      <c r="Y977" s="116"/>
      <c r="Z977" s="116"/>
    </row>
    <row r="978" spans="1:26" ht="15">
      <c r="A978" s="116"/>
      <c r="B978" s="988"/>
      <c r="C978" s="116"/>
      <c r="D978" s="116"/>
      <c r="E978" s="116"/>
      <c r="F978" s="116"/>
      <c r="G978" s="116"/>
      <c r="H978" s="116"/>
      <c r="I978" s="116"/>
      <c r="J978" s="116"/>
      <c r="K978" s="116"/>
      <c r="L978" s="116"/>
      <c r="M978" s="116"/>
      <c r="N978" s="116"/>
      <c r="O978" s="116"/>
      <c r="P978" s="116"/>
      <c r="Q978" s="116"/>
      <c r="R978" s="116"/>
      <c r="S978" s="116"/>
      <c r="T978" s="116"/>
      <c r="U978" s="116"/>
      <c r="V978" s="116"/>
      <c r="W978" s="116"/>
      <c r="X978" s="116"/>
      <c r="Y978" s="116"/>
      <c r="Z978" s="116"/>
    </row>
    <row r="979" spans="1:26" ht="15">
      <c r="A979" s="116"/>
      <c r="B979" s="988"/>
      <c r="C979" s="116"/>
      <c r="D979" s="116"/>
      <c r="E979" s="116"/>
      <c r="F979" s="116"/>
      <c r="G979" s="116"/>
      <c r="H979" s="116"/>
      <c r="I979" s="116"/>
      <c r="J979" s="116"/>
      <c r="K979" s="116"/>
      <c r="L979" s="116"/>
      <c r="M979" s="116"/>
      <c r="N979" s="116"/>
      <c r="O979" s="116"/>
      <c r="P979" s="116"/>
      <c r="Q979" s="116"/>
      <c r="R979" s="116"/>
      <c r="S979" s="116"/>
      <c r="T979" s="116"/>
      <c r="U979" s="116"/>
      <c r="V979" s="116"/>
      <c r="W979" s="116"/>
      <c r="X979" s="116"/>
      <c r="Y979" s="116"/>
      <c r="Z979" s="116"/>
    </row>
    <row r="980" spans="1:26" ht="15">
      <c r="A980" s="116"/>
      <c r="B980" s="988"/>
      <c r="C980" s="116"/>
      <c r="D980" s="116"/>
      <c r="E980" s="116"/>
      <c r="F980" s="116"/>
      <c r="G980" s="116"/>
      <c r="H980" s="116"/>
      <c r="I980" s="116"/>
      <c r="J980" s="116"/>
      <c r="K980" s="116"/>
      <c r="L980" s="116"/>
      <c r="M980" s="116"/>
      <c r="N980" s="116"/>
      <c r="O980" s="116"/>
      <c r="P980" s="116"/>
      <c r="Q980" s="116"/>
      <c r="R980" s="116"/>
      <c r="S980" s="116"/>
      <c r="T980" s="116"/>
      <c r="U980" s="116"/>
      <c r="V980" s="116"/>
      <c r="W980" s="116"/>
      <c r="X980" s="116"/>
      <c r="Y980" s="116"/>
      <c r="Z980" s="116"/>
    </row>
    <row r="981" spans="1:26" ht="15">
      <c r="A981" s="116"/>
      <c r="B981" s="988"/>
      <c r="C981" s="116"/>
      <c r="D981" s="116"/>
      <c r="E981" s="116"/>
      <c r="F981" s="116"/>
      <c r="G981" s="116"/>
      <c r="H981" s="116"/>
      <c r="I981" s="116"/>
      <c r="J981" s="116"/>
      <c r="K981" s="116"/>
      <c r="L981" s="116"/>
      <c r="M981" s="116"/>
      <c r="N981" s="116"/>
      <c r="O981" s="116"/>
      <c r="P981" s="116"/>
      <c r="Q981" s="116"/>
      <c r="R981" s="116"/>
      <c r="S981" s="116"/>
      <c r="T981" s="116"/>
      <c r="U981" s="116"/>
      <c r="V981" s="116"/>
      <c r="W981" s="116"/>
      <c r="X981" s="116"/>
      <c r="Y981" s="116"/>
      <c r="Z981" s="116"/>
    </row>
    <row r="982" spans="1:26" ht="15">
      <c r="A982" s="116"/>
      <c r="B982" s="988"/>
      <c r="C982" s="116"/>
      <c r="D982" s="116"/>
      <c r="E982" s="116"/>
      <c r="F982" s="116"/>
      <c r="G982" s="116"/>
      <c r="H982" s="116"/>
      <c r="I982" s="116"/>
      <c r="J982" s="116"/>
      <c r="K982" s="116"/>
      <c r="L982" s="116"/>
      <c r="M982" s="116"/>
      <c r="N982" s="116"/>
      <c r="O982" s="116"/>
      <c r="P982" s="116"/>
      <c r="Q982" s="116"/>
      <c r="R982" s="116"/>
      <c r="S982" s="116"/>
      <c r="T982" s="116"/>
      <c r="U982" s="116"/>
      <c r="V982" s="116"/>
      <c r="W982" s="116"/>
      <c r="X982" s="116"/>
      <c r="Y982" s="116"/>
      <c r="Z982" s="116"/>
    </row>
    <row r="983" spans="1:26" ht="15">
      <c r="A983" s="116"/>
      <c r="B983" s="988"/>
      <c r="C983" s="116"/>
      <c r="D983" s="116"/>
      <c r="E983" s="116"/>
      <c r="F983" s="116"/>
      <c r="G983" s="116"/>
      <c r="H983" s="116"/>
      <c r="I983" s="116"/>
      <c r="J983" s="116"/>
      <c r="K983" s="116"/>
      <c r="L983" s="116"/>
      <c r="M983" s="116"/>
      <c r="N983" s="116"/>
      <c r="O983" s="116"/>
      <c r="P983" s="116"/>
      <c r="Q983" s="116"/>
      <c r="R983" s="116"/>
      <c r="S983" s="116"/>
      <c r="T983" s="116"/>
      <c r="U983" s="116"/>
      <c r="V983" s="116"/>
      <c r="W983" s="116"/>
      <c r="X983" s="116"/>
      <c r="Y983" s="116"/>
      <c r="Z983" s="116"/>
    </row>
    <row r="984" spans="1:26" ht="15">
      <c r="A984" s="116"/>
      <c r="B984" s="988"/>
      <c r="C984" s="116"/>
      <c r="D984" s="116"/>
      <c r="E984" s="116"/>
      <c r="F984" s="116"/>
      <c r="G984" s="116"/>
      <c r="H984" s="116"/>
      <c r="I984" s="116"/>
      <c r="J984" s="116"/>
      <c r="K984" s="116"/>
      <c r="L984" s="116"/>
      <c r="M984" s="116"/>
      <c r="N984" s="116"/>
      <c r="O984" s="116"/>
      <c r="P984" s="116"/>
      <c r="Q984" s="116"/>
      <c r="R984" s="116"/>
      <c r="S984" s="116"/>
      <c r="T984" s="116"/>
      <c r="U984" s="116"/>
      <c r="V984" s="116"/>
      <c r="W984" s="116"/>
      <c r="X984" s="116"/>
      <c r="Y984" s="116"/>
      <c r="Z984" s="116"/>
    </row>
    <row r="985" spans="1:26" ht="15">
      <c r="A985" s="116"/>
      <c r="B985" s="988"/>
      <c r="C985" s="116"/>
      <c r="D985" s="116"/>
      <c r="E985" s="116"/>
      <c r="F985" s="116"/>
      <c r="G985" s="116"/>
      <c r="H985" s="116"/>
      <c r="I985" s="116"/>
      <c r="J985" s="116"/>
      <c r="K985" s="116"/>
      <c r="L985" s="116"/>
      <c r="M985" s="116"/>
      <c r="N985" s="116"/>
      <c r="O985" s="116"/>
      <c r="P985" s="116"/>
      <c r="Q985" s="116"/>
      <c r="R985" s="116"/>
      <c r="S985" s="116"/>
      <c r="T985" s="116"/>
      <c r="U985" s="116"/>
      <c r="V985" s="116"/>
      <c r="W985" s="116"/>
      <c r="X985" s="116"/>
      <c r="Y985" s="116"/>
      <c r="Z985" s="116"/>
    </row>
    <row r="986" spans="1:26" ht="15">
      <c r="A986" s="116"/>
      <c r="B986" s="988"/>
      <c r="C986" s="116"/>
      <c r="D986" s="116"/>
      <c r="E986" s="116"/>
      <c r="F986" s="116"/>
      <c r="G986" s="116"/>
      <c r="H986" s="116"/>
      <c r="I986" s="116"/>
      <c r="J986" s="116"/>
      <c r="K986" s="116"/>
      <c r="L986" s="116"/>
      <c r="M986" s="116"/>
      <c r="N986" s="116"/>
      <c r="O986" s="116"/>
      <c r="P986" s="116"/>
      <c r="Q986" s="116"/>
      <c r="R986" s="116"/>
      <c r="S986" s="116"/>
      <c r="T986" s="116"/>
      <c r="U986" s="116"/>
      <c r="V986" s="116"/>
      <c r="W986" s="116"/>
      <c r="X986" s="116"/>
      <c r="Y986" s="116"/>
      <c r="Z986" s="116"/>
    </row>
    <row r="987" spans="1:26" ht="15">
      <c r="A987" s="116"/>
      <c r="B987" s="988"/>
      <c r="C987" s="116"/>
      <c r="D987" s="116"/>
      <c r="E987" s="116"/>
      <c r="F987" s="116"/>
      <c r="G987" s="116"/>
      <c r="H987" s="116"/>
      <c r="I987" s="116"/>
      <c r="J987" s="116"/>
      <c r="K987" s="116"/>
      <c r="L987" s="116"/>
      <c r="M987" s="116"/>
      <c r="N987" s="116"/>
      <c r="O987" s="116"/>
      <c r="P987" s="116"/>
      <c r="Q987" s="116"/>
      <c r="R987" s="116"/>
      <c r="S987" s="116"/>
      <c r="T987" s="116"/>
      <c r="U987" s="116"/>
      <c r="V987" s="116"/>
      <c r="W987" s="116"/>
      <c r="X987" s="116"/>
      <c r="Y987" s="116"/>
      <c r="Z987" s="116"/>
    </row>
    <row r="988" spans="1:26" ht="15">
      <c r="A988" s="116"/>
      <c r="B988" s="988"/>
      <c r="C988" s="116"/>
      <c r="D988" s="116"/>
      <c r="E988" s="116"/>
      <c r="F988" s="116"/>
      <c r="G988" s="116"/>
      <c r="H988" s="116"/>
      <c r="I988" s="116"/>
      <c r="J988" s="116"/>
      <c r="K988" s="116"/>
      <c r="L988" s="116"/>
      <c r="M988" s="116"/>
      <c r="N988" s="116"/>
      <c r="O988" s="116"/>
      <c r="P988" s="116"/>
      <c r="Q988" s="116"/>
      <c r="R988" s="116"/>
      <c r="S988" s="116"/>
      <c r="T988" s="116"/>
      <c r="U988" s="116"/>
      <c r="V988" s="116"/>
      <c r="W988" s="116"/>
      <c r="X988" s="116"/>
      <c r="Y988" s="116"/>
      <c r="Z988" s="116"/>
    </row>
    <row r="989" spans="1:26" ht="15">
      <c r="A989" s="116"/>
      <c r="B989" s="988"/>
      <c r="C989" s="116"/>
      <c r="D989" s="116"/>
      <c r="E989" s="116"/>
      <c r="F989" s="116"/>
      <c r="G989" s="116"/>
      <c r="H989" s="116"/>
      <c r="I989" s="116"/>
      <c r="J989" s="116"/>
      <c r="K989" s="116"/>
      <c r="L989" s="116"/>
      <c r="M989" s="116"/>
      <c r="N989" s="116"/>
      <c r="O989" s="116"/>
      <c r="P989" s="116"/>
      <c r="Q989" s="116"/>
      <c r="R989" s="116"/>
      <c r="S989" s="116"/>
      <c r="T989" s="116"/>
      <c r="U989" s="116"/>
      <c r="V989" s="116"/>
      <c r="W989" s="116"/>
      <c r="X989" s="116"/>
      <c r="Y989" s="116"/>
      <c r="Z989" s="116"/>
    </row>
    <row r="990" spans="1:26" ht="15">
      <c r="A990" s="116"/>
      <c r="B990" s="988"/>
      <c r="C990" s="116"/>
      <c r="D990" s="116"/>
      <c r="E990" s="116"/>
      <c r="F990" s="116"/>
      <c r="G990" s="116"/>
      <c r="H990" s="116"/>
      <c r="I990" s="116"/>
      <c r="J990" s="116"/>
      <c r="K990" s="116"/>
      <c r="L990" s="116"/>
      <c r="M990" s="116"/>
      <c r="N990" s="116"/>
      <c r="O990" s="116"/>
      <c r="P990" s="116"/>
      <c r="Q990" s="116"/>
      <c r="R990" s="116"/>
      <c r="S990" s="116"/>
      <c r="T990" s="116"/>
      <c r="U990" s="116"/>
      <c r="V990" s="116"/>
      <c r="W990" s="116"/>
      <c r="X990" s="116"/>
      <c r="Y990" s="116"/>
      <c r="Z990" s="116"/>
    </row>
    <row r="991" spans="1:26" ht="15">
      <c r="A991" s="116"/>
      <c r="B991" s="988"/>
      <c r="C991" s="116"/>
      <c r="D991" s="116"/>
      <c r="E991" s="116"/>
      <c r="F991" s="116"/>
      <c r="G991" s="116"/>
      <c r="H991" s="116"/>
      <c r="I991" s="116"/>
      <c r="J991" s="116"/>
      <c r="K991" s="116"/>
      <c r="L991" s="116"/>
      <c r="M991" s="116"/>
      <c r="N991" s="116"/>
      <c r="O991" s="116"/>
      <c r="P991" s="116"/>
      <c r="Q991" s="116"/>
      <c r="R991" s="116"/>
      <c r="S991" s="116"/>
      <c r="T991" s="116"/>
      <c r="U991" s="116"/>
      <c r="V991" s="116"/>
      <c r="W991" s="116"/>
      <c r="X991" s="116"/>
      <c r="Y991" s="116"/>
      <c r="Z991" s="116"/>
    </row>
    <row r="992" spans="1:26" ht="15">
      <c r="A992" s="116"/>
      <c r="B992" s="988"/>
      <c r="C992" s="116"/>
      <c r="D992" s="116"/>
      <c r="E992" s="116"/>
      <c r="F992" s="116"/>
      <c r="G992" s="116"/>
      <c r="H992" s="116"/>
      <c r="I992" s="116"/>
      <c r="J992" s="116"/>
      <c r="K992" s="116"/>
      <c r="L992" s="116"/>
      <c r="M992" s="116"/>
      <c r="N992" s="116"/>
      <c r="O992" s="116"/>
      <c r="P992" s="116"/>
      <c r="Q992" s="116"/>
      <c r="R992" s="116"/>
      <c r="S992" s="116"/>
      <c r="T992" s="116"/>
      <c r="U992" s="116"/>
      <c r="V992" s="116"/>
      <c r="W992" s="116"/>
      <c r="X992" s="116"/>
      <c r="Y992" s="116"/>
      <c r="Z992" s="116"/>
    </row>
    <row r="993" spans="1:26" ht="15">
      <c r="A993" s="116"/>
      <c r="B993" s="988"/>
      <c r="C993" s="116"/>
      <c r="D993" s="116"/>
      <c r="E993" s="116"/>
      <c r="F993" s="116"/>
      <c r="G993" s="116"/>
      <c r="H993" s="116"/>
      <c r="I993" s="116"/>
      <c r="J993" s="116"/>
      <c r="K993" s="116"/>
      <c r="L993" s="116"/>
      <c r="M993" s="116"/>
      <c r="N993" s="116"/>
      <c r="O993" s="116"/>
      <c r="P993" s="116"/>
      <c r="Q993" s="116"/>
      <c r="R993" s="116"/>
      <c r="S993" s="116"/>
      <c r="T993" s="116"/>
      <c r="U993" s="116"/>
      <c r="V993" s="116"/>
      <c r="W993" s="116"/>
      <c r="X993" s="116"/>
      <c r="Y993" s="116"/>
      <c r="Z993" s="116"/>
    </row>
    <row r="994" spans="1:26" ht="15">
      <c r="A994" s="116"/>
      <c r="B994" s="988"/>
      <c r="C994" s="116"/>
      <c r="D994" s="116"/>
      <c r="E994" s="116"/>
      <c r="F994" s="116"/>
      <c r="G994" s="116"/>
      <c r="H994" s="116"/>
      <c r="I994" s="116"/>
      <c r="J994" s="116"/>
      <c r="K994" s="116"/>
      <c r="L994" s="116"/>
      <c r="M994" s="116"/>
      <c r="N994" s="116"/>
      <c r="O994" s="116"/>
      <c r="P994" s="116"/>
      <c r="Q994" s="116"/>
      <c r="R994" s="116"/>
      <c r="S994" s="116"/>
      <c r="T994" s="116"/>
      <c r="U994" s="116"/>
      <c r="V994" s="116"/>
      <c r="W994" s="116"/>
      <c r="X994" s="116"/>
      <c r="Y994" s="116"/>
      <c r="Z994" s="116"/>
    </row>
    <row r="995" spans="1:26" ht="15">
      <c r="A995" s="116"/>
      <c r="B995" s="988"/>
      <c r="C995" s="116"/>
      <c r="D995" s="116"/>
      <c r="E995" s="116"/>
      <c r="F995" s="116"/>
      <c r="G995" s="116"/>
      <c r="H995" s="116"/>
      <c r="I995" s="116"/>
      <c r="J995" s="116"/>
      <c r="K995" s="116"/>
      <c r="L995" s="116"/>
      <c r="M995" s="116"/>
      <c r="N995" s="116"/>
      <c r="O995" s="116"/>
      <c r="P995" s="116"/>
      <c r="Q995" s="116"/>
      <c r="R995" s="116"/>
      <c r="S995" s="116"/>
      <c r="T995" s="116"/>
      <c r="U995" s="116"/>
      <c r="V995" s="116"/>
      <c r="W995" s="116"/>
      <c r="X995" s="116"/>
      <c r="Y995" s="116"/>
      <c r="Z995" s="116"/>
    </row>
    <row r="996" spans="1:26" ht="15">
      <c r="A996" s="116"/>
      <c r="B996" s="988"/>
      <c r="C996" s="116"/>
      <c r="D996" s="116"/>
      <c r="E996" s="116"/>
      <c r="F996" s="116"/>
      <c r="G996" s="116"/>
      <c r="H996" s="116"/>
      <c r="I996" s="116"/>
      <c r="J996" s="116"/>
      <c r="K996" s="116"/>
      <c r="L996" s="116"/>
      <c r="M996" s="116"/>
      <c r="N996" s="116"/>
      <c r="O996" s="116"/>
      <c r="P996" s="116"/>
      <c r="Q996" s="116"/>
      <c r="R996" s="116"/>
      <c r="S996" s="116"/>
      <c r="T996" s="116"/>
      <c r="U996" s="116"/>
      <c r="V996" s="116"/>
      <c r="W996" s="116"/>
      <c r="X996" s="116"/>
      <c r="Y996" s="116"/>
      <c r="Z996" s="116"/>
    </row>
    <row r="997" spans="1:26" ht="15">
      <c r="A997" s="116"/>
      <c r="B997" s="988"/>
      <c r="C997" s="116"/>
      <c r="D997" s="116"/>
      <c r="E997" s="116"/>
      <c r="F997" s="116"/>
      <c r="G997" s="116"/>
      <c r="H997" s="116"/>
      <c r="I997" s="116"/>
      <c r="J997" s="116"/>
      <c r="K997" s="116"/>
      <c r="L997" s="116"/>
      <c r="M997" s="116"/>
      <c r="N997" s="116"/>
      <c r="O997" s="116"/>
      <c r="P997" s="116"/>
      <c r="Q997" s="116"/>
      <c r="R997" s="116"/>
      <c r="S997" s="116"/>
      <c r="T997" s="116"/>
      <c r="U997" s="116"/>
      <c r="V997" s="116"/>
      <c r="W997" s="116"/>
      <c r="X997" s="116"/>
      <c r="Y997" s="116"/>
      <c r="Z997" s="116"/>
    </row>
    <row r="998" spans="1:26" ht="15">
      <c r="A998" s="116"/>
      <c r="B998" s="988"/>
      <c r="C998" s="116"/>
      <c r="D998" s="116"/>
      <c r="E998" s="116"/>
      <c r="F998" s="116"/>
      <c r="G998" s="116"/>
      <c r="H998" s="116"/>
      <c r="I998" s="116"/>
      <c r="J998" s="116"/>
      <c r="K998" s="116"/>
      <c r="L998" s="116"/>
      <c r="M998" s="116"/>
      <c r="N998" s="116"/>
      <c r="O998" s="116"/>
      <c r="P998" s="116"/>
      <c r="Q998" s="116"/>
      <c r="R998" s="116"/>
      <c r="S998" s="116"/>
      <c r="T998" s="116"/>
      <c r="U998" s="116"/>
      <c r="V998" s="116"/>
      <c r="W998" s="116"/>
      <c r="X998" s="116"/>
      <c r="Y998" s="116"/>
      <c r="Z998" s="116"/>
    </row>
    <row r="999" spans="1:26" ht="15">
      <c r="A999" s="116"/>
      <c r="B999" s="988"/>
      <c r="C999" s="116"/>
      <c r="D999" s="116"/>
      <c r="E999" s="116"/>
      <c r="F999" s="116"/>
      <c r="G999" s="116"/>
      <c r="H999" s="116"/>
      <c r="I999" s="116"/>
      <c r="J999" s="116"/>
      <c r="K999" s="116"/>
      <c r="L999" s="116"/>
      <c r="M999" s="116"/>
      <c r="N999" s="116"/>
      <c r="O999" s="116"/>
      <c r="P999" s="116"/>
      <c r="Q999" s="116"/>
      <c r="R999" s="116"/>
      <c r="S999" s="116"/>
      <c r="T999" s="116"/>
      <c r="U999" s="116"/>
      <c r="V999" s="116"/>
      <c r="W999" s="116"/>
      <c r="X999" s="116"/>
      <c r="Y999" s="116"/>
      <c r="Z999" s="116"/>
    </row>
    <row r="1000" spans="1:26" ht="15">
      <c r="A1000" s="116"/>
      <c r="B1000" s="988"/>
      <c r="C1000" s="116"/>
      <c r="D1000" s="116"/>
      <c r="E1000" s="116"/>
      <c r="F1000" s="116"/>
      <c r="G1000" s="116"/>
      <c r="H1000" s="116"/>
      <c r="I1000" s="116"/>
      <c r="J1000" s="116"/>
      <c r="K1000" s="116"/>
      <c r="L1000" s="116"/>
      <c r="M1000" s="116"/>
      <c r="N1000" s="116"/>
      <c r="O1000" s="116"/>
      <c r="P1000" s="116"/>
      <c r="Q1000" s="116"/>
      <c r="R1000" s="116"/>
      <c r="S1000" s="116"/>
      <c r="T1000" s="116"/>
      <c r="U1000" s="116"/>
      <c r="V1000" s="116"/>
      <c r="W1000" s="116"/>
      <c r="X1000" s="116"/>
      <c r="Y1000" s="116"/>
      <c r="Z1000" s="116"/>
    </row>
  </sheetData>
  <mergeCells count="12">
    <mergeCell ref="N1:P1"/>
    <mergeCell ref="N2:N3"/>
    <mergeCell ref="D1:D3"/>
    <mergeCell ref="E2:E3"/>
    <mergeCell ref="H2:H3"/>
    <mergeCell ref="K2:K3"/>
    <mergeCell ref="K1:M1"/>
    <mergeCell ref="A1:A3"/>
    <mergeCell ref="B1:B3"/>
    <mergeCell ref="C1:C3"/>
    <mergeCell ref="E1:G1"/>
    <mergeCell ref="H1:J1"/>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G1000"/>
  <sheetViews>
    <sheetView workbookViewId="0"/>
  </sheetViews>
  <sheetFormatPr defaultColWidth="12.5703125" defaultRowHeight="15.75" customHeight="1"/>
  <cols>
    <col min="1" max="1" width="39" customWidth="1"/>
    <col min="2" max="2" width="38.85546875" customWidth="1"/>
    <col min="3" max="3" width="7" customWidth="1"/>
    <col min="4" max="4" width="7.140625" customWidth="1"/>
    <col min="5" max="5" width="9.5703125" customWidth="1"/>
    <col min="6" max="6" width="27.140625" customWidth="1"/>
  </cols>
  <sheetData>
    <row r="1" spans="1:7" ht="15.75" customHeight="1">
      <c r="C1" s="74"/>
      <c r="D1" s="74"/>
      <c r="E1" s="74"/>
      <c r="F1" s="74"/>
    </row>
    <row r="2" spans="1:7" ht="15.75" customHeight="1">
      <c r="A2" s="989" t="s">
        <v>3290</v>
      </c>
      <c r="B2" s="990" t="s">
        <v>3291</v>
      </c>
      <c r="C2" s="990" t="s">
        <v>3292</v>
      </c>
      <c r="D2" s="990" t="s">
        <v>429</v>
      </c>
      <c r="E2" s="990" t="s">
        <v>278</v>
      </c>
      <c r="F2" s="990" t="s">
        <v>280</v>
      </c>
      <c r="G2" s="991"/>
    </row>
    <row r="3" spans="1:7" ht="15.75" customHeight="1">
      <c r="A3" s="992" t="s">
        <v>3293</v>
      </c>
      <c r="B3" s="993" t="s">
        <v>3294</v>
      </c>
      <c r="C3" s="993" t="s">
        <v>3295</v>
      </c>
      <c r="D3" s="993">
        <v>979.21</v>
      </c>
      <c r="E3" s="994">
        <v>0</v>
      </c>
      <c r="F3" s="995"/>
      <c r="G3" s="991"/>
    </row>
    <row r="4" spans="1:7" ht="15.75" customHeight="1">
      <c r="A4" s="996" t="s">
        <v>3296</v>
      </c>
      <c r="B4" s="997" t="s">
        <v>3297</v>
      </c>
      <c r="C4" s="998" t="s">
        <v>3298</v>
      </c>
      <c r="D4" s="997">
        <v>81.64</v>
      </c>
      <c r="E4" s="998">
        <v>0</v>
      </c>
      <c r="F4" s="999"/>
      <c r="G4" s="991"/>
    </row>
    <row r="5" spans="1:7" ht="15.75" customHeight="1">
      <c r="A5" s="992" t="s">
        <v>3299</v>
      </c>
      <c r="B5" s="993" t="s">
        <v>3300</v>
      </c>
      <c r="C5" s="994" t="s">
        <v>638</v>
      </c>
      <c r="D5" s="994">
        <v>50.43</v>
      </c>
      <c r="E5" s="1000">
        <v>14057</v>
      </c>
      <c r="F5" s="1001"/>
      <c r="G5" s="991"/>
    </row>
    <row r="6" spans="1:7" ht="15.75" customHeight="1">
      <c r="A6" s="996" t="s">
        <v>3301</v>
      </c>
      <c r="B6" s="997" t="s">
        <v>3302</v>
      </c>
      <c r="C6" s="997" t="s">
        <v>3303</v>
      </c>
      <c r="D6" s="997">
        <v>333.73</v>
      </c>
      <c r="E6" s="998">
        <v>0</v>
      </c>
      <c r="F6" s="999"/>
      <c r="G6" s="991"/>
    </row>
    <row r="7" spans="1:7" ht="15.75" customHeight="1">
      <c r="A7" s="992" t="s">
        <v>3304</v>
      </c>
      <c r="B7" s="993" t="s">
        <v>3305</v>
      </c>
      <c r="C7" s="993" t="s">
        <v>895</v>
      </c>
      <c r="D7" s="993">
        <v>18.36</v>
      </c>
      <c r="E7" s="994">
        <v>0</v>
      </c>
      <c r="F7" s="993" t="s">
        <v>3306</v>
      </c>
      <c r="G7" s="991"/>
    </row>
    <row r="8" spans="1:7" ht="15.75" customHeight="1">
      <c r="A8" s="996" t="s">
        <v>3307</v>
      </c>
      <c r="B8" s="997" t="s">
        <v>3308</v>
      </c>
      <c r="C8" s="997" t="s">
        <v>895</v>
      </c>
      <c r="D8" s="997">
        <v>20.48</v>
      </c>
      <c r="E8" s="998">
        <v>0</v>
      </c>
      <c r="F8" s="997" t="s">
        <v>3306</v>
      </c>
      <c r="G8" s="991"/>
    </row>
    <row r="9" spans="1:7" ht="15.75" customHeight="1">
      <c r="A9" s="992" t="s">
        <v>3309</v>
      </c>
      <c r="B9" s="993" t="s">
        <v>3310</v>
      </c>
      <c r="C9" s="993" t="s">
        <v>895</v>
      </c>
      <c r="D9" s="993">
        <v>97.13</v>
      </c>
      <c r="E9" s="994">
        <v>0</v>
      </c>
      <c r="F9" s="993" t="s">
        <v>3306</v>
      </c>
      <c r="G9" s="991"/>
    </row>
    <row r="10" spans="1:7" ht="15.75" customHeight="1">
      <c r="A10" s="996" t="s">
        <v>3311</v>
      </c>
      <c r="B10" s="997" t="s">
        <v>3312</v>
      </c>
      <c r="C10" s="998" t="s">
        <v>92</v>
      </c>
      <c r="D10" s="1002">
        <v>9437.4</v>
      </c>
      <c r="E10" s="998">
        <v>0</v>
      </c>
      <c r="F10" s="999"/>
      <c r="G10" s="991"/>
    </row>
    <row r="11" spans="1:7" ht="15.75" customHeight="1">
      <c r="A11" s="992" t="s">
        <v>3313</v>
      </c>
      <c r="B11" s="993" t="s">
        <v>3314</v>
      </c>
      <c r="C11" s="993" t="s">
        <v>3315</v>
      </c>
      <c r="D11" s="993">
        <v>239.79</v>
      </c>
      <c r="E11" s="994">
        <v>0</v>
      </c>
      <c r="F11" s="993" t="s">
        <v>3316</v>
      </c>
      <c r="G11" s="991"/>
    </row>
    <row r="12" spans="1:7" ht="15.75" customHeight="1">
      <c r="A12" s="992" t="s">
        <v>3317</v>
      </c>
      <c r="B12" s="993" t="s">
        <v>3318</v>
      </c>
      <c r="C12" s="994" t="s">
        <v>3319</v>
      </c>
      <c r="D12" s="994">
        <v>16</v>
      </c>
      <c r="E12" s="1000">
        <v>1647</v>
      </c>
      <c r="F12" s="994" t="s">
        <v>3320</v>
      </c>
      <c r="G12" s="991"/>
    </row>
    <row r="13" spans="1:7" ht="15.75" customHeight="1">
      <c r="A13" s="992" t="s">
        <v>3321</v>
      </c>
      <c r="B13" s="993" t="s">
        <v>3322</v>
      </c>
      <c r="C13" s="993" t="s">
        <v>601</v>
      </c>
      <c r="D13" s="993">
        <v>136.24</v>
      </c>
      <c r="E13" s="994">
        <v>0</v>
      </c>
      <c r="F13" s="995"/>
      <c r="G13" s="991"/>
    </row>
    <row r="14" spans="1:7" ht="15.75" customHeight="1">
      <c r="A14" s="996" t="s">
        <v>3323</v>
      </c>
      <c r="B14" s="997" t="s">
        <v>3324</v>
      </c>
      <c r="C14" s="997" t="s">
        <v>601</v>
      </c>
      <c r="D14" s="997">
        <v>18.2</v>
      </c>
      <c r="E14" s="998">
        <v>0</v>
      </c>
      <c r="F14" s="999"/>
      <c r="G14" s="991"/>
    </row>
    <row r="15" spans="1:7" ht="15.75" customHeight="1">
      <c r="A15" s="992" t="s">
        <v>3325</v>
      </c>
      <c r="B15" s="993" t="s">
        <v>3326</v>
      </c>
      <c r="C15" s="994" t="s">
        <v>92</v>
      </c>
      <c r="D15" s="994">
        <v>266.24</v>
      </c>
      <c r="E15" s="994">
        <v>8</v>
      </c>
      <c r="F15" s="1001"/>
      <c r="G15" s="991"/>
    </row>
    <row r="16" spans="1:7" ht="15.75" customHeight="1">
      <c r="A16" s="992" t="s">
        <v>3327</v>
      </c>
      <c r="B16" s="993" t="s">
        <v>3328</v>
      </c>
      <c r="C16" s="994" t="s">
        <v>3047</v>
      </c>
      <c r="D16" s="994">
        <v>221</v>
      </c>
      <c r="E16" s="994">
        <v>90</v>
      </c>
      <c r="F16" s="994" t="s">
        <v>3329</v>
      </c>
      <c r="G16" s="991"/>
    </row>
    <row r="17" spans="1:7" ht="15.75" customHeight="1">
      <c r="A17" s="992" t="s">
        <v>3330</v>
      </c>
      <c r="B17" s="993" t="s">
        <v>3331</v>
      </c>
      <c r="C17" s="994" t="s">
        <v>3047</v>
      </c>
      <c r="D17" s="994">
        <v>238.54</v>
      </c>
      <c r="E17" s="994">
        <v>45</v>
      </c>
      <c r="F17" s="994" t="s">
        <v>3329</v>
      </c>
      <c r="G17" s="991"/>
    </row>
    <row r="18" spans="1:7" ht="15.75" customHeight="1">
      <c r="A18" s="992" t="s">
        <v>3332</v>
      </c>
      <c r="B18" s="993" t="s">
        <v>3333</v>
      </c>
      <c r="C18" s="994" t="s">
        <v>895</v>
      </c>
      <c r="D18" s="994">
        <v>83.72</v>
      </c>
      <c r="E18" s="994">
        <v>705</v>
      </c>
      <c r="F18" s="994" t="s">
        <v>3334</v>
      </c>
      <c r="G18" s="991"/>
    </row>
    <row r="19" spans="1:7" ht="15.75" customHeight="1">
      <c r="A19" s="992" t="s">
        <v>3335</v>
      </c>
      <c r="B19" s="993" t="s">
        <v>3336</v>
      </c>
      <c r="C19" s="994" t="s">
        <v>3047</v>
      </c>
      <c r="D19" s="993">
        <v>29.93</v>
      </c>
      <c r="E19" s="994">
        <v>0</v>
      </c>
      <c r="F19" s="993" t="s">
        <v>3337</v>
      </c>
      <c r="G19" s="991"/>
    </row>
    <row r="20" spans="1:7" ht="15.75" customHeight="1">
      <c r="A20" s="1487" t="s">
        <v>3338</v>
      </c>
      <c r="B20" s="1451"/>
      <c r="C20" s="1451"/>
      <c r="D20" s="1451"/>
      <c r="E20" s="1451"/>
      <c r="F20" s="1451"/>
      <c r="G20" s="1451"/>
    </row>
    <row r="21" spans="1:7" ht="15.75" customHeight="1">
      <c r="A21" s="1003" t="s">
        <v>3339</v>
      </c>
      <c r="B21" s="1004" t="s">
        <v>3340</v>
      </c>
      <c r="C21" s="1004" t="s">
        <v>486</v>
      </c>
      <c r="D21" s="1004">
        <v>41.6</v>
      </c>
      <c r="E21" s="1005">
        <v>0</v>
      </c>
      <c r="F21" s="1006"/>
      <c r="G21" s="991"/>
    </row>
    <row r="22" spans="1:7" ht="15.75" customHeight="1">
      <c r="A22" s="992" t="s">
        <v>3341</v>
      </c>
      <c r="B22" s="993" t="s">
        <v>3342</v>
      </c>
      <c r="C22" s="994" t="s">
        <v>3298</v>
      </c>
      <c r="D22" s="993">
        <v>23.92</v>
      </c>
      <c r="E22" s="994">
        <v>0</v>
      </c>
      <c r="F22" s="995"/>
      <c r="G22" s="991"/>
    </row>
    <row r="23" spans="1:7" ht="15.75" customHeight="1">
      <c r="A23" s="996" t="s">
        <v>3343</v>
      </c>
      <c r="B23" s="997" t="s">
        <v>3344</v>
      </c>
      <c r="C23" s="997" t="s">
        <v>601</v>
      </c>
      <c r="D23" s="997">
        <v>33.22</v>
      </c>
      <c r="E23" s="998">
        <v>0</v>
      </c>
      <c r="F23" s="999"/>
      <c r="G23" s="991"/>
    </row>
    <row r="24" spans="1:7" ht="15.75" customHeight="1">
      <c r="A24" s="992" t="s">
        <v>3345</v>
      </c>
      <c r="B24" s="993" t="s">
        <v>3346</v>
      </c>
      <c r="C24" s="993" t="s">
        <v>601</v>
      </c>
      <c r="D24" s="993">
        <v>36.71</v>
      </c>
      <c r="E24" s="994">
        <v>0</v>
      </c>
      <c r="F24" s="995"/>
      <c r="G24" s="991"/>
    </row>
    <row r="25" spans="1:7" ht="15.75" customHeight="1">
      <c r="A25" s="996" t="s">
        <v>3347</v>
      </c>
      <c r="B25" s="997" t="s">
        <v>3348</v>
      </c>
      <c r="C25" s="998" t="s">
        <v>3047</v>
      </c>
      <c r="D25" s="998">
        <v>8.8000000000000007</v>
      </c>
      <c r="E25" s="998">
        <v>0</v>
      </c>
      <c r="F25" s="997" t="s">
        <v>3349</v>
      </c>
      <c r="G25" s="991"/>
    </row>
    <row r="26" spans="1:7" ht="15.75" customHeight="1">
      <c r="A26" s="992" t="s">
        <v>3350</v>
      </c>
      <c r="B26" s="993" t="s">
        <v>3351</v>
      </c>
      <c r="C26" s="994" t="s">
        <v>3047</v>
      </c>
      <c r="D26" s="993">
        <v>14.75</v>
      </c>
      <c r="E26" s="994">
        <v>0</v>
      </c>
      <c r="F26" s="993" t="s">
        <v>3349</v>
      </c>
      <c r="G26" s="991"/>
    </row>
    <row r="27" spans="1:7" ht="15.75" customHeight="1">
      <c r="A27" s="996" t="s">
        <v>3352</v>
      </c>
      <c r="B27" s="997" t="s">
        <v>3353</v>
      </c>
      <c r="C27" s="998" t="s">
        <v>3047</v>
      </c>
      <c r="D27" s="997">
        <v>25.56</v>
      </c>
      <c r="E27" s="998">
        <v>0</v>
      </c>
      <c r="F27" s="997" t="s">
        <v>3349</v>
      </c>
      <c r="G27" s="991"/>
    </row>
    <row r="28" spans="1:7" ht="15.75" customHeight="1">
      <c r="A28" s="992" t="s">
        <v>3354</v>
      </c>
      <c r="B28" s="993" t="s">
        <v>3355</v>
      </c>
      <c r="C28" s="994" t="s">
        <v>3047</v>
      </c>
      <c r="D28" s="993">
        <v>56.57</v>
      </c>
      <c r="E28" s="994">
        <v>0</v>
      </c>
      <c r="F28" s="993" t="s">
        <v>3349</v>
      </c>
      <c r="G28" s="991"/>
    </row>
    <row r="29" spans="1:7" ht="15.75" customHeight="1">
      <c r="A29" s="996" t="s">
        <v>3356</v>
      </c>
      <c r="B29" s="997" t="s">
        <v>3357</v>
      </c>
      <c r="C29" s="998" t="s">
        <v>3047</v>
      </c>
      <c r="D29" s="997">
        <v>891.03</v>
      </c>
      <c r="E29" s="998">
        <v>0</v>
      </c>
      <c r="F29" s="999"/>
      <c r="G29" s="991"/>
    </row>
    <row r="30" spans="1:7" ht="15.75" customHeight="1">
      <c r="A30" s="992" t="s">
        <v>3358</v>
      </c>
      <c r="B30" s="993" t="s">
        <v>3359</v>
      </c>
      <c r="C30" s="994" t="s">
        <v>3047</v>
      </c>
      <c r="D30" s="1007">
        <v>1029.5999999999999</v>
      </c>
      <c r="E30" s="994">
        <v>0</v>
      </c>
      <c r="F30" s="995"/>
      <c r="G30" s="991"/>
    </row>
    <row r="31" spans="1:7" ht="15.75" customHeight="1">
      <c r="A31" s="996" t="s">
        <v>3360</v>
      </c>
      <c r="B31" s="997" t="s">
        <v>3361</v>
      </c>
      <c r="C31" s="998" t="s">
        <v>3047</v>
      </c>
      <c r="D31" s="1002">
        <v>1528.8</v>
      </c>
      <c r="E31" s="998">
        <v>0</v>
      </c>
      <c r="F31" s="999"/>
      <c r="G31" s="991"/>
    </row>
    <row r="32" spans="1:7" ht="15.75" customHeight="1">
      <c r="A32" s="992" t="s">
        <v>3362</v>
      </c>
      <c r="B32" s="993" t="s">
        <v>3363</v>
      </c>
      <c r="C32" s="994" t="s">
        <v>3047</v>
      </c>
      <c r="D32" s="1008">
        <v>1026.48</v>
      </c>
      <c r="E32" s="994">
        <v>100</v>
      </c>
      <c r="F32" s="1001"/>
      <c r="G32" s="991"/>
    </row>
    <row r="33" spans="1:7" ht="15.75" customHeight="1">
      <c r="A33" s="996" t="s">
        <v>3364</v>
      </c>
      <c r="B33" s="997" t="s">
        <v>3365</v>
      </c>
      <c r="C33" s="998" t="s">
        <v>3047</v>
      </c>
      <c r="D33" s="997">
        <v>790.4</v>
      </c>
      <c r="E33" s="998">
        <v>0</v>
      </c>
      <c r="F33" s="999"/>
      <c r="G33" s="991"/>
    </row>
    <row r="34" spans="1:7" ht="15.75" customHeight="1">
      <c r="A34" s="992" t="s">
        <v>3366</v>
      </c>
      <c r="B34" s="993" t="s">
        <v>3367</v>
      </c>
      <c r="C34" s="994" t="s">
        <v>3047</v>
      </c>
      <c r="D34" s="1007">
        <v>1508</v>
      </c>
      <c r="E34" s="994">
        <v>0</v>
      </c>
      <c r="F34" s="995"/>
      <c r="G34" s="991"/>
    </row>
    <row r="35" spans="1:7" ht="15.75" customHeight="1">
      <c r="A35" s="996" t="s">
        <v>3368</v>
      </c>
      <c r="B35" s="997" t="s">
        <v>3369</v>
      </c>
      <c r="C35" s="997" t="s">
        <v>601</v>
      </c>
      <c r="D35" s="997">
        <v>11.64</v>
      </c>
      <c r="E35" s="998">
        <v>0</v>
      </c>
      <c r="F35" s="999"/>
      <c r="G35" s="991"/>
    </row>
    <row r="36" spans="1:7" ht="15.75" customHeight="1">
      <c r="A36" s="992" t="s">
        <v>3370</v>
      </c>
      <c r="B36" s="993" t="s">
        <v>3371</v>
      </c>
      <c r="C36" s="993" t="s">
        <v>601</v>
      </c>
      <c r="D36" s="993">
        <v>33.43</v>
      </c>
      <c r="E36" s="994">
        <v>0</v>
      </c>
      <c r="F36" s="995"/>
      <c r="G36" s="991"/>
    </row>
    <row r="37" spans="1:7" ht="15.75" customHeight="1">
      <c r="A37" s="996" t="s">
        <v>3372</v>
      </c>
      <c r="B37" s="997" t="s">
        <v>3373</v>
      </c>
      <c r="C37" s="997" t="s">
        <v>601</v>
      </c>
      <c r="D37" s="997">
        <v>77.94</v>
      </c>
      <c r="E37" s="998">
        <v>0</v>
      </c>
      <c r="F37" s="999"/>
      <c r="G37" s="991"/>
    </row>
    <row r="38" spans="1:7" ht="15.75" customHeight="1">
      <c r="A38" s="992" t="s">
        <v>3374</v>
      </c>
      <c r="B38" s="993" t="s">
        <v>3375</v>
      </c>
      <c r="C38" s="993" t="s">
        <v>601</v>
      </c>
      <c r="D38" s="993">
        <v>68.64</v>
      </c>
      <c r="E38" s="994">
        <v>0</v>
      </c>
      <c r="F38" s="995"/>
      <c r="G38" s="991"/>
    </row>
    <row r="39" spans="1:7" ht="15.75" customHeight="1">
      <c r="A39" s="996" t="s">
        <v>3376</v>
      </c>
      <c r="B39" s="997" t="s">
        <v>3377</v>
      </c>
      <c r="C39" s="997" t="s">
        <v>601</v>
      </c>
      <c r="D39" s="997">
        <v>453.96</v>
      </c>
      <c r="E39" s="998">
        <v>0</v>
      </c>
      <c r="F39" s="999"/>
      <c r="G39" s="991"/>
    </row>
    <row r="40" spans="1:7" ht="15.75" customHeight="1">
      <c r="A40" s="992" t="s">
        <v>3378</v>
      </c>
      <c r="B40" s="993" t="s">
        <v>3379</v>
      </c>
      <c r="C40" s="994" t="s">
        <v>92</v>
      </c>
      <c r="D40" s="1007">
        <v>25032</v>
      </c>
      <c r="E40" s="994">
        <v>0</v>
      </c>
      <c r="F40" s="994" t="s">
        <v>3380</v>
      </c>
      <c r="G40" s="991"/>
    </row>
    <row r="41" spans="1:7" ht="15.75" customHeight="1">
      <c r="A41" s="996" t="s">
        <v>3381</v>
      </c>
      <c r="B41" s="997" t="s">
        <v>654</v>
      </c>
      <c r="C41" s="998" t="s">
        <v>92</v>
      </c>
      <c r="D41" s="1002">
        <v>42798</v>
      </c>
      <c r="E41" s="998">
        <v>0</v>
      </c>
      <c r="F41" s="999"/>
      <c r="G41" s="991"/>
    </row>
    <row r="42" spans="1:7" ht="15.75" customHeight="1">
      <c r="A42" s="992" t="s">
        <v>3382</v>
      </c>
      <c r="B42" s="993" t="s">
        <v>3383</v>
      </c>
      <c r="C42" s="994" t="s">
        <v>2993</v>
      </c>
      <c r="D42" s="994">
        <v>9.36</v>
      </c>
      <c r="E42" s="994">
        <v>879</v>
      </c>
      <c r="F42" s="1001"/>
      <c r="G42" s="991"/>
    </row>
    <row r="43" spans="1:7" ht="15.75" customHeight="1">
      <c r="A43" s="996" t="s">
        <v>3384</v>
      </c>
      <c r="B43" s="997" t="s">
        <v>3385</v>
      </c>
      <c r="C43" s="997" t="s">
        <v>3386</v>
      </c>
      <c r="D43" s="997">
        <v>54.08</v>
      </c>
      <c r="E43" s="998">
        <v>0</v>
      </c>
      <c r="F43" s="999"/>
      <c r="G43" s="991"/>
    </row>
    <row r="44" spans="1:7" ht="15.75" customHeight="1">
      <c r="A44" s="992" t="s">
        <v>3387</v>
      </c>
      <c r="B44" s="993" t="s">
        <v>655</v>
      </c>
      <c r="C44" s="994" t="s">
        <v>92</v>
      </c>
      <c r="D44" s="1007">
        <v>7339.16</v>
      </c>
      <c r="E44" s="994">
        <v>0</v>
      </c>
      <c r="F44" s="995"/>
      <c r="G44" s="991"/>
    </row>
    <row r="45" spans="1:7" ht="15.75" customHeight="1">
      <c r="A45" s="996" t="s">
        <v>3388</v>
      </c>
      <c r="B45" s="997" t="s">
        <v>3389</v>
      </c>
      <c r="C45" s="998" t="s">
        <v>3298</v>
      </c>
      <c r="D45" s="997">
        <v>139.88</v>
      </c>
      <c r="E45" s="998">
        <v>0</v>
      </c>
      <c r="F45" s="999"/>
      <c r="G45" s="991"/>
    </row>
    <row r="46" spans="1:7" ht="15.75" customHeight="1">
      <c r="A46" s="1487" t="s">
        <v>3338</v>
      </c>
      <c r="B46" s="1451"/>
      <c r="C46" s="1451"/>
      <c r="D46" s="1451"/>
      <c r="E46" s="1451"/>
      <c r="F46" s="1451"/>
      <c r="G46" s="1451"/>
    </row>
    <row r="47" spans="1:7" ht="15.75" customHeight="1">
      <c r="A47" s="1009" t="s">
        <v>3390</v>
      </c>
      <c r="B47" s="1010" t="s">
        <v>3391</v>
      </c>
      <c r="C47" s="1011" t="s">
        <v>92</v>
      </c>
      <c r="D47" s="1012">
        <v>23623.599999999999</v>
      </c>
      <c r="E47" s="1011">
        <v>0</v>
      </c>
      <c r="F47" s="1013"/>
      <c r="G47" s="991"/>
    </row>
    <row r="48" spans="1:7" ht="15.75" customHeight="1">
      <c r="A48" s="996" t="s">
        <v>3392</v>
      </c>
      <c r="B48" s="997" t="s">
        <v>3393</v>
      </c>
      <c r="C48" s="998" t="s">
        <v>657</v>
      </c>
      <c r="D48" s="1002">
        <v>6686.4</v>
      </c>
      <c r="E48" s="998">
        <v>0</v>
      </c>
      <c r="F48" s="999"/>
      <c r="G48" s="991"/>
    </row>
    <row r="49" spans="1:7" ht="15.75" customHeight="1">
      <c r="A49" s="992" t="s">
        <v>3394</v>
      </c>
      <c r="B49" s="993" t="s">
        <v>3395</v>
      </c>
      <c r="C49" s="993" t="s">
        <v>601</v>
      </c>
      <c r="D49" s="993">
        <v>27.91</v>
      </c>
      <c r="E49" s="994">
        <v>0</v>
      </c>
      <c r="F49" s="995"/>
      <c r="G49" s="991"/>
    </row>
    <row r="50" spans="1:7" ht="15.75" customHeight="1">
      <c r="A50" s="992" t="s">
        <v>3396</v>
      </c>
      <c r="B50" s="993" t="s">
        <v>3397</v>
      </c>
      <c r="C50" s="994" t="s">
        <v>92</v>
      </c>
      <c r="D50" s="1008">
        <v>1222</v>
      </c>
      <c r="E50" s="994">
        <v>7</v>
      </c>
      <c r="F50" s="1001"/>
      <c r="G50" s="991"/>
    </row>
    <row r="51" spans="1:7" ht="15.75" customHeight="1">
      <c r="A51" s="992" t="s">
        <v>3398</v>
      </c>
      <c r="B51" s="993" t="s">
        <v>3399</v>
      </c>
      <c r="C51" s="994" t="s">
        <v>92</v>
      </c>
      <c r="D51" s="1007">
        <v>1109.68</v>
      </c>
      <c r="E51" s="994">
        <v>0</v>
      </c>
      <c r="F51" s="995"/>
      <c r="G51" s="991"/>
    </row>
    <row r="52" spans="1:7" ht="15.75" customHeight="1">
      <c r="A52" s="996" t="s">
        <v>3400</v>
      </c>
      <c r="B52" s="997" t="s">
        <v>3401</v>
      </c>
      <c r="C52" s="998" t="s">
        <v>92</v>
      </c>
      <c r="D52" s="997">
        <v>839.28</v>
      </c>
      <c r="E52" s="998">
        <v>0</v>
      </c>
      <c r="F52" s="999"/>
      <c r="G52" s="991"/>
    </row>
    <row r="53" spans="1:7" ht="15.75" customHeight="1">
      <c r="A53" s="992" t="s">
        <v>3402</v>
      </c>
      <c r="B53" s="993" t="s">
        <v>3403</v>
      </c>
      <c r="C53" s="994" t="s">
        <v>92</v>
      </c>
      <c r="D53" s="993">
        <v>768.56</v>
      </c>
      <c r="E53" s="994">
        <v>0</v>
      </c>
      <c r="F53" s="995"/>
      <c r="G53" s="991"/>
    </row>
    <row r="54" spans="1:7" ht="15.75" customHeight="1">
      <c r="A54" s="996" t="s">
        <v>3404</v>
      </c>
      <c r="B54" s="997" t="s">
        <v>3405</v>
      </c>
      <c r="C54" s="998" t="s">
        <v>3047</v>
      </c>
      <c r="D54" s="997">
        <v>764.4</v>
      </c>
      <c r="E54" s="998">
        <v>0</v>
      </c>
      <c r="F54" s="997" t="s">
        <v>3406</v>
      </c>
      <c r="G54" s="991"/>
    </row>
    <row r="55" spans="1:7" ht="15.75" customHeight="1">
      <c r="A55" s="992" t="s">
        <v>3407</v>
      </c>
      <c r="B55" s="993" t="s">
        <v>3408</v>
      </c>
      <c r="C55" s="993" t="s">
        <v>3409</v>
      </c>
      <c r="D55" s="993">
        <v>980.72</v>
      </c>
      <c r="E55" s="994">
        <v>0</v>
      </c>
      <c r="F55" s="993" t="s">
        <v>3406</v>
      </c>
      <c r="G55" s="991"/>
    </row>
    <row r="56" spans="1:7" ht="15.75" customHeight="1">
      <c r="A56" s="996" t="s">
        <v>3410</v>
      </c>
      <c r="B56" s="997" t="s">
        <v>3411</v>
      </c>
      <c r="C56" s="998" t="s">
        <v>3047</v>
      </c>
      <c r="D56" s="997">
        <v>838.82</v>
      </c>
      <c r="E56" s="998">
        <v>0</v>
      </c>
      <c r="F56" s="997" t="s">
        <v>3337</v>
      </c>
      <c r="G56" s="991"/>
    </row>
    <row r="57" spans="1:7" ht="15.75" customHeight="1">
      <c r="A57" s="992" t="s">
        <v>3412</v>
      </c>
      <c r="B57" s="993" t="s">
        <v>3413</v>
      </c>
      <c r="C57" s="993" t="s">
        <v>601</v>
      </c>
      <c r="D57" s="993">
        <v>30.79</v>
      </c>
      <c r="E57" s="994">
        <v>0</v>
      </c>
      <c r="F57" s="995"/>
      <c r="G57" s="991"/>
    </row>
    <row r="58" spans="1:7" ht="15.75" customHeight="1">
      <c r="A58" s="996" t="s">
        <v>3414</v>
      </c>
      <c r="B58" s="997" t="s">
        <v>3415</v>
      </c>
      <c r="C58" s="998" t="s">
        <v>3047</v>
      </c>
      <c r="D58" s="997">
        <v>432.51</v>
      </c>
      <c r="E58" s="998">
        <v>0</v>
      </c>
      <c r="F58" s="997" t="s">
        <v>3406</v>
      </c>
      <c r="G58" s="991"/>
    </row>
    <row r="59" spans="1:7" ht="15.75" customHeight="1">
      <c r="A59" s="992" t="s">
        <v>3416</v>
      </c>
      <c r="B59" s="993" t="s">
        <v>3417</v>
      </c>
      <c r="C59" s="994" t="s">
        <v>3047</v>
      </c>
      <c r="D59" s="993">
        <v>437.85</v>
      </c>
      <c r="E59" s="994">
        <v>0</v>
      </c>
      <c r="F59" s="993" t="s">
        <v>3406</v>
      </c>
      <c r="G59" s="991"/>
    </row>
    <row r="60" spans="1:7" ht="15.75" customHeight="1">
      <c r="A60" s="992" t="s">
        <v>3418</v>
      </c>
      <c r="B60" s="993" t="s">
        <v>3419</v>
      </c>
      <c r="C60" s="994" t="s">
        <v>2993</v>
      </c>
      <c r="D60" s="994">
        <v>11.41</v>
      </c>
      <c r="E60" s="994">
        <v>163</v>
      </c>
      <c r="F60" s="1001"/>
      <c r="G60" s="991"/>
    </row>
    <row r="61" spans="1:7" ht="15">
      <c r="A61" s="992" t="s">
        <v>3420</v>
      </c>
      <c r="B61" s="993" t="s">
        <v>3421</v>
      </c>
      <c r="C61" s="993" t="s">
        <v>601</v>
      </c>
      <c r="D61" s="994">
        <v>4.47</v>
      </c>
      <c r="E61" s="994">
        <v>0</v>
      </c>
      <c r="F61" s="995"/>
      <c r="G61" s="991"/>
    </row>
    <row r="62" spans="1:7" ht="15">
      <c r="A62" s="996" t="s">
        <v>3422</v>
      </c>
      <c r="B62" s="997" t="s">
        <v>731</v>
      </c>
      <c r="C62" s="998" t="s">
        <v>92</v>
      </c>
      <c r="D62" s="1002">
        <v>2623.82</v>
      </c>
      <c r="E62" s="998">
        <v>0</v>
      </c>
      <c r="F62" s="999"/>
      <c r="G62" s="991"/>
    </row>
    <row r="63" spans="1:7" ht="15">
      <c r="A63" s="992" t="s">
        <v>3423</v>
      </c>
      <c r="B63" s="993" t="s">
        <v>3424</v>
      </c>
      <c r="C63" s="994" t="s">
        <v>3047</v>
      </c>
      <c r="D63" s="994">
        <v>94.64</v>
      </c>
      <c r="E63" s="994">
        <v>51</v>
      </c>
      <c r="F63" s="994" t="s">
        <v>3425</v>
      </c>
      <c r="G63" s="991"/>
    </row>
    <row r="64" spans="1:7" ht="15">
      <c r="A64" s="996" t="s">
        <v>3426</v>
      </c>
      <c r="B64" s="997" t="s">
        <v>3427</v>
      </c>
      <c r="C64" s="997" t="s">
        <v>601</v>
      </c>
      <c r="D64" s="997">
        <v>86.02</v>
      </c>
      <c r="E64" s="998">
        <v>0</v>
      </c>
      <c r="F64" s="999"/>
      <c r="G64" s="991"/>
    </row>
    <row r="65" spans="1:7" ht="15">
      <c r="A65" s="992" t="s">
        <v>3428</v>
      </c>
      <c r="B65" s="993" t="s">
        <v>3429</v>
      </c>
      <c r="C65" s="993" t="s">
        <v>776</v>
      </c>
      <c r="D65" s="993">
        <v>11.13</v>
      </c>
      <c r="E65" s="994">
        <v>0</v>
      </c>
      <c r="F65" s="993" t="s">
        <v>3430</v>
      </c>
      <c r="G65" s="991"/>
    </row>
    <row r="66" spans="1:7" ht="15">
      <c r="A66" s="996" t="s">
        <v>3431</v>
      </c>
      <c r="B66" s="997" t="s">
        <v>3432</v>
      </c>
      <c r="C66" s="998" t="s">
        <v>3433</v>
      </c>
      <c r="D66" s="997">
        <v>14.23</v>
      </c>
      <c r="E66" s="998">
        <v>0</v>
      </c>
      <c r="F66" s="997" t="s">
        <v>3430</v>
      </c>
      <c r="G66" s="991"/>
    </row>
    <row r="67" spans="1:7" ht="15">
      <c r="A67" s="992" t="s">
        <v>3434</v>
      </c>
      <c r="B67" s="993" t="s">
        <v>3435</v>
      </c>
      <c r="C67" s="994" t="s">
        <v>92</v>
      </c>
      <c r="D67" s="1007">
        <v>1144</v>
      </c>
      <c r="E67" s="994">
        <v>0</v>
      </c>
      <c r="F67" s="995"/>
      <c r="G67" s="991"/>
    </row>
    <row r="68" spans="1:7" ht="15">
      <c r="A68" s="996" t="s">
        <v>3436</v>
      </c>
      <c r="B68" s="997" t="s">
        <v>3437</v>
      </c>
      <c r="C68" s="998" t="s">
        <v>92</v>
      </c>
      <c r="D68" s="1002">
        <v>5667.23</v>
      </c>
      <c r="E68" s="998">
        <v>0</v>
      </c>
      <c r="F68" s="999"/>
      <c r="G68" s="991"/>
    </row>
    <row r="69" spans="1:7" ht="15">
      <c r="A69" s="992" t="s">
        <v>3438</v>
      </c>
      <c r="B69" s="993" t="s">
        <v>3014</v>
      </c>
      <c r="C69" s="993" t="s">
        <v>601</v>
      </c>
      <c r="D69" s="993">
        <v>168</v>
      </c>
      <c r="E69" s="994">
        <v>0</v>
      </c>
      <c r="F69" s="995"/>
      <c r="G69" s="991"/>
    </row>
    <row r="70" spans="1:7" ht="15">
      <c r="A70" s="996" t="s">
        <v>3439</v>
      </c>
      <c r="B70" s="997" t="s">
        <v>3440</v>
      </c>
      <c r="C70" s="998" t="s">
        <v>3298</v>
      </c>
      <c r="D70" s="997">
        <v>312.74</v>
      </c>
      <c r="E70" s="998">
        <v>0</v>
      </c>
      <c r="F70" s="999"/>
      <c r="G70" s="991"/>
    </row>
    <row r="71" spans="1:7" ht="15">
      <c r="A71" s="992" t="s">
        <v>3441</v>
      </c>
      <c r="B71" s="993" t="s">
        <v>3442</v>
      </c>
      <c r="C71" s="993" t="s">
        <v>3315</v>
      </c>
      <c r="D71" s="993">
        <v>273</v>
      </c>
      <c r="E71" s="994">
        <v>0</v>
      </c>
      <c r="F71" s="993" t="s">
        <v>3443</v>
      </c>
      <c r="G71" s="991"/>
    </row>
    <row r="72" spans="1:7" ht="12.75">
      <c r="A72" s="1487" t="s">
        <v>3338</v>
      </c>
      <c r="B72" s="1451"/>
      <c r="C72" s="1451"/>
      <c r="D72" s="1451"/>
      <c r="E72" s="1451"/>
      <c r="F72" s="1451"/>
      <c r="G72" s="1451"/>
    </row>
    <row r="73" spans="1:7" ht="15">
      <c r="A73" s="1003" t="s">
        <v>3444</v>
      </c>
      <c r="B73" s="1004" t="s">
        <v>3445</v>
      </c>
      <c r="C73" s="1004" t="s">
        <v>3315</v>
      </c>
      <c r="D73" s="1004">
        <v>289.27999999999997</v>
      </c>
      <c r="E73" s="1005">
        <v>0</v>
      </c>
      <c r="F73" s="1004" t="s">
        <v>3443</v>
      </c>
      <c r="G73" s="991"/>
    </row>
    <row r="74" spans="1:7" ht="15">
      <c r="A74" s="992" t="s">
        <v>3446</v>
      </c>
      <c r="B74" s="993" t="s">
        <v>3447</v>
      </c>
      <c r="C74" s="993" t="s">
        <v>895</v>
      </c>
      <c r="D74" s="993">
        <v>291.89999999999998</v>
      </c>
      <c r="E74" s="994">
        <v>0</v>
      </c>
      <c r="F74" s="993" t="s">
        <v>3448</v>
      </c>
      <c r="G74" s="991"/>
    </row>
    <row r="75" spans="1:7" ht="15">
      <c r="A75" s="992" t="s">
        <v>3449</v>
      </c>
      <c r="B75" s="993" t="s">
        <v>3450</v>
      </c>
      <c r="C75" s="994" t="s">
        <v>895</v>
      </c>
      <c r="D75" s="994">
        <v>333.26</v>
      </c>
      <c r="E75" s="994">
        <v>4</v>
      </c>
      <c r="F75" s="994" t="s">
        <v>3448</v>
      </c>
      <c r="G75" s="991"/>
    </row>
    <row r="76" spans="1:7" ht="15">
      <c r="A76" s="992" t="s">
        <v>3451</v>
      </c>
      <c r="B76" s="993" t="s">
        <v>3452</v>
      </c>
      <c r="C76" s="993" t="s">
        <v>895</v>
      </c>
      <c r="D76" s="993">
        <v>189.35</v>
      </c>
      <c r="E76" s="994">
        <v>0</v>
      </c>
      <c r="F76" s="993" t="s">
        <v>3453</v>
      </c>
      <c r="G76" s="991"/>
    </row>
    <row r="77" spans="1:7" ht="15">
      <c r="A77" s="996" t="s">
        <v>3454</v>
      </c>
      <c r="B77" s="997" t="s">
        <v>3455</v>
      </c>
      <c r="C77" s="997" t="s">
        <v>895</v>
      </c>
      <c r="D77" s="997">
        <v>240.86</v>
      </c>
      <c r="E77" s="998">
        <v>0</v>
      </c>
      <c r="F77" s="997" t="s">
        <v>3453</v>
      </c>
      <c r="G77" s="991"/>
    </row>
    <row r="78" spans="1:7" ht="15">
      <c r="A78" s="992" t="s">
        <v>3456</v>
      </c>
      <c r="B78" s="993" t="s">
        <v>3457</v>
      </c>
      <c r="C78" s="994" t="s">
        <v>3047</v>
      </c>
      <c r="D78" s="993">
        <v>961.8</v>
      </c>
      <c r="E78" s="994">
        <v>0</v>
      </c>
      <c r="F78" s="993" t="s">
        <v>3337</v>
      </c>
      <c r="G78" s="991"/>
    </row>
    <row r="79" spans="1:7" ht="15">
      <c r="A79" s="996" t="s">
        <v>3458</v>
      </c>
      <c r="B79" s="997" t="s">
        <v>3459</v>
      </c>
      <c r="C79" s="998" t="s">
        <v>3298</v>
      </c>
      <c r="D79" s="997">
        <v>120.4</v>
      </c>
      <c r="E79" s="998">
        <v>0</v>
      </c>
      <c r="F79" s="999"/>
      <c r="G79" s="991"/>
    </row>
    <row r="80" spans="1:7" ht="15">
      <c r="A80" s="992" t="s">
        <v>3460</v>
      </c>
      <c r="B80" s="993" t="s">
        <v>3461</v>
      </c>
      <c r="C80" s="994" t="s">
        <v>3462</v>
      </c>
      <c r="D80" s="994">
        <v>71.5</v>
      </c>
      <c r="E80" s="994">
        <v>936</v>
      </c>
      <c r="F80" s="1001"/>
      <c r="G80" s="991"/>
    </row>
    <row r="81" spans="1:7" ht="15">
      <c r="A81" s="992" t="s">
        <v>3463</v>
      </c>
      <c r="B81" s="993" t="s">
        <v>3464</v>
      </c>
      <c r="C81" s="994" t="s">
        <v>486</v>
      </c>
      <c r="D81" s="994">
        <v>80.849999999999994</v>
      </c>
      <c r="E81" s="994">
        <v>365</v>
      </c>
      <c r="F81" s="1001"/>
      <c r="G81" s="991"/>
    </row>
    <row r="82" spans="1:7" ht="15">
      <c r="A82" s="992" t="s">
        <v>3465</v>
      </c>
      <c r="B82" s="993" t="s">
        <v>3466</v>
      </c>
      <c r="C82" s="993" t="s">
        <v>486</v>
      </c>
      <c r="D82" s="993">
        <v>42.95</v>
      </c>
      <c r="E82" s="994">
        <v>0</v>
      </c>
      <c r="F82" s="995"/>
      <c r="G82" s="991"/>
    </row>
    <row r="83" spans="1:7" ht="15">
      <c r="A83" s="996" t="s">
        <v>3467</v>
      </c>
      <c r="B83" s="997" t="s">
        <v>3468</v>
      </c>
      <c r="C83" s="997" t="s">
        <v>3469</v>
      </c>
      <c r="D83" s="997">
        <v>37.57</v>
      </c>
      <c r="E83" s="998">
        <v>0</v>
      </c>
      <c r="F83" s="999"/>
      <c r="G83" s="991"/>
    </row>
    <row r="84" spans="1:7" ht="15">
      <c r="A84" s="992" t="s">
        <v>3470</v>
      </c>
      <c r="B84" s="993" t="s">
        <v>740</v>
      </c>
      <c r="C84" s="994" t="s">
        <v>657</v>
      </c>
      <c r="D84" s="1007">
        <v>9004.32</v>
      </c>
      <c r="E84" s="994">
        <v>0</v>
      </c>
      <c r="F84" s="995"/>
      <c r="G84" s="991"/>
    </row>
    <row r="85" spans="1:7" ht="15">
      <c r="A85" s="996" t="s">
        <v>3471</v>
      </c>
      <c r="B85" s="997" t="s">
        <v>3472</v>
      </c>
      <c r="C85" s="998" t="s">
        <v>3047</v>
      </c>
      <c r="D85" s="997">
        <v>63.11</v>
      </c>
      <c r="E85" s="998">
        <v>0</v>
      </c>
      <c r="F85" s="999"/>
      <c r="G85" s="991"/>
    </row>
    <row r="86" spans="1:7" ht="15">
      <c r="A86" s="992" t="s">
        <v>3473</v>
      </c>
      <c r="B86" s="993" t="s">
        <v>3474</v>
      </c>
      <c r="C86" s="994" t="s">
        <v>657</v>
      </c>
      <c r="D86" s="993">
        <v>312</v>
      </c>
      <c r="E86" s="994">
        <v>0</v>
      </c>
      <c r="F86" s="995"/>
      <c r="G86" s="991"/>
    </row>
    <row r="87" spans="1:7" ht="15">
      <c r="A87" s="996" t="s">
        <v>3475</v>
      </c>
      <c r="B87" s="997" t="s">
        <v>3476</v>
      </c>
      <c r="C87" s="998" t="s">
        <v>657</v>
      </c>
      <c r="D87" s="997">
        <v>256.88</v>
      </c>
      <c r="E87" s="998">
        <v>0</v>
      </c>
      <c r="F87" s="999"/>
      <c r="G87" s="991"/>
    </row>
    <row r="88" spans="1:7" ht="15">
      <c r="A88" s="992" t="s">
        <v>3477</v>
      </c>
      <c r="B88" s="993" t="s">
        <v>3478</v>
      </c>
      <c r="C88" s="994" t="s">
        <v>657</v>
      </c>
      <c r="D88" s="993">
        <v>256.88</v>
      </c>
      <c r="E88" s="994">
        <v>0</v>
      </c>
      <c r="F88" s="995"/>
      <c r="G88" s="991"/>
    </row>
    <row r="89" spans="1:7" ht="15">
      <c r="A89" s="996" t="s">
        <v>3479</v>
      </c>
      <c r="B89" s="997" t="s">
        <v>3480</v>
      </c>
      <c r="C89" s="998" t="s">
        <v>657</v>
      </c>
      <c r="D89" s="997">
        <v>256.88</v>
      </c>
      <c r="E89" s="998">
        <v>0</v>
      </c>
      <c r="F89" s="999"/>
      <c r="G89" s="991"/>
    </row>
    <row r="90" spans="1:7" ht="15">
      <c r="A90" s="992" t="s">
        <v>3481</v>
      </c>
      <c r="B90" s="993" t="s">
        <v>3482</v>
      </c>
      <c r="C90" s="994" t="s">
        <v>657</v>
      </c>
      <c r="D90" s="993">
        <v>989.04</v>
      </c>
      <c r="E90" s="994">
        <v>0</v>
      </c>
      <c r="F90" s="995"/>
      <c r="G90" s="991"/>
    </row>
    <row r="91" spans="1:7" ht="15">
      <c r="A91" s="992" t="s">
        <v>3483</v>
      </c>
      <c r="B91" s="993" t="s">
        <v>3484</v>
      </c>
      <c r="C91" s="994" t="s">
        <v>657</v>
      </c>
      <c r="D91" s="1008">
        <v>1178.32</v>
      </c>
      <c r="E91" s="994">
        <v>27</v>
      </c>
      <c r="F91" s="1001"/>
      <c r="G91" s="991"/>
    </row>
    <row r="92" spans="1:7" ht="15">
      <c r="A92" s="992" t="s">
        <v>3485</v>
      </c>
      <c r="B92" s="993" t="s">
        <v>3486</v>
      </c>
      <c r="C92" s="994" t="s">
        <v>657</v>
      </c>
      <c r="D92" s="993">
        <v>754</v>
      </c>
      <c r="E92" s="994">
        <v>0</v>
      </c>
      <c r="F92" s="995"/>
      <c r="G92" s="991"/>
    </row>
    <row r="93" spans="1:7" ht="15">
      <c r="A93" s="992" t="s">
        <v>3487</v>
      </c>
      <c r="B93" s="993" t="s">
        <v>3488</v>
      </c>
      <c r="C93" s="994" t="s">
        <v>657</v>
      </c>
      <c r="D93" s="994">
        <v>892.32</v>
      </c>
      <c r="E93" s="994">
        <v>100</v>
      </c>
      <c r="F93" s="1001"/>
      <c r="G93" s="991"/>
    </row>
    <row r="94" spans="1:7" ht="15">
      <c r="A94" s="992" t="s">
        <v>3489</v>
      </c>
      <c r="B94" s="993" t="s">
        <v>3490</v>
      </c>
      <c r="C94" s="994" t="s">
        <v>657</v>
      </c>
      <c r="D94" s="994">
        <v>231.9</v>
      </c>
      <c r="E94" s="1000">
        <v>1081</v>
      </c>
      <c r="F94" s="1001"/>
      <c r="G94" s="991"/>
    </row>
    <row r="95" spans="1:7" ht="15">
      <c r="A95" s="992" t="s">
        <v>3491</v>
      </c>
      <c r="B95" s="993" t="s">
        <v>3492</v>
      </c>
      <c r="C95" s="994" t="s">
        <v>657</v>
      </c>
      <c r="D95" s="994">
        <v>242.2</v>
      </c>
      <c r="E95" s="994">
        <v>292</v>
      </c>
      <c r="F95" s="1001"/>
      <c r="G95" s="991"/>
    </row>
    <row r="96" spans="1:7" ht="15">
      <c r="A96" s="992" t="s">
        <v>3493</v>
      </c>
      <c r="B96" s="993" t="s">
        <v>3494</v>
      </c>
      <c r="C96" s="994" t="s">
        <v>657</v>
      </c>
      <c r="D96" s="994">
        <v>242.2</v>
      </c>
      <c r="E96" s="994">
        <v>287</v>
      </c>
      <c r="F96" s="1001"/>
      <c r="G96" s="991"/>
    </row>
    <row r="97" spans="1:7" ht="15">
      <c r="A97" s="992" t="s">
        <v>3495</v>
      </c>
      <c r="B97" s="993" t="s">
        <v>3496</v>
      </c>
      <c r="C97" s="994" t="s">
        <v>657</v>
      </c>
      <c r="D97" s="994">
        <v>242.2</v>
      </c>
      <c r="E97" s="994">
        <v>292</v>
      </c>
      <c r="F97" s="1001"/>
      <c r="G97" s="991"/>
    </row>
    <row r="98" spans="1:7" ht="12.75">
      <c r="A98" s="1487" t="s">
        <v>3338</v>
      </c>
      <c r="B98" s="1451"/>
      <c r="C98" s="1451"/>
      <c r="D98" s="1451"/>
      <c r="E98" s="1451"/>
      <c r="F98" s="1451"/>
      <c r="G98" s="1451"/>
    </row>
    <row r="99" spans="1:7" ht="15">
      <c r="A99" s="1009" t="s">
        <v>3497</v>
      </c>
      <c r="B99" s="1010" t="s">
        <v>3498</v>
      </c>
      <c r="C99" s="1011" t="s">
        <v>657</v>
      </c>
      <c r="D99" s="1010">
        <v>773.76</v>
      </c>
      <c r="E99" s="1011">
        <v>0</v>
      </c>
      <c r="F99" s="1013"/>
      <c r="G99" s="991"/>
    </row>
    <row r="100" spans="1:7" ht="15">
      <c r="A100" s="996" t="s">
        <v>3499</v>
      </c>
      <c r="B100" s="997" t="s">
        <v>3500</v>
      </c>
      <c r="C100" s="998" t="s">
        <v>657</v>
      </c>
      <c r="D100" s="997">
        <v>950.56</v>
      </c>
      <c r="E100" s="998">
        <v>0</v>
      </c>
      <c r="F100" s="999"/>
      <c r="G100" s="991"/>
    </row>
    <row r="101" spans="1:7" ht="15">
      <c r="A101" s="992" t="s">
        <v>3501</v>
      </c>
      <c r="B101" s="993" t="s">
        <v>3502</v>
      </c>
      <c r="C101" s="994" t="s">
        <v>657</v>
      </c>
      <c r="D101" s="993">
        <v>803.25</v>
      </c>
      <c r="E101" s="994">
        <v>0</v>
      </c>
      <c r="F101" s="995"/>
      <c r="G101" s="991"/>
    </row>
    <row r="102" spans="1:7" ht="15">
      <c r="A102" s="996" t="s">
        <v>3503</v>
      </c>
      <c r="B102" s="997" t="s">
        <v>3504</v>
      </c>
      <c r="C102" s="997" t="s">
        <v>657</v>
      </c>
      <c r="D102" s="997">
        <v>929.25</v>
      </c>
      <c r="E102" s="998">
        <v>0</v>
      </c>
      <c r="F102" s="999"/>
      <c r="G102" s="991"/>
    </row>
    <row r="103" spans="1:7" ht="15">
      <c r="A103" s="992" t="s">
        <v>3505</v>
      </c>
      <c r="B103" s="993" t="s">
        <v>3506</v>
      </c>
      <c r="C103" s="994" t="s">
        <v>657</v>
      </c>
      <c r="D103" s="994">
        <v>880.88</v>
      </c>
      <c r="E103" s="994">
        <v>20</v>
      </c>
      <c r="F103" s="1001"/>
      <c r="G103" s="991"/>
    </row>
    <row r="104" spans="1:7" ht="15">
      <c r="A104" s="996" t="s">
        <v>3507</v>
      </c>
      <c r="B104" s="997" t="s">
        <v>3508</v>
      </c>
      <c r="C104" s="998" t="s">
        <v>657</v>
      </c>
      <c r="D104" s="997">
        <v>915.2</v>
      </c>
      <c r="E104" s="998">
        <v>0</v>
      </c>
      <c r="F104" s="999"/>
      <c r="G104" s="991"/>
    </row>
    <row r="105" spans="1:7" ht="15">
      <c r="A105" s="992" t="s">
        <v>3509</v>
      </c>
      <c r="B105" s="993" t="s">
        <v>3510</v>
      </c>
      <c r="C105" s="994" t="s">
        <v>657</v>
      </c>
      <c r="D105" s="993">
        <v>366.08</v>
      </c>
      <c r="E105" s="994">
        <v>0</v>
      </c>
      <c r="F105" s="995"/>
      <c r="G105" s="991"/>
    </row>
    <row r="106" spans="1:7" ht="15">
      <c r="A106" s="996" t="s">
        <v>3511</v>
      </c>
      <c r="B106" s="997" t="s">
        <v>3512</v>
      </c>
      <c r="C106" s="998" t="s">
        <v>657</v>
      </c>
      <c r="D106" s="997">
        <v>369.6</v>
      </c>
      <c r="E106" s="998">
        <v>0</v>
      </c>
      <c r="F106" s="999"/>
      <c r="G106" s="991"/>
    </row>
    <row r="107" spans="1:7" ht="15">
      <c r="A107" s="992" t="s">
        <v>3513</v>
      </c>
      <c r="B107" s="993" t="s">
        <v>3514</v>
      </c>
      <c r="C107" s="994" t="s">
        <v>657</v>
      </c>
      <c r="D107" s="993">
        <v>641.67999999999995</v>
      </c>
      <c r="E107" s="994">
        <v>0</v>
      </c>
      <c r="F107" s="995"/>
      <c r="G107" s="991"/>
    </row>
    <row r="108" spans="1:7" ht="15">
      <c r="A108" s="996" t="s">
        <v>3515</v>
      </c>
      <c r="B108" s="997" t="s">
        <v>3516</v>
      </c>
      <c r="C108" s="998" t="s">
        <v>657</v>
      </c>
      <c r="D108" s="997">
        <v>641.67999999999995</v>
      </c>
      <c r="E108" s="998">
        <v>0</v>
      </c>
      <c r="F108" s="999"/>
      <c r="G108" s="991"/>
    </row>
    <row r="109" spans="1:7" ht="15">
      <c r="A109" s="992" t="s">
        <v>3517</v>
      </c>
      <c r="B109" s="993" t="s">
        <v>3518</v>
      </c>
      <c r="C109" s="994" t="s">
        <v>657</v>
      </c>
      <c r="D109" s="993">
        <v>641.67999999999995</v>
      </c>
      <c r="E109" s="994">
        <v>0</v>
      </c>
      <c r="F109" s="995"/>
      <c r="G109" s="991"/>
    </row>
    <row r="110" spans="1:7" ht="15">
      <c r="A110" s="996" t="s">
        <v>3519</v>
      </c>
      <c r="B110" s="997" t="s">
        <v>3520</v>
      </c>
      <c r="C110" s="998" t="s">
        <v>657</v>
      </c>
      <c r="D110" s="1002">
        <v>1346.8</v>
      </c>
      <c r="E110" s="998">
        <v>0</v>
      </c>
      <c r="F110" s="999"/>
      <c r="G110" s="991"/>
    </row>
    <row r="111" spans="1:7" ht="15">
      <c r="A111" s="992" t="s">
        <v>3521</v>
      </c>
      <c r="B111" s="993" t="s">
        <v>3522</v>
      </c>
      <c r="C111" s="994" t="s">
        <v>657</v>
      </c>
      <c r="D111" s="993">
        <v>756.08</v>
      </c>
      <c r="E111" s="994">
        <v>0</v>
      </c>
      <c r="F111" s="995"/>
      <c r="G111" s="991"/>
    </row>
    <row r="112" spans="1:7" ht="15">
      <c r="A112" s="996" t="s">
        <v>3523</v>
      </c>
      <c r="B112" s="997" t="s">
        <v>3524</v>
      </c>
      <c r="C112" s="998" t="s">
        <v>657</v>
      </c>
      <c r="D112" s="997">
        <v>931.84</v>
      </c>
      <c r="E112" s="998">
        <v>0</v>
      </c>
      <c r="F112" s="999"/>
      <c r="G112" s="991"/>
    </row>
    <row r="113" spans="1:7" ht="15">
      <c r="A113" s="992" t="s">
        <v>3525</v>
      </c>
      <c r="B113" s="993" t="s">
        <v>3526</v>
      </c>
      <c r="C113" s="994" t="s">
        <v>657</v>
      </c>
      <c r="D113" s="1007">
        <v>1944.8</v>
      </c>
      <c r="E113" s="994">
        <v>0</v>
      </c>
      <c r="F113" s="995"/>
      <c r="G113" s="991"/>
    </row>
    <row r="114" spans="1:7" ht="15">
      <c r="A114" s="996" t="s">
        <v>3527</v>
      </c>
      <c r="B114" s="997" t="s">
        <v>3528</v>
      </c>
      <c r="C114" s="998" t="s">
        <v>657</v>
      </c>
      <c r="D114" s="1002">
        <v>1539.2</v>
      </c>
      <c r="E114" s="998">
        <v>0</v>
      </c>
      <c r="F114" s="999"/>
      <c r="G114" s="991"/>
    </row>
    <row r="115" spans="1:7" ht="15">
      <c r="A115" s="992" t="s">
        <v>3529</v>
      </c>
      <c r="B115" s="993" t="s">
        <v>3530</v>
      </c>
      <c r="C115" s="994" t="s">
        <v>657</v>
      </c>
      <c r="D115" s="1007">
        <v>1786.72</v>
      </c>
      <c r="E115" s="994">
        <v>0</v>
      </c>
      <c r="F115" s="995"/>
      <c r="G115" s="991"/>
    </row>
    <row r="116" spans="1:7" ht="15">
      <c r="A116" s="996" t="s">
        <v>3531</v>
      </c>
      <c r="B116" s="997" t="s">
        <v>3532</v>
      </c>
      <c r="C116" s="998" t="s">
        <v>657</v>
      </c>
      <c r="D116" s="1002">
        <v>1326</v>
      </c>
      <c r="E116" s="998">
        <v>0</v>
      </c>
      <c r="F116" s="999"/>
      <c r="G116" s="991"/>
    </row>
    <row r="117" spans="1:7" ht="15">
      <c r="A117" s="992" t="s">
        <v>3533</v>
      </c>
      <c r="B117" s="993" t="s">
        <v>3534</v>
      </c>
      <c r="C117" s="994" t="s">
        <v>657</v>
      </c>
      <c r="D117" s="1007">
        <v>1326</v>
      </c>
      <c r="E117" s="994">
        <v>0</v>
      </c>
      <c r="F117" s="995"/>
      <c r="G117" s="991"/>
    </row>
    <row r="118" spans="1:7" ht="15">
      <c r="A118" s="996" t="s">
        <v>3535</v>
      </c>
      <c r="B118" s="997" t="s">
        <v>3536</v>
      </c>
      <c r="C118" s="998" t="s">
        <v>657</v>
      </c>
      <c r="D118" s="1002">
        <v>1326</v>
      </c>
      <c r="E118" s="998">
        <v>0</v>
      </c>
      <c r="F118" s="999"/>
      <c r="G118" s="991"/>
    </row>
    <row r="119" spans="1:7" ht="15">
      <c r="A119" s="992" t="s">
        <v>3537</v>
      </c>
      <c r="B119" s="993" t="s">
        <v>3538</v>
      </c>
      <c r="C119" s="994" t="s">
        <v>657</v>
      </c>
      <c r="D119" s="993">
        <v>419.12</v>
      </c>
      <c r="E119" s="994">
        <v>0</v>
      </c>
      <c r="F119" s="995"/>
      <c r="G119" s="991"/>
    </row>
    <row r="120" spans="1:7" ht="15">
      <c r="A120" s="996" t="s">
        <v>3539</v>
      </c>
      <c r="B120" s="997" t="s">
        <v>3540</v>
      </c>
      <c r="C120" s="998" t="s">
        <v>657</v>
      </c>
      <c r="D120" s="997">
        <v>419.12</v>
      </c>
      <c r="E120" s="998">
        <v>0</v>
      </c>
      <c r="F120" s="999"/>
      <c r="G120" s="991"/>
    </row>
    <row r="121" spans="1:7" ht="15">
      <c r="A121" s="992" t="s">
        <v>3541</v>
      </c>
      <c r="B121" s="993" t="s">
        <v>3542</v>
      </c>
      <c r="C121" s="994" t="s">
        <v>657</v>
      </c>
      <c r="D121" s="993">
        <v>366.08</v>
      </c>
      <c r="E121" s="994">
        <v>0</v>
      </c>
      <c r="F121" s="995"/>
      <c r="G121" s="991"/>
    </row>
    <row r="122" spans="1:7" ht="15">
      <c r="A122" s="996" t="s">
        <v>3543</v>
      </c>
      <c r="B122" s="997" t="s">
        <v>3544</v>
      </c>
      <c r="C122" s="998" t="s">
        <v>657</v>
      </c>
      <c r="D122" s="997">
        <v>404.56</v>
      </c>
      <c r="E122" s="998">
        <v>0</v>
      </c>
      <c r="F122" s="999"/>
      <c r="G122" s="991"/>
    </row>
    <row r="123" spans="1:7" ht="15">
      <c r="A123" s="992" t="s">
        <v>3545</v>
      </c>
      <c r="B123" s="993" t="s">
        <v>3546</v>
      </c>
      <c r="C123" s="994" t="s">
        <v>657</v>
      </c>
      <c r="D123" s="993">
        <v>424.32</v>
      </c>
      <c r="E123" s="994">
        <v>0</v>
      </c>
      <c r="F123" s="995"/>
      <c r="G123" s="991"/>
    </row>
    <row r="124" spans="1:7" ht="12.75">
      <c r="A124" s="1487" t="s">
        <v>3338</v>
      </c>
      <c r="B124" s="1451"/>
      <c r="C124" s="1451"/>
      <c r="D124" s="1451"/>
      <c r="E124" s="1451"/>
      <c r="F124" s="1451"/>
      <c r="G124" s="1451"/>
    </row>
    <row r="125" spans="1:7" ht="15">
      <c r="A125" s="1003" t="s">
        <v>3547</v>
      </c>
      <c r="B125" s="1004" t="s">
        <v>3548</v>
      </c>
      <c r="C125" s="1005" t="s">
        <v>657</v>
      </c>
      <c r="D125" s="1004">
        <v>424.32</v>
      </c>
      <c r="E125" s="1005">
        <v>0</v>
      </c>
      <c r="F125" s="1006"/>
      <c r="G125" s="991"/>
    </row>
    <row r="126" spans="1:7" ht="15">
      <c r="A126" s="992" t="s">
        <v>3549</v>
      </c>
      <c r="B126" s="993" t="s">
        <v>3550</v>
      </c>
      <c r="C126" s="994" t="s">
        <v>657</v>
      </c>
      <c r="D126" s="993">
        <v>982.8</v>
      </c>
      <c r="E126" s="994">
        <v>0</v>
      </c>
      <c r="F126" s="995"/>
      <c r="G126" s="991"/>
    </row>
    <row r="127" spans="1:7" ht="15">
      <c r="A127" s="996" t="s">
        <v>3551</v>
      </c>
      <c r="B127" s="997" t="s">
        <v>3552</v>
      </c>
      <c r="C127" s="998" t="s">
        <v>657</v>
      </c>
      <c r="D127" s="997">
        <v>982.8</v>
      </c>
      <c r="E127" s="998">
        <v>0</v>
      </c>
      <c r="F127" s="999"/>
      <c r="G127" s="991"/>
    </row>
    <row r="128" spans="1:7" ht="15">
      <c r="A128" s="992" t="s">
        <v>3553</v>
      </c>
      <c r="B128" s="993" t="s">
        <v>3554</v>
      </c>
      <c r="C128" s="994" t="s">
        <v>657</v>
      </c>
      <c r="D128" s="993">
        <v>982.8</v>
      </c>
      <c r="E128" s="994">
        <v>0</v>
      </c>
      <c r="F128" s="995"/>
      <c r="G128" s="991"/>
    </row>
    <row r="129" spans="1:7" ht="15">
      <c r="A129" s="996" t="s">
        <v>3555</v>
      </c>
      <c r="B129" s="997" t="s">
        <v>3556</v>
      </c>
      <c r="C129" s="998" t="s">
        <v>657</v>
      </c>
      <c r="D129" s="1002">
        <v>4956.6000000000004</v>
      </c>
      <c r="E129" s="998">
        <v>0</v>
      </c>
      <c r="F129" s="999"/>
      <c r="G129" s="991"/>
    </row>
    <row r="130" spans="1:7" ht="15">
      <c r="A130" s="992" t="s">
        <v>3557</v>
      </c>
      <c r="B130" s="993" t="s">
        <v>3558</v>
      </c>
      <c r="C130" s="994" t="s">
        <v>657</v>
      </c>
      <c r="D130" s="1007">
        <v>1212.6400000000001</v>
      </c>
      <c r="E130" s="994">
        <v>0</v>
      </c>
      <c r="F130" s="995"/>
      <c r="G130" s="991"/>
    </row>
    <row r="131" spans="1:7" ht="15">
      <c r="A131" s="996" t="s">
        <v>3559</v>
      </c>
      <c r="B131" s="997" t="s">
        <v>3560</v>
      </c>
      <c r="C131" s="998" t="s">
        <v>657</v>
      </c>
      <c r="D131" s="1002">
        <v>1339.52</v>
      </c>
      <c r="E131" s="998">
        <v>0</v>
      </c>
      <c r="F131" s="999"/>
      <c r="G131" s="991"/>
    </row>
    <row r="132" spans="1:7" ht="15">
      <c r="A132" s="992" t="s">
        <v>3561</v>
      </c>
      <c r="B132" s="993" t="s">
        <v>3562</v>
      </c>
      <c r="C132" s="994" t="s">
        <v>657</v>
      </c>
      <c r="D132" s="1007">
        <v>1339.52</v>
      </c>
      <c r="E132" s="994">
        <v>0</v>
      </c>
      <c r="F132" s="995"/>
      <c r="G132" s="991"/>
    </row>
    <row r="133" spans="1:7" ht="15">
      <c r="A133" s="996" t="s">
        <v>3563</v>
      </c>
      <c r="B133" s="997" t="s">
        <v>3564</v>
      </c>
      <c r="C133" s="997" t="s">
        <v>657</v>
      </c>
      <c r="D133" s="1002">
        <v>1817.92</v>
      </c>
      <c r="E133" s="998">
        <v>0</v>
      </c>
      <c r="F133" s="999"/>
      <c r="G133" s="991"/>
    </row>
    <row r="134" spans="1:7" ht="15">
      <c r="A134" s="992" t="s">
        <v>3565</v>
      </c>
      <c r="B134" s="993" t="s">
        <v>3566</v>
      </c>
      <c r="C134" s="994" t="s">
        <v>657</v>
      </c>
      <c r="D134" s="993">
        <v>453.62</v>
      </c>
      <c r="E134" s="994">
        <v>0</v>
      </c>
      <c r="F134" s="995"/>
      <c r="G134" s="991"/>
    </row>
    <row r="135" spans="1:7" ht="15">
      <c r="A135" s="996" t="s">
        <v>3567</v>
      </c>
      <c r="B135" s="997" t="s">
        <v>3568</v>
      </c>
      <c r="C135" s="998" t="s">
        <v>657</v>
      </c>
      <c r="D135" s="997">
        <v>453.62</v>
      </c>
      <c r="E135" s="998">
        <v>0</v>
      </c>
      <c r="F135" s="999"/>
      <c r="G135" s="991"/>
    </row>
    <row r="136" spans="1:7" ht="15">
      <c r="A136" s="992" t="s">
        <v>3569</v>
      </c>
      <c r="B136" s="993" t="s">
        <v>3570</v>
      </c>
      <c r="C136" s="994" t="s">
        <v>657</v>
      </c>
      <c r="D136" s="993">
        <v>453.62</v>
      </c>
      <c r="E136" s="994">
        <v>0</v>
      </c>
      <c r="F136" s="995"/>
      <c r="G136" s="991"/>
    </row>
    <row r="137" spans="1:7" ht="15">
      <c r="A137" s="996" t="s">
        <v>3571</v>
      </c>
      <c r="B137" s="997" t="s">
        <v>3572</v>
      </c>
      <c r="C137" s="998" t="s">
        <v>657</v>
      </c>
      <c r="D137" s="997">
        <v>741.28</v>
      </c>
      <c r="E137" s="998">
        <v>0</v>
      </c>
      <c r="F137" s="999"/>
      <c r="G137" s="991"/>
    </row>
    <row r="138" spans="1:7" ht="15">
      <c r="A138" s="992" t="s">
        <v>3573</v>
      </c>
      <c r="B138" s="993" t="s">
        <v>3574</v>
      </c>
      <c r="C138" s="994" t="s">
        <v>3298</v>
      </c>
      <c r="D138" s="993">
        <v>140.69999999999999</v>
      </c>
      <c r="E138" s="994">
        <v>0</v>
      </c>
      <c r="F138" s="995"/>
      <c r="G138" s="991"/>
    </row>
    <row r="139" spans="1:7" ht="15">
      <c r="A139" s="996" t="s">
        <v>3575</v>
      </c>
      <c r="B139" s="997" t="s">
        <v>668</v>
      </c>
      <c r="C139" s="998" t="s">
        <v>466</v>
      </c>
      <c r="D139" s="1002">
        <v>46800</v>
      </c>
      <c r="E139" s="998">
        <v>0</v>
      </c>
      <c r="F139" s="998" t="s">
        <v>3380</v>
      </c>
      <c r="G139" s="991"/>
    </row>
    <row r="140" spans="1:7" ht="15">
      <c r="A140" s="992" t="s">
        <v>3576</v>
      </c>
      <c r="B140" s="993" t="s">
        <v>669</v>
      </c>
      <c r="C140" s="994" t="s">
        <v>466</v>
      </c>
      <c r="D140" s="1008">
        <v>42380</v>
      </c>
      <c r="E140" s="994">
        <v>11</v>
      </c>
      <c r="F140" s="994" t="s">
        <v>3380</v>
      </c>
      <c r="G140" s="991"/>
    </row>
    <row r="141" spans="1:7" ht="15">
      <c r="A141" s="996" t="s">
        <v>3577</v>
      </c>
      <c r="B141" s="997" t="s">
        <v>3578</v>
      </c>
      <c r="C141" s="997" t="s">
        <v>601</v>
      </c>
      <c r="D141" s="997">
        <v>82.95</v>
      </c>
      <c r="E141" s="998">
        <v>0</v>
      </c>
      <c r="F141" s="999"/>
      <c r="G141" s="991"/>
    </row>
    <row r="142" spans="1:7" ht="15">
      <c r="A142" s="992" t="s">
        <v>3579</v>
      </c>
      <c r="B142" s="993" t="s">
        <v>3580</v>
      </c>
      <c r="C142" s="993" t="s">
        <v>601</v>
      </c>
      <c r="D142" s="993">
        <v>205.82</v>
      </c>
      <c r="E142" s="994">
        <v>0</v>
      </c>
      <c r="F142" s="995"/>
      <c r="G142" s="991"/>
    </row>
    <row r="143" spans="1:7" ht="15">
      <c r="A143" s="996" t="s">
        <v>3581</v>
      </c>
      <c r="B143" s="997" t="s">
        <v>3582</v>
      </c>
      <c r="C143" s="997" t="s">
        <v>3315</v>
      </c>
      <c r="D143" s="997">
        <v>794.96</v>
      </c>
      <c r="E143" s="998">
        <v>0</v>
      </c>
      <c r="F143" s="997" t="s">
        <v>3583</v>
      </c>
      <c r="G143" s="991"/>
    </row>
    <row r="144" spans="1:7" ht="15">
      <c r="A144" s="992" t="s">
        <v>3584</v>
      </c>
      <c r="B144" s="993" t="s">
        <v>3585</v>
      </c>
      <c r="C144" s="993" t="s">
        <v>601</v>
      </c>
      <c r="D144" s="993">
        <v>41.6</v>
      </c>
      <c r="E144" s="994">
        <v>0</v>
      </c>
      <c r="F144" s="995"/>
      <c r="G144" s="991"/>
    </row>
    <row r="145" spans="1:7" ht="15">
      <c r="A145" s="996" t="s">
        <v>3586</v>
      </c>
      <c r="B145" s="997" t="s">
        <v>3587</v>
      </c>
      <c r="C145" s="998" t="s">
        <v>3433</v>
      </c>
      <c r="D145" s="997">
        <v>36.659999999999997</v>
      </c>
      <c r="E145" s="998">
        <v>0</v>
      </c>
      <c r="F145" s="997" t="s">
        <v>3588</v>
      </c>
      <c r="G145" s="991"/>
    </row>
    <row r="146" spans="1:7" ht="15">
      <c r="A146" s="992" t="s">
        <v>3589</v>
      </c>
      <c r="B146" s="993" t="s">
        <v>3590</v>
      </c>
      <c r="C146" s="993" t="s">
        <v>601</v>
      </c>
      <c r="D146" s="994">
        <v>7.54</v>
      </c>
      <c r="E146" s="994">
        <v>0</v>
      </c>
      <c r="F146" s="995"/>
      <c r="G146" s="991"/>
    </row>
    <row r="147" spans="1:7" ht="15">
      <c r="A147" s="992" t="s">
        <v>3591</v>
      </c>
      <c r="B147" s="993" t="s">
        <v>3592</v>
      </c>
      <c r="C147" s="994" t="s">
        <v>601</v>
      </c>
      <c r="D147" s="994">
        <v>8.27</v>
      </c>
      <c r="E147" s="994">
        <v>414</v>
      </c>
      <c r="F147" s="1001"/>
      <c r="G147" s="991"/>
    </row>
    <row r="148" spans="1:7" ht="15">
      <c r="A148" s="992" t="s">
        <v>3593</v>
      </c>
      <c r="B148" s="993" t="s">
        <v>3594</v>
      </c>
      <c r="C148" s="993" t="s">
        <v>601</v>
      </c>
      <c r="D148" s="994">
        <v>7.54</v>
      </c>
      <c r="E148" s="994">
        <v>0</v>
      </c>
      <c r="F148" s="995"/>
      <c r="G148" s="991"/>
    </row>
    <row r="149" spans="1:7" ht="15">
      <c r="A149" s="996" t="s">
        <v>3595</v>
      </c>
      <c r="B149" s="997" t="s">
        <v>3596</v>
      </c>
      <c r="C149" s="997" t="s">
        <v>601</v>
      </c>
      <c r="D149" s="998">
        <v>9.74</v>
      </c>
      <c r="E149" s="998">
        <v>0</v>
      </c>
      <c r="F149" s="999"/>
      <c r="G149" s="991"/>
    </row>
    <row r="150" spans="1:7" ht="12.75">
      <c r="A150" s="1487" t="s">
        <v>3338</v>
      </c>
      <c r="B150" s="1451"/>
      <c r="C150" s="1451"/>
      <c r="D150" s="1451"/>
      <c r="E150" s="1451"/>
      <c r="F150" s="1451"/>
      <c r="G150" s="1451"/>
    </row>
    <row r="151" spans="1:7" ht="15">
      <c r="A151" s="1009" t="s">
        <v>3597</v>
      </c>
      <c r="B151" s="1010" t="s">
        <v>3598</v>
      </c>
      <c r="C151" s="1010" t="s">
        <v>601</v>
      </c>
      <c r="D151" s="1010">
        <v>13.38</v>
      </c>
      <c r="E151" s="1011">
        <v>0</v>
      </c>
      <c r="F151" s="1013"/>
      <c r="G151" s="991"/>
    </row>
    <row r="152" spans="1:7" ht="15">
      <c r="A152" s="996" t="s">
        <v>3599</v>
      </c>
      <c r="B152" s="997" t="s">
        <v>3600</v>
      </c>
      <c r="C152" s="997" t="s">
        <v>601</v>
      </c>
      <c r="D152" s="997">
        <v>13.38</v>
      </c>
      <c r="E152" s="998">
        <v>0</v>
      </c>
      <c r="F152" s="999"/>
      <c r="G152" s="991"/>
    </row>
    <row r="153" spans="1:7" ht="15">
      <c r="A153" s="992" t="s">
        <v>3601</v>
      </c>
      <c r="B153" s="993" t="s">
        <v>3602</v>
      </c>
      <c r="C153" s="993" t="s">
        <v>601</v>
      </c>
      <c r="D153" s="993">
        <v>347.41</v>
      </c>
      <c r="E153" s="994">
        <v>0</v>
      </c>
      <c r="F153" s="995"/>
      <c r="G153" s="991"/>
    </row>
    <row r="154" spans="1:7" ht="15">
      <c r="A154" s="996" t="s">
        <v>3603</v>
      </c>
      <c r="B154" s="997" t="s">
        <v>3604</v>
      </c>
      <c r="C154" s="997" t="s">
        <v>601</v>
      </c>
      <c r="D154" s="997">
        <v>344.91</v>
      </c>
      <c r="E154" s="998">
        <v>0</v>
      </c>
      <c r="F154" s="999"/>
      <c r="G154" s="991"/>
    </row>
    <row r="155" spans="1:7" ht="15">
      <c r="A155" s="992" t="s">
        <v>3605</v>
      </c>
      <c r="B155" s="993" t="s">
        <v>3606</v>
      </c>
      <c r="C155" s="994" t="s">
        <v>92</v>
      </c>
      <c r="D155" s="1007">
        <v>1248</v>
      </c>
      <c r="E155" s="994">
        <v>0</v>
      </c>
      <c r="F155" s="995"/>
      <c r="G155" s="991"/>
    </row>
    <row r="156" spans="1:7" ht="15">
      <c r="A156" s="996" t="s">
        <v>3607</v>
      </c>
      <c r="B156" s="997" t="s">
        <v>3608</v>
      </c>
      <c r="C156" s="998" t="s">
        <v>92</v>
      </c>
      <c r="D156" s="1002">
        <v>1250.23</v>
      </c>
      <c r="E156" s="998">
        <v>0</v>
      </c>
      <c r="F156" s="999"/>
      <c r="G156" s="991"/>
    </row>
    <row r="157" spans="1:7" ht="15">
      <c r="A157" s="992" t="s">
        <v>3609</v>
      </c>
      <c r="B157" s="993" t="s">
        <v>3610</v>
      </c>
      <c r="C157" s="994" t="s">
        <v>92</v>
      </c>
      <c r="D157" s="1007">
        <v>2288</v>
      </c>
      <c r="E157" s="994">
        <v>0</v>
      </c>
      <c r="F157" s="995"/>
      <c r="G157" s="991"/>
    </row>
    <row r="158" spans="1:7" ht="15">
      <c r="A158" s="996" t="s">
        <v>3611</v>
      </c>
      <c r="B158" s="997" t="s">
        <v>3612</v>
      </c>
      <c r="C158" s="997" t="s">
        <v>601</v>
      </c>
      <c r="D158" s="997">
        <v>126</v>
      </c>
      <c r="E158" s="998">
        <v>0</v>
      </c>
      <c r="F158" s="999"/>
      <c r="G158" s="991"/>
    </row>
    <row r="159" spans="1:7" ht="15">
      <c r="A159" s="992" t="s">
        <v>3613</v>
      </c>
      <c r="B159" s="993" t="s">
        <v>3614</v>
      </c>
      <c r="C159" s="994" t="s">
        <v>601</v>
      </c>
      <c r="D159" s="994">
        <v>122.51</v>
      </c>
      <c r="E159" s="994">
        <v>1</v>
      </c>
      <c r="F159" s="1001"/>
      <c r="G159" s="991"/>
    </row>
    <row r="160" spans="1:7" ht="15">
      <c r="A160" s="996" t="s">
        <v>3615</v>
      </c>
      <c r="B160" s="997" t="s">
        <v>671</v>
      </c>
      <c r="C160" s="998" t="s">
        <v>92</v>
      </c>
      <c r="D160" s="997">
        <v>149.76</v>
      </c>
      <c r="E160" s="998">
        <v>0</v>
      </c>
      <c r="F160" s="999"/>
      <c r="G160" s="991"/>
    </row>
    <row r="161" spans="1:7" ht="15">
      <c r="A161" s="992" t="s">
        <v>3616</v>
      </c>
      <c r="B161" s="993" t="s">
        <v>3617</v>
      </c>
      <c r="C161" s="994" t="s">
        <v>92</v>
      </c>
      <c r="D161" s="1007">
        <v>16766</v>
      </c>
      <c r="E161" s="994">
        <v>0</v>
      </c>
      <c r="F161" s="995"/>
      <c r="G161" s="991"/>
    </row>
    <row r="162" spans="1:7" ht="15">
      <c r="A162" s="996" t="s">
        <v>3618</v>
      </c>
      <c r="B162" s="997" t="s">
        <v>3619</v>
      </c>
      <c r="C162" s="997" t="s">
        <v>3620</v>
      </c>
      <c r="D162" s="997">
        <v>52.5</v>
      </c>
      <c r="E162" s="998">
        <v>0</v>
      </c>
      <c r="F162" s="999"/>
      <c r="G162" s="991"/>
    </row>
    <row r="163" spans="1:7" ht="15">
      <c r="A163" s="992" t="s">
        <v>3621</v>
      </c>
      <c r="B163" s="993" t="s">
        <v>3622</v>
      </c>
      <c r="C163" s="993" t="s">
        <v>3620</v>
      </c>
      <c r="D163" s="993">
        <v>37.06</v>
      </c>
      <c r="E163" s="994">
        <v>0</v>
      </c>
      <c r="F163" s="995"/>
      <c r="G163" s="991"/>
    </row>
    <row r="164" spans="1:7" ht="15">
      <c r="A164" s="996" t="s">
        <v>3623</v>
      </c>
      <c r="B164" s="997" t="s">
        <v>3624</v>
      </c>
      <c r="C164" s="997" t="s">
        <v>3620</v>
      </c>
      <c r="D164" s="997">
        <v>59.28</v>
      </c>
      <c r="E164" s="998">
        <v>0</v>
      </c>
      <c r="F164" s="999"/>
      <c r="G164" s="991"/>
    </row>
    <row r="165" spans="1:7" ht="15">
      <c r="A165" s="992" t="s">
        <v>3625</v>
      </c>
      <c r="B165" s="993" t="s">
        <v>3626</v>
      </c>
      <c r="C165" s="993" t="s">
        <v>601</v>
      </c>
      <c r="D165" s="993">
        <v>13.05</v>
      </c>
      <c r="E165" s="994">
        <v>0</v>
      </c>
      <c r="F165" s="995"/>
      <c r="G165" s="991"/>
    </row>
    <row r="166" spans="1:7" ht="15">
      <c r="A166" s="992" t="s">
        <v>3627</v>
      </c>
      <c r="B166" s="993" t="s">
        <v>3628</v>
      </c>
      <c r="C166" s="994" t="s">
        <v>3620</v>
      </c>
      <c r="D166" s="994">
        <v>21.53</v>
      </c>
      <c r="E166" s="994">
        <v>985</v>
      </c>
      <c r="F166" s="1001"/>
      <c r="G166" s="991"/>
    </row>
    <row r="167" spans="1:7" ht="15">
      <c r="A167" s="992" t="s">
        <v>3629</v>
      </c>
      <c r="B167" s="993" t="s">
        <v>3630</v>
      </c>
      <c r="C167" s="994" t="s">
        <v>3047</v>
      </c>
      <c r="D167" s="994">
        <v>8.82</v>
      </c>
      <c r="E167" s="994">
        <v>292</v>
      </c>
      <c r="F167" s="1001"/>
      <c r="G167" s="991"/>
    </row>
    <row r="168" spans="1:7" ht="15">
      <c r="A168" s="996" t="s">
        <v>3631</v>
      </c>
      <c r="B168" s="997" t="s">
        <v>3632</v>
      </c>
      <c r="C168" s="998" t="s">
        <v>3047</v>
      </c>
      <c r="D168" s="997">
        <v>13.91</v>
      </c>
      <c r="E168" s="998">
        <v>0</v>
      </c>
      <c r="F168" s="999"/>
      <c r="G168" s="991"/>
    </row>
    <row r="169" spans="1:7" ht="15">
      <c r="A169" s="992" t="s">
        <v>3633</v>
      </c>
      <c r="B169" s="993" t="s">
        <v>3634</v>
      </c>
      <c r="C169" s="994" t="s">
        <v>92</v>
      </c>
      <c r="D169" s="1007">
        <v>5699.2</v>
      </c>
      <c r="E169" s="994">
        <v>0</v>
      </c>
      <c r="F169" s="995"/>
      <c r="G169" s="991"/>
    </row>
    <row r="170" spans="1:7" ht="15">
      <c r="A170" s="996" t="s">
        <v>3635</v>
      </c>
      <c r="B170" s="997" t="s">
        <v>3636</v>
      </c>
      <c r="C170" s="998" t="s">
        <v>92</v>
      </c>
      <c r="D170" s="1002">
        <v>9387</v>
      </c>
      <c r="E170" s="998">
        <v>0</v>
      </c>
      <c r="F170" s="999"/>
      <c r="G170" s="991"/>
    </row>
    <row r="171" spans="1:7" ht="15">
      <c r="A171" s="992" t="s">
        <v>3637</v>
      </c>
      <c r="B171" s="993" t="s">
        <v>3638</v>
      </c>
      <c r="C171" s="994" t="s">
        <v>3639</v>
      </c>
      <c r="D171" s="994">
        <v>158.91</v>
      </c>
      <c r="E171" s="994">
        <v>413</v>
      </c>
      <c r="F171" s="1001"/>
      <c r="G171" s="991"/>
    </row>
    <row r="172" spans="1:7" ht="15">
      <c r="A172" s="996" t="s">
        <v>3640</v>
      </c>
      <c r="B172" s="997" t="s">
        <v>3641</v>
      </c>
      <c r="C172" s="997" t="s">
        <v>3642</v>
      </c>
      <c r="D172" s="997">
        <v>137.74</v>
      </c>
      <c r="E172" s="998">
        <v>0</v>
      </c>
      <c r="F172" s="999"/>
      <c r="G172" s="991"/>
    </row>
    <row r="173" spans="1:7" ht="15">
      <c r="A173" s="992" t="s">
        <v>3643</v>
      </c>
      <c r="B173" s="993" t="s">
        <v>3644</v>
      </c>
      <c r="C173" s="993" t="s">
        <v>3642</v>
      </c>
      <c r="D173" s="993">
        <v>165.65</v>
      </c>
      <c r="E173" s="994">
        <v>0</v>
      </c>
      <c r="F173" s="995"/>
      <c r="G173" s="991"/>
    </row>
    <row r="174" spans="1:7" ht="15">
      <c r="A174" s="992" t="s">
        <v>3645</v>
      </c>
      <c r="B174" s="993" t="s">
        <v>3646</v>
      </c>
      <c r="C174" s="994" t="s">
        <v>3642</v>
      </c>
      <c r="D174" s="994">
        <v>189.18</v>
      </c>
      <c r="E174" s="994">
        <v>8</v>
      </c>
      <c r="F174" s="1001"/>
      <c r="G174" s="991"/>
    </row>
    <row r="175" spans="1:7" ht="15">
      <c r="A175" s="992" t="s">
        <v>3647</v>
      </c>
      <c r="B175" s="993" t="s">
        <v>3648</v>
      </c>
      <c r="C175" s="994" t="s">
        <v>3047</v>
      </c>
      <c r="D175" s="993">
        <v>98.99</v>
      </c>
      <c r="E175" s="994">
        <v>0</v>
      </c>
      <c r="F175" s="993" t="s">
        <v>3329</v>
      </c>
      <c r="G175" s="991"/>
    </row>
    <row r="176" spans="1:7" ht="12.75">
      <c r="A176" s="1487" t="s">
        <v>3338</v>
      </c>
      <c r="B176" s="1451"/>
      <c r="C176" s="1451"/>
      <c r="D176" s="1451"/>
      <c r="E176" s="1451"/>
      <c r="F176" s="1451"/>
      <c r="G176" s="1451"/>
    </row>
    <row r="177" spans="1:7" ht="15">
      <c r="A177" s="1009" t="s">
        <v>3649</v>
      </c>
      <c r="B177" s="1010" t="s">
        <v>3650</v>
      </c>
      <c r="C177" s="1011" t="s">
        <v>902</v>
      </c>
      <c r="D177" s="1011">
        <v>212.87</v>
      </c>
      <c r="E177" s="1011">
        <v>494</v>
      </c>
      <c r="F177" s="1014"/>
      <c r="G177" s="991"/>
    </row>
    <row r="178" spans="1:7" ht="15">
      <c r="A178" s="992" t="s">
        <v>3651</v>
      </c>
      <c r="B178" s="993" t="s">
        <v>3652</v>
      </c>
      <c r="C178" s="994" t="s">
        <v>3047</v>
      </c>
      <c r="D178" s="993">
        <v>20.79</v>
      </c>
      <c r="E178" s="994">
        <v>0</v>
      </c>
      <c r="F178" s="993" t="s">
        <v>3349</v>
      </c>
      <c r="G178" s="991"/>
    </row>
    <row r="179" spans="1:7" ht="15">
      <c r="A179" s="996" t="s">
        <v>3653</v>
      </c>
      <c r="B179" s="997" t="s">
        <v>3654</v>
      </c>
      <c r="C179" s="997" t="s">
        <v>601</v>
      </c>
      <c r="D179" s="997">
        <v>287.57</v>
      </c>
      <c r="E179" s="998">
        <v>0</v>
      </c>
      <c r="F179" s="999"/>
      <c r="G179" s="991"/>
    </row>
    <row r="180" spans="1:7" ht="15">
      <c r="A180" s="992" t="s">
        <v>3655</v>
      </c>
      <c r="B180" s="993" t="s">
        <v>825</v>
      </c>
      <c r="C180" s="994" t="s">
        <v>92</v>
      </c>
      <c r="D180" s="1007">
        <v>38467.33</v>
      </c>
      <c r="E180" s="994">
        <v>0</v>
      </c>
      <c r="F180" s="995"/>
      <c r="G180" s="991"/>
    </row>
    <row r="181" spans="1:7" ht="15">
      <c r="A181" s="996" t="s">
        <v>3656</v>
      </c>
      <c r="B181" s="997" t="s">
        <v>3657</v>
      </c>
      <c r="C181" s="998" t="s">
        <v>92</v>
      </c>
      <c r="D181" s="1002">
        <v>10287.9</v>
      </c>
      <c r="E181" s="998">
        <v>0</v>
      </c>
      <c r="F181" s="999"/>
      <c r="G181" s="991"/>
    </row>
    <row r="182" spans="1:7" ht="15">
      <c r="A182" s="992" t="s">
        <v>3658</v>
      </c>
      <c r="B182" s="993" t="s">
        <v>3659</v>
      </c>
      <c r="C182" s="994" t="s">
        <v>92</v>
      </c>
      <c r="D182" s="1007">
        <v>2637.3</v>
      </c>
      <c r="E182" s="994">
        <v>0</v>
      </c>
      <c r="F182" s="995"/>
      <c r="G182" s="991"/>
    </row>
    <row r="183" spans="1:7" ht="15">
      <c r="A183" s="996" t="s">
        <v>3660</v>
      </c>
      <c r="B183" s="997" t="s">
        <v>3661</v>
      </c>
      <c r="C183" s="997" t="s">
        <v>601</v>
      </c>
      <c r="D183" s="997">
        <v>156</v>
      </c>
      <c r="E183" s="998">
        <v>0</v>
      </c>
      <c r="F183" s="999"/>
      <c r="G183" s="991"/>
    </row>
    <row r="184" spans="1:7" ht="15">
      <c r="A184" s="992" t="s">
        <v>3662</v>
      </c>
      <c r="B184" s="993" t="s">
        <v>3663</v>
      </c>
      <c r="C184" s="993" t="s">
        <v>601</v>
      </c>
      <c r="D184" s="993">
        <v>152.25</v>
      </c>
      <c r="E184" s="994">
        <v>0</v>
      </c>
      <c r="F184" s="995"/>
      <c r="G184" s="991"/>
    </row>
    <row r="185" spans="1:7" ht="15">
      <c r="A185" s="996" t="s">
        <v>3664</v>
      </c>
      <c r="B185" s="997" t="s">
        <v>3665</v>
      </c>
      <c r="C185" s="997" t="s">
        <v>3315</v>
      </c>
      <c r="D185" s="997">
        <v>53.82</v>
      </c>
      <c r="E185" s="998">
        <v>0</v>
      </c>
      <c r="F185" s="997" t="s">
        <v>3666</v>
      </c>
      <c r="G185" s="991"/>
    </row>
    <row r="186" spans="1:7" ht="15">
      <c r="A186" s="992" t="s">
        <v>3667</v>
      </c>
      <c r="B186" s="993" t="s">
        <v>3668</v>
      </c>
      <c r="C186" s="993" t="s">
        <v>3669</v>
      </c>
      <c r="D186" s="993">
        <v>63</v>
      </c>
      <c r="E186" s="994">
        <v>0</v>
      </c>
      <c r="F186" s="995"/>
      <c r="G186" s="991"/>
    </row>
    <row r="187" spans="1:7" ht="15">
      <c r="A187" s="996" t="s">
        <v>3670</v>
      </c>
      <c r="B187" s="997" t="s">
        <v>3671</v>
      </c>
      <c r="C187" s="997" t="s">
        <v>3669</v>
      </c>
      <c r="D187" s="997">
        <v>105</v>
      </c>
      <c r="E187" s="998">
        <v>0</v>
      </c>
      <c r="F187" s="999"/>
      <c r="G187" s="991"/>
    </row>
    <row r="188" spans="1:7" ht="15">
      <c r="A188" s="992" t="s">
        <v>3672</v>
      </c>
      <c r="B188" s="993" t="s">
        <v>3673</v>
      </c>
      <c r="C188" s="994" t="s">
        <v>657</v>
      </c>
      <c r="D188" s="993">
        <v>78.17</v>
      </c>
      <c r="E188" s="994">
        <v>0</v>
      </c>
      <c r="F188" s="995"/>
      <c r="G188" s="991"/>
    </row>
    <row r="189" spans="1:7" ht="15">
      <c r="A189" s="996" t="s">
        <v>3674</v>
      </c>
      <c r="B189" s="997" t="s">
        <v>3675</v>
      </c>
      <c r="C189" s="998" t="s">
        <v>657</v>
      </c>
      <c r="D189" s="997">
        <v>77.94</v>
      </c>
      <c r="E189" s="998">
        <v>0</v>
      </c>
      <c r="F189" s="999"/>
      <c r="G189" s="991"/>
    </row>
    <row r="190" spans="1:7" ht="15">
      <c r="A190" s="992" t="s">
        <v>3676</v>
      </c>
      <c r="B190" s="993" t="s">
        <v>3677</v>
      </c>
      <c r="C190" s="994" t="s">
        <v>657</v>
      </c>
      <c r="D190" s="994">
        <v>743.4</v>
      </c>
      <c r="E190" s="994">
        <v>27</v>
      </c>
      <c r="F190" s="1001"/>
      <c r="G190" s="991"/>
    </row>
    <row r="191" spans="1:7" ht="15">
      <c r="A191" s="992" t="s">
        <v>3678</v>
      </c>
      <c r="B191" s="993" t="s">
        <v>3679</v>
      </c>
      <c r="C191" s="994" t="s">
        <v>3047</v>
      </c>
      <c r="D191" s="994">
        <v>135.19999999999999</v>
      </c>
      <c r="E191" s="994">
        <v>101</v>
      </c>
      <c r="F191" s="1001"/>
      <c r="G191" s="991"/>
    </row>
    <row r="192" spans="1:7" ht="15">
      <c r="A192" s="992" t="s">
        <v>3680</v>
      </c>
      <c r="B192" s="993" t="s">
        <v>3681</v>
      </c>
      <c r="C192" s="993" t="s">
        <v>601</v>
      </c>
      <c r="D192" s="993">
        <v>16.64</v>
      </c>
      <c r="E192" s="994">
        <v>0</v>
      </c>
      <c r="F192" s="995"/>
      <c r="G192" s="991"/>
    </row>
    <row r="193" spans="1:7" ht="15">
      <c r="A193" s="996" t="s">
        <v>3682</v>
      </c>
      <c r="B193" s="997" t="s">
        <v>3683</v>
      </c>
      <c r="C193" s="998" t="s">
        <v>3684</v>
      </c>
      <c r="D193" s="997">
        <v>33.69</v>
      </c>
      <c r="E193" s="998">
        <v>0</v>
      </c>
      <c r="F193" s="999"/>
      <c r="G193" s="991"/>
    </row>
    <row r="194" spans="1:7" ht="15">
      <c r="A194" s="992" t="s">
        <v>3685</v>
      </c>
      <c r="B194" s="993" t="s">
        <v>3686</v>
      </c>
      <c r="C194" s="993" t="s">
        <v>895</v>
      </c>
      <c r="D194" s="993">
        <v>57.4</v>
      </c>
      <c r="E194" s="994">
        <v>0</v>
      </c>
      <c r="F194" s="993" t="s">
        <v>3687</v>
      </c>
      <c r="G194" s="991"/>
    </row>
    <row r="195" spans="1:7" ht="15">
      <c r="A195" s="996" t="s">
        <v>3688</v>
      </c>
      <c r="B195" s="997" t="s">
        <v>3689</v>
      </c>
      <c r="C195" s="997" t="s">
        <v>601</v>
      </c>
      <c r="D195" s="997">
        <v>22.2</v>
      </c>
      <c r="E195" s="998">
        <v>0</v>
      </c>
      <c r="F195" s="999"/>
      <c r="G195" s="991"/>
    </row>
    <row r="196" spans="1:7" ht="15">
      <c r="A196" s="992" t="s">
        <v>3690</v>
      </c>
      <c r="B196" s="993" t="s">
        <v>3691</v>
      </c>
      <c r="C196" s="994" t="s">
        <v>601</v>
      </c>
      <c r="D196" s="994">
        <v>22.2</v>
      </c>
      <c r="E196" s="994">
        <v>768</v>
      </c>
      <c r="F196" s="1001"/>
      <c r="G196" s="991"/>
    </row>
    <row r="197" spans="1:7" ht="15">
      <c r="A197" s="996" t="s">
        <v>3692</v>
      </c>
      <c r="B197" s="997" t="s">
        <v>3693</v>
      </c>
      <c r="C197" s="997" t="s">
        <v>601</v>
      </c>
      <c r="D197" s="997">
        <v>22.2</v>
      </c>
      <c r="E197" s="998">
        <v>0</v>
      </c>
      <c r="F197" s="999"/>
      <c r="G197" s="991"/>
    </row>
    <row r="198" spans="1:7" ht="15">
      <c r="A198" s="992" t="s">
        <v>3694</v>
      </c>
      <c r="B198" s="993" t="s">
        <v>3695</v>
      </c>
      <c r="C198" s="994" t="s">
        <v>486</v>
      </c>
      <c r="D198" s="994">
        <v>28.91</v>
      </c>
      <c r="E198" s="994">
        <v>770</v>
      </c>
      <c r="F198" s="1001"/>
      <c r="G198" s="991"/>
    </row>
    <row r="199" spans="1:7" ht="15">
      <c r="A199" s="996" t="s">
        <v>3696</v>
      </c>
      <c r="B199" s="997" t="s">
        <v>3697</v>
      </c>
      <c r="C199" s="997" t="s">
        <v>601</v>
      </c>
      <c r="D199" s="997">
        <v>39.909999999999997</v>
      </c>
      <c r="E199" s="998">
        <v>0</v>
      </c>
      <c r="F199" s="999"/>
      <c r="G199" s="991"/>
    </row>
    <row r="200" spans="1:7" ht="15">
      <c r="A200" s="992" t="s">
        <v>3698</v>
      </c>
      <c r="B200" s="993" t="s">
        <v>3699</v>
      </c>
      <c r="C200" s="993" t="s">
        <v>601</v>
      </c>
      <c r="D200" s="993">
        <v>27.88</v>
      </c>
      <c r="E200" s="994">
        <v>0</v>
      </c>
      <c r="F200" s="995"/>
      <c r="G200" s="991"/>
    </row>
    <row r="201" spans="1:7" ht="15">
      <c r="A201" s="992" t="s">
        <v>3700</v>
      </c>
      <c r="B201" s="993" t="s">
        <v>3701</v>
      </c>
      <c r="C201" s="994" t="s">
        <v>3047</v>
      </c>
      <c r="D201" s="994">
        <v>22.55</v>
      </c>
      <c r="E201" s="994">
        <v>173</v>
      </c>
      <c r="F201" s="1001"/>
      <c r="G201" s="991"/>
    </row>
    <row r="202" spans="1:7" ht="12.75">
      <c r="A202" s="1487" t="s">
        <v>3338</v>
      </c>
      <c r="B202" s="1451"/>
      <c r="C202" s="1451"/>
      <c r="D202" s="1451"/>
      <c r="E202" s="1451"/>
      <c r="F202" s="1451"/>
      <c r="G202" s="1451"/>
    </row>
    <row r="203" spans="1:7" ht="15">
      <c r="A203" s="1009" t="s">
        <v>3702</v>
      </c>
      <c r="B203" s="1010" t="s">
        <v>3703</v>
      </c>
      <c r="C203" s="1011" t="s">
        <v>3047</v>
      </c>
      <c r="D203" s="1010">
        <v>23.76</v>
      </c>
      <c r="E203" s="1011">
        <v>0</v>
      </c>
      <c r="F203" s="1013"/>
      <c r="G203" s="991"/>
    </row>
    <row r="204" spans="1:7" ht="15">
      <c r="A204" s="996" t="s">
        <v>3704</v>
      </c>
      <c r="B204" s="997" t="s">
        <v>3705</v>
      </c>
      <c r="C204" s="998" t="s">
        <v>92</v>
      </c>
      <c r="D204" s="997">
        <v>914.22</v>
      </c>
      <c r="E204" s="998">
        <v>0</v>
      </c>
      <c r="F204" s="999"/>
      <c r="G204" s="991"/>
    </row>
    <row r="205" spans="1:7" ht="15">
      <c r="A205" s="992" t="s">
        <v>3706</v>
      </c>
      <c r="B205" s="993" t="s">
        <v>3707</v>
      </c>
      <c r="C205" s="994" t="s">
        <v>601</v>
      </c>
      <c r="D205" s="994">
        <v>145.6</v>
      </c>
      <c r="E205" s="994">
        <v>30</v>
      </c>
      <c r="F205" s="1001"/>
      <c r="G205" s="991"/>
    </row>
    <row r="206" spans="1:7" ht="15">
      <c r="A206" s="996" t="s">
        <v>3708</v>
      </c>
      <c r="B206" s="997" t="s">
        <v>3709</v>
      </c>
      <c r="C206" s="997" t="s">
        <v>601</v>
      </c>
      <c r="D206" s="998">
        <v>1.55</v>
      </c>
      <c r="E206" s="998">
        <v>0</v>
      </c>
      <c r="F206" s="997" t="s">
        <v>3710</v>
      </c>
      <c r="G206" s="991"/>
    </row>
    <row r="207" spans="1:7" ht="15">
      <c r="A207" s="992" t="s">
        <v>3711</v>
      </c>
      <c r="B207" s="993" t="s">
        <v>3712</v>
      </c>
      <c r="C207" s="994" t="s">
        <v>92</v>
      </c>
      <c r="D207" s="993">
        <v>52.83</v>
      </c>
      <c r="E207" s="994">
        <v>0</v>
      </c>
      <c r="F207" s="995"/>
      <c r="G207" s="991"/>
    </row>
    <row r="208" spans="1:7" ht="15">
      <c r="A208" s="996" t="s">
        <v>3713</v>
      </c>
      <c r="B208" s="997" t="s">
        <v>3714</v>
      </c>
      <c r="C208" s="998" t="s">
        <v>3715</v>
      </c>
      <c r="D208" s="997">
        <v>19.45</v>
      </c>
      <c r="E208" s="998">
        <v>0</v>
      </c>
      <c r="F208" s="999"/>
      <c r="G208" s="991"/>
    </row>
    <row r="209" spans="1:7" ht="15">
      <c r="A209" s="992" t="s">
        <v>3716</v>
      </c>
      <c r="B209" s="993" t="s">
        <v>3717</v>
      </c>
      <c r="C209" s="994" t="s">
        <v>3715</v>
      </c>
      <c r="D209" s="993">
        <v>62.48</v>
      </c>
      <c r="E209" s="994">
        <v>0</v>
      </c>
      <c r="F209" s="995"/>
      <c r="G209" s="991"/>
    </row>
    <row r="210" spans="1:7" ht="15">
      <c r="A210" s="996" t="s">
        <v>3718</v>
      </c>
      <c r="B210" s="997" t="s">
        <v>3719</v>
      </c>
      <c r="C210" s="998" t="s">
        <v>3715</v>
      </c>
      <c r="D210" s="997">
        <v>122.33</v>
      </c>
      <c r="E210" s="998">
        <v>0</v>
      </c>
      <c r="F210" s="999"/>
      <c r="G210" s="991"/>
    </row>
    <row r="211" spans="1:7" ht="15">
      <c r="A211" s="992" t="s">
        <v>3720</v>
      </c>
      <c r="B211" s="993" t="s">
        <v>3721</v>
      </c>
      <c r="C211" s="994" t="s">
        <v>3715</v>
      </c>
      <c r="D211" s="993">
        <v>22.58</v>
      </c>
      <c r="E211" s="994">
        <v>0</v>
      </c>
      <c r="F211" s="995"/>
      <c r="G211" s="991"/>
    </row>
    <row r="212" spans="1:7" ht="15">
      <c r="A212" s="996" t="s">
        <v>3722</v>
      </c>
      <c r="B212" s="997" t="s">
        <v>3723</v>
      </c>
      <c r="C212" s="998" t="s">
        <v>3715</v>
      </c>
      <c r="D212" s="997">
        <v>11.18</v>
      </c>
      <c r="E212" s="998">
        <v>0</v>
      </c>
      <c r="F212" s="999"/>
      <c r="G212" s="991"/>
    </row>
    <row r="213" spans="1:7" ht="15">
      <c r="A213" s="992" t="s">
        <v>3724</v>
      </c>
      <c r="B213" s="993" t="s">
        <v>3725</v>
      </c>
      <c r="C213" s="994" t="s">
        <v>3715</v>
      </c>
      <c r="D213" s="993">
        <v>22.79</v>
      </c>
      <c r="E213" s="994">
        <v>0</v>
      </c>
      <c r="F213" s="995"/>
      <c r="G213" s="991"/>
    </row>
    <row r="214" spans="1:7" ht="15">
      <c r="A214" s="996" t="s">
        <v>3726</v>
      </c>
      <c r="B214" s="997" t="s">
        <v>3727</v>
      </c>
      <c r="C214" s="998" t="s">
        <v>3715</v>
      </c>
      <c r="D214" s="997">
        <v>55.64</v>
      </c>
      <c r="E214" s="998">
        <v>0</v>
      </c>
      <c r="F214" s="999"/>
      <c r="G214" s="991"/>
    </row>
    <row r="215" spans="1:7" ht="15">
      <c r="A215" s="992" t="s">
        <v>3728</v>
      </c>
      <c r="B215" s="993" t="s">
        <v>3729</v>
      </c>
      <c r="C215" s="993" t="s">
        <v>895</v>
      </c>
      <c r="D215" s="994">
        <v>0</v>
      </c>
      <c r="E215" s="994">
        <v>0</v>
      </c>
      <c r="F215" s="995"/>
      <c r="G215" s="991"/>
    </row>
    <row r="216" spans="1:7" ht="15">
      <c r="A216" s="996" t="s">
        <v>3730</v>
      </c>
      <c r="B216" s="997" t="s">
        <v>3731</v>
      </c>
      <c r="C216" s="997" t="s">
        <v>895</v>
      </c>
      <c r="D216" s="997">
        <v>86.32</v>
      </c>
      <c r="E216" s="998">
        <v>0</v>
      </c>
      <c r="F216" s="997" t="s">
        <v>3732</v>
      </c>
      <c r="G216" s="991"/>
    </row>
    <row r="217" spans="1:7" ht="15">
      <c r="A217" s="992" t="s">
        <v>3733</v>
      </c>
      <c r="B217" s="993" t="s">
        <v>3734</v>
      </c>
      <c r="C217" s="994" t="s">
        <v>657</v>
      </c>
      <c r="D217" s="1007">
        <v>1892.8</v>
      </c>
      <c r="E217" s="994">
        <v>0</v>
      </c>
      <c r="F217" s="995"/>
      <c r="G217" s="991"/>
    </row>
    <row r="218" spans="1:7" ht="15">
      <c r="A218" s="996" t="s">
        <v>3735</v>
      </c>
      <c r="B218" s="997" t="s">
        <v>3736</v>
      </c>
      <c r="C218" s="998" t="s">
        <v>657</v>
      </c>
      <c r="D218" s="1002">
        <v>3567.2</v>
      </c>
      <c r="E218" s="998">
        <v>0</v>
      </c>
      <c r="F218" s="999"/>
      <c r="G218" s="991"/>
    </row>
    <row r="219" spans="1:7" ht="15">
      <c r="A219" s="992" t="s">
        <v>3737</v>
      </c>
      <c r="B219" s="993" t="s">
        <v>3738</v>
      </c>
      <c r="C219" s="994" t="s">
        <v>657</v>
      </c>
      <c r="D219" s="1007">
        <v>5002.3999999999996</v>
      </c>
      <c r="E219" s="994">
        <v>0</v>
      </c>
      <c r="F219" s="995"/>
      <c r="G219" s="991"/>
    </row>
    <row r="220" spans="1:7" ht="15">
      <c r="A220" s="996" t="s">
        <v>3739</v>
      </c>
      <c r="B220" s="997" t="s">
        <v>3740</v>
      </c>
      <c r="C220" s="998" t="s">
        <v>657</v>
      </c>
      <c r="D220" s="1002">
        <v>6184.76</v>
      </c>
      <c r="E220" s="998">
        <v>0</v>
      </c>
      <c r="F220" s="999"/>
      <c r="G220" s="991"/>
    </row>
    <row r="221" spans="1:7" ht="15">
      <c r="A221" s="992" t="s">
        <v>3741</v>
      </c>
      <c r="B221" s="993" t="s">
        <v>3742</v>
      </c>
      <c r="C221" s="994" t="s">
        <v>657</v>
      </c>
      <c r="D221" s="1007">
        <v>3099.2</v>
      </c>
      <c r="E221" s="994">
        <v>0</v>
      </c>
      <c r="F221" s="995"/>
      <c r="G221" s="991"/>
    </row>
    <row r="222" spans="1:7" ht="15">
      <c r="A222" s="996" t="s">
        <v>3743</v>
      </c>
      <c r="B222" s="997" t="s">
        <v>3744</v>
      </c>
      <c r="C222" s="998" t="s">
        <v>657</v>
      </c>
      <c r="D222" s="1002">
        <v>3337.36</v>
      </c>
      <c r="E222" s="998">
        <v>0</v>
      </c>
      <c r="F222" s="999"/>
      <c r="G222" s="991"/>
    </row>
    <row r="223" spans="1:7" ht="15">
      <c r="A223" s="992" t="s">
        <v>3745</v>
      </c>
      <c r="B223" s="993" t="s">
        <v>3746</v>
      </c>
      <c r="C223" s="994" t="s">
        <v>657</v>
      </c>
      <c r="D223" s="1007">
        <v>6942</v>
      </c>
      <c r="E223" s="994">
        <v>0</v>
      </c>
      <c r="F223" s="995"/>
      <c r="G223" s="991"/>
    </row>
    <row r="224" spans="1:7" ht="15">
      <c r="A224" s="996" t="s">
        <v>3747</v>
      </c>
      <c r="B224" s="997" t="s">
        <v>3748</v>
      </c>
      <c r="C224" s="998" t="s">
        <v>657</v>
      </c>
      <c r="D224" s="1002">
        <v>3952</v>
      </c>
      <c r="E224" s="998">
        <v>0</v>
      </c>
      <c r="F224" s="999"/>
      <c r="G224" s="991"/>
    </row>
    <row r="225" spans="1:7" ht="15">
      <c r="A225" s="992" t="s">
        <v>3749</v>
      </c>
      <c r="B225" s="993" t="s">
        <v>3750</v>
      </c>
      <c r="C225" s="993" t="s">
        <v>657</v>
      </c>
      <c r="D225" s="1007">
        <v>3242.72</v>
      </c>
      <c r="E225" s="994">
        <v>0</v>
      </c>
      <c r="F225" s="995"/>
      <c r="G225" s="991"/>
    </row>
    <row r="226" spans="1:7" ht="15">
      <c r="A226" s="996" t="s">
        <v>3751</v>
      </c>
      <c r="B226" s="997" t="s">
        <v>3752</v>
      </c>
      <c r="C226" s="998" t="s">
        <v>657</v>
      </c>
      <c r="D226" s="1002">
        <v>2614.56</v>
      </c>
      <c r="E226" s="998">
        <v>0</v>
      </c>
      <c r="F226" s="999"/>
      <c r="G226" s="991"/>
    </row>
    <row r="227" spans="1:7" ht="15">
      <c r="A227" s="992" t="s">
        <v>3753</v>
      </c>
      <c r="B227" s="993" t="s">
        <v>3754</v>
      </c>
      <c r="C227" s="994" t="s">
        <v>657</v>
      </c>
      <c r="D227" s="1007">
        <v>2542.8000000000002</v>
      </c>
      <c r="E227" s="994">
        <v>0</v>
      </c>
      <c r="F227" s="995"/>
      <c r="G227" s="991"/>
    </row>
    <row r="228" spans="1:7" ht="12.75">
      <c r="A228" s="1487" t="s">
        <v>3338</v>
      </c>
      <c r="B228" s="1451"/>
      <c r="C228" s="1451"/>
      <c r="D228" s="1451"/>
      <c r="E228" s="1451"/>
      <c r="F228" s="1451"/>
      <c r="G228" s="1451"/>
    </row>
    <row r="229" spans="1:7" ht="15">
      <c r="A229" s="1003" t="s">
        <v>3755</v>
      </c>
      <c r="B229" s="1004" t="s">
        <v>3756</v>
      </c>
      <c r="C229" s="1005" t="s">
        <v>657</v>
      </c>
      <c r="D229" s="1015">
        <v>2542.8000000000002</v>
      </c>
      <c r="E229" s="1005">
        <v>0</v>
      </c>
      <c r="F229" s="1006"/>
      <c r="G229" s="991"/>
    </row>
    <row r="230" spans="1:7" ht="15">
      <c r="A230" s="992" t="s">
        <v>3757</v>
      </c>
      <c r="B230" s="993" t="s">
        <v>3758</v>
      </c>
      <c r="C230" s="994" t="s">
        <v>657</v>
      </c>
      <c r="D230" s="1007">
        <v>2542.8000000000002</v>
      </c>
      <c r="E230" s="994">
        <v>0</v>
      </c>
      <c r="F230" s="995"/>
      <c r="G230" s="991"/>
    </row>
    <row r="231" spans="1:7" ht="15">
      <c r="A231" s="996" t="s">
        <v>3759</v>
      </c>
      <c r="B231" s="997" t="s">
        <v>3760</v>
      </c>
      <c r="C231" s="998" t="s">
        <v>657</v>
      </c>
      <c r="D231" s="1002">
        <v>2916.16</v>
      </c>
      <c r="E231" s="998">
        <v>0</v>
      </c>
      <c r="F231" s="999"/>
      <c r="G231" s="991"/>
    </row>
    <row r="232" spans="1:7" ht="15">
      <c r="A232" s="992" t="s">
        <v>3761</v>
      </c>
      <c r="B232" s="993" t="s">
        <v>3762</v>
      </c>
      <c r="C232" s="994" t="s">
        <v>657</v>
      </c>
      <c r="D232" s="1007">
        <v>3072.16</v>
      </c>
      <c r="E232" s="994">
        <v>0</v>
      </c>
      <c r="F232" s="995"/>
      <c r="G232" s="991"/>
    </row>
    <row r="233" spans="1:7" ht="15">
      <c r="A233" s="996" t="s">
        <v>3763</v>
      </c>
      <c r="B233" s="997" t="s">
        <v>3764</v>
      </c>
      <c r="C233" s="998" t="s">
        <v>657</v>
      </c>
      <c r="D233" s="1002">
        <v>3072.16</v>
      </c>
      <c r="E233" s="998">
        <v>0</v>
      </c>
      <c r="F233" s="999"/>
      <c r="G233" s="991"/>
    </row>
    <row r="234" spans="1:7" ht="15">
      <c r="A234" s="992" t="s">
        <v>3765</v>
      </c>
      <c r="B234" s="993" t="s">
        <v>3766</v>
      </c>
      <c r="C234" s="994" t="s">
        <v>657</v>
      </c>
      <c r="D234" s="1007">
        <v>3072.16</v>
      </c>
      <c r="E234" s="994">
        <v>0</v>
      </c>
      <c r="F234" s="995"/>
      <c r="G234" s="991"/>
    </row>
    <row r="235" spans="1:7" ht="15">
      <c r="A235" s="996" t="s">
        <v>3767</v>
      </c>
      <c r="B235" s="997" t="s">
        <v>3768</v>
      </c>
      <c r="C235" s="997" t="s">
        <v>657</v>
      </c>
      <c r="D235" s="1002">
        <v>7948.5</v>
      </c>
      <c r="E235" s="998">
        <v>0</v>
      </c>
      <c r="F235" s="999"/>
      <c r="G235" s="991"/>
    </row>
    <row r="236" spans="1:7" ht="15">
      <c r="A236" s="992" t="s">
        <v>3769</v>
      </c>
      <c r="B236" s="993" t="s">
        <v>3770</v>
      </c>
      <c r="C236" s="994" t="s">
        <v>657</v>
      </c>
      <c r="D236" s="1007">
        <v>6900.4</v>
      </c>
      <c r="E236" s="994">
        <v>0</v>
      </c>
      <c r="F236" s="995"/>
      <c r="G236" s="991"/>
    </row>
    <row r="237" spans="1:7" ht="15">
      <c r="A237" s="996" t="s">
        <v>3771</v>
      </c>
      <c r="B237" s="997" t="s">
        <v>3772</v>
      </c>
      <c r="C237" s="998" t="s">
        <v>657</v>
      </c>
      <c r="D237" s="1002">
        <v>10193.040000000001</v>
      </c>
      <c r="E237" s="998">
        <v>0</v>
      </c>
      <c r="F237" s="999"/>
      <c r="G237" s="991"/>
    </row>
    <row r="238" spans="1:7" ht="15">
      <c r="A238" s="992" t="s">
        <v>3773</v>
      </c>
      <c r="B238" s="993" t="s">
        <v>3774</v>
      </c>
      <c r="C238" s="993" t="s">
        <v>657</v>
      </c>
      <c r="D238" s="1007">
        <v>10193.040000000001</v>
      </c>
      <c r="E238" s="994">
        <v>0</v>
      </c>
      <c r="F238" s="995"/>
      <c r="G238" s="991"/>
    </row>
    <row r="239" spans="1:7" ht="15">
      <c r="A239" s="996" t="s">
        <v>3775</v>
      </c>
      <c r="B239" s="997" t="s">
        <v>3776</v>
      </c>
      <c r="C239" s="998" t="s">
        <v>657</v>
      </c>
      <c r="D239" s="1002">
        <v>10193.040000000001</v>
      </c>
      <c r="E239" s="998">
        <v>0</v>
      </c>
      <c r="F239" s="999"/>
      <c r="G239" s="991"/>
    </row>
    <row r="240" spans="1:7" ht="15">
      <c r="A240" s="992" t="s">
        <v>3777</v>
      </c>
      <c r="B240" s="993" t="s">
        <v>3778</v>
      </c>
      <c r="C240" s="994" t="s">
        <v>657</v>
      </c>
      <c r="D240" s="1007">
        <v>4201.6000000000004</v>
      </c>
      <c r="E240" s="994">
        <v>0</v>
      </c>
      <c r="F240" s="995"/>
      <c r="G240" s="991"/>
    </row>
    <row r="241" spans="1:7" ht="15">
      <c r="A241" s="996" t="s">
        <v>3779</v>
      </c>
      <c r="B241" s="997" t="s">
        <v>3780</v>
      </c>
      <c r="C241" s="998" t="s">
        <v>657</v>
      </c>
      <c r="D241" s="1002">
        <v>6011.2</v>
      </c>
      <c r="E241" s="998">
        <v>0</v>
      </c>
      <c r="F241" s="999"/>
      <c r="G241" s="991"/>
    </row>
    <row r="242" spans="1:7" ht="15">
      <c r="A242" s="992" t="s">
        <v>3781</v>
      </c>
      <c r="B242" s="993" t="s">
        <v>3782</v>
      </c>
      <c r="C242" s="994" t="s">
        <v>657</v>
      </c>
      <c r="D242" s="1007">
        <v>6011.2</v>
      </c>
      <c r="E242" s="994">
        <v>0</v>
      </c>
      <c r="F242" s="995"/>
      <c r="G242" s="991"/>
    </row>
    <row r="243" spans="1:7" ht="15">
      <c r="A243" s="996" t="s">
        <v>3783</v>
      </c>
      <c r="B243" s="997" t="s">
        <v>3784</v>
      </c>
      <c r="C243" s="998" t="s">
        <v>657</v>
      </c>
      <c r="D243" s="1002">
        <v>6011.2</v>
      </c>
      <c r="E243" s="998">
        <v>0</v>
      </c>
      <c r="F243" s="999"/>
      <c r="G243" s="991"/>
    </row>
    <row r="244" spans="1:7" ht="15">
      <c r="A244" s="992" t="s">
        <v>3785</v>
      </c>
      <c r="B244" s="993" t="s">
        <v>3786</v>
      </c>
      <c r="C244" s="994" t="s">
        <v>657</v>
      </c>
      <c r="D244" s="1007">
        <v>4466.8</v>
      </c>
      <c r="E244" s="994">
        <v>0</v>
      </c>
      <c r="F244" s="995"/>
      <c r="G244" s="991"/>
    </row>
    <row r="245" spans="1:7" ht="15">
      <c r="A245" s="996" t="s">
        <v>3787</v>
      </c>
      <c r="B245" s="997" t="s">
        <v>3788</v>
      </c>
      <c r="C245" s="998" t="s">
        <v>657</v>
      </c>
      <c r="D245" s="1002">
        <v>7332</v>
      </c>
      <c r="E245" s="998">
        <v>0</v>
      </c>
      <c r="F245" s="999"/>
      <c r="G245" s="991"/>
    </row>
    <row r="246" spans="1:7" ht="15">
      <c r="A246" s="992" t="s">
        <v>3789</v>
      </c>
      <c r="B246" s="993" t="s">
        <v>3790</v>
      </c>
      <c r="C246" s="994" t="s">
        <v>657</v>
      </c>
      <c r="D246" s="1007">
        <v>3744</v>
      </c>
      <c r="E246" s="994">
        <v>0</v>
      </c>
      <c r="F246" s="995"/>
      <c r="G246" s="991"/>
    </row>
    <row r="247" spans="1:7" ht="15">
      <c r="A247" s="996" t="s">
        <v>3791</v>
      </c>
      <c r="B247" s="997" t="s">
        <v>3792</v>
      </c>
      <c r="C247" s="998" t="s">
        <v>657</v>
      </c>
      <c r="D247" s="1002">
        <v>4399.2</v>
      </c>
      <c r="E247" s="998">
        <v>0</v>
      </c>
      <c r="F247" s="999"/>
      <c r="G247" s="991"/>
    </row>
    <row r="248" spans="1:7" ht="15">
      <c r="A248" s="992" t="s">
        <v>3793</v>
      </c>
      <c r="B248" s="993" t="s">
        <v>3794</v>
      </c>
      <c r="C248" s="994" t="s">
        <v>657</v>
      </c>
      <c r="D248" s="1007">
        <v>5116.8</v>
      </c>
      <c r="E248" s="994">
        <v>0</v>
      </c>
      <c r="F248" s="995"/>
      <c r="G248" s="991"/>
    </row>
    <row r="249" spans="1:7" ht="15">
      <c r="A249" s="996" t="s">
        <v>3795</v>
      </c>
      <c r="B249" s="997" t="s">
        <v>3796</v>
      </c>
      <c r="C249" s="998" t="s">
        <v>657</v>
      </c>
      <c r="D249" s="1002">
        <v>3406</v>
      </c>
      <c r="E249" s="998">
        <v>0</v>
      </c>
      <c r="F249" s="999"/>
      <c r="G249" s="991"/>
    </row>
    <row r="250" spans="1:7" ht="15">
      <c r="A250" s="992" t="s">
        <v>3797</v>
      </c>
      <c r="B250" s="993" t="s">
        <v>3798</v>
      </c>
      <c r="C250" s="994" t="s">
        <v>657</v>
      </c>
      <c r="D250" s="1007">
        <v>2350.4</v>
      </c>
      <c r="E250" s="994">
        <v>0</v>
      </c>
      <c r="F250" s="995"/>
      <c r="G250" s="991"/>
    </row>
    <row r="251" spans="1:7" ht="15">
      <c r="A251" s="996" t="s">
        <v>3799</v>
      </c>
      <c r="B251" s="997" t="s">
        <v>3800</v>
      </c>
      <c r="C251" s="998" t="s">
        <v>657</v>
      </c>
      <c r="D251" s="1002">
        <v>2454.4</v>
      </c>
      <c r="E251" s="998">
        <v>0</v>
      </c>
      <c r="F251" s="999"/>
      <c r="G251" s="991"/>
    </row>
    <row r="252" spans="1:7" ht="15">
      <c r="A252" s="992" t="s">
        <v>3801</v>
      </c>
      <c r="B252" s="993" t="s">
        <v>3802</v>
      </c>
      <c r="C252" s="994" t="s">
        <v>657</v>
      </c>
      <c r="D252" s="1007">
        <v>3380</v>
      </c>
      <c r="E252" s="994">
        <v>0</v>
      </c>
      <c r="F252" s="995"/>
      <c r="G252" s="991"/>
    </row>
    <row r="253" spans="1:7" ht="15">
      <c r="A253" s="996" t="s">
        <v>3803</v>
      </c>
      <c r="B253" s="997" t="s">
        <v>3804</v>
      </c>
      <c r="C253" s="998" t="s">
        <v>657</v>
      </c>
      <c r="D253" s="1002">
        <v>2875.58</v>
      </c>
      <c r="E253" s="998">
        <v>0</v>
      </c>
      <c r="F253" s="999"/>
      <c r="G253" s="991"/>
    </row>
    <row r="254" spans="1:7" ht="12.75">
      <c r="A254" s="1487" t="s">
        <v>3338</v>
      </c>
      <c r="B254" s="1451"/>
      <c r="C254" s="1451"/>
      <c r="D254" s="1451"/>
      <c r="E254" s="1451"/>
      <c r="F254" s="1451"/>
      <c r="G254" s="1451"/>
    </row>
    <row r="255" spans="1:7" ht="15">
      <c r="A255" s="1009" t="s">
        <v>3805</v>
      </c>
      <c r="B255" s="1010" t="s">
        <v>3806</v>
      </c>
      <c r="C255" s="1011" t="s">
        <v>657</v>
      </c>
      <c r="D255" s="1012">
        <v>6442.8</v>
      </c>
      <c r="E255" s="1011">
        <v>0</v>
      </c>
      <c r="F255" s="1013"/>
      <c r="G255" s="991"/>
    </row>
    <row r="256" spans="1:7" ht="15">
      <c r="A256" s="996" t="s">
        <v>3807</v>
      </c>
      <c r="B256" s="997" t="s">
        <v>3808</v>
      </c>
      <c r="C256" s="998" t="s">
        <v>657</v>
      </c>
      <c r="D256" s="1002">
        <v>3962.24</v>
      </c>
      <c r="E256" s="998">
        <v>0</v>
      </c>
      <c r="F256" s="999"/>
      <c r="G256" s="991"/>
    </row>
    <row r="257" spans="1:7" ht="15">
      <c r="A257" s="992" t="s">
        <v>3809</v>
      </c>
      <c r="B257" s="993" t="s">
        <v>3810</v>
      </c>
      <c r="C257" s="994" t="s">
        <v>657</v>
      </c>
      <c r="D257" s="1007">
        <v>4066.4</v>
      </c>
      <c r="E257" s="994">
        <v>0</v>
      </c>
      <c r="F257" s="995"/>
      <c r="G257" s="991"/>
    </row>
    <row r="258" spans="1:7" ht="15">
      <c r="A258" s="996" t="s">
        <v>3811</v>
      </c>
      <c r="B258" s="997" t="s">
        <v>3812</v>
      </c>
      <c r="C258" s="998" t="s">
        <v>657</v>
      </c>
      <c r="D258" s="1002">
        <v>6550.95</v>
      </c>
      <c r="E258" s="998">
        <v>0</v>
      </c>
      <c r="F258" s="999"/>
      <c r="G258" s="991"/>
    </row>
    <row r="259" spans="1:7" ht="15">
      <c r="A259" s="992" t="s">
        <v>3813</v>
      </c>
      <c r="B259" s="993" t="s">
        <v>3814</v>
      </c>
      <c r="C259" s="994" t="s">
        <v>657</v>
      </c>
      <c r="D259" s="1007">
        <v>4608.45</v>
      </c>
      <c r="E259" s="994">
        <v>0</v>
      </c>
      <c r="F259" s="995"/>
      <c r="G259" s="991"/>
    </row>
    <row r="260" spans="1:7" ht="15">
      <c r="A260" s="996" t="s">
        <v>3815</v>
      </c>
      <c r="B260" s="997" t="s">
        <v>3816</v>
      </c>
      <c r="C260" s="998" t="s">
        <v>657</v>
      </c>
      <c r="D260" s="1002">
        <v>7791</v>
      </c>
      <c r="E260" s="998">
        <v>0</v>
      </c>
      <c r="F260" s="999"/>
      <c r="G260" s="991"/>
    </row>
    <row r="261" spans="1:7" ht="15">
      <c r="A261" s="992" t="s">
        <v>3817</v>
      </c>
      <c r="B261" s="993" t="s">
        <v>3818</v>
      </c>
      <c r="C261" s="994" t="s">
        <v>657</v>
      </c>
      <c r="D261" s="1007">
        <v>7791</v>
      </c>
      <c r="E261" s="994">
        <v>0</v>
      </c>
      <c r="F261" s="995"/>
      <c r="G261" s="991"/>
    </row>
    <row r="262" spans="1:7" ht="15">
      <c r="A262" s="996" t="s">
        <v>3819</v>
      </c>
      <c r="B262" s="997" t="s">
        <v>3820</v>
      </c>
      <c r="C262" s="998" t="s">
        <v>657</v>
      </c>
      <c r="D262" s="1002">
        <v>7791</v>
      </c>
      <c r="E262" s="998">
        <v>0</v>
      </c>
      <c r="F262" s="999"/>
      <c r="G262" s="991"/>
    </row>
    <row r="263" spans="1:7" ht="15">
      <c r="A263" s="992" t="s">
        <v>3821</v>
      </c>
      <c r="B263" s="993" t="s">
        <v>3822</v>
      </c>
      <c r="C263" s="994" t="s">
        <v>657</v>
      </c>
      <c r="D263" s="1007">
        <v>13399.36</v>
      </c>
      <c r="E263" s="994">
        <v>0</v>
      </c>
      <c r="F263" s="995"/>
      <c r="G263" s="991"/>
    </row>
    <row r="264" spans="1:7" ht="15">
      <c r="A264" s="996" t="s">
        <v>3823</v>
      </c>
      <c r="B264" s="997" t="s">
        <v>3824</v>
      </c>
      <c r="C264" s="998" t="s">
        <v>657</v>
      </c>
      <c r="D264" s="1002">
        <v>2878.72</v>
      </c>
      <c r="E264" s="998">
        <v>0</v>
      </c>
      <c r="F264" s="999"/>
      <c r="G264" s="991"/>
    </row>
    <row r="265" spans="1:7" ht="15">
      <c r="A265" s="992" t="s">
        <v>3825</v>
      </c>
      <c r="B265" s="993" t="s">
        <v>3826</v>
      </c>
      <c r="C265" s="994" t="s">
        <v>657</v>
      </c>
      <c r="D265" s="1007">
        <v>5787.6</v>
      </c>
      <c r="E265" s="994">
        <v>0</v>
      </c>
      <c r="F265" s="995"/>
      <c r="G265" s="991"/>
    </row>
    <row r="266" spans="1:7" ht="15">
      <c r="A266" s="996" t="s">
        <v>3827</v>
      </c>
      <c r="B266" s="997" t="s">
        <v>3828</v>
      </c>
      <c r="C266" s="998" t="s">
        <v>657</v>
      </c>
      <c r="D266" s="1002">
        <v>5200</v>
      </c>
      <c r="E266" s="998">
        <v>0</v>
      </c>
      <c r="F266" s="999"/>
      <c r="G266" s="991"/>
    </row>
    <row r="267" spans="1:7" ht="15">
      <c r="A267" s="992" t="s">
        <v>3829</v>
      </c>
      <c r="B267" s="993" t="s">
        <v>3830</v>
      </c>
      <c r="C267" s="994" t="s">
        <v>657</v>
      </c>
      <c r="D267" s="1007">
        <v>8606</v>
      </c>
      <c r="E267" s="994">
        <v>0</v>
      </c>
      <c r="F267" s="995"/>
      <c r="G267" s="991"/>
    </row>
    <row r="268" spans="1:7" ht="15">
      <c r="A268" s="996" t="s">
        <v>3831</v>
      </c>
      <c r="B268" s="997" t="s">
        <v>3832</v>
      </c>
      <c r="C268" s="998" t="s">
        <v>657</v>
      </c>
      <c r="D268" s="1002">
        <v>3034.72</v>
      </c>
      <c r="E268" s="998">
        <v>0</v>
      </c>
      <c r="F268" s="999"/>
      <c r="G268" s="991"/>
    </row>
    <row r="269" spans="1:7" ht="15">
      <c r="A269" s="992" t="s">
        <v>3833</v>
      </c>
      <c r="B269" s="993" t="s">
        <v>3834</v>
      </c>
      <c r="C269" s="994" t="s">
        <v>657</v>
      </c>
      <c r="D269" s="1007">
        <v>4056</v>
      </c>
      <c r="E269" s="994">
        <v>0</v>
      </c>
      <c r="F269" s="995"/>
      <c r="G269" s="991"/>
    </row>
    <row r="270" spans="1:7" ht="15">
      <c r="A270" s="996" t="s">
        <v>3835</v>
      </c>
      <c r="B270" s="997" t="s">
        <v>3836</v>
      </c>
      <c r="C270" s="998" t="s">
        <v>657</v>
      </c>
      <c r="D270" s="1002">
        <v>10051</v>
      </c>
      <c r="E270" s="998">
        <v>0</v>
      </c>
      <c r="F270" s="999"/>
      <c r="G270" s="991"/>
    </row>
    <row r="271" spans="1:7" ht="15">
      <c r="A271" s="992" t="s">
        <v>3837</v>
      </c>
      <c r="B271" s="993" t="s">
        <v>3838</v>
      </c>
      <c r="C271" s="994" t="s">
        <v>657</v>
      </c>
      <c r="D271" s="1007">
        <v>13156</v>
      </c>
      <c r="E271" s="994">
        <v>0</v>
      </c>
      <c r="F271" s="995"/>
      <c r="G271" s="991"/>
    </row>
    <row r="272" spans="1:7" ht="15">
      <c r="A272" s="996" t="s">
        <v>3839</v>
      </c>
      <c r="B272" s="997" t="s">
        <v>3840</v>
      </c>
      <c r="C272" s="997" t="s">
        <v>657</v>
      </c>
      <c r="D272" s="1002">
        <v>2901.6</v>
      </c>
      <c r="E272" s="998">
        <v>0</v>
      </c>
      <c r="F272" s="999"/>
      <c r="G272" s="991"/>
    </row>
    <row r="273" spans="1:7" ht="15">
      <c r="A273" s="992" t="s">
        <v>3841</v>
      </c>
      <c r="B273" s="993" t="s">
        <v>3842</v>
      </c>
      <c r="C273" s="994" t="s">
        <v>657</v>
      </c>
      <c r="D273" s="1007">
        <v>2953.6</v>
      </c>
      <c r="E273" s="994">
        <v>0</v>
      </c>
      <c r="F273" s="995"/>
      <c r="G273" s="991"/>
    </row>
    <row r="274" spans="1:7" ht="15">
      <c r="A274" s="996" t="s">
        <v>3843</v>
      </c>
      <c r="B274" s="997" t="s">
        <v>3844</v>
      </c>
      <c r="C274" s="998" t="s">
        <v>657</v>
      </c>
      <c r="D274" s="1002">
        <v>2953.6</v>
      </c>
      <c r="E274" s="998">
        <v>0</v>
      </c>
      <c r="F274" s="999"/>
      <c r="G274" s="991"/>
    </row>
    <row r="275" spans="1:7" ht="15">
      <c r="A275" s="992" t="s">
        <v>3845</v>
      </c>
      <c r="B275" s="993" t="s">
        <v>3846</v>
      </c>
      <c r="C275" s="994" t="s">
        <v>657</v>
      </c>
      <c r="D275" s="1007">
        <v>2953.6</v>
      </c>
      <c r="E275" s="994">
        <v>0</v>
      </c>
      <c r="F275" s="995"/>
      <c r="G275" s="991"/>
    </row>
    <row r="276" spans="1:7" ht="15">
      <c r="A276" s="996" t="s">
        <v>3847</v>
      </c>
      <c r="B276" s="997" t="s">
        <v>3848</v>
      </c>
      <c r="C276" s="998" t="s">
        <v>657</v>
      </c>
      <c r="D276" s="1002">
        <v>7056.4</v>
      </c>
      <c r="E276" s="998">
        <v>0</v>
      </c>
      <c r="F276" s="999"/>
      <c r="G276" s="991"/>
    </row>
    <row r="277" spans="1:7" ht="15">
      <c r="A277" s="992" t="s">
        <v>3849</v>
      </c>
      <c r="B277" s="993" t="s">
        <v>3850</v>
      </c>
      <c r="C277" s="994" t="s">
        <v>657</v>
      </c>
      <c r="D277" s="1007">
        <v>8846.24</v>
      </c>
      <c r="E277" s="994">
        <v>0</v>
      </c>
      <c r="F277" s="995"/>
      <c r="G277" s="991"/>
    </row>
    <row r="278" spans="1:7" ht="15">
      <c r="A278" s="996" t="s">
        <v>3851</v>
      </c>
      <c r="B278" s="997" t="s">
        <v>3852</v>
      </c>
      <c r="C278" s="998" t="s">
        <v>657</v>
      </c>
      <c r="D278" s="1002">
        <v>8846.24</v>
      </c>
      <c r="E278" s="998">
        <v>0</v>
      </c>
      <c r="F278" s="999"/>
      <c r="G278" s="991"/>
    </row>
    <row r="279" spans="1:7" ht="15">
      <c r="A279" s="992" t="s">
        <v>3853</v>
      </c>
      <c r="B279" s="993" t="s">
        <v>3854</v>
      </c>
      <c r="C279" s="994" t="s">
        <v>657</v>
      </c>
      <c r="D279" s="1007">
        <v>8846.24</v>
      </c>
      <c r="E279" s="994">
        <v>0</v>
      </c>
      <c r="F279" s="995"/>
      <c r="G279" s="991"/>
    </row>
    <row r="280" spans="1:7" ht="12.75">
      <c r="A280" s="1487" t="s">
        <v>3338</v>
      </c>
      <c r="B280" s="1451"/>
      <c r="C280" s="1451"/>
      <c r="D280" s="1451"/>
      <c r="E280" s="1451"/>
      <c r="F280" s="1451"/>
      <c r="G280" s="1451"/>
    </row>
    <row r="281" spans="1:7" ht="15">
      <c r="A281" s="1003" t="s">
        <v>3855</v>
      </c>
      <c r="B281" s="1004" t="s">
        <v>3856</v>
      </c>
      <c r="C281" s="1005" t="s">
        <v>657</v>
      </c>
      <c r="D281" s="1015">
        <v>3429.78</v>
      </c>
      <c r="E281" s="1005">
        <v>0</v>
      </c>
      <c r="F281" s="1006"/>
      <c r="G281" s="991"/>
    </row>
    <row r="282" spans="1:7" ht="15">
      <c r="A282" s="992" t="s">
        <v>3857</v>
      </c>
      <c r="B282" s="993" t="s">
        <v>3858</v>
      </c>
      <c r="C282" s="994" t="s">
        <v>657</v>
      </c>
      <c r="D282" s="1007">
        <v>4043.83</v>
      </c>
      <c r="E282" s="994">
        <v>0</v>
      </c>
      <c r="F282" s="995"/>
      <c r="G282" s="991"/>
    </row>
    <row r="283" spans="1:7" ht="15">
      <c r="A283" s="996" t="s">
        <v>3859</v>
      </c>
      <c r="B283" s="997" t="s">
        <v>3860</v>
      </c>
      <c r="C283" s="998" t="s">
        <v>657</v>
      </c>
      <c r="D283" s="1002">
        <v>4043.83</v>
      </c>
      <c r="E283" s="998">
        <v>0</v>
      </c>
      <c r="F283" s="999"/>
      <c r="G283" s="991"/>
    </row>
    <row r="284" spans="1:7" ht="15">
      <c r="A284" s="992" t="s">
        <v>3861</v>
      </c>
      <c r="B284" s="993" t="s">
        <v>3862</v>
      </c>
      <c r="C284" s="994" t="s">
        <v>657</v>
      </c>
      <c r="D284" s="1007">
        <v>4043.83</v>
      </c>
      <c r="E284" s="994">
        <v>0</v>
      </c>
      <c r="F284" s="995"/>
      <c r="G284" s="991"/>
    </row>
    <row r="285" spans="1:7" ht="15">
      <c r="A285" s="996" t="s">
        <v>3863</v>
      </c>
      <c r="B285" s="997" t="s">
        <v>3864</v>
      </c>
      <c r="C285" s="998" t="s">
        <v>657</v>
      </c>
      <c r="D285" s="1002">
        <v>4440.8</v>
      </c>
      <c r="E285" s="998">
        <v>0</v>
      </c>
      <c r="F285" s="999"/>
      <c r="G285" s="991"/>
    </row>
    <row r="286" spans="1:7" ht="15">
      <c r="A286" s="992" t="s">
        <v>3865</v>
      </c>
      <c r="B286" s="993" t="s">
        <v>3866</v>
      </c>
      <c r="C286" s="994" t="s">
        <v>657</v>
      </c>
      <c r="D286" s="1007">
        <v>7441.2</v>
      </c>
      <c r="E286" s="994">
        <v>0</v>
      </c>
      <c r="F286" s="995"/>
      <c r="G286" s="991"/>
    </row>
    <row r="287" spans="1:7" ht="15">
      <c r="A287" s="996" t="s">
        <v>3867</v>
      </c>
      <c r="B287" s="997" t="s">
        <v>3868</v>
      </c>
      <c r="C287" s="998" t="s">
        <v>657</v>
      </c>
      <c r="D287" s="1002">
        <v>5616</v>
      </c>
      <c r="E287" s="998">
        <v>0</v>
      </c>
      <c r="F287" s="999"/>
      <c r="G287" s="991"/>
    </row>
    <row r="288" spans="1:7" ht="15">
      <c r="A288" s="992" t="s">
        <v>3869</v>
      </c>
      <c r="B288" s="993" t="s">
        <v>3870</v>
      </c>
      <c r="C288" s="994" t="s">
        <v>657</v>
      </c>
      <c r="D288" s="1007">
        <v>7472.4</v>
      </c>
      <c r="E288" s="994">
        <v>0</v>
      </c>
      <c r="F288" s="995"/>
      <c r="G288" s="991"/>
    </row>
    <row r="289" spans="1:7" ht="15">
      <c r="A289" s="996" t="s">
        <v>3871</v>
      </c>
      <c r="B289" s="997" t="s">
        <v>3872</v>
      </c>
      <c r="C289" s="998" t="s">
        <v>657</v>
      </c>
      <c r="D289" s="1002">
        <v>5616</v>
      </c>
      <c r="E289" s="998">
        <v>0</v>
      </c>
      <c r="F289" s="999"/>
      <c r="G289" s="991"/>
    </row>
    <row r="290" spans="1:7" ht="15">
      <c r="A290" s="992" t="s">
        <v>3873</v>
      </c>
      <c r="B290" s="993" t="s">
        <v>3874</v>
      </c>
      <c r="C290" s="994" t="s">
        <v>657</v>
      </c>
      <c r="D290" s="1007">
        <v>7472.4</v>
      </c>
      <c r="E290" s="994">
        <v>0</v>
      </c>
      <c r="F290" s="995"/>
      <c r="G290" s="991"/>
    </row>
    <row r="291" spans="1:7" ht="15">
      <c r="A291" s="996" t="s">
        <v>3875</v>
      </c>
      <c r="B291" s="997" t="s">
        <v>3876</v>
      </c>
      <c r="C291" s="998" t="s">
        <v>657</v>
      </c>
      <c r="D291" s="1002">
        <v>5616</v>
      </c>
      <c r="E291" s="998">
        <v>0</v>
      </c>
      <c r="F291" s="999"/>
      <c r="G291" s="991"/>
    </row>
    <row r="292" spans="1:7" ht="15">
      <c r="A292" s="992" t="s">
        <v>3877</v>
      </c>
      <c r="B292" s="993" t="s">
        <v>3878</v>
      </c>
      <c r="C292" s="994" t="s">
        <v>657</v>
      </c>
      <c r="D292" s="1007">
        <v>7472.4</v>
      </c>
      <c r="E292" s="994">
        <v>0</v>
      </c>
      <c r="F292" s="995"/>
      <c r="G292" s="991"/>
    </row>
    <row r="293" spans="1:7" ht="15">
      <c r="A293" s="996" t="s">
        <v>3879</v>
      </c>
      <c r="B293" s="997" t="s">
        <v>3880</v>
      </c>
      <c r="C293" s="997" t="s">
        <v>895</v>
      </c>
      <c r="D293" s="997">
        <v>144.04</v>
      </c>
      <c r="E293" s="998">
        <v>0</v>
      </c>
      <c r="F293" s="997" t="s">
        <v>3881</v>
      </c>
      <c r="G293" s="991"/>
    </row>
    <row r="294" spans="1:7" ht="15">
      <c r="A294" s="992" t="s">
        <v>3882</v>
      </c>
      <c r="B294" s="993" t="s">
        <v>3883</v>
      </c>
      <c r="C294" s="994" t="s">
        <v>3715</v>
      </c>
      <c r="D294" s="993">
        <v>67.260000000000005</v>
      </c>
      <c r="E294" s="994">
        <v>0</v>
      </c>
      <c r="F294" s="995"/>
      <c r="G294" s="991"/>
    </row>
    <row r="295" spans="1:7" ht="15">
      <c r="A295" s="992" t="s">
        <v>3884</v>
      </c>
      <c r="B295" s="993" t="s">
        <v>3885</v>
      </c>
      <c r="C295" s="994" t="s">
        <v>601</v>
      </c>
      <c r="D295" s="994">
        <v>31.91</v>
      </c>
      <c r="E295" s="994">
        <v>84</v>
      </c>
      <c r="F295" s="1001"/>
      <c r="G295" s="991"/>
    </row>
    <row r="296" spans="1:7" ht="15">
      <c r="A296" s="992" t="s">
        <v>3886</v>
      </c>
      <c r="B296" s="993" t="s">
        <v>3887</v>
      </c>
      <c r="C296" s="993" t="s">
        <v>895</v>
      </c>
      <c r="D296" s="993">
        <v>156.32</v>
      </c>
      <c r="E296" s="994">
        <v>0</v>
      </c>
      <c r="F296" s="993" t="s">
        <v>3888</v>
      </c>
      <c r="G296" s="991"/>
    </row>
    <row r="297" spans="1:7" ht="12.75">
      <c r="A297" s="1487" t="s">
        <v>3338</v>
      </c>
      <c r="B297" s="1451"/>
      <c r="C297" s="1451"/>
      <c r="D297" s="1451"/>
      <c r="E297" s="1451"/>
      <c r="F297" s="1451"/>
      <c r="G297" s="1451"/>
    </row>
    <row r="298" spans="1:7" ht="12.75">
      <c r="C298" s="74"/>
      <c r="D298" s="74"/>
      <c r="E298" s="74"/>
      <c r="F298" s="74"/>
    </row>
    <row r="299" spans="1:7" ht="12.75">
      <c r="C299" s="74"/>
      <c r="D299" s="74"/>
      <c r="E299" s="74"/>
      <c r="F299" s="74"/>
    </row>
    <row r="300" spans="1:7" ht="12.75">
      <c r="C300" s="74"/>
      <c r="D300" s="74"/>
      <c r="E300" s="74"/>
      <c r="F300" s="74"/>
    </row>
    <row r="301" spans="1:7" ht="12.75">
      <c r="C301" s="74"/>
      <c r="D301" s="74"/>
      <c r="E301" s="74"/>
      <c r="F301" s="74"/>
    </row>
    <row r="302" spans="1:7" ht="12.75">
      <c r="C302" s="74"/>
      <c r="D302" s="74"/>
      <c r="E302" s="74"/>
      <c r="F302" s="74"/>
    </row>
    <row r="303" spans="1:7" ht="12.75">
      <c r="C303" s="74"/>
      <c r="D303" s="74"/>
      <c r="E303" s="74"/>
      <c r="F303" s="74"/>
    </row>
    <row r="304" spans="1:7" ht="12.75">
      <c r="C304" s="74"/>
      <c r="D304" s="74"/>
      <c r="E304" s="74"/>
      <c r="F304" s="74"/>
    </row>
    <row r="305" spans="3:6" ht="12.75">
      <c r="C305" s="74"/>
      <c r="D305" s="74"/>
      <c r="E305" s="74"/>
      <c r="F305" s="74"/>
    </row>
    <row r="306" spans="3:6" ht="12.75">
      <c r="C306" s="74"/>
      <c r="D306" s="74"/>
      <c r="E306" s="74"/>
      <c r="F306" s="74"/>
    </row>
    <row r="307" spans="3:6" ht="12.75">
      <c r="C307" s="74"/>
      <c r="D307" s="74"/>
      <c r="E307" s="74"/>
      <c r="F307" s="74"/>
    </row>
    <row r="308" spans="3:6" ht="12.75">
      <c r="C308" s="74"/>
      <c r="D308" s="74"/>
      <c r="E308" s="74"/>
      <c r="F308" s="74"/>
    </row>
    <row r="309" spans="3:6" ht="12.75">
      <c r="C309" s="74"/>
      <c r="D309" s="74"/>
      <c r="E309" s="74"/>
      <c r="F309" s="74"/>
    </row>
    <row r="310" spans="3:6" ht="12.75">
      <c r="C310" s="74"/>
      <c r="D310" s="74"/>
      <c r="E310" s="74"/>
      <c r="F310" s="74"/>
    </row>
    <row r="311" spans="3:6" ht="12.75">
      <c r="C311" s="74"/>
      <c r="D311" s="74"/>
      <c r="E311" s="74"/>
      <c r="F311" s="74"/>
    </row>
    <row r="312" spans="3:6" ht="12.75">
      <c r="C312" s="74"/>
      <c r="D312" s="74"/>
      <c r="E312" s="74"/>
      <c r="F312" s="74"/>
    </row>
    <row r="313" spans="3:6" ht="12.75">
      <c r="C313" s="74"/>
      <c r="D313" s="74"/>
      <c r="E313" s="74"/>
      <c r="F313" s="74"/>
    </row>
    <row r="314" spans="3:6" ht="12.75">
      <c r="C314" s="74"/>
      <c r="D314" s="74"/>
      <c r="E314" s="74"/>
      <c r="F314" s="74"/>
    </row>
    <row r="315" spans="3:6" ht="12.75">
      <c r="C315" s="74"/>
      <c r="D315" s="74"/>
      <c r="E315" s="74"/>
      <c r="F315" s="74"/>
    </row>
    <row r="316" spans="3:6" ht="12.75">
      <c r="C316" s="74"/>
      <c r="D316" s="74"/>
      <c r="E316" s="74"/>
      <c r="F316" s="74"/>
    </row>
    <row r="317" spans="3:6" ht="12.75">
      <c r="C317" s="74"/>
      <c r="D317" s="74"/>
      <c r="E317" s="74"/>
      <c r="F317" s="74"/>
    </row>
    <row r="318" spans="3:6" ht="12.75">
      <c r="C318" s="74"/>
      <c r="D318" s="74"/>
      <c r="E318" s="74"/>
      <c r="F318" s="74"/>
    </row>
    <row r="319" spans="3:6" ht="12.75">
      <c r="C319" s="74"/>
      <c r="D319" s="74"/>
      <c r="E319" s="74"/>
      <c r="F319" s="74"/>
    </row>
    <row r="320" spans="3:6" ht="12.75">
      <c r="C320" s="74"/>
      <c r="D320" s="74"/>
      <c r="E320" s="74"/>
      <c r="F320" s="74"/>
    </row>
    <row r="321" spans="3:6" ht="12.75">
      <c r="C321" s="74"/>
      <c r="D321" s="74"/>
      <c r="E321" s="74"/>
      <c r="F321" s="74"/>
    </row>
    <row r="322" spans="3:6" ht="12.75">
      <c r="C322" s="74"/>
      <c r="D322" s="74"/>
      <c r="E322" s="74"/>
      <c r="F322" s="74"/>
    </row>
    <row r="323" spans="3:6" ht="12.75">
      <c r="C323" s="74"/>
      <c r="D323" s="74"/>
      <c r="E323" s="74"/>
      <c r="F323" s="74"/>
    </row>
    <row r="324" spans="3:6" ht="12.75">
      <c r="C324" s="74"/>
      <c r="D324" s="74"/>
      <c r="E324" s="74"/>
      <c r="F324" s="74"/>
    </row>
    <row r="325" spans="3:6" ht="12.75">
      <c r="C325" s="74"/>
      <c r="D325" s="74"/>
      <c r="E325" s="74"/>
      <c r="F325" s="74"/>
    </row>
    <row r="326" spans="3:6" ht="12.75">
      <c r="C326" s="74"/>
      <c r="D326" s="74"/>
      <c r="E326" s="74"/>
      <c r="F326" s="74"/>
    </row>
    <row r="327" spans="3:6" ht="12.75">
      <c r="C327" s="74"/>
      <c r="D327" s="74"/>
      <c r="E327" s="74"/>
      <c r="F327" s="74"/>
    </row>
    <row r="328" spans="3:6" ht="12.75">
      <c r="C328" s="74"/>
      <c r="D328" s="74"/>
      <c r="E328" s="74"/>
      <c r="F328" s="74"/>
    </row>
    <row r="329" spans="3:6" ht="12.75">
      <c r="C329" s="74"/>
      <c r="D329" s="74"/>
      <c r="E329" s="74"/>
      <c r="F329" s="74"/>
    </row>
    <row r="330" spans="3:6" ht="12.75">
      <c r="C330" s="74"/>
      <c r="D330" s="74"/>
      <c r="E330" s="74"/>
      <c r="F330" s="74"/>
    </row>
    <row r="331" spans="3:6" ht="12.75">
      <c r="C331" s="74"/>
      <c r="D331" s="74"/>
      <c r="E331" s="74"/>
      <c r="F331" s="74"/>
    </row>
    <row r="332" spans="3:6" ht="12.75">
      <c r="C332" s="74"/>
      <c r="D332" s="74"/>
      <c r="E332" s="74"/>
      <c r="F332" s="74"/>
    </row>
    <row r="333" spans="3:6" ht="12.75">
      <c r="C333" s="74"/>
      <c r="D333" s="74"/>
      <c r="E333" s="74"/>
      <c r="F333" s="74"/>
    </row>
    <row r="334" spans="3:6" ht="12.75">
      <c r="C334" s="74"/>
      <c r="D334" s="74"/>
      <c r="E334" s="74"/>
      <c r="F334" s="74"/>
    </row>
    <row r="335" spans="3:6" ht="12.75">
      <c r="C335" s="74"/>
      <c r="D335" s="74"/>
      <c r="E335" s="74"/>
      <c r="F335" s="74"/>
    </row>
    <row r="336" spans="3:6" ht="12.75">
      <c r="C336" s="74"/>
      <c r="D336" s="74"/>
      <c r="E336" s="74"/>
      <c r="F336" s="74"/>
    </row>
    <row r="337" spans="3:6" ht="12.75">
      <c r="C337" s="74"/>
      <c r="D337" s="74"/>
      <c r="E337" s="74"/>
      <c r="F337" s="74"/>
    </row>
    <row r="338" spans="3:6" ht="12.75">
      <c r="C338" s="74"/>
      <c r="D338" s="74"/>
      <c r="E338" s="74"/>
      <c r="F338" s="74"/>
    </row>
    <row r="339" spans="3:6" ht="12.75">
      <c r="C339" s="74"/>
      <c r="D339" s="74"/>
      <c r="E339" s="74"/>
      <c r="F339" s="74"/>
    </row>
    <row r="340" spans="3:6" ht="12.75">
      <c r="C340" s="74"/>
      <c r="D340" s="74"/>
      <c r="E340" s="74"/>
      <c r="F340" s="74"/>
    </row>
    <row r="341" spans="3:6" ht="12.75">
      <c r="C341" s="74"/>
      <c r="D341" s="74"/>
      <c r="E341" s="74"/>
      <c r="F341" s="74"/>
    </row>
    <row r="342" spans="3:6" ht="12.75">
      <c r="C342" s="74"/>
      <c r="D342" s="74"/>
      <c r="E342" s="74"/>
      <c r="F342" s="74"/>
    </row>
    <row r="343" spans="3:6" ht="12.75">
      <c r="C343" s="74"/>
      <c r="D343" s="74"/>
      <c r="E343" s="74"/>
      <c r="F343" s="74"/>
    </row>
    <row r="344" spans="3:6" ht="12.75">
      <c r="C344" s="74"/>
      <c r="D344" s="74"/>
      <c r="E344" s="74"/>
      <c r="F344" s="74"/>
    </row>
    <row r="345" spans="3:6" ht="12.75">
      <c r="C345" s="74"/>
      <c r="D345" s="74"/>
      <c r="E345" s="74"/>
      <c r="F345" s="74"/>
    </row>
    <row r="346" spans="3:6" ht="12.75">
      <c r="C346" s="74"/>
      <c r="D346" s="74"/>
      <c r="E346" s="74"/>
      <c r="F346" s="74"/>
    </row>
    <row r="347" spans="3:6" ht="12.75">
      <c r="C347" s="74"/>
      <c r="D347" s="74"/>
      <c r="E347" s="74"/>
      <c r="F347" s="74"/>
    </row>
    <row r="348" spans="3:6" ht="12.75">
      <c r="C348" s="74"/>
      <c r="D348" s="74"/>
      <c r="E348" s="74"/>
      <c r="F348" s="74"/>
    </row>
    <row r="349" spans="3:6" ht="12.75">
      <c r="C349" s="74"/>
      <c r="D349" s="74"/>
      <c r="E349" s="74"/>
      <c r="F349" s="74"/>
    </row>
    <row r="350" spans="3:6" ht="12.75">
      <c r="C350" s="74"/>
      <c r="D350" s="74"/>
      <c r="E350" s="74"/>
      <c r="F350" s="74"/>
    </row>
    <row r="351" spans="3:6" ht="12.75">
      <c r="C351" s="74"/>
      <c r="D351" s="74"/>
      <c r="E351" s="74"/>
      <c r="F351" s="74"/>
    </row>
    <row r="352" spans="3:6" ht="12.75">
      <c r="C352" s="74"/>
      <c r="D352" s="74"/>
      <c r="E352" s="74"/>
      <c r="F352" s="74"/>
    </row>
    <row r="353" spans="3:6" ht="12.75">
      <c r="C353" s="74"/>
      <c r="D353" s="74"/>
      <c r="E353" s="74"/>
      <c r="F353" s="74"/>
    </row>
    <row r="354" spans="3:6" ht="12.75">
      <c r="C354" s="74"/>
      <c r="D354" s="74"/>
      <c r="E354" s="74"/>
      <c r="F354" s="74"/>
    </row>
    <row r="355" spans="3:6" ht="12.75">
      <c r="C355" s="74"/>
      <c r="D355" s="74"/>
      <c r="E355" s="74"/>
      <c r="F355" s="74"/>
    </row>
    <row r="356" spans="3:6" ht="12.75">
      <c r="C356" s="74"/>
      <c r="D356" s="74"/>
      <c r="E356" s="74"/>
      <c r="F356" s="74"/>
    </row>
    <row r="357" spans="3:6" ht="12.75">
      <c r="C357" s="74"/>
      <c r="D357" s="74"/>
      <c r="E357" s="74"/>
      <c r="F357" s="74"/>
    </row>
    <row r="358" spans="3:6" ht="12.75">
      <c r="C358" s="74"/>
      <c r="D358" s="74"/>
      <c r="E358" s="74"/>
      <c r="F358" s="74"/>
    </row>
    <row r="359" spans="3:6" ht="12.75">
      <c r="C359" s="74"/>
      <c r="D359" s="74"/>
      <c r="E359" s="74"/>
      <c r="F359" s="74"/>
    </row>
    <row r="360" spans="3:6" ht="12.75">
      <c r="C360" s="74"/>
      <c r="D360" s="74"/>
      <c r="E360" s="74"/>
      <c r="F360" s="74"/>
    </row>
    <row r="361" spans="3:6" ht="12.75">
      <c r="C361" s="74"/>
      <c r="D361" s="74"/>
      <c r="E361" s="74"/>
      <c r="F361" s="74"/>
    </row>
    <row r="362" spans="3:6" ht="12.75">
      <c r="C362" s="74"/>
      <c r="D362" s="74"/>
      <c r="E362" s="74"/>
      <c r="F362" s="74"/>
    </row>
    <row r="363" spans="3:6" ht="12.75">
      <c r="C363" s="74"/>
      <c r="D363" s="74"/>
      <c r="E363" s="74"/>
      <c r="F363" s="74"/>
    </row>
    <row r="364" spans="3:6" ht="12.75">
      <c r="C364" s="74"/>
      <c r="D364" s="74"/>
      <c r="E364" s="74"/>
      <c r="F364" s="74"/>
    </row>
    <row r="365" spans="3:6" ht="12.75">
      <c r="C365" s="74"/>
      <c r="D365" s="74"/>
      <c r="E365" s="74"/>
      <c r="F365" s="74"/>
    </row>
    <row r="366" spans="3:6" ht="12.75">
      <c r="C366" s="74"/>
      <c r="D366" s="74"/>
      <c r="E366" s="74"/>
      <c r="F366" s="74"/>
    </row>
    <row r="367" spans="3:6" ht="12.75">
      <c r="C367" s="74"/>
      <c r="D367" s="74"/>
      <c r="E367" s="74"/>
      <c r="F367" s="74"/>
    </row>
    <row r="368" spans="3:6" ht="12.75">
      <c r="C368" s="74"/>
      <c r="D368" s="74"/>
      <c r="E368" s="74"/>
      <c r="F368" s="74"/>
    </row>
    <row r="369" spans="3:6" ht="12.75">
      <c r="C369" s="74"/>
      <c r="D369" s="74"/>
      <c r="E369" s="74"/>
      <c r="F369" s="74"/>
    </row>
    <row r="370" spans="3:6" ht="12.75">
      <c r="C370" s="74"/>
      <c r="D370" s="74"/>
      <c r="E370" s="74"/>
      <c r="F370" s="74"/>
    </row>
    <row r="371" spans="3:6" ht="12.75">
      <c r="C371" s="74"/>
      <c r="D371" s="74"/>
      <c r="E371" s="74"/>
      <c r="F371" s="74"/>
    </row>
    <row r="372" spans="3:6" ht="12.75">
      <c r="C372" s="74"/>
      <c r="D372" s="74"/>
      <c r="E372" s="74"/>
      <c r="F372" s="74"/>
    </row>
    <row r="373" spans="3:6" ht="12.75">
      <c r="C373" s="74"/>
      <c r="D373" s="74"/>
      <c r="E373" s="74"/>
      <c r="F373" s="74"/>
    </row>
    <row r="374" spans="3:6" ht="12.75">
      <c r="C374" s="74"/>
      <c r="D374" s="74"/>
      <c r="E374" s="74"/>
      <c r="F374" s="74"/>
    </row>
    <row r="375" spans="3:6" ht="12.75">
      <c r="C375" s="74"/>
      <c r="D375" s="74"/>
      <c r="E375" s="74"/>
      <c r="F375" s="74"/>
    </row>
    <row r="376" spans="3:6" ht="12.75">
      <c r="C376" s="74"/>
      <c r="D376" s="74"/>
      <c r="E376" s="74"/>
      <c r="F376" s="74"/>
    </row>
    <row r="377" spans="3:6" ht="12.75">
      <c r="C377" s="74"/>
      <c r="D377" s="74"/>
      <c r="E377" s="74"/>
      <c r="F377" s="74"/>
    </row>
    <row r="378" spans="3:6" ht="12.75">
      <c r="C378" s="74"/>
      <c r="D378" s="74"/>
      <c r="E378" s="74"/>
      <c r="F378" s="74"/>
    </row>
    <row r="379" spans="3:6" ht="12.75">
      <c r="C379" s="74"/>
      <c r="D379" s="74"/>
      <c r="E379" s="74"/>
      <c r="F379" s="74"/>
    </row>
    <row r="380" spans="3:6" ht="12.75">
      <c r="C380" s="74"/>
      <c r="D380" s="74"/>
      <c r="E380" s="74"/>
      <c r="F380" s="74"/>
    </row>
    <row r="381" spans="3:6" ht="12.75">
      <c r="C381" s="74"/>
      <c r="D381" s="74"/>
      <c r="E381" s="74"/>
      <c r="F381" s="74"/>
    </row>
    <row r="382" spans="3:6" ht="12.75">
      <c r="C382" s="74"/>
      <c r="D382" s="74"/>
      <c r="E382" s="74"/>
      <c r="F382" s="74"/>
    </row>
    <row r="383" spans="3:6" ht="12.75">
      <c r="C383" s="74"/>
      <c r="D383" s="74"/>
      <c r="E383" s="74"/>
      <c r="F383" s="74"/>
    </row>
    <row r="384" spans="3:6" ht="12.75">
      <c r="C384" s="74"/>
      <c r="D384" s="74"/>
      <c r="E384" s="74"/>
      <c r="F384" s="74"/>
    </row>
    <row r="385" spans="3:6" ht="12.75">
      <c r="C385" s="74"/>
      <c r="D385" s="74"/>
      <c r="E385" s="74"/>
      <c r="F385" s="74"/>
    </row>
    <row r="386" spans="3:6" ht="12.75">
      <c r="C386" s="74"/>
      <c r="D386" s="74"/>
      <c r="E386" s="74"/>
      <c r="F386" s="74"/>
    </row>
    <row r="387" spans="3:6" ht="12.75">
      <c r="C387" s="74"/>
      <c r="D387" s="74"/>
      <c r="E387" s="74"/>
      <c r="F387" s="74"/>
    </row>
    <row r="388" spans="3:6" ht="12.75">
      <c r="C388" s="74"/>
      <c r="D388" s="74"/>
      <c r="E388" s="74"/>
      <c r="F388" s="74"/>
    </row>
    <row r="389" spans="3:6" ht="12.75">
      <c r="C389" s="74"/>
      <c r="D389" s="74"/>
      <c r="E389" s="74"/>
      <c r="F389" s="74"/>
    </row>
    <row r="390" spans="3:6" ht="12.75">
      <c r="C390" s="74"/>
      <c r="D390" s="74"/>
      <c r="E390" s="74"/>
      <c r="F390" s="74"/>
    </row>
    <row r="391" spans="3:6" ht="12.75">
      <c r="C391" s="74"/>
      <c r="D391" s="74"/>
      <c r="E391" s="74"/>
      <c r="F391" s="74"/>
    </row>
    <row r="392" spans="3:6" ht="12.75">
      <c r="C392" s="74"/>
      <c r="D392" s="74"/>
      <c r="E392" s="74"/>
      <c r="F392" s="74"/>
    </row>
    <row r="393" spans="3:6" ht="12.75">
      <c r="C393" s="74"/>
      <c r="D393" s="74"/>
      <c r="E393" s="74"/>
      <c r="F393" s="74"/>
    </row>
    <row r="394" spans="3:6" ht="12.75">
      <c r="C394" s="74"/>
      <c r="D394" s="74"/>
      <c r="E394" s="74"/>
      <c r="F394" s="74"/>
    </row>
    <row r="395" spans="3:6" ht="12.75">
      <c r="C395" s="74"/>
      <c r="D395" s="74"/>
      <c r="E395" s="74"/>
      <c r="F395" s="74"/>
    </row>
    <row r="396" spans="3:6" ht="12.75">
      <c r="C396" s="74"/>
      <c r="D396" s="74"/>
      <c r="E396" s="74"/>
      <c r="F396" s="74"/>
    </row>
    <row r="397" spans="3:6" ht="12.75">
      <c r="C397" s="74"/>
      <c r="D397" s="74"/>
      <c r="E397" s="74"/>
      <c r="F397" s="74"/>
    </row>
    <row r="398" spans="3:6" ht="12.75">
      <c r="C398" s="74"/>
      <c r="D398" s="74"/>
      <c r="E398" s="74"/>
      <c r="F398" s="74"/>
    </row>
    <row r="399" spans="3:6" ht="12.75">
      <c r="C399" s="74"/>
      <c r="D399" s="74"/>
      <c r="E399" s="74"/>
      <c r="F399" s="74"/>
    </row>
    <row r="400" spans="3:6" ht="12.75">
      <c r="C400" s="74"/>
      <c r="D400" s="74"/>
      <c r="E400" s="74"/>
      <c r="F400" s="74"/>
    </row>
    <row r="401" spans="3:6" ht="12.75">
      <c r="C401" s="74"/>
      <c r="D401" s="74"/>
      <c r="E401" s="74"/>
      <c r="F401" s="74"/>
    </row>
    <row r="402" spans="3:6" ht="12.75">
      <c r="C402" s="74"/>
      <c r="D402" s="74"/>
      <c r="E402" s="74"/>
      <c r="F402" s="74"/>
    </row>
    <row r="403" spans="3:6" ht="12.75">
      <c r="C403" s="74"/>
      <c r="D403" s="74"/>
      <c r="E403" s="74"/>
      <c r="F403" s="74"/>
    </row>
    <row r="404" spans="3:6" ht="12.75">
      <c r="C404" s="74"/>
      <c r="D404" s="74"/>
      <c r="E404" s="74"/>
      <c r="F404" s="74"/>
    </row>
    <row r="405" spans="3:6" ht="12.75">
      <c r="C405" s="74"/>
      <c r="D405" s="74"/>
      <c r="E405" s="74"/>
      <c r="F405" s="74"/>
    </row>
    <row r="406" spans="3:6" ht="12.75">
      <c r="C406" s="74"/>
      <c r="D406" s="74"/>
      <c r="E406" s="74"/>
      <c r="F406" s="74"/>
    </row>
    <row r="407" spans="3:6" ht="12.75">
      <c r="C407" s="74"/>
      <c r="D407" s="74"/>
      <c r="E407" s="74"/>
      <c r="F407" s="74"/>
    </row>
    <row r="408" spans="3:6" ht="12.75">
      <c r="C408" s="74"/>
      <c r="D408" s="74"/>
      <c r="E408" s="74"/>
      <c r="F408" s="74"/>
    </row>
    <row r="409" spans="3:6" ht="12.75">
      <c r="C409" s="74"/>
      <c r="D409" s="74"/>
      <c r="E409" s="74"/>
      <c r="F409" s="74"/>
    </row>
    <row r="410" spans="3:6" ht="12.75">
      <c r="C410" s="74"/>
      <c r="D410" s="74"/>
      <c r="E410" s="74"/>
      <c r="F410" s="74"/>
    </row>
    <row r="411" spans="3:6" ht="12.75">
      <c r="C411" s="74"/>
      <c r="D411" s="74"/>
      <c r="E411" s="74"/>
      <c r="F411" s="74"/>
    </row>
    <row r="412" spans="3:6" ht="12.75">
      <c r="C412" s="74"/>
      <c r="D412" s="74"/>
      <c r="E412" s="74"/>
      <c r="F412" s="74"/>
    </row>
    <row r="413" spans="3:6" ht="12.75">
      <c r="C413" s="74"/>
      <c r="D413" s="74"/>
      <c r="E413" s="74"/>
      <c r="F413" s="74"/>
    </row>
    <row r="414" spans="3:6" ht="12.75">
      <c r="C414" s="74"/>
      <c r="D414" s="74"/>
      <c r="E414" s="74"/>
      <c r="F414" s="74"/>
    </row>
    <row r="415" spans="3:6" ht="12.75">
      <c r="C415" s="74"/>
      <c r="D415" s="74"/>
      <c r="E415" s="74"/>
      <c r="F415" s="74"/>
    </row>
    <row r="416" spans="3:6" ht="12.75">
      <c r="C416" s="74"/>
      <c r="D416" s="74"/>
      <c r="E416" s="74"/>
      <c r="F416" s="74"/>
    </row>
    <row r="417" spans="3:6" ht="12.75">
      <c r="C417" s="74"/>
      <c r="D417" s="74"/>
      <c r="E417" s="74"/>
      <c r="F417" s="74"/>
    </row>
    <row r="418" spans="3:6" ht="12.75">
      <c r="C418" s="74"/>
      <c r="D418" s="74"/>
      <c r="E418" s="74"/>
      <c r="F418" s="74"/>
    </row>
    <row r="419" spans="3:6" ht="12.75">
      <c r="C419" s="74"/>
      <c r="D419" s="74"/>
      <c r="E419" s="74"/>
      <c r="F419" s="74"/>
    </row>
    <row r="420" spans="3:6" ht="12.75">
      <c r="C420" s="74"/>
      <c r="D420" s="74"/>
      <c r="E420" s="74"/>
      <c r="F420" s="74"/>
    </row>
    <row r="421" spans="3:6" ht="12.75">
      <c r="C421" s="74"/>
      <c r="D421" s="74"/>
      <c r="E421" s="74"/>
      <c r="F421" s="74"/>
    </row>
    <row r="422" spans="3:6" ht="12.75">
      <c r="C422" s="74"/>
      <c r="D422" s="74"/>
      <c r="E422" s="74"/>
      <c r="F422" s="74"/>
    </row>
    <row r="423" spans="3:6" ht="12.75">
      <c r="C423" s="74"/>
      <c r="D423" s="74"/>
      <c r="E423" s="74"/>
      <c r="F423" s="74"/>
    </row>
    <row r="424" spans="3:6" ht="12.75">
      <c r="C424" s="74"/>
      <c r="D424" s="74"/>
      <c r="E424" s="74"/>
      <c r="F424" s="74"/>
    </row>
    <row r="425" spans="3:6" ht="12.75">
      <c r="C425" s="74"/>
      <c r="D425" s="74"/>
      <c r="E425" s="74"/>
      <c r="F425" s="74"/>
    </row>
    <row r="426" spans="3:6" ht="12.75">
      <c r="C426" s="74"/>
      <c r="D426" s="74"/>
      <c r="E426" s="74"/>
      <c r="F426" s="74"/>
    </row>
    <row r="427" spans="3:6" ht="12.75">
      <c r="C427" s="74"/>
      <c r="D427" s="74"/>
      <c r="E427" s="74"/>
      <c r="F427" s="74"/>
    </row>
    <row r="428" spans="3:6" ht="12.75">
      <c r="C428" s="74"/>
      <c r="D428" s="74"/>
      <c r="E428" s="74"/>
      <c r="F428" s="74"/>
    </row>
    <row r="429" spans="3:6" ht="12.75">
      <c r="C429" s="74"/>
      <c r="D429" s="74"/>
      <c r="E429" s="74"/>
      <c r="F429" s="74"/>
    </row>
    <row r="430" spans="3:6" ht="12.75">
      <c r="C430" s="74"/>
      <c r="D430" s="74"/>
      <c r="E430" s="74"/>
      <c r="F430" s="74"/>
    </row>
    <row r="431" spans="3:6" ht="12.75">
      <c r="C431" s="74"/>
      <c r="D431" s="74"/>
      <c r="E431" s="74"/>
      <c r="F431" s="74"/>
    </row>
    <row r="432" spans="3:6" ht="12.75">
      <c r="C432" s="74"/>
      <c r="D432" s="74"/>
      <c r="E432" s="74"/>
      <c r="F432" s="74"/>
    </row>
    <row r="433" spans="3:6" ht="12.75">
      <c r="C433" s="74"/>
      <c r="D433" s="74"/>
      <c r="E433" s="74"/>
      <c r="F433" s="74"/>
    </row>
    <row r="434" spans="3:6" ht="12.75">
      <c r="C434" s="74"/>
      <c r="D434" s="74"/>
      <c r="E434" s="74"/>
      <c r="F434" s="74"/>
    </row>
    <row r="435" spans="3:6" ht="12.75">
      <c r="C435" s="74"/>
      <c r="D435" s="74"/>
      <c r="E435" s="74"/>
      <c r="F435" s="74"/>
    </row>
    <row r="436" spans="3:6" ht="12.75">
      <c r="C436" s="74"/>
      <c r="D436" s="74"/>
      <c r="E436" s="74"/>
      <c r="F436" s="74"/>
    </row>
    <row r="437" spans="3:6" ht="12.75">
      <c r="C437" s="74"/>
      <c r="D437" s="74"/>
      <c r="E437" s="74"/>
      <c r="F437" s="74"/>
    </row>
    <row r="438" spans="3:6" ht="12.75">
      <c r="C438" s="74"/>
      <c r="D438" s="74"/>
      <c r="E438" s="74"/>
      <c r="F438" s="74"/>
    </row>
    <row r="439" spans="3:6" ht="12.75">
      <c r="C439" s="74"/>
      <c r="D439" s="74"/>
      <c r="E439" s="74"/>
      <c r="F439" s="74"/>
    </row>
    <row r="440" spans="3:6" ht="12.75">
      <c r="C440" s="74"/>
      <c r="D440" s="74"/>
      <c r="E440" s="74"/>
      <c r="F440" s="74"/>
    </row>
    <row r="441" spans="3:6" ht="12.75">
      <c r="C441" s="74"/>
      <c r="D441" s="74"/>
      <c r="E441" s="74"/>
      <c r="F441" s="74"/>
    </row>
    <row r="442" spans="3:6" ht="12.75">
      <c r="C442" s="74"/>
      <c r="D442" s="74"/>
      <c r="E442" s="74"/>
      <c r="F442" s="74"/>
    </row>
    <row r="443" spans="3:6" ht="12.75">
      <c r="C443" s="74"/>
      <c r="D443" s="74"/>
      <c r="E443" s="74"/>
      <c r="F443" s="74"/>
    </row>
    <row r="444" spans="3:6" ht="12.75">
      <c r="C444" s="74"/>
      <c r="D444" s="74"/>
      <c r="E444" s="74"/>
      <c r="F444" s="74"/>
    </row>
    <row r="445" spans="3:6" ht="12.75">
      <c r="C445" s="74"/>
      <c r="D445" s="74"/>
      <c r="E445" s="74"/>
      <c r="F445" s="74"/>
    </row>
    <row r="446" spans="3:6" ht="12.75">
      <c r="C446" s="74"/>
      <c r="D446" s="74"/>
      <c r="E446" s="74"/>
      <c r="F446" s="74"/>
    </row>
    <row r="447" spans="3:6" ht="12.75">
      <c r="C447" s="74"/>
      <c r="D447" s="74"/>
      <c r="E447" s="74"/>
      <c r="F447" s="74"/>
    </row>
    <row r="448" spans="3:6" ht="12.75">
      <c r="C448" s="74"/>
      <c r="D448" s="74"/>
      <c r="E448" s="74"/>
      <c r="F448" s="74"/>
    </row>
    <row r="449" spans="3:6" ht="12.75">
      <c r="C449" s="74"/>
      <c r="D449" s="74"/>
      <c r="E449" s="74"/>
      <c r="F449" s="74"/>
    </row>
    <row r="450" spans="3:6" ht="12.75">
      <c r="C450" s="74"/>
      <c r="D450" s="74"/>
      <c r="E450" s="74"/>
      <c r="F450" s="74"/>
    </row>
    <row r="451" spans="3:6" ht="12.75">
      <c r="C451" s="74"/>
      <c r="D451" s="74"/>
      <c r="E451" s="74"/>
      <c r="F451" s="74"/>
    </row>
    <row r="452" spans="3:6" ht="12.75">
      <c r="C452" s="74"/>
      <c r="D452" s="74"/>
      <c r="E452" s="74"/>
      <c r="F452" s="74"/>
    </row>
    <row r="453" spans="3:6" ht="12.75">
      <c r="C453" s="74"/>
      <c r="D453" s="74"/>
      <c r="E453" s="74"/>
      <c r="F453" s="74"/>
    </row>
    <row r="454" spans="3:6" ht="12.75">
      <c r="C454" s="74"/>
      <c r="D454" s="74"/>
      <c r="E454" s="74"/>
      <c r="F454" s="74"/>
    </row>
    <row r="455" spans="3:6" ht="12.75">
      <c r="C455" s="74"/>
      <c r="D455" s="74"/>
      <c r="E455" s="74"/>
      <c r="F455" s="74"/>
    </row>
    <row r="456" spans="3:6" ht="12.75">
      <c r="C456" s="74"/>
      <c r="D456" s="74"/>
      <c r="E456" s="74"/>
      <c r="F456" s="74"/>
    </row>
    <row r="457" spans="3:6" ht="12.75">
      <c r="C457" s="74"/>
      <c r="D457" s="74"/>
      <c r="E457" s="74"/>
      <c r="F457" s="74"/>
    </row>
    <row r="458" spans="3:6" ht="12.75">
      <c r="C458" s="74"/>
      <c r="D458" s="74"/>
      <c r="E458" s="74"/>
      <c r="F458" s="74"/>
    </row>
    <row r="459" spans="3:6" ht="12.75">
      <c r="C459" s="74"/>
      <c r="D459" s="74"/>
      <c r="E459" s="74"/>
      <c r="F459" s="74"/>
    </row>
    <row r="460" spans="3:6" ht="12.75">
      <c r="C460" s="74"/>
      <c r="D460" s="74"/>
      <c r="E460" s="74"/>
      <c r="F460" s="74"/>
    </row>
    <row r="461" spans="3:6" ht="12.75">
      <c r="C461" s="74"/>
      <c r="D461" s="74"/>
      <c r="E461" s="74"/>
      <c r="F461" s="74"/>
    </row>
    <row r="462" spans="3:6" ht="12.75">
      <c r="C462" s="74"/>
      <c r="D462" s="74"/>
      <c r="E462" s="74"/>
      <c r="F462" s="74"/>
    </row>
    <row r="463" spans="3:6" ht="12.75">
      <c r="C463" s="74"/>
      <c r="D463" s="74"/>
      <c r="E463" s="74"/>
      <c r="F463" s="74"/>
    </row>
    <row r="464" spans="3:6" ht="12.75">
      <c r="C464" s="74"/>
      <c r="D464" s="74"/>
      <c r="E464" s="74"/>
      <c r="F464" s="74"/>
    </row>
    <row r="465" spans="3:6" ht="12.75">
      <c r="C465" s="74"/>
      <c r="D465" s="74"/>
      <c r="E465" s="74"/>
      <c r="F465" s="74"/>
    </row>
    <row r="466" spans="3:6" ht="12.75">
      <c r="C466" s="74"/>
      <c r="D466" s="74"/>
      <c r="E466" s="74"/>
      <c r="F466" s="74"/>
    </row>
    <row r="467" spans="3:6" ht="12.75">
      <c r="C467" s="74"/>
      <c r="D467" s="74"/>
      <c r="E467" s="74"/>
      <c r="F467" s="74"/>
    </row>
    <row r="468" spans="3:6" ht="12.75">
      <c r="C468" s="74"/>
      <c r="D468" s="74"/>
      <c r="E468" s="74"/>
      <c r="F468" s="74"/>
    </row>
    <row r="469" spans="3:6" ht="12.75">
      <c r="C469" s="74"/>
      <c r="D469" s="74"/>
      <c r="E469" s="74"/>
      <c r="F469" s="74"/>
    </row>
    <row r="470" spans="3:6" ht="12.75">
      <c r="C470" s="74"/>
      <c r="D470" s="74"/>
      <c r="E470" s="74"/>
      <c r="F470" s="74"/>
    </row>
    <row r="471" spans="3:6" ht="12.75">
      <c r="C471" s="74"/>
      <c r="D471" s="74"/>
      <c r="E471" s="74"/>
      <c r="F471" s="74"/>
    </row>
    <row r="472" spans="3:6" ht="12.75">
      <c r="C472" s="74"/>
      <c r="D472" s="74"/>
      <c r="E472" s="74"/>
      <c r="F472" s="74"/>
    </row>
    <row r="473" spans="3:6" ht="12.75">
      <c r="C473" s="74"/>
      <c r="D473" s="74"/>
      <c r="E473" s="74"/>
      <c r="F473" s="74"/>
    </row>
    <row r="474" spans="3:6" ht="12.75">
      <c r="C474" s="74"/>
      <c r="D474" s="74"/>
      <c r="E474" s="74"/>
      <c r="F474" s="74"/>
    </row>
    <row r="475" spans="3:6" ht="12.75">
      <c r="C475" s="74"/>
      <c r="D475" s="74"/>
      <c r="E475" s="74"/>
      <c r="F475" s="74"/>
    </row>
    <row r="476" spans="3:6" ht="12.75">
      <c r="C476" s="74"/>
      <c r="D476" s="74"/>
      <c r="E476" s="74"/>
      <c r="F476" s="74"/>
    </row>
    <row r="477" spans="3:6" ht="12.75">
      <c r="C477" s="74"/>
      <c r="D477" s="74"/>
      <c r="E477" s="74"/>
      <c r="F477" s="74"/>
    </row>
    <row r="478" spans="3:6" ht="12.75">
      <c r="C478" s="74"/>
      <c r="D478" s="74"/>
      <c r="E478" s="74"/>
      <c r="F478" s="74"/>
    </row>
    <row r="479" spans="3:6" ht="12.75">
      <c r="C479" s="74"/>
      <c r="D479" s="74"/>
      <c r="E479" s="74"/>
      <c r="F479" s="74"/>
    </row>
    <row r="480" spans="3:6" ht="12.75">
      <c r="C480" s="74"/>
      <c r="D480" s="74"/>
      <c r="E480" s="74"/>
      <c r="F480" s="74"/>
    </row>
    <row r="481" spans="3:6" ht="12.75">
      <c r="C481" s="74"/>
      <c r="D481" s="74"/>
      <c r="E481" s="74"/>
      <c r="F481" s="74"/>
    </row>
    <row r="482" spans="3:6" ht="12.75">
      <c r="C482" s="74"/>
      <c r="D482" s="74"/>
      <c r="E482" s="74"/>
      <c r="F482" s="74"/>
    </row>
    <row r="483" spans="3:6" ht="12.75">
      <c r="C483" s="74"/>
      <c r="D483" s="74"/>
      <c r="E483" s="74"/>
      <c r="F483" s="74"/>
    </row>
    <row r="484" spans="3:6" ht="12.75">
      <c r="C484" s="74"/>
      <c r="D484" s="74"/>
      <c r="E484" s="74"/>
      <c r="F484" s="74"/>
    </row>
    <row r="485" spans="3:6" ht="12.75">
      <c r="C485" s="74"/>
      <c r="D485" s="74"/>
      <c r="E485" s="74"/>
      <c r="F485" s="74"/>
    </row>
    <row r="486" spans="3:6" ht="12.75">
      <c r="C486" s="74"/>
      <c r="D486" s="74"/>
      <c r="E486" s="74"/>
      <c r="F486" s="74"/>
    </row>
    <row r="487" spans="3:6" ht="12.75">
      <c r="C487" s="74"/>
      <c r="D487" s="74"/>
      <c r="E487" s="74"/>
      <c r="F487" s="74"/>
    </row>
    <row r="488" spans="3:6" ht="12.75">
      <c r="C488" s="74"/>
      <c r="D488" s="74"/>
      <c r="E488" s="74"/>
      <c r="F488" s="74"/>
    </row>
    <row r="489" spans="3:6" ht="12.75">
      <c r="C489" s="74"/>
      <c r="D489" s="74"/>
      <c r="E489" s="74"/>
      <c r="F489" s="74"/>
    </row>
    <row r="490" spans="3:6" ht="12.75">
      <c r="C490" s="74"/>
      <c r="D490" s="74"/>
      <c r="E490" s="74"/>
      <c r="F490" s="74"/>
    </row>
    <row r="491" spans="3:6" ht="12.75">
      <c r="C491" s="74"/>
      <c r="D491" s="74"/>
      <c r="E491" s="74"/>
      <c r="F491" s="74"/>
    </row>
    <row r="492" spans="3:6" ht="12.75">
      <c r="C492" s="74"/>
      <c r="D492" s="74"/>
      <c r="E492" s="74"/>
      <c r="F492" s="74"/>
    </row>
    <row r="493" spans="3:6" ht="12.75">
      <c r="C493" s="74"/>
      <c r="D493" s="74"/>
      <c r="E493" s="74"/>
      <c r="F493" s="74"/>
    </row>
    <row r="494" spans="3:6" ht="12.75">
      <c r="C494" s="74"/>
      <c r="D494" s="74"/>
      <c r="E494" s="74"/>
      <c r="F494" s="74"/>
    </row>
    <row r="495" spans="3:6" ht="12.75">
      <c r="C495" s="74"/>
      <c r="D495" s="74"/>
      <c r="E495" s="74"/>
      <c r="F495" s="74"/>
    </row>
    <row r="496" spans="3:6" ht="12.75">
      <c r="C496" s="74"/>
      <c r="D496" s="74"/>
      <c r="E496" s="74"/>
      <c r="F496" s="74"/>
    </row>
    <row r="497" spans="3:6" ht="12.75">
      <c r="C497" s="74"/>
      <c r="D497" s="74"/>
      <c r="E497" s="74"/>
      <c r="F497" s="74"/>
    </row>
    <row r="498" spans="3:6" ht="12.75">
      <c r="C498" s="74"/>
      <c r="D498" s="74"/>
      <c r="E498" s="74"/>
      <c r="F498" s="74"/>
    </row>
    <row r="499" spans="3:6" ht="12.75">
      <c r="C499" s="74"/>
      <c r="D499" s="74"/>
      <c r="E499" s="74"/>
      <c r="F499" s="74"/>
    </row>
    <row r="500" spans="3:6" ht="12.75">
      <c r="C500" s="74"/>
      <c r="D500" s="74"/>
      <c r="E500" s="74"/>
      <c r="F500" s="74"/>
    </row>
    <row r="501" spans="3:6" ht="12.75">
      <c r="C501" s="74"/>
      <c r="D501" s="74"/>
      <c r="E501" s="74"/>
      <c r="F501" s="74"/>
    </row>
    <row r="502" spans="3:6" ht="12.75">
      <c r="C502" s="74"/>
      <c r="D502" s="74"/>
      <c r="E502" s="74"/>
      <c r="F502" s="74"/>
    </row>
    <row r="503" spans="3:6" ht="12.75">
      <c r="C503" s="74"/>
      <c r="D503" s="74"/>
      <c r="E503" s="74"/>
      <c r="F503" s="74"/>
    </row>
    <row r="504" spans="3:6" ht="12.75">
      <c r="C504" s="74"/>
      <c r="D504" s="74"/>
      <c r="E504" s="74"/>
      <c r="F504" s="74"/>
    </row>
    <row r="505" spans="3:6" ht="12.75">
      <c r="C505" s="74"/>
      <c r="D505" s="74"/>
      <c r="E505" s="74"/>
      <c r="F505" s="74"/>
    </row>
    <row r="506" spans="3:6" ht="12.75">
      <c r="C506" s="74"/>
      <c r="D506" s="74"/>
      <c r="E506" s="74"/>
      <c r="F506" s="74"/>
    </row>
    <row r="507" spans="3:6" ht="12.75">
      <c r="C507" s="74"/>
      <c r="D507" s="74"/>
      <c r="E507" s="74"/>
      <c r="F507" s="74"/>
    </row>
    <row r="508" spans="3:6" ht="12.75">
      <c r="C508" s="74"/>
      <c r="D508" s="74"/>
      <c r="E508" s="74"/>
      <c r="F508" s="74"/>
    </row>
    <row r="509" spans="3:6" ht="12.75">
      <c r="C509" s="74"/>
      <c r="D509" s="74"/>
      <c r="E509" s="74"/>
      <c r="F509" s="74"/>
    </row>
    <row r="510" spans="3:6" ht="12.75">
      <c r="C510" s="74"/>
      <c r="D510" s="74"/>
      <c r="E510" s="74"/>
      <c r="F510" s="74"/>
    </row>
    <row r="511" spans="3:6" ht="12.75">
      <c r="C511" s="74"/>
      <c r="D511" s="74"/>
      <c r="E511" s="74"/>
      <c r="F511" s="74"/>
    </row>
    <row r="512" spans="3:6" ht="12.75">
      <c r="C512" s="74"/>
      <c r="D512" s="74"/>
      <c r="E512" s="74"/>
      <c r="F512" s="74"/>
    </row>
    <row r="513" spans="3:6" ht="12.75">
      <c r="C513" s="74"/>
      <c r="D513" s="74"/>
      <c r="E513" s="74"/>
      <c r="F513" s="74"/>
    </row>
    <row r="514" spans="3:6" ht="12.75">
      <c r="C514" s="74"/>
      <c r="D514" s="74"/>
      <c r="E514" s="74"/>
      <c r="F514" s="74"/>
    </row>
    <row r="515" spans="3:6" ht="12.75">
      <c r="C515" s="74"/>
      <c r="D515" s="74"/>
      <c r="E515" s="74"/>
      <c r="F515" s="74"/>
    </row>
    <row r="516" spans="3:6" ht="12.75">
      <c r="C516" s="74"/>
      <c r="D516" s="74"/>
      <c r="E516" s="74"/>
      <c r="F516" s="74"/>
    </row>
    <row r="517" spans="3:6" ht="12.75">
      <c r="C517" s="74"/>
      <c r="D517" s="74"/>
      <c r="E517" s="74"/>
      <c r="F517" s="74"/>
    </row>
    <row r="518" spans="3:6" ht="12.75">
      <c r="C518" s="74"/>
      <c r="D518" s="74"/>
      <c r="E518" s="74"/>
      <c r="F518" s="74"/>
    </row>
    <row r="519" spans="3:6" ht="12.75">
      <c r="C519" s="74"/>
      <c r="D519" s="74"/>
      <c r="E519" s="74"/>
      <c r="F519" s="74"/>
    </row>
    <row r="520" spans="3:6" ht="12.75">
      <c r="C520" s="74"/>
      <c r="D520" s="74"/>
      <c r="E520" s="74"/>
      <c r="F520" s="74"/>
    </row>
    <row r="521" spans="3:6" ht="12.75">
      <c r="C521" s="74"/>
      <c r="D521" s="74"/>
      <c r="E521" s="74"/>
      <c r="F521" s="74"/>
    </row>
    <row r="522" spans="3:6" ht="12.75">
      <c r="C522" s="74"/>
      <c r="D522" s="74"/>
      <c r="E522" s="74"/>
      <c r="F522" s="74"/>
    </row>
    <row r="523" spans="3:6" ht="12.75">
      <c r="C523" s="74"/>
      <c r="D523" s="74"/>
      <c r="E523" s="74"/>
      <c r="F523" s="74"/>
    </row>
    <row r="524" spans="3:6" ht="12.75">
      <c r="C524" s="74"/>
      <c r="D524" s="74"/>
      <c r="E524" s="74"/>
      <c r="F524" s="74"/>
    </row>
    <row r="525" spans="3:6" ht="12.75">
      <c r="C525" s="74"/>
      <c r="D525" s="74"/>
      <c r="E525" s="74"/>
      <c r="F525" s="74"/>
    </row>
    <row r="526" spans="3:6" ht="12.75">
      <c r="C526" s="74"/>
      <c r="D526" s="74"/>
      <c r="E526" s="74"/>
      <c r="F526" s="74"/>
    </row>
    <row r="527" spans="3:6" ht="12.75">
      <c r="C527" s="74"/>
      <c r="D527" s="74"/>
      <c r="E527" s="74"/>
      <c r="F527" s="74"/>
    </row>
    <row r="528" spans="3:6" ht="12.75">
      <c r="C528" s="74"/>
      <c r="D528" s="74"/>
      <c r="E528" s="74"/>
      <c r="F528" s="74"/>
    </row>
    <row r="529" spans="3:6" ht="12.75">
      <c r="C529" s="74"/>
      <c r="D529" s="74"/>
      <c r="E529" s="74"/>
      <c r="F529" s="74"/>
    </row>
    <row r="530" spans="3:6" ht="12.75">
      <c r="C530" s="74"/>
      <c r="D530" s="74"/>
      <c r="E530" s="74"/>
      <c r="F530" s="74"/>
    </row>
    <row r="531" spans="3:6" ht="12.75">
      <c r="C531" s="74"/>
      <c r="D531" s="74"/>
      <c r="E531" s="74"/>
      <c r="F531" s="74"/>
    </row>
    <row r="532" spans="3:6" ht="12.75">
      <c r="C532" s="74"/>
      <c r="D532" s="74"/>
      <c r="E532" s="74"/>
      <c r="F532" s="74"/>
    </row>
    <row r="533" spans="3:6" ht="12.75">
      <c r="C533" s="74"/>
      <c r="D533" s="74"/>
      <c r="E533" s="74"/>
      <c r="F533" s="74"/>
    </row>
    <row r="534" spans="3:6" ht="12.75">
      <c r="C534" s="74"/>
      <c r="D534" s="74"/>
      <c r="E534" s="74"/>
      <c r="F534" s="74"/>
    </row>
    <row r="535" spans="3:6" ht="12.75">
      <c r="C535" s="74"/>
      <c r="D535" s="74"/>
      <c r="E535" s="74"/>
      <c r="F535" s="74"/>
    </row>
    <row r="536" spans="3:6" ht="12.75">
      <c r="C536" s="74"/>
      <c r="D536" s="74"/>
      <c r="E536" s="74"/>
      <c r="F536" s="74"/>
    </row>
    <row r="537" spans="3:6" ht="12.75">
      <c r="C537" s="74"/>
      <c r="D537" s="74"/>
      <c r="E537" s="74"/>
      <c r="F537" s="74"/>
    </row>
    <row r="538" spans="3:6" ht="12.75">
      <c r="C538" s="74"/>
      <c r="D538" s="74"/>
      <c r="E538" s="74"/>
      <c r="F538" s="74"/>
    </row>
    <row r="539" spans="3:6" ht="12.75">
      <c r="C539" s="74"/>
      <c r="D539" s="74"/>
      <c r="E539" s="74"/>
      <c r="F539" s="74"/>
    </row>
    <row r="540" spans="3:6" ht="12.75">
      <c r="C540" s="74"/>
      <c r="D540" s="74"/>
      <c r="E540" s="74"/>
      <c r="F540" s="74"/>
    </row>
    <row r="541" spans="3:6" ht="12.75">
      <c r="C541" s="74"/>
      <c r="D541" s="74"/>
      <c r="E541" s="74"/>
      <c r="F541" s="74"/>
    </row>
    <row r="542" spans="3:6" ht="12.75">
      <c r="C542" s="74"/>
      <c r="D542" s="74"/>
      <c r="E542" s="74"/>
      <c r="F542" s="74"/>
    </row>
    <row r="543" spans="3:6" ht="12.75">
      <c r="C543" s="74"/>
      <c r="D543" s="74"/>
      <c r="E543" s="74"/>
      <c r="F543" s="74"/>
    </row>
    <row r="544" spans="3:6" ht="12.75">
      <c r="C544" s="74"/>
      <c r="D544" s="74"/>
      <c r="E544" s="74"/>
      <c r="F544" s="74"/>
    </row>
    <row r="545" spans="3:6" ht="12.75">
      <c r="C545" s="74"/>
      <c r="D545" s="74"/>
      <c r="E545" s="74"/>
      <c r="F545" s="74"/>
    </row>
    <row r="546" spans="3:6" ht="12.75">
      <c r="C546" s="74"/>
      <c r="D546" s="74"/>
      <c r="E546" s="74"/>
      <c r="F546" s="74"/>
    </row>
    <row r="547" spans="3:6" ht="12.75">
      <c r="C547" s="74"/>
      <c r="D547" s="74"/>
      <c r="E547" s="74"/>
      <c r="F547" s="74"/>
    </row>
    <row r="548" spans="3:6" ht="12.75">
      <c r="C548" s="74"/>
      <c r="D548" s="74"/>
      <c r="E548" s="74"/>
      <c r="F548" s="74"/>
    </row>
    <row r="549" spans="3:6" ht="12.75">
      <c r="C549" s="74"/>
      <c r="D549" s="74"/>
      <c r="E549" s="74"/>
      <c r="F549" s="74"/>
    </row>
    <row r="550" spans="3:6" ht="12.75">
      <c r="C550" s="74"/>
      <c r="D550" s="74"/>
      <c r="E550" s="74"/>
      <c r="F550" s="74"/>
    </row>
    <row r="551" spans="3:6" ht="12.75">
      <c r="C551" s="74"/>
      <c r="D551" s="74"/>
      <c r="E551" s="74"/>
      <c r="F551" s="74"/>
    </row>
    <row r="552" spans="3:6" ht="12.75">
      <c r="C552" s="74"/>
      <c r="D552" s="74"/>
      <c r="E552" s="74"/>
      <c r="F552" s="74"/>
    </row>
    <row r="553" spans="3:6" ht="12.75">
      <c r="C553" s="74"/>
      <c r="D553" s="74"/>
      <c r="E553" s="74"/>
      <c r="F553" s="74"/>
    </row>
    <row r="554" spans="3:6" ht="12.75">
      <c r="C554" s="74"/>
      <c r="D554" s="74"/>
      <c r="E554" s="74"/>
      <c r="F554" s="74"/>
    </row>
    <row r="555" spans="3:6" ht="12.75">
      <c r="C555" s="74"/>
      <c r="D555" s="74"/>
      <c r="E555" s="74"/>
      <c r="F555" s="74"/>
    </row>
    <row r="556" spans="3:6" ht="12.75">
      <c r="C556" s="74"/>
      <c r="D556" s="74"/>
      <c r="E556" s="74"/>
      <c r="F556" s="74"/>
    </row>
    <row r="557" spans="3:6" ht="12.75">
      <c r="C557" s="74"/>
      <c r="D557" s="74"/>
      <c r="E557" s="74"/>
      <c r="F557" s="74"/>
    </row>
    <row r="558" spans="3:6" ht="12.75">
      <c r="C558" s="74"/>
      <c r="D558" s="74"/>
      <c r="E558" s="74"/>
      <c r="F558" s="74"/>
    </row>
    <row r="559" spans="3:6" ht="12.75">
      <c r="C559" s="74"/>
      <c r="D559" s="74"/>
      <c r="E559" s="74"/>
      <c r="F559" s="74"/>
    </row>
    <row r="560" spans="3:6" ht="12.75">
      <c r="C560" s="74"/>
      <c r="D560" s="74"/>
      <c r="E560" s="74"/>
      <c r="F560" s="74"/>
    </row>
    <row r="561" spans="3:6" ht="12.75">
      <c r="C561" s="74"/>
      <c r="D561" s="74"/>
      <c r="E561" s="74"/>
      <c r="F561" s="74"/>
    </row>
    <row r="562" spans="3:6" ht="12.75">
      <c r="C562" s="74"/>
      <c r="D562" s="74"/>
      <c r="E562" s="74"/>
      <c r="F562" s="74"/>
    </row>
    <row r="563" spans="3:6" ht="12.75">
      <c r="C563" s="74"/>
      <c r="D563" s="74"/>
      <c r="E563" s="74"/>
      <c r="F563" s="74"/>
    </row>
    <row r="564" spans="3:6" ht="12.75">
      <c r="C564" s="74"/>
      <c r="D564" s="74"/>
      <c r="E564" s="74"/>
      <c r="F564" s="74"/>
    </row>
    <row r="565" spans="3:6" ht="12.75">
      <c r="C565" s="74"/>
      <c r="D565" s="74"/>
      <c r="E565" s="74"/>
      <c r="F565" s="74"/>
    </row>
    <row r="566" spans="3:6" ht="12.75">
      <c r="C566" s="74"/>
      <c r="D566" s="74"/>
      <c r="E566" s="74"/>
      <c r="F566" s="74"/>
    </row>
    <row r="567" spans="3:6" ht="12.75">
      <c r="C567" s="74"/>
      <c r="D567" s="74"/>
      <c r="E567" s="74"/>
      <c r="F567" s="74"/>
    </row>
    <row r="568" spans="3:6" ht="12.75">
      <c r="C568" s="74"/>
      <c r="D568" s="74"/>
      <c r="E568" s="74"/>
      <c r="F568" s="74"/>
    </row>
    <row r="569" spans="3:6" ht="12.75">
      <c r="C569" s="74"/>
      <c r="D569" s="74"/>
      <c r="E569" s="74"/>
      <c r="F569" s="74"/>
    </row>
    <row r="570" spans="3:6" ht="12.75">
      <c r="C570" s="74"/>
      <c r="D570" s="74"/>
      <c r="E570" s="74"/>
      <c r="F570" s="74"/>
    </row>
    <row r="571" spans="3:6" ht="12.75">
      <c r="C571" s="74"/>
      <c r="D571" s="74"/>
      <c r="E571" s="74"/>
      <c r="F571" s="74"/>
    </row>
    <row r="572" spans="3:6" ht="12.75">
      <c r="C572" s="74"/>
      <c r="D572" s="74"/>
      <c r="E572" s="74"/>
      <c r="F572" s="74"/>
    </row>
    <row r="573" spans="3:6" ht="12.75">
      <c r="C573" s="74"/>
      <c r="D573" s="74"/>
      <c r="E573" s="74"/>
      <c r="F573" s="74"/>
    </row>
    <row r="574" spans="3:6" ht="12.75">
      <c r="C574" s="74"/>
      <c r="D574" s="74"/>
      <c r="E574" s="74"/>
      <c r="F574" s="74"/>
    </row>
    <row r="575" spans="3:6" ht="12.75">
      <c r="C575" s="74"/>
      <c r="D575" s="74"/>
      <c r="E575" s="74"/>
      <c r="F575" s="74"/>
    </row>
    <row r="576" spans="3:6" ht="12.75">
      <c r="C576" s="74"/>
      <c r="D576" s="74"/>
      <c r="E576" s="74"/>
      <c r="F576" s="74"/>
    </row>
    <row r="577" spans="3:6" ht="12.75">
      <c r="C577" s="74"/>
      <c r="D577" s="74"/>
      <c r="E577" s="74"/>
      <c r="F577" s="74"/>
    </row>
    <row r="578" spans="3:6" ht="12.75">
      <c r="C578" s="74"/>
      <c r="D578" s="74"/>
      <c r="E578" s="74"/>
      <c r="F578" s="74"/>
    </row>
    <row r="579" spans="3:6" ht="12.75">
      <c r="C579" s="74"/>
      <c r="D579" s="74"/>
      <c r="E579" s="74"/>
      <c r="F579" s="74"/>
    </row>
    <row r="580" spans="3:6" ht="12.75">
      <c r="C580" s="74"/>
      <c r="D580" s="74"/>
      <c r="E580" s="74"/>
      <c r="F580" s="74"/>
    </row>
    <row r="581" spans="3:6" ht="12.75">
      <c r="C581" s="74"/>
      <c r="D581" s="74"/>
      <c r="E581" s="74"/>
      <c r="F581" s="74"/>
    </row>
    <row r="582" spans="3:6" ht="12.75">
      <c r="C582" s="74"/>
      <c r="D582" s="74"/>
      <c r="E582" s="74"/>
      <c r="F582" s="74"/>
    </row>
    <row r="583" spans="3:6" ht="12.75">
      <c r="C583" s="74"/>
      <c r="D583" s="74"/>
      <c r="E583" s="74"/>
      <c r="F583" s="74"/>
    </row>
    <row r="584" spans="3:6" ht="12.75">
      <c r="C584" s="74"/>
      <c r="D584" s="74"/>
      <c r="E584" s="74"/>
      <c r="F584" s="74"/>
    </row>
    <row r="585" spans="3:6" ht="12.75">
      <c r="C585" s="74"/>
      <c r="D585" s="74"/>
      <c r="E585" s="74"/>
      <c r="F585" s="74"/>
    </row>
    <row r="586" spans="3:6" ht="12.75">
      <c r="C586" s="74"/>
      <c r="D586" s="74"/>
      <c r="E586" s="74"/>
      <c r="F586" s="74"/>
    </row>
    <row r="587" spans="3:6" ht="12.75">
      <c r="C587" s="74"/>
      <c r="D587" s="74"/>
      <c r="E587" s="74"/>
      <c r="F587" s="74"/>
    </row>
    <row r="588" spans="3:6" ht="12.75">
      <c r="C588" s="74"/>
      <c r="D588" s="74"/>
      <c r="E588" s="74"/>
      <c r="F588" s="74"/>
    </row>
    <row r="589" spans="3:6" ht="12.75">
      <c r="C589" s="74"/>
      <c r="D589" s="74"/>
      <c r="E589" s="74"/>
      <c r="F589" s="74"/>
    </row>
    <row r="590" spans="3:6" ht="12.75">
      <c r="C590" s="74"/>
      <c r="D590" s="74"/>
      <c r="E590" s="74"/>
      <c r="F590" s="74"/>
    </row>
    <row r="591" spans="3:6" ht="12.75">
      <c r="C591" s="74"/>
      <c r="D591" s="74"/>
      <c r="E591" s="74"/>
      <c r="F591" s="74"/>
    </row>
    <row r="592" spans="3:6" ht="12.75">
      <c r="C592" s="74"/>
      <c r="D592" s="74"/>
      <c r="E592" s="74"/>
      <c r="F592" s="74"/>
    </row>
    <row r="593" spans="3:6" ht="12.75">
      <c r="C593" s="74"/>
      <c r="D593" s="74"/>
      <c r="E593" s="74"/>
      <c r="F593" s="74"/>
    </row>
    <row r="594" spans="3:6" ht="12.75">
      <c r="C594" s="74"/>
      <c r="D594" s="74"/>
      <c r="E594" s="74"/>
      <c r="F594" s="74"/>
    </row>
    <row r="595" spans="3:6" ht="12.75">
      <c r="C595" s="74"/>
      <c r="D595" s="74"/>
      <c r="E595" s="74"/>
      <c r="F595" s="74"/>
    </row>
    <row r="596" spans="3:6" ht="12.75">
      <c r="C596" s="74"/>
      <c r="D596" s="74"/>
      <c r="E596" s="74"/>
      <c r="F596" s="74"/>
    </row>
    <row r="597" spans="3:6" ht="12.75">
      <c r="C597" s="74"/>
      <c r="D597" s="74"/>
      <c r="E597" s="74"/>
      <c r="F597" s="74"/>
    </row>
    <row r="598" spans="3:6" ht="12.75">
      <c r="C598" s="74"/>
      <c r="D598" s="74"/>
      <c r="E598" s="74"/>
      <c r="F598" s="74"/>
    </row>
    <row r="599" spans="3:6" ht="12.75">
      <c r="C599" s="74"/>
      <c r="D599" s="74"/>
      <c r="E599" s="74"/>
      <c r="F599" s="74"/>
    </row>
    <row r="600" spans="3:6" ht="12.75">
      <c r="C600" s="74"/>
      <c r="D600" s="74"/>
      <c r="E600" s="74"/>
      <c r="F600" s="74"/>
    </row>
    <row r="601" spans="3:6" ht="12.75">
      <c r="C601" s="74"/>
      <c r="D601" s="74"/>
      <c r="E601" s="74"/>
      <c r="F601" s="74"/>
    </row>
    <row r="602" spans="3:6" ht="12.75">
      <c r="C602" s="74"/>
      <c r="D602" s="74"/>
      <c r="E602" s="74"/>
      <c r="F602" s="74"/>
    </row>
    <row r="603" spans="3:6" ht="12.75">
      <c r="C603" s="74"/>
      <c r="D603" s="74"/>
      <c r="E603" s="74"/>
      <c r="F603" s="74"/>
    </row>
    <row r="604" spans="3:6" ht="12.75">
      <c r="C604" s="74"/>
      <c r="D604" s="74"/>
      <c r="E604" s="74"/>
      <c r="F604" s="74"/>
    </row>
    <row r="605" spans="3:6" ht="12.75">
      <c r="C605" s="74"/>
      <c r="D605" s="74"/>
      <c r="E605" s="74"/>
      <c r="F605" s="74"/>
    </row>
    <row r="606" spans="3:6" ht="12.75">
      <c r="C606" s="74"/>
      <c r="D606" s="74"/>
      <c r="E606" s="74"/>
      <c r="F606" s="74"/>
    </row>
    <row r="607" spans="3:6" ht="12.75">
      <c r="C607" s="74"/>
      <c r="D607" s="74"/>
      <c r="E607" s="74"/>
      <c r="F607" s="74"/>
    </row>
    <row r="608" spans="3:6" ht="12.75">
      <c r="C608" s="74"/>
      <c r="D608" s="74"/>
      <c r="E608" s="74"/>
      <c r="F608" s="74"/>
    </row>
    <row r="609" spans="3:6" ht="12.75">
      <c r="C609" s="74"/>
      <c r="D609" s="74"/>
      <c r="E609" s="74"/>
      <c r="F609" s="74"/>
    </row>
    <row r="610" spans="3:6" ht="12.75">
      <c r="C610" s="74"/>
      <c r="D610" s="74"/>
      <c r="E610" s="74"/>
      <c r="F610" s="74"/>
    </row>
    <row r="611" spans="3:6" ht="12.75">
      <c r="C611" s="74"/>
      <c r="D611" s="74"/>
      <c r="E611" s="74"/>
      <c r="F611" s="74"/>
    </row>
    <row r="612" spans="3:6" ht="12.75">
      <c r="C612" s="74"/>
      <c r="D612" s="74"/>
      <c r="E612" s="74"/>
      <c r="F612" s="74"/>
    </row>
    <row r="613" spans="3:6" ht="12.75">
      <c r="C613" s="74"/>
      <c r="D613" s="74"/>
      <c r="E613" s="74"/>
      <c r="F613" s="74"/>
    </row>
    <row r="614" spans="3:6" ht="12.75">
      <c r="C614" s="74"/>
      <c r="D614" s="74"/>
      <c r="E614" s="74"/>
      <c r="F614" s="74"/>
    </row>
    <row r="615" spans="3:6" ht="12.75">
      <c r="C615" s="74"/>
      <c r="D615" s="74"/>
      <c r="E615" s="74"/>
      <c r="F615" s="74"/>
    </row>
    <row r="616" spans="3:6" ht="12.75">
      <c r="C616" s="74"/>
      <c r="D616" s="74"/>
      <c r="E616" s="74"/>
      <c r="F616" s="74"/>
    </row>
    <row r="617" spans="3:6" ht="12.75">
      <c r="C617" s="74"/>
      <c r="D617" s="74"/>
      <c r="E617" s="74"/>
      <c r="F617" s="74"/>
    </row>
    <row r="618" spans="3:6" ht="12.75">
      <c r="C618" s="74"/>
      <c r="D618" s="74"/>
      <c r="E618" s="74"/>
      <c r="F618" s="74"/>
    </row>
    <row r="619" spans="3:6" ht="12.75">
      <c r="C619" s="74"/>
      <c r="D619" s="74"/>
      <c r="E619" s="74"/>
      <c r="F619" s="74"/>
    </row>
    <row r="620" spans="3:6" ht="12.75">
      <c r="C620" s="74"/>
      <c r="D620" s="74"/>
      <c r="E620" s="74"/>
      <c r="F620" s="74"/>
    </row>
    <row r="621" spans="3:6" ht="12.75">
      <c r="C621" s="74"/>
      <c r="D621" s="74"/>
      <c r="E621" s="74"/>
      <c r="F621" s="74"/>
    </row>
    <row r="622" spans="3:6" ht="12.75">
      <c r="C622" s="74"/>
      <c r="D622" s="74"/>
      <c r="E622" s="74"/>
      <c r="F622" s="74"/>
    </row>
    <row r="623" spans="3:6" ht="12.75">
      <c r="C623" s="74"/>
      <c r="D623" s="74"/>
      <c r="E623" s="74"/>
      <c r="F623" s="74"/>
    </row>
    <row r="624" spans="3:6" ht="12.75">
      <c r="C624" s="74"/>
      <c r="D624" s="74"/>
      <c r="E624" s="74"/>
      <c r="F624" s="74"/>
    </row>
    <row r="625" spans="3:6" ht="12.75">
      <c r="C625" s="74"/>
      <c r="D625" s="74"/>
      <c r="E625" s="74"/>
      <c r="F625" s="74"/>
    </row>
    <row r="626" spans="3:6" ht="12.75">
      <c r="C626" s="74"/>
      <c r="D626" s="74"/>
      <c r="E626" s="74"/>
      <c r="F626" s="74"/>
    </row>
    <row r="627" spans="3:6" ht="12.75">
      <c r="C627" s="74"/>
      <c r="D627" s="74"/>
      <c r="E627" s="74"/>
      <c r="F627" s="74"/>
    </row>
    <row r="628" spans="3:6" ht="12.75">
      <c r="C628" s="74"/>
      <c r="D628" s="74"/>
      <c r="E628" s="74"/>
      <c r="F628" s="74"/>
    </row>
    <row r="629" spans="3:6" ht="12.75">
      <c r="C629" s="74"/>
      <c r="D629" s="74"/>
      <c r="E629" s="74"/>
      <c r="F629" s="74"/>
    </row>
    <row r="630" spans="3:6" ht="12.75">
      <c r="C630" s="74"/>
      <c r="D630" s="74"/>
      <c r="E630" s="74"/>
      <c r="F630" s="74"/>
    </row>
    <row r="631" spans="3:6" ht="12.75">
      <c r="C631" s="74"/>
      <c r="D631" s="74"/>
      <c r="E631" s="74"/>
      <c r="F631" s="74"/>
    </row>
    <row r="632" spans="3:6" ht="12.75">
      <c r="C632" s="74"/>
      <c r="D632" s="74"/>
      <c r="E632" s="74"/>
      <c r="F632" s="74"/>
    </row>
    <row r="633" spans="3:6" ht="12.75">
      <c r="C633" s="74"/>
      <c r="D633" s="74"/>
      <c r="E633" s="74"/>
      <c r="F633" s="74"/>
    </row>
    <row r="634" spans="3:6" ht="12.75">
      <c r="C634" s="74"/>
      <c r="D634" s="74"/>
      <c r="E634" s="74"/>
      <c r="F634" s="74"/>
    </row>
    <row r="635" spans="3:6" ht="12.75">
      <c r="C635" s="74"/>
      <c r="D635" s="74"/>
      <c r="E635" s="74"/>
      <c r="F635" s="74"/>
    </row>
    <row r="636" spans="3:6" ht="12.75">
      <c r="C636" s="74"/>
      <c r="D636" s="74"/>
      <c r="E636" s="74"/>
      <c r="F636" s="74"/>
    </row>
    <row r="637" spans="3:6" ht="12.75">
      <c r="C637" s="74"/>
      <c r="D637" s="74"/>
      <c r="E637" s="74"/>
      <c r="F637" s="74"/>
    </row>
    <row r="638" spans="3:6" ht="12.75">
      <c r="C638" s="74"/>
      <c r="D638" s="74"/>
      <c r="E638" s="74"/>
      <c r="F638" s="74"/>
    </row>
    <row r="639" spans="3:6" ht="12.75">
      <c r="C639" s="74"/>
      <c r="D639" s="74"/>
      <c r="E639" s="74"/>
      <c r="F639" s="74"/>
    </row>
    <row r="640" spans="3:6" ht="12.75">
      <c r="C640" s="74"/>
      <c r="D640" s="74"/>
      <c r="E640" s="74"/>
      <c r="F640" s="74"/>
    </row>
    <row r="641" spans="3:6" ht="12.75">
      <c r="C641" s="74"/>
      <c r="D641" s="74"/>
      <c r="E641" s="74"/>
      <c r="F641" s="74"/>
    </row>
    <row r="642" spans="3:6" ht="12.75">
      <c r="C642" s="74"/>
      <c r="D642" s="74"/>
      <c r="E642" s="74"/>
      <c r="F642" s="74"/>
    </row>
    <row r="643" spans="3:6" ht="12.75">
      <c r="C643" s="74"/>
      <c r="D643" s="74"/>
      <c r="E643" s="74"/>
      <c r="F643" s="74"/>
    </row>
    <row r="644" spans="3:6" ht="12.75">
      <c r="C644" s="74"/>
      <c r="D644" s="74"/>
      <c r="E644" s="74"/>
      <c r="F644" s="74"/>
    </row>
    <row r="645" spans="3:6" ht="12.75">
      <c r="C645" s="74"/>
      <c r="D645" s="74"/>
      <c r="E645" s="74"/>
      <c r="F645" s="74"/>
    </row>
    <row r="646" spans="3:6" ht="12.75">
      <c r="C646" s="74"/>
      <c r="D646" s="74"/>
      <c r="E646" s="74"/>
      <c r="F646" s="74"/>
    </row>
    <row r="647" spans="3:6" ht="12.75">
      <c r="C647" s="74"/>
      <c r="D647" s="74"/>
      <c r="E647" s="74"/>
      <c r="F647" s="74"/>
    </row>
    <row r="648" spans="3:6" ht="12.75">
      <c r="C648" s="74"/>
      <c r="D648" s="74"/>
      <c r="E648" s="74"/>
      <c r="F648" s="74"/>
    </row>
    <row r="649" spans="3:6" ht="12.75">
      <c r="C649" s="74"/>
      <c r="D649" s="74"/>
      <c r="E649" s="74"/>
      <c r="F649" s="74"/>
    </row>
    <row r="650" spans="3:6" ht="12.75">
      <c r="C650" s="74"/>
      <c r="D650" s="74"/>
      <c r="E650" s="74"/>
      <c r="F650" s="74"/>
    </row>
    <row r="651" spans="3:6" ht="12.75">
      <c r="C651" s="74"/>
      <c r="D651" s="74"/>
      <c r="E651" s="74"/>
      <c r="F651" s="74"/>
    </row>
    <row r="652" spans="3:6" ht="12.75">
      <c r="C652" s="74"/>
      <c r="D652" s="74"/>
      <c r="E652" s="74"/>
      <c r="F652" s="74"/>
    </row>
    <row r="653" spans="3:6" ht="12.75">
      <c r="C653" s="74"/>
      <c r="D653" s="74"/>
      <c r="E653" s="74"/>
      <c r="F653" s="74"/>
    </row>
    <row r="654" spans="3:6" ht="12.75">
      <c r="C654" s="74"/>
      <c r="D654" s="74"/>
      <c r="E654" s="74"/>
      <c r="F654" s="74"/>
    </row>
    <row r="655" spans="3:6" ht="12.75">
      <c r="C655" s="74"/>
      <c r="D655" s="74"/>
      <c r="E655" s="74"/>
      <c r="F655" s="74"/>
    </row>
    <row r="656" spans="3:6" ht="12.75">
      <c r="C656" s="74"/>
      <c r="D656" s="74"/>
      <c r="E656" s="74"/>
      <c r="F656" s="74"/>
    </row>
    <row r="657" spans="3:6" ht="12.75">
      <c r="C657" s="74"/>
      <c r="D657" s="74"/>
      <c r="E657" s="74"/>
      <c r="F657" s="74"/>
    </row>
    <row r="658" spans="3:6" ht="12.75">
      <c r="C658" s="74"/>
      <c r="D658" s="74"/>
      <c r="E658" s="74"/>
      <c r="F658" s="74"/>
    </row>
    <row r="659" spans="3:6" ht="12.75">
      <c r="C659" s="74"/>
      <c r="D659" s="74"/>
      <c r="E659" s="74"/>
      <c r="F659" s="74"/>
    </row>
    <row r="660" spans="3:6" ht="12.75">
      <c r="C660" s="74"/>
      <c r="D660" s="74"/>
      <c r="E660" s="74"/>
      <c r="F660" s="74"/>
    </row>
    <row r="661" spans="3:6" ht="12.75">
      <c r="C661" s="74"/>
      <c r="D661" s="74"/>
      <c r="E661" s="74"/>
      <c r="F661" s="74"/>
    </row>
    <row r="662" spans="3:6" ht="12.75">
      <c r="C662" s="74"/>
      <c r="D662" s="74"/>
      <c r="E662" s="74"/>
      <c r="F662" s="74"/>
    </row>
    <row r="663" spans="3:6" ht="12.75">
      <c r="C663" s="74"/>
      <c r="D663" s="74"/>
      <c r="E663" s="74"/>
      <c r="F663" s="74"/>
    </row>
    <row r="664" spans="3:6" ht="12.75">
      <c r="C664" s="74"/>
      <c r="D664" s="74"/>
      <c r="E664" s="74"/>
      <c r="F664" s="74"/>
    </row>
    <row r="665" spans="3:6" ht="12.75">
      <c r="C665" s="74"/>
      <c r="D665" s="74"/>
      <c r="E665" s="74"/>
      <c r="F665" s="74"/>
    </row>
    <row r="666" spans="3:6" ht="12.75">
      <c r="C666" s="74"/>
      <c r="D666" s="74"/>
      <c r="E666" s="74"/>
      <c r="F666" s="74"/>
    </row>
    <row r="667" spans="3:6" ht="12.75">
      <c r="C667" s="74"/>
      <c r="D667" s="74"/>
      <c r="E667" s="74"/>
      <c r="F667" s="74"/>
    </row>
    <row r="668" spans="3:6" ht="12.75">
      <c r="C668" s="74"/>
      <c r="D668" s="74"/>
      <c r="E668" s="74"/>
      <c r="F668" s="74"/>
    </row>
    <row r="669" spans="3:6" ht="12.75">
      <c r="C669" s="74"/>
      <c r="D669" s="74"/>
      <c r="E669" s="74"/>
      <c r="F669" s="74"/>
    </row>
    <row r="670" spans="3:6" ht="12.75">
      <c r="C670" s="74"/>
      <c r="D670" s="74"/>
      <c r="E670" s="74"/>
      <c r="F670" s="74"/>
    </row>
    <row r="671" spans="3:6" ht="12.75">
      <c r="C671" s="74"/>
      <c r="D671" s="74"/>
      <c r="E671" s="74"/>
      <c r="F671" s="74"/>
    </row>
    <row r="672" spans="3:6" ht="12.75">
      <c r="C672" s="74"/>
      <c r="D672" s="74"/>
      <c r="E672" s="74"/>
      <c r="F672" s="74"/>
    </row>
    <row r="673" spans="3:6" ht="12.75">
      <c r="C673" s="74"/>
      <c r="D673" s="74"/>
      <c r="E673" s="74"/>
      <c r="F673" s="74"/>
    </row>
    <row r="674" spans="3:6" ht="12.75">
      <c r="C674" s="74"/>
      <c r="D674" s="74"/>
      <c r="E674" s="74"/>
      <c r="F674" s="74"/>
    </row>
    <row r="675" spans="3:6" ht="12.75">
      <c r="C675" s="74"/>
      <c r="D675" s="74"/>
      <c r="E675" s="74"/>
      <c r="F675" s="74"/>
    </row>
    <row r="676" spans="3:6" ht="12.75">
      <c r="C676" s="74"/>
      <c r="D676" s="74"/>
      <c r="E676" s="74"/>
      <c r="F676" s="74"/>
    </row>
    <row r="677" spans="3:6" ht="12.75">
      <c r="C677" s="74"/>
      <c r="D677" s="74"/>
      <c r="E677" s="74"/>
      <c r="F677" s="74"/>
    </row>
    <row r="678" spans="3:6" ht="12.75">
      <c r="C678" s="74"/>
      <c r="D678" s="74"/>
      <c r="E678" s="74"/>
      <c r="F678" s="74"/>
    </row>
    <row r="679" spans="3:6" ht="12.75">
      <c r="C679" s="74"/>
      <c r="D679" s="74"/>
      <c r="E679" s="74"/>
      <c r="F679" s="74"/>
    </row>
    <row r="680" spans="3:6" ht="12.75">
      <c r="C680" s="74"/>
      <c r="D680" s="74"/>
      <c r="E680" s="74"/>
      <c r="F680" s="74"/>
    </row>
    <row r="681" spans="3:6" ht="12.75">
      <c r="C681" s="74"/>
      <c r="D681" s="74"/>
      <c r="E681" s="74"/>
      <c r="F681" s="74"/>
    </row>
    <row r="682" spans="3:6" ht="12.75">
      <c r="C682" s="74"/>
      <c r="D682" s="74"/>
      <c r="E682" s="74"/>
      <c r="F682" s="74"/>
    </row>
    <row r="683" spans="3:6" ht="12.75">
      <c r="C683" s="74"/>
      <c r="D683" s="74"/>
      <c r="E683" s="74"/>
      <c r="F683" s="74"/>
    </row>
    <row r="684" spans="3:6" ht="12.75">
      <c r="C684" s="74"/>
      <c r="D684" s="74"/>
      <c r="E684" s="74"/>
      <c r="F684" s="74"/>
    </row>
    <row r="685" spans="3:6" ht="12.75">
      <c r="C685" s="74"/>
      <c r="D685" s="74"/>
      <c r="E685" s="74"/>
      <c r="F685" s="74"/>
    </row>
    <row r="686" spans="3:6" ht="12.75">
      <c r="C686" s="74"/>
      <c r="D686" s="74"/>
      <c r="E686" s="74"/>
      <c r="F686" s="74"/>
    </row>
    <row r="687" spans="3:6" ht="12.75">
      <c r="C687" s="74"/>
      <c r="D687" s="74"/>
      <c r="E687" s="74"/>
      <c r="F687" s="74"/>
    </row>
    <row r="688" spans="3:6" ht="12.75">
      <c r="C688" s="74"/>
      <c r="D688" s="74"/>
      <c r="E688" s="74"/>
      <c r="F688" s="74"/>
    </row>
    <row r="689" spans="3:6" ht="12.75">
      <c r="C689" s="74"/>
      <c r="D689" s="74"/>
      <c r="E689" s="74"/>
      <c r="F689" s="74"/>
    </row>
    <row r="690" spans="3:6" ht="12.75">
      <c r="C690" s="74"/>
      <c r="D690" s="74"/>
      <c r="E690" s="74"/>
      <c r="F690" s="74"/>
    </row>
    <row r="691" spans="3:6" ht="12.75">
      <c r="C691" s="74"/>
      <c r="D691" s="74"/>
      <c r="E691" s="74"/>
      <c r="F691" s="74"/>
    </row>
    <row r="692" spans="3:6" ht="12.75">
      <c r="C692" s="74"/>
      <c r="D692" s="74"/>
      <c r="E692" s="74"/>
      <c r="F692" s="74"/>
    </row>
    <row r="693" spans="3:6" ht="12.75">
      <c r="C693" s="74"/>
      <c r="D693" s="74"/>
      <c r="E693" s="74"/>
      <c r="F693" s="74"/>
    </row>
    <row r="694" spans="3:6" ht="12.75">
      <c r="C694" s="74"/>
      <c r="D694" s="74"/>
      <c r="E694" s="74"/>
      <c r="F694" s="74"/>
    </row>
    <row r="695" spans="3:6" ht="12.75">
      <c r="C695" s="74"/>
      <c r="D695" s="74"/>
      <c r="E695" s="74"/>
      <c r="F695" s="74"/>
    </row>
    <row r="696" spans="3:6" ht="12.75">
      <c r="C696" s="74"/>
      <c r="D696" s="74"/>
      <c r="E696" s="74"/>
      <c r="F696" s="74"/>
    </row>
    <row r="697" spans="3:6" ht="12.75">
      <c r="C697" s="74"/>
      <c r="D697" s="74"/>
      <c r="E697" s="74"/>
      <c r="F697" s="74"/>
    </row>
    <row r="698" spans="3:6" ht="12.75">
      <c r="C698" s="74"/>
      <c r="D698" s="74"/>
      <c r="E698" s="74"/>
      <c r="F698" s="74"/>
    </row>
    <row r="699" spans="3:6" ht="12.75">
      <c r="C699" s="74"/>
      <c r="D699" s="74"/>
      <c r="E699" s="74"/>
      <c r="F699" s="74"/>
    </row>
    <row r="700" spans="3:6" ht="12.75">
      <c r="C700" s="74"/>
      <c r="D700" s="74"/>
      <c r="E700" s="74"/>
      <c r="F700" s="74"/>
    </row>
    <row r="701" spans="3:6" ht="12.75">
      <c r="C701" s="74"/>
      <c r="D701" s="74"/>
      <c r="E701" s="74"/>
      <c r="F701" s="74"/>
    </row>
    <row r="702" spans="3:6" ht="12.75">
      <c r="C702" s="74"/>
      <c r="D702" s="74"/>
      <c r="E702" s="74"/>
      <c r="F702" s="74"/>
    </row>
    <row r="703" spans="3:6" ht="12.75">
      <c r="C703" s="74"/>
      <c r="D703" s="74"/>
      <c r="E703" s="74"/>
      <c r="F703" s="74"/>
    </row>
    <row r="704" spans="3:6" ht="12.75">
      <c r="C704" s="74"/>
      <c r="D704" s="74"/>
      <c r="E704" s="74"/>
      <c r="F704" s="74"/>
    </row>
    <row r="705" spans="3:6" ht="12.75">
      <c r="C705" s="74"/>
      <c r="D705" s="74"/>
      <c r="E705" s="74"/>
      <c r="F705" s="74"/>
    </row>
    <row r="706" spans="3:6" ht="12.75">
      <c r="C706" s="74"/>
      <c r="D706" s="74"/>
      <c r="E706" s="74"/>
      <c r="F706" s="74"/>
    </row>
    <row r="707" spans="3:6" ht="12.75">
      <c r="C707" s="74"/>
      <c r="D707" s="74"/>
      <c r="E707" s="74"/>
      <c r="F707" s="74"/>
    </row>
    <row r="708" spans="3:6" ht="12.75">
      <c r="C708" s="74"/>
      <c r="D708" s="74"/>
      <c r="E708" s="74"/>
      <c r="F708" s="74"/>
    </row>
    <row r="709" spans="3:6" ht="12.75">
      <c r="C709" s="74"/>
      <c r="D709" s="74"/>
      <c r="E709" s="74"/>
      <c r="F709" s="74"/>
    </row>
    <row r="710" spans="3:6" ht="12.75">
      <c r="C710" s="74"/>
      <c r="D710" s="74"/>
      <c r="E710" s="74"/>
      <c r="F710" s="74"/>
    </row>
    <row r="711" spans="3:6" ht="12.75">
      <c r="C711" s="74"/>
      <c r="D711" s="74"/>
      <c r="E711" s="74"/>
      <c r="F711" s="74"/>
    </row>
    <row r="712" spans="3:6" ht="12.75">
      <c r="C712" s="74"/>
      <c r="D712" s="74"/>
      <c r="E712" s="74"/>
      <c r="F712" s="74"/>
    </row>
    <row r="713" spans="3:6" ht="12.75">
      <c r="C713" s="74"/>
      <c r="D713" s="74"/>
      <c r="E713" s="74"/>
      <c r="F713" s="74"/>
    </row>
    <row r="714" spans="3:6" ht="12.75">
      <c r="C714" s="74"/>
      <c r="D714" s="74"/>
      <c r="E714" s="74"/>
      <c r="F714" s="74"/>
    </row>
    <row r="715" spans="3:6" ht="12.75">
      <c r="C715" s="74"/>
      <c r="D715" s="74"/>
      <c r="E715" s="74"/>
      <c r="F715" s="74"/>
    </row>
    <row r="716" spans="3:6" ht="12.75">
      <c r="C716" s="74"/>
      <c r="D716" s="74"/>
      <c r="E716" s="74"/>
      <c r="F716" s="74"/>
    </row>
    <row r="717" spans="3:6" ht="12.75">
      <c r="C717" s="74"/>
      <c r="D717" s="74"/>
      <c r="E717" s="74"/>
      <c r="F717" s="74"/>
    </row>
    <row r="718" spans="3:6" ht="12.75">
      <c r="C718" s="74"/>
      <c r="D718" s="74"/>
      <c r="E718" s="74"/>
      <c r="F718" s="74"/>
    </row>
    <row r="719" spans="3:6" ht="12.75">
      <c r="C719" s="74"/>
      <c r="D719" s="74"/>
      <c r="E719" s="74"/>
      <c r="F719" s="74"/>
    </row>
    <row r="720" spans="3:6" ht="12.75">
      <c r="C720" s="74"/>
      <c r="D720" s="74"/>
      <c r="E720" s="74"/>
      <c r="F720" s="74"/>
    </row>
    <row r="721" spans="3:6" ht="12.75">
      <c r="C721" s="74"/>
      <c r="D721" s="74"/>
      <c r="E721" s="74"/>
      <c r="F721" s="74"/>
    </row>
    <row r="722" spans="3:6" ht="12.75">
      <c r="C722" s="74"/>
      <c r="D722" s="74"/>
      <c r="E722" s="74"/>
      <c r="F722" s="74"/>
    </row>
    <row r="723" spans="3:6" ht="12.75">
      <c r="C723" s="74"/>
      <c r="D723" s="74"/>
      <c r="E723" s="74"/>
      <c r="F723" s="74"/>
    </row>
    <row r="724" spans="3:6" ht="12.75">
      <c r="C724" s="74"/>
      <c r="D724" s="74"/>
      <c r="E724" s="74"/>
      <c r="F724" s="74"/>
    </row>
    <row r="725" spans="3:6" ht="12.75">
      <c r="C725" s="74"/>
      <c r="D725" s="74"/>
      <c r="E725" s="74"/>
      <c r="F725" s="74"/>
    </row>
    <row r="726" spans="3:6" ht="12.75">
      <c r="C726" s="74"/>
      <c r="D726" s="74"/>
      <c r="E726" s="74"/>
      <c r="F726" s="74"/>
    </row>
    <row r="727" spans="3:6" ht="12.75">
      <c r="C727" s="74"/>
      <c r="D727" s="74"/>
      <c r="E727" s="74"/>
      <c r="F727" s="74"/>
    </row>
    <row r="728" spans="3:6" ht="12.75">
      <c r="C728" s="74"/>
      <c r="D728" s="74"/>
      <c r="E728" s="74"/>
      <c r="F728" s="74"/>
    </row>
    <row r="729" spans="3:6" ht="12.75">
      <c r="C729" s="74"/>
      <c r="D729" s="74"/>
      <c r="E729" s="74"/>
      <c r="F729" s="74"/>
    </row>
    <row r="730" spans="3:6" ht="12.75">
      <c r="C730" s="74"/>
      <c r="D730" s="74"/>
      <c r="E730" s="74"/>
      <c r="F730" s="74"/>
    </row>
    <row r="731" spans="3:6" ht="12.75">
      <c r="C731" s="74"/>
      <c r="D731" s="74"/>
      <c r="E731" s="74"/>
      <c r="F731" s="74"/>
    </row>
    <row r="732" spans="3:6" ht="12.75">
      <c r="C732" s="74"/>
      <c r="D732" s="74"/>
      <c r="E732" s="74"/>
      <c r="F732" s="74"/>
    </row>
    <row r="733" spans="3:6" ht="12.75">
      <c r="C733" s="74"/>
      <c r="D733" s="74"/>
      <c r="E733" s="74"/>
      <c r="F733" s="74"/>
    </row>
    <row r="734" spans="3:6" ht="12.75">
      <c r="C734" s="74"/>
      <c r="D734" s="74"/>
      <c r="E734" s="74"/>
      <c r="F734" s="74"/>
    </row>
    <row r="735" spans="3:6" ht="12.75">
      <c r="C735" s="74"/>
      <c r="D735" s="74"/>
      <c r="E735" s="74"/>
      <c r="F735" s="74"/>
    </row>
    <row r="736" spans="3:6" ht="12.75">
      <c r="C736" s="74"/>
      <c r="D736" s="74"/>
      <c r="E736" s="74"/>
      <c r="F736" s="74"/>
    </row>
    <row r="737" spans="3:6" ht="12.75">
      <c r="C737" s="74"/>
      <c r="D737" s="74"/>
      <c r="E737" s="74"/>
      <c r="F737" s="74"/>
    </row>
    <row r="738" spans="3:6" ht="12.75">
      <c r="C738" s="74"/>
      <c r="D738" s="74"/>
      <c r="E738" s="74"/>
      <c r="F738" s="74"/>
    </row>
    <row r="739" spans="3:6" ht="12.75">
      <c r="C739" s="74"/>
      <c r="D739" s="74"/>
      <c r="E739" s="74"/>
      <c r="F739" s="74"/>
    </row>
    <row r="740" spans="3:6" ht="12.75">
      <c r="C740" s="74"/>
      <c r="D740" s="74"/>
      <c r="E740" s="74"/>
      <c r="F740" s="74"/>
    </row>
    <row r="741" spans="3:6" ht="12.75">
      <c r="C741" s="74"/>
      <c r="D741" s="74"/>
      <c r="E741" s="74"/>
      <c r="F741" s="74"/>
    </row>
    <row r="742" spans="3:6" ht="12.75">
      <c r="C742" s="74"/>
      <c r="D742" s="74"/>
      <c r="E742" s="74"/>
      <c r="F742" s="74"/>
    </row>
    <row r="743" spans="3:6" ht="12.75">
      <c r="C743" s="74"/>
      <c r="D743" s="74"/>
      <c r="E743" s="74"/>
      <c r="F743" s="74"/>
    </row>
    <row r="744" spans="3:6" ht="12.75">
      <c r="C744" s="74"/>
      <c r="D744" s="74"/>
      <c r="E744" s="74"/>
      <c r="F744" s="74"/>
    </row>
    <row r="745" spans="3:6" ht="12.75">
      <c r="C745" s="74"/>
      <c r="D745" s="74"/>
      <c r="E745" s="74"/>
      <c r="F745" s="74"/>
    </row>
    <row r="746" spans="3:6" ht="12.75">
      <c r="C746" s="74"/>
      <c r="D746" s="74"/>
      <c r="E746" s="74"/>
      <c r="F746" s="74"/>
    </row>
    <row r="747" spans="3:6" ht="12.75">
      <c r="C747" s="74"/>
      <c r="D747" s="74"/>
      <c r="E747" s="74"/>
      <c r="F747" s="74"/>
    </row>
    <row r="748" spans="3:6" ht="12.75">
      <c r="C748" s="74"/>
      <c r="D748" s="74"/>
      <c r="E748" s="74"/>
      <c r="F748" s="74"/>
    </row>
    <row r="749" spans="3:6" ht="12.75">
      <c r="C749" s="74"/>
      <c r="D749" s="74"/>
      <c r="E749" s="74"/>
      <c r="F749" s="74"/>
    </row>
    <row r="750" spans="3:6" ht="12.75">
      <c r="C750" s="74"/>
      <c r="D750" s="74"/>
      <c r="E750" s="74"/>
      <c r="F750" s="74"/>
    </row>
    <row r="751" spans="3:6" ht="12.75">
      <c r="C751" s="74"/>
      <c r="D751" s="74"/>
      <c r="E751" s="74"/>
      <c r="F751" s="74"/>
    </row>
    <row r="752" spans="3:6" ht="12.75">
      <c r="C752" s="74"/>
      <c r="D752" s="74"/>
      <c r="E752" s="74"/>
      <c r="F752" s="74"/>
    </row>
    <row r="753" spans="3:6" ht="12.75">
      <c r="C753" s="74"/>
      <c r="D753" s="74"/>
      <c r="E753" s="74"/>
      <c r="F753" s="74"/>
    </row>
    <row r="754" spans="3:6" ht="12.75">
      <c r="C754" s="74"/>
      <c r="D754" s="74"/>
      <c r="E754" s="74"/>
      <c r="F754" s="74"/>
    </row>
    <row r="755" spans="3:6" ht="12.75">
      <c r="C755" s="74"/>
      <c r="D755" s="74"/>
      <c r="E755" s="74"/>
      <c r="F755" s="74"/>
    </row>
    <row r="756" spans="3:6" ht="12.75">
      <c r="C756" s="74"/>
      <c r="D756" s="74"/>
      <c r="E756" s="74"/>
      <c r="F756" s="74"/>
    </row>
    <row r="757" spans="3:6" ht="12.75">
      <c r="C757" s="74"/>
      <c r="D757" s="74"/>
      <c r="E757" s="74"/>
      <c r="F757" s="74"/>
    </row>
    <row r="758" spans="3:6" ht="12.75">
      <c r="C758" s="74"/>
      <c r="D758" s="74"/>
      <c r="E758" s="74"/>
      <c r="F758" s="74"/>
    </row>
    <row r="759" spans="3:6" ht="12.75">
      <c r="C759" s="74"/>
      <c r="D759" s="74"/>
      <c r="E759" s="74"/>
      <c r="F759" s="74"/>
    </row>
    <row r="760" spans="3:6" ht="12.75">
      <c r="C760" s="74"/>
      <c r="D760" s="74"/>
      <c r="E760" s="74"/>
      <c r="F760" s="74"/>
    </row>
    <row r="761" spans="3:6" ht="12.75">
      <c r="C761" s="74"/>
      <c r="D761" s="74"/>
      <c r="E761" s="74"/>
      <c r="F761" s="74"/>
    </row>
    <row r="762" spans="3:6" ht="12.75">
      <c r="C762" s="74"/>
      <c r="D762" s="74"/>
      <c r="E762" s="74"/>
      <c r="F762" s="74"/>
    </row>
    <row r="763" spans="3:6" ht="12.75">
      <c r="C763" s="74"/>
      <c r="D763" s="74"/>
      <c r="E763" s="74"/>
      <c r="F763" s="74"/>
    </row>
    <row r="764" spans="3:6" ht="12.75">
      <c r="C764" s="74"/>
      <c r="D764" s="74"/>
      <c r="E764" s="74"/>
      <c r="F764" s="74"/>
    </row>
    <row r="765" spans="3:6" ht="12.75">
      <c r="C765" s="74"/>
      <c r="D765" s="74"/>
      <c r="E765" s="74"/>
      <c r="F765" s="74"/>
    </row>
    <row r="766" spans="3:6" ht="12.75">
      <c r="C766" s="74"/>
      <c r="D766" s="74"/>
      <c r="E766" s="74"/>
      <c r="F766" s="74"/>
    </row>
    <row r="767" spans="3:6" ht="12.75">
      <c r="C767" s="74"/>
      <c r="D767" s="74"/>
      <c r="E767" s="74"/>
      <c r="F767" s="74"/>
    </row>
    <row r="768" spans="3:6" ht="12.75">
      <c r="C768" s="74"/>
      <c r="D768" s="74"/>
      <c r="E768" s="74"/>
      <c r="F768" s="74"/>
    </row>
    <row r="769" spans="3:6" ht="12.75">
      <c r="C769" s="74"/>
      <c r="D769" s="74"/>
      <c r="E769" s="74"/>
      <c r="F769" s="74"/>
    </row>
    <row r="770" spans="3:6" ht="12.75">
      <c r="C770" s="74"/>
      <c r="D770" s="74"/>
      <c r="E770" s="74"/>
      <c r="F770" s="74"/>
    </row>
    <row r="771" spans="3:6" ht="12.75">
      <c r="C771" s="74"/>
      <c r="D771" s="74"/>
      <c r="E771" s="74"/>
      <c r="F771" s="74"/>
    </row>
    <row r="772" spans="3:6" ht="12.75">
      <c r="C772" s="74"/>
      <c r="D772" s="74"/>
      <c r="E772" s="74"/>
      <c r="F772" s="74"/>
    </row>
    <row r="773" spans="3:6" ht="12.75">
      <c r="C773" s="74"/>
      <c r="D773" s="74"/>
      <c r="E773" s="74"/>
      <c r="F773" s="74"/>
    </row>
    <row r="774" spans="3:6" ht="12.75">
      <c r="C774" s="74"/>
      <c r="D774" s="74"/>
      <c r="E774" s="74"/>
      <c r="F774" s="74"/>
    </row>
    <row r="775" spans="3:6" ht="12.75">
      <c r="C775" s="74"/>
      <c r="D775" s="74"/>
      <c r="E775" s="74"/>
      <c r="F775" s="74"/>
    </row>
    <row r="776" spans="3:6" ht="12.75">
      <c r="C776" s="74"/>
      <c r="D776" s="74"/>
      <c r="E776" s="74"/>
      <c r="F776" s="74"/>
    </row>
    <row r="777" spans="3:6" ht="12.75">
      <c r="C777" s="74"/>
      <c r="D777" s="74"/>
      <c r="E777" s="74"/>
      <c r="F777" s="74"/>
    </row>
    <row r="778" spans="3:6" ht="12.75">
      <c r="C778" s="74"/>
      <c r="D778" s="74"/>
      <c r="E778" s="74"/>
      <c r="F778" s="74"/>
    </row>
    <row r="779" spans="3:6" ht="12.75">
      <c r="C779" s="74"/>
      <c r="D779" s="74"/>
      <c r="E779" s="74"/>
      <c r="F779" s="74"/>
    </row>
    <row r="780" spans="3:6" ht="12.75">
      <c r="C780" s="74"/>
      <c r="D780" s="74"/>
      <c r="E780" s="74"/>
      <c r="F780" s="74"/>
    </row>
    <row r="781" spans="3:6" ht="12.75">
      <c r="C781" s="74"/>
      <c r="D781" s="74"/>
      <c r="E781" s="74"/>
      <c r="F781" s="74"/>
    </row>
    <row r="782" spans="3:6" ht="12.75">
      <c r="C782" s="74"/>
      <c r="D782" s="74"/>
      <c r="E782" s="74"/>
      <c r="F782" s="74"/>
    </row>
    <row r="783" spans="3:6" ht="12.75">
      <c r="C783" s="74"/>
      <c r="D783" s="74"/>
      <c r="E783" s="74"/>
      <c r="F783" s="74"/>
    </row>
    <row r="784" spans="3:6" ht="12.75">
      <c r="C784" s="74"/>
      <c r="D784" s="74"/>
      <c r="E784" s="74"/>
      <c r="F784" s="74"/>
    </row>
    <row r="785" spans="3:6" ht="12.75">
      <c r="C785" s="74"/>
      <c r="D785" s="74"/>
      <c r="E785" s="74"/>
      <c r="F785" s="74"/>
    </row>
    <row r="786" spans="3:6" ht="12.75">
      <c r="C786" s="74"/>
      <c r="D786" s="74"/>
      <c r="E786" s="74"/>
      <c r="F786" s="74"/>
    </row>
    <row r="787" spans="3:6" ht="12.75">
      <c r="C787" s="74"/>
      <c r="D787" s="74"/>
      <c r="E787" s="74"/>
      <c r="F787" s="74"/>
    </row>
    <row r="788" spans="3:6" ht="12.75">
      <c r="C788" s="74"/>
      <c r="D788" s="74"/>
      <c r="E788" s="74"/>
      <c r="F788" s="74"/>
    </row>
    <row r="789" spans="3:6" ht="12.75">
      <c r="C789" s="74"/>
      <c r="D789" s="74"/>
      <c r="E789" s="74"/>
      <c r="F789" s="74"/>
    </row>
    <row r="790" spans="3:6" ht="12.75">
      <c r="C790" s="74"/>
      <c r="D790" s="74"/>
      <c r="E790" s="74"/>
      <c r="F790" s="74"/>
    </row>
    <row r="791" spans="3:6" ht="12.75">
      <c r="C791" s="74"/>
      <c r="D791" s="74"/>
      <c r="E791" s="74"/>
      <c r="F791" s="74"/>
    </row>
    <row r="792" spans="3:6" ht="12.75">
      <c r="C792" s="74"/>
      <c r="D792" s="74"/>
      <c r="E792" s="74"/>
      <c r="F792" s="74"/>
    </row>
    <row r="793" spans="3:6" ht="12.75">
      <c r="C793" s="74"/>
      <c r="D793" s="74"/>
      <c r="E793" s="74"/>
      <c r="F793" s="74"/>
    </row>
    <row r="794" spans="3:6" ht="12.75">
      <c r="C794" s="74"/>
      <c r="D794" s="74"/>
      <c r="E794" s="74"/>
      <c r="F794" s="74"/>
    </row>
    <row r="795" spans="3:6" ht="12.75">
      <c r="C795" s="74"/>
      <c r="D795" s="74"/>
      <c r="E795" s="74"/>
      <c r="F795" s="74"/>
    </row>
    <row r="796" spans="3:6" ht="12.75">
      <c r="C796" s="74"/>
      <c r="D796" s="74"/>
      <c r="E796" s="74"/>
      <c r="F796" s="74"/>
    </row>
    <row r="797" spans="3:6" ht="12.75">
      <c r="C797" s="74"/>
      <c r="D797" s="74"/>
      <c r="E797" s="74"/>
      <c r="F797" s="74"/>
    </row>
    <row r="798" spans="3:6" ht="12.75">
      <c r="C798" s="74"/>
      <c r="D798" s="74"/>
      <c r="E798" s="74"/>
      <c r="F798" s="74"/>
    </row>
    <row r="799" spans="3:6" ht="12.75">
      <c r="C799" s="74"/>
      <c r="D799" s="74"/>
      <c r="E799" s="74"/>
      <c r="F799" s="74"/>
    </row>
    <row r="800" spans="3:6" ht="12.75">
      <c r="C800" s="74"/>
      <c r="D800" s="74"/>
      <c r="E800" s="74"/>
      <c r="F800" s="74"/>
    </row>
    <row r="801" spans="3:6" ht="12.75">
      <c r="C801" s="74"/>
      <c r="D801" s="74"/>
      <c r="E801" s="74"/>
      <c r="F801" s="74"/>
    </row>
    <row r="802" spans="3:6" ht="12.75">
      <c r="C802" s="74"/>
      <c r="D802" s="74"/>
      <c r="E802" s="74"/>
      <c r="F802" s="74"/>
    </row>
    <row r="803" spans="3:6" ht="12.75">
      <c r="C803" s="74"/>
      <c r="D803" s="74"/>
      <c r="E803" s="74"/>
      <c r="F803" s="74"/>
    </row>
    <row r="804" spans="3:6" ht="12.75">
      <c r="C804" s="74"/>
      <c r="D804" s="74"/>
      <c r="E804" s="74"/>
      <c r="F804" s="74"/>
    </row>
    <row r="805" spans="3:6" ht="12.75">
      <c r="C805" s="74"/>
      <c r="D805" s="74"/>
      <c r="E805" s="74"/>
      <c r="F805" s="74"/>
    </row>
    <row r="806" spans="3:6" ht="12.75">
      <c r="C806" s="74"/>
      <c r="D806" s="74"/>
      <c r="E806" s="74"/>
      <c r="F806" s="74"/>
    </row>
    <row r="807" spans="3:6" ht="12.75">
      <c r="C807" s="74"/>
      <c r="D807" s="74"/>
      <c r="E807" s="74"/>
      <c r="F807" s="74"/>
    </row>
    <row r="808" spans="3:6" ht="12.75">
      <c r="C808" s="74"/>
      <c r="D808" s="74"/>
      <c r="E808" s="74"/>
      <c r="F808" s="74"/>
    </row>
    <row r="809" spans="3:6" ht="12.75">
      <c r="C809" s="74"/>
      <c r="D809" s="74"/>
      <c r="E809" s="74"/>
      <c r="F809" s="74"/>
    </row>
    <row r="810" spans="3:6" ht="12.75">
      <c r="C810" s="74"/>
      <c r="D810" s="74"/>
      <c r="E810" s="74"/>
      <c r="F810" s="74"/>
    </row>
    <row r="811" spans="3:6" ht="12.75">
      <c r="C811" s="74"/>
      <c r="D811" s="74"/>
      <c r="E811" s="74"/>
      <c r="F811" s="74"/>
    </row>
    <row r="812" spans="3:6" ht="12.75">
      <c r="C812" s="74"/>
      <c r="D812" s="74"/>
      <c r="E812" s="74"/>
      <c r="F812" s="74"/>
    </row>
    <row r="813" spans="3:6" ht="12.75">
      <c r="C813" s="74"/>
      <c r="D813" s="74"/>
      <c r="E813" s="74"/>
      <c r="F813" s="74"/>
    </row>
    <row r="814" spans="3:6" ht="12.75">
      <c r="C814" s="74"/>
      <c r="D814" s="74"/>
      <c r="E814" s="74"/>
      <c r="F814" s="74"/>
    </row>
    <row r="815" spans="3:6" ht="12.75">
      <c r="C815" s="74"/>
      <c r="D815" s="74"/>
      <c r="E815" s="74"/>
      <c r="F815" s="74"/>
    </row>
    <row r="816" spans="3:6" ht="12.75">
      <c r="C816" s="74"/>
      <c r="D816" s="74"/>
      <c r="E816" s="74"/>
      <c r="F816" s="74"/>
    </row>
    <row r="817" spans="3:6" ht="12.75">
      <c r="C817" s="74"/>
      <c r="D817" s="74"/>
      <c r="E817" s="74"/>
      <c r="F817" s="74"/>
    </row>
    <row r="818" spans="3:6" ht="12.75">
      <c r="C818" s="74"/>
      <c r="D818" s="74"/>
      <c r="E818" s="74"/>
      <c r="F818" s="74"/>
    </row>
    <row r="819" spans="3:6" ht="12.75">
      <c r="C819" s="74"/>
      <c r="D819" s="74"/>
      <c r="E819" s="74"/>
      <c r="F819" s="74"/>
    </row>
    <row r="820" spans="3:6" ht="12.75">
      <c r="C820" s="74"/>
      <c r="D820" s="74"/>
      <c r="E820" s="74"/>
      <c r="F820" s="74"/>
    </row>
    <row r="821" spans="3:6" ht="12.75">
      <c r="C821" s="74"/>
      <c r="D821" s="74"/>
      <c r="E821" s="74"/>
      <c r="F821" s="74"/>
    </row>
    <row r="822" spans="3:6" ht="12.75">
      <c r="C822" s="74"/>
      <c r="D822" s="74"/>
      <c r="E822" s="74"/>
      <c r="F822" s="74"/>
    </row>
    <row r="823" spans="3:6" ht="12.75">
      <c r="C823" s="74"/>
      <c r="D823" s="74"/>
      <c r="E823" s="74"/>
      <c r="F823" s="74"/>
    </row>
    <row r="824" spans="3:6" ht="12.75">
      <c r="C824" s="74"/>
      <c r="D824" s="74"/>
      <c r="E824" s="74"/>
      <c r="F824" s="74"/>
    </row>
    <row r="825" spans="3:6" ht="12.75">
      <c r="C825" s="74"/>
      <c r="D825" s="74"/>
      <c r="E825" s="74"/>
      <c r="F825" s="74"/>
    </row>
    <row r="826" spans="3:6" ht="12.75">
      <c r="C826" s="74"/>
      <c r="D826" s="74"/>
      <c r="E826" s="74"/>
      <c r="F826" s="74"/>
    </row>
    <row r="827" spans="3:6" ht="12.75">
      <c r="C827" s="74"/>
      <c r="D827" s="74"/>
      <c r="E827" s="74"/>
      <c r="F827" s="74"/>
    </row>
    <row r="828" spans="3:6" ht="12.75">
      <c r="C828" s="74"/>
      <c r="D828" s="74"/>
      <c r="E828" s="74"/>
      <c r="F828" s="74"/>
    </row>
    <row r="829" spans="3:6" ht="12.75">
      <c r="C829" s="74"/>
      <c r="D829" s="74"/>
      <c r="E829" s="74"/>
      <c r="F829" s="74"/>
    </row>
    <row r="830" spans="3:6" ht="12.75">
      <c r="C830" s="74"/>
      <c r="D830" s="74"/>
      <c r="E830" s="74"/>
      <c r="F830" s="74"/>
    </row>
    <row r="831" spans="3:6" ht="12.75">
      <c r="C831" s="74"/>
      <c r="D831" s="74"/>
      <c r="E831" s="74"/>
      <c r="F831" s="74"/>
    </row>
    <row r="832" spans="3:6" ht="12.75">
      <c r="C832" s="74"/>
      <c r="D832" s="74"/>
      <c r="E832" s="74"/>
      <c r="F832" s="74"/>
    </row>
    <row r="833" spans="3:6" ht="12.75">
      <c r="C833" s="74"/>
      <c r="D833" s="74"/>
      <c r="E833" s="74"/>
      <c r="F833" s="74"/>
    </row>
    <row r="834" spans="3:6" ht="12.75">
      <c r="C834" s="74"/>
      <c r="D834" s="74"/>
      <c r="E834" s="74"/>
      <c r="F834" s="74"/>
    </row>
    <row r="835" spans="3:6" ht="12.75">
      <c r="C835" s="74"/>
      <c r="D835" s="74"/>
      <c r="E835" s="74"/>
      <c r="F835" s="74"/>
    </row>
    <row r="836" spans="3:6" ht="12.75">
      <c r="C836" s="74"/>
      <c r="D836" s="74"/>
      <c r="E836" s="74"/>
      <c r="F836" s="74"/>
    </row>
    <row r="837" spans="3:6" ht="12.75">
      <c r="C837" s="74"/>
      <c r="D837" s="74"/>
      <c r="E837" s="74"/>
      <c r="F837" s="74"/>
    </row>
    <row r="838" spans="3:6" ht="12.75">
      <c r="C838" s="74"/>
      <c r="D838" s="74"/>
      <c r="E838" s="74"/>
      <c r="F838" s="74"/>
    </row>
    <row r="839" spans="3:6" ht="12.75">
      <c r="C839" s="74"/>
      <c r="D839" s="74"/>
      <c r="E839" s="74"/>
      <c r="F839" s="74"/>
    </row>
    <row r="840" spans="3:6" ht="12.75">
      <c r="C840" s="74"/>
      <c r="D840" s="74"/>
      <c r="E840" s="74"/>
      <c r="F840" s="74"/>
    </row>
    <row r="841" spans="3:6" ht="12.75">
      <c r="C841" s="74"/>
      <c r="D841" s="74"/>
      <c r="E841" s="74"/>
      <c r="F841" s="74"/>
    </row>
    <row r="842" spans="3:6" ht="12.75">
      <c r="C842" s="74"/>
      <c r="D842" s="74"/>
      <c r="E842" s="74"/>
      <c r="F842" s="74"/>
    </row>
    <row r="843" spans="3:6" ht="12.75">
      <c r="C843" s="74"/>
      <c r="D843" s="74"/>
      <c r="E843" s="74"/>
      <c r="F843" s="74"/>
    </row>
    <row r="844" spans="3:6" ht="12.75">
      <c r="C844" s="74"/>
      <c r="D844" s="74"/>
      <c r="E844" s="74"/>
      <c r="F844" s="74"/>
    </row>
    <row r="845" spans="3:6" ht="12.75">
      <c r="C845" s="74"/>
      <c r="D845" s="74"/>
      <c r="E845" s="74"/>
      <c r="F845" s="74"/>
    </row>
    <row r="846" spans="3:6" ht="12.75">
      <c r="C846" s="74"/>
      <c r="D846" s="74"/>
      <c r="E846" s="74"/>
      <c r="F846" s="74"/>
    </row>
    <row r="847" spans="3:6" ht="12.75">
      <c r="C847" s="74"/>
      <c r="D847" s="74"/>
      <c r="E847" s="74"/>
      <c r="F847" s="74"/>
    </row>
    <row r="848" spans="3:6" ht="12.75">
      <c r="C848" s="74"/>
      <c r="D848" s="74"/>
      <c r="E848" s="74"/>
      <c r="F848" s="74"/>
    </row>
    <row r="849" spans="3:6" ht="12.75">
      <c r="C849" s="74"/>
      <c r="D849" s="74"/>
      <c r="E849" s="74"/>
      <c r="F849" s="74"/>
    </row>
    <row r="850" spans="3:6" ht="12.75">
      <c r="C850" s="74"/>
      <c r="D850" s="74"/>
      <c r="E850" s="74"/>
      <c r="F850" s="74"/>
    </row>
    <row r="851" spans="3:6" ht="12.75">
      <c r="C851" s="74"/>
      <c r="D851" s="74"/>
      <c r="E851" s="74"/>
      <c r="F851" s="74"/>
    </row>
    <row r="852" spans="3:6" ht="12.75">
      <c r="C852" s="74"/>
      <c r="D852" s="74"/>
      <c r="E852" s="74"/>
      <c r="F852" s="74"/>
    </row>
    <row r="853" spans="3:6" ht="12.75">
      <c r="C853" s="74"/>
      <c r="D853" s="74"/>
      <c r="E853" s="74"/>
      <c r="F853" s="74"/>
    </row>
    <row r="854" spans="3:6" ht="12.75">
      <c r="C854" s="74"/>
      <c r="D854" s="74"/>
      <c r="E854" s="74"/>
      <c r="F854" s="74"/>
    </row>
    <row r="855" spans="3:6" ht="12.75">
      <c r="C855" s="74"/>
      <c r="D855" s="74"/>
      <c r="E855" s="74"/>
      <c r="F855" s="74"/>
    </row>
    <row r="856" spans="3:6" ht="12.75">
      <c r="C856" s="74"/>
      <c r="D856" s="74"/>
      <c r="E856" s="74"/>
      <c r="F856" s="74"/>
    </row>
    <row r="857" spans="3:6" ht="12.75">
      <c r="C857" s="74"/>
      <c r="D857" s="74"/>
      <c r="E857" s="74"/>
      <c r="F857" s="74"/>
    </row>
    <row r="858" spans="3:6" ht="12.75">
      <c r="C858" s="74"/>
      <c r="D858" s="74"/>
      <c r="E858" s="74"/>
      <c r="F858" s="74"/>
    </row>
    <row r="859" spans="3:6" ht="12.75">
      <c r="C859" s="74"/>
      <c r="D859" s="74"/>
      <c r="E859" s="74"/>
      <c r="F859" s="74"/>
    </row>
    <row r="860" spans="3:6" ht="12.75">
      <c r="C860" s="74"/>
      <c r="D860" s="74"/>
      <c r="E860" s="74"/>
      <c r="F860" s="74"/>
    </row>
    <row r="861" spans="3:6" ht="12.75">
      <c r="C861" s="74"/>
      <c r="D861" s="74"/>
      <c r="E861" s="74"/>
      <c r="F861" s="74"/>
    </row>
    <row r="862" spans="3:6" ht="12.75">
      <c r="C862" s="74"/>
      <c r="D862" s="74"/>
      <c r="E862" s="74"/>
      <c r="F862" s="74"/>
    </row>
    <row r="863" spans="3:6" ht="12.75">
      <c r="C863" s="74"/>
      <c r="D863" s="74"/>
      <c r="E863" s="74"/>
      <c r="F863" s="74"/>
    </row>
    <row r="864" spans="3:6" ht="12.75">
      <c r="C864" s="74"/>
      <c r="D864" s="74"/>
      <c r="E864" s="74"/>
      <c r="F864" s="74"/>
    </row>
    <row r="865" spans="3:6" ht="12.75">
      <c r="C865" s="74"/>
      <c r="D865" s="74"/>
      <c r="E865" s="74"/>
      <c r="F865" s="74"/>
    </row>
    <row r="866" spans="3:6" ht="12.75">
      <c r="C866" s="74"/>
      <c r="D866" s="74"/>
      <c r="E866" s="74"/>
      <c r="F866" s="74"/>
    </row>
    <row r="867" spans="3:6" ht="12.75">
      <c r="C867" s="74"/>
      <c r="D867" s="74"/>
      <c r="E867" s="74"/>
      <c r="F867" s="74"/>
    </row>
    <row r="868" spans="3:6" ht="12.75">
      <c r="C868" s="74"/>
      <c r="D868" s="74"/>
      <c r="E868" s="74"/>
      <c r="F868" s="74"/>
    </row>
    <row r="869" spans="3:6" ht="12.75">
      <c r="C869" s="74"/>
      <c r="D869" s="74"/>
      <c r="E869" s="74"/>
      <c r="F869" s="74"/>
    </row>
    <row r="870" spans="3:6" ht="12.75">
      <c r="C870" s="74"/>
      <c r="D870" s="74"/>
      <c r="E870" s="74"/>
      <c r="F870" s="74"/>
    </row>
    <row r="871" spans="3:6" ht="12.75">
      <c r="C871" s="74"/>
      <c r="D871" s="74"/>
      <c r="E871" s="74"/>
      <c r="F871" s="74"/>
    </row>
    <row r="872" spans="3:6" ht="12.75">
      <c r="C872" s="74"/>
      <c r="D872" s="74"/>
      <c r="E872" s="74"/>
      <c r="F872" s="74"/>
    </row>
    <row r="873" spans="3:6" ht="12.75">
      <c r="C873" s="74"/>
      <c r="D873" s="74"/>
      <c r="E873" s="74"/>
      <c r="F873" s="74"/>
    </row>
    <row r="874" spans="3:6" ht="12.75">
      <c r="C874" s="74"/>
      <c r="D874" s="74"/>
      <c r="E874" s="74"/>
      <c r="F874" s="74"/>
    </row>
    <row r="875" spans="3:6" ht="12.75">
      <c r="C875" s="74"/>
      <c r="D875" s="74"/>
      <c r="E875" s="74"/>
      <c r="F875" s="74"/>
    </row>
    <row r="876" spans="3:6" ht="12.75">
      <c r="C876" s="74"/>
      <c r="D876" s="74"/>
      <c r="E876" s="74"/>
      <c r="F876" s="74"/>
    </row>
    <row r="877" spans="3:6" ht="12.75">
      <c r="C877" s="74"/>
      <c r="D877" s="74"/>
      <c r="E877" s="74"/>
      <c r="F877" s="74"/>
    </row>
    <row r="878" spans="3:6" ht="12.75">
      <c r="C878" s="74"/>
      <c r="D878" s="74"/>
      <c r="E878" s="74"/>
      <c r="F878" s="74"/>
    </row>
    <row r="879" spans="3:6" ht="12.75">
      <c r="C879" s="74"/>
      <c r="D879" s="74"/>
      <c r="E879" s="74"/>
      <c r="F879" s="74"/>
    </row>
    <row r="880" spans="3:6" ht="12.75">
      <c r="C880" s="74"/>
      <c r="D880" s="74"/>
      <c r="E880" s="74"/>
      <c r="F880" s="74"/>
    </row>
    <row r="881" spans="3:6" ht="12.75">
      <c r="C881" s="74"/>
      <c r="D881" s="74"/>
      <c r="E881" s="74"/>
      <c r="F881" s="74"/>
    </row>
    <row r="882" spans="3:6" ht="12.75">
      <c r="C882" s="74"/>
      <c r="D882" s="74"/>
      <c r="E882" s="74"/>
      <c r="F882" s="74"/>
    </row>
    <row r="883" spans="3:6" ht="12.75">
      <c r="C883" s="74"/>
      <c r="D883" s="74"/>
      <c r="E883" s="74"/>
      <c r="F883" s="74"/>
    </row>
    <row r="884" spans="3:6" ht="12.75">
      <c r="C884" s="74"/>
      <c r="D884" s="74"/>
      <c r="E884" s="74"/>
      <c r="F884" s="74"/>
    </row>
    <row r="885" spans="3:6" ht="12.75">
      <c r="C885" s="74"/>
      <c r="D885" s="74"/>
      <c r="E885" s="74"/>
      <c r="F885" s="74"/>
    </row>
    <row r="886" spans="3:6" ht="12.75">
      <c r="C886" s="74"/>
      <c r="D886" s="74"/>
      <c r="E886" s="74"/>
      <c r="F886" s="74"/>
    </row>
    <row r="887" spans="3:6" ht="12.75">
      <c r="C887" s="74"/>
      <c r="D887" s="74"/>
      <c r="E887" s="74"/>
      <c r="F887" s="74"/>
    </row>
    <row r="888" spans="3:6" ht="12.75">
      <c r="C888" s="74"/>
      <c r="D888" s="74"/>
      <c r="E888" s="74"/>
      <c r="F888" s="74"/>
    </row>
    <row r="889" spans="3:6" ht="12.75">
      <c r="C889" s="74"/>
      <c r="D889" s="74"/>
      <c r="E889" s="74"/>
      <c r="F889" s="74"/>
    </row>
    <row r="890" spans="3:6" ht="12.75">
      <c r="C890" s="74"/>
      <c r="D890" s="74"/>
      <c r="E890" s="74"/>
      <c r="F890" s="74"/>
    </row>
    <row r="891" spans="3:6" ht="12.75">
      <c r="C891" s="74"/>
      <c r="D891" s="74"/>
      <c r="E891" s="74"/>
      <c r="F891" s="74"/>
    </row>
    <row r="892" spans="3:6" ht="12.75">
      <c r="C892" s="74"/>
      <c r="D892" s="74"/>
      <c r="E892" s="74"/>
      <c r="F892" s="74"/>
    </row>
    <row r="893" spans="3:6" ht="12.75">
      <c r="C893" s="74"/>
      <c r="D893" s="74"/>
      <c r="E893" s="74"/>
      <c r="F893" s="74"/>
    </row>
    <row r="894" spans="3:6" ht="12.75">
      <c r="C894" s="74"/>
      <c r="D894" s="74"/>
      <c r="E894" s="74"/>
      <c r="F894" s="74"/>
    </row>
    <row r="895" spans="3:6" ht="12.75">
      <c r="C895" s="74"/>
      <c r="D895" s="74"/>
      <c r="E895" s="74"/>
      <c r="F895" s="74"/>
    </row>
    <row r="896" spans="3:6" ht="12.75">
      <c r="C896" s="74"/>
      <c r="D896" s="74"/>
      <c r="E896" s="74"/>
      <c r="F896" s="74"/>
    </row>
    <row r="897" spans="3:6" ht="12.75">
      <c r="C897" s="74"/>
      <c r="D897" s="74"/>
      <c r="E897" s="74"/>
      <c r="F897" s="74"/>
    </row>
    <row r="898" spans="3:6" ht="12.75">
      <c r="C898" s="74"/>
      <c r="D898" s="74"/>
      <c r="E898" s="74"/>
      <c r="F898" s="74"/>
    </row>
    <row r="899" spans="3:6" ht="12.75">
      <c r="C899" s="74"/>
      <c r="D899" s="74"/>
      <c r="E899" s="74"/>
      <c r="F899" s="74"/>
    </row>
    <row r="900" spans="3:6" ht="12.75">
      <c r="C900" s="74"/>
      <c r="D900" s="74"/>
      <c r="E900" s="74"/>
      <c r="F900" s="74"/>
    </row>
    <row r="901" spans="3:6" ht="12.75">
      <c r="C901" s="74"/>
      <c r="D901" s="74"/>
      <c r="E901" s="74"/>
      <c r="F901" s="74"/>
    </row>
    <row r="902" spans="3:6" ht="12.75">
      <c r="C902" s="74"/>
      <c r="D902" s="74"/>
      <c r="E902" s="74"/>
      <c r="F902" s="74"/>
    </row>
    <row r="903" spans="3:6" ht="12.75">
      <c r="C903" s="74"/>
      <c r="D903" s="74"/>
      <c r="E903" s="74"/>
      <c r="F903" s="74"/>
    </row>
    <row r="904" spans="3:6" ht="12.75">
      <c r="C904" s="74"/>
      <c r="D904" s="74"/>
      <c r="E904" s="74"/>
      <c r="F904" s="74"/>
    </row>
    <row r="905" spans="3:6" ht="12.75">
      <c r="C905" s="74"/>
      <c r="D905" s="74"/>
      <c r="E905" s="74"/>
      <c r="F905" s="74"/>
    </row>
    <row r="906" spans="3:6" ht="12.75">
      <c r="C906" s="74"/>
      <c r="D906" s="74"/>
      <c r="E906" s="74"/>
      <c r="F906" s="74"/>
    </row>
    <row r="907" spans="3:6" ht="12.75">
      <c r="C907" s="74"/>
      <c r="D907" s="74"/>
      <c r="E907" s="74"/>
      <c r="F907" s="74"/>
    </row>
    <row r="908" spans="3:6" ht="12.75">
      <c r="C908" s="74"/>
      <c r="D908" s="74"/>
      <c r="E908" s="74"/>
      <c r="F908" s="74"/>
    </row>
    <row r="909" spans="3:6" ht="12.75">
      <c r="C909" s="74"/>
      <c r="D909" s="74"/>
      <c r="E909" s="74"/>
      <c r="F909" s="74"/>
    </row>
    <row r="910" spans="3:6" ht="12.75">
      <c r="C910" s="74"/>
      <c r="D910" s="74"/>
      <c r="E910" s="74"/>
      <c r="F910" s="74"/>
    </row>
    <row r="911" spans="3:6" ht="12.75">
      <c r="C911" s="74"/>
      <c r="D911" s="74"/>
      <c r="E911" s="74"/>
      <c r="F911" s="74"/>
    </row>
    <row r="912" spans="3:6" ht="12.75">
      <c r="C912" s="74"/>
      <c r="D912" s="74"/>
      <c r="E912" s="74"/>
      <c r="F912" s="74"/>
    </row>
    <row r="913" spans="3:6" ht="12.75">
      <c r="C913" s="74"/>
      <c r="D913" s="74"/>
      <c r="E913" s="74"/>
      <c r="F913" s="74"/>
    </row>
    <row r="914" spans="3:6" ht="12.75">
      <c r="C914" s="74"/>
      <c r="D914" s="74"/>
      <c r="E914" s="74"/>
      <c r="F914" s="74"/>
    </row>
    <row r="915" spans="3:6" ht="12.75">
      <c r="C915" s="74"/>
      <c r="D915" s="74"/>
      <c r="E915" s="74"/>
      <c r="F915" s="74"/>
    </row>
    <row r="916" spans="3:6" ht="12.75">
      <c r="C916" s="74"/>
      <c r="D916" s="74"/>
      <c r="E916" s="74"/>
      <c r="F916" s="74"/>
    </row>
    <row r="917" spans="3:6" ht="12.75">
      <c r="C917" s="74"/>
      <c r="D917" s="74"/>
      <c r="E917" s="74"/>
      <c r="F917" s="74"/>
    </row>
    <row r="918" spans="3:6" ht="12.75">
      <c r="C918" s="74"/>
      <c r="D918" s="74"/>
      <c r="E918" s="74"/>
      <c r="F918" s="74"/>
    </row>
    <row r="919" spans="3:6" ht="12.75">
      <c r="C919" s="74"/>
      <c r="D919" s="74"/>
      <c r="E919" s="74"/>
      <c r="F919" s="74"/>
    </row>
    <row r="920" spans="3:6" ht="12.75">
      <c r="C920" s="74"/>
      <c r="D920" s="74"/>
      <c r="E920" s="74"/>
      <c r="F920" s="74"/>
    </row>
    <row r="921" spans="3:6" ht="12.75">
      <c r="C921" s="74"/>
      <c r="D921" s="74"/>
      <c r="E921" s="74"/>
      <c r="F921" s="74"/>
    </row>
    <row r="922" spans="3:6" ht="12.75">
      <c r="C922" s="74"/>
      <c r="D922" s="74"/>
      <c r="E922" s="74"/>
      <c r="F922" s="74"/>
    </row>
    <row r="923" spans="3:6" ht="12.75">
      <c r="C923" s="74"/>
      <c r="D923" s="74"/>
      <c r="E923" s="74"/>
      <c r="F923" s="74"/>
    </row>
    <row r="924" spans="3:6" ht="12.75">
      <c r="C924" s="74"/>
      <c r="D924" s="74"/>
      <c r="E924" s="74"/>
      <c r="F924" s="74"/>
    </row>
    <row r="925" spans="3:6" ht="12.75">
      <c r="C925" s="74"/>
      <c r="D925" s="74"/>
      <c r="E925" s="74"/>
      <c r="F925" s="74"/>
    </row>
    <row r="926" spans="3:6" ht="12.75">
      <c r="C926" s="74"/>
      <c r="D926" s="74"/>
      <c r="E926" s="74"/>
      <c r="F926" s="74"/>
    </row>
    <row r="927" spans="3:6" ht="12.75">
      <c r="C927" s="74"/>
      <c r="D927" s="74"/>
      <c r="E927" s="74"/>
      <c r="F927" s="74"/>
    </row>
    <row r="928" spans="3:6" ht="12.75">
      <c r="C928" s="74"/>
      <c r="D928" s="74"/>
      <c r="E928" s="74"/>
      <c r="F928" s="74"/>
    </row>
    <row r="929" spans="3:6" ht="12.75">
      <c r="C929" s="74"/>
      <c r="D929" s="74"/>
      <c r="E929" s="74"/>
      <c r="F929" s="74"/>
    </row>
    <row r="930" spans="3:6" ht="12.75">
      <c r="C930" s="74"/>
      <c r="D930" s="74"/>
      <c r="E930" s="74"/>
      <c r="F930" s="74"/>
    </row>
    <row r="931" spans="3:6" ht="12.75">
      <c r="C931" s="74"/>
      <c r="D931" s="74"/>
      <c r="E931" s="74"/>
      <c r="F931" s="74"/>
    </row>
    <row r="932" spans="3:6" ht="12.75">
      <c r="C932" s="74"/>
      <c r="D932" s="74"/>
      <c r="E932" s="74"/>
      <c r="F932" s="74"/>
    </row>
    <row r="933" spans="3:6" ht="12.75">
      <c r="C933" s="74"/>
      <c r="D933" s="74"/>
      <c r="E933" s="74"/>
      <c r="F933" s="74"/>
    </row>
    <row r="934" spans="3:6" ht="12.75">
      <c r="C934" s="74"/>
      <c r="D934" s="74"/>
      <c r="E934" s="74"/>
      <c r="F934" s="74"/>
    </row>
    <row r="935" spans="3:6" ht="12.75">
      <c r="C935" s="74"/>
      <c r="D935" s="74"/>
      <c r="E935" s="74"/>
      <c r="F935" s="74"/>
    </row>
    <row r="936" spans="3:6" ht="12.75">
      <c r="C936" s="74"/>
      <c r="D936" s="74"/>
      <c r="E936" s="74"/>
      <c r="F936" s="74"/>
    </row>
    <row r="937" spans="3:6" ht="12.75">
      <c r="C937" s="74"/>
      <c r="D937" s="74"/>
      <c r="E937" s="74"/>
      <c r="F937" s="74"/>
    </row>
    <row r="938" spans="3:6" ht="12.75">
      <c r="C938" s="74"/>
      <c r="D938" s="74"/>
      <c r="E938" s="74"/>
      <c r="F938" s="74"/>
    </row>
    <row r="939" spans="3:6" ht="12.75">
      <c r="C939" s="74"/>
      <c r="D939" s="74"/>
      <c r="E939" s="74"/>
      <c r="F939" s="74"/>
    </row>
    <row r="940" spans="3:6" ht="12.75">
      <c r="C940" s="74"/>
      <c r="D940" s="74"/>
      <c r="E940" s="74"/>
      <c r="F940" s="74"/>
    </row>
    <row r="941" spans="3:6" ht="12.75">
      <c r="C941" s="74"/>
      <c r="D941" s="74"/>
      <c r="E941" s="74"/>
      <c r="F941" s="74"/>
    </row>
    <row r="942" spans="3:6" ht="12.75">
      <c r="C942" s="74"/>
      <c r="D942" s="74"/>
      <c r="E942" s="74"/>
      <c r="F942" s="74"/>
    </row>
    <row r="943" spans="3:6" ht="12.75">
      <c r="C943" s="74"/>
      <c r="D943" s="74"/>
      <c r="E943" s="74"/>
      <c r="F943" s="74"/>
    </row>
    <row r="944" spans="3:6" ht="12.75">
      <c r="C944" s="74"/>
      <c r="D944" s="74"/>
      <c r="E944" s="74"/>
      <c r="F944" s="74"/>
    </row>
    <row r="945" spans="3:6" ht="12.75">
      <c r="C945" s="74"/>
      <c r="D945" s="74"/>
      <c r="E945" s="74"/>
      <c r="F945" s="74"/>
    </row>
    <row r="946" spans="3:6" ht="12.75">
      <c r="C946" s="74"/>
      <c r="D946" s="74"/>
      <c r="E946" s="74"/>
      <c r="F946" s="74"/>
    </row>
    <row r="947" spans="3:6" ht="12.75">
      <c r="C947" s="74"/>
      <c r="D947" s="74"/>
      <c r="E947" s="74"/>
      <c r="F947" s="74"/>
    </row>
    <row r="948" spans="3:6" ht="12.75">
      <c r="C948" s="74"/>
      <c r="D948" s="74"/>
      <c r="E948" s="74"/>
      <c r="F948" s="74"/>
    </row>
    <row r="949" spans="3:6" ht="12.75">
      <c r="C949" s="74"/>
      <c r="D949" s="74"/>
      <c r="E949" s="74"/>
      <c r="F949" s="74"/>
    </row>
    <row r="950" spans="3:6" ht="12.75">
      <c r="C950" s="74"/>
      <c r="D950" s="74"/>
      <c r="E950" s="74"/>
      <c r="F950" s="74"/>
    </row>
    <row r="951" spans="3:6" ht="12.75">
      <c r="C951" s="74"/>
      <c r="D951" s="74"/>
      <c r="E951" s="74"/>
      <c r="F951" s="74"/>
    </row>
    <row r="952" spans="3:6" ht="12.75">
      <c r="C952" s="74"/>
      <c r="D952" s="74"/>
      <c r="E952" s="74"/>
      <c r="F952" s="74"/>
    </row>
    <row r="953" spans="3:6" ht="12.75">
      <c r="C953" s="74"/>
      <c r="D953" s="74"/>
      <c r="E953" s="74"/>
      <c r="F953" s="74"/>
    </row>
    <row r="954" spans="3:6" ht="12.75">
      <c r="C954" s="74"/>
      <c r="D954" s="74"/>
      <c r="E954" s="74"/>
      <c r="F954" s="74"/>
    </row>
    <row r="955" spans="3:6" ht="12.75">
      <c r="C955" s="74"/>
      <c r="D955" s="74"/>
      <c r="E955" s="74"/>
      <c r="F955" s="74"/>
    </row>
    <row r="956" spans="3:6" ht="12.75">
      <c r="C956" s="74"/>
      <c r="D956" s="74"/>
      <c r="E956" s="74"/>
      <c r="F956" s="74"/>
    </row>
    <row r="957" spans="3:6" ht="12.75">
      <c r="C957" s="74"/>
      <c r="D957" s="74"/>
      <c r="E957" s="74"/>
      <c r="F957" s="74"/>
    </row>
    <row r="958" spans="3:6" ht="12.75">
      <c r="C958" s="74"/>
      <c r="D958" s="74"/>
      <c r="E958" s="74"/>
      <c r="F958" s="74"/>
    </row>
    <row r="959" spans="3:6" ht="12.75">
      <c r="C959" s="74"/>
      <c r="D959" s="74"/>
      <c r="E959" s="74"/>
      <c r="F959" s="74"/>
    </row>
    <row r="960" spans="3:6" ht="12.75">
      <c r="C960" s="74"/>
      <c r="D960" s="74"/>
      <c r="E960" s="74"/>
      <c r="F960" s="74"/>
    </row>
    <row r="961" spans="3:6" ht="12.75">
      <c r="C961" s="74"/>
      <c r="D961" s="74"/>
      <c r="E961" s="74"/>
      <c r="F961" s="74"/>
    </row>
    <row r="962" spans="3:6" ht="12.75">
      <c r="C962" s="74"/>
      <c r="D962" s="74"/>
      <c r="E962" s="74"/>
      <c r="F962" s="74"/>
    </row>
    <row r="963" spans="3:6" ht="12.75">
      <c r="C963" s="74"/>
      <c r="D963" s="74"/>
      <c r="E963" s="74"/>
      <c r="F963" s="74"/>
    </row>
    <row r="964" spans="3:6" ht="12.75">
      <c r="C964" s="74"/>
      <c r="D964" s="74"/>
      <c r="E964" s="74"/>
      <c r="F964" s="74"/>
    </row>
    <row r="965" spans="3:6" ht="12.75">
      <c r="C965" s="74"/>
      <c r="D965" s="74"/>
      <c r="E965" s="74"/>
      <c r="F965" s="74"/>
    </row>
    <row r="966" spans="3:6" ht="12.75">
      <c r="C966" s="74"/>
      <c r="D966" s="74"/>
      <c r="E966" s="74"/>
      <c r="F966" s="74"/>
    </row>
    <row r="967" spans="3:6" ht="12.75">
      <c r="C967" s="74"/>
      <c r="D967" s="74"/>
      <c r="E967" s="74"/>
      <c r="F967" s="74"/>
    </row>
    <row r="968" spans="3:6" ht="12.75">
      <c r="C968" s="74"/>
      <c r="D968" s="74"/>
      <c r="E968" s="74"/>
      <c r="F968" s="74"/>
    </row>
    <row r="969" spans="3:6" ht="12.75">
      <c r="C969" s="74"/>
      <c r="D969" s="74"/>
      <c r="E969" s="74"/>
      <c r="F969" s="74"/>
    </row>
    <row r="970" spans="3:6" ht="12.75">
      <c r="C970" s="74"/>
      <c r="D970" s="74"/>
      <c r="E970" s="74"/>
      <c r="F970" s="74"/>
    </row>
    <row r="971" spans="3:6" ht="12.75">
      <c r="C971" s="74"/>
      <c r="D971" s="74"/>
      <c r="E971" s="74"/>
      <c r="F971" s="74"/>
    </row>
    <row r="972" spans="3:6" ht="12.75">
      <c r="C972" s="74"/>
      <c r="D972" s="74"/>
      <c r="E972" s="74"/>
      <c r="F972" s="74"/>
    </row>
    <row r="973" spans="3:6" ht="12.75">
      <c r="C973" s="74"/>
      <c r="D973" s="74"/>
      <c r="E973" s="74"/>
      <c r="F973" s="74"/>
    </row>
    <row r="974" spans="3:6" ht="12.75">
      <c r="C974" s="74"/>
      <c r="D974" s="74"/>
      <c r="E974" s="74"/>
      <c r="F974" s="74"/>
    </row>
    <row r="975" spans="3:6" ht="12.75">
      <c r="C975" s="74"/>
      <c r="D975" s="74"/>
      <c r="E975" s="74"/>
      <c r="F975" s="74"/>
    </row>
    <row r="976" spans="3:6" ht="12.75">
      <c r="C976" s="74"/>
      <c r="D976" s="74"/>
      <c r="E976" s="74"/>
      <c r="F976" s="74"/>
    </row>
    <row r="977" spans="3:6" ht="12.75">
      <c r="C977" s="74"/>
      <c r="D977" s="74"/>
      <c r="E977" s="74"/>
      <c r="F977" s="74"/>
    </row>
    <row r="978" spans="3:6" ht="12.75">
      <c r="C978" s="74"/>
      <c r="D978" s="74"/>
      <c r="E978" s="74"/>
      <c r="F978" s="74"/>
    </row>
    <row r="979" spans="3:6" ht="12.75">
      <c r="C979" s="74"/>
      <c r="D979" s="74"/>
      <c r="E979" s="74"/>
      <c r="F979" s="74"/>
    </row>
    <row r="980" spans="3:6" ht="12.75">
      <c r="C980" s="74"/>
      <c r="D980" s="74"/>
      <c r="E980" s="74"/>
      <c r="F980" s="74"/>
    </row>
    <row r="981" spans="3:6" ht="12.75">
      <c r="C981" s="74"/>
      <c r="D981" s="74"/>
      <c r="E981" s="74"/>
      <c r="F981" s="74"/>
    </row>
    <row r="982" spans="3:6" ht="12.75">
      <c r="C982" s="74"/>
      <c r="D982" s="74"/>
      <c r="E982" s="74"/>
      <c r="F982" s="74"/>
    </row>
    <row r="983" spans="3:6" ht="12.75">
      <c r="C983" s="74"/>
      <c r="D983" s="74"/>
      <c r="E983" s="74"/>
      <c r="F983" s="74"/>
    </row>
    <row r="984" spans="3:6" ht="12.75">
      <c r="C984" s="74"/>
      <c r="D984" s="74"/>
      <c r="E984" s="74"/>
      <c r="F984" s="74"/>
    </row>
    <row r="985" spans="3:6" ht="12.75">
      <c r="C985" s="74"/>
      <c r="D985" s="74"/>
      <c r="E985" s="74"/>
      <c r="F985" s="74"/>
    </row>
    <row r="986" spans="3:6" ht="12.75">
      <c r="C986" s="74"/>
      <c r="D986" s="74"/>
      <c r="E986" s="74"/>
      <c r="F986" s="74"/>
    </row>
    <row r="987" spans="3:6" ht="12.75">
      <c r="C987" s="74"/>
      <c r="D987" s="74"/>
      <c r="E987" s="74"/>
      <c r="F987" s="74"/>
    </row>
    <row r="988" spans="3:6" ht="12.75">
      <c r="C988" s="74"/>
      <c r="D988" s="74"/>
      <c r="E988" s="74"/>
      <c r="F988" s="74"/>
    </row>
    <row r="989" spans="3:6" ht="12.75">
      <c r="C989" s="74"/>
      <c r="D989" s="74"/>
      <c r="E989" s="74"/>
      <c r="F989" s="74"/>
    </row>
    <row r="990" spans="3:6" ht="12.75">
      <c r="C990" s="74"/>
      <c r="D990" s="74"/>
      <c r="E990" s="74"/>
      <c r="F990" s="74"/>
    </row>
    <row r="991" spans="3:6" ht="12.75">
      <c r="C991" s="74"/>
      <c r="D991" s="74"/>
      <c r="E991" s="74"/>
      <c r="F991" s="74"/>
    </row>
    <row r="992" spans="3:6" ht="12.75">
      <c r="C992" s="74"/>
      <c r="D992" s="74"/>
      <c r="E992" s="74"/>
      <c r="F992" s="74"/>
    </row>
    <row r="993" spans="3:6" ht="12.75">
      <c r="C993" s="74"/>
      <c r="D993" s="74"/>
      <c r="E993" s="74"/>
      <c r="F993" s="74"/>
    </row>
    <row r="994" spans="3:6" ht="12.75">
      <c r="C994" s="74"/>
      <c r="D994" s="74"/>
      <c r="E994" s="74"/>
      <c r="F994" s="74"/>
    </row>
    <row r="995" spans="3:6" ht="12.75">
      <c r="C995" s="74"/>
      <c r="D995" s="74"/>
      <c r="E995" s="74"/>
      <c r="F995" s="74"/>
    </row>
    <row r="996" spans="3:6" ht="12.75">
      <c r="C996" s="74"/>
      <c r="D996" s="74"/>
      <c r="E996" s="74"/>
      <c r="F996" s="74"/>
    </row>
    <row r="997" spans="3:6" ht="12.75">
      <c r="C997" s="74"/>
      <c r="D997" s="74"/>
      <c r="E997" s="74"/>
      <c r="F997" s="74"/>
    </row>
    <row r="998" spans="3:6" ht="12.75">
      <c r="C998" s="74"/>
      <c r="D998" s="74"/>
      <c r="E998" s="74"/>
      <c r="F998" s="74"/>
    </row>
    <row r="999" spans="3:6" ht="12.75">
      <c r="C999" s="74"/>
      <c r="D999" s="74"/>
      <c r="E999" s="74"/>
      <c r="F999" s="74"/>
    </row>
    <row r="1000" spans="3:6" ht="12.75">
      <c r="C1000" s="74"/>
      <c r="D1000" s="74"/>
      <c r="E1000" s="74"/>
      <c r="F1000" s="74"/>
    </row>
  </sheetData>
  <mergeCells count="12">
    <mergeCell ref="A150:G150"/>
    <mergeCell ref="A176:G176"/>
    <mergeCell ref="A20:G20"/>
    <mergeCell ref="A46:G46"/>
    <mergeCell ref="A72:G72"/>
    <mergeCell ref="A98:G98"/>
    <mergeCell ref="A124:G124"/>
    <mergeCell ref="A202:G202"/>
    <mergeCell ref="A228:G228"/>
    <mergeCell ref="A254:G254"/>
    <mergeCell ref="A280:G280"/>
    <mergeCell ref="A297:G297"/>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3:W171"/>
  <sheetViews>
    <sheetView workbookViewId="0"/>
  </sheetViews>
  <sheetFormatPr defaultColWidth="12.5703125" defaultRowHeight="15.75" customHeight="1"/>
  <cols>
    <col min="2" max="2" width="88.85546875" customWidth="1"/>
  </cols>
  <sheetData>
    <row r="3" spans="1:23" ht="15.75" customHeight="1">
      <c r="A3" s="1491"/>
      <c r="B3" s="1488" t="s">
        <v>321</v>
      </c>
      <c r="C3" s="1488" t="s">
        <v>85</v>
      </c>
      <c r="D3" s="1488" t="s">
        <v>92</v>
      </c>
      <c r="E3" s="1488" t="s">
        <v>3889</v>
      </c>
      <c r="F3" s="1488" t="s">
        <v>431</v>
      </c>
      <c r="G3" s="1488" t="s">
        <v>323</v>
      </c>
      <c r="H3" s="1489" t="s">
        <v>324</v>
      </c>
      <c r="I3" s="1442"/>
      <c r="J3" s="1442"/>
      <c r="K3" s="1442"/>
      <c r="L3" s="1442"/>
      <c r="M3" s="1442"/>
      <c r="N3" s="1442"/>
      <c r="O3" s="1442"/>
      <c r="P3" s="1442"/>
      <c r="Q3" s="1442"/>
      <c r="R3" s="1442"/>
      <c r="S3" s="1442"/>
      <c r="T3" s="1442"/>
      <c r="U3" s="1442"/>
      <c r="V3" s="1442"/>
      <c r="W3" s="1443"/>
    </row>
    <row r="4" spans="1:23" ht="15.75" customHeight="1">
      <c r="A4" s="1448"/>
      <c r="B4" s="1448"/>
      <c r="C4" s="1448"/>
      <c r="D4" s="1448"/>
      <c r="E4" s="1448"/>
      <c r="F4" s="1448"/>
      <c r="G4" s="1448"/>
      <c r="H4" s="258" t="s">
        <v>325</v>
      </c>
      <c r="I4" s="258" t="s">
        <v>326</v>
      </c>
      <c r="J4" s="258" t="s">
        <v>327</v>
      </c>
      <c r="K4" s="258" t="s">
        <v>328</v>
      </c>
      <c r="L4" s="258" t="s">
        <v>329</v>
      </c>
      <c r="M4" s="258" t="s">
        <v>330</v>
      </c>
      <c r="N4" s="258" t="s">
        <v>331</v>
      </c>
      <c r="O4" s="258" t="s">
        <v>332</v>
      </c>
      <c r="P4" s="258" t="s">
        <v>333</v>
      </c>
      <c r="Q4" s="258" t="s">
        <v>334</v>
      </c>
      <c r="R4" s="258" t="s">
        <v>335</v>
      </c>
      <c r="S4" s="258" t="s">
        <v>336</v>
      </c>
      <c r="T4" s="258" t="s">
        <v>337</v>
      </c>
      <c r="U4" s="258" t="s">
        <v>338</v>
      </c>
      <c r="V4" s="258" t="s">
        <v>339</v>
      </c>
      <c r="W4" s="258" t="s">
        <v>340</v>
      </c>
    </row>
    <row r="5" spans="1:23" ht="15.75" customHeight="1">
      <c r="A5" s="1016"/>
      <c r="B5" s="1017"/>
      <c r="C5" s="1017"/>
      <c r="D5" s="1017"/>
      <c r="E5" s="1017"/>
      <c r="F5" s="1017"/>
      <c r="G5" s="1017"/>
      <c r="H5" s="1018"/>
      <c r="I5" s="1018"/>
      <c r="J5" s="1018"/>
      <c r="K5" s="1018"/>
      <c r="L5" s="1018"/>
      <c r="M5" s="1018"/>
      <c r="N5" s="1018"/>
      <c r="O5" s="1018"/>
      <c r="P5" s="1018"/>
      <c r="Q5" s="1018"/>
      <c r="R5" s="1018"/>
      <c r="S5" s="1018"/>
      <c r="T5" s="1018"/>
      <c r="U5" s="1018"/>
      <c r="V5" s="1018"/>
      <c r="W5" s="1018"/>
    </row>
    <row r="6" spans="1:23" ht="15.75" customHeight="1">
      <c r="A6" s="1490" t="s">
        <v>3890</v>
      </c>
      <c r="B6" s="1451"/>
      <c r="C6" s="1019"/>
      <c r="D6" s="1020"/>
      <c r="E6" s="1020"/>
      <c r="F6" s="1020"/>
      <c r="G6" s="1019"/>
      <c r="H6" s="1019"/>
      <c r="I6" s="1019"/>
      <c r="J6" s="1019"/>
      <c r="K6" s="1019"/>
      <c r="L6" s="1019"/>
      <c r="M6" s="1019"/>
      <c r="N6" s="1019"/>
      <c r="O6" s="1019"/>
      <c r="P6" s="1019"/>
      <c r="Q6" s="1019"/>
      <c r="R6" s="1019"/>
      <c r="S6" s="1019"/>
      <c r="T6" s="1019"/>
      <c r="U6" s="1019"/>
      <c r="V6" s="1019"/>
      <c r="W6" s="1019"/>
    </row>
    <row r="7" spans="1:23" ht="15.75" customHeight="1">
      <c r="A7" s="1021"/>
      <c r="B7" s="1021" t="s">
        <v>3891</v>
      </c>
      <c r="C7" s="254">
        <v>0</v>
      </c>
      <c r="D7" s="254" t="s">
        <v>895</v>
      </c>
      <c r="E7" s="254"/>
      <c r="F7" s="254" t="s">
        <v>488</v>
      </c>
      <c r="G7" s="254" t="s">
        <v>447</v>
      </c>
      <c r="H7" s="254">
        <v>0</v>
      </c>
      <c r="I7" s="1022"/>
      <c r="J7" s="1022"/>
      <c r="K7" s="1022"/>
      <c r="L7" s="254">
        <v>0</v>
      </c>
      <c r="M7" s="1022"/>
      <c r="N7" s="1022"/>
      <c r="O7" s="1022"/>
      <c r="P7" s="254">
        <v>0</v>
      </c>
      <c r="Q7" s="1022"/>
      <c r="R7" s="1022"/>
      <c r="S7" s="1022"/>
      <c r="T7" s="254">
        <v>0</v>
      </c>
      <c r="U7" s="1022"/>
      <c r="V7" s="1022"/>
      <c r="W7" s="1022"/>
    </row>
    <row r="8" spans="1:23" ht="15.75" customHeight="1">
      <c r="A8" s="1023"/>
      <c r="B8" s="1023" t="s">
        <v>3892</v>
      </c>
      <c r="C8" s="258">
        <v>0</v>
      </c>
      <c r="D8" s="258" t="s">
        <v>895</v>
      </c>
      <c r="E8" s="258"/>
      <c r="F8" s="258" t="s">
        <v>488</v>
      </c>
      <c r="G8" s="258" t="s">
        <v>447</v>
      </c>
      <c r="H8" s="258">
        <v>0</v>
      </c>
      <c r="I8" s="1018"/>
      <c r="J8" s="1018"/>
      <c r="K8" s="1018"/>
      <c r="L8" s="258">
        <v>0</v>
      </c>
      <c r="M8" s="1018"/>
      <c r="N8" s="1018"/>
      <c r="O8" s="1018"/>
      <c r="P8" s="258">
        <v>0</v>
      </c>
      <c r="Q8" s="1018"/>
      <c r="R8" s="1018"/>
      <c r="S8" s="1018"/>
      <c r="T8" s="258">
        <v>0</v>
      </c>
      <c r="U8" s="1018"/>
      <c r="V8" s="1018"/>
      <c r="W8" s="1018"/>
    </row>
    <row r="9" spans="1:23" ht="15.75" customHeight="1">
      <c r="A9" s="1023"/>
      <c r="B9" s="1023" t="s">
        <v>3893</v>
      </c>
      <c r="C9" s="258">
        <v>0</v>
      </c>
      <c r="D9" s="258" t="s">
        <v>895</v>
      </c>
      <c r="E9" s="258"/>
      <c r="F9" s="258" t="s">
        <v>488</v>
      </c>
      <c r="G9" s="258" t="s">
        <v>447</v>
      </c>
      <c r="H9" s="258">
        <v>0</v>
      </c>
      <c r="I9" s="1018"/>
      <c r="J9" s="1018"/>
      <c r="K9" s="1018"/>
      <c r="L9" s="258">
        <v>0</v>
      </c>
      <c r="M9" s="1018"/>
      <c r="N9" s="1018"/>
      <c r="O9" s="1018"/>
      <c r="P9" s="258">
        <v>0</v>
      </c>
      <c r="Q9" s="1018"/>
      <c r="R9" s="1018"/>
      <c r="S9" s="1018"/>
      <c r="T9" s="258">
        <v>0</v>
      </c>
      <c r="U9" s="1018"/>
      <c r="V9" s="1018"/>
      <c r="W9" s="1018"/>
    </row>
    <row r="10" spans="1:23" ht="15.75" customHeight="1">
      <c r="A10" s="1023"/>
      <c r="B10" s="1023" t="s">
        <v>3894</v>
      </c>
      <c r="C10" s="258">
        <v>0</v>
      </c>
      <c r="D10" s="258" t="s">
        <v>895</v>
      </c>
      <c r="E10" s="258"/>
      <c r="F10" s="258" t="s">
        <v>488</v>
      </c>
      <c r="G10" s="258" t="s">
        <v>447</v>
      </c>
      <c r="H10" s="258">
        <v>0</v>
      </c>
      <c r="I10" s="1018"/>
      <c r="J10" s="1018"/>
      <c r="K10" s="1018"/>
      <c r="L10" s="258">
        <v>0</v>
      </c>
      <c r="M10" s="1018"/>
      <c r="N10" s="1018"/>
      <c r="O10" s="1018"/>
      <c r="P10" s="258">
        <v>0</v>
      </c>
      <c r="Q10" s="1018"/>
      <c r="R10" s="1018"/>
      <c r="S10" s="1018"/>
      <c r="T10" s="258">
        <v>0</v>
      </c>
      <c r="U10" s="1018"/>
      <c r="V10" s="1018"/>
      <c r="W10" s="1018"/>
    </row>
    <row r="11" spans="1:23" ht="15.75" customHeight="1">
      <c r="A11" s="1023"/>
      <c r="B11" s="1023" t="s">
        <v>3895</v>
      </c>
      <c r="C11" s="258">
        <v>0</v>
      </c>
      <c r="D11" s="258" t="s">
        <v>895</v>
      </c>
      <c r="E11" s="258"/>
      <c r="F11" s="258" t="s">
        <v>488</v>
      </c>
      <c r="G11" s="258" t="s">
        <v>447</v>
      </c>
      <c r="H11" s="258">
        <v>0</v>
      </c>
      <c r="I11" s="1018"/>
      <c r="J11" s="1018"/>
      <c r="K11" s="1018"/>
      <c r="L11" s="258">
        <v>0</v>
      </c>
      <c r="M11" s="1018"/>
      <c r="N11" s="1018"/>
      <c r="O11" s="1018"/>
      <c r="P11" s="258">
        <v>0</v>
      </c>
      <c r="Q11" s="1018"/>
      <c r="R11" s="1018"/>
      <c r="S11" s="1018"/>
      <c r="T11" s="258">
        <v>0</v>
      </c>
      <c r="U11" s="1018"/>
      <c r="V11" s="1018"/>
      <c r="W11" s="1018"/>
    </row>
    <row r="12" spans="1:23" ht="15.75" customHeight="1">
      <c r="A12" s="1023"/>
      <c r="B12" s="1023" t="s">
        <v>3896</v>
      </c>
      <c r="C12" s="258">
        <v>0</v>
      </c>
      <c r="D12" s="258" t="s">
        <v>895</v>
      </c>
      <c r="E12" s="258"/>
      <c r="F12" s="258" t="s">
        <v>488</v>
      </c>
      <c r="G12" s="258" t="s">
        <v>447</v>
      </c>
      <c r="H12" s="258">
        <v>0</v>
      </c>
      <c r="I12" s="1018"/>
      <c r="J12" s="1018"/>
      <c r="K12" s="1018"/>
      <c r="L12" s="258">
        <v>0</v>
      </c>
      <c r="M12" s="1018"/>
      <c r="N12" s="1018"/>
      <c r="O12" s="1018"/>
      <c r="P12" s="258">
        <v>0</v>
      </c>
      <c r="Q12" s="1018"/>
      <c r="R12" s="1018"/>
      <c r="S12" s="1018"/>
      <c r="T12" s="258">
        <v>0</v>
      </c>
      <c r="U12" s="1018"/>
      <c r="V12" s="1018"/>
      <c r="W12" s="1018"/>
    </row>
    <row r="13" spans="1:23" ht="15.75" customHeight="1">
      <c r="A13" s="1023"/>
      <c r="B13" s="1023" t="s">
        <v>3897</v>
      </c>
      <c r="C13" s="258">
        <v>0</v>
      </c>
      <c r="D13" s="258" t="s">
        <v>92</v>
      </c>
      <c r="E13" s="258"/>
      <c r="F13" s="258" t="s">
        <v>488</v>
      </c>
      <c r="G13" s="258" t="s">
        <v>447</v>
      </c>
      <c r="H13" s="258">
        <v>0</v>
      </c>
      <c r="I13" s="1018"/>
      <c r="J13" s="1018"/>
      <c r="K13" s="1018"/>
      <c r="L13" s="258">
        <v>0</v>
      </c>
      <c r="M13" s="1018"/>
      <c r="N13" s="1018"/>
      <c r="O13" s="1018"/>
      <c r="P13" s="258">
        <v>0</v>
      </c>
      <c r="Q13" s="1018"/>
      <c r="R13" s="1018"/>
      <c r="S13" s="1018"/>
      <c r="T13" s="258">
        <v>0</v>
      </c>
      <c r="U13" s="1018"/>
      <c r="V13" s="1018"/>
      <c r="W13" s="1018"/>
    </row>
    <row r="14" spans="1:23" ht="15.75" customHeight="1">
      <c r="A14" s="1023"/>
      <c r="B14" s="1023" t="s">
        <v>3898</v>
      </c>
      <c r="C14" s="258">
        <v>0</v>
      </c>
      <c r="D14" s="258" t="s">
        <v>3047</v>
      </c>
      <c r="E14" s="258"/>
      <c r="F14" s="258" t="s">
        <v>488</v>
      </c>
      <c r="G14" s="258" t="s">
        <v>447</v>
      </c>
      <c r="H14" s="258">
        <v>0</v>
      </c>
      <c r="I14" s="1018"/>
      <c r="J14" s="1018"/>
      <c r="K14" s="1018"/>
      <c r="L14" s="258">
        <v>0</v>
      </c>
      <c r="M14" s="1018"/>
      <c r="N14" s="1018"/>
      <c r="O14" s="1018"/>
      <c r="P14" s="258">
        <v>0</v>
      </c>
      <c r="Q14" s="1018"/>
      <c r="R14" s="1018"/>
      <c r="S14" s="1018"/>
      <c r="T14" s="258">
        <v>0</v>
      </c>
      <c r="U14" s="1018"/>
      <c r="V14" s="1018"/>
      <c r="W14" s="1018"/>
    </row>
    <row r="15" spans="1:23" ht="15.75" customHeight="1">
      <c r="A15" s="1023"/>
      <c r="B15" s="1023" t="s">
        <v>3899</v>
      </c>
      <c r="C15" s="258">
        <v>0</v>
      </c>
      <c r="D15" s="258" t="s">
        <v>3047</v>
      </c>
      <c r="E15" s="258"/>
      <c r="F15" s="258" t="s">
        <v>488</v>
      </c>
      <c r="G15" s="258" t="s">
        <v>447</v>
      </c>
      <c r="H15" s="258">
        <v>0</v>
      </c>
      <c r="I15" s="1018"/>
      <c r="J15" s="1018"/>
      <c r="K15" s="1018"/>
      <c r="L15" s="258">
        <v>0</v>
      </c>
      <c r="M15" s="1018"/>
      <c r="N15" s="1018"/>
      <c r="O15" s="1018"/>
      <c r="P15" s="258">
        <v>0</v>
      </c>
      <c r="Q15" s="1018"/>
      <c r="R15" s="1018"/>
      <c r="S15" s="1018"/>
      <c r="T15" s="258">
        <v>0</v>
      </c>
      <c r="U15" s="1018"/>
      <c r="V15" s="1018"/>
      <c r="W15" s="1018"/>
    </row>
    <row r="16" spans="1:23" ht="15.75" customHeight="1">
      <c r="A16" s="1023"/>
      <c r="B16" s="1023" t="s">
        <v>3900</v>
      </c>
      <c r="C16" s="258">
        <v>0</v>
      </c>
      <c r="D16" s="258" t="s">
        <v>601</v>
      </c>
      <c r="E16" s="258"/>
      <c r="F16" s="258" t="s">
        <v>488</v>
      </c>
      <c r="G16" s="258" t="s">
        <v>447</v>
      </c>
      <c r="H16" s="258">
        <v>0</v>
      </c>
      <c r="I16" s="1018"/>
      <c r="J16" s="1018"/>
      <c r="K16" s="1018"/>
      <c r="L16" s="258">
        <v>0</v>
      </c>
      <c r="M16" s="1018"/>
      <c r="N16" s="1018"/>
      <c r="O16" s="1018"/>
      <c r="P16" s="258">
        <v>0</v>
      </c>
      <c r="Q16" s="1018"/>
      <c r="R16" s="1018"/>
      <c r="S16" s="1018"/>
      <c r="T16" s="258">
        <v>0</v>
      </c>
      <c r="U16" s="1018"/>
      <c r="V16" s="1018"/>
      <c r="W16" s="1018"/>
    </row>
    <row r="17" spans="1:23" ht="15.75" customHeight="1">
      <c r="A17" s="1023"/>
      <c r="B17" s="1023" t="s">
        <v>3901</v>
      </c>
      <c r="C17" s="258">
        <v>0</v>
      </c>
      <c r="D17" s="258" t="s">
        <v>601</v>
      </c>
      <c r="E17" s="258"/>
      <c r="F17" s="258" t="s">
        <v>488</v>
      </c>
      <c r="G17" s="258" t="s">
        <v>447</v>
      </c>
      <c r="H17" s="258">
        <v>0</v>
      </c>
      <c r="I17" s="1018"/>
      <c r="J17" s="1018"/>
      <c r="K17" s="1018"/>
      <c r="L17" s="258">
        <v>0</v>
      </c>
      <c r="M17" s="1018"/>
      <c r="N17" s="1018"/>
      <c r="O17" s="1018"/>
      <c r="P17" s="258">
        <v>0</v>
      </c>
      <c r="Q17" s="1018"/>
      <c r="R17" s="1018"/>
      <c r="S17" s="1018"/>
      <c r="T17" s="258">
        <v>0</v>
      </c>
      <c r="U17" s="1018"/>
      <c r="V17" s="1018"/>
      <c r="W17" s="1018"/>
    </row>
    <row r="18" spans="1:23" ht="15.75" customHeight="1">
      <c r="A18" s="1023"/>
      <c r="B18" s="1023" t="s">
        <v>3902</v>
      </c>
      <c r="C18" s="258">
        <v>0</v>
      </c>
      <c r="D18" s="258" t="s">
        <v>601</v>
      </c>
      <c r="E18" s="258"/>
      <c r="F18" s="258" t="s">
        <v>488</v>
      </c>
      <c r="G18" s="258" t="s">
        <v>447</v>
      </c>
      <c r="H18" s="258">
        <v>0</v>
      </c>
      <c r="I18" s="1018"/>
      <c r="J18" s="1018"/>
      <c r="K18" s="1018"/>
      <c r="L18" s="258">
        <v>0</v>
      </c>
      <c r="M18" s="1018"/>
      <c r="N18" s="1018"/>
      <c r="O18" s="1018"/>
      <c r="P18" s="258">
        <v>0</v>
      </c>
      <c r="Q18" s="1018"/>
      <c r="R18" s="1018"/>
      <c r="S18" s="1018"/>
      <c r="T18" s="258">
        <v>0</v>
      </c>
      <c r="U18" s="1018"/>
      <c r="V18" s="1018"/>
      <c r="W18" s="1018"/>
    </row>
    <row r="19" spans="1:23" ht="15.75" customHeight="1">
      <c r="A19" s="1023"/>
      <c r="B19" s="1023" t="s">
        <v>3903</v>
      </c>
      <c r="C19" s="258">
        <v>0</v>
      </c>
      <c r="D19" s="258" t="s">
        <v>601</v>
      </c>
      <c r="E19" s="258"/>
      <c r="F19" s="258" t="s">
        <v>488</v>
      </c>
      <c r="G19" s="258" t="s">
        <v>447</v>
      </c>
      <c r="H19" s="258">
        <v>0</v>
      </c>
      <c r="I19" s="1018"/>
      <c r="J19" s="1018"/>
      <c r="K19" s="1018"/>
      <c r="L19" s="258">
        <v>0</v>
      </c>
      <c r="M19" s="1018"/>
      <c r="N19" s="1018"/>
      <c r="O19" s="1018"/>
      <c r="P19" s="258">
        <v>0</v>
      </c>
      <c r="Q19" s="1018"/>
      <c r="R19" s="1018"/>
      <c r="S19" s="1018"/>
      <c r="T19" s="258">
        <v>0</v>
      </c>
      <c r="U19" s="1018"/>
      <c r="V19" s="1018"/>
      <c r="W19" s="1018"/>
    </row>
    <row r="20" spans="1:23" ht="15.75" customHeight="1">
      <c r="A20" s="1023"/>
      <c r="B20" s="1023" t="s">
        <v>3904</v>
      </c>
      <c r="C20" s="258">
        <v>0</v>
      </c>
      <c r="D20" s="258" t="s">
        <v>601</v>
      </c>
      <c r="E20" s="258"/>
      <c r="F20" s="258" t="s">
        <v>488</v>
      </c>
      <c r="G20" s="258" t="s">
        <v>447</v>
      </c>
      <c r="H20" s="258">
        <v>0</v>
      </c>
      <c r="I20" s="1018"/>
      <c r="J20" s="1018"/>
      <c r="K20" s="1018"/>
      <c r="L20" s="258">
        <v>0</v>
      </c>
      <c r="M20" s="1018"/>
      <c r="N20" s="1018"/>
      <c r="O20" s="1018"/>
      <c r="P20" s="258">
        <v>0</v>
      </c>
      <c r="Q20" s="1018"/>
      <c r="R20" s="1018"/>
      <c r="S20" s="1018"/>
      <c r="T20" s="258">
        <v>0</v>
      </c>
      <c r="U20" s="1018"/>
      <c r="V20" s="1018"/>
      <c r="W20" s="1018"/>
    </row>
    <row r="21" spans="1:23" ht="15.75" customHeight="1">
      <c r="A21" s="1023"/>
      <c r="B21" s="1023" t="s">
        <v>3905</v>
      </c>
      <c r="C21" s="258">
        <v>0</v>
      </c>
      <c r="D21" s="258" t="s">
        <v>601</v>
      </c>
      <c r="E21" s="258"/>
      <c r="F21" s="258" t="s">
        <v>488</v>
      </c>
      <c r="G21" s="258" t="s">
        <v>447</v>
      </c>
      <c r="H21" s="258">
        <v>0</v>
      </c>
      <c r="I21" s="1018"/>
      <c r="J21" s="1018"/>
      <c r="K21" s="1018"/>
      <c r="L21" s="258">
        <v>0</v>
      </c>
      <c r="M21" s="1018"/>
      <c r="N21" s="1018"/>
      <c r="O21" s="1018"/>
      <c r="P21" s="258">
        <v>0</v>
      </c>
      <c r="Q21" s="1018"/>
      <c r="R21" s="1018"/>
      <c r="S21" s="1018"/>
      <c r="T21" s="258">
        <v>0</v>
      </c>
      <c r="U21" s="1018"/>
      <c r="V21" s="1018"/>
      <c r="W21" s="1018"/>
    </row>
    <row r="22" spans="1:23" ht="15.75" customHeight="1">
      <c r="A22" s="1023"/>
      <c r="B22" s="1023" t="s">
        <v>3906</v>
      </c>
      <c r="C22" s="258">
        <v>0</v>
      </c>
      <c r="D22" s="258" t="s">
        <v>601</v>
      </c>
      <c r="E22" s="258"/>
      <c r="F22" s="258" t="s">
        <v>488</v>
      </c>
      <c r="G22" s="258" t="s">
        <v>447</v>
      </c>
      <c r="H22" s="258">
        <v>0</v>
      </c>
      <c r="I22" s="1018"/>
      <c r="J22" s="1018"/>
      <c r="K22" s="1018"/>
      <c r="L22" s="258">
        <v>0</v>
      </c>
      <c r="M22" s="1018"/>
      <c r="N22" s="1018"/>
      <c r="O22" s="1018"/>
      <c r="P22" s="258">
        <v>0</v>
      </c>
      <c r="Q22" s="1018"/>
      <c r="R22" s="1018"/>
      <c r="S22" s="1018"/>
      <c r="T22" s="258">
        <v>0</v>
      </c>
      <c r="U22" s="1018"/>
      <c r="V22" s="1018"/>
      <c r="W22" s="1018"/>
    </row>
    <row r="23" spans="1:23" ht="15.75" customHeight="1">
      <c r="A23" s="1023"/>
      <c r="B23" s="1023" t="s">
        <v>3907</v>
      </c>
      <c r="C23" s="258">
        <v>0</v>
      </c>
      <c r="D23" s="258" t="s">
        <v>3047</v>
      </c>
      <c r="E23" s="258"/>
      <c r="F23" s="258" t="s">
        <v>488</v>
      </c>
      <c r="G23" s="258" t="s">
        <v>447</v>
      </c>
      <c r="H23" s="258">
        <v>0</v>
      </c>
      <c r="I23" s="1018"/>
      <c r="J23" s="1018"/>
      <c r="K23" s="1018"/>
      <c r="L23" s="258">
        <v>0</v>
      </c>
      <c r="M23" s="1018"/>
      <c r="N23" s="1018"/>
      <c r="O23" s="1018"/>
      <c r="P23" s="258">
        <v>0</v>
      </c>
      <c r="Q23" s="1018"/>
      <c r="R23" s="1018"/>
      <c r="S23" s="1018"/>
      <c r="T23" s="258">
        <v>0</v>
      </c>
      <c r="U23" s="1018"/>
      <c r="V23" s="1018"/>
      <c r="W23" s="1018"/>
    </row>
    <row r="24" spans="1:23" ht="15.75" customHeight="1">
      <c r="A24" s="1023"/>
      <c r="B24" s="1023" t="s">
        <v>3908</v>
      </c>
      <c r="C24" s="258">
        <v>0</v>
      </c>
      <c r="D24" s="258" t="s">
        <v>3047</v>
      </c>
      <c r="E24" s="258"/>
      <c r="F24" s="258" t="s">
        <v>488</v>
      </c>
      <c r="G24" s="258" t="s">
        <v>447</v>
      </c>
      <c r="H24" s="258">
        <v>0</v>
      </c>
      <c r="I24" s="1018"/>
      <c r="J24" s="1018"/>
      <c r="K24" s="1018"/>
      <c r="L24" s="258">
        <v>0</v>
      </c>
      <c r="M24" s="1018"/>
      <c r="N24" s="1018"/>
      <c r="O24" s="1018"/>
      <c r="P24" s="258">
        <v>0</v>
      </c>
      <c r="Q24" s="1018"/>
      <c r="R24" s="1018"/>
      <c r="S24" s="1018"/>
      <c r="T24" s="258">
        <v>0</v>
      </c>
      <c r="U24" s="1018"/>
      <c r="V24" s="1018"/>
      <c r="W24" s="1018"/>
    </row>
    <row r="25" spans="1:23" ht="15.75" customHeight="1">
      <c r="A25" s="1023"/>
      <c r="B25" s="1023" t="s">
        <v>3909</v>
      </c>
      <c r="C25" s="258">
        <v>0</v>
      </c>
      <c r="D25" s="258" t="s">
        <v>3047</v>
      </c>
      <c r="E25" s="258"/>
      <c r="F25" s="258" t="s">
        <v>488</v>
      </c>
      <c r="G25" s="258" t="s">
        <v>447</v>
      </c>
      <c r="H25" s="258">
        <v>0</v>
      </c>
      <c r="I25" s="1018"/>
      <c r="J25" s="1018"/>
      <c r="K25" s="1018"/>
      <c r="L25" s="258">
        <v>0</v>
      </c>
      <c r="M25" s="1018"/>
      <c r="N25" s="1018"/>
      <c r="O25" s="1018"/>
      <c r="P25" s="258">
        <v>0</v>
      </c>
      <c r="Q25" s="1018"/>
      <c r="R25" s="1018"/>
      <c r="S25" s="1018"/>
      <c r="T25" s="258">
        <v>0</v>
      </c>
      <c r="U25" s="1018"/>
      <c r="V25" s="1018"/>
      <c r="W25" s="1018"/>
    </row>
    <row r="26" spans="1:23" ht="15.75" customHeight="1">
      <c r="A26" s="1023"/>
      <c r="B26" s="1023" t="s">
        <v>3910</v>
      </c>
      <c r="C26" s="258">
        <v>0</v>
      </c>
      <c r="D26" s="258" t="s">
        <v>155</v>
      </c>
      <c r="E26" s="258"/>
      <c r="F26" s="258" t="s">
        <v>488</v>
      </c>
      <c r="G26" s="258" t="s">
        <v>447</v>
      </c>
      <c r="H26" s="258">
        <v>0</v>
      </c>
      <c r="I26" s="1018"/>
      <c r="J26" s="1018"/>
      <c r="K26" s="1018"/>
      <c r="L26" s="258">
        <v>0</v>
      </c>
      <c r="M26" s="1018"/>
      <c r="N26" s="1018"/>
      <c r="O26" s="1018"/>
      <c r="P26" s="258">
        <v>0</v>
      </c>
      <c r="Q26" s="1018"/>
      <c r="R26" s="1018"/>
      <c r="S26" s="1018"/>
      <c r="T26" s="258">
        <v>0</v>
      </c>
      <c r="U26" s="1018"/>
      <c r="V26" s="1018"/>
      <c r="W26" s="1018"/>
    </row>
    <row r="27" spans="1:23" ht="15.75" customHeight="1">
      <c r="A27" s="1023"/>
      <c r="B27" s="1023" t="s">
        <v>3911</v>
      </c>
      <c r="C27" s="258">
        <v>0</v>
      </c>
      <c r="D27" s="258" t="s">
        <v>3912</v>
      </c>
      <c r="E27" s="258"/>
      <c r="F27" s="258" t="s">
        <v>488</v>
      </c>
      <c r="G27" s="258" t="s">
        <v>447</v>
      </c>
      <c r="H27" s="258">
        <v>0</v>
      </c>
      <c r="I27" s="1018"/>
      <c r="J27" s="1018"/>
      <c r="K27" s="1018"/>
      <c r="L27" s="258">
        <v>0</v>
      </c>
      <c r="M27" s="1018"/>
      <c r="N27" s="1018"/>
      <c r="O27" s="1018"/>
      <c r="P27" s="258">
        <v>0</v>
      </c>
      <c r="Q27" s="1018"/>
      <c r="R27" s="1018"/>
      <c r="S27" s="1018"/>
      <c r="T27" s="258">
        <v>0</v>
      </c>
      <c r="U27" s="1018"/>
      <c r="V27" s="1018"/>
      <c r="W27" s="1018"/>
    </row>
    <row r="28" spans="1:23" ht="15.75" customHeight="1">
      <c r="A28" s="1023"/>
      <c r="B28" s="1023" t="s">
        <v>3913</v>
      </c>
      <c r="C28" s="258">
        <v>0</v>
      </c>
      <c r="D28" s="258" t="s">
        <v>3912</v>
      </c>
      <c r="E28" s="258"/>
      <c r="F28" s="258" t="s">
        <v>488</v>
      </c>
      <c r="G28" s="258" t="s">
        <v>447</v>
      </c>
      <c r="H28" s="258">
        <v>0</v>
      </c>
      <c r="I28" s="1018"/>
      <c r="J28" s="1018"/>
      <c r="K28" s="1018"/>
      <c r="L28" s="258">
        <v>0</v>
      </c>
      <c r="M28" s="1018"/>
      <c r="N28" s="1018"/>
      <c r="O28" s="1018"/>
      <c r="P28" s="258">
        <v>0</v>
      </c>
      <c r="Q28" s="1018"/>
      <c r="R28" s="1018"/>
      <c r="S28" s="1018"/>
      <c r="T28" s="258">
        <v>0</v>
      </c>
      <c r="U28" s="1018"/>
      <c r="V28" s="1018"/>
      <c r="W28" s="1018"/>
    </row>
    <row r="29" spans="1:23" ht="15.75" customHeight="1">
      <c r="A29" s="1023"/>
      <c r="B29" s="1023" t="s">
        <v>3914</v>
      </c>
      <c r="C29" s="258">
        <v>0</v>
      </c>
      <c r="D29" s="258" t="s">
        <v>3912</v>
      </c>
      <c r="E29" s="258"/>
      <c r="F29" s="258" t="s">
        <v>488</v>
      </c>
      <c r="G29" s="258" t="s">
        <v>447</v>
      </c>
      <c r="H29" s="258">
        <v>0</v>
      </c>
      <c r="I29" s="1018"/>
      <c r="J29" s="1018"/>
      <c r="K29" s="1018"/>
      <c r="L29" s="258">
        <v>0</v>
      </c>
      <c r="M29" s="1018"/>
      <c r="N29" s="1018"/>
      <c r="O29" s="1018"/>
      <c r="P29" s="258">
        <v>0</v>
      </c>
      <c r="Q29" s="1018"/>
      <c r="R29" s="1018"/>
      <c r="S29" s="1018"/>
      <c r="T29" s="258">
        <v>0</v>
      </c>
      <c r="U29" s="1018"/>
      <c r="V29" s="1018"/>
      <c r="W29" s="1018"/>
    </row>
    <row r="30" spans="1:23" ht="15.75" customHeight="1">
      <c r="A30" s="1023"/>
      <c r="B30" s="1023" t="s">
        <v>3915</v>
      </c>
      <c r="C30" s="258">
        <v>0</v>
      </c>
      <c r="D30" s="258" t="s">
        <v>3912</v>
      </c>
      <c r="E30" s="258"/>
      <c r="F30" s="258" t="s">
        <v>488</v>
      </c>
      <c r="G30" s="258" t="s">
        <v>447</v>
      </c>
      <c r="H30" s="258">
        <v>0</v>
      </c>
      <c r="I30" s="1018"/>
      <c r="J30" s="1018"/>
      <c r="K30" s="1018"/>
      <c r="L30" s="258">
        <v>0</v>
      </c>
      <c r="M30" s="1018"/>
      <c r="N30" s="1018"/>
      <c r="O30" s="1018"/>
      <c r="P30" s="258">
        <v>0</v>
      </c>
      <c r="Q30" s="1018"/>
      <c r="R30" s="1018"/>
      <c r="S30" s="1018"/>
      <c r="T30" s="258">
        <v>0</v>
      </c>
      <c r="U30" s="1018"/>
      <c r="V30" s="1018"/>
      <c r="W30" s="1018"/>
    </row>
    <row r="31" spans="1:23" ht="15.75" customHeight="1">
      <c r="A31" s="1023"/>
      <c r="B31" s="1023" t="s">
        <v>3916</v>
      </c>
      <c r="C31" s="258">
        <v>0</v>
      </c>
      <c r="D31" s="258" t="s">
        <v>3047</v>
      </c>
      <c r="E31" s="258"/>
      <c r="F31" s="258" t="s">
        <v>488</v>
      </c>
      <c r="G31" s="258" t="s">
        <v>447</v>
      </c>
      <c r="H31" s="258">
        <v>0</v>
      </c>
      <c r="I31" s="1018"/>
      <c r="J31" s="1018"/>
      <c r="K31" s="1018"/>
      <c r="L31" s="258">
        <v>0</v>
      </c>
      <c r="M31" s="1018"/>
      <c r="N31" s="1018"/>
      <c r="O31" s="1018"/>
      <c r="P31" s="258">
        <v>0</v>
      </c>
      <c r="Q31" s="1018"/>
      <c r="R31" s="1018"/>
      <c r="S31" s="1018"/>
      <c r="T31" s="258">
        <v>0</v>
      </c>
      <c r="U31" s="1018"/>
      <c r="V31" s="1018"/>
      <c r="W31" s="1018"/>
    </row>
    <row r="32" spans="1:23" ht="15.75" customHeight="1">
      <c r="A32" s="1023"/>
      <c r="B32" s="1023" t="s">
        <v>3917</v>
      </c>
      <c r="C32" s="258">
        <v>0</v>
      </c>
      <c r="D32" s="258" t="s">
        <v>3047</v>
      </c>
      <c r="E32" s="258"/>
      <c r="F32" s="258" t="s">
        <v>488</v>
      </c>
      <c r="G32" s="258" t="s">
        <v>447</v>
      </c>
      <c r="H32" s="258">
        <v>0</v>
      </c>
      <c r="I32" s="1018"/>
      <c r="J32" s="1018"/>
      <c r="K32" s="1018"/>
      <c r="L32" s="258">
        <v>0</v>
      </c>
      <c r="M32" s="1018"/>
      <c r="N32" s="1018"/>
      <c r="O32" s="1018"/>
      <c r="P32" s="258">
        <v>0</v>
      </c>
      <c r="Q32" s="1018"/>
      <c r="R32" s="1018"/>
      <c r="S32" s="1018"/>
      <c r="T32" s="258">
        <v>0</v>
      </c>
      <c r="U32" s="1018"/>
      <c r="V32" s="1018"/>
      <c r="W32" s="1018"/>
    </row>
    <row r="33" spans="1:23" ht="15.75" customHeight="1">
      <c r="A33" s="1023"/>
      <c r="B33" s="1023" t="s">
        <v>3918</v>
      </c>
      <c r="C33" s="258">
        <v>0</v>
      </c>
      <c r="D33" s="258" t="s">
        <v>3047</v>
      </c>
      <c r="E33" s="258"/>
      <c r="F33" s="258" t="s">
        <v>488</v>
      </c>
      <c r="G33" s="258" t="s">
        <v>447</v>
      </c>
      <c r="H33" s="258">
        <v>0</v>
      </c>
      <c r="I33" s="1018"/>
      <c r="J33" s="1018"/>
      <c r="K33" s="1018"/>
      <c r="L33" s="258">
        <v>0</v>
      </c>
      <c r="M33" s="1018"/>
      <c r="N33" s="1018"/>
      <c r="O33" s="1018"/>
      <c r="P33" s="258">
        <v>0</v>
      </c>
      <c r="Q33" s="1018"/>
      <c r="R33" s="1018"/>
      <c r="S33" s="1018"/>
      <c r="T33" s="258">
        <v>0</v>
      </c>
      <c r="U33" s="1018"/>
      <c r="V33" s="1018"/>
      <c r="W33" s="1018"/>
    </row>
    <row r="34" spans="1:23" ht="15.75" customHeight="1">
      <c r="A34" s="1023"/>
      <c r="B34" s="1023" t="s">
        <v>3919</v>
      </c>
      <c r="C34" s="258">
        <v>0</v>
      </c>
      <c r="D34" s="258" t="s">
        <v>3639</v>
      </c>
      <c r="E34" s="258"/>
      <c r="F34" s="258" t="s">
        <v>488</v>
      </c>
      <c r="G34" s="258" t="s">
        <v>447</v>
      </c>
      <c r="H34" s="258">
        <v>0</v>
      </c>
      <c r="I34" s="1018"/>
      <c r="J34" s="1018"/>
      <c r="K34" s="1018"/>
      <c r="L34" s="258">
        <v>0</v>
      </c>
      <c r="M34" s="1018"/>
      <c r="N34" s="1018"/>
      <c r="O34" s="1018"/>
      <c r="P34" s="258">
        <v>0</v>
      </c>
      <c r="Q34" s="1018"/>
      <c r="R34" s="1018"/>
      <c r="S34" s="1018"/>
      <c r="T34" s="258">
        <v>0</v>
      </c>
      <c r="U34" s="1018"/>
      <c r="V34" s="1018"/>
      <c r="W34" s="1018"/>
    </row>
    <row r="35" spans="1:23" ht="15.75" customHeight="1">
      <c r="A35" s="1023"/>
      <c r="B35" s="1023" t="s">
        <v>3920</v>
      </c>
      <c r="C35" s="258">
        <v>0</v>
      </c>
      <c r="D35" s="258" t="s">
        <v>601</v>
      </c>
      <c r="E35" s="258"/>
      <c r="F35" s="258" t="s">
        <v>488</v>
      </c>
      <c r="G35" s="258" t="s">
        <v>447</v>
      </c>
      <c r="H35" s="258">
        <v>0</v>
      </c>
      <c r="I35" s="1018"/>
      <c r="J35" s="1018"/>
      <c r="K35" s="1018"/>
      <c r="L35" s="258">
        <v>0</v>
      </c>
      <c r="M35" s="1018"/>
      <c r="N35" s="1018"/>
      <c r="O35" s="1018"/>
      <c r="P35" s="258">
        <v>0</v>
      </c>
      <c r="Q35" s="1018"/>
      <c r="R35" s="1018"/>
      <c r="S35" s="1018"/>
      <c r="T35" s="258">
        <v>0</v>
      </c>
      <c r="U35" s="1018"/>
      <c r="V35" s="1018"/>
      <c r="W35" s="1018"/>
    </row>
    <row r="36" spans="1:23" ht="15.75" customHeight="1">
      <c r="A36" s="1023"/>
      <c r="B36" s="1023" t="s">
        <v>3921</v>
      </c>
      <c r="C36" s="258">
        <v>0</v>
      </c>
      <c r="D36" s="258" t="s">
        <v>601</v>
      </c>
      <c r="E36" s="258"/>
      <c r="F36" s="258" t="s">
        <v>488</v>
      </c>
      <c r="G36" s="258" t="s">
        <v>447</v>
      </c>
      <c r="H36" s="258">
        <v>0</v>
      </c>
      <c r="I36" s="1018"/>
      <c r="J36" s="1018"/>
      <c r="K36" s="1018"/>
      <c r="L36" s="258">
        <v>0</v>
      </c>
      <c r="M36" s="1018"/>
      <c r="N36" s="1018"/>
      <c r="O36" s="1018"/>
      <c r="P36" s="258">
        <v>0</v>
      </c>
      <c r="Q36" s="1018"/>
      <c r="R36" s="1018"/>
      <c r="S36" s="1018"/>
      <c r="T36" s="258">
        <v>0</v>
      </c>
      <c r="U36" s="1018"/>
      <c r="V36" s="1018"/>
      <c r="W36" s="1018"/>
    </row>
    <row r="37" spans="1:23" ht="15.75" customHeight="1">
      <c r="A37" s="1023"/>
      <c r="B37" s="1023" t="s">
        <v>3922</v>
      </c>
      <c r="C37" s="258">
        <v>0</v>
      </c>
      <c r="D37" s="258" t="s">
        <v>601</v>
      </c>
      <c r="E37" s="258"/>
      <c r="F37" s="258" t="s">
        <v>488</v>
      </c>
      <c r="G37" s="258" t="s">
        <v>447</v>
      </c>
      <c r="H37" s="258">
        <v>0</v>
      </c>
      <c r="I37" s="1018"/>
      <c r="J37" s="1018"/>
      <c r="K37" s="1018"/>
      <c r="L37" s="258">
        <v>0</v>
      </c>
      <c r="M37" s="1018"/>
      <c r="N37" s="1018"/>
      <c r="O37" s="1018"/>
      <c r="P37" s="258">
        <v>0</v>
      </c>
      <c r="Q37" s="1018"/>
      <c r="R37" s="1018"/>
      <c r="S37" s="1018"/>
      <c r="T37" s="258">
        <v>0</v>
      </c>
      <c r="U37" s="1018"/>
      <c r="V37" s="1018"/>
      <c r="W37" s="1018"/>
    </row>
    <row r="38" spans="1:23" ht="15.75" customHeight="1">
      <c r="A38" s="1023"/>
      <c r="B38" s="1023" t="s">
        <v>3923</v>
      </c>
      <c r="C38" s="258">
        <v>0</v>
      </c>
      <c r="D38" s="258" t="s">
        <v>601</v>
      </c>
      <c r="E38" s="258"/>
      <c r="F38" s="258" t="s">
        <v>488</v>
      </c>
      <c r="G38" s="258" t="s">
        <v>447</v>
      </c>
      <c r="H38" s="258">
        <v>0</v>
      </c>
      <c r="I38" s="1018"/>
      <c r="J38" s="1018"/>
      <c r="K38" s="1018"/>
      <c r="L38" s="258">
        <v>0</v>
      </c>
      <c r="M38" s="1018"/>
      <c r="N38" s="1018"/>
      <c r="O38" s="1018"/>
      <c r="P38" s="258">
        <v>0</v>
      </c>
      <c r="Q38" s="1018"/>
      <c r="R38" s="1018"/>
      <c r="S38" s="1018"/>
      <c r="T38" s="258">
        <v>0</v>
      </c>
      <c r="U38" s="1018"/>
      <c r="V38" s="1018"/>
      <c r="W38" s="1018"/>
    </row>
    <row r="39" spans="1:23" ht="15.75" customHeight="1">
      <c r="A39" s="1023"/>
      <c r="B39" s="1023" t="s">
        <v>3924</v>
      </c>
      <c r="C39" s="258">
        <v>0</v>
      </c>
      <c r="D39" s="258" t="s">
        <v>601</v>
      </c>
      <c r="E39" s="258"/>
      <c r="F39" s="258" t="s">
        <v>488</v>
      </c>
      <c r="G39" s="258" t="s">
        <v>447</v>
      </c>
      <c r="H39" s="258">
        <v>0</v>
      </c>
      <c r="I39" s="1018"/>
      <c r="J39" s="1018"/>
      <c r="K39" s="1018"/>
      <c r="L39" s="258">
        <v>0</v>
      </c>
      <c r="M39" s="1018"/>
      <c r="N39" s="1018"/>
      <c r="O39" s="1018"/>
      <c r="P39" s="258">
        <v>0</v>
      </c>
      <c r="Q39" s="1018"/>
      <c r="R39" s="1018"/>
      <c r="S39" s="1018"/>
      <c r="T39" s="258">
        <v>0</v>
      </c>
      <c r="U39" s="1018"/>
      <c r="V39" s="1018"/>
      <c r="W39" s="1018"/>
    </row>
    <row r="40" spans="1:23" ht="15.75" customHeight="1">
      <c r="A40" s="1023"/>
      <c r="B40" s="1023" t="s">
        <v>3925</v>
      </c>
      <c r="C40" s="258">
        <v>0</v>
      </c>
      <c r="D40" s="258" t="s">
        <v>601</v>
      </c>
      <c r="E40" s="258"/>
      <c r="F40" s="258" t="s">
        <v>488</v>
      </c>
      <c r="G40" s="258" t="s">
        <v>447</v>
      </c>
      <c r="H40" s="258">
        <v>0</v>
      </c>
      <c r="I40" s="1018"/>
      <c r="J40" s="1018"/>
      <c r="K40" s="1018"/>
      <c r="L40" s="258">
        <v>0</v>
      </c>
      <c r="M40" s="1018"/>
      <c r="N40" s="1018"/>
      <c r="O40" s="1018"/>
      <c r="P40" s="258">
        <v>0</v>
      </c>
      <c r="Q40" s="1018"/>
      <c r="R40" s="1018"/>
      <c r="S40" s="1018"/>
      <c r="T40" s="258">
        <v>0</v>
      </c>
      <c r="U40" s="1018"/>
      <c r="V40" s="1018"/>
      <c r="W40" s="1018"/>
    </row>
    <row r="41" spans="1:23" ht="15.75" customHeight="1">
      <c r="A41" s="1023"/>
      <c r="B41" s="1023" t="s">
        <v>3926</v>
      </c>
      <c r="C41" s="258">
        <v>0</v>
      </c>
      <c r="D41" s="258" t="s">
        <v>3715</v>
      </c>
      <c r="E41" s="258"/>
      <c r="F41" s="258" t="s">
        <v>488</v>
      </c>
      <c r="G41" s="258" t="s">
        <v>447</v>
      </c>
      <c r="H41" s="258">
        <v>0</v>
      </c>
      <c r="I41" s="1018"/>
      <c r="J41" s="1018"/>
      <c r="K41" s="1018"/>
      <c r="L41" s="258">
        <v>0</v>
      </c>
      <c r="M41" s="1018"/>
      <c r="N41" s="1018"/>
      <c r="O41" s="1018"/>
      <c r="P41" s="258">
        <v>0</v>
      </c>
      <c r="Q41" s="1018"/>
      <c r="R41" s="1018"/>
      <c r="S41" s="1018"/>
      <c r="T41" s="258">
        <v>0</v>
      </c>
      <c r="U41" s="1018"/>
      <c r="V41" s="1018"/>
      <c r="W41" s="1018"/>
    </row>
    <row r="42" spans="1:23" ht="15.75" customHeight="1">
      <c r="A42" s="1023"/>
      <c r="B42" s="1023" t="s">
        <v>3927</v>
      </c>
      <c r="C42" s="258">
        <v>0</v>
      </c>
      <c r="D42" s="258" t="s">
        <v>3047</v>
      </c>
      <c r="E42" s="258"/>
      <c r="F42" s="258" t="s">
        <v>488</v>
      </c>
      <c r="G42" s="258" t="s">
        <v>447</v>
      </c>
      <c r="H42" s="258">
        <v>0</v>
      </c>
      <c r="I42" s="1018"/>
      <c r="J42" s="1018"/>
      <c r="K42" s="1018"/>
      <c r="L42" s="258">
        <v>0</v>
      </c>
      <c r="M42" s="1018"/>
      <c r="N42" s="1018"/>
      <c r="O42" s="1018"/>
      <c r="P42" s="258">
        <v>0</v>
      </c>
      <c r="Q42" s="1018"/>
      <c r="R42" s="1018"/>
      <c r="S42" s="1018"/>
      <c r="T42" s="258">
        <v>0</v>
      </c>
      <c r="U42" s="1018"/>
      <c r="V42" s="1018"/>
      <c r="W42" s="1018"/>
    </row>
    <row r="43" spans="1:23" ht="15.75" customHeight="1">
      <c r="A43" s="1023"/>
      <c r="B43" s="1023" t="s">
        <v>3928</v>
      </c>
      <c r="C43" s="258">
        <v>0</v>
      </c>
      <c r="D43" s="258" t="s">
        <v>3409</v>
      </c>
      <c r="E43" s="258"/>
      <c r="F43" s="258" t="s">
        <v>488</v>
      </c>
      <c r="G43" s="258" t="s">
        <v>447</v>
      </c>
      <c r="H43" s="258">
        <v>0</v>
      </c>
      <c r="I43" s="1018"/>
      <c r="J43" s="1018"/>
      <c r="K43" s="1018"/>
      <c r="L43" s="258">
        <v>0</v>
      </c>
      <c r="M43" s="1018"/>
      <c r="N43" s="1018"/>
      <c r="O43" s="1018"/>
      <c r="P43" s="258">
        <v>0</v>
      </c>
      <c r="Q43" s="1018"/>
      <c r="R43" s="1018"/>
      <c r="S43" s="1018"/>
      <c r="T43" s="258">
        <v>0</v>
      </c>
      <c r="U43" s="1018"/>
      <c r="V43" s="1018"/>
      <c r="W43" s="1018"/>
    </row>
    <row r="44" spans="1:23" ht="15.75" customHeight="1">
      <c r="A44" s="1023"/>
      <c r="B44" s="1023" t="s">
        <v>3929</v>
      </c>
      <c r="C44" s="258">
        <v>0</v>
      </c>
      <c r="D44" s="258" t="s">
        <v>3047</v>
      </c>
      <c r="E44" s="258"/>
      <c r="F44" s="258" t="s">
        <v>488</v>
      </c>
      <c r="G44" s="258" t="s">
        <v>447</v>
      </c>
      <c r="H44" s="258">
        <v>0</v>
      </c>
      <c r="I44" s="1018"/>
      <c r="J44" s="1018"/>
      <c r="K44" s="1018"/>
      <c r="L44" s="258">
        <v>0</v>
      </c>
      <c r="M44" s="1018"/>
      <c r="N44" s="1018"/>
      <c r="O44" s="1018"/>
      <c r="P44" s="258">
        <v>0</v>
      </c>
      <c r="Q44" s="1018"/>
      <c r="R44" s="1018"/>
      <c r="S44" s="1018"/>
      <c r="T44" s="258">
        <v>0</v>
      </c>
      <c r="U44" s="1018"/>
      <c r="V44" s="1018"/>
      <c r="W44" s="1018"/>
    </row>
    <row r="45" spans="1:23" ht="15.75" customHeight="1">
      <c r="A45" s="1023"/>
      <c r="B45" s="1023" t="s">
        <v>3419</v>
      </c>
      <c r="C45" s="258">
        <v>0</v>
      </c>
      <c r="D45" s="258" t="s">
        <v>2993</v>
      </c>
      <c r="E45" s="258"/>
      <c r="F45" s="258" t="s">
        <v>488</v>
      </c>
      <c r="G45" s="258" t="s">
        <v>447</v>
      </c>
      <c r="H45" s="258">
        <v>0</v>
      </c>
      <c r="I45" s="1018"/>
      <c r="J45" s="1018"/>
      <c r="K45" s="1018"/>
      <c r="L45" s="258">
        <v>0</v>
      </c>
      <c r="M45" s="1018"/>
      <c r="N45" s="1018"/>
      <c r="O45" s="1018"/>
      <c r="P45" s="258">
        <v>0</v>
      </c>
      <c r="Q45" s="1018"/>
      <c r="R45" s="1018"/>
      <c r="S45" s="1018"/>
      <c r="T45" s="258">
        <v>0</v>
      </c>
      <c r="U45" s="1018"/>
      <c r="V45" s="1018"/>
      <c r="W45" s="1018"/>
    </row>
    <row r="46" spans="1:23" ht="15.75" customHeight="1">
      <c r="A46" s="1023"/>
      <c r="B46" s="1023" t="s">
        <v>3930</v>
      </c>
      <c r="C46" s="258">
        <v>0</v>
      </c>
      <c r="D46" s="258" t="s">
        <v>601</v>
      </c>
      <c r="E46" s="258"/>
      <c r="F46" s="258" t="s">
        <v>488</v>
      </c>
      <c r="G46" s="258" t="s">
        <v>447</v>
      </c>
      <c r="H46" s="258">
        <v>0</v>
      </c>
      <c r="I46" s="1018"/>
      <c r="J46" s="1018"/>
      <c r="K46" s="1018"/>
      <c r="L46" s="258">
        <v>0</v>
      </c>
      <c r="M46" s="1018"/>
      <c r="N46" s="1018"/>
      <c r="O46" s="1018"/>
      <c r="P46" s="258">
        <v>0</v>
      </c>
      <c r="Q46" s="1018"/>
      <c r="R46" s="1018"/>
      <c r="S46" s="1018"/>
      <c r="T46" s="258">
        <v>0</v>
      </c>
      <c r="U46" s="1018"/>
      <c r="V46" s="1018"/>
      <c r="W46" s="1018"/>
    </row>
    <row r="47" spans="1:23" ht="15.75" customHeight="1">
      <c r="A47" s="1023"/>
      <c r="B47" s="1023" t="s">
        <v>3931</v>
      </c>
      <c r="C47" s="258">
        <v>0</v>
      </c>
      <c r="D47" s="258" t="s">
        <v>189</v>
      </c>
      <c r="E47" s="258"/>
      <c r="F47" s="258" t="s">
        <v>488</v>
      </c>
      <c r="G47" s="258" t="s">
        <v>447</v>
      </c>
      <c r="H47" s="258">
        <v>0</v>
      </c>
      <c r="I47" s="1018"/>
      <c r="J47" s="1018"/>
      <c r="K47" s="1018"/>
      <c r="L47" s="258">
        <v>0</v>
      </c>
      <c r="M47" s="1018"/>
      <c r="N47" s="1018"/>
      <c r="O47" s="1018"/>
      <c r="P47" s="258">
        <v>0</v>
      </c>
      <c r="Q47" s="1018"/>
      <c r="R47" s="1018"/>
      <c r="S47" s="1018"/>
      <c r="T47" s="258">
        <v>0</v>
      </c>
      <c r="U47" s="1018"/>
      <c r="V47" s="1018"/>
      <c r="W47" s="1018"/>
    </row>
    <row r="48" spans="1:23" ht="15.75" customHeight="1">
      <c r="A48" s="1023"/>
      <c r="B48" s="1023" t="s">
        <v>3932</v>
      </c>
      <c r="C48" s="258">
        <v>0</v>
      </c>
      <c r="D48" s="258" t="s">
        <v>601</v>
      </c>
      <c r="E48" s="258"/>
      <c r="F48" s="258" t="s">
        <v>488</v>
      </c>
      <c r="G48" s="258" t="s">
        <v>447</v>
      </c>
      <c r="H48" s="258">
        <v>0</v>
      </c>
      <c r="I48" s="1018"/>
      <c r="J48" s="1018"/>
      <c r="K48" s="1018"/>
      <c r="L48" s="258">
        <v>0</v>
      </c>
      <c r="M48" s="1018"/>
      <c r="N48" s="1018"/>
      <c r="O48" s="1018"/>
      <c r="P48" s="258">
        <v>0</v>
      </c>
      <c r="Q48" s="1018"/>
      <c r="R48" s="1018"/>
      <c r="S48" s="1018"/>
      <c r="T48" s="258">
        <v>0</v>
      </c>
      <c r="U48" s="1018"/>
      <c r="V48" s="1018"/>
      <c r="W48" s="1018"/>
    </row>
    <row r="49" spans="1:23" ht="15.75" customHeight="1">
      <c r="A49" s="1023"/>
      <c r="B49" s="1023" t="s">
        <v>3933</v>
      </c>
      <c r="C49" s="258">
        <v>0</v>
      </c>
      <c r="D49" s="258" t="s">
        <v>895</v>
      </c>
      <c r="E49" s="258"/>
      <c r="F49" s="258" t="s">
        <v>488</v>
      </c>
      <c r="G49" s="258" t="s">
        <v>447</v>
      </c>
      <c r="H49" s="258">
        <v>0</v>
      </c>
      <c r="I49" s="1018"/>
      <c r="J49" s="1018"/>
      <c r="K49" s="1018"/>
      <c r="L49" s="258">
        <v>0</v>
      </c>
      <c r="M49" s="1018"/>
      <c r="N49" s="1018"/>
      <c r="O49" s="1018"/>
      <c r="P49" s="258">
        <v>0</v>
      </c>
      <c r="Q49" s="1018"/>
      <c r="R49" s="1018"/>
      <c r="S49" s="1018"/>
      <c r="T49" s="258">
        <v>0</v>
      </c>
      <c r="U49" s="1018"/>
      <c r="V49" s="1018"/>
      <c r="W49" s="1018"/>
    </row>
    <row r="50" spans="1:23" ht="15.75" customHeight="1">
      <c r="A50" s="1023"/>
      <c r="B50" s="1023" t="s">
        <v>3934</v>
      </c>
      <c r="C50" s="258">
        <v>0</v>
      </c>
      <c r="D50" s="258" t="s">
        <v>895</v>
      </c>
      <c r="E50" s="258"/>
      <c r="F50" s="258" t="s">
        <v>488</v>
      </c>
      <c r="G50" s="258" t="s">
        <v>447</v>
      </c>
      <c r="H50" s="258">
        <v>0</v>
      </c>
      <c r="I50" s="1018"/>
      <c r="J50" s="1018"/>
      <c r="K50" s="1018"/>
      <c r="L50" s="258">
        <v>0</v>
      </c>
      <c r="M50" s="1018"/>
      <c r="N50" s="1018"/>
      <c r="O50" s="1018"/>
      <c r="P50" s="258">
        <v>0</v>
      </c>
      <c r="Q50" s="1018"/>
      <c r="R50" s="1018"/>
      <c r="S50" s="1018"/>
      <c r="T50" s="258">
        <v>0</v>
      </c>
      <c r="U50" s="1018"/>
      <c r="V50" s="1018"/>
      <c r="W50" s="1018"/>
    </row>
    <row r="51" spans="1:23" ht="15.75" customHeight="1">
      <c r="A51" s="1023"/>
      <c r="B51" s="1023" t="s">
        <v>3935</v>
      </c>
      <c r="C51" s="258">
        <v>0</v>
      </c>
      <c r="D51" s="258" t="s">
        <v>895</v>
      </c>
      <c r="E51" s="258"/>
      <c r="F51" s="258" t="s">
        <v>488</v>
      </c>
      <c r="G51" s="258" t="s">
        <v>447</v>
      </c>
      <c r="H51" s="258">
        <v>0</v>
      </c>
      <c r="I51" s="1018"/>
      <c r="J51" s="1018"/>
      <c r="K51" s="1018"/>
      <c r="L51" s="258">
        <v>0</v>
      </c>
      <c r="M51" s="1018"/>
      <c r="N51" s="1018"/>
      <c r="O51" s="1018"/>
      <c r="P51" s="258">
        <v>0</v>
      </c>
      <c r="Q51" s="1018"/>
      <c r="R51" s="1018"/>
      <c r="S51" s="1018"/>
      <c r="T51" s="258">
        <v>0</v>
      </c>
      <c r="U51" s="1018"/>
      <c r="V51" s="1018"/>
      <c r="W51" s="1018"/>
    </row>
    <row r="52" spans="1:23" ht="15.75" customHeight="1">
      <c r="A52" s="1023"/>
      <c r="B52" s="1023" t="s">
        <v>3936</v>
      </c>
      <c r="C52" s="258">
        <v>0</v>
      </c>
      <c r="D52" s="258" t="s">
        <v>601</v>
      </c>
      <c r="E52" s="258"/>
      <c r="F52" s="258" t="s">
        <v>488</v>
      </c>
      <c r="G52" s="258" t="s">
        <v>447</v>
      </c>
      <c r="H52" s="258">
        <v>0</v>
      </c>
      <c r="I52" s="1018"/>
      <c r="J52" s="1018"/>
      <c r="K52" s="1018"/>
      <c r="L52" s="258">
        <v>0</v>
      </c>
      <c r="M52" s="1018"/>
      <c r="N52" s="1018"/>
      <c r="O52" s="1018"/>
      <c r="P52" s="258">
        <v>0</v>
      </c>
      <c r="Q52" s="1018"/>
      <c r="R52" s="1018"/>
      <c r="S52" s="1018"/>
      <c r="T52" s="258">
        <v>0</v>
      </c>
      <c r="U52" s="1018"/>
      <c r="V52" s="1018"/>
      <c r="W52" s="1018"/>
    </row>
    <row r="53" spans="1:23" ht="15.75" customHeight="1">
      <c r="A53" s="1023"/>
      <c r="B53" s="1023" t="s">
        <v>3937</v>
      </c>
      <c r="C53" s="258">
        <v>0</v>
      </c>
      <c r="D53" s="258" t="s">
        <v>895</v>
      </c>
      <c r="E53" s="258"/>
      <c r="F53" s="258" t="s">
        <v>488</v>
      </c>
      <c r="G53" s="258" t="s">
        <v>447</v>
      </c>
      <c r="H53" s="258">
        <v>0</v>
      </c>
      <c r="I53" s="1018"/>
      <c r="J53" s="1018"/>
      <c r="K53" s="1018"/>
      <c r="L53" s="258">
        <v>0</v>
      </c>
      <c r="M53" s="1018"/>
      <c r="N53" s="1018"/>
      <c r="O53" s="1018"/>
      <c r="P53" s="258">
        <v>0</v>
      </c>
      <c r="Q53" s="1018"/>
      <c r="R53" s="1018"/>
      <c r="S53" s="1018"/>
      <c r="T53" s="258">
        <v>0</v>
      </c>
      <c r="U53" s="1018"/>
      <c r="V53" s="1018"/>
      <c r="W53" s="1018"/>
    </row>
    <row r="54" spans="1:23" ht="15.75" customHeight="1">
      <c r="A54" s="1023"/>
      <c r="B54" s="1023" t="s">
        <v>3938</v>
      </c>
      <c r="C54" s="258">
        <v>0</v>
      </c>
      <c r="D54" s="258" t="s">
        <v>3462</v>
      </c>
      <c r="E54" s="258"/>
      <c r="F54" s="258" t="s">
        <v>488</v>
      </c>
      <c r="G54" s="258" t="s">
        <v>447</v>
      </c>
      <c r="H54" s="258">
        <v>0</v>
      </c>
      <c r="I54" s="1018"/>
      <c r="J54" s="1018"/>
      <c r="K54" s="1018"/>
      <c r="L54" s="258">
        <v>0</v>
      </c>
      <c r="M54" s="1018"/>
      <c r="N54" s="1018"/>
      <c r="O54" s="1018"/>
      <c r="P54" s="258">
        <v>0</v>
      </c>
      <c r="Q54" s="1018"/>
      <c r="R54" s="1018"/>
      <c r="S54" s="1018"/>
      <c r="T54" s="258">
        <v>0</v>
      </c>
      <c r="U54" s="1018"/>
      <c r="V54" s="1018"/>
      <c r="W54" s="1018"/>
    </row>
    <row r="55" spans="1:23" ht="15.75" customHeight="1">
      <c r="A55" s="1023"/>
      <c r="B55" s="1023" t="s">
        <v>3939</v>
      </c>
      <c r="C55" s="258">
        <v>0</v>
      </c>
      <c r="D55" s="258" t="s">
        <v>3047</v>
      </c>
      <c r="E55" s="258"/>
      <c r="F55" s="258" t="s">
        <v>488</v>
      </c>
      <c r="G55" s="258" t="s">
        <v>447</v>
      </c>
      <c r="H55" s="258">
        <v>0</v>
      </c>
      <c r="I55" s="1018"/>
      <c r="J55" s="1018"/>
      <c r="K55" s="1018"/>
      <c r="L55" s="258">
        <v>0</v>
      </c>
      <c r="M55" s="1018"/>
      <c r="N55" s="1018"/>
      <c r="O55" s="1018"/>
      <c r="P55" s="258">
        <v>0</v>
      </c>
      <c r="Q55" s="1018"/>
      <c r="R55" s="1018"/>
      <c r="S55" s="1018"/>
      <c r="T55" s="258">
        <v>0</v>
      </c>
      <c r="U55" s="1018"/>
      <c r="V55" s="1018"/>
      <c r="W55" s="1018"/>
    </row>
    <row r="56" spans="1:23" ht="15.75" customHeight="1">
      <c r="A56" s="1023"/>
      <c r="B56" s="1023" t="s">
        <v>3940</v>
      </c>
      <c r="C56" s="258">
        <v>0</v>
      </c>
      <c r="D56" s="258" t="s">
        <v>3047</v>
      </c>
      <c r="E56" s="258"/>
      <c r="F56" s="258" t="s">
        <v>488</v>
      </c>
      <c r="G56" s="258" t="s">
        <v>447</v>
      </c>
      <c r="H56" s="258">
        <v>0</v>
      </c>
      <c r="I56" s="1018"/>
      <c r="J56" s="1018"/>
      <c r="K56" s="1018"/>
      <c r="L56" s="258">
        <v>0</v>
      </c>
      <c r="M56" s="1018"/>
      <c r="N56" s="1018"/>
      <c r="O56" s="1018"/>
      <c r="P56" s="258">
        <v>0</v>
      </c>
      <c r="Q56" s="1018"/>
      <c r="R56" s="1018"/>
      <c r="S56" s="1018"/>
      <c r="T56" s="258">
        <v>0</v>
      </c>
      <c r="U56" s="1018"/>
      <c r="V56" s="1018"/>
      <c r="W56" s="1018"/>
    </row>
    <row r="57" spans="1:23" ht="15.75" customHeight="1">
      <c r="A57" s="1023"/>
      <c r="B57" s="1023" t="s">
        <v>3941</v>
      </c>
      <c r="C57" s="258">
        <v>0</v>
      </c>
      <c r="D57" s="258" t="s">
        <v>3047</v>
      </c>
      <c r="E57" s="258"/>
      <c r="F57" s="258" t="s">
        <v>488</v>
      </c>
      <c r="G57" s="258" t="s">
        <v>447</v>
      </c>
      <c r="H57" s="258">
        <v>0</v>
      </c>
      <c r="I57" s="1018"/>
      <c r="J57" s="1018"/>
      <c r="K57" s="1018"/>
      <c r="L57" s="258">
        <v>0</v>
      </c>
      <c r="M57" s="1018"/>
      <c r="N57" s="1018"/>
      <c r="O57" s="1018"/>
      <c r="P57" s="258">
        <v>0</v>
      </c>
      <c r="Q57" s="1018"/>
      <c r="R57" s="1018"/>
      <c r="S57" s="1018"/>
      <c r="T57" s="258">
        <v>0</v>
      </c>
      <c r="U57" s="1018"/>
      <c r="V57" s="1018"/>
      <c r="W57" s="1018"/>
    </row>
    <row r="58" spans="1:23" ht="15.75" customHeight="1">
      <c r="A58" s="1023"/>
      <c r="B58" s="1023" t="s">
        <v>3942</v>
      </c>
      <c r="C58" s="258">
        <v>0</v>
      </c>
      <c r="D58" s="258" t="s">
        <v>3047</v>
      </c>
      <c r="E58" s="258"/>
      <c r="F58" s="258" t="s">
        <v>488</v>
      </c>
      <c r="G58" s="258" t="s">
        <v>447</v>
      </c>
      <c r="H58" s="258">
        <v>0</v>
      </c>
      <c r="I58" s="1018"/>
      <c r="J58" s="1018"/>
      <c r="K58" s="1018"/>
      <c r="L58" s="258">
        <v>0</v>
      </c>
      <c r="M58" s="1018"/>
      <c r="N58" s="1018"/>
      <c r="O58" s="1018"/>
      <c r="P58" s="258">
        <v>0</v>
      </c>
      <c r="Q58" s="1018"/>
      <c r="R58" s="1018"/>
      <c r="S58" s="1018"/>
      <c r="T58" s="258">
        <v>0</v>
      </c>
      <c r="U58" s="1018"/>
      <c r="V58" s="1018"/>
      <c r="W58" s="1018"/>
    </row>
    <row r="59" spans="1:23" ht="15.75" customHeight="1">
      <c r="A59" s="1023"/>
      <c r="B59" s="1023" t="s">
        <v>3943</v>
      </c>
      <c r="C59" s="258">
        <v>0</v>
      </c>
      <c r="D59" s="258" t="s">
        <v>3047</v>
      </c>
      <c r="E59" s="258"/>
      <c r="F59" s="258" t="s">
        <v>488</v>
      </c>
      <c r="G59" s="258" t="s">
        <v>447</v>
      </c>
      <c r="H59" s="258">
        <v>0</v>
      </c>
      <c r="I59" s="1018"/>
      <c r="J59" s="1018"/>
      <c r="K59" s="1018"/>
      <c r="L59" s="258">
        <v>0</v>
      </c>
      <c r="M59" s="1018"/>
      <c r="N59" s="1018"/>
      <c r="O59" s="1018"/>
      <c r="P59" s="258">
        <v>0</v>
      </c>
      <c r="Q59" s="1018"/>
      <c r="R59" s="1018"/>
      <c r="S59" s="1018"/>
      <c r="T59" s="258">
        <v>0</v>
      </c>
      <c r="U59" s="1018"/>
      <c r="V59" s="1018"/>
      <c r="W59" s="1018"/>
    </row>
    <row r="60" spans="1:23" ht="15.75" customHeight="1">
      <c r="A60" s="1023"/>
      <c r="B60" s="1023" t="s">
        <v>3944</v>
      </c>
      <c r="C60" s="258">
        <v>0</v>
      </c>
      <c r="D60" s="258" t="s">
        <v>3047</v>
      </c>
      <c r="E60" s="258"/>
      <c r="F60" s="258" t="s">
        <v>488</v>
      </c>
      <c r="G60" s="258" t="s">
        <v>447</v>
      </c>
      <c r="H60" s="258">
        <v>0</v>
      </c>
      <c r="I60" s="1018"/>
      <c r="J60" s="1018"/>
      <c r="K60" s="1018"/>
      <c r="L60" s="258">
        <v>0</v>
      </c>
      <c r="M60" s="1018"/>
      <c r="N60" s="1018"/>
      <c r="O60" s="1018"/>
      <c r="P60" s="258">
        <v>0</v>
      </c>
      <c r="Q60" s="1018"/>
      <c r="R60" s="1018"/>
      <c r="S60" s="1018"/>
      <c r="T60" s="258">
        <v>0</v>
      </c>
      <c r="U60" s="1018"/>
      <c r="V60" s="1018"/>
      <c r="W60" s="1018"/>
    </row>
    <row r="61" spans="1:23" ht="20.25">
      <c r="A61" s="1023"/>
      <c r="B61" s="1023" t="s">
        <v>3945</v>
      </c>
      <c r="C61" s="258">
        <v>0</v>
      </c>
      <c r="D61" s="258" t="s">
        <v>601</v>
      </c>
      <c r="E61" s="258"/>
      <c r="F61" s="258" t="s">
        <v>488</v>
      </c>
      <c r="G61" s="258" t="s">
        <v>447</v>
      </c>
      <c r="H61" s="258">
        <v>0</v>
      </c>
      <c r="I61" s="1018"/>
      <c r="J61" s="1018"/>
      <c r="K61" s="1018"/>
      <c r="L61" s="258">
        <v>0</v>
      </c>
      <c r="M61" s="1018"/>
      <c r="N61" s="1018"/>
      <c r="O61" s="1018"/>
      <c r="P61" s="258">
        <v>0</v>
      </c>
      <c r="Q61" s="1018"/>
      <c r="R61" s="1018"/>
      <c r="S61" s="1018"/>
      <c r="T61" s="258">
        <v>0</v>
      </c>
      <c r="U61" s="1018"/>
      <c r="V61" s="1018"/>
      <c r="W61" s="1018"/>
    </row>
    <row r="62" spans="1:23" ht="20.25">
      <c r="A62" s="1023"/>
      <c r="B62" s="1023" t="s">
        <v>3946</v>
      </c>
      <c r="C62" s="258">
        <v>0</v>
      </c>
      <c r="D62" s="258" t="s">
        <v>601</v>
      </c>
      <c r="E62" s="258"/>
      <c r="F62" s="258" t="s">
        <v>488</v>
      </c>
      <c r="G62" s="258" t="s">
        <v>447</v>
      </c>
      <c r="H62" s="258">
        <v>0</v>
      </c>
      <c r="I62" s="1018"/>
      <c r="J62" s="1018"/>
      <c r="K62" s="1018"/>
      <c r="L62" s="258">
        <v>0</v>
      </c>
      <c r="M62" s="1018"/>
      <c r="N62" s="1018"/>
      <c r="O62" s="1018"/>
      <c r="P62" s="258">
        <v>0</v>
      </c>
      <c r="Q62" s="1018"/>
      <c r="R62" s="1018"/>
      <c r="S62" s="1018"/>
      <c r="T62" s="258">
        <v>0</v>
      </c>
      <c r="U62" s="1018"/>
      <c r="V62" s="1018"/>
      <c r="W62" s="1018"/>
    </row>
    <row r="63" spans="1:23" ht="20.25">
      <c r="A63" s="1023"/>
      <c r="B63" s="1023" t="s">
        <v>3947</v>
      </c>
      <c r="C63" s="258">
        <v>0</v>
      </c>
      <c r="D63" s="258" t="s">
        <v>601</v>
      </c>
      <c r="E63" s="258"/>
      <c r="F63" s="258" t="s">
        <v>488</v>
      </c>
      <c r="G63" s="258" t="s">
        <v>447</v>
      </c>
      <c r="H63" s="258">
        <v>0</v>
      </c>
      <c r="I63" s="1018"/>
      <c r="J63" s="1018"/>
      <c r="K63" s="1018"/>
      <c r="L63" s="258">
        <v>0</v>
      </c>
      <c r="M63" s="1018"/>
      <c r="N63" s="1018"/>
      <c r="O63" s="1018"/>
      <c r="P63" s="258">
        <v>0</v>
      </c>
      <c r="Q63" s="1018"/>
      <c r="R63" s="1018"/>
      <c r="S63" s="1018"/>
      <c r="T63" s="258">
        <v>0</v>
      </c>
      <c r="U63" s="1018"/>
      <c r="V63" s="1018"/>
      <c r="W63" s="1018"/>
    </row>
    <row r="64" spans="1:23" ht="20.25">
      <c r="A64" s="1023"/>
      <c r="B64" s="1023" t="s">
        <v>3948</v>
      </c>
      <c r="C64" s="258">
        <v>0</v>
      </c>
      <c r="D64" s="258" t="s">
        <v>601</v>
      </c>
      <c r="E64" s="258"/>
      <c r="F64" s="258" t="s">
        <v>488</v>
      </c>
      <c r="G64" s="258" t="s">
        <v>447</v>
      </c>
      <c r="H64" s="258">
        <v>0</v>
      </c>
      <c r="I64" s="1018"/>
      <c r="J64" s="1018"/>
      <c r="K64" s="1018"/>
      <c r="L64" s="258">
        <v>0</v>
      </c>
      <c r="M64" s="1018"/>
      <c r="N64" s="1018"/>
      <c r="O64" s="1018"/>
      <c r="P64" s="258">
        <v>0</v>
      </c>
      <c r="Q64" s="1018"/>
      <c r="R64" s="1018"/>
      <c r="S64" s="1018"/>
      <c r="T64" s="258">
        <v>0</v>
      </c>
      <c r="U64" s="1018"/>
      <c r="V64" s="1018"/>
      <c r="W64" s="1018"/>
    </row>
    <row r="65" spans="1:23" ht="20.25">
      <c r="A65" s="1023"/>
      <c r="B65" s="1023" t="s">
        <v>3949</v>
      </c>
      <c r="C65" s="258">
        <v>0</v>
      </c>
      <c r="D65" s="258" t="s">
        <v>601</v>
      </c>
      <c r="E65" s="258"/>
      <c r="F65" s="258" t="s">
        <v>488</v>
      </c>
      <c r="G65" s="258" t="s">
        <v>447</v>
      </c>
      <c r="H65" s="258">
        <v>0</v>
      </c>
      <c r="I65" s="1018"/>
      <c r="J65" s="1018"/>
      <c r="K65" s="1018"/>
      <c r="L65" s="258">
        <v>0</v>
      </c>
      <c r="M65" s="1018"/>
      <c r="N65" s="1018"/>
      <c r="O65" s="1018"/>
      <c r="P65" s="258">
        <v>0</v>
      </c>
      <c r="Q65" s="1018"/>
      <c r="R65" s="1018"/>
      <c r="S65" s="1018"/>
      <c r="T65" s="258">
        <v>0</v>
      </c>
      <c r="U65" s="1018"/>
      <c r="V65" s="1018"/>
      <c r="W65" s="1018"/>
    </row>
    <row r="66" spans="1:23" ht="20.25">
      <c r="A66" s="1023"/>
      <c r="B66" s="1023" t="s">
        <v>3950</v>
      </c>
      <c r="C66" s="258">
        <v>0</v>
      </c>
      <c r="D66" s="258" t="s">
        <v>601</v>
      </c>
      <c r="E66" s="258"/>
      <c r="F66" s="258" t="s">
        <v>488</v>
      </c>
      <c r="G66" s="258" t="s">
        <v>447</v>
      </c>
      <c r="H66" s="258">
        <v>0</v>
      </c>
      <c r="I66" s="1018"/>
      <c r="J66" s="1018"/>
      <c r="K66" s="1018"/>
      <c r="L66" s="258">
        <v>0</v>
      </c>
      <c r="M66" s="1018"/>
      <c r="N66" s="1018"/>
      <c r="O66" s="1018"/>
      <c r="P66" s="258">
        <v>0</v>
      </c>
      <c r="Q66" s="1018"/>
      <c r="R66" s="1018"/>
      <c r="S66" s="1018"/>
      <c r="T66" s="258">
        <v>0</v>
      </c>
      <c r="U66" s="1018"/>
      <c r="V66" s="1018"/>
      <c r="W66" s="1018"/>
    </row>
    <row r="67" spans="1:23" ht="20.25">
      <c r="A67" s="1023"/>
      <c r="B67" s="1023" t="s">
        <v>3951</v>
      </c>
      <c r="C67" s="258">
        <v>0</v>
      </c>
      <c r="D67" s="258" t="s">
        <v>601</v>
      </c>
      <c r="E67" s="258"/>
      <c r="F67" s="258" t="s">
        <v>488</v>
      </c>
      <c r="G67" s="258" t="s">
        <v>447</v>
      </c>
      <c r="H67" s="258">
        <v>0</v>
      </c>
      <c r="I67" s="1018"/>
      <c r="J67" s="1018"/>
      <c r="K67" s="1018"/>
      <c r="L67" s="258">
        <v>0</v>
      </c>
      <c r="M67" s="1018"/>
      <c r="N67" s="1018"/>
      <c r="O67" s="1018"/>
      <c r="P67" s="258">
        <v>0</v>
      </c>
      <c r="Q67" s="1018"/>
      <c r="R67" s="1018"/>
      <c r="S67" s="1018"/>
      <c r="T67" s="258">
        <v>0</v>
      </c>
      <c r="U67" s="1018"/>
      <c r="V67" s="1018"/>
      <c r="W67" s="1018"/>
    </row>
    <row r="68" spans="1:23" ht="20.25">
      <c r="A68" s="1023"/>
      <c r="B68" s="1023" t="s">
        <v>3952</v>
      </c>
      <c r="C68" s="258">
        <v>0</v>
      </c>
      <c r="D68" s="258" t="s">
        <v>601</v>
      </c>
      <c r="E68" s="258"/>
      <c r="F68" s="258" t="s">
        <v>488</v>
      </c>
      <c r="G68" s="258" t="s">
        <v>447</v>
      </c>
      <c r="H68" s="258">
        <v>0</v>
      </c>
      <c r="I68" s="1018"/>
      <c r="J68" s="1018"/>
      <c r="K68" s="1018"/>
      <c r="L68" s="258">
        <v>0</v>
      </c>
      <c r="M68" s="1018"/>
      <c r="N68" s="1018"/>
      <c r="O68" s="1018"/>
      <c r="P68" s="258">
        <v>0</v>
      </c>
      <c r="Q68" s="1018"/>
      <c r="R68" s="1018"/>
      <c r="S68" s="1018"/>
      <c r="T68" s="258">
        <v>0</v>
      </c>
      <c r="U68" s="1018"/>
      <c r="V68" s="1018"/>
      <c r="W68" s="1018"/>
    </row>
    <row r="69" spans="1:23" ht="20.25">
      <c r="A69" s="1023"/>
      <c r="B69" s="1023" t="s">
        <v>3604</v>
      </c>
      <c r="C69" s="258">
        <v>0</v>
      </c>
      <c r="D69" s="258" t="s">
        <v>601</v>
      </c>
      <c r="E69" s="258"/>
      <c r="F69" s="258" t="s">
        <v>488</v>
      </c>
      <c r="G69" s="258" t="s">
        <v>447</v>
      </c>
      <c r="H69" s="258">
        <v>0</v>
      </c>
      <c r="I69" s="1018"/>
      <c r="J69" s="1018"/>
      <c r="K69" s="1018"/>
      <c r="L69" s="258">
        <v>0</v>
      </c>
      <c r="M69" s="1018"/>
      <c r="N69" s="1018"/>
      <c r="O69" s="1018"/>
      <c r="P69" s="258">
        <v>0</v>
      </c>
      <c r="Q69" s="1018"/>
      <c r="R69" s="1018"/>
      <c r="S69" s="1018"/>
      <c r="T69" s="258">
        <v>0</v>
      </c>
      <c r="U69" s="1018"/>
      <c r="V69" s="1018"/>
      <c r="W69" s="1018"/>
    </row>
    <row r="70" spans="1:23" ht="20.25">
      <c r="A70" s="1023"/>
      <c r="B70" s="1023" t="s">
        <v>3619</v>
      </c>
      <c r="C70" s="258">
        <v>0</v>
      </c>
      <c r="D70" s="258" t="s">
        <v>3620</v>
      </c>
      <c r="E70" s="258"/>
      <c r="F70" s="258" t="s">
        <v>488</v>
      </c>
      <c r="G70" s="258" t="s">
        <v>447</v>
      </c>
      <c r="H70" s="258">
        <v>0</v>
      </c>
      <c r="I70" s="1018"/>
      <c r="J70" s="1018"/>
      <c r="K70" s="1018"/>
      <c r="L70" s="258">
        <v>0</v>
      </c>
      <c r="M70" s="1018"/>
      <c r="N70" s="1018"/>
      <c r="O70" s="1018"/>
      <c r="P70" s="258">
        <v>0</v>
      </c>
      <c r="Q70" s="1018"/>
      <c r="R70" s="1018"/>
      <c r="S70" s="1018"/>
      <c r="T70" s="258">
        <v>0</v>
      </c>
      <c r="U70" s="1018"/>
      <c r="V70" s="1018"/>
      <c r="W70" s="1018"/>
    </row>
    <row r="71" spans="1:23" ht="20.25">
      <c r="A71" s="1023"/>
      <c r="B71" s="1023" t="s">
        <v>3953</v>
      </c>
      <c r="C71" s="258">
        <v>0</v>
      </c>
      <c r="D71" s="258" t="s">
        <v>601</v>
      </c>
      <c r="E71" s="258"/>
      <c r="F71" s="258" t="s">
        <v>488</v>
      </c>
      <c r="G71" s="258" t="s">
        <v>447</v>
      </c>
      <c r="H71" s="258">
        <v>0</v>
      </c>
      <c r="I71" s="1018"/>
      <c r="J71" s="1018"/>
      <c r="K71" s="1018"/>
      <c r="L71" s="258">
        <v>0</v>
      </c>
      <c r="M71" s="1018"/>
      <c r="N71" s="1018"/>
      <c r="O71" s="1018"/>
      <c r="P71" s="258">
        <v>0</v>
      </c>
      <c r="Q71" s="1018"/>
      <c r="R71" s="1018"/>
      <c r="S71" s="1018"/>
      <c r="T71" s="258">
        <v>0</v>
      </c>
      <c r="U71" s="1018"/>
      <c r="V71" s="1018"/>
      <c r="W71" s="1018"/>
    </row>
    <row r="72" spans="1:23" ht="20.25">
      <c r="A72" s="1023"/>
      <c r="B72" s="1023" t="s">
        <v>3954</v>
      </c>
      <c r="C72" s="258">
        <v>0</v>
      </c>
      <c r="D72" s="258" t="s">
        <v>3047</v>
      </c>
      <c r="E72" s="258"/>
      <c r="F72" s="258" t="s">
        <v>488</v>
      </c>
      <c r="G72" s="258" t="s">
        <v>447</v>
      </c>
      <c r="H72" s="258">
        <v>0</v>
      </c>
      <c r="I72" s="1018"/>
      <c r="J72" s="1018"/>
      <c r="K72" s="1018"/>
      <c r="L72" s="258">
        <v>0</v>
      </c>
      <c r="M72" s="1018"/>
      <c r="N72" s="1018"/>
      <c r="O72" s="1018"/>
      <c r="P72" s="258">
        <v>0</v>
      </c>
      <c r="Q72" s="1018"/>
      <c r="R72" s="1018"/>
      <c r="S72" s="1018"/>
      <c r="T72" s="258">
        <v>0</v>
      </c>
      <c r="U72" s="1018"/>
      <c r="V72" s="1018"/>
      <c r="W72" s="1018"/>
    </row>
    <row r="73" spans="1:23" ht="20.25">
      <c r="A73" s="1023"/>
      <c r="B73" s="1023" t="s">
        <v>3955</v>
      </c>
      <c r="C73" s="258">
        <v>0</v>
      </c>
      <c r="D73" s="258" t="s">
        <v>3047</v>
      </c>
      <c r="E73" s="258"/>
      <c r="F73" s="258" t="s">
        <v>488</v>
      </c>
      <c r="G73" s="258" t="s">
        <v>447</v>
      </c>
      <c r="H73" s="258">
        <v>0</v>
      </c>
      <c r="I73" s="1018"/>
      <c r="J73" s="1018"/>
      <c r="K73" s="1018"/>
      <c r="L73" s="258">
        <v>0</v>
      </c>
      <c r="M73" s="1018"/>
      <c r="N73" s="1018"/>
      <c r="O73" s="1018"/>
      <c r="P73" s="258">
        <v>0</v>
      </c>
      <c r="Q73" s="1018"/>
      <c r="R73" s="1018"/>
      <c r="S73" s="1018"/>
      <c r="T73" s="258">
        <v>0</v>
      </c>
      <c r="U73" s="1018"/>
      <c r="V73" s="1018"/>
      <c r="W73" s="1018"/>
    </row>
    <row r="74" spans="1:23" ht="20.25">
      <c r="A74" s="1023"/>
      <c r="B74" s="1023" t="s">
        <v>3956</v>
      </c>
      <c r="C74" s="258">
        <v>0</v>
      </c>
      <c r="D74" s="258" t="s">
        <v>3642</v>
      </c>
      <c r="E74" s="258"/>
      <c r="F74" s="258" t="s">
        <v>488</v>
      </c>
      <c r="G74" s="258" t="s">
        <v>447</v>
      </c>
      <c r="H74" s="258">
        <v>0</v>
      </c>
      <c r="I74" s="1018"/>
      <c r="J74" s="1018"/>
      <c r="K74" s="1018"/>
      <c r="L74" s="258">
        <v>0</v>
      </c>
      <c r="M74" s="1018"/>
      <c r="N74" s="1018"/>
      <c r="O74" s="1018"/>
      <c r="P74" s="258">
        <v>0</v>
      </c>
      <c r="Q74" s="1018"/>
      <c r="R74" s="1018"/>
      <c r="S74" s="1018"/>
      <c r="T74" s="258">
        <v>0</v>
      </c>
      <c r="U74" s="1018"/>
      <c r="V74" s="1018"/>
      <c r="W74" s="1018"/>
    </row>
    <row r="75" spans="1:23" ht="20.25">
      <c r="A75" s="1023"/>
      <c r="B75" s="1023" t="s">
        <v>3638</v>
      </c>
      <c r="C75" s="258">
        <v>0</v>
      </c>
      <c r="D75" s="258" t="s">
        <v>3639</v>
      </c>
      <c r="E75" s="258"/>
      <c r="F75" s="258" t="s">
        <v>488</v>
      </c>
      <c r="G75" s="258" t="s">
        <v>447</v>
      </c>
      <c r="H75" s="258">
        <v>0</v>
      </c>
      <c r="I75" s="1018"/>
      <c r="J75" s="1018"/>
      <c r="K75" s="1018"/>
      <c r="L75" s="258">
        <v>0</v>
      </c>
      <c r="M75" s="1018"/>
      <c r="N75" s="1018"/>
      <c r="O75" s="1018"/>
      <c r="P75" s="258">
        <v>0</v>
      </c>
      <c r="Q75" s="1018"/>
      <c r="R75" s="1018"/>
      <c r="S75" s="1018"/>
      <c r="T75" s="258">
        <v>0</v>
      </c>
      <c r="U75" s="1018"/>
      <c r="V75" s="1018"/>
      <c r="W75" s="1018"/>
    </row>
    <row r="76" spans="1:23" ht="20.25">
      <c r="A76" s="1023"/>
      <c r="B76" s="1023" t="s">
        <v>3957</v>
      </c>
      <c r="C76" s="258">
        <v>0</v>
      </c>
      <c r="D76" s="258" t="s">
        <v>902</v>
      </c>
      <c r="E76" s="258"/>
      <c r="F76" s="258" t="s">
        <v>488</v>
      </c>
      <c r="G76" s="258" t="s">
        <v>447</v>
      </c>
      <c r="H76" s="258">
        <v>0</v>
      </c>
      <c r="I76" s="1018"/>
      <c r="J76" s="1018"/>
      <c r="K76" s="1018"/>
      <c r="L76" s="258">
        <v>0</v>
      </c>
      <c r="M76" s="1018"/>
      <c r="N76" s="1018"/>
      <c r="O76" s="1018"/>
      <c r="P76" s="258">
        <v>0</v>
      </c>
      <c r="Q76" s="1018"/>
      <c r="R76" s="1018"/>
      <c r="S76" s="1018"/>
      <c r="T76" s="258">
        <v>0</v>
      </c>
      <c r="U76" s="1018"/>
      <c r="V76" s="1018"/>
      <c r="W76" s="1018"/>
    </row>
    <row r="77" spans="1:23" ht="20.25">
      <c r="A77" s="1023"/>
      <c r="B77" s="1023" t="s">
        <v>3958</v>
      </c>
      <c r="C77" s="258">
        <v>0</v>
      </c>
      <c r="D77" s="258" t="s">
        <v>601</v>
      </c>
      <c r="E77" s="258"/>
      <c r="F77" s="258" t="s">
        <v>488</v>
      </c>
      <c r="G77" s="258" t="s">
        <v>447</v>
      </c>
      <c r="H77" s="258">
        <v>0</v>
      </c>
      <c r="I77" s="1018"/>
      <c r="J77" s="1018"/>
      <c r="K77" s="1018"/>
      <c r="L77" s="258">
        <v>0</v>
      </c>
      <c r="M77" s="1018"/>
      <c r="N77" s="1018"/>
      <c r="O77" s="1018"/>
      <c r="P77" s="258">
        <v>0</v>
      </c>
      <c r="Q77" s="1018"/>
      <c r="R77" s="1018"/>
      <c r="S77" s="1018"/>
      <c r="T77" s="258">
        <v>0</v>
      </c>
      <c r="U77" s="1018"/>
      <c r="V77" s="1018"/>
      <c r="W77" s="1018"/>
    </row>
    <row r="78" spans="1:23" ht="20.25">
      <c r="A78" s="1023"/>
      <c r="B78" s="1023" t="s">
        <v>3959</v>
      </c>
      <c r="C78" s="258">
        <v>0</v>
      </c>
      <c r="D78" s="258" t="s">
        <v>902</v>
      </c>
      <c r="E78" s="258"/>
      <c r="F78" s="258" t="s">
        <v>488</v>
      </c>
      <c r="G78" s="258" t="s">
        <v>447</v>
      </c>
      <c r="H78" s="258">
        <v>0</v>
      </c>
      <c r="I78" s="1018"/>
      <c r="J78" s="1018"/>
      <c r="K78" s="1018"/>
      <c r="L78" s="258">
        <v>0</v>
      </c>
      <c r="M78" s="1018"/>
      <c r="N78" s="1018"/>
      <c r="O78" s="1018"/>
      <c r="P78" s="258">
        <v>0</v>
      </c>
      <c r="Q78" s="1018"/>
      <c r="R78" s="1018"/>
      <c r="S78" s="1018"/>
      <c r="T78" s="258">
        <v>0</v>
      </c>
      <c r="U78" s="1018"/>
      <c r="V78" s="1018"/>
      <c r="W78" s="1018"/>
    </row>
    <row r="79" spans="1:23" ht="20.25">
      <c r="A79" s="1023"/>
      <c r="B79" s="1023" t="s">
        <v>3960</v>
      </c>
      <c r="C79" s="258">
        <v>0</v>
      </c>
      <c r="D79" s="258" t="s">
        <v>3047</v>
      </c>
      <c r="E79" s="258"/>
      <c r="F79" s="258" t="s">
        <v>488</v>
      </c>
      <c r="G79" s="258" t="s">
        <v>447</v>
      </c>
      <c r="H79" s="258">
        <v>0</v>
      </c>
      <c r="I79" s="1018"/>
      <c r="J79" s="1018"/>
      <c r="K79" s="1018"/>
      <c r="L79" s="258">
        <v>0</v>
      </c>
      <c r="M79" s="1018"/>
      <c r="N79" s="1018"/>
      <c r="O79" s="1018"/>
      <c r="P79" s="258">
        <v>0</v>
      </c>
      <c r="Q79" s="1018"/>
      <c r="R79" s="1018"/>
      <c r="S79" s="1018"/>
      <c r="T79" s="258">
        <v>0</v>
      </c>
      <c r="U79" s="1018"/>
      <c r="V79" s="1018"/>
      <c r="W79" s="1018"/>
    </row>
    <row r="80" spans="1:23" ht="20.25">
      <c r="A80" s="1023"/>
      <c r="B80" s="1023" t="s">
        <v>3961</v>
      </c>
      <c r="C80" s="258">
        <v>0</v>
      </c>
      <c r="D80" s="258" t="s">
        <v>155</v>
      </c>
      <c r="E80" s="258"/>
      <c r="F80" s="258" t="s">
        <v>488</v>
      </c>
      <c r="G80" s="258" t="s">
        <v>447</v>
      </c>
      <c r="H80" s="258">
        <v>0</v>
      </c>
      <c r="I80" s="1018"/>
      <c r="J80" s="1018"/>
      <c r="K80" s="1018"/>
      <c r="L80" s="258">
        <v>0</v>
      </c>
      <c r="M80" s="1018"/>
      <c r="N80" s="1018"/>
      <c r="O80" s="1018"/>
      <c r="P80" s="258">
        <v>0</v>
      </c>
      <c r="Q80" s="1018"/>
      <c r="R80" s="1018"/>
      <c r="S80" s="1018"/>
      <c r="T80" s="258">
        <v>0</v>
      </c>
      <c r="U80" s="1018"/>
      <c r="V80" s="1018"/>
      <c r="W80" s="1018"/>
    </row>
    <row r="81" spans="1:23" ht="20.25">
      <c r="A81" s="1023"/>
      <c r="B81" s="1023" t="s">
        <v>3962</v>
      </c>
      <c r="C81" s="258">
        <v>0</v>
      </c>
      <c r="D81" s="258" t="s">
        <v>155</v>
      </c>
      <c r="E81" s="258"/>
      <c r="F81" s="258" t="s">
        <v>488</v>
      </c>
      <c r="G81" s="258" t="s">
        <v>447</v>
      </c>
      <c r="H81" s="258">
        <v>0</v>
      </c>
      <c r="I81" s="1018"/>
      <c r="J81" s="1018"/>
      <c r="K81" s="1018"/>
      <c r="L81" s="258">
        <v>0</v>
      </c>
      <c r="M81" s="1018"/>
      <c r="N81" s="1018"/>
      <c r="O81" s="1018"/>
      <c r="P81" s="258">
        <v>0</v>
      </c>
      <c r="Q81" s="1018"/>
      <c r="R81" s="1018"/>
      <c r="S81" s="1018"/>
      <c r="T81" s="258">
        <v>0</v>
      </c>
      <c r="U81" s="1018"/>
      <c r="V81" s="1018"/>
      <c r="W81" s="1018"/>
    </row>
    <row r="82" spans="1:23" ht="20.25">
      <c r="A82" s="1023"/>
      <c r="B82" s="1023" t="s">
        <v>3963</v>
      </c>
      <c r="C82" s="258">
        <v>0</v>
      </c>
      <c r="D82" s="258" t="s">
        <v>155</v>
      </c>
      <c r="E82" s="258"/>
      <c r="F82" s="258" t="s">
        <v>488</v>
      </c>
      <c r="G82" s="258" t="s">
        <v>447</v>
      </c>
      <c r="H82" s="258">
        <v>0</v>
      </c>
      <c r="I82" s="1018"/>
      <c r="J82" s="1018"/>
      <c r="K82" s="1018"/>
      <c r="L82" s="258">
        <v>0</v>
      </c>
      <c r="M82" s="1018"/>
      <c r="N82" s="1018"/>
      <c r="O82" s="1018"/>
      <c r="P82" s="258">
        <v>0</v>
      </c>
      <c r="Q82" s="1018"/>
      <c r="R82" s="1018"/>
      <c r="S82" s="1018"/>
      <c r="T82" s="258">
        <v>0</v>
      </c>
      <c r="U82" s="1018"/>
      <c r="V82" s="1018"/>
      <c r="W82" s="1018"/>
    </row>
    <row r="83" spans="1:23" ht="20.25">
      <c r="A83" s="1023"/>
      <c r="B83" s="1023" t="s">
        <v>3964</v>
      </c>
      <c r="C83" s="258">
        <v>0</v>
      </c>
      <c r="D83" s="258" t="s">
        <v>263</v>
      </c>
      <c r="E83" s="258"/>
      <c r="F83" s="258" t="s">
        <v>488</v>
      </c>
      <c r="G83" s="258" t="s">
        <v>447</v>
      </c>
      <c r="H83" s="258">
        <v>0</v>
      </c>
      <c r="I83" s="1018"/>
      <c r="J83" s="1018"/>
      <c r="K83" s="1018"/>
      <c r="L83" s="258">
        <v>0</v>
      </c>
      <c r="M83" s="1018"/>
      <c r="N83" s="1018"/>
      <c r="O83" s="1018"/>
      <c r="P83" s="258">
        <v>0</v>
      </c>
      <c r="Q83" s="1018"/>
      <c r="R83" s="1018"/>
      <c r="S83" s="1018"/>
      <c r="T83" s="258">
        <v>0</v>
      </c>
      <c r="U83" s="1018"/>
      <c r="V83" s="1018"/>
      <c r="W83" s="1018"/>
    </row>
    <row r="84" spans="1:23" ht="20.25">
      <c r="A84" s="1023"/>
      <c r="B84" s="1023" t="s">
        <v>3965</v>
      </c>
      <c r="C84" s="258">
        <v>0</v>
      </c>
      <c r="D84" s="258" t="s">
        <v>155</v>
      </c>
      <c r="E84" s="258"/>
      <c r="F84" s="258" t="s">
        <v>488</v>
      </c>
      <c r="G84" s="258" t="s">
        <v>447</v>
      </c>
      <c r="H84" s="258">
        <v>0</v>
      </c>
      <c r="I84" s="1018"/>
      <c r="J84" s="1018"/>
      <c r="K84" s="1018"/>
      <c r="L84" s="258">
        <v>0</v>
      </c>
      <c r="M84" s="1018"/>
      <c r="N84" s="1018"/>
      <c r="O84" s="1018"/>
      <c r="P84" s="258">
        <v>0</v>
      </c>
      <c r="Q84" s="1018"/>
      <c r="R84" s="1018"/>
      <c r="S84" s="1018"/>
      <c r="T84" s="258">
        <v>0</v>
      </c>
      <c r="U84" s="1018"/>
      <c r="V84" s="1018"/>
      <c r="W84" s="1018"/>
    </row>
    <row r="85" spans="1:23" ht="20.25">
      <c r="A85" s="1023"/>
      <c r="B85" s="1023" t="s">
        <v>3663</v>
      </c>
      <c r="C85" s="258">
        <v>0</v>
      </c>
      <c r="D85" s="258" t="s">
        <v>601</v>
      </c>
      <c r="E85" s="258"/>
      <c r="F85" s="258" t="s">
        <v>488</v>
      </c>
      <c r="G85" s="258" t="s">
        <v>447</v>
      </c>
      <c r="H85" s="258">
        <v>0</v>
      </c>
      <c r="I85" s="1018"/>
      <c r="J85" s="1018"/>
      <c r="K85" s="1018"/>
      <c r="L85" s="258">
        <v>0</v>
      </c>
      <c r="M85" s="1018"/>
      <c r="N85" s="1018"/>
      <c r="O85" s="1018"/>
      <c r="P85" s="258">
        <v>0</v>
      </c>
      <c r="Q85" s="1018"/>
      <c r="R85" s="1018"/>
      <c r="S85" s="1018"/>
      <c r="T85" s="258">
        <v>0</v>
      </c>
      <c r="U85" s="1018"/>
      <c r="V85" s="1018"/>
      <c r="W85" s="1018"/>
    </row>
    <row r="86" spans="1:23" ht="20.25">
      <c r="A86" s="1023"/>
      <c r="B86" s="1023" t="s">
        <v>3966</v>
      </c>
      <c r="C86" s="258">
        <v>0</v>
      </c>
      <c r="D86" s="258" t="s">
        <v>189</v>
      </c>
      <c r="E86" s="258"/>
      <c r="F86" s="258" t="s">
        <v>488</v>
      </c>
      <c r="G86" s="258" t="s">
        <v>447</v>
      </c>
      <c r="H86" s="258">
        <v>0</v>
      </c>
      <c r="I86" s="1018"/>
      <c r="J86" s="1018"/>
      <c r="K86" s="1018"/>
      <c r="L86" s="258">
        <v>0</v>
      </c>
      <c r="M86" s="1018"/>
      <c r="N86" s="1018"/>
      <c r="O86" s="1018"/>
      <c r="P86" s="258">
        <v>0</v>
      </c>
      <c r="Q86" s="1018"/>
      <c r="R86" s="1018"/>
      <c r="S86" s="1018"/>
      <c r="T86" s="258">
        <v>0</v>
      </c>
      <c r="U86" s="1018"/>
      <c r="V86" s="1018"/>
      <c r="W86" s="1018"/>
    </row>
    <row r="87" spans="1:23" ht="20.25">
      <c r="A87" s="1023"/>
      <c r="B87" s="1023" t="s">
        <v>3668</v>
      </c>
      <c r="C87" s="258">
        <v>0</v>
      </c>
      <c r="D87" s="258" t="s">
        <v>3669</v>
      </c>
      <c r="E87" s="258"/>
      <c r="F87" s="258" t="s">
        <v>488</v>
      </c>
      <c r="G87" s="258" t="s">
        <v>447</v>
      </c>
      <c r="H87" s="258">
        <v>0</v>
      </c>
      <c r="I87" s="1018"/>
      <c r="J87" s="1018"/>
      <c r="K87" s="1018"/>
      <c r="L87" s="258">
        <v>0</v>
      </c>
      <c r="M87" s="1018"/>
      <c r="N87" s="1018"/>
      <c r="O87" s="1018"/>
      <c r="P87" s="258">
        <v>0</v>
      </c>
      <c r="Q87" s="1018"/>
      <c r="R87" s="1018"/>
      <c r="S87" s="1018"/>
      <c r="T87" s="258">
        <v>0</v>
      </c>
      <c r="U87" s="1018"/>
      <c r="V87" s="1018"/>
      <c r="W87" s="1018"/>
    </row>
    <row r="88" spans="1:23" ht="20.25">
      <c r="A88" s="1023"/>
      <c r="B88" s="1023" t="s">
        <v>3671</v>
      </c>
      <c r="C88" s="258">
        <v>0</v>
      </c>
      <c r="D88" s="258" t="s">
        <v>3669</v>
      </c>
      <c r="E88" s="258"/>
      <c r="F88" s="258" t="s">
        <v>488</v>
      </c>
      <c r="G88" s="258" t="s">
        <v>447</v>
      </c>
      <c r="H88" s="258">
        <v>0</v>
      </c>
      <c r="I88" s="1018"/>
      <c r="J88" s="1018"/>
      <c r="K88" s="1018"/>
      <c r="L88" s="258">
        <v>0</v>
      </c>
      <c r="M88" s="1018"/>
      <c r="N88" s="1018"/>
      <c r="O88" s="1018"/>
      <c r="P88" s="258">
        <v>0</v>
      </c>
      <c r="Q88" s="1018"/>
      <c r="R88" s="1018"/>
      <c r="S88" s="1018"/>
      <c r="T88" s="258">
        <v>0</v>
      </c>
      <c r="U88" s="1018"/>
      <c r="V88" s="1018"/>
      <c r="W88" s="1018"/>
    </row>
    <row r="89" spans="1:23" ht="20.25">
      <c r="A89" s="1023"/>
      <c r="B89" s="1023" t="s">
        <v>3967</v>
      </c>
      <c r="C89" s="258">
        <v>0</v>
      </c>
      <c r="D89" s="258" t="s">
        <v>3047</v>
      </c>
      <c r="E89" s="258"/>
      <c r="F89" s="258" t="s">
        <v>488</v>
      </c>
      <c r="G89" s="258" t="s">
        <v>447</v>
      </c>
      <c r="H89" s="258">
        <v>0</v>
      </c>
      <c r="I89" s="1018"/>
      <c r="J89" s="1018"/>
      <c r="K89" s="1018"/>
      <c r="L89" s="258">
        <v>0</v>
      </c>
      <c r="M89" s="1018"/>
      <c r="N89" s="1018"/>
      <c r="O89" s="1018"/>
      <c r="P89" s="258">
        <v>0</v>
      </c>
      <c r="Q89" s="1018"/>
      <c r="R89" s="1018"/>
      <c r="S89" s="1018"/>
      <c r="T89" s="258">
        <v>0</v>
      </c>
      <c r="U89" s="1018"/>
      <c r="V89" s="1018"/>
      <c r="W89" s="1018"/>
    </row>
    <row r="90" spans="1:23" ht="20.25">
      <c r="A90" s="1023"/>
      <c r="B90" s="1023" t="s">
        <v>3968</v>
      </c>
      <c r="C90" s="258">
        <v>0</v>
      </c>
      <c r="D90" s="258" t="s">
        <v>601</v>
      </c>
      <c r="E90" s="258"/>
      <c r="F90" s="258" t="s">
        <v>488</v>
      </c>
      <c r="G90" s="258" t="s">
        <v>447</v>
      </c>
      <c r="H90" s="258">
        <v>0</v>
      </c>
      <c r="I90" s="1018"/>
      <c r="J90" s="1018"/>
      <c r="K90" s="1018"/>
      <c r="L90" s="258">
        <v>0</v>
      </c>
      <c r="M90" s="1018"/>
      <c r="N90" s="1018"/>
      <c r="O90" s="1018"/>
      <c r="P90" s="258">
        <v>0</v>
      </c>
      <c r="Q90" s="1018"/>
      <c r="R90" s="1018"/>
      <c r="S90" s="1018"/>
      <c r="T90" s="258">
        <v>0</v>
      </c>
      <c r="U90" s="1018"/>
      <c r="V90" s="1018"/>
      <c r="W90" s="1018"/>
    </row>
    <row r="91" spans="1:23" ht="20.25">
      <c r="A91" s="1023"/>
      <c r="B91" s="1023" t="s">
        <v>3969</v>
      </c>
      <c r="C91" s="258">
        <v>0</v>
      </c>
      <c r="D91" s="258" t="s">
        <v>601</v>
      </c>
      <c r="E91" s="258"/>
      <c r="F91" s="258" t="s">
        <v>488</v>
      </c>
      <c r="G91" s="258" t="s">
        <v>447</v>
      </c>
      <c r="H91" s="258">
        <v>0</v>
      </c>
      <c r="I91" s="1018"/>
      <c r="J91" s="1018"/>
      <c r="K91" s="1018"/>
      <c r="L91" s="258">
        <v>0</v>
      </c>
      <c r="M91" s="1018"/>
      <c r="N91" s="1018"/>
      <c r="O91" s="1018"/>
      <c r="P91" s="258">
        <v>0</v>
      </c>
      <c r="Q91" s="1018"/>
      <c r="R91" s="1018"/>
      <c r="S91" s="1018"/>
      <c r="T91" s="258">
        <v>0</v>
      </c>
      <c r="U91" s="1018"/>
      <c r="V91" s="1018"/>
      <c r="W91" s="1018"/>
    </row>
    <row r="92" spans="1:23" ht="20.25">
      <c r="A92" s="1023"/>
      <c r="B92" s="1023" t="s">
        <v>3970</v>
      </c>
      <c r="C92" s="258">
        <v>0</v>
      </c>
      <c r="D92" s="258" t="s">
        <v>3684</v>
      </c>
      <c r="E92" s="258"/>
      <c r="F92" s="258" t="s">
        <v>488</v>
      </c>
      <c r="G92" s="258" t="s">
        <v>447</v>
      </c>
      <c r="H92" s="258">
        <v>0</v>
      </c>
      <c r="I92" s="1018"/>
      <c r="J92" s="1018"/>
      <c r="K92" s="1018"/>
      <c r="L92" s="258">
        <v>0</v>
      </c>
      <c r="M92" s="1018"/>
      <c r="N92" s="1018"/>
      <c r="O92" s="1018"/>
      <c r="P92" s="258">
        <v>0</v>
      </c>
      <c r="Q92" s="1018"/>
      <c r="R92" s="1018"/>
      <c r="S92" s="1018"/>
      <c r="T92" s="258">
        <v>0</v>
      </c>
      <c r="U92" s="1018"/>
      <c r="V92" s="1018"/>
      <c r="W92" s="1018"/>
    </row>
    <row r="93" spans="1:23" ht="20.25">
      <c r="A93" s="1023"/>
      <c r="B93" s="1023" t="s">
        <v>3971</v>
      </c>
      <c r="C93" s="258">
        <v>0</v>
      </c>
      <c r="D93" s="258" t="s">
        <v>601</v>
      </c>
      <c r="E93" s="258"/>
      <c r="F93" s="258" t="s">
        <v>488</v>
      </c>
      <c r="G93" s="258" t="s">
        <v>447</v>
      </c>
      <c r="H93" s="258">
        <v>0</v>
      </c>
      <c r="I93" s="1018"/>
      <c r="J93" s="1018"/>
      <c r="K93" s="1018"/>
      <c r="L93" s="258">
        <v>0</v>
      </c>
      <c r="M93" s="1018"/>
      <c r="N93" s="1018"/>
      <c r="O93" s="1018"/>
      <c r="P93" s="258">
        <v>0</v>
      </c>
      <c r="Q93" s="1018"/>
      <c r="R93" s="1018"/>
      <c r="S93" s="1018"/>
      <c r="T93" s="258">
        <v>0</v>
      </c>
      <c r="U93" s="1018"/>
      <c r="V93" s="1018"/>
      <c r="W93" s="1018"/>
    </row>
    <row r="94" spans="1:23" ht="20.25">
      <c r="A94" s="1023"/>
      <c r="B94" s="1023" t="s">
        <v>3972</v>
      </c>
      <c r="C94" s="258">
        <v>0</v>
      </c>
      <c r="D94" s="258" t="s">
        <v>601</v>
      </c>
      <c r="E94" s="258"/>
      <c r="F94" s="258" t="s">
        <v>488</v>
      </c>
      <c r="G94" s="258" t="s">
        <v>447</v>
      </c>
      <c r="H94" s="258">
        <v>0</v>
      </c>
      <c r="I94" s="1018"/>
      <c r="J94" s="1018"/>
      <c r="K94" s="1018"/>
      <c r="L94" s="258">
        <v>0</v>
      </c>
      <c r="M94" s="1018"/>
      <c r="N94" s="1018"/>
      <c r="O94" s="1018"/>
      <c r="P94" s="258">
        <v>0</v>
      </c>
      <c r="Q94" s="1018"/>
      <c r="R94" s="1018"/>
      <c r="S94" s="1018"/>
      <c r="T94" s="258">
        <v>0</v>
      </c>
      <c r="U94" s="1018"/>
      <c r="V94" s="1018"/>
      <c r="W94" s="1018"/>
    </row>
    <row r="95" spans="1:23" ht="20.25">
      <c r="A95" s="1023"/>
      <c r="B95" s="1023" t="s">
        <v>3973</v>
      </c>
      <c r="C95" s="258">
        <v>0</v>
      </c>
      <c r="D95" s="258" t="s">
        <v>601</v>
      </c>
      <c r="E95" s="258"/>
      <c r="F95" s="258" t="s">
        <v>488</v>
      </c>
      <c r="G95" s="258" t="s">
        <v>447</v>
      </c>
      <c r="H95" s="258">
        <v>0</v>
      </c>
      <c r="I95" s="1018"/>
      <c r="J95" s="1018"/>
      <c r="K95" s="1018"/>
      <c r="L95" s="258">
        <v>0</v>
      </c>
      <c r="M95" s="1018"/>
      <c r="N95" s="1018"/>
      <c r="O95" s="1018"/>
      <c r="P95" s="258">
        <v>0</v>
      </c>
      <c r="Q95" s="1018"/>
      <c r="R95" s="1018"/>
      <c r="S95" s="1018"/>
      <c r="T95" s="258">
        <v>0</v>
      </c>
      <c r="U95" s="1018"/>
      <c r="V95" s="1018"/>
      <c r="W95" s="1018"/>
    </row>
    <row r="96" spans="1:23" ht="20.25">
      <c r="A96" s="1023"/>
      <c r="B96" s="1023" t="s">
        <v>3974</v>
      </c>
      <c r="C96" s="258">
        <v>0</v>
      </c>
      <c r="D96" s="258" t="s">
        <v>601</v>
      </c>
      <c r="E96" s="258"/>
      <c r="F96" s="258" t="s">
        <v>488</v>
      </c>
      <c r="G96" s="258" t="s">
        <v>447</v>
      </c>
      <c r="H96" s="258">
        <v>0</v>
      </c>
      <c r="I96" s="1018"/>
      <c r="J96" s="1018"/>
      <c r="K96" s="1018"/>
      <c r="L96" s="258">
        <v>0</v>
      </c>
      <c r="M96" s="1018"/>
      <c r="N96" s="1018"/>
      <c r="O96" s="1018"/>
      <c r="P96" s="258">
        <v>0</v>
      </c>
      <c r="Q96" s="1018"/>
      <c r="R96" s="1018"/>
      <c r="S96" s="1018"/>
      <c r="T96" s="258">
        <v>0</v>
      </c>
      <c r="U96" s="1018"/>
      <c r="V96" s="1018"/>
      <c r="W96" s="1018"/>
    </row>
    <row r="97" spans="1:23" ht="20.25">
      <c r="A97" s="1023"/>
      <c r="B97" s="1023" t="s">
        <v>3975</v>
      </c>
      <c r="C97" s="258">
        <v>0</v>
      </c>
      <c r="D97" s="258" t="s">
        <v>486</v>
      </c>
      <c r="E97" s="258"/>
      <c r="F97" s="258" t="s">
        <v>488</v>
      </c>
      <c r="G97" s="258" t="s">
        <v>447</v>
      </c>
      <c r="H97" s="258">
        <v>0</v>
      </c>
      <c r="I97" s="1018"/>
      <c r="J97" s="1018"/>
      <c r="K97" s="1018"/>
      <c r="L97" s="258">
        <v>0</v>
      </c>
      <c r="M97" s="1018"/>
      <c r="N97" s="1018"/>
      <c r="O97" s="1018"/>
      <c r="P97" s="258">
        <v>0</v>
      </c>
      <c r="Q97" s="1018"/>
      <c r="R97" s="1018"/>
      <c r="S97" s="1018"/>
      <c r="T97" s="258">
        <v>0</v>
      </c>
      <c r="U97" s="1018"/>
      <c r="V97" s="1018"/>
      <c r="W97" s="1018"/>
    </row>
    <row r="98" spans="1:23" ht="20.25">
      <c r="A98" s="1023"/>
      <c r="B98" s="1023" t="s">
        <v>3976</v>
      </c>
      <c r="C98" s="258">
        <v>0</v>
      </c>
      <c r="D98" s="258" t="s">
        <v>3047</v>
      </c>
      <c r="E98" s="258"/>
      <c r="F98" s="258" t="s">
        <v>488</v>
      </c>
      <c r="G98" s="258" t="s">
        <v>447</v>
      </c>
      <c r="H98" s="258">
        <v>0</v>
      </c>
      <c r="I98" s="1018"/>
      <c r="J98" s="1018"/>
      <c r="K98" s="1018"/>
      <c r="L98" s="258">
        <v>0</v>
      </c>
      <c r="M98" s="1018"/>
      <c r="N98" s="1018"/>
      <c r="O98" s="1018"/>
      <c r="P98" s="258">
        <v>0</v>
      </c>
      <c r="Q98" s="1018"/>
      <c r="R98" s="1018"/>
      <c r="S98" s="1018"/>
      <c r="T98" s="258">
        <v>0</v>
      </c>
      <c r="U98" s="1018"/>
      <c r="V98" s="1018"/>
      <c r="W98" s="1018"/>
    </row>
    <row r="99" spans="1:23" ht="20.25">
      <c r="A99" s="1023"/>
      <c r="B99" s="1023" t="s">
        <v>3977</v>
      </c>
      <c r="C99" s="258">
        <v>0</v>
      </c>
      <c r="D99" s="258" t="s">
        <v>3047</v>
      </c>
      <c r="E99" s="258"/>
      <c r="F99" s="258" t="s">
        <v>488</v>
      </c>
      <c r="G99" s="258" t="s">
        <v>447</v>
      </c>
      <c r="H99" s="258">
        <v>0</v>
      </c>
      <c r="I99" s="1018"/>
      <c r="J99" s="1018"/>
      <c r="K99" s="1018"/>
      <c r="L99" s="258">
        <v>0</v>
      </c>
      <c r="M99" s="1018"/>
      <c r="N99" s="1018"/>
      <c r="O99" s="1018"/>
      <c r="P99" s="258">
        <v>0</v>
      </c>
      <c r="Q99" s="1018"/>
      <c r="R99" s="1018"/>
      <c r="S99" s="1018"/>
      <c r="T99" s="258">
        <v>0</v>
      </c>
      <c r="U99" s="1018"/>
      <c r="V99" s="1018"/>
      <c r="W99" s="1018"/>
    </row>
    <row r="100" spans="1:23" ht="20.25">
      <c r="A100" s="1023"/>
      <c r="B100" s="1023" t="s">
        <v>3978</v>
      </c>
      <c r="C100" s="258">
        <v>0</v>
      </c>
      <c r="D100" s="258" t="s">
        <v>601</v>
      </c>
      <c r="E100" s="258"/>
      <c r="F100" s="258" t="s">
        <v>488</v>
      </c>
      <c r="G100" s="258" t="s">
        <v>447</v>
      </c>
      <c r="H100" s="258">
        <v>0</v>
      </c>
      <c r="I100" s="1018"/>
      <c r="J100" s="1018"/>
      <c r="K100" s="1018"/>
      <c r="L100" s="258">
        <v>0</v>
      </c>
      <c r="M100" s="1018"/>
      <c r="N100" s="1018"/>
      <c r="O100" s="1018"/>
      <c r="P100" s="258">
        <v>0</v>
      </c>
      <c r="Q100" s="1018"/>
      <c r="R100" s="1018"/>
      <c r="S100" s="1018"/>
      <c r="T100" s="258">
        <v>0</v>
      </c>
      <c r="U100" s="1018"/>
      <c r="V100" s="1018"/>
      <c r="W100" s="1018"/>
    </row>
    <row r="101" spans="1:23" ht="20.25">
      <c r="A101" s="1023"/>
      <c r="B101" s="1023" t="s">
        <v>3979</v>
      </c>
      <c r="C101" s="258">
        <v>0</v>
      </c>
      <c r="D101" s="258" t="s">
        <v>155</v>
      </c>
      <c r="E101" s="258"/>
      <c r="F101" s="258" t="s">
        <v>488</v>
      </c>
      <c r="G101" s="258" t="s">
        <v>447</v>
      </c>
      <c r="H101" s="258">
        <v>0</v>
      </c>
      <c r="I101" s="1018"/>
      <c r="J101" s="1018"/>
      <c r="K101" s="1018"/>
      <c r="L101" s="258">
        <v>0</v>
      </c>
      <c r="M101" s="1018"/>
      <c r="N101" s="1018"/>
      <c r="O101" s="1018"/>
      <c r="P101" s="258">
        <v>0</v>
      </c>
      <c r="Q101" s="1018"/>
      <c r="R101" s="1018"/>
      <c r="S101" s="1018"/>
      <c r="T101" s="258">
        <v>0</v>
      </c>
      <c r="U101" s="1018"/>
      <c r="V101" s="1018"/>
      <c r="W101" s="1018"/>
    </row>
    <row r="102" spans="1:23" ht="20.25">
      <c r="A102" s="1023"/>
      <c r="B102" s="1023" t="s">
        <v>3980</v>
      </c>
      <c r="C102" s="258">
        <v>0</v>
      </c>
      <c r="D102" s="258" t="s">
        <v>3715</v>
      </c>
      <c r="E102" s="258"/>
      <c r="F102" s="258" t="s">
        <v>488</v>
      </c>
      <c r="G102" s="258" t="s">
        <v>447</v>
      </c>
      <c r="H102" s="258">
        <v>0</v>
      </c>
      <c r="I102" s="1018"/>
      <c r="J102" s="1018"/>
      <c r="K102" s="1018"/>
      <c r="L102" s="258">
        <v>0</v>
      </c>
      <c r="M102" s="1018"/>
      <c r="N102" s="1018"/>
      <c r="O102" s="1018"/>
      <c r="P102" s="258">
        <v>0</v>
      </c>
      <c r="Q102" s="1018"/>
      <c r="R102" s="1018"/>
      <c r="S102" s="1018"/>
      <c r="T102" s="258">
        <v>0</v>
      </c>
      <c r="U102" s="1018"/>
      <c r="V102" s="1018"/>
      <c r="W102" s="1018"/>
    </row>
    <row r="103" spans="1:23" ht="20.25">
      <c r="A103" s="1023"/>
      <c r="B103" s="1023" t="s">
        <v>3981</v>
      </c>
      <c r="C103" s="258">
        <v>0</v>
      </c>
      <c r="D103" s="258" t="s">
        <v>92</v>
      </c>
      <c r="E103" s="258"/>
      <c r="F103" s="258" t="s">
        <v>488</v>
      </c>
      <c r="G103" s="258" t="s">
        <v>447</v>
      </c>
      <c r="H103" s="258">
        <v>0</v>
      </c>
      <c r="I103" s="1018"/>
      <c r="J103" s="1018"/>
      <c r="K103" s="1018"/>
      <c r="L103" s="258">
        <v>0</v>
      </c>
      <c r="M103" s="1018"/>
      <c r="N103" s="1018"/>
      <c r="O103" s="1018"/>
      <c r="P103" s="258">
        <v>0</v>
      </c>
      <c r="Q103" s="1018"/>
      <c r="R103" s="1018"/>
      <c r="S103" s="1018"/>
      <c r="T103" s="258">
        <v>0</v>
      </c>
      <c r="U103" s="1018"/>
      <c r="V103" s="1018"/>
      <c r="W103" s="1018"/>
    </row>
    <row r="104" spans="1:23" ht="20.25">
      <c r="A104" s="1023"/>
      <c r="B104" s="1023" t="s">
        <v>3982</v>
      </c>
      <c r="C104" s="258">
        <v>0</v>
      </c>
      <c r="D104" s="258" t="s">
        <v>601</v>
      </c>
      <c r="E104" s="258"/>
      <c r="F104" s="258" t="s">
        <v>488</v>
      </c>
      <c r="G104" s="258" t="s">
        <v>447</v>
      </c>
      <c r="H104" s="258">
        <v>0</v>
      </c>
      <c r="I104" s="1018"/>
      <c r="J104" s="1018"/>
      <c r="K104" s="1018"/>
      <c r="L104" s="258">
        <v>0</v>
      </c>
      <c r="M104" s="1018"/>
      <c r="N104" s="1018"/>
      <c r="O104" s="1018"/>
      <c r="P104" s="258">
        <v>0</v>
      </c>
      <c r="Q104" s="1018"/>
      <c r="R104" s="1018"/>
      <c r="S104" s="1018"/>
      <c r="T104" s="258">
        <v>0</v>
      </c>
      <c r="U104" s="1018"/>
      <c r="V104" s="1018"/>
      <c r="W104" s="1018"/>
    </row>
    <row r="105" spans="1:23" ht="20.25">
      <c r="A105" s="1023"/>
      <c r="B105" s="1023" t="s">
        <v>3983</v>
      </c>
      <c r="C105" s="258">
        <v>0</v>
      </c>
      <c r="D105" s="258" t="s">
        <v>3715</v>
      </c>
      <c r="E105" s="258"/>
      <c r="F105" s="258" t="s">
        <v>488</v>
      </c>
      <c r="G105" s="258" t="s">
        <v>447</v>
      </c>
      <c r="H105" s="258">
        <v>0</v>
      </c>
      <c r="I105" s="1018"/>
      <c r="J105" s="1018"/>
      <c r="K105" s="1018"/>
      <c r="L105" s="258">
        <v>0</v>
      </c>
      <c r="M105" s="1018"/>
      <c r="N105" s="1018"/>
      <c r="O105" s="1018"/>
      <c r="P105" s="258">
        <v>0</v>
      </c>
      <c r="Q105" s="1018"/>
      <c r="R105" s="1018"/>
      <c r="S105" s="1018"/>
      <c r="T105" s="258">
        <v>0</v>
      </c>
      <c r="U105" s="1018"/>
      <c r="V105" s="1018"/>
      <c r="W105" s="1018"/>
    </row>
    <row r="106" spans="1:23" ht="20.25">
      <c r="A106" s="1023"/>
      <c r="B106" s="1023" t="s">
        <v>3984</v>
      </c>
      <c r="C106" s="258">
        <v>0</v>
      </c>
      <c r="D106" s="258" t="s">
        <v>3715</v>
      </c>
      <c r="E106" s="258"/>
      <c r="F106" s="258" t="s">
        <v>488</v>
      </c>
      <c r="G106" s="258" t="s">
        <v>447</v>
      </c>
      <c r="H106" s="258">
        <v>0</v>
      </c>
      <c r="I106" s="1018"/>
      <c r="J106" s="1018"/>
      <c r="K106" s="1018"/>
      <c r="L106" s="258">
        <v>0</v>
      </c>
      <c r="M106" s="1018"/>
      <c r="N106" s="1018"/>
      <c r="O106" s="1018"/>
      <c r="P106" s="258">
        <v>0</v>
      </c>
      <c r="Q106" s="1018"/>
      <c r="R106" s="1018"/>
      <c r="S106" s="1018"/>
      <c r="T106" s="258">
        <v>0</v>
      </c>
      <c r="U106" s="1018"/>
      <c r="V106" s="1018"/>
      <c r="W106" s="1018"/>
    </row>
    <row r="107" spans="1:23" ht="20.25">
      <c r="A107" s="1023"/>
      <c r="B107" s="1023" t="s">
        <v>3985</v>
      </c>
      <c r="C107" s="258">
        <v>0</v>
      </c>
      <c r="D107" s="258" t="s">
        <v>3715</v>
      </c>
      <c r="E107" s="258"/>
      <c r="F107" s="258" t="s">
        <v>488</v>
      </c>
      <c r="G107" s="258" t="s">
        <v>447</v>
      </c>
      <c r="H107" s="258">
        <v>0</v>
      </c>
      <c r="I107" s="1018"/>
      <c r="J107" s="1018"/>
      <c r="K107" s="1018"/>
      <c r="L107" s="258">
        <v>0</v>
      </c>
      <c r="M107" s="1018"/>
      <c r="N107" s="1018"/>
      <c r="O107" s="1018"/>
      <c r="P107" s="258">
        <v>0</v>
      </c>
      <c r="Q107" s="1018"/>
      <c r="R107" s="1018"/>
      <c r="S107" s="1018"/>
      <c r="T107" s="258">
        <v>0</v>
      </c>
      <c r="U107" s="1018"/>
      <c r="V107" s="1018"/>
      <c r="W107" s="1018"/>
    </row>
    <row r="108" spans="1:23" ht="20.25">
      <c r="A108" s="1023"/>
      <c r="B108" s="1023" t="s">
        <v>3986</v>
      </c>
      <c r="C108" s="258">
        <v>0</v>
      </c>
      <c r="D108" s="258" t="s">
        <v>3715</v>
      </c>
      <c r="E108" s="258"/>
      <c r="F108" s="258" t="s">
        <v>488</v>
      </c>
      <c r="G108" s="258" t="s">
        <v>447</v>
      </c>
      <c r="H108" s="258">
        <v>0</v>
      </c>
      <c r="I108" s="1018"/>
      <c r="J108" s="1018"/>
      <c r="K108" s="1018"/>
      <c r="L108" s="258">
        <v>0</v>
      </c>
      <c r="M108" s="1018"/>
      <c r="N108" s="1018"/>
      <c r="O108" s="1018"/>
      <c r="P108" s="258">
        <v>0</v>
      </c>
      <c r="Q108" s="1018"/>
      <c r="R108" s="1018"/>
      <c r="S108" s="1018"/>
      <c r="T108" s="258">
        <v>0</v>
      </c>
      <c r="U108" s="1018"/>
      <c r="V108" s="1018"/>
      <c r="W108" s="1018"/>
    </row>
    <row r="109" spans="1:23" ht="20.25">
      <c r="A109" s="1023"/>
      <c r="B109" s="1023" t="s">
        <v>3987</v>
      </c>
      <c r="C109" s="258">
        <v>0</v>
      </c>
      <c r="D109" s="258" t="s">
        <v>3715</v>
      </c>
      <c r="E109" s="258"/>
      <c r="F109" s="258" t="s">
        <v>488</v>
      </c>
      <c r="G109" s="258" t="s">
        <v>447</v>
      </c>
      <c r="H109" s="258">
        <v>0</v>
      </c>
      <c r="I109" s="1018"/>
      <c r="J109" s="1018"/>
      <c r="K109" s="1018"/>
      <c r="L109" s="258">
        <v>0</v>
      </c>
      <c r="M109" s="1018"/>
      <c r="N109" s="1018"/>
      <c r="O109" s="1018"/>
      <c r="P109" s="258">
        <v>0</v>
      </c>
      <c r="Q109" s="1018"/>
      <c r="R109" s="1018"/>
      <c r="S109" s="1018"/>
      <c r="T109" s="258">
        <v>0</v>
      </c>
      <c r="U109" s="1018"/>
      <c r="V109" s="1018"/>
      <c r="W109" s="1018"/>
    </row>
    <row r="110" spans="1:23" ht="20.25">
      <c r="A110" s="1023"/>
      <c r="B110" s="1023" t="s">
        <v>3988</v>
      </c>
      <c r="C110" s="258">
        <v>0</v>
      </c>
      <c r="D110" s="258" t="s">
        <v>3715</v>
      </c>
      <c r="E110" s="258"/>
      <c r="F110" s="258" t="s">
        <v>488</v>
      </c>
      <c r="G110" s="258" t="s">
        <v>447</v>
      </c>
      <c r="H110" s="258">
        <v>0</v>
      </c>
      <c r="I110" s="1018"/>
      <c r="J110" s="1018"/>
      <c r="K110" s="1018"/>
      <c r="L110" s="258">
        <v>0</v>
      </c>
      <c r="M110" s="1018"/>
      <c r="N110" s="1018"/>
      <c r="O110" s="1018"/>
      <c r="P110" s="258">
        <v>0</v>
      </c>
      <c r="Q110" s="1018"/>
      <c r="R110" s="1018"/>
      <c r="S110" s="1018"/>
      <c r="T110" s="258">
        <v>0</v>
      </c>
      <c r="U110" s="1018"/>
      <c r="V110" s="1018"/>
      <c r="W110" s="1018"/>
    </row>
    <row r="111" spans="1:23" ht="20.25">
      <c r="A111" s="1023"/>
      <c r="B111" s="1023" t="s">
        <v>3989</v>
      </c>
      <c r="C111" s="258">
        <v>0</v>
      </c>
      <c r="D111" s="258" t="s">
        <v>3715</v>
      </c>
      <c r="E111" s="258"/>
      <c r="F111" s="258" t="s">
        <v>488</v>
      </c>
      <c r="G111" s="258" t="s">
        <v>447</v>
      </c>
      <c r="H111" s="258">
        <v>0</v>
      </c>
      <c r="I111" s="1018"/>
      <c r="J111" s="1018"/>
      <c r="K111" s="1018"/>
      <c r="L111" s="258">
        <v>0</v>
      </c>
      <c r="M111" s="1018"/>
      <c r="N111" s="1018"/>
      <c r="O111" s="1018"/>
      <c r="P111" s="258">
        <v>0</v>
      </c>
      <c r="Q111" s="1018"/>
      <c r="R111" s="1018"/>
      <c r="S111" s="1018"/>
      <c r="T111" s="258">
        <v>0</v>
      </c>
      <c r="U111" s="1018"/>
      <c r="V111" s="1018"/>
      <c r="W111" s="1018"/>
    </row>
    <row r="112" spans="1:23" ht="20.25">
      <c r="A112" s="1023"/>
      <c r="B112" s="1023" t="s">
        <v>3990</v>
      </c>
      <c r="C112" s="258">
        <v>0</v>
      </c>
      <c r="D112" s="258" t="s">
        <v>3715</v>
      </c>
      <c r="E112" s="258"/>
      <c r="F112" s="258" t="s">
        <v>488</v>
      </c>
      <c r="G112" s="258" t="s">
        <v>447</v>
      </c>
      <c r="H112" s="258">
        <v>0</v>
      </c>
      <c r="I112" s="1018"/>
      <c r="J112" s="1018"/>
      <c r="K112" s="1018"/>
      <c r="L112" s="258">
        <v>0</v>
      </c>
      <c r="M112" s="1018"/>
      <c r="N112" s="1018"/>
      <c r="O112" s="1018"/>
      <c r="P112" s="258">
        <v>0</v>
      </c>
      <c r="Q112" s="1018"/>
      <c r="R112" s="1018"/>
      <c r="S112" s="1018"/>
      <c r="T112" s="258">
        <v>0</v>
      </c>
      <c r="U112" s="1018"/>
      <c r="V112" s="1018"/>
      <c r="W112" s="1018"/>
    </row>
    <row r="113" spans="1:23" ht="20.25">
      <c r="A113" s="1023"/>
      <c r="B113" s="1023" t="s">
        <v>3991</v>
      </c>
      <c r="C113" s="258">
        <v>0</v>
      </c>
      <c r="D113" s="258" t="s">
        <v>103</v>
      </c>
      <c r="E113" s="258"/>
      <c r="F113" s="258" t="s">
        <v>488</v>
      </c>
      <c r="G113" s="258" t="s">
        <v>447</v>
      </c>
      <c r="H113" s="258">
        <v>0</v>
      </c>
      <c r="I113" s="1018"/>
      <c r="J113" s="1018"/>
      <c r="K113" s="1018"/>
      <c r="L113" s="258">
        <v>0</v>
      </c>
      <c r="M113" s="1018"/>
      <c r="N113" s="1018"/>
      <c r="O113" s="1018"/>
      <c r="P113" s="258">
        <v>0</v>
      </c>
      <c r="Q113" s="1018"/>
      <c r="R113" s="1018"/>
      <c r="S113" s="1018"/>
      <c r="T113" s="258">
        <v>0</v>
      </c>
      <c r="U113" s="1018"/>
      <c r="V113" s="1018"/>
      <c r="W113" s="1018"/>
    </row>
    <row r="114" spans="1:23" ht="20.25">
      <c r="A114" s="1023"/>
      <c r="B114" s="1023" t="s">
        <v>3992</v>
      </c>
      <c r="C114" s="258">
        <v>0</v>
      </c>
      <c r="D114" s="258" t="s">
        <v>103</v>
      </c>
      <c r="E114" s="258"/>
      <c r="F114" s="258" t="s">
        <v>488</v>
      </c>
      <c r="G114" s="258" t="s">
        <v>447</v>
      </c>
      <c r="H114" s="258">
        <v>0</v>
      </c>
      <c r="I114" s="1018"/>
      <c r="J114" s="1018"/>
      <c r="K114" s="1018"/>
      <c r="L114" s="258">
        <v>0</v>
      </c>
      <c r="M114" s="1018"/>
      <c r="N114" s="1018"/>
      <c r="O114" s="1018"/>
      <c r="P114" s="258">
        <v>0</v>
      </c>
      <c r="Q114" s="1018"/>
      <c r="R114" s="1018"/>
      <c r="S114" s="1018"/>
      <c r="T114" s="258">
        <v>0</v>
      </c>
      <c r="U114" s="1018"/>
      <c r="V114" s="1018"/>
      <c r="W114" s="1018"/>
    </row>
    <row r="115" spans="1:23" ht="20.25">
      <c r="A115" s="1023"/>
      <c r="B115" s="1023" t="s">
        <v>3993</v>
      </c>
      <c r="C115" s="258">
        <v>0</v>
      </c>
      <c r="D115" s="258" t="s">
        <v>103</v>
      </c>
      <c r="E115" s="258"/>
      <c r="F115" s="258" t="s">
        <v>488</v>
      </c>
      <c r="G115" s="258" t="s">
        <v>447</v>
      </c>
      <c r="H115" s="258">
        <v>0</v>
      </c>
      <c r="I115" s="1018"/>
      <c r="J115" s="1018"/>
      <c r="K115" s="1018"/>
      <c r="L115" s="258">
        <v>0</v>
      </c>
      <c r="M115" s="1018"/>
      <c r="N115" s="1018"/>
      <c r="O115" s="1018"/>
      <c r="P115" s="258">
        <v>0</v>
      </c>
      <c r="Q115" s="1018"/>
      <c r="R115" s="1018"/>
      <c r="S115" s="1018"/>
      <c r="T115" s="258">
        <v>0</v>
      </c>
      <c r="U115" s="1018"/>
      <c r="V115" s="1018"/>
      <c r="W115" s="1018"/>
    </row>
    <row r="116" spans="1:23" ht="20.25">
      <c r="A116" s="1023"/>
      <c r="B116" s="1023" t="s">
        <v>3887</v>
      </c>
      <c r="C116" s="258">
        <v>0</v>
      </c>
      <c r="D116" s="258" t="s">
        <v>103</v>
      </c>
      <c r="E116" s="258"/>
      <c r="F116" s="258" t="s">
        <v>488</v>
      </c>
      <c r="G116" s="258" t="s">
        <v>447</v>
      </c>
      <c r="H116" s="258">
        <v>0</v>
      </c>
      <c r="I116" s="1018"/>
      <c r="J116" s="1018"/>
      <c r="K116" s="1018"/>
      <c r="L116" s="258">
        <v>0</v>
      </c>
      <c r="M116" s="1018"/>
      <c r="N116" s="1018"/>
      <c r="O116" s="1018"/>
      <c r="P116" s="258">
        <v>0</v>
      </c>
      <c r="Q116" s="1018"/>
      <c r="R116" s="1018"/>
      <c r="S116" s="1018"/>
      <c r="T116" s="258">
        <v>0</v>
      </c>
      <c r="U116" s="1018"/>
      <c r="V116" s="1018"/>
      <c r="W116" s="1018"/>
    </row>
    <row r="117" spans="1:23" ht="20.25">
      <c r="A117" s="1024" t="s">
        <v>343</v>
      </c>
      <c r="B117" s="1025"/>
      <c r="C117" s="1025"/>
      <c r="D117" s="1026"/>
      <c r="E117" s="1026"/>
      <c r="F117" s="1026" t="s">
        <v>488</v>
      </c>
      <c r="G117" s="1026"/>
      <c r="H117" s="1026"/>
      <c r="I117" s="1024"/>
      <c r="J117" s="1024"/>
      <c r="K117" s="1024"/>
      <c r="L117" s="1026"/>
      <c r="M117" s="1024"/>
      <c r="N117" s="1024"/>
      <c r="O117" s="1024"/>
      <c r="P117" s="1026"/>
      <c r="Q117" s="1024"/>
      <c r="R117" s="1024"/>
      <c r="S117" s="1024"/>
      <c r="T117" s="1026"/>
      <c r="U117" s="1024"/>
      <c r="V117" s="1024"/>
      <c r="W117" s="1024"/>
    </row>
    <row r="118" spans="1:23" ht="20.25">
      <c r="A118" s="1027"/>
      <c r="B118" s="1027"/>
      <c r="C118" s="1027"/>
      <c r="D118" s="1028"/>
      <c r="E118" s="1028"/>
      <c r="F118" s="1028"/>
      <c r="G118" s="1028"/>
      <c r="H118" s="1028"/>
      <c r="I118" s="1029"/>
      <c r="J118" s="1029"/>
      <c r="K118" s="1029"/>
      <c r="L118" s="1028"/>
      <c r="M118" s="1029"/>
      <c r="N118" s="1029"/>
      <c r="O118" s="1029"/>
      <c r="P118" s="1028"/>
      <c r="Q118" s="1029"/>
      <c r="R118" s="1029"/>
      <c r="S118" s="1029"/>
      <c r="T118" s="1028"/>
      <c r="U118" s="1029"/>
      <c r="V118" s="1029"/>
      <c r="W118" s="1029"/>
    </row>
    <row r="119" spans="1:23" ht="20.25">
      <c r="A119" s="1029"/>
      <c r="B119" s="1029"/>
      <c r="C119" s="1029"/>
      <c r="D119" s="1028"/>
      <c r="E119" s="1028"/>
      <c r="F119" s="1028"/>
      <c r="G119" s="1029"/>
      <c r="H119" s="1029"/>
      <c r="I119" s="1029"/>
      <c r="J119" s="1029"/>
      <c r="K119" s="1029"/>
      <c r="L119" s="1029"/>
      <c r="M119" s="1029"/>
      <c r="N119" s="1029"/>
      <c r="O119" s="1029"/>
      <c r="P119" s="1029"/>
      <c r="Q119" s="1029"/>
      <c r="R119" s="1029"/>
      <c r="S119" s="1029"/>
      <c r="T119" s="1029"/>
      <c r="U119" s="1029"/>
      <c r="V119" s="1029"/>
      <c r="W119" s="1029"/>
    </row>
    <row r="120" spans="1:23" ht="20.25">
      <c r="A120" s="1490" t="s">
        <v>3994</v>
      </c>
      <c r="B120" s="1451"/>
      <c r="C120" s="1019"/>
      <c r="D120" s="1020"/>
      <c r="E120" s="1020"/>
      <c r="F120" s="1020"/>
      <c r="G120" s="1019"/>
      <c r="H120" s="1019"/>
      <c r="I120" s="1019"/>
      <c r="J120" s="1019"/>
      <c r="K120" s="1019"/>
      <c r="L120" s="1019"/>
      <c r="M120" s="1019"/>
      <c r="N120" s="1019"/>
      <c r="O120" s="1019"/>
      <c r="P120" s="1019"/>
      <c r="Q120" s="1019"/>
      <c r="R120" s="1019"/>
      <c r="S120" s="1019"/>
      <c r="T120" s="1019"/>
      <c r="U120" s="1019"/>
      <c r="V120" s="1019"/>
      <c r="W120" s="1019"/>
    </row>
    <row r="121" spans="1:23" ht="20.25">
      <c r="A121" s="1021"/>
      <c r="B121" s="1030" t="s">
        <v>3995</v>
      </c>
      <c r="C121" s="253">
        <v>0</v>
      </c>
      <c r="D121" s="254" t="s">
        <v>103</v>
      </c>
      <c r="E121" s="254"/>
      <c r="F121" s="254" t="s">
        <v>488</v>
      </c>
      <c r="G121" s="254" t="s">
        <v>447</v>
      </c>
      <c r="H121" s="254">
        <v>0</v>
      </c>
      <c r="I121" s="1022"/>
      <c r="J121" s="1022"/>
      <c r="K121" s="1022"/>
      <c r="L121" s="254">
        <v>0</v>
      </c>
      <c r="M121" s="1022"/>
      <c r="N121" s="1022"/>
      <c r="O121" s="1022"/>
      <c r="P121" s="254">
        <v>0</v>
      </c>
      <c r="Q121" s="1022"/>
      <c r="R121" s="1022"/>
      <c r="S121" s="1022"/>
      <c r="T121" s="254">
        <v>0</v>
      </c>
      <c r="U121" s="1022"/>
      <c r="V121" s="1022"/>
      <c r="W121" s="1022"/>
    </row>
    <row r="122" spans="1:23" ht="20.25">
      <c r="A122" s="1023"/>
      <c r="B122" s="1031" t="s">
        <v>3996</v>
      </c>
      <c r="C122" s="257">
        <v>0</v>
      </c>
      <c r="D122" s="258" t="s">
        <v>103</v>
      </c>
      <c r="E122" s="258"/>
      <c r="F122" s="258" t="s">
        <v>488</v>
      </c>
      <c r="G122" s="258" t="s">
        <v>447</v>
      </c>
      <c r="H122" s="258">
        <v>0</v>
      </c>
      <c r="I122" s="1018"/>
      <c r="J122" s="1018"/>
      <c r="K122" s="1018"/>
      <c r="L122" s="258">
        <v>0</v>
      </c>
      <c r="M122" s="1018"/>
      <c r="N122" s="1018"/>
      <c r="O122" s="1018"/>
      <c r="P122" s="258">
        <v>0</v>
      </c>
      <c r="Q122" s="1018"/>
      <c r="R122" s="1018"/>
      <c r="S122" s="1018"/>
      <c r="T122" s="258">
        <v>0</v>
      </c>
      <c r="U122" s="1018"/>
      <c r="V122" s="1018"/>
      <c r="W122" s="1018"/>
    </row>
    <row r="123" spans="1:23" ht="20.25">
      <c r="A123" s="1023"/>
      <c r="B123" s="1031" t="s">
        <v>3397</v>
      </c>
      <c r="C123" s="257">
        <v>0</v>
      </c>
      <c r="D123" s="258" t="s">
        <v>466</v>
      </c>
      <c r="E123" s="258"/>
      <c r="F123" s="258" t="s">
        <v>488</v>
      </c>
      <c r="G123" s="258" t="s">
        <v>447</v>
      </c>
      <c r="H123" s="258">
        <v>0</v>
      </c>
      <c r="I123" s="1018"/>
      <c r="J123" s="1018"/>
      <c r="K123" s="1018"/>
      <c r="L123" s="258">
        <v>0</v>
      </c>
      <c r="M123" s="1018"/>
      <c r="N123" s="1018"/>
      <c r="O123" s="1018"/>
      <c r="P123" s="258">
        <v>0</v>
      </c>
      <c r="Q123" s="1018"/>
      <c r="R123" s="1018"/>
      <c r="S123" s="1018"/>
      <c r="T123" s="258">
        <v>0</v>
      </c>
      <c r="U123" s="1018"/>
      <c r="V123" s="1018"/>
      <c r="W123" s="1018"/>
    </row>
    <row r="124" spans="1:23" ht="20.25">
      <c r="A124" s="1023"/>
      <c r="B124" s="1031" t="s">
        <v>3399</v>
      </c>
      <c r="C124" s="257">
        <v>0</v>
      </c>
      <c r="D124" s="258" t="s">
        <v>466</v>
      </c>
      <c r="E124" s="258"/>
      <c r="F124" s="258" t="s">
        <v>488</v>
      </c>
      <c r="G124" s="258" t="s">
        <v>447</v>
      </c>
      <c r="H124" s="258">
        <v>0</v>
      </c>
      <c r="I124" s="1018"/>
      <c r="J124" s="1018"/>
      <c r="K124" s="1018"/>
      <c r="L124" s="258">
        <v>0</v>
      </c>
      <c r="M124" s="1018"/>
      <c r="N124" s="1018"/>
      <c r="O124" s="1018"/>
      <c r="P124" s="258">
        <v>0</v>
      </c>
      <c r="Q124" s="1018"/>
      <c r="R124" s="1018"/>
      <c r="S124" s="1018"/>
      <c r="T124" s="258">
        <v>0</v>
      </c>
      <c r="U124" s="1018"/>
      <c r="V124" s="1018"/>
      <c r="W124" s="1018"/>
    </row>
    <row r="125" spans="1:23" ht="20.25">
      <c r="A125" s="1023"/>
      <c r="B125" s="1031" t="s">
        <v>3401</v>
      </c>
      <c r="C125" s="257">
        <v>0</v>
      </c>
      <c r="D125" s="258" t="s">
        <v>466</v>
      </c>
      <c r="E125" s="258"/>
      <c r="F125" s="258" t="s">
        <v>488</v>
      </c>
      <c r="G125" s="258" t="s">
        <v>447</v>
      </c>
      <c r="H125" s="258">
        <v>0</v>
      </c>
      <c r="I125" s="1018"/>
      <c r="J125" s="1018"/>
      <c r="K125" s="1018"/>
      <c r="L125" s="258">
        <v>0</v>
      </c>
      <c r="M125" s="1018"/>
      <c r="N125" s="1018"/>
      <c r="O125" s="1018"/>
      <c r="P125" s="258">
        <v>0</v>
      </c>
      <c r="Q125" s="1018"/>
      <c r="R125" s="1018"/>
      <c r="S125" s="1018"/>
      <c r="T125" s="258">
        <v>0</v>
      </c>
      <c r="U125" s="1018"/>
      <c r="V125" s="1018"/>
      <c r="W125" s="1018"/>
    </row>
    <row r="126" spans="1:23" ht="20.25">
      <c r="A126" s="1023"/>
      <c r="B126" s="1031" t="s">
        <v>3403</v>
      </c>
      <c r="C126" s="257">
        <v>0</v>
      </c>
      <c r="D126" s="258" t="s">
        <v>466</v>
      </c>
      <c r="E126" s="258"/>
      <c r="F126" s="258" t="s">
        <v>488</v>
      </c>
      <c r="G126" s="258" t="s">
        <v>447</v>
      </c>
      <c r="H126" s="258">
        <v>0</v>
      </c>
      <c r="I126" s="1018"/>
      <c r="J126" s="1018"/>
      <c r="K126" s="1018"/>
      <c r="L126" s="258">
        <v>0</v>
      </c>
      <c r="M126" s="1018"/>
      <c r="N126" s="1018"/>
      <c r="O126" s="1018"/>
      <c r="P126" s="258">
        <v>0</v>
      </c>
      <c r="Q126" s="1018"/>
      <c r="R126" s="1018"/>
      <c r="S126" s="1018"/>
      <c r="T126" s="258">
        <v>0</v>
      </c>
      <c r="U126" s="1018"/>
      <c r="V126" s="1018"/>
      <c r="W126" s="1018"/>
    </row>
    <row r="127" spans="1:23" ht="20.25">
      <c r="A127" s="1023"/>
      <c r="B127" s="1031" t="s">
        <v>3997</v>
      </c>
      <c r="C127" s="257">
        <v>0</v>
      </c>
      <c r="D127" s="258" t="s">
        <v>103</v>
      </c>
      <c r="E127" s="258"/>
      <c r="F127" s="258" t="s">
        <v>488</v>
      </c>
      <c r="G127" s="258" t="s">
        <v>447</v>
      </c>
      <c r="H127" s="258">
        <v>0</v>
      </c>
      <c r="I127" s="1018"/>
      <c r="J127" s="1018"/>
      <c r="K127" s="1018"/>
      <c r="L127" s="258">
        <v>0</v>
      </c>
      <c r="M127" s="1018"/>
      <c r="N127" s="1018"/>
      <c r="O127" s="1018"/>
      <c r="P127" s="258">
        <v>0</v>
      </c>
      <c r="Q127" s="1018"/>
      <c r="R127" s="1018"/>
      <c r="S127" s="1018"/>
      <c r="T127" s="258">
        <v>0</v>
      </c>
      <c r="U127" s="1018"/>
      <c r="V127" s="1018"/>
      <c r="W127" s="1018"/>
    </row>
    <row r="128" spans="1:23" ht="20.25">
      <c r="A128" s="1023"/>
      <c r="B128" s="1031" t="s">
        <v>3634</v>
      </c>
      <c r="C128" s="257">
        <v>0</v>
      </c>
      <c r="D128" s="258" t="s">
        <v>466</v>
      </c>
      <c r="E128" s="258"/>
      <c r="F128" s="258" t="s">
        <v>488</v>
      </c>
      <c r="G128" s="258" t="s">
        <v>447</v>
      </c>
      <c r="H128" s="258">
        <v>0</v>
      </c>
      <c r="I128" s="1018"/>
      <c r="J128" s="1018"/>
      <c r="K128" s="1018"/>
      <c r="L128" s="258">
        <v>0</v>
      </c>
      <c r="M128" s="1018"/>
      <c r="N128" s="1018"/>
      <c r="O128" s="1018"/>
      <c r="P128" s="258">
        <v>0</v>
      </c>
      <c r="Q128" s="1018"/>
      <c r="R128" s="1018"/>
      <c r="S128" s="1018"/>
      <c r="T128" s="258">
        <v>0</v>
      </c>
      <c r="U128" s="1018"/>
      <c r="V128" s="1018"/>
      <c r="W128" s="1018"/>
    </row>
    <row r="129" spans="1:23" ht="20.25">
      <c r="A129" s="1023"/>
      <c r="B129" s="1031" t="s">
        <v>3998</v>
      </c>
      <c r="C129" s="257">
        <v>0</v>
      </c>
      <c r="D129" s="258" t="s">
        <v>103</v>
      </c>
      <c r="E129" s="258"/>
      <c r="F129" s="258" t="s">
        <v>488</v>
      </c>
      <c r="G129" s="258" t="s">
        <v>447</v>
      </c>
      <c r="H129" s="258">
        <v>0</v>
      </c>
      <c r="I129" s="1018"/>
      <c r="J129" s="1018"/>
      <c r="K129" s="1018"/>
      <c r="L129" s="258">
        <v>0</v>
      </c>
      <c r="M129" s="1018"/>
      <c r="N129" s="1018"/>
      <c r="O129" s="1018"/>
      <c r="P129" s="258">
        <v>0</v>
      </c>
      <c r="Q129" s="1018"/>
      <c r="R129" s="1018"/>
      <c r="S129" s="1018"/>
      <c r="T129" s="258">
        <v>0</v>
      </c>
      <c r="U129" s="1018"/>
      <c r="V129" s="1018"/>
      <c r="W129" s="1018"/>
    </row>
    <row r="130" spans="1:23" ht="20.25">
      <c r="A130" s="1024" t="s">
        <v>343</v>
      </c>
      <c r="B130" s="1025"/>
      <c r="C130" s="1025"/>
      <c r="D130" s="1026"/>
      <c r="E130" s="1026"/>
      <c r="F130" s="1026" t="s">
        <v>488</v>
      </c>
      <c r="G130" s="1026"/>
      <c r="H130" s="1026"/>
      <c r="I130" s="1024"/>
      <c r="J130" s="1024"/>
      <c r="K130" s="1024"/>
      <c r="L130" s="1026"/>
      <c r="M130" s="1024"/>
      <c r="N130" s="1024"/>
      <c r="O130" s="1024"/>
      <c r="P130" s="1026"/>
      <c r="Q130" s="1024"/>
      <c r="R130" s="1024"/>
      <c r="S130" s="1024"/>
      <c r="T130" s="1026"/>
      <c r="U130" s="1024"/>
      <c r="V130" s="1024"/>
      <c r="W130" s="1024"/>
    </row>
    <row r="131" spans="1:23" ht="20.25">
      <c r="A131" s="1029"/>
      <c r="B131" s="1029"/>
      <c r="C131" s="1029"/>
      <c r="D131" s="1028"/>
      <c r="E131" s="1028"/>
      <c r="F131" s="1028"/>
      <c r="G131" s="1029"/>
      <c r="H131" s="1029"/>
      <c r="I131" s="1029"/>
      <c r="J131" s="1029"/>
      <c r="K131" s="1029"/>
      <c r="L131" s="1029"/>
      <c r="M131" s="1029"/>
      <c r="N131" s="1029"/>
      <c r="O131" s="1029"/>
      <c r="P131" s="1029"/>
      <c r="Q131" s="1029"/>
      <c r="R131" s="1029"/>
      <c r="S131" s="1029"/>
      <c r="T131" s="1029"/>
      <c r="U131" s="1029"/>
      <c r="V131" s="1029"/>
      <c r="W131" s="1029"/>
    </row>
    <row r="132" spans="1:23" ht="20.25">
      <c r="A132" s="1490" t="s">
        <v>3999</v>
      </c>
      <c r="B132" s="1451"/>
      <c r="C132" s="1019"/>
      <c r="D132" s="1020"/>
      <c r="E132" s="1020"/>
      <c r="F132" s="1020"/>
      <c r="G132" s="1019"/>
      <c r="H132" s="1019"/>
      <c r="I132" s="1019"/>
      <c r="J132" s="1019"/>
      <c r="K132" s="1019"/>
      <c r="L132" s="1019"/>
      <c r="M132" s="1019"/>
      <c r="N132" s="1019"/>
      <c r="O132" s="1019"/>
      <c r="P132" s="1019"/>
      <c r="Q132" s="1019"/>
      <c r="R132" s="1019"/>
      <c r="S132" s="1019"/>
      <c r="T132" s="1019"/>
      <c r="U132" s="1019"/>
      <c r="V132" s="1019"/>
      <c r="W132" s="1019"/>
    </row>
    <row r="133" spans="1:23" ht="20.25">
      <c r="A133" s="1022"/>
      <c r="B133" s="1030" t="s">
        <v>4000</v>
      </c>
      <c r="C133" s="1032">
        <v>0</v>
      </c>
      <c r="D133" s="1030" t="s">
        <v>103</v>
      </c>
      <c r="E133" s="253"/>
      <c r="F133" s="1033" t="s">
        <v>488</v>
      </c>
      <c r="G133" s="1033" t="s">
        <v>447</v>
      </c>
      <c r="H133" s="1033">
        <v>0</v>
      </c>
      <c r="I133" s="1034"/>
      <c r="J133" s="1034"/>
      <c r="K133" s="1034"/>
      <c r="L133" s="1033">
        <v>0</v>
      </c>
      <c r="M133" s="1034"/>
      <c r="N133" s="1034"/>
      <c r="O133" s="1034"/>
      <c r="P133" s="1033">
        <v>0</v>
      </c>
      <c r="Q133" s="1034"/>
      <c r="R133" s="1034"/>
      <c r="S133" s="1034"/>
      <c r="T133" s="1033">
        <v>0</v>
      </c>
      <c r="U133" s="1034"/>
      <c r="V133" s="1022"/>
      <c r="W133" s="1022"/>
    </row>
    <row r="134" spans="1:23" ht="20.25">
      <c r="A134" s="1018"/>
      <c r="B134" s="1018"/>
      <c r="C134" s="1033">
        <v>0</v>
      </c>
      <c r="D134" s="258"/>
      <c r="E134" s="258"/>
      <c r="F134" s="1033" t="s">
        <v>488</v>
      </c>
      <c r="G134" s="1033" t="s">
        <v>447</v>
      </c>
      <c r="H134" s="1033">
        <v>0</v>
      </c>
      <c r="I134" s="1034"/>
      <c r="J134" s="1034"/>
      <c r="K134" s="1034"/>
      <c r="L134" s="1033">
        <v>0</v>
      </c>
      <c r="M134" s="1034"/>
      <c r="N134" s="1034"/>
      <c r="O134" s="1034"/>
      <c r="P134" s="1033">
        <v>0</v>
      </c>
      <c r="Q134" s="1034"/>
      <c r="R134" s="1034"/>
      <c r="S134" s="1034"/>
      <c r="T134" s="1033">
        <v>0</v>
      </c>
      <c r="U134" s="1034"/>
      <c r="V134" s="1018"/>
      <c r="W134" s="1018"/>
    </row>
    <row r="135" spans="1:23" ht="20.25">
      <c r="A135" s="1018"/>
      <c r="B135" s="1018"/>
      <c r="C135" s="1033">
        <v>0</v>
      </c>
      <c r="D135" s="258"/>
      <c r="E135" s="258"/>
      <c r="F135" s="1033" t="s">
        <v>488</v>
      </c>
      <c r="G135" s="1033" t="s">
        <v>447</v>
      </c>
      <c r="H135" s="1033">
        <v>0</v>
      </c>
      <c r="I135" s="1034"/>
      <c r="J135" s="1034"/>
      <c r="K135" s="1034"/>
      <c r="L135" s="1033">
        <v>0</v>
      </c>
      <c r="M135" s="1034"/>
      <c r="N135" s="1034"/>
      <c r="O135" s="1034"/>
      <c r="P135" s="1033">
        <v>0</v>
      </c>
      <c r="Q135" s="1034"/>
      <c r="R135" s="1034"/>
      <c r="S135" s="1034"/>
      <c r="T135" s="1033">
        <v>0</v>
      </c>
      <c r="U135" s="1034"/>
      <c r="V135" s="1018"/>
      <c r="W135" s="1018"/>
    </row>
    <row r="136" spans="1:23" ht="20.25">
      <c r="A136" s="1018"/>
      <c r="B136" s="1018"/>
      <c r="C136" s="1033">
        <v>0</v>
      </c>
      <c r="D136" s="258"/>
      <c r="E136" s="258"/>
      <c r="F136" s="1033" t="s">
        <v>488</v>
      </c>
      <c r="G136" s="1033" t="s">
        <v>447</v>
      </c>
      <c r="H136" s="1033">
        <v>0</v>
      </c>
      <c r="I136" s="1034"/>
      <c r="J136" s="1034"/>
      <c r="K136" s="1034"/>
      <c r="L136" s="1033">
        <v>0</v>
      </c>
      <c r="M136" s="1034"/>
      <c r="N136" s="1034"/>
      <c r="O136" s="1034"/>
      <c r="P136" s="1033">
        <v>0</v>
      </c>
      <c r="Q136" s="1034"/>
      <c r="R136" s="1034"/>
      <c r="S136" s="1034"/>
      <c r="T136" s="1033">
        <v>0</v>
      </c>
      <c r="U136" s="1034"/>
      <c r="V136" s="1018"/>
      <c r="W136" s="1018"/>
    </row>
    <row r="137" spans="1:23" ht="20.25">
      <c r="A137" s="1018"/>
      <c r="B137" s="1018"/>
      <c r="C137" s="1033">
        <v>0</v>
      </c>
      <c r="D137" s="258"/>
      <c r="E137" s="258"/>
      <c r="F137" s="1033" t="s">
        <v>488</v>
      </c>
      <c r="G137" s="1033" t="s">
        <v>447</v>
      </c>
      <c r="H137" s="1033">
        <v>0</v>
      </c>
      <c r="I137" s="1034"/>
      <c r="J137" s="1034"/>
      <c r="K137" s="1034"/>
      <c r="L137" s="1033">
        <v>0</v>
      </c>
      <c r="M137" s="1034"/>
      <c r="N137" s="1034"/>
      <c r="O137" s="1034"/>
      <c r="P137" s="1033">
        <v>0</v>
      </c>
      <c r="Q137" s="1034"/>
      <c r="R137" s="1034"/>
      <c r="S137" s="1034"/>
      <c r="T137" s="1033">
        <v>0</v>
      </c>
      <c r="U137" s="1034"/>
      <c r="V137" s="1018"/>
      <c r="W137" s="1018"/>
    </row>
    <row r="138" spans="1:23" ht="20.25">
      <c r="A138" s="1018"/>
      <c r="B138" s="1018"/>
      <c r="C138" s="1033">
        <v>0</v>
      </c>
      <c r="D138" s="258"/>
      <c r="E138" s="258"/>
      <c r="F138" s="1033" t="s">
        <v>488</v>
      </c>
      <c r="G138" s="1033" t="s">
        <v>447</v>
      </c>
      <c r="H138" s="1033">
        <v>0</v>
      </c>
      <c r="I138" s="1034"/>
      <c r="J138" s="1034"/>
      <c r="K138" s="1034"/>
      <c r="L138" s="1033">
        <v>0</v>
      </c>
      <c r="M138" s="1034"/>
      <c r="N138" s="1034"/>
      <c r="O138" s="1034"/>
      <c r="P138" s="1033">
        <v>0</v>
      </c>
      <c r="Q138" s="1034"/>
      <c r="R138" s="1034"/>
      <c r="S138" s="1034"/>
      <c r="T138" s="1033">
        <v>0</v>
      </c>
      <c r="U138" s="1034"/>
      <c r="V138" s="1018"/>
      <c r="W138" s="1018"/>
    </row>
    <row r="139" spans="1:23" ht="20.25">
      <c r="A139" s="1018"/>
      <c r="B139" s="1018"/>
      <c r="C139" s="1033">
        <v>0</v>
      </c>
      <c r="D139" s="258"/>
      <c r="E139" s="258"/>
      <c r="F139" s="1033" t="s">
        <v>488</v>
      </c>
      <c r="G139" s="1033" t="s">
        <v>447</v>
      </c>
      <c r="H139" s="1033">
        <v>0</v>
      </c>
      <c r="I139" s="1034"/>
      <c r="J139" s="1034"/>
      <c r="K139" s="1034"/>
      <c r="L139" s="1033">
        <v>0</v>
      </c>
      <c r="M139" s="1034"/>
      <c r="N139" s="1034"/>
      <c r="O139" s="1034"/>
      <c r="P139" s="1033">
        <v>0</v>
      </c>
      <c r="Q139" s="1034"/>
      <c r="R139" s="1034"/>
      <c r="S139" s="1034"/>
      <c r="T139" s="1033">
        <v>0</v>
      </c>
      <c r="U139" s="1034"/>
      <c r="V139" s="1018"/>
      <c r="W139" s="1018"/>
    </row>
    <row r="140" spans="1:23" ht="20.25">
      <c r="A140" s="1018"/>
      <c r="B140" s="1018"/>
      <c r="C140" s="1033">
        <v>0</v>
      </c>
      <c r="D140" s="258"/>
      <c r="E140" s="258"/>
      <c r="F140" s="1033" t="s">
        <v>488</v>
      </c>
      <c r="G140" s="1033" t="s">
        <v>447</v>
      </c>
      <c r="H140" s="1033">
        <v>0</v>
      </c>
      <c r="I140" s="1034"/>
      <c r="J140" s="1034"/>
      <c r="K140" s="1034"/>
      <c r="L140" s="1033">
        <v>0</v>
      </c>
      <c r="M140" s="1034"/>
      <c r="N140" s="1034"/>
      <c r="O140" s="1034"/>
      <c r="P140" s="1033">
        <v>0</v>
      </c>
      <c r="Q140" s="1034"/>
      <c r="R140" s="1034"/>
      <c r="S140" s="1034"/>
      <c r="T140" s="1033">
        <v>0</v>
      </c>
      <c r="U140" s="1034"/>
      <c r="V140" s="1018"/>
      <c r="W140" s="1018"/>
    </row>
    <row r="141" spans="1:23" ht="20.25">
      <c r="A141" s="1035"/>
      <c r="B141" s="1035"/>
      <c r="C141" s="1033">
        <v>0</v>
      </c>
      <c r="D141" s="1036"/>
      <c r="E141" s="1036"/>
      <c r="F141" s="1033" t="s">
        <v>488</v>
      </c>
      <c r="G141" s="1033" t="s">
        <v>447</v>
      </c>
      <c r="H141" s="1033">
        <v>0</v>
      </c>
      <c r="I141" s="1034"/>
      <c r="J141" s="1034"/>
      <c r="K141" s="1034"/>
      <c r="L141" s="1033">
        <v>0</v>
      </c>
      <c r="M141" s="1034"/>
      <c r="N141" s="1034"/>
      <c r="O141" s="1034"/>
      <c r="P141" s="1033">
        <v>0</v>
      </c>
      <c r="Q141" s="1034"/>
      <c r="R141" s="1034"/>
      <c r="S141" s="1034"/>
      <c r="T141" s="1033">
        <v>0</v>
      </c>
      <c r="U141" s="1034"/>
      <c r="V141" s="1035"/>
      <c r="W141" s="1035"/>
    </row>
    <row r="142" spans="1:23" ht="20.25">
      <c r="A142" s="1037" t="s">
        <v>343</v>
      </c>
      <c r="B142" s="1038"/>
      <c r="C142" s="1038"/>
      <c r="D142" s="1039"/>
      <c r="E142" s="1039"/>
      <c r="F142" s="1039" t="s">
        <v>488</v>
      </c>
      <c r="G142" s="1039"/>
      <c r="H142" s="1039"/>
      <c r="I142" s="1037"/>
      <c r="J142" s="1037"/>
      <c r="K142" s="1037"/>
      <c r="L142" s="1039"/>
      <c r="M142" s="1037"/>
      <c r="N142" s="1037"/>
      <c r="O142" s="1037"/>
      <c r="P142" s="1039"/>
      <c r="Q142" s="1037"/>
      <c r="R142" s="1037"/>
      <c r="S142" s="1037"/>
      <c r="T142" s="1039"/>
      <c r="U142" s="1037"/>
      <c r="V142" s="1037"/>
      <c r="W142" s="1037"/>
    </row>
    <row r="143" spans="1:23" ht="20.25">
      <c r="A143" s="1029"/>
      <c r="B143" s="1029"/>
      <c r="C143" s="1029"/>
      <c r="D143" s="1028"/>
      <c r="E143" s="1028"/>
      <c r="F143" s="1028"/>
      <c r="G143" s="1029"/>
      <c r="H143" s="1029"/>
      <c r="I143" s="1029"/>
      <c r="J143" s="1029"/>
      <c r="K143" s="1029"/>
      <c r="L143" s="1029"/>
      <c r="M143" s="1029"/>
      <c r="N143" s="1029"/>
      <c r="O143" s="1029"/>
      <c r="P143" s="1029"/>
      <c r="Q143" s="1029"/>
      <c r="R143" s="1029"/>
      <c r="S143" s="1029"/>
      <c r="T143" s="1029"/>
      <c r="U143" s="1029"/>
      <c r="V143" s="1029"/>
      <c r="W143" s="1029"/>
    </row>
    <row r="144" spans="1:23" ht="20.25">
      <c r="A144" s="1490" t="s">
        <v>4001</v>
      </c>
      <c r="B144" s="1451"/>
      <c r="C144" s="1019"/>
      <c r="D144" s="1020"/>
      <c r="E144" s="1020"/>
      <c r="F144" s="1020"/>
      <c r="G144" s="1019"/>
      <c r="H144" s="1019"/>
      <c r="I144" s="1019"/>
      <c r="J144" s="1019"/>
      <c r="K144" s="1019"/>
      <c r="L144" s="1019"/>
      <c r="M144" s="1019"/>
      <c r="N144" s="1019"/>
      <c r="O144" s="1019"/>
      <c r="P144" s="1019"/>
      <c r="Q144" s="1019"/>
      <c r="R144" s="1019"/>
      <c r="S144" s="1019"/>
      <c r="T144" s="1019"/>
      <c r="U144" s="1019"/>
      <c r="V144" s="1019"/>
      <c r="W144" s="1019"/>
    </row>
    <row r="145" spans="1:23" ht="20.25">
      <c r="A145" s="1022"/>
      <c r="B145" s="1022"/>
      <c r="C145" s="1033">
        <v>0</v>
      </c>
      <c r="D145" s="254"/>
      <c r="E145" s="254"/>
      <c r="F145" s="1033" t="s">
        <v>488</v>
      </c>
      <c r="G145" s="1033" t="s">
        <v>447</v>
      </c>
      <c r="H145" s="1033">
        <v>0</v>
      </c>
      <c r="I145" s="1034"/>
      <c r="J145" s="1034"/>
      <c r="K145" s="1034"/>
      <c r="L145" s="1033">
        <v>0</v>
      </c>
      <c r="M145" s="1034"/>
      <c r="N145" s="1034"/>
      <c r="O145" s="1034"/>
      <c r="P145" s="1033">
        <v>0</v>
      </c>
      <c r="Q145" s="1034"/>
      <c r="R145" s="1034"/>
      <c r="S145" s="1034"/>
      <c r="T145" s="1033">
        <v>0</v>
      </c>
      <c r="U145" s="1034"/>
      <c r="V145" s="1022"/>
      <c r="W145" s="1022"/>
    </row>
    <row r="146" spans="1:23" ht="20.25">
      <c r="A146" s="1018"/>
      <c r="B146" s="1018"/>
      <c r="C146" s="1033">
        <v>0</v>
      </c>
      <c r="D146" s="258"/>
      <c r="E146" s="258"/>
      <c r="F146" s="1033" t="s">
        <v>488</v>
      </c>
      <c r="G146" s="1033" t="s">
        <v>447</v>
      </c>
      <c r="H146" s="1033">
        <v>0</v>
      </c>
      <c r="I146" s="1034"/>
      <c r="J146" s="1034"/>
      <c r="K146" s="1034"/>
      <c r="L146" s="1033">
        <v>0</v>
      </c>
      <c r="M146" s="1034"/>
      <c r="N146" s="1034"/>
      <c r="O146" s="1034"/>
      <c r="P146" s="1033">
        <v>0</v>
      </c>
      <c r="Q146" s="1034"/>
      <c r="R146" s="1034"/>
      <c r="S146" s="1034"/>
      <c r="T146" s="1033">
        <v>0</v>
      </c>
      <c r="U146" s="1034"/>
      <c r="V146" s="1018"/>
      <c r="W146" s="1018"/>
    </row>
    <row r="147" spans="1:23" ht="20.25">
      <c r="A147" s="1018"/>
      <c r="B147" s="1018"/>
      <c r="C147" s="1033">
        <v>0</v>
      </c>
      <c r="D147" s="258"/>
      <c r="E147" s="258"/>
      <c r="F147" s="1033" t="s">
        <v>488</v>
      </c>
      <c r="G147" s="1033" t="s">
        <v>447</v>
      </c>
      <c r="H147" s="1033">
        <v>0</v>
      </c>
      <c r="I147" s="1034"/>
      <c r="J147" s="1034"/>
      <c r="K147" s="1034"/>
      <c r="L147" s="1033">
        <v>0</v>
      </c>
      <c r="M147" s="1034"/>
      <c r="N147" s="1034"/>
      <c r="O147" s="1034"/>
      <c r="P147" s="1033">
        <v>0</v>
      </c>
      <c r="Q147" s="1034"/>
      <c r="R147" s="1034"/>
      <c r="S147" s="1034"/>
      <c r="T147" s="1033">
        <v>0</v>
      </c>
      <c r="U147" s="1034"/>
      <c r="V147" s="1018"/>
      <c r="W147" s="1018"/>
    </row>
    <row r="148" spans="1:23" ht="20.25">
      <c r="A148" s="1018"/>
      <c r="B148" s="1018"/>
      <c r="C148" s="1033">
        <v>0</v>
      </c>
      <c r="D148" s="258"/>
      <c r="E148" s="258"/>
      <c r="F148" s="1033" t="s">
        <v>488</v>
      </c>
      <c r="G148" s="1033" t="s">
        <v>447</v>
      </c>
      <c r="H148" s="1033">
        <v>0</v>
      </c>
      <c r="I148" s="1034"/>
      <c r="J148" s="1034"/>
      <c r="K148" s="1034"/>
      <c r="L148" s="1033">
        <v>0</v>
      </c>
      <c r="M148" s="1034"/>
      <c r="N148" s="1034"/>
      <c r="O148" s="1034"/>
      <c r="P148" s="1033">
        <v>0</v>
      </c>
      <c r="Q148" s="1034"/>
      <c r="R148" s="1034"/>
      <c r="S148" s="1034"/>
      <c r="T148" s="1033">
        <v>0</v>
      </c>
      <c r="U148" s="1034"/>
      <c r="V148" s="1018"/>
      <c r="W148" s="1018"/>
    </row>
    <row r="149" spans="1:23" ht="20.25">
      <c r="A149" s="1018"/>
      <c r="B149" s="1018"/>
      <c r="C149" s="1033">
        <v>0</v>
      </c>
      <c r="D149" s="258"/>
      <c r="E149" s="258"/>
      <c r="F149" s="1033" t="s">
        <v>488</v>
      </c>
      <c r="G149" s="1033" t="s">
        <v>447</v>
      </c>
      <c r="H149" s="1033">
        <v>0</v>
      </c>
      <c r="I149" s="1034"/>
      <c r="J149" s="1034"/>
      <c r="K149" s="1034"/>
      <c r="L149" s="1033">
        <v>0</v>
      </c>
      <c r="M149" s="1034"/>
      <c r="N149" s="1034"/>
      <c r="O149" s="1034"/>
      <c r="P149" s="1033">
        <v>0</v>
      </c>
      <c r="Q149" s="1034"/>
      <c r="R149" s="1034"/>
      <c r="S149" s="1034"/>
      <c r="T149" s="1033">
        <v>0</v>
      </c>
      <c r="U149" s="1034"/>
      <c r="V149" s="1018"/>
      <c r="W149" s="1018"/>
    </row>
    <row r="150" spans="1:23" ht="20.25">
      <c r="A150" s="1018"/>
      <c r="B150" s="1018"/>
      <c r="C150" s="1033">
        <v>0</v>
      </c>
      <c r="D150" s="258"/>
      <c r="E150" s="258"/>
      <c r="F150" s="1033" t="s">
        <v>488</v>
      </c>
      <c r="G150" s="1033" t="s">
        <v>447</v>
      </c>
      <c r="H150" s="1033">
        <v>0</v>
      </c>
      <c r="I150" s="1034"/>
      <c r="J150" s="1034"/>
      <c r="K150" s="1034"/>
      <c r="L150" s="1033">
        <v>0</v>
      </c>
      <c r="M150" s="1034"/>
      <c r="N150" s="1034"/>
      <c r="O150" s="1034"/>
      <c r="P150" s="1033">
        <v>0</v>
      </c>
      <c r="Q150" s="1034"/>
      <c r="R150" s="1034"/>
      <c r="S150" s="1034"/>
      <c r="T150" s="1033">
        <v>0</v>
      </c>
      <c r="U150" s="1034"/>
      <c r="V150" s="1018"/>
      <c r="W150" s="1018"/>
    </row>
    <row r="151" spans="1:23" ht="20.25">
      <c r="A151" s="1035"/>
      <c r="B151" s="1035"/>
      <c r="C151" s="1033">
        <v>0</v>
      </c>
      <c r="D151" s="1036"/>
      <c r="E151" s="1036"/>
      <c r="F151" s="1033" t="s">
        <v>488</v>
      </c>
      <c r="G151" s="1033" t="s">
        <v>447</v>
      </c>
      <c r="H151" s="1033">
        <v>0</v>
      </c>
      <c r="I151" s="1034"/>
      <c r="J151" s="1034"/>
      <c r="K151" s="1034"/>
      <c r="L151" s="1033">
        <v>0</v>
      </c>
      <c r="M151" s="1034"/>
      <c r="N151" s="1034"/>
      <c r="O151" s="1034"/>
      <c r="P151" s="1033">
        <v>0</v>
      </c>
      <c r="Q151" s="1034"/>
      <c r="R151" s="1034"/>
      <c r="S151" s="1034"/>
      <c r="T151" s="1033">
        <v>0</v>
      </c>
      <c r="U151" s="1034"/>
      <c r="V151" s="1035"/>
      <c r="W151" s="1035"/>
    </row>
    <row r="152" spans="1:23" ht="20.25">
      <c r="A152" s="1037" t="s">
        <v>343</v>
      </c>
      <c r="B152" s="1038"/>
      <c r="C152" s="1038"/>
      <c r="D152" s="1039"/>
      <c r="E152" s="1039"/>
      <c r="F152" s="1039" t="s">
        <v>488</v>
      </c>
      <c r="G152" s="1039"/>
      <c r="H152" s="1039"/>
      <c r="I152" s="1037"/>
      <c r="J152" s="1037"/>
      <c r="K152" s="1037"/>
      <c r="L152" s="1039"/>
      <c r="M152" s="1037"/>
      <c r="N152" s="1037"/>
      <c r="O152" s="1037"/>
      <c r="P152" s="1039"/>
      <c r="Q152" s="1037"/>
      <c r="R152" s="1037"/>
      <c r="S152" s="1037"/>
      <c r="T152" s="1039"/>
      <c r="U152" s="1037"/>
      <c r="V152" s="1037"/>
      <c r="W152" s="1037"/>
    </row>
    <row r="153" spans="1:23" ht="20.25">
      <c r="A153" s="1029"/>
      <c r="B153" s="1029"/>
      <c r="C153" s="1029"/>
      <c r="D153" s="1028"/>
      <c r="E153" s="1028"/>
      <c r="F153" s="1028"/>
      <c r="G153" s="1029"/>
      <c r="H153" s="1029"/>
      <c r="I153" s="1029"/>
      <c r="J153" s="1029"/>
      <c r="K153" s="1029"/>
      <c r="L153" s="1029"/>
      <c r="M153" s="1029"/>
      <c r="N153" s="1029"/>
      <c r="O153" s="1029"/>
      <c r="P153" s="1029"/>
      <c r="Q153" s="1029"/>
      <c r="R153" s="1029"/>
      <c r="S153" s="1029"/>
      <c r="T153" s="1029"/>
      <c r="U153" s="1029"/>
      <c r="V153" s="1029"/>
      <c r="W153" s="1029"/>
    </row>
    <row r="154" spans="1:23" ht="20.25">
      <c r="A154" s="1490" t="s">
        <v>4002</v>
      </c>
      <c r="B154" s="1451"/>
      <c r="C154" s="1019"/>
      <c r="D154" s="1020"/>
      <c r="E154" s="1020"/>
      <c r="F154" s="1020"/>
      <c r="G154" s="1019"/>
      <c r="H154" s="1019"/>
      <c r="I154" s="1019"/>
      <c r="J154" s="1019"/>
      <c r="K154" s="1019"/>
      <c r="L154" s="1019"/>
      <c r="M154" s="1019"/>
      <c r="N154" s="1019"/>
      <c r="O154" s="1019"/>
      <c r="P154" s="1019"/>
      <c r="Q154" s="1019"/>
      <c r="R154" s="1019"/>
      <c r="S154" s="1019"/>
      <c r="T154" s="1019"/>
      <c r="U154" s="1019"/>
      <c r="V154" s="1019"/>
      <c r="W154" s="1019"/>
    </row>
    <row r="155" spans="1:23" ht="20.25">
      <c r="A155" s="1022"/>
      <c r="B155" s="1022" t="s">
        <v>4003</v>
      </c>
      <c r="C155" s="254">
        <v>0</v>
      </c>
      <c r="D155" s="254" t="s">
        <v>758</v>
      </c>
      <c r="E155" s="254"/>
      <c r="F155" s="1033" t="s">
        <v>488</v>
      </c>
      <c r="G155" s="1033" t="s">
        <v>4004</v>
      </c>
      <c r="H155" s="1033">
        <v>0</v>
      </c>
      <c r="I155" s="1034"/>
      <c r="J155" s="1034"/>
      <c r="K155" s="1034"/>
      <c r="L155" s="1033">
        <v>0</v>
      </c>
      <c r="M155" s="1034"/>
      <c r="N155" s="1034"/>
      <c r="O155" s="1034"/>
      <c r="P155" s="1033">
        <v>0</v>
      </c>
      <c r="Q155" s="1034"/>
      <c r="R155" s="1034"/>
      <c r="S155" s="1034"/>
      <c r="T155" s="1033">
        <v>0</v>
      </c>
      <c r="U155" s="1034"/>
      <c r="V155" s="1022"/>
      <c r="W155" s="1022"/>
    </row>
    <row r="156" spans="1:23" ht="20.25">
      <c r="A156" s="1018"/>
      <c r="B156" s="1018" t="s">
        <v>4005</v>
      </c>
      <c r="C156" s="258">
        <v>0</v>
      </c>
      <c r="D156" s="258" t="s">
        <v>758</v>
      </c>
      <c r="E156" s="258"/>
      <c r="F156" s="1033" t="s">
        <v>488</v>
      </c>
      <c r="G156" s="1033" t="s">
        <v>4004</v>
      </c>
      <c r="H156" s="1033">
        <v>0</v>
      </c>
      <c r="I156" s="1034"/>
      <c r="J156" s="1034"/>
      <c r="K156" s="1034"/>
      <c r="L156" s="1033">
        <v>0</v>
      </c>
      <c r="M156" s="1034"/>
      <c r="N156" s="1034"/>
      <c r="O156" s="1034"/>
      <c r="P156" s="1033">
        <v>0</v>
      </c>
      <c r="Q156" s="1034"/>
      <c r="R156" s="1034"/>
      <c r="S156" s="1034"/>
      <c r="T156" s="1033">
        <v>0</v>
      </c>
      <c r="U156" s="1034"/>
      <c r="V156" s="1018"/>
      <c r="W156" s="1018"/>
    </row>
    <row r="157" spans="1:23" ht="20.25">
      <c r="A157" s="1018"/>
      <c r="B157" s="1018" t="s">
        <v>4006</v>
      </c>
      <c r="C157" s="258">
        <v>0</v>
      </c>
      <c r="D157" s="258" t="s">
        <v>758</v>
      </c>
      <c r="E157" s="258"/>
      <c r="F157" s="1033" t="s">
        <v>488</v>
      </c>
      <c r="G157" s="1033" t="s">
        <v>4004</v>
      </c>
      <c r="H157" s="1033">
        <v>0</v>
      </c>
      <c r="I157" s="1034"/>
      <c r="J157" s="1034"/>
      <c r="K157" s="1034"/>
      <c r="L157" s="1033">
        <v>0</v>
      </c>
      <c r="M157" s="1034"/>
      <c r="N157" s="1034"/>
      <c r="O157" s="1034"/>
      <c r="P157" s="1033">
        <v>0</v>
      </c>
      <c r="Q157" s="1034"/>
      <c r="R157" s="1034"/>
      <c r="S157" s="1034"/>
      <c r="T157" s="1033">
        <v>0</v>
      </c>
      <c r="U157" s="1034"/>
      <c r="V157" s="1018"/>
      <c r="W157" s="1018"/>
    </row>
    <row r="158" spans="1:23" ht="20.25">
      <c r="A158" s="1018"/>
      <c r="B158" s="1018" t="s">
        <v>4007</v>
      </c>
      <c r="C158" s="258">
        <v>0</v>
      </c>
      <c r="D158" s="258" t="s">
        <v>758</v>
      </c>
      <c r="E158" s="258"/>
      <c r="F158" s="1033" t="s">
        <v>488</v>
      </c>
      <c r="G158" s="1033" t="s">
        <v>4004</v>
      </c>
      <c r="H158" s="1033">
        <v>0</v>
      </c>
      <c r="I158" s="1034"/>
      <c r="J158" s="1034"/>
      <c r="K158" s="1034"/>
      <c r="L158" s="1033">
        <v>0</v>
      </c>
      <c r="M158" s="1034"/>
      <c r="N158" s="1034"/>
      <c r="O158" s="1034"/>
      <c r="P158" s="1033">
        <v>0</v>
      </c>
      <c r="Q158" s="1034"/>
      <c r="R158" s="1034"/>
      <c r="S158" s="1034"/>
      <c r="T158" s="1033">
        <v>0</v>
      </c>
      <c r="U158" s="1034"/>
      <c r="V158" s="1018"/>
      <c r="W158" s="1018"/>
    </row>
    <row r="159" spans="1:23" ht="20.25">
      <c r="A159" s="1018"/>
      <c r="B159" s="1018" t="s">
        <v>4008</v>
      </c>
      <c r="C159" s="258">
        <v>0</v>
      </c>
      <c r="D159" s="258" t="s">
        <v>758</v>
      </c>
      <c r="E159" s="258"/>
      <c r="F159" s="1033" t="s">
        <v>488</v>
      </c>
      <c r="G159" s="1033" t="s">
        <v>4004</v>
      </c>
      <c r="H159" s="1033">
        <v>0</v>
      </c>
      <c r="I159" s="1034"/>
      <c r="J159" s="1034"/>
      <c r="K159" s="1034"/>
      <c r="L159" s="1033">
        <v>0</v>
      </c>
      <c r="M159" s="1034"/>
      <c r="N159" s="1034"/>
      <c r="O159" s="1034"/>
      <c r="P159" s="1033">
        <v>0</v>
      </c>
      <c r="Q159" s="1034"/>
      <c r="R159" s="1034"/>
      <c r="S159" s="1034"/>
      <c r="T159" s="1033">
        <v>0</v>
      </c>
      <c r="U159" s="1034"/>
      <c r="V159" s="1018"/>
      <c r="W159" s="1018"/>
    </row>
    <row r="160" spans="1:23" ht="20.25">
      <c r="A160" s="1018"/>
      <c r="B160" s="1018" t="s">
        <v>4009</v>
      </c>
      <c r="C160" s="258">
        <v>0</v>
      </c>
      <c r="D160" s="258" t="s">
        <v>758</v>
      </c>
      <c r="E160" s="258"/>
      <c r="F160" s="1033" t="s">
        <v>488</v>
      </c>
      <c r="G160" s="1033" t="s">
        <v>4004</v>
      </c>
      <c r="H160" s="1033">
        <v>0</v>
      </c>
      <c r="I160" s="1034"/>
      <c r="J160" s="1034"/>
      <c r="K160" s="1034"/>
      <c r="L160" s="1033">
        <v>0</v>
      </c>
      <c r="M160" s="1034"/>
      <c r="N160" s="1034"/>
      <c r="O160" s="1034"/>
      <c r="P160" s="1033">
        <v>0</v>
      </c>
      <c r="Q160" s="1034"/>
      <c r="R160" s="1034"/>
      <c r="S160" s="1034"/>
      <c r="T160" s="1033">
        <v>0</v>
      </c>
      <c r="U160" s="1034"/>
      <c r="V160" s="1018"/>
      <c r="W160" s="1018"/>
    </row>
    <row r="161" spans="1:23" ht="20.25">
      <c r="A161" s="1018"/>
      <c r="B161" s="1018" t="s">
        <v>4010</v>
      </c>
      <c r="C161" s="258">
        <v>0</v>
      </c>
      <c r="D161" s="258" t="s">
        <v>758</v>
      </c>
      <c r="E161" s="258"/>
      <c r="F161" s="1033" t="s">
        <v>488</v>
      </c>
      <c r="G161" s="1033" t="s">
        <v>4004</v>
      </c>
      <c r="H161" s="1033">
        <v>0</v>
      </c>
      <c r="I161" s="1034"/>
      <c r="J161" s="1034"/>
      <c r="K161" s="1034"/>
      <c r="L161" s="1033">
        <v>0</v>
      </c>
      <c r="M161" s="1034"/>
      <c r="N161" s="1034"/>
      <c r="O161" s="1034"/>
      <c r="P161" s="1033">
        <v>0</v>
      </c>
      <c r="Q161" s="1034"/>
      <c r="R161" s="1034"/>
      <c r="S161" s="1034"/>
      <c r="T161" s="1033">
        <v>0</v>
      </c>
      <c r="U161" s="1034"/>
      <c r="V161" s="1018"/>
      <c r="W161" s="1018"/>
    </row>
    <row r="162" spans="1:23" ht="20.25">
      <c r="A162" s="1018"/>
      <c r="B162" s="1018" t="s">
        <v>4011</v>
      </c>
      <c r="C162" s="258">
        <v>0</v>
      </c>
      <c r="D162" s="258" t="s">
        <v>758</v>
      </c>
      <c r="E162" s="258"/>
      <c r="F162" s="1033" t="s">
        <v>488</v>
      </c>
      <c r="G162" s="1033" t="s">
        <v>4004</v>
      </c>
      <c r="H162" s="1033">
        <v>0</v>
      </c>
      <c r="I162" s="1034"/>
      <c r="J162" s="1034"/>
      <c r="K162" s="1034"/>
      <c r="L162" s="1033">
        <v>0</v>
      </c>
      <c r="M162" s="1034"/>
      <c r="N162" s="1034"/>
      <c r="O162" s="1034"/>
      <c r="P162" s="1033">
        <v>0</v>
      </c>
      <c r="Q162" s="1034"/>
      <c r="R162" s="1034"/>
      <c r="S162" s="1034"/>
      <c r="T162" s="1033">
        <v>0</v>
      </c>
      <c r="U162" s="1034"/>
      <c r="V162" s="1018"/>
      <c r="W162" s="1018"/>
    </row>
    <row r="163" spans="1:23" ht="20.25">
      <c r="A163" s="1018"/>
      <c r="B163" s="1018" t="s">
        <v>4012</v>
      </c>
      <c r="C163" s="258">
        <v>0</v>
      </c>
      <c r="D163" s="258" t="s">
        <v>758</v>
      </c>
      <c r="E163" s="258"/>
      <c r="F163" s="1033" t="s">
        <v>488</v>
      </c>
      <c r="G163" s="1033" t="s">
        <v>4004</v>
      </c>
      <c r="H163" s="1033">
        <v>0</v>
      </c>
      <c r="I163" s="1034"/>
      <c r="J163" s="1034"/>
      <c r="K163" s="1034"/>
      <c r="L163" s="1033">
        <v>0</v>
      </c>
      <c r="M163" s="1034"/>
      <c r="N163" s="1034"/>
      <c r="O163" s="1034"/>
      <c r="P163" s="1033">
        <v>0</v>
      </c>
      <c r="Q163" s="1034"/>
      <c r="R163" s="1034"/>
      <c r="S163" s="1034"/>
      <c r="T163" s="1033">
        <v>0</v>
      </c>
      <c r="U163" s="1034"/>
      <c r="V163" s="1018"/>
      <c r="W163" s="1018"/>
    </row>
    <row r="164" spans="1:23" ht="20.25">
      <c r="A164" s="1018"/>
      <c r="B164" s="1018" t="s">
        <v>4013</v>
      </c>
      <c r="C164" s="258">
        <v>0</v>
      </c>
      <c r="D164" s="258" t="s">
        <v>758</v>
      </c>
      <c r="E164" s="258"/>
      <c r="F164" s="1033" t="s">
        <v>488</v>
      </c>
      <c r="G164" s="1033" t="s">
        <v>4004</v>
      </c>
      <c r="H164" s="1033">
        <v>0</v>
      </c>
      <c r="I164" s="1034"/>
      <c r="J164" s="1034"/>
      <c r="K164" s="1034"/>
      <c r="L164" s="1033">
        <v>0</v>
      </c>
      <c r="M164" s="1034"/>
      <c r="N164" s="1034"/>
      <c r="O164" s="1034"/>
      <c r="P164" s="1033">
        <v>0</v>
      </c>
      <c r="Q164" s="1034"/>
      <c r="R164" s="1034"/>
      <c r="S164" s="1034"/>
      <c r="T164" s="1033">
        <v>0</v>
      </c>
      <c r="U164" s="1034"/>
      <c r="V164" s="1018"/>
      <c r="W164" s="1018"/>
    </row>
    <row r="165" spans="1:23" ht="20.25">
      <c r="A165" s="1018"/>
      <c r="B165" s="1018"/>
      <c r="C165" s="258">
        <v>0</v>
      </c>
      <c r="D165" s="258"/>
      <c r="E165" s="258"/>
      <c r="F165" s="1033" t="s">
        <v>488</v>
      </c>
      <c r="G165" s="1033" t="s">
        <v>4004</v>
      </c>
      <c r="H165" s="1033">
        <v>0</v>
      </c>
      <c r="I165" s="1034"/>
      <c r="J165" s="1034"/>
      <c r="K165" s="1034"/>
      <c r="L165" s="1033">
        <v>0</v>
      </c>
      <c r="M165" s="1034"/>
      <c r="N165" s="1034"/>
      <c r="O165" s="1034"/>
      <c r="P165" s="1033">
        <v>0</v>
      </c>
      <c r="Q165" s="1034"/>
      <c r="R165" s="1034"/>
      <c r="S165" s="1034"/>
      <c r="T165" s="1033">
        <v>0</v>
      </c>
      <c r="U165" s="1034"/>
      <c r="V165" s="1018"/>
      <c r="W165" s="1018"/>
    </row>
    <row r="166" spans="1:23" ht="20.25">
      <c r="A166" s="1018"/>
      <c r="B166" s="1018"/>
      <c r="C166" s="258">
        <v>0</v>
      </c>
      <c r="D166" s="258"/>
      <c r="E166" s="258"/>
      <c r="F166" s="1033" t="s">
        <v>488</v>
      </c>
      <c r="G166" s="1033" t="s">
        <v>4004</v>
      </c>
      <c r="H166" s="1033">
        <v>0</v>
      </c>
      <c r="I166" s="1034"/>
      <c r="J166" s="1034"/>
      <c r="K166" s="1034"/>
      <c r="L166" s="1033">
        <v>0</v>
      </c>
      <c r="M166" s="1034"/>
      <c r="N166" s="1034"/>
      <c r="O166" s="1034"/>
      <c r="P166" s="1033">
        <v>0</v>
      </c>
      <c r="Q166" s="1034"/>
      <c r="R166" s="1034"/>
      <c r="S166" s="1034"/>
      <c r="T166" s="1033">
        <v>0</v>
      </c>
      <c r="U166" s="1034"/>
      <c r="V166" s="1018"/>
      <c r="W166" s="1018"/>
    </row>
    <row r="167" spans="1:23" ht="20.25">
      <c r="A167" s="1018"/>
      <c r="B167" s="1018"/>
      <c r="C167" s="258">
        <v>0</v>
      </c>
      <c r="D167" s="258"/>
      <c r="E167" s="258"/>
      <c r="F167" s="1033" t="s">
        <v>488</v>
      </c>
      <c r="G167" s="1033" t="s">
        <v>4004</v>
      </c>
      <c r="H167" s="1033">
        <v>0</v>
      </c>
      <c r="I167" s="1034"/>
      <c r="J167" s="1034"/>
      <c r="K167" s="1034"/>
      <c r="L167" s="1033">
        <v>0</v>
      </c>
      <c r="M167" s="1034"/>
      <c r="N167" s="1034"/>
      <c r="O167" s="1034"/>
      <c r="P167" s="1033">
        <v>0</v>
      </c>
      <c r="Q167" s="1034"/>
      <c r="R167" s="1034"/>
      <c r="S167" s="1034"/>
      <c r="T167" s="1033">
        <v>0</v>
      </c>
      <c r="U167" s="1034"/>
      <c r="V167" s="1018"/>
      <c r="W167" s="1018"/>
    </row>
    <row r="168" spans="1:23" ht="20.25">
      <c r="A168" s="1024" t="s">
        <v>343</v>
      </c>
      <c r="B168" s="1025"/>
      <c r="C168" s="1025"/>
      <c r="D168" s="1026"/>
      <c r="E168" s="1026"/>
      <c r="F168" s="1039" t="s">
        <v>488</v>
      </c>
      <c r="G168" s="1039"/>
      <c r="H168" s="1039"/>
      <c r="I168" s="1037"/>
      <c r="J168" s="1037"/>
      <c r="K168" s="1037"/>
      <c r="L168" s="1039"/>
      <c r="M168" s="1037"/>
      <c r="N168" s="1037"/>
      <c r="O168" s="1037"/>
      <c r="P168" s="1039"/>
      <c r="Q168" s="1037"/>
      <c r="R168" s="1037"/>
      <c r="S168" s="1037"/>
      <c r="T168" s="1039"/>
      <c r="U168" s="1037"/>
      <c r="V168" s="1024"/>
      <c r="W168" s="1024"/>
    </row>
    <row r="169" spans="1:23" ht="20.25">
      <c r="A169" s="1029"/>
      <c r="B169" s="1029"/>
      <c r="C169" s="1029"/>
      <c r="D169" s="1028"/>
      <c r="E169" s="1028"/>
      <c r="F169" s="1028"/>
      <c r="G169" s="1029"/>
      <c r="H169" s="1029"/>
      <c r="I169" s="1029"/>
      <c r="J169" s="1029"/>
      <c r="K169" s="1029"/>
      <c r="L169" s="1029"/>
      <c r="M169" s="1029"/>
      <c r="N169" s="1029"/>
      <c r="O169" s="1029"/>
      <c r="P169" s="1029"/>
      <c r="Q169" s="1029"/>
      <c r="R169" s="1029"/>
      <c r="S169" s="1029"/>
      <c r="T169" s="1029"/>
      <c r="U169" s="1029"/>
      <c r="V169" s="1029"/>
      <c r="W169" s="1029"/>
    </row>
    <row r="170" spans="1:23" ht="20.25">
      <c r="A170" s="1029"/>
      <c r="B170" s="1029"/>
      <c r="C170" s="1029"/>
      <c r="D170" s="1028"/>
      <c r="E170" s="1028"/>
      <c r="F170" s="1028"/>
      <c r="G170" s="1029"/>
      <c r="H170" s="1029"/>
      <c r="I170" s="1029"/>
      <c r="J170" s="1029"/>
      <c r="K170" s="1029"/>
      <c r="L170" s="1029"/>
      <c r="M170" s="1029"/>
      <c r="N170" s="1029"/>
      <c r="O170" s="1029"/>
      <c r="P170" s="1029"/>
      <c r="Q170" s="1029"/>
      <c r="R170" s="1029"/>
      <c r="S170" s="1029"/>
      <c r="T170" s="1029"/>
      <c r="U170" s="1029"/>
      <c r="V170" s="1029"/>
      <c r="W170" s="1029"/>
    </row>
    <row r="171" spans="1:23" ht="20.25">
      <c r="A171" s="1040" t="s">
        <v>4014</v>
      </c>
      <c r="B171" s="1038"/>
      <c r="C171" s="1038"/>
      <c r="D171" s="1039"/>
      <c r="E171" s="1039"/>
      <c r="F171" s="1039" t="s">
        <v>488</v>
      </c>
      <c r="G171" s="1039"/>
      <c r="H171" s="1039"/>
      <c r="I171" s="1037"/>
      <c r="J171" s="1037"/>
      <c r="K171" s="1037"/>
      <c r="L171" s="1039"/>
      <c r="M171" s="1037"/>
      <c r="N171" s="1037"/>
      <c r="O171" s="1037"/>
      <c r="P171" s="1039"/>
      <c r="Q171" s="1037"/>
      <c r="R171" s="1037"/>
      <c r="S171" s="1037"/>
      <c r="T171" s="1039"/>
      <c r="U171" s="1037"/>
      <c r="V171" s="1037"/>
      <c r="W171" s="1037"/>
    </row>
  </sheetData>
  <mergeCells count="13">
    <mergeCell ref="F3:F4"/>
    <mergeCell ref="G3:G4"/>
    <mergeCell ref="H3:W3"/>
    <mergeCell ref="A154:B154"/>
    <mergeCell ref="A3:A4"/>
    <mergeCell ref="C3:C4"/>
    <mergeCell ref="D3:D4"/>
    <mergeCell ref="E3:E4"/>
    <mergeCell ref="B3:B4"/>
    <mergeCell ref="A6:B6"/>
    <mergeCell ref="A120:B120"/>
    <mergeCell ref="A132:B132"/>
    <mergeCell ref="A144:B144"/>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outlinePr summaryBelow="0" summaryRight="0"/>
    <pageSetUpPr fitToPage="1"/>
  </sheetPr>
  <dimension ref="A1:X1085"/>
  <sheetViews>
    <sheetView workbookViewId="0"/>
  </sheetViews>
  <sheetFormatPr defaultColWidth="12.5703125" defaultRowHeight="15.75" customHeight="1"/>
  <cols>
    <col min="1" max="1" width="4.85546875" customWidth="1"/>
    <col min="2" max="2" width="41.85546875" customWidth="1"/>
    <col min="3" max="3" width="8.5703125" customWidth="1"/>
    <col min="4" max="4" width="5.85546875" customWidth="1"/>
    <col min="5" max="5" width="11.5703125" customWidth="1"/>
    <col min="6" max="6" width="12.42578125" customWidth="1"/>
    <col min="7" max="7" width="11.85546875" customWidth="1"/>
    <col min="8" max="23" width="5.140625" customWidth="1"/>
    <col min="24" max="24" width="5.140625" hidden="1" customWidth="1"/>
  </cols>
  <sheetData>
    <row r="1" spans="1:24" ht="15">
      <c r="A1" s="1041"/>
      <c r="B1" s="1041"/>
      <c r="C1" s="1042"/>
      <c r="D1" s="1042"/>
      <c r="E1" s="1496"/>
      <c r="F1" s="1451"/>
      <c r="G1" s="1451"/>
      <c r="H1" s="1451"/>
      <c r="I1" s="1451"/>
      <c r="J1" s="1451"/>
      <c r="K1" s="1451"/>
      <c r="L1" s="1451"/>
      <c r="M1" s="1451"/>
      <c r="N1" s="1451"/>
      <c r="O1" s="1451"/>
      <c r="P1" s="991"/>
      <c r="Q1" s="991"/>
      <c r="R1" s="991"/>
      <c r="S1" s="991"/>
      <c r="T1" s="991"/>
      <c r="U1" s="991"/>
      <c r="V1" s="991"/>
      <c r="W1" s="991"/>
      <c r="X1" s="991"/>
    </row>
    <row r="2" spans="1:24" ht="15">
      <c r="A2" s="1041"/>
      <c r="B2" s="1041"/>
      <c r="C2" s="1042"/>
      <c r="D2" s="1042"/>
      <c r="E2" s="1451"/>
      <c r="F2" s="1451"/>
      <c r="G2" s="1451"/>
      <c r="H2" s="1451"/>
      <c r="I2" s="1451"/>
      <c r="J2" s="1451"/>
      <c r="K2" s="1451"/>
      <c r="L2" s="1451"/>
      <c r="M2" s="1451"/>
      <c r="N2" s="1451"/>
      <c r="O2" s="1451"/>
      <c r="P2" s="991"/>
      <c r="Q2" s="991"/>
      <c r="R2" s="991"/>
      <c r="S2" s="991"/>
      <c r="T2" s="991"/>
      <c r="U2" s="991"/>
      <c r="V2" s="991"/>
      <c r="W2" s="991"/>
      <c r="X2" s="991"/>
    </row>
    <row r="3" spans="1:24" ht="15">
      <c r="A3" s="1041"/>
      <c r="B3" s="1041"/>
      <c r="C3" s="1042"/>
      <c r="D3" s="1042"/>
      <c r="E3" s="1451"/>
      <c r="F3" s="1451"/>
      <c r="G3" s="1451"/>
      <c r="H3" s="1451"/>
      <c r="I3" s="1451"/>
      <c r="J3" s="1451"/>
      <c r="K3" s="1451"/>
      <c r="L3" s="1451"/>
      <c r="M3" s="1451"/>
      <c r="N3" s="1451"/>
      <c r="O3" s="1451"/>
      <c r="P3" s="991"/>
      <c r="Q3" s="991"/>
      <c r="R3" s="991"/>
      <c r="S3" s="991"/>
      <c r="T3" s="991"/>
      <c r="U3" s="991"/>
      <c r="V3" s="991"/>
      <c r="W3" s="991"/>
      <c r="X3" s="991"/>
    </row>
    <row r="4" spans="1:24" ht="15">
      <c r="A4" s="1041"/>
      <c r="B4" s="1041"/>
      <c r="C4" s="1042"/>
      <c r="D4" s="1042"/>
      <c r="E4" s="1451"/>
      <c r="F4" s="1451"/>
      <c r="G4" s="1451"/>
      <c r="H4" s="1451"/>
      <c r="I4" s="1451"/>
      <c r="J4" s="1451"/>
      <c r="K4" s="1451"/>
      <c r="L4" s="1451"/>
      <c r="M4" s="1451"/>
      <c r="N4" s="1451"/>
      <c r="O4" s="1451"/>
      <c r="P4" s="991"/>
      <c r="Q4" s="991"/>
      <c r="R4" s="991"/>
      <c r="S4" s="991"/>
      <c r="T4" s="991"/>
      <c r="U4" s="991"/>
      <c r="V4" s="991"/>
      <c r="W4" s="991"/>
      <c r="X4" s="991"/>
    </row>
    <row r="5" spans="1:24" ht="8.25" customHeight="1">
      <c r="A5" s="1041"/>
      <c r="B5" s="1041"/>
      <c r="C5" s="1042"/>
      <c r="D5" s="1042"/>
      <c r="E5" s="1451"/>
      <c r="F5" s="1451"/>
      <c r="G5" s="1451"/>
      <c r="H5" s="1451"/>
      <c r="I5" s="1451"/>
      <c r="J5" s="1451"/>
      <c r="K5" s="1451"/>
      <c r="L5" s="1451"/>
      <c r="M5" s="1451"/>
      <c r="N5" s="1451"/>
      <c r="O5" s="1451"/>
      <c r="P5" s="991"/>
      <c r="Q5" s="991"/>
      <c r="R5" s="991"/>
      <c r="S5" s="991"/>
      <c r="T5" s="991"/>
      <c r="U5" s="991"/>
      <c r="V5" s="991"/>
      <c r="W5" s="991"/>
      <c r="X5" s="991"/>
    </row>
    <row r="6" spans="1:24" ht="23.25" customHeight="1">
      <c r="A6" s="1497" t="s">
        <v>4015</v>
      </c>
      <c r="B6" s="1451"/>
      <c r="C6" s="1451"/>
      <c r="D6" s="1451"/>
      <c r="E6" s="1451"/>
      <c r="F6" s="1451"/>
      <c r="G6" s="1451"/>
      <c r="H6" s="1451"/>
      <c r="I6" s="1451"/>
      <c r="J6" s="1451"/>
      <c r="K6" s="1451"/>
      <c r="L6" s="1451"/>
      <c r="M6" s="1451"/>
      <c r="N6" s="1451"/>
      <c r="O6" s="1451"/>
      <c r="P6" s="1451"/>
      <c r="Q6" s="1451"/>
      <c r="R6" s="1451"/>
      <c r="S6" s="1451"/>
      <c r="T6" s="1451"/>
      <c r="U6" s="1451"/>
      <c r="V6" s="1451"/>
      <c r="W6" s="1451"/>
      <c r="X6" s="1044"/>
    </row>
    <row r="7" spans="1:24" ht="15">
      <c r="A7" s="1041"/>
      <c r="B7" s="1041"/>
      <c r="C7" s="1042"/>
      <c r="D7" s="1042"/>
      <c r="E7" s="1045"/>
      <c r="F7" s="991"/>
      <c r="G7" s="991"/>
      <c r="H7" s="1042"/>
      <c r="I7" s="991"/>
      <c r="J7" s="991"/>
      <c r="K7" s="991"/>
      <c r="L7" s="991"/>
      <c r="M7" s="991"/>
      <c r="N7" s="991"/>
      <c r="O7" s="991"/>
      <c r="P7" s="991"/>
      <c r="Q7" s="991"/>
      <c r="R7" s="991"/>
      <c r="S7" s="991"/>
      <c r="T7" s="991"/>
      <c r="U7" s="991"/>
      <c r="V7" s="991"/>
      <c r="W7" s="991"/>
      <c r="X7" s="991"/>
    </row>
    <row r="8" spans="1:24" ht="15">
      <c r="A8" s="1494" t="s">
        <v>4016</v>
      </c>
      <c r="B8" s="1451"/>
      <c r="C8" s="1042"/>
      <c r="D8" s="1042"/>
      <c r="E8" s="1045"/>
      <c r="F8" s="991"/>
      <c r="G8" s="991"/>
      <c r="H8" s="1042"/>
      <c r="I8" s="991"/>
      <c r="J8" s="991"/>
      <c r="K8" s="991"/>
      <c r="L8" s="991"/>
      <c r="M8" s="991"/>
      <c r="N8" s="991"/>
      <c r="O8" s="991"/>
      <c r="P8" s="991"/>
      <c r="Q8" s="991"/>
      <c r="R8" s="991"/>
      <c r="S8" s="991"/>
      <c r="T8" s="991"/>
      <c r="U8" s="991"/>
      <c r="V8" s="991"/>
      <c r="W8" s="991"/>
      <c r="X8" s="991"/>
    </row>
    <row r="9" spans="1:24" ht="15">
      <c r="A9" s="1494" t="s">
        <v>318</v>
      </c>
      <c r="B9" s="1451"/>
      <c r="C9" s="1042"/>
      <c r="D9" s="1042"/>
      <c r="E9" s="1045"/>
      <c r="F9" s="991"/>
      <c r="G9" s="991"/>
      <c r="H9" s="1042"/>
      <c r="I9" s="991"/>
      <c r="J9" s="991"/>
      <c r="K9" s="991"/>
      <c r="L9" s="991"/>
      <c r="M9" s="991"/>
      <c r="N9" s="991"/>
      <c r="O9" s="991"/>
      <c r="P9" s="991"/>
      <c r="Q9" s="991"/>
      <c r="R9" s="991"/>
      <c r="S9" s="991"/>
      <c r="T9" s="991"/>
      <c r="U9" s="991"/>
      <c r="V9" s="991"/>
      <c r="W9" s="991"/>
      <c r="X9" s="991"/>
    </row>
    <row r="10" spans="1:24" ht="15">
      <c r="A10" s="1494" t="s">
        <v>319</v>
      </c>
      <c r="B10" s="1451"/>
      <c r="C10" s="1042"/>
      <c r="D10" s="1042"/>
      <c r="E10" s="1045"/>
      <c r="F10" s="991"/>
      <c r="G10" s="991"/>
      <c r="H10" s="1042"/>
      <c r="I10" s="991"/>
      <c r="J10" s="991"/>
      <c r="K10" s="991"/>
      <c r="L10" s="991"/>
      <c r="M10" s="991"/>
      <c r="N10" s="991"/>
      <c r="O10" s="991"/>
      <c r="P10" s="991"/>
      <c r="Q10" s="991"/>
      <c r="R10" s="991"/>
      <c r="S10" s="991"/>
      <c r="T10" s="991"/>
      <c r="U10" s="991"/>
      <c r="V10" s="991"/>
      <c r="W10" s="991"/>
      <c r="X10" s="991"/>
    </row>
    <row r="11" spans="1:24" ht="11.25" customHeight="1">
      <c r="A11" s="1041"/>
      <c r="B11" s="1041"/>
      <c r="C11" s="1042"/>
      <c r="D11" s="1042"/>
      <c r="E11" s="1045"/>
      <c r="F11" s="991"/>
      <c r="G11" s="991"/>
      <c r="H11" s="1042"/>
      <c r="I11" s="991"/>
      <c r="J11" s="991"/>
      <c r="K11" s="991"/>
      <c r="L11" s="991"/>
      <c r="M11" s="991"/>
      <c r="N11" s="991"/>
      <c r="O11" s="991"/>
      <c r="P11" s="991"/>
      <c r="Q11" s="991"/>
      <c r="R11" s="991"/>
      <c r="S11" s="991"/>
      <c r="T11" s="991"/>
      <c r="U11" s="991"/>
      <c r="V11" s="991"/>
      <c r="W11" s="991"/>
      <c r="X11" s="991"/>
    </row>
    <row r="12" spans="1:24" ht="18.75" customHeight="1">
      <c r="A12" s="1457" t="s">
        <v>320</v>
      </c>
      <c r="B12" s="1468" t="s">
        <v>321</v>
      </c>
      <c r="C12" s="1457" t="s">
        <v>85</v>
      </c>
      <c r="D12" s="1457" t="s">
        <v>92</v>
      </c>
      <c r="E12" s="1457" t="s">
        <v>93</v>
      </c>
      <c r="F12" s="1457" t="s">
        <v>322</v>
      </c>
      <c r="G12" s="1457" t="s">
        <v>323</v>
      </c>
      <c r="H12" s="1462" t="s">
        <v>324</v>
      </c>
      <c r="I12" s="1442"/>
      <c r="J12" s="1442"/>
      <c r="K12" s="1442"/>
      <c r="L12" s="1442"/>
      <c r="M12" s="1442"/>
      <c r="N12" s="1442"/>
      <c r="O12" s="1442"/>
      <c r="P12" s="1442"/>
      <c r="Q12" s="1442"/>
      <c r="R12" s="1442"/>
      <c r="S12" s="1442"/>
      <c r="T12" s="1442"/>
      <c r="U12" s="1442"/>
      <c r="V12" s="1442"/>
      <c r="W12" s="1443"/>
      <c r="X12" s="1046"/>
    </row>
    <row r="13" spans="1:24" ht="15">
      <c r="A13" s="1448"/>
      <c r="B13" s="1448"/>
      <c r="C13" s="1448"/>
      <c r="D13" s="1448"/>
      <c r="E13" s="1448"/>
      <c r="F13" s="1448"/>
      <c r="G13" s="1448"/>
      <c r="H13" s="96" t="s">
        <v>325</v>
      </c>
      <c r="I13" s="96" t="s">
        <v>326</v>
      </c>
      <c r="J13" s="96" t="s">
        <v>327</v>
      </c>
      <c r="K13" s="96" t="s">
        <v>328</v>
      </c>
      <c r="L13" s="96" t="s">
        <v>329</v>
      </c>
      <c r="M13" s="96" t="s">
        <v>330</v>
      </c>
      <c r="N13" s="96" t="s">
        <v>331</v>
      </c>
      <c r="O13" s="96" t="s">
        <v>332</v>
      </c>
      <c r="P13" s="96" t="s">
        <v>333</v>
      </c>
      <c r="Q13" s="96" t="s">
        <v>334</v>
      </c>
      <c r="R13" s="96" t="s">
        <v>335</v>
      </c>
      <c r="S13" s="96" t="s">
        <v>336</v>
      </c>
      <c r="T13" s="96" t="s">
        <v>337</v>
      </c>
      <c r="U13" s="96" t="s">
        <v>338</v>
      </c>
      <c r="V13" s="96" t="s">
        <v>339</v>
      </c>
      <c r="W13" s="96" t="s">
        <v>340</v>
      </c>
      <c r="X13" s="1046"/>
    </row>
    <row r="14" spans="1:24" ht="15">
      <c r="A14" s="1492" t="s">
        <v>341</v>
      </c>
      <c r="B14" s="1443"/>
      <c r="C14" s="845"/>
      <c r="D14" s="845"/>
      <c r="E14" s="847"/>
      <c r="F14" s="953"/>
      <c r="G14" s="953"/>
      <c r="H14" s="845"/>
      <c r="I14" s="845"/>
      <c r="J14" s="953"/>
      <c r="K14" s="953"/>
      <c r="L14" s="953"/>
      <c r="M14" s="953"/>
      <c r="N14" s="953"/>
      <c r="O14" s="953"/>
      <c r="P14" s="953"/>
      <c r="Q14" s="953"/>
      <c r="R14" s="953"/>
      <c r="S14" s="953"/>
      <c r="T14" s="953"/>
      <c r="U14" s="953"/>
      <c r="V14" s="953"/>
      <c r="W14" s="953"/>
      <c r="X14" s="991"/>
    </row>
    <row r="15" spans="1:24" ht="15">
      <c r="A15" s="1047">
        <v>1</v>
      </c>
      <c r="B15" s="1048" t="s">
        <v>408</v>
      </c>
      <c r="C15" s="1049">
        <v>1</v>
      </c>
      <c r="D15" s="1049" t="s">
        <v>758</v>
      </c>
      <c r="E15" s="1050">
        <v>135000</v>
      </c>
      <c r="F15" s="1050">
        <f t="shared" ref="F15:F42" si="0">C15*E15</f>
        <v>135000</v>
      </c>
      <c r="G15" s="1049" t="s">
        <v>4017</v>
      </c>
      <c r="H15" s="97">
        <f t="shared" ref="H15:H16" si="1">SUM(I15:K15)</f>
        <v>3</v>
      </c>
      <c r="I15" s="97">
        <v>1</v>
      </c>
      <c r="J15" s="97">
        <v>1</v>
      </c>
      <c r="K15" s="97">
        <v>1</v>
      </c>
      <c r="L15" s="97">
        <f t="shared" ref="L15:L42" si="2">SUM(M15:O15)</f>
        <v>3</v>
      </c>
      <c r="M15" s="97">
        <v>1</v>
      </c>
      <c r="N15" s="97">
        <v>1</v>
      </c>
      <c r="O15" s="97">
        <v>1</v>
      </c>
      <c r="P15" s="97">
        <f t="shared" ref="P15:P42" si="3">SUM(Q15:S15)</f>
        <v>3</v>
      </c>
      <c r="Q15" s="97">
        <v>1</v>
      </c>
      <c r="R15" s="97">
        <v>1</v>
      </c>
      <c r="S15" s="97">
        <v>1</v>
      </c>
      <c r="T15" s="97">
        <f t="shared" ref="T15:T42" si="4">SUM(U15:W15)</f>
        <v>3</v>
      </c>
      <c r="U15" s="97">
        <v>1</v>
      </c>
      <c r="V15" s="97">
        <v>1</v>
      </c>
      <c r="W15" s="97">
        <v>1</v>
      </c>
      <c r="X15" s="991"/>
    </row>
    <row r="16" spans="1:24" ht="15">
      <c r="A16" s="1047">
        <v>2</v>
      </c>
      <c r="B16" s="1048" t="s">
        <v>356</v>
      </c>
      <c r="C16" s="1049">
        <v>1</v>
      </c>
      <c r="D16" s="1049" t="s">
        <v>758</v>
      </c>
      <c r="E16" s="1050">
        <v>6000000</v>
      </c>
      <c r="F16" s="1050">
        <f t="shared" si="0"/>
        <v>6000000</v>
      </c>
      <c r="G16" s="1049" t="s">
        <v>4017</v>
      </c>
      <c r="H16" s="97">
        <f t="shared" si="1"/>
        <v>3</v>
      </c>
      <c r="I16" s="97">
        <v>1</v>
      </c>
      <c r="J16" s="97">
        <v>1</v>
      </c>
      <c r="K16" s="97">
        <v>1</v>
      </c>
      <c r="L16" s="97">
        <f t="shared" si="2"/>
        <v>3</v>
      </c>
      <c r="M16" s="97">
        <v>1</v>
      </c>
      <c r="N16" s="97">
        <v>1</v>
      </c>
      <c r="O16" s="97">
        <v>1</v>
      </c>
      <c r="P16" s="97">
        <f t="shared" si="3"/>
        <v>3</v>
      </c>
      <c r="Q16" s="97">
        <v>1</v>
      </c>
      <c r="R16" s="97">
        <v>1</v>
      </c>
      <c r="S16" s="97">
        <v>1</v>
      </c>
      <c r="T16" s="97">
        <f t="shared" si="4"/>
        <v>3</v>
      </c>
      <c r="U16" s="97">
        <v>1</v>
      </c>
      <c r="V16" s="97">
        <v>1</v>
      </c>
      <c r="W16" s="97">
        <v>1</v>
      </c>
      <c r="X16" s="991"/>
    </row>
    <row r="17" spans="1:24" ht="15">
      <c r="A17" s="100">
        <v>3</v>
      </c>
      <c r="B17" s="101" t="s">
        <v>357</v>
      </c>
      <c r="C17" s="97">
        <v>4</v>
      </c>
      <c r="D17" s="97" t="s">
        <v>103</v>
      </c>
      <c r="E17" s="130">
        <v>13200</v>
      </c>
      <c r="F17" s="130">
        <f t="shared" si="0"/>
        <v>52800</v>
      </c>
      <c r="G17" s="1051" t="s">
        <v>342</v>
      </c>
      <c r="H17" s="97">
        <v>4</v>
      </c>
      <c r="I17" s="97">
        <v>4</v>
      </c>
      <c r="J17" s="97"/>
      <c r="K17" s="97"/>
      <c r="L17" s="97">
        <f t="shared" si="2"/>
        <v>0</v>
      </c>
      <c r="M17" s="97"/>
      <c r="N17" s="97"/>
      <c r="O17" s="97"/>
      <c r="P17" s="97">
        <f t="shared" si="3"/>
        <v>0</v>
      </c>
      <c r="Q17" s="97"/>
      <c r="R17" s="97"/>
      <c r="S17" s="97"/>
      <c r="T17" s="97">
        <f t="shared" si="4"/>
        <v>0</v>
      </c>
      <c r="U17" s="97"/>
      <c r="V17" s="97"/>
      <c r="W17" s="97"/>
      <c r="X17" s="991"/>
    </row>
    <row r="18" spans="1:24" ht="15">
      <c r="A18" s="100">
        <v>4</v>
      </c>
      <c r="B18" s="101" t="s">
        <v>120</v>
      </c>
      <c r="C18" s="97">
        <v>5</v>
      </c>
      <c r="D18" s="97" t="s">
        <v>103</v>
      </c>
      <c r="E18" s="130">
        <v>8700</v>
      </c>
      <c r="F18" s="130">
        <f t="shared" si="0"/>
        <v>43500</v>
      </c>
      <c r="G18" s="1051" t="s">
        <v>342</v>
      </c>
      <c r="H18" s="97">
        <v>5</v>
      </c>
      <c r="I18" s="97">
        <v>5</v>
      </c>
      <c r="J18" s="97"/>
      <c r="K18" s="97"/>
      <c r="L18" s="97">
        <f t="shared" si="2"/>
        <v>0</v>
      </c>
      <c r="M18" s="97"/>
      <c r="N18" s="97"/>
      <c r="O18" s="97"/>
      <c r="P18" s="97">
        <f t="shared" si="3"/>
        <v>0</v>
      </c>
      <c r="Q18" s="97"/>
      <c r="R18" s="97"/>
      <c r="S18" s="97"/>
      <c r="T18" s="97">
        <f t="shared" si="4"/>
        <v>0</v>
      </c>
      <c r="U18" s="97"/>
      <c r="V18" s="97"/>
      <c r="W18" s="97"/>
      <c r="X18" s="991"/>
    </row>
    <row r="19" spans="1:24" ht="15">
      <c r="A19" s="100">
        <v>5</v>
      </c>
      <c r="B19" s="101" t="s">
        <v>985</v>
      </c>
      <c r="C19" s="97">
        <v>5</v>
      </c>
      <c r="D19" s="97" t="s">
        <v>103</v>
      </c>
      <c r="E19" s="130">
        <v>7050</v>
      </c>
      <c r="F19" s="130">
        <f t="shared" si="0"/>
        <v>35250</v>
      </c>
      <c r="G19" s="1051" t="s">
        <v>342</v>
      </c>
      <c r="H19" s="97">
        <v>5</v>
      </c>
      <c r="I19" s="97">
        <v>5</v>
      </c>
      <c r="J19" s="97"/>
      <c r="K19" s="97"/>
      <c r="L19" s="97">
        <f t="shared" si="2"/>
        <v>0</v>
      </c>
      <c r="M19" s="97"/>
      <c r="N19" s="97"/>
      <c r="O19" s="97"/>
      <c r="P19" s="97">
        <f t="shared" si="3"/>
        <v>0</v>
      </c>
      <c r="Q19" s="97"/>
      <c r="R19" s="97"/>
      <c r="S19" s="97"/>
      <c r="T19" s="97">
        <f t="shared" si="4"/>
        <v>0</v>
      </c>
      <c r="U19" s="97"/>
      <c r="V19" s="97"/>
      <c r="W19" s="97"/>
      <c r="X19" s="991"/>
    </row>
    <row r="20" spans="1:24" ht="15">
      <c r="A20" s="100">
        <v>6</v>
      </c>
      <c r="B20" s="101" t="s">
        <v>359</v>
      </c>
      <c r="C20" s="97">
        <v>2</v>
      </c>
      <c r="D20" s="97" t="s">
        <v>103</v>
      </c>
      <c r="E20" s="130">
        <v>28500</v>
      </c>
      <c r="F20" s="130">
        <f t="shared" si="0"/>
        <v>57000</v>
      </c>
      <c r="G20" s="1051" t="s">
        <v>342</v>
      </c>
      <c r="H20" s="97">
        <v>2</v>
      </c>
      <c r="I20" s="97">
        <v>2</v>
      </c>
      <c r="J20" s="97"/>
      <c r="K20" s="97"/>
      <c r="L20" s="97">
        <f t="shared" si="2"/>
        <v>0</v>
      </c>
      <c r="M20" s="97"/>
      <c r="N20" s="97"/>
      <c r="O20" s="97"/>
      <c r="P20" s="97">
        <f t="shared" si="3"/>
        <v>0</v>
      </c>
      <c r="Q20" s="97"/>
      <c r="R20" s="97"/>
      <c r="S20" s="97"/>
      <c r="T20" s="97">
        <f t="shared" si="4"/>
        <v>0</v>
      </c>
      <c r="U20" s="97"/>
      <c r="V20" s="97"/>
      <c r="W20" s="97"/>
      <c r="X20" s="991"/>
    </row>
    <row r="21" spans="1:24" ht="15">
      <c r="A21" s="100">
        <v>7</v>
      </c>
      <c r="B21" s="101" t="s">
        <v>142</v>
      </c>
      <c r="C21" s="97">
        <v>30</v>
      </c>
      <c r="D21" s="97" t="s">
        <v>103</v>
      </c>
      <c r="E21" s="130">
        <v>3960</v>
      </c>
      <c r="F21" s="130">
        <f t="shared" si="0"/>
        <v>118800</v>
      </c>
      <c r="G21" s="1051" t="s">
        <v>342</v>
      </c>
      <c r="H21" s="97">
        <v>30</v>
      </c>
      <c r="I21" s="97">
        <v>30</v>
      </c>
      <c r="J21" s="97"/>
      <c r="K21" s="97"/>
      <c r="L21" s="97">
        <f t="shared" si="2"/>
        <v>0</v>
      </c>
      <c r="M21" s="97"/>
      <c r="N21" s="97"/>
      <c r="O21" s="97"/>
      <c r="P21" s="97">
        <f t="shared" si="3"/>
        <v>0</v>
      </c>
      <c r="Q21" s="97"/>
      <c r="R21" s="97"/>
      <c r="S21" s="97"/>
      <c r="T21" s="97">
        <f t="shared" si="4"/>
        <v>0</v>
      </c>
      <c r="U21" s="97"/>
      <c r="V21" s="97"/>
      <c r="W21" s="97"/>
      <c r="X21" s="991"/>
    </row>
    <row r="22" spans="1:24" ht="15">
      <c r="A22" s="100">
        <v>8</v>
      </c>
      <c r="B22" s="101" t="s">
        <v>361</v>
      </c>
      <c r="C22" s="97">
        <v>10</v>
      </c>
      <c r="D22" s="97" t="s">
        <v>103</v>
      </c>
      <c r="E22" s="130">
        <v>4020</v>
      </c>
      <c r="F22" s="130">
        <f t="shared" si="0"/>
        <v>40200</v>
      </c>
      <c r="G22" s="1051" t="s">
        <v>342</v>
      </c>
      <c r="H22" s="97">
        <v>10</v>
      </c>
      <c r="I22" s="97">
        <v>10</v>
      </c>
      <c r="J22" s="97"/>
      <c r="K22" s="97"/>
      <c r="L22" s="97">
        <f t="shared" si="2"/>
        <v>0</v>
      </c>
      <c r="M22" s="97"/>
      <c r="N22" s="97"/>
      <c r="O22" s="97"/>
      <c r="P22" s="97">
        <f t="shared" si="3"/>
        <v>0</v>
      </c>
      <c r="Q22" s="97"/>
      <c r="R22" s="97"/>
      <c r="S22" s="97"/>
      <c r="T22" s="97">
        <f t="shared" si="4"/>
        <v>0</v>
      </c>
      <c r="U22" s="97"/>
      <c r="V22" s="97"/>
      <c r="W22" s="97"/>
      <c r="X22" s="991"/>
    </row>
    <row r="23" spans="1:24" ht="15">
      <c r="A23" s="100">
        <v>9</v>
      </c>
      <c r="B23" s="101" t="s">
        <v>145</v>
      </c>
      <c r="C23" s="97">
        <v>50</v>
      </c>
      <c r="D23" s="97" t="s">
        <v>103</v>
      </c>
      <c r="E23" s="130">
        <v>1650</v>
      </c>
      <c r="F23" s="130">
        <f t="shared" si="0"/>
        <v>82500</v>
      </c>
      <c r="G23" s="1051" t="s">
        <v>342</v>
      </c>
      <c r="H23" s="97">
        <v>50</v>
      </c>
      <c r="I23" s="97">
        <v>50</v>
      </c>
      <c r="J23" s="97"/>
      <c r="K23" s="97"/>
      <c r="L23" s="97">
        <f t="shared" si="2"/>
        <v>0</v>
      </c>
      <c r="M23" s="97"/>
      <c r="N23" s="97"/>
      <c r="O23" s="97"/>
      <c r="P23" s="97">
        <f t="shared" si="3"/>
        <v>0</v>
      </c>
      <c r="Q23" s="97"/>
      <c r="R23" s="97"/>
      <c r="S23" s="97"/>
      <c r="T23" s="97">
        <f t="shared" si="4"/>
        <v>0</v>
      </c>
      <c r="U23" s="97"/>
      <c r="V23" s="97"/>
      <c r="W23" s="97"/>
      <c r="X23" s="991"/>
    </row>
    <row r="24" spans="1:24" ht="15">
      <c r="A24" s="100">
        <v>10</v>
      </c>
      <c r="B24" s="101" t="s">
        <v>1017</v>
      </c>
      <c r="C24" s="97">
        <v>50</v>
      </c>
      <c r="D24" s="97" t="s">
        <v>103</v>
      </c>
      <c r="E24" s="130">
        <v>1800</v>
      </c>
      <c r="F24" s="130">
        <f t="shared" si="0"/>
        <v>90000</v>
      </c>
      <c r="G24" s="1051" t="s">
        <v>342</v>
      </c>
      <c r="H24" s="97">
        <v>50</v>
      </c>
      <c r="I24" s="97">
        <v>50</v>
      </c>
      <c r="J24" s="97"/>
      <c r="K24" s="97"/>
      <c r="L24" s="97">
        <f t="shared" si="2"/>
        <v>0</v>
      </c>
      <c r="M24" s="97"/>
      <c r="N24" s="97"/>
      <c r="O24" s="97"/>
      <c r="P24" s="97">
        <f t="shared" si="3"/>
        <v>0</v>
      </c>
      <c r="Q24" s="97"/>
      <c r="R24" s="97"/>
      <c r="S24" s="97"/>
      <c r="T24" s="97">
        <f t="shared" si="4"/>
        <v>0</v>
      </c>
      <c r="U24" s="97"/>
      <c r="V24" s="97"/>
      <c r="W24" s="97"/>
      <c r="X24" s="991"/>
    </row>
    <row r="25" spans="1:24" ht="15">
      <c r="A25" s="100">
        <v>11</v>
      </c>
      <c r="B25" s="101" t="s">
        <v>188</v>
      </c>
      <c r="C25" s="97">
        <v>5</v>
      </c>
      <c r="D25" s="97" t="s">
        <v>189</v>
      </c>
      <c r="E25" s="130">
        <v>15750</v>
      </c>
      <c r="F25" s="130">
        <f t="shared" si="0"/>
        <v>78750</v>
      </c>
      <c r="G25" s="1051" t="s">
        <v>342</v>
      </c>
      <c r="H25" s="97">
        <v>5</v>
      </c>
      <c r="I25" s="97">
        <v>5</v>
      </c>
      <c r="J25" s="97"/>
      <c r="K25" s="97"/>
      <c r="L25" s="97">
        <f t="shared" si="2"/>
        <v>0</v>
      </c>
      <c r="M25" s="97"/>
      <c r="N25" s="97"/>
      <c r="O25" s="97"/>
      <c r="P25" s="97">
        <f t="shared" si="3"/>
        <v>0</v>
      </c>
      <c r="Q25" s="97"/>
      <c r="R25" s="97"/>
      <c r="S25" s="97"/>
      <c r="T25" s="97">
        <f t="shared" si="4"/>
        <v>0</v>
      </c>
      <c r="U25" s="97"/>
      <c r="V25" s="97"/>
      <c r="W25" s="97"/>
      <c r="X25" s="991"/>
    </row>
    <row r="26" spans="1:24" ht="30">
      <c r="A26" s="100">
        <v>12</v>
      </c>
      <c r="B26" s="101" t="s">
        <v>1400</v>
      </c>
      <c r="C26" s="97">
        <v>1</v>
      </c>
      <c r="D26" s="97" t="s">
        <v>758</v>
      </c>
      <c r="E26" s="130">
        <v>200000</v>
      </c>
      <c r="F26" s="130">
        <f t="shared" si="0"/>
        <v>200000</v>
      </c>
      <c r="G26" s="1051" t="s">
        <v>342</v>
      </c>
      <c r="H26" s="97">
        <v>1</v>
      </c>
      <c r="I26" s="97">
        <v>1</v>
      </c>
      <c r="J26" s="97"/>
      <c r="K26" s="97"/>
      <c r="L26" s="97">
        <f t="shared" si="2"/>
        <v>0</v>
      </c>
      <c r="M26" s="97"/>
      <c r="N26" s="97"/>
      <c r="O26" s="97"/>
      <c r="P26" s="97">
        <f t="shared" si="3"/>
        <v>0</v>
      </c>
      <c r="Q26" s="97"/>
      <c r="R26" s="97"/>
      <c r="S26" s="97"/>
      <c r="T26" s="97">
        <f t="shared" si="4"/>
        <v>0</v>
      </c>
      <c r="U26" s="97"/>
      <c r="V26" s="97"/>
      <c r="W26" s="97"/>
      <c r="X26" s="991"/>
    </row>
    <row r="27" spans="1:24" ht="15">
      <c r="A27" s="100">
        <v>13</v>
      </c>
      <c r="B27" s="101" t="s">
        <v>4018</v>
      </c>
      <c r="C27" s="97">
        <v>2</v>
      </c>
      <c r="D27" s="97" t="s">
        <v>103</v>
      </c>
      <c r="E27" s="130">
        <v>225000</v>
      </c>
      <c r="F27" s="130">
        <f t="shared" si="0"/>
        <v>450000</v>
      </c>
      <c r="G27" s="1051" t="s">
        <v>342</v>
      </c>
      <c r="H27" s="97">
        <v>2</v>
      </c>
      <c r="I27" s="97">
        <v>2</v>
      </c>
      <c r="J27" s="97"/>
      <c r="K27" s="97"/>
      <c r="L27" s="97">
        <f t="shared" si="2"/>
        <v>0</v>
      </c>
      <c r="M27" s="97"/>
      <c r="N27" s="97"/>
      <c r="O27" s="97"/>
      <c r="P27" s="97">
        <f t="shared" si="3"/>
        <v>0</v>
      </c>
      <c r="Q27" s="97"/>
      <c r="R27" s="97"/>
      <c r="S27" s="97"/>
      <c r="T27" s="97">
        <f t="shared" si="4"/>
        <v>0</v>
      </c>
      <c r="U27" s="97"/>
      <c r="V27" s="97"/>
      <c r="W27" s="97"/>
      <c r="X27" s="991"/>
    </row>
    <row r="28" spans="1:24" ht="15">
      <c r="A28" s="100">
        <v>14</v>
      </c>
      <c r="B28" s="101" t="s">
        <v>193</v>
      </c>
      <c r="C28" s="97">
        <v>4</v>
      </c>
      <c r="D28" s="97" t="s">
        <v>103</v>
      </c>
      <c r="E28" s="130">
        <v>67500</v>
      </c>
      <c r="F28" s="130">
        <f t="shared" si="0"/>
        <v>270000</v>
      </c>
      <c r="G28" s="1051" t="s">
        <v>342</v>
      </c>
      <c r="H28" s="97">
        <v>4</v>
      </c>
      <c r="I28" s="97">
        <v>4</v>
      </c>
      <c r="J28" s="97"/>
      <c r="K28" s="97"/>
      <c r="L28" s="97">
        <f t="shared" si="2"/>
        <v>0</v>
      </c>
      <c r="M28" s="97"/>
      <c r="N28" s="97"/>
      <c r="O28" s="97"/>
      <c r="P28" s="97">
        <f t="shared" si="3"/>
        <v>0</v>
      </c>
      <c r="Q28" s="97"/>
      <c r="R28" s="97"/>
      <c r="S28" s="97"/>
      <c r="T28" s="97">
        <f t="shared" si="4"/>
        <v>0</v>
      </c>
      <c r="U28" s="97"/>
      <c r="V28" s="97"/>
      <c r="W28" s="97"/>
      <c r="X28" s="991"/>
    </row>
    <row r="29" spans="1:24" ht="15">
      <c r="A29" s="100">
        <v>15</v>
      </c>
      <c r="B29" s="101" t="s">
        <v>2939</v>
      </c>
      <c r="C29" s="97">
        <v>5</v>
      </c>
      <c r="D29" s="97" t="s">
        <v>103</v>
      </c>
      <c r="E29" s="130">
        <v>150000</v>
      </c>
      <c r="F29" s="130">
        <f t="shared" si="0"/>
        <v>750000</v>
      </c>
      <c r="G29" s="1051" t="s">
        <v>342</v>
      </c>
      <c r="H29" s="97">
        <v>5</v>
      </c>
      <c r="I29" s="97">
        <v>5</v>
      </c>
      <c r="J29" s="97"/>
      <c r="K29" s="97"/>
      <c r="L29" s="97">
        <f t="shared" si="2"/>
        <v>0</v>
      </c>
      <c r="M29" s="97"/>
      <c r="N29" s="97"/>
      <c r="O29" s="97"/>
      <c r="P29" s="97">
        <f t="shared" si="3"/>
        <v>0</v>
      </c>
      <c r="Q29" s="97"/>
      <c r="R29" s="97"/>
      <c r="S29" s="97"/>
      <c r="T29" s="97">
        <f t="shared" si="4"/>
        <v>0</v>
      </c>
      <c r="U29" s="97"/>
      <c r="V29" s="97"/>
      <c r="W29" s="97"/>
      <c r="X29" s="991"/>
    </row>
    <row r="30" spans="1:24" ht="15">
      <c r="A30" s="1052">
        <v>16</v>
      </c>
      <c r="B30" s="1053" t="s">
        <v>195</v>
      </c>
      <c r="C30" s="1054">
        <v>3</v>
      </c>
      <c r="D30" s="1054" t="s">
        <v>103</v>
      </c>
      <c r="E30" s="1055">
        <v>22500</v>
      </c>
      <c r="F30" s="1055">
        <f t="shared" si="0"/>
        <v>67500</v>
      </c>
      <c r="G30" s="1056" t="s">
        <v>2949</v>
      </c>
      <c r="H30" s="97">
        <v>3</v>
      </c>
      <c r="I30" s="97">
        <v>3</v>
      </c>
      <c r="J30" s="97"/>
      <c r="K30" s="97"/>
      <c r="L30" s="97">
        <f t="shared" si="2"/>
        <v>0</v>
      </c>
      <c r="M30" s="97"/>
      <c r="N30" s="97"/>
      <c r="O30" s="97"/>
      <c r="P30" s="97">
        <f t="shared" si="3"/>
        <v>0</v>
      </c>
      <c r="Q30" s="97"/>
      <c r="R30" s="97"/>
      <c r="S30" s="97"/>
      <c r="T30" s="97">
        <f t="shared" si="4"/>
        <v>0</v>
      </c>
      <c r="U30" s="97"/>
      <c r="V30" s="97"/>
      <c r="W30" s="97"/>
      <c r="X30" s="991"/>
    </row>
    <row r="31" spans="1:24" ht="15">
      <c r="A31" s="100">
        <v>17</v>
      </c>
      <c r="B31" s="101" t="s">
        <v>2940</v>
      </c>
      <c r="C31" s="97">
        <v>1</v>
      </c>
      <c r="D31" s="97" t="s">
        <v>103</v>
      </c>
      <c r="E31" s="130">
        <v>50000</v>
      </c>
      <c r="F31" s="130">
        <f t="shared" si="0"/>
        <v>50000</v>
      </c>
      <c r="G31" s="1051" t="s">
        <v>342</v>
      </c>
      <c r="H31" s="97">
        <v>1</v>
      </c>
      <c r="I31" s="97">
        <v>1</v>
      </c>
      <c r="J31" s="97"/>
      <c r="K31" s="97"/>
      <c r="L31" s="97">
        <f t="shared" si="2"/>
        <v>0</v>
      </c>
      <c r="M31" s="97"/>
      <c r="N31" s="97"/>
      <c r="O31" s="97"/>
      <c r="P31" s="97">
        <f t="shared" si="3"/>
        <v>0</v>
      </c>
      <c r="Q31" s="97"/>
      <c r="R31" s="97"/>
      <c r="S31" s="97"/>
      <c r="T31" s="97">
        <f t="shared" si="4"/>
        <v>0</v>
      </c>
      <c r="U31" s="97"/>
      <c r="V31" s="97"/>
      <c r="W31" s="97"/>
      <c r="X31" s="991"/>
    </row>
    <row r="32" spans="1:24" ht="45">
      <c r="A32" s="1057">
        <v>18</v>
      </c>
      <c r="B32" s="1058" t="s">
        <v>2941</v>
      </c>
      <c r="C32" s="1059">
        <v>1</v>
      </c>
      <c r="D32" s="1059" t="s">
        <v>758</v>
      </c>
      <c r="E32" s="1060">
        <v>440000</v>
      </c>
      <c r="F32" s="1060">
        <f t="shared" si="0"/>
        <v>440000</v>
      </c>
      <c r="G32" s="1061"/>
      <c r="H32" s="97">
        <v>1</v>
      </c>
      <c r="I32" s="97">
        <v>1</v>
      </c>
      <c r="J32" s="97"/>
      <c r="K32" s="97"/>
      <c r="L32" s="97">
        <f t="shared" si="2"/>
        <v>0</v>
      </c>
      <c r="M32" s="97"/>
      <c r="N32" s="97"/>
      <c r="O32" s="97"/>
      <c r="P32" s="97">
        <f t="shared" si="3"/>
        <v>0</v>
      </c>
      <c r="Q32" s="97"/>
      <c r="R32" s="97"/>
      <c r="S32" s="97"/>
      <c r="T32" s="97">
        <f t="shared" si="4"/>
        <v>0</v>
      </c>
      <c r="U32" s="97"/>
      <c r="V32" s="97"/>
      <c r="W32" s="97"/>
      <c r="X32" s="991"/>
    </row>
    <row r="33" spans="1:24" ht="15">
      <c r="A33" s="100">
        <v>19</v>
      </c>
      <c r="B33" s="101" t="s">
        <v>1411</v>
      </c>
      <c r="C33" s="97">
        <v>1</v>
      </c>
      <c r="D33" s="97" t="s">
        <v>758</v>
      </c>
      <c r="E33" s="130">
        <v>13000000</v>
      </c>
      <c r="F33" s="130">
        <f t="shared" si="0"/>
        <v>13000000</v>
      </c>
      <c r="G33" s="1051" t="s">
        <v>342</v>
      </c>
      <c r="H33" s="97">
        <v>1</v>
      </c>
      <c r="I33" s="97">
        <v>1</v>
      </c>
      <c r="J33" s="97"/>
      <c r="K33" s="97"/>
      <c r="L33" s="97">
        <f t="shared" si="2"/>
        <v>0</v>
      </c>
      <c r="M33" s="97"/>
      <c r="N33" s="97"/>
      <c r="O33" s="97"/>
      <c r="P33" s="97">
        <f t="shared" si="3"/>
        <v>0</v>
      </c>
      <c r="Q33" s="97"/>
      <c r="R33" s="97"/>
      <c r="S33" s="97"/>
      <c r="T33" s="97">
        <f t="shared" si="4"/>
        <v>0</v>
      </c>
      <c r="U33" s="97"/>
      <c r="V33" s="97"/>
      <c r="W33" s="97"/>
      <c r="X33" s="991"/>
    </row>
    <row r="34" spans="1:24" ht="30">
      <c r="A34" s="100">
        <v>20</v>
      </c>
      <c r="B34" s="101" t="s">
        <v>233</v>
      </c>
      <c r="C34" s="97">
        <v>18</v>
      </c>
      <c r="D34" s="97" t="s">
        <v>103</v>
      </c>
      <c r="E34" s="130">
        <v>8850</v>
      </c>
      <c r="F34" s="130">
        <f t="shared" si="0"/>
        <v>159300</v>
      </c>
      <c r="G34" s="1051" t="s">
        <v>342</v>
      </c>
      <c r="H34" s="97">
        <v>18</v>
      </c>
      <c r="I34" s="97">
        <v>18</v>
      </c>
      <c r="J34" s="97"/>
      <c r="K34" s="97"/>
      <c r="L34" s="97">
        <f t="shared" si="2"/>
        <v>0</v>
      </c>
      <c r="M34" s="97"/>
      <c r="N34" s="97"/>
      <c r="O34" s="97"/>
      <c r="P34" s="97">
        <f t="shared" si="3"/>
        <v>0</v>
      </c>
      <c r="Q34" s="97"/>
      <c r="R34" s="97"/>
      <c r="S34" s="97"/>
      <c r="T34" s="97">
        <f t="shared" si="4"/>
        <v>0</v>
      </c>
      <c r="U34" s="97"/>
      <c r="V34" s="97"/>
      <c r="W34" s="97"/>
      <c r="X34" s="991"/>
    </row>
    <row r="35" spans="1:24" ht="60">
      <c r="A35" s="1057">
        <v>21</v>
      </c>
      <c r="B35" s="1058" t="s">
        <v>393</v>
      </c>
      <c r="C35" s="1059">
        <v>1</v>
      </c>
      <c r="D35" s="1059" t="s">
        <v>758</v>
      </c>
      <c r="E35" s="1060">
        <v>2150000</v>
      </c>
      <c r="F35" s="1060">
        <f t="shared" si="0"/>
        <v>2150000</v>
      </c>
      <c r="G35" s="1061"/>
      <c r="H35" s="97">
        <v>1</v>
      </c>
      <c r="I35" s="97">
        <v>1</v>
      </c>
      <c r="J35" s="97"/>
      <c r="K35" s="97"/>
      <c r="L35" s="97">
        <f t="shared" si="2"/>
        <v>0</v>
      </c>
      <c r="M35" s="97"/>
      <c r="N35" s="97"/>
      <c r="O35" s="97"/>
      <c r="P35" s="97">
        <f t="shared" si="3"/>
        <v>0</v>
      </c>
      <c r="Q35" s="97"/>
      <c r="R35" s="97"/>
      <c r="S35" s="97"/>
      <c r="T35" s="97">
        <f t="shared" si="4"/>
        <v>0</v>
      </c>
      <c r="U35" s="97"/>
      <c r="V35" s="97"/>
      <c r="W35" s="97"/>
      <c r="X35" s="991"/>
    </row>
    <row r="36" spans="1:24" ht="15">
      <c r="A36" s="100">
        <v>22</v>
      </c>
      <c r="B36" s="101" t="s">
        <v>1403</v>
      </c>
      <c r="C36" s="97">
        <v>1</v>
      </c>
      <c r="D36" s="97" t="s">
        <v>758</v>
      </c>
      <c r="E36" s="130">
        <v>1300000</v>
      </c>
      <c r="F36" s="130">
        <f t="shared" si="0"/>
        <v>1300000</v>
      </c>
      <c r="G36" s="1051" t="s">
        <v>342</v>
      </c>
      <c r="H36" s="97">
        <v>1</v>
      </c>
      <c r="I36" s="97">
        <v>1</v>
      </c>
      <c r="J36" s="97"/>
      <c r="K36" s="97"/>
      <c r="L36" s="97">
        <f t="shared" si="2"/>
        <v>0</v>
      </c>
      <c r="M36" s="97"/>
      <c r="N36" s="97"/>
      <c r="O36" s="97"/>
      <c r="P36" s="97">
        <f t="shared" si="3"/>
        <v>0</v>
      </c>
      <c r="Q36" s="97"/>
      <c r="R36" s="97"/>
      <c r="S36" s="97"/>
      <c r="T36" s="97">
        <f t="shared" si="4"/>
        <v>0</v>
      </c>
      <c r="U36" s="97"/>
      <c r="V36" s="97"/>
      <c r="W36" s="97"/>
      <c r="X36" s="991"/>
    </row>
    <row r="37" spans="1:24" ht="15">
      <c r="A37" s="100">
        <v>23</v>
      </c>
      <c r="B37" s="101" t="s">
        <v>250</v>
      </c>
      <c r="C37" s="97">
        <v>50</v>
      </c>
      <c r="D37" s="97" t="s">
        <v>189</v>
      </c>
      <c r="E37" s="130">
        <v>1650</v>
      </c>
      <c r="F37" s="130">
        <f t="shared" si="0"/>
        <v>82500</v>
      </c>
      <c r="G37" s="1051" t="s">
        <v>342</v>
      </c>
      <c r="H37" s="97">
        <v>50</v>
      </c>
      <c r="I37" s="97">
        <v>50</v>
      </c>
      <c r="J37" s="97"/>
      <c r="K37" s="97"/>
      <c r="L37" s="97">
        <f t="shared" si="2"/>
        <v>0</v>
      </c>
      <c r="M37" s="97"/>
      <c r="N37" s="97"/>
      <c r="O37" s="97"/>
      <c r="P37" s="97">
        <f t="shared" si="3"/>
        <v>0</v>
      </c>
      <c r="Q37" s="97"/>
      <c r="R37" s="97"/>
      <c r="S37" s="97"/>
      <c r="T37" s="97">
        <f t="shared" si="4"/>
        <v>0</v>
      </c>
      <c r="U37" s="97"/>
      <c r="V37" s="97"/>
      <c r="W37" s="97"/>
      <c r="X37" s="991"/>
    </row>
    <row r="38" spans="1:24" ht="15">
      <c r="A38" s="100">
        <v>24</v>
      </c>
      <c r="B38" s="101" t="s">
        <v>257</v>
      </c>
      <c r="C38" s="97">
        <v>6</v>
      </c>
      <c r="D38" s="97" t="s">
        <v>103</v>
      </c>
      <c r="E38" s="130">
        <v>7650</v>
      </c>
      <c r="F38" s="130">
        <f t="shared" si="0"/>
        <v>45900</v>
      </c>
      <c r="G38" s="1051" t="s">
        <v>342</v>
      </c>
      <c r="H38" s="97">
        <v>6</v>
      </c>
      <c r="I38" s="97">
        <v>6</v>
      </c>
      <c r="J38" s="97"/>
      <c r="K38" s="97"/>
      <c r="L38" s="97">
        <f t="shared" si="2"/>
        <v>0</v>
      </c>
      <c r="M38" s="97"/>
      <c r="N38" s="97"/>
      <c r="O38" s="97"/>
      <c r="P38" s="97">
        <f t="shared" si="3"/>
        <v>0</v>
      </c>
      <c r="Q38" s="97"/>
      <c r="R38" s="97"/>
      <c r="S38" s="97"/>
      <c r="T38" s="97">
        <f t="shared" si="4"/>
        <v>0</v>
      </c>
      <c r="U38" s="97"/>
      <c r="V38" s="97"/>
      <c r="W38" s="97"/>
      <c r="X38" s="991"/>
    </row>
    <row r="39" spans="1:24" ht="15">
      <c r="A39" s="100">
        <v>25</v>
      </c>
      <c r="B39" s="101" t="s">
        <v>258</v>
      </c>
      <c r="C39" s="97">
        <v>10</v>
      </c>
      <c r="D39" s="97" t="s">
        <v>103</v>
      </c>
      <c r="E39" s="130">
        <v>8850</v>
      </c>
      <c r="F39" s="130">
        <f t="shared" si="0"/>
        <v>88500</v>
      </c>
      <c r="G39" s="1051" t="s">
        <v>342</v>
      </c>
      <c r="H39" s="97">
        <v>10</v>
      </c>
      <c r="I39" s="97">
        <v>10</v>
      </c>
      <c r="J39" s="97"/>
      <c r="K39" s="97"/>
      <c r="L39" s="97">
        <f t="shared" si="2"/>
        <v>0</v>
      </c>
      <c r="M39" s="97"/>
      <c r="N39" s="97"/>
      <c r="O39" s="97"/>
      <c r="P39" s="97">
        <f t="shared" si="3"/>
        <v>0</v>
      </c>
      <c r="Q39" s="97"/>
      <c r="R39" s="97"/>
      <c r="S39" s="97"/>
      <c r="T39" s="97">
        <f t="shared" si="4"/>
        <v>0</v>
      </c>
      <c r="U39" s="97"/>
      <c r="V39" s="97"/>
      <c r="W39" s="97"/>
      <c r="X39" s="991"/>
    </row>
    <row r="40" spans="1:24" ht="15">
      <c r="A40" s="100">
        <v>26</v>
      </c>
      <c r="B40" s="101" t="s">
        <v>259</v>
      </c>
      <c r="C40" s="97">
        <v>50</v>
      </c>
      <c r="D40" s="97" t="s">
        <v>103</v>
      </c>
      <c r="E40" s="130">
        <v>3375</v>
      </c>
      <c r="F40" s="130">
        <f t="shared" si="0"/>
        <v>168750</v>
      </c>
      <c r="G40" s="1051" t="s">
        <v>342</v>
      </c>
      <c r="H40" s="97">
        <v>50</v>
      </c>
      <c r="I40" s="97">
        <v>50</v>
      </c>
      <c r="J40" s="97"/>
      <c r="K40" s="97"/>
      <c r="L40" s="97">
        <f t="shared" si="2"/>
        <v>0</v>
      </c>
      <c r="M40" s="97"/>
      <c r="N40" s="97"/>
      <c r="O40" s="97"/>
      <c r="P40" s="97">
        <f t="shared" si="3"/>
        <v>0</v>
      </c>
      <c r="Q40" s="97"/>
      <c r="R40" s="97"/>
      <c r="S40" s="97"/>
      <c r="T40" s="97">
        <f t="shared" si="4"/>
        <v>0</v>
      </c>
      <c r="U40" s="97"/>
      <c r="V40" s="97"/>
      <c r="W40" s="97"/>
      <c r="X40" s="991"/>
    </row>
    <row r="41" spans="1:24" ht="15">
      <c r="A41" s="100">
        <v>27</v>
      </c>
      <c r="B41" s="101" t="s">
        <v>275</v>
      </c>
      <c r="C41" s="97">
        <v>15</v>
      </c>
      <c r="D41" s="97" t="s">
        <v>103</v>
      </c>
      <c r="E41" s="130">
        <v>15750</v>
      </c>
      <c r="F41" s="130">
        <f t="shared" si="0"/>
        <v>236250</v>
      </c>
      <c r="G41" s="1051" t="s">
        <v>342</v>
      </c>
      <c r="H41" s="97">
        <v>15</v>
      </c>
      <c r="I41" s="97">
        <v>15</v>
      </c>
      <c r="J41" s="97"/>
      <c r="K41" s="97"/>
      <c r="L41" s="97">
        <f t="shared" si="2"/>
        <v>0</v>
      </c>
      <c r="M41" s="97"/>
      <c r="N41" s="97"/>
      <c r="O41" s="97"/>
      <c r="P41" s="97">
        <f t="shared" si="3"/>
        <v>0</v>
      </c>
      <c r="Q41" s="97"/>
      <c r="R41" s="97"/>
      <c r="S41" s="97"/>
      <c r="T41" s="97">
        <f t="shared" si="4"/>
        <v>0</v>
      </c>
      <c r="U41" s="97"/>
      <c r="V41" s="97"/>
      <c r="W41" s="97"/>
      <c r="X41" s="991"/>
    </row>
    <row r="42" spans="1:24" ht="15">
      <c r="A42" s="100">
        <v>28</v>
      </c>
      <c r="B42" s="101" t="s">
        <v>2943</v>
      </c>
      <c r="C42" s="97">
        <v>4</v>
      </c>
      <c r="D42" s="97" t="s">
        <v>118</v>
      </c>
      <c r="E42" s="130">
        <v>17000</v>
      </c>
      <c r="F42" s="130">
        <f t="shared" si="0"/>
        <v>68000</v>
      </c>
      <c r="G42" s="1051" t="s">
        <v>342</v>
      </c>
      <c r="H42" s="97">
        <v>4</v>
      </c>
      <c r="I42" s="97">
        <v>4</v>
      </c>
      <c r="J42" s="97"/>
      <c r="K42" s="97"/>
      <c r="L42" s="97">
        <f t="shared" si="2"/>
        <v>0</v>
      </c>
      <c r="M42" s="97"/>
      <c r="N42" s="97"/>
      <c r="O42" s="97"/>
      <c r="P42" s="97">
        <f t="shared" si="3"/>
        <v>0</v>
      </c>
      <c r="Q42" s="97"/>
      <c r="R42" s="97"/>
      <c r="S42" s="97"/>
      <c r="T42" s="97">
        <f t="shared" si="4"/>
        <v>0</v>
      </c>
      <c r="U42" s="97"/>
      <c r="V42" s="97"/>
      <c r="W42" s="97"/>
      <c r="X42" s="991"/>
    </row>
    <row r="43" spans="1:24" ht="15">
      <c r="A43" s="100"/>
      <c r="B43" s="1062" t="s">
        <v>343</v>
      </c>
      <c r="C43" s="103"/>
      <c r="D43" s="103"/>
      <c r="E43" s="131"/>
      <c r="F43" s="131">
        <f>SUM(F14:F42)</f>
        <v>26260500</v>
      </c>
      <c r="G43" s="1051"/>
      <c r="H43" s="103"/>
      <c r="I43" s="103"/>
      <c r="J43" s="97"/>
      <c r="K43" s="97"/>
      <c r="L43" s="97"/>
      <c r="M43" s="97"/>
      <c r="N43" s="97"/>
      <c r="O43" s="97"/>
      <c r="P43" s="97"/>
      <c r="Q43" s="97"/>
      <c r="R43" s="97"/>
      <c r="S43" s="97"/>
      <c r="T43" s="97"/>
      <c r="U43" s="97"/>
      <c r="V43" s="97"/>
      <c r="W43" s="97"/>
      <c r="X43" s="991"/>
    </row>
    <row r="44" spans="1:24" ht="15.75" customHeight="1">
      <c r="A44" s="89"/>
      <c r="B44" s="87"/>
      <c r="C44" s="89"/>
      <c r="D44" s="89"/>
      <c r="E44" s="1063"/>
      <c r="F44" s="1063"/>
      <c r="G44" s="1051"/>
      <c r="H44" s="89"/>
      <c r="I44" s="89"/>
      <c r="J44" s="89"/>
      <c r="K44" s="89"/>
      <c r="L44" s="89"/>
      <c r="M44" s="89"/>
      <c r="N44" s="89"/>
      <c r="O44" s="89"/>
      <c r="P44" s="89"/>
      <c r="Q44" s="89"/>
      <c r="R44" s="89"/>
      <c r="S44" s="89"/>
      <c r="T44" s="89"/>
      <c r="U44" s="89"/>
      <c r="V44" s="89"/>
      <c r="W44" s="89"/>
      <c r="X44" s="991"/>
    </row>
    <row r="45" spans="1:24" ht="15">
      <c r="A45" s="1493" t="s">
        <v>344</v>
      </c>
      <c r="B45" s="1443"/>
      <c r="C45" s="105"/>
      <c r="D45" s="105"/>
      <c r="E45" s="1064"/>
      <c r="F45" s="1064"/>
      <c r="G45" s="1051"/>
      <c r="H45" s="105"/>
      <c r="I45" s="105"/>
      <c r="J45" s="105"/>
      <c r="K45" s="105"/>
      <c r="L45" s="105"/>
      <c r="M45" s="105"/>
      <c r="N45" s="105"/>
      <c r="O45" s="105"/>
      <c r="P45" s="105"/>
      <c r="Q45" s="105"/>
      <c r="R45" s="105"/>
      <c r="S45" s="105"/>
      <c r="T45" s="105"/>
      <c r="U45" s="105"/>
      <c r="V45" s="105"/>
      <c r="W45" s="105"/>
      <c r="X45" s="991"/>
    </row>
    <row r="46" spans="1:24" ht="30">
      <c r="A46" s="100">
        <v>1</v>
      </c>
      <c r="B46" s="101" t="s">
        <v>100</v>
      </c>
      <c r="C46" s="97">
        <v>50</v>
      </c>
      <c r="D46" s="97" t="s">
        <v>103</v>
      </c>
      <c r="E46" s="130">
        <v>80</v>
      </c>
      <c r="F46" s="130">
        <f t="shared" ref="F46:F158" si="5">C46*E46</f>
        <v>4000</v>
      </c>
      <c r="G46" s="1051" t="s">
        <v>342</v>
      </c>
      <c r="H46" s="97">
        <v>50</v>
      </c>
      <c r="I46" s="97">
        <v>50</v>
      </c>
      <c r="J46" s="97"/>
      <c r="K46" s="97"/>
      <c r="L46" s="97">
        <f t="shared" ref="L46:L158" si="6">SUM(M46:O46)</f>
        <v>0</v>
      </c>
      <c r="M46" s="97"/>
      <c r="N46" s="97"/>
      <c r="O46" s="97"/>
      <c r="P46" s="97">
        <f t="shared" ref="P46:P158" si="7">SUM(Q46:S46)</f>
        <v>0</v>
      </c>
      <c r="Q46" s="97"/>
      <c r="R46" s="97"/>
      <c r="S46" s="97"/>
      <c r="T46" s="97">
        <f t="shared" ref="T46:T158" si="8">SUM(U46:W46)</f>
        <v>0</v>
      </c>
      <c r="U46" s="97"/>
      <c r="V46" s="97"/>
      <c r="W46" s="97"/>
      <c r="X46" s="991"/>
    </row>
    <row r="47" spans="1:24" ht="30">
      <c r="A47" s="100">
        <v>2</v>
      </c>
      <c r="B47" s="101" t="s">
        <v>102</v>
      </c>
      <c r="C47" s="97">
        <v>20</v>
      </c>
      <c r="D47" s="97" t="s">
        <v>103</v>
      </c>
      <c r="E47" s="130">
        <v>255</v>
      </c>
      <c r="F47" s="130">
        <f t="shared" si="5"/>
        <v>5100</v>
      </c>
      <c r="G47" s="1051" t="s">
        <v>342</v>
      </c>
      <c r="H47" s="97">
        <v>20</v>
      </c>
      <c r="I47" s="97">
        <v>20</v>
      </c>
      <c r="J47" s="97"/>
      <c r="K47" s="97"/>
      <c r="L47" s="97">
        <f t="shared" si="6"/>
        <v>0</v>
      </c>
      <c r="M47" s="97"/>
      <c r="N47" s="97"/>
      <c r="O47" s="97"/>
      <c r="P47" s="97">
        <f t="shared" si="7"/>
        <v>0</v>
      </c>
      <c r="Q47" s="97"/>
      <c r="R47" s="97"/>
      <c r="S47" s="97"/>
      <c r="T47" s="97">
        <f t="shared" si="8"/>
        <v>0</v>
      </c>
      <c r="U47" s="97"/>
      <c r="V47" s="97"/>
      <c r="W47" s="97"/>
      <c r="X47" s="991"/>
    </row>
    <row r="48" spans="1:24" ht="15">
      <c r="A48" s="100">
        <v>3</v>
      </c>
      <c r="B48" s="101" t="s">
        <v>991</v>
      </c>
      <c r="C48" s="97">
        <v>8</v>
      </c>
      <c r="D48" s="97" t="s">
        <v>103</v>
      </c>
      <c r="E48" s="130">
        <v>5100</v>
      </c>
      <c r="F48" s="130">
        <f t="shared" si="5"/>
        <v>40800</v>
      </c>
      <c r="G48" s="1051" t="s">
        <v>342</v>
      </c>
      <c r="H48" s="97">
        <v>8</v>
      </c>
      <c r="I48" s="97">
        <v>8</v>
      </c>
      <c r="J48" s="97"/>
      <c r="K48" s="97"/>
      <c r="L48" s="97">
        <f t="shared" si="6"/>
        <v>0</v>
      </c>
      <c r="M48" s="97"/>
      <c r="N48" s="97"/>
      <c r="O48" s="97"/>
      <c r="P48" s="97">
        <f t="shared" si="7"/>
        <v>0</v>
      </c>
      <c r="Q48" s="97"/>
      <c r="R48" s="97"/>
      <c r="S48" s="97"/>
      <c r="T48" s="97">
        <f t="shared" si="8"/>
        <v>0</v>
      </c>
      <c r="U48" s="97"/>
      <c r="V48" s="97"/>
      <c r="W48" s="97"/>
      <c r="X48" s="991"/>
    </row>
    <row r="49" spans="1:24" ht="15">
      <c r="A49" s="100">
        <v>4</v>
      </c>
      <c r="B49" s="101" t="s">
        <v>106</v>
      </c>
      <c r="C49" s="97">
        <v>25</v>
      </c>
      <c r="D49" s="97" t="s">
        <v>103</v>
      </c>
      <c r="E49" s="130">
        <v>166.4</v>
      </c>
      <c r="F49" s="130">
        <f t="shared" si="5"/>
        <v>4160</v>
      </c>
      <c r="G49" s="1051" t="s">
        <v>342</v>
      </c>
      <c r="H49" s="97">
        <v>25</v>
      </c>
      <c r="I49" s="97">
        <v>25</v>
      </c>
      <c r="J49" s="97"/>
      <c r="K49" s="97"/>
      <c r="L49" s="97">
        <f t="shared" si="6"/>
        <v>0</v>
      </c>
      <c r="M49" s="97"/>
      <c r="N49" s="97"/>
      <c r="O49" s="97"/>
      <c r="P49" s="97">
        <f t="shared" si="7"/>
        <v>0</v>
      </c>
      <c r="Q49" s="97"/>
      <c r="R49" s="97"/>
      <c r="S49" s="97"/>
      <c r="T49" s="97">
        <f t="shared" si="8"/>
        <v>0</v>
      </c>
      <c r="U49" s="97"/>
      <c r="V49" s="97"/>
      <c r="W49" s="97"/>
      <c r="X49" s="991"/>
    </row>
    <row r="50" spans="1:24" ht="15">
      <c r="A50" s="100">
        <v>5</v>
      </c>
      <c r="B50" s="101" t="s">
        <v>1194</v>
      </c>
      <c r="C50" s="97">
        <v>1</v>
      </c>
      <c r="D50" s="97" t="s">
        <v>103</v>
      </c>
      <c r="E50" s="130">
        <v>12000</v>
      </c>
      <c r="F50" s="130">
        <f t="shared" si="5"/>
        <v>12000</v>
      </c>
      <c r="G50" s="1051" t="s">
        <v>342</v>
      </c>
      <c r="H50" s="97">
        <v>1</v>
      </c>
      <c r="I50" s="97">
        <v>1</v>
      </c>
      <c r="J50" s="97"/>
      <c r="K50" s="97"/>
      <c r="L50" s="97">
        <f t="shared" si="6"/>
        <v>0</v>
      </c>
      <c r="M50" s="97"/>
      <c r="N50" s="97"/>
      <c r="O50" s="97"/>
      <c r="P50" s="97">
        <f t="shared" si="7"/>
        <v>0</v>
      </c>
      <c r="Q50" s="97"/>
      <c r="R50" s="97"/>
      <c r="S50" s="97"/>
      <c r="T50" s="97">
        <f t="shared" si="8"/>
        <v>0</v>
      </c>
      <c r="U50" s="97"/>
      <c r="V50" s="97"/>
      <c r="W50" s="97"/>
      <c r="X50" s="991"/>
    </row>
    <row r="51" spans="1:24" ht="15">
      <c r="A51" s="100">
        <v>6</v>
      </c>
      <c r="B51" s="101" t="s">
        <v>136</v>
      </c>
      <c r="C51" s="97">
        <v>17</v>
      </c>
      <c r="D51" s="97" t="s">
        <v>103</v>
      </c>
      <c r="E51" s="130">
        <v>300</v>
      </c>
      <c r="F51" s="130">
        <f t="shared" si="5"/>
        <v>5100</v>
      </c>
      <c r="G51" s="1051" t="s">
        <v>342</v>
      </c>
      <c r="H51" s="97">
        <v>17</v>
      </c>
      <c r="I51" s="97">
        <v>17</v>
      </c>
      <c r="J51" s="97"/>
      <c r="K51" s="97"/>
      <c r="L51" s="97">
        <f t="shared" si="6"/>
        <v>0</v>
      </c>
      <c r="M51" s="97"/>
      <c r="N51" s="97"/>
      <c r="O51" s="97"/>
      <c r="P51" s="97">
        <f t="shared" si="7"/>
        <v>0</v>
      </c>
      <c r="Q51" s="97"/>
      <c r="R51" s="97"/>
      <c r="S51" s="97"/>
      <c r="T51" s="97">
        <f t="shared" si="8"/>
        <v>0</v>
      </c>
      <c r="U51" s="97"/>
      <c r="V51" s="97"/>
      <c r="W51" s="97"/>
      <c r="X51" s="991"/>
    </row>
    <row r="52" spans="1:24" ht="30">
      <c r="A52" s="100">
        <v>7</v>
      </c>
      <c r="B52" s="101" t="s">
        <v>141</v>
      </c>
      <c r="C52" s="97">
        <v>40</v>
      </c>
      <c r="D52" s="97" t="s">
        <v>103</v>
      </c>
      <c r="E52" s="130">
        <v>135</v>
      </c>
      <c r="F52" s="130">
        <f t="shared" si="5"/>
        <v>5400</v>
      </c>
      <c r="G52" s="1051" t="s">
        <v>342</v>
      </c>
      <c r="H52" s="97">
        <v>40</v>
      </c>
      <c r="I52" s="97">
        <v>40</v>
      </c>
      <c r="J52" s="97"/>
      <c r="K52" s="97"/>
      <c r="L52" s="97">
        <f t="shared" si="6"/>
        <v>0</v>
      </c>
      <c r="M52" s="97"/>
      <c r="N52" s="97"/>
      <c r="O52" s="97"/>
      <c r="P52" s="97">
        <f t="shared" si="7"/>
        <v>0</v>
      </c>
      <c r="Q52" s="97"/>
      <c r="R52" s="97"/>
      <c r="S52" s="97"/>
      <c r="T52" s="97">
        <f t="shared" si="8"/>
        <v>0</v>
      </c>
      <c r="U52" s="97"/>
      <c r="V52" s="97"/>
      <c r="W52" s="97"/>
      <c r="X52" s="991"/>
    </row>
    <row r="53" spans="1:24" ht="30">
      <c r="A53" s="100">
        <v>8</v>
      </c>
      <c r="B53" s="101" t="s">
        <v>144</v>
      </c>
      <c r="C53" s="97">
        <v>25</v>
      </c>
      <c r="D53" s="97" t="s">
        <v>103</v>
      </c>
      <c r="E53" s="130">
        <v>195</v>
      </c>
      <c r="F53" s="130">
        <f t="shared" si="5"/>
        <v>4875</v>
      </c>
      <c r="G53" s="1051" t="s">
        <v>342</v>
      </c>
      <c r="H53" s="97">
        <v>25</v>
      </c>
      <c r="I53" s="97">
        <v>25</v>
      </c>
      <c r="J53" s="97"/>
      <c r="K53" s="97"/>
      <c r="L53" s="97">
        <f t="shared" si="6"/>
        <v>0</v>
      </c>
      <c r="M53" s="97"/>
      <c r="N53" s="97"/>
      <c r="O53" s="97"/>
      <c r="P53" s="97">
        <f t="shared" si="7"/>
        <v>0</v>
      </c>
      <c r="Q53" s="97"/>
      <c r="R53" s="97"/>
      <c r="S53" s="97"/>
      <c r="T53" s="97">
        <f t="shared" si="8"/>
        <v>0</v>
      </c>
      <c r="U53" s="97"/>
      <c r="V53" s="97"/>
      <c r="W53" s="97"/>
      <c r="X53" s="991"/>
    </row>
    <row r="54" spans="1:24" ht="15">
      <c r="A54" s="100">
        <v>9</v>
      </c>
      <c r="B54" s="101" t="s">
        <v>964</v>
      </c>
      <c r="C54" s="97">
        <v>16</v>
      </c>
      <c r="D54" s="97" t="s">
        <v>103</v>
      </c>
      <c r="E54" s="130">
        <v>2400</v>
      </c>
      <c r="F54" s="130">
        <f t="shared" si="5"/>
        <v>38400</v>
      </c>
      <c r="G54" s="1051" t="s">
        <v>342</v>
      </c>
      <c r="H54" s="97">
        <v>16</v>
      </c>
      <c r="I54" s="97">
        <v>16</v>
      </c>
      <c r="J54" s="97"/>
      <c r="K54" s="97"/>
      <c r="L54" s="97">
        <f t="shared" si="6"/>
        <v>0</v>
      </c>
      <c r="M54" s="97"/>
      <c r="N54" s="97"/>
      <c r="O54" s="97"/>
      <c r="P54" s="97">
        <f t="shared" si="7"/>
        <v>0</v>
      </c>
      <c r="Q54" s="97"/>
      <c r="R54" s="97"/>
      <c r="S54" s="97"/>
      <c r="T54" s="97">
        <f t="shared" si="8"/>
        <v>0</v>
      </c>
      <c r="U54" s="97"/>
      <c r="V54" s="97"/>
      <c r="W54" s="97"/>
      <c r="X54" s="991"/>
    </row>
    <row r="55" spans="1:24" ht="30">
      <c r="A55" s="100">
        <v>10</v>
      </c>
      <c r="B55" s="101" t="s">
        <v>363</v>
      </c>
      <c r="C55" s="97">
        <v>8</v>
      </c>
      <c r="D55" s="97" t="s">
        <v>103</v>
      </c>
      <c r="E55" s="130">
        <v>4650</v>
      </c>
      <c r="F55" s="130">
        <f t="shared" si="5"/>
        <v>37200</v>
      </c>
      <c r="G55" s="1051" t="s">
        <v>342</v>
      </c>
      <c r="H55" s="97">
        <v>8</v>
      </c>
      <c r="I55" s="97">
        <v>8</v>
      </c>
      <c r="J55" s="97"/>
      <c r="K55" s="97"/>
      <c r="L55" s="97">
        <f t="shared" si="6"/>
        <v>0</v>
      </c>
      <c r="M55" s="97"/>
      <c r="N55" s="97"/>
      <c r="O55" s="97"/>
      <c r="P55" s="97">
        <f t="shared" si="7"/>
        <v>0</v>
      </c>
      <c r="Q55" s="97"/>
      <c r="R55" s="97"/>
      <c r="S55" s="97"/>
      <c r="T55" s="97">
        <f t="shared" si="8"/>
        <v>0</v>
      </c>
      <c r="U55" s="97"/>
      <c r="V55" s="97"/>
      <c r="W55" s="97"/>
      <c r="X55" s="991"/>
    </row>
    <row r="56" spans="1:24" ht="15">
      <c r="A56" s="100">
        <v>11</v>
      </c>
      <c r="B56" s="101" t="s">
        <v>1200</v>
      </c>
      <c r="C56" s="97">
        <v>1</v>
      </c>
      <c r="D56" s="97" t="s">
        <v>103</v>
      </c>
      <c r="E56" s="130">
        <v>30000</v>
      </c>
      <c r="F56" s="130">
        <f t="shared" si="5"/>
        <v>30000</v>
      </c>
      <c r="G56" s="1051" t="s">
        <v>342</v>
      </c>
      <c r="H56" s="97">
        <v>1</v>
      </c>
      <c r="I56" s="97">
        <v>1</v>
      </c>
      <c r="J56" s="97"/>
      <c r="K56" s="97"/>
      <c r="L56" s="97">
        <f t="shared" si="6"/>
        <v>0</v>
      </c>
      <c r="M56" s="97"/>
      <c r="N56" s="97"/>
      <c r="O56" s="97"/>
      <c r="P56" s="97">
        <f t="shared" si="7"/>
        <v>0</v>
      </c>
      <c r="Q56" s="97"/>
      <c r="R56" s="97"/>
      <c r="S56" s="97"/>
      <c r="T56" s="97">
        <f t="shared" si="8"/>
        <v>0</v>
      </c>
      <c r="U56" s="97"/>
      <c r="V56" s="97"/>
      <c r="W56" s="97"/>
      <c r="X56" s="991"/>
    </row>
    <row r="57" spans="1:24" ht="15">
      <c r="A57" s="100">
        <v>12</v>
      </c>
      <c r="B57" s="101" t="s">
        <v>1414</v>
      </c>
      <c r="C57" s="97">
        <v>1</v>
      </c>
      <c r="D57" s="97" t="s">
        <v>118</v>
      </c>
      <c r="E57" s="130">
        <v>8100</v>
      </c>
      <c r="F57" s="130">
        <f t="shared" si="5"/>
        <v>8100</v>
      </c>
      <c r="G57" s="1051" t="s">
        <v>342</v>
      </c>
      <c r="H57" s="97">
        <v>1</v>
      </c>
      <c r="I57" s="97">
        <v>1</v>
      </c>
      <c r="J57" s="97"/>
      <c r="K57" s="97"/>
      <c r="L57" s="97">
        <f t="shared" si="6"/>
        <v>0</v>
      </c>
      <c r="M57" s="97"/>
      <c r="N57" s="97"/>
      <c r="O57" s="97"/>
      <c r="P57" s="97">
        <f t="shared" si="7"/>
        <v>0</v>
      </c>
      <c r="Q57" s="97"/>
      <c r="R57" s="97"/>
      <c r="S57" s="97"/>
      <c r="T57" s="97">
        <f t="shared" si="8"/>
        <v>0</v>
      </c>
      <c r="U57" s="97"/>
      <c r="V57" s="97"/>
      <c r="W57" s="97"/>
      <c r="X57" s="991"/>
    </row>
    <row r="58" spans="1:24" ht="15">
      <c r="A58" s="100">
        <v>13</v>
      </c>
      <c r="B58" s="101" t="s">
        <v>366</v>
      </c>
      <c r="C58" s="97">
        <v>1</v>
      </c>
      <c r="D58" s="97" t="s">
        <v>103</v>
      </c>
      <c r="E58" s="130">
        <v>3000</v>
      </c>
      <c r="F58" s="130">
        <f t="shared" si="5"/>
        <v>3000</v>
      </c>
      <c r="G58" s="1051" t="s">
        <v>342</v>
      </c>
      <c r="H58" s="97">
        <v>1</v>
      </c>
      <c r="I58" s="97">
        <v>1</v>
      </c>
      <c r="J58" s="97"/>
      <c r="K58" s="97"/>
      <c r="L58" s="97">
        <f t="shared" si="6"/>
        <v>0</v>
      </c>
      <c r="M58" s="97"/>
      <c r="N58" s="97"/>
      <c r="O58" s="97"/>
      <c r="P58" s="97">
        <f t="shared" si="7"/>
        <v>0</v>
      </c>
      <c r="Q58" s="97"/>
      <c r="R58" s="97"/>
      <c r="S58" s="97"/>
      <c r="T58" s="97">
        <f t="shared" si="8"/>
        <v>0</v>
      </c>
      <c r="U58" s="97"/>
      <c r="V58" s="97"/>
      <c r="W58" s="97"/>
      <c r="X58" s="991"/>
    </row>
    <row r="59" spans="1:24" ht="15">
      <c r="A59" s="100">
        <v>14</v>
      </c>
      <c r="B59" s="101" t="s">
        <v>1406</v>
      </c>
      <c r="C59" s="97">
        <v>3</v>
      </c>
      <c r="D59" s="97" t="s">
        <v>103</v>
      </c>
      <c r="E59" s="130">
        <v>900</v>
      </c>
      <c r="F59" s="130">
        <f t="shared" si="5"/>
        <v>2700</v>
      </c>
      <c r="G59" s="1051" t="s">
        <v>342</v>
      </c>
      <c r="H59" s="97">
        <v>3</v>
      </c>
      <c r="I59" s="97">
        <v>3</v>
      </c>
      <c r="J59" s="97"/>
      <c r="K59" s="97"/>
      <c r="L59" s="97">
        <f t="shared" si="6"/>
        <v>0</v>
      </c>
      <c r="M59" s="97"/>
      <c r="N59" s="97"/>
      <c r="O59" s="97"/>
      <c r="P59" s="97">
        <f t="shared" si="7"/>
        <v>0</v>
      </c>
      <c r="Q59" s="97"/>
      <c r="R59" s="97"/>
      <c r="S59" s="97"/>
      <c r="T59" s="97">
        <f t="shared" si="8"/>
        <v>0</v>
      </c>
      <c r="U59" s="97"/>
      <c r="V59" s="97"/>
      <c r="W59" s="97"/>
      <c r="X59" s="991"/>
    </row>
    <row r="60" spans="1:24" ht="15">
      <c r="A60" s="100">
        <v>15</v>
      </c>
      <c r="B60" s="101" t="s">
        <v>154</v>
      </c>
      <c r="C60" s="97">
        <v>50</v>
      </c>
      <c r="D60" s="97" t="s">
        <v>155</v>
      </c>
      <c r="E60" s="130">
        <v>165</v>
      </c>
      <c r="F60" s="130">
        <f t="shared" si="5"/>
        <v>8250</v>
      </c>
      <c r="G60" s="1051" t="s">
        <v>342</v>
      </c>
      <c r="H60" s="97">
        <v>50</v>
      </c>
      <c r="I60" s="97">
        <v>50</v>
      </c>
      <c r="J60" s="97"/>
      <c r="K60" s="97"/>
      <c r="L60" s="97">
        <f t="shared" si="6"/>
        <v>0</v>
      </c>
      <c r="M60" s="97"/>
      <c r="N60" s="97"/>
      <c r="O60" s="97"/>
      <c r="P60" s="97">
        <f t="shared" si="7"/>
        <v>0</v>
      </c>
      <c r="Q60" s="97"/>
      <c r="R60" s="97"/>
      <c r="S60" s="97"/>
      <c r="T60" s="97">
        <f t="shared" si="8"/>
        <v>0</v>
      </c>
      <c r="U60" s="97"/>
      <c r="V60" s="97"/>
      <c r="W60" s="97"/>
      <c r="X60" s="991"/>
    </row>
    <row r="61" spans="1:24" ht="15">
      <c r="A61" s="100">
        <v>16</v>
      </c>
      <c r="B61" s="101" t="s">
        <v>156</v>
      </c>
      <c r="C61" s="97">
        <v>40</v>
      </c>
      <c r="D61" s="97" t="s">
        <v>155</v>
      </c>
      <c r="E61" s="130">
        <v>180</v>
      </c>
      <c r="F61" s="130">
        <f t="shared" si="5"/>
        <v>7200</v>
      </c>
      <c r="G61" s="1051" t="s">
        <v>342</v>
      </c>
      <c r="H61" s="97">
        <v>40</v>
      </c>
      <c r="I61" s="97">
        <v>40</v>
      </c>
      <c r="J61" s="97"/>
      <c r="K61" s="97"/>
      <c r="L61" s="97">
        <f t="shared" si="6"/>
        <v>0</v>
      </c>
      <c r="M61" s="97"/>
      <c r="N61" s="97"/>
      <c r="O61" s="97"/>
      <c r="P61" s="97">
        <f t="shared" si="7"/>
        <v>0</v>
      </c>
      <c r="Q61" s="97"/>
      <c r="R61" s="97"/>
      <c r="S61" s="97"/>
      <c r="T61" s="97">
        <f t="shared" si="8"/>
        <v>0</v>
      </c>
      <c r="U61" s="97"/>
      <c r="V61" s="97"/>
      <c r="W61" s="97"/>
      <c r="X61" s="991"/>
    </row>
    <row r="62" spans="1:24" ht="30">
      <c r="A62" s="100">
        <v>17</v>
      </c>
      <c r="B62" s="101" t="s">
        <v>1212</v>
      </c>
      <c r="C62" s="97">
        <v>2</v>
      </c>
      <c r="D62" s="97" t="s">
        <v>118</v>
      </c>
      <c r="E62" s="130">
        <v>23700</v>
      </c>
      <c r="F62" s="130">
        <f t="shared" si="5"/>
        <v>47400</v>
      </c>
      <c r="G62" s="1051" t="s">
        <v>342</v>
      </c>
      <c r="H62" s="97">
        <v>2</v>
      </c>
      <c r="I62" s="97">
        <v>2</v>
      </c>
      <c r="J62" s="97"/>
      <c r="K62" s="97"/>
      <c r="L62" s="97">
        <f t="shared" si="6"/>
        <v>0</v>
      </c>
      <c r="M62" s="97"/>
      <c r="N62" s="97"/>
      <c r="O62" s="97"/>
      <c r="P62" s="97">
        <f t="shared" si="7"/>
        <v>0</v>
      </c>
      <c r="Q62" s="97"/>
      <c r="R62" s="97"/>
      <c r="S62" s="97"/>
      <c r="T62" s="97">
        <f t="shared" si="8"/>
        <v>0</v>
      </c>
      <c r="U62" s="97"/>
      <c r="V62" s="97"/>
      <c r="W62" s="97"/>
      <c r="X62" s="991"/>
    </row>
    <row r="63" spans="1:24" ht="15">
      <c r="A63" s="100">
        <v>18</v>
      </c>
      <c r="B63" s="101" t="s">
        <v>1066</v>
      </c>
      <c r="C63" s="97">
        <v>2</v>
      </c>
      <c r="D63" s="97" t="s">
        <v>189</v>
      </c>
      <c r="E63" s="130">
        <v>4500</v>
      </c>
      <c r="F63" s="130">
        <f t="shared" si="5"/>
        <v>9000</v>
      </c>
      <c r="G63" s="1051" t="s">
        <v>342</v>
      </c>
      <c r="H63" s="97">
        <v>2</v>
      </c>
      <c r="I63" s="97">
        <v>2</v>
      </c>
      <c r="J63" s="97"/>
      <c r="K63" s="97"/>
      <c r="L63" s="97">
        <f t="shared" si="6"/>
        <v>0</v>
      </c>
      <c r="M63" s="97"/>
      <c r="N63" s="97"/>
      <c r="O63" s="97"/>
      <c r="P63" s="97">
        <f t="shared" si="7"/>
        <v>0</v>
      </c>
      <c r="Q63" s="97"/>
      <c r="R63" s="97"/>
      <c r="S63" s="97"/>
      <c r="T63" s="97">
        <f t="shared" si="8"/>
        <v>0</v>
      </c>
      <c r="U63" s="97"/>
      <c r="V63" s="97"/>
      <c r="W63" s="97"/>
      <c r="X63" s="991"/>
    </row>
    <row r="64" spans="1:24" ht="30">
      <c r="A64" s="100">
        <v>19</v>
      </c>
      <c r="B64" s="101" t="s">
        <v>190</v>
      </c>
      <c r="C64" s="97">
        <v>100</v>
      </c>
      <c r="D64" s="97" t="s">
        <v>103</v>
      </c>
      <c r="E64" s="130">
        <v>195</v>
      </c>
      <c r="F64" s="130">
        <f t="shared" si="5"/>
        <v>19500</v>
      </c>
      <c r="G64" s="1051" t="s">
        <v>342</v>
      </c>
      <c r="H64" s="97">
        <v>100</v>
      </c>
      <c r="I64" s="97">
        <v>100</v>
      </c>
      <c r="J64" s="97"/>
      <c r="K64" s="97"/>
      <c r="L64" s="97">
        <f t="shared" si="6"/>
        <v>0</v>
      </c>
      <c r="M64" s="97"/>
      <c r="N64" s="97"/>
      <c r="O64" s="97"/>
      <c r="P64" s="97">
        <f t="shared" si="7"/>
        <v>0</v>
      </c>
      <c r="Q64" s="97"/>
      <c r="R64" s="97"/>
      <c r="S64" s="97"/>
      <c r="T64" s="97">
        <f t="shared" si="8"/>
        <v>0</v>
      </c>
      <c r="U64" s="97"/>
      <c r="V64" s="97"/>
      <c r="W64" s="97"/>
      <c r="X64" s="991"/>
    </row>
    <row r="65" spans="1:24" ht="15">
      <c r="A65" s="100">
        <v>20</v>
      </c>
      <c r="B65" s="101" t="s">
        <v>377</v>
      </c>
      <c r="C65" s="97">
        <v>1</v>
      </c>
      <c r="D65" s="97" t="s">
        <v>118</v>
      </c>
      <c r="E65" s="130">
        <v>13650</v>
      </c>
      <c r="F65" s="130">
        <f t="shared" si="5"/>
        <v>13650</v>
      </c>
      <c r="G65" s="1051" t="s">
        <v>342</v>
      </c>
      <c r="H65" s="97">
        <v>1</v>
      </c>
      <c r="I65" s="97">
        <v>1</v>
      </c>
      <c r="J65" s="97"/>
      <c r="K65" s="97"/>
      <c r="L65" s="97">
        <f t="shared" si="6"/>
        <v>0</v>
      </c>
      <c r="M65" s="97"/>
      <c r="N65" s="97"/>
      <c r="O65" s="97"/>
      <c r="P65" s="97">
        <f t="shared" si="7"/>
        <v>0</v>
      </c>
      <c r="Q65" s="97"/>
      <c r="R65" s="97"/>
      <c r="S65" s="97"/>
      <c r="T65" s="97">
        <f t="shared" si="8"/>
        <v>0</v>
      </c>
      <c r="U65" s="97"/>
      <c r="V65" s="97"/>
      <c r="W65" s="97"/>
      <c r="X65" s="991"/>
    </row>
    <row r="66" spans="1:24" ht="15">
      <c r="A66" s="100">
        <v>21</v>
      </c>
      <c r="B66" s="101" t="s">
        <v>1223</v>
      </c>
      <c r="C66" s="97">
        <v>1</v>
      </c>
      <c r="D66" s="97" t="s">
        <v>118</v>
      </c>
      <c r="E66" s="130">
        <v>19500</v>
      </c>
      <c r="F66" s="130">
        <f t="shared" si="5"/>
        <v>19500</v>
      </c>
      <c r="G66" s="1051" t="s">
        <v>342</v>
      </c>
      <c r="H66" s="97">
        <v>1</v>
      </c>
      <c r="I66" s="97">
        <v>1</v>
      </c>
      <c r="J66" s="97"/>
      <c r="K66" s="97"/>
      <c r="L66" s="97">
        <f t="shared" si="6"/>
        <v>0</v>
      </c>
      <c r="M66" s="97"/>
      <c r="N66" s="97"/>
      <c r="O66" s="97"/>
      <c r="P66" s="97">
        <f t="shared" si="7"/>
        <v>0</v>
      </c>
      <c r="Q66" s="97"/>
      <c r="R66" s="97"/>
      <c r="S66" s="97"/>
      <c r="T66" s="97">
        <f t="shared" si="8"/>
        <v>0</v>
      </c>
      <c r="U66" s="97"/>
      <c r="V66" s="97"/>
      <c r="W66" s="97"/>
      <c r="X66" s="991"/>
    </row>
    <row r="67" spans="1:24" ht="15">
      <c r="A67" s="100">
        <v>22</v>
      </c>
      <c r="B67" s="101" t="s">
        <v>192</v>
      </c>
      <c r="C67" s="97">
        <v>1</v>
      </c>
      <c r="D67" s="97" t="s">
        <v>118</v>
      </c>
      <c r="E67" s="130">
        <v>2970</v>
      </c>
      <c r="F67" s="130">
        <f t="shared" si="5"/>
        <v>2970</v>
      </c>
      <c r="G67" s="1051" t="s">
        <v>342</v>
      </c>
      <c r="H67" s="97">
        <v>1</v>
      </c>
      <c r="I67" s="97">
        <v>1</v>
      </c>
      <c r="J67" s="97"/>
      <c r="K67" s="97"/>
      <c r="L67" s="97">
        <f t="shared" si="6"/>
        <v>0</v>
      </c>
      <c r="M67" s="97"/>
      <c r="N67" s="97"/>
      <c r="O67" s="97"/>
      <c r="P67" s="97">
        <f t="shared" si="7"/>
        <v>0</v>
      </c>
      <c r="Q67" s="97"/>
      <c r="R67" s="97"/>
      <c r="S67" s="97"/>
      <c r="T67" s="97">
        <f t="shared" si="8"/>
        <v>0</v>
      </c>
      <c r="U67" s="97"/>
      <c r="V67" s="97"/>
      <c r="W67" s="97"/>
      <c r="X67" s="991"/>
    </row>
    <row r="68" spans="1:24" ht="15">
      <c r="A68" s="100">
        <v>23</v>
      </c>
      <c r="B68" s="101" t="s">
        <v>1005</v>
      </c>
      <c r="C68" s="97">
        <v>40</v>
      </c>
      <c r="D68" s="97" t="s">
        <v>103</v>
      </c>
      <c r="E68" s="130">
        <v>60</v>
      </c>
      <c r="F68" s="130">
        <f t="shared" si="5"/>
        <v>2400</v>
      </c>
      <c r="G68" s="1051" t="s">
        <v>342</v>
      </c>
      <c r="H68" s="97">
        <v>40</v>
      </c>
      <c r="I68" s="97">
        <v>40</v>
      </c>
      <c r="J68" s="97"/>
      <c r="K68" s="97"/>
      <c r="L68" s="97">
        <f t="shared" si="6"/>
        <v>0</v>
      </c>
      <c r="M68" s="97"/>
      <c r="N68" s="97"/>
      <c r="O68" s="97"/>
      <c r="P68" s="97">
        <f t="shared" si="7"/>
        <v>0</v>
      </c>
      <c r="Q68" s="97"/>
      <c r="R68" s="97"/>
      <c r="S68" s="97"/>
      <c r="T68" s="97">
        <f t="shared" si="8"/>
        <v>0</v>
      </c>
      <c r="U68" s="97"/>
      <c r="V68" s="97"/>
      <c r="W68" s="97"/>
      <c r="X68" s="991"/>
    </row>
    <row r="69" spans="1:24" ht="15">
      <c r="A69" s="100">
        <v>24</v>
      </c>
      <c r="B69" s="101" t="s">
        <v>1096</v>
      </c>
      <c r="C69" s="97">
        <v>2</v>
      </c>
      <c r="D69" s="97" t="s">
        <v>103</v>
      </c>
      <c r="E69" s="130">
        <v>6300</v>
      </c>
      <c r="F69" s="130">
        <f t="shared" si="5"/>
        <v>12600</v>
      </c>
      <c r="G69" s="1051" t="s">
        <v>342</v>
      </c>
      <c r="H69" s="97">
        <v>2</v>
      </c>
      <c r="I69" s="97">
        <v>2</v>
      </c>
      <c r="J69" s="97"/>
      <c r="K69" s="97"/>
      <c r="L69" s="97">
        <f t="shared" si="6"/>
        <v>0</v>
      </c>
      <c r="M69" s="97"/>
      <c r="N69" s="97"/>
      <c r="O69" s="97"/>
      <c r="P69" s="97">
        <f t="shared" si="7"/>
        <v>0</v>
      </c>
      <c r="Q69" s="97"/>
      <c r="R69" s="97"/>
      <c r="S69" s="97"/>
      <c r="T69" s="97">
        <f t="shared" si="8"/>
        <v>0</v>
      </c>
      <c r="U69" s="97"/>
      <c r="V69" s="97"/>
      <c r="W69" s="97"/>
      <c r="X69" s="991"/>
    </row>
    <row r="70" spans="1:24" ht="15">
      <c r="A70" s="100">
        <v>25</v>
      </c>
      <c r="B70" s="101" t="s">
        <v>220</v>
      </c>
      <c r="C70" s="97">
        <v>6</v>
      </c>
      <c r="D70" s="97" t="s">
        <v>103</v>
      </c>
      <c r="E70" s="130">
        <v>1950</v>
      </c>
      <c r="F70" s="130">
        <f t="shared" si="5"/>
        <v>11700</v>
      </c>
      <c r="G70" s="1051" t="s">
        <v>342</v>
      </c>
      <c r="H70" s="97">
        <v>6</v>
      </c>
      <c r="I70" s="97">
        <v>6</v>
      </c>
      <c r="J70" s="97"/>
      <c r="K70" s="97"/>
      <c r="L70" s="97">
        <f t="shared" si="6"/>
        <v>0</v>
      </c>
      <c r="M70" s="97"/>
      <c r="N70" s="97"/>
      <c r="O70" s="97"/>
      <c r="P70" s="97">
        <f t="shared" si="7"/>
        <v>0</v>
      </c>
      <c r="Q70" s="97"/>
      <c r="R70" s="97"/>
      <c r="S70" s="97"/>
      <c r="T70" s="97">
        <f t="shared" si="8"/>
        <v>0</v>
      </c>
      <c r="U70" s="97"/>
      <c r="V70" s="97"/>
      <c r="W70" s="97"/>
      <c r="X70" s="991"/>
    </row>
    <row r="71" spans="1:24" ht="15">
      <c r="A71" s="100">
        <v>26</v>
      </c>
      <c r="B71" s="101" t="s">
        <v>221</v>
      </c>
      <c r="C71" s="97">
        <v>25</v>
      </c>
      <c r="D71" s="97" t="s">
        <v>103</v>
      </c>
      <c r="E71" s="130">
        <v>135</v>
      </c>
      <c r="F71" s="130">
        <f t="shared" si="5"/>
        <v>3375</v>
      </c>
      <c r="G71" s="1051" t="s">
        <v>342</v>
      </c>
      <c r="H71" s="97">
        <v>25</v>
      </c>
      <c r="I71" s="97">
        <v>25</v>
      </c>
      <c r="J71" s="97"/>
      <c r="K71" s="97"/>
      <c r="L71" s="97">
        <f t="shared" si="6"/>
        <v>0</v>
      </c>
      <c r="M71" s="97"/>
      <c r="N71" s="97"/>
      <c r="O71" s="97"/>
      <c r="P71" s="97">
        <f t="shared" si="7"/>
        <v>0</v>
      </c>
      <c r="Q71" s="97"/>
      <c r="R71" s="97"/>
      <c r="S71" s="97"/>
      <c r="T71" s="97">
        <f t="shared" si="8"/>
        <v>0</v>
      </c>
      <c r="U71" s="97"/>
      <c r="V71" s="97"/>
      <c r="W71" s="97"/>
      <c r="X71" s="991"/>
    </row>
    <row r="72" spans="1:24" ht="30">
      <c r="A72" s="100">
        <v>27</v>
      </c>
      <c r="B72" s="101" t="s">
        <v>1150</v>
      </c>
      <c r="C72" s="97">
        <v>10</v>
      </c>
      <c r="D72" s="97" t="s">
        <v>103</v>
      </c>
      <c r="E72" s="130">
        <v>1650</v>
      </c>
      <c r="F72" s="130">
        <f t="shared" si="5"/>
        <v>16500</v>
      </c>
      <c r="G72" s="1051" t="s">
        <v>342</v>
      </c>
      <c r="H72" s="97">
        <v>10</v>
      </c>
      <c r="I72" s="97">
        <v>10</v>
      </c>
      <c r="J72" s="97"/>
      <c r="K72" s="97"/>
      <c r="L72" s="97">
        <f t="shared" si="6"/>
        <v>0</v>
      </c>
      <c r="M72" s="97"/>
      <c r="N72" s="97"/>
      <c r="O72" s="97"/>
      <c r="P72" s="97">
        <f t="shared" si="7"/>
        <v>0</v>
      </c>
      <c r="Q72" s="97"/>
      <c r="R72" s="97"/>
      <c r="S72" s="97"/>
      <c r="T72" s="97">
        <f t="shared" si="8"/>
        <v>0</v>
      </c>
      <c r="U72" s="97"/>
      <c r="V72" s="97"/>
      <c r="W72" s="97"/>
      <c r="X72" s="991"/>
    </row>
    <row r="73" spans="1:24" ht="15">
      <c r="A73" s="1052">
        <v>28</v>
      </c>
      <c r="B73" s="1053" t="s">
        <v>212</v>
      </c>
      <c r="C73" s="1054">
        <v>120</v>
      </c>
      <c r="D73" s="1054" t="s">
        <v>103</v>
      </c>
      <c r="E73" s="1055">
        <v>249.6</v>
      </c>
      <c r="F73" s="1055">
        <f t="shared" si="5"/>
        <v>29952</v>
      </c>
      <c r="G73" s="1065" t="s">
        <v>2949</v>
      </c>
      <c r="H73" s="97">
        <v>120</v>
      </c>
      <c r="I73" s="97">
        <v>120</v>
      </c>
      <c r="J73" s="97"/>
      <c r="K73" s="97"/>
      <c r="L73" s="97">
        <f t="shared" si="6"/>
        <v>0</v>
      </c>
      <c r="M73" s="97"/>
      <c r="N73" s="97"/>
      <c r="O73" s="97"/>
      <c r="P73" s="97">
        <f t="shared" si="7"/>
        <v>0</v>
      </c>
      <c r="Q73" s="97"/>
      <c r="R73" s="97"/>
      <c r="S73" s="97"/>
      <c r="T73" s="97">
        <f t="shared" si="8"/>
        <v>0</v>
      </c>
      <c r="U73" s="97"/>
      <c r="V73" s="97"/>
      <c r="W73" s="97"/>
      <c r="X73" s="991"/>
    </row>
    <row r="74" spans="1:24" ht="15">
      <c r="A74" s="1052">
        <v>29</v>
      </c>
      <c r="B74" s="1053" t="s">
        <v>216</v>
      </c>
      <c r="C74" s="1054">
        <v>20</v>
      </c>
      <c r="D74" s="1054" t="s">
        <v>103</v>
      </c>
      <c r="E74" s="1055">
        <v>249.6</v>
      </c>
      <c r="F74" s="1055">
        <f t="shared" si="5"/>
        <v>4992</v>
      </c>
      <c r="G74" s="1065" t="s">
        <v>2949</v>
      </c>
      <c r="H74" s="97">
        <v>20</v>
      </c>
      <c r="I74" s="97">
        <v>20</v>
      </c>
      <c r="J74" s="97"/>
      <c r="K74" s="97"/>
      <c r="L74" s="97">
        <f t="shared" si="6"/>
        <v>0</v>
      </c>
      <c r="M74" s="97"/>
      <c r="N74" s="97"/>
      <c r="O74" s="97"/>
      <c r="P74" s="97">
        <f t="shared" si="7"/>
        <v>0</v>
      </c>
      <c r="Q74" s="97"/>
      <c r="R74" s="97"/>
      <c r="S74" s="97"/>
      <c r="T74" s="97">
        <f t="shared" si="8"/>
        <v>0</v>
      </c>
      <c r="U74" s="97"/>
      <c r="V74" s="97"/>
      <c r="W74" s="97"/>
      <c r="X74" s="991"/>
    </row>
    <row r="75" spans="1:24" ht="15">
      <c r="A75" s="1052">
        <v>30</v>
      </c>
      <c r="B75" s="1053" t="s">
        <v>217</v>
      </c>
      <c r="C75" s="1054">
        <v>20</v>
      </c>
      <c r="D75" s="1054" t="s">
        <v>103</v>
      </c>
      <c r="E75" s="1055">
        <v>249.6</v>
      </c>
      <c r="F75" s="1055">
        <f t="shared" si="5"/>
        <v>4992</v>
      </c>
      <c r="G75" s="1065" t="s">
        <v>2949</v>
      </c>
      <c r="H75" s="97">
        <v>20</v>
      </c>
      <c r="I75" s="97">
        <v>20</v>
      </c>
      <c r="J75" s="97"/>
      <c r="K75" s="97"/>
      <c r="L75" s="97">
        <f t="shared" si="6"/>
        <v>0</v>
      </c>
      <c r="M75" s="97"/>
      <c r="N75" s="97"/>
      <c r="O75" s="97"/>
      <c r="P75" s="97">
        <f t="shared" si="7"/>
        <v>0</v>
      </c>
      <c r="Q75" s="97"/>
      <c r="R75" s="97"/>
      <c r="S75" s="97"/>
      <c r="T75" s="97">
        <f t="shared" si="8"/>
        <v>0</v>
      </c>
      <c r="U75" s="97"/>
      <c r="V75" s="97"/>
      <c r="W75" s="97"/>
      <c r="X75" s="991"/>
    </row>
    <row r="76" spans="1:24" ht="15">
      <c r="A76" s="1052">
        <v>31</v>
      </c>
      <c r="B76" s="1053" t="s">
        <v>218</v>
      </c>
      <c r="C76" s="1054">
        <v>20</v>
      </c>
      <c r="D76" s="1054" t="s">
        <v>103</v>
      </c>
      <c r="E76" s="1055">
        <v>249.6</v>
      </c>
      <c r="F76" s="1055">
        <f t="shared" si="5"/>
        <v>4992</v>
      </c>
      <c r="G76" s="1065" t="s">
        <v>2949</v>
      </c>
      <c r="H76" s="97">
        <v>20</v>
      </c>
      <c r="I76" s="97">
        <v>20</v>
      </c>
      <c r="J76" s="97"/>
      <c r="K76" s="97"/>
      <c r="L76" s="97">
        <f t="shared" si="6"/>
        <v>0</v>
      </c>
      <c r="M76" s="97"/>
      <c r="N76" s="97"/>
      <c r="O76" s="97"/>
      <c r="P76" s="97">
        <f t="shared" si="7"/>
        <v>0</v>
      </c>
      <c r="Q76" s="97"/>
      <c r="R76" s="97"/>
      <c r="S76" s="97"/>
      <c r="T76" s="97">
        <f t="shared" si="8"/>
        <v>0</v>
      </c>
      <c r="U76" s="97"/>
      <c r="V76" s="97"/>
      <c r="W76" s="97"/>
      <c r="X76" s="991"/>
    </row>
    <row r="77" spans="1:24" ht="15">
      <c r="A77" s="100">
        <v>32</v>
      </c>
      <c r="B77" s="101" t="s">
        <v>227</v>
      </c>
      <c r="C77" s="97">
        <v>20</v>
      </c>
      <c r="D77" s="97" t="s">
        <v>103</v>
      </c>
      <c r="E77" s="130">
        <v>435</v>
      </c>
      <c r="F77" s="130">
        <f t="shared" si="5"/>
        <v>8700</v>
      </c>
      <c r="G77" s="1051" t="s">
        <v>342</v>
      </c>
      <c r="H77" s="97">
        <v>20</v>
      </c>
      <c r="I77" s="97">
        <v>20</v>
      </c>
      <c r="J77" s="97"/>
      <c r="K77" s="97"/>
      <c r="L77" s="97">
        <f t="shared" si="6"/>
        <v>0</v>
      </c>
      <c r="M77" s="97"/>
      <c r="N77" s="97"/>
      <c r="O77" s="97"/>
      <c r="P77" s="97">
        <f t="shared" si="7"/>
        <v>0</v>
      </c>
      <c r="Q77" s="97"/>
      <c r="R77" s="97"/>
      <c r="S77" s="97"/>
      <c r="T77" s="97">
        <f t="shared" si="8"/>
        <v>0</v>
      </c>
      <c r="U77" s="97"/>
      <c r="V77" s="97"/>
      <c r="W77" s="97"/>
      <c r="X77" s="991"/>
    </row>
    <row r="78" spans="1:24" ht="15">
      <c r="A78" s="100">
        <v>33</v>
      </c>
      <c r="B78" s="101" t="s">
        <v>228</v>
      </c>
      <c r="C78" s="97">
        <v>20</v>
      </c>
      <c r="D78" s="97" t="s">
        <v>103</v>
      </c>
      <c r="E78" s="130">
        <v>435</v>
      </c>
      <c r="F78" s="130">
        <f t="shared" si="5"/>
        <v>8700</v>
      </c>
      <c r="G78" s="1051" t="s">
        <v>342</v>
      </c>
      <c r="H78" s="97">
        <v>20</v>
      </c>
      <c r="I78" s="97">
        <v>20</v>
      </c>
      <c r="J78" s="97"/>
      <c r="K78" s="97"/>
      <c r="L78" s="97">
        <f t="shared" si="6"/>
        <v>0</v>
      </c>
      <c r="M78" s="97"/>
      <c r="N78" s="97"/>
      <c r="O78" s="97"/>
      <c r="P78" s="97">
        <f t="shared" si="7"/>
        <v>0</v>
      </c>
      <c r="Q78" s="97"/>
      <c r="R78" s="97"/>
      <c r="S78" s="97"/>
      <c r="T78" s="97">
        <f t="shared" si="8"/>
        <v>0</v>
      </c>
      <c r="U78" s="97"/>
      <c r="V78" s="97"/>
      <c r="W78" s="97"/>
      <c r="X78" s="991"/>
    </row>
    <row r="79" spans="1:24" ht="15">
      <c r="A79" s="100">
        <v>34</v>
      </c>
      <c r="B79" s="101" t="s">
        <v>229</v>
      </c>
      <c r="C79" s="97">
        <v>20</v>
      </c>
      <c r="D79" s="97" t="s">
        <v>103</v>
      </c>
      <c r="E79" s="130">
        <v>435</v>
      </c>
      <c r="F79" s="130">
        <f t="shared" si="5"/>
        <v>8700</v>
      </c>
      <c r="G79" s="1051" t="s">
        <v>342</v>
      </c>
      <c r="H79" s="97">
        <v>20</v>
      </c>
      <c r="I79" s="97">
        <v>20</v>
      </c>
      <c r="J79" s="97"/>
      <c r="K79" s="97"/>
      <c r="L79" s="97">
        <f t="shared" si="6"/>
        <v>0</v>
      </c>
      <c r="M79" s="97"/>
      <c r="N79" s="97"/>
      <c r="O79" s="97"/>
      <c r="P79" s="97">
        <f t="shared" si="7"/>
        <v>0</v>
      </c>
      <c r="Q79" s="97"/>
      <c r="R79" s="97"/>
      <c r="S79" s="97"/>
      <c r="T79" s="97">
        <f t="shared" si="8"/>
        <v>0</v>
      </c>
      <c r="U79" s="97"/>
      <c r="V79" s="97"/>
      <c r="W79" s="97"/>
      <c r="X79" s="991"/>
    </row>
    <row r="80" spans="1:24" ht="15">
      <c r="A80" s="100">
        <v>35</v>
      </c>
      <c r="B80" s="101" t="s">
        <v>230</v>
      </c>
      <c r="C80" s="97">
        <v>120</v>
      </c>
      <c r="D80" s="97" t="s">
        <v>103</v>
      </c>
      <c r="E80" s="130">
        <v>435</v>
      </c>
      <c r="F80" s="130">
        <f t="shared" si="5"/>
        <v>52200</v>
      </c>
      <c r="G80" s="1051" t="s">
        <v>342</v>
      </c>
      <c r="H80" s="97">
        <v>120</v>
      </c>
      <c r="I80" s="97">
        <v>120</v>
      </c>
      <c r="J80" s="97"/>
      <c r="K80" s="97"/>
      <c r="L80" s="97">
        <f t="shared" si="6"/>
        <v>0</v>
      </c>
      <c r="M80" s="97"/>
      <c r="N80" s="97"/>
      <c r="O80" s="97"/>
      <c r="P80" s="97">
        <f t="shared" si="7"/>
        <v>0</v>
      </c>
      <c r="Q80" s="97"/>
      <c r="R80" s="97"/>
      <c r="S80" s="97"/>
      <c r="T80" s="97">
        <f t="shared" si="8"/>
        <v>0</v>
      </c>
      <c r="U80" s="97"/>
      <c r="V80" s="97"/>
      <c r="W80" s="97"/>
      <c r="X80" s="991"/>
    </row>
    <row r="81" spans="1:24" ht="15">
      <c r="A81" s="100">
        <v>36</v>
      </c>
      <c r="B81" s="101" t="s">
        <v>199</v>
      </c>
      <c r="C81" s="97">
        <v>120</v>
      </c>
      <c r="D81" s="97" t="s">
        <v>103</v>
      </c>
      <c r="E81" s="130">
        <v>435</v>
      </c>
      <c r="F81" s="130">
        <f t="shared" si="5"/>
        <v>52200</v>
      </c>
      <c r="G81" s="1051" t="s">
        <v>342</v>
      </c>
      <c r="H81" s="97">
        <v>120</v>
      </c>
      <c r="I81" s="97">
        <v>120</v>
      </c>
      <c r="J81" s="97"/>
      <c r="K81" s="97"/>
      <c r="L81" s="97">
        <f t="shared" si="6"/>
        <v>0</v>
      </c>
      <c r="M81" s="97"/>
      <c r="N81" s="97"/>
      <c r="O81" s="97"/>
      <c r="P81" s="97">
        <f t="shared" si="7"/>
        <v>0</v>
      </c>
      <c r="Q81" s="97"/>
      <c r="R81" s="97"/>
      <c r="S81" s="97"/>
      <c r="T81" s="97">
        <f t="shared" si="8"/>
        <v>0</v>
      </c>
      <c r="U81" s="97"/>
      <c r="V81" s="97"/>
      <c r="W81" s="97"/>
      <c r="X81" s="991"/>
    </row>
    <row r="82" spans="1:24" ht="15">
      <c r="A82" s="100">
        <v>37</v>
      </c>
      <c r="B82" s="101" t="s">
        <v>209</v>
      </c>
      <c r="C82" s="97">
        <v>20</v>
      </c>
      <c r="D82" s="97" t="s">
        <v>103</v>
      </c>
      <c r="E82" s="130">
        <v>435</v>
      </c>
      <c r="F82" s="130">
        <f t="shared" si="5"/>
        <v>8700</v>
      </c>
      <c r="G82" s="1051" t="s">
        <v>342</v>
      </c>
      <c r="H82" s="97">
        <v>20</v>
      </c>
      <c r="I82" s="97">
        <v>20</v>
      </c>
      <c r="J82" s="97"/>
      <c r="K82" s="97"/>
      <c r="L82" s="97">
        <f t="shared" si="6"/>
        <v>0</v>
      </c>
      <c r="M82" s="97"/>
      <c r="N82" s="97"/>
      <c r="O82" s="97"/>
      <c r="P82" s="97">
        <f t="shared" si="7"/>
        <v>0</v>
      </c>
      <c r="Q82" s="97"/>
      <c r="R82" s="97"/>
      <c r="S82" s="97"/>
      <c r="T82" s="97">
        <f t="shared" si="8"/>
        <v>0</v>
      </c>
      <c r="U82" s="97"/>
      <c r="V82" s="97"/>
      <c r="W82" s="97"/>
      <c r="X82" s="991"/>
    </row>
    <row r="83" spans="1:24" ht="15">
      <c r="A83" s="100">
        <v>38</v>
      </c>
      <c r="B83" s="101" t="s">
        <v>210</v>
      </c>
      <c r="C83" s="97">
        <v>20</v>
      </c>
      <c r="D83" s="97" t="s">
        <v>103</v>
      </c>
      <c r="E83" s="130">
        <v>435</v>
      </c>
      <c r="F83" s="130">
        <f t="shared" si="5"/>
        <v>8700</v>
      </c>
      <c r="G83" s="1051" t="s">
        <v>342</v>
      </c>
      <c r="H83" s="97">
        <v>20</v>
      </c>
      <c r="I83" s="97">
        <v>20</v>
      </c>
      <c r="J83" s="97"/>
      <c r="K83" s="97"/>
      <c r="L83" s="97">
        <f t="shared" si="6"/>
        <v>0</v>
      </c>
      <c r="M83" s="97"/>
      <c r="N83" s="97"/>
      <c r="O83" s="97"/>
      <c r="P83" s="97">
        <f t="shared" si="7"/>
        <v>0</v>
      </c>
      <c r="Q83" s="97"/>
      <c r="R83" s="97"/>
      <c r="S83" s="97"/>
      <c r="T83" s="97">
        <f t="shared" si="8"/>
        <v>0</v>
      </c>
      <c r="U83" s="97"/>
      <c r="V83" s="97"/>
      <c r="W83" s="97"/>
      <c r="X83" s="991"/>
    </row>
    <row r="84" spans="1:24" ht="15">
      <c r="A84" s="100">
        <v>39</v>
      </c>
      <c r="B84" s="101" t="s">
        <v>211</v>
      </c>
      <c r="C84" s="97">
        <v>20</v>
      </c>
      <c r="D84" s="97" t="s">
        <v>103</v>
      </c>
      <c r="E84" s="130">
        <v>435</v>
      </c>
      <c r="F84" s="130">
        <f t="shared" si="5"/>
        <v>8700</v>
      </c>
      <c r="G84" s="1051" t="s">
        <v>342</v>
      </c>
      <c r="H84" s="97">
        <v>20</v>
      </c>
      <c r="I84" s="97">
        <v>20</v>
      </c>
      <c r="J84" s="97"/>
      <c r="K84" s="97"/>
      <c r="L84" s="97">
        <f t="shared" si="6"/>
        <v>0</v>
      </c>
      <c r="M84" s="97"/>
      <c r="N84" s="97"/>
      <c r="O84" s="97"/>
      <c r="P84" s="97">
        <f t="shared" si="7"/>
        <v>0</v>
      </c>
      <c r="Q84" s="97"/>
      <c r="R84" s="97"/>
      <c r="S84" s="97"/>
      <c r="T84" s="97">
        <f t="shared" si="8"/>
        <v>0</v>
      </c>
      <c r="U84" s="97"/>
      <c r="V84" s="97"/>
      <c r="W84" s="97"/>
      <c r="X84" s="991"/>
    </row>
    <row r="85" spans="1:24" ht="30">
      <c r="A85" s="100">
        <v>40</v>
      </c>
      <c r="B85" s="101" t="s">
        <v>231</v>
      </c>
      <c r="C85" s="97">
        <v>9</v>
      </c>
      <c r="D85" s="97" t="s">
        <v>103</v>
      </c>
      <c r="E85" s="130">
        <v>1500</v>
      </c>
      <c r="F85" s="130">
        <f t="shared" si="5"/>
        <v>13500</v>
      </c>
      <c r="G85" s="1051" t="s">
        <v>342</v>
      </c>
      <c r="H85" s="97">
        <v>9</v>
      </c>
      <c r="I85" s="97">
        <v>9</v>
      </c>
      <c r="J85" s="97"/>
      <c r="K85" s="97"/>
      <c r="L85" s="97">
        <f t="shared" si="6"/>
        <v>0</v>
      </c>
      <c r="M85" s="97"/>
      <c r="N85" s="97"/>
      <c r="O85" s="97"/>
      <c r="P85" s="97">
        <f t="shared" si="7"/>
        <v>0</v>
      </c>
      <c r="Q85" s="97"/>
      <c r="R85" s="97"/>
      <c r="S85" s="97"/>
      <c r="T85" s="97">
        <f t="shared" si="8"/>
        <v>0</v>
      </c>
      <c r="U85" s="97"/>
      <c r="V85" s="97"/>
      <c r="W85" s="97"/>
      <c r="X85" s="991"/>
    </row>
    <row r="86" spans="1:24" ht="30">
      <c r="A86" s="100">
        <v>41</v>
      </c>
      <c r="B86" s="101" t="s">
        <v>232</v>
      </c>
      <c r="C86" s="97">
        <v>5</v>
      </c>
      <c r="D86" s="97" t="s">
        <v>103</v>
      </c>
      <c r="E86" s="130">
        <v>1500</v>
      </c>
      <c r="F86" s="130">
        <f t="shared" si="5"/>
        <v>7500</v>
      </c>
      <c r="G86" s="1051" t="s">
        <v>342</v>
      </c>
      <c r="H86" s="97">
        <v>5</v>
      </c>
      <c r="I86" s="97">
        <v>5</v>
      </c>
      <c r="J86" s="97"/>
      <c r="K86" s="97"/>
      <c r="L86" s="97">
        <f t="shared" si="6"/>
        <v>0</v>
      </c>
      <c r="M86" s="97"/>
      <c r="N86" s="97"/>
      <c r="O86" s="97"/>
      <c r="P86" s="97">
        <f t="shared" si="7"/>
        <v>0</v>
      </c>
      <c r="Q86" s="97"/>
      <c r="R86" s="97"/>
      <c r="S86" s="97"/>
      <c r="T86" s="97">
        <f t="shared" si="8"/>
        <v>0</v>
      </c>
      <c r="U86" s="97"/>
      <c r="V86" s="97"/>
      <c r="W86" s="97"/>
      <c r="X86" s="991"/>
    </row>
    <row r="87" spans="1:24" ht="15">
      <c r="A87" s="100">
        <v>42</v>
      </c>
      <c r="B87" s="101" t="s">
        <v>1177</v>
      </c>
      <c r="C87" s="97">
        <v>2</v>
      </c>
      <c r="D87" s="97" t="s">
        <v>103</v>
      </c>
      <c r="E87" s="130">
        <v>6000</v>
      </c>
      <c r="F87" s="130">
        <f t="shared" si="5"/>
        <v>12000</v>
      </c>
      <c r="G87" s="1051" t="s">
        <v>342</v>
      </c>
      <c r="H87" s="97">
        <v>2</v>
      </c>
      <c r="I87" s="97">
        <v>2</v>
      </c>
      <c r="J87" s="97"/>
      <c r="K87" s="97"/>
      <c r="L87" s="97">
        <f t="shared" si="6"/>
        <v>0</v>
      </c>
      <c r="M87" s="97"/>
      <c r="N87" s="97"/>
      <c r="O87" s="97"/>
      <c r="P87" s="97">
        <f t="shared" si="7"/>
        <v>0</v>
      </c>
      <c r="Q87" s="97"/>
      <c r="R87" s="97"/>
      <c r="S87" s="97"/>
      <c r="T87" s="97">
        <f t="shared" si="8"/>
        <v>0</v>
      </c>
      <c r="U87" s="97"/>
      <c r="V87" s="97"/>
      <c r="W87" s="97"/>
      <c r="X87" s="991"/>
    </row>
    <row r="88" spans="1:24" ht="30">
      <c r="A88" s="100">
        <v>43</v>
      </c>
      <c r="B88" s="101" t="s">
        <v>240</v>
      </c>
      <c r="C88" s="97">
        <v>2</v>
      </c>
      <c r="D88" s="97" t="s">
        <v>103</v>
      </c>
      <c r="E88" s="130">
        <v>1350</v>
      </c>
      <c r="F88" s="130">
        <f t="shared" si="5"/>
        <v>2700</v>
      </c>
      <c r="G88" s="1051" t="s">
        <v>342</v>
      </c>
      <c r="H88" s="97">
        <v>2</v>
      </c>
      <c r="I88" s="97">
        <v>2</v>
      </c>
      <c r="J88" s="97"/>
      <c r="K88" s="97"/>
      <c r="L88" s="97">
        <f t="shared" si="6"/>
        <v>0</v>
      </c>
      <c r="M88" s="97"/>
      <c r="N88" s="97"/>
      <c r="O88" s="97"/>
      <c r="P88" s="97">
        <f t="shared" si="7"/>
        <v>0</v>
      </c>
      <c r="Q88" s="97"/>
      <c r="R88" s="97"/>
      <c r="S88" s="97"/>
      <c r="T88" s="97">
        <f t="shared" si="8"/>
        <v>0</v>
      </c>
      <c r="U88" s="97"/>
      <c r="V88" s="97"/>
      <c r="W88" s="97"/>
      <c r="X88" s="991"/>
    </row>
    <row r="89" spans="1:24" ht="15">
      <c r="A89" s="100">
        <v>44</v>
      </c>
      <c r="B89" s="101" t="s">
        <v>1106</v>
      </c>
      <c r="C89" s="97">
        <v>3</v>
      </c>
      <c r="D89" s="97" t="s">
        <v>118</v>
      </c>
      <c r="E89" s="130">
        <v>4500</v>
      </c>
      <c r="F89" s="130">
        <f t="shared" si="5"/>
        <v>13500</v>
      </c>
      <c r="G89" s="1051" t="s">
        <v>342</v>
      </c>
      <c r="H89" s="97">
        <v>3</v>
      </c>
      <c r="I89" s="97">
        <v>3</v>
      </c>
      <c r="J89" s="97"/>
      <c r="K89" s="97"/>
      <c r="L89" s="97">
        <f t="shared" si="6"/>
        <v>0</v>
      </c>
      <c r="M89" s="97"/>
      <c r="N89" s="97"/>
      <c r="O89" s="97"/>
      <c r="P89" s="97">
        <f t="shared" si="7"/>
        <v>0</v>
      </c>
      <c r="Q89" s="97"/>
      <c r="R89" s="97"/>
      <c r="S89" s="97"/>
      <c r="T89" s="97">
        <f t="shared" si="8"/>
        <v>0</v>
      </c>
      <c r="U89" s="97"/>
      <c r="V89" s="97"/>
      <c r="W89" s="97"/>
      <c r="X89" s="991"/>
    </row>
    <row r="90" spans="1:24" ht="30">
      <c r="A90" s="100">
        <v>45</v>
      </c>
      <c r="B90" s="101" t="s">
        <v>1422</v>
      </c>
      <c r="C90" s="97">
        <v>1</v>
      </c>
      <c r="D90" s="97" t="s">
        <v>118</v>
      </c>
      <c r="E90" s="130">
        <v>22500</v>
      </c>
      <c r="F90" s="130">
        <f t="shared" si="5"/>
        <v>22500</v>
      </c>
      <c r="G90" s="1051" t="s">
        <v>342</v>
      </c>
      <c r="H90" s="97">
        <v>1</v>
      </c>
      <c r="I90" s="97">
        <v>1</v>
      </c>
      <c r="J90" s="97"/>
      <c r="K90" s="97"/>
      <c r="L90" s="97">
        <f t="shared" si="6"/>
        <v>0</v>
      </c>
      <c r="M90" s="97"/>
      <c r="N90" s="97"/>
      <c r="O90" s="97"/>
      <c r="P90" s="97">
        <f t="shared" si="7"/>
        <v>0</v>
      </c>
      <c r="Q90" s="97"/>
      <c r="R90" s="97"/>
      <c r="S90" s="97"/>
      <c r="T90" s="97">
        <f t="shared" si="8"/>
        <v>0</v>
      </c>
      <c r="U90" s="97"/>
      <c r="V90" s="97"/>
      <c r="W90" s="97"/>
      <c r="X90" s="991"/>
    </row>
    <row r="91" spans="1:24" ht="30">
      <c r="A91" s="100">
        <v>46</v>
      </c>
      <c r="B91" s="101" t="s">
        <v>404</v>
      </c>
      <c r="C91" s="97">
        <v>2</v>
      </c>
      <c r="D91" s="97" t="s">
        <v>118</v>
      </c>
      <c r="E91" s="130">
        <v>14850</v>
      </c>
      <c r="F91" s="130">
        <f t="shared" si="5"/>
        <v>29700</v>
      </c>
      <c r="G91" s="1051" t="s">
        <v>342</v>
      </c>
      <c r="H91" s="97">
        <v>2</v>
      </c>
      <c r="I91" s="97">
        <v>2</v>
      </c>
      <c r="J91" s="97"/>
      <c r="K91" s="97"/>
      <c r="L91" s="97">
        <f t="shared" si="6"/>
        <v>0</v>
      </c>
      <c r="M91" s="97"/>
      <c r="N91" s="97"/>
      <c r="O91" s="97"/>
      <c r="P91" s="97">
        <f t="shared" si="7"/>
        <v>0</v>
      </c>
      <c r="Q91" s="97"/>
      <c r="R91" s="97"/>
      <c r="S91" s="97"/>
      <c r="T91" s="97">
        <f t="shared" si="8"/>
        <v>0</v>
      </c>
      <c r="U91" s="97"/>
      <c r="V91" s="97"/>
      <c r="W91" s="97"/>
      <c r="X91" s="991"/>
    </row>
    <row r="92" spans="1:24" ht="15">
      <c r="A92" s="100">
        <v>47</v>
      </c>
      <c r="B92" s="101" t="s">
        <v>242</v>
      </c>
      <c r="C92" s="97">
        <v>1000</v>
      </c>
      <c r="D92" s="97" t="s">
        <v>103</v>
      </c>
      <c r="E92" s="130">
        <v>7.5</v>
      </c>
      <c r="F92" s="130">
        <f t="shared" si="5"/>
        <v>7500</v>
      </c>
      <c r="G92" s="1051" t="s">
        <v>342</v>
      </c>
      <c r="H92" s="97">
        <v>1000</v>
      </c>
      <c r="I92" s="97">
        <v>1000</v>
      </c>
      <c r="J92" s="97"/>
      <c r="K92" s="97"/>
      <c r="L92" s="97">
        <f t="shared" si="6"/>
        <v>0</v>
      </c>
      <c r="M92" s="97"/>
      <c r="N92" s="97"/>
      <c r="O92" s="97"/>
      <c r="P92" s="97">
        <f t="shared" si="7"/>
        <v>0</v>
      </c>
      <c r="Q92" s="97"/>
      <c r="R92" s="97"/>
      <c r="S92" s="97"/>
      <c r="T92" s="97">
        <f t="shared" si="8"/>
        <v>0</v>
      </c>
      <c r="U92" s="97"/>
      <c r="V92" s="97"/>
      <c r="W92" s="97"/>
      <c r="X92" s="991"/>
    </row>
    <row r="93" spans="1:24" ht="15">
      <c r="A93" s="100">
        <v>48</v>
      </c>
      <c r="B93" s="101" t="s">
        <v>1115</v>
      </c>
      <c r="C93" s="97">
        <v>4</v>
      </c>
      <c r="D93" s="97" t="s">
        <v>103</v>
      </c>
      <c r="E93" s="130">
        <v>300</v>
      </c>
      <c r="F93" s="130">
        <f t="shared" si="5"/>
        <v>1200</v>
      </c>
      <c r="G93" s="1051" t="s">
        <v>342</v>
      </c>
      <c r="H93" s="97">
        <v>4</v>
      </c>
      <c r="I93" s="97">
        <v>4</v>
      </c>
      <c r="J93" s="97"/>
      <c r="K93" s="97"/>
      <c r="L93" s="97">
        <f t="shared" si="6"/>
        <v>0</v>
      </c>
      <c r="M93" s="97"/>
      <c r="N93" s="97"/>
      <c r="O93" s="97"/>
      <c r="P93" s="97">
        <f t="shared" si="7"/>
        <v>0</v>
      </c>
      <c r="Q93" s="97"/>
      <c r="R93" s="97"/>
      <c r="S93" s="97"/>
      <c r="T93" s="97">
        <f t="shared" si="8"/>
        <v>0</v>
      </c>
      <c r="U93" s="97"/>
      <c r="V93" s="97"/>
      <c r="W93" s="97"/>
      <c r="X93" s="991"/>
    </row>
    <row r="94" spans="1:24" ht="30">
      <c r="A94" s="100">
        <v>49</v>
      </c>
      <c r="B94" s="101" t="s">
        <v>1132</v>
      </c>
      <c r="C94" s="97">
        <v>2</v>
      </c>
      <c r="D94" s="97" t="s">
        <v>103</v>
      </c>
      <c r="E94" s="130">
        <v>3750</v>
      </c>
      <c r="F94" s="130">
        <f t="shared" si="5"/>
        <v>7500</v>
      </c>
      <c r="G94" s="1051" t="s">
        <v>342</v>
      </c>
      <c r="H94" s="97">
        <v>2</v>
      </c>
      <c r="I94" s="97">
        <v>2</v>
      </c>
      <c r="J94" s="97"/>
      <c r="K94" s="97"/>
      <c r="L94" s="97">
        <f t="shared" si="6"/>
        <v>0</v>
      </c>
      <c r="M94" s="97"/>
      <c r="N94" s="97"/>
      <c r="O94" s="97"/>
      <c r="P94" s="97">
        <f t="shared" si="7"/>
        <v>0</v>
      </c>
      <c r="Q94" s="97"/>
      <c r="R94" s="97"/>
      <c r="S94" s="97"/>
      <c r="T94" s="97">
        <f t="shared" si="8"/>
        <v>0</v>
      </c>
      <c r="U94" s="97"/>
      <c r="V94" s="97"/>
      <c r="W94" s="97"/>
      <c r="X94" s="991"/>
    </row>
    <row r="95" spans="1:24" ht="15">
      <c r="A95" s="100">
        <v>50</v>
      </c>
      <c r="B95" s="101" t="s">
        <v>245</v>
      </c>
      <c r="C95" s="97">
        <v>500</v>
      </c>
      <c r="D95" s="97" t="s">
        <v>103</v>
      </c>
      <c r="E95" s="130">
        <v>15</v>
      </c>
      <c r="F95" s="130">
        <f t="shared" si="5"/>
        <v>7500</v>
      </c>
      <c r="G95" s="1051" t="s">
        <v>342</v>
      </c>
      <c r="H95" s="97">
        <v>500</v>
      </c>
      <c r="I95" s="97">
        <v>500</v>
      </c>
      <c r="J95" s="97"/>
      <c r="K95" s="97"/>
      <c r="L95" s="97">
        <f t="shared" si="6"/>
        <v>0</v>
      </c>
      <c r="M95" s="97"/>
      <c r="N95" s="97"/>
      <c r="O95" s="97"/>
      <c r="P95" s="97">
        <f t="shared" si="7"/>
        <v>0</v>
      </c>
      <c r="Q95" s="97"/>
      <c r="R95" s="97"/>
      <c r="S95" s="97"/>
      <c r="T95" s="97">
        <f t="shared" si="8"/>
        <v>0</v>
      </c>
      <c r="U95" s="97"/>
      <c r="V95" s="97"/>
      <c r="W95" s="97"/>
      <c r="X95" s="991"/>
    </row>
    <row r="96" spans="1:24" ht="15">
      <c r="A96" s="100">
        <v>51</v>
      </c>
      <c r="B96" s="101" t="s">
        <v>248</v>
      </c>
      <c r="C96" s="97">
        <v>10</v>
      </c>
      <c r="D96" s="97" t="s">
        <v>189</v>
      </c>
      <c r="E96" s="130">
        <v>675</v>
      </c>
      <c r="F96" s="130">
        <f t="shared" si="5"/>
        <v>6750</v>
      </c>
      <c r="G96" s="1051" t="s">
        <v>342</v>
      </c>
      <c r="H96" s="97">
        <v>10</v>
      </c>
      <c r="I96" s="97">
        <v>10</v>
      </c>
      <c r="J96" s="97"/>
      <c r="K96" s="97"/>
      <c r="L96" s="97">
        <f t="shared" si="6"/>
        <v>0</v>
      </c>
      <c r="M96" s="97"/>
      <c r="N96" s="97"/>
      <c r="O96" s="97"/>
      <c r="P96" s="97">
        <f t="shared" si="7"/>
        <v>0</v>
      </c>
      <c r="Q96" s="97"/>
      <c r="R96" s="97"/>
      <c r="S96" s="97"/>
      <c r="T96" s="97">
        <f t="shared" si="8"/>
        <v>0</v>
      </c>
      <c r="U96" s="97"/>
      <c r="V96" s="97"/>
      <c r="W96" s="97"/>
      <c r="X96" s="991"/>
    </row>
    <row r="97" spans="1:24" ht="15">
      <c r="A97" s="100">
        <v>52</v>
      </c>
      <c r="B97" s="101" t="s">
        <v>407</v>
      </c>
      <c r="C97" s="97">
        <v>3</v>
      </c>
      <c r="D97" s="97" t="s">
        <v>103</v>
      </c>
      <c r="E97" s="130">
        <v>1350</v>
      </c>
      <c r="F97" s="130">
        <f t="shared" si="5"/>
        <v>4050</v>
      </c>
      <c r="G97" s="1051" t="s">
        <v>342</v>
      </c>
      <c r="H97" s="97">
        <v>3</v>
      </c>
      <c r="I97" s="97">
        <v>3</v>
      </c>
      <c r="J97" s="97"/>
      <c r="K97" s="97"/>
      <c r="L97" s="97">
        <f t="shared" si="6"/>
        <v>0</v>
      </c>
      <c r="M97" s="97"/>
      <c r="N97" s="97"/>
      <c r="O97" s="97"/>
      <c r="P97" s="97">
        <f t="shared" si="7"/>
        <v>0</v>
      </c>
      <c r="Q97" s="97"/>
      <c r="R97" s="97"/>
      <c r="S97" s="97"/>
      <c r="T97" s="97">
        <f t="shared" si="8"/>
        <v>0</v>
      </c>
      <c r="U97" s="97"/>
      <c r="V97" s="97"/>
      <c r="W97" s="97"/>
      <c r="X97" s="991"/>
    </row>
    <row r="98" spans="1:24" ht="30">
      <c r="A98" s="100">
        <v>53</v>
      </c>
      <c r="B98" s="101" t="s">
        <v>249</v>
      </c>
      <c r="C98" s="97">
        <v>3</v>
      </c>
      <c r="D98" s="97" t="s">
        <v>189</v>
      </c>
      <c r="E98" s="130">
        <v>600</v>
      </c>
      <c r="F98" s="130">
        <f t="shared" si="5"/>
        <v>1800</v>
      </c>
      <c r="G98" s="1051" t="s">
        <v>342</v>
      </c>
      <c r="H98" s="97">
        <v>3</v>
      </c>
      <c r="I98" s="97">
        <v>3</v>
      </c>
      <c r="J98" s="97"/>
      <c r="K98" s="97"/>
      <c r="L98" s="97">
        <f t="shared" si="6"/>
        <v>0</v>
      </c>
      <c r="M98" s="97"/>
      <c r="N98" s="97"/>
      <c r="O98" s="97"/>
      <c r="P98" s="97">
        <f t="shared" si="7"/>
        <v>0</v>
      </c>
      <c r="Q98" s="97"/>
      <c r="R98" s="97"/>
      <c r="S98" s="97"/>
      <c r="T98" s="97">
        <f t="shared" si="8"/>
        <v>0</v>
      </c>
      <c r="U98" s="97"/>
      <c r="V98" s="97"/>
      <c r="W98" s="97"/>
      <c r="X98" s="991"/>
    </row>
    <row r="99" spans="1:24" ht="30">
      <c r="A99" s="1052">
        <v>54</v>
      </c>
      <c r="B99" s="1053" t="s">
        <v>251</v>
      </c>
      <c r="C99" s="1054">
        <v>2</v>
      </c>
      <c r="D99" s="1054" t="s">
        <v>103</v>
      </c>
      <c r="E99" s="1055">
        <v>4703</v>
      </c>
      <c r="F99" s="1055">
        <f t="shared" si="5"/>
        <v>9406</v>
      </c>
      <c r="G99" s="1056" t="s">
        <v>2949</v>
      </c>
      <c r="H99" s="97">
        <v>2</v>
      </c>
      <c r="I99" s="97">
        <v>2</v>
      </c>
      <c r="J99" s="97"/>
      <c r="K99" s="97"/>
      <c r="L99" s="97">
        <f t="shared" si="6"/>
        <v>0</v>
      </c>
      <c r="M99" s="97"/>
      <c r="N99" s="97"/>
      <c r="O99" s="97"/>
      <c r="P99" s="97">
        <f t="shared" si="7"/>
        <v>0</v>
      </c>
      <c r="Q99" s="97"/>
      <c r="R99" s="97"/>
      <c r="S99" s="97"/>
      <c r="T99" s="97">
        <f t="shared" si="8"/>
        <v>0</v>
      </c>
      <c r="U99" s="97"/>
      <c r="V99" s="97"/>
      <c r="W99" s="97"/>
      <c r="X99" s="991"/>
    </row>
    <row r="100" spans="1:24" ht="15">
      <c r="A100" s="100">
        <v>55</v>
      </c>
      <c r="B100" s="101" t="s">
        <v>255</v>
      </c>
      <c r="C100" s="97">
        <v>20</v>
      </c>
      <c r="D100" s="97" t="s">
        <v>103</v>
      </c>
      <c r="E100" s="130">
        <v>60</v>
      </c>
      <c r="F100" s="130">
        <f t="shared" si="5"/>
        <v>1200</v>
      </c>
      <c r="G100" s="1051" t="s">
        <v>342</v>
      </c>
      <c r="H100" s="97">
        <v>20</v>
      </c>
      <c r="I100" s="97">
        <v>20</v>
      </c>
      <c r="J100" s="97"/>
      <c r="K100" s="97"/>
      <c r="L100" s="97">
        <f t="shared" si="6"/>
        <v>0</v>
      </c>
      <c r="M100" s="97"/>
      <c r="N100" s="97"/>
      <c r="O100" s="97"/>
      <c r="P100" s="97">
        <f t="shared" si="7"/>
        <v>0</v>
      </c>
      <c r="Q100" s="97"/>
      <c r="R100" s="97"/>
      <c r="S100" s="97"/>
      <c r="T100" s="97">
        <f t="shared" si="8"/>
        <v>0</v>
      </c>
      <c r="U100" s="97"/>
      <c r="V100" s="97"/>
      <c r="W100" s="97"/>
      <c r="X100" s="991"/>
    </row>
    <row r="101" spans="1:24" ht="15">
      <c r="A101" s="100">
        <v>56</v>
      </c>
      <c r="B101" s="101" t="s">
        <v>256</v>
      </c>
      <c r="C101" s="97">
        <v>1</v>
      </c>
      <c r="D101" s="97" t="s">
        <v>103</v>
      </c>
      <c r="E101" s="130">
        <v>20250</v>
      </c>
      <c r="F101" s="130">
        <f t="shared" si="5"/>
        <v>20250</v>
      </c>
      <c r="G101" s="1051" t="s">
        <v>342</v>
      </c>
      <c r="H101" s="97">
        <v>1</v>
      </c>
      <c r="I101" s="97">
        <v>1</v>
      </c>
      <c r="J101" s="97"/>
      <c r="K101" s="97"/>
      <c r="L101" s="97">
        <f t="shared" si="6"/>
        <v>0</v>
      </c>
      <c r="M101" s="97"/>
      <c r="N101" s="97"/>
      <c r="O101" s="97"/>
      <c r="P101" s="97">
        <f t="shared" si="7"/>
        <v>0</v>
      </c>
      <c r="Q101" s="97"/>
      <c r="R101" s="97"/>
      <c r="S101" s="97"/>
      <c r="T101" s="97">
        <f t="shared" si="8"/>
        <v>0</v>
      </c>
      <c r="U101" s="97"/>
      <c r="V101" s="97"/>
      <c r="W101" s="97"/>
      <c r="X101" s="991"/>
    </row>
    <row r="102" spans="1:24" ht="30">
      <c r="A102" s="100">
        <v>57</v>
      </c>
      <c r="B102" s="101" t="s">
        <v>1189</v>
      </c>
      <c r="C102" s="97">
        <v>2</v>
      </c>
      <c r="D102" s="97" t="s">
        <v>103</v>
      </c>
      <c r="E102" s="130">
        <v>13500</v>
      </c>
      <c r="F102" s="130">
        <f t="shared" si="5"/>
        <v>27000</v>
      </c>
      <c r="G102" s="1051" t="s">
        <v>342</v>
      </c>
      <c r="H102" s="97">
        <v>2</v>
      </c>
      <c r="I102" s="97">
        <v>2</v>
      </c>
      <c r="J102" s="97"/>
      <c r="K102" s="97"/>
      <c r="L102" s="97">
        <f t="shared" si="6"/>
        <v>0</v>
      </c>
      <c r="M102" s="97"/>
      <c r="N102" s="97"/>
      <c r="O102" s="97"/>
      <c r="P102" s="97">
        <f t="shared" si="7"/>
        <v>0</v>
      </c>
      <c r="Q102" s="97"/>
      <c r="R102" s="97"/>
      <c r="S102" s="97"/>
      <c r="T102" s="97">
        <f t="shared" si="8"/>
        <v>0</v>
      </c>
      <c r="U102" s="97"/>
      <c r="V102" s="97"/>
      <c r="W102" s="97"/>
      <c r="X102" s="991"/>
    </row>
    <row r="103" spans="1:24" ht="30">
      <c r="A103" s="100">
        <v>58</v>
      </c>
      <c r="B103" s="101" t="s">
        <v>1418</v>
      </c>
      <c r="C103" s="97">
        <v>4</v>
      </c>
      <c r="D103" s="97" t="s">
        <v>103</v>
      </c>
      <c r="E103" s="130">
        <v>450</v>
      </c>
      <c r="F103" s="130">
        <f t="shared" si="5"/>
        <v>1800</v>
      </c>
      <c r="G103" s="1051" t="s">
        <v>342</v>
      </c>
      <c r="H103" s="97">
        <v>4</v>
      </c>
      <c r="I103" s="97">
        <v>4</v>
      </c>
      <c r="J103" s="97"/>
      <c r="K103" s="97"/>
      <c r="L103" s="97">
        <f t="shared" si="6"/>
        <v>0</v>
      </c>
      <c r="M103" s="97"/>
      <c r="N103" s="97"/>
      <c r="O103" s="97"/>
      <c r="P103" s="97">
        <f t="shared" si="7"/>
        <v>0</v>
      </c>
      <c r="Q103" s="97"/>
      <c r="R103" s="97"/>
      <c r="S103" s="97"/>
      <c r="T103" s="97">
        <f t="shared" si="8"/>
        <v>0</v>
      </c>
      <c r="U103" s="97"/>
      <c r="V103" s="97"/>
      <c r="W103" s="97"/>
      <c r="X103" s="991"/>
    </row>
    <row r="104" spans="1:24" ht="15">
      <c r="A104" s="100">
        <v>59</v>
      </c>
      <c r="B104" s="101" t="s">
        <v>260</v>
      </c>
      <c r="C104" s="97">
        <v>6</v>
      </c>
      <c r="D104" s="97" t="s">
        <v>103</v>
      </c>
      <c r="E104" s="130">
        <v>3000</v>
      </c>
      <c r="F104" s="130">
        <f t="shared" si="5"/>
        <v>18000</v>
      </c>
      <c r="G104" s="1051" t="s">
        <v>342</v>
      </c>
      <c r="H104" s="97">
        <v>6</v>
      </c>
      <c r="I104" s="97">
        <v>6</v>
      </c>
      <c r="J104" s="97"/>
      <c r="K104" s="97"/>
      <c r="L104" s="97">
        <f t="shared" si="6"/>
        <v>0</v>
      </c>
      <c r="M104" s="97"/>
      <c r="N104" s="97"/>
      <c r="O104" s="97"/>
      <c r="P104" s="97">
        <f t="shared" si="7"/>
        <v>0</v>
      </c>
      <c r="Q104" s="97"/>
      <c r="R104" s="97"/>
      <c r="S104" s="97"/>
      <c r="T104" s="97">
        <f t="shared" si="8"/>
        <v>0</v>
      </c>
      <c r="U104" s="97"/>
      <c r="V104" s="97"/>
      <c r="W104" s="97"/>
      <c r="X104" s="991"/>
    </row>
    <row r="105" spans="1:24" ht="30">
      <c r="A105" s="100">
        <v>60</v>
      </c>
      <c r="B105" s="101" t="s">
        <v>261</v>
      </c>
      <c r="C105" s="97">
        <v>2</v>
      </c>
      <c r="D105" s="97" t="s">
        <v>118</v>
      </c>
      <c r="E105" s="130">
        <v>750</v>
      </c>
      <c r="F105" s="130">
        <f t="shared" si="5"/>
        <v>1500</v>
      </c>
      <c r="G105" s="1051" t="s">
        <v>342</v>
      </c>
      <c r="H105" s="97">
        <v>2</v>
      </c>
      <c r="I105" s="97">
        <v>2</v>
      </c>
      <c r="J105" s="97"/>
      <c r="K105" s="97"/>
      <c r="L105" s="97">
        <f t="shared" si="6"/>
        <v>0</v>
      </c>
      <c r="M105" s="97"/>
      <c r="N105" s="97"/>
      <c r="O105" s="97"/>
      <c r="P105" s="97">
        <f t="shared" si="7"/>
        <v>0</v>
      </c>
      <c r="Q105" s="97"/>
      <c r="R105" s="97"/>
      <c r="S105" s="97"/>
      <c r="T105" s="97">
        <f t="shared" si="8"/>
        <v>0</v>
      </c>
      <c r="U105" s="97"/>
      <c r="V105" s="97"/>
      <c r="W105" s="97"/>
      <c r="X105" s="991"/>
    </row>
    <row r="106" spans="1:24" ht="30">
      <c r="A106" s="100">
        <v>61</v>
      </c>
      <c r="B106" s="101" t="s">
        <v>264</v>
      </c>
      <c r="C106" s="97">
        <v>4</v>
      </c>
      <c r="D106" s="97" t="s">
        <v>103</v>
      </c>
      <c r="E106" s="130">
        <v>1800</v>
      </c>
      <c r="F106" s="130">
        <f t="shared" si="5"/>
        <v>7200</v>
      </c>
      <c r="G106" s="1051" t="s">
        <v>342</v>
      </c>
      <c r="H106" s="97">
        <v>4</v>
      </c>
      <c r="I106" s="97">
        <v>4</v>
      </c>
      <c r="J106" s="97"/>
      <c r="K106" s="97"/>
      <c r="L106" s="97">
        <f t="shared" si="6"/>
        <v>0</v>
      </c>
      <c r="M106" s="97"/>
      <c r="N106" s="97"/>
      <c r="O106" s="97"/>
      <c r="P106" s="97">
        <f t="shared" si="7"/>
        <v>0</v>
      </c>
      <c r="Q106" s="97"/>
      <c r="R106" s="97"/>
      <c r="S106" s="97"/>
      <c r="T106" s="97">
        <f t="shared" si="8"/>
        <v>0</v>
      </c>
      <c r="U106" s="97"/>
      <c r="V106" s="97"/>
      <c r="W106" s="97"/>
      <c r="X106" s="991"/>
    </row>
    <row r="107" spans="1:24" ht="15">
      <c r="A107" s="100">
        <v>62</v>
      </c>
      <c r="B107" s="101" t="s">
        <v>265</v>
      </c>
      <c r="C107" s="97">
        <v>12</v>
      </c>
      <c r="D107" s="97" t="s">
        <v>103</v>
      </c>
      <c r="E107" s="130">
        <v>7545</v>
      </c>
      <c r="F107" s="130">
        <f t="shared" si="5"/>
        <v>90540</v>
      </c>
      <c r="G107" s="1051" t="s">
        <v>342</v>
      </c>
      <c r="H107" s="97">
        <v>12</v>
      </c>
      <c r="I107" s="97">
        <v>12</v>
      </c>
      <c r="J107" s="97"/>
      <c r="K107" s="97"/>
      <c r="L107" s="97">
        <f t="shared" si="6"/>
        <v>0</v>
      </c>
      <c r="M107" s="97"/>
      <c r="N107" s="97"/>
      <c r="O107" s="97"/>
      <c r="P107" s="97">
        <f t="shared" si="7"/>
        <v>0</v>
      </c>
      <c r="Q107" s="97"/>
      <c r="R107" s="97"/>
      <c r="S107" s="97"/>
      <c r="T107" s="97">
        <f t="shared" si="8"/>
        <v>0</v>
      </c>
      <c r="U107" s="97"/>
      <c r="V107" s="97"/>
      <c r="W107" s="97"/>
      <c r="X107" s="991"/>
    </row>
    <row r="108" spans="1:24" ht="15">
      <c r="A108" s="100">
        <v>63</v>
      </c>
      <c r="B108" s="101" t="s">
        <v>1439</v>
      </c>
      <c r="C108" s="97">
        <v>1</v>
      </c>
      <c r="D108" s="97" t="s">
        <v>103</v>
      </c>
      <c r="E108" s="130">
        <v>37500</v>
      </c>
      <c r="F108" s="130">
        <f t="shared" si="5"/>
        <v>37500</v>
      </c>
      <c r="G108" s="1051" t="s">
        <v>342</v>
      </c>
      <c r="H108" s="97">
        <v>1</v>
      </c>
      <c r="I108" s="97">
        <v>1</v>
      </c>
      <c r="J108" s="97"/>
      <c r="K108" s="97"/>
      <c r="L108" s="97">
        <f t="shared" si="6"/>
        <v>0</v>
      </c>
      <c r="M108" s="97"/>
      <c r="N108" s="97"/>
      <c r="O108" s="97"/>
      <c r="P108" s="97">
        <f t="shared" si="7"/>
        <v>0</v>
      </c>
      <c r="Q108" s="97"/>
      <c r="R108" s="97"/>
      <c r="S108" s="97"/>
      <c r="T108" s="97">
        <f t="shared" si="8"/>
        <v>0</v>
      </c>
      <c r="U108" s="97"/>
      <c r="V108" s="97"/>
      <c r="W108" s="97"/>
      <c r="X108" s="991"/>
    </row>
    <row r="109" spans="1:24" ht="15">
      <c r="A109" s="100">
        <v>64</v>
      </c>
      <c r="B109" s="101" t="s">
        <v>1183</v>
      </c>
      <c r="C109" s="97">
        <v>2</v>
      </c>
      <c r="D109" s="97" t="s">
        <v>103</v>
      </c>
      <c r="E109" s="130">
        <v>6750</v>
      </c>
      <c r="F109" s="130">
        <f t="shared" si="5"/>
        <v>13500</v>
      </c>
      <c r="G109" s="1051" t="s">
        <v>342</v>
      </c>
      <c r="H109" s="97">
        <v>2</v>
      </c>
      <c r="I109" s="97">
        <v>2</v>
      </c>
      <c r="J109" s="97"/>
      <c r="K109" s="97"/>
      <c r="L109" s="97">
        <f t="shared" si="6"/>
        <v>0</v>
      </c>
      <c r="M109" s="97"/>
      <c r="N109" s="97"/>
      <c r="O109" s="97"/>
      <c r="P109" s="97">
        <f t="shared" si="7"/>
        <v>0</v>
      </c>
      <c r="Q109" s="97"/>
      <c r="R109" s="97"/>
      <c r="S109" s="97"/>
      <c r="T109" s="97">
        <f t="shared" si="8"/>
        <v>0</v>
      </c>
      <c r="U109" s="97"/>
      <c r="V109" s="97"/>
      <c r="W109" s="97"/>
      <c r="X109" s="991"/>
    </row>
    <row r="110" spans="1:24" ht="15">
      <c r="A110" s="100">
        <v>65</v>
      </c>
      <c r="B110" s="1066" t="s">
        <v>4019</v>
      </c>
      <c r="C110" s="1067">
        <v>20</v>
      </c>
      <c r="D110" s="1067" t="s">
        <v>103</v>
      </c>
      <c r="E110" s="1068">
        <v>5000</v>
      </c>
      <c r="F110" s="130">
        <f t="shared" si="5"/>
        <v>100000</v>
      </c>
      <c r="G110" s="1051" t="s">
        <v>342</v>
      </c>
      <c r="H110" s="1067">
        <v>20</v>
      </c>
      <c r="I110" s="1067">
        <v>20</v>
      </c>
      <c r="J110" s="97"/>
      <c r="K110" s="97"/>
      <c r="L110" s="97">
        <f t="shared" si="6"/>
        <v>0</v>
      </c>
      <c r="M110" s="97"/>
      <c r="N110" s="97"/>
      <c r="O110" s="97"/>
      <c r="P110" s="97">
        <f t="shared" si="7"/>
        <v>0</v>
      </c>
      <c r="Q110" s="97"/>
      <c r="R110" s="97"/>
      <c r="S110" s="97"/>
      <c r="T110" s="97">
        <f t="shared" si="8"/>
        <v>0</v>
      </c>
      <c r="U110" s="97"/>
      <c r="V110" s="97"/>
      <c r="W110" s="97"/>
      <c r="X110" s="991"/>
    </row>
    <row r="111" spans="1:24" ht="15">
      <c r="A111" s="100">
        <v>66</v>
      </c>
      <c r="B111" s="1069" t="s">
        <v>3207</v>
      </c>
      <c r="C111" s="1070">
        <v>40</v>
      </c>
      <c r="D111" s="1070" t="s">
        <v>103</v>
      </c>
      <c r="E111" s="1071">
        <v>500</v>
      </c>
      <c r="F111" s="130">
        <f t="shared" si="5"/>
        <v>20000</v>
      </c>
      <c r="G111" s="1051" t="s">
        <v>342</v>
      </c>
      <c r="H111" s="1070">
        <v>40</v>
      </c>
      <c r="I111" s="1070">
        <v>40</v>
      </c>
      <c r="J111" s="97"/>
      <c r="K111" s="97"/>
      <c r="L111" s="97">
        <f t="shared" si="6"/>
        <v>0</v>
      </c>
      <c r="M111" s="97"/>
      <c r="N111" s="97"/>
      <c r="O111" s="97"/>
      <c r="P111" s="97">
        <f t="shared" si="7"/>
        <v>0</v>
      </c>
      <c r="Q111" s="97"/>
      <c r="R111" s="97"/>
      <c r="S111" s="97"/>
      <c r="T111" s="97">
        <f t="shared" si="8"/>
        <v>0</v>
      </c>
      <c r="U111" s="97"/>
      <c r="V111" s="97"/>
      <c r="W111" s="97"/>
      <c r="X111" s="991"/>
    </row>
    <row r="112" spans="1:24" ht="15">
      <c r="A112" s="100">
        <v>67</v>
      </c>
      <c r="B112" s="1069" t="s">
        <v>4020</v>
      </c>
      <c r="C112" s="1070">
        <v>7</v>
      </c>
      <c r="D112" s="1070" t="s">
        <v>103</v>
      </c>
      <c r="E112" s="1071">
        <v>500</v>
      </c>
      <c r="F112" s="130">
        <f t="shared" si="5"/>
        <v>3500</v>
      </c>
      <c r="G112" s="1051" t="s">
        <v>342</v>
      </c>
      <c r="H112" s="1070">
        <v>7</v>
      </c>
      <c r="I112" s="1070">
        <v>7</v>
      </c>
      <c r="J112" s="97"/>
      <c r="K112" s="97"/>
      <c r="L112" s="97">
        <f t="shared" si="6"/>
        <v>0</v>
      </c>
      <c r="M112" s="97"/>
      <c r="N112" s="97"/>
      <c r="O112" s="97"/>
      <c r="P112" s="97">
        <f t="shared" si="7"/>
        <v>0</v>
      </c>
      <c r="Q112" s="97"/>
      <c r="R112" s="97"/>
      <c r="S112" s="97"/>
      <c r="T112" s="97">
        <f t="shared" si="8"/>
        <v>0</v>
      </c>
      <c r="U112" s="97"/>
      <c r="V112" s="97"/>
      <c r="W112" s="97"/>
      <c r="X112" s="991"/>
    </row>
    <row r="113" spans="1:24" ht="15">
      <c r="A113" s="100">
        <v>68</v>
      </c>
      <c r="B113" s="1069" t="s">
        <v>4021</v>
      </c>
      <c r="C113" s="1070">
        <v>7</v>
      </c>
      <c r="D113" s="1070" t="s">
        <v>103</v>
      </c>
      <c r="E113" s="1071">
        <v>500</v>
      </c>
      <c r="F113" s="130">
        <f t="shared" si="5"/>
        <v>3500</v>
      </c>
      <c r="G113" s="1051" t="s">
        <v>342</v>
      </c>
      <c r="H113" s="1070">
        <v>7</v>
      </c>
      <c r="I113" s="1070">
        <v>7</v>
      </c>
      <c r="J113" s="97"/>
      <c r="K113" s="97"/>
      <c r="L113" s="97">
        <f t="shared" si="6"/>
        <v>0</v>
      </c>
      <c r="M113" s="97"/>
      <c r="N113" s="97"/>
      <c r="O113" s="97"/>
      <c r="P113" s="97">
        <f t="shared" si="7"/>
        <v>0</v>
      </c>
      <c r="Q113" s="97"/>
      <c r="R113" s="97"/>
      <c r="S113" s="97"/>
      <c r="T113" s="97">
        <f t="shared" si="8"/>
        <v>0</v>
      </c>
      <c r="U113" s="97"/>
      <c r="V113" s="97"/>
      <c r="W113" s="97"/>
      <c r="X113" s="991"/>
    </row>
    <row r="114" spans="1:24" ht="15">
      <c r="A114" s="100">
        <v>69</v>
      </c>
      <c r="B114" s="1069" t="s">
        <v>4022</v>
      </c>
      <c r="C114" s="1070">
        <v>7</v>
      </c>
      <c r="D114" s="1070" t="s">
        <v>103</v>
      </c>
      <c r="E114" s="1071">
        <v>500</v>
      </c>
      <c r="F114" s="130">
        <f t="shared" si="5"/>
        <v>3500</v>
      </c>
      <c r="G114" s="1051" t="s">
        <v>342</v>
      </c>
      <c r="H114" s="1070">
        <v>7</v>
      </c>
      <c r="I114" s="1070">
        <v>7</v>
      </c>
      <c r="J114" s="97"/>
      <c r="K114" s="97"/>
      <c r="L114" s="97">
        <f t="shared" si="6"/>
        <v>0</v>
      </c>
      <c r="M114" s="97"/>
      <c r="N114" s="97"/>
      <c r="O114" s="97"/>
      <c r="P114" s="97">
        <f t="shared" si="7"/>
        <v>0</v>
      </c>
      <c r="Q114" s="97"/>
      <c r="R114" s="97"/>
      <c r="S114" s="97"/>
      <c r="T114" s="97">
        <f t="shared" si="8"/>
        <v>0</v>
      </c>
      <c r="U114" s="97"/>
      <c r="V114" s="97"/>
      <c r="W114" s="97"/>
      <c r="X114" s="991"/>
    </row>
    <row r="115" spans="1:24" ht="15">
      <c r="A115" s="100">
        <v>70</v>
      </c>
      <c r="B115" s="1069" t="s">
        <v>4023</v>
      </c>
      <c r="C115" s="1070">
        <v>30</v>
      </c>
      <c r="D115" s="1070" t="s">
        <v>103</v>
      </c>
      <c r="E115" s="1071">
        <v>5300</v>
      </c>
      <c r="F115" s="130">
        <f t="shared" si="5"/>
        <v>159000</v>
      </c>
      <c r="G115" s="1051" t="s">
        <v>342</v>
      </c>
      <c r="H115" s="1070">
        <v>30</v>
      </c>
      <c r="I115" s="1070">
        <v>30</v>
      </c>
      <c r="J115" s="97"/>
      <c r="K115" s="97"/>
      <c r="L115" s="97">
        <f t="shared" si="6"/>
        <v>0</v>
      </c>
      <c r="M115" s="97"/>
      <c r="N115" s="97"/>
      <c r="O115" s="97"/>
      <c r="P115" s="97">
        <f t="shared" si="7"/>
        <v>0</v>
      </c>
      <c r="Q115" s="97"/>
      <c r="R115" s="97"/>
      <c r="S115" s="97"/>
      <c r="T115" s="97">
        <f t="shared" si="8"/>
        <v>0</v>
      </c>
      <c r="U115" s="97"/>
      <c r="V115" s="97"/>
      <c r="W115" s="97"/>
      <c r="X115" s="991"/>
    </row>
    <row r="116" spans="1:24" ht="15">
      <c r="A116" s="100">
        <v>71</v>
      </c>
      <c r="B116" s="1069" t="s">
        <v>3209</v>
      </c>
      <c r="C116" s="1070">
        <v>10</v>
      </c>
      <c r="D116" s="1072" t="s">
        <v>571</v>
      </c>
      <c r="E116" s="1073">
        <v>450</v>
      </c>
      <c r="F116" s="130">
        <f t="shared" si="5"/>
        <v>4500</v>
      </c>
      <c r="G116" s="1051" t="s">
        <v>342</v>
      </c>
      <c r="H116" s="1070">
        <v>10</v>
      </c>
      <c r="I116" s="1070">
        <v>10</v>
      </c>
      <c r="J116" s="97"/>
      <c r="K116" s="97"/>
      <c r="L116" s="97">
        <f t="shared" si="6"/>
        <v>0</v>
      </c>
      <c r="M116" s="97"/>
      <c r="N116" s="97"/>
      <c r="O116" s="97"/>
      <c r="P116" s="97">
        <f t="shared" si="7"/>
        <v>0</v>
      </c>
      <c r="Q116" s="97"/>
      <c r="R116" s="97"/>
      <c r="S116" s="97"/>
      <c r="T116" s="97">
        <f t="shared" si="8"/>
        <v>0</v>
      </c>
      <c r="U116" s="97"/>
      <c r="V116" s="97"/>
      <c r="W116" s="97"/>
      <c r="X116" s="991"/>
    </row>
    <row r="117" spans="1:24" ht="15">
      <c r="A117" s="100">
        <v>72</v>
      </c>
      <c r="B117" s="1069" t="s">
        <v>3211</v>
      </c>
      <c r="C117" s="1072">
        <v>4</v>
      </c>
      <c r="D117" s="1070" t="s">
        <v>571</v>
      </c>
      <c r="E117" s="1071">
        <v>450</v>
      </c>
      <c r="F117" s="130">
        <f t="shared" si="5"/>
        <v>1800</v>
      </c>
      <c r="G117" s="1051" t="s">
        <v>342</v>
      </c>
      <c r="H117" s="1072">
        <v>4</v>
      </c>
      <c r="I117" s="1072">
        <v>4</v>
      </c>
      <c r="J117" s="97"/>
      <c r="K117" s="97"/>
      <c r="L117" s="97">
        <f t="shared" si="6"/>
        <v>0</v>
      </c>
      <c r="M117" s="97"/>
      <c r="N117" s="97"/>
      <c r="O117" s="97"/>
      <c r="P117" s="97">
        <f t="shared" si="7"/>
        <v>0</v>
      </c>
      <c r="Q117" s="97"/>
      <c r="R117" s="97"/>
      <c r="S117" s="97"/>
      <c r="T117" s="97">
        <f t="shared" si="8"/>
        <v>0</v>
      </c>
      <c r="U117" s="97"/>
      <c r="V117" s="97"/>
      <c r="W117" s="97"/>
      <c r="X117" s="991"/>
    </row>
    <row r="118" spans="1:24" ht="15">
      <c r="A118" s="100">
        <v>73</v>
      </c>
      <c r="B118" s="1069" t="s">
        <v>3213</v>
      </c>
      <c r="C118" s="1072">
        <v>4</v>
      </c>
      <c r="D118" s="1070" t="s">
        <v>571</v>
      </c>
      <c r="E118" s="1073">
        <v>450</v>
      </c>
      <c r="F118" s="130">
        <f t="shared" si="5"/>
        <v>1800</v>
      </c>
      <c r="G118" s="1051" t="s">
        <v>342</v>
      </c>
      <c r="H118" s="1072">
        <v>4</v>
      </c>
      <c r="I118" s="1072">
        <v>4</v>
      </c>
      <c r="J118" s="97"/>
      <c r="K118" s="97"/>
      <c r="L118" s="97">
        <f t="shared" si="6"/>
        <v>0</v>
      </c>
      <c r="M118" s="97"/>
      <c r="N118" s="97"/>
      <c r="O118" s="97"/>
      <c r="P118" s="97">
        <f t="shared" si="7"/>
        <v>0</v>
      </c>
      <c r="Q118" s="97"/>
      <c r="R118" s="97"/>
      <c r="S118" s="97"/>
      <c r="T118" s="97">
        <f t="shared" si="8"/>
        <v>0</v>
      </c>
      <c r="U118" s="97"/>
      <c r="V118" s="97"/>
      <c r="W118" s="97"/>
      <c r="X118" s="991"/>
    </row>
    <row r="119" spans="1:24" ht="15">
      <c r="A119" s="100">
        <v>74</v>
      </c>
      <c r="B119" s="1069" t="s">
        <v>3215</v>
      </c>
      <c r="C119" s="1070">
        <v>4</v>
      </c>
      <c r="D119" s="1070" t="s">
        <v>571</v>
      </c>
      <c r="E119" s="1073">
        <v>450</v>
      </c>
      <c r="F119" s="130">
        <f t="shared" si="5"/>
        <v>1800</v>
      </c>
      <c r="G119" s="1051" t="s">
        <v>342</v>
      </c>
      <c r="H119" s="1070">
        <v>4</v>
      </c>
      <c r="I119" s="1070">
        <v>4</v>
      </c>
      <c r="J119" s="97"/>
      <c r="K119" s="97"/>
      <c r="L119" s="97">
        <f t="shared" si="6"/>
        <v>0</v>
      </c>
      <c r="M119" s="97"/>
      <c r="N119" s="97"/>
      <c r="O119" s="97"/>
      <c r="P119" s="97">
        <f t="shared" si="7"/>
        <v>0</v>
      </c>
      <c r="Q119" s="97"/>
      <c r="R119" s="97"/>
      <c r="S119" s="97"/>
      <c r="T119" s="97">
        <f t="shared" si="8"/>
        <v>0</v>
      </c>
      <c r="U119" s="97"/>
      <c r="V119" s="97"/>
      <c r="W119" s="97"/>
      <c r="X119" s="991"/>
    </row>
    <row r="120" spans="1:24" ht="15">
      <c r="A120" s="100">
        <v>75</v>
      </c>
      <c r="B120" s="1069" t="s">
        <v>4024</v>
      </c>
      <c r="C120" s="1072">
        <v>12</v>
      </c>
      <c r="D120" s="1070" t="s">
        <v>103</v>
      </c>
      <c r="E120" s="1071">
        <v>2000</v>
      </c>
      <c r="F120" s="130">
        <f t="shared" si="5"/>
        <v>24000</v>
      </c>
      <c r="G120" s="1051" t="s">
        <v>342</v>
      </c>
      <c r="H120" s="1072">
        <v>12</v>
      </c>
      <c r="I120" s="1072">
        <v>12</v>
      </c>
      <c r="J120" s="97"/>
      <c r="K120" s="97"/>
      <c r="L120" s="97">
        <f t="shared" si="6"/>
        <v>0</v>
      </c>
      <c r="M120" s="97"/>
      <c r="N120" s="97"/>
      <c r="O120" s="97"/>
      <c r="P120" s="97">
        <f t="shared" si="7"/>
        <v>0</v>
      </c>
      <c r="Q120" s="97"/>
      <c r="R120" s="97"/>
      <c r="S120" s="97"/>
      <c r="T120" s="97">
        <f t="shared" si="8"/>
        <v>0</v>
      </c>
      <c r="U120" s="97"/>
      <c r="V120" s="97"/>
      <c r="W120" s="97"/>
      <c r="X120" s="991"/>
    </row>
    <row r="121" spans="1:24" ht="15">
      <c r="A121" s="100">
        <v>76</v>
      </c>
      <c r="B121" s="1069" t="s">
        <v>3245</v>
      </c>
      <c r="C121" s="1070">
        <v>200</v>
      </c>
      <c r="D121" s="1070" t="s">
        <v>571</v>
      </c>
      <c r="E121" s="1071">
        <v>350</v>
      </c>
      <c r="F121" s="130">
        <f t="shared" si="5"/>
        <v>70000</v>
      </c>
      <c r="G121" s="1051" t="s">
        <v>342</v>
      </c>
      <c r="H121" s="1070">
        <v>200</v>
      </c>
      <c r="I121" s="1070">
        <v>200</v>
      </c>
      <c r="J121" s="97"/>
      <c r="K121" s="97"/>
      <c r="L121" s="97">
        <f t="shared" si="6"/>
        <v>0</v>
      </c>
      <c r="M121" s="97"/>
      <c r="N121" s="97"/>
      <c r="O121" s="97"/>
      <c r="P121" s="97">
        <f t="shared" si="7"/>
        <v>0</v>
      </c>
      <c r="Q121" s="97"/>
      <c r="R121" s="97"/>
      <c r="S121" s="97"/>
      <c r="T121" s="97">
        <f t="shared" si="8"/>
        <v>0</v>
      </c>
      <c r="U121" s="97"/>
      <c r="V121" s="97"/>
      <c r="W121" s="97"/>
      <c r="X121" s="991"/>
    </row>
    <row r="122" spans="1:24" ht="15">
      <c r="A122" s="100">
        <v>77</v>
      </c>
      <c r="B122" s="1069" t="s">
        <v>4025</v>
      </c>
      <c r="C122" s="1070">
        <v>40</v>
      </c>
      <c r="D122" s="1070" t="s">
        <v>571</v>
      </c>
      <c r="E122" s="1071">
        <v>350</v>
      </c>
      <c r="F122" s="130">
        <f t="shared" si="5"/>
        <v>14000</v>
      </c>
      <c r="G122" s="1051" t="s">
        <v>342</v>
      </c>
      <c r="H122" s="1070">
        <v>40</v>
      </c>
      <c r="I122" s="1070">
        <v>40</v>
      </c>
      <c r="J122" s="97"/>
      <c r="K122" s="97"/>
      <c r="L122" s="97">
        <f t="shared" si="6"/>
        <v>0</v>
      </c>
      <c r="M122" s="97"/>
      <c r="N122" s="97"/>
      <c r="O122" s="97"/>
      <c r="P122" s="97">
        <f t="shared" si="7"/>
        <v>0</v>
      </c>
      <c r="Q122" s="97"/>
      <c r="R122" s="97"/>
      <c r="S122" s="97"/>
      <c r="T122" s="97">
        <f t="shared" si="8"/>
        <v>0</v>
      </c>
      <c r="U122" s="97"/>
      <c r="V122" s="97"/>
      <c r="W122" s="97"/>
      <c r="X122" s="991"/>
    </row>
    <row r="123" spans="1:24" ht="15">
      <c r="A123" s="100">
        <v>78</v>
      </c>
      <c r="B123" s="1069" t="s">
        <v>4026</v>
      </c>
      <c r="C123" s="1070">
        <v>40</v>
      </c>
      <c r="D123" s="1070" t="s">
        <v>571</v>
      </c>
      <c r="E123" s="1071">
        <v>350</v>
      </c>
      <c r="F123" s="130">
        <f t="shared" si="5"/>
        <v>14000</v>
      </c>
      <c r="G123" s="1051" t="s">
        <v>342</v>
      </c>
      <c r="H123" s="1070">
        <v>40</v>
      </c>
      <c r="I123" s="1070">
        <v>40</v>
      </c>
      <c r="J123" s="97"/>
      <c r="K123" s="97"/>
      <c r="L123" s="97">
        <f t="shared" si="6"/>
        <v>0</v>
      </c>
      <c r="M123" s="97"/>
      <c r="N123" s="97"/>
      <c r="O123" s="97"/>
      <c r="P123" s="97">
        <f t="shared" si="7"/>
        <v>0</v>
      </c>
      <c r="Q123" s="97"/>
      <c r="R123" s="97"/>
      <c r="S123" s="97"/>
      <c r="T123" s="97">
        <f t="shared" si="8"/>
        <v>0</v>
      </c>
      <c r="U123" s="97"/>
      <c r="V123" s="97"/>
      <c r="W123" s="97"/>
      <c r="X123" s="991"/>
    </row>
    <row r="124" spans="1:24" ht="15">
      <c r="A124" s="100">
        <v>79</v>
      </c>
      <c r="B124" s="1069" t="s">
        <v>4027</v>
      </c>
      <c r="C124" s="1070">
        <v>40</v>
      </c>
      <c r="D124" s="1070" t="s">
        <v>571</v>
      </c>
      <c r="E124" s="1071">
        <v>350</v>
      </c>
      <c r="F124" s="130">
        <f t="shared" si="5"/>
        <v>14000</v>
      </c>
      <c r="G124" s="1051" t="s">
        <v>342</v>
      </c>
      <c r="H124" s="1070">
        <v>40</v>
      </c>
      <c r="I124" s="1070">
        <v>40</v>
      </c>
      <c r="J124" s="97"/>
      <c r="K124" s="97"/>
      <c r="L124" s="97">
        <f t="shared" si="6"/>
        <v>0</v>
      </c>
      <c r="M124" s="97"/>
      <c r="N124" s="97"/>
      <c r="O124" s="97"/>
      <c r="P124" s="97">
        <f t="shared" si="7"/>
        <v>0</v>
      </c>
      <c r="Q124" s="97"/>
      <c r="R124" s="97"/>
      <c r="S124" s="97"/>
      <c r="T124" s="97">
        <f t="shared" si="8"/>
        <v>0</v>
      </c>
      <c r="U124" s="97"/>
      <c r="V124" s="97"/>
      <c r="W124" s="97"/>
      <c r="X124" s="991"/>
    </row>
    <row r="125" spans="1:24" ht="15">
      <c r="A125" s="100">
        <v>80</v>
      </c>
      <c r="B125" s="1069" t="s">
        <v>720</v>
      </c>
      <c r="C125" s="1070">
        <v>120</v>
      </c>
      <c r="D125" s="1070" t="s">
        <v>103</v>
      </c>
      <c r="E125" s="1071">
        <v>320</v>
      </c>
      <c r="F125" s="130">
        <f t="shared" si="5"/>
        <v>38400</v>
      </c>
      <c r="G125" s="1051" t="s">
        <v>342</v>
      </c>
      <c r="H125" s="1070">
        <v>120</v>
      </c>
      <c r="I125" s="1070">
        <v>120</v>
      </c>
      <c r="J125" s="97"/>
      <c r="K125" s="97"/>
      <c r="L125" s="97">
        <f t="shared" si="6"/>
        <v>0</v>
      </c>
      <c r="M125" s="97"/>
      <c r="N125" s="97"/>
      <c r="O125" s="97"/>
      <c r="P125" s="97">
        <f t="shared" si="7"/>
        <v>0</v>
      </c>
      <c r="Q125" s="97"/>
      <c r="R125" s="97"/>
      <c r="S125" s="97"/>
      <c r="T125" s="97">
        <f t="shared" si="8"/>
        <v>0</v>
      </c>
      <c r="U125" s="97"/>
      <c r="V125" s="97"/>
      <c r="W125" s="97"/>
      <c r="X125" s="991"/>
    </row>
    <row r="126" spans="1:24" ht="15">
      <c r="A126" s="100">
        <v>81</v>
      </c>
      <c r="B126" s="1069" t="s">
        <v>4028</v>
      </c>
      <c r="C126" s="1070">
        <v>500</v>
      </c>
      <c r="D126" s="1070" t="s">
        <v>103</v>
      </c>
      <c r="E126" s="1071">
        <v>300</v>
      </c>
      <c r="F126" s="130">
        <f t="shared" si="5"/>
        <v>150000</v>
      </c>
      <c r="G126" s="1051" t="s">
        <v>342</v>
      </c>
      <c r="H126" s="1070">
        <v>500</v>
      </c>
      <c r="I126" s="1070">
        <v>500</v>
      </c>
      <c r="J126" s="97"/>
      <c r="K126" s="97"/>
      <c r="L126" s="97">
        <f t="shared" si="6"/>
        <v>0</v>
      </c>
      <c r="M126" s="97"/>
      <c r="N126" s="97"/>
      <c r="O126" s="97"/>
      <c r="P126" s="97">
        <f t="shared" si="7"/>
        <v>0</v>
      </c>
      <c r="Q126" s="97"/>
      <c r="R126" s="97"/>
      <c r="S126" s="97"/>
      <c r="T126" s="97">
        <f t="shared" si="8"/>
        <v>0</v>
      </c>
      <c r="U126" s="97"/>
      <c r="V126" s="97"/>
      <c r="W126" s="97"/>
      <c r="X126" s="991"/>
    </row>
    <row r="127" spans="1:24" ht="15">
      <c r="A127" s="100">
        <v>82</v>
      </c>
      <c r="B127" s="1069" t="s">
        <v>4029</v>
      </c>
      <c r="C127" s="1072">
        <v>13</v>
      </c>
      <c r="D127" s="1070" t="s">
        <v>103</v>
      </c>
      <c r="E127" s="1073">
        <v>450</v>
      </c>
      <c r="F127" s="130">
        <f t="shared" si="5"/>
        <v>5850</v>
      </c>
      <c r="G127" s="1051" t="s">
        <v>342</v>
      </c>
      <c r="H127" s="1072">
        <v>13</v>
      </c>
      <c r="I127" s="1072">
        <v>13</v>
      </c>
      <c r="J127" s="97"/>
      <c r="K127" s="97"/>
      <c r="L127" s="97">
        <f t="shared" si="6"/>
        <v>0</v>
      </c>
      <c r="M127" s="97"/>
      <c r="N127" s="97"/>
      <c r="O127" s="97"/>
      <c r="P127" s="97">
        <f t="shared" si="7"/>
        <v>0</v>
      </c>
      <c r="Q127" s="97"/>
      <c r="R127" s="97"/>
      <c r="S127" s="97"/>
      <c r="T127" s="97">
        <f t="shared" si="8"/>
        <v>0</v>
      </c>
      <c r="U127" s="97"/>
      <c r="V127" s="97"/>
      <c r="W127" s="97"/>
      <c r="X127" s="991"/>
    </row>
    <row r="128" spans="1:24" ht="15">
      <c r="A128" s="100">
        <v>83</v>
      </c>
      <c r="B128" s="1069" t="s">
        <v>547</v>
      </c>
      <c r="C128" s="1070">
        <v>150</v>
      </c>
      <c r="D128" s="1070" t="s">
        <v>103</v>
      </c>
      <c r="E128" s="1071">
        <v>380</v>
      </c>
      <c r="F128" s="130">
        <f t="shared" si="5"/>
        <v>57000</v>
      </c>
      <c r="G128" s="1051" t="s">
        <v>342</v>
      </c>
      <c r="H128" s="1070">
        <v>150</v>
      </c>
      <c r="I128" s="1070">
        <v>150</v>
      </c>
      <c r="J128" s="97"/>
      <c r="K128" s="97"/>
      <c r="L128" s="97">
        <f t="shared" si="6"/>
        <v>0</v>
      </c>
      <c r="M128" s="97"/>
      <c r="N128" s="97"/>
      <c r="O128" s="97"/>
      <c r="P128" s="97">
        <f t="shared" si="7"/>
        <v>0</v>
      </c>
      <c r="Q128" s="97"/>
      <c r="R128" s="97"/>
      <c r="S128" s="97"/>
      <c r="T128" s="97">
        <f t="shared" si="8"/>
        <v>0</v>
      </c>
      <c r="U128" s="97"/>
      <c r="V128" s="97"/>
      <c r="W128" s="97"/>
      <c r="X128" s="991"/>
    </row>
    <row r="129" spans="1:24" ht="15">
      <c r="A129" s="100">
        <v>84</v>
      </c>
      <c r="B129" s="1074" t="s">
        <v>548</v>
      </c>
      <c r="C129" s="1072">
        <v>50</v>
      </c>
      <c r="D129" s="1070" t="s">
        <v>103</v>
      </c>
      <c r="E129" s="1071">
        <v>380</v>
      </c>
      <c r="F129" s="130">
        <f t="shared" si="5"/>
        <v>19000</v>
      </c>
      <c r="G129" s="1051" t="s">
        <v>342</v>
      </c>
      <c r="H129" s="1072">
        <v>50</v>
      </c>
      <c r="I129" s="1072">
        <v>50</v>
      </c>
      <c r="J129" s="97"/>
      <c r="K129" s="97"/>
      <c r="L129" s="97">
        <f t="shared" si="6"/>
        <v>0</v>
      </c>
      <c r="M129" s="97"/>
      <c r="N129" s="97"/>
      <c r="O129" s="97"/>
      <c r="P129" s="97">
        <f t="shared" si="7"/>
        <v>0</v>
      </c>
      <c r="Q129" s="97"/>
      <c r="R129" s="97"/>
      <c r="S129" s="97"/>
      <c r="T129" s="97">
        <f t="shared" si="8"/>
        <v>0</v>
      </c>
      <c r="U129" s="97"/>
      <c r="V129" s="97"/>
      <c r="W129" s="97"/>
      <c r="X129" s="991"/>
    </row>
    <row r="130" spans="1:24" ht="15">
      <c r="A130" s="100">
        <v>85</v>
      </c>
      <c r="B130" s="1074" t="s">
        <v>549</v>
      </c>
      <c r="C130" s="1070">
        <v>50</v>
      </c>
      <c r="D130" s="1070" t="s">
        <v>103</v>
      </c>
      <c r="E130" s="1071">
        <v>380</v>
      </c>
      <c r="F130" s="130">
        <f t="shared" si="5"/>
        <v>19000</v>
      </c>
      <c r="G130" s="1051" t="s">
        <v>342</v>
      </c>
      <c r="H130" s="1070">
        <v>50</v>
      </c>
      <c r="I130" s="1070">
        <v>50</v>
      </c>
      <c r="J130" s="97"/>
      <c r="K130" s="97"/>
      <c r="L130" s="97">
        <f t="shared" si="6"/>
        <v>0</v>
      </c>
      <c r="M130" s="97"/>
      <c r="N130" s="97"/>
      <c r="O130" s="97"/>
      <c r="P130" s="97">
        <f t="shared" si="7"/>
        <v>0</v>
      </c>
      <c r="Q130" s="97"/>
      <c r="R130" s="97"/>
      <c r="S130" s="97"/>
      <c r="T130" s="97">
        <f t="shared" si="8"/>
        <v>0</v>
      </c>
      <c r="U130" s="97"/>
      <c r="V130" s="97"/>
      <c r="W130" s="97"/>
      <c r="X130" s="991"/>
    </row>
    <row r="131" spans="1:24" ht="15">
      <c r="A131" s="100">
        <v>86</v>
      </c>
      <c r="B131" s="1074" t="s">
        <v>550</v>
      </c>
      <c r="C131" s="1072">
        <v>50</v>
      </c>
      <c r="D131" s="1070" t="s">
        <v>103</v>
      </c>
      <c r="E131" s="1071">
        <v>380</v>
      </c>
      <c r="F131" s="130">
        <f t="shared" si="5"/>
        <v>19000</v>
      </c>
      <c r="G131" s="1051" t="s">
        <v>342</v>
      </c>
      <c r="H131" s="1072">
        <v>50</v>
      </c>
      <c r="I131" s="1072">
        <v>50</v>
      </c>
      <c r="J131" s="97"/>
      <c r="K131" s="97"/>
      <c r="L131" s="97">
        <f t="shared" si="6"/>
        <v>0</v>
      </c>
      <c r="M131" s="97"/>
      <c r="N131" s="97"/>
      <c r="O131" s="97"/>
      <c r="P131" s="97">
        <f t="shared" si="7"/>
        <v>0</v>
      </c>
      <c r="Q131" s="97"/>
      <c r="R131" s="97"/>
      <c r="S131" s="97"/>
      <c r="T131" s="97">
        <f t="shared" si="8"/>
        <v>0</v>
      </c>
      <c r="U131" s="97"/>
      <c r="V131" s="97"/>
      <c r="W131" s="97"/>
      <c r="X131" s="991"/>
    </row>
    <row r="132" spans="1:24" ht="15">
      <c r="A132" s="1052">
        <v>87</v>
      </c>
      <c r="B132" s="1075" t="s">
        <v>600</v>
      </c>
      <c r="C132" s="1076">
        <v>40</v>
      </c>
      <c r="D132" s="1076" t="s">
        <v>103</v>
      </c>
      <c r="E132" s="1077">
        <v>1000</v>
      </c>
      <c r="F132" s="1055">
        <f t="shared" si="5"/>
        <v>40000</v>
      </c>
      <c r="G132" s="1056" t="s">
        <v>2949</v>
      </c>
      <c r="H132" s="1070">
        <v>40</v>
      </c>
      <c r="I132" s="1070">
        <v>40</v>
      </c>
      <c r="J132" s="97"/>
      <c r="K132" s="97"/>
      <c r="L132" s="97">
        <f t="shared" si="6"/>
        <v>0</v>
      </c>
      <c r="M132" s="97"/>
      <c r="N132" s="97"/>
      <c r="O132" s="97"/>
      <c r="P132" s="97">
        <f t="shared" si="7"/>
        <v>0</v>
      </c>
      <c r="Q132" s="97"/>
      <c r="R132" s="97"/>
      <c r="S132" s="97"/>
      <c r="T132" s="97">
        <f t="shared" si="8"/>
        <v>0</v>
      </c>
      <c r="U132" s="97"/>
      <c r="V132" s="97"/>
      <c r="W132" s="97"/>
      <c r="X132" s="991"/>
    </row>
    <row r="133" spans="1:24" ht="15">
      <c r="A133" s="1052">
        <v>88</v>
      </c>
      <c r="B133" s="1075" t="s">
        <v>606</v>
      </c>
      <c r="C133" s="1078">
        <v>120</v>
      </c>
      <c r="D133" s="1076" t="s">
        <v>103</v>
      </c>
      <c r="E133" s="1079">
        <v>800</v>
      </c>
      <c r="F133" s="1055">
        <f t="shared" si="5"/>
        <v>96000</v>
      </c>
      <c r="G133" s="1056" t="s">
        <v>2949</v>
      </c>
      <c r="H133" s="1072">
        <v>120</v>
      </c>
      <c r="I133" s="1072">
        <v>120</v>
      </c>
      <c r="J133" s="97"/>
      <c r="K133" s="97"/>
      <c r="L133" s="97">
        <f t="shared" si="6"/>
        <v>0</v>
      </c>
      <c r="M133" s="97"/>
      <c r="N133" s="97"/>
      <c r="O133" s="97"/>
      <c r="P133" s="97">
        <f t="shared" si="7"/>
        <v>0</v>
      </c>
      <c r="Q133" s="97"/>
      <c r="R133" s="97"/>
      <c r="S133" s="97"/>
      <c r="T133" s="97">
        <f t="shared" si="8"/>
        <v>0</v>
      </c>
      <c r="U133" s="97"/>
      <c r="V133" s="97"/>
      <c r="W133" s="97"/>
      <c r="X133" s="991"/>
    </row>
    <row r="134" spans="1:24" ht="45">
      <c r="A134" s="100">
        <v>89</v>
      </c>
      <c r="B134" s="1080" t="s">
        <v>4030</v>
      </c>
      <c r="C134" s="1072">
        <v>120</v>
      </c>
      <c r="D134" s="1070" t="s">
        <v>103</v>
      </c>
      <c r="E134" s="1071">
        <v>1200</v>
      </c>
      <c r="F134" s="130">
        <f t="shared" si="5"/>
        <v>144000</v>
      </c>
      <c r="G134" s="1051" t="s">
        <v>342</v>
      </c>
      <c r="H134" s="1072">
        <v>120</v>
      </c>
      <c r="I134" s="1072">
        <v>120</v>
      </c>
      <c r="J134" s="97"/>
      <c r="K134" s="97"/>
      <c r="L134" s="97">
        <f t="shared" si="6"/>
        <v>0</v>
      </c>
      <c r="M134" s="97"/>
      <c r="N134" s="97"/>
      <c r="O134" s="97"/>
      <c r="P134" s="97">
        <f t="shared" si="7"/>
        <v>0</v>
      </c>
      <c r="Q134" s="97"/>
      <c r="R134" s="97"/>
      <c r="S134" s="97"/>
      <c r="T134" s="97">
        <f t="shared" si="8"/>
        <v>0</v>
      </c>
      <c r="U134" s="97"/>
      <c r="V134" s="97"/>
      <c r="W134" s="97"/>
      <c r="X134" s="991"/>
    </row>
    <row r="135" spans="1:24" ht="30">
      <c r="A135" s="100">
        <v>90</v>
      </c>
      <c r="B135" s="1080" t="s">
        <v>4031</v>
      </c>
      <c r="C135" s="1070">
        <v>20</v>
      </c>
      <c r="D135" s="1070" t="s">
        <v>103</v>
      </c>
      <c r="E135" s="1071">
        <v>1100</v>
      </c>
      <c r="F135" s="130">
        <f t="shared" si="5"/>
        <v>22000</v>
      </c>
      <c r="G135" s="1051" t="s">
        <v>342</v>
      </c>
      <c r="H135" s="1070">
        <v>20</v>
      </c>
      <c r="I135" s="1070">
        <v>20</v>
      </c>
      <c r="J135" s="97"/>
      <c r="K135" s="97"/>
      <c r="L135" s="97">
        <f t="shared" si="6"/>
        <v>0</v>
      </c>
      <c r="M135" s="97"/>
      <c r="N135" s="97"/>
      <c r="O135" s="97"/>
      <c r="P135" s="97">
        <f t="shared" si="7"/>
        <v>0</v>
      </c>
      <c r="Q135" s="97"/>
      <c r="R135" s="97"/>
      <c r="S135" s="97"/>
      <c r="T135" s="97">
        <f t="shared" si="8"/>
        <v>0</v>
      </c>
      <c r="U135" s="97"/>
      <c r="V135" s="97"/>
      <c r="W135" s="97"/>
      <c r="X135" s="991"/>
    </row>
    <row r="136" spans="1:24" ht="30">
      <c r="A136" s="100">
        <v>91</v>
      </c>
      <c r="B136" s="1080" t="s">
        <v>4032</v>
      </c>
      <c r="C136" s="1070">
        <v>20</v>
      </c>
      <c r="D136" s="1070" t="s">
        <v>103</v>
      </c>
      <c r="E136" s="1073">
        <v>1100</v>
      </c>
      <c r="F136" s="130">
        <f t="shared" si="5"/>
        <v>22000</v>
      </c>
      <c r="G136" s="1051" t="s">
        <v>342</v>
      </c>
      <c r="H136" s="1070">
        <v>20</v>
      </c>
      <c r="I136" s="1070">
        <v>20</v>
      </c>
      <c r="J136" s="97"/>
      <c r="K136" s="97"/>
      <c r="L136" s="97">
        <f t="shared" si="6"/>
        <v>0</v>
      </c>
      <c r="M136" s="97"/>
      <c r="N136" s="97"/>
      <c r="O136" s="97"/>
      <c r="P136" s="97">
        <f t="shared" si="7"/>
        <v>0</v>
      </c>
      <c r="Q136" s="97"/>
      <c r="R136" s="97"/>
      <c r="S136" s="97"/>
      <c r="T136" s="97">
        <f t="shared" si="8"/>
        <v>0</v>
      </c>
      <c r="U136" s="97"/>
      <c r="V136" s="97"/>
      <c r="W136" s="97"/>
      <c r="X136" s="991"/>
    </row>
    <row r="137" spans="1:24" ht="30">
      <c r="A137" s="100">
        <v>92</v>
      </c>
      <c r="B137" s="1080" t="s">
        <v>4033</v>
      </c>
      <c r="C137" s="1070">
        <v>20</v>
      </c>
      <c r="D137" s="1070" t="s">
        <v>103</v>
      </c>
      <c r="E137" s="1071">
        <v>1100</v>
      </c>
      <c r="F137" s="130">
        <f t="shared" si="5"/>
        <v>22000</v>
      </c>
      <c r="G137" s="1051" t="s">
        <v>342</v>
      </c>
      <c r="H137" s="1070">
        <v>20</v>
      </c>
      <c r="I137" s="1070">
        <v>20</v>
      </c>
      <c r="J137" s="97"/>
      <c r="K137" s="97"/>
      <c r="L137" s="97">
        <f t="shared" si="6"/>
        <v>0</v>
      </c>
      <c r="M137" s="97"/>
      <c r="N137" s="97"/>
      <c r="O137" s="97"/>
      <c r="P137" s="97">
        <f t="shared" si="7"/>
        <v>0</v>
      </c>
      <c r="Q137" s="97"/>
      <c r="R137" s="97"/>
      <c r="S137" s="97"/>
      <c r="T137" s="97">
        <f t="shared" si="8"/>
        <v>0</v>
      </c>
      <c r="U137" s="97"/>
      <c r="V137" s="97"/>
      <c r="W137" s="97"/>
      <c r="X137" s="991"/>
    </row>
    <row r="138" spans="1:24" ht="15">
      <c r="A138" s="100">
        <v>93</v>
      </c>
      <c r="B138" s="1069" t="s">
        <v>4034</v>
      </c>
      <c r="C138" s="1070">
        <v>55</v>
      </c>
      <c r="D138" s="1070" t="s">
        <v>103</v>
      </c>
      <c r="E138" s="1071">
        <v>500</v>
      </c>
      <c r="F138" s="130">
        <f t="shared" si="5"/>
        <v>27500</v>
      </c>
      <c r="G138" s="1051" t="s">
        <v>342</v>
      </c>
      <c r="H138" s="1070">
        <v>55</v>
      </c>
      <c r="I138" s="1070">
        <v>55</v>
      </c>
      <c r="J138" s="97"/>
      <c r="K138" s="97"/>
      <c r="L138" s="97">
        <f t="shared" si="6"/>
        <v>0</v>
      </c>
      <c r="M138" s="97"/>
      <c r="N138" s="97"/>
      <c r="O138" s="97"/>
      <c r="P138" s="97">
        <f t="shared" si="7"/>
        <v>0</v>
      </c>
      <c r="Q138" s="97"/>
      <c r="R138" s="97"/>
      <c r="S138" s="97"/>
      <c r="T138" s="97">
        <f t="shared" si="8"/>
        <v>0</v>
      </c>
      <c r="U138" s="97"/>
      <c r="V138" s="97"/>
      <c r="W138" s="97"/>
      <c r="X138" s="991"/>
    </row>
    <row r="139" spans="1:24" ht="15">
      <c r="A139" s="100">
        <v>94</v>
      </c>
      <c r="B139" s="1069" t="s">
        <v>4035</v>
      </c>
      <c r="C139" s="1070">
        <v>5</v>
      </c>
      <c r="D139" s="1070" t="s">
        <v>103</v>
      </c>
      <c r="E139" s="1071">
        <v>500</v>
      </c>
      <c r="F139" s="130">
        <f t="shared" si="5"/>
        <v>2500</v>
      </c>
      <c r="G139" s="1051" t="s">
        <v>342</v>
      </c>
      <c r="H139" s="1070">
        <v>5</v>
      </c>
      <c r="I139" s="1070">
        <v>5</v>
      </c>
      <c r="J139" s="97"/>
      <c r="K139" s="97"/>
      <c r="L139" s="97">
        <f t="shared" si="6"/>
        <v>0</v>
      </c>
      <c r="M139" s="97"/>
      <c r="N139" s="97"/>
      <c r="O139" s="97"/>
      <c r="P139" s="97">
        <f t="shared" si="7"/>
        <v>0</v>
      </c>
      <c r="Q139" s="97"/>
      <c r="R139" s="97"/>
      <c r="S139" s="97"/>
      <c r="T139" s="97">
        <f t="shared" si="8"/>
        <v>0</v>
      </c>
      <c r="U139" s="97"/>
      <c r="V139" s="97"/>
      <c r="W139" s="97"/>
      <c r="X139" s="991"/>
    </row>
    <row r="140" spans="1:24" ht="15">
      <c r="A140" s="100">
        <v>95</v>
      </c>
      <c r="B140" s="1074" t="s">
        <v>4036</v>
      </c>
      <c r="C140" s="1070">
        <v>5</v>
      </c>
      <c r="D140" s="1070" t="s">
        <v>103</v>
      </c>
      <c r="E140" s="1071">
        <v>500</v>
      </c>
      <c r="F140" s="130">
        <f t="shared" si="5"/>
        <v>2500</v>
      </c>
      <c r="G140" s="1051" t="s">
        <v>342</v>
      </c>
      <c r="H140" s="1070">
        <v>5</v>
      </c>
      <c r="I140" s="1070">
        <v>5</v>
      </c>
      <c r="J140" s="97"/>
      <c r="K140" s="97"/>
      <c r="L140" s="97">
        <f t="shared" si="6"/>
        <v>0</v>
      </c>
      <c r="M140" s="97"/>
      <c r="N140" s="97"/>
      <c r="O140" s="97"/>
      <c r="P140" s="97">
        <f t="shared" si="7"/>
        <v>0</v>
      </c>
      <c r="Q140" s="97"/>
      <c r="R140" s="97"/>
      <c r="S140" s="97"/>
      <c r="T140" s="97">
        <f t="shared" si="8"/>
        <v>0</v>
      </c>
      <c r="U140" s="97"/>
      <c r="V140" s="97"/>
      <c r="W140" s="97"/>
      <c r="X140" s="991"/>
    </row>
    <row r="141" spans="1:24" ht="15">
      <c r="A141" s="100">
        <v>96</v>
      </c>
      <c r="B141" s="1074" t="s">
        <v>4037</v>
      </c>
      <c r="C141" s="1070">
        <v>5</v>
      </c>
      <c r="D141" s="1070" t="s">
        <v>103</v>
      </c>
      <c r="E141" s="1071">
        <v>500</v>
      </c>
      <c r="F141" s="130">
        <f t="shared" si="5"/>
        <v>2500</v>
      </c>
      <c r="G141" s="1051" t="s">
        <v>342</v>
      </c>
      <c r="H141" s="1070">
        <v>5</v>
      </c>
      <c r="I141" s="1070">
        <v>5</v>
      </c>
      <c r="J141" s="97"/>
      <c r="K141" s="97"/>
      <c r="L141" s="97">
        <f t="shared" si="6"/>
        <v>0</v>
      </c>
      <c r="M141" s="97"/>
      <c r="N141" s="97"/>
      <c r="O141" s="97"/>
      <c r="P141" s="97">
        <f t="shared" si="7"/>
        <v>0</v>
      </c>
      <c r="Q141" s="97"/>
      <c r="R141" s="97"/>
      <c r="S141" s="97"/>
      <c r="T141" s="97">
        <f t="shared" si="8"/>
        <v>0</v>
      </c>
      <c r="U141" s="97"/>
      <c r="V141" s="97"/>
      <c r="W141" s="97"/>
      <c r="X141" s="991"/>
    </row>
    <row r="142" spans="1:24" ht="15">
      <c r="A142" s="100">
        <v>97</v>
      </c>
      <c r="B142" s="1069" t="s">
        <v>4038</v>
      </c>
      <c r="C142" s="1070">
        <v>80</v>
      </c>
      <c r="D142" s="1070" t="s">
        <v>103</v>
      </c>
      <c r="E142" s="1071">
        <v>3650</v>
      </c>
      <c r="F142" s="130">
        <f t="shared" si="5"/>
        <v>292000</v>
      </c>
      <c r="G142" s="1051" t="s">
        <v>342</v>
      </c>
      <c r="H142" s="1070">
        <v>80</v>
      </c>
      <c r="I142" s="1070">
        <v>80</v>
      </c>
      <c r="J142" s="97"/>
      <c r="K142" s="97"/>
      <c r="L142" s="97">
        <f t="shared" si="6"/>
        <v>0</v>
      </c>
      <c r="M142" s="97"/>
      <c r="N142" s="97"/>
      <c r="O142" s="97"/>
      <c r="P142" s="97">
        <f t="shared" si="7"/>
        <v>0</v>
      </c>
      <c r="Q142" s="97"/>
      <c r="R142" s="97"/>
      <c r="S142" s="97"/>
      <c r="T142" s="97">
        <f t="shared" si="8"/>
        <v>0</v>
      </c>
      <c r="U142" s="97"/>
      <c r="V142" s="97"/>
      <c r="W142" s="97"/>
      <c r="X142" s="991"/>
    </row>
    <row r="143" spans="1:24" ht="15">
      <c r="A143" s="100">
        <v>98</v>
      </c>
      <c r="B143" s="1081" t="s">
        <v>4039</v>
      </c>
      <c r="C143" s="1082">
        <v>63</v>
      </c>
      <c r="D143" s="1082" t="s">
        <v>103</v>
      </c>
      <c r="E143" s="1083">
        <v>7000</v>
      </c>
      <c r="F143" s="130">
        <f t="shared" si="5"/>
        <v>441000</v>
      </c>
      <c r="G143" s="1051" t="s">
        <v>342</v>
      </c>
      <c r="H143" s="1082">
        <v>63</v>
      </c>
      <c r="I143" s="1082">
        <v>63</v>
      </c>
      <c r="J143" s="97"/>
      <c r="K143" s="97"/>
      <c r="L143" s="97">
        <f t="shared" si="6"/>
        <v>0</v>
      </c>
      <c r="M143" s="97"/>
      <c r="N143" s="97"/>
      <c r="O143" s="97"/>
      <c r="P143" s="97">
        <f t="shared" si="7"/>
        <v>0</v>
      </c>
      <c r="Q143" s="97"/>
      <c r="R143" s="97"/>
      <c r="S143" s="97"/>
      <c r="T143" s="97">
        <f t="shared" si="8"/>
        <v>0</v>
      </c>
      <c r="U143" s="97"/>
      <c r="V143" s="97"/>
      <c r="W143" s="97"/>
      <c r="X143" s="991"/>
    </row>
    <row r="144" spans="1:24" ht="15">
      <c r="A144" s="100">
        <v>99</v>
      </c>
      <c r="B144" s="1084" t="s">
        <v>2953</v>
      </c>
      <c r="C144" s="1085">
        <v>70</v>
      </c>
      <c r="D144" s="1085" t="s">
        <v>103</v>
      </c>
      <c r="E144" s="1086">
        <v>8800</v>
      </c>
      <c r="F144" s="130">
        <f t="shared" si="5"/>
        <v>616000</v>
      </c>
      <c r="G144" s="1051" t="s">
        <v>342</v>
      </c>
      <c r="H144" s="1085">
        <v>70</v>
      </c>
      <c r="I144" s="1085">
        <v>70</v>
      </c>
      <c r="J144" s="97"/>
      <c r="K144" s="97"/>
      <c r="L144" s="97">
        <f t="shared" si="6"/>
        <v>0</v>
      </c>
      <c r="M144" s="97"/>
      <c r="N144" s="97"/>
      <c r="O144" s="97"/>
      <c r="P144" s="97">
        <f t="shared" si="7"/>
        <v>0</v>
      </c>
      <c r="Q144" s="97"/>
      <c r="R144" s="97"/>
      <c r="S144" s="97"/>
      <c r="T144" s="97">
        <f t="shared" si="8"/>
        <v>0</v>
      </c>
      <c r="U144" s="97"/>
      <c r="V144" s="97"/>
      <c r="W144" s="97"/>
      <c r="X144" s="991"/>
    </row>
    <row r="145" spans="1:24" ht="15">
      <c r="A145" s="100">
        <v>100</v>
      </c>
      <c r="B145" s="1084" t="s">
        <v>4040</v>
      </c>
      <c r="C145" s="1085">
        <v>30</v>
      </c>
      <c r="D145" s="1085" t="s">
        <v>103</v>
      </c>
      <c r="E145" s="1086">
        <v>8600</v>
      </c>
      <c r="F145" s="130">
        <f t="shared" si="5"/>
        <v>258000</v>
      </c>
      <c r="G145" s="1051" t="s">
        <v>342</v>
      </c>
      <c r="H145" s="1085">
        <v>30</v>
      </c>
      <c r="I145" s="1085">
        <v>30</v>
      </c>
      <c r="J145" s="97"/>
      <c r="K145" s="97"/>
      <c r="L145" s="97">
        <f t="shared" si="6"/>
        <v>0</v>
      </c>
      <c r="M145" s="97"/>
      <c r="N145" s="97"/>
      <c r="O145" s="97"/>
      <c r="P145" s="97">
        <f t="shared" si="7"/>
        <v>0</v>
      </c>
      <c r="Q145" s="97"/>
      <c r="R145" s="97"/>
      <c r="S145" s="97"/>
      <c r="T145" s="97">
        <f t="shared" si="8"/>
        <v>0</v>
      </c>
      <c r="U145" s="97"/>
      <c r="V145" s="97"/>
      <c r="W145" s="97"/>
      <c r="X145" s="991"/>
    </row>
    <row r="146" spans="1:24" ht="15">
      <c r="A146" s="100">
        <v>101</v>
      </c>
      <c r="B146" s="1084" t="s">
        <v>2955</v>
      </c>
      <c r="C146" s="1085">
        <v>50</v>
      </c>
      <c r="D146" s="1085" t="s">
        <v>103</v>
      </c>
      <c r="E146" s="1086">
        <v>7800</v>
      </c>
      <c r="F146" s="130">
        <f t="shared" si="5"/>
        <v>390000</v>
      </c>
      <c r="G146" s="1051" t="s">
        <v>342</v>
      </c>
      <c r="H146" s="1085">
        <v>50</v>
      </c>
      <c r="I146" s="1085">
        <v>50</v>
      </c>
      <c r="J146" s="97"/>
      <c r="K146" s="97"/>
      <c r="L146" s="97">
        <f t="shared" si="6"/>
        <v>0</v>
      </c>
      <c r="M146" s="97"/>
      <c r="N146" s="97"/>
      <c r="O146" s="97"/>
      <c r="P146" s="97">
        <f t="shared" si="7"/>
        <v>0</v>
      </c>
      <c r="Q146" s="97"/>
      <c r="R146" s="97"/>
      <c r="S146" s="97"/>
      <c r="T146" s="97">
        <f t="shared" si="8"/>
        <v>0</v>
      </c>
      <c r="U146" s="97"/>
      <c r="V146" s="97"/>
      <c r="W146" s="97"/>
      <c r="X146" s="991"/>
    </row>
    <row r="147" spans="1:24" ht="15">
      <c r="A147" s="100">
        <v>102</v>
      </c>
      <c r="B147" s="1084" t="s">
        <v>4041</v>
      </c>
      <c r="C147" s="1085">
        <v>30</v>
      </c>
      <c r="D147" s="1085" t="s">
        <v>103</v>
      </c>
      <c r="E147" s="1086">
        <v>3000</v>
      </c>
      <c r="F147" s="130">
        <f t="shared" si="5"/>
        <v>90000</v>
      </c>
      <c r="G147" s="1051" t="s">
        <v>342</v>
      </c>
      <c r="H147" s="1085">
        <v>30</v>
      </c>
      <c r="I147" s="1085">
        <v>30</v>
      </c>
      <c r="J147" s="97"/>
      <c r="K147" s="97"/>
      <c r="L147" s="97">
        <f t="shared" si="6"/>
        <v>0</v>
      </c>
      <c r="M147" s="97"/>
      <c r="N147" s="97"/>
      <c r="O147" s="97"/>
      <c r="P147" s="97">
        <f t="shared" si="7"/>
        <v>0</v>
      </c>
      <c r="Q147" s="97"/>
      <c r="R147" s="97"/>
      <c r="S147" s="97"/>
      <c r="T147" s="97">
        <f t="shared" si="8"/>
        <v>0</v>
      </c>
      <c r="U147" s="97"/>
      <c r="V147" s="97"/>
      <c r="W147" s="97"/>
      <c r="X147" s="991"/>
    </row>
    <row r="148" spans="1:24" ht="15">
      <c r="A148" s="100">
        <v>103</v>
      </c>
      <c r="B148" s="1084" t="s">
        <v>4042</v>
      </c>
      <c r="C148" s="1085">
        <v>200</v>
      </c>
      <c r="D148" s="1085" t="s">
        <v>103</v>
      </c>
      <c r="E148" s="1086">
        <v>2000</v>
      </c>
      <c r="F148" s="130">
        <f t="shared" si="5"/>
        <v>400000</v>
      </c>
      <c r="G148" s="1051" t="s">
        <v>342</v>
      </c>
      <c r="H148" s="1085">
        <v>200</v>
      </c>
      <c r="I148" s="1085">
        <v>200</v>
      </c>
      <c r="J148" s="97"/>
      <c r="K148" s="97"/>
      <c r="L148" s="97">
        <f t="shared" si="6"/>
        <v>0</v>
      </c>
      <c r="M148" s="97"/>
      <c r="N148" s="97"/>
      <c r="O148" s="97"/>
      <c r="P148" s="97">
        <f t="shared" si="7"/>
        <v>0</v>
      </c>
      <c r="Q148" s="97"/>
      <c r="R148" s="97"/>
      <c r="S148" s="97"/>
      <c r="T148" s="97">
        <f t="shared" si="8"/>
        <v>0</v>
      </c>
      <c r="U148" s="97"/>
      <c r="V148" s="97"/>
      <c r="W148" s="97"/>
      <c r="X148" s="991"/>
    </row>
    <row r="149" spans="1:24" ht="15">
      <c r="A149" s="100">
        <v>104</v>
      </c>
      <c r="B149" s="1084" t="s">
        <v>4043</v>
      </c>
      <c r="C149" s="1085">
        <v>2</v>
      </c>
      <c r="D149" s="1085" t="s">
        <v>103</v>
      </c>
      <c r="E149" s="1086">
        <v>5000</v>
      </c>
      <c r="F149" s="130">
        <f t="shared" si="5"/>
        <v>10000</v>
      </c>
      <c r="G149" s="1051" t="s">
        <v>342</v>
      </c>
      <c r="H149" s="1085">
        <v>2</v>
      </c>
      <c r="I149" s="1085">
        <v>2</v>
      </c>
      <c r="J149" s="97"/>
      <c r="K149" s="97"/>
      <c r="L149" s="97">
        <f t="shared" si="6"/>
        <v>0</v>
      </c>
      <c r="M149" s="97"/>
      <c r="N149" s="97"/>
      <c r="O149" s="97"/>
      <c r="P149" s="97">
        <f t="shared" si="7"/>
        <v>0</v>
      </c>
      <c r="Q149" s="97"/>
      <c r="R149" s="97"/>
      <c r="S149" s="97"/>
      <c r="T149" s="97">
        <f t="shared" si="8"/>
        <v>0</v>
      </c>
      <c r="U149" s="97"/>
      <c r="V149" s="97"/>
      <c r="W149" s="97"/>
      <c r="X149" s="991"/>
    </row>
    <row r="150" spans="1:24" ht="15">
      <c r="A150" s="100">
        <v>105</v>
      </c>
      <c r="B150" s="1084" t="s">
        <v>4044</v>
      </c>
      <c r="C150" s="1085">
        <v>50</v>
      </c>
      <c r="D150" s="1085" t="s">
        <v>103</v>
      </c>
      <c r="E150" s="1086">
        <v>6500</v>
      </c>
      <c r="F150" s="130">
        <f t="shared" si="5"/>
        <v>325000</v>
      </c>
      <c r="G150" s="1051" t="s">
        <v>342</v>
      </c>
      <c r="H150" s="1085">
        <v>50</v>
      </c>
      <c r="I150" s="1085">
        <v>50</v>
      </c>
      <c r="J150" s="97"/>
      <c r="K150" s="97"/>
      <c r="L150" s="97">
        <f t="shared" si="6"/>
        <v>0</v>
      </c>
      <c r="M150" s="97"/>
      <c r="N150" s="97"/>
      <c r="O150" s="97"/>
      <c r="P150" s="97">
        <f t="shared" si="7"/>
        <v>0</v>
      </c>
      <c r="Q150" s="97"/>
      <c r="R150" s="97"/>
      <c r="S150" s="97"/>
      <c r="T150" s="97">
        <f t="shared" si="8"/>
        <v>0</v>
      </c>
      <c r="U150" s="97"/>
      <c r="V150" s="97"/>
      <c r="W150" s="97"/>
      <c r="X150" s="991"/>
    </row>
    <row r="151" spans="1:24" ht="15">
      <c r="A151" s="100">
        <v>106</v>
      </c>
      <c r="B151" s="101" t="s">
        <v>1347</v>
      </c>
      <c r="C151" s="97">
        <v>2</v>
      </c>
      <c r="D151" s="97" t="s">
        <v>103</v>
      </c>
      <c r="E151" s="130">
        <v>6160</v>
      </c>
      <c r="F151" s="130">
        <f t="shared" si="5"/>
        <v>12320</v>
      </c>
      <c r="G151" s="1051" t="s">
        <v>342</v>
      </c>
      <c r="H151" s="97">
        <v>2</v>
      </c>
      <c r="I151" s="97">
        <v>2</v>
      </c>
      <c r="J151" s="97"/>
      <c r="K151" s="97"/>
      <c r="L151" s="97">
        <f t="shared" si="6"/>
        <v>0</v>
      </c>
      <c r="M151" s="97"/>
      <c r="N151" s="97"/>
      <c r="O151" s="97"/>
      <c r="P151" s="97">
        <f t="shared" si="7"/>
        <v>0</v>
      </c>
      <c r="Q151" s="97"/>
      <c r="R151" s="97"/>
      <c r="S151" s="97"/>
      <c r="T151" s="97">
        <f t="shared" si="8"/>
        <v>0</v>
      </c>
      <c r="U151" s="97"/>
      <c r="V151" s="97"/>
      <c r="W151" s="97"/>
      <c r="X151" s="991"/>
    </row>
    <row r="152" spans="1:24" ht="30">
      <c r="A152" s="100">
        <v>107</v>
      </c>
      <c r="B152" s="101" t="s">
        <v>1338</v>
      </c>
      <c r="C152" s="97">
        <v>5</v>
      </c>
      <c r="D152" s="97" t="s">
        <v>103</v>
      </c>
      <c r="E152" s="130">
        <v>3500</v>
      </c>
      <c r="F152" s="130">
        <f t="shared" si="5"/>
        <v>17500</v>
      </c>
      <c r="G152" s="1051" t="s">
        <v>342</v>
      </c>
      <c r="H152" s="97">
        <v>5</v>
      </c>
      <c r="I152" s="97">
        <v>5</v>
      </c>
      <c r="J152" s="97"/>
      <c r="K152" s="97"/>
      <c r="L152" s="97">
        <f t="shared" si="6"/>
        <v>0</v>
      </c>
      <c r="M152" s="97"/>
      <c r="N152" s="97"/>
      <c r="O152" s="97"/>
      <c r="P152" s="97">
        <f t="shared" si="7"/>
        <v>0</v>
      </c>
      <c r="Q152" s="97"/>
      <c r="R152" s="97"/>
      <c r="S152" s="97"/>
      <c r="T152" s="97">
        <f t="shared" si="8"/>
        <v>0</v>
      </c>
      <c r="U152" s="97"/>
      <c r="V152" s="97"/>
      <c r="W152" s="97"/>
      <c r="X152" s="991"/>
    </row>
    <row r="153" spans="1:24" ht="30">
      <c r="A153" s="100">
        <v>108</v>
      </c>
      <c r="B153" s="101" t="s">
        <v>1340</v>
      </c>
      <c r="C153" s="97">
        <v>2</v>
      </c>
      <c r="D153" s="97" t="s">
        <v>103</v>
      </c>
      <c r="E153" s="130">
        <v>3500</v>
      </c>
      <c r="F153" s="130">
        <f t="shared" si="5"/>
        <v>7000</v>
      </c>
      <c r="G153" s="1051" t="s">
        <v>342</v>
      </c>
      <c r="H153" s="97">
        <v>2</v>
      </c>
      <c r="I153" s="97">
        <v>2</v>
      </c>
      <c r="J153" s="97"/>
      <c r="K153" s="97"/>
      <c r="L153" s="97">
        <f t="shared" si="6"/>
        <v>0</v>
      </c>
      <c r="M153" s="97"/>
      <c r="N153" s="97"/>
      <c r="O153" s="97"/>
      <c r="P153" s="97">
        <f t="shared" si="7"/>
        <v>0</v>
      </c>
      <c r="Q153" s="97"/>
      <c r="R153" s="97"/>
      <c r="S153" s="97"/>
      <c r="T153" s="97">
        <f t="shared" si="8"/>
        <v>0</v>
      </c>
      <c r="U153" s="97"/>
      <c r="V153" s="97"/>
      <c r="W153" s="97"/>
      <c r="X153" s="991"/>
    </row>
    <row r="154" spans="1:24" ht="30">
      <c r="A154" s="100">
        <v>109</v>
      </c>
      <c r="B154" s="101" t="s">
        <v>1342</v>
      </c>
      <c r="C154" s="97">
        <v>2</v>
      </c>
      <c r="D154" s="97" t="s">
        <v>103</v>
      </c>
      <c r="E154" s="130">
        <v>3500</v>
      </c>
      <c r="F154" s="130">
        <f t="shared" si="5"/>
        <v>7000</v>
      </c>
      <c r="G154" s="1051" t="s">
        <v>342</v>
      </c>
      <c r="H154" s="97">
        <v>2</v>
      </c>
      <c r="I154" s="97">
        <v>2</v>
      </c>
      <c r="J154" s="97"/>
      <c r="K154" s="97"/>
      <c r="L154" s="97">
        <f t="shared" si="6"/>
        <v>0</v>
      </c>
      <c r="M154" s="97"/>
      <c r="N154" s="97"/>
      <c r="O154" s="97"/>
      <c r="P154" s="97">
        <f t="shared" si="7"/>
        <v>0</v>
      </c>
      <c r="Q154" s="97"/>
      <c r="R154" s="97"/>
      <c r="S154" s="97"/>
      <c r="T154" s="97">
        <f t="shared" si="8"/>
        <v>0</v>
      </c>
      <c r="U154" s="97"/>
      <c r="V154" s="97"/>
      <c r="W154" s="97"/>
      <c r="X154" s="991"/>
    </row>
    <row r="155" spans="1:24" ht="30">
      <c r="A155" s="100">
        <v>110</v>
      </c>
      <c r="B155" s="101" t="s">
        <v>1344</v>
      </c>
      <c r="C155" s="97">
        <v>2</v>
      </c>
      <c r="D155" s="97" t="s">
        <v>103</v>
      </c>
      <c r="E155" s="130">
        <v>3500</v>
      </c>
      <c r="F155" s="130">
        <f t="shared" si="5"/>
        <v>7000</v>
      </c>
      <c r="G155" s="1051" t="s">
        <v>342</v>
      </c>
      <c r="H155" s="97">
        <v>2</v>
      </c>
      <c r="I155" s="97">
        <v>2</v>
      </c>
      <c r="J155" s="97"/>
      <c r="K155" s="97"/>
      <c r="L155" s="97">
        <f t="shared" si="6"/>
        <v>0</v>
      </c>
      <c r="M155" s="97"/>
      <c r="N155" s="97"/>
      <c r="O155" s="97"/>
      <c r="P155" s="97">
        <f t="shared" si="7"/>
        <v>0</v>
      </c>
      <c r="Q155" s="97"/>
      <c r="R155" s="97"/>
      <c r="S155" s="97"/>
      <c r="T155" s="97">
        <f t="shared" si="8"/>
        <v>0</v>
      </c>
      <c r="U155" s="97"/>
      <c r="V155" s="97"/>
      <c r="W155" s="97"/>
      <c r="X155" s="991"/>
    </row>
    <row r="156" spans="1:24" ht="15">
      <c r="A156" s="100">
        <v>111</v>
      </c>
      <c r="B156" s="101" t="s">
        <v>740</v>
      </c>
      <c r="C156" s="97">
        <v>2</v>
      </c>
      <c r="D156" s="97" t="s">
        <v>103</v>
      </c>
      <c r="E156" s="130">
        <v>8360</v>
      </c>
      <c r="F156" s="130">
        <f t="shared" si="5"/>
        <v>16720</v>
      </c>
      <c r="G156" s="1051" t="s">
        <v>342</v>
      </c>
      <c r="H156" s="97">
        <v>2</v>
      </c>
      <c r="I156" s="97">
        <v>2</v>
      </c>
      <c r="J156" s="97"/>
      <c r="K156" s="97"/>
      <c r="L156" s="97">
        <f t="shared" si="6"/>
        <v>0</v>
      </c>
      <c r="M156" s="97"/>
      <c r="N156" s="97"/>
      <c r="O156" s="97"/>
      <c r="P156" s="97">
        <f t="shared" si="7"/>
        <v>0</v>
      </c>
      <c r="Q156" s="97"/>
      <c r="R156" s="97"/>
      <c r="S156" s="97"/>
      <c r="T156" s="97">
        <f t="shared" si="8"/>
        <v>0</v>
      </c>
      <c r="U156" s="97"/>
      <c r="V156" s="97"/>
      <c r="W156" s="97"/>
      <c r="X156" s="991"/>
    </row>
    <row r="157" spans="1:24" ht="30">
      <c r="A157" s="100">
        <v>112</v>
      </c>
      <c r="B157" s="101" t="s">
        <v>3019</v>
      </c>
      <c r="C157" s="97">
        <v>20</v>
      </c>
      <c r="D157" s="97" t="s">
        <v>103</v>
      </c>
      <c r="E157" s="130">
        <v>1500</v>
      </c>
      <c r="F157" s="130">
        <f t="shared" si="5"/>
        <v>30000</v>
      </c>
      <c r="G157" s="1051" t="s">
        <v>342</v>
      </c>
      <c r="H157" s="97">
        <v>20</v>
      </c>
      <c r="I157" s="97">
        <v>20</v>
      </c>
      <c r="J157" s="97"/>
      <c r="K157" s="97"/>
      <c r="L157" s="97">
        <f t="shared" si="6"/>
        <v>0</v>
      </c>
      <c r="M157" s="97"/>
      <c r="N157" s="97"/>
      <c r="O157" s="97"/>
      <c r="P157" s="97">
        <f t="shared" si="7"/>
        <v>0</v>
      </c>
      <c r="Q157" s="97"/>
      <c r="R157" s="97"/>
      <c r="S157" s="97"/>
      <c r="T157" s="97">
        <f t="shared" si="8"/>
        <v>0</v>
      </c>
      <c r="U157" s="97"/>
      <c r="V157" s="97"/>
      <c r="W157" s="97"/>
      <c r="X157" s="991"/>
    </row>
    <row r="158" spans="1:24" ht="15">
      <c r="A158" s="100">
        <v>113</v>
      </c>
      <c r="B158" s="101" t="s">
        <v>741</v>
      </c>
      <c r="C158" s="97">
        <v>15</v>
      </c>
      <c r="D158" s="97" t="s">
        <v>103</v>
      </c>
      <c r="E158" s="130">
        <v>8800</v>
      </c>
      <c r="F158" s="130">
        <f t="shared" si="5"/>
        <v>132000</v>
      </c>
      <c r="G158" s="1051" t="s">
        <v>342</v>
      </c>
      <c r="H158" s="97">
        <v>15</v>
      </c>
      <c r="I158" s="97">
        <v>15</v>
      </c>
      <c r="J158" s="97"/>
      <c r="K158" s="97"/>
      <c r="L158" s="97">
        <f t="shared" si="6"/>
        <v>0</v>
      </c>
      <c r="M158" s="97"/>
      <c r="N158" s="97"/>
      <c r="O158" s="97"/>
      <c r="P158" s="97">
        <f t="shared" si="7"/>
        <v>0</v>
      </c>
      <c r="Q158" s="97"/>
      <c r="R158" s="97"/>
      <c r="S158" s="97"/>
      <c r="T158" s="97">
        <f t="shared" si="8"/>
        <v>0</v>
      </c>
      <c r="U158" s="97"/>
      <c r="V158" s="97"/>
      <c r="W158" s="97"/>
      <c r="X158" s="991"/>
    </row>
    <row r="159" spans="1:24" ht="15">
      <c r="A159" s="100"/>
      <c r="B159" s="1087" t="s">
        <v>343</v>
      </c>
      <c r="C159" s="103"/>
      <c r="D159" s="103"/>
      <c r="E159" s="1062"/>
      <c r="F159" s="131">
        <f>SUM(F46:F158)</f>
        <v>5118194</v>
      </c>
      <c r="G159" s="97"/>
      <c r="H159" s="103"/>
      <c r="I159" s="103"/>
      <c r="J159" s="97"/>
      <c r="K159" s="97"/>
      <c r="L159" s="97"/>
      <c r="M159" s="97"/>
      <c r="N159" s="97"/>
      <c r="O159" s="97"/>
      <c r="P159" s="97"/>
      <c r="Q159" s="97"/>
      <c r="R159" s="97"/>
      <c r="S159" s="97"/>
      <c r="T159" s="97"/>
      <c r="U159" s="97"/>
      <c r="V159" s="97"/>
      <c r="W159" s="97"/>
      <c r="X159" s="991"/>
    </row>
    <row r="160" spans="1:24" ht="15">
      <c r="A160" s="89"/>
      <c r="B160" s="1088" t="s">
        <v>345</v>
      </c>
      <c r="C160" s="109"/>
      <c r="D160" s="109"/>
      <c r="E160" s="1088"/>
      <c r="F160" s="133">
        <f>F43+F159</f>
        <v>31378694</v>
      </c>
      <c r="G160" s="89"/>
      <c r="H160" s="89"/>
      <c r="I160" s="89"/>
      <c r="J160" s="89"/>
      <c r="K160" s="89"/>
      <c r="L160" s="89"/>
      <c r="M160" s="89"/>
      <c r="N160" s="89"/>
      <c r="O160" s="89"/>
      <c r="P160" s="89"/>
      <c r="Q160" s="89"/>
      <c r="R160" s="89"/>
      <c r="S160" s="89"/>
      <c r="T160" s="89"/>
      <c r="U160" s="89"/>
      <c r="V160" s="89"/>
      <c r="W160" s="89"/>
      <c r="X160" s="991"/>
    </row>
    <row r="161" spans="1:24" ht="7.5" customHeight="1">
      <c r="A161" s="1041"/>
      <c r="B161" s="1041"/>
      <c r="C161" s="1042"/>
      <c r="D161" s="1042"/>
      <c r="E161" s="1045"/>
      <c r="F161" s="991"/>
      <c r="G161" s="991"/>
      <c r="H161" s="1042"/>
      <c r="I161" s="991"/>
      <c r="J161" s="991"/>
      <c r="K161" s="991"/>
      <c r="L161" s="991"/>
      <c r="M161" s="991"/>
      <c r="N161" s="991"/>
      <c r="O161" s="991"/>
      <c r="P161" s="991"/>
      <c r="Q161" s="991"/>
      <c r="R161" s="991"/>
      <c r="S161" s="991"/>
      <c r="T161" s="991"/>
      <c r="U161" s="991"/>
      <c r="V161" s="991"/>
      <c r="W161" s="991"/>
      <c r="X161" s="991"/>
    </row>
    <row r="162" spans="1:24" ht="15">
      <c r="A162" s="1041" t="s">
        <v>346</v>
      </c>
      <c r="B162" s="1041"/>
      <c r="C162" s="1494" t="s">
        <v>347</v>
      </c>
      <c r="D162" s="1451"/>
      <c r="E162" s="1451"/>
      <c r="G162" s="991"/>
      <c r="H162" s="1041" t="s">
        <v>4045</v>
      </c>
      <c r="J162" s="991"/>
      <c r="L162" s="991"/>
      <c r="M162" s="991"/>
      <c r="N162" s="991"/>
      <c r="P162" s="1495" t="s">
        <v>348</v>
      </c>
      <c r="Q162" s="1451"/>
      <c r="R162" s="991"/>
      <c r="S162" s="991"/>
      <c r="T162" s="991"/>
      <c r="U162" s="991"/>
      <c r="V162" s="991"/>
      <c r="W162" s="991"/>
    </row>
    <row r="163" spans="1:24" ht="10.5" customHeight="1">
      <c r="A163" s="1041"/>
      <c r="B163" s="1041"/>
      <c r="C163" s="1042"/>
      <c r="D163" s="1042"/>
      <c r="E163" s="1045"/>
      <c r="F163" s="991"/>
      <c r="G163" s="991"/>
      <c r="H163" s="1042"/>
      <c r="J163" s="991"/>
      <c r="L163" s="991"/>
      <c r="M163" s="991"/>
      <c r="N163" s="991"/>
      <c r="P163" s="991"/>
      <c r="Q163" s="991"/>
      <c r="R163" s="991"/>
      <c r="S163" s="991"/>
      <c r="T163" s="991"/>
      <c r="U163" s="991"/>
      <c r="V163" s="991"/>
      <c r="W163" s="991"/>
    </row>
    <row r="164" spans="1:24" ht="6" customHeight="1">
      <c r="A164" s="1041"/>
      <c r="B164" s="1041"/>
      <c r="C164" s="1042"/>
      <c r="D164" s="1042"/>
      <c r="E164" s="1045"/>
      <c r="F164" s="991"/>
      <c r="G164" s="991"/>
      <c r="H164" s="1042"/>
      <c r="J164" s="991"/>
      <c r="L164" s="991"/>
      <c r="M164" s="991"/>
      <c r="N164" s="991"/>
      <c r="P164" s="991"/>
      <c r="Q164" s="991"/>
      <c r="R164" s="991"/>
      <c r="S164" s="991"/>
      <c r="T164" s="991"/>
      <c r="U164" s="991"/>
      <c r="V164" s="991"/>
      <c r="W164" s="991"/>
    </row>
    <row r="165" spans="1:24">
      <c r="A165" s="1089" t="s">
        <v>349</v>
      </c>
      <c r="B165" s="1089"/>
      <c r="C165" s="1498" t="s">
        <v>4046</v>
      </c>
      <c r="D165" s="1451"/>
      <c r="E165" s="1451"/>
      <c r="F165" s="1451"/>
      <c r="G165" s="1451"/>
      <c r="H165" s="1089" t="s">
        <v>4047</v>
      </c>
      <c r="L165" s="991"/>
      <c r="M165" s="991"/>
      <c r="N165" s="991"/>
      <c r="P165" s="1499" t="s">
        <v>350</v>
      </c>
      <c r="Q165" s="1451"/>
      <c r="R165" s="1451"/>
      <c r="S165" s="1451"/>
      <c r="T165" s="1451"/>
      <c r="U165" s="1451"/>
      <c r="V165" s="1451"/>
      <c r="W165" s="1451"/>
    </row>
    <row r="166" spans="1:24" ht="15">
      <c r="A166" s="1041" t="s">
        <v>351</v>
      </c>
      <c r="B166" s="1041"/>
      <c r="C166" s="1494" t="s">
        <v>352</v>
      </c>
      <c r="D166" s="1451"/>
      <c r="E166" s="1451"/>
      <c r="F166" s="1451"/>
      <c r="G166" s="1451"/>
      <c r="H166" s="1" t="s">
        <v>4048</v>
      </c>
      <c r="J166" s="991"/>
      <c r="L166" s="991"/>
      <c r="M166" s="991"/>
      <c r="N166" s="991"/>
      <c r="P166" s="1495" t="s">
        <v>353</v>
      </c>
      <c r="Q166" s="1451"/>
      <c r="R166" s="1451"/>
      <c r="S166" s="1451"/>
      <c r="T166" s="1451"/>
      <c r="U166" s="1451"/>
      <c r="V166" s="991"/>
      <c r="W166" s="991"/>
    </row>
    <row r="167" spans="1:24" ht="12.75">
      <c r="A167" s="1090"/>
      <c r="B167" s="1090"/>
      <c r="C167" s="74"/>
      <c r="D167" s="74"/>
      <c r="E167" s="1043"/>
      <c r="H167" s="74"/>
    </row>
    <row r="168" spans="1:24" ht="12.75">
      <c r="A168" s="1090"/>
      <c r="B168" s="1090"/>
      <c r="C168" s="74"/>
      <c r="D168" s="74"/>
      <c r="E168" s="1043"/>
      <c r="H168" s="74"/>
    </row>
    <row r="169" spans="1:24" ht="12.75">
      <c r="A169" s="1090"/>
      <c r="B169" s="1090"/>
      <c r="C169" s="74"/>
      <c r="D169" s="74"/>
      <c r="E169" s="1043"/>
      <c r="H169" s="74"/>
    </row>
    <row r="170" spans="1:24" ht="12.75">
      <c r="A170" s="1090"/>
      <c r="B170" s="1090"/>
      <c r="C170" s="74"/>
      <c r="D170" s="74"/>
      <c r="E170" s="1043"/>
      <c r="H170" s="74"/>
    </row>
    <row r="171" spans="1:24" ht="12.75">
      <c r="A171" s="1090"/>
      <c r="B171" s="1090"/>
      <c r="C171" s="74"/>
      <c r="D171" s="74"/>
      <c r="E171" s="1043"/>
      <c r="H171" s="74"/>
    </row>
    <row r="172" spans="1:24" ht="12.75">
      <c r="A172" s="1090"/>
      <c r="B172" s="1090"/>
      <c r="C172" s="74"/>
      <c r="D172" s="74"/>
      <c r="E172" s="1043"/>
      <c r="H172" s="74"/>
    </row>
    <row r="173" spans="1:24" ht="12.75">
      <c r="A173" s="1090"/>
      <c r="B173" s="1090"/>
      <c r="C173" s="74"/>
      <c r="D173" s="74"/>
      <c r="E173" s="1043"/>
      <c r="H173" s="74"/>
    </row>
    <row r="174" spans="1:24" ht="12.75">
      <c r="A174" s="1090"/>
      <c r="B174" s="1090"/>
      <c r="C174" s="74"/>
      <c r="D174" s="74"/>
      <c r="E174" s="1043"/>
      <c r="H174" s="74"/>
    </row>
    <row r="175" spans="1:24" ht="12.75">
      <c r="A175" s="1090"/>
      <c r="B175" s="1090"/>
      <c r="C175" s="74"/>
      <c r="D175" s="74"/>
      <c r="E175" s="1043"/>
      <c r="H175" s="74"/>
    </row>
    <row r="176" spans="1:24" ht="12.75">
      <c r="A176" s="1090"/>
      <c r="B176" s="1090"/>
      <c r="C176" s="74"/>
      <c r="D176" s="74"/>
      <c r="E176" s="1043"/>
      <c r="H176" s="74"/>
    </row>
    <row r="177" spans="1:8" ht="12.75">
      <c r="A177" s="1090"/>
      <c r="B177" s="1090"/>
      <c r="C177" s="74"/>
      <c r="D177" s="74"/>
      <c r="E177" s="1043"/>
      <c r="H177" s="74"/>
    </row>
    <row r="178" spans="1:8" ht="12.75">
      <c r="A178" s="1090"/>
      <c r="B178" s="1090"/>
      <c r="C178" s="74"/>
      <c r="D178" s="74"/>
      <c r="E178" s="1043"/>
      <c r="H178" s="74"/>
    </row>
    <row r="179" spans="1:8" ht="12.75">
      <c r="A179" s="1090"/>
      <c r="B179" s="1090"/>
      <c r="C179" s="74"/>
      <c r="D179" s="74"/>
      <c r="E179" s="1043"/>
      <c r="H179" s="74"/>
    </row>
    <row r="180" spans="1:8" ht="12.75">
      <c r="A180" s="1090"/>
      <c r="B180" s="1090"/>
      <c r="C180" s="74"/>
      <c r="D180" s="74"/>
      <c r="E180" s="1043"/>
      <c r="H180" s="74"/>
    </row>
    <row r="181" spans="1:8" ht="12.75">
      <c r="A181" s="1090"/>
      <c r="B181" s="1090"/>
      <c r="C181" s="74"/>
      <c r="D181" s="74"/>
      <c r="E181" s="1043"/>
      <c r="H181" s="74"/>
    </row>
    <row r="182" spans="1:8" ht="12.75">
      <c r="A182" s="1090"/>
      <c r="B182" s="1090"/>
      <c r="C182" s="74"/>
      <c r="D182" s="74"/>
      <c r="E182" s="1043"/>
      <c r="H182" s="74"/>
    </row>
    <row r="183" spans="1:8" ht="12.75">
      <c r="A183" s="1090"/>
      <c r="B183" s="1090"/>
      <c r="C183" s="74"/>
      <c r="D183" s="74"/>
      <c r="E183" s="1043"/>
      <c r="H183" s="74"/>
    </row>
    <row r="184" spans="1:8" ht="12.75">
      <c r="A184" s="1090"/>
      <c r="B184" s="1090"/>
      <c r="C184" s="74"/>
      <c r="D184" s="74"/>
      <c r="E184" s="1043"/>
      <c r="H184" s="74"/>
    </row>
    <row r="185" spans="1:8" ht="12.75">
      <c r="A185" s="1090"/>
      <c r="B185" s="1090"/>
      <c r="C185" s="74"/>
      <c r="D185" s="74"/>
      <c r="E185" s="1043"/>
      <c r="H185" s="74"/>
    </row>
    <row r="186" spans="1:8" ht="12.75">
      <c r="A186" s="1090"/>
      <c r="B186" s="1090"/>
      <c r="C186" s="74"/>
      <c r="D186" s="74"/>
      <c r="E186" s="1043"/>
      <c r="H186" s="74"/>
    </row>
    <row r="187" spans="1:8" ht="12.75">
      <c r="A187" s="1090"/>
      <c r="B187" s="1090"/>
      <c r="C187" s="74"/>
      <c r="D187" s="74"/>
      <c r="E187" s="1043"/>
      <c r="H187" s="74"/>
    </row>
    <row r="188" spans="1:8" ht="12.75">
      <c r="A188" s="1090"/>
      <c r="B188" s="1090"/>
      <c r="C188" s="74"/>
      <c r="D188" s="74"/>
      <c r="E188" s="1043"/>
      <c r="H188" s="74"/>
    </row>
    <row r="189" spans="1:8" ht="12.75">
      <c r="A189" s="1090"/>
      <c r="B189" s="1090"/>
      <c r="C189" s="74"/>
      <c r="D189" s="74"/>
      <c r="E189" s="1043"/>
      <c r="H189" s="74"/>
    </row>
    <row r="190" spans="1:8" ht="12.75">
      <c r="A190" s="1090"/>
      <c r="B190" s="1090"/>
      <c r="C190" s="74"/>
      <c r="D190" s="74"/>
      <c r="E190" s="1043"/>
      <c r="H190" s="74"/>
    </row>
    <row r="191" spans="1:8" ht="12.75">
      <c r="A191" s="1090"/>
      <c r="B191" s="1090"/>
      <c r="C191" s="74"/>
      <c r="D191" s="74"/>
      <c r="E191" s="1043"/>
      <c r="H191" s="74"/>
    </row>
    <row r="192" spans="1:8" ht="12.75">
      <c r="A192" s="1090"/>
      <c r="B192" s="1090"/>
      <c r="C192" s="74"/>
      <c r="D192" s="74"/>
      <c r="E192" s="1043"/>
      <c r="H192" s="74"/>
    </row>
    <row r="193" spans="1:8" ht="12.75">
      <c r="A193" s="1090"/>
      <c r="B193" s="1090"/>
      <c r="C193" s="74"/>
      <c r="D193" s="74"/>
      <c r="E193" s="1043"/>
      <c r="H193" s="74"/>
    </row>
    <row r="194" spans="1:8" ht="12.75">
      <c r="A194" s="1090"/>
      <c r="B194" s="1090"/>
      <c r="C194" s="74"/>
      <c r="D194" s="74"/>
      <c r="E194" s="1043"/>
      <c r="H194" s="74"/>
    </row>
    <row r="195" spans="1:8" ht="12.75">
      <c r="A195" s="1090"/>
      <c r="B195" s="1090"/>
      <c r="C195" s="74"/>
      <c r="D195" s="74"/>
      <c r="E195" s="1043"/>
      <c r="H195" s="74"/>
    </row>
    <row r="196" spans="1:8" ht="12.75">
      <c r="A196" s="1090"/>
      <c r="B196" s="1090"/>
      <c r="C196" s="74"/>
      <c r="D196" s="74"/>
      <c r="E196" s="1043"/>
      <c r="H196" s="74"/>
    </row>
    <row r="197" spans="1:8" ht="12.75">
      <c r="A197" s="1090"/>
      <c r="B197" s="1090"/>
      <c r="C197" s="74"/>
      <c r="D197" s="74"/>
      <c r="E197" s="1043"/>
      <c r="H197" s="74"/>
    </row>
    <row r="198" spans="1:8" ht="12.75">
      <c r="A198" s="1090"/>
      <c r="B198" s="1090"/>
      <c r="C198" s="74"/>
      <c r="D198" s="74"/>
      <c r="E198" s="1043"/>
      <c r="H198" s="74"/>
    </row>
    <row r="199" spans="1:8" ht="12.75">
      <c r="A199" s="1090"/>
      <c r="B199" s="1090"/>
      <c r="C199" s="74"/>
      <c r="D199" s="74"/>
      <c r="E199" s="1043"/>
      <c r="H199" s="74"/>
    </row>
    <row r="200" spans="1:8" ht="12.75">
      <c r="A200" s="1090"/>
      <c r="B200" s="1090"/>
      <c r="C200" s="74"/>
      <c r="D200" s="74"/>
      <c r="E200" s="1043"/>
      <c r="H200" s="74"/>
    </row>
    <row r="201" spans="1:8" ht="12.75">
      <c r="A201" s="1090"/>
      <c r="B201" s="1090"/>
      <c r="C201" s="74"/>
      <c r="D201" s="74"/>
      <c r="E201" s="1043"/>
      <c r="H201" s="74"/>
    </row>
    <row r="202" spans="1:8" ht="12.75">
      <c r="A202" s="1090"/>
      <c r="B202" s="1090"/>
      <c r="C202" s="74"/>
      <c r="D202" s="74"/>
      <c r="E202" s="1043"/>
      <c r="H202" s="74"/>
    </row>
    <row r="203" spans="1:8" ht="12.75">
      <c r="A203" s="1090"/>
      <c r="B203" s="1090"/>
      <c r="C203" s="74"/>
      <c r="D203" s="74"/>
      <c r="E203" s="1043"/>
      <c r="H203" s="74"/>
    </row>
    <row r="204" spans="1:8" ht="12.75">
      <c r="A204" s="1090"/>
      <c r="B204" s="1090"/>
      <c r="C204" s="74"/>
      <c r="D204" s="74"/>
      <c r="E204" s="1043"/>
      <c r="H204" s="74"/>
    </row>
    <row r="205" spans="1:8" ht="12.75">
      <c r="A205" s="1090"/>
      <c r="B205" s="1090"/>
      <c r="C205" s="74"/>
      <c r="D205" s="74"/>
      <c r="E205" s="1043"/>
      <c r="H205" s="74"/>
    </row>
    <row r="206" spans="1:8" ht="12.75">
      <c r="A206" s="1090"/>
      <c r="B206" s="1090"/>
      <c r="C206" s="74"/>
      <c r="D206" s="74"/>
      <c r="E206" s="1043"/>
      <c r="H206" s="74"/>
    </row>
    <row r="207" spans="1:8" ht="12.75">
      <c r="A207" s="1090"/>
      <c r="B207" s="1090"/>
      <c r="C207" s="74"/>
      <c r="D207" s="74"/>
      <c r="E207" s="1043"/>
      <c r="H207" s="74"/>
    </row>
    <row r="208" spans="1:8" ht="12.75">
      <c r="A208" s="1090"/>
      <c r="B208" s="1090"/>
      <c r="C208" s="74"/>
      <c r="D208" s="74"/>
      <c r="E208" s="1043"/>
      <c r="H208" s="74"/>
    </row>
    <row r="209" spans="1:8" ht="12.75">
      <c r="A209" s="1090"/>
      <c r="B209" s="1090"/>
      <c r="C209" s="74"/>
      <c r="D209" s="74"/>
      <c r="E209" s="1043"/>
      <c r="H209" s="74"/>
    </row>
    <row r="210" spans="1:8" ht="12.75">
      <c r="A210" s="1090"/>
      <c r="B210" s="1090"/>
      <c r="C210" s="74"/>
      <c r="D210" s="74"/>
      <c r="E210" s="1043"/>
      <c r="H210" s="74"/>
    </row>
    <row r="211" spans="1:8" ht="12.75">
      <c r="A211" s="1090"/>
      <c r="B211" s="1090"/>
      <c r="C211" s="74"/>
      <c r="D211" s="74"/>
      <c r="E211" s="1043"/>
      <c r="H211" s="74"/>
    </row>
    <row r="212" spans="1:8" ht="12.75">
      <c r="A212" s="1090"/>
      <c r="B212" s="1090"/>
      <c r="C212" s="74"/>
      <c r="D212" s="74"/>
      <c r="E212" s="1043"/>
      <c r="H212" s="74"/>
    </row>
    <row r="213" spans="1:8" ht="12.75">
      <c r="A213" s="1090"/>
      <c r="B213" s="1090"/>
      <c r="C213" s="74"/>
      <c r="D213" s="74"/>
      <c r="E213" s="1043"/>
      <c r="H213" s="74"/>
    </row>
    <row r="214" spans="1:8" ht="12.75">
      <c r="A214" s="1090"/>
      <c r="B214" s="1090"/>
      <c r="C214" s="74"/>
      <c r="D214" s="74"/>
      <c r="E214" s="1043"/>
      <c r="H214" s="74"/>
    </row>
    <row r="215" spans="1:8" ht="12.75">
      <c r="A215" s="1090"/>
      <c r="B215" s="1090"/>
      <c r="C215" s="74"/>
      <c r="D215" s="74"/>
      <c r="E215" s="1043"/>
      <c r="H215" s="74"/>
    </row>
    <row r="216" spans="1:8" ht="12.75">
      <c r="A216" s="1090"/>
      <c r="B216" s="1090"/>
      <c r="C216" s="74"/>
      <c r="D216" s="74"/>
      <c r="E216" s="1043"/>
      <c r="H216" s="74"/>
    </row>
    <row r="217" spans="1:8" ht="12.75">
      <c r="A217" s="1090"/>
      <c r="B217" s="1090"/>
      <c r="C217" s="74"/>
      <c r="D217" s="74"/>
      <c r="E217" s="1043"/>
      <c r="H217" s="74"/>
    </row>
    <row r="218" spans="1:8" ht="12.75">
      <c r="A218" s="1090"/>
      <c r="B218" s="1090"/>
      <c r="C218" s="74"/>
      <c r="D218" s="74"/>
      <c r="E218" s="1043"/>
      <c r="H218" s="74"/>
    </row>
    <row r="219" spans="1:8" ht="12.75">
      <c r="A219" s="1090"/>
      <c r="B219" s="1090"/>
      <c r="C219" s="74"/>
      <c r="D219" s="74"/>
      <c r="E219" s="1043"/>
      <c r="H219" s="74"/>
    </row>
    <row r="220" spans="1:8" ht="12.75">
      <c r="A220" s="1090"/>
      <c r="B220" s="1090"/>
      <c r="C220" s="74"/>
      <c r="D220" s="74"/>
      <c r="E220" s="1043"/>
      <c r="H220" s="74"/>
    </row>
    <row r="221" spans="1:8" ht="12.75">
      <c r="A221" s="1090"/>
      <c r="B221" s="1090"/>
      <c r="C221" s="74"/>
      <c r="D221" s="74"/>
      <c r="E221" s="1043"/>
      <c r="H221" s="74"/>
    </row>
    <row r="222" spans="1:8" ht="12.75">
      <c r="A222" s="1090"/>
      <c r="B222" s="1090"/>
      <c r="C222" s="74"/>
      <c r="D222" s="74"/>
      <c r="E222" s="1043"/>
      <c r="H222" s="74"/>
    </row>
    <row r="223" spans="1:8" ht="12.75">
      <c r="A223" s="1090"/>
      <c r="B223" s="1090"/>
      <c r="C223" s="74"/>
      <c r="D223" s="74"/>
      <c r="E223" s="1043"/>
      <c r="H223" s="74"/>
    </row>
    <row r="224" spans="1:8" ht="12.75">
      <c r="A224" s="1090"/>
      <c r="B224" s="1090"/>
      <c r="C224" s="74"/>
      <c r="D224" s="74"/>
      <c r="E224" s="1043"/>
      <c r="H224" s="74"/>
    </row>
    <row r="225" spans="1:8" ht="12.75">
      <c r="A225" s="1090"/>
      <c r="B225" s="1090"/>
      <c r="C225" s="74"/>
      <c r="D225" s="74"/>
      <c r="E225" s="1043"/>
      <c r="H225" s="74"/>
    </row>
    <row r="226" spans="1:8" ht="12.75">
      <c r="A226" s="1090"/>
      <c r="B226" s="1090"/>
      <c r="C226" s="74"/>
      <c r="D226" s="74"/>
      <c r="E226" s="1043"/>
      <c r="H226" s="74"/>
    </row>
    <row r="227" spans="1:8" ht="12.75">
      <c r="A227" s="1090"/>
      <c r="B227" s="1090"/>
      <c r="C227" s="74"/>
      <c r="D227" s="74"/>
      <c r="E227" s="1043"/>
      <c r="H227" s="74"/>
    </row>
    <row r="228" spans="1:8" ht="12.75">
      <c r="A228" s="1090"/>
      <c r="B228" s="1090"/>
      <c r="C228" s="74"/>
      <c r="D228" s="74"/>
      <c r="E228" s="1043"/>
      <c r="H228" s="74"/>
    </row>
    <row r="229" spans="1:8" ht="12.75">
      <c r="A229" s="1090"/>
      <c r="B229" s="1090"/>
      <c r="C229" s="74"/>
      <c r="D229" s="74"/>
      <c r="E229" s="1043"/>
      <c r="H229" s="74"/>
    </row>
    <row r="230" spans="1:8" ht="12.75">
      <c r="A230" s="1090"/>
      <c r="B230" s="1090"/>
      <c r="C230" s="74"/>
      <c r="D230" s="74"/>
      <c r="E230" s="1043"/>
      <c r="H230" s="74"/>
    </row>
    <row r="231" spans="1:8" ht="12.75">
      <c r="A231" s="1090"/>
      <c r="B231" s="1090"/>
      <c r="C231" s="74"/>
      <c r="D231" s="74"/>
      <c r="E231" s="1043"/>
      <c r="H231" s="74"/>
    </row>
    <row r="232" spans="1:8" ht="12.75">
      <c r="A232" s="1090"/>
      <c r="B232" s="1090"/>
      <c r="C232" s="74"/>
      <c r="D232" s="74"/>
      <c r="E232" s="1043"/>
      <c r="H232" s="74"/>
    </row>
    <row r="233" spans="1:8" ht="12.75">
      <c r="A233" s="1090"/>
      <c r="B233" s="1090"/>
      <c r="C233" s="74"/>
      <c r="D233" s="74"/>
      <c r="E233" s="1043"/>
      <c r="H233" s="74"/>
    </row>
    <row r="234" spans="1:8" ht="12.75">
      <c r="A234" s="1090"/>
      <c r="B234" s="1090"/>
      <c r="C234" s="74"/>
      <c r="D234" s="74"/>
      <c r="E234" s="1043"/>
      <c r="H234" s="74"/>
    </row>
    <row r="235" spans="1:8" ht="12.75">
      <c r="A235" s="1090"/>
      <c r="B235" s="1090"/>
      <c r="C235" s="74"/>
      <c r="D235" s="74"/>
      <c r="E235" s="1043"/>
      <c r="H235" s="74"/>
    </row>
    <row r="236" spans="1:8" ht="12.75">
      <c r="A236" s="1090"/>
      <c r="B236" s="1090"/>
      <c r="C236" s="74"/>
      <c r="D236" s="74"/>
      <c r="E236" s="1043"/>
      <c r="H236" s="74"/>
    </row>
    <row r="237" spans="1:8" ht="12.75">
      <c r="A237" s="1090"/>
      <c r="B237" s="1090"/>
      <c r="C237" s="74"/>
      <c r="D237" s="74"/>
      <c r="E237" s="1043"/>
      <c r="H237" s="74"/>
    </row>
    <row r="238" spans="1:8" ht="12.75">
      <c r="A238" s="1090"/>
      <c r="B238" s="1090"/>
      <c r="C238" s="74"/>
      <c r="D238" s="74"/>
      <c r="E238" s="1043"/>
      <c r="H238" s="74"/>
    </row>
    <row r="239" spans="1:8" ht="12.75">
      <c r="A239" s="1090"/>
      <c r="B239" s="1090"/>
      <c r="C239" s="74"/>
      <c r="D239" s="74"/>
      <c r="E239" s="1043"/>
      <c r="H239" s="74"/>
    </row>
    <row r="240" spans="1:8" ht="12.75">
      <c r="A240" s="1090"/>
      <c r="B240" s="1090"/>
      <c r="C240" s="74"/>
      <c r="D240" s="74"/>
      <c r="E240" s="1043"/>
      <c r="H240" s="74"/>
    </row>
    <row r="241" spans="1:8" ht="12.75">
      <c r="A241" s="1090"/>
      <c r="B241" s="1090"/>
      <c r="C241" s="74"/>
      <c r="D241" s="74"/>
      <c r="E241" s="1043"/>
      <c r="H241" s="74"/>
    </row>
    <row r="242" spans="1:8" ht="12.75">
      <c r="A242" s="1090"/>
      <c r="B242" s="1090"/>
      <c r="C242" s="74"/>
      <c r="D242" s="74"/>
      <c r="E242" s="1043"/>
      <c r="H242" s="74"/>
    </row>
    <row r="243" spans="1:8" ht="12.75">
      <c r="A243" s="1090"/>
      <c r="B243" s="1090"/>
      <c r="C243" s="74"/>
      <c r="D243" s="74"/>
      <c r="E243" s="1043"/>
      <c r="H243" s="74"/>
    </row>
    <row r="244" spans="1:8" ht="12.75">
      <c r="A244" s="1090"/>
      <c r="B244" s="1090"/>
      <c r="C244" s="74"/>
      <c r="D244" s="74"/>
      <c r="E244" s="1043"/>
      <c r="H244" s="74"/>
    </row>
    <row r="245" spans="1:8" ht="12.75">
      <c r="A245" s="1090"/>
      <c r="B245" s="1090"/>
      <c r="C245" s="74"/>
      <c r="D245" s="74"/>
      <c r="E245" s="1043"/>
      <c r="H245" s="74"/>
    </row>
    <row r="246" spans="1:8" ht="12.75">
      <c r="A246" s="1090"/>
      <c r="B246" s="1090"/>
      <c r="C246" s="74"/>
      <c r="D246" s="74"/>
      <c r="E246" s="1043"/>
      <c r="H246" s="74"/>
    </row>
    <row r="247" spans="1:8" ht="12.75">
      <c r="A247" s="1090"/>
      <c r="B247" s="1090"/>
      <c r="C247" s="74"/>
      <c r="D247" s="74"/>
      <c r="E247" s="1043"/>
      <c r="H247" s="74"/>
    </row>
    <row r="248" spans="1:8" ht="12.75">
      <c r="A248" s="1090"/>
      <c r="B248" s="1090"/>
      <c r="C248" s="74"/>
      <c r="D248" s="74"/>
      <c r="E248" s="1043"/>
      <c r="H248" s="74"/>
    </row>
    <row r="249" spans="1:8" ht="12.75">
      <c r="A249" s="1090"/>
      <c r="B249" s="1090"/>
      <c r="C249" s="74"/>
      <c r="D249" s="74"/>
      <c r="E249" s="1043"/>
      <c r="H249" s="74"/>
    </row>
    <row r="250" spans="1:8" ht="12.75">
      <c r="A250" s="1090"/>
      <c r="B250" s="1090"/>
      <c r="C250" s="74"/>
      <c r="D250" s="74"/>
      <c r="E250" s="1043"/>
      <c r="H250" s="74"/>
    </row>
    <row r="251" spans="1:8" ht="12.75">
      <c r="A251" s="1090"/>
      <c r="B251" s="1090"/>
      <c r="C251" s="74"/>
      <c r="D251" s="74"/>
      <c r="E251" s="1043"/>
      <c r="H251" s="74"/>
    </row>
    <row r="252" spans="1:8" ht="12.75">
      <c r="A252" s="1090"/>
      <c r="B252" s="1090"/>
      <c r="C252" s="74"/>
      <c r="D252" s="74"/>
      <c r="E252" s="1043"/>
      <c r="H252" s="74"/>
    </row>
    <row r="253" spans="1:8" ht="12.75">
      <c r="A253" s="1090"/>
      <c r="B253" s="1090"/>
      <c r="C253" s="74"/>
      <c r="D253" s="74"/>
      <c r="E253" s="1043"/>
      <c r="H253" s="74"/>
    </row>
    <row r="254" spans="1:8" ht="12.75">
      <c r="A254" s="1090"/>
      <c r="B254" s="1090"/>
      <c r="C254" s="74"/>
      <c r="D254" s="74"/>
      <c r="E254" s="1043"/>
      <c r="H254" s="74"/>
    </row>
    <row r="255" spans="1:8" ht="12.75">
      <c r="A255" s="1090"/>
      <c r="B255" s="1090"/>
      <c r="C255" s="74"/>
      <c r="D255" s="74"/>
      <c r="E255" s="1043"/>
      <c r="H255" s="74"/>
    </row>
    <row r="256" spans="1:8" ht="12.75">
      <c r="A256" s="1090"/>
      <c r="B256" s="1090"/>
      <c r="C256" s="74"/>
      <c r="D256" s="74"/>
      <c r="E256" s="1043"/>
      <c r="H256" s="74"/>
    </row>
    <row r="257" spans="1:8" ht="12.75">
      <c r="A257" s="1090"/>
      <c r="B257" s="1090"/>
      <c r="C257" s="74"/>
      <c r="D257" s="74"/>
      <c r="E257" s="1043"/>
      <c r="H257" s="74"/>
    </row>
    <row r="258" spans="1:8" ht="12.75">
      <c r="A258" s="1090"/>
      <c r="B258" s="1090"/>
      <c r="C258" s="74"/>
      <c r="D258" s="74"/>
      <c r="E258" s="1043"/>
      <c r="H258" s="74"/>
    </row>
    <row r="259" spans="1:8" ht="12.75">
      <c r="A259" s="1090"/>
      <c r="B259" s="1090"/>
      <c r="C259" s="74"/>
      <c r="D259" s="74"/>
      <c r="E259" s="1043"/>
      <c r="H259" s="74"/>
    </row>
    <row r="260" spans="1:8" ht="12.75">
      <c r="A260" s="1090"/>
      <c r="B260" s="1090"/>
      <c r="C260" s="74"/>
      <c r="D260" s="74"/>
      <c r="E260" s="1043"/>
      <c r="H260" s="74"/>
    </row>
    <row r="261" spans="1:8" ht="12.75">
      <c r="A261" s="1090"/>
      <c r="B261" s="1090"/>
      <c r="C261" s="74"/>
      <c r="D261" s="74"/>
      <c r="E261" s="1043"/>
      <c r="H261" s="74"/>
    </row>
    <row r="262" spans="1:8" ht="12.75">
      <c r="A262" s="1090"/>
      <c r="B262" s="1090"/>
      <c r="C262" s="74"/>
      <c r="D262" s="74"/>
      <c r="E262" s="1043"/>
      <c r="H262" s="74"/>
    </row>
    <row r="263" spans="1:8" ht="12.75">
      <c r="A263" s="1090"/>
      <c r="B263" s="1090"/>
      <c r="C263" s="74"/>
      <c r="D263" s="74"/>
      <c r="E263" s="1043"/>
      <c r="H263" s="74"/>
    </row>
    <row r="264" spans="1:8" ht="12.75">
      <c r="A264" s="1090"/>
      <c r="B264" s="1090"/>
      <c r="C264" s="74"/>
      <c r="D264" s="74"/>
      <c r="E264" s="1043"/>
      <c r="H264" s="74"/>
    </row>
    <row r="265" spans="1:8" ht="12.75">
      <c r="A265" s="1090"/>
      <c r="B265" s="1090"/>
      <c r="C265" s="74"/>
      <c r="D265" s="74"/>
      <c r="E265" s="1043"/>
      <c r="H265" s="74"/>
    </row>
    <row r="266" spans="1:8" ht="12.75">
      <c r="A266" s="1090"/>
      <c r="B266" s="1090"/>
      <c r="C266" s="74"/>
      <c r="D266" s="74"/>
      <c r="E266" s="1043"/>
      <c r="H266" s="74"/>
    </row>
    <row r="267" spans="1:8" ht="12.75">
      <c r="A267" s="1090"/>
      <c r="B267" s="1090"/>
      <c r="C267" s="74"/>
      <c r="D267" s="74"/>
      <c r="E267" s="1043"/>
      <c r="H267" s="74"/>
    </row>
    <row r="268" spans="1:8" ht="12.75">
      <c r="A268" s="1090"/>
      <c r="B268" s="1090"/>
      <c r="C268" s="74"/>
      <c r="D268" s="74"/>
      <c r="E268" s="1043"/>
      <c r="H268" s="74"/>
    </row>
    <row r="269" spans="1:8" ht="12.75">
      <c r="A269" s="1090"/>
      <c r="B269" s="1090"/>
      <c r="C269" s="74"/>
      <c r="D269" s="74"/>
      <c r="E269" s="1043"/>
      <c r="H269" s="74"/>
    </row>
    <row r="270" spans="1:8" ht="12.75">
      <c r="A270" s="1090"/>
      <c r="B270" s="1090"/>
      <c r="C270" s="74"/>
      <c r="D270" s="74"/>
      <c r="E270" s="1043"/>
      <c r="H270" s="74"/>
    </row>
    <row r="271" spans="1:8" ht="12.75">
      <c r="A271" s="1090"/>
      <c r="B271" s="1090"/>
      <c r="C271" s="74"/>
      <c r="D271" s="74"/>
      <c r="E271" s="1043"/>
      <c r="H271" s="74"/>
    </row>
    <row r="272" spans="1:8" ht="12.75">
      <c r="A272" s="1090"/>
      <c r="B272" s="1090"/>
      <c r="C272" s="74"/>
      <c r="D272" s="74"/>
      <c r="E272" s="1043"/>
      <c r="H272" s="74"/>
    </row>
    <row r="273" spans="1:8" ht="12.75">
      <c r="A273" s="1090"/>
      <c r="B273" s="1090"/>
      <c r="C273" s="74"/>
      <c r="D273" s="74"/>
      <c r="E273" s="1043"/>
      <c r="H273" s="74"/>
    </row>
    <row r="274" spans="1:8" ht="12.75">
      <c r="A274" s="1090"/>
      <c r="B274" s="1090"/>
      <c r="C274" s="74"/>
      <c r="D274" s="74"/>
      <c r="E274" s="1043"/>
      <c r="H274" s="74"/>
    </row>
    <row r="275" spans="1:8" ht="12.75">
      <c r="A275" s="1090"/>
      <c r="B275" s="1090"/>
      <c r="C275" s="74"/>
      <c r="D275" s="74"/>
      <c r="E275" s="1043"/>
      <c r="H275" s="74"/>
    </row>
    <row r="276" spans="1:8" ht="12.75">
      <c r="A276" s="1090"/>
      <c r="B276" s="1090"/>
      <c r="C276" s="74"/>
      <c r="D276" s="74"/>
      <c r="E276" s="1043"/>
      <c r="H276" s="74"/>
    </row>
    <row r="277" spans="1:8" ht="12.75">
      <c r="A277" s="1090"/>
      <c r="B277" s="1090"/>
      <c r="C277" s="74"/>
      <c r="D277" s="74"/>
      <c r="E277" s="1043"/>
      <c r="H277" s="74"/>
    </row>
    <row r="278" spans="1:8" ht="12.75">
      <c r="A278" s="1090"/>
      <c r="B278" s="1090"/>
      <c r="C278" s="74"/>
      <c r="D278" s="74"/>
      <c r="E278" s="1043"/>
      <c r="H278" s="74"/>
    </row>
    <row r="279" spans="1:8" ht="12.75">
      <c r="A279" s="1090"/>
      <c r="B279" s="1090"/>
      <c r="C279" s="74"/>
      <c r="D279" s="74"/>
      <c r="E279" s="1043"/>
      <c r="H279" s="74"/>
    </row>
    <row r="280" spans="1:8" ht="12.75">
      <c r="A280" s="1090"/>
      <c r="B280" s="1090"/>
      <c r="C280" s="74"/>
      <c r="D280" s="74"/>
      <c r="E280" s="1043"/>
      <c r="H280" s="74"/>
    </row>
    <row r="281" spans="1:8" ht="12.75">
      <c r="A281" s="1090"/>
      <c r="B281" s="1090"/>
      <c r="C281" s="74"/>
      <c r="D281" s="74"/>
      <c r="E281" s="1043"/>
      <c r="H281" s="74"/>
    </row>
    <row r="282" spans="1:8" ht="12.75">
      <c r="A282" s="1090"/>
      <c r="B282" s="1090"/>
      <c r="C282" s="74"/>
      <c r="D282" s="74"/>
      <c r="E282" s="1043"/>
      <c r="H282" s="74"/>
    </row>
    <row r="283" spans="1:8" ht="12.75">
      <c r="A283" s="1090"/>
      <c r="B283" s="1090"/>
      <c r="C283" s="74"/>
      <c r="D283" s="74"/>
      <c r="E283" s="1043"/>
      <c r="H283" s="74"/>
    </row>
    <row r="284" spans="1:8" ht="12.75">
      <c r="A284" s="1090"/>
      <c r="B284" s="1090"/>
      <c r="C284" s="74"/>
      <c r="D284" s="74"/>
      <c r="E284" s="1043"/>
      <c r="H284" s="74"/>
    </row>
    <row r="285" spans="1:8" ht="12.75">
      <c r="A285" s="1090"/>
      <c r="B285" s="1090"/>
      <c r="C285" s="74"/>
      <c r="D285" s="74"/>
      <c r="E285" s="1043"/>
      <c r="H285" s="74"/>
    </row>
    <row r="286" spans="1:8" ht="12.75">
      <c r="A286" s="1090"/>
      <c r="B286" s="1090"/>
      <c r="C286" s="74"/>
      <c r="D286" s="74"/>
      <c r="E286" s="1043"/>
      <c r="H286" s="74"/>
    </row>
    <row r="287" spans="1:8" ht="12.75">
      <c r="A287" s="1090"/>
      <c r="B287" s="1090"/>
      <c r="C287" s="74"/>
      <c r="D287" s="74"/>
      <c r="E287" s="1043"/>
      <c r="H287" s="74"/>
    </row>
    <row r="288" spans="1:8" ht="12.75">
      <c r="A288" s="1090"/>
      <c r="B288" s="1090"/>
      <c r="C288" s="74"/>
      <c r="D288" s="74"/>
      <c r="E288" s="1043"/>
      <c r="H288" s="74"/>
    </row>
    <row r="289" spans="1:8" ht="12.75">
      <c r="A289" s="1090"/>
      <c r="B289" s="1090"/>
      <c r="C289" s="74"/>
      <c r="D289" s="74"/>
      <c r="E289" s="1043"/>
      <c r="H289" s="74"/>
    </row>
    <row r="290" spans="1:8" ht="12.75">
      <c r="A290" s="1090"/>
      <c r="B290" s="1090"/>
      <c r="C290" s="74"/>
      <c r="D290" s="74"/>
      <c r="E290" s="1043"/>
      <c r="H290" s="74"/>
    </row>
    <row r="291" spans="1:8" ht="12.75">
      <c r="A291" s="1090"/>
      <c r="B291" s="1090"/>
      <c r="C291" s="74"/>
      <c r="D291" s="74"/>
      <c r="E291" s="1043"/>
      <c r="H291" s="74"/>
    </row>
    <row r="292" spans="1:8" ht="12.75">
      <c r="A292" s="1090"/>
      <c r="B292" s="1090"/>
      <c r="C292" s="74"/>
      <c r="D292" s="74"/>
      <c r="E292" s="1043"/>
      <c r="H292" s="74"/>
    </row>
    <row r="293" spans="1:8" ht="12.75">
      <c r="A293" s="1090"/>
      <c r="B293" s="1090"/>
      <c r="C293" s="74"/>
      <c r="D293" s="74"/>
      <c r="E293" s="1043"/>
      <c r="H293" s="74"/>
    </row>
    <row r="294" spans="1:8" ht="12.75">
      <c r="A294" s="1090"/>
      <c r="B294" s="1090"/>
      <c r="C294" s="74"/>
      <c r="D294" s="74"/>
      <c r="E294" s="1043"/>
      <c r="H294" s="74"/>
    </row>
    <row r="295" spans="1:8" ht="12.75">
      <c r="A295" s="1090"/>
      <c r="B295" s="1090"/>
      <c r="C295" s="74"/>
      <c r="D295" s="74"/>
      <c r="E295" s="1043"/>
      <c r="H295" s="74"/>
    </row>
    <row r="296" spans="1:8" ht="12.75">
      <c r="A296" s="1090"/>
      <c r="B296" s="1090"/>
      <c r="C296" s="74"/>
      <c r="D296" s="74"/>
      <c r="E296" s="1043"/>
      <c r="H296" s="74"/>
    </row>
    <row r="297" spans="1:8" ht="12.75">
      <c r="A297" s="1090"/>
      <c r="B297" s="1090"/>
      <c r="C297" s="74"/>
      <c r="D297" s="74"/>
      <c r="E297" s="1043"/>
      <c r="H297" s="74"/>
    </row>
    <row r="298" spans="1:8" ht="12.75">
      <c r="A298" s="1090"/>
      <c r="B298" s="1090"/>
      <c r="C298" s="74"/>
      <c r="D298" s="74"/>
      <c r="E298" s="1043"/>
      <c r="H298" s="74"/>
    </row>
    <row r="299" spans="1:8" ht="12.75">
      <c r="A299" s="1090"/>
      <c r="B299" s="1090"/>
      <c r="C299" s="74"/>
      <c r="D299" s="74"/>
      <c r="E299" s="1043"/>
      <c r="H299" s="74"/>
    </row>
    <row r="300" spans="1:8" ht="12.75">
      <c r="A300" s="1090"/>
      <c r="B300" s="1090"/>
      <c r="C300" s="74"/>
      <c r="D300" s="74"/>
      <c r="E300" s="1043"/>
      <c r="H300" s="74"/>
    </row>
    <row r="301" spans="1:8" ht="12.75">
      <c r="A301" s="1090"/>
      <c r="B301" s="1090"/>
      <c r="C301" s="74"/>
      <c r="D301" s="74"/>
      <c r="E301" s="1043"/>
      <c r="H301" s="74"/>
    </row>
    <row r="302" spans="1:8" ht="12.75">
      <c r="A302" s="1090"/>
      <c r="B302" s="1090"/>
      <c r="C302" s="74"/>
      <c r="D302" s="74"/>
      <c r="E302" s="1043"/>
      <c r="H302" s="74"/>
    </row>
    <row r="303" spans="1:8" ht="12.75">
      <c r="A303" s="1090"/>
      <c r="B303" s="1090"/>
      <c r="C303" s="74"/>
      <c r="D303" s="74"/>
      <c r="E303" s="1043"/>
      <c r="H303" s="74"/>
    </row>
    <row r="304" spans="1:8" ht="12.75">
      <c r="A304" s="1090"/>
      <c r="B304" s="1090"/>
      <c r="C304" s="74"/>
      <c r="D304" s="74"/>
      <c r="E304" s="1043"/>
      <c r="H304" s="74"/>
    </row>
    <row r="305" spans="1:8" ht="12.75">
      <c r="A305" s="1090"/>
      <c r="B305" s="1090"/>
      <c r="C305" s="74"/>
      <c r="D305" s="74"/>
      <c r="E305" s="1043"/>
      <c r="H305" s="74"/>
    </row>
    <row r="306" spans="1:8" ht="12.75">
      <c r="A306" s="1090"/>
      <c r="B306" s="1090"/>
      <c r="C306" s="74"/>
      <c r="D306" s="74"/>
      <c r="E306" s="1043"/>
      <c r="H306" s="74"/>
    </row>
    <row r="307" spans="1:8" ht="12.75">
      <c r="A307" s="1090"/>
      <c r="B307" s="1090"/>
      <c r="C307" s="74"/>
      <c r="D307" s="74"/>
      <c r="E307" s="1043"/>
      <c r="H307" s="74"/>
    </row>
    <row r="308" spans="1:8" ht="12.75">
      <c r="A308" s="1090"/>
      <c r="B308" s="1090"/>
      <c r="C308" s="74"/>
      <c r="D308" s="74"/>
      <c r="E308" s="1043"/>
      <c r="H308" s="74"/>
    </row>
    <row r="309" spans="1:8" ht="12.75">
      <c r="A309" s="1090"/>
      <c r="B309" s="1090"/>
      <c r="C309" s="74"/>
      <c r="D309" s="74"/>
      <c r="E309" s="1043"/>
      <c r="H309" s="74"/>
    </row>
    <row r="310" spans="1:8" ht="12.75">
      <c r="A310" s="1090"/>
      <c r="B310" s="1090"/>
      <c r="C310" s="74"/>
      <c r="D310" s="74"/>
      <c r="E310" s="1043"/>
      <c r="H310" s="74"/>
    </row>
    <row r="311" spans="1:8" ht="12.75">
      <c r="A311" s="1090"/>
      <c r="B311" s="1090"/>
      <c r="C311" s="74"/>
      <c r="D311" s="74"/>
      <c r="E311" s="1043"/>
      <c r="H311" s="74"/>
    </row>
    <row r="312" spans="1:8" ht="12.75">
      <c r="A312" s="1090"/>
      <c r="B312" s="1090"/>
      <c r="C312" s="74"/>
      <c r="D312" s="74"/>
      <c r="E312" s="1043"/>
      <c r="H312" s="74"/>
    </row>
    <row r="313" spans="1:8" ht="12.75">
      <c r="A313" s="1090"/>
      <c r="B313" s="1090"/>
      <c r="C313" s="74"/>
      <c r="D313" s="74"/>
      <c r="E313" s="1043"/>
      <c r="H313" s="74"/>
    </row>
    <row r="314" spans="1:8" ht="12.75">
      <c r="A314" s="1090"/>
      <c r="B314" s="1090"/>
      <c r="C314" s="74"/>
      <c r="D314" s="74"/>
      <c r="E314" s="1043"/>
      <c r="H314" s="74"/>
    </row>
    <row r="315" spans="1:8" ht="12.75">
      <c r="A315" s="1090"/>
      <c r="B315" s="1090"/>
      <c r="C315" s="74"/>
      <c r="D315" s="74"/>
      <c r="E315" s="1043"/>
      <c r="H315" s="74"/>
    </row>
    <row r="316" spans="1:8" ht="12.75">
      <c r="A316" s="1090"/>
      <c r="B316" s="1090"/>
      <c r="C316" s="74"/>
      <c r="D316" s="74"/>
      <c r="E316" s="1043"/>
      <c r="H316" s="74"/>
    </row>
    <row r="317" spans="1:8" ht="12.75">
      <c r="A317" s="1090"/>
      <c r="B317" s="1090"/>
      <c r="C317" s="74"/>
      <c r="D317" s="74"/>
      <c r="E317" s="1043"/>
      <c r="H317" s="74"/>
    </row>
    <row r="318" spans="1:8" ht="12.75">
      <c r="A318" s="1090"/>
      <c r="B318" s="1090"/>
      <c r="C318" s="74"/>
      <c r="D318" s="74"/>
      <c r="E318" s="1043"/>
      <c r="H318" s="74"/>
    </row>
    <row r="319" spans="1:8" ht="12.75">
      <c r="A319" s="1090"/>
      <c r="B319" s="1090"/>
      <c r="C319" s="74"/>
      <c r="D319" s="74"/>
      <c r="E319" s="1043"/>
      <c r="H319" s="74"/>
    </row>
    <row r="320" spans="1:8" ht="12.75">
      <c r="A320" s="1090"/>
      <c r="B320" s="1090"/>
      <c r="C320" s="74"/>
      <c r="D320" s="74"/>
      <c r="E320" s="1043"/>
      <c r="H320" s="74"/>
    </row>
    <row r="321" spans="1:8" ht="12.75">
      <c r="A321" s="1090"/>
      <c r="B321" s="1090"/>
      <c r="C321" s="74"/>
      <c r="D321" s="74"/>
      <c r="E321" s="1043"/>
      <c r="H321" s="74"/>
    </row>
    <row r="322" spans="1:8" ht="12.75">
      <c r="A322" s="1090"/>
      <c r="B322" s="1090"/>
      <c r="C322" s="74"/>
      <c r="D322" s="74"/>
      <c r="E322" s="1043"/>
      <c r="H322" s="74"/>
    </row>
    <row r="323" spans="1:8" ht="12.75">
      <c r="A323" s="1090"/>
      <c r="B323" s="1090"/>
      <c r="C323" s="74"/>
      <c r="D323" s="74"/>
      <c r="E323" s="1043"/>
      <c r="H323" s="74"/>
    </row>
    <row r="324" spans="1:8" ht="12.75">
      <c r="A324" s="1090"/>
      <c r="B324" s="1090"/>
      <c r="C324" s="74"/>
      <c r="D324" s="74"/>
      <c r="E324" s="1043"/>
      <c r="H324" s="74"/>
    </row>
    <row r="325" spans="1:8" ht="12.75">
      <c r="A325" s="1090"/>
      <c r="B325" s="1090"/>
      <c r="C325" s="74"/>
      <c r="D325" s="74"/>
      <c r="E325" s="1043"/>
      <c r="H325" s="74"/>
    </row>
    <row r="326" spans="1:8" ht="12.75">
      <c r="A326" s="1090"/>
      <c r="B326" s="1090"/>
      <c r="C326" s="74"/>
      <c r="D326" s="74"/>
      <c r="E326" s="1043"/>
      <c r="H326" s="74"/>
    </row>
    <row r="327" spans="1:8" ht="12.75">
      <c r="A327" s="1090"/>
      <c r="B327" s="1090"/>
      <c r="C327" s="74"/>
      <c r="D327" s="74"/>
      <c r="E327" s="1043"/>
      <c r="H327" s="74"/>
    </row>
    <row r="328" spans="1:8" ht="12.75">
      <c r="A328" s="1090"/>
      <c r="B328" s="1090"/>
      <c r="C328" s="74"/>
      <c r="D328" s="74"/>
      <c r="E328" s="1043"/>
      <c r="H328" s="74"/>
    </row>
    <row r="329" spans="1:8" ht="12.75">
      <c r="A329" s="1090"/>
      <c r="B329" s="1090"/>
      <c r="C329" s="74"/>
      <c r="D329" s="74"/>
      <c r="E329" s="1043"/>
      <c r="H329" s="74"/>
    </row>
    <row r="330" spans="1:8" ht="12.75">
      <c r="A330" s="1090"/>
      <c r="B330" s="1090"/>
      <c r="C330" s="74"/>
      <c r="D330" s="74"/>
      <c r="E330" s="1043"/>
      <c r="H330" s="74"/>
    </row>
    <row r="331" spans="1:8" ht="12.75">
      <c r="A331" s="1090"/>
      <c r="B331" s="1090"/>
      <c r="C331" s="74"/>
      <c r="D331" s="74"/>
      <c r="E331" s="1043"/>
      <c r="H331" s="74"/>
    </row>
    <row r="332" spans="1:8" ht="12.75">
      <c r="A332" s="1090"/>
      <c r="B332" s="1090"/>
      <c r="C332" s="74"/>
      <c r="D332" s="74"/>
      <c r="E332" s="1043"/>
      <c r="H332" s="74"/>
    </row>
    <row r="333" spans="1:8" ht="12.75">
      <c r="A333" s="1090"/>
      <c r="B333" s="1090"/>
      <c r="C333" s="74"/>
      <c r="D333" s="74"/>
      <c r="E333" s="1043"/>
      <c r="H333" s="74"/>
    </row>
    <row r="334" spans="1:8" ht="12.75">
      <c r="A334" s="1090"/>
      <c r="B334" s="1090"/>
      <c r="C334" s="74"/>
      <c r="D334" s="74"/>
      <c r="E334" s="1043"/>
      <c r="H334" s="74"/>
    </row>
    <row r="335" spans="1:8" ht="12.75">
      <c r="A335" s="1090"/>
      <c r="B335" s="1090"/>
      <c r="C335" s="74"/>
      <c r="D335" s="74"/>
      <c r="E335" s="1043"/>
      <c r="H335" s="74"/>
    </row>
    <row r="336" spans="1:8" ht="12.75">
      <c r="A336" s="1090"/>
      <c r="B336" s="1090"/>
      <c r="C336" s="74"/>
      <c r="D336" s="74"/>
      <c r="E336" s="1043"/>
      <c r="H336" s="74"/>
    </row>
    <row r="337" spans="1:8" ht="12.75">
      <c r="A337" s="1090"/>
      <c r="B337" s="1090"/>
      <c r="C337" s="74"/>
      <c r="D337" s="74"/>
      <c r="E337" s="1043"/>
      <c r="H337" s="74"/>
    </row>
    <row r="338" spans="1:8" ht="12.75">
      <c r="A338" s="1090"/>
      <c r="B338" s="1090"/>
      <c r="C338" s="74"/>
      <c r="D338" s="74"/>
      <c r="E338" s="1043"/>
      <c r="H338" s="74"/>
    </row>
    <row r="339" spans="1:8" ht="12.75">
      <c r="A339" s="1090"/>
      <c r="B339" s="1090"/>
      <c r="C339" s="74"/>
      <c r="D339" s="74"/>
      <c r="E339" s="1043"/>
      <c r="H339" s="74"/>
    </row>
    <row r="340" spans="1:8" ht="12.75">
      <c r="A340" s="1090"/>
      <c r="B340" s="1090"/>
      <c r="C340" s="74"/>
      <c r="D340" s="74"/>
      <c r="E340" s="1043"/>
      <c r="H340" s="74"/>
    </row>
    <row r="341" spans="1:8" ht="12.75">
      <c r="A341" s="1090"/>
      <c r="B341" s="1090"/>
      <c r="C341" s="74"/>
      <c r="D341" s="74"/>
      <c r="E341" s="1043"/>
      <c r="H341" s="74"/>
    </row>
    <row r="342" spans="1:8" ht="12.75">
      <c r="A342" s="1090"/>
      <c r="B342" s="1090"/>
      <c r="C342" s="74"/>
      <c r="D342" s="74"/>
      <c r="E342" s="1043"/>
      <c r="H342" s="74"/>
    </row>
    <row r="343" spans="1:8" ht="12.75">
      <c r="A343" s="1090"/>
      <c r="B343" s="1090"/>
      <c r="C343" s="74"/>
      <c r="D343" s="74"/>
      <c r="E343" s="1043"/>
      <c r="H343" s="74"/>
    </row>
    <row r="344" spans="1:8" ht="12.75">
      <c r="A344" s="1090"/>
      <c r="B344" s="1090"/>
      <c r="C344" s="74"/>
      <c r="D344" s="74"/>
      <c r="E344" s="1043"/>
      <c r="H344" s="74"/>
    </row>
    <row r="345" spans="1:8" ht="12.75">
      <c r="A345" s="1090"/>
      <c r="B345" s="1090"/>
      <c r="C345" s="74"/>
      <c r="D345" s="74"/>
      <c r="E345" s="1043"/>
      <c r="H345" s="74"/>
    </row>
    <row r="346" spans="1:8" ht="12.75">
      <c r="A346" s="1090"/>
      <c r="B346" s="1090"/>
      <c r="C346" s="74"/>
      <c r="D346" s="74"/>
      <c r="E346" s="1043"/>
      <c r="H346" s="74"/>
    </row>
    <row r="347" spans="1:8" ht="12.75">
      <c r="A347" s="1090"/>
      <c r="B347" s="1090"/>
      <c r="C347" s="74"/>
      <c r="D347" s="74"/>
      <c r="E347" s="1043"/>
      <c r="H347" s="74"/>
    </row>
    <row r="348" spans="1:8" ht="12.75">
      <c r="A348" s="1090"/>
      <c r="B348" s="1090"/>
      <c r="C348" s="74"/>
      <c r="D348" s="74"/>
      <c r="E348" s="1043"/>
      <c r="H348" s="74"/>
    </row>
    <row r="349" spans="1:8" ht="12.75">
      <c r="A349" s="1090"/>
      <c r="B349" s="1090"/>
      <c r="C349" s="74"/>
      <c r="D349" s="74"/>
      <c r="E349" s="1043"/>
      <c r="H349" s="74"/>
    </row>
    <row r="350" spans="1:8" ht="12.75">
      <c r="A350" s="1090"/>
      <c r="B350" s="1090"/>
      <c r="C350" s="74"/>
      <c r="D350" s="74"/>
      <c r="E350" s="1043"/>
      <c r="H350" s="74"/>
    </row>
    <row r="351" spans="1:8" ht="12.75">
      <c r="A351" s="1090"/>
      <c r="B351" s="1090"/>
      <c r="C351" s="74"/>
      <c r="D351" s="74"/>
      <c r="E351" s="1043"/>
      <c r="H351" s="74"/>
    </row>
    <row r="352" spans="1:8" ht="12.75">
      <c r="A352" s="1090"/>
      <c r="B352" s="1090"/>
      <c r="C352" s="74"/>
      <c r="D352" s="74"/>
      <c r="E352" s="1043"/>
      <c r="H352" s="74"/>
    </row>
    <row r="353" spans="1:8" ht="12.75">
      <c r="A353" s="1090"/>
      <c r="B353" s="1090"/>
      <c r="C353" s="74"/>
      <c r="D353" s="74"/>
      <c r="E353" s="1043"/>
      <c r="H353" s="74"/>
    </row>
    <row r="354" spans="1:8" ht="12.75">
      <c r="A354" s="1090"/>
      <c r="B354" s="1090"/>
      <c r="C354" s="74"/>
      <c r="D354" s="74"/>
      <c r="E354" s="1043"/>
      <c r="H354" s="74"/>
    </row>
    <row r="355" spans="1:8" ht="12.75">
      <c r="A355" s="1090"/>
      <c r="B355" s="1090"/>
      <c r="C355" s="74"/>
      <c r="D355" s="74"/>
      <c r="E355" s="1043"/>
      <c r="H355" s="74"/>
    </row>
    <row r="356" spans="1:8" ht="12.75">
      <c r="A356" s="1090"/>
      <c r="B356" s="1090"/>
      <c r="C356" s="74"/>
      <c r="D356" s="74"/>
      <c r="E356" s="1043"/>
      <c r="H356" s="74"/>
    </row>
    <row r="357" spans="1:8" ht="12.75">
      <c r="A357" s="1090"/>
      <c r="B357" s="1090"/>
      <c r="C357" s="74"/>
      <c r="D357" s="74"/>
      <c r="E357" s="1043"/>
      <c r="H357" s="74"/>
    </row>
    <row r="358" spans="1:8" ht="12.75">
      <c r="A358" s="1090"/>
      <c r="B358" s="1090"/>
      <c r="C358" s="74"/>
      <c r="D358" s="74"/>
      <c r="E358" s="1043"/>
      <c r="H358" s="74"/>
    </row>
    <row r="359" spans="1:8" ht="12.75">
      <c r="A359" s="1090"/>
      <c r="B359" s="1090"/>
      <c r="C359" s="74"/>
      <c r="D359" s="74"/>
      <c r="E359" s="1043"/>
      <c r="H359" s="74"/>
    </row>
    <row r="360" spans="1:8" ht="12.75">
      <c r="A360" s="1090"/>
      <c r="B360" s="1090"/>
      <c r="C360" s="74"/>
      <c r="D360" s="74"/>
      <c r="E360" s="1043"/>
      <c r="H360" s="74"/>
    </row>
    <row r="361" spans="1:8" ht="12.75">
      <c r="A361" s="1090"/>
      <c r="B361" s="1090"/>
      <c r="C361" s="74"/>
      <c r="D361" s="74"/>
      <c r="E361" s="1043"/>
      <c r="H361" s="74"/>
    </row>
    <row r="362" spans="1:8" ht="12.75">
      <c r="A362" s="1090"/>
      <c r="B362" s="1090"/>
      <c r="C362" s="74"/>
      <c r="D362" s="74"/>
      <c r="E362" s="1043"/>
      <c r="H362" s="74"/>
    </row>
    <row r="363" spans="1:8" ht="12.75">
      <c r="A363" s="1090"/>
      <c r="B363" s="1090"/>
      <c r="C363" s="74"/>
      <c r="D363" s="74"/>
      <c r="E363" s="1043"/>
      <c r="H363" s="74"/>
    </row>
    <row r="364" spans="1:8" ht="12.75">
      <c r="A364" s="1090"/>
      <c r="B364" s="1090"/>
      <c r="C364" s="74"/>
      <c r="D364" s="74"/>
      <c r="E364" s="1043"/>
      <c r="H364" s="74"/>
    </row>
    <row r="365" spans="1:8" ht="12.75">
      <c r="A365" s="1090"/>
      <c r="B365" s="1090"/>
      <c r="C365" s="74"/>
      <c r="D365" s="74"/>
      <c r="E365" s="1043"/>
      <c r="H365" s="74"/>
    </row>
    <row r="366" spans="1:8" ht="12.75">
      <c r="A366" s="1090"/>
      <c r="B366" s="1090"/>
      <c r="C366" s="74"/>
      <c r="D366" s="74"/>
      <c r="E366" s="1043"/>
      <c r="H366" s="74"/>
    </row>
    <row r="367" spans="1:8" ht="12.75">
      <c r="A367" s="1090"/>
      <c r="B367" s="1090"/>
      <c r="C367" s="74"/>
      <c r="D367" s="74"/>
      <c r="E367" s="1043"/>
      <c r="H367" s="74"/>
    </row>
    <row r="368" spans="1:8" ht="12.75">
      <c r="A368" s="1090"/>
      <c r="B368" s="1090"/>
      <c r="C368" s="74"/>
      <c r="D368" s="74"/>
      <c r="E368" s="1043"/>
      <c r="H368" s="74"/>
    </row>
    <row r="369" spans="1:8" ht="12.75">
      <c r="A369" s="1090"/>
      <c r="B369" s="1090"/>
      <c r="C369" s="74"/>
      <c r="D369" s="74"/>
      <c r="E369" s="1043"/>
      <c r="H369" s="74"/>
    </row>
    <row r="370" spans="1:8" ht="12.75">
      <c r="A370" s="1090"/>
      <c r="B370" s="1090"/>
      <c r="C370" s="74"/>
      <c r="D370" s="74"/>
      <c r="E370" s="1043"/>
      <c r="H370" s="74"/>
    </row>
    <row r="371" spans="1:8" ht="12.75">
      <c r="A371" s="1090"/>
      <c r="B371" s="1090"/>
      <c r="C371" s="74"/>
      <c r="D371" s="74"/>
      <c r="E371" s="1043"/>
      <c r="H371" s="74"/>
    </row>
    <row r="372" spans="1:8" ht="12.75">
      <c r="A372" s="1090"/>
      <c r="B372" s="1090"/>
      <c r="C372" s="74"/>
      <c r="D372" s="74"/>
      <c r="E372" s="1043"/>
      <c r="H372" s="74"/>
    </row>
    <row r="373" spans="1:8" ht="12.75">
      <c r="A373" s="1090"/>
      <c r="B373" s="1090"/>
      <c r="C373" s="74"/>
      <c r="D373" s="74"/>
      <c r="E373" s="1043"/>
      <c r="H373" s="74"/>
    </row>
    <row r="374" spans="1:8" ht="12.75">
      <c r="A374" s="1090"/>
      <c r="B374" s="1090"/>
      <c r="C374" s="74"/>
      <c r="D374" s="74"/>
      <c r="E374" s="1043"/>
      <c r="H374" s="74"/>
    </row>
    <row r="375" spans="1:8" ht="12.75">
      <c r="A375" s="1090"/>
      <c r="B375" s="1090"/>
      <c r="C375" s="74"/>
      <c r="D375" s="74"/>
      <c r="E375" s="1043"/>
      <c r="H375" s="74"/>
    </row>
    <row r="376" spans="1:8" ht="12.75">
      <c r="A376" s="1090"/>
      <c r="B376" s="1090"/>
      <c r="C376" s="74"/>
      <c r="D376" s="74"/>
      <c r="E376" s="1043"/>
      <c r="H376" s="74"/>
    </row>
    <row r="377" spans="1:8" ht="12.75">
      <c r="A377" s="1090"/>
      <c r="B377" s="1090"/>
      <c r="C377" s="74"/>
      <c r="D377" s="74"/>
      <c r="E377" s="1043"/>
      <c r="H377" s="74"/>
    </row>
    <row r="378" spans="1:8" ht="12.75">
      <c r="A378" s="1090"/>
      <c r="B378" s="1090"/>
      <c r="C378" s="74"/>
      <c r="D378" s="74"/>
      <c r="E378" s="1043"/>
      <c r="H378" s="74"/>
    </row>
    <row r="379" spans="1:8" ht="12.75">
      <c r="A379" s="1090"/>
      <c r="B379" s="1090"/>
      <c r="C379" s="74"/>
      <c r="D379" s="74"/>
      <c r="E379" s="1043"/>
      <c r="H379" s="74"/>
    </row>
    <row r="380" spans="1:8" ht="12.75">
      <c r="A380" s="1090"/>
      <c r="B380" s="1090"/>
      <c r="C380" s="74"/>
      <c r="D380" s="74"/>
      <c r="E380" s="1043"/>
      <c r="H380" s="74"/>
    </row>
    <row r="381" spans="1:8" ht="12.75">
      <c r="A381" s="1090"/>
      <c r="B381" s="1090"/>
      <c r="C381" s="74"/>
      <c r="D381" s="74"/>
      <c r="E381" s="1043"/>
      <c r="H381" s="74"/>
    </row>
    <row r="382" spans="1:8" ht="12.75">
      <c r="A382" s="1090"/>
      <c r="B382" s="1090"/>
      <c r="C382" s="74"/>
      <c r="D382" s="74"/>
      <c r="E382" s="1043"/>
      <c r="H382" s="74"/>
    </row>
    <row r="383" spans="1:8" ht="12.75">
      <c r="A383" s="1090"/>
      <c r="B383" s="1090"/>
      <c r="C383" s="74"/>
      <c r="D383" s="74"/>
      <c r="E383" s="1043"/>
      <c r="H383" s="74"/>
    </row>
    <row r="384" spans="1:8" ht="12.75">
      <c r="A384" s="1090"/>
      <c r="B384" s="1090"/>
      <c r="C384" s="74"/>
      <c r="D384" s="74"/>
      <c r="E384" s="1043"/>
      <c r="H384" s="74"/>
    </row>
    <row r="385" spans="1:8" ht="12.75">
      <c r="A385" s="1090"/>
      <c r="B385" s="1090"/>
      <c r="C385" s="74"/>
      <c r="D385" s="74"/>
      <c r="E385" s="1043"/>
      <c r="H385" s="74"/>
    </row>
    <row r="386" spans="1:8" ht="12.75">
      <c r="A386" s="1090"/>
      <c r="B386" s="1090"/>
      <c r="C386" s="74"/>
      <c r="D386" s="74"/>
      <c r="E386" s="1043"/>
      <c r="H386" s="74"/>
    </row>
    <row r="387" spans="1:8" ht="12.75">
      <c r="A387" s="1090"/>
      <c r="B387" s="1090"/>
      <c r="C387" s="74"/>
      <c r="D387" s="74"/>
      <c r="E387" s="1043"/>
      <c r="H387" s="74"/>
    </row>
    <row r="388" spans="1:8" ht="12.75">
      <c r="A388" s="1090"/>
      <c r="B388" s="1090"/>
      <c r="C388" s="74"/>
      <c r="D388" s="74"/>
      <c r="E388" s="1043"/>
      <c r="H388" s="74"/>
    </row>
    <row r="389" spans="1:8" ht="12.75">
      <c r="A389" s="1090"/>
      <c r="B389" s="1090"/>
      <c r="C389" s="74"/>
      <c r="D389" s="74"/>
      <c r="E389" s="1043"/>
      <c r="H389" s="74"/>
    </row>
    <row r="390" spans="1:8" ht="12.75">
      <c r="A390" s="1090"/>
      <c r="B390" s="1090"/>
      <c r="C390" s="74"/>
      <c r="D390" s="74"/>
      <c r="E390" s="1043"/>
      <c r="H390" s="74"/>
    </row>
    <row r="391" spans="1:8" ht="12.75">
      <c r="A391" s="1090"/>
      <c r="B391" s="1090"/>
      <c r="C391" s="74"/>
      <c r="D391" s="74"/>
      <c r="E391" s="1043"/>
      <c r="H391" s="74"/>
    </row>
    <row r="392" spans="1:8" ht="12.75">
      <c r="A392" s="1090"/>
      <c r="B392" s="1090"/>
      <c r="C392" s="74"/>
      <c r="D392" s="74"/>
      <c r="E392" s="1043"/>
      <c r="H392" s="74"/>
    </row>
    <row r="393" spans="1:8" ht="12.75">
      <c r="A393" s="1090"/>
      <c r="B393" s="1090"/>
      <c r="C393" s="74"/>
      <c r="D393" s="74"/>
      <c r="E393" s="1043"/>
      <c r="H393" s="74"/>
    </row>
    <row r="394" spans="1:8" ht="12.75">
      <c r="A394" s="1090"/>
      <c r="B394" s="1090"/>
      <c r="C394" s="74"/>
      <c r="D394" s="74"/>
      <c r="E394" s="1043"/>
      <c r="H394" s="74"/>
    </row>
    <row r="395" spans="1:8" ht="12.75">
      <c r="A395" s="1090"/>
      <c r="B395" s="1090"/>
      <c r="C395" s="74"/>
      <c r="D395" s="74"/>
      <c r="E395" s="1043"/>
      <c r="H395" s="74"/>
    </row>
    <row r="396" spans="1:8" ht="12.75">
      <c r="A396" s="1090"/>
      <c r="B396" s="1090"/>
      <c r="C396" s="74"/>
      <c r="D396" s="74"/>
      <c r="E396" s="1043"/>
      <c r="H396" s="74"/>
    </row>
    <row r="397" spans="1:8" ht="12.75">
      <c r="A397" s="1090"/>
      <c r="B397" s="1090"/>
      <c r="C397" s="74"/>
      <c r="D397" s="74"/>
      <c r="E397" s="1043"/>
      <c r="H397" s="74"/>
    </row>
    <row r="398" spans="1:8" ht="12.75">
      <c r="A398" s="1090"/>
      <c r="B398" s="1090"/>
      <c r="C398" s="74"/>
      <c r="D398" s="74"/>
      <c r="E398" s="1043"/>
      <c r="H398" s="74"/>
    </row>
    <row r="399" spans="1:8" ht="12.75">
      <c r="A399" s="1090"/>
      <c r="B399" s="1090"/>
      <c r="C399" s="74"/>
      <c r="D399" s="74"/>
      <c r="E399" s="1043"/>
      <c r="H399" s="74"/>
    </row>
    <row r="400" spans="1:8" ht="12.75">
      <c r="A400" s="1090"/>
      <c r="B400" s="1090"/>
      <c r="C400" s="74"/>
      <c r="D400" s="74"/>
      <c r="E400" s="1043"/>
      <c r="H400" s="74"/>
    </row>
    <row r="401" spans="1:8" ht="12.75">
      <c r="A401" s="1090"/>
      <c r="B401" s="1090"/>
      <c r="C401" s="74"/>
      <c r="D401" s="74"/>
      <c r="E401" s="1043"/>
      <c r="H401" s="74"/>
    </row>
    <row r="402" spans="1:8" ht="12.75">
      <c r="A402" s="1090"/>
      <c r="B402" s="1090"/>
      <c r="C402" s="74"/>
      <c r="D402" s="74"/>
      <c r="E402" s="1043"/>
      <c r="H402" s="74"/>
    </row>
    <row r="403" spans="1:8" ht="12.75">
      <c r="A403" s="1090"/>
      <c r="B403" s="1090"/>
      <c r="C403" s="74"/>
      <c r="D403" s="74"/>
      <c r="E403" s="1043"/>
      <c r="H403" s="74"/>
    </row>
    <row r="404" spans="1:8" ht="12.75">
      <c r="A404" s="1090"/>
      <c r="B404" s="1090"/>
      <c r="C404" s="74"/>
      <c r="D404" s="74"/>
      <c r="E404" s="1043"/>
      <c r="H404" s="74"/>
    </row>
    <row r="405" spans="1:8" ht="12.75">
      <c r="A405" s="1090"/>
      <c r="B405" s="1090"/>
      <c r="C405" s="74"/>
      <c r="D405" s="74"/>
      <c r="E405" s="1043"/>
      <c r="H405" s="74"/>
    </row>
    <row r="406" spans="1:8" ht="12.75">
      <c r="A406" s="1090"/>
      <c r="B406" s="1090"/>
      <c r="C406" s="74"/>
      <c r="D406" s="74"/>
      <c r="E406" s="1043"/>
      <c r="H406" s="74"/>
    </row>
    <row r="407" spans="1:8" ht="12.75">
      <c r="A407" s="1090"/>
      <c r="B407" s="1090"/>
      <c r="C407" s="74"/>
      <c r="D407" s="74"/>
      <c r="E407" s="1043"/>
      <c r="H407" s="74"/>
    </row>
    <row r="408" spans="1:8" ht="12.75">
      <c r="A408" s="1090"/>
      <c r="B408" s="1090"/>
      <c r="C408" s="74"/>
      <c r="D408" s="74"/>
      <c r="E408" s="1043"/>
      <c r="H408" s="74"/>
    </row>
    <row r="409" spans="1:8" ht="12.75">
      <c r="A409" s="1090"/>
      <c r="B409" s="1090"/>
      <c r="C409" s="74"/>
      <c r="D409" s="74"/>
      <c r="E409" s="1043"/>
      <c r="H409" s="74"/>
    </row>
    <row r="410" spans="1:8" ht="12.75">
      <c r="A410" s="1090"/>
      <c r="B410" s="1090"/>
      <c r="C410" s="74"/>
      <c r="D410" s="74"/>
      <c r="E410" s="1043"/>
      <c r="H410" s="74"/>
    </row>
    <row r="411" spans="1:8" ht="12.75">
      <c r="A411" s="1090"/>
      <c r="B411" s="1090"/>
      <c r="C411" s="74"/>
      <c r="D411" s="74"/>
      <c r="E411" s="1043"/>
      <c r="H411" s="74"/>
    </row>
    <row r="412" spans="1:8" ht="12.75">
      <c r="A412" s="1090"/>
      <c r="B412" s="1090"/>
      <c r="C412" s="74"/>
      <c r="D412" s="74"/>
      <c r="E412" s="1043"/>
      <c r="H412" s="74"/>
    </row>
    <row r="413" spans="1:8" ht="12.75">
      <c r="A413" s="1090"/>
      <c r="B413" s="1090"/>
      <c r="C413" s="74"/>
      <c r="D413" s="74"/>
      <c r="E413" s="1043"/>
      <c r="H413" s="74"/>
    </row>
    <row r="414" spans="1:8" ht="12.75">
      <c r="A414" s="1090"/>
      <c r="B414" s="1090"/>
      <c r="C414" s="74"/>
      <c r="D414" s="74"/>
      <c r="E414" s="1043"/>
      <c r="H414" s="74"/>
    </row>
    <row r="415" spans="1:8" ht="12.75">
      <c r="A415" s="1090"/>
      <c r="B415" s="1090"/>
      <c r="C415" s="74"/>
      <c r="D415" s="74"/>
      <c r="E415" s="1043"/>
      <c r="H415" s="74"/>
    </row>
    <row r="416" spans="1:8" ht="12.75">
      <c r="A416" s="1090"/>
      <c r="B416" s="1090"/>
      <c r="C416" s="74"/>
      <c r="D416" s="74"/>
      <c r="E416" s="1043"/>
      <c r="H416" s="74"/>
    </row>
    <row r="417" spans="1:8" ht="12.75">
      <c r="A417" s="1090"/>
      <c r="B417" s="1090"/>
      <c r="C417" s="74"/>
      <c r="D417" s="74"/>
      <c r="E417" s="1043"/>
      <c r="H417" s="74"/>
    </row>
    <row r="418" spans="1:8" ht="12.75">
      <c r="A418" s="1090"/>
      <c r="B418" s="1090"/>
      <c r="C418" s="74"/>
      <c r="D418" s="74"/>
      <c r="E418" s="1043"/>
      <c r="H418" s="74"/>
    </row>
    <row r="419" spans="1:8" ht="12.75">
      <c r="A419" s="1090"/>
      <c r="B419" s="1090"/>
      <c r="C419" s="74"/>
      <c r="D419" s="74"/>
      <c r="E419" s="1043"/>
      <c r="H419" s="74"/>
    </row>
    <row r="420" spans="1:8" ht="12.75">
      <c r="A420" s="1090"/>
      <c r="B420" s="1090"/>
      <c r="C420" s="74"/>
      <c r="D420" s="74"/>
      <c r="E420" s="1043"/>
      <c r="H420" s="74"/>
    </row>
    <row r="421" spans="1:8" ht="12.75">
      <c r="A421" s="1090"/>
      <c r="B421" s="1090"/>
      <c r="C421" s="74"/>
      <c r="D421" s="74"/>
      <c r="E421" s="1043"/>
      <c r="H421" s="74"/>
    </row>
    <row r="422" spans="1:8" ht="12.75">
      <c r="A422" s="1090"/>
      <c r="B422" s="1090"/>
      <c r="C422" s="74"/>
      <c r="D422" s="74"/>
      <c r="E422" s="1043"/>
      <c r="H422" s="74"/>
    </row>
    <row r="423" spans="1:8" ht="12.75">
      <c r="A423" s="1090"/>
      <c r="B423" s="1090"/>
      <c r="C423" s="74"/>
      <c r="D423" s="74"/>
      <c r="E423" s="1043"/>
      <c r="H423" s="74"/>
    </row>
    <row r="424" spans="1:8" ht="12.75">
      <c r="A424" s="1090"/>
      <c r="B424" s="1090"/>
      <c r="C424" s="74"/>
      <c r="D424" s="74"/>
      <c r="E424" s="1043"/>
      <c r="H424" s="74"/>
    </row>
    <row r="425" spans="1:8" ht="12.75">
      <c r="A425" s="1090"/>
      <c r="B425" s="1090"/>
      <c r="C425" s="74"/>
      <c r="D425" s="74"/>
      <c r="E425" s="1043"/>
      <c r="H425" s="74"/>
    </row>
    <row r="426" spans="1:8" ht="12.75">
      <c r="A426" s="1090"/>
      <c r="B426" s="1090"/>
      <c r="C426" s="74"/>
      <c r="D426" s="74"/>
      <c r="E426" s="1043"/>
      <c r="H426" s="74"/>
    </row>
    <row r="427" spans="1:8" ht="12.75">
      <c r="A427" s="1090"/>
      <c r="B427" s="1090"/>
      <c r="C427" s="74"/>
      <c r="D427" s="74"/>
      <c r="E427" s="1043"/>
      <c r="H427" s="74"/>
    </row>
    <row r="428" spans="1:8" ht="12.75">
      <c r="A428" s="1090"/>
      <c r="B428" s="1090"/>
      <c r="C428" s="74"/>
      <c r="D428" s="74"/>
      <c r="E428" s="1043"/>
      <c r="H428" s="74"/>
    </row>
    <row r="429" spans="1:8" ht="12.75">
      <c r="A429" s="1090"/>
      <c r="B429" s="1090"/>
      <c r="C429" s="74"/>
      <c r="D429" s="74"/>
      <c r="E429" s="1043"/>
      <c r="H429" s="74"/>
    </row>
    <row r="430" spans="1:8" ht="12.75">
      <c r="A430" s="1090"/>
      <c r="B430" s="1090"/>
      <c r="C430" s="74"/>
      <c r="D430" s="74"/>
      <c r="E430" s="1043"/>
      <c r="H430" s="74"/>
    </row>
    <row r="431" spans="1:8" ht="12.75">
      <c r="A431" s="1090"/>
      <c r="B431" s="1090"/>
      <c r="C431" s="74"/>
      <c r="D431" s="74"/>
      <c r="E431" s="1043"/>
      <c r="H431" s="74"/>
    </row>
    <row r="432" spans="1:8" ht="12.75">
      <c r="A432" s="1090"/>
      <c r="B432" s="1090"/>
      <c r="C432" s="74"/>
      <c r="D432" s="74"/>
      <c r="E432" s="1043"/>
      <c r="H432" s="74"/>
    </row>
    <row r="433" spans="1:8" ht="12.75">
      <c r="A433" s="1090"/>
      <c r="B433" s="1090"/>
      <c r="C433" s="74"/>
      <c r="D433" s="74"/>
      <c r="E433" s="1043"/>
      <c r="H433" s="74"/>
    </row>
    <row r="434" spans="1:8" ht="12.75">
      <c r="A434" s="1090"/>
      <c r="B434" s="1090"/>
      <c r="C434" s="74"/>
      <c r="D434" s="74"/>
      <c r="E434" s="1043"/>
      <c r="H434" s="74"/>
    </row>
    <row r="435" spans="1:8" ht="12.75">
      <c r="A435" s="1090"/>
      <c r="B435" s="1090"/>
      <c r="C435" s="74"/>
      <c r="D435" s="74"/>
      <c r="E435" s="1043"/>
      <c r="H435" s="74"/>
    </row>
    <row r="436" spans="1:8" ht="12.75">
      <c r="A436" s="1090"/>
      <c r="B436" s="1090"/>
      <c r="C436" s="74"/>
      <c r="D436" s="74"/>
      <c r="E436" s="1043"/>
      <c r="H436" s="74"/>
    </row>
    <row r="437" spans="1:8" ht="12.75">
      <c r="A437" s="1090"/>
      <c r="B437" s="1090"/>
      <c r="C437" s="74"/>
      <c r="D437" s="74"/>
      <c r="E437" s="1043"/>
      <c r="H437" s="74"/>
    </row>
    <row r="438" spans="1:8" ht="12.75">
      <c r="A438" s="1090"/>
      <c r="B438" s="1090"/>
      <c r="C438" s="74"/>
      <c r="D438" s="74"/>
      <c r="E438" s="1043"/>
      <c r="H438" s="74"/>
    </row>
    <row r="439" spans="1:8" ht="12.75">
      <c r="A439" s="1090"/>
      <c r="B439" s="1090"/>
      <c r="C439" s="74"/>
      <c r="D439" s="74"/>
      <c r="E439" s="1043"/>
      <c r="H439" s="74"/>
    </row>
    <row r="440" spans="1:8" ht="12.75">
      <c r="A440" s="1090"/>
      <c r="B440" s="1090"/>
      <c r="C440" s="74"/>
      <c r="D440" s="74"/>
      <c r="E440" s="1043"/>
      <c r="H440" s="74"/>
    </row>
    <row r="441" spans="1:8" ht="12.75">
      <c r="A441" s="1090"/>
      <c r="B441" s="1090"/>
      <c r="C441" s="74"/>
      <c r="D441" s="74"/>
      <c r="E441" s="1043"/>
      <c r="H441" s="74"/>
    </row>
    <row r="442" spans="1:8" ht="12.75">
      <c r="A442" s="1090"/>
      <c r="B442" s="1090"/>
      <c r="C442" s="74"/>
      <c r="D442" s="74"/>
      <c r="E442" s="1043"/>
      <c r="H442" s="74"/>
    </row>
    <row r="443" spans="1:8" ht="12.75">
      <c r="A443" s="1090"/>
      <c r="B443" s="1090"/>
      <c r="C443" s="74"/>
      <c r="D443" s="74"/>
      <c r="E443" s="1043"/>
      <c r="H443" s="74"/>
    </row>
    <row r="444" spans="1:8" ht="12.75">
      <c r="A444" s="1090"/>
      <c r="B444" s="1090"/>
      <c r="C444" s="74"/>
      <c r="D444" s="74"/>
      <c r="E444" s="1043"/>
      <c r="H444" s="74"/>
    </row>
    <row r="445" spans="1:8" ht="12.75">
      <c r="A445" s="1090"/>
      <c r="B445" s="1090"/>
      <c r="C445" s="74"/>
      <c r="D445" s="74"/>
      <c r="E445" s="1043"/>
      <c r="H445" s="74"/>
    </row>
    <row r="446" spans="1:8" ht="12.75">
      <c r="A446" s="1090"/>
      <c r="B446" s="1090"/>
      <c r="C446" s="74"/>
      <c r="D446" s="74"/>
      <c r="E446" s="1043"/>
      <c r="H446" s="74"/>
    </row>
    <row r="447" spans="1:8" ht="12.75">
      <c r="A447" s="1090"/>
      <c r="B447" s="1090"/>
      <c r="C447" s="74"/>
      <c r="D447" s="74"/>
      <c r="E447" s="1043"/>
      <c r="H447" s="74"/>
    </row>
    <row r="448" spans="1:8" ht="12.75">
      <c r="A448" s="1090"/>
      <c r="B448" s="1090"/>
      <c r="C448" s="74"/>
      <c r="D448" s="74"/>
      <c r="E448" s="1043"/>
      <c r="H448" s="74"/>
    </row>
    <row r="449" spans="1:8" ht="12.75">
      <c r="A449" s="1090"/>
      <c r="B449" s="1090"/>
      <c r="C449" s="74"/>
      <c r="D449" s="74"/>
      <c r="E449" s="1043"/>
      <c r="H449" s="74"/>
    </row>
    <row r="450" spans="1:8" ht="12.75">
      <c r="A450" s="1090"/>
      <c r="B450" s="1090"/>
      <c r="C450" s="74"/>
      <c r="D450" s="74"/>
      <c r="E450" s="1043"/>
      <c r="H450" s="74"/>
    </row>
    <row r="451" spans="1:8" ht="12.75">
      <c r="A451" s="1090"/>
      <c r="B451" s="1090"/>
      <c r="C451" s="74"/>
      <c r="D451" s="74"/>
      <c r="E451" s="1043"/>
      <c r="H451" s="74"/>
    </row>
    <row r="452" spans="1:8" ht="12.75">
      <c r="A452" s="1090"/>
      <c r="B452" s="1090"/>
      <c r="C452" s="74"/>
      <c r="D452" s="74"/>
      <c r="E452" s="1043"/>
      <c r="H452" s="74"/>
    </row>
    <row r="453" spans="1:8" ht="12.75">
      <c r="A453" s="1090"/>
      <c r="B453" s="1090"/>
      <c r="C453" s="74"/>
      <c r="D453" s="74"/>
      <c r="E453" s="1043"/>
      <c r="H453" s="74"/>
    </row>
    <row r="454" spans="1:8" ht="12.75">
      <c r="A454" s="1090"/>
      <c r="B454" s="1090"/>
      <c r="C454" s="74"/>
      <c r="D454" s="74"/>
      <c r="E454" s="1043"/>
      <c r="H454" s="74"/>
    </row>
    <row r="455" spans="1:8" ht="12.75">
      <c r="A455" s="1090"/>
      <c r="B455" s="1090"/>
      <c r="C455" s="74"/>
      <c r="D455" s="74"/>
      <c r="E455" s="1043"/>
      <c r="H455" s="74"/>
    </row>
    <row r="456" spans="1:8" ht="12.75">
      <c r="A456" s="1090"/>
      <c r="B456" s="1090"/>
      <c r="C456" s="74"/>
      <c r="D456" s="74"/>
      <c r="E456" s="1043"/>
      <c r="H456" s="74"/>
    </row>
    <row r="457" spans="1:8" ht="12.75">
      <c r="A457" s="1090"/>
      <c r="B457" s="1090"/>
      <c r="C457" s="74"/>
      <c r="D457" s="74"/>
      <c r="E457" s="1043"/>
      <c r="H457" s="74"/>
    </row>
    <row r="458" spans="1:8" ht="12.75">
      <c r="A458" s="1090"/>
      <c r="B458" s="1090"/>
      <c r="C458" s="74"/>
      <c r="D458" s="74"/>
      <c r="E458" s="1043"/>
      <c r="H458" s="74"/>
    </row>
    <row r="459" spans="1:8" ht="12.75">
      <c r="A459" s="1090"/>
      <c r="B459" s="1090"/>
      <c r="C459" s="74"/>
      <c r="D459" s="74"/>
      <c r="E459" s="1043"/>
      <c r="H459" s="74"/>
    </row>
    <row r="460" spans="1:8" ht="12.75">
      <c r="A460" s="1090"/>
      <c r="B460" s="1090"/>
      <c r="C460" s="74"/>
      <c r="D460" s="74"/>
      <c r="E460" s="1043"/>
      <c r="H460" s="74"/>
    </row>
    <row r="461" spans="1:8" ht="12.75">
      <c r="A461" s="1090"/>
      <c r="B461" s="1090"/>
      <c r="C461" s="74"/>
      <c r="D461" s="74"/>
      <c r="E461" s="1043"/>
      <c r="H461" s="74"/>
    </row>
    <row r="462" spans="1:8" ht="12.75">
      <c r="A462" s="1090"/>
      <c r="B462" s="1090"/>
      <c r="C462" s="74"/>
      <c r="D462" s="74"/>
      <c r="E462" s="1043"/>
      <c r="H462" s="74"/>
    </row>
    <row r="463" spans="1:8" ht="12.75">
      <c r="A463" s="1090"/>
      <c r="B463" s="1090"/>
      <c r="C463" s="74"/>
      <c r="D463" s="74"/>
      <c r="E463" s="1043"/>
      <c r="H463" s="74"/>
    </row>
    <row r="464" spans="1:8" ht="12.75">
      <c r="A464" s="1090"/>
      <c r="B464" s="1090"/>
      <c r="C464" s="74"/>
      <c r="D464" s="74"/>
      <c r="E464" s="1043"/>
      <c r="H464" s="74"/>
    </row>
    <row r="465" spans="1:8" ht="12.75">
      <c r="A465" s="1090"/>
      <c r="B465" s="1090"/>
      <c r="C465" s="74"/>
      <c r="D465" s="74"/>
      <c r="E465" s="1043"/>
      <c r="H465" s="74"/>
    </row>
    <row r="466" spans="1:8" ht="12.75">
      <c r="A466" s="1090"/>
      <c r="B466" s="1090"/>
      <c r="C466" s="74"/>
      <c r="D466" s="74"/>
      <c r="E466" s="1043"/>
      <c r="H466" s="74"/>
    </row>
    <row r="467" spans="1:8" ht="12.75">
      <c r="A467" s="1090"/>
      <c r="B467" s="1090"/>
      <c r="C467" s="74"/>
      <c r="D467" s="74"/>
      <c r="E467" s="1043"/>
      <c r="H467" s="74"/>
    </row>
    <row r="468" spans="1:8" ht="12.75">
      <c r="A468" s="1090"/>
      <c r="B468" s="1090"/>
      <c r="C468" s="74"/>
      <c r="D468" s="74"/>
      <c r="E468" s="1043"/>
      <c r="H468" s="74"/>
    </row>
    <row r="469" spans="1:8" ht="12.75">
      <c r="A469" s="1090"/>
      <c r="B469" s="1090"/>
      <c r="C469" s="74"/>
      <c r="D469" s="74"/>
      <c r="E469" s="1043"/>
      <c r="H469" s="74"/>
    </row>
    <row r="470" spans="1:8" ht="12.75">
      <c r="A470" s="1090"/>
      <c r="B470" s="1090"/>
      <c r="C470" s="74"/>
      <c r="D470" s="74"/>
      <c r="E470" s="1043"/>
      <c r="H470" s="74"/>
    </row>
    <row r="471" spans="1:8" ht="12.75">
      <c r="A471" s="1090"/>
      <c r="B471" s="1090"/>
      <c r="C471" s="74"/>
      <c r="D471" s="74"/>
      <c r="E471" s="1043"/>
      <c r="H471" s="74"/>
    </row>
    <row r="472" spans="1:8" ht="12.75">
      <c r="A472" s="1090"/>
      <c r="B472" s="1090"/>
      <c r="C472" s="74"/>
      <c r="D472" s="74"/>
      <c r="E472" s="1043"/>
      <c r="H472" s="74"/>
    </row>
    <row r="473" spans="1:8" ht="12.75">
      <c r="A473" s="1090"/>
      <c r="B473" s="1090"/>
      <c r="C473" s="74"/>
      <c r="D473" s="74"/>
      <c r="E473" s="1043"/>
      <c r="H473" s="74"/>
    </row>
    <row r="474" spans="1:8" ht="12.75">
      <c r="A474" s="1090"/>
      <c r="B474" s="1090"/>
      <c r="C474" s="74"/>
      <c r="D474" s="74"/>
      <c r="E474" s="1043"/>
      <c r="H474" s="74"/>
    </row>
    <row r="475" spans="1:8" ht="12.75">
      <c r="A475" s="1090"/>
      <c r="B475" s="1090"/>
      <c r="C475" s="74"/>
      <c r="D475" s="74"/>
      <c r="E475" s="1043"/>
      <c r="H475" s="74"/>
    </row>
    <row r="476" spans="1:8" ht="12.75">
      <c r="A476" s="1090"/>
      <c r="B476" s="1090"/>
      <c r="C476" s="74"/>
      <c r="D476" s="74"/>
      <c r="E476" s="1043"/>
      <c r="H476" s="74"/>
    </row>
    <row r="477" spans="1:8" ht="12.75">
      <c r="A477" s="1090"/>
      <c r="B477" s="1090"/>
      <c r="C477" s="74"/>
      <c r="D477" s="74"/>
      <c r="E477" s="1043"/>
      <c r="H477" s="74"/>
    </row>
    <row r="478" spans="1:8" ht="12.75">
      <c r="A478" s="1090"/>
      <c r="B478" s="1090"/>
      <c r="C478" s="74"/>
      <c r="D478" s="74"/>
      <c r="E478" s="1043"/>
      <c r="H478" s="74"/>
    </row>
    <row r="479" spans="1:8" ht="12.75">
      <c r="A479" s="1090"/>
      <c r="B479" s="1090"/>
      <c r="C479" s="74"/>
      <c r="D479" s="74"/>
      <c r="E479" s="1043"/>
      <c r="H479" s="74"/>
    </row>
    <row r="480" spans="1:8" ht="12.75">
      <c r="A480" s="1090"/>
      <c r="B480" s="1090"/>
      <c r="C480" s="74"/>
      <c r="D480" s="74"/>
      <c r="E480" s="1043"/>
      <c r="H480" s="74"/>
    </row>
    <row r="481" spans="1:8" ht="12.75">
      <c r="A481" s="1090"/>
      <c r="B481" s="1090"/>
      <c r="C481" s="74"/>
      <c r="D481" s="74"/>
      <c r="E481" s="1043"/>
      <c r="H481" s="74"/>
    </row>
    <row r="482" spans="1:8" ht="12.75">
      <c r="A482" s="1090"/>
      <c r="B482" s="1090"/>
      <c r="C482" s="74"/>
      <c r="D482" s="74"/>
      <c r="E482" s="1043"/>
      <c r="H482" s="74"/>
    </row>
    <row r="483" spans="1:8" ht="12.75">
      <c r="A483" s="1090"/>
      <c r="B483" s="1090"/>
      <c r="C483" s="74"/>
      <c r="D483" s="74"/>
      <c r="E483" s="1043"/>
      <c r="H483" s="74"/>
    </row>
    <row r="484" spans="1:8" ht="12.75">
      <c r="A484" s="1090"/>
      <c r="B484" s="1090"/>
      <c r="C484" s="74"/>
      <c r="D484" s="74"/>
      <c r="E484" s="1043"/>
      <c r="H484" s="74"/>
    </row>
    <row r="485" spans="1:8" ht="12.75">
      <c r="A485" s="1090"/>
      <c r="B485" s="1090"/>
      <c r="C485" s="74"/>
      <c r="D485" s="74"/>
      <c r="E485" s="1043"/>
      <c r="H485" s="74"/>
    </row>
    <row r="486" spans="1:8" ht="12.75">
      <c r="A486" s="1090"/>
      <c r="B486" s="1090"/>
      <c r="C486" s="74"/>
      <c r="D486" s="74"/>
      <c r="E486" s="1043"/>
      <c r="H486" s="74"/>
    </row>
    <row r="487" spans="1:8" ht="12.75">
      <c r="A487" s="1090"/>
      <c r="B487" s="1090"/>
      <c r="C487" s="74"/>
      <c r="D487" s="74"/>
      <c r="E487" s="1043"/>
      <c r="H487" s="74"/>
    </row>
    <row r="488" spans="1:8" ht="12.75">
      <c r="A488" s="1090"/>
      <c r="B488" s="1090"/>
      <c r="C488" s="74"/>
      <c r="D488" s="74"/>
      <c r="E488" s="1043"/>
      <c r="H488" s="74"/>
    </row>
    <row r="489" spans="1:8" ht="12.75">
      <c r="A489" s="1090"/>
      <c r="B489" s="1090"/>
      <c r="C489" s="74"/>
      <c r="D489" s="74"/>
      <c r="E489" s="1043"/>
      <c r="H489" s="74"/>
    </row>
    <row r="490" spans="1:8" ht="12.75">
      <c r="A490" s="1090"/>
      <c r="B490" s="1090"/>
      <c r="C490" s="74"/>
      <c r="D490" s="74"/>
      <c r="E490" s="1043"/>
      <c r="H490" s="74"/>
    </row>
    <row r="491" spans="1:8" ht="12.75">
      <c r="A491" s="1090"/>
      <c r="B491" s="1090"/>
      <c r="C491" s="74"/>
      <c r="D491" s="74"/>
      <c r="E491" s="1043"/>
      <c r="H491" s="74"/>
    </row>
    <row r="492" spans="1:8" ht="12.75">
      <c r="A492" s="1090"/>
      <c r="B492" s="1090"/>
      <c r="C492" s="74"/>
      <c r="D492" s="74"/>
      <c r="E492" s="1043"/>
      <c r="H492" s="74"/>
    </row>
    <row r="493" spans="1:8" ht="12.75">
      <c r="A493" s="1090"/>
      <c r="B493" s="1090"/>
      <c r="C493" s="74"/>
      <c r="D493" s="74"/>
      <c r="E493" s="1043"/>
      <c r="H493" s="74"/>
    </row>
    <row r="494" spans="1:8" ht="12.75">
      <c r="A494" s="1090"/>
      <c r="B494" s="1090"/>
      <c r="C494" s="74"/>
      <c r="D494" s="74"/>
      <c r="E494" s="1043"/>
      <c r="H494" s="74"/>
    </row>
    <row r="495" spans="1:8" ht="12.75">
      <c r="A495" s="1090"/>
      <c r="B495" s="1090"/>
      <c r="C495" s="74"/>
      <c r="D495" s="74"/>
      <c r="E495" s="1043"/>
      <c r="H495" s="74"/>
    </row>
    <row r="496" spans="1:8" ht="12.75">
      <c r="A496" s="1090"/>
      <c r="B496" s="1090"/>
      <c r="C496" s="74"/>
      <c r="D496" s="74"/>
      <c r="E496" s="1043"/>
      <c r="H496" s="74"/>
    </row>
    <row r="497" spans="1:8" ht="12.75">
      <c r="A497" s="1090"/>
      <c r="B497" s="1090"/>
      <c r="C497" s="74"/>
      <c r="D497" s="74"/>
      <c r="E497" s="1043"/>
      <c r="H497" s="74"/>
    </row>
    <row r="498" spans="1:8" ht="12.75">
      <c r="A498" s="1090"/>
      <c r="B498" s="1090"/>
      <c r="C498" s="74"/>
      <c r="D498" s="74"/>
      <c r="E498" s="1043"/>
      <c r="H498" s="74"/>
    </row>
    <row r="499" spans="1:8" ht="12.75">
      <c r="A499" s="1090"/>
      <c r="B499" s="1090"/>
      <c r="C499" s="74"/>
      <c r="D499" s="74"/>
      <c r="E499" s="1043"/>
      <c r="H499" s="74"/>
    </row>
    <row r="500" spans="1:8" ht="12.75">
      <c r="A500" s="1090"/>
      <c r="B500" s="1090"/>
      <c r="C500" s="74"/>
      <c r="D500" s="74"/>
      <c r="E500" s="1043"/>
      <c r="H500" s="74"/>
    </row>
    <row r="501" spans="1:8" ht="12.75">
      <c r="A501" s="1090"/>
      <c r="B501" s="1090"/>
      <c r="C501" s="74"/>
      <c r="D501" s="74"/>
      <c r="E501" s="1043"/>
      <c r="H501" s="74"/>
    </row>
    <row r="502" spans="1:8" ht="12.75">
      <c r="A502" s="1090"/>
      <c r="B502" s="1090"/>
      <c r="C502" s="74"/>
      <c r="D502" s="74"/>
      <c r="E502" s="1043"/>
      <c r="H502" s="74"/>
    </row>
    <row r="503" spans="1:8" ht="12.75">
      <c r="A503" s="1090"/>
      <c r="B503" s="1090"/>
      <c r="C503" s="74"/>
      <c r="D503" s="74"/>
      <c r="E503" s="1043"/>
      <c r="H503" s="74"/>
    </row>
    <row r="504" spans="1:8" ht="12.75">
      <c r="A504" s="1090"/>
      <c r="B504" s="1090"/>
      <c r="C504" s="74"/>
      <c r="D504" s="74"/>
      <c r="E504" s="1043"/>
      <c r="H504" s="74"/>
    </row>
    <row r="505" spans="1:8" ht="12.75">
      <c r="A505" s="1090"/>
      <c r="B505" s="1090"/>
      <c r="C505" s="74"/>
      <c r="D505" s="74"/>
      <c r="E505" s="1043"/>
      <c r="H505" s="74"/>
    </row>
    <row r="506" spans="1:8" ht="12.75">
      <c r="A506" s="1090"/>
      <c r="B506" s="1090"/>
      <c r="C506" s="74"/>
      <c r="D506" s="74"/>
      <c r="E506" s="1043"/>
      <c r="H506" s="74"/>
    </row>
    <row r="507" spans="1:8" ht="12.75">
      <c r="A507" s="1090"/>
      <c r="B507" s="1090"/>
      <c r="C507" s="74"/>
      <c r="D507" s="74"/>
      <c r="E507" s="1043"/>
      <c r="H507" s="74"/>
    </row>
    <row r="508" spans="1:8" ht="12.75">
      <c r="A508" s="1090"/>
      <c r="B508" s="1090"/>
      <c r="C508" s="74"/>
      <c r="D508" s="74"/>
      <c r="E508" s="1043"/>
      <c r="H508" s="74"/>
    </row>
    <row r="509" spans="1:8" ht="12.75">
      <c r="A509" s="1090"/>
      <c r="B509" s="1090"/>
      <c r="C509" s="74"/>
      <c r="D509" s="74"/>
      <c r="E509" s="1043"/>
      <c r="H509" s="74"/>
    </row>
    <row r="510" spans="1:8" ht="12.75">
      <c r="A510" s="1090"/>
      <c r="B510" s="1090"/>
      <c r="C510" s="74"/>
      <c r="D510" s="74"/>
      <c r="E510" s="1043"/>
      <c r="H510" s="74"/>
    </row>
    <row r="511" spans="1:8" ht="12.75">
      <c r="A511" s="1090"/>
      <c r="B511" s="1090"/>
      <c r="C511" s="74"/>
      <c r="D511" s="74"/>
      <c r="E511" s="1043"/>
      <c r="H511" s="74"/>
    </row>
    <row r="512" spans="1:8" ht="12.75">
      <c r="A512" s="1090"/>
      <c r="B512" s="1090"/>
      <c r="C512" s="74"/>
      <c r="D512" s="74"/>
      <c r="E512" s="1043"/>
      <c r="H512" s="74"/>
    </row>
    <row r="513" spans="1:8" ht="12.75">
      <c r="A513" s="1090"/>
      <c r="B513" s="1090"/>
      <c r="C513" s="74"/>
      <c r="D513" s="74"/>
      <c r="E513" s="1043"/>
      <c r="H513" s="74"/>
    </row>
    <row r="514" spans="1:8" ht="12.75">
      <c r="A514" s="1090"/>
      <c r="B514" s="1090"/>
      <c r="C514" s="74"/>
      <c r="D514" s="74"/>
      <c r="E514" s="1043"/>
      <c r="H514" s="74"/>
    </row>
    <row r="515" spans="1:8" ht="12.75">
      <c r="A515" s="1090"/>
      <c r="B515" s="1090"/>
      <c r="C515" s="74"/>
      <c r="D515" s="74"/>
      <c r="E515" s="1043"/>
      <c r="H515" s="74"/>
    </row>
    <row r="516" spans="1:8" ht="12.75">
      <c r="A516" s="1090"/>
      <c r="B516" s="1090"/>
      <c r="C516" s="74"/>
      <c r="D516" s="74"/>
      <c r="E516" s="1043"/>
      <c r="H516" s="74"/>
    </row>
    <row r="517" spans="1:8" ht="12.75">
      <c r="A517" s="1090"/>
      <c r="B517" s="1090"/>
      <c r="C517" s="74"/>
      <c r="D517" s="74"/>
      <c r="E517" s="1043"/>
      <c r="H517" s="74"/>
    </row>
    <row r="518" spans="1:8" ht="12.75">
      <c r="A518" s="1090"/>
      <c r="B518" s="1090"/>
      <c r="C518" s="74"/>
      <c r="D518" s="74"/>
      <c r="E518" s="1043"/>
      <c r="H518" s="74"/>
    </row>
    <row r="519" spans="1:8" ht="12.75">
      <c r="A519" s="1090"/>
      <c r="B519" s="1090"/>
      <c r="C519" s="74"/>
      <c r="D519" s="74"/>
      <c r="E519" s="1043"/>
      <c r="H519" s="74"/>
    </row>
    <row r="520" spans="1:8" ht="12.75">
      <c r="A520" s="1090"/>
      <c r="B520" s="1090"/>
      <c r="C520" s="74"/>
      <c r="D520" s="74"/>
      <c r="E520" s="1043"/>
      <c r="H520" s="74"/>
    </row>
    <row r="521" spans="1:8" ht="12.75">
      <c r="A521" s="1090"/>
      <c r="B521" s="1090"/>
      <c r="C521" s="74"/>
      <c r="D521" s="74"/>
      <c r="E521" s="1043"/>
      <c r="H521" s="74"/>
    </row>
    <row r="522" spans="1:8" ht="12.75">
      <c r="A522" s="1090"/>
      <c r="B522" s="1090"/>
      <c r="C522" s="74"/>
      <c r="D522" s="74"/>
      <c r="E522" s="1043"/>
      <c r="H522" s="74"/>
    </row>
    <row r="523" spans="1:8" ht="12.75">
      <c r="A523" s="1090"/>
      <c r="B523" s="1090"/>
      <c r="C523" s="74"/>
      <c r="D523" s="74"/>
      <c r="E523" s="1043"/>
      <c r="H523" s="74"/>
    </row>
    <row r="524" spans="1:8" ht="12.75">
      <c r="A524" s="1090"/>
      <c r="B524" s="1090"/>
      <c r="C524" s="74"/>
      <c r="D524" s="74"/>
      <c r="E524" s="1043"/>
      <c r="H524" s="74"/>
    </row>
    <row r="525" spans="1:8" ht="12.75">
      <c r="A525" s="1090"/>
      <c r="B525" s="1090"/>
      <c r="C525" s="74"/>
      <c r="D525" s="74"/>
      <c r="E525" s="1043"/>
      <c r="H525" s="74"/>
    </row>
    <row r="526" spans="1:8" ht="12.75">
      <c r="A526" s="1090"/>
      <c r="B526" s="1090"/>
      <c r="C526" s="74"/>
      <c r="D526" s="74"/>
      <c r="E526" s="1043"/>
      <c r="H526" s="74"/>
    </row>
    <row r="527" spans="1:8" ht="12.75">
      <c r="A527" s="1090"/>
      <c r="B527" s="1090"/>
      <c r="C527" s="74"/>
      <c r="D527" s="74"/>
      <c r="E527" s="1043"/>
      <c r="H527" s="74"/>
    </row>
    <row r="528" spans="1:8" ht="12.75">
      <c r="A528" s="1090"/>
      <c r="B528" s="1090"/>
      <c r="C528" s="74"/>
      <c r="D528" s="74"/>
      <c r="E528" s="1043"/>
      <c r="H528" s="74"/>
    </row>
    <row r="529" spans="1:8" ht="12.75">
      <c r="A529" s="1090"/>
      <c r="B529" s="1090"/>
      <c r="C529" s="74"/>
      <c r="D529" s="74"/>
      <c r="E529" s="1043"/>
      <c r="H529" s="74"/>
    </row>
    <row r="530" spans="1:8" ht="12.75">
      <c r="A530" s="1090"/>
      <c r="B530" s="1090"/>
      <c r="C530" s="74"/>
      <c r="D530" s="74"/>
      <c r="E530" s="1043"/>
      <c r="H530" s="74"/>
    </row>
    <row r="531" spans="1:8" ht="12.75">
      <c r="A531" s="1090"/>
      <c r="B531" s="1090"/>
      <c r="C531" s="74"/>
      <c r="D531" s="74"/>
      <c r="E531" s="1043"/>
      <c r="H531" s="74"/>
    </row>
    <row r="532" spans="1:8" ht="12.75">
      <c r="A532" s="1090"/>
      <c r="B532" s="1090"/>
      <c r="C532" s="74"/>
      <c r="D532" s="74"/>
      <c r="E532" s="1043"/>
      <c r="H532" s="74"/>
    </row>
    <row r="533" spans="1:8" ht="12.75">
      <c r="A533" s="1090"/>
      <c r="B533" s="1090"/>
      <c r="C533" s="74"/>
      <c r="D533" s="74"/>
      <c r="E533" s="1043"/>
      <c r="H533" s="74"/>
    </row>
    <row r="534" spans="1:8" ht="12.75">
      <c r="A534" s="1090"/>
      <c r="B534" s="1090"/>
      <c r="C534" s="74"/>
      <c r="D534" s="74"/>
      <c r="E534" s="1043"/>
      <c r="H534" s="74"/>
    </row>
    <row r="535" spans="1:8" ht="12.75">
      <c r="A535" s="1090"/>
      <c r="B535" s="1090"/>
      <c r="C535" s="74"/>
      <c r="D535" s="74"/>
      <c r="E535" s="1043"/>
      <c r="H535" s="74"/>
    </row>
    <row r="536" spans="1:8" ht="12.75">
      <c r="A536" s="1090"/>
      <c r="B536" s="1090"/>
      <c r="C536" s="74"/>
      <c r="D536" s="74"/>
      <c r="E536" s="1043"/>
      <c r="H536" s="74"/>
    </row>
    <row r="537" spans="1:8" ht="12.75">
      <c r="A537" s="1090"/>
      <c r="B537" s="1090"/>
      <c r="C537" s="74"/>
      <c r="D537" s="74"/>
      <c r="E537" s="1043"/>
      <c r="H537" s="74"/>
    </row>
    <row r="538" spans="1:8" ht="12.75">
      <c r="A538" s="1090"/>
      <c r="B538" s="1090"/>
      <c r="C538" s="74"/>
      <c r="D538" s="74"/>
      <c r="E538" s="1043"/>
      <c r="H538" s="74"/>
    </row>
    <row r="539" spans="1:8" ht="12.75">
      <c r="A539" s="1090"/>
      <c r="B539" s="1090"/>
      <c r="C539" s="74"/>
      <c r="D539" s="74"/>
      <c r="E539" s="1043"/>
      <c r="H539" s="74"/>
    </row>
    <row r="540" spans="1:8" ht="12.75">
      <c r="A540" s="1090"/>
      <c r="B540" s="1090"/>
      <c r="C540" s="74"/>
      <c r="D540" s="74"/>
      <c r="E540" s="1043"/>
      <c r="H540" s="74"/>
    </row>
    <row r="541" spans="1:8" ht="12.75">
      <c r="A541" s="1090"/>
      <c r="B541" s="1090"/>
      <c r="C541" s="74"/>
      <c r="D541" s="74"/>
      <c r="E541" s="1043"/>
      <c r="H541" s="74"/>
    </row>
    <row r="542" spans="1:8" ht="12.75">
      <c r="A542" s="1090"/>
      <c r="B542" s="1090"/>
      <c r="C542" s="74"/>
      <c r="D542" s="74"/>
      <c r="E542" s="1043"/>
      <c r="H542" s="74"/>
    </row>
    <row r="543" spans="1:8" ht="12.75">
      <c r="A543" s="1090"/>
      <c r="B543" s="1090"/>
      <c r="C543" s="74"/>
      <c r="D543" s="74"/>
      <c r="E543" s="1043"/>
      <c r="H543" s="74"/>
    </row>
    <row r="544" spans="1:8" ht="12.75">
      <c r="A544" s="1090"/>
      <c r="B544" s="1090"/>
      <c r="C544" s="74"/>
      <c r="D544" s="74"/>
      <c r="E544" s="1043"/>
      <c r="H544" s="74"/>
    </row>
    <row r="545" spans="1:8" ht="12.75">
      <c r="A545" s="1090"/>
      <c r="B545" s="1090"/>
      <c r="C545" s="74"/>
      <c r="D545" s="74"/>
      <c r="E545" s="1043"/>
      <c r="H545" s="74"/>
    </row>
    <row r="546" spans="1:8" ht="12.75">
      <c r="A546" s="1090"/>
      <c r="B546" s="1090"/>
      <c r="C546" s="74"/>
      <c r="D546" s="74"/>
      <c r="E546" s="1043"/>
      <c r="H546" s="74"/>
    </row>
    <row r="547" spans="1:8" ht="12.75">
      <c r="A547" s="1090"/>
      <c r="B547" s="1090"/>
      <c r="C547" s="74"/>
      <c r="D547" s="74"/>
      <c r="E547" s="1043"/>
      <c r="H547" s="74"/>
    </row>
    <row r="548" spans="1:8" ht="12.75">
      <c r="A548" s="1090"/>
      <c r="B548" s="1090"/>
      <c r="C548" s="74"/>
      <c r="D548" s="74"/>
      <c r="E548" s="1043"/>
      <c r="H548" s="74"/>
    </row>
    <row r="549" spans="1:8" ht="12.75">
      <c r="A549" s="1090"/>
      <c r="B549" s="1090"/>
      <c r="C549" s="74"/>
      <c r="D549" s="74"/>
      <c r="E549" s="1043"/>
      <c r="H549" s="74"/>
    </row>
    <row r="550" spans="1:8" ht="12.75">
      <c r="A550" s="1090"/>
      <c r="B550" s="1090"/>
      <c r="C550" s="74"/>
      <c r="D550" s="74"/>
      <c r="E550" s="1043"/>
      <c r="H550" s="74"/>
    </row>
    <row r="551" spans="1:8" ht="12.75">
      <c r="A551" s="1090"/>
      <c r="B551" s="1090"/>
      <c r="C551" s="74"/>
      <c r="D551" s="74"/>
      <c r="E551" s="1043"/>
      <c r="H551" s="74"/>
    </row>
    <row r="552" spans="1:8" ht="12.75">
      <c r="A552" s="1090"/>
      <c r="B552" s="1090"/>
      <c r="C552" s="74"/>
      <c r="D552" s="74"/>
      <c r="E552" s="1043"/>
      <c r="H552" s="74"/>
    </row>
    <row r="553" spans="1:8" ht="12.75">
      <c r="A553" s="1090"/>
      <c r="B553" s="1090"/>
      <c r="C553" s="74"/>
      <c r="D553" s="74"/>
      <c r="E553" s="1043"/>
      <c r="H553" s="74"/>
    </row>
    <row r="554" spans="1:8" ht="12.75">
      <c r="A554" s="1090"/>
      <c r="B554" s="1090"/>
      <c r="C554" s="74"/>
      <c r="D554" s="74"/>
      <c r="E554" s="1043"/>
      <c r="H554" s="74"/>
    </row>
    <row r="555" spans="1:8" ht="12.75">
      <c r="A555" s="1090"/>
      <c r="B555" s="1090"/>
      <c r="C555" s="74"/>
      <c r="D555" s="74"/>
      <c r="E555" s="1043"/>
      <c r="H555" s="74"/>
    </row>
    <row r="556" spans="1:8" ht="12.75">
      <c r="A556" s="1090"/>
      <c r="B556" s="1090"/>
      <c r="C556" s="74"/>
      <c r="D556" s="74"/>
      <c r="E556" s="1043"/>
      <c r="H556" s="74"/>
    </row>
    <row r="557" spans="1:8" ht="12.75">
      <c r="A557" s="1090"/>
      <c r="B557" s="1090"/>
      <c r="C557" s="74"/>
      <c r="D557" s="74"/>
      <c r="E557" s="1043"/>
      <c r="H557" s="74"/>
    </row>
    <row r="558" spans="1:8" ht="12.75">
      <c r="A558" s="1090"/>
      <c r="B558" s="1090"/>
      <c r="C558" s="74"/>
      <c r="D558" s="74"/>
      <c r="E558" s="1043"/>
      <c r="H558" s="74"/>
    </row>
    <row r="559" spans="1:8" ht="12.75">
      <c r="A559" s="1090"/>
      <c r="B559" s="1090"/>
      <c r="C559" s="74"/>
      <c r="D559" s="74"/>
      <c r="E559" s="1043"/>
      <c r="H559" s="74"/>
    </row>
    <row r="560" spans="1:8" ht="12.75">
      <c r="A560" s="1090"/>
      <c r="B560" s="1090"/>
      <c r="C560" s="74"/>
      <c r="D560" s="74"/>
      <c r="E560" s="1043"/>
      <c r="H560" s="74"/>
    </row>
    <row r="561" spans="1:8" ht="12.75">
      <c r="A561" s="1090"/>
      <c r="B561" s="1090"/>
      <c r="C561" s="74"/>
      <c r="D561" s="74"/>
      <c r="E561" s="1043"/>
      <c r="H561" s="74"/>
    </row>
    <row r="562" spans="1:8" ht="12.75">
      <c r="A562" s="1090"/>
      <c r="B562" s="1090"/>
      <c r="C562" s="74"/>
      <c r="D562" s="74"/>
      <c r="E562" s="1043"/>
      <c r="H562" s="74"/>
    </row>
    <row r="563" spans="1:8" ht="12.75">
      <c r="A563" s="1090"/>
      <c r="B563" s="1090"/>
      <c r="C563" s="74"/>
      <c r="D563" s="74"/>
      <c r="E563" s="1043"/>
      <c r="H563" s="74"/>
    </row>
    <row r="564" spans="1:8" ht="12.75">
      <c r="A564" s="1090"/>
      <c r="B564" s="1090"/>
      <c r="C564" s="74"/>
      <c r="D564" s="74"/>
      <c r="E564" s="1043"/>
      <c r="H564" s="74"/>
    </row>
    <row r="565" spans="1:8" ht="12.75">
      <c r="A565" s="1090"/>
      <c r="B565" s="1090"/>
      <c r="C565" s="74"/>
      <c r="D565" s="74"/>
      <c r="E565" s="1043"/>
      <c r="H565" s="74"/>
    </row>
    <row r="566" spans="1:8" ht="12.75">
      <c r="A566" s="1090"/>
      <c r="B566" s="1090"/>
      <c r="C566" s="74"/>
      <c r="D566" s="74"/>
      <c r="E566" s="1043"/>
      <c r="H566" s="74"/>
    </row>
    <row r="567" spans="1:8" ht="12.75">
      <c r="A567" s="1090"/>
      <c r="B567" s="1090"/>
      <c r="C567" s="74"/>
      <c r="D567" s="74"/>
      <c r="E567" s="1043"/>
      <c r="H567" s="74"/>
    </row>
    <row r="568" spans="1:8" ht="12.75">
      <c r="A568" s="1090"/>
      <c r="B568" s="1090"/>
      <c r="C568" s="74"/>
      <c r="D568" s="74"/>
      <c r="E568" s="1043"/>
      <c r="H568" s="74"/>
    </row>
    <row r="569" spans="1:8" ht="12.75">
      <c r="A569" s="1090"/>
      <c r="B569" s="1090"/>
      <c r="C569" s="74"/>
      <c r="D569" s="74"/>
      <c r="E569" s="1043"/>
      <c r="H569" s="74"/>
    </row>
    <row r="570" spans="1:8" ht="12.75">
      <c r="A570" s="1090"/>
      <c r="B570" s="1090"/>
      <c r="C570" s="74"/>
      <c r="D570" s="74"/>
      <c r="E570" s="1043"/>
      <c r="H570" s="74"/>
    </row>
    <row r="571" spans="1:8" ht="12.75">
      <c r="A571" s="1090"/>
      <c r="B571" s="1090"/>
      <c r="C571" s="74"/>
      <c r="D571" s="74"/>
      <c r="E571" s="1043"/>
      <c r="H571" s="74"/>
    </row>
    <row r="572" spans="1:8" ht="12.75">
      <c r="A572" s="1090"/>
      <c r="B572" s="1090"/>
      <c r="C572" s="74"/>
      <c r="D572" s="74"/>
      <c r="E572" s="1043"/>
      <c r="H572" s="74"/>
    </row>
    <row r="573" spans="1:8" ht="12.75">
      <c r="A573" s="1090"/>
      <c r="B573" s="1090"/>
      <c r="C573" s="74"/>
      <c r="D573" s="74"/>
      <c r="E573" s="1043"/>
      <c r="H573" s="74"/>
    </row>
    <row r="574" spans="1:8" ht="12.75">
      <c r="A574" s="1090"/>
      <c r="B574" s="1090"/>
      <c r="C574" s="74"/>
      <c r="D574" s="74"/>
      <c r="E574" s="1043"/>
      <c r="H574" s="74"/>
    </row>
    <row r="575" spans="1:8" ht="12.75">
      <c r="A575" s="1090"/>
      <c r="B575" s="1090"/>
      <c r="C575" s="74"/>
      <c r="D575" s="74"/>
      <c r="E575" s="1043"/>
      <c r="H575" s="74"/>
    </row>
    <row r="576" spans="1:8" ht="12.75">
      <c r="A576" s="1090"/>
      <c r="B576" s="1090"/>
      <c r="C576" s="74"/>
      <c r="D576" s="74"/>
      <c r="E576" s="1043"/>
      <c r="H576" s="74"/>
    </row>
    <row r="577" spans="1:8" ht="12.75">
      <c r="A577" s="1090"/>
      <c r="B577" s="1090"/>
      <c r="C577" s="74"/>
      <c r="D577" s="74"/>
      <c r="E577" s="1043"/>
      <c r="H577" s="74"/>
    </row>
    <row r="578" spans="1:8" ht="12.75">
      <c r="A578" s="1090"/>
      <c r="B578" s="1090"/>
      <c r="C578" s="74"/>
      <c r="D578" s="74"/>
      <c r="E578" s="1043"/>
      <c r="H578" s="74"/>
    </row>
    <row r="579" spans="1:8" ht="12.75">
      <c r="A579" s="1090"/>
      <c r="B579" s="1090"/>
      <c r="C579" s="74"/>
      <c r="D579" s="74"/>
      <c r="E579" s="1043"/>
      <c r="H579" s="74"/>
    </row>
    <row r="580" spans="1:8" ht="12.75">
      <c r="A580" s="1090"/>
      <c r="B580" s="1090"/>
      <c r="C580" s="74"/>
      <c r="D580" s="74"/>
      <c r="E580" s="1043"/>
      <c r="H580" s="74"/>
    </row>
    <row r="581" spans="1:8" ht="12.75">
      <c r="A581" s="1090"/>
      <c r="B581" s="1090"/>
      <c r="C581" s="74"/>
      <c r="D581" s="74"/>
      <c r="E581" s="1043"/>
      <c r="H581" s="74"/>
    </row>
    <row r="582" spans="1:8" ht="12.75">
      <c r="A582" s="1090"/>
      <c r="B582" s="1090"/>
      <c r="C582" s="74"/>
      <c r="D582" s="74"/>
      <c r="E582" s="1043"/>
      <c r="H582" s="74"/>
    </row>
    <row r="583" spans="1:8" ht="12.75">
      <c r="A583" s="1090"/>
      <c r="B583" s="1090"/>
      <c r="C583" s="74"/>
      <c r="D583" s="74"/>
      <c r="E583" s="1043"/>
      <c r="H583" s="74"/>
    </row>
    <row r="584" spans="1:8" ht="12.75">
      <c r="A584" s="1090"/>
      <c r="B584" s="1090"/>
      <c r="C584" s="74"/>
      <c r="D584" s="74"/>
      <c r="E584" s="1043"/>
      <c r="H584" s="74"/>
    </row>
    <row r="585" spans="1:8" ht="12.75">
      <c r="A585" s="1090"/>
      <c r="B585" s="1090"/>
      <c r="C585" s="74"/>
      <c r="D585" s="74"/>
      <c r="E585" s="1043"/>
      <c r="H585" s="74"/>
    </row>
    <row r="586" spans="1:8" ht="12.75">
      <c r="A586" s="1090"/>
      <c r="B586" s="1090"/>
      <c r="C586" s="74"/>
      <c r="D586" s="74"/>
      <c r="E586" s="1043"/>
      <c r="H586" s="74"/>
    </row>
    <row r="587" spans="1:8" ht="12.75">
      <c r="A587" s="1090"/>
      <c r="B587" s="1090"/>
      <c r="C587" s="74"/>
      <c r="D587" s="74"/>
      <c r="E587" s="1043"/>
      <c r="H587" s="74"/>
    </row>
    <row r="588" spans="1:8" ht="12.75">
      <c r="A588" s="1090"/>
      <c r="B588" s="1090"/>
      <c r="C588" s="74"/>
      <c r="D588" s="74"/>
      <c r="E588" s="1043"/>
      <c r="H588" s="74"/>
    </row>
    <row r="589" spans="1:8" ht="12.75">
      <c r="A589" s="1090"/>
      <c r="B589" s="1090"/>
      <c r="C589" s="74"/>
      <c r="D589" s="74"/>
      <c r="E589" s="1043"/>
      <c r="H589" s="74"/>
    </row>
    <row r="590" spans="1:8" ht="12.75">
      <c r="A590" s="1090"/>
      <c r="B590" s="1090"/>
      <c r="C590" s="74"/>
      <c r="D590" s="74"/>
      <c r="E590" s="1043"/>
      <c r="H590" s="74"/>
    </row>
    <row r="591" spans="1:8" ht="12.75">
      <c r="A591" s="1090"/>
      <c r="B591" s="1090"/>
      <c r="C591" s="74"/>
      <c r="D591" s="74"/>
      <c r="E591" s="1043"/>
      <c r="H591" s="74"/>
    </row>
    <row r="592" spans="1:8" ht="12.75">
      <c r="A592" s="1090"/>
      <c r="B592" s="1090"/>
      <c r="C592" s="74"/>
      <c r="D592" s="74"/>
      <c r="E592" s="1043"/>
      <c r="H592" s="74"/>
    </row>
    <row r="593" spans="1:8" ht="12.75">
      <c r="A593" s="1090"/>
      <c r="B593" s="1090"/>
      <c r="C593" s="74"/>
      <c r="D593" s="74"/>
      <c r="E593" s="1043"/>
      <c r="H593" s="74"/>
    </row>
    <row r="594" spans="1:8" ht="12.75">
      <c r="A594" s="1090"/>
      <c r="B594" s="1090"/>
      <c r="C594" s="74"/>
      <c r="D594" s="74"/>
      <c r="E594" s="1043"/>
      <c r="H594" s="74"/>
    </row>
    <row r="595" spans="1:8" ht="12.75">
      <c r="A595" s="1090"/>
      <c r="B595" s="1090"/>
      <c r="C595" s="74"/>
      <c r="D595" s="74"/>
      <c r="E595" s="1043"/>
      <c r="H595" s="74"/>
    </row>
    <row r="596" spans="1:8" ht="12.75">
      <c r="A596" s="1090"/>
      <c r="B596" s="1090"/>
      <c r="C596" s="74"/>
      <c r="D596" s="74"/>
      <c r="E596" s="1043"/>
      <c r="H596" s="74"/>
    </row>
    <row r="597" spans="1:8" ht="12.75">
      <c r="A597" s="1090"/>
      <c r="B597" s="1090"/>
      <c r="C597" s="74"/>
      <c r="D597" s="74"/>
      <c r="E597" s="1043"/>
      <c r="H597" s="74"/>
    </row>
    <row r="598" spans="1:8" ht="12.75">
      <c r="A598" s="1090"/>
      <c r="B598" s="1090"/>
      <c r="C598" s="74"/>
      <c r="D598" s="74"/>
      <c r="E598" s="1043"/>
      <c r="H598" s="74"/>
    </row>
    <row r="599" spans="1:8" ht="12.75">
      <c r="A599" s="1090"/>
      <c r="B599" s="1090"/>
      <c r="C599" s="74"/>
      <c r="D599" s="74"/>
      <c r="E599" s="1043"/>
      <c r="H599" s="74"/>
    </row>
    <row r="600" spans="1:8" ht="12.75">
      <c r="A600" s="1090"/>
      <c r="B600" s="1090"/>
      <c r="C600" s="74"/>
      <c r="D600" s="74"/>
      <c r="E600" s="1043"/>
      <c r="H600" s="74"/>
    </row>
    <row r="601" spans="1:8" ht="12.75">
      <c r="A601" s="1090"/>
      <c r="B601" s="1090"/>
      <c r="C601" s="74"/>
      <c r="D601" s="74"/>
      <c r="E601" s="1043"/>
      <c r="H601" s="74"/>
    </row>
    <row r="602" spans="1:8" ht="12.75">
      <c r="A602" s="1090"/>
      <c r="B602" s="1090"/>
      <c r="C602" s="74"/>
      <c r="D602" s="74"/>
      <c r="E602" s="1043"/>
      <c r="H602" s="74"/>
    </row>
    <row r="603" spans="1:8" ht="12.75">
      <c r="A603" s="1090"/>
      <c r="B603" s="1090"/>
      <c r="C603" s="74"/>
      <c r="D603" s="74"/>
      <c r="E603" s="1043"/>
      <c r="H603" s="74"/>
    </row>
    <row r="604" spans="1:8" ht="12.75">
      <c r="A604" s="1090"/>
      <c r="B604" s="1090"/>
      <c r="C604" s="74"/>
      <c r="D604" s="74"/>
      <c r="E604" s="1043"/>
      <c r="H604" s="74"/>
    </row>
    <row r="605" spans="1:8" ht="12.75">
      <c r="A605" s="1090"/>
      <c r="B605" s="1090"/>
      <c r="C605" s="74"/>
      <c r="D605" s="74"/>
      <c r="E605" s="1043"/>
      <c r="H605" s="74"/>
    </row>
    <row r="606" spans="1:8" ht="12.75">
      <c r="A606" s="1090"/>
      <c r="B606" s="1090"/>
      <c r="C606" s="74"/>
      <c r="D606" s="74"/>
      <c r="E606" s="1043"/>
      <c r="H606" s="74"/>
    </row>
    <row r="607" spans="1:8" ht="12.75">
      <c r="A607" s="1090"/>
      <c r="B607" s="1090"/>
      <c r="C607" s="74"/>
      <c r="D607" s="74"/>
      <c r="E607" s="1043"/>
      <c r="H607" s="74"/>
    </row>
    <row r="608" spans="1:8" ht="12.75">
      <c r="A608" s="1090"/>
      <c r="B608" s="1090"/>
      <c r="C608" s="74"/>
      <c r="D608" s="74"/>
      <c r="E608" s="1043"/>
      <c r="H608" s="74"/>
    </row>
    <row r="609" spans="1:8" ht="12.75">
      <c r="A609" s="1090"/>
      <c r="B609" s="1090"/>
      <c r="C609" s="74"/>
      <c r="D609" s="74"/>
      <c r="E609" s="1043"/>
      <c r="H609" s="74"/>
    </row>
    <row r="610" spans="1:8" ht="12.75">
      <c r="A610" s="1090"/>
      <c r="B610" s="1090"/>
      <c r="C610" s="74"/>
      <c r="D610" s="74"/>
      <c r="E610" s="1043"/>
      <c r="H610" s="74"/>
    </row>
    <row r="611" spans="1:8" ht="12.75">
      <c r="A611" s="1090"/>
      <c r="B611" s="1090"/>
      <c r="C611" s="74"/>
      <c r="D611" s="74"/>
      <c r="E611" s="1043"/>
      <c r="H611" s="74"/>
    </row>
    <row r="612" spans="1:8" ht="12.75">
      <c r="A612" s="1090"/>
      <c r="B612" s="1090"/>
      <c r="C612" s="74"/>
      <c r="D612" s="74"/>
      <c r="E612" s="1043"/>
      <c r="H612" s="74"/>
    </row>
    <row r="613" spans="1:8" ht="12.75">
      <c r="A613" s="1090"/>
      <c r="B613" s="1090"/>
      <c r="C613" s="74"/>
      <c r="D613" s="74"/>
      <c r="E613" s="1043"/>
      <c r="H613" s="74"/>
    </row>
    <row r="614" spans="1:8" ht="12.75">
      <c r="A614" s="1090"/>
      <c r="B614" s="1090"/>
      <c r="C614" s="74"/>
      <c r="D614" s="74"/>
      <c r="E614" s="1043"/>
      <c r="H614" s="74"/>
    </row>
    <row r="615" spans="1:8" ht="12.75">
      <c r="A615" s="1090"/>
      <c r="B615" s="1090"/>
      <c r="C615" s="74"/>
      <c r="D615" s="74"/>
      <c r="E615" s="1043"/>
      <c r="H615" s="74"/>
    </row>
    <row r="616" spans="1:8" ht="12.75">
      <c r="A616" s="1090"/>
      <c r="B616" s="1090"/>
      <c r="C616" s="74"/>
      <c r="D616" s="74"/>
      <c r="E616" s="1043"/>
      <c r="H616" s="74"/>
    </row>
    <row r="617" spans="1:8" ht="12.75">
      <c r="A617" s="1090"/>
      <c r="B617" s="1090"/>
      <c r="C617" s="74"/>
      <c r="D617" s="74"/>
      <c r="E617" s="1043"/>
      <c r="H617" s="74"/>
    </row>
    <row r="618" spans="1:8" ht="12.75">
      <c r="A618" s="1090"/>
      <c r="B618" s="1090"/>
      <c r="C618" s="74"/>
      <c r="D618" s="74"/>
      <c r="E618" s="1043"/>
      <c r="H618" s="74"/>
    </row>
    <row r="619" spans="1:8" ht="12.75">
      <c r="A619" s="1090"/>
      <c r="B619" s="1090"/>
      <c r="C619" s="74"/>
      <c r="D619" s="74"/>
      <c r="E619" s="1043"/>
      <c r="H619" s="74"/>
    </row>
    <row r="620" spans="1:8" ht="12.75">
      <c r="A620" s="1090"/>
      <c r="B620" s="1090"/>
      <c r="C620" s="74"/>
      <c r="D620" s="74"/>
      <c r="E620" s="1043"/>
      <c r="H620" s="74"/>
    </row>
    <row r="621" spans="1:8" ht="12.75">
      <c r="A621" s="1090"/>
      <c r="B621" s="1090"/>
      <c r="C621" s="74"/>
      <c r="D621" s="74"/>
      <c r="E621" s="1043"/>
      <c r="H621" s="74"/>
    </row>
    <row r="622" spans="1:8" ht="12.75">
      <c r="A622" s="1090"/>
      <c r="B622" s="1090"/>
      <c r="C622" s="74"/>
      <c r="D622" s="74"/>
      <c r="E622" s="1043"/>
      <c r="H622" s="74"/>
    </row>
    <row r="623" spans="1:8" ht="12.75">
      <c r="A623" s="1090"/>
      <c r="B623" s="1090"/>
      <c r="C623" s="74"/>
      <c r="D623" s="74"/>
      <c r="E623" s="1043"/>
      <c r="H623" s="74"/>
    </row>
    <row r="624" spans="1:8" ht="12.75">
      <c r="A624" s="1090"/>
      <c r="B624" s="1090"/>
      <c r="C624" s="74"/>
      <c r="D624" s="74"/>
      <c r="E624" s="1043"/>
      <c r="H624" s="74"/>
    </row>
    <row r="625" spans="1:8" ht="12.75">
      <c r="A625" s="1090"/>
      <c r="B625" s="1090"/>
      <c r="C625" s="74"/>
      <c r="D625" s="74"/>
      <c r="E625" s="1043"/>
      <c r="H625" s="74"/>
    </row>
    <row r="626" spans="1:8" ht="12.75">
      <c r="A626" s="1090"/>
      <c r="B626" s="1090"/>
      <c r="C626" s="74"/>
      <c r="D626" s="74"/>
      <c r="E626" s="1043"/>
      <c r="H626" s="74"/>
    </row>
    <row r="627" spans="1:8" ht="12.75">
      <c r="A627" s="1090"/>
      <c r="B627" s="1090"/>
      <c r="C627" s="74"/>
      <c r="D627" s="74"/>
      <c r="E627" s="1043"/>
      <c r="H627" s="74"/>
    </row>
    <row r="628" spans="1:8" ht="12.75">
      <c r="A628" s="1090"/>
      <c r="B628" s="1090"/>
      <c r="C628" s="74"/>
      <c r="D628" s="74"/>
      <c r="E628" s="1043"/>
      <c r="H628" s="74"/>
    </row>
    <row r="629" spans="1:8" ht="12.75">
      <c r="A629" s="1090"/>
      <c r="B629" s="1090"/>
      <c r="C629" s="74"/>
      <c r="D629" s="74"/>
      <c r="E629" s="1043"/>
      <c r="H629" s="74"/>
    </row>
    <row r="630" spans="1:8" ht="12.75">
      <c r="A630" s="1090"/>
      <c r="B630" s="1090"/>
      <c r="C630" s="74"/>
      <c r="D630" s="74"/>
      <c r="E630" s="1043"/>
      <c r="H630" s="74"/>
    </row>
    <row r="631" spans="1:8" ht="12.75">
      <c r="A631" s="1090"/>
      <c r="B631" s="1090"/>
      <c r="C631" s="74"/>
      <c r="D631" s="74"/>
      <c r="E631" s="1043"/>
      <c r="H631" s="74"/>
    </row>
    <row r="632" spans="1:8" ht="12.75">
      <c r="A632" s="1090"/>
      <c r="B632" s="1090"/>
      <c r="C632" s="74"/>
      <c r="D632" s="74"/>
      <c r="E632" s="1043"/>
      <c r="H632" s="74"/>
    </row>
    <row r="633" spans="1:8" ht="12.75">
      <c r="A633" s="1090"/>
      <c r="B633" s="1090"/>
      <c r="C633" s="74"/>
      <c r="D633" s="74"/>
      <c r="E633" s="1043"/>
      <c r="H633" s="74"/>
    </row>
    <row r="634" spans="1:8" ht="12.75">
      <c r="A634" s="1090"/>
      <c r="B634" s="1090"/>
      <c r="C634" s="74"/>
      <c r="D634" s="74"/>
      <c r="E634" s="1043"/>
      <c r="H634" s="74"/>
    </row>
    <row r="635" spans="1:8" ht="12.75">
      <c r="A635" s="1090"/>
      <c r="B635" s="1090"/>
      <c r="C635" s="74"/>
      <c r="D635" s="74"/>
      <c r="E635" s="1043"/>
      <c r="H635" s="74"/>
    </row>
    <row r="636" spans="1:8" ht="12.75">
      <c r="A636" s="1090"/>
      <c r="B636" s="1090"/>
      <c r="C636" s="74"/>
      <c r="D636" s="74"/>
      <c r="E636" s="1043"/>
      <c r="H636" s="74"/>
    </row>
    <row r="637" spans="1:8" ht="12.75">
      <c r="A637" s="1090"/>
      <c r="B637" s="1090"/>
      <c r="C637" s="74"/>
      <c r="D637" s="74"/>
      <c r="E637" s="1043"/>
      <c r="H637" s="74"/>
    </row>
    <row r="638" spans="1:8" ht="12.75">
      <c r="A638" s="1090"/>
      <c r="B638" s="1090"/>
      <c r="C638" s="74"/>
      <c r="D638" s="74"/>
      <c r="E638" s="1043"/>
      <c r="H638" s="74"/>
    </row>
    <row r="639" spans="1:8" ht="12.75">
      <c r="A639" s="1090"/>
      <c r="B639" s="1090"/>
      <c r="C639" s="74"/>
      <c r="D639" s="74"/>
      <c r="E639" s="1043"/>
      <c r="H639" s="74"/>
    </row>
    <row r="640" spans="1:8" ht="12.75">
      <c r="A640" s="1090"/>
      <c r="B640" s="1090"/>
      <c r="C640" s="74"/>
      <c r="D640" s="74"/>
      <c r="E640" s="1043"/>
      <c r="H640" s="74"/>
    </row>
    <row r="641" spans="1:8" ht="12.75">
      <c r="A641" s="1090"/>
      <c r="B641" s="1090"/>
      <c r="C641" s="74"/>
      <c r="D641" s="74"/>
      <c r="E641" s="1043"/>
      <c r="H641" s="74"/>
    </row>
    <row r="642" spans="1:8" ht="12.75">
      <c r="A642" s="1090"/>
      <c r="B642" s="1090"/>
      <c r="C642" s="74"/>
      <c r="D642" s="74"/>
      <c r="E642" s="1043"/>
      <c r="H642" s="74"/>
    </row>
    <row r="643" spans="1:8" ht="12.75">
      <c r="A643" s="1090"/>
      <c r="B643" s="1090"/>
      <c r="C643" s="74"/>
      <c r="D643" s="74"/>
      <c r="E643" s="1043"/>
      <c r="H643" s="74"/>
    </row>
    <row r="644" spans="1:8" ht="12.75">
      <c r="A644" s="1090"/>
      <c r="B644" s="1090"/>
      <c r="C644" s="74"/>
      <c r="D644" s="74"/>
      <c r="E644" s="1043"/>
      <c r="H644" s="74"/>
    </row>
    <row r="645" spans="1:8" ht="12.75">
      <c r="A645" s="1090"/>
      <c r="B645" s="1090"/>
      <c r="C645" s="74"/>
      <c r="D645" s="74"/>
      <c r="E645" s="1043"/>
      <c r="H645" s="74"/>
    </row>
    <row r="646" spans="1:8" ht="12.75">
      <c r="A646" s="1090"/>
      <c r="B646" s="1090"/>
      <c r="C646" s="74"/>
      <c r="D646" s="74"/>
      <c r="E646" s="1043"/>
      <c r="H646" s="74"/>
    </row>
    <row r="647" spans="1:8" ht="12.75">
      <c r="A647" s="1090"/>
      <c r="B647" s="1090"/>
      <c r="C647" s="74"/>
      <c r="D647" s="74"/>
      <c r="E647" s="1043"/>
      <c r="H647" s="74"/>
    </row>
    <row r="648" spans="1:8" ht="12.75">
      <c r="A648" s="1090"/>
      <c r="B648" s="1090"/>
      <c r="C648" s="74"/>
      <c r="D648" s="74"/>
      <c r="E648" s="1043"/>
      <c r="H648" s="74"/>
    </row>
    <row r="649" spans="1:8" ht="12.75">
      <c r="A649" s="1090"/>
      <c r="B649" s="1090"/>
      <c r="C649" s="74"/>
      <c r="D649" s="74"/>
      <c r="E649" s="1043"/>
      <c r="H649" s="74"/>
    </row>
    <row r="650" spans="1:8" ht="12.75">
      <c r="A650" s="1090"/>
      <c r="B650" s="1090"/>
      <c r="C650" s="74"/>
      <c r="D650" s="74"/>
      <c r="E650" s="1043"/>
      <c r="H650" s="74"/>
    </row>
    <row r="651" spans="1:8" ht="12.75">
      <c r="A651" s="1090"/>
      <c r="B651" s="1090"/>
      <c r="C651" s="74"/>
      <c r="D651" s="74"/>
      <c r="E651" s="1043"/>
      <c r="H651" s="74"/>
    </row>
    <row r="652" spans="1:8" ht="12.75">
      <c r="A652" s="1090"/>
      <c r="B652" s="1090"/>
      <c r="C652" s="74"/>
      <c r="D652" s="74"/>
      <c r="E652" s="1043"/>
      <c r="H652" s="74"/>
    </row>
    <row r="653" spans="1:8" ht="12.75">
      <c r="A653" s="1090"/>
      <c r="B653" s="1090"/>
      <c r="C653" s="74"/>
      <c r="D653" s="74"/>
      <c r="E653" s="1043"/>
      <c r="H653" s="74"/>
    </row>
    <row r="654" spans="1:8" ht="12.75">
      <c r="A654" s="1090"/>
      <c r="B654" s="1090"/>
      <c r="C654" s="74"/>
      <c r="D654" s="74"/>
      <c r="E654" s="1043"/>
      <c r="H654" s="74"/>
    </row>
    <row r="655" spans="1:8" ht="12.75">
      <c r="A655" s="1090"/>
      <c r="B655" s="1090"/>
      <c r="C655" s="74"/>
      <c r="D655" s="74"/>
      <c r="E655" s="1043"/>
      <c r="H655" s="74"/>
    </row>
    <row r="656" spans="1:8" ht="12.75">
      <c r="A656" s="1090"/>
      <c r="B656" s="1090"/>
      <c r="C656" s="74"/>
      <c r="D656" s="74"/>
      <c r="E656" s="1043"/>
      <c r="H656" s="74"/>
    </row>
    <row r="657" spans="1:8" ht="12.75">
      <c r="A657" s="1090"/>
      <c r="B657" s="1090"/>
      <c r="C657" s="74"/>
      <c r="D657" s="74"/>
      <c r="E657" s="1043"/>
      <c r="H657" s="74"/>
    </row>
    <row r="658" spans="1:8" ht="12.75">
      <c r="A658" s="1090"/>
      <c r="B658" s="1090"/>
      <c r="C658" s="74"/>
      <c r="D658" s="74"/>
      <c r="E658" s="1043"/>
      <c r="H658" s="74"/>
    </row>
    <row r="659" spans="1:8" ht="12.75">
      <c r="A659" s="1090"/>
      <c r="B659" s="1090"/>
      <c r="C659" s="74"/>
      <c r="D659" s="74"/>
      <c r="E659" s="1043"/>
      <c r="H659" s="74"/>
    </row>
    <row r="660" spans="1:8" ht="12.75">
      <c r="A660" s="1090"/>
      <c r="B660" s="1090"/>
      <c r="C660" s="74"/>
      <c r="D660" s="74"/>
      <c r="E660" s="1043"/>
      <c r="H660" s="74"/>
    </row>
    <row r="661" spans="1:8" ht="12.75">
      <c r="A661" s="1090"/>
      <c r="B661" s="1090"/>
      <c r="C661" s="74"/>
      <c r="D661" s="74"/>
      <c r="E661" s="1043"/>
      <c r="H661" s="74"/>
    </row>
    <row r="662" spans="1:8" ht="12.75">
      <c r="A662" s="1090"/>
      <c r="B662" s="1090"/>
      <c r="C662" s="74"/>
      <c r="D662" s="74"/>
      <c r="E662" s="1043"/>
      <c r="H662" s="74"/>
    </row>
    <row r="663" spans="1:8" ht="12.75">
      <c r="A663" s="1090"/>
      <c r="B663" s="1090"/>
      <c r="C663" s="74"/>
      <c r="D663" s="74"/>
      <c r="E663" s="1043"/>
      <c r="H663" s="74"/>
    </row>
    <row r="664" spans="1:8" ht="12.75">
      <c r="A664" s="1090"/>
      <c r="B664" s="1090"/>
      <c r="C664" s="74"/>
      <c r="D664" s="74"/>
      <c r="E664" s="1043"/>
      <c r="H664" s="74"/>
    </row>
    <row r="665" spans="1:8" ht="12.75">
      <c r="A665" s="1090"/>
      <c r="B665" s="1090"/>
      <c r="C665" s="74"/>
      <c r="D665" s="74"/>
      <c r="E665" s="1043"/>
      <c r="H665" s="74"/>
    </row>
    <row r="666" spans="1:8" ht="12.75">
      <c r="A666" s="1090"/>
      <c r="B666" s="1090"/>
      <c r="C666" s="74"/>
      <c r="D666" s="74"/>
      <c r="E666" s="1043"/>
      <c r="H666" s="74"/>
    </row>
    <row r="667" spans="1:8" ht="12.75">
      <c r="A667" s="1090"/>
      <c r="B667" s="1090"/>
      <c r="C667" s="74"/>
      <c r="D667" s="74"/>
      <c r="E667" s="1043"/>
      <c r="H667" s="74"/>
    </row>
    <row r="668" spans="1:8" ht="12.75">
      <c r="A668" s="1090"/>
      <c r="B668" s="1090"/>
      <c r="C668" s="74"/>
      <c r="D668" s="74"/>
      <c r="E668" s="1043"/>
      <c r="H668" s="74"/>
    </row>
    <row r="669" spans="1:8" ht="12.75">
      <c r="A669" s="1090"/>
      <c r="B669" s="1090"/>
      <c r="C669" s="74"/>
      <c r="D669" s="74"/>
      <c r="E669" s="1043"/>
      <c r="H669" s="74"/>
    </row>
    <row r="670" spans="1:8" ht="12.75">
      <c r="A670" s="1090"/>
      <c r="B670" s="1090"/>
      <c r="C670" s="74"/>
      <c r="D670" s="74"/>
      <c r="E670" s="1043"/>
      <c r="H670" s="74"/>
    </row>
    <row r="671" spans="1:8" ht="12.75">
      <c r="A671" s="1090"/>
      <c r="B671" s="1090"/>
      <c r="C671" s="74"/>
      <c r="D671" s="74"/>
      <c r="E671" s="1043"/>
      <c r="H671" s="74"/>
    </row>
    <row r="672" spans="1:8" ht="12.75">
      <c r="A672" s="1090"/>
      <c r="B672" s="1090"/>
      <c r="C672" s="74"/>
      <c r="D672" s="74"/>
      <c r="E672" s="1043"/>
      <c r="H672" s="74"/>
    </row>
    <row r="673" spans="1:8" ht="12.75">
      <c r="A673" s="1090"/>
      <c r="B673" s="1090"/>
      <c r="C673" s="74"/>
      <c r="D673" s="74"/>
      <c r="E673" s="1043"/>
      <c r="H673" s="74"/>
    </row>
    <row r="674" spans="1:8" ht="12.75">
      <c r="A674" s="1090"/>
      <c r="B674" s="1090"/>
      <c r="C674" s="74"/>
      <c r="D674" s="74"/>
      <c r="E674" s="1043"/>
      <c r="H674" s="74"/>
    </row>
    <row r="675" spans="1:8" ht="12.75">
      <c r="A675" s="1090"/>
      <c r="B675" s="1090"/>
      <c r="C675" s="74"/>
      <c r="D675" s="74"/>
      <c r="E675" s="1043"/>
      <c r="H675" s="74"/>
    </row>
    <row r="676" spans="1:8" ht="12.75">
      <c r="A676" s="1090"/>
      <c r="B676" s="1090"/>
      <c r="C676" s="74"/>
      <c r="D676" s="74"/>
      <c r="E676" s="1043"/>
      <c r="H676" s="74"/>
    </row>
    <row r="677" spans="1:8" ht="12.75">
      <c r="A677" s="1090"/>
      <c r="B677" s="1090"/>
      <c r="C677" s="74"/>
      <c r="D677" s="74"/>
      <c r="E677" s="1043"/>
      <c r="H677" s="74"/>
    </row>
    <row r="678" spans="1:8" ht="12.75">
      <c r="A678" s="1090"/>
      <c r="B678" s="1090"/>
      <c r="C678" s="74"/>
      <c r="D678" s="74"/>
      <c r="E678" s="1043"/>
      <c r="H678" s="74"/>
    </row>
    <row r="679" spans="1:8" ht="12.75">
      <c r="A679" s="1090"/>
      <c r="B679" s="1090"/>
      <c r="C679" s="74"/>
      <c r="D679" s="74"/>
      <c r="E679" s="1043"/>
      <c r="H679" s="74"/>
    </row>
    <row r="680" spans="1:8" ht="12.75">
      <c r="A680" s="1090"/>
      <c r="B680" s="1090"/>
      <c r="C680" s="74"/>
      <c r="D680" s="74"/>
      <c r="E680" s="1043"/>
      <c r="H680" s="74"/>
    </row>
    <row r="681" spans="1:8" ht="12.75">
      <c r="A681" s="1090"/>
      <c r="B681" s="1090"/>
      <c r="C681" s="74"/>
      <c r="D681" s="74"/>
      <c r="E681" s="1043"/>
      <c r="H681" s="74"/>
    </row>
    <row r="682" spans="1:8" ht="12.75">
      <c r="A682" s="1090"/>
      <c r="B682" s="1090"/>
      <c r="C682" s="74"/>
      <c r="D682" s="74"/>
      <c r="E682" s="1043"/>
      <c r="H682" s="74"/>
    </row>
    <row r="683" spans="1:8" ht="12.75">
      <c r="A683" s="1090"/>
      <c r="B683" s="1090"/>
      <c r="C683" s="74"/>
      <c r="D683" s="74"/>
      <c r="E683" s="1043"/>
      <c r="H683" s="74"/>
    </row>
    <row r="684" spans="1:8" ht="12.75">
      <c r="A684" s="1090"/>
      <c r="B684" s="1090"/>
      <c r="C684" s="74"/>
      <c r="D684" s="74"/>
      <c r="E684" s="1043"/>
      <c r="H684" s="74"/>
    </row>
    <row r="685" spans="1:8" ht="12.75">
      <c r="A685" s="1090"/>
      <c r="B685" s="1090"/>
      <c r="C685" s="74"/>
      <c r="D685" s="74"/>
      <c r="E685" s="1043"/>
      <c r="H685" s="74"/>
    </row>
    <row r="686" spans="1:8" ht="12.75">
      <c r="A686" s="1090"/>
      <c r="B686" s="1090"/>
      <c r="C686" s="74"/>
      <c r="D686" s="74"/>
      <c r="E686" s="1043"/>
      <c r="H686" s="74"/>
    </row>
    <row r="687" spans="1:8" ht="12.75">
      <c r="A687" s="1090"/>
      <c r="B687" s="1090"/>
      <c r="C687" s="74"/>
      <c r="D687" s="74"/>
      <c r="E687" s="1043"/>
      <c r="H687" s="74"/>
    </row>
    <row r="688" spans="1:8" ht="12.75">
      <c r="A688" s="1090"/>
      <c r="B688" s="1090"/>
      <c r="C688" s="74"/>
      <c r="D688" s="74"/>
      <c r="E688" s="1043"/>
      <c r="H688" s="74"/>
    </row>
    <row r="689" spans="1:8" ht="12.75">
      <c r="A689" s="1090"/>
      <c r="B689" s="1090"/>
      <c r="C689" s="74"/>
      <c r="D689" s="74"/>
      <c r="E689" s="1043"/>
      <c r="H689" s="74"/>
    </row>
    <row r="690" spans="1:8" ht="12.75">
      <c r="A690" s="1090"/>
      <c r="B690" s="1090"/>
      <c r="C690" s="74"/>
      <c r="D690" s="74"/>
      <c r="E690" s="1043"/>
      <c r="H690" s="74"/>
    </row>
    <row r="691" spans="1:8" ht="12.75">
      <c r="A691" s="1090"/>
      <c r="B691" s="1090"/>
      <c r="C691" s="74"/>
      <c r="D691" s="74"/>
      <c r="E691" s="1043"/>
      <c r="H691" s="74"/>
    </row>
    <row r="692" spans="1:8" ht="12.75">
      <c r="A692" s="1090"/>
      <c r="B692" s="1090"/>
      <c r="C692" s="74"/>
      <c r="D692" s="74"/>
      <c r="E692" s="1043"/>
      <c r="H692" s="74"/>
    </row>
    <row r="693" spans="1:8" ht="12.75">
      <c r="A693" s="1090"/>
      <c r="B693" s="1090"/>
      <c r="C693" s="74"/>
      <c r="D693" s="74"/>
      <c r="E693" s="1043"/>
      <c r="H693" s="74"/>
    </row>
    <row r="694" spans="1:8" ht="12.75">
      <c r="A694" s="1090"/>
      <c r="B694" s="1090"/>
      <c r="C694" s="74"/>
      <c r="D694" s="74"/>
      <c r="E694" s="1043"/>
      <c r="H694" s="74"/>
    </row>
    <row r="695" spans="1:8" ht="12.75">
      <c r="A695" s="1090"/>
      <c r="B695" s="1090"/>
      <c r="C695" s="74"/>
      <c r="D695" s="74"/>
      <c r="E695" s="1043"/>
      <c r="H695" s="74"/>
    </row>
    <row r="696" spans="1:8" ht="12.75">
      <c r="A696" s="1090"/>
      <c r="B696" s="1090"/>
      <c r="C696" s="74"/>
      <c r="D696" s="74"/>
      <c r="E696" s="1043"/>
      <c r="H696" s="74"/>
    </row>
    <row r="697" spans="1:8" ht="12.75">
      <c r="A697" s="1090"/>
      <c r="B697" s="1090"/>
      <c r="C697" s="74"/>
      <c r="D697" s="74"/>
      <c r="E697" s="1043"/>
      <c r="H697" s="74"/>
    </row>
    <row r="698" spans="1:8" ht="12.75">
      <c r="A698" s="1090"/>
      <c r="B698" s="1090"/>
      <c r="C698" s="74"/>
      <c r="D698" s="74"/>
      <c r="E698" s="1043"/>
      <c r="H698" s="74"/>
    </row>
    <row r="699" spans="1:8" ht="12.75">
      <c r="A699" s="1090"/>
      <c r="B699" s="1090"/>
      <c r="C699" s="74"/>
      <c r="D699" s="74"/>
      <c r="E699" s="1043"/>
      <c r="H699" s="74"/>
    </row>
    <row r="700" spans="1:8" ht="12.75">
      <c r="A700" s="1090"/>
      <c r="B700" s="1090"/>
      <c r="C700" s="74"/>
      <c r="D700" s="74"/>
      <c r="E700" s="1043"/>
      <c r="H700" s="74"/>
    </row>
    <row r="701" spans="1:8" ht="12.75">
      <c r="A701" s="1090"/>
      <c r="B701" s="1090"/>
      <c r="C701" s="74"/>
      <c r="D701" s="74"/>
      <c r="E701" s="1043"/>
      <c r="H701" s="74"/>
    </row>
    <row r="702" spans="1:8" ht="12.75">
      <c r="A702" s="1090"/>
      <c r="B702" s="1090"/>
      <c r="C702" s="74"/>
      <c r="D702" s="74"/>
      <c r="E702" s="1043"/>
      <c r="H702" s="74"/>
    </row>
    <row r="703" spans="1:8" ht="12.75">
      <c r="A703" s="1090"/>
      <c r="B703" s="1090"/>
      <c r="C703" s="74"/>
      <c r="D703" s="74"/>
      <c r="E703" s="1043"/>
      <c r="H703" s="74"/>
    </row>
    <row r="704" spans="1:8" ht="12.75">
      <c r="A704" s="1090"/>
      <c r="B704" s="1090"/>
      <c r="C704" s="74"/>
      <c r="D704" s="74"/>
      <c r="E704" s="1043"/>
      <c r="H704" s="74"/>
    </row>
    <row r="705" spans="1:8" ht="12.75">
      <c r="A705" s="1090"/>
      <c r="B705" s="1090"/>
      <c r="C705" s="74"/>
      <c r="D705" s="74"/>
      <c r="E705" s="1043"/>
      <c r="H705" s="74"/>
    </row>
    <row r="706" spans="1:8" ht="12.75">
      <c r="A706" s="1090"/>
      <c r="B706" s="1090"/>
      <c r="C706" s="74"/>
      <c r="D706" s="74"/>
      <c r="E706" s="1043"/>
      <c r="H706" s="74"/>
    </row>
    <row r="707" spans="1:8" ht="12.75">
      <c r="A707" s="1090"/>
      <c r="B707" s="1090"/>
      <c r="C707" s="74"/>
      <c r="D707" s="74"/>
      <c r="E707" s="1043"/>
      <c r="H707" s="74"/>
    </row>
    <row r="708" spans="1:8" ht="12.75">
      <c r="A708" s="1090"/>
      <c r="B708" s="1090"/>
      <c r="C708" s="74"/>
      <c r="D708" s="74"/>
      <c r="E708" s="1043"/>
      <c r="H708" s="74"/>
    </row>
    <row r="709" spans="1:8" ht="12.75">
      <c r="A709" s="1090"/>
      <c r="B709" s="1090"/>
      <c r="C709" s="74"/>
      <c r="D709" s="74"/>
      <c r="E709" s="1043"/>
      <c r="H709" s="74"/>
    </row>
    <row r="710" spans="1:8" ht="12.75">
      <c r="A710" s="1090"/>
      <c r="B710" s="1090"/>
      <c r="C710" s="74"/>
      <c r="D710" s="74"/>
      <c r="E710" s="1043"/>
      <c r="H710" s="74"/>
    </row>
    <row r="711" spans="1:8" ht="12.75">
      <c r="A711" s="1090"/>
      <c r="B711" s="1090"/>
      <c r="C711" s="74"/>
      <c r="D711" s="74"/>
      <c r="E711" s="1043"/>
      <c r="H711" s="74"/>
    </row>
    <row r="712" spans="1:8" ht="12.75">
      <c r="A712" s="1090"/>
      <c r="B712" s="1090"/>
      <c r="C712" s="74"/>
      <c r="D712" s="74"/>
      <c r="E712" s="1043"/>
      <c r="H712" s="74"/>
    </row>
    <row r="713" spans="1:8" ht="12.75">
      <c r="A713" s="1090"/>
      <c r="B713" s="1090"/>
      <c r="C713" s="74"/>
      <c r="D713" s="74"/>
      <c r="E713" s="1043"/>
      <c r="H713" s="74"/>
    </row>
    <row r="714" spans="1:8" ht="12.75">
      <c r="A714" s="1090"/>
      <c r="B714" s="1090"/>
      <c r="C714" s="74"/>
      <c r="D714" s="74"/>
      <c r="E714" s="1043"/>
      <c r="H714" s="74"/>
    </row>
    <row r="715" spans="1:8" ht="12.75">
      <c r="A715" s="1090"/>
      <c r="B715" s="1090"/>
      <c r="C715" s="74"/>
      <c r="D715" s="74"/>
      <c r="E715" s="1043"/>
      <c r="H715" s="74"/>
    </row>
    <row r="716" spans="1:8" ht="12.75">
      <c r="A716" s="1090"/>
      <c r="B716" s="1090"/>
      <c r="C716" s="74"/>
      <c r="D716" s="74"/>
      <c r="E716" s="1043"/>
      <c r="H716" s="74"/>
    </row>
    <row r="717" spans="1:8" ht="12.75">
      <c r="A717" s="1090"/>
      <c r="B717" s="1090"/>
      <c r="C717" s="74"/>
      <c r="D717" s="74"/>
      <c r="E717" s="1043"/>
      <c r="H717" s="74"/>
    </row>
    <row r="718" spans="1:8" ht="12.75">
      <c r="A718" s="1090"/>
      <c r="B718" s="1090"/>
      <c r="C718" s="74"/>
      <c r="D718" s="74"/>
      <c r="E718" s="1043"/>
      <c r="H718" s="74"/>
    </row>
    <row r="719" spans="1:8" ht="12.75">
      <c r="A719" s="1090"/>
      <c r="B719" s="1090"/>
      <c r="C719" s="74"/>
      <c r="D719" s="74"/>
      <c r="E719" s="1043"/>
      <c r="H719" s="74"/>
    </row>
    <row r="720" spans="1:8" ht="12.75">
      <c r="A720" s="1090"/>
      <c r="B720" s="1090"/>
      <c r="C720" s="74"/>
      <c r="D720" s="74"/>
      <c r="E720" s="1043"/>
      <c r="H720" s="74"/>
    </row>
    <row r="721" spans="1:8" ht="12.75">
      <c r="A721" s="1090"/>
      <c r="B721" s="1090"/>
      <c r="C721" s="74"/>
      <c r="D721" s="74"/>
      <c r="E721" s="1043"/>
      <c r="H721" s="74"/>
    </row>
    <row r="722" spans="1:8" ht="12.75">
      <c r="A722" s="1090"/>
      <c r="B722" s="1090"/>
      <c r="C722" s="74"/>
      <c r="D722" s="74"/>
      <c r="E722" s="1043"/>
      <c r="H722" s="74"/>
    </row>
    <row r="723" spans="1:8" ht="12.75">
      <c r="A723" s="1090"/>
      <c r="B723" s="1090"/>
      <c r="C723" s="74"/>
      <c r="D723" s="74"/>
      <c r="E723" s="1043"/>
      <c r="H723" s="74"/>
    </row>
    <row r="724" spans="1:8" ht="12.75">
      <c r="A724" s="1090"/>
      <c r="B724" s="1090"/>
      <c r="C724" s="74"/>
      <c r="D724" s="74"/>
      <c r="E724" s="1043"/>
      <c r="H724" s="74"/>
    </row>
    <row r="725" spans="1:8" ht="12.75">
      <c r="A725" s="1090"/>
      <c r="B725" s="1090"/>
      <c r="C725" s="74"/>
      <c r="D725" s="74"/>
      <c r="E725" s="1043"/>
      <c r="H725" s="74"/>
    </row>
    <row r="726" spans="1:8" ht="12.75">
      <c r="A726" s="1090"/>
      <c r="B726" s="1090"/>
      <c r="C726" s="74"/>
      <c r="D726" s="74"/>
      <c r="E726" s="1043"/>
      <c r="H726" s="74"/>
    </row>
    <row r="727" spans="1:8" ht="12.75">
      <c r="A727" s="1090"/>
      <c r="B727" s="1090"/>
      <c r="C727" s="74"/>
      <c r="D727" s="74"/>
      <c r="E727" s="1043"/>
      <c r="H727" s="74"/>
    </row>
    <row r="728" spans="1:8" ht="12.75">
      <c r="A728" s="1090"/>
      <c r="B728" s="1090"/>
      <c r="C728" s="74"/>
      <c r="D728" s="74"/>
      <c r="E728" s="1043"/>
      <c r="H728" s="74"/>
    </row>
    <row r="729" spans="1:8" ht="12.75">
      <c r="A729" s="1090"/>
      <c r="B729" s="1090"/>
      <c r="C729" s="74"/>
      <c r="D729" s="74"/>
      <c r="E729" s="1043"/>
      <c r="H729" s="74"/>
    </row>
    <row r="730" spans="1:8" ht="12.75">
      <c r="A730" s="1090"/>
      <c r="B730" s="1090"/>
      <c r="C730" s="74"/>
      <c r="D730" s="74"/>
      <c r="E730" s="1043"/>
      <c r="H730" s="74"/>
    </row>
    <row r="731" spans="1:8" ht="12.75">
      <c r="A731" s="1090"/>
      <c r="B731" s="1090"/>
      <c r="C731" s="74"/>
      <c r="D731" s="74"/>
      <c r="E731" s="1043"/>
      <c r="H731" s="74"/>
    </row>
    <row r="732" spans="1:8" ht="12.75">
      <c r="A732" s="1090"/>
      <c r="B732" s="1090"/>
      <c r="C732" s="74"/>
      <c r="D732" s="74"/>
      <c r="E732" s="1043"/>
      <c r="H732" s="74"/>
    </row>
    <row r="733" spans="1:8" ht="12.75">
      <c r="A733" s="1090"/>
      <c r="B733" s="1090"/>
      <c r="C733" s="74"/>
      <c r="D733" s="74"/>
      <c r="E733" s="1043"/>
      <c r="H733" s="74"/>
    </row>
    <row r="734" spans="1:8" ht="12.75">
      <c r="A734" s="1090"/>
      <c r="B734" s="1090"/>
      <c r="C734" s="74"/>
      <c r="D734" s="74"/>
      <c r="E734" s="1043"/>
      <c r="H734" s="74"/>
    </row>
    <row r="735" spans="1:8" ht="12.75">
      <c r="A735" s="1090"/>
      <c r="B735" s="1090"/>
      <c r="C735" s="74"/>
      <c r="D735" s="74"/>
      <c r="E735" s="1043"/>
      <c r="H735" s="74"/>
    </row>
    <row r="736" spans="1:8" ht="12.75">
      <c r="A736" s="1090"/>
      <c r="B736" s="1090"/>
      <c r="C736" s="74"/>
      <c r="D736" s="74"/>
      <c r="E736" s="1043"/>
      <c r="H736" s="74"/>
    </row>
    <row r="737" spans="1:8" ht="12.75">
      <c r="A737" s="1090"/>
      <c r="B737" s="1090"/>
      <c r="C737" s="74"/>
      <c r="D737" s="74"/>
      <c r="E737" s="1043"/>
      <c r="H737" s="74"/>
    </row>
    <row r="738" spans="1:8" ht="12.75">
      <c r="A738" s="1090"/>
      <c r="B738" s="1090"/>
      <c r="C738" s="74"/>
      <c r="D738" s="74"/>
      <c r="E738" s="1043"/>
      <c r="H738" s="74"/>
    </row>
    <row r="739" spans="1:8" ht="12.75">
      <c r="A739" s="1090"/>
      <c r="B739" s="1090"/>
      <c r="C739" s="74"/>
      <c r="D739" s="74"/>
      <c r="E739" s="1043"/>
      <c r="H739" s="74"/>
    </row>
    <row r="740" spans="1:8" ht="12.75">
      <c r="A740" s="1090"/>
      <c r="B740" s="1090"/>
      <c r="C740" s="74"/>
      <c r="D740" s="74"/>
      <c r="E740" s="1043"/>
      <c r="H740" s="74"/>
    </row>
    <row r="741" spans="1:8" ht="12.75">
      <c r="A741" s="1090"/>
      <c r="B741" s="1090"/>
      <c r="C741" s="74"/>
      <c r="D741" s="74"/>
      <c r="E741" s="1043"/>
      <c r="H741" s="74"/>
    </row>
    <row r="742" spans="1:8" ht="12.75">
      <c r="A742" s="1090"/>
      <c r="B742" s="1090"/>
      <c r="C742" s="74"/>
      <c r="D742" s="74"/>
      <c r="E742" s="1043"/>
      <c r="H742" s="74"/>
    </row>
    <row r="743" spans="1:8" ht="12.75">
      <c r="A743" s="1090"/>
      <c r="B743" s="1090"/>
      <c r="C743" s="74"/>
      <c r="D743" s="74"/>
      <c r="E743" s="1043"/>
      <c r="H743" s="74"/>
    </row>
    <row r="744" spans="1:8" ht="12.75">
      <c r="A744" s="1090"/>
      <c r="B744" s="1090"/>
      <c r="C744" s="74"/>
      <c r="D744" s="74"/>
      <c r="E744" s="1043"/>
      <c r="H744" s="74"/>
    </row>
    <row r="745" spans="1:8" ht="12.75">
      <c r="A745" s="1090"/>
      <c r="B745" s="1090"/>
      <c r="C745" s="74"/>
      <c r="D745" s="74"/>
      <c r="E745" s="1043"/>
      <c r="H745" s="74"/>
    </row>
    <row r="746" spans="1:8" ht="12.75">
      <c r="A746" s="1090"/>
      <c r="B746" s="1090"/>
      <c r="C746" s="74"/>
      <c r="D746" s="74"/>
      <c r="E746" s="1043"/>
      <c r="H746" s="74"/>
    </row>
    <row r="747" spans="1:8" ht="12.75">
      <c r="A747" s="1090"/>
      <c r="B747" s="1090"/>
      <c r="C747" s="74"/>
      <c r="D747" s="74"/>
      <c r="E747" s="1043"/>
      <c r="H747" s="74"/>
    </row>
    <row r="748" spans="1:8" ht="12.75">
      <c r="A748" s="1090"/>
      <c r="B748" s="1090"/>
      <c r="C748" s="74"/>
      <c r="D748" s="74"/>
      <c r="E748" s="1043"/>
      <c r="H748" s="74"/>
    </row>
    <row r="749" spans="1:8" ht="12.75">
      <c r="A749" s="1090"/>
      <c r="B749" s="1090"/>
      <c r="C749" s="74"/>
      <c r="D749" s="74"/>
      <c r="E749" s="1043"/>
      <c r="H749" s="74"/>
    </row>
    <row r="750" spans="1:8" ht="12.75">
      <c r="A750" s="1090"/>
      <c r="B750" s="1090"/>
      <c r="C750" s="74"/>
      <c r="D750" s="74"/>
      <c r="E750" s="1043"/>
      <c r="H750" s="74"/>
    </row>
    <row r="751" spans="1:8" ht="12.75">
      <c r="A751" s="1090"/>
      <c r="B751" s="1090"/>
      <c r="C751" s="74"/>
      <c r="D751" s="74"/>
      <c r="E751" s="1043"/>
      <c r="H751" s="74"/>
    </row>
    <row r="752" spans="1:8" ht="12.75">
      <c r="A752" s="1090"/>
      <c r="B752" s="1090"/>
      <c r="C752" s="74"/>
      <c r="D752" s="74"/>
      <c r="E752" s="1043"/>
      <c r="H752" s="74"/>
    </row>
    <row r="753" spans="1:8" ht="12.75">
      <c r="A753" s="1090"/>
      <c r="B753" s="1090"/>
      <c r="C753" s="74"/>
      <c r="D753" s="74"/>
      <c r="E753" s="1043"/>
      <c r="H753" s="74"/>
    </row>
    <row r="754" spans="1:8" ht="12.75">
      <c r="A754" s="1090"/>
      <c r="B754" s="1090"/>
      <c r="C754" s="74"/>
      <c r="D754" s="74"/>
      <c r="E754" s="1043"/>
      <c r="H754" s="74"/>
    </row>
    <row r="755" spans="1:8" ht="12.75">
      <c r="A755" s="1090"/>
      <c r="B755" s="1090"/>
      <c r="C755" s="74"/>
      <c r="D755" s="74"/>
      <c r="E755" s="1043"/>
      <c r="H755" s="74"/>
    </row>
    <row r="756" spans="1:8" ht="12.75">
      <c r="A756" s="1090"/>
      <c r="B756" s="1090"/>
      <c r="C756" s="74"/>
      <c r="D756" s="74"/>
      <c r="E756" s="1043"/>
      <c r="H756" s="74"/>
    </row>
    <row r="757" spans="1:8" ht="12.75">
      <c r="A757" s="1090"/>
      <c r="B757" s="1090"/>
      <c r="C757" s="74"/>
      <c r="D757" s="74"/>
      <c r="E757" s="1043"/>
      <c r="H757" s="74"/>
    </row>
    <row r="758" spans="1:8" ht="12.75">
      <c r="A758" s="1090"/>
      <c r="B758" s="1090"/>
      <c r="C758" s="74"/>
      <c r="D758" s="74"/>
      <c r="E758" s="1043"/>
      <c r="H758" s="74"/>
    </row>
    <row r="759" spans="1:8" ht="12.75">
      <c r="A759" s="1090"/>
      <c r="B759" s="1090"/>
      <c r="C759" s="74"/>
      <c r="D759" s="74"/>
      <c r="E759" s="1043"/>
      <c r="H759" s="74"/>
    </row>
    <row r="760" spans="1:8" ht="12.75">
      <c r="A760" s="1090"/>
      <c r="B760" s="1090"/>
      <c r="C760" s="74"/>
      <c r="D760" s="74"/>
      <c r="E760" s="1043"/>
      <c r="H760" s="74"/>
    </row>
    <row r="761" spans="1:8" ht="12.75">
      <c r="A761" s="1090"/>
      <c r="B761" s="1090"/>
      <c r="C761" s="74"/>
      <c r="D761" s="74"/>
      <c r="E761" s="1043"/>
      <c r="H761" s="74"/>
    </row>
    <row r="762" spans="1:8" ht="12.75">
      <c r="A762" s="1090"/>
      <c r="B762" s="1090"/>
      <c r="C762" s="74"/>
      <c r="D762" s="74"/>
      <c r="E762" s="1043"/>
      <c r="H762" s="74"/>
    </row>
    <row r="763" spans="1:8" ht="12.75">
      <c r="A763" s="1090"/>
      <c r="B763" s="1090"/>
      <c r="C763" s="74"/>
      <c r="D763" s="74"/>
      <c r="E763" s="1043"/>
      <c r="H763" s="74"/>
    </row>
    <row r="764" spans="1:8" ht="12.75">
      <c r="A764" s="1090"/>
      <c r="B764" s="1090"/>
      <c r="C764" s="74"/>
      <c r="D764" s="74"/>
      <c r="E764" s="1043"/>
      <c r="H764" s="74"/>
    </row>
    <row r="765" spans="1:8" ht="12.75">
      <c r="A765" s="1090"/>
      <c r="B765" s="1090"/>
      <c r="C765" s="74"/>
      <c r="D765" s="74"/>
      <c r="E765" s="1043"/>
      <c r="H765" s="74"/>
    </row>
    <row r="766" spans="1:8" ht="12.75">
      <c r="A766" s="1090"/>
      <c r="B766" s="1090"/>
      <c r="C766" s="74"/>
      <c r="D766" s="74"/>
      <c r="E766" s="1043"/>
      <c r="H766" s="74"/>
    </row>
    <row r="767" spans="1:8" ht="12.75">
      <c r="A767" s="1090"/>
      <c r="B767" s="1090"/>
      <c r="C767" s="74"/>
      <c r="D767" s="74"/>
      <c r="E767" s="1043"/>
      <c r="H767" s="74"/>
    </row>
    <row r="768" spans="1:8" ht="12.75">
      <c r="A768" s="1090"/>
      <c r="B768" s="1090"/>
      <c r="C768" s="74"/>
      <c r="D768" s="74"/>
      <c r="E768" s="1043"/>
      <c r="H768" s="74"/>
    </row>
    <row r="769" spans="1:8" ht="12.75">
      <c r="A769" s="1090"/>
      <c r="B769" s="1090"/>
      <c r="C769" s="74"/>
      <c r="D769" s="74"/>
      <c r="E769" s="1043"/>
      <c r="H769" s="74"/>
    </row>
    <row r="770" spans="1:8" ht="12.75">
      <c r="A770" s="1090"/>
      <c r="B770" s="1090"/>
      <c r="C770" s="74"/>
      <c r="D770" s="74"/>
      <c r="E770" s="1043"/>
      <c r="H770" s="74"/>
    </row>
    <row r="771" spans="1:8" ht="12.75">
      <c r="A771" s="1090"/>
      <c r="B771" s="1090"/>
      <c r="C771" s="74"/>
      <c r="D771" s="74"/>
      <c r="E771" s="1043"/>
      <c r="H771" s="74"/>
    </row>
    <row r="772" spans="1:8" ht="12.75">
      <c r="A772" s="1090"/>
      <c r="B772" s="1090"/>
      <c r="C772" s="74"/>
      <c r="D772" s="74"/>
      <c r="E772" s="1043"/>
      <c r="H772" s="74"/>
    </row>
    <row r="773" spans="1:8" ht="12.75">
      <c r="A773" s="1090"/>
      <c r="B773" s="1090"/>
      <c r="C773" s="74"/>
      <c r="D773" s="74"/>
      <c r="E773" s="1043"/>
      <c r="H773" s="74"/>
    </row>
    <row r="774" spans="1:8" ht="12.75">
      <c r="A774" s="1090"/>
      <c r="B774" s="1090"/>
      <c r="C774" s="74"/>
      <c r="D774" s="74"/>
      <c r="E774" s="1043"/>
      <c r="H774" s="74"/>
    </row>
    <row r="775" spans="1:8" ht="12.75">
      <c r="A775" s="1090"/>
      <c r="B775" s="1090"/>
      <c r="C775" s="74"/>
      <c r="D775" s="74"/>
      <c r="E775" s="1043"/>
      <c r="H775" s="74"/>
    </row>
    <row r="776" spans="1:8" ht="12.75">
      <c r="A776" s="1090"/>
      <c r="B776" s="1090"/>
      <c r="C776" s="74"/>
      <c r="D776" s="74"/>
      <c r="E776" s="1043"/>
      <c r="H776" s="74"/>
    </row>
    <row r="777" spans="1:8" ht="12.75">
      <c r="A777" s="1090"/>
      <c r="B777" s="1090"/>
      <c r="C777" s="74"/>
      <c r="D777" s="74"/>
      <c r="E777" s="1043"/>
      <c r="H777" s="74"/>
    </row>
    <row r="778" spans="1:8" ht="12.75">
      <c r="A778" s="1090"/>
      <c r="B778" s="1090"/>
      <c r="C778" s="74"/>
      <c r="D778" s="74"/>
      <c r="E778" s="1043"/>
      <c r="H778" s="74"/>
    </row>
    <row r="779" spans="1:8" ht="12.75">
      <c r="A779" s="1090"/>
      <c r="B779" s="1090"/>
      <c r="C779" s="74"/>
      <c r="D779" s="74"/>
      <c r="E779" s="1043"/>
      <c r="H779" s="74"/>
    </row>
    <row r="780" spans="1:8" ht="12.75">
      <c r="A780" s="1090"/>
      <c r="B780" s="1090"/>
      <c r="C780" s="74"/>
      <c r="D780" s="74"/>
      <c r="E780" s="1043"/>
      <c r="H780" s="74"/>
    </row>
    <row r="781" spans="1:8" ht="12.75">
      <c r="A781" s="1090"/>
      <c r="B781" s="1090"/>
      <c r="C781" s="74"/>
      <c r="D781" s="74"/>
      <c r="E781" s="1043"/>
      <c r="H781" s="74"/>
    </row>
    <row r="782" spans="1:8" ht="12.75">
      <c r="A782" s="1090"/>
      <c r="B782" s="1090"/>
      <c r="C782" s="74"/>
      <c r="D782" s="74"/>
      <c r="E782" s="1043"/>
      <c r="H782" s="74"/>
    </row>
    <row r="783" spans="1:8" ht="12.75">
      <c r="A783" s="1090"/>
      <c r="B783" s="1090"/>
      <c r="C783" s="74"/>
      <c r="D783" s="74"/>
      <c r="E783" s="1043"/>
      <c r="H783" s="74"/>
    </row>
    <row r="784" spans="1:8" ht="12.75">
      <c r="A784" s="1090"/>
      <c r="B784" s="1090"/>
      <c r="C784" s="74"/>
      <c r="D784" s="74"/>
      <c r="E784" s="1043"/>
      <c r="H784" s="74"/>
    </row>
    <row r="785" spans="1:8" ht="12.75">
      <c r="A785" s="1090"/>
      <c r="B785" s="1090"/>
      <c r="C785" s="74"/>
      <c r="D785" s="74"/>
      <c r="E785" s="1043"/>
      <c r="H785" s="74"/>
    </row>
    <row r="786" spans="1:8" ht="12.75">
      <c r="A786" s="1090"/>
      <c r="B786" s="1090"/>
      <c r="C786" s="74"/>
      <c r="D786" s="74"/>
      <c r="E786" s="1043"/>
      <c r="H786" s="74"/>
    </row>
    <row r="787" spans="1:8" ht="12.75">
      <c r="A787" s="1090"/>
      <c r="B787" s="1090"/>
      <c r="C787" s="74"/>
      <c r="D787" s="74"/>
      <c r="E787" s="1043"/>
      <c r="H787" s="74"/>
    </row>
    <row r="788" spans="1:8" ht="12.75">
      <c r="A788" s="1090"/>
      <c r="B788" s="1090"/>
      <c r="C788" s="74"/>
      <c r="D788" s="74"/>
      <c r="E788" s="1043"/>
      <c r="H788" s="74"/>
    </row>
    <row r="789" spans="1:8" ht="12.75">
      <c r="A789" s="1090"/>
      <c r="B789" s="1090"/>
      <c r="C789" s="74"/>
      <c r="D789" s="74"/>
      <c r="E789" s="1043"/>
      <c r="H789" s="74"/>
    </row>
    <row r="790" spans="1:8" ht="12.75">
      <c r="A790" s="1090"/>
      <c r="B790" s="1090"/>
      <c r="C790" s="74"/>
      <c r="D790" s="74"/>
      <c r="E790" s="1043"/>
      <c r="H790" s="74"/>
    </row>
    <row r="791" spans="1:8" ht="12.75">
      <c r="A791" s="1090"/>
      <c r="B791" s="1090"/>
      <c r="C791" s="74"/>
      <c r="D791" s="74"/>
      <c r="E791" s="1043"/>
      <c r="H791" s="74"/>
    </row>
    <row r="792" spans="1:8" ht="12.75">
      <c r="A792" s="1090"/>
      <c r="B792" s="1090"/>
      <c r="C792" s="74"/>
      <c r="D792" s="74"/>
      <c r="E792" s="1043"/>
      <c r="H792" s="74"/>
    </row>
    <row r="793" spans="1:8" ht="12.75">
      <c r="A793" s="1090"/>
      <c r="B793" s="1090"/>
      <c r="C793" s="74"/>
      <c r="D793" s="74"/>
      <c r="E793" s="1043"/>
      <c r="H793" s="74"/>
    </row>
    <row r="794" spans="1:8" ht="12.75">
      <c r="A794" s="1090"/>
      <c r="B794" s="1090"/>
      <c r="C794" s="74"/>
      <c r="D794" s="74"/>
      <c r="E794" s="1043"/>
      <c r="H794" s="74"/>
    </row>
    <row r="795" spans="1:8" ht="12.75">
      <c r="A795" s="1090"/>
      <c r="B795" s="1090"/>
      <c r="C795" s="74"/>
      <c r="D795" s="74"/>
      <c r="E795" s="1043"/>
      <c r="H795" s="74"/>
    </row>
    <row r="796" spans="1:8" ht="12.75">
      <c r="A796" s="1090"/>
      <c r="B796" s="1090"/>
      <c r="C796" s="74"/>
      <c r="D796" s="74"/>
      <c r="E796" s="1043"/>
      <c r="H796" s="74"/>
    </row>
    <row r="797" spans="1:8" ht="12.75">
      <c r="A797" s="1090"/>
      <c r="B797" s="1090"/>
      <c r="C797" s="74"/>
      <c r="D797" s="74"/>
      <c r="E797" s="1043"/>
      <c r="H797" s="74"/>
    </row>
    <row r="798" spans="1:8" ht="12.75">
      <c r="A798" s="1090"/>
      <c r="B798" s="1090"/>
      <c r="C798" s="74"/>
      <c r="D798" s="74"/>
      <c r="E798" s="1043"/>
      <c r="H798" s="74"/>
    </row>
    <row r="799" spans="1:8" ht="12.75">
      <c r="A799" s="1090"/>
      <c r="B799" s="1090"/>
      <c r="C799" s="74"/>
      <c r="D799" s="74"/>
      <c r="E799" s="1043"/>
      <c r="H799" s="74"/>
    </row>
    <row r="800" spans="1:8" ht="12.75">
      <c r="A800" s="1090"/>
      <c r="B800" s="1090"/>
      <c r="C800" s="74"/>
      <c r="D800" s="74"/>
      <c r="E800" s="1043"/>
      <c r="H800" s="74"/>
    </row>
    <row r="801" spans="1:8" ht="12.75">
      <c r="A801" s="1090"/>
      <c r="B801" s="1090"/>
      <c r="C801" s="74"/>
      <c r="D801" s="74"/>
      <c r="E801" s="1043"/>
      <c r="H801" s="74"/>
    </row>
    <row r="802" spans="1:8" ht="12.75">
      <c r="A802" s="1090"/>
      <c r="B802" s="1090"/>
      <c r="C802" s="74"/>
      <c r="D802" s="74"/>
      <c r="E802" s="1043"/>
      <c r="H802" s="74"/>
    </row>
    <row r="803" spans="1:8" ht="12.75">
      <c r="A803" s="1090"/>
      <c r="B803" s="1090"/>
      <c r="C803" s="74"/>
      <c r="D803" s="74"/>
      <c r="E803" s="1043"/>
      <c r="H803" s="74"/>
    </row>
    <row r="804" spans="1:8" ht="12.75">
      <c r="A804" s="1090"/>
      <c r="B804" s="1090"/>
      <c r="C804" s="74"/>
      <c r="D804" s="74"/>
      <c r="E804" s="1043"/>
      <c r="H804" s="74"/>
    </row>
    <row r="805" spans="1:8" ht="12.75">
      <c r="A805" s="1090"/>
      <c r="B805" s="1090"/>
      <c r="C805" s="74"/>
      <c r="D805" s="74"/>
      <c r="E805" s="1043"/>
      <c r="H805" s="74"/>
    </row>
    <row r="806" spans="1:8" ht="12.75">
      <c r="A806" s="1090"/>
      <c r="B806" s="1090"/>
      <c r="C806" s="74"/>
      <c r="D806" s="74"/>
      <c r="E806" s="1043"/>
      <c r="H806" s="74"/>
    </row>
    <row r="807" spans="1:8" ht="12.75">
      <c r="A807" s="1090"/>
      <c r="B807" s="1090"/>
      <c r="C807" s="74"/>
      <c r="D807" s="74"/>
      <c r="E807" s="1043"/>
      <c r="H807" s="74"/>
    </row>
    <row r="808" spans="1:8" ht="12.75">
      <c r="A808" s="1090"/>
      <c r="B808" s="1090"/>
      <c r="C808" s="74"/>
      <c r="D808" s="74"/>
      <c r="E808" s="1043"/>
      <c r="H808" s="74"/>
    </row>
    <row r="809" spans="1:8" ht="12.75">
      <c r="A809" s="1090"/>
      <c r="B809" s="1090"/>
      <c r="C809" s="74"/>
      <c r="D809" s="74"/>
      <c r="E809" s="1043"/>
      <c r="H809" s="74"/>
    </row>
    <row r="810" spans="1:8" ht="12.75">
      <c r="A810" s="1090"/>
      <c r="B810" s="1090"/>
      <c r="C810" s="74"/>
      <c r="D810" s="74"/>
      <c r="E810" s="1043"/>
      <c r="H810" s="74"/>
    </row>
    <row r="811" spans="1:8" ht="12.75">
      <c r="A811" s="1090"/>
      <c r="B811" s="1090"/>
      <c r="C811" s="74"/>
      <c r="D811" s="74"/>
      <c r="E811" s="1043"/>
      <c r="H811" s="74"/>
    </row>
    <row r="812" spans="1:8" ht="12.75">
      <c r="A812" s="1090"/>
      <c r="B812" s="1090"/>
      <c r="C812" s="74"/>
      <c r="D812" s="74"/>
      <c r="E812" s="1043"/>
      <c r="H812" s="74"/>
    </row>
    <row r="813" spans="1:8" ht="12.75">
      <c r="A813" s="1090"/>
      <c r="B813" s="1090"/>
      <c r="C813" s="74"/>
      <c r="D813" s="74"/>
      <c r="E813" s="1043"/>
      <c r="H813" s="74"/>
    </row>
    <row r="814" spans="1:8" ht="12.75">
      <c r="A814" s="1090"/>
      <c r="B814" s="1090"/>
      <c r="C814" s="74"/>
      <c r="D814" s="74"/>
      <c r="E814" s="1043"/>
      <c r="H814" s="74"/>
    </row>
    <row r="815" spans="1:8" ht="12.75">
      <c r="A815" s="1090"/>
      <c r="B815" s="1090"/>
      <c r="C815" s="74"/>
      <c r="D815" s="74"/>
      <c r="E815" s="1043"/>
      <c r="H815" s="74"/>
    </row>
    <row r="816" spans="1:8" ht="12.75">
      <c r="A816" s="1090"/>
      <c r="B816" s="1090"/>
      <c r="C816" s="74"/>
      <c r="D816" s="74"/>
      <c r="E816" s="1043"/>
      <c r="H816" s="74"/>
    </row>
    <row r="817" spans="1:8" ht="12.75">
      <c r="A817" s="1090"/>
      <c r="B817" s="1090"/>
      <c r="C817" s="74"/>
      <c r="D817" s="74"/>
      <c r="E817" s="1043"/>
      <c r="H817" s="74"/>
    </row>
    <row r="818" spans="1:8" ht="12.75">
      <c r="A818" s="1090"/>
      <c r="B818" s="1090"/>
      <c r="C818" s="74"/>
      <c r="D818" s="74"/>
      <c r="E818" s="1043"/>
      <c r="H818" s="74"/>
    </row>
    <row r="819" spans="1:8" ht="12.75">
      <c r="A819" s="1090"/>
      <c r="B819" s="1090"/>
      <c r="C819" s="74"/>
      <c r="D819" s="74"/>
      <c r="E819" s="1043"/>
      <c r="H819" s="74"/>
    </row>
    <row r="820" spans="1:8" ht="12.75">
      <c r="A820" s="1090"/>
      <c r="B820" s="1090"/>
      <c r="C820" s="74"/>
      <c r="D820" s="74"/>
      <c r="E820" s="1043"/>
      <c r="H820" s="74"/>
    </row>
    <row r="821" spans="1:8" ht="12.75">
      <c r="A821" s="1090"/>
      <c r="B821" s="1090"/>
      <c r="C821" s="74"/>
      <c r="D821" s="74"/>
      <c r="E821" s="1043"/>
      <c r="H821" s="74"/>
    </row>
    <row r="822" spans="1:8" ht="12.75">
      <c r="A822" s="1090"/>
      <c r="B822" s="1090"/>
      <c r="C822" s="74"/>
      <c r="D822" s="74"/>
      <c r="E822" s="1043"/>
      <c r="H822" s="74"/>
    </row>
    <row r="823" spans="1:8" ht="12.75">
      <c r="A823" s="1090"/>
      <c r="B823" s="1090"/>
      <c r="C823" s="74"/>
      <c r="D823" s="74"/>
      <c r="E823" s="1043"/>
      <c r="H823" s="74"/>
    </row>
    <row r="824" spans="1:8" ht="12.75">
      <c r="A824" s="1090"/>
      <c r="B824" s="1090"/>
      <c r="C824" s="74"/>
      <c r="D824" s="74"/>
      <c r="E824" s="1043"/>
      <c r="H824" s="74"/>
    </row>
    <row r="825" spans="1:8" ht="12.75">
      <c r="A825" s="1090"/>
      <c r="B825" s="1090"/>
      <c r="C825" s="74"/>
      <c r="D825" s="74"/>
      <c r="E825" s="1043"/>
      <c r="H825" s="74"/>
    </row>
    <row r="826" spans="1:8" ht="12.75">
      <c r="A826" s="1090"/>
      <c r="B826" s="1090"/>
      <c r="C826" s="74"/>
      <c r="D826" s="74"/>
      <c r="E826" s="1043"/>
      <c r="H826" s="74"/>
    </row>
    <row r="827" spans="1:8" ht="12.75">
      <c r="A827" s="1090"/>
      <c r="B827" s="1090"/>
      <c r="C827" s="74"/>
      <c r="D827" s="74"/>
      <c r="E827" s="1043"/>
      <c r="H827" s="74"/>
    </row>
    <row r="828" spans="1:8" ht="12.75">
      <c r="A828" s="1090"/>
      <c r="B828" s="1090"/>
      <c r="C828" s="74"/>
      <c r="D828" s="74"/>
      <c r="E828" s="1043"/>
      <c r="H828" s="74"/>
    </row>
    <row r="829" spans="1:8" ht="12.75">
      <c r="A829" s="1090"/>
      <c r="B829" s="1090"/>
      <c r="C829" s="74"/>
      <c r="D829" s="74"/>
      <c r="E829" s="1043"/>
      <c r="H829" s="74"/>
    </row>
    <row r="830" spans="1:8" ht="12.75">
      <c r="A830" s="1090"/>
      <c r="B830" s="1090"/>
      <c r="C830" s="74"/>
      <c r="D830" s="74"/>
      <c r="E830" s="1043"/>
      <c r="H830" s="74"/>
    </row>
    <row r="831" spans="1:8" ht="12.75">
      <c r="A831" s="1090"/>
      <c r="B831" s="1090"/>
      <c r="C831" s="74"/>
      <c r="D831" s="74"/>
      <c r="E831" s="1043"/>
      <c r="H831" s="74"/>
    </row>
    <row r="832" spans="1:8" ht="12.75">
      <c r="A832" s="1090"/>
      <c r="B832" s="1090"/>
      <c r="C832" s="74"/>
      <c r="D832" s="74"/>
      <c r="E832" s="1043"/>
      <c r="H832" s="74"/>
    </row>
    <row r="833" spans="1:8" ht="12.75">
      <c r="A833" s="1090"/>
      <c r="B833" s="1090"/>
      <c r="C833" s="74"/>
      <c r="D833" s="74"/>
      <c r="E833" s="1043"/>
      <c r="H833" s="74"/>
    </row>
    <row r="834" spans="1:8" ht="12.75">
      <c r="A834" s="1090"/>
      <c r="B834" s="1090"/>
      <c r="C834" s="74"/>
      <c r="D834" s="74"/>
      <c r="E834" s="1043"/>
      <c r="H834" s="74"/>
    </row>
    <row r="835" spans="1:8" ht="12.75">
      <c r="A835" s="1090"/>
      <c r="B835" s="1090"/>
      <c r="C835" s="74"/>
      <c r="D835" s="74"/>
      <c r="E835" s="1043"/>
      <c r="H835" s="74"/>
    </row>
    <row r="836" spans="1:8" ht="12.75">
      <c r="A836" s="1090"/>
      <c r="B836" s="1090"/>
      <c r="C836" s="74"/>
      <c r="D836" s="74"/>
      <c r="E836" s="1043"/>
      <c r="H836" s="74"/>
    </row>
    <row r="837" spans="1:8" ht="12.75">
      <c r="A837" s="1090"/>
      <c r="B837" s="1090"/>
      <c r="C837" s="74"/>
      <c r="D837" s="74"/>
      <c r="E837" s="1043"/>
      <c r="H837" s="74"/>
    </row>
    <row r="838" spans="1:8" ht="12.75">
      <c r="A838" s="1090"/>
      <c r="B838" s="1090"/>
      <c r="C838" s="74"/>
      <c r="D838" s="74"/>
      <c r="E838" s="1043"/>
      <c r="H838" s="74"/>
    </row>
    <row r="839" spans="1:8" ht="12.75">
      <c r="A839" s="1090"/>
      <c r="B839" s="1090"/>
      <c r="C839" s="74"/>
      <c r="D839" s="74"/>
      <c r="E839" s="1043"/>
      <c r="H839" s="74"/>
    </row>
    <row r="840" spans="1:8" ht="12.75">
      <c r="A840" s="1090"/>
      <c r="B840" s="1090"/>
      <c r="C840" s="74"/>
      <c r="D840" s="74"/>
      <c r="E840" s="1043"/>
      <c r="H840" s="74"/>
    </row>
    <row r="841" spans="1:8" ht="12.75">
      <c r="A841" s="1090"/>
      <c r="B841" s="1090"/>
      <c r="C841" s="74"/>
      <c r="D841" s="74"/>
      <c r="E841" s="1043"/>
      <c r="H841" s="74"/>
    </row>
    <row r="842" spans="1:8" ht="12.75">
      <c r="A842" s="1090"/>
      <c r="B842" s="1090"/>
      <c r="C842" s="74"/>
      <c r="D842" s="74"/>
      <c r="E842" s="1043"/>
      <c r="H842" s="74"/>
    </row>
    <row r="843" spans="1:8" ht="12.75">
      <c r="A843" s="1090"/>
      <c r="B843" s="1090"/>
      <c r="C843" s="74"/>
      <c r="D843" s="74"/>
      <c r="E843" s="1043"/>
      <c r="H843" s="74"/>
    </row>
    <row r="844" spans="1:8" ht="12.75">
      <c r="A844" s="1090"/>
      <c r="B844" s="1090"/>
      <c r="C844" s="74"/>
      <c r="D844" s="74"/>
      <c r="E844" s="1043"/>
      <c r="H844" s="74"/>
    </row>
    <row r="845" spans="1:8" ht="12.75">
      <c r="A845" s="1090"/>
      <c r="B845" s="1090"/>
      <c r="C845" s="74"/>
      <c r="D845" s="74"/>
      <c r="E845" s="1043"/>
      <c r="H845" s="74"/>
    </row>
    <row r="846" spans="1:8" ht="12.75">
      <c r="A846" s="1090"/>
      <c r="B846" s="1090"/>
      <c r="C846" s="74"/>
      <c r="D846" s="74"/>
      <c r="E846" s="1043"/>
      <c r="H846" s="74"/>
    </row>
    <row r="847" spans="1:8" ht="12.75">
      <c r="A847" s="1090"/>
      <c r="B847" s="1090"/>
      <c r="C847" s="74"/>
      <c r="D847" s="74"/>
      <c r="E847" s="1043"/>
      <c r="H847" s="74"/>
    </row>
    <row r="848" spans="1:8" ht="12.75">
      <c r="A848" s="1090"/>
      <c r="B848" s="1090"/>
      <c r="C848" s="74"/>
      <c r="D848" s="74"/>
      <c r="E848" s="1043"/>
      <c r="H848" s="74"/>
    </row>
    <row r="849" spans="1:8" ht="12.75">
      <c r="A849" s="1090"/>
      <c r="B849" s="1090"/>
      <c r="C849" s="74"/>
      <c r="D849" s="74"/>
      <c r="E849" s="1043"/>
      <c r="H849" s="74"/>
    </row>
    <row r="850" spans="1:8" ht="12.75">
      <c r="A850" s="1090"/>
      <c r="B850" s="1090"/>
      <c r="C850" s="74"/>
      <c r="D850" s="74"/>
      <c r="E850" s="1043"/>
      <c r="H850" s="74"/>
    </row>
    <row r="851" spans="1:8" ht="12.75">
      <c r="A851" s="1090"/>
      <c r="B851" s="1090"/>
      <c r="C851" s="74"/>
      <c r="D851" s="74"/>
      <c r="E851" s="1043"/>
      <c r="H851" s="74"/>
    </row>
    <row r="852" spans="1:8" ht="12.75">
      <c r="A852" s="1090"/>
      <c r="B852" s="1090"/>
      <c r="C852" s="74"/>
      <c r="D852" s="74"/>
      <c r="E852" s="1043"/>
      <c r="H852" s="74"/>
    </row>
    <row r="853" spans="1:8" ht="12.75">
      <c r="A853" s="1090"/>
      <c r="B853" s="1090"/>
      <c r="C853" s="74"/>
      <c r="D853" s="74"/>
      <c r="E853" s="1043"/>
      <c r="H853" s="74"/>
    </row>
    <row r="854" spans="1:8" ht="12.75">
      <c r="A854" s="1090"/>
      <c r="B854" s="1090"/>
      <c r="C854" s="74"/>
      <c r="D854" s="74"/>
      <c r="E854" s="1043"/>
      <c r="H854" s="74"/>
    </row>
    <row r="855" spans="1:8" ht="12.75">
      <c r="A855" s="1090"/>
      <c r="B855" s="1090"/>
      <c r="C855" s="74"/>
      <c r="D855" s="74"/>
      <c r="E855" s="1043"/>
      <c r="H855" s="74"/>
    </row>
    <row r="856" spans="1:8" ht="12.75">
      <c r="A856" s="1090"/>
      <c r="B856" s="1090"/>
      <c r="C856" s="74"/>
      <c r="D856" s="74"/>
      <c r="E856" s="1043"/>
      <c r="H856" s="74"/>
    </row>
    <row r="857" spans="1:8" ht="12.75">
      <c r="A857" s="1090"/>
      <c r="B857" s="1090"/>
      <c r="C857" s="74"/>
      <c r="D857" s="74"/>
      <c r="E857" s="1043"/>
      <c r="H857" s="74"/>
    </row>
    <row r="858" spans="1:8" ht="12.75">
      <c r="A858" s="1090"/>
      <c r="B858" s="1090"/>
      <c r="C858" s="74"/>
      <c r="D858" s="74"/>
      <c r="E858" s="1043"/>
      <c r="H858" s="74"/>
    </row>
    <row r="859" spans="1:8" ht="12.75">
      <c r="A859" s="1090"/>
      <c r="B859" s="1090"/>
      <c r="C859" s="74"/>
      <c r="D859" s="74"/>
      <c r="E859" s="1043"/>
      <c r="H859" s="74"/>
    </row>
    <row r="860" spans="1:8" ht="12.75">
      <c r="A860" s="1090"/>
      <c r="B860" s="1090"/>
      <c r="C860" s="74"/>
      <c r="D860" s="74"/>
      <c r="E860" s="1043"/>
      <c r="H860" s="74"/>
    </row>
    <row r="861" spans="1:8" ht="12.75">
      <c r="A861" s="1090"/>
      <c r="B861" s="1090"/>
      <c r="C861" s="74"/>
      <c r="D861" s="74"/>
      <c r="E861" s="1043"/>
      <c r="H861" s="74"/>
    </row>
    <row r="862" spans="1:8" ht="12.75">
      <c r="A862" s="1090"/>
      <c r="B862" s="1090"/>
      <c r="C862" s="74"/>
      <c r="D862" s="74"/>
      <c r="E862" s="1043"/>
      <c r="H862" s="74"/>
    </row>
    <row r="863" spans="1:8" ht="12.75">
      <c r="A863" s="1090"/>
      <c r="B863" s="1090"/>
      <c r="C863" s="74"/>
      <c r="D863" s="74"/>
      <c r="E863" s="1043"/>
      <c r="H863" s="74"/>
    </row>
    <row r="864" spans="1:8" ht="12.75">
      <c r="A864" s="1090"/>
      <c r="B864" s="1090"/>
      <c r="C864" s="74"/>
      <c r="D864" s="74"/>
      <c r="E864" s="1043"/>
      <c r="H864" s="74"/>
    </row>
    <row r="865" spans="1:8" ht="12.75">
      <c r="A865" s="1090"/>
      <c r="B865" s="1090"/>
      <c r="C865" s="74"/>
      <c r="D865" s="74"/>
      <c r="E865" s="1043"/>
      <c r="H865" s="74"/>
    </row>
    <row r="866" spans="1:8" ht="12.75">
      <c r="A866" s="1090"/>
      <c r="B866" s="1090"/>
      <c r="C866" s="74"/>
      <c r="D866" s="74"/>
      <c r="E866" s="1043"/>
      <c r="H866" s="74"/>
    </row>
    <row r="867" spans="1:8" ht="12.75">
      <c r="A867" s="1090"/>
      <c r="B867" s="1090"/>
      <c r="C867" s="74"/>
      <c r="D867" s="74"/>
      <c r="E867" s="1043"/>
      <c r="H867" s="74"/>
    </row>
    <row r="868" spans="1:8" ht="12.75">
      <c r="A868" s="1090"/>
      <c r="B868" s="1090"/>
      <c r="C868" s="74"/>
      <c r="D868" s="74"/>
      <c r="E868" s="1043"/>
      <c r="H868" s="74"/>
    </row>
    <row r="869" spans="1:8" ht="12.75">
      <c r="A869" s="1090"/>
      <c r="B869" s="1090"/>
      <c r="C869" s="74"/>
      <c r="D869" s="74"/>
      <c r="E869" s="1043"/>
      <c r="H869" s="74"/>
    </row>
    <row r="870" spans="1:8" ht="12.75">
      <c r="A870" s="1090"/>
      <c r="B870" s="1090"/>
      <c r="C870" s="74"/>
      <c r="D870" s="74"/>
      <c r="E870" s="1043"/>
      <c r="H870" s="74"/>
    </row>
    <row r="871" spans="1:8" ht="12.75">
      <c r="A871" s="1090"/>
      <c r="B871" s="1090"/>
      <c r="C871" s="74"/>
      <c r="D871" s="74"/>
      <c r="E871" s="1043"/>
      <c r="H871" s="74"/>
    </row>
    <row r="872" spans="1:8" ht="12.75">
      <c r="A872" s="1090"/>
      <c r="B872" s="1090"/>
      <c r="C872" s="74"/>
      <c r="D872" s="74"/>
      <c r="E872" s="1043"/>
      <c r="H872" s="74"/>
    </row>
    <row r="873" spans="1:8" ht="12.75">
      <c r="A873" s="1090"/>
      <c r="B873" s="1090"/>
      <c r="C873" s="74"/>
      <c r="D873" s="74"/>
      <c r="E873" s="1043"/>
      <c r="H873" s="74"/>
    </row>
    <row r="874" spans="1:8" ht="12.75">
      <c r="A874" s="1090"/>
      <c r="B874" s="1090"/>
      <c r="C874" s="74"/>
      <c r="D874" s="74"/>
      <c r="E874" s="1043"/>
      <c r="H874" s="74"/>
    </row>
    <row r="875" spans="1:8" ht="12.75">
      <c r="A875" s="1090"/>
      <c r="B875" s="1090"/>
      <c r="C875" s="74"/>
      <c r="D875" s="74"/>
      <c r="E875" s="1043"/>
      <c r="H875" s="74"/>
    </row>
    <row r="876" spans="1:8" ht="12.75">
      <c r="A876" s="1090"/>
      <c r="B876" s="1090"/>
      <c r="C876" s="74"/>
      <c r="D876" s="74"/>
      <c r="E876" s="1043"/>
      <c r="H876" s="74"/>
    </row>
    <row r="877" spans="1:8" ht="12.75">
      <c r="A877" s="1090"/>
      <c r="B877" s="1090"/>
      <c r="C877" s="74"/>
      <c r="D877" s="74"/>
      <c r="E877" s="1043"/>
      <c r="H877" s="74"/>
    </row>
    <row r="878" spans="1:8" ht="12.75">
      <c r="A878" s="1090"/>
      <c r="B878" s="1090"/>
      <c r="C878" s="74"/>
      <c r="D878" s="74"/>
      <c r="E878" s="1043"/>
      <c r="H878" s="74"/>
    </row>
    <row r="879" spans="1:8" ht="12.75">
      <c r="A879" s="1090"/>
      <c r="B879" s="1090"/>
      <c r="C879" s="74"/>
      <c r="D879" s="74"/>
      <c r="E879" s="1043"/>
      <c r="H879" s="74"/>
    </row>
    <row r="880" spans="1:8" ht="12.75">
      <c r="A880" s="1090"/>
      <c r="B880" s="1090"/>
      <c r="C880" s="74"/>
      <c r="D880" s="74"/>
      <c r="E880" s="1043"/>
      <c r="H880" s="74"/>
    </row>
    <row r="881" spans="1:8" ht="12.75">
      <c r="A881" s="1090"/>
      <c r="B881" s="1090"/>
      <c r="C881" s="74"/>
      <c r="D881" s="74"/>
      <c r="E881" s="1043"/>
      <c r="H881" s="74"/>
    </row>
    <row r="882" spans="1:8" ht="12.75">
      <c r="A882" s="1090"/>
      <c r="B882" s="1090"/>
      <c r="C882" s="74"/>
      <c r="D882" s="74"/>
      <c r="E882" s="1043"/>
      <c r="H882" s="74"/>
    </row>
    <row r="883" spans="1:8" ht="12.75">
      <c r="A883" s="1090"/>
      <c r="B883" s="1090"/>
      <c r="C883" s="74"/>
      <c r="D883" s="74"/>
      <c r="E883" s="1043"/>
      <c r="H883" s="74"/>
    </row>
    <row r="884" spans="1:8" ht="12.75">
      <c r="A884" s="1090"/>
      <c r="B884" s="1090"/>
      <c r="C884" s="74"/>
      <c r="D884" s="74"/>
      <c r="E884" s="1043"/>
      <c r="H884" s="74"/>
    </row>
    <row r="885" spans="1:8" ht="12.75">
      <c r="A885" s="1090"/>
      <c r="B885" s="1090"/>
      <c r="C885" s="74"/>
      <c r="D885" s="74"/>
      <c r="E885" s="1043"/>
      <c r="H885" s="74"/>
    </row>
    <row r="886" spans="1:8" ht="12.75">
      <c r="A886" s="1090"/>
      <c r="B886" s="1090"/>
      <c r="C886" s="74"/>
      <c r="D886" s="74"/>
      <c r="E886" s="1043"/>
      <c r="H886" s="74"/>
    </row>
    <row r="887" spans="1:8" ht="12.75">
      <c r="A887" s="1090"/>
      <c r="B887" s="1090"/>
      <c r="C887" s="74"/>
      <c r="D887" s="74"/>
      <c r="E887" s="1043"/>
      <c r="H887" s="74"/>
    </row>
    <row r="888" spans="1:8" ht="12.75">
      <c r="A888" s="1090"/>
      <c r="B888" s="1090"/>
      <c r="C888" s="74"/>
      <c r="D888" s="74"/>
      <c r="E888" s="1043"/>
      <c r="H888" s="74"/>
    </row>
    <row r="889" spans="1:8" ht="12.75">
      <c r="A889" s="1090"/>
      <c r="B889" s="1090"/>
      <c r="C889" s="74"/>
      <c r="D889" s="74"/>
      <c r="E889" s="1043"/>
      <c r="H889" s="74"/>
    </row>
    <row r="890" spans="1:8" ht="12.75">
      <c r="A890" s="1090"/>
      <c r="B890" s="1090"/>
      <c r="C890" s="74"/>
      <c r="D890" s="74"/>
      <c r="E890" s="1043"/>
      <c r="H890" s="74"/>
    </row>
    <row r="891" spans="1:8" ht="12.75">
      <c r="A891" s="1090"/>
      <c r="B891" s="1090"/>
      <c r="C891" s="74"/>
      <c r="D891" s="74"/>
      <c r="E891" s="1043"/>
      <c r="H891" s="74"/>
    </row>
    <row r="892" spans="1:8" ht="12.75">
      <c r="A892" s="1090"/>
      <c r="B892" s="1090"/>
      <c r="C892" s="74"/>
      <c r="D892" s="74"/>
      <c r="E892" s="1043"/>
      <c r="H892" s="74"/>
    </row>
    <row r="893" spans="1:8" ht="12.75">
      <c r="A893" s="1090"/>
      <c r="B893" s="1090"/>
      <c r="C893" s="74"/>
      <c r="D893" s="74"/>
      <c r="E893" s="1043"/>
      <c r="H893" s="74"/>
    </row>
    <row r="894" spans="1:8" ht="12.75">
      <c r="A894" s="1090"/>
      <c r="B894" s="1090"/>
      <c r="C894" s="74"/>
      <c r="D894" s="74"/>
      <c r="E894" s="1043"/>
      <c r="H894" s="74"/>
    </row>
    <row r="895" spans="1:8" ht="12.75">
      <c r="A895" s="1090"/>
      <c r="B895" s="1090"/>
      <c r="C895" s="74"/>
      <c r="D895" s="74"/>
      <c r="E895" s="1043"/>
      <c r="H895" s="74"/>
    </row>
    <row r="896" spans="1:8" ht="12.75">
      <c r="A896" s="1090"/>
      <c r="B896" s="1090"/>
      <c r="C896" s="74"/>
      <c r="D896" s="74"/>
      <c r="E896" s="1043"/>
      <c r="H896" s="74"/>
    </row>
    <row r="897" spans="1:8" ht="12.75">
      <c r="A897" s="1090"/>
      <c r="B897" s="1090"/>
      <c r="C897" s="74"/>
      <c r="D897" s="74"/>
      <c r="E897" s="1043"/>
      <c r="H897" s="74"/>
    </row>
    <row r="898" spans="1:8" ht="12.75">
      <c r="A898" s="1090"/>
      <c r="B898" s="1090"/>
      <c r="C898" s="74"/>
      <c r="D898" s="74"/>
      <c r="E898" s="1043"/>
      <c r="H898" s="74"/>
    </row>
    <row r="899" spans="1:8" ht="12.75">
      <c r="A899" s="1090"/>
      <c r="B899" s="1090"/>
      <c r="C899" s="74"/>
      <c r="D899" s="74"/>
      <c r="E899" s="1043"/>
      <c r="H899" s="74"/>
    </row>
    <row r="900" spans="1:8" ht="12.75">
      <c r="A900" s="1090"/>
      <c r="B900" s="1090"/>
      <c r="C900" s="74"/>
      <c r="D900" s="74"/>
      <c r="E900" s="1043"/>
      <c r="H900" s="74"/>
    </row>
    <row r="901" spans="1:8" ht="12.75">
      <c r="A901" s="1090"/>
      <c r="B901" s="1090"/>
      <c r="C901" s="74"/>
      <c r="D901" s="74"/>
      <c r="E901" s="1043"/>
      <c r="H901" s="74"/>
    </row>
    <row r="902" spans="1:8" ht="12.75">
      <c r="A902" s="1090"/>
      <c r="B902" s="1090"/>
      <c r="C902" s="74"/>
      <c r="D902" s="74"/>
      <c r="E902" s="1043"/>
      <c r="H902" s="74"/>
    </row>
    <row r="903" spans="1:8" ht="12.75">
      <c r="A903" s="1090"/>
      <c r="B903" s="1090"/>
      <c r="C903" s="74"/>
      <c r="D903" s="74"/>
      <c r="E903" s="1043"/>
      <c r="H903" s="74"/>
    </row>
    <row r="904" spans="1:8" ht="12.75">
      <c r="A904" s="1090"/>
      <c r="B904" s="1090"/>
      <c r="C904" s="74"/>
      <c r="D904" s="74"/>
      <c r="E904" s="1043"/>
      <c r="H904" s="74"/>
    </row>
    <row r="905" spans="1:8" ht="12.75">
      <c r="A905" s="1090"/>
      <c r="B905" s="1090"/>
      <c r="C905" s="74"/>
      <c r="D905" s="74"/>
      <c r="E905" s="1043"/>
      <c r="H905" s="74"/>
    </row>
    <row r="906" spans="1:8" ht="12.75">
      <c r="A906" s="1090"/>
      <c r="B906" s="1090"/>
      <c r="C906" s="74"/>
      <c r="D906" s="74"/>
      <c r="E906" s="1043"/>
      <c r="H906" s="74"/>
    </row>
    <row r="907" spans="1:8" ht="12.75">
      <c r="A907" s="1090"/>
      <c r="B907" s="1090"/>
      <c r="C907" s="74"/>
      <c r="D907" s="74"/>
      <c r="E907" s="1043"/>
      <c r="H907" s="74"/>
    </row>
    <row r="908" spans="1:8" ht="12.75">
      <c r="A908" s="1090"/>
      <c r="B908" s="1090"/>
      <c r="C908" s="74"/>
      <c r="D908" s="74"/>
      <c r="E908" s="1043"/>
      <c r="H908" s="74"/>
    </row>
    <row r="909" spans="1:8" ht="12.75">
      <c r="A909" s="1090"/>
      <c r="B909" s="1090"/>
      <c r="C909" s="74"/>
      <c r="D909" s="74"/>
      <c r="E909" s="1043"/>
      <c r="H909" s="74"/>
    </row>
    <row r="910" spans="1:8" ht="12.75">
      <c r="A910" s="1090"/>
      <c r="B910" s="1090"/>
      <c r="C910" s="74"/>
      <c r="D910" s="74"/>
      <c r="E910" s="1043"/>
      <c r="H910" s="74"/>
    </row>
    <row r="911" spans="1:8" ht="12.75">
      <c r="A911" s="1090"/>
      <c r="B911" s="1090"/>
      <c r="C911" s="74"/>
      <c r="D911" s="74"/>
      <c r="E911" s="1043"/>
      <c r="H911" s="74"/>
    </row>
    <row r="912" spans="1:8" ht="12.75">
      <c r="A912" s="1090"/>
      <c r="B912" s="1090"/>
      <c r="C912" s="74"/>
      <c r="D912" s="74"/>
      <c r="E912" s="1043"/>
      <c r="H912" s="74"/>
    </row>
    <row r="913" spans="1:8" ht="12.75">
      <c r="A913" s="1090"/>
      <c r="B913" s="1090"/>
      <c r="C913" s="74"/>
      <c r="D913" s="74"/>
      <c r="E913" s="1043"/>
      <c r="H913" s="74"/>
    </row>
    <row r="914" spans="1:8" ht="12.75">
      <c r="A914" s="1090"/>
      <c r="B914" s="1090"/>
      <c r="C914" s="74"/>
      <c r="D914" s="74"/>
      <c r="E914" s="1043"/>
      <c r="H914" s="74"/>
    </row>
    <row r="915" spans="1:8" ht="12.75">
      <c r="A915" s="1090"/>
      <c r="B915" s="1090"/>
      <c r="C915" s="74"/>
      <c r="D915" s="74"/>
      <c r="E915" s="1043"/>
      <c r="H915" s="74"/>
    </row>
    <row r="916" spans="1:8" ht="12.75">
      <c r="A916" s="1090"/>
      <c r="B916" s="1090"/>
      <c r="C916" s="74"/>
      <c r="D916" s="74"/>
      <c r="E916" s="1043"/>
      <c r="H916" s="74"/>
    </row>
    <row r="917" spans="1:8" ht="12.75">
      <c r="A917" s="1090"/>
      <c r="B917" s="1090"/>
      <c r="C917" s="74"/>
      <c r="D917" s="74"/>
      <c r="E917" s="1043"/>
      <c r="H917" s="74"/>
    </row>
    <row r="918" spans="1:8" ht="12.75">
      <c r="A918" s="1090"/>
      <c r="B918" s="1090"/>
      <c r="C918" s="74"/>
      <c r="D918" s="74"/>
      <c r="E918" s="1043"/>
      <c r="H918" s="74"/>
    </row>
    <row r="919" spans="1:8" ht="12.75">
      <c r="A919" s="1090"/>
      <c r="B919" s="1090"/>
      <c r="C919" s="74"/>
      <c r="D919" s="74"/>
      <c r="E919" s="1043"/>
      <c r="H919" s="74"/>
    </row>
    <row r="920" spans="1:8" ht="12.75">
      <c r="A920" s="1090"/>
      <c r="B920" s="1090"/>
      <c r="C920" s="74"/>
      <c r="D920" s="74"/>
      <c r="E920" s="1043"/>
      <c r="H920" s="74"/>
    </row>
    <row r="921" spans="1:8" ht="12.75">
      <c r="A921" s="1090"/>
      <c r="B921" s="1090"/>
      <c r="C921" s="74"/>
      <c r="D921" s="74"/>
      <c r="E921" s="1043"/>
      <c r="H921" s="74"/>
    </row>
    <row r="922" spans="1:8" ht="12.75">
      <c r="A922" s="1090"/>
      <c r="B922" s="1090"/>
      <c r="C922" s="74"/>
      <c r="D922" s="74"/>
      <c r="E922" s="1043"/>
      <c r="H922" s="74"/>
    </row>
    <row r="923" spans="1:8" ht="12.75">
      <c r="A923" s="1090"/>
      <c r="B923" s="1090"/>
      <c r="C923" s="74"/>
      <c r="D923" s="74"/>
      <c r="E923" s="1043"/>
      <c r="H923" s="74"/>
    </row>
    <row r="924" spans="1:8" ht="12.75">
      <c r="A924" s="1090"/>
      <c r="B924" s="1090"/>
      <c r="C924" s="74"/>
      <c r="D924" s="74"/>
      <c r="E924" s="1043"/>
      <c r="H924" s="74"/>
    </row>
    <row r="925" spans="1:8" ht="12.75">
      <c r="A925" s="1090"/>
      <c r="B925" s="1090"/>
      <c r="C925" s="74"/>
      <c r="D925" s="74"/>
      <c r="E925" s="1043"/>
      <c r="H925" s="74"/>
    </row>
    <row r="926" spans="1:8" ht="12.75">
      <c r="A926" s="1090"/>
      <c r="B926" s="1090"/>
      <c r="C926" s="74"/>
      <c r="D926" s="74"/>
      <c r="E926" s="1043"/>
      <c r="H926" s="74"/>
    </row>
    <row r="927" spans="1:8" ht="12.75">
      <c r="A927" s="1090"/>
      <c r="B927" s="1090"/>
      <c r="C927" s="74"/>
      <c r="D927" s="74"/>
      <c r="E927" s="1043"/>
      <c r="H927" s="74"/>
    </row>
    <row r="928" spans="1:8" ht="12.75">
      <c r="A928" s="1090"/>
      <c r="B928" s="1090"/>
      <c r="C928" s="74"/>
      <c r="D928" s="74"/>
      <c r="E928" s="1043"/>
      <c r="H928" s="74"/>
    </row>
    <row r="929" spans="1:8" ht="12.75">
      <c r="A929" s="1090"/>
      <c r="B929" s="1090"/>
      <c r="C929" s="74"/>
      <c r="D929" s="74"/>
      <c r="E929" s="1043"/>
      <c r="H929" s="74"/>
    </row>
    <row r="930" spans="1:8" ht="12.75">
      <c r="A930" s="1090"/>
      <c r="B930" s="1090"/>
      <c r="C930" s="74"/>
      <c r="D930" s="74"/>
      <c r="E930" s="1043"/>
      <c r="H930" s="74"/>
    </row>
    <row r="931" spans="1:8" ht="12.75">
      <c r="A931" s="1090"/>
      <c r="B931" s="1090"/>
      <c r="C931" s="74"/>
      <c r="D931" s="74"/>
      <c r="E931" s="1043"/>
      <c r="H931" s="74"/>
    </row>
    <row r="932" spans="1:8" ht="12.75">
      <c r="A932" s="1090"/>
      <c r="B932" s="1090"/>
      <c r="C932" s="74"/>
      <c r="D932" s="74"/>
      <c r="E932" s="1043"/>
      <c r="H932" s="74"/>
    </row>
    <row r="933" spans="1:8" ht="12.75">
      <c r="A933" s="1090"/>
      <c r="B933" s="1090"/>
      <c r="C933" s="74"/>
      <c r="D933" s="74"/>
      <c r="E933" s="1043"/>
      <c r="H933" s="74"/>
    </row>
    <row r="934" spans="1:8" ht="12.75">
      <c r="A934" s="1090"/>
      <c r="B934" s="1090"/>
      <c r="C934" s="74"/>
      <c r="D934" s="74"/>
      <c r="E934" s="1043"/>
      <c r="H934" s="74"/>
    </row>
    <row r="935" spans="1:8" ht="12.75">
      <c r="A935" s="1090"/>
      <c r="B935" s="1090"/>
      <c r="C935" s="74"/>
      <c r="D935" s="74"/>
      <c r="E935" s="1043"/>
      <c r="H935" s="74"/>
    </row>
    <row r="936" spans="1:8" ht="12.75">
      <c r="A936" s="1090"/>
      <c r="B936" s="1090"/>
      <c r="C936" s="74"/>
      <c r="D936" s="74"/>
      <c r="E936" s="1043"/>
      <c r="H936" s="74"/>
    </row>
    <row r="937" spans="1:8" ht="12.75">
      <c r="A937" s="1090"/>
      <c r="B937" s="1090"/>
      <c r="C937" s="74"/>
      <c r="D937" s="74"/>
      <c r="E937" s="1043"/>
      <c r="H937" s="74"/>
    </row>
    <row r="938" spans="1:8" ht="12.75">
      <c r="A938" s="1090"/>
      <c r="B938" s="1090"/>
      <c r="C938" s="74"/>
      <c r="D938" s="74"/>
      <c r="E938" s="1043"/>
      <c r="H938" s="74"/>
    </row>
    <row r="939" spans="1:8" ht="12.75">
      <c r="A939" s="1090"/>
      <c r="B939" s="1090"/>
      <c r="C939" s="74"/>
      <c r="D939" s="74"/>
      <c r="E939" s="1043"/>
      <c r="H939" s="74"/>
    </row>
    <row r="940" spans="1:8" ht="12.75">
      <c r="A940" s="1090"/>
      <c r="B940" s="1090"/>
      <c r="C940" s="74"/>
      <c r="D940" s="74"/>
      <c r="E940" s="1043"/>
      <c r="H940" s="74"/>
    </row>
    <row r="941" spans="1:8" ht="12.75">
      <c r="A941" s="1090"/>
      <c r="B941" s="1090"/>
      <c r="C941" s="74"/>
      <c r="D941" s="74"/>
      <c r="E941" s="1043"/>
      <c r="H941" s="74"/>
    </row>
    <row r="942" spans="1:8" ht="12.75">
      <c r="A942" s="1090"/>
      <c r="B942" s="1090"/>
      <c r="C942" s="74"/>
      <c r="D942" s="74"/>
      <c r="E942" s="1043"/>
      <c r="H942" s="74"/>
    </row>
    <row r="943" spans="1:8" ht="12.75">
      <c r="A943" s="1090"/>
      <c r="B943" s="1090"/>
      <c r="C943" s="74"/>
      <c r="D943" s="74"/>
      <c r="E943" s="1043"/>
      <c r="H943" s="74"/>
    </row>
    <row r="944" spans="1:8" ht="12.75">
      <c r="A944" s="1090"/>
      <c r="B944" s="1090"/>
      <c r="C944" s="74"/>
      <c r="D944" s="74"/>
      <c r="E944" s="1043"/>
      <c r="H944" s="74"/>
    </row>
    <row r="945" spans="1:8" ht="12.75">
      <c r="A945" s="1090"/>
      <c r="B945" s="1090"/>
      <c r="C945" s="74"/>
      <c r="D945" s="74"/>
      <c r="E945" s="1043"/>
      <c r="H945" s="74"/>
    </row>
    <row r="946" spans="1:8" ht="12.75">
      <c r="A946" s="1090"/>
      <c r="B946" s="1090"/>
      <c r="C946" s="74"/>
      <c r="D946" s="74"/>
      <c r="E946" s="1043"/>
      <c r="H946" s="74"/>
    </row>
    <row r="947" spans="1:8" ht="12.75">
      <c r="A947" s="1090"/>
      <c r="B947" s="1090"/>
      <c r="C947" s="74"/>
      <c r="D947" s="74"/>
      <c r="E947" s="1043"/>
      <c r="H947" s="74"/>
    </row>
    <row r="948" spans="1:8" ht="12.75">
      <c r="A948" s="1090"/>
      <c r="B948" s="1090"/>
      <c r="C948" s="74"/>
      <c r="D948" s="74"/>
      <c r="E948" s="1043"/>
      <c r="H948" s="74"/>
    </row>
    <row r="949" spans="1:8" ht="12.75">
      <c r="A949" s="1090"/>
      <c r="B949" s="1090"/>
      <c r="C949" s="74"/>
      <c r="D949" s="74"/>
      <c r="E949" s="1043"/>
      <c r="H949" s="74"/>
    </row>
    <row r="950" spans="1:8" ht="12.75">
      <c r="A950" s="1090"/>
      <c r="B950" s="1090"/>
      <c r="C950" s="74"/>
      <c r="D950" s="74"/>
      <c r="E950" s="1043"/>
      <c r="H950" s="74"/>
    </row>
    <row r="951" spans="1:8" ht="12.75">
      <c r="A951" s="1090"/>
      <c r="B951" s="1090"/>
      <c r="C951" s="74"/>
      <c r="D951" s="74"/>
      <c r="E951" s="1043"/>
      <c r="H951" s="74"/>
    </row>
    <row r="952" spans="1:8" ht="12.75">
      <c r="A952" s="1090"/>
      <c r="B952" s="1090"/>
      <c r="C952" s="74"/>
      <c r="D952" s="74"/>
      <c r="E952" s="1043"/>
      <c r="H952" s="74"/>
    </row>
    <row r="953" spans="1:8" ht="12.75">
      <c r="A953" s="1090"/>
      <c r="B953" s="1090"/>
      <c r="C953" s="74"/>
      <c r="D953" s="74"/>
      <c r="E953" s="1043"/>
      <c r="H953" s="74"/>
    </row>
    <row r="954" spans="1:8" ht="12.75">
      <c r="A954" s="1090"/>
      <c r="B954" s="1090"/>
      <c r="C954" s="74"/>
      <c r="D954" s="74"/>
      <c r="E954" s="1043"/>
      <c r="H954" s="74"/>
    </row>
    <row r="955" spans="1:8" ht="12.75">
      <c r="A955" s="1090"/>
      <c r="B955" s="1090"/>
      <c r="C955" s="74"/>
      <c r="D955" s="74"/>
      <c r="E955" s="1043"/>
      <c r="H955" s="74"/>
    </row>
    <row r="956" spans="1:8" ht="12.75">
      <c r="A956" s="1090"/>
      <c r="B956" s="1090"/>
      <c r="C956" s="74"/>
      <c r="D956" s="74"/>
      <c r="E956" s="1043"/>
      <c r="H956" s="74"/>
    </row>
    <row r="957" spans="1:8" ht="12.75">
      <c r="A957" s="1090"/>
      <c r="B957" s="1090"/>
      <c r="C957" s="74"/>
      <c r="D957" s="74"/>
      <c r="E957" s="1043"/>
      <c r="H957" s="74"/>
    </row>
    <row r="958" spans="1:8" ht="12.75">
      <c r="A958" s="1090"/>
      <c r="B958" s="1090"/>
      <c r="C958" s="74"/>
      <c r="D958" s="74"/>
      <c r="E958" s="1043"/>
      <c r="H958" s="74"/>
    </row>
    <row r="959" spans="1:8" ht="12.75">
      <c r="A959" s="1090"/>
      <c r="B959" s="1090"/>
      <c r="C959" s="74"/>
      <c r="D959" s="74"/>
      <c r="E959" s="1043"/>
      <c r="H959" s="74"/>
    </row>
    <row r="960" spans="1:8" ht="12.75">
      <c r="A960" s="1090"/>
      <c r="B960" s="1090"/>
      <c r="C960" s="74"/>
      <c r="D960" s="74"/>
      <c r="E960" s="1043"/>
      <c r="H960" s="74"/>
    </row>
    <row r="961" spans="1:8" ht="12.75">
      <c r="A961" s="1090"/>
      <c r="B961" s="1090"/>
      <c r="C961" s="74"/>
      <c r="D961" s="74"/>
      <c r="E961" s="1043"/>
      <c r="H961" s="74"/>
    </row>
    <row r="962" spans="1:8" ht="12.75">
      <c r="A962" s="1090"/>
      <c r="B962" s="1090"/>
      <c r="C962" s="74"/>
      <c r="D962" s="74"/>
      <c r="E962" s="1043"/>
      <c r="H962" s="74"/>
    </row>
    <row r="963" spans="1:8" ht="12.75">
      <c r="A963" s="1090"/>
      <c r="B963" s="1090"/>
      <c r="C963" s="74"/>
      <c r="D963" s="74"/>
      <c r="E963" s="1043"/>
      <c r="H963" s="74"/>
    </row>
    <row r="964" spans="1:8" ht="12.75">
      <c r="A964" s="1090"/>
      <c r="B964" s="1090"/>
      <c r="C964" s="74"/>
      <c r="D964" s="74"/>
      <c r="E964" s="1043"/>
      <c r="H964" s="74"/>
    </row>
    <row r="965" spans="1:8" ht="12.75">
      <c r="A965" s="1090"/>
      <c r="B965" s="1090"/>
      <c r="C965" s="74"/>
      <c r="D965" s="74"/>
      <c r="E965" s="1043"/>
      <c r="H965" s="74"/>
    </row>
    <row r="966" spans="1:8" ht="12.75">
      <c r="A966" s="1090"/>
      <c r="B966" s="1090"/>
      <c r="C966" s="74"/>
      <c r="D966" s="74"/>
      <c r="E966" s="1043"/>
      <c r="H966" s="74"/>
    </row>
    <row r="967" spans="1:8" ht="12.75">
      <c r="A967" s="1090"/>
      <c r="B967" s="1090"/>
      <c r="C967" s="74"/>
      <c r="D967" s="74"/>
      <c r="E967" s="1043"/>
      <c r="H967" s="74"/>
    </row>
    <row r="968" spans="1:8" ht="12.75">
      <c r="A968" s="1090"/>
      <c r="B968" s="1090"/>
      <c r="C968" s="74"/>
      <c r="D968" s="74"/>
      <c r="E968" s="1043"/>
      <c r="H968" s="74"/>
    </row>
    <row r="969" spans="1:8" ht="12.75">
      <c r="A969" s="1090"/>
      <c r="B969" s="1090"/>
      <c r="C969" s="74"/>
      <c r="D969" s="74"/>
      <c r="E969" s="1043"/>
      <c r="H969" s="74"/>
    </row>
    <row r="970" spans="1:8" ht="12.75">
      <c r="A970" s="1090"/>
      <c r="B970" s="1090"/>
      <c r="C970" s="74"/>
      <c r="D970" s="74"/>
      <c r="E970" s="1043"/>
      <c r="H970" s="74"/>
    </row>
    <row r="971" spans="1:8" ht="12.75">
      <c r="A971" s="1090"/>
      <c r="B971" s="1090"/>
      <c r="C971" s="74"/>
      <c r="D971" s="74"/>
      <c r="E971" s="1043"/>
      <c r="H971" s="74"/>
    </row>
    <row r="972" spans="1:8" ht="12.75">
      <c r="A972" s="1090"/>
      <c r="B972" s="1090"/>
      <c r="C972" s="74"/>
      <c r="D972" s="74"/>
      <c r="E972" s="1043"/>
      <c r="H972" s="74"/>
    </row>
    <row r="973" spans="1:8" ht="12.75">
      <c r="A973" s="1090"/>
      <c r="B973" s="1090"/>
      <c r="C973" s="74"/>
      <c r="D973" s="74"/>
      <c r="E973" s="1043"/>
      <c r="H973" s="74"/>
    </row>
    <row r="974" spans="1:8" ht="12.75">
      <c r="A974" s="1090"/>
      <c r="B974" s="1090"/>
      <c r="C974" s="74"/>
      <c r="D974" s="74"/>
      <c r="E974" s="1043"/>
      <c r="H974" s="74"/>
    </row>
    <row r="975" spans="1:8" ht="12.75">
      <c r="A975" s="1090"/>
      <c r="B975" s="1090"/>
      <c r="C975" s="74"/>
      <c r="D975" s="74"/>
      <c r="E975" s="1043"/>
      <c r="H975" s="74"/>
    </row>
    <row r="976" spans="1:8" ht="12.75">
      <c r="A976" s="1090"/>
      <c r="B976" s="1090"/>
      <c r="C976" s="74"/>
      <c r="D976" s="74"/>
      <c r="E976" s="1043"/>
      <c r="H976" s="74"/>
    </row>
    <row r="977" spans="1:8" ht="12.75">
      <c r="A977" s="1090"/>
      <c r="B977" s="1090"/>
      <c r="C977" s="74"/>
      <c r="D977" s="74"/>
      <c r="E977" s="1043"/>
      <c r="H977" s="74"/>
    </row>
    <row r="978" spans="1:8" ht="12.75">
      <c r="A978" s="1090"/>
      <c r="B978" s="1090"/>
      <c r="C978" s="74"/>
      <c r="D978" s="74"/>
      <c r="E978" s="1043"/>
      <c r="H978" s="74"/>
    </row>
    <row r="979" spans="1:8" ht="12.75">
      <c r="A979" s="1090"/>
      <c r="B979" s="1090"/>
      <c r="C979" s="74"/>
      <c r="D979" s="74"/>
      <c r="E979" s="1043"/>
      <c r="H979" s="74"/>
    </row>
    <row r="980" spans="1:8" ht="12.75">
      <c r="A980" s="1090"/>
      <c r="B980" s="1090"/>
      <c r="C980" s="74"/>
      <c r="D980" s="74"/>
      <c r="E980" s="1043"/>
      <c r="H980" s="74"/>
    </row>
    <row r="981" spans="1:8" ht="12.75">
      <c r="A981" s="1090"/>
      <c r="B981" s="1090"/>
      <c r="C981" s="74"/>
      <c r="D981" s="74"/>
      <c r="E981" s="1043"/>
      <c r="H981" s="74"/>
    </row>
    <row r="982" spans="1:8" ht="12.75">
      <c r="A982" s="1090"/>
      <c r="B982" s="1090"/>
      <c r="C982" s="74"/>
      <c r="D982" s="74"/>
      <c r="E982" s="1043"/>
      <c r="H982" s="74"/>
    </row>
    <row r="983" spans="1:8" ht="12.75">
      <c r="A983" s="1090"/>
      <c r="B983" s="1090"/>
      <c r="C983" s="74"/>
      <c r="D983" s="74"/>
      <c r="E983" s="1043"/>
      <c r="H983" s="74"/>
    </row>
    <row r="984" spans="1:8" ht="12.75">
      <c r="A984" s="1090"/>
      <c r="B984" s="1090"/>
      <c r="C984" s="74"/>
      <c r="D984" s="74"/>
      <c r="E984" s="1043"/>
      <c r="H984" s="74"/>
    </row>
    <row r="985" spans="1:8" ht="12.75">
      <c r="A985" s="1090"/>
      <c r="B985" s="1090"/>
      <c r="C985" s="74"/>
      <c r="D985" s="74"/>
      <c r="E985" s="1043"/>
      <c r="H985" s="74"/>
    </row>
    <row r="986" spans="1:8" ht="12.75">
      <c r="A986" s="1090"/>
      <c r="B986" s="1090"/>
      <c r="C986" s="74"/>
      <c r="D986" s="74"/>
      <c r="E986" s="1043"/>
      <c r="H986" s="74"/>
    </row>
    <row r="987" spans="1:8" ht="12.75">
      <c r="A987" s="1090"/>
      <c r="B987" s="1090"/>
      <c r="C987" s="74"/>
      <c r="D987" s="74"/>
      <c r="E987" s="1043"/>
      <c r="H987" s="74"/>
    </row>
    <row r="988" spans="1:8" ht="12.75">
      <c r="A988" s="1090"/>
      <c r="B988" s="1090"/>
      <c r="C988" s="74"/>
      <c r="D988" s="74"/>
      <c r="E988" s="1043"/>
      <c r="H988" s="74"/>
    </row>
    <row r="989" spans="1:8" ht="12.75">
      <c r="A989" s="1090"/>
      <c r="B989" s="1090"/>
      <c r="C989" s="74"/>
      <c r="D989" s="74"/>
      <c r="E989" s="1043"/>
      <c r="H989" s="74"/>
    </row>
    <row r="990" spans="1:8" ht="12.75">
      <c r="A990" s="1090"/>
      <c r="B990" s="1090"/>
      <c r="C990" s="74"/>
      <c r="D990" s="74"/>
      <c r="E990" s="1043"/>
      <c r="H990" s="74"/>
    </row>
    <row r="991" spans="1:8" ht="12.75">
      <c r="A991" s="1090"/>
      <c r="B991" s="1090"/>
      <c r="C991" s="74"/>
      <c r="D991" s="74"/>
      <c r="E991" s="1043"/>
      <c r="H991" s="74"/>
    </row>
    <row r="992" spans="1:8" ht="12.75">
      <c r="A992" s="1090"/>
      <c r="B992" s="1090"/>
      <c r="C992" s="74"/>
      <c r="D992" s="74"/>
      <c r="E992" s="1043"/>
      <c r="H992" s="74"/>
    </row>
    <row r="993" spans="1:8" ht="12.75">
      <c r="A993" s="1090"/>
      <c r="B993" s="1090"/>
      <c r="C993" s="74"/>
      <c r="D993" s="74"/>
      <c r="E993" s="1043"/>
      <c r="H993" s="74"/>
    </row>
    <row r="994" spans="1:8" ht="12.75">
      <c r="A994" s="1090"/>
      <c r="B994" s="1090"/>
      <c r="C994" s="74"/>
      <c r="D994" s="74"/>
      <c r="E994" s="1043"/>
      <c r="H994" s="74"/>
    </row>
    <row r="995" spans="1:8" ht="12.75">
      <c r="A995" s="1090"/>
      <c r="B995" s="1090"/>
      <c r="C995" s="74"/>
      <c r="D995" s="74"/>
      <c r="E995" s="1043"/>
      <c r="H995" s="74"/>
    </row>
    <row r="996" spans="1:8" ht="12.75">
      <c r="A996" s="1090"/>
      <c r="B996" s="1090"/>
      <c r="C996" s="74"/>
      <c r="D996" s="74"/>
      <c r="E996" s="1043"/>
      <c r="H996" s="74"/>
    </row>
    <row r="997" spans="1:8" ht="12.75">
      <c r="A997" s="1090"/>
      <c r="B997" s="1090"/>
      <c r="C997" s="74"/>
      <c r="D997" s="74"/>
      <c r="E997" s="1043"/>
      <c r="H997" s="74"/>
    </row>
    <row r="998" spans="1:8" ht="12.75">
      <c r="A998" s="1090"/>
      <c r="B998" s="1090"/>
      <c r="C998" s="74"/>
      <c r="D998" s="74"/>
      <c r="E998" s="1043"/>
      <c r="H998" s="74"/>
    </row>
    <row r="999" spans="1:8" ht="12.75">
      <c r="A999" s="1090"/>
      <c r="B999" s="1090"/>
      <c r="C999" s="74"/>
      <c r="D999" s="74"/>
      <c r="E999" s="1043"/>
      <c r="H999" s="74"/>
    </row>
    <row r="1000" spans="1:8" ht="12.75">
      <c r="A1000" s="1090"/>
      <c r="B1000" s="1090"/>
      <c r="C1000" s="74"/>
      <c r="D1000" s="74"/>
      <c r="E1000" s="1043"/>
      <c r="H1000" s="74"/>
    </row>
    <row r="1001" spans="1:8" ht="12.75">
      <c r="A1001" s="1090"/>
      <c r="B1001" s="1090"/>
      <c r="C1001" s="74"/>
      <c r="D1001" s="74"/>
      <c r="E1001" s="1043"/>
      <c r="H1001" s="74"/>
    </row>
    <row r="1002" spans="1:8" ht="12.75">
      <c r="A1002" s="1090"/>
      <c r="B1002" s="1090"/>
      <c r="C1002" s="74"/>
      <c r="D1002" s="74"/>
      <c r="E1002" s="1043"/>
      <c r="H1002" s="74"/>
    </row>
    <row r="1003" spans="1:8" ht="12.75">
      <c r="A1003" s="1090"/>
      <c r="B1003" s="1090"/>
      <c r="C1003" s="74"/>
      <c r="D1003" s="74"/>
      <c r="E1003" s="1043"/>
      <c r="H1003" s="74"/>
    </row>
    <row r="1004" spans="1:8" ht="12.75">
      <c r="A1004" s="1090"/>
      <c r="B1004" s="1090"/>
      <c r="C1004" s="74"/>
      <c r="D1004" s="74"/>
      <c r="E1004" s="1043"/>
      <c r="H1004" s="74"/>
    </row>
    <row r="1005" spans="1:8" ht="12.75">
      <c r="A1005" s="1090"/>
      <c r="B1005" s="1090"/>
      <c r="C1005" s="74"/>
      <c r="D1005" s="74"/>
      <c r="E1005" s="1043"/>
      <c r="H1005" s="74"/>
    </row>
    <row r="1006" spans="1:8" ht="12.75">
      <c r="A1006" s="1090"/>
      <c r="B1006" s="1090"/>
      <c r="C1006" s="74"/>
      <c r="D1006" s="74"/>
      <c r="E1006" s="1043"/>
      <c r="H1006" s="74"/>
    </row>
    <row r="1007" spans="1:8" ht="12.75">
      <c r="A1007" s="1090"/>
      <c r="B1007" s="1090"/>
      <c r="C1007" s="74"/>
      <c r="D1007" s="74"/>
      <c r="E1007" s="1043"/>
      <c r="H1007" s="74"/>
    </row>
    <row r="1008" spans="1:8" ht="12.75">
      <c r="A1008" s="1090"/>
      <c r="B1008" s="1090"/>
      <c r="C1008" s="74"/>
      <c r="D1008" s="74"/>
      <c r="E1008" s="1043"/>
      <c r="H1008" s="74"/>
    </row>
    <row r="1009" spans="1:8" ht="12.75">
      <c r="A1009" s="1090"/>
      <c r="B1009" s="1090"/>
      <c r="C1009" s="74"/>
      <c r="D1009" s="74"/>
      <c r="E1009" s="1043"/>
      <c r="H1009" s="74"/>
    </row>
    <row r="1010" spans="1:8" ht="12.75">
      <c r="A1010" s="1090"/>
      <c r="B1010" s="1090"/>
      <c r="C1010" s="74"/>
      <c r="D1010" s="74"/>
      <c r="E1010" s="1043"/>
      <c r="H1010" s="74"/>
    </row>
    <row r="1011" spans="1:8" ht="12.75">
      <c r="A1011" s="1090"/>
      <c r="B1011" s="1090"/>
      <c r="C1011" s="74"/>
      <c r="D1011" s="74"/>
      <c r="E1011" s="1043"/>
      <c r="H1011" s="74"/>
    </row>
    <row r="1012" spans="1:8" ht="12.75">
      <c r="A1012" s="1090"/>
      <c r="B1012" s="1090"/>
      <c r="C1012" s="74"/>
      <c r="D1012" s="74"/>
      <c r="E1012" s="1043"/>
      <c r="H1012" s="74"/>
    </row>
    <row r="1013" spans="1:8" ht="12.75">
      <c r="A1013" s="1090"/>
      <c r="B1013" s="1090"/>
      <c r="C1013" s="74"/>
      <c r="D1013" s="74"/>
      <c r="E1013" s="1043"/>
      <c r="H1013" s="74"/>
    </row>
    <row r="1014" spans="1:8" ht="12.75">
      <c r="A1014" s="1090"/>
      <c r="B1014" s="1090"/>
      <c r="C1014" s="74"/>
      <c r="D1014" s="74"/>
      <c r="E1014" s="1043"/>
      <c r="H1014" s="74"/>
    </row>
    <row r="1015" spans="1:8" ht="12.75">
      <c r="A1015" s="1090"/>
      <c r="B1015" s="1090"/>
      <c r="C1015" s="74"/>
      <c r="D1015" s="74"/>
      <c r="E1015" s="1043"/>
      <c r="H1015" s="74"/>
    </row>
    <row r="1016" spans="1:8" ht="12.75">
      <c r="A1016" s="1090"/>
      <c r="B1016" s="1090"/>
      <c r="C1016" s="74"/>
      <c r="D1016" s="74"/>
      <c r="E1016" s="1043"/>
      <c r="H1016" s="74"/>
    </row>
    <row r="1017" spans="1:8" ht="12.75">
      <c r="A1017" s="1090"/>
      <c r="B1017" s="1090"/>
      <c r="C1017" s="74"/>
      <c r="D1017" s="74"/>
      <c r="E1017" s="1043"/>
      <c r="H1017" s="74"/>
    </row>
    <row r="1018" spans="1:8" ht="12.75">
      <c r="A1018" s="1090"/>
      <c r="B1018" s="1090"/>
      <c r="C1018" s="74"/>
      <c r="D1018" s="74"/>
      <c r="E1018" s="1043"/>
      <c r="H1018" s="74"/>
    </row>
    <row r="1019" spans="1:8" ht="12.75">
      <c r="A1019" s="1090"/>
      <c r="B1019" s="1090"/>
      <c r="C1019" s="74"/>
      <c r="D1019" s="74"/>
      <c r="E1019" s="1043"/>
      <c r="H1019" s="74"/>
    </row>
    <row r="1020" spans="1:8" ht="12.75">
      <c r="A1020" s="1090"/>
      <c r="B1020" s="1090"/>
      <c r="C1020" s="74"/>
      <c r="D1020" s="74"/>
      <c r="E1020" s="1043"/>
      <c r="H1020" s="74"/>
    </row>
    <row r="1021" spans="1:8" ht="12.75">
      <c r="A1021" s="1090"/>
      <c r="B1021" s="1090"/>
      <c r="C1021" s="74"/>
      <c r="D1021" s="74"/>
      <c r="E1021" s="1043"/>
      <c r="H1021" s="74"/>
    </row>
    <row r="1022" spans="1:8" ht="12.75">
      <c r="A1022" s="1090"/>
      <c r="B1022" s="1090"/>
      <c r="C1022" s="74"/>
      <c r="D1022" s="74"/>
      <c r="E1022" s="1043"/>
      <c r="H1022" s="74"/>
    </row>
    <row r="1023" spans="1:8" ht="12.75">
      <c r="A1023" s="1090"/>
      <c r="B1023" s="1090"/>
      <c r="C1023" s="74"/>
      <c r="D1023" s="74"/>
      <c r="E1023" s="1043"/>
      <c r="H1023" s="74"/>
    </row>
    <row r="1024" spans="1:8" ht="12.75">
      <c r="A1024" s="1090"/>
      <c r="B1024" s="1090"/>
      <c r="C1024" s="74"/>
      <c r="D1024" s="74"/>
      <c r="E1024" s="1043"/>
      <c r="H1024" s="74"/>
    </row>
    <row r="1025" spans="1:8" ht="12.75">
      <c r="A1025" s="1090"/>
      <c r="B1025" s="1090"/>
      <c r="C1025" s="74"/>
      <c r="D1025" s="74"/>
      <c r="E1025" s="1043"/>
      <c r="H1025" s="74"/>
    </row>
    <row r="1026" spans="1:8" ht="12.75">
      <c r="A1026" s="1090"/>
      <c r="B1026" s="1090"/>
      <c r="C1026" s="74"/>
      <c r="D1026" s="74"/>
      <c r="E1026" s="1043"/>
      <c r="H1026" s="74"/>
    </row>
    <row r="1027" spans="1:8" ht="12.75">
      <c r="A1027" s="1090"/>
      <c r="B1027" s="1090"/>
      <c r="C1027" s="74"/>
      <c r="D1027" s="74"/>
      <c r="E1027" s="1043"/>
      <c r="H1027" s="74"/>
    </row>
    <row r="1028" spans="1:8" ht="12.75">
      <c r="A1028" s="1090"/>
      <c r="B1028" s="1090"/>
      <c r="C1028" s="74"/>
      <c r="D1028" s="74"/>
      <c r="E1028" s="1043"/>
      <c r="H1028" s="74"/>
    </row>
    <row r="1029" spans="1:8" ht="12.75">
      <c r="A1029" s="1090"/>
      <c r="B1029" s="1090"/>
      <c r="C1029" s="74"/>
      <c r="D1029" s="74"/>
      <c r="E1029" s="1043"/>
      <c r="H1029" s="74"/>
    </row>
    <row r="1030" spans="1:8" ht="12.75">
      <c r="A1030" s="1090"/>
      <c r="B1030" s="1090"/>
      <c r="C1030" s="74"/>
      <c r="D1030" s="74"/>
      <c r="E1030" s="1043"/>
      <c r="H1030" s="74"/>
    </row>
    <row r="1031" spans="1:8" ht="12.75">
      <c r="A1031" s="1090"/>
      <c r="B1031" s="1090"/>
      <c r="C1031" s="74"/>
      <c r="D1031" s="74"/>
      <c r="E1031" s="1043"/>
      <c r="H1031" s="74"/>
    </row>
    <row r="1032" spans="1:8" ht="12.75">
      <c r="A1032" s="1090"/>
      <c r="B1032" s="1090"/>
      <c r="C1032" s="74"/>
      <c r="D1032" s="74"/>
      <c r="E1032" s="1043"/>
      <c r="H1032" s="74"/>
    </row>
    <row r="1033" spans="1:8" ht="12.75">
      <c r="A1033" s="1090"/>
      <c r="B1033" s="1090"/>
      <c r="C1033" s="74"/>
      <c r="D1033" s="74"/>
      <c r="E1033" s="1043"/>
      <c r="H1033" s="74"/>
    </row>
    <row r="1034" spans="1:8" ht="12.75">
      <c r="A1034" s="1090"/>
      <c r="B1034" s="1090"/>
      <c r="C1034" s="74"/>
      <c r="D1034" s="74"/>
      <c r="E1034" s="1043"/>
      <c r="H1034" s="74"/>
    </row>
    <row r="1035" spans="1:8" ht="12.75">
      <c r="A1035" s="1090"/>
      <c r="B1035" s="1090"/>
      <c r="C1035" s="74"/>
      <c r="D1035" s="74"/>
      <c r="E1035" s="1043"/>
      <c r="H1035" s="74"/>
    </row>
    <row r="1036" spans="1:8" ht="12.75">
      <c r="A1036" s="1090"/>
      <c r="B1036" s="1090"/>
      <c r="C1036" s="74"/>
      <c r="D1036" s="74"/>
      <c r="E1036" s="1043"/>
      <c r="H1036" s="74"/>
    </row>
    <row r="1037" spans="1:8" ht="12.75">
      <c r="A1037" s="1090"/>
      <c r="B1037" s="1090"/>
      <c r="C1037" s="74"/>
      <c r="D1037" s="74"/>
      <c r="E1037" s="1043"/>
      <c r="H1037" s="74"/>
    </row>
    <row r="1038" spans="1:8" ht="12.75">
      <c r="A1038" s="1090"/>
      <c r="B1038" s="1090"/>
      <c r="C1038" s="74"/>
      <c r="D1038" s="74"/>
      <c r="E1038" s="1043"/>
      <c r="H1038" s="74"/>
    </row>
    <row r="1039" spans="1:8" ht="12.75">
      <c r="A1039" s="1090"/>
      <c r="B1039" s="1090"/>
      <c r="C1039" s="74"/>
      <c r="D1039" s="74"/>
      <c r="E1039" s="1043"/>
      <c r="H1039" s="74"/>
    </row>
    <row r="1040" spans="1:8" ht="12.75">
      <c r="A1040" s="1090"/>
      <c r="B1040" s="1090"/>
      <c r="C1040" s="74"/>
      <c r="D1040" s="74"/>
      <c r="E1040" s="1043"/>
      <c r="H1040" s="74"/>
    </row>
    <row r="1041" spans="1:8" ht="12.75">
      <c r="A1041" s="1090"/>
      <c r="B1041" s="1090"/>
      <c r="C1041" s="74"/>
      <c r="D1041" s="74"/>
      <c r="E1041" s="1043"/>
      <c r="H1041" s="74"/>
    </row>
    <row r="1042" spans="1:8" ht="12.75">
      <c r="A1042" s="1090"/>
      <c r="B1042" s="1090"/>
      <c r="C1042" s="74"/>
      <c r="D1042" s="74"/>
      <c r="E1042" s="1043"/>
      <c r="H1042" s="74"/>
    </row>
    <row r="1043" spans="1:8" ht="12.75">
      <c r="A1043" s="1090"/>
      <c r="B1043" s="1090"/>
      <c r="C1043" s="74"/>
      <c r="D1043" s="74"/>
      <c r="E1043" s="1043"/>
      <c r="H1043" s="74"/>
    </row>
    <row r="1044" spans="1:8" ht="12.75">
      <c r="A1044" s="1090"/>
      <c r="B1044" s="1090"/>
      <c r="C1044" s="74"/>
      <c r="D1044" s="74"/>
      <c r="E1044" s="1043"/>
      <c r="H1044" s="74"/>
    </row>
    <row r="1045" spans="1:8" ht="12.75">
      <c r="A1045" s="1090"/>
      <c r="B1045" s="1090"/>
      <c r="C1045" s="74"/>
      <c r="D1045" s="74"/>
      <c r="E1045" s="1043"/>
      <c r="H1045" s="74"/>
    </row>
    <row r="1046" spans="1:8" ht="12.75">
      <c r="A1046" s="1090"/>
      <c r="B1046" s="1090"/>
      <c r="C1046" s="74"/>
      <c r="D1046" s="74"/>
      <c r="E1046" s="1043"/>
      <c r="H1046" s="74"/>
    </row>
    <row r="1047" spans="1:8" ht="12.75">
      <c r="A1047" s="1090"/>
      <c r="B1047" s="1090"/>
      <c r="C1047" s="74"/>
      <c r="D1047" s="74"/>
      <c r="E1047" s="1043"/>
      <c r="H1047" s="74"/>
    </row>
    <row r="1048" spans="1:8" ht="12.75">
      <c r="A1048" s="1090"/>
      <c r="B1048" s="1090"/>
      <c r="C1048" s="74"/>
      <c r="D1048" s="74"/>
      <c r="E1048" s="1043"/>
      <c r="H1048" s="74"/>
    </row>
    <row r="1049" spans="1:8" ht="12.75">
      <c r="A1049" s="1090"/>
      <c r="B1049" s="1090"/>
      <c r="C1049" s="74"/>
      <c r="D1049" s="74"/>
      <c r="E1049" s="1043"/>
      <c r="H1049" s="74"/>
    </row>
    <row r="1050" spans="1:8" ht="12.75">
      <c r="A1050" s="1090"/>
      <c r="B1050" s="1090"/>
      <c r="C1050" s="74"/>
      <c r="D1050" s="74"/>
      <c r="E1050" s="1043"/>
      <c r="H1050" s="74"/>
    </row>
    <row r="1051" spans="1:8" ht="12.75">
      <c r="A1051" s="1090"/>
      <c r="B1051" s="1090"/>
      <c r="C1051" s="74"/>
      <c r="D1051" s="74"/>
      <c r="E1051" s="1043"/>
      <c r="H1051" s="74"/>
    </row>
    <row r="1052" spans="1:8" ht="12.75">
      <c r="A1052" s="1090"/>
      <c r="B1052" s="1090"/>
      <c r="C1052" s="74"/>
      <c r="D1052" s="74"/>
      <c r="E1052" s="1043"/>
      <c r="H1052" s="74"/>
    </row>
    <row r="1053" spans="1:8" ht="12.75">
      <c r="A1053" s="1090"/>
      <c r="B1053" s="1090"/>
      <c r="C1053" s="74"/>
      <c r="D1053" s="74"/>
      <c r="E1053" s="1043"/>
      <c r="H1053" s="74"/>
    </row>
    <row r="1054" spans="1:8" ht="12.75">
      <c r="A1054" s="1090"/>
      <c r="B1054" s="1090"/>
      <c r="C1054" s="74"/>
      <c r="D1054" s="74"/>
      <c r="E1054" s="1043"/>
      <c r="H1054" s="74"/>
    </row>
    <row r="1055" spans="1:8" ht="12.75">
      <c r="A1055" s="1090"/>
      <c r="B1055" s="1090"/>
      <c r="C1055" s="74"/>
      <c r="D1055" s="74"/>
      <c r="E1055" s="1043"/>
      <c r="H1055" s="74"/>
    </row>
    <row r="1056" spans="1:8" ht="12.75">
      <c r="A1056" s="1090"/>
      <c r="B1056" s="1090"/>
      <c r="C1056" s="74"/>
      <c r="D1056" s="74"/>
      <c r="E1056" s="1043"/>
      <c r="H1056" s="74"/>
    </row>
    <row r="1057" spans="1:8" ht="12.75">
      <c r="A1057" s="1090"/>
      <c r="B1057" s="1090"/>
      <c r="C1057" s="74"/>
      <c r="D1057" s="74"/>
      <c r="E1057" s="1043"/>
      <c r="H1057" s="74"/>
    </row>
    <row r="1058" spans="1:8" ht="12.75">
      <c r="A1058" s="1090"/>
      <c r="B1058" s="1090"/>
      <c r="C1058" s="74"/>
      <c r="D1058" s="74"/>
      <c r="E1058" s="1043"/>
      <c r="H1058" s="74"/>
    </row>
    <row r="1059" spans="1:8" ht="12.75">
      <c r="A1059" s="1090"/>
      <c r="B1059" s="1090"/>
      <c r="C1059" s="74"/>
      <c r="D1059" s="74"/>
      <c r="E1059" s="1043"/>
      <c r="H1059" s="74"/>
    </row>
    <row r="1060" spans="1:8" ht="12.75">
      <c r="A1060" s="1090"/>
      <c r="B1060" s="1090"/>
      <c r="C1060" s="74"/>
      <c r="D1060" s="74"/>
      <c r="E1060" s="1043"/>
      <c r="H1060" s="74"/>
    </row>
    <row r="1061" spans="1:8" ht="12.75">
      <c r="A1061" s="1090"/>
      <c r="B1061" s="1090"/>
      <c r="C1061" s="74"/>
      <c r="D1061" s="74"/>
      <c r="E1061" s="1043"/>
      <c r="H1061" s="74"/>
    </row>
    <row r="1062" spans="1:8" ht="12.75">
      <c r="A1062" s="1090"/>
      <c r="B1062" s="1090"/>
      <c r="C1062" s="74"/>
      <c r="D1062" s="74"/>
      <c r="E1062" s="1043"/>
      <c r="H1062" s="74"/>
    </row>
    <row r="1063" spans="1:8" ht="12.75">
      <c r="A1063" s="1090"/>
      <c r="B1063" s="1090"/>
      <c r="C1063" s="74"/>
      <c r="D1063" s="74"/>
      <c r="E1063" s="1043"/>
      <c r="H1063" s="74"/>
    </row>
    <row r="1064" spans="1:8" ht="12.75">
      <c r="A1064" s="1090"/>
      <c r="B1064" s="1090"/>
      <c r="C1064" s="74"/>
      <c r="D1064" s="74"/>
      <c r="E1064" s="1043"/>
      <c r="H1064" s="74"/>
    </row>
    <row r="1065" spans="1:8" ht="12.75">
      <c r="A1065" s="1090"/>
      <c r="B1065" s="1090"/>
      <c r="C1065" s="74"/>
      <c r="D1065" s="74"/>
      <c r="E1065" s="1043"/>
      <c r="H1065" s="74"/>
    </row>
    <row r="1066" spans="1:8" ht="12.75">
      <c r="A1066" s="1090"/>
      <c r="B1066" s="1090"/>
      <c r="C1066" s="74"/>
      <c r="D1066" s="74"/>
      <c r="E1066" s="1043"/>
      <c r="H1066" s="74"/>
    </row>
    <row r="1067" spans="1:8" ht="12.75">
      <c r="A1067" s="1090"/>
      <c r="B1067" s="1090"/>
      <c r="C1067" s="74"/>
      <c r="D1067" s="74"/>
      <c r="E1067" s="1043"/>
      <c r="H1067" s="74"/>
    </row>
    <row r="1068" spans="1:8" ht="12.75">
      <c r="A1068" s="1090"/>
      <c r="B1068" s="1090"/>
      <c r="C1068" s="74"/>
      <c r="D1068" s="74"/>
      <c r="E1068" s="1043"/>
      <c r="H1068" s="74"/>
    </row>
    <row r="1069" spans="1:8" ht="12.75">
      <c r="A1069" s="1090"/>
      <c r="B1069" s="1090"/>
      <c r="C1069" s="74"/>
      <c r="D1069" s="74"/>
      <c r="E1069" s="1043"/>
      <c r="H1069" s="74"/>
    </row>
    <row r="1070" spans="1:8" ht="12.75">
      <c r="A1070" s="1090"/>
      <c r="B1070" s="1090"/>
      <c r="C1070" s="74"/>
      <c r="D1070" s="74"/>
      <c r="E1070" s="1043"/>
      <c r="H1070" s="74"/>
    </row>
    <row r="1071" spans="1:8" ht="12.75">
      <c r="A1071" s="1090"/>
      <c r="B1071" s="1090"/>
      <c r="C1071" s="74"/>
      <c r="D1071" s="74"/>
      <c r="E1071" s="1043"/>
      <c r="H1071" s="74"/>
    </row>
    <row r="1072" spans="1:8" ht="12.75">
      <c r="A1072" s="1090"/>
      <c r="B1072" s="1090"/>
      <c r="C1072" s="74"/>
      <c r="D1072" s="74"/>
      <c r="E1072" s="1043"/>
      <c r="H1072" s="74"/>
    </row>
    <row r="1073" spans="1:8" ht="12.75">
      <c r="A1073" s="1090"/>
      <c r="B1073" s="1090"/>
      <c r="C1073" s="74"/>
      <c r="D1073" s="74"/>
      <c r="E1073" s="1043"/>
      <c r="H1073" s="74"/>
    </row>
    <row r="1074" spans="1:8" ht="12.75">
      <c r="A1074" s="1090"/>
      <c r="B1074" s="1090"/>
      <c r="C1074" s="74"/>
      <c r="D1074" s="74"/>
      <c r="E1074" s="1043"/>
      <c r="H1074" s="74"/>
    </row>
    <row r="1075" spans="1:8" ht="12.75">
      <c r="A1075" s="1090"/>
      <c r="B1075" s="1090"/>
      <c r="C1075" s="74"/>
      <c r="D1075" s="74"/>
      <c r="E1075" s="1043"/>
      <c r="H1075" s="74"/>
    </row>
    <row r="1076" spans="1:8" ht="12.75">
      <c r="A1076" s="1090"/>
      <c r="B1076" s="1090"/>
      <c r="C1076" s="74"/>
      <c r="D1076" s="74"/>
      <c r="E1076" s="1043"/>
      <c r="H1076" s="74"/>
    </row>
    <row r="1077" spans="1:8" ht="12.75">
      <c r="A1077" s="1090"/>
      <c r="B1077" s="1090"/>
      <c r="C1077" s="74"/>
      <c r="D1077" s="74"/>
      <c r="E1077" s="1043"/>
      <c r="H1077" s="74"/>
    </row>
    <row r="1078" spans="1:8" ht="12.75">
      <c r="A1078" s="1090"/>
      <c r="B1078" s="1090"/>
      <c r="C1078" s="74"/>
      <c r="D1078" s="74"/>
      <c r="E1078" s="1043"/>
      <c r="H1078" s="74"/>
    </row>
    <row r="1079" spans="1:8" ht="12.75">
      <c r="A1079" s="1090"/>
      <c r="B1079" s="1090"/>
      <c r="C1079" s="74"/>
      <c r="D1079" s="74"/>
      <c r="E1079" s="1043"/>
      <c r="H1079" s="74"/>
    </row>
    <row r="1080" spans="1:8" ht="12.75">
      <c r="A1080" s="1090"/>
      <c r="B1080" s="1090"/>
      <c r="C1080" s="74"/>
      <c r="D1080" s="74"/>
      <c r="E1080" s="1043"/>
      <c r="H1080" s="74"/>
    </row>
    <row r="1081" spans="1:8" ht="12.75">
      <c r="A1081" s="1090"/>
      <c r="B1081" s="1090"/>
      <c r="C1081" s="74"/>
      <c r="D1081" s="74"/>
      <c r="E1081" s="1043"/>
      <c r="H1081" s="74"/>
    </row>
    <row r="1082" spans="1:8" ht="12.75">
      <c r="A1082" s="1090"/>
      <c r="B1082" s="1090"/>
      <c r="C1082" s="74"/>
      <c r="D1082" s="74"/>
      <c r="E1082" s="1043"/>
      <c r="H1082" s="74"/>
    </row>
    <row r="1083" spans="1:8" ht="12.75">
      <c r="A1083" s="1090"/>
      <c r="B1083" s="1090"/>
      <c r="C1083" s="74"/>
      <c r="D1083" s="74"/>
      <c r="E1083" s="1043"/>
      <c r="H1083" s="74"/>
    </row>
    <row r="1084" spans="1:8" ht="12.75">
      <c r="A1084" s="1090"/>
      <c r="B1084" s="1090"/>
      <c r="C1084" s="74"/>
      <c r="D1084" s="74"/>
      <c r="E1084" s="1043"/>
      <c r="H1084" s="74"/>
    </row>
    <row r="1085" spans="1:8" ht="12.75">
      <c r="A1085" s="1090"/>
      <c r="B1085" s="1090"/>
      <c r="C1085" s="74"/>
      <c r="D1085" s="74"/>
      <c r="E1085" s="1043"/>
      <c r="H1085" s="74"/>
    </row>
  </sheetData>
  <mergeCells count="21">
    <mergeCell ref="C166:G166"/>
    <mergeCell ref="P166:U166"/>
    <mergeCell ref="G12:G13"/>
    <mergeCell ref="H12:W12"/>
    <mergeCell ref="E1:O5"/>
    <mergeCell ref="A6:W6"/>
    <mergeCell ref="A8:B8"/>
    <mergeCell ref="A9:B9"/>
    <mergeCell ref="A10:B10"/>
    <mergeCell ref="A12:A13"/>
    <mergeCell ref="B12:B13"/>
    <mergeCell ref="F12:F13"/>
    <mergeCell ref="C162:E162"/>
    <mergeCell ref="P162:Q162"/>
    <mergeCell ref="C165:G165"/>
    <mergeCell ref="P165:W165"/>
    <mergeCell ref="C12:C13"/>
    <mergeCell ref="D12:D13"/>
    <mergeCell ref="A14:B14"/>
    <mergeCell ref="A45:B45"/>
    <mergeCell ref="E12:E13"/>
  </mergeCells>
  <printOptions horizontalCentered="1" gridLines="1"/>
  <pageMargins left="0.7" right="0.7" top="0.75" bottom="0.75" header="0" footer="0"/>
  <pageSetup paperSize="14" fitToHeight="0" pageOrder="overThenDown" orientation="landscape" cellComments="atEnd"/>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FF"/>
    <outlinePr summaryBelow="0" summaryRight="0"/>
  </sheetPr>
  <dimension ref="A1:AA1051"/>
  <sheetViews>
    <sheetView showGridLines="0" workbookViewId="0">
      <pane ySplit="12" topLeftCell="A13" activePane="bottomLeft" state="frozen"/>
      <selection pane="bottomLeft" activeCell="B14" sqref="B14"/>
    </sheetView>
  </sheetViews>
  <sheetFormatPr defaultColWidth="12.5703125" defaultRowHeight="15.75" customHeight="1"/>
  <cols>
    <col min="1" max="1" width="16" hidden="1" customWidth="1"/>
    <col min="2" max="2" width="6.42578125" customWidth="1"/>
    <col min="3" max="3" width="4.140625" customWidth="1"/>
    <col min="4" max="4" width="57.85546875" customWidth="1"/>
    <col min="5" max="8" width="5.42578125" customWidth="1"/>
    <col min="9" max="9" width="7.42578125" customWidth="1"/>
    <col min="10" max="10" width="11.5703125" customWidth="1"/>
    <col min="11" max="11" width="13.42578125" customWidth="1"/>
  </cols>
  <sheetData>
    <row r="1" spans="1:27" ht="15.75" customHeight="1">
      <c r="A1" s="4"/>
      <c r="B1" s="4"/>
      <c r="C1" s="4"/>
      <c r="D1" s="5"/>
      <c r="E1" s="4"/>
      <c r="F1" s="4"/>
      <c r="G1" s="4"/>
      <c r="H1" s="4"/>
      <c r="I1" s="4"/>
      <c r="J1" s="6"/>
      <c r="K1" s="7"/>
      <c r="L1" s="8"/>
      <c r="M1" s="8"/>
      <c r="N1" s="8"/>
      <c r="O1" s="8"/>
      <c r="P1" s="8"/>
      <c r="Q1" s="8"/>
      <c r="R1" s="8"/>
      <c r="S1" s="8"/>
      <c r="T1" s="8"/>
      <c r="U1" s="8"/>
      <c r="V1" s="8"/>
      <c r="W1" s="8"/>
      <c r="X1" s="8"/>
      <c r="Y1" s="8"/>
      <c r="Z1" s="8"/>
      <c r="AA1" s="8"/>
    </row>
    <row r="2" spans="1:27" ht="15.75" customHeight="1">
      <c r="A2" s="4"/>
      <c r="B2" s="4"/>
      <c r="C2" s="4"/>
      <c r="D2" s="5"/>
      <c r="E2" s="4"/>
      <c r="F2" s="4"/>
      <c r="G2" s="4"/>
      <c r="H2" s="4"/>
      <c r="I2" s="4"/>
      <c r="J2" s="6"/>
      <c r="K2" s="7"/>
      <c r="L2" s="8"/>
      <c r="M2" s="9"/>
      <c r="N2" s="8"/>
      <c r="O2" s="8"/>
      <c r="P2" s="8"/>
      <c r="Q2" s="8"/>
      <c r="R2" s="8"/>
      <c r="S2" s="8"/>
      <c r="T2" s="8"/>
      <c r="U2" s="8"/>
      <c r="V2" s="8"/>
      <c r="W2" s="8"/>
      <c r="X2" s="8"/>
      <c r="Y2" s="8"/>
      <c r="Z2" s="8"/>
      <c r="AA2" s="8"/>
    </row>
    <row r="3" spans="1:27" ht="15.75" customHeight="1">
      <c r="A3" s="4"/>
      <c r="B3" s="4"/>
      <c r="C3" s="4"/>
      <c r="D3" s="5"/>
      <c r="E3" s="4"/>
      <c r="F3" s="4"/>
      <c r="G3" s="4"/>
      <c r="H3" s="4"/>
      <c r="I3" s="4"/>
      <c r="J3" s="6"/>
      <c r="K3" s="7"/>
      <c r="L3" s="8"/>
      <c r="M3" s="8"/>
      <c r="N3" s="8"/>
      <c r="O3" s="8"/>
      <c r="P3" s="8"/>
      <c r="Q3" s="8"/>
      <c r="R3" s="8"/>
      <c r="S3" s="8"/>
      <c r="T3" s="8"/>
      <c r="U3" s="8"/>
      <c r="V3" s="8"/>
      <c r="W3" s="8"/>
      <c r="X3" s="8"/>
      <c r="Y3" s="8"/>
      <c r="Z3" s="8"/>
      <c r="AA3" s="8"/>
    </row>
    <row r="4" spans="1:27" ht="15.75" customHeight="1">
      <c r="A4" s="4"/>
      <c r="B4" s="4"/>
      <c r="C4" s="4"/>
      <c r="D4" s="5"/>
      <c r="E4" s="4"/>
      <c r="F4" s="4"/>
      <c r="G4" s="4"/>
      <c r="H4" s="4"/>
      <c r="I4" s="4"/>
      <c r="J4" s="6"/>
      <c r="K4" s="7"/>
      <c r="L4" s="8"/>
      <c r="M4" s="8"/>
      <c r="N4" s="8"/>
      <c r="O4" s="8"/>
      <c r="P4" s="8"/>
      <c r="Q4" s="8"/>
      <c r="R4" s="8"/>
      <c r="S4" s="8"/>
      <c r="T4" s="8"/>
      <c r="U4" s="8"/>
      <c r="V4" s="8"/>
      <c r="W4" s="8"/>
      <c r="X4" s="8"/>
      <c r="Y4" s="8"/>
      <c r="Z4" s="8"/>
      <c r="AA4" s="8"/>
    </row>
    <row r="5" spans="1:27" ht="15.75" customHeight="1">
      <c r="A5" s="4"/>
      <c r="B5" s="10"/>
      <c r="C5" s="10"/>
      <c r="D5" s="11"/>
      <c r="E5" s="10"/>
      <c r="F5" s="10"/>
      <c r="G5" s="10"/>
      <c r="H5" s="10"/>
      <c r="I5" s="10"/>
      <c r="J5" s="12"/>
      <c r="K5" s="13"/>
      <c r="L5" s="8"/>
      <c r="M5" s="8"/>
      <c r="N5" s="8"/>
      <c r="O5" s="8"/>
      <c r="P5" s="8"/>
      <c r="Q5" s="8"/>
      <c r="R5" s="8"/>
      <c r="S5" s="8"/>
      <c r="T5" s="8"/>
      <c r="U5" s="8"/>
      <c r="V5" s="8"/>
      <c r="W5" s="8"/>
      <c r="X5" s="8"/>
      <c r="Y5" s="8"/>
      <c r="Z5" s="8"/>
      <c r="AA5" s="8"/>
    </row>
    <row r="6" spans="1:27" ht="15.75" customHeight="1">
      <c r="A6" s="14"/>
      <c r="B6" s="1432" t="s">
        <v>72</v>
      </c>
      <c r="C6" s="1433"/>
      <c r="D6" s="1433"/>
      <c r="E6" s="1433"/>
      <c r="F6" s="1433"/>
      <c r="G6" s="1433"/>
      <c r="H6" s="1433"/>
      <c r="I6" s="1433"/>
      <c r="J6" s="1433"/>
      <c r="K6" s="1434"/>
      <c r="L6" s="8"/>
      <c r="M6" s="8"/>
      <c r="N6" s="8"/>
      <c r="O6" s="8"/>
      <c r="P6" s="8"/>
      <c r="Q6" s="8"/>
      <c r="R6" s="8"/>
      <c r="S6" s="8"/>
      <c r="T6" s="8"/>
      <c r="U6" s="8"/>
      <c r="V6" s="8"/>
      <c r="W6" s="8"/>
      <c r="X6" s="8"/>
      <c r="Y6" s="8"/>
      <c r="Z6" s="8"/>
      <c r="AA6" s="8"/>
    </row>
    <row r="7" spans="1:27" ht="15.75" customHeight="1">
      <c r="A7" s="15"/>
      <c r="B7" s="16"/>
      <c r="C7" s="17"/>
      <c r="D7" s="18"/>
      <c r="E7" s="17"/>
      <c r="F7" s="17"/>
      <c r="G7" s="17"/>
      <c r="H7" s="17"/>
      <c r="I7" s="17"/>
      <c r="J7" s="19"/>
      <c r="K7" s="20"/>
      <c r="L7" s="8"/>
      <c r="M7" s="8"/>
      <c r="N7" s="8"/>
      <c r="O7" s="8"/>
      <c r="P7" s="8"/>
      <c r="Q7" s="8"/>
      <c r="R7" s="8"/>
      <c r="S7" s="8"/>
      <c r="T7" s="8"/>
      <c r="U7" s="8"/>
      <c r="V7" s="8"/>
      <c r="W7" s="8"/>
      <c r="X7" s="8"/>
      <c r="Y7" s="8"/>
      <c r="Z7" s="8"/>
      <c r="AA7" s="8"/>
    </row>
    <row r="8" spans="1:27" ht="15.75" customHeight="1">
      <c r="A8" s="21"/>
      <c r="B8" s="22" t="s">
        <v>4049</v>
      </c>
      <c r="C8" s="23"/>
      <c r="D8" s="24"/>
      <c r="E8" s="23"/>
      <c r="F8" s="23"/>
      <c r="G8" s="23"/>
      <c r="H8" s="23"/>
      <c r="I8" s="23"/>
      <c r="J8" s="1435"/>
      <c r="K8" s="1436"/>
      <c r="L8" s="8"/>
      <c r="M8" s="8"/>
      <c r="N8" s="8"/>
      <c r="O8" s="8"/>
      <c r="P8" s="8"/>
      <c r="Q8" s="8"/>
      <c r="R8" s="8"/>
      <c r="S8" s="8"/>
      <c r="T8" s="8"/>
      <c r="U8" s="8"/>
      <c r="V8" s="8"/>
      <c r="W8" s="8"/>
      <c r="X8" s="8"/>
      <c r="Y8" s="8"/>
      <c r="Z8" s="8"/>
      <c r="AA8" s="8"/>
    </row>
    <row r="9" spans="1:27" ht="15.75" customHeight="1">
      <c r="A9" s="25"/>
      <c r="B9" s="1437" t="s">
        <v>4050</v>
      </c>
      <c r="C9" s="1438"/>
      <c r="D9" s="1441" t="s">
        <v>75</v>
      </c>
      <c r="E9" s="1442"/>
      <c r="F9" s="1442"/>
      <c r="G9" s="1442"/>
      <c r="H9" s="1442"/>
      <c r="I9" s="1443"/>
      <c r="J9" s="1444" t="s">
        <v>76</v>
      </c>
      <c r="K9" s="1445">
        <f ca="1">TODAY()</f>
        <v>45734</v>
      </c>
      <c r="L9" s="8"/>
      <c r="M9" s="8"/>
      <c r="N9" s="8"/>
      <c r="O9" s="8"/>
      <c r="P9" s="8"/>
      <c r="Q9" s="8"/>
      <c r="R9" s="8"/>
      <c r="S9" s="8"/>
      <c r="T9" s="8"/>
      <c r="U9" s="8"/>
      <c r="V9" s="8"/>
      <c r="W9" s="8"/>
      <c r="X9" s="8"/>
      <c r="Y9" s="8"/>
      <c r="Z9" s="8"/>
      <c r="AA9" s="8"/>
    </row>
    <row r="10" spans="1:27" ht="15.75" customHeight="1">
      <c r="A10" s="25"/>
      <c r="B10" s="1439"/>
      <c r="C10" s="1440"/>
      <c r="D10" s="1446" t="s">
        <v>77</v>
      </c>
      <c r="E10" s="1442"/>
      <c r="F10" s="1442"/>
      <c r="G10" s="1442"/>
      <c r="H10" s="1442"/>
      <c r="I10" s="1443"/>
      <c r="J10" s="1439"/>
      <c r="K10" s="1440"/>
      <c r="L10" s="8"/>
      <c r="M10" s="8"/>
      <c r="N10" s="8"/>
      <c r="O10" s="8"/>
      <c r="P10" s="8"/>
      <c r="Q10" s="8"/>
      <c r="R10" s="8"/>
      <c r="S10" s="8"/>
      <c r="T10" s="8"/>
      <c r="U10" s="8"/>
      <c r="V10" s="8"/>
      <c r="W10" s="8"/>
      <c r="X10" s="8"/>
      <c r="Y10" s="8"/>
      <c r="Z10" s="8"/>
      <c r="AA10" s="8"/>
    </row>
    <row r="11" spans="1:27" ht="15.75" customHeight="1">
      <c r="A11" s="26"/>
      <c r="B11" s="1452" t="s">
        <v>78</v>
      </c>
      <c r="C11" s="1452" t="s">
        <v>79</v>
      </c>
      <c r="D11" s="1453" t="s">
        <v>80</v>
      </c>
      <c r="E11" s="1454" t="s">
        <v>81</v>
      </c>
      <c r="F11" s="1454" t="s">
        <v>82</v>
      </c>
      <c r="G11" s="1454" t="s">
        <v>83</v>
      </c>
      <c r="H11" s="1454" t="s">
        <v>84</v>
      </c>
      <c r="I11" s="1447" t="s">
        <v>85</v>
      </c>
      <c r="J11" s="1447" t="s">
        <v>86</v>
      </c>
      <c r="K11" s="1449" t="s">
        <v>87</v>
      </c>
      <c r="L11" s="8"/>
      <c r="M11" s="8"/>
      <c r="N11" s="8"/>
      <c r="O11" s="8"/>
      <c r="P11" s="8"/>
      <c r="Q11" s="8"/>
      <c r="R11" s="8"/>
      <c r="S11" s="8"/>
      <c r="T11" s="8"/>
      <c r="U11" s="8"/>
      <c r="V11" s="8"/>
      <c r="W11" s="8"/>
      <c r="X11" s="8"/>
      <c r="Y11" s="8"/>
      <c r="Z11" s="8"/>
      <c r="AA11" s="8"/>
    </row>
    <row r="12" spans="1:27" ht="15.75" customHeight="1">
      <c r="A12" s="26"/>
      <c r="B12" s="1448"/>
      <c r="C12" s="1448"/>
      <c r="D12" s="1448"/>
      <c r="E12" s="1448"/>
      <c r="F12" s="1448"/>
      <c r="G12" s="1448"/>
      <c r="H12" s="1448"/>
      <c r="I12" s="1448"/>
      <c r="J12" s="1448"/>
      <c r="K12" s="1448"/>
      <c r="L12" s="8"/>
      <c r="M12" s="8"/>
      <c r="N12" s="8"/>
      <c r="O12" s="8"/>
      <c r="P12" s="8"/>
      <c r="Q12" s="8"/>
      <c r="R12" s="8"/>
      <c r="S12" s="8"/>
      <c r="T12" s="8"/>
      <c r="U12" s="8"/>
      <c r="V12" s="8"/>
      <c r="W12" s="8"/>
      <c r="X12" s="8"/>
      <c r="Y12" s="8"/>
      <c r="Z12" s="8"/>
      <c r="AA12" s="8"/>
    </row>
    <row r="13" spans="1:27" ht="15.75" customHeight="1">
      <c r="A13" s="27" t="str">
        <f ca="1">IFERROR(__xludf.DUMMYFUNCTION("UNIQUE(Filter_PR!C2:C1051)"),"1Gbps Internet Subscription (Leased Line)")</f>
        <v>1Gbps Internet Subscription (Leased Line)</v>
      </c>
      <c r="B13" s="28">
        <v>1</v>
      </c>
      <c r="C13" s="28" t="str">
        <f ca="1">VLOOKUP(A13,ICT_PPMP2023!$B$15:Z1051,3,0)</f>
        <v>lot</v>
      </c>
      <c r="D13" s="30" t="str">
        <f ca="1">IFERROR(__xludf.DUMMYFUNCTION("UNIQUE(Filter_PR!$D2:D1051)"),"1Gbps Internet Subscription (Leased Line)
PLDT 1Gbps Internet Subscription (Leased Line)")</f>
        <v>1Gbps Internet Subscription (Leased Line)
PLDT 1Gbps Internet Subscription (Leased Line)</v>
      </c>
      <c r="E13" s="28">
        <f ca="1">VLOOKUP(A13,ICT_PPMP2023!$B$15:Z1051,7,0)</f>
        <v>3</v>
      </c>
      <c r="F13" s="28">
        <f ca="1">VLOOKUP(A13,ICT_PPMP2023!$B$15:Z1051,11,0)</f>
        <v>3</v>
      </c>
      <c r="G13" s="28">
        <f ca="1">VLOOKUP(A13,ICT_PPMP2023!$B$15:Z1051,15,0)</f>
        <v>3</v>
      </c>
      <c r="H13" s="28">
        <f ca="1">VLOOKUP(A13,ICT_PPMP2023!$B$15:Z1051,19,0)</f>
        <v>3</v>
      </c>
      <c r="I13" s="28">
        <f ca="1">VLOOKUP(A13,ICT_PPMP2023!$B$15:Z1051,2,0)</f>
        <v>1</v>
      </c>
      <c r="J13" s="31">
        <f ca="1">VLOOKUP(A13,ICT_PPMP2023!$B$15:Z1051,4,0)</f>
        <v>6000000</v>
      </c>
      <c r="K13" s="32">
        <f t="shared" ref="K13:K141" ca="1" si="0">I13*J13</f>
        <v>6000000</v>
      </c>
      <c r="L13" s="8"/>
      <c r="M13" s="8"/>
      <c r="N13" s="8"/>
      <c r="O13" s="8"/>
      <c r="P13" s="8"/>
      <c r="Q13" s="8"/>
      <c r="R13" s="8"/>
      <c r="S13" s="8"/>
      <c r="T13" s="8"/>
      <c r="U13" s="8"/>
      <c r="V13" s="8"/>
      <c r="W13" s="8"/>
      <c r="X13" s="8"/>
      <c r="Y13" s="8"/>
      <c r="Z13" s="8"/>
      <c r="AA13" s="8"/>
    </row>
    <row r="14" spans="1:27" ht="15.75" customHeight="1">
      <c r="A14" s="27" t="str">
        <f ca="1">IFERROR(__xludf.DUMMYFUNCTION("""COMPUTED_VALUE"""),"A3 Black &amp; White MULTI-FUNCTIONAL
HEAVY-DUTY DIGITAL COPIER")</f>
        <v>A3 Black &amp; White MULTI-FUNCTIONAL
HEAVY-DUTY DIGITAL COPIER</v>
      </c>
      <c r="B14" s="28">
        <v>2</v>
      </c>
      <c r="C14" s="28" t="e">
        <f ca="1">VLOOKUP(A14,ICT_PPMP2023!$B$15:Z1051,3,0)</f>
        <v>#N/A</v>
      </c>
      <c r="D14" s="30" t="str">
        <f ca="1">IFERROR(__xludf.DUMMYFUNCTION("""COMPUTED_VALUE"""),"A3 Black &amp; White MULTI-FUNCTIONAL
HEAVY-DUTY DIGITAL COPIER
Multi-Functional Copier/Scanner/Printer, with automatic document feeder, duplex unit, &amp; job separator; supported
paper sizes: letter, A4, legal, A3; 1 GB memory, CPU speed 1.2GHz dual-core Corte"&amp;"x-A9; with RJ-45 port,
Maintenance Kit capacity before replacement 300,000 copies/print; can print, save and scan via USB,
with dealer/distributor certificate for after-sales service
Warranty: 1 year on parts and 2 years on service")</f>
        <v>A3 Black &amp; White MULTI-FUNCTIONAL
HEAVY-DUTY DIGITAL COPIER
Multi-Functional Copier/Scanner/Printer, with automatic document feeder, duplex unit, &amp; job separator; supported
paper sizes: letter, A4, legal, A3; 1 GB memory, CPU speed 1.2GHz dual-core Cortex-A9; with RJ-45 port,
Maintenance Kit capacity before replacement 300,000 copies/print; can print, save and scan via USB,
with dealer/distributor certificate for after-sales service
Warranty: 1 year on parts and 2 years on service</v>
      </c>
      <c r="E14" s="28" t="e">
        <f ca="1">VLOOKUP(A14,ICT_PPMP2023!$B$15:Z1051,7,0)</f>
        <v>#N/A</v>
      </c>
      <c r="F14" s="28" t="e">
        <f ca="1">VLOOKUP(A14,ICT_PPMP2023!$B$15:Z1051,11,0)</f>
        <v>#N/A</v>
      </c>
      <c r="G14" s="28" t="e">
        <f ca="1">VLOOKUP(A14,ICT_PPMP2023!$B$15:Z1051,15,0)</f>
        <v>#N/A</v>
      </c>
      <c r="H14" s="28" t="e">
        <f ca="1">VLOOKUP(A14,ICT_PPMP2023!$B$15:Z1051,19,0)</f>
        <v>#N/A</v>
      </c>
      <c r="I14" s="28" t="e">
        <f ca="1">VLOOKUP(A14,ICT_PPMP2023!$B$15:Z1051,2,0)</f>
        <v>#N/A</v>
      </c>
      <c r="J14" s="31" t="e">
        <f ca="1">VLOOKUP(A14,ICT_PPMP2023!$B$15:Z1051,4,0)</f>
        <v>#N/A</v>
      </c>
      <c r="K14" s="32" t="e">
        <f t="shared" ca="1" si="0"/>
        <v>#N/A</v>
      </c>
      <c r="L14" s="8"/>
      <c r="M14" s="8"/>
      <c r="N14" s="8"/>
      <c r="O14" s="8"/>
      <c r="P14" s="8"/>
      <c r="Q14" s="8"/>
      <c r="R14" s="8"/>
      <c r="S14" s="8"/>
      <c r="T14" s="8"/>
      <c r="U14" s="8"/>
      <c r="V14" s="8"/>
      <c r="W14" s="8"/>
      <c r="X14" s="8"/>
      <c r="Y14" s="8"/>
      <c r="Z14" s="8"/>
      <c r="AA14" s="8"/>
    </row>
    <row r="15" spans="1:27" ht="15.75" customHeight="1">
      <c r="A15" s="27" t="str">
        <f ca="1">IFERROR(__xludf.DUMMYFUNCTION("""COMPUTED_VALUE"""),"A3 Full-Colour Digital Copier, Full-Colour Network Printer,&amp; Full-Colour Network Scanner")</f>
        <v>A3 Full-Colour Digital Copier, Full-Colour Network Printer,&amp; Full-Colour Network Scanner</v>
      </c>
      <c r="B15" s="28">
        <v>3</v>
      </c>
      <c r="C15" s="28" t="e">
        <f ca="1">VLOOKUP(A15,ICT_PPMP2023!$B$15:Z1051,3,0)</f>
        <v>#N/A</v>
      </c>
      <c r="D15" s="30" t="str">
        <f ca="1">IFERROR(__xludf.DUMMYFUNCTION("""COMPUTED_VALUE"""),"A3 Full-Colour Digital Copier, Full-Colour Network Printer,&amp; Full-Colour Network Scanner
Maintenance kit life: 200,000 copies or prints
Copy or print speed: 24 pages per minute(A4)
CPU: ARM Cortex-A9 Dual-core 1.2 GHz
Memory: 1,536 MB RAM
Print resolution"&amp;": 1,200 dpi x 1,200 dpi
With a 50-sheet Reversing Automatic Document Feeder
With Duplex Unit for automatic back-to-back copy or print
With Job Separator for separation of copy from print job
Functions: color copying, network color printing, network color "&amp;"scanning
With supplier’s dealer or distributor’s certificate from the manufacturer for after-sales service
Warranty: 1 year on parts and 2 years on service")</f>
        <v>A3 Full-Colour Digital Copier, Full-Colour Network Printer,&amp; Full-Colour Network Scanner
Maintenance kit life: 200,000 copies or prints
Copy or print speed: 24 pages per minute(A4)
CPU: ARM Cortex-A9 Dual-core 1.2 GHz
Memory: 1,536 MB RAM
Print resolution: 1,200 dpi x 1,200 dpi
With a 50-sheet Reversing Automatic Document Feeder
With Duplex Unit for automatic back-to-back copy or print
With Job Separator for separation of copy from print job
Functions: color copying, network color printing, network color scanning
With supplier’s dealer or distributor’s certificate from the manufacturer for after-sales service
Warranty: 1 year on parts and 2 years on service</v>
      </c>
      <c r="E15" s="28" t="e">
        <f ca="1">VLOOKUP(A15,ICT_PPMP2023!$B$15:Z1051,7,0)</f>
        <v>#N/A</v>
      </c>
      <c r="F15" s="28" t="e">
        <f ca="1">VLOOKUP(A15,ICT_PPMP2023!$B$15:Z1051,11,0)</f>
        <v>#N/A</v>
      </c>
      <c r="G15" s="28" t="e">
        <f ca="1">VLOOKUP(A15,ICT_PPMP2023!$B$15:Z1051,15,0)</f>
        <v>#N/A</v>
      </c>
      <c r="H15" s="28" t="e">
        <f ca="1">VLOOKUP(A15,ICT_PPMP2023!$B$15:Z1051,19,0)</f>
        <v>#N/A</v>
      </c>
      <c r="I15" s="28" t="e">
        <f ca="1">VLOOKUP(A15,ICT_PPMP2023!$B$15:Z1051,2,0)</f>
        <v>#N/A</v>
      </c>
      <c r="J15" s="31" t="e">
        <f ca="1">VLOOKUP(A15,ICT_PPMP2023!$B$15:Z1051,4,0)</f>
        <v>#N/A</v>
      </c>
      <c r="K15" s="32" t="e">
        <f t="shared" ca="1" si="0"/>
        <v>#N/A</v>
      </c>
      <c r="L15" s="8"/>
      <c r="M15" s="8"/>
      <c r="N15" s="8"/>
      <c r="O15" s="8"/>
      <c r="P15" s="8"/>
      <c r="Q15" s="8"/>
      <c r="R15" s="8"/>
      <c r="S15" s="8"/>
      <c r="T15" s="8"/>
      <c r="U15" s="8"/>
      <c r="V15" s="8"/>
      <c r="W15" s="8"/>
      <c r="X15" s="8"/>
      <c r="Y15" s="8"/>
      <c r="Z15" s="8"/>
      <c r="AA15" s="8"/>
    </row>
    <row r="16" spans="1:27" ht="15.75" customHeight="1">
      <c r="A16" s="27" t="str">
        <f ca="1">IFERROR(__xludf.DUMMYFUNCTION("""COMPUTED_VALUE"""),"Base Radio dual band with antenna")</f>
        <v>Base Radio dual band with antenna</v>
      </c>
      <c r="B16" s="28">
        <v>4</v>
      </c>
      <c r="C16" s="28" t="e">
        <f ca="1">VLOOKUP(A16,ICT_PPMP2023!$B$15:Z1051,3,0)</f>
        <v>#N/A</v>
      </c>
      <c r="D16" s="30" t="str">
        <f ca="1">IFERROR(__xludf.DUMMYFUNCTION("""COMPUTED_VALUE"""),"Base Radio dual band with antenna
Base Radio dual band with antenna")</f>
        <v>Base Radio dual band with antenna
Base Radio dual band with antenna</v>
      </c>
      <c r="E16" s="28" t="e">
        <f ca="1">VLOOKUP(A16,ICT_PPMP2023!$B$15:Z1051,7,0)</f>
        <v>#N/A</v>
      </c>
      <c r="F16" s="28" t="e">
        <f ca="1">VLOOKUP(A16,ICT_PPMP2023!$B$15:Z1051,11,0)</f>
        <v>#N/A</v>
      </c>
      <c r="G16" s="28" t="e">
        <f ca="1">VLOOKUP(A16,ICT_PPMP2023!$B$15:Z1051,15,0)</f>
        <v>#N/A</v>
      </c>
      <c r="H16" s="28" t="e">
        <f ca="1">VLOOKUP(A16,ICT_PPMP2023!$B$15:Z1051,19,0)</f>
        <v>#N/A</v>
      </c>
      <c r="I16" s="28" t="e">
        <f ca="1">VLOOKUP(A16,ICT_PPMP2023!$B$15:Z1051,2,0)</f>
        <v>#N/A</v>
      </c>
      <c r="J16" s="31" t="e">
        <f ca="1">VLOOKUP(A16,ICT_PPMP2023!$B$15:Z1051,4,0)</f>
        <v>#N/A</v>
      </c>
      <c r="K16" s="32" t="e">
        <f t="shared" ca="1" si="0"/>
        <v>#N/A</v>
      </c>
      <c r="L16" s="8"/>
      <c r="M16" s="8"/>
      <c r="N16" s="8"/>
      <c r="O16" s="8"/>
      <c r="P16" s="8"/>
      <c r="Q16" s="8"/>
      <c r="R16" s="8"/>
      <c r="S16" s="8"/>
      <c r="T16" s="8"/>
      <c r="U16" s="8"/>
      <c r="V16" s="8"/>
      <c r="W16" s="8"/>
      <c r="X16" s="8"/>
      <c r="Y16" s="8"/>
      <c r="Z16" s="8"/>
      <c r="AA16" s="8"/>
    </row>
    <row r="17" spans="1:27" ht="15.75" customHeight="1">
      <c r="A17" s="27" t="str">
        <f ca="1">IFERROR(__xludf.DUMMYFUNCTION("""COMPUTED_VALUE"""),"Black &amp; White Monochrome MULTI-FUNCTIONAL MACHINE")</f>
        <v>Black &amp; White Monochrome MULTI-FUNCTIONAL MACHINE</v>
      </c>
      <c r="B17" s="28">
        <v>5</v>
      </c>
      <c r="C17" s="28" t="e">
        <f ca="1">VLOOKUP(A17,ICT_PPMP2023!$B$15:Z1051,3,0)</f>
        <v>#N/A</v>
      </c>
      <c r="D17" s="30" t="str">
        <f ca="1">IFERROR(__xludf.DUMMYFUNCTION("""COMPUTED_VALUE"""),"Black &amp; White Monochrome MULTI-FUNCTIONAL MACHINE
DIGITAL COPIER, NETWORK PRINTER, NETWORK COLORED SCANNER, &amp;
NETWORK FAX in one
Copy/print/scan speed: 40 pages per minute (A4)
Memory: 512 MB
CPU: PowerPC 440 / 800 MHz speed
With Dual-scan Document Feeder"&amp;" and Duplex Unit
Functions: Black&amp;White copying, network printing, network colored scanning, and network fax
Scan/Print via USB flash drive memory
Print resolution: 1200 x 1200 d.p.i.
Maintenance Kit life: 100,000 copies/prints
Maximum copy/print/fax/scan"&amp;" size: 8.5” x 14” Legal size on the top glass &amp; Dual-scan Document Feeder
Power Consumption: Copy/Print mode: 661 W, Ready mode: 21 W, Sleep-mode: 1 W
With supplier’s dealer/distributor certificate from the manufacturer for after-sales service
One (1) pap"&amp;"er cassette (250 sheets) and multi-purpose bypass tray (50 sheets)
Continuous copying: up to 999, 
with dealer/distributor certificate for after-sales service
1 year spare parts warranty and 2 years service warranty")</f>
        <v>Black &amp; White Monochrome MULTI-FUNCTIONAL MACHINE
DIGITAL COPIER, NETWORK PRINTER, NETWORK COLORED SCANNER, &amp;
NETWORK FAX in one
Copy/print/scan speed: 40 pages per minute (A4)
Memory: 512 MB
CPU: PowerPC 440 / 800 MHz speed
With Dual-scan Document Feeder and Duplex Unit
Functions: Black&amp;White copying, network printing, network colored scanning, and network fax
Scan/Print via USB flash drive memory
Print resolution: 1200 x 1200 d.p.i.
Maintenance Kit life: 100,000 copies/prints
Maximum copy/print/fax/scan size: 8.5” x 14” Legal size on the top glass &amp; Dual-scan Document Feeder
Power Consumption: Copy/Print mode: 661 W, Ready mode: 21 W, Sleep-mode: 1 W
With supplier’s dealer/distributor certificate from the manufacturer for after-sales service
One (1) paper cassette (250 sheets) and multi-purpose bypass tray (50 sheets)
Continuous copying: up to 999, 
with dealer/distributor certificate for after-sales service
1 year spare parts warranty and 2 years service warranty</v>
      </c>
      <c r="E17" s="28" t="e">
        <f ca="1">VLOOKUP(A17,ICT_PPMP2023!$B$15:Z1051,7,0)</f>
        <v>#N/A</v>
      </c>
      <c r="F17" s="28" t="e">
        <f ca="1">VLOOKUP(A17,ICT_PPMP2023!$B$15:Z1051,11,0)</f>
        <v>#N/A</v>
      </c>
      <c r="G17" s="28" t="e">
        <f ca="1">VLOOKUP(A17,ICT_PPMP2023!$B$15:Z1051,15,0)</f>
        <v>#N/A</v>
      </c>
      <c r="H17" s="28" t="e">
        <f ca="1">VLOOKUP(A17,ICT_PPMP2023!$B$15:Z1051,19,0)</f>
        <v>#N/A</v>
      </c>
      <c r="I17" s="28" t="e">
        <f ca="1">VLOOKUP(A17,ICT_PPMP2023!$B$15:Z1051,2,0)</f>
        <v>#N/A</v>
      </c>
      <c r="J17" s="31" t="e">
        <f ca="1">VLOOKUP(A17,ICT_PPMP2023!$B$15:Z1051,4,0)</f>
        <v>#N/A</v>
      </c>
      <c r="K17" s="32" t="e">
        <f t="shared" ca="1" si="0"/>
        <v>#N/A</v>
      </c>
      <c r="L17" s="8"/>
      <c r="M17" s="8"/>
      <c r="N17" s="8"/>
      <c r="O17" s="8"/>
      <c r="P17" s="8"/>
      <c r="Q17" s="8"/>
      <c r="R17" s="8"/>
      <c r="S17" s="8"/>
      <c r="T17" s="8"/>
      <c r="U17" s="8"/>
      <c r="V17" s="8"/>
      <c r="W17" s="8"/>
      <c r="X17" s="8"/>
      <c r="Y17" s="8"/>
      <c r="Z17" s="8"/>
      <c r="AA17" s="8"/>
    </row>
    <row r="18" spans="1:27" ht="15.75" customHeight="1">
      <c r="A18" s="27" t="str">
        <f ca="1">IFERROR(__xludf.DUMMYFUNCTION("""COMPUTED_VALUE"""),"Branded Desktop Computer Set")</f>
        <v>Branded Desktop Computer Set</v>
      </c>
      <c r="B18" s="28">
        <v>6</v>
      </c>
      <c r="C18" s="28" t="e">
        <f ca="1">VLOOKUP(A18,ICT_PPMP2023!$B$15:Z1051,3,0)</f>
        <v>#N/A</v>
      </c>
      <c r="D18" s="30" t="str">
        <f ca="1">IFERROR(__xludf.DUMMYFUNCTION("""COMPUTED_VALUE"""),"Branded Desktop Computer Set
Processor: Intel Core i7-12700F, 25MB Cache, 4.9GHz
System Memory: 16GB DDR4 3200MHz
Display Card: 4GB DDR4 Graphic Cards
Hard Drive Storage: 512GB SSD Boot Drive +
1TB HDD Sata Drive
Monitor: 24"" Full HD IPS Panel, 1920"&amp;" x 1080 resolution
LAN Support: 10/100/1000 Mb/s LAN Subsystem
Gigabit Ethernet Controller
With Intel Dual Band WiFi 6 AX 201 2x2 AX + 
Bluetooth 5.2
Power Supply: 350 watts High Efficiency Power Supply
Front Ports:
Two Super Speed USB 3.0 front an"&amp;"d Two USB 2.0 ports, 2x Audio Jack Ports, 1x Type C Port
Rear Ports:
2 X USB 3.2 Gen 2x1 Type A port(s), 2 X USB2.0 port(s), 2x PS2 Ports, 3 Audio Jack Ports (Line Out/Line In/Mic In), 1 x HDMI 2.0 Port, 1 x VGA Port, 1 x Display Port, 1 x RJ45 Port
OS"&amp;": Windows 11 Pro 
Additional Features: Energy Star Version 6.1
Accessories: USB Mouse, USB Keyboard, Bluetooth,
Speaker, UPS 650VA, 360 watts
Warranty: at least 3-year limited parts warranty
and services")</f>
        <v>Branded Desktop Computer Set
Processor: Intel Core i7-12700F, 25MB Cache, 4.9GHz
System Memory: 16GB DDR4 3200MHz
Display Card: 4GB DDR4 Graphic Cards
Hard Drive Storage: 512GB SSD Boot Drive +
1TB HDD Sata Drive
Monitor: 24" Full HD IPS Panel, 1920 x 1080 resolution
LAN Support: 10/100/1000 Mb/s LAN Subsystem
Gigabit Ethernet Controller
With Intel Dual Band WiFi 6 AX 201 2x2 AX + 
Bluetooth 5.2
Power Supply: 350 watts High Efficiency Power Supply
Front Ports:
Two Super Speed USB 3.0 front and Two USB 2.0 ports, 2x Audio Jack Ports, 1x Type C Port
Rear Ports:
2 X USB 3.2 Gen 2x1 Type A port(s), 2 X USB2.0 port(s), 2x PS2 Ports, 3 Audio Jack Ports (Line Out/Line In/Mic In), 1 x HDMI 2.0 Port, 1 x VGA Port, 1 x Display Port, 1 x RJ45 Port
OS: Windows 11 Pro 
Additional Features: Energy Star Version 6.1
Accessories: USB Mouse, USB Keyboard, Bluetooth,
Speaker, UPS 650VA, 360 watts
Warranty: at least 3-year limited parts warranty
and services</v>
      </c>
      <c r="E18" s="28" t="e">
        <f ca="1">VLOOKUP(A18,ICT_PPMP2023!$B$15:Z1051,7,0)</f>
        <v>#N/A</v>
      </c>
      <c r="F18" s="28" t="e">
        <f ca="1">VLOOKUP(A18,ICT_PPMP2023!$B$15:Z1051,11,0)</f>
        <v>#N/A</v>
      </c>
      <c r="G18" s="28" t="e">
        <f ca="1">VLOOKUP(A18,ICT_PPMP2023!$B$15:Z1051,15,0)</f>
        <v>#N/A</v>
      </c>
      <c r="H18" s="28" t="e">
        <f ca="1">VLOOKUP(A18,ICT_PPMP2023!$B$15:Z1051,19,0)</f>
        <v>#N/A</v>
      </c>
      <c r="I18" s="28" t="e">
        <f ca="1">VLOOKUP(A18,ICT_PPMP2023!$B$15:Z1051,2,0)</f>
        <v>#N/A</v>
      </c>
      <c r="J18" s="31" t="e">
        <f ca="1">VLOOKUP(A18,ICT_PPMP2023!$B$15:Z1051,4,0)</f>
        <v>#N/A</v>
      </c>
      <c r="K18" s="32" t="e">
        <f t="shared" ca="1" si="0"/>
        <v>#N/A</v>
      </c>
      <c r="L18" s="8"/>
      <c r="M18" s="8"/>
      <c r="N18" s="8"/>
      <c r="O18" s="8"/>
      <c r="P18" s="8"/>
      <c r="Q18" s="8"/>
      <c r="R18" s="8"/>
      <c r="S18" s="8"/>
      <c r="T18" s="8"/>
      <c r="U18" s="8"/>
      <c r="V18" s="8"/>
      <c r="W18" s="8"/>
      <c r="X18" s="8"/>
      <c r="Y18" s="8"/>
      <c r="Z18" s="8"/>
      <c r="AA18" s="8"/>
    </row>
    <row r="19" spans="1:27" ht="15.75" customHeight="1">
      <c r="A19" s="27" t="str">
        <f ca="1">IFERROR(__xludf.DUMMYFUNCTION("""COMPUTED_VALUE"""),"Branded Laptop")</f>
        <v>Branded Laptop</v>
      </c>
      <c r="B19" s="28">
        <v>7</v>
      </c>
      <c r="C19" s="28" t="e">
        <f ca="1">VLOOKUP(A19,ICT_PPMP2023!$B$15:Z1051,3,0)</f>
        <v>#N/A</v>
      </c>
      <c r="D19" s="30" t="str">
        <f ca="1">IFERROR(__xludf.DUMMYFUNCTION("""COMPUTED_VALUE"""),"Branded Laptop
Core i7-1195G7 processor 2.9 GHz, at least 16GB DDR4 (8GB of onboard DDR4 system memory + 8GB of dual-channel DDR4), 1TB NVMe SSD, 15.6 inches display Full HD 1920 x 1080, Intel Iris Xe Graphics, Genuine Windows 11 Pro or higher
Gigabit Eth"&amp;"ernet, Wi-Fi  6
with Charger
Warranty: at least 1-year limited parts warranty
and services")</f>
        <v>Branded Laptop
Core i7-1195G7 processor 2.9 GHz, at least 16GB DDR4 (8GB of onboard DDR4 system memory + 8GB of dual-channel DDR4), 1TB NVMe SSD, 15.6 inches display Full HD 1920 x 1080, Intel Iris Xe Graphics, Genuine Windows 11 Pro or higher
Gigabit Ethernet, Wi-Fi  6
with Charger
Warranty: at least 1-year limited parts warranty
and services</v>
      </c>
      <c r="E19" s="28" t="e">
        <f ca="1">VLOOKUP(A19,ICT_PPMP2023!$B$15:Z1051,7,0)</f>
        <v>#N/A</v>
      </c>
      <c r="F19" s="28" t="e">
        <f ca="1">VLOOKUP(A19,ICT_PPMP2023!$B$15:Z1051,11,0)</f>
        <v>#N/A</v>
      </c>
      <c r="G19" s="28" t="e">
        <f ca="1">VLOOKUP(A19,ICT_PPMP2023!$B$15:Z1051,15,0)</f>
        <v>#N/A</v>
      </c>
      <c r="H19" s="28" t="e">
        <f ca="1">VLOOKUP(A19,ICT_PPMP2023!$B$15:Z1051,19,0)</f>
        <v>#N/A</v>
      </c>
      <c r="I19" s="28" t="e">
        <f ca="1">VLOOKUP(A19,ICT_PPMP2023!$B$15:Z1051,2,0)</f>
        <v>#N/A</v>
      </c>
      <c r="J19" s="31" t="e">
        <f ca="1">VLOOKUP(A19,ICT_PPMP2023!$B$15:Z1051,4,0)</f>
        <v>#N/A</v>
      </c>
      <c r="K19" s="32" t="e">
        <f t="shared" ca="1" si="0"/>
        <v>#N/A</v>
      </c>
      <c r="L19" s="8"/>
      <c r="M19" s="8"/>
      <c r="N19" s="8"/>
      <c r="O19" s="8"/>
      <c r="P19" s="8"/>
      <c r="Q19" s="8"/>
      <c r="R19" s="8"/>
      <c r="S19" s="8"/>
      <c r="T19" s="8"/>
      <c r="U19" s="8"/>
      <c r="V19" s="8"/>
      <c r="W19" s="8"/>
      <c r="X19" s="8"/>
      <c r="Y19" s="8"/>
      <c r="Z19" s="8"/>
      <c r="AA19" s="8"/>
    </row>
    <row r="20" spans="1:27" ht="15.75" customHeight="1">
      <c r="A20" s="27" t="str">
        <f ca="1">IFERROR(__xludf.DUMMYFUNCTION("""COMPUTED_VALUE"""),"Camera DSLR")</f>
        <v>Camera DSLR</v>
      </c>
      <c r="B20" s="28">
        <v>8</v>
      </c>
      <c r="C20" s="28" t="e">
        <f ca="1">VLOOKUP(A20,ICT_PPMP2023!$B$15:Z1051,3,0)</f>
        <v>#N/A</v>
      </c>
      <c r="D20" s="30" t="str">
        <f ca="1">IFERROR(__xludf.DUMMYFUNCTION("""COMPUTED_VALUE"""),"Camera DSLR
18-55mm IS STM Black
Type: Digital AF/AE single-lens reflex camera with built-in flash
Recording Media: SD/SDHC/SDXC memory cards
SD speed class-compatible; UHS-I compatible; Compatible with Eye-Fi cards.
Image Format: Approx. 22.3 x 14.9m"&amp;"m (APS-C) 
Compatible Lenses: EF lenses (including EF-S lenses, excluding EF-M lenses)
Lens Mount: EF mount
Accessories: AC Adapter AC-E6N and Charger; Camera Bag")</f>
        <v>Camera DSLR
18-55mm IS STM Black
Type: Digital AF/AE single-lens reflex camera with built-in flash
Recording Media: SD/SDHC/SDXC memory cards
SD speed class-compatible; UHS-I compatible; Compatible with Eye-Fi cards.
Image Format: Approx. 22.3 x 14.9mm (APS-C) 
Compatible Lenses: EF lenses (including EF-S lenses, excluding EF-M lenses)
Lens Mount: EF mount
Accessories: AC Adapter AC-E6N and Charger; Camera Bag</v>
      </c>
      <c r="E20" s="28" t="e">
        <f ca="1">VLOOKUP(A20,ICT_PPMP2023!$B$15:Z1051,7,0)</f>
        <v>#N/A</v>
      </c>
      <c r="F20" s="28" t="e">
        <f ca="1">VLOOKUP(A20,ICT_PPMP2023!$B$15:Z1051,11,0)</f>
        <v>#N/A</v>
      </c>
      <c r="G20" s="28" t="e">
        <f ca="1">VLOOKUP(A20,ICT_PPMP2023!$B$15:Z1051,15,0)</f>
        <v>#N/A</v>
      </c>
      <c r="H20" s="28" t="e">
        <f ca="1">VLOOKUP(A20,ICT_PPMP2023!$B$15:Z1051,19,0)</f>
        <v>#N/A</v>
      </c>
      <c r="I20" s="28" t="e">
        <f ca="1">VLOOKUP(A20,ICT_PPMP2023!$B$15:Z1051,2,0)</f>
        <v>#N/A</v>
      </c>
      <c r="J20" s="31" t="e">
        <f ca="1">VLOOKUP(A20,ICT_PPMP2023!$B$15:Z1051,4,0)</f>
        <v>#N/A</v>
      </c>
      <c r="K20" s="32" t="e">
        <f t="shared" ca="1" si="0"/>
        <v>#N/A</v>
      </c>
      <c r="L20" s="8"/>
      <c r="M20" s="8"/>
      <c r="N20" s="8"/>
      <c r="O20" s="8"/>
      <c r="P20" s="8"/>
      <c r="Q20" s="8"/>
      <c r="R20" s="8"/>
      <c r="S20" s="8"/>
      <c r="T20" s="8"/>
      <c r="U20" s="8"/>
      <c r="V20" s="8"/>
      <c r="W20" s="8"/>
      <c r="X20" s="8"/>
      <c r="Y20" s="8"/>
      <c r="Z20" s="8"/>
      <c r="AA20" s="8"/>
    </row>
    <row r="21" spans="1:27" ht="15.75" customHeight="1">
      <c r="A21" s="27" t="str">
        <f ca="1">IFERROR(__xludf.DUMMYFUNCTION("""COMPUTED_VALUE"""),"Core Stackable Managed Switch with 20x10G SFP+ Module for Multimode fiber compatible with the existing CBS350-24XS")</f>
        <v>Core Stackable Managed Switch with 20x10G SFP+ Module for Multimode fiber compatible with the existing CBS350-24XS</v>
      </c>
      <c r="B21" s="28">
        <v>9</v>
      </c>
      <c r="C21" s="28" t="e">
        <f ca="1">VLOOKUP(A21,ICT_PPMP2023!$B$15:Z1051,3,0)</f>
        <v>#N/A</v>
      </c>
      <c r="D21" s="30" t="str">
        <f ca="1">IFERROR(__xludf.DUMMYFUNCTION("""COMPUTED_VALUE"""),"Core Stackable Managed Switch with 20x10G SFP+ Module for Multimode fiber compatible with the existing CBS350-24XS
Switching Capacity in Gigabits per Second: 480 Gbps
Up to 4 units in a stack
24 x 10 Gigabit SFP+
4 x 10 Gigabit copper ports (combo with 4 "&amp;"x SFP+)
1 x GE management port
Rack-mountable
Inclusion: 2x Direct-Attach Twinax Copper Cable Assembly with SFP+ Connectors SFP-H10GB-CU1M
Warranty: 1 year or more")</f>
        <v>Core Stackable Managed Switch with 20x10G SFP+ Module for Multimode fiber compatible with the existing CBS350-24XS
Switching Capacity in Gigabits per Second: 480 Gbps
Up to 4 units in a stack
24 x 10 Gigabit SFP+
4 x 10 Gigabit copper ports (combo with 4 x SFP+)
1 x GE management port
Rack-mountable
Inclusion: 2x Direct-Attach Twinax Copper Cable Assembly with SFP+ Connectors SFP-H10GB-CU1M
Warranty: 1 year or more</v>
      </c>
      <c r="E21" s="28" t="e">
        <f ca="1">VLOOKUP(A21,ICT_PPMP2023!$B$15:Z1051,7,0)</f>
        <v>#N/A</v>
      </c>
      <c r="F21" s="28" t="e">
        <f ca="1">VLOOKUP(A21,ICT_PPMP2023!$B$15:Z1051,11,0)</f>
        <v>#N/A</v>
      </c>
      <c r="G21" s="28" t="e">
        <f ca="1">VLOOKUP(A21,ICT_PPMP2023!$B$15:Z1051,15,0)</f>
        <v>#N/A</v>
      </c>
      <c r="H21" s="28" t="e">
        <f ca="1">VLOOKUP(A21,ICT_PPMP2023!$B$15:Z1051,19,0)</f>
        <v>#N/A</v>
      </c>
      <c r="I21" s="28" t="e">
        <f ca="1">VLOOKUP(A21,ICT_PPMP2023!$B$15:Z1051,2,0)</f>
        <v>#N/A</v>
      </c>
      <c r="J21" s="31" t="e">
        <f ca="1">VLOOKUP(A21,ICT_PPMP2023!$B$15:Z1051,4,0)</f>
        <v>#N/A</v>
      </c>
      <c r="K21" s="32" t="e">
        <f t="shared" ca="1" si="0"/>
        <v>#N/A</v>
      </c>
      <c r="L21" s="8"/>
      <c r="M21" s="8"/>
      <c r="N21" s="8"/>
      <c r="O21" s="8"/>
      <c r="P21" s="8"/>
      <c r="Q21" s="8"/>
      <c r="R21" s="8"/>
      <c r="S21" s="8"/>
      <c r="T21" s="8"/>
      <c r="U21" s="8"/>
      <c r="V21" s="8"/>
      <c r="W21" s="8"/>
      <c r="X21" s="8"/>
      <c r="Y21" s="8"/>
      <c r="Z21" s="8"/>
      <c r="AA21" s="8"/>
    </row>
    <row r="22" spans="1:27" ht="15.75" customHeight="1">
      <c r="A22" s="27" t="str">
        <f ca="1">IFERROR(__xludf.DUMMYFUNCTION("""COMPUTED_VALUE"""),"Desktop Type Document Scanner")</f>
        <v>Desktop Type Document Scanner</v>
      </c>
      <c r="B22" s="28">
        <v>10</v>
      </c>
      <c r="C22" s="28" t="str">
        <f ca="1">VLOOKUP(A22,ICT_PPMP2023!$B$15:Z1051,3,0)</f>
        <v>pc</v>
      </c>
      <c r="D22" s="30" t="str">
        <f ca="1">IFERROR(__xludf.DUMMYFUNCTION("""COMPUTED_VALUE"""),"Desktop Type Document Scanner
Type: Desktop Type Sheet Fed Scanner
Scanning sensor unit: CMOS CIS 1 Line Sensor
Optical resolution: 600dpi or more
Light source: RGB LED
Scanning side: Front / Back / Duplex
Interface: USB 2.0 (USB 3.0 compatible)
SCANNING "&amp;"SPEED
   Black and White: 60ppm / 120ipm or more
   Colour: 60ppm / 120ipm or more
Compatible with the existing software CaptureOnTouch Pro
Warranty: 1 year or more")</f>
        <v>Desktop Type Document Scanner
Type: Desktop Type Sheet Fed Scanner
Scanning sensor unit: CMOS CIS 1 Line Sensor
Optical resolution: 600dpi or more
Light source: RGB LED
Scanning side: Front / Back / Duplex
Interface: USB 2.0 (USB 3.0 compatible)
SCANNING SPEED
   Black and White: 60ppm / 120ipm or more
   Colour: 60ppm / 120ipm or more
Compatible with the existing software CaptureOnTouch Pro
Warranty: 1 year or more</v>
      </c>
      <c r="E22" s="28">
        <f ca="1">VLOOKUP(A22,ICT_PPMP2023!$B$15:Z1051,7,0)</f>
        <v>4</v>
      </c>
      <c r="F22" s="28">
        <f ca="1">VLOOKUP(A22,ICT_PPMP2023!$B$15:Z1051,11,0)</f>
        <v>0</v>
      </c>
      <c r="G22" s="28">
        <f ca="1">VLOOKUP(A22,ICT_PPMP2023!$B$15:Z1051,15,0)</f>
        <v>0</v>
      </c>
      <c r="H22" s="28">
        <f ca="1">VLOOKUP(A22,ICT_PPMP2023!$B$15:Z1051,19,0)</f>
        <v>0</v>
      </c>
      <c r="I22" s="28">
        <f ca="1">VLOOKUP(A22,ICT_PPMP2023!$B$15:Z1051,2,0)</f>
        <v>4</v>
      </c>
      <c r="J22" s="31">
        <f ca="1">VLOOKUP(A22,ICT_PPMP2023!$B$15:Z1051,4,0)</f>
        <v>67500</v>
      </c>
      <c r="K22" s="32">
        <f t="shared" ca="1" si="0"/>
        <v>270000</v>
      </c>
      <c r="L22" s="8"/>
      <c r="M22" s="8"/>
      <c r="N22" s="8"/>
      <c r="O22" s="8"/>
      <c r="P22" s="8"/>
      <c r="Q22" s="8"/>
      <c r="R22" s="8"/>
      <c r="S22" s="8"/>
      <c r="T22" s="8"/>
      <c r="U22" s="8"/>
      <c r="V22" s="8"/>
      <c r="W22" s="8"/>
      <c r="X22" s="8"/>
      <c r="Y22" s="8"/>
      <c r="Z22" s="8"/>
      <c r="AA22" s="8"/>
    </row>
    <row r="23" spans="1:27" ht="15.75" customHeight="1">
      <c r="A23" s="27" t="str">
        <f ca="1">IFERROR(__xludf.DUMMYFUNCTION("""COMPUTED_VALUE"""),"Distribution Stackable Managed Switch with 4x10G SFP+ Module for Multimode fiber compatible with the existing CBS350-24FP-4X")</f>
        <v>Distribution Stackable Managed Switch with 4x10G SFP+ Module for Multimode fiber compatible with the existing CBS350-24FP-4X</v>
      </c>
      <c r="B23" s="28">
        <v>11</v>
      </c>
      <c r="C23" s="28" t="e">
        <f ca="1">VLOOKUP(A23,ICT_PPMP2023!$B$15:Z1051,3,0)</f>
        <v>#N/A</v>
      </c>
      <c r="D23" s="30" t="str">
        <f ca="1">IFERROR(__xludf.DUMMYFUNCTION("""COMPUTED_VALUE"""),"Distribution Stackable Managed Switch with 4x10G SFP+ Module for Multimode fiber compatible with the existing CBS350-24FP-4X
Switching Capacity in Gigabits per Second: 128 Gbps
Up to 4 units in a stack
24 10/100/1000 PoE+ ports with 370W power budget
4 10"&amp;" Gigabit SFP+
Rack-mountable
Warranty: 1 year or more")</f>
        <v>Distribution Stackable Managed Switch with 4x10G SFP+ Module for Multimode fiber compatible with the existing CBS350-24FP-4X
Switching Capacity in Gigabits per Second: 128 Gbps
Up to 4 units in a stack
24 10/100/1000 PoE+ ports with 370W power budget
4 10 Gigabit SFP+
Rack-mountable
Warranty: 1 year or more</v>
      </c>
      <c r="E23" s="28" t="e">
        <f ca="1">VLOOKUP(A23,ICT_PPMP2023!$B$15:Z1051,7,0)</f>
        <v>#N/A</v>
      </c>
      <c r="F23" s="28" t="e">
        <f ca="1">VLOOKUP(A23,ICT_PPMP2023!$B$15:Z1051,11,0)</f>
        <v>#N/A</v>
      </c>
      <c r="G23" s="28" t="e">
        <f ca="1">VLOOKUP(A23,ICT_PPMP2023!$B$15:Z1051,15,0)</f>
        <v>#N/A</v>
      </c>
      <c r="H23" s="28" t="e">
        <f ca="1">VLOOKUP(A23,ICT_PPMP2023!$B$15:Z1051,19,0)</f>
        <v>#N/A</v>
      </c>
      <c r="I23" s="28" t="e">
        <f ca="1">VLOOKUP(A23,ICT_PPMP2023!$B$15:Z1051,2,0)</f>
        <v>#N/A</v>
      </c>
      <c r="J23" s="31" t="e">
        <f ca="1">VLOOKUP(A23,ICT_PPMP2023!$B$15:Z1051,4,0)</f>
        <v>#N/A</v>
      </c>
      <c r="K23" s="32" t="e">
        <f t="shared" ca="1" si="0"/>
        <v>#N/A</v>
      </c>
      <c r="L23" s="8"/>
      <c r="M23" s="8"/>
      <c r="N23" s="8"/>
      <c r="O23" s="8"/>
      <c r="P23" s="8"/>
      <c r="Q23" s="8"/>
      <c r="R23" s="8"/>
      <c r="S23" s="8"/>
      <c r="T23" s="8"/>
      <c r="U23" s="8"/>
      <c r="V23" s="8"/>
      <c r="W23" s="8"/>
      <c r="X23" s="8"/>
      <c r="Y23" s="8"/>
      <c r="Z23" s="8"/>
      <c r="AA23" s="8"/>
    </row>
    <row r="24" spans="1:27" ht="15.75" customHeight="1">
      <c r="A24" s="27" t="str">
        <f ca="1">IFERROR(__xludf.DUMMYFUNCTION("""COMPUTED_VALUE"""),"Fortinet Firewall Annual Subscription, Website Hosting &amp; SMS, Google, ZOOM Subscription, Software as a service (SaaS)")</f>
        <v>Fortinet Firewall Annual Subscription, Website Hosting &amp; SMS, Google, ZOOM Subscription, Software as a service (SaaS)</v>
      </c>
      <c r="B24" s="28">
        <v>12</v>
      </c>
      <c r="C24" s="28" t="e">
        <f ca="1">VLOOKUP(A24,ICT_PPMP2023!$B$15:Z1051,3,0)</f>
        <v>#N/A</v>
      </c>
      <c r="D24" s="30" t="str">
        <f ca="1">IFERROR(__xludf.DUMMYFUNCTION("""COMPUTED_VALUE"""),"Fortinet Firewall Annual Subscription, Website Hosting &amp; SMS, Google, ZOOM Subscription, Software as a service (SaaS)
Fortinet Firewall Annual Subscription, Website Hosting &amp; SMS, ZOOM Subscription")</f>
        <v>Fortinet Firewall Annual Subscription, Website Hosting &amp; SMS, Google, ZOOM Subscription, Software as a service (SaaS)
Fortinet Firewall Annual Subscription, Website Hosting &amp; SMS, ZOOM Subscription</v>
      </c>
      <c r="E24" s="28" t="e">
        <f ca="1">VLOOKUP(A24,ICT_PPMP2023!$B$15:Z1051,7,0)</f>
        <v>#N/A</v>
      </c>
      <c r="F24" s="28" t="e">
        <f ca="1">VLOOKUP(A24,ICT_PPMP2023!$B$15:Z1051,11,0)</f>
        <v>#N/A</v>
      </c>
      <c r="G24" s="28" t="e">
        <f ca="1">VLOOKUP(A24,ICT_PPMP2023!$B$15:Z1051,15,0)</f>
        <v>#N/A</v>
      </c>
      <c r="H24" s="28" t="e">
        <f ca="1">VLOOKUP(A24,ICT_PPMP2023!$B$15:Z1051,19,0)</f>
        <v>#N/A</v>
      </c>
      <c r="I24" s="28" t="e">
        <f ca="1">VLOOKUP(A24,ICT_PPMP2023!$B$15:Z1051,2,0)</f>
        <v>#N/A</v>
      </c>
      <c r="J24" s="31" t="e">
        <f ca="1">VLOOKUP(A24,ICT_PPMP2023!$B$15:Z1051,4,0)</f>
        <v>#N/A</v>
      </c>
      <c r="K24" s="32" t="e">
        <f t="shared" ca="1" si="0"/>
        <v>#N/A</v>
      </c>
      <c r="L24" s="8"/>
      <c r="M24" s="8"/>
      <c r="N24" s="8"/>
      <c r="O24" s="8"/>
      <c r="P24" s="8"/>
      <c r="Q24" s="8"/>
      <c r="R24" s="8"/>
      <c r="S24" s="8"/>
      <c r="T24" s="8"/>
      <c r="U24" s="8"/>
      <c r="V24" s="8"/>
      <c r="W24" s="8"/>
      <c r="X24" s="8"/>
      <c r="Y24" s="8"/>
      <c r="Z24" s="8"/>
      <c r="AA24" s="8"/>
    </row>
    <row r="25" spans="1:27" ht="15.75" customHeight="1">
      <c r="A25" s="27" t="str">
        <f ca="1">IFERROR(__xludf.DUMMYFUNCTION("""COMPUTED_VALUE"""),"Fortinet Firewall with Annual Subscription and 4x10G SFP+ transceiver module compatible with the existing FortiGATE-601E for HA configuration and deployment.")</f>
        <v>Fortinet Firewall with Annual Subscription and 4x10G SFP+ transceiver module compatible with the existing FortiGATE-601E for HA configuration and deployment.</v>
      </c>
      <c r="B25" s="28">
        <v>13</v>
      </c>
      <c r="C25" s="28" t="e">
        <f ca="1">VLOOKUP(A25,ICT_PPMP2023!$B$15:Z1051,3,0)</f>
        <v>#N/A</v>
      </c>
      <c r="D25" s="30" t="str">
        <f ca="1">IFERROR(__xludf.DUMMYFUNCTION("""COMPUTED_VALUE"""),"Fortinet Firewall with Annual Subscription and 4x10G SFP+ transceiver module compatible with the existing FortiGATE-601E for HA configuration and deployment.
Fortinet Firewall with Annual Subscription and 4x10G SFP+ transceiver module compatible with the "&amp;"existing FortiGATE-601E for HA configuration and deployment.
Includes installation, commissioning, configuration, testing, training with certification and documentation.")</f>
        <v>Fortinet Firewall with Annual Subscription and 4x10G SFP+ transceiver module compatible with the existing FortiGATE-601E for HA configuration and deployment.
Fortinet Firewall with Annual Subscription and 4x10G SFP+ transceiver module compatible with the existing FortiGATE-601E for HA configuration and deployment.
Includes installation, commissioning, configuration, testing, training with certification and documentation.</v>
      </c>
      <c r="E25" s="28" t="e">
        <f ca="1">VLOOKUP(A25,ICT_PPMP2023!$B$15:Z1051,7,0)</f>
        <v>#N/A</v>
      </c>
      <c r="F25" s="28" t="e">
        <f ca="1">VLOOKUP(A25,ICT_PPMP2023!$B$15:Z1051,11,0)</f>
        <v>#N/A</v>
      </c>
      <c r="G25" s="28" t="e">
        <f ca="1">VLOOKUP(A25,ICT_PPMP2023!$B$15:Z1051,15,0)</f>
        <v>#N/A</v>
      </c>
      <c r="H25" s="28" t="e">
        <f ca="1">VLOOKUP(A25,ICT_PPMP2023!$B$15:Z1051,19,0)</f>
        <v>#N/A</v>
      </c>
      <c r="I25" s="28" t="e">
        <f ca="1">VLOOKUP(A25,ICT_PPMP2023!$B$15:Z1051,2,0)</f>
        <v>#N/A</v>
      </c>
      <c r="J25" s="31" t="e">
        <f ca="1">VLOOKUP(A25,ICT_PPMP2023!$B$15:Z1051,4,0)</f>
        <v>#N/A</v>
      </c>
      <c r="K25" s="32" t="e">
        <f t="shared" ca="1" si="0"/>
        <v>#N/A</v>
      </c>
      <c r="L25" s="8"/>
      <c r="M25" s="8"/>
      <c r="N25" s="8"/>
      <c r="O25" s="8"/>
      <c r="P25" s="8"/>
      <c r="Q25" s="8"/>
      <c r="R25" s="8"/>
      <c r="S25" s="8"/>
      <c r="T25" s="8"/>
      <c r="U25" s="8"/>
      <c r="V25" s="8"/>
      <c r="W25" s="8"/>
      <c r="X25" s="8"/>
      <c r="Y25" s="8"/>
      <c r="Z25" s="8"/>
      <c r="AA25" s="8"/>
    </row>
    <row r="26" spans="1:27" ht="15.75" customHeight="1">
      <c r="A26" s="27" t="str">
        <f ca="1">IFERROR(__xludf.DUMMYFUNCTION("""COMPUTED_VALUE"""),"Maintenance and Upgrade of Desktop, Laptop, Server, DOH/DICT Cybersecurity Equipment compliance, Copier, Printer, Network, PABX, CCTV and Paging System")</f>
        <v>Maintenance and Upgrade of Desktop, Laptop, Server, DOH/DICT Cybersecurity Equipment compliance, Copier, Printer, Network, PABX, CCTV and Paging System</v>
      </c>
      <c r="B26" s="28">
        <v>14</v>
      </c>
      <c r="C26" s="28" t="str">
        <f ca="1">VLOOKUP(A26,ICT_PPMP2023!$B$15:Z1051,3,0)</f>
        <v>lot</v>
      </c>
      <c r="D26" s="30" t="str">
        <f ca="1">IFERROR(__xludf.DUMMYFUNCTION("""COMPUTED_VALUE"""),"Maintenance and Upgrade of Desktop, Laptop, Server, DOH/DICT Cybersecurity Equipment compliance, Copier, Printer, Network, PABX, CCTV and Paging System
Maintenance and Upgrade of Desktop, Laptop, Server, Copier, Printer, Network, PABX, CCTV and Paging Sys"&amp;"tem")</f>
        <v>Maintenance and Upgrade of Desktop, Laptop, Server, DOH/DICT Cybersecurity Equipment compliance, Copier, Printer, Network, PABX, CCTV and Paging System
Maintenance and Upgrade of Desktop, Laptop, Server, Copier, Printer, Network, PABX, CCTV and Paging System</v>
      </c>
      <c r="E26" s="28">
        <f ca="1">VLOOKUP(A26,ICT_PPMP2023!$B$15:Z1051,7,0)</f>
        <v>1</v>
      </c>
      <c r="F26" s="28">
        <f ca="1">VLOOKUP(A26,ICT_PPMP2023!$B$15:Z1051,11,0)</f>
        <v>0</v>
      </c>
      <c r="G26" s="28">
        <f ca="1">VLOOKUP(A26,ICT_PPMP2023!$B$15:Z1051,15,0)</f>
        <v>0</v>
      </c>
      <c r="H26" s="28">
        <f ca="1">VLOOKUP(A26,ICT_PPMP2023!$B$15:Z1051,19,0)</f>
        <v>0</v>
      </c>
      <c r="I26" s="28">
        <f ca="1">VLOOKUP(A26,ICT_PPMP2023!$B$15:Z1051,2,0)</f>
        <v>1</v>
      </c>
      <c r="J26" s="31">
        <f ca="1">VLOOKUP(A26,ICT_PPMP2023!$B$15:Z1051,4,0)</f>
        <v>2150000</v>
      </c>
      <c r="K26" s="32">
        <f t="shared" ca="1" si="0"/>
        <v>2150000</v>
      </c>
      <c r="L26" s="8"/>
      <c r="M26" s="8"/>
      <c r="N26" s="8"/>
      <c r="O26" s="8"/>
      <c r="P26" s="8"/>
      <c r="Q26" s="8"/>
      <c r="R26" s="8"/>
      <c r="S26" s="8"/>
      <c r="T26" s="8"/>
      <c r="U26" s="8"/>
      <c r="V26" s="8"/>
      <c r="W26" s="8"/>
      <c r="X26" s="8"/>
      <c r="Y26" s="8"/>
      <c r="Z26" s="8"/>
      <c r="AA26" s="8"/>
    </row>
    <row r="27" spans="1:27" ht="15.75" customHeight="1">
      <c r="A27" s="27" t="str">
        <f ca="1">IFERROR(__xludf.DUMMYFUNCTION("""COMPUTED_VALUE"""),"Maintenance Kit for the existing TASKALFA 3212I")</f>
        <v>Maintenance Kit for the existing TASKALFA 3212I</v>
      </c>
      <c r="B27" s="28">
        <v>15</v>
      </c>
      <c r="C27" s="28" t="e">
        <f ca="1">VLOOKUP(A27,ICT_PPMP2023!$B$15:Z1051,3,0)</f>
        <v>#N/A</v>
      </c>
      <c r="D27" s="30" t="str">
        <f ca="1">IFERROR(__xludf.DUMMYFUNCTION("""COMPUTED_VALUE"""),"Maintenance Kit for the existing TASKALFA 3212I
MK-7129")</f>
        <v>Maintenance Kit for the existing TASKALFA 3212I
MK-7129</v>
      </c>
      <c r="E27" s="28" t="e">
        <f ca="1">VLOOKUP(A27,ICT_PPMP2023!$B$15:Z1051,7,0)</f>
        <v>#N/A</v>
      </c>
      <c r="F27" s="28" t="e">
        <f ca="1">VLOOKUP(A27,ICT_PPMP2023!$B$15:Z1051,11,0)</f>
        <v>#N/A</v>
      </c>
      <c r="G27" s="28" t="e">
        <f ca="1">VLOOKUP(A27,ICT_PPMP2023!$B$15:Z1051,15,0)</f>
        <v>#N/A</v>
      </c>
      <c r="H27" s="28" t="e">
        <f ca="1">VLOOKUP(A27,ICT_PPMP2023!$B$15:Z1051,19,0)</f>
        <v>#N/A</v>
      </c>
      <c r="I27" s="28" t="e">
        <f ca="1">VLOOKUP(A27,ICT_PPMP2023!$B$15:Z1051,2,0)</f>
        <v>#N/A</v>
      </c>
      <c r="J27" s="31" t="e">
        <f ca="1">VLOOKUP(A27,ICT_PPMP2023!$B$15:Z1051,4,0)</f>
        <v>#N/A</v>
      </c>
      <c r="K27" s="32" t="e">
        <f t="shared" ca="1" si="0"/>
        <v>#N/A</v>
      </c>
      <c r="L27" s="8"/>
      <c r="M27" s="8"/>
      <c r="N27" s="8"/>
      <c r="O27" s="8"/>
      <c r="P27" s="8"/>
      <c r="Q27" s="8"/>
      <c r="R27" s="8"/>
      <c r="S27" s="8"/>
      <c r="T27" s="8"/>
      <c r="U27" s="8"/>
      <c r="V27" s="8"/>
      <c r="W27" s="8"/>
      <c r="X27" s="8"/>
      <c r="Y27" s="8"/>
      <c r="Z27" s="8"/>
      <c r="AA27" s="8"/>
    </row>
    <row r="28" spans="1:27" ht="15.75" customHeight="1">
      <c r="A28" s="27" t="str">
        <f ca="1">IFERROR(__xludf.DUMMYFUNCTION("""COMPUTED_VALUE"""),"Multimedia Controller")</f>
        <v>Multimedia Controller</v>
      </c>
      <c r="B28" s="28">
        <v>16</v>
      </c>
      <c r="C28" s="28" t="e">
        <f ca="1">VLOOKUP(A28,ICT_PPMP2023!$B$15:Z1051,3,0)</f>
        <v>#N/A</v>
      </c>
      <c r="D28" s="30" t="str">
        <f ca="1">IFERROR(__xludf.DUMMYFUNCTION("""COMPUTED_VALUE"""),"Multimedia Controller
c/o Sir Ian")</f>
        <v>Multimedia Controller
c/o Sir Ian</v>
      </c>
      <c r="E28" s="28" t="e">
        <f ca="1">VLOOKUP(A28,ICT_PPMP2023!$B$15:Z1051,7,0)</f>
        <v>#N/A</v>
      </c>
      <c r="F28" s="28" t="e">
        <f ca="1">VLOOKUP(A28,ICT_PPMP2023!$B$15:Z1051,11,0)</f>
        <v>#N/A</v>
      </c>
      <c r="G28" s="28" t="e">
        <f ca="1">VLOOKUP(A28,ICT_PPMP2023!$B$15:Z1051,15,0)</f>
        <v>#N/A</v>
      </c>
      <c r="H28" s="28" t="e">
        <f ca="1">VLOOKUP(A28,ICT_PPMP2023!$B$15:Z1051,19,0)</f>
        <v>#N/A</v>
      </c>
      <c r="I28" s="28" t="e">
        <f ca="1">VLOOKUP(A28,ICT_PPMP2023!$B$15:Z1051,2,0)</f>
        <v>#N/A</v>
      </c>
      <c r="J28" s="31" t="e">
        <f ca="1">VLOOKUP(A28,ICT_PPMP2023!$B$15:Z1051,4,0)</f>
        <v>#N/A</v>
      </c>
      <c r="K28" s="32" t="e">
        <f t="shared" ca="1" si="0"/>
        <v>#N/A</v>
      </c>
      <c r="L28" s="8"/>
      <c r="M28" s="8"/>
      <c r="N28" s="8"/>
      <c r="O28" s="8"/>
      <c r="P28" s="8"/>
      <c r="Q28" s="8"/>
      <c r="R28" s="8"/>
      <c r="S28" s="8"/>
      <c r="T28" s="8"/>
      <c r="U28" s="8"/>
      <c r="V28" s="8"/>
      <c r="W28" s="8"/>
      <c r="X28" s="8"/>
      <c r="Y28" s="8"/>
      <c r="Z28" s="8"/>
      <c r="AA28" s="8"/>
    </row>
    <row r="29" spans="1:27" ht="15.75" customHeight="1">
      <c r="A29" s="27" t="str">
        <f ca="1">IFERROR(__xludf.DUMMYFUNCTION("""COMPUTED_VALUE"""),"Smart Phone Bill for Telemedicine")</f>
        <v>Smart Phone Bill for Telemedicine</v>
      </c>
      <c r="B29" s="28">
        <v>17</v>
      </c>
      <c r="C29" s="28" t="str">
        <f ca="1">VLOOKUP(A29,ICT_PPMP2023!$B$15:Z1051,3,0)</f>
        <v>lot</v>
      </c>
      <c r="D29" s="30" t="str">
        <f ca="1">IFERROR(__xludf.DUMMYFUNCTION("""COMPUTED_VALUE"""),"Smart Phone Bill for Telemedicine
Smart Phone Bill for Telemedicine")</f>
        <v>Smart Phone Bill for Telemedicine
Smart Phone Bill for Telemedicine</v>
      </c>
      <c r="E29" s="28">
        <f ca="1">VLOOKUP(A29,ICT_PPMP2023!$B$15:Z1051,7,0)</f>
        <v>3</v>
      </c>
      <c r="F29" s="28">
        <f ca="1">VLOOKUP(A29,ICT_PPMP2023!$B$15:Z1051,11,0)</f>
        <v>3</v>
      </c>
      <c r="G29" s="28">
        <f ca="1">VLOOKUP(A29,ICT_PPMP2023!$B$15:Z1051,15,0)</f>
        <v>3</v>
      </c>
      <c r="H29" s="28">
        <f ca="1">VLOOKUP(A29,ICT_PPMP2023!$B$15:Z1051,19,0)</f>
        <v>3</v>
      </c>
      <c r="I29" s="28">
        <f ca="1">VLOOKUP(A29,ICT_PPMP2023!$B$15:Z1051,2,0)</f>
        <v>1</v>
      </c>
      <c r="J29" s="31">
        <f ca="1">VLOOKUP(A29,ICT_PPMP2023!$B$15:Z1051,4,0)</f>
        <v>135000</v>
      </c>
      <c r="K29" s="32">
        <f t="shared" ca="1" si="0"/>
        <v>135000</v>
      </c>
      <c r="L29" s="8"/>
      <c r="M29" s="8"/>
      <c r="N29" s="8"/>
      <c r="O29" s="8"/>
      <c r="P29" s="8"/>
      <c r="Q29" s="8"/>
      <c r="R29" s="8"/>
      <c r="S29" s="8"/>
      <c r="T29" s="8"/>
      <c r="U29" s="8"/>
      <c r="V29" s="8"/>
      <c r="W29" s="8"/>
      <c r="X29" s="8"/>
      <c r="Y29" s="8"/>
      <c r="Z29" s="8"/>
      <c r="AA29" s="8"/>
    </row>
    <row r="30" spans="1:27" ht="15.75" customHeight="1">
      <c r="A30" s="27" t="str">
        <f ca="1">IFERROR(__xludf.DUMMYFUNCTION("""COMPUTED_VALUE"""),"1.5M Gigabit Cat6 Ethernet Patch Cable with RJ45 CAT6 High Quality")</f>
        <v>1.5M Gigabit Cat6 Ethernet Patch Cable with RJ45 CAT6 High Quality</v>
      </c>
      <c r="B30" s="28">
        <v>18</v>
      </c>
      <c r="C30" s="28" t="str">
        <f ca="1">VLOOKUP(A30,ICT_PPMP2023!$B$15:Z1051,3,0)</f>
        <v>pc</v>
      </c>
      <c r="D30" s="30" t="str">
        <f ca="1">IFERROR(__xludf.DUMMYFUNCTION("""COMPUTED_VALUE"""),"1.5M Gigabit Cat6 Ethernet Patch Cable with RJ45 CAT6 High Quality
Gigabit Speed and Ready to Use Cable
Cable Category: Cat6/Cat6e
Machine Crimped")</f>
        <v>1.5M Gigabit Cat6 Ethernet Patch Cable with RJ45 CAT6 High Quality
Gigabit Speed and Ready to Use Cable
Cable Category: Cat6/Cat6e
Machine Crimped</v>
      </c>
      <c r="E30" s="28">
        <f ca="1">VLOOKUP(A30,ICT_PPMP2023!$B$15:Z1051,7,0)</f>
        <v>50</v>
      </c>
      <c r="F30" s="28">
        <f ca="1">VLOOKUP(A30,ICT_PPMP2023!$B$15:Z1051,11,0)</f>
        <v>0</v>
      </c>
      <c r="G30" s="28">
        <f ca="1">VLOOKUP(A30,ICT_PPMP2023!$B$15:Z1051,15,0)</f>
        <v>0</v>
      </c>
      <c r="H30" s="28">
        <f ca="1">VLOOKUP(A30,ICT_PPMP2023!$B$15:Z1051,19,0)</f>
        <v>0</v>
      </c>
      <c r="I30" s="28">
        <f ca="1">VLOOKUP(A30,ICT_PPMP2023!$B$15:Z1051,2,0)</f>
        <v>50</v>
      </c>
      <c r="J30" s="31">
        <f ca="1">VLOOKUP(A30,ICT_PPMP2023!$B$15:Z1051,4,0)</f>
        <v>80</v>
      </c>
      <c r="K30" s="32">
        <f t="shared" ca="1" si="0"/>
        <v>4000</v>
      </c>
      <c r="L30" s="8"/>
      <c r="M30" s="8"/>
      <c r="N30" s="8"/>
      <c r="O30" s="8"/>
      <c r="P30" s="8"/>
      <c r="Q30" s="8"/>
      <c r="R30" s="8"/>
      <c r="S30" s="8"/>
      <c r="T30" s="8"/>
      <c r="U30" s="8"/>
      <c r="V30" s="8"/>
      <c r="W30" s="8"/>
      <c r="X30" s="8"/>
      <c r="Y30" s="8"/>
      <c r="Z30" s="8"/>
      <c r="AA30" s="8"/>
    </row>
    <row r="31" spans="1:27" ht="15.75" customHeight="1">
      <c r="A31" s="27" t="str">
        <f ca="1">IFERROR(__xludf.DUMMYFUNCTION("""COMPUTED_VALUE"""),"10 GE SFP+ transceiver module compatible with the existing FortiGATE-601E Firewall")</f>
        <v>10 GE SFP+ transceiver module compatible with the existing FortiGATE-601E Firewall</v>
      </c>
      <c r="B31" s="28">
        <v>19</v>
      </c>
      <c r="C31" s="28" t="e">
        <f ca="1">VLOOKUP(A31,ICT_PPMP2023!$B$15:Z1051,3,0)</f>
        <v>#N/A</v>
      </c>
      <c r="D31" s="30" t="str">
        <f ca="1">IFERROR(__xludf.DUMMYFUNCTION("""COMPUTED_VALUE"""),"10 GE SFP+ transceiver module compatible with the existing FortiGATE-601E Firewall
10 GE SFP+ transceiver module, short range for all systems with SFP+ and SFP/SFP+ slots
Compatible with the existing Firewall FortiGate-601E")</f>
        <v>10 GE SFP+ transceiver module compatible with the existing FortiGATE-601E Firewall
10 GE SFP+ transceiver module, short range for all systems with SFP+ and SFP/SFP+ slots
Compatible with the existing Firewall FortiGate-601E</v>
      </c>
      <c r="E31" s="28" t="e">
        <f ca="1">VLOOKUP(A31,ICT_PPMP2023!$B$15:Z1051,7,0)</f>
        <v>#N/A</v>
      </c>
      <c r="F31" s="28" t="e">
        <f ca="1">VLOOKUP(A31,ICT_PPMP2023!$B$15:Z1051,11,0)</f>
        <v>#N/A</v>
      </c>
      <c r="G31" s="28" t="e">
        <f ca="1">VLOOKUP(A31,ICT_PPMP2023!$B$15:Z1051,15,0)</f>
        <v>#N/A</v>
      </c>
      <c r="H31" s="28" t="e">
        <f ca="1">VLOOKUP(A31,ICT_PPMP2023!$B$15:Z1051,19,0)</f>
        <v>#N/A</v>
      </c>
      <c r="I31" s="28" t="e">
        <f ca="1">VLOOKUP(A31,ICT_PPMP2023!$B$15:Z1051,2,0)</f>
        <v>#N/A</v>
      </c>
      <c r="J31" s="31" t="e">
        <f ca="1">VLOOKUP(A31,ICT_PPMP2023!$B$15:Z1051,4,0)</f>
        <v>#N/A</v>
      </c>
      <c r="K31" s="32" t="e">
        <f t="shared" ca="1" si="0"/>
        <v>#N/A</v>
      </c>
      <c r="L31" s="8"/>
      <c r="M31" s="8"/>
      <c r="N31" s="8"/>
      <c r="O31" s="8"/>
      <c r="P31" s="8"/>
      <c r="Q31" s="8"/>
      <c r="R31" s="8"/>
      <c r="S31" s="8"/>
      <c r="T31" s="8"/>
      <c r="U31" s="8"/>
      <c r="V31" s="8"/>
      <c r="W31" s="8"/>
      <c r="X31" s="8"/>
      <c r="Y31" s="8"/>
      <c r="Z31" s="8"/>
      <c r="AA31" s="8"/>
    </row>
    <row r="32" spans="1:27" ht="15.75" customHeight="1">
      <c r="A32" s="27" t="str">
        <f ca="1">IFERROR(__xludf.DUMMYFUNCTION("""COMPUTED_VALUE"""),"10M Gigabit Cat6 Ethernet Patch Cable with RJ45 CAT6 High Quality")</f>
        <v>10M Gigabit Cat6 Ethernet Patch Cable with RJ45 CAT6 High Quality</v>
      </c>
      <c r="B32" s="28">
        <v>20</v>
      </c>
      <c r="C32" s="28" t="str">
        <f ca="1">VLOOKUP(A32,ICT_PPMP2023!$B$15:Z1051,3,0)</f>
        <v>pc</v>
      </c>
      <c r="D32" s="30" t="str">
        <f ca="1">IFERROR(__xludf.DUMMYFUNCTION("""COMPUTED_VALUE"""),"10M Gigabit Cat6 Ethernet Patch Cable with RJ45 CAT6 High Quality
Gigabit Speed and Ready to Use Cable
Cable Category: Cat6/Cat6e
Machine Crimped")</f>
        <v>10M Gigabit Cat6 Ethernet Patch Cable with RJ45 CAT6 High Quality
Gigabit Speed and Ready to Use Cable
Cable Category: Cat6/Cat6e
Machine Crimped</v>
      </c>
      <c r="E32" s="28">
        <f ca="1">VLOOKUP(A32,ICT_PPMP2023!$B$15:Z1051,7,0)</f>
        <v>20</v>
      </c>
      <c r="F32" s="28">
        <f ca="1">VLOOKUP(A32,ICT_PPMP2023!$B$15:Z1051,11,0)</f>
        <v>0</v>
      </c>
      <c r="G32" s="28">
        <f ca="1">VLOOKUP(A32,ICT_PPMP2023!$B$15:Z1051,15,0)</f>
        <v>0</v>
      </c>
      <c r="H32" s="28">
        <f ca="1">VLOOKUP(A32,ICT_PPMP2023!$B$15:Z1051,19,0)</f>
        <v>0</v>
      </c>
      <c r="I32" s="28">
        <f ca="1">VLOOKUP(A32,ICT_PPMP2023!$B$15:Z1051,2,0)</f>
        <v>20</v>
      </c>
      <c r="J32" s="31">
        <f ca="1">VLOOKUP(A32,ICT_PPMP2023!$B$15:Z1051,4,0)</f>
        <v>255</v>
      </c>
      <c r="K32" s="32">
        <f t="shared" ca="1" si="0"/>
        <v>5100</v>
      </c>
      <c r="L32" s="8"/>
      <c r="M32" s="8"/>
      <c r="N32" s="8"/>
      <c r="O32" s="8"/>
      <c r="P32" s="8"/>
      <c r="Q32" s="8"/>
      <c r="R32" s="8"/>
      <c r="S32" s="8"/>
      <c r="T32" s="8"/>
      <c r="U32" s="8"/>
      <c r="V32" s="8"/>
      <c r="W32" s="8"/>
      <c r="X32" s="8"/>
      <c r="Y32" s="8"/>
      <c r="Z32" s="8"/>
      <c r="AA32" s="8"/>
    </row>
    <row r="33" spans="1:27" ht="15.75" customHeight="1">
      <c r="A33" s="15" t="str">
        <f ca="1">IFERROR(__xludf.DUMMYFUNCTION("""COMPUTED_VALUE"""),"10TB Surveillance Hard Drive SATA")</f>
        <v>10TB Surveillance Hard Drive SATA</v>
      </c>
      <c r="B33" s="28">
        <v>21</v>
      </c>
      <c r="C33" s="28" t="e">
        <f ca="1">VLOOKUP(A33,ICT_PPMP2023!$B$15:Z1051,3,0)</f>
        <v>#N/A</v>
      </c>
      <c r="D33" s="33" t="str">
        <f ca="1">IFERROR(__xludf.DUMMYFUNCTION("""COMPUTED_VALUE"""),"10TB Surveillance Hard Drive SATA
Surveillance Hard Drive - SATA 6Gb/s 3.5-Inch for existing CCTV NVR")</f>
        <v>10TB Surveillance Hard Drive SATA
Surveillance Hard Drive - SATA 6Gb/s 3.5-Inch for existing CCTV NVR</v>
      </c>
      <c r="E33" s="28" t="e">
        <f ca="1">VLOOKUP(A33,ICT_PPMP2023!$B$15:Z1051,7,0)</f>
        <v>#N/A</v>
      </c>
      <c r="F33" s="28" t="e">
        <f ca="1">VLOOKUP(A33,ICT_PPMP2023!$B$15:Z1051,11,0)</f>
        <v>#N/A</v>
      </c>
      <c r="G33" s="28" t="e">
        <f ca="1">VLOOKUP(A33,ICT_PPMP2023!$B$15:Z1051,15,0)</f>
        <v>#N/A</v>
      </c>
      <c r="H33" s="28" t="e">
        <f ca="1">VLOOKUP(A33,ICT_PPMP2023!$B$15:Z1051,19,0)</f>
        <v>#N/A</v>
      </c>
      <c r="I33" s="28" t="e">
        <f ca="1">VLOOKUP(A33,ICT_PPMP2023!$B$15:Z1051,2,0)</f>
        <v>#N/A</v>
      </c>
      <c r="J33" s="31" t="e">
        <f ca="1">VLOOKUP(A33,ICT_PPMP2023!$B$15:Z1051,4,0)</f>
        <v>#N/A</v>
      </c>
      <c r="K33" s="32" t="e">
        <f t="shared" ca="1" si="0"/>
        <v>#N/A</v>
      </c>
      <c r="L33" s="8"/>
      <c r="M33" s="8"/>
      <c r="N33" s="8"/>
      <c r="O33" s="8"/>
      <c r="P33" s="8"/>
      <c r="Q33" s="8"/>
      <c r="R33" s="8"/>
      <c r="S33" s="8"/>
      <c r="T33" s="8"/>
      <c r="U33" s="8"/>
      <c r="V33" s="8"/>
      <c r="W33" s="8"/>
      <c r="X33" s="8"/>
      <c r="Y33" s="8"/>
      <c r="Z33" s="8"/>
      <c r="AA33" s="8"/>
    </row>
    <row r="34" spans="1:27" ht="15.75" customHeight="1">
      <c r="A34" s="9" t="str">
        <f ca="1">IFERROR(__xludf.DUMMYFUNCTION("""COMPUTED_VALUE"""),"15M Gigabit Cat6 Ethernet Patch Cable with RJ45 CAT6 High Quality")</f>
        <v>15M Gigabit Cat6 Ethernet Patch Cable with RJ45 CAT6 High Quality</v>
      </c>
      <c r="B34" s="28">
        <v>22</v>
      </c>
      <c r="C34" s="28" t="e">
        <f ca="1">VLOOKUP(A34,ICT_PPMP2023!$B$15:Z1051,3,0)</f>
        <v>#N/A</v>
      </c>
      <c r="D34" s="34" t="str">
        <f ca="1">IFERROR(__xludf.DUMMYFUNCTION("""COMPUTED_VALUE"""),"15M Gigabit Cat6 Ethernet Patch Cable with RJ45 CAT6 High Quality
Gigabit Speed and Ready to Use Cable
Cable Category: Cat6/Cat6e
Machine Crimped")</f>
        <v>15M Gigabit Cat6 Ethernet Patch Cable with RJ45 CAT6 High Quality
Gigabit Speed and Ready to Use Cable
Cable Category: Cat6/Cat6e
Machine Crimped</v>
      </c>
      <c r="E34" s="28" t="e">
        <f ca="1">VLOOKUP(A34,ICT_PPMP2023!$B$15:Z1051,7,0)</f>
        <v>#N/A</v>
      </c>
      <c r="F34" s="28" t="e">
        <f ca="1">VLOOKUP(A34,ICT_PPMP2023!$B$15:Z1051,11,0)</f>
        <v>#N/A</v>
      </c>
      <c r="G34" s="28" t="e">
        <f ca="1">VLOOKUP(A34,ICT_PPMP2023!$B$15:Z1051,15,0)</f>
        <v>#N/A</v>
      </c>
      <c r="H34" s="28" t="e">
        <f ca="1">VLOOKUP(A34,ICT_PPMP2023!$B$15:Z1051,19,0)</f>
        <v>#N/A</v>
      </c>
      <c r="I34" s="28" t="e">
        <f ca="1">VLOOKUP(A34,ICT_PPMP2023!$B$15:Z1051,2,0)</f>
        <v>#N/A</v>
      </c>
      <c r="J34" s="31" t="e">
        <f ca="1">VLOOKUP(A34,ICT_PPMP2023!$B$15:Z1051,4,0)</f>
        <v>#N/A</v>
      </c>
      <c r="K34" s="32" t="e">
        <f t="shared" ca="1" si="0"/>
        <v>#N/A</v>
      </c>
      <c r="L34" s="8"/>
      <c r="M34" s="8"/>
      <c r="N34" s="8"/>
      <c r="O34" s="8"/>
      <c r="P34" s="8"/>
      <c r="Q34" s="8"/>
      <c r="R34" s="8"/>
      <c r="S34" s="8"/>
      <c r="T34" s="8"/>
      <c r="U34" s="8"/>
      <c r="V34" s="8"/>
      <c r="W34" s="8"/>
      <c r="X34" s="8"/>
      <c r="Y34" s="8"/>
      <c r="Z34" s="8"/>
      <c r="AA34" s="8"/>
    </row>
    <row r="35" spans="1:27" ht="15.75" customHeight="1">
      <c r="A35" s="9" t="str">
        <f ca="1">IFERROR(__xludf.DUMMYFUNCTION("""COMPUTED_VALUE"""),"16GB Flash Drive")</f>
        <v>16GB Flash Drive</v>
      </c>
      <c r="B35" s="28">
        <v>23</v>
      </c>
      <c r="C35" s="28" t="str">
        <f ca="1">VLOOKUP(A35,ICT_PPMP2023!$B$15:Z1051,3,0)</f>
        <v>pc</v>
      </c>
      <c r="D35" s="34" t="str">
        <f ca="1">IFERROR(__xludf.DUMMYFUNCTION("""COMPUTED_VALUE"""),"16GB Flash Drive
Capacities: 16GB; Branded
Compatability: USB 2.0 port required for high-speed transfer
Warranty: 1 year or more")</f>
        <v>16GB Flash Drive
Capacities: 16GB; Branded
Compatability: USB 2.0 port required for high-speed transfer
Warranty: 1 year or more</v>
      </c>
      <c r="E35" s="28">
        <f ca="1">VLOOKUP(A35,ICT_PPMP2023!$B$15:Z1051,7,0)</f>
        <v>25</v>
      </c>
      <c r="F35" s="28">
        <f ca="1">VLOOKUP(A35,ICT_PPMP2023!$B$15:Z1051,11,0)</f>
        <v>0</v>
      </c>
      <c r="G35" s="28">
        <f ca="1">VLOOKUP(A35,ICT_PPMP2023!$B$15:Z1051,15,0)</f>
        <v>0</v>
      </c>
      <c r="H35" s="28">
        <f ca="1">VLOOKUP(A35,ICT_PPMP2023!$B$15:Z1051,19,0)</f>
        <v>0</v>
      </c>
      <c r="I35" s="28">
        <f ca="1">VLOOKUP(A35,ICT_PPMP2023!$B$15:Z1051,2,0)</f>
        <v>25</v>
      </c>
      <c r="J35" s="31">
        <f ca="1">VLOOKUP(A35,ICT_PPMP2023!$B$15:Z1051,4,0)</f>
        <v>166.4</v>
      </c>
      <c r="K35" s="32">
        <f t="shared" ca="1" si="0"/>
        <v>4160</v>
      </c>
      <c r="L35" s="8"/>
      <c r="M35" s="8"/>
      <c r="N35" s="8"/>
      <c r="O35" s="8"/>
      <c r="P35" s="8"/>
      <c r="Q35" s="8"/>
      <c r="R35" s="8"/>
      <c r="S35" s="8"/>
      <c r="T35" s="8"/>
      <c r="U35" s="8"/>
      <c r="V35" s="8"/>
      <c r="W35" s="8"/>
      <c r="X35" s="8"/>
      <c r="Y35" s="8"/>
      <c r="Z35" s="8"/>
      <c r="AA35" s="8"/>
    </row>
    <row r="36" spans="1:27" ht="15.75" customHeight="1">
      <c r="A36" s="8" t="str">
        <f ca="1">IFERROR(__xludf.DUMMYFUNCTION("""COMPUTED_VALUE"""),"19 inches Universal PDU 6 outlets with surge protection SPD module")</f>
        <v>19 inches Universal PDU 6 outlets with surge protection SPD module</v>
      </c>
      <c r="B36" s="28">
        <v>24</v>
      </c>
      <c r="C36" s="28" t="e">
        <f ca="1">VLOOKUP(A36,ICT_PPMP2023!$B$15:Z1051,3,0)</f>
        <v>#N/A</v>
      </c>
      <c r="D36" s="35" t="str">
        <f ca="1">IFERROR(__xludf.DUMMYFUNCTION("""COMPUTED_VALUE"""),"19 inches Universal PDU 6 outlets with surge protection SPD module
19 inches Universal PDU 6 outlets with surge protection SPD module")</f>
        <v>19 inches Universal PDU 6 outlets with surge protection SPD module
19 inches Universal PDU 6 outlets with surge protection SPD module</v>
      </c>
      <c r="E36" s="28" t="e">
        <f ca="1">VLOOKUP(A36,ICT_PPMP2023!$B$15:Z1051,7,0)</f>
        <v>#N/A</v>
      </c>
      <c r="F36" s="28" t="e">
        <f ca="1">VLOOKUP(A36,ICT_PPMP2023!$B$15:Z1051,11,0)</f>
        <v>#N/A</v>
      </c>
      <c r="G36" s="28" t="e">
        <f ca="1">VLOOKUP(A36,ICT_PPMP2023!$B$15:Z1051,15,0)</f>
        <v>#N/A</v>
      </c>
      <c r="H36" s="28" t="e">
        <f ca="1">VLOOKUP(A36,ICT_PPMP2023!$B$15:Z1051,19,0)</f>
        <v>#N/A</v>
      </c>
      <c r="I36" s="28" t="e">
        <f ca="1">VLOOKUP(A36,ICT_PPMP2023!$B$15:Z1051,2,0)</f>
        <v>#N/A</v>
      </c>
      <c r="J36" s="31" t="e">
        <f ca="1">VLOOKUP(A36,ICT_PPMP2023!$B$15:Z1051,4,0)</f>
        <v>#N/A</v>
      </c>
      <c r="K36" s="32" t="e">
        <f t="shared" ca="1" si="0"/>
        <v>#N/A</v>
      </c>
      <c r="L36" s="8"/>
      <c r="M36" s="8"/>
      <c r="N36" s="8"/>
      <c r="O36" s="8"/>
      <c r="P36" s="8"/>
      <c r="Q36" s="8"/>
      <c r="R36" s="8"/>
      <c r="S36" s="8"/>
      <c r="T36" s="8"/>
      <c r="U36" s="8"/>
      <c r="V36" s="8"/>
      <c r="W36" s="8"/>
      <c r="X36" s="8"/>
      <c r="Y36" s="8"/>
      <c r="Z36" s="8"/>
      <c r="AA36" s="8"/>
    </row>
    <row r="37" spans="1:27" ht="15.75" customHeight="1">
      <c r="A37" s="15" t="str">
        <f ca="1">IFERROR(__xludf.DUMMYFUNCTION("""COMPUTED_VALUE"""),"1TB Portable SSD")</f>
        <v>1TB Portable SSD</v>
      </c>
      <c r="B37" s="28">
        <v>25</v>
      </c>
      <c r="C37" s="28" t="str">
        <f ca="1">VLOOKUP(A37,ICT_PPMP2023!$B$15:Z1051,3,0)</f>
        <v>pc</v>
      </c>
      <c r="D37" s="33" t="str">
        <f ca="1">IFERROR(__xludf.DUMMYFUNCTION("""COMPUTED_VALUE"""),"1TB Portable SSD
Capacity: 1TB
Interface: USB 3.2 Gen 2
Connector: USB-C
Durability: IP55-rated for water and dust resistance
Warranty: 2 years or more
Inclusion: USB-C to USB-C Cable, USB-C to USB-A Adaptor
Warranty: 1 year or more")</f>
        <v>1TB Portable SSD
Capacity: 1TB
Interface: USB 3.2 Gen 2
Connector: USB-C
Durability: IP55-rated for water and dust resistance
Warranty: 2 years or more
Inclusion: USB-C to USB-C Cable, USB-C to USB-A Adaptor
Warranty: 1 year or more</v>
      </c>
      <c r="E37" s="28">
        <f ca="1">VLOOKUP(A37,ICT_PPMP2023!$B$15:Z1051,7,0)</f>
        <v>4</v>
      </c>
      <c r="F37" s="28">
        <f ca="1">VLOOKUP(A37,ICT_PPMP2023!$B$15:Z1051,11,0)</f>
        <v>0</v>
      </c>
      <c r="G37" s="28">
        <f ca="1">VLOOKUP(A37,ICT_PPMP2023!$B$15:Z1051,15,0)</f>
        <v>0</v>
      </c>
      <c r="H37" s="28">
        <f ca="1">VLOOKUP(A37,ICT_PPMP2023!$B$15:Z1051,19,0)</f>
        <v>0</v>
      </c>
      <c r="I37" s="28">
        <f ca="1">VLOOKUP(A37,ICT_PPMP2023!$B$15:Z1051,2,0)</f>
        <v>4</v>
      </c>
      <c r="J37" s="31">
        <f ca="1">VLOOKUP(A37,ICT_PPMP2023!$B$15:Z1051,4,0)</f>
        <v>13200</v>
      </c>
      <c r="K37" s="32">
        <f t="shared" ca="1" si="0"/>
        <v>52800</v>
      </c>
      <c r="L37" s="8"/>
      <c r="M37" s="8"/>
      <c r="N37" s="8"/>
      <c r="O37" s="8"/>
      <c r="P37" s="8"/>
      <c r="Q37" s="8"/>
      <c r="R37" s="8"/>
      <c r="S37" s="8"/>
      <c r="T37" s="8"/>
      <c r="U37" s="8"/>
      <c r="V37" s="8"/>
      <c r="W37" s="8"/>
      <c r="X37" s="8"/>
      <c r="Y37" s="8"/>
      <c r="Z37" s="8"/>
      <c r="AA37" s="8"/>
    </row>
    <row r="38" spans="1:27" ht="15.75" customHeight="1">
      <c r="A38" s="15" t="str">
        <f ca="1">IFERROR(__xludf.DUMMYFUNCTION("""COMPUTED_VALUE"""),"1TB Slim Portable Hard Drive External HDD")</f>
        <v>1TB Slim Portable Hard Drive External HDD</v>
      </c>
      <c r="B38" s="28">
        <v>26</v>
      </c>
      <c r="C38" s="28" t="e">
        <f ca="1">VLOOKUP(A38,ICT_PPMP2023!$B$15:Z1051,3,0)</f>
        <v>#N/A</v>
      </c>
      <c r="D38" s="33" t="str">
        <f ca="1">IFERROR(__xludf.DUMMYFUNCTION("""COMPUTED_VALUE"""),"1TB Slim Portable Hard Drive External HDD
USB Type micro USB to USB Type A
Connection Interface USB 3.1 Gen 1
Capacity 1 TB
Storage Media 2.5"" HDD
Warranty: 2 years or more")</f>
        <v>1TB Slim Portable Hard Drive External HDD
USB Type micro USB to USB Type A
Connection Interface USB 3.1 Gen 1
Capacity 1 TB
Storage Media 2.5" HDD
Warranty: 2 years or more</v>
      </c>
      <c r="E38" s="28" t="e">
        <f ca="1">VLOOKUP(A38,ICT_PPMP2023!$B$15:Z1051,7,0)</f>
        <v>#N/A</v>
      </c>
      <c r="F38" s="28" t="e">
        <f ca="1">VLOOKUP(A38,ICT_PPMP2023!$B$15:Z1051,11,0)</f>
        <v>#N/A</v>
      </c>
      <c r="G38" s="28" t="e">
        <f ca="1">VLOOKUP(A38,ICT_PPMP2023!$B$15:Z1051,15,0)</f>
        <v>#N/A</v>
      </c>
      <c r="H38" s="28" t="e">
        <f ca="1">VLOOKUP(A38,ICT_PPMP2023!$B$15:Z1051,19,0)</f>
        <v>#N/A</v>
      </c>
      <c r="I38" s="28" t="e">
        <f ca="1">VLOOKUP(A38,ICT_PPMP2023!$B$15:Z1051,2,0)</f>
        <v>#N/A</v>
      </c>
      <c r="J38" s="31" t="e">
        <f ca="1">VLOOKUP(A38,ICT_PPMP2023!$B$15:Z1051,4,0)</f>
        <v>#N/A</v>
      </c>
      <c r="K38" s="32" t="e">
        <f t="shared" ca="1" si="0"/>
        <v>#N/A</v>
      </c>
      <c r="L38" s="8"/>
      <c r="M38" s="8"/>
      <c r="N38" s="8"/>
      <c r="O38" s="8"/>
      <c r="P38" s="8"/>
      <c r="Q38" s="8"/>
      <c r="R38" s="8"/>
      <c r="S38" s="8"/>
      <c r="T38" s="8"/>
      <c r="U38" s="8"/>
      <c r="V38" s="8"/>
      <c r="W38" s="8"/>
      <c r="X38" s="8"/>
      <c r="Y38" s="8"/>
      <c r="Z38" s="8"/>
      <c r="AA38" s="8"/>
    </row>
    <row r="39" spans="1:27" ht="15.75" customHeight="1">
      <c r="A39" s="15" t="str">
        <f ca="1">IFERROR(__xludf.DUMMYFUNCTION("""COMPUTED_VALUE"""),"2 port Wall Faceplate With Mounting Junction Box ")</f>
        <v xml:space="preserve">2 port Wall Faceplate With Mounting Junction Box </v>
      </c>
      <c r="B39" s="28">
        <v>27</v>
      </c>
      <c r="C39" s="28" t="e">
        <f ca="1">VLOOKUP(A39,ICT_PPMP2023!$B$15:Z1051,3,0)</f>
        <v>#N/A</v>
      </c>
      <c r="D39" s="33" t="str">
        <f ca="1">IFERROR(__xludf.DUMMYFUNCTION("""COMPUTED_VALUE"""),"2 port Wall Faceplate With Mounting Junction Box 
AMPCOM 86-type Wall Faceplate With Mounting Junction Box , Networking Telephone Socket Outlet Mount Panel For RJ45 RJ11 Module")</f>
        <v>2 port Wall Faceplate With Mounting Junction Box 
AMPCOM 86-type Wall Faceplate With Mounting Junction Box , Networking Telephone Socket Outlet Mount Panel For RJ45 RJ11 Module</v>
      </c>
      <c r="E39" s="28" t="e">
        <f ca="1">VLOOKUP(A39,ICT_PPMP2023!$B$15:Z1051,7,0)</f>
        <v>#N/A</v>
      </c>
      <c r="F39" s="28" t="e">
        <f ca="1">VLOOKUP(A39,ICT_PPMP2023!$B$15:Z1051,11,0)</f>
        <v>#N/A</v>
      </c>
      <c r="G39" s="28" t="e">
        <f ca="1">VLOOKUP(A39,ICT_PPMP2023!$B$15:Z1051,15,0)</f>
        <v>#N/A</v>
      </c>
      <c r="H39" s="28" t="e">
        <f ca="1">VLOOKUP(A39,ICT_PPMP2023!$B$15:Z1051,19,0)</f>
        <v>#N/A</v>
      </c>
      <c r="I39" s="28" t="e">
        <f ca="1">VLOOKUP(A39,ICT_PPMP2023!$B$15:Z1051,2,0)</f>
        <v>#N/A</v>
      </c>
      <c r="J39" s="31" t="e">
        <f ca="1">VLOOKUP(A39,ICT_PPMP2023!$B$15:Z1051,4,0)</f>
        <v>#N/A</v>
      </c>
      <c r="K39" s="32" t="e">
        <f t="shared" ca="1" si="0"/>
        <v>#N/A</v>
      </c>
      <c r="L39" s="8"/>
      <c r="M39" s="8"/>
      <c r="N39" s="8"/>
      <c r="O39" s="8"/>
      <c r="P39" s="8"/>
      <c r="Q39" s="8"/>
      <c r="R39" s="8"/>
      <c r="S39" s="8"/>
      <c r="T39" s="8"/>
      <c r="U39" s="8"/>
      <c r="V39" s="8"/>
      <c r="W39" s="8"/>
      <c r="X39" s="8"/>
      <c r="Y39" s="8"/>
      <c r="Z39" s="8"/>
      <c r="AA39" s="8"/>
    </row>
    <row r="40" spans="1:27" ht="15.75" customHeight="1">
      <c r="A40" s="15" t="str">
        <f ca="1">IFERROR(__xludf.DUMMYFUNCTION("""COMPUTED_VALUE"""),"2.5 &amp; 3.5 Inch SATA2.0 USB3.0 1 to 3 Clone External Hard Drive Dock")</f>
        <v>2.5 &amp; 3.5 Inch SATA2.0 USB3.0 1 to 3 Clone External Hard Drive Dock</v>
      </c>
      <c r="B40" s="28">
        <v>28</v>
      </c>
      <c r="C40" s="28" t="e">
        <f ca="1">VLOOKUP(A40,ICT_PPMP2023!$B$15:Z1051,3,0)</f>
        <v>#N/A</v>
      </c>
      <c r="D40" s="33" t="str">
        <f ca="1">IFERROR(__xludf.DUMMYFUNCTION("""COMPUTED_VALUE"""),"2.5 &amp; 3.5 Inch SATA2.0 USB3.0 1 to 3 Clone External Hard Drive Dock
Size: 2.5 &amp; 3.5 inch HDD/SSD
Output Interface: USB3.0
Clone: 1 to 3 Standalone Clone
HDD Interface: SATA I, SATA II
Power Supply: 12V6A
Data Cable: 3Ft. or more USB3.0")</f>
        <v>2.5 &amp; 3.5 Inch SATA2.0 USB3.0 1 to 3 Clone External Hard Drive Dock
Size: 2.5 &amp; 3.5 inch HDD/SSD
Output Interface: USB3.0
Clone: 1 to 3 Standalone Clone
HDD Interface: SATA I, SATA II
Power Supply: 12V6A
Data Cable: 3Ft. or more USB3.0</v>
      </c>
      <c r="E40" s="28" t="e">
        <f ca="1">VLOOKUP(A40,ICT_PPMP2023!$B$15:Z1051,7,0)</f>
        <v>#N/A</v>
      </c>
      <c r="F40" s="28" t="e">
        <f ca="1">VLOOKUP(A40,ICT_PPMP2023!$B$15:Z1051,11,0)</f>
        <v>#N/A</v>
      </c>
      <c r="G40" s="28" t="e">
        <f ca="1">VLOOKUP(A40,ICT_PPMP2023!$B$15:Z1051,15,0)</f>
        <v>#N/A</v>
      </c>
      <c r="H40" s="28" t="e">
        <f ca="1">VLOOKUP(A40,ICT_PPMP2023!$B$15:Z1051,19,0)</f>
        <v>#N/A</v>
      </c>
      <c r="I40" s="28" t="e">
        <f ca="1">VLOOKUP(A40,ICT_PPMP2023!$B$15:Z1051,2,0)</f>
        <v>#N/A</v>
      </c>
      <c r="J40" s="31" t="e">
        <f ca="1">VLOOKUP(A40,ICT_PPMP2023!$B$15:Z1051,4,0)</f>
        <v>#N/A</v>
      </c>
      <c r="K40" s="32" t="e">
        <f t="shared" ca="1" si="0"/>
        <v>#N/A</v>
      </c>
      <c r="L40" s="8"/>
      <c r="M40" s="8"/>
      <c r="N40" s="8"/>
      <c r="O40" s="8"/>
      <c r="P40" s="8"/>
      <c r="Q40" s="8"/>
      <c r="R40" s="8"/>
      <c r="S40" s="8"/>
      <c r="T40" s="8"/>
      <c r="U40" s="8"/>
      <c r="V40" s="8"/>
      <c r="W40" s="8"/>
      <c r="X40" s="8"/>
      <c r="Y40" s="8"/>
      <c r="Z40" s="8"/>
      <c r="AA40" s="8"/>
    </row>
    <row r="41" spans="1:27" ht="15.75" customHeight="1">
      <c r="A41" s="15" t="str">
        <f ca="1">IFERROR(__xludf.DUMMYFUNCTION("""COMPUTED_VALUE"""),"20M Gigabit Cat6 Ethernet Patch Cable with RJ45 CAT6 High Quality")</f>
        <v>20M Gigabit Cat6 Ethernet Patch Cable with RJ45 CAT6 High Quality</v>
      </c>
      <c r="B41" s="28">
        <v>29</v>
      </c>
      <c r="C41" s="28" t="e">
        <f ca="1">VLOOKUP(A41,ICT_PPMP2023!$B$15:Z1051,3,0)</f>
        <v>#N/A</v>
      </c>
      <c r="D41" s="33" t="str">
        <f ca="1">IFERROR(__xludf.DUMMYFUNCTION("""COMPUTED_VALUE"""),"20M Gigabit Cat6 Ethernet Patch Cable with RJ45 CAT6 High Quality
Gigabit Speed and Ready to Use Cable
Cable Category: Cat6/Cat6e
Machine Crimped")</f>
        <v>20M Gigabit Cat6 Ethernet Patch Cable with RJ45 CAT6 High Quality
Gigabit Speed and Ready to Use Cable
Cable Category: Cat6/Cat6e
Machine Crimped</v>
      </c>
      <c r="E41" s="28" t="e">
        <f ca="1">VLOOKUP(A41,ICT_PPMP2023!$B$15:Z1051,7,0)</f>
        <v>#N/A</v>
      </c>
      <c r="F41" s="28" t="e">
        <f ca="1">VLOOKUP(A41,ICT_PPMP2023!$B$15:Z1051,11,0)</f>
        <v>#N/A</v>
      </c>
      <c r="G41" s="28" t="e">
        <f ca="1">VLOOKUP(A41,ICT_PPMP2023!$B$15:Z1051,15,0)</f>
        <v>#N/A</v>
      </c>
      <c r="H41" s="28" t="e">
        <f ca="1">VLOOKUP(A41,ICT_PPMP2023!$B$15:Z1051,19,0)</f>
        <v>#N/A</v>
      </c>
      <c r="I41" s="28" t="e">
        <f ca="1">VLOOKUP(A41,ICT_PPMP2023!$B$15:Z1051,2,0)</f>
        <v>#N/A</v>
      </c>
      <c r="J41" s="31" t="e">
        <f ca="1">VLOOKUP(A41,ICT_PPMP2023!$B$15:Z1051,4,0)</f>
        <v>#N/A</v>
      </c>
      <c r="K41" s="32" t="e">
        <f t="shared" ca="1" si="0"/>
        <v>#N/A</v>
      </c>
      <c r="L41" s="8"/>
      <c r="M41" s="8"/>
      <c r="N41" s="8"/>
      <c r="O41" s="8"/>
      <c r="P41" s="8"/>
      <c r="Q41" s="8"/>
      <c r="R41" s="8"/>
      <c r="S41" s="8"/>
      <c r="T41" s="8"/>
      <c r="U41" s="8"/>
      <c r="V41" s="8"/>
      <c r="W41" s="8"/>
      <c r="X41" s="8"/>
      <c r="Y41" s="8"/>
      <c r="Z41" s="8"/>
      <c r="AA41" s="8"/>
    </row>
    <row r="42" spans="1:27" ht="15.75" customHeight="1">
      <c r="A42" s="15" t="str">
        <f ca="1">IFERROR(__xludf.DUMMYFUNCTION("""COMPUTED_VALUE"""),"21.5"" FHD LED Monitor")</f>
        <v>21.5" FHD LED Monitor</v>
      </c>
      <c r="B42" s="28">
        <v>30</v>
      </c>
      <c r="C42" s="28" t="str">
        <f ca="1">VLOOKUP(A42,ICT_PPMP2023!$B$15:Z1051,3,0)</f>
        <v>pc</v>
      </c>
      <c r="D42" s="33" t="str">
        <f ca="1">IFERROR(__xludf.DUMMYFUNCTION("""COMPUTED_VALUE"""),"21.5"" FHD LED Monitor
Screen Size: 21.5""
Maximum Resolution: (Full HD)1920 x 1080
Aspect Ratio: 16:9
Backlight: LED
Panel Type: TN (Twisted Nematic Film)
Ports &amp; Connectors: VGA, HDMI
Warranty: 1 year or more")</f>
        <v>21.5" FHD LED Monitor
Screen Size: 21.5"
Maximum Resolution: (Full HD)1920 x 1080
Aspect Ratio: 16:9
Backlight: LED
Panel Type: TN (Twisted Nematic Film)
Ports &amp; Connectors: VGA, HDMI
Warranty: 1 year or more</v>
      </c>
      <c r="E42" s="28">
        <f ca="1">VLOOKUP(A42,ICT_PPMP2023!$B$15:Z1051,7,0)</f>
        <v>5</v>
      </c>
      <c r="F42" s="28">
        <f ca="1">VLOOKUP(A42,ICT_PPMP2023!$B$15:Z1051,11,0)</f>
        <v>0</v>
      </c>
      <c r="G42" s="28">
        <f ca="1">VLOOKUP(A42,ICT_PPMP2023!$B$15:Z1051,15,0)</f>
        <v>0</v>
      </c>
      <c r="H42" s="28">
        <f ca="1">VLOOKUP(A42,ICT_PPMP2023!$B$15:Z1051,19,0)</f>
        <v>0</v>
      </c>
      <c r="I42" s="28">
        <f ca="1">VLOOKUP(A42,ICT_PPMP2023!$B$15:Z1051,2,0)</f>
        <v>5</v>
      </c>
      <c r="J42" s="31">
        <f ca="1">VLOOKUP(A42,ICT_PPMP2023!$B$15:Z1051,4,0)</f>
        <v>8700</v>
      </c>
      <c r="K42" s="32">
        <f t="shared" ca="1" si="0"/>
        <v>43500</v>
      </c>
      <c r="L42" s="8"/>
      <c r="M42" s="8"/>
      <c r="N42" s="8"/>
      <c r="O42" s="8"/>
      <c r="P42" s="8"/>
      <c r="Q42" s="8"/>
      <c r="R42" s="8"/>
      <c r="S42" s="8"/>
      <c r="T42" s="8"/>
      <c r="U42" s="8"/>
      <c r="V42" s="8"/>
      <c r="W42" s="8"/>
      <c r="X42" s="8"/>
      <c r="Y42" s="8"/>
      <c r="Z42" s="8"/>
      <c r="AA42" s="8"/>
    </row>
    <row r="43" spans="1:27" ht="15.75" customHeight="1">
      <c r="A43" s="15" t="str">
        <f ca="1">IFERROR(__xludf.DUMMYFUNCTION("""COMPUTED_VALUE"""),"27inch Curved Monitor")</f>
        <v>27inch Curved Monitor</v>
      </c>
      <c r="B43" s="28">
        <v>31</v>
      </c>
      <c r="C43" s="28" t="str">
        <f ca="1">VLOOKUP(A43,ICT_PPMP2023!$B$15:Z1051,3,0)</f>
        <v>pc</v>
      </c>
      <c r="D43" s="33" t="str">
        <f ca="1">IFERROR(__xludf.DUMMYFUNCTION("""COMPUTED_VALUE"""),"27inch Curved Monitor
Panel Size (inch) : 27
Aspect Ratio : 16:9
Display Surface : Non-Glare
Backlight Type : LED
Panel Type : VA
Resolution : 1920x1080
Curvature : 1500R
Refresh Rate (Max) : 165Hz
HDMI x 1, VGA x 1
VESA Wall Mounting 100x100mm
Warranty: "&amp;"1 year or more")</f>
        <v>27inch Curved Monitor
Panel Size (inch) : 27
Aspect Ratio : 16:9
Display Surface : Non-Glare
Backlight Type : LED
Panel Type : VA
Resolution : 1920x1080
Curvature : 1500R
Refresh Rate (Max) : 165Hz
HDMI x 1, VGA x 1
VESA Wall Mounting 100x100mm
Warranty: 1 year or more</v>
      </c>
      <c r="E43" s="28">
        <f ca="1">VLOOKUP(A43,ICT_PPMP2023!$B$15:Z1051,7,0)</f>
        <v>2</v>
      </c>
      <c r="F43" s="28">
        <f ca="1">VLOOKUP(A43,ICT_PPMP2023!$B$15:Z1051,11,0)</f>
        <v>0</v>
      </c>
      <c r="G43" s="28">
        <f ca="1">VLOOKUP(A43,ICT_PPMP2023!$B$15:Z1051,15,0)</f>
        <v>0</v>
      </c>
      <c r="H43" s="28">
        <f ca="1">VLOOKUP(A43,ICT_PPMP2023!$B$15:Z1051,19,0)</f>
        <v>0</v>
      </c>
      <c r="I43" s="28">
        <f ca="1">VLOOKUP(A43,ICT_PPMP2023!$B$15:Z1051,2,0)</f>
        <v>2</v>
      </c>
      <c r="J43" s="31">
        <f ca="1">VLOOKUP(A43,ICT_PPMP2023!$B$15:Z1051,4,0)</f>
        <v>28500</v>
      </c>
      <c r="K43" s="32">
        <f t="shared" ca="1" si="0"/>
        <v>57000</v>
      </c>
      <c r="L43" s="8"/>
      <c r="M43" s="8"/>
      <c r="N43" s="8"/>
      <c r="O43" s="8"/>
      <c r="P43" s="8"/>
      <c r="Q43" s="8"/>
      <c r="R43" s="8"/>
      <c r="S43" s="8"/>
      <c r="T43" s="8"/>
      <c r="U43" s="8"/>
      <c r="V43" s="8"/>
      <c r="W43" s="8"/>
      <c r="X43" s="8"/>
      <c r="Y43" s="8"/>
      <c r="Z43" s="8"/>
      <c r="AA43" s="8"/>
    </row>
    <row r="44" spans="1:27" ht="15.75" customHeight="1">
      <c r="A44" s="8" t="str">
        <f ca="1">IFERROR(__xludf.DUMMYFUNCTION("""COMPUTED_VALUE"""),"2TB Slim Portable Hard Drive External HDD")</f>
        <v>2TB Slim Portable Hard Drive External HDD</v>
      </c>
      <c r="B44" s="28">
        <v>32</v>
      </c>
      <c r="C44" s="28" t="e">
        <f ca="1">VLOOKUP(A44,ICT_PPMP2023!$B$15:Z1051,3,0)</f>
        <v>#N/A</v>
      </c>
      <c r="D44" s="33" t="str">
        <f ca="1">IFERROR(__xludf.DUMMYFUNCTION("""COMPUTED_VALUE"""),"2TB Slim Portable Hard Drive External HDD
USB Type micro USB to USB Type A
Connection Interface USB 3.1 Gen 1
Capacity 2 TB
Storage Media 2.5"" HDD
Warranty: 2 years or more")</f>
        <v>2TB Slim Portable Hard Drive External HDD
USB Type micro USB to USB Type A
Connection Interface USB 3.1 Gen 1
Capacity 2 TB
Storage Media 2.5" HDD
Warranty: 2 years or more</v>
      </c>
      <c r="E44" s="28" t="e">
        <f ca="1">VLOOKUP(A44,ICT_PPMP2023!$B$15:Z1051,7,0)</f>
        <v>#N/A</v>
      </c>
      <c r="F44" s="28" t="e">
        <f ca="1">VLOOKUP(A44,ICT_PPMP2023!$B$15:Z1051,11,0)</f>
        <v>#N/A</v>
      </c>
      <c r="G44" s="28" t="e">
        <f ca="1">VLOOKUP(A44,ICT_PPMP2023!$B$15:Z1051,15,0)</f>
        <v>#N/A</v>
      </c>
      <c r="H44" s="28" t="e">
        <f ca="1">VLOOKUP(A44,ICT_PPMP2023!$B$15:Z1051,19,0)</f>
        <v>#N/A</v>
      </c>
      <c r="I44" s="28" t="e">
        <f ca="1">VLOOKUP(A44,ICT_PPMP2023!$B$15:Z1051,2,0)</f>
        <v>#N/A</v>
      </c>
      <c r="J44" s="31" t="e">
        <f ca="1">VLOOKUP(A44,ICT_PPMP2023!$B$15:Z1051,4,0)</f>
        <v>#N/A</v>
      </c>
      <c r="K44" s="32" t="e">
        <f t="shared" ca="1" si="0"/>
        <v>#N/A</v>
      </c>
      <c r="L44" s="8"/>
      <c r="M44" s="8"/>
      <c r="N44" s="8"/>
      <c r="O44" s="8"/>
      <c r="P44" s="8"/>
      <c r="Q44" s="8"/>
      <c r="R44" s="8"/>
      <c r="S44" s="8"/>
      <c r="T44" s="8"/>
      <c r="U44" s="8"/>
      <c r="V44" s="8"/>
      <c r="W44" s="8"/>
      <c r="X44" s="8"/>
      <c r="Y44" s="8"/>
      <c r="Z44" s="8"/>
      <c r="AA44" s="8"/>
    </row>
    <row r="45" spans="1:27" ht="15.75" customHeight="1">
      <c r="A45" s="15" t="str">
        <f ca="1">IFERROR(__xludf.DUMMYFUNCTION("""COMPUTED_VALUE"""),"30M Gigabit Cat6 Ethernet Patch Cable with RJ45 CAT6 High Quality")</f>
        <v>30M Gigabit Cat6 Ethernet Patch Cable with RJ45 CAT6 High Quality</v>
      </c>
      <c r="B45" s="28">
        <v>33</v>
      </c>
      <c r="C45" s="28" t="e">
        <f ca="1">VLOOKUP(A45,ICT_PPMP2023!$B$15:Z1051,3,0)</f>
        <v>#N/A</v>
      </c>
      <c r="D45" s="33" t="str">
        <f ca="1">IFERROR(__xludf.DUMMYFUNCTION("""COMPUTED_VALUE"""),"30M Gigabit Cat6 Ethernet Patch Cable with RJ45 CAT6 High Quality
Gigabit Speed and Ready to Use Cable
Cable Category: Cat6/Cat6e
Machine Crimped")</f>
        <v>30M Gigabit Cat6 Ethernet Patch Cable with RJ45 CAT6 High Quality
Gigabit Speed and Ready to Use Cable
Cable Category: Cat6/Cat6e
Machine Crimped</v>
      </c>
      <c r="E45" s="28" t="e">
        <f ca="1">VLOOKUP(A45,ICT_PPMP2023!$B$15:Z1051,7,0)</f>
        <v>#N/A</v>
      </c>
      <c r="F45" s="28" t="e">
        <f ca="1">VLOOKUP(A45,ICT_PPMP2023!$B$15:Z1051,11,0)</f>
        <v>#N/A</v>
      </c>
      <c r="G45" s="28" t="e">
        <f ca="1">VLOOKUP(A45,ICT_PPMP2023!$B$15:Z1051,15,0)</f>
        <v>#N/A</v>
      </c>
      <c r="H45" s="28" t="e">
        <f ca="1">VLOOKUP(A45,ICT_PPMP2023!$B$15:Z1051,19,0)</f>
        <v>#N/A</v>
      </c>
      <c r="I45" s="28" t="e">
        <f ca="1">VLOOKUP(A45,ICT_PPMP2023!$B$15:Z1051,2,0)</f>
        <v>#N/A</v>
      </c>
      <c r="J45" s="31" t="e">
        <f ca="1">VLOOKUP(A45,ICT_PPMP2023!$B$15:Z1051,4,0)</f>
        <v>#N/A</v>
      </c>
      <c r="K45" s="32" t="e">
        <f t="shared" ca="1" si="0"/>
        <v>#N/A</v>
      </c>
      <c r="L45" s="8"/>
      <c r="M45" s="8"/>
      <c r="N45" s="8"/>
      <c r="O45" s="8"/>
      <c r="P45" s="8"/>
      <c r="Q45" s="8"/>
      <c r="R45" s="8"/>
      <c r="S45" s="8"/>
      <c r="T45" s="8"/>
      <c r="U45" s="8"/>
      <c r="V45" s="8"/>
      <c r="W45" s="8"/>
      <c r="X45" s="8"/>
      <c r="Y45" s="8"/>
      <c r="Z45" s="8"/>
      <c r="AA45" s="8"/>
    </row>
    <row r="46" spans="1:27" ht="15.75" customHeight="1">
      <c r="A46" s="15" t="str">
        <f ca="1">IFERROR(__xludf.DUMMYFUNCTION("""COMPUTED_VALUE"""),"32GB Flash Drive")</f>
        <v>32GB Flash Drive</v>
      </c>
      <c r="B46" s="28">
        <v>34</v>
      </c>
      <c r="C46" s="28" t="str">
        <f ca="1">VLOOKUP(A46,ICT_PPMP2023!$B$15:Z1051,3,0)</f>
        <v>pc</v>
      </c>
      <c r="D46" s="33" t="str">
        <f ca="1">IFERROR(__xludf.DUMMYFUNCTION("""COMPUTED_VALUE"""),"32GB Flash Drive
Capacities: 32GB; Branded
Compatability: USB 2.0 port required for high-speed transfer
Warranty: 1 year or more")</f>
        <v>32GB Flash Drive
Capacities: 32GB; Branded
Compatability: USB 2.0 port required for high-speed transfer
Warranty: 1 year or more</v>
      </c>
      <c r="E46" s="28">
        <f ca="1">VLOOKUP(A46,ICT_PPMP2023!$B$15:Z1051,7,0)</f>
        <v>17</v>
      </c>
      <c r="F46" s="28">
        <f ca="1">VLOOKUP(A46,ICT_PPMP2023!$B$15:Z1051,11,0)</f>
        <v>0</v>
      </c>
      <c r="G46" s="28">
        <f ca="1">VLOOKUP(A46,ICT_PPMP2023!$B$15:Z1051,15,0)</f>
        <v>0</v>
      </c>
      <c r="H46" s="28">
        <f ca="1">VLOOKUP(A46,ICT_PPMP2023!$B$15:Z1051,19,0)</f>
        <v>0</v>
      </c>
      <c r="I46" s="28">
        <f ca="1">VLOOKUP(A46,ICT_PPMP2023!$B$15:Z1051,2,0)</f>
        <v>17</v>
      </c>
      <c r="J46" s="31">
        <f ca="1">VLOOKUP(A46,ICT_PPMP2023!$B$15:Z1051,4,0)</f>
        <v>300</v>
      </c>
      <c r="K46" s="32">
        <f t="shared" ca="1" si="0"/>
        <v>5100</v>
      </c>
      <c r="L46" s="8"/>
      <c r="M46" s="8"/>
      <c r="N46" s="8"/>
      <c r="O46" s="8"/>
      <c r="P46" s="8"/>
      <c r="Q46" s="8"/>
      <c r="R46" s="8"/>
      <c r="S46" s="8"/>
      <c r="T46" s="8"/>
      <c r="U46" s="8"/>
      <c r="V46" s="8"/>
      <c r="W46" s="8"/>
      <c r="X46" s="8"/>
      <c r="Y46" s="8"/>
      <c r="Z46" s="8"/>
      <c r="AA46" s="8"/>
    </row>
    <row r="47" spans="1:27" ht="15.75" customHeight="1">
      <c r="A47" s="15" t="str">
        <f ca="1">IFERROR(__xludf.DUMMYFUNCTION("""COMPUTED_VALUE"""),"3M Gigabit Cat6 Ethernet Patch Cable with RJ45 CAT6 High Quality")</f>
        <v>3M Gigabit Cat6 Ethernet Patch Cable with RJ45 CAT6 High Quality</v>
      </c>
      <c r="B47" s="28">
        <v>35</v>
      </c>
      <c r="C47" s="28" t="str">
        <f ca="1">VLOOKUP(A47,ICT_PPMP2023!$B$15:Z1051,3,0)</f>
        <v>pc</v>
      </c>
      <c r="D47" s="33" t="str">
        <f ca="1">IFERROR(__xludf.DUMMYFUNCTION("""COMPUTED_VALUE"""),"3M Gigabit Cat6 Ethernet Patch Cable with RJ45 CAT6 High Quality
Gigabit Speed and Ready to Use Cable
Cable Category: Cat6/Cat6e
Machine Crimped")</f>
        <v>3M Gigabit Cat6 Ethernet Patch Cable with RJ45 CAT6 High Quality
Gigabit Speed and Ready to Use Cable
Cable Category: Cat6/Cat6e
Machine Crimped</v>
      </c>
      <c r="E47" s="28">
        <f ca="1">VLOOKUP(A47,ICT_PPMP2023!$B$15:Z1051,7,0)</f>
        <v>40</v>
      </c>
      <c r="F47" s="28">
        <f ca="1">VLOOKUP(A47,ICT_PPMP2023!$B$15:Z1051,11,0)</f>
        <v>0</v>
      </c>
      <c r="G47" s="28">
        <f ca="1">VLOOKUP(A47,ICT_PPMP2023!$B$15:Z1051,15,0)</f>
        <v>0</v>
      </c>
      <c r="H47" s="28">
        <f ca="1">VLOOKUP(A47,ICT_PPMP2023!$B$15:Z1051,19,0)</f>
        <v>0</v>
      </c>
      <c r="I47" s="28">
        <f ca="1">VLOOKUP(A47,ICT_PPMP2023!$B$15:Z1051,2,0)</f>
        <v>40</v>
      </c>
      <c r="J47" s="31">
        <f ca="1">VLOOKUP(A47,ICT_PPMP2023!$B$15:Z1051,4,0)</f>
        <v>135</v>
      </c>
      <c r="K47" s="32">
        <f t="shared" ca="1" si="0"/>
        <v>5400</v>
      </c>
      <c r="L47" s="8"/>
      <c r="M47" s="8"/>
      <c r="N47" s="8"/>
      <c r="O47" s="8"/>
      <c r="P47" s="8"/>
      <c r="Q47" s="8"/>
      <c r="R47" s="8"/>
      <c r="S47" s="8"/>
      <c r="T47" s="8"/>
      <c r="U47" s="8"/>
      <c r="V47" s="8"/>
      <c r="W47" s="8"/>
      <c r="X47" s="8"/>
      <c r="Y47" s="8"/>
      <c r="Z47" s="8"/>
      <c r="AA47" s="8"/>
    </row>
    <row r="48" spans="1:27" ht="15.75" customHeight="1">
      <c r="A48" s="15" t="str">
        <f ca="1">IFERROR(__xludf.DUMMYFUNCTION("""COMPUTED_VALUE"""),"42U Server Data Rack")</f>
        <v>42U Server Data Rack</v>
      </c>
      <c r="B48" s="28">
        <v>36</v>
      </c>
      <c r="C48" s="28" t="e">
        <f ca="1">VLOOKUP(A48,ICT_PPMP2023!$B$15:Z1051,3,0)</f>
        <v>#N/A</v>
      </c>
      <c r="D48" s="33" t="str">
        <f ca="1">IFERROR(__xludf.DUMMYFUNCTION("""COMPUTED_VALUE"""),"42U Server Data Rack
42U Server Data Rack / Data Cabinet/Server Rack Cabinet/Network Cabine /Organizer of Critical IT Systems/With 8 Slot PDU, Lock, (Shelf/Width:600mm,  Depth 1000mm, Height:2000mm) / Heavy-duty SPCC Cold Rolled Steel Material. Full 75% H"&amp;"oneycomb double-section perforation Rear Door for maximised ventilation. Includes trays, power strip, ventilation fan tray &amp; cagenuts assembly. Thickness: Mounting Profile at least 2.0mm, 19-inch Panel Mounting 1.5mm, Others 1.2mm")</f>
        <v>42U Server Data Rack
42U Server Data Rack / Data Cabinet/Server Rack Cabinet/Network Cabine /Organizer of Critical IT Systems/With 8 Slot PDU, Lock, (Shelf/Width:600mm,  Depth 1000mm, Height:2000mm) / Heavy-duty SPCC Cold Rolled Steel Material. Full 75% Honeycomb double-section perforation Rear Door for maximised ventilation. Includes trays, power strip, ventilation fan tray &amp; cagenuts assembly. Thickness: Mounting Profile at least 2.0mm, 19-inch Panel Mounting 1.5mm, Others 1.2mm</v>
      </c>
      <c r="E48" s="28" t="e">
        <f ca="1">VLOOKUP(A48,ICT_PPMP2023!$B$15:Z1051,7,0)</f>
        <v>#N/A</v>
      </c>
      <c r="F48" s="28" t="e">
        <f ca="1">VLOOKUP(A48,ICT_PPMP2023!$B$15:Z1051,11,0)</f>
        <v>#N/A</v>
      </c>
      <c r="G48" s="28" t="e">
        <f ca="1">VLOOKUP(A48,ICT_PPMP2023!$B$15:Z1051,15,0)</f>
        <v>#N/A</v>
      </c>
      <c r="H48" s="28" t="e">
        <f ca="1">VLOOKUP(A48,ICT_PPMP2023!$B$15:Z1051,19,0)</f>
        <v>#N/A</v>
      </c>
      <c r="I48" s="28" t="e">
        <f ca="1">VLOOKUP(A48,ICT_PPMP2023!$B$15:Z1051,2,0)</f>
        <v>#N/A</v>
      </c>
      <c r="J48" s="31" t="e">
        <f ca="1">VLOOKUP(A48,ICT_PPMP2023!$B$15:Z1051,4,0)</f>
        <v>#N/A</v>
      </c>
      <c r="K48" s="32" t="e">
        <f t="shared" ca="1" si="0"/>
        <v>#N/A</v>
      </c>
      <c r="L48" s="8"/>
      <c r="M48" s="8"/>
      <c r="N48" s="8"/>
      <c r="O48" s="8"/>
      <c r="P48" s="8"/>
      <c r="Q48" s="8"/>
      <c r="R48" s="8"/>
      <c r="S48" s="8"/>
      <c r="T48" s="8"/>
      <c r="U48" s="8"/>
      <c r="V48" s="8"/>
      <c r="W48" s="8"/>
      <c r="X48" s="8"/>
      <c r="Y48" s="8"/>
      <c r="Z48" s="8"/>
      <c r="AA48" s="8"/>
    </row>
    <row r="49" spans="1:27" ht="15.75" customHeight="1">
      <c r="A49" s="15" t="str">
        <f ca="1">IFERROR(__xludf.DUMMYFUNCTION("""COMPUTED_VALUE"""),"480GB 2.5"" Internal SSD")</f>
        <v>480GB 2.5" Internal SSD</v>
      </c>
      <c r="B49" s="28">
        <v>37</v>
      </c>
      <c r="C49" s="28" t="str">
        <f ca="1">VLOOKUP(A49,ICT_PPMP2023!$B$15:Z1051,3,0)</f>
        <v>pc</v>
      </c>
      <c r="D49" s="33" t="str">
        <f ca="1">IFERROR(__xludf.DUMMYFUNCTION("""COMPUTED_VALUE"""),"480GB 2.5"" Internal SSD
Form factor: 2.5”
Interface: SATA Rev. 3.0 (6Gb/s) – with backwards compatibility to SATA Rev. 2.0 (3Gb/s)
Capacities: 480GB or more
Baseline performance: up to 450MB/s read/write or more
Warranty: 2 years or more")</f>
        <v>480GB 2.5" Internal SSD
Form factor: 2.5”
Interface: SATA Rev. 3.0 (6Gb/s) – with backwards compatibility to SATA Rev. 2.0 (3Gb/s)
Capacities: 480GB or more
Baseline performance: up to 450MB/s read/write or more
Warranty: 2 years or more</v>
      </c>
      <c r="E49" s="28">
        <f ca="1">VLOOKUP(A49,ICT_PPMP2023!$B$15:Z1051,7,0)</f>
        <v>30</v>
      </c>
      <c r="F49" s="28">
        <f ca="1">VLOOKUP(A49,ICT_PPMP2023!$B$15:Z1051,11,0)</f>
        <v>0</v>
      </c>
      <c r="G49" s="28">
        <f ca="1">VLOOKUP(A49,ICT_PPMP2023!$B$15:Z1051,15,0)</f>
        <v>0</v>
      </c>
      <c r="H49" s="28">
        <f ca="1">VLOOKUP(A49,ICT_PPMP2023!$B$15:Z1051,19,0)</f>
        <v>0</v>
      </c>
      <c r="I49" s="28">
        <f ca="1">VLOOKUP(A49,ICT_PPMP2023!$B$15:Z1051,2,0)</f>
        <v>30</v>
      </c>
      <c r="J49" s="31">
        <f ca="1">VLOOKUP(A49,ICT_PPMP2023!$B$15:Z1051,4,0)</f>
        <v>3960</v>
      </c>
      <c r="K49" s="32">
        <f t="shared" ca="1" si="0"/>
        <v>118800</v>
      </c>
      <c r="L49" s="8"/>
      <c r="M49" s="8"/>
      <c r="N49" s="8"/>
      <c r="O49" s="8"/>
      <c r="P49" s="8"/>
      <c r="Q49" s="8"/>
      <c r="R49" s="8"/>
      <c r="S49" s="8"/>
      <c r="T49" s="8"/>
      <c r="U49" s="8"/>
      <c r="V49" s="8"/>
      <c r="W49" s="8"/>
      <c r="X49" s="8"/>
      <c r="Y49" s="8"/>
      <c r="Z49" s="8"/>
      <c r="AA49" s="8"/>
    </row>
    <row r="50" spans="1:27" ht="15.75" customHeight="1">
      <c r="A50" s="15" t="str">
        <f ca="1">IFERROR(__xludf.DUMMYFUNCTION("""COMPUTED_VALUE"""),"4U 4-Layer Data Cabinet Wallmounted Data Cabinet")</f>
        <v>4U 4-Layer Data Cabinet Wallmounted Data Cabinet</v>
      </c>
      <c r="B50" s="28">
        <v>38</v>
      </c>
      <c r="C50" s="28" t="e">
        <f ca="1">VLOOKUP(A50,ICT_PPMP2023!$B$15:Z1051,3,0)</f>
        <v>#N/A</v>
      </c>
      <c r="D50" s="33" t="str">
        <f ca="1">IFERROR(__xludf.DUMMYFUNCTION("""COMPUTED_VALUE"""),"4U 4-Layer Data Cabinet Wallmounted Data Cabinet
Wallmounted Data Cabinet 600x450x230 W/ 2pcs Fan &amp; 1pc PDU 6Slot (ASSEMBLED)")</f>
        <v>4U 4-Layer Data Cabinet Wallmounted Data Cabinet
Wallmounted Data Cabinet 600x450x230 W/ 2pcs Fan &amp; 1pc PDU 6Slot (ASSEMBLED)</v>
      </c>
      <c r="E50" s="28" t="e">
        <f ca="1">VLOOKUP(A50,ICT_PPMP2023!$B$15:Z1051,7,0)</f>
        <v>#N/A</v>
      </c>
      <c r="F50" s="28" t="e">
        <f ca="1">VLOOKUP(A50,ICT_PPMP2023!$B$15:Z1051,11,0)</f>
        <v>#N/A</v>
      </c>
      <c r="G50" s="28" t="e">
        <f ca="1">VLOOKUP(A50,ICT_PPMP2023!$B$15:Z1051,15,0)</f>
        <v>#N/A</v>
      </c>
      <c r="H50" s="28" t="e">
        <f ca="1">VLOOKUP(A50,ICT_PPMP2023!$B$15:Z1051,19,0)</f>
        <v>#N/A</v>
      </c>
      <c r="I50" s="28" t="e">
        <f ca="1">VLOOKUP(A50,ICT_PPMP2023!$B$15:Z1051,2,0)</f>
        <v>#N/A</v>
      </c>
      <c r="J50" s="31" t="e">
        <f ca="1">VLOOKUP(A50,ICT_PPMP2023!$B$15:Z1051,4,0)</f>
        <v>#N/A</v>
      </c>
      <c r="K50" s="32" t="e">
        <f t="shared" ca="1" si="0"/>
        <v>#N/A</v>
      </c>
      <c r="L50" s="8"/>
      <c r="M50" s="8"/>
      <c r="N50" s="8"/>
      <c r="O50" s="8"/>
      <c r="P50" s="8"/>
      <c r="Q50" s="8"/>
      <c r="R50" s="8"/>
      <c r="S50" s="8"/>
      <c r="T50" s="8"/>
      <c r="U50" s="8"/>
      <c r="V50" s="8"/>
      <c r="W50" s="8"/>
      <c r="X50" s="8"/>
      <c r="Y50" s="8"/>
      <c r="Z50" s="8"/>
      <c r="AA50" s="8"/>
    </row>
    <row r="51" spans="1:27" ht="15.75" customHeight="1">
      <c r="A51" s="15" t="str">
        <f ca="1">IFERROR(__xludf.DUMMYFUNCTION("""COMPUTED_VALUE"""),"550 Watt 80 Plus Bronze Certified PSU ATX ")</f>
        <v xml:space="preserve">550 Watt 80 Plus Bronze Certified PSU ATX </v>
      </c>
      <c r="B51" s="28">
        <v>39</v>
      </c>
      <c r="C51" s="28" t="str">
        <f ca="1">VLOOKUP(A51,ICT_PPMP2023!$B$15:Z1051,3,0)</f>
        <v>pc</v>
      </c>
      <c r="D51" s="33" t="str">
        <f ca="1">IFERROR(__xludf.DUMMYFUNCTION("""COMPUTED_VALUE"""),"550 Watt 80 Plus Bronze Certified PSU ATX 
PSU Form Factor: ATX
Continuous power W: 550 Watts True Rated
ATX Connector: 1
80 PLUS Efficiency: Bronze
Warranty: 2 Years or more")</f>
        <v>550 Watt 80 Plus Bronze Certified PSU ATX 
PSU Form Factor: ATX
Continuous power W: 550 Watts True Rated
ATX Connector: 1
80 PLUS Efficiency: Bronze
Warranty: 2 Years or more</v>
      </c>
      <c r="E51" s="28">
        <f ca="1">VLOOKUP(A51,ICT_PPMP2023!$B$15:Z1051,7,0)</f>
        <v>10</v>
      </c>
      <c r="F51" s="28">
        <f ca="1">VLOOKUP(A51,ICT_PPMP2023!$B$15:Z1051,11,0)</f>
        <v>0</v>
      </c>
      <c r="G51" s="28">
        <f ca="1">VLOOKUP(A51,ICT_PPMP2023!$B$15:Z1051,15,0)</f>
        <v>0</v>
      </c>
      <c r="H51" s="28">
        <f ca="1">VLOOKUP(A51,ICT_PPMP2023!$B$15:Z1051,19,0)</f>
        <v>0</v>
      </c>
      <c r="I51" s="28">
        <f ca="1">VLOOKUP(A51,ICT_PPMP2023!$B$15:Z1051,2,0)</f>
        <v>10</v>
      </c>
      <c r="J51" s="31">
        <f ca="1">VLOOKUP(A51,ICT_PPMP2023!$B$15:Z1051,4,0)</f>
        <v>4020</v>
      </c>
      <c r="K51" s="32">
        <f t="shared" ca="1" si="0"/>
        <v>40200</v>
      </c>
      <c r="L51" s="8"/>
      <c r="M51" s="8"/>
      <c r="N51" s="8"/>
      <c r="O51" s="8"/>
      <c r="P51" s="8"/>
      <c r="Q51" s="8"/>
      <c r="R51" s="8"/>
      <c r="S51" s="8"/>
      <c r="T51" s="8"/>
      <c r="U51" s="8"/>
      <c r="V51" s="8"/>
      <c r="W51" s="8"/>
      <c r="X51" s="8"/>
      <c r="Y51" s="8"/>
      <c r="Z51" s="8"/>
      <c r="AA51" s="8"/>
    </row>
    <row r="52" spans="1:27" ht="15.75" customHeight="1">
      <c r="A52" s="15" t="str">
        <f ca="1">IFERROR(__xludf.DUMMYFUNCTION("""COMPUTED_VALUE"""),"5M Gigabit Cat6 Ethernet Patch Cable with RJ45 CAT6 High Quality")</f>
        <v>5M Gigabit Cat6 Ethernet Patch Cable with RJ45 CAT6 High Quality</v>
      </c>
      <c r="B52" s="28">
        <v>40</v>
      </c>
      <c r="C52" s="28" t="str">
        <f ca="1">VLOOKUP(A52,ICT_PPMP2023!$B$15:Z1051,3,0)</f>
        <v>pc</v>
      </c>
      <c r="D52" s="33" t="str">
        <f ca="1">IFERROR(__xludf.DUMMYFUNCTION("""COMPUTED_VALUE"""),"5M Gigabit Cat6 Ethernet Patch Cable with RJ45 CAT6 High Quality
Gigabit Speed and Ready to Use Cable
Cable Category: Cat6/Cat6e
Machine Crimped")</f>
        <v>5M Gigabit Cat6 Ethernet Patch Cable with RJ45 CAT6 High Quality
Gigabit Speed and Ready to Use Cable
Cable Category: Cat6/Cat6e
Machine Crimped</v>
      </c>
      <c r="E52" s="28">
        <f ca="1">VLOOKUP(A52,ICT_PPMP2023!$B$15:Z1051,7,0)</f>
        <v>25</v>
      </c>
      <c r="F52" s="28">
        <f ca="1">VLOOKUP(A52,ICT_PPMP2023!$B$15:Z1051,11,0)</f>
        <v>0</v>
      </c>
      <c r="G52" s="28">
        <f ca="1">VLOOKUP(A52,ICT_PPMP2023!$B$15:Z1051,15,0)</f>
        <v>0</v>
      </c>
      <c r="H52" s="28">
        <f ca="1">VLOOKUP(A52,ICT_PPMP2023!$B$15:Z1051,19,0)</f>
        <v>0</v>
      </c>
      <c r="I52" s="28">
        <f ca="1">VLOOKUP(A52,ICT_PPMP2023!$B$15:Z1051,2,0)</f>
        <v>25</v>
      </c>
      <c r="J52" s="31">
        <f ca="1">VLOOKUP(A52,ICT_PPMP2023!$B$15:Z1051,4,0)</f>
        <v>195</v>
      </c>
      <c r="K52" s="32">
        <f t="shared" ca="1" si="0"/>
        <v>4875</v>
      </c>
      <c r="L52" s="8"/>
      <c r="M52" s="8"/>
      <c r="N52" s="8"/>
      <c r="O52" s="8"/>
      <c r="P52" s="8"/>
      <c r="Q52" s="8"/>
      <c r="R52" s="8"/>
      <c r="S52" s="8"/>
      <c r="T52" s="8"/>
      <c r="U52" s="8"/>
      <c r="V52" s="8"/>
      <c r="W52" s="8"/>
      <c r="X52" s="8"/>
      <c r="Y52" s="8"/>
      <c r="Z52" s="8"/>
      <c r="AA52" s="8"/>
    </row>
    <row r="53" spans="1:27" ht="15.75" customHeight="1">
      <c r="A53" s="15" t="str">
        <f ca="1">IFERROR(__xludf.DUMMYFUNCTION("""COMPUTED_VALUE"""),"64GB Flash Drive")</f>
        <v>64GB Flash Drive</v>
      </c>
      <c r="B53" s="28">
        <v>41</v>
      </c>
      <c r="C53" s="28" t="e">
        <f ca="1">VLOOKUP(A53,ICT_PPMP2023!$B$15:Z1051,3,0)</f>
        <v>#N/A</v>
      </c>
      <c r="D53" s="33" t="str">
        <f ca="1">IFERROR(__xludf.DUMMYFUNCTION("""COMPUTED_VALUE"""),"64GB Flash Drive
Capacities: 64GB; Branded
Compatability: USB 2.0 port required for high-speed transfer
Warranty: 1 year or more")</f>
        <v>64GB Flash Drive
Capacities: 64GB; Branded
Compatability: USB 2.0 port required for high-speed transfer
Warranty: 1 year or more</v>
      </c>
      <c r="E53" s="28" t="e">
        <f ca="1">VLOOKUP(A53,ICT_PPMP2023!$B$15:Z1051,7,0)</f>
        <v>#N/A</v>
      </c>
      <c r="F53" s="28" t="e">
        <f ca="1">VLOOKUP(A53,ICT_PPMP2023!$B$15:Z1051,11,0)</f>
        <v>#N/A</v>
      </c>
      <c r="G53" s="28" t="e">
        <f ca="1">VLOOKUP(A53,ICT_PPMP2023!$B$15:Z1051,15,0)</f>
        <v>#N/A</v>
      </c>
      <c r="H53" s="28" t="e">
        <f ca="1">VLOOKUP(A53,ICT_PPMP2023!$B$15:Z1051,19,0)</f>
        <v>#N/A</v>
      </c>
      <c r="I53" s="28" t="e">
        <f ca="1">VLOOKUP(A53,ICT_PPMP2023!$B$15:Z1051,2,0)</f>
        <v>#N/A</v>
      </c>
      <c r="J53" s="31" t="e">
        <f ca="1">VLOOKUP(A53,ICT_PPMP2023!$B$15:Z1051,4,0)</f>
        <v>#N/A</v>
      </c>
      <c r="K53" s="32" t="e">
        <f t="shared" ca="1" si="0"/>
        <v>#N/A</v>
      </c>
      <c r="L53" s="8"/>
      <c r="M53" s="8"/>
      <c r="N53" s="8"/>
      <c r="O53" s="8"/>
      <c r="P53" s="8"/>
      <c r="Q53" s="8"/>
      <c r="R53" s="8"/>
      <c r="S53" s="8"/>
      <c r="T53" s="8"/>
      <c r="U53" s="8"/>
      <c r="V53" s="8"/>
      <c r="W53" s="8"/>
      <c r="X53" s="8"/>
      <c r="Y53" s="8"/>
      <c r="Z53" s="8"/>
      <c r="AA53" s="8"/>
    </row>
    <row r="54" spans="1:27" ht="15.75" customHeight="1">
      <c r="A54" s="15" t="str">
        <f ca="1">IFERROR(__xludf.DUMMYFUNCTION("""COMPUTED_VALUE"""),"7.0 Ah Replacement Battery (For UPS)")</f>
        <v>7.0 Ah Replacement Battery (For UPS)</v>
      </c>
      <c r="B54" s="28">
        <v>42</v>
      </c>
      <c r="C54" s="28" t="str">
        <f ca="1">VLOOKUP(A54,ICT_PPMP2023!$B$15:Z1051,3,0)</f>
        <v>pc</v>
      </c>
      <c r="D54" s="33" t="str">
        <f ca="1">IFERROR(__xludf.DUMMYFUNCTION("""COMPUTED_VALUE"""),"7.0 Ah Replacement Battery (For UPS)
Battery type: Lead-acid battery
Battery capacity: 7.0 Ah
Battery voltage: 12 V
Note: Compatible with the existing BX625CI-MS
Warranty: 2 years or more")</f>
        <v>7.0 Ah Replacement Battery (For UPS)
Battery type: Lead-acid battery
Battery capacity: 7.0 Ah
Battery voltage: 12 V
Note: Compatible with the existing BX625CI-MS
Warranty: 2 years or more</v>
      </c>
      <c r="E54" s="28">
        <f ca="1">VLOOKUP(A54,ICT_PPMP2023!$B$15:Z1051,7,0)</f>
        <v>50</v>
      </c>
      <c r="F54" s="28">
        <f ca="1">VLOOKUP(A54,ICT_PPMP2023!$B$15:Z1051,11,0)</f>
        <v>0</v>
      </c>
      <c r="G54" s="28">
        <f ca="1">VLOOKUP(A54,ICT_PPMP2023!$B$15:Z1051,15,0)</f>
        <v>0</v>
      </c>
      <c r="H54" s="28">
        <f ca="1">VLOOKUP(A54,ICT_PPMP2023!$B$15:Z1051,19,0)</f>
        <v>0</v>
      </c>
      <c r="I54" s="28">
        <f ca="1">VLOOKUP(A54,ICT_PPMP2023!$B$15:Z1051,2,0)</f>
        <v>50</v>
      </c>
      <c r="J54" s="31">
        <f ca="1">VLOOKUP(A54,ICT_PPMP2023!$B$15:Z1051,4,0)</f>
        <v>1650</v>
      </c>
      <c r="K54" s="32">
        <f t="shared" ca="1" si="0"/>
        <v>82500</v>
      </c>
      <c r="L54" s="8"/>
      <c r="M54" s="8"/>
      <c r="N54" s="8"/>
      <c r="O54" s="8"/>
      <c r="P54" s="8"/>
      <c r="Q54" s="8"/>
      <c r="R54" s="8"/>
      <c r="S54" s="8"/>
      <c r="T54" s="8"/>
      <c r="U54" s="8"/>
      <c r="V54" s="8"/>
      <c r="W54" s="8"/>
      <c r="X54" s="8"/>
      <c r="Y54" s="8"/>
      <c r="Z54" s="8"/>
      <c r="AA54" s="8"/>
    </row>
    <row r="55" spans="1:27" ht="15.75" customHeight="1">
      <c r="A55" s="15" t="str">
        <f ca="1">IFERROR(__xludf.DUMMYFUNCTION("""COMPUTED_VALUE"""),"8 Port Gigabit Network Switch with 4-Port PoE+")</f>
        <v>8 Port Gigabit Network Switch with 4-Port PoE+</v>
      </c>
      <c r="B55" s="28">
        <v>43</v>
      </c>
      <c r="C55" s="28" t="str">
        <f ca="1">VLOOKUP(A55,ICT_PPMP2023!$B$15:Z1051,3,0)</f>
        <v>pc</v>
      </c>
      <c r="D55" s="33" t="str">
        <f ca="1">IFERROR(__xludf.DUMMYFUNCTION("""COMPUTED_VALUE"""),"8 Port Gigabit Network Switch with 4-Port PoE+
Interface: 8 10/100/1000 Mbps ports, Auto Negotiation
PoE Standard: 802.3af/at
Switching Capacity: at least 16Gbps
Fan Quantity: Fanless
Warranty: 1 year or more")</f>
        <v>8 Port Gigabit Network Switch with 4-Port PoE+
Interface: 8 10/100/1000 Mbps ports, Auto Negotiation
PoE Standard: 802.3af/at
Switching Capacity: at least 16Gbps
Fan Quantity: Fanless
Warranty: 1 year or more</v>
      </c>
      <c r="E55" s="28">
        <f ca="1">VLOOKUP(A55,ICT_PPMP2023!$B$15:Z1051,7,0)</f>
        <v>8</v>
      </c>
      <c r="F55" s="28">
        <f ca="1">VLOOKUP(A55,ICT_PPMP2023!$B$15:Z1051,11,0)</f>
        <v>0</v>
      </c>
      <c r="G55" s="28">
        <f ca="1">VLOOKUP(A55,ICT_PPMP2023!$B$15:Z1051,15,0)</f>
        <v>0</v>
      </c>
      <c r="H55" s="28">
        <f ca="1">VLOOKUP(A55,ICT_PPMP2023!$B$15:Z1051,19,0)</f>
        <v>0</v>
      </c>
      <c r="I55" s="28">
        <f ca="1">VLOOKUP(A55,ICT_PPMP2023!$B$15:Z1051,2,0)</f>
        <v>8</v>
      </c>
      <c r="J55" s="31">
        <f ca="1">VLOOKUP(A55,ICT_PPMP2023!$B$15:Z1051,4,0)</f>
        <v>4650</v>
      </c>
      <c r="K55" s="32">
        <f t="shared" ca="1" si="0"/>
        <v>37200</v>
      </c>
      <c r="L55" s="8"/>
      <c r="M55" s="8"/>
      <c r="N55" s="8"/>
      <c r="O55" s="8"/>
      <c r="P55" s="8"/>
      <c r="Q55" s="8"/>
      <c r="R55" s="8"/>
      <c r="S55" s="8"/>
      <c r="T55" s="8"/>
      <c r="U55" s="8"/>
      <c r="V55" s="8"/>
      <c r="W55" s="8"/>
      <c r="X55" s="8"/>
      <c r="Y55" s="8"/>
      <c r="Z55" s="8"/>
      <c r="AA55" s="8"/>
    </row>
    <row r="56" spans="1:27" ht="15.75" customHeight="1">
      <c r="A56" s="15" t="str">
        <f ca="1">IFERROR(__xludf.DUMMYFUNCTION("""COMPUTED_VALUE"""),"8-Port Gigabit L2 Managed Switch with 2 SFP Slots")</f>
        <v>8-Port Gigabit L2 Managed Switch with 2 SFP Slots</v>
      </c>
      <c r="B56" s="28">
        <v>44</v>
      </c>
      <c r="C56" s="28" t="e">
        <f ca="1">VLOOKUP(A56,ICT_PPMP2023!$B$15:Z1051,3,0)</f>
        <v>#N/A</v>
      </c>
      <c r="D56" s="33" t="str">
        <f ca="1">IFERROR(__xludf.DUMMYFUNCTION("""COMPUTED_VALUE"""),"8-Port Gigabit L2 Managed Switch with 2 SFP Slots
8 10/100/1000Mbps RJ45 Ports
(Auto Negotiation/Auto MDI/MDIX)
2 1000Mbps SFP Slots
Bandwidth: 20Gbps or more
Supports up to 4K VLANs simultaneously
Fan Quantity: Fanless
Inclusion: Power Cord; Rackmount Ki"&amp;"t
Warranty: 1 year or more")</f>
        <v>8-Port Gigabit L2 Managed Switch with 2 SFP Slots
8 10/100/1000Mbps RJ45 Ports
(Auto Negotiation/Auto MDI/MDIX)
2 1000Mbps SFP Slots
Bandwidth: 20Gbps or more
Supports up to 4K VLANs simultaneously
Fan Quantity: Fanless
Inclusion: Power Cord; Rackmount Kit
Warranty: 1 year or more</v>
      </c>
      <c r="E56" s="28" t="e">
        <f ca="1">VLOOKUP(A56,ICT_PPMP2023!$B$15:Z1051,7,0)</f>
        <v>#N/A</v>
      </c>
      <c r="F56" s="28" t="e">
        <f ca="1">VLOOKUP(A56,ICT_PPMP2023!$B$15:Z1051,11,0)</f>
        <v>#N/A</v>
      </c>
      <c r="G56" s="28" t="e">
        <f ca="1">VLOOKUP(A56,ICT_PPMP2023!$B$15:Z1051,15,0)</f>
        <v>#N/A</v>
      </c>
      <c r="H56" s="28" t="e">
        <f ca="1">VLOOKUP(A56,ICT_PPMP2023!$B$15:Z1051,19,0)</f>
        <v>#N/A</v>
      </c>
      <c r="I56" s="28" t="e">
        <f ca="1">VLOOKUP(A56,ICT_PPMP2023!$B$15:Z1051,2,0)</f>
        <v>#N/A</v>
      </c>
      <c r="J56" s="31" t="e">
        <f ca="1">VLOOKUP(A56,ICT_PPMP2023!$B$15:Z1051,4,0)</f>
        <v>#N/A</v>
      </c>
      <c r="K56" s="32" t="e">
        <f t="shared" ca="1" si="0"/>
        <v>#N/A</v>
      </c>
      <c r="L56" s="8"/>
      <c r="M56" s="8"/>
      <c r="N56" s="8"/>
      <c r="O56" s="8"/>
      <c r="P56" s="8"/>
      <c r="Q56" s="8"/>
      <c r="R56" s="8"/>
      <c r="S56" s="8"/>
      <c r="T56" s="8"/>
      <c r="U56" s="8"/>
      <c r="V56" s="8"/>
      <c r="W56" s="8"/>
      <c r="X56" s="8"/>
      <c r="Y56" s="8"/>
      <c r="Z56" s="8"/>
      <c r="AA56" s="8"/>
    </row>
    <row r="57" spans="1:27" ht="15.75" customHeight="1">
      <c r="A57" s="15" t="str">
        <f ca="1">IFERROR(__xludf.DUMMYFUNCTION("""COMPUTED_VALUE"""),"Aluminum Step Ladder, FT-4 (4 Steps)")</f>
        <v>Aluminum Step Ladder, FT-4 (4 Steps)</v>
      </c>
      <c r="B57" s="28">
        <v>45</v>
      </c>
      <c r="C57" s="28" t="e">
        <f ca="1">VLOOKUP(A57,ICT_PPMP2023!$B$15:Z1051,3,0)</f>
        <v>#N/A</v>
      </c>
      <c r="D57" s="33" t="str">
        <f ca="1">IFERROR(__xludf.DUMMYFUNCTION("""COMPUTED_VALUE"""),"Aluminum Step Ladder, FT-4 (4 Steps)
Foldable and lightweight
Load Capacity: 300 lbs
Tall Extended Handrail and Extra Large Platform Area
High Strength Aluminum")</f>
        <v>Aluminum Step Ladder, FT-4 (4 Steps)
Foldable and lightweight
Load Capacity: 300 lbs
Tall Extended Handrail and Extra Large Platform Area
High Strength Aluminum</v>
      </c>
      <c r="E57" s="28" t="e">
        <f ca="1">VLOOKUP(A57,ICT_PPMP2023!$B$15:Z1051,7,0)</f>
        <v>#N/A</v>
      </c>
      <c r="F57" s="28" t="e">
        <f ca="1">VLOOKUP(A57,ICT_PPMP2023!$B$15:Z1051,11,0)</f>
        <v>#N/A</v>
      </c>
      <c r="G57" s="28" t="e">
        <f ca="1">VLOOKUP(A57,ICT_PPMP2023!$B$15:Z1051,15,0)</f>
        <v>#N/A</v>
      </c>
      <c r="H57" s="28" t="e">
        <f ca="1">VLOOKUP(A57,ICT_PPMP2023!$B$15:Z1051,19,0)</f>
        <v>#N/A</v>
      </c>
      <c r="I57" s="28" t="e">
        <f ca="1">VLOOKUP(A57,ICT_PPMP2023!$B$15:Z1051,2,0)</f>
        <v>#N/A</v>
      </c>
      <c r="J57" s="31" t="e">
        <f ca="1">VLOOKUP(A57,ICT_PPMP2023!$B$15:Z1051,4,0)</f>
        <v>#N/A</v>
      </c>
      <c r="K57" s="32" t="e">
        <f t="shared" ca="1" si="0"/>
        <v>#N/A</v>
      </c>
      <c r="L57" s="8"/>
      <c r="M57" s="8"/>
      <c r="N57" s="8"/>
      <c r="O57" s="8"/>
      <c r="P57" s="8"/>
      <c r="Q57" s="8"/>
      <c r="R57" s="8"/>
      <c r="S57" s="8"/>
      <c r="T57" s="8"/>
      <c r="U57" s="8"/>
      <c r="V57" s="8"/>
      <c r="W57" s="8"/>
      <c r="X57" s="8"/>
      <c r="Y57" s="8"/>
      <c r="Z57" s="8"/>
      <c r="AA57" s="8"/>
    </row>
    <row r="58" spans="1:27" ht="15.75" customHeight="1">
      <c r="A58" s="15" t="str">
        <f ca="1">IFERROR(__xludf.DUMMYFUNCTION("""COMPUTED_VALUE"""),"Aluminum Step Ladder, FT-6 (6 Steps)")</f>
        <v>Aluminum Step Ladder, FT-6 (6 Steps)</v>
      </c>
      <c r="B58" s="28">
        <v>46</v>
      </c>
      <c r="C58" s="28" t="str">
        <f ca="1">VLOOKUP(A58,ICT_PPMP2023!$B$15:Z1051,3,0)</f>
        <v>pc</v>
      </c>
      <c r="D58" s="33" t="str">
        <f ca="1">IFERROR(__xludf.DUMMYFUNCTION("""COMPUTED_VALUE"""),"Aluminum Step Ladder, FT-6 (6 Steps)
Height when opened: 1.30m or more (From Top Platform to Ground)
Foldable and lightweight
Load Capacity: 300 lbs or more
22"" or more Tall Extended Handrail and Extra Large Platform Area
Main Material: High Strength"&amp;" Aluminum")</f>
        <v>Aluminum Step Ladder, FT-6 (6 Steps)
Height when opened: 1.30m or more (From Top Platform to Ground)
Foldable and lightweight
Load Capacity: 300 lbs or more
22" or more Tall Extended Handrail and Extra Large Platform Area
Main Material: High Strength Aluminum</v>
      </c>
      <c r="E58" s="28">
        <f ca="1">VLOOKUP(A58,ICT_PPMP2023!$B$15:Z1051,7,0)</f>
        <v>1</v>
      </c>
      <c r="F58" s="28">
        <f ca="1">VLOOKUP(A58,ICT_PPMP2023!$B$15:Z1051,11,0)</f>
        <v>0</v>
      </c>
      <c r="G58" s="28">
        <f ca="1">VLOOKUP(A58,ICT_PPMP2023!$B$15:Z1051,15,0)</f>
        <v>0</v>
      </c>
      <c r="H58" s="28">
        <f ca="1">VLOOKUP(A58,ICT_PPMP2023!$B$15:Z1051,19,0)</f>
        <v>0</v>
      </c>
      <c r="I58" s="28">
        <f ca="1">VLOOKUP(A58,ICT_PPMP2023!$B$15:Z1051,2,0)</f>
        <v>1</v>
      </c>
      <c r="J58" s="31">
        <f ca="1">VLOOKUP(A58,ICT_PPMP2023!$B$15:Z1051,4,0)</f>
        <v>3000</v>
      </c>
      <c r="K58" s="32">
        <f t="shared" ca="1" si="0"/>
        <v>3000</v>
      </c>
      <c r="L58" s="8"/>
      <c r="M58" s="8"/>
      <c r="N58" s="8"/>
      <c r="O58" s="8"/>
      <c r="P58" s="8"/>
      <c r="Q58" s="8"/>
      <c r="R58" s="8"/>
      <c r="S58" s="8"/>
      <c r="T58" s="8"/>
      <c r="U58" s="8"/>
      <c r="V58" s="8"/>
      <c r="W58" s="8"/>
      <c r="X58" s="8"/>
      <c r="Y58" s="8"/>
      <c r="Z58" s="8"/>
      <c r="AA58" s="8"/>
    </row>
    <row r="59" spans="1:27" ht="15.75" customHeight="1">
      <c r="A59" s="15" t="str">
        <f ca="1">IFERROR(__xludf.DUMMYFUNCTION("""COMPUTED_VALUE"""),"Aluminum Step Ladder, FT-7 (7 Steps)")</f>
        <v>Aluminum Step Ladder, FT-7 (7 Steps)</v>
      </c>
      <c r="B59" s="28">
        <v>47</v>
      </c>
      <c r="C59" s="28" t="e">
        <f ca="1">VLOOKUP(A59,ICT_PPMP2023!$B$15:Z1051,3,0)</f>
        <v>#N/A</v>
      </c>
      <c r="D59" s="33" t="str">
        <f ca="1">IFERROR(__xludf.DUMMYFUNCTION("""COMPUTED_VALUE"""),"Aluminum Step Ladder, FT-7 (7 Steps)
Foldable and lightweight
Load Capacity: 300 lbs
Tall Extended Handrail and Extra Large Platform Area
High Strength Aluminum")</f>
        <v>Aluminum Step Ladder, FT-7 (7 Steps)
Foldable and lightweight
Load Capacity: 300 lbs
Tall Extended Handrail and Extra Large Platform Area
High Strength Aluminum</v>
      </c>
      <c r="E59" s="28" t="e">
        <f ca="1">VLOOKUP(A59,ICT_PPMP2023!$B$15:Z1051,7,0)</f>
        <v>#N/A</v>
      </c>
      <c r="F59" s="28" t="e">
        <f ca="1">VLOOKUP(A59,ICT_PPMP2023!$B$15:Z1051,11,0)</f>
        <v>#N/A</v>
      </c>
      <c r="G59" s="28" t="e">
        <f ca="1">VLOOKUP(A59,ICT_PPMP2023!$B$15:Z1051,15,0)</f>
        <v>#N/A</v>
      </c>
      <c r="H59" s="28" t="e">
        <f ca="1">VLOOKUP(A59,ICT_PPMP2023!$B$15:Z1051,19,0)</f>
        <v>#N/A</v>
      </c>
      <c r="I59" s="28" t="e">
        <f ca="1">VLOOKUP(A59,ICT_PPMP2023!$B$15:Z1051,2,0)</f>
        <v>#N/A</v>
      </c>
      <c r="J59" s="31" t="e">
        <f ca="1">VLOOKUP(A59,ICT_PPMP2023!$B$15:Z1051,4,0)</f>
        <v>#N/A</v>
      </c>
      <c r="K59" s="32" t="e">
        <f t="shared" ca="1" si="0"/>
        <v>#N/A</v>
      </c>
      <c r="L59" s="8"/>
      <c r="M59" s="8"/>
      <c r="N59" s="8"/>
      <c r="O59" s="8"/>
      <c r="P59" s="8"/>
      <c r="Q59" s="8"/>
      <c r="R59" s="8"/>
      <c r="S59" s="8"/>
      <c r="T59" s="8"/>
      <c r="U59" s="8"/>
      <c r="V59" s="8"/>
      <c r="W59" s="8"/>
      <c r="X59" s="8"/>
      <c r="Y59" s="8"/>
      <c r="Z59" s="8"/>
      <c r="AA59" s="8"/>
    </row>
    <row r="60" spans="1:27" ht="15.75" customHeight="1">
      <c r="A60" s="15" t="str">
        <f ca="1">IFERROR(__xludf.DUMMYFUNCTION("""COMPUTED_VALUE"""),"Android Tablet 10.5""")</f>
        <v>Android Tablet 10.5"</v>
      </c>
      <c r="B60" s="28">
        <v>48</v>
      </c>
      <c r="C60" s="28" t="e">
        <f ca="1">VLOOKUP(A60,ICT_PPMP2023!$B$15:Z1051,3,0)</f>
        <v>#N/A</v>
      </c>
      <c r="D60" s="33" t="str">
        <f ca="1">IFERROR(__xludf.DUMMYFUNCTION("""COMPUTED_VALUE"""),"Android Tablet 10.5""
Octa core processor
10"", Wi-Fi [4GB RAM + 64GB ROM] or more
8.0 MP Rear Camera - Resolution
Quad Speakers with sound by Dolby Atmos")</f>
        <v>Android Tablet 10.5"
Octa core processor
10", Wi-Fi [4GB RAM + 64GB ROM] or more
8.0 MP Rear Camera - Resolution
Quad Speakers with sound by Dolby Atmos</v>
      </c>
      <c r="E60" s="28" t="e">
        <f ca="1">VLOOKUP(A60,ICT_PPMP2023!$B$15:Z1051,7,0)</f>
        <v>#N/A</v>
      </c>
      <c r="F60" s="28" t="e">
        <f ca="1">VLOOKUP(A60,ICT_PPMP2023!$B$15:Z1051,11,0)</f>
        <v>#N/A</v>
      </c>
      <c r="G60" s="28" t="e">
        <f ca="1">VLOOKUP(A60,ICT_PPMP2023!$B$15:Z1051,15,0)</f>
        <v>#N/A</v>
      </c>
      <c r="H60" s="28" t="e">
        <f ca="1">VLOOKUP(A60,ICT_PPMP2023!$B$15:Z1051,19,0)</f>
        <v>#N/A</v>
      </c>
      <c r="I60" s="28" t="e">
        <f ca="1">VLOOKUP(A60,ICT_PPMP2023!$B$15:Z1051,2,0)</f>
        <v>#N/A</v>
      </c>
      <c r="J60" s="31" t="e">
        <f ca="1">VLOOKUP(A60,ICT_PPMP2023!$B$15:Z1051,4,0)</f>
        <v>#N/A</v>
      </c>
      <c r="K60" s="32" t="e">
        <f t="shared" ca="1" si="0"/>
        <v>#N/A</v>
      </c>
      <c r="L60" s="8"/>
      <c r="M60" s="8"/>
      <c r="N60" s="8"/>
      <c r="O60" s="8"/>
      <c r="P60" s="8"/>
      <c r="Q60" s="8"/>
      <c r="R60" s="8"/>
      <c r="S60" s="8"/>
      <c r="T60" s="8"/>
      <c r="U60" s="8"/>
      <c r="V60" s="8"/>
      <c r="W60" s="8"/>
      <c r="X60" s="8"/>
      <c r="Y60" s="8"/>
      <c r="Z60" s="8"/>
      <c r="AA60" s="8"/>
    </row>
    <row r="61" spans="1:27" ht="15.75" customHeight="1">
      <c r="A61" s="15" t="str">
        <f ca="1">IFERROR(__xludf.DUMMYFUNCTION("""COMPUTED_VALUE"""),"BATTERY 9V")</f>
        <v>BATTERY 9V</v>
      </c>
      <c r="B61" s="28">
        <v>49</v>
      </c>
      <c r="C61" s="28" t="e">
        <f ca="1">VLOOKUP(A61,ICT_PPMP2023!$B$15:Z1051,3,0)</f>
        <v>#N/A</v>
      </c>
      <c r="D61" s="33" t="str">
        <f ca="1">IFERROR(__xludf.DUMMYFUNCTION("""COMPUTED_VALUE"""),"BATTERY 9V
Classification: Alkaline
Chemical System: Zinc-Manganese Dioxide (Zn/MnO2)
Nominal Voltage: 9 volts
Terminal: Miniature Snap")</f>
        <v>BATTERY 9V
Classification: Alkaline
Chemical System: Zinc-Manganese Dioxide (Zn/MnO2)
Nominal Voltage: 9 volts
Terminal: Miniature Snap</v>
      </c>
      <c r="E61" s="28" t="e">
        <f ca="1">VLOOKUP(A61,ICT_PPMP2023!$B$15:Z1051,7,0)</f>
        <v>#N/A</v>
      </c>
      <c r="F61" s="28" t="e">
        <f ca="1">VLOOKUP(A61,ICT_PPMP2023!$B$15:Z1051,11,0)</f>
        <v>#N/A</v>
      </c>
      <c r="G61" s="28" t="e">
        <f ca="1">VLOOKUP(A61,ICT_PPMP2023!$B$15:Z1051,15,0)</f>
        <v>#N/A</v>
      </c>
      <c r="H61" s="28" t="e">
        <f ca="1">VLOOKUP(A61,ICT_PPMP2023!$B$15:Z1051,19,0)</f>
        <v>#N/A</v>
      </c>
      <c r="I61" s="28" t="e">
        <f ca="1">VLOOKUP(A61,ICT_PPMP2023!$B$15:Z1051,2,0)</f>
        <v>#N/A</v>
      </c>
      <c r="J61" s="31" t="e">
        <f ca="1">VLOOKUP(A61,ICT_PPMP2023!$B$15:Z1051,4,0)</f>
        <v>#N/A</v>
      </c>
      <c r="K61" s="32" t="e">
        <f t="shared" ca="1" si="0"/>
        <v>#N/A</v>
      </c>
      <c r="L61" s="8"/>
      <c r="M61" s="8"/>
      <c r="N61" s="8"/>
      <c r="O61" s="8"/>
      <c r="P61" s="8"/>
      <c r="Q61" s="8"/>
      <c r="R61" s="8"/>
      <c r="S61" s="8"/>
      <c r="T61" s="8"/>
      <c r="U61" s="8"/>
      <c r="V61" s="8"/>
      <c r="W61" s="8"/>
      <c r="X61" s="8"/>
      <c r="Y61" s="8"/>
      <c r="Z61" s="8"/>
      <c r="AA61" s="8"/>
    </row>
    <row r="62" spans="1:27" ht="15.75" customHeight="1">
      <c r="A62" s="15" t="str">
        <f ca="1">IFERROR(__xludf.DUMMYFUNCTION("""COMPUTED_VALUE"""),"BATTERY AA 2S (2pcs/pack)")</f>
        <v>BATTERY AA 2S (2pcs/pack)</v>
      </c>
      <c r="B62" s="28">
        <v>50</v>
      </c>
      <c r="C62" s="28" t="str">
        <f ca="1">VLOOKUP(A62,ICT_PPMP2023!$B$15:Z1051,3,0)</f>
        <v>pack</v>
      </c>
      <c r="D62" s="33" t="str">
        <f ca="1">IFERROR(__xludf.DUMMYFUNCTION("""COMPUTED_VALUE"""),"BATTERY AA 2S (2pcs/pack)
Classification: Alkaline
Chemical System: Zinc-Manganese Dioxide (Zn/MnO2)
Nominal Voltage: 1.5 volts
Terminal: Flat Contact")</f>
        <v>BATTERY AA 2S (2pcs/pack)
Classification: Alkaline
Chemical System: Zinc-Manganese Dioxide (Zn/MnO2)
Nominal Voltage: 1.5 volts
Terminal: Flat Contact</v>
      </c>
      <c r="E62" s="28">
        <f ca="1">VLOOKUP(A62,ICT_PPMP2023!$B$15:Z1051,7,0)</f>
        <v>50</v>
      </c>
      <c r="F62" s="28">
        <f ca="1">VLOOKUP(A62,ICT_PPMP2023!$B$15:Z1051,11,0)</f>
        <v>0</v>
      </c>
      <c r="G62" s="28">
        <f ca="1">VLOOKUP(A62,ICT_PPMP2023!$B$15:Z1051,15,0)</f>
        <v>0</v>
      </c>
      <c r="H62" s="28">
        <f ca="1">VLOOKUP(A62,ICT_PPMP2023!$B$15:Z1051,19,0)</f>
        <v>0</v>
      </c>
      <c r="I62" s="28">
        <f ca="1">VLOOKUP(A62,ICT_PPMP2023!$B$15:Z1051,2,0)</f>
        <v>50</v>
      </c>
      <c r="J62" s="31">
        <f ca="1">VLOOKUP(A62,ICT_PPMP2023!$B$15:Z1051,4,0)</f>
        <v>165</v>
      </c>
      <c r="K62" s="32">
        <f t="shared" ca="1" si="0"/>
        <v>8250</v>
      </c>
      <c r="L62" s="8"/>
      <c r="M62" s="8"/>
      <c r="N62" s="8"/>
      <c r="O62" s="8"/>
      <c r="P62" s="8"/>
      <c r="Q62" s="8"/>
      <c r="R62" s="8"/>
      <c r="S62" s="8"/>
      <c r="T62" s="8"/>
      <c r="U62" s="8"/>
      <c r="V62" s="8"/>
      <c r="W62" s="8"/>
      <c r="X62" s="8"/>
      <c r="Y62" s="8"/>
      <c r="Z62" s="8"/>
      <c r="AA62" s="8"/>
    </row>
    <row r="63" spans="1:27" ht="15.75" customHeight="1">
      <c r="A63" s="15" t="str">
        <f ca="1">IFERROR(__xludf.DUMMYFUNCTION("""COMPUTED_VALUE"""),"BATTERY AAA 4S (2pcs/pack)")</f>
        <v>BATTERY AAA 4S (2pcs/pack)</v>
      </c>
      <c r="B63" s="28">
        <v>51</v>
      </c>
      <c r="C63" s="28" t="str">
        <f ca="1">VLOOKUP(A63,ICT_PPMP2023!$B$15:Z1051,3,0)</f>
        <v>pack</v>
      </c>
      <c r="D63" s="33" t="str">
        <f ca="1">IFERROR(__xludf.DUMMYFUNCTION("""COMPUTED_VALUE"""),"BATTERY AAA 4S (2pcs/pack)
Classification: Alkaline
Chemical System: Zinc-Manganese Dioxide (Zn/MnO2)
Nominal Voltage: 1.5 volts
Terminal: Flat Contact")</f>
        <v>BATTERY AAA 4S (2pcs/pack)
Classification: Alkaline
Chemical System: Zinc-Manganese Dioxide (Zn/MnO2)
Nominal Voltage: 1.5 volts
Terminal: Flat Contact</v>
      </c>
      <c r="E63" s="28">
        <f ca="1">VLOOKUP(A63,ICT_PPMP2023!$B$15:Z1051,7,0)</f>
        <v>40</v>
      </c>
      <c r="F63" s="28">
        <f ca="1">VLOOKUP(A63,ICT_PPMP2023!$B$15:Z1051,11,0)</f>
        <v>0</v>
      </c>
      <c r="G63" s="28">
        <f ca="1">VLOOKUP(A63,ICT_PPMP2023!$B$15:Z1051,15,0)</f>
        <v>0</v>
      </c>
      <c r="H63" s="28">
        <f ca="1">VLOOKUP(A63,ICT_PPMP2023!$B$15:Z1051,19,0)</f>
        <v>0</v>
      </c>
      <c r="I63" s="28">
        <f ca="1">VLOOKUP(A63,ICT_PPMP2023!$B$15:Z1051,2,0)</f>
        <v>40</v>
      </c>
      <c r="J63" s="31">
        <f ca="1">VLOOKUP(A63,ICT_PPMP2023!$B$15:Z1051,4,0)</f>
        <v>180</v>
      </c>
      <c r="K63" s="32">
        <f t="shared" ca="1" si="0"/>
        <v>7200</v>
      </c>
      <c r="L63" s="8"/>
      <c r="M63" s="8"/>
      <c r="N63" s="8"/>
      <c r="O63" s="8"/>
      <c r="P63" s="8"/>
      <c r="Q63" s="8"/>
      <c r="R63" s="8"/>
      <c r="S63" s="8"/>
      <c r="T63" s="8"/>
      <c r="U63" s="8"/>
      <c r="V63" s="8"/>
      <c r="W63" s="8"/>
      <c r="X63" s="8"/>
      <c r="Y63" s="8"/>
      <c r="Z63" s="8"/>
      <c r="AA63" s="8"/>
    </row>
    <row r="64" spans="1:27" ht="15.75" customHeight="1">
      <c r="A64" s="15" t="str">
        <f ca="1">IFERROR(__xludf.DUMMYFUNCTION("""COMPUTED_VALUE"""),"Black &amp; White LASER NETWORK PRINTER with DUPLEX PRINTING")</f>
        <v>Black &amp; White LASER NETWORK PRINTER with DUPLEX PRINTING</v>
      </c>
      <c r="B64" s="28">
        <v>52</v>
      </c>
      <c r="C64" s="28" t="e">
        <f ca="1">VLOOKUP(A64,ICT_PPMP2023!$B$15:Z1051,3,0)</f>
        <v>#N/A</v>
      </c>
      <c r="D64" s="33" t="str">
        <f ca="1">IFERROR(__xludf.DUMMYFUNCTION("""COMPUTED_VALUE"""),"Black &amp; White LASER NETWORK PRINTER with DUPLEX PRINTING
Print speed: 40 pages per minute (A4)
Memory: 256 MB
Processor: Cortex A9, 800 MHz
Maintenance Kit Life: 100,000 pages
With Network Printing and Duplex Printing(automatic double-sided printing)
Maxi"&amp;"mum print size: Legal size 8.5.” x 14”
One paper cassette (250 sheets) and multi-purpose tray (100 sheets)
Print resolution: up to 1,200 d.p.i.
Standard interface: USB 2.0 (Hi-Speed), USB Host Interface, Gigabit Ethernet
with dealer/distributor certificat"&amp;"e for after-sales service
2 years spare parts warranty and 2 years service warranty")</f>
        <v>Black &amp; White LASER NETWORK PRINTER with DUPLEX PRINTING
Print speed: 40 pages per minute (A4)
Memory: 256 MB
Processor: Cortex A9, 800 MHz
Maintenance Kit Life: 100,000 pages
With Network Printing and Duplex Printing(automatic double-sided printing)
Maximum print size: Legal size 8.5.” x 14”
One paper cassette (250 sheets) and multi-purpose tray (100 sheets)
Print resolution: up to 1,200 d.p.i.
Standard interface: USB 2.0 (Hi-Speed), USB Host Interface, Gigabit Ethernet
with dealer/distributor certificate for after-sales service
2 years spare parts warranty and 2 years service warranty</v>
      </c>
      <c r="E64" s="28" t="e">
        <f ca="1">VLOOKUP(A64,ICT_PPMP2023!$B$15:Z1051,7,0)</f>
        <v>#N/A</v>
      </c>
      <c r="F64" s="28" t="e">
        <f ca="1">VLOOKUP(A64,ICT_PPMP2023!$B$15:Z1051,11,0)</f>
        <v>#N/A</v>
      </c>
      <c r="G64" s="28" t="e">
        <f ca="1">VLOOKUP(A64,ICT_PPMP2023!$B$15:Z1051,15,0)</f>
        <v>#N/A</v>
      </c>
      <c r="H64" s="28" t="e">
        <f ca="1">VLOOKUP(A64,ICT_PPMP2023!$B$15:Z1051,19,0)</f>
        <v>#N/A</v>
      </c>
      <c r="I64" s="28" t="e">
        <f ca="1">VLOOKUP(A64,ICT_PPMP2023!$B$15:Z1051,2,0)</f>
        <v>#N/A</v>
      </c>
      <c r="J64" s="31" t="e">
        <f ca="1">VLOOKUP(A64,ICT_PPMP2023!$B$15:Z1051,4,0)</f>
        <v>#N/A</v>
      </c>
      <c r="K64" s="32" t="e">
        <f t="shared" ca="1" si="0"/>
        <v>#N/A</v>
      </c>
      <c r="L64" s="8"/>
      <c r="M64" s="8"/>
      <c r="N64" s="8"/>
      <c r="O64" s="8"/>
      <c r="P64" s="8"/>
      <c r="Q64" s="8"/>
      <c r="R64" s="8"/>
      <c r="S64" s="8"/>
      <c r="T64" s="8"/>
      <c r="U64" s="8"/>
      <c r="V64" s="8"/>
      <c r="W64" s="8"/>
      <c r="X64" s="8"/>
      <c r="Y64" s="8"/>
      <c r="Z64" s="8"/>
      <c r="AA64" s="8"/>
    </row>
    <row r="65" spans="1:27" ht="15.75" customHeight="1">
      <c r="A65" s="15" t="str">
        <f ca="1">IFERROR(__xludf.DUMMYFUNCTION("""COMPUTED_VALUE"""),"Black Nylon Cable Tie 2.5 x 100mm 100pcs/pack ")</f>
        <v xml:space="preserve">Black Nylon Cable Tie 2.5 x 100mm 100pcs/pack </v>
      </c>
      <c r="B65" s="28">
        <v>53</v>
      </c>
      <c r="C65" s="28" t="e">
        <f ca="1">VLOOKUP(A65,ICT_PPMP2023!$B$15:Z1051,3,0)</f>
        <v>#N/A</v>
      </c>
      <c r="D65" s="33" t="str">
        <f ca="1">IFERROR(__xludf.DUMMYFUNCTION("""COMPUTED_VALUE"""),"Black Nylon Cable Tie 2.5 x 100mm 100pcs/pack 
Black Nylon Cable Tie 2.5 x 100mm")</f>
        <v>Black Nylon Cable Tie 2.5 x 100mm 100pcs/pack 
Black Nylon Cable Tie 2.5 x 100mm</v>
      </c>
      <c r="E65" s="28" t="e">
        <f ca="1">VLOOKUP(A65,ICT_PPMP2023!$B$15:Z1051,7,0)</f>
        <v>#N/A</v>
      </c>
      <c r="F65" s="28" t="e">
        <f ca="1">VLOOKUP(A65,ICT_PPMP2023!$B$15:Z1051,11,0)</f>
        <v>#N/A</v>
      </c>
      <c r="G65" s="28" t="e">
        <f ca="1">VLOOKUP(A65,ICT_PPMP2023!$B$15:Z1051,15,0)</f>
        <v>#N/A</v>
      </c>
      <c r="H65" s="28" t="e">
        <f ca="1">VLOOKUP(A65,ICT_PPMP2023!$B$15:Z1051,19,0)</f>
        <v>#N/A</v>
      </c>
      <c r="I65" s="28" t="e">
        <f ca="1">VLOOKUP(A65,ICT_PPMP2023!$B$15:Z1051,2,0)</f>
        <v>#N/A</v>
      </c>
      <c r="J65" s="31" t="e">
        <f ca="1">VLOOKUP(A65,ICT_PPMP2023!$B$15:Z1051,4,0)</f>
        <v>#N/A</v>
      </c>
      <c r="K65" s="32" t="e">
        <f t="shared" ca="1" si="0"/>
        <v>#N/A</v>
      </c>
      <c r="L65" s="8"/>
      <c r="M65" s="8"/>
      <c r="N65" s="8"/>
      <c r="O65" s="8"/>
      <c r="P65" s="8"/>
      <c r="Q65" s="8"/>
      <c r="R65" s="8"/>
      <c r="S65" s="8"/>
      <c r="T65" s="8"/>
      <c r="U65" s="8"/>
      <c r="V65" s="8"/>
      <c r="W65" s="8"/>
      <c r="X65" s="8"/>
      <c r="Y65" s="8"/>
      <c r="Z65" s="8"/>
      <c r="AA65" s="8"/>
    </row>
    <row r="66" spans="1:27" ht="15.75" customHeight="1">
      <c r="A66" s="15" t="str">
        <f ca="1">IFERROR(__xludf.DUMMYFUNCTION("""COMPUTED_VALUE"""),"Black Nylon Cable Tie 2.5 x 140mm 100pcs/pack ")</f>
        <v xml:space="preserve">Black Nylon Cable Tie 2.5 x 140mm 100pcs/pack </v>
      </c>
      <c r="B66" s="28">
        <v>54</v>
      </c>
      <c r="C66" s="28" t="e">
        <f ca="1">VLOOKUP(A66,ICT_PPMP2023!$B$15:Z1051,3,0)</f>
        <v>#N/A</v>
      </c>
      <c r="D66" s="33" t="str">
        <f ca="1">IFERROR(__xludf.DUMMYFUNCTION("""COMPUTED_VALUE"""),"Black Nylon Cable Tie 2.5 x 140mm 100pcs/pack 
Black Nylon Cable Tie 2.5 x 140mm")</f>
        <v>Black Nylon Cable Tie 2.5 x 140mm 100pcs/pack 
Black Nylon Cable Tie 2.5 x 140mm</v>
      </c>
      <c r="E66" s="28" t="e">
        <f ca="1">VLOOKUP(A66,ICT_PPMP2023!$B$15:Z1051,7,0)</f>
        <v>#N/A</v>
      </c>
      <c r="F66" s="28" t="e">
        <f ca="1">VLOOKUP(A66,ICT_PPMP2023!$B$15:Z1051,11,0)</f>
        <v>#N/A</v>
      </c>
      <c r="G66" s="28" t="e">
        <f ca="1">VLOOKUP(A66,ICT_PPMP2023!$B$15:Z1051,15,0)</f>
        <v>#N/A</v>
      </c>
      <c r="H66" s="28" t="e">
        <f ca="1">VLOOKUP(A66,ICT_PPMP2023!$B$15:Z1051,19,0)</f>
        <v>#N/A</v>
      </c>
      <c r="I66" s="28" t="e">
        <f ca="1">VLOOKUP(A66,ICT_PPMP2023!$B$15:Z1051,2,0)</f>
        <v>#N/A</v>
      </c>
      <c r="J66" s="31" t="e">
        <f ca="1">VLOOKUP(A66,ICT_PPMP2023!$B$15:Z1051,4,0)</f>
        <v>#N/A</v>
      </c>
      <c r="K66" s="32" t="e">
        <f t="shared" ca="1" si="0"/>
        <v>#N/A</v>
      </c>
      <c r="L66" s="8"/>
      <c r="M66" s="8"/>
      <c r="N66" s="8"/>
      <c r="O66" s="8"/>
      <c r="P66" s="8"/>
      <c r="Q66" s="8"/>
      <c r="R66" s="8"/>
      <c r="S66" s="8"/>
      <c r="T66" s="8"/>
      <c r="U66" s="8"/>
      <c r="V66" s="8"/>
      <c r="W66" s="8"/>
      <c r="X66" s="8"/>
      <c r="Y66" s="8"/>
      <c r="Z66" s="8"/>
      <c r="AA66" s="8"/>
    </row>
    <row r="67" spans="1:27" ht="15.75" customHeight="1">
      <c r="A67" s="15" t="str">
        <f ca="1">IFERROR(__xludf.DUMMYFUNCTION("""COMPUTED_VALUE"""),"Black Nylon Cable Tie 3.6 x 140mm 100pcs/pack ")</f>
        <v xml:space="preserve">Black Nylon Cable Tie 3.6 x 140mm 100pcs/pack </v>
      </c>
      <c r="B67" s="28">
        <v>55</v>
      </c>
      <c r="C67" s="28" t="e">
        <f ca="1">VLOOKUP(A67,ICT_PPMP2023!$B$15:Z1051,3,0)</f>
        <v>#N/A</v>
      </c>
      <c r="D67" s="33" t="str">
        <f ca="1">IFERROR(__xludf.DUMMYFUNCTION("""COMPUTED_VALUE"""),"Black Nylon Cable Tie 3.6 x 140mm 100pcs/pack 
Black Nylon Cable Tie 3.6 x 140mm")</f>
        <v>Black Nylon Cable Tie 3.6 x 140mm 100pcs/pack 
Black Nylon Cable Tie 3.6 x 140mm</v>
      </c>
      <c r="E67" s="28" t="e">
        <f ca="1">VLOOKUP(A67,ICT_PPMP2023!$B$15:Z1051,7,0)</f>
        <v>#N/A</v>
      </c>
      <c r="F67" s="28" t="e">
        <f ca="1">VLOOKUP(A67,ICT_PPMP2023!$B$15:Z1051,11,0)</f>
        <v>#N/A</v>
      </c>
      <c r="G67" s="28" t="e">
        <f ca="1">VLOOKUP(A67,ICT_PPMP2023!$B$15:Z1051,15,0)</f>
        <v>#N/A</v>
      </c>
      <c r="H67" s="28" t="e">
        <f ca="1">VLOOKUP(A67,ICT_PPMP2023!$B$15:Z1051,19,0)</f>
        <v>#N/A</v>
      </c>
      <c r="I67" s="28" t="e">
        <f ca="1">VLOOKUP(A67,ICT_PPMP2023!$B$15:Z1051,2,0)</f>
        <v>#N/A</v>
      </c>
      <c r="J67" s="31" t="e">
        <f ca="1">VLOOKUP(A67,ICT_PPMP2023!$B$15:Z1051,4,0)</f>
        <v>#N/A</v>
      </c>
      <c r="K67" s="32" t="e">
        <f t="shared" ca="1" si="0"/>
        <v>#N/A</v>
      </c>
      <c r="L67" s="8"/>
      <c r="M67" s="8"/>
      <c r="N67" s="8"/>
      <c r="O67" s="8"/>
      <c r="P67" s="8"/>
      <c r="Q67" s="8"/>
      <c r="R67" s="8"/>
      <c r="S67" s="8"/>
      <c r="T67" s="8"/>
      <c r="U67" s="8"/>
      <c r="V67" s="8"/>
      <c r="W67" s="8"/>
      <c r="X67" s="8"/>
      <c r="Y67" s="8"/>
      <c r="Z67" s="8"/>
      <c r="AA67" s="8"/>
    </row>
    <row r="68" spans="1:27" ht="15.75" customHeight="1">
      <c r="A68" s="15" t="str">
        <f ca="1">IFERROR(__xludf.DUMMYFUNCTION("""COMPUTED_VALUE"""),"Black Nylon Cable Tie 3.6 x 200mm 100pcs/pack ")</f>
        <v xml:space="preserve">Black Nylon Cable Tie 3.6 x 200mm 100pcs/pack </v>
      </c>
      <c r="B68" s="28">
        <v>56</v>
      </c>
      <c r="C68" s="28" t="e">
        <f ca="1">VLOOKUP(A68,ICT_PPMP2023!$B$15:Z1051,3,0)</f>
        <v>#N/A</v>
      </c>
      <c r="D68" s="33" t="str">
        <f ca="1">IFERROR(__xludf.DUMMYFUNCTION("""COMPUTED_VALUE"""),"Black Nylon Cable Tie 3.6 x 200mm 100pcs/pack 
Black Nylon Cable Tie 3.6 x 200mm")</f>
        <v>Black Nylon Cable Tie 3.6 x 200mm 100pcs/pack 
Black Nylon Cable Tie 3.6 x 200mm</v>
      </c>
      <c r="E68" s="28" t="e">
        <f ca="1">VLOOKUP(A68,ICT_PPMP2023!$B$15:Z1051,7,0)</f>
        <v>#N/A</v>
      </c>
      <c r="F68" s="28" t="e">
        <f ca="1">VLOOKUP(A68,ICT_PPMP2023!$B$15:Z1051,11,0)</f>
        <v>#N/A</v>
      </c>
      <c r="G68" s="28" t="e">
        <f ca="1">VLOOKUP(A68,ICT_PPMP2023!$B$15:Z1051,15,0)</f>
        <v>#N/A</v>
      </c>
      <c r="H68" s="28" t="e">
        <f ca="1">VLOOKUP(A68,ICT_PPMP2023!$B$15:Z1051,19,0)</f>
        <v>#N/A</v>
      </c>
      <c r="I68" s="28" t="e">
        <f ca="1">VLOOKUP(A68,ICT_PPMP2023!$B$15:Z1051,2,0)</f>
        <v>#N/A</v>
      </c>
      <c r="J68" s="31" t="e">
        <f ca="1">VLOOKUP(A68,ICT_PPMP2023!$B$15:Z1051,4,0)</f>
        <v>#N/A</v>
      </c>
      <c r="K68" s="32" t="e">
        <f t="shared" ca="1" si="0"/>
        <v>#N/A</v>
      </c>
      <c r="L68" s="8"/>
      <c r="M68" s="8"/>
      <c r="N68" s="8"/>
      <c r="O68" s="8"/>
      <c r="P68" s="8"/>
      <c r="Q68" s="8"/>
      <c r="R68" s="8"/>
      <c r="S68" s="8"/>
      <c r="T68" s="8"/>
      <c r="U68" s="8"/>
      <c r="V68" s="8"/>
      <c r="W68" s="8"/>
      <c r="X68" s="8"/>
      <c r="Y68" s="8"/>
      <c r="Z68" s="8"/>
      <c r="AA68" s="8"/>
    </row>
    <row r="69" spans="1:27" ht="15.75" customHeight="1">
      <c r="A69" s="15" t="str">
        <f ca="1">IFERROR(__xludf.DUMMYFUNCTION("""COMPUTED_VALUE"""),"Black Nylon Cable Tie 3.6 x 300mm 100pcs/pack ")</f>
        <v xml:space="preserve">Black Nylon Cable Tie 3.6 x 300mm 100pcs/pack </v>
      </c>
      <c r="B69" s="28">
        <v>57</v>
      </c>
      <c r="C69" s="28" t="e">
        <f ca="1">VLOOKUP(A69,ICT_PPMP2023!$B$15:Z1051,3,0)</f>
        <v>#N/A</v>
      </c>
      <c r="D69" s="33" t="str">
        <f ca="1">IFERROR(__xludf.DUMMYFUNCTION("""COMPUTED_VALUE"""),"Black Nylon Cable Tie 3.6 x 300mm 100pcs/pack 
Black Nylon Cable Tie 3.6 x 300mm")</f>
        <v>Black Nylon Cable Tie 3.6 x 300mm 100pcs/pack 
Black Nylon Cable Tie 3.6 x 300mm</v>
      </c>
      <c r="E69" s="28" t="e">
        <f ca="1">VLOOKUP(A69,ICT_PPMP2023!$B$15:Z1051,7,0)</f>
        <v>#N/A</v>
      </c>
      <c r="F69" s="28" t="e">
        <f ca="1">VLOOKUP(A69,ICT_PPMP2023!$B$15:Z1051,11,0)</f>
        <v>#N/A</v>
      </c>
      <c r="G69" s="28" t="e">
        <f ca="1">VLOOKUP(A69,ICT_PPMP2023!$B$15:Z1051,15,0)</f>
        <v>#N/A</v>
      </c>
      <c r="H69" s="28" t="e">
        <f ca="1">VLOOKUP(A69,ICT_PPMP2023!$B$15:Z1051,19,0)</f>
        <v>#N/A</v>
      </c>
      <c r="I69" s="28" t="e">
        <f ca="1">VLOOKUP(A69,ICT_PPMP2023!$B$15:Z1051,2,0)</f>
        <v>#N/A</v>
      </c>
      <c r="J69" s="31" t="e">
        <f ca="1">VLOOKUP(A69,ICT_PPMP2023!$B$15:Z1051,4,0)</f>
        <v>#N/A</v>
      </c>
      <c r="K69" s="32" t="e">
        <f t="shared" ca="1" si="0"/>
        <v>#N/A</v>
      </c>
      <c r="L69" s="8"/>
      <c r="M69" s="8"/>
      <c r="N69" s="8"/>
      <c r="O69" s="8"/>
      <c r="P69" s="8"/>
      <c r="Q69" s="8"/>
      <c r="R69" s="8"/>
      <c r="S69" s="8"/>
      <c r="T69" s="8"/>
      <c r="U69" s="8"/>
      <c r="V69" s="8"/>
      <c r="W69" s="8"/>
      <c r="X69" s="8"/>
      <c r="Y69" s="8"/>
      <c r="Z69" s="8"/>
      <c r="AA69" s="8"/>
    </row>
    <row r="70" spans="1:27" ht="15.75" customHeight="1">
      <c r="A70" s="15" t="str">
        <f ca="1">IFERROR(__xludf.DUMMYFUNCTION("""COMPUTED_VALUE"""),"Black Nylon Cable Tie 4.8 x 200mm 100pcs/pack ")</f>
        <v xml:space="preserve">Black Nylon Cable Tie 4.8 x 200mm 100pcs/pack </v>
      </c>
      <c r="B70" s="28">
        <v>58</v>
      </c>
      <c r="C70" s="28" t="e">
        <f ca="1">VLOOKUP(A70,ICT_PPMP2023!$B$15:Z1051,3,0)</f>
        <v>#N/A</v>
      </c>
      <c r="D70" s="33" t="str">
        <f ca="1">IFERROR(__xludf.DUMMYFUNCTION("""COMPUTED_VALUE"""),"Black Nylon Cable Tie 4.8 x 200mm 100pcs/pack 
Black Nylon Cable Tie 4.8 x 200mm")</f>
        <v>Black Nylon Cable Tie 4.8 x 200mm 100pcs/pack 
Black Nylon Cable Tie 4.8 x 200mm</v>
      </c>
      <c r="E70" s="28" t="e">
        <f ca="1">VLOOKUP(A70,ICT_PPMP2023!$B$15:Z1051,7,0)</f>
        <v>#N/A</v>
      </c>
      <c r="F70" s="28" t="e">
        <f ca="1">VLOOKUP(A70,ICT_PPMP2023!$B$15:Z1051,11,0)</f>
        <v>#N/A</v>
      </c>
      <c r="G70" s="28" t="e">
        <f ca="1">VLOOKUP(A70,ICT_PPMP2023!$B$15:Z1051,15,0)</f>
        <v>#N/A</v>
      </c>
      <c r="H70" s="28" t="e">
        <f ca="1">VLOOKUP(A70,ICT_PPMP2023!$B$15:Z1051,19,0)</f>
        <v>#N/A</v>
      </c>
      <c r="I70" s="28" t="e">
        <f ca="1">VLOOKUP(A70,ICT_PPMP2023!$B$15:Z1051,2,0)</f>
        <v>#N/A</v>
      </c>
      <c r="J70" s="31" t="e">
        <f ca="1">VLOOKUP(A70,ICT_PPMP2023!$B$15:Z1051,4,0)</f>
        <v>#N/A</v>
      </c>
      <c r="K70" s="32" t="e">
        <f t="shared" ca="1" si="0"/>
        <v>#N/A</v>
      </c>
      <c r="L70" s="8"/>
      <c r="M70" s="8"/>
      <c r="N70" s="8"/>
      <c r="O70" s="8"/>
      <c r="P70" s="8"/>
      <c r="Q70" s="8"/>
      <c r="R70" s="8"/>
      <c r="S70" s="8"/>
      <c r="T70" s="8"/>
      <c r="U70" s="8"/>
      <c r="V70" s="8"/>
      <c r="W70" s="8"/>
      <c r="X70" s="8"/>
      <c r="Y70" s="8"/>
      <c r="Z70" s="8"/>
      <c r="AA70" s="8"/>
    </row>
    <row r="71" spans="1:27" ht="15.75" customHeight="1">
      <c r="A71" s="15" t="str">
        <f ca="1">IFERROR(__xludf.DUMMYFUNCTION("""COMPUTED_VALUE"""),"Black Nylon Cable Tie 4.8 x 250mm 100pcs/pack ")</f>
        <v xml:space="preserve">Black Nylon Cable Tie 4.8 x 250mm 100pcs/pack </v>
      </c>
      <c r="B71" s="28">
        <v>59</v>
      </c>
      <c r="C71" s="28" t="e">
        <f ca="1">VLOOKUP(A71,ICT_PPMP2023!$B$15:Z1051,3,0)</f>
        <v>#N/A</v>
      </c>
      <c r="D71" s="33" t="str">
        <f ca="1">IFERROR(__xludf.DUMMYFUNCTION("""COMPUTED_VALUE"""),"Black Nylon Cable Tie 4.8 x 250mm 100pcs/pack 
Black Nylon Cable Tie 4.8 x 250mm")</f>
        <v>Black Nylon Cable Tie 4.8 x 250mm 100pcs/pack 
Black Nylon Cable Tie 4.8 x 250mm</v>
      </c>
      <c r="E71" s="28" t="e">
        <f ca="1">VLOOKUP(A71,ICT_PPMP2023!$B$15:Z1051,7,0)</f>
        <v>#N/A</v>
      </c>
      <c r="F71" s="28" t="e">
        <f ca="1">VLOOKUP(A71,ICT_PPMP2023!$B$15:Z1051,11,0)</f>
        <v>#N/A</v>
      </c>
      <c r="G71" s="28" t="e">
        <f ca="1">VLOOKUP(A71,ICT_PPMP2023!$B$15:Z1051,15,0)</f>
        <v>#N/A</v>
      </c>
      <c r="H71" s="28" t="e">
        <f ca="1">VLOOKUP(A71,ICT_PPMP2023!$B$15:Z1051,19,0)</f>
        <v>#N/A</v>
      </c>
      <c r="I71" s="28" t="e">
        <f ca="1">VLOOKUP(A71,ICT_PPMP2023!$B$15:Z1051,2,0)</f>
        <v>#N/A</v>
      </c>
      <c r="J71" s="31" t="e">
        <f ca="1">VLOOKUP(A71,ICT_PPMP2023!$B$15:Z1051,4,0)</f>
        <v>#N/A</v>
      </c>
      <c r="K71" s="32" t="e">
        <f t="shared" ca="1" si="0"/>
        <v>#N/A</v>
      </c>
      <c r="L71" s="8"/>
      <c r="M71" s="8"/>
      <c r="N71" s="8"/>
      <c r="O71" s="8"/>
      <c r="P71" s="8"/>
      <c r="Q71" s="8"/>
      <c r="R71" s="8"/>
      <c r="S71" s="8"/>
      <c r="T71" s="8"/>
      <c r="U71" s="8"/>
      <c r="V71" s="8"/>
      <c r="W71" s="8"/>
      <c r="X71" s="8"/>
      <c r="Y71" s="8"/>
      <c r="Z71" s="8"/>
      <c r="AA71" s="8"/>
    </row>
    <row r="72" spans="1:27" ht="15.75" customHeight="1">
      <c r="A72" s="15" t="str">
        <f ca="1">IFERROR(__xludf.DUMMYFUNCTION("""COMPUTED_VALUE"""),"Black Nylon Cable Tie 4.8 x 300mm 100pcs/pack ")</f>
        <v xml:space="preserve">Black Nylon Cable Tie 4.8 x 300mm 100pcs/pack </v>
      </c>
      <c r="B72" s="28">
        <v>60</v>
      </c>
      <c r="C72" s="28" t="e">
        <f ca="1">VLOOKUP(A72,ICT_PPMP2023!$B$15:Z1051,3,0)</f>
        <v>#N/A</v>
      </c>
      <c r="D72" s="33" t="str">
        <f ca="1">IFERROR(__xludf.DUMMYFUNCTION("""COMPUTED_VALUE"""),"Black Nylon Cable Tie 4.8 x 300mm 100pcs/pack 
Black Nylon Cable Tie 4.8 x 300mm")</f>
        <v>Black Nylon Cable Tie 4.8 x 300mm 100pcs/pack 
Black Nylon Cable Tie 4.8 x 300mm</v>
      </c>
      <c r="E72" s="28" t="e">
        <f ca="1">VLOOKUP(A72,ICT_PPMP2023!$B$15:Z1051,7,0)</f>
        <v>#N/A</v>
      </c>
      <c r="F72" s="28" t="e">
        <f ca="1">VLOOKUP(A72,ICT_PPMP2023!$B$15:Z1051,11,0)</f>
        <v>#N/A</v>
      </c>
      <c r="G72" s="28" t="e">
        <f ca="1">VLOOKUP(A72,ICT_PPMP2023!$B$15:Z1051,15,0)</f>
        <v>#N/A</v>
      </c>
      <c r="H72" s="28" t="e">
        <f ca="1">VLOOKUP(A72,ICT_PPMP2023!$B$15:Z1051,19,0)</f>
        <v>#N/A</v>
      </c>
      <c r="I72" s="28" t="e">
        <f ca="1">VLOOKUP(A72,ICT_PPMP2023!$B$15:Z1051,2,0)</f>
        <v>#N/A</v>
      </c>
      <c r="J72" s="31" t="e">
        <f ca="1">VLOOKUP(A72,ICT_PPMP2023!$B$15:Z1051,4,0)</f>
        <v>#N/A</v>
      </c>
      <c r="K72" s="32" t="e">
        <f t="shared" ca="1" si="0"/>
        <v>#N/A</v>
      </c>
      <c r="L72" s="8"/>
      <c r="M72" s="8"/>
      <c r="N72" s="8"/>
      <c r="O72" s="8"/>
      <c r="P72" s="8"/>
      <c r="Q72" s="8"/>
      <c r="R72" s="8"/>
      <c r="S72" s="8"/>
      <c r="T72" s="8"/>
      <c r="U72" s="8"/>
      <c r="V72" s="8"/>
      <c r="W72" s="8"/>
      <c r="X72" s="8"/>
      <c r="Y72" s="8"/>
      <c r="Z72" s="8"/>
      <c r="AA72" s="8"/>
    </row>
    <row r="73" spans="1:27" ht="30">
      <c r="A73" s="15" t="str">
        <f ca="1">IFERROR(__xludf.DUMMYFUNCTION("""COMPUTED_VALUE"""),"Black Nylon Cable Tie 4.8 x 400mm 100pcs/pack ")</f>
        <v xml:space="preserve">Black Nylon Cable Tie 4.8 x 400mm 100pcs/pack </v>
      </c>
      <c r="B73" s="28">
        <v>61</v>
      </c>
      <c r="C73" s="28" t="e">
        <f ca="1">VLOOKUP(A73,ICT_PPMP2023!$B$15:Z1051,3,0)</f>
        <v>#N/A</v>
      </c>
      <c r="D73" s="33" t="str">
        <f ca="1">IFERROR(__xludf.DUMMYFUNCTION("""COMPUTED_VALUE"""),"Black Nylon Cable Tie 4.8 x 400mm 100pcs/pack 
Black Nylon Cable Tie 4.8 x 400mm")</f>
        <v>Black Nylon Cable Tie 4.8 x 400mm 100pcs/pack 
Black Nylon Cable Tie 4.8 x 400mm</v>
      </c>
      <c r="E73" s="28" t="e">
        <f ca="1">VLOOKUP(A73,ICT_PPMP2023!$B$15:Z1051,7,0)</f>
        <v>#N/A</v>
      </c>
      <c r="F73" s="28" t="e">
        <f ca="1">VLOOKUP(A73,ICT_PPMP2023!$B$15:Z1051,11,0)</f>
        <v>#N/A</v>
      </c>
      <c r="G73" s="28" t="e">
        <f ca="1">VLOOKUP(A73,ICT_PPMP2023!$B$15:Z1051,15,0)</f>
        <v>#N/A</v>
      </c>
      <c r="H73" s="28" t="e">
        <f ca="1">VLOOKUP(A73,ICT_PPMP2023!$B$15:Z1051,19,0)</f>
        <v>#N/A</v>
      </c>
      <c r="I73" s="28" t="e">
        <f ca="1">VLOOKUP(A73,ICT_PPMP2023!$B$15:Z1051,2,0)</f>
        <v>#N/A</v>
      </c>
      <c r="J73" s="31" t="e">
        <f ca="1">VLOOKUP(A73,ICT_PPMP2023!$B$15:Z1051,4,0)</f>
        <v>#N/A</v>
      </c>
      <c r="K73" s="32" t="e">
        <f t="shared" ca="1" si="0"/>
        <v>#N/A</v>
      </c>
      <c r="L73" s="8"/>
      <c r="M73" s="8"/>
      <c r="N73" s="8"/>
      <c r="O73" s="8"/>
      <c r="P73" s="8"/>
      <c r="Q73" s="8"/>
      <c r="R73" s="8"/>
      <c r="S73" s="8"/>
      <c r="T73" s="8"/>
      <c r="U73" s="8"/>
      <c r="V73" s="8"/>
      <c r="W73" s="8"/>
      <c r="X73" s="8"/>
      <c r="Y73" s="8"/>
      <c r="Z73" s="8"/>
      <c r="AA73" s="8"/>
    </row>
    <row r="74" spans="1:27" ht="30">
      <c r="A74" s="15" t="str">
        <f ca="1">IFERROR(__xludf.DUMMYFUNCTION("""COMPUTED_VALUE"""),"Black Original LaserJet Toner Cartridge")</f>
        <v>Black Original LaserJet Toner Cartridge</v>
      </c>
      <c r="B74" s="28">
        <v>62</v>
      </c>
      <c r="C74" s="28" t="e">
        <f ca="1">VLOOKUP(A74,ICT_PPMP2023!$B$15:Z1051,3,0)</f>
        <v>#N/A</v>
      </c>
      <c r="D74" s="33" t="str">
        <f ca="1">IFERROR(__xludf.DUMMYFUNCTION("""COMPUTED_VALUE"""),"Black Original LaserJet Toner Cartridge
HP 80A Black Original LaserJet Toner Cartridge, CF280A")</f>
        <v>Black Original LaserJet Toner Cartridge
HP 80A Black Original LaserJet Toner Cartridge, CF280A</v>
      </c>
      <c r="E74" s="28" t="e">
        <f ca="1">VLOOKUP(A74,ICT_PPMP2023!$B$15:Z1051,7,0)</f>
        <v>#N/A</v>
      </c>
      <c r="F74" s="28" t="e">
        <f ca="1">VLOOKUP(A74,ICT_PPMP2023!$B$15:Z1051,11,0)</f>
        <v>#N/A</v>
      </c>
      <c r="G74" s="28" t="e">
        <f ca="1">VLOOKUP(A74,ICT_PPMP2023!$B$15:Z1051,15,0)</f>
        <v>#N/A</v>
      </c>
      <c r="H74" s="28" t="e">
        <f ca="1">VLOOKUP(A74,ICT_PPMP2023!$B$15:Z1051,19,0)</f>
        <v>#N/A</v>
      </c>
      <c r="I74" s="28" t="e">
        <f ca="1">VLOOKUP(A74,ICT_PPMP2023!$B$15:Z1051,2,0)</f>
        <v>#N/A</v>
      </c>
      <c r="J74" s="31" t="e">
        <f ca="1">VLOOKUP(A74,ICT_PPMP2023!$B$15:Z1051,4,0)</f>
        <v>#N/A</v>
      </c>
      <c r="K74" s="32" t="e">
        <f t="shared" ca="1" si="0"/>
        <v>#N/A</v>
      </c>
      <c r="L74" s="8"/>
      <c r="M74" s="8"/>
      <c r="N74" s="8"/>
      <c r="O74" s="8"/>
      <c r="P74" s="8"/>
      <c r="Q74" s="8"/>
      <c r="R74" s="8"/>
      <c r="S74" s="8"/>
      <c r="T74" s="8"/>
      <c r="U74" s="8"/>
      <c r="V74" s="8"/>
      <c r="W74" s="8"/>
      <c r="X74" s="8"/>
      <c r="Y74" s="8"/>
      <c r="Z74" s="8"/>
      <c r="AA74" s="8"/>
    </row>
    <row r="75" spans="1:27" ht="30">
      <c r="A75" s="15" t="str">
        <f ca="1">IFERROR(__xludf.DUMMYFUNCTION("""COMPUTED_VALUE"""),"Bolt Expansion Sleeve Anchor Concrete 1/4""")</f>
        <v>Bolt Expansion Sleeve Anchor Concrete 1/4"</v>
      </c>
      <c r="B75" s="28">
        <v>63</v>
      </c>
      <c r="C75" s="28" t="e">
        <f ca="1">VLOOKUP(A75,ICT_PPMP2023!$B$15:Z1051,3,0)</f>
        <v>#N/A</v>
      </c>
      <c r="D75" s="33" t="str">
        <f ca="1">IFERROR(__xludf.DUMMYFUNCTION("""COMPUTED_VALUE"""),"Bolt Expansion Sleeve Anchor Concrete 1/4""
Bolt Expansion Sleeve Anchor Concrete 1/4""")</f>
        <v>Bolt Expansion Sleeve Anchor Concrete 1/4"
Bolt Expansion Sleeve Anchor Concrete 1/4"</v>
      </c>
      <c r="E75" s="28" t="e">
        <f ca="1">VLOOKUP(A75,ICT_PPMP2023!$B$15:Z1051,7,0)</f>
        <v>#N/A</v>
      </c>
      <c r="F75" s="28" t="e">
        <f ca="1">VLOOKUP(A75,ICT_PPMP2023!$B$15:Z1051,11,0)</f>
        <v>#N/A</v>
      </c>
      <c r="G75" s="28" t="e">
        <f ca="1">VLOOKUP(A75,ICT_PPMP2023!$B$15:Z1051,15,0)</f>
        <v>#N/A</v>
      </c>
      <c r="H75" s="28" t="e">
        <f ca="1">VLOOKUP(A75,ICT_PPMP2023!$B$15:Z1051,19,0)</f>
        <v>#N/A</v>
      </c>
      <c r="I75" s="28" t="e">
        <f ca="1">VLOOKUP(A75,ICT_PPMP2023!$B$15:Z1051,2,0)</f>
        <v>#N/A</v>
      </c>
      <c r="J75" s="31" t="e">
        <f ca="1">VLOOKUP(A75,ICT_PPMP2023!$B$15:Z1051,4,0)</f>
        <v>#N/A</v>
      </c>
      <c r="K75" s="32" t="e">
        <f t="shared" ca="1" si="0"/>
        <v>#N/A</v>
      </c>
      <c r="L75" s="8"/>
      <c r="M75" s="8"/>
      <c r="N75" s="8"/>
      <c r="O75" s="8"/>
      <c r="P75" s="8"/>
      <c r="Q75" s="8"/>
      <c r="R75" s="8"/>
      <c r="S75" s="8"/>
      <c r="T75" s="8"/>
      <c r="U75" s="8"/>
      <c r="V75" s="8"/>
      <c r="W75" s="8"/>
      <c r="X75" s="8"/>
      <c r="Y75" s="8"/>
      <c r="Z75" s="8"/>
      <c r="AA75" s="8"/>
    </row>
    <row r="76" spans="1:27" ht="30">
      <c r="A76" s="15" t="str">
        <f ca="1">IFERROR(__xludf.DUMMYFUNCTION("""COMPUTED_VALUE"""),"Bolt Expansion Sleeve Anchor Concrete 5/16""")</f>
        <v>Bolt Expansion Sleeve Anchor Concrete 5/16"</v>
      </c>
      <c r="B76" s="28">
        <v>64</v>
      </c>
      <c r="C76" s="28" t="e">
        <f ca="1">VLOOKUP(A76,ICT_PPMP2023!$B$15:Z1051,3,0)</f>
        <v>#N/A</v>
      </c>
      <c r="D76" s="33" t="str">
        <f ca="1">IFERROR(__xludf.DUMMYFUNCTION("""COMPUTED_VALUE"""),"Bolt Expansion Sleeve Anchor Concrete 5/16""
Bolt Expansion Sleeve Anchor Concrete 5/16""")</f>
        <v>Bolt Expansion Sleeve Anchor Concrete 5/16"
Bolt Expansion Sleeve Anchor Concrete 5/16"</v>
      </c>
      <c r="E76" s="28" t="e">
        <f ca="1">VLOOKUP(A76,ICT_PPMP2023!$B$15:Z1051,7,0)</f>
        <v>#N/A</v>
      </c>
      <c r="F76" s="28" t="e">
        <f ca="1">VLOOKUP(A76,ICT_PPMP2023!$B$15:Z1051,11,0)</f>
        <v>#N/A</v>
      </c>
      <c r="G76" s="28" t="e">
        <f ca="1">VLOOKUP(A76,ICT_PPMP2023!$B$15:Z1051,15,0)</f>
        <v>#N/A</v>
      </c>
      <c r="H76" s="28" t="e">
        <f ca="1">VLOOKUP(A76,ICT_PPMP2023!$B$15:Z1051,19,0)</f>
        <v>#N/A</v>
      </c>
      <c r="I76" s="28" t="e">
        <f ca="1">VLOOKUP(A76,ICT_PPMP2023!$B$15:Z1051,2,0)</f>
        <v>#N/A</v>
      </c>
      <c r="J76" s="31" t="e">
        <f ca="1">VLOOKUP(A76,ICT_PPMP2023!$B$15:Z1051,4,0)</f>
        <v>#N/A</v>
      </c>
      <c r="K76" s="32" t="e">
        <f t="shared" ca="1" si="0"/>
        <v>#N/A</v>
      </c>
      <c r="L76" s="8"/>
      <c r="M76" s="8"/>
      <c r="N76" s="8"/>
      <c r="O76" s="8"/>
      <c r="P76" s="8"/>
      <c r="Q76" s="8"/>
      <c r="R76" s="8"/>
      <c r="S76" s="8"/>
      <c r="T76" s="8"/>
      <c r="U76" s="8"/>
      <c r="V76" s="8"/>
      <c r="W76" s="8"/>
      <c r="X76" s="8"/>
      <c r="Y76" s="8"/>
      <c r="Z76" s="8"/>
      <c r="AA76" s="8"/>
    </row>
    <row r="77" spans="1:27" ht="30">
      <c r="A77" s="15" t="str">
        <f ca="1">IFERROR(__xludf.DUMMYFUNCTION("""COMPUTED_VALUE"""),"Brother Genuine Ink BT5000C")</f>
        <v>Brother Genuine Ink BT5000C</v>
      </c>
      <c r="B77" s="28">
        <v>65</v>
      </c>
      <c r="C77" s="28" t="e">
        <f ca="1">VLOOKUP(A77,ICT_PPMP2023!$B$15:Z1051,3,0)</f>
        <v>#N/A</v>
      </c>
      <c r="D77" s="33" t="str">
        <f ca="1">IFERROR(__xludf.DUMMYFUNCTION("""COMPUTED_VALUE"""),"Brother Genuine Ink BT5000C
Brother Genuine Ink BT5000C for existing BROTHER Printer")</f>
        <v>Brother Genuine Ink BT5000C
Brother Genuine Ink BT5000C for existing BROTHER Printer</v>
      </c>
      <c r="E77" s="28" t="e">
        <f ca="1">VLOOKUP(A77,ICT_PPMP2023!$B$15:Z1051,7,0)</f>
        <v>#N/A</v>
      </c>
      <c r="F77" s="28" t="e">
        <f ca="1">VLOOKUP(A77,ICT_PPMP2023!$B$15:Z1051,11,0)</f>
        <v>#N/A</v>
      </c>
      <c r="G77" s="28" t="e">
        <f ca="1">VLOOKUP(A77,ICT_PPMP2023!$B$15:Z1051,15,0)</f>
        <v>#N/A</v>
      </c>
      <c r="H77" s="28" t="e">
        <f ca="1">VLOOKUP(A77,ICT_PPMP2023!$B$15:Z1051,19,0)</f>
        <v>#N/A</v>
      </c>
      <c r="I77" s="28" t="e">
        <f ca="1">VLOOKUP(A77,ICT_PPMP2023!$B$15:Z1051,2,0)</f>
        <v>#N/A</v>
      </c>
      <c r="J77" s="31" t="e">
        <f ca="1">VLOOKUP(A77,ICT_PPMP2023!$B$15:Z1051,4,0)</f>
        <v>#N/A</v>
      </c>
      <c r="K77" s="32" t="e">
        <f t="shared" ca="1" si="0"/>
        <v>#N/A</v>
      </c>
      <c r="L77" s="8"/>
      <c r="M77" s="8"/>
      <c r="N77" s="8"/>
      <c r="O77" s="8"/>
      <c r="P77" s="8"/>
      <c r="Q77" s="8"/>
      <c r="R77" s="8"/>
      <c r="S77" s="8"/>
      <c r="T77" s="8"/>
      <c r="U77" s="8"/>
      <c r="V77" s="8"/>
      <c r="W77" s="8"/>
      <c r="X77" s="8"/>
      <c r="Y77" s="8"/>
      <c r="Z77" s="8"/>
      <c r="AA77" s="8"/>
    </row>
    <row r="78" spans="1:27" ht="30">
      <c r="A78" s="15" t="str">
        <f ca="1">IFERROR(__xludf.DUMMYFUNCTION("""COMPUTED_VALUE"""),"Brother Genuine Ink BT5000M")</f>
        <v>Brother Genuine Ink BT5000M</v>
      </c>
      <c r="B78" s="28">
        <v>66</v>
      </c>
      <c r="C78" s="28" t="e">
        <f ca="1">VLOOKUP(A78,ICT_PPMP2023!$B$15:Z1051,3,0)</f>
        <v>#N/A</v>
      </c>
      <c r="D78" s="33" t="str">
        <f ca="1">IFERROR(__xludf.DUMMYFUNCTION("""COMPUTED_VALUE"""),"Brother Genuine Ink BT5000M
Brother Genuine Ink BT5000M for existing BROTHER Printer")</f>
        <v>Brother Genuine Ink BT5000M
Brother Genuine Ink BT5000M for existing BROTHER Printer</v>
      </c>
      <c r="E78" s="28" t="e">
        <f ca="1">VLOOKUP(A78,ICT_PPMP2023!$B$15:Z1051,7,0)</f>
        <v>#N/A</v>
      </c>
      <c r="F78" s="28" t="e">
        <f ca="1">VLOOKUP(A78,ICT_PPMP2023!$B$15:Z1051,11,0)</f>
        <v>#N/A</v>
      </c>
      <c r="G78" s="28" t="e">
        <f ca="1">VLOOKUP(A78,ICT_PPMP2023!$B$15:Z1051,15,0)</f>
        <v>#N/A</v>
      </c>
      <c r="H78" s="28" t="e">
        <f ca="1">VLOOKUP(A78,ICT_PPMP2023!$B$15:Z1051,19,0)</f>
        <v>#N/A</v>
      </c>
      <c r="I78" s="28" t="e">
        <f ca="1">VLOOKUP(A78,ICT_PPMP2023!$B$15:Z1051,2,0)</f>
        <v>#N/A</v>
      </c>
      <c r="J78" s="31" t="e">
        <f ca="1">VLOOKUP(A78,ICT_PPMP2023!$B$15:Z1051,4,0)</f>
        <v>#N/A</v>
      </c>
      <c r="K78" s="32" t="e">
        <f t="shared" ca="1" si="0"/>
        <v>#N/A</v>
      </c>
      <c r="L78" s="8"/>
      <c r="M78" s="8"/>
      <c r="N78" s="8"/>
      <c r="O78" s="8"/>
      <c r="P78" s="8"/>
      <c r="Q78" s="8"/>
      <c r="R78" s="8"/>
      <c r="S78" s="8"/>
      <c r="T78" s="8"/>
      <c r="U78" s="8"/>
      <c r="V78" s="8"/>
      <c r="W78" s="8"/>
      <c r="X78" s="8"/>
      <c r="Y78" s="8"/>
      <c r="Z78" s="8"/>
      <c r="AA78" s="8"/>
    </row>
    <row r="79" spans="1:27" ht="30">
      <c r="A79" s="15" t="str">
        <f ca="1">IFERROR(__xludf.DUMMYFUNCTION("""COMPUTED_VALUE"""),"Brother Genuine Ink BT5000Y")</f>
        <v>Brother Genuine Ink BT5000Y</v>
      </c>
      <c r="B79" s="28">
        <v>67</v>
      </c>
      <c r="C79" s="28" t="e">
        <f ca="1">VLOOKUP(A79,ICT_PPMP2023!$B$15:Z1051,3,0)</f>
        <v>#N/A</v>
      </c>
      <c r="D79" s="33" t="str">
        <f ca="1">IFERROR(__xludf.DUMMYFUNCTION("""COMPUTED_VALUE"""),"Brother Genuine Ink BT5000Y
Brother Genuine Ink BT5000Y for existing BROTHER Printer")</f>
        <v>Brother Genuine Ink BT5000Y
Brother Genuine Ink BT5000Y for existing BROTHER Printer</v>
      </c>
      <c r="E79" s="28" t="e">
        <f ca="1">VLOOKUP(A79,ICT_PPMP2023!$B$15:Z1051,7,0)</f>
        <v>#N/A</v>
      </c>
      <c r="F79" s="28" t="e">
        <f ca="1">VLOOKUP(A79,ICT_PPMP2023!$B$15:Z1051,11,0)</f>
        <v>#N/A</v>
      </c>
      <c r="G79" s="28" t="e">
        <f ca="1">VLOOKUP(A79,ICT_PPMP2023!$B$15:Z1051,15,0)</f>
        <v>#N/A</v>
      </c>
      <c r="H79" s="28" t="e">
        <f ca="1">VLOOKUP(A79,ICT_PPMP2023!$B$15:Z1051,19,0)</f>
        <v>#N/A</v>
      </c>
      <c r="I79" s="28" t="e">
        <f ca="1">VLOOKUP(A79,ICT_PPMP2023!$B$15:Z1051,2,0)</f>
        <v>#N/A</v>
      </c>
      <c r="J79" s="31" t="e">
        <f ca="1">VLOOKUP(A79,ICT_PPMP2023!$B$15:Z1051,4,0)</f>
        <v>#N/A</v>
      </c>
      <c r="K79" s="32" t="e">
        <f t="shared" ca="1" si="0"/>
        <v>#N/A</v>
      </c>
      <c r="L79" s="8"/>
      <c r="M79" s="8"/>
      <c r="N79" s="8"/>
      <c r="O79" s="8"/>
      <c r="P79" s="8"/>
      <c r="Q79" s="8"/>
      <c r="R79" s="8"/>
      <c r="S79" s="8"/>
      <c r="T79" s="8"/>
      <c r="U79" s="8"/>
      <c r="V79" s="8"/>
      <c r="W79" s="8"/>
      <c r="X79" s="8"/>
      <c r="Y79" s="8"/>
      <c r="Z79" s="8"/>
      <c r="AA79" s="8"/>
    </row>
    <row r="80" spans="1:27" ht="30">
      <c r="A80" s="15" t="str">
        <f ca="1">IFERROR(__xludf.DUMMYFUNCTION("""COMPUTED_VALUE"""),"Brother Genuine Ink BT6000BK")</f>
        <v>Brother Genuine Ink BT6000BK</v>
      </c>
      <c r="B80" s="28">
        <v>68</v>
      </c>
      <c r="C80" s="28" t="e">
        <f ca="1">VLOOKUP(A80,ICT_PPMP2023!$B$15:Z1051,3,0)</f>
        <v>#N/A</v>
      </c>
      <c r="D80" s="33" t="str">
        <f ca="1">IFERROR(__xludf.DUMMYFUNCTION("""COMPUTED_VALUE"""),"Brother Genuine Ink BT6000BK
Brother Genuine Ink BT5000BK for existing BROTHER Printer")</f>
        <v>Brother Genuine Ink BT6000BK
Brother Genuine Ink BT5000BK for existing BROTHER Printer</v>
      </c>
      <c r="E80" s="28" t="e">
        <f ca="1">VLOOKUP(A80,ICT_PPMP2023!$B$15:Z1051,7,0)</f>
        <v>#N/A</v>
      </c>
      <c r="F80" s="28" t="e">
        <f ca="1">VLOOKUP(A80,ICT_PPMP2023!$B$15:Z1051,11,0)</f>
        <v>#N/A</v>
      </c>
      <c r="G80" s="28" t="e">
        <f ca="1">VLOOKUP(A80,ICT_PPMP2023!$B$15:Z1051,15,0)</f>
        <v>#N/A</v>
      </c>
      <c r="H80" s="28" t="e">
        <f ca="1">VLOOKUP(A80,ICT_PPMP2023!$B$15:Z1051,19,0)</f>
        <v>#N/A</v>
      </c>
      <c r="I80" s="28" t="e">
        <f ca="1">VLOOKUP(A80,ICT_PPMP2023!$B$15:Z1051,2,0)</f>
        <v>#N/A</v>
      </c>
      <c r="J80" s="31" t="e">
        <f ca="1">VLOOKUP(A80,ICT_PPMP2023!$B$15:Z1051,4,0)</f>
        <v>#N/A</v>
      </c>
      <c r="K80" s="32" t="e">
        <f t="shared" ca="1" si="0"/>
        <v>#N/A</v>
      </c>
      <c r="L80" s="8"/>
      <c r="M80" s="8"/>
      <c r="N80" s="8"/>
      <c r="O80" s="8"/>
      <c r="P80" s="8"/>
      <c r="Q80" s="8"/>
      <c r="R80" s="8"/>
      <c r="S80" s="8"/>
      <c r="T80" s="8"/>
      <c r="U80" s="8"/>
      <c r="V80" s="8"/>
      <c r="W80" s="8"/>
      <c r="X80" s="8"/>
      <c r="Y80" s="8"/>
      <c r="Z80" s="8"/>
      <c r="AA80" s="8"/>
    </row>
    <row r="81" spans="1:27" ht="120">
      <c r="A81" s="15" t="str">
        <f ca="1">IFERROR(__xludf.DUMMYFUNCTION("""COMPUTED_VALUE"""),"CAT 6 Cable, U/UTP, Indoor 305 meters")</f>
        <v>CAT 6 Cable, U/UTP, Indoor 305 meters</v>
      </c>
      <c r="B81" s="28">
        <v>69</v>
      </c>
      <c r="C81" s="28" t="str">
        <f ca="1">VLOOKUP(A81,ICT_PPMP2023!$B$15:Z1051,3,0)</f>
        <v>box</v>
      </c>
      <c r="D81" s="33" t="str">
        <f ca="1">IFERROR(__xludf.DUMMYFUNCTION("""COMPUTED_VALUE"""),"CAT 6 Cable, U/UTP, Indoor 305 meters
AWG: 24
Stranding: Solid
Material: BC - Bare Copper
No. of Pairs: 4
Material: PO - Polyolefin
Outer Jacket: PVC - Polyvinyl Chloride
ISO/IEC Compliance: ISO/IEC 11801")</f>
        <v>CAT 6 Cable, U/UTP, Indoor 305 meters
AWG: 24
Stranding: Solid
Material: BC - Bare Copper
No. of Pairs: 4
Material: PO - Polyolefin
Outer Jacket: PVC - Polyvinyl Chloride
ISO/IEC Compliance: ISO/IEC 11801</v>
      </c>
      <c r="E81" s="28">
        <f ca="1">VLOOKUP(A81,ICT_PPMP2023!$B$15:Z1051,7,0)</f>
        <v>5</v>
      </c>
      <c r="F81" s="28">
        <f ca="1">VLOOKUP(A81,ICT_PPMP2023!$B$15:Z1051,11,0)</f>
        <v>0</v>
      </c>
      <c r="G81" s="28">
        <f ca="1">VLOOKUP(A81,ICT_PPMP2023!$B$15:Z1051,15,0)</f>
        <v>0</v>
      </c>
      <c r="H81" s="28">
        <f ca="1">VLOOKUP(A81,ICT_PPMP2023!$B$15:Z1051,19,0)</f>
        <v>0</v>
      </c>
      <c r="I81" s="28">
        <f ca="1">VLOOKUP(A81,ICT_PPMP2023!$B$15:Z1051,2,0)</f>
        <v>5</v>
      </c>
      <c r="J81" s="31">
        <f ca="1">VLOOKUP(A81,ICT_PPMP2023!$B$15:Z1051,4,0)</f>
        <v>15750</v>
      </c>
      <c r="K81" s="32">
        <f t="shared" ca="1" si="0"/>
        <v>78750</v>
      </c>
      <c r="L81" s="8"/>
      <c r="M81" s="8"/>
      <c r="N81" s="8"/>
      <c r="O81" s="8"/>
      <c r="P81" s="8"/>
      <c r="Q81" s="8"/>
      <c r="R81" s="8"/>
      <c r="S81" s="8"/>
      <c r="T81" s="8"/>
      <c r="U81" s="8"/>
      <c r="V81" s="8"/>
      <c r="W81" s="8"/>
      <c r="X81" s="8"/>
      <c r="Y81" s="8"/>
      <c r="Z81" s="8"/>
      <c r="AA81" s="8"/>
    </row>
    <row r="82" spans="1:27" ht="45">
      <c r="A82" s="15" t="str">
        <f ca="1">IFERROR(__xludf.DUMMYFUNCTION("""COMPUTED_VALUE"""),"CAT6 Cable, UTP, OUTDOOR 305 meters (Pure Copper)")</f>
        <v>CAT6 Cable, UTP, OUTDOOR 305 meters (Pure Copper)</v>
      </c>
      <c r="B82" s="28">
        <v>70</v>
      </c>
      <c r="C82" s="28" t="e">
        <f ca="1">VLOOKUP(A82,ICT_PPMP2023!$B$15:Z1051,3,0)</f>
        <v>#N/A</v>
      </c>
      <c r="D82" s="33" t="str">
        <f ca="1">IFERROR(__xludf.DUMMYFUNCTION("""COMPUTED_VALUE"""),"CAT6 Cable, UTP, OUTDOOR 305 meters (Pure Copper)
Conductor size:  23AWG
No. of Conductor:  4P")</f>
        <v>CAT6 Cable, UTP, OUTDOOR 305 meters (Pure Copper)
Conductor size:  23AWG
No. of Conductor:  4P</v>
      </c>
      <c r="E82" s="28" t="e">
        <f ca="1">VLOOKUP(A82,ICT_PPMP2023!$B$15:Z1051,7,0)</f>
        <v>#N/A</v>
      </c>
      <c r="F82" s="28" t="e">
        <f ca="1">VLOOKUP(A82,ICT_PPMP2023!$B$15:Z1051,11,0)</f>
        <v>#N/A</v>
      </c>
      <c r="G82" s="28" t="e">
        <f ca="1">VLOOKUP(A82,ICT_PPMP2023!$B$15:Z1051,15,0)</f>
        <v>#N/A</v>
      </c>
      <c r="H82" s="28" t="e">
        <f ca="1">VLOOKUP(A82,ICT_PPMP2023!$B$15:Z1051,19,0)</f>
        <v>#N/A</v>
      </c>
      <c r="I82" s="28" t="e">
        <f ca="1">VLOOKUP(A82,ICT_PPMP2023!$B$15:Z1051,2,0)</f>
        <v>#N/A</v>
      </c>
      <c r="J82" s="31" t="e">
        <f ca="1">VLOOKUP(A82,ICT_PPMP2023!$B$15:Z1051,4,0)</f>
        <v>#N/A</v>
      </c>
      <c r="K82" s="32" t="e">
        <f t="shared" ca="1" si="0"/>
        <v>#N/A</v>
      </c>
      <c r="L82" s="8"/>
      <c r="M82" s="8"/>
      <c r="N82" s="8"/>
      <c r="O82" s="8"/>
      <c r="P82" s="8"/>
      <c r="Q82" s="8"/>
      <c r="R82" s="8"/>
      <c r="S82" s="8"/>
      <c r="T82" s="8"/>
      <c r="U82" s="8"/>
      <c r="V82" s="8"/>
      <c r="W82" s="8"/>
      <c r="X82" s="8"/>
      <c r="Y82" s="8"/>
      <c r="Z82" s="8"/>
      <c r="AA82" s="8"/>
    </row>
    <row r="83" spans="1:27" ht="75">
      <c r="A83" s="15" t="str">
        <f ca="1">IFERROR(__xludf.DUMMYFUNCTION("""COMPUTED_VALUE"""),"CAT6/CAT5e Tool-Less Keystone Jack; High Quality")</f>
        <v>CAT6/CAT5e Tool-Less Keystone Jack; High Quality</v>
      </c>
      <c r="B83" s="28">
        <v>71</v>
      </c>
      <c r="C83" s="28" t="str">
        <f ca="1">VLOOKUP(A83,ICT_PPMP2023!$B$15:Z1051,3,0)</f>
        <v>pc</v>
      </c>
      <c r="D83" s="33" t="str">
        <f ca="1">IFERROR(__xludf.DUMMYFUNCTION("""COMPUTED_VALUE"""),"CAT6/CAT5e Tool-Less Keystone Jack; High Quality
Backwards compatible to 10/100/1000 Mbps Ethernet CAT5 CAT5E CAT6
Labeled for T568A and T568B wiring scheme next to wire clips;
It accepts 22 to 26 AWG solid Ethernet Patch Cords")</f>
        <v>CAT6/CAT5e Tool-Less Keystone Jack; High Quality
Backwards compatible to 10/100/1000 Mbps Ethernet CAT5 CAT5E CAT6
Labeled for T568A and T568B wiring scheme next to wire clips;
It accepts 22 to 26 AWG solid Ethernet Patch Cords</v>
      </c>
      <c r="E83" s="28">
        <f ca="1">VLOOKUP(A83,ICT_PPMP2023!$B$15:Z1051,7,0)</f>
        <v>100</v>
      </c>
      <c r="F83" s="28">
        <f ca="1">VLOOKUP(A83,ICT_PPMP2023!$B$15:Z1051,11,0)</f>
        <v>0</v>
      </c>
      <c r="G83" s="28">
        <f ca="1">VLOOKUP(A83,ICT_PPMP2023!$B$15:Z1051,15,0)</f>
        <v>0</v>
      </c>
      <c r="H83" s="28">
        <f ca="1">VLOOKUP(A83,ICT_PPMP2023!$B$15:Z1051,19,0)</f>
        <v>0</v>
      </c>
      <c r="I83" s="28">
        <f ca="1">VLOOKUP(A83,ICT_PPMP2023!$B$15:Z1051,2,0)</f>
        <v>100</v>
      </c>
      <c r="J83" s="31">
        <f ca="1">VLOOKUP(A83,ICT_PPMP2023!$B$15:Z1051,4,0)</f>
        <v>195</v>
      </c>
      <c r="K83" s="32">
        <f t="shared" ca="1" si="0"/>
        <v>19500</v>
      </c>
      <c r="L83" s="8"/>
      <c r="M83" s="8"/>
      <c r="N83" s="8"/>
      <c r="O83" s="8"/>
      <c r="P83" s="8"/>
      <c r="Q83" s="8"/>
      <c r="R83" s="8"/>
      <c r="S83" s="8"/>
      <c r="T83" s="8"/>
      <c r="U83" s="8"/>
      <c r="V83" s="8"/>
      <c r="W83" s="8"/>
      <c r="X83" s="8"/>
      <c r="Y83" s="8"/>
      <c r="Z83" s="8"/>
      <c r="AA83" s="8"/>
    </row>
    <row r="84" spans="1:27" ht="45">
      <c r="A84" s="15" t="str">
        <f ca="1">IFERROR(__xludf.DUMMYFUNCTION("""COMPUTED_VALUE"""),"CCTV Outdoor Junction Box 100x100x70mm")</f>
        <v>CCTV Outdoor Junction Box 100x100x70mm</v>
      </c>
      <c r="B84" s="28">
        <v>72</v>
      </c>
      <c r="C84" s="28" t="e">
        <f ca="1">VLOOKUP(A84,ICT_PPMP2023!$B$15:Z1051,3,0)</f>
        <v>#N/A</v>
      </c>
      <c r="D84" s="33" t="str">
        <f ca="1">IFERROR(__xludf.DUMMYFUNCTION("""COMPUTED_VALUE"""),"CCTV Outdoor Junction Box 100x100x70mm
CCTV Outdoor Junction Box IP65 Weather Water Proof Enclosure with Rubber Gasket &amp; Screws")</f>
        <v>CCTV Outdoor Junction Box 100x100x70mm
CCTV Outdoor Junction Box IP65 Weather Water Proof Enclosure with Rubber Gasket &amp; Screws</v>
      </c>
      <c r="E84" s="28" t="e">
        <f ca="1">VLOOKUP(A84,ICT_PPMP2023!$B$15:Z1051,7,0)</f>
        <v>#N/A</v>
      </c>
      <c r="F84" s="28" t="e">
        <f ca="1">VLOOKUP(A84,ICT_PPMP2023!$B$15:Z1051,11,0)</f>
        <v>#N/A</v>
      </c>
      <c r="G84" s="28" t="e">
        <f ca="1">VLOOKUP(A84,ICT_PPMP2023!$B$15:Z1051,15,0)</f>
        <v>#N/A</v>
      </c>
      <c r="H84" s="28" t="e">
        <f ca="1">VLOOKUP(A84,ICT_PPMP2023!$B$15:Z1051,19,0)</f>
        <v>#N/A</v>
      </c>
      <c r="I84" s="28" t="e">
        <f ca="1">VLOOKUP(A84,ICT_PPMP2023!$B$15:Z1051,2,0)</f>
        <v>#N/A</v>
      </c>
      <c r="J84" s="31" t="e">
        <f ca="1">VLOOKUP(A84,ICT_PPMP2023!$B$15:Z1051,4,0)</f>
        <v>#N/A</v>
      </c>
      <c r="K84" s="32" t="e">
        <f t="shared" ca="1" si="0"/>
        <v>#N/A</v>
      </c>
      <c r="L84" s="8"/>
      <c r="M84" s="8"/>
      <c r="N84" s="8"/>
      <c r="O84" s="8"/>
      <c r="P84" s="8"/>
      <c r="Q84" s="8"/>
      <c r="R84" s="8"/>
      <c r="S84" s="8"/>
      <c r="T84" s="8"/>
      <c r="U84" s="8"/>
      <c r="V84" s="8"/>
      <c r="W84" s="8"/>
      <c r="X84" s="8"/>
      <c r="Y84" s="8"/>
      <c r="Z84" s="8"/>
      <c r="AA84" s="8"/>
    </row>
    <row r="85" spans="1:27" ht="30">
      <c r="A85" s="15" t="str">
        <f ca="1">IFERROR(__xludf.DUMMYFUNCTION("""COMPUTED_VALUE"""),"Cellphone (Android)")</f>
        <v>Cellphone (Android)</v>
      </c>
      <c r="B85" s="28">
        <v>73</v>
      </c>
      <c r="C85" s="28" t="e">
        <f ca="1">VLOOKUP(A85,ICT_PPMP2023!$B$15:Z1051,3,0)</f>
        <v>#N/A</v>
      </c>
      <c r="D85" s="33" t="str">
        <f ca="1">IFERROR(__xludf.DUMMYFUNCTION("""COMPUTED_VALUE"""),"Cellphone (Android)
")</f>
        <v xml:space="preserve">Cellphone (Android)
</v>
      </c>
      <c r="E85" s="28" t="e">
        <f ca="1">VLOOKUP(A85,ICT_PPMP2023!$B$15:Z1051,7,0)</f>
        <v>#N/A</v>
      </c>
      <c r="F85" s="28" t="e">
        <f ca="1">VLOOKUP(A85,ICT_PPMP2023!$B$15:Z1051,11,0)</f>
        <v>#N/A</v>
      </c>
      <c r="G85" s="28" t="e">
        <f ca="1">VLOOKUP(A85,ICT_PPMP2023!$B$15:Z1051,15,0)</f>
        <v>#N/A</v>
      </c>
      <c r="H85" s="28" t="e">
        <f ca="1">VLOOKUP(A85,ICT_PPMP2023!$B$15:Z1051,19,0)</f>
        <v>#N/A</v>
      </c>
      <c r="I85" s="28" t="e">
        <f ca="1">VLOOKUP(A85,ICT_PPMP2023!$B$15:Z1051,2,0)</f>
        <v>#N/A</v>
      </c>
      <c r="J85" s="31" t="e">
        <f ca="1">VLOOKUP(A85,ICT_PPMP2023!$B$15:Z1051,4,0)</f>
        <v>#N/A</v>
      </c>
      <c r="K85" s="32" t="e">
        <f t="shared" ca="1" si="0"/>
        <v>#N/A</v>
      </c>
      <c r="L85" s="8"/>
      <c r="M85" s="8"/>
      <c r="N85" s="8"/>
      <c r="O85" s="8"/>
      <c r="P85" s="8"/>
      <c r="Q85" s="8"/>
      <c r="R85" s="8"/>
      <c r="S85" s="8"/>
      <c r="T85" s="8"/>
      <c r="U85" s="8"/>
      <c r="V85" s="8"/>
      <c r="W85" s="8"/>
      <c r="X85" s="8"/>
      <c r="Y85" s="8"/>
      <c r="Z85" s="8"/>
      <c r="AA85" s="8"/>
    </row>
    <row r="86" spans="1:27" ht="75">
      <c r="A86" s="15" t="str">
        <f ca="1">IFERROR(__xludf.DUMMYFUNCTION("""COMPUTED_VALUE"""),"Collapsible Hand Truck")</f>
        <v>Collapsible Hand Truck</v>
      </c>
      <c r="B86" s="28">
        <v>74</v>
      </c>
      <c r="C86" s="28" t="e">
        <f ca="1">VLOOKUP(A86,ICT_PPMP2023!$B$15:Z1051,3,0)</f>
        <v>#N/A</v>
      </c>
      <c r="D86" s="33" t="str">
        <f ca="1">IFERROR(__xludf.DUMMYFUNCTION("""COMPUTED_VALUE"""),"Collapsible Hand Truck
Heavy duty metal coated
70kg max capacity or more
Folds for compact storage
Light weight")</f>
        <v>Collapsible Hand Truck
Heavy duty metal coated
70kg max capacity or more
Folds for compact storage
Light weight</v>
      </c>
      <c r="E86" s="28" t="e">
        <f ca="1">VLOOKUP(A86,ICT_PPMP2023!$B$15:Z1051,7,0)</f>
        <v>#N/A</v>
      </c>
      <c r="F86" s="28" t="e">
        <f ca="1">VLOOKUP(A86,ICT_PPMP2023!$B$15:Z1051,11,0)</f>
        <v>#N/A</v>
      </c>
      <c r="G86" s="28" t="e">
        <f ca="1">VLOOKUP(A86,ICT_PPMP2023!$B$15:Z1051,15,0)</f>
        <v>#N/A</v>
      </c>
      <c r="H86" s="28" t="e">
        <f ca="1">VLOOKUP(A86,ICT_PPMP2023!$B$15:Z1051,19,0)</f>
        <v>#N/A</v>
      </c>
      <c r="I86" s="28" t="e">
        <f ca="1">VLOOKUP(A86,ICT_PPMP2023!$B$15:Z1051,2,0)</f>
        <v>#N/A</v>
      </c>
      <c r="J86" s="31" t="e">
        <f ca="1">VLOOKUP(A86,ICT_PPMP2023!$B$15:Z1051,4,0)</f>
        <v>#N/A</v>
      </c>
      <c r="K86" s="32" t="e">
        <f t="shared" ca="1" si="0"/>
        <v>#N/A</v>
      </c>
      <c r="L86" s="8"/>
      <c r="M86" s="8"/>
      <c r="N86" s="8"/>
      <c r="O86" s="8"/>
      <c r="P86" s="8"/>
      <c r="Q86" s="8"/>
      <c r="R86" s="8"/>
      <c r="S86" s="8"/>
      <c r="T86" s="8"/>
      <c r="U86" s="8"/>
      <c r="V86" s="8"/>
      <c r="W86" s="8"/>
      <c r="X86" s="8"/>
      <c r="Y86" s="8"/>
      <c r="Z86" s="8"/>
      <c r="AA86" s="8"/>
    </row>
    <row r="87" spans="1:27" ht="45">
      <c r="A87" s="15" t="str">
        <f ca="1">IFERROR(__xludf.DUMMYFUNCTION("""COMPUTED_VALUE"""),"Colored Toner Cartridge Set for the existing ECOSYS M5521CDW")</f>
        <v>Colored Toner Cartridge Set for the existing ECOSYS M5521CDW</v>
      </c>
      <c r="B87" s="28">
        <v>75</v>
      </c>
      <c r="C87" s="28" t="e">
        <f ca="1">VLOOKUP(A87,ICT_PPMP2023!$B$15:Z1051,3,0)</f>
        <v>#N/A</v>
      </c>
      <c r="D87" s="33" t="str">
        <f ca="1">IFERROR(__xludf.DUMMYFUNCTION("""COMPUTED_VALUE"""),"Colored Toner Cartridge Set for the existing ECOSYS M5521CDW
TK-5234C, TK-5234M, TK-5234Y")</f>
        <v>Colored Toner Cartridge Set for the existing ECOSYS M5521CDW
TK-5234C, TK-5234M, TK-5234Y</v>
      </c>
      <c r="E87" s="28" t="e">
        <f ca="1">VLOOKUP(A87,ICT_PPMP2023!$B$15:Z1051,7,0)</f>
        <v>#N/A</v>
      </c>
      <c r="F87" s="28" t="e">
        <f ca="1">VLOOKUP(A87,ICT_PPMP2023!$B$15:Z1051,11,0)</f>
        <v>#N/A</v>
      </c>
      <c r="G87" s="28" t="e">
        <f ca="1">VLOOKUP(A87,ICT_PPMP2023!$B$15:Z1051,15,0)</f>
        <v>#N/A</v>
      </c>
      <c r="H87" s="28" t="e">
        <f ca="1">VLOOKUP(A87,ICT_PPMP2023!$B$15:Z1051,19,0)</f>
        <v>#N/A</v>
      </c>
      <c r="I87" s="28" t="e">
        <f ca="1">VLOOKUP(A87,ICT_PPMP2023!$B$15:Z1051,2,0)</f>
        <v>#N/A</v>
      </c>
      <c r="J87" s="31" t="e">
        <f ca="1">VLOOKUP(A87,ICT_PPMP2023!$B$15:Z1051,4,0)</f>
        <v>#N/A</v>
      </c>
      <c r="K87" s="32" t="e">
        <f t="shared" ca="1" si="0"/>
        <v>#N/A</v>
      </c>
      <c r="L87" s="8"/>
      <c r="M87" s="8"/>
      <c r="N87" s="8"/>
      <c r="O87" s="8"/>
      <c r="P87" s="8"/>
      <c r="Q87" s="8"/>
      <c r="R87" s="8"/>
      <c r="S87" s="8"/>
      <c r="T87" s="8"/>
      <c r="U87" s="8"/>
      <c r="V87" s="8"/>
      <c r="W87" s="8"/>
      <c r="X87" s="8"/>
      <c r="Y87" s="8"/>
      <c r="Z87" s="8"/>
      <c r="AA87" s="8"/>
    </row>
    <row r="88" spans="1:27" ht="45">
      <c r="A88" s="15" t="str">
        <f ca="1">IFERROR(__xludf.DUMMYFUNCTION("""COMPUTED_VALUE"""),"Colored Toner Cartridge Set for the existing ECOSYS M8124CIDN")</f>
        <v>Colored Toner Cartridge Set for the existing ECOSYS M8124CIDN</v>
      </c>
      <c r="B88" s="28">
        <v>76</v>
      </c>
      <c r="C88" s="28" t="e">
        <f ca="1">VLOOKUP(A88,ICT_PPMP2023!$B$15:Z1051,3,0)</f>
        <v>#N/A</v>
      </c>
      <c r="D88" s="33" t="str">
        <f ca="1">IFERROR(__xludf.DUMMYFUNCTION("""COMPUTED_VALUE"""),"Colored Toner Cartridge Set for the existing ECOSYS M8124CIDN
TK-8113C, TK-8113M, TK-8113Y")</f>
        <v>Colored Toner Cartridge Set for the existing ECOSYS M8124CIDN
TK-8113C, TK-8113M, TK-8113Y</v>
      </c>
      <c r="E88" s="28" t="e">
        <f ca="1">VLOOKUP(A88,ICT_PPMP2023!$B$15:Z1051,7,0)</f>
        <v>#N/A</v>
      </c>
      <c r="F88" s="28" t="e">
        <f ca="1">VLOOKUP(A88,ICT_PPMP2023!$B$15:Z1051,11,0)</f>
        <v>#N/A</v>
      </c>
      <c r="G88" s="28" t="e">
        <f ca="1">VLOOKUP(A88,ICT_PPMP2023!$B$15:Z1051,15,0)</f>
        <v>#N/A</v>
      </c>
      <c r="H88" s="28" t="e">
        <f ca="1">VLOOKUP(A88,ICT_PPMP2023!$B$15:Z1051,19,0)</f>
        <v>#N/A</v>
      </c>
      <c r="I88" s="28" t="e">
        <f ca="1">VLOOKUP(A88,ICT_PPMP2023!$B$15:Z1051,2,0)</f>
        <v>#N/A</v>
      </c>
      <c r="J88" s="31" t="e">
        <f ca="1">VLOOKUP(A88,ICT_PPMP2023!$B$15:Z1051,4,0)</f>
        <v>#N/A</v>
      </c>
      <c r="K88" s="32" t="e">
        <f t="shared" ca="1" si="0"/>
        <v>#N/A</v>
      </c>
      <c r="L88" s="8"/>
      <c r="M88" s="8"/>
      <c r="N88" s="8"/>
      <c r="O88" s="8"/>
      <c r="P88" s="8"/>
      <c r="Q88" s="8"/>
      <c r="R88" s="8"/>
      <c r="S88" s="8"/>
      <c r="T88" s="8"/>
      <c r="U88" s="8"/>
      <c r="V88" s="8"/>
      <c r="W88" s="8"/>
      <c r="X88" s="8"/>
      <c r="Y88" s="8"/>
      <c r="Z88" s="8"/>
      <c r="AA88" s="8"/>
    </row>
    <row r="89" spans="1:27" ht="30">
      <c r="A89" s="15" t="str">
        <f ca="1">IFERROR(__xludf.DUMMYFUNCTION("""COMPUTED_VALUE"""),"Colored Toner Cartridge Set for the existing ECOSYS P6230CDN")</f>
        <v>Colored Toner Cartridge Set for the existing ECOSYS P6230CDN</v>
      </c>
      <c r="B89" s="28">
        <v>77</v>
      </c>
      <c r="C89" s="28" t="e">
        <f ca="1">VLOOKUP(A89,ICT_PPMP2023!$B$15:Z1051,3,0)</f>
        <v>#N/A</v>
      </c>
      <c r="D89" s="33" t="str">
        <f ca="1">IFERROR(__xludf.DUMMYFUNCTION("""COMPUTED_VALUE"""),"Colored Toner Cartridge Set for the existing ECOSYS P6230CDN
TK-5275C, TK-5275M, TK-5275Y")</f>
        <v>Colored Toner Cartridge Set for the existing ECOSYS P6230CDN
TK-5275C, TK-5275M, TK-5275Y</v>
      </c>
      <c r="E89" s="28" t="e">
        <f ca="1">VLOOKUP(A89,ICT_PPMP2023!$B$15:Z1051,7,0)</f>
        <v>#N/A</v>
      </c>
      <c r="F89" s="28" t="e">
        <f ca="1">VLOOKUP(A89,ICT_PPMP2023!$B$15:Z1051,11,0)</f>
        <v>#N/A</v>
      </c>
      <c r="G89" s="28" t="e">
        <f ca="1">VLOOKUP(A89,ICT_PPMP2023!$B$15:Z1051,15,0)</f>
        <v>#N/A</v>
      </c>
      <c r="H89" s="28" t="e">
        <f ca="1">VLOOKUP(A89,ICT_PPMP2023!$B$15:Z1051,19,0)</f>
        <v>#N/A</v>
      </c>
      <c r="I89" s="28" t="e">
        <f ca="1">VLOOKUP(A89,ICT_PPMP2023!$B$15:Z1051,2,0)</f>
        <v>#N/A</v>
      </c>
      <c r="J89" s="31" t="e">
        <f ca="1">VLOOKUP(A89,ICT_PPMP2023!$B$15:Z1051,4,0)</f>
        <v>#N/A</v>
      </c>
      <c r="K89" s="32" t="e">
        <f t="shared" ca="1" si="0"/>
        <v>#N/A</v>
      </c>
      <c r="L89" s="8"/>
      <c r="M89" s="8"/>
      <c r="N89" s="8"/>
      <c r="O89" s="8"/>
      <c r="P89" s="8"/>
      <c r="Q89" s="8"/>
      <c r="R89" s="8"/>
      <c r="S89" s="8"/>
      <c r="T89" s="8"/>
      <c r="U89" s="8"/>
      <c r="V89" s="8"/>
      <c r="W89" s="8"/>
      <c r="X89" s="8"/>
      <c r="Y89" s="8"/>
      <c r="Z89" s="8"/>
      <c r="AA89" s="8"/>
    </row>
    <row r="90" spans="1:27" ht="120">
      <c r="A90" s="15" t="str">
        <f ca="1">IFERROR(__xludf.DUMMYFUNCTION("""COMPUTED_VALUE"""),"Cordless Blower 18V")</f>
        <v>Cordless Blower 18V</v>
      </c>
      <c r="B90" s="28">
        <v>78</v>
      </c>
      <c r="C90" s="28" t="str">
        <f ca="1">VLOOKUP(A90,ICT_PPMP2023!$B$15:Z1051,3,0)</f>
        <v>set</v>
      </c>
      <c r="D90" s="33" t="str">
        <f ca="1">IFERROR(__xludf.DUMMYFUNCTION("""COMPUTED_VALUE"""),"Cordless Blower 18V
Voltage 18v
Max air velocity 98 m/sec or more
Air volume setting dial 3 settings
No Load Speed 0 - 18,000 rpm or more
Includes: 1 x Li-ion Battery 3.0Ah 18V, 1 x Fast Charger, 1 x Battery Cover, Compatible with 18V LXT Tools
Warranty: "&amp;"1 year or more")</f>
        <v>Cordless Blower 18V
Voltage 18v
Max air velocity 98 m/sec or more
Air volume setting dial 3 settings
No Load Speed 0 - 18,000 rpm or more
Includes: 1 x Li-ion Battery 3.0Ah 18V, 1 x Fast Charger, 1 x Battery Cover, Compatible with 18V LXT Tools
Warranty: 1 year or more</v>
      </c>
      <c r="E90" s="28">
        <f ca="1">VLOOKUP(A90,ICT_PPMP2023!$B$15:Z1051,7,0)</f>
        <v>1</v>
      </c>
      <c r="F90" s="28">
        <f ca="1">VLOOKUP(A90,ICT_PPMP2023!$B$15:Z1051,11,0)</f>
        <v>0</v>
      </c>
      <c r="G90" s="28">
        <f ca="1">VLOOKUP(A90,ICT_PPMP2023!$B$15:Z1051,15,0)</f>
        <v>0</v>
      </c>
      <c r="H90" s="28">
        <f ca="1">VLOOKUP(A90,ICT_PPMP2023!$B$15:Z1051,19,0)</f>
        <v>0</v>
      </c>
      <c r="I90" s="28">
        <f ca="1">VLOOKUP(A90,ICT_PPMP2023!$B$15:Z1051,2,0)</f>
        <v>1</v>
      </c>
      <c r="J90" s="31">
        <f ca="1">VLOOKUP(A90,ICT_PPMP2023!$B$15:Z1051,4,0)</f>
        <v>13650</v>
      </c>
      <c r="K90" s="32">
        <f t="shared" ca="1" si="0"/>
        <v>13650</v>
      </c>
      <c r="L90" s="8"/>
      <c r="M90" s="8"/>
      <c r="N90" s="8"/>
      <c r="O90" s="8"/>
      <c r="P90" s="8"/>
      <c r="Q90" s="8"/>
      <c r="R90" s="8"/>
      <c r="S90" s="8"/>
      <c r="T90" s="8"/>
      <c r="U90" s="8"/>
      <c r="V90" s="8"/>
      <c r="W90" s="8"/>
      <c r="X90" s="8"/>
      <c r="Y90" s="8"/>
      <c r="Z90" s="8"/>
      <c r="AA90" s="8"/>
    </row>
    <row r="91" spans="1:27" ht="120">
      <c r="A91" s="15" t="str">
        <f ca="1">IFERROR(__xludf.DUMMYFUNCTION("""COMPUTED_VALUE"""),"Cordless Screwdriver Kit Set")</f>
        <v>Cordless Screwdriver Kit Set</v>
      </c>
      <c r="B91" s="28">
        <v>79</v>
      </c>
      <c r="C91" s="28" t="str">
        <f ca="1">VLOOKUP(A91,ICT_PPMP2023!$B$15:Z1051,3,0)</f>
        <v>set</v>
      </c>
      <c r="D91" s="33" t="str">
        <f ca="1">IFERROR(__xludf.DUMMYFUNCTION("""COMPUTED_VALUE"""),"Cordless Screwdriver Kit Set
Torque (soft/hard): 2.5/5 Nm or more
Battery type: Lithium-ion
Battery voltage: 3.6 V
Max. screw diameter: 5 mm or more
Packaging dimensions (width x length x height): 
162-167mm x 280-285mm x 90-95 mm
Warranty: 1 year or more")</f>
        <v>Cordless Screwdriver Kit Set
Torque (soft/hard): 2.5/5 Nm or more
Battery type: Lithium-ion
Battery voltage: 3.6 V
Max. screw diameter: 5 mm or more
Packaging dimensions (width x length x height): 
162-167mm x 280-285mm x 90-95 mm
Warranty: 1 year or more</v>
      </c>
      <c r="E91" s="28">
        <f ca="1">VLOOKUP(A91,ICT_PPMP2023!$B$15:Z1051,7,0)</f>
        <v>1</v>
      </c>
      <c r="F91" s="28">
        <f ca="1">VLOOKUP(A91,ICT_PPMP2023!$B$15:Z1051,11,0)</f>
        <v>0</v>
      </c>
      <c r="G91" s="28">
        <f ca="1">VLOOKUP(A91,ICT_PPMP2023!$B$15:Z1051,15,0)</f>
        <v>0</v>
      </c>
      <c r="H91" s="28">
        <f ca="1">VLOOKUP(A91,ICT_PPMP2023!$B$15:Z1051,19,0)</f>
        <v>0</v>
      </c>
      <c r="I91" s="28">
        <f ca="1">VLOOKUP(A91,ICT_PPMP2023!$B$15:Z1051,2,0)</f>
        <v>1</v>
      </c>
      <c r="J91" s="31">
        <f ca="1">VLOOKUP(A91,ICT_PPMP2023!$B$15:Z1051,4,0)</f>
        <v>2970</v>
      </c>
      <c r="K91" s="32">
        <f t="shared" ca="1" si="0"/>
        <v>2970</v>
      </c>
      <c r="L91" s="8"/>
      <c r="M91" s="8"/>
      <c r="N91" s="8"/>
      <c r="O91" s="8"/>
      <c r="P91" s="8"/>
      <c r="Q91" s="8"/>
      <c r="R91" s="8"/>
      <c r="S91" s="8"/>
      <c r="T91" s="8"/>
      <c r="U91" s="8"/>
      <c r="V91" s="8"/>
      <c r="W91" s="8"/>
      <c r="X91" s="8"/>
      <c r="Y91" s="8"/>
      <c r="Z91" s="8"/>
      <c r="AA91" s="8"/>
    </row>
    <row r="92" spans="1:27" ht="75">
      <c r="A92" s="15" t="str">
        <f ca="1">IFERROR(__xludf.DUMMYFUNCTION("""COMPUTED_VALUE"""),"Desktop Gooseneck Condenser Microphone")</f>
        <v>Desktop Gooseneck Condenser Microphone</v>
      </c>
      <c r="B92" s="28">
        <v>80</v>
      </c>
      <c r="C92" s="28" t="e">
        <f ca="1">VLOOKUP(A92,ICT_PPMP2023!$B$15:Z1051,3,0)</f>
        <v>#N/A</v>
      </c>
      <c r="D92" s="33" t="str">
        <f ca="1">IFERROR(__xludf.DUMMYFUNCTION("""COMPUTED_VALUE"""),"Desktop Gooseneck Condenser Microphone
Gooseneck Condenser Microphone 18"" Podium Microphones with Base LED Indicator XLR Mic
with AAA Battery*2
48V Phantom Power")</f>
        <v>Desktop Gooseneck Condenser Microphone
Gooseneck Condenser Microphone 18" Podium Microphones with Base LED Indicator XLR Mic
with AAA Battery*2
48V Phantom Power</v>
      </c>
      <c r="E92" s="28" t="e">
        <f ca="1">VLOOKUP(A92,ICT_PPMP2023!$B$15:Z1051,7,0)</f>
        <v>#N/A</v>
      </c>
      <c r="F92" s="28" t="e">
        <f ca="1">VLOOKUP(A92,ICT_PPMP2023!$B$15:Z1051,11,0)</f>
        <v>#N/A</v>
      </c>
      <c r="G92" s="28" t="e">
        <f ca="1">VLOOKUP(A92,ICT_PPMP2023!$B$15:Z1051,15,0)</f>
        <v>#N/A</v>
      </c>
      <c r="H92" s="28" t="e">
        <f ca="1">VLOOKUP(A92,ICT_PPMP2023!$B$15:Z1051,19,0)</f>
        <v>#N/A</v>
      </c>
      <c r="I92" s="28" t="e">
        <f ca="1">VLOOKUP(A92,ICT_PPMP2023!$B$15:Z1051,2,0)</f>
        <v>#N/A</v>
      </c>
      <c r="J92" s="31" t="e">
        <f ca="1">VLOOKUP(A92,ICT_PPMP2023!$B$15:Z1051,4,0)</f>
        <v>#N/A</v>
      </c>
      <c r="K92" s="32" t="e">
        <f t="shared" ca="1" si="0"/>
        <v>#N/A</v>
      </c>
      <c r="L92" s="8"/>
      <c r="M92" s="8"/>
      <c r="N92" s="8"/>
      <c r="O92" s="8"/>
      <c r="P92" s="8"/>
      <c r="Q92" s="8"/>
      <c r="R92" s="8"/>
      <c r="S92" s="8"/>
      <c r="T92" s="8"/>
      <c r="U92" s="8"/>
      <c r="V92" s="8"/>
      <c r="W92" s="8"/>
      <c r="X92" s="8"/>
      <c r="Y92" s="8"/>
      <c r="Z92" s="8"/>
      <c r="AA92" s="8"/>
    </row>
    <row r="93" spans="1:27" ht="225">
      <c r="A93" s="15" t="str">
        <f ca="1">IFERROR(__xludf.DUMMYFUNCTION("""COMPUTED_VALUE"""),"Dot Matrix Printer 24-Pin")</f>
        <v>Dot Matrix Printer 24-Pin</v>
      </c>
      <c r="B93" s="28">
        <v>81</v>
      </c>
      <c r="C93" s="28" t="str">
        <f ca="1">VLOOKUP(A93,ICT_PPMP2023!$B$15:Z1051,3,0)</f>
        <v>pc</v>
      </c>
      <c r="D93" s="33" t="str">
        <f ca="1">IFERROR(__xludf.DUMMYFUNCTION("""COMPUTED_VALUE"""),"Dot Matrix Printer 24-Pin
Print Method Impact dot matrix
Number of Pins in Head: 24 pins
Print Direction: Bi-direction with logic seeking
Paper Handling
Paper Path
   Tractor: Rear in, Top out; Manual Insertion: Rear in, Top out
Paper Feeding
   Standard "&amp;"Friction, Push Tractor
Interface
   Standard: Bi-directional parallel interface; USB 2.0 Full-Speed; Serial
Compatible with the existing Fabric Ribbon Cartridge (Black) S015634
Warranty: 1 year or more")</f>
        <v>Dot Matrix Printer 24-Pin
Print Method Impact dot matrix
Number of Pins in Head: 24 pins
Print Direction: Bi-direction with logic seeking
Paper Handling
Paper Path
   Tractor: Rear in, Top out; Manual Insertion: Rear in, Top out
Paper Feeding
   Standard Friction, Push Tractor
Interface
   Standard: Bi-directional parallel interface; USB 2.0 Full-Speed; Serial
Compatible with the existing Fabric Ribbon Cartridge (Black) S015634
Warranty: 1 year or more</v>
      </c>
      <c r="E93" s="28">
        <f ca="1">VLOOKUP(A93,ICT_PPMP2023!$B$15:Z1051,7,0)</f>
        <v>3</v>
      </c>
      <c r="F93" s="28">
        <f ca="1">VLOOKUP(A93,ICT_PPMP2023!$B$15:Z1051,11,0)</f>
        <v>0</v>
      </c>
      <c r="G93" s="28">
        <f ca="1">VLOOKUP(A93,ICT_PPMP2023!$B$15:Z1051,15,0)</f>
        <v>0</v>
      </c>
      <c r="H93" s="28">
        <f ca="1">VLOOKUP(A93,ICT_PPMP2023!$B$15:Z1051,19,0)</f>
        <v>0</v>
      </c>
      <c r="I93" s="28">
        <f ca="1">VLOOKUP(A93,ICT_PPMP2023!$B$15:Z1051,2,0)</f>
        <v>3</v>
      </c>
      <c r="J93" s="31">
        <f ca="1">VLOOKUP(A93,ICT_PPMP2023!$B$15:Z1051,4,0)</f>
        <v>22500</v>
      </c>
      <c r="K93" s="32">
        <f t="shared" ca="1" si="0"/>
        <v>67500</v>
      </c>
      <c r="L93" s="8"/>
      <c r="M93" s="8"/>
      <c r="N93" s="8"/>
      <c r="O93" s="8"/>
      <c r="P93" s="8"/>
      <c r="Q93" s="8"/>
      <c r="R93" s="8"/>
      <c r="S93" s="8"/>
      <c r="T93" s="8"/>
      <c r="U93" s="8"/>
      <c r="V93" s="8"/>
      <c r="W93" s="8"/>
      <c r="X93" s="8"/>
      <c r="Y93" s="8"/>
      <c r="Z93" s="8"/>
      <c r="AA93" s="8"/>
    </row>
    <row r="94" spans="1:27" ht="45">
      <c r="A94" s="15" t="str">
        <f ca="1">IFERROR(__xludf.DUMMYFUNCTION("""COMPUTED_VALUE"""),"Epson Genuine Ink (003) Black")</f>
        <v>Epson Genuine Ink (003) Black</v>
      </c>
      <c r="B94" s="28">
        <v>82</v>
      </c>
      <c r="C94" s="28" t="str">
        <f ca="1">VLOOKUP(A94,ICT_PPMP2023!$B$15:Z1051,3,0)</f>
        <v>pc</v>
      </c>
      <c r="D94" s="33" t="str">
        <f ca="1">IFERROR(__xludf.DUMMYFUNCTION("""COMPUTED_VALUE"""),"Epson Genuine Ink (003) Black
Epson Genuine Ink (003) Black for existing Epson L3100, L3101, L3110, L3150")</f>
        <v>Epson Genuine Ink (003) Black
Epson Genuine Ink (003) Black for existing Epson L3100, L3101, L3110, L3150</v>
      </c>
      <c r="E94" s="28">
        <f ca="1">VLOOKUP(A94,ICT_PPMP2023!$B$15:Z1051,7,0)</f>
        <v>120</v>
      </c>
      <c r="F94" s="28">
        <f ca="1">VLOOKUP(A94,ICT_PPMP2023!$B$15:Z1051,11,0)</f>
        <v>0</v>
      </c>
      <c r="G94" s="28">
        <f ca="1">VLOOKUP(A94,ICT_PPMP2023!$B$15:Z1051,15,0)</f>
        <v>0</v>
      </c>
      <c r="H94" s="28">
        <f ca="1">VLOOKUP(A94,ICT_PPMP2023!$B$15:Z1051,19,0)</f>
        <v>0</v>
      </c>
      <c r="I94" s="28">
        <f ca="1">VLOOKUP(A94,ICT_PPMP2023!$B$15:Z1051,2,0)</f>
        <v>120</v>
      </c>
      <c r="J94" s="31">
        <f ca="1">VLOOKUP(A94,ICT_PPMP2023!$B$15:Z1051,4,0)</f>
        <v>435</v>
      </c>
      <c r="K94" s="32">
        <f t="shared" ca="1" si="0"/>
        <v>52200</v>
      </c>
      <c r="L94" s="8"/>
      <c r="M94" s="8"/>
      <c r="N94" s="8"/>
      <c r="O94" s="8"/>
      <c r="P94" s="8"/>
      <c r="Q94" s="8"/>
      <c r="R94" s="8"/>
      <c r="S94" s="8"/>
      <c r="T94" s="8"/>
      <c r="U94" s="8"/>
      <c r="V94" s="8"/>
      <c r="W94" s="8"/>
      <c r="X94" s="8"/>
      <c r="Y94" s="8"/>
      <c r="Z94" s="8"/>
      <c r="AA94" s="8"/>
    </row>
    <row r="95" spans="1:27" ht="45">
      <c r="A95" s="15" t="str">
        <f ca="1">IFERROR(__xludf.DUMMYFUNCTION("""COMPUTED_VALUE"""),"Epson Genuine Ink (003) Cyan")</f>
        <v>Epson Genuine Ink (003) Cyan</v>
      </c>
      <c r="B95" s="28">
        <v>83</v>
      </c>
      <c r="C95" s="28" t="str">
        <f ca="1">VLOOKUP(A95,ICT_PPMP2023!$B$15:Z1051,3,0)</f>
        <v>pc</v>
      </c>
      <c r="D95" s="33" t="str">
        <f ca="1">IFERROR(__xludf.DUMMYFUNCTION("""COMPUTED_VALUE"""),"Epson Genuine Ink (003) Cyan
Epson Genuine Ink (003) Cyan for existing Epson L3100, L3101, L3110, L3150")</f>
        <v>Epson Genuine Ink (003) Cyan
Epson Genuine Ink (003) Cyan for existing Epson L3100, L3101, L3110, L3150</v>
      </c>
      <c r="E95" s="28">
        <f ca="1">VLOOKUP(A95,ICT_PPMP2023!$B$15:Z1051,7,0)</f>
        <v>20</v>
      </c>
      <c r="F95" s="28">
        <f ca="1">VLOOKUP(A95,ICT_PPMP2023!$B$15:Z1051,11,0)</f>
        <v>0</v>
      </c>
      <c r="G95" s="28">
        <f ca="1">VLOOKUP(A95,ICT_PPMP2023!$B$15:Z1051,15,0)</f>
        <v>0</v>
      </c>
      <c r="H95" s="28">
        <f ca="1">VLOOKUP(A95,ICT_PPMP2023!$B$15:Z1051,19,0)</f>
        <v>0</v>
      </c>
      <c r="I95" s="28">
        <f ca="1">VLOOKUP(A95,ICT_PPMP2023!$B$15:Z1051,2,0)</f>
        <v>20</v>
      </c>
      <c r="J95" s="31">
        <f ca="1">VLOOKUP(A95,ICT_PPMP2023!$B$15:Z1051,4,0)</f>
        <v>435</v>
      </c>
      <c r="K95" s="32">
        <f t="shared" ca="1" si="0"/>
        <v>8700</v>
      </c>
      <c r="L95" s="8"/>
      <c r="M95" s="8"/>
      <c r="N95" s="8"/>
      <c r="O95" s="8"/>
      <c r="P95" s="8"/>
      <c r="Q95" s="8"/>
      <c r="R95" s="8"/>
      <c r="S95" s="8"/>
      <c r="T95" s="8"/>
      <c r="U95" s="8"/>
      <c r="V95" s="8"/>
      <c r="W95" s="8"/>
      <c r="X95" s="8"/>
      <c r="Y95" s="8"/>
      <c r="Z95" s="8"/>
      <c r="AA95" s="8"/>
    </row>
    <row r="96" spans="1:27" ht="45">
      <c r="A96" s="15" t="str">
        <f ca="1">IFERROR(__xludf.DUMMYFUNCTION("""COMPUTED_VALUE"""),"Epson Genuine Ink (003) Magenta")</f>
        <v>Epson Genuine Ink (003) Magenta</v>
      </c>
      <c r="B96" s="28">
        <v>84</v>
      </c>
      <c r="C96" s="28" t="str">
        <f ca="1">VLOOKUP(A96,ICT_PPMP2023!$B$15:Z1051,3,0)</f>
        <v>pc</v>
      </c>
      <c r="D96" s="33" t="str">
        <f ca="1">IFERROR(__xludf.DUMMYFUNCTION("""COMPUTED_VALUE"""),"Epson Genuine Ink (003) Magenta
Epson Genuine Ink (003) Magenta for existing Epson L3100, L3101, L3110, L3150")</f>
        <v>Epson Genuine Ink (003) Magenta
Epson Genuine Ink (003) Magenta for existing Epson L3100, L3101, L3110, L3150</v>
      </c>
      <c r="E96" s="28">
        <f ca="1">VLOOKUP(A96,ICT_PPMP2023!$B$15:Z1051,7,0)</f>
        <v>20</v>
      </c>
      <c r="F96" s="28">
        <f ca="1">VLOOKUP(A96,ICT_PPMP2023!$B$15:Z1051,11,0)</f>
        <v>0</v>
      </c>
      <c r="G96" s="28">
        <f ca="1">VLOOKUP(A96,ICT_PPMP2023!$B$15:Z1051,15,0)</f>
        <v>0</v>
      </c>
      <c r="H96" s="28">
        <f ca="1">VLOOKUP(A96,ICT_PPMP2023!$B$15:Z1051,19,0)</f>
        <v>0</v>
      </c>
      <c r="I96" s="28">
        <f ca="1">VLOOKUP(A96,ICT_PPMP2023!$B$15:Z1051,2,0)</f>
        <v>20</v>
      </c>
      <c r="J96" s="31">
        <f ca="1">VLOOKUP(A96,ICT_PPMP2023!$B$15:Z1051,4,0)</f>
        <v>435</v>
      </c>
      <c r="K96" s="32">
        <f t="shared" ca="1" si="0"/>
        <v>8700</v>
      </c>
      <c r="L96" s="8"/>
      <c r="M96" s="8"/>
      <c r="N96" s="8"/>
      <c r="O96" s="8"/>
      <c r="P96" s="8"/>
      <c r="Q96" s="8"/>
      <c r="R96" s="8"/>
      <c r="S96" s="8"/>
      <c r="T96" s="8"/>
      <c r="U96" s="8"/>
      <c r="V96" s="8"/>
      <c r="W96" s="8"/>
      <c r="X96" s="8"/>
      <c r="Y96" s="8"/>
      <c r="Z96" s="8"/>
      <c r="AA96" s="8"/>
    </row>
    <row r="97" spans="1:27" ht="45">
      <c r="A97" s="15" t="str">
        <f ca="1">IFERROR(__xludf.DUMMYFUNCTION("""COMPUTED_VALUE"""),"Epson Genuine Ink (003) Yellow")</f>
        <v>Epson Genuine Ink (003) Yellow</v>
      </c>
      <c r="B97" s="28">
        <v>85</v>
      </c>
      <c r="C97" s="28" t="str">
        <f ca="1">VLOOKUP(A97,ICT_PPMP2023!$B$15:Z1051,3,0)</f>
        <v>pc</v>
      </c>
      <c r="D97" s="33" t="str">
        <f ca="1">IFERROR(__xludf.DUMMYFUNCTION("""COMPUTED_VALUE"""),"Epson Genuine Ink (003) Yellow
Epson Genuine Ink (003) Yellow for existing Epson L3100, L3101, L3110, L3150")</f>
        <v>Epson Genuine Ink (003) Yellow
Epson Genuine Ink (003) Yellow for existing Epson L3100, L3101, L3110, L3150</v>
      </c>
      <c r="E97" s="28">
        <f ca="1">VLOOKUP(A97,ICT_PPMP2023!$B$15:Z1051,7,0)</f>
        <v>20</v>
      </c>
      <c r="F97" s="28">
        <f ca="1">VLOOKUP(A97,ICT_PPMP2023!$B$15:Z1051,11,0)</f>
        <v>0</v>
      </c>
      <c r="G97" s="28">
        <f ca="1">VLOOKUP(A97,ICT_PPMP2023!$B$15:Z1051,15,0)</f>
        <v>0</v>
      </c>
      <c r="H97" s="28">
        <f ca="1">VLOOKUP(A97,ICT_PPMP2023!$B$15:Z1051,19,0)</f>
        <v>0</v>
      </c>
      <c r="I97" s="28">
        <f ca="1">VLOOKUP(A97,ICT_PPMP2023!$B$15:Z1051,2,0)</f>
        <v>20</v>
      </c>
      <c r="J97" s="31">
        <f ca="1">VLOOKUP(A97,ICT_PPMP2023!$B$15:Z1051,4,0)</f>
        <v>435</v>
      </c>
      <c r="K97" s="32">
        <f t="shared" ca="1" si="0"/>
        <v>8700</v>
      </c>
      <c r="L97" s="8"/>
      <c r="M97" s="8"/>
      <c r="N97" s="8"/>
      <c r="O97" s="8"/>
      <c r="P97" s="8"/>
      <c r="Q97" s="8"/>
      <c r="R97" s="8"/>
      <c r="S97" s="8"/>
      <c r="T97" s="8"/>
      <c r="U97" s="8"/>
      <c r="V97" s="8"/>
      <c r="W97" s="8"/>
      <c r="X97" s="8"/>
      <c r="Y97" s="8"/>
      <c r="Z97" s="8"/>
      <c r="AA97" s="8"/>
    </row>
    <row r="98" spans="1:27" ht="30">
      <c r="A98" s="15" t="str">
        <f ca="1">IFERROR(__xludf.DUMMYFUNCTION("""COMPUTED_VALUE"""),"Epson Genuine Ink T6641 Black")</f>
        <v>Epson Genuine Ink T6641 Black</v>
      </c>
      <c r="B98" s="28">
        <v>86</v>
      </c>
      <c r="C98" s="28" t="str">
        <f ca="1">VLOOKUP(A98,ICT_PPMP2023!$B$15:Z1051,3,0)</f>
        <v>pc</v>
      </c>
      <c r="D98" s="33" t="str">
        <f ca="1">IFERROR(__xludf.DUMMYFUNCTION("""COMPUTED_VALUE"""),"Epson Genuine Ink T6641 Black
Epson Genuine Ink T6641 Black for existing EPSON Printer")</f>
        <v>Epson Genuine Ink T6641 Black
Epson Genuine Ink T6641 Black for existing EPSON Printer</v>
      </c>
      <c r="E98" s="28">
        <f ca="1">VLOOKUP(A98,ICT_PPMP2023!$B$15:Z1051,7,0)</f>
        <v>120</v>
      </c>
      <c r="F98" s="28">
        <f ca="1">VLOOKUP(A98,ICT_PPMP2023!$B$15:Z1051,11,0)</f>
        <v>0</v>
      </c>
      <c r="G98" s="28">
        <f ca="1">VLOOKUP(A98,ICT_PPMP2023!$B$15:Z1051,15,0)</f>
        <v>0</v>
      </c>
      <c r="H98" s="28">
        <f ca="1">VLOOKUP(A98,ICT_PPMP2023!$B$15:Z1051,19,0)</f>
        <v>0</v>
      </c>
      <c r="I98" s="28">
        <f ca="1">VLOOKUP(A98,ICT_PPMP2023!$B$15:Z1051,2,0)</f>
        <v>120</v>
      </c>
      <c r="J98" s="31">
        <f ca="1">VLOOKUP(A98,ICT_PPMP2023!$B$15:Z1051,4,0)</f>
        <v>249.6</v>
      </c>
      <c r="K98" s="32">
        <f t="shared" ca="1" si="0"/>
        <v>29952</v>
      </c>
      <c r="L98" s="8"/>
      <c r="M98" s="8"/>
      <c r="N98" s="8"/>
      <c r="O98" s="8"/>
      <c r="P98" s="8"/>
      <c r="Q98" s="8"/>
      <c r="R98" s="8"/>
      <c r="S98" s="8"/>
      <c r="T98" s="8"/>
      <c r="U98" s="8"/>
      <c r="V98" s="8"/>
      <c r="W98" s="8"/>
      <c r="X98" s="8"/>
      <c r="Y98" s="8"/>
      <c r="Z98" s="8"/>
      <c r="AA98" s="8"/>
    </row>
    <row r="99" spans="1:27" ht="30">
      <c r="A99" s="15" t="str">
        <f ca="1">IFERROR(__xludf.DUMMYFUNCTION("""COMPUTED_VALUE"""),"Epson Genuine Ink T6642 Cyan")</f>
        <v>Epson Genuine Ink T6642 Cyan</v>
      </c>
      <c r="B99" s="28">
        <v>87</v>
      </c>
      <c r="C99" s="28" t="str">
        <f ca="1">VLOOKUP(A99,ICT_PPMP2023!$B$15:Z1051,3,0)</f>
        <v>pc</v>
      </c>
      <c r="D99" s="33" t="str">
        <f ca="1">IFERROR(__xludf.DUMMYFUNCTION("""COMPUTED_VALUE"""),"Epson Genuine Ink T6642 Cyan
Epson Genuine Ink T6642 Cyan for existing EPSON Printer")</f>
        <v>Epson Genuine Ink T6642 Cyan
Epson Genuine Ink T6642 Cyan for existing EPSON Printer</v>
      </c>
      <c r="E99" s="28">
        <f ca="1">VLOOKUP(A99,ICT_PPMP2023!$B$15:Z1051,7,0)</f>
        <v>20</v>
      </c>
      <c r="F99" s="28">
        <f ca="1">VLOOKUP(A99,ICT_PPMP2023!$B$15:Z1051,11,0)</f>
        <v>0</v>
      </c>
      <c r="G99" s="28">
        <f ca="1">VLOOKUP(A99,ICT_PPMP2023!$B$15:Z1051,15,0)</f>
        <v>0</v>
      </c>
      <c r="H99" s="28">
        <f ca="1">VLOOKUP(A99,ICT_PPMP2023!$B$15:Z1051,19,0)</f>
        <v>0</v>
      </c>
      <c r="I99" s="28">
        <f ca="1">VLOOKUP(A99,ICT_PPMP2023!$B$15:Z1051,2,0)</f>
        <v>20</v>
      </c>
      <c r="J99" s="31">
        <f ca="1">VLOOKUP(A99,ICT_PPMP2023!$B$15:Z1051,4,0)</f>
        <v>249.6</v>
      </c>
      <c r="K99" s="32">
        <f t="shared" ca="1" si="0"/>
        <v>4992</v>
      </c>
      <c r="L99" s="8"/>
      <c r="M99" s="8"/>
      <c r="N99" s="8"/>
      <c r="O99" s="8"/>
      <c r="P99" s="8"/>
      <c r="Q99" s="8"/>
      <c r="R99" s="8"/>
      <c r="S99" s="8"/>
      <c r="T99" s="8"/>
      <c r="U99" s="8"/>
      <c r="V99" s="8"/>
      <c r="W99" s="8"/>
      <c r="X99" s="8"/>
      <c r="Y99" s="8"/>
      <c r="Z99" s="8"/>
      <c r="AA99" s="8"/>
    </row>
    <row r="100" spans="1:27" ht="30">
      <c r="A100" s="15" t="str">
        <f ca="1">IFERROR(__xludf.DUMMYFUNCTION("""COMPUTED_VALUE"""),"Epson Genuine Ink T6643 Magenta")</f>
        <v>Epson Genuine Ink T6643 Magenta</v>
      </c>
      <c r="B100" s="28">
        <v>88</v>
      </c>
      <c r="C100" s="28" t="str">
        <f ca="1">VLOOKUP(A100,ICT_PPMP2023!$B$15:Z1051,3,0)</f>
        <v>pc</v>
      </c>
      <c r="D100" s="33" t="str">
        <f ca="1">IFERROR(__xludf.DUMMYFUNCTION("""COMPUTED_VALUE"""),"Epson Genuine Ink T6643 Magenta
Epson Genuine Ink T6643 Magenta for existing EPSON Printer")</f>
        <v>Epson Genuine Ink T6643 Magenta
Epson Genuine Ink T6643 Magenta for existing EPSON Printer</v>
      </c>
      <c r="E100" s="28">
        <f ca="1">VLOOKUP(A100,ICT_PPMP2023!$B$15:Z1051,7,0)</f>
        <v>20</v>
      </c>
      <c r="F100" s="28">
        <f ca="1">VLOOKUP(A100,ICT_PPMP2023!$B$15:Z1051,11,0)</f>
        <v>0</v>
      </c>
      <c r="G100" s="28">
        <f ca="1">VLOOKUP(A100,ICT_PPMP2023!$B$15:Z1051,15,0)</f>
        <v>0</v>
      </c>
      <c r="H100" s="28">
        <f ca="1">VLOOKUP(A100,ICT_PPMP2023!$B$15:Z1051,19,0)</f>
        <v>0</v>
      </c>
      <c r="I100" s="28">
        <f ca="1">VLOOKUP(A100,ICT_PPMP2023!$B$15:Z1051,2,0)</f>
        <v>20</v>
      </c>
      <c r="J100" s="31">
        <f ca="1">VLOOKUP(A100,ICT_PPMP2023!$B$15:Z1051,4,0)</f>
        <v>249.6</v>
      </c>
      <c r="K100" s="32">
        <f t="shared" ca="1" si="0"/>
        <v>4992</v>
      </c>
      <c r="L100" s="8"/>
      <c r="M100" s="8"/>
      <c r="N100" s="8"/>
      <c r="O100" s="8"/>
      <c r="P100" s="8"/>
      <c r="Q100" s="8"/>
      <c r="R100" s="8"/>
      <c r="S100" s="8"/>
      <c r="T100" s="8"/>
      <c r="U100" s="8"/>
      <c r="V100" s="8"/>
      <c r="W100" s="8"/>
      <c r="X100" s="8"/>
      <c r="Y100" s="8"/>
      <c r="Z100" s="8"/>
      <c r="AA100" s="8"/>
    </row>
    <row r="101" spans="1:27" ht="30">
      <c r="A101" s="15" t="str">
        <f ca="1">IFERROR(__xludf.DUMMYFUNCTION("""COMPUTED_VALUE"""),"Epson Genuine Ink T6644 Yellow")</f>
        <v>Epson Genuine Ink T6644 Yellow</v>
      </c>
      <c r="B101" s="28">
        <v>89</v>
      </c>
      <c r="C101" s="28" t="str">
        <f ca="1">VLOOKUP(A101,ICT_PPMP2023!$B$15:Z1051,3,0)</f>
        <v>pc</v>
      </c>
      <c r="D101" s="33" t="str">
        <f ca="1">IFERROR(__xludf.DUMMYFUNCTION("""COMPUTED_VALUE"""),"Epson Genuine Ink T6644 Yellow
Epson Genuine Ink T6644 Yellow for existing EPSON Printer")</f>
        <v>Epson Genuine Ink T6644 Yellow
Epson Genuine Ink T6644 Yellow for existing EPSON Printer</v>
      </c>
      <c r="E101" s="28">
        <f ca="1">VLOOKUP(A101,ICT_PPMP2023!$B$15:Z1051,7,0)</f>
        <v>20</v>
      </c>
      <c r="F101" s="28">
        <f ca="1">VLOOKUP(A101,ICT_PPMP2023!$B$15:Z1051,11,0)</f>
        <v>0</v>
      </c>
      <c r="G101" s="28">
        <f ca="1">VLOOKUP(A101,ICT_PPMP2023!$B$15:Z1051,15,0)</f>
        <v>0</v>
      </c>
      <c r="H101" s="28">
        <f ca="1">VLOOKUP(A101,ICT_PPMP2023!$B$15:Z1051,19,0)</f>
        <v>0</v>
      </c>
      <c r="I101" s="28">
        <f ca="1">VLOOKUP(A101,ICT_PPMP2023!$B$15:Z1051,2,0)</f>
        <v>20</v>
      </c>
      <c r="J101" s="31">
        <f ca="1">VLOOKUP(A101,ICT_PPMP2023!$B$15:Z1051,4,0)</f>
        <v>249.6</v>
      </c>
      <c r="K101" s="32">
        <f t="shared" ca="1" si="0"/>
        <v>4992</v>
      </c>
      <c r="L101" s="8"/>
      <c r="M101" s="8"/>
      <c r="N101" s="8"/>
      <c r="O101" s="8"/>
      <c r="P101" s="8"/>
      <c r="Q101" s="8"/>
      <c r="R101" s="8"/>
      <c r="S101" s="8"/>
      <c r="T101" s="8"/>
      <c r="U101" s="8"/>
      <c r="V101" s="8"/>
      <c r="W101" s="8"/>
      <c r="X101" s="8"/>
      <c r="Y101" s="8"/>
      <c r="Z101" s="8"/>
      <c r="AA101" s="8"/>
    </row>
    <row r="102" spans="1:27" ht="45">
      <c r="A102" s="15" t="str">
        <f ca="1">IFERROR(__xludf.DUMMYFUNCTION("""COMPUTED_VALUE"""),"Epson L Series Pickup Roller / feeder")</f>
        <v>Epson L Series Pickup Roller / feeder</v>
      </c>
      <c r="B102" s="28">
        <v>90</v>
      </c>
      <c r="C102" s="28" t="e">
        <f ca="1">VLOOKUP(A102,ICT_PPMP2023!$B$15:Z1051,3,0)</f>
        <v>#N/A</v>
      </c>
      <c r="D102" s="33" t="str">
        <f ca="1">IFERROR(__xludf.DUMMYFUNCTION("""COMPUTED_VALUE"""),"Epson L Series Pickup Roller / feeder
Epson L Series Pickup Roller / feeder L110, L360, L300, L310 L120, L210, L220")</f>
        <v>Epson L Series Pickup Roller / feeder
Epson L Series Pickup Roller / feeder L110, L360, L300, L310 L120, L210, L220</v>
      </c>
      <c r="E102" s="28" t="e">
        <f ca="1">VLOOKUP(A102,ICT_PPMP2023!$B$15:Z1051,7,0)</f>
        <v>#N/A</v>
      </c>
      <c r="F102" s="28" t="e">
        <f ca="1">VLOOKUP(A102,ICT_PPMP2023!$B$15:Z1051,11,0)</f>
        <v>#N/A</v>
      </c>
      <c r="G102" s="28" t="e">
        <f ca="1">VLOOKUP(A102,ICT_PPMP2023!$B$15:Z1051,15,0)</f>
        <v>#N/A</v>
      </c>
      <c r="H102" s="28" t="e">
        <f ca="1">VLOOKUP(A102,ICT_PPMP2023!$B$15:Z1051,19,0)</f>
        <v>#N/A</v>
      </c>
      <c r="I102" s="28" t="e">
        <f ca="1">VLOOKUP(A102,ICT_PPMP2023!$B$15:Z1051,2,0)</f>
        <v>#N/A</v>
      </c>
      <c r="J102" s="31" t="e">
        <f ca="1">VLOOKUP(A102,ICT_PPMP2023!$B$15:Z1051,4,0)</f>
        <v>#N/A</v>
      </c>
      <c r="K102" s="32" t="e">
        <f t="shared" ca="1" si="0"/>
        <v>#N/A</v>
      </c>
      <c r="L102" s="8"/>
      <c r="M102" s="8"/>
      <c r="N102" s="8"/>
      <c r="O102" s="8"/>
      <c r="P102" s="8"/>
      <c r="Q102" s="8"/>
      <c r="R102" s="8"/>
      <c r="S102" s="8"/>
      <c r="T102" s="8"/>
      <c r="U102" s="8"/>
      <c r="V102" s="8"/>
      <c r="W102" s="8"/>
      <c r="X102" s="8"/>
      <c r="Y102" s="8"/>
      <c r="Z102" s="8"/>
      <c r="AA102" s="8"/>
    </row>
    <row r="103" spans="1:27" ht="45">
      <c r="A103" s="15" t="str">
        <f ca="1">IFERROR(__xludf.DUMMYFUNCTION("""COMPUTED_VALUE"""),"EPSON LQ310 Ribbon Cartridge (SO15634)")</f>
        <v>EPSON LQ310 Ribbon Cartridge (SO15634)</v>
      </c>
      <c r="B103" s="28">
        <v>91</v>
      </c>
      <c r="C103" s="28" t="e">
        <f ca="1">VLOOKUP(A103,ICT_PPMP2023!$B$15:Z1051,3,0)</f>
        <v>#N/A</v>
      </c>
      <c r="D103" s="33" t="str">
        <f ca="1">IFERROR(__xludf.DUMMYFUNCTION("""COMPUTED_VALUE"""),"EPSON LQ310 Ribbon Cartridge (SO15634)
EPSON LQ310 Ribbon Cartridge (SO15634) for existing EPSON LQ310")</f>
        <v>EPSON LQ310 Ribbon Cartridge (SO15634)
EPSON LQ310 Ribbon Cartridge (SO15634) for existing EPSON LQ310</v>
      </c>
      <c r="E103" s="28" t="e">
        <f ca="1">VLOOKUP(A103,ICT_PPMP2023!$B$15:Z1051,7,0)</f>
        <v>#N/A</v>
      </c>
      <c r="F103" s="28" t="e">
        <f ca="1">VLOOKUP(A103,ICT_PPMP2023!$B$15:Z1051,11,0)</f>
        <v>#N/A</v>
      </c>
      <c r="G103" s="28" t="e">
        <f ca="1">VLOOKUP(A103,ICT_PPMP2023!$B$15:Z1051,15,0)</f>
        <v>#N/A</v>
      </c>
      <c r="H103" s="28" t="e">
        <f ca="1">VLOOKUP(A103,ICT_PPMP2023!$B$15:Z1051,19,0)</f>
        <v>#N/A</v>
      </c>
      <c r="I103" s="28" t="e">
        <f ca="1">VLOOKUP(A103,ICT_PPMP2023!$B$15:Z1051,2,0)</f>
        <v>#N/A</v>
      </c>
      <c r="J103" s="31" t="e">
        <f ca="1">VLOOKUP(A103,ICT_PPMP2023!$B$15:Z1051,4,0)</f>
        <v>#N/A</v>
      </c>
      <c r="K103" s="32" t="e">
        <f t="shared" ca="1" si="0"/>
        <v>#N/A</v>
      </c>
      <c r="L103" s="8"/>
      <c r="M103" s="8"/>
      <c r="N103" s="8"/>
      <c r="O103" s="8"/>
      <c r="P103" s="8"/>
      <c r="Q103" s="8"/>
      <c r="R103" s="8"/>
      <c r="S103" s="8"/>
      <c r="T103" s="8"/>
      <c r="U103" s="8"/>
      <c r="V103" s="8"/>
      <c r="W103" s="8"/>
      <c r="X103" s="8"/>
      <c r="Y103" s="8"/>
      <c r="Z103" s="8"/>
      <c r="AA103" s="8"/>
    </row>
    <row r="104" spans="1:27" ht="90">
      <c r="A104" s="15" t="str">
        <f ca="1">IFERROR(__xludf.DUMMYFUNCTION("""COMPUTED_VALUE"""),"Ergonomic Chair Design Metal Base")</f>
        <v>Ergonomic Chair Design Metal Base</v>
      </c>
      <c r="B104" s="28">
        <v>92</v>
      </c>
      <c r="C104" s="28" t="str">
        <f ca="1">VLOOKUP(A104,ICT_PPMP2023!$B$15:Z1051,3,0)</f>
        <v>pc</v>
      </c>
      <c r="D104" s="33" t="str">
        <f ca="1">IFERROR(__xludf.DUMMYFUNCTION("""COMPUTED_VALUE"""),"Ergonomic Chair Design Metal Base
Ergonomic Design with Thick Cushion and Breathable Mesh
High Back Design with Headrest
Chromed Steel Base &amp; Nylon Casters
Pneumatic Height Adjustment
360 Degrees Swivel Function")</f>
        <v>Ergonomic Chair Design Metal Base
Ergonomic Design with Thick Cushion and Breathable Mesh
High Back Design with Headrest
Chromed Steel Base &amp; Nylon Casters
Pneumatic Height Adjustment
360 Degrees Swivel Function</v>
      </c>
      <c r="E104" s="28">
        <f ca="1">VLOOKUP(A104,ICT_PPMP2023!$B$15:Z1051,7,0)</f>
        <v>6</v>
      </c>
      <c r="F104" s="28">
        <f ca="1">VLOOKUP(A104,ICT_PPMP2023!$B$15:Z1051,11,0)</f>
        <v>0</v>
      </c>
      <c r="G104" s="28">
        <f ca="1">VLOOKUP(A104,ICT_PPMP2023!$B$15:Z1051,15,0)</f>
        <v>0</v>
      </c>
      <c r="H104" s="28">
        <f ca="1">VLOOKUP(A104,ICT_PPMP2023!$B$15:Z1051,19,0)</f>
        <v>0</v>
      </c>
      <c r="I104" s="28">
        <f ca="1">VLOOKUP(A104,ICT_PPMP2023!$B$15:Z1051,2,0)</f>
        <v>6</v>
      </c>
      <c r="J104" s="31">
        <f ca="1">VLOOKUP(A104,ICT_PPMP2023!$B$15:Z1051,4,0)</f>
        <v>1950</v>
      </c>
      <c r="K104" s="32">
        <f t="shared" ca="1" si="0"/>
        <v>11700</v>
      </c>
      <c r="L104" s="8"/>
      <c r="M104" s="8"/>
      <c r="N104" s="8"/>
      <c r="O104" s="8"/>
      <c r="P104" s="8"/>
      <c r="Q104" s="8"/>
      <c r="R104" s="8"/>
      <c r="S104" s="8"/>
      <c r="T104" s="8"/>
      <c r="U104" s="8"/>
      <c r="V104" s="8"/>
      <c r="W104" s="8"/>
      <c r="X104" s="8"/>
      <c r="Y104" s="8"/>
      <c r="Z104" s="8"/>
      <c r="AA104" s="8"/>
    </row>
    <row r="105" spans="1:27" ht="45">
      <c r="A105" s="15" t="str">
        <f ca="1">IFERROR(__xludf.DUMMYFUNCTION("""COMPUTED_VALUE"""),"Extreme Instant Glue Gel 3g")</f>
        <v>Extreme Instant Glue Gel 3g</v>
      </c>
      <c r="B105" s="28">
        <v>93</v>
      </c>
      <c r="C105" s="28" t="str">
        <f ca="1">VLOOKUP(A105,ICT_PPMP2023!$B$15:Z1051,3,0)</f>
        <v>pc</v>
      </c>
      <c r="D105" s="33" t="str">
        <f ca="1">IFERROR(__xludf.DUMMYFUNCTION("""COMPUTED_VALUE"""),"Extreme Instant Glue Gel 3g
Impact, heat, and water resistant
Bonds metal, rubber, porcelain, wood, and most plastics")</f>
        <v>Extreme Instant Glue Gel 3g
Impact, heat, and water resistant
Bonds metal, rubber, porcelain, wood, and most plastics</v>
      </c>
      <c r="E105" s="28">
        <f ca="1">VLOOKUP(A105,ICT_PPMP2023!$B$15:Z1051,7,0)</f>
        <v>25</v>
      </c>
      <c r="F105" s="28">
        <f ca="1">VLOOKUP(A105,ICT_PPMP2023!$B$15:Z1051,11,0)</f>
        <v>0</v>
      </c>
      <c r="G105" s="28">
        <f ca="1">VLOOKUP(A105,ICT_PPMP2023!$B$15:Z1051,15,0)</f>
        <v>0</v>
      </c>
      <c r="H105" s="28">
        <f ca="1">VLOOKUP(A105,ICT_PPMP2023!$B$15:Z1051,19,0)</f>
        <v>0</v>
      </c>
      <c r="I105" s="28">
        <f ca="1">VLOOKUP(A105,ICT_PPMP2023!$B$15:Z1051,2,0)</f>
        <v>25</v>
      </c>
      <c r="J105" s="31">
        <f ca="1">VLOOKUP(A105,ICT_PPMP2023!$B$15:Z1051,4,0)</f>
        <v>135</v>
      </c>
      <c r="K105" s="32">
        <f t="shared" ca="1" si="0"/>
        <v>3375</v>
      </c>
      <c r="L105" s="8"/>
      <c r="M105" s="8"/>
      <c r="N105" s="8"/>
      <c r="O105" s="8"/>
      <c r="P105" s="8"/>
      <c r="Q105" s="8"/>
      <c r="R105" s="8"/>
      <c r="S105" s="8"/>
      <c r="T105" s="8"/>
      <c r="U105" s="8"/>
      <c r="V105" s="8"/>
      <c r="W105" s="8"/>
      <c r="X105" s="8"/>
      <c r="Y105" s="8"/>
      <c r="Z105" s="8"/>
      <c r="AA105" s="8"/>
    </row>
    <row r="106" spans="1:27" ht="105">
      <c r="A106" s="15" t="str">
        <f ca="1">IFERROR(__xludf.DUMMYFUNCTION("""COMPUTED_VALUE"""),"Fiberglass Extension Ladder, (8-13 ft)")</f>
        <v>Fiberglass Extension Ladder, (8-13 ft)</v>
      </c>
      <c r="B106" s="28">
        <v>94</v>
      </c>
      <c r="C106" s="28" t="e">
        <f ca="1">VLOOKUP(A106,ICT_PPMP2023!$B$15:Z1051,3,0)</f>
        <v>#N/A</v>
      </c>
      <c r="D106" s="33" t="str">
        <f ca="1">IFERROR(__xludf.DUMMYFUNCTION("""COMPUTED_VALUE"""),"Fiberglass Extension Ladder, (8-13 ft)
Kruger Fiberglass Extension Ladder, (8-13 Rungs)
Load Capacity: 300 lbs
Reaches from 8 ft to an extendable length of 13 ft
Height: 8 ft to 13 ft
Self-leveling 2-way swivel safety shoes
Main Material: Fiberglass")</f>
        <v>Fiberglass Extension Ladder, (8-13 ft)
Kruger Fiberglass Extension Ladder, (8-13 Rungs)
Load Capacity: 300 lbs
Reaches from 8 ft to an extendable length of 13 ft
Height: 8 ft to 13 ft
Self-leveling 2-way swivel safety shoes
Main Material: Fiberglass</v>
      </c>
      <c r="E106" s="28" t="e">
        <f ca="1">VLOOKUP(A106,ICT_PPMP2023!$B$15:Z1051,7,0)</f>
        <v>#N/A</v>
      </c>
      <c r="F106" s="28" t="e">
        <f ca="1">VLOOKUP(A106,ICT_PPMP2023!$B$15:Z1051,11,0)</f>
        <v>#N/A</v>
      </c>
      <c r="G106" s="28" t="e">
        <f ca="1">VLOOKUP(A106,ICT_PPMP2023!$B$15:Z1051,15,0)</f>
        <v>#N/A</v>
      </c>
      <c r="H106" s="28" t="e">
        <f ca="1">VLOOKUP(A106,ICT_PPMP2023!$B$15:Z1051,19,0)</f>
        <v>#N/A</v>
      </c>
      <c r="I106" s="28" t="e">
        <f ca="1">VLOOKUP(A106,ICT_PPMP2023!$B$15:Z1051,2,0)</f>
        <v>#N/A</v>
      </c>
      <c r="J106" s="31" t="e">
        <f ca="1">VLOOKUP(A106,ICT_PPMP2023!$B$15:Z1051,4,0)</f>
        <v>#N/A</v>
      </c>
      <c r="K106" s="32" t="e">
        <f t="shared" ca="1" si="0"/>
        <v>#N/A</v>
      </c>
      <c r="L106" s="8"/>
      <c r="M106" s="8"/>
      <c r="N106" s="8"/>
      <c r="O106" s="8"/>
      <c r="P106" s="8"/>
      <c r="Q106" s="8"/>
      <c r="R106" s="8"/>
      <c r="S106" s="8"/>
      <c r="T106" s="8"/>
      <c r="U106" s="8"/>
      <c r="V106" s="8"/>
      <c r="W106" s="8"/>
      <c r="X106" s="8"/>
      <c r="Y106" s="8"/>
      <c r="Z106" s="8"/>
      <c r="AA106" s="8"/>
    </row>
    <row r="107" spans="1:27" ht="30">
      <c r="A107" s="15" t="str">
        <f ca="1">IFERROR(__xludf.DUMMYFUNCTION("""COMPUTED_VALUE"""),"Flex cable set compatible for printer")</f>
        <v>Flex cable set compatible for printer</v>
      </c>
      <c r="B107" s="28">
        <v>95</v>
      </c>
      <c r="C107" s="28" t="e">
        <f ca="1">VLOOKUP(A107,ICT_PPMP2023!$B$15:Z1051,3,0)</f>
        <v>#N/A</v>
      </c>
      <c r="D107" s="33" t="str">
        <f ca="1">IFERROR(__xludf.DUMMYFUNCTION("""COMPUTED_VALUE"""),"Flex cable set compatible for printer
Flex cable set compatible with the existing Epson L3110")</f>
        <v>Flex cable set compatible for printer
Flex cable set compatible with the existing Epson L3110</v>
      </c>
      <c r="E107" s="28" t="e">
        <f ca="1">VLOOKUP(A107,ICT_PPMP2023!$B$15:Z1051,7,0)</f>
        <v>#N/A</v>
      </c>
      <c r="F107" s="28" t="e">
        <f ca="1">VLOOKUP(A107,ICT_PPMP2023!$B$15:Z1051,11,0)</f>
        <v>#N/A</v>
      </c>
      <c r="G107" s="28" t="e">
        <f ca="1">VLOOKUP(A107,ICT_PPMP2023!$B$15:Z1051,15,0)</f>
        <v>#N/A</v>
      </c>
      <c r="H107" s="28" t="e">
        <f ca="1">VLOOKUP(A107,ICT_PPMP2023!$B$15:Z1051,19,0)</f>
        <v>#N/A</v>
      </c>
      <c r="I107" s="28" t="e">
        <f ca="1">VLOOKUP(A107,ICT_PPMP2023!$B$15:Z1051,2,0)</f>
        <v>#N/A</v>
      </c>
      <c r="J107" s="31" t="e">
        <f ca="1">VLOOKUP(A107,ICT_PPMP2023!$B$15:Z1051,4,0)</f>
        <v>#N/A</v>
      </c>
      <c r="K107" s="32" t="e">
        <f t="shared" ca="1" si="0"/>
        <v>#N/A</v>
      </c>
      <c r="L107" s="8"/>
      <c r="M107" s="8"/>
      <c r="N107" s="8"/>
      <c r="O107" s="8"/>
      <c r="P107" s="8"/>
      <c r="Q107" s="8"/>
      <c r="R107" s="8"/>
      <c r="S107" s="8"/>
      <c r="T107" s="8"/>
      <c r="U107" s="8"/>
      <c r="V107" s="8"/>
      <c r="W107" s="8"/>
      <c r="X107" s="8"/>
      <c r="Y107" s="8"/>
      <c r="Z107" s="8"/>
      <c r="AA107" s="8"/>
    </row>
    <row r="108" spans="1:27" ht="45">
      <c r="A108" s="15" t="str">
        <f ca="1">IFERROR(__xludf.DUMMYFUNCTION("""COMPUTED_VALUE"""),"Foldable Platform Truck, 300kgs (Steel)")</f>
        <v>Foldable Platform Truck, 300kgs (Steel)</v>
      </c>
      <c r="B108" s="28">
        <v>96</v>
      </c>
      <c r="C108" s="28" t="e">
        <f ca="1">VLOOKUP(A108,ICT_PPMP2023!$B$15:Z1051,3,0)</f>
        <v>#N/A</v>
      </c>
      <c r="D108" s="33" t="str">
        <f ca="1">IFERROR(__xludf.DUMMYFUNCTION("""COMPUTED_VALUE"""),"Foldable Platform Truck, 300kgs (Steel)
Loading Capacity: 300 kg
Wheel Size: 5”")</f>
        <v>Foldable Platform Truck, 300kgs (Steel)
Loading Capacity: 300 kg
Wheel Size: 5”</v>
      </c>
      <c r="E108" s="28" t="e">
        <f ca="1">VLOOKUP(A108,ICT_PPMP2023!$B$15:Z1051,7,0)</f>
        <v>#N/A</v>
      </c>
      <c r="F108" s="28" t="e">
        <f ca="1">VLOOKUP(A108,ICT_PPMP2023!$B$15:Z1051,11,0)</f>
        <v>#N/A</v>
      </c>
      <c r="G108" s="28" t="e">
        <f ca="1">VLOOKUP(A108,ICT_PPMP2023!$B$15:Z1051,15,0)</f>
        <v>#N/A</v>
      </c>
      <c r="H108" s="28" t="e">
        <f ca="1">VLOOKUP(A108,ICT_PPMP2023!$B$15:Z1051,19,0)</f>
        <v>#N/A</v>
      </c>
      <c r="I108" s="28" t="e">
        <f ca="1">VLOOKUP(A108,ICT_PPMP2023!$B$15:Z1051,2,0)</f>
        <v>#N/A</v>
      </c>
      <c r="J108" s="31" t="e">
        <f ca="1">VLOOKUP(A108,ICT_PPMP2023!$B$15:Z1051,4,0)</f>
        <v>#N/A</v>
      </c>
      <c r="K108" s="32" t="e">
        <f t="shared" ca="1" si="0"/>
        <v>#N/A</v>
      </c>
      <c r="L108" s="8"/>
      <c r="M108" s="8"/>
      <c r="N108" s="8"/>
      <c r="O108" s="8"/>
      <c r="P108" s="8"/>
      <c r="Q108" s="8"/>
      <c r="R108" s="8"/>
      <c r="S108" s="8"/>
      <c r="T108" s="8"/>
      <c r="U108" s="8"/>
      <c r="V108" s="8"/>
      <c r="W108" s="8"/>
      <c r="X108" s="8"/>
      <c r="Y108" s="8"/>
      <c r="Z108" s="8"/>
      <c r="AA108" s="8"/>
    </row>
    <row r="109" spans="1:27" ht="60">
      <c r="A109" s="15" t="str">
        <f ca="1">IFERROR(__xludf.DUMMYFUNCTION("""COMPUTED_VALUE"""),"Gigabit PCI Express Network Adapter")</f>
        <v>Gigabit PCI Express Network Adapter</v>
      </c>
      <c r="B109" s="28">
        <v>97</v>
      </c>
      <c r="C109" s="28" t="e">
        <f ca="1">VLOOKUP(A109,ICT_PPMP2023!$B$15:Z1051,3,0)</f>
        <v>#N/A</v>
      </c>
      <c r="D109" s="33" t="str">
        <f ca="1">IFERROR(__xludf.DUMMYFUNCTION("""COMPUTED_VALUE"""),"Gigabit PCI Express Network Adapter
32-bit PCI Express
1 10/100/1000Mbps RJ45 port
Wake-on-LAN")</f>
        <v>Gigabit PCI Express Network Adapter
32-bit PCI Express
1 10/100/1000Mbps RJ45 port
Wake-on-LAN</v>
      </c>
      <c r="E109" s="28" t="e">
        <f ca="1">VLOOKUP(A109,ICT_PPMP2023!$B$15:Z1051,7,0)</f>
        <v>#N/A</v>
      </c>
      <c r="F109" s="28" t="e">
        <f ca="1">VLOOKUP(A109,ICT_PPMP2023!$B$15:Z1051,11,0)</f>
        <v>#N/A</v>
      </c>
      <c r="G109" s="28" t="e">
        <f ca="1">VLOOKUP(A109,ICT_PPMP2023!$B$15:Z1051,15,0)</f>
        <v>#N/A</v>
      </c>
      <c r="H109" s="28" t="e">
        <f ca="1">VLOOKUP(A109,ICT_PPMP2023!$B$15:Z1051,19,0)</f>
        <v>#N/A</v>
      </c>
      <c r="I109" s="28" t="e">
        <f ca="1">VLOOKUP(A109,ICT_PPMP2023!$B$15:Z1051,2,0)</f>
        <v>#N/A</v>
      </c>
      <c r="J109" s="31" t="e">
        <f ca="1">VLOOKUP(A109,ICT_PPMP2023!$B$15:Z1051,4,0)</f>
        <v>#N/A</v>
      </c>
      <c r="K109" s="32" t="e">
        <f t="shared" ca="1" si="0"/>
        <v>#N/A</v>
      </c>
      <c r="L109" s="8"/>
      <c r="M109" s="8"/>
      <c r="N109" s="8"/>
      <c r="O109" s="8"/>
      <c r="P109" s="8"/>
      <c r="Q109" s="8"/>
      <c r="R109" s="8"/>
      <c r="S109" s="8"/>
      <c r="T109" s="8"/>
      <c r="U109" s="8"/>
      <c r="V109" s="8"/>
      <c r="W109" s="8"/>
      <c r="X109" s="8"/>
      <c r="Y109" s="8"/>
      <c r="Z109" s="8"/>
      <c r="AA109" s="8"/>
    </row>
    <row r="110" spans="1:27" ht="30">
      <c r="A110" s="15" t="str">
        <f ca="1">IFERROR(__xludf.DUMMYFUNCTION("""COMPUTED_VALUE"""),"Hand-Held Radio dual band")</f>
        <v>Hand-Held Radio dual band</v>
      </c>
      <c r="B110" s="28">
        <v>98</v>
      </c>
      <c r="C110" s="28" t="e">
        <f ca="1">VLOOKUP(A110,ICT_PPMP2023!$B$15:Z1051,3,0)</f>
        <v>#N/A</v>
      </c>
      <c r="D110" s="33" t="str">
        <f ca="1">IFERROR(__xludf.DUMMYFUNCTION("""COMPUTED_VALUE"""),"Hand-Held Radio dual band
Hand-Held Radio dual band")</f>
        <v>Hand-Held Radio dual band
Hand-Held Radio dual band</v>
      </c>
      <c r="E110" s="28" t="e">
        <f ca="1">VLOOKUP(A110,ICT_PPMP2023!$B$15:Z1051,7,0)</f>
        <v>#N/A</v>
      </c>
      <c r="F110" s="28" t="e">
        <f ca="1">VLOOKUP(A110,ICT_PPMP2023!$B$15:Z1051,11,0)</f>
        <v>#N/A</v>
      </c>
      <c r="G110" s="28" t="e">
        <f ca="1">VLOOKUP(A110,ICT_PPMP2023!$B$15:Z1051,15,0)</f>
        <v>#N/A</v>
      </c>
      <c r="H110" s="28" t="e">
        <f ca="1">VLOOKUP(A110,ICT_PPMP2023!$B$15:Z1051,19,0)</f>
        <v>#N/A</v>
      </c>
      <c r="I110" s="28" t="e">
        <f ca="1">VLOOKUP(A110,ICT_PPMP2023!$B$15:Z1051,2,0)</f>
        <v>#N/A</v>
      </c>
      <c r="J110" s="31" t="e">
        <f ca="1">VLOOKUP(A110,ICT_PPMP2023!$B$15:Z1051,4,0)</f>
        <v>#N/A</v>
      </c>
      <c r="K110" s="32" t="e">
        <f t="shared" ca="1" si="0"/>
        <v>#N/A</v>
      </c>
      <c r="L110" s="8"/>
      <c r="M110" s="8"/>
      <c r="N110" s="8"/>
      <c r="O110" s="8"/>
      <c r="P110" s="8"/>
      <c r="Q110" s="8"/>
      <c r="R110" s="8"/>
      <c r="S110" s="8"/>
      <c r="T110" s="8"/>
      <c r="U110" s="8"/>
      <c r="V110" s="8"/>
      <c r="W110" s="8"/>
      <c r="X110" s="8"/>
      <c r="Y110" s="8"/>
      <c r="Z110" s="8"/>
      <c r="AA110" s="8"/>
    </row>
    <row r="111" spans="1:27" ht="60">
      <c r="A111" s="15" t="str">
        <f ca="1">IFERROR(__xludf.DUMMYFUNCTION("""COMPUTED_VALUE"""),"HDMI 2.0 Cable 4K 10m")</f>
        <v>HDMI 2.0 Cable 4K 10m</v>
      </c>
      <c r="B111" s="28">
        <v>99</v>
      </c>
      <c r="C111" s="28" t="e">
        <f ca="1">VLOOKUP(A111,ICT_PPMP2023!$B$15:Z1051,3,0)</f>
        <v>#N/A</v>
      </c>
      <c r="D111" s="33" t="str">
        <f ca="1">IFERROR(__xludf.DUMMYFUNCTION("""COMPUTED_VALUE"""),"HDMI 2.0 Cable 4K 10m
HDMI 2.0 Cable 4K HDMI Male to Male High Speed HDMI Adapter
10 Meter")</f>
        <v>HDMI 2.0 Cable 4K 10m
HDMI 2.0 Cable 4K HDMI Male to Male High Speed HDMI Adapter
10 Meter</v>
      </c>
      <c r="E111" s="28" t="e">
        <f ca="1">VLOOKUP(A111,ICT_PPMP2023!$B$15:Z1051,7,0)</f>
        <v>#N/A</v>
      </c>
      <c r="F111" s="28" t="e">
        <f ca="1">VLOOKUP(A111,ICT_PPMP2023!$B$15:Z1051,11,0)</f>
        <v>#N/A</v>
      </c>
      <c r="G111" s="28" t="e">
        <f ca="1">VLOOKUP(A111,ICT_PPMP2023!$B$15:Z1051,15,0)</f>
        <v>#N/A</v>
      </c>
      <c r="H111" s="28" t="e">
        <f ca="1">VLOOKUP(A111,ICT_PPMP2023!$B$15:Z1051,19,0)</f>
        <v>#N/A</v>
      </c>
      <c r="I111" s="28" t="e">
        <f ca="1">VLOOKUP(A111,ICT_PPMP2023!$B$15:Z1051,2,0)</f>
        <v>#N/A</v>
      </c>
      <c r="J111" s="31" t="e">
        <f ca="1">VLOOKUP(A111,ICT_PPMP2023!$B$15:Z1051,4,0)</f>
        <v>#N/A</v>
      </c>
      <c r="K111" s="32" t="e">
        <f t="shared" ca="1" si="0"/>
        <v>#N/A</v>
      </c>
      <c r="L111" s="8"/>
      <c r="M111" s="8"/>
      <c r="N111" s="8"/>
      <c r="O111" s="8"/>
      <c r="P111" s="8"/>
      <c r="Q111" s="8"/>
      <c r="R111" s="8"/>
      <c r="S111" s="8"/>
      <c r="T111" s="8"/>
      <c r="U111" s="8"/>
      <c r="V111" s="8"/>
      <c r="W111" s="8"/>
      <c r="X111" s="8"/>
      <c r="Y111" s="8"/>
      <c r="Z111" s="8"/>
      <c r="AA111" s="8"/>
    </row>
    <row r="112" spans="1:27" ht="60">
      <c r="A112" s="15" t="str">
        <f ca="1">IFERROR(__xludf.DUMMYFUNCTION("""COMPUTED_VALUE"""),"HDMI 2.0 Cable 4K 1m")</f>
        <v>HDMI 2.0 Cable 4K 1m</v>
      </c>
      <c r="B112" s="28">
        <v>100</v>
      </c>
      <c r="C112" s="28" t="e">
        <f ca="1">VLOOKUP(A112,ICT_PPMP2023!$B$15:Z1051,3,0)</f>
        <v>#N/A</v>
      </c>
      <c r="D112" s="33" t="str">
        <f ca="1">IFERROR(__xludf.DUMMYFUNCTION("""COMPUTED_VALUE"""),"HDMI 2.0 Cable 4K 1m
HDMI 2.0 Cable 4K HDMI Male to Male High Speed HDMI Adapter
1 Meter")</f>
        <v>HDMI 2.0 Cable 4K 1m
HDMI 2.0 Cable 4K HDMI Male to Male High Speed HDMI Adapter
1 Meter</v>
      </c>
      <c r="E112" s="28" t="e">
        <f ca="1">VLOOKUP(A112,ICT_PPMP2023!$B$15:Z1051,7,0)</f>
        <v>#N/A</v>
      </c>
      <c r="F112" s="28" t="e">
        <f ca="1">VLOOKUP(A112,ICT_PPMP2023!$B$15:Z1051,11,0)</f>
        <v>#N/A</v>
      </c>
      <c r="G112" s="28" t="e">
        <f ca="1">VLOOKUP(A112,ICT_PPMP2023!$B$15:Z1051,15,0)</f>
        <v>#N/A</v>
      </c>
      <c r="H112" s="28" t="e">
        <f ca="1">VLOOKUP(A112,ICT_PPMP2023!$B$15:Z1051,19,0)</f>
        <v>#N/A</v>
      </c>
      <c r="I112" s="28" t="e">
        <f ca="1">VLOOKUP(A112,ICT_PPMP2023!$B$15:Z1051,2,0)</f>
        <v>#N/A</v>
      </c>
      <c r="J112" s="31" t="e">
        <f ca="1">VLOOKUP(A112,ICT_PPMP2023!$B$15:Z1051,4,0)</f>
        <v>#N/A</v>
      </c>
      <c r="K112" s="32" t="e">
        <f t="shared" ca="1" si="0"/>
        <v>#N/A</v>
      </c>
      <c r="L112" s="8"/>
      <c r="M112" s="8"/>
      <c r="N112" s="8"/>
      <c r="O112" s="8"/>
      <c r="P112" s="8"/>
      <c r="Q112" s="8"/>
      <c r="R112" s="8"/>
      <c r="S112" s="8"/>
      <c r="T112" s="8"/>
      <c r="U112" s="8"/>
      <c r="V112" s="8"/>
      <c r="W112" s="8"/>
      <c r="X112" s="8"/>
      <c r="Y112" s="8"/>
      <c r="Z112" s="8"/>
      <c r="AA112" s="8"/>
    </row>
    <row r="113" spans="1:27" ht="30">
      <c r="A113" s="15" t="str">
        <f ca="1">IFERROR(__xludf.DUMMYFUNCTION("""COMPUTED_VALUE"""),"HP 107A Black Original Laser Toner Cartridge")</f>
        <v>HP 107A Black Original Laser Toner Cartridge</v>
      </c>
      <c r="B113" s="28">
        <v>101</v>
      </c>
      <c r="C113" s="28" t="e">
        <f ca="1">VLOOKUP(A113,ICT_PPMP2023!$B$15:Z1051,3,0)</f>
        <v>#N/A</v>
      </c>
      <c r="D113" s="33" t="str">
        <f ca="1">IFERROR(__xludf.DUMMYFUNCTION("""COMPUTED_VALUE"""),"HP 107A Black Original Laser Toner Cartridge
HP 107A Black Original Laser Toner Cartridge")</f>
        <v>HP 107A Black Original Laser Toner Cartridge
HP 107A Black Original Laser Toner Cartridge</v>
      </c>
      <c r="E113" s="28" t="e">
        <f ca="1">VLOOKUP(A113,ICT_PPMP2023!$B$15:Z1051,7,0)</f>
        <v>#N/A</v>
      </c>
      <c r="F113" s="28" t="e">
        <f ca="1">VLOOKUP(A113,ICT_PPMP2023!$B$15:Z1051,11,0)</f>
        <v>#N/A</v>
      </c>
      <c r="G113" s="28" t="e">
        <f ca="1">VLOOKUP(A113,ICT_PPMP2023!$B$15:Z1051,15,0)</f>
        <v>#N/A</v>
      </c>
      <c r="H113" s="28" t="e">
        <f ca="1">VLOOKUP(A113,ICT_PPMP2023!$B$15:Z1051,19,0)</f>
        <v>#N/A</v>
      </c>
      <c r="I113" s="28" t="e">
        <f ca="1">VLOOKUP(A113,ICT_PPMP2023!$B$15:Z1051,2,0)</f>
        <v>#N/A</v>
      </c>
      <c r="J113" s="31" t="e">
        <f ca="1">VLOOKUP(A113,ICT_PPMP2023!$B$15:Z1051,4,0)</f>
        <v>#N/A</v>
      </c>
      <c r="K113" s="32" t="e">
        <f t="shared" ca="1" si="0"/>
        <v>#N/A</v>
      </c>
      <c r="L113" s="8"/>
      <c r="M113" s="8"/>
      <c r="N113" s="8"/>
      <c r="O113" s="8"/>
      <c r="P113" s="8"/>
      <c r="Q113" s="8"/>
      <c r="R113" s="8"/>
      <c r="S113" s="8"/>
      <c r="T113" s="8"/>
      <c r="U113" s="8"/>
      <c r="V113" s="8"/>
      <c r="W113" s="8"/>
      <c r="X113" s="8"/>
      <c r="Y113" s="8"/>
      <c r="Z113" s="8"/>
      <c r="AA113" s="8"/>
    </row>
    <row r="114" spans="1:27" ht="30">
      <c r="A114" s="15" t="str">
        <f ca="1">IFERROR(__xludf.DUMMYFUNCTION("""COMPUTED_VALUE"""),"HP 17A Black Original LaserJet Toner Cartridge")</f>
        <v>HP 17A Black Original LaserJet Toner Cartridge</v>
      </c>
      <c r="B114" s="28">
        <v>102</v>
      </c>
      <c r="C114" s="28" t="e">
        <f ca="1">VLOOKUP(A114,ICT_PPMP2023!$B$15:Z1051,3,0)</f>
        <v>#N/A</v>
      </c>
      <c r="D114" s="33" t="str">
        <f ca="1">IFERROR(__xludf.DUMMYFUNCTION("""COMPUTED_VALUE"""),"HP 17A Black Original LaserJet Toner Cartridge
HP 17A Black Original LaserJet Toner Cartridge, CF217A")</f>
        <v>HP 17A Black Original LaserJet Toner Cartridge
HP 17A Black Original LaserJet Toner Cartridge, CF217A</v>
      </c>
      <c r="E114" s="28" t="e">
        <f ca="1">VLOOKUP(A114,ICT_PPMP2023!$B$15:Z1051,7,0)</f>
        <v>#N/A</v>
      </c>
      <c r="F114" s="28" t="e">
        <f ca="1">VLOOKUP(A114,ICT_PPMP2023!$B$15:Z1051,11,0)</f>
        <v>#N/A</v>
      </c>
      <c r="G114" s="28" t="e">
        <f ca="1">VLOOKUP(A114,ICT_PPMP2023!$B$15:Z1051,15,0)</f>
        <v>#N/A</v>
      </c>
      <c r="H114" s="28" t="e">
        <f ca="1">VLOOKUP(A114,ICT_PPMP2023!$B$15:Z1051,19,0)</f>
        <v>#N/A</v>
      </c>
      <c r="I114" s="28" t="e">
        <f ca="1">VLOOKUP(A114,ICT_PPMP2023!$B$15:Z1051,2,0)</f>
        <v>#N/A</v>
      </c>
      <c r="J114" s="31" t="e">
        <f ca="1">VLOOKUP(A114,ICT_PPMP2023!$B$15:Z1051,4,0)</f>
        <v>#N/A</v>
      </c>
      <c r="K114" s="32" t="e">
        <f t="shared" ca="1" si="0"/>
        <v>#N/A</v>
      </c>
      <c r="L114" s="8"/>
      <c r="M114" s="8"/>
      <c r="N114" s="8"/>
      <c r="O114" s="8"/>
      <c r="P114" s="8"/>
      <c r="Q114" s="8"/>
      <c r="R114" s="8"/>
      <c r="S114" s="8"/>
      <c r="T114" s="8"/>
      <c r="U114" s="8"/>
      <c r="V114" s="8"/>
      <c r="W114" s="8"/>
      <c r="X114" s="8"/>
      <c r="Y114" s="8"/>
      <c r="Z114" s="8"/>
      <c r="AA114" s="8"/>
    </row>
    <row r="115" spans="1:27" ht="30">
      <c r="A115" s="15" t="str">
        <f ca="1">IFERROR(__xludf.DUMMYFUNCTION("""COMPUTED_VALUE"""),"HP 680 Black Original Ink Advantage Cartridge")</f>
        <v>HP 680 Black Original Ink Advantage Cartridge</v>
      </c>
      <c r="B115" s="28">
        <v>103</v>
      </c>
      <c r="C115" s="28" t="e">
        <f ca="1">VLOOKUP(A115,ICT_PPMP2023!$B$15:Z1051,3,0)</f>
        <v>#N/A</v>
      </c>
      <c r="D115" s="33" t="str">
        <f ca="1">IFERROR(__xludf.DUMMYFUNCTION("""COMPUTED_VALUE"""),"HP 680 Black Original Ink Advantage Cartridge
HP 680 Black Original Ink Advantage Cartridge")</f>
        <v>HP 680 Black Original Ink Advantage Cartridge
HP 680 Black Original Ink Advantage Cartridge</v>
      </c>
      <c r="E115" s="28" t="e">
        <f ca="1">VLOOKUP(A115,ICT_PPMP2023!$B$15:Z1051,7,0)</f>
        <v>#N/A</v>
      </c>
      <c r="F115" s="28" t="e">
        <f ca="1">VLOOKUP(A115,ICT_PPMP2023!$B$15:Z1051,11,0)</f>
        <v>#N/A</v>
      </c>
      <c r="G115" s="28" t="e">
        <f ca="1">VLOOKUP(A115,ICT_PPMP2023!$B$15:Z1051,15,0)</f>
        <v>#N/A</v>
      </c>
      <c r="H115" s="28" t="e">
        <f ca="1">VLOOKUP(A115,ICT_PPMP2023!$B$15:Z1051,19,0)</f>
        <v>#N/A</v>
      </c>
      <c r="I115" s="28" t="e">
        <f ca="1">VLOOKUP(A115,ICT_PPMP2023!$B$15:Z1051,2,0)</f>
        <v>#N/A</v>
      </c>
      <c r="J115" s="31" t="e">
        <f ca="1">VLOOKUP(A115,ICT_PPMP2023!$B$15:Z1051,4,0)</f>
        <v>#N/A</v>
      </c>
      <c r="K115" s="32" t="e">
        <f t="shared" ca="1" si="0"/>
        <v>#N/A</v>
      </c>
      <c r="L115" s="8"/>
      <c r="M115" s="8"/>
      <c r="N115" s="8"/>
      <c r="O115" s="8"/>
      <c r="P115" s="8"/>
      <c r="Q115" s="8"/>
      <c r="R115" s="8"/>
      <c r="S115" s="8"/>
      <c r="T115" s="8"/>
      <c r="U115" s="8"/>
      <c r="V115" s="8"/>
      <c r="W115" s="8"/>
      <c r="X115" s="8"/>
      <c r="Y115" s="8"/>
      <c r="Z115" s="8"/>
      <c r="AA115" s="8"/>
    </row>
    <row r="116" spans="1:27" ht="30">
      <c r="A116" s="15" t="str">
        <f ca="1">IFERROR(__xludf.DUMMYFUNCTION("""COMPUTED_VALUE"""),"HP 680 Tri-Color Ink Cartridge")</f>
        <v>HP 680 Tri-Color Ink Cartridge</v>
      </c>
      <c r="B116" s="28">
        <v>104</v>
      </c>
      <c r="C116" s="28" t="e">
        <f ca="1">VLOOKUP(A116,ICT_PPMP2023!$B$15:Z1051,3,0)</f>
        <v>#N/A</v>
      </c>
      <c r="D116" s="33" t="str">
        <f ca="1">IFERROR(__xludf.DUMMYFUNCTION("""COMPUTED_VALUE"""),"HP 680 Tri-Color Ink Cartridge
HP 680 Tri-Color Ink Cartridge")</f>
        <v>HP 680 Tri-Color Ink Cartridge
HP 680 Tri-Color Ink Cartridge</v>
      </c>
      <c r="E116" s="28" t="e">
        <f ca="1">VLOOKUP(A116,ICT_PPMP2023!$B$15:Z1051,7,0)</f>
        <v>#N/A</v>
      </c>
      <c r="F116" s="28" t="e">
        <f ca="1">VLOOKUP(A116,ICT_PPMP2023!$B$15:Z1051,11,0)</f>
        <v>#N/A</v>
      </c>
      <c r="G116" s="28" t="e">
        <f ca="1">VLOOKUP(A116,ICT_PPMP2023!$B$15:Z1051,15,0)</f>
        <v>#N/A</v>
      </c>
      <c r="H116" s="28" t="e">
        <f ca="1">VLOOKUP(A116,ICT_PPMP2023!$B$15:Z1051,19,0)</f>
        <v>#N/A</v>
      </c>
      <c r="I116" s="28" t="e">
        <f ca="1">VLOOKUP(A116,ICT_PPMP2023!$B$15:Z1051,2,0)</f>
        <v>#N/A</v>
      </c>
      <c r="J116" s="31" t="e">
        <f ca="1">VLOOKUP(A116,ICT_PPMP2023!$B$15:Z1051,4,0)</f>
        <v>#N/A</v>
      </c>
      <c r="K116" s="32" t="e">
        <f t="shared" ca="1" si="0"/>
        <v>#N/A</v>
      </c>
      <c r="L116" s="8"/>
      <c r="M116" s="8"/>
      <c r="N116" s="8"/>
      <c r="O116" s="8"/>
      <c r="P116" s="8"/>
      <c r="Q116" s="8"/>
      <c r="R116" s="8"/>
      <c r="S116" s="8"/>
      <c r="T116" s="8"/>
      <c r="U116" s="8"/>
      <c r="V116" s="8"/>
      <c r="W116" s="8"/>
      <c r="X116" s="8"/>
      <c r="Y116" s="8"/>
      <c r="Z116" s="8"/>
      <c r="AA116" s="8"/>
    </row>
    <row r="117" spans="1:27" ht="30">
      <c r="A117" s="15" t="str">
        <f ca="1">IFERROR(__xludf.DUMMYFUNCTION("""COMPUTED_VALUE"""),"HP 85A Black Original LaserJet Toner Cartridge")</f>
        <v>HP 85A Black Original LaserJet Toner Cartridge</v>
      </c>
      <c r="B117" s="28">
        <v>105</v>
      </c>
      <c r="C117" s="28" t="e">
        <f ca="1">VLOOKUP(A117,ICT_PPMP2023!$B$15:Z1051,3,0)</f>
        <v>#N/A</v>
      </c>
      <c r="D117" s="33" t="str">
        <f ca="1">IFERROR(__xludf.DUMMYFUNCTION("""COMPUTED_VALUE"""),"HP 85A Black Original LaserJet Toner Cartridge
HP 85A Black Original LaserJet Toner Cartridge, CE285A")</f>
        <v>HP 85A Black Original LaserJet Toner Cartridge
HP 85A Black Original LaserJet Toner Cartridge, CE285A</v>
      </c>
      <c r="E117" s="28" t="e">
        <f ca="1">VLOOKUP(A117,ICT_PPMP2023!$B$15:Z1051,7,0)</f>
        <v>#N/A</v>
      </c>
      <c r="F117" s="28" t="e">
        <f ca="1">VLOOKUP(A117,ICT_PPMP2023!$B$15:Z1051,11,0)</f>
        <v>#N/A</v>
      </c>
      <c r="G117" s="28" t="e">
        <f ca="1">VLOOKUP(A117,ICT_PPMP2023!$B$15:Z1051,15,0)</f>
        <v>#N/A</v>
      </c>
      <c r="H117" s="28" t="e">
        <f ca="1">VLOOKUP(A117,ICT_PPMP2023!$B$15:Z1051,19,0)</f>
        <v>#N/A</v>
      </c>
      <c r="I117" s="28" t="e">
        <f ca="1">VLOOKUP(A117,ICT_PPMP2023!$B$15:Z1051,2,0)</f>
        <v>#N/A</v>
      </c>
      <c r="J117" s="31" t="e">
        <f ca="1">VLOOKUP(A117,ICT_PPMP2023!$B$15:Z1051,4,0)</f>
        <v>#N/A</v>
      </c>
      <c r="K117" s="32" t="e">
        <f t="shared" ca="1" si="0"/>
        <v>#N/A</v>
      </c>
      <c r="L117" s="8"/>
      <c r="M117" s="8"/>
      <c r="N117" s="8"/>
      <c r="O117" s="8"/>
      <c r="P117" s="8"/>
      <c r="Q117" s="8"/>
      <c r="R117" s="8"/>
      <c r="S117" s="8"/>
      <c r="T117" s="8"/>
      <c r="U117" s="8"/>
      <c r="V117" s="8"/>
      <c r="W117" s="8"/>
      <c r="X117" s="8"/>
      <c r="Y117" s="8"/>
      <c r="Z117" s="8"/>
      <c r="AA117" s="8"/>
    </row>
    <row r="118" spans="1:27" ht="45">
      <c r="A118" s="15" t="str">
        <f ca="1">IFERROR(__xludf.DUMMYFUNCTION("""COMPUTED_VALUE"""),"HP Genuine Ink Refill - (GT52) Cyan")</f>
        <v>HP Genuine Ink Refill - (GT52) Cyan</v>
      </c>
      <c r="B118" s="28">
        <v>106</v>
      </c>
      <c r="C118" s="28" t="str">
        <f ca="1">VLOOKUP(A118,ICT_PPMP2023!$B$15:Z1051,3,0)</f>
        <v>pc</v>
      </c>
      <c r="D118" s="33" t="str">
        <f ca="1">IFERROR(__xludf.DUMMYFUNCTION("""COMPUTED_VALUE"""),"HP Genuine Ink Refill - (GT52) Cyan
HP Genuine Ink Refill - (GT52) Cyan for existing HP Smart Tank 500 Series Printer")</f>
        <v>HP Genuine Ink Refill - (GT52) Cyan
HP Genuine Ink Refill - (GT52) Cyan for existing HP Smart Tank 500 Series Printer</v>
      </c>
      <c r="E118" s="28">
        <f ca="1">VLOOKUP(A118,ICT_PPMP2023!$B$15:Z1051,7,0)</f>
        <v>20</v>
      </c>
      <c r="F118" s="28">
        <f ca="1">VLOOKUP(A118,ICT_PPMP2023!$B$15:Z1051,11,0)</f>
        <v>0</v>
      </c>
      <c r="G118" s="28">
        <f ca="1">VLOOKUP(A118,ICT_PPMP2023!$B$15:Z1051,15,0)</f>
        <v>0</v>
      </c>
      <c r="H118" s="28">
        <f ca="1">VLOOKUP(A118,ICT_PPMP2023!$B$15:Z1051,19,0)</f>
        <v>0</v>
      </c>
      <c r="I118" s="28">
        <f ca="1">VLOOKUP(A118,ICT_PPMP2023!$B$15:Z1051,2,0)</f>
        <v>20</v>
      </c>
      <c r="J118" s="31">
        <f ca="1">VLOOKUP(A118,ICT_PPMP2023!$B$15:Z1051,4,0)</f>
        <v>435</v>
      </c>
      <c r="K118" s="32">
        <f t="shared" ca="1" si="0"/>
        <v>8700</v>
      </c>
      <c r="L118" s="8"/>
      <c r="M118" s="8"/>
      <c r="N118" s="8"/>
      <c r="O118" s="8"/>
      <c r="P118" s="8"/>
      <c r="Q118" s="8"/>
      <c r="R118" s="8"/>
      <c r="S118" s="8"/>
      <c r="T118" s="8"/>
      <c r="U118" s="8"/>
      <c r="V118" s="8"/>
      <c r="W118" s="8"/>
      <c r="X118" s="8"/>
      <c r="Y118" s="8"/>
      <c r="Z118" s="8"/>
      <c r="AA118" s="8"/>
    </row>
    <row r="119" spans="1:27" ht="45">
      <c r="A119" s="15" t="str">
        <f ca="1">IFERROR(__xludf.DUMMYFUNCTION("""COMPUTED_VALUE"""),"HP Genuine Ink Refill - (GT52) Magenta")</f>
        <v>HP Genuine Ink Refill - (GT52) Magenta</v>
      </c>
      <c r="B119" s="28">
        <v>107</v>
      </c>
      <c r="C119" s="28" t="str">
        <f ca="1">VLOOKUP(A119,ICT_PPMP2023!$B$15:Z1051,3,0)</f>
        <v>pc</v>
      </c>
      <c r="D119" s="33" t="str">
        <f ca="1">IFERROR(__xludf.DUMMYFUNCTION("""COMPUTED_VALUE"""),"HP Genuine Ink Refill - (GT52) Magenta
HP Genuine Ink Refill - (GT52) Magenta for existing HP Smart Tank 500 Series Printer")</f>
        <v>HP Genuine Ink Refill - (GT52) Magenta
HP Genuine Ink Refill - (GT52) Magenta for existing HP Smart Tank 500 Series Printer</v>
      </c>
      <c r="E119" s="28">
        <f ca="1">VLOOKUP(A119,ICT_PPMP2023!$B$15:Z1051,7,0)</f>
        <v>20</v>
      </c>
      <c r="F119" s="28">
        <f ca="1">VLOOKUP(A119,ICT_PPMP2023!$B$15:Z1051,11,0)</f>
        <v>0</v>
      </c>
      <c r="G119" s="28">
        <f ca="1">VLOOKUP(A119,ICT_PPMP2023!$B$15:Z1051,15,0)</f>
        <v>0</v>
      </c>
      <c r="H119" s="28">
        <f ca="1">VLOOKUP(A119,ICT_PPMP2023!$B$15:Z1051,19,0)</f>
        <v>0</v>
      </c>
      <c r="I119" s="28">
        <f ca="1">VLOOKUP(A119,ICT_PPMP2023!$B$15:Z1051,2,0)</f>
        <v>20</v>
      </c>
      <c r="J119" s="31">
        <f ca="1">VLOOKUP(A119,ICT_PPMP2023!$B$15:Z1051,4,0)</f>
        <v>435</v>
      </c>
      <c r="K119" s="32">
        <f t="shared" ca="1" si="0"/>
        <v>8700</v>
      </c>
      <c r="L119" s="8"/>
      <c r="M119" s="8"/>
      <c r="N119" s="8"/>
      <c r="O119" s="8"/>
      <c r="P119" s="8"/>
      <c r="Q119" s="8"/>
      <c r="R119" s="8"/>
      <c r="S119" s="8"/>
      <c r="T119" s="8"/>
      <c r="U119" s="8"/>
      <c r="V119" s="8"/>
      <c r="W119" s="8"/>
      <c r="X119" s="8"/>
      <c r="Y119" s="8"/>
      <c r="Z119" s="8"/>
      <c r="AA119" s="8"/>
    </row>
    <row r="120" spans="1:27" ht="45">
      <c r="A120" s="15" t="str">
        <f ca="1">IFERROR(__xludf.DUMMYFUNCTION("""COMPUTED_VALUE"""),"HP Genuine Ink Refill - (GT52) Yellow")</f>
        <v>HP Genuine Ink Refill - (GT52) Yellow</v>
      </c>
      <c r="B120" s="28">
        <v>108</v>
      </c>
      <c r="C120" s="28" t="str">
        <f ca="1">VLOOKUP(A120,ICT_PPMP2023!$B$15:Z1051,3,0)</f>
        <v>pc</v>
      </c>
      <c r="D120" s="33" t="str">
        <f ca="1">IFERROR(__xludf.DUMMYFUNCTION("""COMPUTED_VALUE"""),"HP Genuine Ink Refill - (GT52) Yellow
HP Genuine Ink Refill - (GT52) Yellow for existing HP Smart Tank 500 Series Printer")</f>
        <v>HP Genuine Ink Refill - (GT52) Yellow
HP Genuine Ink Refill - (GT52) Yellow for existing HP Smart Tank 500 Series Printer</v>
      </c>
      <c r="E120" s="28">
        <f ca="1">VLOOKUP(A120,ICT_PPMP2023!$B$15:Z1051,7,0)</f>
        <v>20</v>
      </c>
      <c r="F120" s="28">
        <f ca="1">VLOOKUP(A120,ICT_PPMP2023!$B$15:Z1051,11,0)</f>
        <v>0</v>
      </c>
      <c r="G120" s="28">
        <f ca="1">VLOOKUP(A120,ICT_PPMP2023!$B$15:Z1051,15,0)</f>
        <v>0</v>
      </c>
      <c r="H120" s="28">
        <f ca="1">VLOOKUP(A120,ICT_PPMP2023!$B$15:Z1051,19,0)</f>
        <v>0</v>
      </c>
      <c r="I120" s="28">
        <f ca="1">VLOOKUP(A120,ICT_PPMP2023!$B$15:Z1051,2,0)</f>
        <v>20</v>
      </c>
      <c r="J120" s="31">
        <f ca="1">VLOOKUP(A120,ICT_PPMP2023!$B$15:Z1051,4,0)</f>
        <v>435</v>
      </c>
      <c r="K120" s="32">
        <f t="shared" ca="1" si="0"/>
        <v>8700</v>
      </c>
      <c r="L120" s="8"/>
      <c r="M120" s="8"/>
      <c r="N120" s="8"/>
      <c r="O120" s="8"/>
      <c r="P120" s="8"/>
      <c r="Q120" s="8"/>
      <c r="R120" s="8"/>
      <c r="S120" s="8"/>
      <c r="T120" s="8"/>
      <c r="U120" s="8"/>
      <c r="V120" s="8"/>
      <c r="W120" s="8"/>
      <c r="X120" s="8"/>
      <c r="Y120" s="8"/>
      <c r="Z120" s="8"/>
      <c r="AA120" s="8"/>
    </row>
    <row r="121" spans="1:27" ht="45">
      <c r="A121" s="15" t="str">
        <f ca="1">IFERROR(__xludf.DUMMYFUNCTION("""COMPUTED_VALUE"""),"HP Genuine Ink Refill - (GT53) Black")</f>
        <v>HP Genuine Ink Refill - (GT53) Black</v>
      </c>
      <c r="B121" s="28">
        <v>109</v>
      </c>
      <c r="C121" s="28" t="str">
        <f ca="1">VLOOKUP(A121,ICT_PPMP2023!$B$15:Z1051,3,0)</f>
        <v>pc</v>
      </c>
      <c r="D121" s="33" t="str">
        <f ca="1">IFERROR(__xludf.DUMMYFUNCTION("""COMPUTED_VALUE"""),"HP Genuine Ink Refill - (GT53) Black
HP Genuine Ink Refill - (GT53) Black for existing HP Smart Tank 500 Series Printer")</f>
        <v>HP Genuine Ink Refill - (GT53) Black
HP Genuine Ink Refill - (GT53) Black for existing HP Smart Tank 500 Series Printer</v>
      </c>
      <c r="E121" s="28">
        <f ca="1">VLOOKUP(A121,ICT_PPMP2023!$B$15:Z1051,7,0)</f>
        <v>120</v>
      </c>
      <c r="F121" s="28">
        <f ca="1">VLOOKUP(A121,ICT_PPMP2023!$B$15:Z1051,11,0)</f>
        <v>0</v>
      </c>
      <c r="G121" s="28">
        <f ca="1">VLOOKUP(A121,ICT_PPMP2023!$B$15:Z1051,15,0)</f>
        <v>0</v>
      </c>
      <c r="H121" s="28">
        <f ca="1">VLOOKUP(A121,ICT_PPMP2023!$B$15:Z1051,19,0)</f>
        <v>0</v>
      </c>
      <c r="I121" s="28">
        <f ca="1">VLOOKUP(A121,ICT_PPMP2023!$B$15:Z1051,2,0)</f>
        <v>120</v>
      </c>
      <c r="J121" s="31">
        <f ca="1">VLOOKUP(A121,ICT_PPMP2023!$B$15:Z1051,4,0)</f>
        <v>435</v>
      </c>
      <c r="K121" s="32">
        <f t="shared" ca="1" si="0"/>
        <v>52200</v>
      </c>
      <c r="L121" s="8"/>
      <c r="M121" s="8"/>
      <c r="N121" s="8"/>
      <c r="O121" s="8"/>
      <c r="P121" s="8"/>
      <c r="Q121" s="8"/>
      <c r="R121" s="8"/>
      <c r="S121" s="8"/>
      <c r="T121" s="8"/>
      <c r="U121" s="8"/>
      <c r="V121" s="8"/>
      <c r="W121" s="8"/>
      <c r="X121" s="8"/>
      <c r="Y121" s="8"/>
      <c r="Z121" s="8"/>
      <c r="AA121" s="8"/>
    </row>
    <row r="122" spans="1:27" ht="60">
      <c r="A122" s="15" t="str">
        <f ca="1">IFERROR(__xludf.DUMMYFUNCTION("""COMPUTED_VALUE"""),"HP Printhead Black compatible with the existing HP Smart Tank 515")</f>
        <v>HP Printhead Black compatible with the existing HP Smart Tank 515</v>
      </c>
      <c r="B122" s="28">
        <v>110</v>
      </c>
      <c r="C122" s="28" t="str">
        <f ca="1">VLOOKUP(A122,ICT_PPMP2023!$B$15:Z1051,3,0)</f>
        <v>pc</v>
      </c>
      <c r="D122" s="33" t="str">
        <f ca="1">IFERROR(__xludf.DUMMYFUNCTION("""COMPUTED_VALUE"""),"HP Printhead Black compatible with the existing HP Smart Tank 515
HP Printhead Black compatible with the existing HP Smart Tank 515")</f>
        <v>HP Printhead Black compatible with the existing HP Smart Tank 515
HP Printhead Black compatible with the existing HP Smart Tank 515</v>
      </c>
      <c r="E122" s="28">
        <f ca="1">VLOOKUP(A122,ICT_PPMP2023!$B$15:Z1051,7,0)</f>
        <v>9</v>
      </c>
      <c r="F122" s="28">
        <f ca="1">VLOOKUP(A122,ICT_PPMP2023!$B$15:Z1051,11,0)</f>
        <v>0</v>
      </c>
      <c r="G122" s="28">
        <f ca="1">VLOOKUP(A122,ICT_PPMP2023!$B$15:Z1051,15,0)</f>
        <v>0</v>
      </c>
      <c r="H122" s="28">
        <f ca="1">VLOOKUP(A122,ICT_PPMP2023!$B$15:Z1051,19,0)</f>
        <v>0</v>
      </c>
      <c r="I122" s="28">
        <f ca="1">VLOOKUP(A122,ICT_PPMP2023!$B$15:Z1051,2,0)</f>
        <v>9</v>
      </c>
      <c r="J122" s="31">
        <f ca="1">VLOOKUP(A122,ICT_PPMP2023!$B$15:Z1051,4,0)</f>
        <v>1500</v>
      </c>
      <c r="K122" s="32">
        <f t="shared" ca="1" si="0"/>
        <v>13500</v>
      </c>
      <c r="L122" s="8"/>
      <c r="M122" s="8"/>
      <c r="N122" s="8"/>
      <c r="O122" s="8"/>
      <c r="P122" s="8"/>
      <c r="Q122" s="8"/>
      <c r="R122" s="8"/>
      <c r="S122" s="8"/>
      <c r="T122" s="8"/>
      <c r="U122" s="8"/>
      <c r="V122" s="8"/>
      <c r="W122" s="8"/>
      <c r="X122" s="8"/>
      <c r="Y122" s="8"/>
      <c r="Z122" s="8"/>
      <c r="AA122" s="8"/>
    </row>
    <row r="123" spans="1:27" ht="60">
      <c r="A123" s="15" t="str">
        <f ca="1">IFERROR(__xludf.DUMMYFUNCTION("""COMPUTED_VALUE"""),"HP Printhead Tri-color compatible with the existing HP Smart Tank 515")</f>
        <v>HP Printhead Tri-color compatible with the existing HP Smart Tank 515</v>
      </c>
      <c r="B123" s="28">
        <v>111</v>
      </c>
      <c r="C123" s="28" t="str">
        <f ca="1">VLOOKUP(A123,ICT_PPMP2023!$B$15:Z1051,3,0)</f>
        <v>pc</v>
      </c>
      <c r="D123" s="33" t="str">
        <f ca="1">IFERROR(__xludf.DUMMYFUNCTION("""COMPUTED_VALUE"""),"HP Printhead Tri-color compatible with the existing HP Smart Tank 515
HP Printhead Tri-color compatible with the existing HP Smart Tank 515")</f>
        <v>HP Printhead Tri-color compatible with the existing HP Smart Tank 515
HP Printhead Tri-color compatible with the existing HP Smart Tank 515</v>
      </c>
      <c r="E123" s="28">
        <f ca="1">VLOOKUP(A123,ICT_PPMP2023!$B$15:Z1051,7,0)</f>
        <v>5</v>
      </c>
      <c r="F123" s="28">
        <f ca="1">VLOOKUP(A123,ICT_PPMP2023!$B$15:Z1051,11,0)</f>
        <v>0</v>
      </c>
      <c r="G123" s="28">
        <f ca="1">VLOOKUP(A123,ICT_PPMP2023!$B$15:Z1051,15,0)</f>
        <v>0</v>
      </c>
      <c r="H123" s="28">
        <f ca="1">VLOOKUP(A123,ICT_PPMP2023!$B$15:Z1051,19,0)</f>
        <v>0</v>
      </c>
      <c r="I123" s="28">
        <f ca="1">VLOOKUP(A123,ICT_PPMP2023!$B$15:Z1051,2,0)</f>
        <v>5</v>
      </c>
      <c r="J123" s="31">
        <f ca="1">VLOOKUP(A123,ICT_PPMP2023!$B$15:Z1051,4,0)</f>
        <v>1500</v>
      </c>
      <c r="K123" s="32">
        <f t="shared" ca="1" si="0"/>
        <v>7500</v>
      </c>
      <c r="L123" s="8"/>
      <c r="M123" s="8"/>
      <c r="N123" s="8"/>
      <c r="O123" s="8"/>
      <c r="P123" s="8"/>
      <c r="Q123" s="8"/>
      <c r="R123" s="8"/>
      <c r="S123" s="8"/>
      <c r="T123" s="8"/>
      <c r="U123" s="8"/>
      <c r="V123" s="8"/>
      <c r="W123" s="8"/>
      <c r="X123" s="8"/>
      <c r="Y123" s="8"/>
      <c r="Z123" s="8"/>
      <c r="AA123" s="8"/>
    </row>
    <row r="124" spans="1:27" ht="75">
      <c r="A124" s="15" t="str">
        <f ca="1">IFERROR(__xludf.DUMMYFUNCTION("""COMPUTED_VALUE"""),"ID Card Printer Genuine Color Ribbon (650643)")</f>
        <v>ID Card Printer Genuine Color Ribbon (650643)</v>
      </c>
      <c r="B124" s="28">
        <v>112</v>
      </c>
      <c r="C124" s="28" t="str">
        <f ca="1">VLOOKUP(A124,ICT_PPMP2023!$B$15:Z1051,3,0)</f>
        <v>pc</v>
      </c>
      <c r="D124" s="33" t="str">
        <f ca="1">IFERROR(__xludf.DUMMYFUNCTION("""COMPUTED_VALUE"""),"ID Card Printer Genuine Color Ribbon (650643)
IDP 650634 Full-Color YMCKO ribbon produces 250 images
Compatible with existing IDP SMART 30S, SMART 30D, SMART 50S, SMART 50D and SMART 50L card printers
Includes built-in cleaning roller")</f>
        <v>ID Card Printer Genuine Color Ribbon (650643)
IDP 650634 Full-Color YMCKO ribbon produces 250 images
Compatible with existing IDP SMART 30S, SMART 30D, SMART 50S, SMART 50D and SMART 50L card printers
Includes built-in cleaning roller</v>
      </c>
      <c r="E124" s="28">
        <f ca="1">VLOOKUP(A124,ICT_PPMP2023!$B$15:Z1051,7,0)</f>
        <v>18</v>
      </c>
      <c r="F124" s="28">
        <f ca="1">VLOOKUP(A124,ICT_PPMP2023!$B$15:Z1051,11,0)</f>
        <v>0</v>
      </c>
      <c r="G124" s="28">
        <f ca="1">VLOOKUP(A124,ICT_PPMP2023!$B$15:Z1051,15,0)</f>
        <v>0</v>
      </c>
      <c r="H124" s="28">
        <f ca="1">VLOOKUP(A124,ICT_PPMP2023!$B$15:Z1051,19,0)</f>
        <v>0</v>
      </c>
      <c r="I124" s="28">
        <f ca="1">VLOOKUP(A124,ICT_PPMP2023!$B$15:Z1051,2,0)</f>
        <v>18</v>
      </c>
      <c r="J124" s="31">
        <f ca="1">VLOOKUP(A124,ICT_PPMP2023!$B$15:Z1051,4,0)</f>
        <v>8850</v>
      </c>
      <c r="K124" s="32">
        <f t="shared" ca="1" si="0"/>
        <v>159300</v>
      </c>
      <c r="L124" s="8"/>
      <c r="M124" s="8"/>
      <c r="N124" s="8"/>
      <c r="O124" s="8"/>
      <c r="P124" s="8"/>
      <c r="Q124" s="8"/>
      <c r="R124" s="8"/>
      <c r="S124" s="8"/>
      <c r="T124" s="8"/>
      <c r="U124" s="8"/>
      <c r="V124" s="8"/>
      <c r="W124" s="8"/>
      <c r="X124" s="8"/>
      <c r="Y124" s="8"/>
      <c r="Z124" s="8"/>
      <c r="AA124" s="8"/>
    </row>
    <row r="125" spans="1:27" ht="75">
      <c r="A125" s="15" t="str">
        <f ca="1">IFERROR(__xludf.DUMMYFUNCTION("""COMPUTED_VALUE"""),"Ink Tank Printer")</f>
        <v>Ink Tank Printer</v>
      </c>
      <c r="B125" s="28">
        <v>113</v>
      </c>
      <c r="C125" s="28" t="e">
        <f ca="1">VLOOKUP(A125,ICT_PPMP2023!$B$15:Z1051,3,0)</f>
        <v>#N/A</v>
      </c>
      <c r="D125" s="33" t="str">
        <f ca="1">IFERROR(__xludf.DUMMYFUNCTION("""COMPUTED_VALUE"""),"Ink Tank Printer
Print speed of up to 9.0 ipm (black) and 4.8 ipm (colour)
Ultra-high page yield of 4,500 pages (black) and 7,500 pages (colour)
2-year warranty or 20,000 pages, whichever comes first")</f>
        <v>Ink Tank Printer
Print speed of up to 9.0 ipm (black) and 4.8 ipm (colour)
Ultra-high page yield of 4,500 pages (black) and 7,500 pages (colour)
2-year warranty or 20,000 pages, whichever comes first</v>
      </c>
      <c r="E125" s="28" t="e">
        <f ca="1">VLOOKUP(A125,ICT_PPMP2023!$B$15:Z1051,7,0)</f>
        <v>#N/A</v>
      </c>
      <c r="F125" s="28" t="e">
        <f ca="1">VLOOKUP(A125,ICT_PPMP2023!$B$15:Z1051,11,0)</f>
        <v>#N/A</v>
      </c>
      <c r="G125" s="28" t="e">
        <f ca="1">VLOOKUP(A125,ICT_PPMP2023!$B$15:Z1051,15,0)</f>
        <v>#N/A</v>
      </c>
      <c r="H125" s="28" t="e">
        <f ca="1">VLOOKUP(A125,ICT_PPMP2023!$B$15:Z1051,19,0)</f>
        <v>#N/A</v>
      </c>
      <c r="I125" s="28" t="e">
        <f ca="1">VLOOKUP(A125,ICT_PPMP2023!$B$15:Z1051,2,0)</f>
        <v>#N/A</v>
      </c>
      <c r="J125" s="31" t="e">
        <f ca="1">VLOOKUP(A125,ICT_PPMP2023!$B$15:Z1051,4,0)</f>
        <v>#N/A</v>
      </c>
      <c r="K125" s="32" t="e">
        <f t="shared" ca="1" si="0"/>
        <v>#N/A</v>
      </c>
      <c r="L125" s="8"/>
      <c r="M125" s="8"/>
      <c r="N125" s="8"/>
      <c r="O125" s="8"/>
      <c r="P125" s="8"/>
      <c r="Q125" s="8"/>
      <c r="R125" s="8"/>
      <c r="S125" s="8"/>
      <c r="T125" s="8"/>
      <c r="U125" s="8"/>
      <c r="V125" s="8"/>
      <c r="W125" s="8"/>
      <c r="X125" s="8"/>
      <c r="Y125" s="8"/>
      <c r="Z125" s="8"/>
      <c r="AA125" s="8"/>
    </row>
    <row r="126" spans="1:27" ht="45">
      <c r="A126" s="15" t="str">
        <f ca="1">IFERROR(__xludf.DUMMYFUNCTION("""COMPUTED_VALUE"""),"Keyboard, Full Size, USB 2.0")</f>
        <v>Keyboard, Full Size, USB 2.0</v>
      </c>
      <c r="B126" s="28">
        <v>114</v>
      </c>
      <c r="C126" s="28" t="e">
        <f ca="1">VLOOKUP(A126,ICT_PPMP2023!$B$15:Z1051,3,0)</f>
        <v>#N/A</v>
      </c>
      <c r="D126" s="33" t="str">
        <f ca="1">IFERROR(__xludf.DUMMYFUNCTION("""COMPUTED_VALUE"""),"Keyboard, Full Size, USB 2.0
Natural Comfort Roundedge Keycaps, Laser Inscribed Keys, Drain Holes Design USB Wired Keyboard (BLACK)")</f>
        <v>Keyboard, Full Size, USB 2.0
Natural Comfort Roundedge Keycaps, Laser Inscribed Keys, Drain Holes Design USB Wired Keyboard (BLACK)</v>
      </c>
      <c r="E126" s="28" t="e">
        <f ca="1">VLOOKUP(A126,ICT_PPMP2023!$B$15:Z1051,7,0)</f>
        <v>#N/A</v>
      </c>
      <c r="F126" s="28" t="e">
        <f ca="1">VLOOKUP(A126,ICT_PPMP2023!$B$15:Z1051,11,0)</f>
        <v>#N/A</v>
      </c>
      <c r="G126" s="28" t="e">
        <f ca="1">VLOOKUP(A126,ICT_PPMP2023!$B$15:Z1051,15,0)</f>
        <v>#N/A</v>
      </c>
      <c r="H126" s="28" t="e">
        <f ca="1">VLOOKUP(A126,ICT_PPMP2023!$B$15:Z1051,19,0)</f>
        <v>#N/A</v>
      </c>
      <c r="I126" s="28" t="e">
        <f ca="1">VLOOKUP(A126,ICT_PPMP2023!$B$15:Z1051,2,0)</f>
        <v>#N/A</v>
      </c>
      <c r="J126" s="31" t="e">
        <f ca="1">VLOOKUP(A126,ICT_PPMP2023!$B$15:Z1051,4,0)</f>
        <v>#N/A</v>
      </c>
      <c r="K126" s="32" t="e">
        <f t="shared" ca="1" si="0"/>
        <v>#N/A</v>
      </c>
      <c r="L126" s="8"/>
      <c r="M126" s="8"/>
      <c r="N126" s="8"/>
      <c r="O126" s="8"/>
      <c r="P126" s="8"/>
      <c r="Q126" s="8"/>
      <c r="R126" s="8"/>
      <c r="S126" s="8"/>
      <c r="T126" s="8"/>
      <c r="U126" s="8"/>
      <c r="V126" s="8"/>
      <c r="W126" s="8"/>
      <c r="X126" s="8"/>
      <c r="Y126" s="8"/>
      <c r="Z126" s="8"/>
      <c r="AA126" s="8"/>
    </row>
    <row r="127" spans="1:27" ht="45">
      <c r="A127" s="15" t="str">
        <f ca="1">IFERROR(__xludf.DUMMYFUNCTION("""COMPUTED_VALUE"""),"Laminated 12mm Black on White label tape")</f>
        <v>Laminated 12mm Black on White label tape</v>
      </c>
      <c r="B127" s="28">
        <v>115</v>
      </c>
      <c r="C127" s="28" t="e">
        <f ca="1">VLOOKUP(A127,ICT_PPMP2023!$B$15:Z1051,3,0)</f>
        <v>#N/A</v>
      </c>
      <c r="D127" s="33" t="str">
        <f ca="1">IFERROR(__xludf.DUMMYFUNCTION("""COMPUTED_VALUE"""),"Laminated 12mm Black on White label tape
Laminated 12mm Black on White label tape compatible with the existing brother Label Maker PT-D400")</f>
        <v>Laminated 12mm Black on White label tape
Laminated 12mm Black on White label tape compatible with the existing brother Label Maker PT-D400</v>
      </c>
      <c r="E127" s="28" t="e">
        <f ca="1">VLOOKUP(A127,ICT_PPMP2023!$B$15:Z1051,7,0)</f>
        <v>#N/A</v>
      </c>
      <c r="F127" s="28" t="e">
        <f ca="1">VLOOKUP(A127,ICT_PPMP2023!$B$15:Z1051,11,0)</f>
        <v>#N/A</v>
      </c>
      <c r="G127" s="28" t="e">
        <f ca="1">VLOOKUP(A127,ICT_PPMP2023!$B$15:Z1051,15,0)</f>
        <v>#N/A</v>
      </c>
      <c r="H127" s="28" t="e">
        <f ca="1">VLOOKUP(A127,ICT_PPMP2023!$B$15:Z1051,19,0)</f>
        <v>#N/A</v>
      </c>
      <c r="I127" s="28" t="e">
        <f ca="1">VLOOKUP(A127,ICT_PPMP2023!$B$15:Z1051,2,0)</f>
        <v>#N/A</v>
      </c>
      <c r="J127" s="31" t="e">
        <f ca="1">VLOOKUP(A127,ICT_PPMP2023!$B$15:Z1051,4,0)</f>
        <v>#N/A</v>
      </c>
      <c r="K127" s="32" t="e">
        <f t="shared" ca="1" si="0"/>
        <v>#N/A</v>
      </c>
      <c r="L127" s="8"/>
      <c r="M127" s="8"/>
      <c r="N127" s="8"/>
      <c r="O127" s="8"/>
      <c r="P127" s="8"/>
      <c r="Q127" s="8"/>
      <c r="R127" s="8"/>
      <c r="S127" s="8"/>
      <c r="T127" s="8"/>
      <c r="U127" s="8"/>
      <c r="V127" s="8"/>
      <c r="W127" s="8"/>
      <c r="X127" s="8"/>
      <c r="Y127" s="8"/>
      <c r="Z127" s="8"/>
      <c r="AA127" s="8"/>
    </row>
    <row r="128" spans="1:27" ht="45">
      <c r="A128" s="15" t="str">
        <f ca="1">IFERROR(__xludf.DUMMYFUNCTION("""COMPUTED_VALUE"""),"M6 Cabinet Screws 100pcs/pack")</f>
        <v>M6 Cabinet Screws 100pcs/pack</v>
      </c>
      <c r="B128" s="28">
        <v>116</v>
      </c>
      <c r="C128" s="28" t="e">
        <f ca="1">VLOOKUP(A128,ICT_PPMP2023!$B$15:Z1051,3,0)</f>
        <v>#N/A</v>
      </c>
      <c r="D128" s="33" t="str">
        <f ca="1">IFERROR(__xludf.DUMMYFUNCTION("""COMPUTED_VALUE"""),"M6 Cabinet Screws 100pcs/pack
M6 x 16mm Rack Mount Cage Nuts, Screws And Washers For Rack Mount Server Cabinet")</f>
        <v>M6 Cabinet Screws 100pcs/pack
M6 x 16mm Rack Mount Cage Nuts, Screws And Washers For Rack Mount Server Cabinet</v>
      </c>
      <c r="E128" s="28" t="e">
        <f ca="1">VLOOKUP(A128,ICT_PPMP2023!$B$15:Z1051,7,0)</f>
        <v>#N/A</v>
      </c>
      <c r="F128" s="28" t="e">
        <f ca="1">VLOOKUP(A128,ICT_PPMP2023!$B$15:Z1051,11,0)</f>
        <v>#N/A</v>
      </c>
      <c r="G128" s="28" t="e">
        <f ca="1">VLOOKUP(A128,ICT_PPMP2023!$B$15:Z1051,15,0)</f>
        <v>#N/A</v>
      </c>
      <c r="H128" s="28" t="e">
        <f ca="1">VLOOKUP(A128,ICT_PPMP2023!$B$15:Z1051,19,0)</f>
        <v>#N/A</v>
      </c>
      <c r="I128" s="28" t="e">
        <f ca="1">VLOOKUP(A128,ICT_PPMP2023!$B$15:Z1051,2,0)</f>
        <v>#N/A</v>
      </c>
      <c r="J128" s="31" t="e">
        <f ca="1">VLOOKUP(A128,ICT_PPMP2023!$B$15:Z1051,4,0)</f>
        <v>#N/A</v>
      </c>
      <c r="K128" s="32" t="e">
        <f t="shared" ca="1" si="0"/>
        <v>#N/A</v>
      </c>
      <c r="L128" s="8"/>
      <c r="M128" s="8"/>
      <c r="N128" s="8"/>
      <c r="O128" s="8"/>
      <c r="P128" s="8"/>
      <c r="Q128" s="8"/>
      <c r="R128" s="8"/>
      <c r="S128" s="8"/>
      <c r="T128" s="8"/>
      <c r="U128" s="8"/>
      <c r="V128" s="8"/>
      <c r="W128" s="8"/>
      <c r="X128" s="8"/>
      <c r="Y128" s="8"/>
      <c r="Z128" s="8"/>
      <c r="AA128" s="8"/>
    </row>
    <row r="129" spans="1:27" ht="30">
      <c r="A129" s="15" t="str">
        <f ca="1">IFERROR(__xludf.DUMMYFUNCTION("""COMPUTED_VALUE"""),"Maintenance Kit for the existing ECOSYS M2535DN/L")</f>
        <v>Maintenance Kit for the existing ECOSYS M2535DN/L</v>
      </c>
      <c r="B129" s="28">
        <v>117</v>
      </c>
      <c r="C129" s="28" t="e">
        <f ca="1">VLOOKUP(A129,ICT_PPMP2023!$B$15:Z1051,3,0)</f>
        <v>#N/A</v>
      </c>
      <c r="D129" s="33" t="str">
        <f ca="1">IFERROR(__xludf.DUMMYFUNCTION("""COMPUTED_VALUE"""),"Maintenance Kit for the existing ECOSYS M2535DN/L
MK-1147")</f>
        <v>Maintenance Kit for the existing ECOSYS M2535DN/L
MK-1147</v>
      </c>
      <c r="E129" s="28" t="e">
        <f ca="1">VLOOKUP(A129,ICT_PPMP2023!$B$15:Z1051,7,0)</f>
        <v>#N/A</v>
      </c>
      <c r="F129" s="28" t="e">
        <f ca="1">VLOOKUP(A129,ICT_PPMP2023!$B$15:Z1051,11,0)</f>
        <v>#N/A</v>
      </c>
      <c r="G129" s="28" t="e">
        <f ca="1">VLOOKUP(A129,ICT_PPMP2023!$B$15:Z1051,15,0)</f>
        <v>#N/A</v>
      </c>
      <c r="H129" s="28" t="e">
        <f ca="1">VLOOKUP(A129,ICT_PPMP2023!$B$15:Z1051,19,0)</f>
        <v>#N/A</v>
      </c>
      <c r="I129" s="28" t="e">
        <f ca="1">VLOOKUP(A129,ICT_PPMP2023!$B$15:Z1051,2,0)</f>
        <v>#N/A</v>
      </c>
      <c r="J129" s="31" t="e">
        <f ca="1">VLOOKUP(A129,ICT_PPMP2023!$B$15:Z1051,4,0)</f>
        <v>#N/A</v>
      </c>
      <c r="K129" s="32" t="e">
        <f t="shared" ca="1" si="0"/>
        <v>#N/A</v>
      </c>
      <c r="L129" s="8"/>
      <c r="M129" s="8"/>
      <c r="N129" s="8"/>
      <c r="O129" s="8"/>
      <c r="P129" s="8"/>
      <c r="Q129" s="8"/>
      <c r="R129" s="8"/>
      <c r="S129" s="8"/>
      <c r="T129" s="8"/>
      <c r="U129" s="8"/>
      <c r="V129" s="8"/>
      <c r="W129" s="8"/>
      <c r="X129" s="8"/>
      <c r="Y129" s="8"/>
      <c r="Z129" s="8"/>
      <c r="AA129" s="8"/>
    </row>
    <row r="130" spans="1:27" ht="30">
      <c r="A130" s="15" t="str">
        <f ca="1">IFERROR(__xludf.DUMMYFUNCTION("""COMPUTED_VALUE"""),"Maintenance Kit for the existing ECOSYS M3645DN")</f>
        <v>Maintenance Kit for the existing ECOSYS M3645DN</v>
      </c>
      <c r="B130" s="28">
        <v>118</v>
      </c>
      <c r="C130" s="28" t="e">
        <f ca="1">VLOOKUP(A130,ICT_PPMP2023!$B$15:Z1051,3,0)</f>
        <v>#N/A</v>
      </c>
      <c r="D130" s="33" t="str">
        <f ca="1">IFERROR(__xludf.DUMMYFUNCTION("""COMPUTED_VALUE"""),"Maintenance Kit for the existing ECOSYS M3645DN
MK-3165")</f>
        <v>Maintenance Kit for the existing ECOSYS M3645DN
MK-3165</v>
      </c>
      <c r="E130" s="28" t="e">
        <f ca="1">VLOOKUP(A130,ICT_PPMP2023!$B$15:Z1051,7,0)</f>
        <v>#N/A</v>
      </c>
      <c r="F130" s="28" t="e">
        <f ca="1">VLOOKUP(A130,ICT_PPMP2023!$B$15:Z1051,11,0)</f>
        <v>#N/A</v>
      </c>
      <c r="G130" s="28" t="e">
        <f ca="1">VLOOKUP(A130,ICT_PPMP2023!$B$15:Z1051,15,0)</f>
        <v>#N/A</v>
      </c>
      <c r="H130" s="28" t="e">
        <f ca="1">VLOOKUP(A130,ICT_PPMP2023!$B$15:Z1051,19,0)</f>
        <v>#N/A</v>
      </c>
      <c r="I130" s="28" t="e">
        <f ca="1">VLOOKUP(A130,ICT_PPMP2023!$B$15:Z1051,2,0)</f>
        <v>#N/A</v>
      </c>
      <c r="J130" s="31" t="e">
        <f ca="1">VLOOKUP(A130,ICT_PPMP2023!$B$15:Z1051,4,0)</f>
        <v>#N/A</v>
      </c>
      <c r="K130" s="32" t="e">
        <f t="shared" ca="1" si="0"/>
        <v>#N/A</v>
      </c>
      <c r="L130" s="8"/>
      <c r="M130" s="8"/>
      <c r="N130" s="8"/>
      <c r="O130" s="8"/>
      <c r="P130" s="8"/>
      <c r="Q130" s="8"/>
      <c r="R130" s="8"/>
      <c r="S130" s="8"/>
      <c r="T130" s="8"/>
      <c r="U130" s="8"/>
      <c r="V130" s="8"/>
      <c r="W130" s="8"/>
      <c r="X130" s="8"/>
      <c r="Y130" s="8"/>
      <c r="Z130" s="8"/>
      <c r="AA130" s="8"/>
    </row>
    <row r="131" spans="1:27" ht="30">
      <c r="A131" s="15" t="str">
        <f ca="1">IFERROR(__xludf.DUMMYFUNCTION("""COMPUTED_VALUE"""),"Maintenance Kit for the existing ECOSYS M4125IDN")</f>
        <v>Maintenance Kit for the existing ECOSYS M4125IDN</v>
      </c>
      <c r="B131" s="28">
        <v>119</v>
      </c>
      <c r="C131" s="28" t="e">
        <f ca="1">VLOOKUP(A131,ICT_PPMP2023!$B$15:Z1051,3,0)</f>
        <v>#N/A</v>
      </c>
      <c r="D131" s="33" t="str">
        <f ca="1">IFERROR(__xludf.DUMMYFUNCTION("""COMPUTED_VALUE"""),"Maintenance Kit for the existing ECOSYS M4125IDN
MK-6119")</f>
        <v>Maintenance Kit for the existing ECOSYS M4125IDN
MK-6119</v>
      </c>
      <c r="E131" s="28" t="e">
        <f ca="1">VLOOKUP(A131,ICT_PPMP2023!$B$15:Z1051,7,0)</f>
        <v>#N/A</v>
      </c>
      <c r="F131" s="28" t="e">
        <f ca="1">VLOOKUP(A131,ICT_PPMP2023!$B$15:Z1051,11,0)</f>
        <v>#N/A</v>
      </c>
      <c r="G131" s="28" t="e">
        <f ca="1">VLOOKUP(A131,ICT_PPMP2023!$B$15:Z1051,15,0)</f>
        <v>#N/A</v>
      </c>
      <c r="H131" s="28" t="e">
        <f ca="1">VLOOKUP(A131,ICT_PPMP2023!$B$15:Z1051,19,0)</f>
        <v>#N/A</v>
      </c>
      <c r="I131" s="28" t="e">
        <f ca="1">VLOOKUP(A131,ICT_PPMP2023!$B$15:Z1051,2,0)</f>
        <v>#N/A</v>
      </c>
      <c r="J131" s="31" t="e">
        <f ca="1">VLOOKUP(A131,ICT_PPMP2023!$B$15:Z1051,4,0)</f>
        <v>#N/A</v>
      </c>
      <c r="K131" s="32" t="e">
        <f t="shared" ca="1" si="0"/>
        <v>#N/A</v>
      </c>
      <c r="L131" s="8"/>
      <c r="M131" s="8"/>
      <c r="N131" s="8"/>
      <c r="O131" s="8"/>
      <c r="P131" s="8"/>
      <c r="Q131" s="8"/>
      <c r="R131" s="8"/>
      <c r="S131" s="8"/>
      <c r="T131" s="8"/>
      <c r="U131" s="8"/>
      <c r="V131" s="8"/>
      <c r="W131" s="8"/>
      <c r="X131" s="8"/>
      <c r="Y131" s="8"/>
      <c r="Z131" s="8"/>
      <c r="AA131" s="8"/>
    </row>
    <row r="132" spans="1:27" ht="30">
      <c r="A132" s="15" t="str">
        <f ca="1">IFERROR(__xludf.DUMMYFUNCTION("""COMPUTED_VALUE"""),"Maintenance Kit for the existing ECOSYS M4132IDN")</f>
        <v>Maintenance Kit for the existing ECOSYS M4132IDN</v>
      </c>
      <c r="B132" s="28">
        <v>120</v>
      </c>
      <c r="C132" s="28" t="e">
        <f ca="1">VLOOKUP(A132,ICT_PPMP2023!$B$15:Z1051,3,0)</f>
        <v>#N/A</v>
      </c>
      <c r="D132" s="33" t="str">
        <f ca="1">IFERROR(__xludf.DUMMYFUNCTION("""COMPUTED_VALUE"""),"Maintenance Kit for the existing ECOSYS M4132IDN
MK-6119")</f>
        <v>Maintenance Kit for the existing ECOSYS M4132IDN
MK-6119</v>
      </c>
      <c r="E132" s="28" t="e">
        <f ca="1">VLOOKUP(A132,ICT_PPMP2023!$B$15:Z1051,7,0)</f>
        <v>#N/A</v>
      </c>
      <c r="F132" s="28" t="e">
        <f ca="1">VLOOKUP(A132,ICT_PPMP2023!$B$15:Z1051,11,0)</f>
        <v>#N/A</v>
      </c>
      <c r="G132" s="28" t="e">
        <f ca="1">VLOOKUP(A132,ICT_PPMP2023!$B$15:Z1051,15,0)</f>
        <v>#N/A</v>
      </c>
      <c r="H132" s="28" t="e">
        <f ca="1">VLOOKUP(A132,ICT_PPMP2023!$B$15:Z1051,19,0)</f>
        <v>#N/A</v>
      </c>
      <c r="I132" s="28" t="e">
        <f ca="1">VLOOKUP(A132,ICT_PPMP2023!$B$15:Z1051,2,0)</f>
        <v>#N/A</v>
      </c>
      <c r="J132" s="31" t="e">
        <f ca="1">VLOOKUP(A132,ICT_PPMP2023!$B$15:Z1051,4,0)</f>
        <v>#N/A</v>
      </c>
      <c r="K132" s="32" t="e">
        <f t="shared" ca="1" si="0"/>
        <v>#N/A</v>
      </c>
      <c r="L132" s="8"/>
      <c r="M132" s="8"/>
      <c r="N132" s="8"/>
      <c r="O132" s="8"/>
      <c r="P132" s="8"/>
      <c r="Q132" s="8"/>
      <c r="R132" s="8"/>
      <c r="S132" s="8"/>
      <c r="T132" s="8"/>
      <c r="U132" s="8"/>
      <c r="V132" s="8"/>
      <c r="W132" s="8"/>
      <c r="X132" s="8"/>
      <c r="Y132" s="8"/>
      <c r="Z132" s="8"/>
      <c r="AA132" s="8"/>
    </row>
    <row r="133" spans="1:27" ht="30">
      <c r="A133" s="15" t="str">
        <f ca="1">IFERROR(__xludf.DUMMYFUNCTION("""COMPUTED_VALUE"""),"Maintenance Kit for the existing FS-6525MFP")</f>
        <v>Maintenance Kit for the existing FS-6525MFP</v>
      </c>
      <c r="B133" s="28">
        <v>121</v>
      </c>
      <c r="C133" s="28" t="e">
        <f ca="1">VLOOKUP(A133,ICT_PPMP2023!$B$15:Z1051,3,0)</f>
        <v>#N/A</v>
      </c>
      <c r="D133" s="33" t="str">
        <f ca="1">IFERROR(__xludf.DUMMYFUNCTION("""COMPUTED_VALUE"""),"Maintenance Kit for the existing FS-6525MFP
MK-479")</f>
        <v>Maintenance Kit for the existing FS-6525MFP
MK-479</v>
      </c>
      <c r="E133" s="28" t="e">
        <f ca="1">VLOOKUP(A133,ICT_PPMP2023!$B$15:Z1051,7,0)</f>
        <v>#N/A</v>
      </c>
      <c r="F133" s="28" t="e">
        <f ca="1">VLOOKUP(A133,ICT_PPMP2023!$B$15:Z1051,11,0)</f>
        <v>#N/A</v>
      </c>
      <c r="G133" s="28" t="e">
        <f ca="1">VLOOKUP(A133,ICT_PPMP2023!$B$15:Z1051,15,0)</f>
        <v>#N/A</v>
      </c>
      <c r="H133" s="28" t="e">
        <f ca="1">VLOOKUP(A133,ICT_PPMP2023!$B$15:Z1051,19,0)</f>
        <v>#N/A</v>
      </c>
      <c r="I133" s="28" t="e">
        <f ca="1">VLOOKUP(A133,ICT_PPMP2023!$B$15:Z1051,2,0)</f>
        <v>#N/A</v>
      </c>
      <c r="J133" s="31" t="e">
        <f ca="1">VLOOKUP(A133,ICT_PPMP2023!$B$15:Z1051,4,0)</f>
        <v>#N/A</v>
      </c>
      <c r="K133" s="32" t="e">
        <f t="shared" ca="1" si="0"/>
        <v>#N/A</v>
      </c>
      <c r="L133" s="8"/>
      <c r="M133" s="8"/>
      <c r="N133" s="8"/>
      <c r="O133" s="8"/>
      <c r="P133" s="8"/>
      <c r="Q133" s="8"/>
      <c r="R133" s="8"/>
      <c r="S133" s="8"/>
      <c r="T133" s="8"/>
      <c r="U133" s="8"/>
      <c r="V133" s="8"/>
      <c r="W133" s="8"/>
      <c r="X133" s="8"/>
      <c r="Y133" s="8"/>
      <c r="Z133" s="8"/>
      <c r="AA133" s="8"/>
    </row>
    <row r="134" spans="1:27" ht="165">
      <c r="A134" s="15" t="str">
        <f ca="1">IFERROR(__xludf.DUMMYFUNCTION("""COMPUTED_VALUE"""),"Mini PC")</f>
        <v>Mini PC</v>
      </c>
      <c r="B134" s="28">
        <v>122</v>
      </c>
      <c r="C134" s="28" t="e">
        <f ca="1">VLOOKUP(A134,ICT_PPMP2023!$B$15:Z1051,3,0)</f>
        <v>#N/A</v>
      </c>
      <c r="D134" s="33" t="str">
        <f ca="1">IFERROR(__xludf.DUMMYFUNCTION("""COMPUTED_VALUE"""),"Mini PC
Intel Core i5 12th Gen Processor or higher
10 Cores 12 Threads or higher
Base frequency: 3.3 GHz or higher
Max Turbo Frequency : 4.4 GHz or higher
16GB 3200MHZ DDR4
500GB NVMe M.2 SSD or higher
Support 4K video output to three displays simultaneou"&amp;"sly
Multi-channel audio output via HDMI or DisplayPort
Support Windows 11
WiFi 6+Bluetooth 5.2 or higher")</f>
        <v>Mini PC
Intel Core i5 12th Gen Processor or higher
10 Cores 12 Threads or higher
Base frequency: 3.3 GHz or higher
Max Turbo Frequency : 4.4 GHz or higher
16GB 3200MHZ DDR4
500GB NVMe M.2 SSD or higher
Support 4K video output to three displays simultaneously
Multi-channel audio output via HDMI or DisplayPort
Support Windows 11
WiFi 6+Bluetooth 5.2 or higher</v>
      </c>
      <c r="E134" s="28" t="e">
        <f ca="1">VLOOKUP(A134,ICT_PPMP2023!$B$15:Z1051,7,0)</f>
        <v>#N/A</v>
      </c>
      <c r="F134" s="28" t="e">
        <f ca="1">VLOOKUP(A134,ICT_PPMP2023!$B$15:Z1051,11,0)</f>
        <v>#N/A</v>
      </c>
      <c r="G134" s="28" t="e">
        <f ca="1">VLOOKUP(A134,ICT_PPMP2023!$B$15:Z1051,15,0)</f>
        <v>#N/A</v>
      </c>
      <c r="H134" s="28" t="e">
        <f ca="1">VLOOKUP(A134,ICT_PPMP2023!$B$15:Z1051,19,0)</f>
        <v>#N/A</v>
      </c>
      <c r="I134" s="28" t="e">
        <f ca="1">VLOOKUP(A134,ICT_PPMP2023!$B$15:Z1051,2,0)</f>
        <v>#N/A</v>
      </c>
      <c r="J134" s="31" t="e">
        <f ca="1">VLOOKUP(A134,ICT_PPMP2023!$B$15:Z1051,4,0)</f>
        <v>#N/A</v>
      </c>
      <c r="K134" s="32" t="e">
        <f t="shared" ca="1" si="0"/>
        <v>#N/A</v>
      </c>
      <c r="L134" s="8"/>
      <c r="M134" s="8"/>
      <c r="N134" s="8"/>
      <c r="O134" s="8"/>
      <c r="P134" s="8"/>
      <c r="Q134" s="8"/>
      <c r="R134" s="8"/>
      <c r="S134" s="8"/>
      <c r="T134" s="8"/>
      <c r="U134" s="8"/>
      <c r="V134" s="8"/>
      <c r="W134" s="8"/>
      <c r="X134" s="8"/>
      <c r="Y134" s="8"/>
      <c r="Z134" s="8"/>
      <c r="AA134" s="8"/>
    </row>
    <row r="135" spans="1:27" ht="60">
      <c r="A135" s="15" t="str">
        <f ca="1">IFERROR(__xludf.DUMMYFUNCTION("""COMPUTED_VALUE"""),"Mouse, Optical, USB 2.0")</f>
        <v>Mouse, Optical, USB 2.0</v>
      </c>
      <c r="B135" s="28">
        <v>123</v>
      </c>
      <c r="C135" s="28" t="e">
        <f ca="1">VLOOKUP(A135,ICT_PPMP2023!$B$15:Z1051,3,0)</f>
        <v>#N/A</v>
      </c>
      <c r="D135" s="33" t="str">
        <f ca="1">IFERROR(__xludf.DUMMYFUNCTION("""COMPUTED_VALUE"""),"Mouse, Optical, USB 2.0
2x-Button, 4-Way Wheel, 1000 DPI, Durable Button Life, Dust-Resistant Wheel, Plug and Play, Screen Capture, Wired USB Mouse (Black)")</f>
        <v>Mouse, Optical, USB 2.0
2x-Button, 4-Way Wheel, 1000 DPI, Durable Button Life, Dust-Resistant Wheel, Plug and Play, Screen Capture, Wired USB Mouse (Black)</v>
      </c>
      <c r="E135" s="28" t="e">
        <f ca="1">VLOOKUP(A135,ICT_PPMP2023!$B$15:Z1051,7,0)</f>
        <v>#N/A</v>
      </c>
      <c r="F135" s="28" t="e">
        <f ca="1">VLOOKUP(A135,ICT_PPMP2023!$B$15:Z1051,11,0)</f>
        <v>#N/A</v>
      </c>
      <c r="G135" s="28" t="e">
        <f ca="1">VLOOKUP(A135,ICT_PPMP2023!$B$15:Z1051,15,0)</f>
        <v>#N/A</v>
      </c>
      <c r="H135" s="28" t="e">
        <f ca="1">VLOOKUP(A135,ICT_PPMP2023!$B$15:Z1051,19,0)</f>
        <v>#N/A</v>
      </c>
      <c r="I135" s="28" t="e">
        <f ca="1">VLOOKUP(A135,ICT_PPMP2023!$B$15:Z1051,2,0)</f>
        <v>#N/A</v>
      </c>
      <c r="J135" s="31" t="e">
        <f ca="1">VLOOKUP(A135,ICT_PPMP2023!$B$15:Z1051,4,0)</f>
        <v>#N/A</v>
      </c>
      <c r="K135" s="32" t="e">
        <f t="shared" ca="1" si="0"/>
        <v>#N/A</v>
      </c>
      <c r="L135" s="8"/>
      <c r="M135" s="8"/>
      <c r="N135" s="8"/>
      <c r="O135" s="8"/>
      <c r="P135" s="8"/>
      <c r="Q135" s="8"/>
      <c r="R135" s="8"/>
      <c r="S135" s="8"/>
      <c r="T135" s="8"/>
      <c r="U135" s="8"/>
      <c r="V135" s="8"/>
      <c r="W135" s="8"/>
      <c r="X135" s="8"/>
      <c r="Y135" s="8"/>
      <c r="Z135" s="8"/>
      <c r="AA135" s="8"/>
    </row>
    <row r="136" spans="1:27" ht="180">
      <c r="A136" s="15" t="str">
        <f ca="1">IFERROR(__xludf.DUMMYFUNCTION("""COMPUTED_VALUE"""),"Network Cable Tester RJ45 RJ11 Network LAN Ethernet")</f>
        <v>Network Cable Tester RJ45 RJ11 Network LAN Ethernet</v>
      </c>
      <c r="B136" s="28">
        <v>124</v>
      </c>
      <c r="C136" s="28" t="str">
        <f ca="1">VLOOKUP(A136,ICT_PPMP2023!$B$15:Z1051,3,0)</f>
        <v>pc</v>
      </c>
      <c r="D136" s="33" t="str">
        <f ca="1">IFERROR(__xludf.DUMMYFUNCTION("""COMPUTED_VALUE"""),"Network Cable Tester RJ45 RJ11 Network LAN Ethernet
Support testing RJ1 / RJ12 / RJ45 interface
Powered by a 9V battery;Powered by the type-c port charging;With a type-c cable in package
Emergency Lighting Function: The flashlight switch is located on the"&amp;" left side of the host
The tester can test unshielded cables and shielded cables
UTP: The lights of the main tester will turn on sequentiy from 1 to 8.
STP: The lights of the main tester will turn on sequentiy from 1 to G.
Warranty: 1 year or more")</f>
        <v>Network Cable Tester RJ45 RJ11 Network LAN Ethernet
Support testing RJ1 / RJ12 / RJ45 interface
Powered by a 9V battery;Powered by the type-c port charging;With a type-c cable in package
Emergency Lighting Function: The flashlight switch is located on the left side of the host
The tester can test unshielded cables and shielded cables
UTP: The lights of the main tester will turn on sequentiy from 1 to 8.
STP: The lights of the main tester will turn on sequentiy from 1 to G.
Warranty: 1 year or more</v>
      </c>
      <c r="E136" s="28">
        <f ca="1">VLOOKUP(A136,ICT_PPMP2023!$B$15:Z1051,7,0)</f>
        <v>2</v>
      </c>
      <c r="F136" s="28">
        <f ca="1">VLOOKUP(A136,ICT_PPMP2023!$B$15:Z1051,11,0)</f>
        <v>0</v>
      </c>
      <c r="G136" s="28">
        <f ca="1">VLOOKUP(A136,ICT_PPMP2023!$B$15:Z1051,15,0)</f>
        <v>0</v>
      </c>
      <c r="H136" s="28">
        <f ca="1">VLOOKUP(A136,ICT_PPMP2023!$B$15:Z1051,19,0)</f>
        <v>0</v>
      </c>
      <c r="I136" s="28">
        <f ca="1">VLOOKUP(A136,ICT_PPMP2023!$B$15:Z1051,2,0)</f>
        <v>2</v>
      </c>
      <c r="J136" s="31">
        <f ca="1">VLOOKUP(A136,ICT_PPMP2023!$B$15:Z1051,4,0)</f>
        <v>1350</v>
      </c>
      <c r="K136" s="32">
        <f t="shared" ca="1" si="0"/>
        <v>2700</v>
      </c>
      <c r="L136" s="8"/>
      <c r="M136" s="8"/>
      <c r="N136" s="8"/>
      <c r="O136" s="8"/>
      <c r="P136" s="8"/>
      <c r="Q136" s="8"/>
      <c r="R136" s="8"/>
      <c r="S136" s="8"/>
      <c r="T136" s="8"/>
      <c r="U136" s="8"/>
      <c r="V136" s="8"/>
      <c r="W136" s="8"/>
      <c r="X136" s="8"/>
      <c r="Y136" s="8"/>
      <c r="Z136" s="8"/>
      <c r="AA136" s="8"/>
    </row>
    <row r="137" spans="1:27" ht="30">
      <c r="A137" s="15" t="str">
        <f ca="1">IFERROR(__xludf.DUMMYFUNCTION("""COMPUTED_VALUE"""),"Nylon Zip Ties Cable Label Mark Tags 100pcs/pack")</f>
        <v>Nylon Zip Ties Cable Label Mark Tags 100pcs/pack</v>
      </c>
      <c r="B137" s="28">
        <v>125</v>
      </c>
      <c r="C137" s="28" t="e">
        <f ca="1">VLOOKUP(A137,ICT_PPMP2023!$B$15:Z1051,3,0)</f>
        <v>#N/A</v>
      </c>
      <c r="D137" s="33" t="str">
        <f ca="1">IFERROR(__xludf.DUMMYFUNCTION("""COMPUTED_VALUE"""),"Nylon Zip Ties Cable Label Mark Tags 100pcs/pack
Self-Locking White")</f>
        <v>Nylon Zip Ties Cable Label Mark Tags 100pcs/pack
Self-Locking White</v>
      </c>
      <c r="E137" s="28" t="e">
        <f ca="1">VLOOKUP(A137,ICT_PPMP2023!$B$15:Z1051,7,0)</f>
        <v>#N/A</v>
      </c>
      <c r="F137" s="28" t="e">
        <f ca="1">VLOOKUP(A137,ICT_PPMP2023!$B$15:Z1051,11,0)</f>
        <v>#N/A</v>
      </c>
      <c r="G137" s="28" t="e">
        <f ca="1">VLOOKUP(A137,ICT_PPMP2023!$B$15:Z1051,15,0)</f>
        <v>#N/A</v>
      </c>
      <c r="H137" s="28" t="e">
        <f ca="1">VLOOKUP(A137,ICT_PPMP2023!$B$15:Z1051,19,0)</f>
        <v>#N/A</v>
      </c>
      <c r="I137" s="28" t="e">
        <f ca="1">VLOOKUP(A137,ICT_PPMP2023!$B$15:Z1051,2,0)</f>
        <v>#N/A</v>
      </c>
      <c r="J137" s="31" t="e">
        <f ca="1">VLOOKUP(A137,ICT_PPMP2023!$B$15:Z1051,4,0)</f>
        <v>#N/A</v>
      </c>
      <c r="K137" s="32" t="e">
        <f t="shared" ca="1" si="0"/>
        <v>#N/A</v>
      </c>
      <c r="L137" s="8"/>
      <c r="M137" s="8"/>
      <c r="N137" s="8"/>
      <c r="O137" s="8"/>
      <c r="P137" s="8"/>
      <c r="Q137" s="8"/>
      <c r="R137" s="8"/>
      <c r="S137" s="8"/>
      <c r="T137" s="8"/>
      <c r="U137" s="8"/>
      <c r="V137" s="8"/>
      <c r="W137" s="8"/>
      <c r="X137" s="8"/>
      <c r="Y137" s="8"/>
      <c r="Z137" s="8"/>
      <c r="AA137" s="8"/>
    </row>
    <row r="138" spans="1:27" ht="30">
      <c r="A138" s="15" t="str">
        <f ca="1">IFERROR(__xludf.DUMMYFUNCTION("""COMPUTED_VALUE"""),"ONER CARTRIDGE, (TN263M) Magenta")</f>
        <v>ONER CARTRIDGE, (TN263M) Magenta</v>
      </c>
      <c r="B138" s="28">
        <v>126</v>
      </c>
      <c r="C138" s="28" t="e">
        <f ca="1">VLOOKUP(A138,ICT_PPMP2023!$B$15:Z1051,3,0)</f>
        <v>#N/A</v>
      </c>
      <c r="D138" s="33" t="str">
        <f ca="1">IFERROR(__xludf.DUMMYFUNCTION("""COMPUTED_VALUE"""),"ONER CARTRIDGE, (TN263M) Magenta
BROTHER TN- 263 TONER CARTRIDGE, (TN263M) Magenta")</f>
        <v>ONER CARTRIDGE, (TN263M) Magenta
BROTHER TN- 263 TONER CARTRIDGE, (TN263M) Magenta</v>
      </c>
      <c r="E138" s="28" t="e">
        <f ca="1">VLOOKUP(A138,ICT_PPMP2023!$B$15:Z1051,7,0)</f>
        <v>#N/A</v>
      </c>
      <c r="F138" s="28" t="e">
        <f ca="1">VLOOKUP(A138,ICT_PPMP2023!$B$15:Z1051,11,0)</f>
        <v>#N/A</v>
      </c>
      <c r="G138" s="28" t="e">
        <f ca="1">VLOOKUP(A138,ICT_PPMP2023!$B$15:Z1051,15,0)</f>
        <v>#N/A</v>
      </c>
      <c r="H138" s="28" t="e">
        <f ca="1">VLOOKUP(A138,ICT_PPMP2023!$B$15:Z1051,19,0)</f>
        <v>#N/A</v>
      </c>
      <c r="I138" s="28" t="e">
        <f ca="1">VLOOKUP(A138,ICT_PPMP2023!$B$15:Z1051,2,0)</f>
        <v>#N/A</v>
      </c>
      <c r="J138" s="31" t="e">
        <f ca="1">VLOOKUP(A138,ICT_PPMP2023!$B$15:Z1051,4,0)</f>
        <v>#N/A</v>
      </c>
      <c r="K138" s="32" t="e">
        <f t="shared" ca="1" si="0"/>
        <v>#N/A</v>
      </c>
      <c r="L138" s="8"/>
      <c r="M138" s="8"/>
      <c r="N138" s="8"/>
      <c r="O138" s="8"/>
      <c r="P138" s="8"/>
      <c r="Q138" s="8"/>
      <c r="R138" s="8"/>
      <c r="S138" s="8"/>
      <c r="T138" s="8"/>
      <c r="U138" s="8"/>
      <c r="V138" s="8"/>
      <c r="W138" s="8"/>
      <c r="X138" s="8"/>
      <c r="Y138" s="8"/>
      <c r="Z138" s="8"/>
      <c r="AA138" s="8"/>
    </row>
    <row r="139" spans="1:27" ht="45">
      <c r="A139" s="15" t="str">
        <f ca="1">IFERROR(__xludf.DUMMYFUNCTION("""COMPUTED_VALUE"""),"Paper feeder rubber set for printer")</f>
        <v>Paper feeder rubber set for printer</v>
      </c>
      <c r="B139" s="28">
        <v>127</v>
      </c>
      <c r="C139" s="28" t="e">
        <f ca="1">VLOOKUP(A139,ICT_PPMP2023!$B$15:Z1051,3,0)</f>
        <v>#N/A</v>
      </c>
      <c r="D139" s="33" t="str">
        <f ca="1">IFERROR(__xludf.DUMMYFUNCTION("""COMPUTED_VALUE"""),"Paper feeder rubber set for printer
Paper feeder rubber set compatible with the existing Epson L3110, L3210 ")</f>
        <v xml:space="preserve">Paper feeder rubber set for printer
Paper feeder rubber set compatible with the existing Epson L3110, L3210 </v>
      </c>
      <c r="E139" s="28" t="e">
        <f ca="1">VLOOKUP(A139,ICT_PPMP2023!$B$15:Z1051,7,0)</f>
        <v>#N/A</v>
      </c>
      <c r="F139" s="28" t="e">
        <f ca="1">VLOOKUP(A139,ICT_PPMP2023!$B$15:Z1051,11,0)</f>
        <v>#N/A</v>
      </c>
      <c r="G139" s="28" t="e">
        <f ca="1">VLOOKUP(A139,ICT_PPMP2023!$B$15:Z1051,15,0)</f>
        <v>#N/A</v>
      </c>
      <c r="H139" s="28" t="e">
        <f ca="1">VLOOKUP(A139,ICT_PPMP2023!$B$15:Z1051,19,0)</f>
        <v>#N/A</v>
      </c>
      <c r="I139" s="28" t="e">
        <f ca="1">VLOOKUP(A139,ICT_PPMP2023!$B$15:Z1051,2,0)</f>
        <v>#N/A</v>
      </c>
      <c r="J139" s="31" t="e">
        <f ca="1">VLOOKUP(A139,ICT_PPMP2023!$B$15:Z1051,4,0)</f>
        <v>#N/A</v>
      </c>
      <c r="K139" s="32" t="e">
        <f t="shared" ca="1" si="0"/>
        <v>#N/A</v>
      </c>
      <c r="L139" s="8"/>
      <c r="M139" s="8"/>
      <c r="N139" s="8"/>
      <c r="O139" s="8"/>
      <c r="P139" s="8"/>
      <c r="Q139" s="8"/>
      <c r="R139" s="8"/>
      <c r="S139" s="8"/>
      <c r="T139" s="8"/>
      <c r="U139" s="8"/>
      <c r="V139" s="8"/>
      <c r="W139" s="8"/>
      <c r="X139" s="8"/>
      <c r="Y139" s="8"/>
      <c r="Z139" s="8"/>
      <c r="AA139" s="8"/>
    </row>
    <row r="140" spans="1:27" ht="135">
      <c r="A140" s="15" t="str">
        <f ca="1">IFERROR(__xludf.DUMMYFUNCTION("""COMPUTED_VALUE"""),"PC-Connectable Label Maker with 10pcs 12mm Laminated Tape")</f>
        <v>PC-Connectable Label Maker with 10pcs 12mm Laminated Tape</v>
      </c>
      <c r="B140" s="28">
        <v>128</v>
      </c>
      <c r="C140" s="28" t="str">
        <f ca="1">VLOOKUP(A140,ICT_PPMP2023!$B$15:Z1051,3,0)</f>
        <v>set</v>
      </c>
      <c r="D140" s="33" t="str">
        <f ca="1">IFERROR(__xludf.DUMMYFUNCTION("""COMPUTED_VALUE"""),"PC-Connectable Label Maker with 10pcs 12mm Laminated Tape
Full-color graphical display: View label appearance before printing
PC-Connectable: Use stand-alone, or connected to a PC or Mac for added design capabilities
Multi-line labels: Prints labels with "&amp;"up to 7 lines of text
Includes: 10pcs 12mm TZe231 laminated tape, USB cable and AC power adapter
Warranty: 1 year or more")</f>
        <v>PC-Connectable Label Maker with 10pcs 12mm Laminated Tape
Full-color graphical display: View label appearance before printing
PC-Connectable: Use stand-alone, or connected to a PC or Mac for added design capabilities
Multi-line labels: Prints labels with up to 7 lines of text
Includes: 10pcs 12mm TZe231 laminated tape, USB cable and AC power adapter
Warranty: 1 year or more</v>
      </c>
      <c r="E140" s="28">
        <f ca="1">VLOOKUP(A140,ICT_PPMP2023!$B$15:Z1051,7,0)</f>
        <v>2</v>
      </c>
      <c r="F140" s="28">
        <f ca="1">VLOOKUP(A140,ICT_PPMP2023!$B$15:Z1051,11,0)</f>
        <v>0</v>
      </c>
      <c r="G140" s="28">
        <f ca="1">VLOOKUP(A140,ICT_PPMP2023!$B$15:Z1051,15,0)</f>
        <v>0</v>
      </c>
      <c r="H140" s="28">
        <f ca="1">VLOOKUP(A140,ICT_PPMP2023!$B$15:Z1051,19,0)</f>
        <v>0</v>
      </c>
      <c r="I140" s="28">
        <f ca="1">VLOOKUP(A140,ICT_PPMP2023!$B$15:Z1051,2,0)</f>
        <v>2</v>
      </c>
      <c r="J140" s="31">
        <f ca="1">VLOOKUP(A140,ICT_PPMP2023!$B$15:Z1051,4,0)</f>
        <v>14850</v>
      </c>
      <c r="K140" s="32">
        <f t="shared" ca="1" si="0"/>
        <v>29700</v>
      </c>
      <c r="L140" s="8"/>
      <c r="M140" s="8"/>
      <c r="N140" s="8"/>
      <c r="O140" s="8"/>
      <c r="P140" s="8"/>
      <c r="Q140" s="8"/>
      <c r="R140" s="8"/>
      <c r="S140" s="8"/>
      <c r="T140" s="8"/>
      <c r="U140" s="8"/>
      <c r="V140" s="8"/>
      <c r="W140" s="8"/>
      <c r="X140" s="8"/>
      <c r="Y140" s="8"/>
      <c r="Z140" s="8"/>
      <c r="AA140" s="8"/>
    </row>
    <row r="141" spans="1:27" ht="60">
      <c r="A141" s="15" t="str">
        <f ca="1">IFERROR(__xludf.DUMMYFUNCTION("""COMPUTED_VALUE"""),"Printable PVC Pre-Cut Cards")</f>
        <v>Printable PVC Pre-Cut Cards</v>
      </c>
      <c r="B141" s="28">
        <v>129</v>
      </c>
      <c r="C141" s="28" t="str">
        <f ca="1">VLOOKUP(A141,ICT_PPMP2023!$B$15:Z1051,3,0)</f>
        <v>pc</v>
      </c>
      <c r="D141" s="33" t="str">
        <f ca="1">IFERROR(__xludf.DUMMYFUNCTION("""COMPUTED_VALUE"""),"Printable PVC Pre-Cut Cards
For direct ID Printing
High glossy output
size: 85-87mmx53-55mm")</f>
        <v>Printable PVC Pre-Cut Cards
For direct ID Printing
High glossy output
size: 85-87mmx53-55mm</v>
      </c>
      <c r="E141" s="28">
        <f ca="1">VLOOKUP(A141,ICT_PPMP2023!$B$15:Z1051,7,0)</f>
        <v>1000</v>
      </c>
      <c r="F141" s="28">
        <f ca="1">VLOOKUP(A141,ICT_PPMP2023!$B$15:Z1051,11,0)</f>
        <v>0</v>
      </c>
      <c r="G141" s="28">
        <f ca="1">VLOOKUP(A141,ICT_PPMP2023!$B$15:Z1051,15,0)</f>
        <v>0</v>
      </c>
      <c r="H141" s="28">
        <f ca="1">VLOOKUP(A141,ICT_PPMP2023!$B$15:Z1051,19,0)</f>
        <v>0</v>
      </c>
      <c r="I141" s="28">
        <f ca="1">VLOOKUP(A141,ICT_PPMP2023!$B$15:Z1051,2,0)</f>
        <v>1000</v>
      </c>
      <c r="J141" s="31">
        <f ca="1">VLOOKUP(A141,ICT_PPMP2023!$B$15:Z1051,4,0)</f>
        <v>7.5</v>
      </c>
      <c r="K141" s="32">
        <f t="shared" ca="1" si="0"/>
        <v>7500</v>
      </c>
      <c r="L141" s="8"/>
      <c r="M141" s="8"/>
      <c r="N141" s="8"/>
      <c r="O141" s="8"/>
      <c r="P141" s="8"/>
      <c r="Q141" s="8"/>
      <c r="R141" s="8"/>
      <c r="S141" s="8"/>
      <c r="T141" s="8"/>
      <c r="U141" s="8"/>
      <c r="V141" s="8"/>
      <c r="W141" s="8"/>
      <c r="X141" s="8"/>
      <c r="Y141" s="8"/>
      <c r="Z141" s="8"/>
      <c r="AA141" s="8"/>
    </row>
    <row r="142" spans="1:27" ht="15">
      <c r="A142" s="15" t="str">
        <f ca="1">IFERROR(__xludf.DUMMYFUNCTION("""COMPUTED_VALUE"""),"Professional Presenter Wireless Presentation Clicker Remote")</f>
        <v>Professional Presenter Wireless Presentation Clicker Remote</v>
      </c>
      <c r="B142" s="36"/>
      <c r="C142" s="15"/>
      <c r="D142" s="37" t="str">
        <f ca="1">IFERROR(__xludf.DUMMYFUNCTION("""COMPUTED_VALUE"""),"Professional Presenter Wireless Presentation Clicker Remote
Laser Class: Class 2 laser
Max output: Less than 1m W
Wave Length: 522～542 nm (green light)
Battery type: 2 AAA batteries
Wireless technology: 2.4 GHz wireless technology
Warranty: 2 years or mor"&amp;"e")</f>
        <v>Professional Presenter Wireless Presentation Clicker Remote
Laser Class: Class 2 laser
Max output: Less than 1m W
Wave Length: 522～542 nm (green light)
Battery type: 2 AAA batteries
Wireless technology: 2.4 GHz wireless technology
Warranty: 2 years or more</v>
      </c>
      <c r="E142" s="15"/>
      <c r="F142" s="15"/>
      <c r="G142" s="15"/>
      <c r="H142" s="15"/>
      <c r="I142" s="1450" t="s">
        <v>88</v>
      </c>
      <c r="J142" s="1451"/>
      <c r="K142" s="38" t="e">
        <f ca="1">SUM($K$13:K141)</f>
        <v>#N/A</v>
      </c>
      <c r="L142" s="8"/>
      <c r="M142" s="8"/>
      <c r="N142" s="8"/>
      <c r="O142" s="8"/>
      <c r="P142" s="8"/>
      <c r="Q142" s="8"/>
      <c r="R142" s="8"/>
      <c r="S142" s="8"/>
      <c r="T142" s="8"/>
      <c r="U142" s="8"/>
      <c r="V142" s="8"/>
      <c r="W142" s="8"/>
      <c r="X142" s="8"/>
      <c r="Y142" s="8"/>
      <c r="Z142" s="8"/>
      <c r="AA142" s="8"/>
    </row>
    <row r="143" spans="1:27" ht="15">
      <c r="A143" s="15" t="str">
        <f ca="1">IFERROR(__xludf.DUMMYFUNCTION("""COMPUTED_VALUE"""),"Projector")</f>
        <v>Projector</v>
      </c>
      <c r="B143" s="36"/>
      <c r="C143" s="15"/>
      <c r="D143" s="37" t="str">
        <f ca="1">IFERROR(__xludf.DUMMYFUNCTION("""COMPUTED_VALUE"""),"Projector
Projection System: 3LCD, 3-chip technology
Native Resolution: 1024 x 768 (XGA)
Color Brightness: 3600 lumens or more
White Brightness: 3600 lumens or more
Aspect Ratio: 4:3
USB Type B: 1
Analog Input: D-Sub 15pin: 1
Digital Input: HDMI: 1
Warran"&amp;"ty: 1 year or more")</f>
        <v>Projector
Projection System: 3LCD, 3-chip technology
Native Resolution: 1024 x 768 (XGA)
Color Brightness: 3600 lumens or more
White Brightness: 3600 lumens or more
Aspect Ratio: 4:3
USB Type B: 1
Analog Input: D-Sub 15pin: 1
Digital Input: HDMI: 1
Warranty: 1 year or more</v>
      </c>
      <c r="E143" s="15"/>
      <c r="F143" s="15"/>
      <c r="G143" s="15"/>
      <c r="H143" s="15"/>
      <c r="I143" s="15"/>
      <c r="J143" s="39"/>
      <c r="K143" s="40"/>
      <c r="L143" s="8"/>
      <c r="M143" s="8"/>
      <c r="N143" s="8"/>
      <c r="O143" s="8"/>
      <c r="P143" s="8"/>
      <c r="Q143" s="8"/>
      <c r="R143" s="8"/>
      <c r="S143" s="8"/>
      <c r="T143" s="8"/>
      <c r="U143" s="8"/>
      <c r="V143" s="8"/>
      <c r="W143" s="8"/>
      <c r="X143" s="8"/>
      <c r="Y143" s="8"/>
      <c r="Z143" s="8"/>
      <c r="AA143" s="8"/>
    </row>
    <row r="144" spans="1:27" ht="15">
      <c r="A144" s="15" t="str">
        <f ca="1">IFERROR(__xludf.DUMMYFUNCTION("""COMPUTED_VALUE"""),"PVC Cable Tray (2mtr)")</f>
        <v>PVC Cable Tray (2mtr)</v>
      </c>
      <c r="B144" s="36"/>
      <c r="C144" s="15"/>
      <c r="D144" s="37" t="str">
        <f ca="1">IFERROR(__xludf.DUMMYFUNCTION("""COMPUTED_VALUE"""),"PVC Cable Tray (2mtr)
80mmx80mm PVC Cable Tray/Duct Slotted PVC (White or Light Gray)")</f>
        <v>PVC Cable Tray (2mtr)
80mmx80mm PVC Cable Tray/Duct Slotted PVC (White or Light Gray)</v>
      </c>
      <c r="E144" s="15"/>
      <c r="F144" s="15"/>
      <c r="G144" s="15"/>
      <c r="H144" s="15"/>
      <c r="I144" s="15"/>
      <c r="J144" s="39"/>
      <c r="K144" s="40"/>
      <c r="L144" s="8"/>
      <c r="M144" s="8"/>
      <c r="N144" s="8"/>
      <c r="O144" s="8"/>
      <c r="P144" s="8"/>
      <c r="Q144" s="8"/>
      <c r="R144" s="8"/>
      <c r="S144" s="8"/>
      <c r="T144" s="8"/>
      <c r="U144" s="8"/>
      <c r="V144" s="8"/>
      <c r="W144" s="8"/>
      <c r="X144" s="8"/>
      <c r="Y144" s="8"/>
      <c r="Z144" s="8"/>
      <c r="AA144" s="8"/>
    </row>
    <row r="145" spans="1:27" ht="15">
      <c r="A145" s="15" t="str">
        <f ca="1">IFERROR(__xludf.DUMMYFUNCTION("""COMPUTED_VALUE"""),"Replacement Battery APCRBC175 for the existing BVX1200LI-MS")</f>
        <v>Replacement Battery APCRBC175 for the existing BVX1200LI-MS</v>
      </c>
      <c r="B145" s="36"/>
      <c r="C145" s="15"/>
      <c r="D145" s="37" t="str">
        <f ca="1">IFERROR(__xludf.DUMMYFUNCTION("""COMPUTED_VALUE"""),"Replacement Battery APCRBC175 for the existing BVX1200LI-MS
Battery type: Lead-acid battery
Battery capacity: 9.0 Ah
Battery voltage: 12 V
Warranty: 2 years or more")</f>
        <v>Replacement Battery APCRBC175 for the existing BVX1200LI-MS
Battery type: Lead-acid battery
Battery capacity: 9.0 Ah
Battery voltage: 12 V
Warranty: 2 years or more</v>
      </c>
      <c r="E145" s="15"/>
      <c r="F145" s="15"/>
      <c r="G145" s="15"/>
      <c r="H145" s="15"/>
      <c r="I145" s="15"/>
      <c r="J145" s="39"/>
      <c r="K145" s="40"/>
      <c r="L145" s="8"/>
      <c r="M145" s="8"/>
      <c r="N145" s="8"/>
      <c r="O145" s="8"/>
      <c r="P145" s="8"/>
      <c r="Q145" s="8"/>
      <c r="R145" s="8"/>
      <c r="S145" s="8"/>
      <c r="T145" s="8"/>
      <c r="U145" s="8"/>
      <c r="V145" s="8"/>
      <c r="W145" s="8"/>
      <c r="X145" s="8"/>
      <c r="Y145" s="8"/>
      <c r="Z145" s="8"/>
      <c r="AA145" s="8"/>
    </row>
    <row r="146" spans="1:27" ht="15">
      <c r="A146" s="15" t="str">
        <f ca="1">IFERROR(__xludf.DUMMYFUNCTION("""COMPUTED_VALUE"""),"Rj11 Connector")</f>
        <v>Rj11 Connector</v>
      </c>
      <c r="B146" s="36"/>
      <c r="C146" s="15"/>
      <c r="D146" s="37" t="str">
        <f ca="1">IFERROR(__xludf.DUMMYFUNCTION("""COMPUTED_VALUE"""),"Rj11 Connector
6P6C Telephone Connector, High Quality")</f>
        <v>Rj11 Connector
6P6C Telephone Connector, High Quality</v>
      </c>
      <c r="E146" s="15"/>
      <c r="F146" s="15"/>
      <c r="G146" s="15"/>
      <c r="H146" s="15"/>
      <c r="I146" s="15"/>
      <c r="J146" s="39"/>
      <c r="K146" s="40"/>
      <c r="L146" s="8"/>
      <c r="M146" s="8"/>
      <c r="N146" s="8"/>
      <c r="O146" s="8"/>
      <c r="P146" s="8"/>
      <c r="Q146" s="8"/>
      <c r="R146" s="8"/>
      <c r="S146" s="8"/>
      <c r="T146" s="8"/>
      <c r="U146" s="8"/>
      <c r="V146" s="8"/>
      <c r="W146" s="8"/>
      <c r="X146" s="8"/>
      <c r="Y146" s="8"/>
      <c r="Z146" s="8"/>
      <c r="AA146" s="8"/>
    </row>
    <row r="147" spans="1:27" ht="15">
      <c r="A147" s="15" t="str">
        <f ca="1">IFERROR(__xludf.DUMMYFUNCTION("""COMPUTED_VALUE"""),"RJ11 Telephone Converter 10pcs/pack")</f>
        <v>RJ11 Telephone Converter 10pcs/pack</v>
      </c>
      <c r="B147" s="36"/>
      <c r="C147" s="15"/>
      <c r="D147" s="37" t="str">
        <f ca="1">IFERROR(__xludf.DUMMYFUNCTION("""COMPUTED_VALUE"""),"RJ11 Telephone Converter 10pcs/pack
RJ11 Telephone Converter RJ-11 Classic 6 Pins Female 1 to 3 Telephone Phone Cable Line Splitter Adapter")</f>
        <v>RJ11 Telephone Converter 10pcs/pack
RJ11 Telephone Converter RJ-11 Classic 6 Pins Female 1 to 3 Telephone Phone Cable Line Splitter Adapter</v>
      </c>
      <c r="E147" s="15"/>
      <c r="F147" s="15"/>
      <c r="G147" s="15"/>
      <c r="H147" s="15"/>
      <c r="I147" s="15"/>
      <c r="J147" s="39"/>
      <c r="K147" s="40"/>
      <c r="L147" s="8"/>
      <c r="M147" s="8"/>
      <c r="N147" s="8"/>
      <c r="O147" s="8"/>
      <c r="P147" s="8"/>
      <c r="Q147" s="8"/>
      <c r="R147" s="8"/>
      <c r="S147" s="8"/>
      <c r="T147" s="8"/>
      <c r="U147" s="8"/>
      <c r="V147" s="8"/>
      <c r="W147" s="8"/>
      <c r="X147" s="8"/>
      <c r="Y147" s="8"/>
      <c r="Z147" s="8"/>
      <c r="AA147" s="8"/>
    </row>
    <row r="148" spans="1:27" ht="15">
      <c r="A148" s="15" t="str">
        <f ca="1">IFERROR(__xludf.DUMMYFUNCTION("""COMPUTED_VALUE"""),"RJ45 Connector Crimp Connection Terminals 100pcs/pack")</f>
        <v>RJ45 Connector Crimp Connection Terminals 100pcs/pack</v>
      </c>
      <c r="B148" s="36"/>
      <c r="C148" s="15"/>
      <c r="D148" s="37" t="str">
        <f ca="1">IFERROR(__xludf.DUMMYFUNCTION("""COMPUTED_VALUE"""),"RJ45 Connector Crimp Connection Terminals 100pcs/pack
Rj45 Connector Crimp Connection Terminals Connector Waterproof Connectors")</f>
        <v>RJ45 Connector Crimp Connection Terminals 100pcs/pack
Rj45 Connector Crimp Connection Terminals Connector Waterproof Connectors</v>
      </c>
      <c r="E148" s="15"/>
      <c r="F148" s="15"/>
      <c r="G148" s="15"/>
      <c r="H148" s="15"/>
      <c r="I148" s="15"/>
      <c r="J148" s="39"/>
      <c r="K148" s="40"/>
      <c r="L148" s="8"/>
      <c r="M148" s="8"/>
      <c r="N148" s="8"/>
      <c r="O148" s="8"/>
      <c r="P148" s="8"/>
      <c r="Q148" s="8"/>
      <c r="R148" s="8"/>
      <c r="S148" s="8"/>
      <c r="T148" s="8"/>
      <c r="U148" s="8"/>
      <c r="V148" s="8"/>
      <c r="W148" s="8"/>
      <c r="X148" s="8"/>
      <c r="Y148" s="8"/>
      <c r="Z148" s="8"/>
      <c r="AA148" s="8"/>
    </row>
    <row r="149" spans="1:27" ht="15">
      <c r="A149" s="15" t="str">
        <f ca="1">IFERROR(__xludf.DUMMYFUNCTION("""COMPUTED_VALUE"""),"Rj45 Connectors for CAT6 (100pcs Clear)")</f>
        <v>Rj45 Connectors for CAT6 (100pcs Clear)</v>
      </c>
      <c r="B149" s="36"/>
      <c r="C149" s="15"/>
      <c r="D149" s="37" t="str">
        <f ca="1">IFERROR(__xludf.DUMMYFUNCTION("""COMPUTED_VALUE"""),"Rj45 Connectors for CAT6 (100pcs Clear)
Rj45 Connectors high quality")</f>
        <v>Rj45 Connectors for CAT6 (100pcs Clear)
Rj45 Connectors high quality</v>
      </c>
      <c r="E149" s="15"/>
      <c r="F149" s="15"/>
      <c r="G149" s="15"/>
      <c r="H149" s="15"/>
      <c r="I149" s="15"/>
      <c r="J149" s="39"/>
      <c r="K149" s="40"/>
      <c r="L149" s="8"/>
      <c r="M149" s="8"/>
      <c r="N149" s="8"/>
      <c r="O149" s="8"/>
      <c r="P149" s="8"/>
      <c r="Q149" s="8"/>
      <c r="R149" s="8"/>
      <c r="S149" s="8"/>
      <c r="T149" s="8"/>
      <c r="U149" s="8"/>
      <c r="V149" s="8"/>
      <c r="W149" s="8"/>
      <c r="X149" s="8"/>
      <c r="Y149" s="8"/>
      <c r="Z149" s="8"/>
      <c r="AA149" s="8"/>
    </row>
    <row r="150" spans="1:27" ht="15">
      <c r="A150" s="15" t="str">
        <f ca="1">IFERROR(__xludf.DUMMYFUNCTION("""COMPUTED_VALUE"""),"RJ45 Coupler, 8P8C Female Extender LAN Connector")</f>
        <v>RJ45 Coupler, 8P8C Female Extender LAN Connector</v>
      </c>
      <c r="B150" s="36"/>
      <c r="C150" s="15"/>
      <c r="D150" s="37" t="str">
        <f ca="1">IFERROR(__xludf.DUMMYFUNCTION("""COMPUTED_VALUE"""),"RJ45 Coupler, 8P8C Female Extender LAN Connector
RJ45 Coupler, 8P8C Female Extender LAN Connector Inline CAT6A/CAT6/CAT5E Ethernet Cable-Lightning Protection")</f>
        <v>RJ45 Coupler, 8P8C Female Extender LAN Connector
RJ45 Coupler, 8P8C Female Extender LAN Connector Inline CAT6A/CAT6/CAT5E Ethernet Cable-Lightning Protection</v>
      </c>
      <c r="E150" s="15"/>
      <c r="F150" s="15"/>
      <c r="G150" s="15"/>
      <c r="H150" s="15"/>
      <c r="I150" s="15"/>
      <c r="J150" s="39"/>
      <c r="K150" s="40"/>
      <c r="L150" s="8"/>
      <c r="M150" s="8"/>
      <c r="N150" s="8"/>
      <c r="O150" s="8"/>
      <c r="P150" s="8"/>
      <c r="Q150" s="8"/>
      <c r="R150" s="8"/>
      <c r="S150" s="8"/>
      <c r="T150" s="8"/>
      <c r="U150" s="8"/>
      <c r="V150" s="8"/>
      <c r="W150" s="8"/>
      <c r="X150" s="8"/>
      <c r="Y150" s="8"/>
      <c r="Z150" s="8"/>
      <c r="AA150" s="8"/>
    </row>
    <row r="151" spans="1:27" ht="15">
      <c r="A151" s="15" t="str">
        <f ca="1">IFERROR(__xludf.DUMMYFUNCTION("""COMPUTED_VALUE"""),"RJ45 Crimp Tool Pass Through Cat5 Cat5e Cat6")</f>
        <v>RJ45 Crimp Tool Pass Through Cat5 Cat5e Cat6</v>
      </c>
      <c r="B151" s="36"/>
      <c r="C151" s="15"/>
      <c r="D151" s="37" t="str">
        <f ca="1">IFERROR(__xludf.DUMMYFUNCTION("""COMPUTED_VALUE"""),"RJ45 Crimp Tool Pass Through Cat5 Cat5e Cat6
Crimper Cutter Stripper for RJ45 RJ12 RJ11 8P 6P End Pass Through connector
High Carbon Steel and PVC Non-slip Handle")</f>
        <v>RJ45 Crimp Tool Pass Through Cat5 Cat5e Cat6
Crimper Cutter Stripper for RJ45 RJ12 RJ11 8P 6P End Pass Through connector
High Carbon Steel and PVC Non-slip Handle</v>
      </c>
      <c r="E151" s="15"/>
      <c r="F151" s="15"/>
      <c r="G151" s="15"/>
      <c r="H151" s="15"/>
      <c r="I151" s="15"/>
      <c r="J151" s="39"/>
      <c r="K151" s="40"/>
      <c r="L151" s="8"/>
      <c r="M151" s="8"/>
      <c r="N151" s="8"/>
      <c r="O151" s="8"/>
      <c r="P151" s="8"/>
      <c r="Q151" s="8"/>
      <c r="R151" s="8"/>
      <c r="S151" s="8"/>
      <c r="T151" s="8"/>
      <c r="U151" s="8"/>
      <c r="V151" s="8"/>
      <c r="W151" s="8"/>
      <c r="X151" s="8"/>
      <c r="Y151" s="8"/>
      <c r="Z151" s="8"/>
      <c r="AA151" s="8"/>
    </row>
    <row r="152" spans="1:27" ht="15">
      <c r="A152" s="15" t="str">
        <f ca="1">IFERROR(__xludf.DUMMYFUNCTION("""COMPUTED_VALUE"""),"Rj45 Metal Shield Connectors for CAT6 (100pcs)")</f>
        <v>Rj45 Metal Shield Connectors for CAT6 (100pcs)</v>
      </c>
      <c r="B152" s="36"/>
      <c r="C152" s="15"/>
      <c r="D152" s="37" t="str">
        <f ca="1">IFERROR(__xludf.DUMMYFUNCTION("""COMPUTED_VALUE"""),"Rj45 Metal Shield Connectors for CAT6 (100pcs)
Rj45 Metal Shield Connectors high quality")</f>
        <v>Rj45 Metal Shield Connectors for CAT6 (100pcs)
Rj45 Metal Shield Connectors high quality</v>
      </c>
      <c r="E152" s="15"/>
      <c r="F152" s="15"/>
      <c r="G152" s="15"/>
      <c r="H152" s="15"/>
      <c r="I152" s="15"/>
      <c r="J152" s="39"/>
      <c r="K152" s="40"/>
      <c r="L152" s="8"/>
      <c r="M152" s="8"/>
      <c r="N152" s="8"/>
      <c r="O152" s="8"/>
      <c r="P152" s="8"/>
      <c r="Q152" s="8"/>
      <c r="R152" s="8"/>
      <c r="S152" s="8"/>
      <c r="T152" s="8"/>
      <c r="U152" s="8"/>
      <c r="V152" s="8"/>
      <c r="W152" s="8"/>
      <c r="X152" s="8"/>
      <c r="Y152" s="8"/>
      <c r="Z152" s="8"/>
      <c r="AA152" s="8"/>
    </row>
    <row r="153" spans="1:27" ht="15">
      <c r="A153" s="15" t="str">
        <f ca="1">IFERROR(__xludf.DUMMYFUNCTION("""COMPUTED_VALUE"""),"Single Line Telephone (Black)")</f>
        <v>Single Line Telephone (Black)</v>
      </c>
      <c r="B153" s="36"/>
      <c r="C153" s="15"/>
      <c r="D153" s="37" t="str">
        <f ca="1">IFERROR(__xludf.DUMMYFUNCTION("""COMPUTED_VALUE"""),"Single Line Telephone (Black)
3 Programmable Ringer Tones; 
Adjustable Ringer/Handset Volume; 
Time Flash; 
Switchable Tone or Pulse Dialing;
Compatible with the existing NEC SV9100 Communication Server ; With at least 1 year warranty.
Warranty: 1 year or"&amp;" more")</f>
        <v>Single Line Telephone (Black)
3 Programmable Ringer Tones; 
Adjustable Ringer/Handset Volume; 
Time Flash; 
Switchable Tone or Pulse Dialing;
Compatible with the existing NEC SV9100 Communication Server ; With at least 1 year warranty.
Warranty: 1 year or more</v>
      </c>
      <c r="E153" s="15"/>
      <c r="F153" s="15"/>
      <c r="G153" s="15"/>
      <c r="H153" s="15"/>
      <c r="I153" s="15"/>
      <c r="J153" s="39"/>
      <c r="K153" s="40"/>
      <c r="L153" s="8"/>
      <c r="M153" s="8"/>
      <c r="N153" s="8"/>
      <c r="O153" s="8"/>
      <c r="P153" s="8"/>
      <c r="Q153" s="8"/>
      <c r="R153" s="8"/>
      <c r="S153" s="8"/>
      <c r="T153" s="8"/>
      <c r="U153" s="8"/>
      <c r="V153" s="8"/>
      <c r="W153" s="8"/>
      <c r="X153" s="8"/>
      <c r="Y153" s="8"/>
      <c r="Z153" s="8"/>
      <c r="AA153" s="8"/>
    </row>
    <row r="154" spans="1:27" ht="15">
      <c r="A154" s="15" t="str">
        <f ca="1">IFERROR(__xludf.DUMMYFUNCTION("""COMPUTED_VALUE"""),"Stereo Digital Voice Recorder with Built-in USB")</f>
        <v>Stereo Digital Voice Recorder with Built-in USB</v>
      </c>
      <c r="B154" s="36"/>
      <c r="C154" s="15"/>
      <c r="D154" s="37" t="str">
        <f ca="1">IFERROR(__xludf.DUMMYFUNCTION("""COMPUTED_VALUE"""),"Stereo Digital Voice Recorder with Built-in USB
Battery Type: Dry Battery
Battery Type (Provided): AAA X2
Built-In Memory: 4 GB Internal Memory, Expandable To 32 GB With Micro Sd
Built-In Microphone: Stereo
Pc Connectivity: Yes
Input And Output Terminals
"&amp;"Hi-Speed Usb [Input] Stereo Mic-In Jack [Output] Stereo Earphone Jack
Warranty: 1 year or more")</f>
        <v>Stereo Digital Voice Recorder with Built-in USB
Battery Type: Dry Battery
Battery Type (Provided): AAA X2
Built-In Memory: 4 GB Internal Memory, Expandable To 32 GB With Micro Sd
Built-In Microphone: Stereo
Pc Connectivity: Yes
Input And Output Terminals
Hi-Speed Usb [Input] Stereo Mic-In Jack [Output] Stereo Earphone Jack
Warranty: 1 year or more</v>
      </c>
      <c r="E154" s="15"/>
      <c r="F154" s="15"/>
      <c r="G154" s="15"/>
      <c r="H154" s="15"/>
      <c r="I154" s="15"/>
      <c r="J154" s="39"/>
      <c r="K154" s="40"/>
      <c r="L154" s="8"/>
      <c r="M154" s="8"/>
      <c r="N154" s="8"/>
      <c r="O154" s="8"/>
      <c r="P154" s="8"/>
      <c r="Q154" s="8"/>
      <c r="R154" s="8"/>
      <c r="S154" s="8"/>
      <c r="T154" s="8"/>
      <c r="U154" s="8"/>
      <c r="V154" s="8"/>
      <c r="W154" s="8"/>
      <c r="X154" s="8"/>
      <c r="Y154" s="8"/>
      <c r="Z154" s="8"/>
      <c r="AA154" s="8"/>
    </row>
    <row r="155" spans="1:27" ht="15">
      <c r="A155" s="15" t="str">
        <f ca="1">IFERROR(__xludf.DUMMYFUNCTION("""COMPUTED_VALUE"""),"Stereo Speakers")</f>
        <v>Stereo Speakers</v>
      </c>
      <c r="B155" s="36"/>
      <c r="C155" s="15"/>
      <c r="D155" s="37" t="str">
        <f ca="1">IFERROR(__xludf.DUMMYFUNCTION("""COMPUTED_VALUE"""),"Stereo Speakers
Total Watt (RMS): approximately 1.2W (varies by power source)
3.5 mm input: 1
USB cable for power: 1
Controls: Power and volume controls on right speaker
Warranty: 2 years or more")</f>
        <v>Stereo Speakers
Total Watt (RMS): approximately 1.2W (varies by power source)
3.5 mm input: 1
USB cable for power: 1
Controls: Power and volume controls on right speaker
Warranty: 2 years or more</v>
      </c>
      <c r="E155" s="15"/>
      <c r="F155" s="15"/>
      <c r="G155" s="15"/>
      <c r="H155" s="15"/>
      <c r="I155" s="15"/>
      <c r="J155" s="39"/>
      <c r="K155" s="40"/>
      <c r="L155" s="8"/>
      <c r="M155" s="8"/>
      <c r="N155" s="8"/>
      <c r="O155" s="8"/>
      <c r="P155" s="8"/>
      <c r="Q155" s="8"/>
      <c r="R155" s="8"/>
      <c r="S155" s="8"/>
      <c r="T155" s="8"/>
      <c r="U155" s="8"/>
      <c r="V155" s="8"/>
      <c r="W155" s="8"/>
      <c r="X155" s="8"/>
      <c r="Y155" s="8"/>
      <c r="Z155" s="8"/>
      <c r="AA155" s="8"/>
    </row>
    <row r="156" spans="1:27" ht="15">
      <c r="A156" s="15" t="str">
        <f ca="1">IFERROR(__xludf.DUMMYFUNCTION("""COMPUTED_VALUE"""),"Super Strength Molding Tape Double Sided Tape 1/2"" x 15ft")</f>
        <v>Super Strength Molding Tape Double Sided Tape 1/2" x 15ft</v>
      </c>
      <c r="B156" s="36"/>
      <c r="C156" s="15"/>
      <c r="D156" s="37" t="str">
        <f ca="1">IFERROR(__xludf.DUMMYFUNCTION("""COMPUTED_VALUE"""),"Super Strength Molding Tape Double Sided Tape 1/2"" x 15ft
Self sticking adhesive on both sides")</f>
        <v>Super Strength Molding Tape Double Sided Tape 1/2" x 15ft
Self sticking adhesive on both sides</v>
      </c>
      <c r="E156" s="15"/>
      <c r="F156" s="15"/>
      <c r="G156" s="15"/>
      <c r="H156" s="15"/>
      <c r="I156" s="15"/>
      <c r="J156" s="39"/>
      <c r="K156" s="40"/>
      <c r="L156" s="8"/>
      <c r="M156" s="8"/>
      <c r="N156" s="8"/>
      <c r="O156" s="8"/>
      <c r="P156" s="8"/>
      <c r="Q156" s="8"/>
      <c r="R156" s="8"/>
      <c r="S156" s="8"/>
      <c r="T156" s="8"/>
      <c r="U156" s="8"/>
      <c r="V156" s="8"/>
      <c r="W156" s="8"/>
      <c r="X156" s="8"/>
      <c r="Y156" s="8"/>
      <c r="Z156" s="8"/>
      <c r="AA156" s="8"/>
    </row>
    <row r="157" spans="1:27" ht="15">
      <c r="A157" s="15" t="str">
        <f ca="1">IFERROR(__xludf.DUMMYFUNCTION("""COMPUTED_VALUE"""),"Super Strength Molding Tape Double Sided Tape 7/8"" x 15ft")</f>
        <v>Super Strength Molding Tape Double Sided Tape 7/8" x 15ft</v>
      </c>
      <c r="B157" s="36"/>
      <c r="C157" s="15"/>
      <c r="D157" s="37" t="str">
        <f ca="1">IFERROR(__xludf.DUMMYFUNCTION("""COMPUTED_VALUE"""),"Super Strength Molding Tape Double Sided Tape 7/8"" x 15ft
Self sticking adhesive on both sides")</f>
        <v>Super Strength Molding Tape Double Sided Tape 7/8" x 15ft
Self sticking adhesive on both sides</v>
      </c>
      <c r="E157" s="15"/>
      <c r="F157" s="15"/>
      <c r="G157" s="15"/>
      <c r="H157" s="15"/>
      <c r="I157" s="15"/>
      <c r="J157" s="39"/>
      <c r="K157" s="40"/>
      <c r="L157" s="8"/>
      <c r="M157" s="8"/>
      <c r="N157" s="8"/>
      <c r="O157" s="8"/>
      <c r="P157" s="8"/>
      <c r="Q157" s="8"/>
      <c r="R157" s="8"/>
      <c r="S157" s="8"/>
      <c r="T157" s="8"/>
      <c r="U157" s="8"/>
      <c r="V157" s="8"/>
      <c r="W157" s="8"/>
      <c r="X157" s="8"/>
      <c r="Y157" s="8"/>
      <c r="Z157" s="8"/>
      <c r="AA157" s="8"/>
    </row>
    <row r="158" spans="1:27" ht="15">
      <c r="A158" s="15" t="str">
        <f ca="1">IFERROR(__xludf.DUMMYFUNCTION("""COMPUTED_VALUE"""),"Telephone Wire (3mtrs)")</f>
        <v>Telephone Wire (3mtrs)</v>
      </c>
      <c r="B158" s="36"/>
      <c r="C158" s="15"/>
      <c r="D158" s="37" t="str">
        <f ca="1">IFERROR(__xludf.DUMMYFUNCTION("""COMPUTED_VALUE"""),"Telephone Wire (3mtrs)
RJ11 To RJ11 Cable Telephone Wire Ready-To-Use")</f>
        <v>Telephone Wire (3mtrs)
RJ11 To RJ11 Cable Telephone Wire Ready-To-Use</v>
      </c>
      <c r="E158" s="15"/>
      <c r="F158" s="15"/>
      <c r="G158" s="15"/>
      <c r="H158" s="15"/>
      <c r="I158" s="15"/>
      <c r="J158" s="39"/>
      <c r="K158" s="40"/>
      <c r="L158" s="8"/>
      <c r="M158" s="8"/>
      <c r="N158" s="8"/>
      <c r="O158" s="8"/>
      <c r="P158" s="8"/>
      <c r="Q158" s="8"/>
      <c r="R158" s="8"/>
      <c r="S158" s="8"/>
      <c r="T158" s="8"/>
      <c r="U158" s="8"/>
      <c r="V158" s="8"/>
      <c r="W158" s="8"/>
      <c r="X158" s="8"/>
      <c r="Y158" s="8"/>
      <c r="Z158" s="8"/>
      <c r="AA158" s="8"/>
    </row>
    <row r="159" spans="1:27" ht="15">
      <c r="A159" s="15" t="str">
        <f ca="1">IFERROR(__xludf.DUMMYFUNCTION("""COMPUTED_VALUE"""),"Thermal Paste Syringe")</f>
        <v>Thermal Paste Syringe</v>
      </c>
      <c r="B159" s="36"/>
      <c r="C159" s="15"/>
      <c r="D159" s="37" t="str">
        <f ca="1">IFERROR(__xludf.DUMMYFUNCTION("""COMPUTED_VALUE"""),"Thermal Paste Syringe
Thermal Conductive Grease Paste For CPU GPU High Quality
30g or more")</f>
        <v>Thermal Paste Syringe
Thermal Conductive Grease Paste For CPU GPU High Quality
30g or more</v>
      </c>
      <c r="E159" s="15"/>
      <c r="F159" s="15"/>
      <c r="G159" s="15"/>
      <c r="H159" s="15"/>
      <c r="I159" s="15"/>
      <c r="J159" s="39"/>
      <c r="K159" s="40"/>
      <c r="L159" s="8"/>
      <c r="M159" s="8"/>
      <c r="N159" s="8"/>
      <c r="O159" s="8"/>
      <c r="P159" s="8"/>
      <c r="Q159" s="8"/>
      <c r="R159" s="8"/>
      <c r="S159" s="8"/>
      <c r="T159" s="8"/>
      <c r="U159" s="8"/>
      <c r="V159" s="8"/>
      <c r="W159" s="8"/>
      <c r="X159" s="8"/>
      <c r="Y159" s="8"/>
      <c r="Z159" s="8"/>
      <c r="AA159" s="8"/>
    </row>
    <row r="160" spans="1:27" ht="15">
      <c r="A160" s="15" t="str">
        <f ca="1">IFERROR(__xludf.DUMMYFUNCTION("""COMPUTED_VALUE"""),"Thermal POS Receipt Printer")</f>
        <v>Thermal POS Receipt Printer</v>
      </c>
      <c r="B160" s="36"/>
      <c r="C160" s="15"/>
      <c r="D160" s="37" t="str">
        <f ca="1">IFERROR(__xludf.DUMMYFUNCTION("""COMPUTED_VALUE"""),"Thermal POS Receipt Printer
Print Method: Thermal line printing
Print Font
   Font: 9 × 17 / 12 × 24
   Column Capacity: 56 / 42 columns
Interface: Built-in USB (Type A &amp; Type B) + Built-in Ethernet
+ UIB (Serial or Parallel)
Print Speed: Max. 350 mm/sec."&amp;" or more
CPU: ARM Cortex-A5 384 MHz or higher
Warranty: 1 year or more")</f>
        <v>Thermal POS Receipt Printer
Print Method: Thermal line printing
Print Font
   Font: 9 × 17 / 12 × 24
   Column Capacity: 56 / 42 columns
Interface: Built-in USB (Type A &amp; Type B) + Built-in Ethernet
+ UIB (Serial or Parallel)
Print Speed: Max. 350 mm/sec. or more
CPU: ARM Cortex-A5 384 MHz or higher
Warranty: 1 year or more</v>
      </c>
      <c r="E160" s="15"/>
      <c r="F160" s="15"/>
      <c r="G160" s="15"/>
      <c r="H160" s="15"/>
      <c r="I160" s="15"/>
      <c r="J160" s="39"/>
      <c r="K160" s="40"/>
      <c r="L160" s="8"/>
      <c r="M160" s="8"/>
      <c r="N160" s="8"/>
      <c r="O160" s="8"/>
      <c r="P160" s="8"/>
      <c r="Q160" s="8"/>
      <c r="R160" s="8"/>
      <c r="S160" s="8"/>
      <c r="T160" s="8"/>
      <c r="U160" s="8"/>
      <c r="V160" s="8"/>
      <c r="W160" s="8"/>
      <c r="X160" s="8"/>
      <c r="Y160" s="8"/>
      <c r="Z160" s="8"/>
      <c r="AA160" s="8"/>
    </row>
    <row r="161" spans="1:27" ht="15">
      <c r="A161" s="15" t="str">
        <f ca="1">IFERROR(__xludf.DUMMYFUNCTION("""COMPUTED_VALUE"""),"Toner Cartridge for the existing Brother DCP L2540DW")</f>
        <v>Toner Cartridge for the existing Brother DCP L2540DW</v>
      </c>
      <c r="B161" s="36"/>
      <c r="C161" s="15"/>
      <c r="D161" s="37" t="str">
        <f ca="1">IFERROR(__xludf.DUMMYFUNCTION("""COMPUTED_VALUE"""),"Toner Cartridge for the existing Brother DCP L2540DW
BROTHER TN-2360 TONER CARTRIDGE")</f>
        <v>Toner Cartridge for the existing Brother DCP L2540DW
BROTHER TN-2360 TONER CARTRIDGE</v>
      </c>
      <c r="E161" s="15"/>
      <c r="F161" s="15"/>
      <c r="G161" s="15"/>
      <c r="H161" s="15"/>
      <c r="I161" s="15"/>
      <c r="J161" s="39"/>
      <c r="K161" s="40"/>
      <c r="L161" s="8"/>
      <c r="M161" s="8"/>
      <c r="N161" s="8"/>
      <c r="O161" s="8"/>
      <c r="P161" s="8"/>
      <c r="Q161" s="8"/>
      <c r="R161" s="8"/>
      <c r="S161" s="8"/>
      <c r="T161" s="8"/>
      <c r="U161" s="8"/>
      <c r="V161" s="8"/>
      <c r="W161" s="8"/>
      <c r="X161" s="8"/>
      <c r="Y161" s="8"/>
      <c r="Z161" s="8"/>
      <c r="AA161" s="8"/>
    </row>
    <row r="162" spans="1:27" ht="15">
      <c r="A162" s="15" t="str">
        <f ca="1">IFERROR(__xludf.DUMMYFUNCTION("""COMPUTED_VALUE"""),"Toner Cartridge for the existing Canon Imageclass MF543x")</f>
        <v>Toner Cartridge for the existing Canon Imageclass MF543x</v>
      </c>
      <c r="B162" s="36"/>
      <c r="C162" s="15"/>
      <c r="D162" s="37" t="str">
        <f ca="1">IFERROR(__xludf.DUMMYFUNCTION("""COMPUTED_VALUE"""),"Toner Cartridge for the existing Canon Imageclass MF543x
Canon Cartridge 056")</f>
        <v>Toner Cartridge for the existing Canon Imageclass MF543x
Canon Cartridge 056</v>
      </c>
      <c r="E162" s="15"/>
      <c r="F162" s="15"/>
      <c r="G162" s="15"/>
      <c r="H162" s="15"/>
      <c r="I162" s="15"/>
      <c r="J162" s="39"/>
      <c r="K162" s="40"/>
      <c r="L162" s="8"/>
      <c r="M162" s="8"/>
      <c r="N162" s="8"/>
      <c r="O162" s="8"/>
      <c r="P162" s="8"/>
      <c r="Q162" s="8"/>
      <c r="R162" s="8"/>
      <c r="S162" s="8"/>
      <c r="T162" s="8"/>
      <c r="U162" s="8"/>
      <c r="V162" s="8"/>
      <c r="W162" s="8"/>
      <c r="X162" s="8"/>
      <c r="Y162" s="8"/>
      <c r="Z162" s="8"/>
      <c r="AA162" s="8"/>
    </row>
    <row r="163" spans="1:27" ht="15">
      <c r="A163" s="15" t="str">
        <f ca="1">IFERROR(__xludf.DUMMYFUNCTION("""COMPUTED_VALUE"""),"Toner Cartridge for the existing ECOSYS M2535DN/L")</f>
        <v>Toner Cartridge for the existing ECOSYS M2535DN/L</v>
      </c>
      <c r="B163" s="36"/>
      <c r="C163" s="15"/>
      <c r="D163" s="37" t="str">
        <f ca="1">IFERROR(__xludf.DUMMYFUNCTION("""COMPUTED_VALUE"""),"Toner Cartridge for the existing ECOSYS M2535DN/L
TK-1147")</f>
        <v>Toner Cartridge for the existing ECOSYS M2535DN/L
TK-1147</v>
      </c>
      <c r="E163" s="15"/>
      <c r="F163" s="15"/>
      <c r="G163" s="15"/>
      <c r="H163" s="15"/>
      <c r="I163" s="15"/>
      <c r="J163" s="39"/>
      <c r="K163" s="40"/>
      <c r="L163" s="8"/>
      <c r="M163" s="8"/>
      <c r="N163" s="8"/>
      <c r="O163" s="8"/>
      <c r="P163" s="8"/>
      <c r="Q163" s="8"/>
      <c r="R163" s="8"/>
      <c r="S163" s="8"/>
      <c r="T163" s="8"/>
      <c r="U163" s="8"/>
      <c r="V163" s="8"/>
      <c r="W163" s="8"/>
      <c r="X163" s="8"/>
      <c r="Y163" s="8"/>
      <c r="Z163" s="8"/>
      <c r="AA163" s="8"/>
    </row>
    <row r="164" spans="1:27" ht="15">
      <c r="A164" s="15" t="str">
        <f ca="1">IFERROR(__xludf.DUMMYFUNCTION("""COMPUTED_VALUE"""),"Toner Cartridge for the existing ECOSYS M2540DN/L")</f>
        <v>Toner Cartridge for the existing ECOSYS M2540DN/L</v>
      </c>
      <c r="B164" s="36"/>
      <c r="C164" s="15"/>
      <c r="D164" s="37" t="str">
        <f ca="1">IFERROR(__xludf.DUMMYFUNCTION("""COMPUTED_VALUE"""),"Toner Cartridge for the existing ECOSYS M2540DN/L
TK-1175")</f>
        <v>Toner Cartridge for the existing ECOSYS M2540DN/L
TK-1175</v>
      </c>
      <c r="E164" s="15"/>
      <c r="F164" s="15"/>
      <c r="G164" s="15"/>
      <c r="H164" s="15"/>
      <c r="I164" s="15"/>
      <c r="J164" s="39"/>
      <c r="K164" s="40"/>
      <c r="L164" s="8"/>
      <c r="M164" s="8"/>
      <c r="N164" s="8"/>
      <c r="O164" s="8"/>
      <c r="P164" s="8"/>
      <c r="Q164" s="8"/>
      <c r="R164" s="8"/>
      <c r="S164" s="8"/>
      <c r="T164" s="8"/>
      <c r="U164" s="8"/>
      <c r="V164" s="8"/>
      <c r="W164" s="8"/>
      <c r="X164" s="8"/>
      <c r="Y164" s="8"/>
      <c r="Z164" s="8"/>
      <c r="AA164" s="8"/>
    </row>
    <row r="165" spans="1:27" ht="15">
      <c r="A165" s="15" t="str">
        <f ca="1">IFERROR(__xludf.DUMMYFUNCTION("""COMPUTED_VALUE"""),"Toner Cartridge for the existing ECOSYS M2640IDW/L")</f>
        <v>Toner Cartridge for the existing ECOSYS M2640IDW/L</v>
      </c>
      <c r="B165" s="36"/>
      <c r="C165" s="15"/>
      <c r="D165" s="37" t="str">
        <f ca="1">IFERROR(__xludf.DUMMYFUNCTION("""COMPUTED_VALUE"""),"Toner Cartridge for the existing ECOSYS M2640IDW/L
TK-1175")</f>
        <v>Toner Cartridge for the existing ECOSYS M2640IDW/L
TK-1175</v>
      </c>
      <c r="E165" s="15"/>
      <c r="F165" s="15"/>
      <c r="G165" s="15"/>
      <c r="H165" s="15"/>
      <c r="I165" s="15"/>
      <c r="J165" s="39"/>
      <c r="K165" s="40"/>
      <c r="L165" s="8"/>
      <c r="M165" s="8"/>
      <c r="N165" s="8"/>
      <c r="O165" s="8"/>
      <c r="P165" s="8"/>
      <c r="Q165" s="8"/>
      <c r="R165" s="8"/>
      <c r="S165" s="8"/>
      <c r="T165" s="8"/>
      <c r="U165" s="8"/>
      <c r="V165" s="8"/>
      <c r="W165" s="8"/>
      <c r="X165" s="8"/>
      <c r="Y165" s="8"/>
      <c r="Z165" s="8"/>
      <c r="AA165" s="8"/>
    </row>
    <row r="166" spans="1:27" ht="15">
      <c r="A166" s="15" t="str">
        <f ca="1">IFERROR(__xludf.DUMMYFUNCTION("""COMPUTED_VALUE"""),"Toner Cartridge for the existing ECOSYS M3145DN")</f>
        <v>Toner Cartridge for the existing ECOSYS M3145DN</v>
      </c>
      <c r="B166" s="36"/>
      <c r="C166" s="15"/>
      <c r="D166" s="37" t="str">
        <f ca="1">IFERROR(__xludf.DUMMYFUNCTION("""COMPUTED_VALUE"""),"Toner Cartridge for the existing ECOSYS M3145DN
TK-3165")</f>
        <v>Toner Cartridge for the existing ECOSYS M3145DN
TK-3165</v>
      </c>
      <c r="E166" s="15"/>
      <c r="F166" s="15"/>
      <c r="G166" s="15"/>
      <c r="H166" s="15"/>
      <c r="I166" s="15"/>
      <c r="J166" s="39"/>
      <c r="K166" s="40"/>
      <c r="L166" s="8"/>
      <c r="M166" s="8"/>
      <c r="N166" s="8"/>
      <c r="O166" s="8"/>
      <c r="P166" s="8"/>
      <c r="Q166" s="8"/>
      <c r="R166" s="8"/>
      <c r="S166" s="8"/>
      <c r="T166" s="8"/>
      <c r="U166" s="8"/>
      <c r="V166" s="8"/>
      <c r="W166" s="8"/>
      <c r="X166" s="8"/>
      <c r="Y166" s="8"/>
      <c r="Z166" s="8"/>
      <c r="AA166" s="8"/>
    </row>
    <row r="167" spans="1:27" ht="15">
      <c r="A167" s="15" t="str">
        <f ca="1">IFERROR(__xludf.DUMMYFUNCTION("""COMPUTED_VALUE"""),"Toner Cartridge for the existing ECOSYS M3645DN")</f>
        <v>Toner Cartridge for the existing ECOSYS M3645DN</v>
      </c>
      <c r="B167" s="36"/>
      <c r="C167" s="15"/>
      <c r="D167" s="37" t="str">
        <f ca="1">IFERROR(__xludf.DUMMYFUNCTION("""COMPUTED_VALUE"""),"Toner Cartridge for the existing ECOSYS M3645DN
TK-3165")</f>
        <v>Toner Cartridge for the existing ECOSYS M3645DN
TK-3165</v>
      </c>
      <c r="E167" s="15"/>
      <c r="F167" s="15"/>
      <c r="G167" s="15"/>
      <c r="H167" s="15"/>
      <c r="I167" s="15"/>
      <c r="J167" s="39"/>
      <c r="K167" s="40"/>
      <c r="L167" s="8"/>
      <c r="M167" s="8"/>
      <c r="N167" s="8"/>
      <c r="O167" s="8"/>
      <c r="P167" s="8"/>
      <c r="Q167" s="8"/>
      <c r="R167" s="8"/>
      <c r="S167" s="8"/>
      <c r="T167" s="8"/>
      <c r="U167" s="8"/>
      <c r="V167" s="8"/>
      <c r="W167" s="8"/>
      <c r="X167" s="8"/>
      <c r="Y167" s="8"/>
      <c r="Z167" s="8"/>
      <c r="AA167" s="8"/>
    </row>
    <row r="168" spans="1:27" ht="15">
      <c r="A168" s="15" t="str">
        <f ca="1">IFERROR(__xludf.DUMMYFUNCTION("""COMPUTED_VALUE"""),"Toner Cartridge for the existing ECOSYS M4125IDN")</f>
        <v>Toner Cartridge for the existing ECOSYS M4125IDN</v>
      </c>
      <c r="B168" s="36"/>
      <c r="C168" s="15"/>
      <c r="D168" s="37" t="str">
        <f ca="1">IFERROR(__xludf.DUMMYFUNCTION("""COMPUTED_VALUE"""),"Toner Cartridge for the existing ECOSYS M4125IDN
TK-6113")</f>
        <v>Toner Cartridge for the existing ECOSYS M4125IDN
TK-6113</v>
      </c>
      <c r="E168" s="15"/>
      <c r="F168" s="15"/>
      <c r="G168" s="15"/>
      <c r="H168" s="15"/>
      <c r="I168" s="15"/>
      <c r="J168" s="39"/>
      <c r="K168" s="40"/>
      <c r="L168" s="8"/>
      <c r="M168" s="8"/>
      <c r="N168" s="8"/>
      <c r="O168" s="8"/>
      <c r="P168" s="8"/>
      <c r="Q168" s="8"/>
      <c r="R168" s="8"/>
      <c r="S168" s="8"/>
      <c r="T168" s="8"/>
      <c r="U168" s="8"/>
      <c r="V168" s="8"/>
      <c r="W168" s="8"/>
      <c r="X168" s="8"/>
      <c r="Y168" s="8"/>
      <c r="Z168" s="8"/>
      <c r="AA168" s="8"/>
    </row>
    <row r="169" spans="1:27" ht="15">
      <c r="A169" s="15" t="str">
        <f ca="1">IFERROR(__xludf.DUMMYFUNCTION("""COMPUTED_VALUE"""),"Toner Cartridge for the existing ECOSYS M4132IDN")</f>
        <v>Toner Cartridge for the existing ECOSYS M4132IDN</v>
      </c>
      <c r="B169" s="36"/>
      <c r="C169" s="15"/>
      <c r="D169" s="37" t="str">
        <f ca="1">IFERROR(__xludf.DUMMYFUNCTION("""COMPUTED_VALUE"""),"Toner Cartridge for the existing ECOSYS M4132IDN
TK-6113")</f>
        <v>Toner Cartridge for the existing ECOSYS M4132IDN
TK-6113</v>
      </c>
      <c r="E169" s="15"/>
      <c r="F169" s="15"/>
      <c r="G169" s="15"/>
      <c r="H169" s="15"/>
      <c r="I169" s="15"/>
      <c r="J169" s="39"/>
      <c r="K169" s="40"/>
      <c r="L169" s="8"/>
      <c r="M169" s="8"/>
      <c r="N169" s="8"/>
      <c r="O169" s="8"/>
      <c r="P169" s="8"/>
      <c r="Q169" s="8"/>
      <c r="R169" s="8"/>
      <c r="S169" s="8"/>
      <c r="T169" s="8"/>
      <c r="U169" s="8"/>
      <c r="V169" s="8"/>
      <c r="W169" s="8"/>
      <c r="X169" s="8"/>
      <c r="Y169" s="8"/>
      <c r="Z169" s="8"/>
      <c r="AA169" s="8"/>
    </row>
    <row r="170" spans="1:27" ht="15">
      <c r="A170" s="15" t="str">
        <f ca="1">IFERROR(__xludf.DUMMYFUNCTION("""COMPUTED_VALUE"""),"Toner Cartridge for the existing ECOSYS M5521CDW")</f>
        <v>Toner Cartridge for the existing ECOSYS M5521CDW</v>
      </c>
      <c r="B170" s="36"/>
      <c r="C170" s="15"/>
      <c r="D170" s="37" t="str">
        <f ca="1">IFERROR(__xludf.DUMMYFUNCTION("""COMPUTED_VALUE"""),"Toner Cartridge for the existing ECOSYS M5521CDW
TK-5234K")</f>
        <v>Toner Cartridge for the existing ECOSYS M5521CDW
TK-5234K</v>
      </c>
      <c r="E170" s="15"/>
      <c r="F170" s="15"/>
      <c r="G170" s="15"/>
      <c r="H170" s="15"/>
      <c r="I170" s="15"/>
      <c r="J170" s="39"/>
      <c r="K170" s="40"/>
      <c r="L170" s="8"/>
      <c r="M170" s="8"/>
      <c r="N170" s="8"/>
      <c r="O170" s="8"/>
      <c r="P170" s="8"/>
      <c r="Q170" s="8"/>
      <c r="R170" s="8"/>
      <c r="S170" s="8"/>
      <c r="T170" s="8"/>
      <c r="U170" s="8"/>
      <c r="V170" s="8"/>
      <c r="W170" s="8"/>
      <c r="X170" s="8"/>
      <c r="Y170" s="8"/>
      <c r="Z170" s="8"/>
      <c r="AA170" s="8"/>
    </row>
    <row r="171" spans="1:27" ht="15">
      <c r="A171" s="15" t="str">
        <f ca="1">IFERROR(__xludf.DUMMYFUNCTION("""COMPUTED_VALUE"""),"Toner Cartridge for the existing ECOSYS M8124CIDN")</f>
        <v>Toner Cartridge for the existing ECOSYS M8124CIDN</v>
      </c>
      <c r="B171" s="36"/>
      <c r="C171" s="15"/>
      <c r="D171" s="37" t="str">
        <f ca="1">IFERROR(__xludf.DUMMYFUNCTION("""COMPUTED_VALUE"""),"Toner Cartridge for the existing ECOSYS M8124CIDN
TK-8113K")</f>
        <v>Toner Cartridge for the existing ECOSYS M8124CIDN
TK-8113K</v>
      </c>
      <c r="E171" s="15"/>
      <c r="F171" s="15"/>
      <c r="G171" s="15"/>
      <c r="H171" s="15"/>
      <c r="I171" s="15"/>
      <c r="J171" s="39"/>
      <c r="K171" s="40"/>
      <c r="L171" s="8"/>
      <c r="M171" s="8"/>
      <c r="N171" s="8"/>
      <c r="O171" s="8"/>
      <c r="P171" s="8"/>
      <c r="Q171" s="8"/>
      <c r="R171" s="8"/>
      <c r="S171" s="8"/>
      <c r="T171" s="8"/>
      <c r="U171" s="8"/>
      <c r="V171" s="8"/>
      <c r="W171" s="8"/>
      <c r="X171" s="8"/>
      <c r="Y171" s="8"/>
      <c r="Z171" s="8"/>
      <c r="AA171" s="8"/>
    </row>
    <row r="172" spans="1:27" ht="15">
      <c r="A172" s="15" t="str">
        <f ca="1">IFERROR(__xludf.DUMMYFUNCTION("""COMPUTED_VALUE"""),"Toner Cartridge for the existing ECOSYS P2040DN")</f>
        <v>Toner Cartridge for the existing ECOSYS P2040DN</v>
      </c>
      <c r="B172" s="36"/>
      <c r="C172" s="15"/>
      <c r="D172" s="37" t="str">
        <f ca="1">IFERROR(__xludf.DUMMYFUNCTION("""COMPUTED_VALUE"""),"Toner Cartridge for the existing ECOSYS P2040DN
TK-1168")</f>
        <v>Toner Cartridge for the existing ECOSYS P2040DN
TK-1168</v>
      </c>
      <c r="E172" s="15"/>
      <c r="F172" s="15"/>
      <c r="G172" s="15"/>
      <c r="H172" s="15"/>
      <c r="I172" s="15"/>
      <c r="J172" s="39"/>
      <c r="K172" s="40"/>
      <c r="L172" s="8"/>
      <c r="M172" s="8"/>
      <c r="N172" s="8"/>
      <c r="O172" s="8"/>
      <c r="P172" s="8"/>
      <c r="Q172" s="8"/>
      <c r="R172" s="8"/>
      <c r="S172" s="8"/>
      <c r="T172" s="8"/>
      <c r="U172" s="8"/>
      <c r="V172" s="8"/>
      <c r="W172" s="8"/>
      <c r="X172" s="8"/>
      <c r="Y172" s="8"/>
      <c r="Z172" s="8"/>
      <c r="AA172" s="8"/>
    </row>
    <row r="173" spans="1:27" ht="15">
      <c r="A173" s="15" t="str">
        <f ca="1">IFERROR(__xludf.DUMMYFUNCTION("""COMPUTED_VALUE"""),"Toner Cartridge for the existing ECOSYS P6230CDN")</f>
        <v>Toner Cartridge for the existing ECOSYS P6230CDN</v>
      </c>
      <c r="B173" s="36"/>
      <c r="C173" s="15"/>
      <c r="D173" s="37" t="str">
        <f ca="1">IFERROR(__xludf.DUMMYFUNCTION("""COMPUTED_VALUE"""),"Toner Cartridge for the existing ECOSYS P6230CDN
TK-5275K")</f>
        <v>Toner Cartridge for the existing ECOSYS P6230CDN
TK-5275K</v>
      </c>
      <c r="E173" s="15"/>
      <c r="F173" s="15"/>
      <c r="G173" s="15"/>
      <c r="H173" s="15"/>
      <c r="I173" s="15"/>
      <c r="J173" s="39"/>
      <c r="K173" s="40"/>
      <c r="L173" s="8"/>
      <c r="M173" s="8"/>
      <c r="N173" s="8"/>
      <c r="O173" s="8"/>
      <c r="P173" s="8"/>
      <c r="Q173" s="8"/>
      <c r="R173" s="8"/>
      <c r="S173" s="8"/>
      <c r="T173" s="8"/>
      <c r="U173" s="8"/>
      <c r="V173" s="8"/>
      <c r="W173" s="8"/>
      <c r="X173" s="8"/>
      <c r="Y173" s="8"/>
      <c r="Z173" s="8"/>
      <c r="AA173" s="8"/>
    </row>
    <row r="174" spans="1:27" ht="15">
      <c r="A174" s="15" t="str">
        <f ca="1">IFERROR(__xludf.DUMMYFUNCTION("""COMPUTED_VALUE"""),"Toner Cartridge for the existing FS-6525MFP")</f>
        <v>Toner Cartridge for the existing FS-6525MFP</v>
      </c>
      <c r="B174" s="36"/>
      <c r="C174" s="15"/>
      <c r="D174" s="37" t="str">
        <f ca="1">IFERROR(__xludf.DUMMYFUNCTION("""COMPUTED_VALUE"""),"Toner Cartridge for the existing FS-6525MFP
TK-479")</f>
        <v>Toner Cartridge for the existing FS-6525MFP
TK-479</v>
      </c>
      <c r="E174" s="15"/>
      <c r="F174" s="15"/>
      <c r="G174" s="15"/>
      <c r="H174" s="15"/>
      <c r="I174" s="15"/>
      <c r="J174" s="39"/>
      <c r="K174" s="40"/>
      <c r="L174" s="8"/>
      <c r="M174" s="8"/>
      <c r="N174" s="8"/>
      <c r="O174" s="8"/>
      <c r="P174" s="8"/>
      <c r="Q174" s="8"/>
      <c r="R174" s="8"/>
      <c r="S174" s="8"/>
      <c r="T174" s="8"/>
      <c r="U174" s="8"/>
      <c r="V174" s="8"/>
      <c r="W174" s="8"/>
      <c r="X174" s="8"/>
      <c r="Y174" s="8"/>
      <c r="Z174" s="8"/>
      <c r="AA174" s="8"/>
    </row>
    <row r="175" spans="1:27" ht="15">
      <c r="A175" s="15" t="str">
        <f ca="1">IFERROR(__xludf.DUMMYFUNCTION("""COMPUTED_VALUE"""),"Toner Cartridge for the existing TASKALFA 3212I")</f>
        <v>Toner Cartridge for the existing TASKALFA 3212I</v>
      </c>
      <c r="B175" s="36"/>
      <c r="C175" s="15"/>
      <c r="D175" s="37" t="str">
        <f ca="1">IFERROR(__xludf.DUMMYFUNCTION("""COMPUTED_VALUE"""),"Toner Cartridge for the existing TASKALFA 3212I
TK-7120")</f>
        <v>Toner Cartridge for the existing TASKALFA 3212I
TK-7120</v>
      </c>
      <c r="E175" s="15"/>
      <c r="F175" s="15"/>
      <c r="G175" s="15"/>
      <c r="H175" s="15"/>
      <c r="I175" s="15"/>
      <c r="J175" s="39"/>
      <c r="K175" s="40"/>
      <c r="L175" s="8"/>
      <c r="M175" s="8"/>
      <c r="N175" s="8"/>
      <c r="O175" s="8"/>
      <c r="P175" s="8"/>
      <c r="Q175" s="8"/>
      <c r="R175" s="8"/>
      <c r="S175" s="8"/>
      <c r="T175" s="8"/>
      <c r="U175" s="8"/>
      <c r="V175" s="8"/>
      <c r="W175" s="8"/>
      <c r="X175" s="8"/>
      <c r="Y175" s="8"/>
      <c r="Z175" s="8"/>
      <c r="AA175" s="8"/>
    </row>
    <row r="176" spans="1:27" ht="15">
      <c r="A176" s="15" t="str">
        <f ca="1">IFERROR(__xludf.DUMMYFUNCTION("""COMPUTED_VALUE"""),"TONER CARTRIDGE, (TN263BK) Black")</f>
        <v>TONER CARTRIDGE, (TN263BK) Black</v>
      </c>
      <c r="B176" s="36"/>
      <c r="C176" s="15"/>
      <c r="D176" s="37" t="str">
        <f ca="1">IFERROR(__xludf.DUMMYFUNCTION("""COMPUTED_VALUE"""),"TONER CARTRIDGE, (TN263BK) Black
BROTHER TN- 263 TONER CARTRIDGE, (TN263BK) Black")</f>
        <v>TONER CARTRIDGE, (TN263BK) Black
BROTHER TN- 263 TONER CARTRIDGE, (TN263BK) Black</v>
      </c>
      <c r="E176" s="15"/>
      <c r="F176" s="15"/>
      <c r="G176" s="15"/>
      <c r="H176" s="15"/>
      <c r="I176" s="15"/>
      <c r="J176" s="39"/>
      <c r="K176" s="40"/>
      <c r="L176" s="8"/>
      <c r="M176" s="8"/>
      <c r="N176" s="8"/>
      <c r="O176" s="8"/>
      <c r="P176" s="8"/>
      <c r="Q176" s="8"/>
      <c r="R176" s="8"/>
      <c r="S176" s="8"/>
      <c r="T176" s="8"/>
      <c r="U176" s="8"/>
      <c r="V176" s="8"/>
      <c r="W176" s="8"/>
      <c r="X176" s="8"/>
      <c r="Y176" s="8"/>
      <c r="Z176" s="8"/>
      <c r="AA176" s="8"/>
    </row>
    <row r="177" spans="1:27" ht="15">
      <c r="A177" s="15" t="str">
        <f ca="1">IFERROR(__xludf.DUMMYFUNCTION("""COMPUTED_VALUE"""),"TONER CARTRIDGE, (TN263C) Cyan")</f>
        <v>TONER CARTRIDGE, (TN263C) Cyan</v>
      </c>
      <c r="B177" s="36"/>
      <c r="C177" s="15"/>
      <c r="D177" s="37" t="str">
        <f ca="1">IFERROR(__xludf.DUMMYFUNCTION("""COMPUTED_VALUE"""),"TONER CARTRIDGE, (TN263C) Cyan
BROTHER TN- 263 TONER CARTRIDGE, (TN263C) Cyan")</f>
        <v>TONER CARTRIDGE, (TN263C) Cyan
BROTHER TN- 263 TONER CARTRIDGE, (TN263C) Cyan</v>
      </c>
      <c r="E177" s="15"/>
      <c r="F177" s="15"/>
      <c r="G177" s="15"/>
      <c r="H177" s="15"/>
      <c r="I177" s="15"/>
      <c r="J177" s="39"/>
      <c r="K177" s="40"/>
      <c r="L177" s="8"/>
      <c r="M177" s="8"/>
      <c r="N177" s="8"/>
      <c r="O177" s="8"/>
      <c r="P177" s="8"/>
      <c r="Q177" s="8"/>
      <c r="R177" s="8"/>
      <c r="S177" s="8"/>
      <c r="T177" s="8"/>
      <c r="U177" s="8"/>
      <c r="V177" s="8"/>
      <c r="W177" s="8"/>
      <c r="X177" s="8"/>
      <c r="Y177" s="8"/>
      <c r="Z177" s="8"/>
      <c r="AA177" s="8"/>
    </row>
    <row r="178" spans="1:27" ht="15">
      <c r="A178" s="15" t="str">
        <f ca="1">IFERROR(__xludf.DUMMYFUNCTION("""COMPUTED_VALUE"""),"TONER CARTRIDGE, (TN263Y) Yellow")</f>
        <v>TONER CARTRIDGE, (TN263Y) Yellow</v>
      </c>
      <c r="B178" s="36"/>
      <c r="C178" s="15"/>
      <c r="D178" s="37" t="str">
        <f ca="1">IFERROR(__xludf.DUMMYFUNCTION("""COMPUTED_VALUE"""),"TONER CARTRIDGE, (TN263Y) Yellow
BROTHER TN- 263 TONER CARTRIDGE, (TN263Y) Yellow")</f>
        <v>TONER CARTRIDGE, (TN263Y) Yellow
BROTHER TN- 263 TONER CARTRIDGE, (TN263Y) Yellow</v>
      </c>
      <c r="E178" s="15"/>
      <c r="F178" s="15"/>
      <c r="G178" s="15"/>
      <c r="H178" s="15"/>
      <c r="I178" s="15"/>
      <c r="J178" s="39"/>
      <c r="K178" s="40"/>
      <c r="L178" s="8"/>
      <c r="M178" s="8"/>
      <c r="N178" s="8"/>
      <c r="O178" s="8"/>
      <c r="P178" s="8"/>
      <c r="Q178" s="8"/>
      <c r="R178" s="8"/>
      <c r="S178" s="8"/>
      <c r="T178" s="8"/>
      <c r="U178" s="8"/>
      <c r="V178" s="8"/>
      <c r="W178" s="8"/>
      <c r="X178" s="8"/>
      <c r="Y178" s="8"/>
      <c r="Z178" s="8"/>
      <c r="AA178" s="8"/>
    </row>
    <row r="179" spans="1:27" ht="15">
      <c r="A179" s="15" t="str">
        <f ca="1">IFERROR(__xludf.DUMMYFUNCTION("""COMPUTED_VALUE"""),"Touch-style Fingerprint Reader")</f>
        <v>Touch-style Fingerprint Reader</v>
      </c>
      <c r="B179" s="36"/>
      <c r="C179" s="15"/>
      <c r="D179" s="37" t="str">
        <f ca="1">IFERROR(__xludf.DUMMYFUNCTION("""COMPUTED_VALUE"""),"Touch-style Fingerprint Reader
Pixel resolution: 500dpi (native), 1000dpi (interpolated) or more
Scan capture area: 12.8-13.8 mm x 16.5-17.5 mm
8-bit grayscale (256 gray levels)
Reader size (approximate): 72-73 mm x 39-40 mm x 21.7-22.7 mm
IP64 rated
PIV-"&amp;"certified
USB 2.0 (High Speed)
Warranty: 1 year or more")</f>
        <v>Touch-style Fingerprint Reader
Pixel resolution: 500dpi (native), 1000dpi (interpolated) or more
Scan capture area: 12.8-13.8 mm x 16.5-17.5 mm
8-bit grayscale (256 gray levels)
Reader size (approximate): 72-73 mm x 39-40 mm x 21.7-22.7 mm
IP64 rated
PIV-certified
USB 2.0 (High Speed)
Warranty: 1 year or more</v>
      </c>
      <c r="E179" s="15"/>
      <c r="F179" s="15"/>
      <c r="G179" s="15"/>
      <c r="H179" s="15"/>
      <c r="I179" s="15"/>
      <c r="J179" s="39"/>
      <c r="K179" s="40"/>
      <c r="L179" s="8"/>
      <c r="M179" s="8"/>
      <c r="N179" s="8"/>
      <c r="O179" s="8"/>
      <c r="P179" s="8"/>
      <c r="Q179" s="8"/>
      <c r="R179" s="8"/>
      <c r="S179" s="8"/>
      <c r="T179" s="8"/>
      <c r="U179" s="8"/>
      <c r="V179" s="8"/>
      <c r="W179" s="8"/>
      <c r="X179" s="8"/>
      <c r="Y179" s="8"/>
      <c r="Z179" s="8"/>
      <c r="AA179" s="8"/>
    </row>
    <row r="180" spans="1:27" ht="15">
      <c r="A180" s="15" t="str">
        <f ca="1">IFERROR(__xludf.DUMMYFUNCTION("""COMPUTED_VALUE"""),"Tox with Screw 6mm (50pcs)")</f>
        <v>Tox with Screw 6mm (50pcs)</v>
      </c>
      <c r="B180" s="36"/>
      <c r="C180" s="15"/>
      <c r="D180" s="37" t="str">
        <f ca="1">IFERROR(__xludf.DUMMYFUNCTION("""COMPUTED_VALUE"""),"Tox with Screw 6mm (50pcs)
Tox with Screw 6mm (50pcs)")</f>
        <v>Tox with Screw 6mm (50pcs)
Tox with Screw 6mm (50pcs)</v>
      </c>
      <c r="E180" s="15"/>
      <c r="F180" s="15"/>
      <c r="G180" s="15"/>
      <c r="H180" s="15"/>
      <c r="I180" s="15"/>
      <c r="J180" s="39"/>
      <c r="K180" s="40"/>
      <c r="L180" s="8"/>
      <c r="M180" s="8"/>
      <c r="N180" s="8"/>
      <c r="O180" s="8"/>
      <c r="P180" s="8"/>
      <c r="Q180" s="8"/>
      <c r="R180" s="8"/>
      <c r="S180" s="8"/>
      <c r="T180" s="8"/>
      <c r="U180" s="8"/>
      <c r="V180" s="8"/>
      <c r="W180" s="8"/>
      <c r="X180" s="8"/>
      <c r="Y180" s="8"/>
      <c r="Z180" s="8"/>
      <c r="AA180" s="8"/>
    </row>
    <row r="181" spans="1:27" ht="15">
      <c r="A181" s="15" t="str">
        <f ca="1">IFERROR(__xludf.DUMMYFUNCTION("""COMPUTED_VALUE"""),"UPS 1200VA, AVR, 230V")</f>
        <v>UPS 1200VA, AVR, 230V</v>
      </c>
      <c r="B181" s="36"/>
      <c r="C181" s="15"/>
      <c r="D181" s="37" t="str">
        <f ca="1">IFERROR(__xludf.DUMMYFUNCTION("""COMPUTED_VALUE"""),"UPS 1200VA, AVR, 230V
Rated power in W: 650W
Power socket outlets: 4 universal 1 IEC 60320 C13
Cable length: at least 1m
Number of cables: 1
Battery type: Lead-acid battery
Warranty: 2 years or more")</f>
        <v>UPS 1200VA, AVR, 230V
Rated power in W: 650W
Power socket outlets: 4 universal 1 IEC 60320 C13
Cable length: at least 1m
Number of cables: 1
Battery type: Lead-acid battery
Warranty: 2 years or more</v>
      </c>
      <c r="E181" s="15"/>
      <c r="F181" s="15"/>
      <c r="G181" s="15"/>
      <c r="H181" s="15"/>
      <c r="I181" s="15"/>
      <c r="J181" s="39"/>
      <c r="K181" s="40"/>
      <c r="L181" s="8"/>
      <c r="M181" s="8"/>
      <c r="N181" s="8"/>
      <c r="O181" s="8"/>
      <c r="P181" s="8"/>
      <c r="Q181" s="8"/>
      <c r="R181" s="8"/>
      <c r="S181" s="8"/>
      <c r="T181" s="8"/>
      <c r="U181" s="8"/>
      <c r="V181" s="8"/>
      <c r="W181" s="8"/>
      <c r="X181" s="8"/>
      <c r="Y181" s="8"/>
      <c r="Z181" s="8"/>
      <c r="AA181" s="8"/>
    </row>
    <row r="182" spans="1:27" ht="15">
      <c r="A182" s="15" t="str">
        <f ca="1">IFERROR(__xludf.DUMMYFUNCTION("""COMPUTED_VALUE"""),"UPS 650VA, AVR, 230V")</f>
        <v>UPS 650VA, AVR, 230V</v>
      </c>
      <c r="B182" s="36"/>
      <c r="C182" s="15"/>
      <c r="D182" s="37" t="str">
        <f ca="1">IFERROR(__xludf.DUMMYFUNCTION("""COMPUTED_VALUE"""),"UPS 650VA, AVR, 230V
Rated power in W: 360W
Power socket outlets: 4 NEMA 5-15R
Cable length: at least 1m
Number of cables: 1
Battery type: Lead-acid battery
Warranty: 2 years or more")</f>
        <v>UPS 650VA, AVR, 230V
Rated power in W: 360W
Power socket outlets: 4 NEMA 5-15R
Cable length: at least 1m
Number of cables: 1
Battery type: Lead-acid battery
Warranty: 2 years or more</v>
      </c>
      <c r="E182" s="15"/>
      <c r="F182" s="15"/>
      <c r="G182" s="15"/>
      <c r="H182" s="15"/>
      <c r="I182" s="15"/>
      <c r="J182" s="39"/>
      <c r="K182" s="40"/>
      <c r="L182" s="8"/>
      <c r="M182" s="8"/>
      <c r="N182" s="8"/>
      <c r="O182" s="8"/>
      <c r="P182" s="8"/>
      <c r="Q182" s="8"/>
      <c r="R182" s="8"/>
      <c r="S182" s="8"/>
      <c r="T182" s="8"/>
      <c r="U182" s="8"/>
      <c r="V182" s="8"/>
      <c r="W182" s="8"/>
      <c r="X182" s="8"/>
      <c r="Y182" s="8"/>
      <c r="Z182" s="8"/>
      <c r="AA182" s="8"/>
    </row>
    <row r="183" spans="1:27" ht="15">
      <c r="A183" s="15" t="str">
        <f ca="1">IFERROR(__xludf.DUMMYFUNCTION("""COMPUTED_VALUE"""),"USB Computer Headset")</f>
        <v>USB Computer Headset</v>
      </c>
      <c r="B183" s="36"/>
      <c r="C183" s="15"/>
      <c r="D183" s="37" t="str">
        <f ca="1">IFERROR(__xludf.DUMMYFUNCTION("""COMPUTED_VALUE"""),"USB Computer Headset
Plug-and-play USB-A connection and a noise-canceling mic w/ In-line controls
Microphone Type: Bi-directional
Input Impedance: 32 Ohm
Frequency response (Headset): 20 Hz - 20 KHz
Frequency response (Microphone): 100 Hz - 10 KHz
Wa"&amp;"rranty: 2 years or more")</f>
        <v>USB Computer Headset
Plug-and-play USB-A connection and a noise-canceling mic w/ In-line controls
Microphone Type: Bi-directional
Input Impedance: 32 Ohm
Frequency response (Headset): 20 Hz - 20 KHz
Frequency response (Microphone): 100 Hz - 10 KHz
Warranty: 2 years or more</v>
      </c>
      <c r="E183" s="15"/>
      <c r="F183" s="15"/>
      <c r="G183" s="15"/>
      <c r="H183" s="15"/>
      <c r="I183" s="15"/>
      <c r="J183" s="39"/>
      <c r="K183" s="40"/>
      <c r="L183" s="8"/>
      <c r="M183" s="8"/>
      <c r="N183" s="8"/>
      <c r="O183" s="8"/>
      <c r="P183" s="8"/>
      <c r="Q183" s="8"/>
      <c r="R183" s="8"/>
      <c r="S183" s="8"/>
      <c r="T183" s="8"/>
      <c r="U183" s="8"/>
      <c r="V183" s="8"/>
      <c r="W183" s="8"/>
      <c r="X183" s="8"/>
      <c r="Y183" s="8"/>
      <c r="Z183" s="8"/>
      <c r="AA183" s="8"/>
    </row>
    <row r="184" spans="1:27" ht="15">
      <c r="A184" s="15" t="str">
        <f ca="1">IFERROR(__xludf.DUMMYFUNCTION("""COMPUTED_VALUE"""),"VDE Insulated Flat Phillips Handle Screwdrivers Set Insulated")</f>
        <v>VDE Insulated Flat Phillips Handle Screwdrivers Set Insulated</v>
      </c>
      <c r="B184" s="36"/>
      <c r="C184" s="15"/>
      <c r="D184" s="37" t="str">
        <f ca="1">IFERROR(__xludf.DUMMYFUNCTION("""COMPUTED_VALUE"""),"VDE Insulated Flat Phillips Handle Screwdrivers Set Insulated
3 pcs insulated slotted screwdrivers: 3x75mm, 4x100mm, 5.5x125mm
2 pcs insulated phillips screwdrivers: PH1x80mm, PH2x100mm
1pc 3.0x140mm voltage tester 125-250V")</f>
        <v>VDE Insulated Flat Phillips Handle Screwdrivers Set Insulated
3 pcs insulated slotted screwdrivers: 3x75mm, 4x100mm, 5.5x125mm
2 pcs insulated phillips screwdrivers: PH1x80mm, PH2x100mm
1pc 3.0x140mm voltage tester 125-250V</v>
      </c>
      <c r="E184" s="15"/>
      <c r="F184" s="15"/>
      <c r="G184" s="15"/>
      <c r="H184" s="15"/>
      <c r="I184" s="15"/>
      <c r="J184" s="39"/>
      <c r="K184" s="40"/>
      <c r="L184" s="8"/>
      <c r="M184" s="8"/>
      <c r="N184" s="8"/>
      <c r="O184" s="8"/>
      <c r="P184" s="8"/>
      <c r="Q184" s="8"/>
      <c r="R184" s="8"/>
      <c r="S184" s="8"/>
      <c r="T184" s="8"/>
      <c r="U184" s="8"/>
      <c r="V184" s="8"/>
      <c r="W184" s="8"/>
      <c r="X184" s="8"/>
      <c r="Y184" s="8"/>
      <c r="Z184" s="8"/>
      <c r="AA184" s="8"/>
    </row>
    <row r="185" spans="1:27" ht="15">
      <c r="A185" s="15" t="str">
        <f ca="1">IFERROR(__xludf.DUMMYFUNCTION("""COMPUTED_VALUE"""),"Velcro Straps Cable Organizer 3m/roll")</f>
        <v>Velcro Straps Cable Organizer 3m/roll</v>
      </c>
      <c r="B185" s="36"/>
      <c r="C185" s="15"/>
      <c r="D185" s="37" t="str">
        <f ca="1">IFERROR(__xludf.DUMMYFUNCTION("""COMPUTED_VALUE"""),"Velcro Straps Cable Organizer 3m/roll
Network cable organizer Nylon")</f>
        <v>Velcro Straps Cable Organizer 3m/roll
Network cable organizer Nylon</v>
      </c>
      <c r="E185" s="15"/>
      <c r="F185" s="15"/>
      <c r="G185" s="15"/>
      <c r="H185" s="15"/>
      <c r="I185" s="15"/>
      <c r="J185" s="39"/>
      <c r="K185" s="40"/>
      <c r="L185" s="8"/>
      <c r="M185" s="8"/>
      <c r="N185" s="8"/>
      <c r="O185" s="8"/>
      <c r="P185" s="8"/>
      <c r="Q185" s="8"/>
      <c r="R185" s="8"/>
      <c r="S185" s="8"/>
      <c r="T185" s="8"/>
      <c r="U185" s="8"/>
      <c r="V185" s="8"/>
      <c r="W185" s="8"/>
      <c r="X185" s="8"/>
      <c r="Y185" s="8"/>
      <c r="Z185" s="8"/>
      <c r="AA185" s="8"/>
    </row>
    <row r="186" spans="1:27" ht="15">
      <c r="A186" s="15" t="str">
        <f ca="1">IFERROR(__xludf.DUMMYFUNCTION("""COMPUTED_VALUE"""),"Walkie Talkie Dual Band Handheld Two Way Radio")</f>
        <v>Walkie Talkie Dual Band Handheld Two Way Radio</v>
      </c>
      <c r="B186" s="36"/>
      <c r="C186" s="15"/>
      <c r="D186" s="37" t="str">
        <f ca="1">IFERROR(__xludf.DUMMYFUNCTION("""COMPUTED_VALUE"""),"Walkie Talkie Dual Band Handheld Two Way Radio
Frequency range: VHF/UHF136-174Mhz &amp; 400-520Mhz
[TX] 136 – 174MHz, 400 – 520MHz
[RX] 136 – 174MHz, 400 – 520MHz
Channel Capacity: 128 Channels
Battery: 1500mAh
Output power: 5W / 1W
Warranty: 1 year or more")</f>
        <v>Walkie Talkie Dual Band Handheld Two Way Radio
Frequency range: VHF/UHF136-174Mhz &amp; 400-520Mhz
[TX] 136 – 174MHz, 400 – 520MHz
[RX] 136 – 174MHz, 400 – 520MHz
Channel Capacity: 128 Channels
Battery: 1500mAh
Output power: 5W / 1W
Warranty: 1 year or more</v>
      </c>
      <c r="E186" s="15"/>
      <c r="F186" s="15"/>
      <c r="G186" s="15"/>
      <c r="H186" s="15"/>
      <c r="I186" s="15"/>
      <c r="J186" s="39"/>
      <c r="K186" s="40"/>
      <c r="L186" s="8"/>
      <c r="M186" s="8"/>
      <c r="N186" s="8"/>
      <c r="O186" s="8"/>
      <c r="P186" s="8"/>
      <c r="Q186" s="8"/>
      <c r="R186" s="8"/>
      <c r="S186" s="8"/>
      <c r="T186" s="8"/>
      <c r="U186" s="8"/>
      <c r="V186" s="8"/>
      <c r="W186" s="8"/>
      <c r="X186" s="8"/>
      <c r="Y186" s="8"/>
      <c r="Z186" s="8"/>
      <c r="AA186" s="8"/>
    </row>
    <row r="187" spans="1:27" ht="15">
      <c r="A187" s="15" t="str">
        <f ca="1">IFERROR(__xludf.DUMMYFUNCTION("""COMPUTED_VALUE"""),"Webcam Professional Full HD")</f>
        <v>Webcam Professional Full HD</v>
      </c>
      <c r="B187" s="36"/>
      <c r="C187" s="15"/>
      <c r="D187" s="37" t="str">
        <f ca="1">IFERROR(__xludf.DUMMYFUNCTION("""COMPUTED_VALUE"""),"Webcam Professional Full HD
Full HD Camera with USB-C 
Length: 5 ft (1.5 m) USB - C3.1 cable or more
Max Video Resolution: 1080p/60 fps in MJPEG
Premium Full HD Glass lens
f/2.0 - focal length 3.7 mm
Dual omnidirectional mic with noise reduction filter
Wa"&amp;"rranty: 1 year or more")</f>
        <v>Webcam Professional Full HD
Full HD Camera with USB-C 
Length: 5 ft (1.5 m) USB - C3.1 cable or more
Max Video Resolution: 1080p/60 fps in MJPEG
Premium Full HD Glass lens
f/2.0 - focal length 3.7 mm
Dual omnidirectional mic with noise reduction filter
Warranty: 1 year or more</v>
      </c>
      <c r="E187" s="15"/>
      <c r="F187" s="15"/>
      <c r="G187" s="15"/>
      <c r="H187" s="15"/>
      <c r="I187" s="15"/>
      <c r="J187" s="39"/>
      <c r="K187" s="40"/>
      <c r="L187" s="8"/>
      <c r="M187" s="8"/>
      <c r="N187" s="8"/>
      <c r="O187" s="8"/>
      <c r="P187" s="8"/>
      <c r="Q187" s="8"/>
      <c r="R187" s="8"/>
      <c r="S187" s="8"/>
      <c r="T187" s="8"/>
      <c r="U187" s="8"/>
      <c r="V187" s="8"/>
      <c r="W187" s="8"/>
      <c r="X187" s="8"/>
      <c r="Y187" s="8"/>
      <c r="Z187" s="8"/>
      <c r="AA187" s="8"/>
    </row>
    <row r="188" spans="1:27" ht="15">
      <c r="A188" s="15" t="str">
        <f ca="1">IFERROR(__xludf.DUMMYFUNCTION("""COMPUTED_VALUE"""),"White Nylon Cable Tie 2.5 x 100mm 100pcs/pack")</f>
        <v>White Nylon Cable Tie 2.5 x 100mm 100pcs/pack</v>
      </c>
      <c r="B188" s="36"/>
      <c r="C188" s="15"/>
      <c r="D188" s="37" t="str">
        <f ca="1">IFERROR(__xludf.DUMMYFUNCTION("""COMPUTED_VALUE"""),"White Nylon Cable Tie 2.5 x 100mm 100pcs/pack
White Nylon Cable Tie 2.5 x 100mm")</f>
        <v>White Nylon Cable Tie 2.5 x 100mm 100pcs/pack
White Nylon Cable Tie 2.5 x 100mm</v>
      </c>
      <c r="E188" s="15"/>
      <c r="F188" s="15"/>
      <c r="G188" s="15"/>
      <c r="H188" s="15"/>
      <c r="I188" s="15"/>
      <c r="J188" s="39"/>
      <c r="K188" s="40"/>
      <c r="L188" s="8"/>
      <c r="M188" s="8"/>
      <c r="N188" s="8"/>
      <c r="O188" s="8"/>
      <c r="P188" s="8"/>
      <c r="Q188" s="8"/>
      <c r="R188" s="8"/>
      <c r="S188" s="8"/>
      <c r="T188" s="8"/>
      <c r="U188" s="8"/>
      <c r="V188" s="8"/>
      <c r="W188" s="8"/>
      <c r="X188" s="8"/>
      <c r="Y188" s="8"/>
      <c r="Z188" s="8"/>
      <c r="AA188" s="8"/>
    </row>
    <row r="189" spans="1:27" ht="15">
      <c r="A189" s="15" t="str">
        <f ca="1">IFERROR(__xludf.DUMMYFUNCTION("""COMPUTED_VALUE"""),"White Nylon Cable Tie 2.5 x 140mm 100pcs/pack")</f>
        <v>White Nylon Cable Tie 2.5 x 140mm 100pcs/pack</v>
      </c>
      <c r="B189" s="36"/>
      <c r="C189" s="15"/>
      <c r="D189" s="37" t="str">
        <f ca="1">IFERROR(__xludf.DUMMYFUNCTION("""COMPUTED_VALUE"""),"White Nylon Cable Tie 2.5 x 140mm 100pcs/pack
White Nylon Cable Tie 2.5 x 140mm")</f>
        <v>White Nylon Cable Tie 2.5 x 140mm 100pcs/pack
White Nylon Cable Tie 2.5 x 140mm</v>
      </c>
      <c r="E189" s="15"/>
      <c r="F189" s="15"/>
      <c r="G189" s="15"/>
      <c r="H189" s="15"/>
      <c r="I189" s="15"/>
      <c r="J189" s="39"/>
      <c r="K189" s="40"/>
      <c r="L189" s="8"/>
      <c r="M189" s="8"/>
      <c r="N189" s="8"/>
      <c r="O189" s="8"/>
      <c r="P189" s="8"/>
      <c r="Q189" s="8"/>
      <c r="R189" s="8"/>
      <c r="S189" s="8"/>
      <c r="T189" s="8"/>
      <c r="U189" s="8"/>
      <c r="V189" s="8"/>
      <c r="W189" s="8"/>
      <c r="X189" s="8"/>
      <c r="Y189" s="8"/>
      <c r="Z189" s="8"/>
      <c r="AA189" s="8"/>
    </row>
    <row r="190" spans="1:27" ht="15">
      <c r="A190" s="15" t="str">
        <f ca="1">IFERROR(__xludf.DUMMYFUNCTION("""COMPUTED_VALUE"""),"White Nylon Cable Tie 3.6 x 140mm 100pcs/pack")</f>
        <v>White Nylon Cable Tie 3.6 x 140mm 100pcs/pack</v>
      </c>
      <c r="B190" s="36"/>
      <c r="C190" s="15"/>
      <c r="D190" s="37" t="str">
        <f ca="1">IFERROR(__xludf.DUMMYFUNCTION("""COMPUTED_VALUE"""),"White Nylon Cable Tie 3.6 x 140mm 100pcs/pack
White Nylon Cable Tie 3.6 x 140mm")</f>
        <v>White Nylon Cable Tie 3.6 x 140mm 100pcs/pack
White Nylon Cable Tie 3.6 x 140mm</v>
      </c>
      <c r="E190" s="15"/>
      <c r="F190" s="15"/>
      <c r="G190" s="15"/>
      <c r="H190" s="15"/>
      <c r="I190" s="15"/>
      <c r="J190" s="39"/>
      <c r="K190" s="40"/>
      <c r="L190" s="8"/>
      <c r="M190" s="8"/>
      <c r="N190" s="8"/>
      <c r="O190" s="8"/>
      <c r="P190" s="8"/>
      <c r="Q190" s="8"/>
      <c r="R190" s="8"/>
      <c r="S190" s="8"/>
      <c r="T190" s="8"/>
      <c r="U190" s="8"/>
      <c r="V190" s="8"/>
      <c r="W190" s="8"/>
      <c r="X190" s="8"/>
      <c r="Y190" s="8"/>
      <c r="Z190" s="8"/>
      <c r="AA190" s="8"/>
    </row>
    <row r="191" spans="1:27" ht="15">
      <c r="A191" s="15" t="str">
        <f ca="1">IFERROR(__xludf.DUMMYFUNCTION("""COMPUTED_VALUE"""),"White Nylon Cable Tie 3.6 x 200mm 100pcs/pack")</f>
        <v>White Nylon Cable Tie 3.6 x 200mm 100pcs/pack</v>
      </c>
      <c r="B191" s="36"/>
      <c r="C191" s="15"/>
      <c r="D191" s="37" t="str">
        <f ca="1">IFERROR(__xludf.DUMMYFUNCTION("""COMPUTED_VALUE"""),"White Nylon Cable Tie 3.6 x 200mm 100pcs/pack
White Nylon Cable Tie 3.6 x 200mm")</f>
        <v>White Nylon Cable Tie 3.6 x 200mm 100pcs/pack
White Nylon Cable Tie 3.6 x 200mm</v>
      </c>
      <c r="E191" s="15"/>
      <c r="F191" s="15"/>
      <c r="G191" s="15"/>
      <c r="H191" s="15"/>
      <c r="I191" s="15"/>
      <c r="J191" s="39"/>
      <c r="K191" s="40"/>
      <c r="L191" s="8"/>
      <c r="M191" s="8"/>
      <c r="N191" s="8"/>
      <c r="O191" s="8"/>
      <c r="P191" s="8"/>
      <c r="Q191" s="8"/>
      <c r="R191" s="8"/>
      <c r="S191" s="8"/>
      <c r="T191" s="8"/>
      <c r="U191" s="8"/>
      <c r="V191" s="8"/>
      <c r="W191" s="8"/>
      <c r="X191" s="8"/>
      <c r="Y191" s="8"/>
      <c r="Z191" s="8"/>
      <c r="AA191" s="8"/>
    </row>
    <row r="192" spans="1:27" ht="15">
      <c r="A192" s="15" t="str">
        <f ca="1">IFERROR(__xludf.DUMMYFUNCTION("""COMPUTED_VALUE"""),"White Nylon Cable Tie 3.6 x 300mm 100pcs/pack")</f>
        <v>White Nylon Cable Tie 3.6 x 300mm 100pcs/pack</v>
      </c>
      <c r="B192" s="36"/>
      <c r="C192" s="15"/>
      <c r="D192" s="37" t="str">
        <f ca="1">IFERROR(__xludf.DUMMYFUNCTION("""COMPUTED_VALUE"""),"White Nylon Cable Tie 3.6 x 300mm 100pcs/pack
White Nylon Cable Tie 3.6 x 300mm")</f>
        <v>White Nylon Cable Tie 3.6 x 300mm 100pcs/pack
White Nylon Cable Tie 3.6 x 300mm</v>
      </c>
      <c r="E192" s="15"/>
      <c r="F192" s="15"/>
      <c r="G192" s="15"/>
      <c r="H192" s="15"/>
      <c r="I192" s="15"/>
      <c r="J192" s="39"/>
      <c r="K192" s="40"/>
      <c r="L192" s="8"/>
      <c r="M192" s="8"/>
      <c r="N192" s="8"/>
      <c r="O192" s="8"/>
      <c r="P192" s="8"/>
      <c r="Q192" s="8"/>
      <c r="R192" s="8"/>
      <c r="S192" s="8"/>
      <c r="T192" s="8"/>
      <c r="U192" s="8"/>
      <c r="V192" s="8"/>
      <c r="W192" s="8"/>
      <c r="X192" s="8"/>
      <c r="Y192" s="8"/>
      <c r="Z192" s="8"/>
      <c r="AA192" s="8"/>
    </row>
    <row r="193" spans="1:27" ht="15">
      <c r="A193" s="15" t="str">
        <f ca="1">IFERROR(__xludf.DUMMYFUNCTION("""COMPUTED_VALUE"""),"White Nylon Cable Tie 4.8 x 200mm 100pcs/pack")</f>
        <v>White Nylon Cable Tie 4.8 x 200mm 100pcs/pack</v>
      </c>
      <c r="B193" s="36"/>
      <c r="C193" s="15"/>
      <c r="D193" s="37" t="str">
        <f ca="1">IFERROR(__xludf.DUMMYFUNCTION("""COMPUTED_VALUE"""),"White Nylon Cable Tie 4.8 x 200mm 100pcs/pack
White Nylon Cable Tie 4.8 x 200mm")</f>
        <v>White Nylon Cable Tie 4.8 x 200mm 100pcs/pack
White Nylon Cable Tie 4.8 x 200mm</v>
      </c>
      <c r="E193" s="15"/>
      <c r="F193" s="15"/>
      <c r="G193" s="15"/>
      <c r="H193" s="15"/>
      <c r="I193" s="15"/>
      <c r="J193" s="39"/>
      <c r="K193" s="40"/>
      <c r="L193" s="8"/>
      <c r="M193" s="8"/>
      <c r="N193" s="8"/>
      <c r="O193" s="8"/>
      <c r="P193" s="8"/>
      <c r="Q193" s="8"/>
      <c r="R193" s="8"/>
      <c r="S193" s="8"/>
      <c r="T193" s="8"/>
      <c r="U193" s="8"/>
      <c r="V193" s="8"/>
      <c r="W193" s="8"/>
      <c r="X193" s="8"/>
      <c r="Y193" s="8"/>
      <c r="Z193" s="8"/>
      <c r="AA193" s="8"/>
    </row>
    <row r="194" spans="1:27" ht="15">
      <c r="A194" s="15" t="str">
        <f ca="1">IFERROR(__xludf.DUMMYFUNCTION("""COMPUTED_VALUE"""),"White Nylon Cable Tie 4.8 x 250mm 100pcs/pack")</f>
        <v>White Nylon Cable Tie 4.8 x 250mm 100pcs/pack</v>
      </c>
      <c r="B194" s="36"/>
      <c r="C194" s="15"/>
      <c r="D194" s="37" t="str">
        <f ca="1">IFERROR(__xludf.DUMMYFUNCTION("""COMPUTED_VALUE"""),"White Nylon Cable Tie 4.8 x 250mm 100pcs/pack
White Nylon Cable Tie 4.8 x 250mm")</f>
        <v>White Nylon Cable Tie 4.8 x 250mm 100pcs/pack
White Nylon Cable Tie 4.8 x 250mm</v>
      </c>
      <c r="E194" s="15"/>
      <c r="F194" s="15"/>
      <c r="G194" s="15"/>
      <c r="H194" s="15"/>
      <c r="I194" s="15"/>
      <c r="J194" s="39"/>
      <c r="K194" s="40"/>
      <c r="L194" s="8"/>
      <c r="M194" s="8"/>
      <c r="N194" s="8"/>
      <c r="O194" s="8"/>
      <c r="P194" s="8"/>
      <c r="Q194" s="8"/>
      <c r="R194" s="8"/>
      <c r="S194" s="8"/>
      <c r="T194" s="8"/>
      <c r="U194" s="8"/>
      <c r="V194" s="8"/>
      <c r="W194" s="8"/>
      <c r="X194" s="8"/>
      <c r="Y194" s="8"/>
      <c r="Z194" s="8"/>
      <c r="AA194" s="8"/>
    </row>
    <row r="195" spans="1:27" ht="15">
      <c r="A195" s="15" t="str">
        <f ca="1">IFERROR(__xludf.DUMMYFUNCTION("""COMPUTED_VALUE"""),"White Nylon Cable Tie 4.8 x 300mm 100pcs/pack")</f>
        <v>White Nylon Cable Tie 4.8 x 300mm 100pcs/pack</v>
      </c>
      <c r="B195" s="36"/>
      <c r="C195" s="15"/>
      <c r="D195" s="37" t="str">
        <f ca="1">IFERROR(__xludf.DUMMYFUNCTION("""COMPUTED_VALUE"""),"White Nylon Cable Tie 4.8 x 300mm 100pcs/pack
White Nylon Cable Tie 4.8 x 300mm")</f>
        <v>White Nylon Cable Tie 4.8 x 300mm 100pcs/pack
White Nylon Cable Tie 4.8 x 300mm</v>
      </c>
      <c r="E195" s="15"/>
      <c r="F195" s="15"/>
      <c r="G195" s="15"/>
      <c r="H195" s="15"/>
      <c r="I195" s="15"/>
      <c r="J195" s="39"/>
      <c r="K195" s="40"/>
      <c r="L195" s="8"/>
      <c r="M195" s="8"/>
      <c r="N195" s="8"/>
      <c r="O195" s="8"/>
      <c r="P195" s="8"/>
      <c r="Q195" s="8"/>
      <c r="R195" s="8"/>
      <c r="S195" s="8"/>
      <c r="T195" s="8"/>
      <c r="U195" s="8"/>
      <c r="V195" s="8"/>
      <c r="W195" s="8"/>
      <c r="X195" s="8"/>
      <c r="Y195" s="8"/>
      <c r="Z195" s="8"/>
      <c r="AA195" s="8"/>
    </row>
    <row r="196" spans="1:27" ht="15">
      <c r="A196" s="15" t="str">
        <f ca="1">IFERROR(__xludf.DUMMYFUNCTION("""COMPUTED_VALUE"""),"White Nylon Cable Tie 4.8 x 400mm 100pcs/pack")</f>
        <v>White Nylon Cable Tie 4.8 x 400mm 100pcs/pack</v>
      </c>
      <c r="B196" s="36"/>
      <c r="C196" s="15"/>
      <c r="D196" s="37" t="str">
        <f ca="1">IFERROR(__xludf.DUMMYFUNCTION("""COMPUTED_VALUE"""),"White Nylon Cable Tie 4.8 x 400mm 100pcs/pack
White Nylon Cable Tie 4.8 x 400mm")</f>
        <v>White Nylon Cable Tie 4.8 x 400mm 100pcs/pack
White Nylon Cable Tie 4.8 x 400mm</v>
      </c>
      <c r="E196" s="15"/>
      <c r="F196" s="15"/>
      <c r="G196" s="15"/>
      <c r="H196" s="15"/>
      <c r="I196" s="15"/>
      <c r="J196" s="39"/>
      <c r="K196" s="40"/>
      <c r="L196" s="8"/>
      <c r="M196" s="8"/>
      <c r="N196" s="8"/>
      <c r="O196" s="8"/>
      <c r="P196" s="8"/>
      <c r="Q196" s="8"/>
      <c r="R196" s="8"/>
      <c r="S196" s="8"/>
      <c r="T196" s="8"/>
      <c r="U196" s="8"/>
      <c r="V196" s="8"/>
      <c r="W196" s="8"/>
      <c r="X196" s="8"/>
      <c r="Y196" s="8"/>
      <c r="Z196" s="8"/>
      <c r="AA196" s="8"/>
    </row>
    <row r="197" spans="1:27" ht="15">
      <c r="A197" s="15" t="str">
        <f ca="1">IFERROR(__xludf.DUMMYFUNCTION("""COMPUTED_VALUE"""),"WiFi 6 Access Point Dual-band ")</f>
        <v xml:space="preserve">WiFi 6 Access Point Dual-band </v>
      </c>
      <c r="B197" s="36"/>
      <c r="C197" s="15"/>
      <c r="D197" s="37" t="str">
        <f ca="1">IFERROR(__xludf.DUMMYFUNCTION("""COMPUTED_VALUE"""),"WiFi 6 Access Point Dual-band 
Networking interface: (1) GbE RJ45 port
Power method: PoE+
Power supply: 48V, 0.5A PoE adapter
Dual-band WiFi 6 (802.11ax)
5 GHz (4x4 MU-MIMO and OFDMA)
2.4 GHz (2x2 MU-MIMO and OFDMA)
Included universal mounting plate, back"&amp;"ing plate, and screw kit
Compatible with the existing UniFi Network Application
Warranty: 1 year or more")</f>
        <v>WiFi 6 Access Point Dual-band 
Networking interface: (1) GbE RJ45 port
Power method: PoE+
Power supply: 48V, 0.5A PoE adapter
Dual-band WiFi 6 (802.11ax)
5 GHz (4x4 MU-MIMO and OFDMA)
2.4 GHz (2x2 MU-MIMO and OFDMA)
Included universal mounting plate, backing plate, and screw kit
Compatible with the existing UniFi Network Application
Warranty: 1 year or more</v>
      </c>
      <c r="E197" s="15"/>
      <c r="F197" s="15"/>
      <c r="G197" s="15"/>
      <c r="H197" s="15"/>
      <c r="I197" s="15"/>
      <c r="J197" s="39"/>
      <c r="K197" s="40"/>
      <c r="L197" s="8"/>
      <c r="M197" s="8"/>
      <c r="N197" s="8"/>
      <c r="O197" s="8"/>
      <c r="P197" s="8"/>
      <c r="Q197" s="8"/>
      <c r="R197" s="8"/>
      <c r="S197" s="8"/>
      <c r="T197" s="8"/>
      <c r="U197" s="8"/>
      <c r="V197" s="8"/>
      <c r="W197" s="8"/>
      <c r="X197" s="8"/>
      <c r="Y197" s="8"/>
      <c r="Z197" s="8"/>
      <c r="AA197" s="8"/>
    </row>
    <row r="198" spans="1:27" ht="15">
      <c r="A198" s="15" t="str">
        <f ca="1">IFERROR(__xludf.DUMMYFUNCTION("""COMPUTED_VALUE"""),"Wired USB Numeric Keypad (Black)")</f>
        <v>Wired USB Numeric Keypad (Black)</v>
      </c>
      <c r="B198" s="36"/>
      <c r="C198" s="15"/>
      <c r="D198" s="37" t="str">
        <f ca="1">IFERROR(__xludf.DUMMYFUNCTION("""COMPUTED_VALUE"""),"Wired USB Numeric Keypad (Black)
Sleek Round-Square Keycaps
Cable Length: 120 cm or higher
Compatible Windows XP / Vista / 7 / 8 / 8.1 / 10  or higher")</f>
        <v>Wired USB Numeric Keypad (Black)
Sleek Round-Square Keycaps
Cable Length: 120 cm or higher
Compatible Windows XP / Vista / 7 / 8 / 8.1 / 10  or higher</v>
      </c>
      <c r="E198" s="15"/>
      <c r="F198" s="15"/>
      <c r="G198" s="15"/>
      <c r="H198" s="15"/>
      <c r="I198" s="15"/>
      <c r="J198" s="39"/>
      <c r="K198" s="40"/>
      <c r="L198" s="8"/>
      <c r="M198" s="8"/>
      <c r="N198" s="8"/>
      <c r="O198" s="8"/>
      <c r="P198" s="8"/>
      <c r="Q198" s="8"/>
      <c r="R198" s="8"/>
      <c r="S198" s="8"/>
      <c r="T198" s="8"/>
      <c r="U198" s="8"/>
      <c r="V198" s="8"/>
      <c r="W198" s="8"/>
      <c r="X198" s="8"/>
      <c r="Y198" s="8"/>
      <c r="Z198" s="8"/>
      <c r="AA198" s="8"/>
    </row>
    <row r="199" spans="1:27" ht="15">
      <c r="A199" s="15"/>
      <c r="B199" s="36"/>
      <c r="C199" s="15"/>
      <c r="D199" s="37"/>
      <c r="E199" s="15"/>
      <c r="F199" s="15"/>
      <c r="G199" s="15"/>
      <c r="H199" s="15"/>
      <c r="I199" s="15"/>
      <c r="J199" s="39"/>
      <c r="K199" s="40"/>
      <c r="L199" s="8"/>
      <c r="M199" s="8"/>
      <c r="N199" s="8"/>
      <c r="O199" s="8"/>
      <c r="P199" s="8"/>
      <c r="Q199" s="8"/>
      <c r="R199" s="8"/>
      <c r="S199" s="8"/>
      <c r="T199" s="8"/>
      <c r="U199" s="8"/>
      <c r="V199" s="8"/>
      <c r="W199" s="8"/>
      <c r="X199" s="8"/>
      <c r="Y199" s="8"/>
      <c r="Z199" s="8"/>
      <c r="AA199" s="8"/>
    </row>
    <row r="200" spans="1:27" ht="15">
      <c r="A200" s="15"/>
      <c r="B200" s="36"/>
      <c r="C200" s="15"/>
      <c r="D200" s="37"/>
      <c r="E200" s="15"/>
      <c r="F200" s="15"/>
      <c r="G200" s="15"/>
      <c r="H200" s="15"/>
      <c r="I200" s="15"/>
      <c r="J200" s="39"/>
      <c r="K200" s="40"/>
      <c r="L200" s="8"/>
      <c r="M200" s="8"/>
      <c r="N200" s="8"/>
      <c r="O200" s="8"/>
      <c r="P200" s="8"/>
      <c r="Q200" s="8"/>
      <c r="R200" s="8"/>
      <c r="S200" s="8"/>
      <c r="T200" s="8"/>
      <c r="U200" s="8"/>
      <c r="V200" s="8"/>
      <c r="W200" s="8"/>
      <c r="X200" s="8"/>
      <c r="Y200" s="8"/>
      <c r="Z200" s="8"/>
      <c r="AA200" s="8"/>
    </row>
    <row r="201" spans="1:27" ht="15">
      <c r="A201" s="15"/>
      <c r="B201" s="36"/>
      <c r="C201" s="15"/>
      <c r="D201" s="37"/>
      <c r="E201" s="15"/>
      <c r="F201" s="15"/>
      <c r="G201" s="15"/>
      <c r="H201" s="15"/>
      <c r="I201" s="15"/>
      <c r="J201" s="39"/>
      <c r="K201" s="40"/>
      <c r="L201" s="8"/>
      <c r="M201" s="8"/>
      <c r="N201" s="8"/>
      <c r="O201" s="8"/>
      <c r="P201" s="8"/>
      <c r="Q201" s="8"/>
      <c r="R201" s="8"/>
      <c r="S201" s="8"/>
      <c r="T201" s="8"/>
      <c r="U201" s="8"/>
      <c r="V201" s="8"/>
      <c r="W201" s="8"/>
      <c r="X201" s="8"/>
      <c r="Y201" s="8"/>
      <c r="Z201" s="8"/>
      <c r="AA201" s="8"/>
    </row>
    <row r="202" spans="1:27" ht="15">
      <c r="A202" s="15"/>
      <c r="B202" s="36"/>
      <c r="C202" s="15"/>
      <c r="D202" s="37"/>
      <c r="E202" s="15"/>
      <c r="F202" s="15"/>
      <c r="G202" s="15"/>
      <c r="H202" s="15"/>
      <c r="I202" s="15"/>
      <c r="J202" s="39"/>
      <c r="K202" s="40"/>
      <c r="L202" s="8"/>
      <c r="M202" s="8"/>
      <c r="N202" s="8"/>
      <c r="O202" s="8"/>
      <c r="P202" s="8"/>
      <c r="Q202" s="8"/>
      <c r="R202" s="8"/>
      <c r="S202" s="8"/>
      <c r="T202" s="8"/>
      <c r="U202" s="8"/>
      <c r="V202" s="8"/>
      <c r="W202" s="8"/>
      <c r="X202" s="8"/>
      <c r="Y202" s="8"/>
      <c r="Z202" s="8"/>
      <c r="AA202" s="8"/>
    </row>
    <row r="203" spans="1:27" ht="15">
      <c r="A203" s="15"/>
      <c r="B203" s="36"/>
      <c r="C203" s="15"/>
      <c r="D203" s="37"/>
      <c r="E203" s="15"/>
      <c r="F203" s="15"/>
      <c r="G203" s="15"/>
      <c r="H203" s="15"/>
      <c r="I203" s="15"/>
      <c r="J203" s="39"/>
      <c r="K203" s="40"/>
      <c r="L203" s="8"/>
      <c r="M203" s="8"/>
      <c r="N203" s="8"/>
      <c r="O203" s="8"/>
      <c r="P203" s="8"/>
      <c r="Q203" s="8"/>
      <c r="R203" s="8"/>
      <c r="S203" s="8"/>
      <c r="T203" s="8"/>
      <c r="U203" s="8"/>
      <c r="V203" s="8"/>
      <c r="W203" s="8"/>
      <c r="X203" s="8"/>
      <c r="Y203" s="8"/>
      <c r="Z203" s="8"/>
      <c r="AA203" s="8"/>
    </row>
    <row r="204" spans="1:27" ht="15">
      <c r="A204" s="15"/>
      <c r="B204" s="36"/>
      <c r="C204" s="15"/>
      <c r="D204" s="37"/>
      <c r="E204" s="15"/>
      <c r="F204" s="15"/>
      <c r="G204" s="15"/>
      <c r="H204" s="15"/>
      <c r="I204" s="15"/>
      <c r="J204" s="39"/>
      <c r="K204" s="40"/>
      <c r="L204" s="8"/>
      <c r="M204" s="8"/>
      <c r="N204" s="8"/>
      <c r="O204" s="8"/>
      <c r="P204" s="8"/>
      <c r="Q204" s="8"/>
      <c r="R204" s="8"/>
      <c r="S204" s="8"/>
      <c r="T204" s="8"/>
      <c r="U204" s="8"/>
      <c r="V204" s="8"/>
      <c r="W204" s="8"/>
      <c r="X204" s="8"/>
      <c r="Y204" s="8"/>
      <c r="Z204" s="8"/>
      <c r="AA204" s="8"/>
    </row>
    <row r="205" spans="1:27" ht="15">
      <c r="A205" s="15"/>
      <c r="B205" s="36"/>
      <c r="C205" s="15"/>
      <c r="D205" s="37"/>
      <c r="E205" s="15"/>
      <c r="F205" s="15"/>
      <c r="G205" s="15"/>
      <c r="H205" s="15"/>
      <c r="I205" s="15"/>
      <c r="J205" s="39"/>
      <c r="K205" s="40"/>
      <c r="L205" s="8"/>
      <c r="M205" s="8"/>
      <c r="N205" s="8"/>
      <c r="O205" s="8"/>
      <c r="P205" s="8"/>
      <c r="Q205" s="8"/>
      <c r="R205" s="8"/>
      <c r="S205" s="8"/>
      <c r="T205" s="8"/>
      <c r="U205" s="8"/>
      <c r="V205" s="8"/>
      <c r="W205" s="8"/>
      <c r="X205" s="8"/>
      <c r="Y205" s="8"/>
      <c r="Z205" s="8"/>
      <c r="AA205" s="8"/>
    </row>
    <row r="206" spans="1:27" ht="15">
      <c r="A206" s="15"/>
      <c r="B206" s="36"/>
      <c r="C206" s="15"/>
      <c r="D206" s="37"/>
      <c r="E206" s="15"/>
      <c r="F206" s="15"/>
      <c r="G206" s="15"/>
      <c r="H206" s="15"/>
      <c r="I206" s="15"/>
      <c r="J206" s="39"/>
      <c r="K206" s="40"/>
      <c r="L206" s="8"/>
      <c r="M206" s="8"/>
      <c r="N206" s="8"/>
      <c r="O206" s="8"/>
      <c r="P206" s="8"/>
      <c r="Q206" s="8"/>
      <c r="R206" s="8"/>
      <c r="S206" s="8"/>
      <c r="T206" s="8"/>
      <c r="U206" s="8"/>
      <c r="V206" s="8"/>
      <c r="W206" s="8"/>
      <c r="X206" s="8"/>
      <c r="Y206" s="8"/>
      <c r="Z206" s="8"/>
      <c r="AA206" s="8"/>
    </row>
    <row r="207" spans="1:27" ht="15">
      <c r="A207" s="15"/>
      <c r="B207" s="36"/>
      <c r="C207" s="15"/>
      <c r="D207" s="37"/>
      <c r="E207" s="15"/>
      <c r="F207" s="15"/>
      <c r="G207" s="15"/>
      <c r="H207" s="15"/>
      <c r="I207" s="15"/>
      <c r="J207" s="39"/>
      <c r="K207" s="40"/>
      <c r="L207" s="8"/>
      <c r="M207" s="8"/>
      <c r="N207" s="8"/>
      <c r="O207" s="8"/>
      <c r="P207" s="8"/>
      <c r="Q207" s="8"/>
      <c r="R207" s="8"/>
      <c r="S207" s="8"/>
      <c r="T207" s="8"/>
      <c r="U207" s="8"/>
      <c r="V207" s="8"/>
      <c r="W207" s="8"/>
      <c r="X207" s="8"/>
      <c r="Y207" s="8"/>
      <c r="Z207" s="8"/>
      <c r="AA207" s="8"/>
    </row>
    <row r="208" spans="1:27" ht="15">
      <c r="A208" s="15"/>
      <c r="B208" s="36"/>
      <c r="C208" s="15"/>
      <c r="D208" s="37"/>
      <c r="E208" s="15"/>
      <c r="F208" s="15"/>
      <c r="G208" s="15"/>
      <c r="H208" s="15"/>
      <c r="I208" s="15"/>
      <c r="J208" s="39"/>
      <c r="K208" s="40"/>
      <c r="L208" s="8"/>
      <c r="M208" s="8"/>
      <c r="N208" s="8"/>
      <c r="O208" s="8"/>
      <c r="P208" s="8"/>
      <c r="Q208" s="8"/>
      <c r="R208" s="8"/>
      <c r="S208" s="8"/>
      <c r="T208" s="8"/>
      <c r="U208" s="8"/>
      <c r="V208" s="8"/>
      <c r="W208" s="8"/>
      <c r="X208" s="8"/>
      <c r="Y208" s="8"/>
      <c r="Z208" s="8"/>
      <c r="AA208" s="8"/>
    </row>
    <row r="209" spans="1:27" ht="15">
      <c r="A209" s="15"/>
      <c r="B209" s="36"/>
      <c r="C209" s="15"/>
      <c r="D209" s="37"/>
      <c r="E209" s="15"/>
      <c r="F209" s="15"/>
      <c r="G209" s="15"/>
      <c r="H209" s="15"/>
      <c r="I209" s="15"/>
      <c r="J209" s="39"/>
      <c r="K209" s="40"/>
      <c r="L209" s="8"/>
      <c r="M209" s="8"/>
      <c r="N209" s="8"/>
      <c r="O209" s="8"/>
      <c r="P209" s="8"/>
      <c r="Q209" s="8"/>
      <c r="R209" s="8"/>
      <c r="S209" s="8"/>
      <c r="T209" s="8"/>
      <c r="U209" s="8"/>
      <c r="V209" s="8"/>
      <c r="W209" s="8"/>
      <c r="X209" s="8"/>
      <c r="Y209" s="8"/>
      <c r="Z209" s="8"/>
      <c r="AA209" s="8"/>
    </row>
    <row r="210" spans="1:27" ht="15">
      <c r="A210" s="15"/>
      <c r="B210" s="36"/>
      <c r="C210" s="15"/>
      <c r="D210" s="37"/>
      <c r="E210" s="15"/>
      <c r="F210" s="15"/>
      <c r="G210" s="15"/>
      <c r="H210" s="15"/>
      <c r="I210" s="15"/>
      <c r="J210" s="39"/>
      <c r="K210" s="40"/>
      <c r="L210" s="8"/>
      <c r="M210" s="8"/>
      <c r="N210" s="8"/>
      <c r="O210" s="8"/>
      <c r="P210" s="8"/>
      <c r="Q210" s="8"/>
      <c r="R210" s="8"/>
      <c r="S210" s="8"/>
      <c r="T210" s="8"/>
      <c r="U210" s="8"/>
      <c r="V210" s="8"/>
      <c r="W210" s="8"/>
      <c r="X210" s="8"/>
      <c r="Y210" s="8"/>
      <c r="Z210" s="8"/>
      <c r="AA210" s="8"/>
    </row>
    <row r="211" spans="1:27" ht="15">
      <c r="A211" s="15"/>
      <c r="B211" s="36"/>
      <c r="C211" s="15"/>
      <c r="D211" s="37"/>
      <c r="E211" s="15"/>
      <c r="F211" s="15"/>
      <c r="G211" s="15"/>
      <c r="H211" s="15"/>
      <c r="I211" s="15"/>
      <c r="J211" s="39"/>
      <c r="K211" s="40"/>
      <c r="L211" s="8"/>
      <c r="M211" s="8"/>
      <c r="N211" s="8"/>
      <c r="O211" s="8"/>
      <c r="P211" s="8"/>
      <c r="Q211" s="8"/>
      <c r="R211" s="8"/>
      <c r="S211" s="8"/>
      <c r="T211" s="8"/>
      <c r="U211" s="8"/>
      <c r="V211" s="8"/>
      <c r="W211" s="8"/>
      <c r="X211" s="8"/>
      <c r="Y211" s="8"/>
      <c r="Z211" s="8"/>
      <c r="AA211" s="8"/>
    </row>
    <row r="212" spans="1:27" ht="15">
      <c r="A212" s="15"/>
      <c r="B212" s="36"/>
      <c r="C212" s="15"/>
      <c r="D212" s="37"/>
      <c r="E212" s="15"/>
      <c r="F212" s="15"/>
      <c r="G212" s="15"/>
      <c r="H212" s="15"/>
      <c r="I212" s="15"/>
      <c r="J212" s="39"/>
      <c r="K212" s="40"/>
      <c r="L212" s="8"/>
      <c r="M212" s="8"/>
      <c r="N212" s="8"/>
      <c r="O212" s="8"/>
      <c r="P212" s="8"/>
      <c r="Q212" s="8"/>
      <c r="R212" s="8"/>
      <c r="S212" s="8"/>
      <c r="T212" s="8"/>
      <c r="U212" s="8"/>
      <c r="V212" s="8"/>
      <c r="W212" s="8"/>
      <c r="X212" s="8"/>
      <c r="Y212" s="8"/>
      <c r="Z212" s="8"/>
      <c r="AA212" s="8"/>
    </row>
    <row r="213" spans="1:27" ht="15">
      <c r="A213" s="15"/>
      <c r="B213" s="36"/>
      <c r="C213" s="15"/>
      <c r="D213" s="37"/>
      <c r="E213" s="15"/>
      <c r="F213" s="15"/>
      <c r="G213" s="15"/>
      <c r="H213" s="15"/>
      <c r="I213" s="15"/>
      <c r="J213" s="39"/>
      <c r="K213" s="40"/>
      <c r="L213" s="8"/>
      <c r="M213" s="8"/>
      <c r="N213" s="8"/>
      <c r="O213" s="8"/>
      <c r="P213" s="8"/>
      <c r="Q213" s="8"/>
      <c r="R213" s="8"/>
      <c r="S213" s="8"/>
      <c r="T213" s="8"/>
      <c r="U213" s="8"/>
      <c r="V213" s="8"/>
      <c r="W213" s="8"/>
      <c r="X213" s="8"/>
      <c r="Y213" s="8"/>
      <c r="Z213" s="8"/>
      <c r="AA213" s="8"/>
    </row>
    <row r="214" spans="1:27" ht="15">
      <c r="A214" s="15"/>
      <c r="B214" s="36"/>
      <c r="C214" s="15"/>
      <c r="D214" s="37"/>
      <c r="E214" s="15"/>
      <c r="F214" s="15"/>
      <c r="G214" s="15"/>
      <c r="H214" s="15"/>
      <c r="I214" s="15"/>
      <c r="J214" s="39"/>
      <c r="K214" s="40"/>
      <c r="L214" s="8"/>
      <c r="M214" s="8"/>
      <c r="N214" s="8"/>
      <c r="O214" s="8"/>
      <c r="P214" s="8"/>
      <c r="Q214" s="8"/>
      <c r="R214" s="8"/>
      <c r="S214" s="8"/>
      <c r="T214" s="8"/>
      <c r="U214" s="8"/>
      <c r="V214" s="8"/>
      <c r="W214" s="8"/>
      <c r="X214" s="8"/>
      <c r="Y214" s="8"/>
      <c r="Z214" s="8"/>
      <c r="AA214" s="8"/>
    </row>
    <row r="215" spans="1:27" ht="15">
      <c r="A215" s="15"/>
      <c r="B215" s="36"/>
      <c r="C215" s="15"/>
      <c r="D215" s="37"/>
      <c r="E215" s="15"/>
      <c r="F215" s="15"/>
      <c r="G215" s="15"/>
      <c r="H215" s="15"/>
      <c r="I215" s="15"/>
      <c r="J215" s="39"/>
      <c r="K215" s="40"/>
      <c r="L215" s="8"/>
      <c r="M215" s="8"/>
      <c r="N215" s="8"/>
      <c r="O215" s="8"/>
      <c r="P215" s="8"/>
      <c r="Q215" s="8"/>
      <c r="R215" s="8"/>
      <c r="S215" s="8"/>
      <c r="T215" s="8"/>
      <c r="U215" s="8"/>
      <c r="V215" s="8"/>
      <c r="W215" s="8"/>
      <c r="X215" s="8"/>
      <c r="Y215" s="8"/>
      <c r="Z215" s="8"/>
      <c r="AA215" s="8"/>
    </row>
    <row r="216" spans="1:27" ht="15">
      <c r="A216" s="15"/>
      <c r="B216" s="36"/>
      <c r="C216" s="15"/>
      <c r="D216" s="37"/>
      <c r="E216" s="15"/>
      <c r="F216" s="15"/>
      <c r="G216" s="15"/>
      <c r="H216" s="15"/>
      <c r="I216" s="15"/>
      <c r="J216" s="39"/>
      <c r="K216" s="40"/>
      <c r="L216" s="8"/>
      <c r="M216" s="8"/>
      <c r="N216" s="8"/>
      <c r="O216" s="8"/>
      <c r="P216" s="8"/>
      <c r="Q216" s="8"/>
      <c r="R216" s="8"/>
      <c r="S216" s="8"/>
      <c r="T216" s="8"/>
      <c r="U216" s="8"/>
      <c r="V216" s="8"/>
      <c r="W216" s="8"/>
      <c r="X216" s="8"/>
      <c r="Y216" s="8"/>
      <c r="Z216" s="8"/>
      <c r="AA216" s="8"/>
    </row>
    <row r="217" spans="1:27" ht="15">
      <c r="A217" s="15"/>
      <c r="B217" s="36"/>
      <c r="C217" s="15"/>
      <c r="D217" s="37"/>
      <c r="E217" s="15"/>
      <c r="F217" s="15"/>
      <c r="G217" s="15"/>
      <c r="H217" s="15"/>
      <c r="I217" s="15"/>
      <c r="J217" s="39"/>
      <c r="K217" s="40"/>
      <c r="L217" s="8"/>
      <c r="M217" s="8"/>
      <c r="N217" s="8"/>
      <c r="O217" s="8"/>
      <c r="P217" s="8"/>
      <c r="Q217" s="8"/>
      <c r="R217" s="8"/>
      <c r="S217" s="8"/>
      <c r="T217" s="8"/>
      <c r="U217" s="8"/>
      <c r="V217" s="8"/>
      <c r="W217" s="8"/>
      <c r="X217" s="8"/>
      <c r="Y217" s="8"/>
      <c r="Z217" s="8"/>
      <c r="AA217" s="8"/>
    </row>
    <row r="218" spans="1:27" ht="15">
      <c r="A218" s="15"/>
      <c r="B218" s="36"/>
      <c r="C218" s="15"/>
      <c r="D218" s="37"/>
      <c r="E218" s="15"/>
      <c r="F218" s="15"/>
      <c r="G218" s="15"/>
      <c r="H218" s="15"/>
      <c r="I218" s="15"/>
      <c r="J218" s="39"/>
      <c r="K218" s="40"/>
      <c r="L218" s="8"/>
      <c r="M218" s="8"/>
      <c r="N218" s="8"/>
      <c r="O218" s="8"/>
      <c r="P218" s="8"/>
      <c r="Q218" s="8"/>
      <c r="R218" s="8"/>
      <c r="S218" s="8"/>
      <c r="T218" s="8"/>
      <c r="U218" s="8"/>
      <c r="V218" s="8"/>
      <c r="W218" s="8"/>
      <c r="X218" s="8"/>
      <c r="Y218" s="8"/>
      <c r="Z218" s="8"/>
      <c r="AA218" s="8"/>
    </row>
    <row r="219" spans="1:27" ht="15">
      <c r="A219" s="15"/>
      <c r="B219" s="36"/>
      <c r="C219" s="15"/>
      <c r="D219" s="37"/>
      <c r="E219" s="15"/>
      <c r="F219" s="15"/>
      <c r="G219" s="15"/>
      <c r="H219" s="15"/>
      <c r="I219" s="15"/>
      <c r="J219" s="39"/>
      <c r="K219" s="40"/>
      <c r="L219" s="8"/>
      <c r="M219" s="8"/>
      <c r="N219" s="8"/>
      <c r="O219" s="8"/>
      <c r="P219" s="8"/>
      <c r="Q219" s="8"/>
      <c r="R219" s="8"/>
      <c r="S219" s="8"/>
      <c r="T219" s="8"/>
      <c r="U219" s="8"/>
      <c r="V219" s="8"/>
      <c r="W219" s="8"/>
      <c r="X219" s="8"/>
      <c r="Y219" s="8"/>
      <c r="Z219" s="8"/>
      <c r="AA219" s="8"/>
    </row>
    <row r="220" spans="1:27" ht="15">
      <c r="A220" s="15"/>
      <c r="B220" s="36"/>
      <c r="C220" s="15"/>
      <c r="D220" s="37"/>
      <c r="E220" s="15"/>
      <c r="F220" s="15"/>
      <c r="G220" s="15"/>
      <c r="H220" s="15"/>
      <c r="I220" s="15"/>
      <c r="J220" s="39"/>
      <c r="K220" s="40"/>
      <c r="L220" s="8"/>
      <c r="M220" s="8"/>
      <c r="N220" s="8"/>
      <c r="O220" s="8"/>
      <c r="P220" s="8"/>
      <c r="Q220" s="8"/>
      <c r="R220" s="8"/>
      <c r="S220" s="8"/>
      <c r="T220" s="8"/>
      <c r="U220" s="8"/>
      <c r="V220" s="8"/>
      <c r="W220" s="8"/>
      <c r="X220" s="8"/>
      <c r="Y220" s="8"/>
      <c r="Z220" s="8"/>
      <c r="AA220" s="8"/>
    </row>
    <row r="221" spans="1:27" ht="15">
      <c r="A221" s="15"/>
      <c r="B221" s="36"/>
      <c r="C221" s="15"/>
      <c r="D221" s="37"/>
      <c r="E221" s="15"/>
      <c r="F221" s="15"/>
      <c r="G221" s="15"/>
      <c r="H221" s="15"/>
      <c r="I221" s="15"/>
      <c r="J221" s="39"/>
      <c r="K221" s="40"/>
      <c r="L221" s="8"/>
      <c r="M221" s="8"/>
      <c r="N221" s="8"/>
      <c r="O221" s="8"/>
      <c r="P221" s="8"/>
      <c r="Q221" s="8"/>
      <c r="R221" s="8"/>
      <c r="S221" s="8"/>
      <c r="T221" s="8"/>
      <c r="U221" s="8"/>
      <c r="V221" s="8"/>
      <c r="W221" s="8"/>
      <c r="X221" s="8"/>
      <c r="Y221" s="8"/>
      <c r="Z221" s="8"/>
      <c r="AA221" s="8"/>
    </row>
    <row r="222" spans="1:27" ht="15">
      <c r="A222" s="15"/>
      <c r="B222" s="36"/>
      <c r="C222" s="15"/>
      <c r="D222" s="37"/>
      <c r="E222" s="15"/>
      <c r="F222" s="15"/>
      <c r="G222" s="15"/>
      <c r="H222" s="15"/>
      <c r="I222" s="15"/>
      <c r="J222" s="39"/>
      <c r="K222" s="40"/>
      <c r="L222" s="8"/>
      <c r="M222" s="8"/>
      <c r="N222" s="8"/>
      <c r="O222" s="8"/>
      <c r="P222" s="8"/>
      <c r="Q222" s="8"/>
      <c r="R222" s="8"/>
      <c r="S222" s="8"/>
      <c r="T222" s="8"/>
      <c r="U222" s="8"/>
      <c r="V222" s="8"/>
      <c r="W222" s="8"/>
      <c r="X222" s="8"/>
      <c r="Y222" s="8"/>
      <c r="Z222" s="8"/>
      <c r="AA222" s="8"/>
    </row>
    <row r="223" spans="1:27" ht="15">
      <c r="A223" s="15"/>
      <c r="B223" s="36"/>
      <c r="C223" s="15"/>
      <c r="D223" s="37"/>
      <c r="E223" s="15"/>
      <c r="F223" s="15"/>
      <c r="G223" s="15"/>
      <c r="H223" s="15"/>
      <c r="I223" s="15"/>
      <c r="J223" s="39"/>
      <c r="K223" s="40"/>
      <c r="L223" s="8"/>
      <c r="M223" s="8"/>
      <c r="N223" s="8"/>
      <c r="O223" s="8"/>
      <c r="P223" s="8"/>
      <c r="Q223" s="8"/>
      <c r="R223" s="8"/>
      <c r="S223" s="8"/>
      <c r="T223" s="8"/>
      <c r="U223" s="8"/>
      <c r="V223" s="8"/>
      <c r="W223" s="8"/>
      <c r="X223" s="8"/>
      <c r="Y223" s="8"/>
      <c r="Z223" s="8"/>
      <c r="AA223" s="8"/>
    </row>
    <row r="224" spans="1:27" ht="15">
      <c r="A224" s="15"/>
      <c r="B224" s="36"/>
      <c r="C224" s="15"/>
      <c r="D224" s="37"/>
      <c r="E224" s="15"/>
      <c r="F224" s="15"/>
      <c r="G224" s="15"/>
      <c r="H224" s="15"/>
      <c r="I224" s="15"/>
      <c r="J224" s="39"/>
      <c r="K224" s="40"/>
      <c r="L224" s="8"/>
      <c r="M224" s="8"/>
      <c r="N224" s="8"/>
      <c r="O224" s="8"/>
      <c r="P224" s="8"/>
      <c r="Q224" s="8"/>
      <c r="R224" s="8"/>
      <c r="S224" s="8"/>
      <c r="T224" s="8"/>
      <c r="U224" s="8"/>
      <c r="V224" s="8"/>
      <c r="W224" s="8"/>
      <c r="X224" s="8"/>
      <c r="Y224" s="8"/>
      <c r="Z224" s="8"/>
      <c r="AA224" s="8"/>
    </row>
    <row r="225" spans="1:27" ht="15">
      <c r="A225" s="15"/>
      <c r="B225" s="36"/>
      <c r="C225" s="15"/>
      <c r="D225" s="37"/>
      <c r="E225" s="15"/>
      <c r="F225" s="15"/>
      <c r="G225" s="15"/>
      <c r="H225" s="15"/>
      <c r="I225" s="15"/>
      <c r="J225" s="39"/>
      <c r="K225" s="40"/>
      <c r="L225" s="8"/>
      <c r="M225" s="8"/>
      <c r="N225" s="8"/>
      <c r="O225" s="8"/>
      <c r="P225" s="8"/>
      <c r="Q225" s="8"/>
      <c r="R225" s="8"/>
      <c r="S225" s="8"/>
      <c r="T225" s="8"/>
      <c r="U225" s="8"/>
      <c r="V225" s="8"/>
      <c r="W225" s="8"/>
      <c r="X225" s="8"/>
      <c r="Y225" s="8"/>
      <c r="Z225" s="8"/>
      <c r="AA225" s="8"/>
    </row>
    <row r="226" spans="1:27" ht="15">
      <c r="A226" s="15"/>
      <c r="B226" s="36"/>
      <c r="C226" s="15"/>
      <c r="D226" s="37"/>
      <c r="E226" s="15"/>
      <c r="F226" s="15"/>
      <c r="G226" s="15"/>
      <c r="H226" s="15"/>
      <c r="I226" s="15"/>
      <c r="J226" s="39"/>
      <c r="K226" s="40"/>
      <c r="L226" s="8"/>
      <c r="M226" s="8"/>
      <c r="N226" s="8"/>
      <c r="O226" s="8"/>
      <c r="P226" s="8"/>
      <c r="Q226" s="8"/>
      <c r="R226" s="8"/>
      <c r="S226" s="8"/>
      <c r="T226" s="8"/>
      <c r="U226" s="8"/>
      <c r="V226" s="8"/>
      <c r="W226" s="8"/>
      <c r="X226" s="8"/>
      <c r="Y226" s="8"/>
      <c r="Z226" s="8"/>
      <c r="AA226" s="8"/>
    </row>
    <row r="227" spans="1:27" ht="15">
      <c r="A227" s="15"/>
      <c r="B227" s="36"/>
      <c r="C227" s="15"/>
      <c r="D227" s="37"/>
      <c r="E227" s="15"/>
      <c r="F227" s="15"/>
      <c r="G227" s="15"/>
      <c r="H227" s="15"/>
      <c r="I227" s="15"/>
      <c r="J227" s="39"/>
      <c r="K227" s="40"/>
      <c r="L227" s="8"/>
      <c r="M227" s="8"/>
      <c r="N227" s="8"/>
      <c r="O227" s="8"/>
      <c r="P227" s="8"/>
      <c r="Q227" s="8"/>
      <c r="R227" s="8"/>
      <c r="S227" s="8"/>
      <c r="T227" s="8"/>
      <c r="U227" s="8"/>
      <c r="V227" s="8"/>
      <c r="W227" s="8"/>
      <c r="X227" s="8"/>
      <c r="Y227" s="8"/>
      <c r="Z227" s="8"/>
      <c r="AA227" s="8"/>
    </row>
    <row r="228" spans="1:27" ht="15">
      <c r="A228" s="15"/>
      <c r="B228" s="36"/>
      <c r="C228" s="15"/>
      <c r="D228" s="37"/>
      <c r="E228" s="15"/>
      <c r="F228" s="15"/>
      <c r="G228" s="15"/>
      <c r="H228" s="15"/>
      <c r="I228" s="15"/>
      <c r="J228" s="39"/>
      <c r="K228" s="40"/>
      <c r="L228" s="8"/>
      <c r="M228" s="8"/>
      <c r="N228" s="8"/>
      <c r="O228" s="8"/>
      <c r="P228" s="8"/>
      <c r="Q228" s="8"/>
      <c r="R228" s="8"/>
      <c r="S228" s="8"/>
      <c r="T228" s="8"/>
      <c r="U228" s="8"/>
      <c r="V228" s="8"/>
      <c r="W228" s="8"/>
      <c r="X228" s="8"/>
      <c r="Y228" s="8"/>
      <c r="Z228" s="8"/>
      <c r="AA228" s="8"/>
    </row>
    <row r="229" spans="1:27" ht="15">
      <c r="A229" s="15"/>
      <c r="B229" s="36"/>
      <c r="C229" s="15"/>
      <c r="D229" s="37"/>
      <c r="E229" s="15"/>
      <c r="F229" s="15"/>
      <c r="G229" s="15"/>
      <c r="H229" s="15"/>
      <c r="I229" s="15"/>
      <c r="J229" s="39"/>
      <c r="K229" s="40"/>
      <c r="L229" s="8"/>
      <c r="M229" s="8"/>
      <c r="N229" s="8"/>
      <c r="O229" s="8"/>
      <c r="P229" s="8"/>
      <c r="Q229" s="8"/>
      <c r="R229" s="8"/>
      <c r="S229" s="8"/>
      <c r="T229" s="8"/>
      <c r="U229" s="8"/>
      <c r="V229" s="8"/>
      <c r="W229" s="8"/>
      <c r="X229" s="8"/>
      <c r="Y229" s="8"/>
      <c r="Z229" s="8"/>
      <c r="AA229" s="8"/>
    </row>
    <row r="230" spans="1:27" ht="15">
      <c r="A230" s="15"/>
      <c r="B230" s="36"/>
      <c r="C230" s="15"/>
      <c r="D230" s="37"/>
      <c r="E230" s="15"/>
      <c r="F230" s="15"/>
      <c r="G230" s="15"/>
      <c r="H230" s="15"/>
      <c r="I230" s="15"/>
      <c r="J230" s="39"/>
      <c r="K230" s="40"/>
      <c r="L230" s="8"/>
      <c r="M230" s="8"/>
      <c r="N230" s="8"/>
      <c r="O230" s="8"/>
      <c r="P230" s="8"/>
      <c r="Q230" s="8"/>
      <c r="R230" s="8"/>
      <c r="S230" s="8"/>
      <c r="T230" s="8"/>
      <c r="U230" s="8"/>
      <c r="V230" s="8"/>
      <c r="W230" s="8"/>
      <c r="X230" s="8"/>
      <c r="Y230" s="8"/>
      <c r="Z230" s="8"/>
      <c r="AA230" s="8"/>
    </row>
    <row r="231" spans="1:27" ht="15">
      <c r="A231" s="15"/>
      <c r="B231" s="36"/>
      <c r="C231" s="15"/>
      <c r="D231" s="37"/>
      <c r="E231" s="15"/>
      <c r="F231" s="15"/>
      <c r="G231" s="15"/>
      <c r="H231" s="15"/>
      <c r="I231" s="15"/>
      <c r="J231" s="39"/>
      <c r="K231" s="40"/>
      <c r="L231" s="8"/>
      <c r="M231" s="8"/>
      <c r="N231" s="8"/>
      <c r="O231" s="8"/>
      <c r="P231" s="8"/>
      <c r="Q231" s="8"/>
      <c r="R231" s="8"/>
      <c r="S231" s="8"/>
      <c r="T231" s="8"/>
      <c r="U231" s="8"/>
      <c r="V231" s="8"/>
      <c r="W231" s="8"/>
      <c r="X231" s="8"/>
      <c r="Y231" s="8"/>
      <c r="Z231" s="8"/>
      <c r="AA231" s="8"/>
    </row>
    <row r="232" spans="1:27" ht="15">
      <c r="A232" s="15"/>
      <c r="B232" s="36"/>
      <c r="C232" s="15"/>
      <c r="D232" s="37"/>
      <c r="E232" s="15"/>
      <c r="F232" s="15"/>
      <c r="G232" s="15"/>
      <c r="H232" s="15"/>
      <c r="I232" s="15"/>
      <c r="J232" s="39"/>
      <c r="K232" s="40"/>
      <c r="L232" s="8"/>
      <c r="M232" s="8"/>
      <c r="N232" s="8"/>
      <c r="O232" s="8"/>
      <c r="P232" s="8"/>
      <c r="Q232" s="8"/>
      <c r="R232" s="8"/>
      <c r="S232" s="8"/>
      <c r="T232" s="8"/>
      <c r="U232" s="8"/>
      <c r="V232" s="8"/>
      <c r="W232" s="8"/>
      <c r="X232" s="8"/>
      <c r="Y232" s="8"/>
      <c r="Z232" s="8"/>
      <c r="AA232" s="8"/>
    </row>
    <row r="233" spans="1:27" ht="15">
      <c r="A233" s="15"/>
      <c r="B233" s="36"/>
      <c r="C233" s="15"/>
      <c r="D233" s="37"/>
      <c r="E233" s="15"/>
      <c r="F233" s="15"/>
      <c r="G233" s="15"/>
      <c r="H233" s="15"/>
      <c r="I233" s="15"/>
      <c r="J233" s="39"/>
      <c r="K233" s="40"/>
      <c r="L233" s="8"/>
      <c r="M233" s="8"/>
      <c r="N233" s="8"/>
      <c r="O233" s="8"/>
      <c r="P233" s="8"/>
      <c r="Q233" s="8"/>
      <c r="R233" s="8"/>
      <c r="S233" s="8"/>
      <c r="T233" s="8"/>
      <c r="U233" s="8"/>
      <c r="V233" s="8"/>
      <c r="W233" s="8"/>
      <c r="X233" s="8"/>
      <c r="Y233" s="8"/>
      <c r="Z233" s="8"/>
      <c r="AA233" s="8"/>
    </row>
    <row r="234" spans="1:27" ht="15">
      <c r="A234" s="15"/>
      <c r="B234" s="36"/>
      <c r="C234" s="15"/>
      <c r="D234" s="37"/>
      <c r="E234" s="15"/>
      <c r="F234" s="15"/>
      <c r="G234" s="15"/>
      <c r="H234" s="15"/>
      <c r="I234" s="15"/>
      <c r="J234" s="39"/>
      <c r="K234" s="40"/>
      <c r="L234" s="8"/>
      <c r="M234" s="8"/>
      <c r="N234" s="8"/>
      <c r="O234" s="8"/>
      <c r="P234" s="8"/>
      <c r="Q234" s="8"/>
      <c r="R234" s="8"/>
      <c r="S234" s="8"/>
      <c r="T234" s="8"/>
      <c r="U234" s="8"/>
      <c r="V234" s="8"/>
      <c r="W234" s="8"/>
      <c r="X234" s="8"/>
      <c r="Y234" s="8"/>
      <c r="Z234" s="8"/>
      <c r="AA234" s="8"/>
    </row>
    <row r="235" spans="1:27" ht="15">
      <c r="A235" s="15"/>
      <c r="B235" s="36"/>
      <c r="C235" s="15"/>
      <c r="D235" s="37"/>
      <c r="E235" s="15"/>
      <c r="F235" s="15"/>
      <c r="G235" s="15"/>
      <c r="H235" s="15"/>
      <c r="I235" s="15"/>
      <c r="J235" s="39"/>
      <c r="K235" s="40"/>
      <c r="L235" s="8"/>
      <c r="M235" s="8"/>
      <c r="N235" s="8"/>
      <c r="O235" s="8"/>
      <c r="P235" s="8"/>
      <c r="Q235" s="8"/>
      <c r="R235" s="8"/>
      <c r="S235" s="8"/>
      <c r="T235" s="8"/>
      <c r="U235" s="8"/>
      <c r="V235" s="8"/>
      <c r="W235" s="8"/>
      <c r="X235" s="8"/>
      <c r="Y235" s="8"/>
      <c r="Z235" s="8"/>
      <c r="AA235" s="8"/>
    </row>
    <row r="236" spans="1:27" ht="15">
      <c r="A236" s="15"/>
      <c r="B236" s="36"/>
      <c r="C236" s="15"/>
      <c r="D236" s="37"/>
      <c r="E236" s="15"/>
      <c r="F236" s="15"/>
      <c r="G236" s="15"/>
      <c r="H236" s="15"/>
      <c r="I236" s="15"/>
      <c r="J236" s="39"/>
      <c r="K236" s="40"/>
      <c r="L236" s="8"/>
      <c r="M236" s="8"/>
      <c r="N236" s="8"/>
      <c r="O236" s="8"/>
      <c r="P236" s="8"/>
      <c r="Q236" s="8"/>
      <c r="R236" s="8"/>
      <c r="S236" s="8"/>
      <c r="T236" s="8"/>
      <c r="U236" s="8"/>
      <c r="V236" s="8"/>
      <c r="W236" s="8"/>
      <c r="X236" s="8"/>
      <c r="Y236" s="8"/>
      <c r="Z236" s="8"/>
      <c r="AA236" s="8"/>
    </row>
    <row r="237" spans="1:27" ht="15">
      <c r="A237" s="15"/>
      <c r="B237" s="36"/>
      <c r="C237" s="15"/>
      <c r="D237" s="37"/>
      <c r="E237" s="15"/>
      <c r="F237" s="15"/>
      <c r="G237" s="15"/>
      <c r="H237" s="15"/>
      <c r="I237" s="15"/>
      <c r="J237" s="39"/>
      <c r="K237" s="40"/>
      <c r="L237" s="8"/>
      <c r="M237" s="8"/>
      <c r="N237" s="8"/>
      <c r="O237" s="8"/>
      <c r="P237" s="8"/>
      <c r="Q237" s="8"/>
      <c r="R237" s="8"/>
      <c r="S237" s="8"/>
      <c r="T237" s="8"/>
      <c r="U237" s="8"/>
      <c r="V237" s="8"/>
      <c r="W237" s="8"/>
      <c r="X237" s="8"/>
      <c r="Y237" s="8"/>
      <c r="Z237" s="8"/>
      <c r="AA237" s="8"/>
    </row>
    <row r="238" spans="1:27" ht="15">
      <c r="A238" s="15"/>
      <c r="B238" s="36"/>
      <c r="C238" s="15"/>
      <c r="D238" s="37"/>
      <c r="E238" s="15"/>
      <c r="F238" s="15"/>
      <c r="G238" s="15"/>
      <c r="H238" s="15"/>
      <c r="I238" s="15"/>
      <c r="J238" s="39"/>
      <c r="K238" s="40"/>
      <c r="L238" s="8"/>
      <c r="M238" s="8"/>
      <c r="N238" s="8"/>
      <c r="O238" s="8"/>
      <c r="P238" s="8"/>
      <c r="Q238" s="8"/>
      <c r="R238" s="8"/>
      <c r="S238" s="8"/>
      <c r="T238" s="8"/>
      <c r="U238" s="8"/>
      <c r="V238" s="8"/>
      <c r="W238" s="8"/>
      <c r="X238" s="8"/>
      <c r="Y238" s="8"/>
      <c r="Z238" s="8"/>
      <c r="AA238" s="8"/>
    </row>
    <row r="239" spans="1:27" ht="15">
      <c r="A239" s="15"/>
      <c r="B239" s="36"/>
      <c r="C239" s="15"/>
      <c r="D239" s="37"/>
      <c r="E239" s="15"/>
      <c r="F239" s="15"/>
      <c r="G239" s="15"/>
      <c r="H239" s="15"/>
      <c r="I239" s="15"/>
      <c r="J239" s="39"/>
      <c r="K239" s="40"/>
      <c r="L239" s="8"/>
      <c r="M239" s="8"/>
      <c r="N239" s="8"/>
      <c r="O239" s="8"/>
      <c r="P239" s="8"/>
      <c r="Q239" s="8"/>
      <c r="R239" s="8"/>
      <c r="S239" s="8"/>
      <c r="T239" s="8"/>
      <c r="U239" s="8"/>
      <c r="V239" s="8"/>
      <c r="W239" s="8"/>
      <c r="X239" s="8"/>
      <c r="Y239" s="8"/>
      <c r="Z239" s="8"/>
      <c r="AA239" s="8"/>
    </row>
    <row r="240" spans="1:27" ht="15">
      <c r="A240" s="15"/>
      <c r="B240" s="36"/>
      <c r="C240" s="15"/>
      <c r="D240" s="37"/>
      <c r="E240" s="15"/>
      <c r="F240" s="15"/>
      <c r="G240" s="15"/>
      <c r="H240" s="15"/>
      <c r="I240" s="15"/>
      <c r="J240" s="39"/>
      <c r="K240" s="40"/>
      <c r="L240" s="8"/>
      <c r="M240" s="8"/>
      <c r="N240" s="8"/>
      <c r="O240" s="8"/>
      <c r="P240" s="8"/>
      <c r="Q240" s="8"/>
      <c r="R240" s="8"/>
      <c r="S240" s="8"/>
      <c r="T240" s="8"/>
      <c r="U240" s="8"/>
      <c r="V240" s="8"/>
      <c r="W240" s="8"/>
      <c r="X240" s="8"/>
      <c r="Y240" s="8"/>
      <c r="Z240" s="8"/>
      <c r="AA240" s="8"/>
    </row>
    <row r="241" spans="1:27" ht="15">
      <c r="A241" s="15"/>
      <c r="B241" s="36"/>
      <c r="C241" s="15"/>
      <c r="D241" s="37"/>
      <c r="E241" s="15"/>
      <c r="F241" s="15"/>
      <c r="G241" s="15"/>
      <c r="H241" s="15"/>
      <c r="I241" s="15"/>
      <c r="J241" s="39"/>
      <c r="K241" s="40"/>
      <c r="L241" s="8"/>
      <c r="M241" s="8"/>
      <c r="N241" s="8"/>
      <c r="O241" s="8"/>
      <c r="P241" s="8"/>
      <c r="Q241" s="8"/>
      <c r="R241" s="8"/>
      <c r="S241" s="8"/>
      <c r="T241" s="8"/>
      <c r="U241" s="8"/>
      <c r="V241" s="8"/>
      <c r="W241" s="8"/>
      <c r="X241" s="8"/>
      <c r="Y241" s="8"/>
      <c r="Z241" s="8"/>
      <c r="AA241" s="8"/>
    </row>
    <row r="242" spans="1:27" ht="15">
      <c r="A242" s="15"/>
      <c r="B242" s="36"/>
      <c r="C242" s="15"/>
      <c r="D242" s="37"/>
      <c r="E242" s="15"/>
      <c r="F242" s="15"/>
      <c r="G242" s="15"/>
      <c r="H242" s="15"/>
      <c r="I242" s="15"/>
      <c r="J242" s="39"/>
      <c r="K242" s="40"/>
      <c r="L242" s="8"/>
      <c r="M242" s="8"/>
      <c r="N242" s="8"/>
      <c r="O242" s="8"/>
      <c r="P242" s="8"/>
      <c r="Q242" s="8"/>
      <c r="R242" s="8"/>
      <c r="S242" s="8"/>
      <c r="T242" s="8"/>
      <c r="U242" s="8"/>
      <c r="V242" s="8"/>
      <c r="W242" s="8"/>
      <c r="X242" s="8"/>
      <c r="Y242" s="8"/>
      <c r="Z242" s="8"/>
      <c r="AA242" s="8"/>
    </row>
    <row r="243" spans="1:27" ht="15">
      <c r="A243" s="15"/>
      <c r="B243" s="36"/>
      <c r="C243" s="15"/>
      <c r="D243" s="37"/>
      <c r="E243" s="15"/>
      <c r="F243" s="15"/>
      <c r="G243" s="15"/>
      <c r="H243" s="15"/>
      <c r="I243" s="15"/>
      <c r="J243" s="39"/>
      <c r="K243" s="40"/>
      <c r="L243" s="8"/>
      <c r="M243" s="8"/>
      <c r="N243" s="8"/>
      <c r="O243" s="8"/>
      <c r="P243" s="8"/>
      <c r="Q243" s="8"/>
      <c r="R243" s="8"/>
      <c r="S243" s="8"/>
      <c r="T243" s="8"/>
      <c r="U243" s="8"/>
      <c r="V243" s="8"/>
      <c r="W243" s="8"/>
      <c r="X243" s="8"/>
      <c r="Y243" s="8"/>
      <c r="Z243" s="8"/>
      <c r="AA243" s="8"/>
    </row>
    <row r="244" spans="1:27" ht="15">
      <c r="A244" s="15"/>
      <c r="B244" s="36"/>
      <c r="C244" s="15"/>
      <c r="D244" s="37"/>
      <c r="E244" s="15"/>
      <c r="F244" s="15"/>
      <c r="G244" s="15"/>
      <c r="H244" s="15"/>
      <c r="I244" s="15"/>
      <c r="J244" s="39"/>
      <c r="K244" s="40"/>
      <c r="L244" s="8"/>
      <c r="M244" s="8"/>
      <c r="N244" s="8"/>
      <c r="O244" s="8"/>
      <c r="P244" s="8"/>
      <c r="Q244" s="8"/>
      <c r="R244" s="8"/>
      <c r="S244" s="8"/>
      <c r="T244" s="8"/>
      <c r="U244" s="8"/>
      <c r="V244" s="8"/>
      <c r="W244" s="8"/>
      <c r="X244" s="8"/>
      <c r="Y244" s="8"/>
      <c r="Z244" s="8"/>
      <c r="AA244" s="8"/>
    </row>
    <row r="245" spans="1:27" ht="15">
      <c r="A245" s="15"/>
      <c r="B245" s="36"/>
      <c r="C245" s="15"/>
      <c r="D245" s="37"/>
      <c r="E245" s="15"/>
      <c r="F245" s="15"/>
      <c r="G245" s="15"/>
      <c r="H245" s="15"/>
      <c r="I245" s="15"/>
      <c r="J245" s="39"/>
      <c r="K245" s="40"/>
      <c r="L245" s="8"/>
      <c r="M245" s="8"/>
      <c r="N245" s="8"/>
      <c r="O245" s="8"/>
      <c r="P245" s="8"/>
      <c r="Q245" s="8"/>
      <c r="R245" s="8"/>
      <c r="S245" s="8"/>
      <c r="T245" s="8"/>
      <c r="U245" s="8"/>
      <c r="V245" s="8"/>
      <c r="W245" s="8"/>
      <c r="X245" s="8"/>
      <c r="Y245" s="8"/>
      <c r="Z245" s="8"/>
      <c r="AA245" s="8"/>
    </row>
    <row r="246" spans="1:27" ht="15">
      <c r="A246" s="15"/>
      <c r="B246" s="36"/>
      <c r="C246" s="15"/>
      <c r="D246" s="37"/>
      <c r="E246" s="15"/>
      <c r="F246" s="15"/>
      <c r="G246" s="15"/>
      <c r="H246" s="15"/>
      <c r="I246" s="15"/>
      <c r="J246" s="39"/>
      <c r="K246" s="40"/>
      <c r="L246" s="8"/>
      <c r="M246" s="8"/>
      <c r="N246" s="8"/>
      <c r="O246" s="8"/>
      <c r="P246" s="8"/>
      <c r="Q246" s="8"/>
      <c r="R246" s="8"/>
      <c r="S246" s="8"/>
      <c r="T246" s="8"/>
      <c r="U246" s="8"/>
      <c r="V246" s="8"/>
      <c r="W246" s="8"/>
      <c r="X246" s="8"/>
      <c r="Y246" s="8"/>
      <c r="Z246" s="8"/>
      <c r="AA246" s="8"/>
    </row>
    <row r="247" spans="1:27" ht="15">
      <c r="A247" s="15"/>
      <c r="B247" s="36"/>
      <c r="C247" s="15"/>
      <c r="D247" s="37"/>
      <c r="E247" s="15"/>
      <c r="F247" s="15"/>
      <c r="G247" s="15"/>
      <c r="H247" s="15"/>
      <c r="I247" s="15"/>
      <c r="J247" s="39"/>
      <c r="K247" s="40"/>
      <c r="L247" s="8"/>
      <c r="M247" s="8"/>
      <c r="N247" s="8"/>
      <c r="O247" s="8"/>
      <c r="P247" s="8"/>
      <c r="Q247" s="8"/>
      <c r="R247" s="8"/>
      <c r="S247" s="8"/>
      <c r="T247" s="8"/>
      <c r="U247" s="8"/>
      <c r="V247" s="8"/>
      <c r="W247" s="8"/>
      <c r="X247" s="8"/>
      <c r="Y247" s="8"/>
      <c r="Z247" s="8"/>
      <c r="AA247" s="8"/>
    </row>
    <row r="248" spans="1:27" ht="15">
      <c r="A248" s="15"/>
      <c r="B248" s="36"/>
      <c r="C248" s="15"/>
      <c r="D248" s="37"/>
      <c r="E248" s="15"/>
      <c r="F248" s="15"/>
      <c r="G248" s="15"/>
      <c r="H248" s="15"/>
      <c r="I248" s="15"/>
      <c r="J248" s="39"/>
      <c r="K248" s="40"/>
      <c r="L248" s="8"/>
      <c r="M248" s="8"/>
      <c r="N248" s="8"/>
      <c r="O248" s="8"/>
      <c r="P248" s="8"/>
      <c r="Q248" s="8"/>
      <c r="R248" s="8"/>
      <c r="S248" s="8"/>
      <c r="T248" s="8"/>
      <c r="U248" s="8"/>
      <c r="V248" s="8"/>
      <c r="W248" s="8"/>
      <c r="X248" s="8"/>
      <c r="Y248" s="8"/>
      <c r="Z248" s="8"/>
      <c r="AA248" s="8"/>
    </row>
    <row r="249" spans="1:27" ht="15">
      <c r="A249" s="15"/>
      <c r="B249" s="36"/>
      <c r="C249" s="15"/>
      <c r="D249" s="37"/>
      <c r="E249" s="15"/>
      <c r="F249" s="15"/>
      <c r="G249" s="15"/>
      <c r="H249" s="15"/>
      <c r="I249" s="15"/>
      <c r="J249" s="39"/>
      <c r="K249" s="40"/>
      <c r="L249" s="8"/>
      <c r="M249" s="8"/>
      <c r="N249" s="8"/>
      <c r="O249" s="8"/>
      <c r="P249" s="8"/>
      <c r="Q249" s="8"/>
      <c r="R249" s="8"/>
      <c r="S249" s="8"/>
      <c r="T249" s="8"/>
      <c r="U249" s="8"/>
      <c r="V249" s="8"/>
      <c r="W249" s="8"/>
      <c r="X249" s="8"/>
      <c r="Y249" s="8"/>
      <c r="Z249" s="8"/>
      <c r="AA249" s="8"/>
    </row>
    <row r="250" spans="1:27" ht="15">
      <c r="A250" s="15"/>
      <c r="B250" s="36"/>
      <c r="C250" s="15"/>
      <c r="D250" s="37"/>
      <c r="E250" s="15"/>
      <c r="F250" s="15"/>
      <c r="G250" s="15"/>
      <c r="H250" s="15"/>
      <c r="I250" s="15"/>
      <c r="J250" s="39"/>
      <c r="K250" s="40"/>
      <c r="L250" s="8"/>
      <c r="M250" s="8"/>
      <c r="N250" s="8"/>
      <c r="O250" s="8"/>
      <c r="P250" s="8"/>
      <c r="Q250" s="8"/>
      <c r="R250" s="8"/>
      <c r="S250" s="8"/>
      <c r="T250" s="8"/>
      <c r="U250" s="8"/>
      <c r="V250" s="8"/>
      <c r="W250" s="8"/>
      <c r="X250" s="8"/>
      <c r="Y250" s="8"/>
      <c r="Z250" s="8"/>
      <c r="AA250" s="8"/>
    </row>
    <row r="251" spans="1:27" ht="15">
      <c r="A251" s="15"/>
      <c r="B251" s="36"/>
      <c r="C251" s="15"/>
      <c r="D251" s="37"/>
      <c r="E251" s="15"/>
      <c r="F251" s="15"/>
      <c r="G251" s="15"/>
      <c r="H251" s="15"/>
      <c r="I251" s="15"/>
      <c r="J251" s="39"/>
      <c r="K251" s="40"/>
      <c r="L251" s="8"/>
      <c r="M251" s="8"/>
      <c r="N251" s="8"/>
      <c r="O251" s="8"/>
      <c r="P251" s="8"/>
      <c r="Q251" s="8"/>
      <c r="R251" s="8"/>
      <c r="S251" s="8"/>
      <c r="T251" s="8"/>
      <c r="U251" s="8"/>
      <c r="V251" s="8"/>
      <c r="W251" s="8"/>
      <c r="X251" s="8"/>
      <c r="Y251" s="8"/>
      <c r="Z251" s="8"/>
      <c r="AA251" s="8"/>
    </row>
    <row r="252" spans="1:27" ht="15">
      <c r="A252" s="15"/>
      <c r="B252" s="36"/>
      <c r="C252" s="15"/>
      <c r="D252" s="37"/>
      <c r="E252" s="15"/>
      <c r="F252" s="15"/>
      <c r="G252" s="15"/>
      <c r="H252" s="15"/>
      <c r="I252" s="15"/>
      <c r="J252" s="39"/>
      <c r="K252" s="40"/>
      <c r="L252" s="8"/>
      <c r="M252" s="8"/>
      <c r="N252" s="8"/>
      <c r="O252" s="8"/>
      <c r="P252" s="8"/>
      <c r="Q252" s="8"/>
      <c r="R252" s="8"/>
      <c r="S252" s="8"/>
      <c r="T252" s="8"/>
      <c r="U252" s="8"/>
      <c r="V252" s="8"/>
      <c r="W252" s="8"/>
      <c r="X252" s="8"/>
      <c r="Y252" s="8"/>
      <c r="Z252" s="8"/>
      <c r="AA252" s="8"/>
    </row>
    <row r="253" spans="1:27" ht="15">
      <c r="A253" s="15"/>
      <c r="B253" s="36"/>
      <c r="C253" s="15"/>
      <c r="D253" s="37"/>
      <c r="E253" s="15"/>
      <c r="F253" s="15"/>
      <c r="G253" s="15"/>
      <c r="H253" s="15"/>
      <c r="I253" s="15"/>
      <c r="J253" s="39"/>
      <c r="K253" s="40"/>
      <c r="L253" s="8"/>
      <c r="M253" s="8"/>
      <c r="N253" s="8"/>
      <c r="O253" s="8"/>
      <c r="P253" s="8"/>
      <c r="Q253" s="8"/>
      <c r="R253" s="8"/>
      <c r="S253" s="8"/>
      <c r="T253" s="8"/>
      <c r="U253" s="8"/>
      <c r="V253" s="8"/>
      <c r="W253" s="8"/>
      <c r="X253" s="8"/>
      <c r="Y253" s="8"/>
      <c r="Z253" s="8"/>
      <c r="AA253" s="8"/>
    </row>
    <row r="254" spans="1:27" ht="15">
      <c r="A254" s="15"/>
      <c r="B254" s="36"/>
      <c r="C254" s="15"/>
      <c r="D254" s="37"/>
      <c r="E254" s="15"/>
      <c r="F254" s="15"/>
      <c r="G254" s="15"/>
      <c r="H254" s="15"/>
      <c r="I254" s="15"/>
      <c r="J254" s="39"/>
      <c r="K254" s="40"/>
      <c r="L254" s="8"/>
      <c r="M254" s="8"/>
      <c r="N254" s="8"/>
      <c r="O254" s="8"/>
      <c r="P254" s="8"/>
      <c r="Q254" s="8"/>
      <c r="R254" s="8"/>
      <c r="S254" s="8"/>
      <c r="T254" s="8"/>
      <c r="U254" s="8"/>
      <c r="V254" s="8"/>
      <c r="W254" s="8"/>
      <c r="X254" s="8"/>
      <c r="Y254" s="8"/>
      <c r="Z254" s="8"/>
      <c r="AA254" s="8"/>
    </row>
    <row r="255" spans="1:27" ht="15">
      <c r="A255" s="15"/>
      <c r="B255" s="36"/>
      <c r="C255" s="15"/>
      <c r="D255" s="37"/>
      <c r="E255" s="15"/>
      <c r="F255" s="15"/>
      <c r="G255" s="15"/>
      <c r="H255" s="15"/>
      <c r="I255" s="15"/>
      <c r="J255" s="39"/>
      <c r="K255" s="40"/>
      <c r="L255" s="8"/>
      <c r="M255" s="8"/>
      <c r="N255" s="8"/>
      <c r="O255" s="8"/>
      <c r="P255" s="8"/>
      <c r="Q255" s="8"/>
      <c r="R255" s="8"/>
      <c r="S255" s="8"/>
      <c r="T255" s="8"/>
      <c r="U255" s="8"/>
      <c r="V255" s="8"/>
      <c r="W255" s="8"/>
      <c r="X255" s="8"/>
      <c r="Y255" s="8"/>
      <c r="Z255" s="8"/>
      <c r="AA255" s="8"/>
    </row>
    <row r="256" spans="1:27" ht="15">
      <c r="A256" s="15"/>
      <c r="B256" s="36"/>
      <c r="C256" s="15"/>
      <c r="D256" s="37"/>
      <c r="E256" s="15"/>
      <c r="F256" s="15"/>
      <c r="G256" s="15"/>
      <c r="H256" s="15"/>
      <c r="I256" s="15"/>
      <c r="J256" s="39"/>
      <c r="K256" s="40"/>
      <c r="L256" s="8"/>
      <c r="M256" s="8"/>
      <c r="N256" s="8"/>
      <c r="O256" s="8"/>
      <c r="P256" s="8"/>
      <c r="Q256" s="8"/>
      <c r="R256" s="8"/>
      <c r="S256" s="8"/>
      <c r="T256" s="8"/>
      <c r="U256" s="8"/>
      <c r="V256" s="8"/>
      <c r="W256" s="8"/>
      <c r="X256" s="8"/>
      <c r="Y256" s="8"/>
      <c r="Z256" s="8"/>
      <c r="AA256" s="8"/>
    </row>
    <row r="257" spans="1:27" ht="15">
      <c r="A257" s="15"/>
      <c r="B257" s="36"/>
      <c r="C257" s="15"/>
      <c r="D257" s="37"/>
      <c r="E257" s="15"/>
      <c r="F257" s="15"/>
      <c r="G257" s="15"/>
      <c r="H257" s="15"/>
      <c r="I257" s="15"/>
      <c r="J257" s="39"/>
      <c r="K257" s="40"/>
      <c r="L257" s="8"/>
      <c r="M257" s="8"/>
      <c r="N257" s="8"/>
      <c r="O257" s="8"/>
      <c r="P257" s="8"/>
      <c r="Q257" s="8"/>
      <c r="R257" s="8"/>
      <c r="S257" s="8"/>
      <c r="T257" s="8"/>
      <c r="U257" s="8"/>
      <c r="V257" s="8"/>
      <c r="W257" s="8"/>
      <c r="X257" s="8"/>
      <c r="Y257" s="8"/>
      <c r="Z257" s="8"/>
      <c r="AA257" s="8"/>
    </row>
    <row r="258" spans="1:27" ht="15">
      <c r="A258" s="15"/>
      <c r="B258" s="36"/>
      <c r="C258" s="15"/>
      <c r="D258" s="37"/>
      <c r="E258" s="15"/>
      <c r="F258" s="15"/>
      <c r="G258" s="15"/>
      <c r="H258" s="15"/>
      <c r="I258" s="15"/>
      <c r="J258" s="39"/>
      <c r="K258" s="40"/>
      <c r="L258" s="8"/>
      <c r="M258" s="8"/>
      <c r="N258" s="8"/>
      <c r="O258" s="8"/>
      <c r="P258" s="8"/>
      <c r="Q258" s="8"/>
      <c r="R258" s="8"/>
      <c r="S258" s="8"/>
      <c r="T258" s="8"/>
      <c r="U258" s="8"/>
      <c r="V258" s="8"/>
      <c r="W258" s="8"/>
      <c r="X258" s="8"/>
      <c r="Y258" s="8"/>
      <c r="Z258" s="8"/>
      <c r="AA258" s="8"/>
    </row>
    <row r="259" spans="1:27" ht="15">
      <c r="A259" s="15"/>
      <c r="B259" s="36"/>
      <c r="C259" s="15"/>
      <c r="D259" s="37"/>
      <c r="E259" s="15"/>
      <c r="F259" s="15"/>
      <c r="G259" s="15"/>
      <c r="H259" s="15"/>
      <c r="I259" s="15"/>
      <c r="J259" s="39"/>
      <c r="K259" s="40"/>
      <c r="L259" s="8"/>
      <c r="M259" s="8"/>
      <c r="N259" s="8"/>
      <c r="O259" s="8"/>
      <c r="P259" s="8"/>
      <c r="Q259" s="8"/>
      <c r="R259" s="8"/>
      <c r="S259" s="8"/>
      <c r="T259" s="8"/>
      <c r="U259" s="8"/>
      <c r="V259" s="8"/>
      <c r="W259" s="8"/>
      <c r="X259" s="8"/>
      <c r="Y259" s="8"/>
      <c r="Z259" s="8"/>
      <c r="AA259" s="8"/>
    </row>
    <row r="260" spans="1:27" ht="15">
      <c r="A260" s="15"/>
      <c r="B260" s="36"/>
      <c r="C260" s="15"/>
      <c r="D260" s="37"/>
      <c r="E260" s="15"/>
      <c r="F260" s="15"/>
      <c r="G260" s="15"/>
      <c r="H260" s="15"/>
      <c r="I260" s="15"/>
      <c r="J260" s="39"/>
      <c r="K260" s="40"/>
      <c r="L260" s="8"/>
      <c r="M260" s="8"/>
      <c r="N260" s="8"/>
      <c r="O260" s="8"/>
      <c r="P260" s="8"/>
      <c r="Q260" s="8"/>
      <c r="R260" s="8"/>
      <c r="S260" s="8"/>
      <c r="T260" s="8"/>
      <c r="U260" s="8"/>
      <c r="V260" s="8"/>
      <c r="W260" s="8"/>
      <c r="X260" s="8"/>
      <c r="Y260" s="8"/>
      <c r="Z260" s="8"/>
      <c r="AA260" s="8"/>
    </row>
    <row r="261" spans="1:27" ht="15">
      <c r="A261" s="15"/>
      <c r="B261" s="36"/>
      <c r="C261" s="15"/>
      <c r="D261" s="37"/>
      <c r="E261" s="15"/>
      <c r="F261" s="15"/>
      <c r="G261" s="15"/>
      <c r="H261" s="15"/>
      <c r="I261" s="15"/>
      <c r="J261" s="39"/>
      <c r="K261" s="40"/>
      <c r="L261" s="8"/>
      <c r="M261" s="8"/>
      <c r="N261" s="8"/>
      <c r="O261" s="8"/>
      <c r="P261" s="8"/>
      <c r="Q261" s="8"/>
      <c r="R261" s="8"/>
      <c r="S261" s="8"/>
      <c r="T261" s="8"/>
      <c r="U261" s="8"/>
      <c r="V261" s="8"/>
      <c r="W261" s="8"/>
      <c r="X261" s="8"/>
      <c r="Y261" s="8"/>
      <c r="Z261" s="8"/>
      <c r="AA261" s="8"/>
    </row>
    <row r="262" spans="1:27" ht="15">
      <c r="A262" s="15"/>
      <c r="B262" s="36"/>
      <c r="C262" s="15"/>
      <c r="D262" s="37"/>
      <c r="E262" s="15"/>
      <c r="F262" s="15"/>
      <c r="G262" s="15"/>
      <c r="H262" s="15"/>
      <c r="I262" s="15"/>
      <c r="J262" s="39"/>
      <c r="K262" s="40"/>
      <c r="L262" s="8"/>
      <c r="M262" s="8"/>
      <c r="N262" s="8"/>
      <c r="O262" s="8"/>
      <c r="P262" s="8"/>
      <c r="Q262" s="8"/>
      <c r="R262" s="8"/>
      <c r="S262" s="8"/>
      <c r="T262" s="8"/>
      <c r="U262" s="8"/>
      <c r="V262" s="8"/>
      <c r="W262" s="8"/>
      <c r="X262" s="8"/>
      <c r="Y262" s="8"/>
      <c r="Z262" s="8"/>
      <c r="AA262" s="8"/>
    </row>
    <row r="263" spans="1:27" ht="15">
      <c r="A263" s="15"/>
      <c r="B263" s="36"/>
      <c r="C263" s="15"/>
      <c r="D263" s="37"/>
      <c r="E263" s="15"/>
      <c r="F263" s="15"/>
      <c r="G263" s="15"/>
      <c r="H263" s="15"/>
      <c r="I263" s="15"/>
      <c r="J263" s="39"/>
      <c r="K263" s="40"/>
      <c r="L263" s="8"/>
      <c r="M263" s="8"/>
      <c r="N263" s="8"/>
      <c r="O263" s="8"/>
      <c r="P263" s="8"/>
      <c r="Q263" s="8"/>
      <c r="R263" s="8"/>
      <c r="S263" s="8"/>
      <c r="T263" s="8"/>
      <c r="U263" s="8"/>
      <c r="V263" s="8"/>
      <c r="W263" s="8"/>
      <c r="X263" s="8"/>
      <c r="Y263" s="8"/>
      <c r="Z263" s="8"/>
      <c r="AA263" s="8"/>
    </row>
    <row r="264" spans="1:27" ht="15">
      <c r="A264" s="15"/>
      <c r="B264" s="36"/>
      <c r="C264" s="15"/>
      <c r="D264" s="37"/>
      <c r="E264" s="15"/>
      <c r="F264" s="15"/>
      <c r="G264" s="15"/>
      <c r="H264" s="15"/>
      <c r="I264" s="15"/>
      <c r="J264" s="39"/>
      <c r="K264" s="40"/>
      <c r="L264" s="8"/>
      <c r="M264" s="8"/>
      <c r="N264" s="8"/>
      <c r="O264" s="8"/>
      <c r="P264" s="8"/>
      <c r="Q264" s="8"/>
      <c r="R264" s="8"/>
      <c r="S264" s="8"/>
      <c r="T264" s="8"/>
      <c r="U264" s="8"/>
      <c r="V264" s="8"/>
      <c r="W264" s="8"/>
      <c r="X264" s="8"/>
      <c r="Y264" s="8"/>
      <c r="Z264" s="8"/>
      <c r="AA264" s="8"/>
    </row>
    <row r="265" spans="1:27" ht="15">
      <c r="A265" s="15"/>
      <c r="B265" s="36"/>
      <c r="C265" s="15"/>
      <c r="D265" s="37"/>
      <c r="E265" s="15"/>
      <c r="F265" s="15"/>
      <c r="G265" s="15"/>
      <c r="H265" s="15"/>
      <c r="I265" s="15"/>
      <c r="J265" s="39"/>
      <c r="K265" s="40"/>
      <c r="L265" s="8"/>
      <c r="M265" s="8"/>
      <c r="N265" s="8"/>
      <c r="O265" s="8"/>
      <c r="P265" s="8"/>
      <c r="Q265" s="8"/>
      <c r="R265" s="8"/>
      <c r="S265" s="8"/>
      <c r="T265" s="8"/>
      <c r="U265" s="8"/>
      <c r="V265" s="8"/>
      <c r="W265" s="8"/>
      <c r="X265" s="8"/>
      <c r="Y265" s="8"/>
      <c r="Z265" s="8"/>
      <c r="AA265" s="8"/>
    </row>
    <row r="266" spans="1:27" ht="15">
      <c r="A266" s="15"/>
      <c r="B266" s="36"/>
      <c r="C266" s="15"/>
      <c r="D266" s="37"/>
      <c r="E266" s="15"/>
      <c r="F266" s="15"/>
      <c r="G266" s="15"/>
      <c r="H266" s="15"/>
      <c r="I266" s="15"/>
      <c r="J266" s="39"/>
      <c r="K266" s="40"/>
      <c r="L266" s="8"/>
      <c r="M266" s="8"/>
      <c r="N266" s="8"/>
      <c r="O266" s="8"/>
      <c r="P266" s="8"/>
      <c r="Q266" s="8"/>
      <c r="R266" s="8"/>
      <c r="S266" s="8"/>
      <c r="T266" s="8"/>
      <c r="U266" s="8"/>
      <c r="V266" s="8"/>
      <c r="W266" s="8"/>
      <c r="X266" s="8"/>
      <c r="Y266" s="8"/>
      <c r="Z266" s="8"/>
      <c r="AA266" s="8"/>
    </row>
    <row r="267" spans="1:27" ht="15">
      <c r="A267" s="15"/>
      <c r="B267" s="36"/>
      <c r="C267" s="15"/>
      <c r="D267" s="37"/>
      <c r="E267" s="15"/>
      <c r="F267" s="15"/>
      <c r="G267" s="15"/>
      <c r="H267" s="15"/>
      <c r="I267" s="15"/>
      <c r="J267" s="39"/>
      <c r="K267" s="40"/>
      <c r="L267" s="8"/>
      <c r="M267" s="8"/>
      <c r="N267" s="8"/>
      <c r="O267" s="8"/>
      <c r="P267" s="8"/>
      <c r="Q267" s="8"/>
      <c r="R267" s="8"/>
      <c r="S267" s="8"/>
      <c r="T267" s="8"/>
      <c r="U267" s="8"/>
      <c r="V267" s="8"/>
      <c r="W267" s="8"/>
      <c r="X267" s="8"/>
      <c r="Y267" s="8"/>
      <c r="Z267" s="8"/>
      <c r="AA267" s="8"/>
    </row>
    <row r="268" spans="1:27" ht="15">
      <c r="A268" s="15"/>
      <c r="B268" s="36"/>
      <c r="C268" s="15"/>
      <c r="D268" s="37"/>
      <c r="E268" s="15"/>
      <c r="F268" s="15"/>
      <c r="G268" s="15"/>
      <c r="H268" s="15"/>
      <c r="I268" s="15"/>
      <c r="J268" s="39"/>
      <c r="K268" s="40"/>
      <c r="L268" s="8"/>
      <c r="M268" s="8"/>
      <c r="N268" s="8"/>
      <c r="O268" s="8"/>
      <c r="P268" s="8"/>
      <c r="Q268" s="8"/>
      <c r="R268" s="8"/>
      <c r="S268" s="8"/>
      <c r="T268" s="8"/>
      <c r="U268" s="8"/>
      <c r="V268" s="8"/>
      <c r="W268" s="8"/>
      <c r="X268" s="8"/>
      <c r="Y268" s="8"/>
      <c r="Z268" s="8"/>
      <c r="AA268" s="8"/>
    </row>
    <row r="269" spans="1:27" ht="15">
      <c r="A269" s="15"/>
      <c r="B269" s="36"/>
      <c r="C269" s="15"/>
      <c r="D269" s="37"/>
      <c r="E269" s="15"/>
      <c r="F269" s="15"/>
      <c r="G269" s="15"/>
      <c r="H269" s="15"/>
      <c r="I269" s="15"/>
      <c r="J269" s="39"/>
      <c r="K269" s="40"/>
      <c r="L269" s="8"/>
      <c r="M269" s="8"/>
      <c r="N269" s="8"/>
      <c r="O269" s="8"/>
      <c r="P269" s="8"/>
      <c r="Q269" s="8"/>
      <c r="R269" s="8"/>
      <c r="S269" s="8"/>
      <c r="T269" s="8"/>
      <c r="U269" s="8"/>
      <c r="V269" s="8"/>
      <c r="W269" s="8"/>
      <c r="X269" s="8"/>
      <c r="Y269" s="8"/>
      <c r="Z269" s="8"/>
      <c r="AA269" s="8"/>
    </row>
    <row r="270" spans="1:27" ht="15">
      <c r="A270" s="15"/>
      <c r="B270" s="36"/>
      <c r="C270" s="15"/>
      <c r="D270" s="37"/>
      <c r="E270" s="15"/>
      <c r="F270" s="15"/>
      <c r="G270" s="15"/>
      <c r="H270" s="15"/>
      <c r="I270" s="15"/>
      <c r="J270" s="39"/>
      <c r="K270" s="40"/>
      <c r="L270" s="8"/>
      <c r="M270" s="8"/>
      <c r="N270" s="8"/>
      <c r="O270" s="8"/>
      <c r="P270" s="8"/>
      <c r="Q270" s="8"/>
      <c r="R270" s="8"/>
      <c r="S270" s="8"/>
      <c r="T270" s="8"/>
      <c r="U270" s="8"/>
      <c r="V270" s="8"/>
      <c r="W270" s="8"/>
      <c r="X270" s="8"/>
      <c r="Y270" s="8"/>
      <c r="Z270" s="8"/>
      <c r="AA270" s="8"/>
    </row>
    <row r="271" spans="1:27" ht="15">
      <c r="A271" s="15"/>
      <c r="B271" s="36"/>
      <c r="C271" s="15"/>
      <c r="D271" s="37"/>
      <c r="E271" s="15"/>
      <c r="F271" s="15"/>
      <c r="G271" s="15"/>
      <c r="H271" s="15"/>
      <c r="I271" s="15"/>
      <c r="J271" s="39"/>
      <c r="K271" s="40"/>
      <c r="L271" s="8"/>
      <c r="M271" s="8"/>
      <c r="N271" s="8"/>
      <c r="O271" s="8"/>
      <c r="P271" s="8"/>
      <c r="Q271" s="8"/>
      <c r="R271" s="8"/>
      <c r="S271" s="8"/>
      <c r="T271" s="8"/>
      <c r="U271" s="8"/>
      <c r="V271" s="8"/>
      <c r="W271" s="8"/>
      <c r="X271" s="8"/>
      <c r="Y271" s="8"/>
      <c r="Z271" s="8"/>
      <c r="AA271" s="8"/>
    </row>
    <row r="272" spans="1:27" ht="15">
      <c r="A272" s="15"/>
      <c r="B272" s="36"/>
      <c r="C272" s="15"/>
      <c r="D272" s="37"/>
      <c r="E272" s="15"/>
      <c r="F272" s="15"/>
      <c r="G272" s="15"/>
      <c r="H272" s="15"/>
      <c r="I272" s="15"/>
      <c r="J272" s="39"/>
      <c r="K272" s="40"/>
      <c r="L272" s="8"/>
      <c r="M272" s="8"/>
      <c r="N272" s="8"/>
      <c r="O272" s="8"/>
      <c r="P272" s="8"/>
      <c r="Q272" s="8"/>
      <c r="R272" s="8"/>
      <c r="S272" s="8"/>
      <c r="T272" s="8"/>
      <c r="U272" s="8"/>
      <c r="V272" s="8"/>
      <c r="W272" s="8"/>
      <c r="X272" s="8"/>
      <c r="Y272" s="8"/>
      <c r="Z272" s="8"/>
      <c r="AA272" s="8"/>
    </row>
    <row r="273" spans="1:27" ht="15">
      <c r="A273" s="15"/>
      <c r="B273" s="36"/>
      <c r="C273" s="15"/>
      <c r="D273" s="37"/>
      <c r="E273" s="15"/>
      <c r="F273" s="15"/>
      <c r="G273" s="15"/>
      <c r="H273" s="15"/>
      <c r="I273" s="15"/>
      <c r="J273" s="39"/>
      <c r="K273" s="40"/>
      <c r="L273" s="8"/>
      <c r="M273" s="8"/>
      <c r="N273" s="8"/>
      <c r="O273" s="8"/>
      <c r="P273" s="8"/>
      <c r="Q273" s="8"/>
      <c r="R273" s="8"/>
      <c r="S273" s="8"/>
      <c r="T273" s="8"/>
      <c r="U273" s="8"/>
      <c r="V273" s="8"/>
      <c r="W273" s="8"/>
      <c r="X273" s="8"/>
      <c r="Y273" s="8"/>
      <c r="Z273" s="8"/>
      <c r="AA273" s="8"/>
    </row>
    <row r="274" spans="1:27" ht="15">
      <c r="A274" s="15"/>
      <c r="B274" s="36"/>
      <c r="C274" s="15"/>
      <c r="D274" s="37"/>
      <c r="E274" s="15"/>
      <c r="F274" s="15"/>
      <c r="G274" s="15"/>
      <c r="H274" s="15"/>
      <c r="I274" s="15"/>
      <c r="J274" s="39"/>
      <c r="K274" s="40"/>
      <c r="L274" s="8"/>
      <c r="M274" s="8"/>
      <c r="N274" s="8"/>
      <c r="O274" s="8"/>
      <c r="P274" s="8"/>
      <c r="Q274" s="8"/>
      <c r="R274" s="8"/>
      <c r="S274" s="8"/>
      <c r="T274" s="8"/>
      <c r="U274" s="8"/>
      <c r="V274" s="8"/>
      <c r="W274" s="8"/>
      <c r="X274" s="8"/>
      <c r="Y274" s="8"/>
      <c r="Z274" s="8"/>
      <c r="AA274" s="8"/>
    </row>
    <row r="275" spans="1:27" ht="15">
      <c r="A275" s="15"/>
      <c r="B275" s="36"/>
      <c r="C275" s="15"/>
      <c r="D275" s="37"/>
      <c r="E275" s="15"/>
      <c r="F275" s="15"/>
      <c r="G275" s="15"/>
      <c r="H275" s="15"/>
      <c r="I275" s="15"/>
      <c r="J275" s="39"/>
      <c r="K275" s="40"/>
      <c r="L275" s="8"/>
      <c r="M275" s="8"/>
      <c r="N275" s="8"/>
      <c r="O275" s="8"/>
      <c r="P275" s="8"/>
      <c r="Q275" s="8"/>
      <c r="R275" s="8"/>
      <c r="S275" s="8"/>
      <c r="T275" s="8"/>
      <c r="U275" s="8"/>
      <c r="V275" s="8"/>
      <c r="W275" s="8"/>
      <c r="X275" s="8"/>
      <c r="Y275" s="8"/>
      <c r="Z275" s="8"/>
      <c r="AA275" s="8"/>
    </row>
    <row r="276" spans="1:27" ht="15">
      <c r="A276" s="15"/>
      <c r="B276" s="36"/>
      <c r="C276" s="15"/>
      <c r="D276" s="37"/>
      <c r="E276" s="15"/>
      <c r="F276" s="15"/>
      <c r="G276" s="15"/>
      <c r="H276" s="15"/>
      <c r="I276" s="15"/>
      <c r="J276" s="39"/>
      <c r="K276" s="40"/>
      <c r="L276" s="8"/>
      <c r="M276" s="8"/>
      <c r="N276" s="8"/>
      <c r="O276" s="8"/>
      <c r="P276" s="8"/>
      <c r="Q276" s="8"/>
      <c r="R276" s="8"/>
      <c r="S276" s="8"/>
      <c r="T276" s="8"/>
      <c r="U276" s="8"/>
      <c r="V276" s="8"/>
      <c r="W276" s="8"/>
      <c r="X276" s="8"/>
      <c r="Y276" s="8"/>
      <c r="Z276" s="8"/>
      <c r="AA276" s="8"/>
    </row>
    <row r="277" spans="1:27" ht="15">
      <c r="A277" s="15"/>
      <c r="B277" s="36"/>
      <c r="C277" s="15"/>
      <c r="D277" s="37"/>
      <c r="E277" s="15"/>
      <c r="F277" s="15"/>
      <c r="G277" s="15"/>
      <c r="H277" s="15"/>
      <c r="I277" s="15"/>
      <c r="J277" s="39"/>
      <c r="K277" s="40"/>
      <c r="L277" s="8"/>
      <c r="M277" s="8"/>
      <c r="N277" s="8"/>
      <c r="O277" s="8"/>
      <c r="P277" s="8"/>
      <c r="Q277" s="8"/>
      <c r="R277" s="8"/>
      <c r="S277" s="8"/>
      <c r="T277" s="8"/>
      <c r="U277" s="8"/>
      <c r="V277" s="8"/>
      <c r="W277" s="8"/>
      <c r="X277" s="8"/>
      <c r="Y277" s="8"/>
      <c r="Z277" s="8"/>
      <c r="AA277" s="8"/>
    </row>
    <row r="278" spans="1:27" ht="15">
      <c r="A278" s="15"/>
      <c r="B278" s="36"/>
      <c r="C278" s="15"/>
      <c r="D278" s="37"/>
      <c r="E278" s="15"/>
      <c r="F278" s="15"/>
      <c r="G278" s="15"/>
      <c r="H278" s="15"/>
      <c r="I278" s="15"/>
      <c r="J278" s="39"/>
      <c r="K278" s="40"/>
      <c r="L278" s="8"/>
      <c r="M278" s="8"/>
      <c r="N278" s="8"/>
      <c r="O278" s="8"/>
      <c r="P278" s="8"/>
      <c r="Q278" s="8"/>
      <c r="R278" s="8"/>
      <c r="S278" s="8"/>
      <c r="T278" s="8"/>
      <c r="U278" s="8"/>
      <c r="V278" s="8"/>
      <c r="W278" s="8"/>
      <c r="X278" s="8"/>
      <c r="Y278" s="8"/>
      <c r="Z278" s="8"/>
      <c r="AA278" s="8"/>
    </row>
    <row r="279" spans="1:27" ht="15">
      <c r="A279" s="15"/>
      <c r="B279" s="36"/>
      <c r="C279" s="15"/>
      <c r="D279" s="37"/>
      <c r="E279" s="15"/>
      <c r="F279" s="15"/>
      <c r="G279" s="15"/>
      <c r="H279" s="15"/>
      <c r="I279" s="15"/>
      <c r="J279" s="39"/>
      <c r="K279" s="40"/>
      <c r="L279" s="8"/>
      <c r="M279" s="8"/>
      <c r="N279" s="8"/>
      <c r="O279" s="8"/>
      <c r="P279" s="8"/>
      <c r="Q279" s="8"/>
      <c r="R279" s="8"/>
      <c r="S279" s="8"/>
      <c r="T279" s="8"/>
      <c r="U279" s="8"/>
      <c r="V279" s="8"/>
      <c r="W279" s="8"/>
      <c r="X279" s="8"/>
      <c r="Y279" s="8"/>
      <c r="Z279" s="8"/>
      <c r="AA279" s="8"/>
    </row>
    <row r="280" spans="1:27" ht="15">
      <c r="A280" s="15"/>
      <c r="B280" s="36"/>
      <c r="C280" s="15"/>
      <c r="D280" s="37"/>
      <c r="E280" s="15"/>
      <c r="F280" s="15"/>
      <c r="G280" s="15"/>
      <c r="H280" s="15"/>
      <c r="I280" s="15"/>
      <c r="J280" s="39"/>
      <c r="K280" s="40"/>
      <c r="L280" s="8"/>
      <c r="M280" s="8"/>
      <c r="N280" s="8"/>
      <c r="O280" s="8"/>
      <c r="P280" s="8"/>
      <c r="Q280" s="8"/>
      <c r="R280" s="8"/>
      <c r="S280" s="8"/>
      <c r="T280" s="8"/>
      <c r="U280" s="8"/>
      <c r="V280" s="8"/>
      <c r="W280" s="8"/>
      <c r="X280" s="8"/>
      <c r="Y280" s="8"/>
      <c r="Z280" s="8"/>
      <c r="AA280" s="8"/>
    </row>
    <row r="281" spans="1:27" ht="15">
      <c r="A281" s="15"/>
      <c r="B281" s="36"/>
      <c r="C281" s="15"/>
      <c r="D281" s="37"/>
      <c r="E281" s="15"/>
      <c r="F281" s="15"/>
      <c r="G281" s="15"/>
      <c r="H281" s="15"/>
      <c r="I281" s="15"/>
      <c r="J281" s="39"/>
      <c r="K281" s="40"/>
      <c r="L281" s="8"/>
      <c r="M281" s="8"/>
      <c r="N281" s="8"/>
      <c r="O281" s="8"/>
      <c r="P281" s="8"/>
      <c r="Q281" s="8"/>
      <c r="R281" s="8"/>
      <c r="S281" s="8"/>
      <c r="T281" s="8"/>
      <c r="U281" s="8"/>
      <c r="V281" s="8"/>
      <c r="W281" s="8"/>
      <c r="X281" s="8"/>
      <c r="Y281" s="8"/>
      <c r="Z281" s="8"/>
      <c r="AA281" s="8"/>
    </row>
    <row r="282" spans="1:27" ht="15">
      <c r="A282" s="15"/>
      <c r="B282" s="36"/>
      <c r="C282" s="15"/>
      <c r="D282" s="37"/>
      <c r="E282" s="15"/>
      <c r="F282" s="15"/>
      <c r="G282" s="15"/>
      <c r="H282" s="15"/>
      <c r="I282" s="15"/>
      <c r="J282" s="39"/>
      <c r="K282" s="40"/>
      <c r="L282" s="8"/>
      <c r="M282" s="8"/>
      <c r="N282" s="8"/>
      <c r="O282" s="8"/>
      <c r="P282" s="8"/>
      <c r="Q282" s="8"/>
      <c r="R282" s="8"/>
      <c r="S282" s="8"/>
      <c r="T282" s="8"/>
      <c r="U282" s="8"/>
      <c r="V282" s="8"/>
      <c r="W282" s="8"/>
      <c r="X282" s="8"/>
      <c r="Y282" s="8"/>
      <c r="Z282" s="8"/>
      <c r="AA282" s="8"/>
    </row>
    <row r="283" spans="1:27" ht="15">
      <c r="A283" s="15"/>
      <c r="B283" s="36"/>
      <c r="C283" s="15"/>
      <c r="D283" s="37"/>
      <c r="E283" s="15"/>
      <c r="F283" s="15"/>
      <c r="G283" s="15"/>
      <c r="H283" s="15"/>
      <c r="I283" s="15"/>
      <c r="J283" s="39"/>
      <c r="K283" s="40"/>
      <c r="L283" s="8"/>
      <c r="M283" s="8"/>
      <c r="N283" s="8"/>
      <c r="O283" s="8"/>
      <c r="P283" s="8"/>
      <c r="Q283" s="8"/>
      <c r="R283" s="8"/>
      <c r="S283" s="8"/>
      <c r="T283" s="8"/>
      <c r="U283" s="8"/>
      <c r="V283" s="8"/>
      <c r="W283" s="8"/>
      <c r="X283" s="8"/>
      <c r="Y283" s="8"/>
      <c r="Z283" s="8"/>
      <c r="AA283" s="8"/>
    </row>
    <row r="284" spans="1:27" ht="15">
      <c r="A284" s="15"/>
      <c r="B284" s="36"/>
      <c r="C284" s="15"/>
      <c r="D284" s="37"/>
      <c r="E284" s="15"/>
      <c r="F284" s="15"/>
      <c r="G284" s="15"/>
      <c r="H284" s="15"/>
      <c r="I284" s="15"/>
      <c r="J284" s="39"/>
      <c r="K284" s="40"/>
      <c r="L284" s="8"/>
      <c r="M284" s="8"/>
      <c r="N284" s="8"/>
      <c r="O284" s="8"/>
      <c r="P284" s="8"/>
      <c r="Q284" s="8"/>
      <c r="R284" s="8"/>
      <c r="S284" s="8"/>
      <c r="T284" s="8"/>
      <c r="U284" s="8"/>
      <c r="V284" s="8"/>
      <c r="W284" s="8"/>
      <c r="X284" s="8"/>
      <c r="Y284" s="8"/>
      <c r="Z284" s="8"/>
      <c r="AA284" s="8"/>
    </row>
    <row r="285" spans="1:27" ht="15">
      <c r="A285" s="15"/>
      <c r="B285" s="36"/>
      <c r="C285" s="15"/>
      <c r="D285" s="37"/>
      <c r="E285" s="15"/>
      <c r="F285" s="15"/>
      <c r="G285" s="15"/>
      <c r="H285" s="15"/>
      <c r="I285" s="15"/>
      <c r="J285" s="39"/>
      <c r="K285" s="40"/>
      <c r="L285" s="8"/>
      <c r="M285" s="8"/>
      <c r="N285" s="8"/>
      <c r="O285" s="8"/>
      <c r="P285" s="8"/>
      <c r="Q285" s="8"/>
      <c r="R285" s="8"/>
      <c r="S285" s="8"/>
      <c r="T285" s="8"/>
      <c r="U285" s="8"/>
      <c r="V285" s="8"/>
      <c r="W285" s="8"/>
      <c r="X285" s="8"/>
      <c r="Y285" s="8"/>
      <c r="Z285" s="8"/>
      <c r="AA285" s="8"/>
    </row>
    <row r="286" spans="1:27" ht="15">
      <c r="A286" s="15"/>
      <c r="B286" s="36"/>
      <c r="C286" s="15"/>
      <c r="D286" s="37"/>
      <c r="E286" s="15"/>
      <c r="F286" s="15"/>
      <c r="G286" s="15"/>
      <c r="H286" s="15"/>
      <c r="I286" s="15"/>
      <c r="J286" s="39"/>
      <c r="K286" s="40"/>
      <c r="L286" s="8"/>
      <c r="M286" s="8"/>
      <c r="N286" s="8"/>
      <c r="O286" s="8"/>
      <c r="P286" s="8"/>
      <c r="Q286" s="8"/>
      <c r="R286" s="8"/>
      <c r="S286" s="8"/>
      <c r="T286" s="8"/>
      <c r="U286" s="8"/>
      <c r="V286" s="8"/>
      <c r="W286" s="8"/>
      <c r="X286" s="8"/>
      <c r="Y286" s="8"/>
      <c r="Z286" s="8"/>
      <c r="AA286" s="8"/>
    </row>
    <row r="287" spans="1:27" ht="15">
      <c r="A287" s="15"/>
      <c r="B287" s="36"/>
      <c r="C287" s="15"/>
      <c r="D287" s="37"/>
      <c r="E287" s="15"/>
      <c r="F287" s="15"/>
      <c r="G287" s="15"/>
      <c r="H287" s="15"/>
      <c r="I287" s="15"/>
      <c r="J287" s="39"/>
      <c r="K287" s="40"/>
      <c r="L287" s="8"/>
      <c r="M287" s="8"/>
      <c r="N287" s="8"/>
      <c r="O287" s="8"/>
      <c r="P287" s="8"/>
      <c r="Q287" s="8"/>
      <c r="R287" s="8"/>
      <c r="S287" s="8"/>
      <c r="T287" s="8"/>
      <c r="U287" s="8"/>
      <c r="V287" s="8"/>
      <c r="W287" s="8"/>
      <c r="X287" s="8"/>
      <c r="Y287" s="8"/>
      <c r="Z287" s="8"/>
      <c r="AA287" s="8"/>
    </row>
    <row r="288" spans="1:27" ht="15">
      <c r="A288" s="15"/>
      <c r="B288" s="36"/>
      <c r="C288" s="15"/>
      <c r="D288" s="37"/>
      <c r="E288" s="15"/>
      <c r="F288" s="15"/>
      <c r="G288" s="15"/>
      <c r="H288" s="15"/>
      <c r="I288" s="15"/>
      <c r="J288" s="39"/>
      <c r="K288" s="40"/>
      <c r="L288" s="8"/>
      <c r="M288" s="8"/>
      <c r="N288" s="8"/>
      <c r="O288" s="8"/>
      <c r="P288" s="8"/>
      <c r="Q288" s="8"/>
      <c r="R288" s="8"/>
      <c r="S288" s="8"/>
      <c r="T288" s="8"/>
      <c r="U288" s="8"/>
      <c r="V288" s="8"/>
      <c r="W288" s="8"/>
      <c r="X288" s="8"/>
      <c r="Y288" s="8"/>
      <c r="Z288" s="8"/>
      <c r="AA288" s="8"/>
    </row>
    <row r="289" spans="1:27" ht="15">
      <c r="A289" s="15"/>
      <c r="B289" s="36"/>
      <c r="C289" s="15"/>
      <c r="D289" s="37"/>
      <c r="E289" s="15"/>
      <c r="F289" s="15"/>
      <c r="G289" s="15"/>
      <c r="H289" s="15"/>
      <c r="I289" s="15"/>
      <c r="J289" s="39"/>
      <c r="K289" s="40"/>
      <c r="L289" s="8"/>
      <c r="M289" s="8"/>
      <c r="N289" s="8"/>
      <c r="O289" s="8"/>
      <c r="P289" s="8"/>
      <c r="Q289" s="8"/>
      <c r="R289" s="8"/>
      <c r="S289" s="8"/>
      <c r="T289" s="8"/>
      <c r="U289" s="8"/>
      <c r="V289" s="8"/>
      <c r="W289" s="8"/>
      <c r="X289" s="8"/>
      <c r="Y289" s="8"/>
      <c r="Z289" s="8"/>
      <c r="AA289" s="8"/>
    </row>
    <row r="290" spans="1:27" ht="15">
      <c r="A290" s="15"/>
      <c r="B290" s="36"/>
      <c r="C290" s="15"/>
      <c r="D290" s="37"/>
      <c r="E290" s="15"/>
      <c r="F290" s="15"/>
      <c r="G290" s="15"/>
      <c r="H290" s="15"/>
      <c r="I290" s="15"/>
      <c r="J290" s="39"/>
      <c r="K290" s="40"/>
      <c r="L290" s="8"/>
      <c r="M290" s="8"/>
      <c r="N290" s="8"/>
      <c r="O290" s="8"/>
      <c r="P290" s="8"/>
      <c r="Q290" s="8"/>
      <c r="R290" s="8"/>
      <c r="S290" s="8"/>
      <c r="T290" s="8"/>
      <c r="U290" s="8"/>
      <c r="V290" s="8"/>
      <c r="W290" s="8"/>
      <c r="X290" s="8"/>
      <c r="Y290" s="8"/>
      <c r="Z290" s="8"/>
      <c r="AA290" s="8"/>
    </row>
    <row r="291" spans="1:27" ht="15">
      <c r="A291" s="15"/>
      <c r="B291" s="36"/>
      <c r="C291" s="15"/>
      <c r="D291" s="37"/>
      <c r="E291" s="15"/>
      <c r="F291" s="15"/>
      <c r="G291" s="15"/>
      <c r="H291" s="15"/>
      <c r="I291" s="15"/>
      <c r="J291" s="39"/>
      <c r="K291" s="40"/>
      <c r="L291" s="8"/>
      <c r="M291" s="8"/>
      <c r="N291" s="8"/>
      <c r="O291" s="8"/>
      <c r="P291" s="8"/>
      <c r="Q291" s="8"/>
      <c r="R291" s="8"/>
      <c r="S291" s="8"/>
      <c r="T291" s="8"/>
      <c r="U291" s="8"/>
      <c r="V291" s="8"/>
      <c r="W291" s="8"/>
      <c r="X291" s="8"/>
      <c r="Y291" s="8"/>
      <c r="Z291" s="8"/>
      <c r="AA291" s="8"/>
    </row>
    <row r="292" spans="1:27" ht="15">
      <c r="A292" s="15"/>
      <c r="B292" s="36"/>
      <c r="C292" s="15"/>
      <c r="D292" s="37"/>
      <c r="E292" s="15"/>
      <c r="F292" s="15"/>
      <c r="G292" s="15"/>
      <c r="H292" s="15"/>
      <c r="I292" s="15"/>
      <c r="J292" s="39"/>
      <c r="K292" s="40"/>
      <c r="L292" s="8"/>
      <c r="M292" s="8"/>
      <c r="N292" s="8"/>
      <c r="O292" s="8"/>
      <c r="P292" s="8"/>
      <c r="Q292" s="8"/>
      <c r="R292" s="8"/>
      <c r="S292" s="8"/>
      <c r="T292" s="8"/>
      <c r="U292" s="8"/>
      <c r="V292" s="8"/>
      <c r="W292" s="8"/>
      <c r="X292" s="8"/>
      <c r="Y292" s="8"/>
      <c r="Z292" s="8"/>
      <c r="AA292" s="8"/>
    </row>
    <row r="293" spans="1:27" ht="15">
      <c r="A293" s="15"/>
      <c r="B293" s="36"/>
      <c r="C293" s="15"/>
      <c r="D293" s="37"/>
      <c r="E293" s="15"/>
      <c r="F293" s="15"/>
      <c r="G293" s="15"/>
      <c r="H293" s="15"/>
      <c r="I293" s="15"/>
      <c r="J293" s="39"/>
      <c r="K293" s="40"/>
      <c r="L293" s="8"/>
      <c r="M293" s="8"/>
      <c r="N293" s="8"/>
      <c r="O293" s="8"/>
      <c r="P293" s="8"/>
      <c r="Q293" s="8"/>
      <c r="R293" s="8"/>
      <c r="S293" s="8"/>
      <c r="T293" s="8"/>
      <c r="U293" s="8"/>
      <c r="V293" s="8"/>
      <c r="W293" s="8"/>
      <c r="X293" s="8"/>
      <c r="Y293" s="8"/>
      <c r="Z293" s="8"/>
      <c r="AA293" s="8"/>
    </row>
    <row r="294" spans="1:27" ht="15">
      <c r="A294" s="15"/>
      <c r="B294" s="36"/>
      <c r="C294" s="15"/>
      <c r="D294" s="37"/>
      <c r="E294" s="15"/>
      <c r="F294" s="15"/>
      <c r="G294" s="15"/>
      <c r="H294" s="15"/>
      <c r="I294" s="15"/>
      <c r="J294" s="39"/>
      <c r="K294" s="40"/>
      <c r="L294" s="8"/>
      <c r="M294" s="8"/>
      <c r="N294" s="8"/>
      <c r="O294" s="8"/>
      <c r="P294" s="8"/>
      <c r="Q294" s="8"/>
      <c r="R294" s="8"/>
      <c r="S294" s="8"/>
      <c r="T294" s="8"/>
      <c r="U294" s="8"/>
      <c r="V294" s="8"/>
      <c r="W294" s="8"/>
      <c r="X294" s="8"/>
      <c r="Y294" s="8"/>
      <c r="Z294" s="8"/>
      <c r="AA294" s="8"/>
    </row>
    <row r="295" spans="1:27" ht="15">
      <c r="A295" s="15"/>
      <c r="B295" s="36"/>
      <c r="C295" s="15"/>
      <c r="D295" s="37"/>
      <c r="E295" s="15"/>
      <c r="F295" s="15"/>
      <c r="G295" s="15"/>
      <c r="H295" s="15"/>
      <c r="I295" s="15"/>
      <c r="J295" s="39"/>
      <c r="K295" s="40"/>
      <c r="L295" s="8"/>
      <c r="M295" s="8"/>
      <c r="N295" s="8"/>
      <c r="O295" s="8"/>
      <c r="P295" s="8"/>
      <c r="Q295" s="8"/>
      <c r="R295" s="8"/>
      <c r="S295" s="8"/>
      <c r="T295" s="8"/>
      <c r="U295" s="8"/>
      <c r="V295" s="8"/>
      <c r="W295" s="8"/>
      <c r="X295" s="8"/>
      <c r="Y295" s="8"/>
      <c r="Z295" s="8"/>
      <c r="AA295" s="8"/>
    </row>
    <row r="296" spans="1:27" ht="15">
      <c r="A296" s="15"/>
      <c r="B296" s="36"/>
      <c r="C296" s="15"/>
      <c r="D296" s="37"/>
      <c r="E296" s="15"/>
      <c r="F296" s="15"/>
      <c r="G296" s="15"/>
      <c r="H296" s="15"/>
      <c r="I296" s="15"/>
      <c r="J296" s="39"/>
      <c r="K296" s="40"/>
      <c r="L296" s="8"/>
      <c r="M296" s="8"/>
      <c r="N296" s="8"/>
      <c r="O296" s="8"/>
      <c r="P296" s="8"/>
      <c r="Q296" s="8"/>
      <c r="R296" s="8"/>
      <c r="S296" s="8"/>
      <c r="T296" s="8"/>
      <c r="U296" s="8"/>
      <c r="V296" s="8"/>
      <c r="W296" s="8"/>
      <c r="X296" s="8"/>
      <c r="Y296" s="8"/>
      <c r="Z296" s="8"/>
      <c r="AA296" s="8"/>
    </row>
    <row r="297" spans="1:27" ht="15">
      <c r="A297" s="15"/>
      <c r="B297" s="36"/>
      <c r="C297" s="15"/>
      <c r="D297" s="37"/>
      <c r="E297" s="15"/>
      <c r="F297" s="15"/>
      <c r="G297" s="15"/>
      <c r="H297" s="15"/>
      <c r="I297" s="15"/>
      <c r="J297" s="39"/>
      <c r="K297" s="40"/>
      <c r="L297" s="8"/>
      <c r="M297" s="8"/>
      <c r="N297" s="8"/>
      <c r="O297" s="8"/>
      <c r="P297" s="8"/>
      <c r="Q297" s="8"/>
      <c r="R297" s="8"/>
      <c r="S297" s="8"/>
      <c r="T297" s="8"/>
      <c r="U297" s="8"/>
      <c r="V297" s="8"/>
      <c r="W297" s="8"/>
      <c r="X297" s="8"/>
      <c r="Y297" s="8"/>
      <c r="Z297" s="8"/>
      <c r="AA297" s="8"/>
    </row>
    <row r="298" spans="1:27" ht="15">
      <c r="A298" s="15"/>
      <c r="B298" s="36"/>
      <c r="C298" s="15"/>
      <c r="D298" s="37"/>
      <c r="E298" s="15"/>
      <c r="F298" s="15"/>
      <c r="G298" s="15"/>
      <c r="H298" s="15"/>
      <c r="I298" s="15"/>
      <c r="J298" s="39"/>
      <c r="K298" s="40"/>
      <c r="L298" s="8"/>
      <c r="M298" s="8"/>
      <c r="N298" s="8"/>
      <c r="O298" s="8"/>
      <c r="P298" s="8"/>
      <c r="Q298" s="8"/>
      <c r="R298" s="8"/>
      <c r="S298" s="8"/>
      <c r="T298" s="8"/>
      <c r="U298" s="8"/>
      <c r="V298" s="8"/>
      <c r="W298" s="8"/>
      <c r="X298" s="8"/>
      <c r="Y298" s="8"/>
      <c r="Z298" s="8"/>
      <c r="AA298" s="8"/>
    </row>
    <row r="299" spans="1:27" ht="15">
      <c r="A299" s="15"/>
      <c r="B299" s="36"/>
      <c r="C299" s="15"/>
      <c r="D299" s="37"/>
      <c r="E299" s="15"/>
      <c r="F299" s="15"/>
      <c r="G299" s="15"/>
      <c r="H299" s="15"/>
      <c r="I299" s="15"/>
      <c r="J299" s="39"/>
      <c r="K299" s="40"/>
      <c r="L299" s="8"/>
      <c r="M299" s="8"/>
      <c r="N299" s="8"/>
      <c r="O299" s="8"/>
      <c r="P299" s="8"/>
      <c r="Q299" s="8"/>
      <c r="R299" s="8"/>
      <c r="S299" s="8"/>
      <c r="T299" s="8"/>
      <c r="U299" s="8"/>
      <c r="V299" s="8"/>
      <c r="W299" s="8"/>
      <c r="X299" s="8"/>
      <c r="Y299" s="8"/>
      <c r="Z299" s="8"/>
      <c r="AA299" s="8"/>
    </row>
    <row r="300" spans="1:27" ht="15">
      <c r="A300" s="15"/>
      <c r="B300" s="36"/>
      <c r="C300" s="15"/>
      <c r="D300" s="37"/>
      <c r="E300" s="15"/>
      <c r="F300" s="15"/>
      <c r="G300" s="15"/>
      <c r="H300" s="15"/>
      <c r="I300" s="15"/>
      <c r="J300" s="39"/>
      <c r="K300" s="40"/>
      <c r="L300" s="8"/>
      <c r="M300" s="8"/>
      <c r="N300" s="8"/>
      <c r="O300" s="8"/>
      <c r="P300" s="8"/>
      <c r="Q300" s="8"/>
      <c r="R300" s="8"/>
      <c r="S300" s="8"/>
      <c r="T300" s="8"/>
      <c r="U300" s="8"/>
      <c r="V300" s="8"/>
      <c r="W300" s="8"/>
      <c r="X300" s="8"/>
      <c r="Y300" s="8"/>
      <c r="Z300" s="8"/>
      <c r="AA300" s="8"/>
    </row>
    <row r="301" spans="1:27" ht="15">
      <c r="A301" s="15"/>
      <c r="B301" s="36"/>
      <c r="C301" s="15"/>
      <c r="D301" s="37"/>
      <c r="E301" s="15"/>
      <c r="F301" s="15"/>
      <c r="G301" s="15"/>
      <c r="H301" s="15"/>
      <c r="I301" s="15"/>
      <c r="J301" s="39"/>
      <c r="K301" s="40"/>
      <c r="L301" s="8"/>
      <c r="M301" s="8"/>
      <c r="N301" s="8"/>
      <c r="O301" s="8"/>
      <c r="P301" s="8"/>
      <c r="Q301" s="8"/>
      <c r="R301" s="8"/>
      <c r="S301" s="8"/>
      <c r="T301" s="8"/>
      <c r="U301" s="8"/>
      <c r="V301" s="8"/>
      <c r="W301" s="8"/>
      <c r="X301" s="8"/>
      <c r="Y301" s="8"/>
      <c r="Z301" s="8"/>
      <c r="AA301" s="8"/>
    </row>
    <row r="302" spans="1:27" ht="15">
      <c r="A302" s="15"/>
      <c r="B302" s="36"/>
      <c r="C302" s="15"/>
      <c r="D302" s="37"/>
      <c r="E302" s="15"/>
      <c r="F302" s="15"/>
      <c r="G302" s="15"/>
      <c r="H302" s="15"/>
      <c r="I302" s="15"/>
      <c r="J302" s="39"/>
      <c r="K302" s="40"/>
      <c r="L302" s="8"/>
      <c r="M302" s="8"/>
      <c r="N302" s="8"/>
      <c r="O302" s="8"/>
      <c r="P302" s="8"/>
      <c r="Q302" s="8"/>
      <c r="R302" s="8"/>
      <c r="S302" s="8"/>
      <c r="T302" s="8"/>
      <c r="U302" s="8"/>
      <c r="V302" s="8"/>
      <c r="W302" s="8"/>
      <c r="X302" s="8"/>
      <c r="Y302" s="8"/>
      <c r="Z302" s="8"/>
      <c r="AA302" s="8"/>
    </row>
    <row r="303" spans="1:27" ht="15">
      <c r="A303" s="15"/>
      <c r="B303" s="36"/>
      <c r="C303" s="15"/>
      <c r="D303" s="37"/>
      <c r="E303" s="15"/>
      <c r="F303" s="15"/>
      <c r="G303" s="15"/>
      <c r="H303" s="15"/>
      <c r="I303" s="15"/>
      <c r="J303" s="39"/>
      <c r="K303" s="40"/>
      <c r="L303" s="8"/>
      <c r="M303" s="8"/>
      <c r="N303" s="8"/>
      <c r="O303" s="8"/>
      <c r="P303" s="8"/>
      <c r="Q303" s="8"/>
      <c r="R303" s="8"/>
      <c r="S303" s="8"/>
      <c r="T303" s="8"/>
      <c r="U303" s="8"/>
      <c r="V303" s="8"/>
      <c r="W303" s="8"/>
      <c r="X303" s="8"/>
      <c r="Y303" s="8"/>
      <c r="Z303" s="8"/>
      <c r="AA303" s="8"/>
    </row>
    <row r="304" spans="1:27" ht="15">
      <c r="A304" s="15"/>
      <c r="B304" s="36"/>
      <c r="C304" s="15"/>
      <c r="D304" s="37"/>
      <c r="E304" s="15"/>
      <c r="F304" s="15"/>
      <c r="G304" s="15"/>
      <c r="H304" s="15"/>
      <c r="I304" s="15"/>
      <c r="J304" s="39"/>
      <c r="K304" s="40"/>
      <c r="L304" s="8"/>
      <c r="M304" s="8"/>
      <c r="N304" s="8"/>
      <c r="O304" s="8"/>
      <c r="P304" s="8"/>
      <c r="Q304" s="8"/>
      <c r="R304" s="8"/>
      <c r="S304" s="8"/>
      <c r="T304" s="8"/>
      <c r="U304" s="8"/>
      <c r="V304" s="8"/>
      <c r="W304" s="8"/>
      <c r="X304" s="8"/>
      <c r="Y304" s="8"/>
      <c r="Z304" s="8"/>
      <c r="AA304" s="8"/>
    </row>
    <row r="305" spans="1:27" ht="15">
      <c r="A305" s="15"/>
      <c r="B305" s="36"/>
      <c r="C305" s="15"/>
      <c r="D305" s="37"/>
      <c r="E305" s="15"/>
      <c r="F305" s="15"/>
      <c r="G305" s="15"/>
      <c r="H305" s="15"/>
      <c r="I305" s="15"/>
      <c r="J305" s="39"/>
      <c r="K305" s="40"/>
      <c r="L305" s="8"/>
      <c r="M305" s="8"/>
      <c r="N305" s="8"/>
      <c r="O305" s="8"/>
      <c r="P305" s="8"/>
      <c r="Q305" s="8"/>
      <c r="R305" s="8"/>
      <c r="S305" s="8"/>
      <c r="T305" s="8"/>
      <c r="U305" s="8"/>
      <c r="V305" s="8"/>
      <c r="W305" s="8"/>
      <c r="X305" s="8"/>
      <c r="Y305" s="8"/>
      <c r="Z305" s="8"/>
      <c r="AA305" s="8"/>
    </row>
    <row r="306" spans="1:27" ht="15">
      <c r="A306" s="15"/>
      <c r="B306" s="36"/>
      <c r="C306" s="15"/>
      <c r="D306" s="37"/>
      <c r="E306" s="15"/>
      <c r="F306" s="15"/>
      <c r="G306" s="15"/>
      <c r="H306" s="15"/>
      <c r="I306" s="15"/>
      <c r="J306" s="39"/>
      <c r="K306" s="40"/>
      <c r="L306" s="8"/>
      <c r="M306" s="8"/>
      <c r="N306" s="8"/>
      <c r="O306" s="8"/>
      <c r="P306" s="8"/>
      <c r="Q306" s="8"/>
      <c r="R306" s="8"/>
      <c r="S306" s="8"/>
      <c r="T306" s="8"/>
      <c r="U306" s="8"/>
      <c r="V306" s="8"/>
      <c r="W306" s="8"/>
      <c r="X306" s="8"/>
      <c r="Y306" s="8"/>
      <c r="Z306" s="8"/>
      <c r="AA306" s="8"/>
    </row>
    <row r="307" spans="1:27" ht="15">
      <c r="A307" s="15"/>
      <c r="B307" s="36"/>
      <c r="C307" s="15"/>
      <c r="D307" s="37"/>
      <c r="E307" s="15"/>
      <c r="F307" s="15"/>
      <c r="G307" s="15"/>
      <c r="H307" s="15"/>
      <c r="I307" s="15"/>
      <c r="J307" s="39"/>
      <c r="K307" s="40"/>
      <c r="L307" s="8"/>
      <c r="M307" s="8"/>
      <c r="N307" s="8"/>
      <c r="O307" s="8"/>
      <c r="P307" s="8"/>
      <c r="Q307" s="8"/>
      <c r="R307" s="8"/>
      <c r="S307" s="8"/>
      <c r="T307" s="8"/>
      <c r="U307" s="8"/>
      <c r="V307" s="8"/>
      <c r="W307" s="8"/>
      <c r="X307" s="8"/>
      <c r="Y307" s="8"/>
      <c r="Z307" s="8"/>
      <c r="AA307" s="8"/>
    </row>
    <row r="308" spans="1:27" ht="15">
      <c r="A308" s="15"/>
      <c r="B308" s="36"/>
      <c r="C308" s="15"/>
      <c r="D308" s="37"/>
      <c r="E308" s="15"/>
      <c r="F308" s="15"/>
      <c r="G308" s="15"/>
      <c r="H308" s="15"/>
      <c r="I308" s="15"/>
      <c r="J308" s="39"/>
      <c r="K308" s="40"/>
      <c r="L308" s="8"/>
      <c r="M308" s="8"/>
      <c r="N308" s="8"/>
      <c r="O308" s="8"/>
      <c r="P308" s="8"/>
      <c r="Q308" s="8"/>
      <c r="R308" s="8"/>
      <c r="S308" s="8"/>
      <c r="T308" s="8"/>
      <c r="U308" s="8"/>
      <c r="V308" s="8"/>
      <c r="W308" s="8"/>
      <c r="X308" s="8"/>
      <c r="Y308" s="8"/>
      <c r="Z308" s="8"/>
      <c r="AA308" s="8"/>
    </row>
    <row r="309" spans="1:27" ht="15">
      <c r="A309" s="15"/>
      <c r="B309" s="36"/>
      <c r="C309" s="15"/>
      <c r="D309" s="37"/>
      <c r="E309" s="15"/>
      <c r="F309" s="15"/>
      <c r="G309" s="15"/>
      <c r="H309" s="15"/>
      <c r="I309" s="15"/>
      <c r="J309" s="39"/>
      <c r="K309" s="40"/>
      <c r="L309" s="8"/>
      <c r="M309" s="8"/>
      <c r="N309" s="8"/>
      <c r="O309" s="8"/>
      <c r="P309" s="8"/>
      <c r="Q309" s="8"/>
      <c r="R309" s="8"/>
      <c r="S309" s="8"/>
      <c r="T309" s="8"/>
      <c r="U309" s="8"/>
      <c r="V309" s="8"/>
      <c r="W309" s="8"/>
      <c r="X309" s="8"/>
      <c r="Y309" s="8"/>
      <c r="Z309" s="8"/>
      <c r="AA309" s="8"/>
    </row>
    <row r="310" spans="1:27" ht="15">
      <c r="A310" s="15"/>
      <c r="B310" s="36"/>
      <c r="C310" s="15"/>
      <c r="D310" s="37"/>
      <c r="E310" s="15"/>
      <c r="F310" s="15"/>
      <c r="G310" s="15"/>
      <c r="H310" s="15"/>
      <c r="I310" s="15"/>
      <c r="J310" s="39"/>
      <c r="K310" s="40"/>
      <c r="L310" s="8"/>
      <c r="M310" s="8"/>
      <c r="N310" s="8"/>
      <c r="O310" s="8"/>
      <c r="P310" s="8"/>
      <c r="Q310" s="8"/>
      <c r="R310" s="8"/>
      <c r="S310" s="8"/>
      <c r="T310" s="8"/>
      <c r="U310" s="8"/>
      <c r="V310" s="8"/>
      <c r="W310" s="8"/>
      <c r="X310" s="8"/>
      <c r="Y310" s="8"/>
      <c r="Z310" s="8"/>
      <c r="AA310" s="8"/>
    </row>
    <row r="311" spans="1:27" ht="15">
      <c r="A311" s="15"/>
      <c r="B311" s="36"/>
      <c r="C311" s="15"/>
      <c r="D311" s="37"/>
      <c r="E311" s="15"/>
      <c r="F311" s="15"/>
      <c r="G311" s="15"/>
      <c r="H311" s="15"/>
      <c r="I311" s="15"/>
      <c r="J311" s="39"/>
      <c r="K311" s="40"/>
      <c r="L311" s="8"/>
      <c r="M311" s="8"/>
      <c r="N311" s="8"/>
      <c r="O311" s="8"/>
      <c r="P311" s="8"/>
      <c r="Q311" s="8"/>
      <c r="R311" s="8"/>
      <c r="S311" s="8"/>
      <c r="T311" s="8"/>
      <c r="U311" s="8"/>
      <c r="V311" s="8"/>
      <c r="W311" s="8"/>
      <c r="X311" s="8"/>
      <c r="Y311" s="8"/>
      <c r="Z311" s="8"/>
      <c r="AA311" s="8"/>
    </row>
    <row r="312" spans="1:27" ht="15">
      <c r="A312" s="15"/>
      <c r="B312" s="36"/>
      <c r="C312" s="15"/>
      <c r="D312" s="37"/>
      <c r="E312" s="15"/>
      <c r="F312" s="15"/>
      <c r="G312" s="15"/>
      <c r="H312" s="15"/>
      <c r="I312" s="15"/>
      <c r="J312" s="39"/>
      <c r="K312" s="40"/>
      <c r="L312" s="8"/>
      <c r="M312" s="8"/>
      <c r="N312" s="8"/>
      <c r="O312" s="8"/>
      <c r="P312" s="8"/>
      <c r="Q312" s="8"/>
      <c r="R312" s="8"/>
      <c r="S312" s="8"/>
      <c r="T312" s="8"/>
      <c r="U312" s="8"/>
      <c r="V312" s="8"/>
      <c r="W312" s="8"/>
      <c r="X312" s="8"/>
      <c r="Y312" s="8"/>
      <c r="Z312" s="8"/>
      <c r="AA312" s="8"/>
    </row>
    <row r="313" spans="1:27" ht="15">
      <c r="A313" s="15"/>
      <c r="B313" s="36"/>
      <c r="C313" s="15"/>
      <c r="D313" s="37"/>
      <c r="E313" s="15"/>
      <c r="F313" s="15"/>
      <c r="G313" s="15"/>
      <c r="H313" s="15"/>
      <c r="I313" s="15"/>
      <c r="J313" s="39"/>
      <c r="K313" s="40"/>
      <c r="L313" s="8"/>
      <c r="M313" s="8"/>
      <c r="N313" s="8"/>
      <c r="O313" s="8"/>
      <c r="P313" s="8"/>
      <c r="Q313" s="8"/>
      <c r="R313" s="8"/>
      <c r="S313" s="8"/>
      <c r="T313" s="8"/>
      <c r="U313" s="8"/>
      <c r="V313" s="8"/>
      <c r="W313" s="8"/>
      <c r="X313" s="8"/>
      <c r="Y313" s="8"/>
      <c r="Z313" s="8"/>
      <c r="AA313" s="8"/>
    </row>
    <row r="314" spans="1:27" ht="15">
      <c r="A314" s="15"/>
      <c r="B314" s="36"/>
      <c r="C314" s="15"/>
      <c r="D314" s="37"/>
      <c r="E314" s="15"/>
      <c r="F314" s="15"/>
      <c r="G314" s="15"/>
      <c r="H314" s="15"/>
      <c r="I314" s="15"/>
      <c r="J314" s="39"/>
      <c r="K314" s="40"/>
      <c r="L314" s="8"/>
      <c r="M314" s="8"/>
      <c r="N314" s="8"/>
      <c r="O314" s="8"/>
      <c r="P314" s="8"/>
      <c r="Q314" s="8"/>
      <c r="R314" s="8"/>
      <c r="S314" s="8"/>
      <c r="T314" s="8"/>
      <c r="U314" s="8"/>
      <c r="V314" s="8"/>
      <c r="W314" s="8"/>
      <c r="X314" s="8"/>
      <c r="Y314" s="8"/>
      <c r="Z314" s="8"/>
      <c r="AA314" s="8"/>
    </row>
    <row r="315" spans="1:27" ht="15">
      <c r="A315" s="15"/>
      <c r="B315" s="36"/>
      <c r="C315" s="15"/>
      <c r="D315" s="37"/>
      <c r="E315" s="15"/>
      <c r="F315" s="15"/>
      <c r="G315" s="15"/>
      <c r="H315" s="15"/>
      <c r="I315" s="15"/>
      <c r="J315" s="39"/>
      <c r="K315" s="40"/>
      <c r="L315" s="8"/>
      <c r="M315" s="8"/>
      <c r="N315" s="8"/>
      <c r="O315" s="8"/>
      <c r="P315" s="8"/>
      <c r="Q315" s="8"/>
      <c r="R315" s="8"/>
      <c r="S315" s="8"/>
      <c r="T315" s="8"/>
      <c r="U315" s="8"/>
      <c r="V315" s="8"/>
      <c r="W315" s="8"/>
      <c r="X315" s="8"/>
      <c r="Y315" s="8"/>
      <c r="Z315" s="8"/>
      <c r="AA315" s="8"/>
    </row>
    <row r="316" spans="1:27" ht="15">
      <c r="A316" s="15"/>
      <c r="B316" s="36"/>
      <c r="C316" s="15"/>
      <c r="D316" s="37"/>
      <c r="E316" s="15"/>
      <c r="F316" s="15"/>
      <c r="G316" s="15"/>
      <c r="H316" s="15"/>
      <c r="I316" s="15"/>
      <c r="J316" s="39"/>
      <c r="K316" s="40"/>
      <c r="L316" s="8"/>
      <c r="M316" s="8"/>
      <c r="N316" s="8"/>
      <c r="O316" s="8"/>
      <c r="P316" s="8"/>
      <c r="Q316" s="8"/>
      <c r="R316" s="8"/>
      <c r="S316" s="8"/>
      <c r="T316" s="8"/>
      <c r="U316" s="8"/>
      <c r="V316" s="8"/>
      <c r="W316" s="8"/>
      <c r="X316" s="8"/>
      <c r="Y316" s="8"/>
      <c r="Z316" s="8"/>
      <c r="AA316" s="8"/>
    </row>
    <row r="317" spans="1:27" ht="15">
      <c r="A317" s="15"/>
      <c r="B317" s="36"/>
      <c r="C317" s="15"/>
      <c r="D317" s="37"/>
      <c r="E317" s="15"/>
      <c r="F317" s="15"/>
      <c r="G317" s="15"/>
      <c r="H317" s="15"/>
      <c r="I317" s="15"/>
      <c r="J317" s="39"/>
      <c r="K317" s="40"/>
      <c r="L317" s="8"/>
      <c r="M317" s="8"/>
      <c r="N317" s="8"/>
      <c r="O317" s="8"/>
      <c r="P317" s="8"/>
      <c r="Q317" s="8"/>
      <c r="R317" s="8"/>
      <c r="S317" s="8"/>
      <c r="T317" s="8"/>
      <c r="U317" s="8"/>
      <c r="V317" s="8"/>
      <c r="W317" s="8"/>
      <c r="X317" s="8"/>
      <c r="Y317" s="8"/>
      <c r="Z317" s="8"/>
      <c r="AA317" s="8"/>
    </row>
    <row r="318" spans="1:27" ht="15">
      <c r="A318" s="15"/>
      <c r="B318" s="36"/>
      <c r="C318" s="15"/>
      <c r="D318" s="37"/>
      <c r="E318" s="15"/>
      <c r="F318" s="15"/>
      <c r="G318" s="15"/>
      <c r="H318" s="15"/>
      <c r="I318" s="15"/>
      <c r="J318" s="39"/>
      <c r="K318" s="40"/>
      <c r="L318" s="8"/>
      <c r="M318" s="8"/>
      <c r="N318" s="8"/>
      <c r="O318" s="8"/>
      <c r="P318" s="8"/>
      <c r="Q318" s="8"/>
      <c r="R318" s="8"/>
      <c r="S318" s="8"/>
      <c r="T318" s="8"/>
      <c r="U318" s="8"/>
      <c r="V318" s="8"/>
      <c r="W318" s="8"/>
      <c r="X318" s="8"/>
      <c r="Y318" s="8"/>
      <c r="Z318" s="8"/>
      <c r="AA318" s="8"/>
    </row>
    <row r="319" spans="1:27" ht="15">
      <c r="A319" s="15"/>
      <c r="B319" s="36"/>
      <c r="C319" s="15"/>
      <c r="D319" s="37"/>
      <c r="E319" s="15"/>
      <c r="F319" s="15"/>
      <c r="G319" s="15"/>
      <c r="H319" s="15"/>
      <c r="I319" s="15"/>
      <c r="J319" s="39"/>
      <c r="K319" s="40"/>
      <c r="L319" s="8"/>
      <c r="M319" s="8"/>
      <c r="N319" s="8"/>
      <c r="O319" s="8"/>
      <c r="P319" s="8"/>
      <c r="Q319" s="8"/>
      <c r="R319" s="8"/>
      <c r="S319" s="8"/>
      <c r="T319" s="8"/>
      <c r="U319" s="8"/>
      <c r="V319" s="8"/>
      <c r="W319" s="8"/>
      <c r="X319" s="8"/>
      <c r="Y319" s="8"/>
      <c r="Z319" s="8"/>
      <c r="AA319" s="8"/>
    </row>
    <row r="320" spans="1:27" ht="15">
      <c r="A320" s="15"/>
      <c r="B320" s="36"/>
      <c r="C320" s="15"/>
      <c r="D320" s="37"/>
      <c r="E320" s="15"/>
      <c r="F320" s="15"/>
      <c r="G320" s="15"/>
      <c r="H320" s="15"/>
      <c r="I320" s="15"/>
      <c r="J320" s="39"/>
      <c r="K320" s="40"/>
      <c r="L320" s="8"/>
      <c r="M320" s="8"/>
      <c r="N320" s="8"/>
      <c r="O320" s="8"/>
      <c r="P320" s="8"/>
      <c r="Q320" s="8"/>
      <c r="R320" s="8"/>
      <c r="S320" s="8"/>
      <c r="T320" s="8"/>
      <c r="U320" s="8"/>
      <c r="V320" s="8"/>
      <c r="W320" s="8"/>
      <c r="X320" s="8"/>
      <c r="Y320" s="8"/>
      <c r="Z320" s="8"/>
      <c r="AA320" s="8"/>
    </row>
    <row r="321" spans="1:27" ht="15">
      <c r="A321" s="15"/>
      <c r="B321" s="36"/>
      <c r="C321" s="15"/>
      <c r="D321" s="37"/>
      <c r="E321" s="15"/>
      <c r="F321" s="15"/>
      <c r="G321" s="15"/>
      <c r="H321" s="15"/>
      <c r="I321" s="15"/>
      <c r="J321" s="39"/>
      <c r="K321" s="40"/>
      <c r="L321" s="8"/>
      <c r="M321" s="8"/>
      <c r="N321" s="8"/>
      <c r="O321" s="8"/>
      <c r="P321" s="8"/>
      <c r="Q321" s="8"/>
      <c r="R321" s="8"/>
      <c r="S321" s="8"/>
      <c r="T321" s="8"/>
      <c r="U321" s="8"/>
      <c r="V321" s="8"/>
      <c r="W321" s="8"/>
      <c r="X321" s="8"/>
      <c r="Y321" s="8"/>
      <c r="Z321" s="8"/>
      <c r="AA321" s="8"/>
    </row>
    <row r="322" spans="1:27" ht="15">
      <c r="A322" s="15"/>
      <c r="B322" s="36"/>
      <c r="C322" s="15"/>
      <c r="D322" s="37"/>
      <c r="E322" s="15"/>
      <c r="F322" s="15"/>
      <c r="G322" s="15"/>
      <c r="H322" s="15"/>
      <c r="I322" s="15"/>
      <c r="J322" s="39"/>
      <c r="K322" s="40"/>
      <c r="L322" s="8"/>
      <c r="M322" s="8"/>
      <c r="N322" s="8"/>
      <c r="O322" s="8"/>
      <c r="P322" s="8"/>
      <c r="Q322" s="8"/>
      <c r="R322" s="8"/>
      <c r="S322" s="8"/>
      <c r="T322" s="8"/>
      <c r="U322" s="8"/>
      <c r="V322" s="8"/>
      <c r="W322" s="8"/>
      <c r="X322" s="8"/>
      <c r="Y322" s="8"/>
      <c r="Z322" s="8"/>
      <c r="AA322" s="8"/>
    </row>
    <row r="323" spans="1:27" ht="15">
      <c r="A323" s="15"/>
      <c r="B323" s="36"/>
      <c r="C323" s="15"/>
      <c r="D323" s="37"/>
      <c r="E323" s="15"/>
      <c r="F323" s="15"/>
      <c r="G323" s="15"/>
      <c r="H323" s="15"/>
      <c r="I323" s="15"/>
      <c r="J323" s="39"/>
      <c r="K323" s="40"/>
      <c r="L323" s="8"/>
      <c r="M323" s="8"/>
      <c r="N323" s="8"/>
      <c r="O323" s="8"/>
      <c r="P323" s="8"/>
      <c r="Q323" s="8"/>
      <c r="R323" s="8"/>
      <c r="S323" s="8"/>
      <c r="T323" s="8"/>
      <c r="U323" s="8"/>
      <c r="V323" s="8"/>
      <c r="W323" s="8"/>
      <c r="X323" s="8"/>
      <c r="Y323" s="8"/>
      <c r="Z323" s="8"/>
      <c r="AA323" s="8"/>
    </row>
    <row r="324" spans="1:27" ht="15">
      <c r="A324" s="15"/>
      <c r="B324" s="36"/>
      <c r="C324" s="15"/>
      <c r="D324" s="37"/>
      <c r="E324" s="15"/>
      <c r="F324" s="15"/>
      <c r="G324" s="15"/>
      <c r="H324" s="15"/>
      <c r="I324" s="15"/>
      <c r="J324" s="39"/>
      <c r="K324" s="40"/>
      <c r="L324" s="8"/>
      <c r="M324" s="8"/>
      <c r="N324" s="8"/>
      <c r="O324" s="8"/>
      <c r="P324" s="8"/>
      <c r="Q324" s="8"/>
      <c r="R324" s="8"/>
      <c r="S324" s="8"/>
      <c r="T324" s="8"/>
      <c r="U324" s="8"/>
      <c r="V324" s="8"/>
      <c r="W324" s="8"/>
      <c r="X324" s="8"/>
      <c r="Y324" s="8"/>
      <c r="Z324" s="8"/>
      <c r="AA324" s="8"/>
    </row>
    <row r="325" spans="1:27" ht="15">
      <c r="A325" s="15"/>
      <c r="B325" s="36"/>
      <c r="C325" s="15"/>
      <c r="D325" s="37"/>
      <c r="E325" s="15"/>
      <c r="F325" s="15"/>
      <c r="G325" s="15"/>
      <c r="H325" s="15"/>
      <c r="I325" s="15"/>
      <c r="J325" s="39"/>
      <c r="K325" s="40"/>
      <c r="L325" s="8"/>
      <c r="M325" s="8"/>
      <c r="N325" s="8"/>
      <c r="O325" s="8"/>
      <c r="P325" s="8"/>
      <c r="Q325" s="8"/>
      <c r="R325" s="8"/>
      <c r="S325" s="8"/>
      <c r="T325" s="8"/>
      <c r="U325" s="8"/>
      <c r="V325" s="8"/>
      <c r="W325" s="8"/>
      <c r="X325" s="8"/>
      <c r="Y325" s="8"/>
      <c r="Z325" s="8"/>
      <c r="AA325" s="8"/>
    </row>
    <row r="326" spans="1:27" ht="15">
      <c r="A326" s="15"/>
      <c r="B326" s="36"/>
      <c r="C326" s="15"/>
      <c r="D326" s="37"/>
      <c r="E326" s="15"/>
      <c r="F326" s="15"/>
      <c r="G326" s="15"/>
      <c r="H326" s="15"/>
      <c r="I326" s="15"/>
      <c r="J326" s="39"/>
      <c r="K326" s="40"/>
      <c r="L326" s="8"/>
      <c r="M326" s="8"/>
      <c r="N326" s="8"/>
      <c r="O326" s="8"/>
      <c r="P326" s="8"/>
      <c r="Q326" s="8"/>
      <c r="R326" s="8"/>
      <c r="S326" s="8"/>
      <c r="T326" s="8"/>
      <c r="U326" s="8"/>
      <c r="V326" s="8"/>
      <c r="W326" s="8"/>
      <c r="X326" s="8"/>
      <c r="Y326" s="8"/>
      <c r="Z326" s="8"/>
      <c r="AA326" s="8"/>
    </row>
    <row r="327" spans="1:27" ht="15">
      <c r="A327" s="15"/>
      <c r="B327" s="36"/>
      <c r="C327" s="15"/>
      <c r="D327" s="37"/>
      <c r="E327" s="15"/>
      <c r="F327" s="15"/>
      <c r="G327" s="15"/>
      <c r="H327" s="15"/>
      <c r="I327" s="15"/>
      <c r="J327" s="39"/>
      <c r="K327" s="40"/>
      <c r="L327" s="8"/>
      <c r="M327" s="8"/>
      <c r="N327" s="8"/>
      <c r="O327" s="8"/>
      <c r="P327" s="8"/>
      <c r="Q327" s="8"/>
      <c r="R327" s="8"/>
      <c r="S327" s="8"/>
      <c r="T327" s="8"/>
      <c r="U327" s="8"/>
      <c r="V327" s="8"/>
      <c r="W327" s="8"/>
      <c r="X327" s="8"/>
      <c r="Y327" s="8"/>
      <c r="Z327" s="8"/>
      <c r="AA327" s="8"/>
    </row>
    <row r="328" spans="1:27" ht="15">
      <c r="A328" s="15"/>
      <c r="B328" s="36"/>
      <c r="C328" s="15"/>
      <c r="D328" s="37"/>
      <c r="E328" s="15"/>
      <c r="F328" s="15"/>
      <c r="G328" s="15"/>
      <c r="H328" s="15"/>
      <c r="I328" s="15"/>
      <c r="J328" s="39"/>
      <c r="K328" s="40"/>
      <c r="L328" s="8"/>
      <c r="M328" s="8"/>
      <c r="N328" s="8"/>
      <c r="O328" s="8"/>
      <c r="P328" s="8"/>
      <c r="Q328" s="8"/>
      <c r="R328" s="8"/>
      <c r="S328" s="8"/>
      <c r="T328" s="8"/>
      <c r="U328" s="8"/>
      <c r="V328" s="8"/>
      <c r="W328" s="8"/>
      <c r="X328" s="8"/>
      <c r="Y328" s="8"/>
      <c r="Z328" s="8"/>
      <c r="AA328" s="8"/>
    </row>
    <row r="329" spans="1:27" ht="15">
      <c r="A329" s="15"/>
      <c r="B329" s="36"/>
      <c r="C329" s="15"/>
      <c r="D329" s="37"/>
      <c r="E329" s="15"/>
      <c r="F329" s="15"/>
      <c r="G329" s="15"/>
      <c r="H329" s="15"/>
      <c r="I329" s="15"/>
      <c r="J329" s="39"/>
      <c r="K329" s="40"/>
      <c r="L329" s="8"/>
      <c r="M329" s="8"/>
      <c r="N329" s="8"/>
      <c r="O329" s="8"/>
      <c r="P329" s="8"/>
      <c r="Q329" s="8"/>
      <c r="R329" s="8"/>
      <c r="S329" s="8"/>
      <c r="T329" s="8"/>
      <c r="U329" s="8"/>
      <c r="V329" s="8"/>
      <c r="W329" s="8"/>
      <c r="X329" s="8"/>
      <c r="Y329" s="8"/>
      <c r="Z329" s="8"/>
      <c r="AA329" s="8"/>
    </row>
    <row r="330" spans="1:27" ht="15">
      <c r="A330" s="15"/>
      <c r="B330" s="36"/>
      <c r="C330" s="15"/>
      <c r="D330" s="37"/>
      <c r="E330" s="15"/>
      <c r="F330" s="15"/>
      <c r="G330" s="15"/>
      <c r="H330" s="15"/>
      <c r="I330" s="15"/>
      <c r="J330" s="39"/>
      <c r="K330" s="40"/>
      <c r="L330" s="8"/>
      <c r="M330" s="8"/>
      <c r="N330" s="8"/>
      <c r="O330" s="8"/>
      <c r="P330" s="8"/>
      <c r="Q330" s="8"/>
      <c r="R330" s="8"/>
      <c r="S330" s="8"/>
      <c r="T330" s="8"/>
      <c r="U330" s="8"/>
      <c r="V330" s="8"/>
      <c r="W330" s="8"/>
      <c r="X330" s="8"/>
      <c r="Y330" s="8"/>
      <c r="Z330" s="8"/>
      <c r="AA330" s="8"/>
    </row>
    <row r="331" spans="1:27" ht="15">
      <c r="A331" s="15"/>
      <c r="B331" s="36"/>
      <c r="C331" s="15"/>
      <c r="D331" s="37"/>
      <c r="E331" s="15"/>
      <c r="F331" s="15"/>
      <c r="G331" s="15"/>
      <c r="H331" s="15"/>
      <c r="I331" s="15"/>
      <c r="J331" s="39"/>
      <c r="K331" s="40"/>
      <c r="L331" s="8"/>
      <c r="M331" s="8"/>
      <c r="N331" s="8"/>
      <c r="O331" s="8"/>
      <c r="P331" s="8"/>
      <c r="Q331" s="8"/>
      <c r="R331" s="8"/>
      <c r="S331" s="8"/>
      <c r="T331" s="8"/>
      <c r="U331" s="8"/>
      <c r="V331" s="8"/>
      <c r="W331" s="8"/>
      <c r="X331" s="8"/>
      <c r="Y331" s="8"/>
      <c r="Z331" s="8"/>
      <c r="AA331" s="8"/>
    </row>
    <row r="332" spans="1:27" ht="15">
      <c r="A332" s="15"/>
      <c r="B332" s="36"/>
      <c r="C332" s="15"/>
      <c r="D332" s="37"/>
      <c r="E332" s="15"/>
      <c r="F332" s="15"/>
      <c r="G332" s="15"/>
      <c r="H332" s="15"/>
      <c r="I332" s="15"/>
      <c r="J332" s="39"/>
      <c r="K332" s="40"/>
      <c r="L332" s="8"/>
      <c r="M332" s="8"/>
      <c r="N332" s="8"/>
      <c r="O332" s="8"/>
      <c r="P332" s="8"/>
      <c r="Q332" s="8"/>
      <c r="R332" s="8"/>
      <c r="S332" s="8"/>
      <c r="T332" s="8"/>
      <c r="U332" s="8"/>
      <c r="V332" s="8"/>
      <c r="W332" s="8"/>
      <c r="X332" s="8"/>
      <c r="Y332" s="8"/>
      <c r="Z332" s="8"/>
      <c r="AA332" s="8"/>
    </row>
    <row r="333" spans="1:27" ht="15">
      <c r="A333" s="15"/>
      <c r="B333" s="36"/>
      <c r="C333" s="15"/>
      <c r="D333" s="37"/>
      <c r="E333" s="15"/>
      <c r="F333" s="15"/>
      <c r="G333" s="15"/>
      <c r="H333" s="15"/>
      <c r="I333" s="15"/>
      <c r="J333" s="39"/>
      <c r="K333" s="40"/>
      <c r="L333" s="8"/>
      <c r="M333" s="8"/>
      <c r="N333" s="8"/>
      <c r="O333" s="8"/>
      <c r="P333" s="8"/>
      <c r="Q333" s="8"/>
      <c r="R333" s="8"/>
      <c r="S333" s="8"/>
      <c r="T333" s="8"/>
      <c r="U333" s="8"/>
      <c r="V333" s="8"/>
      <c r="W333" s="8"/>
      <c r="X333" s="8"/>
      <c r="Y333" s="8"/>
      <c r="Z333" s="8"/>
      <c r="AA333" s="8"/>
    </row>
    <row r="334" spans="1:27" ht="15">
      <c r="A334" s="15"/>
      <c r="B334" s="36"/>
      <c r="C334" s="15"/>
      <c r="D334" s="37"/>
      <c r="E334" s="15"/>
      <c r="F334" s="15"/>
      <c r="G334" s="15"/>
      <c r="H334" s="15"/>
      <c r="I334" s="15"/>
      <c r="J334" s="39"/>
      <c r="K334" s="40"/>
      <c r="L334" s="8"/>
      <c r="M334" s="8"/>
      <c r="N334" s="8"/>
      <c r="O334" s="8"/>
      <c r="P334" s="8"/>
      <c r="Q334" s="8"/>
      <c r="R334" s="8"/>
      <c r="S334" s="8"/>
      <c r="T334" s="8"/>
      <c r="U334" s="8"/>
      <c r="V334" s="8"/>
      <c r="W334" s="8"/>
      <c r="X334" s="8"/>
      <c r="Y334" s="8"/>
      <c r="Z334" s="8"/>
      <c r="AA334" s="8"/>
    </row>
    <row r="335" spans="1:27" ht="15">
      <c r="A335" s="15"/>
      <c r="B335" s="36"/>
      <c r="C335" s="15"/>
      <c r="D335" s="37"/>
      <c r="E335" s="15"/>
      <c r="F335" s="15"/>
      <c r="G335" s="15"/>
      <c r="H335" s="15"/>
      <c r="I335" s="15"/>
      <c r="J335" s="39"/>
      <c r="K335" s="40"/>
      <c r="L335" s="8"/>
      <c r="M335" s="8"/>
      <c r="N335" s="8"/>
      <c r="O335" s="8"/>
      <c r="P335" s="8"/>
      <c r="Q335" s="8"/>
      <c r="R335" s="8"/>
      <c r="S335" s="8"/>
      <c r="T335" s="8"/>
      <c r="U335" s="8"/>
      <c r="V335" s="8"/>
      <c r="W335" s="8"/>
      <c r="X335" s="8"/>
      <c r="Y335" s="8"/>
      <c r="Z335" s="8"/>
      <c r="AA335" s="8"/>
    </row>
    <row r="336" spans="1:27" ht="15">
      <c r="A336" s="15"/>
      <c r="B336" s="36"/>
      <c r="C336" s="15"/>
      <c r="D336" s="37"/>
      <c r="E336" s="15"/>
      <c r="F336" s="15"/>
      <c r="G336" s="15"/>
      <c r="H336" s="15"/>
      <c r="I336" s="15"/>
      <c r="J336" s="39"/>
      <c r="K336" s="40"/>
      <c r="L336" s="8"/>
      <c r="M336" s="8"/>
      <c r="N336" s="8"/>
      <c r="O336" s="8"/>
      <c r="P336" s="8"/>
      <c r="Q336" s="8"/>
      <c r="R336" s="8"/>
      <c r="S336" s="8"/>
      <c r="T336" s="8"/>
      <c r="U336" s="8"/>
      <c r="V336" s="8"/>
      <c r="W336" s="8"/>
      <c r="X336" s="8"/>
      <c r="Y336" s="8"/>
      <c r="Z336" s="8"/>
      <c r="AA336" s="8"/>
    </row>
    <row r="337" spans="1:27" ht="15">
      <c r="A337" s="15"/>
      <c r="B337" s="36"/>
      <c r="C337" s="15"/>
      <c r="D337" s="37"/>
      <c r="E337" s="15"/>
      <c r="F337" s="15"/>
      <c r="G337" s="15"/>
      <c r="H337" s="15"/>
      <c r="I337" s="15"/>
      <c r="J337" s="39"/>
      <c r="K337" s="40"/>
      <c r="L337" s="8"/>
      <c r="M337" s="8"/>
      <c r="N337" s="8"/>
      <c r="O337" s="8"/>
      <c r="P337" s="8"/>
      <c r="Q337" s="8"/>
      <c r="R337" s="8"/>
      <c r="S337" s="8"/>
      <c r="T337" s="8"/>
      <c r="U337" s="8"/>
      <c r="V337" s="8"/>
      <c r="W337" s="8"/>
      <c r="X337" s="8"/>
      <c r="Y337" s="8"/>
      <c r="Z337" s="8"/>
      <c r="AA337" s="8"/>
    </row>
    <row r="338" spans="1:27" ht="15">
      <c r="A338" s="15"/>
      <c r="B338" s="36"/>
      <c r="C338" s="15"/>
      <c r="D338" s="37"/>
      <c r="E338" s="15"/>
      <c r="F338" s="15"/>
      <c r="G338" s="15"/>
      <c r="H338" s="15"/>
      <c r="I338" s="15"/>
      <c r="J338" s="39"/>
      <c r="K338" s="40"/>
      <c r="L338" s="8"/>
      <c r="M338" s="8"/>
      <c r="N338" s="8"/>
      <c r="O338" s="8"/>
      <c r="P338" s="8"/>
      <c r="Q338" s="8"/>
      <c r="R338" s="8"/>
      <c r="S338" s="8"/>
      <c r="T338" s="8"/>
      <c r="U338" s="8"/>
      <c r="V338" s="8"/>
      <c r="W338" s="8"/>
      <c r="X338" s="8"/>
      <c r="Y338" s="8"/>
      <c r="Z338" s="8"/>
      <c r="AA338" s="8"/>
    </row>
    <row r="339" spans="1:27" ht="15">
      <c r="A339" s="15"/>
      <c r="B339" s="36"/>
      <c r="C339" s="15"/>
      <c r="D339" s="37"/>
      <c r="E339" s="15"/>
      <c r="F339" s="15"/>
      <c r="G339" s="15"/>
      <c r="H339" s="15"/>
      <c r="I339" s="15"/>
      <c r="J339" s="39"/>
      <c r="K339" s="40"/>
      <c r="L339" s="8"/>
      <c r="M339" s="8"/>
      <c r="N339" s="8"/>
      <c r="O339" s="8"/>
      <c r="P339" s="8"/>
      <c r="Q339" s="8"/>
      <c r="R339" s="8"/>
      <c r="S339" s="8"/>
      <c r="T339" s="8"/>
      <c r="U339" s="8"/>
      <c r="V339" s="8"/>
      <c r="W339" s="8"/>
      <c r="X339" s="8"/>
      <c r="Y339" s="8"/>
      <c r="Z339" s="8"/>
      <c r="AA339" s="8"/>
    </row>
    <row r="340" spans="1:27" ht="15">
      <c r="A340" s="15"/>
      <c r="B340" s="36"/>
      <c r="C340" s="15"/>
      <c r="D340" s="37"/>
      <c r="E340" s="15"/>
      <c r="F340" s="15"/>
      <c r="G340" s="15"/>
      <c r="H340" s="15"/>
      <c r="I340" s="15"/>
      <c r="J340" s="39"/>
      <c r="K340" s="40"/>
      <c r="L340" s="8"/>
      <c r="M340" s="8"/>
      <c r="N340" s="8"/>
      <c r="O340" s="8"/>
      <c r="P340" s="8"/>
      <c r="Q340" s="8"/>
      <c r="R340" s="8"/>
      <c r="S340" s="8"/>
      <c r="T340" s="8"/>
      <c r="U340" s="8"/>
      <c r="V340" s="8"/>
      <c r="W340" s="8"/>
      <c r="X340" s="8"/>
      <c r="Y340" s="8"/>
      <c r="Z340" s="8"/>
      <c r="AA340" s="8"/>
    </row>
    <row r="341" spans="1:27" ht="15">
      <c r="A341" s="15"/>
      <c r="B341" s="36"/>
      <c r="C341" s="15"/>
      <c r="D341" s="37"/>
      <c r="E341" s="15"/>
      <c r="F341" s="15"/>
      <c r="G341" s="15"/>
      <c r="H341" s="15"/>
      <c r="I341" s="15"/>
      <c r="J341" s="39"/>
      <c r="K341" s="40"/>
      <c r="L341" s="8"/>
      <c r="M341" s="8"/>
      <c r="N341" s="8"/>
      <c r="O341" s="8"/>
      <c r="P341" s="8"/>
      <c r="Q341" s="8"/>
      <c r="R341" s="8"/>
      <c r="S341" s="8"/>
      <c r="T341" s="8"/>
      <c r="U341" s="8"/>
      <c r="V341" s="8"/>
      <c r="W341" s="8"/>
      <c r="X341" s="8"/>
      <c r="Y341" s="8"/>
      <c r="Z341" s="8"/>
      <c r="AA341" s="8"/>
    </row>
    <row r="342" spans="1:27" ht="15">
      <c r="A342" s="15"/>
      <c r="B342" s="36"/>
      <c r="C342" s="15"/>
      <c r="D342" s="37"/>
      <c r="E342" s="15"/>
      <c r="F342" s="15"/>
      <c r="G342" s="15"/>
      <c r="H342" s="15"/>
      <c r="I342" s="15"/>
      <c r="J342" s="39"/>
      <c r="K342" s="40"/>
      <c r="L342" s="8"/>
      <c r="M342" s="8"/>
      <c r="N342" s="8"/>
      <c r="O342" s="8"/>
      <c r="P342" s="8"/>
      <c r="Q342" s="8"/>
      <c r="R342" s="8"/>
      <c r="S342" s="8"/>
      <c r="T342" s="8"/>
      <c r="U342" s="8"/>
      <c r="V342" s="8"/>
      <c r="W342" s="8"/>
      <c r="X342" s="8"/>
      <c r="Y342" s="8"/>
      <c r="Z342" s="8"/>
      <c r="AA342" s="8"/>
    </row>
    <row r="343" spans="1:27" ht="15">
      <c r="A343" s="15"/>
      <c r="B343" s="36"/>
      <c r="C343" s="15"/>
      <c r="D343" s="37"/>
      <c r="E343" s="15"/>
      <c r="F343" s="15"/>
      <c r="G343" s="15"/>
      <c r="H343" s="15"/>
      <c r="I343" s="15"/>
      <c r="J343" s="39"/>
      <c r="K343" s="40"/>
      <c r="L343" s="8"/>
      <c r="M343" s="8"/>
      <c r="N343" s="8"/>
      <c r="O343" s="8"/>
      <c r="P343" s="8"/>
      <c r="Q343" s="8"/>
      <c r="R343" s="8"/>
      <c r="S343" s="8"/>
      <c r="T343" s="8"/>
      <c r="U343" s="8"/>
      <c r="V343" s="8"/>
      <c r="W343" s="8"/>
      <c r="X343" s="8"/>
      <c r="Y343" s="8"/>
      <c r="Z343" s="8"/>
      <c r="AA343" s="8"/>
    </row>
    <row r="344" spans="1:27" ht="15">
      <c r="A344" s="15"/>
      <c r="B344" s="36"/>
      <c r="C344" s="15"/>
      <c r="D344" s="37"/>
      <c r="E344" s="15"/>
      <c r="F344" s="15"/>
      <c r="G344" s="15"/>
      <c r="H344" s="15"/>
      <c r="I344" s="15"/>
      <c r="J344" s="39"/>
      <c r="K344" s="40"/>
      <c r="L344" s="8"/>
      <c r="M344" s="8"/>
      <c r="N344" s="8"/>
      <c r="O344" s="8"/>
      <c r="P344" s="8"/>
      <c r="Q344" s="8"/>
      <c r="R344" s="8"/>
      <c r="S344" s="8"/>
      <c r="T344" s="8"/>
      <c r="U344" s="8"/>
      <c r="V344" s="8"/>
      <c r="W344" s="8"/>
      <c r="X344" s="8"/>
      <c r="Y344" s="8"/>
      <c r="Z344" s="8"/>
      <c r="AA344" s="8"/>
    </row>
    <row r="345" spans="1:27" ht="15">
      <c r="A345" s="15"/>
      <c r="B345" s="36"/>
      <c r="C345" s="15"/>
      <c r="D345" s="37"/>
      <c r="E345" s="15"/>
      <c r="F345" s="15"/>
      <c r="G345" s="15"/>
      <c r="H345" s="15"/>
      <c r="I345" s="15"/>
      <c r="J345" s="39"/>
      <c r="K345" s="40"/>
      <c r="L345" s="8"/>
      <c r="M345" s="8"/>
      <c r="N345" s="8"/>
      <c r="O345" s="8"/>
      <c r="P345" s="8"/>
      <c r="Q345" s="8"/>
      <c r="R345" s="8"/>
      <c r="S345" s="8"/>
      <c r="T345" s="8"/>
      <c r="U345" s="8"/>
      <c r="V345" s="8"/>
      <c r="W345" s="8"/>
      <c r="X345" s="8"/>
      <c r="Y345" s="8"/>
      <c r="Z345" s="8"/>
      <c r="AA345" s="8"/>
    </row>
    <row r="346" spans="1:27" ht="15">
      <c r="A346" s="15"/>
      <c r="B346" s="36"/>
      <c r="C346" s="15"/>
      <c r="D346" s="37"/>
      <c r="E346" s="15"/>
      <c r="F346" s="15"/>
      <c r="G346" s="15"/>
      <c r="H346" s="15"/>
      <c r="I346" s="15"/>
      <c r="J346" s="39"/>
      <c r="K346" s="40"/>
      <c r="L346" s="8"/>
      <c r="M346" s="8"/>
      <c r="N346" s="8"/>
      <c r="O346" s="8"/>
      <c r="P346" s="8"/>
      <c r="Q346" s="8"/>
      <c r="R346" s="8"/>
      <c r="S346" s="8"/>
      <c r="T346" s="8"/>
      <c r="U346" s="8"/>
      <c r="V346" s="8"/>
      <c r="W346" s="8"/>
      <c r="X346" s="8"/>
      <c r="Y346" s="8"/>
      <c r="Z346" s="8"/>
      <c r="AA346" s="8"/>
    </row>
    <row r="347" spans="1:27" ht="15">
      <c r="A347" s="15"/>
      <c r="B347" s="36"/>
      <c r="C347" s="15"/>
      <c r="D347" s="37"/>
      <c r="E347" s="15"/>
      <c r="F347" s="15"/>
      <c r="G347" s="15"/>
      <c r="H347" s="15"/>
      <c r="I347" s="15"/>
      <c r="J347" s="39"/>
      <c r="K347" s="40"/>
      <c r="L347" s="8"/>
      <c r="M347" s="8"/>
      <c r="N347" s="8"/>
      <c r="O347" s="8"/>
      <c r="P347" s="8"/>
      <c r="Q347" s="8"/>
      <c r="R347" s="8"/>
      <c r="S347" s="8"/>
      <c r="T347" s="8"/>
      <c r="U347" s="8"/>
      <c r="V347" s="8"/>
      <c r="W347" s="8"/>
      <c r="X347" s="8"/>
      <c r="Y347" s="8"/>
      <c r="Z347" s="8"/>
      <c r="AA347" s="8"/>
    </row>
    <row r="348" spans="1:27" ht="15">
      <c r="A348" s="15"/>
      <c r="B348" s="36"/>
      <c r="C348" s="15"/>
      <c r="D348" s="37"/>
      <c r="E348" s="15"/>
      <c r="F348" s="15"/>
      <c r="G348" s="15"/>
      <c r="H348" s="15"/>
      <c r="I348" s="15"/>
      <c r="J348" s="39"/>
      <c r="K348" s="40"/>
      <c r="L348" s="8"/>
      <c r="M348" s="8"/>
      <c r="N348" s="8"/>
      <c r="O348" s="8"/>
      <c r="P348" s="8"/>
      <c r="Q348" s="8"/>
      <c r="R348" s="8"/>
      <c r="S348" s="8"/>
      <c r="T348" s="8"/>
      <c r="U348" s="8"/>
      <c r="V348" s="8"/>
      <c r="W348" s="8"/>
      <c r="X348" s="8"/>
      <c r="Y348" s="8"/>
      <c r="Z348" s="8"/>
      <c r="AA348" s="8"/>
    </row>
    <row r="349" spans="1:27" ht="15">
      <c r="A349" s="15"/>
      <c r="B349" s="36"/>
      <c r="C349" s="15"/>
      <c r="D349" s="37"/>
      <c r="E349" s="15"/>
      <c r="F349" s="15"/>
      <c r="G349" s="15"/>
      <c r="H349" s="15"/>
      <c r="I349" s="15"/>
      <c r="J349" s="39"/>
      <c r="K349" s="40"/>
      <c r="L349" s="8"/>
      <c r="M349" s="8"/>
      <c r="N349" s="8"/>
      <c r="O349" s="8"/>
      <c r="P349" s="8"/>
      <c r="Q349" s="8"/>
      <c r="R349" s="8"/>
      <c r="S349" s="8"/>
      <c r="T349" s="8"/>
      <c r="U349" s="8"/>
      <c r="V349" s="8"/>
      <c r="W349" s="8"/>
      <c r="X349" s="8"/>
      <c r="Y349" s="8"/>
      <c r="Z349" s="8"/>
      <c r="AA349" s="8"/>
    </row>
    <row r="350" spans="1:27" ht="15">
      <c r="A350" s="15"/>
      <c r="B350" s="36"/>
      <c r="C350" s="15"/>
      <c r="D350" s="37"/>
      <c r="E350" s="15"/>
      <c r="F350" s="15"/>
      <c r="G350" s="15"/>
      <c r="H350" s="15"/>
      <c r="I350" s="15"/>
      <c r="J350" s="39"/>
      <c r="K350" s="40"/>
      <c r="L350" s="8"/>
      <c r="M350" s="8"/>
      <c r="N350" s="8"/>
      <c r="O350" s="8"/>
      <c r="P350" s="8"/>
      <c r="Q350" s="8"/>
      <c r="R350" s="8"/>
      <c r="S350" s="8"/>
      <c r="T350" s="8"/>
      <c r="U350" s="8"/>
      <c r="V350" s="8"/>
      <c r="W350" s="8"/>
      <c r="X350" s="8"/>
      <c r="Y350" s="8"/>
      <c r="Z350" s="8"/>
      <c r="AA350" s="8"/>
    </row>
    <row r="351" spans="1:27" ht="15">
      <c r="A351" s="15"/>
      <c r="B351" s="36"/>
      <c r="C351" s="15"/>
      <c r="D351" s="37"/>
      <c r="E351" s="15"/>
      <c r="F351" s="15"/>
      <c r="G351" s="15"/>
      <c r="H351" s="15"/>
      <c r="I351" s="15"/>
      <c r="J351" s="39"/>
      <c r="K351" s="40"/>
      <c r="L351" s="8"/>
      <c r="M351" s="8"/>
      <c r="N351" s="8"/>
      <c r="O351" s="8"/>
      <c r="P351" s="8"/>
      <c r="Q351" s="8"/>
      <c r="R351" s="8"/>
      <c r="S351" s="8"/>
      <c r="T351" s="8"/>
      <c r="U351" s="8"/>
      <c r="V351" s="8"/>
      <c r="W351" s="8"/>
      <c r="X351" s="8"/>
      <c r="Y351" s="8"/>
      <c r="Z351" s="8"/>
      <c r="AA351" s="8"/>
    </row>
    <row r="352" spans="1:27" ht="15">
      <c r="A352" s="15"/>
      <c r="B352" s="36"/>
      <c r="C352" s="15"/>
      <c r="D352" s="37"/>
      <c r="E352" s="15"/>
      <c r="F352" s="15"/>
      <c r="G352" s="15"/>
      <c r="H352" s="15"/>
      <c r="I352" s="15"/>
      <c r="J352" s="39"/>
      <c r="K352" s="40"/>
      <c r="L352" s="8"/>
      <c r="M352" s="8"/>
      <c r="N352" s="8"/>
      <c r="O352" s="8"/>
      <c r="P352" s="8"/>
      <c r="Q352" s="8"/>
      <c r="R352" s="8"/>
      <c r="S352" s="8"/>
      <c r="T352" s="8"/>
      <c r="U352" s="8"/>
      <c r="V352" s="8"/>
      <c r="W352" s="8"/>
      <c r="X352" s="8"/>
      <c r="Y352" s="8"/>
      <c r="Z352" s="8"/>
      <c r="AA352" s="8"/>
    </row>
    <row r="353" spans="1:27" ht="15">
      <c r="A353" s="15"/>
      <c r="B353" s="36"/>
      <c r="C353" s="15"/>
      <c r="D353" s="37"/>
      <c r="E353" s="15"/>
      <c r="F353" s="15"/>
      <c r="G353" s="15"/>
      <c r="H353" s="15"/>
      <c r="I353" s="15"/>
      <c r="J353" s="39"/>
      <c r="K353" s="40"/>
      <c r="L353" s="8"/>
      <c r="M353" s="8"/>
      <c r="N353" s="8"/>
      <c r="O353" s="8"/>
      <c r="P353" s="8"/>
      <c r="Q353" s="8"/>
      <c r="R353" s="8"/>
      <c r="S353" s="8"/>
      <c r="T353" s="8"/>
      <c r="U353" s="8"/>
      <c r="V353" s="8"/>
      <c r="W353" s="8"/>
      <c r="X353" s="8"/>
      <c r="Y353" s="8"/>
      <c r="Z353" s="8"/>
      <c r="AA353" s="8"/>
    </row>
    <row r="354" spans="1:27" ht="15">
      <c r="A354" s="15"/>
      <c r="B354" s="36"/>
      <c r="C354" s="15"/>
      <c r="D354" s="37"/>
      <c r="E354" s="15"/>
      <c r="F354" s="15"/>
      <c r="G354" s="15"/>
      <c r="H354" s="15"/>
      <c r="I354" s="15"/>
      <c r="J354" s="39"/>
      <c r="K354" s="40"/>
      <c r="L354" s="8"/>
      <c r="M354" s="8"/>
      <c r="N354" s="8"/>
      <c r="O354" s="8"/>
      <c r="P354" s="8"/>
      <c r="Q354" s="8"/>
      <c r="R354" s="8"/>
      <c r="S354" s="8"/>
      <c r="T354" s="8"/>
      <c r="U354" s="8"/>
      <c r="V354" s="8"/>
      <c r="W354" s="8"/>
      <c r="X354" s="8"/>
      <c r="Y354" s="8"/>
      <c r="Z354" s="8"/>
      <c r="AA354" s="8"/>
    </row>
    <row r="355" spans="1:27" ht="15">
      <c r="A355" s="15"/>
      <c r="B355" s="36"/>
      <c r="C355" s="15"/>
      <c r="D355" s="37"/>
      <c r="E355" s="15"/>
      <c r="F355" s="15"/>
      <c r="G355" s="15"/>
      <c r="H355" s="15"/>
      <c r="I355" s="15"/>
      <c r="J355" s="39"/>
      <c r="K355" s="40"/>
      <c r="L355" s="8"/>
      <c r="M355" s="8"/>
      <c r="N355" s="8"/>
      <c r="O355" s="8"/>
      <c r="P355" s="8"/>
      <c r="Q355" s="8"/>
      <c r="R355" s="8"/>
      <c r="S355" s="8"/>
      <c r="T355" s="8"/>
      <c r="U355" s="8"/>
      <c r="V355" s="8"/>
      <c r="W355" s="8"/>
      <c r="X355" s="8"/>
      <c r="Y355" s="8"/>
      <c r="Z355" s="8"/>
      <c r="AA355" s="8"/>
    </row>
    <row r="356" spans="1:27" ht="15">
      <c r="A356" s="15"/>
      <c r="B356" s="36"/>
      <c r="C356" s="15"/>
      <c r="D356" s="37"/>
      <c r="E356" s="15"/>
      <c r="F356" s="15"/>
      <c r="G356" s="15"/>
      <c r="H356" s="15"/>
      <c r="I356" s="15"/>
      <c r="J356" s="39"/>
      <c r="K356" s="40"/>
      <c r="L356" s="8"/>
      <c r="M356" s="8"/>
      <c r="N356" s="8"/>
      <c r="O356" s="8"/>
      <c r="P356" s="8"/>
      <c r="Q356" s="8"/>
      <c r="R356" s="8"/>
      <c r="S356" s="8"/>
      <c r="T356" s="8"/>
      <c r="U356" s="8"/>
      <c r="V356" s="8"/>
      <c r="W356" s="8"/>
      <c r="X356" s="8"/>
      <c r="Y356" s="8"/>
      <c r="Z356" s="8"/>
      <c r="AA356" s="8"/>
    </row>
    <row r="357" spans="1:27" ht="15">
      <c r="A357" s="15"/>
      <c r="B357" s="36"/>
      <c r="C357" s="15"/>
      <c r="D357" s="37"/>
      <c r="E357" s="15"/>
      <c r="F357" s="15"/>
      <c r="G357" s="15"/>
      <c r="H357" s="15"/>
      <c r="I357" s="15"/>
      <c r="J357" s="39"/>
      <c r="K357" s="40"/>
      <c r="L357" s="8"/>
      <c r="M357" s="8"/>
      <c r="N357" s="8"/>
      <c r="O357" s="8"/>
      <c r="P357" s="8"/>
      <c r="Q357" s="8"/>
      <c r="R357" s="8"/>
      <c r="S357" s="8"/>
      <c r="T357" s="8"/>
      <c r="U357" s="8"/>
      <c r="V357" s="8"/>
      <c r="W357" s="8"/>
      <c r="X357" s="8"/>
      <c r="Y357" s="8"/>
      <c r="Z357" s="8"/>
      <c r="AA357" s="8"/>
    </row>
    <row r="358" spans="1:27" ht="15">
      <c r="A358" s="15"/>
      <c r="B358" s="36"/>
      <c r="C358" s="15"/>
      <c r="D358" s="37"/>
      <c r="E358" s="15"/>
      <c r="F358" s="15"/>
      <c r="G358" s="15"/>
      <c r="H358" s="15"/>
      <c r="I358" s="15"/>
      <c r="J358" s="39"/>
      <c r="K358" s="40"/>
      <c r="L358" s="8"/>
      <c r="M358" s="8"/>
      <c r="N358" s="8"/>
      <c r="O358" s="8"/>
      <c r="P358" s="8"/>
      <c r="Q358" s="8"/>
      <c r="R358" s="8"/>
      <c r="S358" s="8"/>
      <c r="T358" s="8"/>
      <c r="U358" s="8"/>
      <c r="V358" s="8"/>
      <c r="W358" s="8"/>
      <c r="X358" s="8"/>
      <c r="Y358" s="8"/>
      <c r="Z358" s="8"/>
      <c r="AA358" s="8"/>
    </row>
    <row r="359" spans="1:27" ht="15">
      <c r="A359" s="15"/>
      <c r="B359" s="36"/>
      <c r="C359" s="15"/>
      <c r="D359" s="37"/>
      <c r="E359" s="15"/>
      <c r="F359" s="15"/>
      <c r="G359" s="15"/>
      <c r="H359" s="15"/>
      <c r="I359" s="15"/>
      <c r="J359" s="39"/>
      <c r="K359" s="40"/>
      <c r="L359" s="8"/>
      <c r="M359" s="8"/>
      <c r="N359" s="8"/>
      <c r="O359" s="8"/>
      <c r="P359" s="8"/>
      <c r="Q359" s="8"/>
      <c r="R359" s="8"/>
      <c r="S359" s="8"/>
      <c r="T359" s="8"/>
      <c r="U359" s="8"/>
      <c r="V359" s="8"/>
      <c r="W359" s="8"/>
      <c r="X359" s="8"/>
      <c r="Y359" s="8"/>
      <c r="Z359" s="8"/>
      <c r="AA359" s="8"/>
    </row>
    <row r="360" spans="1:27" ht="15">
      <c r="A360" s="15"/>
      <c r="B360" s="36"/>
      <c r="C360" s="15"/>
      <c r="D360" s="37"/>
      <c r="E360" s="15"/>
      <c r="F360" s="15"/>
      <c r="G360" s="15"/>
      <c r="H360" s="15"/>
      <c r="I360" s="15"/>
      <c r="J360" s="39"/>
      <c r="K360" s="40"/>
      <c r="L360" s="8"/>
      <c r="M360" s="8"/>
      <c r="N360" s="8"/>
      <c r="O360" s="8"/>
      <c r="P360" s="8"/>
      <c r="Q360" s="8"/>
      <c r="R360" s="8"/>
      <c r="S360" s="8"/>
      <c r="T360" s="8"/>
      <c r="U360" s="8"/>
      <c r="V360" s="8"/>
      <c r="W360" s="8"/>
      <c r="X360" s="8"/>
      <c r="Y360" s="8"/>
      <c r="Z360" s="8"/>
      <c r="AA360" s="8"/>
    </row>
    <row r="361" spans="1:27" ht="15">
      <c r="A361" s="15"/>
      <c r="B361" s="36"/>
      <c r="C361" s="15"/>
      <c r="D361" s="37"/>
      <c r="E361" s="15"/>
      <c r="F361" s="15"/>
      <c r="G361" s="15"/>
      <c r="H361" s="15"/>
      <c r="I361" s="15"/>
      <c r="J361" s="39"/>
      <c r="K361" s="40"/>
      <c r="L361" s="8"/>
      <c r="M361" s="8"/>
      <c r="N361" s="8"/>
      <c r="O361" s="8"/>
      <c r="P361" s="8"/>
      <c r="Q361" s="8"/>
      <c r="R361" s="8"/>
      <c r="S361" s="8"/>
      <c r="T361" s="8"/>
      <c r="U361" s="8"/>
      <c r="V361" s="8"/>
      <c r="W361" s="8"/>
      <c r="X361" s="8"/>
      <c r="Y361" s="8"/>
      <c r="Z361" s="8"/>
      <c r="AA361" s="8"/>
    </row>
    <row r="362" spans="1:27" ht="15">
      <c r="A362" s="15"/>
      <c r="B362" s="36"/>
      <c r="C362" s="15"/>
      <c r="D362" s="37"/>
      <c r="E362" s="15"/>
      <c r="F362" s="15"/>
      <c r="G362" s="15"/>
      <c r="H362" s="15"/>
      <c r="I362" s="15"/>
      <c r="J362" s="39"/>
      <c r="K362" s="40"/>
      <c r="L362" s="8"/>
      <c r="M362" s="8"/>
      <c r="N362" s="8"/>
      <c r="O362" s="8"/>
      <c r="P362" s="8"/>
      <c r="Q362" s="8"/>
      <c r="R362" s="8"/>
      <c r="S362" s="8"/>
      <c r="T362" s="8"/>
      <c r="U362" s="8"/>
      <c r="V362" s="8"/>
      <c r="W362" s="8"/>
      <c r="X362" s="8"/>
      <c r="Y362" s="8"/>
      <c r="Z362" s="8"/>
      <c r="AA362" s="8"/>
    </row>
    <row r="363" spans="1:27" ht="15">
      <c r="A363" s="15"/>
      <c r="B363" s="36"/>
      <c r="C363" s="15"/>
      <c r="D363" s="37"/>
      <c r="E363" s="15"/>
      <c r="F363" s="15"/>
      <c r="G363" s="15"/>
      <c r="H363" s="15"/>
      <c r="I363" s="15"/>
      <c r="J363" s="39"/>
      <c r="K363" s="40"/>
      <c r="L363" s="8"/>
      <c r="M363" s="8"/>
      <c r="N363" s="8"/>
      <c r="O363" s="8"/>
      <c r="P363" s="8"/>
      <c r="Q363" s="8"/>
      <c r="R363" s="8"/>
      <c r="S363" s="8"/>
      <c r="T363" s="8"/>
      <c r="U363" s="8"/>
      <c r="V363" s="8"/>
      <c r="W363" s="8"/>
      <c r="X363" s="8"/>
      <c r="Y363" s="8"/>
      <c r="Z363" s="8"/>
      <c r="AA363" s="8"/>
    </row>
    <row r="364" spans="1:27" ht="15">
      <c r="A364" s="15"/>
      <c r="B364" s="36"/>
      <c r="C364" s="15"/>
      <c r="D364" s="37"/>
      <c r="E364" s="15"/>
      <c r="F364" s="15"/>
      <c r="G364" s="15"/>
      <c r="H364" s="15"/>
      <c r="I364" s="15"/>
      <c r="J364" s="39"/>
      <c r="K364" s="40"/>
      <c r="L364" s="8"/>
      <c r="M364" s="8"/>
      <c r="N364" s="8"/>
      <c r="O364" s="8"/>
      <c r="P364" s="8"/>
      <c r="Q364" s="8"/>
      <c r="R364" s="8"/>
      <c r="S364" s="8"/>
      <c r="T364" s="8"/>
      <c r="U364" s="8"/>
      <c r="V364" s="8"/>
      <c r="W364" s="8"/>
      <c r="X364" s="8"/>
      <c r="Y364" s="8"/>
      <c r="Z364" s="8"/>
      <c r="AA364" s="8"/>
    </row>
    <row r="365" spans="1:27" ht="15">
      <c r="A365" s="15"/>
      <c r="B365" s="36"/>
      <c r="C365" s="15"/>
      <c r="D365" s="37"/>
      <c r="E365" s="15"/>
      <c r="F365" s="15"/>
      <c r="G365" s="15"/>
      <c r="H365" s="15"/>
      <c r="I365" s="15"/>
      <c r="J365" s="39"/>
      <c r="K365" s="40"/>
      <c r="L365" s="8"/>
      <c r="M365" s="8"/>
      <c r="N365" s="8"/>
      <c r="O365" s="8"/>
      <c r="P365" s="8"/>
      <c r="Q365" s="8"/>
      <c r="R365" s="8"/>
      <c r="S365" s="8"/>
      <c r="T365" s="8"/>
      <c r="U365" s="8"/>
      <c r="V365" s="8"/>
      <c r="W365" s="8"/>
      <c r="X365" s="8"/>
      <c r="Y365" s="8"/>
      <c r="Z365" s="8"/>
      <c r="AA365" s="8"/>
    </row>
    <row r="366" spans="1:27" ht="15">
      <c r="A366" s="15"/>
      <c r="B366" s="36"/>
      <c r="C366" s="15"/>
      <c r="D366" s="37"/>
      <c r="E366" s="15"/>
      <c r="F366" s="15"/>
      <c r="G366" s="15"/>
      <c r="H366" s="15"/>
      <c r="I366" s="15"/>
      <c r="J366" s="39"/>
      <c r="K366" s="40"/>
      <c r="L366" s="8"/>
      <c r="M366" s="8"/>
      <c r="N366" s="8"/>
      <c r="O366" s="8"/>
      <c r="P366" s="8"/>
      <c r="Q366" s="8"/>
      <c r="R366" s="8"/>
      <c r="S366" s="8"/>
      <c r="T366" s="8"/>
      <c r="U366" s="8"/>
      <c r="V366" s="8"/>
      <c r="W366" s="8"/>
      <c r="X366" s="8"/>
      <c r="Y366" s="8"/>
      <c r="Z366" s="8"/>
      <c r="AA366" s="8"/>
    </row>
    <row r="367" spans="1:27" ht="15">
      <c r="A367" s="15"/>
      <c r="B367" s="36"/>
      <c r="C367" s="15"/>
      <c r="D367" s="37"/>
      <c r="E367" s="15"/>
      <c r="F367" s="15"/>
      <c r="G367" s="15"/>
      <c r="H367" s="15"/>
      <c r="I367" s="15"/>
      <c r="J367" s="39"/>
      <c r="K367" s="40"/>
      <c r="L367" s="8"/>
      <c r="M367" s="8"/>
      <c r="N367" s="8"/>
      <c r="O367" s="8"/>
      <c r="P367" s="8"/>
      <c r="Q367" s="8"/>
      <c r="R367" s="8"/>
      <c r="S367" s="8"/>
      <c r="T367" s="8"/>
      <c r="U367" s="8"/>
      <c r="V367" s="8"/>
      <c r="W367" s="8"/>
      <c r="X367" s="8"/>
      <c r="Y367" s="8"/>
      <c r="Z367" s="8"/>
      <c r="AA367" s="8"/>
    </row>
    <row r="368" spans="1:27" ht="15">
      <c r="A368" s="15"/>
      <c r="B368" s="36"/>
      <c r="C368" s="15"/>
      <c r="D368" s="37"/>
      <c r="E368" s="15"/>
      <c r="F368" s="15"/>
      <c r="G368" s="15"/>
      <c r="H368" s="15"/>
      <c r="I368" s="15"/>
      <c r="J368" s="39"/>
      <c r="K368" s="40"/>
      <c r="L368" s="8"/>
      <c r="M368" s="8"/>
      <c r="N368" s="8"/>
      <c r="O368" s="8"/>
      <c r="P368" s="8"/>
      <c r="Q368" s="8"/>
      <c r="R368" s="8"/>
      <c r="S368" s="8"/>
      <c r="T368" s="8"/>
      <c r="U368" s="8"/>
      <c r="V368" s="8"/>
      <c r="W368" s="8"/>
      <c r="X368" s="8"/>
      <c r="Y368" s="8"/>
      <c r="Z368" s="8"/>
      <c r="AA368" s="8"/>
    </row>
    <row r="369" spans="1:27" ht="15">
      <c r="A369" s="15"/>
      <c r="B369" s="36"/>
      <c r="C369" s="15"/>
      <c r="D369" s="37"/>
      <c r="E369" s="15"/>
      <c r="F369" s="15"/>
      <c r="G369" s="15"/>
      <c r="H369" s="15"/>
      <c r="I369" s="15"/>
      <c r="J369" s="39"/>
      <c r="K369" s="40"/>
      <c r="L369" s="8"/>
      <c r="M369" s="8"/>
      <c r="N369" s="8"/>
      <c r="O369" s="8"/>
      <c r="P369" s="8"/>
      <c r="Q369" s="8"/>
      <c r="R369" s="8"/>
      <c r="S369" s="8"/>
      <c r="T369" s="8"/>
      <c r="U369" s="8"/>
      <c r="V369" s="8"/>
      <c r="W369" s="8"/>
      <c r="X369" s="8"/>
      <c r="Y369" s="8"/>
      <c r="Z369" s="8"/>
      <c r="AA369" s="8"/>
    </row>
    <row r="370" spans="1:27" ht="15">
      <c r="A370" s="15"/>
      <c r="B370" s="36"/>
      <c r="C370" s="15"/>
      <c r="D370" s="37"/>
      <c r="E370" s="15"/>
      <c r="F370" s="15"/>
      <c r="G370" s="15"/>
      <c r="H370" s="15"/>
      <c r="I370" s="15"/>
      <c r="J370" s="39"/>
      <c r="K370" s="40"/>
      <c r="L370" s="8"/>
      <c r="M370" s="8"/>
      <c r="N370" s="8"/>
      <c r="O370" s="8"/>
      <c r="P370" s="8"/>
      <c r="Q370" s="8"/>
      <c r="R370" s="8"/>
      <c r="S370" s="8"/>
      <c r="T370" s="8"/>
      <c r="U370" s="8"/>
      <c r="V370" s="8"/>
      <c r="W370" s="8"/>
      <c r="X370" s="8"/>
      <c r="Y370" s="8"/>
      <c r="Z370" s="8"/>
      <c r="AA370" s="8"/>
    </row>
    <row r="371" spans="1:27" ht="15">
      <c r="A371" s="15"/>
      <c r="B371" s="36"/>
      <c r="C371" s="15"/>
      <c r="D371" s="37"/>
      <c r="E371" s="15"/>
      <c r="F371" s="15"/>
      <c r="G371" s="15"/>
      <c r="H371" s="15"/>
      <c r="I371" s="15"/>
      <c r="J371" s="39"/>
      <c r="K371" s="40"/>
      <c r="L371" s="8"/>
      <c r="M371" s="8"/>
      <c r="N371" s="8"/>
      <c r="O371" s="8"/>
      <c r="P371" s="8"/>
      <c r="Q371" s="8"/>
      <c r="R371" s="8"/>
      <c r="S371" s="8"/>
      <c r="T371" s="8"/>
      <c r="U371" s="8"/>
      <c r="V371" s="8"/>
      <c r="W371" s="8"/>
      <c r="X371" s="8"/>
      <c r="Y371" s="8"/>
      <c r="Z371" s="8"/>
      <c r="AA371" s="8"/>
    </row>
    <row r="372" spans="1:27" ht="15">
      <c r="A372" s="15"/>
      <c r="B372" s="36"/>
      <c r="C372" s="15"/>
      <c r="D372" s="37"/>
      <c r="E372" s="15"/>
      <c r="F372" s="15"/>
      <c r="G372" s="15"/>
      <c r="H372" s="15"/>
      <c r="I372" s="15"/>
      <c r="J372" s="39"/>
      <c r="K372" s="40"/>
      <c r="L372" s="8"/>
      <c r="M372" s="8"/>
      <c r="N372" s="8"/>
      <c r="O372" s="8"/>
      <c r="P372" s="8"/>
      <c r="Q372" s="8"/>
      <c r="R372" s="8"/>
      <c r="S372" s="8"/>
      <c r="T372" s="8"/>
      <c r="U372" s="8"/>
      <c r="V372" s="8"/>
      <c r="W372" s="8"/>
      <c r="X372" s="8"/>
      <c r="Y372" s="8"/>
      <c r="Z372" s="8"/>
      <c r="AA372" s="8"/>
    </row>
    <row r="373" spans="1:27" ht="15">
      <c r="A373" s="15"/>
      <c r="B373" s="36"/>
      <c r="C373" s="15"/>
      <c r="D373" s="37"/>
      <c r="E373" s="15"/>
      <c r="F373" s="15"/>
      <c r="G373" s="15"/>
      <c r="H373" s="15"/>
      <c r="I373" s="15"/>
      <c r="J373" s="39"/>
      <c r="K373" s="40"/>
      <c r="L373" s="8"/>
      <c r="M373" s="8"/>
      <c r="N373" s="8"/>
      <c r="O373" s="8"/>
      <c r="P373" s="8"/>
      <c r="Q373" s="8"/>
      <c r="R373" s="8"/>
      <c r="S373" s="8"/>
      <c r="T373" s="8"/>
      <c r="U373" s="8"/>
      <c r="V373" s="8"/>
      <c r="W373" s="8"/>
      <c r="X373" s="8"/>
      <c r="Y373" s="8"/>
      <c r="Z373" s="8"/>
      <c r="AA373" s="8"/>
    </row>
    <row r="374" spans="1:27" ht="15">
      <c r="A374" s="15"/>
      <c r="B374" s="36"/>
      <c r="C374" s="15"/>
      <c r="D374" s="37"/>
      <c r="E374" s="15"/>
      <c r="F374" s="15"/>
      <c r="G374" s="15"/>
      <c r="H374" s="15"/>
      <c r="I374" s="15"/>
      <c r="J374" s="39"/>
      <c r="K374" s="40"/>
      <c r="L374" s="8"/>
      <c r="M374" s="8"/>
      <c r="N374" s="8"/>
      <c r="O374" s="8"/>
      <c r="P374" s="8"/>
      <c r="Q374" s="8"/>
      <c r="R374" s="8"/>
      <c r="S374" s="8"/>
      <c r="T374" s="8"/>
      <c r="U374" s="8"/>
      <c r="V374" s="8"/>
      <c r="W374" s="8"/>
      <c r="X374" s="8"/>
      <c r="Y374" s="8"/>
      <c r="Z374" s="8"/>
      <c r="AA374" s="8"/>
    </row>
    <row r="375" spans="1:27" ht="15">
      <c r="A375" s="15"/>
      <c r="B375" s="36"/>
      <c r="C375" s="15"/>
      <c r="D375" s="37"/>
      <c r="E375" s="15"/>
      <c r="F375" s="15"/>
      <c r="G375" s="15"/>
      <c r="H375" s="15"/>
      <c r="I375" s="15"/>
      <c r="J375" s="39"/>
      <c r="K375" s="40"/>
      <c r="L375" s="8"/>
      <c r="M375" s="8"/>
      <c r="N375" s="8"/>
      <c r="O375" s="8"/>
      <c r="P375" s="8"/>
      <c r="Q375" s="8"/>
      <c r="R375" s="8"/>
      <c r="S375" s="8"/>
      <c r="T375" s="8"/>
      <c r="U375" s="8"/>
      <c r="V375" s="8"/>
      <c r="W375" s="8"/>
      <c r="X375" s="8"/>
      <c r="Y375" s="8"/>
      <c r="Z375" s="8"/>
      <c r="AA375" s="8"/>
    </row>
    <row r="376" spans="1:27" ht="15">
      <c r="A376" s="15"/>
      <c r="B376" s="36"/>
      <c r="C376" s="15"/>
      <c r="D376" s="37"/>
      <c r="E376" s="15"/>
      <c r="F376" s="15"/>
      <c r="G376" s="15"/>
      <c r="H376" s="15"/>
      <c r="I376" s="15"/>
      <c r="J376" s="39"/>
      <c r="K376" s="40"/>
      <c r="L376" s="8"/>
      <c r="M376" s="8"/>
      <c r="N376" s="8"/>
      <c r="O376" s="8"/>
      <c r="P376" s="8"/>
      <c r="Q376" s="8"/>
      <c r="R376" s="8"/>
      <c r="S376" s="8"/>
      <c r="T376" s="8"/>
      <c r="U376" s="8"/>
      <c r="V376" s="8"/>
      <c r="W376" s="8"/>
      <c r="X376" s="8"/>
      <c r="Y376" s="8"/>
      <c r="Z376" s="8"/>
      <c r="AA376" s="8"/>
    </row>
    <row r="377" spans="1:27" ht="15">
      <c r="A377" s="15"/>
      <c r="B377" s="36"/>
      <c r="C377" s="15"/>
      <c r="D377" s="37"/>
      <c r="E377" s="15"/>
      <c r="F377" s="15"/>
      <c r="G377" s="15"/>
      <c r="H377" s="15"/>
      <c r="I377" s="15"/>
      <c r="J377" s="39"/>
      <c r="K377" s="40"/>
      <c r="L377" s="8"/>
      <c r="M377" s="8"/>
      <c r="N377" s="8"/>
      <c r="O377" s="8"/>
      <c r="P377" s="8"/>
      <c r="Q377" s="8"/>
      <c r="R377" s="8"/>
      <c r="S377" s="8"/>
      <c r="T377" s="8"/>
      <c r="U377" s="8"/>
      <c r="V377" s="8"/>
      <c r="W377" s="8"/>
      <c r="X377" s="8"/>
      <c r="Y377" s="8"/>
      <c r="Z377" s="8"/>
      <c r="AA377" s="8"/>
    </row>
    <row r="378" spans="1:27" ht="15">
      <c r="A378" s="15"/>
      <c r="B378" s="36"/>
      <c r="C378" s="15"/>
      <c r="D378" s="37"/>
      <c r="E378" s="15"/>
      <c r="F378" s="15"/>
      <c r="G378" s="15"/>
      <c r="H378" s="15"/>
      <c r="I378" s="15"/>
      <c r="J378" s="39"/>
      <c r="K378" s="40"/>
      <c r="L378" s="8"/>
      <c r="M378" s="8"/>
      <c r="N378" s="8"/>
      <c r="O378" s="8"/>
      <c r="P378" s="8"/>
      <c r="Q378" s="8"/>
      <c r="R378" s="8"/>
      <c r="S378" s="8"/>
      <c r="T378" s="8"/>
      <c r="U378" s="8"/>
      <c r="V378" s="8"/>
      <c r="W378" s="8"/>
      <c r="X378" s="8"/>
      <c r="Y378" s="8"/>
      <c r="Z378" s="8"/>
      <c r="AA378" s="8"/>
    </row>
    <row r="379" spans="1:27" ht="15">
      <c r="A379" s="15"/>
      <c r="B379" s="36"/>
      <c r="C379" s="15"/>
      <c r="D379" s="37"/>
      <c r="E379" s="15"/>
      <c r="F379" s="15"/>
      <c r="G379" s="15"/>
      <c r="H379" s="15"/>
      <c r="I379" s="15"/>
      <c r="J379" s="39"/>
      <c r="K379" s="40"/>
      <c r="L379" s="8"/>
      <c r="M379" s="8"/>
      <c r="N379" s="8"/>
      <c r="O379" s="8"/>
      <c r="P379" s="8"/>
      <c r="Q379" s="8"/>
      <c r="R379" s="8"/>
      <c r="S379" s="8"/>
      <c r="T379" s="8"/>
      <c r="U379" s="8"/>
      <c r="V379" s="8"/>
      <c r="W379" s="8"/>
      <c r="X379" s="8"/>
      <c r="Y379" s="8"/>
      <c r="Z379" s="8"/>
      <c r="AA379" s="8"/>
    </row>
    <row r="380" spans="1:27" ht="15">
      <c r="A380" s="15"/>
      <c r="B380" s="36"/>
      <c r="C380" s="15"/>
      <c r="D380" s="37"/>
      <c r="E380" s="15"/>
      <c r="F380" s="15"/>
      <c r="G380" s="15"/>
      <c r="H380" s="15"/>
      <c r="I380" s="15"/>
      <c r="J380" s="39"/>
      <c r="K380" s="40"/>
      <c r="L380" s="8"/>
      <c r="M380" s="8"/>
      <c r="N380" s="8"/>
      <c r="O380" s="8"/>
      <c r="P380" s="8"/>
      <c r="Q380" s="8"/>
      <c r="R380" s="8"/>
      <c r="S380" s="8"/>
      <c r="T380" s="8"/>
      <c r="U380" s="8"/>
      <c r="V380" s="8"/>
      <c r="W380" s="8"/>
      <c r="X380" s="8"/>
      <c r="Y380" s="8"/>
      <c r="Z380" s="8"/>
      <c r="AA380" s="8"/>
    </row>
    <row r="381" spans="1:27" ht="15">
      <c r="A381" s="15"/>
      <c r="B381" s="36"/>
      <c r="C381" s="15"/>
      <c r="D381" s="37"/>
      <c r="E381" s="15"/>
      <c r="F381" s="15"/>
      <c r="G381" s="15"/>
      <c r="H381" s="15"/>
      <c r="I381" s="15"/>
      <c r="J381" s="39"/>
      <c r="K381" s="40"/>
      <c r="L381" s="8"/>
      <c r="M381" s="8"/>
      <c r="N381" s="8"/>
      <c r="O381" s="8"/>
      <c r="P381" s="8"/>
      <c r="Q381" s="8"/>
      <c r="R381" s="8"/>
      <c r="S381" s="8"/>
      <c r="T381" s="8"/>
      <c r="U381" s="8"/>
      <c r="V381" s="8"/>
      <c r="W381" s="8"/>
      <c r="X381" s="8"/>
      <c r="Y381" s="8"/>
      <c r="Z381" s="8"/>
      <c r="AA381" s="8"/>
    </row>
    <row r="382" spans="1:27" ht="15">
      <c r="A382" s="15"/>
      <c r="B382" s="36"/>
      <c r="C382" s="15"/>
      <c r="D382" s="37"/>
      <c r="E382" s="15"/>
      <c r="F382" s="15"/>
      <c r="G382" s="15"/>
      <c r="H382" s="15"/>
      <c r="I382" s="15"/>
      <c r="J382" s="39"/>
      <c r="K382" s="40"/>
      <c r="L382" s="8"/>
      <c r="M382" s="8"/>
      <c r="N382" s="8"/>
      <c r="O382" s="8"/>
      <c r="P382" s="8"/>
      <c r="Q382" s="8"/>
      <c r="R382" s="8"/>
      <c r="S382" s="8"/>
      <c r="T382" s="8"/>
      <c r="U382" s="8"/>
      <c r="V382" s="8"/>
      <c r="W382" s="8"/>
      <c r="X382" s="8"/>
      <c r="Y382" s="8"/>
      <c r="Z382" s="8"/>
      <c r="AA382" s="8"/>
    </row>
    <row r="383" spans="1:27" ht="15">
      <c r="A383" s="15"/>
      <c r="B383" s="36"/>
      <c r="C383" s="15"/>
      <c r="D383" s="37"/>
      <c r="E383" s="15"/>
      <c r="F383" s="15"/>
      <c r="G383" s="15"/>
      <c r="H383" s="15"/>
      <c r="I383" s="15"/>
      <c r="J383" s="39"/>
      <c r="K383" s="40"/>
      <c r="L383" s="8"/>
      <c r="M383" s="8"/>
      <c r="N383" s="8"/>
      <c r="O383" s="8"/>
      <c r="P383" s="8"/>
      <c r="Q383" s="8"/>
      <c r="R383" s="8"/>
      <c r="S383" s="8"/>
      <c r="T383" s="8"/>
      <c r="U383" s="8"/>
      <c r="V383" s="8"/>
      <c r="W383" s="8"/>
      <c r="X383" s="8"/>
      <c r="Y383" s="8"/>
      <c r="Z383" s="8"/>
      <c r="AA383" s="8"/>
    </row>
    <row r="384" spans="1:27" ht="15">
      <c r="A384" s="15"/>
      <c r="B384" s="36"/>
      <c r="C384" s="15"/>
      <c r="D384" s="37"/>
      <c r="E384" s="15"/>
      <c r="F384" s="15"/>
      <c r="G384" s="15"/>
      <c r="H384" s="15"/>
      <c r="I384" s="15"/>
      <c r="J384" s="39"/>
      <c r="K384" s="40"/>
      <c r="L384" s="8"/>
      <c r="M384" s="8"/>
      <c r="N384" s="8"/>
      <c r="O384" s="8"/>
      <c r="P384" s="8"/>
      <c r="Q384" s="8"/>
      <c r="R384" s="8"/>
      <c r="S384" s="8"/>
      <c r="T384" s="8"/>
      <c r="U384" s="8"/>
      <c r="V384" s="8"/>
      <c r="W384" s="8"/>
      <c r="X384" s="8"/>
      <c r="Y384" s="8"/>
      <c r="Z384" s="8"/>
      <c r="AA384" s="8"/>
    </row>
    <row r="385" spans="1:27" ht="15">
      <c r="A385" s="15"/>
      <c r="B385" s="36"/>
      <c r="C385" s="15"/>
      <c r="D385" s="37"/>
      <c r="E385" s="15"/>
      <c r="F385" s="15"/>
      <c r="G385" s="15"/>
      <c r="H385" s="15"/>
      <c r="I385" s="15"/>
      <c r="J385" s="39"/>
      <c r="K385" s="40"/>
      <c r="L385" s="8"/>
      <c r="M385" s="8"/>
      <c r="N385" s="8"/>
      <c r="O385" s="8"/>
      <c r="P385" s="8"/>
      <c r="Q385" s="8"/>
      <c r="R385" s="8"/>
      <c r="S385" s="8"/>
      <c r="T385" s="8"/>
      <c r="U385" s="8"/>
      <c r="V385" s="8"/>
      <c r="W385" s="8"/>
      <c r="X385" s="8"/>
      <c r="Y385" s="8"/>
      <c r="Z385" s="8"/>
      <c r="AA385" s="8"/>
    </row>
    <row r="386" spans="1:27" ht="15">
      <c r="A386" s="15"/>
      <c r="B386" s="36"/>
      <c r="C386" s="15"/>
      <c r="D386" s="37"/>
      <c r="E386" s="15"/>
      <c r="F386" s="15"/>
      <c r="G386" s="15"/>
      <c r="H386" s="15"/>
      <c r="I386" s="15"/>
      <c r="J386" s="39"/>
      <c r="K386" s="40"/>
      <c r="L386" s="8"/>
      <c r="M386" s="8"/>
      <c r="N386" s="8"/>
      <c r="O386" s="8"/>
      <c r="P386" s="8"/>
      <c r="Q386" s="8"/>
      <c r="R386" s="8"/>
      <c r="S386" s="8"/>
      <c r="T386" s="8"/>
      <c r="U386" s="8"/>
      <c r="V386" s="8"/>
      <c r="W386" s="8"/>
      <c r="X386" s="8"/>
      <c r="Y386" s="8"/>
      <c r="Z386" s="8"/>
      <c r="AA386" s="8"/>
    </row>
    <row r="387" spans="1:27" ht="15">
      <c r="A387" s="15"/>
      <c r="B387" s="36"/>
      <c r="C387" s="15"/>
      <c r="D387" s="37"/>
      <c r="E387" s="15"/>
      <c r="F387" s="15"/>
      <c r="G387" s="15"/>
      <c r="H387" s="15"/>
      <c r="I387" s="15"/>
      <c r="J387" s="39"/>
      <c r="K387" s="40"/>
      <c r="L387" s="8"/>
      <c r="M387" s="8"/>
      <c r="N387" s="8"/>
      <c r="O387" s="8"/>
      <c r="P387" s="8"/>
      <c r="Q387" s="8"/>
      <c r="R387" s="8"/>
      <c r="S387" s="8"/>
      <c r="T387" s="8"/>
      <c r="U387" s="8"/>
      <c r="V387" s="8"/>
      <c r="W387" s="8"/>
      <c r="X387" s="8"/>
      <c r="Y387" s="8"/>
      <c r="Z387" s="8"/>
      <c r="AA387" s="8"/>
    </row>
    <row r="388" spans="1:27" ht="15">
      <c r="A388" s="15"/>
      <c r="B388" s="36"/>
      <c r="C388" s="15"/>
      <c r="D388" s="37"/>
      <c r="E388" s="15"/>
      <c r="F388" s="15"/>
      <c r="G388" s="15"/>
      <c r="H388" s="15"/>
      <c r="I388" s="15"/>
      <c r="J388" s="39"/>
      <c r="K388" s="40"/>
      <c r="L388" s="8"/>
      <c r="M388" s="8"/>
      <c r="N388" s="8"/>
      <c r="O388" s="8"/>
      <c r="P388" s="8"/>
      <c r="Q388" s="8"/>
      <c r="R388" s="8"/>
      <c r="S388" s="8"/>
      <c r="T388" s="8"/>
      <c r="U388" s="8"/>
      <c r="V388" s="8"/>
      <c r="W388" s="8"/>
      <c r="X388" s="8"/>
      <c r="Y388" s="8"/>
      <c r="Z388" s="8"/>
      <c r="AA388" s="8"/>
    </row>
    <row r="389" spans="1:27" ht="15">
      <c r="A389" s="15"/>
      <c r="B389" s="36"/>
      <c r="C389" s="15"/>
      <c r="D389" s="37"/>
      <c r="E389" s="15"/>
      <c r="F389" s="15"/>
      <c r="G389" s="15"/>
      <c r="H389" s="15"/>
      <c r="I389" s="15"/>
      <c r="J389" s="39"/>
      <c r="K389" s="40"/>
      <c r="L389" s="8"/>
      <c r="M389" s="8"/>
      <c r="N389" s="8"/>
      <c r="O389" s="8"/>
      <c r="P389" s="8"/>
      <c r="Q389" s="8"/>
      <c r="R389" s="8"/>
      <c r="S389" s="8"/>
      <c r="T389" s="8"/>
      <c r="U389" s="8"/>
      <c r="V389" s="8"/>
      <c r="W389" s="8"/>
      <c r="X389" s="8"/>
      <c r="Y389" s="8"/>
      <c r="Z389" s="8"/>
      <c r="AA389" s="8"/>
    </row>
    <row r="390" spans="1:27" ht="15">
      <c r="A390" s="15"/>
      <c r="B390" s="36"/>
      <c r="C390" s="15"/>
      <c r="D390" s="37"/>
      <c r="E390" s="15"/>
      <c r="F390" s="15"/>
      <c r="G390" s="15"/>
      <c r="H390" s="15"/>
      <c r="I390" s="15"/>
      <c r="J390" s="39"/>
      <c r="K390" s="40"/>
      <c r="L390" s="8"/>
      <c r="M390" s="8"/>
      <c r="N390" s="8"/>
      <c r="O390" s="8"/>
      <c r="P390" s="8"/>
      <c r="Q390" s="8"/>
      <c r="R390" s="8"/>
      <c r="S390" s="8"/>
      <c r="T390" s="8"/>
      <c r="U390" s="8"/>
      <c r="V390" s="8"/>
      <c r="W390" s="8"/>
      <c r="X390" s="8"/>
      <c r="Y390" s="8"/>
      <c r="Z390" s="8"/>
      <c r="AA390" s="8"/>
    </row>
    <row r="391" spans="1:27" ht="15">
      <c r="A391" s="15"/>
      <c r="B391" s="36"/>
      <c r="C391" s="15"/>
      <c r="D391" s="37"/>
      <c r="E391" s="15"/>
      <c r="F391" s="15"/>
      <c r="G391" s="15"/>
      <c r="H391" s="15"/>
      <c r="I391" s="15"/>
      <c r="J391" s="39"/>
      <c r="K391" s="40"/>
      <c r="L391" s="8"/>
      <c r="M391" s="8"/>
      <c r="N391" s="8"/>
      <c r="O391" s="8"/>
      <c r="P391" s="8"/>
      <c r="Q391" s="8"/>
      <c r="R391" s="8"/>
      <c r="S391" s="8"/>
      <c r="T391" s="8"/>
      <c r="U391" s="8"/>
      <c r="V391" s="8"/>
      <c r="W391" s="8"/>
      <c r="X391" s="8"/>
      <c r="Y391" s="8"/>
      <c r="Z391" s="8"/>
      <c r="AA391" s="8"/>
    </row>
    <row r="392" spans="1:27" ht="15">
      <c r="A392" s="15"/>
      <c r="B392" s="36"/>
      <c r="C392" s="15"/>
      <c r="D392" s="37"/>
      <c r="E392" s="15"/>
      <c r="F392" s="15"/>
      <c r="G392" s="15"/>
      <c r="H392" s="15"/>
      <c r="I392" s="15"/>
      <c r="J392" s="39"/>
      <c r="K392" s="40"/>
      <c r="L392" s="8"/>
      <c r="M392" s="8"/>
      <c r="N392" s="8"/>
      <c r="O392" s="8"/>
      <c r="P392" s="8"/>
      <c r="Q392" s="8"/>
      <c r="R392" s="8"/>
      <c r="S392" s="8"/>
      <c r="T392" s="8"/>
      <c r="U392" s="8"/>
      <c r="V392" s="8"/>
      <c r="W392" s="8"/>
      <c r="X392" s="8"/>
      <c r="Y392" s="8"/>
      <c r="Z392" s="8"/>
      <c r="AA392" s="8"/>
    </row>
    <row r="393" spans="1:27" ht="15">
      <c r="A393" s="15"/>
      <c r="B393" s="36"/>
      <c r="C393" s="15"/>
      <c r="D393" s="37"/>
      <c r="E393" s="15"/>
      <c r="F393" s="15"/>
      <c r="G393" s="15"/>
      <c r="H393" s="15"/>
      <c r="I393" s="15"/>
      <c r="J393" s="39"/>
      <c r="K393" s="40"/>
      <c r="L393" s="8"/>
      <c r="M393" s="8"/>
      <c r="N393" s="8"/>
      <c r="O393" s="8"/>
      <c r="P393" s="8"/>
      <c r="Q393" s="8"/>
      <c r="R393" s="8"/>
      <c r="S393" s="8"/>
      <c r="T393" s="8"/>
      <c r="U393" s="8"/>
      <c r="V393" s="8"/>
      <c r="W393" s="8"/>
      <c r="X393" s="8"/>
      <c r="Y393" s="8"/>
      <c r="Z393" s="8"/>
      <c r="AA393" s="8"/>
    </row>
    <row r="394" spans="1:27" ht="15">
      <c r="A394" s="15"/>
      <c r="B394" s="36"/>
      <c r="C394" s="15"/>
      <c r="D394" s="37"/>
      <c r="E394" s="15"/>
      <c r="F394" s="15"/>
      <c r="G394" s="15"/>
      <c r="H394" s="15"/>
      <c r="I394" s="15"/>
      <c r="J394" s="39"/>
      <c r="K394" s="40"/>
      <c r="L394" s="8"/>
      <c r="M394" s="8"/>
      <c r="N394" s="8"/>
      <c r="O394" s="8"/>
      <c r="P394" s="8"/>
      <c r="Q394" s="8"/>
      <c r="R394" s="8"/>
      <c r="S394" s="8"/>
      <c r="T394" s="8"/>
      <c r="U394" s="8"/>
      <c r="V394" s="8"/>
      <c r="W394" s="8"/>
      <c r="X394" s="8"/>
      <c r="Y394" s="8"/>
      <c r="Z394" s="8"/>
      <c r="AA394" s="8"/>
    </row>
    <row r="395" spans="1:27" ht="15">
      <c r="A395" s="15"/>
      <c r="B395" s="36"/>
      <c r="C395" s="15"/>
      <c r="D395" s="37"/>
      <c r="E395" s="15"/>
      <c r="F395" s="15"/>
      <c r="G395" s="15"/>
      <c r="H395" s="15"/>
      <c r="I395" s="15"/>
      <c r="J395" s="39"/>
      <c r="K395" s="40"/>
      <c r="L395" s="8"/>
      <c r="M395" s="8"/>
      <c r="N395" s="8"/>
      <c r="O395" s="8"/>
      <c r="P395" s="8"/>
      <c r="Q395" s="8"/>
      <c r="R395" s="8"/>
      <c r="S395" s="8"/>
      <c r="T395" s="8"/>
      <c r="U395" s="8"/>
      <c r="V395" s="8"/>
      <c r="W395" s="8"/>
      <c r="X395" s="8"/>
      <c r="Y395" s="8"/>
      <c r="Z395" s="8"/>
      <c r="AA395" s="8"/>
    </row>
    <row r="396" spans="1:27" ht="15">
      <c r="A396" s="15"/>
      <c r="B396" s="36"/>
      <c r="C396" s="15"/>
      <c r="D396" s="37"/>
      <c r="E396" s="15"/>
      <c r="F396" s="15"/>
      <c r="G396" s="15"/>
      <c r="H396" s="15"/>
      <c r="I396" s="15"/>
      <c r="J396" s="39"/>
      <c r="K396" s="40"/>
      <c r="L396" s="8"/>
      <c r="M396" s="8"/>
      <c r="N396" s="8"/>
      <c r="O396" s="8"/>
      <c r="P396" s="8"/>
      <c r="Q396" s="8"/>
      <c r="R396" s="8"/>
      <c r="S396" s="8"/>
      <c r="T396" s="8"/>
      <c r="U396" s="8"/>
      <c r="V396" s="8"/>
      <c r="W396" s="8"/>
      <c r="X396" s="8"/>
      <c r="Y396" s="8"/>
      <c r="Z396" s="8"/>
      <c r="AA396" s="8"/>
    </row>
    <row r="397" spans="1:27" ht="15">
      <c r="A397" s="15"/>
      <c r="B397" s="36"/>
      <c r="C397" s="15"/>
      <c r="D397" s="37"/>
      <c r="E397" s="15"/>
      <c r="F397" s="15"/>
      <c r="G397" s="15"/>
      <c r="H397" s="15"/>
      <c r="I397" s="15"/>
      <c r="J397" s="39"/>
      <c r="K397" s="40"/>
      <c r="L397" s="8"/>
      <c r="M397" s="8"/>
      <c r="N397" s="8"/>
      <c r="O397" s="8"/>
      <c r="P397" s="8"/>
      <c r="Q397" s="8"/>
      <c r="R397" s="8"/>
      <c r="S397" s="8"/>
      <c r="T397" s="8"/>
      <c r="U397" s="8"/>
      <c r="V397" s="8"/>
      <c r="W397" s="8"/>
      <c r="X397" s="8"/>
      <c r="Y397" s="8"/>
      <c r="Z397" s="8"/>
      <c r="AA397" s="8"/>
    </row>
    <row r="398" spans="1:27" ht="15">
      <c r="A398" s="15"/>
      <c r="B398" s="36"/>
      <c r="C398" s="15"/>
      <c r="D398" s="37"/>
      <c r="E398" s="15"/>
      <c r="F398" s="15"/>
      <c r="G398" s="15"/>
      <c r="H398" s="15"/>
      <c r="I398" s="15"/>
      <c r="J398" s="39"/>
      <c r="K398" s="40"/>
      <c r="L398" s="8"/>
      <c r="M398" s="8"/>
      <c r="N398" s="8"/>
      <c r="O398" s="8"/>
      <c r="P398" s="8"/>
      <c r="Q398" s="8"/>
      <c r="R398" s="8"/>
      <c r="S398" s="8"/>
      <c r="T398" s="8"/>
      <c r="U398" s="8"/>
      <c r="V398" s="8"/>
      <c r="W398" s="8"/>
      <c r="X398" s="8"/>
      <c r="Y398" s="8"/>
      <c r="Z398" s="8"/>
      <c r="AA398" s="8"/>
    </row>
    <row r="399" spans="1:27" ht="15">
      <c r="A399" s="15"/>
      <c r="B399" s="36"/>
      <c r="C399" s="15"/>
      <c r="D399" s="37"/>
      <c r="E399" s="15"/>
      <c r="F399" s="15"/>
      <c r="G399" s="15"/>
      <c r="H399" s="15"/>
      <c r="I399" s="15"/>
      <c r="J399" s="39"/>
      <c r="K399" s="40"/>
      <c r="L399" s="8"/>
      <c r="M399" s="8"/>
      <c r="N399" s="8"/>
      <c r="O399" s="8"/>
      <c r="P399" s="8"/>
      <c r="Q399" s="8"/>
      <c r="R399" s="8"/>
      <c r="S399" s="8"/>
      <c r="T399" s="8"/>
      <c r="U399" s="8"/>
      <c r="V399" s="8"/>
      <c r="W399" s="8"/>
      <c r="X399" s="8"/>
      <c r="Y399" s="8"/>
      <c r="Z399" s="8"/>
      <c r="AA399" s="8"/>
    </row>
    <row r="400" spans="1:27" ht="15">
      <c r="A400" s="15"/>
      <c r="B400" s="36"/>
      <c r="C400" s="15"/>
      <c r="D400" s="37"/>
      <c r="E400" s="15"/>
      <c r="F400" s="15"/>
      <c r="G400" s="15"/>
      <c r="H400" s="15"/>
      <c r="I400" s="15"/>
      <c r="J400" s="39"/>
      <c r="K400" s="40"/>
      <c r="L400" s="8"/>
      <c r="M400" s="8"/>
      <c r="N400" s="8"/>
      <c r="O400" s="8"/>
      <c r="P400" s="8"/>
      <c r="Q400" s="8"/>
      <c r="R400" s="8"/>
      <c r="S400" s="8"/>
      <c r="T400" s="8"/>
      <c r="U400" s="8"/>
      <c r="V400" s="8"/>
      <c r="W400" s="8"/>
      <c r="X400" s="8"/>
      <c r="Y400" s="8"/>
      <c r="Z400" s="8"/>
      <c r="AA400" s="8"/>
    </row>
    <row r="401" spans="1:27" ht="15">
      <c r="A401" s="15"/>
      <c r="B401" s="36"/>
      <c r="C401" s="15"/>
      <c r="D401" s="37"/>
      <c r="E401" s="15"/>
      <c r="F401" s="15"/>
      <c r="G401" s="15"/>
      <c r="H401" s="15"/>
      <c r="I401" s="15"/>
      <c r="J401" s="39"/>
      <c r="K401" s="40"/>
      <c r="L401" s="8"/>
      <c r="M401" s="8"/>
      <c r="N401" s="8"/>
      <c r="O401" s="8"/>
      <c r="P401" s="8"/>
      <c r="Q401" s="8"/>
      <c r="R401" s="8"/>
      <c r="S401" s="8"/>
      <c r="T401" s="8"/>
      <c r="U401" s="8"/>
      <c r="V401" s="8"/>
      <c r="W401" s="8"/>
      <c r="X401" s="8"/>
      <c r="Y401" s="8"/>
      <c r="Z401" s="8"/>
      <c r="AA401" s="8"/>
    </row>
    <row r="402" spans="1:27" ht="15">
      <c r="A402" s="15"/>
      <c r="B402" s="36"/>
      <c r="C402" s="15"/>
      <c r="D402" s="37"/>
      <c r="E402" s="15"/>
      <c r="F402" s="15"/>
      <c r="G402" s="15"/>
      <c r="H402" s="15"/>
      <c r="I402" s="15"/>
      <c r="J402" s="39"/>
      <c r="K402" s="40"/>
      <c r="L402" s="8"/>
      <c r="M402" s="8"/>
      <c r="N402" s="8"/>
      <c r="O402" s="8"/>
      <c r="P402" s="8"/>
      <c r="Q402" s="8"/>
      <c r="R402" s="8"/>
      <c r="S402" s="8"/>
      <c r="T402" s="8"/>
      <c r="U402" s="8"/>
      <c r="V402" s="8"/>
      <c r="W402" s="8"/>
      <c r="X402" s="8"/>
      <c r="Y402" s="8"/>
      <c r="Z402" s="8"/>
      <c r="AA402" s="8"/>
    </row>
    <row r="403" spans="1:27" ht="15">
      <c r="A403" s="15"/>
      <c r="B403" s="36"/>
      <c r="C403" s="15"/>
      <c r="D403" s="37"/>
      <c r="E403" s="15"/>
      <c r="F403" s="15"/>
      <c r="G403" s="15"/>
      <c r="H403" s="15"/>
      <c r="I403" s="15"/>
      <c r="J403" s="39"/>
      <c r="K403" s="40"/>
      <c r="L403" s="8"/>
      <c r="M403" s="8"/>
      <c r="N403" s="8"/>
      <c r="O403" s="8"/>
      <c r="P403" s="8"/>
      <c r="Q403" s="8"/>
      <c r="R403" s="8"/>
      <c r="S403" s="8"/>
      <c r="T403" s="8"/>
      <c r="U403" s="8"/>
      <c r="V403" s="8"/>
      <c r="W403" s="8"/>
      <c r="X403" s="8"/>
      <c r="Y403" s="8"/>
      <c r="Z403" s="8"/>
      <c r="AA403" s="8"/>
    </row>
    <row r="404" spans="1:27" ht="15">
      <c r="A404" s="15"/>
      <c r="B404" s="36"/>
      <c r="C404" s="15"/>
      <c r="D404" s="37"/>
      <c r="E404" s="15"/>
      <c r="F404" s="15"/>
      <c r="G404" s="15"/>
      <c r="H404" s="15"/>
      <c r="I404" s="15"/>
      <c r="J404" s="39"/>
      <c r="K404" s="40"/>
      <c r="L404" s="8"/>
      <c r="M404" s="8"/>
      <c r="N404" s="8"/>
      <c r="O404" s="8"/>
      <c r="P404" s="8"/>
      <c r="Q404" s="8"/>
      <c r="R404" s="8"/>
      <c r="S404" s="8"/>
      <c r="T404" s="8"/>
      <c r="U404" s="8"/>
      <c r="V404" s="8"/>
      <c r="W404" s="8"/>
      <c r="X404" s="8"/>
      <c r="Y404" s="8"/>
      <c r="Z404" s="8"/>
      <c r="AA404" s="8"/>
    </row>
    <row r="405" spans="1:27" ht="15">
      <c r="A405" s="15"/>
      <c r="B405" s="36"/>
      <c r="C405" s="15"/>
      <c r="D405" s="37"/>
      <c r="E405" s="15"/>
      <c r="F405" s="15"/>
      <c r="G405" s="15"/>
      <c r="H405" s="15"/>
      <c r="I405" s="15"/>
      <c r="J405" s="39"/>
      <c r="K405" s="40"/>
      <c r="L405" s="8"/>
      <c r="M405" s="8"/>
      <c r="N405" s="8"/>
      <c r="O405" s="8"/>
      <c r="P405" s="8"/>
      <c r="Q405" s="8"/>
      <c r="R405" s="8"/>
      <c r="S405" s="8"/>
      <c r="T405" s="8"/>
      <c r="U405" s="8"/>
      <c r="V405" s="8"/>
      <c r="W405" s="8"/>
      <c r="X405" s="8"/>
      <c r="Y405" s="8"/>
      <c r="Z405" s="8"/>
      <c r="AA405" s="8"/>
    </row>
    <row r="406" spans="1:27" ht="15">
      <c r="A406" s="15"/>
      <c r="B406" s="36"/>
      <c r="C406" s="15"/>
      <c r="D406" s="37"/>
      <c r="E406" s="15"/>
      <c r="F406" s="15"/>
      <c r="G406" s="15"/>
      <c r="H406" s="15"/>
      <c r="I406" s="15"/>
      <c r="J406" s="39"/>
      <c r="K406" s="40"/>
      <c r="L406" s="8"/>
      <c r="M406" s="8"/>
      <c r="N406" s="8"/>
      <c r="O406" s="8"/>
      <c r="P406" s="8"/>
      <c r="Q406" s="8"/>
      <c r="R406" s="8"/>
      <c r="S406" s="8"/>
      <c r="T406" s="8"/>
      <c r="U406" s="8"/>
      <c r="V406" s="8"/>
      <c r="W406" s="8"/>
      <c r="X406" s="8"/>
      <c r="Y406" s="8"/>
      <c r="Z406" s="8"/>
      <c r="AA406" s="8"/>
    </row>
    <row r="407" spans="1:27" ht="15">
      <c r="A407" s="15"/>
      <c r="B407" s="36"/>
      <c r="C407" s="15"/>
      <c r="D407" s="37"/>
      <c r="E407" s="15"/>
      <c r="F407" s="15"/>
      <c r="G407" s="15"/>
      <c r="H407" s="15"/>
      <c r="I407" s="15"/>
      <c r="J407" s="39"/>
      <c r="K407" s="40"/>
      <c r="L407" s="8"/>
      <c r="M407" s="8"/>
      <c r="N407" s="8"/>
      <c r="O407" s="8"/>
      <c r="P407" s="8"/>
      <c r="Q407" s="8"/>
      <c r="R407" s="8"/>
      <c r="S407" s="8"/>
      <c r="T407" s="8"/>
      <c r="U407" s="8"/>
      <c r="V407" s="8"/>
      <c r="W407" s="8"/>
      <c r="X407" s="8"/>
      <c r="Y407" s="8"/>
      <c r="Z407" s="8"/>
      <c r="AA407" s="8"/>
    </row>
    <row r="408" spans="1:27" ht="15">
      <c r="A408" s="15"/>
      <c r="B408" s="36"/>
      <c r="C408" s="15"/>
      <c r="D408" s="37"/>
      <c r="E408" s="15"/>
      <c r="F408" s="15"/>
      <c r="G408" s="15"/>
      <c r="H408" s="15"/>
      <c r="I408" s="15"/>
      <c r="J408" s="39"/>
      <c r="K408" s="40"/>
      <c r="L408" s="8"/>
      <c r="M408" s="8"/>
      <c r="N408" s="8"/>
      <c r="O408" s="8"/>
      <c r="P408" s="8"/>
      <c r="Q408" s="8"/>
      <c r="R408" s="8"/>
      <c r="S408" s="8"/>
      <c r="T408" s="8"/>
      <c r="U408" s="8"/>
      <c r="V408" s="8"/>
      <c r="W408" s="8"/>
      <c r="X408" s="8"/>
      <c r="Y408" s="8"/>
      <c r="Z408" s="8"/>
      <c r="AA408" s="8"/>
    </row>
    <row r="409" spans="1:27" ht="15">
      <c r="A409" s="15"/>
      <c r="B409" s="36"/>
      <c r="C409" s="15"/>
      <c r="D409" s="37"/>
      <c r="E409" s="15"/>
      <c r="F409" s="15"/>
      <c r="G409" s="15"/>
      <c r="H409" s="15"/>
      <c r="I409" s="15"/>
      <c r="J409" s="39"/>
      <c r="K409" s="40"/>
      <c r="L409" s="8"/>
      <c r="M409" s="8"/>
      <c r="N409" s="8"/>
      <c r="O409" s="8"/>
      <c r="P409" s="8"/>
      <c r="Q409" s="8"/>
      <c r="R409" s="8"/>
      <c r="S409" s="8"/>
      <c r="T409" s="8"/>
      <c r="U409" s="8"/>
      <c r="V409" s="8"/>
      <c r="W409" s="8"/>
      <c r="X409" s="8"/>
      <c r="Y409" s="8"/>
      <c r="Z409" s="8"/>
      <c r="AA409" s="8"/>
    </row>
    <row r="410" spans="1:27" ht="15">
      <c r="A410" s="15"/>
      <c r="B410" s="36"/>
      <c r="C410" s="15"/>
      <c r="D410" s="37"/>
      <c r="E410" s="15"/>
      <c r="F410" s="15"/>
      <c r="G410" s="15"/>
      <c r="H410" s="15"/>
      <c r="I410" s="15"/>
      <c r="J410" s="39"/>
      <c r="K410" s="40"/>
      <c r="L410" s="8"/>
      <c r="M410" s="8"/>
      <c r="N410" s="8"/>
      <c r="O410" s="8"/>
      <c r="P410" s="8"/>
      <c r="Q410" s="8"/>
      <c r="R410" s="8"/>
      <c r="S410" s="8"/>
      <c r="T410" s="8"/>
      <c r="U410" s="8"/>
      <c r="V410" s="8"/>
      <c r="W410" s="8"/>
      <c r="X410" s="8"/>
      <c r="Y410" s="8"/>
      <c r="Z410" s="8"/>
      <c r="AA410" s="8"/>
    </row>
    <row r="411" spans="1:27" ht="15">
      <c r="A411" s="15"/>
      <c r="B411" s="36"/>
      <c r="C411" s="15"/>
      <c r="D411" s="37"/>
      <c r="E411" s="15"/>
      <c r="F411" s="15"/>
      <c r="G411" s="15"/>
      <c r="H411" s="15"/>
      <c r="I411" s="15"/>
      <c r="J411" s="39"/>
      <c r="K411" s="40"/>
      <c r="L411" s="8"/>
      <c r="M411" s="8"/>
      <c r="N411" s="8"/>
      <c r="O411" s="8"/>
      <c r="P411" s="8"/>
      <c r="Q411" s="8"/>
      <c r="R411" s="8"/>
      <c r="S411" s="8"/>
      <c r="T411" s="8"/>
      <c r="U411" s="8"/>
      <c r="V411" s="8"/>
      <c r="W411" s="8"/>
      <c r="X411" s="8"/>
      <c r="Y411" s="8"/>
      <c r="Z411" s="8"/>
      <c r="AA411" s="8"/>
    </row>
    <row r="412" spans="1:27" ht="15">
      <c r="A412" s="15"/>
      <c r="B412" s="36"/>
      <c r="C412" s="15"/>
      <c r="D412" s="37"/>
      <c r="E412" s="15"/>
      <c r="F412" s="15"/>
      <c r="G412" s="15"/>
      <c r="H412" s="15"/>
      <c r="I412" s="15"/>
      <c r="J412" s="39"/>
      <c r="K412" s="40"/>
      <c r="L412" s="8"/>
      <c r="M412" s="8"/>
      <c r="N412" s="8"/>
      <c r="O412" s="8"/>
      <c r="P412" s="8"/>
      <c r="Q412" s="8"/>
      <c r="R412" s="8"/>
      <c r="S412" s="8"/>
      <c r="T412" s="8"/>
      <c r="U412" s="8"/>
      <c r="V412" s="8"/>
      <c r="W412" s="8"/>
      <c r="X412" s="8"/>
      <c r="Y412" s="8"/>
      <c r="Z412" s="8"/>
      <c r="AA412" s="8"/>
    </row>
    <row r="413" spans="1:27" ht="15">
      <c r="A413" s="15"/>
      <c r="B413" s="36"/>
      <c r="C413" s="15"/>
      <c r="D413" s="37"/>
      <c r="E413" s="15"/>
      <c r="F413" s="15"/>
      <c r="G413" s="15"/>
      <c r="H413" s="15"/>
      <c r="I413" s="15"/>
      <c r="J413" s="39"/>
      <c r="K413" s="40"/>
      <c r="L413" s="8"/>
      <c r="M413" s="8"/>
      <c r="N413" s="8"/>
      <c r="O413" s="8"/>
      <c r="P413" s="8"/>
      <c r="Q413" s="8"/>
      <c r="R413" s="8"/>
      <c r="S413" s="8"/>
      <c r="T413" s="8"/>
      <c r="U413" s="8"/>
      <c r="V413" s="8"/>
      <c r="W413" s="8"/>
      <c r="X413" s="8"/>
      <c r="Y413" s="8"/>
      <c r="Z413" s="8"/>
      <c r="AA413" s="8"/>
    </row>
    <row r="414" spans="1:27" ht="15">
      <c r="A414" s="15"/>
      <c r="B414" s="36"/>
      <c r="C414" s="15"/>
      <c r="D414" s="37"/>
      <c r="E414" s="15"/>
      <c r="F414" s="15"/>
      <c r="G414" s="15"/>
      <c r="H414" s="15"/>
      <c r="I414" s="15"/>
      <c r="J414" s="39"/>
      <c r="K414" s="40"/>
      <c r="L414" s="8"/>
      <c r="M414" s="8"/>
      <c r="N414" s="8"/>
      <c r="O414" s="8"/>
      <c r="P414" s="8"/>
      <c r="Q414" s="8"/>
      <c r="R414" s="8"/>
      <c r="S414" s="8"/>
      <c r="T414" s="8"/>
      <c r="U414" s="8"/>
      <c r="V414" s="8"/>
      <c r="W414" s="8"/>
      <c r="X414" s="8"/>
      <c r="Y414" s="8"/>
      <c r="Z414" s="8"/>
      <c r="AA414" s="8"/>
    </row>
    <row r="415" spans="1:27" ht="15">
      <c r="A415" s="15"/>
      <c r="B415" s="36"/>
      <c r="C415" s="15"/>
      <c r="D415" s="37"/>
      <c r="E415" s="15"/>
      <c r="F415" s="15"/>
      <c r="G415" s="15"/>
      <c r="H415" s="15"/>
      <c r="I415" s="15"/>
      <c r="J415" s="39"/>
      <c r="K415" s="40"/>
      <c r="L415" s="8"/>
      <c r="M415" s="8"/>
      <c r="N415" s="8"/>
      <c r="O415" s="8"/>
      <c r="P415" s="8"/>
      <c r="Q415" s="8"/>
      <c r="R415" s="8"/>
      <c r="S415" s="8"/>
      <c r="T415" s="8"/>
      <c r="U415" s="8"/>
      <c r="V415" s="8"/>
      <c r="W415" s="8"/>
      <c r="X415" s="8"/>
      <c r="Y415" s="8"/>
      <c r="Z415" s="8"/>
      <c r="AA415" s="8"/>
    </row>
    <row r="416" spans="1:27" ht="15">
      <c r="A416" s="15"/>
      <c r="B416" s="36"/>
      <c r="C416" s="15"/>
      <c r="D416" s="37"/>
      <c r="E416" s="15"/>
      <c r="F416" s="15"/>
      <c r="G416" s="15"/>
      <c r="H416" s="15"/>
      <c r="I416" s="15"/>
      <c r="J416" s="39"/>
      <c r="K416" s="40"/>
      <c r="L416" s="8"/>
      <c r="M416" s="8"/>
      <c r="N416" s="8"/>
      <c r="O416" s="8"/>
      <c r="P416" s="8"/>
      <c r="Q416" s="8"/>
      <c r="R416" s="8"/>
      <c r="S416" s="8"/>
      <c r="T416" s="8"/>
      <c r="U416" s="8"/>
      <c r="V416" s="8"/>
      <c r="W416" s="8"/>
      <c r="X416" s="8"/>
      <c r="Y416" s="8"/>
      <c r="Z416" s="8"/>
      <c r="AA416" s="8"/>
    </row>
    <row r="417" spans="1:27" ht="15">
      <c r="A417" s="15"/>
      <c r="B417" s="36"/>
      <c r="C417" s="15"/>
      <c r="D417" s="37"/>
      <c r="E417" s="15"/>
      <c r="F417" s="15"/>
      <c r="G417" s="15"/>
      <c r="H417" s="15"/>
      <c r="I417" s="15"/>
      <c r="J417" s="39"/>
      <c r="K417" s="40"/>
      <c r="L417" s="8"/>
      <c r="M417" s="8"/>
      <c r="N417" s="8"/>
      <c r="O417" s="8"/>
      <c r="P417" s="8"/>
      <c r="Q417" s="8"/>
      <c r="R417" s="8"/>
      <c r="S417" s="8"/>
      <c r="T417" s="8"/>
      <c r="U417" s="8"/>
      <c r="V417" s="8"/>
      <c r="W417" s="8"/>
      <c r="X417" s="8"/>
      <c r="Y417" s="8"/>
      <c r="Z417" s="8"/>
      <c r="AA417" s="8"/>
    </row>
    <row r="418" spans="1:27" ht="15">
      <c r="A418" s="15"/>
      <c r="B418" s="36"/>
      <c r="C418" s="15"/>
      <c r="D418" s="37"/>
      <c r="E418" s="15"/>
      <c r="F418" s="15"/>
      <c r="G418" s="15"/>
      <c r="H418" s="15"/>
      <c r="I418" s="15"/>
      <c r="J418" s="39"/>
      <c r="K418" s="40"/>
      <c r="L418" s="8"/>
      <c r="M418" s="8"/>
      <c r="N418" s="8"/>
      <c r="O418" s="8"/>
      <c r="P418" s="8"/>
      <c r="Q418" s="8"/>
      <c r="R418" s="8"/>
      <c r="S418" s="8"/>
      <c r="T418" s="8"/>
      <c r="U418" s="8"/>
      <c r="V418" s="8"/>
      <c r="W418" s="8"/>
      <c r="X418" s="8"/>
      <c r="Y418" s="8"/>
      <c r="Z418" s="8"/>
      <c r="AA418" s="8"/>
    </row>
    <row r="419" spans="1:27" ht="15">
      <c r="A419" s="15"/>
      <c r="B419" s="36"/>
      <c r="C419" s="15"/>
      <c r="D419" s="37"/>
      <c r="E419" s="15"/>
      <c r="F419" s="15"/>
      <c r="G419" s="15"/>
      <c r="H419" s="15"/>
      <c r="I419" s="15"/>
      <c r="J419" s="39"/>
      <c r="K419" s="40"/>
      <c r="L419" s="8"/>
      <c r="M419" s="8"/>
      <c r="N419" s="8"/>
      <c r="O419" s="8"/>
      <c r="P419" s="8"/>
      <c r="Q419" s="8"/>
      <c r="R419" s="8"/>
      <c r="S419" s="8"/>
      <c r="T419" s="8"/>
      <c r="U419" s="8"/>
      <c r="V419" s="8"/>
      <c r="W419" s="8"/>
      <c r="X419" s="8"/>
      <c r="Y419" s="8"/>
      <c r="Z419" s="8"/>
      <c r="AA419" s="8"/>
    </row>
    <row r="420" spans="1:27" ht="15">
      <c r="A420" s="15"/>
      <c r="B420" s="36"/>
      <c r="C420" s="15"/>
      <c r="D420" s="37"/>
      <c r="E420" s="15"/>
      <c r="F420" s="15"/>
      <c r="G420" s="15"/>
      <c r="H420" s="15"/>
      <c r="I420" s="15"/>
      <c r="J420" s="39"/>
      <c r="K420" s="40"/>
      <c r="L420" s="8"/>
      <c r="M420" s="8"/>
      <c r="N420" s="8"/>
      <c r="O420" s="8"/>
      <c r="P420" s="8"/>
      <c r="Q420" s="8"/>
      <c r="R420" s="8"/>
      <c r="S420" s="8"/>
      <c r="T420" s="8"/>
      <c r="U420" s="8"/>
      <c r="V420" s="8"/>
      <c r="W420" s="8"/>
      <c r="X420" s="8"/>
      <c r="Y420" s="8"/>
      <c r="Z420" s="8"/>
      <c r="AA420" s="8"/>
    </row>
    <row r="421" spans="1:27" ht="15">
      <c r="A421" s="15"/>
      <c r="B421" s="36"/>
      <c r="C421" s="15"/>
      <c r="D421" s="37"/>
      <c r="E421" s="15"/>
      <c r="F421" s="15"/>
      <c r="G421" s="15"/>
      <c r="H421" s="15"/>
      <c r="I421" s="15"/>
      <c r="J421" s="39"/>
      <c r="K421" s="40"/>
      <c r="L421" s="8"/>
      <c r="M421" s="8"/>
      <c r="N421" s="8"/>
      <c r="O421" s="8"/>
      <c r="P421" s="8"/>
      <c r="Q421" s="8"/>
      <c r="R421" s="8"/>
      <c r="S421" s="8"/>
      <c r="T421" s="8"/>
      <c r="U421" s="8"/>
      <c r="V421" s="8"/>
      <c r="W421" s="8"/>
      <c r="X421" s="8"/>
      <c r="Y421" s="8"/>
      <c r="Z421" s="8"/>
      <c r="AA421" s="8"/>
    </row>
    <row r="422" spans="1:27" ht="15">
      <c r="A422" s="15"/>
      <c r="B422" s="36"/>
      <c r="C422" s="15"/>
      <c r="D422" s="37"/>
      <c r="E422" s="15"/>
      <c r="F422" s="15"/>
      <c r="G422" s="15"/>
      <c r="H422" s="15"/>
      <c r="I422" s="15"/>
      <c r="J422" s="39"/>
      <c r="K422" s="40"/>
      <c r="L422" s="8"/>
      <c r="M422" s="8"/>
      <c r="N422" s="8"/>
      <c r="O422" s="8"/>
      <c r="P422" s="8"/>
      <c r="Q422" s="8"/>
      <c r="R422" s="8"/>
      <c r="S422" s="8"/>
      <c r="T422" s="8"/>
      <c r="U422" s="8"/>
      <c r="V422" s="8"/>
      <c r="W422" s="8"/>
      <c r="X422" s="8"/>
      <c r="Y422" s="8"/>
      <c r="Z422" s="8"/>
      <c r="AA422" s="8"/>
    </row>
    <row r="423" spans="1:27" ht="15">
      <c r="A423" s="15"/>
      <c r="B423" s="36"/>
      <c r="C423" s="15"/>
      <c r="D423" s="37"/>
      <c r="E423" s="15"/>
      <c r="F423" s="15"/>
      <c r="G423" s="15"/>
      <c r="H423" s="15"/>
      <c r="I423" s="15"/>
      <c r="J423" s="39"/>
      <c r="K423" s="40"/>
      <c r="L423" s="8"/>
      <c r="M423" s="8"/>
      <c r="N423" s="8"/>
      <c r="O423" s="8"/>
      <c r="P423" s="8"/>
      <c r="Q423" s="8"/>
      <c r="R423" s="8"/>
      <c r="S423" s="8"/>
      <c r="T423" s="8"/>
      <c r="U423" s="8"/>
      <c r="V423" s="8"/>
      <c r="W423" s="8"/>
      <c r="X423" s="8"/>
      <c r="Y423" s="8"/>
      <c r="Z423" s="8"/>
      <c r="AA423" s="8"/>
    </row>
    <row r="424" spans="1:27" ht="15">
      <c r="A424" s="15"/>
      <c r="B424" s="36"/>
      <c r="C424" s="15"/>
      <c r="D424" s="37"/>
      <c r="E424" s="15"/>
      <c r="F424" s="15"/>
      <c r="G424" s="15"/>
      <c r="H424" s="15"/>
      <c r="I424" s="15"/>
      <c r="J424" s="39"/>
      <c r="K424" s="40"/>
      <c r="L424" s="8"/>
      <c r="M424" s="8"/>
      <c r="N424" s="8"/>
      <c r="O424" s="8"/>
      <c r="P424" s="8"/>
      <c r="Q424" s="8"/>
      <c r="R424" s="8"/>
      <c r="S424" s="8"/>
      <c r="T424" s="8"/>
      <c r="U424" s="8"/>
      <c r="V424" s="8"/>
      <c r="W424" s="8"/>
      <c r="X424" s="8"/>
      <c r="Y424" s="8"/>
      <c r="Z424" s="8"/>
      <c r="AA424" s="8"/>
    </row>
    <row r="425" spans="1:27" ht="15">
      <c r="A425" s="15"/>
      <c r="B425" s="36"/>
      <c r="C425" s="15"/>
      <c r="D425" s="37"/>
      <c r="E425" s="15"/>
      <c r="F425" s="15"/>
      <c r="G425" s="15"/>
      <c r="H425" s="15"/>
      <c r="I425" s="15"/>
      <c r="J425" s="39"/>
      <c r="K425" s="40"/>
      <c r="L425" s="8"/>
      <c r="M425" s="8"/>
      <c r="N425" s="8"/>
      <c r="O425" s="8"/>
      <c r="P425" s="8"/>
      <c r="Q425" s="8"/>
      <c r="R425" s="8"/>
      <c r="S425" s="8"/>
      <c r="T425" s="8"/>
      <c r="U425" s="8"/>
      <c r="V425" s="8"/>
      <c r="W425" s="8"/>
      <c r="X425" s="8"/>
      <c r="Y425" s="8"/>
      <c r="Z425" s="8"/>
      <c r="AA425" s="8"/>
    </row>
    <row r="426" spans="1:27" ht="15">
      <c r="A426" s="15"/>
      <c r="B426" s="36"/>
      <c r="C426" s="15"/>
      <c r="D426" s="37"/>
      <c r="E426" s="15"/>
      <c r="F426" s="15"/>
      <c r="G426" s="15"/>
      <c r="H426" s="15"/>
      <c r="I426" s="15"/>
      <c r="J426" s="39"/>
      <c r="K426" s="40"/>
      <c r="L426" s="8"/>
      <c r="M426" s="8"/>
      <c r="N426" s="8"/>
      <c r="O426" s="8"/>
      <c r="P426" s="8"/>
      <c r="Q426" s="8"/>
      <c r="R426" s="8"/>
      <c r="S426" s="8"/>
      <c r="T426" s="8"/>
      <c r="U426" s="8"/>
      <c r="V426" s="8"/>
      <c r="W426" s="8"/>
      <c r="X426" s="8"/>
      <c r="Y426" s="8"/>
      <c r="Z426" s="8"/>
      <c r="AA426" s="8"/>
    </row>
    <row r="427" spans="1:27" ht="15">
      <c r="A427" s="15"/>
      <c r="B427" s="36"/>
      <c r="C427" s="15"/>
      <c r="D427" s="37"/>
      <c r="E427" s="15"/>
      <c r="F427" s="15"/>
      <c r="G427" s="15"/>
      <c r="H427" s="15"/>
      <c r="I427" s="15"/>
      <c r="J427" s="39"/>
      <c r="K427" s="40"/>
      <c r="L427" s="8"/>
      <c r="M427" s="8"/>
      <c r="N427" s="8"/>
      <c r="O427" s="8"/>
      <c r="P427" s="8"/>
      <c r="Q427" s="8"/>
      <c r="R427" s="8"/>
      <c r="S427" s="8"/>
      <c r="T427" s="8"/>
      <c r="U427" s="8"/>
      <c r="V427" s="8"/>
      <c r="W427" s="8"/>
      <c r="X427" s="8"/>
      <c r="Y427" s="8"/>
      <c r="Z427" s="8"/>
      <c r="AA427" s="8"/>
    </row>
    <row r="428" spans="1:27" ht="15">
      <c r="A428" s="15"/>
      <c r="B428" s="36"/>
      <c r="C428" s="15"/>
      <c r="D428" s="37"/>
      <c r="E428" s="15"/>
      <c r="F428" s="15"/>
      <c r="G428" s="15"/>
      <c r="H428" s="15"/>
      <c r="I428" s="15"/>
      <c r="J428" s="39"/>
      <c r="K428" s="40"/>
      <c r="L428" s="8"/>
      <c r="M428" s="8"/>
      <c r="N428" s="8"/>
      <c r="O428" s="8"/>
      <c r="P428" s="8"/>
      <c r="Q428" s="8"/>
      <c r="R428" s="8"/>
      <c r="S428" s="8"/>
      <c r="T428" s="8"/>
      <c r="U428" s="8"/>
      <c r="V428" s="8"/>
      <c r="W428" s="8"/>
      <c r="X428" s="8"/>
      <c r="Y428" s="8"/>
      <c r="Z428" s="8"/>
      <c r="AA428" s="8"/>
    </row>
    <row r="429" spans="1:27" ht="15">
      <c r="A429" s="15"/>
      <c r="B429" s="36"/>
      <c r="C429" s="15"/>
      <c r="D429" s="37"/>
      <c r="E429" s="15"/>
      <c r="F429" s="15"/>
      <c r="G429" s="15"/>
      <c r="H429" s="15"/>
      <c r="I429" s="15"/>
      <c r="J429" s="39"/>
      <c r="K429" s="40"/>
      <c r="L429" s="8"/>
      <c r="M429" s="8"/>
      <c r="N429" s="8"/>
      <c r="O429" s="8"/>
      <c r="P429" s="8"/>
      <c r="Q429" s="8"/>
      <c r="R429" s="8"/>
      <c r="S429" s="8"/>
      <c r="T429" s="8"/>
      <c r="U429" s="8"/>
      <c r="V429" s="8"/>
      <c r="W429" s="8"/>
      <c r="X429" s="8"/>
      <c r="Y429" s="8"/>
      <c r="Z429" s="8"/>
      <c r="AA429" s="8"/>
    </row>
    <row r="430" spans="1:27" ht="15">
      <c r="A430" s="15"/>
      <c r="B430" s="36"/>
      <c r="C430" s="15"/>
      <c r="D430" s="37"/>
      <c r="E430" s="15"/>
      <c r="F430" s="15"/>
      <c r="G430" s="15"/>
      <c r="H430" s="15"/>
      <c r="I430" s="15"/>
      <c r="J430" s="39"/>
      <c r="K430" s="40"/>
      <c r="L430" s="8"/>
      <c r="M430" s="8"/>
      <c r="N430" s="8"/>
      <c r="O430" s="8"/>
      <c r="P430" s="8"/>
      <c r="Q430" s="8"/>
      <c r="R430" s="8"/>
      <c r="S430" s="8"/>
      <c r="T430" s="8"/>
      <c r="U430" s="8"/>
      <c r="V430" s="8"/>
      <c r="W430" s="8"/>
      <c r="X430" s="8"/>
      <c r="Y430" s="8"/>
      <c r="Z430" s="8"/>
      <c r="AA430" s="8"/>
    </row>
    <row r="431" spans="1:27" ht="15">
      <c r="A431" s="15"/>
      <c r="B431" s="36"/>
      <c r="C431" s="15"/>
      <c r="D431" s="37"/>
      <c r="E431" s="15"/>
      <c r="F431" s="15"/>
      <c r="G431" s="15"/>
      <c r="H431" s="15"/>
      <c r="I431" s="15"/>
      <c r="J431" s="39"/>
      <c r="K431" s="40"/>
      <c r="L431" s="8"/>
      <c r="M431" s="8"/>
      <c r="N431" s="8"/>
      <c r="O431" s="8"/>
      <c r="P431" s="8"/>
      <c r="Q431" s="8"/>
      <c r="R431" s="8"/>
      <c r="S431" s="8"/>
      <c r="T431" s="8"/>
      <c r="U431" s="8"/>
      <c r="V431" s="8"/>
      <c r="W431" s="8"/>
      <c r="X431" s="8"/>
      <c r="Y431" s="8"/>
      <c r="Z431" s="8"/>
      <c r="AA431" s="8"/>
    </row>
    <row r="432" spans="1:27" ht="15">
      <c r="A432" s="15"/>
      <c r="B432" s="36"/>
      <c r="C432" s="15"/>
      <c r="D432" s="37"/>
      <c r="E432" s="15"/>
      <c r="F432" s="15"/>
      <c r="G432" s="15"/>
      <c r="H432" s="15"/>
      <c r="I432" s="15"/>
      <c r="J432" s="39"/>
      <c r="K432" s="40"/>
      <c r="L432" s="8"/>
      <c r="M432" s="8"/>
      <c r="N432" s="8"/>
      <c r="O432" s="8"/>
      <c r="P432" s="8"/>
      <c r="Q432" s="8"/>
      <c r="R432" s="8"/>
      <c r="S432" s="8"/>
      <c r="T432" s="8"/>
      <c r="U432" s="8"/>
      <c r="V432" s="8"/>
      <c r="W432" s="8"/>
      <c r="X432" s="8"/>
      <c r="Y432" s="8"/>
      <c r="Z432" s="8"/>
      <c r="AA432" s="8"/>
    </row>
    <row r="433" spans="1:27" ht="15">
      <c r="A433" s="15"/>
      <c r="B433" s="36"/>
      <c r="C433" s="15"/>
      <c r="D433" s="37"/>
      <c r="E433" s="15"/>
      <c r="F433" s="15"/>
      <c r="G433" s="15"/>
      <c r="H433" s="15"/>
      <c r="I433" s="15"/>
      <c r="J433" s="39"/>
      <c r="K433" s="40"/>
      <c r="L433" s="8"/>
      <c r="M433" s="8"/>
      <c r="N433" s="8"/>
      <c r="O433" s="8"/>
      <c r="P433" s="8"/>
      <c r="Q433" s="8"/>
      <c r="R433" s="8"/>
      <c r="S433" s="8"/>
      <c r="T433" s="8"/>
      <c r="U433" s="8"/>
      <c r="V433" s="8"/>
      <c r="W433" s="8"/>
      <c r="X433" s="8"/>
      <c r="Y433" s="8"/>
      <c r="Z433" s="8"/>
      <c r="AA433" s="8"/>
    </row>
    <row r="434" spans="1:27" ht="15">
      <c r="A434" s="15"/>
      <c r="B434" s="36"/>
      <c r="C434" s="15"/>
      <c r="D434" s="37"/>
      <c r="E434" s="15"/>
      <c r="F434" s="15"/>
      <c r="G434" s="15"/>
      <c r="H434" s="15"/>
      <c r="I434" s="15"/>
      <c r="J434" s="39"/>
      <c r="K434" s="40"/>
      <c r="L434" s="8"/>
      <c r="M434" s="8"/>
      <c r="N434" s="8"/>
      <c r="O434" s="8"/>
      <c r="P434" s="8"/>
      <c r="Q434" s="8"/>
      <c r="R434" s="8"/>
      <c r="S434" s="8"/>
      <c r="T434" s="8"/>
      <c r="U434" s="8"/>
      <c r="V434" s="8"/>
      <c r="W434" s="8"/>
      <c r="X434" s="8"/>
      <c r="Y434" s="8"/>
      <c r="Z434" s="8"/>
      <c r="AA434" s="8"/>
    </row>
    <row r="435" spans="1:27" ht="15">
      <c r="A435" s="15"/>
      <c r="B435" s="36"/>
      <c r="C435" s="15"/>
      <c r="D435" s="37"/>
      <c r="E435" s="15"/>
      <c r="F435" s="15"/>
      <c r="G435" s="15"/>
      <c r="H435" s="15"/>
      <c r="I435" s="15"/>
      <c r="J435" s="39"/>
      <c r="K435" s="40"/>
      <c r="L435" s="8"/>
      <c r="M435" s="8"/>
      <c r="N435" s="8"/>
      <c r="O435" s="8"/>
      <c r="P435" s="8"/>
      <c r="Q435" s="8"/>
      <c r="R435" s="8"/>
      <c r="S435" s="8"/>
      <c r="T435" s="8"/>
      <c r="U435" s="8"/>
      <c r="V435" s="8"/>
      <c r="W435" s="8"/>
      <c r="X435" s="8"/>
      <c r="Y435" s="8"/>
      <c r="Z435" s="8"/>
      <c r="AA435" s="8"/>
    </row>
    <row r="436" spans="1:27" ht="15">
      <c r="A436" s="15"/>
      <c r="B436" s="36"/>
      <c r="C436" s="15"/>
      <c r="D436" s="37"/>
      <c r="E436" s="15"/>
      <c r="F436" s="15"/>
      <c r="G436" s="15"/>
      <c r="H436" s="15"/>
      <c r="I436" s="15"/>
      <c r="J436" s="39"/>
      <c r="K436" s="40"/>
      <c r="L436" s="8"/>
      <c r="M436" s="8"/>
      <c r="N436" s="8"/>
      <c r="O436" s="8"/>
      <c r="P436" s="8"/>
      <c r="Q436" s="8"/>
      <c r="R436" s="8"/>
      <c r="S436" s="8"/>
      <c r="T436" s="8"/>
      <c r="U436" s="8"/>
      <c r="V436" s="8"/>
      <c r="W436" s="8"/>
      <c r="X436" s="8"/>
      <c r="Y436" s="8"/>
      <c r="Z436" s="8"/>
      <c r="AA436" s="8"/>
    </row>
    <row r="437" spans="1:27" ht="15">
      <c r="A437" s="15"/>
      <c r="B437" s="36"/>
      <c r="C437" s="15"/>
      <c r="D437" s="37"/>
      <c r="E437" s="15"/>
      <c r="F437" s="15"/>
      <c r="G437" s="15"/>
      <c r="H437" s="15"/>
      <c r="I437" s="15"/>
      <c r="J437" s="39"/>
      <c r="K437" s="40"/>
      <c r="L437" s="8"/>
      <c r="M437" s="8"/>
      <c r="N437" s="8"/>
      <c r="O437" s="8"/>
      <c r="P437" s="8"/>
      <c r="Q437" s="8"/>
      <c r="R437" s="8"/>
      <c r="S437" s="8"/>
      <c r="T437" s="8"/>
      <c r="U437" s="8"/>
      <c r="V437" s="8"/>
      <c r="W437" s="8"/>
      <c r="X437" s="8"/>
      <c r="Y437" s="8"/>
      <c r="Z437" s="8"/>
      <c r="AA437" s="8"/>
    </row>
    <row r="438" spans="1:27" ht="15">
      <c r="A438" s="15"/>
      <c r="B438" s="36"/>
      <c r="C438" s="15"/>
      <c r="D438" s="37"/>
      <c r="E438" s="15"/>
      <c r="F438" s="15"/>
      <c r="G438" s="15"/>
      <c r="H438" s="15"/>
      <c r="I438" s="15"/>
      <c r="J438" s="39"/>
      <c r="K438" s="40"/>
      <c r="L438" s="8"/>
      <c r="M438" s="8"/>
      <c r="N438" s="8"/>
      <c r="O438" s="8"/>
      <c r="P438" s="8"/>
      <c r="Q438" s="8"/>
      <c r="R438" s="8"/>
      <c r="S438" s="8"/>
      <c r="T438" s="8"/>
      <c r="U438" s="8"/>
      <c r="V438" s="8"/>
      <c r="W438" s="8"/>
      <c r="X438" s="8"/>
      <c r="Y438" s="8"/>
      <c r="Z438" s="8"/>
      <c r="AA438" s="8"/>
    </row>
    <row r="439" spans="1:27" ht="15">
      <c r="A439" s="15"/>
      <c r="B439" s="36"/>
      <c r="C439" s="15"/>
      <c r="D439" s="37"/>
      <c r="E439" s="15"/>
      <c r="F439" s="15"/>
      <c r="G439" s="15"/>
      <c r="H439" s="15"/>
      <c r="I439" s="15"/>
      <c r="J439" s="39"/>
      <c r="K439" s="40"/>
      <c r="L439" s="8"/>
      <c r="M439" s="8"/>
      <c r="N439" s="8"/>
      <c r="O439" s="8"/>
      <c r="P439" s="8"/>
      <c r="Q439" s="8"/>
      <c r="R439" s="8"/>
      <c r="S439" s="8"/>
      <c r="T439" s="8"/>
      <c r="U439" s="8"/>
      <c r="V439" s="8"/>
      <c r="W439" s="8"/>
      <c r="X439" s="8"/>
      <c r="Y439" s="8"/>
      <c r="Z439" s="8"/>
      <c r="AA439" s="8"/>
    </row>
    <row r="440" spans="1:27" ht="15">
      <c r="A440" s="15"/>
      <c r="B440" s="36"/>
      <c r="C440" s="15"/>
      <c r="D440" s="37"/>
      <c r="E440" s="15"/>
      <c r="F440" s="15"/>
      <c r="G440" s="15"/>
      <c r="H440" s="15"/>
      <c r="I440" s="15"/>
      <c r="J440" s="39"/>
      <c r="K440" s="40"/>
      <c r="L440" s="8"/>
      <c r="M440" s="8"/>
      <c r="N440" s="8"/>
      <c r="O440" s="8"/>
      <c r="P440" s="8"/>
      <c r="Q440" s="8"/>
      <c r="R440" s="8"/>
      <c r="S440" s="8"/>
      <c r="T440" s="8"/>
      <c r="U440" s="8"/>
      <c r="V440" s="8"/>
      <c r="W440" s="8"/>
      <c r="X440" s="8"/>
      <c r="Y440" s="8"/>
      <c r="Z440" s="8"/>
      <c r="AA440" s="8"/>
    </row>
    <row r="441" spans="1:27" ht="15">
      <c r="A441" s="15"/>
      <c r="B441" s="36"/>
      <c r="C441" s="15"/>
      <c r="D441" s="37"/>
      <c r="E441" s="15"/>
      <c r="F441" s="15"/>
      <c r="G441" s="15"/>
      <c r="H441" s="15"/>
      <c r="I441" s="15"/>
      <c r="J441" s="39"/>
      <c r="K441" s="40"/>
      <c r="L441" s="8"/>
      <c r="M441" s="8"/>
      <c r="N441" s="8"/>
      <c r="O441" s="8"/>
      <c r="P441" s="8"/>
      <c r="Q441" s="8"/>
      <c r="R441" s="8"/>
      <c r="S441" s="8"/>
      <c r="T441" s="8"/>
      <c r="U441" s="8"/>
      <c r="V441" s="8"/>
      <c r="W441" s="8"/>
      <c r="X441" s="8"/>
      <c r="Y441" s="8"/>
      <c r="Z441" s="8"/>
      <c r="AA441" s="8"/>
    </row>
    <row r="442" spans="1:27" ht="15">
      <c r="A442" s="15"/>
      <c r="B442" s="36"/>
      <c r="C442" s="15"/>
      <c r="D442" s="37"/>
      <c r="E442" s="15"/>
      <c r="F442" s="15"/>
      <c r="G442" s="15"/>
      <c r="H442" s="15"/>
      <c r="I442" s="15"/>
      <c r="J442" s="39"/>
      <c r="K442" s="40"/>
      <c r="L442" s="8"/>
      <c r="M442" s="8"/>
      <c r="N442" s="8"/>
      <c r="O442" s="8"/>
      <c r="P442" s="8"/>
      <c r="Q442" s="8"/>
      <c r="R442" s="8"/>
      <c r="S442" s="8"/>
      <c r="T442" s="8"/>
      <c r="U442" s="8"/>
      <c r="V442" s="8"/>
      <c r="W442" s="8"/>
      <c r="X442" s="8"/>
      <c r="Y442" s="8"/>
      <c r="Z442" s="8"/>
      <c r="AA442" s="8"/>
    </row>
    <row r="443" spans="1:27" ht="15">
      <c r="A443" s="15"/>
      <c r="B443" s="36"/>
      <c r="C443" s="15"/>
      <c r="D443" s="37"/>
      <c r="E443" s="15"/>
      <c r="F443" s="15"/>
      <c r="G443" s="15"/>
      <c r="H443" s="15"/>
      <c r="I443" s="15"/>
      <c r="J443" s="39"/>
      <c r="K443" s="40"/>
      <c r="L443" s="8"/>
      <c r="M443" s="8"/>
      <c r="N443" s="8"/>
      <c r="O443" s="8"/>
      <c r="P443" s="8"/>
      <c r="Q443" s="8"/>
      <c r="R443" s="8"/>
      <c r="S443" s="8"/>
      <c r="T443" s="8"/>
      <c r="U443" s="8"/>
      <c r="V443" s="8"/>
      <c r="W443" s="8"/>
      <c r="X443" s="8"/>
      <c r="Y443" s="8"/>
      <c r="Z443" s="8"/>
      <c r="AA443" s="8"/>
    </row>
    <row r="444" spans="1:27" ht="15">
      <c r="A444" s="15"/>
      <c r="B444" s="36"/>
      <c r="C444" s="15"/>
      <c r="D444" s="37"/>
      <c r="E444" s="15"/>
      <c r="F444" s="15"/>
      <c r="G444" s="15"/>
      <c r="H444" s="15"/>
      <c r="I444" s="15"/>
      <c r="J444" s="39"/>
      <c r="K444" s="40"/>
      <c r="L444" s="8"/>
      <c r="M444" s="8"/>
      <c r="N444" s="8"/>
      <c r="O444" s="8"/>
      <c r="P444" s="8"/>
      <c r="Q444" s="8"/>
      <c r="R444" s="8"/>
      <c r="S444" s="8"/>
      <c r="T444" s="8"/>
      <c r="U444" s="8"/>
      <c r="V444" s="8"/>
      <c r="W444" s="8"/>
      <c r="X444" s="8"/>
      <c r="Y444" s="8"/>
      <c r="Z444" s="8"/>
      <c r="AA444" s="8"/>
    </row>
    <row r="445" spans="1:27" ht="15">
      <c r="A445" s="15"/>
      <c r="B445" s="36"/>
      <c r="C445" s="15"/>
      <c r="D445" s="37"/>
      <c r="E445" s="15"/>
      <c r="F445" s="15"/>
      <c r="G445" s="15"/>
      <c r="H445" s="15"/>
      <c r="I445" s="15"/>
      <c r="J445" s="39"/>
      <c r="K445" s="40"/>
      <c r="L445" s="8"/>
      <c r="M445" s="8"/>
      <c r="N445" s="8"/>
      <c r="O445" s="8"/>
      <c r="P445" s="8"/>
      <c r="Q445" s="8"/>
      <c r="R445" s="8"/>
      <c r="S445" s="8"/>
      <c r="T445" s="8"/>
      <c r="U445" s="8"/>
      <c r="V445" s="8"/>
      <c r="W445" s="8"/>
      <c r="X445" s="8"/>
      <c r="Y445" s="8"/>
      <c r="Z445" s="8"/>
      <c r="AA445" s="8"/>
    </row>
    <row r="446" spans="1:27" ht="15">
      <c r="A446" s="15"/>
      <c r="B446" s="36"/>
      <c r="C446" s="15"/>
      <c r="D446" s="37"/>
      <c r="E446" s="15"/>
      <c r="F446" s="15"/>
      <c r="G446" s="15"/>
      <c r="H446" s="15"/>
      <c r="I446" s="15"/>
      <c r="J446" s="39"/>
      <c r="K446" s="40"/>
      <c r="L446" s="8"/>
      <c r="M446" s="8"/>
      <c r="N446" s="8"/>
      <c r="O446" s="8"/>
      <c r="P446" s="8"/>
      <c r="Q446" s="8"/>
      <c r="R446" s="8"/>
      <c r="S446" s="8"/>
      <c r="T446" s="8"/>
      <c r="U446" s="8"/>
      <c r="V446" s="8"/>
      <c r="W446" s="8"/>
      <c r="X446" s="8"/>
      <c r="Y446" s="8"/>
      <c r="Z446" s="8"/>
      <c r="AA446" s="8"/>
    </row>
    <row r="447" spans="1:27" ht="15">
      <c r="A447" s="15"/>
      <c r="B447" s="36"/>
      <c r="C447" s="15"/>
      <c r="D447" s="37"/>
      <c r="E447" s="15"/>
      <c r="F447" s="15"/>
      <c r="G447" s="15"/>
      <c r="H447" s="15"/>
      <c r="I447" s="15"/>
      <c r="J447" s="39"/>
      <c r="K447" s="40"/>
      <c r="L447" s="8"/>
      <c r="M447" s="8"/>
      <c r="N447" s="8"/>
      <c r="O447" s="8"/>
      <c r="P447" s="8"/>
      <c r="Q447" s="8"/>
      <c r="R447" s="8"/>
      <c r="S447" s="8"/>
      <c r="T447" s="8"/>
      <c r="U447" s="8"/>
      <c r="V447" s="8"/>
      <c r="W447" s="8"/>
      <c r="X447" s="8"/>
      <c r="Y447" s="8"/>
      <c r="Z447" s="8"/>
      <c r="AA447" s="8"/>
    </row>
    <row r="448" spans="1:27" ht="15">
      <c r="A448" s="15"/>
      <c r="B448" s="36"/>
      <c r="C448" s="15"/>
      <c r="D448" s="37"/>
      <c r="E448" s="15"/>
      <c r="F448" s="15"/>
      <c r="G448" s="15"/>
      <c r="H448" s="15"/>
      <c r="I448" s="15"/>
      <c r="J448" s="39"/>
      <c r="K448" s="40"/>
      <c r="L448" s="8"/>
      <c r="M448" s="8"/>
      <c r="N448" s="8"/>
      <c r="O448" s="8"/>
      <c r="P448" s="8"/>
      <c r="Q448" s="8"/>
      <c r="R448" s="8"/>
      <c r="S448" s="8"/>
      <c r="T448" s="8"/>
      <c r="U448" s="8"/>
      <c r="V448" s="8"/>
      <c r="W448" s="8"/>
      <c r="X448" s="8"/>
      <c r="Y448" s="8"/>
      <c r="Z448" s="8"/>
      <c r="AA448" s="8"/>
    </row>
    <row r="449" spans="1:27" ht="15">
      <c r="A449" s="15"/>
      <c r="B449" s="36"/>
      <c r="C449" s="15"/>
      <c r="D449" s="37"/>
      <c r="E449" s="15"/>
      <c r="F449" s="15"/>
      <c r="G449" s="15"/>
      <c r="H449" s="15"/>
      <c r="I449" s="15"/>
      <c r="J449" s="39"/>
      <c r="K449" s="40"/>
      <c r="L449" s="8"/>
      <c r="M449" s="8"/>
      <c r="N449" s="8"/>
      <c r="O449" s="8"/>
      <c r="P449" s="8"/>
      <c r="Q449" s="8"/>
      <c r="R449" s="8"/>
      <c r="S449" s="8"/>
      <c r="T449" s="8"/>
      <c r="U449" s="8"/>
      <c r="V449" s="8"/>
      <c r="W449" s="8"/>
      <c r="X449" s="8"/>
      <c r="Y449" s="8"/>
      <c r="Z449" s="8"/>
      <c r="AA449" s="8"/>
    </row>
    <row r="450" spans="1:27" ht="15">
      <c r="A450" s="15"/>
      <c r="B450" s="36"/>
      <c r="C450" s="15"/>
      <c r="D450" s="37"/>
      <c r="E450" s="15"/>
      <c r="F450" s="15"/>
      <c r="G450" s="15"/>
      <c r="H450" s="15"/>
      <c r="I450" s="15"/>
      <c r="J450" s="39"/>
      <c r="K450" s="40"/>
      <c r="L450" s="8"/>
      <c r="M450" s="8"/>
      <c r="N450" s="8"/>
      <c r="O450" s="8"/>
      <c r="P450" s="8"/>
      <c r="Q450" s="8"/>
      <c r="R450" s="8"/>
      <c r="S450" s="8"/>
      <c r="T450" s="8"/>
      <c r="U450" s="8"/>
      <c r="V450" s="8"/>
      <c r="W450" s="8"/>
      <c r="X450" s="8"/>
      <c r="Y450" s="8"/>
      <c r="Z450" s="8"/>
      <c r="AA450" s="8"/>
    </row>
    <row r="451" spans="1:27" ht="15">
      <c r="A451" s="15"/>
      <c r="B451" s="36"/>
      <c r="C451" s="15"/>
      <c r="D451" s="37"/>
      <c r="E451" s="15"/>
      <c r="F451" s="15"/>
      <c r="G451" s="15"/>
      <c r="H451" s="15"/>
      <c r="I451" s="15"/>
      <c r="J451" s="39"/>
      <c r="K451" s="40"/>
      <c r="L451" s="8"/>
      <c r="M451" s="8"/>
      <c r="N451" s="8"/>
      <c r="O451" s="8"/>
      <c r="P451" s="8"/>
      <c r="Q451" s="8"/>
      <c r="R451" s="8"/>
      <c r="S451" s="8"/>
      <c r="T451" s="8"/>
      <c r="U451" s="8"/>
      <c r="V451" s="8"/>
      <c r="W451" s="8"/>
      <c r="X451" s="8"/>
      <c r="Y451" s="8"/>
      <c r="Z451" s="8"/>
      <c r="AA451" s="8"/>
    </row>
    <row r="452" spans="1:27" ht="15">
      <c r="A452" s="15"/>
      <c r="B452" s="36"/>
      <c r="C452" s="15"/>
      <c r="D452" s="37"/>
      <c r="E452" s="15"/>
      <c r="F452" s="15"/>
      <c r="G452" s="15"/>
      <c r="H452" s="15"/>
      <c r="I452" s="15"/>
      <c r="J452" s="39"/>
      <c r="K452" s="40"/>
      <c r="L452" s="8"/>
      <c r="M452" s="8"/>
      <c r="N452" s="8"/>
      <c r="O452" s="8"/>
      <c r="P452" s="8"/>
      <c r="Q452" s="8"/>
      <c r="R452" s="8"/>
      <c r="S452" s="8"/>
      <c r="T452" s="8"/>
      <c r="U452" s="8"/>
      <c r="V452" s="8"/>
      <c r="W452" s="8"/>
      <c r="X452" s="8"/>
      <c r="Y452" s="8"/>
      <c r="Z452" s="8"/>
      <c r="AA452" s="8"/>
    </row>
    <row r="453" spans="1:27" ht="15">
      <c r="A453" s="15"/>
      <c r="B453" s="36"/>
      <c r="C453" s="15"/>
      <c r="D453" s="37"/>
      <c r="E453" s="15"/>
      <c r="F453" s="15"/>
      <c r="G453" s="15"/>
      <c r="H453" s="15"/>
      <c r="I453" s="15"/>
      <c r="J453" s="39"/>
      <c r="K453" s="40"/>
      <c r="L453" s="8"/>
      <c r="M453" s="8"/>
      <c r="N453" s="8"/>
      <c r="O453" s="8"/>
      <c r="P453" s="8"/>
      <c r="Q453" s="8"/>
      <c r="R453" s="8"/>
      <c r="S453" s="8"/>
      <c r="T453" s="8"/>
      <c r="U453" s="8"/>
      <c r="V453" s="8"/>
      <c r="W453" s="8"/>
      <c r="X453" s="8"/>
      <c r="Y453" s="8"/>
      <c r="Z453" s="8"/>
      <c r="AA453" s="8"/>
    </row>
    <row r="454" spans="1:27" ht="15">
      <c r="A454" s="15"/>
      <c r="B454" s="36"/>
      <c r="C454" s="15"/>
      <c r="D454" s="37"/>
      <c r="E454" s="15"/>
      <c r="F454" s="15"/>
      <c r="G454" s="15"/>
      <c r="H454" s="15"/>
      <c r="I454" s="15"/>
      <c r="J454" s="39"/>
      <c r="K454" s="40"/>
      <c r="L454" s="8"/>
      <c r="M454" s="8"/>
      <c r="N454" s="8"/>
      <c r="O454" s="8"/>
      <c r="P454" s="8"/>
      <c r="Q454" s="8"/>
      <c r="R454" s="8"/>
      <c r="S454" s="8"/>
      <c r="T454" s="8"/>
      <c r="U454" s="8"/>
      <c r="V454" s="8"/>
      <c r="W454" s="8"/>
      <c r="X454" s="8"/>
      <c r="Y454" s="8"/>
      <c r="Z454" s="8"/>
      <c r="AA454" s="8"/>
    </row>
    <row r="455" spans="1:27" ht="15">
      <c r="A455" s="15"/>
      <c r="B455" s="36"/>
      <c r="C455" s="15"/>
      <c r="D455" s="37"/>
      <c r="E455" s="15"/>
      <c r="F455" s="15"/>
      <c r="G455" s="15"/>
      <c r="H455" s="15"/>
      <c r="I455" s="15"/>
      <c r="J455" s="39"/>
      <c r="K455" s="40"/>
      <c r="L455" s="8"/>
      <c r="M455" s="8"/>
      <c r="N455" s="8"/>
      <c r="O455" s="8"/>
      <c r="P455" s="8"/>
      <c r="Q455" s="8"/>
      <c r="R455" s="8"/>
      <c r="S455" s="8"/>
      <c r="T455" s="8"/>
      <c r="U455" s="8"/>
      <c r="V455" s="8"/>
      <c r="W455" s="8"/>
      <c r="X455" s="8"/>
      <c r="Y455" s="8"/>
      <c r="Z455" s="8"/>
      <c r="AA455" s="8"/>
    </row>
    <row r="456" spans="1:27" ht="15">
      <c r="A456" s="15"/>
      <c r="B456" s="36"/>
      <c r="C456" s="15"/>
      <c r="D456" s="37"/>
      <c r="E456" s="15"/>
      <c r="F456" s="15"/>
      <c r="G456" s="15"/>
      <c r="H456" s="15"/>
      <c r="I456" s="15"/>
      <c r="J456" s="39"/>
      <c r="K456" s="40"/>
      <c r="L456" s="8"/>
      <c r="M456" s="8"/>
      <c r="N456" s="8"/>
      <c r="O456" s="8"/>
      <c r="P456" s="8"/>
      <c r="Q456" s="8"/>
      <c r="R456" s="8"/>
      <c r="S456" s="8"/>
      <c r="T456" s="8"/>
      <c r="U456" s="8"/>
      <c r="V456" s="8"/>
      <c r="W456" s="8"/>
      <c r="X456" s="8"/>
      <c r="Y456" s="8"/>
      <c r="Z456" s="8"/>
      <c r="AA456" s="8"/>
    </row>
    <row r="457" spans="1:27" ht="15">
      <c r="A457" s="15"/>
      <c r="B457" s="36"/>
      <c r="C457" s="15"/>
      <c r="D457" s="37"/>
      <c r="E457" s="15"/>
      <c r="F457" s="15"/>
      <c r="G457" s="15"/>
      <c r="H457" s="15"/>
      <c r="I457" s="15"/>
      <c r="J457" s="39"/>
      <c r="K457" s="40"/>
      <c r="L457" s="8"/>
      <c r="M457" s="8"/>
      <c r="N457" s="8"/>
      <c r="O457" s="8"/>
      <c r="P457" s="8"/>
      <c r="Q457" s="8"/>
      <c r="R457" s="8"/>
      <c r="S457" s="8"/>
      <c r="T457" s="8"/>
      <c r="U457" s="8"/>
      <c r="V457" s="8"/>
      <c r="W457" s="8"/>
      <c r="X457" s="8"/>
      <c r="Y457" s="8"/>
      <c r="Z457" s="8"/>
      <c r="AA457" s="8"/>
    </row>
    <row r="458" spans="1:27" ht="15">
      <c r="A458" s="15"/>
      <c r="B458" s="36"/>
      <c r="C458" s="15"/>
      <c r="D458" s="37"/>
      <c r="E458" s="15"/>
      <c r="F458" s="15"/>
      <c r="G458" s="15"/>
      <c r="H458" s="15"/>
      <c r="I458" s="15"/>
      <c r="J458" s="39"/>
      <c r="K458" s="40"/>
      <c r="L458" s="8"/>
      <c r="M458" s="8"/>
      <c r="N458" s="8"/>
      <c r="O458" s="8"/>
      <c r="P458" s="8"/>
      <c r="Q458" s="8"/>
      <c r="R458" s="8"/>
      <c r="S458" s="8"/>
      <c r="T458" s="8"/>
      <c r="U458" s="8"/>
      <c r="V458" s="8"/>
      <c r="W458" s="8"/>
      <c r="X458" s="8"/>
      <c r="Y458" s="8"/>
      <c r="Z458" s="8"/>
      <c r="AA458" s="8"/>
    </row>
    <row r="459" spans="1:27" ht="15">
      <c r="A459" s="15"/>
      <c r="B459" s="36"/>
      <c r="C459" s="15"/>
      <c r="D459" s="37"/>
      <c r="E459" s="15"/>
      <c r="F459" s="15"/>
      <c r="G459" s="15"/>
      <c r="H459" s="15"/>
      <c r="I459" s="15"/>
      <c r="J459" s="39"/>
      <c r="K459" s="40"/>
      <c r="L459" s="8"/>
      <c r="M459" s="8"/>
      <c r="N459" s="8"/>
      <c r="O459" s="8"/>
      <c r="P459" s="8"/>
      <c r="Q459" s="8"/>
      <c r="R459" s="8"/>
      <c r="S459" s="8"/>
      <c r="T459" s="8"/>
      <c r="U459" s="8"/>
      <c r="V459" s="8"/>
      <c r="W459" s="8"/>
      <c r="X459" s="8"/>
      <c r="Y459" s="8"/>
      <c r="Z459" s="8"/>
      <c r="AA459" s="8"/>
    </row>
    <row r="460" spans="1:27" ht="15">
      <c r="A460" s="15"/>
      <c r="B460" s="36"/>
      <c r="C460" s="15"/>
      <c r="D460" s="37"/>
      <c r="E460" s="15"/>
      <c r="F460" s="15"/>
      <c r="G460" s="15"/>
      <c r="H460" s="15"/>
      <c r="I460" s="15"/>
      <c r="J460" s="39"/>
      <c r="K460" s="40"/>
      <c r="L460" s="8"/>
      <c r="M460" s="8"/>
      <c r="N460" s="8"/>
      <c r="O460" s="8"/>
      <c r="P460" s="8"/>
      <c r="Q460" s="8"/>
      <c r="R460" s="8"/>
      <c r="S460" s="8"/>
      <c r="T460" s="8"/>
      <c r="U460" s="8"/>
      <c r="V460" s="8"/>
      <c r="W460" s="8"/>
      <c r="X460" s="8"/>
      <c r="Y460" s="8"/>
      <c r="Z460" s="8"/>
      <c r="AA460" s="8"/>
    </row>
    <row r="461" spans="1:27" ht="15">
      <c r="A461" s="15"/>
      <c r="B461" s="36"/>
      <c r="C461" s="15"/>
      <c r="D461" s="37"/>
      <c r="E461" s="15"/>
      <c r="F461" s="15"/>
      <c r="G461" s="15"/>
      <c r="H461" s="15"/>
      <c r="I461" s="15"/>
      <c r="J461" s="39"/>
      <c r="K461" s="40"/>
      <c r="L461" s="8"/>
      <c r="M461" s="8"/>
      <c r="N461" s="8"/>
      <c r="O461" s="8"/>
      <c r="P461" s="8"/>
      <c r="Q461" s="8"/>
      <c r="R461" s="8"/>
      <c r="S461" s="8"/>
      <c r="T461" s="8"/>
      <c r="U461" s="8"/>
      <c r="V461" s="8"/>
      <c r="W461" s="8"/>
      <c r="X461" s="8"/>
      <c r="Y461" s="8"/>
      <c r="Z461" s="8"/>
      <c r="AA461" s="8"/>
    </row>
    <row r="462" spans="1:27" ht="15">
      <c r="A462" s="15"/>
      <c r="B462" s="36"/>
      <c r="C462" s="15"/>
      <c r="D462" s="37"/>
      <c r="E462" s="15"/>
      <c r="F462" s="15"/>
      <c r="G462" s="15"/>
      <c r="H462" s="15"/>
      <c r="I462" s="15"/>
      <c r="J462" s="39"/>
      <c r="K462" s="40"/>
      <c r="L462" s="8"/>
      <c r="M462" s="8"/>
      <c r="N462" s="8"/>
      <c r="O462" s="8"/>
      <c r="P462" s="8"/>
      <c r="Q462" s="8"/>
      <c r="R462" s="8"/>
      <c r="S462" s="8"/>
      <c r="T462" s="8"/>
      <c r="U462" s="8"/>
      <c r="V462" s="8"/>
      <c r="W462" s="8"/>
      <c r="X462" s="8"/>
      <c r="Y462" s="8"/>
      <c r="Z462" s="8"/>
      <c r="AA462" s="8"/>
    </row>
    <row r="463" spans="1:27" ht="15">
      <c r="A463" s="15"/>
      <c r="B463" s="36"/>
      <c r="C463" s="15"/>
      <c r="D463" s="37"/>
      <c r="E463" s="15"/>
      <c r="F463" s="15"/>
      <c r="G463" s="15"/>
      <c r="H463" s="15"/>
      <c r="I463" s="15"/>
      <c r="J463" s="39"/>
      <c r="K463" s="40"/>
      <c r="L463" s="8"/>
      <c r="M463" s="8"/>
      <c r="N463" s="8"/>
      <c r="O463" s="8"/>
      <c r="P463" s="8"/>
      <c r="Q463" s="8"/>
      <c r="R463" s="8"/>
      <c r="S463" s="8"/>
      <c r="T463" s="8"/>
      <c r="U463" s="8"/>
      <c r="V463" s="8"/>
      <c r="W463" s="8"/>
      <c r="X463" s="8"/>
      <c r="Y463" s="8"/>
      <c r="Z463" s="8"/>
      <c r="AA463" s="8"/>
    </row>
    <row r="464" spans="1:27" ht="15">
      <c r="A464" s="15"/>
      <c r="B464" s="36"/>
      <c r="C464" s="15"/>
      <c r="D464" s="37"/>
      <c r="E464" s="15"/>
      <c r="F464" s="15"/>
      <c r="G464" s="15"/>
      <c r="H464" s="15"/>
      <c r="I464" s="15"/>
      <c r="J464" s="39"/>
      <c r="K464" s="40"/>
      <c r="L464" s="8"/>
      <c r="M464" s="8"/>
      <c r="N464" s="8"/>
      <c r="O464" s="8"/>
      <c r="P464" s="8"/>
      <c r="Q464" s="8"/>
      <c r="R464" s="8"/>
      <c r="S464" s="8"/>
      <c r="T464" s="8"/>
      <c r="U464" s="8"/>
      <c r="V464" s="8"/>
      <c r="W464" s="8"/>
      <c r="X464" s="8"/>
      <c r="Y464" s="8"/>
      <c r="Z464" s="8"/>
      <c r="AA464" s="8"/>
    </row>
    <row r="465" spans="1:27" ht="15">
      <c r="A465" s="15"/>
      <c r="B465" s="36"/>
      <c r="C465" s="15"/>
      <c r="D465" s="37"/>
      <c r="E465" s="15"/>
      <c r="F465" s="15"/>
      <c r="G465" s="15"/>
      <c r="H465" s="15"/>
      <c r="I465" s="15"/>
      <c r="J465" s="39"/>
      <c r="K465" s="40"/>
      <c r="L465" s="8"/>
      <c r="M465" s="8"/>
      <c r="N465" s="8"/>
      <c r="O465" s="8"/>
      <c r="P465" s="8"/>
      <c r="Q465" s="8"/>
      <c r="R465" s="8"/>
      <c r="S465" s="8"/>
      <c r="T465" s="8"/>
      <c r="U465" s="8"/>
      <c r="V465" s="8"/>
      <c r="W465" s="8"/>
      <c r="X465" s="8"/>
      <c r="Y465" s="8"/>
      <c r="Z465" s="8"/>
      <c r="AA465" s="8"/>
    </row>
    <row r="466" spans="1:27" ht="15">
      <c r="A466" s="15"/>
      <c r="B466" s="36"/>
      <c r="C466" s="15"/>
      <c r="D466" s="37"/>
      <c r="E466" s="15"/>
      <c r="F466" s="15"/>
      <c r="G466" s="15"/>
      <c r="H466" s="15"/>
      <c r="I466" s="15"/>
      <c r="J466" s="39"/>
      <c r="K466" s="40"/>
      <c r="L466" s="8"/>
      <c r="M466" s="8"/>
      <c r="N466" s="8"/>
      <c r="O466" s="8"/>
      <c r="P466" s="8"/>
      <c r="Q466" s="8"/>
      <c r="R466" s="8"/>
      <c r="S466" s="8"/>
      <c r="T466" s="8"/>
      <c r="U466" s="8"/>
      <c r="V466" s="8"/>
      <c r="W466" s="8"/>
      <c r="X466" s="8"/>
      <c r="Y466" s="8"/>
      <c r="Z466" s="8"/>
      <c r="AA466" s="8"/>
    </row>
    <row r="467" spans="1:27" ht="15">
      <c r="A467" s="15"/>
      <c r="B467" s="36"/>
      <c r="C467" s="15"/>
      <c r="D467" s="37"/>
      <c r="E467" s="15"/>
      <c r="F467" s="15"/>
      <c r="G467" s="15"/>
      <c r="H467" s="15"/>
      <c r="I467" s="15"/>
      <c r="J467" s="39"/>
      <c r="K467" s="40"/>
      <c r="L467" s="8"/>
      <c r="M467" s="8"/>
      <c r="N467" s="8"/>
      <c r="O467" s="8"/>
      <c r="P467" s="8"/>
      <c r="Q467" s="8"/>
      <c r="R467" s="8"/>
      <c r="S467" s="8"/>
      <c r="T467" s="8"/>
      <c r="U467" s="8"/>
      <c r="V467" s="8"/>
      <c r="W467" s="8"/>
      <c r="X467" s="8"/>
      <c r="Y467" s="8"/>
      <c r="Z467" s="8"/>
      <c r="AA467" s="8"/>
    </row>
    <row r="468" spans="1:27" ht="15">
      <c r="A468" s="15"/>
      <c r="B468" s="36"/>
      <c r="C468" s="15"/>
      <c r="D468" s="37"/>
      <c r="E468" s="15"/>
      <c r="F468" s="15"/>
      <c r="G468" s="15"/>
      <c r="H468" s="15"/>
      <c r="I468" s="15"/>
      <c r="J468" s="39"/>
      <c r="K468" s="40"/>
      <c r="L468" s="8"/>
      <c r="M468" s="8"/>
      <c r="N468" s="8"/>
      <c r="O468" s="8"/>
      <c r="P468" s="8"/>
      <c r="Q468" s="8"/>
      <c r="R468" s="8"/>
      <c r="S468" s="8"/>
      <c r="T468" s="8"/>
      <c r="U468" s="8"/>
      <c r="V468" s="8"/>
      <c r="W468" s="8"/>
      <c r="X468" s="8"/>
      <c r="Y468" s="8"/>
      <c r="Z468" s="8"/>
      <c r="AA468" s="8"/>
    </row>
    <row r="469" spans="1:27" ht="15">
      <c r="A469" s="15"/>
      <c r="B469" s="36"/>
      <c r="C469" s="15"/>
      <c r="D469" s="37"/>
      <c r="E469" s="15"/>
      <c r="F469" s="15"/>
      <c r="G469" s="15"/>
      <c r="H469" s="15"/>
      <c r="I469" s="15"/>
      <c r="J469" s="39"/>
      <c r="K469" s="40"/>
      <c r="L469" s="8"/>
      <c r="M469" s="8"/>
      <c r="N469" s="8"/>
      <c r="O469" s="8"/>
      <c r="P469" s="8"/>
      <c r="Q469" s="8"/>
      <c r="R469" s="8"/>
      <c r="S469" s="8"/>
      <c r="T469" s="8"/>
      <c r="U469" s="8"/>
      <c r="V469" s="8"/>
      <c r="W469" s="8"/>
      <c r="X469" s="8"/>
      <c r="Y469" s="8"/>
      <c r="Z469" s="8"/>
      <c r="AA469" s="8"/>
    </row>
    <row r="470" spans="1:27" ht="15">
      <c r="A470" s="15"/>
      <c r="B470" s="36"/>
      <c r="C470" s="15"/>
      <c r="D470" s="37"/>
      <c r="E470" s="15"/>
      <c r="F470" s="15"/>
      <c r="G470" s="15"/>
      <c r="H470" s="15"/>
      <c r="I470" s="15"/>
      <c r="J470" s="39"/>
      <c r="K470" s="40"/>
      <c r="L470" s="8"/>
      <c r="M470" s="8"/>
      <c r="N470" s="8"/>
      <c r="O470" s="8"/>
      <c r="P470" s="8"/>
      <c r="Q470" s="8"/>
      <c r="R470" s="8"/>
      <c r="S470" s="8"/>
      <c r="T470" s="8"/>
      <c r="U470" s="8"/>
      <c r="V470" s="8"/>
      <c r="W470" s="8"/>
      <c r="X470" s="8"/>
      <c r="Y470" s="8"/>
      <c r="Z470" s="8"/>
      <c r="AA470" s="8"/>
    </row>
    <row r="471" spans="1:27" ht="15">
      <c r="A471" s="15"/>
      <c r="B471" s="36"/>
      <c r="C471" s="15"/>
      <c r="D471" s="37"/>
      <c r="E471" s="15"/>
      <c r="F471" s="15"/>
      <c r="G471" s="15"/>
      <c r="H471" s="15"/>
      <c r="I471" s="15"/>
      <c r="J471" s="39"/>
      <c r="K471" s="40"/>
      <c r="L471" s="8"/>
      <c r="M471" s="8"/>
      <c r="N471" s="8"/>
      <c r="O471" s="8"/>
      <c r="P471" s="8"/>
      <c r="Q471" s="8"/>
      <c r="R471" s="8"/>
      <c r="S471" s="8"/>
      <c r="T471" s="8"/>
      <c r="U471" s="8"/>
      <c r="V471" s="8"/>
      <c r="W471" s="8"/>
      <c r="X471" s="8"/>
      <c r="Y471" s="8"/>
      <c r="Z471" s="8"/>
      <c r="AA471" s="8"/>
    </row>
    <row r="472" spans="1:27" ht="15">
      <c r="A472" s="15"/>
      <c r="B472" s="36"/>
      <c r="C472" s="15"/>
      <c r="D472" s="37"/>
      <c r="E472" s="15"/>
      <c r="F472" s="15"/>
      <c r="G472" s="15"/>
      <c r="H472" s="15"/>
      <c r="I472" s="15"/>
      <c r="J472" s="39"/>
      <c r="K472" s="40"/>
      <c r="L472" s="8"/>
      <c r="M472" s="8"/>
      <c r="N472" s="8"/>
      <c r="O472" s="8"/>
      <c r="P472" s="8"/>
      <c r="Q472" s="8"/>
      <c r="R472" s="8"/>
      <c r="S472" s="8"/>
      <c r="T472" s="8"/>
      <c r="U472" s="8"/>
      <c r="V472" s="8"/>
      <c r="W472" s="8"/>
      <c r="X472" s="8"/>
      <c r="Y472" s="8"/>
      <c r="Z472" s="8"/>
      <c r="AA472" s="8"/>
    </row>
    <row r="473" spans="1:27" ht="15">
      <c r="A473" s="15"/>
      <c r="B473" s="36"/>
      <c r="C473" s="15"/>
      <c r="D473" s="37"/>
      <c r="E473" s="15"/>
      <c r="F473" s="15"/>
      <c r="G473" s="15"/>
      <c r="H473" s="15"/>
      <c r="I473" s="15"/>
      <c r="J473" s="39"/>
      <c r="K473" s="40"/>
      <c r="L473" s="8"/>
      <c r="M473" s="8"/>
      <c r="N473" s="8"/>
      <c r="O473" s="8"/>
      <c r="P473" s="8"/>
      <c r="Q473" s="8"/>
      <c r="R473" s="8"/>
      <c r="S473" s="8"/>
      <c r="T473" s="8"/>
      <c r="U473" s="8"/>
      <c r="V473" s="8"/>
      <c r="W473" s="8"/>
      <c r="X473" s="8"/>
      <c r="Y473" s="8"/>
      <c r="Z473" s="8"/>
      <c r="AA473" s="8"/>
    </row>
    <row r="474" spans="1:27" ht="15">
      <c r="A474" s="15"/>
      <c r="B474" s="36"/>
      <c r="C474" s="15"/>
      <c r="D474" s="37"/>
      <c r="E474" s="15"/>
      <c r="F474" s="15"/>
      <c r="G474" s="15"/>
      <c r="H474" s="15"/>
      <c r="I474" s="15"/>
      <c r="J474" s="39"/>
      <c r="K474" s="40"/>
      <c r="L474" s="8"/>
      <c r="M474" s="8"/>
      <c r="N474" s="8"/>
      <c r="O474" s="8"/>
      <c r="P474" s="8"/>
      <c r="Q474" s="8"/>
      <c r="R474" s="8"/>
      <c r="S474" s="8"/>
      <c r="T474" s="8"/>
      <c r="U474" s="8"/>
      <c r="V474" s="8"/>
      <c r="W474" s="8"/>
      <c r="X474" s="8"/>
      <c r="Y474" s="8"/>
      <c r="Z474" s="8"/>
      <c r="AA474" s="8"/>
    </row>
    <row r="475" spans="1:27" ht="15">
      <c r="A475" s="15"/>
      <c r="B475" s="36"/>
      <c r="C475" s="15"/>
      <c r="D475" s="37"/>
      <c r="E475" s="15"/>
      <c r="F475" s="15"/>
      <c r="G475" s="15"/>
      <c r="H475" s="15"/>
      <c r="I475" s="15"/>
      <c r="J475" s="39"/>
      <c r="K475" s="40"/>
      <c r="L475" s="8"/>
      <c r="M475" s="8"/>
      <c r="N475" s="8"/>
      <c r="O475" s="8"/>
      <c r="P475" s="8"/>
      <c r="Q475" s="8"/>
      <c r="R475" s="8"/>
      <c r="S475" s="8"/>
      <c r="T475" s="8"/>
      <c r="U475" s="8"/>
      <c r="V475" s="8"/>
      <c r="W475" s="8"/>
      <c r="X475" s="8"/>
      <c r="Y475" s="8"/>
      <c r="Z475" s="8"/>
      <c r="AA475" s="8"/>
    </row>
    <row r="476" spans="1:27" ht="15">
      <c r="A476" s="15"/>
      <c r="B476" s="36"/>
      <c r="C476" s="15"/>
      <c r="D476" s="37"/>
      <c r="E476" s="15"/>
      <c r="F476" s="15"/>
      <c r="G476" s="15"/>
      <c r="H476" s="15"/>
      <c r="I476" s="15"/>
      <c r="J476" s="39"/>
      <c r="K476" s="40"/>
      <c r="L476" s="8"/>
      <c r="M476" s="8"/>
      <c r="N476" s="8"/>
      <c r="O476" s="8"/>
      <c r="P476" s="8"/>
      <c r="Q476" s="8"/>
      <c r="R476" s="8"/>
      <c r="S476" s="8"/>
      <c r="T476" s="8"/>
      <c r="U476" s="8"/>
      <c r="V476" s="8"/>
      <c r="W476" s="8"/>
      <c r="X476" s="8"/>
      <c r="Y476" s="8"/>
      <c r="Z476" s="8"/>
      <c r="AA476" s="8"/>
    </row>
    <row r="477" spans="1:27" ht="15">
      <c r="A477" s="15"/>
      <c r="B477" s="36"/>
      <c r="C477" s="15"/>
      <c r="D477" s="37"/>
      <c r="E477" s="15"/>
      <c r="F477" s="15"/>
      <c r="G477" s="15"/>
      <c r="H477" s="15"/>
      <c r="I477" s="15"/>
      <c r="J477" s="39"/>
      <c r="K477" s="40"/>
      <c r="L477" s="8"/>
      <c r="M477" s="8"/>
      <c r="N477" s="8"/>
      <c r="O477" s="8"/>
      <c r="P477" s="8"/>
      <c r="Q477" s="8"/>
      <c r="R477" s="8"/>
      <c r="S477" s="8"/>
      <c r="T477" s="8"/>
      <c r="U477" s="8"/>
      <c r="V477" s="8"/>
      <c r="W477" s="8"/>
      <c r="X477" s="8"/>
      <c r="Y477" s="8"/>
      <c r="Z477" s="8"/>
      <c r="AA477" s="8"/>
    </row>
    <row r="478" spans="1:27" ht="15">
      <c r="A478" s="15"/>
      <c r="B478" s="36"/>
      <c r="C478" s="15"/>
      <c r="D478" s="37"/>
      <c r="E478" s="15"/>
      <c r="F478" s="15"/>
      <c r="G478" s="15"/>
      <c r="H478" s="15"/>
      <c r="I478" s="15"/>
      <c r="J478" s="39"/>
      <c r="K478" s="40"/>
      <c r="L478" s="8"/>
      <c r="M478" s="8"/>
      <c r="N478" s="8"/>
      <c r="O478" s="8"/>
      <c r="P478" s="8"/>
      <c r="Q478" s="8"/>
      <c r="R478" s="8"/>
      <c r="S478" s="8"/>
      <c r="T478" s="8"/>
      <c r="U478" s="8"/>
      <c r="V478" s="8"/>
      <c r="W478" s="8"/>
      <c r="X478" s="8"/>
      <c r="Y478" s="8"/>
      <c r="Z478" s="8"/>
      <c r="AA478" s="8"/>
    </row>
    <row r="479" spans="1:27" ht="15">
      <c r="A479" s="15"/>
      <c r="B479" s="36"/>
      <c r="C479" s="15"/>
      <c r="D479" s="37"/>
      <c r="E479" s="15"/>
      <c r="F479" s="15"/>
      <c r="G479" s="15"/>
      <c r="H479" s="15"/>
      <c r="I479" s="15"/>
      <c r="J479" s="39"/>
      <c r="K479" s="40"/>
      <c r="L479" s="8"/>
      <c r="M479" s="8"/>
      <c r="N479" s="8"/>
      <c r="O479" s="8"/>
      <c r="P479" s="8"/>
      <c r="Q479" s="8"/>
      <c r="R479" s="8"/>
      <c r="S479" s="8"/>
      <c r="T479" s="8"/>
      <c r="U479" s="8"/>
      <c r="V479" s="8"/>
      <c r="W479" s="8"/>
      <c r="X479" s="8"/>
      <c r="Y479" s="8"/>
      <c r="Z479" s="8"/>
      <c r="AA479" s="8"/>
    </row>
    <row r="480" spans="1:27" ht="15">
      <c r="A480" s="15"/>
      <c r="B480" s="36"/>
      <c r="C480" s="15"/>
      <c r="D480" s="37"/>
      <c r="E480" s="15"/>
      <c r="F480" s="15"/>
      <c r="G480" s="15"/>
      <c r="H480" s="15"/>
      <c r="I480" s="15"/>
      <c r="J480" s="39"/>
      <c r="K480" s="40"/>
      <c r="L480" s="8"/>
      <c r="M480" s="8"/>
      <c r="N480" s="8"/>
      <c r="O480" s="8"/>
      <c r="P480" s="8"/>
      <c r="Q480" s="8"/>
      <c r="R480" s="8"/>
      <c r="S480" s="8"/>
      <c r="T480" s="8"/>
      <c r="U480" s="8"/>
      <c r="V480" s="8"/>
      <c r="W480" s="8"/>
      <c r="X480" s="8"/>
      <c r="Y480" s="8"/>
      <c r="Z480" s="8"/>
      <c r="AA480" s="8"/>
    </row>
    <row r="481" spans="1:27" ht="15">
      <c r="A481" s="15"/>
      <c r="B481" s="36"/>
      <c r="C481" s="15"/>
      <c r="D481" s="37"/>
      <c r="E481" s="15"/>
      <c r="F481" s="15"/>
      <c r="G481" s="15"/>
      <c r="H481" s="15"/>
      <c r="I481" s="15"/>
      <c r="J481" s="39"/>
      <c r="K481" s="40"/>
      <c r="L481" s="8"/>
      <c r="M481" s="8"/>
      <c r="N481" s="8"/>
      <c r="O481" s="8"/>
      <c r="P481" s="8"/>
      <c r="Q481" s="8"/>
      <c r="R481" s="8"/>
      <c r="S481" s="8"/>
      <c r="T481" s="8"/>
      <c r="U481" s="8"/>
      <c r="V481" s="8"/>
      <c r="W481" s="8"/>
      <c r="X481" s="8"/>
      <c r="Y481" s="8"/>
      <c r="Z481" s="8"/>
      <c r="AA481" s="8"/>
    </row>
    <row r="482" spans="1:27" ht="15">
      <c r="A482" s="15"/>
      <c r="B482" s="36"/>
      <c r="C482" s="15"/>
      <c r="D482" s="37"/>
      <c r="E482" s="15"/>
      <c r="F482" s="15"/>
      <c r="G482" s="15"/>
      <c r="H482" s="15"/>
      <c r="I482" s="15"/>
      <c r="J482" s="39"/>
      <c r="K482" s="40"/>
      <c r="L482" s="8"/>
      <c r="M482" s="8"/>
      <c r="N482" s="8"/>
      <c r="O482" s="8"/>
      <c r="P482" s="8"/>
      <c r="Q482" s="8"/>
      <c r="R482" s="8"/>
      <c r="S482" s="8"/>
      <c r="T482" s="8"/>
      <c r="U482" s="8"/>
      <c r="V482" s="8"/>
      <c r="W482" s="8"/>
      <c r="X482" s="8"/>
      <c r="Y482" s="8"/>
      <c r="Z482" s="8"/>
      <c r="AA482" s="8"/>
    </row>
    <row r="483" spans="1:27" ht="15">
      <c r="A483" s="15"/>
      <c r="B483" s="36"/>
      <c r="C483" s="15"/>
      <c r="D483" s="37"/>
      <c r="E483" s="15"/>
      <c r="F483" s="15"/>
      <c r="G483" s="15"/>
      <c r="H483" s="15"/>
      <c r="I483" s="15"/>
      <c r="J483" s="39"/>
      <c r="K483" s="40"/>
      <c r="L483" s="8"/>
      <c r="M483" s="8"/>
      <c r="N483" s="8"/>
      <c r="O483" s="8"/>
      <c r="P483" s="8"/>
      <c r="Q483" s="8"/>
      <c r="R483" s="8"/>
      <c r="S483" s="8"/>
      <c r="T483" s="8"/>
      <c r="U483" s="8"/>
      <c r="V483" s="8"/>
      <c r="W483" s="8"/>
      <c r="X483" s="8"/>
      <c r="Y483" s="8"/>
      <c r="Z483" s="8"/>
      <c r="AA483" s="8"/>
    </row>
    <row r="484" spans="1:27" ht="15">
      <c r="A484" s="15"/>
      <c r="B484" s="36"/>
      <c r="C484" s="15"/>
      <c r="D484" s="37"/>
      <c r="E484" s="15"/>
      <c r="F484" s="15"/>
      <c r="G484" s="15"/>
      <c r="H484" s="15"/>
      <c r="I484" s="15"/>
      <c r="J484" s="39"/>
      <c r="K484" s="40"/>
      <c r="L484" s="8"/>
      <c r="M484" s="8"/>
      <c r="N484" s="8"/>
      <c r="O484" s="8"/>
      <c r="P484" s="8"/>
      <c r="Q484" s="8"/>
      <c r="R484" s="8"/>
      <c r="S484" s="8"/>
      <c r="T484" s="8"/>
      <c r="U484" s="8"/>
      <c r="V484" s="8"/>
      <c r="W484" s="8"/>
      <c r="X484" s="8"/>
      <c r="Y484" s="8"/>
      <c r="Z484" s="8"/>
      <c r="AA484" s="8"/>
    </row>
    <row r="485" spans="1:27" ht="15">
      <c r="A485" s="15"/>
      <c r="B485" s="36"/>
      <c r="C485" s="15"/>
      <c r="D485" s="37"/>
      <c r="E485" s="15"/>
      <c r="F485" s="15"/>
      <c r="G485" s="15"/>
      <c r="H485" s="15"/>
      <c r="I485" s="15"/>
      <c r="J485" s="39"/>
      <c r="K485" s="40"/>
      <c r="L485" s="8"/>
      <c r="M485" s="8"/>
      <c r="N485" s="8"/>
      <c r="O485" s="8"/>
      <c r="P485" s="8"/>
      <c r="Q485" s="8"/>
      <c r="R485" s="8"/>
      <c r="S485" s="8"/>
      <c r="T485" s="8"/>
      <c r="U485" s="8"/>
      <c r="V485" s="8"/>
      <c r="W485" s="8"/>
      <c r="X485" s="8"/>
      <c r="Y485" s="8"/>
      <c r="Z485" s="8"/>
      <c r="AA485" s="8"/>
    </row>
    <row r="486" spans="1:27" ht="15">
      <c r="A486" s="15"/>
      <c r="B486" s="36"/>
      <c r="C486" s="15"/>
      <c r="D486" s="37"/>
      <c r="E486" s="15"/>
      <c r="F486" s="15"/>
      <c r="G486" s="15"/>
      <c r="H486" s="15"/>
      <c r="I486" s="15"/>
      <c r="J486" s="39"/>
      <c r="K486" s="40"/>
      <c r="L486" s="8"/>
      <c r="M486" s="8"/>
      <c r="N486" s="8"/>
      <c r="O486" s="8"/>
      <c r="P486" s="8"/>
      <c r="Q486" s="8"/>
      <c r="R486" s="8"/>
      <c r="S486" s="8"/>
      <c r="T486" s="8"/>
      <c r="U486" s="8"/>
      <c r="V486" s="8"/>
      <c r="W486" s="8"/>
      <c r="X486" s="8"/>
      <c r="Y486" s="8"/>
      <c r="Z486" s="8"/>
      <c r="AA486" s="8"/>
    </row>
    <row r="487" spans="1:27" ht="15">
      <c r="A487" s="15"/>
      <c r="B487" s="36"/>
      <c r="C487" s="15"/>
      <c r="D487" s="37"/>
      <c r="E487" s="15"/>
      <c r="F487" s="15"/>
      <c r="G487" s="15"/>
      <c r="H487" s="15"/>
      <c r="I487" s="15"/>
      <c r="J487" s="39"/>
      <c r="K487" s="40"/>
      <c r="L487" s="8"/>
      <c r="M487" s="8"/>
      <c r="N487" s="8"/>
      <c r="O487" s="8"/>
      <c r="P487" s="8"/>
      <c r="Q487" s="8"/>
      <c r="R487" s="8"/>
      <c r="S487" s="8"/>
      <c r="T487" s="8"/>
      <c r="U487" s="8"/>
      <c r="V487" s="8"/>
      <c r="W487" s="8"/>
      <c r="X487" s="8"/>
      <c r="Y487" s="8"/>
      <c r="Z487" s="8"/>
      <c r="AA487" s="8"/>
    </row>
    <row r="488" spans="1:27" ht="15">
      <c r="A488" s="15"/>
      <c r="B488" s="36"/>
      <c r="C488" s="15"/>
      <c r="D488" s="37"/>
      <c r="E488" s="15"/>
      <c r="F488" s="15"/>
      <c r="G488" s="15"/>
      <c r="H488" s="15"/>
      <c r="I488" s="15"/>
      <c r="J488" s="39"/>
      <c r="K488" s="40"/>
      <c r="L488" s="8"/>
      <c r="M488" s="8"/>
      <c r="N488" s="8"/>
      <c r="O488" s="8"/>
      <c r="P488" s="8"/>
      <c r="Q488" s="8"/>
      <c r="R488" s="8"/>
      <c r="S488" s="8"/>
      <c r="T488" s="8"/>
      <c r="U488" s="8"/>
      <c r="V488" s="8"/>
      <c r="W488" s="8"/>
      <c r="X488" s="8"/>
      <c r="Y488" s="8"/>
      <c r="Z488" s="8"/>
      <c r="AA488" s="8"/>
    </row>
    <row r="489" spans="1:27" ht="15">
      <c r="A489" s="15"/>
      <c r="B489" s="36"/>
      <c r="C489" s="15"/>
      <c r="D489" s="37"/>
      <c r="E489" s="15"/>
      <c r="F489" s="15"/>
      <c r="G489" s="15"/>
      <c r="H489" s="15"/>
      <c r="I489" s="15"/>
      <c r="J489" s="39"/>
      <c r="K489" s="40"/>
      <c r="L489" s="8"/>
      <c r="M489" s="8"/>
      <c r="N489" s="8"/>
      <c r="O489" s="8"/>
      <c r="P489" s="8"/>
      <c r="Q489" s="8"/>
      <c r="R489" s="8"/>
      <c r="S489" s="8"/>
      <c r="T489" s="8"/>
      <c r="U489" s="8"/>
      <c r="V489" s="8"/>
      <c r="W489" s="8"/>
      <c r="X489" s="8"/>
      <c r="Y489" s="8"/>
      <c r="Z489" s="8"/>
      <c r="AA489" s="8"/>
    </row>
    <row r="490" spans="1:27" ht="15">
      <c r="A490" s="15"/>
      <c r="B490" s="36"/>
      <c r="C490" s="15"/>
      <c r="D490" s="37"/>
      <c r="E490" s="15"/>
      <c r="F490" s="15"/>
      <c r="G490" s="15"/>
      <c r="H490" s="15"/>
      <c r="I490" s="15"/>
      <c r="J490" s="39"/>
      <c r="K490" s="40"/>
      <c r="L490" s="8"/>
      <c r="M490" s="8"/>
      <c r="N490" s="8"/>
      <c r="O490" s="8"/>
      <c r="P490" s="8"/>
      <c r="Q490" s="8"/>
      <c r="R490" s="8"/>
      <c r="S490" s="8"/>
      <c r="T490" s="8"/>
      <c r="U490" s="8"/>
      <c r="V490" s="8"/>
      <c r="W490" s="8"/>
      <c r="X490" s="8"/>
      <c r="Y490" s="8"/>
      <c r="Z490" s="8"/>
      <c r="AA490" s="8"/>
    </row>
    <row r="491" spans="1:27" ht="15">
      <c r="A491" s="15"/>
      <c r="B491" s="36"/>
      <c r="C491" s="15"/>
      <c r="D491" s="37"/>
      <c r="E491" s="15"/>
      <c r="F491" s="15"/>
      <c r="G491" s="15"/>
      <c r="H491" s="15"/>
      <c r="I491" s="15"/>
      <c r="J491" s="39"/>
      <c r="K491" s="40"/>
      <c r="L491" s="8"/>
      <c r="M491" s="8"/>
      <c r="N491" s="8"/>
      <c r="O491" s="8"/>
      <c r="P491" s="8"/>
      <c r="Q491" s="8"/>
      <c r="R491" s="8"/>
      <c r="S491" s="8"/>
      <c r="T491" s="8"/>
      <c r="U491" s="8"/>
      <c r="V491" s="8"/>
      <c r="W491" s="8"/>
      <c r="X491" s="8"/>
      <c r="Y491" s="8"/>
      <c r="Z491" s="8"/>
      <c r="AA491" s="8"/>
    </row>
    <row r="492" spans="1:27" ht="15">
      <c r="A492" s="15"/>
      <c r="B492" s="36"/>
      <c r="C492" s="15"/>
      <c r="D492" s="37"/>
      <c r="E492" s="15"/>
      <c r="F492" s="15"/>
      <c r="G492" s="15"/>
      <c r="H492" s="15"/>
      <c r="I492" s="15"/>
      <c r="J492" s="39"/>
      <c r="K492" s="40"/>
      <c r="L492" s="8"/>
      <c r="M492" s="8"/>
      <c r="N492" s="8"/>
      <c r="O492" s="8"/>
      <c r="P492" s="8"/>
      <c r="Q492" s="8"/>
      <c r="R492" s="8"/>
      <c r="S492" s="8"/>
      <c r="T492" s="8"/>
      <c r="U492" s="8"/>
      <c r="V492" s="8"/>
      <c r="W492" s="8"/>
      <c r="X492" s="8"/>
      <c r="Y492" s="8"/>
      <c r="Z492" s="8"/>
      <c r="AA492" s="8"/>
    </row>
    <row r="493" spans="1:27" ht="15">
      <c r="A493" s="15"/>
      <c r="B493" s="36"/>
      <c r="C493" s="15"/>
      <c r="D493" s="37"/>
      <c r="E493" s="15"/>
      <c r="F493" s="15"/>
      <c r="G493" s="15"/>
      <c r="H493" s="15"/>
      <c r="I493" s="15"/>
      <c r="J493" s="39"/>
      <c r="K493" s="40"/>
      <c r="L493" s="8"/>
      <c r="M493" s="8"/>
      <c r="N493" s="8"/>
      <c r="O493" s="8"/>
      <c r="P493" s="8"/>
      <c r="Q493" s="8"/>
      <c r="R493" s="8"/>
      <c r="S493" s="8"/>
      <c r="T493" s="8"/>
      <c r="U493" s="8"/>
      <c r="V493" s="8"/>
      <c r="W493" s="8"/>
      <c r="X493" s="8"/>
      <c r="Y493" s="8"/>
      <c r="Z493" s="8"/>
      <c r="AA493" s="8"/>
    </row>
    <row r="494" spans="1:27" ht="15">
      <c r="A494" s="15"/>
      <c r="B494" s="36"/>
      <c r="C494" s="15"/>
      <c r="D494" s="37"/>
      <c r="E494" s="15"/>
      <c r="F494" s="15"/>
      <c r="G494" s="15"/>
      <c r="H494" s="15"/>
      <c r="I494" s="15"/>
      <c r="J494" s="39"/>
      <c r="K494" s="40"/>
      <c r="L494" s="8"/>
      <c r="M494" s="8"/>
      <c r="N494" s="8"/>
      <c r="O494" s="8"/>
      <c r="P494" s="8"/>
      <c r="Q494" s="8"/>
      <c r="R494" s="8"/>
      <c r="S494" s="8"/>
      <c r="T494" s="8"/>
      <c r="U494" s="8"/>
      <c r="V494" s="8"/>
      <c r="W494" s="8"/>
      <c r="X494" s="8"/>
      <c r="Y494" s="8"/>
      <c r="Z494" s="8"/>
      <c r="AA494" s="8"/>
    </row>
    <row r="495" spans="1:27" ht="15">
      <c r="A495" s="15"/>
      <c r="B495" s="36"/>
      <c r="C495" s="15"/>
      <c r="D495" s="37"/>
      <c r="E495" s="15"/>
      <c r="F495" s="15"/>
      <c r="G495" s="15"/>
      <c r="H495" s="15"/>
      <c r="I495" s="15"/>
      <c r="J495" s="39"/>
      <c r="K495" s="40"/>
      <c r="L495" s="8"/>
      <c r="M495" s="8"/>
      <c r="N495" s="8"/>
      <c r="O495" s="8"/>
      <c r="P495" s="8"/>
      <c r="Q495" s="8"/>
      <c r="R495" s="8"/>
      <c r="S495" s="8"/>
      <c r="T495" s="8"/>
      <c r="U495" s="8"/>
      <c r="V495" s="8"/>
      <c r="W495" s="8"/>
      <c r="X495" s="8"/>
      <c r="Y495" s="8"/>
      <c r="Z495" s="8"/>
      <c r="AA495" s="8"/>
    </row>
    <row r="496" spans="1:27" ht="15">
      <c r="A496" s="15"/>
      <c r="B496" s="36"/>
      <c r="C496" s="15"/>
      <c r="D496" s="37"/>
      <c r="E496" s="15"/>
      <c r="F496" s="15"/>
      <c r="G496" s="15"/>
      <c r="H496" s="15"/>
      <c r="I496" s="15"/>
      <c r="J496" s="39"/>
      <c r="K496" s="40"/>
      <c r="L496" s="8"/>
      <c r="M496" s="8"/>
      <c r="N496" s="8"/>
      <c r="O496" s="8"/>
      <c r="P496" s="8"/>
      <c r="Q496" s="8"/>
      <c r="R496" s="8"/>
      <c r="S496" s="8"/>
      <c r="T496" s="8"/>
      <c r="U496" s="8"/>
      <c r="V496" s="8"/>
      <c r="W496" s="8"/>
      <c r="X496" s="8"/>
      <c r="Y496" s="8"/>
      <c r="Z496" s="8"/>
      <c r="AA496" s="8"/>
    </row>
    <row r="497" spans="1:27" ht="15">
      <c r="A497" s="15"/>
      <c r="B497" s="36"/>
      <c r="C497" s="15"/>
      <c r="D497" s="37"/>
      <c r="E497" s="15"/>
      <c r="F497" s="15"/>
      <c r="G497" s="15"/>
      <c r="H497" s="15"/>
      <c r="I497" s="15"/>
      <c r="J497" s="39"/>
      <c r="K497" s="40"/>
      <c r="L497" s="8"/>
      <c r="M497" s="8"/>
      <c r="N497" s="8"/>
      <c r="O497" s="8"/>
      <c r="P497" s="8"/>
      <c r="Q497" s="8"/>
      <c r="R497" s="8"/>
      <c r="S497" s="8"/>
      <c r="T497" s="8"/>
      <c r="U497" s="8"/>
      <c r="V497" s="8"/>
      <c r="W497" s="8"/>
      <c r="X497" s="8"/>
      <c r="Y497" s="8"/>
      <c r="Z497" s="8"/>
      <c r="AA497" s="8"/>
    </row>
    <row r="498" spans="1:27" ht="15">
      <c r="A498" s="15"/>
      <c r="B498" s="36"/>
      <c r="C498" s="15"/>
      <c r="D498" s="37"/>
      <c r="E498" s="15"/>
      <c r="F498" s="15"/>
      <c r="G498" s="15"/>
      <c r="H498" s="15"/>
      <c r="I498" s="15"/>
      <c r="J498" s="39"/>
      <c r="K498" s="40"/>
      <c r="L498" s="8"/>
      <c r="M498" s="8"/>
      <c r="N498" s="8"/>
      <c r="O498" s="8"/>
      <c r="P498" s="8"/>
      <c r="Q498" s="8"/>
      <c r="R498" s="8"/>
      <c r="S498" s="8"/>
      <c r="T498" s="8"/>
      <c r="U498" s="8"/>
      <c r="V498" s="8"/>
      <c r="W498" s="8"/>
      <c r="X498" s="8"/>
      <c r="Y498" s="8"/>
      <c r="Z498" s="8"/>
      <c r="AA498" s="8"/>
    </row>
    <row r="499" spans="1:27" ht="15">
      <c r="A499" s="15"/>
      <c r="B499" s="36"/>
      <c r="C499" s="15"/>
      <c r="D499" s="37"/>
      <c r="E499" s="15"/>
      <c r="F499" s="15"/>
      <c r="G499" s="15"/>
      <c r="H499" s="15"/>
      <c r="I499" s="15"/>
      <c r="J499" s="39"/>
      <c r="K499" s="40"/>
      <c r="L499" s="8"/>
      <c r="M499" s="8"/>
      <c r="N499" s="8"/>
      <c r="O499" s="8"/>
      <c r="P499" s="8"/>
      <c r="Q499" s="8"/>
      <c r="R499" s="8"/>
      <c r="S499" s="8"/>
      <c r="T499" s="8"/>
      <c r="U499" s="8"/>
      <c r="V499" s="8"/>
      <c r="W499" s="8"/>
      <c r="X499" s="8"/>
      <c r="Y499" s="8"/>
      <c r="Z499" s="8"/>
      <c r="AA499" s="8"/>
    </row>
    <row r="500" spans="1:27" ht="15">
      <c r="A500" s="15"/>
      <c r="B500" s="36"/>
      <c r="C500" s="15"/>
      <c r="D500" s="37"/>
      <c r="E500" s="15"/>
      <c r="F500" s="15"/>
      <c r="G500" s="15"/>
      <c r="H500" s="15"/>
      <c r="I500" s="15"/>
      <c r="J500" s="39"/>
      <c r="K500" s="40"/>
      <c r="L500" s="8"/>
      <c r="M500" s="8"/>
      <c r="N500" s="8"/>
      <c r="O500" s="8"/>
      <c r="P500" s="8"/>
      <c r="Q500" s="8"/>
      <c r="R500" s="8"/>
      <c r="S500" s="8"/>
      <c r="T500" s="8"/>
      <c r="U500" s="8"/>
      <c r="V500" s="8"/>
      <c r="W500" s="8"/>
      <c r="X500" s="8"/>
      <c r="Y500" s="8"/>
      <c r="Z500" s="8"/>
      <c r="AA500" s="8"/>
    </row>
    <row r="501" spans="1:27" ht="15">
      <c r="A501" s="15"/>
      <c r="B501" s="36"/>
      <c r="C501" s="15"/>
      <c r="D501" s="37"/>
      <c r="E501" s="15"/>
      <c r="F501" s="15"/>
      <c r="G501" s="15"/>
      <c r="H501" s="15"/>
      <c r="I501" s="15"/>
      <c r="J501" s="39"/>
      <c r="K501" s="40"/>
      <c r="L501" s="8"/>
      <c r="M501" s="8"/>
      <c r="N501" s="8"/>
      <c r="O501" s="8"/>
      <c r="P501" s="8"/>
      <c r="Q501" s="8"/>
      <c r="R501" s="8"/>
      <c r="S501" s="8"/>
      <c r="T501" s="8"/>
      <c r="U501" s="8"/>
      <c r="V501" s="8"/>
      <c r="W501" s="8"/>
      <c r="X501" s="8"/>
      <c r="Y501" s="8"/>
      <c r="Z501" s="8"/>
      <c r="AA501" s="8"/>
    </row>
    <row r="502" spans="1:27" ht="15">
      <c r="A502" s="15"/>
      <c r="B502" s="36"/>
      <c r="C502" s="15"/>
      <c r="D502" s="37"/>
      <c r="E502" s="15"/>
      <c r="F502" s="15"/>
      <c r="G502" s="15"/>
      <c r="H502" s="15"/>
      <c r="I502" s="15"/>
      <c r="J502" s="39"/>
      <c r="K502" s="40"/>
      <c r="L502" s="8"/>
      <c r="M502" s="8"/>
      <c r="N502" s="8"/>
      <c r="O502" s="8"/>
      <c r="P502" s="8"/>
      <c r="Q502" s="8"/>
      <c r="R502" s="8"/>
      <c r="S502" s="8"/>
      <c r="T502" s="8"/>
      <c r="U502" s="8"/>
      <c r="V502" s="8"/>
      <c r="W502" s="8"/>
      <c r="X502" s="8"/>
      <c r="Y502" s="8"/>
      <c r="Z502" s="8"/>
      <c r="AA502" s="8"/>
    </row>
    <row r="503" spans="1:27" ht="15">
      <c r="A503" s="15"/>
      <c r="B503" s="36"/>
      <c r="C503" s="15"/>
      <c r="D503" s="37"/>
      <c r="E503" s="15"/>
      <c r="F503" s="15"/>
      <c r="G503" s="15"/>
      <c r="H503" s="15"/>
      <c r="I503" s="15"/>
      <c r="J503" s="39"/>
      <c r="K503" s="40"/>
      <c r="L503" s="8"/>
      <c r="M503" s="8"/>
      <c r="N503" s="8"/>
      <c r="O503" s="8"/>
      <c r="P503" s="8"/>
      <c r="Q503" s="8"/>
      <c r="R503" s="8"/>
      <c r="S503" s="8"/>
      <c r="T503" s="8"/>
      <c r="U503" s="8"/>
      <c r="V503" s="8"/>
      <c r="W503" s="8"/>
      <c r="X503" s="8"/>
      <c r="Y503" s="8"/>
      <c r="Z503" s="8"/>
      <c r="AA503" s="8"/>
    </row>
    <row r="504" spans="1:27" ht="15">
      <c r="A504" s="15"/>
      <c r="B504" s="36"/>
      <c r="C504" s="15"/>
      <c r="D504" s="37"/>
      <c r="E504" s="15"/>
      <c r="F504" s="15"/>
      <c r="G504" s="15"/>
      <c r="H504" s="15"/>
      <c r="I504" s="15"/>
      <c r="J504" s="39"/>
      <c r="K504" s="40"/>
      <c r="L504" s="8"/>
      <c r="M504" s="8"/>
      <c r="N504" s="8"/>
      <c r="O504" s="8"/>
      <c r="P504" s="8"/>
      <c r="Q504" s="8"/>
      <c r="R504" s="8"/>
      <c r="S504" s="8"/>
      <c r="T504" s="8"/>
      <c r="U504" s="8"/>
      <c r="V504" s="8"/>
      <c r="W504" s="8"/>
      <c r="X504" s="8"/>
      <c r="Y504" s="8"/>
      <c r="Z504" s="8"/>
      <c r="AA504" s="8"/>
    </row>
    <row r="505" spans="1:27" ht="15">
      <c r="A505" s="15"/>
      <c r="B505" s="36"/>
      <c r="C505" s="15"/>
      <c r="D505" s="37"/>
      <c r="E505" s="15"/>
      <c r="F505" s="15"/>
      <c r="G505" s="15"/>
      <c r="H505" s="15"/>
      <c r="I505" s="15"/>
      <c r="J505" s="39"/>
      <c r="K505" s="40"/>
      <c r="L505" s="8"/>
      <c r="M505" s="8"/>
      <c r="N505" s="8"/>
      <c r="O505" s="8"/>
      <c r="P505" s="8"/>
      <c r="Q505" s="8"/>
      <c r="R505" s="8"/>
      <c r="S505" s="8"/>
      <c r="T505" s="8"/>
      <c r="U505" s="8"/>
      <c r="V505" s="8"/>
      <c r="W505" s="8"/>
      <c r="X505" s="8"/>
      <c r="Y505" s="8"/>
      <c r="Z505" s="8"/>
      <c r="AA505" s="8"/>
    </row>
    <row r="506" spans="1:27" ht="15">
      <c r="A506" s="15"/>
      <c r="B506" s="36"/>
      <c r="C506" s="15"/>
      <c r="D506" s="37"/>
      <c r="E506" s="15"/>
      <c r="F506" s="15"/>
      <c r="G506" s="15"/>
      <c r="H506" s="15"/>
      <c r="I506" s="15"/>
      <c r="J506" s="39"/>
      <c r="K506" s="40"/>
      <c r="L506" s="8"/>
      <c r="M506" s="8"/>
      <c r="N506" s="8"/>
      <c r="O506" s="8"/>
      <c r="P506" s="8"/>
      <c r="Q506" s="8"/>
      <c r="R506" s="8"/>
      <c r="S506" s="8"/>
      <c r="T506" s="8"/>
      <c r="U506" s="8"/>
      <c r="V506" s="8"/>
      <c r="W506" s="8"/>
      <c r="X506" s="8"/>
      <c r="Y506" s="8"/>
      <c r="Z506" s="8"/>
      <c r="AA506" s="8"/>
    </row>
    <row r="507" spans="1:27" ht="15">
      <c r="A507" s="15"/>
      <c r="B507" s="36"/>
      <c r="C507" s="15"/>
      <c r="D507" s="37"/>
      <c r="E507" s="15"/>
      <c r="F507" s="15"/>
      <c r="G507" s="15"/>
      <c r="H507" s="15"/>
      <c r="I507" s="15"/>
      <c r="J507" s="39"/>
      <c r="K507" s="40"/>
      <c r="L507" s="8"/>
      <c r="M507" s="8"/>
      <c r="N507" s="8"/>
      <c r="O507" s="8"/>
      <c r="P507" s="8"/>
      <c r="Q507" s="8"/>
      <c r="R507" s="8"/>
      <c r="S507" s="8"/>
      <c r="T507" s="8"/>
      <c r="U507" s="8"/>
      <c r="V507" s="8"/>
      <c r="W507" s="8"/>
      <c r="X507" s="8"/>
      <c r="Y507" s="8"/>
      <c r="Z507" s="8"/>
      <c r="AA507" s="8"/>
    </row>
    <row r="508" spans="1:27" ht="15">
      <c r="A508" s="15"/>
      <c r="B508" s="36"/>
      <c r="C508" s="15"/>
      <c r="D508" s="37"/>
      <c r="E508" s="15"/>
      <c r="F508" s="15"/>
      <c r="G508" s="15"/>
      <c r="H508" s="15"/>
      <c r="I508" s="15"/>
      <c r="J508" s="39"/>
      <c r="K508" s="40"/>
      <c r="L508" s="8"/>
      <c r="M508" s="8"/>
      <c r="N508" s="8"/>
      <c r="O508" s="8"/>
      <c r="P508" s="8"/>
      <c r="Q508" s="8"/>
      <c r="R508" s="8"/>
      <c r="S508" s="8"/>
      <c r="T508" s="8"/>
      <c r="U508" s="8"/>
      <c r="V508" s="8"/>
      <c r="W508" s="8"/>
      <c r="X508" s="8"/>
      <c r="Y508" s="8"/>
      <c r="Z508" s="8"/>
      <c r="AA508" s="8"/>
    </row>
    <row r="509" spans="1:27" ht="15">
      <c r="A509" s="15"/>
      <c r="B509" s="36"/>
      <c r="C509" s="15"/>
      <c r="D509" s="37"/>
      <c r="E509" s="15"/>
      <c r="F509" s="15"/>
      <c r="G509" s="15"/>
      <c r="H509" s="15"/>
      <c r="I509" s="15"/>
      <c r="J509" s="39"/>
      <c r="K509" s="40"/>
      <c r="L509" s="8"/>
      <c r="M509" s="8"/>
      <c r="N509" s="8"/>
      <c r="O509" s="8"/>
      <c r="P509" s="8"/>
      <c r="Q509" s="8"/>
      <c r="R509" s="8"/>
      <c r="S509" s="8"/>
      <c r="T509" s="8"/>
      <c r="U509" s="8"/>
      <c r="V509" s="8"/>
      <c r="W509" s="8"/>
      <c r="X509" s="8"/>
      <c r="Y509" s="8"/>
      <c r="Z509" s="8"/>
      <c r="AA509" s="8"/>
    </row>
    <row r="510" spans="1:27" ht="15">
      <c r="A510" s="15"/>
      <c r="B510" s="36"/>
      <c r="C510" s="15"/>
      <c r="D510" s="37"/>
      <c r="E510" s="15"/>
      <c r="F510" s="15"/>
      <c r="G510" s="15"/>
      <c r="H510" s="15"/>
      <c r="I510" s="15"/>
      <c r="J510" s="39"/>
      <c r="K510" s="40"/>
      <c r="L510" s="8"/>
      <c r="M510" s="8"/>
      <c r="N510" s="8"/>
      <c r="O510" s="8"/>
      <c r="P510" s="8"/>
      <c r="Q510" s="8"/>
      <c r="R510" s="8"/>
      <c r="S510" s="8"/>
      <c r="T510" s="8"/>
      <c r="U510" s="8"/>
      <c r="V510" s="8"/>
      <c r="W510" s="8"/>
      <c r="X510" s="8"/>
      <c r="Y510" s="8"/>
      <c r="Z510" s="8"/>
      <c r="AA510" s="8"/>
    </row>
    <row r="511" spans="1:27" ht="15">
      <c r="A511" s="15"/>
      <c r="B511" s="36"/>
      <c r="C511" s="15"/>
      <c r="D511" s="37"/>
      <c r="E511" s="15"/>
      <c r="F511" s="15"/>
      <c r="G511" s="15"/>
      <c r="H511" s="15"/>
      <c r="I511" s="15"/>
      <c r="J511" s="39"/>
      <c r="K511" s="40"/>
      <c r="L511" s="8"/>
      <c r="M511" s="8"/>
      <c r="N511" s="8"/>
      <c r="O511" s="8"/>
      <c r="P511" s="8"/>
      <c r="Q511" s="8"/>
      <c r="R511" s="8"/>
      <c r="S511" s="8"/>
      <c r="T511" s="8"/>
      <c r="U511" s="8"/>
      <c r="V511" s="8"/>
      <c r="W511" s="8"/>
      <c r="X511" s="8"/>
      <c r="Y511" s="8"/>
      <c r="Z511" s="8"/>
      <c r="AA511" s="8"/>
    </row>
    <row r="512" spans="1:27" ht="15">
      <c r="A512" s="15"/>
      <c r="B512" s="36"/>
      <c r="C512" s="15"/>
      <c r="D512" s="37"/>
      <c r="E512" s="15"/>
      <c r="F512" s="15"/>
      <c r="G512" s="15"/>
      <c r="H512" s="15"/>
      <c r="I512" s="15"/>
      <c r="J512" s="39"/>
      <c r="K512" s="40"/>
      <c r="L512" s="8"/>
      <c r="M512" s="8"/>
      <c r="N512" s="8"/>
      <c r="O512" s="8"/>
      <c r="P512" s="8"/>
      <c r="Q512" s="8"/>
      <c r="R512" s="8"/>
      <c r="S512" s="8"/>
      <c r="T512" s="8"/>
      <c r="U512" s="8"/>
      <c r="V512" s="8"/>
      <c r="W512" s="8"/>
      <c r="X512" s="8"/>
      <c r="Y512" s="8"/>
      <c r="Z512" s="8"/>
      <c r="AA512" s="8"/>
    </row>
    <row r="513" spans="1:27" ht="15">
      <c r="A513" s="15"/>
      <c r="B513" s="36"/>
      <c r="C513" s="15"/>
      <c r="D513" s="37"/>
      <c r="E513" s="15"/>
      <c r="F513" s="15"/>
      <c r="G513" s="15"/>
      <c r="H513" s="15"/>
      <c r="I513" s="15"/>
      <c r="J513" s="39"/>
      <c r="K513" s="40"/>
      <c r="L513" s="8"/>
      <c r="M513" s="8"/>
      <c r="N513" s="8"/>
      <c r="O513" s="8"/>
      <c r="P513" s="8"/>
      <c r="Q513" s="8"/>
      <c r="R513" s="8"/>
      <c r="S513" s="8"/>
      <c r="T513" s="8"/>
      <c r="U513" s="8"/>
      <c r="V513" s="8"/>
      <c r="W513" s="8"/>
      <c r="X513" s="8"/>
      <c r="Y513" s="8"/>
      <c r="Z513" s="8"/>
      <c r="AA513" s="8"/>
    </row>
    <row r="514" spans="1:27" ht="15">
      <c r="A514" s="15"/>
      <c r="B514" s="36"/>
      <c r="C514" s="15"/>
      <c r="D514" s="37"/>
      <c r="E514" s="15"/>
      <c r="F514" s="15"/>
      <c r="G514" s="15"/>
      <c r="H514" s="15"/>
      <c r="I514" s="15"/>
      <c r="J514" s="39"/>
      <c r="K514" s="40"/>
      <c r="L514" s="8"/>
      <c r="M514" s="8"/>
      <c r="N514" s="8"/>
      <c r="O514" s="8"/>
      <c r="P514" s="8"/>
      <c r="Q514" s="8"/>
      <c r="R514" s="8"/>
      <c r="S514" s="8"/>
      <c r="T514" s="8"/>
      <c r="U514" s="8"/>
      <c r="V514" s="8"/>
      <c r="W514" s="8"/>
      <c r="X514" s="8"/>
      <c r="Y514" s="8"/>
      <c r="Z514" s="8"/>
      <c r="AA514" s="8"/>
    </row>
    <row r="515" spans="1:27" ht="15">
      <c r="A515" s="15"/>
      <c r="B515" s="36"/>
      <c r="C515" s="15"/>
      <c r="D515" s="37"/>
      <c r="E515" s="15"/>
      <c r="F515" s="15"/>
      <c r="G515" s="15"/>
      <c r="H515" s="15"/>
      <c r="I515" s="15"/>
      <c r="J515" s="39"/>
      <c r="K515" s="40"/>
      <c r="L515" s="8"/>
      <c r="M515" s="8"/>
      <c r="N515" s="8"/>
      <c r="O515" s="8"/>
      <c r="P515" s="8"/>
      <c r="Q515" s="8"/>
      <c r="R515" s="8"/>
      <c r="S515" s="8"/>
      <c r="T515" s="8"/>
      <c r="U515" s="8"/>
      <c r="V515" s="8"/>
      <c r="W515" s="8"/>
      <c r="X515" s="8"/>
      <c r="Y515" s="8"/>
      <c r="Z515" s="8"/>
      <c r="AA515" s="8"/>
    </row>
    <row r="516" spans="1:27" ht="15">
      <c r="A516" s="15"/>
      <c r="B516" s="36"/>
      <c r="C516" s="15"/>
      <c r="D516" s="37"/>
      <c r="E516" s="15"/>
      <c r="F516" s="15"/>
      <c r="G516" s="15"/>
      <c r="H516" s="15"/>
      <c r="I516" s="15"/>
      <c r="J516" s="39"/>
      <c r="K516" s="40"/>
      <c r="L516" s="8"/>
      <c r="M516" s="8"/>
      <c r="N516" s="8"/>
      <c r="O516" s="8"/>
      <c r="P516" s="8"/>
      <c r="Q516" s="8"/>
      <c r="R516" s="8"/>
      <c r="S516" s="8"/>
      <c r="T516" s="8"/>
      <c r="U516" s="8"/>
      <c r="V516" s="8"/>
      <c r="W516" s="8"/>
      <c r="X516" s="8"/>
      <c r="Y516" s="8"/>
      <c r="Z516" s="8"/>
      <c r="AA516" s="8"/>
    </row>
    <row r="517" spans="1:27" ht="15">
      <c r="A517" s="15"/>
      <c r="B517" s="36"/>
      <c r="C517" s="15"/>
      <c r="D517" s="37"/>
      <c r="E517" s="15"/>
      <c r="F517" s="15"/>
      <c r="G517" s="15"/>
      <c r="H517" s="15"/>
      <c r="I517" s="15"/>
      <c r="J517" s="39"/>
      <c r="K517" s="40"/>
      <c r="L517" s="8"/>
      <c r="M517" s="8"/>
      <c r="N517" s="8"/>
      <c r="O517" s="8"/>
      <c r="P517" s="8"/>
      <c r="Q517" s="8"/>
      <c r="R517" s="8"/>
      <c r="S517" s="8"/>
      <c r="T517" s="8"/>
      <c r="U517" s="8"/>
      <c r="V517" s="8"/>
      <c r="W517" s="8"/>
      <c r="X517" s="8"/>
      <c r="Y517" s="8"/>
      <c r="Z517" s="8"/>
      <c r="AA517" s="8"/>
    </row>
    <row r="518" spans="1:27" ht="15">
      <c r="A518" s="15"/>
      <c r="B518" s="36"/>
      <c r="C518" s="15"/>
      <c r="D518" s="37"/>
      <c r="E518" s="15"/>
      <c r="F518" s="15"/>
      <c r="G518" s="15"/>
      <c r="H518" s="15"/>
      <c r="I518" s="15"/>
      <c r="J518" s="39"/>
      <c r="K518" s="40"/>
      <c r="L518" s="8"/>
      <c r="M518" s="8"/>
      <c r="N518" s="8"/>
      <c r="O518" s="8"/>
      <c r="P518" s="8"/>
      <c r="Q518" s="8"/>
      <c r="R518" s="8"/>
      <c r="S518" s="8"/>
      <c r="T518" s="8"/>
      <c r="U518" s="8"/>
      <c r="V518" s="8"/>
      <c r="W518" s="8"/>
      <c r="X518" s="8"/>
      <c r="Y518" s="8"/>
      <c r="Z518" s="8"/>
      <c r="AA518" s="8"/>
    </row>
    <row r="519" spans="1:27" ht="15">
      <c r="A519" s="15"/>
      <c r="B519" s="36"/>
      <c r="C519" s="15"/>
      <c r="D519" s="37"/>
      <c r="E519" s="15"/>
      <c r="F519" s="15"/>
      <c r="G519" s="15"/>
      <c r="H519" s="15"/>
      <c r="I519" s="15"/>
      <c r="J519" s="39"/>
      <c r="K519" s="40"/>
      <c r="L519" s="8"/>
      <c r="M519" s="8"/>
      <c r="N519" s="8"/>
      <c r="O519" s="8"/>
      <c r="P519" s="8"/>
      <c r="Q519" s="8"/>
      <c r="R519" s="8"/>
      <c r="S519" s="8"/>
      <c r="T519" s="8"/>
      <c r="U519" s="8"/>
      <c r="V519" s="8"/>
      <c r="W519" s="8"/>
      <c r="X519" s="8"/>
      <c r="Y519" s="8"/>
      <c r="Z519" s="8"/>
      <c r="AA519" s="8"/>
    </row>
    <row r="520" spans="1:27" ht="15">
      <c r="A520" s="15"/>
      <c r="B520" s="36"/>
      <c r="C520" s="15"/>
      <c r="D520" s="37"/>
      <c r="E520" s="15"/>
      <c r="F520" s="15"/>
      <c r="G520" s="15"/>
      <c r="H520" s="15"/>
      <c r="I520" s="15"/>
      <c r="J520" s="39"/>
      <c r="K520" s="40"/>
      <c r="L520" s="8"/>
      <c r="M520" s="8"/>
      <c r="N520" s="8"/>
      <c r="O520" s="8"/>
      <c r="P520" s="8"/>
      <c r="Q520" s="8"/>
      <c r="R520" s="8"/>
      <c r="S520" s="8"/>
      <c r="T520" s="8"/>
      <c r="U520" s="8"/>
      <c r="V520" s="8"/>
      <c r="W520" s="8"/>
      <c r="X520" s="8"/>
      <c r="Y520" s="8"/>
      <c r="Z520" s="8"/>
      <c r="AA520" s="8"/>
    </row>
    <row r="521" spans="1:27" ht="15">
      <c r="A521" s="15"/>
      <c r="B521" s="36"/>
      <c r="C521" s="15"/>
      <c r="D521" s="37"/>
      <c r="E521" s="15"/>
      <c r="F521" s="15"/>
      <c r="G521" s="15"/>
      <c r="H521" s="15"/>
      <c r="I521" s="15"/>
      <c r="J521" s="39"/>
      <c r="K521" s="40"/>
      <c r="L521" s="8"/>
      <c r="M521" s="8"/>
      <c r="N521" s="8"/>
      <c r="O521" s="8"/>
      <c r="P521" s="8"/>
      <c r="Q521" s="8"/>
      <c r="R521" s="8"/>
      <c r="S521" s="8"/>
      <c r="T521" s="8"/>
      <c r="U521" s="8"/>
      <c r="V521" s="8"/>
      <c r="W521" s="8"/>
      <c r="X521" s="8"/>
      <c r="Y521" s="8"/>
      <c r="Z521" s="8"/>
      <c r="AA521" s="8"/>
    </row>
    <row r="522" spans="1:27" ht="15">
      <c r="A522" s="15"/>
      <c r="B522" s="36"/>
      <c r="C522" s="15"/>
      <c r="D522" s="37"/>
      <c r="E522" s="15"/>
      <c r="F522" s="15"/>
      <c r="G522" s="15"/>
      <c r="H522" s="15"/>
      <c r="I522" s="15"/>
      <c r="J522" s="39"/>
      <c r="K522" s="40"/>
      <c r="L522" s="8"/>
      <c r="M522" s="8"/>
      <c r="N522" s="8"/>
      <c r="O522" s="8"/>
      <c r="P522" s="8"/>
      <c r="Q522" s="8"/>
      <c r="R522" s="8"/>
      <c r="S522" s="8"/>
      <c r="T522" s="8"/>
      <c r="U522" s="8"/>
      <c r="V522" s="8"/>
      <c r="W522" s="8"/>
      <c r="X522" s="8"/>
      <c r="Y522" s="8"/>
      <c r="Z522" s="8"/>
      <c r="AA522" s="8"/>
    </row>
    <row r="523" spans="1:27" ht="15">
      <c r="A523" s="15"/>
      <c r="B523" s="36"/>
      <c r="C523" s="15"/>
      <c r="D523" s="37"/>
      <c r="E523" s="15"/>
      <c r="F523" s="15"/>
      <c r="G523" s="15"/>
      <c r="H523" s="15"/>
      <c r="I523" s="15"/>
      <c r="J523" s="39"/>
      <c r="K523" s="40"/>
      <c r="L523" s="8"/>
      <c r="M523" s="8"/>
      <c r="N523" s="8"/>
      <c r="O523" s="8"/>
      <c r="P523" s="8"/>
      <c r="Q523" s="8"/>
      <c r="R523" s="8"/>
      <c r="S523" s="8"/>
      <c r="T523" s="8"/>
      <c r="U523" s="8"/>
      <c r="V523" s="8"/>
      <c r="W523" s="8"/>
      <c r="X523" s="8"/>
      <c r="Y523" s="8"/>
      <c r="Z523" s="8"/>
      <c r="AA523" s="8"/>
    </row>
    <row r="524" spans="1:27" ht="15">
      <c r="A524" s="15"/>
      <c r="B524" s="36"/>
      <c r="C524" s="15"/>
      <c r="D524" s="37"/>
      <c r="E524" s="15"/>
      <c r="F524" s="15"/>
      <c r="G524" s="15"/>
      <c r="H524" s="15"/>
      <c r="I524" s="15"/>
      <c r="J524" s="39"/>
      <c r="K524" s="40"/>
      <c r="L524" s="8"/>
      <c r="M524" s="8"/>
      <c r="N524" s="8"/>
      <c r="O524" s="8"/>
      <c r="P524" s="8"/>
      <c r="Q524" s="8"/>
      <c r="R524" s="8"/>
      <c r="S524" s="8"/>
      <c r="T524" s="8"/>
      <c r="U524" s="8"/>
      <c r="V524" s="8"/>
      <c r="W524" s="8"/>
      <c r="X524" s="8"/>
      <c r="Y524" s="8"/>
      <c r="Z524" s="8"/>
      <c r="AA524" s="8"/>
    </row>
    <row r="525" spans="1:27" ht="15">
      <c r="A525" s="15"/>
      <c r="B525" s="36"/>
      <c r="C525" s="15"/>
      <c r="D525" s="37"/>
      <c r="E525" s="15"/>
      <c r="F525" s="15"/>
      <c r="G525" s="15"/>
      <c r="H525" s="15"/>
      <c r="I525" s="15"/>
      <c r="J525" s="39"/>
      <c r="K525" s="40"/>
      <c r="L525" s="8"/>
      <c r="M525" s="8"/>
      <c r="N525" s="8"/>
      <c r="O525" s="8"/>
      <c r="P525" s="8"/>
      <c r="Q525" s="8"/>
      <c r="R525" s="8"/>
      <c r="S525" s="8"/>
      <c r="T525" s="8"/>
      <c r="U525" s="8"/>
      <c r="V525" s="8"/>
      <c r="W525" s="8"/>
      <c r="X525" s="8"/>
      <c r="Y525" s="8"/>
      <c r="Z525" s="8"/>
      <c r="AA525" s="8"/>
    </row>
    <row r="526" spans="1:27" ht="15">
      <c r="A526" s="15"/>
      <c r="B526" s="36"/>
      <c r="C526" s="15"/>
      <c r="D526" s="37"/>
      <c r="E526" s="15"/>
      <c r="F526" s="15"/>
      <c r="G526" s="15"/>
      <c r="H526" s="15"/>
      <c r="I526" s="15"/>
      <c r="J526" s="39"/>
      <c r="K526" s="40"/>
      <c r="L526" s="8"/>
      <c r="M526" s="8"/>
      <c r="N526" s="8"/>
      <c r="O526" s="8"/>
      <c r="P526" s="8"/>
      <c r="Q526" s="8"/>
      <c r="R526" s="8"/>
      <c r="S526" s="8"/>
      <c r="T526" s="8"/>
      <c r="U526" s="8"/>
      <c r="V526" s="8"/>
      <c r="W526" s="8"/>
      <c r="X526" s="8"/>
      <c r="Y526" s="8"/>
      <c r="Z526" s="8"/>
      <c r="AA526" s="8"/>
    </row>
    <row r="527" spans="1:27" ht="15">
      <c r="A527" s="15"/>
      <c r="B527" s="36"/>
      <c r="C527" s="15"/>
      <c r="D527" s="37"/>
      <c r="E527" s="15"/>
      <c r="F527" s="15"/>
      <c r="G527" s="15"/>
      <c r="H527" s="15"/>
      <c r="I527" s="15"/>
      <c r="J527" s="39"/>
      <c r="K527" s="40"/>
      <c r="L527" s="8"/>
      <c r="M527" s="8"/>
      <c r="N527" s="8"/>
      <c r="O527" s="8"/>
      <c r="P527" s="8"/>
      <c r="Q527" s="8"/>
      <c r="R527" s="8"/>
      <c r="S527" s="8"/>
      <c r="T527" s="8"/>
      <c r="U527" s="8"/>
      <c r="V527" s="8"/>
      <c r="W527" s="8"/>
      <c r="X527" s="8"/>
      <c r="Y527" s="8"/>
      <c r="Z527" s="8"/>
      <c r="AA527" s="8"/>
    </row>
    <row r="528" spans="1:27" ht="15">
      <c r="A528" s="15"/>
      <c r="B528" s="36"/>
      <c r="C528" s="15"/>
      <c r="D528" s="37"/>
      <c r="E528" s="15"/>
      <c r="F528" s="15"/>
      <c r="G528" s="15"/>
      <c r="H528" s="15"/>
      <c r="I528" s="15"/>
      <c r="J528" s="39"/>
      <c r="K528" s="40"/>
      <c r="L528" s="8"/>
      <c r="M528" s="8"/>
      <c r="N528" s="8"/>
      <c r="O528" s="8"/>
      <c r="P528" s="8"/>
      <c r="Q528" s="8"/>
      <c r="R528" s="8"/>
      <c r="S528" s="8"/>
      <c r="T528" s="8"/>
      <c r="U528" s="8"/>
      <c r="V528" s="8"/>
      <c r="W528" s="8"/>
      <c r="X528" s="8"/>
      <c r="Y528" s="8"/>
      <c r="Z528" s="8"/>
      <c r="AA528" s="8"/>
    </row>
    <row r="529" spans="1:27" ht="15">
      <c r="A529" s="15"/>
      <c r="B529" s="36"/>
      <c r="C529" s="15"/>
      <c r="D529" s="37"/>
      <c r="E529" s="15"/>
      <c r="F529" s="15"/>
      <c r="G529" s="15"/>
      <c r="H529" s="15"/>
      <c r="I529" s="15"/>
      <c r="J529" s="39"/>
      <c r="K529" s="40"/>
      <c r="L529" s="8"/>
      <c r="M529" s="8"/>
      <c r="N529" s="8"/>
      <c r="O529" s="8"/>
      <c r="P529" s="8"/>
      <c r="Q529" s="8"/>
      <c r="R529" s="8"/>
      <c r="S529" s="8"/>
      <c r="T529" s="8"/>
      <c r="U529" s="8"/>
      <c r="V529" s="8"/>
      <c r="W529" s="8"/>
      <c r="X529" s="8"/>
      <c r="Y529" s="8"/>
      <c r="Z529" s="8"/>
      <c r="AA529" s="8"/>
    </row>
    <row r="530" spans="1:27" ht="15">
      <c r="A530" s="15"/>
      <c r="B530" s="36"/>
      <c r="C530" s="15"/>
      <c r="D530" s="37"/>
      <c r="E530" s="15"/>
      <c r="F530" s="15"/>
      <c r="G530" s="15"/>
      <c r="H530" s="15"/>
      <c r="I530" s="15"/>
      <c r="J530" s="39"/>
      <c r="K530" s="40"/>
      <c r="L530" s="8"/>
      <c r="M530" s="8"/>
      <c r="N530" s="8"/>
      <c r="O530" s="8"/>
      <c r="P530" s="8"/>
      <c r="Q530" s="8"/>
      <c r="R530" s="8"/>
      <c r="S530" s="8"/>
      <c r="T530" s="8"/>
      <c r="U530" s="8"/>
      <c r="V530" s="8"/>
      <c r="W530" s="8"/>
      <c r="X530" s="8"/>
      <c r="Y530" s="8"/>
      <c r="Z530" s="8"/>
      <c r="AA530" s="8"/>
    </row>
    <row r="531" spans="1:27" ht="15">
      <c r="A531" s="15"/>
      <c r="B531" s="36"/>
      <c r="C531" s="15"/>
      <c r="D531" s="37"/>
      <c r="E531" s="15"/>
      <c r="F531" s="15"/>
      <c r="G531" s="15"/>
      <c r="H531" s="15"/>
      <c r="I531" s="15"/>
      <c r="J531" s="39"/>
      <c r="K531" s="40"/>
      <c r="L531" s="8"/>
      <c r="M531" s="8"/>
      <c r="N531" s="8"/>
      <c r="O531" s="8"/>
      <c r="P531" s="8"/>
      <c r="Q531" s="8"/>
      <c r="R531" s="8"/>
      <c r="S531" s="8"/>
      <c r="T531" s="8"/>
      <c r="U531" s="8"/>
      <c r="V531" s="8"/>
      <c r="W531" s="8"/>
      <c r="X531" s="8"/>
      <c r="Y531" s="8"/>
      <c r="Z531" s="8"/>
      <c r="AA531" s="8"/>
    </row>
    <row r="532" spans="1:27" ht="15">
      <c r="A532" s="15"/>
      <c r="B532" s="36"/>
      <c r="C532" s="15"/>
      <c r="D532" s="37"/>
      <c r="E532" s="15"/>
      <c r="F532" s="15"/>
      <c r="G532" s="15"/>
      <c r="H532" s="15"/>
      <c r="I532" s="15"/>
      <c r="J532" s="39"/>
      <c r="K532" s="40"/>
      <c r="L532" s="8"/>
      <c r="M532" s="8"/>
      <c r="N532" s="8"/>
      <c r="O532" s="8"/>
      <c r="P532" s="8"/>
      <c r="Q532" s="8"/>
      <c r="R532" s="8"/>
      <c r="S532" s="8"/>
      <c r="T532" s="8"/>
      <c r="U532" s="8"/>
      <c r="V532" s="8"/>
      <c r="W532" s="8"/>
      <c r="X532" s="8"/>
      <c r="Y532" s="8"/>
      <c r="Z532" s="8"/>
      <c r="AA532" s="8"/>
    </row>
    <row r="533" spans="1:27" ht="15">
      <c r="A533" s="15"/>
      <c r="B533" s="36"/>
      <c r="C533" s="15"/>
      <c r="D533" s="37"/>
      <c r="E533" s="15"/>
      <c r="F533" s="15"/>
      <c r="G533" s="15"/>
      <c r="H533" s="15"/>
      <c r="I533" s="15"/>
      <c r="J533" s="39"/>
      <c r="K533" s="40"/>
      <c r="L533" s="8"/>
      <c r="M533" s="8"/>
      <c r="N533" s="8"/>
      <c r="O533" s="8"/>
      <c r="P533" s="8"/>
      <c r="Q533" s="8"/>
      <c r="R533" s="8"/>
      <c r="S533" s="8"/>
      <c r="T533" s="8"/>
      <c r="U533" s="8"/>
      <c r="V533" s="8"/>
      <c r="W533" s="8"/>
      <c r="X533" s="8"/>
      <c r="Y533" s="8"/>
      <c r="Z533" s="8"/>
      <c r="AA533" s="8"/>
    </row>
    <row r="534" spans="1:27" ht="15">
      <c r="A534" s="15"/>
      <c r="B534" s="36"/>
      <c r="C534" s="15"/>
      <c r="D534" s="37"/>
      <c r="E534" s="15"/>
      <c r="F534" s="15"/>
      <c r="G534" s="15"/>
      <c r="H534" s="15"/>
      <c r="I534" s="15"/>
      <c r="J534" s="39"/>
      <c r="K534" s="40"/>
      <c r="L534" s="8"/>
      <c r="M534" s="8"/>
      <c r="N534" s="8"/>
      <c r="O534" s="8"/>
      <c r="P534" s="8"/>
      <c r="Q534" s="8"/>
      <c r="R534" s="8"/>
      <c r="S534" s="8"/>
      <c r="T534" s="8"/>
      <c r="U534" s="8"/>
      <c r="V534" s="8"/>
      <c r="W534" s="8"/>
      <c r="X534" s="8"/>
      <c r="Y534" s="8"/>
      <c r="Z534" s="8"/>
      <c r="AA534" s="8"/>
    </row>
    <row r="535" spans="1:27" ht="15">
      <c r="A535" s="15"/>
      <c r="B535" s="36"/>
      <c r="C535" s="15"/>
      <c r="D535" s="37"/>
      <c r="E535" s="15"/>
      <c r="F535" s="15"/>
      <c r="G535" s="15"/>
      <c r="H535" s="15"/>
      <c r="I535" s="15"/>
      <c r="J535" s="39"/>
      <c r="K535" s="40"/>
      <c r="L535" s="8"/>
      <c r="M535" s="8"/>
      <c r="N535" s="8"/>
      <c r="O535" s="8"/>
      <c r="P535" s="8"/>
      <c r="Q535" s="8"/>
      <c r="R535" s="8"/>
      <c r="S535" s="8"/>
      <c r="T535" s="8"/>
      <c r="U535" s="8"/>
      <c r="V535" s="8"/>
      <c r="W535" s="8"/>
      <c r="X535" s="8"/>
      <c r="Y535" s="8"/>
      <c r="Z535" s="8"/>
      <c r="AA535" s="8"/>
    </row>
    <row r="536" spans="1:27" ht="15">
      <c r="A536" s="15"/>
      <c r="B536" s="36"/>
      <c r="C536" s="15"/>
      <c r="D536" s="37"/>
      <c r="E536" s="15"/>
      <c r="F536" s="15"/>
      <c r="G536" s="15"/>
      <c r="H536" s="15"/>
      <c r="I536" s="15"/>
      <c r="J536" s="39"/>
      <c r="K536" s="40"/>
      <c r="L536" s="8"/>
      <c r="M536" s="8"/>
      <c r="N536" s="8"/>
      <c r="O536" s="8"/>
      <c r="P536" s="8"/>
      <c r="Q536" s="8"/>
      <c r="R536" s="8"/>
      <c r="S536" s="8"/>
      <c r="T536" s="8"/>
      <c r="U536" s="8"/>
      <c r="V536" s="8"/>
      <c r="W536" s="8"/>
      <c r="X536" s="8"/>
      <c r="Y536" s="8"/>
      <c r="Z536" s="8"/>
      <c r="AA536" s="8"/>
    </row>
    <row r="537" spans="1:27" ht="15">
      <c r="A537" s="15"/>
      <c r="B537" s="36"/>
      <c r="C537" s="15"/>
      <c r="D537" s="37"/>
      <c r="E537" s="15"/>
      <c r="F537" s="15"/>
      <c r="G537" s="15"/>
      <c r="H537" s="15"/>
      <c r="I537" s="15"/>
      <c r="J537" s="39"/>
      <c r="K537" s="40"/>
      <c r="L537" s="8"/>
      <c r="M537" s="8"/>
      <c r="N537" s="8"/>
      <c r="O537" s="8"/>
      <c r="P537" s="8"/>
      <c r="Q537" s="8"/>
      <c r="R537" s="8"/>
      <c r="S537" s="8"/>
      <c r="T537" s="8"/>
      <c r="U537" s="8"/>
      <c r="V537" s="8"/>
      <c r="W537" s="8"/>
      <c r="X537" s="8"/>
      <c r="Y537" s="8"/>
      <c r="Z537" s="8"/>
      <c r="AA537" s="8"/>
    </row>
    <row r="538" spans="1:27" ht="15">
      <c r="A538" s="15"/>
      <c r="B538" s="36"/>
      <c r="C538" s="15"/>
      <c r="D538" s="37"/>
      <c r="E538" s="15"/>
      <c r="F538" s="15"/>
      <c r="G538" s="15"/>
      <c r="H538" s="15"/>
      <c r="I538" s="15"/>
      <c r="J538" s="39"/>
      <c r="K538" s="40"/>
      <c r="L538" s="8"/>
      <c r="M538" s="8"/>
      <c r="N538" s="8"/>
      <c r="O538" s="8"/>
      <c r="P538" s="8"/>
      <c r="Q538" s="8"/>
      <c r="R538" s="8"/>
      <c r="S538" s="8"/>
      <c r="T538" s="8"/>
      <c r="U538" s="8"/>
      <c r="V538" s="8"/>
      <c r="W538" s="8"/>
      <c r="X538" s="8"/>
      <c r="Y538" s="8"/>
      <c r="Z538" s="8"/>
      <c r="AA538" s="8"/>
    </row>
    <row r="539" spans="1:27" ht="15">
      <c r="A539" s="15"/>
      <c r="B539" s="36"/>
      <c r="C539" s="15"/>
      <c r="D539" s="37"/>
      <c r="E539" s="15"/>
      <c r="F539" s="15"/>
      <c r="G539" s="15"/>
      <c r="H539" s="15"/>
      <c r="I539" s="15"/>
      <c r="J539" s="39"/>
      <c r="K539" s="40"/>
      <c r="L539" s="8"/>
      <c r="M539" s="8"/>
      <c r="N539" s="8"/>
      <c r="O539" s="8"/>
      <c r="P539" s="8"/>
      <c r="Q539" s="8"/>
      <c r="R539" s="8"/>
      <c r="S539" s="8"/>
      <c r="T539" s="8"/>
      <c r="U539" s="8"/>
      <c r="V539" s="8"/>
      <c r="W539" s="8"/>
      <c r="X539" s="8"/>
      <c r="Y539" s="8"/>
      <c r="Z539" s="8"/>
      <c r="AA539" s="8"/>
    </row>
    <row r="540" spans="1:27" ht="15">
      <c r="A540" s="15"/>
      <c r="B540" s="36"/>
      <c r="C540" s="15"/>
      <c r="D540" s="37"/>
      <c r="E540" s="15"/>
      <c r="F540" s="15"/>
      <c r="G540" s="15"/>
      <c r="H540" s="15"/>
      <c r="I540" s="15"/>
      <c r="J540" s="39"/>
      <c r="K540" s="40"/>
      <c r="L540" s="8"/>
      <c r="M540" s="8"/>
      <c r="N540" s="8"/>
      <c r="O540" s="8"/>
      <c r="P540" s="8"/>
      <c r="Q540" s="8"/>
      <c r="R540" s="8"/>
      <c r="S540" s="8"/>
      <c r="T540" s="8"/>
      <c r="U540" s="8"/>
      <c r="V540" s="8"/>
      <c r="W540" s="8"/>
      <c r="X540" s="8"/>
      <c r="Y540" s="8"/>
      <c r="Z540" s="8"/>
      <c r="AA540" s="8"/>
    </row>
    <row r="541" spans="1:27" ht="15">
      <c r="A541" s="15"/>
      <c r="B541" s="36"/>
      <c r="C541" s="15"/>
      <c r="D541" s="37"/>
      <c r="E541" s="15"/>
      <c r="F541" s="15"/>
      <c r="G541" s="15"/>
      <c r="H541" s="15"/>
      <c r="I541" s="15"/>
      <c r="J541" s="39"/>
      <c r="K541" s="40"/>
      <c r="L541" s="8"/>
      <c r="M541" s="8"/>
      <c r="N541" s="8"/>
      <c r="O541" s="8"/>
      <c r="P541" s="8"/>
      <c r="Q541" s="8"/>
      <c r="R541" s="8"/>
      <c r="S541" s="8"/>
      <c r="T541" s="8"/>
      <c r="U541" s="8"/>
      <c r="V541" s="8"/>
      <c r="W541" s="8"/>
      <c r="X541" s="8"/>
      <c r="Y541" s="8"/>
      <c r="Z541" s="8"/>
      <c r="AA541" s="8"/>
    </row>
    <row r="542" spans="1:27" ht="15">
      <c r="A542" s="15"/>
      <c r="B542" s="36"/>
      <c r="C542" s="15"/>
      <c r="D542" s="37"/>
      <c r="E542" s="15"/>
      <c r="F542" s="15"/>
      <c r="G542" s="15"/>
      <c r="H542" s="15"/>
      <c r="I542" s="15"/>
      <c r="J542" s="39"/>
      <c r="K542" s="40"/>
      <c r="L542" s="8"/>
      <c r="M542" s="8"/>
      <c r="N542" s="8"/>
      <c r="O542" s="8"/>
      <c r="P542" s="8"/>
      <c r="Q542" s="8"/>
      <c r="R542" s="8"/>
      <c r="S542" s="8"/>
      <c r="T542" s="8"/>
      <c r="U542" s="8"/>
      <c r="V542" s="8"/>
      <c r="W542" s="8"/>
      <c r="X542" s="8"/>
      <c r="Y542" s="8"/>
      <c r="Z542" s="8"/>
      <c r="AA542" s="8"/>
    </row>
    <row r="543" spans="1:27" ht="15">
      <c r="A543" s="15"/>
      <c r="B543" s="36"/>
      <c r="C543" s="15"/>
      <c r="D543" s="37"/>
      <c r="E543" s="15"/>
      <c r="F543" s="15"/>
      <c r="G543" s="15"/>
      <c r="H543" s="15"/>
      <c r="I543" s="15"/>
      <c r="J543" s="39"/>
      <c r="K543" s="40"/>
      <c r="L543" s="8"/>
      <c r="M543" s="8"/>
      <c r="N543" s="8"/>
      <c r="O543" s="8"/>
      <c r="P543" s="8"/>
      <c r="Q543" s="8"/>
      <c r="R543" s="8"/>
      <c r="S543" s="8"/>
      <c r="T543" s="8"/>
      <c r="U543" s="8"/>
      <c r="V543" s="8"/>
      <c r="W543" s="8"/>
      <c r="X543" s="8"/>
      <c r="Y543" s="8"/>
      <c r="Z543" s="8"/>
      <c r="AA543" s="8"/>
    </row>
    <row r="544" spans="1:27" ht="15">
      <c r="A544" s="15"/>
      <c r="B544" s="36"/>
      <c r="C544" s="15"/>
      <c r="D544" s="37"/>
      <c r="E544" s="15"/>
      <c r="F544" s="15"/>
      <c r="G544" s="15"/>
      <c r="H544" s="15"/>
      <c r="I544" s="15"/>
      <c r="J544" s="39"/>
      <c r="K544" s="40"/>
      <c r="L544" s="8"/>
      <c r="M544" s="8"/>
      <c r="N544" s="8"/>
      <c r="O544" s="8"/>
      <c r="P544" s="8"/>
      <c r="Q544" s="8"/>
      <c r="R544" s="8"/>
      <c r="S544" s="8"/>
      <c r="T544" s="8"/>
      <c r="U544" s="8"/>
      <c r="V544" s="8"/>
      <c r="W544" s="8"/>
      <c r="X544" s="8"/>
      <c r="Y544" s="8"/>
      <c r="Z544" s="8"/>
      <c r="AA544" s="8"/>
    </row>
    <row r="545" spans="1:27" ht="15">
      <c r="A545" s="15"/>
      <c r="B545" s="36"/>
      <c r="C545" s="15"/>
      <c r="D545" s="37"/>
      <c r="E545" s="15"/>
      <c r="F545" s="15"/>
      <c r="G545" s="15"/>
      <c r="H545" s="15"/>
      <c r="I545" s="15"/>
      <c r="J545" s="39"/>
      <c r="K545" s="40"/>
      <c r="L545" s="8"/>
      <c r="M545" s="8"/>
      <c r="N545" s="8"/>
      <c r="O545" s="8"/>
      <c r="P545" s="8"/>
      <c r="Q545" s="8"/>
      <c r="R545" s="8"/>
      <c r="S545" s="8"/>
      <c r="T545" s="8"/>
      <c r="U545" s="8"/>
      <c r="V545" s="8"/>
      <c r="W545" s="8"/>
      <c r="X545" s="8"/>
      <c r="Y545" s="8"/>
      <c r="Z545" s="8"/>
      <c r="AA545" s="8"/>
    </row>
    <row r="546" spans="1:27" ht="15">
      <c r="A546" s="15"/>
      <c r="B546" s="36"/>
      <c r="C546" s="15"/>
      <c r="D546" s="37"/>
      <c r="E546" s="15"/>
      <c r="F546" s="15"/>
      <c r="G546" s="15"/>
      <c r="H546" s="15"/>
      <c r="I546" s="15"/>
      <c r="J546" s="39"/>
      <c r="K546" s="40"/>
      <c r="L546" s="8"/>
      <c r="M546" s="8"/>
      <c r="N546" s="8"/>
      <c r="O546" s="8"/>
      <c r="P546" s="8"/>
      <c r="Q546" s="8"/>
      <c r="R546" s="8"/>
      <c r="S546" s="8"/>
      <c r="T546" s="8"/>
      <c r="U546" s="8"/>
      <c r="V546" s="8"/>
      <c r="W546" s="8"/>
      <c r="X546" s="8"/>
      <c r="Y546" s="8"/>
      <c r="Z546" s="8"/>
      <c r="AA546" s="8"/>
    </row>
    <row r="547" spans="1:27" ht="15">
      <c r="A547" s="15"/>
      <c r="B547" s="36"/>
      <c r="C547" s="15"/>
      <c r="D547" s="37"/>
      <c r="E547" s="15"/>
      <c r="F547" s="15"/>
      <c r="G547" s="15"/>
      <c r="H547" s="15"/>
      <c r="I547" s="15"/>
      <c r="J547" s="39"/>
      <c r="K547" s="40"/>
      <c r="L547" s="8"/>
      <c r="M547" s="8"/>
      <c r="N547" s="8"/>
      <c r="O547" s="8"/>
      <c r="P547" s="8"/>
      <c r="Q547" s="8"/>
      <c r="R547" s="8"/>
      <c r="S547" s="8"/>
      <c r="T547" s="8"/>
      <c r="U547" s="8"/>
      <c r="V547" s="8"/>
      <c r="W547" s="8"/>
      <c r="X547" s="8"/>
      <c r="Y547" s="8"/>
      <c r="Z547" s="8"/>
      <c r="AA547" s="8"/>
    </row>
    <row r="548" spans="1:27" ht="15">
      <c r="A548" s="15"/>
      <c r="B548" s="36"/>
      <c r="C548" s="15"/>
      <c r="D548" s="37"/>
      <c r="E548" s="15"/>
      <c r="F548" s="15"/>
      <c r="G548" s="15"/>
      <c r="H548" s="15"/>
      <c r="I548" s="15"/>
      <c r="J548" s="39"/>
      <c r="K548" s="40"/>
      <c r="L548" s="8"/>
      <c r="M548" s="8"/>
      <c r="N548" s="8"/>
      <c r="O548" s="8"/>
      <c r="P548" s="8"/>
      <c r="Q548" s="8"/>
      <c r="R548" s="8"/>
      <c r="S548" s="8"/>
      <c r="T548" s="8"/>
      <c r="U548" s="8"/>
      <c r="V548" s="8"/>
      <c r="W548" s="8"/>
      <c r="X548" s="8"/>
      <c r="Y548" s="8"/>
      <c r="Z548" s="8"/>
      <c r="AA548" s="8"/>
    </row>
    <row r="549" spans="1:27" ht="15">
      <c r="A549" s="15"/>
      <c r="B549" s="36"/>
      <c r="C549" s="15"/>
      <c r="D549" s="37"/>
      <c r="E549" s="15"/>
      <c r="F549" s="15"/>
      <c r="G549" s="15"/>
      <c r="H549" s="15"/>
      <c r="I549" s="15"/>
      <c r="J549" s="39"/>
      <c r="K549" s="40"/>
      <c r="L549" s="8"/>
      <c r="M549" s="8"/>
      <c r="N549" s="8"/>
      <c r="O549" s="8"/>
      <c r="P549" s="8"/>
      <c r="Q549" s="8"/>
      <c r="R549" s="8"/>
      <c r="S549" s="8"/>
      <c r="T549" s="8"/>
      <c r="U549" s="8"/>
      <c r="V549" s="8"/>
      <c r="W549" s="8"/>
      <c r="X549" s="8"/>
      <c r="Y549" s="8"/>
      <c r="Z549" s="8"/>
      <c r="AA549" s="8"/>
    </row>
    <row r="550" spans="1:27" ht="15">
      <c r="A550" s="15"/>
      <c r="B550" s="36"/>
      <c r="C550" s="15"/>
      <c r="D550" s="37"/>
      <c r="E550" s="15"/>
      <c r="F550" s="15"/>
      <c r="G550" s="15"/>
      <c r="H550" s="15"/>
      <c r="I550" s="15"/>
      <c r="J550" s="39"/>
      <c r="K550" s="40"/>
      <c r="L550" s="8"/>
      <c r="M550" s="8"/>
      <c r="N550" s="8"/>
      <c r="O550" s="8"/>
      <c r="P550" s="8"/>
      <c r="Q550" s="8"/>
      <c r="R550" s="8"/>
      <c r="S550" s="8"/>
      <c r="T550" s="8"/>
      <c r="U550" s="8"/>
      <c r="V550" s="8"/>
      <c r="W550" s="8"/>
      <c r="X550" s="8"/>
      <c r="Y550" s="8"/>
      <c r="Z550" s="8"/>
      <c r="AA550" s="8"/>
    </row>
    <row r="551" spans="1:27" ht="15">
      <c r="A551" s="15"/>
      <c r="B551" s="36"/>
      <c r="C551" s="15"/>
      <c r="D551" s="37"/>
      <c r="E551" s="15"/>
      <c r="F551" s="15"/>
      <c r="G551" s="15"/>
      <c r="H551" s="15"/>
      <c r="I551" s="15"/>
      <c r="J551" s="39"/>
      <c r="K551" s="40"/>
      <c r="L551" s="8"/>
      <c r="M551" s="8"/>
      <c r="N551" s="8"/>
      <c r="O551" s="8"/>
      <c r="P551" s="8"/>
      <c r="Q551" s="8"/>
      <c r="R551" s="8"/>
      <c r="S551" s="8"/>
      <c r="T551" s="8"/>
      <c r="U551" s="8"/>
      <c r="V551" s="8"/>
      <c r="W551" s="8"/>
      <c r="X551" s="8"/>
      <c r="Y551" s="8"/>
      <c r="Z551" s="8"/>
      <c r="AA551" s="8"/>
    </row>
    <row r="552" spans="1:27" ht="15">
      <c r="A552" s="15"/>
      <c r="B552" s="36"/>
      <c r="C552" s="15"/>
      <c r="D552" s="37"/>
      <c r="E552" s="15"/>
      <c r="F552" s="15"/>
      <c r="G552" s="15"/>
      <c r="H552" s="15"/>
      <c r="I552" s="15"/>
      <c r="J552" s="39"/>
      <c r="K552" s="40"/>
      <c r="L552" s="8"/>
      <c r="M552" s="8"/>
      <c r="N552" s="8"/>
      <c r="O552" s="8"/>
      <c r="P552" s="8"/>
      <c r="Q552" s="8"/>
      <c r="R552" s="8"/>
      <c r="S552" s="8"/>
      <c r="T552" s="8"/>
      <c r="U552" s="8"/>
      <c r="V552" s="8"/>
      <c r="W552" s="8"/>
      <c r="X552" s="8"/>
      <c r="Y552" s="8"/>
      <c r="Z552" s="8"/>
      <c r="AA552" s="8"/>
    </row>
    <row r="553" spans="1:27" ht="15">
      <c r="A553" s="15"/>
      <c r="B553" s="36"/>
      <c r="C553" s="15"/>
      <c r="D553" s="37"/>
      <c r="E553" s="15"/>
      <c r="F553" s="15"/>
      <c r="G553" s="15"/>
      <c r="H553" s="15"/>
      <c r="I553" s="15"/>
      <c r="J553" s="39"/>
      <c r="K553" s="40"/>
      <c r="L553" s="8"/>
      <c r="M553" s="8"/>
      <c r="N553" s="8"/>
      <c r="O553" s="8"/>
      <c r="P553" s="8"/>
      <c r="Q553" s="8"/>
      <c r="R553" s="8"/>
      <c r="S553" s="8"/>
      <c r="T553" s="8"/>
      <c r="U553" s="8"/>
      <c r="V553" s="8"/>
      <c r="W553" s="8"/>
      <c r="X553" s="8"/>
      <c r="Y553" s="8"/>
      <c r="Z553" s="8"/>
      <c r="AA553" s="8"/>
    </row>
    <row r="554" spans="1:27" ht="15">
      <c r="A554" s="15"/>
      <c r="B554" s="36"/>
      <c r="C554" s="15"/>
      <c r="D554" s="37"/>
      <c r="E554" s="15"/>
      <c r="F554" s="15"/>
      <c r="G554" s="15"/>
      <c r="H554" s="15"/>
      <c r="I554" s="15"/>
      <c r="J554" s="39"/>
      <c r="K554" s="40"/>
      <c r="L554" s="8"/>
      <c r="M554" s="8"/>
      <c r="N554" s="8"/>
      <c r="O554" s="8"/>
      <c r="P554" s="8"/>
      <c r="Q554" s="8"/>
      <c r="R554" s="8"/>
      <c r="S554" s="8"/>
      <c r="T554" s="8"/>
      <c r="U554" s="8"/>
      <c r="V554" s="8"/>
      <c r="W554" s="8"/>
      <c r="X554" s="8"/>
      <c r="Y554" s="8"/>
      <c r="Z554" s="8"/>
      <c r="AA554" s="8"/>
    </row>
    <row r="555" spans="1:27" ht="15">
      <c r="A555" s="15"/>
      <c r="B555" s="36"/>
      <c r="C555" s="15"/>
      <c r="D555" s="37"/>
      <c r="E555" s="15"/>
      <c r="F555" s="15"/>
      <c r="G555" s="15"/>
      <c r="H555" s="15"/>
      <c r="I555" s="15"/>
      <c r="J555" s="39"/>
      <c r="K555" s="40"/>
      <c r="L555" s="8"/>
      <c r="M555" s="8"/>
      <c r="N555" s="8"/>
      <c r="O555" s="8"/>
      <c r="P555" s="8"/>
      <c r="Q555" s="8"/>
      <c r="R555" s="8"/>
      <c r="S555" s="8"/>
      <c r="T555" s="8"/>
      <c r="U555" s="8"/>
      <c r="V555" s="8"/>
      <c r="W555" s="8"/>
      <c r="X555" s="8"/>
      <c r="Y555" s="8"/>
      <c r="Z555" s="8"/>
      <c r="AA555" s="8"/>
    </row>
    <row r="556" spans="1:27" ht="15">
      <c r="A556" s="15"/>
      <c r="B556" s="36"/>
      <c r="C556" s="15"/>
      <c r="D556" s="37"/>
      <c r="E556" s="15"/>
      <c r="F556" s="15"/>
      <c r="G556" s="15"/>
      <c r="H556" s="15"/>
      <c r="I556" s="15"/>
      <c r="J556" s="39"/>
      <c r="K556" s="40"/>
      <c r="L556" s="8"/>
      <c r="M556" s="8"/>
      <c r="N556" s="8"/>
      <c r="O556" s="8"/>
      <c r="P556" s="8"/>
      <c r="Q556" s="8"/>
      <c r="R556" s="8"/>
      <c r="S556" s="8"/>
      <c r="T556" s="8"/>
      <c r="U556" s="8"/>
      <c r="V556" s="8"/>
      <c r="W556" s="8"/>
      <c r="X556" s="8"/>
      <c r="Y556" s="8"/>
      <c r="Z556" s="8"/>
      <c r="AA556" s="8"/>
    </row>
    <row r="557" spans="1:27" ht="15">
      <c r="A557" s="15"/>
      <c r="B557" s="36"/>
      <c r="C557" s="15"/>
      <c r="D557" s="37"/>
      <c r="E557" s="15"/>
      <c r="F557" s="15"/>
      <c r="G557" s="15"/>
      <c r="H557" s="15"/>
      <c r="I557" s="15"/>
      <c r="J557" s="39"/>
      <c r="K557" s="40"/>
      <c r="L557" s="8"/>
      <c r="M557" s="8"/>
      <c r="N557" s="8"/>
      <c r="O557" s="8"/>
      <c r="P557" s="8"/>
      <c r="Q557" s="8"/>
      <c r="R557" s="8"/>
      <c r="S557" s="8"/>
      <c r="T557" s="8"/>
      <c r="U557" s="8"/>
      <c r="V557" s="8"/>
      <c r="W557" s="8"/>
      <c r="X557" s="8"/>
      <c r="Y557" s="8"/>
      <c r="Z557" s="8"/>
      <c r="AA557" s="8"/>
    </row>
    <row r="558" spans="1:27" ht="15">
      <c r="A558" s="15"/>
      <c r="B558" s="36"/>
      <c r="C558" s="15"/>
      <c r="D558" s="37"/>
      <c r="E558" s="15"/>
      <c r="F558" s="15"/>
      <c r="G558" s="15"/>
      <c r="H558" s="15"/>
      <c r="I558" s="15"/>
      <c r="J558" s="39"/>
      <c r="K558" s="40"/>
      <c r="L558" s="8"/>
      <c r="M558" s="8"/>
      <c r="N558" s="8"/>
      <c r="O558" s="8"/>
      <c r="P558" s="8"/>
      <c r="Q558" s="8"/>
      <c r="R558" s="8"/>
      <c r="S558" s="8"/>
      <c r="T558" s="8"/>
      <c r="U558" s="8"/>
      <c r="V558" s="8"/>
      <c r="W558" s="8"/>
      <c r="X558" s="8"/>
      <c r="Y558" s="8"/>
      <c r="Z558" s="8"/>
      <c r="AA558" s="8"/>
    </row>
    <row r="559" spans="1:27" ht="15">
      <c r="A559" s="15"/>
      <c r="B559" s="36"/>
      <c r="C559" s="15"/>
      <c r="D559" s="37"/>
      <c r="E559" s="15"/>
      <c r="F559" s="15"/>
      <c r="G559" s="15"/>
      <c r="H559" s="15"/>
      <c r="I559" s="15"/>
      <c r="J559" s="39"/>
      <c r="K559" s="40"/>
      <c r="L559" s="8"/>
      <c r="M559" s="8"/>
      <c r="N559" s="8"/>
      <c r="O559" s="8"/>
      <c r="P559" s="8"/>
      <c r="Q559" s="8"/>
      <c r="R559" s="8"/>
      <c r="S559" s="8"/>
      <c r="T559" s="8"/>
      <c r="U559" s="8"/>
      <c r="V559" s="8"/>
      <c r="W559" s="8"/>
      <c r="X559" s="8"/>
      <c r="Y559" s="8"/>
      <c r="Z559" s="8"/>
      <c r="AA559" s="8"/>
    </row>
    <row r="560" spans="1:27" ht="15">
      <c r="A560" s="15"/>
      <c r="B560" s="36"/>
      <c r="C560" s="15"/>
      <c r="D560" s="37"/>
      <c r="E560" s="15"/>
      <c r="F560" s="15"/>
      <c r="G560" s="15"/>
      <c r="H560" s="15"/>
      <c r="I560" s="15"/>
      <c r="J560" s="39"/>
      <c r="K560" s="40"/>
      <c r="L560" s="8"/>
      <c r="M560" s="8"/>
      <c r="N560" s="8"/>
      <c r="O560" s="8"/>
      <c r="P560" s="8"/>
      <c r="Q560" s="8"/>
      <c r="R560" s="8"/>
      <c r="S560" s="8"/>
      <c r="T560" s="8"/>
      <c r="U560" s="8"/>
      <c r="V560" s="8"/>
      <c r="W560" s="8"/>
      <c r="X560" s="8"/>
      <c r="Y560" s="8"/>
      <c r="Z560" s="8"/>
      <c r="AA560" s="8"/>
    </row>
    <row r="561" spans="1:27" ht="15">
      <c r="A561" s="15"/>
      <c r="B561" s="36"/>
      <c r="C561" s="15"/>
      <c r="D561" s="37"/>
      <c r="E561" s="15"/>
      <c r="F561" s="15"/>
      <c r="G561" s="15"/>
      <c r="H561" s="15"/>
      <c r="I561" s="15"/>
      <c r="J561" s="39"/>
      <c r="K561" s="40"/>
      <c r="L561" s="8"/>
      <c r="M561" s="8"/>
      <c r="N561" s="8"/>
      <c r="O561" s="8"/>
      <c r="P561" s="8"/>
      <c r="Q561" s="8"/>
      <c r="R561" s="8"/>
      <c r="S561" s="8"/>
      <c r="T561" s="8"/>
      <c r="U561" s="8"/>
      <c r="V561" s="8"/>
      <c r="W561" s="8"/>
      <c r="X561" s="8"/>
      <c r="Y561" s="8"/>
      <c r="Z561" s="8"/>
      <c r="AA561" s="8"/>
    </row>
    <row r="562" spans="1:27" ht="15">
      <c r="A562" s="15"/>
      <c r="B562" s="36"/>
      <c r="C562" s="15"/>
      <c r="D562" s="37"/>
      <c r="E562" s="15"/>
      <c r="F562" s="15"/>
      <c r="G562" s="15"/>
      <c r="H562" s="15"/>
      <c r="I562" s="15"/>
      <c r="J562" s="39"/>
      <c r="K562" s="40"/>
      <c r="L562" s="8"/>
      <c r="M562" s="8"/>
      <c r="N562" s="8"/>
      <c r="O562" s="8"/>
      <c r="P562" s="8"/>
      <c r="Q562" s="8"/>
      <c r="R562" s="8"/>
      <c r="S562" s="8"/>
      <c r="T562" s="8"/>
      <c r="U562" s="8"/>
      <c r="V562" s="8"/>
      <c r="W562" s="8"/>
      <c r="X562" s="8"/>
      <c r="Y562" s="8"/>
      <c r="Z562" s="8"/>
      <c r="AA562" s="8"/>
    </row>
    <row r="563" spans="1:27" ht="15">
      <c r="A563" s="15"/>
      <c r="B563" s="36"/>
      <c r="C563" s="15"/>
      <c r="D563" s="37"/>
      <c r="E563" s="15"/>
      <c r="F563" s="15"/>
      <c r="G563" s="15"/>
      <c r="H563" s="15"/>
      <c r="I563" s="15"/>
      <c r="J563" s="39"/>
      <c r="K563" s="40"/>
      <c r="L563" s="8"/>
      <c r="M563" s="8"/>
      <c r="N563" s="8"/>
      <c r="O563" s="8"/>
      <c r="P563" s="8"/>
      <c r="Q563" s="8"/>
      <c r="R563" s="8"/>
      <c r="S563" s="8"/>
      <c r="T563" s="8"/>
      <c r="U563" s="8"/>
      <c r="V563" s="8"/>
      <c r="W563" s="8"/>
      <c r="X563" s="8"/>
      <c r="Y563" s="8"/>
      <c r="Z563" s="8"/>
      <c r="AA563" s="8"/>
    </row>
    <row r="564" spans="1:27" ht="15">
      <c r="A564" s="15"/>
      <c r="B564" s="36"/>
      <c r="C564" s="15"/>
      <c r="D564" s="37"/>
      <c r="E564" s="15"/>
      <c r="F564" s="15"/>
      <c r="G564" s="15"/>
      <c r="H564" s="15"/>
      <c r="I564" s="15"/>
      <c r="J564" s="39"/>
      <c r="K564" s="40"/>
      <c r="L564" s="8"/>
      <c r="M564" s="8"/>
      <c r="N564" s="8"/>
      <c r="O564" s="8"/>
      <c r="P564" s="8"/>
      <c r="Q564" s="8"/>
      <c r="R564" s="8"/>
      <c r="S564" s="8"/>
      <c r="T564" s="8"/>
      <c r="U564" s="8"/>
      <c r="V564" s="8"/>
      <c r="W564" s="8"/>
      <c r="X564" s="8"/>
      <c r="Y564" s="8"/>
      <c r="Z564" s="8"/>
      <c r="AA564" s="8"/>
    </row>
    <row r="565" spans="1:27" ht="15">
      <c r="A565" s="15"/>
      <c r="B565" s="36"/>
      <c r="C565" s="15"/>
      <c r="D565" s="37"/>
      <c r="E565" s="15"/>
      <c r="F565" s="15"/>
      <c r="G565" s="15"/>
      <c r="H565" s="15"/>
      <c r="I565" s="15"/>
      <c r="J565" s="39"/>
      <c r="K565" s="40"/>
      <c r="L565" s="8"/>
      <c r="M565" s="8"/>
      <c r="N565" s="8"/>
      <c r="O565" s="8"/>
      <c r="P565" s="8"/>
      <c r="Q565" s="8"/>
      <c r="R565" s="8"/>
      <c r="S565" s="8"/>
      <c r="T565" s="8"/>
      <c r="U565" s="8"/>
      <c r="V565" s="8"/>
      <c r="W565" s="8"/>
      <c r="X565" s="8"/>
      <c r="Y565" s="8"/>
      <c r="Z565" s="8"/>
      <c r="AA565" s="8"/>
    </row>
    <row r="566" spans="1:27" ht="15">
      <c r="A566" s="15"/>
      <c r="B566" s="36"/>
      <c r="C566" s="15"/>
      <c r="D566" s="37"/>
      <c r="E566" s="15"/>
      <c r="F566" s="15"/>
      <c r="G566" s="15"/>
      <c r="H566" s="15"/>
      <c r="I566" s="15"/>
      <c r="J566" s="39"/>
      <c r="K566" s="40"/>
      <c r="L566" s="8"/>
      <c r="M566" s="8"/>
      <c r="N566" s="8"/>
      <c r="O566" s="8"/>
      <c r="P566" s="8"/>
      <c r="Q566" s="8"/>
      <c r="R566" s="8"/>
      <c r="S566" s="8"/>
      <c r="T566" s="8"/>
      <c r="U566" s="8"/>
      <c r="V566" s="8"/>
      <c r="W566" s="8"/>
      <c r="X566" s="8"/>
      <c r="Y566" s="8"/>
      <c r="Z566" s="8"/>
      <c r="AA566" s="8"/>
    </row>
    <row r="567" spans="1:27" ht="15">
      <c r="A567" s="15"/>
      <c r="B567" s="36"/>
      <c r="C567" s="15"/>
      <c r="D567" s="37"/>
      <c r="E567" s="15"/>
      <c r="F567" s="15"/>
      <c r="G567" s="15"/>
      <c r="H567" s="15"/>
      <c r="I567" s="15"/>
      <c r="J567" s="39"/>
      <c r="K567" s="40"/>
      <c r="L567" s="8"/>
      <c r="M567" s="8"/>
      <c r="N567" s="8"/>
      <c r="O567" s="8"/>
      <c r="P567" s="8"/>
      <c r="Q567" s="8"/>
      <c r="R567" s="8"/>
      <c r="S567" s="8"/>
      <c r="T567" s="8"/>
      <c r="U567" s="8"/>
      <c r="V567" s="8"/>
      <c r="W567" s="8"/>
      <c r="X567" s="8"/>
      <c r="Y567" s="8"/>
      <c r="Z567" s="8"/>
      <c r="AA567" s="8"/>
    </row>
    <row r="568" spans="1:27" ht="15">
      <c r="A568" s="15"/>
      <c r="B568" s="36"/>
      <c r="C568" s="15"/>
      <c r="D568" s="37"/>
      <c r="E568" s="15"/>
      <c r="F568" s="15"/>
      <c r="G568" s="15"/>
      <c r="H568" s="15"/>
      <c r="I568" s="15"/>
      <c r="J568" s="39"/>
      <c r="K568" s="40"/>
      <c r="L568" s="8"/>
      <c r="M568" s="8"/>
      <c r="N568" s="8"/>
      <c r="O568" s="8"/>
      <c r="P568" s="8"/>
      <c r="Q568" s="8"/>
      <c r="R568" s="8"/>
      <c r="S568" s="8"/>
      <c r="T568" s="8"/>
      <c r="U568" s="8"/>
      <c r="V568" s="8"/>
      <c r="W568" s="8"/>
      <c r="X568" s="8"/>
      <c r="Y568" s="8"/>
      <c r="Z568" s="8"/>
      <c r="AA568" s="8"/>
    </row>
    <row r="569" spans="1:27" ht="15">
      <c r="A569" s="15"/>
      <c r="B569" s="36"/>
      <c r="C569" s="15"/>
      <c r="D569" s="37"/>
      <c r="E569" s="15"/>
      <c r="F569" s="15"/>
      <c r="G569" s="15"/>
      <c r="H569" s="15"/>
      <c r="I569" s="15"/>
      <c r="J569" s="39"/>
      <c r="K569" s="40"/>
      <c r="L569" s="8"/>
      <c r="M569" s="8"/>
      <c r="N569" s="8"/>
      <c r="O569" s="8"/>
      <c r="P569" s="8"/>
      <c r="Q569" s="8"/>
      <c r="R569" s="8"/>
      <c r="S569" s="8"/>
      <c r="T569" s="8"/>
      <c r="U569" s="8"/>
      <c r="V569" s="8"/>
      <c r="W569" s="8"/>
      <c r="X569" s="8"/>
      <c r="Y569" s="8"/>
      <c r="Z569" s="8"/>
      <c r="AA569" s="8"/>
    </row>
    <row r="570" spans="1:27" ht="15">
      <c r="A570" s="15"/>
      <c r="B570" s="36"/>
      <c r="C570" s="15"/>
      <c r="D570" s="37"/>
      <c r="E570" s="15"/>
      <c r="F570" s="15"/>
      <c r="G570" s="15"/>
      <c r="H570" s="15"/>
      <c r="I570" s="15"/>
      <c r="J570" s="39"/>
      <c r="K570" s="40"/>
      <c r="L570" s="8"/>
      <c r="M570" s="8"/>
      <c r="N570" s="8"/>
      <c r="O570" s="8"/>
      <c r="P570" s="8"/>
      <c r="Q570" s="8"/>
      <c r="R570" s="8"/>
      <c r="S570" s="8"/>
      <c r="T570" s="8"/>
      <c r="U570" s="8"/>
      <c r="V570" s="8"/>
      <c r="W570" s="8"/>
      <c r="X570" s="8"/>
      <c r="Y570" s="8"/>
      <c r="Z570" s="8"/>
      <c r="AA570" s="8"/>
    </row>
    <row r="571" spans="1:27" ht="15">
      <c r="A571" s="15"/>
      <c r="B571" s="36"/>
      <c r="C571" s="15"/>
      <c r="D571" s="37"/>
      <c r="E571" s="15"/>
      <c r="F571" s="15"/>
      <c r="G571" s="15"/>
      <c r="H571" s="15"/>
      <c r="I571" s="15"/>
      <c r="J571" s="39"/>
      <c r="K571" s="40"/>
      <c r="L571" s="8"/>
      <c r="M571" s="8"/>
      <c r="N571" s="8"/>
      <c r="O571" s="8"/>
      <c r="P571" s="8"/>
      <c r="Q571" s="8"/>
      <c r="R571" s="8"/>
      <c r="S571" s="8"/>
      <c r="T571" s="8"/>
      <c r="U571" s="8"/>
      <c r="V571" s="8"/>
      <c r="W571" s="8"/>
      <c r="X571" s="8"/>
      <c r="Y571" s="8"/>
      <c r="Z571" s="8"/>
      <c r="AA571" s="8"/>
    </row>
    <row r="572" spans="1:27" ht="15">
      <c r="A572" s="15"/>
      <c r="B572" s="36"/>
      <c r="C572" s="15"/>
      <c r="D572" s="37"/>
      <c r="E572" s="15"/>
      <c r="F572" s="15"/>
      <c r="G572" s="15"/>
      <c r="H572" s="15"/>
      <c r="I572" s="15"/>
      <c r="J572" s="39"/>
      <c r="K572" s="40"/>
      <c r="L572" s="8"/>
      <c r="M572" s="8"/>
      <c r="N572" s="8"/>
      <c r="O572" s="8"/>
      <c r="P572" s="8"/>
      <c r="Q572" s="8"/>
      <c r="R572" s="8"/>
      <c r="S572" s="8"/>
      <c r="T572" s="8"/>
      <c r="U572" s="8"/>
      <c r="V572" s="8"/>
      <c r="W572" s="8"/>
      <c r="X572" s="8"/>
      <c r="Y572" s="8"/>
      <c r="Z572" s="8"/>
      <c r="AA572" s="8"/>
    </row>
    <row r="573" spans="1:27" ht="15">
      <c r="A573" s="15"/>
      <c r="B573" s="36"/>
      <c r="C573" s="15"/>
      <c r="D573" s="37"/>
      <c r="E573" s="15"/>
      <c r="F573" s="15"/>
      <c r="G573" s="15"/>
      <c r="H573" s="15"/>
      <c r="I573" s="15"/>
      <c r="J573" s="39"/>
      <c r="K573" s="40"/>
      <c r="L573" s="8"/>
      <c r="M573" s="8"/>
      <c r="N573" s="8"/>
      <c r="O573" s="8"/>
      <c r="P573" s="8"/>
      <c r="Q573" s="8"/>
      <c r="R573" s="8"/>
      <c r="S573" s="8"/>
      <c r="T573" s="8"/>
      <c r="U573" s="8"/>
      <c r="V573" s="8"/>
      <c r="W573" s="8"/>
      <c r="X573" s="8"/>
      <c r="Y573" s="8"/>
      <c r="Z573" s="8"/>
      <c r="AA573" s="8"/>
    </row>
    <row r="574" spans="1:27" ht="15">
      <c r="A574" s="15"/>
      <c r="B574" s="36"/>
      <c r="C574" s="15"/>
      <c r="D574" s="37"/>
      <c r="E574" s="15"/>
      <c r="F574" s="15"/>
      <c r="G574" s="15"/>
      <c r="H574" s="15"/>
      <c r="I574" s="15"/>
      <c r="J574" s="39"/>
      <c r="K574" s="40"/>
      <c r="L574" s="8"/>
      <c r="M574" s="8"/>
      <c r="N574" s="8"/>
      <c r="O574" s="8"/>
      <c r="P574" s="8"/>
      <c r="Q574" s="8"/>
      <c r="R574" s="8"/>
      <c r="S574" s="8"/>
      <c r="T574" s="8"/>
      <c r="U574" s="8"/>
      <c r="V574" s="8"/>
      <c r="W574" s="8"/>
      <c r="X574" s="8"/>
      <c r="Y574" s="8"/>
      <c r="Z574" s="8"/>
      <c r="AA574" s="8"/>
    </row>
    <row r="575" spans="1:27" ht="15">
      <c r="A575" s="15"/>
      <c r="B575" s="36"/>
      <c r="C575" s="15"/>
      <c r="D575" s="37"/>
      <c r="E575" s="15"/>
      <c r="F575" s="15"/>
      <c r="G575" s="15"/>
      <c r="H575" s="15"/>
      <c r="I575" s="15"/>
      <c r="J575" s="39"/>
      <c r="K575" s="40"/>
      <c r="L575" s="8"/>
      <c r="M575" s="8"/>
      <c r="N575" s="8"/>
      <c r="O575" s="8"/>
      <c r="P575" s="8"/>
      <c r="Q575" s="8"/>
      <c r="R575" s="8"/>
      <c r="S575" s="8"/>
      <c r="T575" s="8"/>
      <c r="U575" s="8"/>
      <c r="V575" s="8"/>
      <c r="W575" s="8"/>
      <c r="X575" s="8"/>
      <c r="Y575" s="8"/>
      <c r="Z575" s="8"/>
      <c r="AA575" s="8"/>
    </row>
    <row r="576" spans="1:27" ht="15">
      <c r="A576" s="15"/>
      <c r="B576" s="36"/>
      <c r="C576" s="15"/>
      <c r="D576" s="37"/>
      <c r="E576" s="15"/>
      <c r="F576" s="15"/>
      <c r="G576" s="15"/>
      <c r="H576" s="15"/>
      <c r="I576" s="15"/>
      <c r="J576" s="39"/>
      <c r="K576" s="40"/>
      <c r="L576" s="8"/>
      <c r="M576" s="8"/>
      <c r="N576" s="8"/>
      <c r="O576" s="8"/>
      <c r="P576" s="8"/>
      <c r="Q576" s="8"/>
      <c r="R576" s="8"/>
      <c r="S576" s="8"/>
      <c r="T576" s="8"/>
      <c r="U576" s="8"/>
      <c r="V576" s="8"/>
      <c r="W576" s="8"/>
      <c r="X576" s="8"/>
      <c r="Y576" s="8"/>
      <c r="Z576" s="8"/>
      <c r="AA576" s="8"/>
    </row>
    <row r="577" spans="1:27" ht="15">
      <c r="A577" s="15"/>
      <c r="B577" s="36"/>
      <c r="C577" s="15"/>
      <c r="D577" s="37"/>
      <c r="E577" s="15"/>
      <c r="F577" s="15"/>
      <c r="G577" s="15"/>
      <c r="H577" s="15"/>
      <c r="I577" s="15"/>
      <c r="J577" s="39"/>
      <c r="K577" s="40"/>
      <c r="L577" s="8"/>
      <c r="M577" s="8"/>
      <c r="N577" s="8"/>
      <c r="O577" s="8"/>
      <c r="P577" s="8"/>
      <c r="Q577" s="8"/>
      <c r="R577" s="8"/>
      <c r="S577" s="8"/>
      <c r="T577" s="8"/>
      <c r="U577" s="8"/>
      <c r="V577" s="8"/>
      <c r="W577" s="8"/>
      <c r="X577" s="8"/>
      <c r="Y577" s="8"/>
      <c r="Z577" s="8"/>
      <c r="AA577" s="8"/>
    </row>
    <row r="578" spans="1:27" ht="15">
      <c r="A578" s="15"/>
      <c r="B578" s="36"/>
      <c r="C578" s="15"/>
      <c r="D578" s="37"/>
      <c r="E578" s="15"/>
      <c r="F578" s="15"/>
      <c r="G578" s="15"/>
      <c r="H578" s="15"/>
      <c r="I578" s="15"/>
      <c r="J578" s="39"/>
      <c r="K578" s="40"/>
      <c r="L578" s="8"/>
      <c r="M578" s="8"/>
      <c r="N578" s="8"/>
      <c r="O578" s="8"/>
      <c r="P578" s="8"/>
      <c r="Q578" s="8"/>
      <c r="R578" s="8"/>
      <c r="S578" s="8"/>
      <c r="T578" s="8"/>
      <c r="U578" s="8"/>
      <c r="V578" s="8"/>
      <c r="W578" s="8"/>
      <c r="X578" s="8"/>
      <c r="Y578" s="8"/>
      <c r="Z578" s="8"/>
      <c r="AA578" s="8"/>
    </row>
    <row r="579" spans="1:27" ht="15">
      <c r="A579" s="15"/>
      <c r="B579" s="36"/>
      <c r="C579" s="15"/>
      <c r="D579" s="37"/>
      <c r="E579" s="15"/>
      <c r="F579" s="15"/>
      <c r="G579" s="15"/>
      <c r="H579" s="15"/>
      <c r="I579" s="15"/>
      <c r="J579" s="39"/>
      <c r="K579" s="40"/>
      <c r="L579" s="8"/>
      <c r="M579" s="8"/>
      <c r="N579" s="8"/>
      <c r="O579" s="8"/>
      <c r="P579" s="8"/>
      <c r="Q579" s="8"/>
      <c r="R579" s="8"/>
      <c r="S579" s="8"/>
      <c r="T579" s="8"/>
      <c r="U579" s="8"/>
      <c r="V579" s="8"/>
      <c r="W579" s="8"/>
      <c r="X579" s="8"/>
      <c r="Y579" s="8"/>
      <c r="Z579" s="8"/>
      <c r="AA579" s="8"/>
    </row>
    <row r="580" spans="1:27" ht="15">
      <c r="A580" s="15"/>
      <c r="B580" s="36"/>
      <c r="C580" s="15"/>
      <c r="D580" s="37"/>
      <c r="E580" s="15"/>
      <c r="F580" s="15"/>
      <c r="G580" s="15"/>
      <c r="H580" s="15"/>
      <c r="I580" s="15"/>
      <c r="J580" s="39"/>
      <c r="K580" s="40"/>
      <c r="L580" s="8"/>
      <c r="M580" s="8"/>
      <c r="N580" s="8"/>
      <c r="O580" s="8"/>
      <c r="P580" s="8"/>
      <c r="Q580" s="8"/>
      <c r="R580" s="8"/>
      <c r="S580" s="8"/>
      <c r="T580" s="8"/>
      <c r="U580" s="8"/>
      <c r="V580" s="8"/>
      <c r="W580" s="8"/>
      <c r="X580" s="8"/>
      <c r="Y580" s="8"/>
      <c r="Z580" s="8"/>
      <c r="AA580" s="8"/>
    </row>
    <row r="581" spans="1:27" ht="15">
      <c r="A581" s="15"/>
      <c r="B581" s="36"/>
      <c r="C581" s="15"/>
      <c r="D581" s="37"/>
      <c r="E581" s="15"/>
      <c r="F581" s="15"/>
      <c r="G581" s="15"/>
      <c r="H581" s="15"/>
      <c r="I581" s="15"/>
      <c r="J581" s="39"/>
      <c r="K581" s="40"/>
      <c r="L581" s="8"/>
      <c r="M581" s="8"/>
      <c r="N581" s="8"/>
      <c r="O581" s="8"/>
      <c r="P581" s="8"/>
      <c r="Q581" s="8"/>
      <c r="R581" s="8"/>
      <c r="S581" s="8"/>
      <c r="T581" s="8"/>
      <c r="U581" s="8"/>
      <c r="V581" s="8"/>
      <c r="W581" s="8"/>
      <c r="X581" s="8"/>
      <c r="Y581" s="8"/>
      <c r="Z581" s="8"/>
      <c r="AA581" s="8"/>
    </row>
    <row r="582" spans="1:27" ht="15">
      <c r="A582" s="15"/>
      <c r="B582" s="36"/>
      <c r="C582" s="15"/>
      <c r="D582" s="37"/>
      <c r="E582" s="15"/>
      <c r="F582" s="15"/>
      <c r="G582" s="15"/>
      <c r="H582" s="15"/>
      <c r="I582" s="15"/>
      <c r="J582" s="39"/>
      <c r="K582" s="40"/>
      <c r="L582" s="8"/>
      <c r="M582" s="8"/>
      <c r="N582" s="8"/>
      <c r="O582" s="8"/>
      <c r="P582" s="8"/>
      <c r="Q582" s="8"/>
      <c r="R582" s="8"/>
      <c r="S582" s="8"/>
      <c r="T582" s="8"/>
      <c r="U582" s="8"/>
      <c r="V582" s="8"/>
      <c r="W582" s="8"/>
      <c r="X582" s="8"/>
      <c r="Y582" s="8"/>
      <c r="Z582" s="8"/>
      <c r="AA582" s="8"/>
    </row>
    <row r="583" spans="1:27" ht="15">
      <c r="A583" s="15"/>
      <c r="B583" s="36"/>
      <c r="C583" s="15"/>
      <c r="D583" s="37"/>
      <c r="E583" s="15"/>
      <c r="F583" s="15"/>
      <c r="G583" s="15"/>
      <c r="H583" s="15"/>
      <c r="I583" s="15"/>
      <c r="J583" s="39"/>
      <c r="K583" s="40"/>
      <c r="L583" s="8"/>
      <c r="M583" s="8"/>
      <c r="N583" s="8"/>
      <c r="O583" s="8"/>
      <c r="P583" s="8"/>
      <c r="Q583" s="8"/>
      <c r="R583" s="8"/>
      <c r="S583" s="8"/>
      <c r="T583" s="8"/>
      <c r="U583" s="8"/>
      <c r="V583" s="8"/>
      <c r="W583" s="8"/>
      <c r="X583" s="8"/>
      <c r="Y583" s="8"/>
      <c r="Z583" s="8"/>
      <c r="AA583" s="8"/>
    </row>
    <row r="584" spans="1:27" ht="15">
      <c r="A584" s="15"/>
      <c r="B584" s="36"/>
      <c r="C584" s="15"/>
      <c r="D584" s="37"/>
      <c r="E584" s="15"/>
      <c r="F584" s="15"/>
      <c r="G584" s="15"/>
      <c r="H584" s="15"/>
      <c r="I584" s="15"/>
      <c r="J584" s="39"/>
      <c r="K584" s="40"/>
      <c r="L584" s="8"/>
      <c r="M584" s="8"/>
      <c r="N584" s="8"/>
      <c r="O584" s="8"/>
      <c r="P584" s="8"/>
      <c r="Q584" s="8"/>
      <c r="R584" s="8"/>
      <c r="S584" s="8"/>
      <c r="T584" s="8"/>
      <c r="U584" s="8"/>
      <c r="V584" s="8"/>
      <c r="W584" s="8"/>
      <c r="X584" s="8"/>
      <c r="Y584" s="8"/>
      <c r="Z584" s="8"/>
      <c r="AA584" s="8"/>
    </row>
    <row r="585" spans="1:27" ht="15">
      <c r="A585" s="15"/>
      <c r="B585" s="36"/>
      <c r="C585" s="15"/>
      <c r="D585" s="37"/>
      <c r="E585" s="15"/>
      <c r="F585" s="15"/>
      <c r="G585" s="15"/>
      <c r="H585" s="15"/>
      <c r="I585" s="15"/>
      <c r="J585" s="39"/>
      <c r="K585" s="40"/>
      <c r="L585" s="8"/>
      <c r="M585" s="8"/>
      <c r="N585" s="8"/>
      <c r="O585" s="8"/>
      <c r="P585" s="8"/>
      <c r="Q585" s="8"/>
      <c r="R585" s="8"/>
      <c r="S585" s="8"/>
      <c r="T585" s="8"/>
      <c r="U585" s="8"/>
      <c r="V585" s="8"/>
      <c r="W585" s="8"/>
      <c r="X585" s="8"/>
      <c r="Y585" s="8"/>
      <c r="Z585" s="8"/>
      <c r="AA585" s="8"/>
    </row>
    <row r="586" spans="1:27" ht="15">
      <c r="A586" s="15"/>
      <c r="B586" s="36"/>
      <c r="C586" s="15"/>
      <c r="D586" s="37"/>
      <c r="E586" s="15"/>
      <c r="F586" s="15"/>
      <c r="G586" s="15"/>
      <c r="H586" s="15"/>
      <c r="I586" s="15"/>
      <c r="J586" s="39"/>
      <c r="K586" s="40"/>
      <c r="L586" s="8"/>
      <c r="M586" s="8"/>
      <c r="N586" s="8"/>
      <c r="O586" s="8"/>
      <c r="P586" s="8"/>
      <c r="Q586" s="8"/>
      <c r="R586" s="8"/>
      <c r="S586" s="8"/>
      <c r="T586" s="8"/>
      <c r="U586" s="8"/>
      <c r="V586" s="8"/>
      <c r="W586" s="8"/>
      <c r="X586" s="8"/>
      <c r="Y586" s="8"/>
      <c r="Z586" s="8"/>
      <c r="AA586" s="8"/>
    </row>
    <row r="587" spans="1:27" ht="15">
      <c r="A587" s="15"/>
      <c r="B587" s="36"/>
      <c r="C587" s="15"/>
      <c r="D587" s="37"/>
      <c r="E587" s="15"/>
      <c r="F587" s="15"/>
      <c r="G587" s="15"/>
      <c r="H587" s="15"/>
      <c r="I587" s="15"/>
      <c r="J587" s="39"/>
      <c r="K587" s="40"/>
      <c r="L587" s="8"/>
      <c r="M587" s="8"/>
      <c r="N587" s="8"/>
      <c r="O587" s="8"/>
      <c r="P587" s="8"/>
      <c r="Q587" s="8"/>
      <c r="R587" s="8"/>
      <c r="S587" s="8"/>
      <c r="T587" s="8"/>
      <c r="U587" s="8"/>
      <c r="V587" s="8"/>
      <c r="W587" s="8"/>
      <c r="X587" s="8"/>
      <c r="Y587" s="8"/>
      <c r="Z587" s="8"/>
      <c r="AA587" s="8"/>
    </row>
    <row r="588" spans="1:27" ht="15">
      <c r="A588" s="15"/>
      <c r="B588" s="36"/>
      <c r="C588" s="15"/>
      <c r="D588" s="37"/>
      <c r="E588" s="15"/>
      <c r="F588" s="15"/>
      <c r="G588" s="15"/>
      <c r="H588" s="15"/>
      <c r="I588" s="15"/>
      <c r="J588" s="39"/>
      <c r="K588" s="40"/>
      <c r="L588" s="8"/>
      <c r="M588" s="8"/>
      <c r="N588" s="8"/>
      <c r="O588" s="8"/>
      <c r="P588" s="8"/>
      <c r="Q588" s="8"/>
      <c r="R588" s="8"/>
      <c r="S588" s="8"/>
      <c r="T588" s="8"/>
      <c r="U588" s="8"/>
      <c r="V588" s="8"/>
      <c r="W588" s="8"/>
      <c r="X588" s="8"/>
      <c r="Y588" s="8"/>
      <c r="Z588" s="8"/>
      <c r="AA588" s="8"/>
    </row>
    <row r="589" spans="1:27" ht="15">
      <c r="A589" s="15"/>
      <c r="B589" s="36"/>
      <c r="C589" s="15"/>
      <c r="D589" s="37"/>
      <c r="E589" s="15"/>
      <c r="F589" s="15"/>
      <c r="G589" s="15"/>
      <c r="H589" s="15"/>
      <c r="I589" s="15"/>
      <c r="J589" s="39"/>
      <c r="K589" s="40"/>
      <c r="L589" s="8"/>
      <c r="M589" s="8"/>
      <c r="N589" s="8"/>
      <c r="O589" s="8"/>
      <c r="P589" s="8"/>
      <c r="Q589" s="8"/>
      <c r="R589" s="8"/>
      <c r="S589" s="8"/>
      <c r="T589" s="8"/>
      <c r="U589" s="8"/>
      <c r="V589" s="8"/>
      <c r="W589" s="8"/>
      <c r="X589" s="8"/>
      <c r="Y589" s="8"/>
      <c r="Z589" s="8"/>
      <c r="AA589" s="8"/>
    </row>
    <row r="590" spans="1:27" ht="15">
      <c r="A590" s="15"/>
      <c r="B590" s="36"/>
      <c r="C590" s="15"/>
      <c r="D590" s="37"/>
      <c r="E590" s="15"/>
      <c r="F590" s="15"/>
      <c r="G590" s="15"/>
      <c r="H590" s="15"/>
      <c r="I590" s="15"/>
      <c r="J590" s="39"/>
      <c r="K590" s="40"/>
      <c r="L590" s="8"/>
      <c r="M590" s="8"/>
      <c r="N590" s="8"/>
      <c r="O590" s="8"/>
      <c r="P590" s="8"/>
      <c r="Q590" s="8"/>
      <c r="R590" s="8"/>
      <c r="S590" s="8"/>
      <c r="T590" s="8"/>
      <c r="U590" s="8"/>
      <c r="V590" s="8"/>
      <c r="W590" s="8"/>
      <c r="X590" s="8"/>
      <c r="Y590" s="8"/>
      <c r="Z590" s="8"/>
      <c r="AA590" s="8"/>
    </row>
    <row r="591" spans="1:27" ht="15">
      <c r="A591" s="15"/>
      <c r="B591" s="36"/>
      <c r="C591" s="15"/>
      <c r="D591" s="37"/>
      <c r="E591" s="15"/>
      <c r="F591" s="15"/>
      <c r="G591" s="15"/>
      <c r="H591" s="15"/>
      <c r="I591" s="15"/>
      <c r="J591" s="39"/>
      <c r="K591" s="40"/>
      <c r="L591" s="8"/>
      <c r="M591" s="8"/>
      <c r="N591" s="8"/>
      <c r="O591" s="8"/>
      <c r="P591" s="8"/>
      <c r="Q591" s="8"/>
      <c r="R591" s="8"/>
      <c r="S591" s="8"/>
      <c r="T591" s="8"/>
      <c r="U591" s="8"/>
      <c r="V591" s="8"/>
      <c r="W591" s="8"/>
      <c r="X591" s="8"/>
      <c r="Y591" s="8"/>
      <c r="Z591" s="8"/>
      <c r="AA591" s="8"/>
    </row>
    <row r="592" spans="1:27" ht="15">
      <c r="A592" s="15"/>
      <c r="B592" s="36"/>
      <c r="C592" s="15"/>
      <c r="D592" s="37"/>
      <c r="E592" s="15"/>
      <c r="F592" s="15"/>
      <c r="G592" s="15"/>
      <c r="H592" s="15"/>
      <c r="I592" s="15"/>
      <c r="J592" s="39"/>
      <c r="K592" s="40"/>
      <c r="L592" s="8"/>
      <c r="M592" s="8"/>
      <c r="N592" s="8"/>
      <c r="O592" s="8"/>
      <c r="P592" s="8"/>
      <c r="Q592" s="8"/>
      <c r="R592" s="8"/>
      <c r="S592" s="8"/>
      <c r="T592" s="8"/>
      <c r="U592" s="8"/>
      <c r="V592" s="8"/>
      <c r="W592" s="8"/>
      <c r="X592" s="8"/>
      <c r="Y592" s="8"/>
      <c r="Z592" s="8"/>
      <c r="AA592" s="8"/>
    </row>
    <row r="593" spans="1:27" ht="15">
      <c r="A593" s="15"/>
      <c r="B593" s="36"/>
      <c r="C593" s="15"/>
      <c r="D593" s="37"/>
      <c r="E593" s="15"/>
      <c r="F593" s="15"/>
      <c r="G593" s="15"/>
      <c r="H593" s="15"/>
      <c r="I593" s="15"/>
      <c r="J593" s="39"/>
      <c r="K593" s="40"/>
      <c r="L593" s="8"/>
      <c r="M593" s="8"/>
      <c r="N593" s="8"/>
      <c r="O593" s="8"/>
      <c r="P593" s="8"/>
      <c r="Q593" s="8"/>
      <c r="R593" s="8"/>
      <c r="S593" s="8"/>
      <c r="T593" s="8"/>
      <c r="U593" s="8"/>
      <c r="V593" s="8"/>
      <c r="W593" s="8"/>
      <c r="X593" s="8"/>
      <c r="Y593" s="8"/>
      <c r="Z593" s="8"/>
      <c r="AA593" s="8"/>
    </row>
    <row r="594" spans="1:27" ht="15">
      <c r="A594" s="15"/>
      <c r="B594" s="36"/>
      <c r="C594" s="15"/>
      <c r="D594" s="37"/>
      <c r="E594" s="15"/>
      <c r="F594" s="15"/>
      <c r="G594" s="15"/>
      <c r="H594" s="15"/>
      <c r="I594" s="15"/>
      <c r="J594" s="39"/>
      <c r="K594" s="40"/>
      <c r="L594" s="8"/>
      <c r="M594" s="8"/>
      <c r="N594" s="8"/>
      <c r="O594" s="8"/>
      <c r="P594" s="8"/>
      <c r="Q594" s="8"/>
      <c r="R594" s="8"/>
      <c r="S594" s="8"/>
      <c r="T594" s="8"/>
      <c r="U594" s="8"/>
      <c r="V594" s="8"/>
      <c r="W594" s="8"/>
      <c r="X594" s="8"/>
      <c r="Y594" s="8"/>
      <c r="Z594" s="8"/>
      <c r="AA594" s="8"/>
    </row>
    <row r="595" spans="1:27" ht="15">
      <c r="A595" s="15"/>
      <c r="B595" s="36"/>
      <c r="C595" s="15"/>
      <c r="D595" s="37"/>
      <c r="E595" s="15"/>
      <c r="F595" s="15"/>
      <c r="G595" s="15"/>
      <c r="H595" s="15"/>
      <c r="I595" s="15"/>
      <c r="J595" s="39"/>
      <c r="K595" s="40"/>
      <c r="L595" s="8"/>
      <c r="M595" s="8"/>
      <c r="N595" s="8"/>
      <c r="O595" s="8"/>
      <c r="P595" s="8"/>
      <c r="Q595" s="8"/>
      <c r="R595" s="8"/>
      <c r="S595" s="8"/>
      <c r="T595" s="8"/>
      <c r="U595" s="8"/>
      <c r="V595" s="8"/>
      <c r="W595" s="8"/>
      <c r="X595" s="8"/>
      <c r="Y595" s="8"/>
      <c r="Z595" s="8"/>
      <c r="AA595" s="8"/>
    </row>
    <row r="596" spans="1:27" ht="15">
      <c r="A596" s="15"/>
      <c r="B596" s="36"/>
      <c r="C596" s="15"/>
      <c r="D596" s="37"/>
      <c r="E596" s="15"/>
      <c r="F596" s="15"/>
      <c r="G596" s="15"/>
      <c r="H596" s="15"/>
      <c r="I596" s="15"/>
      <c r="J596" s="39"/>
      <c r="K596" s="40"/>
      <c r="L596" s="8"/>
      <c r="M596" s="8"/>
      <c r="N596" s="8"/>
      <c r="O596" s="8"/>
      <c r="P596" s="8"/>
      <c r="Q596" s="8"/>
      <c r="R596" s="8"/>
      <c r="S596" s="8"/>
      <c r="T596" s="8"/>
      <c r="U596" s="8"/>
      <c r="V596" s="8"/>
      <c r="W596" s="8"/>
      <c r="X596" s="8"/>
      <c r="Y596" s="8"/>
      <c r="Z596" s="8"/>
      <c r="AA596" s="8"/>
    </row>
    <row r="597" spans="1:27" ht="15">
      <c r="A597" s="15"/>
      <c r="B597" s="36"/>
      <c r="C597" s="15"/>
      <c r="D597" s="37"/>
      <c r="E597" s="15"/>
      <c r="F597" s="15"/>
      <c r="G597" s="15"/>
      <c r="H597" s="15"/>
      <c r="I597" s="15"/>
      <c r="J597" s="39"/>
      <c r="K597" s="40"/>
      <c r="L597" s="8"/>
      <c r="M597" s="8"/>
      <c r="N597" s="8"/>
      <c r="O597" s="8"/>
      <c r="P597" s="8"/>
      <c r="Q597" s="8"/>
      <c r="R597" s="8"/>
      <c r="S597" s="8"/>
      <c r="T597" s="8"/>
      <c r="U597" s="8"/>
      <c r="V597" s="8"/>
      <c r="W597" s="8"/>
      <c r="X597" s="8"/>
      <c r="Y597" s="8"/>
      <c r="Z597" s="8"/>
      <c r="AA597" s="8"/>
    </row>
    <row r="598" spans="1:27" ht="15">
      <c r="A598" s="15"/>
      <c r="B598" s="36"/>
      <c r="C598" s="15"/>
      <c r="D598" s="37"/>
      <c r="E598" s="15"/>
      <c r="F598" s="15"/>
      <c r="G598" s="15"/>
      <c r="H598" s="15"/>
      <c r="I598" s="15"/>
      <c r="J598" s="39"/>
      <c r="K598" s="40"/>
      <c r="L598" s="8"/>
      <c r="M598" s="8"/>
      <c r="N598" s="8"/>
      <c r="O598" s="8"/>
      <c r="P598" s="8"/>
      <c r="Q598" s="8"/>
      <c r="R598" s="8"/>
      <c r="S598" s="8"/>
      <c r="T598" s="8"/>
      <c r="U598" s="8"/>
      <c r="V598" s="8"/>
      <c r="W598" s="8"/>
      <c r="X598" s="8"/>
      <c r="Y598" s="8"/>
      <c r="Z598" s="8"/>
      <c r="AA598" s="8"/>
    </row>
    <row r="599" spans="1:27" ht="15">
      <c r="A599" s="15"/>
      <c r="B599" s="36"/>
      <c r="C599" s="15"/>
      <c r="D599" s="37"/>
      <c r="E599" s="15"/>
      <c r="F599" s="15"/>
      <c r="G599" s="15"/>
      <c r="H599" s="15"/>
      <c r="I599" s="15"/>
      <c r="J599" s="39"/>
      <c r="K599" s="40"/>
      <c r="L599" s="8"/>
      <c r="M599" s="8"/>
      <c r="N599" s="8"/>
      <c r="O599" s="8"/>
      <c r="P599" s="8"/>
      <c r="Q599" s="8"/>
      <c r="R599" s="8"/>
      <c r="S599" s="8"/>
      <c r="T599" s="8"/>
      <c r="U599" s="8"/>
      <c r="V599" s="8"/>
      <c r="W599" s="8"/>
      <c r="X599" s="8"/>
      <c r="Y599" s="8"/>
      <c r="Z599" s="8"/>
      <c r="AA599" s="8"/>
    </row>
    <row r="600" spans="1:27" ht="15">
      <c r="A600" s="15"/>
      <c r="B600" s="36"/>
      <c r="C600" s="15"/>
      <c r="D600" s="37"/>
      <c r="E600" s="15"/>
      <c r="F600" s="15"/>
      <c r="G600" s="15"/>
      <c r="H600" s="15"/>
      <c r="I600" s="15"/>
      <c r="J600" s="39"/>
      <c r="K600" s="40"/>
      <c r="L600" s="8"/>
      <c r="M600" s="8"/>
      <c r="N600" s="8"/>
      <c r="O600" s="8"/>
      <c r="P600" s="8"/>
      <c r="Q600" s="8"/>
      <c r="R600" s="8"/>
      <c r="S600" s="8"/>
      <c r="T600" s="8"/>
      <c r="U600" s="8"/>
      <c r="V600" s="8"/>
      <c r="W600" s="8"/>
      <c r="X600" s="8"/>
      <c r="Y600" s="8"/>
      <c r="Z600" s="8"/>
      <c r="AA600" s="8"/>
    </row>
    <row r="601" spans="1:27" ht="15">
      <c r="A601" s="15"/>
      <c r="B601" s="36"/>
      <c r="C601" s="15"/>
      <c r="D601" s="37"/>
      <c r="E601" s="15"/>
      <c r="F601" s="15"/>
      <c r="G601" s="15"/>
      <c r="H601" s="15"/>
      <c r="I601" s="15"/>
      <c r="J601" s="39"/>
      <c r="K601" s="40"/>
      <c r="L601" s="8"/>
      <c r="M601" s="8"/>
      <c r="N601" s="8"/>
      <c r="O601" s="8"/>
      <c r="P601" s="8"/>
      <c r="Q601" s="8"/>
      <c r="R601" s="8"/>
      <c r="S601" s="8"/>
      <c r="T601" s="8"/>
      <c r="U601" s="8"/>
      <c r="V601" s="8"/>
      <c r="W601" s="8"/>
      <c r="X601" s="8"/>
      <c r="Y601" s="8"/>
      <c r="Z601" s="8"/>
      <c r="AA601" s="8"/>
    </row>
    <row r="602" spans="1:27" ht="15">
      <c r="A602" s="15"/>
      <c r="B602" s="36"/>
      <c r="C602" s="15"/>
      <c r="D602" s="37"/>
      <c r="E602" s="15"/>
      <c r="F602" s="15"/>
      <c r="G602" s="15"/>
      <c r="H602" s="15"/>
      <c r="I602" s="15"/>
      <c r="J602" s="39"/>
      <c r="K602" s="40"/>
      <c r="L602" s="8"/>
      <c r="M602" s="8"/>
      <c r="N602" s="8"/>
      <c r="O602" s="8"/>
      <c r="P602" s="8"/>
      <c r="Q602" s="8"/>
      <c r="R602" s="8"/>
      <c r="S602" s="8"/>
      <c r="T602" s="8"/>
      <c r="U602" s="8"/>
      <c r="V602" s="8"/>
      <c r="W602" s="8"/>
      <c r="X602" s="8"/>
      <c r="Y602" s="8"/>
      <c r="Z602" s="8"/>
      <c r="AA602" s="8"/>
    </row>
    <row r="603" spans="1:27" ht="15">
      <c r="A603" s="15"/>
      <c r="B603" s="36"/>
      <c r="C603" s="15"/>
      <c r="D603" s="37"/>
      <c r="E603" s="15"/>
      <c r="F603" s="15"/>
      <c r="G603" s="15"/>
      <c r="H603" s="15"/>
      <c r="I603" s="15"/>
      <c r="J603" s="39"/>
      <c r="K603" s="40"/>
      <c r="L603" s="8"/>
      <c r="M603" s="8"/>
      <c r="N603" s="8"/>
      <c r="O603" s="8"/>
      <c r="P603" s="8"/>
      <c r="Q603" s="8"/>
      <c r="R603" s="8"/>
      <c r="S603" s="8"/>
      <c r="T603" s="8"/>
      <c r="U603" s="8"/>
      <c r="V603" s="8"/>
      <c r="W603" s="8"/>
      <c r="X603" s="8"/>
      <c r="Y603" s="8"/>
      <c r="Z603" s="8"/>
      <c r="AA603" s="8"/>
    </row>
    <row r="604" spans="1:27" ht="15">
      <c r="A604" s="15"/>
      <c r="B604" s="36"/>
      <c r="C604" s="15"/>
      <c r="D604" s="37"/>
      <c r="E604" s="15"/>
      <c r="F604" s="15"/>
      <c r="G604" s="15"/>
      <c r="H604" s="15"/>
      <c r="I604" s="15"/>
      <c r="J604" s="39"/>
      <c r="K604" s="40"/>
      <c r="L604" s="8"/>
      <c r="M604" s="8"/>
      <c r="N604" s="8"/>
      <c r="O604" s="8"/>
      <c r="P604" s="8"/>
      <c r="Q604" s="8"/>
      <c r="R604" s="8"/>
      <c r="S604" s="8"/>
      <c r="T604" s="8"/>
      <c r="U604" s="8"/>
      <c r="V604" s="8"/>
      <c r="W604" s="8"/>
      <c r="X604" s="8"/>
      <c r="Y604" s="8"/>
      <c r="Z604" s="8"/>
      <c r="AA604" s="8"/>
    </row>
    <row r="605" spans="1:27" ht="15">
      <c r="A605" s="15"/>
      <c r="B605" s="36"/>
      <c r="C605" s="15"/>
      <c r="D605" s="37"/>
      <c r="E605" s="15"/>
      <c r="F605" s="15"/>
      <c r="G605" s="15"/>
      <c r="H605" s="15"/>
      <c r="I605" s="15"/>
      <c r="J605" s="39"/>
      <c r="K605" s="40"/>
      <c r="L605" s="8"/>
      <c r="M605" s="8"/>
      <c r="N605" s="8"/>
      <c r="O605" s="8"/>
      <c r="P605" s="8"/>
      <c r="Q605" s="8"/>
      <c r="R605" s="8"/>
      <c r="S605" s="8"/>
      <c r="T605" s="8"/>
      <c r="U605" s="8"/>
      <c r="V605" s="8"/>
      <c r="W605" s="8"/>
      <c r="X605" s="8"/>
      <c r="Y605" s="8"/>
      <c r="Z605" s="8"/>
      <c r="AA605" s="8"/>
    </row>
    <row r="606" spans="1:27" ht="15">
      <c r="A606" s="15"/>
      <c r="B606" s="36"/>
      <c r="C606" s="15"/>
      <c r="D606" s="37"/>
      <c r="E606" s="15"/>
      <c r="F606" s="15"/>
      <c r="G606" s="15"/>
      <c r="H606" s="15"/>
      <c r="I606" s="15"/>
      <c r="J606" s="39"/>
      <c r="K606" s="40"/>
      <c r="L606" s="8"/>
      <c r="M606" s="8"/>
      <c r="N606" s="8"/>
      <c r="O606" s="8"/>
      <c r="P606" s="8"/>
      <c r="Q606" s="8"/>
      <c r="R606" s="8"/>
      <c r="S606" s="8"/>
      <c r="T606" s="8"/>
      <c r="U606" s="8"/>
      <c r="V606" s="8"/>
      <c r="W606" s="8"/>
      <c r="X606" s="8"/>
      <c r="Y606" s="8"/>
      <c r="Z606" s="8"/>
      <c r="AA606" s="8"/>
    </row>
    <row r="607" spans="1:27" ht="15">
      <c r="A607" s="15"/>
      <c r="B607" s="36"/>
      <c r="C607" s="15"/>
      <c r="D607" s="37"/>
      <c r="E607" s="15"/>
      <c r="F607" s="15"/>
      <c r="G607" s="15"/>
      <c r="H607" s="15"/>
      <c r="I607" s="15"/>
      <c r="J607" s="39"/>
      <c r="K607" s="40"/>
      <c r="L607" s="8"/>
      <c r="M607" s="8"/>
      <c r="N607" s="8"/>
      <c r="O607" s="8"/>
      <c r="P607" s="8"/>
      <c r="Q607" s="8"/>
      <c r="R607" s="8"/>
      <c r="S607" s="8"/>
      <c r="T607" s="8"/>
      <c r="U607" s="8"/>
      <c r="V607" s="8"/>
      <c r="W607" s="8"/>
      <c r="X607" s="8"/>
      <c r="Y607" s="8"/>
      <c r="Z607" s="8"/>
      <c r="AA607" s="8"/>
    </row>
    <row r="608" spans="1:27" ht="15">
      <c r="A608" s="15"/>
      <c r="B608" s="36"/>
      <c r="C608" s="15"/>
      <c r="D608" s="37"/>
      <c r="E608" s="15"/>
      <c r="F608" s="15"/>
      <c r="G608" s="15"/>
      <c r="H608" s="15"/>
      <c r="I608" s="15"/>
      <c r="J608" s="39"/>
      <c r="K608" s="40"/>
      <c r="L608" s="8"/>
      <c r="M608" s="8"/>
      <c r="N608" s="8"/>
      <c r="O608" s="8"/>
      <c r="P608" s="8"/>
      <c r="Q608" s="8"/>
      <c r="R608" s="8"/>
      <c r="S608" s="8"/>
      <c r="T608" s="8"/>
      <c r="U608" s="8"/>
      <c r="V608" s="8"/>
      <c r="W608" s="8"/>
      <c r="X608" s="8"/>
      <c r="Y608" s="8"/>
      <c r="Z608" s="8"/>
      <c r="AA608" s="8"/>
    </row>
    <row r="609" spans="1:27" ht="15">
      <c r="A609" s="15"/>
      <c r="B609" s="36"/>
      <c r="C609" s="15"/>
      <c r="D609" s="37"/>
      <c r="E609" s="15"/>
      <c r="F609" s="15"/>
      <c r="G609" s="15"/>
      <c r="H609" s="15"/>
      <c r="I609" s="15"/>
      <c r="J609" s="39"/>
      <c r="K609" s="40"/>
      <c r="L609" s="8"/>
      <c r="M609" s="8"/>
      <c r="N609" s="8"/>
      <c r="O609" s="8"/>
      <c r="P609" s="8"/>
      <c r="Q609" s="8"/>
      <c r="R609" s="8"/>
      <c r="S609" s="8"/>
      <c r="T609" s="8"/>
      <c r="U609" s="8"/>
      <c r="V609" s="8"/>
      <c r="W609" s="8"/>
      <c r="X609" s="8"/>
      <c r="Y609" s="8"/>
      <c r="Z609" s="8"/>
      <c r="AA609" s="8"/>
    </row>
    <row r="610" spans="1:27" ht="15">
      <c r="A610" s="15"/>
      <c r="B610" s="36"/>
      <c r="C610" s="15"/>
      <c r="D610" s="37"/>
      <c r="E610" s="15"/>
      <c r="F610" s="15"/>
      <c r="G610" s="15"/>
      <c r="H610" s="15"/>
      <c r="I610" s="15"/>
      <c r="J610" s="39"/>
      <c r="K610" s="40"/>
      <c r="L610" s="8"/>
      <c r="M610" s="8"/>
      <c r="N610" s="8"/>
      <c r="O610" s="8"/>
      <c r="P610" s="8"/>
      <c r="Q610" s="8"/>
      <c r="R610" s="8"/>
      <c r="S610" s="8"/>
      <c r="T610" s="8"/>
      <c r="U610" s="8"/>
      <c r="V610" s="8"/>
      <c r="W610" s="8"/>
      <c r="X610" s="8"/>
      <c r="Y610" s="8"/>
      <c r="Z610" s="8"/>
      <c r="AA610" s="8"/>
    </row>
    <row r="611" spans="1:27" ht="15">
      <c r="A611" s="15"/>
      <c r="B611" s="36"/>
      <c r="C611" s="15"/>
      <c r="D611" s="37"/>
      <c r="E611" s="15"/>
      <c r="F611" s="15"/>
      <c r="G611" s="15"/>
      <c r="H611" s="15"/>
      <c r="I611" s="15"/>
      <c r="J611" s="39"/>
      <c r="K611" s="40"/>
      <c r="L611" s="8"/>
      <c r="M611" s="8"/>
      <c r="N611" s="8"/>
      <c r="O611" s="8"/>
      <c r="P611" s="8"/>
      <c r="Q611" s="8"/>
      <c r="R611" s="8"/>
      <c r="S611" s="8"/>
      <c r="T611" s="8"/>
      <c r="U611" s="8"/>
      <c r="V611" s="8"/>
      <c r="W611" s="8"/>
      <c r="X611" s="8"/>
      <c r="Y611" s="8"/>
      <c r="Z611" s="8"/>
      <c r="AA611" s="8"/>
    </row>
    <row r="612" spans="1:27" ht="15">
      <c r="A612" s="15"/>
      <c r="B612" s="36"/>
      <c r="C612" s="15"/>
      <c r="D612" s="37"/>
      <c r="E612" s="15"/>
      <c r="F612" s="15"/>
      <c r="G612" s="15"/>
      <c r="H612" s="15"/>
      <c r="I612" s="15"/>
      <c r="J612" s="39"/>
      <c r="K612" s="40"/>
      <c r="L612" s="8"/>
      <c r="M612" s="8"/>
      <c r="N612" s="8"/>
      <c r="O612" s="8"/>
      <c r="P612" s="8"/>
      <c r="Q612" s="8"/>
      <c r="R612" s="8"/>
      <c r="S612" s="8"/>
      <c r="T612" s="8"/>
      <c r="U612" s="8"/>
      <c r="V612" s="8"/>
      <c r="W612" s="8"/>
      <c r="X612" s="8"/>
      <c r="Y612" s="8"/>
      <c r="Z612" s="8"/>
      <c r="AA612" s="8"/>
    </row>
    <row r="613" spans="1:27" ht="15">
      <c r="A613" s="15"/>
      <c r="B613" s="36"/>
      <c r="C613" s="15"/>
      <c r="D613" s="37"/>
      <c r="E613" s="15"/>
      <c r="F613" s="15"/>
      <c r="G613" s="15"/>
      <c r="H613" s="15"/>
      <c r="I613" s="15"/>
      <c r="J613" s="39"/>
      <c r="K613" s="40"/>
      <c r="L613" s="8"/>
      <c r="M613" s="8"/>
      <c r="N613" s="8"/>
      <c r="O613" s="8"/>
      <c r="P613" s="8"/>
      <c r="Q613" s="8"/>
      <c r="R613" s="8"/>
      <c r="S613" s="8"/>
      <c r="T613" s="8"/>
      <c r="U613" s="8"/>
      <c r="V613" s="8"/>
      <c r="W613" s="8"/>
      <c r="X613" s="8"/>
      <c r="Y613" s="8"/>
      <c r="Z613" s="8"/>
      <c r="AA613" s="8"/>
    </row>
    <row r="614" spans="1:27" ht="15">
      <c r="A614" s="15"/>
      <c r="B614" s="36"/>
      <c r="C614" s="15"/>
      <c r="D614" s="37"/>
      <c r="E614" s="15"/>
      <c r="F614" s="15"/>
      <c r="G614" s="15"/>
      <c r="H614" s="15"/>
      <c r="I614" s="15"/>
      <c r="J614" s="39"/>
      <c r="K614" s="40"/>
      <c r="L614" s="8"/>
      <c r="M614" s="8"/>
      <c r="N614" s="8"/>
      <c r="O614" s="8"/>
      <c r="P614" s="8"/>
      <c r="Q614" s="8"/>
      <c r="R614" s="8"/>
      <c r="S614" s="8"/>
      <c r="T614" s="8"/>
      <c r="U614" s="8"/>
      <c r="V614" s="8"/>
      <c r="W614" s="8"/>
      <c r="X614" s="8"/>
      <c r="Y614" s="8"/>
      <c r="Z614" s="8"/>
      <c r="AA614" s="8"/>
    </row>
    <row r="615" spans="1:27" ht="15">
      <c r="A615" s="15"/>
      <c r="B615" s="36"/>
      <c r="C615" s="15"/>
      <c r="D615" s="37"/>
      <c r="E615" s="15"/>
      <c r="F615" s="15"/>
      <c r="G615" s="15"/>
      <c r="H615" s="15"/>
      <c r="I615" s="15"/>
      <c r="J615" s="39"/>
      <c r="K615" s="40"/>
      <c r="L615" s="8"/>
      <c r="M615" s="8"/>
      <c r="N615" s="8"/>
      <c r="O615" s="8"/>
      <c r="P615" s="8"/>
      <c r="Q615" s="8"/>
      <c r="R615" s="8"/>
      <c r="S615" s="8"/>
      <c r="T615" s="8"/>
      <c r="U615" s="8"/>
      <c r="V615" s="8"/>
      <c r="W615" s="8"/>
      <c r="X615" s="8"/>
      <c r="Y615" s="8"/>
      <c r="Z615" s="8"/>
      <c r="AA615" s="8"/>
    </row>
    <row r="616" spans="1:27" ht="15">
      <c r="A616" s="15"/>
      <c r="B616" s="36"/>
      <c r="C616" s="15"/>
      <c r="D616" s="37"/>
      <c r="E616" s="15"/>
      <c r="F616" s="15"/>
      <c r="G616" s="15"/>
      <c r="H616" s="15"/>
      <c r="I616" s="15"/>
      <c r="J616" s="39"/>
      <c r="K616" s="40"/>
      <c r="L616" s="8"/>
      <c r="M616" s="8"/>
      <c r="N616" s="8"/>
      <c r="O616" s="8"/>
      <c r="P616" s="8"/>
      <c r="Q616" s="8"/>
      <c r="R616" s="8"/>
      <c r="S616" s="8"/>
      <c r="T616" s="8"/>
      <c r="U616" s="8"/>
      <c r="V616" s="8"/>
      <c r="W616" s="8"/>
      <c r="X616" s="8"/>
      <c r="Y616" s="8"/>
      <c r="Z616" s="8"/>
      <c r="AA616" s="8"/>
    </row>
    <row r="617" spans="1:27" ht="15">
      <c r="A617" s="15"/>
      <c r="B617" s="36"/>
      <c r="C617" s="15"/>
      <c r="D617" s="37"/>
      <c r="E617" s="15"/>
      <c r="F617" s="15"/>
      <c r="G617" s="15"/>
      <c r="H617" s="15"/>
      <c r="I617" s="15"/>
      <c r="J617" s="39"/>
      <c r="K617" s="40"/>
      <c r="L617" s="8"/>
      <c r="M617" s="8"/>
      <c r="N617" s="8"/>
      <c r="O617" s="8"/>
      <c r="P617" s="8"/>
      <c r="Q617" s="8"/>
      <c r="R617" s="8"/>
      <c r="S617" s="8"/>
      <c r="T617" s="8"/>
      <c r="U617" s="8"/>
      <c r="V617" s="8"/>
      <c r="W617" s="8"/>
      <c r="X617" s="8"/>
      <c r="Y617" s="8"/>
      <c r="Z617" s="8"/>
      <c r="AA617" s="8"/>
    </row>
    <row r="618" spans="1:27" ht="15">
      <c r="A618" s="15"/>
      <c r="B618" s="36"/>
      <c r="C618" s="15"/>
      <c r="D618" s="37"/>
      <c r="E618" s="15"/>
      <c r="F618" s="15"/>
      <c r="G618" s="15"/>
      <c r="H618" s="15"/>
      <c r="I618" s="15"/>
      <c r="J618" s="39"/>
      <c r="K618" s="40"/>
      <c r="L618" s="8"/>
      <c r="M618" s="8"/>
      <c r="N618" s="8"/>
      <c r="O618" s="8"/>
      <c r="P618" s="8"/>
      <c r="Q618" s="8"/>
      <c r="R618" s="8"/>
      <c r="S618" s="8"/>
      <c r="T618" s="8"/>
      <c r="U618" s="8"/>
      <c r="V618" s="8"/>
      <c r="W618" s="8"/>
      <c r="X618" s="8"/>
      <c r="Y618" s="8"/>
      <c r="Z618" s="8"/>
      <c r="AA618" s="8"/>
    </row>
    <row r="619" spans="1:27" ht="15">
      <c r="A619" s="15"/>
      <c r="B619" s="36"/>
      <c r="C619" s="15"/>
      <c r="D619" s="37"/>
      <c r="E619" s="15"/>
      <c r="F619" s="15"/>
      <c r="G619" s="15"/>
      <c r="H619" s="15"/>
      <c r="I619" s="15"/>
      <c r="J619" s="39"/>
      <c r="K619" s="40"/>
      <c r="L619" s="8"/>
      <c r="M619" s="8"/>
      <c r="N619" s="8"/>
      <c r="O619" s="8"/>
      <c r="P619" s="8"/>
      <c r="Q619" s="8"/>
      <c r="R619" s="8"/>
      <c r="S619" s="8"/>
      <c r="T619" s="8"/>
      <c r="U619" s="8"/>
      <c r="V619" s="8"/>
      <c r="W619" s="8"/>
      <c r="X619" s="8"/>
      <c r="Y619" s="8"/>
      <c r="Z619" s="8"/>
      <c r="AA619" s="8"/>
    </row>
    <row r="620" spans="1:27" ht="15">
      <c r="A620" s="15"/>
      <c r="B620" s="36"/>
      <c r="C620" s="15"/>
      <c r="D620" s="37"/>
      <c r="E620" s="15"/>
      <c r="F620" s="15"/>
      <c r="G620" s="15"/>
      <c r="H620" s="15"/>
      <c r="I620" s="15"/>
      <c r="J620" s="39"/>
      <c r="K620" s="40"/>
      <c r="L620" s="8"/>
      <c r="M620" s="8"/>
      <c r="N620" s="8"/>
      <c r="O620" s="8"/>
      <c r="P620" s="8"/>
      <c r="Q620" s="8"/>
      <c r="R620" s="8"/>
      <c r="S620" s="8"/>
      <c r="T620" s="8"/>
      <c r="U620" s="8"/>
      <c r="V620" s="8"/>
      <c r="W620" s="8"/>
      <c r="X620" s="8"/>
      <c r="Y620" s="8"/>
      <c r="Z620" s="8"/>
      <c r="AA620" s="8"/>
    </row>
    <row r="621" spans="1:27" ht="15">
      <c r="A621" s="15"/>
      <c r="B621" s="36"/>
      <c r="C621" s="15"/>
      <c r="D621" s="37"/>
      <c r="E621" s="15"/>
      <c r="F621" s="15"/>
      <c r="G621" s="15"/>
      <c r="H621" s="15"/>
      <c r="I621" s="15"/>
      <c r="J621" s="39"/>
      <c r="K621" s="40"/>
      <c r="L621" s="8"/>
      <c r="M621" s="8"/>
      <c r="N621" s="8"/>
      <c r="O621" s="8"/>
      <c r="P621" s="8"/>
      <c r="Q621" s="8"/>
      <c r="R621" s="8"/>
      <c r="S621" s="8"/>
      <c r="T621" s="8"/>
      <c r="U621" s="8"/>
      <c r="V621" s="8"/>
      <c r="W621" s="8"/>
      <c r="X621" s="8"/>
      <c r="Y621" s="8"/>
      <c r="Z621" s="8"/>
      <c r="AA621" s="8"/>
    </row>
    <row r="622" spans="1:27" ht="15">
      <c r="A622" s="15"/>
      <c r="B622" s="36"/>
      <c r="C622" s="15"/>
      <c r="D622" s="37"/>
      <c r="E622" s="15"/>
      <c r="F622" s="15"/>
      <c r="G622" s="15"/>
      <c r="H622" s="15"/>
      <c r="I622" s="15"/>
      <c r="J622" s="39"/>
      <c r="K622" s="40"/>
      <c r="L622" s="8"/>
      <c r="M622" s="8"/>
      <c r="N622" s="8"/>
      <c r="O622" s="8"/>
      <c r="P622" s="8"/>
      <c r="Q622" s="8"/>
      <c r="R622" s="8"/>
      <c r="S622" s="8"/>
      <c r="T622" s="8"/>
      <c r="U622" s="8"/>
      <c r="V622" s="8"/>
      <c r="W622" s="8"/>
      <c r="X622" s="8"/>
      <c r="Y622" s="8"/>
      <c r="Z622" s="8"/>
      <c r="AA622" s="8"/>
    </row>
    <row r="623" spans="1:27" ht="15">
      <c r="A623" s="15"/>
      <c r="B623" s="36"/>
      <c r="C623" s="15"/>
      <c r="D623" s="37"/>
      <c r="E623" s="15"/>
      <c r="F623" s="15"/>
      <c r="G623" s="15"/>
      <c r="H623" s="15"/>
      <c r="I623" s="15"/>
      <c r="J623" s="39"/>
      <c r="K623" s="40"/>
      <c r="L623" s="8"/>
      <c r="M623" s="8"/>
      <c r="N623" s="8"/>
      <c r="O623" s="8"/>
      <c r="P623" s="8"/>
      <c r="Q623" s="8"/>
      <c r="R623" s="8"/>
      <c r="S623" s="8"/>
      <c r="T623" s="8"/>
      <c r="U623" s="8"/>
      <c r="V623" s="8"/>
      <c r="W623" s="8"/>
      <c r="X623" s="8"/>
      <c r="Y623" s="8"/>
      <c r="Z623" s="8"/>
      <c r="AA623" s="8"/>
    </row>
    <row r="624" spans="1:27" ht="15">
      <c r="A624" s="15"/>
      <c r="B624" s="36"/>
      <c r="C624" s="15"/>
      <c r="D624" s="37"/>
      <c r="E624" s="15"/>
      <c r="F624" s="15"/>
      <c r="G624" s="15"/>
      <c r="H624" s="15"/>
      <c r="I624" s="15"/>
      <c r="J624" s="39"/>
      <c r="K624" s="40"/>
      <c r="L624" s="8"/>
      <c r="M624" s="8"/>
      <c r="N624" s="8"/>
      <c r="O624" s="8"/>
      <c r="P624" s="8"/>
      <c r="Q624" s="8"/>
      <c r="R624" s="8"/>
      <c r="S624" s="8"/>
      <c r="T624" s="8"/>
      <c r="U624" s="8"/>
      <c r="V624" s="8"/>
      <c r="W624" s="8"/>
      <c r="X624" s="8"/>
      <c r="Y624" s="8"/>
      <c r="Z624" s="8"/>
      <c r="AA624" s="8"/>
    </row>
    <row r="625" spans="1:27" ht="15">
      <c r="A625" s="15"/>
      <c r="B625" s="36"/>
      <c r="C625" s="15"/>
      <c r="D625" s="37"/>
      <c r="E625" s="15"/>
      <c r="F625" s="15"/>
      <c r="G625" s="15"/>
      <c r="H625" s="15"/>
      <c r="I625" s="15"/>
      <c r="J625" s="39"/>
      <c r="K625" s="40"/>
      <c r="L625" s="8"/>
      <c r="M625" s="8"/>
      <c r="N625" s="8"/>
      <c r="O625" s="8"/>
      <c r="P625" s="8"/>
      <c r="Q625" s="8"/>
      <c r="R625" s="8"/>
      <c r="S625" s="8"/>
      <c r="T625" s="8"/>
      <c r="U625" s="8"/>
      <c r="V625" s="8"/>
      <c r="W625" s="8"/>
      <c r="X625" s="8"/>
      <c r="Y625" s="8"/>
      <c r="Z625" s="8"/>
      <c r="AA625" s="8"/>
    </row>
    <row r="626" spans="1:27" ht="15">
      <c r="A626" s="15"/>
      <c r="B626" s="36"/>
      <c r="C626" s="15"/>
      <c r="D626" s="37"/>
      <c r="E626" s="15"/>
      <c r="F626" s="15"/>
      <c r="G626" s="15"/>
      <c r="H626" s="15"/>
      <c r="I626" s="15"/>
      <c r="J626" s="39"/>
      <c r="K626" s="40"/>
      <c r="L626" s="8"/>
      <c r="M626" s="8"/>
      <c r="N626" s="8"/>
      <c r="O626" s="8"/>
      <c r="P626" s="8"/>
      <c r="Q626" s="8"/>
      <c r="R626" s="8"/>
      <c r="S626" s="8"/>
      <c r="T626" s="8"/>
      <c r="U626" s="8"/>
      <c r="V626" s="8"/>
      <c r="W626" s="8"/>
      <c r="X626" s="8"/>
      <c r="Y626" s="8"/>
      <c r="Z626" s="8"/>
      <c r="AA626" s="8"/>
    </row>
    <row r="627" spans="1:27" ht="15">
      <c r="A627" s="15"/>
      <c r="B627" s="36"/>
      <c r="C627" s="15"/>
      <c r="D627" s="37"/>
      <c r="E627" s="15"/>
      <c r="F627" s="15"/>
      <c r="G627" s="15"/>
      <c r="H627" s="15"/>
      <c r="I627" s="15"/>
      <c r="J627" s="39"/>
      <c r="K627" s="40"/>
      <c r="L627" s="8"/>
      <c r="M627" s="8"/>
      <c r="N627" s="8"/>
      <c r="O627" s="8"/>
      <c r="P627" s="8"/>
      <c r="Q627" s="8"/>
      <c r="R627" s="8"/>
      <c r="S627" s="8"/>
      <c r="T627" s="8"/>
      <c r="U627" s="8"/>
      <c r="V627" s="8"/>
      <c r="W627" s="8"/>
      <c r="X627" s="8"/>
      <c r="Y627" s="8"/>
      <c r="Z627" s="8"/>
      <c r="AA627" s="8"/>
    </row>
    <row r="628" spans="1:27" ht="15">
      <c r="A628" s="15"/>
      <c r="B628" s="36"/>
      <c r="C628" s="15"/>
      <c r="D628" s="37"/>
      <c r="E628" s="15"/>
      <c r="F628" s="15"/>
      <c r="G628" s="15"/>
      <c r="H628" s="15"/>
      <c r="I628" s="15"/>
      <c r="J628" s="39"/>
      <c r="K628" s="40"/>
      <c r="L628" s="8"/>
      <c r="M628" s="8"/>
      <c r="N628" s="8"/>
      <c r="O628" s="8"/>
      <c r="P628" s="8"/>
      <c r="Q628" s="8"/>
      <c r="R628" s="8"/>
      <c r="S628" s="8"/>
      <c r="T628" s="8"/>
      <c r="U628" s="8"/>
      <c r="V628" s="8"/>
      <c r="W628" s="8"/>
      <c r="X628" s="8"/>
      <c r="Y628" s="8"/>
      <c r="Z628" s="8"/>
      <c r="AA628" s="8"/>
    </row>
    <row r="629" spans="1:27" ht="15">
      <c r="A629" s="15"/>
      <c r="B629" s="36"/>
      <c r="C629" s="15"/>
      <c r="D629" s="37"/>
      <c r="E629" s="15"/>
      <c r="F629" s="15"/>
      <c r="G629" s="15"/>
      <c r="H629" s="15"/>
      <c r="I629" s="15"/>
      <c r="J629" s="39"/>
      <c r="K629" s="40"/>
      <c r="L629" s="8"/>
      <c r="M629" s="8"/>
      <c r="N629" s="8"/>
      <c r="O629" s="8"/>
      <c r="P629" s="8"/>
      <c r="Q629" s="8"/>
      <c r="R629" s="8"/>
      <c r="S629" s="8"/>
      <c r="T629" s="8"/>
      <c r="U629" s="8"/>
      <c r="V629" s="8"/>
      <c r="W629" s="8"/>
      <c r="X629" s="8"/>
      <c r="Y629" s="8"/>
      <c r="Z629" s="8"/>
      <c r="AA629" s="8"/>
    </row>
    <row r="630" spans="1:27" ht="15">
      <c r="A630" s="15"/>
      <c r="B630" s="36"/>
      <c r="C630" s="15"/>
      <c r="D630" s="37"/>
      <c r="E630" s="15"/>
      <c r="F630" s="15"/>
      <c r="G630" s="15"/>
      <c r="H630" s="15"/>
      <c r="I630" s="15"/>
      <c r="J630" s="39"/>
      <c r="K630" s="40"/>
      <c r="L630" s="8"/>
      <c r="M630" s="8"/>
      <c r="N630" s="8"/>
      <c r="O630" s="8"/>
      <c r="P630" s="8"/>
      <c r="Q630" s="8"/>
      <c r="R630" s="8"/>
      <c r="S630" s="8"/>
      <c r="T630" s="8"/>
      <c r="U630" s="8"/>
      <c r="V630" s="8"/>
      <c r="W630" s="8"/>
      <c r="X630" s="8"/>
      <c r="Y630" s="8"/>
      <c r="Z630" s="8"/>
      <c r="AA630" s="8"/>
    </row>
    <row r="631" spans="1:27" ht="15">
      <c r="A631" s="15"/>
      <c r="B631" s="36"/>
      <c r="C631" s="15"/>
      <c r="D631" s="37"/>
      <c r="E631" s="15"/>
      <c r="F631" s="15"/>
      <c r="G631" s="15"/>
      <c r="H631" s="15"/>
      <c r="I631" s="15"/>
      <c r="J631" s="39"/>
      <c r="K631" s="40"/>
      <c r="L631" s="8"/>
      <c r="M631" s="8"/>
      <c r="N631" s="8"/>
      <c r="O631" s="8"/>
      <c r="P631" s="8"/>
      <c r="Q631" s="8"/>
      <c r="R631" s="8"/>
      <c r="S631" s="8"/>
      <c r="T631" s="8"/>
      <c r="U631" s="8"/>
      <c r="V631" s="8"/>
      <c r="W631" s="8"/>
      <c r="X631" s="8"/>
      <c r="Y631" s="8"/>
      <c r="Z631" s="8"/>
      <c r="AA631" s="8"/>
    </row>
    <row r="632" spans="1:27" ht="15">
      <c r="A632" s="15"/>
      <c r="B632" s="36"/>
      <c r="C632" s="15"/>
      <c r="D632" s="37"/>
      <c r="E632" s="15"/>
      <c r="F632" s="15"/>
      <c r="G632" s="15"/>
      <c r="H632" s="15"/>
      <c r="I632" s="15"/>
      <c r="J632" s="39"/>
      <c r="K632" s="40"/>
      <c r="L632" s="8"/>
      <c r="M632" s="8"/>
      <c r="N632" s="8"/>
      <c r="O632" s="8"/>
      <c r="P632" s="8"/>
      <c r="Q632" s="8"/>
      <c r="R632" s="8"/>
      <c r="S632" s="8"/>
      <c r="T632" s="8"/>
      <c r="U632" s="8"/>
      <c r="V632" s="8"/>
      <c r="W632" s="8"/>
      <c r="X632" s="8"/>
      <c r="Y632" s="8"/>
      <c r="Z632" s="8"/>
      <c r="AA632" s="8"/>
    </row>
    <row r="633" spans="1:27" ht="15">
      <c r="A633" s="15"/>
      <c r="B633" s="36"/>
      <c r="C633" s="15"/>
      <c r="D633" s="37"/>
      <c r="E633" s="15"/>
      <c r="F633" s="15"/>
      <c r="G633" s="15"/>
      <c r="H633" s="15"/>
      <c r="I633" s="15"/>
      <c r="J633" s="39"/>
      <c r="K633" s="40"/>
      <c r="L633" s="8"/>
      <c r="M633" s="8"/>
      <c r="N633" s="8"/>
      <c r="O633" s="8"/>
      <c r="P633" s="8"/>
      <c r="Q633" s="8"/>
      <c r="R633" s="8"/>
      <c r="S633" s="8"/>
      <c r="T633" s="8"/>
      <c r="U633" s="8"/>
      <c r="V633" s="8"/>
      <c r="W633" s="8"/>
      <c r="X633" s="8"/>
      <c r="Y633" s="8"/>
      <c r="Z633" s="8"/>
      <c r="AA633" s="8"/>
    </row>
    <row r="634" spans="1:27" ht="15">
      <c r="A634" s="15"/>
      <c r="B634" s="36"/>
      <c r="C634" s="15"/>
      <c r="D634" s="37"/>
      <c r="E634" s="15"/>
      <c r="F634" s="15"/>
      <c r="G634" s="15"/>
      <c r="H634" s="15"/>
      <c r="I634" s="15"/>
      <c r="J634" s="39"/>
      <c r="K634" s="40"/>
      <c r="L634" s="8"/>
      <c r="M634" s="8"/>
      <c r="N634" s="8"/>
      <c r="O634" s="8"/>
      <c r="P634" s="8"/>
      <c r="Q634" s="8"/>
      <c r="R634" s="8"/>
      <c r="S634" s="8"/>
      <c r="T634" s="8"/>
      <c r="U634" s="8"/>
      <c r="V634" s="8"/>
      <c r="W634" s="8"/>
      <c r="X634" s="8"/>
      <c r="Y634" s="8"/>
      <c r="Z634" s="8"/>
      <c r="AA634" s="8"/>
    </row>
    <row r="635" spans="1:27" ht="15">
      <c r="A635" s="15"/>
      <c r="B635" s="36"/>
      <c r="C635" s="15"/>
      <c r="D635" s="37"/>
      <c r="E635" s="15"/>
      <c r="F635" s="15"/>
      <c r="G635" s="15"/>
      <c r="H635" s="15"/>
      <c r="I635" s="15"/>
      <c r="J635" s="39"/>
      <c r="K635" s="40"/>
      <c r="L635" s="8"/>
      <c r="M635" s="8"/>
      <c r="N635" s="8"/>
      <c r="O635" s="8"/>
      <c r="P635" s="8"/>
      <c r="Q635" s="8"/>
      <c r="R635" s="8"/>
      <c r="S635" s="8"/>
      <c r="T635" s="8"/>
      <c r="U635" s="8"/>
      <c r="V635" s="8"/>
      <c r="W635" s="8"/>
      <c r="X635" s="8"/>
      <c r="Y635" s="8"/>
      <c r="Z635" s="8"/>
      <c r="AA635" s="8"/>
    </row>
    <row r="636" spans="1:27" ht="15">
      <c r="A636" s="15"/>
      <c r="B636" s="36"/>
      <c r="C636" s="15"/>
      <c r="D636" s="37"/>
      <c r="E636" s="15"/>
      <c r="F636" s="15"/>
      <c r="G636" s="15"/>
      <c r="H636" s="15"/>
      <c r="I636" s="15"/>
      <c r="J636" s="39"/>
      <c r="K636" s="40"/>
      <c r="L636" s="8"/>
      <c r="M636" s="8"/>
      <c r="N636" s="8"/>
      <c r="O636" s="8"/>
      <c r="P636" s="8"/>
      <c r="Q636" s="8"/>
      <c r="R636" s="8"/>
      <c r="S636" s="8"/>
      <c r="T636" s="8"/>
      <c r="U636" s="8"/>
      <c r="V636" s="8"/>
      <c r="W636" s="8"/>
      <c r="X636" s="8"/>
      <c r="Y636" s="8"/>
      <c r="Z636" s="8"/>
      <c r="AA636" s="8"/>
    </row>
    <row r="637" spans="1:27" ht="15">
      <c r="A637" s="15"/>
      <c r="B637" s="36"/>
      <c r="C637" s="15"/>
      <c r="D637" s="37"/>
      <c r="E637" s="15"/>
      <c r="F637" s="15"/>
      <c r="G637" s="15"/>
      <c r="H637" s="15"/>
      <c r="I637" s="15"/>
      <c r="J637" s="39"/>
      <c r="K637" s="40"/>
      <c r="L637" s="8"/>
      <c r="M637" s="8"/>
      <c r="N637" s="8"/>
      <c r="O637" s="8"/>
      <c r="P637" s="8"/>
      <c r="Q637" s="8"/>
      <c r="R637" s="8"/>
      <c r="S637" s="8"/>
      <c r="T637" s="8"/>
      <c r="U637" s="8"/>
      <c r="V637" s="8"/>
      <c r="W637" s="8"/>
      <c r="X637" s="8"/>
      <c r="Y637" s="8"/>
      <c r="Z637" s="8"/>
      <c r="AA637" s="8"/>
    </row>
    <row r="638" spans="1:27" ht="15">
      <c r="A638" s="15"/>
      <c r="B638" s="36"/>
      <c r="C638" s="15"/>
      <c r="D638" s="37"/>
      <c r="E638" s="15"/>
      <c r="F638" s="15"/>
      <c r="G638" s="15"/>
      <c r="H638" s="15"/>
      <c r="I638" s="15"/>
      <c r="J638" s="39"/>
      <c r="K638" s="40"/>
      <c r="L638" s="8"/>
      <c r="M638" s="8"/>
      <c r="N638" s="8"/>
      <c r="O638" s="8"/>
      <c r="P638" s="8"/>
      <c r="Q638" s="8"/>
      <c r="R638" s="8"/>
      <c r="S638" s="8"/>
      <c r="T638" s="8"/>
      <c r="U638" s="8"/>
      <c r="V638" s="8"/>
      <c r="W638" s="8"/>
      <c r="X638" s="8"/>
      <c r="Y638" s="8"/>
      <c r="Z638" s="8"/>
      <c r="AA638" s="8"/>
    </row>
    <row r="639" spans="1:27" ht="15">
      <c r="A639" s="15"/>
      <c r="B639" s="36"/>
      <c r="C639" s="15"/>
      <c r="D639" s="37"/>
      <c r="E639" s="15"/>
      <c r="F639" s="15"/>
      <c r="G639" s="15"/>
      <c r="H639" s="15"/>
      <c r="I639" s="15"/>
      <c r="J639" s="39"/>
      <c r="K639" s="40"/>
      <c r="L639" s="8"/>
      <c r="M639" s="8"/>
      <c r="N639" s="8"/>
      <c r="O639" s="8"/>
      <c r="P639" s="8"/>
      <c r="Q639" s="8"/>
      <c r="R639" s="8"/>
      <c r="S639" s="8"/>
      <c r="T639" s="8"/>
      <c r="U639" s="8"/>
      <c r="V639" s="8"/>
      <c r="W639" s="8"/>
      <c r="X639" s="8"/>
      <c r="Y639" s="8"/>
      <c r="Z639" s="8"/>
      <c r="AA639" s="8"/>
    </row>
    <row r="640" spans="1:27" ht="15">
      <c r="A640" s="15"/>
      <c r="B640" s="36"/>
      <c r="C640" s="15"/>
      <c r="D640" s="37"/>
      <c r="E640" s="15"/>
      <c r="F640" s="15"/>
      <c r="G640" s="15"/>
      <c r="H640" s="15"/>
      <c r="I640" s="15"/>
      <c r="J640" s="39"/>
      <c r="K640" s="40"/>
      <c r="L640" s="8"/>
      <c r="M640" s="8"/>
      <c r="N640" s="8"/>
      <c r="O640" s="8"/>
      <c r="P640" s="8"/>
      <c r="Q640" s="8"/>
      <c r="R640" s="8"/>
      <c r="S640" s="8"/>
      <c r="T640" s="8"/>
      <c r="U640" s="8"/>
      <c r="V640" s="8"/>
      <c r="W640" s="8"/>
      <c r="X640" s="8"/>
      <c r="Y640" s="8"/>
      <c r="Z640" s="8"/>
      <c r="AA640" s="8"/>
    </row>
    <row r="641" spans="1:27" ht="15">
      <c r="A641" s="15"/>
      <c r="B641" s="36"/>
      <c r="C641" s="15"/>
      <c r="D641" s="37"/>
      <c r="E641" s="15"/>
      <c r="F641" s="15"/>
      <c r="G641" s="15"/>
      <c r="H641" s="15"/>
      <c r="I641" s="15"/>
      <c r="J641" s="39"/>
      <c r="K641" s="40"/>
      <c r="L641" s="8"/>
      <c r="M641" s="8"/>
      <c r="N641" s="8"/>
      <c r="O641" s="8"/>
      <c r="P641" s="8"/>
      <c r="Q641" s="8"/>
      <c r="R641" s="8"/>
      <c r="S641" s="8"/>
      <c r="T641" s="8"/>
      <c r="U641" s="8"/>
      <c r="V641" s="8"/>
      <c r="W641" s="8"/>
      <c r="X641" s="8"/>
      <c r="Y641" s="8"/>
      <c r="Z641" s="8"/>
      <c r="AA641" s="8"/>
    </row>
    <row r="642" spans="1:27" ht="15">
      <c r="A642" s="15"/>
      <c r="B642" s="36"/>
      <c r="C642" s="15"/>
      <c r="D642" s="37"/>
      <c r="E642" s="15"/>
      <c r="F642" s="15"/>
      <c r="G642" s="15"/>
      <c r="H642" s="15"/>
      <c r="I642" s="15"/>
      <c r="J642" s="39"/>
      <c r="K642" s="40"/>
      <c r="L642" s="8"/>
      <c r="M642" s="8"/>
      <c r="N642" s="8"/>
      <c r="O642" s="8"/>
      <c r="P642" s="8"/>
      <c r="Q642" s="8"/>
      <c r="R642" s="8"/>
      <c r="S642" s="8"/>
      <c r="T642" s="8"/>
      <c r="U642" s="8"/>
      <c r="V642" s="8"/>
      <c r="W642" s="8"/>
      <c r="X642" s="8"/>
      <c r="Y642" s="8"/>
      <c r="Z642" s="8"/>
      <c r="AA642" s="8"/>
    </row>
    <row r="643" spans="1:27" ht="15">
      <c r="A643" s="15"/>
      <c r="B643" s="36"/>
      <c r="C643" s="15"/>
      <c r="D643" s="37"/>
      <c r="E643" s="15"/>
      <c r="F643" s="15"/>
      <c r="G643" s="15"/>
      <c r="H643" s="15"/>
      <c r="I643" s="15"/>
      <c r="J643" s="39"/>
      <c r="K643" s="40"/>
      <c r="L643" s="8"/>
      <c r="M643" s="8"/>
      <c r="N643" s="8"/>
      <c r="O643" s="8"/>
      <c r="P643" s="8"/>
      <c r="Q643" s="8"/>
      <c r="R643" s="8"/>
      <c r="S643" s="8"/>
      <c r="T643" s="8"/>
      <c r="U643" s="8"/>
      <c r="V643" s="8"/>
      <c r="W643" s="8"/>
      <c r="X643" s="8"/>
      <c r="Y643" s="8"/>
      <c r="Z643" s="8"/>
      <c r="AA643" s="8"/>
    </row>
    <row r="644" spans="1:27" ht="15">
      <c r="A644" s="15"/>
      <c r="B644" s="36"/>
      <c r="C644" s="15"/>
      <c r="D644" s="37"/>
      <c r="E644" s="15"/>
      <c r="F644" s="15"/>
      <c r="G644" s="15"/>
      <c r="H644" s="15"/>
      <c r="I644" s="15"/>
      <c r="J644" s="39"/>
      <c r="K644" s="40"/>
      <c r="L644" s="8"/>
      <c r="M644" s="8"/>
      <c r="N644" s="8"/>
      <c r="O644" s="8"/>
      <c r="P644" s="8"/>
      <c r="Q644" s="8"/>
      <c r="R644" s="8"/>
      <c r="S644" s="8"/>
      <c r="T644" s="8"/>
      <c r="U644" s="8"/>
      <c r="V644" s="8"/>
      <c r="W644" s="8"/>
      <c r="X644" s="8"/>
      <c r="Y644" s="8"/>
      <c r="Z644" s="8"/>
      <c r="AA644" s="8"/>
    </row>
    <row r="645" spans="1:27" ht="15">
      <c r="A645" s="15"/>
      <c r="B645" s="36"/>
      <c r="C645" s="15"/>
      <c r="D645" s="37"/>
      <c r="E645" s="15"/>
      <c r="F645" s="15"/>
      <c r="G645" s="15"/>
      <c r="H645" s="15"/>
      <c r="I645" s="15"/>
      <c r="J645" s="39"/>
      <c r="K645" s="40"/>
      <c r="L645" s="8"/>
      <c r="M645" s="8"/>
      <c r="N645" s="8"/>
      <c r="O645" s="8"/>
      <c r="P645" s="8"/>
      <c r="Q645" s="8"/>
      <c r="R645" s="8"/>
      <c r="S645" s="8"/>
      <c r="T645" s="8"/>
      <c r="U645" s="8"/>
      <c r="V645" s="8"/>
      <c r="W645" s="8"/>
      <c r="X645" s="8"/>
      <c r="Y645" s="8"/>
      <c r="Z645" s="8"/>
      <c r="AA645" s="8"/>
    </row>
    <row r="646" spans="1:27" ht="15">
      <c r="A646" s="15"/>
      <c r="B646" s="36"/>
      <c r="C646" s="15"/>
      <c r="D646" s="37"/>
      <c r="E646" s="15"/>
      <c r="F646" s="15"/>
      <c r="G646" s="15"/>
      <c r="H646" s="15"/>
      <c r="I646" s="15"/>
      <c r="J646" s="39"/>
      <c r="K646" s="40"/>
      <c r="L646" s="8"/>
      <c r="M646" s="8"/>
      <c r="N646" s="8"/>
      <c r="O646" s="8"/>
      <c r="P646" s="8"/>
      <c r="Q646" s="8"/>
      <c r="R646" s="8"/>
      <c r="S646" s="8"/>
      <c r="T646" s="8"/>
      <c r="U646" s="8"/>
      <c r="V646" s="8"/>
      <c r="W646" s="8"/>
      <c r="X646" s="8"/>
      <c r="Y646" s="8"/>
      <c r="Z646" s="8"/>
      <c r="AA646" s="8"/>
    </row>
    <row r="647" spans="1:27" ht="15">
      <c r="A647" s="15"/>
      <c r="B647" s="36"/>
      <c r="C647" s="15"/>
      <c r="D647" s="37"/>
      <c r="E647" s="15"/>
      <c r="F647" s="15"/>
      <c r="G647" s="15"/>
      <c r="H647" s="15"/>
      <c r="I647" s="15"/>
      <c r="J647" s="39"/>
      <c r="K647" s="40"/>
      <c r="L647" s="8"/>
      <c r="M647" s="8"/>
      <c r="N647" s="8"/>
      <c r="O647" s="8"/>
      <c r="P647" s="8"/>
      <c r="Q647" s="8"/>
      <c r="R647" s="8"/>
      <c r="S647" s="8"/>
      <c r="T647" s="8"/>
      <c r="U647" s="8"/>
      <c r="V647" s="8"/>
      <c r="W647" s="8"/>
      <c r="X647" s="8"/>
      <c r="Y647" s="8"/>
      <c r="Z647" s="8"/>
      <c r="AA647" s="8"/>
    </row>
    <row r="648" spans="1:27" ht="15">
      <c r="A648" s="15"/>
      <c r="B648" s="36"/>
      <c r="C648" s="15"/>
      <c r="D648" s="37"/>
      <c r="E648" s="15"/>
      <c r="F648" s="15"/>
      <c r="G648" s="15"/>
      <c r="H648" s="15"/>
      <c r="I648" s="15"/>
      <c r="J648" s="39"/>
      <c r="K648" s="40"/>
      <c r="L648" s="8"/>
      <c r="M648" s="8"/>
      <c r="N648" s="8"/>
      <c r="O648" s="8"/>
      <c r="P648" s="8"/>
      <c r="Q648" s="8"/>
      <c r="R648" s="8"/>
      <c r="S648" s="8"/>
      <c r="T648" s="8"/>
      <c r="U648" s="8"/>
      <c r="V648" s="8"/>
      <c r="W648" s="8"/>
      <c r="X648" s="8"/>
      <c r="Y648" s="8"/>
      <c r="Z648" s="8"/>
      <c r="AA648" s="8"/>
    </row>
    <row r="649" spans="1:27" ht="15">
      <c r="A649" s="15"/>
      <c r="B649" s="36"/>
      <c r="C649" s="15"/>
      <c r="D649" s="37"/>
      <c r="E649" s="15"/>
      <c r="F649" s="15"/>
      <c r="G649" s="15"/>
      <c r="H649" s="15"/>
      <c r="I649" s="15"/>
      <c r="J649" s="39"/>
      <c r="K649" s="40"/>
      <c r="L649" s="8"/>
      <c r="M649" s="8"/>
      <c r="N649" s="8"/>
      <c r="O649" s="8"/>
      <c r="P649" s="8"/>
      <c r="Q649" s="8"/>
      <c r="R649" s="8"/>
      <c r="S649" s="8"/>
      <c r="T649" s="8"/>
      <c r="U649" s="8"/>
      <c r="V649" s="8"/>
      <c r="W649" s="8"/>
      <c r="X649" s="8"/>
      <c r="Y649" s="8"/>
      <c r="Z649" s="8"/>
      <c r="AA649" s="8"/>
    </row>
    <row r="650" spans="1:27" ht="15">
      <c r="A650" s="15"/>
      <c r="B650" s="36"/>
      <c r="C650" s="15"/>
      <c r="D650" s="37"/>
      <c r="E650" s="15"/>
      <c r="F650" s="15"/>
      <c r="G650" s="15"/>
      <c r="H650" s="15"/>
      <c r="I650" s="15"/>
      <c r="J650" s="39"/>
      <c r="K650" s="40"/>
      <c r="L650" s="8"/>
      <c r="M650" s="8"/>
      <c r="N650" s="8"/>
      <c r="O650" s="8"/>
      <c r="P650" s="8"/>
      <c r="Q650" s="8"/>
      <c r="R650" s="8"/>
      <c r="S650" s="8"/>
      <c r="T650" s="8"/>
      <c r="U650" s="8"/>
      <c r="V650" s="8"/>
      <c r="W650" s="8"/>
      <c r="X650" s="8"/>
      <c r="Y650" s="8"/>
      <c r="Z650" s="8"/>
      <c r="AA650" s="8"/>
    </row>
    <row r="651" spans="1:27" ht="15">
      <c r="A651" s="15"/>
      <c r="B651" s="36"/>
      <c r="C651" s="15"/>
      <c r="D651" s="37"/>
      <c r="E651" s="15"/>
      <c r="F651" s="15"/>
      <c r="G651" s="15"/>
      <c r="H651" s="15"/>
      <c r="I651" s="15"/>
      <c r="J651" s="39"/>
      <c r="K651" s="40"/>
      <c r="L651" s="8"/>
      <c r="M651" s="8"/>
      <c r="N651" s="8"/>
      <c r="O651" s="8"/>
      <c r="P651" s="8"/>
      <c r="Q651" s="8"/>
      <c r="R651" s="8"/>
      <c r="S651" s="8"/>
      <c r="T651" s="8"/>
      <c r="U651" s="8"/>
      <c r="V651" s="8"/>
      <c r="W651" s="8"/>
      <c r="X651" s="8"/>
      <c r="Y651" s="8"/>
      <c r="Z651" s="8"/>
      <c r="AA651" s="8"/>
    </row>
    <row r="652" spans="1:27" ht="15">
      <c r="A652" s="15"/>
      <c r="B652" s="36"/>
      <c r="C652" s="15"/>
      <c r="D652" s="37"/>
      <c r="E652" s="15"/>
      <c r="F652" s="15"/>
      <c r="G652" s="15"/>
      <c r="H652" s="15"/>
      <c r="I652" s="15"/>
      <c r="J652" s="39"/>
      <c r="K652" s="40"/>
      <c r="L652" s="8"/>
      <c r="M652" s="8"/>
      <c r="N652" s="8"/>
      <c r="O652" s="8"/>
      <c r="P652" s="8"/>
      <c r="Q652" s="8"/>
      <c r="R652" s="8"/>
      <c r="S652" s="8"/>
      <c r="T652" s="8"/>
      <c r="U652" s="8"/>
      <c r="V652" s="8"/>
      <c r="W652" s="8"/>
      <c r="X652" s="8"/>
      <c r="Y652" s="8"/>
      <c r="Z652" s="8"/>
      <c r="AA652" s="8"/>
    </row>
    <row r="653" spans="1:27" ht="15">
      <c r="A653" s="15"/>
      <c r="B653" s="36"/>
      <c r="C653" s="15"/>
      <c r="D653" s="37"/>
      <c r="E653" s="15"/>
      <c r="F653" s="15"/>
      <c r="G653" s="15"/>
      <c r="H653" s="15"/>
      <c r="I653" s="15"/>
      <c r="J653" s="39"/>
      <c r="K653" s="40"/>
      <c r="L653" s="8"/>
      <c r="M653" s="8"/>
      <c r="N653" s="8"/>
      <c r="O653" s="8"/>
      <c r="P653" s="8"/>
      <c r="Q653" s="8"/>
      <c r="R653" s="8"/>
      <c r="S653" s="8"/>
      <c r="T653" s="8"/>
      <c r="U653" s="8"/>
      <c r="V653" s="8"/>
      <c r="W653" s="8"/>
      <c r="X653" s="8"/>
      <c r="Y653" s="8"/>
      <c r="Z653" s="8"/>
      <c r="AA653" s="8"/>
    </row>
    <row r="654" spans="1:27" ht="15">
      <c r="A654" s="15"/>
      <c r="B654" s="36"/>
      <c r="C654" s="15"/>
      <c r="D654" s="37"/>
      <c r="E654" s="15"/>
      <c r="F654" s="15"/>
      <c r="G654" s="15"/>
      <c r="H654" s="15"/>
      <c r="I654" s="15"/>
      <c r="J654" s="39"/>
      <c r="K654" s="40"/>
      <c r="L654" s="8"/>
      <c r="M654" s="8"/>
      <c r="N654" s="8"/>
      <c r="O654" s="8"/>
      <c r="P654" s="8"/>
      <c r="Q654" s="8"/>
      <c r="R654" s="8"/>
      <c r="S654" s="8"/>
      <c r="T654" s="8"/>
      <c r="U654" s="8"/>
      <c r="V654" s="8"/>
      <c r="W654" s="8"/>
      <c r="X654" s="8"/>
      <c r="Y654" s="8"/>
      <c r="Z654" s="8"/>
      <c r="AA654" s="8"/>
    </row>
    <row r="655" spans="1:27" ht="15">
      <c r="A655" s="15"/>
      <c r="B655" s="36"/>
      <c r="C655" s="15"/>
      <c r="D655" s="37"/>
      <c r="E655" s="15"/>
      <c r="F655" s="15"/>
      <c r="G655" s="15"/>
      <c r="H655" s="15"/>
      <c r="I655" s="15"/>
      <c r="J655" s="39"/>
      <c r="K655" s="40"/>
      <c r="L655" s="8"/>
      <c r="M655" s="8"/>
      <c r="N655" s="8"/>
      <c r="O655" s="8"/>
      <c r="P655" s="8"/>
      <c r="Q655" s="8"/>
      <c r="R655" s="8"/>
      <c r="S655" s="8"/>
      <c r="T655" s="8"/>
      <c r="U655" s="8"/>
      <c r="V655" s="8"/>
      <c r="W655" s="8"/>
      <c r="X655" s="8"/>
      <c r="Y655" s="8"/>
      <c r="Z655" s="8"/>
      <c r="AA655" s="8"/>
    </row>
    <row r="656" spans="1:27" ht="15">
      <c r="A656" s="15"/>
      <c r="B656" s="36"/>
      <c r="C656" s="15"/>
      <c r="D656" s="37"/>
      <c r="E656" s="15"/>
      <c r="F656" s="15"/>
      <c r="G656" s="15"/>
      <c r="H656" s="15"/>
      <c r="I656" s="15"/>
      <c r="J656" s="39"/>
      <c r="K656" s="40"/>
      <c r="L656" s="8"/>
      <c r="M656" s="8"/>
      <c r="N656" s="8"/>
      <c r="O656" s="8"/>
      <c r="P656" s="8"/>
      <c r="Q656" s="8"/>
      <c r="R656" s="8"/>
      <c r="S656" s="8"/>
      <c r="T656" s="8"/>
      <c r="U656" s="8"/>
      <c r="V656" s="8"/>
      <c r="W656" s="8"/>
      <c r="X656" s="8"/>
      <c r="Y656" s="8"/>
      <c r="Z656" s="8"/>
      <c r="AA656" s="8"/>
    </row>
    <row r="657" spans="1:27" ht="15">
      <c r="A657" s="15"/>
      <c r="B657" s="36"/>
      <c r="C657" s="15"/>
      <c r="D657" s="37"/>
      <c r="E657" s="15"/>
      <c r="F657" s="15"/>
      <c r="G657" s="15"/>
      <c r="H657" s="15"/>
      <c r="I657" s="15"/>
      <c r="J657" s="39"/>
      <c r="K657" s="40"/>
      <c r="L657" s="8"/>
      <c r="M657" s="8"/>
      <c r="N657" s="8"/>
      <c r="O657" s="8"/>
      <c r="P657" s="8"/>
      <c r="Q657" s="8"/>
      <c r="R657" s="8"/>
      <c r="S657" s="8"/>
      <c r="T657" s="8"/>
      <c r="U657" s="8"/>
      <c r="V657" s="8"/>
      <c r="W657" s="8"/>
      <c r="X657" s="8"/>
      <c r="Y657" s="8"/>
      <c r="Z657" s="8"/>
      <c r="AA657" s="8"/>
    </row>
    <row r="658" spans="1:27" ht="15">
      <c r="A658" s="15"/>
      <c r="B658" s="36"/>
      <c r="C658" s="15"/>
      <c r="D658" s="37"/>
      <c r="E658" s="15"/>
      <c r="F658" s="15"/>
      <c r="G658" s="15"/>
      <c r="H658" s="15"/>
      <c r="I658" s="15"/>
      <c r="J658" s="39"/>
      <c r="K658" s="40"/>
      <c r="L658" s="8"/>
      <c r="M658" s="8"/>
      <c r="N658" s="8"/>
      <c r="O658" s="8"/>
      <c r="P658" s="8"/>
      <c r="Q658" s="8"/>
      <c r="R658" s="8"/>
      <c r="S658" s="8"/>
      <c r="T658" s="8"/>
      <c r="U658" s="8"/>
      <c r="V658" s="8"/>
      <c r="W658" s="8"/>
      <c r="X658" s="8"/>
      <c r="Y658" s="8"/>
      <c r="Z658" s="8"/>
      <c r="AA658" s="8"/>
    </row>
    <row r="659" spans="1:27" ht="15">
      <c r="A659" s="15"/>
      <c r="B659" s="36"/>
      <c r="C659" s="15"/>
      <c r="D659" s="37"/>
      <c r="E659" s="15"/>
      <c r="F659" s="15"/>
      <c r="G659" s="15"/>
      <c r="H659" s="15"/>
      <c r="I659" s="15"/>
      <c r="J659" s="39"/>
      <c r="K659" s="40"/>
      <c r="L659" s="8"/>
      <c r="M659" s="8"/>
      <c r="N659" s="8"/>
      <c r="O659" s="8"/>
      <c r="P659" s="8"/>
      <c r="Q659" s="8"/>
      <c r="R659" s="8"/>
      <c r="S659" s="8"/>
      <c r="T659" s="8"/>
      <c r="U659" s="8"/>
      <c r="V659" s="8"/>
      <c r="W659" s="8"/>
      <c r="X659" s="8"/>
      <c r="Y659" s="8"/>
      <c r="Z659" s="8"/>
      <c r="AA659" s="8"/>
    </row>
    <row r="660" spans="1:27" ht="15">
      <c r="A660" s="15"/>
      <c r="B660" s="36"/>
      <c r="C660" s="15"/>
      <c r="D660" s="37"/>
      <c r="E660" s="15"/>
      <c r="F660" s="15"/>
      <c r="G660" s="15"/>
      <c r="H660" s="15"/>
      <c r="I660" s="15"/>
      <c r="J660" s="39"/>
      <c r="K660" s="40"/>
      <c r="L660" s="8"/>
      <c r="M660" s="8"/>
      <c r="N660" s="8"/>
      <c r="O660" s="8"/>
      <c r="P660" s="8"/>
      <c r="Q660" s="8"/>
      <c r="R660" s="8"/>
      <c r="S660" s="8"/>
      <c r="T660" s="8"/>
      <c r="U660" s="8"/>
      <c r="V660" s="8"/>
      <c r="W660" s="8"/>
      <c r="X660" s="8"/>
      <c r="Y660" s="8"/>
      <c r="Z660" s="8"/>
      <c r="AA660" s="8"/>
    </row>
    <row r="661" spans="1:27" ht="15">
      <c r="A661" s="15"/>
      <c r="B661" s="36"/>
      <c r="C661" s="15"/>
      <c r="D661" s="37"/>
      <c r="E661" s="15"/>
      <c r="F661" s="15"/>
      <c r="G661" s="15"/>
      <c r="H661" s="15"/>
      <c r="I661" s="15"/>
      <c r="J661" s="39"/>
      <c r="K661" s="40"/>
      <c r="L661" s="8"/>
      <c r="M661" s="8"/>
      <c r="N661" s="8"/>
      <c r="O661" s="8"/>
      <c r="P661" s="8"/>
      <c r="Q661" s="8"/>
      <c r="R661" s="8"/>
      <c r="S661" s="8"/>
      <c r="T661" s="8"/>
      <c r="U661" s="8"/>
      <c r="V661" s="8"/>
      <c r="W661" s="8"/>
      <c r="X661" s="8"/>
      <c r="Y661" s="8"/>
      <c r="Z661" s="8"/>
      <c r="AA661" s="8"/>
    </row>
    <row r="662" spans="1:27" ht="15">
      <c r="A662" s="15"/>
      <c r="B662" s="36"/>
      <c r="C662" s="15"/>
      <c r="D662" s="37"/>
      <c r="E662" s="15"/>
      <c r="F662" s="15"/>
      <c r="G662" s="15"/>
      <c r="H662" s="15"/>
      <c r="I662" s="15"/>
      <c r="J662" s="39"/>
      <c r="K662" s="40"/>
      <c r="L662" s="8"/>
      <c r="M662" s="8"/>
      <c r="N662" s="8"/>
      <c r="O662" s="8"/>
      <c r="P662" s="8"/>
      <c r="Q662" s="8"/>
      <c r="R662" s="8"/>
      <c r="S662" s="8"/>
      <c r="T662" s="8"/>
      <c r="U662" s="8"/>
      <c r="V662" s="8"/>
      <c r="W662" s="8"/>
      <c r="X662" s="8"/>
      <c r="Y662" s="8"/>
      <c r="Z662" s="8"/>
      <c r="AA662" s="8"/>
    </row>
    <row r="663" spans="1:27" ht="15">
      <c r="A663" s="15"/>
      <c r="B663" s="36"/>
      <c r="C663" s="15"/>
      <c r="D663" s="37"/>
      <c r="E663" s="15"/>
      <c r="F663" s="15"/>
      <c r="G663" s="15"/>
      <c r="H663" s="15"/>
      <c r="I663" s="15"/>
      <c r="J663" s="39"/>
      <c r="K663" s="40"/>
      <c r="L663" s="8"/>
      <c r="M663" s="8"/>
      <c r="N663" s="8"/>
      <c r="O663" s="8"/>
      <c r="P663" s="8"/>
      <c r="Q663" s="8"/>
      <c r="R663" s="8"/>
      <c r="S663" s="8"/>
      <c r="T663" s="8"/>
      <c r="U663" s="8"/>
      <c r="V663" s="8"/>
      <c r="W663" s="8"/>
      <c r="X663" s="8"/>
      <c r="Y663" s="8"/>
      <c r="Z663" s="8"/>
      <c r="AA663" s="8"/>
    </row>
    <row r="664" spans="1:27" ht="15">
      <c r="A664" s="15"/>
      <c r="B664" s="36"/>
      <c r="C664" s="15"/>
      <c r="D664" s="37"/>
      <c r="E664" s="15"/>
      <c r="F664" s="15"/>
      <c r="G664" s="15"/>
      <c r="H664" s="15"/>
      <c r="I664" s="15"/>
      <c r="J664" s="39"/>
      <c r="K664" s="40"/>
      <c r="L664" s="8"/>
      <c r="M664" s="8"/>
      <c r="N664" s="8"/>
      <c r="O664" s="8"/>
      <c r="P664" s="8"/>
      <c r="Q664" s="8"/>
      <c r="R664" s="8"/>
      <c r="S664" s="8"/>
      <c r="T664" s="8"/>
      <c r="U664" s="8"/>
      <c r="V664" s="8"/>
      <c r="W664" s="8"/>
      <c r="X664" s="8"/>
      <c r="Y664" s="8"/>
      <c r="Z664" s="8"/>
      <c r="AA664" s="8"/>
    </row>
    <row r="665" spans="1:27" ht="15">
      <c r="A665" s="15"/>
      <c r="B665" s="36"/>
      <c r="C665" s="15"/>
      <c r="D665" s="37"/>
      <c r="E665" s="15"/>
      <c r="F665" s="15"/>
      <c r="G665" s="15"/>
      <c r="H665" s="15"/>
      <c r="I665" s="15"/>
      <c r="J665" s="39"/>
      <c r="K665" s="40"/>
      <c r="L665" s="8"/>
      <c r="M665" s="8"/>
      <c r="N665" s="8"/>
      <c r="O665" s="8"/>
      <c r="P665" s="8"/>
      <c r="Q665" s="8"/>
      <c r="R665" s="8"/>
      <c r="S665" s="8"/>
      <c r="T665" s="8"/>
      <c r="U665" s="8"/>
      <c r="V665" s="8"/>
      <c r="W665" s="8"/>
      <c r="X665" s="8"/>
      <c r="Y665" s="8"/>
      <c r="Z665" s="8"/>
      <c r="AA665" s="8"/>
    </row>
    <row r="666" spans="1:27" ht="15">
      <c r="A666" s="15"/>
      <c r="B666" s="36"/>
      <c r="C666" s="15"/>
      <c r="D666" s="37"/>
      <c r="E666" s="15"/>
      <c r="F666" s="15"/>
      <c r="G666" s="15"/>
      <c r="H666" s="15"/>
      <c r="I666" s="15"/>
      <c r="J666" s="39"/>
      <c r="K666" s="40"/>
      <c r="L666" s="8"/>
      <c r="M666" s="8"/>
      <c r="N666" s="8"/>
      <c r="O666" s="8"/>
      <c r="P666" s="8"/>
      <c r="Q666" s="8"/>
      <c r="R666" s="8"/>
      <c r="S666" s="8"/>
      <c r="T666" s="8"/>
      <c r="U666" s="8"/>
      <c r="V666" s="8"/>
      <c r="W666" s="8"/>
      <c r="X666" s="8"/>
      <c r="Y666" s="8"/>
      <c r="Z666" s="8"/>
      <c r="AA666" s="8"/>
    </row>
    <row r="667" spans="1:27" ht="15">
      <c r="A667" s="15"/>
      <c r="B667" s="36"/>
      <c r="C667" s="15"/>
      <c r="D667" s="37"/>
      <c r="E667" s="15"/>
      <c r="F667" s="15"/>
      <c r="G667" s="15"/>
      <c r="H667" s="15"/>
      <c r="I667" s="15"/>
      <c r="J667" s="39"/>
      <c r="K667" s="40"/>
      <c r="L667" s="8"/>
      <c r="M667" s="8"/>
      <c r="N667" s="8"/>
      <c r="O667" s="8"/>
      <c r="P667" s="8"/>
      <c r="Q667" s="8"/>
      <c r="R667" s="8"/>
      <c r="S667" s="8"/>
      <c r="T667" s="8"/>
      <c r="U667" s="8"/>
      <c r="V667" s="8"/>
      <c r="W667" s="8"/>
      <c r="X667" s="8"/>
      <c r="Y667" s="8"/>
      <c r="Z667" s="8"/>
      <c r="AA667" s="8"/>
    </row>
    <row r="668" spans="1:27" ht="15">
      <c r="A668" s="15"/>
      <c r="B668" s="36"/>
      <c r="C668" s="15"/>
      <c r="D668" s="37"/>
      <c r="E668" s="15"/>
      <c r="F668" s="15"/>
      <c r="G668" s="15"/>
      <c r="H668" s="15"/>
      <c r="I668" s="15"/>
      <c r="J668" s="39"/>
      <c r="K668" s="40"/>
      <c r="L668" s="8"/>
      <c r="M668" s="8"/>
      <c r="N668" s="8"/>
      <c r="O668" s="8"/>
      <c r="P668" s="8"/>
      <c r="Q668" s="8"/>
      <c r="R668" s="8"/>
      <c r="S668" s="8"/>
      <c r="T668" s="8"/>
      <c r="U668" s="8"/>
      <c r="V668" s="8"/>
      <c r="W668" s="8"/>
      <c r="X668" s="8"/>
      <c r="Y668" s="8"/>
      <c r="Z668" s="8"/>
      <c r="AA668" s="8"/>
    </row>
    <row r="669" spans="1:27" ht="15">
      <c r="A669" s="15"/>
      <c r="B669" s="36"/>
      <c r="C669" s="15"/>
      <c r="D669" s="37"/>
      <c r="E669" s="15"/>
      <c r="F669" s="15"/>
      <c r="G669" s="15"/>
      <c r="H669" s="15"/>
      <c r="I669" s="15"/>
      <c r="J669" s="39"/>
      <c r="K669" s="40"/>
      <c r="L669" s="8"/>
      <c r="M669" s="8"/>
      <c r="N669" s="8"/>
      <c r="O669" s="8"/>
      <c r="P669" s="8"/>
      <c r="Q669" s="8"/>
      <c r="R669" s="8"/>
      <c r="S669" s="8"/>
      <c r="T669" s="8"/>
      <c r="U669" s="8"/>
      <c r="V669" s="8"/>
      <c r="W669" s="8"/>
      <c r="X669" s="8"/>
      <c r="Y669" s="8"/>
      <c r="Z669" s="8"/>
      <c r="AA669" s="8"/>
    </row>
    <row r="670" spans="1:27" ht="15">
      <c r="A670" s="15"/>
      <c r="B670" s="36"/>
      <c r="C670" s="15"/>
      <c r="D670" s="37"/>
      <c r="E670" s="15"/>
      <c r="F670" s="15"/>
      <c r="G670" s="15"/>
      <c r="H670" s="15"/>
      <c r="I670" s="15"/>
      <c r="J670" s="39"/>
      <c r="K670" s="40"/>
      <c r="L670" s="8"/>
      <c r="M670" s="8"/>
      <c r="N670" s="8"/>
      <c r="O670" s="8"/>
      <c r="P670" s="8"/>
      <c r="Q670" s="8"/>
      <c r="R670" s="8"/>
      <c r="S670" s="8"/>
      <c r="T670" s="8"/>
      <c r="U670" s="8"/>
      <c r="V670" s="8"/>
      <c r="W670" s="8"/>
      <c r="X670" s="8"/>
      <c r="Y670" s="8"/>
      <c r="Z670" s="8"/>
      <c r="AA670" s="8"/>
    </row>
    <row r="671" spans="1:27" ht="15">
      <c r="A671" s="15"/>
      <c r="B671" s="36"/>
      <c r="C671" s="15"/>
      <c r="D671" s="37"/>
      <c r="E671" s="15"/>
      <c r="F671" s="15"/>
      <c r="G671" s="15"/>
      <c r="H671" s="15"/>
      <c r="I671" s="15"/>
      <c r="J671" s="39"/>
      <c r="K671" s="40"/>
      <c r="L671" s="8"/>
      <c r="M671" s="8"/>
      <c r="N671" s="8"/>
      <c r="O671" s="8"/>
      <c r="P671" s="8"/>
      <c r="Q671" s="8"/>
      <c r="R671" s="8"/>
      <c r="S671" s="8"/>
      <c r="T671" s="8"/>
      <c r="U671" s="8"/>
      <c r="V671" s="8"/>
      <c r="W671" s="8"/>
      <c r="X671" s="8"/>
      <c r="Y671" s="8"/>
      <c r="Z671" s="8"/>
      <c r="AA671" s="8"/>
    </row>
    <row r="672" spans="1:27" ht="15">
      <c r="A672" s="15"/>
      <c r="B672" s="36"/>
      <c r="C672" s="15"/>
      <c r="D672" s="37"/>
      <c r="E672" s="15"/>
      <c r="F672" s="15"/>
      <c r="G672" s="15"/>
      <c r="H672" s="15"/>
      <c r="I672" s="15"/>
      <c r="J672" s="39"/>
      <c r="K672" s="40"/>
      <c r="L672" s="8"/>
      <c r="M672" s="8"/>
      <c r="N672" s="8"/>
      <c r="O672" s="8"/>
      <c r="P672" s="8"/>
      <c r="Q672" s="8"/>
      <c r="R672" s="8"/>
      <c r="S672" s="8"/>
      <c r="T672" s="8"/>
      <c r="U672" s="8"/>
      <c r="V672" s="8"/>
      <c r="W672" s="8"/>
      <c r="X672" s="8"/>
      <c r="Y672" s="8"/>
      <c r="Z672" s="8"/>
      <c r="AA672" s="8"/>
    </row>
    <row r="673" spans="1:27" ht="15">
      <c r="A673" s="15"/>
      <c r="B673" s="36"/>
      <c r="C673" s="15"/>
      <c r="D673" s="37"/>
      <c r="E673" s="15"/>
      <c r="F673" s="15"/>
      <c r="G673" s="15"/>
      <c r="H673" s="15"/>
      <c r="I673" s="15"/>
      <c r="J673" s="39"/>
      <c r="K673" s="40"/>
      <c r="L673" s="8"/>
      <c r="M673" s="8"/>
      <c r="N673" s="8"/>
      <c r="O673" s="8"/>
      <c r="P673" s="8"/>
      <c r="Q673" s="8"/>
      <c r="R673" s="8"/>
      <c r="S673" s="8"/>
      <c r="T673" s="8"/>
      <c r="U673" s="8"/>
      <c r="V673" s="8"/>
      <c r="W673" s="8"/>
      <c r="X673" s="8"/>
      <c r="Y673" s="8"/>
      <c r="Z673" s="8"/>
      <c r="AA673" s="8"/>
    </row>
    <row r="674" spans="1:27" ht="15">
      <c r="A674" s="15"/>
      <c r="B674" s="36"/>
      <c r="C674" s="15"/>
      <c r="D674" s="37"/>
      <c r="E674" s="15"/>
      <c r="F674" s="15"/>
      <c r="G674" s="15"/>
      <c r="H674" s="15"/>
      <c r="I674" s="15"/>
      <c r="J674" s="39"/>
      <c r="K674" s="40"/>
      <c r="L674" s="8"/>
      <c r="M674" s="8"/>
      <c r="N674" s="8"/>
      <c r="O674" s="8"/>
      <c r="P674" s="8"/>
      <c r="Q674" s="8"/>
      <c r="R674" s="8"/>
      <c r="S674" s="8"/>
      <c r="T674" s="8"/>
      <c r="U674" s="8"/>
      <c r="V674" s="8"/>
      <c r="W674" s="8"/>
      <c r="X674" s="8"/>
      <c r="Y674" s="8"/>
      <c r="Z674" s="8"/>
      <c r="AA674" s="8"/>
    </row>
    <row r="675" spans="1:27" ht="15">
      <c r="A675" s="15"/>
      <c r="B675" s="36"/>
      <c r="C675" s="15"/>
      <c r="D675" s="37"/>
      <c r="E675" s="15"/>
      <c r="F675" s="15"/>
      <c r="G675" s="15"/>
      <c r="H675" s="15"/>
      <c r="I675" s="15"/>
      <c r="J675" s="39"/>
      <c r="K675" s="40"/>
      <c r="L675" s="8"/>
      <c r="M675" s="8"/>
      <c r="N675" s="8"/>
      <c r="O675" s="8"/>
      <c r="P675" s="8"/>
      <c r="Q675" s="8"/>
      <c r="R675" s="8"/>
      <c r="S675" s="8"/>
      <c r="T675" s="8"/>
      <c r="U675" s="8"/>
      <c r="V675" s="8"/>
      <c r="W675" s="8"/>
      <c r="X675" s="8"/>
      <c r="Y675" s="8"/>
      <c r="Z675" s="8"/>
      <c r="AA675" s="8"/>
    </row>
    <row r="676" spans="1:27" ht="15">
      <c r="A676" s="15"/>
      <c r="B676" s="36"/>
      <c r="C676" s="15"/>
      <c r="D676" s="37"/>
      <c r="E676" s="15"/>
      <c r="F676" s="15"/>
      <c r="G676" s="15"/>
      <c r="H676" s="15"/>
      <c r="I676" s="15"/>
      <c r="J676" s="39"/>
      <c r="K676" s="40"/>
      <c r="L676" s="8"/>
      <c r="M676" s="8"/>
      <c r="N676" s="8"/>
      <c r="O676" s="8"/>
      <c r="P676" s="8"/>
      <c r="Q676" s="8"/>
      <c r="R676" s="8"/>
      <c r="S676" s="8"/>
      <c r="T676" s="8"/>
      <c r="U676" s="8"/>
      <c r="V676" s="8"/>
      <c r="W676" s="8"/>
      <c r="X676" s="8"/>
      <c r="Y676" s="8"/>
      <c r="Z676" s="8"/>
      <c r="AA676" s="8"/>
    </row>
    <row r="677" spans="1:27" ht="15">
      <c r="A677" s="15"/>
      <c r="B677" s="36"/>
      <c r="C677" s="15"/>
      <c r="D677" s="37"/>
      <c r="E677" s="15"/>
      <c r="F677" s="15"/>
      <c r="G677" s="15"/>
      <c r="H677" s="15"/>
      <c r="I677" s="15"/>
      <c r="J677" s="39"/>
      <c r="K677" s="40"/>
      <c r="L677" s="8"/>
      <c r="M677" s="8"/>
      <c r="N677" s="8"/>
      <c r="O677" s="8"/>
      <c r="P677" s="8"/>
      <c r="Q677" s="8"/>
      <c r="R677" s="8"/>
      <c r="S677" s="8"/>
      <c r="T677" s="8"/>
      <c r="U677" s="8"/>
      <c r="V677" s="8"/>
      <c r="W677" s="8"/>
      <c r="X677" s="8"/>
      <c r="Y677" s="8"/>
      <c r="Z677" s="8"/>
      <c r="AA677" s="8"/>
    </row>
    <row r="678" spans="1:27" ht="15">
      <c r="A678" s="15"/>
      <c r="B678" s="36"/>
      <c r="C678" s="15"/>
      <c r="D678" s="37"/>
      <c r="E678" s="15"/>
      <c r="F678" s="15"/>
      <c r="G678" s="15"/>
      <c r="H678" s="15"/>
      <c r="I678" s="15"/>
      <c r="J678" s="39"/>
      <c r="K678" s="40"/>
      <c r="L678" s="8"/>
      <c r="M678" s="8"/>
      <c r="N678" s="8"/>
      <c r="O678" s="8"/>
      <c r="P678" s="8"/>
      <c r="Q678" s="8"/>
      <c r="R678" s="8"/>
      <c r="S678" s="8"/>
      <c r="T678" s="8"/>
      <c r="U678" s="8"/>
      <c r="V678" s="8"/>
      <c r="W678" s="8"/>
      <c r="X678" s="8"/>
      <c r="Y678" s="8"/>
      <c r="Z678" s="8"/>
      <c r="AA678" s="8"/>
    </row>
    <row r="679" spans="1:27" ht="15">
      <c r="A679" s="15"/>
      <c r="B679" s="36"/>
      <c r="C679" s="15"/>
      <c r="D679" s="37"/>
      <c r="E679" s="15"/>
      <c r="F679" s="15"/>
      <c r="G679" s="15"/>
      <c r="H679" s="15"/>
      <c r="I679" s="15"/>
      <c r="J679" s="39"/>
      <c r="K679" s="40"/>
      <c r="L679" s="8"/>
      <c r="M679" s="8"/>
      <c r="N679" s="8"/>
      <c r="O679" s="8"/>
      <c r="P679" s="8"/>
      <c r="Q679" s="8"/>
      <c r="R679" s="8"/>
      <c r="S679" s="8"/>
      <c r="T679" s="8"/>
      <c r="U679" s="8"/>
      <c r="V679" s="8"/>
      <c r="W679" s="8"/>
      <c r="X679" s="8"/>
      <c r="Y679" s="8"/>
      <c r="Z679" s="8"/>
      <c r="AA679" s="8"/>
    </row>
    <row r="680" spans="1:27" ht="15">
      <c r="A680" s="15"/>
      <c r="B680" s="36"/>
      <c r="C680" s="15"/>
      <c r="D680" s="37"/>
      <c r="E680" s="15"/>
      <c r="F680" s="15"/>
      <c r="G680" s="15"/>
      <c r="H680" s="15"/>
      <c r="I680" s="15"/>
      <c r="J680" s="39"/>
      <c r="K680" s="40"/>
      <c r="L680" s="8"/>
      <c r="M680" s="8"/>
      <c r="N680" s="8"/>
      <c r="O680" s="8"/>
      <c r="P680" s="8"/>
      <c r="Q680" s="8"/>
      <c r="R680" s="8"/>
      <c r="S680" s="8"/>
      <c r="T680" s="8"/>
      <c r="U680" s="8"/>
      <c r="V680" s="8"/>
      <c r="W680" s="8"/>
      <c r="X680" s="8"/>
      <c r="Y680" s="8"/>
      <c r="Z680" s="8"/>
      <c r="AA680" s="8"/>
    </row>
    <row r="681" spans="1:27" ht="15">
      <c r="A681" s="15"/>
      <c r="B681" s="36"/>
      <c r="C681" s="15"/>
      <c r="D681" s="37"/>
      <c r="E681" s="15"/>
      <c r="F681" s="15"/>
      <c r="G681" s="15"/>
      <c r="H681" s="15"/>
      <c r="I681" s="15"/>
      <c r="J681" s="39"/>
      <c r="K681" s="40"/>
      <c r="L681" s="8"/>
      <c r="M681" s="8"/>
      <c r="N681" s="8"/>
      <c r="O681" s="8"/>
      <c r="P681" s="8"/>
      <c r="Q681" s="8"/>
      <c r="R681" s="8"/>
      <c r="S681" s="8"/>
      <c r="T681" s="8"/>
      <c r="U681" s="8"/>
      <c r="V681" s="8"/>
      <c r="W681" s="8"/>
      <c r="X681" s="8"/>
      <c r="Y681" s="8"/>
      <c r="Z681" s="8"/>
      <c r="AA681" s="8"/>
    </row>
    <row r="682" spans="1:27" ht="15">
      <c r="A682" s="15"/>
      <c r="B682" s="36"/>
      <c r="C682" s="15"/>
      <c r="D682" s="37"/>
      <c r="E682" s="15"/>
      <c r="F682" s="15"/>
      <c r="G682" s="15"/>
      <c r="H682" s="15"/>
      <c r="I682" s="15"/>
      <c r="J682" s="39"/>
      <c r="K682" s="40"/>
      <c r="L682" s="8"/>
      <c r="M682" s="8"/>
      <c r="N682" s="8"/>
      <c r="O682" s="8"/>
      <c r="P682" s="8"/>
      <c r="Q682" s="8"/>
      <c r="R682" s="8"/>
      <c r="S682" s="8"/>
      <c r="T682" s="8"/>
      <c r="U682" s="8"/>
      <c r="V682" s="8"/>
      <c r="W682" s="8"/>
      <c r="X682" s="8"/>
      <c r="Y682" s="8"/>
      <c r="Z682" s="8"/>
      <c r="AA682" s="8"/>
    </row>
    <row r="683" spans="1:27" ht="15">
      <c r="A683" s="15"/>
      <c r="B683" s="36"/>
      <c r="C683" s="15"/>
      <c r="D683" s="37"/>
      <c r="E683" s="15"/>
      <c r="F683" s="15"/>
      <c r="G683" s="15"/>
      <c r="H683" s="15"/>
      <c r="I683" s="15"/>
      <c r="J683" s="39"/>
      <c r="K683" s="40"/>
      <c r="L683" s="8"/>
      <c r="M683" s="8"/>
      <c r="N683" s="8"/>
      <c r="O683" s="8"/>
      <c r="P683" s="8"/>
      <c r="Q683" s="8"/>
      <c r="R683" s="8"/>
      <c r="S683" s="8"/>
      <c r="T683" s="8"/>
      <c r="U683" s="8"/>
      <c r="V683" s="8"/>
      <c r="W683" s="8"/>
      <c r="X683" s="8"/>
      <c r="Y683" s="8"/>
      <c r="Z683" s="8"/>
      <c r="AA683" s="8"/>
    </row>
    <row r="684" spans="1:27" ht="15">
      <c r="A684" s="15"/>
      <c r="B684" s="36"/>
      <c r="C684" s="15"/>
      <c r="D684" s="37"/>
      <c r="E684" s="15"/>
      <c r="F684" s="15"/>
      <c r="G684" s="15"/>
      <c r="H684" s="15"/>
      <c r="I684" s="15"/>
      <c r="J684" s="39"/>
      <c r="K684" s="40"/>
      <c r="L684" s="8"/>
      <c r="M684" s="8"/>
      <c r="N684" s="8"/>
      <c r="O684" s="8"/>
      <c r="P684" s="8"/>
      <c r="Q684" s="8"/>
      <c r="R684" s="8"/>
      <c r="S684" s="8"/>
      <c r="T684" s="8"/>
      <c r="U684" s="8"/>
      <c r="V684" s="8"/>
      <c r="W684" s="8"/>
      <c r="X684" s="8"/>
      <c r="Y684" s="8"/>
      <c r="Z684" s="8"/>
      <c r="AA684" s="8"/>
    </row>
    <row r="685" spans="1:27" ht="15">
      <c r="A685" s="15"/>
      <c r="B685" s="36"/>
      <c r="C685" s="15"/>
      <c r="D685" s="37"/>
      <c r="E685" s="15"/>
      <c r="F685" s="15"/>
      <c r="G685" s="15"/>
      <c r="H685" s="15"/>
      <c r="I685" s="15"/>
      <c r="J685" s="39"/>
      <c r="K685" s="40"/>
      <c r="L685" s="8"/>
      <c r="M685" s="8"/>
      <c r="N685" s="8"/>
      <c r="O685" s="8"/>
      <c r="P685" s="8"/>
      <c r="Q685" s="8"/>
      <c r="R685" s="8"/>
      <c r="S685" s="8"/>
      <c r="T685" s="8"/>
      <c r="U685" s="8"/>
      <c r="V685" s="8"/>
      <c r="W685" s="8"/>
      <c r="X685" s="8"/>
      <c r="Y685" s="8"/>
      <c r="Z685" s="8"/>
      <c r="AA685" s="8"/>
    </row>
    <row r="686" spans="1:27" ht="15">
      <c r="A686" s="15"/>
      <c r="B686" s="36"/>
      <c r="C686" s="15"/>
      <c r="D686" s="37"/>
      <c r="E686" s="15"/>
      <c r="F686" s="15"/>
      <c r="G686" s="15"/>
      <c r="H686" s="15"/>
      <c r="I686" s="15"/>
      <c r="J686" s="39"/>
      <c r="K686" s="40"/>
      <c r="L686" s="8"/>
      <c r="M686" s="8"/>
      <c r="N686" s="8"/>
      <c r="O686" s="8"/>
      <c r="P686" s="8"/>
      <c r="Q686" s="8"/>
      <c r="R686" s="8"/>
      <c r="S686" s="8"/>
      <c r="T686" s="8"/>
      <c r="U686" s="8"/>
      <c r="V686" s="8"/>
      <c r="W686" s="8"/>
      <c r="X686" s="8"/>
      <c r="Y686" s="8"/>
      <c r="Z686" s="8"/>
      <c r="AA686" s="8"/>
    </row>
    <row r="687" spans="1:27" ht="15">
      <c r="A687" s="15"/>
      <c r="B687" s="36"/>
      <c r="C687" s="15"/>
      <c r="D687" s="37"/>
      <c r="E687" s="15"/>
      <c r="F687" s="15"/>
      <c r="G687" s="15"/>
      <c r="H687" s="15"/>
      <c r="I687" s="15"/>
      <c r="J687" s="39"/>
      <c r="K687" s="40"/>
      <c r="L687" s="8"/>
      <c r="M687" s="8"/>
      <c r="N687" s="8"/>
      <c r="O687" s="8"/>
      <c r="P687" s="8"/>
      <c r="Q687" s="8"/>
      <c r="R687" s="8"/>
      <c r="S687" s="8"/>
      <c r="T687" s="8"/>
      <c r="U687" s="8"/>
      <c r="V687" s="8"/>
      <c r="W687" s="8"/>
      <c r="X687" s="8"/>
      <c r="Y687" s="8"/>
      <c r="Z687" s="8"/>
      <c r="AA687" s="8"/>
    </row>
    <row r="688" spans="1:27" ht="15">
      <c r="A688" s="15"/>
      <c r="B688" s="36"/>
      <c r="C688" s="15"/>
      <c r="D688" s="37"/>
      <c r="E688" s="15"/>
      <c r="F688" s="15"/>
      <c r="G688" s="15"/>
      <c r="H688" s="15"/>
      <c r="I688" s="15"/>
      <c r="J688" s="39"/>
      <c r="K688" s="40"/>
      <c r="L688" s="8"/>
      <c r="M688" s="8"/>
      <c r="N688" s="8"/>
      <c r="O688" s="8"/>
      <c r="P688" s="8"/>
      <c r="Q688" s="8"/>
      <c r="R688" s="8"/>
      <c r="S688" s="8"/>
      <c r="T688" s="8"/>
      <c r="U688" s="8"/>
      <c r="V688" s="8"/>
      <c r="W688" s="8"/>
      <c r="X688" s="8"/>
      <c r="Y688" s="8"/>
      <c r="Z688" s="8"/>
      <c r="AA688" s="8"/>
    </row>
    <row r="689" spans="1:27" ht="15">
      <c r="A689" s="15"/>
      <c r="B689" s="36"/>
      <c r="C689" s="15"/>
      <c r="D689" s="37"/>
      <c r="E689" s="15"/>
      <c r="F689" s="15"/>
      <c r="G689" s="15"/>
      <c r="H689" s="15"/>
      <c r="I689" s="15"/>
      <c r="J689" s="39"/>
      <c r="K689" s="40"/>
      <c r="L689" s="8"/>
      <c r="M689" s="8"/>
      <c r="N689" s="8"/>
      <c r="O689" s="8"/>
      <c r="P689" s="8"/>
      <c r="Q689" s="8"/>
      <c r="R689" s="8"/>
      <c r="S689" s="8"/>
      <c r="T689" s="8"/>
      <c r="U689" s="8"/>
      <c r="V689" s="8"/>
      <c r="W689" s="8"/>
      <c r="X689" s="8"/>
      <c r="Y689" s="8"/>
      <c r="Z689" s="8"/>
      <c r="AA689" s="8"/>
    </row>
    <row r="690" spans="1:27" ht="15">
      <c r="A690" s="15"/>
      <c r="B690" s="36"/>
      <c r="C690" s="15"/>
      <c r="D690" s="37"/>
      <c r="E690" s="15"/>
      <c r="F690" s="15"/>
      <c r="G690" s="15"/>
      <c r="H690" s="15"/>
      <c r="I690" s="15"/>
      <c r="J690" s="39"/>
      <c r="K690" s="40"/>
      <c r="L690" s="8"/>
      <c r="M690" s="8"/>
      <c r="N690" s="8"/>
      <c r="O690" s="8"/>
      <c r="P690" s="8"/>
      <c r="Q690" s="8"/>
      <c r="R690" s="8"/>
      <c r="S690" s="8"/>
      <c r="T690" s="8"/>
      <c r="U690" s="8"/>
      <c r="V690" s="8"/>
      <c r="W690" s="8"/>
      <c r="X690" s="8"/>
      <c r="Y690" s="8"/>
      <c r="Z690" s="8"/>
      <c r="AA690" s="8"/>
    </row>
    <row r="691" spans="1:27" ht="15">
      <c r="A691" s="15"/>
      <c r="B691" s="36"/>
      <c r="C691" s="15"/>
      <c r="D691" s="37"/>
      <c r="E691" s="15"/>
      <c r="F691" s="15"/>
      <c r="G691" s="15"/>
      <c r="H691" s="15"/>
      <c r="I691" s="15"/>
      <c r="J691" s="39"/>
      <c r="K691" s="40"/>
      <c r="L691" s="8"/>
      <c r="M691" s="8"/>
      <c r="N691" s="8"/>
      <c r="O691" s="8"/>
      <c r="P691" s="8"/>
      <c r="Q691" s="8"/>
      <c r="R691" s="8"/>
      <c r="S691" s="8"/>
      <c r="T691" s="8"/>
      <c r="U691" s="8"/>
      <c r="V691" s="8"/>
      <c r="W691" s="8"/>
      <c r="X691" s="8"/>
      <c r="Y691" s="8"/>
      <c r="Z691" s="8"/>
      <c r="AA691" s="8"/>
    </row>
    <row r="692" spans="1:27" ht="15">
      <c r="A692" s="15"/>
      <c r="B692" s="36"/>
      <c r="C692" s="15"/>
      <c r="D692" s="37"/>
      <c r="E692" s="15"/>
      <c r="F692" s="15"/>
      <c r="G692" s="15"/>
      <c r="H692" s="15"/>
      <c r="I692" s="15"/>
      <c r="J692" s="39"/>
      <c r="K692" s="40"/>
      <c r="L692" s="8"/>
      <c r="M692" s="8"/>
      <c r="N692" s="8"/>
      <c r="O692" s="8"/>
      <c r="P692" s="8"/>
      <c r="Q692" s="8"/>
      <c r="R692" s="8"/>
      <c r="S692" s="8"/>
      <c r="T692" s="8"/>
      <c r="U692" s="8"/>
      <c r="V692" s="8"/>
      <c r="W692" s="8"/>
      <c r="X692" s="8"/>
      <c r="Y692" s="8"/>
      <c r="Z692" s="8"/>
      <c r="AA692" s="8"/>
    </row>
    <row r="693" spans="1:27" ht="15">
      <c r="A693" s="15"/>
      <c r="B693" s="36"/>
      <c r="C693" s="15"/>
      <c r="D693" s="37"/>
      <c r="E693" s="15"/>
      <c r="F693" s="15"/>
      <c r="G693" s="15"/>
      <c r="H693" s="15"/>
      <c r="I693" s="15"/>
      <c r="J693" s="39"/>
      <c r="K693" s="40"/>
      <c r="L693" s="8"/>
      <c r="M693" s="8"/>
      <c r="N693" s="8"/>
      <c r="O693" s="8"/>
      <c r="P693" s="8"/>
      <c r="Q693" s="8"/>
      <c r="R693" s="8"/>
      <c r="S693" s="8"/>
      <c r="T693" s="8"/>
      <c r="U693" s="8"/>
      <c r="V693" s="8"/>
      <c r="W693" s="8"/>
      <c r="X693" s="8"/>
      <c r="Y693" s="8"/>
      <c r="Z693" s="8"/>
      <c r="AA693" s="8"/>
    </row>
    <row r="694" spans="1:27" ht="15">
      <c r="A694" s="15"/>
      <c r="B694" s="36"/>
      <c r="C694" s="15"/>
      <c r="D694" s="37"/>
      <c r="E694" s="15"/>
      <c r="F694" s="15"/>
      <c r="G694" s="15"/>
      <c r="H694" s="15"/>
      <c r="I694" s="15"/>
      <c r="J694" s="39"/>
      <c r="K694" s="40"/>
      <c r="L694" s="8"/>
      <c r="M694" s="8"/>
      <c r="N694" s="8"/>
      <c r="O694" s="8"/>
      <c r="P694" s="8"/>
      <c r="Q694" s="8"/>
      <c r="R694" s="8"/>
      <c r="S694" s="8"/>
      <c r="T694" s="8"/>
      <c r="U694" s="8"/>
      <c r="V694" s="8"/>
      <c r="W694" s="8"/>
      <c r="X694" s="8"/>
      <c r="Y694" s="8"/>
      <c r="Z694" s="8"/>
      <c r="AA694" s="8"/>
    </row>
    <row r="695" spans="1:27" ht="15">
      <c r="A695" s="15"/>
      <c r="B695" s="36"/>
      <c r="C695" s="15"/>
      <c r="D695" s="37"/>
      <c r="E695" s="15"/>
      <c r="F695" s="15"/>
      <c r="G695" s="15"/>
      <c r="H695" s="15"/>
      <c r="I695" s="15"/>
      <c r="J695" s="39"/>
      <c r="K695" s="40"/>
      <c r="L695" s="8"/>
      <c r="M695" s="8"/>
      <c r="N695" s="8"/>
      <c r="O695" s="8"/>
      <c r="P695" s="8"/>
      <c r="Q695" s="8"/>
      <c r="R695" s="8"/>
      <c r="S695" s="8"/>
      <c r="T695" s="8"/>
      <c r="U695" s="8"/>
      <c r="V695" s="8"/>
      <c r="W695" s="8"/>
      <c r="X695" s="8"/>
      <c r="Y695" s="8"/>
      <c r="Z695" s="8"/>
      <c r="AA695" s="8"/>
    </row>
    <row r="696" spans="1:27" ht="15">
      <c r="A696" s="15"/>
      <c r="B696" s="36"/>
      <c r="C696" s="15"/>
      <c r="D696" s="37"/>
      <c r="E696" s="15"/>
      <c r="F696" s="15"/>
      <c r="G696" s="15"/>
      <c r="H696" s="15"/>
      <c r="I696" s="15"/>
      <c r="J696" s="39"/>
      <c r="K696" s="40"/>
      <c r="L696" s="8"/>
      <c r="M696" s="8"/>
      <c r="N696" s="8"/>
      <c r="O696" s="8"/>
      <c r="P696" s="8"/>
      <c r="Q696" s="8"/>
      <c r="R696" s="8"/>
      <c r="S696" s="8"/>
      <c r="T696" s="8"/>
      <c r="U696" s="8"/>
      <c r="V696" s="8"/>
      <c r="W696" s="8"/>
      <c r="X696" s="8"/>
      <c r="Y696" s="8"/>
      <c r="Z696" s="8"/>
      <c r="AA696" s="8"/>
    </row>
    <row r="697" spans="1:27" ht="15">
      <c r="A697" s="15"/>
      <c r="B697" s="36"/>
      <c r="C697" s="15"/>
      <c r="D697" s="37"/>
      <c r="E697" s="15"/>
      <c r="F697" s="15"/>
      <c r="G697" s="15"/>
      <c r="H697" s="15"/>
      <c r="I697" s="15"/>
      <c r="J697" s="39"/>
      <c r="K697" s="40"/>
      <c r="L697" s="8"/>
      <c r="M697" s="8"/>
      <c r="N697" s="8"/>
      <c r="O697" s="8"/>
      <c r="P697" s="8"/>
      <c r="Q697" s="8"/>
      <c r="R697" s="8"/>
      <c r="S697" s="8"/>
      <c r="T697" s="8"/>
      <c r="U697" s="8"/>
      <c r="V697" s="8"/>
      <c r="W697" s="8"/>
      <c r="X697" s="8"/>
      <c r="Y697" s="8"/>
      <c r="Z697" s="8"/>
      <c r="AA697" s="8"/>
    </row>
    <row r="698" spans="1:27" ht="15">
      <c r="A698" s="15"/>
      <c r="B698" s="36"/>
      <c r="C698" s="15"/>
      <c r="D698" s="37"/>
      <c r="E698" s="15"/>
      <c r="F698" s="15"/>
      <c r="G698" s="15"/>
      <c r="H698" s="15"/>
      <c r="I698" s="15"/>
      <c r="J698" s="39"/>
      <c r="K698" s="40"/>
      <c r="L698" s="8"/>
      <c r="M698" s="8"/>
      <c r="N698" s="8"/>
      <c r="O698" s="8"/>
      <c r="P698" s="8"/>
      <c r="Q698" s="8"/>
      <c r="R698" s="8"/>
      <c r="S698" s="8"/>
      <c r="T698" s="8"/>
      <c r="U698" s="8"/>
      <c r="V698" s="8"/>
      <c r="W698" s="8"/>
      <c r="X698" s="8"/>
      <c r="Y698" s="8"/>
      <c r="Z698" s="8"/>
      <c r="AA698" s="8"/>
    </row>
    <row r="699" spans="1:27" ht="15">
      <c r="A699" s="15"/>
      <c r="B699" s="36"/>
      <c r="C699" s="15"/>
      <c r="D699" s="37"/>
      <c r="E699" s="15"/>
      <c r="F699" s="15"/>
      <c r="G699" s="15"/>
      <c r="H699" s="15"/>
      <c r="I699" s="15"/>
      <c r="J699" s="39"/>
      <c r="K699" s="40"/>
      <c r="L699" s="8"/>
      <c r="M699" s="8"/>
      <c r="N699" s="8"/>
      <c r="O699" s="8"/>
      <c r="P699" s="8"/>
      <c r="Q699" s="8"/>
      <c r="R699" s="8"/>
      <c r="S699" s="8"/>
      <c r="T699" s="8"/>
      <c r="U699" s="8"/>
      <c r="V699" s="8"/>
      <c r="W699" s="8"/>
      <c r="X699" s="8"/>
      <c r="Y699" s="8"/>
      <c r="Z699" s="8"/>
      <c r="AA699" s="8"/>
    </row>
    <row r="700" spans="1:27" ht="15">
      <c r="A700" s="15"/>
      <c r="B700" s="36"/>
      <c r="C700" s="15"/>
      <c r="D700" s="37"/>
      <c r="E700" s="15"/>
      <c r="F700" s="15"/>
      <c r="G700" s="15"/>
      <c r="H700" s="15"/>
      <c r="I700" s="15"/>
      <c r="J700" s="39"/>
      <c r="K700" s="40"/>
      <c r="L700" s="8"/>
      <c r="M700" s="8"/>
      <c r="N700" s="8"/>
      <c r="O700" s="8"/>
      <c r="P700" s="8"/>
      <c r="Q700" s="8"/>
      <c r="R700" s="8"/>
      <c r="S700" s="8"/>
      <c r="T700" s="8"/>
      <c r="U700" s="8"/>
      <c r="V700" s="8"/>
      <c r="W700" s="8"/>
      <c r="X700" s="8"/>
      <c r="Y700" s="8"/>
      <c r="Z700" s="8"/>
      <c r="AA700" s="8"/>
    </row>
    <row r="701" spans="1:27" ht="15">
      <c r="A701" s="15"/>
      <c r="B701" s="36"/>
      <c r="C701" s="15"/>
      <c r="D701" s="37"/>
      <c r="E701" s="15"/>
      <c r="F701" s="15"/>
      <c r="G701" s="15"/>
      <c r="H701" s="15"/>
      <c r="I701" s="15"/>
      <c r="J701" s="39"/>
      <c r="K701" s="40"/>
      <c r="L701" s="8"/>
      <c r="M701" s="8"/>
      <c r="N701" s="8"/>
      <c r="O701" s="8"/>
      <c r="P701" s="8"/>
      <c r="Q701" s="8"/>
      <c r="R701" s="8"/>
      <c r="S701" s="8"/>
      <c r="T701" s="8"/>
      <c r="U701" s="8"/>
      <c r="V701" s="8"/>
      <c r="W701" s="8"/>
      <c r="X701" s="8"/>
      <c r="Y701" s="8"/>
      <c r="Z701" s="8"/>
      <c r="AA701" s="8"/>
    </row>
    <row r="702" spans="1:27" ht="15">
      <c r="A702" s="15"/>
      <c r="B702" s="36"/>
      <c r="C702" s="15"/>
      <c r="D702" s="37"/>
      <c r="E702" s="15"/>
      <c r="F702" s="15"/>
      <c r="G702" s="15"/>
      <c r="H702" s="15"/>
      <c r="I702" s="15"/>
      <c r="J702" s="39"/>
      <c r="K702" s="40"/>
      <c r="L702" s="8"/>
      <c r="M702" s="8"/>
      <c r="N702" s="8"/>
      <c r="O702" s="8"/>
      <c r="P702" s="8"/>
      <c r="Q702" s="8"/>
      <c r="R702" s="8"/>
      <c r="S702" s="8"/>
      <c r="T702" s="8"/>
      <c r="U702" s="8"/>
      <c r="V702" s="8"/>
      <c r="W702" s="8"/>
      <c r="X702" s="8"/>
      <c r="Y702" s="8"/>
      <c r="Z702" s="8"/>
      <c r="AA702" s="8"/>
    </row>
    <row r="703" spans="1:27" ht="15">
      <c r="A703" s="15"/>
      <c r="B703" s="36"/>
      <c r="C703" s="15"/>
      <c r="D703" s="37"/>
      <c r="E703" s="15"/>
      <c r="F703" s="15"/>
      <c r="G703" s="15"/>
      <c r="H703" s="15"/>
      <c r="I703" s="15"/>
      <c r="J703" s="39"/>
      <c r="K703" s="40"/>
      <c r="L703" s="8"/>
      <c r="M703" s="8"/>
      <c r="N703" s="8"/>
      <c r="O703" s="8"/>
      <c r="P703" s="8"/>
      <c r="Q703" s="8"/>
      <c r="R703" s="8"/>
      <c r="S703" s="8"/>
      <c r="T703" s="8"/>
      <c r="U703" s="8"/>
      <c r="V703" s="8"/>
      <c r="W703" s="8"/>
      <c r="X703" s="8"/>
      <c r="Y703" s="8"/>
      <c r="Z703" s="8"/>
      <c r="AA703" s="8"/>
    </row>
    <row r="704" spans="1:27" ht="15">
      <c r="A704" s="15"/>
      <c r="B704" s="36"/>
      <c r="C704" s="15"/>
      <c r="D704" s="37"/>
      <c r="E704" s="15"/>
      <c r="F704" s="15"/>
      <c r="G704" s="15"/>
      <c r="H704" s="15"/>
      <c r="I704" s="15"/>
      <c r="J704" s="39"/>
      <c r="K704" s="40"/>
      <c r="L704" s="8"/>
      <c r="M704" s="8"/>
      <c r="N704" s="8"/>
      <c r="O704" s="8"/>
      <c r="P704" s="8"/>
      <c r="Q704" s="8"/>
      <c r="R704" s="8"/>
      <c r="S704" s="8"/>
      <c r="T704" s="8"/>
      <c r="U704" s="8"/>
      <c r="V704" s="8"/>
      <c r="W704" s="8"/>
      <c r="X704" s="8"/>
      <c r="Y704" s="8"/>
      <c r="Z704" s="8"/>
      <c r="AA704" s="8"/>
    </row>
    <row r="705" spans="1:27" ht="15">
      <c r="A705" s="15"/>
      <c r="B705" s="36"/>
      <c r="C705" s="15"/>
      <c r="D705" s="37"/>
      <c r="E705" s="15"/>
      <c r="F705" s="15"/>
      <c r="G705" s="15"/>
      <c r="H705" s="15"/>
      <c r="I705" s="15"/>
      <c r="J705" s="39"/>
      <c r="K705" s="40"/>
      <c r="L705" s="8"/>
      <c r="M705" s="8"/>
      <c r="N705" s="8"/>
      <c r="O705" s="8"/>
      <c r="P705" s="8"/>
      <c r="Q705" s="8"/>
      <c r="R705" s="8"/>
      <c r="S705" s="8"/>
      <c r="T705" s="8"/>
      <c r="U705" s="8"/>
      <c r="V705" s="8"/>
      <c r="W705" s="8"/>
      <c r="X705" s="8"/>
      <c r="Y705" s="8"/>
      <c r="Z705" s="8"/>
      <c r="AA705" s="8"/>
    </row>
    <row r="706" spans="1:27" ht="15">
      <c r="A706" s="15"/>
      <c r="B706" s="36"/>
      <c r="C706" s="15"/>
      <c r="D706" s="37"/>
      <c r="E706" s="15"/>
      <c r="F706" s="15"/>
      <c r="G706" s="15"/>
      <c r="H706" s="15"/>
      <c r="I706" s="15"/>
      <c r="J706" s="39"/>
      <c r="K706" s="40"/>
      <c r="L706" s="8"/>
      <c r="M706" s="8"/>
      <c r="N706" s="8"/>
      <c r="O706" s="8"/>
      <c r="P706" s="8"/>
      <c r="Q706" s="8"/>
      <c r="R706" s="8"/>
      <c r="S706" s="8"/>
      <c r="T706" s="8"/>
      <c r="U706" s="8"/>
      <c r="V706" s="8"/>
      <c r="W706" s="8"/>
      <c r="X706" s="8"/>
      <c r="Y706" s="8"/>
      <c r="Z706" s="8"/>
      <c r="AA706" s="8"/>
    </row>
    <row r="707" spans="1:27" ht="15">
      <c r="A707" s="15"/>
      <c r="B707" s="36"/>
      <c r="C707" s="15"/>
      <c r="D707" s="37"/>
      <c r="E707" s="15"/>
      <c r="F707" s="15"/>
      <c r="G707" s="15"/>
      <c r="H707" s="15"/>
      <c r="I707" s="15"/>
      <c r="J707" s="39"/>
      <c r="K707" s="40"/>
      <c r="L707" s="8"/>
      <c r="M707" s="8"/>
      <c r="N707" s="8"/>
      <c r="O707" s="8"/>
      <c r="P707" s="8"/>
      <c r="Q707" s="8"/>
      <c r="R707" s="8"/>
      <c r="S707" s="8"/>
      <c r="T707" s="8"/>
      <c r="U707" s="8"/>
      <c r="V707" s="8"/>
      <c r="W707" s="8"/>
      <c r="X707" s="8"/>
      <c r="Y707" s="8"/>
      <c r="Z707" s="8"/>
      <c r="AA707" s="8"/>
    </row>
    <row r="708" spans="1:27" ht="15">
      <c r="A708" s="15"/>
      <c r="B708" s="36"/>
      <c r="C708" s="15"/>
      <c r="D708" s="37"/>
      <c r="E708" s="15"/>
      <c r="F708" s="15"/>
      <c r="G708" s="15"/>
      <c r="H708" s="15"/>
      <c r="I708" s="15"/>
      <c r="J708" s="39"/>
      <c r="K708" s="40"/>
      <c r="L708" s="8"/>
      <c r="M708" s="8"/>
      <c r="N708" s="8"/>
      <c r="O708" s="8"/>
      <c r="P708" s="8"/>
      <c r="Q708" s="8"/>
      <c r="R708" s="8"/>
      <c r="S708" s="8"/>
      <c r="T708" s="8"/>
      <c r="U708" s="8"/>
      <c r="V708" s="8"/>
      <c r="W708" s="8"/>
      <c r="X708" s="8"/>
      <c r="Y708" s="8"/>
      <c r="Z708" s="8"/>
      <c r="AA708" s="8"/>
    </row>
    <row r="709" spans="1:27" ht="15">
      <c r="A709" s="15"/>
      <c r="B709" s="36"/>
      <c r="C709" s="15"/>
      <c r="D709" s="37"/>
      <c r="E709" s="15"/>
      <c r="F709" s="15"/>
      <c r="G709" s="15"/>
      <c r="H709" s="15"/>
      <c r="I709" s="15"/>
      <c r="J709" s="39"/>
      <c r="K709" s="40"/>
      <c r="L709" s="8"/>
      <c r="M709" s="8"/>
      <c r="N709" s="8"/>
      <c r="O709" s="8"/>
      <c r="P709" s="8"/>
      <c r="Q709" s="8"/>
      <c r="R709" s="8"/>
      <c r="S709" s="8"/>
      <c r="T709" s="8"/>
      <c r="U709" s="8"/>
      <c r="V709" s="8"/>
      <c r="W709" s="8"/>
      <c r="X709" s="8"/>
      <c r="Y709" s="8"/>
      <c r="Z709" s="8"/>
      <c r="AA709" s="8"/>
    </row>
    <row r="710" spans="1:27" ht="15">
      <c r="A710" s="15"/>
      <c r="B710" s="36"/>
      <c r="C710" s="15"/>
      <c r="D710" s="37"/>
      <c r="E710" s="15"/>
      <c r="F710" s="15"/>
      <c r="G710" s="15"/>
      <c r="H710" s="15"/>
      <c r="I710" s="15"/>
      <c r="J710" s="39"/>
      <c r="K710" s="40"/>
      <c r="L710" s="8"/>
      <c r="M710" s="8"/>
      <c r="N710" s="8"/>
      <c r="O710" s="8"/>
      <c r="P710" s="8"/>
      <c r="Q710" s="8"/>
      <c r="R710" s="8"/>
      <c r="S710" s="8"/>
      <c r="T710" s="8"/>
      <c r="U710" s="8"/>
      <c r="V710" s="8"/>
      <c r="W710" s="8"/>
      <c r="X710" s="8"/>
      <c r="Y710" s="8"/>
      <c r="Z710" s="8"/>
      <c r="AA710" s="8"/>
    </row>
    <row r="711" spans="1:27" ht="15">
      <c r="A711" s="15"/>
      <c r="B711" s="36"/>
      <c r="C711" s="15"/>
      <c r="D711" s="37"/>
      <c r="E711" s="15"/>
      <c r="F711" s="15"/>
      <c r="G711" s="15"/>
      <c r="H711" s="15"/>
      <c r="I711" s="15"/>
      <c r="J711" s="39"/>
      <c r="K711" s="40"/>
      <c r="L711" s="8"/>
      <c r="M711" s="8"/>
      <c r="N711" s="8"/>
      <c r="O711" s="8"/>
      <c r="P711" s="8"/>
      <c r="Q711" s="8"/>
      <c r="R711" s="8"/>
      <c r="S711" s="8"/>
      <c r="T711" s="8"/>
      <c r="U711" s="8"/>
      <c r="V711" s="8"/>
      <c r="W711" s="8"/>
      <c r="X711" s="8"/>
      <c r="Y711" s="8"/>
      <c r="Z711" s="8"/>
      <c r="AA711" s="8"/>
    </row>
    <row r="712" spans="1:27" ht="15">
      <c r="A712" s="15"/>
      <c r="B712" s="36"/>
      <c r="C712" s="15"/>
      <c r="D712" s="37"/>
      <c r="E712" s="15"/>
      <c r="F712" s="15"/>
      <c r="G712" s="15"/>
      <c r="H712" s="15"/>
      <c r="I712" s="15"/>
      <c r="J712" s="39"/>
      <c r="K712" s="40"/>
      <c r="L712" s="8"/>
      <c r="M712" s="8"/>
      <c r="N712" s="8"/>
      <c r="O712" s="8"/>
      <c r="P712" s="8"/>
      <c r="Q712" s="8"/>
      <c r="R712" s="8"/>
      <c r="S712" s="8"/>
      <c r="T712" s="8"/>
      <c r="U712" s="8"/>
      <c r="V712" s="8"/>
      <c r="W712" s="8"/>
      <c r="X712" s="8"/>
      <c r="Y712" s="8"/>
      <c r="Z712" s="8"/>
      <c r="AA712" s="8"/>
    </row>
    <row r="713" spans="1:27" ht="15">
      <c r="A713" s="15"/>
      <c r="B713" s="36"/>
      <c r="C713" s="15"/>
      <c r="D713" s="37"/>
      <c r="E713" s="15"/>
      <c r="F713" s="15"/>
      <c r="G713" s="15"/>
      <c r="H713" s="15"/>
      <c r="I713" s="15"/>
      <c r="J713" s="39"/>
      <c r="K713" s="40"/>
      <c r="L713" s="8"/>
      <c r="M713" s="8"/>
      <c r="N713" s="8"/>
      <c r="O713" s="8"/>
      <c r="P713" s="8"/>
      <c r="Q713" s="8"/>
      <c r="R713" s="8"/>
      <c r="S713" s="8"/>
      <c r="T713" s="8"/>
      <c r="U713" s="8"/>
      <c r="V713" s="8"/>
      <c r="W713" s="8"/>
      <c r="X713" s="8"/>
      <c r="Y713" s="8"/>
      <c r="Z713" s="8"/>
      <c r="AA713" s="8"/>
    </row>
    <row r="714" spans="1:27" ht="15">
      <c r="A714" s="15"/>
      <c r="B714" s="36"/>
      <c r="C714" s="15"/>
      <c r="D714" s="37"/>
      <c r="E714" s="15"/>
      <c r="F714" s="15"/>
      <c r="G714" s="15"/>
      <c r="H714" s="15"/>
      <c r="I714" s="15"/>
      <c r="J714" s="39"/>
      <c r="K714" s="40"/>
      <c r="L714" s="8"/>
      <c r="M714" s="8"/>
      <c r="N714" s="8"/>
      <c r="O714" s="8"/>
      <c r="P714" s="8"/>
      <c r="Q714" s="8"/>
      <c r="R714" s="8"/>
      <c r="S714" s="8"/>
      <c r="T714" s="8"/>
      <c r="U714" s="8"/>
      <c r="V714" s="8"/>
      <c r="W714" s="8"/>
      <c r="X714" s="8"/>
      <c r="Y714" s="8"/>
      <c r="Z714" s="8"/>
      <c r="AA714" s="8"/>
    </row>
    <row r="715" spans="1:27" ht="15">
      <c r="A715" s="15"/>
      <c r="B715" s="36"/>
      <c r="C715" s="15"/>
      <c r="D715" s="37"/>
      <c r="E715" s="15"/>
      <c r="F715" s="15"/>
      <c r="G715" s="15"/>
      <c r="H715" s="15"/>
      <c r="I715" s="15"/>
      <c r="J715" s="39"/>
      <c r="K715" s="40"/>
      <c r="L715" s="8"/>
      <c r="M715" s="8"/>
      <c r="N715" s="8"/>
      <c r="O715" s="8"/>
      <c r="P715" s="8"/>
      <c r="Q715" s="8"/>
      <c r="R715" s="8"/>
      <c r="S715" s="8"/>
      <c r="T715" s="8"/>
      <c r="U715" s="8"/>
      <c r="V715" s="8"/>
      <c r="W715" s="8"/>
      <c r="X715" s="8"/>
      <c r="Y715" s="8"/>
      <c r="Z715" s="8"/>
      <c r="AA715" s="8"/>
    </row>
    <row r="716" spans="1:27" ht="15">
      <c r="A716" s="15"/>
      <c r="B716" s="36"/>
      <c r="C716" s="15"/>
      <c r="D716" s="37"/>
      <c r="E716" s="15"/>
      <c r="F716" s="15"/>
      <c r="G716" s="15"/>
      <c r="H716" s="15"/>
      <c r="I716" s="15"/>
      <c r="J716" s="39"/>
      <c r="K716" s="40"/>
      <c r="L716" s="8"/>
      <c r="M716" s="8"/>
      <c r="N716" s="8"/>
      <c r="O716" s="8"/>
      <c r="P716" s="8"/>
      <c r="Q716" s="8"/>
      <c r="R716" s="8"/>
      <c r="S716" s="8"/>
      <c r="T716" s="8"/>
      <c r="U716" s="8"/>
      <c r="V716" s="8"/>
      <c r="W716" s="8"/>
      <c r="X716" s="8"/>
      <c r="Y716" s="8"/>
      <c r="Z716" s="8"/>
      <c r="AA716" s="8"/>
    </row>
    <row r="717" spans="1:27" ht="15">
      <c r="A717" s="15"/>
      <c r="B717" s="36"/>
      <c r="C717" s="15"/>
      <c r="D717" s="37"/>
      <c r="E717" s="15"/>
      <c r="F717" s="15"/>
      <c r="G717" s="15"/>
      <c r="H717" s="15"/>
      <c r="I717" s="15"/>
      <c r="J717" s="39"/>
      <c r="K717" s="40"/>
      <c r="L717" s="8"/>
      <c r="M717" s="8"/>
      <c r="N717" s="8"/>
      <c r="O717" s="8"/>
      <c r="P717" s="8"/>
      <c r="Q717" s="8"/>
      <c r="R717" s="8"/>
      <c r="S717" s="8"/>
      <c r="T717" s="8"/>
      <c r="U717" s="8"/>
      <c r="V717" s="8"/>
      <c r="W717" s="8"/>
      <c r="X717" s="8"/>
      <c r="Y717" s="8"/>
      <c r="Z717" s="8"/>
      <c r="AA717" s="8"/>
    </row>
    <row r="718" spans="1:27" ht="15">
      <c r="A718" s="15"/>
      <c r="B718" s="36"/>
      <c r="C718" s="15"/>
      <c r="D718" s="37"/>
      <c r="E718" s="15"/>
      <c r="F718" s="15"/>
      <c r="G718" s="15"/>
      <c r="H718" s="15"/>
      <c r="I718" s="15"/>
      <c r="J718" s="39"/>
      <c r="K718" s="40"/>
      <c r="L718" s="8"/>
      <c r="M718" s="8"/>
      <c r="N718" s="8"/>
      <c r="O718" s="8"/>
      <c r="P718" s="8"/>
      <c r="Q718" s="8"/>
      <c r="R718" s="8"/>
      <c r="S718" s="8"/>
      <c r="T718" s="8"/>
      <c r="U718" s="8"/>
      <c r="V718" s="8"/>
      <c r="W718" s="8"/>
      <c r="X718" s="8"/>
      <c r="Y718" s="8"/>
      <c r="Z718" s="8"/>
      <c r="AA718" s="8"/>
    </row>
    <row r="719" spans="1:27" ht="15">
      <c r="A719" s="15"/>
      <c r="B719" s="36"/>
      <c r="C719" s="15"/>
      <c r="D719" s="37"/>
      <c r="E719" s="15"/>
      <c r="F719" s="15"/>
      <c r="G719" s="15"/>
      <c r="H719" s="15"/>
      <c r="I719" s="15"/>
      <c r="J719" s="39"/>
      <c r="K719" s="40"/>
      <c r="L719" s="8"/>
      <c r="M719" s="8"/>
      <c r="N719" s="8"/>
      <c r="O719" s="8"/>
      <c r="P719" s="8"/>
      <c r="Q719" s="8"/>
      <c r="R719" s="8"/>
      <c r="S719" s="8"/>
      <c r="T719" s="8"/>
      <c r="U719" s="8"/>
      <c r="V719" s="8"/>
      <c r="W719" s="8"/>
      <c r="X719" s="8"/>
      <c r="Y719" s="8"/>
      <c r="Z719" s="8"/>
      <c r="AA719" s="8"/>
    </row>
    <row r="720" spans="1:27" ht="15">
      <c r="A720" s="15"/>
      <c r="B720" s="36"/>
      <c r="C720" s="15"/>
      <c r="D720" s="37"/>
      <c r="E720" s="15"/>
      <c r="F720" s="15"/>
      <c r="G720" s="15"/>
      <c r="H720" s="15"/>
      <c r="I720" s="15"/>
      <c r="J720" s="39"/>
      <c r="K720" s="40"/>
      <c r="L720" s="8"/>
      <c r="M720" s="8"/>
      <c r="N720" s="8"/>
      <c r="O720" s="8"/>
      <c r="P720" s="8"/>
      <c r="Q720" s="8"/>
      <c r="R720" s="8"/>
      <c r="S720" s="8"/>
      <c r="T720" s="8"/>
      <c r="U720" s="8"/>
      <c r="V720" s="8"/>
      <c r="W720" s="8"/>
      <c r="X720" s="8"/>
      <c r="Y720" s="8"/>
      <c r="Z720" s="8"/>
      <c r="AA720" s="8"/>
    </row>
    <row r="721" spans="1:27" ht="15">
      <c r="A721" s="15"/>
      <c r="B721" s="36"/>
      <c r="C721" s="15"/>
      <c r="D721" s="37"/>
      <c r="E721" s="15"/>
      <c r="F721" s="15"/>
      <c r="G721" s="15"/>
      <c r="H721" s="15"/>
      <c r="I721" s="15"/>
      <c r="J721" s="39"/>
      <c r="K721" s="40"/>
      <c r="L721" s="8"/>
      <c r="M721" s="8"/>
      <c r="N721" s="8"/>
      <c r="O721" s="8"/>
      <c r="P721" s="8"/>
      <c r="Q721" s="8"/>
      <c r="R721" s="8"/>
      <c r="S721" s="8"/>
      <c r="T721" s="8"/>
      <c r="U721" s="8"/>
      <c r="V721" s="8"/>
      <c r="W721" s="8"/>
      <c r="X721" s="8"/>
      <c r="Y721" s="8"/>
      <c r="Z721" s="8"/>
      <c r="AA721" s="8"/>
    </row>
    <row r="722" spans="1:27" ht="15">
      <c r="A722" s="15"/>
      <c r="B722" s="36"/>
      <c r="C722" s="15"/>
      <c r="D722" s="37"/>
      <c r="E722" s="15"/>
      <c r="F722" s="15"/>
      <c r="G722" s="15"/>
      <c r="H722" s="15"/>
      <c r="I722" s="15"/>
      <c r="J722" s="39"/>
      <c r="K722" s="40"/>
      <c r="L722" s="8"/>
      <c r="M722" s="8"/>
      <c r="N722" s="8"/>
      <c r="O722" s="8"/>
      <c r="P722" s="8"/>
      <c r="Q722" s="8"/>
      <c r="R722" s="8"/>
      <c r="S722" s="8"/>
      <c r="T722" s="8"/>
      <c r="U722" s="8"/>
      <c r="V722" s="8"/>
      <c r="W722" s="8"/>
      <c r="X722" s="8"/>
      <c r="Y722" s="8"/>
      <c r="Z722" s="8"/>
      <c r="AA722" s="8"/>
    </row>
    <row r="723" spans="1:27" ht="15">
      <c r="A723" s="15"/>
      <c r="B723" s="36"/>
      <c r="C723" s="15"/>
      <c r="D723" s="37"/>
      <c r="E723" s="15"/>
      <c r="F723" s="15"/>
      <c r="G723" s="15"/>
      <c r="H723" s="15"/>
      <c r="I723" s="15"/>
      <c r="J723" s="39"/>
      <c r="K723" s="40"/>
      <c r="L723" s="8"/>
      <c r="M723" s="8"/>
      <c r="N723" s="8"/>
      <c r="O723" s="8"/>
      <c r="P723" s="8"/>
      <c r="Q723" s="8"/>
      <c r="R723" s="8"/>
      <c r="S723" s="8"/>
      <c r="T723" s="8"/>
      <c r="U723" s="8"/>
      <c r="V723" s="8"/>
      <c r="W723" s="8"/>
      <c r="X723" s="8"/>
      <c r="Y723" s="8"/>
      <c r="Z723" s="8"/>
      <c r="AA723" s="8"/>
    </row>
    <row r="724" spans="1:27" ht="15">
      <c r="A724" s="15"/>
      <c r="B724" s="36"/>
      <c r="C724" s="15"/>
      <c r="D724" s="37"/>
      <c r="E724" s="15"/>
      <c r="F724" s="15"/>
      <c r="G724" s="15"/>
      <c r="H724" s="15"/>
      <c r="I724" s="15"/>
      <c r="J724" s="39"/>
      <c r="K724" s="40"/>
      <c r="L724" s="8"/>
      <c r="M724" s="8"/>
      <c r="N724" s="8"/>
      <c r="O724" s="8"/>
      <c r="P724" s="8"/>
      <c r="Q724" s="8"/>
      <c r="R724" s="8"/>
      <c r="S724" s="8"/>
      <c r="T724" s="8"/>
      <c r="U724" s="8"/>
      <c r="V724" s="8"/>
      <c r="W724" s="8"/>
      <c r="X724" s="8"/>
      <c r="Y724" s="8"/>
      <c r="Z724" s="8"/>
      <c r="AA724" s="8"/>
    </row>
    <row r="725" spans="1:27" ht="15">
      <c r="A725" s="15"/>
      <c r="B725" s="36"/>
      <c r="C725" s="15"/>
      <c r="D725" s="37"/>
      <c r="E725" s="15"/>
      <c r="F725" s="15"/>
      <c r="G725" s="15"/>
      <c r="H725" s="15"/>
      <c r="I725" s="15"/>
      <c r="J725" s="39"/>
      <c r="K725" s="40"/>
      <c r="L725" s="8"/>
      <c r="M725" s="8"/>
      <c r="N725" s="8"/>
      <c r="O725" s="8"/>
      <c r="P725" s="8"/>
      <c r="Q725" s="8"/>
      <c r="R725" s="8"/>
      <c r="S725" s="8"/>
      <c r="T725" s="8"/>
      <c r="U725" s="8"/>
      <c r="V725" s="8"/>
      <c r="W725" s="8"/>
      <c r="X725" s="8"/>
      <c r="Y725" s="8"/>
      <c r="Z725" s="8"/>
      <c r="AA725" s="8"/>
    </row>
    <row r="726" spans="1:27" ht="15">
      <c r="A726" s="15"/>
      <c r="B726" s="36"/>
      <c r="C726" s="15"/>
      <c r="D726" s="37"/>
      <c r="E726" s="15"/>
      <c r="F726" s="15"/>
      <c r="G726" s="15"/>
      <c r="H726" s="15"/>
      <c r="I726" s="15"/>
      <c r="J726" s="39"/>
      <c r="K726" s="40"/>
      <c r="L726" s="8"/>
      <c r="M726" s="8"/>
      <c r="N726" s="8"/>
      <c r="O726" s="8"/>
      <c r="P726" s="8"/>
      <c r="Q726" s="8"/>
      <c r="R726" s="8"/>
      <c r="S726" s="8"/>
      <c r="T726" s="8"/>
      <c r="U726" s="8"/>
      <c r="V726" s="8"/>
      <c r="W726" s="8"/>
      <c r="X726" s="8"/>
      <c r="Y726" s="8"/>
      <c r="Z726" s="8"/>
      <c r="AA726" s="8"/>
    </row>
    <row r="727" spans="1:27" ht="15">
      <c r="A727" s="15"/>
      <c r="B727" s="36"/>
      <c r="C727" s="15"/>
      <c r="D727" s="37"/>
      <c r="E727" s="15"/>
      <c r="F727" s="15"/>
      <c r="G727" s="15"/>
      <c r="H727" s="15"/>
      <c r="I727" s="15"/>
      <c r="J727" s="39"/>
      <c r="K727" s="40"/>
      <c r="L727" s="8"/>
      <c r="M727" s="8"/>
      <c r="N727" s="8"/>
      <c r="O727" s="8"/>
      <c r="P727" s="8"/>
      <c r="Q727" s="8"/>
      <c r="R727" s="8"/>
      <c r="S727" s="8"/>
      <c r="T727" s="8"/>
      <c r="U727" s="8"/>
      <c r="V727" s="8"/>
      <c r="W727" s="8"/>
      <c r="X727" s="8"/>
      <c r="Y727" s="8"/>
      <c r="Z727" s="8"/>
      <c r="AA727" s="8"/>
    </row>
    <row r="728" spans="1:27" ht="15">
      <c r="A728" s="15"/>
      <c r="B728" s="36"/>
      <c r="C728" s="15"/>
      <c r="D728" s="37"/>
      <c r="E728" s="15"/>
      <c r="F728" s="15"/>
      <c r="G728" s="15"/>
      <c r="H728" s="15"/>
      <c r="I728" s="15"/>
      <c r="J728" s="39"/>
      <c r="K728" s="40"/>
      <c r="L728" s="8"/>
      <c r="M728" s="8"/>
      <c r="N728" s="8"/>
      <c r="O728" s="8"/>
      <c r="P728" s="8"/>
      <c r="Q728" s="8"/>
      <c r="R728" s="8"/>
      <c r="S728" s="8"/>
      <c r="T728" s="8"/>
      <c r="U728" s="8"/>
      <c r="V728" s="8"/>
      <c r="W728" s="8"/>
      <c r="X728" s="8"/>
      <c r="Y728" s="8"/>
      <c r="Z728" s="8"/>
      <c r="AA728" s="8"/>
    </row>
    <row r="729" spans="1:27" ht="15">
      <c r="A729" s="15"/>
      <c r="B729" s="36"/>
      <c r="C729" s="15"/>
      <c r="D729" s="37"/>
      <c r="E729" s="15"/>
      <c r="F729" s="15"/>
      <c r="G729" s="15"/>
      <c r="H729" s="15"/>
      <c r="I729" s="15"/>
      <c r="J729" s="39"/>
      <c r="K729" s="40"/>
      <c r="L729" s="8"/>
      <c r="M729" s="8"/>
      <c r="N729" s="8"/>
      <c r="O729" s="8"/>
      <c r="P729" s="8"/>
      <c r="Q729" s="8"/>
      <c r="R729" s="8"/>
      <c r="S729" s="8"/>
      <c r="T729" s="8"/>
      <c r="U729" s="8"/>
      <c r="V729" s="8"/>
      <c r="W729" s="8"/>
      <c r="X729" s="8"/>
      <c r="Y729" s="8"/>
      <c r="Z729" s="8"/>
      <c r="AA729" s="8"/>
    </row>
    <row r="730" spans="1:27" ht="15">
      <c r="A730" s="15"/>
      <c r="B730" s="36"/>
      <c r="C730" s="15"/>
      <c r="D730" s="37"/>
      <c r="E730" s="15"/>
      <c r="F730" s="15"/>
      <c r="G730" s="15"/>
      <c r="H730" s="15"/>
      <c r="I730" s="15"/>
      <c r="J730" s="39"/>
      <c r="K730" s="40"/>
      <c r="L730" s="8"/>
      <c r="M730" s="8"/>
      <c r="N730" s="8"/>
      <c r="O730" s="8"/>
      <c r="P730" s="8"/>
      <c r="Q730" s="8"/>
      <c r="R730" s="8"/>
      <c r="S730" s="8"/>
      <c r="T730" s="8"/>
      <c r="U730" s="8"/>
      <c r="V730" s="8"/>
      <c r="W730" s="8"/>
      <c r="X730" s="8"/>
      <c r="Y730" s="8"/>
      <c r="Z730" s="8"/>
      <c r="AA730" s="8"/>
    </row>
    <row r="731" spans="1:27" ht="15">
      <c r="A731" s="15"/>
      <c r="B731" s="36"/>
      <c r="C731" s="15"/>
      <c r="D731" s="37"/>
      <c r="E731" s="15"/>
      <c r="F731" s="15"/>
      <c r="G731" s="15"/>
      <c r="H731" s="15"/>
      <c r="I731" s="15"/>
      <c r="J731" s="39"/>
      <c r="K731" s="40"/>
      <c r="L731" s="8"/>
      <c r="M731" s="8"/>
      <c r="N731" s="8"/>
      <c r="O731" s="8"/>
      <c r="P731" s="8"/>
      <c r="Q731" s="8"/>
      <c r="R731" s="8"/>
      <c r="S731" s="8"/>
      <c r="T731" s="8"/>
      <c r="U731" s="8"/>
      <c r="V731" s="8"/>
      <c r="W731" s="8"/>
      <c r="X731" s="8"/>
      <c r="Y731" s="8"/>
      <c r="Z731" s="8"/>
      <c r="AA731" s="8"/>
    </row>
    <row r="732" spans="1:27" ht="15">
      <c r="A732" s="15"/>
      <c r="B732" s="36"/>
      <c r="C732" s="15"/>
      <c r="D732" s="37"/>
      <c r="E732" s="15"/>
      <c r="F732" s="15"/>
      <c r="G732" s="15"/>
      <c r="H732" s="15"/>
      <c r="I732" s="15"/>
      <c r="J732" s="39"/>
      <c r="K732" s="40"/>
      <c r="L732" s="8"/>
      <c r="M732" s="8"/>
      <c r="N732" s="8"/>
      <c r="O732" s="8"/>
      <c r="P732" s="8"/>
      <c r="Q732" s="8"/>
      <c r="R732" s="8"/>
      <c r="S732" s="8"/>
      <c r="T732" s="8"/>
      <c r="U732" s="8"/>
      <c r="V732" s="8"/>
      <c r="W732" s="8"/>
      <c r="X732" s="8"/>
      <c r="Y732" s="8"/>
      <c r="Z732" s="8"/>
      <c r="AA732" s="8"/>
    </row>
    <row r="733" spans="1:27" ht="15">
      <c r="A733" s="15"/>
      <c r="B733" s="36"/>
      <c r="C733" s="15"/>
      <c r="D733" s="37"/>
      <c r="E733" s="15"/>
      <c r="F733" s="15"/>
      <c r="G733" s="15"/>
      <c r="H733" s="15"/>
      <c r="I733" s="15"/>
      <c r="J733" s="39"/>
      <c r="K733" s="40"/>
      <c r="L733" s="8"/>
      <c r="M733" s="8"/>
      <c r="N733" s="8"/>
      <c r="O733" s="8"/>
      <c r="P733" s="8"/>
      <c r="Q733" s="8"/>
      <c r="R733" s="8"/>
      <c r="S733" s="8"/>
      <c r="T733" s="8"/>
      <c r="U733" s="8"/>
      <c r="V733" s="8"/>
      <c r="W733" s="8"/>
      <c r="X733" s="8"/>
      <c r="Y733" s="8"/>
      <c r="Z733" s="8"/>
      <c r="AA733" s="8"/>
    </row>
    <row r="734" spans="1:27" ht="15">
      <c r="A734" s="15"/>
      <c r="B734" s="36"/>
      <c r="C734" s="15"/>
      <c r="D734" s="37"/>
      <c r="E734" s="15"/>
      <c r="F734" s="15"/>
      <c r="G734" s="15"/>
      <c r="H734" s="15"/>
      <c r="I734" s="15"/>
      <c r="J734" s="39"/>
      <c r="K734" s="40"/>
      <c r="L734" s="8"/>
      <c r="M734" s="8"/>
      <c r="N734" s="8"/>
      <c r="O734" s="8"/>
      <c r="P734" s="8"/>
      <c r="Q734" s="8"/>
      <c r="R734" s="8"/>
      <c r="S734" s="8"/>
      <c r="T734" s="8"/>
      <c r="U734" s="8"/>
      <c r="V734" s="8"/>
      <c r="W734" s="8"/>
      <c r="X734" s="8"/>
      <c r="Y734" s="8"/>
      <c r="Z734" s="8"/>
      <c r="AA734" s="8"/>
    </row>
    <row r="735" spans="1:27" ht="15">
      <c r="A735" s="15"/>
      <c r="B735" s="36"/>
      <c r="C735" s="15"/>
      <c r="D735" s="37"/>
      <c r="E735" s="15"/>
      <c r="F735" s="15"/>
      <c r="G735" s="15"/>
      <c r="H735" s="15"/>
      <c r="I735" s="15"/>
      <c r="J735" s="39"/>
      <c r="K735" s="40"/>
      <c r="L735" s="8"/>
      <c r="M735" s="8"/>
      <c r="N735" s="8"/>
      <c r="O735" s="8"/>
      <c r="P735" s="8"/>
      <c r="Q735" s="8"/>
      <c r="R735" s="8"/>
      <c r="S735" s="8"/>
      <c r="T735" s="8"/>
      <c r="U735" s="8"/>
      <c r="V735" s="8"/>
      <c r="W735" s="8"/>
      <c r="X735" s="8"/>
      <c r="Y735" s="8"/>
      <c r="Z735" s="8"/>
      <c r="AA735" s="8"/>
    </row>
    <row r="736" spans="1:27" ht="15">
      <c r="A736" s="15"/>
      <c r="B736" s="36"/>
      <c r="C736" s="15"/>
      <c r="D736" s="37"/>
      <c r="E736" s="15"/>
      <c r="F736" s="15"/>
      <c r="G736" s="15"/>
      <c r="H736" s="15"/>
      <c r="I736" s="15"/>
      <c r="J736" s="39"/>
      <c r="K736" s="40"/>
      <c r="L736" s="8"/>
      <c r="M736" s="8"/>
      <c r="N736" s="8"/>
      <c r="O736" s="8"/>
      <c r="P736" s="8"/>
      <c r="Q736" s="8"/>
      <c r="R736" s="8"/>
      <c r="S736" s="8"/>
      <c r="T736" s="8"/>
      <c r="U736" s="8"/>
      <c r="V736" s="8"/>
      <c r="W736" s="8"/>
      <c r="X736" s="8"/>
      <c r="Y736" s="8"/>
      <c r="Z736" s="8"/>
      <c r="AA736" s="8"/>
    </row>
    <row r="737" spans="1:27" ht="15">
      <c r="A737" s="15"/>
      <c r="B737" s="36"/>
      <c r="C737" s="15"/>
      <c r="D737" s="37"/>
      <c r="E737" s="15"/>
      <c r="F737" s="15"/>
      <c r="G737" s="15"/>
      <c r="H737" s="15"/>
      <c r="I737" s="15"/>
      <c r="J737" s="39"/>
      <c r="K737" s="40"/>
      <c r="L737" s="8"/>
      <c r="M737" s="8"/>
      <c r="N737" s="8"/>
      <c r="O737" s="8"/>
      <c r="P737" s="8"/>
      <c r="Q737" s="8"/>
      <c r="R737" s="8"/>
      <c r="S737" s="8"/>
      <c r="T737" s="8"/>
      <c r="U737" s="8"/>
      <c r="V737" s="8"/>
      <c r="W737" s="8"/>
      <c r="X737" s="8"/>
      <c r="Y737" s="8"/>
      <c r="Z737" s="8"/>
      <c r="AA737" s="8"/>
    </row>
    <row r="738" spans="1:27" ht="15">
      <c r="A738" s="15"/>
      <c r="B738" s="36"/>
      <c r="C738" s="15"/>
      <c r="D738" s="37"/>
      <c r="E738" s="15"/>
      <c r="F738" s="15"/>
      <c r="G738" s="15"/>
      <c r="H738" s="15"/>
      <c r="I738" s="15"/>
      <c r="J738" s="39"/>
      <c r="K738" s="40"/>
      <c r="L738" s="8"/>
      <c r="M738" s="8"/>
      <c r="N738" s="8"/>
      <c r="O738" s="8"/>
      <c r="P738" s="8"/>
      <c r="Q738" s="8"/>
      <c r="R738" s="8"/>
      <c r="S738" s="8"/>
      <c r="T738" s="8"/>
      <c r="U738" s="8"/>
      <c r="V738" s="8"/>
      <c r="W738" s="8"/>
      <c r="X738" s="8"/>
      <c r="Y738" s="8"/>
      <c r="Z738" s="8"/>
      <c r="AA738" s="8"/>
    </row>
    <row r="739" spans="1:27" ht="15">
      <c r="A739" s="15"/>
      <c r="B739" s="36"/>
      <c r="C739" s="15"/>
      <c r="D739" s="37"/>
      <c r="E739" s="15"/>
      <c r="F739" s="15"/>
      <c r="G739" s="15"/>
      <c r="H739" s="15"/>
      <c r="I739" s="15"/>
      <c r="J739" s="39"/>
      <c r="K739" s="40"/>
      <c r="L739" s="8"/>
      <c r="M739" s="8"/>
      <c r="N739" s="8"/>
      <c r="O739" s="8"/>
      <c r="P739" s="8"/>
      <c r="Q739" s="8"/>
      <c r="R739" s="8"/>
      <c r="S739" s="8"/>
      <c r="T739" s="8"/>
      <c r="U739" s="8"/>
      <c r="V739" s="8"/>
      <c r="W739" s="8"/>
      <c r="X739" s="8"/>
      <c r="Y739" s="8"/>
      <c r="Z739" s="8"/>
      <c r="AA739" s="8"/>
    </row>
    <row r="740" spans="1:27" ht="15">
      <c r="A740" s="15"/>
      <c r="B740" s="36"/>
      <c r="C740" s="15"/>
      <c r="D740" s="37"/>
      <c r="E740" s="15"/>
      <c r="F740" s="15"/>
      <c r="G740" s="15"/>
      <c r="H740" s="15"/>
      <c r="I740" s="15"/>
      <c r="J740" s="39"/>
      <c r="K740" s="40"/>
      <c r="L740" s="8"/>
      <c r="M740" s="8"/>
      <c r="N740" s="8"/>
      <c r="O740" s="8"/>
      <c r="P740" s="8"/>
      <c r="Q740" s="8"/>
      <c r="R740" s="8"/>
      <c r="S740" s="8"/>
      <c r="T740" s="8"/>
      <c r="U740" s="8"/>
      <c r="V740" s="8"/>
      <c r="W740" s="8"/>
      <c r="X740" s="8"/>
      <c r="Y740" s="8"/>
      <c r="Z740" s="8"/>
      <c r="AA740" s="8"/>
    </row>
    <row r="741" spans="1:27" ht="15">
      <c r="A741" s="15"/>
      <c r="B741" s="36"/>
      <c r="C741" s="15"/>
      <c r="D741" s="37"/>
      <c r="E741" s="15"/>
      <c r="F741" s="15"/>
      <c r="G741" s="15"/>
      <c r="H741" s="15"/>
      <c r="I741" s="15"/>
      <c r="J741" s="39"/>
      <c r="K741" s="40"/>
      <c r="L741" s="8"/>
      <c r="M741" s="8"/>
      <c r="N741" s="8"/>
      <c r="O741" s="8"/>
      <c r="P741" s="8"/>
      <c r="Q741" s="8"/>
      <c r="R741" s="8"/>
      <c r="S741" s="8"/>
      <c r="T741" s="8"/>
      <c r="U741" s="8"/>
      <c r="V741" s="8"/>
      <c r="W741" s="8"/>
      <c r="X741" s="8"/>
      <c r="Y741" s="8"/>
      <c r="Z741" s="8"/>
      <c r="AA741" s="8"/>
    </row>
    <row r="742" spans="1:27" ht="15">
      <c r="A742" s="15"/>
      <c r="B742" s="36"/>
      <c r="C742" s="15"/>
      <c r="D742" s="37"/>
      <c r="E742" s="15"/>
      <c r="F742" s="15"/>
      <c r="G742" s="15"/>
      <c r="H742" s="15"/>
      <c r="I742" s="15"/>
      <c r="J742" s="39"/>
      <c r="K742" s="40"/>
      <c r="L742" s="8"/>
      <c r="M742" s="8"/>
      <c r="N742" s="8"/>
      <c r="O742" s="8"/>
      <c r="P742" s="8"/>
      <c r="Q742" s="8"/>
      <c r="R742" s="8"/>
      <c r="S742" s="8"/>
      <c r="T742" s="8"/>
      <c r="U742" s="8"/>
      <c r="V742" s="8"/>
      <c r="W742" s="8"/>
      <c r="X742" s="8"/>
      <c r="Y742" s="8"/>
      <c r="Z742" s="8"/>
      <c r="AA742" s="8"/>
    </row>
    <row r="743" spans="1:27" ht="15">
      <c r="A743" s="15"/>
      <c r="B743" s="36"/>
      <c r="C743" s="15"/>
      <c r="D743" s="37"/>
      <c r="E743" s="15"/>
      <c r="F743" s="15"/>
      <c r="G743" s="15"/>
      <c r="H743" s="15"/>
      <c r="I743" s="15"/>
      <c r="J743" s="39"/>
      <c r="K743" s="40"/>
      <c r="L743" s="8"/>
      <c r="M743" s="8"/>
      <c r="N743" s="8"/>
      <c r="O743" s="8"/>
      <c r="P743" s="8"/>
      <c r="Q743" s="8"/>
      <c r="R743" s="8"/>
      <c r="S743" s="8"/>
      <c r="T743" s="8"/>
      <c r="U743" s="8"/>
      <c r="V743" s="8"/>
      <c r="W743" s="8"/>
      <c r="X743" s="8"/>
      <c r="Y743" s="8"/>
      <c r="Z743" s="8"/>
      <c r="AA743" s="8"/>
    </row>
    <row r="744" spans="1:27" ht="15">
      <c r="A744" s="15"/>
      <c r="B744" s="36"/>
      <c r="C744" s="15"/>
      <c r="D744" s="37"/>
      <c r="E744" s="15"/>
      <c r="F744" s="15"/>
      <c r="G744" s="15"/>
      <c r="H744" s="15"/>
      <c r="I744" s="15"/>
      <c r="J744" s="39"/>
      <c r="K744" s="40"/>
      <c r="L744" s="8"/>
      <c r="M744" s="8"/>
      <c r="N744" s="8"/>
      <c r="O744" s="8"/>
      <c r="P744" s="8"/>
      <c r="Q744" s="8"/>
      <c r="R744" s="8"/>
      <c r="S744" s="8"/>
      <c r="T744" s="8"/>
      <c r="U744" s="8"/>
      <c r="V744" s="8"/>
      <c r="W744" s="8"/>
      <c r="X744" s="8"/>
      <c r="Y744" s="8"/>
      <c r="Z744" s="8"/>
      <c r="AA744" s="8"/>
    </row>
    <row r="745" spans="1:27" ht="15">
      <c r="A745" s="15"/>
      <c r="B745" s="36"/>
      <c r="C745" s="15"/>
      <c r="D745" s="37"/>
      <c r="E745" s="15"/>
      <c r="F745" s="15"/>
      <c r="G745" s="15"/>
      <c r="H745" s="15"/>
      <c r="I745" s="15"/>
      <c r="J745" s="39"/>
      <c r="K745" s="40"/>
      <c r="L745" s="8"/>
      <c r="M745" s="8"/>
      <c r="N745" s="8"/>
      <c r="O745" s="8"/>
      <c r="P745" s="8"/>
      <c r="Q745" s="8"/>
      <c r="R745" s="8"/>
      <c r="S745" s="8"/>
      <c r="T745" s="8"/>
      <c r="U745" s="8"/>
      <c r="V745" s="8"/>
      <c r="W745" s="8"/>
      <c r="X745" s="8"/>
      <c r="Y745" s="8"/>
      <c r="Z745" s="8"/>
      <c r="AA745" s="8"/>
    </row>
    <row r="746" spans="1:27" ht="15">
      <c r="A746" s="15"/>
      <c r="B746" s="36"/>
      <c r="C746" s="15"/>
      <c r="D746" s="37"/>
      <c r="E746" s="15"/>
      <c r="F746" s="15"/>
      <c r="G746" s="15"/>
      <c r="H746" s="15"/>
      <c r="I746" s="15"/>
      <c r="J746" s="39"/>
      <c r="K746" s="40"/>
      <c r="L746" s="8"/>
      <c r="M746" s="8"/>
      <c r="N746" s="8"/>
      <c r="O746" s="8"/>
      <c r="P746" s="8"/>
      <c r="Q746" s="8"/>
      <c r="R746" s="8"/>
      <c r="S746" s="8"/>
      <c r="T746" s="8"/>
      <c r="U746" s="8"/>
      <c r="V746" s="8"/>
      <c r="W746" s="8"/>
      <c r="X746" s="8"/>
      <c r="Y746" s="8"/>
      <c r="Z746" s="8"/>
      <c r="AA746" s="8"/>
    </row>
    <row r="747" spans="1:27" ht="15">
      <c r="A747" s="15"/>
      <c r="B747" s="36"/>
      <c r="C747" s="15"/>
      <c r="D747" s="37"/>
      <c r="E747" s="15"/>
      <c r="F747" s="15"/>
      <c r="G747" s="15"/>
      <c r="H747" s="15"/>
      <c r="I747" s="15"/>
      <c r="J747" s="39"/>
      <c r="K747" s="40"/>
      <c r="L747" s="8"/>
      <c r="M747" s="8"/>
      <c r="N747" s="8"/>
      <c r="O747" s="8"/>
      <c r="P747" s="8"/>
      <c r="Q747" s="8"/>
      <c r="R747" s="8"/>
      <c r="S747" s="8"/>
      <c r="T747" s="8"/>
      <c r="U747" s="8"/>
      <c r="V747" s="8"/>
      <c r="W747" s="8"/>
      <c r="X747" s="8"/>
      <c r="Y747" s="8"/>
      <c r="Z747" s="8"/>
      <c r="AA747" s="8"/>
    </row>
    <row r="748" spans="1:27" ht="15">
      <c r="A748" s="15"/>
      <c r="B748" s="36"/>
      <c r="C748" s="15"/>
      <c r="D748" s="37"/>
      <c r="E748" s="15"/>
      <c r="F748" s="15"/>
      <c r="G748" s="15"/>
      <c r="H748" s="15"/>
      <c r="I748" s="15"/>
      <c r="J748" s="39"/>
      <c r="K748" s="40"/>
      <c r="L748" s="8"/>
      <c r="M748" s="8"/>
      <c r="N748" s="8"/>
      <c r="O748" s="8"/>
      <c r="P748" s="8"/>
      <c r="Q748" s="8"/>
      <c r="R748" s="8"/>
      <c r="S748" s="8"/>
      <c r="T748" s="8"/>
      <c r="U748" s="8"/>
      <c r="V748" s="8"/>
      <c r="W748" s="8"/>
      <c r="X748" s="8"/>
      <c r="Y748" s="8"/>
      <c r="Z748" s="8"/>
      <c r="AA748" s="8"/>
    </row>
    <row r="749" spans="1:27" ht="15">
      <c r="A749" s="15"/>
      <c r="B749" s="36"/>
      <c r="C749" s="15"/>
      <c r="D749" s="37"/>
      <c r="E749" s="15"/>
      <c r="F749" s="15"/>
      <c r="G749" s="15"/>
      <c r="H749" s="15"/>
      <c r="I749" s="15"/>
      <c r="J749" s="39"/>
      <c r="K749" s="40"/>
      <c r="L749" s="8"/>
      <c r="M749" s="8"/>
      <c r="N749" s="8"/>
      <c r="O749" s="8"/>
      <c r="P749" s="8"/>
      <c r="Q749" s="8"/>
      <c r="R749" s="8"/>
      <c r="S749" s="8"/>
      <c r="T749" s="8"/>
      <c r="U749" s="8"/>
      <c r="V749" s="8"/>
      <c r="W749" s="8"/>
      <c r="X749" s="8"/>
      <c r="Y749" s="8"/>
      <c r="Z749" s="8"/>
      <c r="AA749" s="8"/>
    </row>
    <row r="750" spans="1:27" ht="15">
      <c r="A750" s="15"/>
      <c r="B750" s="36"/>
      <c r="C750" s="15"/>
      <c r="D750" s="37"/>
      <c r="E750" s="15"/>
      <c r="F750" s="15"/>
      <c r="G750" s="15"/>
      <c r="H750" s="15"/>
      <c r="I750" s="15"/>
      <c r="J750" s="39"/>
      <c r="K750" s="40"/>
      <c r="L750" s="8"/>
      <c r="M750" s="8"/>
      <c r="N750" s="8"/>
      <c r="O750" s="8"/>
      <c r="P750" s="8"/>
      <c r="Q750" s="8"/>
      <c r="R750" s="8"/>
      <c r="S750" s="8"/>
      <c r="T750" s="8"/>
      <c r="U750" s="8"/>
      <c r="V750" s="8"/>
      <c r="W750" s="8"/>
      <c r="X750" s="8"/>
      <c r="Y750" s="8"/>
      <c r="Z750" s="8"/>
      <c r="AA750" s="8"/>
    </row>
    <row r="751" spans="1:27" ht="15">
      <c r="A751" s="15"/>
      <c r="B751" s="36"/>
      <c r="C751" s="15"/>
      <c r="D751" s="37"/>
      <c r="E751" s="15"/>
      <c r="F751" s="15"/>
      <c r="G751" s="15"/>
      <c r="H751" s="15"/>
      <c r="I751" s="15"/>
      <c r="J751" s="39"/>
      <c r="K751" s="40"/>
      <c r="L751" s="8"/>
      <c r="M751" s="8"/>
      <c r="N751" s="8"/>
      <c r="O751" s="8"/>
      <c r="P751" s="8"/>
      <c r="Q751" s="8"/>
      <c r="R751" s="8"/>
      <c r="S751" s="8"/>
      <c r="T751" s="8"/>
      <c r="U751" s="8"/>
      <c r="V751" s="8"/>
      <c r="W751" s="8"/>
      <c r="X751" s="8"/>
      <c r="Y751" s="8"/>
      <c r="Z751" s="8"/>
      <c r="AA751" s="8"/>
    </row>
    <row r="752" spans="1:27" ht="15">
      <c r="A752" s="15"/>
      <c r="B752" s="36"/>
      <c r="C752" s="15"/>
      <c r="D752" s="37"/>
      <c r="E752" s="15"/>
      <c r="F752" s="15"/>
      <c r="G752" s="15"/>
      <c r="H752" s="15"/>
      <c r="I752" s="15"/>
      <c r="J752" s="39"/>
      <c r="K752" s="40"/>
      <c r="L752" s="8"/>
      <c r="M752" s="8"/>
      <c r="N752" s="8"/>
      <c r="O752" s="8"/>
      <c r="P752" s="8"/>
      <c r="Q752" s="8"/>
      <c r="R752" s="8"/>
      <c r="S752" s="8"/>
      <c r="T752" s="8"/>
      <c r="U752" s="8"/>
      <c r="V752" s="8"/>
      <c r="W752" s="8"/>
      <c r="X752" s="8"/>
      <c r="Y752" s="8"/>
      <c r="Z752" s="8"/>
      <c r="AA752" s="8"/>
    </row>
    <row r="753" spans="1:27" ht="15">
      <c r="A753" s="15"/>
      <c r="B753" s="36"/>
      <c r="C753" s="15"/>
      <c r="D753" s="37"/>
      <c r="E753" s="15"/>
      <c r="F753" s="15"/>
      <c r="G753" s="15"/>
      <c r="H753" s="15"/>
      <c r="I753" s="15"/>
      <c r="J753" s="39"/>
      <c r="K753" s="40"/>
      <c r="L753" s="8"/>
      <c r="M753" s="8"/>
      <c r="N753" s="8"/>
      <c r="O753" s="8"/>
      <c r="P753" s="8"/>
      <c r="Q753" s="8"/>
      <c r="R753" s="8"/>
      <c r="S753" s="8"/>
      <c r="T753" s="8"/>
      <c r="U753" s="8"/>
      <c r="V753" s="8"/>
      <c r="W753" s="8"/>
      <c r="X753" s="8"/>
      <c r="Y753" s="8"/>
      <c r="Z753" s="8"/>
      <c r="AA753" s="8"/>
    </row>
    <row r="754" spans="1:27" ht="15">
      <c r="A754" s="15"/>
      <c r="B754" s="36"/>
      <c r="C754" s="15"/>
      <c r="D754" s="37"/>
      <c r="E754" s="15"/>
      <c r="F754" s="15"/>
      <c r="G754" s="15"/>
      <c r="H754" s="15"/>
      <c r="I754" s="15"/>
      <c r="J754" s="39"/>
      <c r="K754" s="40"/>
      <c r="L754" s="8"/>
      <c r="M754" s="8"/>
      <c r="N754" s="8"/>
      <c r="O754" s="8"/>
      <c r="P754" s="8"/>
      <c r="Q754" s="8"/>
      <c r="R754" s="8"/>
      <c r="S754" s="8"/>
      <c r="T754" s="8"/>
      <c r="U754" s="8"/>
      <c r="V754" s="8"/>
      <c r="W754" s="8"/>
      <c r="X754" s="8"/>
      <c r="Y754" s="8"/>
      <c r="Z754" s="8"/>
      <c r="AA754" s="8"/>
    </row>
    <row r="755" spans="1:27" ht="15">
      <c r="A755" s="15"/>
      <c r="B755" s="36"/>
      <c r="C755" s="15"/>
      <c r="D755" s="37"/>
      <c r="E755" s="15"/>
      <c r="F755" s="15"/>
      <c r="G755" s="15"/>
      <c r="H755" s="15"/>
      <c r="I755" s="15"/>
      <c r="J755" s="39"/>
      <c r="K755" s="40"/>
      <c r="L755" s="8"/>
      <c r="M755" s="8"/>
      <c r="N755" s="8"/>
      <c r="O755" s="8"/>
      <c r="P755" s="8"/>
      <c r="Q755" s="8"/>
      <c r="R755" s="8"/>
      <c r="S755" s="8"/>
      <c r="T755" s="8"/>
      <c r="U755" s="8"/>
      <c r="V755" s="8"/>
      <c r="W755" s="8"/>
      <c r="X755" s="8"/>
      <c r="Y755" s="8"/>
      <c r="Z755" s="8"/>
      <c r="AA755" s="8"/>
    </row>
    <row r="756" spans="1:27" ht="15">
      <c r="A756" s="15"/>
      <c r="B756" s="36"/>
      <c r="C756" s="15"/>
      <c r="D756" s="37"/>
      <c r="E756" s="15"/>
      <c r="F756" s="15"/>
      <c r="G756" s="15"/>
      <c r="H756" s="15"/>
      <c r="I756" s="15"/>
      <c r="J756" s="39"/>
      <c r="K756" s="40"/>
      <c r="L756" s="8"/>
      <c r="M756" s="8"/>
      <c r="N756" s="8"/>
      <c r="O756" s="8"/>
      <c r="P756" s="8"/>
      <c r="Q756" s="8"/>
      <c r="R756" s="8"/>
      <c r="S756" s="8"/>
      <c r="T756" s="8"/>
      <c r="U756" s="8"/>
      <c r="V756" s="8"/>
      <c r="W756" s="8"/>
      <c r="X756" s="8"/>
      <c r="Y756" s="8"/>
      <c r="Z756" s="8"/>
      <c r="AA756" s="8"/>
    </row>
    <row r="757" spans="1:27" ht="15">
      <c r="A757" s="15"/>
      <c r="B757" s="36"/>
      <c r="C757" s="15"/>
      <c r="D757" s="37"/>
      <c r="E757" s="15"/>
      <c r="F757" s="15"/>
      <c r="G757" s="15"/>
      <c r="H757" s="15"/>
      <c r="I757" s="15"/>
      <c r="J757" s="39"/>
      <c r="K757" s="40"/>
      <c r="L757" s="8"/>
      <c r="M757" s="8"/>
      <c r="N757" s="8"/>
      <c r="O757" s="8"/>
      <c r="P757" s="8"/>
      <c r="Q757" s="8"/>
      <c r="R757" s="8"/>
      <c r="S757" s="8"/>
      <c r="T757" s="8"/>
      <c r="U757" s="8"/>
      <c r="V757" s="8"/>
      <c r="W757" s="8"/>
      <c r="X757" s="8"/>
      <c r="Y757" s="8"/>
      <c r="Z757" s="8"/>
      <c r="AA757" s="8"/>
    </row>
    <row r="758" spans="1:27" ht="15">
      <c r="A758" s="15"/>
      <c r="B758" s="36"/>
      <c r="C758" s="15"/>
      <c r="D758" s="37"/>
      <c r="E758" s="15"/>
      <c r="F758" s="15"/>
      <c r="G758" s="15"/>
      <c r="H758" s="15"/>
      <c r="I758" s="15"/>
      <c r="J758" s="39"/>
      <c r="K758" s="40"/>
      <c r="L758" s="8"/>
      <c r="M758" s="8"/>
      <c r="N758" s="8"/>
      <c r="O758" s="8"/>
      <c r="P758" s="8"/>
      <c r="Q758" s="8"/>
      <c r="R758" s="8"/>
      <c r="S758" s="8"/>
      <c r="T758" s="8"/>
      <c r="U758" s="8"/>
      <c r="V758" s="8"/>
      <c r="W758" s="8"/>
      <c r="X758" s="8"/>
      <c r="Y758" s="8"/>
      <c r="Z758" s="8"/>
      <c r="AA758" s="8"/>
    </row>
    <row r="759" spans="1:27" ht="15">
      <c r="A759" s="15"/>
      <c r="B759" s="36"/>
      <c r="C759" s="15"/>
      <c r="D759" s="37"/>
      <c r="E759" s="15"/>
      <c r="F759" s="15"/>
      <c r="G759" s="15"/>
      <c r="H759" s="15"/>
      <c r="I759" s="15"/>
      <c r="J759" s="39"/>
      <c r="K759" s="40"/>
      <c r="L759" s="8"/>
      <c r="M759" s="8"/>
      <c r="N759" s="8"/>
      <c r="O759" s="8"/>
      <c r="P759" s="8"/>
      <c r="Q759" s="8"/>
      <c r="R759" s="8"/>
      <c r="S759" s="8"/>
      <c r="T759" s="8"/>
      <c r="U759" s="8"/>
      <c r="V759" s="8"/>
      <c r="W759" s="8"/>
      <c r="X759" s="8"/>
      <c r="Y759" s="8"/>
      <c r="Z759" s="8"/>
      <c r="AA759" s="8"/>
    </row>
    <row r="760" spans="1:27" ht="15">
      <c r="A760" s="15"/>
      <c r="B760" s="36"/>
      <c r="C760" s="15"/>
      <c r="D760" s="37"/>
      <c r="E760" s="15"/>
      <c r="F760" s="15"/>
      <c r="G760" s="15"/>
      <c r="H760" s="15"/>
      <c r="I760" s="15"/>
      <c r="J760" s="39"/>
      <c r="K760" s="40"/>
      <c r="L760" s="8"/>
      <c r="M760" s="8"/>
      <c r="N760" s="8"/>
      <c r="O760" s="8"/>
      <c r="P760" s="8"/>
      <c r="Q760" s="8"/>
      <c r="R760" s="8"/>
      <c r="S760" s="8"/>
      <c r="T760" s="8"/>
      <c r="U760" s="8"/>
      <c r="V760" s="8"/>
      <c r="W760" s="8"/>
      <c r="X760" s="8"/>
      <c r="Y760" s="8"/>
      <c r="Z760" s="8"/>
      <c r="AA760" s="8"/>
    </row>
    <row r="761" spans="1:27" ht="15">
      <c r="A761" s="15"/>
      <c r="B761" s="36"/>
      <c r="C761" s="15"/>
      <c r="D761" s="37"/>
      <c r="E761" s="15"/>
      <c r="F761" s="15"/>
      <c r="G761" s="15"/>
      <c r="H761" s="15"/>
      <c r="I761" s="15"/>
      <c r="J761" s="39"/>
      <c r="K761" s="40"/>
      <c r="L761" s="8"/>
      <c r="M761" s="8"/>
      <c r="N761" s="8"/>
      <c r="O761" s="8"/>
      <c r="P761" s="8"/>
      <c r="Q761" s="8"/>
      <c r="R761" s="8"/>
      <c r="S761" s="8"/>
      <c r="T761" s="8"/>
      <c r="U761" s="8"/>
      <c r="V761" s="8"/>
      <c r="W761" s="8"/>
      <c r="X761" s="8"/>
      <c r="Y761" s="8"/>
      <c r="Z761" s="8"/>
      <c r="AA761" s="8"/>
    </row>
    <row r="762" spans="1:27" ht="15">
      <c r="A762" s="15"/>
      <c r="B762" s="36"/>
      <c r="C762" s="15"/>
      <c r="D762" s="37"/>
      <c r="E762" s="15"/>
      <c r="F762" s="15"/>
      <c r="G762" s="15"/>
      <c r="H762" s="15"/>
      <c r="I762" s="15"/>
      <c r="J762" s="39"/>
      <c r="K762" s="40"/>
      <c r="L762" s="8"/>
      <c r="M762" s="8"/>
      <c r="N762" s="8"/>
      <c r="O762" s="8"/>
      <c r="P762" s="8"/>
      <c r="Q762" s="8"/>
      <c r="R762" s="8"/>
      <c r="S762" s="8"/>
      <c r="T762" s="8"/>
      <c r="U762" s="8"/>
      <c r="V762" s="8"/>
      <c r="W762" s="8"/>
      <c r="X762" s="8"/>
      <c r="Y762" s="8"/>
      <c r="Z762" s="8"/>
      <c r="AA762" s="8"/>
    </row>
    <row r="763" spans="1:27" ht="15">
      <c r="A763" s="15"/>
      <c r="B763" s="36"/>
      <c r="C763" s="15"/>
      <c r="D763" s="37"/>
      <c r="E763" s="15"/>
      <c r="F763" s="15"/>
      <c r="G763" s="15"/>
      <c r="H763" s="15"/>
      <c r="I763" s="15"/>
      <c r="J763" s="39"/>
      <c r="K763" s="40"/>
      <c r="L763" s="8"/>
      <c r="M763" s="8"/>
      <c r="N763" s="8"/>
      <c r="O763" s="8"/>
      <c r="P763" s="8"/>
      <c r="Q763" s="8"/>
      <c r="R763" s="8"/>
      <c r="S763" s="8"/>
      <c r="T763" s="8"/>
      <c r="U763" s="8"/>
      <c r="V763" s="8"/>
      <c r="W763" s="8"/>
      <c r="X763" s="8"/>
      <c r="Y763" s="8"/>
      <c r="Z763" s="8"/>
      <c r="AA763" s="8"/>
    </row>
    <row r="764" spans="1:27" ht="15">
      <c r="A764" s="15"/>
      <c r="B764" s="36"/>
      <c r="C764" s="15"/>
      <c r="D764" s="37"/>
      <c r="E764" s="15"/>
      <c r="F764" s="15"/>
      <c r="G764" s="15"/>
      <c r="H764" s="15"/>
      <c r="I764" s="15"/>
      <c r="J764" s="39"/>
      <c r="K764" s="40"/>
      <c r="L764" s="8"/>
      <c r="M764" s="8"/>
      <c r="N764" s="8"/>
      <c r="O764" s="8"/>
      <c r="P764" s="8"/>
      <c r="Q764" s="8"/>
      <c r="R764" s="8"/>
      <c r="S764" s="8"/>
      <c r="T764" s="8"/>
      <c r="U764" s="8"/>
      <c r="V764" s="8"/>
      <c r="W764" s="8"/>
      <c r="X764" s="8"/>
      <c r="Y764" s="8"/>
      <c r="Z764" s="8"/>
      <c r="AA764" s="8"/>
    </row>
    <row r="765" spans="1:27" ht="15">
      <c r="A765" s="15"/>
      <c r="B765" s="36"/>
      <c r="C765" s="15"/>
      <c r="D765" s="37"/>
      <c r="E765" s="15"/>
      <c r="F765" s="15"/>
      <c r="G765" s="15"/>
      <c r="H765" s="15"/>
      <c r="I765" s="15"/>
      <c r="J765" s="39"/>
      <c r="K765" s="40"/>
      <c r="L765" s="8"/>
      <c r="M765" s="8"/>
      <c r="N765" s="8"/>
      <c r="O765" s="8"/>
      <c r="P765" s="8"/>
      <c r="Q765" s="8"/>
      <c r="R765" s="8"/>
      <c r="S765" s="8"/>
      <c r="T765" s="8"/>
      <c r="U765" s="8"/>
      <c r="V765" s="8"/>
      <c r="W765" s="8"/>
      <c r="X765" s="8"/>
      <c r="Y765" s="8"/>
      <c r="Z765" s="8"/>
      <c r="AA765" s="8"/>
    </row>
    <row r="766" spans="1:27" ht="15">
      <c r="A766" s="15"/>
      <c r="B766" s="36"/>
      <c r="C766" s="15"/>
      <c r="D766" s="37"/>
      <c r="E766" s="15"/>
      <c r="F766" s="15"/>
      <c r="G766" s="15"/>
      <c r="H766" s="15"/>
      <c r="I766" s="15"/>
      <c r="J766" s="39"/>
      <c r="K766" s="40"/>
      <c r="L766" s="8"/>
      <c r="M766" s="8"/>
      <c r="N766" s="8"/>
      <c r="O766" s="8"/>
      <c r="P766" s="8"/>
      <c r="Q766" s="8"/>
      <c r="R766" s="8"/>
      <c r="S766" s="8"/>
      <c r="T766" s="8"/>
      <c r="U766" s="8"/>
      <c r="V766" s="8"/>
      <c r="W766" s="8"/>
      <c r="X766" s="8"/>
      <c r="Y766" s="8"/>
      <c r="Z766" s="8"/>
      <c r="AA766" s="8"/>
    </row>
    <row r="767" spans="1:27" ht="15">
      <c r="A767" s="15"/>
      <c r="B767" s="36"/>
      <c r="C767" s="15"/>
      <c r="D767" s="37"/>
      <c r="E767" s="15"/>
      <c r="F767" s="15"/>
      <c r="G767" s="15"/>
      <c r="H767" s="15"/>
      <c r="I767" s="15"/>
      <c r="J767" s="39"/>
      <c r="K767" s="40"/>
      <c r="L767" s="8"/>
      <c r="M767" s="8"/>
      <c r="N767" s="8"/>
      <c r="O767" s="8"/>
      <c r="P767" s="8"/>
      <c r="Q767" s="8"/>
      <c r="R767" s="8"/>
      <c r="S767" s="8"/>
      <c r="T767" s="8"/>
      <c r="U767" s="8"/>
      <c r="V767" s="8"/>
      <c r="W767" s="8"/>
      <c r="X767" s="8"/>
      <c r="Y767" s="8"/>
      <c r="Z767" s="8"/>
      <c r="AA767" s="8"/>
    </row>
    <row r="768" spans="1:27" ht="15">
      <c r="A768" s="15"/>
      <c r="B768" s="36"/>
      <c r="C768" s="15"/>
      <c r="D768" s="37"/>
      <c r="E768" s="15"/>
      <c r="F768" s="15"/>
      <c r="G768" s="15"/>
      <c r="H768" s="15"/>
      <c r="I768" s="15"/>
      <c r="J768" s="39"/>
      <c r="K768" s="40"/>
      <c r="L768" s="8"/>
      <c r="M768" s="8"/>
      <c r="N768" s="8"/>
      <c r="O768" s="8"/>
      <c r="P768" s="8"/>
      <c r="Q768" s="8"/>
      <c r="R768" s="8"/>
      <c r="S768" s="8"/>
      <c r="T768" s="8"/>
      <c r="U768" s="8"/>
      <c r="V768" s="8"/>
      <c r="W768" s="8"/>
      <c r="X768" s="8"/>
      <c r="Y768" s="8"/>
      <c r="Z768" s="8"/>
      <c r="AA768" s="8"/>
    </row>
    <row r="769" spans="1:27" ht="15">
      <c r="A769" s="15"/>
      <c r="B769" s="36"/>
      <c r="C769" s="15"/>
      <c r="D769" s="37"/>
      <c r="E769" s="15"/>
      <c r="F769" s="15"/>
      <c r="G769" s="15"/>
      <c r="H769" s="15"/>
      <c r="I769" s="15"/>
      <c r="J769" s="39"/>
      <c r="K769" s="40"/>
      <c r="L769" s="8"/>
      <c r="M769" s="8"/>
      <c r="N769" s="8"/>
      <c r="O769" s="8"/>
      <c r="P769" s="8"/>
      <c r="Q769" s="8"/>
      <c r="R769" s="8"/>
      <c r="S769" s="8"/>
      <c r="T769" s="8"/>
      <c r="U769" s="8"/>
      <c r="V769" s="8"/>
      <c r="W769" s="8"/>
      <c r="X769" s="8"/>
      <c r="Y769" s="8"/>
      <c r="Z769" s="8"/>
      <c r="AA769" s="8"/>
    </row>
    <row r="770" spans="1:27" ht="15">
      <c r="A770" s="15"/>
      <c r="B770" s="36"/>
      <c r="C770" s="15"/>
      <c r="D770" s="37"/>
      <c r="E770" s="15"/>
      <c r="F770" s="15"/>
      <c r="G770" s="15"/>
      <c r="H770" s="15"/>
      <c r="I770" s="15"/>
      <c r="J770" s="39"/>
      <c r="K770" s="40"/>
      <c r="L770" s="8"/>
      <c r="M770" s="8"/>
      <c r="N770" s="8"/>
      <c r="O770" s="8"/>
      <c r="P770" s="8"/>
      <c r="Q770" s="8"/>
      <c r="R770" s="8"/>
      <c r="S770" s="8"/>
      <c r="T770" s="8"/>
      <c r="U770" s="8"/>
      <c r="V770" s="8"/>
      <c r="W770" s="8"/>
      <c r="X770" s="8"/>
      <c r="Y770" s="8"/>
      <c r="Z770" s="8"/>
      <c r="AA770" s="8"/>
    </row>
    <row r="771" spans="1:27" ht="15">
      <c r="A771" s="15"/>
      <c r="B771" s="36"/>
      <c r="C771" s="15"/>
      <c r="D771" s="37"/>
      <c r="E771" s="15"/>
      <c r="F771" s="15"/>
      <c r="G771" s="15"/>
      <c r="H771" s="15"/>
      <c r="I771" s="15"/>
      <c r="J771" s="39"/>
      <c r="K771" s="40"/>
      <c r="L771" s="8"/>
      <c r="M771" s="8"/>
      <c r="N771" s="8"/>
      <c r="O771" s="8"/>
      <c r="P771" s="8"/>
      <c r="Q771" s="8"/>
      <c r="R771" s="8"/>
      <c r="S771" s="8"/>
      <c r="T771" s="8"/>
      <c r="U771" s="8"/>
      <c r="V771" s="8"/>
      <c r="W771" s="8"/>
      <c r="X771" s="8"/>
      <c r="Y771" s="8"/>
      <c r="Z771" s="8"/>
      <c r="AA771" s="8"/>
    </row>
    <row r="772" spans="1:27" ht="15">
      <c r="A772" s="15"/>
      <c r="B772" s="36"/>
      <c r="C772" s="15"/>
      <c r="D772" s="37"/>
      <c r="E772" s="15"/>
      <c r="F772" s="15"/>
      <c r="G772" s="15"/>
      <c r="H772" s="15"/>
      <c r="I772" s="15"/>
      <c r="J772" s="39"/>
      <c r="K772" s="40"/>
      <c r="L772" s="8"/>
      <c r="M772" s="8"/>
      <c r="N772" s="8"/>
      <c r="O772" s="8"/>
      <c r="P772" s="8"/>
      <c r="Q772" s="8"/>
      <c r="R772" s="8"/>
      <c r="S772" s="8"/>
      <c r="T772" s="8"/>
      <c r="U772" s="8"/>
      <c r="V772" s="8"/>
      <c r="W772" s="8"/>
      <c r="X772" s="8"/>
      <c r="Y772" s="8"/>
      <c r="Z772" s="8"/>
      <c r="AA772" s="8"/>
    </row>
    <row r="773" spans="1:27" ht="15">
      <c r="A773" s="15"/>
      <c r="B773" s="36"/>
      <c r="C773" s="15"/>
      <c r="D773" s="37"/>
      <c r="E773" s="15"/>
      <c r="F773" s="15"/>
      <c r="G773" s="15"/>
      <c r="H773" s="15"/>
      <c r="I773" s="15"/>
      <c r="J773" s="39"/>
      <c r="K773" s="40"/>
      <c r="L773" s="8"/>
      <c r="M773" s="8"/>
      <c r="N773" s="8"/>
      <c r="O773" s="8"/>
      <c r="P773" s="8"/>
      <c r="Q773" s="8"/>
      <c r="R773" s="8"/>
      <c r="S773" s="8"/>
      <c r="T773" s="8"/>
      <c r="U773" s="8"/>
      <c r="V773" s="8"/>
      <c r="W773" s="8"/>
      <c r="X773" s="8"/>
      <c r="Y773" s="8"/>
      <c r="Z773" s="8"/>
      <c r="AA773" s="8"/>
    </row>
    <row r="774" spans="1:27" ht="15">
      <c r="A774" s="15"/>
      <c r="B774" s="36"/>
      <c r="C774" s="15"/>
      <c r="D774" s="37"/>
      <c r="E774" s="15"/>
      <c r="F774" s="15"/>
      <c r="G774" s="15"/>
      <c r="H774" s="15"/>
      <c r="I774" s="15"/>
      <c r="J774" s="39"/>
      <c r="K774" s="40"/>
      <c r="L774" s="8"/>
      <c r="M774" s="8"/>
      <c r="N774" s="8"/>
      <c r="O774" s="8"/>
      <c r="P774" s="8"/>
      <c r="Q774" s="8"/>
      <c r="R774" s="8"/>
      <c r="S774" s="8"/>
      <c r="T774" s="8"/>
      <c r="U774" s="8"/>
      <c r="V774" s="8"/>
      <c r="W774" s="8"/>
      <c r="X774" s="8"/>
      <c r="Y774" s="8"/>
      <c r="Z774" s="8"/>
      <c r="AA774" s="8"/>
    </row>
    <row r="775" spans="1:27" ht="15">
      <c r="A775" s="15"/>
      <c r="B775" s="36"/>
      <c r="C775" s="15"/>
      <c r="D775" s="37"/>
      <c r="E775" s="15"/>
      <c r="F775" s="15"/>
      <c r="G775" s="15"/>
      <c r="H775" s="15"/>
      <c r="I775" s="15"/>
      <c r="J775" s="39"/>
      <c r="K775" s="40"/>
      <c r="L775" s="8"/>
      <c r="M775" s="8"/>
      <c r="N775" s="8"/>
      <c r="O775" s="8"/>
      <c r="P775" s="8"/>
      <c r="Q775" s="8"/>
      <c r="R775" s="8"/>
      <c r="S775" s="8"/>
      <c r="T775" s="8"/>
      <c r="U775" s="8"/>
      <c r="V775" s="8"/>
      <c r="W775" s="8"/>
      <c r="X775" s="8"/>
      <c r="Y775" s="8"/>
      <c r="Z775" s="8"/>
      <c r="AA775" s="8"/>
    </row>
    <row r="776" spans="1:27" ht="15">
      <c r="A776" s="15"/>
      <c r="B776" s="36"/>
      <c r="C776" s="15"/>
      <c r="D776" s="37"/>
      <c r="E776" s="15"/>
      <c r="F776" s="15"/>
      <c r="G776" s="15"/>
      <c r="H776" s="15"/>
      <c r="I776" s="15"/>
      <c r="J776" s="39"/>
      <c r="K776" s="40"/>
      <c r="L776" s="8"/>
      <c r="M776" s="8"/>
      <c r="N776" s="8"/>
      <c r="O776" s="8"/>
      <c r="P776" s="8"/>
      <c r="Q776" s="8"/>
      <c r="R776" s="8"/>
      <c r="S776" s="8"/>
      <c r="T776" s="8"/>
      <c r="U776" s="8"/>
      <c r="V776" s="8"/>
      <c r="W776" s="8"/>
      <c r="X776" s="8"/>
      <c r="Y776" s="8"/>
      <c r="Z776" s="8"/>
      <c r="AA776" s="8"/>
    </row>
    <row r="777" spans="1:27" ht="15">
      <c r="A777" s="15"/>
      <c r="B777" s="36"/>
      <c r="C777" s="15"/>
      <c r="D777" s="37"/>
      <c r="E777" s="15"/>
      <c r="F777" s="15"/>
      <c r="G777" s="15"/>
      <c r="H777" s="15"/>
      <c r="I777" s="15"/>
      <c r="J777" s="39"/>
      <c r="K777" s="40"/>
      <c r="L777" s="8"/>
      <c r="M777" s="8"/>
      <c r="N777" s="8"/>
      <c r="O777" s="8"/>
      <c r="P777" s="8"/>
      <c r="Q777" s="8"/>
      <c r="R777" s="8"/>
      <c r="S777" s="8"/>
      <c r="T777" s="8"/>
      <c r="U777" s="8"/>
      <c r="V777" s="8"/>
      <c r="W777" s="8"/>
      <c r="X777" s="8"/>
      <c r="Y777" s="8"/>
      <c r="Z777" s="8"/>
      <c r="AA777" s="8"/>
    </row>
    <row r="778" spans="1:27" ht="15">
      <c r="A778" s="15"/>
      <c r="B778" s="36"/>
      <c r="C778" s="15"/>
      <c r="D778" s="37"/>
      <c r="E778" s="15"/>
      <c r="F778" s="15"/>
      <c r="G778" s="15"/>
      <c r="H778" s="15"/>
      <c r="I778" s="15"/>
      <c r="J778" s="39"/>
      <c r="K778" s="40"/>
      <c r="L778" s="8"/>
      <c r="M778" s="8"/>
      <c r="N778" s="8"/>
      <c r="O778" s="8"/>
      <c r="P778" s="8"/>
      <c r="Q778" s="8"/>
      <c r="R778" s="8"/>
      <c r="S778" s="8"/>
      <c r="T778" s="8"/>
      <c r="U778" s="8"/>
      <c r="V778" s="8"/>
      <c r="W778" s="8"/>
      <c r="X778" s="8"/>
      <c r="Y778" s="8"/>
      <c r="Z778" s="8"/>
      <c r="AA778" s="8"/>
    </row>
    <row r="779" spans="1:27" ht="15">
      <c r="A779" s="15"/>
      <c r="B779" s="36"/>
      <c r="C779" s="15"/>
      <c r="D779" s="37"/>
      <c r="E779" s="15"/>
      <c r="F779" s="15"/>
      <c r="G779" s="15"/>
      <c r="H779" s="15"/>
      <c r="I779" s="15"/>
      <c r="J779" s="39"/>
      <c r="K779" s="40"/>
      <c r="L779" s="8"/>
      <c r="M779" s="8"/>
      <c r="N779" s="8"/>
      <c r="O779" s="8"/>
      <c r="P779" s="8"/>
      <c r="Q779" s="8"/>
      <c r="R779" s="8"/>
      <c r="S779" s="8"/>
      <c r="T779" s="8"/>
      <c r="U779" s="8"/>
      <c r="V779" s="8"/>
      <c r="W779" s="8"/>
      <c r="X779" s="8"/>
      <c r="Y779" s="8"/>
      <c r="Z779" s="8"/>
      <c r="AA779" s="8"/>
    </row>
    <row r="780" spans="1:27" ht="15">
      <c r="A780" s="15"/>
      <c r="B780" s="36"/>
      <c r="C780" s="15"/>
      <c r="D780" s="37"/>
      <c r="E780" s="15"/>
      <c r="F780" s="15"/>
      <c r="G780" s="15"/>
      <c r="H780" s="15"/>
      <c r="I780" s="15"/>
      <c r="J780" s="39"/>
      <c r="K780" s="40"/>
      <c r="L780" s="8"/>
      <c r="M780" s="8"/>
      <c r="N780" s="8"/>
      <c r="O780" s="8"/>
      <c r="P780" s="8"/>
      <c r="Q780" s="8"/>
      <c r="R780" s="8"/>
      <c r="S780" s="8"/>
      <c r="T780" s="8"/>
      <c r="U780" s="8"/>
      <c r="V780" s="8"/>
      <c r="W780" s="8"/>
      <c r="X780" s="8"/>
      <c r="Y780" s="8"/>
      <c r="Z780" s="8"/>
      <c r="AA780" s="8"/>
    </row>
    <row r="781" spans="1:27" ht="15">
      <c r="A781" s="15"/>
      <c r="B781" s="36"/>
      <c r="C781" s="15"/>
      <c r="D781" s="37"/>
      <c r="E781" s="15"/>
      <c r="F781" s="15"/>
      <c r="G781" s="15"/>
      <c r="H781" s="15"/>
      <c r="I781" s="15"/>
      <c r="J781" s="39"/>
      <c r="K781" s="40"/>
      <c r="L781" s="8"/>
      <c r="M781" s="8"/>
      <c r="N781" s="8"/>
      <c r="O781" s="8"/>
      <c r="P781" s="8"/>
      <c r="Q781" s="8"/>
      <c r="R781" s="8"/>
      <c r="S781" s="8"/>
      <c r="T781" s="8"/>
      <c r="U781" s="8"/>
      <c r="V781" s="8"/>
      <c r="W781" s="8"/>
      <c r="X781" s="8"/>
      <c r="Y781" s="8"/>
      <c r="Z781" s="8"/>
      <c r="AA781" s="8"/>
    </row>
    <row r="782" spans="1:27" ht="15">
      <c r="A782" s="15"/>
      <c r="B782" s="36"/>
      <c r="C782" s="15"/>
      <c r="D782" s="37"/>
      <c r="E782" s="15"/>
      <c r="F782" s="15"/>
      <c r="G782" s="15"/>
      <c r="H782" s="15"/>
      <c r="I782" s="15"/>
      <c r="J782" s="39"/>
      <c r="K782" s="40"/>
      <c r="L782" s="8"/>
      <c r="M782" s="8"/>
      <c r="N782" s="8"/>
      <c r="O782" s="8"/>
      <c r="P782" s="8"/>
      <c r="Q782" s="8"/>
      <c r="R782" s="8"/>
      <c r="S782" s="8"/>
      <c r="T782" s="8"/>
      <c r="U782" s="8"/>
      <c r="V782" s="8"/>
      <c r="W782" s="8"/>
      <c r="X782" s="8"/>
      <c r="Y782" s="8"/>
      <c r="Z782" s="8"/>
      <c r="AA782" s="8"/>
    </row>
    <row r="783" spans="1:27" ht="15">
      <c r="A783" s="15"/>
      <c r="B783" s="36"/>
      <c r="C783" s="15"/>
      <c r="D783" s="37"/>
      <c r="E783" s="15"/>
      <c r="F783" s="15"/>
      <c r="G783" s="15"/>
      <c r="H783" s="15"/>
      <c r="I783" s="15"/>
      <c r="J783" s="39"/>
      <c r="K783" s="40"/>
      <c r="L783" s="8"/>
      <c r="M783" s="8"/>
      <c r="N783" s="8"/>
      <c r="O783" s="8"/>
      <c r="P783" s="8"/>
      <c r="Q783" s="8"/>
      <c r="R783" s="8"/>
      <c r="S783" s="8"/>
      <c r="T783" s="8"/>
      <c r="U783" s="8"/>
      <c r="V783" s="8"/>
      <c r="W783" s="8"/>
      <c r="X783" s="8"/>
      <c r="Y783" s="8"/>
      <c r="Z783" s="8"/>
      <c r="AA783" s="8"/>
    </row>
    <row r="784" spans="1:27" ht="15">
      <c r="A784" s="15"/>
      <c r="B784" s="36"/>
      <c r="C784" s="15"/>
      <c r="D784" s="37"/>
      <c r="E784" s="15"/>
      <c r="F784" s="15"/>
      <c r="G784" s="15"/>
      <c r="H784" s="15"/>
      <c r="I784" s="15"/>
      <c r="J784" s="39"/>
      <c r="K784" s="40"/>
      <c r="L784" s="8"/>
      <c r="M784" s="8"/>
      <c r="N784" s="8"/>
      <c r="O784" s="8"/>
      <c r="P784" s="8"/>
      <c r="Q784" s="8"/>
      <c r="R784" s="8"/>
      <c r="S784" s="8"/>
      <c r="T784" s="8"/>
      <c r="U784" s="8"/>
      <c r="V784" s="8"/>
      <c r="W784" s="8"/>
      <c r="X784" s="8"/>
      <c r="Y784" s="8"/>
      <c r="Z784" s="8"/>
      <c r="AA784" s="8"/>
    </row>
    <row r="785" spans="1:27" ht="15">
      <c r="A785" s="15"/>
      <c r="B785" s="36"/>
      <c r="C785" s="15"/>
      <c r="D785" s="37"/>
      <c r="E785" s="15"/>
      <c r="F785" s="15"/>
      <c r="G785" s="15"/>
      <c r="H785" s="15"/>
      <c r="I785" s="15"/>
      <c r="J785" s="39"/>
      <c r="K785" s="40"/>
      <c r="L785" s="8"/>
      <c r="M785" s="8"/>
      <c r="N785" s="8"/>
      <c r="O785" s="8"/>
      <c r="P785" s="8"/>
      <c r="Q785" s="8"/>
      <c r="R785" s="8"/>
      <c r="S785" s="8"/>
      <c r="T785" s="8"/>
      <c r="U785" s="8"/>
      <c r="V785" s="8"/>
      <c r="W785" s="8"/>
      <c r="X785" s="8"/>
      <c r="Y785" s="8"/>
      <c r="Z785" s="8"/>
      <c r="AA785" s="8"/>
    </row>
    <row r="786" spans="1:27" ht="15">
      <c r="A786" s="15"/>
      <c r="B786" s="36"/>
      <c r="C786" s="15"/>
      <c r="D786" s="37"/>
      <c r="E786" s="15"/>
      <c r="F786" s="15"/>
      <c r="G786" s="15"/>
      <c r="H786" s="15"/>
      <c r="I786" s="15"/>
      <c r="J786" s="39"/>
      <c r="K786" s="40"/>
      <c r="L786" s="8"/>
      <c r="M786" s="8"/>
      <c r="N786" s="8"/>
      <c r="O786" s="8"/>
      <c r="P786" s="8"/>
      <c r="Q786" s="8"/>
      <c r="R786" s="8"/>
      <c r="S786" s="8"/>
      <c r="T786" s="8"/>
      <c r="U786" s="8"/>
      <c r="V786" s="8"/>
      <c r="W786" s="8"/>
      <c r="X786" s="8"/>
      <c r="Y786" s="8"/>
      <c r="Z786" s="8"/>
      <c r="AA786" s="8"/>
    </row>
    <row r="787" spans="1:27" ht="15">
      <c r="A787" s="15"/>
      <c r="B787" s="36"/>
      <c r="C787" s="15"/>
      <c r="D787" s="37"/>
      <c r="E787" s="15"/>
      <c r="F787" s="15"/>
      <c r="G787" s="15"/>
      <c r="H787" s="15"/>
      <c r="I787" s="15"/>
      <c r="J787" s="39"/>
      <c r="K787" s="40"/>
      <c r="L787" s="8"/>
      <c r="M787" s="8"/>
      <c r="N787" s="8"/>
      <c r="O787" s="8"/>
      <c r="P787" s="8"/>
      <c r="Q787" s="8"/>
      <c r="R787" s="8"/>
      <c r="S787" s="8"/>
      <c r="T787" s="8"/>
      <c r="U787" s="8"/>
      <c r="V787" s="8"/>
      <c r="W787" s="8"/>
      <c r="X787" s="8"/>
      <c r="Y787" s="8"/>
      <c r="Z787" s="8"/>
      <c r="AA787" s="8"/>
    </row>
    <row r="788" spans="1:27" ht="15">
      <c r="A788" s="15"/>
      <c r="B788" s="36"/>
      <c r="C788" s="15"/>
      <c r="D788" s="37"/>
      <c r="E788" s="15"/>
      <c r="F788" s="15"/>
      <c r="G788" s="15"/>
      <c r="H788" s="15"/>
      <c r="I788" s="15"/>
      <c r="J788" s="39"/>
      <c r="K788" s="40"/>
      <c r="L788" s="8"/>
      <c r="M788" s="8"/>
      <c r="N788" s="8"/>
      <c r="O788" s="8"/>
      <c r="P788" s="8"/>
      <c r="Q788" s="8"/>
      <c r="R788" s="8"/>
      <c r="S788" s="8"/>
      <c r="T788" s="8"/>
      <c r="U788" s="8"/>
      <c r="V788" s="8"/>
      <c r="W788" s="8"/>
      <c r="X788" s="8"/>
      <c r="Y788" s="8"/>
      <c r="Z788" s="8"/>
      <c r="AA788" s="8"/>
    </row>
    <row r="789" spans="1:27" ht="15">
      <c r="A789" s="15"/>
      <c r="B789" s="36"/>
      <c r="C789" s="15"/>
      <c r="D789" s="37"/>
      <c r="E789" s="15"/>
      <c r="F789" s="15"/>
      <c r="G789" s="15"/>
      <c r="H789" s="15"/>
      <c r="I789" s="15"/>
      <c r="J789" s="39"/>
      <c r="K789" s="40"/>
      <c r="L789" s="8"/>
      <c r="M789" s="8"/>
      <c r="N789" s="8"/>
      <c r="O789" s="8"/>
      <c r="P789" s="8"/>
      <c r="Q789" s="8"/>
      <c r="R789" s="8"/>
      <c r="S789" s="8"/>
      <c r="T789" s="8"/>
      <c r="U789" s="8"/>
      <c r="V789" s="8"/>
      <c r="W789" s="8"/>
      <c r="X789" s="8"/>
      <c r="Y789" s="8"/>
      <c r="Z789" s="8"/>
      <c r="AA789" s="8"/>
    </row>
    <row r="790" spans="1:27" ht="15">
      <c r="A790" s="15"/>
      <c r="B790" s="36"/>
      <c r="C790" s="15"/>
      <c r="D790" s="37"/>
      <c r="E790" s="15"/>
      <c r="F790" s="15"/>
      <c r="G790" s="15"/>
      <c r="H790" s="15"/>
      <c r="I790" s="15"/>
      <c r="J790" s="39"/>
      <c r="K790" s="40"/>
      <c r="L790" s="8"/>
      <c r="M790" s="8"/>
      <c r="N790" s="8"/>
      <c r="O790" s="8"/>
      <c r="P790" s="8"/>
      <c r="Q790" s="8"/>
      <c r="R790" s="8"/>
      <c r="S790" s="8"/>
      <c r="T790" s="8"/>
      <c r="U790" s="8"/>
      <c r="V790" s="8"/>
      <c r="W790" s="8"/>
      <c r="X790" s="8"/>
      <c r="Y790" s="8"/>
      <c r="Z790" s="8"/>
      <c r="AA790" s="8"/>
    </row>
    <row r="791" spans="1:27" ht="15">
      <c r="A791" s="15"/>
      <c r="B791" s="36"/>
      <c r="C791" s="15"/>
      <c r="D791" s="37"/>
      <c r="E791" s="15"/>
      <c r="F791" s="15"/>
      <c r="G791" s="15"/>
      <c r="H791" s="15"/>
      <c r="I791" s="15"/>
      <c r="J791" s="39"/>
      <c r="K791" s="40"/>
      <c r="L791" s="8"/>
      <c r="M791" s="8"/>
      <c r="N791" s="8"/>
      <c r="O791" s="8"/>
      <c r="P791" s="8"/>
      <c r="Q791" s="8"/>
      <c r="R791" s="8"/>
      <c r="S791" s="8"/>
      <c r="T791" s="8"/>
      <c r="U791" s="8"/>
      <c r="V791" s="8"/>
      <c r="W791" s="8"/>
      <c r="X791" s="8"/>
      <c r="Y791" s="8"/>
      <c r="Z791" s="8"/>
      <c r="AA791" s="8"/>
    </row>
    <row r="792" spans="1:27" ht="15">
      <c r="A792" s="15"/>
      <c r="B792" s="36"/>
      <c r="C792" s="15"/>
      <c r="D792" s="37"/>
      <c r="E792" s="15"/>
      <c r="F792" s="15"/>
      <c r="G792" s="15"/>
      <c r="H792" s="15"/>
      <c r="I792" s="15"/>
      <c r="J792" s="39"/>
      <c r="K792" s="40"/>
      <c r="L792" s="8"/>
      <c r="M792" s="8"/>
      <c r="N792" s="8"/>
      <c r="O792" s="8"/>
      <c r="P792" s="8"/>
      <c r="Q792" s="8"/>
      <c r="R792" s="8"/>
      <c r="S792" s="8"/>
      <c r="T792" s="8"/>
      <c r="U792" s="8"/>
      <c r="V792" s="8"/>
      <c r="W792" s="8"/>
      <c r="X792" s="8"/>
      <c r="Y792" s="8"/>
      <c r="Z792" s="8"/>
      <c r="AA792" s="8"/>
    </row>
    <row r="793" spans="1:27" ht="15">
      <c r="A793" s="15"/>
      <c r="B793" s="36"/>
      <c r="C793" s="15"/>
      <c r="D793" s="37"/>
      <c r="E793" s="15"/>
      <c r="F793" s="15"/>
      <c r="G793" s="15"/>
      <c r="H793" s="15"/>
      <c r="I793" s="15"/>
      <c r="J793" s="39"/>
      <c r="K793" s="40"/>
      <c r="L793" s="8"/>
      <c r="M793" s="8"/>
      <c r="N793" s="8"/>
      <c r="O793" s="8"/>
      <c r="P793" s="8"/>
      <c r="Q793" s="8"/>
      <c r="R793" s="8"/>
      <c r="S793" s="8"/>
      <c r="T793" s="8"/>
      <c r="U793" s="8"/>
      <c r="V793" s="8"/>
      <c r="W793" s="8"/>
      <c r="X793" s="8"/>
      <c r="Y793" s="8"/>
      <c r="Z793" s="8"/>
      <c r="AA793" s="8"/>
    </row>
    <row r="794" spans="1:27" ht="15">
      <c r="A794" s="15"/>
      <c r="B794" s="36"/>
      <c r="C794" s="15"/>
      <c r="D794" s="37"/>
      <c r="E794" s="15"/>
      <c r="F794" s="15"/>
      <c r="G794" s="15"/>
      <c r="H794" s="15"/>
      <c r="I794" s="15"/>
      <c r="J794" s="39"/>
      <c r="K794" s="40"/>
      <c r="L794" s="8"/>
      <c r="M794" s="8"/>
      <c r="N794" s="8"/>
      <c r="O794" s="8"/>
      <c r="P794" s="8"/>
      <c r="Q794" s="8"/>
      <c r="R794" s="8"/>
      <c r="S794" s="8"/>
      <c r="T794" s="8"/>
      <c r="U794" s="8"/>
      <c r="V794" s="8"/>
      <c r="W794" s="8"/>
      <c r="X794" s="8"/>
      <c r="Y794" s="8"/>
      <c r="Z794" s="8"/>
      <c r="AA794" s="8"/>
    </row>
    <row r="795" spans="1:27" ht="15">
      <c r="A795" s="15"/>
      <c r="B795" s="36"/>
      <c r="C795" s="15"/>
      <c r="D795" s="37"/>
      <c r="E795" s="15"/>
      <c r="F795" s="15"/>
      <c r="G795" s="15"/>
      <c r="H795" s="15"/>
      <c r="I795" s="15"/>
      <c r="J795" s="39"/>
      <c r="K795" s="40"/>
      <c r="L795" s="8"/>
      <c r="M795" s="8"/>
      <c r="N795" s="8"/>
      <c r="O795" s="8"/>
      <c r="P795" s="8"/>
      <c r="Q795" s="8"/>
      <c r="R795" s="8"/>
      <c r="S795" s="8"/>
      <c r="T795" s="8"/>
      <c r="U795" s="8"/>
      <c r="V795" s="8"/>
      <c r="W795" s="8"/>
      <c r="X795" s="8"/>
      <c r="Y795" s="8"/>
      <c r="Z795" s="8"/>
      <c r="AA795" s="8"/>
    </row>
    <row r="796" spans="1:27" ht="15">
      <c r="A796" s="15"/>
      <c r="B796" s="36"/>
      <c r="C796" s="15"/>
      <c r="D796" s="37"/>
      <c r="E796" s="15"/>
      <c r="F796" s="15"/>
      <c r="G796" s="15"/>
      <c r="H796" s="15"/>
      <c r="I796" s="15"/>
      <c r="J796" s="39"/>
      <c r="K796" s="40"/>
      <c r="L796" s="8"/>
      <c r="M796" s="8"/>
      <c r="N796" s="8"/>
      <c r="O796" s="8"/>
      <c r="P796" s="8"/>
      <c r="Q796" s="8"/>
      <c r="R796" s="8"/>
      <c r="S796" s="8"/>
      <c r="T796" s="8"/>
      <c r="U796" s="8"/>
      <c r="V796" s="8"/>
      <c r="W796" s="8"/>
      <c r="X796" s="8"/>
      <c r="Y796" s="8"/>
      <c r="Z796" s="8"/>
      <c r="AA796" s="8"/>
    </row>
    <row r="797" spans="1:27" ht="15">
      <c r="A797" s="15"/>
      <c r="B797" s="36"/>
      <c r="C797" s="15"/>
      <c r="D797" s="37"/>
      <c r="E797" s="15"/>
      <c r="F797" s="15"/>
      <c r="G797" s="15"/>
      <c r="H797" s="15"/>
      <c r="I797" s="15"/>
      <c r="J797" s="39"/>
      <c r="K797" s="40"/>
      <c r="L797" s="8"/>
      <c r="M797" s="8"/>
      <c r="N797" s="8"/>
      <c r="O797" s="8"/>
      <c r="P797" s="8"/>
      <c r="Q797" s="8"/>
      <c r="R797" s="8"/>
      <c r="S797" s="8"/>
      <c r="T797" s="8"/>
      <c r="U797" s="8"/>
      <c r="V797" s="8"/>
      <c r="W797" s="8"/>
      <c r="X797" s="8"/>
      <c r="Y797" s="8"/>
      <c r="Z797" s="8"/>
      <c r="AA797" s="8"/>
    </row>
    <row r="798" spans="1:27" ht="15">
      <c r="A798" s="15"/>
      <c r="B798" s="36"/>
      <c r="C798" s="15"/>
      <c r="D798" s="37"/>
      <c r="E798" s="15"/>
      <c r="F798" s="15"/>
      <c r="G798" s="15"/>
      <c r="H798" s="15"/>
      <c r="I798" s="15"/>
      <c r="J798" s="39"/>
      <c r="K798" s="40"/>
      <c r="L798" s="8"/>
      <c r="M798" s="8"/>
      <c r="N798" s="8"/>
      <c r="O798" s="8"/>
      <c r="P798" s="8"/>
      <c r="Q798" s="8"/>
      <c r="R798" s="8"/>
      <c r="S798" s="8"/>
      <c r="T798" s="8"/>
      <c r="U798" s="8"/>
      <c r="V798" s="8"/>
      <c r="W798" s="8"/>
      <c r="X798" s="8"/>
      <c r="Y798" s="8"/>
      <c r="Z798" s="8"/>
      <c r="AA798" s="8"/>
    </row>
    <row r="799" spans="1:27" ht="15">
      <c r="A799" s="15"/>
      <c r="B799" s="36"/>
      <c r="C799" s="15"/>
      <c r="D799" s="37"/>
      <c r="E799" s="15"/>
      <c r="F799" s="15"/>
      <c r="G799" s="15"/>
      <c r="H799" s="15"/>
      <c r="I799" s="15"/>
      <c r="J799" s="39"/>
      <c r="K799" s="40"/>
      <c r="L799" s="8"/>
      <c r="M799" s="8"/>
      <c r="N799" s="8"/>
      <c r="O799" s="8"/>
      <c r="P799" s="8"/>
      <c r="Q799" s="8"/>
      <c r="R799" s="8"/>
      <c r="S799" s="8"/>
      <c r="T799" s="8"/>
      <c r="U799" s="8"/>
      <c r="V799" s="8"/>
      <c r="W799" s="8"/>
      <c r="X799" s="8"/>
      <c r="Y799" s="8"/>
      <c r="Z799" s="8"/>
      <c r="AA799" s="8"/>
    </row>
    <row r="800" spans="1:27" ht="15">
      <c r="A800" s="15"/>
      <c r="B800" s="36"/>
      <c r="C800" s="15"/>
      <c r="D800" s="37"/>
      <c r="E800" s="15"/>
      <c r="F800" s="15"/>
      <c r="G800" s="15"/>
      <c r="H800" s="15"/>
      <c r="I800" s="15"/>
      <c r="J800" s="39"/>
      <c r="K800" s="40"/>
      <c r="L800" s="8"/>
      <c r="M800" s="8"/>
      <c r="N800" s="8"/>
      <c r="O800" s="8"/>
      <c r="P800" s="8"/>
      <c r="Q800" s="8"/>
      <c r="R800" s="8"/>
      <c r="S800" s="8"/>
      <c r="T800" s="8"/>
      <c r="U800" s="8"/>
      <c r="V800" s="8"/>
      <c r="W800" s="8"/>
      <c r="X800" s="8"/>
      <c r="Y800" s="8"/>
      <c r="Z800" s="8"/>
      <c r="AA800" s="8"/>
    </row>
    <row r="801" spans="1:27" ht="15">
      <c r="A801" s="15"/>
      <c r="B801" s="36"/>
      <c r="C801" s="15"/>
      <c r="D801" s="37"/>
      <c r="E801" s="15"/>
      <c r="F801" s="15"/>
      <c r="G801" s="15"/>
      <c r="H801" s="15"/>
      <c r="I801" s="15"/>
      <c r="J801" s="39"/>
      <c r="K801" s="40"/>
      <c r="L801" s="8"/>
      <c r="M801" s="8"/>
      <c r="N801" s="8"/>
      <c r="O801" s="8"/>
      <c r="P801" s="8"/>
      <c r="Q801" s="8"/>
      <c r="R801" s="8"/>
      <c r="S801" s="8"/>
      <c r="T801" s="8"/>
      <c r="U801" s="8"/>
      <c r="V801" s="8"/>
      <c r="W801" s="8"/>
      <c r="X801" s="8"/>
      <c r="Y801" s="8"/>
      <c r="Z801" s="8"/>
      <c r="AA801" s="8"/>
    </row>
    <row r="802" spans="1:27" ht="15">
      <c r="A802" s="15"/>
      <c r="B802" s="36"/>
      <c r="C802" s="15"/>
      <c r="D802" s="37"/>
      <c r="E802" s="15"/>
      <c r="F802" s="15"/>
      <c r="G802" s="15"/>
      <c r="H802" s="15"/>
      <c r="I802" s="15"/>
      <c r="J802" s="39"/>
      <c r="K802" s="40"/>
      <c r="L802" s="8"/>
      <c r="M802" s="8"/>
      <c r="N802" s="8"/>
      <c r="O802" s="8"/>
      <c r="P802" s="8"/>
      <c r="Q802" s="8"/>
      <c r="R802" s="8"/>
      <c r="S802" s="8"/>
      <c r="T802" s="8"/>
      <c r="U802" s="8"/>
      <c r="V802" s="8"/>
      <c r="W802" s="8"/>
      <c r="X802" s="8"/>
      <c r="Y802" s="8"/>
      <c r="Z802" s="8"/>
      <c r="AA802" s="8"/>
    </row>
    <row r="803" spans="1:27" ht="15">
      <c r="A803" s="15"/>
      <c r="B803" s="36"/>
      <c r="C803" s="15"/>
      <c r="D803" s="37"/>
      <c r="E803" s="15"/>
      <c r="F803" s="15"/>
      <c r="G803" s="15"/>
      <c r="H803" s="15"/>
      <c r="I803" s="15"/>
      <c r="J803" s="39"/>
      <c r="K803" s="40"/>
      <c r="L803" s="8"/>
      <c r="M803" s="8"/>
      <c r="N803" s="8"/>
      <c r="O803" s="8"/>
      <c r="P803" s="8"/>
      <c r="Q803" s="8"/>
      <c r="R803" s="8"/>
      <c r="S803" s="8"/>
      <c r="T803" s="8"/>
      <c r="U803" s="8"/>
      <c r="V803" s="8"/>
      <c r="W803" s="8"/>
      <c r="X803" s="8"/>
      <c r="Y803" s="8"/>
      <c r="Z803" s="8"/>
      <c r="AA803" s="8"/>
    </row>
    <row r="804" spans="1:27" ht="15">
      <c r="A804" s="15"/>
      <c r="B804" s="36"/>
      <c r="C804" s="15"/>
      <c r="D804" s="37"/>
      <c r="E804" s="15"/>
      <c r="F804" s="15"/>
      <c r="G804" s="15"/>
      <c r="H804" s="15"/>
      <c r="I804" s="15"/>
      <c r="J804" s="39"/>
      <c r="K804" s="40"/>
      <c r="L804" s="8"/>
      <c r="M804" s="8"/>
      <c r="N804" s="8"/>
      <c r="O804" s="8"/>
      <c r="P804" s="8"/>
      <c r="Q804" s="8"/>
      <c r="R804" s="8"/>
      <c r="S804" s="8"/>
      <c r="T804" s="8"/>
      <c r="U804" s="8"/>
      <c r="V804" s="8"/>
      <c r="W804" s="8"/>
      <c r="X804" s="8"/>
      <c r="Y804" s="8"/>
      <c r="Z804" s="8"/>
      <c r="AA804" s="8"/>
    </row>
    <row r="805" spans="1:27" ht="15">
      <c r="A805" s="15"/>
      <c r="B805" s="36"/>
      <c r="C805" s="15"/>
      <c r="D805" s="37"/>
      <c r="E805" s="15"/>
      <c r="F805" s="15"/>
      <c r="G805" s="15"/>
      <c r="H805" s="15"/>
      <c r="I805" s="15"/>
      <c r="J805" s="39"/>
      <c r="K805" s="40"/>
      <c r="L805" s="8"/>
      <c r="M805" s="8"/>
      <c r="N805" s="8"/>
      <c r="O805" s="8"/>
      <c r="P805" s="8"/>
      <c r="Q805" s="8"/>
      <c r="R805" s="8"/>
      <c r="S805" s="8"/>
      <c r="T805" s="8"/>
      <c r="U805" s="8"/>
      <c r="V805" s="8"/>
      <c r="W805" s="8"/>
      <c r="X805" s="8"/>
      <c r="Y805" s="8"/>
      <c r="Z805" s="8"/>
      <c r="AA805" s="8"/>
    </row>
    <row r="806" spans="1:27" ht="15">
      <c r="A806" s="15"/>
      <c r="B806" s="36"/>
      <c r="C806" s="15"/>
      <c r="D806" s="37"/>
      <c r="E806" s="15"/>
      <c r="F806" s="15"/>
      <c r="G806" s="15"/>
      <c r="H806" s="15"/>
      <c r="I806" s="15"/>
      <c r="J806" s="39"/>
      <c r="K806" s="40"/>
      <c r="L806" s="8"/>
      <c r="M806" s="8"/>
      <c r="N806" s="8"/>
      <c r="O806" s="8"/>
      <c r="P806" s="8"/>
      <c r="Q806" s="8"/>
      <c r="R806" s="8"/>
      <c r="S806" s="8"/>
      <c r="T806" s="8"/>
      <c r="U806" s="8"/>
      <c r="V806" s="8"/>
      <c r="W806" s="8"/>
      <c r="X806" s="8"/>
      <c r="Y806" s="8"/>
      <c r="Z806" s="8"/>
      <c r="AA806" s="8"/>
    </row>
    <row r="807" spans="1:27" ht="15">
      <c r="A807" s="15"/>
      <c r="B807" s="36"/>
      <c r="C807" s="15"/>
      <c r="D807" s="37"/>
      <c r="E807" s="15"/>
      <c r="F807" s="15"/>
      <c r="G807" s="15"/>
      <c r="H807" s="15"/>
      <c r="I807" s="15"/>
      <c r="J807" s="39"/>
      <c r="K807" s="40"/>
      <c r="L807" s="8"/>
      <c r="M807" s="8"/>
      <c r="N807" s="8"/>
      <c r="O807" s="8"/>
      <c r="P807" s="8"/>
      <c r="Q807" s="8"/>
      <c r="R807" s="8"/>
      <c r="S807" s="8"/>
      <c r="T807" s="8"/>
      <c r="U807" s="8"/>
      <c r="V807" s="8"/>
      <c r="W807" s="8"/>
      <c r="X807" s="8"/>
      <c r="Y807" s="8"/>
      <c r="Z807" s="8"/>
      <c r="AA807" s="8"/>
    </row>
    <row r="808" spans="1:27" ht="15">
      <c r="A808" s="15"/>
      <c r="B808" s="36"/>
      <c r="C808" s="15"/>
      <c r="D808" s="37"/>
      <c r="E808" s="15"/>
      <c r="F808" s="15"/>
      <c r="G808" s="15"/>
      <c r="H808" s="15"/>
      <c r="I808" s="15"/>
      <c r="J808" s="39"/>
      <c r="K808" s="40"/>
      <c r="L808" s="8"/>
      <c r="M808" s="8"/>
      <c r="N808" s="8"/>
      <c r="O808" s="8"/>
      <c r="P808" s="8"/>
      <c r="Q808" s="8"/>
      <c r="R808" s="8"/>
      <c r="S808" s="8"/>
      <c r="T808" s="8"/>
      <c r="U808" s="8"/>
      <c r="V808" s="8"/>
      <c r="W808" s="8"/>
      <c r="X808" s="8"/>
      <c r="Y808" s="8"/>
      <c r="Z808" s="8"/>
      <c r="AA808" s="8"/>
    </row>
    <row r="809" spans="1:27" ht="15">
      <c r="A809" s="15"/>
      <c r="B809" s="36"/>
      <c r="C809" s="15"/>
      <c r="D809" s="37"/>
      <c r="E809" s="15"/>
      <c r="F809" s="15"/>
      <c r="G809" s="15"/>
      <c r="H809" s="15"/>
      <c r="I809" s="15"/>
      <c r="J809" s="39"/>
      <c r="K809" s="40"/>
      <c r="L809" s="8"/>
      <c r="M809" s="8"/>
      <c r="N809" s="8"/>
      <c r="O809" s="8"/>
      <c r="P809" s="8"/>
      <c r="Q809" s="8"/>
      <c r="R809" s="8"/>
      <c r="S809" s="8"/>
      <c r="T809" s="8"/>
      <c r="U809" s="8"/>
      <c r="V809" s="8"/>
      <c r="W809" s="8"/>
      <c r="X809" s="8"/>
      <c r="Y809" s="8"/>
      <c r="Z809" s="8"/>
      <c r="AA809" s="8"/>
    </row>
    <row r="810" spans="1:27" ht="15">
      <c r="A810" s="15"/>
      <c r="B810" s="36"/>
      <c r="C810" s="15"/>
      <c r="D810" s="37"/>
      <c r="E810" s="15"/>
      <c r="F810" s="15"/>
      <c r="G810" s="15"/>
      <c r="H810" s="15"/>
      <c r="I810" s="15"/>
      <c r="J810" s="39"/>
      <c r="K810" s="40"/>
      <c r="L810" s="8"/>
      <c r="M810" s="8"/>
      <c r="N810" s="8"/>
      <c r="O810" s="8"/>
      <c r="P810" s="8"/>
      <c r="Q810" s="8"/>
      <c r="R810" s="8"/>
      <c r="S810" s="8"/>
      <c r="T810" s="8"/>
      <c r="U810" s="8"/>
      <c r="V810" s="8"/>
      <c r="W810" s="8"/>
      <c r="X810" s="8"/>
      <c r="Y810" s="8"/>
      <c r="Z810" s="8"/>
      <c r="AA810" s="8"/>
    </row>
    <row r="811" spans="1:27" ht="15">
      <c r="A811" s="15"/>
      <c r="B811" s="36"/>
      <c r="C811" s="15"/>
      <c r="D811" s="37"/>
      <c r="E811" s="15"/>
      <c r="F811" s="15"/>
      <c r="G811" s="15"/>
      <c r="H811" s="15"/>
      <c r="I811" s="15"/>
      <c r="J811" s="39"/>
      <c r="K811" s="40"/>
      <c r="L811" s="8"/>
      <c r="M811" s="8"/>
      <c r="N811" s="8"/>
      <c r="O811" s="8"/>
      <c r="P811" s="8"/>
      <c r="Q811" s="8"/>
      <c r="R811" s="8"/>
      <c r="S811" s="8"/>
      <c r="T811" s="8"/>
      <c r="U811" s="8"/>
      <c r="V811" s="8"/>
      <c r="W811" s="8"/>
      <c r="X811" s="8"/>
      <c r="Y811" s="8"/>
      <c r="Z811" s="8"/>
      <c r="AA811" s="8"/>
    </row>
    <row r="812" spans="1:27" ht="15">
      <c r="A812" s="15"/>
      <c r="B812" s="36"/>
      <c r="C812" s="15"/>
      <c r="D812" s="37"/>
      <c r="E812" s="15"/>
      <c r="F812" s="15"/>
      <c r="G812" s="15"/>
      <c r="H812" s="15"/>
      <c r="I812" s="15"/>
      <c r="J812" s="39"/>
      <c r="K812" s="40"/>
      <c r="L812" s="8"/>
      <c r="M812" s="8"/>
      <c r="N812" s="8"/>
      <c r="O812" s="8"/>
      <c r="P812" s="8"/>
      <c r="Q812" s="8"/>
      <c r="R812" s="8"/>
      <c r="S812" s="8"/>
      <c r="T812" s="8"/>
      <c r="U812" s="8"/>
      <c r="V812" s="8"/>
      <c r="W812" s="8"/>
      <c r="X812" s="8"/>
      <c r="Y812" s="8"/>
      <c r="Z812" s="8"/>
      <c r="AA812" s="8"/>
    </row>
    <row r="813" spans="1:27" ht="15">
      <c r="A813" s="15"/>
      <c r="B813" s="36"/>
      <c r="C813" s="15"/>
      <c r="D813" s="37"/>
      <c r="E813" s="15"/>
      <c r="F813" s="15"/>
      <c r="G813" s="15"/>
      <c r="H813" s="15"/>
      <c r="I813" s="15"/>
      <c r="J813" s="39"/>
      <c r="K813" s="40"/>
      <c r="L813" s="8"/>
      <c r="M813" s="8"/>
      <c r="N813" s="8"/>
      <c r="O813" s="8"/>
      <c r="P813" s="8"/>
      <c r="Q813" s="8"/>
      <c r="R813" s="8"/>
      <c r="S813" s="8"/>
      <c r="T813" s="8"/>
      <c r="U813" s="8"/>
      <c r="V813" s="8"/>
      <c r="W813" s="8"/>
      <c r="X813" s="8"/>
      <c r="Y813" s="8"/>
      <c r="Z813" s="8"/>
      <c r="AA813" s="8"/>
    </row>
    <row r="814" spans="1:27" ht="15">
      <c r="A814" s="15"/>
      <c r="B814" s="36"/>
      <c r="C814" s="15"/>
      <c r="D814" s="37"/>
      <c r="E814" s="15"/>
      <c r="F814" s="15"/>
      <c r="G814" s="15"/>
      <c r="H814" s="15"/>
      <c r="I814" s="15"/>
      <c r="J814" s="39"/>
      <c r="K814" s="40"/>
      <c r="L814" s="8"/>
      <c r="M814" s="8"/>
      <c r="N814" s="8"/>
      <c r="O814" s="8"/>
      <c r="P814" s="8"/>
      <c r="Q814" s="8"/>
      <c r="R814" s="8"/>
      <c r="S814" s="8"/>
      <c r="T814" s="8"/>
      <c r="U814" s="8"/>
      <c r="V814" s="8"/>
      <c r="W814" s="8"/>
      <c r="X814" s="8"/>
      <c r="Y814" s="8"/>
      <c r="Z814" s="8"/>
      <c r="AA814" s="8"/>
    </row>
    <row r="815" spans="1:27" ht="15">
      <c r="A815" s="15"/>
      <c r="B815" s="36"/>
      <c r="C815" s="15"/>
      <c r="D815" s="37"/>
      <c r="E815" s="15"/>
      <c r="F815" s="15"/>
      <c r="G815" s="15"/>
      <c r="H815" s="15"/>
      <c r="I815" s="15"/>
      <c r="J815" s="39"/>
      <c r="K815" s="40"/>
      <c r="L815" s="8"/>
      <c r="M815" s="8"/>
      <c r="N815" s="8"/>
      <c r="O815" s="8"/>
      <c r="P815" s="8"/>
      <c r="Q815" s="8"/>
      <c r="R815" s="8"/>
      <c r="S815" s="8"/>
      <c r="T815" s="8"/>
      <c r="U815" s="8"/>
      <c r="V815" s="8"/>
      <c r="W815" s="8"/>
      <c r="X815" s="8"/>
      <c r="Y815" s="8"/>
      <c r="Z815" s="8"/>
      <c r="AA815" s="8"/>
    </row>
    <row r="816" spans="1:27" ht="15">
      <c r="A816" s="15"/>
      <c r="B816" s="36"/>
      <c r="C816" s="15"/>
      <c r="D816" s="37"/>
      <c r="E816" s="15"/>
      <c r="F816" s="15"/>
      <c r="G816" s="15"/>
      <c r="H816" s="15"/>
      <c r="I816" s="15"/>
      <c r="J816" s="39"/>
      <c r="K816" s="40"/>
      <c r="L816" s="8"/>
      <c r="M816" s="8"/>
      <c r="N816" s="8"/>
      <c r="O816" s="8"/>
      <c r="P816" s="8"/>
      <c r="Q816" s="8"/>
      <c r="R816" s="8"/>
      <c r="S816" s="8"/>
      <c r="T816" s="8"/>
      <c r="U816" s="8"/>
      <c r="V816" s="8"/>
      <c r="W816" s="8"/>
      <c r="X816" s="8"/>
      <c r="Y816" s="8"/>
      <c r="Z816" s="8"/>
      <c r="AA816" s="8"/>
    </row>
    <row r="817" spans="1:27" ht="15">
      <c r="A817" s="15"/>
      <c r="B817" s="36"/>
      <c r="C817" s="15"/>
      <c r="D817" s="37"/>
      <c r="E817" s="15"/>
      <c r="F817" s="15"/>
      <c r="G817" s="15"/>
      <c r="H817" s="15"/>
      <c r="I817" s="15"/>
      <c r="J817" s="39"/>
      <c r="K817" s="40"/>
      <c r="L817" s="8"/>
      <c r="M817" s="8"/>
      <c r="N817" s="8"/>
      <c r="O817" s="8"/>
      <c r="P817" s="8"/>
      <c r="Q817" s="8"/>
      <c r="R817" s="8"/>
      <c r="S817" s="8"/>
      <c r="T817" s="8"/>
      <c r="U817" s="8"/>
      <c r="V817" s="8"/>
      <c r="W817" s="8"/>
      <c r="X817" s="8"/>
      <c r="Y817" s="8"/>
      <c r="Z817" s="8"/>
      <c r="AA817" s="8"/>
    </row>
    <row r="818" spans="1:27" ht="15">
      <c r="A818" s="15"/>
      <c r="B818" s="36"/>
      <c r="C818" s="15"/>
      <c r="D818" s="37"/>
      <c r="E818" s="15"/>
      <c r="F818" s="15"/>
      <c r="G818" s="15"/>
      <c r="H818" s="15"/>
      <c r="I818" s="15"/>
      <c r="J818" s="39"/>
      <c r="K818" s="40"/>
      <c r="L818" s="8"/>
      <c r="M818" s="8"/>
      <c r="N818" s="8"/>
      <c r="O818" s="8"/>
      <c r="P818" s="8"/>
      <c r="Q818" s="8"/>
      <c r="R818" s="8"/>
      <c r="S818" s="8"/>
      <c r="T818" s="8"/>
      <c r="U818" s="8"/>
      <c r="V818" s="8"/>
      <c r="W818" s="8"/>
      <c r="X818" s="8"/>
      <c r="Y818" s="8"/>
      <c r="Z818" s="8"/>
      <c r="AA818" s="8"/>
    </row>
    <row r="819" spans="1:27" ht="15">
      <c r="A819" s="15"/>
      <c r="B819" s="36"/>
      <c r="C819" s="15"/>
      <c r="D819" s="37"/>
      <c r="E819" s="15"/>
      <c r="F819" s="15"/>
      <c r="G819" s="15"/>
      <c r="H819" s="15"/>
      <c r="I819" s="15"/>
      <c r="J819" s="39"/>
      <c r="K819" s="40"/>
      <c r="L819" s="8"/>
      <c r="M819" s="8"/>
      <c r="N819" s="8"/>
      <c r="O819" s="8"/>
      <c r="P819" s="8"/>
      <c r="Q819" s="8"/>
      <c r="R819" s="8"/>
      <c r="S819" s="8"/>
      <c r="T819" s="8"/>
      <c r="U819" s="8"/>
      <c r="V819" s="8"/>
      <c r="W819" s="8"/>
      <c r="X819" s="8"/>
      <c r="Y819" s="8"/>
      <c r="Z819" s="8"/>
      <c r="AA819" s="8"/>
    </row>
    <row r="820" spans="1:27" ht="15">
      <c r="A820" s="15"/>
      <c r="B820" s="36"/>
      <c r="C820" s="15"/>
      <c r="D820" s="37"/>
      <c r="E820" s="15"/>
      <c r="F820" s="15"/>
      <c r="G820" s="15"/>
      <c r="H820" s="15"/>
      <c r="I820" s="15"/>
      <c r="J820" s="39"/>
      <c r="K820" s="40"/>
      <c r="L820" s="8"/>
      <c r="M820" s="8"/>
      <c r="N820" s="8"/>
      <c r="O820" s="8"/>
      <c r="P820" s="8"/>
      <c r="Q820" s="8"/>
      <c r="R820" s="8"/>
      <c r="S820" s="8"/>
      <c r="T820" s="8"/>
      <c r="U820" s="8"/>
      <c r="V820" s="8"/>
      <c r="W820" s="8"/>
      <c r="X820" s="8"/>
      <c r="Y820" s="8"/>
      <c r="Z820" s="8"/>
      <c r="AA820" s="8"/>
    </row>
    <row r="821" spans="1:27" ht="15">
      <c r="A821" s="15"/>
      <c r="B821" s="36"/>
      <c r="C821" s="15"/>
      <c r="D821" s="37"/>
      <c r="E821" s="15"/>
      <c r="F821" s="15"/>
      <c r="G821" s="15"/>
      <c r="H821" s="15"/>
      <c r="I821" s="15"/>
      <c r="J821" s="39"/>
      <c r="K821" s="40"/>
      <c r="L821" s="8"/>
      <c r="M821" s="8"/>
      <c r="N821" s="8"/>
      <c r="O821" s="8"/>
      <c r="P821" s="8"/>
      <c r="Q821" s="8"/>
      <c r="R821" s="8"/>
      <c r="S821" s="8"/>
      <c r="T821" s="8"/>
      <c r="U821" s="8"/>
      <c r="V821" s="8"/>
      <c r="W821" s="8"/>
      <c r="X821" s="8"/>
      <c r="Y821" s="8"/>
      <c r="Z821" s="8"/>
      <c r="AA821" s="8"/>
    </row>
    <row r="822" spans="1:27" ht="15">
      <c r="A822" s="15"/>
      <c r="B822" s="36"/>
      <c r="C822" s="15"/>
      <c r="D822" s="37"/>
      <c r="E822" s="15"/>
      <c r="F822" s="15"/>
      <c r="G822" s="15"/>
      <c r="H822" s="15"/>
      <c r="I822" s="15"/>
      <c r="J822" s="39"/>
      <c r="K822" s="40"/>
      <c r="L822" s="8"/>
      <c r="M822" s="8"/>
      <c r="N822" s="8"/>
      <c r="O822" s="8"/>
      <c r="P822" s="8"/>
      <c r="Q822" s="8"/>
      <c r="R822" s="8"/>
      <c r="S822" s="8"/>
      <c r="T822" s="8"/>
      <c r="U822" s="8"/>
      <c r="V822" s="8"/>
      <c r="W822" s="8"/>
      <c r="X822" s="8"/>
      <c r="Y822" s="8"/>
      <c r="Z822" s="8"/>
      <c r="AA822" s="8"/>
    </row>
    <row r="823" spans="1:27" ht="15">
      <c r="A823" s="15"/>
      <c r="B823" s="36"/>
      <c r="C823" s="15"/>
      <c r="D823" s="37"/>
      <c r="E823" s="15"/>
      <c r="F823" s="15"/>
      <c r="G823" s="15"/>
      <c r="H823" s="15"/>
      <c r="I823" s="15"/>
      <c r="J823" s="39"/>
      <c r="K823" s="40"/>
      <c r="L823" s="8"/>
      <c r="M823" s="8"/>
      <c r="N823" s="8"/>
      <c r="O823" s="8"/>
      <c r="P823" s="8"/>
      <c r="Q823" s="8"/>
      <c r="R823" s="8"/>
      <c r="S823" s="8"/>
      <c r="T823" s="8"/>
      <c r="U823" s="8"/>
      <c r="V823" s="8"/>
      <c r="W823" s="8"/>
      <c r="X823" s="8"/>
      <c r="Y823" s="8"/>
      <c r="Z823" s="8"/>
      <c r="AA823" s="8"/>
    </row>
    <row r="824" spans="1:27" ht="15">
      <c r="A824" s="15"/>
      <c r="B824" s="36"/>
      <c r="C824" s="15"/>
      <c r="D824" s="37"/>
      <c r="E824" s="15"/>
      <c r="F824" s="15"/>
      <c r="G824" s="15"/>
      <c r="H824" s="15"/>
      <c r="I824" s="15"/>
      <c r="J824" s="39"/>
      <c r="K824" s="40"/>
      <c r="L824" s="8"/>
      <c r="M824" s="8"/>
      <c r="N824" s="8"/>
      <c r="O824" s="8"/>
      <c r="P824" s="8"/>
      <c r="Q824" s="8"/>
      <c r="R824" s="8"/>
      <c r="S824" s="8"/>
      <c r="T824" s="8"/>
      <c r="U824" s="8"/>
      <c r="V824" s="8"/>
      <c r="W824" s="8"/>
      <c r="X824" s="8"/>
      <c r="Y824" s="8"/>
      <c r="Z824" s="8"/>
      <c r="AA824" s="8"/>
    </row>
    <row r="825" spans="1:27" ht="15">
      <c r="A825" s="15"/>
      <c r="B825" s="36"/>
      <c r="C825" s="15"/>
      <c r="D825" s="37"/>
      <c r="E825" s="15"/>
      <c r="F825" s="15"/>
      <c r="G825" s="15"/>
      <c r="H825" s="15"/>
      <c r="I825" s="15"/>
      <c r="J825" s="39"/>
      <c r="K825" s="40"/>
      <c r="L825" s="8"/>
      <c r="M825" s="8"/>
      <c r="N825" s="8"/>
      <c r="O825" s="8"/>
      <c r="P825" s="8"/>
      <c r="Q825" s="8"/>
      <c r="R825" s="8"/>
      <c r="S825" s="8"/>
      <c r="T825" s="8"/>
      <c r="U825" s="8"/>
      <c r="V825" s="8"/>
      <c r="W825" s="8"/>
      <c r="X825" s="8"/>
      <c r="Y825" s="8"/>
      <c r="Z825" s="8"/>
      <c r="AA825" s="8"/>
    </row>
    <row r="826" spans="1:27" ht="15">
      <c r="A826" s="15"/>
      <c r="B826" s="36"/>
      <c r="C826" s="15"/>
      <c r="D826" s="37"/>
      <c r="E826" s="15"/>
      <c r="F826" s="15"/>
      <c r="G826" s="15"/>
      <c r="H826" s="15"/>
      <c r="I826" s="15"/>
      <c r="J826" s="39"/>
      <c r="K826" s="40"/>
      <c r="L826" s="8"/>
      <c r="M826" s="8"/>
      <c r="N826" s="8"/>
      <c r="O826" s="8"/>
      <c r="P826" s="8"/>
      <c r="Q826" s="8"/>
      <c r="R826" s="8"/>
      <c r="S826" s="8"/>
      <c r="T826" s="8"/>
      <c r="U826" s="8"/>
      <c r="V826" s="8"/>
      <c r="W826" s="8"/>
      <c r="X826" s="8"/>
      <c r="Y826" s="8"/>
      <c r="Z826" s="8"/>
      <c r="AA826" s="8"/>
    </row>
    <row r="827" spans="1:27" ht="15">
      <c r="A827" s="15"/>
      <c r="B827" s="36"/>
      <c r="C827" s="15"/>
      <c r="D827" s="37"/>
      <c r="E827" s="15"/>
      <c r="F827" s="15"/>
      <c r="G827" s="15"/>
      <c r="H827" s="15"/>
      <c r="I827" s="15"/>
      <c r="J827" s="39"/>
      <c r="K827" s="40"/>
      <c r="L827" s="8"/>
      <c r="M827" s="8"/>
      <c r="N827" s="8"/>
      <c r="O827" s="8"/>
      <c r="P827" s="8"/>
      <c r="Q827" s="8"/>
      <c r="R827" s="8"/>
      <c r="S827" s="8"/>
      <c r="T827" s="8"/>
      <c r="U827" s="8"/>
      <c r="V827" s="8"/>
      <c r="W827" s="8"/>
      <c r="X827" s="8"/>
      <c r="Y827" s="8"/>
      <c r="Z827" s="8"/>
      <c r="AA827" s="8"/>
    </row>
    <row r="828" spans="1:27" ht="15">
      <c r="A828" s="15"/>
      <c r="B828" s="36"/>
      <c r="C828" s="15"/>
      <c r="D828" s="37"/>
      <c r="E828" s="15"/>
      <c r="F828" s="15"/>
      <c r="G828" s="15"/>
      <c r="H828" s="15"/>
      <c r="I828" s="15"/>
      <c r="J828" s="39"/>
      <c r="K828" s="40"/>
      <c r="L828" s="8"/>
      <c r="M828" s="8"/>
      <c r="N828" s="8"/>
      <c r="O828" s="8"/>
      <c r="P828" s="8"/>
      <c r="Q828" s="8"/>
      <c r="R828" s="8"/>
      <c r="S828" s="8"/>
      <c r="T828" s="8"/>
      <c r="U828" s="8"/>
      <c r="V828" s="8"/>
      <c r="W828" s="8"/>
      <c r="X828" s="8"/>
      <c r="Y828" s="8"/>
      <c r="Z828" s="8"/>
      <c r="AA828" s="8"/>
    </row>
    <row r="829" spans="1:27" ht="15">
      <c r="A829" s="15"/>
      <c r="B829" s="36"/>
      <c r="C829" s="15"/>
      <c r="D829" s="37"/>
      <c r="E829" s="15"/>
      <c r="F829" s="15"/>
      <c r="G829" s="15"/>
      <c r="H829" s="15"/>
      <c r="I829" s="15"/>
      <c r="J829" s="39"/>
      <c r="K829" s="40"/>
      <c r="L829" s="8"/>
      <c r="M829" s="8"/>
      <c r="N829" s="8"/>
      <c r="O829" s="8"/>
      <c r="P829" s="8"/>
      <c r="Q829" s="8"/>
      <c r="R829" s="8"/>
      <c r="S829" s="8"/>
      <c r="T829" s="8"/>
      <c r="U829" s="8"/>
      <c r="V829" s="8"/>
      <c r="W829" s="8"/>
      <c r="X829" s="8"/>
      <c r="Y829" s="8"/>
      <c r="Z829" s="8"/>
      <c r="AA829" s="8"/>
    </row>
    <row r="830" spans="1:27" ht="15">
      <c r="A830" s="15"/>
      <c r="B830" s="36"/>
      <c r="C830" s="15"/>
      <c r="D830" s="37"/>
      <c r="E830" s="15"/>
      <c r="F830" s="15"/>
      <c r="G830" s="15"/>
      <c r="H830" s="15"/>
      <c r="I830" s="15"/>
      <c r="J830" s="39"/>
      <c r="K830" s="40"/>
      <c r="L830" s="8"/>
      <c r="M830" s="8"/>
      <c r="N830" s="8"/>
      <c r="O830" s="8"/>
      <c r="P830" s="8"/>
      <c r="Q830" s="8"/>
      <c r="R830" s="8"/>
      <c r="S830" s="8"/>
      <c r="T830" s="8"/>
      <c r="U830" s="8"/>
      <c r="V830" s="8"/>
      <c r="W830" s="8"/>
      <c r="X830" s="8"/>
      <c r="Y830" s="8"/>
      <c r="Z830" s="8"/>
      <c r="AA830" s="8"/>
    </row>
    <row r="831" spans="1:27" ht="15">
      <c r="A831" s="15"/>
      <c r="B831" s="36"/>
      <c r="C831" s="15"/>
      <c r="D831" s="37"/>
      <c r="E831" s="15"/>
      <c r="F831" s="15"/>
      <c r="G831" s="15"/>
      <c r="H831" s="15"/>
      <c r="I831" s="15"/>
      <c r="J831" s="39"/>
      <c r="K831" s="40"/>
      <c r="L831" s="8"/>
      <c r="M831" s="8"/>
      <c r="N831" s="8"/>
      <c r="O831" s="8"/>
      <c r="P831" s="8"/>
      <c r="Q831" s="8"/>
      <c r="R831" s="8"/>
      <c r="S831" s="8"/>
      <c r="T831" s="8"/>
      <c r="U831" s="8"/>
      <c r="V831" s="8"/>
      <c r="W831" s="8"/>
      <c r="X831" s="8"/>
      <c r="Y831" s="8"/>
      <c r="Z831" s="8"/>
      <c r="AA831" s="8"/>
    </row>
    <row r="832" spans="1:27" ht="15">
      <c r="A832" s="15"/>
      <c r="B832" s="36"/>
      <c r="C832" s="15"/>
      <c r="D832" s="37"/>
      <c r="E832" s="15"/>
      <c r="F832" s="15"/>
      <c r="G832" s="15"/>
      <c r="H832" s="15"/>
      <c r="I832" s="15"/>
      <c r="J832" s="39"/>
      <c r="K832" s="40"/>
      <c r="L832" s="8"/>
      <c r="M832" s="8"/>
      <c r="N832" s="8"/>
      <c r="O832" s="8"/>
      <c r="P832" s="8"/>
      <c r="Q832" s="8"/>
      <c r="R832" s="8"/>
      <c r="S832" s="8"/>
      <c r="T832" s="8"/>
      <c r="U832" s="8"/>
      <c r="V832" s="8"/>
      <c r="W832" s="8"/>
      <c r="X832" s="8"/>
      <c r="Y832" s="8"/>
      <c r="Z832" s="8"/>
      <c r="AA832" s="8"/>
    </row>
    <row r="833" spans="1:27" ht="15">
      <c r="A833" s="15"/>
      <c r="B833" s="36"/>
      <c r="C833" s="15"/>
      <c r="D833" s="37"/>
      <c r="E833" s="15"/>
      <c r="F833" s="15"/>
      <c r="G833" s="15"/>
      <c r="H833" s="15"/>
      <c r="I833" s="15"/>
      <c r="J833" s="39"/>
      <c r="K833" s="40"/>
      <c r="L833" s="8"/>
      <c r="M833" s="8"/>
      <c r="N833" s="8"/>
      <c r="O833" s="8"/>
      <c r="P833" s="8"/>
      <c r="Q833" s="8"/>
      <c r="R833" s="8"/>
      <c r="S833" s="8"/>
      <c r="T833" s="8"/>
      <c r="U833" s="8"/>
      <c r="V833" s="8"/>
      <c r="W833" s="8"/>
      <c r="X833" s="8"/>
      <c r="Y833" s="8"/>
      <c r="Z833" s="8"/>
      <c r="AA833" s="8"/>
    </row>
    <row r="834" spans="1:27" ht="15">
      <c r="A834" s="15"/>
      <c r="B834" s="36"/>
      <c r="C834" s="15"/>
      <c r="D834" s="37"/>
      <c r="E834" s="15"/>
      <c r="F834" s="15"/>
      <c r="G834" s="15"/>
      <c r="H834" s="15"/>
      <c r="I834" s="15"/>
      <c r="J834" s="39"/>
      <c r="K834" s="40"/>
      <c r="L834" s="8"/>
      <c r="M834" s="8"/>
      <c r="N834" s="8"/>
      <c r="O834" s="8"/>
      <c r="P834" s="8"/>
      <c r="Q834" s="8"/>
      <c r="R834" s="8"/>
      <c r="S834" s="8"/>
      <c r="T834" s="8"/>
      <c r="U834" s="8"/>
      <c r="V834" s="8"/>
      <c r="W834" s="8"/>
      <c r="X834" s="8"/>
      <c r="Y834" s="8"/>
      <c r="Z834" s="8"/>
      <c r="AA834" s="8"/>
    </row>
    <row r="835" spans="1:27" ht="15">
      <c r="A835" s="15"/>
      <c r="B835" s="36"/>
      <c r="C835" s="15"/>
      <c r="D835" s="37"/>
      <c r="E835" s="15"/>
      <c r="F835" s="15"/>
      <c r="G835" s="15"/>
      <c r="H835" s="15"/>
      <c r="I835" s="15"/>
      <c r="J835" s="39"/>
      <c r="K835" s="40"/>
      <c r="L835" s="8"/>
      <c r="M835" s="8"/>
      <c r="N835" s="8"/>
      <c r="O835" s="8"/>
      <c r="P835" s="8"/>
      <c r="Q835" s="8"/>
      <c r="R835" s="8"/>
      <c r="S835" s="8"/>
      <c r="T835" s="8"/>
      <c r="U835" s="8"/>
      <c r="V835" s="8"/>
      <c r="W835" s="8"/>
      <c r="X835" s="8"/>
      <c r="Y835" s="8"/>
      <c r="Z835" s="8"/>
      <c r="AA835" s="8"/>
    </row>
    <row r="836" spans="1:27" ht="15">
      <c r="A836" s="15"/>
      <c r="B836" s="36"/>
      <c r="C836" s="15"/>
      <c r="D836" s="37"/>
      <c r="E836" s="15"/>
      <c r="F836" s="15"/>
      <c r="G836" s="15"/>
      <c r="H836" s="15"/>
      <c r="I836" s="15"/>
      <c r="J836" s="39"/>
      <c r="K836" s="40"/>
      <c r="L836" s="8"/>
      <c r="M836" s="8"/>
      <c r="N836" s="8"/>
      <c r="O836" s="8"/>
      <c r="P836" s="8"/>
      <c r="Q836" s="8"/>
      <c r="R836" s="8"/>
      <c r="S836" s="8"/>
      <c r="T836" s="8"/>
      <c r="U836" s="8"/>
      <c r="V836" s="8"/>
      <c r="W836" s="8"/>
      <c r="X836" s="8"/>
      <c r="Y836" s="8"/>
      <c r="Z836" s="8"/>
      <c r="AA836" s="8"/>
    </row>
    <row r="837" spans="1:27" ht="15">
      <c r="A837" s="15"/>
      <c r="B837" s="36"/>
      <c r="C837" s="15"/>
      <c r="D837" s="37"/>
      <c r="E837" s="15"/>
      <c r="F837" s="15"/>
      <c r="G837" s="15"/>
      <c r="H837" s="15"/>
      <c r="I837" s="15"/>
      <c r="J837" s="39"/>
      <c r="K837" s="40"/>
      <c r="L837" s="8"/>
      <c r="M837" s="8"/>
      <c r="N837" s="8"/>
      <c r="O837" s="8"/>
      <c r="P837" s="8"/>
      <c r="Q837" s="8"/>
      <c r="R837" s="8"/>
      <c r="S837" s="8"/>
      <c r="T837" s="8"/>
      <c r="U837" s="8"/>
      <c r="V837" s="8"/>
      <c r="W837" s="8"/>
      <c r="X837" s="8"/>
      <c r="Y837" s="8"/>
      <c r="Z837" s="8"/>
      <c r="AA837" s="8"/>
    </row>
    <row r="838" spans="1:27" ht="15">
      <c r="A838" s="15"/>
      <c r="B838" s="36"/>
      <c r="C838" s="15"/>
      <c r="D838" s="37"/>
      <c r="E838" s="15"/>
      <c r="F838" s="15"/>
      <c r="G838" s="15"/>
      <c r="H838" s="15"/>
      <c r="I838" s="15"/>
      <c r="J838" s="39"/>
      <c r="K838" s="40"/>
      <c r="L838" s="8"/>
      <c r="M838" s="8"/>
      <c r="N838" s="8"/>
      <c r="O838" s="8"/>
      <c r="P838" s="8"/>
      <c r="Q838" s="8"/>
      <c r="R838" s="8"/>
      <c r="S838" s="8"/>
      <c r="T838" s="8"/>
      <c r="U838" s="8"/>
      <c r="V838" s="8"/>
      <c r="W838" s="8"/>
      <c r="X838" s="8"/>
      <c r="Y838" s="8"/>
      <c r="Z838" s="8"/>
      <c r="AA838" s="8"/>
    </row>
    <row r="839" spans="1:27" ht="15">
      <c r="A839" s="15"/>
      <c r="B839" s="36"/>
      <c r="C839" s="15"/>
      <c r="D839" s="37"/>
      <c r="E839" s="15"/>
      <c r="F839" s="15"/>
      <c r="G839" s="15"/>
      <c r="H839" s="15"/>
      <c r="I839" s="15"/>
      <c r="J839" s="39"/>
      <c r="K839" s="40"/>
      <c r="L839" s="8"/>
      <c r="M839" s="8"/>
      <c r="N839" s="8"/>
      <c r="O839" s="8"/>
      <c r="P839" s="8"/>
      <c r="Q839" s="8"/>
      <c r="R839" s="8"/>
      <c r="S839" s="8"/>
      <c r="T839" s="8"/>
      <c r="U839" s="8"/>
      <c r="V839" s="8"/>
      <c r="W839" s="8"/>
      <c r="X839" s="8"/>
      <c r="Y839" s="8"/>
      <c r="Z839" s="8"/>
      <c r="AA839" s="8"/>
    </row>
    <row r="840" spans="1:27" ht="15">
      <c r="A840" s="15"/>
      <c r="B840" s="36"/>
      <c r="C840" s="15"/>
      <c r="D840" s="37"/>
      <c r="E840" s="15"/>
      <c r="F840" s="15"/>
      <c r="G840" s="15"/>
      <c r="H840" s="15"/>
      <c r="I840" s="15"/>
      <c r="J840" s="39"/>
      <c r="K840" s="40"/>
      <c r="L840" s="8"/>
      <c r="M840" s="8"/>
      <c r="N840" s="8"/>
      <c r="O840" s="8"/>
      <c r="P840" s="8"/>
      <c r="Q840" s="8"/>
      <c r="R840" s="8"/>
      <c r="S840" s="8"/>
      <c r="T840" s="8"/>
      <c r="U840" s="8"/>
      <c r="V840" s="8"/>
      <c r="W840" s="8"/>
      <c r="X840" s="8"/>
      <c r="Y840" s="8"/>
      <c r="Z840" s="8"/>
      <c r="AA840" s="8"/>
    </row>
    <row r="841" spans="1:27" ht="15">
      <c r="A841" s="15"/>
      <c r="B841" s="36"/>
      <c r="C841" s="15"/>
      <c r="D841" s="37"/>
      <c r="E841" s="15"/>
      <c r="F841" s="15"/>
      <c r="G841" s="15"/>
      <c r="H841" s="15"/>
      <c r="I841" s="15"/>
      <c r="J841" s="39"/>
      <c r="K841" s="40"/>
      <c r="L841" s="8"/>
      <c r="M841" s="8"/>
      <c r="N841" s="8"/>
      <c r="O841" s="8"/>
      <c r="P841" s="8"/>
      <c r="Q841" s="8"/>
      <c r="R841" s="8"/>
      <c r="S841" s="8"/>
      <c r="T841" s="8"/>
      <c r="U841" s="8"/>
      <c r="V841" s="8"/>
      <c r="W841" s="8"/>
      <c r="X841" s="8"/>
      <c r="Y841" s="8"/>
      <c r="Z841" s="8"/>
      <c r="AA841" s="8"/>
    </row>
    <row r="842" spans="1:27" ht="15">
      <c r="A842" s="15"/>
      <c r="B842" s="36"/>
      <c r="C842" s="15"/>
      <c r="D842" s="37"/>
      <c r="E842" s="15"/>
      <c r="F842" s="15"/>
      <c r="G842" s="15"/>
      <c r="H842" s="15"/>
      <c r="I842" s="15"/>
      <c r="J842" s="39"/>
      <c r="K842" s="40"/>
      <c r="L842" s="8"/>
      <c r="M842" s="8"/>
      <c r="N842" s="8"/>
      <c r="O842" s="8"/>
      <c r="P842" s="8"/>
      <c r="Q842" s="8"/>
      <c r="R842" s="8"/>
      <c r="S842" s="8"/>
      <c r="T842" s="8"/>
      <c r="U842" s="8"/>
      <c r="V842" s="8"/>
      <c r="W842" s="8"/>
      <c r="X842" s="8"/>
      <c r="Y842" s="8"/>
      <c r="Z842" s="8"/>
      <c r="AA842" s="8"/>
    </row>
    <row r="843" spans="1:27" ht="15">
      <c r="A843" s="15"/>
      <c r="B843" s="36"/>
      <c r="C843" s="15"/>
      <c r="D843" s="37"/>
      <c r="E843" s="15"/>
      <c r="F843" s="15"/>
      <c r="G843" s="15"/>
      <c r="H843" s="15"/>
      <c r="I843" s="15"/>
      <c r="J843" s="39"/>
      <c r="K843" s="40"/>
      <c r="L843" s="8"/>
      <c r="M843" s="8"/>
      <c r="N843" s="8"/>
      <c r="O843" s="8"/>
      <c r="P843" s="8"/>
      <c r="Q843" s="8"/>
      <c r="R843" s="8"/>
      <c r="S843" s="8"/>
      <c r="T843" s="8"/>
      <c r="U843" s="8"/>
      <c r="V843" s="8"/>
      <c r="W843" s="8"/>
      <c r="X843" s="8"/>
      <c r="Y843" s="8"/>
      <c r="Z843" s="8"/>
      <c r="AA843" s="8"/>
    </row>
    <row r="844" spans="1:27" ht="15">
      <c r="A844" s="15"/>
      <c r="B844" s="36"/>
      <c r="C844" s="15"/>
      <c r="D844" s="37"/>
      <c r="E844" s="15"/>
      <c r="F844" s="15"/>
      <c r="G844" s="15"/>
      <c r="H844" s="15"/>
      <c r="I844" s="15"/>
      <c r="J844" s="39"/>
      <c r="K844" s="40"/>
      <c r="L844" s="8"/>
      <c r="M844" s="8"/>
      <c r="N844" s="8"/>
      <c r="O844" s="8"/>
      <c r="P844" s="8"/>
      <c r="Q844" s="8"/>
      <c r="R844" s="8"/>
      <c r="S844" s="8"/>
      <c r="T844" s="8"/>
      <c r="U844" s="8"/>
      <c r="V844" s="8"/>
      <c r="W844" s="8"/>
      <c r="X844" s="8"/>
      <c r="Y844" s="8"/>
      <c r="Z844" s="8"/>
      <c r="AA844" s="8"/>
    </row>
    <row r="845" spans="1:27" ht="15">
      <c r="A845" s="15"/>
      <c r="B845" s="36"/>
      <c r="C845" s="15"/>
      <c r="D845" s="37"/>
      <c r="E845" s="15"/>
      <c r="F845" s="15"/>
      <c r="G845" s="15"/>
      <c r="H845" s="15"/>
      <c r="I845" s="15"/>
      <c r="J845" s="39"/>
      <c r="K845" s="40"/>
      <c r="L845" s="8"/>
      <c r="M845" s="8"/>
      <c r="N845" s="8"/>
      <c r="O845" s="8"/>
      <c r="P845" s="8"/>
      <c r="Q845" s="8"/>
      <c r="R845" s="8"/>
      <c r="S845" s="8"/>
      <c r="T845" s="8"/>
      <c r="U845" s="8"/>
      <c r="V845" s="8"/>
      <c r="W845" s="8"/>
      <c r="X845" s="8"/>
      <c r="Y845" s="8"/>
      <c r="Z845" s="8"/>
      <c r="AA845" s="8"/>
    </row>
    <row r="846" spans="1:27" ht="15">
      <c r="A846" s="15"/>
      <c r="B846" s="36"/>
      <c r="C846" s="15"/>
      <c r="D846" s="37"/>
      <c r="E846" s="15"/>
      <c r="F846" s="15"/>
      <c r="G846" s="15"/>
      <c r="H846" s="15"/>
      <c r="I846" s="15"/>
      <c r="J846" s="39"/>
      <c r="K846" s="40"/>
      <c r="L846" s="8"/>
      <c r="M846" s="8"/>
      <c r="N846" s="8"/>
      <c r="O846" s="8"/>
      <c r="P846" s="8"/>
      <c r="Q846" s="8"/>
      <c r="R846" s="8"/>
      <c r="S846" s="8"/>
      <c r="T846" s="8"/>
      <c r="U846" s="8"/>
      <c r="V846" s="8"/>
      <c r="W846" s="8"/>
      <c r="X846" s="8"/>
      <c r="Y846" s="8"/>
      <c r="Z846" s="8"/>
      <c r="AA846" s="8"/>
    </row>
    <row r="847" spans="1:27" ht="15">
      <c r="A847" s="15"/>
      <c r="B847" s="36"/>
      <c r="C847" s="15"/>
      <c r="D847" s="37"/>
      <c r="E847" s="15"/>
      <c r="F847" s="15"/>
      <c r="G847" s="15"/>
      <c r="H847" s="15"/>
      <c r="I847" s="15"/>
      <c r="J847" s="39"/>
      <c r="K847" s="40"/>
      <c r="L847" s="8"/>
      <c r="M847" s="8"/>
      <c r="N847" s="8"/>
      <c r="O847" s="8"/>
      <c r="P847" s="8"/>
      <c r="Q847" s="8"/>
      <c r="R847" s="8"/>
      <c r="S847" s="8"/>
      <c r="T847" s="8"/>
      <c r="U847" s="8"/>
      <c r="V847" s="8"/>
      <c r="W847" s="8"/>
      <c r="X847" s="8"/>
      <c r="Y847" s="8"/>
      <c r="Z847" s="8"/>
      <c r="AA847" s="8"/>
    </row>
    <row r="848" spans="1:27" ht="15">
      <c r="A848" s="15"/>
      <c r="B848" s="36"/>
      <c r="C848" s="15"/>
      <c r="D848" s="37"/>
      <c r="E848" s="15"/>
      <c r="F848" s="15"/>
      <c r="G848" s="15"/>
      <c r="H848" s="15"/>
      <c r="I848" s="15"/>
      <c r="J848" s="39"/>
      <c r="K848" s="40"/>
      <c r="L848" s="8"/>
      <c r="M848" s="8"/>
      <c r="N848" s="8"/>
      <c r="O848" s="8"/>
      <c r="P848" s="8"/>
      <c r="Q848" s="8"/>
      <c r="R848" s="8"/>
      <c r="S848" s="8"/>
      <c r="T848" s="8"/>
      <c r="U848" s="8"/>
      <c r="V848" s="8"/>
      <c r="W848" s="8"/>
      <c r="X848" s="8"/>
      <c r="Y848" s="8"/>
      <c r="Z848" s="8"/>
      <c r="AA848" s="8"/>
    </row>
    <row r="849" spans="1:27" ht="15">
      <c r="A849" s="15"/>
      <c r="B849" s="36"/>
      <c r="C849" s="15"/>
      <c r="D849" s="37"/>
      <c r="E849" s="15"/>
      <c r="F849" s="15"/>
      <c r="G849" s="15"/>
      <c r="H849" s="15"/>
      <c r="I849" s="15"/>
      <c r="J849" s="39"/>
      <c r="K849" s="40"/>
      <c r="L849" s="8"/>
      <c r="M849" s="8"/>
      <c r="N849" s="8"/>
      <c r="O849" s="8"/>
      <c r="P849" s="8"/>
      <c r="Q849" s="8"/>
      <c r="R849" s="8"/>
      <c r="S849" s="8"/>
      <c r="T849" s="8"/>
      <c r="U849" s="8"/>
      <c r="V849" s="8"/>
      <c r="W849" s="8"/>
      <c r="X849" s="8"/>
      <c r="Y849" s="8"/>
      <c r="Z849" s="8"/>
      <c r="AA849" s="8"/>
    </row>
    <row r="850" spans="1:27" ht="15">
      <c r="A850" s="15"/>
      <c r="B850" s="36"/>
      <c r="C850" s="15"/>
      <c r="D850" s="37"/>
      <c r="E850" s="15"/>
      <c r="F850" s="15"/>
      <c r="G850" s="15"/>
      <c r="H850" s="15"/>
      <c r="I850" s="15"/>
      <c r="J850" s="39"/>
      <c r="K850" s="40"/>
      <c r="L850" s="8"/>
      <c r="M850" s="8"/>
      <c r="N850" s="8"/>
      <c r="O850" s="8"/>
      <c r="P850" s="8"/>
      <c r="Q850" s="8"/>
      <c r="R850" s="8"/>
      <c r="S850" s="8"/>
      <c r="T850" s="8"/>
      <c r="U850" s="8"/>
      <c r="V850" s="8"/>
      <c r="W850" s="8"/>
      <c r="X850" s="8"/>
      <c r="Y850" s="8"/>
      <c r="Z850" s="8"/>
      <c r="AA850" s="8"/>
    </row>
    <row r="851" spans="1:27" ht="15">
      <c r="A851" s="15"/>
      <c r="B851" s="36"/>
      <c r="C851" s="15"/>
      <c r="D851" s="37"/>
      <c r="E851" s="15"/>
      <c r="F851" s="15"/>
      <c r="G851" s="15"/>
      <c r="H851" s="15"/>
      <c r="I851" s="15"/>
      <c r="J851" s="39"/>
      <c r="K851" s="40"/>
      <c r="L851" s="8"/>
      <c r="M851" s="8"/>
      <c r="N851" s="8"/>
      <c r="O851" s="8"/>
      <c r="P851" s="8"/>
      <c r="Q851" s="8"/>
      <c r="R851" s="8"/>
      <c r="S851" s="8"/>
      <c r="T851" s="8"/>
      <c r="U851" s="8"/>
      <c r="V851" s="8"/>
      <c r="W851" s="8"/>
      <c r="X851" s="8"/>
      <c r="Y851" s="8"/>
      <c r="Z851" s="8"/>
      <c r="AA851" s="8"/>
    </row>
    <row r="852" spans="1:27" ht="15">
      <c r="A852" s="15"/>
      <c r="B852" s="36"/>
      <c r="C852" s="15"/>
      <c r="D852" s="37"/>
      <c r="E852" s="15"/>
      <c r="F852" s="15"/>
      <c r="G852" s="15"/>
      <c r="H852" s="15"/>
      <c r="I852" s="15"/>
      <c r="J852" s="39"/>
      <c r="K852" s="40"/>
      <c r="L852" s="8"/>
      <c r="M852" s="8"/>
      <c r="N852" s="8"/>
      <c r="O852" s="8"/>
      <c r="P852" s="8"/>
      <c r="Q852" s="8"/>
      <c r="R852" s="8"/>
      <c r="S852" s="8"/>
      <c r="T852" s="8"/>
      <c r="U852" s="8"/>
      <c r="V852" s="8"/>
      <c r="W852" s="8"/>
      <c r="X852" s="8"/>
      <c r="Y852" s="8"/>
      <c r="Z852" s="8"/>
      <c r="AA852" s="8"/>
    </row>
    <row r="853" spans="1:27" ht="15">
      <c r="A853" s="15"/>
      <c r="B853" s="36"/>
      <c r="C853" s="15"/>
      <c r="D853" s="37"/>
      <c r="E853" s="15"/>
      <c r="F853" s="15"/>
      <c r="G853" s="15"/>
      <c r="H853" s="15"/>
      <c r="I853" s="15"/>
      <c r="J853" s="39"/>
      <c r="K853" s="40"/>
      <c r="L853" s="8"/>
      <c r="M853" s="8"/>
      <c r="N853" s="8"/>
      <c r="O853" s="8"/>
      <c r="P853" s="8"/>
      <c r="Q853" s="8"/>
      <c r="R853" s="8"/>
      <c r="S853" s="8"/>
      <c r="T853" s="8"/>
      <c r="U853" s="8"/>
      <c r="V853" s="8"/>
      <c r="W853" s="8"/>
      <c r="X853" s="8"/>
      <c r="Y853" s="8"/>
      <c r="Z853" s="8"/>
      <c r="AA853" s="8"/>
    </row>
    <row r="854" spans="1:27" ht="15">
      <c r="A854" s="15"/>
      <c r="B854" s="36"/>
      <c r="C854" s="15"/>
      <c r="D854" s="37"/>
      <c r="E854" s="15"/>
      <c r="F854" s="15"/>
      <c r="G854" s="15"/>
      <c r="H854" s="15"/>
      <c r="I854" s="15"/>
      <c r="J854" s="39"/>
      <c r="K854" s="40"/>
      <c r="L854" s="8"/>
      <c r="M854" s="8"/>
      <c r="N854" s="8"/>
      <c r="O854" s="8"/>
      <c r="P854" s="8"/>
      <c r="Q854" s="8"/>
      <c r="R854" s="8"/>
      <c r="S854" s="8"/>
      <c r="T854" s="8"/>
      <c r="U854" s="8"/>
      <c r="V854" s="8"/>
      <c r="W854" s="8"/>
      <c r="X854" s="8"/>
      <c r="Y854" s="8"/>
      <c r="Z854" s="8"/>
      <c r="AA854" s="8"/>
    </row>
    <row r="855" spans="1:27" ht="15">
      <c r="A855" s="15"/>
      <c r="B855" s="36"/>
      <c r="C855" s="15"/>
      <c r="D855" s="37"/>
      <c r="E855" s="15"/>
      <c r="F855" s="15"/>
      <c r="G855" s="15"/>
      <c r="H855" s="15"/>
      <c r="I855" s="15"/>
      <c r="J855" s="39"/>
      <c r="K855" s="40"/>
      <c r="L855" s="8"/>
      <c r="M855" s="8"/>
      <c r="N855" s="8"/>
      <c r="O855" s="8"/>
      <c r="P855" s="8"/>
      <c r="Q855" s="8"/>
      <c r="R855" s="8"/>
      <c r="S855" s="8"/>
      <c r="T855" s="8"/>
      <c r="U855" s="8"/>
      <c r="V855" s="8"/>
      <c r="W855" s="8"/>
      <c r="X855" s="8"/>
      <c r="Y855" s="8"/>
      <c r="Z855" s="8"/>
      <c r="AA855" s="8"/>
    </row>
    <row r="856" spans="1:27" ht="15">
      <c r="A856" s="15"/>
      <c r="B856" s="36"/>
      <c r="C856" s="15"/>
      <c r="D856" s="37"/>
      <c r="E856" s="15"/>
      <c r="F856" s="15"/>
      <c r="G856" s="15"/>
      <c r="H856" s="15"/>
      <c r="I856" s="15"/>
      <c r="J856" s="39"/>
      <c r="K856" s="40"/>
      <c r="L856" s="8"/>
      <c r="M856" s="8"/>
      <c r="N856" s="8"/>
      <c r="O856" s="8"/>
      <c r="P856" s="8"/>
      <c r="Q856" s="8"/>
      <c r="R856" s="8"/>
      <c r="S856" s="8"/>
      <c r="T856" s="8"/>
      <c r="U856" s="8"/>
      <c r="V856" s="8"/>
      <c r="W856" s="8"/>
      <c r="X856" s="8"/>
      <c r="Y856" s="8"/>
      <c r="Z856" s="8"/>
      <c r="AA856" s="8"/>
    </row>
    <row r="857" spans="1:27" ht="15">
      <c r="A857" s="15"/>
      <c r="B857" s="36"/>
      <c r="C857" s="15"/>
      <c r="D857" s="37"/>
      <c r="E857" s="15"/>
      <c r="F857" s="15"/>
      <c r="G857" s="15"/>
      <c r="H857" s="15"/>
      <c r="I857" s="15"/>
      <c r="J857" s="39"/>
      <c r="K857" s="40"/>
      <c r="L857" s="8"/>
      <c r="M857" s="8"/>
      <c r="N857" s="8"/>
      <c r="O857" s="8"/>
      <c r="P857" s="8"/>
      <c r="Q857" s="8"/>
      <c r="R857" s="8"/>
      <c r="S857" s="8"/>
      <c r="T857" s="8"/>
      <c r="U857" s="8"/>
      <c r="V857" s="8"/>
      <c r="W857" s="8"/>
      <c r="X857" s="8"/>
      <c r="Y857" s="8"/>
      <c r="Z857" s="8"/>
      <c r="AA857" s="8"/>
    </row>
    <row r="858" spans="1:27" ht="15">
      <c r="A858" s="15"/>
      <c r="B858" s="36"/>
      <c r="C858" s="15"/>
      <c r="D858" s="37"/>
      <c r="E858" s="15"/>
      <c r="F858" s="15"/>
      <c r="G858" s="15"/>
      <c r="H858" s="15"/>
      <c r="I858" s="15"/>
      <c r="J858" s="39"/>
      <c r="K858" s="40"/>
      <c r="L858" s="8"/>
      <c r="M858" s="8"/>
      <c r="N858" s="8"/>
      <c r="O858" s="8"/>
      <c r="P858" s="8"/>
      <c r="Q858" s="8"/>
      <c r="R858" s="8"/>
      <c r="S858" s="8"/>
      <c r="T858" s="8"/>
      <c r="U858" s="8"/>
      <c r="V858" s="8"/>
      <c r="W858" s="8"/>
      <c r="X858" s="8"/>
      <c r="Y858" s="8"/>
      <c r="Z858" s="8"/>
      <c r="AA858" s="8"/>
    </row>
    <row r="859" spans="1:27" ht="15">
      <c r="A859" s="15"/>
      <c r="B859" s="36"/>
      <c r="C859" s="15"/>
      <c r="D859" s="37"/>
      <c r="E859" s="15"/>
      <c r="F859" s="15"/>
      <c r="G859" s="15"/>
      <c r="H859" s="15"/>
      <c r="I859" s="15"/>
      <c r="J859" s="39"/>
      <c r="K859" s="40"/>
      <c r="L859" s="8"/>
      <c r="M859" s="8"/>
      <c r="N859" s="8"/>
      <c r="O859" s="8"/>
      <c r="P859" s="8"/>
      <c r="Q859" s="8"/>
      <c r="R859" s="8"/>
      <c r="S859" s="8"/>
      <c r="T859" s="8"/>
      <c r="U859" s="8"/>
      <c r="V859" s="8"/>
      <c r="W859" s="8"/>
      <c r="X859" s="8"/>
      <c r="Y859" s="8"/>
      <c r="Z859" s="8"/>
      <c r="AA859" s="8"/>
    </row>
    <row r="860" spans="1:27" ht="15">
      <c r="A860" s="15"/>
      <c r="B860" s="36"/>
      <c r="C860" s="15"/>
      <c r="D860" s="37"/>
      <c r="E860" s="15"/>
      <c r="F860" s="15"/>
      <c r="G860" s="15"/>
      <c r="H860" s="15"/>
      <c r="I860" s="15"/>
      <c r="J860" s="39"/>
      <c r="K860" s="40"/>
      <c r="L860" s="8"/>
      <c r="M860" s="8"/>
      <c r="N860" s="8"/>
      <c r="O860" s="8"/>
      <c r="P860" s="8"/>
      <c r="Q860" s="8"/>
      <c r="R860" s="8"/>
      <c r="S860" s="8"/>
      <c r="T860" s="8"/>
      <c r="U860" s="8"/>
      <c r="V860" s="8"/>
      <c r="W860" s="8"/>
      <c r="X860" s="8"/>
      <c r="Y860" s="8"/>
      <c r="Z860" s="8"/>
      <c r="AA860" s="8"/>
    </row>
    <row r="861" spans="1:27" ht="15">
      <c r="A861" s="15"/>
      <c r="B861" s="36"/>
      <c r="C861" s="15"/>
      <c r="D861" s="37"/>
      <c r="E861" s="15"/>
      <c r="F861" s="15"/>
      <c r="G861" s="15"/>
      <c r="H861" s="15"/>
      <c r="I861" s="15"/>
      <c r="J861" s="39"/>
      <c r="K861" s="40"/>
      <c r="L861" s="8"/>
      <c r="M861" s="8"/>
      <c r="N861" s="8"/>
      <c r="O861" s="8"/>
      <c r="P861" s="8"/>
      <c r="Q861" s="8"/>
      <c r="R861" s="8"/>
      <c r="S861" s="8"/>
      <c r="T861" s="8"/>
      <c r="U861" s="8"/>
      <c r="V861" s="8"/>
      <c r="W861" s="8"/>
      <c r="X861" s="8"/>
      <c r="Y861" s="8"/>
      <c r="Z861" s="8"/>
      <c r="AA861" s="8"/>
    </row>
    <row r="862" spans="1:27" ht="15">
      <c r="A862" s="15"/>
      <c r="B862" s="36"/>
      <c r="C862" s="15"/>
      <c r="D862" s="37"/>
      <c r="E862" s="15"/>
      <c r="F862" s="15"/>
      <c r="G862" s="15"/>
      <c r="H862" s="15"/>
      <c r="I862" s="15"/>
      <c r="J862" s="39"/>
      <c r="K862" s="40"/>
      <c r="L862" s="8"/>
      <c r="M862" s="8"/>
      <c r="N862" s="8"/>
      <c r="O862" s="8"/>
      <c r="P862" s="8"/>
      <c r="Q862" s="8"/>
      <c r="R862" s="8"/>
      <c r="S862" s="8"/>
      <c r="T862" s="8"/>
      <c r="U862" s="8"/>
      <c r="V862" s="8"/>
      <c r="W862" s="8"/>
      <c r="X862" s="8"/>
      <c r="Y862" s="8"/>
      <c r="Z862" s="8"/>
      <c r="AA862" s="8"/>
    </row>
    <row r="863" spans="1:27" ht="15">
      <c r="A863" s="15"/>
      <c r="B863" s="36"/>
      <c r="C863" s="15"/>
      <c r="D863" s="37"/>
      <c r="E863" s="15"/>
      <c r="F863" s="15"/>
      <c r="G863" s="15"/>
      <c r="H863" s="15"/>
      <c r="I863" s="15"/>
      <c r="J863" s="39"/>
      <c r="K863" s="40"/>
      <c r="L863" s="8"/>
      <c r="M863" s="8"/>
      <c r="N863" s="8"/>
      <c r="O863" s="8"/>
      <c r="P863" s="8"/>
      <c r="Q863" s="8"/>
      <c r="R863" s="8"/>
      <c r="S863" s="8"/>
      <c r="T863" s="8"/>
      <c r="U863" s="8"/>
      <c r="V863" s="8"/>
      <c r="W863" s="8"/>
      <c r="X863" s="8"/>
      <c r="Y863" s="8"/>
      <c r="Z863" s="8"/>
      <c r="AA863" s="8"/>
    </row>
    <row r="864" spans="1:27" ht="15">
      <c r="A864" s="15"/>
      <c r="B864" s="36"/>
      <c r="C864" s="15"/>
      <c r="D864" s="37"/>
      <c r="E864" s="15"/>
      <c r="F864" s="15"/>
      <c r="G864" s="15"/>
      <c r="H864" s="15"/>
      <c r="I864" s="15"/>
      <c r="J864" s="39"/>
      <c r="K864" s="40"/>
      <c r="L864" s="8"/>
      <c r="M864" s="8"/>
      <c r="N864" s="8"/>
      <c r="O864" s="8"/>
      <c r="P864" s="8"/>
      <c r="Q864" s="8"/>
      <c r="R864" s="8"/>
      <c r="S864" s="8"/>
      <c r="T864" s="8"/>
      <c r="U864" s="8"/>
      <c r="V864" s="8"/>
      <c r="W864" s="8"/>
      <c r="X864" s="8"/>
      <c r="Y864" s="8"/>
      <c r="Z864" s="8"/>
      <c r="AA864" s="8"/>
    </row>
    <row r="865" spans="1:27" ht="15">
      <c r="A865" s="15"/>
      <c r="B865" s="36"/>
      <c r="C865" s="15"/>
      <c r="D865" s="37"/>
      <c r="E865" s="15"/>
      <c r="F865" s="15"/>
      <c r="G865" s="15"/>
      <c r="H865" s="15"/>
      <c r="I865" s="15"/>
      <c r="J865" s="39"/>
      <c r="K865" s="40"/>
      <c r="L865" s="8"/>
      <c r="M865" s="8"/>
      <c r="N865" s="8"/>
      <c r="O865" s="8"/>
      <c r="P865" s="8"/>
      <c r="Q865" s="8"/>
      <c r="R865" s="8"/>
      <c r="S865" s="8"/>
      <c r="T865" s="8"/>
      <c r="U865" s="8"/>
      <c r="V865" s="8"/>
      <c r="W865" s="8"/>
      <c r="X865" s="8"/>
      <c r="Y865" s="8"/>
      <c r="Z865" s="8"/>
      <c r="AA865" s="8"/>
    </row>
    <row r="866" spans="1:27" ht="15">
      <c r="A866" s="15"/>
      <c r="B866" s="36"/>
      <c r="C866" s="15"/>
      <c r="D866" s="37"/>
      <c r="E866" s="15"/>
      <c r="F866" s="15"/>
      <c r="G866" s="15"/>
      <c r="H866" s="15"/>
      <c r="I866" s="15"/>
      <c r="J866" s="39"/>
      <c r="K866" s="40"/>
      <c r="L866" s="8"/>
      <c r="M866" s="8"/>
      <c r="N866" s="8"/>
      <c r="O866" s="8"/>
      <c r="P866" s="8"/>
      <c r="Q866" s="8"/>
      <c r="R866" s="8"/>
      <c r="S866" s="8"/>
      <c r="T866" s="8"/>
      <c r="U866" s="8"/>
      <c r="V866" s="8"/>
      <c r="W866" s="8"/>
      <c r="X866" s="8"/>
      <c r="Y866" s="8"/>
      <c r="Z866" s="8"/>
      <c r="AA866" s="8"/>
    </row>
    <row r="867" spans="1:27" ht="15">
      <c r="A867" s="15"/>
      <c r="B867" s="36"/>
      <c r="C867" s="15"/>
      <c r="D867" s="37"/>
      <c r="E867" s="15"/>
      <c r="F867" s="15"/>
      <c r="G867" s="15"/>
      <c r="H867" s="15"/>
      <c r="I867" s="15"/>
      <c r="J867" s="39"/>
      <c r="K867" s="40"/>
      <c r="L867" s="8"/>
      <c r="M867" s="8"/>
      <c r="N867" s="8"/>
      <c r="O867" s="8"/>
      <c r="P867" s="8"/>
      <c r="Q867" s="8"/>
      <c r="R867" s="8"/>
      <c r="S867" s="8"/>
      <c r="T867" s="8"/>
      <c r="U867" s="8"/>
      <c r="V867" s="8"/>
      <c r="W867" s="8"/>
      <c r="X867" s="8"/>
      <c r="Y867" s="8"/>
      <c r="Z867" s="8"/>
      <c r="AA867" s="8"/>
    </row>
    <row r="868" spans="1:27" ht="15">
      <c r="A868" s="15"/>
      <c r="B868" s="36"/>
      <c r="C868" s="15"/>
      <c r="D868" s="37"/>
      <c r="E868" s="15"/>
      <c r="F868" s="15"/>
      <c r="G868" s="15"/>
      <c r="H868" s="15"/>
      <c r="I868" s="15"/>
      <c r="J868" s="39"/>
      <c r="K868" s="40"/>
      <c r="L868" s="8"/>
      <c r="M868" s="8"/>
      <c r="N868" s="8"/>
      <c r="O868" s="8"/>
      <c r="P868" s="8"/>
      <c r="Q868" s="8"/>
      <c r="R868" s="8"/>
      <c r="S868" s="8"/>
      <c r="T868" s="8"/>
      <c r="U868" s="8"/>
      <c r="V868" s="8"/>
      <c r="W868" s="8"/>
      <c r="X868" s="8"/>
      <c r="Y868" s="8"/>
      <c r="Z868" s="8"/>
      <c r="AA868" s="8"/>
    </row>
    <row r="869" spans="1:27" ht="15">
      <c r="A869" s="15"/>
      <c r="B869" s="36"/>
      <c r="C869" s="15"/>
      <c r="D869" s="37"/>
      <c r="E869" s="15"/>
      <c r="F869" s="15"/>
      <c r="G869" s="15"/>
      <c r="H869" s="15"/>
      <c r="I869" s="15"/>
      <c r="J869" s="39"/>
      <c r="K869" s="40"/>
      <c r="L869" s="8"/>
      <c r="M869" s="8"/>
      <c r="N869" s="8"/>
      <c r="O869" s="8"/>
      <c r="P869" s="8"/>
      <c r="Q869" s="8"/>
      <c r="R869" s="8"/>
      <c r="S869" s="8"/>
      <c r="T869" s="8"/>
      <c r="U869" s="8"/>
      <c r="V869" s="8"/>
      <c r="W869" s="8"/>
      <c r="X869" s="8"/>
      <c r="Y869" s="8"/>
      <c r="Z869" s="8"/>
      <c r="AA869" s="8"/>
    </row>
    <row r="870" spans="1:27" ht="15">
      <c r="A870" s="15"/>
      <c r="B870" s="36"/>
      <c r="C870" s="15"/>
      <c r="D870" s="37"/>
      <c r="E870" s="15"/>
      <c r="F870" s="15"/>
      <c r="G870" s="15"/>
      <c r="H870" s="15"/>
      <c r="I870" s="15"/>
      <c r="J870" s="39"/>
      <c r="K870" s="40"/>
      <c r="L870" s="8"/>
      <c r="M870" s="8"/>
      <c r="N870" s="8"/>
      <c r="O870" s="8"/>
      <c r="P870" s="8"/>
      <c r="Q870" s="8"/>
      <c r="R870" s="8"/>
      <c r="S870" s="8"/>
      <c r="T870" s="8"/>
      <c r="U870" s="8"/>
      <c r="V870" s="8"/>
      <c r="W870" s="8"/>
      <c r="X870" s="8"/>
      <c r="Y870" s="8"/>
      <c r="Z870" s="8"/>
      <c r="AA870" s="8"/>
    </row>
    <row r="871" spans="1:27" ht="15">
      <c r="A871" s="15"/>
      <c r="B871" s="36"/>
      <c r="C871" s="15"/>
      <c r="D871" s="37"/>
      <c r="E871" s="15"/>
      <c r="F871" s="15"/>
      <c r="G871" s="15"/>
      <c r="H871" s="15"/>
      <c r="I871" s="15"/>
      <c r="J871" s="39"/>
      <c r="K871" s="40"/>
      <c r="L871" s="8"/>
      <c r="M871" s="8"/>
      <c r="N871" s="8"/>
      <c r="O871" s="8"/>
      <c r="P871" s="8"/>
      <c r="Q871" s="8"/>
      <c r="R871" s="8"/>
      <c r="S871" s="8"/>
      <c r="T871" s="8"/>
      <c r="U871" s="8"/>
      <c r="V871" s="8"/>
      <c r="W871" s="8"/>
      <c r="X871" s="8"/>
      <c r="Y871" s="8"/>
      <c r="Z871" s="8"/>
      <c r="AA871" s="8"/>
    </row>
    <row r="872" spans="1:27" ht="15">
      <c r="A872" s="15"/>
      <c r="B872" s="36"/>
      <c r="C872" s="15"/>
      <c r="D872" s="37"/>
      <c r="E872" s="15"/>
      <c r="F872" s="15"/>
      <c r="G872" s="15"/>
      <c r="H872" s="15"/>
      <c r="I872" s="15"/>
      <c r="J872" s="39"/>
      <c r="K872" s="40"/>
      <c r="L872" s="8"/>
      <c r="M872" s="8"/>
      <c r="N872" s="8"/>
      <c r="O872" s="8"/>
      <c r="P872" s="8"/>
      <c r="Q872" s="8"/>
      <c r="R872" s="8"/>
      <c r="S872" s="8"/>
      <c r="T872" s="8"/>
      <c r="U872" s="8"/>
      <c r="V872" s="8"/>
      <c r="W872" s="8"/>
      <c r="X872" s="8"/>
      <c r="Y872" s="8"/>
      <c r="Z872" s="8"/>
      <c r="AA872" s="8"/>
    </row>
    <row r="873" spans="1:27" ht="15">
      <c r="A873" s="15"/>
      <c r="B873" s="36"/>
      <c r="C873" s="15"/>
      <c r="D873" s="37"/>
      <c r="E873" s="15"/>
      <c r="F873" s="15"/>
      <c r="G873" s="15"/>
      <c r="H873" s="15"/>
      <c r="I873" s="15"/>
      <c r="J873" s="39"/>
      <c r="K873" s="40"/>
      <c r="L873" s="8"/>
      <c r="M873" s="8"/>
      <c r="N873" s="8"/>
      <c r="O873" s="8"/>
      <c r="P873" s="8"/>
      <c r="Q873" s="8"/>
      <c r="R873" s="8"/>
      <c r="S873" s="8"/>
      <c r="T873" s="8"/>
      <c r="U873" s="8"/>
      <c r="V873" s="8"/>
      <c r="W873" s="8"/>
      <c r="X873" s="8"/>
      <c r="Y873" s="8"/>
      <c r="Z873" s="8"/>
      <c r="AA873" s="8"/>
    </row>
    <row r="874" spans="1:27" ht="15">
      <c r="A874" s="15"/>
      <c r="B874" s="36"/>
      <c r="C874" s="15"/>
      <c r="D874" s="37"/>
      <c r="E874" s="15"/>
      <c r="F874" s="15"/>
      <c r="G874" s="15"/>
      <c r="H874" s="15"/>
      <c r="I874" s="15"/>
      <c r="J874" s="39"/>
      <c r="K874" s="40"/>
      <c r="L874" s="8"/>
      <c r="M874" s="8"/>
      <c r="N874" s="8"/>
      <c r="O874" s="8"/>
      <c r="P874" s="8"/>
      <c r="Q874" s="8"/>
      <c r="R874" s="8"/>
      <c r="S874" s="8"/>
      <c r="T874" s="8"/>
      <c r="U874" s="8"/>
      <c r="V874" s="8"/>
      <c r="W874" s="8"/>
      <c r="X874" s="8"/>
      <c r="Y874" s="8"/>
      <c r="Z874" s="8"/>
      <c r="AA874" s="8"/>
    </row>
    <row r="875" spans="1:27" ht="15">
      <c r="A875" s="15"/>
      <c r="B875" s="36"/>
      <c r="C875" s="15"/>
      <c r="D875" s="37"/>
      <c r="E875" s="15"/>
      <c r="F875" s="15"/>
      <c r="G875" s="15"/>
      <c r="H875" s="15"/>
      <c r="I875" s="15"/>
      <c r="J875" s="39"/>
      <c r="K875" s="40"/>
      <c r="L875" s="8"/>
      <c r="M875" s="8"/>
      <c r="N875" s="8"/>
      <c r="O875" s="8"/>
      <c r="P875" s="8"/>
      <c r="Q875" s="8"/>
      <c r="R875" s="8"/>
      <c r="S875" s="8"/>
      <c r="T875" s="8"/>
      <c r="U875" s="8"/>
      <c r="V875" s="8"/>
      <c r="W875" s="8"/>
      <c r="X875" s="8"/>
      <c r="Y875" s="8"/>
      <c r="Z875" s="8"/>
      <c r="AA875" s="8"/>
    </row>
    <row r="876" spans="1:27" ht="15">
      <c r="A876" s="15"/>
      <c r="B876" s="36"/>
      <c r="C876" s="15"/>
      <c r="D876" s="37"/>
      <c r="E876" s="15"/>
      <c r="F876" s="15"/>
      <c r="G876" s="15"/>
      <c r="H876" s="15"/>
      <c r="I876" s="15"/>
      <c r="J876" s="39"/>
      <c r="K876" s="40"/>
      <c r="L876" s="8"/>
      <c r="M876" s="8"/>
      <c r="N876" s="8"/>
      <c r="O876" s="8"/>
      <c r="P876" s="8"/>
      <c r="Q876" s="8"/>
      <c r="R876" s="8"/>
      <c r="S876" s="8"/>
      <c r="T876" s="8"/>
      <c r="U876" s="8"/>
      <c r="V876" s="8"/>
      <c r="W876" s="8"/>
      <c r="X876" s="8"/>
      <c r="Y876" s="8"/>
      <c r="Z876" s="8"/>
      <c r="AA876" s="8"/>
    </row>
    <row r="877" spans="1:27" ht="15">
      <c r="A877" s="15"/>
      <c r="B877" s="36"/>
      <c r="C877" s="15"/>
      <c r="D877" s="37"/>
      <c r="E877" s="15"/>
      <c r="F877" s="15"/>
      <c r="G877" s="15"/>
      <c r="H877" s="15"/>
      <c r="I877" s="15"/>
      <c r="J877" s="39"/>
      <c r="K877" s="40"/>
      <c r="L877" s="8"/>
      <c r="M877" s="8"/>
      <c r="N877" s="8"/>
      <c r="O877" s="8"/>
      <c r="P877" s="8"/>
      <c r="Q877" s="8"/>
      <c r="R877" s="8"/>
      <c r="S877" s="8"/>
      <c r="T877" s="8"/>
      <c r="U877" s="8"/>
      <c r="V877" s="8"/>
      <c r="W877" s="8"/>
      <c r="X877" s="8"/>
      <c r="Y877" s="8"/>
      <c r="Z877" s="8"/>
      <c r="AA877" s="8"/>
    </row>
    <row r="878" spans="1:27" ht="15">
      <c r="A878" s="15"/>
      <c r="B878" s="36"/>
      <c r="C878" s="15"/>
      <c r="D878" s="37"/>
      <c r="E878" s="15"/>
      <c r="F878" s="15"/>
      <c r="G878" s="15"/>
      <c r="H878" s="15"/>
      <c r="I878" s="15"/>
      <c r="J878" s="39"/>
      <c r="K878" s="40"/>
      <c r="L878" s="8"/>
      <c r="M878" s="8"/>
      <c r="N878" s="8"/>
      <c r="O878" s="8"/>
      <c r="P878" s="8"/>
      <c r="Q878" s="8"/>
      <c r="R878" s="8"/>
      <c r="S878" s="8"/>
      <c r="T878" s="8"/>
      <c r="U878" s="8"/>
      <c r="V878" s="8"/>
      <c r="W878" s="8"/>
      <c r="X878" s="8"/>
      <c r="Y878" s="8"/>
      <c r="Z878" s="8"/>
      <c r="AA878" s="8"/>
    </row>
    <row r="879" spans="1:27" ht="15">
      <c r="A879" s="15"/>
      <c r="B879" s="36"/>
      <c r="C879" s="15"/>
      <c r="D879" s="37"/>
      <c r="E879" s="15"/>
      <c r="F879" s="15"/>
      <c r="G879" s="15"/>
      <c r="H879" s="15"/>
      <c r="I879" s="15"/>
      <c r="J879" s="39"/>
      <c r="K879" s="40"/>
      <c r="L879" s="8"/>
      <c r="M879" s="8"/>
      <c r="N879" s="8"/>
      <c r="O879" s="8"/>
      <c r="P879" s="8"/>
      <c r="Q879" s="8"/>
      <c r="R879" s="8"/>
      <c r="S879" s="8"/>
      <c r="T879" s="8"/>
      <c r="U879" s="8"/>
      <c r="V879" s="8"/>
      <c r="W879" s="8"/>
      <c r="X879" s="8"/>
      <c r="Y879" s="8"/>
      <c r="Z879" s="8"/>
      <c r="AA879" s="8"/>
    </row>
    <row r="880" spans="1:27" ht="15">
      <c r="A880" s="15"/>
      <c r="B880" s="36"/>
      <c r="C880" s="15"/>
      <c r="D880" s="37"/>
      <c r="E880" s="15"/>
      <c r="F880" s="15"/>
      <c r="G880" s="15"/>
      <c r="H880" s="15"/>
      <c r="I880" s="15"/>
      <c r="J880" s="39"/>
      <c r="K880" s="40"/>
      <c r="L880" s="8"/>
      <c r="M880" s="8"/>
      <c r="N880" s="8"/>
      <c r="O880" s="8"/>
      <c r="P880" s="8"/>
      <c r="Q880" s="8"/>
      <c r="R880" s="8"/>
      <c r="S880" s="8"/>
      <c r="T880" s="8"/>
      <c r="U880" s="8"/>
      <c r="V880" s="8"/>
      <c r="W880" s="8"/>
      <c r="X880" s="8"/>
      <c r="Y880" s="8"/>
      <c r="Z880" s="8"/>
      <c r="AA880" s="8"/>
    </row>
    <row r="881" spans="1:27" ht="15">
      <c r="A881" s="15"/>
      <c r="B881" s="36"/>
      <c r="C881" s="15"/>
      <c r="D881" s="37"/>
      <c r="E881" s="15"/>
      <c r="F881" s="15"/>
      <c r="G881" s="15"/>
      <c r="H881" s="15"/>
      <c r="I881" s="15"/>
      <c r="J881" s="39"/>
      <c r="K881" s="40"/>
      <c r="L881" s="8"/>
      <c r="M881" s="8"/>
      <c r="N881" s="8"/>
      <c r="O881" s="8"/>
      <c r="P881" s="8"/>
      <c r="Q881" s="8"/>
      <c r="R881" s="8"/>
      <c r="S881" s="8"/>
      <c r="T881" s="8"/>
      <c r="U881" s="8"/>
      <c r="V881" s="8"/>
      <c r="W881" s="8"/>
      <c r="X881" s="8"/>
      <c r="Y881" s="8"/>
      <c r="Z881" s="8"/>
      <c r="AA881" s="8"/>
    </row>
    <row r="882" spans="1:27" ht="15">
      <c r="A882" s="15"/>
      <c r="B882" s="36"/>
      <c r="C882" s="15"/>
      <c r="D882" s="37"/>
      <c r="E882" s="15"/>
      <c r="F882" s="15"/>
      <c r="G882" s="15"/>
      <c r="H882" s="15"/>
      <c r="I882" s="15"/>
      <c r="J882" s="39"/>
      <c r="K882" s="40"/>
      <c r="L882" s="8"/>
      <c r="M882" s="8"/>
      <c r="N882" s="8"/>
      <c r="O882" s="8"/>
      <c r="P882" s="8"/>
      <c r="Q882" s="8"/>
      <c r="R882" s="8"/>
      <c r="S882" s="8"/>
      <c r="T882" s="8"/>
      <c r="U882" s="8"/>
      <c r="V882" s="8"/>
      <c r="W882" s="8"/>
      <c r="X882" s="8"/>
      <c r="Y882" s="8"/>
      <c r="Z882" s="8"/>
      <c r="AA882" s="8"/>
    </row>
    <row r="883" spans="1:27" ht="15">
      <c r="A883" s="15"/>
      <c r="B883" s="36"/>
      <c r="C883" s="15"/>
      <c r="D883" s="37"/>
      <c r="E883" s="15"/>
      <c r="F883" s="15"/>
      <c r="G883" s="15"/>
      <c r="H883" s="15"/>
      <c r="I883" s="15"/>
      <c r="J883" s="39"/>
      <c r="K883" s="40"/>
      <c r="L883" s="8"/>
      <c r="M883" s="8"/>
      <c r="N883" s="8"/>
      <c r="O883" s="8"/>
      <c r="P883" s="8"/>
      <c r="Q883" s="8"/>
      <c r="R883" s="8"/>
      <c r="S883" s="8"/>
      <c r="T883" s="8"/>
      <c r="U883" s="8"/>
      <c r="V883" s="8"/>
      <c r="W883" s="8"/>
      <c r="X883" s="8"/>
      <c r="Y883" s="8"/>
      <c r="Z883" s="8"/>
      <c r="AA883" s="8"/>
    </row>
    <row r="884" spans="1:27" ht="15">
      <c r="A884" s="15"/>
      <c r="B884" s="36"/>
      <c r="C884" s="15"/>
      <c r="D884" s="37"/>
      <c r="E884" s="15"/>
      <c r="F884" s="15"/>
      <c r="G884" s="15"/>
      <c r="H884" s="15"/>
      <c r="I884" s="15"/>
      <c r="J884" s="39"/>
      <c r="K884" s="40"/>
      <c r="L884" s="8"/>
      <c r="M884" s="8"/>
      <c r="N884" s="8"/>
      <c r="O884" s="8"/>
      <c r="P884" s="8"/>
      <c r="Q884" s="8"/>
      <c r="R884" s="8"/>
      <c r="S884" s="8"/>
      <c r="T884" s="8"/>
      <c r="U884" s="8"/>
      <c r="V884" s="8"/>
      <c r="W884" s="8"/>
      <c r="X884" s="8"/>
      <c r="Y884" s="8"/>
      <c r="Z884" s="8"/>
      <c r="AA884" s="8"/>
    </row>
    <row r="885" spans="1:27" ht="15">
      <c r="A885" s="15"/>
      <c r="B885" s="36"/>
      <c r="C885" s="15"/>
      <c r="D885" s="37"/>
      <c r="E885" s="15"/>
      <c r="F885" s="15"/>
      <c r="G885" s="15"/>
      <c r="H885" s="15"/>
      <c r="I885" s="15"/>
      <c r="J885" s="39"/>
      <c r="K885" s="40"/>
      <c r="L885" s="8"/>
      <c r="M885" s="8"/>
      <c r="N885" s="8"/>
      <c r="O885" s="8"/>
      <c r="P885" s="8"/>
      <c r="Q885" s="8"/>
      <c r="R885" s="8"/>
      <c r="S885" s="8"/>
      <c r="T885" s="8"/>
      <c r="U885" s="8"/>
      <c r="V885" s="8"/>
      <c r="W885" s="8"/>
      <c r="X885" s="8"/>
      <c r="Y885" s="8"/>
      <c r="Z885" s="8"/>
      <c r="AA885" s="8"/>
    </row>
    <row r="886" spans="1:27" ht="15">
      <c r="A886" s="15"/>
      <c r="B886" s="36"/>
      <c r="C886" s="15"/>
      <c r="D886" s="37"/>
      <c r="E886" s="15"/>
      <c r="F886" s="15"/>
      <c r="G886" s="15"/>
      <c r="H886" s="15"/>
      <c r="I886" s="15"/>
      <c r="J886" s="39"/>
      <c r="K886" s="40"/>
      <c r="L886" s="8"/>
      <c r="M886" s="8"/>
      <c r="N886" s="8"/>
      <c r="O886" s="8"/>
      <c r="P886" s="8"/>
      <c r="Q886" s="8"/>
      <c r="R886" s="8"/>
      <c r="S886" s="8"/>
      <c r="T886" s="8"/>
      <c r="U886" s="8"/>
      <c r="V886" s="8"/>
      <c r="W886" s="8"/>
      <c r="X886" s="8"/>
      <c r="Y886" s="8"/>
      <c r="Z886" s="8"/>
      <c r="AA886" s="8"/>
    </row>
    <row r="887" spans="1:27" ht="15">
      <c r="A887" s="15"/>
      <c r="B887" s="36"/>
      <c r="C887" s="15"/>
      <c r="D887" s="37"/>
      <c r="E887" s="15"/>
      <c r="F887" s="15"/>
      <c r="G887" s="15"/>
      <c r="H887" s="15"/>
      <c r="I887" s="15"/>
      <c r="J887" s="39"/>
      <c r="K887" s="40"/>
      <c r="L887" s="8"/>
      <c r="M887" s="8"/>
      <c r="N887" s="8"/>
      <c r="O887" s="8"/>
      <c r="P887" s="8"/>
      <c r="Q887" s="8"/>
      <c r="R887" s="8"/>
      <c r="S887" s="8"/>
      <c r="T887" s="8"/>
      <c r="U887" s="8"/>
      <c r="V887" s="8"/>
      <c r="W887" s="8"/>
      <c r="X887" s="8"/>
      <c r="Y887" s="8"/>
      <c r="Z887" s="8"/>
      <c r="AA887" s="8"/>
    </row>
    <row r="888" spans="1:27" ht="15">
      <c r="A888" s="15"/>
      <c r="B888" s="36"/>
      <c r="C888" s="15"/>
      <c r="D888" s="37"/>
      <c r="E888" s="15"/>
      <c r="F888" s="15"/>
      <c r="G888" s="15"/>
      <c r="H888" s="15"/>
      <c r="I888" s="15"/>
      <c r="J888" s="39"/>
      <c r="K888" s="40"/>
      <c r="L888" s="8"/>
      <c r="M888" s="8"/>
      <c r="N888" s="8"/>
      <c r="O888" s="8"/>
      <c r="P888" s="8"/>
      <c r="Q888" s="8"/>
      <c r="R888" s="8"/>
      <c r="S888" s="8"/>
      <c r="T888" s="8"/>
      <c r="U888" s="8"/>
      <c r="V888" s="8"/>
      <c r="W888" s="8"/>
      <c r="X888" s="8"/>
      <c r="Y888" s="8"/>
      <c r="Z888" s="8"/>
      <c r="AA888" s="8"/>
    </row>
    <row r="889" spans="1:27" ht="15">
      <c r="A889" s="15"/>
      <c r="B889" s="36"/>
      <c r="C889" s="15"/>
      <c r="D889" s="37"/>
      <c r="E889" s="15"/>
      <c r="F889" s="15"/>
      <c r="G889" s="15"/>
      <c r="H889" s="15"/>
      <c r="I889" s="15"/>
      <c r="J889" s="39"/>
      <c r="K889" s="40"/>
      <c r="L889" s="8"/>
      <c r="M889" s="8"/>
      <c r="N889" s="8"/>
      <c r="O889" s="8"/>
      <c r="P889" s="8"/>
      <c r="Q889" s="8"/>
      <c r="R889" s="8"/>
      <c r="S889" s="8"/>
      <c r="T889" s="8"/>
      <c r="U889" s="8"/>
      <c r="V889" s="8"/>
      <c r="W889" s="8"/>
      <c r="X889" s="8"/>
      <c r="Y889" s="8"/>
      <c r="Z889" s="8"/>
      <c r="AA889" s="8"/>
    </row>
    <row r="890" spans="1:27" ht="15">
      <c r="A890" s="15"/>
      <c r="B890" s="36"/>
      <c r="C890" s="15"/>
      <c r="D890" s="37"/>
      <c r="E890" s="15"/>
      <c r="F890" s="15"/>
      <c r="G890" s="15"/>
      <c r="H890" s="15"/>
      <c r="I890" s="15"/>
      <c r="J890" s="39"/>
      <c r="K890" s="40"/>
      <c r="L890" s="8"/>
      <c r="M890" s="8"/>
      <c r="N890" s="8"/>
      <c r="O890" s="8"/>
      <c r="P890" s="8"/>
      <c r="Q890" s="8"/>
      <c r="R890" s="8"/>
      <c r="S890" s="8"/>
      <c r="T890" s="8"/>
      <c r="U890" s="8"/>
      <c r="V890" s="8"/>
      <c r="W890" s="8"/>
      <c r="X890" s="8"/>
      <c r="Y890" s="8"/>
      <c r="Z890" s="8"/>
      <c r="AA890" s="8"/>
    </row>
    <row r="891" spans="1:27" ht="15">
      <c r="A891" s="15"/>
      <c r="B891" s="36"/>
      <c r="C891" s="15"/>
      <c r="D891" s="37"/>
      <c r="E891" s="15"/>
      <c r="F891" s="15"/>
      <c r="G891" s="15"/>
      <c r="H891" s="15"/>
      <c r="I891" s="15"/>
      <c r="J891" s="39"/>
      <c r="K891" s="40"/>
      <c r="L891" s="8"/>
      <c r="M891" s="8"/>
      <c r="N891" s="8"/>
      <c r="O891" s="8"/>
      <c r="P891" s="8"/>
      <c r="Q891" s="8"/>
      <c r="R891" s="8"/>
      <c r="S891" s="8"/>
      <c r="T891" s="8"/>
      <c r="U891" s="8"/>
      <c r="V891" s="8"/>
      <c r="W891" s="8"/>
      <c r="X891" s="8"/>
      <c r="Y891" s="8"/>
      <c r="Z891" s="8"/>
      <c r="AA891" s="8"/>
    </row>
    <row r="892" spans="1:27" ht="15">
      <c r="A892" s="15"/>
      <c r="B892" s="36"/>
      <c r="C892" s="15"/>
      <c r="D892" s="37"/>
      <c r="E892" s="15"/>
      <c r="F892" s="15"/>
      <c r="G892" s="15"/>
      <c r="H892" s="15"/>
      <c r="I892" s="15"/>
      <c r="J892" s="39"/>
      <c r="K892" s="40"/>
      <c r="L892" s="8"/>
      <c r="M892" s="8"/>
      <c r="N892" s="8"/>
      <c r="O892" s="8"/>
      <c r="P892" s="8"/>
      <c r="Q892" s="8"/>
      <c r="R892" s="8"/>
      <c r="S892" s="8"/>
      <c r="T892" s="8"/>
      <c r="U892" s="8"/>
      <c r="V892" s="8"/>
      <c r="W892" s="8"/>
      <c r="X892" s="8"/>
      <c r="Y892" s="8"/>
      <c r="Z892" s="8"/>
      <c r="AA892" s="8"/>
    </row>
    <row r="893" spans="1:27" ht="15">
      <c r="A893" s="15"/>
      <c r="B893" s="36"/>
      <c r="C893" s="15"/>
      <c r="D893" s="37"/>
      <c r="E893" s="15"/>
      <c r="F893" s="15"/>
      <c r="G893" s="15"/>
      <c r="H893" s="15"/>
      <c r="I893" s="15"/>
      <c r="J893" s="39"/>
      <c r="K893" s="40"/>
      <c r="L893" s="8"/>
      <c r="M893" s="8"/>
      <c r="N893" s="8"/>
      <c r="O893" s="8"/>
      <c r="P893" s="8"/>
      <c r="Q893" s="8"/>
      <c r="R893" s="8"/>
      <c r="S893" s="8"/>
      <c r="T893" s="8"/>
      <c r="U893" s="8"/>
      <c r="V893" s="8"/>
      <c r="W893" s="8"/>
      <c r="X893" s="8"/>
      <c r="Y893" s="8"/>
      <c r="Z893" s="8"/>
      <c r="AA893" s="8"/>
    </row>
    <row r="894" spans="1:27" ht="15">
      <c r="A894" s="15"/>
      <c r="B894" s="36"/>
      <c r="C894" s="15"/>
      <c r="D894" s="37"/>
      <c r="E894" s="15"/>
      <c r="F894" s="15"/>
      <c r="G894" s="15"/>
      <c r="H894" s="15"/>
      <c r="I894" s="15"/>
      <c r="J894" s="39"/>
      <c r="K894" s="40"/>
      <c r="L894" s="8"/>
      <c r="M894" s="8"/>
      <c r="N894" s="8"/>
      <c r="O894" s="8"/>
      <c r="P894" s="8"/>
      <c r="Q894" s="8"/>
      <c r="R894" s="8"/>
      <c r="S894" s="8"/>
      <c r="T894" s="8"/>
      <c r="U894" s="8"/>
      <c r="V894" s="8"/>
      <c r="W894" s="8"/>
      <c r="X894" s="8"/>
      <c r="Y894" s="8"/>
      <c r="Z894" s="8"/>
      <c r="AA894" s="8"/>
    </row>
    <row r="895" spans="1:27" ht="15">
      <c r="A895" s="15"/>
      <c r="B895" s="36"/>
      <c r="C895" s="15"/>
      <c r="D895" s="37"/>
      <c r="E895" s="15"/>
      <c r="F895" s="15"/>
      <c r="G895" s="15"/>
      <c r="H895" s="15"/>
      <c r="I895" s="15"/>
      <c r="J895" s="39"/>
      <c r="K895" s="40"/>
      <c r="L895" s="8"/>
      <c r="M895" s="8"/>
      <c r="N895" s="8"/>
      <c r="O895" s="8"/>
      <c r="P895" s="8"/>
      <c r="Q895" s="8"/>
      <c r="R895" s="8"/>
      <c r="S895" s="8"/>
      <c r="T895" s="8"/>
      <c r="U895" s="8"/>
      <c r="V895" s="8"/>
      <c r="W895" s="8"/>
      <c r="X895" s="8"/>
      <c r="Y895" s="8"/>
      <c r="Z895" s="8"/>
      <c r="AA895" s="8"/>
    </row>
    <row r="896" spans="1:27" ht="15">
      <c r="A896" s="15"/>
      <c r="B896" s="36"/>
      <c r="C896" s="15"/>
      <c r="D896" s="37"/>
      <c r="E896" s="15"/>
      <c r="F896" s="15"/>
      <c r="G896" s="15"/>
      <c r="H896" s="15"/>
      <c r="I896" s="15"/>
      <c r="J896" s="39"/>
      <c r="K896" s="40"/>
      <c r="L896" s="8"/>
      <c r="M896" s="8"/>
      <c r="N896" s="8"/>
      <c r="O896" s="8"/>
      <c r="P896" s="8"/>
      <c r="Q896" s="8"/>
      <c r="R896" s="8"/>
      <c r="S896" s="8"/>
      <c r="T896" s="8"/>
      <c r="U896" s="8"/>
      <c r="V896" s="8"/>
      <c r="W896" s="8"/>
      <c r="X896" s="8"/>
      <c r="Y896" s="8"/>
      <c r="Z896" s="8"/>
      <c r="AA896" s="8"/>
    </row>
    <row r="897" spans="1:27" ht="15">
      <c r="A897" s="15"/>
      <c r="B897" s="36"/>
      <c r="C897" s="15"/>
      <c r="D897" s="37"/>
      <c r="E897" s="15"/>
      <c r="F897" s="15"/>
      <c r="G897" s="15"/>
      <c r="H897" s="15"/>
      <c r="I897" s="15"/>
      <c r="J897" s="39"/>
      <c r="K897" s="40"/>
      <c r="L897" s="8"/>
      <c r="M897" s="8"/>
      <c r="N897" s="8"/>
      <c r="O897" s="8"/>
      <c r="P897" s="8"/>
      <c r="Q897" s="8"/>
      <c r="R897" s="8"/>
      <c r="S897" s="8"/>
      <c r="T897" s="8"/>
      <c r="U897" s="8"/>
      <c r="V897" s="8"/>
      <c r="W897" s="8"/>
      <c r="X897" s="8"/>
      <c r="Y897" s="8"/>
      <c r="Z897" s="8"/>
      <c r="AA897" s="8"/>
    </row>
    <row r="898" spans="1:27" ht="15">
      <c r="A898" s="15"/>
      <c r="B898" s="36"/>
      <c r="C898" s="15"/>
      <c r="D898" s="37"/>
      <c r="E898" s="15"/>
      <c r="F898" s="15"/>
      <c r="G898" s="15"/>
      <c r="H898" s="15"/>
      <c r="I898" s="15"/>
      <c r="J898" s="39"/>
      <c r="K898" s="40"/>
      <c r="L898" s="8"/>
      <c r="M898" s="8"/>
      <c r="N898" s="8"/>
      <c r="O898" s="8"/>
      <c r="P898" s="8"/>
      <c r="Q898" s="8"/>
      <c r="R898" s="8"/>
      <c r="S898" s="8"/>
      <c r="T898" s="8"/>
      <c r="U898" s="8"/>
      <c r="V898" s="8"/>
      <c r="W898" s="8"/>
      <c r="X898" s="8"/>
      <c r="Y898" s="8"/>
      <c r="Z898" s="8"/>
      <c r="AA898" s="8"/>
    </row>
    <row r="899" spans="1:27" ht="15">
      <c r="A899" s="15"/>
      <c r="B899" s="36"/>
      <c r="C899" s="15"/>
      <c r="D899" s="37"/>
      <c r="E899" s="15"/>
      <c r="F899" s="15"/>
      <c r="G899" s="15"/>
      <c r="H899" s="15"/>
      <c r="I899" s="15"/>
      <c r="J899" s="39"/>
      <c r="K899" s="40"/>
      <c r="L899" s="8"/>
      <c r="M899" s="8"/>
      <c r="N899" s="8"/>
      <c r="O899" s="8"/>
      <c r="P899" s="8"/>
      <c r="Q899" s="8"/>
      <c r="R899" s="8"/>
      <c r="S899" s="8"/>
      <c r="T899" s="8"/>
      <c r="U899" s="8"/>
      <c r="V899" s="8"/>
      <c r="W899" s="8"/>
      <c r="X899" s="8"/>
      <c r="Y899" s="8"/>
      <c r="Z899" s="8"/>
      <c r="AA899" s="8"/>
    </row>
    <row r="900" spans="1:27" ht="15">
      <c r="A900" s="15"/>
      <c r="B900" s="36"/>
      <c r="C900" s="15"/>
      <c r="D900" s="37"/>
      <c r="E900" s="15"/>
      <c r="F900" s="15"/>
      <c r="G900" s="15"/>
      <c r="H900" s="15"/>
      <c r="I900" s="15"/>
      <c r="J900" s="39"/>
      <c r="K900" s="40"/>
      <c r="L900" s="8"/>
      <c r="M900" s="8"/>
      <c r="N900" s="8"/>
      <c r="O900" s="8"/>
      <c r="P900" s="8"/>
      <c r="Q900" s="8"/>
      <c r="R900" s="8"/>
      <c r="S900" s="8"/>
      <c r="T900" s="8"/>
      <c r="U900" s="8"/>
      <c r="V900" s="8"/>
      <c r="W900" s="8"/>
      <c r="X900" s="8"/>
      <c r="Y900" s="8"/>
      <c r="Z900" s="8"/>
      <c r="AA900" s="8"/>
    </row>
    <row r="901" spans="1:27" ht="15">
      <c r="A901" s="15"/>
      <c r="B901" s="36"/>
      <c r="C901" s="15"/>
      <c r="D901" s="37"/>
      <c r="E901" s="15"/>
      <c r="F901" s="15"/>
      <c r="G901" s="15"/>
      <c r="H901" s="15"/>
      <c r="I901" s="15"/>
      <c r="J901" s="39"/>
      <c r="K901" s="40"/>
      <c r="L901" s="8"/>
      <c r="M901" s="8"/>
      <c r="N901" s="8"/>
      <c r="O901" s="8"/>
      <c r="P901" s="8"/>
      <c r="Q901" s="8"/>
      <c r="R901" s="8"/>
      <c r="S901" s="8"/>
      <c r="T901" s="8"/>
      <c r="U901" s="8"/>
      <c r="V901" s="8"/>
      <c r="W901" s="8"/>
      <c r="X901" s="8"/>
      <c r="Y901" s="8"/>
      <c r="Z901" s="8"/>
      <c r="AA901" s="8"/>
    </row>
    <row r="902" spans="1:27" ht="15">
      <c r="A902" s="15"/>
      <c r="B902" s="36"/>
      <c r="C902" s="15"/>
      <c r="D902" s="37"/>
      <c r="E902" s="15"/>
      <c r="F902" s="15"/>
      <c r="G902" s="15"/>
      <c r="H902" s="15"/>
      <c r="I902" s="15"/>
      <c r="J902" s="39"/>
      <c r="K902" s="40"/>
      <c r="L902" s="8"/>
      <c r="M902" s="8"/>
      <c r="N902" s="8"/>
      <c r="O902" s="8"/>
      <c r="P902" s="8"/>
      <c r="Q902" s="8"/>
      <c r="R902" s="8"/>
      <c r="S902" s="8"/>
      <c r="T902" s="8"/>
      <c r="U902" s="8"/>
      <c r="V902" s="8"/>
      <c r="W902" s="8"/>
      <c r="X902" s="8"/>
      <c r="Y902" s="8"/>
      <c r="Z902" s="8"/>
      <c r="AA902" s="8"/>
    </row>
    <row r="903" spans="1:27" ht="15">
      <c r="A903" s="15"/>
      <c r="B903" s="36"/>
      <c r="C903" s="15"/>
      <c r="D903" s="37"/>
      <c r="E903" s="15"/>
      <c r="F903" s="15"/>
      <c r="G903" s="15"/>
      <c r="H903" s="15"/>
      <c r="I903" s="15"/>
      <c r="J903" s="39"/>
      <c r="K903" s="40"/>
      <c r="L903" s="8"/>
      <c r="M903" s="8"/>
      <c r="N903" s="8"/>
      <c r="O903" s="8"/>
      <c r="P903" s="8"/>
      <c r="Q903" s="8"/>
      <c r="R903" s="8"/>
      <c r="S903" s="8"/>
      <c r="T903" s="8"/>
      <c r="U903" s="8"/>
      <c r="V903" s="8"/>
      <c r="W903" s="8"/>
      <c r="X903" s="8"/>
      <c r="Y903" s="8"/>
      <c r="Z903" s="8"/>
      <c r="AA903" s="8"/>
    </row>
    <row r="904" spans="1:27" ht="15">
      <c r="A904" s="15"/>
      <c r="B904" s="36"/>
      <c r="C904" s="15"/>
      <c r="D904" s="37"/>
      <c r="E904" s="15"/>
      <c r="F904" s="15"/>
      <c r="G904" s="15"/>
      <c r="H904" s="15"/>
      <c r="I904" s="15"/>
      <c r="J904" s="39"/>
      <c r="K904" s="40"/>
      <c r="L904" s="8"/>
      <c r="M904" s="8"/>
      <c r="N904" s="8"/>
      <c r="O904" s="8"/>
      <c r="P904" s="8"/>
      <c r="Q904" s="8"/>
      <c r="R904" s="8"/>
      <c r="S904" s="8"/>
      <c r="T904" s="8"/>
      <c r="U904" s="8"/>
      <c r="V904" s="8"/>
      <c r="W904" s="8"/>
      <c r="X904" s="8"/>
      <c r="Y904" s="8"/>
      <c r="Z904" s="8"/>
      <c r="AA904" s="8"/>
    </row>
    <row r="905" spans="1:27" ht="15">
      <c r="A905" s="15"/>
      <c r="B905" s="36"/>
      <c r="C905" s="15"/>
      <c r="D905" s="37"/>
      <c r="E905" s="15"/>
      <c r="F905" s="15"/>
      <c r="G905" s="15"/>
      <c r="H905" s="15"/>
      <c r="I905" s="15"/>
      <c r="J905" s="39"/>
      <c r="K905" s="40"/>
      <c r="L905" s="8"/>
      <c r="M905" s="8"/>
      <c r="N905" s="8"/>
      <c r="O905" s="8"/>
      <c r="P905" s="8"/>
      <c r="Q905" s="8"/>
      <c r="R905" s="8"/>
      <c r="S905" s="8"/>
      <c r="T905" s="8"/>
      <c r="U905" s="8"/>
      <c r="V905" s="8"/>
      <c r="W905" s="8"/>
      <c r="X905" s="8"/>
      <c r="Y905" s="8"/>
      <c r="Z905" s="8"/>
      <c r="AA905" s="8"/>
    </row>
    <row r="906" spans="1:27" ht="15">
      <c r="A906" s="15"/>
      <c r="B906" s="36"/>
      <c r="C906" s="15"/>
      <c r="D906" s="37"/>
      <c r="E906" s="15"/>
      <c r="F906" s="15"/>
      <c r="G906" s="15"/>
      <c r="H906" s="15"/>
      <c r="I906" s="15"/>
      <c r="J906" s="39"/>
      <c r="K906" s="40"/>
      <c r="L906" s="8"/>
      <c r="M906" s="8"/>
      <c r="N906" s="8"/>
      <c r="O906" s="8"/>
      <c r="P906" s="8"/>
      <c r="Q906" s="8"/>
      <c r="R906" s="8"/>
      <c r="S906" s="8"/>
      <c r="T906" s="8"/>
      <c r="U906" s="8"/>
      <c r="V906" s="8"/>
      <c r="W906" s="8"/>
      <c r="X906" s="8"/>
      <c r="Y906" s="8"/>
      <c r="Z906" s="8"/>
      <c r="AA906" s="8"/>
    </row>
    <row r="907" spans="1:27" ht="15">
      <c r="A907" s="15"/>
      <c r="B907" s="36"/>
      <c r="C907" s="15"/>
      <c r="D907" s="37"/>
      <c r="E907" s="15"/>
      <c r="F907" s="15"/>
      <c r="G907" s="15"/>
      <c r="H907" s="15"/>
      <c r="I907" s="15"/>
      <c r="J907" s="39"/>
      <c r="K907" s="40"/>
      <c r="L907" s="8"/>
      <c r="M907" s="8"/>
      <c r="N907" s="8"/>
      <c r="O907" s="8"/>
      <c r="P907" s="8"/>
      <c r="Q907" s="8"/>
      <c r="R907" s="8"/>
      <c r="S907" s="8"/>
      <c r="T907" s="8"/>
      <c r="U907" s="8"/>
      <c r="V907" s="8"/>
      <c r="W907" s="8"/>
      <c r="X907" s="8"/>
      <c r="Y907" s="8"/>
      <c r="Z907" s="8"/>
      <c r="AA907" s="8"/>
    </row>
    <row r="908" spans="1:27" ht="15">
      <c r="A908" s="15"/>
      <c r="B908" s="36"/>
      <c r="C908" s="15"/>
      <c r="D908" s="37"/>
      <c r="E908" s="15"/>
      <c r="F908" s="15"/>
      <c r="G908" s="15"/>
      <c r="H908" s="15"/>
      <c r="I908" s="15"/>
      <c r="J908" s="39"/>
      <c r="K908" s="40"/>
      <c r="L908" s="8"/>
      <c r="M908" s="8"/>
      <c r="N908" s="8"/>
      <c r="O908" s="8"/>
      <c r="P908" s="8"/>
      <c r="Q908" s="8"/>
      <c r="R908" s="8"/>
      <c r="S908" s="8"/>
      <c r="T908" s="8"/>
      <c r="U908" s="8"/>
      <c r="V908" s="8"/>
      <c r="W908" s="8"/>
      <c r="X908" s="8"/>
      <c r="Y908" s="8"/>
      <c r="Z908" s="8"/>
      <c r="AA908" s="8"/>
    </row>
    <row r="909" spans="1:27" ht="15">
      <c r="A909" s="15"/>
      <c r="B909" s="36"/>
      <c r="C909" s="15"/>
      <c r="D909" s="37"/>
      <c r="E909" s="15"/>
      <c r="F909" s="15"/>
      <c r="G909" s="15"/>
      <c r="H909" s="15"/>
      <c r="I909" s="15"/>
      <c r="J909" s="39"/>
      <c r="K909" s="40"/>
      <c r="L909" s="8"/>
      <c r="M909" s="8"/>
      <c r="N909" s="8"/>
      <c r="O909" s="8"/>
      <c r="P909" s="8"/>
      <c r="Q909" s="8"/>
      <c r="R909" s="8"/>
      <c r="S909" s="8"/>
      <c r="T909" s="8"/>
      <c r="U909" s="8"/>
      <c r="V909" s="8"/>
      <c r="W909" s="8"/>
      <c r="X909" s="8"/>
      <c r="Y909" s="8"/>
      <c r="Z909" s="8"/>
      <c r="AA909" s="8"/>
    </row>
    <row r="910" spans="1:27" ht="15">
      <c r="A910" s="15"/>
      <c r="B910" s="36"/>
      <c r="C910" s="15"/>
      <c r="D910" s="37"/>
      <c r="E910" s="15"/>
      <c r="F910" s="15"/>
      <c r="G910" s="15"/>
      <c r="H910" s="15"/>
      <c r="I910" s="15"/>
      <c r="J910" s="39"/>
      <c r="K910" s="40"/>
      <c r="L910" s="8"/>
      <c r="M910" s="8"/>
      <c r="N910" s="8"/>
      <c r="O910" s="8"/>
      <c r="P910" s="8"/>
      <c r="Q910" s="8"/>
      <c r="R910" s="8"/>
      <c r="S910" s="8"/>
      <c r="T910" s="8"/>
      <c r="U910" s="8"/>
      <c r="V910" s="8"/>
      <c r="W910" s="8"/>
      <c r="X910" s="8"/>
      <c r="Y910" s="8"/>
      <c r="Z910" s="8"/>
      <c r="AA910" s="8"/>
    </row>
    <row r="911" spans="1:27" ht="15">
      <c r="A911" s="15"/>
      <c r="B911" s="36"/>
      <c r="C911" s="15"/>
      <c r="D911" s="37"/>
      <c r="E911" s="15"/>
      <c r="F911" s="15"/>
      <c r="G911" s="15"/>
      <c r="H911" s="15"/>
      <c r="I911" s="15"/>
      <c r="J911" s="39"/>
      <c r="K911" s="40"/>
      <c r="L911" s="8"/>
      <c r="M911" s="8"/>
      <c r="N911" s="8"/>
      <c r="O911" s="8"/>
      <c r="P911" s="8"/>
      <c r="Q911" s="8"/>
      <c r="R911" s="8"/>
      <c r="S911" s="8"/>
      <c r="T911" s="8"/>
      <c r="U911" s="8"/>
      <c r="V911" s="8"/>
      <c r="W911" s="8"/>
      <c r="X911" s="8"/>
      <c r="Y911" s="8"/>
      <c r="Z911" s="8"/>
      <c r="AA911" s="8"/>
    </row>
    <row r="912" spans="1:27" ht="15">
      <c r="A912" s="15"/>
      <c r="B912" s="36"/>
      <c r="C912" s="15"/>
      <c r="D912" s="37"/>
      <c r="E912" s="15"/>
      <c r="F912" s="15"/>
      <c r="G912" s="15"/>
      <c r="H912" s="15"/>
      <c r="I912" s="15"/>
      <c r="J912" s="39"/>
      <c r="K912" s="40"/>
      <c r="L912" s="8"/>
      <c r="M912" s="8"/>
      <c r="N912" s="8"/>
      <c r="O912" s="8"/>
      <c r="P912" s="8"/>
      <c r="Q912" s="8"/>
      <c r="R912" s="8"/>
      <c r="S912" s="8"/>
      <c r="T912" s="8"/>
      <c r="U912" s="8"/>
      <c r="V912" s="8"/>
      <c r="W912" s="8"/>
      <c r="X912" s="8"/>
      <c r="Y912" s="8"/>
      <c r="Z912" s="8"/>
      <c r="AA912" s="8"/>
    </row>
    <row r="913" spans="1:27" ht="15">
      <c r="A913" s="15"/>
      <c r="B913" s="36"/>
      <c r="C913" s="15"/>
      <c r="D913" s="37"/>
      <c r="E913" s="15"/>
      <c r="F913" s="15"/>
      <c r="G913" s="15"/>
      <c r="H913" s="15"/>
      <c r="I913" s="15"/>
      <c r="J913" s="39"/>
      <c r="K913" s="40"/>
      <c r="L913" s="8"/>
      <c r="M913" s="8"/>
      <c r="N913" s="8"/>
      <c r="O913" s="8"/>
      <c r="P913" s="8"/>
      <c r="Q913" s="8"/>
      <c r="R913" s="8"/>
      <c r="S913" s="8"/>
      <c r="T913" s="8"/>
      <c r="U913" s="8"/>
      <c r="V913" s="8"/>
      <c r="W913" s="8"/>
      <c r="X913" s="8"/>
      <c r="Y913" s="8"/>
      <c r="Z913" s="8"/>
      <c r="AA913" s="8"/>
    </row>
    <row r="914" spans="1:27" ht="15">
      <c r="A914" s="15"/>
      <c r="B914" s="36"/>
      <c r="C914" s="15"/>
      <c r="D914" s="37"/>
      <c r="E914" s="15"/>
      <c r="F914" s="15"/>
      <c r="G914" s="15"/>
      <c r="H914" s="15"/>
      <c r="I914" s="15"/>
      <c r="J914" s="39"/>
      <c r="K914" s="40"/>
      <c r="L914" s="8"/>
      <c r="M914" s="8"/>
      <c r="N914" s="8"/>
      <c r="O914" s="8"/>
      <c r="P914" s="8"/>
      <c r="Q914" s="8"/>
      <c r="R914" s="8"/>
      <c r="S914" s="8"/>
      <c r="T914" s="8"/>
      <c r="U914" s="8"/>
      <c r="V914" s="8"/>
      <c r="W914" s="8"/>
      <c r="X914" s="8"/>
      <c r="Y914" s="8"/>
      <c r="Z914" s="8"/>
      <c r="AA914" s="8"/>
    </row>
    <row r="915" spans="1:27" ht="15">
      <c r="A915" s="15"/>
      <c r="B915" s="36"/>
      <c r="C915" s="15"/>
      <c r="D915" s="37"/>
      <c r="E915" s="15"/>
      <c r="F915" s="15"/>
      <c r="G915" s="15"/>
      <c r="H915" s="15"/>
      <c r="I915" s="15"/>
      <c r="J915" s="39"/>
      <c r="K915" s="40"/>
      <c r="L915" s="8"/>
      <c r="M915" s="8"/>
      <c r="N915" s="8"/>
      <c r="O915" s="8"/>
      <c r="P915" s="8"/>
      <c r="Q915" s="8"/>
      <c r="R915" s="8"/>
      <c r="S915" s="8"/>
      <c r="T915" s="8"/>
      <c r="U915" s="8"/>
      <c r="V915" s="8"/>
      <c r="W915" s="8"/>
      <c r="X915" s="8"/>
      <c r="Y915" s="8"/>
      <c r="Z915" s="8"/>
      <c r="AA915" s="8"/>
    </row>
    <row r="916" spans="1:27" ht="15">
      <c r="A916" s="15"/>
      <c r="B916" s="36"/>
      <c r="C916" s="15"/>
      <c r="D916" s="37"/>
      <c r="E916" s="15"/>
      <c r="F916" s="15"/>
      <c r="G916" s="15"/>
      <c r="H916" s="15"/>
      <c r="I916" s="15"/>
      <c r="J916" s="39"/>
      <c r="K916" s="40"/>
      <c r="L916" s="8"/>
      <c r="M916" s="8"/>
      <c r="N916" s="8"/>
      <c r="O916" s="8"/>
      <c r="P916" s="8"/>
      <c r="Q916" s="8"/>
      <c r="R916" s="8"/>
      <c r="S916" s="8"/>
      <c r="T916" s="8"/>
      <c r="U916" s="8"/>
      <c r="V916" s="8"/>
      <c r="W916" s="8"/>
      <c r="X916" s="8"/>
      <c r="Y916" s="8"/>
      <c r="Z916" s="8"/>
      <c r="AA916" s="8"/>
    </row>
    <row r="917" spans="1:27" ht="15">
      <c r="A917" s="15"/>
      <c r="B917" s="36"/>
      <c r="C917" s="15"/>
      <c r="D917" s="37"/>
      <c r="E917" s="15"/>
      <c r="F917" s="15"/>
      <c r="G917" s="15"/>
      <c r="H917" s="15"/>
      <c r="I917" s="15"/>
      <c r="J917" s="39"/>
      <c r="K917" s="40"/>
      <c r="L917" s="8"/>
      <c r="M917" s="8"/>
      <c r="N917" s="8"/>
      <c r="O917" s="8"/>
      <c r="P917" s="8"/>
      <c r="Q917" s="8"/>
      <c r="R917" s="8"/>
      <c r="S917" s="8"/>
      <c r="T917" s="8"/>
      <c r="U917" s="8"/>
      <c r="V917" s="8"/>
      <c r="W917" s="8"/>
      <c r="X917" s="8"/>
      <c r="Y917" s="8"/>
      <c r="Z917" s="8"/>
      <c r="AA917" s="8"/>
    </row>
    <row r="918" spans="1:27" ht="15">
      <c r="A918" s="15"/>
      <c r="B918" s="36"/>
      <c r="C918" s="15"/>
      <c r="D918" s="37"/>
      <c r="E918" s="15"/>
      <c r="F918" s="15"/>
      <c r="G918" s="15"/>
      <c r="H918" s="15"/>
      <c r="I918" s="15"/>
      <c r="J918" s="39"/>
      <c r="K918" s="40"/>
      <c r="L918" s="8"/>
      <c r="M918" s="8"/>
      <c r="N918" s="8"/>
      <c r="O918" s="8"/>
      <c r="P918" s="8"/>
      <c r="Q918" s="8"/>
      <c r="R918" s="8"/>
      <c r="S918" s="8"/>
      <c r="T918" s="8"/>
      <c r="U918" s="8"/>
      <c r="V918" s="8"/>
      <c r="W918" s="8"/>
      <c r="X918" s="8"/>
      <c r="Y918" s="8"/>
      <c r="Z918" s="8"/>
      <c r="AA918" s="8"/>
    </row>
    <row r="919" spans="1:27" ht="15">
      <c r="A919" s="15"/>
      <c r="B919" s="36"/>
      <c r="C919" s="15"/>
      <c r="D919" s="37"/>
      <c r="E919" s="15"/>
      <c r="F919" s="15"/>
      <c r="G919" s="15"/>
      <c r="H919" s="15"/>
      <c r="I919" s="15"/>
      <c r="J919" s="39"/>
      <c r="K919" s="40"/>
      <c r="L919" s="8"/>
      <c r="M919" s="8"/>
      <c r="N919" s="8"/>
      <c r="O919" s="8"/>
      <c r="P919" s="8"/>
      <c r="Q919" s="8"/>
      <c r="R919" s="8"/>
      <c r="S919" s="8"/>
      <c r="T919" s="8"/>
      <c r="U919" s="8"/>
      <c r="V919" s="8"/>
      <c r="W919" s="8"/>
      <c r="X919" s="8"/>
      <c r="Y919" s="8"/>
      <c r="Z919" s="8"/>
      <c r="AA919" s="8"/>
    </row>
    <row r="920" spans="1:27" ht="15">
      <c r="A920" s="15"/>
      <c r="B920" s="36"/>
      <c r="C920" s="15"/>
      <c r="D920" s="37"/>
      <c r="E920" s="15"/>
      <c r="F920" s="15"/>
      <c r="G920" s="15"/>
      <c r="H920" s="15"/>
      <c r="I920" s="15"/>
      <c r="J920" s="39"/>
      <c r="K920" s="40"/>
      <c r="L920" s="8"/>
      <c r="M920" s="8"/>
      <c r="N920" s="8"/>
      <c r="O920" s="8"/>
      <c r="P920" s="8"/>
      <c r="Q920" s="8"/>
      <c r="R920" s="8"/>
      <c r="S920" s="8"/>
      <c r="T920" s="8"/>
      <c r="U920" s="8"/>
      <c r="V920" s="8"/>
      <c r="W920" s="8"/>
      <c r="X920" s="8"/>
      <c r="Y920" s="8"/>
      <c r="Z920" s="8"/>
      <c r="AA920" s="8"/>
    </row>
    <row r="921" spans="1:27" ht="15">
      <c r="A921" s="15"/>
      <c r="B921" s="36"/>
      <c r="C921" s="15"/>
      <c r="D921" s="37"/>
      <c r="E921" s="15"/>
      <c r="F921" s="15"/>
      <c r="G921" s="15"/>
      <c r="H921" s="15"/>
      <c r="I921" s="15"/>
      <c r="J921" s="39"/>
      <c r="K921" s="40"/>
      <c r="L921" s="8"/>
      <c r="M921" s="8"/>
      <c r="N921" s="8"/>
      <c r="O921" s="8"/>
      <c r="P921" s="8"/>
      <c r="Q921" s="8"/>
      <c r="R921" s="8"/>
      <c r="S921" s="8"/>
      <c r="T921" s="8"/>
      <c r="U921" s="8"/>
      <c r="V921" s="8"/>
      <c r="W921" s="8"/>
      <c r="X921" s="8"/>
      <c r="Y921" s="8"/>
      <c r="Z921" s="8"/>
      <c r="AA921" s="8"/>
    </row>
    <row r="922" spans="1:27" ht="15">
      <c r="A922" s="15"/>
      <c r="B922" s="36"/>
      <c r="C922" s="15"/>
      <c r="D922" s="37"/>
      <c r="E922" s="15"/>
      <c r="F922" s="15"/>
      <c r="G922" s="15"/>
      <c r="H922" s="15"/>
      <c r="I922" s="15"/>
      <c r="J922" s="39"/>
      <c r="K922" s="40"/>
      <c r="L922" s="8"/>
      <c r="M922" s="8"/>
      <c r="N922" s="8"/>
      <c r="O922" s="8"/>
      <c r="P922" s="8"/>
      <c r="Q922" s="8"/>
      <c r="R922" s="8"/>
      <c r="S922" s="8"/>
      <c r="T922" s="8"/>
      <c r="U922" s="8"/>
      <c r="V922" s="8"/>
      <c r="W922" s="8"/>
      <c r="X922" s="8"/>
      <c r="Y922" s="8"/>
      <c r="Z922" s="8"/>
      <c r="AA922" s="8"/>
    </row>
    <row r="923" spans="1:27" ht="15">
      <c r="A923" s="15"/>
      <c r="B923" s="36"/>
      <c r="C923" s="15"/>
      <c r="D923" s="37"/>
      <c r="E923" s="15"/>
      <c r="F923" s="15"/>
      <c r="G923" s="15"/>
      <c r="H923" s="15"/>
      <c r="I923" s="15"/>
      <c r="J923" s="39"/>
      <c r="K923" s="40"/>
      <c r="L923" s="8"/>
      <c r="M923" s="8"/>
      <c r="N923" s="8"/>
      <c r="O923" s="8"/>
      <c r="P923" s="8"/>
      <c r="Q923" s="8"/>
      <c r="R923" s="8"/>
      <c r="S923" s="8"/>
      <c r="T923" s="8"/>
      <c r="U923" s="8"/>
      <c r="V923" s="8"/>
      <c r="W923" s="8"/>
      <c r="X923" s="8"/>
      <c r="Y923" s="8"/>
      <c r="Z923" s="8"/>
      <c r="AA923" s="8"/>
    </row>
    <row r="924" spans="1:27" ht="15">
      <c r="A924" s="15"/>
      <c r="B924" s="36"/>
      <c r="C924" s="15"/>
      <c r="D924" s="37"/>
      <c r="E924" s="15"/>
      <c r="F924" s="15"/>
      <c r="G924" s="15"/>
      <c r="H924" s="15"/>
      <c r="I924" s="15"/>
      <c r="J924" s="39"/>
      <c r="K924" s="40"/>
      <c r="L924" s="8"/>
      <c r="M924" s="8"/>
      <c r="N924" s="8"/>
      <c r="O924" s="8"/>
      <c r="P924" s="8"/>
      <c r="Q924" s="8"/>
      <c r="R924" s="8"/>
      <c r="S924" s="8"/>
      <c r="T924" s="8"/>
      <c r="U924" s="8"/>
      <c r="V924" s="8"/>
      <c r="W924" s="8"/>
      <c r="X924" s="8"/>
      <c r="Y924" s="8"/>
      <c r="Z924" s="8"/>
      <c r="AA924" s="8"/>
    </row>
    <row r="925" spans="1:27" ht="15">
      <c r="A925" s="15"/>
      <c r="B925" s="36"/>
      <c r="C925" s="15"/>
      <c r="D925" s="37"/>
      <c r="E925" s="15"/>
      <c r="F925" s="15"/>
      <c r="G925" s="15"/>
      <c r="H925" s="15"/>
      <c r="I925" s="15"/>
      <c r="J925" s="39"/>
      <c r="K925" s="40"/>
      <c r="L925" s="8"/>
      <c r="M925" s="8"/>
      <c r="N925" s="8"/>
      <c r="O925" s="8"/>
      <c r="P925" s="8"/>
      <c r="Q925" s="8"/>
      <c r="R925" s="8"/>
      <c r="S925" s="8"/>
      <c r="T925" s="8"/>
      <c r="U925" s="8"/>
      <c r="V925" s="8"/>
      <c r="W925" s="8"/>
      <c r="X925" s="8"/>
      <c r="Y925" s="8"/>
      <c r="Z925" s="8"/>
      <c r="AA925" s="8"/>
    </row>
    <row r="926" spans="1:27" ht="15">
      <c r="A926" s="15"/>
      <c r="B926" s="36"/>
      <c r="C926" s="15"/>
      <c r="D926" s="37"/>
      <c r="E926" s="15"/>
      <c r="F926" s="15"/>
      <c r="G926" s="15"/>
      <c r="H926" s="15"/>
      <c r="I926" s="15"/>
      <c r="J926" s="39"/>
      <c r="K926" s="40"/>
      <c r="L926" s="8"/>
      <c r="M926" s="8"/>
      <c r="N926" s="8"/>
      <c r="O926" s="8"/>
      <c r="P926" s="8"/>
      <c r="Q926" s="8"/>
      <c r="R926" s="8"/>
      <c r="S926" s="8"/>
      <c r="T926" s="8"/>
      <c r="U926" s="8"/>
      <c r="V926" s="8"/>
      <c r="W926" s="8"/>
      <c r="X926" s="8"/>
      <c r="Y926" s="8"/>
      <c r="Z926" s="8"/>
      <c r="AA926" s="8"/>
    </row>
    <row r="927" spans="1:27" ht="15">
      <c r="A927" s="15"/>
      <c r="B927" s="36"/>
      <c r="C927" s="15"/>
      <c r="D927" s="37"/>
      <c r="E927" s="15"/>
      <c r="F927" s="15"/>
      <c r="G927" s="15"/>
      <c r="H927" s="15"/>
      <c r="I927" s="15"/>
      <c r="J927" s="39"/>
      <c r="K927" s="40"/>
      <c r="L927" s="8"/>
      <c r="M927" s="8"/>
      <c r="N927" s="8"/>
      <c r="O927" s="8"/>
      <c r="P927" s="8"/>
      <c r="Q927" s="8"/>
      <c r="R927" s="8"/>
      <c r="S927" s="8"/>
      <c r="T927" s="8"/>
      <c r="U927" s="8"/>
      <c r="V927" s="8"/>
      <c r="W927" s="8"/>
      <c r="X927" s="8"/>
      <c r="Y927" s="8"/>
      <c r="Z927" s="8"/>
      <c r="AA927" s="8"/>
    </row>
    <row r="928" spans="1:27" ht="15">
      <c r="A928" s="15"/>
      <c r="B928" s="36"/>
      <c r="C928" s="15"/>
      <c r="D928" s="37"/>
      <c r="E928" s="15"/>
      <c r="F928" s="15"/>
      <c r="G928" s="15"/>
      <c r="H928" s="15"/>
      <c r="I928" s="15"/>
      <c r="J928" s="39"/>
      <c r="K928" s="40"/>
      <c r="L928" s="8"/>
      <c r="M928" s="8"/>
      <c r="N928" s="8"/>
      <c r="O928" s="8"/>
      <c r="P928" s="8"/>
      <c r="Q928" s="8"/>
      <c r="R928" s="8"/>
      <c r="S928" s="8"/>
      <c r="T928" s="8"/>
      <c r="U928" s="8"/>
      <c r="V928" s="8"/>
      <c r="W928" s="8"/>
      <c r="X928" s="8"/>
      <c r="Y928" s="8"/>
      <c r="Z928" s="8"/>
      <c r="AA928" s="8"/>
    </row>
    <row r="929" spans="1:27" ht="15">
      <c r="A929" s="15"/>
      <c r="B929" s="36"/>
      <c r="C929" s="15"/>
      <c r="D929" s="37"/>
      <c r="E929" s="15"/>
      <c r="F929" s="15"/>
      <c r="G929" s="15"/>
      <c r="H929" s="15"/>
      <c r="I929" s="15"/>
      <c r="J929" s="39"/>
      <c r="K929" s="40"/>
      <c r="L929" s="8"/>
      <c r="M929" s="8"/>
      <c r="N929" s="8"/>
      <c r="O929" s="8"/>
      <c r="P929" s="8"/>
      <c r="Q929" s="8"/>
      <c r="R929" s="8"/>
      <c r="S929" s="8"/>
      <c r="T929" s="8"/>
      <c r="U929" s="8"/>
      <c r="V929" s="8"/>
      <c r="W929" s="8"/>
      <c r="X929" s="8"/>
      <c r="Y929" s="8"/>
      <c r="Z929" s="8"/>
      <c r="AA929" s="8"/>
    </row>
    <row r="930" spans="1:27" ht="15">
      <c r="A930" s="15"/>
      <c r="B930" s="36"/>
      <c r="C930" s="15"/>
      <c r="D930" s="37"/>
      <c r="E930" s="15"/>
      <c r="F930" s="15"/>
      <c r="G930" s="15"/>
      <c r="H930" s="15"/>
      <c r="I930" s="15"/>
      <c r="J930" s="39"/>
      <c r="K930" s="40"/>
      <c r="L930" s="8"/>
      <c r="M930" s="8"/>
      <c r="N930" s="8"/>
      <c r="O930" s="8"/>
      <c r="P930" s="8"/>
      <c r="Q930" s="8"/>
      <c r="R930" s="8"/>
      <c r="S930" s="8"/>
      <c r="T930" s="8"/>
      <c r="U930" s="8"/>
      <c r="V930" s="8"/>
      <c r="W930" s="8"/>
      <c r="X930" s="8"/>
      <c r="Y930" s="8"/>
      <c r="Z930" s="8"/>
      <c r="AA930" s="8"/>
    </row>
    <row r="931" spans="1:27" ht="15">
      <c r="A931" s="15"/>
      <c r="B931" s="36"/>
      <c r="C931" s="15"/>
      <c r="D931" s="37"/>
      <c r="E931" s="15"/>
      <c r="F931" s="15"/>
      <c r="G931" s="15"/>
      <c r="H931" s="15"/>
      <c r="I931" s="15"/>
      <c r="J931" s="39"/>
      <c r="K931" s="40"/>
      <c r="L931" s="8"/>
      <c r="M931" s="8"/>
      <c r="N931" s="8"/>
      <c r="O931" s="8"/>
      <c r="P931" s="8"/>
      <c r="Q931" s="8"/>
      <c r="R931" s="8"/>
      <c r="S931" s="8"/>
      <c r="T931" s="8"/>
      <c r="U931" s="8"/>
      <c r="V931" s="8"/>
      <c r="W931" s="8"/>
      <c r="X931" s="8"/>
      <c r="Y931" s="8"/>
      <c r="Z931" s="8"/>
      <c r="AA931" s="8"/>
    </row>
    <row r="932" spans="1:27" ht="15">
      <c r="A932" s="15"/>
      <c r="B932" s="36"/>
      <c r="C932" s="15"/>
      <c r="D932" s="37"/>
      <c r="E932" s="15"/>
      <c r="F932" s="15"/>
      <c r="G932" s="15"/>
      <c r="H932" s="15"/>
      <c r="I932" s="15"/>
      <c r="J932" s="39"/>
      <c r="K932" s="40"/>
      <c r="L932" s="8"/>
      <c r="M932" s="8"/>
      <c r="N932" s="8"/>
      <c r="O932" s="8"/>
      <c r="P932" s="8"/>
      <c r="Q932" s="8"/>
      <c r="R932" s="8"/>
      <c r="S932" s="8"/>
      <c r="T932" s="8"/>
      <c r="U932" s="8"/>
      <c r="V932" s="8"/>
      <c r="W932" s="8"/>
      <c r="X932" s="8"/>
      <c r="Y932" s="8"/>
      <c r="Z932" s="8"/>
      <c r="AA932" s="8"/>
    </row>
    <row r="933" spans="1:27" ht="15">
      <c r="A933" s="15"/>
      <c r="B933" s="36"/>
      <c r="C933" s="15"/>
      <c r="D933" s="37"/>
      <c r="E933" s="15"/>
      <c r="F933" s="15"/>
      <c r="G933" s="15"/>
      <c r="H933" s="15"/>
      <c r="I933" s="15"/>
      <c r="J933" s="39"/>
      <c r="K933" s="40"/>
      <c r="L933" s="8"/>
      <c r="M933" s="8"/>
      <c r="N933" s="8"/>
      <c r="O933" s="8"/>
      <c r="P933" s="8"/>
      <c r="Q933" s="8"/>
      <c r="R933" s="8"/>
      <c r="S933" s="8"/>
      <c r="T933" s="8"/>
      <c r="U933" s="8"/>
      <c r="V933" s="8"/>
      <c r="W933" s="8"/>
      <c r="X933" s="8"/>
      <c r="Y933" s="8"/>
      <c r="Z933" s="8"/>
      <c r="AA933" s="8"/>
    </row>
    <row r="934" spans="1:27" ht="15">
      <c r="A934" s="15"/>
      <c r="B934" s="36"/>
      <c r="C934" s="15"/>
      <c r="D934" s="37"/>
      <c r="E934" s="15"/>
      <c r="F934" s="15"/>
      <c r="G934" s="15"/>
      <c r="H934" s="15"/>
      <c r="I934" s="15"/>
      <c r="J934" s="39"/>
      <c r="K934" s="40"/>
      <c r="L934" s="8"/>
      <c r="M934" s="8"/>
      <c r="N934" s="8"/>
      <c r="O934" s="8"/>
      <c r="P934" s="8"/>
      <c r="Q934" s="8"/>
      <c r="R934" s="8"/>
      <c r="S934" s="8"/>
      <c r="T934" s="8"/>
      <c r="U934" s="8"/>
      <c r="V934" s="8"/>
      <c r="W934" s="8"/>
      <c r="X934" s="8"/>
      <c r="Y934" s="8"/>
      <c r="Z934" s="8"/>
      <c r="AA934" s="8"/>
    </row>
    <row r="935" spans="1:27" ht="15">
      <c r="A935" s="15"/>
      <c r="B935" s="36"/>
      <c r="C935" s="15"/>
      <c r="D935" s="37"/>
      <c r="E935" s="15"/>
      <c r="F935" s="15"/>
      <c r="G935" s="15"/>
      <c r="H935" s="15"/>
      <c r="I935" s="15"/>
      <c r="J935" s="39"/>
      <c r="K935" s="40"/>
      <c r="L935" s="8"/>
      <c r="M935" s="8"/>
      <c r="N935" s="8"/>
      <c r="O935" s="8"/>
      <c r="P935" s="8"/>
      <c r="Q935" s="8"/>
      <c r="R935" s="8"/>
      <c r="S935" s="8"/>
      <c r="T935" s="8"/>
      <c r="U935" s="8"/>
      <c r="V935" s="8"/>
      <c r="W935" s="8"/>
      <c r="X935" s="8"/>
      <c r="Y935" s="8"/>
      <c r="Z935" s="8"/>
      <c r="AA935" s="8"/>
    </row>
    <row r="936" spans="1:27" ht="15">
      <c r="A936" s="15"/>
      <c r="B936" s="36"/>
      <c r="C936" s="15"/>
      <c r="D936" s="37"/>
      <c r="E936" s="15"/>
      <c r="F936" s="15"/>
      <c r="G936" s="15"/>
      <c r="H936" s="15"/>
      <c r="I936" s="15"/>
      <c r="J936" s="39"/>
      <c r="K936" s="40"/>
      <c r="L936" s="8"/>
      <c r="M936" s="8"/>
      <c r="N936" s="8"/>
      <c r="O936" s="8"/>
      <c r="P936" s="8"/>
      <c r="Q936" s="8"/>
      <c r="R936" s="8"/>
      <c r="S936" s="8"/>
      <c r="T936" s="8"/>
      <c r="U936" s="8"/>
      <c r="V936" s="8"/>
      <c r="W936" s="8"/>
      <c r="X936" s="8"/>
      <c r="Y936" s="8"/>
      <c r="Z936" s="8"/>
      <c r="AA936" s="8"/>
    </row>
    <row r="937" spans="1:27" ht="15">
      <c r="A937" s="15"/>
      <c r="B937" s="36"/>
      <c r="C937" s="15"/>
      <c r="D937" s="37"/>
      <c r="E937" s="15"/>
      <c r="F937" s="15"/>
      <c r="G937" s="15"/>
      <c r="H937" s="15"/>
      <c r="I937" s="15"/>
      <c r="J937" s="39"/>
      <c r="K937" s="40"/>
      <c r="L937" s="8"/>
      <c r="M937" s="8"/>
      <c r="N937" s="8"/>
      <c r="O937" s="8"/>
      <c r="P937" s="8"/>
      <c r="Q937" s="8"/>
      <c r="R937" s="8"/>
      <c r="S937" s="8"/>
      <c r="T937" s="8"/>
      <c r="U937" s="8"/>
      <c r="V937" s="8"/>
      <c r="W937" s="8"/>
      <c r="X937" s="8"/>
      <c r="Y937" s="8"/>
      <c r="Z937" s="8"/>
      <c r="AA937" s="8"/>
    </row>
    <row r="938" spans="1:27" ht="15">
      <c r="A938" s="15"/>
      <c r="B938" s="36"/>
      <c r="C938" s="15"/>
      <c r="D938" s="37"/>
      <c r="E938" s="15"/>
      <c r="F938" s="15"/>
      <c r="G938" s="15"/>
      <c r="H938" s="15"/>
      <c r="I938" s="15"/>
      <c r="J938" s="39"/>
      <c r="K938" s="40"/>
      <c r="L938" s="8"/>
      <c r="M938" s="8"/>
      <c r="N938" s="8"/>
      <c r="O938" s="8"/>
      <c r="P938" s="8"/>
      <c r="Q938" s="8"/>
      <c r="R938" s="8"/>
      <c r="S938" s="8"/>
      <c r="T938" s="8"/>
      <c r="U938" s="8"/>
      <c r="V938" s="8"/>
      <c r="W938" s="8"/>
      <c r="X938" s="8"/>
      <c r="Y938" s="8"/>
      <c r="Z938" s="8"/>
      <c r="AA938" s="8"/>
    </row>
    <row r="939" spans="1:27" ht="15">
      <c r="A939" s="15"/>
      <c r="B939" s="36"/>
      <c r="C939" s="15"/>
      <c r="D939" s="37"/>
      <c r="E939" s="15"/>
      <c r="F939" s="15"/>
      <c r="G939" s="15"/>
      <c r="H939" s="15"/>
      <c r="I939" s="15"/>
      <c r="J939" s="39"/>
      <c r="K939" s="40"/>
      <c r="L939" s="8"/>
      <c r="M939" s="8"/>
      <c r="N939" s="8"/>
      <c r="O939" s="8"/>
      <c r="P939" s="8"/>
      <c r="Q939" s="8"/>
      <c r="R939" s="8"/>
      <c r="S939" s="8"/>
      <c r="T939" s="8"/>
      <c r="U939" s="8"/>
      <c r="V939" s="8"/>
      <c r="W939" s="8"/>
      <c r="X939" s="8"/>
      <c r="Y939" s="8"/>
      <c r="Z939" s="8"/>
      <c r="AA939" s="8"/>
    </row>
    <row r="940" spans="1:27" ht="15">
      <c r="A940" s="15"/>
      <c r="B940" s="36"/>
      <c r="C940" s="15"/>
      <c r="D940" s="37"/>
      <c r="E940" s="15"/>
      <c r="F940" s="15"/>
      <c r="G940" s="15"/>
      <c r="H940" s="15"/>
      <c r="I940" s="15"/>
      <c r="J940" s="39"/>
      <c r="K940" s="40"/>
      <c r="L940" s="8"/>
      <c r="M940" s="8"/>
      <c r="N940" s="8"/>
      <c r="O940" s="8"/>
      <c r="P940" s="8"/>
      <c r="Q940" s="8"/>
      <c r="R940" s="8"/>
      <c r="S940" s="8"/>
      <c r="T940" s="8"/>
      <c r="U940" s="8"/>
      <c r="V940" s="8"/>
      <c r="W940" s="8"/>
      <c r="X940" s="8"/>
      <c r="Y940" s="8"/>
      <c r="Z940" s="8"/>
      <c r="AA940" s="8"/>
    </row>
    <row r="941" spans="1:27" ht="15">
      <c r="A941" s="15"/>
      <c r="B941" s="36"/>
      <c r="C941" s="15"/>
      <c r="D941" s="37"/>
      <c r="E941" s="15"/>
      <c r="F941" s="15"/>
      <c r="G941" s="15"/>
      <c r="H941" s="15"/>
      <c r="I941" s="15"/>
      <c r="J941" s="39"/>
      <c r="K941" s="40"/>
      <c r="L941" s="8"/>
      <c r="M941" s="8"/>
      <c r="N941" s="8"/>
      <c r="O941" s="8"/>
      <c r="P941" s="8"/>
      <c r="Q941" s="8"/>
      <c r="R941" s="8"/>
      <c r="S941" s="8"/>
      <c r="T941" s="8"/>
      <c r="U941" s="8"/>
      <c r="V941" s="8"/>
      <c r="W941" s="8"/>
      <c r="X941" s="8"/>
      <c r="Y941" s="8"/>
      <c r="Z941" s="8"/>
      <c r="AA941" s="8"/>
    </row>
    <row r="942" spans="1:27" ht="15">
      <c r="A942" s="15"/>
      <c r="B942" s="36"/>
      <c r="C942" s="15"/>
      <c r="D942" s="37"/>
      <c r="E942" s="15"/>
      <c r="F942" s="15"/>
      <c r="G942" s="15"/>
      <c r="H942" s="15"/>
      <c r="I942" s="15"/>
      <c r="J942" s="39"/>
      <c r="K942" s="40"/>
      <c r="L942" s="8"/>
      <c r="M942" s="8"/>
      <c r="N942" s="8"/>
      <c r="O942" s="8"/>
      <c r="P942" s="8"/>
      <c r="Q942" s="8"/>
      <c r="R942" s="8"/>
      <c r="S942" s="8"/>
      <c r="T942" s="8"/>
      <c r="U942" s="8"/>
      <c r="V942" s="8"/>
      <c r="W942" s="8"/>
      <c r="X942" s="8"/>
      <c r="Y942" s="8"/>
      <c r="Z942" s="8"/>
      <c r="AA942" s="8"/>
    </row>
    <row r="943" spans="1:27" ht="15">
      <c r="A943" s="15"/>
      <c r="B943" s="36"/>
      <c r="C943" s="15"/>
      <c r="D943" s="37"/>
      <c r="E943" s="15"/>
      <c r="F943" s="15"/>
      <c r="G943" s="15"/>
      <c r="H943" s="15"/>
      <c r="I943" s="15"/>
      <c r="J943" s="39"/>
      <c r="K943" s="40"/>
      <c r="L943" s="8"/>
      <c r="M943" s="8"/>
      <c r="N943" s="8"/>
      <c r="O943" s="8"/>
      <c r="P943" s="8"/>
      <c r="Q943" s="8"/>
      <c r="R943" s="8"/>
      <c r="S943" s="8"/>
      <c r="T943" s="8"/>
      <c r="U943" s="8"/>
      <c r="V943" s="8"/>
      <c r="W943" s="8"/>
      <c r="X943" s="8"/>
      <c r="Y943" s="8"/>
      <c r="Z943" s="8"/>
      <c r="AA943" s="8"/>
    </row>
    <row r="944" spans="1:27" ht="15">
      <c r="A944" s="15"/>
      <c r="B944" s="36"/>
      <c r="C944" s="15"/>
      <c r="D944" s="37"/>
      <c r="E944" s="15"/>
      <c r="F944" s="15"/>
      <c r="G944" s="15"/>
      <c r="H944" s="15"/>
      <c r="I944" s="15"/>
      <c r="J944" s="39"/>
      <c r="K944" s="40"/>
      <c r="L944" s="8"/>
      <c r="M944" s="8"/>
      <c r="N944" s="8"/>
      <c r="O944" s="8"/>
      <c r="P944" s="8"/>
      <c r="Q944" s="8"/>
      <c r="R944" s="8"/>
      <c r="S944" s="8"/>
      <c r="T944" s="8"/>
      <c r="U944" s="8"/>
      <c r="V944" s="8"/>
      <c r="W944" s="8"/>
      <c r="X944" s="8"/>
      <c r="Y944" s="8"/>
      <c r="Z944" s="8"/>
      <c r="AA944" s="8"/>
    </row>
    <row r="945" spans="1:27" ht="15">
      <c r="A945" s="15"/>
      <c r="B945" s="36"/>
      <c r="C945" s="15"/>
      <c r="D945" s="37"/>
      <c r="E945" s="15"/>
      <c r="F945" s="15"/>
      <c r="G945" s="15"/>
      <c r="H945" s="15"/>
      <c r="I945" s="15"/>
      <c r="J945" s="39"/>
      <c r="K945" s="40"/>
      <c r="L945" s="8"/>
      <c r="M945" s="8"/>
      <c r="N945" s="8"/>
      <c r="O945" s="8"/>
      <c r="P945" s="8"/>
      <c r="Q945" s="8"/>
      <c r="R945" s="8"/>
      <c r="S945" s="8"/>
      <c r="T945" s="8"/>
      <c r="U945" s="8"/>
      <c r="V945" s="8"/>
      <c r="W945" s="8"/>
      <c r="X945" s="8"/>
      <c r="Y945" s="8"/>
      <c r="Z945" s="8"/>
      <c r="AA945" s="8"/>
    </row>
    <row r="946" spans="1:27" ht="15">
      <c r="A946" s="15"/>
      <c r="B946" s="36"/>
      <c r="C946" s="15"/>
      <c r="D946" s="37"/>
      <c r="E946" s="15"/>
      <c r="F946" s="15"/>
      <c r="G946" s="15"/>
      <c r="H946" s="15"/>
      <c r="I946" s="15"/>
      <c r="J946" s="39"/>
      <c r="K946" s="40"/>
      <c r="L946" s="8"/>
      <c r="M946" s="8"/>
      <c r="N946" s="8"/>
      <c r="O946" s="8"/>
      <c r="P946" s="8"/>
      <c r="Q946" s="8"/>
      <c r="R946" s="8"/>
      <c r="S946" s="8"/>
      <c r="T946" s="8"/>
      <c r="U946" s="8"/>
      <c r="V946" s="8"/>
      <c r="W946" s="8"/>
      <c r="X946" s="8"/>
      <c r="Y946" s="8"/>
      <c r="Z946" s="8"/>
      <c r="AA946" s="8"/>
    </row>
    <row r="947" spans="1:27" ht="15">
      <c r="A947" s="15"/>
      <c r="B947" s="36"/>
      <c r="C947" s="15"/>
      <c r="D947" s="37"/>
      <c r="E947" s="15"/>
      <c r="F947" s="15"/>
      <c r="G947" s="15"/>
      <c r="H947" s="15"/>
      <c r="I947" s="15"/>
      <c r="J947" s="39"/>
      <c r="K947" s="40"/>
      <c r="L947" s="8"/>
      <c r="M947" s="8"/>
      <c r="N947" s="8"/>
      <c r="O947" s="8"/>
      <c r="P947" s="8"/>
      <c r="Q947" s="8"/>
      <c r="R947" s="8"/>
      <c r="S947" s="8"/>
      <c r="T947" s="8"/>
      <c r="U947" s="8"/>
      <c r="V947" s="8"/>
      <c r="W947" s="8"/>
      <c r="X947" s="8"/>
      <c r="Y947" s="8"/>
      <c r="Z947" s="8"/>
      <c r="AA947" s="8"/>
    </row>
    <row r="948" spans="1:27" ht="15">
      <c r="A948" s="15"/>
      <c r="B948" s="36"/>
      <c r="C948" s="15"/>
      <c r="D948" s="37"/>
      <c r="E948" s="15"/>
      <c r="F948" s="15"/>
      <c r="G948" s="15"/>
      <c r="H948" s="15"/>
      <c r="I948" s="15"/>
      <c r="J948" s="39"/>
      <c r="K948" s="40"/>
      <c r="L948" s="8"/>
      <c r="M948" s="8"/>
      <c r="N948" s="8"/>
      <c r="O948" s="8"/>
      <c r="P948" s="8"/>
      <c r="Q948" s="8"/>
      <c r="R948" s="8"/>
      <c r="S948" s="8"/>
      <c r="T948" s="8"/>
      <c r="U948" s="8"/>
      <c r="V948" s="8"/>
      <c r="W948" s="8"/>
      <c r="X948" s="8"/>
      <c r="Y948" s="8"/>
      <c r="Z948" s="8"/>
      <c r="AA948" s="8"/>
    </row>
    <row r="949" spans="1:27" ht="15">
      <c r="A949" s="15"/>
      <c r="B949" s="36"/>
      <c r="C949" s="15"/>
      <c r="D949" s="37"/>
      <c r="E949" s="15"/>
      <c r="F949" s="15"/>
      <c r="G949" s="15"/>
      <c r="H949" s="15"/>
      <c r="I949" s="15"/>
      <c r="J949" s="39"/>
      <c r="K949" s="40"/>
      <c r="L949" s="8"/>
      <c r="M949" s="8"/>
      <c r="N949" s="8"/>
      <c r="O949" s="8"/>
      <c r="P949" s="8"/>
      <c r="Q949" s="8"/>
      <c r="R949" s="8"/>
      <c r="S949" s="8"/>
      <c r="T949" s="8"/>
      <c r="U949" s="8"/>
      <c r="V949" s="8"/>
      <c r="W949" s="8"/>
      <c r="X949" s="8"/>
      <c r="Y949" s="8"/>
      <c r="Z949" s="8"/>
      <c r="AA949" s="8"/>
    </row>
    <row r="950" spans="1:27" ht="15">
      <c r="A950" s="15"/>
      <c r="B950" s="36"/>
      <c r="C950" s="15"/>
      <c r="D950" s="37"/>
      <c r="E950" s="15"/>
      <c r="F950" s="15"/>
      <c r="G950" s="15"/>
      <c r="H950" s="15"/>
      <c r="I950" s="15"/>
      <c r="J950" s="39"/>
      <c r="K950" s="40"/>
      <c r="L950" s="8"/>
      <c r="M950" s="8"/>
      <c r="N950" s="8"/>
      <c r="O950" s="8"/>
      <c r="P950" s="8"/>
      <c r="Q950" s="8"/>
      <c r="R950" s="8"/>
      <c r="S950" s="8"/>
      <c r="T950" s="8"/>
      <c r="U950" s="8"/>
      <c r="V950" s="8"/>
      <c r="W950" s="8"/>
      <c r="X950" s="8"/>
      <c r="Y950" s="8"/>
      <c r="Z950" s="8"/>
      <c r="AA950" s="8"/>
    </row>
    <row r="951" spans="1:27" ht="15">
      <c r="A951" s="15"/>
      <c r="B951" s="36"/>
      <c r="C951" s="15"/>
      <c r="D951" s="37"/>
      <c r="E951" s="15"/>
      <c r="F951" s="15"/>
      <c r="G951" s="15"/>
      <c r="H951" s="15"/>
      <c r="I951" s="15"/>
      <c r="J951" s="39"/>
      <c r="K951" s="40"/>
      <c r="L951" s="8"/>
      <c r="M951" s="8"/>
      <c r="N951" s="8"/>
      <c r="O951" s="8"/>
      <c r="P951" s="8"/>
      <c r="Q951" s="8"/>
      <c r="R951" s="8"/>
      <c r="S951" s="8"/>
      <c r="T951" s="8"/>
      <c r="U951" s="8"/>
      <c r="V951" s="8"/>
      <c r="W951" s="8"/>
      <c r="X951" s="8"/>
      <c r="Y951" s="8"/>
      <c r="Z951" s="8"/>
      <c r="AA951" s="8"/>
    </row>
    <row r="952" spans="1:27" ht="15">
      <c r="A952" s="15"/>
      <c r="B952" s="36"/>
      <c r="C952" s="15"/>
      <c r="D952" s="37"/>
      <c r="E952" s="15"/>
      <c r="F952" s="15"/>
      <c r="G952" s="15"/>
      <c r="H952" s="15"/>
      <c r="I952" s="15"/>
      <c r="J952" s="39"/>
      <c r="K952" s="40"/>
      <c r="L952" s="8"/>
      <c r="M952" s="8"/>
      <c r="N952" s="8"/>
      <c r="O952" s="8"/>
      <c r="P952" s="8"/>
      <c r="Q952" s="8"/>
      <c r="R952" s="8"/>
      <c r="S952" s="8"/>
      <c r="T952" s="8"/>
      <c r="U952" s="8"/>
      <c r="V952" s="8"/>
      <c r="W952" s="8"/>
      <c r="X952" s="8"/>
      <c r="Y952" s="8"/>
      <c r="Z952" s="8"/>
      <c r="AA952" s="8"/>
    </row>
    <row r="953" spans="1:27" ht="15">
      <c r="A953" s="15"/>
      <c r="B953" s="36"/>
      <c r="C953" s="15"/>
      <c r="D953" s="37"/>
      <c r="E953" s="15"/>
      <c r="F953" s="15"/>
      <c r="G953" s="15"/>
      <c r="H953" s="15"/>
      <c r="I953" s="15"/>
      <c r="J953" s="39"/>
      <c r="K953" s="40"/>
      <c r="L953" s="8"/>
      <c r="M953" s="8"/>
      <c r="N953" s="8"/>
      <c r="O953" s="8"/>
      <c r="P953" s="8"/>
      <c r="Q953" s="8"/>
      <c r="R953" s="8"/>
      <c r="S953" s="8"/>
      <c r="T953" s="8"/>
      <c r="U953" s="8"/>
      <c r="V953" s="8"/>
      <c r="W953" s="8"/>
      <c r="X953" s="8"/>
      <c r="Y953" s="8"/>
      <c r="Z953" s="8"/>
      <c r="AA953" s="8"/>
    </row>
    <row r="954" spans="1:27" ht="15">
      <c r="A954" s="15"/>
      <c r="B954" s="36"/>
      <c r="C954" s="15"/>
      <c r="D954" s="37"/>
      <c r="E954" s="15"/>
      <c r="F954" s="15"/>
      <c r="G954" s="15"/>
      <c r="H954" s="15"/>
      <c r="I954" s="15"/>
      <c r="J954" s="39"/>
      <c r="K954" s="40"/>
      <c r="L954" s="8"/>
      <c r="M954" s="8"/>
      <c r="N954" s="8"/>
      <c r="O954" s="8"/>
      <c r="P954" s="8"/>
      <c r="Q954" s="8"/>
      <c r="R954" s="8"/>
      <c r="S954" s="8"/>
      <c r="T954" s="8"/>
      <c r="U954" s="8"/>
      <c r="V954" s="8"/>
      <c r="W954" s="8"/>
      <c r="X954" s="8"/>
      <c r="Y954" s="8"/>
      <c r="Z954" s="8"/>
      <c r="AA954" s="8"/>
    </row>
    <row r="955" spans="1:27" ht="15">
      <c r="A955" s="15"/>
      <c r="B955" s="36"/>
      <c r="C955" s="15"/>
      <c r="D955" s="37"/>
      <c r="E955" s="15"/>
      <c r="F955" s="15"/>
      <c r="G955" s="15"/>
      <c r="H955" s="15"/>
      <c r="I955" s="15"/>
      <c r="J955" s="39"/>
      <c r="K955" s="40"/>
      <c r="L955" s="8"/>
      <c r="M955" s="8"/>
      <c r="N955" s="8"/>
      <c r="O955" s="8"/>
      <c r="P955" s="8"/>
      <c r="Q955" s="8"/>
      <c r="R955" s="8"/>
      <c r="S955" s="8"/>
      <c r="T955" s="8"/>
      <c r="U955" s="8"/>
      <c r="V955" s="8"/>
      <c r="W955" s="8"/>
      <c r="X955" s="8"/>
      <c r="Y955" s="8"/>
      <c r="Z955" s="8"/>
      <c r="AA955" s="8"/>
    </row>
    <row r="956" spans="1:27" ht="15">
      <c r="A956" s="15"/>
      <c r="B956" s="36"/>
      <c r="C956" s="15"/>
      <c r="D956" s="37"/>
      <c r="E956" s="15"/>
      <c r="F956" s="15"/>
      <c r="G956" s="15"/>
      <c r="H956" s="15"/>
      <c r="I956" s="15"/>
      <c r="J956" s="39"/>
      <c r="K956" s="40"/>
      <c r="L956" s="8"/>
      <c r="M956" s="8"/>
      <c r="N956" s="8"/>
      <c r="O956" s="8"/>
      <c r="P956" s="8"/>
      <c r="Q956" s="8"/>
      <c r="R956" s="8"/>
      <c r="S956" s="8"/>
      <c r="T956" s="8"/>
      <c r="U956" s="8"/>
      <c r="V956" s="8"/>
      <c r="W956" s="8"/>
      <c r="X956" s="8"/>
      <c r="Y956" s="8"/>
      <c r="Z956" s="8"/>
      <c r="AA956" s="8"/>
    </row>
    <row r="957" spans="1:27" ht="15">
      <c r="A957" s="15"/>
      <c r="B957" s="36"/>
      <c r="C957" s="15"/>
      <c r="D957" s="37"/>
      <c r="E957" s="15"/>
      <c r="F957" s="15"/>
      <c r="G957" s="15"/>
      <c r="H957" s="15"/>
      <c r="I957" s="15"/>
      <c r="J957" s="39"/>
      <c r="K957" s="40"/>
      <c r="L957" s="8"/>
      <c r="M957" s="8"/>
      <c r="N957" s="8"/>
      <c r="O957" s="8"/>
      <c r="P957" s="8"/>
      <c r="Q957" s="8"/>
      <c r="R957" s="8"/>
      <c r="S957" s="8"/>
      <c r="T957" s="8"/>
      <c r="U957" s="8"/>
      <c r="V957" s="8"/>
      <c r="W957" s="8"/>
      <c r="X957" s="8"/>
      <c r="Y957" s="8"/>
      <c r="Z957" s="8"/>
      <c r="AA957" s="8"/>
    </row>
    <row r="958" spans="1:27" ht="15">
      <c r="A958" s="15"/>
      <c r="B958" s="36"/>
      <c r="C958" s="15"/>
      <c r="D958" s="37"/>
      <c r="E958" s="15"/>
      <c r="F958" s="15"/>
      <c r="G958" s="15"/>
      <c r="H958" s="15"/>
      <c r="I958" s="15"/>
      <c r="J958" s="39"/>
      <c r="K958" s="40"/>
      <c r="L958" s="8"/>
      <c r="M958" s="8"/>
      <c r="N958" s="8"/>
      <c r="O958" s="8"/>
      <c r="P958" s="8"/>
      <c r="Q958" s="8"/>
      <c r="R958" s="8"/>
      <c r="S958" s="8"/>
      <c r="T958" s="8"/>
      <c r="U958" s="8"/>
      <c r="V958" s="8"/>
      <c r="W958" s="8"/>
      <c r="X958" s="8"/>
      <c r="Y958" s="8"/>
      <c r="Z958" s="8"/>
      <c r="AA958" s="8"/>
    </row>
    <row r="959" spans="1:27" ht="15">
      <c r="A959" s="15"/>
      <c r="B959" s="36"/>
      <c r="C959" s="15"/>
      <c r="D959" s="37"/>
      <c r="E959" s="15"/>
      <c r="F959" s="15"/>
      <c r="G959" s="15"/>
      <c r="H959" s="15"/>
      <c r="I959" s="15"/>
      <c r="J959" s="39"/>
      <c r="K959" s="40"/>
      <c r="L959" s="8"/>
      <c r="M959" s="8"/>
      <c r="N959" s="8"/>
      <c r="O959" s="8"/>
      <c r="P959" s="8"/>
      <c r="Q959" s="8"/>
      <c r="R959" s="8"/>
      <c r="S959" s="8"/>
      <c r="T959" s="8"/>
      <c r="U959" s="8"/>
      <c r="V959" s="8"/>
      <c r="W959" s="8"/>
      <c r="X959" s="8"/>
      <c r="Y959" s="8"/>
      <c r="Z959" s="8"/>
      <c r="AA959" s="8"/>
    </row>
    <row r="960" spans="1:27" ht="15">
      <c r="A960" s="15"/>
      <c r="B960" s="36"/>
      <c r="C960" s="15"/>
      <c r="D960" s="37"/>
      <c r="E960" s="15"/>
      <c r="F960" s="15"/>
      <c r="G960" s="15"/>
      <c r="H960" s="15"/>
      <c r="I960" s="15"/>
      <c r="J960" s="39"/>
      <c r="K960" s="40"/>
      <c r="L960" s="8"/>
      <c r="M960" s="8"/>
      <c r="N960" s="8"/>
      <c r="O960" s="8"/>
      <c r="P960" s="8"/>
      <c r="Q960" s="8"/>
      <c r="R960" s="8"/>
      <c r="S960" s="8"/>
      <c r="T960" s="8"/>
      <c r="U960" s="8"/>
      <c r="V960" s="8"/>
      <c r="W960" s="8"/>
      <c r="X960" s="8"/>
      <c r="Y960" s="8"/>
      <c r="Z960" s="8"/>
      <c r="AA960" s="8"/>
    </row>
    <row r="961" spans="1:27" ht="15">
      <c r="A961" s="15"/>
      <c r="B961" s="36"/>
      <c r="C961" s="15"/>
      <c r="D961" s="37"/>
      <c r="E961" s="15"/>
      <c r="F961" s="15"/>
      <c r="G961" s="15"/>
      <c r="H961" s="15"/>
      <c r="I961" s="15"/>
      <c r="J961" s="39"/>
      <c r="K961" s="40"/>
      <c r="L961" s="8"/>
      <c r="M961" s="8"/>
      <c r="N961" s="8"/>
      <c r="O961" s="8"/>
      <c r="P961" s="8"/>
      <c r="Q961" s="8"/>
      <c r="R961" s="8"/>
      <c r="S961" s="8"/>
      <c r="T961" s="8"/>
      <c r="U961" s="8"/>
      <c r="V961" s="8"/>
      <c r="W961" s="8"/>
      <c r="X961" s="8"/>
      <c r="Y961" s="8"/>
      <c r="Z961" s="8"/>
      <c r="AA961" s="8"/>
    </row>
    <row r="962" spans="1:27" ht="15">
      <c r="A962" s="15"/>
      <c r="B962" s="36"/>
      <c r="C962" s="15"/>
      <c r="D962" s="37"/>
      <c r="E962" s="15"/>
      <c r="F962" s="15"/>
      <c r="G962" s="15"/>
      <c r="H962" s="15"/>
      <c r="I962" s="15"/>
      <c r="J962" s="39"/>
      <c r="K962" s="40"/>
      <c r="L962" s="8"/>
      <c r="M962" s="8"/>
      <c r="N962" s="8"/>
      <c r="O962" s="8"/>
      <c r="P962" s="8"/>
      <c r="Q962" s="8"/>
      <c r="R962" s="8"/>
      <c r="S962" s="8"/>
      <c r="T962" s="8"/>
      <c r="U962" s="8"/>
      <c r="V962" s="8"/>
      <c r="W962" s="8"/>
      <c r="X962" s="8"/>
      <c r="Y962" s="8"/>
      <c r="Z962" s="8"/>
      <c r="AA962" s="8"/>
    </row>
    <row r="963" spans="1:27" ht="15">
      <c r="A963" s="15"/>
      <c r="B963" s="36"/>
      <c r="C963" s="15"/>
      <c r="D963" s="37"/>
      <c r="E963" s="15"/>
      <c r="F963" s="15"/>
      <c r="G963" s="15"/>
      <c r="H963" s="15"/>
      <c r="I963" s="15"/>
      <c r="J963" s="39"/>
      <c r="K963" s="40"/>
      <c r="L963" s="8"/>
      <c r="M963" s="8"/>
      <c r="N963" s="8"/>
      <c r="O963" s="8"/>
      <c r="P963" s="8"/>
      <c r="Q963" s="8"/>
      <c r="R963" s="8"/>
      <c r="S963" s="8"/>
      <c r="T963" s="8"/>
      <c r="U963" s="8"/>
      <c r="V963" s="8"/>
      <c r="W963" s="8"/>
      <c r="X963" s="8"/>
      <c r="Y963" s="8"/>
      <c r="Z963" s="8"/>
      <c r="AA963" s="8"/>
    </row>
    <row r="964" spans="1:27" ht="15">
      <c r="A964" s="15"/>
      <c r="B964" s="36"/>
      <c r="C964" s="15"/>
      <c r="D964" s="37"/>
      <c r="E964" s="15"/>
      <c r="F964" s="15"/>
      <c r="G964" s="15"/>
      <c r="H964" s="15"/>
      <c r="I964" s="15"/>
      <c r="J964" s="39"/>
      <c r="K964" s="40"/>
      <c r="L964" s="8"/>
      <c r="M964" s="8"/>
      <c r="N964" s="8"/>
      <c r="O964" s="8"/>
      <c r="P964" s="8"/>
      <c r="Q964" s="8"/>
      <c r="R964" s="8"/>
      <c r="S964" s="8"/>
      <c r="T964" s="8"/>
      <c r="U964" s="8"/>
      <c r="V964" s="8"/>
      <c r="W964" s="8"/>
      <c r="X964" s="8"/>
      <c r="Y964" s="8"/>
      <c r="Z964" s="8"/>
      <c r="AA964" s="8"/>
    </row>
    <row r="965" spans="1:27" ht="15">
      <c r="A965" s="15"/>
      <c r="B965" s="36"/>
      <c r="C965" s="15"/>
      <c r="D965" s="37"/>
      <c r="E965" s="15"/>
      <c r="F965" s="15"/>
      <c r="G965" s="15"/>
      <c r="H965" s="15"/>
      <c r="I965" s="15"/>
      <c r="J965" s="39"/>
      <c r="K965" s="40"/>
      <c r="L965" s="8"/>
      <c r="M965" s="8"/>
      <c r="N965" s="8"/>
      <c r="O965" s="8"/>
      <c r="P965" s="8"/>
      <c r="Q965" s="8"/>
      <c r="R965" s="8"/>
      <c r="S965" s="8"/>
      <c r="T965" s="8"/>
      <c r="U965" s="8"/>
      <c r="V965" s="8"/>
      <c r="W965" s="8"/>
      <c r="X965" s="8"/>
      <c r="Y965" s="8"/>
      <c r="Z965" s="8"/>
      <c r="AA965" s="8"/>
    </row>
    <row r="966" spans="1:27" ht="15">
      <c r="A966" s="15"/>
      <c r="B966" s="36"/>
      <c r="C966" s="15"/>
      <c r="D966" s="37"/>
      <c r="E966" s="15"/>
      <c r="F966" s="15"/>
      <c r="G966" s="15"/>
      <c r="H966" s="15"/>
      <c r="I966" s="15"/>
      <c r="J966" s="39"/>
      <c r="K966" s="40"/>
      <c r="L966" s="8"/>
      <c r="M966" s="8"/>
      <c r="N966" s="8"/>
      <c r="O966" s="8"/>
      <c r="P966" s="8"/>
      <c r="Q966" s="8"/>
      <c r="R966" s="8"/>
      <c r="S966" s="8"/>
      <c r="T966" s="8"/>
      <c r="U966" s="8"/>
      <c r="V966" s="8"/>
      <c r="W966" s="8"/>
      <c r="X966" s="8"/>
      <c r="Y966" s="8"/>
      <c r="Z966" s="8"/>
      <c r="AA966" s="8"/>
    </row>
    <row r="967" spans="1:27" ht="15">
      <c r="A967" s="15"/>
      <c r="B967" s="36"/>
      <c r="C967" s="15"/>
      <c r="D967" s="37"/>
      <c r="E967" s="15"/>
      <c r="F967" s="15"/>
      <c r="G967" s="15"/>
      <c r="H967" s="15"/>
      <c r="I967" s="15"/>
      <c r="J967" s="39"/>
      <c r="K967" s="40"/>
      <c r="L967" s="8"/>
      <c r="M967" s="8"/>
      <c r="N967" s="8"/>
      <c r="O967" s="8"/>
      <c r="P967" s="8"/>
      <c r="Q967" s="8"/>
      <c r="R967" s="8"/>
      <c r="S967" s="8"/>
      <c r="T967" s="8"/>
      <c r="U967" s="8"/>
      <c r="V967" s="8"/>
      <c r="W967" s="8"/>
      <c r="X967" s="8"/>
      <c r="Y967" s="8"/>
      <c r="Z967" s="8"/>
      <c r="AA967" s="8"/>
    </row>
    <row r="968" spans="1:27" ht="15">
      <c r="A968" s="15"/>
      <c r="B968" s="36"/>
      <c r="C968" s="15"/>
      <c r="D968" s="37"/>
      <c r="E968" s="15"/>
      <c r="F968" s="15"/>
      <c r="G968" s="15"/>
      <c r="H968" s="15"/>
      <c r="I968" s="15"/>
      <c r="J968" s="39"/>
      <c r="K968" s="40"/>
      <c r="L968" s="8"/>
      <c r="M968" s="8"/>
      <c r="N968" s="8"/>
      <c r="O968" s="8"/>
      <c r="P968" s="8"/>
      <c r="Q968" s="8"/>
      <c r="R968" s="8"/>
      <c r="S968" s="8"/>
      <c r="T968" s="8"/>
      <c r="U968" s="8"/>
      <c r="V968" s="8"/>
      <c r="W968" s="8"/>
      <c r="X968" s="8"/>
      <c r="Y968" s="8"/>
      <c r="Z968" s="8"/>
      <c r="AA968" s="8"/>
    </row>
    <row r="969" spans="1:27" ht="15">
      <c r="A969" s="15"/>
      <c r="B969" s="36"/>
      <c r="C969" s="15"/>
      <c r="D969" s="37"/>
      <c r="E969" s="15"/>
      <c r="F969" s="15"/>
      <c r="G969" s="15"/>
      <c r="H969" s="15"/>
      <c r="I969" s="15"/>
      <c r="J969" s="39"/>
      <c r="K969" s="40"/>
      <c r="L969" s="8"/>
      <c r="M969" s="8"/>
      <c r="N969" s="8"/>
      <c r="O969" s="8"/>
      <c r="P969" s="8"/>
      <c r="Q969" s="8"/>
      <c r="R969" s="8"/>
      <c r="S969" s="8"/>
      <c r="T969" s="8"/>
      <c r="U969" s="8"/>
      <c r="V969" s="8"/>
      <c r="W969" s="8"/>
      <c r="X969" s="8"/>
      <c r="Y969" s="8"/>
      <c r="Z969" s="8"/>
      <c r="AA969" s="8"/>
    </row>
    <row r="970" spans="1:27" ht="15">
      <c r="A970" s="15"/>
      <c r="B970" s="36"/>
      <c r="C970" s="15"/>
      <c r="D970" s="37"/>
      <c r="E970" s="15"/>
      <c r="F970" s="15"/>
      <c r="G970" s="15"/>
      <c r="H970" s="15"/>
      <c r="I970" s="15"/>
      <c r="J970" s="39"/>
      <c r="K970" s="40"/>
      <c r="L970" s="8"/>
      <c r="M970" s="8"/>
      <c r="N970" s="8"/>
      <c r="O970" s="8"/>
      <c r="P970" s="8"/>
      <c r="Q970" s="8"/>
      <c r="R970" s="8"/>
      <c r="S970" s="8"/>
      <c r="T970" s="8"/>
      <c r="U970" s="8"/>
      <c r="V970" s="8"/>
      <c r="W970" s="8"/>
      <c r="X970" s="8"/>
      <c r="Y970" s="8"/>
      <c r="Z970" s="8"/>
      <c r="AA970" s="8"/>
    </row>
    <row r="971" spans="1:27" ht="15">
      <c r="A971" s="15"/>
      <c r="B971" s="36"/>
      <c r="C971" s="15"/>
      <c r="D971" s="37"/>
      <c r="E971" s="15"/>
      <c r="F971" s="15"/>
      <c r="G971" s="15"/>
      <c r="H971" s="15"/>
      <c r="I971" s="15"/>
      <c r="J971" s="39"/>
      <c r="K971" s="40"/>
      <c r="L971" s="8"/>
      <c r="M971" s="8"/>
      <c r="N971" s="8"/>
      <c r="O971" s="8"/>
      <c r="P971" s="8"/>
      <c r="Q971" s="8"/>
      <c r="R971" s="8"/>
      <c r="S971" s="8"/>
      <c r="T971" s="8"/>
      <c r="U971" s="8"/>
      <c r="V971" s="8"/>
      <c r="W971" s="8"/>
      <c r="X971" s="8"/>
      <c r="Y971" s="8"/>
      <c r="Z971" s="8"/>
      <c r="AA971" s="8"/>
    </row>
    <row r="972" spans="1:27" ht="15">
      <c r="A972" s="15"/>
      <c r="B972" s="36"/>
      <c r="C972" s="15"/>
      <c r="D972" s="37"/>
      <c r="E972" s="15"/>
      <c r="F972" s="15"/>
      <c r="G972" s="15"/>
      <c r="H972" s="15"/>
      <c r="I972" s="15"/>
      <c r="J972" s="39"/>
      <c r="K972" s="40"/>
      <c r="L972" s="8"/>
      <c r="M972" s="8"/>
      <c r="N972" s="8"/>
      <c r="O972" s="8"/>
      <c r="P972" s="8"/>
      <c r="Q972" s="8"/>
      <c r="R972" s="8"/>
      <c r="S972" s="8"/>
      <c r="T972" s="8"/>
      <c r="U972" s="8"/>
      <c r="V972" s="8"/>
      <c r="W972" s="8"/>
      <c r="X972" s="8"/>
      <c r="Y972" s="8"/>
      <c r="Z972" s="8"/>
      <c r="AA972" s="8"/>
    </row>
    <row r="973" spans="1:27" ht="15">
      <c r="A973" s="15"/>
      <c r="B973" s="36"/>
      <c r="C973" s="15"/>
      <c r="D973" s="37"/>
      <c r="E973" s="15"/>
      <c r="F973" s="15"/>
      <c r="G973" s="15"/>
      <c r="H973" s="15"/>
      <c r="I973" s="15"/>
      <c r="J973" s="39"/>
      <c r="K973" s="40"/>
      <c r="L973" s="8"/>
      <c r="M973" s="8"/>
      <c r="N973" s="8"/>
      <c r="O973" s="8"/>
      <c r="P973" s="8"/>
      <c r="Q973" s="8"/>
      <c r="R973" s="8"/>
      <c r="S973" s="8"/>
      <c r="T973" s="8"/>
      <c r="U973" s="8"/>
      <c r="V973" s="8"/>
      <c r="W973" s="8"/>
      <c r="X973" s="8"/>
      <c r="Y973" s="8"/>
      <c r="Z973" s="8"/>
      <c r="AA973" s="8"/>
    </row>
    <row r="974" spans="1:27" ht="15">
      <c r="A974" s="15"/>
      <c r="B974" s="36"/>
      <c r="C974" s="15"/>
      <c r="D974" s="37"/>
      <c r="E974" s="15"/>
      <c r="F974" s="15"/>
      <c r="G974" s="15"/>
      <c r="H974" s="15"/>
      <c r="I974" s="15"/>
      <c r="J974" s="39"/>
      <c r="K974" s="40"/>
      <c r="L974" s="8"/>
      <c r="M974" s="8"/>
      <c r="N974" s="8"/>
      <c r="O974" s="8"/>
      <c r="P974" s="8"/>
      <c r="Q974" s="8"/>
      <c r="R974" s="8"/>
      <c r="S974" s="8"/>
      <c r="T974" s="8"/>
      <c r="U974" s="8"/>
      <c r="V974" s="8"/>
      <c r="W974" s="8"/>
      <c r="X974" s="8"/>
      <c r="Y974" s="8"/>
      <c r="Z974" s="8"/>
      <c r="AA974" s="8"/>
    </row>
    <row r="975" spans="1:27" ht="15">
      <c r="A975" s="15"/>
      <c r="B975" s="36"/>
      <c r="C975" s="15"/>
      <c r="D975" s="37"/>
      <c r="E975" s="15"/>
      <c r="F975" s="15"/>
      <c r="G975" s="15"/>
      <c r="H975" s="15"/>
      <c r="I975" s="15"/>
      <c r="J975" s="39"/>
      <c r="K975" s="40"/>
      <c r="L975" s="8"/>
      <c r="M975" s="8"/>
      <c r="N975" s="8"/>
      <c r="O975" s="8"/>
      <c r="P975" s="8"/>
      <c r="Q975" s="8"/>
      <c r="R975" s="8"/>
      <c r="S975" s="8"/>
      <c r="T975" s="8"/>
      <c r="U975" s="8"/>
      <c r="V975" s="8"/>
      <c r="W975" s="8"/>
      <c r="X975" s="8"/>
      <c r="Y975" s="8"/>
      <c r="Z975" s="8"/>
      <c r="AA975" s="8"/>
    </row>
    <row r="976" spans="1:27" ht="15">
      <c r="A976" s="15"/>
      <c r="B976" s="36"/>
      <c r="C976" s="15"/>
      <c r="D976" s="37"/>
      <c r="E976" s="15"/>
      <c r="F976" s="15"/>
      <c r="G976" s="15"/>
      <c r="H976" s="15"/>
      <c r="I976" s="15"/>
      <c r="J976" s="39"/>
      <c r="K976" s="40"/>
      <c r="L976" s="8"/>
      <c r="M976" s="8"/>
      <c r="N976" s="8"/>
      <c r="O976" s="8"/>
      <c r="P976" s="8"/>
      <c r="Q976" s="8"/>
      <c r="R976" s="8"/>
      <c r="S976" s="8"/>
      <c r="T976" s="8"/>
      <c r="U976" s="8"/>
      <c r="V976" s="8"/>
      <c r="W976" s="8"/>
      <c r="X976" s="8"/>
      <c r="Y976" s="8"/>
      <c r="Z976" s="8"/>
      <c r="AA976" s="8"/>
    </row>
    <row r="977" spans="1:27" ht="15">
      <c r="A977" s="15"/>
      <c r="B977" s="36"/>
      <c r="C977" s="15"/>
      <c r="D977" s="37"/>
      <c r="E977" s="15"/>
      <c r="F977" s="15"/>
      <c r="G977" s="15"/>
      <c r="H977" s="15"/>
      <c r="I977" s="15"/>
      <c r="J977" s="39"/>
      <c r="K977" s="40"/>
      <c r="L977" s="8"/>
      <c r="M977" s="8"/>
      <c r="N977" s="8"/>
      <c r="O977" s="8"/>
      <c r="P977" s="8"/>
      <c r="Q977" s="8"/>
      <c r="R977" s="8"/>
      <c r="S977" s="8"/>
      <c r="T977" s="8"/>
      <c r="U977" s="8"/>
      <c r="V977" s="8"/>
      <c r="W977" s="8"/>
      <c r="X977" s="8"/>
      <c r="Y977" s="8"/>
      <c r="Z977" s="8"/>
      <c r="AA977" s="8"/>
    </row>
    <row r="978" spans="1:27" ht="15">
      <c r="A978" s="15"/>
      <c r="B978" s="36"/>
      <c r="C978" s="15"/>
      <c r="D978" s="37"/>
      <c r="E978" s="15"/>
      <c r="F978" s="15"/>
      <c r="G978" s="15"/>
      <c r="H978" s="15"/>
      <c r="I978" s="15"/>
      <c r="J978" s="39"/>
      <c r="K978" s="40"/>
      <c r="L978" s="8"/>
      <c r="M978" s="8"/>
      <c r="N978" s="8"/>
      <c r="O978" s="8"/>
      <c r="P978" s="8"/>
      <c r="Q978" s="8"/>
      <c r="R978" s="8"/>
      <c r="S978" s="8"/>
      <c r="T978" s="8"/>
      <c r="U978" s="8"/>
      <c r="V978" s="8"/>
      <c r="W978" s="8"/>
      <c r="X978" s="8"/>
      <c r="Y978" s="8"/>
      <c r="Z978" s="8"/>
      <c r="AA978" s="8"/>
    </row>
    <row r="979" spans="1:27" ht="15">
      <c r="A979" s="15"/>
      <c r="B979" s="36"/>
      <c r="C979" s="15"/>
      <c r="D979" s="37"/>
      <c r="E979" s="15"/>
      <c r="F979" s="15"/>
      <c r="G979" s="15"/>
      <c r="H979" s="15"/>
      <c r="I979" s="15"/>
      <c r="J979" s="39"/>
      <c r="K979" s="40"/>
      <c r="L979" s="8"/>
      <c r="M979" s="8"/>
      <c r="N979" s="8"/>
      <c r="O979" s="8"/>
      <c r="P979" s="8"/>
      <c r="Q979" s="8"/>
      <c r="R979" s="8"/>
      <c r="S979" s="8"/>
      <c r="T979" s="8"/>
      <c r="U979" s="8"/>
      <c r="V979" s="8"/>
      <c r="W979" s="8"/>
      <c r="X979" s="8"/>
      <c r="Y979" s="8"/>
      <c r="Z979" s="8"/>
      <c r="AA979" s="8"/>
    </row>
    <row r="980" spans="1:27" ht="15">
      <c r="A980" s="15"/>
      <c r="B980" s="36"/>
      <c r="C980" s="15"/>
      <c r="D980" s="37"/>
      <c r="E980" s="15"/>
      <c r="F980" s="15"/>
      <c r="G980" s="15"/>
      <c r="H980" s="15"/>
      <c r="I980" s="15"/>
      <c r="J980" s="39"/>
      <c r="K980" s="40"/>
      <c r="L980" s="8"/>
      <c r="M980" s="8"/>
      <c r="N980" s="8"/>
      <c r="O980" s="8"/>
      <c r="P980" s="8"/>
      <c r="Q980" s="8"/>
      <c r="R980" s="8"/>
      <c r="S980" s="8"/>
      <c r="T980" s="8"/>
      <c r="U980" s="8"/>
      <c r="V980" s="8"/>
      <c r="W980" s="8"/>
      <c r="X980" s="8"/>
      <c r="Y980" s="8"/>
      <c r="Z980" s="8"/>
      <c r="AA980" s="8"/>
    </row>
    <row r="981" spans="1:27" ht="15">
      <c r="A981" s="15"/>
      <c r="B981" s="36"/>
      <c r="C981" s="15"/>
      <c r="D981" s="37"/>
      <c r="E981" s="15"/>
      <c r="F981" s="15"/>
      <c r="G981" s="15"/>
      <c r="H981" s="15"/>
      <c r="I981" s="15"/>
      <c r="J981" s="39"/>
      <c r="K981" s="40"/>
      <c r="L981" s="8"/>
      <c r="M981" s="8"/>
      <c r="N981" s="8"/>
      <c r="O981" s="8"/>
      <c r="P981" s="8"/>
      <c r="Q981" s="8"/>
      <c r="R981" s="8"/>
      <c r="S981" s="8"/>
      <c r="T981" s="8"/>
      <c r="U981" s="8"/>
      <c r="V981" s="8"/>
      <c r="W981" s="8"/>
      <c r="X981" s="8"/>
      <c r="Y981" s="8"/>
      <c r="Z981" s="8"/>
      <c r="AA981" s="8"/>
    </row>
    <row r="982" spans="1:27" ht="15">
      <c r="A982" s="15"/>
      <c r="B982" s="36"/>
      <c r="C982" s="15"/>
      <c r="D982" s="37"/>
      <c r="E982" s="15"/>
      <c r="F982" s="15"/>
      <c r="G982" s="15"/>
      <c r="H982" s="15"/>
      <c r="I982" s="15"/>
      <c r="J982" s="39"/>
      <c r="K982" s="40"/>
      <c r="L982" s="8"/>
      <c r="M982" s="8"/>
      <c r="N982" s="8"/>
      <c r="O982" s="8"/>
      <c r="P982" s="8"/>
      <c r="Q982" s="8"/>
      <c r="R982" s="8"/>
      <c r="S982" s="8"/>
      <c r="T982" s="8"/>
      <c r="U982" s="8"/>
      <c r="V982" s="8"/>
      <c r="W982" s="8"/>
      <c r="X982" s="8"/>
      <c r="Y982" s="8"/>
      <c r="Z982" s="8"/>
      <c r="AA982" s="8"/>
    </row>
    <row r="983" spans="1:27" ht="15">
      <c r="A983" s="15"/>
      <c r="B983" s="36"/>
      <c r="C983" s="15"/>
      <c r="D983" s="37"/>
      <c r="E983" s="15"/>
      <c r="F983" s="15"/>
      <c r="G983" s="15"/>
      <c r="H983" s="15"/>
      <c r="I983" s="15"/>
      <c r="J983" s="39"/>
      <c r="K983" s="40"/>
      <c r="L983" s="8"/>
      <c r="M983" s="8"/>
      <c r="N983" s="8"/>
      <c r="O983" s="8"/>
      <c r="P983" s="8"/>
      <c r="Q983" s="8"/>
      <c r="R983" s="8"/>
      <c r="S983" s="8"/>
      <c r="T983" s="8"/>
      <c r="U983" s="8"/>
      <c r="V983" s="8"/>
      <c r="W983" s="8"/>
      <c r="X983" s="8"/>
      <c r="Y983" s="8"/>
      <c r="Z983" s="8"/>
      <c r="AA983" s="8"/>
    </row>
    <row r="984" spans="1:27" ht="15">
      <c r="A984" s="15"/>
      <c r="B984" s="36"/>
      <c r="C984" s="15"/>
      <c r="D984" s="37"/>
      <c r="E984" s="15"/>
      <c r="F984" s="15"/>
      <c r="G984" s="15"/>
      <c r="H984" s="15"/>
      <c r="I984" s="15"/>
      <c r="J984" s="39"/>
      <c r="K984" s="40"/>
      <c r="L984" s="8"/>
      <c r="M984" s="8"/>
      <c r="N984" s="8"/>
      <c r="O984" s="8"/>
      <c r="P984" s="8"/>
      <c r="Q984" s="8"/>
      <c r="R984" s="8"/>
      <c r="S984" s="8"/>
      <c r="T984" s="8"/>
      <c r="U984" s="8"/>
      <c r="V984" s="8"/>
      <c r="W984" s="8"/>
      <c r="X984" s="8"/>
      <c r="Y984" s="8"/>
      <c r="Z984" s="8"/>
      <c r="AA984" s="8"/>
    </row>
    <row r="985" spans="1:27" ht="15">
      <c r="A985" s="15"/>
      <c r="B985" s="36"/>
      <c r="C985" s="15"/>
      <c r="D985" s="37"/>
      <c r="E985" s="15"/>
      <c r="F985" s="15"/>
      <c r="G985" s="15"/>
      <c r="H985" s="15"/>
      <c r="I985" s="15"/>
      <c r="J985" s="39"/>
      <c r="K985" s="40"/>
      <c r="L985" s="8"/>
      <c r="M985" s="8"/>
      <c r="N985" s="8"/>
      <c r="O985" s="8"/>
      <c r="P985" s="8"/>
      <c r="Q985" s="8"/>
      <c r="R985" s="8"/>
      <c r="S985" s="8"/>
      <c r="T985" s="8"/>
      <c r="U985" s="8"/>
      <c r="V985" s="8"/>
      <c r="W985" s="8"/>
      <c r="X985" s="8"/>
      <c r="Y985" s="8"/>
      <c r="Z985" s="8"/>
      <c r="AA985" s="8"/>
    </row>
    <row r="986" spans="1:27" ht="15">
      <c r="A986" s="15"/>
      <c r="B986" s="36"/>
      <c r="C986" s="15"/>
      <c r="D986" s="37"/>
      <c r="E986" s="15"/>
      <c r="F986" s="15"/>
      <c r="G986" s="15"/>
      <c r="H986" s="15"/>
      <c r="I986" s="15"/>
      <c r="J986" s="39"/>
      <c r="K986" s="40"/>
      <c r="L986" s="8"/>
      <c r="M986" s="8"/>
      <c r="N986" s="8"/>
      <c r="O986" s="8"/>
      <c r="P986" s="8"/>
      <c r="Q986" s="8"/>
      <c r="R986" s="8"/>
      <c r="S986" s="8"/>
      <c r="T986" s="8"/>
      <c r="U986" s="8"/>
      <c r="V986" s="8"/>
      <c r="W986" s="8"/>
      <c r="X986" s="8"/>
      <c r="Y986" s="8"/>
      <c r="Z986" s="8"/>
      <c r="AA986" s="8"/>
    </row>
    <row r="987" spans="1:27" ht="15">
      <c r="A987" s="15"/>
      <c r="B987" s="36"/>
      <c r="C987" s="15"/>
      <c r="D987" s="37"/>
      <c r="E987" s="15"/>
      <c r="F987" s="15"/>
      <c r="G987" s="15"/>
      <c r="H987" s="15"/>
      <c r="I987" s="15"/>
      <c r="J987" s="39"/>
      <c r="K987" s="40"/>
      <c r="L987" s="8"/>
      <c r="M987" s="8"/>
      <c r="N987" s="8"/>
      <c r="O987" s="8"/>
      <c r="P987" s="8"/>
      <c r="Q987" s="8"/>
      <c r="R987" s="8"/>
      <c r="S987" s="8"/>
      <c r="T987" s="8"/>
      <c r="U987" s="8"/>
      <c r="V987" s="8"/>
      <c r="W987" s="8"/>
      <c r="X987" s="8"/>
      <c r="Y987" s="8"/>
      <c r="Z987" s="8"/>
      <c r="AA987" s="8"/>
    </row>
    <row r="988" spans="1:27" ht="15">
      <c r="A988" s="15"/>
      <c r="B988" s="36"/>
      <c r="C988" s="15"/>
      <c r="D988" s="37"/>
      <c r="E988" s="15"/>
      <c r="F988" s="15"/>
      <c r="G988" s="15"/>
      <c r="H988" s="15"/>
      <c r="I988" s="15"/>
      <c r="J988" s="39"/>
      <c r="K988" s="40"/>
      <c r="L988" s="8"/>
      <c r="M988" s="8"/>
      <c r="N988" s="8"/>
      <c r="O988" s="8"/>
      <c r="P988" s="8"/>
      <c r="Q988" s="8"/>
      <c r="R988" s="8"/>
      <c r="S988" s="8"/>
      <c r="T988" s="8"/>
      <c r="U988" s="8"/>
      <c r="V988" s="8"/>
      <c r="W988" s="8"/>
      <c r="X988" s="8"/>
      <c r="Y988" s="8"/>
      <c r="Z988" s="8"/>
      <c r="AA988" s="8"/>
    </row>
    <row r="989" spans="1:27" ht="15">
      <c r="A989" s="15"/>
      <c r="B989" s="36"/>
      <c r="C989" s="15"/>
      <c r="D989" s="37"/>
      <c r="E989" s="15"/>
      <c r="F989" s="15"/>
      <c r="G989" s="15"/>
      <c r="H989" s="15"/>
      <c r="I989" s="15"/>
      <c r="J989" s="39"/>
      <c r="K989" s="40"/>
      <c r="L989" s="8"/>
      <c r="M989" s="8"/>
      <c r="N989" s="8"/>
      <c r="O989" s="8"/>
      <c r="P989" s="8"/>
      <c r="Q989" s="8"/>
      <c r="R989" s="8"/>
      <c r="S989" s="8"/>
      <c r="T989" s="8"/>
      <c r="U989" s="8"/>
      <c r="V989" s="8"/>
      <c r="W989" s="8"/>
      <c r="X989" s="8"/>
      <c r="Y989" s="8"/>
      <c r="Z989" s="8"/>
      <c r="AA989" s="8"/>
    </row>
    <row r="990" spans="1:27" ht="15">
      <c r="A990" s="15"/>
      <c r="B990" s="36"/>
      <c r="C990" s="15"/>
      <c r="D990" s="37"/>
      <c r="E990" s="15"/>
      <c r="F990" s="15"/>
      <c r="G990" s="15"/>
      <c r="H990" s="15"/>
      <c r="I990" s="15"/>
      <c r="J990" s="39"/>
      <c r="K990" s="40"/>
      <c r="L990" s="8"/>
      <c r="M990" s="8"/>
      <c r="N990" s="8"/>
      <c r="O990" s="8"/>
      <c r="P990" s="8"/>
      <c r="Q990" s="8"/>
      <c r="R990" s="8"/>
      <c r="S990" s="8"/>
      <c r="T990" s="8"/>
      <c r="U990" s="8"/>
      <c r="V990" s="8"/>
      <c r="W990" s="8"/>
      <c r="X990" s="8"/>
      <c r="Y990" s="8"/>
      <c r="Z990" s="8"/>
      <c r="AA990" s="8"/>
    </row>
    <row r="991" spans="1:27" ht="15">
      <c r="A991" s="15"/>
      <c r="B991" s="36"/>
      <c r="C991" s="15"/>
      <c r="D991" s="37"/>
      <c r="E991" s="15"/>
      <c r="F991" s="15"/>
      <c r="G991" s="15"/>
      <c r="H991" s="15"/>
      <c r="I991" s="15"/>
      <c r="J991" s="39"/>
      <c r="K991" s="40"/>
      <c r="L991" s="8"/>
      <c r="M991" s="8"/>
      <c r="N991" s="8"/>
      <c r="O991" s="8"/>
      <c r="P991" s="8"/>
      <c r="Q991" s="8"/>
      <c r="R991" s="8"/>
      <c r="S991" s="8"/>
      <c r="T991" s="8"/>
      <c r="U991" s="8"/>
      <c r="V991" s="8"/>
      <c r="W991" s="8"/>
      <c r="X991" s="8"/>
      <c r="Y991" s="8"/>
      <c r="Z991" s="8"/>
      <c r="AA991" s="8"/>
    </row>
    <row r="992" spans="1:27" ht="15">
      <c r="A992" s="15"/>
      <c r="B992" s="36"/>
      <c r="C992" s="15"/>
      <c r="D992" s="37"/>
      <c r="E992" s="15"/>
      <c r="F992" s="15"/>
      <c r="G992" s="15"/>
      <c r="H992" s="15"/>
      <c r="I992" s="15"/>
      <c r="J992" s="39"/>
      <c r="K992" s="40"/>
      <c r="L992" s="8"/>
      <c r="M992" s="8"/>
      <c r="N992" s="8"/>
      <c r="O992" s="8"/>
      <c r="P992" s="8"/>
      <c r="Q992" s="8"/>
      <c r="R992" s="8"/>
      <c r="S992" s="8"/>
      <c r="T992" s="8"/>
      <c r="U992" s="8"/>
      <c r="V992" s="8"/>
      <c r="W992" s="8"/>
      <c r="X992" s="8"/>
      <c r="Y992" s="8"/>
      <c r="Z992" s="8"/>
      <c r="AA992" s="8"/>
    </row>
    <row r="993" spans="1:27" ht="15">
      <c r="A993" s="15"/>
      <c r="B993" s="36"/>
      <c r="C993" s="15"/>
      <c r="D993" s="37"/>
      <c r="E993" s="15"/>
      <c r="F993" s="15"/>
      <c r="G993" s="15"/>
      <c r="H993" s="15"/>
      <c r="I993" s="15"/>
      <c r="J993" s="39"/>
      <c r="K993" s="40"/>
      <c r="L993" s="8"/>
      <c r="M993" s="8"/>
      <c r="N993" s="8"/>
      <c r="O993" s="8"/>
      <c r="P993" s="8"/>
      <c r="Q993" s="8"/>
      <c r="R993" s="8"/>
      <c r="S993" s="8"/>
      <c r="T993" s="8"/>
      <c r="U993" s="8"/>
      <c r="V993" s="8"/>
      <c r="W993" s="8"/>
      <c r="X993" s="8"/>
      <c r="Y993" s="8"/>
      <c r="Z993" s="8"/>
      <c r="AA993" s="8"/>
    </row>
    <row r="994" spans="1:27" ht="15">
      <c r="A994" s="15"/>
      <c r="B994" s="36"/>
      <c r="C994" s="15"/>
      <c r="D994" s="37"/>
      <c r="E994" s="15"/>
      <c r="F994" s="15"/>
      <c r="G994" s="15"/>
      <c r="H994" s="15"/>
      <c r="I994" s="15"/>
      <c r="J994" s="39"/>
      <c r="K994" s="40"/>
      <c r="L994" s="8"/>
      <c r="M994" s="8"/>
      <c r="N994" s="8"/>
      <c r="O994" s="8"/>
      <c r="P994" s="8"/>
      <c r="Q994" s="8"/>
      <c r="R994" s="8"/>
      <c r="S994" s="8"/>
      <c r="T994" s="8"/>
      <c r="U994" s="8"/>
      <c r="V994" s="8"/>
      <c r="W994" s="8"/>
      <c r="X994" s="8"/>
      <c r="Y994" s="8"/>
      <c r="Z994" s="8"/>
      <c r="AA994" s="8"/>
    </row>
    <row r="995" spans="1:27" ht="15">
      <c r="A995" s="15"/>
      <c r="B995" s="36"/>
      <c r="C995" s="15"/>
      <c r="D995" s="37"/>
      <c r="E995" s="15"/>
      <c r="F995" s="15"/>
      <c r="G995" s="15"/>
      <c r="H995" s="15"/>
      <c r="I995" s="15"/>
      <c r="J995" s="39"/>
      <c r="K995" s="40"/>
      <c r="L995" s="8"/>
      <c r="M995" s="8"/>
      <c r="N995" s="8"/>
      <c r="O995" s="8"/>
      <c r="P995" s="8"/>
      <c r="Q995" s="8"/>
      <c r="R995" s="8"/>
      <c r="S995" s="8"/>
      <c r="T995" s="8"/>
      <c r="U995" s="8"/>
      <c r="V995" s="8"/>
      <c r="W995" s="8"/>
      <c r="X995" s="8"/>
      <c r="Y995" s="8"/>
      <c r="Z995" s="8"/>
      <c r="AA995" s="8"/>
    </row>
    <row r="996" spans="1:27" ht="15">
      <c r="A996" s="15"/>
      <c r="B996" s="36"/>
      <c r="C996" s="15"/>
      <c r="D996" s="37"/>
      <c r="E996" s="15"/>
      <c r="F996" s="15"/>
      <c r="G996" s="15"/>
      <c r="H996" s="15"/>
      <c r="I996" s="15"/>
      <c r="J996" s="39"/>
      <c r="K996" s="40"/>
      <c r="L996" s="8"/>
      <c r="M996" s="8"/>
      <c r="N996" s="8"/>
      <c r="O996" s="8"/>
      <c r="P996" s="8"/>
      <c r="Q996" s="8"/>
      <c r="R996" s="8"/>
      <c r="S996" s="8"/>
      <c r="T996" s="8"/>
      <c r="U996" s="8"/>
      <c r="V996" s="8"/>
      <c r="W996" s="8"/>
      <c r="X996" s="8"/>
      <c r="Y996" s="8"/>
      <c r="Z996" s="8"/>
      <c r="AA996" s="8"/>
    </row>
    <row r="997" spans="1:27" ht="15">
      <c r="A997" s="15"/>
      <c r="B997" s="36"/>
      <c r="C997" s="15"/>
      <c r="D997" s="37"/>
      <c r="E997" s="15"/>
      <c r="F997" s="15"/>
      <c r="G997" s="15"/>
      <c r="H997" s="15"/>
      <c r="I997" s="15"/>
      <c r="J997" s="39"/>
      <c r="K997" s="40"/>
      <c r="L997" s="8"/>
      <c r="M997" s="8"/>
      <c r="N997" s="8"/>
      <c r="O997" s="8"/>
      <c r="P997" s="8"/>
      <c r="Q997" s="8"/>
      <c r="R997" s="8"/>
      <c r="S997" s="8"/>
      <c r="T997" s="8"/>
      <c r="U997" s="8"/>
      <c r="V997" s="8"/>
      <c r="W997" s="8"/>
      <c r="X997" s="8"/>
      <c r="Y997" s="8"/>
      <c r="Z997" s="8"/>
      <c r="AA997" s="8"/>
    </row>
    <row r="998" spans="1:27" ht="15">
      <c r="A998" s="15"/>
      <c r="B998" s="36"/>
      <c r="C998" s="15"/>
      <c r="D998" s="37"/>
      <c r="E998" s="15"/>
      <c r="F998" s="15"/>
      <c r="G998" s="15"/>
      <c r="H998" s="15"/>
      <c r="I998" s="15"/>
      <c r="J998" s="39"/>
      <c r="K998" s="40"/>
      <c r="L998" s="8"/>
      <c r="M998" s="8"/>
      <c r="N998" s="8"/>
      <c r="O998" s="8"/>
      <c r="P998" s="8"/>
      <c r="Q998" s="8"/>
      <c r="R998" s="8"/>
      <c r="S998" s="8"/>
      <c r="T998" s="8"/>
      <c r="U998" s="8"/>
      <c r="V998" s="8"/>
      <c r="W998" s="8"/>
      <c r="X998" s="8"/>
      <c r="Y998" s="8"/>
      <c r="Z998" s="8"/>
      <c r="AA998" s="8"/>
    </row>
    <row r="999" spans="1:27" ht="15">
      <c r="A999" s="15"/>
      <c r="B999" s="36"/>
      <c r="C999" s="15"/>
      <c r="D999" s="37"/>
      <c r="E999" s="15"/>
      <c r="F999" s="15"/>
      <c r="G999" s="15"/>
      <c r="H999" s="15"/>
      <c r="I999" s="15"/>
      <c r="J999" s="39"/>
      <c r="K999" s="40"/>
      <c r="L999" s="8"/>
      <c r="M999" s="8"/>
      <c r="N999" s="8"/>
      <c r="O999" s="8"/>
      <c r="P999" s="8"/>
      <c r="Q999" s="8"/>
      <c r="R999" s="8"/>
      <c r="S999" s="8"/>
      <c r="T999" s="8"/>
      <c r="U999" s="8"/>
      <c r="V999" s="8"/>
      <c r="W999" s="8"/>
      <c r="X999" s="8"/>
      <c r="Y999" s="8"/>
      <c r="Z999" s="8"/>
      <c r="AA999" s="8"/>
    </row>
    <row r="1000" spans="1:27" ht="15">
      <c r="A1000" s="15"/>
      <c r="B1000" s="36"/>
      <c r="C1000" s="15"/>
      <c r="D1000" s="37"/>
      <c r="E1000" s="15"/>
      <c r="F1000" s="15"/>
      <c r="G1000" s="15"/>
      <c r="H1000" s="15"/>
      <c r="I1000" s="15"/>
      <c r="J1000" s="39"/>
      <c r="K1000" s="40"/>
      <c r="L1000" s="8"/>
      <c r="M1000" s="8"/>
      <c r="N1000" s="8"/>
      <c r="O1000" s="8"/>
      <c r="P1000" s="8"/>
      <c r="Q1000" s="8"/>
      <c r="R1000" s="8"/>
      <c r="S1000" s="8"/>
      <c r="T1000" s="8"/>
      <c r="U1000" s="8"/>
      <c r="V1000" s="8"/>
      <c r="W1000" s="8"/>
      <c r="X1000" s="8"/>
      <c r="Y1000" s="8"/>
      <c r="Z1000" s="8"/>
      <c r="AA1000" s="8"/>
    </row>
    <row r="1001" spans="1:27" ht="15">
      <c r="A1001" s="15"/>
      <c r="B1001" s="36"/>
      <c r="C1001" s="15"/>
      <c r="D1001" s="37"/>
      <c r="E1001" s="15"/>
      <c r="F1001" s="15"/>
      <c r="G1001" s="15"/>
      <c r="H1001" s="15"/>
      <c r="I1001" s="15"/>
      <c r="J1001" s="39"/>
      <c r="K1001" s="40"/>
      <c r="L1001" s="8"/>
      <c r="M1001" s="8"/>
      <c r="N1001" s="8"/>
      <c r="O1001" s="8"/>
      <c r="P1001" s="8"/>
      <c r="Q1001" s="8"/>
      <c r="R1001" s="8"/>
      <c r="S1001" s="8"/>
      <c r="T1001" s="8"/>
      <c r="U1001" s="8"/>
      <c r="V1001" s="8"/>
      <c r="W1001" s="8"/>
      <c r="X1001" s="8"/>
      <c r="Y1001" s="8"/>
      <c r="Z1001" s="8"/>
      <c r="AA1001" s="8"/>
    </row>
    <row r="1002" spans="1:27" ht="15">
      <c r="A1002" s="15"/>
      <c r="B1002" s="36"/>
      <c r="C1002" s="15"/>
      <c r="D1002" s="37"/>
      <c r="E1002" s="15"/>
      <c r="F1002" s="15"/>
      <c r="G1002" s="15"/>
      <c r="H1002" s="15"/>
      <c r="I1002" s="15"/>
      <c r="J1002" s="39"/>
      <c r="K1002" s="40"/>
      <c r="L1002" s="8"/>
      <c r="M1002" s="8"/>
      <c r="N1002" s="8"/>
      <c r="O1002" s="8"/>
      <c r="P1002" s="8"/>
      <c r="Q1002" s="8"/>
      <c r="R1002" s="8"/>
      <c r="S1002" s="8"/>
      <c r="T1002" s="8"/>
      <c r="U1002" s="8"/>
      <c r="V1002" s="8"/>
      <c r="W1002" s="8"/>
      <c r="X1002" s="8"/>
      <c r="Y1002" s="8"/>
      <c r="Z1002" s="8"/>
      <c r="AA1002" s="8"/>
    </row>
    <row r="1003" spans="1:27" ht="15">
      <c r="A1003" s="15"/>
      <c r="B1003" s="36"/>
      <c r="C1003" s="15"/>
      <c r="D1003" s="37"/>
      <c r="E1003" s="15"/>
      <c r="F1003" s="15"/>
      <c r="G1003" s="15"/>
      <c r="H1003" s="15"/>
      <c r="I1003" s="15"/>
      <c r="J1003" s="39"/>
      <c r="K1003" s="40"/>
      <c r="L1003" s="8"/>
      <c r="M1003" s="8"/>
      <c r="N1003" s="8"/>
      <c r="O1003" s="8"/>
      <c r="P1003" s="8"/>
      <c r="Q1003" s="8"/>
      <c r="R1003" s="8"/>
      <c r="S1003" s="8"/>
      <c r="T1003" s="8"/>
      <c r="U1003" s="8"/>
      <c r="V1003" s="8"/>
      <c r="W1003" s="8"/>
      <c r="X1003" s="8"/>
      <c r="Y1003" s="8"/>
      <c r="Z1003" s="8"/>
      <c r="AA1003" s="8"/>
    </row>
    <row r="1004" spans="1:27" ht="15">
      <c r="A1004" s="15"/>
      <c r="B1004" s="36"/>
      <c r="C1004" s="15"/>
      <c r="D1004" s="37"/>
      <c r="E1004" s="15"/>
      <c r="F1004" s="15"/>
      <c r="G1004" s="15"/>
      <c r="H1004" s="15"/>
      <c r="I1004" s="15"/>
      <c r="J1004" s="39"/>
      <c r="K1004" s="40"/>
      <c r="L1004" s="8"/>
      <c r="M1004" s="8"/>
      <c r="N1004" s="8"/>
      <c r="O1004" s="8"/>
      <c r="P1004" s="8"/>
      <c r="Q1004" s="8"/>
      <c r="R1004" s="8"/>
      <c r="S1004" s="8"/>
      <c r="T1004" s="8"/>
      <c r="U1004" s="8"/>
      <c r="V1004" s="8"/>
      <c r="W1004" s="8"/>
      <c r="X1004" s="8"/>
      <c r="Y1004" s="8"/>
      <c r="Z1004" s="8"/>
      <c r="AA1004" s="8"/>
    </row>
    <row r="1005" spans="1:27" ht="15">
      <c r="A1005" s="15"/>
      <c r="B1005" s="36"/>
      <c r="C1005" s="15"/>
      <c r="D1005" s="37"/>
      <c r="E1005" s="15"/>
      <c r="F1005" s="15"/>
      <c r="G1005" s="15"/>
      <c r="H1005" s="15"/>
      <c r="I1005" s="15"/>
      <c r="J1005" s="39"/>
      <c r="K1005" s="40"/>
      <c r="L1005" s="8"/>
      <c r="M1005" s="8"/>
      <c r="N1005" s="8"/>
      <c r="O1005" s="8"/>
      <c r="P1005" s="8"/>
      <c r="Q1005" s="8"/>
      <c r="R1005" s="8"/>
      <c r="S1005" s="8"/>
      <c r="T1005" s="8"/>
      <c r="U1005" s="8"/>
      <c r="V1005" s="8"/>
      <c r="W1005" s="8"/>
      <c r="X1005" s="8"/>
      <c r="Y1005" s="8"/>
      <c r="Z1005" s="8"/>
      <c r="AA1005" s="8"/>
    </row>
    <row r="1006" spans="1:27" ht="15">
      <c r="A1006" s="15"/>
      <c r="B1006" s="36"/>
      <c r="C1006" s="15"/>
      <c r="D1006" s="37"/>
      <c r="E1006" s="15"/>
      <c r="F1006" s="15"/>
      <c r="G1006" s="15"/>
      <c r="H1006" s="15"/>
      <c r="I1006" s="15"/>
      <c r="J1006" s="39"/>
      <c r="K1006" s="40"/>
      <c r="L1006" s="8"/>
      <c r="M1006" s="8"/>
      <c r="N1006" s="8"/>
      <c r="O1006" s="8"/>
      <c r="P1006" s="8"/>
      <c r="Q1006" s="8"/>
      <c r="R1006" s="8"/>
      <c r="S1006" s="8"/>
      <c r="T1006" s="8"/>
      <c r="U1006" s="8"/>
      <c r="V1006" s="8"/>
      <c r="W1006" s="8"/>
      <c r="X1006" s="8"/>
      <c r="Y1006" s="8"/>
      <c r="Z1006" s="8"/>
      <c r="AA1006" s="8"/>
    </row>
    <row r="1007" spans="1:27" ht="15">
      <c r="A1007" s="15"/>
      <c r="B1007" s="36"/>
      <c r="C1007" s="15"/>
      <c r="D1007" s="37"/>
      <c r="E1007" s="15"/>
      <c r="F1007" s="15"/>
      <c r="G1007" s="15"/>
      <c r="H1007" s="15"/>
      <c r="I1007" s="15"/>
      <c r="J1007" s="39"/>
      <c r="K1007" s="40"/>
      <c r="L1007" s="8"/>
      <c r="M1007" s="8"/>
      <c r="N1007" s="8"/>
      <c r="O1007" s="8"/>
      <c r="P1007" s="8"/>
      <c r="Q1007" s="8"/>
      <c r="R1007" s="8"/>
      <c r="S1007" s="8"/>
      <c r="T1007" s="8"/>
      <c r="U1007" s="8"/>
      <c r="V1007" s="8"/>
      <c r="W1007" s="8"/>
      <c r="X1007" s="8"/>
      <c r="Y1007" s="8"/>
      <c r="Z1007" s="8"/>
      <c r="AA1007" s="8"/>
    </row>
    <row r="1008" spans="1:27" ht="15">
      <c r="A1008" s="15"/>
      <c r="B1008" s="36"/>
      <c r="C1008" s="15"/>
      <c r="D1008" s="37"/>
      <c r="E1008" s="15"/>
      <c r="F1008" s="15"/>
      <c r="G1008" s="15"/>
      <c r="H1008" s="15"/>
      <c r="I1008" s="15"/>
      <c r="J1008" s="39"/>
      <c r="K1008" s="40"/>
      <c r="L1008" s="8"/>
      <c r="M1008" s="8"/>
      <c r="N1008" s="8"/>
      <c r="O1008" s="8"/>
      <c r="P1008" s="8"/>
      <c r="Q1008" s="8"/>
      <c r="R1008" s="8"/>
      <c r="S1008" s="8"/>
      <c r="T1008" s="8"/>
      <c r="U1008" s="8"/>
      <c r="V1008" s="8"/>
      <c r="W1008" s="8"/>
      <c r="X1008" s="8"/>
      <c r="Y1008" s="8"/>
      <c r="Z1008" s="8"/>
      <c r="AA1008" s="8"/>
    </row>
    <row r="1009" spans="1:27" ht="15">
      <c r="A1009" s="15"/>
      <c r="B1009" s="36"/>
      <c r="C1009" s="15"/>
      <c r="D1009" s="37"/>
      <c r="E1009" s="15"/>
      <c r="F1009" s="15"/>
      <c r="G1009" s="15"/>
      <c r="H1009" s="15"/>
      <c r="I1009" s="15"/>
      <c r="J1009" s="39"/>
      <c r="K1009" s="40"/>
      <c r="L1009" s="8"/>
      <c r="M1009" s="8"/>
      <c r="N1009" s="8"/>
      <c r="O1009" s="8"/>
      <c r="P1009" s="8"/>
      <c r="Q1009" s="8"/>
      <c r="R1009" s="8"/>
      <c r="S1009" s="8"/>
      <c r="T1009" s="8"/>
      <c r="U1009" s="8"/>
      <c r="V1009" s="8"/>
      <c r="W1009" s="8"/>
      <c r="X1009" s="8"/>
      <c r="Y1009" s="8"/>
      <c r="Z1009" s="8"/>
      <c r="AA1009" s="8"/>
    </row>
    <row r="1010" spans="1:27" ht="15">
      <c r="A1010" s="15"/>
      <c r="B1010" s="36"/>
      <c r="C1010" s="15"/>
      <c r="D1010" s="37"/>
      <c r="E1010" s="15"/>
      <c r="F1010" s="15"/>
      <c r="G1010" s="15"/>
      <c r="H1010" s="15"/>
      <c r="I1010" s="15"/>
      <c r="J1010" s="39"/>
      <c r="K1010" s="40"/>
      <c r="L1010" s="8"/>
      <c r="M1010" s="8"/>
      <c r="N1010" s="8"/>
      <c r="O1010" s="8"/>
      <c r="P1010" s="8"/>
      <c r="Q1010" s="8"/>
      <c r="R1010" s="8"/>
      <c r="S1010" s="8"/>
      <c r="T1010" s="8"/>
      <c r="U1010" s="8"/>
      <c r="V1010" s="8"/>
      <c r="W1010" s="8"/>
      <c r="X1010" s="8"/>
      <c r="Y1010" s="8"/>
      <c r="Z1010" s="8"/>
      <c r="AA1010" s="8"/>
    </row>
    <row r="1011" spans="1:27" ht="15">
      <c r="A1011" s="15"/>
      <c r="B1011" s="36"/>
      <c r="C1011" s="15"/>
      <c r="D1011" s="37"/>
      <c r="E1011" s="15"/>
      <c r="F1011" s="15"/>
      <c r="G1011" s="15"/>
      <c r="H1011" s="15"/>
      <c r="I1011" s="15"/>
      <c r="J1011" s="39"/>
      <c r="K1011" s="40"/>
      <c r="L1011" s="8"/>
      <c r="M1011" s="8"/>
      <c r="N1011" s="8"/>
      <c r="O1011" s="8"/>
      <c r="P1011" s="8"/>
      <c r="Q1011" s="8"/>
      <c r="R1011" s="8"/>
      <c r="S1011" s="8"/>
      <c r="T1011" s="8"/>
      <c r="U1011" s="8"/>
      <c r="V1011" s="8"/>
      <c r="W1011" s="8"/>
      <c r="X1011" s="8"/>
      <c r="Y1011" s="8"/>
      <c r="Z1011" s="8"/>
      <c r="AA1011" s="8"/>
    </row>
    <row r="1012" spans="1:27" ht="15">
      <c r="A1012" s="15"/>
      <c r="B1012" s="36"/>
      <c r="C1012" s="15"/>
      <c r="D1012" s="37"/>
      <c r="E1012" s="15"/>
      <c r="F1012" s="15"/>
      <c r="G1012" s="15"/>
      <c r="H1012" s="15"/>
      <c r="I1012" s="15"/>
      <c r="J1012" s="39"/>
      <c r="K1012" s="40"/>
      <c r="L1012" s="8"/>
      <c r="M1012" s="8"/>
      <c r="N1012" s="8"/>
      <c r="O1012" s="8"/>
      <c r="P1012" s="8"/>
      <c r="Q1012" s="8"/>
      <c r="R1012" s="8"/>
      <c r="S1012" s="8"/>
      <c r="T1012" s="8"/>
      <c r="U1012" s="8"/>
      <c r="V1012" s="8"/>
      <c r="W1012" s="8"/>
      <c r="X1012" s="8"/>
      <c r="Y1012" s="8"/>
      <c r="Z1012" s="8"/>
      <c r="AA1012" s="8"/>
    </row>
    <row r="1013" spans="1:27" ht="15">
      <c r="A1013" s="15"/>
      <c r="B1013" s="36"/>
      <c r="C1013" s="15"/>
      <c r="D1013" s="37"/>
      <c r="E1013" s="15"/>
      <c r="F1013" s="15"/>
      <c r="G1013" s="15"/>
      <c r="H1013" s="15"/>
      <c r="I1013" s="15"/>
      <c r="J1013" s="39"/>
      <c r="K1013" s="40"/>
      <c r="L1013" s="8"/>
      <c r="M1013" s="8"/>
      <c r="N1013" s="8"/>
      <c r="O1013" s="8"/>
      <c r="P1013" s="8"/>
      <c r="Q1013" s="8"/>
      <c r="R1013" s="8"/>
      <c r="S1013" s="8"/>
      <c r="T1013" s="8"/>
      <c r="U1013" s="8"/>
      <c r="V1013" s="8"/>
      <c r="W1013" s="8"/>
      <c r="X1013" s="8"/>
      <c r="Y1013" s="8"/>
      <c r="Z1013" s="8"/>
      <c r="AA1013" s="8"/>
    </row>
    <row r="1014" spans="1:27" ht="15">
      <c r="A1014" s="15"/>
      <c r="B1014" s="36"/>
      <c r="C1014" s="15"/>
      <c r="D1014" s="37"/>
      <c r="E1014" s="15"/>
      <c r="F1014" s="15"/>
      <c r="G1014" s="15"/>
      <c r="H1014" s="15"/>
      <c r="I1014" s="15"/>
      <c r="J1014" s="39"/>
      <c r="K1014" s="40"/>
      <c r="L1014" s="8"/>
      <c r="M1014" s="8"/>
      <c r="N1014" s="8"/>
      <c r="O1014" s="8"/>
      <c r="P1014" s="8"/>
      <c r="Q1014" s="8"/>
      <c r="R1014" s="8"/>
      <c r="S1014" s="8"/>
      <c r="T1014" s="8"/>
      <c r="U1014" s="8"/>
      <c r="V1014" s="8"/>
      <c r="W1014" s="8"/>
      <c r="X1014" s="8"/>
      <c r="Y1014" s="8"/>
      <c r="Z1014" s="8"/>
      <c r="AA1014" s="8"/>
    </row>
    <row r="1015" spans="1:27" ht="15">
      <c r="A1015" s="15"/>
      <c r="B1015" s="36"/>
      <c r="C1015" s="15"/>
      <c r="D1015" s="37"/>
      <c r="E1015" s="15"/>
      <c r="F1015" s="15"/>
      <c r="G1015" s="15"/>
      <c r="H1015" s="15"/>
      <c r="I1015" s="15"/>
      <c r="J1015" s="39"/>
      <c r="K1015" s="40"/>
      <c r="L1015" s="8"/>
      <c r="M1015" s="8"/>
      <c r="N1015" s="8"/>
      <c r="O1015" s="8"/>
      <c r="P1015" s="8"/>
      <c r="Q1015" s="8"/>
      <c r="R1015" s="8"/>
      <c r="S1015" s="8"/>
      <c r="T1015" s="8"/>
      <c r="U1015" s="8"/>
      <c r="V1015" s="8"/>
      <c r="W1015" s="8"/>
      <c r="X1015" s="8"/>
      <c r="Y1015" s="8"/>
      <c r="Z1015" s="8"/>
      <c r="AA1015" s="8"/>
    </row>
    <row r="1016" spans="1:27" ht="15">
      <c r="A1016" s="15"/>
      <c r="B1016" s="36"/>
      <c r="C1016" s="15"/>
      <c r="D1016" s="37"/>
      <c r="E1016" s="15"/>
      <c r="F1016" s="15"/>
      <c r="G1016" s="15"/>
      <c r="H1016" s="15"/>
      <c r="I1016" s="15"/>
      <c r="J1016" s="39"/>
      <c r="K1016" s="40"/>
      <c r="L1016" s="8"/>
      <c r="M1016" s="8"/>
      <c r="N1016" s="8"/>
      <c r="O1016" s="8"/>
      <c r="P1016" s="8"/>
      <c r="Q1016" s="8"/>
      <c r="R1016" s="8"/>
      <c r="S1016" s="8"/>
      <c r="T1016" s="8"/>
      <c r="U1016" s="8"/>
      <c r="V1016" s="8"/>
      <c r="W1016" s="8"/>
      <c r="X1016" s="8"/>
      <c r="Y1016" s="8"/>
      <c r="Z1016" s="8"/>
      <c r="AA1016" s="8"/>
    </row>
    <row r="1017" spans="1:27" ht="15">
      <c r="A1017" s="15"/>
      <c r="B1017" s="36"/>
      <c r="C1017" s="15"/>
      <c r="D1017" s="37"/>
      <c r="E1017" s="15"/>
      <c r="F1017" s="15"/>
      <c r="G1017" s="15"/>
      <c r="H1017" s="15"/>
      <c r="I1017" s="15"/>
      <c r="J1017" s="39"/>
      <c r="K1017" s="40"/>
      <c r="L1017" s="8"/>
      <c r="M1017" s="8"/>
      <c r="N1017" s="8"/>
      <c r="O1017" s="8"/>
      <c r="P1017" s="8"/>
      <c r="Q1017" s="8"/>
      <c r="R1017" s="8"/>
      <c r="S1017" s="8"/>
      <c r="T1017" s="8"/>
      <c r="U1017" s="8"/>
      <c r="V1017" s="8"/>
      <c r="W1017" s="8"/>
      <c r="X1017" s="8"/>
      <c r="Y1017" s="8"/>
      <c r="Z1017" s="8"/>
      <c r="AA1017" s="8"/>
    </row>
    <row r="1018" spans="1:27" ht="15">
      <c r="A1018" s="15"/>
      <c r="B1018" s="36"/>
      <c r="C1018" s="15"/>
      <c r="D1018" s="37"/>
      <c r="E1018" s="15"/>
      <c r="F1018" s="15"/>
      <c r="G1018" s="15"/>
      <c r="H1018" s="15"/>
      <c r="I1018" s="15"/>
      <c r="J1018" s="39"/>
      <c r="K1018" s="40"/>
      <c r="L1018" s="8"/>
      <c r="M1018" s="8"/>
      <c r="N1018" s="8"/>
      <c r="O1018" s="8"/>
      <c r="P1018" s="8"/>
      <c r="Q1018" s="8"/>
      <c r="R1018" s="8"/>
      <c r="S1018" s="8"/>
      <c r="T1018" s="8"/>
      <c r="U1018" s="8"/>
      <c r="V1018" s="8"/>
      <c r="W1018" s="8"/>
      <c r="X1018" s="8"/>
      <c r="Y1018" s="8"/>
      <c r="Z1018" s="8"/>
      <c r="AA1018" s="8"/>
    </row>
    <row r="1019" spans="1:27" ht="15">
      <c r="A1019" s="15"/>
      <c r="B1019" s="36"/>
      <c r="C1019" s="15"/>
      <c r="D1019" s="37"/>
      <c r="E1019" s="15"/>
      <c r="F1019" s="15"/>
      <c r="G1019" s="15"/>
      <c r="H1019" s="15"/>
      <c r="I1019" s="15"/>
      <c r="J1019" s="39"/>
      <c r="K1019" s="40"/>
      <c r="L1019" s="8"/>
      <c r="M1019" s="8"/>
      <c r="N1019" s="8"/>
      <c r="O1019" s="8"/>
      <c r="P1019" s="8"/>
      <c r="Q1019" s="8"/>
      <c r="R1019" s="8"/>
      <c r="S1019" s="8"/>
      <c r="T1019" s="8"/>
      <c r="U1019" s="8"/>
      <c r="V1019" s="8"/>
      <c r="W1019" s="8"/>
      <c r="X1019" s="8"/>
      <c r="Y1019" s="8"/>
      <c r="Z1019" s="8"/>
      <c r="AA1019" s="8"/>
    </row>
    <row r="1020" spans="1:27" ht="15">
      <c r="A1020" s="15"/>
      <c r="B1020" s="36"/>
      <c r="C1020" s="15"/>
      <c r="D1020" s="37"/>
      <c r="E1020" s="15"/>
      <c r="F1020" s="15"/>
      <c r="G1020" s="15"/>
      <c r="H1020" s="15"/>
      <c r="I1020" s="15"/>
      <c r="J1020" s="39"/>
      <c r="K1020" s="40"/>
      <c r="L1020" s="8"/>
      <c r="M1020" s="8"/>
      <c r="N1020" s="8"/>
      <c r="O1020" s="8"/>
      <c r="P1020" s="8"/>
      <c r="Q1020" s="8"/>
      <c r="R1020" s="8"/>
      <c r="S1020" s="8"/>
      <c r="T1020" s="8"/>
      <c r="U1020" s="8"/>
      <c r="V1020" s="8"/>
      <c r="W1020" s="8"/>
      <c r="X1020" s="8"/>
      <c r="Y1020" s="8"/>
      <c r="Z1020" s="8"/>
      <c r="AA1020" s="8"/>
    </row>
    <row r="1021" spans="1:27" ht="15">
      <c r="A1021" s="15"/>
      <c r="B1021" s="36"/>
      <c r="C1021" s="15"/>
      <c r="D1021" s="37"/>
      <c r="E1021" s="15"/>
      <c r="F1021" s="15"/>
      <c r="G1021" s="15"/>
      <c r="H1021" s="15"/>
      <c r="I1021" s="15"/>
      <c r="J1021" s="39"/>
      <c r="K1021" s="40"/>
      <c r="L1021" s="8"/>
      <c r="M1021" s="8"/>
      <c r="N1021" s="8"/>
      <c r="O1021" s="8"/>
      <c r="P1021" s="8"/>
      <c r="Q1021" s="8"/>
      <c r="R1021" s="8"/>
      <c r="S1021" s="8"/>
      <c r="T1021" s="8"/>
      <c r="U1021" s="8"/>
      <c r="V1021" s="8"/>
      <c r="W1021" s="8"/>
      <c r="X1021" s="8"/>
      <c r="Y1021" s="8"/>
      <c r="Z1021" s="8"/>
      <c r="AA1021" s="8"/>
    </row>
    <row r="1022" spans="1:27" ht="15">
      <c r="A1022" s="15"/>
      <c r="B1022" s="36"/>
      <c r="C1022" s="15"/>
      <c r="D1022" s="37"/>
      <c r="E1022" s="15"/>
      <c r="F1022" s="15"/>
      <c r="G1022" s="15"/>
      <c r="H1022" s="15"/>
      <c r="I1022" s="15"/>
      <c r="J1022" s="39"/>
      <c r="K1022" s="40"/>
      <c r="L1022" s="8"/>
      <c r="M1022" s="8"/>
      <c r="N1022" s="8"/>
      <c r="O1022" s="8"/>
      <c r="P1022" s="8"/>
      <c r="Q1022" s="8"/>
      <c r="R1022" s="8"/>
      <c r="S1022" s="8"/>
      <c r="T1022" s="8"/>
      <c r="U1022" s="8"/>
      <c r="V1022" s="8"/>
      <c r="W1022" s="8"/>
      <c r="X1022" s="8"/>
      <c r="Y1022" s="8"/>
      <c r="Z1022" s="8"/>
      <c r="AA1022" s="8"/>
    </row>
    <row r="1023" spans="1:27" ht="15">
      <c r="A1023" s="15"/>
      <c r="B1023" s="36"/>
      <c r="C1023" s="15"/>
      <c r="D1023" s="37"/>
      <c r="E1023" s="15"/>
      <c r="F1023" s="15"/>
      <c r="G1023" s="15"/>
      <c r="H1023" s="15"/>
      <c r="I1023" s="15"/>
      <c r="J1023" s="39"/>
      <c r="K1023" s="40"/>
      <c r="L1023" s="8"/>
      <c r="M1023" s="8"/>
      <c r="N1023" s="8"/>
      <c r="O1023" s="8"/>
      <c r="P1023" s="8"/>
      <c r="Q1023" s="8"/>
      <c r="R1023" s="8"/>
      <c r="S1023" s="8"/>
      <c r="T1023" s="8"/>
      <c r="U1023" s="8"/>
      <c r="V1023" s="8"/>
      <c r="W1023" s="8"/>
      <c r="X1023" s="8"/>
      <c r="Y1023" s="8"/>
      <c r="Z1023" s="8"/>
      <c r="AA1023" s="8"/>
    </row>
    <row r="1024" spans="1:27" ht="15">
      <c r="A1024" s="15"/>
      <c r="B1024" s="36"/>
      <c r="C1024" s="15"/>
      <c r="D1024" s="37"/>
      <c r="E1024" s="15"/>
      <c r="F1024" s="15"/>
      <c r="G1024" s="15"/>
      <c r="H1024" s="15"/>
      <c r="I1024" s="15"/>
      <c r="J1024" s="39"/>
      <c r="K1024" s="40"/>
      <c r="L1024" s="8"/>
      <c r="M1024" s="8"/>
      <c r="N1024" s="8"/>
      <c r="O1024" s="8"/>
      <c r="P1024" s="8"/>
      <c r="Q1024" s="8"/>
      <c r="R1024" s="8"/>
      <c r="S1024" s="8"/>
      <c r="T1024" s="8"/>
      <c r="U1024" s="8"/>
      <c r="V1024" s="8"/>
      <c r="W1024" s="8"/>
      <c r="X1024" s="8"/>
      <c r="Y1024" s="8"/>
      <c r="Z1024" s="8"/>
      <c r="AA1024" s="8"/>
    </row>
    <row r="1025" spans="1:27" ht="15">
      <c r="A1025" s="15"/>
      <c r="B1025" s="36"/>
      <c r="C1025" s="15"/>
      <c r="D1025" s="37"/>
      <c r="E1025" s="15"/>
      <c r="F1025" s="15"/>
      <c r="G1025" s="15"/>
      <c r="H1025" s="15"/>
      <c r="I1025" s="15"/>
      <c r="J1025" s="39"/>
      <c r="K1025" s="40"/>
      <c r="L1025" s="8"/>
      <c r="M1025" s="8"/>
      <c r="N1025" s="8"/>
      <c r="O1025" s="8"/>
      <c r="P1025" s="8"/>
      <c r="Q1025" s="8"/>
      <c r="R1025" s="8"/>
      <c r="S1025" s="8"/>
      <c r="T1025" s="8"/>
      <c r="U1025" s="8"/>
      <c r="V1025" s="8"/>
      <c r="W1025" s="8"/>
      <c r="X1025" s="8"/>
      <c r="Y1025" s="8"/>
      <c r="Z1025" s="8"/>
      <c r="AA1025" s="8"/>
    </row>
    <row r="1026" spans="1:27" ht="15">
      <c r="A1026" s="15"/>
      <c r="B1026" s="36"/>
      <c r="C1026" s="15"/>
      <c r="D1026" s="37"/>
      <c r="E1026" s="15"/>
      <c r="F1026" s="15"/>
      <c r="G1026" s="15"/>
      <c r="H1026" s="15"/>
      <c r="I1026" s="15"/>
      <c r="J1026" s="39"/>
      <c r="K1026" s="40"/>
      <c r="L1026" s="8"/>
      <c r="M1026" s="8"/>
      <c r="N1026" s="8"/>
      <c r="O1026" s="8"/>
      <c r="P1026" s="8"/>
      <c r="Q1026" s="8"/>
      <c r="R1026" s="8"/>
      <c r="S1026" s="8"/>
      <c r="T1026" s="8"/>
      <c r="U1026" s="8"/>
      <c r="V1026" s="8"/>
      <c r="W1026" s="8"/>
      <c r="X1026" s="8"/>
      <c r="Y1026" s="8"/>
      <c r="Z1026" s="8"/>
      <c r="AA1026" s="8"/>
    </row>
    <row r="1027" spans="1:27" ht="15">
      <c r="A1027" s="15"/>
      <c r="B1027" s="36"/>
      <c r="C1027" s="15"/>
      <c r="D1027" s="37"/>
      <c r="E1027" s="15"/>
      <c r="F1027" s="15"/>
      <c r="G1027" s="15"/>
      <c r="H1027" s="15"/>
      <c r="I1027" s="15"/>
      <c r="J1027" s="39"/>
      <c r="K1027" s="40"/>
      <c r="L1027" s="8"/>
      <c r="M1027" s="8"/>
      <c r="N1027" s="8"/>
      <c r="O1027" s="8"/>
      <c r="P1027" s="8"/>
      <c r="Q1027" s="8"/>
      <c r="R1027" s="8"/>
      <c r="S1027" s="8"/>
      <c r="T1027" s="8"/>
      <c r="U1027" s="8"/>
      <c r="V1027" s="8"/>
      <c r="W1027" s="8"/>
      <c r="X1027" s="8"/>
      <c r="Y1027" s="8"/>
      <c r="Z1027" s="8"/>
      <c r="AA1027" s="8"/>
    </row>
    <row r="1028" spans="1:27" ht="15">
      <c r="A1028" s="15"/>
      <c r="B1028" s="36"/>
      <c r="C1028" s="15"/>
      <c r="D1028" s="37"/>
      <c r="E1028" s="15"/>
      <c r="F1028" s="15"/>
      <c r="G1028" s="15"/>
      <c r="H1028" s="15"/>
      <c r="I1028" s="15"/>
      <c r="J1028" s="39"/>
      <c r="K1028" s="40"/>
      <c r="L1028" s="8"/>
      <c r="M1028" s="8"/>
      <c r="N1028" s="8"/>
      <c r="O1028" s="8"/>
      <c r="P1028" s="8"/>
      <c r="Q1028" s="8"/>
      <c r="R1028" s="8"/>
      <c r="S1028" s="8"/>
      <c r="T1028" s="8"/>
      <c r="U1028" s="8"/>
      <c r="V1028" s="8"/>
      <c r="W1028" s="8"/>
      <c r="X1028" s="8"/>
      <c r="Y1028" s="8"/>
      <c r="Z1028" s="8"/>
      <c r="AA1028" s="8"/>
    </row>
    <row r="1029" spans="1:27" ht="15">
      <c r="A1029" s="15"/>
      <c r="B1029" s="36"/>
      <c r="C1029" s="15"/>
      <c r="D1029" s="37"/>
      <c r="E1029" s="15"/>
      <c r="F1029" s="15"/>
      <c r="G1029" s="15"/>
      <c r="H1029" s="15"/>
      <c r="I1029" s="15"/>
      <c r="J1029" s="39"/>
      <c r="K1029" s="40"/>
      <c r="L1029" s="8"/>
      <c r="M1029" s="8"/>
      <c r="N1029" s="8"/>
      <c r="O1029" s="8"/>
      <c r="P1029" s="8"/>
      <c r="Q1029" s="8"/>
      <c r="R1029" s="8"/>
      <c r="S1029" s="8"/>
      <c r="T1029" s="8"/>
      <c r="U1029" s="8"/>
      <c r="V1029" s="8"/>
      <c r="W1029" s="8"/>
      <c r="X1029" s="8"/>
      <c r="Y1029" s="8"/>
      <c r="Z1029" s="8"/>
      <c r="AA1029" s="8"/>
    </row>
    <row r="1030" spans="1:27" ht="15">
      <c r="A1030" s="15"/>
      <c r="B1030" s="36"/>
      <c r="C1030" s="15"/>
      <c r="D1030" s="37"/>
      <c r="E1030" s="15"/>
      <c r="F1030" s="15"/>
      <c r="G1030" s="15"/>
      <c r="H1030" s="15"/>
      <c r="I1030" s="15"/>
      <c r="J1030" s="39"/>
      <c r="K1030" s="40"/>
      <c r="L1030" s="8"/>
      <c r="M1030" s="8"/>
      <c r="N1030" s="8"/>
      <c r="O1030" s="8"/>
      <c r="P1030" s="8"/>
      <c r="Q1030" s="8"/>
      <c r="R1030" s="8"/>
      <c r="S1030" s="8"/>
      <c r="T1030" s="8"/>
      <c r="U1030" s="8"/>
      <c r="V1030" s="8"/>
      <c r="W1030" s="8"/>
      <c r="X1030" s="8"/>
      <c r="Y1030" s="8"/>
      <c r="Z1030" s="8"/>
      <c r="AA1030" s="8"/>
    </row>
    <row r="1031" spans="1:27" ht="15">
      <c r="A1031" s="15"/>
      <c r="B1031" s="36"/>
      <c r="C1031" s="15"/>
      <c r="D1031" s="37"/>
      <c r="E1031" s="15"/>
      <c r="F1031" s="15"/>
      <c r="G1031" s="15"/>
      <c r="H1031" s="15"/>
      <c r="I1031" s="15"/>
      <c r="J1031" s="39"/>
      <c r="K1031" s="40"/>
      <c r="L1031" s="8"/>
      <c r="M1031" s="8"/>
      <c r="N1031" s="8"/>
      <c r="O1031" s="8"/>
      <c r="P1031" s="8"/>
      <c r="Q1031" s="8"/>
      <c r="R1031" s="8"/>
      <c r="S1031" s="8"/>
      <c r="T1031" s="8"/>
      <c r="U1031" s="8"/>
      <c r="V1031" s="8"/>
      <c r="W1031" s="8"/>
      <c r="X1031" s="8"/>
      <c r="Y1031" s="8"/>
      <c r="Z1031" s="8"/>
      <c r="AA1031" s="8"/>
    </row>
    <row r="1032" spans="1:27" ht="15">
      <c r="A1032" s="15"/>
      <c r="B1032" s="36"/>
      <c r="C1032" s="15"/>
      <c r="D1032" s="37"/>
      <c r="E1032" s="15"/>
      <c r="F1032" s="15"/>
      <c r="G1032" s="15"/>
      <c r="H1032" s="15"/>
      <c r="I1032" s="15"/>
      <c r="J1032" s="39"/>
      <c r="K1032" s="40"/>
      <c r="L1032" s="8"/>
      <c r="M1032" s="8"/>
      <c r="N1032" s="8"/>
      <c r="O1032" s="8"/>
      <c r="P1032" s="8"/>
      <c r="Q1032" s="8"/>
      <c r="R1032" s="8"/>
      <c r="S1032" s="8"/>
      <c r="T1032" s="8"/>
      <c r="U1032" s="8"/>
      <c r="V1032" s="8"/>
      <c r="W1032" s="8"/>
      <c r="X1032" s="8"/>
      <c r="Y1032" s="8"/>
      <c r="Z1032" s="8"/>
      <c r="AA1032" s="8"/>
    </row>
    <row r="1033" spans="1:27" ht="15">
      <c r="A1033" s="15"/>
      <c r="B1033" s="36"/>
      <c r="C1033" s="15"/>
      <c r="D1033" s="37"/>
      <c r="E1033" s="15"/>
      <c r="F1033" s="15"/>
      <c r="G1033" s="15"/>
      <c r="H1033" s="15"/>
      <c r="I1033" s="15"/>
      <c r="J1033" s="39"/>
      <c r="K1033" s="40"/>
      <c r="L1033" s="8"/>
      <c r="M1033" s="8"/>
      <c r="N1033" s="8"/>
      <c r="O1033" s="8"/>
      <c r="P1033" s="8"/>
      <c r="Q1033" s="8"/>
      <c r="R1033" s="8"/>
      <c r="S1033" s="8"/>
      <c r="T1033" s="8"/>
      <c r="U1033" s="8"/>
      <c r="V1033" s="8"/>
      <c r="W1033" s="8"/>
      <c r="X1033" s="8"/>
      <c r="Y1033" s="8"/>
      <c r="Z1033" s="8"/>
      <c r="AA1033" s="8"/>
    </row>
    <row r="1034" spans="1:27" ht="15">
      <c r="A1034" s="15"/>
      <c r="B1034" s="36"/>
      <c r="C1034" s="15"/>
      <c r="D1034" s="37"/>
      <c r="E1034" s="15"/>
      <c r="F1034" s="15"/>
      <c r="G1034" s="15"/>
      <c r="H1034" s="15"/>
      <c r="I1034" s="15"/>
      <c r="J1034" s="39"/>
      <c r="K1034" s="40"/>
      <c r="L1034" s="8"/>
      <c r="M1034" s="8"/>
      <c r="N1034" s="8"/>
      <c r="O1034" s="8"/>
      <c r="P1034" s="8"/>
      <c r="Q1034" s="8"/>
      <c r="R1034" s="8"/>
      <c r="S1034" s="8"/>
      <c r="T1034" s="8"/>
      <c r="U1034" s="8"/>
      <c r="V1034" s="8"/>
      <c r="W1034" s="8"/>
      <c r="X1034" s="8"/>
      <c r="Y1034" s="8"/>
      <c r="Z1034" s="8"/>
      <c r="AA1034" s="8"/>
    </row>
    <row r="1035" spans="1:27" ht="15">
      <c r="A1035" s="15"/>
      <c r="B1035" s="36"/>
      <c r="C1035" s="15"/>
      <c r="D1035" s="37"/>
      <c r="E1035" s="15"/>
      <c r="F1035" s="15"/>
      <c r="G1035" s="15"/>
      <c r="H1035" s="15"/>
      <c r="I1035" s="15"/>
      <c r="J1035" s="39"/>
      <c r="K1035" s="40"/>
      <c r="L1035" s="8"/>
      <c r="M1035" s="8"/>
      <c r="N1035" s="8"/>
      <c r="O1035" s="8"/>
      <c r="P1035" s="8"/>
      <c r="Q1035" s="8"/>
      <c r="R1035" s="8"/>
      <c r="S1035" s="8"/>
      <c r="T1035" s="8"/>
      <c r="U1035" s="8"/>
      <c r="V1035" s="8"/>
      <c r="W1035" s="8"/>
      <c r="X1035" s="8"/>
      <c r="Y1035" s="8"/>
      <c r="Z1035" s="8"/>
      <c r="AA1035" s="8"/>
    </row>
    <row r="1036" spans="1:27" ht="15">
      <c r="A1036" s="15"/>
      <c r="B1036" s="36"/>
      <c r="C1036" s="15"/>
      <c r="D1036" s="37"/>
      <c r="E1036" s="15"/>
      <c r="F1036" s="15"/>
      <c r="G1036" s="15"/>
      <c r="H1036" s="15"/>
      <c r="I1036" s="15"/>
      <c r="J1036" s="39"/>
      <c r="K1036" s="40"/>
      <c r="L1036" s="8"/>
      <c r="M1036" s="8"/>
      <c r="N1036" s="8"/>
      <c r="O1036" s="8"/>
      <c r="P1036" s="8"/>
      <c r="Q1036" s="8"/>
      <c r="R1036" s="8"/>
      <c r="S1036" s="8"/>
      <c r="T1036" s="8"/>
      <c r="U1036" s="8"/>
      <c r="V1036" s="8"/>
      <c r="W1036" s="8"/>
      <c r="X1036" s="8"/>
      <c r="Y1036" s="8"/>
      <c r="Z1036" s="8"/>
      <c r="AA1036" s="8"/>
    </row>
    <row r="1037" spans="1:27" ht="15">
      <c r="A1037" s="15"/>
      <c r="B1037" s="36"/>
      <c r="C1037" s="15"/>
      <c r="D1037" s="37"/>
      <c r="E1037" s="15"/>
      <c r="F1037" s="15"/>
      <c r="G1037" s="15"/>
      <c r="H1037" s="15"/>
      <c r="I1037" s="15"/>
      <c r="J1037" s="39"/>
      <c r="K1037" s="40"/>
      <c r="L1037" s="8"/>
      <c r="M1037" s="8"/>
      <c r="N1037" s="8"/>
      <c r="O1037" s="8"/>
      <c r="P1037" s="8"/>
      <c r="Q1037" s="8"/>
      <c r="R1037" s="8"/>
      <c r="S1037" s="8"/>
      <c r="T1037" s="8"/>
      <c r="U1037" s="8"/>
      <c r="V1037" s="8"/>
      <c r="W1037" s="8"/>
      <c r="X1037" s="8"/>
      <c r="Y1037" s="8"/>
      <c r="Z1037" s="8"/>
      <c r="AA1037" s="8"/>
    </row>
    <row r="1038" spans="1:27" ht="15">
      <c r="A1038" s="15"/>
      <c r="B1038" s="36"/>
      <c r="C1038" s="15"/>
      <c r="D1038" s="37"/>
      <c r="E1038" s="15"/>
      <c r="F1038" s="15"/>
      <c r="G1038" s="15"/>
      <c r="H1038" s="15"/>
      <c r="I1038" s="15"/>
      <c r="J1038" s="39"/>
      <c r="K1038" s="40"/>
      <c r="L1038" s="8"/>
      <c r="M1038" s="8"/>
      <c r="N1038" s="8"/>
      <c r="O1038" s="8"/>
      <c r="P1038" s="8"/>
      <c r="Q1038" s="8"/>
      <c r="R1038" s="8"/>
      <c r="S1038" s="8"/>
      <c r="T1038" s="8"/>
      <c r="U1038" s="8"/>
      <c r="V1038" s="8"/>
      <c r="W1038" s="8"/>
      <c r="X1038" s="8"/>
      <c r="Y1038" s="8"/>
      <c r="Z1038" s="8"/>
      <c r="AA1038" s="8"/>
    </row>
    <row r="1039" spans="1:27" ht="15">
      <c r="A1039" s="15"/>
      <c r="B1039" s="36"/>
      <c r="C1039" s="15"/>
      <c r="D1039" s="37"/>
      <c r="E1039" s="15"/>
      <c r="F1039" s="15"/>
      <c r="G1039" s="15"/>
      <c r="H1039" s="15"/>
      <c r="I1039" s="15"/>
      <c r="J1039" s="39"/>
      <c r="K1039" s="40"/>
      <c r="L1039" s="8"/>
      <c r="M1039" s="8"/>
      <c r="N1039" s="8"/>
      <c r="O1039" s="8"/>
      <c r="P1039" s="8"/>
      <c r="Q1039" s="8"/>
      <c r="R1039" s="8"/>
      <c r="S1039" s="8"/>
      <c r="T1039" s="8"/>
      <c r="U1039" s="8"/>
      <c r="V1039" s="8"/>
      <c r="W1039" s="8"/>
      <c r="X1039" s="8"/>
      <c r="Y1039" s="8"/>
      <c r="Z1039" s="8"/>
      <c r="AA1039" s="8"/>
    </row>
    <row r="1040" spans="1:27" ht="15">
      <c r="A1040" s="15"/>
      <c r="B1040" s="36"/>
      <c r="C1040" s="15"/>
      <c r="D1040" s="37"/>
      <c r="E1040" s="15"/>
      <c r="F1040" s="15"/>
      <c r="G1040" s="15"/>
      <c r="H1040" s="15"/>
      <c r="I1040" s="15"/>
      <c r="J1040" s="39"/>
      <c r="K1040" s="40"/>
      <c r="L1040" s="8"/>
      <c r="M1040" s="8"/>
      <c r="N1040" s="8"/>
      <c r="O1040" s="8"/>
      <c r="P1040" s="8"/>
      <c r="Q1040" s="8"/>
      <c r="R1040" s="8"/>
      <c r="S1040" s="8"/>
      <c r="T1040" s="8"/>
      <c r="U1040" s="8"/>
      <c r="V1040" s="8"/>
      <c r="W1040" s="8"/>
      <c r="X1040" s="8"/>
      <c r="Y1040" s="8"/>
      <c r="Z1040" s="8"/>
      <c r="AA1040" s="8"/>
    </row>
    <row r="1041" spans="1:27" ht="15">
      <c r="A1041" s="15"/>
      <c r="B1041" s="36"/>
      <c r="C1041" s="15"/>
      <c r="D1041" s="37"/>
      <c r="E1041" s="15"/>
      <c r="F1041" s="15"/>
      <c r="G1041" s="15"/>
      <c r="H1041" s="15"/>
      <c r="I1041" s="15"/>
      <c r="J1041" s="39"/>
      <c r="K1041" s="40"/>
      <c r="L1041" s="8"/>
      <c r="M1041" s="8"/>
      <c r="N1041" s="8"/>
      <c r="O1041" s="8"/>
      <c r="P1041" s="8"/>
      <c r="Q1041" s="8"/>
      <c r="R1041" s="8"/>
      <c r="S1041" s="8"/>
      <c r="T1041" s="8"/>
      <c r="U1041" s="8"/>
      <c r="V1041" s="8"/>
      <c r="W1041" s="8"/>
      <c r="X1041" s="8"/>
      <c r="Y1041" s="8"/>
      <c r="Z1041" s="8"/>
      <c r="AA1041" s="8"/>
    </row>
    <row r="1042" spans="1:27" ht="15">
      <c r="A1042" s="15"/>
      <c r="B1042" s="36"/>
      <c r="C1042" s="15"/>
      <c r="D1042" s="37"/>
      <c r="E1042" s="15"/>
      <c r="F1042" s="15"/>
      <c r="G1042" s="15"/>
      <c r="H1042" s="15"/>
      <c r="I1042" s="15"/>
      <c r="J1042" s="39"/>
      <c r="K1042" s="40"/>
      <c r="L1042" s="8"/>
      <c r="M1042" s="8"/>
      <c r="N1042" s="8"/>
      <c r="O1042" s="8"/>
      <c r="P1042" s="8"/>
      <c r="Q1042" s="8"/>
      <c r="R1042" s="8"/>
      <c r="S1042" s="8"/>
      <c r="T1042" s="8"/>
      <c r="U1042" s="8"/>
      <c r="V1042" s="8"/>
      <c r="W1042" s="8"/>
      <c r="X1042" s="8"/>
      <c r="Y1042" s="8"/>
      <c r="Z1042" s="8"/>
      <c r="AA1042" s="8"/>
    </row>
    <row r="1043" spans="1:27" ht="15">
      <c r="A1043" s="15"/>
      <c r="B1043" s="36"/>
      <c r="C1043" s="15"/>
      <c r="D1043" s="37"/>
      <c r="E1043" s="15"/>
      <c r="F1043" s="15"/>
      <c r="G1043" s="15"/>
      <c r="H1043" s="15"/>
      <c r="I1043" s="15"/>
      <c r="J1043" s="39"/>
      <c r="K1043" s="40"/>
      <c r="L1043" s="8"/>
      <c r="M1043" s="8"/>
      <c r="N1043" s="8"/>
      <c r="O1043" s="8"/>
      <c r="P1043" s="8"/>
      <c r="Q1043" s="8"/>
      <c r="R1043" s="8"/>
      <c r="S1043" s="8"/>
      <c r="T1043" s="8"/>
      <c r="U1043" s="8"/>
      <c r="V1043" s="8"/>
      <c r="W1043" s="8"/>
      <c r="X1043" s="8"/>
      <c r="Y1043" s="8"/>
      <c r="Z1043" s="8"/>
      <c r="AA1043" s="8"/>
    </row>
    <row r="1044" spans="1:27" ht="15">
      <c r="A1044" s="15"/>
      <c r="B1044" s="36"/>
      <c r="C1044" s="15"/>
      <c r="D1044" s="37"/>
      <c r="E1044" s="15"/>
      <c r="F1044" s="15"/>
      <c r="G1044" s="15"/>
      <c r="H1044" s="15"/>
      <c r="I1044" s="15"/>
      <c r="J1044" s="39"/>
      <c r="K1044" s="40"/>
      <c r="L1044" s="8"/>
      <c r="M1044" s="8"/>
      <c r="N1044" s="8"/>
      <c r="O1044" s="8"/>
      <c r="P1044" s="8"/>
      <c r="Q1044" s="8"/>
      <c r="R1044" s="8"/>
      <c r="S1044" s="8"/>
      <c r="T1044" s="8"/>
      <c r="U1044" s="8"/>
      <c r="V1044" s="8"/>
      <c r="W1044" s="8"/>
      <c r="X1044" s="8"/>
      <c r="Y1044" s="8"/>
      <c r="Z1044" s="8"/>
      <c r="AA1044" s="8"/>
    </row>
    <row r="1045" spans="1:27" ht="15">
      <c r="A1045" s="15"/>
      <c r="B1045" s="36"/>
      <c r="C1045" s="15"/>
      <c r="D1045" s="37"/>
      <c r="E1045" s="15"/>
      <c r="F1045" s="15"/>
      <c r="G1045" s="15"/>
      <c r="H1045" s="15"/>
      <c r="I1045" s="15"/>
      <c r="J1045" s="39"/>
      <c r="K1045" s="40"/>
      <c r="L1045" s="8"/>
      <c r="M1045" s="8"/>
      <c r="N1045" s="8"/>
      <c r="O1045" s="8"/>
      <c r="P1045" s="8"/>
      <c r="Q1045" s="8"/>
      <c r="R1045" s="8"/>
      <c r="S1045" s="8"/>
      <c r="T1045" s="8"/>
      <c r="U1045" s="8"/>
      <c r="V1045" s="8"/>
      <c r="W1045" s="8"/>
      <c r="X1045" s="8"/>
      <c r="Y1045" s="8"/>
      <c r="Z1045" s="8"/>
      <c r="AA1045" s="8"/>
    </row>
    <row r="1046" spans="1:27" ht="15">
      <c r="A1046" s="15"/>
      <c r="B1046" s="36"/>
      <c r="C1046" s="15"/>
      <c r="D1046" s="37"/>
      <c r="E1046" s="15"/>
      <c r="F1046" s="15"/>
      <c r="G1046" s="15"/>
      <c r="H1046" s="15"/>
      <c r="I1046" s="15"/>
      <c r="J1046" s="39"/>
      <c r="K1046" s="40"/>
      <c r="L1046" s="8"/>
      <c r="M1046" s="8"/>
      <c r="N1046" s="8"/>
      <c r="O1046" s="8"/>
      <c r="P1046" s="8"/>
      <c r="Q1046" s="8"/>
      <c r="R1046" s="8"/>
      <c r="S1046" s="8"/>
      <c r="T1046" s="8"/>
      <c r="U1046" s="8"/>
      <c r="V1046" s="8"/>
      <c r="W1046" s="8"/>
      <c r="X1046" s="8"/>
      <c r="Y1046" s="8"/>
      <c r="Z1046" s="8"/>
      <c r="AA1046" s="8"/>
    </row>
    <row r="1047" spans="1:27" ht="15">
      <c r="A1047" s="15"/>
      <c r="B1047" s="36"/>
      <c r="C1047" s="15"/>
      <c r="D1047" s="37"/>
      <c r="E1047" s="15"/>
      <c r="F1047" s="15"/>
      <c r="G1047" s="15"/>
      <c r="H1047" s="15"/>
      <c r="I1047" s="15"/>
      <c r="J1047" s="39"/>
      <c r="K1047" s="40"/>
      <c r="L1047" s="8"/>
      <c r="M1047" s="8"/>
      <c r="N1047" s="8"/>
      <c r="O1047" s="8"/>
      <c r="P1047" s="8"/>
      <c r="Q1047" s="8"/>
      <c r="R1047" s="8"/>
      <c r="S1047" s="8"/>
      <c r="T1047" s="8"/>
      <c r="U1047" s="8"/>
      <c r="V1047" s="8"/>
      <c r="W1047" s="8"/>
      <c r="X1047" s="8"/>
      <c r="Y1047" s="8"/>
      <c r="Z1047" s="8"/>
      <c r="AA1047" s="8"/>
    </row>
    <row r="1048" spans="1:27" ht="15">
      <c r="A1048" s="15"/>
      <c r="B1048" s="36"/>
      <c r="C1048" s="15"/>
      <c r="D1048" s="37"/>
      <c r="E1048" s="15"/>
      <c r="F1048" s="15"/>
      <c r="G1048" s="15"/>
      <c r="H1048" s="15"/>
      <c r="I1048" s="15"/>
      <c r="J1048" s="39"/>
      <c r="K1048" s="40"/>
      <c r="L1048" s="8"/>
      <c r="M1048" s="8"/>
      <c r="N1048" s="8"/>
      <c r="O1048" s="8"/>
      <c r="P1048" s="8"/>
      <c r="Q1048" s="8"/>
      <c r="R1048" s="8"/>
      <c r="S1048" s="8"/>
      <c r="T1048" s="8"/>
      <c r="U1048" s="8"/>
      <c r="V1048" s="8"/>
      <c r="W1048" s="8"/>
      <c r="X1048" s="8"/>
      <c r="Y1048" s="8"/>
      <c r="Z1048" s="8"/>
      <c r="AA1048" s="8"/>
    </row>
    <row r="1049" spans="1:27" ht="15">
      <c r="A1049" s="15"/>
      <c r="B1049" s="36"/>
      <c r="C1049" s="15"/>
      <c r="D1049" s="37"/>
      <c r="E1049" s="15"/>
      <c r="F1049" s="15"/>
      <c r="G1049" s="15"/>
      <c r="H1049" s="15"/>
      <c r="I1049" s="15"/>
      <c r="J1049" s="39"/>
      <c r="K1049" s="40"/>
      <c r="L1049" s="8"/>
      <c r="M1049" s="8"/>
      <c r="N1049" s="8"/>
      <c r="O1049" s="8"/>
      <c r="P1049" s="8"/>
      <c r="Q1049" s="8"/>
      <c r="R1049" s="8"/>
      <c r="S1049" s="8"/>
      <c r="T1049" s="8"/>
      <c r="U1049" s="8"/>
      <c r="V1049" s="8"/>
      <c r="W1049" s="8"/>
      <c r="X1049" s="8"/>
      <c r="Y1049" s="8"/>
      <c r="Z1049" s="8"/>
      <c r="AA1049" s="8"/>
    </row>
    <row r="1050" spans="1:27" ht="15">
      <c r="A1050" s="15"/>
      <c r="B1050" s="36"/>
      <c r="C1050" s="15"/>
      <c r="D1050" s="37"/>
      <c r="E1050" s="15"/>
      <c r="F1050" s="15"/>
      <c r="G1050" s="15"/>
      <c r="H1050" s="15"/>
      <c r="I1050" s="15"/>
      <c r="J1050" s="39"/>
      <c r="K1050" s="40"/>
      <c r="L1050" s="8"/>
      <c r="M1050" s="8"/>
      <c r="N1050" s="8"/>
      <c r="O1050" s="8"/>
      <c r="P1050" s="8"/>
      <c r="Q1050" s="8"/>
      <c r="R1050" s="8"/>
      <c r="S1050" s="8"/>
      <c r="T1050" s="8"/>
      <c r="U1050" s="8"/>
      <c r="V1050" s="8"/>
      <c r="W1050" s="8"/>
      <c r="X1050" s="8"/>
      <c r="Y1050" s="8"/>
      <c r="Z1050" s="8"/>
      <c r="AA1050" s="8"/>
    </row>
    <row r="1051" spans="1:27" ht="15">
      <c r="A1051" s="15"/>
      <c r="B1051" s="36"/>
      <c r="C1051" s="15"/>
      <c r="D1051" s="37"/>
      <c r="E1051" s="15"/>
      <c r="F1051" s="15"/>
      <c r="G1051" s="15"/>
      <c r="H1051" s="15"/>
      <c r="I1051" s="15"/>
      <c r="J1051" s="39"/>
      <c r="K1051" s="40"/>
      <c r="L1051" s="8"/>
      <c r="M1051" s="8"/>
      <c r="N1051" s="8"/>
      <c r="O1051" s="8"/>
      <c r="P1051" s="8"/>
      <c r="Q1051" s="8"/>
      <c r="R1051" s="8"/>
      <c r="S1051" s="8"/>
      <c r="T1051" s="8"/>
      <c r="U1051" s="8"/>
      <c r="V1051" s="8"/>
      <c r="W1051" s="8"/>
      <c r="X1051" s="8"/>
      <c r="Y1051" s="8"/>
      <c r="Z1051" s="8"/>
      <c r="AA1051" s="8"/>
    </row>
  </sheetData>
  <mergeCells count="18">
    <mergeCell ref="I11:I12"/>
    <mergeCell ref="J11:J12"/>
    <mergeCell ref="K11:K12"/>
    <mergeCell ref="I142:J142"/>
    <mergeCell ref="B11:B12"/>
    <mergeCell ref="C11:C12"/>
    <mergeCell ref="D11:D12"/>
    <mergeCell ref="E11:E12"/>
    <mergeCell ref="F11:F12"/>
    <mergeCell ref="G11:G12"/>
    <mergeCell ref="H11:H12"/>
    <mergeCell ref="B6:K6"/>
    <mergeCell ref="J8:K8"/>
    <mergeCell ref="B9:C10"/>
    <mergeCell ref="D9:I9"/>
    <mergeCell ref="J9:J10"/>
    <mergeCell ref="K9:K10"/>
    <mergeCell ref="D10:I10"/>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FF"/>
    <outlinePr summaryBelow="0" summaryRight="0"/>
  </sheetPr>
  <dimension ref="A1:O1000"/>
  <sheetViews>
    <sheetView showGridLines="0" topLeftCell="B1" workbookViewId="0"/>
  </sheetViews>
  <sheetFormatPr defaultColWidth="12.5703125" defaultRowHeight="15.75" customHeight="1"/>
  <cols>
    <col min="1" max="1" width="3.140625" hidden="1" customWidth="1"/>
    <col min="2" max="2" width="3.140625" customWidth="1"/>
    <col min="3" max="3" width="4.140625" customWidth="1"/>
    <col min="6" max="6" width="4.42578125" customWidth="1"/>
    <col min="7" max="7" width="4" customWidth="1"/>
    <col min="8" max="8" width="14.140625" customWidth="1"/>
    <col min="10" max="10" width="3.140625" customWidth="1"/>
    <col min="11" max="11" width="8.85546875" customWidth="1"/>
    <col min="12" max="12" width="7.42578125" customWidth="1"/>
    <col min="13" max="13" width="6.5703125" customWidth="1"/>
    <col min="14" max="14" width="8.42578125" customWidth="1"/>
    <col min="15" max="15" width="9" customWidth="1"/>
  </cols>
  <sheetData>
    <row r="1" spans="1:15" ht="15.75" customHeight="1">
      <c r="A1" s="1091"/>
      <c r="B1" s="1520" t="s">
        <v>4051</v>
      </c>
      <c r="C1" s="1479"/>
      <c r="D1" s="1479"/>
      <c r="E1" s="1522" t="s">
        <v>4052</v>
      </c>
      <c r="F1" s="1479"/>
      <c r="G1" s="1479"/>
      <c r="H1" s="1479"/>
      <c r="I1" s="1438"/>
      <c r="J1" s="1523" t="s">
        <v>4053</v>
      </c>
      <c r="K1" s="1442"/>
      <c r="L1" s="1442"/>
      <c r="M1" s="1524"/>
      <c r="N1" s="1442"/>
      <c r="O1" s="1443"/>
    </row>
    <row r="2" spans="1:15" ht="15.75" customHeight="1">
      <c r="A2" s="1091"/>
      <c r="B2" s="1521"/>
      <c r="C2" s="1451"/>
      <c r="D2" s="1451"/>
      <c r="E2" s="1494" t="s">
        <v>4054</v>
      </c>
      <c r="F2" s="1451"/>
      <c r="G2" s="1451"/>
      <c r="H2" s="1451"/>
      <c r="I2" s="1518"/>
      <c r="J2" s="1525" t="s">
        <v>4055</v>
      </c>
      <c r="K2" s="1507"/>
      <c r="L2" s="1507"/>
      <c r="M2" s="1506"/>
      <c r="N2" s="1507"/>
      <c r="O2" s="1440"/>
    </row>
    <row r="3" spans="1:15" ht="15.75" customHeight="1">
      <c r="A3" s="1091"/>
      <c r="B3" s="1526" t="s">
        <v>4056</v>
      </c>
      <c r="C3" s="1507"/>
      <c r="D3" s="1507"/>
      <c r="E3" s="1527" t="s">
        <v>4057</v>
      </c>
      <c r="F3" s="1507"/>
      <c r="G3" s="1507"/>
      <c r="H3" s="1507"/>
      <c r="I3" s="1440"/>
      <c r="J3" s="1092"/>
      <c r="K3" s="1506"/>
      <c r="L3" s="1507"/>
      <c r="M3" s="1506"/>
      <c r="N3" s="1507"/>
      <c r="O3" s="1440"/>
    </row>
    <row r="4" spans="1:15" ht="15.75" customHeight="1">
      <c r="A4" s="1093"/>
      <c r="B4" s="1528" t="s">
        <v>4058</v>
      </c>
      <c r="C4" s="1442"/>
      <c r="D4" s="1442"/>
      <c r="E4" s="1442"/>
      <c r="F4" s="1442"/>
      <c r="G4" s="1442"/>
      <c r="H4" s="1442"/>
      <c r="I4" s="1443"/>
      <c r="J4" s="1523" t="s">
        <v>4059</v>
      </c>
      <c r="K4" s="1442"/>
      <c r="L4" s="1442"/>
      <c r="M4" s="1506"/>
      <c r="N4" s="1507"/>
      <c r="O4" s="1440"/>
    </row>
    <row r="5" spans="1:15" ht="12.75">
      <c r="A5" s="1091"/>
      <c r="B5" s="1094"/>
      <c r="C5" s="1095"/>
      <c r="D5" s="1095"/>
      <c r="E5" s="1095"/>
      <c r="F5" s="1095"/>
      <c r="G5" s="1095"/>
      <c r="H5" s="1095"/>
      <c r="I5" s="1095"/>
      <c r="J5" s="1095"/>
      <c r="K5" s="1095"/>
      <c r="L5" s="1095"/>
      <c r="M5" s="1095"/>
      <c r="N5" s="1095"/>
      <c r="O5" s="1096"/>
    </row>
    <row r="6" spans="1:15" ht="12.75">
      <c r="A6" s="1091"/>
      <c r="B6" s="1094" t="s">
        <v>4060</v>
      </c>
      <c r="C6" s="1508" t="s">
        <v>4061</v>
      </c>
      <c r="D6" s="1451"/>
      <c r="E6" s="1451"/>
      <c r="F6" s="1095"/>
      <c r="G6" s="1095"/>
      <c r="H6" s="1095"/>
      <c r="I6" s="1095"/>
      <c r="J6" s="1095"/>
      <c r="K6" s="1095"/>
      <c r="L6" s="1095"/>
      <c r="M6" s="1451"/>
      <c r="N6" s="1451"/>
      <c r="O6" s="1096"/>
    </row>
    <row r="7" spans="1:15" ht="12.75">
      <c r="A7" s="1091"/>
      <c r="B7" s="1094"/>
      <c r="C7" s="1508" t="s">
        <v>4062</v>
      </c>
      <c r="D7" s="1451"/>
      <c r="E7" s="1451"/>
      <c r="F7" s="1095"/>
      <c r="G7" s="1095"/>
      <c r="H7" s="1095"/>
      <c r="I7" s="1095"/>
      <c r="J7" s="1095"/>
      <c r="K7" s="1095"/>
      <c r="L7" s="1095"/>
      <c r="M7" s="1529" t="s">
        <v>4063</v>
      </c>
      <c r="N7" s="1479"/>
      <c r="O7" s="1096"/>
    </row>
    <row r="8" spans="1:15" ht="12.75">
      <c r="A8" s="1091"/>
      <c r="B8" s="1094"/>
      <c r="C8" s="1508" t="s">
        <v>4064</v>
      </c>
      <c r="D8" s="1451"/>
      <c r="E8" s="1451"/>
      <c r="F8" s="1095"/>
      <c r="G8" s="1095"/>
      <c r="H8" s="1095"/>
      <c r="I8" s="1095"/>
      <c r="J8" s="1095"/>
      <c r="K8" s="1095"/>
      <c r="L8" s="1095"/>
      <c r="M8" s="1095"/>
      <c r="N8" s="1095"/>
      <c r="O8" s="1096"/>
    </row>
    <row r="9" spans="1:15" ht="12.75">
      <c r="A9" s="1091"/>
      <c r="B9" s="1094"/>
      <c r="C9" s="1095"/>
      <c r="D9" s="1095"/>
      <c r="E9" s="1095"/>
      <c r="F9" s="1095"/>
      <c r="G9" s="1095"/>
      <c r="H9" s="1095"/>
      <c r="I9" s="1095"/>
      <c r="J9" s="1095"/>
      <c r="K9" s="1095"/>
      <c r="L9" s="1095"/>
      <c r="M9" s="1095"/>
      <c r="N9" s="1095"/>
      <c r="O9" s="1096"/>
    </row>
    <row r="10" spans="1:15" ht="12.75">
      <c r="A10" s="1091"/>
      <c r="B10" s="1094"/>
      <c r="C10" s="1095"/>
      <c r="D10" s="1530" t="s">
        <v>4065</v>
      </c>
      <c r="E10" s="1451"/>
      <c r="F10" s="1451"/>
      <c r="G10" s="1451"/>
      <c r="H10" s="1451"/>
      <c r="I10" s="1451"/>
      <c r="J10" s="1451"/>
      <c r="K10" s="1451"/>
      <c r="L10" s="1095"/>
      <c r="M10" s="1095"/>
      <c r="N10" s="1095"/>
      <c r="O10" s="1096"/>
    </row>
    <row r="11" spans="1:15" ht="12.75">
      <c r="A11" s="1091"/>
      <c r="B11" s="1094"/>
      <c r="C11" s="1095"/>
      <c r="D11" s="1095"/>
      <c r="E11" s="1095"/>
      <c r="F11" s="1095"/>
      <c r="G11" s="1095"/>
      <c r="H11" s="1095"/>
      <c r="I11" s="1095"/>
      <c r="J11" s="1095"/>
      <c r="K11" s="1095"/>
      <c r="L11" s="1095"/>
      <c r="M11" s="1095"/>
      <c r="N11" s="1095"/>
      <c r="O11" s="1096"/>
    </row>
    <row r="12" spans="1:15" ht="12.75">
      <c r="A12" s="1091"/>
      <c r="B12" s="1094"/>
      <c r="C12" s="1508" t="s">
        <v>4066</v>
      </c>
      <c r="D12" s="1451"/>
      <c r="E12" s="1451"/>
      <c r="F12" s="1451"/>
      <c r="G12" s="1451"/>
      <c r="H12" s="1451"/>
      <c r="I12" s="1451"/>
      <c r="J12" s="1451"/>
      <c r="K12" s="1451"/>
      <c r="L12" s="1451"/>
      <c r="M12" s="1451"/>
      <c r="N12" s="1451"/>
      <c r="O12" s="1096"/>
    </row>
    <row r="13" spans="1:15" ht="12.75">
      <c r="A13" s="1091"/>
      <c r="B13" s="1094"/>
      <c r="C13" s="1508" t="s">
        <v>4067</v>
      </c>
      <c r="D13" s="1451"/>
      <c r="E13" s="1451"/>
      <c r="F13" s="1451"/>
      <c r="G13" s="1451"/>
      <c r="H13" s="1451"/>
      <c r="I13" s="1451"/>
      <c r="J13" s="1451"/>
      <c r="K13" s="1451"/>
      <c r="L13" s="1451"/>
      <c r="M13" s="1451"/>
      <c r="N13" s="1451"/>
      <c r="O13" s="1096"/>
    </row>
    <row r="14" spans="1:15" ht="12.75">
      <c r="A14" s="1091"/>
      <c r="B14" s="1097"/>
      <c r="C14" s="1095"/>
      <c r="D14" s="1095"/>
      <c r="E14" s="1095"/>
      <c r="F14" s="1095"/>
      <c r="G14" s="1095"/>
      <c r="H14" s="1095"/>
      <c r="I14" s="1095"/>
      <c r="J14" s="1095"/>
      <c r="K14" s="1095"/>
      <c r="L14" s="1095"/>
      <c r="M14" s="1095"/>
      <c r="N14" s="1095"/>
      <c r="O14" s="1096"/>
    </row>
    <row r="15" spans="1:15" ht="12.75">
      <c r="A15" s="1091"/>
      <c r="B15" s="1097"/>
      <c r="C15" s="1508" t="s">
        <v>4068</v>
      </c>
      <c r="D15" s="1451"/>
      <c r="E15" s="1451"/>
      <c r="F15" s="1451"/>
      <c r="G15" s="1451"/>
      <c r="H15" s="1451"/>
      <c r="I15" s="1451"/>
      <c r="J15" s="1451"/>
      <c r="K15" s="1451"/>
      <c r="L15" s="1451"/>
      <c r="M15" s="1451"/>
      <c r="N15" s="1451"/>
      <c r="O15" s="1096"/>
    </row>
    <row r="16" spans="1:15" ht="12.75">
      <c r="A16" s="1091"/>
      <c r="B16" s="1097"/>
      <c r="C16" s="1451"/>
      <c r="D16" s="1451"/>
      <c r="E16" s="1095"/>
      <c r="F16" s="1095"/>
      <c r="G16" s="1095"/>
      <c r="H16" s="1095"/>
      <c r="I16" s="1095"/>
      <c r="J16" s="1095"/>
      <c r="K16" s="1095"/>
      <c r="L16" s="1095"/>
      <c r="M16" s="1095"/>
      <c r="N16" s="1095"/>
      <c r="O16" s="1096"/>
    </row>
    <row r="17" spans="1:15" ht="12.75">
      <c r="A17" s="1091"/>
      <c r="B17" s="1097"/>
      <c r="C17" s="1508" t="s">
        <v>4069</v>
      </c>
      <c r="D17" s="1451"/>
      <c r="E17" s="1451"/>
      <c r="F17" s="1451"/>
      <c r="G17" s="1451"/>
      <c r="H17" s="1451"/>
      <c r="I17" s="1451"/>
      <c r="J17" s="1451"/>
      <c r="K17" s="1451"/>
      <c r="L17" s="1451"/>
      <c r="M17" s="1451"/>
      <c r="N17" s="1451"/>
      <c r="O17" s="1096"/>
    </row>
    <row r="18" spans="1:15" ht="12.75">
      <c r="A18" s="1091"/>
      <c r="B18" s="1094"/>
      <c r="C18" s="1508" t="s">
        <v>4070</v>
      </c>
      <c r="D18" s="1451"/>
      <c r="E18" s="1451"/>
      <c r="F18" s="1451"/>
      <c r="G18" s="1451"/>
      <c r="H18" s="1451"/>
      <c r="I18" s="1451"/>
      <c r="J18" s="1451"/>
      <c r="K18" s="1451"/>
      <c r="L18" s="1451"/>
      <c r="M18" s="1451"/>
      <c r="N18" s="1451"/>
      <c r="O18" s="1096"/>
    </row>
    <row r="19" spans="1:15" ht="12.75">
      <c r="A19" s="1091"/>
      <c r="B19" s="1094"/>
      <c r="C19" s="1508" t="s">
        <v>4071</v>
      </c>
      <c r="D19" s="1451"/>
      <c r="E19" s="1451"/>
      <c r="F19" s="1451"/>
      <c r="G19" s="1451"/>
      <c r="H19" s="1451"/>
      <c r="I19" s="1451"/>
      <c r="J19" s="1451"/>
      <c r="K19" s="1451"/>
      <c r="L19" s="1451"/>
      <c r="M19" s="1451"/>
      <c r="N19" s="1451"/>
      <c r="O19" s="1096"/>
    </row>
    <row r="20" spans="1:15" ht="12.75">
      <c r="A20" s="1091"/>
      <c r="B20" s="1094"/>
      <c r="C20" s="1095"/>
      <c r="D20" s="1095"/>
      <c r="E20" s="1095"/>
      <c r="F20" s="1095"/>
      <c r="G20" s="1095"/>
      <c r="H20" s="1095"/>
      <c r="I20" s="1095"/>
      <c r="J20" s="1095"/>
      <c r="K20" s="1095"/>
      <c r="L20" s="1095"/>
      <c r="M20" s="1095"/>
      <c r="N20" s="1095"/>
      <c r="O20" s="1096"/>
    </row>
    <row r="21" spans="1:15" ht="12.75">
      <c r="A21" s="1091"/>
      <c r="B21" s="1531" t="s">
        <v>4072</v>
      </c>
      <c r="C21" s="1438"/>
      <c r="D21" s="1529" t="s">
        <v>4073</v>
      </c>
      <c r="E21" s="1479"/>
      <c r="F21" s="1479"/>
      <c r="G21" s="1479"/>
      <c r="H21" s="1438"/>
      <c r="I21" s="1532" t="s">
        <v>4074</v>
      </c>
      <c r="J21" s="1443"/>
      <c r="K21" s="1098" t="s">
        <v>3292</v>
      </c>
      <c r="L21" s="1529" t="s">
        <v>4075</v>
      </c>
      <c r="M21" s="1438"/>
      <c r="N21" s="1529" t="s">
        <v>4076</v>
      </c>
      <c r="O21" s="1438"/>
    </row>
    <row r="22" spans="1:15" ht="15.75" customHeight="1">
      <c r="A22" s="4" t="str">
        <f ca="1">IFERROR(__xludf.DUMMYFUNCTION("UNIQUE(Filter_PR!A2:A1000)"),"Dot Matrix Printer 24-Pin")</f>
        <v>Dot Matrix Printer 24-Pin</v>
      </c>
      <c r="B22" s="1503">
        <v>1</v>
      </c>
      <c r="C22" s="1443"/>
      <c r="D22" s="1504" t="str">
        <f ca="1">IFERROR(__xludf.DUMMYFUNCTION("UNIQUE(Filter_PR!B2:B1000)"),"Dot Matrix Printer 24-Pin")</f>
        <v>Dot Matrix Printer 24-Pin</v>
      </c>
      <c r="E22" s="1442"/>
      <c r="F22" s="1442"/>
      <c r="G22" s="1442"/>
      <c r="H22" s="1443"/>
      <c r="I22" s="1502">
        <f ca="1">VLOOKUP(A22,ICT_PPMP2023!$B$15:V1000,2,0)</f>
        <v>3</v>
      </c>
      <c r="J22" s="1443"/>
      <c r="K22" s="1099" t="str">
        <f ca="1">VLOOKUP(A22,ICT_PPMP2023!$B$15:V1000,3,0)</f>
        <v>pc</v>
      </c>
      <c r="L22" s="1500">
        <f ca="1">VLOOKUP(A22,ICT_PPMP2023!$B$15:V1000,4,0)</f>
        <v>22500</v>
      </c>
      <c r="M22" s="1443"/>
      <c r="N22" s="1500">
        <f t="shared" ref="N22:N29" ca="1" si="0">I22*L22</f>
        <v>67500</v>
      </c>
      <c r="O22" s="1443"/>
    </row>
    <row r="23" spans="1:15" ht="15.75" customHeight="1">
      <c r="A23" s="59" t="str">
        <f ca="1">IFERROR(__xludf.DUMMYFUNCTION("""COMPUTED_VALUE"""),"Epson Genuine Ink T6641 Black")</f>
        <v>Epson Genuine Ink T6641 Black</v>
      </c>
      <c r="B23" s="1503">
        <v>2</v>
      </c>
      <c r="C23" s="1443"/>
      <c r="D23" s="1501" t="str">
        <f ca="1">IFERROR(__xludf.DUMMYFUNCTION("""COMPUTED_VALUE"""),"Epson Genuine Ink T6641 Black")</f>
        <v>Epson Genuine Ink T6641 Black</v>
      </c>
      <c r="E23" s="1442"/>
      <c r="F23" s="1442"/>
      <c r="G23" s="1442"/>
      <c r="H23" s="1443"/>
      <c r="I23" s="1502">
        <f ca="1">VLOOKUP(A23,ICT_PPMP2023!$B$15:V1000,2,0)</f>
        <v>120</v>
      </c>
      <c r="J23" s="1443"/>
      <c r="K23" s="1099" t="str">
        <f ca="1">VLOOKUP(A23,ICT_PPMP2023!$B$15:V1000,3,0)</f>
        <v>pc</v>
      </c>
      <c r="L23" s="1500">
        <f ca="1">VLOOKUP(A23,ICT_PPMP2023!$B$15:V1000,4,0)</f>
        <v>249.6</v>
      </c>
      <c r="M23" s="1443"/>
      <c r="N23" s="1500">
        <f t="shared" ca="1" si="0"/>
        <v>29952</v>
      </c>
      <c r="O23" s="1443"/>
    </row>
    <row r="24" spans="1:15" ht="15.75" customHeight="1">
      <c r="A24" s="59" t="str">
        <f ca="1">IFERROR(__xludf.DUMMYFUNCTION("""COMPUTED_VALUE"""),"Epson Genuine Ink T6642 Cyan")</f>
        <v>Epson Genuine Ink T6642 Cyan</v>
      </c>
      <c r="B24" s="1505">
        <v>3</v>
      </c>
      <c r="C24" s="1443"/>
      <c r="D24" s="1501" t="str">
        <f ca="1">IFERROR(__xludf.DUMMYFUNCTION("""COMPUTED_VALUE"""),"Epson Genuine Ink T6642 Cyan")</f>
        <v>Epson Genuine Ink T6642 Cyan</v>
      </c>
      <c r="E24" s="1442"/>
      <c r="F24" s="1442"/>
      <c r="G24" s="1442"/>
      <c r="H24" s="1443"/>
      <c r="I24" s="1502">
        <f ca="1">VLOOKUP(A24,ICT_PPMP2023!$B$15:V1000,2,0)</f>
        <v>20</v>
      </c>
      <c r="J24" s="1443"/>
      <c r="K24" s="1099" t="str">
        <f ca="1">VLOOKUP(A24,ICT_PPMP2023!$B$15:V1000,3,0)</f>
        <v>pc</v>
      </c>
      <c r="L24" s="1500">
        <f ca="1">VLOOKUP(A24,ICT_PPMP2023!$B$15:V1000,4,0)</f>
        <v>249.6</v>
      </c>
      <c r="M24" s="1443"/>
      <c r="N24" s="1500">
        <f t="shared" ca="1" si="0"/>
        <v>4992</v>
      </c>
      <c r="O24" s="1443"/>
    </row>
    <row r="25" spans="1:15" ht="15.75" customHeight="1">
      <c r="A25" s="59" t="str">
        <f ca="1">IFERROR(__xludf.DUMMYFUNCTION("""COMPUTED_VALUE"""),"Epson Genuine Ink T6643 Magenta")</f>
        <v>Epson Genuine Ink T6643 Magenta</v>
      </c>
      <c r="B25" s="1503">
        <v>4</v>
      </c>
      <c r="C25" s="1443"/>
      <c r="D25" s="1501" t="str">
        <f ca="1">IFERROR(__xludf.DUMMYFUNCTION("""COMPUTED_VALUE"""),"Epson Genuine Ink T6643 Magenta")</f>
        <v>Epson Genuine Ink T6643 Magenta</v>
      </c>
      <c r="E25" s="1442"/>
      <c r="F25" s="1442"/>
      <c r="G25" s="1442"/>
      <c r="H25" s="1443"/>
      <c r="I25" s="1502">
        <f ca="1">VLOOKUP(A25,ICT_PPMP2023!$B$15:V1000,2,0)</f>
        <v>20</v>
      </c>
      <c r="J25" s="1443"/>
      <c r="K25" s="1099" t="str">
        <f ca="1">VLOOKUP(A25,ICT_PPMP2023!$B$15:V1000,3,0)</f>
        <v>pc</v>
      </c>
      <c r="L25" s="1500">
        <f ca="1">VLOOKUP(A25,ICT_PPMP2023!$B$15:V1000,4,0)</f>
        <v>249.6</v>
      </c>
      <c r="M25" s="1443"/>
      <c r="N25" s="1500">
        <f t="shared" ca="1" si="0"/>
        <v>4992</v>
      </c>
      <c r="O25" s="1443"/>
    </row>
    <row r="26" spans="1:15" ht="15.75" customHeight="1">
      <c r="A26" s="59" t="str">
        <f ca="1">IFERROR(__xludf.DUMMYFUNCTION("""COMPUTED_VALUE"""),"Epson Genuine Ink T6644 Yellow")</f>
        <v>Epson Genuine Ink T6644 Yellow</v>
      </c>
      <c r="B26" s="1503">
        <v>5</v>
      </c>
      <c r="C26" s="1443"/>
      <c r="D26" s="1501" t="str">
        <f ca="1">IFERROR(__xludf.DUMMYFUNCTION("""COMPUTED_VALUE"""),"Epson Genuine Ink T6644 Yellow")</f>
        <v>Epson Genuine Ink T6644 Yellow</v>
      </c>
      <c r="E26" s="1442"/>
      <c r="F26" s="1442"/>
      <c r="G26" s="1442"/>
      <c r="H26" s="1443"/>
      <c r="I26" s="1502">
        <f ca="1">VLOOKUP(A26,ICT_PPMP2023!$B$15:V1000,2,0)</f>
        <v>20</v>
      </c>
      <c r="J26" s="1443"/>
      <c r="K26" s="1099" t="str">
        <f ca="1">VLOOKUP(A26,ICT_PPMP2023!$B$15:V1000,3,0)</f>
        <v>pc</v>
      </c>
      <c r="L26" s="1500">
        <f ca="1">VLOOKUP(A26,ICT_PPMP2023!$B$15:V1000,4,0)</f>
        <v>249.6</v>
      </c>
      <c r="M26" s="1443"/>
      <c r="N26" s="1500">
        <f t="shared" ca="1" si="0"/>
        <v>4992</v>
      </c>
      <c r="O26" s="1443"/>
    </row>
    <row r="27" spans="1:15" ht="15.75" customHeight="1">
      <c r="A27" s="59" t="str">
        <f ca="1">IFERROR(__xludf.DUMMYFUNCTION("""COMPUTED_VALUE"""),"Stereo Digital Voice Recorder with Built-in USB")</f>
        <v>Stereo Digital Voice Recorder with Built-in USB</v>
      </c>
      <c r="B27" s="1505">
        <v>6</v>
      </c>
      <c r="C27" s="1443"/>
      <c r="D27" s="1501" t="str">
        <f ca="1">IFERROR(__xludf.DUMMYFUNCTION("""COMPUTED_VALUE"""),"Stereo Digital Voice Recorder with Built-in USB")</f>
        <v>Stereo Digital Voice Recorder with Built-in USB</v>
      </c>
      <c r="E27" s="1442"/>
      <c r="F27" s="1442"/>
      <c r="G27" s="1442"/>
      <c r="H27" s="1443"/>
      <c r="I27" s="1502">
        <f ca="1">VLOOKUP(A27,ICT_PPMP2023!$B$15:V1000,2,0)</f>
        <v>2</v>
      </c>
      <c r="J27" s="1443"/>
      <c r="K27" s="1099" t="str">
        <f ca="1">VLOOKUP(A27,ICT_PPMP2023!$B$15:V1000,3,0)</f>
        <v>pc</v>
      </c>
      <c r="L27" s="1500">
        <f ca="1">VLOOKUP(A27,ICT_PPMP2023!$B$15:V1000,4,0)</f>
        <v>4703</v>
      </c>
      <c r="M27" s="1443"/>
      <c r="N27" s="1500">
        <f t="shared" ca="1" si="0"/>
        <v>9406</v>
      </c>
      <c r="O27" s="1443"/>
    </row>
    <row r="28" spans="1:15" ht="15.75" customHeight="1">
      <c r="A28" s="59" t="str">
        <f ca="1">IFERROR(__xludf.DUMMYFUNCTION("""COMPUTED_VALUE"""),"Ink Laserjet HP 680 Colored")</f>
        <v>Ink Laserjet HP 680 Colored</v>
      </c>
      <c r="B28" s="1503">
        <v>7</v>
      </c>
      <c r="C28" s="1443"/>
      <c r="D28" s="1501" t="str">
        <f ca="1">IFERROR(__xludf.DUMMYFUNCTION("""COMPUTED_VALUE"""),"Ink Laserjet HP 680 Colored")</f>
        <v>Ink Laserjet HP 680 Colored</v>
      </c>
      <c r="E28" s="1442"/>
      <c r="F28" s="1442"/>
      <c r="G28" s="1442"/>
      <c r="H28" s="1443"/>
      <c r="I28" s="1502">
        <f ca="1">VLOOKUP(A28,ICT_PPMP2023!$B$15:V1000,2,0)</f>
        <v>40</v>
      </c>
      <c r="J28" s="1443"/>
      <c r="K28" s="1099" t="str">
        <f ca="1">VLOOKUP(A28,ICT_PPMP2023!$B$15:V1000,3,0)</f>
        <v>pc</v>
      </c>
      <c r="L28" s="1500">
        <f ca="1">VLOOKUP(A28,ICT_PPMP2023!$B$15:V1000,4,0)</f>
        <v>1000</v>
      </c>
      <c r="M28" s="1443"/>
      <c r="N28" s="1500">
        <f t="shared" ca="1" si="0"/>
        <v>40000</v>
      </c>
      <c r="O28" s="1443"/>
    </row>
    <row r="29" spans="1:15" ht="15.75" customHeight="1">
      <c r="A29" s="59" t="str">
        <f ca="1">IFERROR(__xludf.DUMMYFUNCTION("""COMPUTED_VALUE"""),"Ink Laserjet HP 680 Black")</f>
        <v>Ink Laserjet HP 680 Black</v>
      </c>
      <c r="B29" s="1503">
        <v>8</v>
      </c>
      <c r="C29" s="1443"/>
      <c r="D29" s="1501" t="str">
        <f ca="1">IFERROR(__xludf.DUMMYFUNCTION("""COMPUTED_VALUE"""),"Ink Laserjet HP 680 Black")</f>
        <v>Ink Laserjet HP 680 Black</v>
      </c>
      <c r="E29" s="1442"/>
      <c r="F29" s="1442"/>
      <c r="G29" s="1442"/>
      <c r="H29" s="1443"/>
      <c r="I29" s="1502">
        <f ca="1">VLOOKUP(A29,ICT_PPMP2023!$B$15:V1000,2,0)</f>
        <v>120</v>
      </c>
      <c r="J29" s="1443"/>
      <c r="K29" s="1099" t="str">
        <f ca="1">VLOOKUP(A29,ICT_PPMP2023!$B$15:V1000,3,0)</f>
        <v>pc</v>
      </c>
      <c r="L29" s="1500">
        <f ca="1">VLOOKUP(A29,ICT_PPMP2023!$B$15:V1000,4,0)</f>
        <v>800</v>
      </c>
      <c r="M29" s="1443"/>
      <c r="N29" s="1500">
        <f t="shared" ca="1" si="0"/>
        <v>96000</v>
      </c>
      <c r="O29" s="1443"/>
    </row>
    <row r="30" spans="1:15" ht="15.75" customHeight="1">
      <c r="A30" s="59"/>
      <c r="B30" s="1509"/>
      <c r="C30" s="1440"/>
      <c r="D30" s="1506"/>
      <c r="E30" s="1507"/>
      <c r="F30" s="1507"/>
      <c r="G30" s="1507"/>
      <c r="H30" s="1440"/>
      <c r="I30" s="1510"/>
      <c r="J30" s="1440"/>
      <c r="K30" s="1515" t="s">
        <v>4077</v>
      </c>
      <c r="L30" s="1507"/>
      <c r="M30" s="1507"/>
      <c r="N30" s="1516">
        <f ca="1">SUM(N22:N29)</f>
        <v>257834</v>
      </c>
      <c r="O30" s="1440"/>
    </row>
    <row r="31" spans="1:15" ht="15.75" customHeight="1">
      <c r="A31" s="329"/>
      <c r="B31" s="1511" t="s">
        <v>4078</v>
      </c>
      <c r="C31" s="1507"/>
      <c r="D31" s="1507"/>
      <c r="E31" s="1507"/>
      <c r="F31" s="1507"/>
      <c r="G31" s="1507"/>
      <c r="H31" s="1507"/>
      <c r="I31" s="1507"/>
      <c r="J31" s="1507"/>
      <c r="K31" s="1507"/>
      <c r="L31" s="1507"/>
      <c r="M31" s="1507"/>
      <c r="N31" s="1507"/>
      <c r="O31" s="1440"/>
    </row>
    <row r="32" spans="1:15" ht="12.75">
      <c r="A32" s="1091"/>
      <c r="B32" s="1094"/>
      <c r="C32" s="1508" t="s">
        <v>4079</v>
      </c>
      <c r="D32" s="1451"/>
      <c r="E32" s="1451"/>
      <c r="F32" s="1451"/>
      <c r="G32" s="1094"/>
      <c r="H32" s="1095" t="s">
        <v>4080</v>
      </c>
      <c r="I32" s="1095"/>
      <c r="J32" s="1096"/>
      <c r="K32" s="1508" t="s">
        <v>4081</v>
      </c>
      <c r="L32" s="1451"/>
      <c r="M32" s="1095"/>
      <c r="N32" s="1095"/>
      <c r="O32" s="1096"/>
    </row>
    <row r="33" spans="1:15" ht="12.75">
      <c r="A33" s="1091"/>
      <c r="B33" s="1094"/>
      <c r="C33" s="1508" t="s">
        <v>4082</v>
      </c>
      <c r="D33" s="1451"/>
      <c r="E33" s="1451"/>
      <c r="F33" s="1095"/>
      <c r="G33" s="1094"/>
      <c r="H33" s="1095"/>
      <c r="I33" s="1095"/>
      <c r="J33" s="1096"/>
      <c r="K33" s="1095"/>
      <c r="L33" s="1095"/>
      <c r="M33" s="1095"/>
      <c r="N33" s="1095"/>
      <c r="O33" s="1096"/>
    </row>
    <row r="34" spans="1:15" ht="12.75">
      <c r="A34" s="1091"/>
      <c r="B34" s="1094"/>
      <c r="C34" s="1095"/>
      <c r="D34" s="1095"/>
      <c r="E34" s="1095"/>
      <c r="F34" s="1095"/>
      <c r="G34" s="1094"/>
      <c r="H34" s="1095"/>
      <c r="I34" s="1095"/>
      <c r="J34" s="1096"/>
      <c r="K34" s="1095"/>
      <c r="L34" s="1095"/>
      <c r="M34" s="1095"/>
      <c r="N34" s="1095"/>
      <c r="O34" s="1096"/>
    </row>
    <row r="35" spans="1:15" ht="12.75">
      <c r="A35" s="1091"/>
      <c r="B35" s="1094"/>
      <c r="C35" s="1095"/>
      <c r="D35" s="1095"/>
      <c r="E35" s="1095"/>
      <c r="F35" s="1095"/>
      <c r="G35" s="1094"/>
      <c r="H35" s="1095"/>
      <c r="I35" s="1095"/>
      <c r="J35" s="1096"/>
      <c r="K35" s="1095"/>
      <c r="L35" s="1095"/>
      <c r="M35" s="1095"/>
      <c r="N35" s="1095"/>
      <c r="O35" s="1096"/>
    </row>
    <row r="36" spans="1:15" ht="15.75" customHeight="1">
      <c r="A36" s="1100"/>
      <c r="B36" s="1517" t="s">
        <v>4083</v>
      </c>
      <c r="C36" s="1451"/>
      <c r="D36" s="1451"/>
      <c r="E36" s="1451"/>
      <c r="F36" s="1518"/>
      <c r="G36" s="1101"/>
      <c r="H36" s="1512" t="s">
        <v>4084</v>
      </c>
      <c r="I36" s="1507"/>
      <c r="J36" s="1096"/>
      <c r="K36" s="1512" t="s">
        <v>4085</v>
      </c>
      <c r="L36" s="1507"/>
      <c r="M36" s="1507"/>
      <c r="N36" s="1507"/>
      <c r="O36" s="1440"/>
    </row>
    <row r="37" spans="1:15" ht="12.75">
      <c r="A37" s="1091"/>
      <c r="B37" s="1102"/>
      <c r="C37" s="1519" t="s">
        <v>4086</v>
      </c>
      <c r="D37" s="1442"/>
      <c r="E37" s="1442"/>
      <c r="F37" s="1103"/>
      <c r="G37" s="1104"/>
      <c r="H37" s="1519" t="s">
        <v>4087</v>
      </c>
      <c r="I37" s="1442"/>
      <c r="J37" s="842"/>
      <c r="K37" s="1513" t="s">
        <v>4088</v>
      </c>
      <c r="L37" s="1507"/>
      <c r="M37" s="1507"/>
      <c r="N37" s="1507"/>
      <c r="O37" s="842"/>
    </row>
    <row r="38" spans="1:15" ht="12.75">
      <c r="A38" s="1091"/>
      <c r="B38" s="1094"/>
      <c r="C38" s="1095"/>
      <c r="D38" s="1095"/>
      <c r="E38" s="1095"/>
      <c r="F38" s="1095"/>
      <c r="G38" s="1095"/>
      <c r="H38" s="1095"/>
      <c r="I38" s="1095"/>
      <c r="J38" s="1095"/>
      <c r="K38" s="1095"/>
      <c r="L38" s="1095"/>
      <c r="M38" s="1095"/>
      <c r="N38" s="1095"/>
      <c r="O38" s="1096"/>
    </row>
    <row r="39" spans="1:15" ht="12.75">
      <c r="A39" s="1091"/>
      <c r="B39" s="1094"/>
      <c r="C39" s="1514" t="s">
        <v>4089</v>
      </c>
      <c r="D39" s="1451"/>
      <c r="E39" s="1451"/>
      <c r="F39" s="1451"/>
      <c r="G39" s="1451"/>
      <c r="H39" s="1451"/>
      <c r="I39" s="1451"/>
      <c r="J39" s="1451"/>
      <c r="K39" s="1451"/>
      <c r="L39" s="1451"/>
      <c r="M39" s="1451"/>
      <c r="N39" s="1451"/>
      <c r="O39" s="1096"/>
    </row>
    <row r="40" spans="1:15" ht="12.75">
      <c r="A40" s="1091"/>
      <c r="B40" s="1094"/>
      <c r="C40" s="1095"/>
      <c r="D40" s="1508" t="s">
        <v>4090</v>
      </c>
      <c r="E40" s="1451"/>
      <c r="F40" s="1451"/>
      <c r="G40" s="1451"/>
      <c r="H40" s="1451"/>
      <c r="I40" s="1451"/>
      <c r="J40" s="1451"/>
      <c r="K40" s="1451"/>
      <c r="L40" s="1451"/>
      <c r="M40" s="1451"/>
      <c r="N40" s="1451"/>
      <c r="O40" s="1096"/>
    </row>
    <row r="41" spans="1:15" ht="12.75">
      <c r="A41" s="1091"/>
      <c r="B41" s="1102"/>
      <c r="C41" s="1105"/>
      <c r="D41" s="1105"/>
      <c r="E41" s="1105"/>
      <c r="F41" s="1105"/>
      <c r="G41" s="1105"/>
      <c r="H41" s="1105"/>
      <c r="I41" s="1105"/>
      <c r="J41" s="1105"/>
      <c r="K41" s="1105"/>
      <c r="L41" s="1105"/>
      <c r="M41" s="1105"/>
      <c r="N41" s="1105"/>
      <c r="O41" s="1106"/>
    </row>
    <row r="42" spans="1:15" ht="15.75" customHeight="1">
      <c r="A42" s="59"/>
    </row>
    <row r="43" spans="1:15" ht="15.75" customHeight="1">
      <c r="A43" s="59"/>
    </row>
    <row r="44" spans="1:15" ht="15.75" customHeight="1">
      <c r="A44" s="59"/>
    </row>
    <row r="45" spans="1:15" ht="15.75" customHeight="1">
      <c r="A45" s="59"/>
    </row>
    <row r="46" spans="1:15" ht="15.75" customHeight="1">
      <c r="A46" s="59"/>
    </row>
    <row r="47" spans="1:15" ht="15.75" customHeight="1">
      <c r="A47" s="59"/>
    </row>
    <row r="48" spans="1:15" ht="15.75" customHeight="1">
      <c r="A48" s="59"/>
    </row>
    <row r="49" spans="1:1" ht="15.75" customHeight="1">
      <c r="A49" s="59"/>
    </row>
    <row r="50" spans="1:1" ht="15.75" customHeight="1">
      <c r="A50" s="59"/>
    </row>
    <row r="51" spans="1:1" ht="15.75" customHeight="1">
      <c r="A51" s="59"/>
    </row>
    <row r="52" spans="1:1" ht="15.75" customHeight="1">
      <c r="A52" s="59"/>
    </row>
    <row r="53" spans="1:1" ht="15.75" customHeight="1">
      <c r="A53" s="59"/>
    </row>
    <row r="54" spans="1:1" ht="15.75" customHeight="1">
      <c r="A54" s="59"/>
    </row>
    <row r="55" spans="1:1" ht="15.75" customHeight="1">
      <c r="A55" s="59"/>
    </row>
    <row r="56" spans="1:1" ht="15.75" customHeight="1">
      <c r="A56" s="59"/>
    </row>
    <row r="57" spans="1:1" ht="15.75" customHeight="1">
      <c r="A57" s="59"/>
    </row>
    <row r="58" spans="1:1" ht="15.75" customHeight="1">
      <c r="A58" s="59"/>
    </row>
    <row r="59" spans="1:1" ht="15.75" customHeight="1">
      <c r="A59" s="59"/>
    </row>
    <row r="60" spans="1:1" ht="15.75" customHeight="1">
      <c r="A60" s="59"/>
    </row>
    <row r="61" spans="1:1" ht="12.75">
      <c r="A61" s="59"/>
    </row>
    <row r="62" spans="1:1" ht="12.75">
      <c r="A62" s="59"/>
    </row>
    <row r="63" spans="1:1" ht="12.75">
      <c r="A63" s="59"/>
    </row>
    <row r="64" spans="1:1" ht="12.75">
      <c r="A64" s="59"/>
    </row>
    <row r="65" spans="1:1" ht="12.75">
      <c r="A65" s="59"/>
    </row>
    <row r="66" spans="1:1" ht="12.75">
      <c r="A66" s="59"/>
    </row>
    <row r="67" spans="1:1" ht="12.75">
      <c r="A67" s="59"/>
    </row>
    <row r="68" spans="1:1" ht="12.75">
      <c r="A68" s="59"/>
    </row>
    <row r="69" spans="1:1" ht="12.75">
      <c r="A69" s="59"/>
    </row>
    <row r="70" spans="1:1" ht="12.75">
      <c r="A70" s="59"/>
    </row>
    <row r="71" spans="1:1" ht="12.75">
      <c r="A71" s="59"/>
    </row>
    <row r="72" spans="1:1" ht="12.75">
      <c r="A72" s="59"/>
    </row>
    <row r="73" spans="1:1" ht="12.75">
      <c r="A73" s="59"/>
    </row>
    <row r="74" spans="1:1" ht="12.75">
      <c r="A74" s="59"/>
    </row>
    <row r="75" spans="1:1" ht="12.75">
      <c r="A75" s="59"/>
    </row>
    <row r="76" spans="1:1" ht="12.75">
      <c r="A76" s="59"/>
    </row>
    <row r="77" spans="1:1" ht="12.75">
      <c r="A77" s="59"/>
    </row>
    <row r="78" spans="1:1" ht="12.75">
      <c r="A78" s="59"/>
    </row>
    <row r="79" spans="1:1" ht="12.75">
      <c r="A79" s="59"/>
    </row>
    <row r="80" spans="1:1" ht="12.75">
      <c r="A80" s="59"/>
    </row>
    <row r="81" spans="1:1" ht="12.75">
      <c r="A81" s="59"/>
    </row>
    <row r="82" spans="1:1" ht="12.75">
      <c r="A82" s="59"/>
    </row>
    <row r="83" spans="1:1" ht="12.75">
      <c r="A83" s="59"/>
    </row>
    <row r="84" spans="1:1" ht="12.75">
      <c r="A84" s="59"/>
    </row>
    <row r="85" spans="1:1" ht="12.75">
      <c r="A85" s="59"/>
    </row>
    <row r="86" spans="1:1" ht="12.75">
      <c r="A86" s="59"/>
    </row>
    <row r="87" spans="1:1" ht="12.75">
      <c r="A87" s="59"/>
    </row>
    <row r="88" spans="1:1" ht="12.75">
      <c r="A88" s="59"/>
    </row>
    <row r="89" spans="1:1" ht="12.75">
      <c r="A89" s="59"/>
    </row>
    <row r="90" spans="1:1" ht="12.75">
      <c r="A90" s="59"/>
    </row>
    <row r="91" spans="1:1" ht="12.75">
      <c r="A91" s="59"/>
    </row>
    <row r="92" spans="1:1" ht="12.75">
      <c r="A92" s="59"/>
    </row>
    <row r="93" spans="1:1" ht="12.75">
      <c r="A93" s="59"/>
    </row>
    <row r="94" spans="1:1" ht="12.75">
      <c r="A94" s="59"/>
    </row>
    <row r="95" spans="1:1" ht="12.75">
      <c r="A95" s="59"/>
    </row>
    <row r="96" spans="1:1" ht="12.75">
      <c r="A96" s="59"/>
    </row>
    <row r="97" spans="1:1" ht="12.75">
      <c r="A97" s="59"/>
    </row>
    <row r="98" spans="1:1" ht="12.75">
      <c r="A98" s="59"/>
    </row>
    <row r="99" spans="1:1" ht="12.75">
      <c r="A99" s="59"/>
    </row>
    <row r="100" spans="1:1" ht="12.75">
      <c r="A100" s="59"/>
    </row>
    <row r="101" spans="1:1" ht="12.75">
      <c r="A101" s="59"/>
    </row>
    <row r="102" spans="1:1" ht="12.75">
      <c r="A102" s="59"/>
    </row>
    <row r="103" spans="1:1" ht="12.75">
      <c r="A103" s="59"/>
    </row>
    <row r="104" spans="1:1" ht="12.75">
      <c r="A104" s="59"/>
    </row>
    <row r="105" spans="1:1" ht="12.75">
      <c r="A105" s="59"/>
    </row>
    <row r="106" spans="1:1" ht="12.75">
      <c r="A106" s="59"/>
    </row>
    <row r="107" spans="1:1" ht="12.75">
      <c r="A107" s="59"/>
    </row>
    <row r="108" spans="1:1" ht="12.75">
      <c r="A108" s="59"/>
    </row>
    <row r="109" spans="1:1" ht="12.75">
      <c r="A109" s="59"/>
    </row>
    <row r="110" spans="1:1" ht="12.75">
      <c r="A110" s="59"/>
    </row>
    <row r="111" spans="1:1" ht="12.75">
      <c r="A111" s="59"/>
    </row>
    <row r="112" spans="1:1" ht="12.75">
      <c r="A112" s="59"/>
    </row>
    <row r="113" spans="1:1" ht="12.75">
      <c r="A113" s="59"/>
    </row>
    <row r="114" spans="1:1" ht="12.75">
      <c r="A114" s="59"/>
    </row>
    <row r="115" spans="1:1" ht="12.75">
      <c r="A115" s="59"/>
    </row>
    <row r="116" spans="1:1" ht="12.75">
      <c r="A116" s="59"/>
    </row>
    <row r="117" spans="1:1" ht="12.75">
      <c r="A117" s="59"/>
    </row>
    <row r="118" spans="1:1" ht="12.75">
      <c r="A118" s="59"/>
    </row>
    <row r="119" spans="1:1" ht="12.75">
      <c r="A119" s="59"/>
    </row>
    <row r="120" spans="1:1" ht="12.75">
      <c r="A120" s="59"/>
    </row>
    <row r="121" spans="1:1" ht="12.75">
      <c r="A121" s="59"/>
    </row>
    <row r="122" spans="1:1" ht="12.75">
      <c r="A122" s="59"/>
    </row>
    <row r="123" spans="1:1" ht="12.75">
      <c r="A123" s="59"/>
    </row>
    <row r="124" spans="1:1" ht="12.75">
      <c r="A124" s="59"/>
    </row>
    <row r="125" spans="1:1" ht="12.75">
      <c r="A125" s="59"/>
    </row>
    <row r="126" spans="1:1" ht="12.75">
      <c r="A126" s="59"/>
    </row>
    <row r="127" spans="1:1" ht="12.75">
      <c r="A127" s="59"/>
    </row>
    <row r="128" spans="1:1" ht="12.75">
      <c r="A128" s="59"/>
    </row>
    <row r="129" spans="1:1" ht="12.75">
      <c r="A129" s="59"/>
    </row>
    <row r="130" spans="1:1" ht="12.75">
      <c r="A130" s="59"/>
    </row>
    <row r="131" spans="1:1" ht="12.75">
      <c r="A131" s="59"/>
    </row>
    <row r="132" spans="1:1" ht="12.75">
      <c r="A132" s="59"/>
    </row>
    <row r="133" spans="1:1" ht="12.75">
      <c r="A133" s="59"/>
    </row>
    <row r="134" spans="1:1" ht="12.75">
      <c r="A134" s="59"/>
    </row>
    <row r="135" spans="1:1" ht="12.75">
      <c r="A135" s="59"/>
    </row>
    <row r="136" spans="1:1" ht="12.75">
      <c r="A136" s="59"/>
    </row>
    <row r="137" spans="1:1" ht="12.75">
      <c r="A137" s="59"/>
    </row>
    <row r="138" spans="1:1" ht="12.75">
      <c r="A138" s="59"/>
    </row>
    <row r="139" spans="1:1" ht="12.75">
      <c r="A139" s="59"/>
    </row>
    <row r="140" spans="1:1" ht="12.75">
      <c r="A140" s="59"/>
    </row>
    <row r="141" spans="1:1" ht="12.75">
      <c r="A141" s="59"/>
    </row>
    <row r="142" spans="1:1" ht="12.75">
      <c r="A142" s="59"/>
    </row>
    <row r="143" spans="1:1" ht="12.75">
      <c r="A143" s="59"/>
    </row>
    <row r="144" spans="1:1" ht="12.75">
      <c r="A144" s="59"/>
    </row>
    <row r="145" spans="1:1" ht="12.75">
      <c r="A145" s="59"/>
    </row>
    <row r="146" spans="1:1" ht="12.75">
      <c r="A146" s="59"/>
    </row>
    <row r="147" spans="1:1" ht="12.75">
      <c r="A147" s="59"/>
    </row>
    <row r="148" spans="1:1" ht="12.75">
      <c r="A148" s="59"/>
    </row>
    <row r="149" spans="1:1" ht="12.75">
      <c r="A149" s="59"/>
    </row>
    <row r="150" spans="1:1" ht="12.75">
      <c r="A150" s="59"/>
    </row>
    <row r="151" spans="1:1" ht="12.75">
      <c r="A151" s="59"/>
    </row>
    <row r="152" spans="1:1" ht="12.75">
      <c r="A152" s="59"/>
    </row>
    <row r="153" spans="1:1" ht="12.75">
      <c r="A153" s="59"/>
    </row>
    <row r="154" spans="1:1" ht="12.75">
      <c r="A154" s="59"/>
    </row>
    <row r="155" spans="1:1" ht="12.75">
      <c r="A155" s="59"/>
    </row>
    <row r="156" spans="1:1" ht="12.75">
      <c r="A156" s="59"/>
    </row>
    <row r="157" spans="1:1" ht="12.75">
      <c r="A157" s="59"/>
    </row>
    <row r="158" spans="1:1" ht="12.75">
      <c r="A158" s="59"/>
    </row>
    <row r="159" spans="1:1" ht="12.75">
      <c r="A159" s="59"/>
    </row>
    <row r="160" spans="1:1" ht="12.75">
      <c r="A160" s="59"/>
    </row>
    <row r="161" spans="1:1" ht="12.75">
      <c r="A161" s="59"/>
    </row>
    <row r="162" spans="1:1" ht="12.75">
      <c r="A162" s="59"/>
    </row>
    <row r="163" spans="1:1" ht="12.75">
      <c r="A163" s="59"/>
    </row>
    <row r="164" spans="1:1" ht="12.75">
      <c r="A164" s="59"/>
    </row>
    <row r="165" spans="1:1" ht="12.75">
      <c r="A165" s="59"/>
    </row>
    <row r="166" spans="1:1" ht="12.75">
      <c r="A166" s="59"/>
    </row>
    <row r="167" spans="1:1" ht="12.75">
      <c r="A167" s="59"/>
    </row>
    <row r="168" spans="1:1" ht="12.75">
      <c r="A168" s="59"/>
    </row>
    <row r="169" spans="1:1" ht="12.75">
      <c r="A169" s="59"/>
    </row>
    <row r="170" spans="1:1" ht="12.75">
      <c r="A170" s="59"/>
    </row>
    <row r="171" spans="1:1" ht="12.75">
      <c r="A171" s="59"/>
    </row>
    <row r="172" spans="1:1" ht="12.75">
      <c r="A172" s="59"/>
    </row>
    <row r="173" spans="1:1" ht="12.75">
      <c r="A173" s="59"/>
    </row>
    <row r="174" spans="1:1" ht="12.75">
      <c r="A174" s="59"/>
    </row>
    <row r="175" spans="1:1" ht="12.75">
      <c r="A175" s="59"/>
    </row>
    <row r="176" spans="1:1" ht="12.75">
      <c r="A176" s="59"/>
    </row>
    <row r="177" spans="1:1" ht="12.75">
      <c r="A177" s="59"/>
    </row>
    <row r="178" spans="1:1" ht="12.75">
      <c r="A178" s="59"/>
    </row>
    <row r="179" spans="1:1" ht="12.75">
      <c r="A179" s="59"/>
    </row>
    <row r="180" spans="1:1" ht="12.75">
      <c r="A180" s="59"/>
    </row>
    <row r="181" spans="1:1" ht="12.75">
      <c r="A181" s="59"/>
    </row>
    <row r="182" spans="1:1" ht="12.75">
      <c r="A182" s="59"/>
    </row>
    <row r="183" spans="1:1" ht="12.75">
      <c r="A183" s="59"/>
    </row>
    <row r="184" spans="1:1" ht="12.75">
      <c r="A184" s="59"/>
    </row>
    <row r="185" spans="1:1" ht="12.75">
      <c r="A185" s="59"/>
    </row>
    <row r="186" spans="1:1" ht="12.75">
      <c r="A186" s="59"/>
    </row>
    <row r="187" spans="1:1" ht="12.75">
      <c r="A187" s="59"/>
    </row>
    <row r="188" spans="1:1" ht="12.75">
      <c r="A188" s="59"/>
    </row>
    <row r="189" spans="1:1" ht="12.75">
      <c r="A189" s="59"/>
    </row>
    <row r="190" spans="1:1" ht="12.75">
      <c r="A190" s="59"/>
    </row>
    <row r="191" spans="1:1" ht="12.75">
      <c r="A191" s="59"/>
    </row>
    <row r="192" spans="1:1" ht="12.75">
      <c r="A192" s="59"/>
    </row>
    <row r="193" spans="1:1" ht="12.75">
      <c r="A193" s="59"/>
    </row>
    <row r="194" spans="1:1" ht="12.75">
      <c r="A194" s="59"/>
    </row>
    <row r="195" spans="1:1" ht="12.75">
      <c r="A195" s="59"/>
    </row>
    <row r="196" spans="1:1" ht="12.75">
      <c r="A196" s="59"/>
    </row>
    <row r="197" spans="1:1" ht="12.75">
      <c r="A197" s="59"/>
    </row>
    <row r="198" spans="1:1" ht="12.75">
      <c r="A198" s="59"/>
    </row>
    <row r="199" spans="1:1" ht="12.75">
      <c r="A199" s="59"/>
    </row>
    <row r="200" spans="1:1" ht="12.75">
      <c r="A200" s="59"/>
    </row>
    <row r="201" spans="1:1" ht="12.75">
      <c r="A201" s="59"/>
    </row>
    <row r="202" spans="1:1" ht="12.75">
      <c r="A202" s="59"/>
    </row>
    <row r="203" spans="1:1" ht="12.75">
      <c r="A203" s="59"/>
    </row>
    <row r="204" spans="1:1" ht="12.75">
      <c r="A204" s="59"/>
    </row>
    <row r="205" spans="1:1" ht="12.75">
      <c r="A205" s="59"/>
    </row>
    <row r="206" spans="1:1" ht="12.75">
      <c r="A206" s="59"/>
    </row>
    <row r="207" spans="1:1" ht="12.75">
      <c r="A207" s="59"/>
    </row>
    <row r="208" spans="1:1" ht="12.75">
      <c r="A208" s="59"/>
    </row>
    <row r="209" spans="1:1" ht="12.75">
      <c r="A209" s="59"/>
    </row>
    <row r="210" spans="1:1" ht="12.75">
      <c r="A210" s="59"/>
    </row>
    <row r="211" spans="1:1" ht="12.75">
      <c r="A211" s="59"/>
    </row>
    <row r="212" spans="1:1" ht="12.75">
      <c r="A212" s="59"/>
    </row>
    <row r="213" spans="1:1" ht="12.75">
      <c r="A213" s="59"/>
    </row>
    <row r="214" spans="1:1" ht="12.75">
      <c r="A214" s="59"/>
    </row>
    <row r="215" spans="1:1" ht="12.75">
      <c r="A215" s="59"/>
    </row>
    <row r="216" spans="1:1" ht="12.75">
      <c r="A216" s="59"/>
    </row>
    <row r="217" spans="1:1" ht="12.75">
      <c r="A217" s="59"/>
    </row>
    <row r="218" spans="1:1" ht="12.75">
      <c r="A218" s="59"/>
    </row>
    <row r="219" spans="1:1" ht="12.75">
      <c r="A219" s="59"/>
    </row>
    <row r="220" spans="1:1" ht="12.75">
      <c r="A220" s="59"/>
    </row>
    <row r="221" spans="1:1" ht="12.75">
      <c r="A221" s="59"/>
    </row>
    <row r="222" spans="1:1" ht="12.75">
      <c r="A222" s="59"/>
    </row>
    <row r="223" spans="1:1" ht="12.75">
      <c r="A223" s="59"/>
    </row>
    <row r="224" spans="1:1" ht="12.75">
      <c r="A224" s="59"/>
    </row>
    <row r="225" spans="1:1" ht="12.75">
      <c r="A225" s="59"/>
    </row>
    <row r="226" spans="1:1" ht="12.75">
      <c r="A226" s="59"/>
    </row>
    <row r="227" spans="1:1" ht="12.75">
      <c r="A227" s="59"/>
    </row>
    <row r="228" spans="1:1" ht="12.75">
      <c r="A228" s="59"/>
    </row>
    <row r="229" spans="1:1" ht="12.75">
      <c r="A229" s="59"/>
    </row>
    <row r="230" spans="1:1" ht="12.75">
      <c r="A230" s="59"/>
    </row>
    <row r="231" spans="1:1" ht="12.75">
      <c r="A231" s="59"/>
    </row>
    <row r="232" spans="1:1" ht="12.75">
      <c r="A232" s="59"/>
    </row>
    <row r="233" spans="1:1" ht="12.75">
      <c r="A233" s="59"/>
    </row>
    <row r="234" spans="1:1" ht="12.75">
      <c r="A234" s="59"/>
    </row>
    <row r="235" spans="1:1" ht="12.75">
      <c r="A235" s="59"/>
    </row>
    <row r="236" spans="1:1" ht="12.75">
      <c r="A236" s="59"/>
    </row>
    <row r="237" spans="1:1" ht="12.75">
      <c r="A237" s="59"/>
    </row>
    <row r="238" spans="1:1" ht="12.75">
      <c r="A238" s="59"/>
    </row>
    <row r="239" spans="1:1" ht="12.75">
      <c r="A239" s="59"/>
    </row>
    <row r="240" spans="1:1" ht="12.75">
      <c r="A240" s="59"/>
    </row>
    <row r="241" spans="1:1" ht="12.75">
      <c r="A241" s="59"/>
    </row>
    <row r="242" spans="1:1" ht="12.75">
      <c r="A242" s="59"/>
    </row>
    <row r="243" spans="1:1" ht="12.75">
      <c r="A243" s="59"/>
    </row>
    <row r="244" spans="1:1" ht="12.75">
      <c r="A244" s="59"/>
    </row>
    <row r="245" spans="1:1" ht="12.75">
      <c r="A245" s="59"/>
    </row>
    <row r="246" spans="1:1" ht="12.75">
      <c r="A246" s="59"/>
    </row>
    <row r="247" spans="1:1" ht="12.75">
      <c r="A247" s="59"/>
    </row>
    <row r="248" spans="1:1" ht="12.75">
      <c r="A248" s="59"/>
    </row>
    <row r="249" spans="1:1" ht="12.75">
      <c r="A249" s="59"/>
    </row>
    <row r="250" spans="1:1" ht="12.75">
      <c r="A250" s="59"/>
    </row>
    <row r="251" spans="1:1" ht="12.75">
      <c r="A251" s="59"/>
    </row>
    <row r="252" spans="1:1" ht="12.75">
      <c r="A252" s="59"/>
    </row>
    <row r="253" spans="1:1" ht="12.75">
      <c r="A253" s="59"/>
    </row>
    <row r="254" spans="1:1" ht="12.75">
      <c r="A254" s="59"/>
    </row>
    <row r="255" spans="1:1" ht="12.75">
      <c r="A255" s="59"/>
    </row>
    <row r="256" spans="1:1" ht="12.75">
      <c r="A256" s="59"/>
    </row>
    <row r="257" spans="1:1" ht="12.75">
      <c r="A257" s="59"/>
    </row>
    <row r="258" spans="1:1" ht="12.75">
      <c r="A258" s="59"/>
    </row>
    <row r="259" spans="1:1" ht="12.75">
      <c r="A259" s="59"/>
    </row>
    <row r="260" spans="1:1" ht="12.75">
      <c r="A260" s="59"/>
    </row>
    <row r="261" spans="1:1" ht="12.75">
      <c r="A261" s="59"/>
    </row>
    <row r="262" spans="1:1" ht="12.75">
      <c r="A262" s="59"/>
    </row>
    <row r="263" spans="1:1" ht="12.75">
      <c r="A263" s="59"/>
    </row>
    <row r="264" spans="1:1" ht="12.75">
      <c r="A264" s="59"/>
    </row>
    <row r="265" spans="1:1" ht="12.75">
      <c r="A265" s="59"/>
    </row>
    <row r="266" spans="1:1" ht="12.75">
      <c r="A266" s="59"/>
    </row>
    <row r="267" spans="1:1" ht="12.75">
      <c r="A267" s="59"/>
    </row>
    <row r="268" spans="1:1" ht="12.75">
      <c r="A268" s="59"/>
    </row>
    <row r="269" spans="1:1" ht="12.75">
      <c r="A269" s="59"/>
    </row>
    <row r="270" spans="1:1" ht="12.75">
      <c r="A270" s="59"/>
    </row>
    <row r="271" spans="1:1" ht="12.75">
      <c r="A271" s="59"/>
    </row>
    <row r="272" spans="1:1" ht="12.75">
      <c r="A272" s="59"/>
    </row>
    <row r="273" spans="1:1" ht="12.75">
      <c r="A273" s="59"/>
    </row>
    <row r="274" spans="1:1" ht="12.75">
      <c r="A274" s="59"/>
    </row>
    <row r="275" spans="1:1" ht="12.75">
      <c r="A275" s="59"/>
    </row>
    <row r="276" spans="1:1" ht="12.75">
      <c r="A276" s="59"/>
    </row>
    <row r="277" spans="1:1" ht="12.75">
      <c r="A277" s="59"/>
    </row>
    <row r="278" spans="1:1" ht="12.75">
      <c r="A278" s="59"/>
    </row>
    <row r="279" spans="1:1" ht="12.75">
      <c r="A279" s="59"/>
    </row>
    <row r="280" spans="1:1" ht="12.75">
      <c r="A280" s="59"/>
    </row>
    <row r="281" spans="1:1" ht="12.75">
      <c r="A281" s="59"/>
    </row>
    <row r="282" spans="1:1" ht="12.75">
      <c r="A282" s="59"/>
    </row>
    <row r="283" spans="1:1" ht="12.75">
      <c r="A283" s="59"/>
    </row>
    <row r="284" spans="1:1" ht="12.75">
      <c r="A284" s="59"/>
    </row>
    <row r="285" spans="1:1" ht="12.75">
      <c r="A285" s="59"/>
    </row>
    <row r="286" spans="1:1" ht="12.75">
      <c r="A286" s="59"/>
    </row>
    <row r="287" spans="1:1" ht="12.75">
      <c r="A287" s="59"/>
    </row>
    <row r="288" spans="1:1" ht="12.75">
      <c r="A288" s="59"/>
    </row>
    <row r="289" spans="1:1" ht="12.75">
      <c r="A289" s="59"/>
    </row>
    <row r="290" spans="1:1" ht="12.75">
      <c r="A290" s="59"/>
    </row>
    <row r="291" spans="1:1" ht="12.75">
      <c r="A291" s="59"/>
    </row>
    <row r="292" spans="1:1" ht="12.75">
      <c r="A292" s="59"/>
    </row>
    <row r="293" spans="1:1" ht="12.75">
      <c r="A293" s="59"/>
    </row>
    <row r="294" spans="1:1" ht="12.75">
      <c r="A294" s="59"/>
    </row>
    <row r="295" spans="1:1" ht="12.75">
      <c r="A295" s="59"/>
    </row>
    <row r="296" spans="1:1" ht="12.75">
      <c r="A296" s="59"/>
    </row>
    <row r="297" spans="1:1" ht="12.75">
      <c r="A297" s="59"/>
    </row>
    <row r="298" spans="1:1" ht="12.75">
      <c r="A298" s="59"/>
    </row>
    <row r="299" spans="1:1" ht="12.75">
      <c r="A299" s="59"/>
    </row>
    <row r="300" spans="1:1" ht="12.75">
      <c r="A300" s="59"/>
    </row>
    <row r="301" spans="1:1" ht="12.75">
      <c r="A301" s="59"/>
    </row>
    <row r="302" spans="1:1" ht="12.75">
      <c r="A302" s="59"/>
    </row>
    <row r="303" spans="1:1" ht="12.75">
      <c r="A303" s="59"/>
    </row>
    <row r="304" spans="1:1" ht="12.75">
      <c r="A304" s="59"/>
    </row>
    <row r="305" spans="1:1" ht="12.75">
      <c r="A305" s="59"/>
    </row>
    <row r="306" spans="1:1" ht="12.75">
      <c r="A306" s="59"/>
    </row>
    <row r="307" spans="1:1" ht="12.75">
      <c r="A307" s="59"/>
    </row>
    <row r="308" spans="1:1" ht="12.75">
      <c r="A308" s="59"/>
    </row>
    <row r="309" spans="1:1" ht="12.75">
      <c r="A309" s="59"/>
    </row>
    <row r="310" spans="1:1" ht="12.75">
      <c r="A310" s="59"/>
    </row>
    <row r="311" spans="1:1" ht="12.75">
      <c r="A311" s="59"/>
    </row>
    <row r="312" spans="1:1" ht="12.75">
      <c r="A312" s="59"/>
    </row>
    <row r="313" spans="1:1" ht="12.75">
      <c r="A313" s="59"/>
    </row>
    <row r="314" spans="1:1" ht="12.75">
      <c r="A314" s="59"/>
    </row>
    <row r="315" spans="1:1" ht="12.75">
      <c r="A315" s="59"/>
    </row>
    <row r="316" spans="1:1" ht="12.75">
      <c r="A316" s="59"/>
    </row>
    <row r="317" spans="1:1" ht="12.75">
      <c r="A317" s="59"/>
    </row>
    <row r="318" spans="1:1" ht="12.75">
      <c r="A318" s="59"/>
    </row>
    <row r="319" spans="1:1" ht="12.75">
      <c r="A319" s="59"/>
    </row>
    <row r="320" spans="1:1" ht="12.75">
      <c r="A320" s="59"/>
    </row>
    <row r="321" spans="1:1" ht="12.75">
      <c r="A321" s="59"/>
    </row>
    <row r="322" spans="1:1" ht="12.75">
      <c r="A322" s="59"/>
    </row>
    <row r="323" spans="1:1" ht="12.75">
      <c r="A323" s="59"/>
    </row>
    <row r="324" spans="1:1" ht="12.75">
      <c r="A324" s="59"/>
    </row>
    <row r="325" spans="1:1" ht="12.75">
      <c r="A325" s="59"/>
    </row>
    <row r="326" spans="1:1" ht="12.75">
      <c r="A326" s="59"/>
    </row>
    <row r="327" spans="1:1" ht="12.75">
      <c r="A327" s="59"/>
    </row>
    <row r="328" spans="1:1" ht="12.75">
      <c r="A328" s="59"/>
    </row>
    <row r="329" spans="1:1" ht="12.75">
      <c r="A329" s="59"/>
    </row>
    <row r="330" spans="1:1" ht="12.75">
      <c r="A330" s="59"/>
    </row>
    <row r="331" spans="1:1" ht="12.75">
      <c r="A331" s="59"/>
    </row>
    <row r="332" spans="1:1" ht="12.75">
      <c r="A332" s="59"/>
    </row>
    <row r="333" spans="1:1" ht="12.75">
      <c r="A333" s="59"/>
    </row>
    <row r="334" spans="1:1" ht="12.75">
      <c r="A334" s="59"/>
    </row>
    <row r="335" spans="1:1" ht="12.75">
      <c r="A335" s="59"/>
    </row>
    <row r="336" spans="1:1" ht="12.75">
      <c r="A336" s="59"/>
    </row>
    <row r="337" spans="1:1" ht="12.75">
      <c r="A337" s="59"/>
    </row>
    <row r="338" spans="1:1" ht="12.75">
      <c r="A338" s="59"/>
    </row>
    <row r="339" spans="1:1" ht="12.75">
      <c r="A339" s="59"/>
    </row>
    <row r="340" spans="1:1" ht="12.75">
      <c r="A340" s="59"/>
    </row>
    <row r="341" spans="1:1" ht="12.75">
      <c r="A341" s="59"/>
    </row>
    <row r="342" spans="1:1" ht="12.75">
      <c r="A342" s="59"/>
    </row>
    <row r="343" spans="1:1" ht="12.75">
      <c r="A343" s="59"/>
    </row>
    <row r="344" spans="1:1" ht="12.75">
      <c r="A344" s="59"/>
    </row>
    <row r="345" spans="1:1" ht="12.75">
      <c r="A345" s="59"/>
    </row>
    <row r="346" spans="1:1" ht="12.75">
      <c r="A346" s="59"/>
    </row>
    <row r="347" spans="1:1" ht="12.75">
      <c r="A347" s="59"/>
    </row>
    <row r="348" spans="1:1" ht="12.75">
      <c r="A348" s="59"/>
    </row>
    <row r="349" spans="1:1" ht="12.75">
      <c r="A349" s="59"/>
    </row>
    <row r="350" spans="1:1" ht="12.75">
      <c r="A350" s="59"/>
    </row>
    <row r="351" spans="1:1" ht="12.75">
      <c r="A351" s="59"/>
    </row>
    <row r="352" spans="1:1" ht="12.75">
      <c r="A352" s="59"/>
    </row>
    <row r="353" spans="1:1" ht="12.75">
      <c r="A353" s="59"/>
    </row>
    <row r="354" spans="1:1" ht="12.75">
      <c r="A354" s="59"/>
    </row>
    <row r="355" spans="1:1" ht="12.75">
      <c r="A355" s="59"/>
    </row>
    <row r="356" spans="1:1" ht="12.75">
      <c r="A356" s="59"/>
    </row>
    <row r="357" spans="1:1" ht="12.75">
      <c r="A357" s="59"/>
    </row>
    <row r="358" spans="1:1" ht="12.75">
      <c r="A358" s="59"/>
    </row>
    <row r="359" spans="1:1" ht="12.75">
      <c r="A359" s="59"/>
    </row>
    <row r="360" spans="1:1" ht="12.75">
      <c r="A360" s="59"/>
    </row>
    <row r="361" spans="1:1" ht="12.75">
      <c r="A361" s="59"/>
    </row>
    <row r="362" spans="1:1" ht="12.75">
      <c r="A362" s="59"/>
    </row>
    <row r="363" spans="1:1" ht="12.75">
      <c r="A363" s="59"/>
    </row>
    <row r="364" spans="1:1" ht="12.75">
      <c r="A364" s="59"/>
    </row>
    <row r="365" spans="1:1" ht="12.75">
      <c r="A365" s="59"/>
    </row>
    <row r="366" spans="1:1" ht="12.75">
      <c r="A366" s="59"/>
    </row>
    <row r="367" spans="1:1" ht="12.75">
      <c r="A367" s="59"/>
    </row>
    <row r="368" spans="1:1" ht="12.75">
      <c r="A368" s="59"/>
    </row>
    <row r="369" spans="1:1" ht="12.75">
      <c r="A369" s="59"/>
    </row>
    <row r="370" spans="1:1" ht="12.75">
      <c r="A370" s="59"/>
    </row>
    <row r="371" spans="1:1" ht="12.75">
      <c r="A371" s="59"/>
    </row>
    <row r="372" spans="1:1" ht="12.75">
      <c r="A372" s="59"/>
    </row>
    <row r="373" spans="1:1" ht="12.75">
      <c r="A373" s="59"/>
    </row>
    <row r="374" spans="1:1" ht="12.75">
      <c r="A374" s="59"/>
    </row>
    <row r="375" spans="1:1" ht="12.75">
      <c r="A375" s="59"/>
    </row>
    <row r="376" spans="1:1" ht="12.75">
      <c r="A376" s="59"/>
    </row>
    <row r="377" spans="1:1" ht="12.75">
      <c r="A377" s="59"/>
    </row>
    <row r="378" spans="1:1" ht="12.75">
      <c r="A378" s="59"/>
    </row>
    <row r="379" spans="1:1" ht="12.75">
      <c r="A379" s="59"/>
    </row>
    <row r="380" spans="1:1" ht="12.75">
      <c r="A380" s="59"/>
    </row>
    <row r="381" spans="1:1" ht="12.75">
      <c r="A381" s="59"/>
    </row>
    <row r="382" spans="1:1" ht="12.75">
      <c r="A382" s="59"/>
    </row>
    <row r="383" spans="1:1" ht="12.75">
      <c r="A383" s="59"/>
    </row>
    <row r="384" spans="1:1" ht="12.75">
      <c r="A384" s="59"/>
    </row>
    <row r="385" spans="1:1" ht="12.75">
      <c r="A385" s="59"/>
    </row>
    <row r="386" spans="1:1" ht="12.75">
      <c r="A386" s="59"/>
    </row>
    <row r="387" spans="1:1" ht="12.75">
      <c r="A387" s="59"/>
    </row>
    <row r="388" spans="1:1" ht="12.75">
      <c r="A388" s="59"/>
    </row>
    <row r="389" spans="1:1" ht="12.75">
      <c r="A389" s="59"/>
    </row>
    <row r="390" spans="1:1" ht="12.75">
      <c r="A390" s="59"/>
    </row>
    <row r="391" spans="1:1" ht="12.75">
      <c r="A391" s="59"/>
    </row>
    <row r="392" spans="1:1" ht="12.75">
      <c r="A392" s="59"/>
    </row>
    <row r="393" spans="1:1" ht="12.75">
      <c r="A393" s="59"/>
    </row>
    <row r="394" spans="1:1" ht="12.75">
      <c r="A394" s="59"/>
    </row>
    <row r="395" spans="1:1" ht="12.75">
      <c r="A395" s="59"/>
    </row>
    <row r="396" spans="1:1" ht="12.75">
      <c r="A396" s="59"/>
    </row>
    <row r="397" spans="1:1" ht="12.75">
      <c r="A397" s="59"/>
    </row>
    <row r="398" spans="1:1" ht="12.75">
      <c r="A398" s="59"/>
    </row>
    <row r="399" spans="1:1" ht="12.75">
      <c r="A399" s="59"/>
    </row>
    <row r="400" spans="1:1" ht="12.75">
      <c r="A400" s="59"/>
    </row>
    <row r="401" spans="1:1" ht="12.75">
      <c r="A401" s="59"/>
    </row>
    <row r="402" spans="1:1" ht="12.75">
      <c r="A402" s="59"/>
    </row>
    <row r="403" spans="1:1" ht="12.75">
      <c r="A403" s="59"/>
    </row>
    <row r="404" spans="1:1" ht="12.75">
      <c r="A404" s="59"/>
    </row>
    <row r="405" spans="1:1" ht="12.75">
      <c r="A405" s="59"/>
    </row>
    <row r="406" spans="1:1" ht="12.75">
      <c r="A406" s="59"/>
    </row>
    <row r="407" spans="1:1" ht="12.75">
      <c r="A407" s="59"/>
    </row>
    <row r="408" spans="1:1" ht="12.75">
      <c r="A408" s="59"/>
    </row>
    <row r="409" spans="1:1" ht="12.75">
      <c r="A409" s="59"/>
    </row>
    <row r="410" spans="1:1" ht="12.75">
      <c r="A410" s="59"/>
    </row>
    <row r="411" spans="1:1" ht="12.75">
      <c r="A411" s="59"/>
    </row>
    <row r="412" spans="1:1" ht="12.75">
      <c r="A412" s="59"/>
    </row>
    <row r="413" spans="1:1" ht="12.75">
      <c r="A413" s="59"/>
    </row>
    <row r="414" spans="1:1" ht="12.75">
      <c r="A414" s="59"/>
    </row>
    <row r="415" spans="1:1" ht="12.75">
      <c r="A415" s="59"/>
    </row>
    <row r="416" spans="1:1" ht="12.75">
      <c r="A416" s="59"/>
    </row>
    <row r="417" spans="1:1" ht="12.75">
      <c r="A417" s="59"/>
    </row>
    <row r="418" spans="1:1" ht="12.75">
      <c r="A418" s="59"/>
    </row>
    <row r="419" spans="1:1" ht="12.75">
      <c r="A419" s="59"/>
    </row>
    <row r="420" spans="1:1" ht="12.75">
      <c r="A420" s="59"/>
    </row>
    <row r="421" spans="1:1" ht="12.75">
      <c r="A421" s="59"/>
    </row>
    <row r="422" spans="1:1" ht="12.75">
      <c r="A422" s="59"/>
    </row>
    <row r="423" spans="1:1" ht="12.75">
      <c r="A423" s="59"/>
    </row>
    <row r="424" spans="1:1" ht="12.75">
      <c r="A424" s="59"/>
    </row>
    <row r="425" spans="1:1" ht="12.75">
      <c r="A425" s="59"/>
    </row>
    <row r="426" spans="1:1" ht="12.75">
      <c r="A426" s="59"/>
    </row>
    <row r="427" spans="1:1" ht="12.75">
      <c r="A427" s="59"/>
    </row>
    <row r="428" spans="1:1" ht="12.75">
      <c r="A428" s="59"/>
    </row>
    <row r="429" spans="1:1" ht="12.75">
      <c r="A429" s="59"/>
    </row>
    <row r="430" spans="1:1" ht="12.75">
      <c r="A430" s="59"/>
    </row>
    <row r="431" spans="1:1" ht="12.75">
      <c r="A431" s="59"/>
    </row>
    <row r="432" spans="1:1" ht="12.75">
      <c r="A432" s="59"/>
    </row>
    <row r="433" spans="1:1" ht="12.75">
      <c r="A433" s="59"/>
    </row>
    <row r="434" spans="1:1" ht="12.75">
      <c r="A434" s="59"/>
    </row>
    <row r="435" spans="1:1" ht="12.75">
      <c r="A435" s="59"/>
    </row>
    <row r="436" spans="1:1" ht="12.75">
      <c r="A436" s="59"/>
    </row>
    <row r="437" spans="1:1" ht="12.75">
      <c r="A437" s="59"/>
    </row>
    <row r="438" spans="1:1" ht="12.75">
      <c r="A438" s="59"/>
    </row>
    <row r="439" spans="1:1" ht="12.75">
      <c r="A439" s="59"/>
    </row>
    <row r="440" spans="1:1" ht="12.75">
      <c r="A440" s="59"/>
    </row>
    <row r="441" spans="1:1" ht="12.75">
      <c r="A441" s="59"/>
    </row>
    <row r="442" spans="1:1" ht="12.75">
      <c r="A442" s="59"/>
    </row>
    <row r="443" spans="1:1" ht="12.75">
      <c r="A443" s="59"/>
    </row>
    <row r="444" spans="1:1" ht="12.75">
      <c r="A444" s="59"/>
    </row>
    <row r="445" spans="1:1" ht="12.75">
      <c r="A445" s="59"/>
    </row>
    <row r="446" spans="1:1" ht="12.75">
      <c r="A446" s="59"/>
    </row>
    <row r="447" spans="1:1" ht="12.75">
      <c r="A447" s="59"/>
    </row>
    <row r="448" spans="1:1" ht="12.75">
      <c r="A448" s="59"/>
    </row>
    <row r="449" spans="1:1" ht="12.75">
      <c r="A449" s="59"/>
    </row>
    <row r="450" spans="1:1" ht="12.75">
      <c r="A450" s="59"/>
    </row>
    <row r="451" spans="1:1" ht="12.75">
      <c r="A451" s="59"/>
    </row>
    <row r="452" spans="1:1" ht="12.75">
      <c r="A452" s="59"/>
    </row>
    <row r="453" spans="1:1" ht="12.75">
      <c r="A453" s="59"/>
    </row>
    <row r="454" spans="1:1" ht="12.75">
      <c r="A454" s="59"/>
    </row>
    <row r="455" spans="1:1" ht="12.75">
      <c r="A455" s="59"/>
    </row>
    <row r="456" spans="1:1" ht="12.75">
      <c r="A456" s="59"/>
    </row>
    <row r="457" spans="1:1" ht="12.75">
      <c r="A457" s="59"/>
    </row>
    <row r="458" spans="1:1" ht="12.75">
      <c r="A458" s="59"/>
    </row>
    <row r="459" spans="1:1" ht="12.75">
      <c r="A459" s="59"/>
    </row>
    <row r="460" spans="1:1" ht="12.75">
      <c r="A460" s="59"/>
    </row>
    <row r="461" spans="1:1" ht="12.75">
      <c r="A461" s="59"/>
    </row>
    <row r="462" spans="1:1" ht="12.75">
      <c r="A462" s="59"/>
    </row>
    <row r="463" spans="1:1" ht="12.75">
      <c r="A463" s="59"/>
    </row>
    <row r="464" spans="1:1" ht="12.75">
      <c r="A464" s="59"/>
    </row>
    <row r="465" spans="1:1" ht="12.75">
      <c r="A465" s="59"/>
    </row>
    <row r="466" spans="1:1" ht="12.75">
      <c r="A466" s="59"/>
    </row>
    <row r="467" spans="1:1" ht="12.75">
      <c r="A467" s="59"/>
    </row>
    <row r="468" spans="1:1" ht="12.75">
      <c r="A468" s="59"/>
    </row>
    <row r="469" spans="1:1" ht="12.75">
      <c r="A469" s="59"/>
    </row>
    <row r="470" spans="1:1" ht="12.75">
      <c r="A470" s="59"/>
    </row>
    <row r="471" spans="1:1" ht="12.75">
      <c r="A471" s="59"/>
    </row>
    <row r="472" spans="1:1" ht="12.75">
      <c r="A472" s="59"/>
    </row>
    <row r="473" spans="1:1" ht="12.75">
      <c r="A473" s="59"/>
    </row>
    <row r="474" spans="1:1" ht="12.75">
      <c r="A474" s="59"/>
    </row>
    <row r="475" spans="1:1" ht="12.75">
      <c r="A475" s="59"/>
    </row>
    <row r="476" spans="1:1" ht="12.75">
      <c r="A476" s="59"/>
    </row>
    <row r="477" spans="1:1" ht="12.75">
      <c r="A477" s="59"/>
    </row>
    <row r="478" spans="1:1" ht="12.75">
      <c r="A478" s="59"/>
    </row>
    <row r="479" spans="1:1" ht="12.75">
      <c r="A479" s="59"/>
    </row>
    <row r="480" spans="1:1" ht="12.75">
      <c r="A480" s="59"/>
    </row>
    <row r="481" spans="1:1" ht="12.75">
      <c r="A481" s="59"/>
    </row>
    <row r="482" spans="1:1" ht="12.75">
      <c r="A482" s="59"/>
    </row>
    <row r="483" spans="1:1" ht="12.75">
      <c r="A483" s="59"/>
    </row>
    <row r="484" spans="1:1" ht="12.75">
      <c r="A484" s="59"/>
    </row>
    <row r="485" spans="1:1" ht="12.75">
      <c r="A485" s="59"/>
    </row>
    <row r="486" spans="1:1" ht="12.75">
      <c r="A486" s="59"/>
    </row>
    <row r="487" spans="1:1" ht="12.75">
      <c r="A487" s="59"/>
    </row>
    <row r="488" spans="1:1" ht="12.75">
      <c r="A488" s="59"/>
    </row>
    <row r="489" spans="1:1" ht="12.75">
      <c r="A489" s="59"/>
    </row>
    <row r="490" spans="1:1" ht="12.75">
      <c r="A490" s="59"/>
    </row>
    <row r="491" spans="1:1" ht="12.75">
      <c r="A491" s="59"/>
    </row>
    <row r="492" spans="1:1" ht="12.75">
      <c r="A492" s="59"/>
    </row>
    <row r="493" spans="1:1" ht="12.75">
      <c r="A493" s="59"/>
    </row>
    <row r="494" spans="1:1" ht="12.75">
      <c r="A494" s="59"/>
    </row>
    <row r="495" spans="1:1" ht="12.75">
      <c r="A495" s="59"/>
    </row>
    <row r="496" spans="1:1" ht="12.75">
      <c r="A496" s="59"/>
    </row>
    <row r="497" spans="1:1" ht="12.75">
      <c r="A497" s="59"/>
    </row>
    <row r="498" spans="1:1" ht="12.75">
      <c r="A498" s="59"/>
    </row>
    <row r="499" spans="1:1" ht="12.75">
      <c r="A499" s="59"/>
    </row>
    <row r="500" spans="1:1" ht="12.75">
      <c r="A500" s="59"/>
    </row>
    <row r="501" spans="1:1" ht="12.75">
      <c r="A501" s="59"/>
    </row>
    <row r="502" spans="1:1" ht="12.75">
      <c r="A502" s="59"/>
    </row>
    <row r="503" spans="1:1" ht="12.75">
      <c r="A503" s="59"/>
    </row>
    <row r="504" spans="1:1" ht="12.75">
      <c r="A504" s="59"/>
    </row>
    <row r="505" spans="1:1" ht="12.75">
      <c r="A505" s="59"/>
    </row>
    <row r="506" spans="1:1" ht="12.75">
      <c r="A506" s="59"/>
    </row>
    <row r="507" spans="1:1" ht="12.75">
      <c r="A507" s="59"/>
    </row>
    <row r="508" spans="1:1" ht="12.75">
      <c r="A508" s="59"/>
    </row>
    <row r="509" spans="1:1" ht="12.75">
      <c r="A509" s="59"/>
    </row>
    <row r="510" spans="1:1" ht="12.75">
      <c r="A510" s="59"/>
    </row>
    <row r="511" spans="1:1" ht="12.75">
      <c r="A511" s="59"/>
    </row>
    <row r="512" spans="1:1" ht="12.75">
      <c r="A512" s="59"/>
    </row>
    <row r="513" spans="1:1" ht="12.75">
      <c r="A513" s="59"/>
    </row>
    <row r="514" spans="1:1" ht="12.75">
      <c r="A514" s="59"/>
    </row>
    <row r="515" spans="1:1" ht="12.75">
      <c r="A515" s="59"/>
    </row>
    <row r="516" spans="1:1" ht="12.75">
      <c r="A516" s="59"/>
    </row>
    <row r="517" spans="1:1" ht="12.75">
      <c r="A517" s="59"/>
    </row>
    <row r="518" spans="1:1" ht="12.75">
      <c r="A518" s="59"/>
    </row>
    <row r="519" spans="1:1" ht="12.75">
      <c r="A519" s="59"/>
    </row>
    <row r="520" spans="1:1" ht="12.75">
      <c r="A520" s="59"/>
    </row>
    <row r="521" spans="1:1" ht="12.75">
      <c r="A521" s="59"/>
    </row>
    <row r="522" spans="1:1" ht="12.75">
      <c r="A522" s="59"/>
    </row>
    <row r="523" spans="1:1" ht="12.75">
      <c r="A523" s="59"/>
    </row>
    <row r="524" spans="1:1" ht="12.75">
      <c r="A524" s="59"/>
    </row>
    <row r="525" spans="1:1" ht="12.75">
      <c r="A525" s="59"/>
    </row>
    <row r="526" spans="1:1" ht="12.75">
      <c r="A526" s="59"/>
    </row>
    <row r="527" spans="1:1" ht="12.75">
      <c r="A527" s="59"/>
    </row>
    <row r="528" spans="1:1" ht="12.75">
      <c r="A528" s="59"/>
    </row>
    <row r="529" spans="1:1" ht="12.75">
      <c r="A529" s="59"/>
    </row>
    <row r="530" spans="1:1" ht="12.75">
      <c r="A530" s="59"/>
    </row>
    <row r="531" spans="1:1" ht="12.75">
      <c r="A531" s="59"/>
    </row>
    <row r="532" spans="1:1" ht="12.75">
      <c r="A532" s="59"/>
    </row>
    <row r="533" spans="1:1" ht="12.75">
      <c r="A533" s="59"/>
    </row>
    <row r="534" spans="1:1" ht="12.75">
      <c r="A534" s="59"/>
    </row>
    <row r="535" spans="1:1" ht="12.75">
      <c r="A535" s="59"/>
    </row>
    <row r="536" spans="1:1" ht="12.75">
      <c r="A536" s="59"/>
    </row>
    <row r="537" spans="1:1" ht="12.75">
      <c r="A537" s="59"/>
    </row>
    <row r="538" spans="1:1" ht="12.75">
      <c r="A538" s="59"/>
    </row>
    <row r="539" spans="1:1" ht="12.75">
      <c r="A539" s="59"/>
    </row>
    <row r="540" spans="1:1" ht="12.75">
      <c r="A540" s="59"/>
    </row>
    <row r="541" spans="1:1" ht="12.75">
      <c r="A541" s="59"/>
    </row>
    <row r="542" spans="1:1" ht="12.75">
      <c r="A542" s="59"/>
    </row>
    <row r="543" spans="1:1" ht="12.75">
      <c r="A543" s="59"/>
    </row>
    <row r="544" spans="1:1" ht="12.75">
      <c r="A544" s="59"/>
    </row>
    <row r="545" spans="1:1" ht="12.75">
      <c r="A545" s="59"/>
    </row>
    <row r="546" spans="1:1" ht="12.75">
      <c r="A546" s="59"/>
    </row>
    <row r="547" spans="1:1" ht="12.75">
      <c r="A547" s="59"/>
    </row>
    <row r="548" spans="1:1" ht="12.75">
      <c r="A548" s="59"/>
    </row>
    <row r="549" spans="1:1" ht="12.75">
      <c r="A549" s="59"/>
    </row>
    <row r="550" spans="1:1" ht="12.75">
      <c r="A550" s="59"/>
    </row>
    <row r="551" spans="1:1" ht="12.75">
      <c r="A551" s="59"/>
    </row>
    <row r="552" spans="1:1" ht="12.75">
      <c r="A552" s="59"/>
    </row>
    <row r="553" spans="1:1" ht="12.75">
      <c r="A553" s="59"/>
    </row>
    <row r="554" spans="1:1" ht="12.75">
      <c r="A554" s="59"/>
    </row>
    <row r="555" spans="1:1" ht="12.75">
      <c r="A555" s="59"/>
    </row>
    <row r="556" spans="1:1" ht="12.75">
      <c r="A556" s="59"/>
    </row>
    <row r="557" spans="1:1" ht="12.75">
      <c r="A557" s="59"/>
    </row>
    <row r="558" spans="1:1" ht="12.75">
      <c r="A558" s="59"/>
    </row>
    <row r="559" spans="1:1" ht="12.75">
      <c r="A559" s="59"/>
    </row>
    <row r="560" spans="1:1" ht="12.75">
      <c r="A560" s="59"/>
    </row>
    <row r="561" spans="1:1" ht="12.75">
      <c r="A561" s="59"/>
    </row>
    <row r="562" spans="1:1" ht="12.75">
      <c r="A562" s="59"/>
    </row>
    <row r="563" spans="1:1" ht="12.75">
      <c r="A563" s="59"/>
    </row>
    <row r="564" spans="1:1" ht="12.75">
      <c r="A564" s="59"/>
    </row>
    <row r="565" spans="1:1" ht="12.75">
      <c r="A565" s="59"/>
    </row>
    <row r="566" spans="1:1" ht="12.75">
      <c r="A566" s="59"/>
    </row>
    <row r="567" spans="1:1" ht="12.75">
      <c r="A567" s="59"/>
    </row>
    <row r="568" spans="1:1" ht="12.75">
      <c r="A568" s="59"/>
    </row>
    <row r="569" spans="1:1" ht="12.75">
      <c r="A569" s="59"/>
    </row>
    <row r="570" spans="1:1" ht="12.75">
      <c r="A570" s="59"/>
    </row>
    <row r="571" spans="1:1" ht="12.75">
      <c r="A571" s="59"/>
    </row>
    <row r="572" spans="1:1" ht="12.75">
      <c r="A572" s="59"/>
    </row>
    <row r="573" spans="1:1" ht="12.75">
      <c r="A573" s="59"/>
    </row>
    <row r="574" spans="1:1" ht="12.75">
      <c r="A574" s="59"/>
    </row>
    <row r="575" spans="1:1" ht="12.75">
      <c r="A575" s="59"/>
    </row>
    <row r="576" spans="1:1" ht="12.75">
      <c r="A576" s="59"/>
    </row>
    <row r="577" spans="1:1" ht="12.75">
      <c r="A577" s="59"/>
    </row>
    <row r="578" spans="1:1" ht="12.75">
      <c r="A578" s="59"/>
    </row>
    <row r="579" spans="1:1" ht="12.75">
      <c r="A579" s="59"/>
    </row>
    <row r="580" spans="1:1" ht="12.75">
      <c r="A580" s="59"/>
    </row>
    <row r="581" spans="1:1" ht="12.75">
      <c r="A581" s="59"/>
    </row>
    <row r="582" spans="1:1" ht="12.75">
      <c r="A582" s="59"/>
    </row>
    <row r="583" spans="1:1" ht="12.75">
      <c r="A583" s="59"/>
    </row>
    <row r="584" spans="1:1" ht="12.75">
      <c r="A584" s="59"/>
    </row>
    <row r="585" spans="1:1" ht="12.75">
      <c r="A585" s="59"/>
    </row>
    <row r="586" spans="1:1" ht="12.75">
      <c r="A586" s="59"/>
    </row>
    <row r="587" spans="1:1" ht="12.75">
      <c r="A587" s="59"/>
    </row>
    <row r="588" spans="1:1" ht="12.75">
      <c r="A588" s="59"/>
    </row>
    <row r="589" spans="1:1" ht="12.75">
      <c r="A589" s="59"/>
    </row>
    <row r="590" spans="1:1" ht="12.75">
      <c r="A590" s="59"/>
    </row>
    <row r="591" spans="1:1" ht="12.75">
      <c r="A591" s="59"/>
    </row>
    <row r="592" spans="1:1" ht="12.75">
      <c r="A592" s="59"/>
    </row>
    <row r="593" spans="1:1" ht="12.75">
      <c r="A593" s="59"/>
    </row>
    <row r="594" spans="1:1" ht="12.75">
      <c r="A594" s="59"/>
    </row>
    <row r="595" spans="1:1" ht="12.75">
      <c r="A595" s="59"/>
    </row>
    <row r="596" spans="1:1" ht="12.75">
      <c r="A596" s="59"/>
    </row>
    <row r="597" spans="1:1" ht="12.75">
      <c r="A597" s="59"/>
    </row>
    <row r="598" spans="1:1" ht="12.75">
      <c r="A598" s="59"/>
    </row>
    <row r="599" spans="1:1" ht="12.75">
      <c r="A599" s="59"/>
    </row>
    <row r="600" spans="1:1" ht="12.75">
      <c r="A600" s="59"/>
    </row>
    <row r="601" spans="1:1" ht="12.75">
      <c r="A601" s="59"/>
    </row>
    <row r="602" spans="1:1" ht="12.75">
      <c r="A602" s="59"/>
    </row>
    <row r="603" spans="1:1" ht="12.75">
      <c r="A603" s="59"/>
    </row>
    <row r="604" spans="1:1" ht="12.75">
      <c r="A604" s="59"/>
    </row>
    <row r="605" spans="1:1" ht="12.75">
      <c r="A605" s="59"/>
    </row>
    <row r="606" spans="1:1" ht="12.75">
      <c r="A606" s="59"/>
    </row>
    <row r="607" spans="1:1" ht="12.75">
      <c r="A607" s="59"/>
    </row>
    <row r="608" spans="1:1" ht="12.75">
      <c r="A608" s="59"/>
    </row>
    <row r="609" spans="1:1" ht="12.75">
      <c r="A609" s="59"/>
    </row>
    <row r="610" spans="1:1" ht="12.75">
      <c r="A610" s="59"/>
    </row>
    <row r="611" spans="1:1" ht="12.75">
      <c r="A611" s="59"/>
    </row>
    <row r="612" spans="1:1" ht="12.75">
      <c r="A612" s="59"/>
    </row>
    <row r="613" spans="1:1" ht="12.75">
      <c r="A613" s="59"/>
    </row>
    <row r="614" spans="1:1" ht="12.75">
      <c r="A614" s="59"/>
    </row>
    <row r="615" spans="1:1" ht="12.75">
      <c r="A615" s="59"/>
    </row>
    <row r="616" spans="1:1" ht="12.75">
      <c r="A616" s="59"/>
    </row>
    <row r="617" spans="1:1" ht="12.75">
      <c r="A617" s="59"/>
    </row>
    <row r="618" spans="1:1" ht="12.75">
      <c r="A618" s="59"/>
    </row>
    <row r="619" spans="1:1" ht="12.75">
      <c r="A619" s="59"/>
    </row>
    <row r="620" spans="1:1" ht="12.75">
      <c r="A620" s="59"/>
    </row>
    <row r="621" spans="1:1" ht="12.75">
      <c r="A621" s="59"/>
    </row>
    <row r="622" spans="1:1" ht="12.75">
      <c r="A622" s="59"/>
    </row>
    <row r="623" spans="1:1" ht="12.75">
      <c r="A623" s="59"/>
    </row>
    <row r="624" spans="1:1" ht="12.75">
      <c r="A624" s="59"/>
    </row>
    <row r="625" spans="1:1" ht="12.75">
      <c r="A625" s="59"/>
    </row>
    <row r="626" spans="1:1" ht="12.75">
      <c r="A626" s="59"/>
    </row>
    <row r="627" spans="1:1" ht="12.75">
      <c r="A627" s="59"/>
    </row>
    <row r="628" spans="1:1" ht="12.75">
      <c r="A628" s="59"/>
    </row>
    <row r="629" spans="1:1" ht="12.75">
      <c r="A629" s="59"/>
    </row>
    <row r="630" spans="1:1" ht="12.75">
      <c r="A630" s="59"/>
    </row>
    <row r="631" spans="1:1" ht="12.75">
      <c r="A631" s="59"/>
    </row>
    <row r="632" spans="1:1" ht="12.75">
      <c r="A632" s="59"/>
    </row>
    <row r="633" spans="1:1" ht="12.75">
      <c r="A633" s="59"/>
    </row>
    <row r="634" spans="1:1" ht="12.75">
      <c r="A634" s="59"/>
    </row>
    <row r="635" spans="1:1" ht="12.75">
      <c r="A635" s="59"/>
    </row>
    <row r="636" spans="1:1" ht="12.75">
      <c r="A636" s="59"/>
    </row>
    <row r="637" spans="1:1" ht="12.75">
      <c r="A637" s="59"/>
    </row>
    <row r="638" spans="1:1" ht="12.75">
      <c r="A638" s="59"/>
    </row>
    <row r="639" spans="1:1" ht="12.75">
      <c r="A639" s="59"/>
    </row>
    <row r="640" spans="1:1" ht="12.75">
      <c r="A640" s="59"/>
    </row>
    <row r="641" spans="1:1" ht="12.75">
      <c r="A641" s="59"/>
    </row>
    <row r="642" spans="1:1" ht="12.75">
      <c r="A642" s="59"/>
    </row>
    <row r="643" spans="1:1" ht="12.75">
      <c r="A643" s="59"/>
    </row>
    <row r="644" spans="1:1" ht="12.75">
      <c r="A644" s="59"/>
    </row>
    <row r="645" spans="1:1" ht="12.75">
      <c r="A645" s="59"/>
    </row>
    <row r="646" spans="1:1" ht="12.75">
      <c r="A646" s="59"/>
    </row>
    <row r="647" spans="1:1" ht="12.75">
      <c r="A647" s="59"/>
    </row>
    <row r="648" spans="1:1" ht="12.75">
      <c r="A648" s="59"/>
    </row>
    <row r="649" spans="1:1" ht="12.75">
      <c r="A649" s="59"/>
    </row>
    <row r="650" spans="1:1" ht="12.75">
      <c r="A650" s="59"/>
    </row>
    <row r="651" spans="1:1" ht="12.75">
      <c r="A651" s="59"/>
    </row>
    <row r="652" spans="1:1" ht="12.75">
      <c r="A652" s="59"/>
    </row>
    <row r="653" spans="1:1" ht="12.75">
      <c r="A653" s="59"/>
    </row>
    <row r="654" spans="1:1" ht="12.75">
      <c r="A654" s="59"/>
    </row>
    <row r="655" spans="1:1" ht="12.75">
      <c r="A655" s="59"/>
    </row>
    <row r="656" spans="1:1" ht="12.75">
      <c r="A656" s="59"/>
    </row>
    <row r="657" spans="1:1" ht="12.75">
      <c r="A657" s="59"/>
    </row>
    <row r="658" spans="1:1" ht="12.75">
      <c r="A658" s="59"/>
    </row>
    <row r="659" spans="1:1" ht="12.75">
      <c r="A659" s="59"/>
    </row>
    <row r="660" spans="1:1" ht="12.75">
      <c r="A660" s="59"/>
    </row>
    <row r="661" spans="1:1" ht="12.75">
      <c r="A661" s="59"/>
    </row>
    <row r="662" spans="1:1" ht="12.75">
      <c r="A662" s="59"/>
    </row>
    <row r="663" spans="1:1" ht="12.75">
      <c r="A663" s="59"/>
    </row>
    <row r="664" spans="1:1" ht="12.75">
      <c r="A664" s="59"/>
    </row>
    <row r="665" spans="1:1" ht="12.75">
      <c r="A665" s="59"/>
    </row>
    <row r="666" spans="1:1" ht="12.75">
      <c r="A666" s="59"/>
    </row>
    <row r="667" spans="1:1" ht="12.75">
      <c r="A667" s="59"/>
    </row>
    <row r="668" spans="1:1" ht="12.75">
      <c r="A668" s="59"/>
    </row>
    <row r="669" spans="1:1" ht="12.75">
      <c r="A669" s="59"/>
    </row>
    <row r="670" spans="1:1" ht="12.75">
      <c r="A670" s="59"/>
    </row>
    <row r="671" spans="1:1" ht="12.75">
      <c r="A671" s="59"/>
    </row>
    <row r="672" spans="1:1" ht="12.75">
      <c r="A672" s="59"/>
    </row>
    <row r="673" spans="1:1" ht="12.75">
      <c r="A673" s="59"/>
    </row>
    <row r="674" spans="1:1" ht="12.75">
      <c r="A674" s="59"/>
    </row>
    <row r="675" spans="1:1" ht="12.75">
      <c r="A675" s="59"/>
    </row>
    <row r="676" spans="1:1" ht="12.75">
      <c r="A676" s="59"/>
    </row>
    <row r="677" spans="1:1" ht="12.75">
      <c r="A677" s="59"/>
    </row>
    <row r="678" spans="1:1" ht="12.75">
      <c r="A678" s="59"/>
    </row>
    <row r="679" spans="1:1" ht="12.75">
      <c r="A679" s="59"/>
    </row>
    <row r="680" spans="1:1" ht="12.75">
      <c r="A680" s="59"/>
    </row>
    <row r="681" spans="1:1" ht="12.75">
      <c r="A681" s="59"/>
    </row>
    <row r="682" spans="1:1" ht="12.75">
      <c r="A682" s="59"/>
    </row>
    <row r="683" spans="1:1" ht="12.75">
      <c r="A683" s="59"/>
    </row>
    <row r="684" spans="1:1" ht="12.75">
      <c r="A684" s="59"/>
    </row>
    <row r="685" spans="1:1" ht="12.75">
      <c r="A685" s="59"/>
    </row>
    <row r="686" spans="1:1" ht="12.75">
      <c r="A686" s="59"/>
    </row>
    <row r="687" spans="1:1" ht="12.75">
      <c r="A687" s="59"/>
    </row>
    <row r="688" spans="1:1" ht="12.75">
      <c r="A688" s="59"/>
    </row>
    <row r="689" spans="1:1" ht="12.75">
      <c r="A689" s="59"/>
    </row>
    <row r="690" spans="1:1" ht="12.75">
      <c r="A690" s="59"/>
    </row>
    <row r="691" spans="1:1" ht="12.75">
      <c r="A691" s="59"/>
    </row>
    <row r="692" spans="1:1" ht="12.75">
      <c r="A692" s="59"/>
    </row>
    <row r="693" spans="1:1" ht="12.75">
      <c r="A693" s="59"/>
    </row>
    <row r="694" spans="1:1" ht="12.75">
      <c r="A694" s="59"/>
    </row>
    <row r="695" spans="1:1" ht="12.75">
      <c r="A695" s="59"/>
    </row>
    <row r="696" spans="1:1" ht="12.75">
      <c r="A696" s="59"/>
    </row>
    <row r="697" spans="1:1" ht="12.75">
      <c r="A697" s="59"/>
    </row>
    <row r="698" spans="1:1" ht="12.75">
      <c r="A698" s="59"/>
    </row>
    <row r="699" spans="1:1" ht="12.75">
      <c r="A699" s="59"/>
    </row>
    <row r="700" spans="1:1" ht="12.75">
      <c r="A700" s="59"/>
    </row>
    <row r="701" spans="1:1" ht="12.75">
      <c r="A701" s="59"/>
    </row>
    <row r="702" spans="1:1" ht="12.75">
      <c r="A702" s="59"/>
    </row>
    <row r="703" spans="1:1" ht="12.75">
      <c r="A703" s="59"/>
    </row>
    <row r="704" spans="1:1" ht="12.75">
      <c r="A704" s="59"/>
    </row>
    <row r="705" spans="1:1" ht="12.75">
      <c r="A705" s="59"/>
    </row>
    <row r="706" spans="1:1" ht="12.75">
      <c r="A706" s="59"/>
    </row>
    <row r="707" spans="1:1" ht="12.75">
      <c r="A707" s="59"/>
    </row>
    <row r="708" spans="1:1" ht="12.75">
      <c r="A708" s="59"/>
    </row>
    <row r="709" spans="1:1" ht="12.75">
      <c r="A709" s="59"/>
    </row>
    <row r="710" spans="1:1" ht="12.75">
      <c r="A710" s="59"/>
    </row>
    <row r="711" spans="1:1" ht="12.75">
      <c r="A711" s="59"/>
    </row>
    <row r="712" spans="1:1" ht="12.75">
      <c r="A712" s="59"/>
    </row>
    <row r="713" spans="1:1" ht="12.75">
      <c r="A713" s="59"/>
    </row>
    <row r="714" spans="1:1" ht="12.75">
      <c r="A714" s="59"/>
    </row>
    <row r="715" spans="1:1" ht="12.75">
      <c r="A715" s="59"/>
    </row>
    <row r="716" spans="1:1" ht="12.75">
      <c r="A716" s="59"/>
    </row>
    <row r="717" spans="1:1" ht="12.75">
      <c r="A717" s="59"/>
    </row>
    <row r="718" spans="1:1" ht="12.75">
      <c r="A718" s="59"/>
    </row>
    <row r="719" spans="1:1" ht="12.75">
      <c r="A719" s="59"/>
    </row>
    <row r="720" spans="1:1" ht="12.75">
      <c r="A720" s="59"/>
    </row>
    <row r="721" spans="1:1" ht="12.75">
      <c r="A721" s="59"/>
    </row>
    <row r="722" spans="1:1" ht="12.75">
      <c r="A722" s="59"/>
    </row>
    <row r="723" spans="1:1" ht="12.75">
      <c r="A723" s="59"/>
    </row>
    <row r="724" spans="1:1" ht="12.75">
      <c r="A724" s="59"/>
    </row>
    <row r="725" spans="1:1" ht="12.75">
      <c r="A725" s="59"/>
    </row>
    <row r="726" spans="1:1" ht="12.75">
      <c r="A726" s="59"/>
    </row>
    <row r="727" spans="1:1" ht="12.75">
      <c r="A727" s="59"/>
    </row>
    <row r="728" spans="1:1" ht="12.75">
      <c r="A728" s="59"/>
    </row>
    <row r="729" spans="1:1" ht="12.75">
      <c r="A729" s="59"/>
    </row>
    <row r="730" spans="1:1" ht="12.75">
      <c r="A730" s="59"/>
    </row>
    <row r="731" spans="1:1" ht="12.75">
      <c r="A731" s="59"/>
    </row>
    <row r="732" spans="1:1" ht="12.75">
      <c r="A732" s="59"/>
    </row>
    <row r="733" spans="1:1" ht="12.75">
      <c r="A733" s="59"/>
    </row>
    <row r="734" spans="1:1" ht="12.75">
      <c r="A734" s="59"/>
    </row>
    <row r="735" spans="1:1" ht="12.75">
      <c r="A735" s="59"/>
    </row>
    <row r="736" spans="1:1" ht="12.75">
      <c r="A736" s="59"/>
    </row>
    <row r="737" spans="1:1" ht="12.75">
      <c r="A737" s="59"/>
    </row>
    <row r="738" spans="1:1" ht="12.75">
      <c r="A738" s="59"/>
    </row>
    <row r="739" spans="1:1" ht="12.75">
      <c r="A739" s="59"/>
    </row>
    <row r="740" spans="1:1" ht="12.75">
      <c r="A740" s="59"/>
    </row>
    <row r="741" spans="1:1" ht="12.75">
      <c r="A741" s="59"/>
    </row>
    <row r="742" spans="1:1" ht="12.75">
      <c r="A742" s="59"/>
    </row>
    <row r="743" spans="1:1" ht="12.75">
      <c r="A743" s="59"/>
    </row>
    <row r="744" spans="1:1" ht="12.75">
      <c r="A744" s="59"/>
    </row>
    <row r="745" spans="1:1" ht="12.75">
      <c r="A745" s="59"/>
    </row>
    <row r="746" spans="1:1" ht="12.75">
      <c r="A746" s="59"/>
    </row>
    <row r="747" spans="1:1" ht="12.75">
      <c r="A747" s="59"/>
    </row>
    <row r="748" spans="1:1" ht="12.75">
      <c r="A748" s="59"/>
    </row>
    <row r="749" spans="1:1" ht="12.75">
      <c r="A749" s="59"/>
    </row>
    <row r="750" spans="1:1" ht="12.75">
      <c r="A750" s="59"/>
    </row>
    <row r="751" spans="1:1" ht="12.75">
      <c r="A751" s="59"/>
    </row>
    <row r="752" spans="1:1" ht="12.75">
      <c r="A752" s="59"/>
    </row>
    <row r="753" spans="1:1" ht="12.75">
      <c r="A753" s="59"/>
    </row>
    <row r="754" spans="1:1" ht="12.75">
      <c r="A754" s="59"/>
    </row>
    <row r="755" spans="1:1" ht="12.75">
      <c r="A755" s="59"/>
    </row>
    <row r="756" spans="1:1" ht="12.75">
      <c r="A756" s="59"/>
    </row>
    <row r="757" spans="1:1" ht="12.75">
      <c r="A757" s="59"/>
    </row>
    <row r="758" spans="1:1" ht="12.75">
      <c r="A758" s="59"/>
    </row>
    <row r="759" spans="1:1" ht="12.75">
      <c r="A759" s="59"/>
    </row>
    <row r="760" spans="1:1" ht="12.75">
      <c r="A760" s="59"/>
    </row>
    <row r="761" spans="1:1" ht="12.75">
      <c r="A761" s="59"/>
    </row>
    <row r="762" spans="1:1" ht="12.75">
      <c r="A762" s="59"/>
    </row>
    <row r="763" spans="1:1" ht="12.75">
      <c r="A763" s="59"/>
    </row>
    <row r="764" spans="1:1" ht="12.75">
      <c r="A764" s="59"/>
    </row>
    <row r="765" spans="1:1" ht="12.75">
      <c r="A765" s="59"/>
    </row>
    <row r="766" spans="1:1" ht="12.75">
      <c r="A766" s="59"/>
    </row>
    <row r="767" spans="1:1" ht="12.75">
      <c r="A767" s="59"/>
    </row>
    <row r="768" spans="1:1" ht="12.75">
      <c r="A768" s="59"/>
    </row>
    <row r="769" spans="1:1" ht="12.75">
      <c r="A769" s="59"/>
    </row>
    <row r="770" spans="1:1" ht="12.75">
      <c r="A770" s="59"/>
    </row>
    <row r="771" spans="1:1" ht="12.75">
      <c r="A771" s="59"/>
    </row>
    <row r="772" spans="1:1" ht="12.75">
      <c r="A772" s="59"/>
    </row>
    <row r="773" spans="1:1" ht="12.75">
      <c r="A773" s="59"/>
    </row>
    <row r="774" spans="1:1" ht="12.75">
      <c r="A774" s="59"/>
    </row>
    <row r="775" spans="1:1" ht="12.75">
      <c r="A775" s="59"/>
    </row>
    <row r="776" spans="1:1" ht="12.75">
      <c r="A776" s="59"/>
    </row>
    <row r="777" spans="1:1" ht="12.75">
      <c r="A777" s="59"/>
    </row>
    <row r="778" spans="1:1" ht="12.75">
      <c r="A778" s="59"/>
    </row>
    <row r="779" spans="1:1" ht="12.75">
      <c r="A779" s="59"/>
    </row>
    <row r="780" spans="1:1" ht="12.75">
      <c r="A780" s="59"/>
    </row>
    <row r="781" spans="1:1" ht="12.75">
      <c r="A781" s="59"/>
    </row>
    <row r="782" spans="1:1" ht="12.75">
      <c r="A782" s="59"/>
    </row>
    <row r="783" spans="1:1" ht="12.75">
      <c r="A783" s="59"/>
    </row>
    <row r="784" spans="1:1" ht="12.75">
      <c r="A784" s="59"/>
    </row>
    <row r="785" spans="1:1" ht="12.75">
      <c r="A785" s="59"/>
    </row>
    <row r="786" spans="1:1" ht="12.75">
      <c r="A786" s="59"/>
    </row>
    <row r="787" spans="1:1" ht="12.75">
      <c r="A787" s="59"/>
    </row>
    <row r="788" spans="1:1" ht="12.75">
      <c r="A788" s="59"/>
    </row>
    <row r="789" spans="1:1" ht="12.75">
      <c r="A789" s="59"/>
    </row>
    <row r="790" spans="1:1" ht="12.75">
      <c r="A790" s="59"/>
    </row>
    <row r="791" spans="1:1" ht="12.75">
      <c r="A791" s="59"/>
    </row>
    <row r="792" spans="1:1" ht="12.75">
      <c r="A792" s="59"/>
    </row>
    <row r="793" spans="1:1" ht="12.75">
      <c r="A793" s="59"/>
    </row>
    <row r="794" spans="1:1" ht="12.75">
      <c r="A794" s="59"/>
    </row>
    <row r="795" spans="1:1" ht="12.75">
      <c r="A795" s="59"/>
    </row>
    <row r="796" spans="1:1" ht="12.75">
      <c r="A796" s="59"/>
    </row>
    <row r="797" spans="1:1" ht="12.75">
      <c r="A797" s="59"/>
    </row>
    <row r="798" spans="1:1" ht="12.75">
      <c r="A798" s="59"/>
    </row>
    <row r="799" spans="1:1" ht="12.75">
      <c r="A799" s="59"/>
    </row>
    <row r="800" spans="1:1" ht="12.75">
      <c r="A800" s="59"/>
    </row>
    <row r="801" spans="1:1" ht="12.75">
      <c r="A801" s="59"/>
    </row>
    <row r="802" spans="1:1" ht="12.75">
      <c r="A802" s="59"/>
    </row>
    <row r="803" spans="1:1" ht="12.75">
      <c r="A803" s="59"/>
    </row>
    <row r="804" spans="1:1" ht="12.75">
      <c r="A804" s="59"/>
    </row>
    <row r="805" spans="1:1" ht="12.75">
      <c r="A805" s="59"/>
    </row>
    <row r="806" spans="1:1" ht="12.75">
      <c r="A806" s="59"/>
    </row>
    <row r="807" spans="1:1" ht="12.75">
      <c r="A807" s="59"/>
    </row>
    <row r="808" spans="1:1" ht="12.75">
      <c r="A808" s="59"/>
    </row>
    <row r="809" spans="1:1" ht="12.75">
      <c r="A809" s="59"/>
    </row>
    <row r="810" spans="1:1" ht="12.75">
      <c r="A810" s="59"/>
    </row>
    <row r="811" spans="1:1" ht="12.75">
      <c r="A811" s="59"/>
    </row>
    <row r="812" spans="1:1" ht="12.75">
      <c r="A812" s="59"/>
    </row>
    <row r="813" spans="1:1" ht="12.75">
      <c r="A813" s="59"/>
    </row>
    <row r="814" spans="1:1" ht="12.75">
      <c r="A814" s="59"/>
    </row>
    <row r="815" spans="1:1" ht="12.75">
      <c r="A815" s="59"/>
    </row>
    <row r="816" spans="1:1" ht="12.75">
      <c r="A816" s="59"/>
    </row>
    <row r="817" spans="1:1" ht="12.75">
      <c r="A817" s="59"/>
    </row>
    <row r="818" spans="1:1" ht="12.75">
      <c r="A818" s="59"/>
    </row>
    <row r="819" spans="1:1" ht="12.75">
      <c r="A819" s="59"/>
    </row>
    <row r="820" spans="1:1" ht="12.75">
      <c r="A820" s="59"/>
    </row>
    <row r="821" spans="1:1" ht="12.75">
      <c r="A821" s="59"/>
    </row>
    <row r="822" spans="1:1" ht="12.75">
      <c r="A822" s="59"/>
    </row>
    <row r="823" spans="1:1" ht="12.75">
      <c r="A823" s="59"/>
    </row>
    <row r="824" spans="1:1" ht="12.75">
      <c r="A824" s="59"/>
    </row>
    <row r="825" spans="1:1" ht="12.75">
      <c r="A825" s="59"/>
    </row>
    <row r="826" spans="1:1" ht="12.75">
      <c r="A826" s="59"/>
    </row>
    <row r="827" spans="1:1" ht="12.75">
      <c r="A827" s="59"/>
    </row>
    <row r="828" spans="1:1" ht="12.75">
      <c r="A828" s="59"/>
    </row>
    <row r="829" spans="1:1" ht="12.75">
      <c r="A829" s="59"/>
    </row>
    <row r="830" spans="1:1" ht="12.75">
      <c r="A830" s="59"/>
    </row>
    <row r="831" spans="1:1" ht="12.75">
      <c r="A831" s="59"/>
    </row>
    <row r="832" spans="1:1" ht="12.75">
      <c r="A832" s="59"/>
    </row>
    <row r="833" spans="1:1" ht="12.75">
      <c r="A833" s="59"/>
    </row>
    <row r="834" spans="1:1" ht="12.75">
      <c r="A834" s="59"/>
    </row>
    <row r="835" spans="1:1" ht="12.75">
      <c r="A835" s="59"/>
    </row>
    <row r="836" spans="1:1" ht="12.75">
      <c r="A836" s="59"/>
    </row>
    <row r="837" spans="1:1" ht="12.75">
      <c r="A837" s="59"/>
    </row>
    <row r="838" spans="1:1" ht="12.75">
      <c r="A838" s="59"/>
    </row>
    <row r="839" spans="1:1" ht="12.75">
      <c r="A839" s="59"/>
    </row>
    <row r="840" spans="1:1" ht="12.75">
      <c r="A840" s="59"/>
    </row>
    <row r="841" spans="1:1" ht="12.75">
      <c r="A841" s="59"/>
    </row>
    <row r="842" spans="1:1" ht="12.75">
      <c r="A842" s="59"/>
    </row>
    <row r="843" spans="1:1" ht="12.75">
      <c r="A843" s="59"/>
    </row>
    <row r="844" spans="1:1" ht="12.75">
      <c r="A844" s="59"/>
    </row>
    <row r="845" spans="1:1" ht="12.75">
      <c r="A845" s="59"/>
    </row>
    <row r="846" spans="1:1" ht="12.75">
      <c r="A846" s="59"/>
    </row>
    <row r="847" spans="1:1" ht="12.75">
      <c r="A847" s="59"/>
    </row>
    <row r="848" spans="1:1" ht="12.75">
      <c r="A848" s="59"/>
    </row>
    <row r="849" spans="1:1" ht="12.75">
      <c r="A849" s="59"/>
    </row>
    <row r="850" spans="1:1" ht="12.75">
      <c r="A850" s="59"/>
    </row>
    <row r="851" spans="1:1" ht="12.75">
      <c r="A851" s="59"/>
    </row>
    <row r="852" spans="1:1" ht="12.75">
      <c r="A852" s="59"/>
    </row>
    <row r="853" spans="1:1" ht="12.75">
      <c r="A853" s="59"/>
    </row>
    <row r="854" spans="1:1" ht="12.75">
      <c r="A854" s="59"/>
    </row>
    <row r="855" spans="1:1" ht="12.75">
      <c r="A855" s="59"/>
    </row>
    <row r="856" spans="1:1" ht="12.75">
      <c r="A856" s="59"/>
    </row>
    <row r="857" spans="1:1" ht="12.75">
      <c r="A857" s="59"/>
    </row>
    <row r="858" spans="1:1" ht="12.75">
      <c r="A858" s="59"/>
    </row>
    <row r="859" spans="1:1" ht="12.75">
      <c r="A859" s="59"/>
    </row>
    <row r="860" spans="1:1" ht="12.75">
      <c r="A860" s="59"/>
    </row>
    <row r="861" spans="1:1" ht="12.75">
      <c r="A861" s="59"/>
    </row>
    <row r="862" spans="1:1" ht="12.75">
      <c r="A862" s="59"/>
    </row>
    <row r="863" spans="1:1" ht="12.75">
      <c r="A863" s="59"/>
    </row>
    <row r="864" spans="1:1" ht="12.75">
      <c r="A864" s="59"/>
    </row>
    <row r="865" spans="1:1" ht="12.75">
      <c r="A865" s="59"/>
    </row>
    <row r="866" spans="1:1" ht="12.75">
      <c r="A866" s="59"/>
    </row>
    <row r="867" spans="1:1" ht="12.75">
      <c r="A867" s="59"/>
    </row>
    <row r="868" spans="1:1" ht="12.75">
      <c r="A868" s="59"/>
    </row>
    <row r="869" spans="1:1" ht="12.75">
      <c r="A869" s="59"/>
    </row>
    <row r="870" spans="1:1" ht="12.75">
      <c r="A870" s="59"/>
    </row>
    <row r="871" spans="1:1" ht="12.75">
      <c r="A871" s="59"/>
    </row>
    <row r="872" spans="1:1" ht="12.75">
      <c r="A872" s="59"/>
    </row>
    <row r="873" spans="1:1" ht="12.75">
      <c r="A873" s="59"/>
    </row>
    <row r="874" spans="1:1" ht="12.75">
      <c r="A874" s="59"/>
    </row>
    <row r="875" spans="1:1" ht="12.75">
      <c r="A875" s="59"/>
    </row>
    <row r="876" spans="1:1" ht="12.75">
      <c r="A876" s="59"/>
    </row>
    <row r="877" spans="1:1" ht="12.75">
      <c r="A877" s="59"/>
    </row>
    <row r="878" spans="1:1" ht="12.75">
      <c r="A878" s="59"/>
    </row>
    <row r="879" spans="1:1" ht="12.75">
      <c r="A879" s="59"/>
    </row>
    <row r="880" spans="1:1" ht="12.75">
      <c r="A880" s="59"/>
    </row>
    <row r="881" spans="1:1" ht="12.75">
      <c r="A881" s="59"/>
    </row>
    <row r="882" spans="1:1" ht="12.75">
      <c r="A882" s="59"/>
    </row>
    <row r="883" spans="1:1" ht="12.75">
      <c r="A883" s="59"/>
    </row>
    <row r="884" spans="1:1" ht="12.75">
      <c r="A884" s="59"/>
    </row>
    <row r="885" spans="1:1" ht="12.75">
      <c r="A885" s="59"/>
    </row>
    <row r="886" spans="1:1" ht="12.75">
      <c r="A886" s="59"/>
    </row>
    <row r="887" spans="1:1" ht="12.75">
      <c r="A887" s="59"/>
    </row>
    <row r="888" spans="1:1" ht="12.75">
      <c r="A888" s="59"/>
    </row>
    <row r="889" spans="1:1" ht="12.75">
      <c r="A889" s="59"/>
    </row>
    <row r="890" spans="1:1" ht="12.75">
      <c r="A890" s="59"/>
    </row>
    <row r="891" spans="1:1" ht="12.75">
      <c r="A891" s="59"/>
    </row>
    <row r="892" spans="1:1" ht="12.75">
      <c r="A892" s="59"/>
    </row>
    <row r="893" spans="1:1" ht="12.75">
      <c r="A893" s="59"/>
    </row>
    <row r="894" spans="1:1" ht="12.75">
      <c r="A894" s="59"/>
    </row>
    <row r="895" spans="1:1" ht="12.75">
      <c r="A895" s="59"/>
    </row>
    <row r="896" spans="1:1" ht="12.75">
      <c r="A896" s="59"/>
    </row>
    <row r="897" spans="1:1" ht="12.75">
      <c r="A897" s="59"/>
    </row>
    <row r="898" spans="1:1" ht="12.75">
      <c r="A898" s="59"/>
    </row>
    <row r="899" spans="1:1" ht="12.75">
      <c r="A899" s="59"/>
    </row>
    <row r="900" spans="1:1" ht="12.75">
      <c r="A900" s="59"/>
    </row>
    <row r="901" spans="1:1" ht="12.75">
      <c r="A901" s="59"/>
    </row>
    <row r="902" spans="1:1" ht="12.75">
      <c r="A902" s="59"/>
    </row>
    <row r="903" spans="1:1" ht="12.75">
      <c r="A903" s="59"/>
    </row>
    <row r="904" spans="1:1" ht="12.75">
      <c r="A904" s="59"/>
    </row>
    <row r="905" spans="1:1" ht="12.75">
      <c r="A905" s="59"/>
    </row>
    <row r="906" spans="1:1" ht="12.75">
      <c r="A906" s="59"/>
    </row>
    <row r="907" spans="1:1" ht="12.75">
      <c r="A907" s="59"/>
    </row>
    <row r="908" spans="1:1" ht="12.75">
      <c r="A908" s="59"/>
    </row>
    <row r="909" spans="1:1" ht="12.75">
      <c r="A909" s="59"/>
    </row>
    <row r="910" spans="1:1" ht="12.75">
      <c r="A910" s="59"/>
    </row>
    <row r="911" spans="1:1" ht="12.75">
      <c r="A911" s="59"/>
    </row>
    <row r="912" spans="1:1" ht="12.75">
      <c r="A912" s="59"/>
    </row>
    <row r="913" spans="1:1" ht="12.75">
      <c r="A913" s="59"/>
    </row>
    <row r="914" spans="1:1" ht="12.75">
      <c r="A914" s="59"/>
    </row>
    <row r="915" spans="1:1" ht="12.75">
      <c r="A915" s="59"/>
    </row>
    <row r="916" spans="1:1" ht="12.75">
      <c r="A916" s="59"/>
    </row>
    <row r="917" spans="1:1" ht="12.75">
      <c r="A917" s="59"/>
    </row>
    <row r="918" spans="1:1" ht="12.75">
      <c r="A918" s="59"/>
    </row>
    <row r="919" spans="1:1" ht="12.75">
      <c r="A919" s="59"/>
    </row>
    <row r="920" spans="1:1" ht="12.75">
      <c r="A920" s="59"/>
    </row>
    <row r="921" spans="1:1" ht="12.75">
      <c r="A921" s="59"/>
    </row>
    <row r="922" spans="1:1" ht="12.75">
      <c r="A922" s="59"/>
    </row>
    <row r="923" spans="1:1" ht="12.75">
      <c r="A923" s="59"/>
    </row>
    <row r="924" spans="1:1" ht="12.75">
      <c r="A924" s="59"/>
    </row>
    <row r="925" spans="1:1" ht="12.75">
      <c r="A925" s="59"/>
    </row>
    <row r="926" spans="1:1" ht="12.75">
      <c r="A926" s="59"/>
    </row>
    <row r="927" spans="1:1" ht="12.75">
      <c r="A927" s="59"/>
    </row>
    <row r="928" spans="1:1" ht="12.75">
      <c r="A928" s="59"/>
    </row>
    <row r="929" spans="1:1" ht="12.75">
      <c r="A929" s="59"/>
    </row>
    <row r="930" spans="1:1" ht="12.75">
      <c r="A930" s="59"/>
    </row>
    <row r="931" spans="1:1" ht="12.75">
      <c r="A931" s="59"/>
    </row>
    <row r="932" spans="1:1" ht="12.75">
      <c r="A932" s="59"/>
    </row>
    <row r="933" spans="1:1" ht="12.75">
      <c r="A933" s="59"/>
    </row>
    <row r="934" spans="1:1" ht="12.75">
      <c r="A934" s="59"/>
    </row>
    <row r="935" spans="1:1" ht="12.75">
      <c r="A935" s="59"/>
    </row>
    <row r="936" spans="1:1" ht="12.75">
      <c r="A936" s="59"/>
    </row>
    <row r="937" spans="1:1" ht="12.75">
      <c r="A937" s="59"/>
    </row>
    <row r="938" spans="1:1" ht="12.75">
      <c r="A938" s="59"/>
    </row>
    <row r="939" spans="1:1" ht="12.75">
      <c r="A939" s="59"/>
    </row>
    <row r="940" spans="1:1" ht="12.75">
      <c r="A940" s="59"/>
    </row>
    <row r="941" spans="1:1" ht="12.75">
      <c r="A941" s="59"/>
    </row>
    <row r="942" spans="1:1" ht="12.75">
      <c r="A942" s="59"/>
    </row>
    <row r="943" spans="1:1" ht="12.75">
      <c r="A943" s="59"/>
    </row>
    <row r="944" spans="1:1" ht="12.75">
      <c r="A944" s="59"/>
    </row>
    <row r="945" spans="1:1" ht="12.75">
      <c r="A945" s="59"/>
    </row>
    <row r="946" spans="1:1" ht="12.75">
      <c r="A946" s="59"/>
    </row>
    <row r="947" spans="1:1" ht="12.75">
      <c r="A947" s="59"/>
    </row>
    <row r="948" spans="1:1" ht="12.75">
      <c r="A948" s="59"/>
    </row>
    <row r="949" spans="1:1" ht="12.75">
      <c r="A949" s="59"/>
    </row>
    <row r="950" spans="1:1" ht="12.75">
      <c r="A950" s="59"/>
    </row>
    <row r="951" spans="1:1" ht="12.75">
      <c r="A951" s="59"/>
    </row>
    <row r="952" spans="1:1" ht="12.75">
      <c r="A952" s="59"/>
    </row>
    <row r="953" spans="1:1" ht="12.75">
      <c r="A953" s="59"/>
    </row>
    <row r="954" spans="1:1" ht="12.75">
      <c r="A954" s="59"/>
    </row>
    <row r="955" spans="1:1" ht="12.75">
      <c r="A955" s="59"/>
    </row>
    <row r="956" spans="1:1" ht="12.75">
      <c r="A956" s="59"/>
    </row>
    <row r="957" spans="1:1" ht="12.75">
      <c r="A957" s="59"/>
    </row>
    <row r="958" spans="1:1" ht="12.75">
      <c r="A958" s="59"/>
    </row>
    <row r="959" spans="1:1" ht="12.75">
      <c r="A959" s="59"/>
    </row>
    <row r="960" spans="1:1" ht="12.75">
      <c r="A960" s="59"/>
    </row>
    <row r="961" spans="1:1" ht="12.75">
      <c r="A961" s="59"/>
    </row>
    <row r="962" spans="1:1" ht="12.75">
      <c r="A962" s="59"/>
    </row>
    <row r="963" spans="1:1" ht="12.75">
      <c r="A963" s="59"/>
    </row>
    <row r="964" spans="1:1" ht="12.75">
      <c r="A964" s="59"/>
    </row>
    <row r="965" spans="1:1" ht="12.75">
      <c r="A965" s="59"/>
    </row>
    <row r="966" spans="1:1" ht="12.75">
      <c r="A966" s="59"/>
    </row>
    <row r="967" spans="1:1" ht="12.75">
      <c r="A967" s="59"/>
    </row>
    <row r="968" spans="1:1" ht="12.75">
      <c r="A968" s="59"/>
    </row>
    <row r="969" spans="1:1" ht="12.75">
      <c r="A969" s="59"/>
    </row>
    <row r="970" spans="1:1" ht="12.75">
      <c r="A970" s="59"/>
    </row>
    <row r="971" spans="1:1" ht="12.75">
      <c r="A971" s="59"/>
    </row>
    <row r="972" spans="1:1" ht="12.75">
      <c r="A972" s="59"/>
    </row>
    <row r="973" spans="1:1" ht="12.75">
      <c r="A973" s="59"/>
    </row>
    <row r="974" spans="1:1" ht="12.75">
      <c r="A974" s="59"/>
    </row>
    <row r="975" spans="1:1" ht="12.75">
      <c r="A975" s="59"/>
    </row>
    <row r="976" spans="1:1" ht="12.75">
      <c r="A976" s="59"/>
    </row>
    <row r="977" spans="1:1" ht="12.75">
      <c r="A977" s="59"/>
    </row>
    <row r="978" spans="1:1" ht="12.75">
      <c r="A978" s="59"/>
    </row>
    <row r="979" spans="1:1" ht="12.75">
      <c r="A979" s="59"/>
    </row>
    <row r="980" spans="1:1" ht="12.75">
      <c r="A980" s="59"/>
    </row>
    <row r="981" spans="1:1" ht="12.75">
      <c r="A981" s="59"/>
    </row>
    <row r="982" spans="1:1" ht="12.75">
      <c r="A982" s="59"/>
    </row>
    <row r="983" spans="1:1" ht="12.75">
      <c r="A983" s="59"/>
    </row>
    <row r="984" spans="1:1" ht="12.75">
      <c r="A984" s="59"/>
    </row>
    <row r="985" spans="1:1" ht="12.75">
      <c r="A985" s="59"/>
    </row>
    <row r="986" spans="1:1" ht="12.75">
      <c r="A986" s="59"/>
    </row>
    <row r="987" spans="1:1" ht="12.75">
      <c r="A987" s="59"/>
    </row>
    <row r="988" spans="1:1" ht="12.75">
      <c r="A988" s="59"/>
    </row>
    <row r="989" spans="1:1" ht="12.75">
      <c r="A989" s="59"/>
    </row>
    <row r="990" spans="1:1" ht="12.75">
      <c r="A990" s="59"/>
    </row>
    <row r="991" spans="1:1" ht="12.75">
      <c r="A991" s="59"/>
    </row>
    <row r="992" spans="1:1" ht="12.75">
      <c r="A992" s="59"/>
    </row>
    <row r="993" spans="1:1" ht="12.75">
      <c r="A993" s="59"/>
    </row>
    <row r="994" spans="1:1" ht="12.75">
      <c r="A994" s="59"/>
    </row>
    <row r="995" spans="1:1" ht="12.75">
      <c r="A995" s="59"/>
    </row>
    <row r="996" spans="1:1" ht="12.75">
      <c r="A996" s="59"/>
    </row>
    <row r="997" spans="1:1" ht="12.75">
      <c r="A997" s="59"/>
    </row>
    <row r="998" spans="1:1" ht="12.75">
      <c r="A998" s="59"/>
    </row>
    <row r="999" spans="1:1" ht="12.75">
      <c r="A999" s="59"/>
    </row>
    <row r="1000" spans="1:1" ht="12.75">
      <c r="A1000" s="59"/>
    </row>
  </sheetData>
  <mergeCells count="89">
    <mergeCell ref="C13:N13"/>
    <mergeCell ref="C15:N15"/>
    <mergeCell ref="L21:M21"/>
    <mergeCell ref="N21:O21"/>
    <mergeCell ref="C16:D16"/>
    <mergeCell ref="C17:N17"/>
    <mergeCell ref="C18:N18"/>
    <mergeCell ref="C19:N19"/>
    <mergeCell ref="B21:C21"/>
    <mergeCell ref="D21:H21"/>
    <mergeCell ref="I21:J21"/>
    <mergeCell ref="C7:E7"/>
    <mergeCell ref="M7:N7"/>
    <mergeCell ref="C8:E8"/>
    <mergeCell ref="D10:K10"/>
    <mergeCell ref="C12:N12"/>
    <mergeCell ref="M4:O4"/>
    <mergeCell ref="M6:N6"/>
    <mergeCell ref="B3:D3"/>
    <mergeCell ref="E3:I3"/>
    <mergeCell ref="K3:L3"/>
    <mergeCell ref="M3:O3"/>
    <mergeCell ref="B4:I4"/>
    <mergeCell ref="J4:L4"/>
    <mergeCell ref="C6:E6"/>
    <mergeCell ref="B1:D2"/>
    <mergeCell ref="E1:I1"/>
    <mergeCell ref="J1:L1"/>
    <mergeCell ref="M1:O1"/>
    <mergeCell ref="E2:I2"/>
    <mergeCell ref="J2:L2"/>
    <mergeCell ref="M2:O2"/>
    <mergeCell ref="K36:O36"/>
    <mergeCell ref="K37:N37"/>
    <mergeCell ref="C39:N39"/>
    <mergeCell ref="D40:N40"/>
    <mergeCell ref="L27:M27"/>
    <mergeCell ref="L28:M28"/>
    <mergeCell ref="L29:M29"/>
    <mergeCell ref="N29:O29"/>
    <mergeCell ref="K30:M30"/>
    <mergeCell ref="N30:O30"/>
    <mergeCell ref="K32:L32"/>
    <mergeCell ref="C33:E33"/>
    <mergeCell ref="B36:F36"/>
    <mergeCell ref="H36:I36"/>
    <mergeCell ref="C37:E37"/>
    <mergeCell ref="H37:I37"/>
    <mergeCell ref="D28:H28"/>
    <mergeCell ref="I28:J28"/>
    <mergeCell ref="N28:O28"/>
    <mergeCell ref="D30:H30"/>
    <mergeCell ref="C32:F32"/>
    <mergeCell ref="B28:C28"/>
    <mergeCell ref="B29:C29"/>
    <mergeCell ref="D29:H29"/>
    <mergeCell ref="I29:J29"/>
    <mergeCell ref="B30:C30"/>
    <mergeCell ref="I30:J30"/>
    <mergeCell ref="B31:O31"/>
    <mergeCell ref="N24:O24"/>
    <mergeCell ref="B25:C25"/>
    <mergeCell ref="B27:C27"/>
    <mergeCell ref="D27:H27"/>
    <mergeCell ref="I27:J27"/>
    <mergeCell ref="N27:O27"/>
    <mergeCell ref="L25:M25"/>
    <mergeCell ref="N25:O25"/>
    <mergeCell ref="B26:C26"/>
    <mergeCell ref="D26:H26"/>
    <mergeCell ref="I26:J26"/>
    <mergeCell ref="L26:M26"/>
    <mergeCell ref="N26:O26"/>
    <mergeCell ref="D25:H25"/>
    <mergeCell ref="I25:J25"/>
    <mergeCell ref="B24:C24"/>
    <mergeCell ref="D24:H24"/>
    <mergeCell ref="I24:J24"/>
    <mergeCell ref="L24:M24"/>
    <mergeCell ref="B22:C22"/>
    <mergeCell ref="D22:H22"/>
    <mergeCell ref="I22:J22"/>
    <mergeCell ref="B23:C23"/>
    <mergeCell ref="N22:O22"/>
    <mergeCell ref="D23:H23"/>
    <mergeCell ref="I23:J23"/>
    <mergeCell ref="N23:O23"/>
    <mergeCell ref="L22:M22"/>
    <mergeCell ref="L23:M23"/>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outlinePr summaryBelow="0" summaryRight="0"/>
  </sheetPr>
  <dimension ref="C1:L147"/>
  <sheetViews>
    <sheetView workbookViewId="0"/>
  </sheetViews>
  <sheetFormatPr defaultColWidth="12.5703125" defaultRowHeight="15.75" customHeight="1"/>
  <cols>
    <col min="4" max="4" width="45.85546875" customWidth="1"/>
    <col min="9" max="9" width="17.140625" customWidth="1"/>
    <col min="10" max="10" width="16.85546875" customWidth="1"/>
    <col min="12" max="12" width="12.5703125" hidden="1"/>
  </cols>
  <sheetData>
    <row r="1" spans="3:12" ht="15">
      <c r="C1" s="94"/>
      <c r="D1" s="108"/>
      <c r="E1" s="94"/>
      <c r="F1" s="94"/>
      <c r="G1" s="94"/>
      <c r="H1" s="1533">
        <f>SUMIF(I5:I996,J1,H5:H996)</f>
        <v>2590000</v>
      </c>
      <c r="I1" s="1451"/>
      <c r="J1" s="1107" t="s">
        <v>4091</v>
      </c>
      <c r="L1" s="1" t="str">
        <f ca="1">IFERROR(__xludf.DUMMYFUNCTION("UNIQUE(I5:I996)"),"MOA")</f>
        <v>MOA</v>
      </c>
    </row>
    <row r="2" spans="3:12" ht="15">
      <c r="C2" s="94"/>
      <c r="D2" s="108"/>
      <c r="E2" s="94"/>
      <c r="F2" s="94"/>
      <c r="G2" s="94"/>
      <c r="H2" s="1451"/>
      <c r="I2" s="1451"/>
      <c r="L2" s="1" t="str">
        <f ca="1">IFERROR(__xludf.DUMMYFUNCTION("""COMPUTED_VALUE"""),"Public Bidding")</f>
        <v>Public Bidding</v>
      </c>
    </row>
    <row r="3" spans="3:12" ht="15">
      <c r="C3" s="94"/>
      <c r="D3" s="108"/>
      <c r="E3" s="94"/>
      <c r="F3" s="94"/>
      <c r="G3" s="94"/>
      <c r="H3" s="94"/>
      <c r="I3" s="94"/>
      <c r="L3" s="1" t="str">
        <f ca="1">IFERROR(__xludf.DUMMYFUNCTION("""COMPUTED_VALUE"""),"Agency to Agency")</f>
        <v>Agency to Agency</v>
      </c>
    </row>
    <row r="4" spans="3:12" ht="30">
      <c r="C4" s="1108" t="s">
        <v>320</v>
      </c>
      <c r="D4" s="125" t="s">
        <v>321</v>
      </c>
      <c r="E4" s="1108" t="s">
        <v>85</v>
      </c>
      <c r="F4" s="1108" t="s">
        <v>92</v>
      </c>
      <c r="G4" s="1108" t="s">
        <v>93</v>
      </c>
      <c r="H4" s="1108" t="s">
        <v>322</v>
      </c>
      <c r="I4" s="1108" t="s">
        <v>323</v>
      </c>
      <c r="L4" s="1" t="str">
        <f ca="1">IFERROR(__xludf.DUMMYFUNCTION("""COMPUTED_VALUE"""),"As needed arise")</f>
        <v>As needed arise</v>
      </c>
    </row>
    <row r="5" spans="3:12" ht="12.75" hidden="1">
      <c r="C5" s="1">
        <v>1</v>
      </c>
      <c r="D5" s="1" t="s">
        <v>408</v>
      </c>
      <c r="E5" s="1">
        <v>1</v>
      </c>
      <c r="F5" s="1" t="s">
        <v>758</v>
      </c>
      <c r="G5" s="1">
        <v>135000</v>
      </c>
      <c r="H5" s="1">
        <v>135000</v>
      </c>
      <c r="I5" s="1" t="s">
        <v>4017</v>
      </c>
      <c r="L5" s="1"/>
    </row>
    <row r="6" spans="3:12" ht="12.75" hidden="1">
      <c r="C6" s="1">
        <v>2</v>
      </c>
      <c r="D6" s="1" t="s">
        <v>356</v>
      </c>
      <c r="E6" s="1">
        <v>1</v>
      </c>
      <c r="F6" s="1" t="s">
        <v>758</v>
      </c>
      <c r="G6" s="1">
        <v>6000000</v>
      </c>
      <c r="H6" s="1">
        <v>6000000</v>
      </c>
      <c r="I6" s="1" t="s">
        <v>4017</v>
      </c>
    </row>
    <row r="7" spans="3:12" ht="12.75">
      <c r="C7" s="1">
        <v>3</v>
      </c>
      <c r="D7" s="1" t="s">
        <v>357</v>
      </c>
      <c r="E7" s="1">
        <v>4</v>
      </c>
      <c r="F7" s="1" t="s">
        <v>103</v>
      </c>
      <c r="G7" s="1">
        <v>13200</v>
      </c>
      <c r="H7" s="1">
        <v>52800</v>
      </c>
      <c r="I7" s="1" t="s">
        <v>342</v>
      </c>
    </row>
    <row r="8" spans="3:12" ht="12.75">
      <c r="C8" s="1">
        <v>4</v>
      </c>
      <c r="D8" s="1" t="s">
        <v>120</v>
      </c>
      <c r="E8" s="1">
        <v>5</v>
      </c>
      <c r="F8" s="1" t="s">
        <v>103</v>
      </c>
      <c r="G8" s="1">
        <v>8700</v>
      </c>
      <c r="H8" s="1">
        <v>43500</v>
      </c>
      <c r="I8" s="1" t="s">
        <v>342</v>
      </c>
    </row>
    <row r="9" spans="3:12" ht="12.75">
      <c r="C9" s="1">
        <v>5</v>
      </c>
      <c r="D9" s="1" t="s">
        <v>985</v>
      </c>
      <c r="E9" s="1">
        <v>5</v>
      </c>
      <c r="F9" s="1" t="s">
        <v>103</v>
      </c>
      <c r="G9" s="1">
        <v>7050</v>
      </c>
      <c r="H9" s="1">
        <v>35250</v>
      </c>
      <c r="I9" s="1" t="s">
        <v>342</v>
      </c>
    </row>
    <row r="10" spans="3:12" ht="12.75">
      <c r="C10" s="1">
        <v>6</v>
      </c>
      <c r="D10" s="1" t="s">
        <v>359</v>
      </c>
      <c r="E10" s="1">
        <v>2</v>
      </c>
      <c r="F10" s="1" t="s">
        <v>103</v>
      </c>
      <c r="G10" s="1">
        <v>28500</v>
      </c>
      <c r="H10" s="1">
        <v>57000</v>
      </c>
      <c r="I10" s="1" t="s">
        <v>342</v>
      </c>
    </row>
    <row r="11" spans="3:12" ht="12.75">
      <c r="C11" s="1">
        <v>7</v>
      </c>
      <c r="D11" s="1" t="s">
        <v>142</v>
      </c>
      <c r="E11" s="1">
        <v>30</v>
      </c>
      <c r="F11" s="1" t="s">
        <v>103</v>
      </c>
      <c r="G11" s="1">
        <v>3960</v>
      </c>
      <c r="H11" s="1">
        <v>118800</v>
      </c>
      <c r="I11" s="1" t="s">
        <v>342</v>
      </c>
    </row>
    <row r="12" spans="3:12" ht="12.75">
      <c r="C12" s="1">
        <v>8</v>
      </c>
      <c r="D12" s="1" t="s">
        <v>361</v>
      </c>
      <c r="E12" s="1">
        <v>10</v>
      </c>
      <c r="F12" s="1" t="s">
        <v>103</v>
      </c>
      <c r="G12" s="1">
        <v>4020</v>
      </c>
      <c r="H12" s="1">
        <v>40200</v>
      </c>
      <c r="I12" s="1" t="s">
        <v>342</v>
      </c>
    </row>
    <row r="13" spans="3:12" ht="12.75">
      <c r="C13" s="1">
        <v>9</v>
      </c>
      <c r="D13" s="1" t="s">
        <v>145</v>
      </c>
      <c r="E13" s="1">
        <v>50</v>
      </c>
      <c r="F13" s="1" t="s">
        <v>103</v>
      </c>
      <c r="G13" s="1">
        <v>1650</v>
      </c>
      <c r="H13" s="1">
        <v>82500</v>
      </c>
      <c r="I13" s="1" t="s">
        <v>342</v>
      </c>
    </row>
    <row r="14" spans="3:12" ht="12.75">
      <c r="C14" s="1">
        <v>10</v>
      </c>
      <c r="D14" s="1" t="s">
        <v>1017</v>
      </c>
      <c r="E14" s="1">
        <v>50</v>
      </c>
      <c r="F14" s="1" t="s">
        <v>103</v>
      </c>
      <c r="G14" s="1">
        <v>1800</v>
      </c>
      <c r="H14" s="1">
        <v>90000</v>
      </c>
      <c r="I14" s="1" t="s">
        <v>342</v>
      </c>
    </row>
    <row r="15" spans="3:12" ht="12.75">
      <c r="C15" s="1">
        <v>11</v>
      </c>
      <c r="D15" s="1" t="s">
        <v>188</v>
      </c>
      <c r="E15" s="1">
        <v>5</v>
      </c>
      <c r="F15" s="1" t="s">
        <v>189</v>
      </c>
      <c r="G15" s="1">
        <v>15750</v>
      </c>
      <c r="H15" s="1">
        <v>78750</v>
      </c>
      <c r="I15" s="1" t="s">
        <v>342</v>
      </c>
    </row>
    <row r="16" spans="3:12" ht="12.75">
      <c r="C16" s="1">
        <v>12</v>
      </c>
      <c r="D16" s="1" t="s">
        <v>1400</v>
      </c>
      <c r="E16" s="1">
        <v>1</v>
      </c>
      <c r="F16" s="1" t="s">
        <v>758</v>
      </c>
      <c r="G16" s="1">
        <v>200000</v>
      </c>
      <c r="H16" s="1">
        <v>200000</v>
      </c>
      <c r="I16" s="1" t="s">
        <v>342</v>
      </c>
    </row>
    <row r="17" spans="3:9" ht="12.75">
      <c r="C17" s="1">
        <v>13</v>
      </c>
      <c r="D17" s="1" t="s">
        <v>4018</v>
      </c>
      <c r="E17" s="1">
        <v>2</v>
      </c>
      <c r="F17" s="1" t="s">
        <v>103</v>
      </c>
      <c r="G17" s="1">
        <v>225000</v>
      </c>
      <c r="H17" s="1">
        <v>450000</v>
      </c>
      <c r="I17" s="1" t="s">
        <v>342</v>
      </c>
    </row>
    <row r="18" spans="3:9" ht="12.75">
      <c r="C18" s="1">
        <v>14</v>
      </c>
      <c r="D18" s="1" t="s">
        <v>193</v>
      </c>
      <c r="E18" s="1">
        <v>4</v>
      </c>
      <c r="F18" s="1" t="s">
        <v>103</v>
      </c>
      <c r="G18" s="1">
        <v>67500</v>
      </c>
      <c r="H18" s="1">
        <v>270000</v>
      </c>
      <c r="I18" s="1" t="s">
        <v>342</v>
      </c>
    </row>
    <row r="19" spans="3:9" ht="12.75">
      <c r="C19" s="1">
        <v>15</v>
      </c>
      <c r="D19" s="1" t="s">
        <v>2939</v>
      </c>
      <c r="E19" s="1">
        <v>5</v>
      </c>
      <c r="F19" s="1" t="s">
        <v>103</v>
      </c>
      <c r="G19" s="1">
        <v>150000</v>
      </c>
      <c r="H19" s="1">
        <v>750000</v>
      </c>
      <c r="I19" s="1" t="s">
        <v>342</v>
      </c>
    </row>
    <row r="20" spans="3:9" ht="12.75" hidden="1">
      <c r="C20" s="1">
        <v>16</v>
      </c>
      <c r="D20" s="1" t="s">
        <v>195</v>
      </c>
      <c r="E20" s="1">
        <v>3</v>
      </c>
      <c r="F20" s="1" t="s">
        <v>103</v>
      </c>
      <c r="G20" s="1">
        <v>22500</v>
      </c>
      <c r="H20" s="1">
        <v>67500</v>
      </c>
      <c r="I20" s="1" t="s">
        <v>2949</v>
      </c>
    </row>
    <row r="21" spans="3:9" ht="12.75">
      <c r="C21" s="1">
        <v>17</v>
      </c>
      <c r="D21" s="1" t="s">
        <v>2940</v>
      </c>
      <c r="E21" s="1">
        <v>1</v>
      </c>
      <c r="F21" s="1" t="s">
        <v>103</v>
      </c>
      <c r="G21" s="1">
        <v>50000</v>
      </c>
      <c r="H21" s="1">
        <v>50000</v>
      </c>
      <c r="I21" s="1" t="s">
        <v>342</v>
      </c>
    </row>
    <row r="22" spans="3:9" ht="12.75" hidden="1">
      <c r="C22" s="1">
        <v>18</v>
      </c>
      <c r="D22" s="1" t="s">
        <v>2941</v>
      </c>
      <c r="E22" s="1">
        <v>1</v>
      </c>
      <c r="F22" s="1" t="s">
        <v>758</v>
      </c>
      <c r="G22" s="1">
        <v>440000</v>
      </c>
      <c r="H22" s="1">
        <v>440000</v>
      </c>
      <c r="I22" s="1" t="s">
        <v>4091</v>
      </c>
    </row>
    <row r="23" spans="3:9" ht="12.75">
      <c r="C23" s="1">
        <v>19</v>
      </c>
      <c r="D23" s="1" t="s">
        <v>1411</v>
      </c>
      <c r="E23" s="1">
        <v>1</v>
      </c>
      <c r="F23" s="1" t="s">
        <v>758</v>
      </c>
      <c r="G23" s="1">
        <v>13000000</v>
      </c>
      <c r="H23" s="1">
        <v>13000000</v>
      </c>
      <c r="I23" s="1" t="s">
        <v>342</v>
      </c>
    </row>
    <row r="24" spans="3:9" ht="12.75">
      <c r="C24" s="1">
        <v>20</v>
      </c>
      <c r="D24" s="1" t="s">
        <v>233</v>
      </c>
      <c r="E24" s="1">
        <v>18</v>
      </c>
      <c r="F24" s="1" t="s">
        <v>103</v>
      </c>
      <c r="G24" s="1">
        <v>8850</v>
      </c>
      <c r="H24" s="1">
        <v>159300</v>
      </c>
      <c r="I24" s="1" t="s">
        <v>342</v>
      </c>
    </row>
    <row r="25" spans="3:9" ht="12.75" hidden="1">
      <c r="C25" s="1">
        <v>21</v>
      </c>
      <c r="D25" s="1" t="s">
        <v>393</v>
      </c>
      <c r="E25" s="1">
        <v>1</v>
      </c>
      <c r="F25" s="1" t="s">
        <v>758</v>
      </c>
      <c r="G25" s="1">
        <v>2150000</v>
      </c>
      <c r="H25" s="1">
        <v>2150000</v>
      </c>
      <c r="I25" s="1" t="s">
        <v>4091</v>
      </c>
    </row>
    <row r="26" spans="3:9" ht="12.75">
      <c r="C26" s="1">
        <v>22</v>
      </c>
      <c r="D26" s="1" t="s">
        <v>1403</v>
      </c>
      <c r="E26" s="1">
        <v>1</v>
      </c>
      <c r="F26" s="1" t="s">
        <v>758</v>
      </c>
      <c r="G26" s="1">
        <v>1300000</v>
      </c>
      <c r="H26" s="1">
        <v>1300000</v>
      </c>
      <c r="I26" s="1" t="s">
        <v>342</v>
      </c>
    </row>
    <row r="27" spans="3:9" ht="12.75">
      <c r="C27" s="1">
        <v>23</v>
      </c>
      <c r="D27" s="1" t="s">
        <v>250</v>
      </c>
      <c r="E27" s="1">
        <v>50</v>
      </c>
      <c r="F27" s="1" t="s">
        <v>189</v>
      </c>
      <c r="G27" s="1">
        <v>1650</v>
      </c>
      <c r="H27" s="1">
        <v>82500</v>
      </c>
      <c r="I27" s="1" t="s">
        <v>342</v>
      </c>
    </row>
    <row r="28" spans="3:9" ht="12.75">
      <c r="C28" s="1">
        <v>24</v>
      </c>
      <c r="D28" s="1" t="s">
        <v>257</v>
      </c>
      <c r="E28" s="1">
        <v>6</v>
      </c>
      <c r="F28" s="1" t="s">
        <v>103</v>
      </c>
      <c r="G28" s="1">
        <v>7650</v>
      </c>
      <c r="H28" s="1">
        <v>45900</v>
      </c>
      <c r="I28" s="1" t="s">
        <v>342</v>
      </c>
    </row>
    <row r="29" spans="3:9" ht="12.75">
      <c r="C29" s="1">
        <v>25</v>
      </c>
      <c r="D29" s="1" t="s">
        <v>258</v>
      </c>
      <c r="E29" s="1">
        <v>10</v>
      </c>
      <c r="F29" s="1" t="s">
        <v>103</v>
      </c>
      <c r="G29" s="1">
        <v>8850</v>
      </c>
      <c r="H29" s="1">
        <v>88500</v>
      </c>
      <c r="I29" s="1" t="s">
        <v>342</v>
      </c>
    </row>
    <row r="30" spans="3:9" ht="12.75">
      <c r="C30" s="1">
        <v>26</v>
      </c>
      <c r="D30" s="1" t="s">
        <v>259</v>
      </c>
      <c r="E30" s="1">
        <v>50</v>
      </c>
      <c r="F30" s="1" t="s">
        <v>103</v>
      </c>
      <c r="G30" s="1">
        <v>3375</v>
      </c>
      <c r="H30" s="1">
        <v>168750</v>
      </c>
      <c r="I30" s="1" t="s">
        <v>342</v>
      </c>
    </row>
    <row r="31" spans="3:9" ht="12.75">
      <c r="C31" s="1">
        <v>27</v>
      </c>
      <c r="D31" s="1" t="s">
        <v>275</v>
      </c>
      <c r="E31" s="1">
        <v>15</v>
      </c>
      <c r="F31" s="1" t="s">
        <v>103</v>
      </c>
      <c r="G31" s="1">
        <v>15750</v>
      </c>
      <c r="H31" s="1">
        <v>236250</v>
      </c>
      <c r="I31" s="1" t="s">
        <v>342</v>
      </c>
    </row>
    <row r="32" spans="3:9" ht="12.75">
      <c r="C32" s="1">
        <v>28</v>
      </c>
      <c r="D32" s="1" t="s">
        <v>2943</v>
      </c>
      <c r="E32" s="1">
        <v>4</v>
      </c>
      <c r="F32" s="1" t="s">
        <v>118</v>
      </c>
      <c r="G32" s="1">
        <v>17000</v>
      </c>
      <c r="H32" s="1">
        <v>68000</v>
      </c>
      <c r="I32" s="1" t="s">
        <v>342</v>
      </c>
    </row>
    <row r="33" spans="3:9" ht="12.75">
      <c r="C33" s="1">
        <v>1</v>
      </c>
      <c r="D33" s="1" t="s">
        <v>100</v>
      </c>
      <c r="E33" s="1">
        <v>50</v>
      </c>
      <c r="F33" s="1" t="s">
        <v>103</v>
      </c>
      <c r="G33" s="1">
        <v>80</v>
      </c>
      <c r="H33" s="1">
        <v>4000</v>
      </c>
      <c r="I33" s="1" t="s">
        <v>342</v>
      </c>
    </row>
    <row r="34" spans="3:9" ht="12.75">
      <c r="C34" s="1">
        <v>2</v>
      </c>
      <c r="D34" s="1" t="s">
        <v>102</v>
      </c>
      <c r="E34" s="1">
        <v>20</v>
      </c>
      <c r="F34" s="1" t="s">
        <v>103</v>
      </c>
      <c r="G34" s="1">
        <v>255</v>
      </c>
      <c r="H34" s="1">
        <v>5100</v>
      </c>
      <c r="I34" s="1" t="s">
        <v>342</v>
      </c>
    </row>
    <row r="35" spans="3:9" ht="12.75">
      <c r="C35" s="1">
        <v>3</v>
      </c>
      <c r="D35" s="1" t="s">
        <v>991</v>
      </c>
      <c r="E35" s="1">
        <v>8</v>
      </c>
      <c r="F35" s="1" t="s">
        <v>103</v>
      </c>
      <c r="G35" s="1">
        <v>5100</v>
      </c>
      <c r="H35" s="1">
        <v>40800</v>
      </c>
      <c r="I35" s="1" t="s">
        <v>342</v>
      </c>
    </row>
    <row r="36" spans="3:9" ht="12.75">
      <c r="C36" s="1">
        <v>4</v>
      </c>
      <c r="D36" s="1" t="s">
        <v>106</v>
      </c>
      <c r="E36" s="1">
        <v>25</v>
      </c>
      <c r="F36" s="1" t="s">
        <v>103</v>
      </c>
      <c r="G36" s="1">
        <v>166.4</v>
      </c>
      <c r="H36" s="1">
        <v>4160</v>
      </c>
      <c r="I36" s="1" t="s">
        <v>342</v>
      </c>
    </row>
    <row r="37" spans="3:9" ht="12.75">
      <c r="C37" s="1">
        <v>5</v>
      </c>
      <c r="D37" s="1" t="s">
        <v>1194</v>
      </c>
      <c r="E37" s="1">
        <v>1</v>
      </c>
      <c r="F37" s="1" t="s">
        <v>103</v>
      </c>
      <c r="G37" s="1">
        <v>12000</v>
      </c>
      <c r="H37" s="1">
        <v>12000</v>
      </c>
      <c r="I37" s="1" t="s">
        <v>342</v>
      </c>
    </row>
    <row r="38" spans="3:9" ht="12.75">
      <c r="C38" s="1">
        <v>6</v>
      </c>
      <c r="D38" s="1" t="s">
        <v>136</v>
      </c>
      <c r="E38" s="1">
        <v>17</v>
      </c>
      <c r="F38" s="1" t="s">
        <v>103</v>
      </c>
      <c r="G38" s="1">
        <v>300</v>
      </c>
      <c r="H38" s="1">
        <v>5100</v>
      </c>
      <c r="I38" s="1" t="s">
        <v>342</v>
      </c>
    </row>
    <row r="39" spans="3:9" ht="12.75">
      <c r="C39" s="1">
        <v>7</v>
      </c>
      <c r="D39" s="1" t="s">
        <v>141</v>
      </c>
      <c r="E39" s="1">
        <v>40</v>
      </c>
      <c r="F39" s="1" t="s">
        <v>103</v>
      </c>
      <c r="G39" s="1">
        <v>135</v>
      </c>
      <c r="H39" s="1">
        <v>5400</v>
      </c>
      <c r="I39" s="1" t="s">
        <v>342</v>
      </c>
    </row>
    <row r="40" spans="3:9" ht="12.75">
      <c r="C40" s="1">
        <v>8</v>
      </c>
      <c r="D40" s="1" t="s">
        <v>144</v>
      </c>
      <c r="E40" s="1">
        <v>25</v>
      </c>
      <c r="F40" s="1" t="s">
        <v>103</v>
      </c>
      <c r="G40" s="1">
        <v>195</v>
      </c>
      <c r="H40" s="1">
        <v>4875</v>
      </c>
      <c r="I40" s="1" t="s">
        <v>342</v>
      </c>
    </row>
    <row r="41" spans="3:9" ht="12.75">
      <c r="C41" s="1">
        <v>9</v>
      </c>
      <c r="D41" s="1" t="s">
        <v>964</v>
      </c>
      <c r="E41" s="1">
        <v>16</v>
      </c>
      <c r="F41" s="1" t="s">
        <v>103</v>
      </c>
      <c r="G41" s="1">
        <v>2400</v>
      </c>
      <c r="H41" s="1">
        <v>38400</v>
      </c>
      <c r="I41" s="1" t="s">
        <v>342</v>
      </c>
    </row>
    <row r="42" spans="3:9" ht="12.75">
      <c r="C42" s="1">
        <v>10</v>
      </c>
      <c r="D42" s="1" t="s">
        <v>363</v>
      </c>
      <c r="E42" s="1">
        <v>8</v>
      </c>
      <c r="F42" s="1" t="s">
        <v>103</v>
      </c>
      <c r="G42" s="1">
        <v>4650</v>
      </c>
      <c r="H42" s="1">
        <v>37200</v>
      </c>
      <c r="I42" s="1" t="s">
        <v>342</v>
      </c>
    </row>
    <row r="43" spans="3:9" ht="12.75">
      <c r="C43" s="1">
        <v>11</v>
      </c>
      <c r="D43" s="1" t="s">
        <v>1200</v>
      </c>
      <c r="E43" s="1">
        <v>1</v>
      </c>
      <c r="F43" s="1" t="s">
        <v>103</v>
      </c>
      <c r="G43" s="1">
        <v>30000</v>
      </c>
      <c r="H43" s="1">
        <v>30000</v>
      </c>
      <c r="I43" s="1" t="s">
        <v>342</v>
      </c>
    </row>
    <row r="44" spans="3:9" ht="12.75">
      <c r="C44" s="1">
        <v>12</v>
      </c>
      <c r="D44" s="1" t="s">
        <v>1414</v>
      </c>
      <c r="E44" s="1">
        <v>1</v>
      </c>
      <c r="F44" s="1" t="s">
        <v>118</v>
      </c>
      <c r="G44" s="1">
        <v>8100</v>
      </c>
      <c r="H44" s="1">
        <v>8100</v>
      </c>
      <c r="I44" s="1" t="s">
        <v>342</v>
      </c>
    </row>
    <row r="45" spans="3:9" ht="12.75">
      <c r="C45" s="1">
        <v>13</v>
      </c>
      <c r="D45" s="1" t="s">
        <v>366</v>
      </c>
      <c r="E45" s="1">
        <v>1</v>
      </c>
      <c r="F45" s="1" t="s">
        <v>103</v>
      </c>
      <c r="G45" s="1">
        <v>3000</v>
      </c>
      <c r="H45" s="1">
        <v>3000</v>
      </c>
      <c r="I45" s="1" t="s">
        <v>342</v>
      </c>
    </row>
    <row r="46" spans="3:9" ht="12.75">
      <c r="C46" s="1">
        <v>14</v>
      </c>
      <c r="D46" s="1" t="s">
        <v>1406</v>
      </c>
      <c r="E46" s="1">
        <v>3</v>
      </c>
      <c r="F46" s="1" t="s">
        <v>103</v>
      </c>
      <c r="G46" s="1">
        <v>900</v>
      </c>
      <c r="H46" s="1">
        <v>2700</v>
      </c>
      <c r="I46" s="1" t="s">
        <v>342</v>
      </c>
    </row>
    <row r="47" spans="3:9" ht="12.75">
      <c r="C47" s="1">
        <v>15</v>
      </c>
      <c r="D47" s="1" t="s">
        <v>154</v>
      </c>
      <c r="E47" s="1">
        <v>50</v>
      </c>
      <c r="F47" s="1" t="s">
        <v>155</v>
      </c>
      <c r="G47" s="1">
        <v>165</v>
      </c>
      <c r="H47" s="1">
        <v>8250</v>
      </c>
      <c r="I47" s="1" t="s">
        <v>342</v>
      </c>
    </row>
    <row r="48" spans="3:9" ht="12.75">
      <c r="C48" s="1">
        <v>16</v>
      </c>
      <c r="D48" s="1" t="s">
        <v>156</v>
      </c>
      <c r="E48" s="1">
        <v>40</v>
      </c>
      <c r="F48" s="1" t="s">
        <v>155</v>
      </c>
      <c r="G48" s="1">
        <v>180</v>
      </c>
      <c r="H48" s="1">
        <v>7200</v>
      </c>
      <c r="I48" s="1" t="s">
        <v>342</v>
      </c>
    </row>
    <row r="49" spans="3:9" ht="12.75">
      <c r="C49" s="1">
        <v>17</v>
      </c>
      <c r="D49" s="1" t="s">
        <v>1212</v>
      </c>
      <c r="E49" s="1">
        <v>2</v>
      </c>
      <c r="F49" s="1" t="s">
        <v>118</v>
      </c>
      <c r="G49" s="1">
        <v>23700</v>
      </c>
      <c r="H49" s="1">
        <v>47400</v>
      </c>
      <c r="I49" s="1" t="s">
        <v>342</v>
      </c>
    </row>
    <row r="50" spans="3:9" ht="12.75">
      <c r="C50" s="1">
        <v>18</v>
      </c>
      <c r="D50" s="1" t="s">
        <v>1066</v>
      </c>
      <c r="E50" s="1">
        <v>2</v>
      </c>
      <c r="F50" s="1" t="s">
        <v>189</v>
      </c>
      <c r="G50" s="1">
        <v>4500</v>
      </c>
      <c r="H50" s="1">
        <v>9000</v>
      </c>
      <c r="I50" s="1" t="s">
        <v>342</v>
      </c>
    </row>
    <row r="51" spans="3:9" ht="12.75">
      <c r="C51" s="1">
        <v>19</v>
      </c>
      <c r="D51" s="1" t="s">
        <v>190</v>
      </c>
      <c r="E51" s="1">
        <v>100</v>
      </c>
      <c r="F51" s="1" t="s">
        <v>103</v>
      </c>
      <c r="G51" s="1">
        <v>195</v>
      </c>
      <c r="H51" s="1">
        <v>19500</v>
      </c>
      <c r="I51" s="1" t="s">
        <v>342</v>
      </c>
    </row>
    <row r="52" spans="3:9" ht="12.75">
      <c r="C52" s="1">
        <v>20</v>
      </c>
      <c r="D52" s="1" t="s">
        <v>377</v>
      </c>
      <c r="E52" s="1">
        <v>1</v>
      </c>
      <c r="F52" s="1" t="s">
        <v>118</v>
      </c>
      <c r="G52" s="1">
        <v>13650</v>
      </c>
      <c r="H52" s="1">
        <v>13650</v>
      </c>
      <c r="I52" s="1" t="s">
        <v>342</v>
      </c>
    </row>
    <row r="53" spans="3:9" ht="12.75">
      <c r="C53" s="1">
        <v>21</v>
      </c>
      <c r="D53" s="1" t="s">
        <v>1223</v>
      </c>
      <c r="E53" s="1">
        <v>1</v>
      </c>
      <c r="F53" s="1" t="s">
        <v>118</v>
      </c>
      <c r="G53" s="1">
        <v>19500</v>
      </c>
      <c r="H53" s="1">
        <v>19500</v>
      </c>
      <c r="I53" s="1" t="s">
        <v>342</v>
      </c>
    </row>
    <row r="54" spans="3:9" ht="12.75">
      <c r="C54" s="1">
        <v>22</v>
      </c>
      <c r="D54" s="1" t="s">
        <v>192</v>
      </c>
      <c r="E54" s="1">
        <v>1</v>
      </c>
      <c r="F54" s="1" t="s">
        <v>118</v>
      </c>
      <c r="G54" s="1">
        <v>2970</v>
      </c>
      <c r="H54" s="1">
        <v>2970</v>
      </c>
      <c r="I54" s="1" t="s">
        <v>342</v>
      </c>
    </row>
    <row r="55" spans="3:9" ht="12.75">
      <c r="C55" s="1">
        <v>23</v>
      </c>
      <c r="D55" s="1" t="s">
        <v>1005</v>
      </c>
      <c r="E55" s="1">
        <v>40</v>
      </c>
      <c r="F55" s="1" t="s">
        <v>103</v>
      </c>
      <c r="G55" s="1">
        <v>60</v>
      </c>
      <c r="H55" s="1">
        <v>2400</v>
      </c>
      <c r="I55" s="1" t="s">
        <v>342</v>
      </c>
    </row>
    <row r="56" spans="3:9" ht="12.75">
      <c r="C56" s="1">
        <v>24</v>
      </c>
      <c r="D56" s="1" t="s">
        <v>1096</v>
      </c>
      <c r="E56" s="1">
        <v>2</v>
      </c>
      <c r="F56" s="1" t="s">
        <v>103</v>
      </c>
      <c r="G56" s="1">
        <v>6300</v>
      </c>
      <c r="H56" s="1">
        <v>12600</v>
      </c>
      <c r="I56" s="1" t="s">
        <v>342</v>
      </c>
    </row>
    <row r="57" spans="3:9" ht="12.75">
      <c r="C57" s="1">
        <v>25</v>
      </c>
      <c r="D57" s="1" t="s">
        <v>220</v>
      </c>
      <c r="E57" s="1">
        <v>6</v>
      </c>
      <c r="F57" s="1" t="s">
        <v>103</v>
      </c>
      <c r="G57" s="1">
        <v>1950</v>
      </c>
      <c r="H57" s="1">
        <v>11700</v>
      </c>
      <c r="I57" s="1" t="s">
        <v>342</v>
      </c>
    </row>
    <row r="58" spans="3:9" ht="12.75">
      <c r="C58" s="1">
        <v>26</v>
      </c>
      <c r="D58" s="1" t="s">
        <v>221</v>
      </c>
      <c r="E58" s="1">
        <v>25</v>
      </c>
      <c r="F58" s="1" t="s">
        <v>103</v>
      </c>
      <c r="G58" s="1">
        <v>135</v>
      </c>
      <c r="H58" s="1">
        <v>3375</v>
      </c>
      <c r="I58" s="1" t="s">
        <v>342</v>
      </c>
    </row>
    <row r="59" spans="3:9" ht="12.75">
      <c r="C59" s="1">
        <v>27</v>
      </c>
      <c r="D59" s="1" t="s">
        <v>1150</v>
      </c>
      <c r="E59" s="1">
        <v>10</v>
      </c>
      <c r="F59" s="1" t="s">
        <v>103</v>
      </c>
      <c r="G59" s="1">
        <v>1650</v>
      </c>
      <c r="H59" s="1">
        <v>16500</v>
      </c>
      <c r="I59" s="1" t="s">
        <v>342</v>
      </c>
    </row>
    <row r="60" spans="3:9" ht="12.75" hidden="1">
      <c r="C60" s="1">
        <v>28</v>
      </c>
      <c r="D60" s="1" t="s">
        <v>212</v>
      </c>
      <c r="E60" s="1">
        <v>120</v>
      </c>
      <c r="F60" s="1" t="s">
        <v>103</v>
      </c>
      <c r="G60" s="1">
        <v>249.6</v>
      </c>
      <c r="H60" s="1">
        <v>29952</v>
      </c>
      <c r="I60" s="1" t="s">
        <v>2949</v>
      </c>
    </row>
    <row r="61" spans="3:9" ht="12.75" hidden="1">
      <c r="C61" s="1">
        <v>29</v>
      </c>
      <c r="D61" s="1" t="s">
        <v>216</v>
      </c>
      <c r="E61" s="1">
        <v>20</v>
      </c>
      <c r="F61" s="1" t="s">
        <v>103</v>
      </c>
      <c r="G61" s="1">
        <v>249.6</v>
      </c>
      <c r="H61" s="1">
        <v>4992</v>
      </c>
      <c r="I61" s="1" t="s">
        <v>2949</v>
      </c>
    </row>
    <row r="62" spans="3:9" ht="12.75" hidden="1">
      <c r="C62" s="1">
        <v>30</v>
      </c>
      <c r="D62" s="1" t="s">
        <v>217</v>
      </c>
      <c r="E62" s="1">
        <v>20</v>
      </c>
      <c r="F62" s="1" t="s">
        <v>103</v>
      </c>
      <c r="G62" s="1">
        <v>249.6</v>
      </c>
      <c r="H62" s="1">
        <v>4992</v>
      </c>
      <c r="I62" s="1" t="s">
        <v>2949</v>
      </c>
    </row>
    <row r="63" spans="3:9" ht="12.75" hidden="1">
      <c r="C63" s="1">
        <v>31</v>
      </c>
      <c r="D63" s="1" t="s">
        <v>218</v>
      </c>
      <c r="E63" s="1">
        <v>20</v>
      </c>
      <c r="F63" s="1" t="s">
        <v>103</v>
      </c>
      <c r="G63" s="1">
        <v>249.6</v>
      </c>
      <c r="H63" s="1">
        <v>4992</v>
      </c>
      <c r="I63" s="1" t="s">
        <v>2949</v>
      </c>
    </row>
    <row r="64" spans="3:9" ht="12.75">
      <c r="C64" s="1">
        <v>32</v>
      </c>
      <c r="D64" s="1" t="s">
        <v>227</v>
      </c>
      <c r="E64" s="1">
        <v>20</v>
      </c>
      <c r="F64" s="1" t="s">
        <v>103</v>
      </c>
      <c r="G64" s="1">
        <v>435</v>
      </c>
      <c r="H64" s="1">
        <v>8700</v>
      </c>
      <c r="I64" s="1" t="s">
        <v>342</v>
      </c>
    </row>
    <row r="65" spans="3:9" ht="12.75">
      <c r="C65" s="1">
        <v>33</v>
      </c>
      <c r="D65" s="1" t="s">
        <v>228</v>
      </c>
      <c r="E65" s="1">
        <v>20</v>
      </c>
      <c r="F65" s="1" t="s">
        <v>103</v>
      </c>
      <c r="G65" s="1">
        <v>435</v>
      </c>
      <c r="H65" s="1">
        <v>8700</v>
      </c>
      <c r="I65" s="1" t="s">
        <v>342</v>
      </c>
    </row>
    <row r="66" spans="3:9" ht="12.75">
      <c r="C66" s="1">
        <v>34</v>
      </c>
      <c r="D66" s="1" t="s">
        <v>229</v>
      </c>
      <c r="E66" s="1">
        <v>20</v>
      </c>
      <c r="F66" s="1" t="s">
        <v>103</v>
      </c>
      <c r="G66" s="1">
        <v>435</v>
      </c>
      <c r="H66" s="1">
        <v>8700</v>
      </c>
      <c r="I66" s="1" t="s">
        <v>342</v>
      </c>
    </row>
    <row r="67" spans="3:9" ht="12.75">
      <c r="C67" s="1">
        <v>35</v>
      </c>
      <c r="D67" s="1" t="s">
        <v>230</v>
      </c>
      <c r="E67" s="1">
        <v>120</v>
      </c>
      <c r="F67" s="1" t="s">
        <v>103</v>
      </c>
      <c r="G67" s="1">
        <v>435</v>
      </c>
      <c r="H67" s="1">
        <v>52200</v>
      </c>
      <c r="I67" s="1" t="s">
        <v>342</v>
      </c>
    </row>
    <row r="68" spans="3:9" ht="12.75">
      <c r="C68" s="1">
        <v>36</v>
      </c>
      <c r="D68" s="1" t="s">
        <v>199</v>
      </c>
      <c r="E68" s="1">
        <v>120</v>
      </c>
      <c r="F68" s="1" t="s">
        <v>103</v>
      </c>
      <c r="G68" s="1">
        <v>435</v>
      </c>
      <c r="H68" s="1">
        <v>52200</v>
      </c>
      <c r="I68" s="1" t="s">
        <v>342</v>
      </c>
    </row>
    <row r="69" spans="3:9" ht="12.75">
      <c r="C69" s="1">
        <v>37</v>
      </c>
      <c r="D69" s="1" t="s">
        <v>209</v>
      </c>
      <c r="E69" s="1">
        <v>20</v>
      </c>
      <c r="F69" s="1" t="s">
        <v>103</v>
      </c>
      <c r="G69" s="1">
        <v>435</v>
      </c>
      <c r="H69" s="1">
        <v>8700</v>
      </c>
      <c r="I69" s="1" t="s">
        <v>342</v>
      </c>
    </row>
    <row r="70" spans="3:9" ht="12.75">
      <c r="C70" s="1">
        <v>38</v>
      </c>
      <c r="D70" s="1" t="s">
        <v>210</v>
      </c>
      <c r="E70" s="1">
        <v>20</v>
      </c>
      <c r="F70" s="1" t="s">
        <v>103</v>
      </c>
      <c r="G70" s="1">
        <v>435</v>
      </c>
      <c r="H70" s="1">
        <v>8700</v>
      </c>
      <c r="I70" s="1" t="s">
        <v>342</v>
      </c>
    </row>
    <row r="71" spans="3:9" ht="12.75">
      <c r="C71" s="1">
        <v>39</v>
      </c>
      <c r="D71" s="1" t="s">
        <v>211</v>
      </c>
      <c r="E71" s="1">
        <v>20</v>
      </c>
      <c r="F71" s="1" t="s">
        <v>103</v>
      </c>
      <c r="G71" s="1">
        <v>435</v>
      </c>
      <c r="H71" s="1">
        <v>8700</v>
      </c>
      <c r="I71" s="1" t="s">
        <v>342</v>
      </c>
    </row>
    <row r="72" spans="3:9" ht="12.75">
      <c r="C72" s="1">
        <v>40</v>
      </c>
      <c r="D72" s="1" t="s">
        <v>231</v>
      </c>
      <c r="E72" s="1">
        <v>9</v>
      </c>
      <c r="F72" s="1" t="s">
        <v>103</v>
      </c>
      <c r="G72" s="1">
        <v>1500</v>
      </c>
      <c r="H72" s="1">
        <v>13500</v>
      </c>
      <c r="I72" s="1" t="s">
        <v>342</v>
      </c>
    </row>
    <row r="73" spans="3:9" ht="12.75">
      <c r="C73" s="1">
        <v>41</v>
      </c>
      <c r="D73" s="1" t="s">
        <v>232</v>
      </c>
      <c r="E73" s="1">
        <v>5</v>
      </c>
      <c r="F73" s="1" t="s">
        <v>103</v>
      </c>
      <c r="G73" s="1">
        <v>1500</v>
      </c>
      <c r="H73" s="1">
        <v>7500</v>
      </c>
      <c r="I73" s="1" t="s">
        <v>342</v>
      </c>
    </row>
    <row r="74" spans="3:9" ht="12.75">
      <c r="C74" s="1">
        <v>42</v>
      </c>
      <c r="D74" s="1" t="s">
        <v>1177</v>
      </c>
      <c r="E74" s="1">
        <v>2</v>
      </c>
      <c r="F74" s="1" t="s">
        <v>103</v>
      </c>
      <c r="G74" s="1">
        <v>6000</v>
      </c>
      <c r="H74" s="1">
        <v>12000</v>
      </c>
      <c r="I74" s="1" t="s">
        <v>342</v>
      </c>
    </row>
    <row r="75" spans="3:9" ht="12.75">
      <c r="C75" s="1">
        <v>43</v>
      </c>
      <c r="D75" s="1" t="s">
        <v>240</v>
      </c>
      <c r="E75" s="1">
        <v>2</v>
      </c>
      <c r="F75" s="1" t="s">
        <v>103</v>
      </c>
      <c r="G75" s="1">
        <v>1350</v>
      </c>
      <c r="H75" s="1">
        <v>2700</v>
      </c>
      <c r="I75" s="1" t="s">
        <v>342</v>
      </c>
    </row>
    <row r="76" spans="3:9" ht="12.75">
      <c r="C76" s="1">
        <v>44</v>
      </c>
      <c r="D76" s="1" t="s">
        <v>1106</v>
      </c>
      <c r="E76" s="1">
        <v>3</v>
      </c>
      <c r="F76" s="1" t="s">
        <v>118</v>
      </c>
      <c r="G76" s="1">
        <v>4500</v>
      </c>
      <c r="H76" s="1">
        <v>13500</v>
      </c>
      <c r="I76" s="1" t="s">
        <v>342</v>
      </c>
    </row>
    <row r="77" spans="3:9" ht="12.75">
      <c r="C77" s="1">
        <v>45</v>
      </c>
      <c r="D77" s="1" t="s">
        <v>1422</v>
      </c>
      <c r="E77" s="1">
        <v>1</v>
      </c>
      <c r="F77" s="1" t="s">
        <v>118</v>
      </c>
      <c r="G77" s="1">
        <v>22500</v>
      </c>
      <c r="H77" s="1">
        <v>22500</v>
      </c>
      <c r="I77" s="1" t="s">
        <v>342</v>
      </c>
    </row>
    <row r="78" spans="3:9" ht="12.75">
      <c r="C78" s="1">
        <v>46</v>
      </c>
      <c r="D78" s="1" t="s">
        <v>404</v>
      </c>
      <c r="E78" s="1">
        <v>2</v>
      </c>
      <c r="F78" s="1" t="s">
        <v>118</v>
      </c>
      <c r="G78" s="1">
        <v>14850</v>
      </c>
      <c r="H78" s="1">
        <v>29700</v>
      </c>
      <c r="I78" s="1" t="s">
        <v>342</v>
      </c>
    </row>
    <row r="79" spans="3:9" ht="12.75">
      <c r="C79" s="1">
        <v>47</v>
      </c>
      <c r="D79" s="1" t="s">
        <v>242</v>
      </c>
      <c r="E79" s="1">
        <v>1000</v>
      </c>
      <c r="F79" s="1" t="s">
        <v>103</v>
      </c>
      <c r="G79" s="1">
        <v>7.5</v>
      </c>
      <c r="H79" s="1">
        <v>7500</v>
      </c>
      <c r="I79" s="1" t="s">
        <v>342</v>
      </c>
    </row>
    <row r="80" spans="3:9" ht="12.75">
      <c r="C80" s="1">
        <v>48</v>
      </c>
      <c r="D80" s="1" t="s">
        <v>1115</v>
      </c>
      <c r="E80" s="1">
        <v>4</v>
      </c>
      <c r="F80" s="1" t="s">
        <v>103</v>
      </c>
      <c r="G80" s="1">
        <v>300</v>
      </c>
      <c r="H80" s="1">
        <v>1200</v>
      </c>
      <c r="I80" s="1" t="s">
        <v>342</v>
      </c>
    </row>
    <row r="81" spans="3:9" ht="12.75">
      <c r="C81" s="1">
        <v>49</v>
      </c>
      <c r="D81" s="1" t="s">
        <v>1132</v>
      </c>
      <c r="E81" s="1">
        <v>2</v>
      </c>
      <c r="F81" s="1" t="s">
        <v>103</v>
      </c>
      <c r="G81" s="1">
        <v>3750</v>
      </c>
      <c r="H81" s="1">
        <v>7500</v>
      </c>
      <c r="I81" s="1" t="s">
        <v>342</v>
      </c>
    </row>
    <row r="82" spans="3:9" ht="12.75">
      <c r="C82" s="1">
        <v>50</v>
      </c>
      <c r="D82" s="1" t="s">
        <v>245</v>
      </c>
      <c r="E82" s="1">
        <v>500</v>
      </c>
      <c r="F82" s="1" t="s">
        <v>103</v>
      </c>
      <c r="G82" s="1">
        <v>15</v>
      </c>
      <c r="H82" s="1">
        <v>7500</v>
      </c>
      <c r="I82" s="1" t="s">
        <v>342</v>
      </c>
    </row>
    <row r="83" spans="3:9" ht="12.75">
      <c r="C83" s="1">
        <v>51</v>
      </c>
      <c r="D83" s="1" t="s">
        <v>248</v>
      </c>
      <c r="E83" s="1">
        <v>10</v>
      </c>
      <c r="F83" s="1" t="s">
        <v>189</v>
      </c>
      <c r="G83" s="1">
        <v>675</v>
      </c>
      <c r="H83" s="1">
        <v>6750</v>
      </c>
      <c r="I83" s="1" t="s">
        <v>342</v>
      </c>
    </row>
    <row r="84" spans="3:9" ht="12.75">
      <c r="C84" s="1">
        <v>52</v>
      </c>
      <c r="D84" s="1" t="s">
        <v>407</v>
      </c>
      <c r="E84" s="1">
        <v>3</v>
      </c>
      <c r="F84" s="1" t="s">
        <v>103</v>
      </c>
      <c r="G84" s="1">
        <v>1350</v>
      </c>
      <c r="H84" s="1">
        <v>4050</v>
      </c>
      <c r="I84" s="1" t="s">
        <v>342</v>
      </c>
    </row>
    <row r="85" spans="3:9" ht="12.75">
      <c r="C85" s="1">
        <v>53</v>
      </c>
      <c r="D85" s="1" t="s">
        <v>249</v>
      </c>
      <c r="E85" s="1">
        <v>3</v>
      </c>
      <c r="F85" s="1" t="s">
        <v>189</v>
      </c>
      <c r="G85" s="1">
        <v>600</v>
      </c>
      <c r="H85" s="1">
        <v>1800</v>
      </c>
      <c r="I85" s="1" t="s">
        <v>342</v>
      </c>
    </row>
    <row r="86" spans="3:9" ht="12.75" hidden="1">
      <c r="C86" s="1">
        <v>54</v>
      </c>
      <c r="D86" s="1" t="s">
        <v>251</v>
      </c>
      <c r="E86" s="1">
        <v>2</v>
      </c>
      <c r="F86" s="1" t="s">
        <v>103</v>
      </c>
      <c r="G86" s="1">
        <v>4703</v>
      </c>
      <c r="H86" s="1">
        <v>9406</v>
      </c>
      <c r="I86" s="1" t="s">
        <v>2949</v>
      </c>
    </row>
    <row r="87" spans="3:9" ht="12.75">
      <c r="C87" s="1">
        <v>55</v>
      </c>
      <c r="D87" s="1" t="s">
        <v>255</v>
      </c>
      <c r="E87" s="1">
        <v>20</v>
      </c>
      <c r="F87" s="1" t="s">
        <v>103</v>
      </c>
      <c r="G87" s="1">
        <v>60</v>
      </c>
      <c r="H87" s="1">
        <v>1200</v>
      </c>
      <c r="I87" s="1" t="s">
        <v>342</v>
      </c>
    </row>
    <row r="88" spans="3:9" ht="12.75">
      <c r="C88" s="1">
        <v>56</v>
      </c>
      <c r="D88" s="1" t="s">
        <v>256</v>
      </c>
      <c r="E88" s="1">
        <v>1</v>
      </c>
      <c r="F88" s="1" t="s">
        <v>103</v>
      </c>
      <c r="G88" s="1">
        <v>20250</v>
      </c>
      <c r="H88" s="1">
        <v>20250</v>
      </c>
      <c r="I88" s="1" t="s">
        <v>342</v>
      </c>
    </row>
    <row r="89" spans="3:9" ht="12.75">
      <c r="C89" s="1">
        <v>57</v>
      </c>
      <c r="D89" s="1" t="s">
        <v>1189</v>
      </c>
      <c r="E89" s="1">
        <v>2</v>
      </c>
      <c r="F89" s="1" t="s">
        <v>103</v>
      </c>
      <c r="G89" s="1">
        <v>13500</v>
      </c>
      <c r="H89" s="1">
        <v>27000</v>
      </c>
      <c r="I89" s="1" t="s">
        <v>342</v>
      </c>
    </row>
    <row r="90" spans="3:9" ht="12.75">
      <c r="C90" s="1">
        <v>58</v>
      </c>
      <c r="D90" s="1" t="s">
        <v>1418</v>
      </c>
      <c r="E90" s="1">
        <v>4</v>
      </c>
      <c r="F90" s="1" t="s">
        <v>103</v>
      </c>
      <c r="G90" s="1">
        <v>450</v>
      </c>
      <c r="H90" s="1">
        <v>1800</v>
      </c>
      <c r="I90" s="1" t="s">
        <v>342</v>
      </c>
    </row>
    <row r="91" spans="3:9" ht="12.75">
      <c r="C91" s="1">
        <v>59</v>
      </c>
      <c r="D91" s="1" t="s">
        <v>260</v>
      </c>
      <c r="E91" s="1">
        <v>6</v>
      </c>
      <c r="F91" s="1" t="s">
        <v>103</v>
      </c>
      <c r="G91" s="1">
        <v>3000</v>
      </c>
      <c r="H91" s="1">
        <v>18000</v>
      </c>
      <c r="I91" s="1" t="s">
        <v>342</v>
      </c>
    </row>
    <row r="92" spans="3:9" ht="12.75">
      <c r="C92" s="1">
        <v>60</v>
      </c>
      <c r="D92" s="1" t="s">
        <v>261</v>
      </c>
      <c r="E92" s="1">
        <v>2</v>
      </c>
      <c r="F92" s="1" t="s">
        <v>118</v>
      </c>
      <c r="G92" s="1">
        <v>750</v>
      </c>
      <c r="H92" s="1">
        <v>1500</v>
      </c>
      <c r="I92" s="1" t="s">
        <v>342</v>
      </c>
    </row>
    <row r="93" spans="3:9" ht="12.75">
      <c r="C93" s="1">
        <v>61</v>
      </c>
      <c r="D93" s="1" t="s">
        <v>264</v>
      </c>
      <c r="E93" s="1">
        <v>4</v>
      </c>
      <c r="F93" s="1" t="s">
        <v>103</v>
      </c>
      <c r="G93" s="1">
        <v>1800</v>
      </c>
      <c r="H93" s="1">
        <v>7200</v>
      </c>
      <c r="I93" s="1" t="s">
        <v>342</v>
      </c>
    </row>
    <row r="94" spans="3:9" ht="12.75">
      <c r="C94" s="1">
        <v>62</v>
      </c>
      <c r="D94" s="1" t="s">
        <v>265</v>
      </c>
      <c r="E94" s="1">
        <v>12</v>
      </c>
      <c r="F94" s="1" t="s">
        <v>103</v>
      </c>
      <c r="G94" s="1">
        <v>7545</v>
      </c>
      <c r="H94" s="1">
        <v>90540</v>
      </c>
      <c r="I94" s="1" t="s">
        <v>342</v>
      </c>
    </row>
    <row r="95" spans="3:9" ht="12.75">
      <c r="C95" s="1">
        <v>63</v>
      </c>
      <c r="D95" s="1" t="s">
        <v>1439</v>
      </c>
      <c r="E95" s="1">
        <v>1</v>
      </c>
      <c r="F95" s="1" t="s">
        <v>103</v>
      </c>
      <c r="G95" s="1">
        <v>37500</v>
      </c>
      <c r="H95" s="1">
        <v>37500</v>
      </c>
      <c r="I95" s="1" t="s">
        <v>342</v>
      </c>
    </row>
    <row r="96" spans="3:9" ht="12.75">
      <c r="C96" s="1">
        <v>64</v>
      </c>
      <c r="D96" s="1" t="s">
        <v>1183</v>
      </c>
      <c r="E96" s="1">
        <v>2</v>
      </c>
      <c r="F96" s="1" t="s">
        <v>103</v>
      </c>
      <c r="G96" s="1">
        <v>6750</v>
      </c>
      <c r="H96" s="1">
        <v>13500</v>
      </c>
      <c r="I96" s="1" t="s">
        <v>342</v>
      </c>
    </row>
    <row r="97" spans="3:9" ht="12.75">
      <c r="C97" s="1">
        <v>65</v>
      </c>
      <c r="D97" s="1" t="s">
        <v>4019</v>
      </c>
      <c r="E97" s="1">
        <v>20</v>
      </c>
      <c r="F97" s="1" t="s">
        <v>103</v>
      </c>
      <c r="G97" s="1">
        <v>5000</v>
      </c>
      <c r="H97" s="1">
        <v>100000</v>
      </c>
      <c r="I97" s="1" t="s">
        <v>342</v>
      </c>
    </row>
    <row r="98" spans="3:9" ht="12.75">
      <c r="C98" s="1">
        <v>66</v>
      </c>
      <c r="D98" s="1" t="s">
        <v>3207</v>
      </c>
      <c r="E98" s="1">
        <v>40</v>
      </c>
      <c r="F98" s="1" t="s">
        <v>103</v>
      </c>
      <c r="G98" s="1">
        <v>500</v>
      </c>
      <c r="H98" s="1">
        <v>20000</v>
      </c>
      <c r="I98" s="1" t="s">
        <v>342</v>
      </c>
    </row>
    <row r="99" spans="3:9" ht="12.75">
      <c r="C99" s="1">
        <v>67</v>
      </c>
      <c r="D99" s="1" t="s">
        <v>4020</v>
      </c>
      <c r="E99" s="1">
        <v>7</v>
      </c>
      <c r="F99" s="1" t="s">
        <v>103</v>
      </c>
      <c r="G99" s="1">
        <v>500</v>
      </c>
      <c r="H99" s="1">
        <v>3500</v>
      </c>
      <c r="I99" s="1" t="s">
        <v>342</v>
      </c>
    </row>
    <row r="100" spans="3:9" ht="12.75">
      <c r="C100" s="1">
        <v>68</v>
      </c>
      <c r="D100" s="1" t="s">
        <v>4021</v>
      </c>
      <c r="E100" s="1">
        <v>7</v>
      </c>
      <c r="F100" s="1" t="s">
        <v>103</v>
      </c>
      <c r="G100" s="1">
        <v>500</v>
      </c>
      <c r="H100" s="1">
        <v>3500</v>
      </c>
      <c r="I100" s="1" t="s">
        <v>342</v>
      </c>
    </row>
    <row r="101" spans="3:9" ht="12.75">
      <c r="C101" s="1">
        <v>69</v>
      </c>
      <c r="D101" s="1" t="s">
        <v>4022</v>
      </c>
      <c r="E101" s="1">
        <v>7</v>
      </c>
      <c r="F101" s="1" t="s">
        <v>103</v>
      </c>
      <c r="G101" s="1">
        <v>500</v>
      </c>
      <c r="H101" s="1">
        <v>3500</v>
      </c>
      <c r="I101" s="1" t="s">
        <v>342</v>
      </c>
    </row>
    <row r="102" spans="3:9" ht="12.75">
      <c r="C102" s="1">
        <v>70</v>
      </c>
      <c r="D102" s="1" t="s">
        <v>4023</v>
      </c>
      <c r="E102" s="1">
        <v>30</v>
      </c>
      <c r="F102" s="1" t="s">
        <v>103</v>
      </c>
      <c r="G102" s="1">
        <v>5300</v>
      </c>
      <c r="H102" s="1">
        <v>159000</v>
      </c>
      <c r="I102" s="1" t="s">
        <v>342</v>
      </c>
    </row>
    <row r="103" spans="3:9" ht="12.75">
      <c r="C103" s="1">
        <v>71</v>
      </c>
      <c r="D103" s="1" t="s">
        <v>3209</v>
      </c>
      <c r="E103" s="1">
        <v>10</v>
      </c>
      <c r="F103" s="1" t="s">
        <v>571</v>
      </c>
      <c r="G103" s="1">
        <v>450</v>
      </c>
      <c r="H103" s="1">
        <v>4500</v>
      </c>
      <c r="I103" s="1" t="s">
        <v>342</v>
      </c>
    </row>
    <row r="104" spans="3:9" ht="12.75">
      <c r="C104" s="1">
        <v>72</v>
      </c>
      <c r="D104" s="1" t="s">
        <v>3211</v>
      </c>
      <c r="E104" s="1">
        <v>4</v>
      </c>
      <c r="F104" s="1" t="s">
        <v>571</v>
      </c>
      <c r="G104" s="1">
        <v>450</v>
      </c>
      <c r="H104" s="1">
        <v>1800</v>
      </c>
      <c r="I104" s="1" t="s">
        <v>342</v>
      </c>
    </row>
    <row r="105" spans="3:9" ht="12.75">
      <c r="C105" s="1">
        <v>73</v>
      </c>
      <c r="D105" s="1" t="s">
        <v>3213</v>
      </c>
      <c r="E105" s="1">
        <v>4</v>
      </c>
      <c r="F105" s="1" t="s">
        <v>571</v>
      </c>
      <c r="G105" s="1">
        <v>450</v>
      </c>
      <c r="H105" s="1">
        <v>1800</v>
      </c>
      <c r="I105" s="1" t="s">
        <v>342</v>
      </c>
    </row>
    <row r="106" spans="3:9" ht="12.75">
      <c r="C106" s="1">
        <v>74</v>
      </c>
      <c r="D106" s="1" t="s">
        <v>3215</v>
      </c>
      <c r="E106" s="1">
        <v>4</v>
      </c>
      <c r="F106" s="1" t="s">
        <v>571</v>
      </c>
      <c r="G106" s="1">
        <v>450</v>
      </c>
      <c r="H106" s="1">
        <v>1800</v>
      </c>
      <c r="I106" s="1" t="s">
        <v>342</v>
      </c>
    </row>
    <row r="107" spans="3:9" ht="12.75">
      <c r="C107" s="1">
        <v>75</v>
      </c>
      <c r="D107" s="1" t="s">
        <v>4024</v>
      </c>
      <c r="E107" s="1">
        <v>12</v>
      </c>
      <c r="F107" s="1" t="s">
        <v>103</v>
      </c>
      <c r="G107" s="1">
        <v>2000</v>
      </c>
      <c r="H107" s="1">
        <v>24000</v>
      </c>
      <c r="I107" s="1" t="s">
        <v>342</v>
      </c>
    </row>
    <row r="108" spans="3:9" ht="12.75">
      <c r="C108" s="1">
        <v>76</v>
      </c>
      <c r="D108" s="1" t="s">
        <v>3245</v>
      </c>
      <c r="E108" s="1">
        <v>200</v>
      </c>
      <c r="F108" s="1" t="s">
        <v>571</v>
      </c>
      <c r="G108" s="1">
        <v>350</v>
      </c>
      <c r="H108" s="1">
        <v>70000</v>
      </c>
      <c r="I108" s="1" t="s">
        <v>342</v>
      </c>
    </row>
    <row r="109" spans="3:9" ht="12.75">
      <c r="C109" s="1">
        <v>77</v>
      </c>
      <c r="D109" s="1" t="s">
        <v>4025</v>
      </c>
      <c r="E109" s="1">
        <v>40</v>
      </c>
      <c r="F109" s="1" t="s">
        <v>571</v>
      </c>
      <c r="G109" s="1">
        <v>350</v>
      </c>
      <c r="H109" s="1">
        <v>14000</v>
      </c>
      <c r="I109" s="1" t="s">
        <v>342</v>
      </c>
    </row>
    <row r="110" spans="3:9" ht="12.75">
      <c r="C110" s="1">
        <v>78</v>
      </c>
      <c r="D110" s="1" t="s">
        <v>4026</v>
      </c>
      <c r="E110" s="1">
        <v>40</v>
      </c>
      <c r="F110" s="1" t="s">
        <v>571</v>
      </c>
      <c r="G110" s="1">
        <v>350</v>
      </c>
      <c r="H110" s="1">
        <v>14000</v>
      </c>
      <c r="I110" s="1" t="s">
        <v>342</v>
      </c>
    </row>
    <row r="111" spans="3:9" ht="12.75">
      <c r="C111" s="1">
        <v>79</v>
      </c>
      <c r="D111" s="1" t="s">
        <v>4027</v>
      </c>
      <c r="E111" s="1">
        <v>40</v>
      </c>
      <c r="F111" s="1" t="s">
        <v>571</v>
      </c>
      <c r="G111" s="1">
        <v>350</v>
      </c>
      <c r="H111" s="1">
        <v>14000</v>
      </c>
      <c r="I111" s="1" t="s">
        <v>342</v>
      </c>
    </row>
    <row r="112" spans="3:9" ht="12.75">
      <c r="C112" s="1">
        <v>80</v>
      </c>
      <c r="D112" s="1" t="s">
        <v>720</v>
      </c>
      <c r="E112" s="1">
        <v>120</v>
      </c>
      <c r="F112" s="1" t="s">
        <v>103</v>
      </c>
      <c r="G112" s="1">
        <v>320</v>
      </c>
      <c r="H112" s="1">
        <v>38400</v>
      </c>
      <c r="I112" s="1" t="s">
        <v>342</v>
      </c>
    </row>
    <row r="113" spans="3:9" ht="12.75">
      <c r="C113" s="1">
        <v>81</v>
      </c>
      <c r="D113" s="1" t="s">
        <v>4028</v>
      </c>
      <c r="E113" s="1">
        <v>500</v>
      </c>
      <c r="F113" s="1" t="s">
        <v>103</v>
      </c>
      <c r="G113" s="1">
        <v>300</v>
      </c>
      <c r="H113" s="1">
        <v>150000</v>
      </c>
      <c r="I113" s="1" t="s">
        <v>342</v>
      </c>
    </row>
    <row r="114" spans="3:9" ht="12.75">
      <c r="C114" s="1">
        <v>82</v>
      </c>
      <c r="D114" s="1" t="s">
        <v>4029</v>
      </c>
      <c r="E114" s="1">
        <v>13</v>
      </c>
      <c r="F114" s="1" t="s">
        <v>103</v>
      </c>
      <c r="G114" s="1">
        <v>450</v>
      </c>
      <c r="H114" s="1">
        <v>5850</v>
      </c>
      <c r="I114" s="1" t="s">
        <v>342</v>
      </c>
    </row>
    <row r="115" spans="3:9" ht="12.75">
      <c r="C115" s="1">
        <v>83</v>
      </c>
      <c r="D115" s="1" t="s">
        <v>547</v>
      </c>
      <c r="E115" s="1">
        <v>150</v>
      </c>
      <c r="F115" s="1" t="s">
        <v>103</v>
      </c>
      <c r="G115" s="1">
        <v>380</v>
      </c>
      <c r="H115" s="1">
        <v>57000</v>
      </c>
      <c r="I115" s="1" t="s">
        <v>342</v>
      </c>
    </row>
    <row r="116" spans="3:9" ht="12.75">
      <c r="C116" s="1">
        <v>84</v>
      </c>
      <c r="D116" s="1" t="s">
        <v>548</v>
      </c>
      <c r="E116" s="1">
        <v>50</v>
      </c>
      <c r="F116" s="1" t="s">
        <v>103</v>
      </c>
      <c r="G116" s="1">
        <v>380</v>
      </c>
      <c r="H116" s="1">
        <v>19000</v>
      </c>
      <c r="I116" s="1" t="s">
        <v>342</v>
      </c>
    </row>
    <row r="117" spans="3:9" ht="12.75">
      <c r="C117" s="1">
        <v>85</v>
      </c>
      <c r="D117" s="1" t="s">
        <v>549</v>
      </c>
      <c r="E117" s="1">
        <v>50</v>
      </c>
      <c r="F117" s="1" t="s">
        <v>103</v>
      </c>
      <c r="G117" s="1">
        <v>380</v>
      </c>
      <c r="H117" s="1">
        <v>19000</v>
      </c>
      <c r="I117" s="1" t="s">
        <v>342</v>
      </c>
    </row>
    <row r="118" spans="3:9" ht="12.75">
      <c r="C118" s="1">
        <v>86</v>
      </c>
      <c r="D118" s="1" t="s">
        <v>550</v>
      </c>
      <c r="E118" s="1">
        <v>50</v>
      </c>
      <c r="F118" s="1" t="s">
        <v>103</v>
      </c>
      <c r="G118" s="1">
        <v>380</v>
      </c>
      <c r="H118" s="1">
        <v>19000</v>
      </c>
      <c r="I118" s="1" t="s">
        <v>342</v>
      </c>
    </row>
    <row r="119" spans="3:9" ht="12.75" hidden="1">
      <c r="C119" s="1">
        <v>87</v>
      </c>
      <c r="D119" s="1" t="s">
        <v>600</v>
      </c>
      <c r="E119" s="1">
        <v>40</v>
      </c>
      <c r="F119" s="1" t="s">
        <v>103</v>
      </c>
      <c r="G119" s="1">
        <v>1000</v>
      </c>
      <c r="H119" s="1">
        <v>40000</v>
      </c>
      <c r="I119" s="1" t="s">
        <v>2949</v>
      </c>
    </row>
    <row r="120" spans="3:9" ht="12.75" hidden="1">
      <c r="C120" s="1">
        <v>88</v>
      </c>
      <c r="D120" s="1" t="s">
        <v>606</v>
      </c>
      <c r="E120" s="1">
        <v>120</v>
      </c>
      <c r="F120" s="1" t="s">
        <v>103</v>
      </c>
      <c r="G120" s="1">
        <v>800</v>
      </c>
      <c r="H120" s="1">
        <v>96000</v>
      </c>
      <c r="I120" s="1" t="s">
        <v>2949</v>
      </c>
    </row>
    <row r="121" spans="3:9" ht="12.75">
      <c r="C121" s="1">
        <v>89</v>
      </c>
      <c r="D121" s="1" t="s">
        <v>4030</v>
      </c>
      <c r="E121" s="1">
        <v>120</v>
      </c>
      <c r="F121" s="1" t="s">
        <v>103</v>
      </c>
      <c r="G121" s="1">
        <v>1200</v>
      </c>
      <c r="H121" s="1">
        <v>144000</v>
      </c>
      <c r="I121" s="1" t="s">
        <v>342</v>
      </c>
    </row>
    <row r="122" spans="3:9" ht="12.75">
      <c r="C122" s="1">
        <v>90</v>
      </c>
      <c r="D122" s="1" t="s">
        <v>4031</v>
      </c>
      <c r="E122" s="1">
        <v>20</v>
      </c>
      <c r="F122" s="1" t="s">
        <v>103</v>
      </c>
      <c r="G122" s="1">
        <v>1100</v>
      </c>
      <c r="H122" s="1">
        <v>22000</v>
      </c>
      <c r="I122" s="1" t="s">
        <v>342</v>
      </c>
    </row>
    <row r="123" spans="3:9" ht="12.75">
      <c r="C123" s="1">
        <v>91</v>
      </c>
      <c r="D123" s="1" t="s">
        <v>4032</v>
      </c>
      <c r="E123" s="1">
        <v>20</v>
      </c>
      <c r="F123" s="1" t="s">
        <v>103</v>
      </c>
      <c r="G123" s="1">
        <v>1100</v>
      </c>
      <c r="H123" s="1">
        <v>22000</v>
      </c>
      <c r="I123" s="1" t="s">
        <v>342</v>
      </c>
    </row>
    <row r="124" spans="3:9" ht="12.75">
      <c r="C124" s="1">
        <v>92</v>
      </c>
      <c r="D124" s="1" t="s">
        <v>4033</v>
      </c>
      <c r="E124" s="1">
        <v>20</v>
      </c>
      <c r="F124" s="1" t="s">
        <v>103</v>
      </c>
      <c r="G124" s="1">
        <v>1100</v>
      </c>
      <c r="H124" s="1">
        <v>22000</v>
      </c>
      <c r="I124" s="1" t="s">
        <v>342</v>
      </c>
    </row>
    <row r="125" spans="3:9" ht="12.75">
      <c r="C125" s="1">
        <v>93</v>
      </c>
      <c r="D125" s="1" t="s">
        <v>4034</v>
      </c>
      <c r="E125" s="1">
        <v>55</v>
      </c>
      <c r="F125" s="1" t="s">
        <v>103</v>
      </c>
      <c r="G125" s="1">
        <v>500</v>
      </c>
      <c r="H125" s="1">
        <v>27500</v>
      </c>
      <c r="I125" s="1" t="s">
        <v>342</v>
      </c>
    </row>
    <row r="126" spans="3:9" ht="12.75">
      <c r="C126" s="1">
        <v>94</v>
      </c>
      <c r="D126" s="1" t="s">
        <v>4035</v>
      </c>
      <c r="E126" s="1">
        <v>5</v>
      </c>
      <c r="F126" s="1" t="s">
        <v>103</v>
      </c>
      <c r="G126" s="1">
        <v>500</v>
      </c>
      <c r="H126" s="1">
        <v>2500</v>
      </c>
      <c r="I126" s="1" t="s">
        <v>342</v>
      </c>
    </row>
    <row r="127" spans="3:9" ht="12.75">
      <c r="C127" s="1">
        <v>95</v>
      </c>
      <c r="D127" s="1" t="s">
        <v>4036</v>
      </c>
      <c r="E127" s="1">
        <v>5</v>
      </c>
      <c r="F127" s="1" t="s">
        <v>103</v>
      </c>
      <c r="G127" s="1">
        <v>500</v>
      </c>
      <c r="H127" s="1">
        <v>2500</v>
      </c>
      <c r="I127" s="1" t="s">
        <v>342</v>
      </c>
    </row>
    <row r="128" spans="3:9" ht="12.75">
      <c r="C128" s="1">
        <v>96</v>
      </c>
      <c r="D128" s="1" t="s">
        <v>4037</v>
      </c>
      <c r="E128" s="1">
        <v>5</v>
      </c>
      <c r="F128" s="1" t="s">
        <v>103</v>
      </c>
      <c r="G128" s="1">
        <v>500</v>
      </c>
      <c r="H128" s="1">
        <v>2500</v>
      </c>
      <c r="I128" s="1" t="s">
        <v>342</v>
      </c>
    </row>
    <row r="129" spans="3:9" ht="12.75">
      <c r="C129" s="1">
        <v>97</v>
      </c>
      <c r="D129" s="1" t="s">
        <v>4038</v>
      </c>
      <c r="E129" s="1">
        <v>80</v>
      </c>
      <c r="F129" s="1" t="s">
        <v>103</v>
      </c>
      <c r="G129" s="1">
        <v>3650</v>
      </c>
      <c r="H129" s="1">
        <v>292000</v>
      </c>
      <c r="I129" s="1" t="s">
        <v>342</v>
      </c>
    </row>
    <row r="130" spans="3:9" ht="12.75">
      <c r="C130" s="1">
        <v>98</v>
      </c>
      <c r="D130" s="1" t="s">
        <v>4039</v>
      </c>
      <c r="E130" s="1">
        <v>63</v>
      </c>
      <c r="F130" s="1" t="s">
        <v>103</v>
      </c>
      <c r="G130" s="1">
        <v>7000</v>
      </c>
      <c r="H130" s="1">
        <v>441000</v>
      </c>
      <c r="I130" s="1" t="s">
        <v>342</v>
      </c>
    </row>
    <row r="131" spans="3:9" ht="12.75">
      <c r="C131" s="1">
        <v>99</v>
      </c>
      <c r="D131" s="1" t="s">
        <v>2953</v>
      </c>
      <c r="E131" s="1">
        <v>70</v>
      </c>
      <c r="F131" s="1" t="s">
        <v>103</v>
      </c>
      <c r="G131" s="1">
        <v>8800</v>
      </c>
      <c r="H131" s="1">
        <v>616000</v>
      </c>
      <c r="I131" s="1" t="s">
        <v>342</v>
      </c>
    </row>
    <row r="132" spans="3:9" ht="12.75">
      <c r="C132" s="1">
        <v>100</v>
      </c>
      <c r="D132" s="1" t="s">
        <v>4040</v>
      </c>
      <c r="E132" s="1">
        <v>30</v>
      </c>
      <c r="F132" s="1" t="s">
        <v>103</v>
      </c>
      <c r="G132" s="1">
        <v>8600</v>
      </c>
      <c r="H132" s="1">
        <v>258000</v>
      </c>
      <c r="I132" s="1" t="s">
        <v>342</v>
      </c>
    </row>
    <row r="133" spans="3:9" ht="12.75">
      <c r="C133" s="1">
        <v>101</v>
      </c>
      <c r="D133" s="1" t="s">
        <v>2955</v>
      </c>
      <c r="E133" s="1">
        <v>50</v>
      </c>
      <c r="F133" s="1" t="s">
        <v>103</v>
      </c>
      <c r="G133" s="1">
        <v>7800</v>
      </c>
      <c r="H133" s="1">
        <v>390000</v>
      </c>
      <c r="I133" s="1" t="s">
        <v>342</v>
      </c>
    </row>
    <row r="134" spans="3:9" ht="12.75">
      <c r="C134" s="1">
        <v>102</v>
      </c>
      <c r="D134" s="1" t="s">
        <v>4041</v>
      </c>
      <c r="E134" s="1">
        <v>30</v>
      </c>
      <c r="F134" s="1" t="s">
        <v>103</v>
      </c>
      <c r="G134" s="1">
        <v>3000</v>
      </c>
      <c r="H134" s="1">
        <v>90000</v>
      </c>
      <c r="I134" s="1" t="s">
        <v>342</v>
      </c>
    </row>
    <row r="135" spans="3:9" ht="12.75">
      <c r="C135" s="1">
        <v>103</v>
      </c>
      <c r="D135" s="1" t="s">
        <v>4042</v>
      </c>
      <c r="E135" s="1">
        <v>200</v>
      </c>
      <c r="F135" s="1" t="s">
        <v>103</v>
      </c>
      <c r="G135" s="1">
        <v>2000</v>
      </c>
      <c r="H135" s="1">
        <v>400000</v>
      </c>
      <c r="I135" s="1" t="s">
        <v>342</v>
      </c>
    </row>
    <row r="136" spans="3:9" ht="12.75">
      <c r="C136" s="1">
        <v>104</v>
      </c>
      <c r="D136" s="1" t="s">
        <v>4043</v>
      </c>
      <c r="E136" s="1">
        <v>2</v>
      </c>
      <c r="F136" s="1" t="s">
        <v>103</v>
      </c>
      <c r="G136" s="1">
        <v>5000</v>
      </c>
      <c r="H136" s="1">
        <v>10000</v>
      </c>
      <c r="I136" s="1" t="s">
        <v>342</v>
      </c>
    </row>
    <row r="137" spans="3:9" ht="12.75">
      <c r="C137" s="1">
        <v>105</v>
      </c>
      <c r="D137" s="1" t="s">
        <v>4044</v>
      </c>
      <c r="E137" s="1">
        <v>50</v>
      </c>
      <c r="F137" s="1" t="s">
        <v>103</v>
      </c>
      <c r="G137" s="1">
        <v>6500</v>
      </c>
      <c r="H137" s="1">
        <v>325000</v>
      </c>
      <c r="I137" s="1" t="s">
        <v>342</v>
      </c>
    </row>
    <row r="138" spans="3:9" ht="12.75">
      <c r="C138" s="1">
        <v>106</v>
      </c>
      <c r="D138" s="1" t="s">
        <v>1347</v>
      </c>
      <c r="E138" s="1">
        <v>2</v>
      </c>
      <c r="F138" s="1" t="s">
        <v>103</v>
      </c>
      <c r="G138" s="1">
        <v>6160</v>
      </c>
      <c r="H138" s="1">
        <v>12320</v>
      </c>
      <c r="I138" s="1" t="s">
        <v>342</v>
      </c>
    </row>
    <row r="139" spans="3:9" ht="12.75">
      <c r="C139" s="1">
        <v>107</v>
      </c>
      <c r="D139" s="1" t="s">
        <v>1338</v>
      </c>
      <c r="E139" s="1">
        <v>5</v>
      </c>
      <c r="F139" s="1" t="s">
        <v>103</v>
      </c>
      <c r="G139" s="1">
        <v>3500</v>
      </c>
      <c r="H139" s="1">
        <v>17500</v>
      </c>
      <c r="I139" s="1" t="s">
        <v>342</v>
      </c>
    </row>
    <row r="140" spans="3:9" ht="12.75">
      <c r="C140" s="1">
        <v>108</v>
      </c>
      <c r="D140" s="1" t="s">
        <v>1340</v>
      </c>
      <c r="E140" s="1">
        <v>2</v>
      </c>
      <c r="F140" s="1" t="s">
        <v>103</v>
      </c>
      <c r="G140" s="1">
        <v>3500</v>
      </c>
      <c r="H140" s="1">
        <v>7000</v>
      </c>
      <c r="I140" s="1" t="s">
        <v>342</v>
      </c>
    </row>
    <row r="141" spans="3:9" ht="12.75">
      <c r="C141" s="1">
        <v>109</v>
      </c>
      <c r="D141" s="1" t="s">
        <v>1342</v>
      </c>
      <c r="E141" s="1">
        <v>2</v>
      </c>
      <c r="F141" s="1" t="s">
        <v>103</v>
      </c>
      <c r="G141" s="1">
        <v>3500</v>
      </c>
      <c r="H141" s="1">
        <v>7000</v>
      </c>
      <c r="I141" s="1" t="s">
        <v>342</v>
      </c>
    </row>
    <row r="142" spans="3:9" ht="12.75">
      <c r="C142" s="1">
        <v>110</v>
      </c>
      <c r="D142" s="1" t="s">
        <v>1344</v>
      </c>
      <c r="E142" s="1">
        <v>2</v>
      </c>
      <c r="F142" s="1" t="s">
        <v>103</v>
      </c>
      <c r="G142" s="1">
        <v>3500</v>
      </c>
      <c r="H142" s="1">
        <v>7000</v>
      </c>
      <c r="I142" s="1" t="s">
        <v>342</v>
      </c>
    </row>
    <row r="143" spans="3:9" ht="12.75">
      <c r="C143" s="1">
        <v>111</v>
      </c>
      <c r="D143" s="1" t="s">
        <v>740</v>
      </c>
      <c r="E143" s="1">
        <v>2</v>
      </c>
      <c r="F143" s="1" t="s">
        <v>103</v>
      </c>
      <c r="G143" s="1">
        <v>8360</v>
      </c>
      <c r="H143" s="1">
        <v>16720</v>
      </c>
      <c r="I143" s="1" t="s">
        <v>342</v>
      </c>
    </row>
    <row r="144" spans="3:9" ht="12.75">
      <c r="C144" s="1">
        <v>112</v>
      </c>
      <c r="D144" s="1" t="s">
        <v>3019</v>
      </c>
      <c r="E144" s="1">
        <v>20</v>
      </c>
      <c r="F144" s="1" t="s">
        <v>103</v>
      </c>
      <c r="G144" s="1">
        <v>1500</v>
      </c>
      <c r="H144" s="1">
        <v>30000</v>
      </c>
      <c r="I144" s="1" t="s">
        <v>342</v>
      </c>
    </row>
    <row r="145" spans="3:9" ht="12.75">
      <c r="C145" s="1">
        <v>113</v>
      </c>
      <c r="D145" s="1" t="s">
        <v>741</v>
      </c>
      <c r="E145" s="1">
        <v>15</v>
      </c>
      <c r="F145" s="1" t="s">
        <v>103</v>
      </c>
      <c r="G145" s="1">
        <v>8800</v>
      </c>
      <c r="H145" s="1">
        <v>132000</v>
      </c>
      <c r="I145" s="1" t="s">
        <v>342</v>
      </c>
    </row>
    <row r="146" spans="3:9" ht="12.75">
      <c r="C146" s="1"/>
    </row>
    <row r="147" spans="3:9" ht="12.75">
      <c r="H147" s="62"/>
    </row>
  </sheetData>
  <autoFilter ref="C4:I145">
    <filterColumn colId="6">
      <filters>
        <filter val="Public Bidding"/>
      </filters>
    </filterColumn>
  </autoFilter>
  <mergeCells count="1">
    <mergeCell ref="H1:I2"/>
  </mergeCells>
  <dataValidations count="1">
    <dataValidation type="list" allowBlank="1" sqref="J1">
      <formula1>$L$1:$L$6</formula1>
    </dataValidation>
  </dataValidation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E1000"/>
  <sheetViews>
    <sheetView workbookViewId="0"/>
  </sheetViews>
  <sheetFormatPr defaultColWidth="12.5703125" defaultRowHeight="15.75" customHeight="1"/>
  <cols>
    <col min="1" max="1" width="36.42578125" customWidth="1"/>
    <col min="2" max="2" width="62.85546875" customWidth="1"/>
    <col min="3" max="3" width="7.85546875" customWidth="1"/>
    <col min="4" max="4" width="71.42578125" customWidth="1"/>
    <col min="5" max="5" width="28.85546875" customWidth="1"/>
  </cols>
  <sheetData>
    <row r="1" spans="1:4" ht="15.75" customHeight="1">
      <c r="A1" s="1534" t="s">
        <v>4092</v>
      </c>
      <c r="B1" s="1442"/>
      <c r="C1" s="1443"/>
      <c r="D1" s="1109" t="str">
        <f>A1</f>
        <v>***Hyper-Converged Infrastructure - Head Office ( 3 Server Hardware)</v>
      </c>
    </row>
    <row r="2" spans="1:4" ht="15.75" customHeight="1">
      <c r="A2" s="1110" t="s">
        <v>4093</v>
      </c>
      <c r="B2" s="1111" t="s">
        <v>2</v>
      </c>
      <c r="C2" s="1112" t="s">
        <v>278</v>
      </c>
      <c r="D2" s="1109" t="s">
        <v>4094</v>
      </c>
    </row>
    <row r="3" spans="1:4" ht="63.75">
      <c r="A3" s="1113" t="s">
        <v>4095</v>
      </c>
      <c r="B3" s="1114" t="s">
        <v>4096</v>
      </c>
      <c r="C3" s="1115">
        <v>3</v>
      </c>
      <c r="D3" s="279" t="str">
        <f t="shared" ref="D3:D11" si="0">A3&amp;" (QTY "&amp;C3&amp;")"&amp;": "&amp;B3</f>
        <v>Server (QTY 3): CPU 2*Intel Xeon Gold 5220R 2.2G, 24C/48T, 128G (32G*4) Memory,
12*3.5in disk slots, 
2*240G OS disks (configured with RAID1), 
6*GE+2*10GE, no cache disk or data disk</v>
      </c>
    </row>
    <row r="4" spans="1:4" ht="12.75">
      <c r="A4" s="1113" t="s">
        <v>4097</v>
      </c>
      <c r="B4" s="1114" t="s">
        <v>4098</v>
      </c>
      <c r="C4" s="1115">
        <v>12</v>
      </c>
      <c r="D4" s="279" t="str">
        <f t="shared" si="0"/>
        <v>Memory(RAM) (QTY 12): 32GB DDR4 RDIMM</v>
      </c>
    </row>
    <row r="5" spans="1:4" ht="12.75">
      <c r="A5" s="1113" t="s">
        <v>4099</v>
      </c>
      <c r="B5" s="1114" t="s">
        <v>4100</v>
      </c>
      <c r="C5" s="1115">
        <v>12</v>
      </c>
      <c r="D5" s="279" t="str">
        <f t="shared" si="0"/>
        <v>Fiber Cable (QTY 12): LC-LC, Multi-mode, 3 meters.</v>
      </c>
    </row>
    <row r="6" spans="1:4" ht="25.5">
      <c r="A6" s="1113" t="s">
        <v>4101</v>
      </c>
      <c r="B6" s="1114" t="s">
        <v>4102</v>
      </c>
      <c r="C6" s="1115">
        <v>12</v>
      </c>
      <c r="D6" s="279" t="str">
        <f t="shared" si="0"/>
        <v>Tranciever(For Server) (QTY 12): SFP+ 10GE Multimode Optical Transceiver, 
 for short distance transmission (850nm, 300M).</v>
      </c>
    </row>
    <row r="7" spans="1:4" ht="12.75">
      <c r="A7" s="1113" t="s">
        <v>4103</v>
      </c>
      <c r="B7" s="1114" t="s">
        <v>4104</v>
      </c>
      <c r="C7" s="1115">
        <v>15</v>
      </c>
      <c r="D7" s="279" t="str">
        <f t="shared" si="0"/>
        <v>Disk - HDD (QTY 15): 8TB 7200RPM 3.5</v>
      </c>
    </row>
    <row r="8" spans="1:4" ht="25.5">
      <c r="A8" s="1113" t="s">
        <v>4105</v>
      </c>
      <c r="B8" s="1114" t="s">
        <v>4106</v>
      </c>
      <c r="C8" s="1115">
        <v>9</v>
      </c>
      <c r="D8" s="279" t="str">
        <f t="shared" si="0"/>
        <v>Disk - SSD (QTY 9): 1.9TB SSD Intel S4600 3D NAND TLC SSD 2.5", SATA 3.0 6Gbps</v>
      </c>
    </row>
    <row r="9" spans="1:4" ht="12.75">
      <c r="A9" s="1113" t="s">
        <v>4107</v>
      </c>
      <c r="B9" s="1114" t="s">
        <v>4108</v>
      </c>
      <c r="C9" s="1115">
        <v>3</v>
      </c>
      <c r="D9" s="279" t="str">
        <f t="shared" si="0"/>
        <v>Network Interface Card (QTY 3): 2*10GE</v>
      </c>
    </row>
    <row r="10" spans="1:4" ht="25.5">
      <c r="A10" s="1116" t="s">
        <v>4109</v>
      </c>
      <c r="B10" s="1117" t="s">
        <v>4110</v>
      </c>
      <c r="C10" s="1118">
        <v>2</v>
      </c>
      <c r="D10" s="279" t="str">
        <f t="shared" si="0"/>
        <v>Switch (QTY 2): 12 Gigabit electrical ports, 12 10G SFP+ optical ports, switching capacity 1.28Tbps/12.8Tbps</v>
      </c>
    </row>
    <row r="11" spans="1:4" ht="12.75">
      <c r="A11" s="1119" t="s">
        <v>4111</v>
      </c>
      <c r="B11" s="1120" t="s">
        <v>4112</v>
      </c>
      <c r="C11" s="1121">
        <v>10</v>
      </c>
      <c r="D11" s="279" t="str">
        <f t="shared" si="0"/>
        <v>Transceiver(For Switch) (QTY 10): 10 gigabit SFP+</v>
      </c>
    </row>
    <row r="12" spans="1:4" ht="12.75">
      <c r="A12" s="1117"/>
      <c r="B12" s="1117"/>
      <c r="C12" s="1095"/>
      <c r="D12" s="279"/>
    </row>
    <row r="13" spans="1:4" ht="15.75" customHeight="1">
      <c r="A13" s="1534" t="s">
        <v>4113</v>
      </c>
      <c r="B13" s="1442"/>
      <c r="C13" s="1443"/>
      <c r="D13" s="1109" t="str">
        <f>A13</f>
        <v>***Hyper-Converged Infrastructure - Offsite ( 2 Server Hardware)</v>
      </c>
    </row>
    <row r="14" spans="1:4" ht="63.75">
      <c r="A14" s="1113" t="s">
        <v>4095</v>
      </c>
      <c r="B14" s="1114" t="s">
        <v>4114</v>
      </c>
      <c r="C14" s="1115">
        <v>3</v>
      </c>
      <c r="D14" s="279" t="str">
        <f t="shared" ref="D14:D20" si="1">A14&amp;" (QTY "&amp;C14&amp;")"&amp;": "&amp;B14</f>
        <v>Server (QTY 3): CPU 2*Intel Xeon Gold 5220R 2.2G, 24C/48T, 128G (32G*4) Memory,
  12*3.5in disk slots, 
 2*240G OS disks (configured with RAID1), 
 6*GE+2*10GE, no cache disk or data disk</v>
      </c>
    </row>
    <row r="15" spans="1:4" ht="12.75">
      <c r="A15" s="1113" t="s">
        <v>4097</v>
      </c>
      <c r="B15" s="1114" t="s">
        <v>4098</v>
      </c>
      <c r="C15" s="1115">
        <v>12</v>
      </c>
      <c r="D15" s="279" t="str">
        <f t="shared" si="1"/>
        <v>Memory(RAM) (QTY 12): 32GB DDR4 RDIMM</v>
      </c>
    </row>
    <row r="16" spans="1:4" ht="12.75">
      <c r="A16" s="1113" t="s">
        <v>4099</v>
      </c>
      <c r="B16" s="1114" t="s">
        <v>4100</v>
      </c>
      <c r="C16" s="1115">
        <v>4</v>
      </c>
      <c r="D16" s="279" t="str">
        <f t="shared" si="1"/>
        <v>Fiber Cable (QTY 4): LC-LC, Multi-mode, 3 meters.</v>
      </c>
    </row>
    <row r="17" spans="1:4" ht="25.5">
      <c r="A17" s="1113" t="s">
        <v>4115</v>
      </c>
      <c r="B17" s="1114" t="s">
        <v>4102</v>
      </c>
      <c r="C17" s="1115">
        <v>8</v>
      </c>
      <c r="D17" s="279" t="str">
        <f t="shared" si="1"/>
        <v>Tranciever (QTY 8): SFP+ 10GE Multimode Optical Transceiver, 
 for short distance transmission (850nm, 300M).</v>
      </c>
    </row>
    <row r="18" spans="1:4" ht="12.75">
      <c r="A18" s="1113" t="s">
        <v>4103</v>
      </c>
      <c r="B18" s="1114" t="s">
        <v>4104</v>
      </c>
      <c r="C18" s="1115">
        <v>12</v>
      </c>
      <c r="D18" s="279" t="str">
        <f t="shared" si="1"/>
        <v>Disk - HDD (QTY 12): 8TB 7200RPM 3.5</v>
      </c>
    </row>
    <row r="19" spans="1:4" ht="25.5">
      <c r="A19" s="1113" t="s">
        <v>4105</v>
      </c>
      <c r="B19" s="1114" t="s">
        <v>4106</v>
      </c>
      <c r="C19" s="1115">
        <v>6</v>
      </c>
      <c r="D19" s="279" t="str">
        <f t="shared" si="1"/>
        <v>Disk - SSD (QTY 6): 1.9TB SSD Intel S4600 3D NAND TLC SSD 2.5", SATA 3.0 6Gbps</v>
      </c>
    </row>
    <row r="20" spans="1:4" ht="12.75">
      <c r="A20" s="1113" t="s">
        <v>4107</v>
      </c>
      <c r="B20" s="1114" t="s">
        <v>4108</v>
      </c>
      <c r="C20" s="1115">
        <v>2</v>
      </c>
      <c r="D20" s="279" t="str">
        <f t="shared" si="1"/>
        <v>Network Interface Card (QTY 2): 2*10GE</v>
      </c>
    </row>
    <row r="21" spans="1:4" ht="12.75">
      <c r="A21" s="1113"/>
      <c r="B21" s="1114"/>
      <c r="C21" s="1106"/>
      <c r="D21" s="279"/>
    </row>
    <row r="22" spans="1:4" ht="15.75" customHeight="1">
      <c r="A22" s="1534" t="s">
        <v>4116</v>
      </c>
      <c r="B22" s="1442"/>
      <c r="C22" s="1443"/>
      <c r="D22" s="1109" t="str">
        <f t="shared" ref="D22:D51" si="2">A22</f>
        <v>***Software Features - Hyper Converged Infrastructure</v>
      </c>
    </row>
    <row r="23" spans="1:4" ht="25.5">
      <c r="A23" s="1535" t="s">
        <v>4117</v>
      </c>
      <c r="B23" s="1443"/>
      <c r="C23" s="1106"/>
      <c r="D23" s="279" t="str">
        <f t="shared" si="2"/>
        <v>Must include at least virtualized computing (hypervisor), virtualized SAN (software-defined storage), and virtualized networking (software-defined networking).</v>
      </c>
    </row>
    <row r="24" spans="1:4" ht="25.5">
      <c r="A24" s="1535" t="s">
        <v>4118</v>
      </c>
      <c r="B24" s="1443"/>
      <c r="C24" s="1106"/>
      <c r="D24" s="279" t="str">
        <f t="shared" si="2"/>
        <v>Must be capable and ready for network virtual security (Virtual Firewall, Bandwidth Manager, SSL VPN, WAN Optimization).</v>
      </c>
    </row>
    <row r="25" spans="1:4" ht="25.5">
      <c r="A25" s="1536" t="s">
        <v>4119</v>
      </c>
      <c r="B25" s="1443"/>
      <c r="C25" s="1122"/>
      <c r="D25" s="279" t="str">
        <f t="shared" si="2"/>
        <v>Must have a minimum two nodes, and must be expandable from 2 nodes to more nodes directly without redo of implementation or reinitialization of HCI.</v>
      </c>
    </row>
    <row r="26" spans="1:4" ht="25.5">
      <c r="A26" s="1536" t="s">
        <v>4120</v>
      </c>
      <c r="B26" s="1443"/>
      <c r="C26" s="1106"/>
      <c r="D26" s="279" t="str">
        <f t="shared" si="2"/>
        <v>The management platform must be integrated and distributed, not relying on a certain virtual machine or physical machine.</v>
      </c>
    </row>
    <row r="27" spans="1:4" ht="38.25">
      <c r="A27" s="1536" t="s">
        <v>4121</v>
      </c>
      <c r="B27" s="1443"/>
      <c r="C27" s="1106"/>
      <c r="D27" s="279" t="str">
        <f t="shared" si="2"/>
        <v>Does not require installing additional management software after deployment of the hypervisor to achieve basic web-based access to GUI, granular management and easy operation</v>
      </c>
    </row>
    <row r="28" spans="1:4" ht="51">
      <c r="A28" s="1536" t="s">
        <v>4122</v>
      </c>
      <c r="B28" s="1443"/>
      <c r="C28" s="1106"/>
      <c r="D28" s="279" t="str">
        <f t="shared" si="2"/>
        <v>Must support correlated security service with intelligent threat detection and response platform to automatically take actions (such as quarantine VM by distributed firewall, take snapshot for VM) against malicious activities that are detected by the security platform.</v>
      </c>
    </row>
    <row r="29" spans="1:4" ht="25.5">
      <c r="A29" s="1536" t="s">
        <v>4123</v>
      </c>
      <c r="B29" s="1443"/>
      <c r="C29" s="1106"/>
      <c r="D29" s="279" t="str">
        <f t="shared" si="2"/>
        <v>Must have built-in Backup by default and support agent-less incremental VM-level backup. For Windows VMs, file-level recovery must be supported.</v>
      </c>
    </row>
    <row r="30" spans="1:4" ht="25.5">
      <c r="A30" s="1535" t="s">
        <v>4124</v>
      </c>
      <c r="B30" s="1443"/>
      <c r="C30" s="1106"/>
      <c r="D30" s="279" t="str">
        <f t="shared" si="2"/>
        <v>Must have snapshot consistent group and scheduled snapshots, administrators can restore virtual machine image data to any snapshot point in time.</v>
      </c>
    </row>
    <row r="31" spans="1:4" ht="25.5">
      <c r="A31" s="1535" t="s">
        <v>4125</v>
      </c>
      <c r="B31" s="1443"/>
      <c r="C31" s="1106"/>
      <c r="D31" s="279" t="str">
        <f t="shared" si="2"/>
        <v>Must have a backup mechanism (backup and recovery) to address issues such as software crash, mis-operations, damage data).</v>
      </c>
    </row>
    <row r="32" spans="1:4" ht="38.25">
      <c r="A32" s="1535" t="s">
        <v>4126</v>
      </c>
      <c r="B32" s="1443"/>
      <c r="C32" s="1106"/>
      <c r="D32" s="279" t="str">
        <f t="shared" si="2"/>
        <v>Must be able to evaluate performance of virtual machines and hot-add resources (vCPU and vRAM) when they are running out of CPU or memory, minimizing business downtime.</v>
      </c>
    </row>
    <row r="33" spans="1:4" ht="12.75">
      <c r="A33" s="1535" t="s">
        <v>4127</v>
      </c>
      <c r="B33" s="1443"/>
      <c r="C33" s="1106"/>
      <c r="D33" s="279" t="str">
        <f t="shared" si="2"/>
        <v>Must support module Activated CDP (Continues Data Protection)</v>
      </c>
    </row>
    <row r="34" spans="1:4" ht="25.5">
      <c r="A34" s="1535" t="s">
        <v>4128</v>
      </c>
      <c r="B34" s="1443"/>
      <c r="C34" s="1106"/>
      <c r="D34" s="279" t="str">
        <f t="shared" si="2"/>
        <v>Must have AI-Enhanced database performance optimization with built-in self-adaptive performance optimization engine</v>
      </c>
    </row>
    <row r="35" spans="1:4" ht="51">
      <c r="A35" s="1535" t="s">
        <v>4129</v>
      </c>
      <c r="B35" s="1443"/>
      <c r="C35" s="1106"/>
      <c r="D35" s="279" t="str">
        <f t="shared" si="2"/>
        <v>Support host health monitoring, when a host is deemed unhealthy, it will be put in an unhealthy host list, VM placement and HA failover will avoid using the unhealthy host as a destination. When the host is back to normal, it can be taken out of the unhealthy host list automatically.</v>
      </c>
    </row>
    <row r="36" spans="1:4" ht="38.25">
      <c r="A36" s="1535" t="s">
        <v>4130</v>
      </c>
      <c r="B36" s="1443"/>
      <c r="C36" s="1106"/>
      <c r="D36" s="279" t="str">
        <f t="shared" si="2"/>
        <v>Storage is in distributed architecture where more than one storage nodes are composed of a Storage Area Network (SAN) that can be scaled out (by increasing nodes) to expand storage capacity and performance</v>
      </c>
    </row>
    <row r="37" spans="1:4" ht="38.25">
      <c r="A37" s="1535" t="s">
        <v>4131</v>
      </c>
      <c r="B37" s="1443"/>
      <c r="C37" s="1106"/>
      <c r="D37" s="279" t="str">
        <f t="shared" si="2"/>
        <v>Support access via iSCSI, to enable other hosts in the cluster to use iSCSI to access the virtual storage, and make Server SAN and IP SAN work together and maximize storage utilization.</v>
      </c>
    </row>
    <row r="38" spans="1:4" ht="25.5">
      <c r="A38" s="1535" t="s">
        <v>4132</v>
      </c>
      <c r="B38" s="1443"/>
      <c r="C38" s="1106"/>
      <c r="D38" s="279" t="str">
        <f t="shared" si="2"/>
        <v>A full copy of VM's data should exist on the node where the VM is running on to facilitate faster read and write</v>
      </c>
    </row>
    <row r="39" spans="1:4" ht="38.25">
      <c r="A39" s="1537" t="s">
        <v>4133</v>
      </c>
      <c r="B39" s="1438"/>
      <c r="C39" s="1123"/>
      <c r="D39" s="279" t="str">
        <f t="shared" si="2"/>
        <v>The virtual storage of must make use of SSD as cache tier and spinning disk as data tier to ensure performance and cost balance. Data is written to SSD first and read from SSD in priority to improve performance.</v>
      </c>
    </row>
    <row r="40" spans="1:4" ht="12.75">
      <c r="A40" s="1439"/>
      <c r="B40" s="1440"/>
      <c r="C40" s="1123"/>
      <c r="D40" s="279">
        <f t="shared" si="2"/>
        <v>0</v>
      </c>
    </row>
    <row r="41" spans="1:4" ht="38.25">
      <c r="A41" s="1535" t="s">
        <v>4134</v>
      </c>
      <c r="B41" s="1443"/>
      <c r="C41" s="1106"/>
      <c r="D41" s="279" t="str">
        <f t="shared" si="2"/>
        <v>Data that is frequently accessed (also called hot data) can use SSD as a persistent storage media, when VM is migrated or host is rebooted, the hot data must still reside in the SSD for fast retrieval</v>
      </c>
    </row>
    <row r="42" spans="1:4" ht="12.75">
      <c r="A42" s="1535" t="s">
        <v>4135</v>
      </c>
      <c r="B42" s="1443"/>
      <c r="C42" s="1106"/>
      <c r="D42" s="279" t="str">
        <f t="shared" si="2"/>
        <v>Support 3 data copies with 3 hosts to tolerate failure of any 2 disks or 1 host</v>
      </c>
    </row>
    <row r="43" spans="1:4" ht="12.75">
      <c r="A43" s="1535" t="s">
        <v>4136</v>
      </c>
      <c r="B43" s="1443"/>
      <c r="C43" s="1106"/>
      <c r="D43" s="279" t="str">
        <f t="shared" si="2"/>
        <v>Support disk bad sector prediction, scanning and repair to maximize data security</v>
      </c>
    </row>
    <row r="44" spans="1:4" ht="25.5">
      <c r="A44" s="1535" t="s">
        <v>4137</v>
      </c>
      <c r="B44" s="1443"/>
      <c r="C44" s="1106"/>
      <c r="D44" s="279" t="str">
        <f t="shared" si="2"/>
        <v>Support storage capacity prediction based on historical usage statistics and consumption behavior</v>
      </c>
    </row>
    <row r="45" spans="1:4" ht="12.75">
      <c r="A45" s="1535" t="s">
        <v>4138</v>
      </c>
      <c r="B45" s="1443"/>
      <c r="C45" s="1106"/>
      <c r="D45" s="279" t="str">
        <f t="shared" si="2"/>
        <v>Support disk remaining life cycle prediction</v>
      </c>
    </row>
    <row r="46" spans="1:4" ht="12.75">
      <c r="A46" s="1538" t="s">
        <v>4139</v>
      </c>
      <c r="B46" s="1443"/>
      <c r="C46" s="1123"/>
      <c r="D46" s="279" t="str">
        <f t="shared" si="2"/>
        <v>Natively support deploying virtual routers, virtual switches and firewalls.</v>
      </c>
    </row>
    <row r="47" spans="1:4" ht="25.5">
      <c r="A47" s="1539" t="s">
        <v>4140</v>
      </c>
      <c r="B47" s="1443"/>
      <c r="C47" s="1123"/>
      <c r="D47" s="279" t="str">
        <f t="shared" si="2"/>
        <v>Built-in distributed firewall to apply granular access control policy between VMs, securing east-west traffic (also known as Micro-segmentation)</v>
      </c>
    </row>
    <row r="48" spans="1:4" ht="38.25">
      <c r="A48" s="1539" t="s">
        <v>4141</v>
      </c>
      <c r="B48" s="1443"/>
      <c r="C48" s="1123"/>
      <c r="D48" s="279" t="str">
        <f t="shared" si="2"/>
        <v>The virtual router supports high availability. A failed virtual router can be automatically recovered upon host failure, to ensure high availability of routing service</v>
      </c>
    </row>
    <row r="49" spans="1:4" ht="25.5">
      <c r="A49" s="1539" t="s">
        <v>4142</v>
      </c>
      <c r="B49" s="1443"/>
      <c r="C49" s="1123"/>
      <c r="D49" s="279" t="str">
        <f t="shared" si="2"/>
        <v>Visualized Network topology can be completed simply by dragging objects and drawing connections via a visualized web-based management panel</v>
      </c>
    </row>
    <row r="50" spans="1:4" ht="12.75">
      <c r="A50" s="1539" t="s">
        <v>4143</v>
      </c>
      <c r="B50" s="1443"/>
      <c r="C50" s="1123"/>
      <c r="D50" s="279" t="str">
        <f t="shared" si="2"/>
        <v>Support data compression and encryption in the replication</v>
      </c>
    </row>
    <row r="51" spans="1:4" ht="25.5">
      <c r="A51" s="1539" t="s">
        <v>4144</v>
      </c>
      <c r="B51" s="1443"/>
      <c r="C51" s="1123"/>
      <c r="D51" s="279" t="str">
        <f t="shared" si="2"/>
        <v>Support ingesting data with portable disks in production cluster and importing data to DR cluster to save bandwidth consumption</v>
      </c>
    </row>
    <row r="52" spans="1:4" ht="15.75" customHeight="1">
      <c r="A52" s="1534" t="s">
        <v>4145</v>
      </c>
      <c r="B52" s="1442"/>
      <c r="C52" s="1443"/>
      <c r="D52" s="1109"/>
    </row>
    <row r="53" spans="1:4" ht="12.75">
      <c r="A53" s="1535" t="s">
        <v>4146</v>
      </c>
      <c r="B53" s="1442"/>
      <c r="C53" s="1443"/>
      <c r="D53" s="279"/>
    </row>
    <row r="54" spans="1:4" ht="12.75">
      <c r="A54" s="1535" t="s">
        <v>4147</v>
      </c>
      <c r="B54" s="1442"/>
      <c r="C54" s="1443"/>
      <c r="D54" s="279"/>
    </row>
    <row r="55" spans="1:4" ht="12.75">
      <c r="A55" s="1535" t="s">
        <v>4148</v>
      </c>
      <c r="B55" s="1442"/>
      <c r="C55" s="1443"/>
      <c r="D55" s="279"/>
    </row>
    <row r="56" spans="1:4" ht="12.75">
      <c r="A56" s="1535" t="s">
        <v>4149</v>
      </c>
      <c r="B56" s="1442"/>
      <c r="C56" s="1443"/>
      <c r="D56" s="279"/>
    </row>
    <row r="57" spans="1:4" ht="12.75">
      <c r="A57" s="1535" t="s">
        <v>4150</v>
      </c>
      <c r="B57" s="1442"/>
      <c r="C57" s="1443"/>
      <c r="D57" s="279"/>
    </row>
    <row r="58" spans="1:4" ht="12.75">
      <c r="A58" s="1535" t="s">
        <v>4151</v>
      </c>
      <c r="B58" s="1442"/>
      <c r="C58" s="1443"/>
      <c r="D58" s="279"/>
    </row>
    <row r="59" spans="1:4" ht="12.75">
      <c r="A59" s="1535" t="s">
        <v>4152</v>
      </c>
      <c r="B59" s="1442"/>
      <c r="C59" s="1443"/>
      <c r="D59" s="279"/>
    </row>
    <row r="60" spans="1:4" ht="12.75">
      <c r="A60" s="1535" t="s">
        <v>4153</v>
      </c>
      <c r="B60" s="1442"/>
      <c r="C60" s="1443"/>
      <c r="D60" s="279"/>
    </row>
    <row r="61" spans="1:4" ht="12.75">
      <c r="A61" s="1113"/>
      <c r="B61" s="1114"/>
      <c r="C61" s="1106"/>
      <c r="D61" s="279"/>
    </row>
    <row r="62" spans="1:4" ht="12.75">
      <c r="A62" s="1113"/>
      <c r="B62" s="1114"/>
      <c r="C62" s="1106"/>
      <c r="D62" s="279"/>
    </row>
    <row r="63" spans="1:4" ht="12.75">
      <c r="A63" s="1113"/>
      <c r="B63" s="1114"/>
      <c r="C63" s="1106"/>
      <c r="D63" s="279"/>
    </row>
    <row r="64" spans="1:4" ht="12.75">
      <c r="A64" s="1113"/>
      <c r="B64" s="1114"/>
      <c r="C64" s="1106"/>
      <c r="D64" s="279"/>
    </row>
    <row r="65" spans="1:5" ht="12.75">
      <c r="A65" s="1113"/>
      <c r="B65" s="1114"/>
      <c r="C65" s="1106"/>
      <c r="D65" s="279"/>
    </row>
    <row r="66" spans="1:5" ht="12.75">
      <c r="A66" s="1113"/>
      <c r="B66" s="1114"/>
      <c r="C66" s="1106"/>
      <c r="D66" s="279"/>
    </row>
    <row r="67" spans="1:5" ht="12.75">
      <c r="A67" s="1113"/>
      <c r="B67" s="1114"/>
      <c r="C67" s="1106"/>
      <c r="D67" s="279"/>
    </row>
    <row r="68" spans="1:5" ht="12.75">
      <c r="A68" s="1113"/>
      <c r="B68" s="1114"/>
      <c r="C68" s="1106"/>
      <c r="D68" s="279"/>
    </row>
    <row r="69" spans="1:5" ht="15">
      <c r="A69" s="1124"/>
      <c r="B69" s="1125"/>
      <c r="C69" s="953"/>
      <c r="D69" s="279"/>
    </row>
    <row r="70" spans="1:5" ht="15">
      <c r="A70" s="1124"/>
      <c r="B70" s="1125"/>
      <c r="C70" s="953"/>
      <c r="D70" s="279"/>
    </row>
    <row r="71" spans="1:5" ht="15">
      <c r="A71" s="1124"/>
      <c r="B71" s="1125"/>
      <c r="C71" s="953"/>
      <c r="D71" s="279"/>
    </row>
    <row r="72" spans="1:5" ht="12.75">
      <c r="A72" s="279"/>
      <c r="B72" s="279"/>
      <c r="D72" s="279"/>
      <c r="E72" s="1107" t="str">
        <f ca="1">IFERROR(__xludf.DUMMYFUNCTION("FILTER(D:D,D:D&lt;&gt;"""")"),"***Hyper-Converged Infrastructure - Head Office ( 3 Server Hardware)")</f>
        <v>***Hyper-Converged Infrastructure - Head Office ( 3 Server Hardware)</v>
      </c>
    </row>
    <row r="73" spans="1:5" ht="12.75">
      <c r="A73" s="279"/>
      <c r="B73" s="279"/>
      <c r="D73" s="279"/>
      <c r="E73" s="1107" t="str">
        <f ca="1">IFERROR(__xludf.DUMMYFUNCTION("""COMPUTED_VALUE"""),"Specifications")</f>
        <v>Specifications</v>
      </c>
    </row>
    <row r="74" spans="1:5" ht="12.75">
      <c r="A74" s="279"/>
      <c r="B74" s="279"/>
      <c r="D74" s="279"/>
      <c r="E74" s="1" t="str">
        <f ca="1">IFERROR(__xludf.DUMMYFUNCTION("""COMPUTED_VALUE"""),"Server (QTY 3): CPU 2*Intel Xeon Gold 5220R 2.2G, 24C/48T, 128G (32G*4) Memory,
12*3.5in disk slots, 
2*240G OS disks (configured with RAID1), 
6*GE+2*10GE, no cache disk or data disk")</f>
        <v>Server (QTY 3): CPU 2*Intel Xeon Gold 5220R 2.2G, 24C/48T, 128G (32G*4) Memory,
12*3.5in disk slots, 
2*240G OS disks (configured with RAID1), 
6*GE+2*10GE, no cache disk or data disk</v>
      </c>
    </row>
    <row r="75" spans="1:5" ht="12.75">
      <c r="A75" s="279"/>
      <c r="B75" s="279"/>
      <c r="D75" s="279"/>
      <c r="E75" s="1" t="str">
        <f ca="1">IFERROR(__xludf.DUMMYFUNCTION("""COMPUTED_VALUE"""),"Memory(RAM) (QTY 12): 32GB DDR4 RDIMM")</f>
        <v>Memory(RAM) (QTY 12): 32GB DDR4 RDIMM</v>
      </c>
    </row>
    <row r="76" spans="1:5" ht="12.75">
      <c r="A76" s="279"/>
      <c r="B76" s="279"/>
      <c r="D76" s="279"/>
      <c r="E76" s="1" t="str">
        <f ca="1">IFERROR(__xludf.DUMMYFUNCTION("""COMPUTED_VALUE"""),"Fiber Cable (QTY 12): LC-LC, Multi-mode, 3 meters.")</f>
        <v>Fiber Cable (QTY 12): LC-LC, Multi-mode, 3 meters.</v>
      </c>
    </row>
    <row r="77" spans="1:5" ht="12.75">
      <c r="A77" s="279"/>
      <c r="B77" s="279"/>
      <c r="D77" s="279"/>
      <c r="E77" s="1" t="str">
        <f ca="1">IFERROR(__xludf.DUMMYFUNCTION("""COMPUTED_VALUE"""),"Tranciever(For Server) (QTY 12): SFP+ 10GE Multimode Optical Transceiver, 
 for short distance transmission (850nm, 300M).")</f>
        <v>Tranciever(For Server) (QTY 12): SFP+ 10GE Multimode Optical Transceiver, 
 for short distance transmission (850nm, 300M).</v>
      </c>
    </row>
    <row r="78" spans="1:5" ht="12.75">
      <c r="A78" s="279"/>
      <c r="B78" s="279"/>
      <c r="D78" s="279"/>
      <c r="E78" s="1" t="str">
        <f ca="1">IFERROR(__xludf.DUMMYFUNCTION("""COMPUTED_VALUE"""),"Disk - HDD (QTY 15): 8TB 7200RPM 3.5")</f>
        <v>Disk - HDD (QTY 15): 8TB 7200RPM 3.5</v>
      </c>
    </row>
    <row r="79" spans="1:5" ht="12.75">
      <c r="A79" s="279"/>
      <c r="B79" s="279"/>
      <c r="D79" s="279"/>
      <c r="E79" s="1" t="str">
        <f ca="1">IFERROR(__xludf.DUMMYFUNCTION("""COMPUTED_VALUE"""),"Disk - SSD (QTY 9): 1.9TB SSD Intel S4600 3D NAND TLC SSD 2.5"", SATA 3.0 6Gbps")</f>
        <v>Disk - SSD (QTY 9): 1.9TB SSD Intel S4600 3D NAND TLC SSD 2.5", SATA 3.0 6Gbps</v>
      </c>
    </row>
    <row r="80" spans="1:5" ht="12.75">
      <c r="A80" s="279"/>
      <c r="B80" s="279"/>
      <c r="D80" s="279"/>
      <c r="E80" s="1" t="str">
        <f ca="1">IFERROR(__xludf.DUMMYFUNCTION("""COMPUTED_VALUE"""),"Network Interface Card (QTY 3): 2*10GE")</f>
        <v>Network Interface Card (QTY 3): 2*10GE</v>
      </c>
    </row>
    <row r="81" spans="1:5" ht="12.75">
      <c r="A81" s="279"/>
      <c r="B81" s="279"/>
      <c r="D81" s="279"/>
      <c r="E81" s="1" t="str">
        <f ca="1">IFERROR(__xludf.DUMMYFUNCTION("""COMPUTED_VALUE"""),"Switch (QTY 2): 12 Gigabit electrical ports, 12 10G SFP+ optical ports, switching capacity 1.28Tbps/12.8Tbps")</f>
        <v>Switch (QTY 2): 12 Gigabit electrical ports, 12 10G SFP+ optical ports, switching capacity 1.28Tbps/12.8Tbps</v>
      </c>
    </row>
    <row r="82" spans="1:5" ht="12.75">
      <c r="A82" s="279"/>
      <c r="B82" s="279"/>
      <c r="D82" s="279"/>
      <c r="E82" s="1" t="str">
        <f ca="1">IFERROR(__xludf.DUMMYFUNCTION("""COMPUTED_VALUE"""),"Transceiver(For Switch) (QTY 10): 10 gigabit SFP+")</f>
        <v>Transceiver(For Switch) (QTY 10): 10 gigabit SFP+</v>
      </c>
    </row>
    <row r="83" spans="1:5" ht="12.75">
      <c r="A83" s="279"/>
      <c r="B83" s="279"/>
      <c r="D83" s="279"/>
      <c r="E83" s="1107" t="str">
        <f ca="1">IFERROR(__xludf.DUMMYFUNCTION("""COMPUTED_VALUE"""),"***Hyper-Converged Infrastructure - Offsite ( 2 Server Hardware)")</f>
        <v>***Hyper-Converged Infrastructure - Offsite ( 2 Server Hardware)</v>
      </c>
    </row>
    <row r="84" spans="1:5" ht="12.75">
      <c r="A84" s="279"/>
      <c r="B84" s="279"/>
      <c r="D84" s="279"/>
      <c r="E84" s="1" t="str">
        <f ca="1">IFERROR(__xludf.DUMMYFUNCTION("""COMPUTED_VALUE"""),"Server (QTY 3): CPU 2*Intel Xeon Gold 5220R 2.2G, 24C/48T, 128G (32G*4) Memory,
  12*3.5in disk slots, 
 2*240G OS disks (configured with RAID1), 
 6*GE+2*10GE, no cache disk or data disk")</f>
        <v>Server (QTY 3): CPU 2*Intel Xeon Gold 5220R 2.2G, 24C/48T, 128G (32G*4) Memory,
  12*3.5in disk slots, 
 2*240G OS disks (configured with RAID1), 
 6*GE+2*10GE, no cache disk or data disk</v>
      </c>
    </row>
    <row r="85" spans="1:5" ht="12.75">
      <c r="A85" s="279"/>
      <c r="B85" s="279"/>
      <c r="D85" s="279"/>
      <c r="E85" s="1" t="str">
        <f ca="1">IFERROR(__xludf.DUMMYFUNCTION("""COMPUTED_VALUE"""),"Memory(RAM) (QTY 12): 32GB DDR4 RDIMM")</f>
        <v>Memory(RAM) (QTY 12): 32GB DDR4 RDIMM</v>
      </c>
    </row>
    <row r="86" spans="1:5" ht="12.75">
      <c r="A86" s="279"/>
      <c r="B86" s="279"/>
      <c r="D86" s="279"/>
      <c r="E86" s="1" t="str">
        <f ca="1">IFERROR(__xludf.DUMMYFUNCTION("""COMPUTED_VALUE"""),"Fiber Cable (QTY 4): LC-LC, Multi-mode, 3 meters.")</f>
        <v>Fiber Cable (QTY 4): LC-LC, Multi-mode, 3 meters.</v>
      </c>
    </row>
    <row r="87" spans="1:5" ht="12.75">
      <c r="A87" s="279"/>
      <c r="B87" s="279"/>
      <c r="D87" s="279"/>
      <c r="E87" s="1" t="str">
        <f ca="1">IFERROR(__xludf.DUMMYFUNCTION("""COMPUTED_VALUE"""),"Tranciever (QTY 8): SFP+ 10GE Multimode Optical Transceiver, 
 for short distance transmission (850nm, 300M).")</f>
        <v>Tranciever (QTY 8): SFP+ 10GE Multimode Optical Transceiver, 
 for short distance transmission (850nm, 300M).</v>
      </c>
    </row>
    <row r="88" spans="1:5" ht="12.75">
      <c r="A88" s="279"/>
      <c r="B88" s="279"/>
      <c r="D88" s="279"/>
      <c r="E88" s="1" t="str">
        <f ca="1">IFERROR(__xludf.DUMMYFUNCTION("""COMPUTED_VALUE"""),"Disk - HDD (QTY 12): 8TB 7200RPM 3.5")</f>
        <v>Disk - HDD (QTY 12): 8TB 7200RPM 3.5</v>
      </c>
    </row>
    <row r="89" spans="1:5" ht="12.75">
      <c r="A89" s="279"/>
      <c r="B89" s="279"/>
      <c r="D89" s="279"/>
      <c r="E89" s="1" t="str">
        <f ca="1">IFERROR(__xludf.DUMMYFUNCTION("""COMPUTED_VALUE"""),"Disk - SSD (QTY 6): 1.9TB SSD Intel S4600 3D NAND TLC SSD 2.5"", SATA 3.0 6Gbps")</f>
        <v>Disk - SSD (QTY 6): 1.9TB SSD Intel S4600 3D NAND TLC SSD 2.5", SATA 3.0 6Gbps</v>
      </c>
    </row>
    <row r="90" spans="1:5" ht="12.75">
      <c r="A90" s="279"/>
      <c r="B90" s="279"/>
      <c r="D90" s="279"/>
      <c r="E90" s="1" t="str">
        <f ca="1">IFERROR(__xludf.DUMMYFUNCTION("""COMPUTED_VALUE"""),"Network Interface Card (QTY 2): 2*10GE")</f>
        <v>Network Interface Card (QTY 2): 2*10GE</v>
      </c>
    </row>
    <row r="91" spans="1:5" ht="12.75">
      <c r="A91" s="279"/>
      <c r="B91" s="279"/>
      <c r="D91" s="279"/>
      <c r="E91" s="1107" t="str">
        <f ca="1">IFERROR(__xludf.DUMMYFUNCTION("""COMPUTED_VALUE"""),"***Software Features - Hyper Converged Infrastructure")</f>
        <v>***Software Features - Hyper Converged Infrastructure</v>
      </c>
    </row>
    <row r="92" spans="1:5" ht="12.75">
      <c r="A92" s="279"/>
      <c r="B92" s="279"/>
      <c r="D92" s="279"/>
      <c r="E92" s="1" t="str">
        <f ca="1">IFERROR(__xludf.DUMMYFUNCTION("""COMPUTED_VALUE"""),"Must include at least virtualized computing (hypervisor), virtualized SAN (software-defined storage), and virtualized networking (software-defined networking).")</f>
        <v>Must include at least virtualized computing (hypervisor), virtualized SAN (software-defined storage), and virtualized networking (software-defined networking).</v>
      </c>
    </row>
    <row r="93" spans="1:5" ht="12.75">
      <c r="A93" s="279"/>
      <c r="B93" s="279"/>
      <c r="D93" s="279"/>
      <c r="E93" s="1" t="str">
        <f ca="1">IFERROR(__xludf.DUMMYFUNCTION("""COMPUTED_VALUE"""),"Must be capable and ready for network virtual security (Virtual Firewall, Bandwidth Manager, SSL VPN, WAN Optimization).")</f>
        <v>Must be capable and ready for network virtual security (Virtual Firewall, Bandwidth Manager, SSL VPN, WAN Optimization).</v>
      </c>
    </row>
    <row r="94" spans="1:5" ht="12.75">
      <c r="A94" s="279"/>
      <c r="B94" s="279"/>
      <c r="D94" s="279"/>
      <c r="E94" s="1" t="str">
        <f ca="1">IFERROR(__xludf.DUMMYFUNCTION("""COMPUTED_VALUE"""),"Must have a minimum two nodes, and must be expandable from 2 nodes to more nodes directly without redo of implementation or reinitialization of HCI.")</f>
        <v>Must have a minimum two nodes, and must be expandable from 2 nodes to more nodes directly without redo of implementation or reinitialization of HCI.</v>
      </c>
    </row>
    <row r="95" spans="1:5" ht="12.75">
      <c r="A95" s="279"/>
      <c r="B95" s="279"/>
      <c r="D95" s="279"/>
      <c r="E95" s="1" t="str">
        <f ca="1">IFERROR(__xludf.DUMMYFUNCTION("""COMPUTED_VALUE"""),"The management platform must be integrated and distributed, not relying on a certain virtual machine or physical machine.")</f>
        <v>The management platform must be integrated and distributed, not relying on a certain virtual machine or physical machine.</v>
      </c>
    </row>
    <row r="96" spans="1:5" ht="12.75">
      <c r="A96" s="279"/>
      <c r="B96" s="279"/>
      <c r="D96" s="279"/>
      <c r="E96" s="1" t="str">
        <f ca="1">IFERROR(__xludf.DUMMYFUNCTION("""COMPUTED_VALUE"""),"Does not require installing additional management software after deployment of the hypervisor to achieve basic web-based access to GUI, granular management and easy operation")</f>
        <v>Does not require installing additional management software after deployment of the hypervisor to achieve basic web-based access to GUI, granular management and easy operation</v>
      </c>
    </row>
    <row r="97" spans="1:5" ht="12.75">
      <c r="A97" s="279"/>
      <c r="B97" s="279"/>
      <c r="D97" s="279"/>
      <c r="E97" s="1" t="str">
        <f ca="1">IFERROR(__xludf.DUMMYFUNCTION("""COMPUTED_VALUE"""),"Must support correlated security service with intelligent threat detection and response platform to automatically take actions (such as quarantine VM by distributed firewall, take snapshot for VM) against malicious activities that are detected by the secu"&amp;"rity platform.")</f>
        <v>Must support correlated security service with intelligent threat detection and response platform to automatically take actions (such as quarantine VM by distributed firewall, take snapshot for VM) against malicious activities that are detected by the security platform.</v>
      </c>
    </row>
    <row r="98" spans="1:5" ht="12.75">
      <c r="A98" s="279"/>
      <c r="B98" s="279"/>
      <c r="D98" s="279"/>
      <c r="E98" s="1" t="str">
        <f ca="1">IFERROR(__xludf.DUMMYFUNCTION("""COMPUTED_VALUE"""),"Must have built-in Backup by default and support agent-less incremental VM-level backup. For Windows VMs, file-level recovery must be supported.")</f>
        <v>Must have built-in Backup by default and support agent-less incremental VM-level backup. For Windows VMs, file-level recovery must be supported.</v>
      </c>
    </row>
    <row r="99" spans="1:5" ht="12.75">
      <c r="A99" s="279"/>
      <c r="B99" s="279"/>
      <c r="D99" s="279"/>
      <c r="E99" s="1" t="str">
        <f ca="1">IFERROR(__xludf.DUMMYFUNCTION("""COMPUTED_VALUE"""),"Must have snapshot consistent group and scheduled snapshots, administrators can restore virtual machine image data to any snapshot point in time.")</f>
        <v>Must have snapshot consistent group and scheduled snapshots, administrators can restore virtual machine image data to any snapshot point in time.</v>
      </c>
    </row>
    <row r="100" spans="1:5" ht="12.75">
      <c r="A100" s="279"/>
      <c r="B100" s="279"/>
      <c r="D100" s="279"/>
      <c r="E100" s="1" t="str">
        <f ca="1">IFERROR(__xludf.DUMMYFUNCTION("""COMPUTED_VALUE"""),"Must have a backup mechanism (backup and recovery) to address issues such as software crash, mis-operations, damage data).")</f>
        <v>Must have a backup mechanism (backup and recovery) to address issues such as software crash, mis-operations, damage data).</v>
      </c>
    </row>
    <row r="101" spans="1:5" ht="12.75">
      <c r="A101" s="279"/>
      <c r="B101" s="279"/>
      <c r="D101" s="279"/>
      <c r="E101" s="1" t="str">
        <f ca="1">IFERROR(__xludf.DUMMYFUNCTION("""COMPUTED_VALUE"""),"Must be able to evaluate performance of virtual machines and hot-add resources (vCPU and vRAM) when they are running out of CPU or memory, minimizing business downtime.")</f>
        <v>Must be able to evaluate performance of virtual machines and hot-add resources (vCPU and vRAM) when they are running out of CPU or memory, minimizing business downtime.</v>
      </c>
    </row>
    <row r="102" spans="1:5" ht="12.75">
      <c r="A102" s="279"/>
      <c r="B102" s="279"/>
      <c r="D102" s="279"/>
      <c r="E102" s="1" t="str">
        <f ca="1">IFERROR(__xludf.DUMMYFUNCTION("""COMPUTED_VALUE"""),"Must support module Activated CDP (Continues Data Protection)")</f>
        <v>Must support module Activated CDP (Continues Data Protection)</v>
      </c>
    </row>
    <row r="103" spans="1:5" ht="12.75">
      <c r="A103" s="279"/>
      <c r="B103" s="279"/>
      <c r="D103" s="279"/>
      <c r="E103" s="1" t="str">
        <f ca="1">IFERROR(__xludf.DUMMYFUNCTION("""COMPUTED_VALUE"""),"Must have AI-Enhanced database performance optimization with built-in self-adaptive performance optimization engine")</f>
        <v>Must have AI-Enhanced database performance optimization with built-in self-adaptive performance optimization engine</v>
      </c>
    </row>
    <row r="104" spans="1:5" ht="12.75">
      <c r="A104" s="279"/>
      <c r="B104" s="279"/>
      <c r="D104" s="279"/>
      <c r="E104" s="1" t="str">
        <f ca="1">IFERROR(__xludf.DUMMYFUNCTION("""COMPUTED_VALUE"""),"Support host health monitoring, when a host is deemed unhealthy, it will be put in an unhealthy host list, VM placement and HA failover will avoid using the unhealthy host as a destination. When the host is back to normal, it can be taken out of the unhea"&amp;"lthy host list automatically.")</f>
        <v>Support host health monitoring, when a host is deemed unhealthy, it will be put in an unhealthy host list, VM placement and HA failover will avoid using the unhealthy host as a destination. When the host is back to normal, it can be taken out of the unhealthy host list automatically.</v>
      </c>
    </row>
    <row r="105" spans="1:5" ht="12.75">
      <c r="A105" s="279"/>
      <c r="B105" s="279"/>
      <c r="D105" s="279"/>
      <c r="E105" s="1" t="str">
        <f ca="1">IFERROR(__xludf.DUMMYFUNCTION("""COMPUTED_VALUE"""),"Storage is in distributed architecture where more than one storage nodes are composed of a Storage Area Network (SAN) that can be scaled out (by increasing nodes) to expand storage capacity and performance")</f>
        <v>Storage is in distributed architecture where more than one storage nodes are composed of a Storage Area Network (SAN) that can be scaled out (by increasing nodes) to expand storage capacity and performance</v>
      </c>
    </row>
    <row r="106" spans="1:5" ht="12.75">
      <c r="A106" s="279"/>
      <c r="B106" s="279"/>
      <c r="D106" s="279"/>
      <c r="E106" s="1" t="str">
        <f ca="1">IFERROR(__xludf.DUMMYFUNCTION("""COMPUTED_VALUE"""),"Support access via iSCSI, to enable other hosts in the cluster to use iSCSI to access the virtual storage, and make Server SAN and IP SAN work together and maximize storage utilization.")</f>
        <v>Support access via iSCSI, to enable other hosts in the cluster to use iSCSI to access the virtual storage, and make Server SAN and IP SAN work together and maximize storage utilization.</v>
      </c>
    </row>
    <row r="107" spans="1:5" ht="12.75">
      <c r="A107" s="279"/>
      <c r="B107" s="279"/>
      <c r="D107" s="279"/>
      <c r="E107" s="1" t="str">
        <f ca="1">IFERROR(__xludf.DUMMYFUNCTION("""COMPUTED_VALUE"""),"A full copy of VM's data should exist on the node where the VM is running on to facilitate faster read and write")</f>
        <v>A full copy of VM's data should exist on the node where the VM is running on to facilitate faster read and write</v>
      </c>
    </row>
    <row r="108" spans="1:5" ht="12.75">
      <c r="A108" s="279"/>
      <c r="B108" s="279"/>
      <c r="D108" s="279"/>
      <c r="E108" s="1" t="str">
        <f ca="1">IFERROR(__xludf.DUMMYFUNCTION("""COMPUTED_VALUE"""),"The virtual storage of must make use of SSD as cache tier and spinning disk as data tier to ensure performance and cost balance. Data is written to SSD first and read from SSD in priority to improve performance.")</f>
        <v>The virtual storage of must make use of SSD as cache tier and spinning disk as data tier to ensure performance and cost balance. Data is written to SSD first and read from SSD in priority to improve performance.</v>
      </c>
    </row>
    <row r="109" spans="1:5" ht="12.75">
      <c r="A109" s="279"/>
      <c r="B109" s="279"/>
      <c r="D109" s="279"/>
      <c r="E109" s="1" t="str">
        <f ca="1">IFERROR(__xludf.DUMMYFUNCTION("""COMPUTED_VALUE"""),"Data that is frequently accessed (also called hot data) can use SSD as a persistent storage media, when VM is migrated or host is rebooted, the hot data must still reside in the SSD for fast retrieval")</f>
        <v>Data that is frequently accessed (also called hot data) can use SSD as a persistent storage media, when VM is migrated or host is rebooted, the hot data must still reside in the SSD for fast retrieval</v>
      </c>
    </row>
    <row r="110" spans="1:5" ht="12.75">
      <c r="A110" s="279"/>
      <c r="B110" s="279"/>
      <c r="D110" s="279"/>
      <c r="E110" s="1" t="str">
        <f ca="1">IFERROR(__xludf.DUMMYFUNCTION("""COMPUTED_VALUE"""),"Support 3 data copies with 3 hosts to tolerate failure of any 2 disks or 1 host")</f>
        <v>Support 3 data copies with 3 hosts to tolerate failure of any 2 disks or 1 host</v>
      </c>
    </row>
    <row r="111" spans="1:5" ht="12.75">
      <c r="A111" s="279"/>
      <c r="B111" s="279"/>
      <c r="D111" s="279"/>
      <c r="E111" s="1" t="str">
        <f ca="1">IFERROR(__xludf.DUMMYFUNCTION("""COMPUTED_VALUE"""),"Support disk bad sector prediction, scanning and repair to maximize data security")</f>
        <v>Support disk bad sector prediction, scanning and repair to maximize data security</v>
      </c>
    </row>
    <row r="112" spans="1:5" ht="12.75">
      <c r="A112" s="279"/>
      <c r="B112" s="279"/>
      <c r="D112" s="279"/>
      <c r="E112" s="1" t="str">
        <f ca="1">IFERROR(__xludf.DUMMYFUNCTION("""COMPUTED_VALUE"""),"Support storage capacity prediction based on historical usage statistics and consumption behavior")</f>
        <v>Support storage capacity prediction based on historical usage statistics and consumption behavior</v>
      </c>
    </row>
    <row r="113" spans="1:5" ht="12.75">
      <c r="A113" s="279"/>
      <c r="B113" s="279"/>
      <c r="D113" s="279"/>
      <c r="E113" s="1" t="str">
        <f ca="1">IFERROR(__xludf.DUMMYFUNCTION("""COMPUTED_VALUE"""),"Support disk remaining life cycle prediction")</f>
        <v>Support disk remaining life cycle prediction</v>
      </c>
    </row>
    <row r="114" spans="1:5" ht="12.75">
      <c r="A114" s="279"/>
      <c r="B114" s="279"/>
      <c r="D114" s="279"/>
      <c r="E114" s="1" t="str">
        <f ca="1">IFERROR(__xludf.DUMMYFUNCTION("""COMPUTED_VALUE"""),"Natively support deploying virtual routers, virtual switches and firewalls.")</f>
        <v>Natively support deploying virtual routers, virtual switches and firewalls.</v>
      </c>
    </row>
    <row r="115" spans="1:5" ht="12.75">
      <c r="A115" s="279"/>
      <c r="B115" s="279"/>
      <c r="D115" s="279"/>
      <c r="E115" s="1" t="str">
        <f ca="1">IFERROR(__xludf.DUMMYFUNCTION("""COMPUTED_VALUE"""),"Built-in distributed firewall to apply granular access control policy between VMs, securing east-west traffic (also known as Micro-segmentation)")</f>
        <v>Built-in distributed firewall to apply granular access control policy between VMs, securing east-west traffic (also known as Micro-segmentation)</v>
      </c>
    </row>
    <row r="116" spans="1:5" ht="12.75">
      <c r="A116" s="279"/>
      <c r="B116" s="279"/>
      <c r="D116" s="279"/>
      <c r="E116" s="1" t="str">
        <f ca="1">IFERROR(__xludf.DUMMYFUNCTION("""COMPUTED_VALUE"""),"The virtual router supports high availability. A failed virtual router can be automatically recovered upon host failure, to ensure high availability of routing service")</f>
        <v>The virtual router supports high availability. A failed virtual router can be automatically recovered upon host failure, to ensure high availability of routing service</v>
      </c>
    </row>
    <row r="117" spans="1:5" ht="12.75">
      <c r="A117" s="279"/>
      <c r="B117" s="279"/>
      <c r="D117" s="279"/>
      <c r="E117" s="1" t="str">
        <f ca="1">IFERROR(__xludf.DUMMYFUNCTION("""COMPUTED_VALUE"""),"Visualized Network topology can be completed simply by dragging objects and drawing connections via a visualized web-based management panel")</f>
        <v>Visualized Network topology can be completed simply by dragging objects and drawing connections via a visualized web-based management panel</v>
      </c>
    </row>
    <row r="118" spans="1:5" ht="12.75">
      <c r="A118" s="279"/>
      <c r="B118" s="279"/>
      <c r="D118" s="279"/>
      <c r="E118" s="1" t="str">
        <f ca="1">IFERROR(__xludf.DUMMYFUNCTION("""COMPUTED_VALUE"""),"Support data compression and encryption in the replication")</f>
        <v>Support data compression and encryption in the replication</v>
      </c>
    </row>
    <row r="119" spans="1:5" ht="12.75">
      <c r="A119" s="279"/>
      <c r="B119" s="279"/>
      <c r="D119" s="279"/>
      <c r="E119" s="1" t="str">
        <f ca="1">IFERROR(__xludf.DUMMYFUNCTION("""COMPUTED_VALUE"""),"Support ingesting data with portable disks in production cluster and importing data to DR cluster to save bandwidth consumption")</f>
        <v>Support ingesting data with portable disks in production cluster and importing data to DR cluster to save bandwidth consumption</v>
      </c>
    </row>
    <row r="120" spans="1:5" ht="12.75">
      <c r="A120" s="279"/>
      <c r="B120" s="279"/>
      <c r="D120" s="279"/>
      <c r="E120" s="1107"/>
    </row>
    <row r="121" spans="1:5" ht="12.75">
      <c r="A121" s="279"/>
      <c r="B121" s="279"/>
      <c r="D121" s="279"/>
    </row>
    <row r="122" spans="1:5" ht="12.75">
      <c r="A122" s="279"/>
      <c r="B122" s="279"/>
      <c r="D122" s="279"/>
    </row>
    <row r="123" spans="1:5" ht="12.75">
      <c r="A123" s="279"/>
      <c r="B123" s="279"/>
      <c r="D123" s="279"/>
    </row>
    <row r="124" spans="1:5" ht="12.75">
      <c r="A124" s="279"/>
      <c r="B124" s="279"/>
      <c r="D124" s="279"/>
    </row>
    <row r="125" spans="1:5" ht="12.75">
      <c r="A125" s="279"/>
      <c r="B125" s="279"/>
      <c r="D125" s="279"/>
    </row>
    <row r="126" spans="1:5" ht="12.75">
      <c r="A126" s="279"/>
      <c r="B126" s="279"/>
      <c r="D126" s="279"/>
    </row>
    <row r="127" spans="1:5" ht="12.75">
      <c r="A127" s="279"/>
      <c r="B127" s="279"/>
      <c r="D127" s="279"/>
    </row>
    <row r="128" spans="1:5" ht="12.75">
      <c r="A128" s="279"/>
      <c r="B128" s="279"/>
      <c r="D128" s="279"/>
    </row>
    <row r="129" spans="1:4" ht="12.75">
      <c r="A129" s="279"/>
      <c r="B129" s="279"/>
      <c r="D129" s="279"/>
    </row>
    <row r="130" spans="1:4" ht="12.75">
      <c r="A130" s="279"/>
      <c r="B130" s="279"/>
      <c r="D130" s="279"/>
    </row>
    <row r="131" spans="1:4" ht="12.75">
      <c r="A131" s="279"/>
      <c r="B131" s="279"/>
      <c r="D131" s="279"/>
    </row>
    <row r="132" spans="1:4" ht="12.75">
      <c r="A132" s="279"/>
      <c r="B132" s="279"/>
      <c r="D132" s="279"/>
    </row>
    <row r="133" spans="1:4" ht="12.75">
      <c r="A133" s="279"/>
      <c r="B133" s="279"/>
      <c r="D133" s="279"/>
    </row>
    <row r="134" spans="1:4" ht="12.75">
      <c r="A134" s="279"/>
      <c r="B134" s="279"/>
      <c r="D134" s="279"/>
    </row>
    <row r="135" spans="1:4" ht="12.75">
      <c r="A135" s="279"/>
      <c r="B135" s="279"/>
      <c r="D135" s="279"/>
    </row>
    <row r="136" spans="1:4" ht="12.75">
      <c r="A136" s="279"/>
      <c r="B136" s="279"/>
      <c r="D136" s="279"/>
    </row>
    <row r="137" spans="1:4" ht="12.75">
      <c r="A137" s="279"/>
      <c r="B137" s="279"/>
      <c r="D137" s="279"/>
    </row>
    <row r="138" spans="1:4" ht="12.75">
      <c r="A138" s="279"/>
      <c r="B138" s="279"/>
      <c r="D138" s="279"/>
    </row>
    <row r="139" spans="1:4" ht="12.75">
      <c r="A139" s="279"/>
      <c r="B139" s="279"/>
      <c r="D139" s="279"/>
    </row>
    <row r="140" spans="1:4" ht="12.75">
      <c r="A140" s="279"/>
      <c r="B140" s="279"/>
      <c r="D140" s="279"/>
    </row>
    <row r="141" spans="1:4" ht="12.75">
      <c r="A141" s="279"/>
      <c r="B141" s="279"/>
      <c r="D141" s="279"/>
    </row>
    <row r="142" spans="1:4" ht="12.75">
      <c r="A142" s="279"/>
      <c r="B142" s="279"/>
      <c r="D142" s="279"/>
    </row>
    <row r="143" spans="1:4" ht="12.75">
      <c r="A143" s="279"/>
      <c r="B143" s="279"/>
      <c r="D143" s="279"/>
    </row>
    <row r="144" spans="1:4" ht="12.75">
      <c r="A144" s="279"/>
      <c r="B144" s="279"/>
      <c r="D144" s="279"/>
    </row>
    <row r="145" spans="1:4" ht="12.75">
      <c r="A145" s="279"/>
      <c r="B145" s="279"/>
      <c r="D145" s="279"/>
    </row>
    <row r="146" spans="1:4" ht="12.75">
      <c r="A146" s="279"/>
      <c r="B146" s="279"/>
      <c r="D146" s="279"/>
    </row>
    <row r="147" spans="1:4" ht="12.75">
      <c r="A147" s="279"/>
      <c r="B147" s="279"/>
      <c r="D147" s="279"/>
    </row>
    <row r="148" spans="1:4" ht="12.75">
      <c r="A148" s="279"/>
      <c r="B148" s="279"/>
      <c r="D148" s="279"/>
    </row>
    <row r="149" spans="1:4" ht="12.75">
      <c r="A149" s="279"/>
      <c r="B149" s="279"/>
      <c r="D149" s="279"/>
    </row>
    <row r="150" spans="1:4" ht="12.75">
      <c r="A150" s="279"/>
      <c r="B150" s="279"/>
      <c r="D150" s="279"/>
    </row>
    <row r="151" spans="1:4" ht="12.75">
      <c r="A151" s="279"/>
      <c r="B151" s="279"/>
      <c r="D151" s="279"/>
    </row>
    <row r="152" spans="1:4" ht="12.75">
      <c r="A152" s="279"/>
      <c r="B152" s="279"/>
      <c r="D152" s="279"/>
    </row>
    <row r="153" spans="1:4" ht="12.75">
      <c r="A153" s="279"/>
      <c r="B153" s="279"/>
      <c r="D153" s="279"/>
    </row>
    <row r="154" spans="1:4" ht="12.75">
      <c r="A154" s="279"/>
      <c r="B154" s="279"/>
      <c r="D154" s="279"/>
    </row>
    <row r="155" spans="1:4" ht="12.75">
      <c r="A155" s="279"/>
      <c r="B155" s="279"/>
      <c r="D155" s="279"/>
    </row>
    <row r="156" spans="1:4" ht="12.75">
      <c r="A156" s="279"/>
      <c r="B156" s="279"/>
      <c r="D156" s="279"/>
    </row>
    <row r="157" spans="1:4" ht="12.75">
      <c r="A157" s="279"/>
      <c r="B157" s="279"/>
      <c r="D157" s="279"/>
    </row>
    <row r="158" spans="1:4" ht="12.75">
      <c r="A158" s="279"/>
      <c r="B158" s="279"/>
      <c r="D158" s="279"/>
    </row>
    <row r="159" spans="1:4" ht="12.75">
      <c r="A159" s="279"/>
      <c r="B159" s="279"/>
      <c r="D159" s="279"/>
    </row>
    <row r="160" spans="1:4" ht="12.75">
      <c r="A160" s="279"/>
      <c r="B160" s="279"/>
      <c r="D160" s="279"/>
    </row>
    <row r="161" spans="1:4" ht="12.75">
      <c r="A161" s="279"/>
      <c r="B161" s="279"/>
      <c r="D161" s="279"/>
    </row>
    <row r="162" spans="1:4" ht="12.75">
      <c r="A162" s="279"/>
      <c r="B162" s="279"/>
      <c r="D162" s="279"/>
    </row>
    <row r="163" spans="1:4" ht="12.75">
      <c r="A163" s="279"/>
      <c r="B163" s="279"/>
      <c r="D163" s="279"/>
    </row>
    <row r="164" spans="1:4" ht="12.75">
      <c r="A164" s="279"/>
      <c r="B164" s="279"/>
      <c r="D164" s="279"/>
    </row>
    <row r="165" spans="1:4" ht="12.75">
      <c r="A165" s="279"/>
      <c r="B165" s="279"/>
      <c r="D165" s="279"/>
    </row>
    <row r="166" spans="1:4" ht="12.75">
      <c r="A166" s="279"/>
      <c r="B166" s="279"/>
      <c r="D166" s="279"/>
    </row>
    <row r="167" spans="1:4" ht="12.75">
      <c r="A167" s="279"/>
      <c r="B167" s="279"/>
      <c r="D167" s="279"/>
    </row>
    <row r="168" spans="1:4" ht="12.75">
      <c r="A168" s="279"/>
      <c r="B168" s="279"/>
      <c r="D168" s="279"/>
    </row>
    <row r="169" spans="1:4" ht="12.75">
      <c r="A169" s="279"/>
      <c r="B169" s="279"/>
      <c r="D169" s="279"/>
    </row>
    <row r="170" spans="1:4" ht="12.75">
      <c r="A170" s="279"/>
      <c r="B170" s="279"/>
      <c r="D170" s="279"/>
    </row>
    <row r="171" spans="1:4" ht="12.75">
      <c r="A171" s="279"/>
      <c r="B171" s="279"/>
      <c r="D171" s="279"/>
    </row>
    <row r="172" spans="1:4" ht="12.75">
      <c r="A172" s="279"/>
      <c r="B172" s="279"/>
      <c r="D172" s="279"/>
    </row>
    <row r="173" spans="1:4" ht="12.75">
      <c r="A173" s="279"/>
      <c r="B173" s="279"/>
      <c r="D173" s="279"/>
    </row>
    <row r="174" spans="1:4" ht="12.75">
      <c r="A174" s="279"/>
      <c r="B174" s="279"/>
      <c r="D174" s="279"/>
    </row>
    <row r="175" spans="1:4" ht="12.75">
      <c r="A175" s="279"/>
      <c r="B175" s="279"/>
      <c r="D175" s="279"/>
    </row>
    <row r="176" spans="1:4" ht="12.75">
      <c r="A176" s="279"/>
      <c r="B176" s="279"/>
      <c r="D176" s="279"/>
    </row>
    <row r="177" spans="1:4" ht="12.75">
      <c r="A177" s="279"/>
      <c r="B177" s="279"/>
      <c r="D177" s="279"/>
    </row>
    <row r="178" spans="1:4" ht="12.75">
      <c r="A178" s="279"/>
      <c r="B178" s="279"/>
      <c r="D178" s="279"/>
    </row>
    <row r="179" spans="1:4" ht="12.75">
      <c r="A179" s="279"/>
      <c r="B179" s="279"/>
      <c r="D179" s="279"/>
    </row>
    <row r="180" spans="1:4" ht="12.75">
      <c r="A180" s="279"/>
      <c r="B180" s="279"/>
      <c r="D180" s="279"/>
    </row>
    <row r="181" spans="1:4" ht="12.75">
      <c r="A181" s="279"/>
      <c r="B181" s="279"/>
      <c r="D181" s="279"/>
    </row>
    <row r="182" spans="1:4" ht="12.75">
      <c r="A182" s="279"/>
      <c r="B182" s="279"/>
      <c r="D182" s="279"/>
    </row>
    <row r="183" spans="1:4" ht="12.75">
      <c r="A183" s="279"/>
      <c r="B183" s="279"/>
      <c r="D183" s="279"/>
    </row>
    <row r="184" spans="1:4" ht="12.75">
      <c r="A184" s="279"/>
      <c r="B184" s="279"/>
      <c r="D184" s="279"/>
    </row>
    <row r="185" spans="1:4" ht="12.75">
      <c r="A185" s="279"/>
      <c r="B185" s="279"/>
      <c r="D185" s="279"/>
    </row>
    <row r="186" spans="1:4" ht="12.75">
      <c r="A186" s="279"/>
      <c r="B186" s="279"/>
      <c r="D186" s="279"/>
    </row>
    <row r="187" spans="1:4" ht="12.75">
      <c r="A187" s="279"/>
      <c r="B187" s="279"/>
      <c r="D187" s="279"/>
    </row>
    <row r="188" spans="1:4" ht="12.75">
      <c r="A188" s="279"/>
      <c r="B188" s="279"/>
      <c r="D188" s="279"/>
    </row>
    <row r="189" spans="1:4" ht="12.75">
      <c r="A189" s="279"/>
      <c r="B189" s="279"/>
      <c r="D189" s="279"/>
    </row>
    <row r="190" spans="1:4" ht="12.75">
      <c r="A190" s="279"/>
      <c r="B190" s="279"/>
      <c r="D190" s="279"/>
    </row>
    <row r="191" spans="1:4" ht="12.75">
      <c r="A191" s="279"/>
      <c r="B191" s="279"/>
      <c r="D191" s="279"/>
    </row>
    <row r="192" spans="1:4" ht="12.75">
      <c r="A192" s="279"/>
      <c r="B192" s="279"/>
      <c r="D192" s="279"/>
    </row>
    <row r="193" spans="1:4" ht="12.75">
      <c r="A193" s="279"/>
      <c r="B193" s="279"/>
      <c r="D193" s="279"/>
    </row>
    <row r="194" spans="1:4" ht="12.75">
      <c r="A194" s="279"/>
      <c r="B194" s="279"/>
      <c r="D194" s="279"/>
    </row>
    <row r="195" spans="1:4" ht="12.75">
      <c r="A195" s="279"/>
      <c r="B195" s="279"/>
      <c r="D195" s="279"/>
    </row>
    <row r="196" spans="1:4" ht="12.75">
      <c r="A196" s="279"/>
      <c r="B196" s="279"/>
      <c r="D196" s="279"/>
    </row>
    <row r="197" spans="1:4" ht="12.75">
      <c r="A197" s="279"/>
      <c r="B197" s="279"/>
      <c r="D197" s="279"/>
    </row>
    <row r="198" spans="1:4" ht="12.75">
      <c r="A198" s="279"/>
      <c r="B198" s="279"/>
      <c r="D198" s="279"/>
    </row>
    <row r="199" spans="1:4" ht="12.75">
      <c r="A199" s="279"/>
      <c r="B199" s="279"/>
      <c r="D199" s="279"/>
    </row>
    <row r="200" spans="1:4" ht="12.75">
      <c r="A200" s="279"/>
      <c r="B200" s="279"/>
      <c r="D200" s="279"/>
    </row>
    <row r="201" spans="1:4" ht="12.75">
      <c r="A201" s="279"/>
      <c r="B201" s="279"/>
      <c r="D201" s="279"/>
    </row>
    <row r="202" spans="1:4" ht="12.75">
      <c r="A202" s="279"/>
      <c r="B202" s="279"/>
      <c r="D202" s="279"/>
    </row>
    <row r="203" spans="1:4" ht="12.75">
      <c r="A203" s="279"/>
      <c r="B203" s="279"/>
      <c r="D203" s="279"/>
    </row>
    <row r="204" spans="1:4" ht="12.75">
      <c r="A204" s="279"/>
      <c r="B204" s="279"/>
      <c r="D204" s="279"/>
    </row>
    <row r="205" spans="1:4" ht="12.75">
      <c r="A205" s="279"/>
      <c r="B205" s="279"/>
      <c r="D205" s="279"/>
    </row>
    <row r="206" spans="1:4" ht="12.75">
      <c r="A206" s="279"/>
      <c r="B206" s="279"/>
      <c r="D206" s="279"/>
    </row>
    <row r="207" spans="1:4" ht="12.75">
      <c r="A207" s="279"/>
      <c r="B207" s="279"/>
      <c r="D207" s="279"/>
    </row>
    <row r="208" spans="1:4" ht="12.75">
      <c r="A208" s="279"/>
      <c r="B208" s="279"/>
      <c r="D208" s="279"/>
    </row>
    <row r="209" spans="1:4" ht="12.75">
      <c r="A209" s="279"/>
      <c r="B209" s="279"/>
      <c r="D209" s="279"/>
    </row>
    <row r="210" spans="1:4" ht="12.75">
      <c r="A210" s="279"/>
      <c r="B210" s="279"/>
      <c r="D210" s="279"/>
    </row>
    <row r="211" spans="1:4" ht="12.75">
      <c r="A211" s="279"/>
      <c r="B211" s="279"/>
      <c r="D211" s="279"/>
    </row>
    <row r="212" spans="1:4" ht="12.75">
      <c r="A212" s="279"/>
      <c r="B212" s="279"/>
      <c r="D212" s="279"/>
    </row>
    <row r="213" spans="1:4" ht="12.75">
      <c r="A213" s="279"/>
      <c r="B213" s="279"/>
      <c r="D213" s="279"/>
    </row>
    <row r="214" spans="1:4" ht="12.75">
      <c r="A214" s="279"/>
      <c r="B214" s="279"/>
      <c r="D214" s="279"/>
    </row>
    <row r="215" spans="1:4" ht="12.75">
      <c r="A215" s="279"/>
      <c r="B215" s="279"/>
      <c r="D215" s="279"/>
    </row>
    <row r="216" spans="1:4" ht="12.75">
      <c r="A216" s="279"/>
      <c r="B216" s="279"/>
      <c r="D216" s="279"/>
    </row>
    <row r="217" spans="1:4" ht="12.75">
      <c r="A217" s="279"/>
      <c r="B217" s="279"/>
      <c r="D217" s="279"/>
    </row>
    <row r="218" spans="1:4" ht="12.75">
      <c r="A218" s="279"/>
      <c r="B218" s="279"/>
      <c r="D218" s="279"/>
    </row>
    <row r="219" spans="1:4" ht="12.75">
      <c r="A219" s="279"/>
      <c r="B219" s="279"/>
      <c r="D219" s="279"/>
    </row>
    <row r="220" spans="1:4" ht="12.75">
      <c r="A220" s="279"/>
      <c r="B220" s="279"/>
      <c r="D220" s="279"/>
    </row>
    <row r="221" spans="1:4" ht="12.75">
      <c r="A221" s="279"/>
      <c r="B221" s="279"/>
      <c r="D221" s="279"/>
    </row>
    <row r="222" spans="1:4" ht="12.75">
      <c r="A222" s="279"/>
      <c r="B222" s="279"/>
      <c r="D222" s="279"/>
    </row>
    <row r="223" spans="1:4" ht="12.75">
      <c r="A223" s="279"/>
      <c r="B223" s="279"/>
      <c r="D223" s="279"/>
    </row>
    <row r="224" spans="1:4" ht="12.75">
      <c r="A224" s="279"/>
      <c r="B224" s="279"/>
      <c r="D224" s="279"/>
    </row>
    <row r="225" spans="1:4" ht="12.75">
      <c r="A225" s="279"/>
      <c r="B225" s="279"/>
      <c r="D225" s="279"/>
    </row>
    <row r="226" spans="1:4" ht="12.75">
      <c r="A226" s="279"/>
      <c r="B226" s="279"/>
      <c r="D226" s="279"/>
    </row>
    <row r="227" spans="1:4" ht="12.75">
      <c r="A227" s="279"/>
      <c r="B227" s="279"/>
      <c r="D227" s="279"/>
    </row>
    <row r="228" spans="1:4" ht="12.75">
      <c r="A228" s="279"/>
      <c r="B228" s="279"/>
      <c r="D228" s="279"/>
    </row>
    <row r="229" spans="1:4" ht="12.75">
      <c r="A229" s="279"/>
      <c r="B229" s="279"/>
      <c r="D229" s="279"/>
    </row>
    <row r="230" spans="1:4" ht="12.75">
      <c r="A230" s="279"/>
      <c r="B230" s="279"/>
      <c r="D230" s="279"/>
    </row>
    <row r="231" spans="1:4" ht="12.75">
      <c r="A231" s="279"/>
      <c r="B231" s="279"/>
      <c r="D231" s="279"/>
    </row>
    <row r="232" spans="1:4" ht="12.75">
      <c r="A232" s="279"/>
      <c r="B232" s="279"/>
      <c r="D232" s="279"/>
    </row>
    <row r="233" spans="1:4" ht="12.75">
      <c r="A233" s="279"/>
      <c r="B233" s="279"/>
      <c r="D233" s="279"/>
    </row>
    <row r="234" spans="1:4" ht="12.75">
      <c r="A234" s="279"/>
      <c r="B234" s="279"/>
      <c r="D234" s="279"/>
    </row>
    <row r="235" spans="1:4" ht="12.75">
      <c r="A235" s="279"/>
      <c r="B235" s="279"/>
      <c r="D235" s="279"/>
    </row>
    <row r="236" spans="1:4" ht="12.75">
      <c r="A236" s="279"/>
      <c r="B236" s="279"/>
      <c r="D236" s="279"/>
    </row>
    <row r="237" spans="1:4" ht="12.75">
      <c r="A237" s="279"/>
      <c r="B237" s="279"/>
      <c r="D237" s="279"/>
    </row>
    <row r="238" spans="1:4" ht="12.75">
      <c r="A238" s="279"/>
      <c r="B238" s="279"/>
      <c r="D238" s="279"/>
    </row>
    <row r="239" spans="1:4" ht="12.75">
      <c r="A239" s="279"/>
      <c r="B239" s="279"/>
      <c r="D239" s="279"/>
    </row>
    <row r="240" spans="1:4" ht="12.75">
      <c r="A240" s="279"/>
      <c r="B240" s="279"/>
      <c r="D240" s="279"/>
    </row>
    <row r="241" spans="1:4" ht="12.75">
      <c r="A241" s="279"/>
      <c r="B241" s="279"/>
      <c r="D241" s="279"/>
    </row>
    <row r="242" spans="1:4" ht="12.75">
      <c r="A242" s="279"/>
      <c r="B242" s="279"/>
      <c r="D242" s="279"/>
    </row>
    <row r="243" spans="1:4" ht="12.75">
      <c r="A243" s="279"/>
      <c r="B243" s="279"/>
      <c r="D243" s="279"/>
    </row>
    <row r="244" spans="1:4" ht="12.75">
      <c r="A244" s="279"/>
      <c r="B244" s="279"/>
      <c r="D244" s="279"/>
    </row>
    <row r="245" spans="1:4" ht="12.75">
      <c r="A245" s="279"/>
      <c r="B245" s="279"/>
      <c r="D245" s="279"/>
    </row>
    <row r="246" spans="1:4" ht="12.75">
      <c r="A246" s="279"/>
      <c r="B246" s="279"/>
      <c r="D246" s="279"/>
    </row>
    <row r="247" spans="1:4" ht="12.75">
      <c r="A247" s="279"/>
      <c r="B247" s="279"/>
      <c r="D247" s="279"/>
    </row>
    <row r="248" spans="1:4" ht="12.75">
      <c r="A248" s="279"/>
      <c r="B248" s="279"/>
      <c r="D248" s="279"/>
    </row>
    <row r="249" spans="1:4" ht="12.75">
      <c r="A249" s="279"/>
      <c r="B249" s="279"/>
      <c r="D249" s="279"/>
    </row>
    <row r="250" spans="1:4" ht="12.75">
      <c r="A250" s="279"/>
      <c r="B250" s="279"/>
      <c r="D250" s="279"/>
    </row>
    <row r="251" spans="1:4" ht="12.75">
      <c r="A251" s="279"/>
      <c r="B251" s="279"/>
      <c r="D251" s="279"/>
    </row>
    <row r="252" spans="1:4" ht="12.75">
      <c r="A252" s="279"/>
      <c r="B252" s="279"/>
      <c r="D252" s="279"/>
    </row>
    <row r="253" spans="1:4" ht="12.75">
      <c r="A253" s="279"/>
      <c r="B253" s="279"/>
      <c r="D253" s="279"/>
    </row>
    <row r="254" spans="1:4" ht="12.75">
      <c r="A254" s="279"/>
      <c r="B254" s="279"/>
      <c r="D254" s="279"/>
    </row>
    <row r="255" spans="1:4" ht="12.75">
      <c r="A255" s="279"/>
      <c r="B255" s="279"/>
      <c r="D255" s="279"/>
    </row>
    <row r="256" spans="1:4" ht="12.75">
      <c r="A256" s="279"/>
      <c r="B256" s="279"/>
      <c r="D256" s="279"/>
    </row>
    <row r="257" spans="1:4" ht="12.75">
      <c r="A257" s="279"/>
      <c r="B257" s="279"/>
      <c r="D257" s="279"/>
    </row>
    <row r="258" spans="1:4" ht="12.75">
      <c r="A258" s="279"/>
      <c r="B258" s="279"/>
      <c r="D258" s="279"/>
    </row>
    <row r="259" spans="1:4" ht="12.75">
      <c r="A259" s="279"/>
      <c r="B259" s="279"/>
      <c r="D259" s="279"/>
    </row>
    <row r="260" spans="1:4" ht="12.75">
      <c r="A260" s="279"/>
      <c r="B260" s="279"/>
      <c r="D260" s="279"/>
    </row>
    <row r="261" spans="1:4" ht="12.75">
      <c r="A261" s="279"/>
      <c r="B261" s="279"/>
      <c r="D261" s="279"/>
    </row>
    <row r="262" spans="1:4" ht="12.75">
      <c r="A262" s="279"/>
      <c r="B262" s="279"/>
      <c r="D262" s="279"/>
    </row>
    <row r="263" spans="1:4" ht="12.75">
      <c r="A263" s="279"/>
      <c r="B263" s="279"/>
      <c r="D263" s="279"/>
    </row>
    <row r="264" spans="1:4" ht="12.75">
      <c r="A264" s="279"/>
      <c r="B264" s="279"/>
      <c r="D264" s="279"/>
    </row>
    <row r="265" spans="1:4" ht="12.75">
      <c r="A265" s="279"/>
      <c r="B265" s="279"/>
      <c r="D265" s="279"/>
    </row>
    <row r="266" spans="1:4" ht="12.75">
      <c r="A266" s="279"/>
      <c r="B266" s="279"/>
      <c r="D266" s="279"/>
    </row>
    <row r="267" spans="1:4" ht="12.75">
      <c r="A267" s="279"/>
      <c r="B267" s="279"/>
      <c r="D267" s="279"/>
    </row>
    <row r="268" spans="1:4" ht="12.75">
      <c r="A268" s="279"/>
      <c r="B268" s="279"/>
      <c r="D268" s="279"/>
    </row>
    <row r="269" spans="1:4" ht="12.75">
      <c r="A269" s="279"/>
      <c r="B269" s="279"/>
      <c r="D269" s="279"/>
    </row>
    <row r="270" spans="1:4" ht="12.75">
      <c r="A270" s="279"/>
      <c r="B270" s="279"/>
      <c r="D270" s="279"/>
    </row>
    <row r="271" spans="1:4" ht="12.75">
      <c r="A271" s="279"/>
      <c r="B271" s="279"/>
      <c r="D271" s="279"/>
    </row>
    <row r="272" spans="1:4" ht="12.75">
      <c r="A272" s="279"/>
      <c r="B272" s="279"/>
      <c r="D272" s="279"/>
    </row>
    <row r="273" spans="1:4" ht="12.75">
      <c r="A273" s="279"/>
      <c r="B273" s="279"/>
      <c r="D273" s="279"/>
    </row>
    <row r="274" spans="1:4" ht="12.75">
      <c r="A274" s="279"/>
      <c r="B274" s="279"/>
      <c r="D274" s="279"/>
    </row>
    <row r="275" spans="1:4" ht="12.75">
      <c r="A275" s="279"/>
      <c r="B275" s="279"/>
      <c r="D275" s="279"/>
    </row>
    <row r="276" spans="1:4" ht="12.75">
      <c r="A276" s="279"/>
      <c r="B276" s="279"/>
      <c r="D276" s="279"/>
    </row>
    <row r="277" spans="1:4" ht="12.75">
      <c r="A277" s="279"/>
      <c r="B277" s="279"/>
      <c r="D277" s="279"/>
    </row>
    <row r="278" spans="1:4" ht="12.75">
      <c r="A278" s="279"/>
      <c r="B278" s="279"/>
      <c r="D278" s="279"/>
    </row>
    <row r="279" spans="1:4" ht="12.75">
      <c r="A279" s="279"/>
      <c r="B279" s="279"/>
      <c r="D279" s="279"/>
    </row>
    <row r="280" spans="1:4" ht="12.75">
      <c r="A280" s="279"/>
      <c r="B280" s="279"/>
      <c r="D280" s="279"/>
    </row>
    <row r="281" spans="1:4" ht="12.75">
      <c r="A281" s="279"/>
      <c r="B281" s="279"/>
      <c r="D281" s="279"/>
    </row>
    <row r="282" spans="1:4" ht="12.75">
      <c r="A282" s="279"/>
      <c r="B282" s="279"/>
      <c r="D282" s="279"/>
    </row>
    <row r="283" spans="1:4" ht="12.75">
      <c r="A283" s="279"/>
      <c r="B283" s="279"/>
      <c r="D283" s="279"/>
    </row>
    <row r="284" spans="1:4" ht="12.75">
      <c r="A284" s="279"/>
      <c r="B284" s="279"/>
      <c r="D284" s="279"/>
    </row>
    <row r="285" spans="1:4" ht="12.75">
      <c r="A285" s="279"/>
      <c r="B285" s="279"/>
      <c r="D285" s="279"/>
    </row>
    <row r="286" spans="1:4" ht="12.75">
      <c r="A286" s="279"/>
      <c r="B286" s="279"/>
      <c r="D286" s="279"/>
    </row>
    <row r="287" spans="1:4" ht="12.75">
      <c r="A287" s="279"/>
      <c r="B287" s="279"/>
      <c r="D287" s="279"/>
    </row>
    <row r="288" spans="1:4" ht="12.75">
      <c r="A288" s="279"/>
      <c r="B288" s="279"/>
      <c r="D288" s="279"/>
    </row>
    <row r="289" spans="1:4" ht="12.75">
      <c r="A289" s="279"/>
      <c r="B289" s="279"/>
      <c r="D289" s="279"/>
    </row>
    <row r="290" spans="1:4" ht="12.75">
      <c r="A290" s="279"/>
      <c r="B290" s="279"/>
      <c r="D290" s="279"/>
    </row>
    <row r="291" spans="1:4" ht="12.75">
      <c r="A291" s="279"/>
      <c r="B291" s="279"/>
      <c r="D291" s="279"/>
    </row>
    <row r="292" spans="1:4" ht="12.75">
      <c r="A292" s="279"/>
      <c r="B292" s="279"/>
      <c r="D292" s="279"/>
    </row>
    <row r="293" spans="1:4" ht="12.75">
      <c r="A293" s="279"/>
      <c r="B293" s="279"/>
      <c r="D293" s="279"/>
    </row>
    <row r="294" spans="1:4" ht="12.75">
      <c r="A294" s="279"/>
      <c r="B294" s="279"/>
      <c r="D294" s="279"/>
    </row>
    <row r="295" spans="1:4" ht="12.75">
      <c r="A295" s="279"/>
      <c r="B295" s="279"/>
      <c r="D295" s="279"/>
    </row>
    <row r="296" spans="1:4" ht="12.75">
      <c r="A296" s="279"/>
      <c r="B296" s="279"/>
      <c r="D296" s="279"/>
    </row>
    <row r="297" spans="1:4" ht="12.75">
      <c r="A297" s="279"/>
      <c r="B297" s="279"/>
      <c r="D297" s="279"/>
    </row>
    <row r="298" spans="1:4" ht="12.75">
      <c r="A298" s="279"/>
      <c r="B298" s="279"/>
      <c r="D298" s="279"/>
    </row>
    <row r="299" spans="1:4" ht="12.75">
      <c r="A299" s="279"/>
      <c r="B299" s="279"/>
      <c r="D299" s="279"/>
    </row>
    <row r="300" spans="1:4" ht="12.75">
      <c r="A300" s="279"/>
      <c r="B300" s="279"/>
      <c r="D300" s="279"/>
    </row>
    <row r="301" spans="1:4" ht="12.75">
      <c r="A301" s="279"/>
      <c r="B301" s="279"/>
      <c r="D301" s="279"/>
    </row>
    <row r="302" spans="1:4" ht="12.75">
      <c r="A302" s="279"/>
      <c r="B302" s="279"/>
      <c r="D302" s="279"/>
    </row>
    <row r="303" spans="1:4" ht="12.75">
      <c r="A303" s="279"/>
      <c r="B303" s="279"/>
      <c r="D303" s="279"/>
    </row>
    <row r="304" spans="1:4" ht="12.75">
      <c r="A304" s="279"/>
      <c r="B304" s="279"/>
      <c r="D304" s="279"/>
    </row>
    <row r="305" spans="1:4" ht="12.75">
      <c r="A305" s="279"/>
      <c r="B305" s="279"/>
      <c r="D305" s="279"/>
    </row>
    <row r="306" spans="1:4" ht="12.75">
      <c r="A306" s="279"/>
      <c r="B306" s="279"/>
      <c r="D306" s="279"/>
    </row>
    <row r="307" spans="1:4" ht="12.75">
      <c r="A307" s="279"/>
      <c r="B307" s="279"/>
      <c r="D307" s="279"/>
    </row>
    <row r="308" spans="1:4" ht="12.75">
      <c r="A308" s="279"/>
      <c r="B308" s="279"/>
      <c r="D308" s="279"/>
    </row>
    <row r="309" spans="1:4" ht="12.75">
      <c r="A309" s="279"/>
      <c r="B309" s="279"/>
      <c r="D309" s="279"/>
    </row>
    <row r="310" spans="1:4" ht="12.75">
      <c r="A310" s="279"/>
      <c r="B310" s="279"/>
      <c r="D310" s="279"/>
    </row>
    <row r="311" spans="1:4" ht="12.75">
      <c r="A311" s="279"/>
      <c r="B311" s="279"/>
      <c r="D311" s="279"/>
    </row>
    <row r="312" spans="1:4" ht="12.75">
      <c r="A312" s="279"/>
      <c r="B312" s="279"/>
      <c r="D312" s="279"/>
    </row>
    <row r="313" spans="1:4" ht="12.75">
      <c r="A313" s="279"/>
      <c r="B313" s="279"/>
      <c r="D313" s="279"/>
    </row>
    <row r="314" spans="1:4" ht="12.75">
      <c r="A314" s="279"/>
      <c r="B314" s="279"/>
      <c r="D314" s="279"/>
    </row>
    <row r="315" spans="1:4" ht="12.75">
      <c r="A315" s="279"/>
      <c r="B315" s="279"/>
      <c r="D315" s="279"/>
    </row>
    <row r="316" spans="1:4" ht="12.75">
      <c r="A316" s="279"/>
      <c r="B316" s="279"/>
      <c r="D316" s="279"/>
    </row>
    <row r="317" spans="1:4" ht="12.75">
      <c r="A317" s="279"/>
      <c r="B317" s="279"/>
      <c r="D317" s="279"/>
    </row>
    <row r="318" spans="1:4" ht="12.75">
      <c r="A318" s="279"/>
      <c r="B318" s="279"/>
      <c r="D318" s="279"/>
    </row>
    <row r="319" spans="1:4" ht="12.75">
      <c r="A319" s="279"/>
      <c r="B319" s="279"/>
      <c r="D319" s="279"/>
    </row>
    <row r="320" spans="1:4" ht="12.75">
      <c r="A320" s="279"/>
      <c r="B320" s="279"/>
      <c r="D320" s="279"/>
    </row>
    <row r="321" spans="1:4" ht="12.75">
      <c r="A321" s="279"/>
      <c r="B321" s="279"/>
      <c r="D321" s="279"/>
    </row>
    <row r="322" spans="1:4" ht="12.75">
      <c r="A322" s="279"/>
      <c r="B322" s="279"/>
      <c r="D322" s="279"/>
    </row>
    <row r="323" spans="1:4" ht="12.75">
      <c r="A323" s="279"/>
      <c r="B323" s="279"/>
      <c r="D323" s="279"/>
    </row>
    <row r="324" spans="1:4" ht="12.75">
      <c r="A324" s="279"/>
      <c r="B324" s="279"/>
      <c r="D324" s="279"/>
    </row>
    <row r="325" spans="1:4" ht="12.75">
      <c r="A325" s="279"/>
      <c r="B325" s="279"/>
      <c r="D325" s="279"/>
    </row>
    <row r="326" spans="1:4" ht="12.75">
      <c r="A326" s="279"/>
      <c r="B326" s="279"/>
      <c r="D326" s="279"/>
    </row>
    <row r="327" spans="1:4" ht="12.75">
      <c r="A327" s="279"/>
      <c r="B327" s="279"/>
      <c r="D327" s="279"/>
    </row>
    <row r="328" spans="1:4" ht="12.75">
      <c r="A328" s="279"/>
      <c r="B328" s="279"/>
      <c r="D328" s="279"/>
    </row>
    <row r="329" spans="1:4" ht="12.75">
      <c r="A329" s="279"/>
      <c r="B329" s="279"/>
      <c r="D329" s="279"/>
    </row>
    <row r="330" spans="1:4" ht="12.75">
      <c r="A330" s="279"/>
      <c r="B330" s="279"/>
      <c r="D330" s="279"/>
    </row>
    <row r="331" spans="1:4" ht="12.75">
      <c r="A331" s="279"/>
      <c r="B331" s="279"/>
      <c r="D331" s="279"/>
    </row>
    <row r="332" spans="1:4" ht="12.75">
      <c r="A332" s="279"/>
      <c r="B332" s="279"/>
      <c r="D332" s="279"/>
    </row>
    <row r="333" spans="1:4" ht="12.75">
      <c r="A333" s="279"/>
      <c r="B333" s="279"/>
      <c r="D333" s="279"/>
    </row>
    <row r="334" spans="1:4" ht="12.75">
      <c r="A334" s="279"/>
      <c r="B334" s="279"/>
      <c r="D334" s="279"/>
    </row>
    <row r="335" spans="1:4" ht="12.75">
      <c r="A335" s="279"/>
      <c r="B335" s="279"/>
      <c r="D335" s="279"/>
    </row>
    <row r="336" spans="1:4" ht="12.75">
      <c r="A336" s="279"/>
      <c r="B336" s="279"/>
      <c r="D336" s="279"/>
    </row>
    <row r="337" spans="1:4" ht="12.75">
      <c r="A337" s="279"/>
      <c r="B337" s="279"/>
      <c r="D337" s="279"/>
    </row>
    <row r="338" spans="1:4" ht="12.75">
      <c r="A338" s="279"/>
      <c r="B338" s="279"/>
      <c r="D338" s="279"/>
    </row>
    <row r="339" spans="1:4" ht="12.75">
      <c r="A339" s="279"/>
      <c r="B339" s="279"/>
      <c r="D339" s="279"/>
    </row>
    <row r="340" spans="1:4" ht="12.75">
      <c r="A340" s="279"/>
      <c r="B340" s="279"/>
      <c r="D340" s="279"/>
    </row>
    <row r="341" spans="1:4" ht="12.75">
      <c r="A341" s="279"/>
      <c r="B341" s="279"/>
      <c r="D341" s="279"/>
    </row>
    <row r="342" spans="1:4" ht="12.75">
      <c r="A342" s="279"/>
      <c r="B342" s="279"/>
      <c r="D342" s="279"/>
    </row>
    <row r="343" spans="1:4" ht="12.75">
      <c r="A343" s="279"/>
      <c r="B343" s="279"/>
      <c r="D343" s="279"/>
    </row>
    <row r="344" spans="1:4" ht="12.75">
      <c r="A344" s="279"/>
      <c r="B344" s="279"/>
      <c r="D344" s="279"/>
    </row>
    <row r="345" spans="1:4" ht="12.75">
      <c r="A345" s="279"/>
      <c r="B345" s="279"/>
      <c r="D345" s="279"/>
    </row>
    <row r="346" spans="1:4" ht="12.75">
      <c r="A346" s="279"/>
      <c r="B346" s="279"/>
      <c r="D346" s="279"/>
    </row>
    <row r="347" spans="1:4" ht="12.75">
      <c r="A347" s="279"/>
      <c r="B347" s="279"/>
      <c r="D347" s="279"/>
    </row>
    <row r="348" spans="1:4" ht="12.75">
      <c r="A348" s="279"/>
      <c r="B348" s="279"/>
      <c r="D348" s="279"/>
    </row>
    <row r="349" spans="1:4" ht="12.75">
      <c r="A349" s="279"/>
      <c r="B349" s="279"/>
      <c r="D349" s="279"/>
    </row>
    <row r="350" spans="1:4" ht="12.75">
      <c r="A350" s="279"/>
      <c r="B350" s="279"/>
      <c r="D350" s="279"/>
    </row>
    <row r="351" spans="1:4" ht="12.75">
      <c r="A351" s="279"/>
      <c r="B351" s="279"/>
      <c r="D351" s="279"/>
    </row>
    <row r="352" spans="1:4" ht="12.75">
      <c r="A352" s="279"/>
      <c r="B352" s="279"/>
      <c r="D352" s="279"/>
    </row>
    <row r="353" spans="1:4" ht="12.75">
      <c r="A353" s="279"/>
      <c r="B353" s="279"/>
      <c r="D353" s="279"/>
    </row>
    <row r="354" spans="1:4" ht="12.75">
      <c r="A354" s="279"/>
      <c r="B354" s="279"/>
      <c r="D354" s="279"/>
    </row>
    <row r="355" spans="1:4" ht="12.75">
      <c r="A355" s="279"/>
      <c r="B355" s="279"/>
      <c r="D355" s="279"/>
    </row>
    <row r="356" spans="1:4" ht="12.75">
      <c r="A356" s="279"/>
      <c r="B356" s="279"/>
      <c r="D356" s="279"/>
    </row>
    <row r="357" spans="1:4" ht="12.75">
      <c r="A357" s="279"/>
      <c r="B357" s="279"/>
      <c r="D357" s="279"/>
    </row>
    <row r="358" spans="1:4" ht="12.75">
      <c r="A358" s="279"/>
      <c r="B358" s="279"/>
      <c r="D358" s="279"/>
    </row>
    <row r="359" spans="1:4" ht="12.75">
      <c r="A359" s="279"/>
      <c r="B359" s="279"/>
      <c r="D359" s="279"/>
    </row>
    <row r="360" spans="1:4" ht="12.75">
      <c r="A360" s="279"/>
      <c r="B360" s="279"/>
      <c r="D360" s="279"/>
    </row>
    <row r="361" spans="1:4" ht="12.75">
      <c r="A361" s="279"/>
      <c r="B361" s="279"/>
      <c r="D361" s="279"/>
    </row>
    <row r="362" spans="1:4" ht="12.75">
      <c r="A362" s="279"/>
      <c r="B362" s="279"/>
      <c r="D362" s="279"/>
    </row>
    <row r="363" spans="1:4" ht="12.75">
      <c r="A363" s="279"/>
      <c r="B363" s="279"/>
      <c r="D363" s="279"/>
    </row>
    <row r="364" spans="1:4" ht="12.75">
      <c r="A364" s="279"/>
      <c r="B364" s="279"/>
      <c r="D364" s="279"/>
    </row>
    <row r="365" spans="1:4" ht="12.75">
      <c r="A365" s="279"/>
      <c r="B365" s="279"/>
      <c r="D365" s="279"/>
    </row>
    <row r="366" spans="1:4" ht="12.75">
      <c r="A366" s="279"/>
      <c r="B366" s="279"/>
      <c r="D366" s="279"/>
    </row>
    <row r="367" spans="1:4" ht="12.75">
      <c r="A367" s="279"/>
      <c r="B367" s="279"/>
      <c r="D367" s="279"/>
    </row>
    <row r="368" spans="1:4" ht="12.75">
      <c r="A368" s="279"/>
      <c r="B368" s="279"/>
      <c r="D368" s="279"/>
    </row>
    <row r="369" spans="1:4" ht="12.75">
      <c r="A369" s="279"/>
      <c r="B369" s="279"/>
      <c r="D369" s="279"/>
    </row>
    <row r="370" spans="1:4" ht="12.75">
      <c r="A370" s="279"/>
      <c r="B370" s="279"/>
      <c r="D370" s="279"/>
    </row>
    <row r="371" spans="1:4" ht="12.75">
      <c r="A371" s="279"/>
      <c r="B371" s="279"/>
      <c r="D371" s="279"/>
    </row>
    <row r="372" spans="1:4" ht="12.75">
      <c r="A372" s="279"/>
      <c r="B372" s="279"/>
      <c r="D372" s="279"/>
    </row>
    <row r="373" spans="1:4" ht="12.75">
      <c r="A373" s="279"/>
      <c r="B373" s="279"/>
      <c r="D373" s="279"/>
    </row>
    <row r="374" spans="1:4" ht="12.75">
      <c r="A374" s="279"/>
      <c r="B374" s="279"/>
      <c r="D374" s="279"/>
    </row>
    <row r="375" spans="1:4" ht="12.75">
      <c r="A375" s="279"/>
      <c r="B375" s="279"/>
      <c r="D375" s="279"/>
    </row>
    <row r="376" spans="1:4" ht="12.75">
      <c r="A376" s="279"/>
      <c r="B376" s="279"/>
      <c r="D376" s="279"/>
    </row>
    <row r="377" spans="1:4" ht="12.75">
      <c r="A377" s="279"/>
      <c r="B377" s="279"/>
      <c r="D377" s="279"/>
    </row>
    <row r="378" spans="1:4" ht="12.75">
      <c r="A378" s="279"/>
      <c r="B378" s="279"/>
      <c r="D378" s="279"/>
    </row>
    <row r="379" spans="1:4" ht="12.75">
      <c r="A379" s="279"/>
      <c r="B379" s="279"/>
      <c r="D379" s="279"/>
    </row>
    <row r="380" spans="1:4" ht="12.75">
      <c r="A380" s="279"/>
      <c r="B380" s="279"/>
      <c r="D380" s="279"/>
    </row>
    <row r="381" spans="1:4" ht="12.75">
      <c r="A381" s="279"/>
      <c r="B381" s="279"/>
      <c r="D381" s="279"/>
    </row>
    <row r="382" spans="1:4" ht="12.75">
      <c r="A382" s="279"/>
      <c r="B382" s="279"/>
      <c r="D382" s="279"/>
    </row>
    <row r="383" spans="1:4" ht="12.75">
      <c r="A383" s="279"/>
      <c r="B383" s="279"/>
      <c r="D383" s="279"/>
    </row>
    <row r="384" spans="1:4" ht="12.75">
      <c r="A384" s="279"/>
      <c r="B384" s="279"/>
      <c r="D384" s="279"/>
    </row>
    <row r="385" spans="1:4" ht="12.75">
      <c r="A385" s="279"/>
      <c r="B385" s="279"/>
      <c r="D385" s="279"/>
    </row>
    <row r="386" spans="1:4" ht="12.75">
      <c r="A386" s="279"/>
      <c r="B386" s="279"/>
      <c r="D386" s="279"/>
    </row>
    <row r="387" spans="1:4" ht="12.75">
      <c r="A387" s="279"/>
      <c r="B387" s="279"/>
      <c r="D387" s="279"/>
    </row>
    <row r="388" spans="1:4" ht="12.75">
      <c r="A388" s="279"/>
      <c r="B388" s="279"/>
      <c r="D388" s="279"/>
    </row>
    <row r="389" spans="1:4" ht="12.75">
      <c r="A389" s="279"/>
      <c r="B389" s="279"/>
      <c r="D389" s="279"/>
    </row>
    <row r="390" spans="1:4" ht="12.75">
      <c r="A390" s="279"/>
      <c r="B390" s="279"/>
      <c r="D390" s="279"/>
    </row>
    <row r="391" spans="1:4" ht="12.75">
      <c r="A391" s="279"/>
      <c r="B391" s="279"/>
      <c r="D391" s="279"/>
    </row>
    <row r="392" spans="1:4" ht="12.75">
      <c r="A392" s="279"/>
      <c r="B392" s="279"/>
      <c r="D392" s="279"/>
    </row>
    <row r="393" spans="1:4" ht="12.75">
      <c r="A393" s="279"/>
      <c r="B393" s="279"/>
      <c r="D393" s="279"/>
    </row>
    <row r="394" spans="1:4" ht="12.75">
      <c r="A394" s="279"/>
      <c r="B394" s="279"/>
      <c r="D394" s="279"/>
    </row>
    <row r="395" spans="1:4" ht="12.75">
      <c r="A395" s="279"/>
      <c r="B395" s="279"/>
      <c r="D395" s="279"/>
    </row>
    <row r="396" spans="1:4" ht="12.75">
      <c r="A396" s="279"/>
      <c r="B396" s="279"/>
      <c r="D396" s="279"/>
    </row>
    <row r="397" spans="1:4" ht="12.75">
      <c r="A397" s="279"/>
      <c r="B397" s="279"/>
      <c r="D397" s="279"/>
    </row>
    <row r="398" spans="1:4" ht="12.75">
      <c r="A398" s="279"/>
      <c r="B398" s="279"/>
      <c r="D398" s="279"/>
    </row>
    <row r="399" spans="1:4" ht="12.75">
      <c r="A399" s="279"/>
      <c r="B399" s="279"/>
      <c r="D399" s="279"/>
    </row>
    <row r="400" spans="1:4" ht="12.75">
      <c r="A400" s="279"/>
      <c r="B400" s="279"/>
      <c r="D400" s="279"/>
    </row>
    <row r="401" spans="1:4" ht="12.75">
      <c r="A401" s="279"/>
      <c r="B401" s="279"/>
      <c r="D401" s="279"/>
    </row>
    <row r="402" spans="1:4" ht="12.75">
      <c r="A402" s="279"/>
      <c r="B402" s="279"/>
      <c r="D402" s="279"/>
    </row>
    <row r="403" spans="1:4" ht="12.75">
      <c r="A403" s="279"/>
      <c r="B403" s="279"/>
      <c r="D403" s="279"/>
    </row>
    <row r="404" spans="1:4" ht="12.75">
      <c r="A404" s="279"/>
      <c r="B404" s="279"/>
      <c r="D404" s="279"/>
    </row>
    <row r="405" spans="1:4" ht="12.75">
      <c r="A405" s="279"/>
      <c r="B405" s="279"/>
      <c r="D405" s="279"/>
    </row>
    <row r="406" spans="1:4" ht="12.75">
      <c r="A406" s="279"/>
      <c r="B406" s="279"/>
      <c r="D406" s="279"/>
    </row>
    <row r="407" spans="1:4" ht="12.75">
      <c r="A407" s="279"/>
      <c r="B407" s="279"/>
      <c r="D407" s="279"/>
    </row>
    <row r="408" spans="1:4" ht="12.75">
      <c r="A408" s="279"/>
      <c r="B408" s="279"/>
      <c r="D408" s="279"/>
    </row>
    <row r="409" spans="1:4" ht="12.75">
      <c r="A409" s="279"/>
      <c r="B409" s="279"/>
      <c r="D409" s="279"/>
    </row>
    <row r="410" spans="1:4" ht="12.75">
      <c r="A410" s="279"/>
      <c r="B410" s="279"/>
      <c r="D410" s="279"/>
    </row>
    <row r="411" spans="1:4" ht="12.75">
      <c r="A411" s="279"/>
      <c r="B411" s="279"/>
      <c r="D411" s="279"/>
    </row>
    <row r="412" spans="1:4" ht="12.75">
      <c r="A412" s="279"/>
      <c r="B412" s="279"/>
      <c r="D412" s="279"/>
    </row>
    <row r="413" spans="1:4" ht="12.75">
      <c r="A413" s="279"/>
      <c r="B413" s="279"/>
      <c r="D413" s="279"/>
    </row>
    <row r="414" spans="1:4" ht="12.75">
      <c r="A414" s="279"/>
      <c r="B414" s="279"/>
      <c r="D414" s="279"/>
    </row>
    <row r="415" spans="1:4" ht="12.75">
      <c r="A415" s="279"/>
      <c r="B415" s="279"/>
      <c r="D415" s="279"/>
    </row>
    <row r="416" spans="1:4" ht="12.75">
      <c r="A416" s="279"/>
      <c r="B416" s="279"/>
      <c r="D416" s="279"/>
    </row>
    <row r="417" spans="1:4" ht="12.75">
      <c r="A417" s="279"/>
      <c r="B417" s="279"/>
      <c r="D417" s="279"/>
    </row>
    <row r="418" spans="1:4" ht="12.75">
      <c r="A418" s="279"/>
      <c r="B418" s="279"/>
      <c r="D418" s="279"/>
    </row>
    <row r="419" spans="1:4" ht="12.75">
      <c r="A419" s="279"/>
      <c r="B419" s="279"/>
      <c r="D419" s="279"/>
    </row>
    <row r="420" spans="1:4" ht="12.75">
      <c r="A420" s="279"/>
      <c r="B420" s="279"/>
      <c r="D420" s="279"/>
    </row>
    <row r="421" spans="1:4" ht="12.75">
      <c r="A421" s="279"/>
      <c r="B421" s="279"/>
      <c r="D421" s="279"/>
    </row>
    <row r="422" spans="1:4" ht="12.75">
      <c r="A422" s="279"/>
      <c r="B422" s="279"/>
      <c r="D422" s="279"/>
    </row>
    <row r="423" spans="1:4" ht="12.75">
      <c r="A423" s="279"/>
      <c r="B423" s="279"/>
      <c r="D423" s="279"/>
    </row>
    <row r="424" spans="1:4" ht="12.75">
      <c r="A424" s="279"/>
      <c r="B424" s="279"/>
      <c r="D424" s="279"/>
    </row>
    <row r="425" spans="1:4" ht="12.75">
      <c r="A425" s="279"/>
      <c r="B425" s="279"/>
      <c r="D425" s="279"/>
    </row>
    <row r="426" spans="1:4" ht="12.75">
      <c r="A426" s="279"/>
      <c r="B426" s="279"/>
      <c r="D426" s="279"/>
    </row>
    <row r="427" spans="1:4" ht="12.75">
      <c r="A427" s="279"/>
      <c r="B427" s="279"/>
      <c r="D427" s="279"/>
    </row>
    <row r="428" spans="1:4" ht="12.75">
      <c r="A428" s="279"/>
      <c r="B428" s="279"/>
      <c r="D428" s="279"/>
    </row>
    <row r="429" spans="1:4" ht="12.75">
      <c r="A429" s="279"/>
      <c r="B429" s="279"/>
      <c r="D429" s="279"/>
    </row>
    <row r="430" spans="1:4" ht="12.75">
      <c r="A430" s="279"/>
      <c r="B430" s="279"/>
      <c r="D430" s="279"/>
    </row>
    <row r="431" spans="1:4" ht="12.75">
      <c r="A431" s="279"/>
      <c r="B431" s="279"/>
      <c r="D431" s="279"/>
    </row>
    <row r="432" spans="1:4" ht="12.75">
      <c r="A432" s="279"/>
      <c r="B432" s="279"/>
      <c r="D432" s="279"/>
    </row>
    <row r="433" spans="1:4" ht="12.75">
      <c r="A433" s="279"/>
      <c r="B433" s="279"/>
      <c r="D433" s="279"/>
    </row>
    <row r="434" spans="1:4" ht="12.75">
      <c r="A434" s="279"/>
      <c r="B434" s="279"/>
      <c r="D434" s="279"/>
    </row>
    <row r="435" spans="1:4" ht="12.75">
      <c r="A435" s="279"/>
      <c r="B435" s="279"/>
      <c r="D435" s="279"/>
    </row>
    <row r="436" spans="1:4" ht="12.75">
      <c r="A436" s="279"/>
      <c r="B436" s="279"/>
      <c r="D436" s="279"/>
    </row>
    <row r="437" spans="1:4" ht="12.75">
      <c r="A437" s="279"/>
      <c r="B437" s="279"/>
      <c r="D437" s="279"/>
    </row>
    <row r="438" spans="1:4" ht="12.75">
      <c r="A438" s="279"/>
      <c r="B438" s="279"/>
      <c r="D438" s="279"/>
    </row>
    <row r="439" spans="1:4" ht="12.75">
      <c r="A439" s="279"/>
      <c r="B439" s="279"/>
      <c r="D439" s="279"/>
    </row>
    <row r="440" spans="1:4" ht="12.75">
      <c r="A440" s="279"/>
      <c r="B440" s="279"/>
      <c r="D440" s="279"/>
    </row>
    <row r="441" spans="1:4" ht="12.75">
      <c r="A441" s="279"/>
      <c r="B441" s="279"/>
      <c r="D441" s="279"/>
    </row>
    <row r="442" spans="1:4" ht="12.75">
      <c r="A442" s="279"/>
      <c r="B442" s="279"/>
      <c r="D442" s="279"/>
    </row>
    <row r="443" spans="1:4" ht="12.75">
      <c r="A443" s="279"/>
      <c r="B443" s="279"/>
      <c r="D443" s="279"/>
    </row>
    <row r="444" spans="1:4" ht="12.75">
      <c r="A444" s="279"/>
      <c r="B444" s="279"/>
      <c r="D444" s="279"/>
    </row>
    <row r="445" spans="1:4" ht="12.75">
      <c r="A445" s="279"/>
      <c r="B445" s="279"/>
      <c r="D445" s="279"/>
    </row>
    <row r="446" spans="1:4" ht="12.75">
      <c r="A446" s="279"/>
      <c r="B446" s="279"/>
      <c r="D446" s="279"/>
    </row>
    <row r="447" spans="1:4" ht="12.75">
      <c r="A447" s="279"/>
      <c r="B447" s="279"/>
      <c r="D447" s="279"/>
    </row>
    <row r="448" spans="1:4" ht="12.75">
      <c r="A448" s="279"/>
      <c r="B448" s="279"/>
      <c r="D448" s="279"/>
    </row>
    <row r="449" spans="1:4" ht="12.75">
      <c r="A449" s="279"/>
      <c r="B449" s="279"/>
      <c r="D449" s="279"/>
    </row>
    <row r="450" spans="1:4" ht="12.75">
      <c r="A450" s="279"/>
      <c r="B450" s="279"/>
      <c r="D450" s="279"/>
    </row>
    <row r="451" spans="1:4" ht="12.75">
      <c r="A451" s="279"/>
      <c r="B451" s="279"/>
      <c r="D451" s="279"/>
    </row>
    <row r="452" spans="1:4" ht="12.75">
      <c r="A452" s="279"/>
      <c r="B452" s="279"/>
      <c r="D452" s="279"/>
    </row>
    <row r="453" spans="1:4" ht="12.75">
      <c r="A453" s="279"/>
      <c r="B453" s="279"/>
      <c r="D453" s="279"/>
    </row>
    <row r="454" spans="1:4" ht="12.75">
      <c r="A454" s="279"/>
      <c r="B454" s="279"/>
      <c r="D454" s="279"/>
    </row>
    <row r="455" spans="1:4" ht="12.75">
      <c r="A455" s="279"/>
      <c r="B455" s="279"/>
      <c r="D455" s="279"/>
    </row>
    <row r="456" spans="1:4" ht="12.75">
      <c r="A456" s="279"/>
      <c r="B456" s="279"/>
      <c r="D456" s="279"/>
    </row>
    <row r="457" spans="1:4" ht="12.75">
      <c r="A457" s="279"/>
      <c r="B457" s="279"/>
      <c r="D457" s="279"/>
    </row>
    <row r="458" spans="1:4" ht="12.75">
      <c r="A458" s="279"/>
      <c r="B458" s="279"/>
      <c r="D458" s="279"/>
    </row>
    <row r="459" spans="1:4" ht="12.75">
      <c r="A459" s="279"/>
      <c r="B459" s="279"/>
      <c r="D459" s="279"/>
    </row>
    <row r="460" spans="1:4" ht="12.75">
      <c r="A460" s="279"/>
      <c r="B460" s="279"/>
      <c r="D460" s="279"/>
    </row>
    <row r="461" spans="1:4" ht="12.75">
      <c r="A461" s="279"/>
      <c r="B461" s="279"/>
      <c r="D461" s="279"/>
    </row>
    <row r="462" spans="1:4" ht="12.75">
      <c r="A462" s="279"/>
      <c r="B462" s="279"/>
      <c r="D462" s="279"/>
    </row>
    <row r="463" spans="1:4" ht="12.75">
      <c r="A463" s="279"/>
      <c r="B463" s="279"/>
      <c r="D463" s="279"/>
    </row>
    <row r="464" spans="1:4" ht="12.75">
      <c r="A464" s="279"/>
      <c r="B464" s="279"/>
      <c r="D464" s="279"/>
    </row>
    <row r="465" spans="1:4" ht="12.75">
      <c r="A465" s="279"/>
      <c r="B465" s="279"/>
      <c r="D465" s="279"/>
    </row>
    <row r="466" spans="1:4" ht="12.75">
      <c r="A466" s="279"/>
      <c r="B466" s="279"/>
      <c r="D466" s="279"/>
    </row>
    <row r="467" spans="1:4" ht="12.75">
      <c r="A467" s="279"/>
      <c r="B467" s="279"/>
      <c r="D467" s="279"/>
    </row>
    <row r="468" spans="1:4" ht="12.75">
      <c r="A468" s="279"/>
      <c r="B468" s="279"/>
      <c r="D468" s="279"/>
    </row>
    <row r="469" spans="1:4" ht="12.75">
      <c r="A469" s="279"/>
      <c r="B469" s="279"/>
      <c r="D469" s="279"/>
    </row>
    <row r="470" spans="1:4" ht="12.75">
      <c r="A470" s="279"/>
      <c r="B470" s="279"/>
      <c r="D470" s="279"/>
    </row>
    <row r="471" spans="1:4" ht="12.75">
      <c r="A471" s="279"/>
      <c r="B471" s="279"/>
      <c r="D471" s="279"/>
    </row>
    <row r="472" spans="1:4" ht="12.75">
      <c r="A472" s="279"/>
      <c r="B472" s="279"/>
      <c r="D472" s="279"/>
    </row>
    <row r="473" spans="1:4" ht="12.75">
      <c r="A473" s="279"/>
      <c r="B473" s="279"/>
      <c r="D473" s="279"/>
    </row>
    <row r="474" spans="1:4" ht="12.75">
      <c r="A474" s="279"/>
      <c r="B474" s="279"/>
      <c r="D474" s="279"/>
    </row>
    <row r="475" spans="1:4" ht="12.75">
      <c r="A475" s="279"/>
      <c r="B475" s="279"/>
      <c r="D475" s="279"/>
    </row>
    <row r="476" spans="1:4" ht="12.75">
      <c r="A476" s="279"/>
      <c r="B476" s="279"/>
      <c r="D476" s="279"/>
    </row>
    <row r="477" spans="1:4" ht="12.75">
      <c r="A477" s="279"/>
      <c r="B477" s="279"/>
      <c r="D477" s="279"/>
    </row>
    <row r="478" spans="1:4" ht="12.75">
      <c r="A478" s="279"/>
      <c r="B478" s="279"/>
      <c r="D478" s="279"/>
    </row>
    <row r="479" spans="1:4" ht="12.75">
      <c r="A479" s="279"/>
      <c r="B479" s="279"/>
      <c r="D479" s="279"/>
    </row>
    <row r="480" spans="1:4" ht="12.75">
      <c r="A480" s="279"/>
      <c r="B480" s="279"/>
      <c r="D480" s="279"/>
    </row>
    <row r="481" spans="1:4" ht="12.75">
      <c r="A481" s="279"/>
      <c r="B481" s="279"/>
      <c r="D481" s="279"/>
    </row>
    <row r="482" spans="1:4" ht="12.75">
      <c r="A482" s="279"/>
      <c r="B482" s="279"/>
      <c r="D482" s="279"/>
    </row>
    <row r="483" spans="1:4" ht="12.75">
      <c r="A483" s="279"/>
      <c r="B483" s="279"/>
      <c r="D483" s="279"/>
    </row>
    <row r="484" spans="1:4" ht="12.75">
      <c r="A484" s="279"/>
      <c r="B484" s="279"/>
      <c r="D484" s="279"/>
    </row>
    <row r="485" spans="1:4" ht="12.75">
      <c r="A485" s="279"/>
      <c r="B485" s="279"/>
      <c r="D485" s="279"/>
    </row>
    <row r="486" spans="1:4" ht="12.75">
      <c r="A486" s="279"/>
      <c r="B486" s="279"/>
      <c r="D486" s="279"/>
    </row>
    <row r="487" spans="1:4" ht="12.75">
      <c r="A487" s="279"/>
      <c r="B487" s="279"/>
      <c r="D487" s="279"/>
    </row>
    <row r="488" spans="1:4" ht="12.75">
      <c r="A488" s="279"/>
      <c r="B488" s="279"/>
      <c r="D488" s="279"/>
    </row>
    <row r="489" spans="1:4" ht="12.75">
      <c r="A489" s="279"/>
      <c r="B489" s="279"/>
      <c r="D489" s="279"/>
    </row>
    <row r="490" spans="1:4" ht="12.75">
      <c r="A490" s="279"/>
      <c r="B490" s="279"/>
      <c r="D490" s="279"/>
    </row>
    <row r="491" spans="1:4" ht="12.75">
      <c r="A491" s="279"/>
      <c r="B491" s="279"/>
      <c r="D491" s="279"/>
    </row>
    <row r="492" spans="1:4" ht="12.75">
      <c r="A492" s="279"/>
      <c r="B492" s="279"/>
      <c r="D492" s="279"/>
    </row>
    <row r="493" spans="1:4" ht="12.75">
      <c r="A493" s="279"/>
      <c r="B493" s="279"/>
      <c r="D493" s="279"/>
    </row>
    <row r="494" spans="1:4" ht="12.75">
      <c r="A494" s="279"/>
      <c r="B494" s="279"/>
      <c r="D494" s="279"/>
    </row>
    <row r="495" spans="1:4" ht="12.75">
      <c r="A495" s="279"/>
      <c r="B495" s="279"/>
      <c r="D495" s="279"/>
    </row>
    <row r="496" spans="1:4" ht="12.75">
      <c r="A496" s="279"/>
      <c r="B496" s="279"/>
      <c r="D496" s="279"/>
    </row>
    <row r="497" spans="1:4" ht="12.75">
      <c r="A497" s="279"/>
      <c r="B497" s="279"/>
      <c r="D497" s="279"/>
    </row>
    <row r="498" spans="1:4" ht="12.75">
      <c r="A498" s="279"/>
      <c r="B498" s="279"/>
      <c r="D498" s="279"/>
    </row>
    <row r="499" spans="1:4" ht="12.75">
      <c r="A499" s="279"/>
      <c r="B499" s="279"/>
      <c r="D499" s="279"/>
    </row>
    <row r="500" spans="1:4" ht="12.75">
      <c r="A500" s="279"/>
      <c r="B500" s="279"/>
      <c r="D500" s="279"/>
    </row>
    <row r="501" spans="1:4" ht="12.75">
      <c r="A501" s="279"/>
      <c r="B501" s="279"/>
      <c r="D501" s="279"/>
    </row>
    <row r="502" spans="1:4" ht="12.75">
      <c r="A502" s="279"/>
      <c r="B502" s="279"/>
      <c r="D502" s="279"/>
    </row>
    <row r="503" spans="1:4" ht="12.75">
      <c r="A503" s="279"/>
      <c r="B503" s="279"/>
      <c r="D503" s="279"/>
    </row>
    <row r="504" spans="1:4" ht="12.75">
      <c r="A504" s="279"/>
      <c r="B504" s="279"/>
      <c r="D504" s="279"/>
    </row>
    <row r="505" spans="1:4" ht="12.75">
      <c r="A505" s="279"/>
      <c r="B505" s="279"/>
      <c r="D505" s="279"/>
    </row>
    <row r="506" spans="1:4" ht="12.75">
      <c r="A506" s="279"/>
      <c r="B506" s="279"/>
      <c r="D506" s="279"/>
    </row>
    <row r="507" spans="1:4" ht="12.75">
      <c r="A507" s="279"/>
      <c r="B507" s="279"/>
      <c r="D507" s="279"/>
    </row>
    <row r="508" spans="1:4" ht="12.75">
      <c r="A508" s="279"/>
      <c r="B508" s="279"/>
      <c r="D508" s="279"/>
    </row>
    <row r="509" spans="1:4" ht="12.75">
      <c r="A509" s="279"/>
      <c r="B509" s="279"/>
      <c r="D509" s="279"/>
    </row>
    <row r="510" spans="1:4" ht="12.75">
      <c r="A510" s="279"/>
      <c r="B510" s="279"/>
      <c r="D510" s="279"/>
    </row>
    <row r="511" spans="1:4" ht="12.75">
      <c r="A511" s="279"/>
      <c r="B511" s="279"/>
      <c r="D511" s="279"/>
    </row>
    <row r="512" spans="1:4" ht="12.75">
      <c r="A512" s="279"/>
      <c r="B512" s="279"/>
      <c r="D512" s="279"/>
    </row>
    <row r="513" spans="1:4" ht="12.75">
      <c r="A513" s="279"/>
      <c r="B513" s="279"/>
      <c r="D513" s="279"/>
    </row>
    <row r="514" spans="1:4" ht="12.75">
      <c r="A514" s="279"/>
      <c r="B514" s="279"/>
      <c r="D514" s="279"/>
    </row>
    <row r="515" spans="1:4" ht="12.75">
      <c r="A515" s="279"/>
      <c r="B515" s="279"/>
      <c r="D515" s="279"/>
    </row>
    <row r="516" spans="1:4" ht="12.75">
      <c r="A516" s="279"/>
      <c r="B516" s="279"/>
      <c r="D516" s="279"/>
    </row>
    <row r="517" spans="1:4" ht="12.75">
      <c r="A517" s="279"/>
      <c r="B517" s="279"/>
      <c r="D517" s="279"/>
    </row>
    <row r="518" spans="1:4" ht="12.75">
      <c r="A518" s="279"/>
      <c r="B518" s="279"/>
      <c r="D518" s="279"/>
    </row>
    <row r="519" spans="1:4" ht="12.75">
      <c r="A519" s="279"/>
      <c r="B519" s="279"/>
      <c r="D519" s="279"/>
    </row>
    <row r="520" spans="1:4" ht="12.75">
      <c r="A520" s="279"/>
      <c r="B520" s="279"/>
      <c r="D520" s="279"/>
    </row>
    <row r="521" spans="1:4" ht="12.75">
      <c r="A521" s="279"/>
      <c r="B521" s="279"/>
      <c r="D521" s="279"/>
    </row>
    <row r="522" spans="1:4" ht="12.75">
      <c r="A522" s="279"/>
      <c r="B522" s="279"/>
      <c r="D522" s="279"/>
    </row>
    <row r="523" spans="1:4" ht="12.75">
      <c r="A523" s="279"/>
      <c r="B523" s="279"/>
      <c r="D523" s="279"/>
    </row>
    <row r="524" spans="1:4" ht="12.75">
      <c r="A524" s="279"/>
      <c r="B524" s="279"/>
      <c r="D524" s="279"/>
    </row>
    <row r="525" spans="1:4" ht="12.75">
      <c r="A525" s="279"/>
      <c r="B525" s="279"/>
      <c r="D525" s="279"/>
    </row>
    <row r="526" spans="1:4" ht="12.75">
      <c r="A526" s="279"/>
      <c r="B526" s="279"/>
      <c r="D526" s="279"/>
    </row>
    <row r="527" spans="1:4" ht="12.75">
      <c r="A527" s="279"/>
      <c r="B527" s="279"/>
      <c r="D527" s="279"/>
    </row>
    <row r="528" spans="1:4" ht="12.75">
      <c r="A528" s="279"/>
      <c r="B528" s="279"/>
      <c r="D528" s="279"/>
    </row>
    <row r="529" spans="1:4" ht="12.75">
      <c r="A529" s="279"/>
      <c r="B529" s="279"/>
      <c r="D529" s="279"/>
    </row>
    <row r="530" spans="1:4" ht="12.75">
      <c r="A530" s="279"/>
      <c r="B530" s="279"/>
      <c r="D530" s="279"/>
    </row>
    <row r="531" spans="1:4" ht="12.75">
      <c r="A531" s="279"/>
      <c r="B531" s="279"/>
      <c r="D531" s="279"/>
    </row>
    <row r="532" spans="1:4" ht="12.75">
      <c r="A532" s="279"/>
      <c r="B532" s="279"/>
      <c r="D532" s="279"/>
    </row>
    <row r="533" spans="1:4" ht="12.75">
      <c r="A533" s="279"/>
      <c r="B533" s="279"/>
      <c r="D533" s="279"/>
    </row>
    <row r="534" spans="1:4" ht="12.75">
      <c r="A534" s="279"/>
      <c r="B534" s="279"/>
      <c r="D534" s="279"/>
    </row>
    <row r="535" spans="1:4" ht="12.75">
      <c r="A535" s="279"/>
      <c r="B535" s="279"/>
      <c r="D535" s="279"/>
    </row>
    <row r="536" spans="1:4" ht="12.75">
      <c r="A536" s="279"/>
      <c r="B536" s="279"/>
      <c r="D536" s="279"/>
    </row>
    <row r="537" spans="1:4" ht="12.75">
      <c r="A537" s="279"/>
      <c r="B537" s="279"/>
      <c r="D537" s="279"/>
    </row>
    <row r="538" spans="1:4" ht="12.75">
      <c r="A538" s="279"/>
      <c r="B538" s="279"/>
      <c r="D538" s="279"/>
    </row>
    <row r="539" spans="1:4" ht="12.75">
      <c r="A539" s="279"/>
      <c r="B539" s="279"/>
      <c r="D539" s="279"/>
    </row>
    <row r="540" spans="1:4" ht="12.75">
      <c r="A540" s="279"/>
      <c r="B540" s="279"/>
      <c r="D540" s="279"/>
    </row>
    <row r="541" spans="1:4" ht="12.75">
      <c r="A541" s="279"/>
      <c r="B541" s="279"/>
      <c r="D541" s="279"/>
    </row>
    <row r="542" spans="1:4" ht="12.75">
      <c r="A542" s="279"/>
      <c r="B542" s="279"/>
      <c r="D542" s="279"/>
    </row>
    <row r="543" spans="1:4" ht="12.75">
      <c r="A543" s="279"/>
      <c r="B543" s="279"/>
      <c r="D543" s="279"/>
    </row>
    <row r="544" spans="1:4" ht="12.75">
      <c r="A544" s="279"/>
      <c r="B544" s="279"/>
      <c r="D544" s="279"/>
    </row>
    <row r="545" spans="1:4" ht="12.75">
      <c r="A545" s="279"/>
      <c r="B545" s="279"/>
      <c r="D545" s="279"/>
    </row>
    <row r="546" spans="1:4" ht="12.75">
      <c r="A546" s="279"/>
      <c r="B546" s="279"/>
      <c r="D546" s="279"/>
    </row>
    <row r="547" spans="1:4" ht="12.75">
      <c r="A547" s="279"/>
      <c r="B547" s="279"/>
      <c r="D547" s="279"/>
    </row>
    <row r="548" spans="1:4" ht="12.75">
      <c r="A548" s="279"/>
      <c r="B548" s="279"/>
      <c r="D548" s="279"/>
    </row>
    <row r="549" spans="1:4" ht="12.75">
      <c r="A549" s="279"/>
      <c r="B549" s="279"/>
      <c r="D549" s="279"/>
    </row>
    <row r="550" spans="1:4" ht="12.75">
      <c r="A550" s="279"/>
      <c r="B550" s="279"/>
      <c r="D550" s="279"/>
    </row>
    <row r="551" spans="1:4" ht="12.75">
      <c r="A551" s="279"/>
      <c r="B551" s="279"/>
      <c r="D551" s="279"/>
    </row>
    <row r="552" spans="1:4" ht="12.75">
      <c r="A552" s="279"/>
      <c r="B552" s="279"/>
      <c r="D552" s="279"/>
    </row>
    <row r="553" spans="1:4" ht="12.75">
      <c r="A553" s="279"/>
      <c r="B553" s="279"/>
      <c r="D553" s="279"/>
    </row>
    <row r="554" spans="1:4" ht="12.75">
      <c r="A554" s="279"/>
      <c r="B554" s="279"/>
      <c r="D554" s="279"/>
    </row>
    <row r="555" spans="1:4" ht="12.75">
      <c r="A555" s="279"/>
      <c r="B555" s="279"/>
      <c r="D555" s="279"/>
    </row>
    <row r="556" spans="1:4" ht="12.75">
      <c r="A556" s="279"/>
      <c r="B556" s="279"/>
      <c r="D556" s="279"/>
    </row>
    <row r="557" spans="1:4" ht="12.75">
      <c r="A557" s="279"/>
      <c r="B557" s="279"/>
      <c r="D557" s="279"/>
    </row>
    <row r="558" spans="1:4" ht="12.75">
      <c r="A558" s="279"/>
      <c r="B558" s="279"/>
      <c r="D558" s="279"/>
    </row>
    <row r="559" spans="1:4" ht="12.75">
      <c r="A559" s="279"/>
      <c r="B559" s="279"/>
      <c r="D559" s="279"/>
    </row>
    <row r="560" spans="1:4" ht="12.75">
      <c r="A560" s="279"/>
      <c r="B560" s="279"/>
      <c r="D560" s="279"/>
    </row>
    <row r="561" spans="1:4" ht="12.75">
      <c r="A561" s="279"/>
      <c r="B561" s="279"/>
      <c r="D561" s="279"/>
    </row>
    <row r="562" spans="1:4" ht="12.75">
      <c r="A562" s="279"/>
      <c r="B562" s="279"/>
      <c r="D562" s="279"/>
    </row>
    <row r="563" spans="1:4" ht="12.75">
      <c r="A563" s="279"/>
      <c r="B563" s="279"/>
      <c r="D563" s="279"/>
    </row>
    <row r="564" spans="1:4" ht="12.75">
      <c r="A564" s="279"/>
      <c r="B564" s="279"/>
      <c r="D564" s="279"/>
    </row>
    <row r="565" spans="1:4" ht="12.75">
      <c r="A565" s="279"/>
      <c r="B565" s="279"/>
      <c r="D565" s="279"/>
    </row>
    <row r="566" spans="1:4" ht="12.75">
      <c r="A566" s="279"/>
      <c r="B566" s="279"/>
      <c r="D566" s="279"/>
    </row>
    <row r="567" spans="1:4" ht="12.75">
      <c r="A567" s="279"/>
      <c r="B567" s="279"/>
      <c r="D567" s="279"/>
    </row>
    <row r="568" spans="1:4" ht="12.75">
      <c r="A568" s="279"/>
      <c r="B568" s="279"/>
      <c r="D568" s="279"/>
    </row>
    <row r="569" spans="1:4" ht="12.75">
      <c r="A569" s="279"/>
      <c r="B569" s="279"/>
      <c r="D569" s="279"/>
    </row>
    <row r="570" spans="1:4" ht="12.75">
      <c r="A570" s="279"/>
      <c r="B570" s="279"/>
      <c r="D570" s="279"/>
    </row>
    <row r="571" spans="1:4" ht="12.75">
      <c r="A571" s="279"/>
      <c r="B571" s="279"/>
      <c r="D571" s="279"/>
    </row>
    <row r="572" spans="1:4" ht="12.75">
      <c r="A572" s="279"/>
      <c r="B572" s="279"/>
      <c r="D572" s="279"/>
    </row>
    <row r="573" spans="1:4" ht="12.75">
      <c r="A573" s="279"/>
      <c r="B573" s="279"/>
      <c r="D573" s="279"/>
    </row>
    <row r="574" spans="1:4" ht="12.75">
      <c r="A574" s="279"/>
      <c r="B574" s="279"/>
      <c r="D574" s="279"/>
    </row>
    <row r="575" spans="1:4" ht="12.75">
      <c r="A575" s="279"/>
      <c r="B575" s="279"/>
      <c r="D575" s="279"/>
    </row>
    <row r="576" spans="1:4" ht="12.75">
      <c r="A576" s="279"/>
      <c r="B576" s="279"/>
      <c r="D576" s="279"/>
    </row>
    <row r="577" spans="1:4" ht="12.75">
      <c r="A577" s="279"/>
      <c r="B577" s="279"/>
      <c r="D577" s="279"/>
    </row>
    <row r="578" spans="1:4" ht="12.75">
      <c r="A578" s="279"/>
      <c r="B578" s="279"/>
      <c r="D578" s="279"/>
    </row>
    <row r="579" spans="1:4" ht="12.75">
      <c r="A579" s="279"/>
      <c r="B579" s="279"/>
      <c r="D579" s="279"/>
    </row>
    <row r="580" spans="1:4" ht="12.75">
      <c r="A580" s="279"/>
      <c r="B580" s="279"/>
      <c r="D580" s="279"/>
    </row>
    <row r="581" spans="1:4" ht="12.75">
      <c r="A581" s="279"/>
      <c r="B581" s="279"/>
      <c r="D581" s="279"/>
    </row>
    <row r="582" spans="1:4" ht="12.75">
      <c r="A582" s="279"/>
      <c r="B582" s="279"/>
      <c r="D582" s="279"/>
    </row>
    <row r="583" spans="1:4" ht="12.75">
      <c r="A583" s="279"/>
      <c r="B583" s="279"/>
      <c r="D583" s="279"/>
    </row>
    <row r="584" spans="1:4" ht="12.75">
      <c r="A584" s="279"/>
      <c r="B584" s="279"/>
      <c r="D584" s="279"/>
    </row>
    <row r="585" spans="1:4" ht="12.75">
      <c r="A585" s="279"/>
      <c r="B585" s="279"/>
      <c r="D585" s="279"/>
    </row>
    <row r="586" spans="1:4" ht="12.75">
      <c r="A586" s="279"/>
      <c r="B586" s="279"/>
      <c r="D586" s="279"/>
    </row>
    <row r="587" spans="1:4" ht="12.75">
      <c r="A587" s="279"/>
      <c r="B587" s="279"/>
      <c r="D587" s="279"/>
    </row>
    <row r="588" spans="1:4" ht="12.75">
      <c r="A588" s="279"/>
      <c r="B588" s="279"/>
      <c r="D588" s="279"/>
    </row>
    <row r="589" spans="1:4" ht="12.75">
      <c r="A589" s="279"/>
      <c r="B589" s="279"/>
      <c r="D589" s="279"/>
    </row>
    <row r="590" spans="1:4" ht="12.75">
      <c r="A590" s="279"/>
      <c r="B590" s="279"/>
      <c r="D590" s="279"/>
    </row>
    <row r="591" spans="1:4" ht="12.75">
      <c r="A591" s="279"/>
      <c r="B591" s="279"/>
      <c r="D591" s="279"/>
    </row>
    <row r="592" spans="1:4" ht="12.75">
      <c r="A592" s="279"/>
      <c r="B592" s="279"/>
      <c r="D592" s="279"/>
    </row>
    <row r="593" spans="1:4" ht="12.75">
      <c r="A593" s="279"/>
      <c r="B593" s="279"/>
      <c r="D593" s="279"/>
    </row>
    <row r="594" spans="1:4" ht="12.75">
      <c r="A594" s="279"/>
      <c r="B594" s="279"/>
      <c r="D594" s="279"/>
    </row>
    <row r="595" spans="1:4" ht="12.75">
      <c r="A595" s="279"/>
      <c r="B595" s="279"/>
      <c r="D595" s="279"/>
    </row>
    <row r="596" spans="1:4" ht="12.75">
      <c r="A596" s="279"/>
      <c r="B596" s="279"/>
      <c r="D596" s="279"/>
    </row>
    <row r="597" spans="1:4" ht="12.75">
      <c r="A597" s="279"/>
      <c r="B597" s="279"/>
      <c r="D597" s="279"/>
    </row>
    <row r="598" spans="1:4" ht="12.75">
      <c r="A598" s="279"/>
      <c r="B598" s="279"/>
      <c r="D598" s="279"/>
    </row>
    <row r="599" spans="1:4" ht="12.75">
      <c r="A599" s="279"/>
      <c r="B599" s="279"/>
      <c r="D599" s="279"/>
    </row>
    <row r="600" spans="1:4" ht="12.75">
      <c r="A600" s="279"/>
      <c r="B600" s="279"/>
      <c r="D600" s="279"/>
    </row>
    <row r="601" spans="1:4" ht="12.75">
      <c r="A601" s="279"/>
      <c r="B601" s="279"/>
      <c r="D601" s="279"/>
    </row>
    <row r="602" spans="1:4" ht="12.75">
      <c r="A602" s="279"/>
      <c r="B602" s="279"/>
      <c r="D602" s="279"/>
    </row>
    <row r="603" spans="1:4" ht="12.75">
      <c r="A603" s="279"/>
      <c r="B603" s="279"/>
      <c r="D603" s="279"/>
    </row>
    <row r="604" spans="1:4" ht="12.75">
      <c r="A604" s="279"/>
      <c r="B604" s="279"/>
      <c r="D604" s="279"/>
    </row>
    <row r="605" spans="1:4" ht="12.75">
      <c r="A605" s="279"/>
      <c r="B605" s="279"/>
      <c r="D605" s="279"/>
    </row>
    <row r="606" spans="1:4" ht="12.75">
      <c r="A606" s="279"/>
      <c r="B606" s="279"/>
      <c r="D606" s="279"/>
    </row>
    <row r="607" spans="1:4" ht="12.75">
      <c r="A607" s="279"/>
      <c r="B607" s="279"/>
      <c r="D607" s="279"/>
    </row>
    <row r="608" spans="1:4" ht="12.75">
      <c r="A608" s="279"/>
      <c r="B608" s="279"/>
      <c r="D608" s="279"/>
    </row>
    <row r="609" spans="1:4" ht="12.75">
      <c r="A609" s="279"/>
      <c r="B609" s="279"/>
      <c r="D609" s="279"/>
    </row>
    <row r="610" spans="1:4" ht="12.75">
      <c r="A610" s="279"/>
      <c r="B610" s="279"/>
      <c r="D610" s="279"/>
    </row>
    <row r="611" spans="1:4" ht="12.75">
      <c r="A611" s="279"/>
      <c r="B611" s="279"/>
      <c r="D611" s="279"/>
    </row>
    <row r="612" spans="1:4" ht="12.75">
      <c r="A612" s="279"/>
      <c r="B612" s="279"/>
      <c r="D612" s="279"/>
    </row>
    <row r="613" spans="1:4" ht="12.75">
      <c r="A613" s="279"/>
      <c r="B613" s="279"/>
      <c r="D613" s="279"/>
    </row>
    <row r="614" spans="1:4" ht="12.75">
      <c r="A614" s="279"/>
      <c r="B614" s="279"/>
      <c r="D614" s="279"/>
    </row>
    <row r="615" spans="1:4" ht="12.75">
      <c r="A615" s="279"/>
      <c r="B615" s="279"/>
      <c r="D615" s="279"/>
    </row>
    <row r="616" spans="1:4" ht="12.75">
      <c r="A616" s="279"/>
      <c r="B616" s="279"/>
      <c r="D616" s="279"/>
    </row>
    <row r="617" spans="1:4" ht="12.75">
      <c r="A617" s="279"/>
      <c r="B617" s="279"/>
      <c r="D617" s="279"/>
    </row>
    <row r="618" spans="1:4" ht="12.75">
      <c r="A618" s="279"/>
      <c r="B618" s="279"/>
      <c r="D618" s="279"/>
    </row>
    <row r="619" spans="1:4" ht="12.75">
      <c r="A619" s="279"/>
      <c r="B619" s="279"/>
      <c r="D619" s="279"/>
    </row>
    <row r="620" spans="1:4" ht="12.75">
      <c r="A620" s="279"/>
      <c r="B620" s="279"/>
      <c r="D620" s="279"/>
    </row>
    <row r="621" spans="1:4" ht="12.75">
      <c r="A621" s="279"/>
      <c r="B621" s="279"/>
      <c r="D621" s="279"/>
    </row>
    <row r="622" spans="1:4" ht="12.75">
      <c r="A622" s="279"/>
      <c r="B622" s="279"/>
      <c r="D622" s="279"/>
    </row>
    <row r="623" spans="1:4" ht="12.75">
      <c r="A623" s="279"/>
      <c r="B623" s="279"/>
      <c r="D623" s="279"/>
    </row>
    <row r="624" spans="1:4" ht="12.75">
      <c r="A624" s="279"/>
      <c r="B624" s="279"/>
      <c r="D624" s="279"/>
    </row>
    <row r="625" spans="1:4" ht="12.75">
      <c r="A625" s="279"/>
      <c r="B625" s="279"/>
      <c r="D625" s="279"/>
    </row>
    <row r="626" spans="1:4" ht="12.75">
      <c r="A626" s="279"/>
      <c r="B626" s="279"/>
      <c r="D626" s="279"/>
    </row>
    <row r="627" spans="1:4" ht="12.75">
      <c r="A627" s="279"/>
      <c r="B627" s="279"/>
      <c r="D627" s="279"/>
    </row>
    <row r="628" spans="1:4" ht="12.75">
      <c r="A628" s="279"/>
      <c r="B628" s="279"/>
      <c r="D628" s="279"/>
    </row>
    <row r="629" spans="1:4" ht="12.75">
      <c r="A629" s="279"/>
      <c r="B629" s="279"/>
      <c r="D629" s="279"/>
    </row>
    <row r="630" spans="1:4" ht="12.75">
      <c r="A630" s="279"/>
      <c r="B630" s="279"/>
      <c r="D630" s="279"/>
    </row>
    <row r="631" spans="1:4" ht="12.75">
      <c r="A631" s="279"/>
      <c r="B631" s="279"/>
      <c r="D631" s="279"/>
    </row>
    <row r="632" spans="1:4" ht="12.75">
      <c r="A632" s="279"/>
      <c r="B632" s="279"/>
      <c r="D632" s="279"/>
    </row>
    <row r="633" spans="1:4" ht="12.75">
      <c r="A633" s="279"/>
      <c r="B633" s="279"/>
      <c r="D633" s="279"/>
    </row>
    <row r="634" spans="1:4" ht="12.75">
      <c r="A634" s="279"/>
      <c r="B634" s="279"/>
      <c r="D634" s="279"/>
    </row>
    <row r="635" spans="1:4" ht="12.75">
      <c r="A635" s="279"/>
      <c r="B635" s="279"/>
      <c r="D635" s="279"/>
    </row>
    <row r="636" spans="1:4" ht="12.75">
      <c r="A636" s="279"/>
      <c r="B636" s="279"/>
      <c r="D636" s="279"/>
    </row>
    <row r="637" spans="1:4" ht="12.75">
      <c r="A637" s="279"/>
      <c r="B637" s="279"/>
      <c r="D637" s="279"/>
    </row>
    <row r="638" spans="1:4" ht="12.75">
      <c r="A638" s="279"/>
      <c r="B638" s="279"/>
      <c r="D638" s="279"/>
    </row>
    <row r="639" spans="1:4" ht="12.75">
      <c r="A639" s="279"/>
      <c r="B639" s="279"/>
      <c r="D639" s="279"/>
    </row>
    <row r="640" spans="1:4" ht="12.75">
      <c r="A640" s="279"/>
      <c r="B640" s="279"/>
      <c r="D640" s="279"/>
    </row>
    <row r="641" spans="1:4" ht="12.75">
      <c r="A641" s="279"/>
      <c r="B641" s="279"/>
      <c r="D641" s="279"/>
    </row>
    <row r="642" spans="1:4" ht="12.75">
      <c r="A642" s="279"/>
      <c r="B642" s="279"/>
      <c r="D642" s="279"/>
    </row>
    <row r="643" spans="1:4" ht="12.75">
      <c r="A643" s="279"/>
      <c r="B643" s="279"/>
      <c r="D643" s="279"/>
    </row>
    <row r="644" spans="1:4" ht="12.75">
      <c r="A644" s="279"/>
      <c r="B644" s="279"/>
      <c r="D644" s="279"/>
    </row>
    <row r="645" spans="1:4" ht="12.75">
      <c r="A645" s="279"/>
      <c r="B645" s="279"/>
      <c r="D645" s="279"/>
    </row>
    <row r="646" spans="1:4" ht="12.75">
      <c r="A646" s="279"/>
      <c r="B646" s="279"/>
      <c r="D646" s="279"/>
    </row>
    <row r="647" spans="1:4" ht="12.75">
      <c r="A647" s="279"/>
      <c r="B647" s="279"/>
      <c r="D647" s="279"/>
    </row>
    <row r="648" spans="1:4" ht="12.75">
      <c r="A648" s="279"/>
      <c r="B648" s="279"/>
      <c r="D648" s="279"/>
    </row>
    <row r="649" spans="1:4" ht="12.75">
      <c r="A649" s="279"/>
      <c r="B649" s="279"/>
      <c r="D649" s="279"/>
    </row>
    <row r="650" spans="1:4" ht="12.75">
      <c r="A650" s="279"/>
      <c r="B650" s="279"/>
      <c r="D650" s="279"/>
    </row>
    <row r="651" spans="1:4" ht="12.75">
      <c r="A651" s="279"/>
      <c r="B651" s="279"/>
      <c r="D651" s="279"/>
    </row>
    <row r="652" spans="1:4" ht="12.75">
      <c r="A652" s="279"/>
      <c r="B652" s="279"/>
      <c r="D652" s="279"/>
    </row>
    <row r="653" spans="1:4" ht="12.75">
      <c r="A653" s="279"/>
      <c r="B653" s="279"/>
      <c r="D653" s="279"/>
    </row>
    <row r="654" spans="1:4" ht="12.75">
      <c r="A654" s="279"/>
      <c r="B654" s="279"/>
      <c r="D654" s="279"/>
    </row>
    <row r="655" spans="1:4" ht="12.75">
      <c r="A655" s="279"/>
      <c r="B655" s="279"/>
      <c r="D655" s="279"/>
    </row>
    <row r="656" spans="1:4" ht="12.75">
      <c r="A656" s="279"/>
      <c r="B656" s="279"/>
      <c r="D656" s="279"/>
    </row>
    <row r="657" spans="1:4" ht="12.75">
      <c r="A657" s="279"/>
      <c r="B657" s="279"/>
      <c r="D657" s="279"/>
    </row>
    <row r="658" spans="1:4" ht="12.75">
      <c r="A658" s="279"/>
      <c r="B658" s="279"/>
      <c r="D658" s="279"/>
    </row>
    <row r="659" spans="1:4" ht="12.75">
      <c r="A659" s="279"/>
      <c r="B659" s="279"/>
      <c r="D659" s="279"/>
    </row>
    <row r="660" spans="1:4" ht="12.75">
      <c r="A660" s="279"/>
      <c r="B660" s="279"/>
      <c r="D660" s="279"/>
    </row>
    <row r="661" spans="1:4" ht="12.75">
      <c r="A661" s="279"/>
      <c r="B661" s="279"/>
      <c r="D661" s="279"/>
    </row>
    <row r="662" spans="1:4" ht="12.75">
      <c r="A662" s="279"/>
      <c r="B662" s="279"/>
      <c r="D662" s="279"/>
    </row>
    <row r="663" spans="1:4" ht="12.75">
      <c r="A663" s="279"/>
      <c r="B663" s="279"/>
      <c r="D663" s="279"/>
    </row>
    <row r="664" spans="1:4" ht="12.75">
      <c r="A664" s="279"/>
      <c r="B664" s="279"/>
      <c r="D664" s="279"/>
    </row>
    <row r="665" spans="1:4" ht="12.75">
      <c r="A665" s="279"/>
      <c r="B665" s="279"/>
      <c r="D665" s="279"/>
    </row>
    <row r="666" spans="1:4" ht="12.75">
      <c r="A666" s="279"/>
      <c r="B666" s="279"/>
      <c r="D666" s="279"/>
    </row>
    <row r="667" spans="1:4" ht="12.75">
      <c r="A667" s="279"/>
      <c r="B667" s="279"/>
      <c r="D667" s="279"/>
    </row>
    <row r="668" spans="1:4" ht="12.75">
      <c r="A668" s="279"/>
      <c r="B668" s="279"/>
      <c r="D668" s="279"/>
    </row>
    <row r="669" spans="1:4" ht="12.75">
      <c r="A669" s="279"/>
      <c r="B669" s="279"/>
      <c r="D669" s="279"/>
    </row>
    <row r="670" spans="1:4" ht="12.75">
      <c r="A670" s="279"/>
      <c r="B670" s="279"/>
      <c r="D670" s="279"/>
    </row>
    <row r="671" spans="1:4" ht="12.75">
      <c r="A671" s="279"/>
      <c r="B671" s="279"/>
      <c r="D671" s="279"/>
    </row>
    <row r="672" spans="1:4" ht="12.75">
      <c r="A672" s="279"/>
      <c r="B672" s="279"/>
      <c r="D672" s="279"/>
    </row>
    <row r="673" spans="1:4" ht="12.75">
      <c r="A673" s="279"/>
      <c r="B673" s="279"/>
      <c r="D673" s="279"/>
    </row>
    <row r="674" spans="1:4" ht="12.75">
      <c r="A674" s="279"/>
      <c r="B674" s="279"/>
      <c r="D674" s="279"/>
    </row>
    <row r="675" spans="1:4" ht="12.75">
      <c r="A675" s="279"/>
      <c r="B675" s="279"/>
      <c r="D675" s="279"/>
    </row>
    <row r="676" spans="1:4" ht="12.75">
      <c r="A676" s="279"/>
      <c r="B676" s="279"/>
      <c r="D676" s="279"/>
    </row>
    <row r="677" spans="1:4" ht="12.75">
      <c r="A677" s="279"/>
      <c r="B677" s="279"/>
      <c r="D677" s="279"/>
    </row>
    <row r="678" spans="1:4" ht="12.75">
      <c r="A678" s="279"/>
      <c r="B678" s="279"/>
      <c r="D678" s="279"/>
    </row>
    <row r="679" spans="1:4" ht="12.75">
      <c r="A679" s="279"/>
      <c r="B679" s="279"/>
      <c r="D679" s="279"/>
    </row>
    <row r="680" spans="1:4" ht="12.75">
      <c r="A680" s="279"/>
      <c r="B680" s="279"/>
      <c r="D680" s="279"/>
    </row>
    <row r="681" spans="1:4" ht="12.75">
      <c r="A681" s="279"/>
      <c r="B681" s="279"/>
      <c r="D681" s="279"/>
    </row>
    <row r="682" spans="1:4" ht="12.75">
      <c r="A682" s="279"/>
      <c r="B682" s="279"/>
      <c r="D682" s="279"/>
    </row>
    <row r="683" spans="1:4" ht="12.75">
      <c r="A683" s="279"/>
      <c r="B683" s="279"/>
      <c r="D683" s="279"/>
    </row>
    <row r="684" spans="1:4" ht="12.75">
      <c r="A684" s="279"/>
      <c r="B684" s="279"/>
      <c r="D684" s="279"/>
    </row>
    <row r="685" spans="1:4" ht="12.75">
      <c r="A685" s="279"/>
      <c r="B685" s="279"/>
      <c r="D685" s="279"/>
    </row>
    <row r="686" spans="1:4" ht="12.75">
      <c r="A686" s="279"/>
      <c r="B686" s="279"/>
      <c r="D686" s="279"/>
    </row>
    <row r="687" spans="1:4" ht="12.75">
      <c r="A687" s="279"/>
      <c r="B687" s="279"/>
      <c r="D687" s="279"/>
    </row>
    <row r="688" spans="1:4" ht="12.75">
      <c r="A688" s="279"/>
      <c r="B688" s="279"/>
      <c r="D688" s="279"/>
    </row>
    <row r="689" spans="1:4" ht="12.75">
      <c r="A689" s="279"/>
      <c r="B689" s="279"/>
      <c r="D689" s="279"/>
    </row>
    <row r="690" spans="1:4" ht="12.75">
      <c r="A690" s="279"/>
      <c r="B690" s="279"/>
      <c r="D690" s="279"/>
    </row>
    <row r="691" spans="1:4" ht="12.75">
      <c r="A691" s="279"/>
      <c r="B691" s="279"/>
      <c r="D691" s="279"/>
    </row>
    <row r="692" spans="1:4" ht="12.75">
      <c r="A692" s="279"/>
      <c r="B692" s="279"/>
      <c r="D692" s="279"/>
    </row>
    <row r="693" spans="1:4" ht="12.75">
      <c r="A693" s="279"/>
      <c r="B693" s="279"/>
      <c r="D693" s="279"/>
    </row>
    <row r="694" spans="1:4" ht="12.75">
      <c r="A694" s="279"/>
      <c r="B694" s="279"/>
      <c r="D694" s="279"/>
    </row>
    <row r="695" spans="1:4" ht="12.75">
      <c r="A695" s="279"/>
      <c r="B695" s="279"/>
      <c r="D695" s="279"/>
    </row>
    <row r="696" spans="1:4" ht="12.75">
      <c r="A696" s="279"/>
      <c r="B696" s="279"/>
      <c r="D696" s="279"/>
    </row>
    <row r="697" spans="1:4" ht="12.75">
      <c r="A697" s="279"/>
      <c r="B697" s="279"/>
      <c r="D697" s="279"/>
    </row>
    <row r="698" spans="1:4" ht="12.75">
      <c r="A698" s="279"/>
      <c r="B698" s="279"/>
      <c r="D698" s="279"/>
    </row>
    <row r="699" spans="1:4" ht="12.75">
      <c r="A699" s="279"/>
      <c r="B699" s="279"/>
      <c r="D699" s="279"/>
    </row>
    <row r="700" spans="1:4" ht="12.75">
      <c r="A700" s="279"/>
      <c r="B700" s="279"/>
      <c r="D700" s="279"/>
    </row>
    <row r="701" spans="1:4" ht="12.75">
      <c r="A701" s="279"/>
      <c r="B701" s="279"/>
      <c r="D701" s="279"/>
    </row>
    <row r="702" spans="1:4" ht="12.75">
      <c r="A702" s="279"/>
      <c r="B702" s="279"/>
      <c r="D702" s="279"/>
    </row>
    <row r="703" spans="1:4" ht="12.75">
      <c r="A703" s="279"/>
      <c r="B703" s="279"/>
      <c r="D703" s="279"/>
    </row>
    <row r="704" spans="1:4" ht="12.75">
      <c r="A704" s="279"/>
      <c r="B704" s="279"/>
      <c r="D704" s="279"/>
    </row>
    <row r="705" spans="1:4" ht="12.75">
      <c r="A705" s="279"/>
      <c r="B705" s="279"/>
      <c r="D705" s="279"/>
    </row>
    <row r="706" spans="1:4" ht="12.75">
      <c r="A706" s="279"/>
      <c r="B706" s="279"/>
      <c r="D706" s="279"/>
    </row>
    <row r="707" spans="1:4" ht="12.75">
      <c r="A707" s="279"/>
      <c r="B707" s="279"/>
      <c r="D707" s="279"/>
    </row>
    <row r="708" spans="1:4" ht="12.75">
      <c r="A708" s="279"/>
      <c r="B708" s="279"/>
      <c r="D708" s="279"/>
    </row>
    <row r="709" spans="1:4" ht="12.75">
      <c r="A709" s="279"/>
      <c r="B709" s="279"/>
      <c r="D709" s="279"/>
    </row>
    <row r="710" spans="1:4" ht="12.75">
      <c r="A710" s="279"/>
      <c r="B710" s="279"/>
      <c r="D710" s="279"/>
    </row>
    <row r="711" spans="1:4" ht="12.75">
      <c r="A711" s="279"/>
      <c r="B711" s="279"/>
      <c r="D711" s="279"/>
    </row>
    <row r="712" spans="1:4" ht="12.75">
      <c r="A712" s="279"/>
      <c r="B712" s="279"/>
      <c r="D712" s="279"/>
    </row>
    <row r="713" spans="1:4" ht="12.75">
      <c r="A713" s="279"/>
      <c r="B713" s="279"/>
      <c r="D713" s="279"/>
    </row>
    <row r="714" spans="1:4" ht="12.75">
      <c r="A714" s="279"/>
      <c r="B714" s="279"/>
      <c r="D714" s="279"/>
    </row>
    <row r="715" spans="1:4" ht="12.75">
      <c r="A715" s="279"/>
      <c r="B715" s="279"/>
      <c r="D715" s="279"/>
    </row>
    <row r="716" spans="1:4" ht="12.75">
      <c r="A716" s="279"/>
      <c r="B716" s="279"/>
      <c r="D716" s="279"/>
    </row>
    <row r="717" spans="1:4" ht="12.75">
      <c r="A717" s="279"/>
      <c r="B717" s="279"/>
      <c r="D717" s="279"/>
    </row>
    <row r="718" spans="1:4" ht="12.75">
      <c r="A718" s="279"/>
      <c r="B718" s="279"/>
      <c r="D718" s="279"/>
    </row>
    <row r="719" spans="1:4" ht="12.75">
      <c r="A719" s="279"/>
      <c r="B719" s="279"/>
      <c r="D719" s="279"/>
    </row>
    <row r="720" spans="1:4" ht="12.75">
      <c r="A720" s="279"/>
      <c r="B720" s="279"/>
      <c r="D720" s="279"/>
    </row>
    <row r="721" spans="1:4" ht="12.75">
      <c r="A721" s="279"/>
      <c r="B721" s="279"/>
      <c r="D721" s="279"/>
    </row>
    <row r="722" spans="1:4" ht="12.75">
      <c r="A722" s="279"/>
      <c r="B722" s="279"/>
      <c r="D722" s="279"/>
    </row>
    <row r="723" spans="1:4" ht="12.75">
      <c r="A723" s="279"/>
      <c r="B723" s="279"/>
      <c r="D723" s="279"/>
    </row>
    <row r="724" spans="1:4" ht="12.75">
      <c r="A724" s="279"/>
      <c r="B724" s="279"/>
      <c r="D724" s="279"/>
    </row>
    <row r="725" spans="1:4" ht="12.75">
      <c r="A725" s="279"/>
      <c r="B725" s="279"/>
      <c r="D725" s="279"/>
    </row>
    <row r="726" spans="1:4" ht="12.75">
      <c r="A726" s="279"/>
      <c r="B726" s="279"/>
      <c r="D726" s="279"/>
    </row>
    <row r="727" spans="1:4" ht="12.75">
      <c r="A727" s="279"/>
      <c r="B727" s="279"/>
      <c r="D727" s="279"/>
    </row>
    <row r="728" spans="1:4" ht="12.75">
      <c r="A728" s="279"/>
      <c r="B728" s="279"/>
      <c r="D728" s="279"/>
    </row>
    <row r="729" spans="1:4" ht="12.75">
      <c r="A729" s="279"/>
      <c r="B729" s="279"/>
      <c r="D729" s="279"/>
    </row>
    <row r="730" spans="1:4" ht="12.75">
      <c r="A730" s="279"/>
      <c r="B730" s="279"/>
      <c r="D730" s="279"/>
    </row>
    <row r="731" spans="1:4" ht="12.75">
      <c r="A731" s="279"/>
      <c r="B731" s="279"/>
      <c r="D731" s="279"/>
    </row>
    <row r="732" spans="1:4" ht="12.75">
      <c r="A732" s="279"/>
      <c r="B732" s="279"/>
      <c r="D732" s="279"/>
    </row>
    <row r="733" spans="1:4" ht="12.75">
      <c r="A733" s="279"/>
      <c r="B733" s="279"/>
      <c r="D733" s="279"/>
    </row>
    <row r="734" spans="1:4" ht="12.75">
      <c r="A734" s="279"/>
      <c r="B734" s="279"/>
      <c r="D734" s="279"/>
    </row>
    <row r="735" spans="1:4" ht="12.75">
      <c r="A735" s="279"/>
      <c r="B735" s="279"/>
      <c r="D735" s="279"/>
    </row>
    <row r="736" spans="1:4" ht="12.75">
      <c r="A736" s="279"/>
      <c r="B736" s="279"/>
      <c r="D736" s="279"/>
    </row>
    <row r="737" spans="1:4" ht="12.75">
      <c r="A737" s="279"/>
      <c r="B737" s="279"/>
      <c r="D737" s="279"/>
    </row>
    <row r="738" spans="1:4" ht="12.75">
      <c r="A738" s="279"/>
      <c r="B738" s="279"/>
      <c r="D738" s="279"/>
    </row>
    <row r="739" spans="1:4" ht="12.75">
      <c r="A739" s="279"/>
      <c r="B739" s="279"/>
      <c r="D739" s="279"/>
    </row>
    <row r="740" spans="1:4" ht="12.75">
      <c r="A740" s="279"/>
      <c r="B740" s="279"/>
      <c r="D740" s="279"/>
    </row>
    <row r="741" spans="1:4" ht="12.75">
      <c r="A741" s="279"/>
      <c r="B741" s="279"/>
      <c r="D741" s="279"/>
    </row>
    <row r="742" spans="1:4" ht="12.75">
      <c r="A742" s="279"/>
      <c r="B742" s="279"/>
      <c r="D742" s="279"/>
    </row>
    <row r="743" spans="1:4" ht="12.75">
      <c r="A743" s="279"/>
      <c r="B743" s="279"/>
      <c r="D743" s="279"/>
    </row>
    <row r="744" spans="1:4" ht="12.75">
      <c r="A744" s="279"/>
      <c r="B744" s="279"/>
      <c r="D744" s="279"/>
    </row>
    <row r="745" spans="1:4" ht="12.75">
      <c r="A745" s="279"/>
      <c r="B745" s="279"/>
      <c r="D745" s="279"/>
    </row>
    <row r="746" spans="1:4" ht="12.75">
      <c r="A746" s="279"/>
      <c r="B746" s="279"/>
      <c r="D746" s="279"/>
    </row>
    <row r="747" spans="1:4" ht="12.75">
      <c r="A747" s="279"/>
      <c r="B747" s="279"/>
      <c r="D747" s="279"/>
    </row>
    <row r="748" spans="1:4" ht="12.75">
      <c r="A748" s="279"/>
      <c r="B748" s="279"/>
      <c r="D748" s="279"/>
    </row>
    <row r="749" spans="1:4" ht="12.75">
      <c r="A749" s="279"/>
      <c r="B749" s="279"/>
      <c r="D749" s="279"/>
    </row>
    <row r="750" spans="1:4" ht="12.75">
      <c r="A750" s="279"/>
      <c r="B750" s="279"/>
      <c r="D750" s="279"/>
    </row>
    <row r="751" spans="1:4" ht="12.75">
      <c r="A751" s="279"/>
      <c r="B751" s="279"/>
      <c r="D751" s="279"/>
    </row>
    <row r="752" spans="1:4" ht="12.75">
      <c r="A752" s="279"/>
      <c r="B752" s="279"/>
      <c r="D752" s="279"/>
    </row>
    <row r="753" spans="1:4" ht="12.75">
      <c r="A753" s="279"/>
      <c r="B753" s="279"/>
      <c r="D753" s="279"/>
    </row>
    <row r="754" spans="1:4" ht="12.75">
      <c r="A754" s="279"/>
      <c r="B754" s="279"/>
      <c r="D754" s="279"/>
    </row>
    <row r="755" spans="1:4" ht="12.75">
      <c r="A755" s="279"/>
      <c r="B755" s="279"/>
      <c r="D755" s="279"/>
    </row>
    <row r="756" spans="1:4" ht="12.75">
      <c r="A756" s="279"/>
      <c r="B756" s="279"/>
      <c r="D756" s="279"/>
    </row>
    <row r="757" spans="1:4" ht="12.75">
      <c r="A757" s="279"/>
      <c r="B757" s="279"/>
      <c r="D757" s="279"/>
    </row>
    <row r="758" spans="1:4" ht="12.75">
      <c r="A758" s="279"/>
      <c r="B758" s="279"/>
      <c r="D758" s="279"/>
    </row>
    <row r="759" spans="1:4" ht="12.75">
      <c r="A759" s="279"/>
      <c r="B759" s="279"/>
      <c r="D759" s="279"/>
    </row>
    <row r="760" spans="1:4" ht="12.75">
      <c r="A760" s="279"/>
      <c r="B760" s="279"/>
      <c r="D760" s="279"/>
    </row>
    <row r="761" spans="1:4" ht="12.75">
      <c r="A761" s="279"/>
      <c r="B761" s="279"/>
      <c r="D761" s="279"/>
    </row>
    <row r="762" spans="1:4" ht="12.75">
      <c r="A762" s="279"/>
      <c r="B762" s="279"/>
      <c r="D762" s="279"/>
    </row>
    <row r="763" spans="1:4" ht="12.75">
      <c r="A763" s="279"/>
      <c r="B763" s="279"/>
      <c r="D763" s="279"/>
    </row>
    <row r="764" spans="1:4" ht="12.75">
      <c r="A764" s="279"/>
      <c r="B764" s="279"/>
      <c r="D764" s="279"/>
    </row>
    <row r="765" spans="1:4" ht="12.75">
      <c r="A765" s="279"/>
      <c r="B765" s="279"/>
      <c r="D765" s="279"/>
    </row>
    <row r="766" spans="1:4" ht="12.75">
      <c r="A766" s="279"/>
      <c r="B766" s="279"/>
      <c r="D766" s="279"/>
    </row>
    <row r="767" spans="1:4" ht="12.75">
      <c r="A767" s="279"/>
      <c r="B767" s="279"/>
      <c r="D767" s="279"/>
    </row>
    <row r="768" spans="1:4" ht="12.75">
      <c r="A768" s="279"/>
      <c r="B768" s="279"/>
      <c r="D768" s="279"/>
    </row>
    <row r="769" spans="1:4" ht="12.75">
      <c r="A769" s="279"/>
      <c r="B769" s="279"/>
      <c r="D769" s="279"/>
    </row>
    <row r="770" spans="1:4" ht="12.75">
      <c r="A770" s="279"/>
      <c r="B770" s="279"/>
      <c r="D770" s="279"/>
    </row>
    <row r="771" spans="1:4" ht="12.75">
      <c r="A771" s="279"/>
      <c r="B771" s="279"/>
      <c r="D771" s="279"/>
    </row>
    <row r="772" spans="1:4" ht="12.75">
      <c r="A772" s="279"/>
      <c r="B772" s="279"/>
      <c r="D772" s="279"/>
    </row>
    <row r="773" spans="1:4" ht="12.75">
      <c r="A773" s="279"/>
      <c r="B773" s="279"/>
      <c r="D773" s="279"/>
    </row>
    <row r="774" spans="1:4" ht="12.75">
      <c r="A774" s="279"/>
      <c r="B774" s="279"/>
      <c r="D774" s="279"/>
    </row>
    <row r="775" spans="1:4" ht="12.75">
      <c r="A775" s="279"/>
      <c r="B775" s="279"/>
      <c r="D775" s="279"/>
    </row>
    <row r="776" spans="1:4" ht="12.75">
      <c r="A776" s="279"/>
      <c r="B776" s="279"/>
      <c r="D776" s="279"/>
    </row>
    <row r="777" spans="1:4" ht="12.75">
      <c r="A777" s="279"/>
      <c r="B777" s="279"/>
      <c r="D777" s="279"/>
    </row>
    <row r="778" spans="1:4" ht="12.75">
      <c r="A778" s="279"/>
      <c r="B778" s="279"/>
      <c r="D778" s="279"/>
    </row>
    <row r="779" spans="1:4" ht="12.75">
      <c r="A779" s="279"/>
      <c r="B779" s="279"/>
      <c r="D779" s="279"/>
    </row>
    <row r="780" spans="1:4" ht="12.75">
      <c r="A780" s="279"/>
      <c r="B780" s="279"/>
      <c r="D780" s="279"/>
    </row>
    <row r="781" spans="1:4" ht="12.75">
      <c r="A781" s="279"/>
      <c r="B781" s="279"/>
      <c r="D781" s="279"/>
    </row>
    <row r="782" spans="1:4" ht="12.75">
      <c r="A782" s="279"/>
      <c r="B782" s="279"/>
      <c r="D782" s="279"/>
    </row>
    <row r="783" spans="1:4" ht="12.75">
      <c r="A783" s="279"/>
      <c r="B783" s="279"/>
      <c r="D783" s="279"/>
    </row>
    <row r="784" spans="1:4" ht="12.75">
      <c r="A784" s="279"/>
      <c r="B784" s="279"/>
      <c r="D784" s="279"/>
    </row>
    <row r="785" spans="1:4" ht="12.75">
      <c r="A785" s="279"/>
      <c r="B785" s="279"/>
      <c r="D785" s="279"/>
    </row>
    <row r="786" spans="1:4" ht="12.75">
      <c r="A786" s="279"/>
      <c r="B786" s="279"/>
      <c r="D786" s="279"/>
    </row>
    <row r="787" spans="1:4" ht="12.75">
      <c r="A787" s="279"/>
      <c r="B787" s="279"/>
      <c r="D787" s="279"/>
    </row>
    <row r="788" spans="1:4" ht="12.75">
      <c r="A788" s="279"/>
      <c r="B788" s="279"/>
      <c r="D788" s="279"/>
    </row>
    <row r="789" spans="1:4" ht="12.75">
      <c r="A789" s="279"/>
      <c r="B789" s="279"/>
      <c r="D789" s="279"/>
    </row>
    <row r="790" spans="1:4" ht="12.75">
      <c r="A790" s="279"/>
      <c r="B790" s="279"/>
      <c r="D790" s="279"/>
    </row>
    <row r="791" spans="1:4" ht="12.75">
      <c r="A791" s="279"/>
      <c r="B791" s="279"/>
      <c r="D791" s="279"/>
    </row>
    <row r="792" spans="1:4" ht="12.75">
      <c r="A792" s="279"/>
      <c r="B792" s="279"/>
      <c r="D792" s="279"/>
    </row>
    <row r="793" spans="1:4" ht="12.75">
      <c r="A793" s="279"/>
      <c r="B793" s="279"/>
      <c r="D793" s="279"/>
    </row>
    <row r="794" spans="1:4" ht="12.75">
      <c r="A794" s="279"/>
      <c r="B794" s="279"/>
      <c r="D794" s="279"/>
    </row>
    <row r="795" spans="1:4" ht="12.75">
      <c r="A795" s="279"/>
      <c r="B795" s="279"/>
      <c r="D795" s="279"/>
    </row>
    <row r="796" spans="1:4" ht="12.75">
      <c r="A796" s="279"/>
      <c r="B796" s="279"/>
      <c r="D796" s="279"/>
    </row>
    <row r="797" spans="1:4" ht="12.75">
      <c r="A797" s="279"/>
      <c r="B797" s="279"/>
      <c r="D797" s="279"/>
    </row>
    <row r="798" spans="1:4" ht="12.75">
      <c r="A798" s="279"/>
      <c r="B798" s="279"/>
      <c r="D798" s="279"/>
    </row>
    <row r="799" spans="1:4" ht="12.75">
      <c r="A799" s="279"/>
      <c r="B799" s="279"/>
      <c r="D799" s="279"/>
    </row>
    <row r="800" spans="1:4" ht="12.75">
      <c r="A800" s="279"/>
      <c r="B800" s="279"/>
      <c r="D800" s="279"/>
    </row>
    <row r="801" spans="1:4" ht="12.75">
      <c r="A801" s="279"/>
      <c r="B801" s="279"/>
      <c r="D801" s="279"/>
    </row>
    <row r="802" spans="1:4" ht="12.75">
      <c r="A802" s="279"/>
      <c r="B802" s="279"/>
      <c r="D802" s="279"/>
    </row>
    <row r="803" spans="1:4" ht="12.75">
      <c r="A803" s="279"/>
      <c r="B803" s="279"/>
      <c r="D803" s="279"/>
    </row>
    <row r="804" spans="1:4" ht="12.75">
      <c r="A804" s="279"/>
      <c r="B804" s="279"/>
      <c r="D804" s="279"/>
    </row>
    <row r="805" spans="1:4" ht="12.75">
      <c r="A805" s="279"/>
      <c r="B805" s="279"/>
      <c r="D805" s="279"/>
    </row>
    <row r="806" spans="1:4" ht="12.75">
      <c r="A806" s="279"/>
      <c r="B806" s="279"/>
      <c r="D806" s="279"/>
    </row>
    <row r="807" spans="1:4" ht="12.75">
      <c r="A807" s="279"/>
      <c r="B807" s="279"/>
      <c r="D807" s="279"/>
    </row>
    <row r="808" spans="1:4" ht="12.75">
      <c r="A808" s="279"/>
      <c r="B808" s="279"/>
      <c r="D808" s="279"/>
    </row>
    <row r="809" spans="1:4" ht="12.75">
      <c r="A809" s="279"/>
      <c r="B809" s="279"/>
      <c r="D809" s="279"/>
    </row>
    <row r="810" spans="1:4" ht="12.75">
      <c r="A810" s="279"/>
      <c r="B810" s="279"/>
      <c r="D810" s="279"/>
    </row>
    <row r="811" spans="1:4" ht="12.75">
      <c r="A811" s="279"/>
      <c r="B811" s="279"/>
      <c r="D811" s="279"/>
    </row>
    <row r="812" spans="1:4" ht="12.75">
      <c r="A812" s="279"/>
      <c r="B812" s="279"/>
      <c r="D812" s="279"/>
    </row>
    <row r="813" spans="1:4" ht="12.75">
      <c r="A813" s="279"/>
      <c r="B813" s="279"/>
      <c r="D813" s="279"/>
    </row>
    <row r="814" spans="1:4" ht="12.75">
      <c r="A814" s="279"/>
      <c r="B814" s="279"/>
      <c r="D814" s="279"/>
    </row>
    <row r="815" spans="1:4" ht="12.75">
      <c r="A815" s="279"/>
      <c r="B815" s="279"/>
      <c r="D815" s="279"/>
    </row>
    <row r="816" spans="1:4" ht="12.75">
      <c r="A816" s="279"/>
      <c r="B816" s="279"/>
      <c r="D816" s="279"/>
    </row>
    <row r="817" spans="1:4" ht="12.75">
      <c r="A817" s="279"/>
      <c r="B817" s="279"/>
      <c r="D817" s="279"/>
    </row>
    <row r="818" spans="1:4" ht="12.75">
      <c r="A818" s="279"/>
      <c r="B818" s="279"/>
      <c r="D818" s="279"/>
    </row>
    <row r="819" spans="1:4" ht="12.75">
      <c r="A819" s="279"/>
      <c r="B819" s="279"/>
      <c r="D819" s="279"/>
    </row>
    <row r="820" spans="1:4" ht="12.75">
      <c r="A820" s="279"/>
      <c r="B820" s="279"/>
      <c r="D820" s="279"/>
    </row>
    <row r="821" spans="1:4" ht="12.75">
      <c r="A821" s="279"/>
      <c r="B821" s="279"/>
      <c r="D821" s="279"/>
    </row>
    <row r="822" spans="1:4" ht="12.75">
      <c r="A822" s="279"/>
      <c r="B822" s="279"/>
      <c r="D822" s="279"/>
    </row>
    <row r="823" spans="1:4" ht="12.75">
      <c r="A823" s="279"/>
      <c r="B823" s="279"/>
      <c r="D823" s="279"/>
    </row>
    <row r="824" spans="1:4" ht="12.75">
      <c r="A824" s="279"/>
      <c r="B824" s="279"/>
      <c r="D824" s="279"/>
    </row>
    <row r="825" spans="1:4" ht="12.75">
      <c r="A825" s="279"/>
      <c r="B825" s="279"/>
      <c r="D825" s="279"/>
    </row>
    <row r="826" spans="1:4" ht="12.75">
      <c r="A826" s="279"/>
      <c r="B826" s="279"/>
      <c r="D826" s="279"/>
    </row>
    <row r="827" spans="1:4" ht="12.75">
      <c r="A827" s="279"/>
      <c r="B827" s="279"/>
      <c r="D827" s="279"/>
    </row>
    <row r="828" spans="1:4" ht="12.75">
      <c r="A828" s="279"/>
      <c r="B828" s="279"/>
      <c r="D828" s="279"/>
    </row>
    <row r="829" spans="1:4" ht="12.75">
      <c r="A829" s="279"/>
      <c r="B829" s="279"/>
      <c r="D829" s="279"/>
    </row>
    <row r="830" spans="1:4" ht="12.75">
      <c r="A830" s="279"/>
      <c r="B830" s="279"/>
      <c r="D830" s="279"/>
    </row>
    <row r="831" spans="1:4" ht="12.75">
      <c r="A831" s="279"/>
      <c r="B831" s="279"/>
      <c r="D831" s="279"/>
    </row>
    <row r="832" spans="1:4" ht="12.75">
      <c r="A832" s="279"/>
      <c r="B832" s="279"/>
      <c r="D832" s="279"/>
    </row>
    <row r="833" spans="1:4" ht="12.75">
      <c r="A833" s="279"/>
      <c r="B833" s="279"/>
      <c r="D833" s="279"/>
    </row>
    <row r="834" spans="1:4" ht="12.75">
      <c r="A834" s="279"/>
      <c r="B834" s="279"/>
      <c r="D834" s="279"/>
    </row>
    <row r="835" spans="1:4" ht="12.75">
      <c r="A835" s="279"/>
      <c r="B835" s="279"/>
      <c r="D835" s="279"/>
    </row>
    <row r="836" spans="1:4" ht="12.75">
      <c r="A836" s="279"/>
      <c r="B836" s="279"/>
      <c r="D836" s="279"/>
    </row>
    <row r="837" spans="1:4" ht="12.75">
      <c r="A837" s="279"/>
      <c r="B837" s="279"/>
      <c r="D837" s="279"/>
    </row>
    <row r="838" spans="1:4" ht="12.75">
      <c r="A838" s="279"/>
      <c r="B838" s="279"/>
      <c r="D838" s="279"/>
    </row>
    <row r="839" spans="1:4" ht="12.75">
      <c r="A839" s="279"/>
      <c r="B839" s="279"/>
      <c r="D839" s="279"/>
    </row>
    <row r="840" spans="1:4" ht="12.75">
      <c r="A840" s="279"/>
      <c r="B840" s="279"/>
      <c r="D840" s="279"/>
    </row>
    <row r="841" spans="1:4" ht="12.75">
      <c r="A841" s="279"/>
      <c r="B841" s="279"/>
      <c r="D841" s="279"/>
    </row>
    <row r="842" spans="1:4" ht="12.75">
      <c r="A842" s="279"/>
      <c r="B842" s="279"/>
      <c r="D842" s="279"/>
    </row>
    <row r="843" spans="1:4" ht="12.75">
      <c r="A843" s="279"/>
      <c r="B843" s="279"/>
      <c r="D843" s="279"/>
    </row>
    <row r="844" spans="1:4" ht="12.75">
      <c r="A844" s="279"/>
      <c r="B844" s="279"/>
      <c r="D844" s="279"/>
    </row>
    <row r="845" spans="1:4" ht="12.75">
      <c r="A845" s="279"/>
      <c r="B845" s="279"/>
      <c r="D845" s="279"/>
    </row>
    <row r="846" spans="1:4" ht="12.75">
      <c r="A846" s="279"/>
      <c r="B846" s="279"/>
      <c r="D846" s="279"/>
    </row>
    <row r="847" spans="1:4" ht="12.75">
      <c r="A847" s="279"/>
      <c r="B847" s="279"/>
      <c r="D847" s="279"/>
    </row>
    <row r="848" spans="1:4" ht="12.75">
      <c r="A848" s="279"/>
      <c r="B848" s="279"/>
      <c r="D848" s="279"/>
    </row>
    <row r="849" spans="1:4" ht="12.75">
      <c r="A849" s="279"/>
      <c r="B849" s="279"/>
      <c r="D849" s="279"/>
    </row>
    <row r="850" spans="1:4" ht="12.75">
      <c r="A850" s="279"/>
      <c r="B850" s="279"/>
      <c r="D850" s="279"/>
    </row>
    <row r="851" spans="1:4" ht="12.75">
      <c r="A851" s="279"/>
      <c r="B851" s="279"/>
      <c r="D851" s="279"/>
    </row>
    <row r="852" spans="1:4" ht="12.75">
      <c r="A852" s="279"/>
      <c r="B852" s="279"/>
      <c r="D852" s="279"/>
    </row>
    <row r="853" spans="1:4" ht="12.75">
      <c r="A853" s="279"/>
      <c r="B853" s="279"/>
      <c r="D853" s="279"/>
    </row>
    <row r="854" spans="1:4" ht="12.75">
      <c r="A854" s="279"/>
      <c r="B854" s="279"/>
      <c r="D854" s="279"/>
    </row>
    <row r="855" spans="1:4" ht="12.75">
      <c r="A855" s="279"/>
      <c r="B855" s="279"/>
      <c r="D855" s="279"/>
    </row>
    <row r="856" spans="1:4" ht="12.75">
      <c r="A856" s="279"/>
      <c r="B856" s="279"/>
      <c r="D856" s="279"/>
    </row>
    <row r="857" spans="1:4" ht="12.75">
      <c r="A857" s="279"/>
      <c r="B857" s="279"/>
      <c r="D857" s="279"/>
    </row>
    <row r="858" spans="1:4" ht="12.75">
      <c r="A858" s="279"/>
      <c r="B858" s="279"/>
      <c r="D858" s="279"/>
    </row>
    <row r="859" spans="1:4" ht="12.75">
      <c r="A859" s="279"/>
      <c r="B859" s="279"/>
      <c r="D859" s="279"/>
    </row>
    <row r="860" spans="1:4" ht="12.75">
      <c r="A860" s="279"/>
      <c r="B860" s="279"/>
      <c r="D860" s="279"/>
    </row>
    <row r="861" spans="1:4" ht="12.75">
      <c r="A861" s="279"/>
      <c r="B861" s="279"/>
      <c r="D861" s="279"/>
    </row>
    <row r="862" spans="1:4" ht="12.75">
      <c r="A862" s="279"/>
      <c r="B862" s="279"/>
      <c r="D862" s="279"/>
    </row>
    <row r="863" spans="1:4" ht="12.75">
      <c r="A863" s="279"/>
      <c r="B863" s="279"/>
      <c r="D863" s="279"/>
    </row>
    <row r="864" spans="1:4" ht="12.75">
      <c r="A864" s="279"/>
      <c r="B864" s="279"/>
      <c r="D864" s="279"/>
    </row>
    <row r="865" spans="1:4" ht="12.75">
      <c r="A865" s="279"/>
      <c r="B865" s="279"/>
      <c r="D865" s="279"/>
    </row>
    <row r="866" spans="1:4" ht="12.75">
      <c r="A866" s="279"/>
      <c r="B866" s="279"/>
      <c r="D866" s="279"/>
    </row>
    <row r="867" spans="1:4" ht="12.75">
      <c r="A867" s="279"/>
      <c r="B867" s="279"/>
      <c r="D867" s="279"/>
    </row>
    <row r="868" spans="1:4" ht="12.75">
      <c r="A868" s="279"/>
      <c r="B868" s="279"/>
      <c r="D868" s="279"/>
    </row>
    <row r="869" spans="1:4" ht="12.75">
      <c r="A869" s="279"/>
      <c r="B869" s="279"/>
      <c r="D869" s="279"/>
    </row>
    <row r="870" spans="1:4" ht="12.75">
      <c r="A870" s="279"/>
      <c r="B870" s="279"/>
      <c r="D870" s="279"/>
    </row>
    <row r="871" spans="1:4" ht="12.75">
      <c r="A871" s="279"/>
      <c r="B871" s="279"/>
      <c r="D871" s="279"/>
    </row>
    <row r="872" spans="1:4" ht="12.75">
      <c r="A872" s="279"/>
      <c r="B872" s="279"/>
      <c r="D872" s="279"/>
    </row>
    <row r="873" spans="1:4" ht="12.75">
      <c r="A873" s="279"/>
      <c r="B873" s="279"/>
      <c r="D873" s="279"/>
    </row>
    <row r="874" spans="1:4" ht="12.75">
      <c r="A874" s="279"/>
      <c r="B874" s="279"/>
      <c r="D874" s="279"/>
    </row>
    <row r="875" spans="1:4" ht="12.75">
      <c r="A875" s="279"/>
      <c r="B875" s="279"/>
      <c r="D875" s="279"/>
    </row>
    <row r="876" spans="1:4" ht="12.75">
      <c r="A876" s="279"/>
      <c r="B876" s="279"/>
      <c r="D876" s="279"/>
    </row>
    <row r="877" spans="1:4" ht="12.75">
      <c r="A877" s="279"/>
      <c r="B877" s="279"/>
      <c r="D877" s="279"/>
    </row>
    <row r="878" spans="1:4" ht="12.75">
      <c r="A878" s="279"/>
      <c r="B878" s="279"/>
      <c r="D878" s="279"/>
    </row>
    <row r="879" spans="1:4" ht="12.75">
      <c r="A879" s="279"/>
      <c r="B879" s="279"/>
      <c r="D879" s="279"/>
    </row>
    <row r="880" spans="1:4" ht="12.75">
      <c r="A880" s="279"/>
      <c r="B880" s="279"/>
      <c r="D880" s="279"/>
    </row>
    <row r="881" spans="1:4" ht="12.75">
      <c r="A881" s="279"/>
      <c r="B881" s="279"/>
      <c r="D881" s="279"/>
    </row>
    <row r="882" spans="1:4" ht="12.75">
      <c r="A882" s="279"/>
      <c r="B882" s="279"/>
      <c r="D882" s="279"/>
    </row>
    <row r="883" spans="1:4" ht="12.75">
      <c r="A883" s="279"/>
      <c r="B883" s="279"/>
      <c r="D883" s="279"/>
    </row>
    <row r="884" spans="1:4" ht="12.75">
      <c r="A884" s="279"/>
      <c r="B884" s="279"/>
      <c r="D884" s="279"/>
    </row>
    <row r="885" spans="1:4" ht="12.75">
      <c r="A885" s="279"/>
      <c r="B885" s="279"/>
      <c r="D885" s="279"/>
    </row>
    <row r="886" spans="1:4" ht="12.75">
      <c r="A886" s="279"/>
      <c r="B886" s="279"/>
      <c r="D886" s="279"/>
    </row>
    <row r="887" spans="1:4" ht="12.75">
      <c r="A887" s="279"/>
      <c r="B887" s="279"/>
      <c r="D887" s="279"/>
    </row>
    <row r="888" spans="1:4" ht="12.75">
      <c r="A888" s="279"/>
      <c r="B888" s="279"/>
      <c r="D888" s="279"/>
    </row>
    <row r="889" spans="1:4" ht="12.75">
      <c r="A889" s="279"/>
      <c r="B889" s="279"/>
      <c r="D889" s="279"/>
    </row>
    <row r="890" spans="1:4" ht="12.75">
      <c r="A890" s="279"/>
      <c r="B890" s="279"/>
      <c r="D890" s="279"/>
    </row>
    <row r="891" spans="1:4" ht="12.75">
      <c r="A891" s="279"/>
      <c r="B891" s="279"/>
      <c r="D891" s="279"/>
    </row>
    <row r="892" spans="1:4" ht="12.75">
      <c r="A892" s="279"/>
      <c r="B892" s="279"/>
      <c r="D892" s="279"/>
    </row>
    <row r="893" spans="1:4" ht="12.75">
      <c r="A893" s="279"/>
      <c r="B893" s="279"/>
      <c r="D893" s="279"/>
    </row>
    <row r="894" spans="1:4" ht="12.75">
      <c r="A894" s="279"/>
      <c r="B894" s="279"/>
      <c r="D894" s="279"/>
    </row>
    <row r="895" spans="1:4" ht="12.75">
      <c r="A895" s="279"/>
      <c r="B895" s="279"/>
      <c r="D895" s="279"/>
    </row>
    <row r="896" spans="1:4" ht="12.75">
      <c r="A896" s="279"/>
      <c r="B896" s="279"/>
      <c r="D896" s="279"/>
    </row>
    <row r="897" spans="1:4" ht="12.75">
      <c r="A897" s="279"/>
      <c r="B897" s="279"/>
      <c r="D897" s="279"/>
    </row>
    <row r="898" spans="1:4" ht="12.75">
      <c r="A898" s="279"/>
      <c r="B898" s="279"/>
      <c r="D898" s="279"/>
    </row>
    <row r="899" spans="1:4" ht="12.75">
      <c r="A899" s="279"/>
      <c r="B899" s="279"/>
      <c r="D899" s="279"/>
    </row>
    <row r="900" spans="1:4" ht="12.75">
      <c r="A900" s="279"/>
      <c r="B900" s="279"/>
      <c r="D900" s="279"/>
    </row>
    <row r="901" spans="1:4" ht="12.75">
      <c r="A901" s="279"/>
      <c r="B901" s="279"/>
      <c r="D901" s="279"/>
    </row>
    <row r="902" spans="1:4" ht="12.75">
      <c r="A902" s="279"/>
      <c r="B902" s="279"/>
      <c r="D902" s="279"/>
    </row>
    <row r="903" spans="1:4" ht="12.75">
      <c r="A903" s="279"/>
      <c r="B903" s="279"/>
      <c r="D903" s="279"/>
    </row>
    <row r="904" spans="1:4" ht="12.75">
      <c r="A904" s="279"/>
      <c r="B904" s="279"/>
      <c r="D904" s="279"/>
    </row>
    <row r="905" spans="1:4" ht="12.75">
      <c r="A905" s="279"/>
      <c r="B905" s="279"/>
      <c r="D905" s="279"/>
    </row>
    <row r="906" spans="1:4" ht="12.75">
      <c r="A906" s="279"/>
      <c r="B906" s="279"/>
      <c r="D906" s="279"/>
    </row>
    <row r="907" spans="1:4" ht="12.75">
      <c r="A907" s="279"/>
      <c r="B907" s="279"/>
      <c r="D907" s="279"/>
    </row>
    <row r="908" spans="1:4" ht="12.75">
      <c r="A908" s="279"/>
      <c r="B908" s="279"/>
      <c r="D908" s="279"/>
    </row>
    <row r="909" spans="1:4" ht="12.75">
      <c r="A909" s="279"/>
      <c r="B909" s="279"/>
      <c r="D909" s="279"/>
    </row>
    <row r="910" spans="1:4" ht="12.75">
      <c r="A910" s="279"/>
      <c r="B910" s="279"/>
      <c r="D910" s="279"/>
    </row>
    <row r="911" spans="1:4" ht="12.75">
      <c r="A911" s="279"/>
      <c r="B911" s="279"/>
      <c r="D911" s="279"/>
    </row>
    <row r="912" spans="1:4" ht="12.75">
      <c r="A912" s="279"/>
      <c r="B912" s="279"/>
      <c r="D912" s="279"/>
    </row>
    <row r="913" spans="1:4" ht="12.75">
      <c r="A913" s="279"/>
      <c r="B913" s="279"/>
      <c r="D913" s="279"/>
    </row>
    <row r="914" spans="1:4" ht="12.75">
      <c r="A914" s="279"/>
      <c r="B914" s="279"/>
      <c r="D914" s="279"/>
    </row>
    <row r="915" spans="1:4" ht="12.75">
      <c r="A915" s="279"/>
      <c r="B915" s="279"/>
      <c r="D915" s="279"/>
    </row>
    <row r="916" spans="1:4" ht="12.75">
      <c r="A916" s="279"/>
      <c r="B916" s="279"/>
      <c r="D916" s="279"/>
    </row>
    <row r="917" spans="1:4" ht="12.75">
      <c r="A917" s="279"/>
      <c r="B917" s="279"/>
      <c r="D917" s="279"/>
    </row>
    <row r="918" spans="1:4" ht="12.75">
      <c r="A918" s="279"/>
      <c r="B918" s="279"/>
      <c r="D918" s="279"/>
    </row>
    <row r="919" spans="1:4" ht="12.75">
      <c r="A919" s="279"/>
      <c r="B919" s="279"/>
      <c r="D919" s="279"/>
    </row>
    <row r="920" spans="1:4" ht="12.75">
      <c r="A920" s="279"/>
      <c r="B920" s="279"/>
      <c r="D920" s="279"/>
    </row>
    <row r="921" spans="1:4" ht="12.75">
      <c r="A921" s="279"/>
      <c r="B921" s="279"/>
      <c r="D921" s="279"/>
    </row>
    <row r="922" spans="1:4" ht="12.75">
      <c r="A922" s="279"/>
      <c r="B922" s="279"/>
      <c r="D922" s="279"/>
    </row>
    <row r="923" spans="1:4" ht="12.75">
      <c r="A923" s="279"/>
      <c r="B923" s="279"/>
      <c r="D923" s="279"/>
    </row>
    <row r="924" spans="1:4" ht="12.75">
      <c r="A924" s="279"/>
      <c r="B924" s="279"/>
      <c r="D924" s="279"/>
    </row>
    <row r="925" spans="1:4" ht="12.75">
      <c r="A925" s="279"/>
      <c r="B925" s="279"/>
      <c r="D925" s="279"/>
    </row>
    <row r="926" spans="1:4" ht="12.75">
      <c r="A926" s="279"/>
      <c r="B926" s="279"/>
      <c r="D926" s="279"/>
    </row>
    <row r="927" spans="1:4" ht="12.75">
      <c r="A927" s="279"/>
      <c r="B927" s="279"/>
      <c r="D927" s="279"/>
    </row>
    <row r="928" spans="1:4" ht="12.75">
      <c r="A928" s="279"/>
      <c r="B928" s="279"/>
      <c r="D928" s="279"/>
    </row>
    <row r="929" spans="1:4" ht="12.75">
      <c r="A929" s="279"/>
      <c r="B929" s="279"/>
      <c r="D929" s="279"/>
    </row>
    <row r="930" spans="1:4" ht="12.75">
      <c r="A930" s="279"/>
      <c r="B930" s="279"/>
      <c r="D930" s="279"/>
    </row>
    <row r="931" spans="1:4" ht="12.75">
      <c r="A931" s="279"/>
      <c r="B931" s="279"/>
      <c r="D931" s="279"/>
    </row>
    <row r="932" spans="1:4" ht="12.75">
      <c r="A932" s="279"/>
      <c r="B932" s="279"/>
      <c r="D932" s="279"/>
    </row>
    <row r="933" spans="1:4" ht="12.75">
      <c r="A933" s="279"/>
      <c r="B933" s="279"/>
      <c r="D933" s="279"/>
    </row>
    <row r="934" spans="1:4" ht="12.75">
      <c r="A934" s="279"/>
      <c r="B934" s="279"/>
      <c r="D934" s="279"/>
    </row>
    <row r="935" spans="1:4" ht="12.75">
      <c r="A935" s="279"/>
      <c r="B935" s="279"/>
      <c r="D935" s="279"/>
    </row>
    <row r="936" spans="1:4" ht="12.75">
      <c r="A936" s="279"/>
      <c r="B936" s="279"/>
      <c r="D936" s="279"/>
    </row>
    <row r="937" spans="1:4" ht="12.75">
      <c r="A937" s="279"/>
      <c r="B937" s="279"/>
      <c r="D937" s="279"/>
    </row>
    <row r="938" spans="1:4" ht="12.75">
      <c r="A938" s="279"/>
      <c r="B938" s="279"/>
      <c r="D938" s="279"/>
    </row>
    <row r="939" spans="1:4" ht="12.75">
      <c r="A939" s="279"/>
      <c r="B939" s="279"/>
      <c r="D939" s="279"/>
    </row>
    <row r="940" spans="1:4" ht="12.75">
      <c r="A940" s="279"/>
      <c r="B940" s="279"/>
      <c r="D940" s="279"/>
    </row>
    <row r="941" spans="1:4" ht="12.75">
      <c r="A941" s="279"/>
      <c r="B941" s="279"/>
      <c r="D941" s="279"/>
    </row>
    <row r="942" spans="1:4" ht="12.75">
      <c r="A942" s="279"/>
      <c r="B942" s="279"/>
      <c r="D942" s="279"/>
    </row>
    <row r="943" spans="1:4" ht="12.75">
      <c r="A943" s="279"/>
      <c r="B943" s="279"/>
      <c r="D943" s="279"/>
    </row>
    <row r="944" spans="1:4" ht="12.75">
      <c r="A944" s="279"/>
      <c r="B944" s="279"/>
      <c r="D944" s="279"/>
    </row>
    <row r="945" spans="1:4" ht="12.75">
      <c r="A945" s="279"/>
      <c r="B945" s="279"/>
      <c r="D945" s="279"/>
    </row>
    <row r="946" spans="1:4" ht="12.75">
      <c r="A946" s="279"/>
      <c r="B946" s="279"/>
      <c r="D946" s="279"/>
    </row>
    <row r="947" spans="1:4" ht="12.75">
      <c r="A947" s="279"/>
      <c r="B947" s="279"/>
      <c r="D947" s="279"/>
    </row>
    <row r="948" spans="1:4" ht="12.75">
      <c r="A948" s="279"/>
      <c r="B948" s="279"/>
      <c r="D948" s="279"/>
    </row>
    <row r="949" spans="1:4" ht="12.75">
      <c r="A949" s="279"/>
      <c r="B949" s="279"/>
      <c r="D949" s="279"/>
    </row>
    <row r="950" spans="1:4" ht="12.75">
      <c r="A950" s="279"/>
      <c r="B950" s="279"/>
      <c r="D950" s="279"/>
    </row>
    <row r="951" spans="1:4" ht="12.75">
      <c r="A951" s="279"/>
      <c r="B951" s="279"/>
      <c r="D951" s="279"/>
    </row>
    <row r="952" spans="1:4" ht="12.75">
      <c r="A952" s="279"/>
      <c r="B952" s="279"/>
      <c r="D952" s="279"/>
    </row>
    <row r="953" spans="1:4" ht="12.75">
      <c r="A953" s="279"/>
      <c r="B953" s="279"/>
      <c r="D953" s="279"/>
    </row>
    <row r="954" spans="1:4" ht="12.75">
      <c r="A954" s="279"/>
      <c r="B954" s="279"/>
      <c r="D954" s="279"/>
    </row>
    <row r="955" spans="1:4" ht="12.75">
      <c r="A955" s="279"/>
      <c r="B955" s="279"/>
      <c r="D955" s="279"/>
    </row>
    <row r="956" spans="1:4" ht="12.75">
      <c r="A956" s="279"/>
      <c r="B956" s="279"/>
      <c r="D956" s="279"/>
    </row>
    <row r="957" spans="1:4" ht="12.75">
      <c r="A957" s="279"/>
      <c r="B957" s="279"/>
      <c r="D957" s="279"/>
    </row>
    <row r="958" spans="1:4" ht="12.75">
      <c r="A958" s="279"/>
      <c r="B958" s="279"/>
      <c r="D958" s="279"/>
    </row>
    <row r="959" spans="1:4" ht="12.75">
      <c r="A959" s="279"/>
      <c r="B959" s="279"/>
      <c r="D959" s="279"/>
    </row>
    <row r="960" spans="1:4" ht="12.75">
      <c r="A960" s="279"/>
      <c r="B960" s="279"/>
      <c r="D960" s="279"/>
    </row>
    <row r="961" spans="1:4" ht="12.75">
      <c r="A961" s="279"/>
      <c r="B961" s="279"/>
      <c r="D961" s="279"/>
    </row>
    <row r="962" spans="1:4" ht="12.75">
      <c r="A962" s="279"/>
      <c r="B962" s="279"/>
      <c r="D962" s="279"/>
    </row>
    <row r="963" spans="1:4" ht="12.75">
      <c r="A963" s="279"/>
      <c r="B963" s="279"/>
      <c r="D963" s="279"/>
    </row>
    <row r="964" spans="1:4" ht="12.75">
      <c r="A964" s="279"/>
      <c r="B964" s="279"/>
      <c r="D964" s="279"/>
    </row>
    <row r="965" spans="1:4" ht="12.75">
      <c r="A965" s="279"/>
      <c r="B965" s="279"/>
      <c r="D965" s="279"/>
    </row>
    <row r="966" spans="1:4" ht="12.75">
      <c r="A966" s="279"/>
      <c r="B966" s="279"/>
      <c r="D966" s="279"/>
    </row>
    <row r="967" spans="1:4" ht="12.75">
      <c r="A967" s="279"/>
      <c r="B967" s="279"/>
      <c r="D967" s="279"/>
    </row>
    <row r="968" spans="1:4" ht="12.75">
      <c r="A968" s="279"/>
      <c r="B968" s="279"/>
      <c r="D968" s="279"/>
    </row>
    <row r="969" spans="1:4" ht="12.75">
      <c r="A969" s="279"/>
      <c r="B969" s="279"/>
      <c r="D969" s="279"/>
    </row>
    <row r="970" spans="1:4" ht="12.75">
      <c r="A970" s="279"/>
      <c r="B970" s="279"/>
      <c r="D970" s="279"/>
    </row>
    <row r="971" spans="1:4" ht="12.75">
      <c r="A971" s="279"/>
      <c r="B971" s="279"/>
      <c r="D971" s="279"/>
    </row>
    <row r="972" spans="1:4" ht="12.75">
      <c r="A972" s="279"/>
      <c r="B972" s="279"/>
      <c r="D972" s="279"/>
    </row>
    <row r="973" spans="1:4" ht="12.75">
      <c r="A973" s="279"/>
      <c r="B973" s="279"/>
      <c r="D973" s="279"/>
    </row>
    <row r="974" spans="1:4" ht="12.75">
      <c r="A974" s="279"/>
      <c r="B974" s="279"/>
      <c r="D974" s="279"/>
    </row>
    <row r="975" spans="1:4" ht="12.75">
      <c r="A975" s="279"/>
      <c r="B975" s="279"/>
      <c r="D975" s="279"/>
    </row>
    <row r="976" spans="1:4" ht="12.75">
      <c r="A976" s="279"/>
      <c r="B976" s="279"/>
      <c r="D976" s="279"/>
    </row>
    <row r="977" spans="1:4" ht="12.75">
      <c r="A977" s="279"/>
      <c r="B977" s="279"/>
      <c r="D977" s="279"/>
    </row>
    <row r="978" spans="1:4" ht="12.75">
      <c r="A978" s="279"/>
      <c r="B978" s="279"/>
      <c r="D978" s="279"/>
    </row>
    <row r="979" spans="1:4" ht="12.75">
      <c r="A979" s="279"/>
      <c r="B979" s="279"/>
      <c r="D979" s="279"/>
    </row>
    <row r="980" spans="1:4" ht="12.75">
      <c r="A980" s="279"/>
      <c r="B980" s="279"/>
      <c r="D980" s="279"/>
    </row>
    <row r="981" spans="1:4" ht="12.75">
      <c r="A981" s="279"/>
      <c r="B981" s="279"/>
      <c r="D981" s="279"/>
    </row>
    <row r="982" spans="1:4" ht="12.75">
      <c r="A982" s="279"/>
      <c r="B982" s="279"/>
      <c r="D982" s="279"/>
    </row>
    <row r="983" spans="1:4" ht="12.75">
      <c r="A983" s="279"/>
      <c r="B983" s="279"/>
      <c r="D983" s="279"/>
    </row>
    <row r="984" spans="1:4" ht="12.75">
      <c r="A984" s="279"/>
      <c r="B984" s="279"/>
      <c r="D984" s="279"/>
    </row>
    <row r="985" spans="1:4" ht="12.75">
      <c r="A985" s="279"/>
      <c r="B985" s="279"/>
      <c r="D985" s="279"/>
    </row>
    <row r="986" spans="1:4" ht="12.75">
      <c r="A986" s="279"/>
      <c r="B986" s="279"/>
      <c r="D986" s="279"/>
    </row>
    <row r="987" spans="1:4" ht="12.75">
      <c r="A987" s="279"/>
      <c r="B987" s="279"/>
      <c r="D987" s="279"/>
    </row>
    <row r="988" spans="1:4" ht="12.75">
      <c r="A988" s="279"/>
      <c r="B988" s="279"/>
      <c r="D988" s="279"/>
    </row>
    <row r="989" spans="1:4" ht="12.75">
      <c r="A989" s="279"/>
      <c r="B989" s="279"/>
      <c r="D989" s="279"/>
    </row>
    <row r="990" spans="1:4" ht="12.75">
      <c r="A990" s="279"/>
      <c r="B990" s="279"/>
      <c r="D990" s="279"/>
    </row>
    <row r="991" spans="1:4" ht="12.75">
      <c r="A991" s="279"/>
      <c r="B991" s="279"/>
      <c r="D991" s="279"/>
    </row>
    <row r="992" spans="1:4" ht="12.75">
      <c r="A992" s="279"/>
      <c r="B992" s="279"/>
      <c r="D992" s="279"/>
    </row>
    <row r="993" spans="1:4" ht="12.75">
      <c r="A993" s="279"/>
      <c r="B993" s="279"/>
      <c r="D993" s="279"/>
    </row>
    <row r="994" spans="1:4" ht="12.75">
      <c r="A994" s="279"/>
      <c r="B994" s="279"/>
      <c r="D994" s="279"/>
    </row>
    <row r="995" spans="1:4" ht="12.75">
      <c r="A995" s="279"/>
      <c r="B995" s="279"/>
      <c r="D995" s="279"/>
    </row>
    <row r="996" spans="1:4" ht="12.75">
      <c r="A996" s="279"/>
      <c r="B996" s="279"/>
      <c r="D996" s="279"/>
    </row>
    <row r="997" spans="1:4" ht="12.75">
      <c r="A997" s="279"/>
      <c r="B997" s="279"/>
      <c r="D997" s="279"/>
    </row>
    <row r="998" spans="1:4" ht="12.75">
      <c r="A998" s="279"/>
      <c r="B998" s="279"/>
      <c r="D998" s="279"/>
    </row>
    <row r="999" spans="1:4" ht="12.75">
      <c r="A999" s="279"/>
      <c r="B999" s="279"/>
      <c r="D999" s="279"/>
    </row>
    <row r="1000" spans="1:4" ht="12.75">
      <c r="A1000" s="279"/>
      <c r="B1000" s="279"/>
      <c r="D1000" s="279"/>
    </row>
  </sheetData>
  <mergeCells count="40">
    <mergeCell ref="A58:C58"/>
    <mergeCell ref="A59:C59"/>
    <mergeCell ref="A60:C60"/>
    <mergeCell ref="A49:B49"/>
    <mergeCell ref="A50:B50"/>
    <mergeCell ref="A51:B51"/>
    <mergeCell ref="A52:C52"/>
    <mergeCell ref="A53:C53"/>
    <mergeCell ref="A54:C54"/>
    <mergeCell ref="A55:C55"/>
    <mergeCell ref="A46:B46"/>
    <mergeCell ref="A47:B47"/>
    <mergeCell ref="A48:B48"/>
    <mergeCell ref="A56:C56"/>
    <mergeCell ref="A57:C57"/>
    <mergeCell ref="A41:B41"/>
    <mergeCell ref="A42:B42"/>
    <mergeCell ref="A43:B43"/>
    <mergeCell ref="A44:B44"/>
    <mergeCell ref="A45:B45"/>
    <mergeCell ref="A35:B35"/>
    <mergeCell ref="A36:B36"/>
    <mergeCell ref="A37:B37"/>
    <mergeCell ref="A38:B38"/>
    <mergeCell ref="A39:B40"/>
    <mergeCell ref="A30:B30"/>
    <mergeCell ref="A31:B31"/>
    <mergeCell ref="A32:B32"/>
    <mergeCell ref="A33:B33"/>
    <mergeCell ref="A34:B34"/>
    <mergeCell ref="A25:B25"/>
    <mergeCell ref="A26:B26"/>
    <mergeCell ref="A27:B27"/>
    <mergeCell ref="A28:B28"/>
    <mergeCell ref="A29:B29"/>
    <mergeCell ref="A1:C1"/>
    <mergeCell ref="A13:C13"/>
    <mergeCell ref="A22:C22"/>
    <mergeCell ref="A23:B23"/>
    <mergeCell ref="A24:B24"/>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workbookViewId="0"/>
  </sheetViews>
  <sheetFormatPr defaultColWidth="12.5703125" defaultRowHeight="15.75" customHeight="1"/>
  <cols>
    <col min="1" max="1" width="16.140625" customWidth="1"/>
    <col min="2" max="2" width="31.5703125" customWidth="1"/>
    <col min="3" max="3" width="5.85546875" customWidth="1"/>
    <col min="4" max="4" width="74.42578125" customWidth="1"/>
    <col min="5" max="5" width="11.42578125" customWidth="1"/>
    <col min="6" max="6" width="85.140625" customWidth="1"/>
    <col min="11" max="11" width="94" customWidth="1"/>
  </cols>
  <sheetData>
    <row r="1" spans="1:26" ht="15.75" customHeight="1">
      <c r="A1" s="1126"/>
      <c r="B1" s="1127"/>
      <c r="C1" s="1127"/>
      <c r="D1" s="1127"/>
      <c r="E1" s="1127"/>
      <c r="F1" s="1127"/>
      <c r="G1" s="1127"/>
      <c r="H1" s="1127"/>
      <c r="I1" s="1127"/>
      <c r="J1" s="1127"/>
      <c r="K1" s="55"/>
      <c r="L1" s="55"/>
      <c r="M1" s="55"/>
      <c r="N1" s="55"/>
      <c r="O1" s="55"/>
      <c r="P1" s="55"/>
      <c r="Q1" s="55"/>
      <c r="R1" s="55"/>
      <c r="S1" s="55"/>
      <c r="T1" s="55"/>
      <c r="U1" s="55"/>
      <c r="V1" s="55"/>
      <c r="W1" s="55"/>
      <c r="X1" s="55"/>
      <c r="Y1" s="55"/>
      <c r="Z1" s="55"/>
    </row>
    <row r="2" spans="1:26" ht="15.75" customHeight="1">
      <c r="A2" s="1542" t="s">
        <v>4154</v>
      </c>
      <c r="B2" s="1479"/>
      <c r="C2" s="1479"/>
      <c r="D2" s="1479"/>
      <c r="E2" s="1479"/>
      <c r="F2" s="1479"/>
      <c r="G2" s="1479"/>
      <c r="H2" s="1479"/>
      <c r="I2" s="1479"/>
      <c r="J2" s="1479"/>
      <c r="K2" s="55"/>
      <c r="L2" s="55"/>
      <c r="M2" s="55"/>
      <c r="N2" s="55"/>
      <c r="O2" s="55"/>
      <c r="P2" s="55"/>
      <c r="Q2" s="55"/>
      <c r="R2" s="55"/>
      <c r="S2" s="55"/>
      <c r="T2" s="55"/>
      <c r="U2" s="55"/>
      <c r="V2" s="55"/>
      <c r="W2" s="55"/>
      <c r="X2" s="55"/>
      <c r="Y2" s="55"/>
      <c r="Z2" s="55"/>
    </row>
    <row r="3" spans="1:26" ht="15.75" customHeight="1">
      <c r="A3" s="1128" t="s">
        <v>320</v>
      </c>
      <c r="B3" s="1129" t="s">
        <v>4155</v>
      </c>
      <c r="C3" s="1129" t="s">
        <v>944</v>
      </c>
      <c r="D3" s="1129"/>
      <c r="E3" s="1129" t="s">
        <v>4156</v>
      </c>
      <c r="F3" s="1543" t="s">
        <v>80</v>
      </c>
      <c r="G3" s="1479"/>
      <c r="H3" s="1479"/>
      <c r="I3" s="1479"/>
      <c r="J3" s="1479"/>
      <c r="K3" s="76" t="s">
        <v>4094</v>
      </c>
      <c r="L3" s="55"/>
      <c r="M3" s="55"/>
      <c r="N3" s="55"/>
      <c r="O3" s="55"/>
      <c r="P3" s="55"/>
      <c r="Q3" s="55"/>
      <c r="R3" s="55"/>
      <c r="S3" s="55"/>
      <c r="T3" s="55"/>
      <c r="U3" s="55"/>
      <c r="V3" s="55"/>
      <c r="W3" s="55"/>
      <c r="X3" s="55"/>
      <c r="Y3" s="55"/>
      <c r="Z3" s="55"/>
    </row>
    <row r="4" spans="1:26" ht="15.75" customHeight="1">
      <c r="A4" s="1130">
        <v>1</v>
      </c>
      <c r="B4" s="1131" t="s">
        <v>4157</v>
      </c>
      <c r="C4" s="1132">
        <v>1</v>
      </c>
      <c r="D4" s="1133" t="s">
        <v>4158</v>
      </c>
      <c r="E4" s="1132"/>
      <c r="F4" s="1540" t="s">
        <v>4159</v>
      </c>
      <c r="G4" s="1451"/>
      <c r="H4" s="1451"/>
      <c r="I4" s="1451"/>
      <c r="J4" s="1451"/>
      <c r="K4" s="55" t="str">
        <f t="shared" ref="K4:K7" si="0">"(QTY "&amp;C4&amp;") "&amp;D4&amp;"
"&amp;F4</f>
        <v>(QTY 1) All-in-One Security Management Platform for Enterprise
Easy to Use
 · All-in-One, Plug &amp; Play.
 · Performs unified management of video, access control,
 video intercoms, alarm controller, ANPR camera and face
 recognition camera through one DSS7016DR-S2.
 Powerful
 · Up to 1,000 video channels per server.
 · Up to 5,000 video channels via distributed deployment.
 · Up to 2,000 video intercoms per server.
 High Storage Performance
 · 15 built-in storage disk interface.
 · Up to 200TB per server, maximum 1PB through distributed
 deployment.
 · Up to 600Mbps storage bandwidth.
 Stable and Reliable
 · Hot standby system design.
 · Dahua’s unique N+M redundancy mode.
 · Redundant power design of DSS7016DR-S2 makes the system
 more stable</v>
      </c>
      <c r="L4" s="55"/>
      <c r="M4" s="55"/>
      <c r="N4" s="55"/>
      <c r="O4" s="55"/>
      <c r="P4" s="55"/>
      <c r="Q4" s="55"/>
      <c r="R4" s="55"/>
      <c r="S4" s="55"/>
      <c r="T4" s="55"/>
      <c r="U4" s="55"/>
      <c r="V4" s="55"/>
      <c r="W4" s="55"/>
      <c r="X4" s="55"/>
      <c r="Y4" s="55"/>
      <c r="Z4" s="55"/>
    </row>
    <row r="5" spans="1:26" ht="15.75" customHeight="1">
      <c r="A5" s="1130">
        <v>2</v>
      </c>
      <c r="B5" s="1131" t="s">
        <v>4160</v>
      </c>
      <c r="C5" s="1132">
        <v>1</v>
      </c>
      <c r="D5" s="1133" t="s">
        <v>4161</v>
      </c>
      <c r="E5" s="1134"/>
      <c r="F5" s="1540" t="s">
        <v>4162</v>
      </c>
      <c r="G5" s="1451"/>
      <c r="H5" s="1451"/>
      <c r="I5" s="1451"/>
      <c r="J5" s="1518"/>
      <c r="K5" s="55" t="str">
        <f t="shared" si="0"/>
        <v>(QTY 1) 3.5 SATA HDD
10TB
3.5 SATA HDD
Enterprise X16 HDD 512E SATA</v>
      </c>
      <c r="L5" s="55"/>
      <c r="M5" s="55"/>
      <c r="N5" s="55"/>
      <c r="O5" s="55"/>
      <c r="P5" s="55"/>
      <c r="Q5" s="55"/>
      <c r="R5" s="55"/>
      <c r="S5" s="55"/>
      <c r="T5" s="55"/>
      <c r="U5" s="55"/>
      <c r="V5" s="55"/>
      <c r="W5" s="55"/>
      <c r="X5" s="55"/>
      <c r="Y5" s="55"/>
      <c r="Z5" s="55"/>
    </row>
    <row r="6" spans="1:26" ht="15.75" customHeight="1">
      <c r="A6" s="1130">
        <v>3</v>
      </c>
      <c r="B6" s="1132" t="s">
        <v>4163</v>
      </c>
      <c r="C6" s="1132">
        <v>1</v>
      </c>
      <c r="D6" s="1133" t="s">
        <v>4164</v>
      </c>
      <c r="E6" s="1132"/>
      <c r="F6" s="1540" t="s">
        <v>4165</v>
      </c>
      <c r="G6" s="1451"/>
      <c r="H6" s="1451"/>
      <c r="I6" s="1451"/>
      <c r="J6" s="1451"/>
      <c r="K6" s="55" t="str">
        <f t="shared" si="0"/>
        <v>(QTY 1) Layer 3 Managed Switch
Rich layer 3 features
High availability
Excellent manageability
Power saving design
Comprehensive security control policies
Support Intelligent Resilient Framework
Reliable hardware design with modular dual power supply
48 High-density 10/100/1000Base-T autosensing Ethernet ports and GE/10GE SFP + fiber ports onboard</v>
      </c>
      <c r="L6" s="55"/>
      <c r="M6" s="55"/>
      <c r="N6" s="55"/>
      <c r="O6" s="55"/>
      <c r="P6" s="55"/>
      <c r="Q6" s="55"/>
      <c r="R6" s="55"/>
      <c r="S6" s="55"/>
      <c r="T6" s="55"/>
      <c r="U6" s="55"/>
      <c r="V6" s="55"/>
      <c r="W6" s="55"/>
      <c r="X6" s="55"/>
      <c r="Y6" s="55"/>
      <c r="Z6" s="55"/>
    </row>
    <row r="7" spans="1:26" ht="15.75" customHeight="1">
      <c r="A7" s="1130">
        <v>4</v>
      </c>
      <c r="B7" s="1132" t="s">
        <v>4166</v>
      </c>
      <c r="C7" s="1132">
        <v>1</v>
      </c>
      <c r="D7" s="1133" t="s">
        <v>4167</v>
      </c>
      <c r="E7" s="1132"/>
      <c r="F7" s="1540" t="s">
        <v>4168</v>
      </c>
      <c r="G7" s="1451"/>
      <c r="H7" s="1451"/>
      <c r="I7" s="1451"/>
      <c r="J7" s="1451"/>
      <c r="K7" s="55" t="str">
        <f t="shared" si="0"/>
        <v>(QTY 1) Ultra-HD Network Video Decoder
Standard 2.5U case, elegant appearance
Plug-in board design, easy to use and maintain
H.265+/ H.265/ H.264/ MPEG4/ MPEG2/ MJPEG video decoding
Ultra-high decoding ability, up to 32 Megapixels
2ch HDMI and 2ch DVI-I input, supports 4K collection
Supports 1/4/6/8/9/16/25/36 and free split
Supports alarm, RS232, RS485
Splicing screens control for zoom/merge/roam/overlay
Support redundant power, stable and reliable</v>
      </c>
      <c r="L7" s="55"/>
      <c r="M7" s="55"/>
      <c r="N7" s="55"/>
      <c r="O7" s="55"/>
      <c r="P7" s="55"/>
      <c r="Q7" s="55"/>
      <c r="R7" s="55"/>
      <c r="S7" s="55"/>
      <c r="T7" s="55"/>
      <c r="U7" s="55"/>
      <c r="V7" s="55"/>
      <c r="W7" s="55"/>
      <c r="X7" s="55"/>
      <c r="Y7" s="55"/>
      <c r="Z7" s="55"/>
    </row>
    <row r="8" spans="1:26" ht="15.75" customHeight="1">
      <c r="A8" s="1130"/>
      <c r="B8" s="1127"/>
      <c r="C8" s="1127"/>
      <c r="D8" s="1127"/>
      <c r="E8" s="1127"/>
      <c r="F8" s="1127"/>
      <c r="G8" s="1127"/>
      <c r="H8" s="1127"/>
      <c r="I8" s="1127"/>
      <c r="J8" s="1127"/>
      <c r="K8" s="55"/>
      <c r="L8" s="55"/>
      <c r="M8" s="55"/>
      <c r="N8" s="55"/>
      <c r="O8" s="55"/>
      <c r="P8" s="55"/>
      <c r="Q8" s="55"/>
      <c r="R8" s="55"/>
      <c r="S8" s="55"/>
      <c r="T8" s="55"/>
      <c r="U8" s="55"/>
      <c r="V8" s="55"/>
      <c r="W8" s="55"/>
      <c r="X8" s="55"/>
      <c r="Y8" s="55"/>
      <c r="Z8" s="55"/>
    </row>
    <row r="9" spans="1:26" ht="15.75" customHeight="1">
      <c r="A9" s="1541"/>
      <c r="B9" s="1451"/>
      <c r="C9" s="1451"/>
      <c r="D9" s="1451"/>
      <c r="E9" s="1451"/>
      <c r="F9" s="1451"/>
      <c r="G9" s="1451"/>
      <c r="H9" s="1451"/>
      <c r="I9" s="1451"/>
      <c r="J9" s="1451"/>
      <c r="K9" s="55"/>
      <c r="L9" s="55"/>
      <c r="M9" s="55"/>
      <c r="N9" s="55"/>
      <c r="O9" s="55"/>
      <c r="P9" s="55"/>
      <c r="Q9" s="55"/>
      <c r="R9" s="55"/>
      <c r="S9" s="55"/>
      <c r="T9" s="55"/>
      <c r="U9" s="55"/>
      <c r="V9" s="55"/>
      <c r="W9" s="55"/>
      <c r="X9" s="55"/>
      <c r="Y9" s="55"/>
      <c r="Z9" s="55"/>
    </row>
    <row r="10" spans="1:26" ht="15.75" customHeight="1">
      <c r="A10" s="1127"/>
      <c r="B10" s="1127"/>
      <c r="C10" s="1127"/>
      <c r="D10" s="1127"/>
      <c r="E10" s="1127"/>
      <c r="F10" s="1127"/>
      <c r="G10" s="1127"/>
      <c r="H10" s="1127"/>
      <c r="I10" s="1127"/>
      <c r="J10" s="1127"/>
      <c r="K10" s="55"/>
      <c r="L10" s="55"/>
      <c r="M10" s="55"/>
      <c r="N10" s="55"/>
      <c r="O10" s="55"/>
      <c r="P10" s="55"/>
      <c r="Q10" s="55"/>
      <c r="R10" s="55"/>
      <c r="S10" s="55"/>
      <c r="T10" s="55"/>
      <c r="U10" s="55"/>
      <c r="V10" s="55"/>
      <c r="W10" s="55"/>
      <c r="X10" s="55"/>
      <c r="Y10" s="55"/>
      <c r="Z10" s="55"/>
    </row>
    <row r="11" spans="1:26" ht="15.75" customHeight="1">
      <c r="A11" s="1127"/>
      <c r="B11" s="1127"/>
      <c r="C11" s="1127"/>
      <c r="D11" s="1127"/>
      <c r="E11" s="1127"/>
      <c r="F11" s="1127"/>
      <c r="G11" s="1127"/>
      <c r="H11" s="1127"/>
      <c r="I11" s="1127"/>
      <c r="J11" s="1127"/>
      <c r="K11" s="55"/>
      <c r="L11" s="55"/>
      <c r="M11" s="55"/>
      <c r="N11" s="55"/>
      <c r="O11" s="55"/>
      <c r="P11" s="55"/>
      <c r="Q11" s="55"/>
      <c r="R11" s="55"/>
      <c r="S11" s="55"/>
      <c r="T11" s="55"/>
      <c r="U11" s="55"/>
      <c r="V11" s="55"/>
      <c r="W11" s="55"/>
      <c r="X11" s="55"/>
      <c r="Y11" s="55"/>
      <c r="Z11" s="55"/>
    </row>
    <row r="12" spans="1:26" ht="15.75" customHeight="1">
      <c r="A12" s="1127"/>
      <c r="B12" s="1127"/>
      <c r="C12" s="1127"/>
      <c r="D12" s="1127"/>
      <c r="E12" s="1127"/>
      <c r="F12" s="1127"/>
      <c r="G12" s="1127"/>
      <c r="H12" s="1127"/>
      <c r="I12" s="1127"/>
      <c r="J12" s="1127"/>
      <c r="K12" s="55"/>
      <c r="L12" s="55"/>
      <c r="M12" s="55"/>
      <c r="N12" s="55"/>
      <c r="O12" s="55"/>
      <c r="P12" s="55"/>
      <c r="Q12" s="55"/>
      <c r="R12" s="55"/>
      <c r="S12" s="55"/>
      <c r="T12" s="55"/>
      <c r="U12" s="55"/>
      <c r="V12" s="55"/>
      <c r="W12" s="55"/>
      <c r="X12" s="55"/>
      <c r="Y12" s="55"/>
      <c r="Z12" s="55"/>
    </row>
    <row r="13" spans="1:26" ht="15.75" customHeight="1">
      <c r="A13" s="1127"/>
      <c r="B13" s="1127"/>
      <c r="C13" s="1127"/>
      <c r="D13" s="1127"/>
      <c r="E13" s="1127"/>
      <c r="F13" s="1127"/>
      <c r="G13" s="1127"/>
      <c r="H13" s="1127"/>
      <c r="I13" s="1127"/>
      <c r="J13" s="1127"/>
      <c r="K13" s="55"/>
      <c r="L13" s="55"/>
      <c r="M13" s="55"/>
      <c r="N13" s="55"/>
      <c r="O13" s="55"/>
      <c r="P13" s="55"/>
      <c r="Q13" s="55"/>
      <c r="R13" s="55"/>
      <c r="S13" s="55"/>
      <c r="T13" s="55"/>
      <c r="U13" s="55"/>
      <c r="V13" s="55"/>
      <c r="W13" s="55"/>
      <c r="X13" s="55"/>
      <c r="Y13" s="55"/>
      <c r="Z13" s="55"/>
    </row>
    <row r="14" spans="1:26" ht="15.75" customHeight="1">
      <c r="A14" s="1127"/>
      <c r="B14" s="1127"/>
      <c r="C14" s="1127"/>
      <c r="D14" s="1127"/>
      <c r="E14" s="1127"/>
      <c r="F14" s="1127"/>
      <c r="G14" s="1127"/>
      <c r="H14" s="1127"/>
      <c r="I14" s="1127"/>
      <c r="J14" s="1127"/>
      <c r="K14" s="55"/>
      <c r="L14" s="55"/>
      <c r="M14" s="55"/>
      <c r="N14" s="55"/>
      <c r="O14" s="55"/>
      <c r="P14" s="55"/>
      <c r="Q14" s="55"/>
      <c r="R14" s="55"/>
      <c r="S14" s="55"/>
      <c r="T14" s="55"/>
      <c r="U14" s="55"/>
      <c r="V14" s="55"/>
      <c r="W14" s="55"/>
      <c r="X14" s="55"/>
      <c r="Y14" s="55"/>
      <c r="Z14" s="55"/>
    </row>
    <row r="15" spans="1:26" ht="15.75" customHeight="1">
      <c r="A15" s="1127"/>
      <c r="B15" s="1127"/>
      <c r="C15" s="1127"/>
      <c r="D15" s="1127"/>
      <c r="E15" s="1127"/>
      <c r="F15" s="1127"/>
      <c r="G15" s="1127"/>
      <c r="H15" s="1127"/>
      <c r="I15" s="1127"/>
      <c r="J15" s="1127"/>
      <c r="K15" s="55"/>
      <c r="L15" s="55"/>
      <c r="M15" s="55"/>
      <c r="N15" s="55"/>
      <c r="O15" s="55"/>
      <c r="P15" s="55"/>
      <c r="Q15" s="55"/>
      <c r="R15" s="55"/>
      <c r="S15" s="55"/>
      <c r="T15" s="55"/>
      <c r="U15" s="55"/>
      <c r="V15" s="55"/>
      <c r="W15" s="55"/>
      <c r="X15" s="55"/>
      <c r="Y15" s="55"/>
      <c r="Z15" s="55"/>
    </row>
    <row r="16" spans="1:26" ht="15.75" customHeight="1">
      <c r="A16" s="1127"/>
      <c r="B16" s="1127"/>
      <c r="C16" s="1127"/>
      <c r="D16" s="1127"/>
      <c r="E16" s="1127"/>
      <c r="F16" s="1127"/>
      <c r="G16" s="1127"/>
      <c r="H16" s="1127"/>
      <c r="I16" s="1127"/>
      <c r="J16" s="1127"/>
      <c r="K16" s="55"/>
      <c r="L16" s="55"/>
      <c r="M16" s="55"/>
      <c r="N16" s="55"/>
      <c r="O16" s="55"/>
      <c r="P16" s="55"/>
      <c r="Q16" s="55"/>
      <c r="R16" s="55"/>
      <c r="S16" s="55"/>
      <c r="T16" s="55"/>
      <c r="U16" s="55"/>
      <c r="V16" s="55"/>
      <c r="W16" s="55"/>
      <c r="X16" s="55"/>
      <c r="Y16" s="55"/>
      <c r="Z16" s="55"/>
    </row>
    <row r="17" spans="1:26" ht="15.75" customHeight="1">
      <c r="A17" s="1127"/>
      <c r="B17" s="1127"/>
      <c r="C17" s="1127"/>
      <c r="D17" s="1127"/>
      <c r="E17" s="1127"/>
      <c r="F17" s="1127"/>
      <c r="G17" s="1127"/>
      <c r="H17" s="1127"/>
      <c r="I17" s="1127"/>
      <c r="J17" s="1127"/>
      <c r="K17" s="55"/>
      <c r="L17" s="55"/>
      <c r="M17" s="55"/>
      <c r="N17" s="55"/>
      <c r="O17" s="55"/>
      <c r="P17" s="55"/>
      <c r="Q17" s="55"/>
      <c r="R17" s="55"/>
      <c r="S17" s="55"/>
      <c r="T17" s="55"/>
      <c r="U17" s="55"/>
      <c r="V17" s="55"/>
      <c r="W17" s="55"/>
      <c r="X17" s="55"/>
      <c r="Y17" s="55"/>
      <c r="Z17" s="55"/>
    </row>
    <row r="18" spans="1:26" ht="15.75" customHeight="1">
      <c r="A18" s="1127"/>
      <c r="B18" s="1127"/>
      <c r="C18" s="1127"/>
      <c r="D18" s="1127"/>
      <c r="E18" s="1127"/>
      <c r="F18" s="1127"/>
      <c r="G18" s="1127"/>
      <c r="H18" s="1127"/>
      <c r="I18" s="1127"/>
      <c r="J18" s="1127"/>
      <c r="K18" s="55"/>
      <c r="L18" s="55"/>
      <c r="M18" s="55"/>
      <c r="N18" s="55"/>
      <c r="O18" s="55"/>
      <c r="P18" s="55"/>
      <c r="Q18" s="55"/>
      <c r="R18" s="55"/>
      <c r="S18" s="55"/>
      <c r="T18" s="55"/>
      <c r="U18" s="55"/>
      <c r="V18" s="55"/>
      <c r="W18" s="55"/>
      <c r="X18" s="55"/>
      <c r="Y18" s="55"/>
      <c r="Z18" s="55"/>
    </row>
    <row r="19" spans="1:26" ht="15.75" customHeight="1">
      <c r="A19" s="1127"/>
      <c r="B19" s="1127"/>
      <c r="C19" s="1127"/>
      <c r="D19" s="1127"/>
      <c r="E19" s="1127"/>
      <c r="F19" s="1127"/>
      <c r="G19" s="1127"/>
      <c r="H19" s="1127"/>
      <c r="I19" s="1127"/>
      <c r="J19" s="1127"/>
      <c r="K19" s="55"/>
      <c r="L19" s="55"/>
      <c r="M19" s="55"/>
      <c r="N19" s="55"/>
      <c r="O19" s="55"/>
      <c r="P19" s="55"/>
      <c r="Q19" s="55"/>
      <c r="R19" s="55"/>
      <c r="S19" s="55"/>
      <c r="T19" s="55"/>
      <c r="U19" s="55"/>
      <c r="V19" s="55"/>
      <c r="W19" s="55"/>
      <c r="X19" s="55"/>
      <c r="Y19" s="55"/>
      <c r="Z19" s="55"/>
    </row>
    <row r="20" spans="1:26" ht="15.75" customHeight="1">
      <c r="A20" s="1127"/>
      <c r="B20" s="1127"/>
      <c r="C20" s="1127"/>
      <c r="D20" s="1127"/>
      <c r="E20" s="1127"/>
      <c r="F20" s="1127"/>
      <c r="G20" s="1127"/>
      <c r="H20" s="1127"/>
      <c r="I20" s="1127"/>
      <c r="J20" s="1127"/>
      <c r="K20" s="55"/>
      <c r="L20" s="55"/>
      <c r="M20" s="55"/>
      <c r="N20" s="55"/>
      <c r="O20" s="55"/>
      <c r="P20" s="55"/>
      <c r="Q20" s="55"/>
      <c r="R20" s="55"/>
      <c r="S20" s="55"/>
      <c r="T20" s="55"/>
      <c r="U20" s="55"/>
      <c r="V20" s="55"/>
      <c r="W20" s="55"/>
      <c r="X20" s="55"/>
      <c r="Y20" s="55"/>
      <c r="Z20" s="55"/>
    </row>
    <row r="21" spans="1:26" ht="15.75" customHeight="1">
      <c r="A21" s="1127"/>
      <c r="B21" s="1127"/>
      <c r="C21" s="1127"/>
      <c r="D21" s="1127"/>
      <c r="E21" s="1127"/>
      <c r="F21" s="1127"/>
      <c r="G21" s="1127"/>
      <c r="H21" s="1127"/>
      <c r="I21" s="1127"/>
      <c r="J21" s="1127"/>
      <c r="K21" s="55"/>
      <c r="L21" s="55"/>
      <c r="M21" s="55"/>
      <c r="N21" s="55"/>
      <c r="O21" s="55"/>
      <c r="P21" s="55"/>
      <c r="Q21" s="55"/>
      <c r="R21" s="55"/>
      <c r="S21" s="55"/>
      <c r="T21" s="55"/>
      <c r="U21" s="55"/>
      <c r="V21" s="55"/>
      <c r="W21" s="55"/>
      <c r="X21" s="55"/>
      <c r="Y21" s="55"/>
      <c r="Z21" s="55"/>
    </row>
    <row r="22" spans="1:26" ht="15.75" customHeight="1">
      <c r="A22" s="1127"/>
      <c r="B22" s="1127"/>
      <c r="C22" s="1127"/>
      <c r="D22" s="1127"/>
      <c r="E22" s="1127"/>
      <c r="F22" s="1127"/>
      <c r="G22" s="1127"/>
      <c r="H22" s="1127"/>
      <c r="I22" s="1127"/>
      <c r="J22" s="1127"/>
      <c r="K22" s="55"/>
      <c r="L22" s="55"/>
      <c r="M22" s="55"/>
      <c r="N22" s="55"/>
      <c r="O22" s="55"/>
      <c r="P22" s="55"/>
      <c r="Q22" s="55"/>
      <c r="R22" s="55"/>
      <c r="S22" s="55"/>
      <c r="T22" s="55"/>
      <c r="U22" s="55"/>
      <c r="V22" s="55"/>
      <c r="W22" s="55"/>
      <c r="X22" s="55"/>
      <c r="Y22" s="55"/>
      <c r="Z22" s="55"/>
    </row>
    <row r="23" spans="1:26" ht="15.75" customHeight="1">
      <c r="A23" s="1127"/>
      <c r="B23" s="1127"/>
      <c r="C23" s="1127"/>
      <c r="D23" s="1127"/>
      <c r="E23" s="1127"/>
      <c r="F23" s="1127"/>
      <c r="G23" s="1127"/>
      <c r="H23" s="1127"/>
      <c r="I23" s="1127"/>
      <c r="J23" s="1127"/>
      <c r="K23" s="55"/>
      <c r="L23" s="55"/>
      <c r="M23" s="55"/>
      <c r="N23" s="55"/>
      <c r="O23" s="55"/>
      <c r="P23" s="55"/>
      <c r="Q23" s="55"/>
      <c r="R23" s="55"/>
      <c r="S23" s="55"/>
      <c r="T23" s="55"/>
      <c r="U23" s="55"/>
      <c r="V23" s="55"/>
      <c r="W23" s="55"/>
      <c r="X23" s="55"/>
      <c r="Y23" s="55"/>
      <c r="Z23" s="55"/>
    </row>
    <row r="24" spans="1:26" ht="15.75" customHeight="1">
      <c r="A24" s="1127"/>
      <c r="B24" s="1127"/>
      <c r="C24" s="1127"/>
      <c r="D24" s="1127"/>
      <c r="E24" s="1127"/>
      <c r="F24" s="1127"/>
      <c r="G24" s="1127"/>
      <c r="H24" s="1127"/>
      <c r="I24" s="1127"/>
      <c r="J24" s="1127"/>
      <c r="K24" s="55"/>
      <c r="L24" s="55"/>
      <c r="M24" s="55"/>
      <c r="N24" s="55"/>
      <c r="O24" s="55"/>
      <c r="P24" s="55"/>
      <c r="Q24" s="55"/>
      <c r="R24" s="55"/>
      <c r="S24" s="55"/>
      <c r="T24" s="55"/>
      <c r="U24" s="55"/>
      <c r="V24" s="55"/>
      <c r="W24" s="55"/>
      <c r="X24" s="55"/>
      <c r="Y24" s="55"/>
      <c r="Z24" s="55"/>
    </row>
    <row r="25" spans="1:26" ht="15.75" customHeight="1">
      <c r="A25" s="1127"/>
      <c r="B25" s="1127"/>
      <c r="C25" s="1127"/>
      <c r="D25" s="1127"/>
      <c r="E25" s="1127"/>
      <c r="F25" s="1127"/>
      <c r="G25" s="1127"/>
      <c r="H25" s="1127"/>
      <c r="I25" s="1127"/>
      <c r="J25" s="1127"/>
      <c r="K25" s="55"/>
      <c r="L25" s="55"/>
      <c r="M25" s="55"/>
      <c r="N25" s="55"/>
      <c r="O25" s="55"/>
      <c r="P25" s="55"/>
      <c r="Q25" s="55"/>
      <c r="R25" s="55"/>
      <c r="S25" s="55"/>
      <c r="T25" s="55"/>
      <c r="U25" s="55"/>
      <c r="V25" s="55"/>
      <c r="W25" s="55"/>
      <c r="X25" s="55"/>
      <c r="Y25" s="55"/>
      <c r="Z25" s="55"/>
    </row>
    <row r="26" spans="1:26" ht="15.75" customHeight="1">
      <c r="A26" s="1127"/>
      <c r="B26" s="1127"/>
      <c r="C26" s="1127"/>
      <c r="D26" s="1127"/>
      <c r="E26" s="1127"/>
      <c r="F26" s="1127"/>
      <c r="G26" s="1127"/>
      <c r="H26" s="1127"/>
      <c r="I26" s="1127"/>
      <c r="J26" s="1127"/>
      <c r="K26" s="55"/>
      <c r="L26" s="55"/>
      <c r="M26" s="55"/>
      <c r="N26" s="55"/>
      <c r="O26" s="55"/>
      <c r="P26" s="55"/>
      <c r="Q26" s="55"/>
      <c r="R26" s="55"/>
      <c r="S26" s="55"/>
      <c r="T26" s="55"/>
      <c r="U26" s="55"/>
      <c r="V26" s="55"/>
      <c r="W26" s="55"/>
      <c r="X26" s="55"/>
      <c r="Y26" s="55"/>
      <c r="Z26" s="55"/>
    </row>
    <row r="27" spans="1:26" ht="15.75" customHeight="1">
      <c r="A27" s="1127"/>
      <c r="B27" s="1127"/>
      <c r="C27" s="1127"/>
      <c r="D27" s="1127"/>
      <c r="E27" s="1127"/>
      <c r="F27" s="1127"/>
      <c r="G27" s="1127"/>
      <c r="H27" s="1127"/>
      <c r="I27" s="1127"/>
      <c r="J27" s="1127"/>
      <c r="K27" s="55"/>
      <c r="L27" s="55"/>
      <c r="M27" s="55"/>
      <c r="N27" s="55"/>
      <c r="O27" s="55"/>
      <c r="P27" s="55"/>
      <c r="Q27" s="55"/>
      <c r="R27" s="55"/>
      <c r="S27" s="55"/>
      <c r="T27" s="55"/>
      <c r="U27" s="55"/>
      <c r="V27" s="55"/>
      <c r="W27" s="55"/>
      <c r="X27" s="55"/>
      <c r="Y27" s="55"/>
      <c r="Z27" s="55"/>
    </row>
    <row r="28" spans="1:26" ht="15.75" customHeight="1">
      <c r="A28" s="1127"/>
      <c r="B28" s="1127"/>
      <c r="C28" s="1127"/>
      <c r="D28" s="1127"/>
      <c r="E28" s="1127"/>
      <c r="F28" s="1127"/>
      <c r="G28" s="1127"/>
      <c r="H28" s="1127"/>
      <c r="I28" s="1127"/>
      <c r="J28" s="1127"/>
      <c r="K28" s="55"/>
      <c r="L28" s="55"/>
      <c r="M28" s="55"/>
      <c r="N28" s="55"/>
      <c r="O28" s="55"/>
      <c r="P28" s="55"/>
      <c r="Q28" s="55"/>
      <c r="R28" s="55"/>
      <c r="S28" s="55"/>
      <c r="T28" s="55"/>
      <c r="U28" s="55"/>
      <c r="V28" s="55"/>
      <c r="W28" s="55"/>
      <c r="X28" s="55"/>
      <c r="Y28" s="55"/>
      <c r="Z28" s="55"/>
    </row>
    <row r="29" spans="1:26" ht="15.75" customHeight="1">
      <c r="A29" s="1127"/>
      <c r="B29" s="1127"/>
      <c r="C29" s="1127"/>
      <c r="D29" s="1127"/>
      <c r="E29" s="1127"/>
      <c r="F29" s="1127"/>
      <c r="G29" s="1127"/>
      <c r="H29" s="1127"/>
      <c r="I29" s="1127"/>
      <c r="J29" s="1127"/>
      <c r="K29" s="55"/>
      <c r="L29" s="55"/>
      <c r="M29" s="55"/>
      <c r="N29" s="55"/>
      <c r="O29" s="55"/>
      <c r="P29" s="55"/>
      <c r="Q29" s="55"/>
      <c r="R29" s="55"/>
      <c r="S29" s="55"/>
      <c r="T29" s="55"/>
      <c r="U29" s="55"/>
      <c r="V29" s="55"/>
      <c r="W29" s="55"/>
      <c r="X29" s="55"/>
      <c r="Y29" s="55"/>
      <c r="Z29" s="55"/>
    </row>
    <row r="30" spans="1:26" ht="15.75" customHeight="1">
      <c r="A30" s="1127"/>
      <c r="B30" s="1127"/>
      <c r="C30" s="1127"/>
      <c r="D30" s="1127"/>
      <c r="E30" s="1127"/>
      <c r="F30" s="1127"/>
      <c r="G30" s="1127"/>
      <c r="H30" s="1127"/>
      <c r="I30" s="1127"/>
      <c r="J30" s="1127"/>
      <c r="K30" s="55"/>
      <c r="L30" s="55"/>
      <c r="M30" s="55"/>
      <c r="N30" s="55"/>
      <c r="O30" s="55"/>
      <c r="P30" s="55"/>
      <c r="Q30" s="55"/>
      <c r="R30" s="55"/>
      <c r="S30" s="55"/>
      <c r="T30" s="55"/>
      <c r="U30" s="55"/>
      <c r="V30" s="55"/>
      <c r="W30" s="55"/>
      <c r="X30" s="55"/>
      <c r="Y30" s="55"/>
      <c r="Z30" s="55"/>
    </row>
    <row r="31" spans="1:26" ht="15.75" customHeight="1">
      <c r="A31" s="1127"/>
      <c r="B31" s="1127"/>
      <c r="C31" s="1127"/>
      <c r="D31" s="1127"/>
      <c r="E31" s="1127"/>
      <c r="F31" s="1127"/>
      <c r="G31" s="1127"/>
      <c r="H31" s="1127"/>
      <c r="I31" s="1127"/>
      <c r="J31" s="1127"/>
      <c r="K31" s="55"/>
      <c r="L31" s="55"/>
      <c r="M31" s="55"/>
      <c r="N31" s="55"/>
      <c r="O31" s="55"/>
      <c r="P31" s="55"/>
      <c r="Q31" s="55"/>
      <c r="R31" s="55"/>
      <c r="S31" s="55"/>
      <c r="T31" s="55"/>
      <c r="U31" s="55"/>
      <c r="V31" s="55"/>
      <c r="W31" s="55"/>
      <c r="X31" s="55"/>
      <c r="Y31" s="55"/>
      <c r="Z31" s="55"/>
    </row>
    <row r="32" spans="1:26" ht="15.75" customHeight="1">
      <c r="A32" s="1127"/>
      <c r="B32" s="1127"/>
      <c r="C32" s="1127"/>
      <c r="D32" s="1127"/>
      <c r="E32" s="1127"/>
      <c r="F32" s="1127"/>
      <c r="G32" s="1127"/>
      <c r="H32" s="1127"/>
      <c r="I32" s="1127"/>
      <c r="J32" s="1127"/>
      <c r="K32" s="55"/>
      <c r="L32" s="55"/>
      <c r="M32" s="55"/>
      <c r="N32" s="55"/>
      <c r="O32" s="55"/>
      <c r="P32" s="55"/>
      <c r="Q32" s="55"/>
      <c r="R32" s="55"/>
      <c r="S32" s="55"/>
      <c r="T32" s="55"/>
      <c r="U32" s="55"/>
      <c r="V32" s="55"/>
      <c r="W32" s="55"/>
      <c r="X32" s="55"/>
      <c r="Y32" s="55"/>
      <c r="Z32" s="55"/>
    </row>
    <row r="33" spans="1:26" ht="15.75" customHeight="1">
      <c r="A33" s="1127"/>
      <c r="B33" s="1127"/>
      <c r="C33" s="1127"/>
      <c r="D33" s="1127"/>
      <c r="E33" s="1127"/>
      <c r="F33" s="1127"/>
      <c r="G33" s="1127"/>
      <c r="H33" s="1127"/>
      <c r="I33" s="1127"/>
      <c r="J33" s="1127"/>
      <c r="K33" s="55"/>
      <c r="L33" s="55"/>
      <c r="M33" s="55"/>
      <c r="N33" s="55"/>
      <c r="O33" s="55"/>
      <c r="P33" s="55"/>
      <c r="Q33" s="55"/>
      <c r="R33" s="55"/>
      <c r="S33" s="55"/>
      <c r="T33" s="55"/>
      <c r="U33" s="55"/>
      <c r="V33" s="55"/>
      <c r="W33" s="55"/>
      <c r="X33" s="55"/>
      <c r="Y33" s="55"/>
      <c r="Z33" s="55"/>
    </row>
    <row r="34" spans="1:26" ht="15.75" customHeight="1">
      <c r="A34" s="1127"/>
      <c r="B34" s="1127"/>
      <c r="C34" s="1127"/>
      <c r="D34" s="1127"/>
      <c r="E34" s="1127"/>
      <c r="F34" s="1127"/>
      <c r="G34" s="1127"/>
      <c r="H34" s="1127"/>
      <c r="I34" s="1127"/>
      <c r="J34" s="1127"/>
      <c r="K34" s="55"/>
      <c r="L34" s="55"/>
      <c r="M34" s="55"/>
      <c r="N34" s="55"/>
      <c r="O34" s="55"/>
      <c r="P34" s="55"/>
      <c r="Q34" s="55"/>
      <c r="R34" s="55"/>
      <c r="S34" s="55"/>
      <c r="T34" s="55"/>
      <c r="U34" s="55"/>
      <c r="V34" s="55"/>
      <c r="W34" s="55"/>
      <c r="X34" s="55"/>
      <c r="Y34" s="55"/>
      <c r="Z34" s="55"/>
    </row>
    <row r="35" spans="1:26" ht="15.75" customHeight="1">
      <c r="A35" s="1127"/>
      <c r="B35" s="1127"/>
      <c r="C35" s="1127"/>
      <c r="D35" s="1127"/>
      <c r="E35" s="1127"/>
      <c r="F35" s="1127"/>
      <c r="G35" s="1127"/>
      <c r="H35" s="1127"/>
      <c r="I35" s="1127"/>
      <c r="J35" s="1127"/>
      <c r="K35" s="55"/>
      <c r="L35" s="55"/>
      <c r="M35" s="55"/>
      <c r="N35" s="55"/>
      <c r="O35" s="55"/>
      <c r="P35" s="55"/>
      <c r="Q35" s="55"/>
      <c r="R35" s="55"/>
      <c r="S35" s="55"/>
      <c r="T35" s="55"/>
      <c r="U35" s="55"/>
      <c r="V35" s="55"/>
      <c r="W35" s="55"/>
      <c r="X35" s="55"/>
      <c r="Y35" s="55"/>
      <c r="Z35" s="55"/>
    </row>
    <row r="36" spans="1:26" ht="15.75" customHeight="1">
      <c r="A36" s="1127"/>
      <c r="B36" s="1127"/>
      <c r="C36" s="1127"/>
      <c r="D36" s="1127"/>
      <c r="E36" s="1127"/>
      <c r="F36" s="1127"/>
      <c r="G36" s="1127"/>
      <c r="H36" s="1127"/>
      <c r="I36" s="1127"/>
      <c r="J36" s="1127"/>
      <c r="K36" s="55"/>
      <c r="L36" s="55"/>
      <c r="M36" s="55"/>
      <c r="N36" s="55"/>
      <c r="O36" s="55"/>
      <c r="P36" s="55"/>
      <c r="Q36" s="55"/>
      <c r="R36" s="55"/>
      <c r="S36" s="55"/>
      <c r="T36" s="55"/>
      <c r="U36" s="55"/>
      <c r="V36" s="55"/>
      <c r="W36" s="55"/>
      <c r="X36" s="55"/>
      <c r="Y36" s="55"/>
      <c r="Z36" s="55"/>
    </row>
    <row r="37" spans="1:26" ht="15.75" customHeight="1">
      <c r="A37" s="1127"/>
      <c r="B37" s="1127"/>
      <c r="C37" s="1127"/>
      <c r="D37" s="1127"/>
      <c r="E37" s="1127"/>
      <c r="F37" s="1127"/>
      <c r="G37" s="1127"/>
      <c r="H37" s="1127"/>
      <c r="I37" s="1127"/>
      <c r="J37" s="1127"/>
      <c r="K37" s="55"/>
      <c r="L37" s="55"/>
      <c r="M37" s="55"/>
      <c r="N37" s="55"/>
      <c r="O37" s="55"/>
      <c r="P37" s="55"/>
      <c r="Q37" s="55"/>
      <c r="R37" s="55"/>
      <c r="S37" s="55"/>
      <c r="T37" s="55"/>
      <c r="U37" s="55"/>
      <c r="V37" s="55"/>
      <c r="W37" s="55"/>
      <c r="X37" s="55"/>
      <c r="Y37" s="55"/>
      <c r="Z37" s="55"/>
    </row>
    <row r="38" spans="1:26" ht="15.75" customHeight="1">
      <c r="A38" s="1127"/>
      <c r="B38" s="1127"/>
      <c r="C38" s="1127"/>
      <c r="D38" s="1127"/>
      <c r="E38" s="1127"/>
      <c r="F38" s="1127"/>
      <c r="G38" s="1127"/>
      <c r="H38" s="1127"/>
      <c r="I38" s="1127"/>
      <c r="J38" s="1127"/>
      <c r="K38" s="55"/>
      <c r="L38" s="55"/>
      <c r="M38" s="55"/>
      <c r="N38" s="55"/>
      <c r="O38" s="55"/>
      <c r="P38" s="55"/>
      <c r="Q38" s="55"/>
      <c r="R38" s="55"/>
      <c r="S38" s="55"/>
      <c r="T38" s="55"/>
      <c r="U38" s="55"/>
      <c r="V38" s="55"/>
      <c r="W38" s="55"/>
      <c r="X38" s="55"/>
      <c r="Y38" s="55"/>
      <c r="Z38" s="55"/>
    </row>
    <row r="39" spans="1:26" ht="15.75" customHeight="1">
      <c r="A39" s="1127"/>
      <c r="B39" s="1127"/>
      <c r="C39" s="1127"/>
      <c r="D39" s="1127"/>
      <c r="E39" s="1127"/>
      <c r="F39" s="1127"/>
      <c r="G39" s="1127"/>
      <c r="H39" s="1127"/>
      <c r="I39" s="1127"/>
      <c r="J39" s="1127"/>
      <c r="K39" s="55"/>
      <c r="L39" s="55"/>
      <c r="M39" s="55"/>
      <c r="N39" s="55"/>
      <c r="O39" s="55"/>
      <c r="P39" s="55"/>
      <c r="Q39" s="55"/>
      <c r="R39" s="55"/>
      <c r="S39" s="55"/>
      <c r="T39" s="55"/>
      <c r="U39" s="55"/>
      <c r="V39" s="55"/>
      <c r="W39" s="55"/>
      <c r="X39" s="55"/>
      <c r="Y39" s="55"/>
      <c r="Z39" s="55"/>
    </row>
    <row r="40" spans="1:26" ht="15.75" customHeight="1">
      <c r="A40" s="1127"/>
      <c r="B40" s="1127"/>
      <c r="C40" s="1127"/>
      <c r="D40" s="1127"/>
      <c r="E40" s="1127"/>
      <c r="F40" s="1127"/>
      <c r="G40" s="1127"/>
      <c r="H40" s="1127"/>
      <c r="I40" s="1127"/>
      <c r="J40" s="1127"/>
      <c r="K40" s="55"/>
      <c r="L40" s="55"/>
      <c r="M40" s="55"/>
      <c r="N40" s="55"/>
      <c r="O40" s="55"/>
      <c r="P40" s="55"/>
      <c r="Q40" s="55"/>
      <c r="R40" s="55"/>
      <c r="S40" s="55"/>
      <c r="T40" s="55"/>
      <c r="U40" s="55"/>
      <c r="V40" s="55"/>
      <c r="W40" s="55"/>
      <c r="X40" s="55"/>
      <c r="Y40" s="55"/>
      <c r="Z40" s="55"/>
    </row>
    <row r="41" spans="1:26" ht="15.75" customHeight="1">
      <c r="A41" s="1127"/>
      <c r="B41" s="1127"/>
      <c r="C41" s="1127"/>
      <c r="D41" s="1127"/>
      <c r="E41" s="1127"/>
      <c r="F41" s="1127"/>
      <c r="G41" s="1127"/>
      <c r="H41" s="1127"/>
      <c r="I41" s="1127"/>
      <c r="J41" s="1127"/>
      <c r="K41" s="55"/>
      <c r="L41" s="55"/>
      <c r="M41" s="55"/>
      <c r="N41" s="55"/>
      <c r="O41" s="55"/>
      <c r="P41" s="55"/>
      <c r="Q41" s="55"/>
      <c r="R41" s="55"/>
      <c r="S41" s="55"/>
      <c r="T41" s="55"/>
      <c r="U41" s="55"/>
      <c r="V41" s="55"/>
      <c r="W41" s="55"/>
      <c r="X41" s="55"/>
      <c r="Y41" s="55"/>
      <c r="Z41" s="55"/>
    </row>
    <row r="42" spans="1:26" ht="15.75" customHeight="1">
      <c r="A42" s="1127"/>
      <c r="B42" s="1127"/>
      <c r="C42" s="1127"/>
      <c r="D42" s="1127"/>
      <c r="E42" s="1127"/>
      <c r="F42" s="1127"/>
      <c r="G42" s="1127"/>
      <c r="H42" s="1127"/>
      <c r="I42" s="1127"/>
      <c r="J42" s="1127"/>
      <c r="K42" s="55"/>
      <c r="L42" s="55"/>
      <c r="M42" s="55"/>
      <c r="N42" s="55"/>
      <c r="O42" s="55"/>
      <c r="P42" s="55"/>
      <c r="Q42" s="55"/>
      <c r="R42" s="55"/>
      <c r="S42" s="55"/>
      <c r="T42" s="55"/>
      <c r="U42" s="55"/>
      <c r="V42" s="55"/>
      <c r="W42" s="55"/>
      <c r="X42" s="55"/>
      <c r="Y42" s="55"/>
      <c r="Z42" s="55"/>
    </row>
    <row r="43" spans="1:26" ht="15.75" customHeight="1">
      <c r="A43" s="1127"/>
      <c r="B43" s="1127"/>
      <c r="C43" s="1127"/>
      <c r="D43" s="1127"/>
      <c r="E43" s="1127"/>
      <c r="F43" s="1127"/>
      <c r="G43" s="1127"/>
      <c r="H43" s="1127"/>
      <c r="I43" s="1127"/>
      <c r="J43" s="1127"/>
      <c r="K43" s="55"/>
      <c r="L43" s="55"/>
      <c r="M43" s="55"/>
      <c r="N43" s="55"/>
      <c r="O43" s="55"/>
      <c r="P43" s="55"/>
      <c r="Q43" s="55"/>
      <c r="R43" s="55"/>
      <c r="S43" s="55"/>
      <c r="T43" s="55"/>
      <c r="U43" s="55"/>
      <c r="V43" s="55"/>
      <c r="W43" s="55"/>
      <c r="X43" s="55"/>
      <c r="Y43" s="55"/>
      <c r="Z43" s="55"/>
    </row>
    <row r="44" spans="1:26" ht="15.75" customHeight="1">
      <c r="A44" s="1127"/>
      <c r="B44" s="1127"/>
      <c r="C44" s="1127"/>
      <c r="D44" s="1127"/>
      <c r="E44" s="1127"/>
      <c r="F44" s="1127"/>
      <c r="G44" s="1127"/>
      <c r="H44" s="1127"/>
      <c r="I44" s="1127"/>
      <c r="J44" s="1127"/>
      <c r="K44" s="55"/>
      <c r="L44" s="55"/>
      <c r="M44" s="55"/>
      <c r="N44" s="55"/>
      <c r="O44" s="55"/>
      <c r="P44" s="55"/>
      <c r="Q44" s="55"/>
      <c r="R44" s="55"/>
      <c r="S44" s="55"/>
      <c r="T44" s="55"/>
      <c r="U44" s="55"/>
      <c r="V44" s="55"/>
      <c r="W44" s="55"/>
      <c r="X44" s="55"/>
      <c r="Y44" s="55"/>
      <c r="Z44" s="55"/>
    </row>
    <row r="45" spans="1:26" ht="15.75" customHeight="1">
      <c r="A45" s="1127"/>
      <c r="B45" s="1127"/>
      <c r="C45" s="1127"/>
      <c r="D45" s="1127"/>
      <c r="E45" s="1127"/>
      <c r="F45" s="1127"/>
      <c r="G45" s="1127"/>
      <c r="H45" s="1127"/>
      <c r="I45" s="1127"/>
      <c r="J45" s="1127"/>
      <c r="K45" s="55"/>
      <c r="L45" s="55"/>
      <c r="M45" s="55"/>
      <c r="N45" s="55"/>
      <c r="O45" s="55"/>
      <c r="P45" s="55"/>
      <c r="Q45" s="55"/>
      <c r="R45" s="55"/>
      <c r="S45" s="55"/>
      <c r="T45" s="55"/>
      <c r="U45" s="55"/>
      <c r="V45" s="55"/>
      <c r="W45" s="55"/>
      <c r="X45" s="55"/>
      <c r="Y45" s="55"/>
      <c r="Z45" s="55"/>
    </row>
    <row r="46" spans="1:26" ht="15.75" customHeight="1">
      <c r="A46" s="1127"/>
      <c r="B46" s="1127"/>
      <c r="C46" s="1127"/>
      <c r="D46" s="1127"/>
      <c r="E46" s="1127"/>
      <c r="F46" s="1127"/>
      <c r="G46" s="1127"/>
      <c r="H46" s="1127"/>
      <c r="I46" s="1127"/>
      <c r="J46" s="1127"/>
      <c r="K46" s="55"/>
      <c r="L46" s="55"/>
      <c r="M46" s="55"/>
      <c r="N46" s="55"/>
      <c r="O46" s="55"/>
      <c r="P46" s="55"/>
      <c r="Q46" s="55"/>
      <c r="R46" s="55"/>
      <c r="S46" s="55"/>
      <c r="T46" s="55"/>
      <c r="U46" s="55"/>
      <c r="V46" s="55"/>
      <c r="W46" s="55"/>
      <c r="X46" s="55"/>
      <c r="Y46" s="55"/>
      <c r="Z46" s="55"/>
    </row>
    <row r="47" spans="1:26" ht="15.75" customHeight="1">
      <c r="A47" s="1127"/>
      <c r="B47" s="1127"/>
      <c r="C47" s="1127"/>
      <c r="D47" s="1127"/>
      <c r="E47" s="1127"/>
      <c r="F47" s="1127"/>
      <c r="G47" s="1127"/>
      <c r="H47" s="1127"/>
      <c r="I47" s="1127"/>
      <c r="J47" s="1127"/>
      <c r="K47" s="55"/>
      <c r="L47" s="55"/>
      <c r="M47" s="55"/>
      <c r="N47" s="55"/>
      <c r="O47" s="55"/>
      <c r="P47" s="55"/>
      <c r="Q47" s="55"/>
      <c r="R47" s="55"/>
      <c r="S47" s="55"/>
      <c r="T47" s="55"/>
      <c r="U47" s="55"/>
      <c r="V47" s="55"/>
      <c r="W47" s="55"/>
      <c r="X47" s="55"/>
      <c r="Y47" s="55"/>
      <c r="Z47" s="55"/>
    </row>
    <row r="48" spans="1:26" ht="15.75" customHeight="1">
      <c r="A48" s="1127"/>
      <c r="B48" s="1127"/>
      <c r="C48" s="1127"/>
      <c r="D48" s="1127"/>
      <c r="E48" s="1127"/>
      <c r="F48" s="1127"/>
      <c r="G48" s="1127"/>
      <c r="H48" s="1127"/>
      <c r="I48" s="1127"/>
      <c r="J48" s="1127"/>
      <c r="K48" s="55"/>
      <c r="L48" s="55"/>
      <c r="M48" s="55"/>
      <c r="N48" s="55"/>
      <c r="O48" s="55"/>
      <c r="P48" s="55"/>
      <c r="Q48" s="55"/>
      <c r="R48" s="55"/>
      <c r="S48" s="55"/>
      <c r="T48" s="55"/>
      <c r="U48" s="55"/>
      <c r="V48" s="55"/>
      <c r="W48" s="55"/>
      <c r="X48" s="55"/>
      <c r="Y48" s="55"/>
      <c r="Z48" s="55"/>
    </row>
    <row r="49" spans="1:26" ht="15.75" customHeight="1">
      <c r="A49" s="1127"/>
      <c r="B49" s="1127"/>
      <c r="C49" s="1127"/>
      <c r="D49" s="1127"/>
      <c r="E49" s="1127"/>
      <c r="F49" s="1127"/>
      <c r="G49" s="1127"/>
      <c r="H49" s="1127"/>
      <c r="I49" s="1127"/>
      <c r="J49" s="1127"/>
      <c r="K49" s="55"/>
      <c r="L49" s="55"/>
      <c r="M49" s="55"/>
      <c r="N49" s="55"/>
      <c r="O49" s="55"/>
      <c r="P49" s="55"/>
      <c r="Q49" s="55"/>
      <c r="R49" s="55"/>
      <c r="S49" s="55"/>
      <c r="T49" s="55"/>
      <c r="U49" s="55"/>
      <c r="V49" s="55"/>
      <c r="W49" s="55"/>
      <c r="X49" s="55"/>
      <c r="Y49" s="55"/>
      <c r="Z49" s="55"/>
    </row>
    <row r="50" spans="1:26" ht="15.75" customHeight="1">
      <c r="A50" s="1127"/>
      <c r="B50" s="1127"/>
      <c r="C50" s="1127"/>
      <c r="D50" s="1127"/>
      <c r="E50" s="1127"/>
      <c r="F50" s="1127"/>
      <c r="G50" s="1127"/>
      <c r="H50" s="1127"/>
      <c r="I50" s="1127"/>
      <c r="J50" s="1127"/>
      <c r="K50" s="55"/>
      <c r="L50" s="55"/>
      <c r="M50" s="55"/>
      <c r="N50" s="55"/>
      <c r="O50" s="55"/>
      <c r="P50" s="55"/>
      <c r="Q50" s="55"/>
      <c r="R50" s="55"/>
      <c r="S50" s="55"/>
      <c r="T50" s="55"/>
      <c r="U50" s="55"/>
      <c r="V50" s="55"/>
      <c r="W50" s="55"/>
      <c r="X50" s="55"/>
      <c r="Y50" s="55"/>
      <c r="Z50" s="55"/>
    </row>
    <row r="51" spans="1:26" ht="15.75" customHeight="1">
      <c r="A51" s="1127"/>
      <c r="B51" s="1127"/>
      <c r="C51" s="1127"/>
      <c r="D51" s="1127"/>
      <c r="E51" s="1127"/>
      <c r="F51" s="1127"/>
      <c r="G51" s="1127"/>
      <c r="H51" s="1127"/>
      <c r="I51" s="1127"/>
      <c r="J51" s="1127"/>
      <c r="K51" s="55"/>
      <c r="L51" s="55"/>
      <c r="M51" s="55"/>
      <c r="N51" s="55"/>
      <c r="O51" s="55"/>
      <c r="P51" s="55"/>
      <c r="Q51" s="55"/>
      <c r="R51" s="55"/>
      <c r="S51" s="55"/>
      <c r="T51" s="55"/>
      <c r="U51" s="55"/>
      <c r="V51" s="55"/>
      <c r="W51" s="55"/>
      <c r="X51" s="55"/>
      <c r="Y51" s="55"/>
      <c r="Z51" s="55"/>
    </row>
    <row r="52" spans="1:26" ht="15.75" customHeight="1">
      <c r="A52" s="1127"/>
      <c r="B52" s="1127"/>
      <c r="C52" s="1127"/>
      <c r="D52" s="1127"/>
      <c r="E52" s="1127"/>
      <c r="F52" s="1127"/>
      <c r="G52" s="1127"/>
      <c r="H52" s="1127"/>
      <c r="I52" s="1127"/>
      <c r="J52" s="1127"/>
      <c r="K52" s="55"/>
      <c r="L52" s="55"/>
      <c r="M52" s="55"/>
      <c r="N52" s="55"/>
      <c r="O52" s="55"/>
      <c r="P52" s="55"/>
      <c r="Q52" s="55"/>
      <c r="R52" s="55"/>
      <c r="S52" s="55"/>
      <c r="T52" s="55"/>
      <c r="U52" s="55"/>
      <c r="V52" s="55"/>
      <c r="W52" s="55"/>
      <c r="X52" s="55"/>
      <c r="Y52" s="55"/>
      <c r="Z52" s="55"/>
    </row>
    <row r="53" spans="1:26" ht="15.75" customHeight="1">
      <c r="A53" s="1127"/>
      <c r="B53" s="1127"/>
      <c r="C53" s="1127"/>
      <c r="D53" s="1127"/>
      <c r="E53" s="1127"/>
      <c r="F53" s="1127"/>
      <c r="G53" s="1127"/>
      <c r="H53" s="1127"/>
      <c r="I53" s="1127"/>
      <c r="J53" s="1127"/>
      <c r="K53" s="55"/>
      <c r="L53" s="55"/>
      <c r="M53" s="55"/>
      <c r="N53" s="55"/>
      <c r="O53" s="55"/>
      <c r="P53" s="55"/>
      <c r="Q53" s="55"/>
      <c r="R53" s="55"/>
      <c r="S53" s="55"/>
      <c r="T53" s="55"/>
      <c r="U53" s="55"/>
      <c r="V53" s="55"/>
      <c r="W53" s="55"/>
      <c r="X53" s="55"/>
      <c r="Y53" s="55"/>
      <c r="Z53" s="55"/>
    </row>
    <row r="54" spans="1:26" ht="15.75" customHeight="1">
      <c r="A54" s="1127"/>
      <c r="B54" s="1127"/>
      <c r="C54" s="1127"/>
      <c r="D54" s="1127"/>
      <c r="E54" s="1127"/>
      <c r="F54" s="1127"/>
      <c r="G54" s="1127"/>
      <c r="H54" s="1127"/>
      <c r="I54" s="1127"/>
      <c r="J54" s="1127"/>
      <c r="K54" s="55"/>
      <c r="L54" s="55"/>
      <c r="M54" s="55"/>
      <c r="N54" s="55"/>
      <c r="O54" s="55"/>
      <c r="P54" s="55"/>
      <c r="Q54" s="55"/>
      <c r="R54" s="55"/>
      <c r="S54" s="55"/>
      <c r="T54" s="55"/>
      <c r="U54" s="55"/>
      <c r="V54" s="55"/>
      <c r="W54" s="55"/>
      <c r="X54" s="55"/>
      <c r="Y54" s="55"/>
      <c r="Z54" s="55"/>
    </row>
    <row r="55" spans="1:26" ht="15.75" customHeight="1">
      <c r="A55" s="1127"/>
      <c r="B55" s="1127"/>
      <c r="C55" s="1127"/>
      <c r="D55" s="1127"/>
      <c r="E55" s="1127"/>
      <c r="F55" s="1127"/>
      <c r="G55" s="1127"/>
      <c r="H55" s="1127"/>
      <c r="I55" s="1127"/>
      <c r="J55" s="1127"/>
      <c r="K55" s="55"/>
      <c r="L55" s="55"/>
      <c r="M55" s="55"/>
      <c r="N55" s="55"/>
      <c r="O55" s="55"/>
      <c r="P55" s="55"/>
      <c r="Q55" s="55"/>
      <c r="R55" s="55"/>
      <c r="S55" s="55"/>
      <c r="T55" s="55"/>
      <c r="U55" s="55"/>
      <c r="V55" s="55"/>
      <c r="W55" s="55"/>
      <c r="X55" s="55"/>
      <c r="Y55" s="55"/>
      <c r="Z55" s="55"/>
    </row>
    <row r="56" spans="1:26" ht="15.75" customHeight="1">
      <c r="A56" s="1127"/>
      <c r="B56" s="1127"/>
      <c r="C56" s="1127"/>
      <c r="D56" s="1127"/>
      <c r="E56" s="1127"/>
      <c r="F56" s="1127"/>
      <c r="G56" s="1127"/>
      <c r="H56" s="1127"/>
      <c r="I56" s="1127"/>
      <c r="J56" s="1127"/>
      <c r="K56" s="55"/>
      <c r="L56" s="55"/>
      <c r="M56" s="55"/>
      <c r="N56" s="55"/>
      <c r="O56" s="55"/>
      <c r="P56" s="55"/>
      <c r="Q56" s="55"/>
      <c r="R56" s="55"/>
      <c r="S56" s="55"/>
      <c r="T56" s="55"/>
      <c r="U56" s="55"/>
      <c r="V56" s="55"/>
      <c r="W56" s="55"/>
      <c r="X56" s="55"/>
      <c r="Y56" s="55"/>
      <c r="Z56" s="55"/>
    </row>
    <row r="57" spans="1:26" ht="15.75" customHeight="1">
      <c r="A57" s="1127"/>
      <c r="B57" s="1127"/>
      <c r="C57" s="1127"/>
      <c r="D57" s="1127"/>
      <c r="E57" s="1127"/>
      <c r="F57" s="1127"/>
      <c r="G57" s="1127"/>
      <c r="H57" s="1127"/>
      <c r="I57" s="1127"/>
      <c r="J57" s="1127"/>
      <c r="K57" s="55"/>
      <c r="L57" s="55"/>
      <c r="M57" s="55"/>
      <c r="N57" s="55"/>
      <c r="O57" s="55"/>
      <c r="P57" s="55"/>
      <c r="Q57" s="55"/>
      <c r="R57" s="55"/>
      <c r="S57" s="55"/>
      <c r="T57" s="55"/>
      <c r="U57" s="55"/>
      <c r="V57" s="55"/>
      <c r="W57" s="55"/>
      <c r="X57" s="55"/>
      <c r="Y57" s="55"/>
      <c r="Z57" s="55"/>
    </row>
    <row r="58" spans="1:26" ht="15.75" customHeight="1">
      <c r="A58" s="1127"/>
      <c r="B58" s="1127"/>
      <c r="C58" s="1127"/>
      <c r="D58" s="1127"/>
      <c r="E58" s="1127"/>
      <c r="F58" s="1127"/>
      <c r="G58" s="1127"/>
      <c r="H58" s="1127"/>
      <c r="I58" s="1127"/>
      <c r="J58" s="1127"/>
      <c r="K58" s="55"/>
      <c r="L58" s="55"/>
      <c r="M58" s="55"/>
      <c r="N58" s="55"/>
      <c r="O58" s="55"/>
      <c r="P58" s="55"/>
      <c r="Q58" s="55"/>
      <c r="R58" s="55"/>
      <c r="S58" s="55"/>
      <c r="T58" s="55"/>
      <c r="U58" s="55"/>
      <c r="V58" s="55"/>
      <c r="W58" s="55"/>
      <c r="X58" s="55"/>
      <c r="Y58" s="55"/>
      <c r="Z58" s="55"/>
    </row>
    <row r="59" spans="1:26" ht="15.75" customHeight="1">
      <c r="A59" s="1127"/>
      <c r="B59" s="1127"/>
      <c r="C59" s="1127"/>
      <c r="D59" s="1127"/>
      <c r="E59" s="1127"/>
      <c r="F59" s="1127"/>
      <c r="G59" s="1127"/>
      <c r="H59" s="1127"/>
      <c r="I59" s="1127"/>
      <c r="J59" s="1127"/>
      <c r="K59" s="55"/>
      <c r="L59" s="55"/>
      <c r="M59" s="55"/>
      <c r="N59" s="55"/>
      <c r="O59" s="55"/>
      <c r="P59" s="55"/>
      <c r="Q59" s="55"/>
      <c r="R59" s="55"/>
      <c r="S59" s="55"/>
      <c r="T59" s="55"/>
      <c r="U59" s="55"/>
      <c r="V59" s="55"/>
      <c r="W59" s="55"/>
      <c r="X59" s="55"/>
      <c r="Y59" s="55"/>
      <c r="Z59" s="55"/>
    </row>
    <row r="60" spans="1:26" ht="15.75" customHeight="1">
      <c r="A60" s="1127"/>
      <c r="B60" s="1127"/>
      <c r="C60" s="1127"/>
      <c r="D60" s="1127"/>
      <c r="E60" s="1127"/>
      <c r="F60" s="1127"/>
      <c r="G60" s="1127"/>
      <c r="H60" s="1127"/>
      <c r="I60" s="1127"/>
      <c r="J60" s="1127"/>
      <c r="K60" s="55"/>
      <c r="L60" s="55"/>
      <c r="M60" s="55"/>
      <c r="N60" s="55"/>
      <c r="O60" s="55"/>
      <c r="P60" s="55"/>
      <c r="Q60" s="55"/>
      <c r="R60" s="55"/>
      <c r="S60" s="55"/>
      <c r="T60" s="55"/>
      <c r="U60" s="55"/>
      <c r="V60" s="55"/>
      <c r="W60" s="55"/>
      <c r="X60" s="55"/>
      <c r="Y60" s="55"/>
      <c r="Z60" s="55"/>
    </row>
    <row r="61" spans="1:26">
      <c r="A61" s="1127"/>
      <c r="B61" s="1127"/>
      <c r="C61" s="1127"/>
      <c r="D61" s="1127"/>
      <c r="E61" s="1127"/>
      <c r="F61" s="1127"/>
      <c r="G61" s="1127"/>
      <c r="H61" s="1127"/>
      <c r="I61" s="1127"/>
      <c r="J61" s="1127"/>
      <c r="K61" s="55"/>
      <c r="L61" s="55"/>
      <c r="M61" s="55"/>
      <c r="N61" s="55"/>
      <c r="O61" s="55"/>
      <c r="P61" s="55"/>
      <c r="Q61" s="55"/>
      <c r="R61" s="55"/>
      <c r="S61" s="55"/>
      <c r="T61" s="55"/>
      <c r="U61" s="55"/>
      <c r="V61" s="55"/>
      <c r="W61" s="55"/>
      <c r="X61" s="55"/>
      <c r="Y61" s="55"/>
      <c r="Z61" s="55"/>
    </row>
    <row r="62" spans="1:26">
      <c r="A62" s="1127"/>
      <c r="B62" s="1127"/>
      <c r="C62" s="1127"/>
      <c r="D62" s="1127"/>
      <c r="E62" s="1127"/>
      <c r="F62" s="1127"/>
      <c r="G62" s="1127"/>
      <c r="H62" s="1127"/>
      <c r="I62" s="1127"/>
      <c r="J62" s="1127"/>
      <c r="K62" s="55"/>
      <c r="L62" s="55"/>
      <c r="M62" s="55"/>
      <c r="N62" s="55"/>
      <c r="O62" s="55"/>
      <c r="P62" s="55"/>
      <c r="Q62" s="55"/>
      <c r="R62" s="55"/>
      <c r="S62" s="55"/>
      <c r="T62" s="55"/>
      <c r="U62" s="55"/>
      <c r="V62" s="55"/>
      <c r="W62" s="55"/>
      <c r="X62" s="55"/>
      <c r="Y62" s="55"/>
      <c r="Z62" s="55"/>
    </row>
    <row r="63" spans="1:26">
      <c r="A63" s="1127"/>
      <c r="B63" s="1127"/>
      <c r="C63" s="1127"/>
      <c r="D63" s="1127"/>
      <c r="E63" s="1127"/>
      <c r="F63" s="1127"/>
      <c r="G63" s="1127"/>
      <c r="H63" s="1127"/>
      <c r="I63" s="1127"/>
      <c r="J63" s="1127"/>
      <c r="K63" s="55"/>
      <c r="L63" s="55"/>
      <c r="M63" s="55"/>
      <c r="N63" s="55"/>
      <c r="O63" s="55"/>
      <c r="P63" s="55"/>
      <c r="Q63" s="55"/>
      <c r="R63" s="55"/>
      <c r="S63" s="55"/>
      <c r="T63" s="55"/>
      <c r="U63" s="55"/>
      <c r="V63" s="55"/>
      <c r="W63" s="55"/>
      <c r="X63" s="55"/>
      <c r="Y63" s="55"/>
      <c r="Z63" s="55"/>
    </row>
    <row r="64" spans="1:26">
      <c r="A64" s="1127"/>
      <c r="B64" s="1127"/>
      <c r="C64" s="1127"/>
      <c r="D64" s="1127"/>
      <c r="E64" s="1127"/>
      <c r="F64" s="1127"/>
      <c r="G64" s="1127"/>
      <c r="H64" s="1127"/>
      <c r="I64" s="1127"/>
      <c r="J64" s="1127"/>
      <c r="K64" s="55"/>
      <c r="L64" s="55"/>
      <c r="M64" s="55"/>
      <c r="N64" s="55"/>
      <c r="O64" s="55"/>
      <c r="P64" s="55"/>
      <c r="Q64" s="55"/>
      <c r="R64" s="55"/>
      <c r="S64" s="55"/>
      <c r="T64" s="55"/>
      <c r="U64" s="55"/>
      <c r="V64" s="55"/>
      <c r="W64" s="55"/>
      <c r="X64" s="55"/>
      <c r="Y64" s="55"/>
      <c r="Z64" s="55"/>
    </row>
    <row r="65" spans="1:26">
      <c r="A65" s="1127"/>
      <c r="B65" s="1127"/>
      <c r="C65" s="1127"/>
      <c r="D65" s="1127"/>
      <c r="E65" s="1127"/>
      <c r="F65" s="1127"/>
      <c r="G65" s="1127"/>
      <c r="H65" s="1127"/>
      <c r="I65" s="1127"/>
      <c r="J65" s="1127"/>
      <c r="K65" s="55"/>
      <c r="L65" s="55"/>
      <c r="M65" s="55"/>
      <c r="N65" s="55"/>
      <c r="O65" s="55"/>
      <c r="P65" s="55"/>
      <c r="Q65" s="55"/>
      <c r="R65" s="55"/>
      <c r="S65" s="55"/>
      <c r="T65" s="55"/>
      <c r="U65" s="55"/>
      <c r="V65" s="55"/>
      <c r="W65" s="55"/>
      <c r="X65" s="55"/>
      <c r="Y65" s="55"/>
      <c r="Z65" s="55"/>
    </row>
    <row r="66" spans="1:26">
      <c r="A66" s="1127"/>
      <c r="B66" s="1127"/>
      <c r="C66" s="1127"/>
      <c r="D66" s="1127"/>
      <c r="E66" s="1127"/>
      <c r="F66" s="1127"/>
      <c r="G66" s="1127"/>
      <c r="H66" s="1127"/>
      <c r="I66" s="1127"/>
      <c r="J66" s="1127"/>
      <c r="K66" s="55"/>
      <c r="L66" s="55"/>
      <c r="M66" s="55"/>
      <c r="N66" s="55"/>
      <c r="O66" s="55"/>
      <c r="P66" s="55"/>
      <c r="Q66" s="55"/>
      <c r="R66" s="55"/>
      <c r="S66" s="55"/>
      <c r="T66" s="55"/>
      <c r="U66" s="55"/>
      <c r="V66" s="55"/>
      <c r="W66" s="55"/>
      <c r="X66" s="55"/>
      <c r="Y66" s="55"/>
      <c r="Z66" s="55"/>
    </row>
    <row r="67" spans="1:26">
      <c r="A67" s="1127"/>
      <c r="B67" s="1127"/>
      <c r="C67" s="1127"/>
      <c r="D67" s="1127"/>
      <c r="E67" s="1127"/>
      <c r="F67" s="1127"/>
      <c r="G67" s="1127"/>
      <c r="H67" s="1127"/>
      <c r="I67" s="1127"/>
      <c r="J67" s="1127"/>
      <c r="K67" s="55"/>
      <c r="L67" s="55"/>
      <c r="M67" s="55"/>
      <c r="N67" s="55"/>
      <c r="O67" s="55"/>
      <c r="P67" s="55"/>
      <c r="Q67" s="55"/>
      <c r="R67" s="55"/>
      <c r="S67" s="55"/>
      <c r="T67" s="55"/>
      <c r="U67" s="55"/>
      <c r="V67" s="55"/>
      <c r="W67" s="55"/>
      <c r="X67" s="55"/>
      <c r="Y67" s="55"/>
      <c r="Z67" s="55"/>
    </row>
    <row r="68" spans="1:26">
      <c r="A68" s="1127"/>
      <c r="B68" s="1127"/>
      <c r="C68" s="1127"/>
      <c r="D68" s="1127"/>
      <c r="E68" s="1127"/>
      <c r="F68" s="1127"/>
      <c r="G68" s="1127"/>
      <c r="H68" s="1127"/>
      <c r="I68" s="1127"/>
      <c r="J68" s="1127"/>
      <c r="K68" s="55"/>
      <c r="L68" s="55"/>
      <c r="M68" s="55"/>
      <c r="N68" s="55"/>
      <c r="O68" s="55"/>
      <c r="P68" s="55"/>
      <c r="Q68" s="55"/>
      <c r="R68" s="55"/>
      <c r="S68" s="55"/>
      <c r="T68" s="55"/>
      <c r="U68" s="55"/>
      <c r="V68" s="55"/>
      <c r="W68" s="55"/>
      <c r="X68" s="55"/>
      <c r="Y68" s="55"/>
      <c r="Z68" s="55"/>
    </row>
    <row r="69" spans="1:26">
      <c r="A69" s="1127"/>
      <c r="B69" s="1127"/>
      <c r="C69" s="1127"/>
      <c r="D69" s="1127"/>
      <c r="E69" s="1127"/>
      <c r="F69" s="1127"/>
      <c r="G69" s="1127"/>
      <c r="H69" s="1127"/>
      <c r="I69" s="1127"/>
      <c r="J69" s="1127"/>
      <c r="K69" s="55"/>
      <c r="L69" s="55"/>
      <c r="M69" s="55"/>
      <c r="N69" s="55"/>
      <c r="O69" s="55"/>
      <c r="P69" s="55"/>
      <c r="Q69" s="55"/>
      <c r="R69" s="55"/>
      <c r="S69" s="55"/>
      <c r="T69" s="55"/>
      <c r="U69" s="55"/>
      <c r="V69" s="55"/>
      <c r="W69" s="55"/>
      <c r="X69" s="55"/>
      <c r="Y69" s="55"/>
      <c r="Z69" s="55"/>
    </row>
    <row r="70" spans="1:26">
      <c r="A70" s="1127"/>
      <c r="B70" s="1127"/>
      <c r="C70" s="1127"/>
      <c r="D70" s="1127"/>
      <c r="E70" s="1127"/>
      <c r="F70" s="1127"/>
      <c r="G70" s="1127"/>
      <c r="H70" s="1127"/>
      <c r="I70" s="1127"/>
      <c r="J70" s="1127"/>
      <c r="K70" s="55"/>
      <c r="L70" s="55"/>
      <c r="M70" s="55"/>
      <c r="N70" s="55"/>
      <c r="O70" s="55"/>
      <c r="P70" s="55"/>
      <c r="Q70" s="55"/>
      <c r="R70" s="55"/>
      <c r="S70" s="55"/>
      <c r="T70" s="55"/>
      <c r="U70" s="55"/>
      <c r="V70" s="55"/>
      <c r="W70" s="55"/>
      <c r="X70" s="55"/>
      <c r="Y70" s="55"/>
      <c r="Z70" s="55"/>
    </row>
    <row r="71" spans="1:26">
      <c r="A71" s="1127"/>
      <c r="B71" s="1127"/>
      <c r="C71" s="1127"/>
      <c r="D71" s="1127"/>
      <c r="E71" s="1127"/>
      <c r="F71" s="1127"/>
      <c r="G71" s="1127"/>
      <c r="H71" s="1127"/>
      <c r="I71" s="1127"/>
      <c r="J71" s="1127"/>
      <c r="K71" s="55"/>
      <c r="L71" s="55"/>
      <c r="M71" s="55"/>
      <c r="N71" s="55"/>
      <c r="O71" s="55"/>
      <c r="P71" s="55"/>
      <c r="Q71" s="55"/>
      <c r="R71" s="55"/>
      <c r="S71" s="55"/>
      <c r="T71" s="55"/>
      <c r="U71" s="55"/>
      <c r="V71" s="55"/>
      <c r="W71" s="55"/>
      <c r="X71" s="55"/>
      <c r="Y71" s="55"/>
      <c r="Z71" s="55"/>
    </row>
    <row r="72" spans="1:26">
      <c r="A72" s="1127"/>
      <c r="B72" s="1127"/>
      <c r="C72" s="1127"/>
      <c r="D72" s="1127"/>
      <c r="E72" s="1127"/>
      <c r="F72" s="1127"/>
      <c r="G72" s="1127"/>
      <c r="H72" s="1127"/>
      <c r="I72" s="1127"/>
      <c r="J72" s="1127"/>
      <c r="K72" s="55"/>
      <c r="L72" s="55"/>
      <c r="M72" s="55"/>
      <c r="N72" s="55"/>
      <c r="O72" s="55"/>
      <c r="P72" s="55"/>
      <c r="Q72" s="55"/>
      <c r="R72" s="55"/>
      <c r="S72" s="55"/>
      <c r="T72" s="55"/>
      <c r="U72" s="55"/>
      <c r="V72" s="55"/>
      <c r="W72" s="55"/>
      <c r="X72" s="55"/>
      <c r="Y72" s="55"/>
      <c r="Z72" s="55"/>
    </row>
    <row r="73" spans="1:26">
      <c r="A73" s="1127"/>
      <c r="B73" s="1127"/>
      <c r="C73" s="1127"/>
      <c r="D73" s="1127"/>
      <c r="E73" s="1127"/>
      <c r="F73" s="1127"/>
      <c r="G73" s="1127"/>
      <c r="H73" s="1127"/>
      <c r="I73" s="1127"/>
      <c r="J73" s="1127"/>
      <c r="K73" s="55"/>
      <c r="L73" s="55"/>
      <c r="M73" s="55"/>
      <c r="N73" s="55"/>
      <c r="O73" s="55"/>
      <c r="P73" s="55"/>
      <c r="Q73" s="55"/>
      <c r="R73" s="55"/>
      <c r="S73" s="55"/>
      <c r="T73" s="55"/>
      <c r="U73" s="55"/>
      <c r="V73" s="55"/>
      <c r="W73" s="55"/>
      <c r="X73" s="55"/>
      <c r="Y73" s="55"/>
      <c r="Z73" s="55"/>
    </row>
    <row r="74" spans="1:26">
      <c r="A74" s="1127"/>
      <c r="B74" s="1127"/>
      <c r="C74" s="1127"/>
      <c r="D74" s="1127"/>
      <c r="E74" s="1127"/>
      <c r="F74" s="1127"/>
      <c r="G74" s="1127"/>
      <c r="H74" s="1127"/>
      <c r="I74" s="1127"/>
      <c r="J74" s="1127"/>
      <c r="K74" s="55"/>
      <c r="L74" s="55"/>
      <c r="M74" s="55"/>
      <c r="N74" s="55"/>
      <c r="O74" s="55"/>
      <c r="P74" s="55"/>
      <c r="Q74" s="55"/>
      <c r="R74" s="55"/>
      <c r="S74" s="55"/>
      <c r="T74" s="55"/>
      <c r="U74" s="55"/>
      <c r="V74" s="55"/>
      <c r="W74" s="55"/>
      <c r="X74" s="55"/>
      <c r="Y74" s="55"/>
      <c r="Z74" s="55"/>
    </row>
    <row r="75" spans="1:26">
      <c r="A75" s="1127"/>
      <c r="B75" s="1127"/>
      <c r="C75" s="1127"/>
      <c r="D75" s="1127"/>
      <c r="E75" s="1127"/>
      <c r="F75" s="1127"/>
      <c r="G75" s="1127"/>
      <c r="H75" s="1127"/>
      <c r="I75" s="1127"/>
      <c r="J75" s="1127"/>
      <c r="K75" s="55"/>
      <c r="L75" s="55"/>
      <c r="M75" s="55"/>
      <c r="N75" s="55"/>
      <c r="O75" s="55"/>
      <c r="P75" s="55"/>
      <c r="Q75" s="55"/>
      <c r="R75" s="55"/>
      <c r="S75" s="55"/>
      <c r="T75" s="55"/>
      <c r="U75" s="55"/>
      <c r="V75" s="55"/>
      <c r="W75" s="55"/>
      <c r="X75" s="55"/>
      <c r="Y75" s="55"/>
      <c r="Z75" s="55"/>
    </row>
    <row r="76" spans="1:26">
      <c r="A76" s="1127"/>
      <c r="B76" s="1127"/>
      <c r="C76" s="1127"/>
      <c r="D76" s="1127"/>
      <c r="E76" s="1127"/>
      <c r="F76" s="1127"/>
      <c r="G76" s="1127"/>
      <c r="H76" s="1127"/>
      <c r="I76" s="1127"/>
      <c r="J76" s="1127"/>
      <c r="K76" s="55"/>
      <c r="L76" s="55"/>
      <c r="M76" s="55"/>
      <c r="N76" s="55"/>
      <c r="O76" s="55"/>
      <c r="P76" s="55"/>
      <c r="Q76" s="55"/>
      <c r="R76" s="55"/>
      <c r="S76" s="55"/>
      <c r="T76" s="55"/>
      <c r="U76" s="55"/>
      <c r="V76" s="55"/>
      <c r="W76" s="55"/>
      <c r="X76" s="55"/>
      <c r="Y76" s="55"/>
      <c r="Z76" s="55"/>
    </row>
    <row r="77" spans="1:26">
      <c r="A77" s="1127"/>
      <c r="B77" s="1127"/>
      <c r="C77" s="1127"/>
      <c r="D77" s="1127"/>
      <c r="E77" s="1127"/>
      <c r="F77" s="1127"/>
      <c r="G77" s="1127"/>
      <c r="H77" s="1127"/>
      <c r="I77" s="1127"/>
      <c r="J77" s="1127"/>
      <c r="K77" s="55"/>
      <c r="L77" s="55"/>
      <c r="M77" s="55"/>
      <c r="N77" s="55"/>
      <c r="O77" s="55"/>
      <c r="P77" s="55"/>
      <c r="Q77" s="55"/>
      <c r="R77" s="55"/>
      <c r="S77" s="55"/>
      <c r="T77" s="55"/>
      <c r="U77" s="55"/>
      <c r="V77" s="55"/>
      <c r="W77" s="55"/>
      <c r="X77" s="55"/>
      <c r="Y77" s="55"/>
      <c r="Z77" s="55"/>
    </row>
    <row r="78" spans="1:26">
      <c r="A78" s="1127"/>
      <c r="B78" s="1127"/>
      <c r="C78" s="1127"/>
      <c r="D78" s="1127"/>
      <c r="E78" s="1127"/>
      <c r="F78" s="1127"/>
      <c r="G78" s="1127"/>
      <c r="H78" s="1127"/>
      <c r="I78" s="1127"/>
      <c r="J78" s="1127"/>
      <c r="K78" s="55"/>
      <c r="L78" s="55"/>
      <c r="M78" s="55"/>
      <c r="N78" s="55"/>
      <c r="O78" s="55"/>
      <c r="P78" s="55"/>
      <c r="Q78" s="55"/>
      <c r="R78" s="55"/>
      <c r="S78" s="55"/>
      <c r="T78" s="55"/>
      <c r="U78" s="55"/>
      <c r="V78" s="55"/>
      <c r="W78" s="55"/>
      <c r="X78" s="55"/>
      <c r="Y78" s="55"/>
      <c r="Z78" s="55"/>
    </row>
    <row r="79" spans="1:26">
      <c r="A79" s="1127"/>
      <c r="B79" s="1127"/>
      <c r="C79" s="1127"/>
      <c r="D79" s="1127"/>
      <c r="E79" s="1127"/>
      <c r="F79" s="1127"/>
      <c r="G79" s="1127"/>
      <c r="H79" s="1127"/>
      <c r="I79" s="1127"/>
      <c r="J79" s="1127"/>
      <c r="K79" s="55"/>
      <c r="L79" s="55"/>
      <c r="M79" s="55"/>
      <c r="N79" s="55"/>
      <c r="O79" s="55"/>
      <c r="P79" s="55"/>
      <c r="Q79" s="55"/>
      <c r="R79" s="55"/>
      <c r="S79" s="55"/>
      <c r="T79" s="55"/>
      <c r="U79" s="55"/>
      <c r="V79" s="55"/>
      <c r="W79" s="55"/>
      <c r="X79" s="55"/>
      <c r="Y79" s="55"/>
      <c r="Z79" s="55"/>
    </row>
    <row r="80" spans="1:26">
      <c r="A80" s="1127"/>
      <c r="B80" s="1127"/>
      <c r="C80" s="1127"/>
      <c r="D80" s="1127"/>
      <c r="E80" s="1127"/>
      <c r="F80" s="1127"/>
      <c r="G80" s="1127"/>
      <c r="H80" s="1127"/>
      <c r="I80" s="1127"/>
      <c r="J80" s="1127"/>
      <c r="K80" s="55"/>
      <c r="L80" s="55"/>
      <c r="M80" s="55"/>
      <c r="N80" s="55"/>
      <c r="O80" s="55"/>
      <c r="P80" s="55"/>
      <c r="Q80" s="55"/>
      <c r="R80" s="55"/>
      <c r="S80" s="55"/>
      <c r="T80" s="55"/>
      <c r="U80" s="55"/>
      <c r="V80" s="55"/>
      <c r="W80" s="55"/>
      <c r="X80" s="55"/>
      <c r="Y80" s="55"/>
      <c r="Z80" s="55"/>
    </row>
    <row r="81" spans="1:26">
      <c r="A81" s="1127"/>
      <c r="B81" s="1127"/>
      <c r="C81" s="1127"/>
      <c r="D81" s="1127"/>
      <c r="E81" s="1127"/>
      <c r="F81" s="1127"/>
      <c r="G81" s="1127"/>
      <c r="H81" s="1127"/>
      <c r="I81" s="1127"/>
      <c r="J81" s="1127"/>
      <c r="K81" s="55"/>
      <c r="L81" s="55"/>
      <c r="M81" s="55"/>
      <c r="N81" s="55"/>
      <c r="O81" s="55"/>
      <c r="P81" s="55"/>
      <c r="Q81" s="55"/>
      <c r="R81" s="55"/>
      <c r="S81" s="55"/>
      <c r="T81" s="55"/>
      <c r="U81" s="55"/>
      <c r="V81" s="55"/>
      <c r="W81" s="55"/>
      <c r="X81" s="55"/>
      <c r="Y81" s="55"/>
      <c r="Z81" s="55"/>
    </row>
    <row r="82" spans="1:26">
      <c r="A82" s="1127"/>
      <c r="B82" s="1127"/>
      <c r="C82" s="1127"/>
      <c r="D82" s="1127"/>
      <c r="E82" s="1127"/>
      <c r="F82" s="1127"/>
      <c r="G82" s="1127"/>
      <c r="H82" s="1127"/>
      <c r="I82" s="1127"/>
      <c r="J82" s="1127"/>
      <c r="K82" s="55"/>
      <c r="L82" s="55"/>
      <c r="M82" s="55"/>
      <c r="N82" s="55"/>
      <c r="O82" s="55"/>
      <c r="P82" s="55"/>
      <c r="Q82" s="55"/>
      <c r="R82" s="55"/>
      <c r="S82" s="55"/>
      <c r="T82" s="55"/>
      <c r="U82" s="55"/>
      <c r="V82" s="55"/>
      <c r="W82" s="55"/>
      <c r="X82" s="55"/>
      <c r="Y82" s="55"/>
      <c r="Z82" s="55"/>
    </row>
    <row r="83" spans="1:26">
      <c r="A83" s="1127"/>
      <c r="B83" s="1127"/>
      <c r="C83" s="1127"/>
      <c r="D83" s="1127"/>
      <c r="E83" s="1127"/>
      <c r="F83" s="1127"/>
      <c r="G83" s="1127"/>
      <c r="H83" s="1127"/>
      <c r="I83" s="1127"/>
      <c r="J83" s="1127"/>
      <c r="K83" s="55"/>
      <c r="L83" s="55"/>
      <c r="M83" s="55"/>
      <c r="N83" s="55"/>
      <c r="O83" s="55"/>
      <c r="P83" s="55"/>
      <c r="Q83" s="55"/>
      <c r="R83" s="55"/>
      <c r="S83" s="55"/>
      <c r="T83" s="55"/>
      <c r="U83" s="55"/>
      <c r="V83" s="55"/>
      <c r="W83" s="55"/>
      <c r="X83" s="55"/>
      <c r="Y83" s="55"/>
      <c r="Z83" s="55"/>
    </row>
    <row r="84" spans="1:26">
      <c r="A84" s="1127"/>
      <c r="B84" s="1127"/>
      <c r="C84" s="1127"/>
      <c r="D84" s="1127"/>
      <c r="E84" s="1127"/>
      <c r="F84" s="1127"/>
      <c r="G84" s="1127"/>
      <c r="H84" s="1127"/>
      <c r="I84" s="1127"/>
      <c r="J84" s="1127"/>
      <c r="K84" s="55"/>
      <c r="L84" s="55"/>
      <c r="M84" s="55"/>
      <c r="N84" s="55"/>
      <c r="O84" s="55"/>
      <c r="P84" s="55"/>
      <c r="Q84" s="55"/>
      <c r="R84" s="55"/>
      <c r="S84" s="55"/>
      <c r="T84" s="55"/>
      <c r="U84" s="55"/>
      <c r="V84" s="55"/>
      <c r="W84" s="55"/>
      <c r="X84" s="55"/>
      <c r="Y84" s="55"/>
      <c r="Z84" s="55"/>
    </row>
    <row r="85" spans="1:26" ht="15">
      <c r="A85" s="55"/>
      <c r="B85" s="55"/>
      <c r="C85" s="55"/>
      <c r="D85" s="55"/>
      <c r="E85" s="55"/>
      <c r="F85" s="55"/>
      <c r="G85" s="55"/>
      <c r="H85" s="55"/>
      <c r="I85" s="55"/>
      <c r="J85" s="55"/>
      <c r="K85" s="55"/>
      <c r="L85" s="55"/>
      <c r="M85" s="55"/>
      <c r="N85" s="55"/>
      <c r="O85" s="55"/>
      <c r="P85" s="55"/>
      <c r="Q85" s="55"/>
      <c r="R85" s="55"/>
      <c r="S85" s="55"/>
      <c r="T85" s="55"/>
      <c r="U85" s="55"/>
      <c r="V85" s="55"/>
      <c r="W85" s="55"/>
      <c r="X85" s="55"/>
      <c r="Y85" s="55"/>
      <c r="Z85" s="55"/>
    </row>
    <row r="86" spans="1:26" ht="15">
      <c r="A86" s="55"/>
      <c r="B86" s="55"/>
      <c r="C86" s="55"/>
      <c r="D86" s="55"/>
      <c r="E86" s="55"/>
      <c r="F86" s="55"/>
      <c r="G86" s="55"/>
      <c r="H86" s="55"/>
      <c r="I86" s="55"/>
      <c r="J86" s="55"/>
      <c r="K86" s="55"/>
      <c r="L86" s="55"/>
      <c r="M86" s="55"/>
      <c r="N86" s="55"/>
      <c r="O86" s="55"/>
      <c r="P86" s="55"/>
      <c r="Q86" s="55"/>
      <c r="R86" s="55"/>
      <c r="S86" s="55"/>
      <c r="T86" s="55"/>
      <c r="U86" s="55"/>
      <c r="V86" s="55"/>
      <c r="W86" s="55"/>
      <c r="X86" s="55"/>
      <c r="Y86" s="55"/>
      <c r="Z86" s="55"/>
    </row>
    <row r="87" spans="1:26" ht="15">
      <c r="A87" s="55"/>
      <c r="B87" s="55"/>
      <c r="C87" s="55"/>
      <c r="D87" s="55"/>
      <c r="E87" s="55"/>
      <c r="F87" s="55"/>
      <c r="G87" s="55"/>
      <c r="H87" s="55"/>
      <c r="I87" s="55"/>
      <c r="J87" s="55"/>
      <c r="K87" s="55"/>
      <c r="L87" s="55"/>
      <c r="M87" s="55"/>
      <c r="N87" s="55"/>
      <c r="O87" s="55"/>
      <c r="P87" s="55"/>
      <c r="Q87" s="55"/>
      <c r="R87" s="55"/>
      <c r="S87" s="55"/>
      <c r="T87" s="55"/>
      <c r="U87" s="55"/>
      <c r="V87" s="55"/>
      <c r="W87" s="55"/>
      <c r="X87" s="55"/>
      <c r="Y87" s="55"/>
      <c r="Z87" s="55"/>
    </row>
    <row r="88" spans="1:26" ht="15">
      <c r="A88" s="55"/>
      <c r="B88" s="55"/>
      <c r="C88" s="55"/>
      <c r="D88" s="55"/>
      <c r="E88" s="55"/>
      <c r="F88" s="55"/>
      <c r="G88" s="55"/>
      <c r="H88" s="55"/>
      <c r="I88" s="55"/>
      <c r="J88" s="55"/>
      <c r="K88" s="55"/>
      <c r="L88" s="55"/>
      <c r="M88" s="55"/>
      <c r="N88" s="55"/>
      <c r="O88" s="55"/>
      <c r="P88" s="55"/>
      <c r="Q88" s="55"/>
      <c r="R88" s="55"/>
      <c r="S88" s="55"/>
      <c r="T88" s="55"/>
      <c r="U88" s="55"/>
      <c r="V88" s="55"/>
      <c r="W88" s="55"/>
      <c r="X88" s="55"/>
      <c r="Y88" s="55"/>
      <c r="Z88" s="55"/>
    </row>
    <row r="89" spans="1:26" ht="15">
      <c r="A89" s="55"/>
      <c r="B89" s="55"/>
      <c r="C89" s="55"/>
      <c r="D89" s="55"/>
      <c r="E89" s="55"/>
      <c r="F89" s="55"/>
      <c r="G89" s="55"/>
      <c r="H89" s="55"/>
      <c r="I89" s="55"/>
      <c r="J89" s="55"/>
      <c r="K89" s="55"/>
      <c r="L89" s="55"/>
      <c r="M89" s="55"/>
      <c r="N89" s="55"/>
      <c r="O89" s="55"/>
      <c r="P89" s="55"/>
      <c r="Q89" s="55"/>
      <c r="R89" s="55"/>
      <c r="S89" s="55"/>
      <c r="T89" s="55"/>
      <c r="U89" s="55"/>
      <c r="V89" s="55"/>
      <c r="W89" s="55"/>
      <c r="X89" s="55"/>
      <c r="Y89" s="55"/>
      <c r="Z89" s="55"/>
    </row>
    <row r="90" spans="1:26" ht="15">
      <c r="A90" s="55"/>
      <c r="B90" s="55"/>
      <c r="C90" s="55"/>
      <c r="D90" s="55"/>
      <c r="E90" s="55"/>
      <c r="F90" s="55"/>
      <c r="G90" s="55"/>
      <c r="H90" s="55"/>
      <c r="I90" s="55"/>
      <c r="J90" s="55"/>
      <c r="K90" s="55"/>
      <c r="L90" s="55"/>
      <c r="M90" s="55"/>
      <c r="N90" s="55"/>
      <c r="O90" s="55"/>
      <c r="P90" s="55"/>
      <c r="Q90" s="55"/>
      <c r="R90" s="55"/>
      <c r="S90" s="55"/>
      <c r="T90" s="55"/>
      <c r="U90" s="55"/>
      <c r="V90" s="55"/>
      <c r="W90" s="55"/>
      <c r="X90" s="55"/>
      <c r="Y90" s="55"/>
      <c r="Z90" s="55"/>
    </row>
    <row r="91" spans="1:26" ht="15">
      <c r="A91" s="55"/>
      <c r="B91" s="55"/>
      <c r="C91" s="55"/>
      <c r="D91" s="55"/>
      <c r="E91" s="55"/>
      <c r="F91" s="55"/>
      <c r="G91" s="55"/>
      <c r="H91" s="55"/>
      <c r="I91" s="55"/>
      <c r="J91" s="55"/>
      <c r="K91" s="55"/>
      <c r="L91" s="55"/>
      <c r="M91" s="55"/>
      <c r="N91" s="55"/>
      <c r="O91" s="55"/>
      <c r="P91" s="55"/>
      <c r="Q91" s="55"/>
      <c r="R91" s="55"/>
      <c r="S91" s="55"/>
      <c r="T91" s="55"/>
      <c r="U91" s="55"/>
      <c r="V91" s="55"/>
      <c r="W91" s="55"/>
      <c r="X91" s="55"/>
      <c r="Y91" s="55"/>
      <c r="Z91" s="55"/>
    </row>
    <row r="92" spans="1:26" ht="15">
      <c r="A92" s="55"/>
      <c r="B92" s="55"/>
      <c r="C92" s="55"/>
      <c r="D92" s="55"/>
      <c r="E92" s="55"/>
      <c r="F92" s="55"/>
      <c r="G92" s="55"/>
      <c r="H92" s="55"/>
      <c r="I92" s="55"/>
      <c r="J92" s="55"/>
      <c r="K92" s="55"/>
      <c r="L92" s="55"/>
      <c r="M92" s="55"/>
      <c r="N92" s="55"/>
      <c r="O92" s="55"/>
      <c r="P92" s="55"/>
      <c r="Q92" s="55"/>
      <c r="R92" s="55"/>
      <c r="S92" s="55"/>
      <c r="T92" s="55"/>
      <c r="U92" s="55"/>
      <c r="V92" s="55"/>
      <c r="W92" s="55"/>
      <c r="X92" s="55"/>
      <c r="Y92" s="55"/>
      <c r="Z92" s="55"/>
    </row>
    <row r="93" spans="1:26" ht="15">
      <c r="A93" s="55"/>
      <c r="B93" s="55"/>
      <c r="C93" s="55"/>
      <c r="D93" s="55"/>
      <c r="E93" s="55"/>
      <c r="F93" s="55"/>
      <c r="G93" s="55"/>
      <c r="H93" s="55"/>
      <c r="I93" s="55"/>
      <c r="J93" s="55"/>
      <c r="K93" s="55"/>
      <c r="L93" s="55"/>
      <c r="M93" s="55"/>
      <c r="N93" s="55"/>
      <c r="O93" s="55"/>
      <c r="P93" s="55"/>
      <c r="Q93" s="55"/>
      <c r="R93" s="55"/>
      <c r="S93" s="55"/>
      <c r="T93" s="55"/>
      <c r="U93" s="55"/>
      <c r="V93" s="55"/>
      <c r="W93" s="55"/>
      <c r="X93" s="55"/>
      <c r="Y93" s="55"/>
      <c r="Z93" s="55"/>
    </row>
    <row r="94" spans="1:26" ht="15">
      <c r="A94" s="55"/>
      <c r="B94" s="55"/>
      <c r="C94" s="55"/>
      <c r="D94" s="55"/>
      <c r="E94" s="55"/>
      <c r="F94" s="55"/>
      <c r="G94" s="55"/>
      <c r="H94" s="55"/>
      <c r="I94" s="55"/>
      <c r="J94" s="55"/>
      <c r="K94" s="55"/>
      <c r="L94" s="55"/>
      <c r="M94" s="55"/>
      <c r="N94" s="55"/>
      <c r="O94" s="55"/>
      <c r="P94" s="55"/>
      <c r="Q94" s="55"/>
      <c r="R94" s="55"/>
      <c r="S94" s="55"/>
      <c r="T94" s="55"/>
      <c r="U94" s="55"/>
      <c r="V94" s="55"/>
      <c r="W94" s="55"/>
      <c r="X94" s="55"/>
      <c r="Y94" s="55"/>
      <c r="Z94" s="55"/>
    </row>
    <row r="95" spans="1:26" ht="15">
      <c r="A95" s="55"/>
      <c r="B95" s="55"/>
      <c r="C95" s="55"/>
      <c r="D95" s="55"/>
      <c r="E95" s="55"/>
      <c r="F95" s="55"/>
      <c r="G95" s="55"/>
      <c r="H95" s="55"/>
      <c r="I95" s="55"/>
      <c r="J95" s="55"/>
      <c r="K95" s="55"/>
      <c r="L95" s="55"/>
      <c r="M95" s="55"/>
      <c r="N95" s="55"/>
      <c r="O95" s="55"/>
      <c r="P95" s="55"/>
      <c r="Q95" s="55"/>
      <c r="R95" s="55"/>
      <c r="S95" s="55"/>
      <c r="T95" s="55"/>
      <c r="U95" s="55"/>
      <c r="V95" s="55"/>
      <c r="W95" s="55"/>
      <c r="X95" s="55"/>
      <c r="Y95" s="55"/>
      <c r="Z95" s="55"/>
    </row>
    <row r="96" spans="1:26" ht="15">
      <c r="A96" s="55"/>
      <c r="B96" s="55"/>
      <c r="C96" s="55"/>
      <c r="D96" s="55"/>
      <c r="E96" s="55"/>
      <c r="F96" s="55"/>
      <c r="G96" s="55"/>
      <c r="H96" s="55"/>
      <c r="I96" s="55"/>
      <c r="J96" s="55"/>
      <c r="K96" s="55"/>
      <c r="L96" s="55"/>
      <c r="M96" s="55"/>
      <c r="N96" s="55"/>
      <c r="O96" s="55"/>
      <c r="P96" s="55"/>
      <c r="Q96" s="55"/>
      <c r="R96" s="55"/>
      <c r="S96" s="55"/>
      <c r="T96" s="55"/>
      <c r="U96" s="55"/>
      <c r="V96" s="55"/>
      <c r="W96" s="55"/>
      <c r="X96" s="55"/>
      <c r="Y96" s="55"/>
      <c r="Z96" s="55"/>
    </row>
    <row r="97" spans="1:26" ht="15">
      <c r="A97" s="55"/>
      <c r="B97" s="55"/>
      <c r="C97" s="55"/>
      <c r="D97" s="55"/>
      <c r="E97" s="55"/>
      <c r="F97" s="55"/>
      <c r="G97" s="55"/>
      <c r="H97" s="55"/>
      <c r="I97" s="55"/>
      <c r="J97" s="55"/>
      <c r="K97" s="55"/>
      <c r="L97" s="55"/>
      <c r="M97" s="55"/>
      <c r="N97" s="55"/>
      <c r="O97" s="55"/>
      <c r="P97" s="55"/>
      <c r="Q97" s="55"/>
      <c r="R97" s="55"/>
      <c r="S97" s="55"/>
      <c r="T97" s="55"/>
      <c r="U97" s="55"/>
      <c r="V97" s="55"/>
      <c r="W97" s="55"/>
      <c r="X97" s="55"/>
      <c r="Y97" s="55"/>
      <c r="Z97" s="55"/>
    </row>
    <row r="98" spans="1:26" ht="15">
      <c r="A98" s="55"/>
      <c r="B98" s="55"/>
      <c r="C98" s="55"/>
      <c r="D98" s="55"/>
      <c r="E98" s="55"/>
      <c r="F98" s="55"/>
      <c r="G98" s="55"/>
      <c r="H98" s="55"/>
      <c r="I98" s="55"/>
      <c r="J98" s="55"/>
      <c r="K98" s="55"/>
      <c r="L98" s="55"/>
      <c r="M98" s="55"/>
      <c r="N98" s="55"/>
      <c r="O98" s="55"/>
      <c r="P98" s="55"/>
      <c r="Q98" s="55"/>
      <c r="R98" s="55"/>
      <c r="S98" s="55"/>
      <c r="T98" s="55"/>
      <c r="U98" s="55"/>
      <c r="V98" s="55"/>
      <c r="W98" s="55"/>
      <c r="X98" s="55"/>
      <c r="Y98" s="55"/>
      <c r="Z98" s="55"/>
    </row>
    <row r="99" spans="1:26" ht="15">
      <c r="A99" s="55"/>
      <c r="B99" s="55"/>
      <c r="C99" s="55"/>
      <c r="D99" s="55"/>
      <c r="E99" s="55"/>
      <c r="F99" s="55"/>
      <c r="G99" s="55"/>
      <c r="H99" s="55"/>
      <c r="I99" s="55"/>
      <c r="J99" s="55"/>
      <c r="K99" s="55"/>
      <c r="L99" s="55"/>
      <c r="M99" s="55"/>
      <c r="N99" s="55"/>
      <c r="O99" s="55"/>
      <c r="P99" s="55"/>
      <c r="Q99" s="55"/>
      <c r="R99" s="55"/>
      <c r="S99" s="55"/>
      <c r="T99" s="55"/>
      <c r="U99" s="55"/>
      <c r="V99" s="55"/>
      <c r="W99" s="55"/>
      <c r="X99" s="55"/>
      <c r="Y99" s="55"/>
      <c r="Z99" s="55"/>
    </row>
    <row r="100" spans="1:26" ht="15">
      <c r="A100" s="55"/>
      <c r="B100" s="55"/>
      <c r="C100" s="55"/>
      <c r="D100" s="55"/>
      <c r="E100" s="55"/>
      <c r="F100" s="55"/>
      <c r="G100" s="55"/>
      <c r="H100" s="55"/>
      <c r="I100" s="55"/>
      <c r="J100" s="55"/>
      <c r="K100" s="55"/>
      <c r="L100" s="55"/>
      <c r="M100" s="55"/>
      <c r="N100" s="55"/>
      <c r="O100" s="55"/>
      <c r="P100" s="55"/>
      <c r="Q100" s="55"/>
      <c r="R100" s="55"/>
      <c r="S100" s="55"/>
      <c r="T100" s="55"/>
      <c r="U100" s="55"/>
      <c r="V100" s="55"/>
      <c r="W100" s="55"/>
      <c r="X100" s="55"/>
      <c r="Y100" s="55"/>
      <c r="Z100" s="55"/>
    </row>
    <row r="101" spans="1:26" ht="15">
      <c r="A101" s="55"/>
      <c r="B101" s="55"/>
      <c r="C101" s="55"/>
      <c r="D101" s="55"/>
      <c r="E101" s="55"/>
      <c r="F101" s="55"/>
      <c r="G101" s="55"/>
      <c r="H101" s="55"/>
      <c r="I101" s="55"/>
      <c r="J101" s="55"/>
      <c r="K101" s="55"/>
      <c r="L101" s="55"/>
      <c r="M101" s="55"/>
      <c r="N101" s="55"/>
      <c r="O101" s="55"/>
      <c r="P101" s="55"/>
      <c r="Q101" s="55"/>
      <c r="R101" s="55"/>
      <c r="S101" s="55"/>
      <c r="T101" s="55"/>
      <c r="U101" s="55"/>
      <c r="V101" s="55"/>
      <c r="W101" s="55"/>
      <c r="X101" s="55"/>
      <c r="Y101" s="55"/>
      <c r="Z101" s="55"/>
    </row>
    <row r="102" spans="1:26" ht="15">
      <c r="A102" s="55"/>
      <c r="B102" s="55"/>
      <c r="C102" s="55"/>
      <c r="D102" s="55"/>
      <c r="E102" s="55"/>
      <c r="F102" s="55"/>
      <c r="G102" s="55"/>
      <c r="H102" s="55"/>
      <c r="I102" s="55"/>
      <c r="J102" s="55"/>
      <c r="K102" s="55"/>
      <c r="L102" s="55"/>
      <c r="M102" s="55"/>
      <c r="N102" s="55"/>
      <c r="O102" s="55"/>
      <c r="P102" s="55"/>
      <c r="Q102" s="55"/>
      <c r="R102" s="55"/>
      <c r="S102" s="55"/>
      <c r="T102" s="55"/>
      <c r="U102" s="55"/>
      <c r="V102" s="55"/>
      <c r="W102" s="55"/>
      <c r="X102" s="55"/>
      <c r="Y102" s="55"/>
      <c r="Z102" s="55"/>
    </row>
    <row r="103" spans="1:26" ht="15">
      <c r="A103" s="55"/>
      <c r="B103" s="55"/>
      <c r="C103" s="55"/>
      <c r="D103" s="55"/>
      <c r="E103" s="55"/>
      <c r="F103" s="55"/>
      <c r="G103" s="55"/>
      <c r="H103" s="55"/>
      <c r="I103" s="55"/>
      <c r="J103" s="55"/>
      <c r="K103" s="55"/>
      <c r="L103" s="55"/>
      <c r="M103" s="55"/>
      <c r="N103" s="55"/>
      <c r="O103" s="55"/>
      <c r="P103" s="55"/>
      <c r="Q103" s="55"/>
      <c r="R103" s="55"/>
      <c r="S103" s="55"/>
      <c r="T103" s="55"/>
      <c r="U103" s="55"/>
      <c r="V103" s="55"/>
      <c r="W103" s="55"/>
      <c r="X103" s="55"/>
      <c r="Y103" s="55"/>
      <c r="Z103" s="55"/>
    </row>
    <row r="104" spans="1:26" ht="15">
      <c r="A104" s="55"/>
      <c r="B104" s="55"/>
      <c r="C104" s="55"/>
      <c r="D104" s="55"/>
      <c r="E104" s="55"/>
      <c r="F104" s="55"/>
      <c r="G104" s="55"/>
      <c r="H104" s="55"/>
      <c r="I104" s="55"/>
      <c r="J104" s="55"/>
      <c r="K104" s="55"/>
      <c r="L104" s="55"/>
      <c r="M104" s="55"/>
      <c r="N104" s="55"/>
      <c r="O104" s="55"/>
      <c r="P104" s="55"/>
      <c r="Q104" s="55"/>
      <c r="R104" s="55"/>
      <c r="S104" s="55"/>
      <c r="T104" s="55"/>
      <c r="U104" s="55"/>
      <c r="V104" s="55"/>
      <c r="W104" s="55"/>
      <c r="X104" s="55"/>
      <c r="Y104" s="55"/>
      <c r="Z104" s="55"/>
    </row>
    <row r="105" spans="1:26" ht="15">
      <c r="A105" s="55"/>
      <c r="B105" s="55"/>
      <c r="C105" s="55"/>
      <c r="D105" s="55"/>
      <c r="E105" s="55"/>
      <c r="F105" s="55"/>
      <c r="G105" s="55"/>
      <c r="H105" s="55"/>
      <c r="I105" s="55"/>
      <c r="J105" s="55"/>
      <c r="K105" s="55"/>
      <c r="L105" s="55"/>
      <c r="M105" s="55"/>
      <c r="N105" s="55"/>
      <c r="O105" s="55"/>
      <c r="P105" s="55"/>
      <c r="Q105" s="55"/>
      <c r="R105" s="55"/>
      <c r="S105" s="55"/>
      <c r="T105" s="55"/>
      <c r="U105" s="55"/>
      <c r="V105" s="55"/>
      <c r="W105" s="55"/>
      <c r="X105" s="55"/>
      <c r="Y105" s="55"/>
      <c r="Z105" s="55"/>
    </row>
    <row r="106" spans="1:26" ht="15">
      <c r="A106" s="55"/>
      <c r="B106" s="55"/>
      <c r="C106" s="55"/>
      <c r="D106" s="55"/>
      <c r="E106" s="55"/>
      <c r="F106" s="55"/>
      <c r="G106" s="55"/>
      <c r="H106" s="55"/>
      <c r="I106" s="55"/>
      <c r="J106" s="55"/>
      <c r="K106" s="55"/>
      <c r="L106" s="55"/>
      <c r="M106" s="55"/>
      <c r="N106" s="55"/>
      <c r="O106" s="55"/>
      <c r="P106" s="55"/>
      <c r="Q106" s="55"/>
      <c r="R106" s="55"/>
      <c r="S106" s="55"/>
      <c r="T106" s="55"/>
      <c r="U106" s="55"/>
      <c r="V106" s="55"/>
      <c r="W106" s="55"/>
      <c r="X106" s="55"/>
      <c r="Y106" s="55"/>
      <c r="Z106" s="55"/>
    </row>
    <row r="107" spans="1:26" ht="15">
      <c r="A107" s="55"/>
      <c r="B107" s="55"/>
      <c r="C107" s="55"/>
      <c r="D107" s="55"/>
      <c r="E107" s="55"/>
      <c r="F107" s="55"/>
      <c r="G107" s="55"/>
      <c r="H107" s="55"/>
      <c r="I107" s="55"/>
      <c r="J107" s="55"/>
      <c r="K107" s="55"/>
      <c r="L107" s="55"/>
      <c r="M107" s="55"/>
      <c r="N107" s="55"/>
      <c r="O107" s="55"/>
      <c r="P107" s="55"/>
      <c r="Q107" s="55"/>
      <c r="R107" s="55"/>
      <c r="S107" s="55"/>
      <c r="T107" s="55"/>
      <c r="U107" s="55"/>
      <c r="V107" s="55"/>
      <c r="W107" s="55"/>
      <c r="X107" s="55"/>
      <c r="Y107" s="55"/>
      <c r="Z107" s="55"/>
    </row>
    <row r="108" spans="1:26" ht="15">
      <c r="A108" s="55"/>
      <c r="B108" s="55"/>
      <c r="C108" s="55"/>
      <c r="D108" s="55"/>
      <c r="E108" s="55"/>
      <c r="F108" s="55"/>
      <c r="G108" s="55"/>
      <c r="H108" s="55"/>
      <c r="I108" s="55"/>
      <c r="J108" s="55"/>
      <c r="K108" s="55"/>
      <c r="L108" s="55"/>
      <c r="M108" s="55"/>
      <c r="N108" s="55"/>
      <c r="O108" s="55"/>
      <c r="P108" s="55"/>
      <c r="Q108" s="55"/>
      <c r="R108" s="55"/>
      <c r="S108" s="55"/>
      <c r="T108" s="55"/>
      <c r="U108" s="55"/>
      <c r="V108" s="55"/>
      <c r="W108" s="55"/>
      <c r="X108" s="55"/>
      <c r="Y108" s="55"/>
      <c r="Z108" s="55"/>
    </row>
    <row r="109" spans="1:26" ht="15">
      <c r="A109" s="55"/>
      <c r="B109" s="55"/>
      <c r="C109" s="55"/>
      <c r="D109" s="55"/>
      <c r="E109" s="55"/>
      <c r="F109" s="55"/>
      <c r="G109" s="55"/>
      <c r="H109" s="55"/>
      <c r="I109" s="55"/>
      <c r="J109" s="55"/>
      <c r="K109" s="55"/>
      <c r="L109" s="55"/>
      <c r="M109" s="55"/>
      <c r="N109" s="55"/>
      <c r="O109" s="55"/>
      <c r="P109" s="55"/>
      <c r="Q109" s="55"/>
      <c r="R109" s="55"/>
      <c r="S109" s="55"/>
      <c r="T109" s="55"/>
      <c r="U109" s="55"/>
      <c r="V109" s="55"/>
      <c r="W109" s="55"/>
      <c r="X109" s="55"/>
      <c r="Y109" s="55"/>
      <c r="Z109" s="55"/>
    </row>
    <row r="110" spans="1:26" ht="15">
      <c r="A110" s="55"/>
      <c r="B110" s="55"/>
      <c r="C110" s="55"/>
      <c r="D110" s="55"/>
      <c r="E110" s="55"/>
      <c r="F110" s="55"/>
      <c r="G110" s="55"/>
      <c r="H110" s="55"/>
      <c r="I110" s="55"/>
      <c r="J110" s="55"/>
      <c r="K110" s="55"/>
      <c r="L110" s="55"/>
      <c r="M110" s="55"/>
      <c r="N110" s="55"/>
      <c r="O110" s="55"/>
      <c r="P110" s="55"/>
      <c r="Q110" s="55"/>
      <c r="R110" s="55"/>
      <c r="S110" s="55"/>
      <c r="T110" s="55"/>
      <c r="U110" s="55"/>
      <c r="V110" s="55"/>
      <c r="W110" s="55"/>
      <c r="X110" s="55"/>
      <c r="Y110" s="55"/>
      <c r="Z110" s="55"/>
    </row>
    <row r="111" spans="1:26" ht="15">
      <c r="A111" s="55"/>
      <c r="B111" s="55"/>
      <c r="C111" s="55"/>
      <c r="D111" s="55"/>
      <c r="E111" s="55"/>
      <c r="F111" s="55"/>
      <c r="G111" s="55"/>
      <c r="H111" s="55"/>
      <c r="I111" s="55"/>
      <c r="J111" s="55"/>
      <c r="K111" s="55"/>
      <c r="L111" s="55"/>
      <c r="M111" s="55"/>
      <c r="N111" s="55"/>
      <c r="O111" s="55"/>
      <c r="P111" s="55"/>
      <c r="Q111" s="55"/>
      <c r="R111" s="55"/>
      <c r="S111" s="55"/>
      <c r="T111" s="55"/>
      <c r="U111" s="55"/>
      <c r="V111" s="55"/>
      <c r="W111" s="55"/>
      <c r="X111" s="55"/>
      <c r="Y111" s="55"/>
      <c r="Z111" s="55"/>
    </row>
    <row r="112" spans="1:26" ht="15">
      <c r="A112" s="55"/>
      <c r="B112" s="55"/>
      <c r="C112" s="55"/>
      <c r="D112" s="55"/>
      <c r="E112" s="55"/>
      <c r="F112" s="55"/>
      <c r="G112" s="55"/>
      <c r="H112" s="55"/>
      <c r="I112" s="55"/>
      <c r="J112" s="55"/>
      <c r="K112" s="55"/>
      <c r="L112" s="55"/>
      <c r="M112" s="55"/>
      <c r="N112" s="55"/>
      <c r="O112" s="55"/>
      <c r="P112" s="55"/>
      <c r="Q112" s="55"/>
      <c r="R112" s="55"/>
      <c r="S112" s="55"/>
      <c r="T112" s="55"/>
      <c r="U112" s="55"/>
      <c r="V112" s="55"/>
      <c r="W112" s="55"/>
      <c r="X112" s="55"/>
      <c r="Y112" s="55"/>
      <c r="Z112" s="55"/>
    </row>
    <row r="113" spans="1:26" ht="15">
      <c r="A113" s="55"/>
      <c r="B113" s="55"/>
      <c r="C113" s="55"/>
      <c r="D113" s="55"/>
      <c r="E113" s="55"/>
      <c r="F113" s="55"/>
      <c r="G113" s="55"/>
      <c r="H113" s="55"/>
      <c r="I113" s="55"/>
      <c r="J113" s="55"/>
      <c r="K113" s="55"/>
      <c r="L113" s="55"/>
      <c r="M113" s="55"/>
      <c r="N113" s="55"/>
      <c r="O113" s="55"/>
      <c r="P113" s="55"/>
      <c r="Q113" s="55"/>
      <c r="R113" s="55"/>
      <c r="S113" s="55"/>
      <c r="T113" s="55"/>
      <c r="U113" s="55"/>
      <c r="V113" s="55"/>
      <c r="W113" s="55"/>
      <c r="X113" s="55"/>
      <c r="Y113" s="55"/>
      <c r="Z113" s="55"/>
    </row>
    <row r="114" spans="1:26" ht="15">
      <c r="A114" s="55"/>
      <c r="B114" s="55"/>
      <c r="C114" s="55"/>
      <c r="D114" s="55"/>
      <c r="E114" s="55"/>
      <c r="F114" s="55"/>
      <c r="G114" s="55"/>
      <c r="H114" s="55"/>
      <c r="I114" s="55"/>
      <c r="J114" s="55"/>
      <c r="K114" s="55"/>
      <c r="L114" s="55"/>
      <c r="M114" s="55"/>
      <c r="N114" s="55"/>
      <c r="O114" s="55"/>
      <c r="P114" s="55"/>
      <c r="Q114" s="55"/>
      <c r="R114" s="55"/>
      <c r="S114" s="55"/>
      <c r="T114" s="55"/>
      <c r="U114" s="55"/>
      <c r="V114" s="55"/>
      <c r="W114" s="55"/>
      <c r="X114" s="55"/>
      <c r="Y114" s="55"/>
      <c r="Z114" s="55"/>
    </row>
    <row r="115" spans="1:26" ht="15">
      <c r="A115" s="55"/>
      <c r="B115" s="55"/>
      <c r="C115" s="55"/>
      <c r="D115" s="55"/>
      <c r="E115" s="55"/>
      <c r="F115" s="55"/>
      <c r="G115" s="55"/>
      <c r="H115" s="55"/>
      <c r="I115" s="55"/>
      <c r="J115" s="55"/>
      <c r="K115" s="55"/>
      <c r="L115" s="55"/>
      <c r="M115" s="55"/>
      <c r="N115" s="55"/>
      <c r="O115" s="55"/>
      <c r="P115" s="55"/>
      <c r="Q115" s="55"/>
      <c r="R115" s="55"/>
      <c r="S115" s="55"/>
      <c r="T115" s="55"/>
      <c r="U115" s="55"/>
      <c r="V115" s="55"/>
      <c r="W115" s="55"/>
      <c r="X115" s="55"/>
      <c r="Y115" s="55"/>
      <c r="Z115" s="55"/>
    </row>
    <row r="116" spans="1:26" ht="15">
      <c r="A116" s="55"/>
      <c r="B116" s="55"/>
      <c r="C116" s="55"/>
      <c r="D116" s="55"/>
      <c r="E116" s="55"/>
      <c r="F116" s="55"/>
      <c r="G116" s="55"/>
      <c r="H116" s="55"/>
      <c r="I116" s="55"/>
      <c r="J116" s="55"/>
      <c r="K116" s="55"/>
      <c r="L116" s="55"/>
      <c r="M116" s="55"/>
      <c r="N116" s="55"/>
      <c r="O116" s="55"/>
      <c r="P116" s="55"/>
      <c r="Q116" s="55"/>
      <c r="R116" s="55"/>
      <c r="S116" s="55"/>
      <c r="T116" s="55"/>
      <c r="U116" s="55"/>
      <c r="V116" s="55"/>
      <c r="W116" s="55"/>
      <c r="X116" s="55"/>
      <c r="Y116" s="55"/>
      <c r="Z116" s="55"/>
    </row>
    <row r="117" spans="1:26" ht="15">
      <c r="A117" s="55"/>
      <c r="B117" s="55"/>
      <c r="C117" s="55"/>
      <c r="D117" s="55"/>
      <c r="E117" s="55"/>
      <c r="F117" s="55"/>
      <c r="G117" s="55"/>
      <c r="H117" s="55"/>
      <c r="I117" s="55"/>
      <c r="J117" s="55"/>
      <c r="K117" s="55"/>
      <c r="L117" s="55"/>
      <c r="M117" s="55"/>
      <c r="N117" s="55"/>
      <c r="O117" s="55"/>
      <c r="P117" s="55"/>
      <c r="Q117" s="55"/>
      <c r="R117" s="55"/>
      <c r="S117" s="55"/>
      <c r="T117" s="55"/>
      <c r="U117" s="55"/>
      <c r="V117" s="55"/>
      <c r="W117" s="55"/>
      <c r="X117" s="55"/>
      <c r="Y117" s="55"/>
      <c r="Z117" s="55"/>
    </row>
    <row r="118" spans="1:26" ht="15">
      <c r="A118" s="55"/>
      <c r="B118" s="55"/>
      <c r="C118" s="55"/>
      <c r="D118" s="55"/>
      <c r="E118" s="55"/>
      <c r="F118" s="55"/>
      <c r="G118" s="55"/>
      <c r="H118" s="55"/>
      <c r="I118" s="55"/>
      <c r="J118" s="55"/>
      <c r="K118" s="55"/>
      <c r="L118" s="55"/>
      <c r="M118" s="55"/>
      <c r="N118" s="55"/>
      <c r="O118" s="55"/>
      <c r="P118" s="55"/>
      <c r="Q118" s="55"/>
      <c r="R118" s="55"/>
      <c r="S118" s="55"/>
      <c r="T118" s="55"/>
      <c r="U118" s="55"/>
      <c r="V118" s="55"/>
      <c r="W118" s="55"/>
      <c r="X118" s="55"/>
      <c r="Y118" s="55"/>
      <c r="Z118" s="55"/>
    </row>
    <row r="119" spans="1:26" ht="15">
      <c r="A119" s="55"/>
      <c r="B119" s="55"/>
      <c r="C119" s="55"/>
      <c r="D119" s="55"/>
      <c r="E119" s="55"/>
      <c r="F119" s="55"/>
      <c r="G119" s="55"/>
      <c r="H119" s="55"/>
      <c r="I119" s="55"/>
      <c r="J119" s="55"/>
      <c r="K119" s="55"/>
      <c r="L119" s="55"/>
      <c r="M119" s="55"/>
      <c r="N119" s="55"/>
      <c r="O119" s="55"/>
      <c r="P119" s="55"/>
      <c r="Q119" s="55"/>
      <c r="R119" s="55"/>
      <c r="S119" s="55"/>
      <c r="T119" s="55"/>
      <c r="U119" s="55"/>
      <c r="V119" s="55"/>
      <c r="W119" s="55"/>
      <c r="X119" s="55"/>
      <c r="Y119" s="55"/>
      <c r="Z119" s="55"/>
    </row>
    <row r="120" spans="1:26" ht="15">
      <c r="A120" s="55"/>
      <c r="B120" s="55"/>
      <c r="C120" s="55"/>
      <c r="D120" s="55"/>
      <c r="E120" s="55"/>
      <c r="F120" s="55"/>
      <c r="G120" s="55"/>
      <c r="H120" s="55"/>
      <c r="I120" s="55"/>
      <c r="J120" s="55"/>
      <c r="K120" s="55"/>
      <c r="L120" s="55"/>
      <c r="M120" s="55"/>
      <c r="N120" s="55"/>
      <c r="O120" s="55"/>
      <c r="P120" s="55"/>
      <c r="Q120" s="55"/>
      <c r="R120" s="55"/>
      <c r="S120" s="55"/>
      <c r="T120" s="55"/>
      <c r="U120" s="55"/>
      <c r="V120" s="55"/>
      <c r="W120" s="55"/>
      <c r="X120" s="55"/>
      <c r="Y120" s="55"/>
      <c r="Z120" s="55"/>
    </row>
    <row r="121" spans="1:26" ht="15">
      <c r="A121" s="55"/>
      <c r="B121" s="55"/>
      <c r="C121" s="55"/>
      <c r="D121" s="55"/>
      <c r="E121" s="55"/>
      <c r="F121" s="55"/>
      <c r="G121" s="55"/>
      <c r="H121" s="55"/>
      <c r="I121" s="55"/>
      <c r="J121" s="55"/>
      <c r="K121" s="55"/>
      <c r="L121" s="55"/>
      <c r="M121" s="55"/>
      <c r="N121" s="55"/>
      <c r="O121" s="55"/>
      <c r="P121" s="55"/>
      <c r="Q121" s="55"/>
      <c r="R121" s="55"/>
      <c r="S121" s="55"/>
      <c r="T121" s="55"/>
      <c r="U121" s="55"/>
      <c r="V121" s="55"/>
      <c r="W121" s="55"/>
      <c r="X121" s="55"/>
      <c r="Y121" s="55"/>
      <c r="Z121" s="55"/>
    </row>
    <row r="122" spans="1:26" ht="15">
      <c r="A122" s="55"/>
      <c r="B122" s="55"/>
      <c r="C122" s="55"/>
      <c r="D122" s="55"/>
      <c r="E122" s="55"/>
      <c r="F122" s="55"/>
      <c r="G122" s="55"/>
      <c r="H122" s="55"/>
      <c r="I122" s="55"/>
      <c r="J122" s="55"/>
      <c r="K122" s="55"/>
      <c r="L122" s="55"/>
      <c r="M122" s="55"/>
      <c r="N122" s="55"/>
      <c r="O122" s="55"/>
      <c r="P122" s="55"/>
      <c r="Q122" s="55"/>
      <c r="R122" s="55"/>
      <c r="S122" s="55"/>
      <c r="T122" s="55"/>
      <c r="U122" s="55"/>
      <c r="V122" s="55"/>
      <c r="W122" s="55"/>
      <c r="X122" s="55"/>
      <c r="Y122" s="55"/>
      <c r="Z122" s="55"/>
    </row>
    <row r="123" spans="1:26" ht="15">
      <c r="A123" s="55"/>
      <c r="B123" s="55"/>
      <c r="C123" s="55"/>
      <c r="D123" s="55"/>
      <c r="E123" s="55"/>
      <c r="F123" s="55"/>
      <c r="G123" s="55"/>
      <c r="H123" s="55"/>
      <c r="I123" s="55"/>
      <c r="J123" s="55"/>
      <c r="K123" s="55"/>
      <c r="L123" s="55"/>
      <c r="M123" s="55"/>
      <c r="N123" s="55"/>
      <c r="O123" s="55"/>
      <c r="P123" s="55"/>
      <c r="Q123" s="55"/>
      <c r="R123" s="55"/>
      <c r="S123" s="55"/>
      <c r="T123" s="55"/>
      <c r="U123" s="55"/>
      <c r="V123" s="55"/>
      <c r="W123" s="55"/>
      <c r="X123" s="55"/>
      <c r="Y123" s="55"/>
      <c r="Z123" s="55"/>
    </row>
    <row r="124" spans="1:26" ht="15">
      <c r="A124" s="55"/>
      <c r="B124" s="55"/>
      <c r="C124" s="55"/>
      <c r="D124" s="55"/>
      <c r="E124" s="55"/>
      <c r="F124" s="55"/>
      <c r="G124" s="55"/>
      <c r="H124" s="55"/>
      <c r="I124" s="55"/>
      <c r="J124" s="55"/>
      <c r="K124" s="55"/>
      <c r="L124" s="55"/>
      <c r="M124" s="55"/>
      <c r="N124" s="55"/>
      <c r="O124" s="55"/>
      <c r="P124" s="55"/>
      <c r="Q124" s="55"/>
      <c r="R124" s="55"/>
      <c r="S124" s="55"/>
      <c r="T124" s="55"/>
      <c r="U124" s="55"/>
      <c r="V124" s="55"/>
      <c r="W124" s="55"/>
      <c r="X124" s="55"/>
      <c r="Y124" s="55"/>
      <c r="Z124" s="55"/>
    </row>
    <row r="125" spans="1:26" ht="15">
      <c r="A125" s="55"/>
      <c r="B125" s="55"/>
      <c r="C125" s="55"/>
      <c r="D125" s="55"/>
      <c r="E125" s="55"/>
      <c r="F125" s="55"/>
      <c r="G125" s="55"/>
      <c r="H125" s="55"/>
      <c r="I125" s="55"/>
      <c r="J125" s="55"/>
      <c r="K125" s="55"/>
      <c r="L125" s="55"/>
      <c r="M125" s="55"/>
      <c r="N125" s="55"/>
      <c r="O125" s="55"/>
      <c r="P125" s="55"/>
      <c r="Q125" s="55"/>
      <c r="R125" s="55"/>
      <c r="S125" s="55"/>
      <c r="T125" s="55"/>
      <c r="U125" s="55"/>
      <c r="V125" s="55"/>
      <c r="W125" s="55"/>
      <c r="X125" s="55"/>
      <c r="Y125" s="55"/>
      <c r="Z125" s="55"/>
    </row>
    <row r="126" spans="1:26" ht="15">
      <c r="A126" s="55"/>
      <c r="B126" s="55"/>
      <c r="C126" s="55"/>
      <c r="D126" s="55"/>
      <c r="E126" s="55"/>
      <c r="F126" s="55"/>
      <c r="G126" s="55"/>
      <c r="H126" s="55"/>
      <c r="I126" s="55"/>
      <c r="J126" s="55"/>
      <c r="K126" s="55"/>
      <c r="L126" s="55"/>
      <c r="M126" s="55"/>
      <c r="N126" s="55"/>
      <c r="O126" s="55"/>
      <c r="P126" s="55"/>
      <c r="Q126" s="55"/>
      <c r="R126" s="55"/>
      <c r="S126" s="55"/>
      <c r="T126" s="55"/>
      <c r="U126" s="55"/>
      <c r="V126" s="55"/>
      <c r="W126" s="55"/>
      <c r="X126" s="55"/>
      <c r="Y126" s="55"/>
      <c r="Z126" s="55"/>
    </row>
    <row r="127" spans="1:26" ht="15">
      <c r="A127" s="55"/>
      <c r="B127" s="55"/>
      <c r="C127" s="55"/>
      <c r="D127" s="55"/>
      <c r="E127" s="55"/>
      <c r="F127" s="55"/>
      <c r="G127" s="55"/>
      <c r="H127" s="55"/>
      <c r="I127" s="55"/>
      <c r="J127" s="55"/>
      <c r="K127" s="55"/>
      <c r="L127" s="55"/>
      <c r="M127" s="55"/>
      <c r="N127" s="55"/>
      <c r="O127" s="55"/>
      <c r="P127" s="55"/>
      <c r="Q127" s="55"/>
      <c r="R127" s="55"/>
      <c r="S127" s="55"/>
      <c r="T127" s="55"/>
      <c r="U127" s="55"/>
      <c r="V127" s="55"/>
      <c r="W127" s="55"/>
      <c r="X127" s="55"/>
      <c r="Y127" s="55"/>
      <c r="Z127" s="55"/>
    </row>
    <row r="128" spans="1:26" ht="15">
      <c r="A128" s="55"/>
      <c r="B128" s="55"/>
      <c r="C128" s="55"/>
      <c r="D128" s="55"/>
      <c r="E128" s="55"/>
      <c r="F128" s="55"/>
      <c r="G128" s="55"/>
      <c r="H128" s="55"/>
      <c r="I128" s="55"/>
      <c r="J128" s="55"/>
      <c r="K128" s="55"/>
      <c r="L128" s="55"/>
      <c r="M128" s="55"/>
      <c r="N128" s="55"/>
      <c r="O128" s="55"/>
      <c r="P128" s="55"/>
      <c r="Q128" s="55"/>
      <c r="R128" s="55"/>
      <c r="S128" s="55"/>
      <c r="T128" s="55"/>
      <c r="U128" s="55"/>
      <c r="V128" s="55"/>
      <c r="W128" s="55"/>
      <c r="X128" s="55"/>
      <c r="Y128" s="55"/>
      <c r="Z128" s="55"/>
    </row>
    <row r="129" spans="1:26" ht="15">
      <c r="A129" s="55"/>
      <c r="B129" s="55"/>
      <c r="C129" s="55"/>
      <c r="D129" s="55"/>
      <c r="E129" s="55"/>
      <c r="F129" s="55"/>
      <c r="G129" s="55"/>
      <c r="H129" s="55"/>
      <c r="I129" s="55"/>
      <c r="J129" s="55"/>
      <c r="K129" s="55"/>
      <c r="L129" s="55"/>
      <c r="M129" s="55"/>
      <c r="N129" s="55"/>
      <c r="O129" s="55"/>
      <c r="P129" s="55"/>
      <c r="Q129" s="55"/>
      <c r="R129" s="55"/>
      <c r="S129" s="55"/>
      <c r="T129" s="55"/>
      <c r="U129" s="55"/>
      <c r="V129" s="55"/>
      <c r="W129" s="55"/>
      <c r="X129" s="55"/>
      <c r="Y129" s="55"/>
      <c r="Z129" s="55"/>
    </row>
    <row r="130" spans="1:26" ht="15">
      <c r="A130" s="55"/>
      <c r="B130" s="55"/>
      <c r="C130" s="55"/>
      <c r="D130" s="55"/>
      <c r="E130" s="55"/>
      <c r="F130" s="55"/>
      <c r="G130" s="55"/>
      <c r="H130" s="55"/>
      <c r="I130" s="55"/>
      <c r="J130" s="55"/>
      <c r="K130" s="55"/>
      <c r="L130" s="55"/>
      <c r="M130" s="55"/>
      <c r="N130" s="55"/>
      <c r="O130" s="55"/>
      <c r="P130" s="55"/>
      <c r="Q130" s="55"/>
      <c r="R130" s="55"/>
      <c r="S130" s="55"/>
      <c r="T130" s="55"/>
      <c r="U130" s="55"/>
      <c r="V130" s="55"/>
      <c r="W130" s="55"/>
      <c r="X130" s="55"/>
      <c r="Y130" s="55"/>
      <c r="Z130" s="55"/>
    </row>
    <row r="131" spans="1:26" ht="15">
      <c r="A131" s="55"/>
      <c r="B131" s="55"/>
      <c r="C131" s="55"/>
      <c r="D131" s="55"/>
      <c r="E131" s="55"/>
      <c r="F131" s="55"/>
      <c r="G131" s="55"/>
      <c r="H131" s="55"/>
      <c r="I131" s="55"/>
      <c r="J131" s="55"/>
      <c r="K131" s="55"/>
      <c r="L131" s="55"/>
      <c r="M131" s="55"/>
      <c r="N131" s="55"/>
      <c r="O131" s="55"/>
      <c r="P131" s="55"/>
      <c r="Q131" s="55"/>
      <c r="R131" s="55"/>
      <c r="S131" s="55"/>
      <c r="T131" s="55"/>
      <c r="U131" s="55"/>
      <c r="V131" s="55"/>
      <c r="W131" s="55"/>
      <c r="X131" s="55"/>
      <c r="Y131" s="55"/>
      <c r="Z131" s="55"/>
    </row>
    <row r="132" spans="1:26" ht="15">
      <c r="A132" s="55"/>
      <c r="B132" s="55"/>
      <c r="C132" s="55"/>
      <c r="D132" s="55"/>
      <c r="E132" s="55"/>
      <c r="F132" s="55"/>
      <c r="G132" s="55"/>
      <c r="H132" s="55"/>
      <c r="I132" s="55"/>
      <c r="J132" s="55"/>
      <c r="K132" s="55"/>
      <c r="L132" s="55"/>
      <c r="M132" s="55"/>
      <c r="N132" s="55"/>
      <c r="O132" s="55"/>
      <c r="P132" s="55"/>
      <c r="Q132" s="55"/>
      <c r="R132" s="55"/>
      <c r="S132" s="55"/>
      <c r="T132" s="55"/>
      <c r="U132" s="55"/>
      <c r="V132" s="55"/>
      <c r="W132" s="55"/>
      <c r="X132" s="55"/>
      <c r="Y132" s="55"/>
      <c r="Z132" s="55"/>
    </row>
    <row r="133" spans="1:26" ht="15">
      <c r="A133" s="55"/>
      <c r="B133" s="55"/>
      <c r="C133" s="55"/>
      <c r="D133" s="55"/>
      <c r="E133" s="55"/>
      <c r="F133" s="55"/>
      <c r="G133" s="55"/>
      <c r="H133" s="55"/>
      <c r="I133" s="55"/>
      <c r="J133" s="55"/>
      <c r="K133" s="55"/>
      <c r="L133" s="55"/>
      <c r="M133" s="55"/>
      <c r="N133" s="55"/>
      <c r="O133" s="55"/>
      <c r="P133" s="55"/>
      <c r="Q133" s="55"/>
      <c r="R133" s="55"/>
      <c r="S133" s="55"/>
      <c r="T133" s="55"/>
      <c r="U133" s="55"/>
      <c r="V133" s="55"/>
      <c r="W133" s="55"/>
      <c r="X133" s="55"/>
      <c r="Y133" s="55"/>
      <c r="Z133" s="55"/>
    </row>
    <row r="134" spans="1:26" ht="15">
      <c r="A134" s="55"/>
      <c r="B134" s="55"/>
      <c r="C134" s="55"/>
      <c r="D134" s="55"/>
      <c r="E134" s="55"/>
      <c r="F134" s="55"/>
      <c r="G134" s="55"/>
      <c r="H134" s="55"/>
      <c r="I134" s="55"/>
      <c r="J134" s="55"/>
      <c r="K134" s="55"/>
      <c r="L134" s="55"/>
      <c r="M134" s="55"/>
      <c r="N134" s="55"/>
      <c r="O134" s="55"/>
      <c r="P134" s="55"/>
      <c r="Q134" s="55"/>
      <c r="R134" s="55"/>
      <c r="S134" s="55"/>
      <c r="T134" s="55"/>
      <c r="U134" s="55"/>
      <c r="V134" s="55"/>
      <c r="W134" s="55"/>
      <c r="X134" s="55"/>
      <c r="Y134" s="55"/>
      <c r="Z134" s="55"/>
    </row>
    <row r="135" spans="1:26" ht="15">
      <c r="A135" s="55"/>
      <c r="B135" s="55"/>
      <c r="C135" s="55"/>
      <c r="D135" s="55"/>
      <c r="E135" s="55"/>
      <c r="F135" s="55"/>
      <c r="G135" s="55"/>
      <c r="H135" s="55"/>
      <c r="I135" s="55"/>
      <c r="J135" s="55"/>
      <c r="K135" s="55"/>
      <c r="L135" s="55"/>
      <c r="M135" s="55"/>
      <c r="N135" s="55"/>
      <c r="O135" s="55"/>
      <c r="P135" s="55"/>
      <c r="Q135" s="55"/>
      <c r="R135" s="55"/>
      <c r="S135" s="55"/>
      <c r="T135" s="55"/>
      <c r="U135" s="55"/>
      <c r="V135" s="55"/>
      <c r="W135" s="55"/>
      <c r="X135" s="55"/>
      <c r="Y135" s="55"/>
      <c r="Z135" s="55"/>
    </row>
    <row r="136" spans="1:26" ht="15">
      <c r="A136" s="55"/>
      <c r="B136" s="55"/>
      <c r="C136" s="55"/>
      <c r="D136" s="55"/>
      <c r="E136" s="55"/>
      <c r="F136" s="55"/>
      <c r="G136" s="55"/>
      <c r="H136" s="55"/>
      <c r="I136" s="55"/>
      <c r="J136" s="55"/>
      <c r="K136" s="55"/>
      <c r="L136" s="55"/>
      <c r="M136" s="55"/>
      <c r="N136" s="55"/>
      <c r="O136" s="55"/>
      <c r="P136" s="55"/>
      <c r="Q136" s="55"/>
      <c r="R136" s="55"/>
      <c r="S136" s="55"/>
      <c r="T136" s="55"/>
      <c r="U136" s="55"/>
      <c r="V136" s="55"/>
      <c r="W136" s="55"/>
      <c r="X136" s="55"/>
      <c r="Y136" s="55"/>
      <c r="Z136" s="55"/>
    </row>
    <row r="137" spans="1:26" ht="15">
      <c r="A137" s="55"/>
      <c r="B137" s="55"/>
      <c r="C137" s="55"/>
      <c r="D137" s="55"/>
      <c r="E137" s="55"/>
      <c r="F137" s="55"/>
      <c r="G137" s="55"/>
      <c r="H137" s="55"/>
      <c r="I137" s="55"/>
      <c r="J137" s="55"/>
      <c r="K137" s="55"/>
      <c r="L137" s="55"/>
      <c r="M137" s="55"/>
      <c r="N137" s="55"/>
      <c r="O137" s="55"/>
      <c r="P137" s="55"/>
      <c r="Q137" s="55"/>
      <c r="R137" s="55"/>
      <c r="S137" s="55"/>
      <c r="T137" s="55"/>
      <c r="U137" s="55"/>
      <c r="V137" s="55"/>
      <c r="W137" s="55"/>
      <c r="X137" s="55"/>
      <c r="Y137" s="55"/>
      <c r="Z137" s="55"/>
    </row>
    <row r="138" spans="1:26" ht="15">
      <c r="A138" s="55"/>
      <c r="B138" s="55"/>
      <c r="C138" s="55"/>
      <c r="D138" s="55"/>
      <c r="E138" s="55"/>
      <c r="F138" s="55"/>
      <c r="G138" s="55"/>
      <c r="H138" s="55"/>
      <c r="I138" s="55"/>
      <c r="J138" s="55"/>
      <c r="K138" s="55"/>
      <c r="L138" s="55"/>
      <c r="M138" s="55"/>
      <c r="N138" s="55"/>
      <c r="O138" s="55"/>
      <c r="P138" s="55"/>
      <c r="Q138" s="55"/>
      <c r="R138" s="55"/>
      <c r="S138" s="55"/>
      <c r="T138" s="55"/>
      <c r="U138" s="55"/>
      <c r="V138" s="55"/>
      <c r="W138" s="55"/>
      <c r="X138" s="55"/>
      <c r="Y138" s="55"/>
      <c r="Z138" s="55"/>
    </row>
    <row r="139" spans="1:26" ht="15">
      <c r="A139" s="55"/>
      <c r="B139" s="55"/>
      <c r="C139" s="55"/>
      <c r="D139" s="55"/>
      <c r="E139" s="55"/>
      <c r="F139" s="55"/>
      <c r="G139" s="55"/>
      <c r="H139" s="55"/>
      <c r="I139" s="55"/>
      <c r="J139" s="55"/>
      <c r="K139" s="55"/>
      <c r="L139" s="55"/>
      <c r="M139" s="55"/>
      <c r="N139" s="55"/>
      <c r="O139" s="55"/>
      <c r="P139" s="55"/>
      <c r="Q139" s="55"/>
      <c r="R139" s="55"/>
      <c r="S139" s="55"/>
      <c r="T139" s="55"/>
      <c r="U139" s="55"/>
      <c r="V139" s="55"/>
      <c r="W139" s="55"/>
      <c r="X139" s="55"/>
      <c r="Y139" s="55"/>
      <c r="Z139" s="55"/>
    </row>
    <row r="140" spans="1:26" ht="15">
      <c r="A140" s="55"/>
      <c r="B140" s="55"/>
      <c r="C140" s="55"/>
      <c r="D140" s="55"/>
      <c r="E140" s="55"/>
      <c r="F140" s="55"/>
      <c r="G140" s="55"/>
      <c r="H140" s="55"/>
      <c r="I140" s="55"/>
      <c r="J140" s="55"/>
      <c r="K140" s="55"/>
      <c r="L140" s="55"/>
      <c r="M140" s="55"/>
      <c r="N140" s="55"/>
      <c r="O140" s="55"/>
      <c r="P140" s="55"/>
      <c r="Q140" s="55"/>
      <c r="R140" s="55"/>
      <c r="S140" s="55"/>
      <c r="T140" s="55"/>
      <c r="U140" s="55"/>
      <c r="V140" s="55"/>
      <c r="W140" s="55"/>
      <c r="X140" s="55"/>
      <c r="Y140" s="55"/>
      <c r="Z140" s="55"/>
    </row>
    <row r="141" spans="1:26" ht="15">
      <c r="A141" s="55"/>
      <c r="B141" s="55"/>
      <c r="C141" s="55"/>
      <c r="D141" s="55"/>
      <c r="E141" s="55"/>
      <c r="F141" s="55"/>
      <c r="G141" s="55"/>
      <c r="H141" s="55"/>
      <c r="I141" s="55"/>
      <c r="J141" s="55"/>
      <c r="K141" s="55"/>
      <c r="L141" s="55"/>
      <c r="M141" s="55"/>
      <c r="N141" s="55"/>
      <c r="O141" s="55"/>
      <c r="P141" s="55"/>
      <c r="Q141" s="55"/>
      <c r="R141" s="55"/>
      <c r="S141" s="55"/>
      <c r="T141" s="55"/>
      <c r="U141" s="55"/>
      <c r="V141" s="55"/>
      <c r="W141" s="55"/>
      <c r="X141" s="55"/>
      <c r="Y141" s="55"/>
      <c r="Z141" s="55"/>
    </row>
    <row r="142" spans="1:26" ht="15">
      <c r="A142" s="55"/>
      <c r="B142" s="55"/>
      <c r="C142" s="55"/>
      <c r="D142" s="55"/>
      <c r="E142" s="55"/>
      <c r="F142" s="55"/>
      <c r="G142" s="55"/>
      <c r="H142" s="55"/>
      <c r="I142" s="55"/>
      <c r="J142" s="55"/>
      <c r="K142" s="55"/>
      <c r="L142" s="55"/>
      <c r="M142" s="55"/>
      <c r="N142" s="55"/>
      <c r="O142" s="55"/>
      <c r="P142" s="55"/>
      <c r="Q142" s="55"/>
      <c r="R142" s="55"/>
      <c r="S142" s="55"/>
      <c r="T142" s="55"/>
      <c r="U142" s="55"/>
      <c r="V142" s="55"/>
      <c r="W142" s="55"/>
      <c r="X142" s="55"/>
      <c r="Y142" s="55"/>
      <c r="Z142" s="55"/>
    </row>
    <row r="143" spans="1:26" ht="15">
      <c r="A143" s="55"/>
      <c r="B143" s="55"/>
      <c r="C143" s="55"/>
      <c r="D143" s="55"/>
      <c r="E143" s="55"/>
      <c r="F143" s="55"/>
      <c r="G143" s="55"/>
      <c r="H143" s="55"/>
      <c r="I143" s="55"/>
      <c r="J143" s="55"/>
      <c r="K143" s="55"/>
      <c r="L143" s="55"/>
      <c r="M143" s="55"/>
      <c r="N143" s="55"/>
      <c r="O143" s="55"/>
      <c r="P143" s="55"/>
      <c r="Q143" s="55"/>
      <c r="R143" s="55"/>
      <c r="S143" s="55"/>
      <c r="T143" s="55"/>
      <c r="U143" s="55"/>
      <c r="V143" s="55"/>
      <c r="W143" s="55"/>
      <c r="X143" s="55"/>
      <c r="Y143" s="55"/>
      <c r="Z143" s="55"/>
    </row>
    <row r="144" spans="1:26" ht="15">
      <c r="A144" s="55"/>
      <c r="B144" s="55"/>
      <c r="C144" s="55"/>
      <c r="D144" s="55"/>
      <c r="E144" s="55"/>
      <c r="F144" s="55"/>
      <c r="G144" s="55"/>
      <c r="H144" s="55"/>
      <c r="I144" s="55"/>
      <c r="J144" s="55"/>
      <c r="K144" s="55"/>
      <c r="L144" s="55"/>
      <c r="M144" s="55"/>
      <c r="N144" s="55"/>
      <c r="O144" s="55"/>
      <c r="P144" s="55"/>
      <c r="Q144" s="55"/>
      <c r="R144" s="55"/>
      <c r="S144" s="55"/>
      <c r="T144" s="55"/>
      <c r="U144" s="55"/>
      <c r="V144" s="55"/>
      <c r="W144" s="55"/>
      <c r="X144" s="55"/>
      <c r="Y144" s="55"/>
      <c r="Z144" s="55"/>
    </row>
    <row r="145" spans="1:26" ht="15">
      <c r="A145" s="55"/>
      <c r="B145" s="55"/>
      <c r="C145" s="55"/>
      <c r="D145" s="55"/>
      <c r="E145" s="55"/>
      <c r="F145" s="55"/>
      <c r="G145" s="55"/>
      <c r="H145" s="55"/>
      <c r="I145" s="55"/>
      <c r="J145" s="55"/>
      <c r="K145" s="55"/>
      <c r="L145" s="55"/>
      <c r="M145" s="55"/>
      <c r="N145" s="55"/>
      <c r="O145" s="55"/>
      <c r="P145" s="55"/>
      <c r="Q145" s="55"/>
      <c r="R145" s="55"/>
      <c r="S145" s="55"/>
      <c r="T145" s="55"/>
      <c r="U145" s="55"/>
      <c r="V145" s="55"/>
      <c r="W145" s="55"/>
      <c r="X145" s="55"/>
      <c r="Y145" s="55"/>
      <c r="Z145" s="55"/>
    </row>
    <row r="146" spans="1:26" ht="15">
      <c r="A146" s="55"/>
      <c r="B146" s="55"/>
      <c r="C146" s="55"/>
      <c r="D146" s="55"/>
      <c r="E146" s="55"/>
      <c r="F146" s="55"/>
      <c r="G146" s="55"/>
      <c r="H146" s="55"/>
      <c r="I146" s="55"/>
      <c r="J146" s="55"/>
      <c r="K146" s="55"/>
      <c r="L146" s="55"/>
      <c r="M146" s="55"/>
      <c r="N146" s="55"/>
      <c r="O146" s="55"/>
      <c r="P146" s="55"/>
      <c r="Q146" s="55"/>
      <c r="R146" s="55"/>
      <c r="S146" s="55"/>
      <c r="T146" s="55"/>
      <c r="U146" s="55"/>
      <c r="V146" s="55"/>
      <c r="W146" s="55"/>
      <c r="X146" s="55"/>
      <c r="Y146" s="55"/>
      <c r="Z146" s="55"/>
    </row>
    <row r="147" spans="1:26" ht="15">
      <c r="A147" s="55"/>
      <c r="B147" s="55"/>
      <c r="C147" s="55"/>
      <c r="D147" s="55"/>
      <c r="E147" s="55"/>
      <c r="F147" s="55"/>
      <c r="G147" s="55"/>
      <c r="H147" s="55"/>
      <c r="I147" s="55"/>
      <c r="J147" s="55"/>
      <c r="K147" s="55"/>
      <c r="L147" s="55"/>
      <c r="M147" s="55"/>
      <c r="N147" s="55"/>
      <c r="O147" s="55"/>
      <c r="P147" s="55"/>
      <c r="Q147" s="55"/>
      <c r="R147" s="55"/>
      <c r="S147" s="55"/>
      <c r="T147" s="55"/>
      <c r="U147" s="55"/>
      <c r="V147" s="55"/>
      <c r="W147" s="55"/>
      <c r="X147" s="55"/>
      <c r="Y147" s="55"/>
      <c r="Z147" s="55"/>
    </row>
    <row r="148" spans="1:26" ht="15">
      <c r="A148" s="55"/>
      <c r="B148" s="55"/>
      <c r="C148" s="55"/>
      <c r="D148" s="55"/>
      <c r="E148" s="55"/>
      <c r="F148" s="55"/>
      <c r="G148" s="55"/>
      <c r="H148" s="55"/>
      <c r="I148" s="55"/>
      <c r="J148" s="55"/>
      <c r="K148" s="55"/>
      <c r="L148" s="55"/>
      <c r="M148" s="55"/>
      <c r="N148" s="55"/>
      <c r="O148" s="55"/>
      <c r="P148" s="55"/>
      <c r="Q148" s="55"/>
      <c r="R148" s="55"/>
      <c r="S148" s="55"/>
      <c r="T148" s="55"/>
      <c r="U148" s="55"/>
      <c r="V148" s="55"/>
      <c r="W148" s="55"/>
      <c r="X148" s="55"/>
      <c r="Y148" s="55"/>
      <c r="Z148" s="55"/>
    </row>
    <row r="149" spans="1:26" ht="15">
      <c r="A149" s="55"/>
      <c r="B149" s="55"/>
      <c r="C149" s="55"/>
      <c r="D149" s="55"/>
      <c r="E149" s="55"/>
      <c r="F149" s="55"/>
      <c r="G149" s="55"/>
      <c r="H149" s="55"/>
      <c r="I149" s="55"/>
      <c r="J149" s="55"/>
      <c r="K149" s="55"/>
      <c r="L149" s="55"/>
      <c r="M149" s="55"/>
      <c r="N149" s="55"/>
      <c r="O149" s="55"/>
      <c r="P149" s="55"/>
      <c r="Q149" s="55"/>
      <c r="R149" s="55"/>
      <c r="S149" s="55"/>
      <c r="T149" s="55"/>
      <c r="U149" s="55"/>
      <c r="V149" s="55"/>
      <c r="W149" s="55"/>
      <c r="X149" s="55"/>
      <c r="Y149" s="55"/>
      <c r="Z149" s="55"/>
    </row>
    <row r="150" spans="1:26" ht="15">
      <c r="A150" s="55"/>
      <c r="B150" s="55"/>
      <c r="C150" s="55"/>
      <c r="D150" s="55"/>
      <c r="E150" s="55"/>
      <c r="F150" s="55"/>
      <c r="G150" s="55"/>
      <c r="H150" s="55"/>
      <c r="I150" s="55"/>
      <c r="J150" s="55"/>
      <c r="K150" s="55"/>
      <c r="L150" s="55"/>
      <c r="M150" s="55"/>
      <c r="N150" s="55"/>
      <c r="O150" s="55"/>
      <c r="P150" s="55"/>
      <c r="Q150" s="55"/>
      <c r="R150" s="55"/>
      <c r="S150" s="55"/>
      <c r="T150" s="55"/>
      <c r="U150" s="55"/>
      <c r="V150" s="55"/>
      <c r="W150" s="55"/>
      <c r="X150" s="55"/>
      <c r="Y150" s="55"/>
      <c r="Z150" s="55"/>
    </row>
    <row r="151" spans="1:26" ht="15">
      <c r="A151" s="55"/>
      <c r="B151" s="55"/>
      <c r="C151" s="55"/>
      <c r="D151" s="55"/>
      <c r="E151" s="55"/>
      <c r="F151" s="55"/>
      <c r="G151" s="55"/>
      <c r="H151" s="55"/>
      <c r="I151" s="55"/>
      <c r="J151" s="55"/>
      <c r="K151" s="55"/>
      <c r="L151" s="55"/>
      <c r="M151" s="55"/>
      <c r="N151" s="55"/>
      <c r="O151" s="55"/>
      <c r="P151" s="55"/>
      <c r="Q151" s="55"/>
      <c r="R151" s="55"/>
      <c r="S151" s="55"/>
      <c r="T151" s="55"/>
      <c r="U151" s="55"/>
      <c r="V151" s="55"/>
      <c r="W151" s="55"/>
      <c r="X151" s="55"/>
      <c r="Y151" s="55"/>
      <c r="Z151" s="55"/>
    </row>
    <row r="152" spans="1:26" ht="15">
      <c r="A152" s="55"/>
      <c r="B152" s="55"/>
      <c r="C152" s="55"/>
      <c r="D152" s="55"/>
      <c r="E152" s="55"/>
      <c r="F152" s="55"/>
      <c r="G152" s="55"/>
      <c r="H152" s="55"/>
      <c r="I152" s="55"/>
      <c r="J152" s="55"/>
      <c r="K152" s="55"/>
      <c r="L152" s="55"/>
      <c r="M152" s="55"/>
      <c r="N152" s="55"/>
      <c r="O152" s="55"/>
      <c r="P152" s="55"/>
      <c r="Q152" s="55"/>
      <c r="R152" s="55"/>
      <c r="S152" s="55"/>
      <c r="T152" s="55"/>
      <c r="U152" s="55"/>
      <c r="V152" s="55"/>
      <c r="W152" s="55"/>
      <c r="X152" s="55"/>
      <c r="Y152" s="55"/>
      <c r="Z152" s="55"/>
    </row>
    <row r="153" spans="1:26" ht="15">
      <c r="A153" s="55"/>
      <c r="B153" s="55"/>
      <c r="C153" s="55"/>
      <c r="D153" s="55"/>
      <c r="E153" s="55"/>
      <c r="F153" s="55"/>
      <c r="G153" s="55"/>
      <c r="H153" s="55"/>
      <c r="I153" s="55"/>
      <c r="J153" s="55"/>
      <c r="K153" s="55"/>
      <c r="L153" s="55"/>
      <c r="M153" s="55"/>
      <c r="N153" s="55"/>
      <c r="O153" s="55"/>
      <c r="P153" s="55"/>
      <c r="Q153" s="55"/>
      <c r="R153" s="55"/>
      <c r="S153" s="55"/>
      <c r="T153" s="55"/>
      <c r="U153" s="55"/>
      <c r="V153" s="55"/>
      <c r="W153" s="55"/>
      <c r="X153" s="55"/>
      <c r="Y153" s="55"/>
      <c r="Z153" s="55"/>
    </row>
    <row r="154" spans="1:26" ht="15">
      <c r="A154" s="55"/>
      <c r="B154" s="55"/>
      <c r="C154" s="55"/>
      <c r="D154" s="55"/>
      <c r="E154" s="55"/>
      <c r="F154" s="55"/>
      <c r="G154" s="55"/>
      <c r="H154" s="55"/>
      <c r="I154" s="55"/>
      <c r="J154" s="55"/>
      <c r="K154" s="55"/>
      <c r="L154" s="55"/>
      <c r="M154" s="55"/>
      <c r="N154" s="55"/>
      <c r="O154" s="55"/>
      <c r="P154" s="55"/>
      <c r="Q154" s="55"/>
      <c r="R154" s="55"/>
      <c r="S154" s="55"/>
      <c r="T154" s="55"/>
      <c r="U154" s="55"/>
      <c r="V154" s="55"/>
      <c r="W154" s="55"/>
      <c r="X154" s="55"/>
      <c r="Y154" s="55"/>
      <c r="Z154" s="55"/>
    </row>
    <row r="155" spans="1:26" ht="15">
      <c r="A155" s="55"/>
      <c r="B155" s="55"/>
      <c r="C155" s="55"/>
      <c r="D155" s="55"/>
      <c r="E155" s="55"/>
      <c r="F155" s="55"/>
      <c r="G155" s="55"/>
      <c r="H155" s="55"/>
      <c r="I155" s="55"/>
      <c r="J155" s="55"/>
      <c r="K155" s="55"/>
      <c r="L155" s="55"/>
      <c r="M155" s="55"/>
      <c r="N155" s="55"/>
      <c r="O155" s="55"/>
      <c r="P155" s="55"/>
      <c r="Q155" s="55"/>
      <c r="R155" s="55"/>
      <c r="S155" s="55"/>
      <c r="T155" s="55"/>
      <c r="U155" s="55"/>
      <c r="V155" s="55"/>
      <c r="W155" s="55"/>
      <c r="X155" s="55"/>
      <c r="Y155" s="55"/>
      <c r="Z155" s="55"/>
    </row>
    <row r="156" spans="1:26" ht="15">
      <c r="A156" s="55"/>
      <c r="B156" s="55"/>
      <c r="C156" s="55"/>
      <c r="D156" s="55"/>
      <c r="E156" s="55"/>
      <c r="F156" s="55"/>
      <c r="G156" s="55"/>
      <c r="H156" s="55"/>
      <c r="I156" s="55"/>
      <c r="J156" s="55"/>
      <c r="K156" s="55"/>
      <c r="L156" s="55"/>
      <c r="M156" s="55"/>
      <c r="N156" s="55"/>
      <c r="O156" s="55"/>
      <c r="P156" s="55"/>
      <c r="Q156" s="55"/>
      <c r="R156" s="55"/>
      <c r="S156" s="55"/>
      <c r="T156" s="55"/>
      <c r="U156" s="55"/>
      <c r="V156" s="55"/>
      <c r="W156" s="55"/>
      <c r="X156" s="55"/>
      <c r="Y156" s="55"/>
      <c r="Z156" s="55"/>
    </row>
    <row r="157" spans="1:26" ht="15">
      <c r="A157" s="55"/>
      <c r="B157" s="55"/>
      <c r="C157" s="55"/>
      <c r="D157" s="55"/>
      <c r="E157" s="55"/>
      <c r="F157" s="55"/>
      <c r="G157" s="55"/>
      <c r="H157" s="55"/>
      <c r="I157" s="55"/>
      <c r="J157" s="55"/>
      <c r="K157" s="55"/>
      <c r="L157" s="55"/>
      <c r="M157" s="55"/>
      <c r="N157" s="55"/>
      <c r="O157" s="55"/>
      <c r="P157" s="55"/>
      <c r="Q157" s="55"/>
      <c r="R157" s="55"/>
      <c r="S157" s="55"/>
      <c r="T157" s="55"/>
      <c r="U157" s="55"/>
      <c r="V157" s="55"/>
      <c r="W157" s="55"/>
      <c r="X157" s="55"/>
      <c r="Y157" s="55"/>
      <c r="Z157" s="55"/>
    </row>
    <row r="158" spans="1:26" ht="15">
      <c r="A158" s="55"/>
      <c r="B158" s="55"/>
      <c r="C158" s="55"/>
      <c r="D158" s="55"/>
      <c r="E158" s="55"/>
      <c r="F158" s="55"/>
      <c r="G158" s="55"/>
      <c r="H158" s="55"/>
      <c r="I158" s="55"/>
      <c r="J158" s="55"/>
      <c r="K158" s="55"/>
      <c r="L158" s="55"/>
      <c r="M158" s="55"/>
      <c r="N158" s="55"/>
      <c r="O158" s="55"/>
      <c r="P158" s="55"/>
      <c r="Q158" s="55"/>
      <c r="R158" s="55"/>
      <c r="S158" s="55"/>
      <c r="T158" s="55"/>
      <c r="U158" s="55"/>
      <c r="V158" s="55"/>
      <c r="W158" s="55"/>
      <c r="X158" s="55"/>
      <c r="Y158" s="55"/>
      <c r="Z158" s="55"/>
    </row>
    <row r="159" spans="1:26" ht="15">
      <c r="A159" s="55"/>
      <c r="B159" s="55"/>
      <c r="C159" s="55"/>
      <c r="D159" s="55"/>
      <c r="E159" s="55"/>
      <c r="F159" s="55"/>
      <c r="G159" s="55"/>
      <c r="H159" s="55"/>
      <c r="I159" s="55"/>
      <c r="J159" s="55"/>
      <c r="K159" s="55"/>
      <c r="L159" s="55"/>
      <c r="M159" s="55"/>
      <c r="N159" s="55"/>
      <c r="O159" s="55"/>
      <c r="P159" s="55"/>
      <c r="Q159" s="55"/>
      <c r="R159" s="55"/>
      <c r="S159" s="55"/>
      <c r="T159" s="55"/>
      <c r="U159" s="55"/>
      <c r="V159" s="55"/>
      <c r="W159" s="55"/>
      <c r="X159" s="55"/>
      <c r="Y159" s="55"/>
      <c r="Z159" s="55"/>
    </row>
    <row r="160" spans="1:26" ht="15">
      <c r="A160" s="55"/>
      <c r="B160" s="55"/>
      <c r="C160" s="55"/>
      <c r="D160" s="55"/>
      <c r="E160" s="55"/>
      <c r="F160" s="55"/>
      <c r="G160" s="55"/>
      <c r="H160" s="55"/>
      <c r="I160" s="55"/>
      <c r="J160" s="55"/>
      <c r="K160" s="55"/>
      <c r="L160" s="55"/>
      <c r="M160" s="55"/>
      <c r="N160" s="55"/>
      <c r="O160" s="55"/>
      <c r="P160" s="55"/>
      <c r="Q160" s="55"/>
      <c r="R160" s="55"/>
      <c r="S160" s="55"/>
      <c r="T160" s="55"/>
      <c r="U160" s="55"/>
      <c r="V160" s="55"/>
      <c r="W160" s="55"/>
      <c r="X160" s="55"/>
      <c r="Y160" s="55"/>
      <c r="Z160" s="55"/>
    </row>
    <row r="161" spans="1:26" ht="15">
      <c r="A161" s="55"/>
      <c r="B161" s="55"/>
      <c r="C161" s="55"/>
      <c r="D161" s="55"/>
      <c r="E161" s="55"/>
      <c r="F161" s="55"/>
      <c r="G161" s="55"/>
      <c r="H161" s="55"/>
      <c r="I161" s="55"/>
      <c r="J161" s="55"/>
      <c r="K161" s="55"/>
      <c r="L161" s="55"/>
      <c r="M161" s="55"/>
      <c r="N161" s="55"/>
      <c r="O161" s="55"/>
      <c r="P161" s="55"/>
      <c r="Q161" s="55"/>
      <c r="R161" s="55"/>
      <c r="S161" s="55"/>
      <c r="T161" s="55"/>
      <c r="U161" s="55"/>
      <c r="V161" s="55"/>
      <c r="W161" s="55"/>
      <c r="X161" s="55"/>
      <c r="Y161" s="55"/>
      <c r="Z161" s="55"/>
    </row>
    <row r="162" spans="1:26" ht="15">
      <c r="A162" s="55"/>
      <c r="B162" s="55"/>
      <c r="C162" s="55"/>
      <c r="D162" s="55"/>
      <c r="E162" s="55"/>
      <c r="F162" s="55"/>
      <c r="G162" s="55"/>
      <c r="H162" s="55"/>
      <c r="I162" s="55"/>
      <c r="J162" s="55"/>
      <c r="K162" s="55"/>
      <c r="L162" s="55"/>
      <c r="M162" s="55"/>
      <c r="N162" s="55"/>
      <c r="O162" s="55"/>
      <c r="P162" s="55"/>
      <c r="Q162" s="55"/>
      <c r="R162" s="55"/>
      <c r="S162" s="55"/>
      <c r="T162" s="55"/>
      <c r="U162" s="55"/>
      <c r="V162" s="55"/>
      <c r="W162" s="55"/>
      <c r="X162" s="55"/>
      <c r="Y162" s="55"/>
      <c r="Z162" s="55"/>
    </row>
    <row r="163" spans="1:26" ht="15">
      <c r="A163" s="55"/>
      <c r="B163" s="55"/>
      <c r="C163" s="55"/>
      <c r="D163" s="55"/>
      <c r="E163" s="55"/>
      <c r="F163" s="55"/>
      <c r="G163" s="55"/>
      <c r="H163" s="55"/>
      <c r="I163" s="55"/>
      <c r="J163" s="55"/>
      <c r="K163" s="55"/>
      <c r="L163" s="55"/>
      <c r="M163" s="55"/>
      <c r="N163" s="55"/>
      <c r="O163" s="55"/>
      <c r="P163" s="55"/>
      <c r="Q163" s="55"/>
      <c r="R163" s="55"/>
      <c r="S163" s="55"/>
      <c r="T163" s="55"/>
      <c r="U163" s="55"/>
      <c r="V163" s="55"/>
      <c r="W163" s="55"/>
      <c r="X163" s="55"/>
      <c r="Y163" s="55"/>
      <c r="Z163" s="55"/>
    </row>
    <row r="164" spans="1:26" ht="15">
      <c r="A164" s="55"/>
      <c r="B164" s="55"/>
      <c r="C164" s="55"/>
      <c r="D164" s="55"/>
      <c r="E164" s="55"/>
      <c r="F164" s="55"/>
      <c r="G164" s="55"/>
      <c r="H164" s="55"/>
      <c r="I164" s="55"/>
      <c r="J164" s="55"/>
      <c r="K164" s="55"/>
      <c r="L164" s="55"/>
      <c r="M164" s="55"/>
      <c r="N164" s="55"/>
      <c r="O164" s="55"/>
      <c r="P164" s="55"/>
      <c r="Q164" s="55"/>
      <c r="R164" s="55"/>
      <c r="S164" s="55"/>
      <c r="T164" s="55"/>
      <c r="U164" s="55"/>
      <c r="V164" s="55"/>
      <c r="W164" s="55"/>
      <c r="X164" s="55"/>
      <c r="Y164" s="55"/>
      <c r="Z164" s="55"/>
    </row>
    <row r="165" spans="1:26" ht="15">
      <c r="A165" s="55"/>
      <c r="B165" s="55"/>
      <c r="C165" s="55"/>
      <c r="D165" s="55"/>
      <c r="E165" s="55"/>
      <c r="F165" s="55"/>
      <c r="G165" s="55"/>
      <c r="H165" s="55"/>
      <c r="I165" s="55"/>
      <c r="J165" s="55"/>
      <c r="K165" s="55"/>
      <c r="L165" s="55"/>
      <c r="M165" s="55"/>
      <c r="N165" s="55"/>
      <c r="O165" s="55"/>
      <c r="P165" s="55"/>
      <c r="Q165" s="55"/>
      <c r="R165" s="55"/>
      <c r="S165" s="55"/>
      <c r="T165" s="55"/>
      <c r="U165" s="55"/>
      <c r="V165" s="55"/>
      <c r="W165" s="55"/>
      <c r="X165" s="55"/>
      <c r="Y165" s="55"/>
      <c r="Z165" s="55"/>
    </row>
    <row r="166" spans="1:26" ht="15">
      <c r="A166" s="55"/>
      <c r="B166" s="55"/>
      <c r="C166" s="55"/>
      <c r="D166" s="55"/>
      <c r="E166" s="55"/>
      <c r="F166" s="55"/>
      <c r="G166" s="55"/>
      <c r="H166" s="55"/>
      <c r="I166" s="55"/>
      <c r="J166" s="55"/>
      <c r="K166" s="55"/>
      <c r="L166" s="55"/>
      <c r="M166" s="55"/>
      <c r="N166" s="55"/>
      <c r="O166" s="55"/>
      <c r="P166" s="55"/>
      <c r="Q166" s="55"/>
      <c r="R166" s="55"/>
      <c r="S166" s="55"/>
      <c r="T166" s="55"/>
      <c r="U166" s="55"/>
      <c r="V166" s="55"/>
      <c r="W166" s="55"/>
      <c r="X166" s="55"/>
      <c r="Y166" s="55"/>
      <c r="Z166" s="55"/>
    </row>
    <row r="167" spans="1:26" ht="15">
      <c r="A167" s="55"/>
      <c r="B167" s="55"/>
      <c r="C167" s="55"/>
      <c r="D167" s="55"/>
      <c r="E167" s="55"/>
      <c r="F167" s="55"/>
      <c r="G167" s="55"/>
      <c r="H167" s="55"/>
      <c r="I167" s="55"/>
      <c r="J167" s="55"/>
      <c r="K167" s="55"/>
      <c r="L167" s="55"/>
      <c r="M167" s="55"/>
      <c r="N167" s="55"/>
      <c r="O167" s="55"/>
      <c r="P167" s="55"/>
      <c r="Q167" s="55"/>
      <c r="R167" s="55"/>
      <c r="S167" s="55"/>
      <c r="T167" s="55"/>
      <c r="U167" s="55"/>
      <c r="V167" s="55"/>
      <c r="W167" s="55"/>
      <c r="X167" s="55"/>
      <c r="Y167" s="55"/>
      <c r="Z167" s="55"/>
    </row>
    <row r="168" spans="1:26" ht="15">
      <c r="A168" s="55"/>
      <c r="B168" s="55"/>
      <c r="C168" s="55"/>
      <c r="D168" s="55"/>
      <c r="E168" s="55"/>
      <c r="F168" s="55"/>
      <c r="G168" s="55"/>
      <c r="H168" s="55"/>
      <c r="I168" s="55"/>
      <c r="J168" s="55"/>
      <c r="K168" s="55"/>
      <c r="L168" s="55"/>
      <c r="M168" s="55"/>
      <c r="N168" s="55"/>
      <c r="O168" s="55"/>
      <c r="P168" s="55"/>
      <c r="Q168" s="55"/>
      <c r="R168" s="55"/>
      <c r="S168" s="55"/>
      <c r="T168" s="55"/>
      <c r="U168" s="55"/>
      <c r="V168" s="55"/>
      <c r="W168" s="55"/>
      <c r="X168" s="55"/>
      <c r="Y168" s="55"/>
      <c r="Z168" s="55"/>
    </row>
    <row r="169" spans="1:26" ht="15">
      <c r="A169" s="55"/>
      <c r="B169" s="55"/>
      <c r="C169" s="55"/>
      <c r="D169" s="55"/>
      <c r="E169" s="55"/>
      <c r="F169" s="55"/>
      <c r="G169" s="55"/>
      <c r="H169" s="55"/>
      <c r="I169" s="55"/>
      <c r="J169" s="55"/>
      <c r="K169" s="55"/>
      <c r="L169" s="55"/>
      <c r="M169" s="55"/>
      <c r="N169" s="55"/>
      <c r="O169" s="55"/>
      <c r="P169" s="55"/>
      <c r="Q169" s="55"/>
      <c r="R169" s="55"/>
      <c r="S169" s="55"/>
      <c r="T169" s="55"/>
      <c r="U169" s="55"/>
      <c r="V169" s="55"/>
      <c r="W169" s="55"/>
      <c r="X169" s="55"/>
      <c r="Y169" s="55"/>
      <c r="Z169" s="55"/>
    </row>
    <row r="170" spans="1:26" ht="15">
      <c r="A170" s="55"/>
      <c r="B170" s="55"/>
      <c r="C170" s="55"/>
      <c r="D170" s="55"/>
      <c r="E170" s="55"/>
      <c r="F170" s="55"/>
      <c r="G170" s="55"/>
      <c r="H170" s="55"/>
      <c r="I170" s="55"/>
      <c r="J170" s="55"/>
      <c r="K170" s="55"/>
      <c r="L170" s="55"/>
      <c r="M170" s="55"/>
      <c r="N170" s="55"/>
      <c r="O170" s="55"/>
      <c r="P170" s="55"/>
      <c r="Q170" s="55"/>
      <c r="R170" s="55"/>
      <c r="S170" s="55"/>
      <c r="T170" s="55"/>
      <c r="U170" s="55"/>
      <c r="V170" s="55"/>
      <c r="W170" s="55"/>
      <c r="X170" s="55"/>
      <c r="Y170" s="55"/>
      <c r="Z170" s="55"/>
    </row>
    <row r="171" spans="1:26" ht="15">
      <c r="A171" s="55"/>
      <c r="B171" s="55"/>
      <c r="C171" s="55"/>
      <c r="D171" s="55"/>
      <c r="E171" s="55"/>
      <c r="F171" s="55"/>
      <c r="G171" s="55"/>
      <c r="H171" s="55"/>
      <c r="I171" s="55"/>
      <c r="J171" s="55"/>
      <c r="K171" s="55"/>
      <c r="L171" s="55"/>
      <c r="M171" s="55"/>
      <c r="N171" s="55"/>
      <c r="O171" s="55"/>
      <c r="P171" s="55"/>
      <c r="Q171" s="55"/>
      <c r="R171" s="55"/>
      <c r="S171" s="55"/>
      <c r="T171" s="55"/>
      <c r="U171" s="55"/>
      <c r="V171" s="55"/>
      <c r="W171" s="55"/>
      <c r="X171" s="55"/>
      <c r="Y171" s="55"/>
      <c r="Z171" s="55"/>
    </row>
    <row r="172" spans="1:26" ht="15">
      <c r="A172" s="55"/>
      <c r="B172" s="55"/>
      <c r="C172" s="55"/>
      <c r="D172" s="55"/>
      <c r="E172" s="55"/>
      <c r="F172" s="55"/>
      <c r="G172" s="55"/>
      <c r="H172" s="55"/>
      <c r="I172" s="55"/>
      <c r="J172" s="55"/>
      <c r="K172" s="55"/>
      <c r="L172" s="55"/>
      <c r="M172" s="55"/>
      <c r="N172" s="55"/>
      <c r="O172" s="55"/>
      <c r="P172" s="55"/>
      <c r="Q172" s="55"/>
      <c r="R172" s="55"/>
      <c r="S172" s="55"/>
      <c r="T172" s="55"/>
      <c r="U172" s="55"/>
      <c r="V172" s="55"/>
      <c r="W172" s="55"/>
      <c r="X172" s="55"/>
      <c r="Y172" s="55"/>
      <c r="Z172" s="55"/>
    </row>
    <row r="173" spans="1:26" ht="15">
      <c r="A173" s="55"/>
      <c r="B173" s="55"/>
      <c r="C173" s="55"/>
      <c r="D173" s="55"/>
      <c r="E173" s="55"/>
      <c r="F173" s="55"/>
      <c r="G173" s="55"/>
      <c r="H173" s="55"/>
      <c r="I173" s="55"/>
      <c r="J173" s="55"/>
      <c r="K173" s="55"/>
      <c r="L173" s="55"/>
      <c r="M173" s="55"/>
      <c r="N173" s="55"/>
      <c r="O173" s="55"/>
      <c r="P173" s="55"/>
      <c r="Q173" s="55"/>
      <c r="R173" s="55"/>
      <c r="S173" s="55"/>
      <c r="T173" s="55"/>
      <c r="U173" s="55"/>
      <c r="V173" s="55"/>
      <c r="W173" s="55"/>
      <c r="X173" s="55"/>
      <c r="Y173" s="55"/>
      <c r="Z173" s="55"/>
    </row>
    <row r="174" spans="1:26" ht="15">
      <c r="A174" s="55"/>
      <c r="B174" s="55"/>
      <c r="C174" s="55"/>
      <c r="D174" s="55"/>
      <c r="E174" s="55"/>
      <c r="F174" s="55"/>
      <c r="G174" s="55"/>
      <c r="H174" s="55"/>
      <c r="I174" s="55"/>
      <c r="J174" s="55"/>
      <c r="K174" s="55"/>
      <c r="L174" s="55"/>
      <c r="M174" s="55"/>
      <c r="N174" s="55"/>
      <c r="O174" s="55"/>
      <c r="P174" s="55"/>
      <c r="Q174" s="55"/>
      <c r="R174" s="55"/>
      <c r="S174" s="55"/>
      <c r="T174" s="55"/>
      <c r="U174" s="55"/>
      <c r="V174" s="55"/>
      <c r="W174" s="55"/>
      <c r="X174" s="55"/>
      <c r="Y174" s="55"/>
      <c r="Z174" s="55"/>
    </row>
    <row r="175" spans="1:26" ht="15">
      <c r="A175" s="55"/>
      <c r="B175" s="55"/>
      <c r="C175" s="55"/>
      <c r="D175" s="55"/>
      <c r="E175" s="55"/>
      <c r="F175" s="55"/>
      <c r="G175" s="55"/>
      <c r="H175" s="55"/>
      <c r="I175" s="55"/>
      <c r="J175" s="55"/>
      <c r="K175" s="55"/>
      <c r="L175" s="55"/>
      <c r="M175" s="55"/>
      <c r="N175" s="55"/>
      <c r="O175" s="55"/>
      <c r="P175" s="55"/>
      <c r="Q175" s="55"/>
      <c r="R175" s="55"/>
      <c r="S175" s="55"/>
      <c r="T175" s="55"/>
      <c r="U175" s="55"/>
      <c r="V175" s="55"/>
      <c r="W175" s="55"/>
      <c r="X175" s="55"/>
      <c r="Y175" s="55"/>
      <c r="Z175" s="55"/>
    </row>
    <row r="176" spans="1:26" ht="15">
      <c r="A176" s="55"/>
      <c r="B176" s="55"/>
      <c r="C176" s="55"/>
      <c r="D176" s="55"/>
      <c r="E176" s="55"/>
      <c r="F176" s="55"/>
      <c r="G176" s="55"/>
      <c r="H176" s="55"/>
      <c r="I176" s="55"/>
      <c r="J176" s="55"/>
      <c r="K176" s="55"/>
      <c r="L176" s="55"/>
      <c r="M176" s="55"/>
      <c r="N176" s="55"/>
      <c r="O176" s="55"/>
      <c r="P176" s="55"/>
      <c r="Q176" s="55"/>
      <c r="R176" s="55"/>
      <c r="S176" s="55"/>
      <c r="T176" s="55"/>
      <c r="U176" s="55"/>
      <c r="V176" s="55"/>
      <c r="W176" s="55"/>
      <c r="X176" s="55"/>
      <c r="Y176" s="55"/>
      <c r="Z176" s="55"/>
    </row>
    <row r="177" spans="1:26" ht="15">
      <c r="A177" s="55"/>
      <c r="B177" s="55"/>
      <c r="C177" s="55"/>
      <c r="D177" s="55"/>
      <c r="E177" s="55"/>
      <c r="F177" s="55"/>
      <c r="G177" s="55"/>
      <c r="H177" s="55"/>
      <c r="I177" s="55"/>
      <c r="J177" s="55"/>
      <c r="K177" s="55"/>
      <c r="L177" s="55"/>
      <c r="M177" s="55"/>
      <c r="N177" s="55"/>
      <c r="O177" s="55"/>
      <c r="P177" s="55"/>
      <c r="Q177" s="55"/>
      <c r="R177" s="55"/>
      <c r="S177" s="55"/>
      <c r="T177" s="55"/>
      <c r="U177" s="55"/>
      <c r="V177" s="55"/>
      <c r="W177" s="55"/>
      <c r="X177" s="55"/>
      <c r="Y177" s="55"/>
      <c r="Z177" s="55"/>
    </row>
    <row r="178" spans="1:26" ht="15">
      <c r="A178" s="55"/>
      <c r="B178" s="55"/>
      <c r="C178" s="55"/>
      <c r="D178" s="55"/>
      <c r="E178" s="55"/>
      <c r="F178" s="55"/>
      <c r="G178" s="55"/>
      <c r="H178" s="55"/>
      <c r="I178" s="55"/>
      <c r="J178" s="55"/>
      <c r="K178" s="55"/>
      <c r="L178" s="55"/>
      <c r="M178" s="55"/>
      <c r="N178" s="55"/>
      <c r="O178" s="55"/>
      <c r="P178" s="55"/>
      <c r="Q178" s="55"/>
      <c r="R178" s="55"/>
      <c r="S178" s="55"/>
      <c r="T178" s="55"/>
      <c r="U178" s="55"/>
      <c r="V178" s="55"/>
      <c r="W178" s="55"/>
      <c r="X178" s="55"/>
      <c r="Y178" s="55"/>
      <c r="Z178" s="55"/>
    </row>
    <row r="179" spans="1:26" ht="15">
      <c r="A179" s="55"/>
      <c r="B179" s="55"/>
      <c r="C179" s="55"/>
      <c r="D179" s="55"/>
      <c r="E179" s="55"/>
      <c r="F179" s="55"/>
      <c r="G179" s="55"/>
      <c r="H179" s="55"/>
      <c r="I179" s="55"/>
      <c r="J179" s="55"/>
      <c r="K179" s="55"/>
      <c r="L179" s="55"/>
      <c r="M179" s="55"/>
      <c r="N179" s="55"/>
      <c r="O179" s="55"/>
      <c r="P179" s="55"/>
      <c r="Q179" s="55"/>
      <c r="R179" s="55"/>
      <c r="S179" s="55"/>
      <c r="T179" s="55"/>
      <c r="U179" s="55"/>
      <c r="V179" s="55"/>
      <c r="W179" s="55"/>
      <c r="X179" s="55"/>
      <c r="Y179" s="55"/>
      <c r="Z179" s="55"/>
    </row>
    <row r="180" spans="1:26" ht="15">
      <c r="A180" s="55"/>
      <c r="B180" s="55"/>
      <c r="C180" s="55"/>
      <c r="D180" s="55"/>
      <c r="E180" s="55"/>
      <c r="F180" s="55"/>
      <c r="G180" s="55"/>
      <c r="H180" s="55"/>
      <c r="I180" s="55"/>
      <c r="J180" s="55"/>
      <c r="K180" s="55"/>
      <c r="L180" s="55"/>
      <c r="M180" s="55"/>
      <c r="N180" s="55"/>
      <c r="O180" s="55"/>
      <c r="P180" s="55"/>
      <c r="Q180" s="55"/>
      <c r="R180" s="55"/>
      <c r="S180" s="55"/>
      <c r="T180" s="55"/>
      <c r="U180" s="55"/>
      <c r="V180" s="55"/>
      <c r="W180" s="55"/>
      <c r="X180" s="55"/>
      <c r="Y180" s="55"/>
      <c r="Z180" s="55"/>
    </row>
    <row r="181" spans="1:26" ht="15">
      <c r="A181" s="55"/>
      <c r="B181" s="55"/>
      <c r="C181" s="55"/>
      <c r="D181" s="55"/>
      <c r="E181" s="55"/>
      <c r="F181" s="55"/>
      <c r="G181" s="55"/>
      <c r="H181" s="55"/>
      <c r="I181" s="55"/>
      <c r="J181" s="55"/>
      <c r="K181" s="55"/>
      <c r="L181" s="55"/>
      <c r="M181" s="55"/>
      <c r="N181" s="55"/>
      <c r="O181" s="55"/>
      <c r="P181" s="55"/>
      <c r="Q181" s="55"/>
      <c r="R181" s="55"/>
      <c r="S181" s="55"/>
      <c r="T181" s="55"/>
      <c r="U181" s="55"/>
      <c r="V181" s="55"/>
      <c r="W181" s="55"/>
      <c r="X181" s="55"/>
      <c r="Y181" s="55"/>
      <c r="Z181" s="55"/>
    </row>
    <row r="182" spans="1:26" ht="15">
      <c r="A182" s="55"/>
      <c r="B182" s="55"/>
      <c r="C182" s="55"/>
      <c r="D182" s="55"/>
      <c r="E182" s="55"/>
      <c r="F182" s="55"/>
      <c r="G182" s="55"/>
      <c r="H182" s="55"/>
      <c r="I182" s="55"/>
      <c r="J182" s="55"/>
      <c r="K182" s="55"/>
      <c r="L182" s="55"/>
      <c r="M182" s="55"/>
      <c r="N182" s="55"/>
      <c r="O182" s="55"/>
      <c r="P182" s="55"/>
      <c r="Q182" s="55"/>
      <c r="R182" s="55"/>
      <c r="S182" s="55"/>
      <c r="T182" s="55"/>
      <c r="U182" s="55"/>
      <c r="V182" s="55"/>
      <c r="W182" s="55"/>
      <c r="X182" s="55"/>
      <c r="Y182" s="55"/>
      <c r="Z182" s="55"/>
    </row>
    <row r="183" spans="1:26" ht="15">
      <c r="A183" s="55"/>
      <c r="B183" s="55"/>
      <c r="C183" s="55"/>
      <c r="D183" s="55"/>
      <c r="E183" s="55"/>
      <c r="F183" s="55"/>
      <c r="G183" s="55"/>
      <c r="H183" s="55"/>
      <c r="I183" s="55"/>
      <c r="J183" s="55"/>
      <c r="K183" s="55"/>
      <c r="L183" s="55"/>
      <c r="M183" s="55"/>
      <c r="N183" s="55"/>
      <c r="O183" s="55"/>
      <c r="P183" s="55"/>
      <c r="Q183" s="55"/>
      <c r="R183" s="55"/>
      <c r="S183" s="55"/>
      <c r="T183" s="55"/>
      <c r="U183" s="55"/>
      <c r="V183" s="55"/>
      <c r="W183" s="55"/>
      <c r="X183" s="55"/>
      <c r="Y183" s="55"/>
      <c r="Z183" s="55"/>
    </row>
    <row r="184" spans="1:26" ht="15">
      <c r="A184" s="55"/>
      <c r="B184" s="55"/>
      <c r="C184" s="55"/>
      <c r="D184" s="55"/>
      <c r="E184" s="55"/>
      <c r="F184" s="55"/>
      <c r="G184" s="55"/>
      <c r="H184" s="55"/>
      <c r="I184" s="55"/>
      <c r="J184" s="55"/>
      <c r="K184" s="55"/>
      <c r="L184" s="55"/>
      <c r="M184" s="55"/>
      <c r="N184" s="55"/>
      <c r="O184" s="55"/>
      <c r="P184" s="55"/>
      <c r="Q184" s="55"/>
      <c r="R184" s="55"/>
      <c r="S184" s="55"/>
      <c r="T184" s="55"/>
      <c r="U184" s="55"/>
      <c r="V184" s="55"/>
      <c r="W184" s="55"/>
      <c r="X184" s="55"/>
      <c r="Y184" s="55"/>
      <c r="Z184" s="55"/>
    </row>
    <row r="185" spans="1:26" ht="15">
      <c r="A185" s="55"/>
      <c r="B185" s="55"/>
      <c r="C185" s="55"/>
      <c r="D185" s="55"/>
      <c r="E185" s="55"/>
      <c r="F185" s="55"/>
      <c r="G185" s="55"/>
      <c r="H185" s="55"/>
      <c r="I185" s="55"/>
      <c r="J185" s="55"/>
      <c r="K185" s="55"/>
      <c r="L185" s="55"/>
      <c r="M185" s="55"/>
      <c r="N185" s="55"/>
      <c r="O185" s="55"/>
      <c r="P185" s="55"/>
      <c r="Q185" s="55"/>
      <c r="R185" s="55"/>
      <c r="S185" s="55"/>
      <c r="T185" s="55"/>
      <c r="U185" s="55"/>
      <c r="V185" s="55"/>
      <c r="W185" s="55"/>
      <c r="X185" s="55"/>
      <c r="Y185" s="55"/>
      <c r="Z185" s="55"/>
    </row>
    <row r="186" spans="1:26" ht="15">
      <c r="A186" s="55"/>
      <c r="B186" s="55"/>
      <c r="C186" s="55"/>
      <c r="D186" s="55"/>
      <c r="E186" s="55"/>
      <c r="F186" s="55"/>
      <c r="G186" s="55"/>
      <c r="H186" s="55"/>
      <c r="I186" s="55"/>
      <c r="J186" s="55"/>
      <c r="K186" s="55"/>
      <c r="L186" s="55"/>
      <c r="M186" s="55"/>
      <c r="N186" s="55"/>
      <c r="O186" s="55"/>
      <c r="P186" s="55"/>
      <c r="Q186" s="55"/>
      <c r="R186" s="55"/>
      <c r="S186" s="55"/>
      <c r="T186" s="55"/>
      <c r="U186" s="55"/>
      <c r="V186" s="55"/>
      <c r="W186" s="55"/>
      <c r="X186" s="55"/>
      <c r="Y186" s="55"/>
      <c r="Z186" s="55"/>
    </row>
    <row r="187" spans="1:26" ht="15">
      <c r="A187" s="55"/>
      <c r="B187" s="55"/>
      <c r="C187" s="55"/>
      <c r="D187" s="55"/>
      <c r="E187" s="55"/>
      <c r="F187" s="55"/>
      <c r="G187" s="55"/>
      <c r="H187" s="55"/>
      <c r="I187" s="55"/>
      <c r="J187" s="55"/>
      <c r="K187" s="55"/>
      <c r="L187" s="55"/>
      <c r="M187" s="55"/>
      <c r="N187" s="55"/>
      <c r="O187" s="55"/>
      <c r="P187" s="55"/>
      <c r="Q187" s="55"/>
      <c r="R187" s="55"/>
      <c r="S187" s="55"/>
      <c r="T187" s="55"/>
      <c r="U187" s="55"/>
      <c r="V187" s="55"/>
      <c r="W187" s="55"/>
      <c r="X187" s="55"/>
      <c r="Y187" s="55"/>
      <c r="Z187" s="55"/>
    </row>
    <row r="188" spans="1:26" ht="15">
      <c r="A188" s="55"/>
      <c r="B188" s="55"/>
      <c r="C188" s="55"/>
      <c r="D188" s="55"/>
      <c r="E188" s="55"/>
      <c r="F188" s="55"/>
      <c r="G188" s="55"/>
      <c r="H188" s="55"/>
      <c r="I188" s="55"/>
      <c r="J188" s="55"/>
      <c r="K188" s="55"/>
      <c r="L188" s="55"/>
      <c r="M188" s="55"/>
      <c r="N188" s="55"/>
      <c r="O188" s="55"/>
      <c r="P188" s="55"/>
      <c r="Q188" s="55"/>
      <c r="R188" s="55"/>
      <c r="S188" s="55"/>
      <c r="T188" s="55"/>
      <c r="U188" s="55"/>
      <c r="V188" s="55"/>
      <c r="W188" s="55"/>
      <c r="X188" s="55"/>
      <c r="Y188" s="55"/>
      <c r="Z188" s="55"/>
    </row>
    <row r="189" spans="1:26" ht="15">
      <c r="A189" s="55"/>
      <c r="B189" s="55"/>
      <c r="C189" s="55"/>
      <c r="D189" s="55"/>
      <c r="E189" s="55"/>
      <c r="F189" s="55"/>
      <c r="G189" s="55"/>
      <c r="H189" s="55"/>
      <c r="I189" s="55"/>
      <c r="J189" s="55"/>
      <c r="K189" s="55"/>
      <c r="L189" s="55"/>
      <c r="M189" s="55"/>
      <c r="N189" s="55"/>
      <c r="O189" s="55"/>
      <c r="P189" s="55"/>
      <c r="Q189" s="55"/>
      <c r="R189" s="55"/>
      <c r="S189" s="55"/>
      <c r="T189" s="55"/>
      <c r="U189" s="55"/>
      <c r="V189" s="55"/>
      <c r="W189" s="55"/>
      <c r="X189" s="55"/>
      <c r="Y189" s="55"/>
      <c r="Z189" s="55"/>
    </row>
    <row r="190" spans="1:26" ht="15">
      <c r="A190" s="55"/>
      <c r="B190" s="55"/>
      <c r="C190" s="55"/>
      <c r="D190" s="55"/>
      <c r="E190" s="55"/>
      <c r="F190" s="55"/>
      <c r="G190" s="55"/>
      <c r="H190" s="55"/>
      <c r="I190" s="55"/>
      <c r="J190" s="55"/>
      <c r="K190" s="55"/>
      <c r="L190" s="55"/>
      <c r="M190" s="55"/>
      <c r="N190" s="55"/>
      <c r="O190" s="55"/>
      <c r="P190" s="55"/>
      <c r="Q190" s="55"/>
      <c r="R190" s="55"/>
      <c r="S190" s="55"/>
      <c r="T190" s="55"/>
      <c r="U190" s="55"/>
      <c r="V190" s="55"/>
      <c r="W190" s="55"/>
      <c r="X190" s="55"/>
      <c r="Y190" s="55"/>
      <c r="Z190" s="55"/>
    </row>
    <row r="191" spans="1:26" ht="15">
      <c r="A191" s="55"/>
      <c r="B191" s="55"/>
      <c r="C191" s="55"/>
      <c r="D191" s="55"/>
      <c r="E191" s="55"/>
      <c r="F191" s="55"/>
      <c r="G191" s="55"/>
      <c r="H191" s="55"/>
      <c r="I191" s="55"/>
      <c r="J191" s="55"/>
      <c r="K191" s="55"/>
      <c r="L191" s="55"/>
      <c r="M191" s="55"/>
      <c r="N191" s="55"/>
      <c r="O191" s="55"/>
      <c r="P191" s="55"/>
      <c r="Q191" s="55"/>
      <c r="R191" s="55"/>
      <c r="S191" s="55"/>
      <c r="T191" s="55"/>
      <c r="U191" s="55"/>
      <c r="V191" s="55"/>
      <c r="W191" s="55"/>
      <c r="X191" s="55"/>
      <c r="Y191" s="55"/>
      <c r="Z191" s="55"/>
    </row>
    <row r="192" spans="1:26" ht="15">
      <c r="A192" s="55"/>
      <c r="B192" s="55"/>
      <c r="C192" s="55"/>
      <c r="D192" s="55"/>
      <c r="E192" s="55"/>
      <c r="F192" s="55"/>
      <c r="G192" s="55"/>
      <c r="H192" s="55"/>
      <c r="I192" s="55"/>
      <c r="J192" s="55"/>
      <c r="K192" s="55"/>
      <c r="L192" s="55"/>
      <c r="M192" s="55"/>
      <c r="N192" s="55"/>
      <c r="O192" s="55"/>
      <c r="P192" s="55"/>
      <c r="Q192" s="55"/>
      <c r="R192" s="55"/>
      <c r="S192" s="55"/>
      <c r="T192" s="55"/>
      <c r="U192" s="55"/>
      <c r="V192" s="55"/>
      <c r="W192" s="55"/>
      <c r="X192" s="55"/>
      <c r="Y192" s="55"/>
      <c r="Z192" s="55"/>
    </row>
    <row r="193" spans="1:26" ht="15">
      <c r="A193" s="55"/>
      <c r="B193" s="55"/>
      <c r="C193" s="55"/>
      <c r="D193" s="55"/>
      <c r="E193" s="55"/>
      <c r="F193" s="55"/>
      <c r="G193" s="55"/>
      <c r="H193" s="55"/>
      <c r="I193" s="55"/>
      <c r="J193" s="55"/>
      <c r="K193" s="55"/>
      <c r="L193" s="55"/>
      <c r="M193" s="55"/>
      <c r="N193" s="55"/>
      <c r="O193" s="55"/>
      <c r="P193" s="55"/>
      <c r="Q193" s="55"/>
      <c r="R193" s="55"/>
      <c r="S193" s="55"/>
      <c r="T193" s="55"/>
      <c r="U193" s="55"/>
      <c r="V193" s="55"/>
      <c r="W193" s="55"/>
      <c r="X193" s="55"/>
      <c r="Y193" s="55"/>
      <c r="Z193" s="55"/>
    </row>
    <row r="194" spans="1:26" ht="15">
      <c r="A194" s="55"/>
      <c r="B194" s="55"/>
      <c r="C194" s="55"/>
      <c r="D194" s="55"/>
      <c r="E194" s="55"/>
      <c r="F194" s="55"/>
      <c r="G194" s="55"/>
      <c r="H194" s="55"/>
      <c r="I194" s="55"/>
      <c r="J194" s="55"/>
      <c r="K194" s="55"/>
      <c r="L194" s="55"/>
      <c r="M194" s="55"/>
      <c r="N194" s="55"/>
      <c r="O194" s="55"/>
      <c r="P194" s="55"/>
      <c r="Q194" s="55"/>
      <c r="R194" s="55"/>
      <c r="S194" s="55"/>
      <c r="T194" s="55"/>
      <c r="U194" s="55"/>
      <c r="V194" s="55"/>
      <c r="W194" s="55"/>
      <c r="X194" s="55"/>
      <c r="Y194" s="55"/>
      <c r="Z194" s="55"/>
    </row>
    <row r="195" spans="1:26" ht="15">
      <c r="A195" s="55"/>
      <c r="B195" s="55"/>
      <c r="C195" s="55"/>
      <c r="D195" s="55"/>
      <c r="E195" s="55"/>
      <c r="F195" s="55"/>
      <c r="G195" s="55"/>
      <c r="H195" s="55"/>
      <c r="I195" s="55"/>
      <c r="J195" s="55"/>
      <c r="K195" s="55"/>
      <c r="L195" s="55"/>
      <c r="M195" s="55"/>
      <c r="N195" s="55"/>
      <c r="O195" s="55"/>
      <c r="P195" s="55"/>
      <c r="Q195" s="55"/>
      <c r="R195" s="55"/>
      <c r="S195" s="55"/>
      <c r="T195" s="55"/>
      <c r="U195" s="55"/>
      <c r="V195" s="55"/>
      <c r="W195" s="55"/>
      <c r="X195" s="55"/>
      <c r="Y195" s="55"/>
      <c r="Z195" s="55"/>
    </row>
    <row r="196" spans="1:26" ht="15">
      <c r="A196" s="55"/>
      <c r="B196" s="55"/>
      <c r="C196" s="55"/>
      <c r="D196" s="55"/>
      <c r="E196" s="55"/>
      <c r="F196" s="55"/>
      <c r="G196" s="55"/>
      <c r="H196" s="55"/>
      <c r="I196" s="55"/>
      <c r="J196" s="55"/>
      <c r="K196" s="55"/>
      <c r="L196" s="55"/>
      <c r="M196" s="55"/>
      <c r="N196" s="55"/>
      <c r="O196" s="55"/>
      <c r="P196" s="55"/>
      <c r="Q196" s="55"/>
      <c r="R196" s="55"/>
      <c r="S196" s="55"/>
      <c r="T196" s="55"/>
      <c r="U196" s="55"/>
      <c r="V196" s="55"/>
      <c r="W196" s="55"/>
      <c r="X196" s="55"/>
      <c r="Y196" s="55"/>
      <c r="Z196" s="55"/>
    </row>
    <row r="197" spans="1:26" ht="15">
      <c r="A197" s="55"/>
      <c r="B197" s="55"/>
      <c r="C197" s="55"/>
      <c r="D197" s="55"/>
      <c r="E197" s="55"/>
      <c r="F197" s="55"/>
      <c r="G197" s="55"/>
      <c r="H197" s="55"/>
      <c r="I197" s="55"/>
      <c r="J197" s="55"/>
      <c r="K197" s="55"/>
      <c r="L197" s="55"/>
      <c r="M197" s="55"/>
      <c r="N197" s="55"/>
      <c r="O197" s="55"/>
      <c r="P197" s="55"/>
      <c r="Q197" s="55"/>
      <c r="R197" s="55"/>
      <c r="S197" s="55"/>
      <c r="T197" s="55"/>
      <c r="U197" s="55"/>
      <c r="V197" s="55"/>
      <c r="W197" s="55"/>
      <c r="X197" s="55"/>
      <c r="Y197" s="55"/>
      <c r="Z197" s="55"/>
    </row>
    <row r="198" spans="1:26" ht="15">
      <c r="A198" s="55"/>
      <c r="B198" s="55"/>
      <c r="C198" s="55"/>
      <c r="D198" s="55"/>
      <c r="E198" s="55"/>
      <c r="F198" s="55"/>
      <c r="G198" s="55"/>
      <c r="H198" s="55"/>
      <c r="I198" s="55"/>
      <c r="J198" s="55"/>
      <c r="K198" s="55"/>
      <c r="L198" s="55"/>
      <c r="M198" s="55"/>
      <c r="N198" s="55"/>
      <c r="O198" s="55"/>
      <c r="P198" s="55"/>
      <c r="Q198" s="55"/>
      <c r="R198" s="55"/>
      <c r="S198" s="55"/>
      <c r="T198" s="55"/>
      <c r="U198" s="55"/>
      <c r="V198" s="55"/>
      <c r="W198" s="55"/>
      <c r="X198" s="55"/>
      <c r="Y198" s="55"/>
      <c r="Z198" s="55"/>
    </row>
    <row r="199" spans="1:26" ht="15">
      <c r="A199" s="55"/>
      <c r="B199" s="55"/>
      <c r="C199" s="55"/>
      <c r="D199" s="55"/>
      <c r="E199" s="55"/>
      <c r="F199" s="55"/>
      <c r="G199" s="55"/>
      <c r="H199" s="55"/>
      <c r="I199" s="55"/>
      <c r="J199" s="55"/>
      <c r="K199" s="55"/>
      <c r="L199" s="55"/>
      <c r="M199" s="55"/>
      <c r="N199" s="55"/>
      <c r="O199" s="55"/>
      <c r="P199" s="55"/>
      <c r="Q199" s="55"/>
      <c r="R199" s="55"/>
      <c r="S199" s="55"/>
      <c r="T199" s="55"/>
      <c r="U199" s="55"/>
      <c r="V199" s="55"/>
      <c r="W199" s="55"/>
      <c r="X199" s="55"/>
      <c r="Y199" s="55"/>
      <c r="Z199" s="55"/>
    </row>
    <row r="200" spans="1:26" ht="15">
      <c r="A200" s="55"/>
      <c r="B200" s="55"/>
      <c r="C200" s="55"/>
      <c r="D200" s="55"/>
      <c r="E200" s="55"/>
      <c r="F200" s="55"/>
      <c r="G200" s="55"/>
      <c r="H200" s="55"/>
      <c r="I200" s="55"/>
      <c r="J200" s="55"/>
      <c r="K200" s="55"/>
      <c r="L200" s="55"/>
      <c r="M200" s="55"/>
      <c r="N200" s="55"/>
      <c r="O200" s="55"/>
      <c r="P200" s="55"/>
      <c r="Q200" s="55"/>
      <c r="R200" s="55"/>
      <c r="S200" s="55"/>
      <c r="T200" s="55"/>
      <c r="U200" s="55"/>
      <c r="V200" s="55"/>
      <c r="W200" s="55"/>
      <c r="X200" s="55"/>
      <c r="Y200" s="55"/>
      <c r="Z200" s="55"/>
    </row>
    <row r="201" spans="1:26" ht="15">
      <c r="A201" s="55"/>
      <c r="B201" s="55"/>
      <c r="C201" s="55"/>
      <c r="D201" s="55"/>
      <c r="E201" s="55"/>
      <c r="F201" s="55"/>
      <c r="G201" s="55"/>
      <c r="H201" s="55"/>
      <c r="I201" s="55"/>
      <c r="J201" s="55"/>
      <c r="K201" s="55"/>
      <c r="L201" s="55"/>
      <c r="M201" s="55"/>
      <c r="N201" s="55"/>
      <c r="O201" s="55"/>
      <c r="P201" s="55"/>
      <c r="Q201" s="55"/>
      <c r="R201" s="55"/>
      <c r="S201" s="55"/>
      <c r="T201" s="55"/>
      <c r="U201" s="55"/>
      <c r="V201" s="55"/>
      <c r="W201" s="55"/>
      <c r="X201" s="55"/>
      <c r="Y201" s="55"/>
      <c r="Z201" s="55"/>
    </row>
    <row r="202" spans="1:26" ht="15">
      <c r="A202" s="55"/>
      <c r="B202" s="55"/>
      <c r="C202" s="55"/>
      <c r="D202" s="55"/>
      <c r="E202" s="55"/>
      <c r="F202" s="55"/>
      <c r="G202" s="55"/>
      <c r="H202" s="55"/>
      <c r="I202" s="55"/>
      <c r="J202" s="55"/>
      <c r="K202" s="55"/>
      <c r="L202" s="55"/>
      <c r="M202" s="55"/>
      <c r="N202" s="55"/>
      <c r="O202" s="55"/>
      <c r="P202" s="55"/>
      <c r="Q202" s="55"/>
      <c r="R202" s="55"/>
      <c r="S202" s="55"/>
      <c r="T202" s="55"/>
      <c r="U202" s="55"/>
      <c r="V202" s="55"/>
      <c r="W202" s="55"/>
      <c r="X202" s="55"/>
      <c r="Y202" s="55"/>
      <c r="Z202" s="55"/>
    </row>
    <row r="203" spans="1:26" ht="15">
      <c r="A203" s="55"/>
      <c r="B203" s="55"/>
      <c r="C203" s="55"/>
      <c r="D203" s="55"/>
      <c r="E203" s="55"/>
      <c r="F203" s="55"/>
      <c r="G203" s="55"/>
      <c r="H203" s="55"/>
      <c r="I203" s="55"/>
      <c r="J203" s="55"/>
      <c r="K203" s="55"/>
      <c r="L203" s="55"/>
      <c r="M203" s="55"/>
      <c r="N203" s="55"/>
      <c r="O203" s="55"/>
      <c r="P203" s="55"/>
      <c r="Q203" s="55"/>
      <c r="R203" s="55"/>
      <c r="S203" s="55"/>
      <c r="T203" s="55"/>
      <c r="U203" s="55"/>
      <c r="V203" s="55"/>
      <c r="W203" s="55"/>
      <c r="X203" s="55"/>
      <c r="Y203" s="55"/>
      <c r="Z203" s="55"/>
    </row>
    <row r="204" spans="1:26" ht="15">
      <c r="A204" s="55"/>
      <c r="B204" s="55"/>
      <c r="C204" s="55"/>
      <c r="D204" s="55"/>
      <c r="E204" s="55"/>
      <c r="F204" s="55"/>
      <c r="G204" s="55"/>
      <c r="H204" s="55"/>
      <c r="I204" s="55"/>
      <c r="J204" s="55"/>
      <c r="K204" s="55"/>
      <c r="L204" s="55"/>
      <c r="M204" s="55"/>
      <c r="N204" s="55"/>
      <c r="O204" s="55"/>
      <c r="P204" s="55"/>
      <c r="Q204" s="55"/>
      <c r="R204" s="55"/>
      <c r="S204" s="55"/>
      <c r="T204" s="55"/>
      <c r="U204" s="55"/>
      <c r="V204" s="55"/>
      <c r="W204" s="55"/>
      <c r="X204" s="55"/>
      <c r="Y204" s="55"/>
      <c r="Z204" s="55"/>
    </row>
    <row r="205" spans="1:26" ht="15">
      <c r="A205" s="55"/>
      <c r="B205" s="55"/>
      <c r="C205" s="55"/>
      <c r="D205" s="55"/>
      <c r="E205" s="55"/>
      <c r="F205" s="55"/>
      <c r="G205" s="55"/>
      <c r="H205" s="55"/>
      <c r="I205" s="55"/>
      <c r="J205" s="55"/>
      <c r="K205" s="55"/>
      <c r="L205" s="55"/>
      <c r="M205" s="55"/>
      <c r="N205" s="55"/>
      <c r="O205" s="55"/>
      <c r="P205" s="55"/>
      <c r="Q205" s="55"/>
      <c r="R205" s="55"/>
      <c r="S205" s="55"/>
      <c r="T205" s="55"/>
      <c r="U205" s="55"/>
      <c r="V205" s="55"/>
      <c r="W205" s="55"/>
      <c r="X205" s="55"/>
      <c r="Y205" s="55"/>
      <c r="Z205" s="55"/>
    </row>
    <row r="206" spans="1:26" ht="15">
      <c r="A206" s="55"/>
      <c r="B206" s="55"/>
      <c r="C206" s="55"/>
      <c r="D206" s="55"/>
      <c r="E206" s="55"/>
      <c r="F206" s="55"/>
      <c r="G206" s="55"/>
      <c r="H206" s="55"/>
      <c r="I206" s="55"/>
      <c r="J206" s="55"/>
      <c r="K206" s="55"/>
      <c r="L206" s="55"/>
      <c r="M206" s="55"/>
      <c r="N206" s="55"/>
      <c r="O206" s="55"/>
      <c r="P206" s="55"/>
      <c r="Q206" s="55"/>
      <c r="R206" s="55"/>
      <c r="S206" s="55"/>
      <c r="T206" s="55"/>
      <c r="U206" s="55"/>
      <c r="V206" s="55"/>
      <c r="W206" s="55"/>
      <c r="X206" s="55"/>
      <c r="Y206" s="55"/>
      <c r="Z206" s="55"/>
    </row>
    <row r="207" spans="1:26" ht="15">
      <c r="A207" s="55"/>
      <c r="B207" s="55"/>
      <c r="C207" s="55"/>
      <c r="D207" s="55"/>
      <c r="E207" s="55"/>
      <c r="F207" s="55"/>
      <c r="G207" s="55"/>
      <c r="H207" s="55"/>
      <c r="I207" s="55"/>
      <c r="J207" s="55"/>
      <c r="K207" s="55"/>
      <c r="L207" s="55"/>
      <c r="M207" s="55"/>
      <c r="N207" s="55"/>
      <c r="O207" s="55"/>
      <c r="P207" s="55"/>
      <c r="Q207" s="55"/>
      <c r="R207" s="55"/>
      <c r="S207" s="55"/>
      <c r="T207" s="55"/>
      <c r="U207" s="55"/>
      <c r="V207" s="55"/>
      <c r="W207" s="55"/>
      <c r="X207" s="55"/>
      <c r="Y207" s="55"/>
      <c r="Z207" s="55"/>
    </row>
    <row r="208" spans="1:26" ht="15">
      <c r="A208" s="55"/>
      <c r="B208" s="55"/>
      <c r="C208" s="55"/>
      <c r="D208" s="55"/>
      <c r="E208" s="55"/>
      <c r="F208" s="55"/>
      <c r="G208" s="55"/>
      <c r="H208" s="55"/>
      <c r="I208" s="55"/>
      <c r="J208" s="55"/>
      <c r="K208" s="55"/>
      <c r="L208" s="55"/>
      <c r="M208" s="55"/>
      <c r="N208" s="55"/>
      <c r="O208" s="55"/>
      <c r="P208" s="55"/>
      <c r="Q208" s="55"/>
      <c r="R208" s="55"/>
      <c r="S208" s="55"/>
      <c r="T208" s="55"/>
      <c r="U208" s="55"/>
      <c r="V208" s="55"/>
      <c r="W208" s="55"/>
      <c r="X208" s="55"/>
      <c r="Y208" s="55"/>
      <c r="Z208" s="55"/>
    </row>
    <row r="209" spans="1:26" ht="15">
      <c r="A209" s="55"/>
      <c r="B209" s="55"/>
      <c r="C209" s="55"/>
      <c r="D209" s="55"/>
      <c r="E209" s="55"/>
      <c r="F209" s="55"/>
      <c r="G209" s="55"/>
      <c r="H209" s="55"/>
      <c r="I209" s="55"/>
      <c r="J209" s="55"/>
      <c r="K209" s="55"/>
      <c r="L209" s="55"/>
      <c r="M209" s="55"/>
      <c r="N209" s="55"/>
      <c r="O209" s="55"/>
      <c r="P209" s="55"/>
      <c r="Q209" s="55"/>
      <c r="R209" s="55"/>
      <c r="S209" s="55"/>
      <c r="T209" s="55"/>
      <c r="U209" s="55"/>
      <c r="V209" s="55"/>
      <c r="W209" s="55"/>
      <c r="X209" s="55"/>
      <c r="Y209" s="55"/>
      <c r="Z209" s="55"/>
    </row>
    <row r="210" spans="1:26" ht="15">
      <c r="A210" s="55"/>
      <c r="B210" s="55"/>
      <c r="C210" s="55"/>
      <c r="D210" s="55"/>
      <c r="E210" s="55"/>
      <c r="F210" s="55"/>
      <c r="G210" s="55"/>
      <c r="H210" s="55"/>
      <c r="I210" s="55"/>
      <c r="J210" s="55"/>
      <c r="K210" s="55"/>
      <c r="L210" s="55"/>
      <c r="M210" s="55"/>
      <c r="N210" s="55"/>
      <c r="O210" s="55"/>
      <c r="P210" s="55"/>
      <c r="Q210" s="55"/>
      <c r="R210" s="55"/>
      <c r="S210" s="55"/>
      <c r="T210" s="55"/>
      <c r="U210" s="55"/>
      <c r="V210" s="55"/>
      <c r="W210" s="55"/>
      <c r="X210" s="55"/>
      <c r="Y210" s="55"/>
      <c r="Z210" s="55"/>
    </row>
    <row r="211" spans="1:26" ht="15">
      <c r="A211" s="55"/>
      <c r="B211" s="55"/>
      <c r="C211" s="55"/>
      <c r="D211" s="55"/>
      <c r="E211" s="55"/>
      <c r="F211" s="55"/>
      <c r="G211" s="55"/>
      <c r="H211" s="55"/>
      <c r="I211" s="55"/>
      <c r="J211" s="55"/>
      <c r="K211" s="55"/>
      <c r="L211" s="55"/>
      <c r="M211" s="55"/>
      <c r="N211" s="55"/>
      <c r="O211" s="55"/>
      <c r="P211" s="55"/>
      <c r="Q211" s="55"/>
      <c r="R211" s="55"/>
      <c r="S211" s="55"/>
      <c r="T211" s="55"/>
      <c r="U211" s="55"/>
      <c r="V211" s="55"/>
      <c r="W211" s="55"/>
      <c r="X211" s="55"/>
      <c r="Y211" s="55"/>
      <c r="Z211" s="55"/>
    </row>
    <row r="212" spans="1:26" ht="15">
      <c r="A212" s="55"/>
      <c r="B212" s="55"/>
      <c r="C212" s="55"/>
      <c r="D212" s="55"/>
      <c r="E212" s="55"/>
      <c r="F212" s="55"/>
      <c r="G212" s="55"/>
      <c r="H212" s="55"/>
      <c r="I212" s="55"/>
      <c r="J212" s="55"/>
      <c r="K212" s="55"/>
      <c r="L212" s="55"/>
      <c r="M212" s="55"/>
      <c r="N212" s="55"/>
      <c r="O212" s="55"/>
      <c r="P212" s="55"/>
      <c r="Q212" s="55"/>
      <c r="R212" s="55"/>
      <c r="S212" s="55"/>
      <c r="T212" s="55"/>
      <c r="U212" s="55"/>
      <c r="V212" s="55"/>
      <c r="W212" s="55"/>
      <c r="X212" s="55"/>
      <c r="Y212" s="55"/>
      <c r="Z212" s="55"/>
    </row>
    <row r="213" spans="1:26" ht="15">
      <c r="A213" s="55"/>
      <c r="B213" s="55"/>
      <c r="C213" s="55"/>
      <c r="D213" s="55"/>
      <c r="E213" s="55"/>
      <c r="F213" s="55"/>
      <c r="G213" s="55"/>
      <c r="H213" s="55"/>
      <c r="I213" s="55"/>
      <c r="J213" s="55"/>
      <c r="K213" s="55"/>
      <c r="L213" s="55"/>
      <c r="M213" s="55"/>
      <c r="N213" s="55"/>
      <c r="O213" s="55"/>
      <c r="P213" s="55"/>
      <c r="Q213" s="55"/>
      <c r="R213" s="55"/>
      <c r="S213" s="55"/>
      <c r="T213" s="55"/>
      <c r="U213" s="55"/>
      <c r="V213" s="55"/>
      <c r="W213" s="55"/>
      <c r="X213" s="55"/>
      <c r="Y213" s="55"/>
      <c r="Z213" s="55"/>
    </row>
    <row r="214" spans="1:26" ht="15">
      <c r="A214" s="55"/>
      <c r="B214" s="55"/>
      <c r="C214" s="55"/>
      <c r="D214" s="55"/>
      <c r="E214" s="55"/>
      <c r="F214" s="55"/>
      <c r="G214" s="55"/>
      <c r="H214" s="55"/>
      <c r="I214" s="55"/>
      <c r="J214" s="55"/>
      <c r="K214" s="55"/>
      <c r="L214" s="55"/>
      <c r="M214" s="55"/>
      <c r="N214" s="55"/>
      <c r="O214" s="55"/>
      <c r="P214" s="55"/>
      <c r="Q214" s="55"/>
      <c r="R214" s="55"/>
      <c r="S214" s="55"/>
      <c r="T214" s="55"/>
      <c r="U214" s="55"/>
      <c r="V214" s="55"/>
      <c r="W214" s="55"/>
      <c r="X214" s="55"/>
      <c r="Y214" s="55"/>
      <c r="Z214" s="55"/>
    </row>
    <row r="215" spans="1:26" ht="15">
      <c r="A215" s="55"/>
      <c r="B215" s="55"/>
      <c r="C215" s="55"/>
      <c r="D215" s="55"/>
      <c r="E215" s="55"/>
      <c r="F215" s="55"/>
      <c r="G215" s="55"/>
      <c r="H215" s="55"/>
      <c r="I215" s="55"/>
      <c r="J215" s="55"/>
      <c r="K215" s="55"/>
      <c r="L215" s="55"/>
      <c r="M215" s="55"/>
      <c r="N215" s="55"/>
      <c r="O215" s="55"/>
      <c r="P215" s="55"/>
      <c r="Q215" s="55"/>
      <c r="R215" s="55"/>
      <c r="S215" s="55"/>
      <c r="T215" s="55"/>
      <c r="U215" s="55"/>
      <c r="V215" s="55"/>
      <c r="W215" s="55"/>
      <c r="X215" s="55"/>
      <c r="Y215" s="55"/>
      <c r="Z215" s="55"/>
    </row>
    <row r="216" spans="1:26" ht="15">
      <c r="A216" s="55"/>
      <c r="B216" s="55"/>
      <c r="C216" s="55"/>
      <c r="D216" s="55"/>
      <c r="E216" s="55"/>
      <c r="F216" s="55"/>
      <c r="G216" s="55"/>
      <c r="H216" s="55"/>
      <c r="I216" s="55"/>
      <c r="J216" s="55"/>
      <c r="K216" s="55"/>
      <c r="L216" s="55"/>
      <c r="M216" s="55"/>
      <c r="N216" s="55"/>
      <c r="O216" s="55"/>
      <c r="P216" s="55"/>
      <c r="Q216" s="55"/>
      <c r="R216" s="55"/>
      <c r="S216" s="55"/>
      <c r="T216" s="55"/>
      <c r="U216" s="55"/>
      <c r="V216" s="55"/>
      <c r="W216" s="55"/>
      <c r="X216" s="55"/>
      <c r="Y216" s="55"/>
      <c r="Z216" s="55"/>
    </row>
    <row r="217" spans="1:26" ht="15">
      <c r="A217" s="55"/>
      <c r="B217" s="55"/>
      <c r="C217" s="55"/>
      <c r="D217" s="55"/>
      <c r="E217" s="55"/>
      <c r="F217" s="55"/>
      <c r="G217" s="55"/>
      <c r="H217" s="55"/>
      <c r="I217" s="55"/>
      <c r="J217" s="55"/>
      <c r="K217" s="55"/>
      <c r="L217" s="55"/>
      <c r="M217" s="55"/>
      <c r="N217" s="55"/>
      <c r="O217" s="55"/>
      <c r="P217" s="55"/>
      <c r="Q217" s="55"/>
      <c r="R217" s="55"/>
      <c r="S217" s="55"/>
      <c r="T217" s="55"/>
      <c r="U217" s="55"/>
      <c r="V217" s="55"/>
      <c r="W217" s="55"/>
      <c r="X217" s="55"/>
      <c r="Y217" s="55"/>
      <c r="Z217" s="55"/>
    </row>
    <row r="218" spans="1:26" ht="15">
      <c r="A218" s="55"/>
      <c r="B218" s="55"/>
      <c r="C218" s="55"/>
      <c r="D218" s="55"/>
      <c r="E218" s="55"/>
      <c r="F218" s="55"/>
      <c r="G218" s="55"/>
      <c r="H218" s="55"/>
      <c r="I218" s="55"/>
      <c r="J218" s="55"/>
      <c r="K218" s="55"/>
      <c r="L218" s="55"/>
      <c r="M218" s="55"/>
      <c r="N218" s="55"/>
      <c r="O218" s="55"/>
      <c r="P218" s="55"/>
      <c r="Q218" s="55"/>
      <c r="R218" s="55"/>
      <c r="S218" s="55"/>
      <c r="T218" s="55"/>
      <c r="U218" s="55"/>
      <c r="V218" s="55"/>
      <c r="W218" s="55"/>
      <c r="X218" s="55"/>
      <c r="Y218" s="55"/>
      <c r="Z218" s="55"/>
    </row>
    <row r="219" spans="1:26" ht="15">
      <c r="A219" s="55"/>
      <c r="B219" s="55"/>
      <c r="C219" s="55"/>
      <c r="D219" s="55"/>
      <c r="E219" s="55"/>
      <c r="F219" s="55"/>
      <c r="G219" s="55"/>
      <c r="H219" s="55"/>
      <c r="I219" s="55"/>
      <c r="J219" s="55"/>
      <c r="K219" s="55"/>
      <c r="L219" s="55"/>
      <c r="M219" s="55"/>
      <c r="N219" s="55"/>
      <c r="O219" s="55"/>
      <c r="P219" s="55"/>
      <c r="Q219" s="55"/>
      <c r="R219" s="55"/>
      <c r="S219" s="55"/>
      <c r="T219" s="55"/>
      <c r="U219" s="55"/>
      <c r="V219" s="55"/>
      <c r="W219" s="55"/>
      <c r="X219" s="55"/>
      <c r="Y219" s="55"/>
      <c r="Z219" s="55"/>
    </row>
    <row r="220" spans="1:26" ht="15">
      <c r="A220" s="55"/>
      <c r="B220" s="55"/>
      <c r="C220" s="55"/>
      <c r="D220" s="55"/>
      <c r="E220" s="55"/>
      <c r="F220" s="55"/>
      <c r="G220" s="55"/>
      <c r="H220" s="55"/>
      <c r="I220" s="55"/>
      <c r="J220" s="55"/>
      <c r="K220" s="55"/>
      <c r="L220" s="55"/>
      <c r="M220" s="55"/>
      <c r="N220" s="55"/>
      <c r="O220" s="55"/>
      <c r="P220" s="55"/>
      <c r="Q220" s="55"/>
      <c r="R220" s="55"/>
      <c r="S220" s="55"/>
      <c r="T220" s="55"/>
      <c r="U220" s="55"/>
      <c r="V220" s="55"/>
      <c r="W220" s="55"/>
      <c r="X220" s="55"/>
      <c r="Y220" s="55"/>
      <c r="Z220" s="55"/>
    </row>
    <row r="221" spans="1:26" ht="15">
      <c r="A221" s="55"/>
      <c r="B221" s="55"/>
      <c r="C221" s="55"/>
      <c r="D221" s="55"/>
      <c r="E221" s="55"/>
      <c r="F221" s="55"/>
      <c r="G221" s="55"/>
      <c r="H221" s="55"/>
      <c r="I221" s="55"/>
      <c r="J221" s="55"/>
      <c r="K221" s="55"/>
      <c r="L221" s="55"/>
      <c r="M221" s="55"/>
      <c r="N221" s="55"/>
      <c r="O221" s="55"/>
      <c r="P221" s="55"/>
      <c r="Q221" s="55"/>
      <c r="R221" s="55"/>
      <c r="S221" s="55"/>
      <c r="T221" s="55"/>
      <c r="U221" s="55"/>
      <c r="V221" s="55"/>
      <c r="W221" s="55"/>
      <c r="X221" s="55"/>
      <c r="Y221" s="55"/>
      <c r="Z221" s="55"/>
    </row>
    <row r="222" spans="1:26" ht="15">
      <c r="A222" s="55"/>
      <c r="B222" s="55"/>
      <c r="C222" s="55"/>
      <c r="D222" s="55"/>
      <c r="E222" s="55"/>
      <c r="F222" s="55"/>
      <c r="G222" s="55"/>
      <c r="H222" s="55"/>
      <c r="I222" s="55"/>
      <c r="J222" s="55"/>
      <c r="K222" s="55"/>
      <c r="L222" s="55"/>
      <c r="M222" s="55"/>
      <c r="N222" s="55"/>
      <c r="O222" s="55"/>
      <c r="P222" s="55"/>
      <c r="Q222" s="55"/>
      <c r="R222" s="55"/>
      <c r="S222" s="55"/>
      <c r="T222" s="55"/>
      <c r="U222" s="55"/>
      <c r="V222" s="55"/>
      <c r="W222" s="55"/>
      <c r="X222" s="55"/>
      <c r="Y222" s="55"/>
      <c r="Z222" s="55"/>
    </row>
    <row r="223" spans="1:26" ht="15">
      <c r="A223" s="55"/>
      <c r="B223" s="55"/>
      <c r="C223" s="55"/>
      <c r="D223" s="55"/>
      <c r="E223" s="55"/>
      <c r="F223" s="55"/>
      <c r="G223" s="55"/>
      <c r="H223" s="55"/>
      <c r="I223" s="55"/>
      <c r="J223" s="55"/>
      <c r="K223" s="55"/>
      <c r="L223" s="55"/>
      <c r="M223" s="55"/>
      <c r="N223" s="55"/>
      <c r="O223" s="55"/>
      <c r="P223" s="55"/>
      <c r="Q223" s="55"/>
      <c r="R223" s="55"/>
      <c r="S223" s="55"/>
      <c r="T223" s="55"/>
      <c r="U223" s="55"/>
      <c r="V223" s="55"/>
      <c r="W223" s="55"/>
      <c r="X223" s="55"/>
      <c r="Y223" s="55"/>
      <c r="Z223" s="55"/>
    </row>
    <row r="224" spans="1:26" ht="15">
      <c r="A224" s="55"/>
      <c r="B224" s="55"/>
      <c r="C224" s="55"/>
      <c r="D224" s="55"/>
      <c r="E224" s="55"/>
      <c r="F224" s="55"/>
      <c r="G224" s="55"/>
      <c r="H224" s="55"/>
      <c r="I224" s="55"/>
      <c r="J224" s="55"/>
      <c r="K224" s="55"/>
      <c r="L224" s="55"/>
      <c r="M224" s="55"/>
      <c r="N224" s="55"/>
      <c r="O224" s="55"/>
      <c r="P224" s="55"/>
      <c r="Q224" s="55"/>
      <c r="R224" s="55"/>
      <c r="S224" s="55"/>
      <c r="T224" s="55"/>
      <c r="U224" s="55"/>
      <c r="V224" s="55"/>
      <c r="W224" s="55"/>
      <c r="X224" s="55"/>
      <c r="Y224" s="55"/>
      <c r="Z224" s="55"/>
    </row>
    <row r="225" spans="1:26" ht="15">
      <c r="A225" s="55"/>
      <c r="B225" s="55"/>
      <c r="C225" s="55"/>
      <c r="D225" s="55"/>
      <c r="E225" s="55"/>
      <c r="F225" s="55"/>
      <c r="G225" s="55"/>
      <c r="H225" s="55"/>
      <c r="I225" s="55"/>
      <c r="J225" s="55"/>
      <c r="K225" s="55"/>
      <c r="L225" s="55"/>
      <c r="M225" s="55"/>
      <c r="N225" s="55"/>
      <c r="O225" s="55"/>
      <c r="P225" s="55"/>
      <c r="Q225" s="55"/>
      <c r="R225" s="55"/>
      <c r="S225" s="55"/>
      <c r="T225" s="55"/>
      <c r="U225" s="55"/>
      <c r="V225" s="55"/>
      <c r="W225" s="55"/>
      <c r="X225" s="55"/>
      <c r="Y225" s="55"/>
      <c r="Z225" s="55"/>
    </row>
    <row r="226" spans="1:26" ht="15">
      <c r="A226" s="55"/>
      <c r="B226" s="55"/>
      <c r="C226" s="55"/>
      <c r="D226" s="55"/>
      <c r="E226" s="55"/>
      <c r="F226" s="55"/>
      <c r="G226" s="55"/>
      <c r="H226" s="55"/>
      <c r="I226" s="55"/>
      <c r="J226" s="55"/>
      <c r="K226" s="55"/>
      <c r="L226" s="55"/>
      <c r="M226" s="55"/>
      <c r="N226" s="55"/>
      <c r="O226" s="55"/>
      <c r="P226" s="55"/>
      <c r="Q226" s="55"/>
      <c r="R226" s="55"/>
      <c r="S226" s="55"/>
      <c r="T226" s="55"/>
      <c r="U226" s="55"/>
      <c r="V226" s="55"/>
      <c r="W226" s="55"/>
      <c r="X226" s="55"/>
      <c r="Y226" s="55"/>
      <c r="Z226" s="55"/>
    </row>
    <row r="227" spans="1:26" ht="15">
      <c r="A227" s="55"/>
      <c r="B227" s="55"/>
      <c r="C227" s="55"/>
      <c r="D227" s="55"/>
      <c r="E227" s="55"/>
      <c r="F227" s="55"/>
      <c r="G227" s="55"/>
      <c r="H227" s="55"/>
      <c r="I227" s="55"/>
      <c r="J227" s="55"/>
      <c r="K227" s="55"/>
      <c r="L227" s="55"/>
      <c r="M227" s="55"/>
      <c r="N227" s="55"/>
      <c r="O227" s="55"/>
      <c r="P227" s="55"/>
      <c r="Q227" s="55"/>
      <c r="R227" s="55"/>
      <c r="S227" s="55"/>
      <c r="T227" s="55"/>
      <c r="U227" s="55"/>
      <c r="V227" s="55"/>
      <c r="W227" s="55"/>
      <c r="X227" s="55"/>
      <c r="Y227" s="55"/>
      <c r="Z227" s="55"/>
    </row>
    <row r="228" spans="1:26" ht="15">
      <c r="A228" s="55"/>
      <c r="B228" s="55"/>
      <c r="C228" s="55"/>
      <c r="D228" s="55"/>
      <c r="E228" s="55"/>
      <c r="F228" s="55"/>
      <c r="G228" s="55"/>
      <c r="H228" s="55"/>
      <c r="I228" s="55"/>
      <c r="J228" s="55"/>
      <c r="K228" s="55"/>
      <c r="L228" s="55"/>
      <c r="M228" s="55"/>
      <c r="N228" s="55"/>
      <c r="O228" s="55"/>
      <c r="P228" s="55"/>
      <c r="Q228" s="55"/>
      <c r="R228" s="55"/>
      <c r="S228" s="55"/>
      <c r="T228" s="55"/>
      <c r="U228" s="55"/>
      <c r="V228" s="55"/>
      <c r="W228" s="55"/>
      <c r="X228" s="55"/>
      <c r="Y228" s="55"/>
      <c r="Z228" s="55"/>
    </row>
    <row r="229" spans="1:26" ht="15">
      <c r="A229" s="55"/>
      <c r="B229" s="55"/>
      <c r="C229" s="55"/>
      <c r="D229" s="55"/>
      <c r="E229" s="55"/>
      <c r="F229" s="55"/>
      <c r="G229" s="55"/>
      <c r="H229" s="55"/>
      <c r="I229" s="55"/>
      <c r="J229" s="55"/>
      <c r="K229" s="55"/>
      <c r="L229" s="55"/>
      <c r="M229" s="55"/>
      <c r="N229" s="55"/>
      <c r="O229" s="55"/>
      <c r="P229" s="55"/>
      <c r="Q229" s="55"/>
      <c r="R229" s="55"/>
      <c r="S229" s="55"/>
      <c r="T229" s="55"/>
      <c r="U229" s="55"/>
      <c r="V229" s="55"/>
      <c r="W229" s="55"/>
      <c r="X229" s="55"/>
      <c r="Y229" s="55"/>
      <c r="Z229" s="55"/>
    </row>
    <row r="230" spans="1:26" ht="15">
      <c r="A230" s="55"/>
      <c r="B230" s="55"/>
      <c r="C230" s="55"/>
      <c r="D230" s="55"/>
      <c r="E230" s="55"/>
      <c r="F230" s="55"/>
      <c r="G230" s="55"/>
      <c r="H230" s="55"/>
      <c r="I230" s="55"/>
      <c r="J230" s="55"/>
      <c r="K230" s="55"/>
      <c r="L230" s="55"/>
      <c r="M230" s="55"/>
      <c r="N230" s="55"/>
      <c r="O230" s="55"/>
      <c r="P230" s="55"/>
      <c r="Q230" s="55"/>
      <c r="R230" s="55"/>
      <c r="S230" s="55"/>
      <c r="T230" s="55"/>
      <c r="U230" s="55"/>
      <c r="V230" s="55"/>
      <c r="W230" s="55"/>
      <c r="X230" s="55"/>
      <c r="Y230" s="55"/>
      <c r="Z230" s="55"/>
    </row>
    <row r="231" spans="1:26" ht="15">
      <c r="A231" s="55"/>
      <c r="B231" s="55"/>
      <c r="C231" s="55"/>
      <c r="D231" s="55"/>
      <c r="E231" s="55"/>
      <c r="F231" s="55"/>
      <c r="G231" s="55"/>
      <c r="H231" s="55"/>
      <c r="I231" s="55"/>
      <c r="J231" s="55"/>
      <c r="K231" s="55"/>
      <c r="L231" s="55"/>
      <c r="M231" s="55"/>
      <c r="N231" s="55"/>
      <c r="O231" s="55"/>
      <c r="P231" s="55"/>
      <c r="Q231" s="55"/>
      <c r="R231" s="55"/>
      <c r="S231" s="55"/>
      <c r="T231" s="55"/>
      <c r="U231" s="55"/>
      <c r="V231" s="55"/>
      <c r="W231" s="55"/>
      <c r="X231" s="55"/>
      <c r="Y231" s="55"/>
      <c r="Z231" s="55"/>
    </row>
    <row r="232" spans="1:26" ht="15">
      <c r="A232" s="55"/>
      <c r="B232" s="55"/>
      <c r="C232" s="55"/>
      <c r="D232" s="55"/>
      <c r="E232" s="55"/>
      <c r="F232" s="55"/>
      <c r="G232" s="55"/>
      <c r="H232" s="55"/>
      <c r="I232" s="55"/>
      <c r="J232" s="55"/>
      <c r="K232" s="55"/>
      <c r="L232" s="55"/>
      <c r="M232" s="55"/>
      <c r="N232" s="55"/>
      <c r="O232" s="55"/>
      <c r="P232" s="55"/>
      <c r="Q232" s="55"/>
      <c r="R232" s="55"/>
      <c r="S232" s="55"/>
      <c r="T232" s="55"/>
      <c r="U232" s="55"/>
      <c r="V232" s="55"/>
      <c r="W232" s="55"/>
      <c r="X232" s="55"/>
      <c r="Y232" s="55"/>
      <c r="Z232" s="55"/>
    </row>
    <row r="233" spans="1:26" ht="15">
      <c r="A233" s="55"/>
      <c r="B233" s="55"/>
      <c r="C233" s="55"/>
      <c r="D233" s="55"/>
      <c r="E233" s="55"/>
      <c r="F233" s="55"/>
      <c r="G233" s="55"/>
      <c r="H233" s="55"/>
      <c r="I233" s="55"/>
      <c r="J233" s="55"/>
      <c r="K233" s="55"/>
      <c r="L233" s="55"/>
      <c r="M233" s="55"/>
      <c r="N233" s="55"/>
      <c r="O233" s="55"/>
      <c r="P233" s="55"/>
      <c r="Q233" s="55"/>
      <c r="R233" s="55"/>
      <c r="S233" s="55"/>
      <c r="T233" s="55"/>
      <c r="U233" s="55"/>
      <c r="V233" s="55"/>
      <c r="W233" s="55"/>
      <c r="X233" s="55"/>
      <c r="Y233" s="55"/>
      <c r="Z233" s="55"/>
    </row>
    <row r="234" spans="1:26" ht="15">
      <c r="A234" s="55"/>
      <c r="B234" s="55"/>
      <c r="C234" s="55"/>
      <c r="D234" s="55"/>
      <c r="E234" s="55"/>
      <c r="F234" s="55"/>
      <c r="G234" s="55"/>
      <c r="H234" s="55"/>
      <c r="I234" s="55"/>
      <c r="J234" s="55"/>
      <c r="K234" s="55"/>
      <c r="L234" s="55"/>
      <c r="M234" s="55"/>
      <c r="N234" s="55"/>
      <c r="O234" s="55"/>
      <c r="P234" s="55"/>
      <c r="Q234" s="55"/>
      <c r="R234" s="55"/>
      <c r="S234" s="55"/>
      <c r="T234" s="55"/>
      <c r="U234" s="55"/>
      <c r="V234" s="55"/>
      <c r="W234" s="55"/>
      <c r="X234" s="55"/>
      <c r="Y234" s="55"/>
      <c r="Z234" s="55"/>
    </row>
    <row r="235" spans="1:26" ht="15">
      <c r="A235" s="55"/>
      <c r="B235" s="55"/>
      <c r="C235" s="55"/>
      <c r="D235" s="55"/>
      <c r="E235" s="55"/>
      <c r="F235" s="55"/>
      <c r="G235" s="55"/>
      <c r="H235" s="55"/>
      <c r="I235" s="55"/>
      <c r="J235" s="55"/>
      <c r="K235" s="55"/>
      <c r="L235" s="55"/>
      <c r="M235" s="55"/>
      <c r="N235" s="55"/>
      <c r="O235" s="55"/>
      <c r="P235" s="55"/>
      <c r="Q235" s="55"/>
      <c r="R235" s="55"/>
      <c r="S235" s="55"/>
      <c r="T235" s="55"/>
      <c r="U235" s="55"/>
      <c r="V235" s="55"/>
      <c r="W235" s="55"/>
      <c r="X235" s="55"/>
      <c r="Y235" s="55"/>
      <c r="Z235" s="55"/>
    </row>
    <row r="236" spans="1:26" ht="15">
      <c r="A236" s="55"/>
      <c r="B236" s="55"/>
      <c r="C236" s="55"/>
      <c r="D236" s="55"/>
      <c r="E236" s="55"/>
      <c r="F236" s="55"/>
      <c r="G236" s="55"/>
      <c r="H236" s="55"/>
      <c r="I236" s="55"/>
      <c r="J236" s="55"/>
      <c r="K236" s="55"/>
      <c r="L236" s="55"/>
      <c r="M236" s="55"/>
      <c r="N236" s="55"/>
      <c r="O236" s="55"/>
      <c r="P236" s="55"/>
      <c r="Q236" s="55"/>
      <c r="R236" s="55"/>
      <c r="S236" s="55"/>
      <c r="T236" s="55"/>
      <c r="U236" s="55"/>
      <c r="V236" s="55"/>
      <c r="W236" s="55"/>
      <c r="X236" s="55"/>
      <c r="Y236" s="55"/>
      <c r="Z236" s="55"/>
    </row>
    <row r="237" spans="1:26" ht="15">
      <c r="A237" s="55"/>
      <c r="B237" s="55"/>
      <c r="C237" s="55"/>
      <c r="D237" s="55"/>
      <c r="E237" s="55"/>
      <c r="F237" s="55"/>
      <c r="G237" s="55"/>
      <c r="H237" s="55"/>
      <c r="I237" s="55"/>
      <c r="J237" s="55"/>
      <c r="K237" s="55"/>
      <c r="L237" s="55"/>
      <c r="M237" s="55"/>
      <c r="N237" s="55"/>
      <c r="O237" s="55"/>
      <c r="P237" s="55"/>
      <c r="Q237" s="55"/>
      <c r="R237" s="55"/>
      <c r="S237" s="55"/>
      <c r="T237" s="55"/>
      <c r="U237" s="55"/>
      <c r="V237" s="55"/>
      <c r="W237" s="55"/>
      <c r="X237" s="55"/>
      <c r="Y237" s="55"/>
      <c r="Z237" s="55"/>
    </row>
    <row r="238" spans="1:26" ht="15">
      <c r="A238" s="55"/>
      <c r="B238" s="55"/>
      <c r="C238" s="55"/>
      <c r="D238" s="55"/>
      <c r="E238" s="55"/>
      <c r="F238" s="55"/>
      <c r="G238" s="55"/>
      <c r="H238" s="55"/>
      <c r="I238" s="55"/>
      <c r="J238" s="55"/>
      <c r="K238" s="55"/>
      <c r="L238" s="55"/>
      <c r="M238" s="55"/>
      <c r="N238" s="55"/>
      <c r="O238" s="55"/>
      <c r="P238" s="55"/>
      <c r="Q238" s="55"/>
      <c r="R238" s="55"/>
      <c r="S238" s="55"/>
      <c r="T238" s="55"/>
      <c r="U238" s="55"/>
      <c r="V238" s="55"/>
      <c r="W238" s="55"/>
      <c r="X238" s="55"/>
      <c r="Y238" s="55"/>
      <c r="Z238" s="55"/>
    </row>
    <row r="239" spans="1:26" ht="15">
      <c r="A239" s="55"/>
      <c r="B239" s="55"/>
      <c r="C239" s="55"/>
      <c r="D239" s="55"/>
      <c r="E239" s="55"/>
      <c r="F239" s="55"/>
      <c r="G239" s="55"/>
      <c r="H239" s="55"/>
      <c r="I239" s="55"/>
      <c r="J239" s="55"/>
      <c r="K239" s="55"/>
      <c r="L239" s="55"/>
      <c r="M239" s="55"/>
      <c r="N239" s="55"/>
      <c r="O239" s="55"/>
      <c r="P239" s="55"/>
      <c r="Q239" s="55"/>
      <c r="R239" s="55"/>
      <c r="S239" s="55"/>
      <c r="T239" s="55"/>
      <c r="U239" s="55"/>
      <c r="V239" s="55"/>
      <c r="W239" s="55"/>
      <c r="X239" s="55"/>
      <c r="Y239" s="55"/>
      <c r="Z239" s="55"/>
    </row>
    <row r="240" spans="1:26" ht="15">
      <c r="A240" s="55"/>
      <c r="B240" s="55"/>
      <c r="C240" s="55"/>
      <c r="D240" s="55"/>
      <c r="E240" s="55"/>
      <c r="F240" s="55"/>
      <c r="G240" s="55"/>
      <c r="H240" s="55"/>
      <c r="I240" s="55"/>
      <c r="J240" s="55"/>
      <c r="K240" s="55"/>
      <c r="L240" s="55"/>
      <c r="M240" s="55"/>
      <c r="N240" s="55"/>
      <c r="O240" s="55"/>
      <c r="P240" s="55"/>
      <c r="Q240" s="55"/>
      <c r="R240" s="55"/>
      <c r="S240" s="55"/>
      <c r="T240" s="55"/>
      <c r="U240" s="55"/>
      <c r="V240" s="55"/>
      <c r="W240" s="55"/>
      <c r="X240" s="55"/>
      <c r="Y240" s="55"/>
      <c r="Z240" s="55"/>
    </row>
    <row r="241" spans="1:26" ht="15">
      <c r="A241" s="55"/>
      <c r="B241" s="55"/>
      <c r="C241" s="55"/>
      <c r="D241" s="55"/>
      <c r="E241" s="55"/>
      <c r="F241" s="55"/>
      <c r="G241" s="55"/>
      <c r="H241" s="55"/>
      <c r="I241" s="55"/>
      <c r="J241" s="55"/>
      <c r="K241" s="55"/>
      <c r="L241" s="55"/>
      <c r="M241" s="55"/>
      <c r="N241" s="55"/>
      <c r="O241" s="55"/>
      <c r="P241" s="55"/>
      <c r="Q241" s="55"/>
      <c r="R241" s="55"/>
      <c r="S241" s="55"/>
      <c r="T241" s="55"/>
      <c r="U241" s="55"/>
      <c r="V241" s="55"/>
      <c r="W241" s="55"/>
      <c r="X241" s="55"/>
      <c r="Y241" s="55"/>
      <c r="Z241" s="55"/>
    </row>
    <row r="242" spans="1:26" ht="15">
      <c r="A242" s="55"/>
      <c r="B242" s="55"/>
      <c r="C242" s="55"/>
      <c r="D242" s="55"/>
      <c r="E242" s="55"/>
      <c r="F242" s="55"/>
      <c r="G242" s="55"/>
      <c r="H242" s="55"/>
      <c r="I242" s="55"/>
      <c r="J242" s="55"/>
      <c r="K242" s="55"/>
      <c r="L242" s="55"/>
      <c r="M242" s="55"/>
      <c r="N242" s="55"/>
      <c r="O242" s="55"/>
      <c r="P242" s="55"/>
      <c r="Q242" s="55"/>
      <c r="R242" s="55"/>
      <c r="S242" s="55"/>
      <c r="T242" s="55"/>
      <c r="U242" s="55"/>
      <c r="V242" s="55"/>
      <c r="W242" s="55"/>
      <c r="X242" s="55"/>
      <c r="Y242" s="55"/>
      <c r="Z242" s="55"/>
    </row>
    <row r="243" spans="1:26" ht="15">
      <c r="A243" s="55"/>
      <c r="B243" s="55"/>
      <c r="C243" s="55"/>
      <c r="D243" s="55"/>
      <c r="E243" s="55"/>
      <c r="F243" s="55"/>
      <c r="G243" s="55"/>
      <c r="H243" s="55"/>
      <c r="I243" s="55"/>
      <c r="J243" s="55"/>
      <c r="K243" s="55"/>
      <c r="L243" s="55"/>
      <c r="M243" s="55"/>
      <c r="N243" s="55"/>
      <c r="O243" s="55"/>
      <c r="P243" s="55"/>
      <c r="Q243" s="55"/>
      <c r="R243" s="55"/>
      <c r="S243" s="55"/>
      <c r="T243" s="55"/>
      <c r="U243" s="55"/>
      <c r="V243" s="55"/>
      <c r="W243" s="55"/>
      <c r="X243" s="55"/>
      <c r="Y243" s="55"/>
      <c r="Z243" s="55"/>
    </row>
    <row r="244" spans="1:26" ht="15">
      <c r="A244" s="55"/>
      <c r="B244" s="55"/>
      <c r="C244" s="55"/>
      <c r="D244" s="55"/>
      <c r="E244" s="55"/>
      <c r="F244" s="55"/>
      <c r="G244" s="55"/>
      <c r="H244" s="55"/>
      <c r="I244" s="55"/>
      <c r="J244" s="55"/>
      <c r="K244" s="55"/>
      <c r="L244" s="55"/>
      <c r="M244" s="55"/>
      <c r="N244" s="55"/>
      <c r="O244" s="55"/>
      <c r="P244" s="55"/>
      <c r="Q244" s="55"/>
      <c r="R244" s="55"/>
      <c r="S244" s="55"/>
      <c r="T244" s="55"/>
      <c r="U244" s="55"/>
      <c r="V244" s="55"/>
      <c r="W244" s="55"/>
      <c r="X244" s="55"/>
      <c r="Y244" s="55"/>
      <c r="Z244" s="55"/>
    </row>
    <row r="245" spans="1:26" ht="15">
      <c r="A245" s="55"/>
      <c r="B245" s="55"/>
      <c r="C245" s="55"/>
      <c r="D245" s="55"/>
      <c r="E245" s="55"/>
      <c r="F245" s="55"/>
      <c r="G245" s="55"/>
      <c r="H245" s="55"/>
      <c r="I245" s="55"/>
      <c r="J245" s="55"/>
      <c r="K245" s="55"/>
      <c r="L245" s="55"/>
      <c r="M245" s="55"/>
      <c r="N245" s="55"/>
      <c r="O245" s="55"/>
      <c r="P245" s="55"/>
      <c r="Q245" s="55"/>
      <c r="R245" s="55"/>
      <c r="S245" s="55"/>
      <c r="T245" s="55"/>
      <c r="U245" s="55"/>
      <c r="V245" s="55"/>
      <c r="W245" s="55"/>
      <c r="X245" s="55"/>
      <c r="Y245" s="55"/>
      <c r="Z245" s="55"/>
    </row>
    <row r="246" spans="1:26" ht="15">
      <c r="A246" s="55"/>
      <c r="B246" s="55"/>
      <c r="C246" s="55"/>
      <c r="D246" s="55"/>
      <c r="E246" s="55"/>
      <c r="F246" s="55"/>
      <c r="G246" s="55"/>
      <c r="H246" s="55"/>
      <c r="I246" s="55"/>
      <c r="J246" s="55"/>
      <c r="K246" s="55"/>
      <c r="L246" s="55"/>
      <c r="M246" s="55"/>
      <c r="N246" s="55"/>
      <c r="O246" s="55"/>
      <c r="P246" s="55"/>
      <c r="Q246" s="55"/>
      <c r="R246" s="55"/>
      <c r="S246" s="55"/>
      <c r="T246" s="55"/>
      <c r="U246" s="55"/>
      <c r="V246" s="55"/>
      <c r="W246" s="55"/>
      <c r="X246" s="55"/>
      <c r="Y246" s="55"/>
      <c r="Z246" s="55"/>
    </row>
    <row r="247" spans="1:26" ht="15">
      <c r="A247" s="55"/>
      <c r="B247" s="55"/>
      <c r="C247" s="55"/>
      <c r="D247" s="55"/>
      <c r="E247" s="55"/>
      <c r="F247" s="55"/>
      <c r="G247" s="55"/>
      <c r="H247" s="55"/>
      <c r="I247" s="55"/>
      <c r="J247" s="55"/>
      <c r="K247" s="55"/>
      <c r="L247" s="55"/>
      <c r="M247" s="55"/>
      <c r="N247" s="55"/>
      <c r="O247" s="55"/>
      <c r="P247" s="55"/>
      <c r="Q247" s="55"/>
      <c r="R247" s="55"/>
      <c r="S247" s="55"/>
      <c r="T247" s="55"/>
      <c r="U247" s="55"/>
      <c r="V247" s="55"/>
      <c r="W247" s="55"/>
      <c r="X247" s="55"/>
      <c r="Y247" s="55"/>
      <c r="Z247" s="55"/>
    </row>
    <row r="248" spans="1:26" ht="15">
      <c r="A248" s="55"/>
      <c r="B248" s="55"/>
      <c r="C248" s="55"/>
      <c r="D248" s="55"/>
      <c r="E248" s="55"/>
      <c r="F248" s="55"/>
      <c r="G248" s="55"/>
      <c r="H248" s="55"/>
      <c r="I248" s="55"/>
      <c r="J248" s="55"/>
      <c r="K248" s="55"/>
      <c r="L248" s="55"/>
      <c r="M248" s="55"/>
      <c r="N248" s="55"/>
      <c r="O248" s="55"/>
      <c r="P248" s="55"/>
      <c r="Q248" s="55"/>
      <c r="R248" s="55"/>
      <c r="S248" s="55"/>
      <c r="T248" s="55"/>
      <c r="U248" s="55"/>
      <c r="V248" s="55"/>
      <c r="W248" s="55"/>
      <c r="X248" s="55"/>
      <c r="Y248" s="55"/>
      <c r="Z248" s="55"/>
    </row>
    <row r="249" spans="1:26" ht="15">
      <c r="A249" s="55"/>
      <c r="B249" s="55"/>
      <c r="C249" s="55"/>
      <c r="D249" s="55"/>
      <c r="E249" s="55"/>
      <c r="F249" s="55"/>
      <c r="G249" s="55"/>
      <c r="H249" s="55"/>
      <c r="I249" s="55"/>
      <c r="J249" s="55"/>
      <c r="K249" s="55"/>
      <c r="L249" s="55"/>
      <c r="M249" s="55"/>
      <c r="N249" s="55"/>
      <c r="O249" s="55"/>
      <c r="P249" s="55"/>
      <c r="Q249" s="55"/>
      <c r="R249" s="55"/>
      <c r="S249" s="55"/>
      <c r="T249" s="55"/>
      <c r="U249" s="55"/>
      <c r="V249" s="55"/>
      <c r="W249" s="55"/>
      <c r="X249" s="55"/>
      <c r="Y249" s="55"/>
      <c r="Z249" s="55"/>
    </row>
    <row r="250" spans="1:26" ht="15">
      <c r="A250" s="55"/>
      <c r="B250" s="55"/>
      <c r="C250" s="55"/>
      <c r="D250" s="55"/>
      <c r="E250" s="55"/>
      <c r="F250" s="55"/>
      <c r="G250" s="55"/>
      <c r="H250" s="55"/>
      <c r="I250" s="55"/>
      <c r="J250" s="55"/>
      <c r="K250" s="55"/>
      <c r="L250" s="55"/>
      <c r="M250" s="55"/>
      <c r="N250" s="55"/>
      <c r="O250" s="55"/>
      <c r="P250" s="55"/>
      <c r="Q250" s="55"/>
      <c r="R250" s="55"/>
      <c r="S250" s="55"/>
      <c r="T250" s="55"/>
      <c r="U250" s="55"/>
      <c r="V250" s="55"/>
      <c r="W250" s="55"/>
      <c r="X250" s="55"/>
      <c r="Y250" s="55"/>
      <c r="Z250" s="55"/>
    </row>
    <row r="251" spans="1:26" ht="15">
      <c r="A251" s="55"/>
      <c r="B251" s="55"/>
      <c r="C251" s="55"/>
      <c r="D251" s="55"/>
      <c r="E251" s="55"/>
      <c r="F251" s="55"/>
      <c r="G251" s="55"/>
      <c r="H251" s="55"/>
      <c r="I251" s="55"/>
      <c r="J251" s="55"/>
      <c r="K251" s="55"/>
      <c r="L251" s="55"/>
      <c r="M251" s="55"/>
      <c r="N251" s="55"/>
      <c r="O251" s="55"/>
      <c r="P251" s="55"/>
      <c r="Q251" s="55"/>
      <c r="R251" s="55"/>
      <c r="S251" s="55"/>
      <c r="T251" s="55"/>
      <c r="U251" s="55"/>
      <c r="V251" s="55"/>
      <c r="W251" s="55"/>
      <c r="X251" s="55"/>
      <c r="Y251" s="55"/>
      <c r="Z251" s="55"/>
    </row>
    <row r="252" spans="1:26" ht="15">
      <c r="A252" s="55"/>
      <c r="B252" s="55"/>
      <c r="C252" s="55"/>
      <c r="D252" s="55"/>
      <c r="E252" s="55"/>
      <c r="F252" s="55"/>
      <c r="G252" s="55"/>
      <c r="H252" s="55"/>
      <c r="I252" s="55"/>
      <c r="J252" s="55"/>
      <c r="K252" s="55"/>
      <c r="L252" s="55"/>
      <c r="M252" s="55"/>
      <c r="N252" s="55"/>
      <c r="O252" s="55"/>
      <c r="P252" s="55"/>
      <c r="Q252" s="55"/>
      <c r="R252" s="55"/>
      <c r="S252" s="55"/>
      <c r="T252" s="55"/>
      <c r="U252" s="55"/>
      <c r="V252" s="55"/>
      <c r="W252" s="55"/>
      <c r="X252" s="55"/>
      <c r="Y252" s="55"/>
      <c r="Z252" s="55"/>
    </row>
    <row r="253" spans="1:26" ht="15">
      <c r="A253" s="55"/>
      <c r="B253" s="55"/>
      <c r="C253" s="55"/>
      <c r="D253" s="55"/>
      <c r="E253" s="55"/>
      <c r="F253" s="55"/>
      <c r="G253" s="55"/>
      <c r="H253" s="55"/>
      <c r="I253" s="55"/>
      <c r="J253" s="55"/>
      <c r="K253" s="55"/>
      <c r="L253" s="55"/>
      <c r="M253" s="55"/>
      <c r="N253" s="55"/>
      <c r="O253" s="55"/>
      <c r="P253" s="55"/>
      <c r="Q253" s="55"/>
      <c r="R253" s="55"/>
      <c r="S253" s="55"/>
      <c r="T253" s="55"/>
      <c r="U253" s="55"/>
      <c r="V253" s="55"/>
      <c r="W253" s="55"/>
      <c r="X253" s="55"/>
      <c r="Y253" s="55"/>
      <c r="Z253" s="55"/>
    </row>
    <row r="254" spans="1:26" ht="15">
      <c r="A254" s="55"/>
      <c r="B254" s="55"/>
      <c r="C254" s="55"/>
      <c r="D254" s="55"/>
      <c r="E254" s="55"/>
      <c r="F254" s="55"/>
      <c r="G254" s="55"/>
      <c r="H254" s="55"/>
      <c r="I254" s="55"/>
      <c r="J254" s="55"/>
      <c r="K254" s="55"/>
      <c r="L254" s="55"/>
      <c r="M254" s="55"/>
      <c r="N254" s="55"/>
      <c r="O254" s="55"/>
      <c r="P254" s="55"/>
      <c r="Q254" s="55"/>
      <c r="R254" s="55"/>
      <c r="S254" s="55"/>
      <c r="T254" s="55"/>
      <c r="U254" s="55"/>
      <c r="V254" s="55"/>
      <c r="W254" s="55"/>
      <c r="X254" s="55"/>
      <c r="Y254" s="55"/>
      <c r="Z254" s="55"/>
    </row>
    <row r="255" spans="1:26" ht="15">
      <c r="A255" s="55"/>
      <c r="B255" s="55"/>
      <c r="C255" s="55"/>
      <c r="D255" s="55"/>
      <c r="E255" s="55"/>
      <c r="F255" s="55"/>
      <c r="G255" s="55"/>
      <c r="H255" s="55"/>
      <c r="I255" s="55"/>
      <c r="J255" s="55"/>
      <c r="K255" s="55"/>
      <c r="L255" s="55"/>
      <c r="M255" s="55"/>
      <c r="N255" s="55"/>
      <c r="O255" s="55"/>
      <c r="P255" s="55"/>
      <c r="Q255" s="55"/>
      <c r="R255" s="55"/>
      <c r="S255" s="55"/>
      <c r="T255" s="55"/>
      <c r="U255" s="55"/>
      <c r="V255" s="55"/>
      <c r="W255" s="55"/>
      <c r="X255" s="55"/>
      <c r="Y255" s="55"/>
      <c r="Z255" s="55"/>
    </row>
    <row r="256" spans="1:26" ht="15">
      <c r="A256" s="55"/>
      <c r="B256" s="55"/>
      <c r="C256" s="55"/>
      <c r="D256" s="55"/>
      <c r="E256" s="55"/>
      <c r="F256" s="55"/>
      <c r="G256" s="55"/>
      <c r="H256" s="55"/>
      <c r="I256" s="55"/>
      <c r="J256" s="55"/>
      <c r="K256" s="55"/>
      <c r="L256" s="55"/>
      <c r="M256" s="55"/>
      <c r="N256" s="55"/>
      <c r="O256" s="55"/>
      <c r="P256" s="55"/>
      <c r="Q256" s="55"/>
      <c r="R256" s="55"/>
      <c r="S256" s="55"/>
      <c r="T256" s="55"/>
      <c r="U256" s="55"/>
      <c r="V256" s="55"/>
      <c r="W256" s="55"/>
      <c r="X256" s="55"/>
      <c r="Y256" s="55"/>
      <c r="Z256" s="55"/>
    </row>
    <row r="257" spans="1:26" ht="15">
      <c r="A257" s="55"/>
      <c r="B257" s="55"/>
      <c r="C257" s="55"/>
      <c r="D257" s="55"/>
      <c r="E257" s="55"/>
      <c r="F257" s="55"/>
      <c r="G257" s="55"/>
      <c r="H257" s="55"/>
      <c r="I257" s="55"/>
      <c r="J257" s="55"/>
      <c r="K257" s="55"/>
      <c r="L257" s="55"/>
      <c r="M257" s="55"/>
      <c r="N257" s="55"/>
      <c r="O257" s="55"/>
      <c r="P257" s="55"/>
      <c r="Q257" s="55"/>
      <c r="R257" s="55"/>
      <c r="S257" s="55"/>
      <c r="T257" s="55"/>
      <c r="U257" s="55"/>
      <c r="V257" s="55"/>
      <c r="W257" s="55"/>
      <c r="X257" s="55"/>
      <c r="Y257" s="55"/>
      <c r="Z257" s="55"/>
    </row>
    <row r="258" spans="1:26" ht="15">
      <c r="A258" s="55"/>
      <c r="B258" s="55"/>
      <c r="C258" s="55"/>
      <c r="D258" s="55"/>
      <c r="E258" s="55"/>
      <c r="F258" s="55"/>
      <c r="G258" s="55"/>
      <c r="H258" s="55"/>
      <c r="I258" s="55"/>
      <c r="J258" s="55"/>
      <c r="K258" s="55"/>
      <c r="L258" s="55"/>
      <c r="M258" s="55"/>
      <c r="N258" s="55"/>
      <c r="O258" s="55"/>
      <c r="P258" s="55"/>
      <c r="Q258" s="55"/>
      <c r="R258" s="55"/>
      <c r="S258" s="55"/>
      <c r="T258" s="55"/>
      <c r="U258" s="55"/>
      <c r="V258" s="55"/>
      <c r="W258" s="55"/>
      <c r="X258" s="55"/>
      <c r="Y258" s="55"/>
      <c r="Z258" s="55"/>
    </row>
    <row r="259" spans="1:26" ht="15">
      <c r="A259" s="55"/>
      <c r="B259" s="55"/>
      <c r="C259" s="55"/>
      <c r="D259" s="55"/>
      <c r="E259" s="55"/>
      <c r="F259" s="55"/>
      <c r="G259" s="55"/>
      <c r="H259" s="55"/>
      <c r="I259" s="55"/>
      <c r="J259" s="55"/>
      <c r="K259" s="55"/>
      <c r="L259" s="55"/>
      <c r="M259" s="55"/>
      <c r="N259" s="55"/>
      <c r="O259" s="55"/>
      <c r="P259" s="55"/>
      <c r="Q259" s="55"/>
      <c r="R259" s="55"/>
      <c r="S259" s="55"/>
      <c r="T259" s="55"/>
      <c r="U259" s="55"/>
      <c r="V259" s="55"/>
      <c r="W259" s="55"/>
      <c r="X259" s="55"/>
      <c r="Y259" s="55"/>
      <c r="Z259" s="55"/>
    </row>
    <row r="260" spans="1:26" ht="15">
      <c r="A260" s="55"/>
      <c r="B260" s="55"/>
      <c r="C260" s="55"/>
      <c r="D260" s="55"/>
      <c r="E260" s="55"/>
      <c r="F260" s="55"/>
      <c r="G260" s="55"/>
      <c r="H260" s="55"/>
      <c r="I260" s="55"/>
      <c r="J260" s="55"/>
      <c r="K260" s="55"/>
      <c r="L260" s="55"/>
      <c r="M260" s="55"/>
      <c r="N260" s="55"/>
      <c r="O260" s="55"/>
      <c r="P260" s="55"/>
      <c r="Q260" s="55"/>
      <c r="R260" s="55"/>
      <c r="S260" s="55"/>
      <c r="T260" s="55"/>
      <c r="U260" s="55"/>
      <c r="V260" s="55"/>
      <c r="W260" s="55"/>
      <c r="X260" s="55"/>
      <c r="Y260" s="55"/>
      <c r="Z260" s="55"/>
    </row>
    <row r="261" spans="1:26" ht="15">
      <c r="A261" s="55"/>
      <c r="B261" s="55"/>
      <c r="C261" s="55"/>
      <c r="D261" s="55"/>
      <c r="E261" s="55"/>
      <c r="F261" s="55"/>
      <c r="G261" s="55"/>
      <c r="H261" s="55"/>
      <c r="I261" s="55"/>
      <c r="J261" s="55"/>
      <c r="K261" s="55"/>
      <c r="L261" s="55"/>
      <c r="M261" s="55"/>
      <c r="N261" s="55"/>
      <c r="O261" s="55"/>
      <c r="P261" s="55"/>
      <c r="Q261" s="55"/>
      <c r="R261" s="55"/>
      <c r="S261" s="55"/>
      <c r="T261" s="55"/>
      <c r="U261" s="55"/>
      <c r="V261" s="55"/>
      <c r="W261" s="55"/>
      <c r="X261" s="55"/>
      <c r="Y261" s="55"/>
      <c r="Z261" s="55"/>
    </row>
    <row r="262" spans="1:26" ht="15">
      <c r="A262" s="55"/>
      <c r="B262" s="55"/>
      <c r="C262" s="55"/>
      <c r="D262" s="55"/>
      <c r="E262" s="55"/>
      <c r="F262" s="55"/>
      <c r="G262" s="55"/>
      <c r="H262" s="55"/>
      <c r="I262" s="55"/>
      <c r="J262" s="55"/>
      <c r="K262" s="55"/>
      <c r="L262" s="55"/>
      <c r="M262" s="55"/>
      <c r="N262" s="55"/>
      <c r="O262" s="55"/>
      <c r="P262" s="55"/>
      <c r="Q262" s="55"/>
      <c r="R262" s="55"/>
      <c r="S262" s="55"/>
      <c r="T262" s="55"/>
      <c r="U262" s="55"/>
      <c r="V262" s="55"/>
      <c r="W262" s="55"/>
      <c r="X262" s="55"/>
      <c r="Y262" s="55"/>
      <c r="Z262" s="55"/>
    </row>
    <row r="263" spans="1:26" ht="15">
      <c r="A263" s="55"/>
      <c r="B263" s="55"/>
      <c r="C263" s="55"/>
      <c r="D263" s="55"/>
      <c r="E263" s="55"/>
      <c r="F263" s="55"/>
      <c r="G263" s="55"/>
      <c r="H263" s="55"/>
      <c r="I263" s="55"/>
      <c r="J263" s="55"/>
      <c r="K263" s="55"/>
      <c r="L263" s="55"/>
      <c r="M263" s="55"/>
      <c r="N263" s="55"/>
      <c r="O263" s="55"/>
      <c r="P263" s="55"/>
      <c r="Q263" s="55"/>
      <c r="R263" s="55"/>
      <c r="S263" s="55"/>
      <c r="T263" s="55"/>
      <c r="U263" s="55"/>
      <c r="V263" s="55"/>
      <c r="W263" s="55"/>
      <c r="X263" s="55"/>
      <c r="Y263" s="55"/>
      <c r="Z263" s="55"/>
    </row>
    <row r="264" spans="1:26" ht="15">
      <c r="A264" s="55"/>
      <c r="B264" s="55"/>
      <c r="C264" s="55"/>
      <c r="D264" s="55"/>
      <c r="E264" s="55"/>
      <c r="F264" s="55"/>
      <c r="G264" s="55"/>
      <c r="H264" s="55"/>
      <c r="I264" s="55"/>
      <c r="J264" s="55"/>
      <c r="K264" s="55"/>
      <c r="L264" s="55"/>
      <c r="M264" s="55"/>
      <c r="N264" s="55"/>
      <c r="O264" s="55"/>
      <c r="P264" s="55"/>
      <c r="Q264" s="55"/>
      <c r="R264" s="55"/>
      <c r="S264" s="55"/>
      <c r="T264" s="55"/>
      <c r="U264" s="55"/>
      <c r="V264" s="55"/>
      <c r="W264" s="55"/>
      <c r="X264" s="55"/>
      <c r="Y264" s="55"/>
      <c r="Z264" s="55"/>
    </row>
    <row r="265" spans="1:26" ht="15">
      <c r="A265" s="55"/>
      <c r="B265" s="55"/>
      <c r="C265" s="55"/>
      <c r="D265" s="55"/>
      <c r="E265" s="55"/>
      <c r="F265" s="55"/>
      <c r="G265" s="55"/>
      <c r="H265" s="55"/>
      <c r="I265" s="55"/>
      <c r="J265" s="55"/>
      <c r="K265" s="55"/>
      <c r="L265" s="55"/>
      <c r="M265" s="55"/>
      <c r="N265" s="55"/>
      <c r="O265" s="55"/>
      <c r="P265" s="55"/>
      <c r="Q265" s="55"/>
      <c r="R265" s="55"/>
      <c r="S265" s="55"/>
      <c r="T265" s="55"/>
      <c r="U265" s="55"/>
      <c r="V265" s="55"/>
      <c r="W265" s="55"/>
      <c r="X265" s="55"/>
      <c r="Y265" s="55"/>
      <c r="Z265" s="55"/>
    </row>
    <row r="266" spans="1:26" ht="15">
      <c r="A266" s="55"/>
      <c r="B266" s="55"/>
      <c r="C266" s="55"/>
      <c r="D266" s="55"/>
      <c r="E266" s="55"/>
      <c r="F266" s="55"/>
      <c r="G266" s="55"/>
      <c r="H266" s="55"/>
      <c r="I266" s="55"/>
      <c r="J266" s="55"/>
      <c r="K266" s="55"/>
      <c r="L266" s="55"/>
      <c r="M266" s="55"/>
      <c r="N266" s="55"/>
      <c r="O266" s="55"/>
      <c r="P266" s="55"/>
      <c r="Q266" s="55"/>
      <c r="R266" s="55"/>
      <c r="S266" s="55"/>
      <c r="T266" s="55"/>
      <c r="U266" s="55"/>
      <c r="V266" s="55"/>
      <c r="W266" s="55"/>
      <c r="X266" s="55"/>
      <c r="Y266" s="55"/>
      <c r="Z266" s="55"/>
    </row>
    <row r="267" spans="1:26" ht="15">
      <c r="A267" s="55"/>
      <c r="B267" s="55"/>
      <c r="C267" s="55"/>
      <c r="D267" s="55"/>
      <c r="E267" s="55"/>
      <c r="F267" s="55"/>
      <c r="G267" s="55"/>
      <c r="H267" s="55"/>
      <c r="I267" s="55"/>
      <c r="J267" s="55"/>
      <c r="K267" s="55"/>
      <c r="L267" s="55"/>
      <c r="M267" s="55"/>
      <c r="N267" s="55"/>
      <c r="O267" s="55"/>
      <c r="P267" s="55"/>
      <c r="Q267" s="55"/>
      <c r="R267" s="55"/>
      <c r="S267" s="55"/>
      <c r="T267" s="55"/>
      <c r="U267" s="55"/>
      <c r="V267" s="55"/>
      <c r="W267" s="55"/>
      <c r="X267" s="55"/>
      <c r="Y267" s="55"/>
      <c r="Z267" s="55"/>
    </row>
    <row r="268" spans="1:26" ht="15">
      <c r="A268" s="55"/>
      <c r="B268" s="55"/>
      <c r="C268" s="55"/>
      <c r="D268" s="55"/>
      <c r="E268" s="55"/>
      <c r="F268" s="55"/>
      <c r="G268" s="55"/>
      <c r="H268" s="55"/>
      <c r="I268" s="55"/>
      <c r="J268" s="55"/>
      <c r="K268" s="55"/>
      <c r="L268" s="55"/>
      <c r="M268" s="55"/>
      <c r="N268" s="55"/>
      <c r="O268" s="55"/>
      <c r="P268" s="55"/>
      <c r="Q268" s="55"/>
      <c r="R268" s="55"/>
      <c r="S268" s="55"/>
      <c r="T268" s="55"/>
      <c r="U268" s="55"/>
      <c r="V268" s="55"/>
      <c r="W268" s="55"/>
      <c r="X268" s="55"/>
      <c r="Y268" s="55"/>
      <c r="Z268" s="55"/>
    </row>
    <row r="269" spans="1:26" ht="15">
      <c r="A269" s="55"/>
      <c r="B269" s="55"/>
      <c r="C269" s="55"/>
      <c r="D269" s="55"/>
      <c r="E269" s="55"/>
      <c r="F269" s="55"/>
      <c r="G269" s="55"/>
      <c r="H269" s="55"/>
      <c r="I269" s="55"/>
      <c r="J269" s="55"/>
      <c r="K269" s="55"/>
      <c r="L269" s="55"/>
      <c r="M269" s="55"/>
      <c r="N269" s="55"/>
      <c r="O269" s="55"/>
      <c r="P269" s="55"/>
      <c r="Q269" s="55"/>
      <c r="R269" s="55"/>
      <c r="S269" s="55"/>
      <c r="T269" s="55"/>
      <c r="U269" s="55"/>
      <c r="V269" s="55"/>
      <c r="W269" s="55"/>
      <c r="X269" s="55"/>
      <c r="Y269" s="55"/>
      <c r="Z269" s="55"/>
    </row>
    <row r="270" spans="1:26" ht="15">
      <c r="A270" s="55"/>
      <c r="B270" s="55"/>
      <c r="C270" s="55"/>
      <c r="D270" s="55"/>
      <c r="E270" s="55"/>
      <c r="F270" s="55"/>
      <c r="G270" s="55"/>
      <c r="H270" s="55"/>
      <c r="I270" s="55"/>
      <c r="J270" s="55"/>
      <c r="K270" s="55"/>
      <c r="L270" s="55"/>
      <c r="M270" s="55"/>
      <c r="N270" s="55"/>
      <c r="O270" s="55"/>
      <c r="P270" s="55"/>
      <c r="Q270" s="55"/>
      <c r="R270" s="55"/>
      <c r="S270" s="55"/>
      <c r="T270" s="55"/>
      <c r="U270" s="55"/>
      <c r="V270" s="55"/>
      <c r="W270" s="55"/>
      <c r="X270" s="55"/>
      <c r="Y270" s="55"/>
      <c r="Z270" s="55"/>
    </row>
    <row r="271" spans="1:26" ht="15">
      <c r="A271" s="55"/>
      <c r="B271" s="55"/>
      <c r="C271" s="55"/>
      <c r="D271" s="55"/>
      <c r="E271" s="55"/>
      <c r="F271" s="55"/>
      <c r="G271" s="55"/>
      <c r="H271" s="55"/>
      <c r="I271" s="55"/>
      <c r="J271" s="55"/>
      <c r="K271" s="55"/>
      <c r="L271" s="55"/>
      <c r="M271" s="55"/>
      <c r="N271" s="55"/>
      <c r="O271" s="55"/>
      <c r="P271" s="55"/>
      <c r="Q271" s="55"/>
      <c r="R271" s="55"/>
      <c r="S271" s="55"/>
      <c r="T271" s="55"/>
      <c r="U271" s="55"/>
      <c r="V271" s="55"/>
      <c r="W271" s="55"/>
      <c r="X271" s="55"/>
      <c r="Y271" s="55"/>
      <c r="Z271" s="55"/>
    </row>
    <row r="272" spans="1:26" ht="15">
      <c r="A272" s="55"/>
      <c r="B272" s="55"/>
      <c r="C272" s="55"/>
      <c r="D272" s="55"/>
      <c r="E272" s="55"/>
      <c r="F272" s="55"/>
      <c r="G272" s="55"/>
      <c r="H272" s="55"/>
      <c r="I272" s="55"/>
      <c r="J272" s="55"/>
      <c r="K272" s="55"/>
      <c r="L272" s="55"/>
      <c r="M272" s="55"/>
      <c r="N272" s="55"/>
      <c r="O272" s="55"/>
      <c r="P272" s="55"/>
      <c r="Q272" s="55"/>
      <c r="R272" s="55"/>
      <c r="S272" s="55"/>
      <c r="T272" s="55"/>
      <c r="U272" s="55"/>
      <c r="V272" s="55"/>
      <c r="W272" s="55"/>
      <c r="X272" s="55"/>
      <c r="Y272" s="55"/>
      <c r="Z272" s="55"/>
    </row>
    <row r="273" spans="1:26" ht="15">
      <c r="A273" s="55"/>
      <c r="B273" s="55"/>
      <c r="C273" s="55"/>
      <c r="D273" s="55"/>
      <c r="E273" s="55"/>
      <c r="F273" s="55"/>
      <c r="G273" s="55"/>
      <c r="H273" s="55"/>
      <c r="I273" s="55"/>
      <c r="J273" s="55"/>
      <c r="K273" s="55"/>
      <c r="L273" s="55"/>
      <c r="M273" s="55"/>
      <c r="N273" s="55"/>
      <c r="O273" s="55"/>
      <c r="P273" s="55"/>
      <c r="Q273" s="55"/>
      <c r="R273" s="55"/>
      <c r="S273" s="55"/>
      <c r="T273" s="55"/>
      <c r="U273" s="55"/>
      <c r="V273" s="55"/>
      <c r="W273" s="55"/>
      <c r="X273" s="55"/>
      <c r="Y273" s="55"/>
      <c r="Z273" s="55"/>
    </row>
    <row r="274" spans="1:26" ht="15">
      <c r="A274" s="55"/>
      <c r="B274" s="55"/>
      <c r="C274" s="55"/>
      <c r="D274" s="55"/>
      <c r="E274" s="55"/>
      <c r="F274" s="55"/>
      <c r="G274" s="55"/>
      <c r="H274" s="55"/>
      <c r="I274" s="55"/>
      <c r="J274" s="55"/>
      <c r="K274" s="55"/>
      <c r="L274" s="55"/>
      <c r="M274" s="55"/>
      <c r="N274" s="55"/>
      <c r="O274" s="55"/>
      <c r="P274" s="55"/>
      <c r="Q274" s="55"/>
      <c r="R274" s="55"/>
      <c r="S274" s="55"/>
      <c r="T274" s="55"/>
      <c r="U274" s="55"/>
      <c r="V274" s="55"/>
      <c r="W274" s="55"/>
      <c r="X274" s="55"/>
      <c r="Y274" s="55"/>
      <c r="Z274" s="55"/>
    </row>
    <row r="275" spans="1:26" ht="15">
      <c r="A275" s="55"/>
      <c r="B275" s="55"/>
      <c r="C275" s="55"/>
      <c r="D275" s="55"/>
      <c r="E275" s="55"/>
      <c r="F275" s="55"/>
      <c r="G275" s="55"/>
      <c r="H275" s="55"/>
      <c r="I275" s="55"/>
      <c r="J275" s="55"/>
      <c r="K275" s="55"/>
      <c r="L275" s="55"/>
      <c r="M275" s="55"/>
      <c r="N275" s="55"/>
      <c r="O275" s="55"/>
      <c r="P275" s="55"/>
      <c r="Q275" s="55"/>
      <c r="R275" s="55"/>
      <c r="S275" s="55"/>
      <c r="T275" s="55"/>
      <c r="U275" s="55"/>
      <c r="V275" s="55"/>
      <c r="W275" s="55"/>
      <c r="X275" s="55"/>
      <c r="Y275" s="55"/>
      <c r="Z275" s="55"/>
    </row>
    <row r="276" spans="1:26" ht="15">
      <c r="A276" s="55"/>
      <c r="B276" s="55"/>
      <c r="C276" s="55"/>
      <c r="D276" s="55"/>
      <c r="E276" s="55"/>
      <c r="F276" s="55"/>
      <c r="G276" s="55"/>
      <c r="H276" s="55"/>
      <c r="I276" s="55"/>
      <c r="J276" s="55"/>
      <c r="K276" s="55"/>
      <c r="L276" s="55"/>
      <c r="M276" s="55"/>
      <c r="N276" s="55"/>
      <c r="O276" s="55"/>
      <c r="P276" s="55"/>
      <c r="Q276" s="55"/>
      <c r="R276" s="55"/>
      <c r="S276" s="55"/>
      <c r="T276" s="55"/>
      <c r="U276" s="55"/>
      <c r="V276" s="55"/>
      <c r="W276" s="55"/>
      <c r="X276" s="55"/>
      <c r="Y276" s="55"/>
      <c r="Z276" s="55"/>
    </row>
    <row r="277" spans="1:26" ht="15">
      <c r="A277" s="55"/>
      <c r="B277" s="55"/>
      <c r="C277" s="55"/>
      <c r="D277" s="55"/>
      <c r="E277" s="55"/>
      <c r="F277" s="55"/>
      <c r="G277" s="55"/>
      <c r="H277" s="55"/>
      <c r="I277" s="55"/>
      <c r="J277" s="55"/>
      <c r="K277" s="55"/>
      <c r="L277" s="55"/>
      <c r="M277" s="55"/>
      <c r="N277" s="55"/>
      <c r="O277" s="55"/>
      <c r="P277" s="55"/>
      <c r="Q277" s="55"/>
      <c r="R277" s="55"/>
      <c r="S277" s="55"/>
      <c r="T277" s="55"/>
      <c r="U277" s="55"/>
      <c r="V277" s="55"/>
      <c r="W277" s="55"/>
      <c r="X277" s="55"/>
      <c r="Y277" s="55"/>
      <c r="Z277" s="55"/>
    </row>
    <row r="278" spans="1:26" ht="15">
      <c r="A278" s="55"/>
      <c r="B278" s="55"/>
      <c r="C278" s="55"/>
      <c r="D278" s="55"/>
      <c r="E278" s="55"/>
      <c r="F278" s="55"/>
      <c r="G278" s="55"/>
      <c r="H278" s="55"/>
      <c r="I278" s="55"/>
      <c r="J278" s="55"/>
      <c r="K278" s="55"/>
      <c r="L278" s="55"/>
      <c r="M278" s="55"/>
      <c r="N278" s="55"/>
      <c r="O278" s="55"/>
      <c r="P278" s="55"/>
      <c r="Q278" s="55"/>
      <c r="R278" s="55"/>
      <c r="S278" s="55"/>
      <c r="T278" s="55"/>
      <c r="U278" s="55"/>
      <c r="V278" s="55"/>
      <c r="W278" s="55"/>
      <c r="X278" s="55"/>
      <c r="Y278" s="55"/>
      <c r="Z278" s="55"/>
    </row>
    <row r="279" spans="1:26" ht="15">
      <c r="A279" s="55"/>
      <c r="B279" s="55"/>
      <c r="C279" s="55"/>
      <c r="D279" s="55"/>
      <c r="E279" s="55"/>
      <c r="F279" s="55"/>
      <c r="G279" s="55"/>
      <c r="H279" s="55"/>
      <c r="I279" s="55"/>
      <c r="J279" s="55"/>
      <c r="K279" s="55"/>
      <c r="L279" s="55"/>
      <c r="M279" s="55"/>
      <c r="N279" s="55"/>
      <c r="O279" s="55"/>
      <c r="P279" s="55"/>
      <c r="Q279" s="55"/>
      <c r="R279" s="55"/>
      <c r="S279" s="55"/>
      <c r="T279" s="55"/>
      <c r="U279" s="55"/>
      <c r="V279" s="55"/>
      <c r="W279" s="55"/>
      <c r="X279" s="55"/>
      <c r="Y279" s="55"/>
      <c r="Z279" s="55"/>
    </row>
    <row r="280" spans="1:26" ht="15">
      <c r="A280" s="55"/>
      <c r="B280" s="55"/>
      <c r="C280" s="55"/>
      <c r="D280" s="55"/>
      <c r="E280" s="55"/>
      <c r="F280" s="55"/>
      <c r="G280" s="55"/>
      <c r="H280" s="55"/>
      <c r="I280" s="55"/>
      <c r="J280" s="55"/>
      <c r="K280" s="55"/>
      <c r="L280" s="55"/>
      <c r="M280" s="55"/>
      <c r="N280" s="55"/>
      <c r="O280" s="55"/>
      <c r="P280" s="55"/>
      <c r="Q280" s="55"/>
      <c r="R280" s="55"/>
      <c r="S280" s="55"/>
      <c r="T280" s="55"/>
      <c r="U280" s="55"/>
      <c r="V280" s="55"/>
      <c r="W280" s="55"/>
      <c r="X280" s="55"/>
      <c r="Y280" s="55"/>
      <c r="Z280" s="55"/>
    </row>
    <row r="281" spans="1:26" ht="15">
      <c r="A281" s="55"/>
      <c r="B281" s="55"/>
      <c r="C281" s="55"/>
      <c r="D281" s="55"/>
      <c r="E281" s="55"/>
      <c r="F281" s="55"/>
      <c r="G281" s="55"/>
      <c r="H281" s="55"/>
      <c r="I281" s="55"/>
      <c r="J281" s="55"/>
      <c r="K281" s="55"/>
      <c r="L281" s="55"/>
      <c r="M281" s="55"/>
      <c r="N281" s="55"/>
      <c r="O281" s="55"/>
      <c r="P281" s="55"/>
      <c r="Q281" s="55"/>
      <c r="R281" s="55"/>
      <c r="S281" s="55"/>
      <c r="T281" s="55"/>
      <c r="U281" s="55"/>
      <c r="V281" s="55"/>
      <c r="W281" s="55"/>
      <c r="X281" s="55"/>
      <c r="Y281" s="55"/>
      <c r="Z281" s="55"/>
    </row>
    <row r="282" spans="1:26" ht="15">
      <c r="A282" s="55"/>
      <c r="B282" s="55"/>
      <c r="C282" s="55"/>
      <c r="D282" s="55"/>
      <c r="E282" s="55"/>
      <c r="F282" s="55"/>
      <c r="G282" s="55"/>
      <c r="H282" s="55"/>
      <c r="I282" s="55"/>
      <c r="J282" s="55"/>
      <c r="K282" s="55"/>
      <c r="L282" s="55"/>
      <c r="M282" s="55"/>
      <c r="N282" s="55"/>
      <c r="O282" s="55"/>
      <c r="P282" s="55"/>
      <c r="Q282" s="55"/>
      <c r="R282" s="55"/>
      <c r="S282" s="55"/>
      <c r="T282" s="55"/>
      <c r="U282" s="55"/>
      <c r="V282" s="55"/>
      <c r="W282" s="55"/>
      <c r="X282" s="55"/>
      <c r="Y282" s="55"/>
      <c r="Z282" s="55"/>
    </row>
    <row r="283" spans="1:26" ht="15">
      <c r="A283" s="55"/>
      <c r="B283" s="55"/>
      <c r="C283" s="55"/>
      <c r="D283" s="55"/>
      <c r="E283" s="55"/>
      <c r="F283" s="55"/>
      <c r="G283" s="55"/>
      <c r="H283" s="55"/>
      <c r="I283" s="55"/>
      <c r="J283" s="55"/>
      <c r="K283" s="55"/>
      <c r="L283" s="55"/>
      <c r="M283" s="55"/>
      <c r="N283" s="55"/>
      <c r="O283" s="55"/>
      <c r="P283" s="55"/>
      <c r="Q283" s="55"/>
      <c r="R283" s="55"/>
      <c r="S283" s="55"/>
      <c r="T283" s="55"/>
      <c r="U283" s="55"/>
      <c r="V283" s="55"/>
      <c r="W283" s="55"/>
      <c r="X283" s="55"/>
      <c r="Y283" s="55"/>
      <c r="Z283" s="55"/>
    </row>
    <row r="284" spans="1:26" ht="15">
      <c r="A284" s="55"/>
      <c r="B284" s="55"/>
      <c r="C284" s="55"/>
      <c r="D284" s="55"/>
      <c r="E284" s="55"/>
      <c r="F284" s="55"/>
      <c r="G284" s="55"/>
      <c r="H284" s="55"/>
      <c r="I284" s="55"/>
      <c r="J284" s="55"/>
      <c r="K284" s="55"/>
      <c r="L284" s="55"/>
      <c r="M284" s="55"/>
      <c r="N284" s="55"/>
      <c r="O284" s="55"/>
      <c r="P284" s="55"/>
      <c r="Q284" s="55"/>
      <c r="R284" s="55"/>
      <c r="S284" s="55"/>
      <c r="T284" s="55"/>
      <c r="U284" s="55"/>
      <c r="V284" s="55"/>
      <c r="W284" s="55"/>
      <c r="X284" s="55"/>
      <c r="Y284" s="55"/>
      <c r="Z284" s="55"/>
    </row>
    <row r="285" spans="1:26" ht="15">
      <c r="A285" s="55"/>
      <c r="B285" s="55"/>
      <c r="C285" s="55"/>
      <c r="D285" s="55"/>
      <c r="E285" s="55"/>
      <c r="F285" s="55"/>
      <c r="G285" s="55"/>
      <c r="H285" s="55"/>
      <c r="I285" s="55"/>
      <c r="J285" s="55"/>
      <c r="K285" s="55"/>
      <c r="L285" s="55"/>
      <c r="M285" s="55"/>
      <c r="N285" s="55"/>
      <c r="O285" s="55"/>
      <c r="P285" s="55"/>
      <c r="Q285" s="55"/>
      <c r="R285" s="55"/>
      <c r="S285" s="55"/>
      <c r="T285" s="55"/>
      <c r="U285" s="55"/>
      <c r="V285" s="55"/>
      <c r="W285" s="55"/>
      <c r="X285" s="55"/>
      <c r="Y285" s="55"/>
      <c r="Z285" s="55"/>
    </row>
    <row r="286" spans="1:26" ht="15">
      <c r="A286" s="55"/>
      <c r="B286" s="55"/>
      <c r="C286" s="55"/>
      <c r="D286" s="55"/>
      <c r="E286" s="55"/>
      <c r="F286" s="55"/>
      <c r="G286" s="55"/>
      <c r="H286" s="55"/>
      <c r="I286" s="55"/>
      <c r="J286" s="55"/>
      <c r="K286" s="55"/>
      <c r="L286" s="55"/>
      <c r="M286" s="55"/>
      <c r="N286" s="55"/>
      <c r="O286" s="55"/>
      <c r="P286" s="55"/>
      <c r="Q286" s="55"/>
      <c r="R286" s="55"/>
      <c r="S286" s="55"/>
      <c r="T286" s="55"/>
      <c r="U286" s="55"/>
      <c r="V286" s="55"/>
      <c r="W286" s="55"/>
      <c r="X286" s="55"/>
      <c r="Y286" s="55"/>
      <c r="Z286" s="55"/>
    </row>
    <row r="287" spans="1:26" ht="15">
      <c r="A287" s="55"/>
      <c r="B287" s="55"/>
      <c r="C287" s="55"/>
      <c r="D287" s="55"/>
      <c r="E287" s="55"/>
      <c r="F287" s="55"/>
      <c r="G287" s="55"/>
      <c r="H287" s="55"/>
      <c r="I287" s="55"/>
      <c r="J287" s="55"/>
      <c r="K287" s="55"/>
      <c r="L287" s="55"/>
      <c r="M287" s="55"/>
      <c r="N287" s="55"/>
      <c r="O287" s="55"/>
      <c r="P287" s="55"/>
      <c r="Q287" s="55"/>
      <c r="R287" s="55"/>
      <c r="S287" s="55"/>
      <c r="T287" s="55"/>
      <c r="U287" s="55"/>
      <c r="V287" s="55"/>
      <c r="W287" s="55"/>
      <c r="X287" s="55"/>
      <c r="Y287" s="55"/>
      <c r="Z287" s="55"/>
    </row>
    <row r="288" spans="1:26" ht="15">
      <c r="A288" s="55"/>
      <c r="B288" s="55"/>
      <c r="C288" s="55"/>
      <c r="D288" s="55"/>
      <c r="E288" s="55"/>
      <c r="F288" s="55"/>
      <c r="G288" s="55"/>
      <c r="H288" s="55"/>
      <c r="I288" s="55"/>
      <c r="J288" s="55"/>
      <c r="K288" s="55"/>
      <c r="L288" s="55"/>
      <c r="M288" s="55"/>
      <c r="N288" s="55"/>
      <c r="O288" s="55"/>
      <c r="P288" s="55"/>
      <c r="Q288" s="55"/>
      <c r="R288" s="55"/>
      <c r="S288" s="55"/>
      <c r="T288" s="55"/>
      <c r="U288" s="55"/>
      <c r="V288" s="55"/>
      <c r="W288" s="55"/>
      <c r="X288" s="55"/>
      <c r="Y288" s="55"/>
      <c r="Z288" s="55"/>
    </row>
    <row r="289" spans="1:26" ht="15">
      <c r="A289" s="55"/>
      <c r="B289" s="55"/>
      <c r="C289" s="55"/>
      <c r="D289" s="55"/>
      <c r="E289" s="55"/>
      <c r="F289" s="55"/>
      <c r="G289" s="55"/>
      <c r="H289" s="55"/>
      <c r="I289" s="55"/>
      <c r="J289" s="55"/>
      <c r="K289" s="55"/>
      <c r="L289" s="55"/>
      <c r="M289" s="55"/>
      <c r="N289" s="55"/>
      <c r="O289" s="55"/>
      <c r="P289" s="55"/>
      <c r="Q289" s="55"/>
      <c r="R289" s="55"/>
      <c r="S289" s="55"/>
      <c r="T289" s="55"/>
      <c r="U289" s="55"/>
      <c r="V289" s="55"/>
      <c r="W289" s="55"/>
      <c r="X289" s="55"/>
      <c r="Y289" s="55"/>
      <c r="Z289" s="55"/>
    </row>
    <row r="290" spans="1:26" ht="15">
      <c r="A290" s="55"/>
      <c r="B290" s="55"/>
      <c r="C290" s="55"/>
      <c r="D290" s="55"/>
      <c r="E290" s="55"/>
      <c r="F290" s="55"/>
      <c r="G290" s="55"/>
      <c r="H290" s="55"/>
      <c r="I290" s="55"/>
      <c r="J290" s="55"/>
      <c r="K290" s="55"/>
      <c r="L290" s="55"/>
      <c r="M290" s="55"/>
      <c r="N290" s="55"/>
      <c r="O290" s="55"/>
      <c r="P290" s="55"/>
      <c r="Q290" s="55"/>
      <c r="R290" s="55"/>
      <c r="S290" s="55"/>
      <c r="T290" s="55"/>
      <c r="U290" s="55"/>
      <c r="V290" s="55"/>
      <c r="W290" s="55"/>
      <c r="X290" s="55"/>
      <c r="Y290" s="55"/>
      <c r="Z290" s="55"/>
    </row>
    <row r="291" spans="1:26" ht="15">
      <c r="A291" s="55"/>
      <c r="B291" s="55"/>
      <c r="C291" s="55"/>
      <c r="D291" s="55"/>
      <c r="E291" s="55"/>
      <c r="F291" s="55"/>
      <c r="G291" s="55"/>
      <c r="H291" s="55"/>
      <c r="I291" s="55"/>
      <c r="J291" s="55"/>
      <c r="K291" s="55"/>
      <c r="L291" s="55"/>
      <c r="M291" s="55"/>
      <c r="N291" s="55"/>
      <c r="O291" s="55"/>
      <c r="P291" s="55"/>
      <c r="Q291" s="55"/>
      <c r="R291" s="55"/>
      <c r="S291" s="55"/>
      <c r="T291" s="55"/>
      <c r="U291" s="55"/>
      <c r="V291" s="55"/>
      <c r="W291" s="55"/>
      <c r="X291" s="55"/>
      <c r="Y291" s="55"/>
      <c r="Z291" s="55"/>
    </row>
    <row r="292" spans="1:26" ht="15">
      <c r="A292" s="55"/>
      <c r="B292" s="55"/>
      <c r="C292" s="55"/>
      <c r="D292" s="55"/>
      <c r="E292" s="55"/>
      <c r="F292" s="55"/>
      <c r="G292" s="55"/>
      <c r="H292" s="55"/>
      <c r="I292" s="55"/>
      <c r="J292" s="55"/>
      <c r="K292" s="55"/>
      <c r="L292" s="55"/>
      <c r="M292" s="55"/>
      <c r="N292" s="55"/>
      <c r="O292" s="55"/>
      <c r="P292" s="55"/>
      <c r="Q292" s="55"/>
      <c r="R292" s="55"/>
      <c r="S292" s="55"/>
      <c r="T292" s="55"/>
      <c r="U292" s="55"/>
      <c r="V292" s="55"/>
      <c r="W292" s="55"/>
      <c r="X292" s="55"/>
      <c r="Y292" s="55"/>
      <c r="Z292" s="55"/>
    </row>
    <row r="293" spans="1:26" ht="15">
      <c r="A293" s="55"/>
      <c r="B293" s="55"/>
      <c r="C293" s="55"/>
      <c r="D293" s="55"/>
      <c r="E293" s="55"/>
      <c r="F293" s="55"/>
      <c r="G293" s="55"/>
      <c r="H293" s="55"/>
      <c r="I293" s="55"/>
      <c r="J293" s="55"/>
      <c r="K293" s="55"/>
      <c r="L293" s="55"/>
      <c r="M293" s="55"/>
      <c r="N293" s="55"/>
      <c r="O293" s="55"/>
      <c r="P293" s="55"/>
      <c r="Q293" s="55"/>
      <c r="R293" s="55"/>
      <c r="S293" s="55"/>
      <c r="T293" s="55"/>
      <c r="U293" s="55"/>
      <c r="V293" s="55"/>
      <c r="W293" s="55"/>
      <c r="X293" s="55"/>
      <c r="Y293" s="55"/>
      <c r="Z293" s="55"/>
    </row>
    <row r="294" spans="1:26" ht="15">
      <c r="A294" s="55"/>
      <c r="B294" s="55"/>
      <c r="C294" s="55"/>
      <c r="D294" s="55"/>
      <c r="E294" s="55"/>
      <c r="F294" s="55"/>
      <c r="G294" s="55"/>
      <c r="H294" s="55"/>
      <c r="I294" s="55"/>
      <c r="J294" s="55"/>
      <c r="K294" s="55"/>
      <c r="L294" s="55"/>
      <c r="M294" s="55"/>
      <c r="N294" s="55"/>
      <c r="O294" s="55"/>
      <c r="P294" s="55"/>
      <c r="Q294" s="55"/>
      <c r="R294" s="55"/>
      <c r="S294" s="55"/>
      <c r="T294" s="55"/>
      <c r="U294" s="55"/>
      <c r="V294" s="55"/>
      <c r="W294" s="55"/>
      <c r="X294" s="55"/>
      <c r="Y294" s="55"/>
      <c r="Z294" s="55"/>
    </row>
    <row r="295" spans="1:26" ht="15">
      <c r="A295" s="55"/>
      <c r="B295" s="55"/>
      <c r="C295" s="55"/>
      <c r="D295" s="55"/>
      <c r="E295" s="55"/>
      <c r="F295" s="55"/>
      <c r="G295" s="55"/>
      <c r="H295" s="55"/>
      <c r="I295" s="55"/>
      <c r="J295" s="55"/>
      <c r="K295" s="55"/>
      <c r="L295" s="55"/>
      <c r="M295" s="55"/>
      <c r="N295" s="55"/>
      <c r="O295" s="55"/>
      <c r="P295" s="55"/>
      <c r="Q295" s="55"/>
      <c r="R295" s="55"/>
      <c r="S295" s="55"/>
      <c r="T295" s="55"/>
      <c r="U295" s="55"/>
      <c r="V295" s="55"/>
      <c r="W295" s="55"/>
      <c r="X295" s="55"/>
      <c r="Y295" s="55"/>
      <c r="Z295" s="55"/>
    </row>
    <row r="296" spans="1:26" ht="15">
      <c r="A296" s="55"/>
      <c r="B296" s="55"/>
      <c r="C296" s="55"/>
      <c r="D296" s="55"/>
      <c r="E296" s="55"/>
      <c r="F296" s="55"/>
      <c r="G296" s="55"/>
      <c r="H296" s="55"/>
      <c r="I296" s="55"/>
      <c r="J296" s="55"/>
      <c r="K296" s="55"/>
      <c r="L296" s="55"/>
      <c r="M296" s="55"/>
      <c r="N296" s="55"/>
      <c r="O296" s="55"/>
      <c r="P296" s="55"/>
      <c r="Q296" s="55"/>
      <c r="R296" s="55"/>
      <c r="S296" s="55"/>
      <c r="T296" s="55"/>
      <c r="U296" s="55"/>
      <c r="V296" s="55"/>
      <c r="W296" s="55"/>
      <c r="X296" s="55"/>
      <c r="Y296" s="55"/>
      <c r="Z296" s="55"/>
    </row>
    <row r="297" spans="1:26" ht="15">
      <c r="A297" s="55"/>
      <c r="B297" s="55"/>
      <c r="C297" s="55"/>
      <c r="D297" s="55"/>
      <c r="E297" s="55"/>
      <c r="F297" s="55"/>
      <c r="G297" s="55"/>
      <c r="H297" s="55"/>
      <c r="I297" s="55"/>
      <c r="J297" s="55"/>
      <c r="K297" s="55"/>
      <c r="L297" s="55"/>
      <c r="M297" s="55"/>
      <c r="N297" s="55"/>
      <c r="O297" s="55"/>
      <c r="P297" s="55"/>
      <c r="Q297" s="55"/>
      <c r="R297" s="55"/>
      <c r="S297" s="55"/>
      <c r="T297" s="55"/>
      <c r="U297" s="55"/>
      <c r="V297" s="55"/>
      <c r="W297" s="55"/>
      <c r="X297" s="55"/>
      <c r="Y297" s="55"/>
      <c r="Z297" s="55"/>
    </row>
    <row r="298" spans="1:26" ht="15">
      <c r="A298" s="55"/>
      <c r="B298" s="55"/>
      <c r="C298" s="55"/>
      <c r="D298" s="55"/>
      <c r="E298" s="55"/>
      <c r="F298" s="55"/>
      <c r="G298" s="55"/>
      <c r="H298" s="55"/>
      <c r="I298" s="55"/>
      <c r="J298" s="55"/>
      <c r="K298" s="55"/>
      <c r="L298" s="55"/>
      <c r="M298" s="55"/>
      <c r="N298" s="55"/>
      <c r="O298" s="55"/>
      <c r="P298" s="55"/>
      <c r="Q298" s="55"/>
      <c r="R298" s="55"/>
      <c r="S298" s="55"/>
      <c r="T298" s="55"/>
      <c r="U298" s="55"/>
      <c r="V298" s="55"/>
      <c r="W298" s="55"/>
      <c r="X298" s="55"/>
      <c r="Y298" s="55"/>
      <c r="Z298" s="55"/>
    </row>
    <row r="299" spans="1:26" ht="15">
      <c r="A299" s="55"/>
      <c r="B299" s="55"/>
      <c r="C299" s="55"/>
      <c r="D299" s="55"/>
      <c r="E299" s="55"/>
      <c r="F299" s="55"/>
      <c r="G299" s="55"/>
      <c r="H299" s="55"/>
      <c r="I299" s="55"/>
      <c r="J299" s="55"/>
      <c r="K299" s="55"/>
      <c r="L299" s="55"/>
      <c r="M299" s="55"/>
      <c r="N299" s="55"/>
      <c r="O299" s="55"/>
      <c r="P299" s="55"/>
      <c r="Q299" s="55"/>
      <c r="R299" s="55"/>
      <c r="S299" s="55"/>
      <c r="T299" s="55"/>
      <c r="U299" s="55"/>
      <c r="V299" s="55"/>
      <c r="W299" s="55"/>
      <c r="X299" s="55"/>
      <c r="Y299" s="55"/>
      <c r="Z299" s="55"/>
    </row>
    <row r="300" spans="1:26" ht="15">
      <c r="A300" s="55"/>
      <c r="B300" s="55"/>
      <c r="C300" s="55"/>
      <c r="D300" s="55"/>
      <c r="E300" s="55"/>
      <c r="F300" s="55"/>
      <c r="G300" s="55"/>
      <c r="H300" s="55"/>
      <c r="I300" s="55"/>
      <c r="J300" s="55"/>
      <c r="K300" s="55"/>
      <c r="L300" s="55"/>
      <c r="M300" s="55"/>
      <c r="N300" s="55"/>
      <c r="O300" s="55"/>
      <c r="P300" s="55"/>
      <c r="Q300" s="55"/>
      <c r="R300" s="55"/>
      <c r="S300" s="55"/>
      <c r="T300" s="55"/>
      <c r="U300" s="55"/>
      <c r="V300" s="55"/>
      <c r="W300" s="55"/>
      <c r="X300" s="55"/>
      <c r="Y300" s="55"/>
      <c r="Z300" s="55"/>
    </row>
    <row r="301" spans="1:26" ht="15">
      <c r="A301" s="55"/>
      <c r="B301" s="55"/>
      <c r="C301" s="55"/>
      <c r="D301" s="55"/>
      <c r="E301" s="55"/>
      <c r="F301" s="55"/>
      <c r="G301" s="55"/>
      <c r="H301" s="55"/>
      <c r="I301" s="55"/>
      <c r="J301" s="55"/>
      <c r="K301" s="55"/>
      <c r="L301" s="55"/>
      <c r="M301" s="55"/>
      <c r="N301" s="55"/>
      <c r="O301" s="55"/>
      <c r="P301" s="55"/>
      <c r="Q301" s="55"/>
      <c r="R301" s="55"/>
      <c r="S301" s="55"/>
      <c r="T301" s="55"/>
      <c r="U301" s="55"/>
      <c r="V301" s="55"/>
      <c r="W301" s="55"/>
      <c r="X301" s="55"/>
      <c r="Y301" s="55"/>
      <c r="Z301" s="55"/>
    </row>
    <row r="302" spans="1:26" ht="15">
      <c r="A302" s="55"/>
      <c r="B302" s="55"/>
      <c r="C302" s="55"/>
      <c r="D302" s="55"/>
      <c r="E302" s="55"/>
      <c r="F302" s="55"/>
      <c r="G302" s="55"/>
      <c r="H302" s="55"/>
      <c r="I302" s="55"/>
      <c r="J302" s="55"/>
      <c r="K302" s="55"/>
      <c r="L302" s="55"/>
      <c r="M302" s="55"/>
      <c r="N302" s="55"/>
      <c r="O302" s="55"/>
      <c r="P302" s="55"/>
      <c r="Q302" s="55"/>
      <c r="R302" s="55"/>
      <c r="S302" s="55"/>
      <c r="T302" s="55"/>
      <c r="U302" s="55"/>
      <c r="V302" s="55"/>
      <c r="W302" s="55"/>
      <c r="X302" s="55"/>
      <c r="Y302" s="55"/>
      <c r="Z302" s="55"/>
    </row>
    <row r="303" spans="1:26" ht="15">
      <c r="A303" s="55"/>
      <c r="B303" s="55"/>
      <c r="C303" s="55"/>
      <c r="D303" s="55"/>
      <c r="E303" s="55"/>
      <c r="F303" s="55"/>
      <c r="G303" s="55"/>
      <c r="H303" s="55"/>
      <c r="I303" s="55"/>
      <c r="J303" s="55"/>
      <c r="K303" s="55"/>
      <c r="L303" s="55"/>
      <c r="M303" s="55"/>
      <c r="N303" s="55"/>
      <c r="O303" s="55"/>
      <c r="P303" s="55"/>
      <c r="Q303" s="55"/>
      <c r="R303" s="55"/>
      <c r="S303" s="55"/>
      <c r="T303" s="55"/>
      <c r="U303" s="55"/>
      <c r="V303" s="55"/>
      <c r="W303" s="55"/>
      <c r="X303" s="55"/>
      <c r="Y303" s="55"/>
      <c r="Z303" s="55"/>
    </row>
    <row r="304" spans="1:26" ht="15">
      <c r="A304" s="55"/>
      <c r="B304" s="55"/>
      <c r="C304" s="55"/>
      <c r="D304" s="55"/>
      <c r="E304" s="55"/>
      <c r="F304" s="55"/>
      <c r="G304" s="55"/>
      <c r="H304" s="55"/>
      <c r="I304" s="55"/>
      <c r="J304" s="55"/>
      <c r="K304" s="55"/>
      <c r="L304" s="55"/>
      <c r="M304" s="55"/>
      <c r="N304" s="55"/>
      <c r="O304" s="55"/>
      <c r="P304" s="55"/>
      <c r="Q304" s="55"/>
      <c r="R304" s="55"/>
      <c r="S304" s="55"/>
      <c r="T304" s="55"/>
      <c r="U304" s="55"/>
      <c r="V304" s="55"/>
      <c r="W304" s="55"/>
      <c r="X304" s="55"/>
      <c r="Y304" s="55"/>
      <c r="Z304" s="55"/>
    </row>
    <row r="305" spans="1:26" ht="15">
      <c r="A305" s="55"/>
      <c r="B305" s="55"/>
      <c r="C305" s="55"/>
      <c r="D305" s="55"/>
      <c r="E305" s="55"/>
      <c r="F305" s="55"/>
      <c r="G305" s="55"/>
      <c r="H305" s="55"/>
      <c r="I305" s="55"/>
      <c r="J305" s="55"/>
      <c r="K305" s="55"/>
      <c r="L305" s="55"/>
      <c r="M305" s="55"/>
      <c r="N305" s="55"/>
      <c r="O305" s="55"/>
      <c r="P305" s="55"/>
      <c r="Q305" s="55"/>
      <c r="R305" s="55"/>
      <c r="S305" s="55"/>
      <c r="T305" s="55"/>
      <c r="U305" s="55"/>
      <c r="V305" s="55"/>
      <c r="W305" s="55"/>
      <c r="X305" s="55"/>
      <c r="Y305" s="55"/>
      <c r="Z305" s="55"/>
    </row>
    <row r="306" spans="1:26" ht="15">
      <c r="A306" s="55"/>
      <c r="B306" s="55"/>
      <c r="C306" s="55"/>
      <c r="D306" s="55"/>
      <c r="E306" s="55"/>
      <c r="F306" s="55"/>
      <c r="G306" s="55"/>
      <c r="H306" s="55"/>
      <c r="I306" s="55"/>
      <c r="J306" s="55"/>
      <c r="K306" s="55"/>
      <c r="L306" s="55"/>
      <c r="M306" s="55"/>
      <c r="N306" s="55"/>
      <c r="O306" s="55"/>
      <c r="P306" s="55"/>
      <c r="Q306" s="55"/>
      <c r="R306" s="55"/>
      <c r="S306" s="55"/>
      <c r="T306" s="55"/>
      <c r="U306" s="55"/>
      <c r="V306" s="55"/>
      <c r="W306" s="55"/>
      <c r="X306" s="55"/>
      <c r="Y306" s="55"/>
      <c r="Z306" s="55"/>
    </row>
    <row r="307" spans="1:26" ht="15">
      <c r="A307" s="55"/>
      <c r="B307" s="55"/>
      <c r="C307" s="55"/>
      <c r="D307" s="55"/>
      <c r="E307" s="55"/>
      <c r="F307" s="55"/>
      <c r="G307" s="55"/>
      <c r="H307" s="55"/>
      <c r="I307" s="55"/>
      <c r="J307" s="55"/>
      <c r="K307" s="55"/>
      <c r="L307" s="55"/>
      <c r="M307" s="55"/>
      <c r="N307" s="55"/>
      <c r="O307" s="55"/>
      <c r="P307" s="55"/>
      <c r="Q307" s="55"/>
      <c r="R307" s="55"/>
      <c r="S307" s="55"/>
      <c r="T307" s="55"/>
      <c r="U307" s="55"/>
      <c r="V307" s="55"/>
      <c r="W307" s="55"/>
      <c r="X307" s="55"/>
      <c r="Y307" s="55"/>
      <c r="Z307" s="55"/>
    </row>
    <row r="308" spans="1:26" ht="15">
      <c r="A308" s="55"/>
      <c r="B308" s="55"/>
      <c r="C308" s="55"/>
      <c r="D308" s="55"/>
      <c r="E308" s="55"/>
      <c r="F308" s="55"/>
      <c r="G308" s="55"/>
      <c r="H308" s="55"/>
      <c r="I308" s="55"/>
      <c r="J308" s="55"/>
      <c r="K308" s="55"/>
      <c r="L308" s="55"/>
      <c r="M308" s="55"/>
      <c r="N308" s="55"/>
      <c r="O308" s="55"/>
      <c r="P308" s="55"/>
      <c r="Q308" s="55"/>
      <c r="R308" s="55"/>
      <c r="S308" s="55"/>
      <c r="T308" s="55"/>
      <c r="U308" s="55"/>
      <c r="V308" s="55"/>
      <c r="W308" s="55"/>
      <c r="X308" s="55"/>
      <c r="Y308" s="55"/>
      <c r="Z308" s="55"/>
    </row>
    <row r="309" spans="1:26" ht="15">
      <c r="A309" s="55"/>
      <c r="B309" s="55"/>
      <c r="C309" s="55"/>
      <c r="D309" s="55"/>
      <c r="E309" s="55"/>
      <c r="F309" s="55"/>
      <c r="G309" s="55"/>
      <c r="H309" s="55"/>
      <c r="I309" s="55"/>
      <c r="J309" s="55"/>
      <c r="K309" s="55"/>
      <c r="L309" s="55"/>
      <c r="M309" s="55"/>
      <c r="N309" s="55"/>
      <c r="O309" s="55"/>
      <c r="P309" s="55"/>
      <c r="Q309" s="55"/>
      <c r="R309" s="55"/>
      <c r="S309" s="55"/>
      <c r="T309" s="55"/>
      <c r="U309" s="55"/>
      <c r="V309" s="55"/>
      <c r="W309" s="55"/>
      <c r="X309" s="55"/>
      <c r="Y309" s="55"/>
      <c r="Z309" s="55"/>
    </row>
    <row r="310" spans="1:26" ht="15">
      <c r="A310" s="55"/>
      <c r="B310" s="55"/>
      <c r="C310" s="55"/>
      <c r="D310" s="55"/>
      <c r="E310" s="55"/>
      <c r="F310" s="55"/>
      <c r="G310" s="55"/>
      <c r="H310" s="55"/>
      <c r="I310" s="55"/>
      <c r="J310" s="55"/>
      <c r="K310" s="55"/>
      <c r="L310" s="55"/>
      <c r="M310" s="55"/>
      <c r="N310" s="55"/>
      <c r="O310" s="55"/>
      <c r="P310" s="55"/>
      <c r="Q310" s="55"/>
      <c r="R310" s="55"/>
      <c r="S310" s="55"/>
      <c r="T310" s="55"/>
      <c r="U310" s="55"/>
      <c r="V310" s="55"/>
      <c r="W310" s="55"/>
      <c r="X310" s="55"/>
      <c r="Y310" s="55"/>
      <c r="Z310" s="55"/>
    </row>
    <row r="311" spans="1:26" ht="15">
      <c r="A311" s="55"/>
      <c r="B311" s="55"/>
      <c r="C311" s="55"/>
      <c r="D311" s="55"/>
      <c r="E311" s="55"/>
      <c r="F311" s="55"/>
      <c r="G311" s="55"/>
      <c r="H311" s="55"/>
      <c r="I311" s="55"/>
      <c r="J311" s="55"/>
      <c r="K311" s="55"/>
      <c r="L311" s="55"/>
      <c r="M311" s="55"/>
      <c r="N311" s="55"/>
      <c r="O311" s="55"/>
      <c r="P311" s="55"/>
      <c r="Q311" s="55"/>
      <c r="R311" s="55"/>
      <c r="S311" s="55"/>
      <c r="T311" s="55"/>
      <c r="U311" s="55"/>
      <c r="V311" s="55"/>
      <c r="W311" s="55"/>
      <c r="X311" s="55"/>
      <c r="Y311" s="55"/>
      <c r="Z311" s="55"/>
    </row>
    <row r="312" spans="1:26" ht="15">
      <c r="A312" s="55"/>
      <c r="B312" s="55"/>
      <c r="C312" s="55"/>
      <c r="D312" s="55"/>
      <c r="E312" s="55"/>
      <c r="F312" s="55"/>
      <c r="G312" s="55"/>
      <c r="H312" s="55"/>
      <c r="I312" s="55"/>
      <c r="J312" s="55"/>
      <c r="K312" s="55"/>
      <c r="L312" s="55"/>
      <c r="M312" s="55"/>
      <c r="N312" s="55"/>
      <c r="O312" s="55"/>
      <c r="P312" s="55"/>
      <c r="Q312" s="55"/>
      <c r="R312" s="55"/>
      <c r="S312" s="55"/>
      <c r="T312" s="55"/>
      <c r="U312" s="55"/>
      <c r="V312" s="55"/>
      <c r="W312" s="55"/>
      <c r="X312" s="55"/>
      <c r="Y312" s="55"/>
      <c r="Z312" s="55"/>
    </row>
    <row r="313" spans="1:26" ht="15">
      <c r="A313" s="55"/>
      <c r="B313" s="55"/>
      <c r="C313" s="55"/>
      <c r="D313" s="55"/>
      <c r="E313" s="55"/>
      <c r="F313" s="55"/>
      <c r="G313" s="55"/>
      <c r="H313" s="55"/>
      <c r="I313" s="55"/>
      <c r="J313" s="55"/>
      <c r="K313" s="55"/>
      <c r="L313" s="55"/>
      <c r="M313" s="55"/>
      <c r="N313" s="55"/>
      <c r="O313" s="55"/>
      <c r="P313" s="55"/>
      <c r="Q313" s="55"/>
      <c r="R313" s="55"/>
      <c r="S313" s="55"/>
      <c r="T313" s="55"/>
      <c r="U313" s="55"/>
      <c r="V313" s="55"/>
      <c r="W313" s="55"/>
      <c r="X313" s="55"/>
      <c r="Y313" s="55"/>
      <c r="Z313" s="55"/>
    </row>
    <row r="314" spans="1:26" ht="15">
      <c r="A314" s="55"/>
      <c r="B314" s="55"/>
      <c r="C314" s="55"/>
      <c r="D314" s="55"/>
      <c r="E314" s="55"/>
      <c r="F314" s="55"/>
      <c r="G314" s="55"/>
      <c r="H314" s="55"/>
      <c r="I314" s="55"/>
      <c r="J314" s="55"/>
      <c r="K314" s="55"/>
      <c r="L314" s="55"/>
      <c r="M314" s="55"/>
      <c r="N314" s="55"/>
      <c r="O314" s="55"/>
      <c r="P314" s="55"/>
      <c r="Q314" s="55"/>
      <c r="R314" s="55"/>
      <c r="S314" s="55"/>
      <c r="T314" s="55"/>
      <c r="U314" s="55"/>
      <c r="V314" s="55"/>
      <c r="W314" s="55"/>
      <c r="X314" s="55"/>
      <c r="Y314" s="55"/>
      <c r="Z314" s="55"/>
    </row>
    <row r="315" spans="1:26" ht="15">
      <c r="A315" s="55"/>
      <c r="B315" s="55"/>
      <c r="C315" s="55"/>
      <c r="D315" s="55"/>
      <c r="E315" s="55"/>
      <c r="F315" s="55"/>
      <c r="G315" s="55"/>
      <c r="H315" s="55"/>
      <c r="I315" s="55"/>
      <c r="J315" s="55"/>
      <c r="K315" s="55"/>
      <c r="L315" s="55"/>
      <c r="M315" s="55"/>
      <c r="N315" s="55"/>
      <c r="O315" s="55"/>
      <c r="P315" s="55"/>
      <c r="Q315" s="55"/>
      <c r="R315" s="55"/>
      <c r="S315" s="55"/>
      <c r="T315" s="55"/>
      <c r="U315" s="55"/>
      <c r="V315" s="55"/>
      <c r="W315" s="55"/>
      <c r="X315" s="55"/>
      <c r="Y315" s="55"/>
      <c r="Z315" s="55"/>
    </row>
    <row r="316" spans="1:26" ht="15">
      <c r="A316" s="55"/>
      <c r="B316" s="55"/>
      <c r="C316" s="55"/>
      <c r="D316" s="55"/>
      <c r="E316" s="55"/>
      <c r="F316" s="55"/>
      <c r="G316" s="55"/>
      <c r="H316" s="55"/>
      <c r="I316" s="55"/>
      <c r="J316" s="55"/>
      <c r="K316" s="55"/>
      <c r="L316" s="55"/>
      <c r="M316" s="55"/>
      <c r="N316" s="55"/>
      <c r="O316" s="55"/>
      <c r="P316" s="55"/>
      <c r="Q316" s="55"/>
      <c r="R316" s="55"/>
      <c r="S316" s="55"/>
      <c r="T316" s="55"/>
      <c r="U316" s="55"/>
      <c r="V316" s="55"/>
      <c r="W316" s="55"/>
      <c r="X316" s="55"/>
      <c r="Y316" s="55"/>
      <c r="Z316" s="55"/>
    </row>
    <row r="317" spans="1:26" ht="15">
      <c r="A317" s="55"/>
      <c r="B317" s="55"/>
      <c r="C317" s="55"/>
      <c r="D317" s="55"/>
      <c r="E317" s="55"/>
      <c r="F317" s="55"/>
      <c r="G317" s="55"/>
      <c r="H317" s="55"/>
      <c r="I317" s="55"/>
      <c r="J317" s="55"/>
      <c r="K317" s="55"/>
      <c r="L317" s="55"/>
      <c r="M317" s="55"/>
      <c r="N317" s="55"/>
      <c r="O317" s="55"/>
      <c r="P317" s="55"/>
      <c r="Q317" s="55"/>
      <c r="R317" s="55"/>
      <c r="S317" s="55"/>
      <c r="T317" s="55"/>
      <c r="U317" s="55"/>
      <c r="V317" s="55"/>
      <c r="W317" s="55"/>
      <c r="X317" s="55"/>
      <c r="Y317" s="55"/>
      <c r="Z317" s="55"/>
    </row>
    <row r="318" spans="1:26" ht="15">
      <c r="A318" s="55"/>
      <c r="B318" s="55"/>
      <c r="C318" s="55"/>
      <c r="D318" s="55"/>
      <c r="E318" s="55"/>
      <c r="F318" s="55"/>
      <c r="G318" s="55"/>
      <c r="H318" s="55"/>
      <c r="I318" s="55"/>
      <c r="J318" s="55"/>
      <c r="K318" s="55"/>
      <c r="L318" s="55"/>
      <c r="M318" s="55"/>
      <c r="N318" s="55"/>
      <c r="O318" s="55"/>
      <c r="P318" s="55"/>
      <c r="Q318" s="55"/>
      <c r="R318" s="55"/>
      <c r="S318" s="55"/>
      <c r="T318" s="55"/>
      <c r="U318" s="55"/>
      <c r="V318" s="55"/>
      <c r="W318" s="55"/>
      <c r="X318" s="55"/>
      <c r="Y318" s="55"/>
      <c r="Z318" s="55"/>
    </row>
    <row r="319" spans="1:26" ht="15">
      <c r="A319" s="55"/>
      <c r="B319" s="55"/>
      <c r="C319" s="55"/>
      <c r="D319" s="55"/>
      <c r="E319" s="55"/>
      <c r="F319" s="55"/>
      <c r="G319" s="55"/>
      <c r="H319" s="55"/>
      <c r="I319" s="55"/>
      <c r="J319" s="55"/>
      <c r="K319" s="55"/>
      <c r="L319" s="55"/>
      <c r="M319" s="55"/>
      <c r="N319" s="55"/>
      <c r="O319" s="55"/>
      <c r="P319" s="55"/>
      <c r="Q319" s="55"/>
      <c r="R319" s="55"/>
      <c r="S319" s="55"/>
      <c r="T319" s="55"/>
      <c r="U319" s="55"/>
      <c r="V319" s="55"/>
      <c r="W319" s="55"/>
      <c r="X319" s="55"/>
      <c r="Y319" s="55"/>
      <c r="Z319" s="55"/>
    </row>
    <row r="320" spans="1:26" ht="15">
      <c r="A320" s="55"/>
      <c r="B320" s="55"/>
      <c r="C320" s="55"/>
      <c r="D320" s="55"/>
      <c r="E320" s="55"/>
      <c r="F320" s="55"/>
      <c r="G320" s="55"/>
      <c r="H320" s="55"/>
      <c r="I320" s="55"/>
      <c r="J320" s="55"/>
      <c r="K320" s="55"/>
      <c r="L320" s="55"/>
      <c r="M320" s="55"/>
      <c r="N320" s="55"/>
      <c r="O320" s="55"/>
      <c r="P320" s="55"/>
      <c r="Q320" s="55"/>
      <c r="R320" s="55"/>
      <c r="S320" s="55"/>
      <c r="T320" s="55"/>
      <c r="U320" s="55"/>
      <c r="V320" s="55"/>
      <c r="W320" s="55"/>
      <c r="X320" s="55"/>
      <c r="Y320" s="55"/>
      <c r="Z320" s="55"/>
    </row>
    <row r="321" spans="1:26" ht="15">
      <c r="A321" s="55"/>
      <c r="B321" s="55"/>
      <c r="C321" s="55"/>
      <c r="D321" s="55"/>
      <c r="E321" s="55"/>
      <c r="F321" s="55"/>
      <c r="G321" s="55"/>
      <c r="H321" s="55"/>
      <c r="I321" s="55"/>
      <c r="J321" s="55"/>
      <c r="K321" s="55"/>
      <c r="L321" s="55"/>
      <c r="M321" s="55"/>
      <c r="N321" s="55"/>
      <c r="O321" s="55"/>
      <c r="P321" s="55"/>
      <c r="Q321" s="55"/>
      <c r="R321" s="55"/>
      <c r="S321" s="55"/>
      <c r="T321" s="55"/>
      <c r="U321" s="55"/>
      <c r="V321" s="55"/>
      <c r="W321" s="55"/>
      <c r="X321" s="55"/>
      <c r="Y321" s="55"/>
      <c r="Z321" s="55"/>
    </row>
    <row r="322" spans="1:26" ht="15">
      <c r="A322" s="55"/>
      <c r="B322" s="55"/>
      <c r="C322" s="55"/>
      <c r="D322" s="55"/>
      <c r="E322" s="55"/>
      <c r="F322" s="55"/>
      <c r="G322" s="55"/>
      <c r="H322" s="55"/>
      <c r="I322" s="55"/>
      <c r="J322" s="55"/>
      <c r="K322" s="55"/>
      <c r="L322" s="55"/>
      <c r="M322" s="55"/>
      <c r="N322" s="55"/>
      <c r="O322" s="55"/>
      <c r="P322" s="55"/>
      <c r="Q322" s="55"/>
      <c r="R322" s="55"/>
      <c r="S322" s="55"/>
      <c r="T322" s="55"/>
      <c r="U322" s="55"/>
      <c r="V322" s="55"/>
      <c r="W322" s="55"/>
      <c r="X322" s="55"/>
      <c r="Y322" s="55"/>
      <c r="Z322" s="55"/>
    </row>
    <row r="323" spans="1:26" ht="15">
      <c r="A323" s="55"/>
      <c r="B323" s="55"/>
      <c r="C323" s="55"/>
      <c r="D323" s="55"/>
      <c r="E323" s="55"/>
      <c r="F323" s="55"/>
      <c r="G323" s="55"/>
      <c r="H323" s="55"/>
      <c r="I323" s="55"/>
      <c r="J323" s="55"/>
      <c r="K323" s="55"/>
      <c r="L323" s="55"/>
      <c r="M323" s="55"/>
      <c r="N323" s="55"/>
      <c r="O323" s="55"/>
      <c r="P323" s="55"/>
      <c r="Q323" s="55"/>
      <c r="R323" s="55"/>
      <c r="S323" s="55"/>
      <c r="T323" s="55"/>
      <c r="U323" s="55"/>
      <c r="V323" s="55"/>
      <c r="W323" s="55"/>
      <c r="X323" s="55"/>
      <c r="Y323" s="55"/>
      <c r="Z323" s="55"/>
    </row>
    <row r="324" spans="1:26" ht="15">
      <c r="A324" s="55"/>
      <c r="B324" s="55"/>
      <c r="C324" s="55"/>
      <c r="D324" s="55"/>
      <c r="E324" s="55"/>
      <c r="F324" s="55"/>
      <c r="G324" s="55"/>
      <c r="H324" s="55"/>
      <c r="I324" s="55"/>
      <c r="J324" s="55"/>
      <c r="K324" s="55"/>
      <c r="L324" s="55"/>
      <c r="M324" s="55"/>
      <c r="N324" s="55"/>
      <c r="O324" s="55"/>
      <c r="P324" s="55"/>
      <c r="Q324" s="55"/>
      <c r="R324" s="55"/>
      <c r="S324" s="55"/>
      <c r="T324" s="55"/>
      <c r="U324" s="55"/>
      <c r="V324" s="55"/>
      <c r="W324" s="55"/>
      <c r="X324" s="55"/>
      <c r="Y324" s="55"/>
      <c r="Z324" s="55"/>
    </row>
    <row r="325" spans="1:26" ht="15">
      <c r="A325" s="55"/>
      <c r="B325" s="55"/>
      <c r="C325" s="55"/>
      <c r="D325" s="55"/>
      <c r="E325" s="55"/>
      <c r="F325" s="55"/>
      <c r="G325" s="55"/>
      <c r="H325" s="55"/>
      <c r="I325" s="55"/>
      <c r="J325" s="55"/>
      <c r="K325" s="55"/>
      <c r="L325" s="55"/>
      <c r="M325" s="55"/>
      <c r="N325" s="55"/>
      <c r="O325" s="55"/>
      <c r="P325" s="55"/>
      <c r="Q325" s="55"/>
      <c r="R325" s="55"/>
      <c r="S325" s="55"/>
      <c r="T325" s="55"/>
      <c r="U325" s="55"/>
      <c r="V325" s="55"/>
      <c r="W325" s="55"/>
      <c r="X325" s="55"/>
      <c r="Y325" s="55"/>
      <c r="Z325" s="55"/>
    </row>
    <row r="326" spans="1:26" ht="15">
      <c r="A326" s="55"/>
      <c r="B326" s="55"/>
      <c r="C326" s="55"/>
      <c r="D326" s="55"/>
      <c r="E326" s="55"/>
      <c r="F326" s="55"/>
      <c r="G326" s="55"/>
      <c r="H326" s="55"/>
      <c r="I326" s="55"/>
      <c r="J326" s="55"/>
      <c r="K326" s="55"/>
      <c r="L326" s="55"/>
      <c r="M326" s="55"/>
      <c r="N326" s="55"/>
      <c r="O326" s="55"/>
      <c r="P326" s="55"/>
      <c r="Q326" s="55"/>
      <c r="R326" s="55"/>
      <c r="S326" s="55"/>
      <c r="T326" s="55"/>
      <c r="U326" s="55"/>
      <c r="V326" s="55"/>
      <c r="W326" s="55"/>
      <c r="X326" s="55"/>
      <c r="Y326" s="55"/>
      <c r="Z326" s="55"/>
    </row>
    <row r="327" spans="1:26" ht="15">
      <c r="A327" s="55"/>
      <c r="B327" s="55"/>
      <c r="C327" s="55"/>
      <c r="D327" s="55"/>
      <c r="E327" s="55"/>
      <c r="F327" s="55"/>
      <c r="G327" s="55"/>
      <c r="H327" s="55"/>
      <c r="I327" s="55"/>
      <c r="J327" s="55"/>
      <c r="K327" s="55"/>
      <c r="L327" s="55"/>
      <c r="M327" s="55"/>
      <c r="N327" s="55"/>
      <c r="O327" s="55"/>
      <c r="P327" s="55"/>
      <c r="Q327" s="55"/>
      <c r="R327" s="55"/>
      <c r="S327" s="55"/>
      <c r="T327" s="55"/>
      <c r="U327" s="55"/>
      <c r="V327" s="55"/>
      <c r="W327" s="55"/>
      <c r="X327" s="55"/>
      <c r="Y327" s="55"/>
      <c r="Z327" s="55"/>
    </row>
    <row r="328" spans="1:26" ht="15">
      <c r="A328" s="55"/>
      <c r="B328" s="55"/>
      <c r="C328" s="55"/>
      <c r="D328" s="55"/>
      <c r="E328" s="55"/>
      <c r="F328" s="55"/>
      <c r="G328" s="55"/>
      <c r="H328" s="55"/>
      <c r="I328" s="55"/>
      <c r="J328" s="55"/>
      <c r="K328" s="55"/>
      <c r="L328" s="55"/>
      <c r="M328" s="55"/>
      <c r="N328" s="55"/>
      <c r="O328" s="55"/>
      <c r="P328" s="55"/>
      <c r="Q328" s="55"/>
      <c r="R328" s="55"/>
      <c r="S328" s="55"/>
      <c r="T328" s="55"/>
      <c r="U328" s="55"/>
      <c r="V328" s="55"/>
      <c r="W328" s="55"/>
      <c r="X328" s="55"/>
      <c r="Y328" s="55"/>
      <c r="Z328" s="55"/>
    </row>
    <row r="329" spans="1:26" ht="15">
      <c r="A329" s="55"/>
      <c r="B329" s="55"/>
      <c r="C329" s="55"/>
      <c r="D329" s="55"/>
      <c r="E329" s="55"/>
      <c r="F329" s="55"/>
      <c r="G329" s="55"/>
      <c r="H329" s="55"/>
      <c r="I329" s="55"/>
      <c r="J329" s="55"/>
      <c r="K329" s="55"/>
      <c r="L329" s="55"/>
      <c r="M329" s="55"/>
      <c r="N329" s="55"/>
      <c r="O329" s="55"/>
      <c r="P329" s="55"/>
      <c r="Q329" s="55"/>
      <c r="R329" s="55"/>
      <c r="S329" s="55"/>
      <c r="T329" s="55"/>
      <c r="U329" s="55"/>
      <c r="V329" s="55"/>
      <c r="W329" s="55"/>
      <c r="X329" s="55"/>
      <c r="Y329" s="55"/>
      <c r="Z329" s="55"/>
    </row>
    <row r="330" spans="1:26" ht="15">
      <c r="A330" s="55"/>
      <c r="B330" s="55"/>
      <c r="C330" s="55"/>
      <c r="D330" s="55"/>
      <c r="E330" s="55"/>
      <c r="F330" s="55"/>
      <c r="G330" s="55"/>
      <c r="H330" s="55"/>
      <c r="I330" s="55"/>
      <c r="J330" s="55"/>
      <c r="K330" s="55"/>
      <c r="L330" s="55"/>
      <c r="M330" s="55"/>
      <c r="N330" s="55"/>
      <c r="O330" s="55"/>
      <c r="P330" s="55"/>
      <c r="Q330" s="55"/>
      <c r="R330" s="55"/>
      <c r="S330" s="55"/>
      <c r="T330" s="55"/>
      <c r="U330" s="55"/>
      <c r="V330" s="55"/>
      <c r="W330" s="55"/>
      <c r="X330" s="55"/>
      <c r="Y330" s="55"/>
      <c r="Z330" s="55"/>
    </row>
    <row r="331" spans="1:26" ht="15">
      <c r="A331" s="55"/>
      <c r="B331" s="55"/>
      <c r="C331" s="55"/>
      <c r="D331" s="55"/>
      <c r="E331" s="55"/>
      <c r="F331" s="55"/>
      <c r="G331" s="55"/>
      <c r="H331" s="55"/>
      <c r="I331" s="55"/>
      <c r="J331" s="55"/>
      <c r="K331" s="55"/>
      <c r="L331" s="55"/>
      <c r="M331" s="55"/>
      <c r="N331" s="55"/>
      <c r="O331" s="55"/>
      <c r="P331" s="55"/>
      <c r="Q331" s="55"/>
      <c r="R331" s="55"/>
      <c r="S331" s="55"/>
      <c r="T331" s="55"/>
      <c r="U331" s="55"/>
      <c r="V331" s="55"/>
      <c r="W331" s="55"/>
      <c r="X331" s="55"/>
      <c r="Y331" s="55"/>
      <c r="Z331" s="55"/>
    </row>
    <row r="332" spans="1:26" ht="15">
      <c r="A332" s="55"/>
      <c r="B332" s="55"/>
      <c r="C332" s="55"/>
      <c r="D332" s="55"/>
      <c r="E332" s="55"/>
      <c r="F332" s="55"/>
      <c r="G332" s="55"/>
      <c r="H332" s="55"/>
      <c r="I332" s="55"/>
      <c r="J332" s="55"/>
      <c r="K332" s="55"/>
      <c r="L332" s="55"/>
      <c r="M332" s="55"/>
      <c r="N332" s="55"/>
      <c r="O332" s="55"/>
      <c r="P332" s="55"/>
      <c r="Q332" s="55"/>
      <c r="R332" s="55"/>
      <c r="S332" s="55"/>
      <c r="T332" s="55"/>
      <c r="U332" s="55"/>
      <c r="V332" s="55"/>
      <c r="W332" s="55"/>
      <c r="X332" s="55"/>
      <c r="Y332" s="55"/>
      <c r="Z332" s="55"/>
    </row>
    <row r="333" spans="1:26" ht="15">
      <c r="A333" s="55"/>
      <c r="B333" s="55"/>
      <c r="C333" s="55"/>
      <c r="D333" s="55"/>
      <c r="E333" s="55"/>
      <c r="F333" s="55"/>
      <c r="G333" s="55"/>
      <c r="H333" s="55"/>
      <c r="I333" s="55"/>
      <c r="J333" s="55"/>
      <c r="K333" s="55"/>
      <c r="L333" s="55"/>
      <c r="M333" s="55"/>
      <c r="N333" s="55"/>
      <c r="O333" s="55"/>
      <c r="P333" s="55"/>
      <c r="Q333" s="55"/>
      <c r="R333" s="55"/>
      <c r="S333" s="55"/>
      <c r="T333" s="55"/>
      <c r="U333" s="55"/>
      <c r="V333" s="55"/>
      <c r="W333" s="55"/>
      <c r="X333" s="55"/>
      <c r="Y333" s="55"/>
      <c r="Z333" s="55"/>
    </row>
    <row r="334" spans="1:26" ht="15">
      <c r="A334" s="55"/>
      <c r="B334" s="55"/>
      <c r="C334" s="55"/>
      <c r="D334" s="55"/>
      <c r="E334" s="55"/>
      <c r="F334" s="55"/>
      <c r="G334" s="55"/>
      <c r="H334" s="55"/>
      <c r="I334" s="55"/>
      <c r="J334" s="55"/>
      <c r="K334" s="55"/>
      <c r="L334" s="55"/>
      <c r="M334" s="55"/>
      <c r="N334" s="55"/>
      <c r="O334" s="55"/>
      <c r="P334" s="55"/>
      <c r="Q334" s="55"/>
      <c r="R334" s="55"/>
      <c r="S334" s="55"/>
      <c r="T334" s="55"/>
      <c r="U334" s="55"/>
      <c r="V334" s="55"/>
      <c r="W334" s="55"/>
      <c r="X334" s="55"/>
      <c r="Y334" s="55"/>
      <c r="Z334" s="55"/>
    </row>
    <row r="335" spans="1:26" ht="15">
      <c r="A335" s="55"/>
      <c r="B335" s="55"/>
      <c r="C335" s="55"/>
      <c r="D335" s="55"/>
      <c r="E335" s="55"/>
      <c r="F335" s="55"/>
      <c r="G335" s="55"/>
      <c r="H335" s="55"/>
      <c r="I335" s="55"/>
      <c r="J335" s="55"/>
      <c r="K335" s="55"/>
      <c r="L335" s="55"/>
      <c r="M335" s="55"/>
      <c r="N335" s="55"/>
      <c r="O335" s="55"/>
      <c r="P335" s="55"/>
      <c r="Q335" s="55"/>
      <c r="R335" s="55"/>
      <c r="S335" s="55"/>
      <c r="T335" s="55"/>
      <c r="U335" s="55"/>
      <c r="V335" s="55"/>
      <c r="W335" s="55"/>
      <c r="X335" s="55"/>
      <c r="Y335" s="55"/>
      <c r="Z335" s="55"/>
    </row>
    <row r="336" spans="1:26" ht="15">
      <c r="A336" s="55"/>
      <c r="B336" s="55"/>
      <c r="C336" s="55"/>
      <c r="D336" s="55"/>
      <c r="E336" s="55"/>
      <c r="F336" s="55"/>
      <c r="G336" s="55"/>
      <c r="H336" s="55"/>
      <c r="I336" s="55"/>
      <c r="J336" s="55"/>
      <c r="K336" s="55"/>
      <c r="L336" s="55"/>
      <c r="M336" s="55"/>
      <c r="N336" s="55"/>
      <c r="O336" s="55"/>
      <c r="P336" s="55"/>
      <c r="Q336" s="55"/>
      <c r="R336" s="55"/>
      <c r="S336" s="55"/>
      <c r="T336" s="55"/>
      <c r="U336" s="55"/>
      <c r="V336" s="55"/>
      <c r="W336" s="55"/>
      <c r="X336" s="55"/>
      <c r="Y336" s="55"/>
      <c r="Z336" s="55"/>
    </row>
    <row r="337" spans="1:26" ht="15">
      <c r="A337" s="55"/>
      <c r="B337" s="55"/>
      <c r="C337" s="55"/>
      <c r="D337" s="55"/>
      <c r="E337" s="55"/>
      <c r="F337" s="55"/>
      <c r="G337" s="55"/>
      <c r="H337" s="55"/>
      <c r="I337" s="55"/>
      <c r="J337" s="55"/>
      <c r="K337" s="55"/>
      <c r="L337" s="55"/>
      <c r="M337" s="55"/>
      <c r="N337" s="55"/>
      <c r="O337" s="55"/>
      <c r="P337" s="55"/>
      <c r="Q337" s="55"/>
      <c r="R337" s="55"/>
      <c r="S337" s="55"/>
      <c r="T337" s="55"/>
      <c r="U337" s="55"/>
      <c r="V337" s="55"/>
      <c r="W337" s="55"/>
      <c r="X337" s="55"/>
      <c r="Y337" s="55"/>
      <c r="Z337" s="55"/>
    </row>
    <row r="338" spans="1:26" ht="15">
      <c r="A338" s="55"/>
      <c r="B338" s="55"/>
      <c r="C338" s="55"/>
      <c r="D338" s="55"/>
      <c r="E338" s="55"/>
      <c r="F338" s="55"/>
      <c r="G338" s="55"/>
      <c r="H338" s="55"/>
      <c r="I338" s="55"/>
      <c r="J338" s="55"/>
      <c r="K338" s="55"/>
      <c r="L338" s="55"/>
      <c r="M338" s="55"/>
      <c r="N338" s="55"/>
      <c r="O338" s="55"/>
      <c r="P338" s="55"/>
      <c r="Q338" s="55"/>
      <c r="R338" s="55"/>
      <c r="S338" s="55"/>
      <c r="T338" s="55"/>
      <c r="U338" s="55"/>
      <c r="V338" s="55"/>
      <c r="W338" s="55"/>
      <c r="X338" s="55"/>
      <c r="Y338" s="55"/>
      <c r="Z338" s="55"/>
    </row>
    <row r="339" spans="1:26" ht="15">
      <c r="A339" s="55"/>
      <c r="B339" s="55"/>
      <c r="C339" s="55"/>
      <c r="D339" s="55"/>
      <c r="E339" s="55"/>
      <c r="F339" s="55"/>
      <c r="G339" s="55"/>
      <c r="H339" s="55"/>
      <c r="I339" s="55"/>
      <c r="J339" s="55"/>
      <c r="K339" s="55"/>
      <c r="L339" s="55"/>
      <c r="M339" s="55"/>
      <c r="N339" s="55"/>
      <c r="O339" s="55"/>
      <c r="P339" s="55"/>
      <c r="Q339" s="55"/>
      <c r="R339" s="55"/>
      <c r="S339" s="55"/>
      <c r="T339" s="55"/>
      <c r="U339" s="55"/>
      <c r="V339" s="55"/>
      <c r="W339" s="55"/>
      <c r="X339" s="55"/>
      <c r="Y339" s="55"/>
      <c r="Z339" s="55"/>
    </row>
    <row r="340" spans="1:26" ht="15">
      <c r="A340" s="55"/>
      <c r="B340" s="55"/>
      <c r="C340" s="55"/>
      <c r="D340" s="55"/>
      <c r="E340" s="55"/>
      <c r="F340" s="55"/>
      <c r="G340" s="55"/>
      <c r="H340" s="55"/>
      <c r="I340" s="55"/>
      <c r="J340" s="55"/>
      <c r="K340" s="55"/>
      <c r="L340" s="55"/>
      <c r="M340" s="55"/>
      <c r="N340" s="55"/>
      <c r="O340" s="55"/>
      <c r="P340" s="55"/>
      <c r="Q340" s="55"/>
      <c r="R340" s="55"/>
      <c r="S340" s="55"/>
      <c r="T340" s="55"/>
      <c r="U340" s="55"/>
      <c r="V340" s="55"/>
      <c r="W340" s="55"/>
      <c r="X340" s="55"/>
      <c r="Y340" s="55"/>
      <c r="Z340" s="55"/>
    </row>
    <row r="341" spans="1:26" ht="15">
      <c r="A341" s="55"/>
      <c r="B341" s="55"/>
      <c r="C341" s="55"/>
      <c r="D341" s="55"/>
      <c r="E341" s="55"/>
      <c r="F341" s="55"/>
      <c r="G341" s="55"/>
      <c r="H341" s="55"/>
      <c r="I341" s="55"/>
      <c r="J341" s="55"/>
      <c r="K341" s="55"/>
      <c r="L341" s="55"/>
      <c r="M341" s="55"/>
      <c r="N341" s="55"/>
      <c r="O341" s="55"/>
      <c r="P341" s="55"/>
      <c r="Q341" s="55"/>
      <c r="R341" s="55"/>
      <c r="S341" s="55"/>
      <c r="T341" s="55"/>
      <c r="U341" s="55"/>
      <c r="V341" s="55"/>
      <c r="W341" s="55"/>
      <c r="X341" s="55"/>
      <c r="Y341" s="55"/>
      <c r="Z341" s="55"/>
    </row>
    <row r="342" spans="1:26" ht="15">
      <c r="A342" s="55"/>
      <c r="B342" s="55"/>
      <c r="C342" s="55"/>
      <c r="D342" s="55"/>
      <c r="E342" s="55"/>
      <c r="F342" s="55"/>
      <c r="G342" s="55"/>
      <c r="H342" s="55"/>
      <c r="I342" s="55"/>
      <c r="J342" s="55"/>
      <c r="K342" s="55"/>
      <c r="L342" s="55"/>
      <c r="M342" s="55"/>
      <c r="N342" s="55"/>
      <c r="O342" s="55"/>
      <c r="P342" s="55"/>
      <c r="Q342" s="55"/>
      <c r="R342" s="55"/>
      <c r="S342" s="55"/>
      <c r="T342" s="55"/>
      <c r="U342" s="55"/>
      <c r="V342" s="55"/>
      <c r="W342" s="55"/>
      <c r="X342" s="55"/>
      <c r="Y342" s="55"/>
      <c r="Z342" s="55"/>
    </row>
    <row r="343" spans="1:26" ht="15">
      <c r="A343" s="55"/>
      <c r="B343" s="55"/>
      <c r="C343" s="55"/>
      <c r="D343" s="55"/>
      <c r="E343" s="55"/>
      <c r="F343" s="55"/>
      <c r="G343" s="55"/>
      <c r="H343" s="55"/>
      <c r="I343" s="55"/>
      <c r="J343" s="55"/>
      <c r="K343" s="55"/>
      <c r="L343" s="55"/>
      <c r="M343" s="55"/>
      <c r="N343" s="55"/>
      <c r="O343" s="55"/>
      <c r="P343" s="55"/>
      <c r="Q343" s="55"/>
      <c r="R343" s="55"/>
      <c r="S343" s="55"/>
      <c r="T343" s="55"/>
      <c r="U343" s="55"/>
      <c r="V343" s="55"/>
      <c r="W343" s="55"/>
      <c r="X343" s="55"/>
      <c r="Y343" s="55"/>
      <c r="Z343" s="55"/>
    </row>
    <row r="344" spans="1:26" ht="15">
      <c r="A344" s="55"/>
      <c r="B344" s="55"/>
      <c r="C344" s="55"/>
      <c r="D344" s="55"/>
      <c r="E344" s="55"/>
      <c r="F344" s="55"/>
      <c r="G344" s="55"/>
      <c r="H344" s="55"/>
      <c r="I344" s="55"/>
      <c r="J344" s="55"/>
      <c r="K344" s="55"/>
      <c r="L344" s="55"/>
      <c r="M344" s="55"/>
      <c r="N344" s="55"/>
      <c r="O344" s="55"/>
      <c r="P344" s="55"/>
      <c r="Q344" s="55"/>
      <c r="R344" s="55"/>
      <c r="S344" s="55"/>
      <c r="T344" s="55"/>
      <c r="U344" s="55"/>
      <c r="V344" s="55"/>
      <c r="W344" s="55"/>
      <c r="X344" s="55"/>
      <c r="Y344" s="55"/>
      <c r="Z344" s="55"/>
    </row>
    <row r="345" spans="1:26" ht="15">
      <c r="A345" s="55"/>
      <c r="B345" s="55"/>
      <c r="C345" s="55"/>
      <c r="D345" s="55"/>
      <c r="E345" s="55"/>
      <c r="F345" s="55"/>
      <c r="G345" s="55"/>
      <c r="H345" s="55"/>
      <c r="I345" s="55"/>
      <c r="J345" s="55"/>
      <c r="K345" s="55"/>
      <c r="L345" s="55"/>
      <c r="M345" s="55"/>
      <c r="N345" s="55"/>
      <c r="O345" s="55"/>
      <c r="P345" s="55"/>
      <c r="Q345" s="55"/>
      <c r="R345" s="55"/>
      <c r="S345" s="55"/>
      <c r="T345" s="55"/>
      <c r="U345" s="55"/>
      <c r="V345" s="55"/>
      <c r="W345" s="55"/>
      <c r="X345" s="55"/>
      <c r="Y345" s="55"/>
      <c r="Z345" s="55"/>
    </row>
    <row r="346" spans="1:26" ht="15">
      <c r="A346" s="55"/>
      <c r="B346" s="55"/>
      <c r="C346" s="55"/>
      <c r="D346" s="55"/>
      <c r="E346" s="55"/>
      <c r="F346" s="55"/>
      <c r="G346" s="55"/>
      <c r="H346" s="55"/>
      <c r="I346" s="55"/>
      <c r="J346" s="55"/>
      <c r="K346" s="55"/>
      <c r="L346" s="55"/>
      <c r="M346" s="55"/>
      <c r="N346" s="55"/>
      <c r="O346" s="55"/>
      <c r="P346" s="55"/>
      <c r="Q346" s="55"/>
      <c r="R346" s="55"/>
      <c r="S346" s="55"/>
      <c r="T346" s="55"/>
      <c r="U346" s="55"/>
      <c r="V346" s="55"/>
      <c r="W346" s="55"/>
      <c r="X346" s="55"/>
      <c r="Y346" s="55"/>
      <c r="Z346" s="55"/>
    </row>
    <row r="347" spans="1:26" ht="15">
      <c r="A347" s="55"/>
      <c r="B347" s="55"/>
      <c r="C347" s="55"/>
      <c r="D347" s="55"/>
      <c r="E347" s="55"/>
      <c r="F347" s="55"/>
      <c r="G347" s="55"/>
      <c r="H347" s="55"/>
      <c r="I347" s="55"/>
      <c r="J347" s="55"/>
      <c r="K347" s="55"/>
      <c r="L347" s="55"/>
      <c r="M347" s="55"/>
      <c r="N347" s="55"/>
      <c r="O347" s="55"/>
      <c r="P347" s="55"/>
      <c r="Q347" s="55"/>
      <c r="R347" s="55"/>
      <c r="S347" s="55"/>
      <c r="T347" s="55"/>
      <c r="U347" s="55"/>
      <c r="V347" s="55"/>
      <c r="W347" s="55"/>
      <c r="X347" s="55"/>
      <c r="Y347" s="55"/>
      <c r="Z347" s="55"/>
    </row>
    <row r="348" spans="1:26" ht="15">
      <c r="A348" s="55"/>
      <c r="B348" s="55"/>
      <c r="C348" s="55"/>
      <c r="D348" s="55"/>
      <c r="E348" s="55"/>
      <c r="F348" s="55"/>
      <c r="G348" s="55"/>
      <c r="H348" s="55"/>
      <c r="I348" s="55"/>
      <c r="J348" s="55"/>
      <c r="K348" s="55"/>
      <c r="L348" s="55"/>
      <c r="M348" s="55"/>
      <c r="N348" s="55"/>
      <c r="O348" s="55"/>
      <c r="P348" s="55"/>
      <c r="Q348" s="55"/>
      <c r="R348" s="55"/>
      <c r="S348" s="55"/>
      <c r="T348" s="55"/>
      <c r="U348" s="55"/>
      <c r="V348" s="55"/>
      <c r="W348" s="55"/>
      <c r="X348" s="55"/>
      <c r="Y348" s="55"/>
      <c r="Z348" s="55"/>
    </row>
    <row r="349" spans="1:26" ht="15">
      <c r="A349" s="55"/>
      <c r="B349" s="55"/>
      <c r="C349" s="55"/>
      <c r="D349" s="55"/>
      <c r="E349" s="55"/>
      <c r="F349" s="55"/>
      <c r="G349" s="55"/>
      <c r="H349" s="55"/>
      <c r="I349" s="55"/>
      <c r="J349" s="55"/>
      <c r="K349" s="55"/>
      <c r="L349" s="55"/>
      <c r="M349" s="55"/>
      <c r="N349" s="55"/>
      <c r="O349" s="55"/>
      <c r="P349" s="55"/>
      <c r="Q349" s="55"/>
      <c r="R349" s="55"/>
      <c r="S349" s="55"/>
      <c r="T349" s="55"/>
      <c r="U349" s="55"/>
      <c r="V349" s="55"/>
      <c r="W349" s="55"/>
      <c r="X349" s="55"/>
      <c r="Y349" s="55"/>
      <c r="Z349" s="55"/>
    </row>
    <row r="350" spans="1:26" ht="15">
      <c r="A350" s="55"/>
      <c r="B350" s="55"/>
      <c r="C350" s="55"/>
      <c r="D350" s="55"/>
      <c r="E350" s="55"/>
      <c r="F350" s="55"/>
      <c r="G350" s="55"/>
      <c r="H350" s="55"/>
      <c r="I350" s="55"/>
      <c r="J350" s="55"/>
      <c r="K350" s="55"/>
      <c r="L350" s="55"/>
      <c r="M350" s="55"/>
      <c r="N350" s="55"/>
      <c r="O350" s="55"/>
      <c r="P350" s="55"/>
      <c r="Q350" s="55"/>
      <c r="R350" s="55"/>
      <c r="S350" s="55"/>
      <c r="T350" s="55"/>
      <c r="U350" s="55"/>
      <c r="V350" s="55"/>
      <c r="W350" s="55"/>
      <c r="X350" s="55"/>
      <c r="Y350" s="55"/>
      <c r="Z350" s="55"/>
    </row>
    <row r="351" spans="1:26" ht="15">
      <c r="A351" s="55"/>
      <c r="B351" s="55"/>
      <c r="C351" s="55"/>
      <c r="D351" s="55"/>
      <c r="E351" s="55"/>
      <c r="F351" s="55"/>
      <c r="G351" s="55"/>
      <c r="H351" s="55"/>
      <c r="I351" s="55"/>
      <c r="J351" s="55"/>
      <c r="K351" s="55"/>
      <c r="L351" s="55"/>
      <c r="M351" s="55"/>
      <c r="N351" s="55"/>
      <c r="O351" s="55"/>
      <c r="P351" s="55"/>
      <c r="Q351" s="55"/>
      <c r="R351" s="55"/>
      <c r="S351" s="55"/>
      <c r="T351" s="55"/>
      <c r="U351" s="55"/>
      <c r="V351" s="55"/>
      <c r="W351" s="55"/>
      <c r="X351" s="55"/>
      <c r="Y351" s="55"/>
      <c r="Z351" s="55"/>
    </row>
    <row r="352" spans="1:26" ht="15">
      <c r="A352" s="55"/>
      <c r="B352" s="55"/>
      <c r="C352" s="55"/>
      <c r="D352" s="55"/>
      <c r="E352" s="55"/>
      <c r="F352" s="55"/>
      <c r="G352" s="55"/>
      <c r="H352" s="55"/>
      <c r="I352" s="55"/>
      <c r="J352" s="55"/>
      <c r="K352" s="55"/>
      <c r="L352" s="55"/>
      <c r="M352" s="55"/>
      <c r="N352" s="55"/>
      <c r="O352" s="55"/>
      <c r="P352" s="55"/>
      <c r="Q352" s="55"/>
      <c r="R352" s="55"/>
      <c r="S352" s="55"/>
      <c r="T352" s="55"/>
      <c r="U352" s="55"/>
      <c r="V352" s="55"/>
      <c r="W352" s="55"/>
      <c r="X352" s="55"/>
      <c r="Y352" s="55"/>
      <c r="Z352" s="55"/>
    </row>
    <row r="353" spans="1:26" ht="15">
      <c r="A353" s="55"/>
      <c r="B353" s="55"/>
      <c r="C353" s="55"/>
      <c r="D353" s="55"/>
      <c r="E353" s="55"/>
      <c r="F353" s="55"/>
      <c r="G353" s="55"/>
      <c r="H353" s="55"/>
      <c r="I353" s="55"/>
      <c r="J353" s="55"/>
      <c r="K353" s="55"/>
      <c r="L353" s="55"/>
      <c r="M353" s="55"/>
      <c r="N353" s="55"/>
      <c r="O353" s="55"/>
      <c r="P353" s="55"/>
      <c r="Q353" s="55"/>
      <c r="R353" s="55"/>
      <c r="S353" s="55"/>
      <c r="T353" s="55"/>
      <c r="U353" s="55"/>
      <c r="V353" s="55"/>
      <c r="W353" s="55"/>
      <c r="X353" s="55"/>
      <c r="Y353" s="55"/>
      <c r="Z353" s="55"/>
    </row>
    <row r="354" spans="1:26" ht="15">
      <c r="A354" s="55"/>
      <c r="B354" s="55"/>
      <c r="C354" s="55"/>
      <c r="D354" s="55"/>
      <c r="E354" s="55"/>
      <c r="F354" s="55"/>
      <c r="G354" s="55"/>
      <c r="H354" s="55"/>
      <c r="I354" s="55"/>
      <c r="J354" s="55"/>
      <c r="K354" s="55"/>
      <c r="L354" s="55"/>
      <c r="M354" s="55"/>
      <c r="N354" s="55"/>
      <c r="O354" s="55"/>
      <c r="P354" s="55"/>
      <c r="Q354" s="55"/>
      <c r="R354" s="55"/>
      <c r="S354" s="55"/>
      <c r="T354" s="55"/>
      <c r="U354" s="55"/>
      <c r="V354" s="55"/>
      <c r="W354" s="55"/>
      <c r="X354" s="55"/>
      <c r="Y354" s="55"/>
      <c r="Z354" s="55"/>
    </row>
    <row r="355" spans="1:26" ht="15">
      <c r="A355" s="55"/>
      <c r="B355" s="55"/>
      <c r="C355" s="55"/>
      <c r="D355" s="55"/>
      <c r="E355" s="55"/>
      <c r="F355" s="55"/>
      <c r="G355" s="55"/>
      <c r="H355" s="55"/>
      <c r="I355" s="55"/>
      <c r="J355" s="55"/>
      <c r="K355" s="55"/>
      <c r="L355" s="55"/>
      <c r="M355" s="55"/>
      <c r="N355" s="55"/>
      <c r="O355" s="55"/>
      <c r="P355" s="55"/>
      <c r="Q355" s="55"/>
      <c r="R355" s="55"/>
      <c r="S355" s="55"/>
      <c r="T355" s="55"/>
      <c r="U355" s="55"/>
      <c r="V355" s="55"/>
      <c r="W355" s="55"/>
      <c r="X355" s="55"/>
      <c r="Y355" s="55"/>
      <c r="Z355" s="55"/>
    </row>
    <row r="356" spans="1:26" ht="15">
      <c r="A356" s="55"/>
      <c r="B356" s="55"/>
      <c r="C356" s="55"/>
      <c r="D356" s="55"/>
      <c r="E356" s="55"/>
      <c r="F356" s="55"/>
      <c r="G356" s="55"/>
      <c r="H356" s="55"/>
      <c r="I356" s="55"/>
      <c r="J356" s="55"/>
      <c r="K356" s="55"/>
      <c r="L356" s="55"/>
      <c r="M356" s="55"/>
      <c r="N356" s="55"/>
      <c r="O356" s="55"/>
      <c r="P356" s="55"/>
      <c r="Q356" s="55"/>
      <c r="R356" s="55"/>
      <c r="S356" s="55"/>
      <c r="T356" s="55"/>
      <c r="U356" s="55"/>
      <c r="V356" s="55"/>
      <c r="W356" s="55"/>
      <c r="X356" s="55"/>
      <c r="Y356" s="55"/>
      <c r="Z356" s="55"/>
    </row>
    <row r="357" spans="1:26" ht="15">
      <c r="A357" s="55"/>
      <c r="B357" s="55"/>
      <c r="C357" s="55"/>
      <c r="D357" s="55"/>
      <c r="E357" s="55"/>
      <c r="F357" s="55"/>
      <c r="G357" s="55"/>
      <c r="H357" s="55"/>
      <c r="I357" s="55"/>
      <c r="J357" s="55"/>
      <c r="K357" s="55"/>
      <c r="L357" s="55"/>
      <c r="M357" s="55"/>
      <c r="N357" s="55"/>
      <c r="O357" s="55"/>
      <c r="P357" s="55"/>
      <c r="Q357" s="55"/>
      <c r="R357" s="55"/>
      <c r="S357" s="55"/>
      <c r="T357" s="55"/>
      <c r="U357" s="55"/>
      <c r="V357" s="55"/>
      <c r="W357" s="55"/>
      <c r="X357" s="55"/>
      <c r="Y357" s="55"/>
      <c r="Z357" s="55"/>
    </row>
    <row r="358" spans="1:26" ht="15">
      <c r="A358" s="55"/>
      <c r="B358" s="55"/>
      <c r="C358" s="55"/>
      <c r="D358" s="55"/>
      <c r="E358" s="55"/>
      <c r="F358" s="55"/>
      <c r="G358" s="55"/>
      <c r="H358" s="55"/>
      <c r="I358" s="55"/>
      <c r="J358" s="55"/>
      <c r="K358" s="55"/>
      <c r="L358" s="55"/>
      <c r="M358" s="55"/>
      <c r="N358" s="55"/>
      <c r="O358" s="55"/>
      <c r="P358" s="55"/>
      <c r="Q358" s="55"/>
      <c r="R358" s="55"/>
      <c r="S358" s="55"/>
      <c r="T358" s="55"/>
      <c r="U358" s="55"/>
      <c r="V358" s="55"/>
      <c r="W358" s="55"/>
      <c r="X358" s="55"/>
      <c r="Y358" s="55"/>
      <c r="Z358" s="55"/>
    </row>
    <row r="359" spans="1:26" ht="15">
      <c r="A359" s="55"/>
      <c r="B359" s="55"/>
      <c r="C359" s="55"/>
      <c r="D359" s="55"/>
      <c r="E359" s="55"/>
      <c r="F359" s="55"/>
      <c r="G359" s="55"/>
      <c r="H359" s="55"/>
      <c r="I359" s="55"/>
      <c r="J359" s="55"/>
      <c r="K359" s="55"/>
      <c r="L359" s="55"/>
      <c r="M359" s="55"/>
      <c r="N359" s="55"/>
      <c r="O359" s="55"/>
      <c r="P359" s="55"/>
      <c r="Q359" s="55"/>
      <c r="R359" s="55"/>
      <c r="S359" s="55"/>
      <c r="T359" s="55"/>
      <c r="U359" s="55"/>
      <c r="V359" s="55"/>
      <c r="W359" s="55"/>
      <c r="X359" s="55"/>
      <c r="Y359" s="55"/>
      <c r="Z359" s="55"/>
    </row>
    <row r="360" spans="1:26" ht="15">
      <c r="A360" s="55"/>
      <c r="B360" s="55"/>
      <c r="C360" s="55"/>
      <c r="D360" s="55"/>
      <c r="E360" s="55"/>
      <c r="F360" s="55"/>
      <c r="G360" s="55"/>
      <c r="H360" s="55"/>
      <c r="I360" s="55"/>
      <c r="J360" s="55"/>
      <c r="K360" s="55"/>
      <c r="L360" s="55"/>
      <c r="M360" s="55"/>
      <c r="N360" s="55"/>
      <c r="O360" s="55"/>
      <c r="P360" s="55"/>
      <c r="Q360" s="55"/>
      <c r="R360" s="55"/>
      <c r="S360" s="55"/>
      <c r="T360" s="55"/>
      <c r="U360" s="55"/>
      <c r="V360" s="55"/>
      <c r="W360" s="55"/>
      <c r="X360" s="55"/>
      <c r="Y360" s="55"/>
      <c r="Z360" s="55"/>
    </row>
    <row r="361" spans="1:26" ht="15">
      <c r="A361" s="55"/>
      <c r="B361" s="55"/>
      <c r="C361" s="55"/>
      <c r="D361" s="55"/>
      <c r="E361" s="55"/>
      <c r="F361" s="55"/>
      <c r="G361" s="55"/>
      <c r="H361" s="55"/>
      <c r="I361" s="55"/>
      <c r="J361" s="55"/>
      <c r="K361" s="55"/>
      <c r="L361" s="55"/>
      <c r="M361" s="55"/>
      <c r="N361" s="55"/>
      <c r="O361" s="55"/>
      <c r="P361" s="55"/>
      <c r="Q361" s="55"/>
      <c r="R361" s="55"/>
      <c r="S361" s="55"/>
      <c r="T361" s="55"/>
      <c r="U361" s="55"/>
      <c r="V361" s="55"/>
      <c r="W361" s="55"/>
      <c r="X361" s="55"/>
      <c r="Y361" s="55"/>
      <c r="Z361" s="55"/>
    </row>
    <row r="362" spans="1:26" ht="15">
      <c r="A362" s="55"/>
      <c r="B362" s="55"/>
      <c r="C362" s="55"/>
      <c r="D362" s="55"/>
      <c r="E362" s="55"/>
      <c r="F362" s="55"/>
      <c r="G362" s="55"/>
      <c r="H362" s="55"/>
      <c r="I362" s="55"/>
      <c r="J362" s="55"/>
      <c r="K362" s="55"/>
      <c r="L362" s="55"/>
      <c r="M362" s="55"/>
      <c r="N362" s="55"/>
      <c r="O362" s="55"/>
      <c r="P362" s="55"/>
      <c r="Q362" s="55"/>
      <c r="R362" s="55"/>
      <c r="S362" s="55"/>
      <c r="T362" s="55"/>
      <c r="U362" s="55"/>
      <c r="V362" s="55"/>
      <c r="W362" s="55"/>
      <c r="X362" s="55"/>
      <c r="Y362" s="55"/>
      <c r="Z362" s="55"/>
    </row>
    <row r="363" spans="1:26" ht="15">
      <c r="A363" s="55"/>
      <c r="B363" s="55"/>
      <c r="C363" s="55"/>
      <c r="D363" s="55"/>
      <c r="E363" s="55"/>
      <c r="F363" s="55"/>
      <c r="G363" s="55"/>
      <c r="H363" s="55"/>
      <c r="I363" s="55"/>
      <c r="J363" s="55"/>
      <c r="K363" s="55"/>
      <c r="L363" s="55"/>
      <c r="M363" s="55"/>
      <c r="N363" s="55"/>
      <c r="O363" s="55"/>
      <c r="P363" s="55"/>
      <c r="Q363" s="55"/>
      <c r="R363" s="55"/>
      <c r="S363" s="55"/>
      <c r="T363" s="55"/>
      <c r="U363" s="55"/>
      <c r="V363" s="55"/>
      <c r="W363" s="55"/>
      <c r="X363" s="55"/>
      <c r="Y363" s="55"/>
      <c r="Z363" s="55"/>
    </row>
    <row r="364" spans="1:26" ht="15">
      <c r="A364" s="55"/>
      <c r="B364" s="55"/>
      <c r="C364" s="55"/>
      <c r="D364" s="55"/>
      <c r="E364" s="55"/>
      <c r="F364" s="55"/>
      <c r="G364" s="55"/>
      <c r="H364" s="55"/>
      <c r="I364" s="55"/>
      <c r="J364" s="55"/>
      <c r="K364" s="55"/>
      <c r="L364" s="55"/>
      <c r="M364" s="55"/>
      <c r="N364" s="55"/>
      <c r="O364" s="55"/>
      <c r="P364" s="55"/>
      <c r="Q364" s="55"/>
      <c r="R364" s="55"/>
      <c r="S364" s="55"/>
      <c r="T364" s="55"/>
      <c r="U364" s="55"/>
      <c r="V364" s="55"/>
      <c r="W364" s="55"/>
      <c r="X364" s="55"/>
      <c r="Y364" s="55"/>
      <c r="Z364" s="55"/>
    </row>
    <row r="365" spans="1:26" ht="15">
      <c r="A365" s="55"/>
      <c r="B365" s="55"/>
      <c r="C365" s="55"/>
      <c r="D365" s="55"/>
      <c r="E365" s="55"/>
      <c r="F365" s="55"/>
      <c r="G365" s="55"/>
      <c r="H365" s="55"/>
      <c r="I365" s="55"/>
      <c r="J365" s="55"/>
      <c r="K365" s="55"/>
      <c r="L365" s="55"/>
      <c r="M365" s="55"/>
      <c r="N365" s="55"/>
      <c r="O365" s="55"/>
      <c r="P365" s="55"/>
      <c r="Q365" s="55"/>
      <c r="R365" s="55"/>
      <c r="S365" s="55"/>
      <c r="T365" s="55"/>
      <c r="U365" s="55"/>
      <c r="V365" s="55"/>
      <c r="W365" s="55"/>
      <c r="X365" s="55"/>
      <c r="Y365" s="55"/>
      <c r="Z365" s="55"/>
    </row>
    <row r="366" spans="1:26" ht="15">
      <c r="A366" s="55"/>
      <c r="B366" s="55"/>
      <c r="C366" s="55"/>
      <c r="D366" s="55"/>
      <c r="E366" s="55"/>
      <c r="F366" s="55"/>
      <c r="G366" s="55"/>
      <c r="H366" s="55"/>
      <c r="I366" s="55"/>
      <c r="J366" s="55"/>
      <c r="K366" s="55"/>
      <c r="L366" s="55"/>
      <c r="M366" s="55"/>
      <c r="N366" s="55"/>
      <c r="O366" s="55"/>
      <c r="P366" s="55"/>
      <c r="Q366" s="55"/>
      <c r="R366" s="55"/>
      <c r="S366" s="55"/>
      <c r="T366" s="55"/>
      <c r="U366" s="55"/>
      <c r="V366" s="55"/>
      <c r="W366" s="55"/>
      <c r="X366" s="55"/>
      <c r="Y366" s="55"/>
      <c r="Z366" s="55"/>
    </row>
    <row r="367" spans="1:26" ht="15">
      <c r="A367" s="55"/>
      <c r="B367" s="55"/>
      <c r="C367" s="55"/>
      <c r="D367" s="55"/>
      <c r="E367" s="55"/>
      <c r="F367" s="55"/>
      <c r="G367" s="55"/>
      <c r="H367" s="55"/>
      <c r="I367" s="55"/>
      <c r="J367" s="55"/>
      <c r="K367" s="55"/>
      <c r="L367" s="55"/>
      <c r="M367" s="55"/>
      <c r="N367" s="55"/>
      <c r="O367" s="55"/>
      <c r="P367" s="55"/>
      <c r="Q367" s="55"/>
      <c r="R367" s="55"/>
      <c r="S367" s="55"/>
      <c r="T367" s="55"/>
      <c r="U367" s="55"/>
      <c r="V367" s="55"/>
      <c r="W367" s="55"/>
      <c r="X367" s="55"/>
      <c r="Y367" s="55"/>
      <c r="Z367" s="55"/>
    </row>
    <row r="368" spans="1:26" ht="15">
      <c r="A368" s="55"/>
      <c r="B368" s="55"/>
      <c r="C368" s="55"/>
      <c r="D368" s="55"/>
      <c r="E368" s="55"/>
      <c r="F368" s="55"/>
      <c r="G368" s="55"/>
      <c r="H368" s="55"/>
      <c r="I368" s="55"/>
      <c r="J368" s="55"/>
      <c r="K368" s="55"/>
      <c r="L368" s="55"/>
      <c r="M368" s="55"/>
      <c r="N368" s="55"/>
      <c r="O368" s="55"/>
      <c r="P368" s="55"/>
      <c r="Q368" s="55"/>
      <c r="R368" s="55"/>
      <c r="S368" s="55"/>
      <c r="T368" s="55"/>
      <c r="U368" s="55"/>
      <c r="V368" s="55"/>
      <c r="W368" s="55"/>
      <c r="X368" s="55"/>
      <c r="Y368" s="55"/>
      <c r="Z368" s="55"/>
    </row>
    <row r="369" spans="1:26" ht="15">
      <c r="A369" s="55"/>
      <c r="B369" s="55"/>
      <c r="C369" s="55"/>
      <c r="D369" s="55"/>
      <c r="E369" s="55"/>
      <c r="F369" s="55"/>
      <c r="G369" s="55"/>
      <c r="H369" s="55"/>
      <c r="I369" s="55"/>
      <c r="J369" s="55"/>
      <c r="K369" s="55"/>
      <c r="L369" s="55"/>
      <c r="M369" s="55"/>
      <c r="N369" s="55"/>
      <c r="O369" s="55"/>
      <c r="P369" s="55"/>
      <c r="Q369" s="55"/>
      <c r="R369" s="55"/>
      <c r="S369" s="55"/>
      <c r="T369" s="55"/>
      <c r="U369" s="55"/>
      <c r="V369" s="55"/>
      <c r="W369" s="55"/>
      <c r="X369" s="55"/>
      <c r="Y369" s="55"/>
      <c r="Z369" s="55"/>
    </row>
    <row r="370" spans="1:26" ht="15">
      <c r="A370" s="55"/>
      <c r="B370" s="55"/>
      <c r="C370" s="55"/>
      <c r="D370" s="55"/>
      <c r="E370" s="55"/>
      <c r="F370" s="55"/>
      <c r="G370" s="55"/>
      <c r="H370" s="55"/>
      <c r="I370" s="55"/>
      <c r="J370" s="55"/>
      <c r="K370" s="55"/>
      <c r="L370" s="55"/>
      <c r="M370" s="55"/>
      <c r="N370" s="55"/>
      <c r="O370" s="55"/>
      <c r="P370" s="55"/>
      <c r="Q370" s="55"/>
      <c r="R370" s="55"/>
      <c r="S370" s="55"/>
      <c r="T370" s="55"/>
      <c r="U370" s="55"/>
      <c r="V370" s="55"/>
      <c r="W370" s="55"/>
      <c r="X370" s="55"/>
      <c r="Y370" s="55"/>
      <c r="Z370" s="55"/>
    </row>
    <row r="371" spans="1:26" ht="15">
      <c r="A371" s="55"/>
      <c r="B371" s="55"/>
      <c r="C371" s="55"/>
      <c r="D371" s="55"/>
      <c r="E371" s="55"/>
      <c r="F371" s="55"/>
      <c r="G371" s="55"/>
      <c r="H371" s="55"/>
      <c r="I371" s="55"/>
      <c r="J371" s="55"/>
      <c r="K371" s="55"/>
      <c r="L371" s="55"/>
      <c r="M371" s="55"/>
      <c r="N371" s="55"/>
      <c r="O371" s="55"/>
      <c r="P371" s="55"/>
      <c r="Q371" s="55"/>
      <c r="R371" s="55"/>
      <c r="S371" s="55"/>
      <c r="T371" s="55"/>
      <c r="U371" s="55"/>
      <c r="V371" s="55"/>
      <c r="W371" s="55"/>
      <c r="X371" s="55"/>
      <c r="Y371" s="55"/>
      <c r="Z371" s="55"/>
    </row>
    <row r="372" spans="1:26" ht="15">
      <c r="A372" s="55"/>
      <c r="B372" s="55"/>
      <c r="C372" s="55"/>
      <c r="D372" s="55"/>
      <c r="E372" s="55"/>
      <c r="F372" s="55"/>
      <c r="G372" s="55"/>
      <c r="H372" s="55"/>
      <c r="I372" s="55"/>
      <c r="J372" s="55"/>
      <c r="K372" s="55"/>
      <c r="L372" s="55"/>
      <c r="M372" s="55"/>
      <c r="N372" s="55"/>
      <c r="O372" s="55"/>
      <c r="P372" s="55"/>
      <c r="Q372" s="55"/>
      <c r="R372" s="55"/>
      <c r="S372" s="55"/>
      <c r="T372" s="55"/>
      <c r="U372" s="55"/>
      <c r="V372" s="55"/>
      <c r="W372" s="55"/>
      <c r="X372" s="55"/>
      <c r="Y372" s="55"/>
      <c r="Z372" s="55"/>
    </row>
    <row r="373" spans="1:26" ht="15">
      <c r="A373" s="55"/>
      <c r="B373" s="55"/>
      <c r="C373" s="55"/>
      <c r="D373" s="55"/>
      <c r="E373" s="55"/>
      <c r="F373" s="55"/>
      <c r="G373" s="55"/>
      <c r="H373" s="55"/>
      <c r="I373" s="55"/>
      <c r="J373" s="55"/>
      <c r="K373" s="55"/>
      <c r="L373" s="55"/>
      <c r="M373" s="55"/>
      <c r="N373" s="55"/>
      <c r="O373" s="55"/>
      <c r="P373" s="55"/>
      <c r="Q373" s="55"/>
      <c r="R373" s="55"/>
      <c r="S373" s="55"/>
      <c r="T373" s="55"/>
      <c r="U373" s="55"/>
      <c r="V373" s="55"/>
      <c r="W373" s="55"/>
      <c r="X373" s="55"/>
      <c r="Y373" s="55"/>
      <c r="Z373" s="55"/>
    </row>
    <row r="374" spans="1:26" ht="15">
      <c r="A374" s="55"/>
      <c r="B374" s="55"/>
      <c r="C374" s="55"/>
      <c r="D374" s="55"/>
      <c r="E374" s="55"/>
      <c r="F374" s="55"/>
      <c r="G374" s="55"/>
      <c r="H374" s="55"/>
      <c r="I374" s="55"/>
      <c r="J374" s="55"/>
      <c r="K374" s="55"/>
      <c r="L374" s="55"/>
      <c r="M374" s="55"/>
      <c r="N374" s="55"/>
      <c r="O374" s="55"/>
      <c r="P374" s="55"/>
      <c r="Q374" s="55"/>
      <c r="R374" s="55"/>
      <c r="S374" s="55"/>
      <c r="T374" s="55"/>
      <c r="U374" s="55"/>
      <c r="V374" s="55"/>
      <c r="W374" s="55"/>
      <c r="X374" s="55"/>
      <c r="Y374" s="55"/>
      <c r="Z374" s="55"/>
    </row>
    <row r="375" spans="1:26" ht="15">
      <c r="A375" s="55"/>
      <c r="B375" s="55"/>
      <c r="C375" s="55"/>
      <c r="D375" s="55"/>
      <c r="E375" s="55"/>
      <c r="F375" s="55"/>
      <c r="G375" s="55"/>
      <c r="H375" s="55"/>
      <c r="I375" s="55"/>
      <c r="J375" s="55"/>
      <c r="K375" s="55"/>
      <c r="L375" s="55"/>
      <c r="M375" s="55"/>
      <c r="N375" s="55"/>
      <c r="O375" s="55"/>
      <c r="P375" s="55"/>
      <c r="Q375" s="55"/>
      <c r="R375" s="55"/>
      <c r="S375" s="55"/>
      <c r="T375" s="55"/>
      <c r="U375" s="55"/>
      <c r="V375" s="55"/>
      <c r="W375" s="55"/>
      <c r="X375" s="55"/>
      <c r="Y375" s="55"/>
      <c r="Z375" s="55"/>
    </row>
    <row r="376" spans="1:26" ht="15">
      <c r="A376" s="55"/>
      <c r="B376" s="55"/>
      <c r="C376" s="55"/>
      <c r="D376" s="55"/>
      <c r="E376" s="55"/>
      <c r="F376" s="55"/>
      <c r="G376" s="55"/>
      <c r="H376" s="55"/>
      <c r="I376" s="55"/>
      <c r="J376" s="55"/>
      <c r="K376" s="55"/>
      <c r="L376" s="55"/>
      <c r="M376" s="55"/>
      <c r="N376" s="55"/>
      <c r="O376" s="55"/>
      <c r="P376" s="55"/>
      <c r="Q376" s="55"/>
      <c r="R376" s="55"/>
      <c r="S376" s="55"/>
      <c r="T376" s="55"/>
      <c r="U376" s="55"/>
      <c r="V376" s="55"/>
      <c r="W376" s="55"/>
      <c r="X376" s="55"/>
      <c r="Y376" s="55"/>
      <c r="Z376" s="55"/>
    </row>
    <row r="377" spans="1:26" ht="15">
      <c r="A377" s="55"/>
      <c r="B377" s="55"/>
      <c r="C377" s="55"/>
      <c r="D377" s="55"/>
      <c r="E377" s="55"/>
      <c r="F377" s="55"/>
      <c r="G377" s="55"/>
      <c r="H377" s="55"/>
      <c r="I377" s="55"/>
      <c r="J377" s="55"/>
      <c r="K377" s="55"/>
      <c r="L377" s="55"/>
      <c r="M377" s="55"/>
      <c r="N377" s="55"/>
      <c r="O377" s="55"/>
      <c r="P377" s="55"/>
      <c r="Q377" s="55"/>
      <c r="R377" s="55"/>
      <c r="S377" s="55"/>
      <c r="T377" s="55"/>
      <c r="U377" s="55"/>
      <c r="V377" s="55"/>
      <c r="W377" s="55"/>
      <c r="X377" s="55"/>
      <c r="Y377" s="55"/>
      <c r="Z377" s="55"/>
    </row>
    <row r="378" spans="1:26" ht="15">
      <c r="A378" s="55"/>
      <c r="B378" s="55"/>
      <c r="C378" s="55"/>
      <c r="D378" s="55"/>
      <c r="E378" s="55"/>
      <c r="F378" s="55"/>
      <c r="G378" s="55"/>
      <c r="H378" s="55"/>
      <c r="I378" s="55"/>
      <c r="J378" s="55"/>
      <c r="K378" s="55"/>
      <c r="L378" s="55"/>
      <c r="M378" s="55"/>
      <c r="N378" s="55"/>
      <c r="O378" s="55"/>
      <c r="P378" s="55"/>
      <c r="Q378" s="55"/>
      <c r="R378" s="55"/>
      <c r="S378" s="55"/>
      <c r="T378" s="55"/>
      <c r="U378" s="55"/>
      <c r="V378" s="55"/>
      <c r="W378" s="55"/>
      <c r="X378" s="55"/>
      <c r="Y378" s="55"/>
      <c r="Z378" s="55"/>
    </row>
    <row r="379" spans="1:26" ht="15">
      <c r="A379" s="55"/>
      <c r="B379" s="55"/>
      <c r="C379" s="55"/>
      <c r="D379" s="55"/>
      <c r="E379" s="55"/>
      <c r="F379" s="55"/>
      <c r="G379" s="55"/>
      <c r="H379" s="55"/>
      <c r="I379" s="55"/>
      <c r="J379" s="55"/>
      <c r="K379" s="55"/>
      <c r="L379" s="55"/>
      <c r="M379" s="55"/>
      <c r="N379" s="55"/>
      <c r="O379" s="55"/>
      <c r="P379" s="55"/>
      <c r="Q379" s="55"/>
      <c r="R379" s="55"/>
      <c r="S379" s="55"/>
      <c r="T379" s="55"/>
      <c r="U379" s="55"/>
      <c r="V379" s="55"/>
      <c r="W379" s="55"/>
      <c r="X379" s="55"/>
      <c r="Y379" s="55"/>
      <c r="Z379" s="55"/>
    </row>
    <row r="380" spans="1:26" ht="15">
      <c r="A380" s="55"/>
      <c r="B380" s="55"/>
      <c r="C380" s="55"/>
      <c r="D380" s="55"/>
      <c r="E380" s="55"/>
      <c r="F380" s="55"/>
      <c r="G380" s="55"/>
      <c r="H380" s="55"/>
      <c r="I380" s="55"/>
      <c r="J380" s="55"/>
      <c r="K380" s="55"/>
      <c r="L380" s="55"/>
      <c r="M380" s="55"/>
      <c r="N380" s="55"/>
      <c r="O380" s="55"/>
      <c r="P380" s="55"/>
      <c r="Q380" s="55"/>
      <c r="R380" s="55"/>
      <c r="S380" s="55"/>
      <c r="T380" s="55"/>
      <c r="U380" s="55"/>
      <c r="V380" s="55"/>
      <c r="W380" s="55"/>
      <c r="X380" s="55"/>
      <c r="Y380" s="55"/>
      <c r="Z380" s="55"/>
    </row>
    <row r="381" spans="1:26" ht="15">
      <c r="A381" s="55"/>
      <c r="B381" s="55"/>
      <c r="C381" s="55"/>
      <c r="D381" s="55"/>
      <c r="E381" s="55"/>
      <c r="F381" s="55"/>
      <c r="G381" s="55"/>
      <c r="H381" s="55"/>
      <c r="I381" s="55"/>
      <c r="J381" s="55"/>
      <c r="K381" s="55"/>
      <c r="L381" s="55"/>
      <c r="M381" s="55"/>
      <c r="N381" s="55"/>
      <c r="O381" s="55"/>
      <c r="P381" s="55"/>
      <c r="Q381" s="55"/>
      <c r="R381" s="55"/>
      <c r="S381" s="55"/>
      <c r="T381" s="55"/>
      <c r="U381" s="55"/>
      <c r="V381" s="55"/>
      <c r="W381" s="55"/>
      <c r="X381" s="55"/>
      <c r="Y381" s="55"/>
      <c r="Z381" s="55"/>
    </row>
    <row r="382" spans="1:26" ht="15">
      <c r="A382" s="55"/>
      <c r="B382" s="55"/>
      <c r="C382" s="55"/>
      <c r="D382" s="55"/>
      <c r="E382" s="55"/>
      <c r="F382" s="55"/>
      <c r="G382" s="55"/>
      <c r="H382" s="55"/>
      <c r="I382" s="55"/>
      <c r="J382" s="55"/>
      <c r="K382" s="55"/>
      <c r="L382" s="55"/>
      <c r="M382" s="55"/>
      <c r="N382" s="55"/>
      <c r="O382" s="55"/>
      <c r="P382" s="55"/>
      <c r="Q382" s="55"/>
      <c r="R382" s="55"/>
      <c r="S382" s="55"/>
      <c r="T382" s="55"/>
      <c r="U382" s="55"/>
      <c r="V382" s="55"/>
      <c r="W382" s="55"/>
      <c r="X382" s="55"/>
      <c r="Y382" s="55"/>
      <c r="Z382" s="55"/>
    </row>
    <row r="383" spans="1:26" ht="15">
      <c r="A383" s="55"/>
      <c r="B383" s="55"/>
      <c r="C383" s="55"/>
      <c r="D383" s="55"/>
      <c r="E383" s="55"/>
      <c r="F383" s="55"/>
      <c r="G383" s="55"/>
      <c r="H383" s="55"/>
      <c r="I383" s="55"/>
      <c r="J383" s="55"/>
      <c r="K383" s="55"/>
      <c r="L383" s="55"/>
      <c r="M383" s="55"/>
      <c r="N383" s="55"/>
      <c r="O383" s="55"/>
      <c r="P383" s="55"/>
      <c r="Q383" s="55"/>
      <c r="R383" s="55"/>
      <c r="S383" s="55"/>
      <c r="T383" s="55"/>
      <c r="U383" s="55"/>
      <c r="V383" s="55"/>
      <c r="W383" s="55"/>
      <c r="X383" s="55"/>
      <c r="Y383" s="55"/>
      <c r="Z383" s="55"/>
    </row>
    <row r="384" spans="1:26" ht="15">
      <c r="A384" s="55"/>
      <c r="B384" s="55"/>
      <c r="C384" s="55"/>
      <c r="D384" s="55"/>
      <c r="E384" s="55"/>
      <c r="F384" s="55"/>
      <c r="G384" s="55"/>
      <c r="H384" s="55"/>
      <c r="I384" s="55"/>
      <c r="J384" s="55"/>
      <c r="K384" s="55"/>
      <c r="L384" s="55"/>
      <c r="M384" s="55"/>
      <c r="N384" s="55"/>
      <c r="O384" s="55"/>
      <c r="P384" s="55"/>
      <c r="Q384" s="55"/>
      <c r="R384" s="55"/>
      <c r="S384" s="55"/>
      <c r="T384" s="55"/>
      <c r="U384" s="55"/>
      <c r="V384" s="55"/>
      <c r="W384" s="55"/>
      <c r="X384" s="55"/>
      <c r="Y384" s="55"/>
      <c r="Z384" s="55"/>
    </row>
    <row r="385" spans="1:26" ht="15">
      <c r="A385" s="55"/>
      <c r="B385" s="55"/>
      <c r="C385" s="55"/>
      <c r="D385" s="55"/>
      <c r="E385" s="55"/>
      <c r="F385" s="55"/>
      <c r="G385" s="55"/>
      <c r="H385" s="55"/>
      <c r="I385" s="55"/>
      <c r="J385" s="55"/>
      <c r="K385" s="55"/>
      <c r="L385" s="55"/>
      <c r="M385" s="55"/>
      <c r="N385" s="55"/>
      <c r="O385" s="55"/>
      <c r="P385" s="55"/>
      <c r="Q385" s="55"/>
      <c r="R385" s="55"/>
      <c r="S385" s="55"/>
      <c r="T385" s="55"/>
      <c r="U385" s="55"/>
      <c r="V385" s="55"/>
      <c r="W385" s="55"/>
      <c r="X385" s="55"/>
      <c r="Y385" s="55"/>
      <c r="Z385" s="55"/>
    </row>
    <row r="386" spans="1:26" ht="15">
      <c r="A386" s="55"/>
      <c r="B386" s="55"/>
      <c r="C386" s="55"/>
      <c r="D386" s="55"/>
      <c r="E386" s="55"/>
      <c r="F386" s="55"/>
      <c r="G386" s="55"/>
      <c r="H386" s="55"/>
      <c r="I386" s="55"/>
      <c r="J386" s="55"/>
      <c r="K386" s="55"/>
      <c r="L386" s="55"/>
      <c r="M386" s="55"/>
      <c r="N386" s="55"/>
      <c r="O386" s="55"/>
      <c r="P386" s="55"/>
      <c r="Q386" s="55"/>
      <c r="R386" s="55"/>
      <c r="S386" s="55"/>
      <c r="T386" s="55"/>
      <c r="U386" s="55"/>
      <c r="V386" s="55"/>
      <c r="W386" s="55"/>
      <c r="X386" s="55"/>
      <c r="Y386" s="55"/>
      <c r="Z386" s="55"/>
    </row>
    <row r="387" spans="1:26" ht="15">
      <c r="A387" s="55"/>
      <c r="B387" s="55"/>
      <c r="C387" s="55"/>
      <c r="D387" s="55"/>
      <c r="E387" s="55"/>
      <c r="F387" s="55"/>
      <c r="G387" s="55"/>
      <c r="H387" s="55"/>
      <c r="I387" s="55"/>
      <c r="J387" s="55"/>
      <c r="K387" s="55"/>
      <c r="L387" s="55"/>
      <c r="M387" s="55"/>
      <c r="N387" s="55"/>
      <c r="O387" s="55"/>
      <c r="P387" s="55"/>
      <c r="Q387" s="55"/>
      <c r="R387" s="55"/>
      <c r="S387" s="55"/>
      <c r="T387" s="55"/>
      <c r="U387" s="55"/>
      <c r="V387" s="55"/>
      <c r="W387" s="55"/>
      <c r="X387" s="55"/>
      <c r="Y387" s="55"/>
      <c r="Z387" s="55"/>
    </row>
    <row r="388" spans="1:26" ht="15">
      <c r="A388" s="55"/>
      <c r="B388" s="55"/>
      <c r="C388" s="55"/>
      <c r="D388" s="55"/>
      <c r="E388" s="55"/>
      <c r="F388" s="55"/>
      <c r="G388" s="55"/>
      <c r="H388" s="55"/>
      <c r="I388" s="55"/>
      <c r="J388" s="55"/>
      <c r="K388" s="55"/>
      <c r="L388" s="55"/>
      <c r="M388" s="55"/>
      <c r="N388" s="55"/>
      <c r="O388" s="55"/>
      <c r="P388" s="55"/>
      <c r="Q388" s="55"/>
      <c r="R388" s="55"/>
      <c r="S388" s="55"/>
      <c r="T388" s="55"/>
      <c r="U388" s="55"/>
      <c r="V388" s="55"/>
      <c r="W388" s="55"/>
      <c r="X388" s="55"/>
      <c r="Y388" s="55"/>
      <c r="Z388" s="55"/>
    </row>
    <row r="389" spans="1:26" ht="15">
      <c r="A389" s="55"/>
      <c r="B389" s="55"/>
      <c r="C389" s="55"/>
      <c r="D389" s="55"/>
      <c r="E389" s="55"/>
      <c r="F389" s="55"/>
      <c r="G389" s="55"/>
      <c r="H389" s="55"/>
      <c r="I389" s="55"/>
      <c r="J389" s="55"/>
      <c r="K389" s="55"/>
      <c r="L389" s="55"/>
      <c r="M389" s="55"/>
      <c r="N389" s="55"/>
      <c r="O389" s="55"/>
      <c r="P389" s="55"/>
      <c r="Q389" s="55"/>
      <c r="R389" s="55"/>
      <c r="S389" s="55"/>
      <c r="T389" s="55"/>
      <c r="U389" s="55"/>
      <c r="V389" s="55"/>
      <c r="W389" s="55"/>
      <c r="X389" s="55"/>
      <c r="Y389" s="55"/>
      <c r="Z389" s="55"/>
    </row>
    <row r="390" spans="1:26" ht="15">
      <c r="A390" s="55"/>
      <c r="B390" s="55"/>
      <c r="C390" s="55"/>
      <c r="D390" s="55"/>
      <c r="E390" s="55"/>
      <c r="F390" s="55"/>
      <c r="G390" s="55"/>
      <c r="H390" s="55"/>
      <c r="I390" s="55"/>
      <c r="J390" s="55"/>
      <c r="K390" s="55"/>
      <c r="L390" s="55"/>
      <c r="M390" s="55"/>
      <c r="N390" s="55"/>
      <c r="O390" s="55"/>
      <c r="P390" s="55"/>
      <c r="Q390" s="55"/>
      <c r="R390" s="55"/>
      <c r="S390" s="55"/>
      <c r="T390" s="55"/>
      <c r="U390" s="55"/>
      <c r="V390" s="55"/>
      <c r="W390" s="55"/>
      <c r="X390" s="55"/>
      <c r="Y390" s="55"/>
      <c r="Z390" s="55"/>
    </row>
    <row r="391" spans="1:26" ht="15">
      <c r="A391" s="55"/>
      <c r="B391" s="55"/>
      <c r="C391" s="55"/>
      <c r="D391" s="55"/>
      <c r="E391" s="55"/>
      <c r="F391" s="55"/>
      <c r="G391" s="55"/>
      <c r="H391" s="55"/>
      <c r="I391" s="55"/>
      <c r="J391" s="55"/>
      <c r="K391" s="55"/>
      <c r="L391" s="55"/>
      <c r="M391" s="55"/>
      <c r="N391" s="55"/>
      <c r="O391" s="55"/>
      <c r="P391" s="55"/>
      <c r="Q391" s="55"/>
      <c r="R391" s="55"/>
      <c r="S391" s="55"/>
      <c r="T391" s="55"/>
      <c r="U391" s="55"/>
      <c r="V391" s="55"/>
      <c r="W391" s="55"/>
      <c r="X391" s="55"/>
      <c r="Y391" s="55"/>
      <c r="Z391" s="55"/>
    </row>
    <row r="392" spans="1:26" ht="15">
      <c r="A392" s="55"/>
      <c r="B392" s="55"/>
      <c r="C392" s="55"/>
      <c r="D392" s="55"/>
      <c r="E392" s="55"/>
      <c r="F392" s="55"/>
      <c r="G392" s="55"/>
      <c r="H392" s="55"/>
      <c r="I392" s="55"/>
      <c r="J392" s="55"/>
      <c r="K392" s="55"/>
      <c r="L392" s="55"/>
      <c r="M392" s="55"/>
      <c r="N392" s="55"/>
      <c r="O392" s="55"/>
      <c r="P392" s="55"/>
      <c r="Q392" s="55"/>
      <c r="R392" s="55"/>
      <c r="S392" s="55"/>
      <c r="T392" s="55"/>
      <c r="U392" s="55"/>
      <c r="V392" s="55"/>
      <c r="W392" s="55"/>
      <c r="X392" s="55"/>
      <c r="Y392" s="55"/>
      <c r="Z392" s="55"/>
    </row>
    <row r="393" spans="1:26" ht="15">
      <c r="A393" s="55"/>
      <c r="B393" s="55"/>
      <c r="C393" s="55"/>
      <c r="D393" s="55"/>
      <c r="E393" s="55"/>
      <c r="F393" s="55"/>
      <c r="G393" s="55"/>
      <c r="H393" s="55"/>
      <c r="I393" s="55"/>
      <c r="J393" s="55"/>
      <c r="K393" s="55"/>
      <c r="L393" s="55"/>
      <c r="M393" s="55"/>
      <c r="N393" s="55"/>
      <c r="O393" s="55"/>
      <c r="P393" s="55"/>
      <c r="Q393" s="55"/>
      <c r="R393" s="55"/>
      <c r="S393" s="55"/>
      <c r="T393" s="55"/>
      <c r="U393" s="55"/>
      <c r="V393" s="55"/>
      <c r="W393" s="55"/>
      <c r="X393" s="55"/>
      <c r="Y393" s="55"/>
      <c r="Z393" s="55"/>
    </row>
    <row r="394" spans="1:26" ht="15">
      <c r="A394" s="55"/>
      <c r="B394" s="55"/>
      <c r="C394" s="55"/>
      <c r="D394" s="55"/>
      <c r="E394" s="55"/>
      <c r="F394" s="55"/>
      <c r="G394" s="55"/>
      <c r="H394" s="55"/>
      <c r="I394" s="55"/>
      <c r="J394" s="55"/>
      <c r="K394" s="55"/>
      <c r="L394" s="55"/>
      <c r="M394" s="55"/>
      <c r="N394" s="55"/>
      <c r="O394" s="55"/>
      <c r="P394" s="55"/>
      <c r="Q394" s="55"/>
      <c r="R394" s="55"/>
      <c r="S394" s="55"/>
      <c r="T394" s="55"/>
      <c r="U394" s="55"/>
      <c r="V394" s="55"/>
      <c r="W394" s="55"/>
      <c r="X394" s="55"/>
      <c r="Y394" s="55"/>
      <c r="Z394" s="55"/>
    </row>
    <row r="395" spans="1:26" ht="15">
      <c r="A395" s="55"/>
      <c r="B395" s="55"/>
      <c r="C395" s="55"/>
      <c r="D395" s="55"/>
      <c r="E395" s="55"/>
      <c r="F395" s="55"/>
      <c r="G395" s="55"/>
      <c r="H395" s="55"/>
      <c r="I395" s="55"/>
      <c r="J395" s="55"/>
      <c r="K395" s="55"/>
      <c r="L395" s="55"/>
      <c r="M395" s="55"/>
      <c r="N395" s="55"/>
      <c r="O395" s="55"/>
      <c r="P395" s="55"/>
      <c r="Q395" s="55"/>
      <c r="R395" s="55"/>
      <c r="S395" s="55"/>
      <c r="T395" s="55"/>
      <c r="U395" s="55"/>
      <c r="V395" s="55"/>
      <c r="W395" s="55"/>
      <c r="X395" s="55"/>
      <c r="Y395" s="55"/>
      <c r="Z395" s="55"/>
    </row>
    <row r="396" spans="1:26" ht="15">
      <c r="A396" s="55"/>
      <c r="B396" s="55"/>
      <c r="C396" s="55"/>
      <c r="D396" s="55"/>
      <c r="E396" s="55"/>
      <c r="F396" s="55"/>
      <c r="G396" s="55"/>
      <c r="H396" s="55"/>
      <c r="I396" s="55"/>
      <c r="J396" s="55"/>
      <c r="K396" s="55"/>
      <c r="L396" s="55"/>
      <c r="M396" s="55"/>
      <c r="N396" s="55"/>
      <c r="O396" s="55"/>
      <c r="P396" s="55"/>
      <c r="Q396" s="55"/>
      <c r="R396" s="55"/>
      <c r="S396" s="55"/>
      <c r="T396" s="55"/>
      <c r="U396" s="55"/>
      <c r="V396" s="55"/>
      <c r="W396" s="55"/>
      <c r="X396" s="55"/>
      <c r="Y396" s="55"/>
      <c r="Z396" s="55"/>
    </row>
    <row r="397" spans="1:26" ht="15">
      <c r="A397" s="55"/>
      <c r="B397" s="55"/>
      <c r="C397" s="55"/>
      <c r="D397" s="55"/>
      <c r="E397" s="55"/>
      <c r="F397" s="55"/>
      <c r="G397" s="55"/>
      <c r="H397" s="55"/>
      <c r="I397" s="55"/>
      <c r="J397" s="55"/>
      <c r="K397" s="55"/>
      <c r="L397" s="55"/>
      <c r="M397" s="55"/>
      <c r="N397" s="55"/>
      <c r="O397" s="55"/>
      <c r="P397" s="55"/>
      <c r="Q397" s="55"/>
      <c r="R397" s="55"/>
      <c r="S397" s="55"/>
      <c r="T397" s="55"/>
      <c r="U397" s="55"/>
      <c r="V397" s="55"/>
      <c r="W397" s="55"/>
      <c r="X397" s="55"/>
      <c r="Y397" s="55"/>
      <c r="Z397" s="55"/>
    </row>
    <row r="398" spans="1:26" ht="15">
      <c r="A398" s="55"/>
      <c r="B398" s="55"/>
      <c r="C398" s="55"/>
      <c r="D398" s="55"/>
      <c r="E398" s="55"/>
      <c r="F398" s="55"/>
      <c r="G398" s="55"/>
      <c r="H398" s="55"/>
      <c r="I398" s="55"/>
      <c r="J398" s="55"/>
      <c r="K398" s="55"/>
      <c r="L398" s="55"/>
      <c r="M398" s="55"/>
      <c r="N398" s="55"/>
      <c r="O398" s="55"/>
      <c r="P398" s="55"/>
      <c r="Q398" s="55"/>
      <c r="R398" s="55"/>
      <c r="S398" s="55"/>
      <c r="T398" s="55"/>
      <c r="U398" s="55"/>
      <c r="V398" s="55"/>
      <c r="W398" s="55"/>
      <c r="X398" s="55"/>
      <c r="Y398" s="55"/>
      <c r="Z398" s="55"/>
    </row>
    <row r="399" spans="1:26" ht="15">
      <c r="A399" s="55"/>
      <c r="B399" s="55"/>
      <c r="C399" s="55"/>
      <c r="D399" s="55"/>
      <c r="E399" s="55"/>
      <c r="F399" s="55"/>
      <c r="G399" s="55"/>
      <c r="H399" s="55"/>
      <c r="I399" s="55"/>
      <c r="J399" s="55"/>
      <c r="K399" s="55"/>
      <c r="L399" s="55"/>
      <c r="M399" s="55"/>
      <c r="N399" s="55"/>
      <c r="O399" s="55"/>
      <c r="P399" s="55"/>
      <c r="Q399" s="55"/>
      <c r="R399" s="55"/>
      <c r="S399" s="55"/>
      <c r="T399" s="55"/>
      <c r="U399" s="55"/>
      <c r="V399" s="55"/>
      <c r="W399" s="55"/>
      <c r="X399" s="55"/>
      <c r="Y399" s="55"/>
      <c r="Z399" s="55"/>
    </row>
    <row r="400" spans="1:26" ht="15">
      <c r="A400" s="55"/>
      <c r="B400" s="55"/>
      <c r="C400" s="55"/>
      <c r="D400" s="55"/>
      <c r="E400" s="55"/>
      <c r="F400" s="55"/>
      <c r="G400" s="55"/>
      <c r="H400" s="55"/>
      <c r="I400" s="55"/>
      <c r="J400" s="55"/>
      <c r="K400" s="55"/>
      <c r="L400" s="55"/>
      <c r="M400" s="55"/>
      <c r="N400" s="55"/>
      <c r="O400" s="55"/>
      <c r="P400" s="55"/>
      <c r="Q400" s="55"/>
      <c r="R400" s="55"/>
      <c r="S400" s="55"/>
      <c r="T400" s="55"/>
      <c r="U400" s="55"/>
      <c r="V400" s="55"/>
      <c r="W400" s="55"/>
      <c r="X400" s="55"/>
      <c r="Y400" s="55"/>
      <c r="Z400" s="55"/>
    </row>
    <row r="401" spans="1:26" ht="15">
      <c r="A401" s="55"/>
      <c r="B401" s="55"/>
      <c r="C401" s="55"/>
      <c r="D401" s="55"/>
      <c r="E401" s="55"/>
      <c r="F401" s="55"/>
      <c r="G401" s="55"/>
      <c r="H401" s="55"/>
      <c r="I401" s="55"/>
      <c r="J401" s="55"/>
      <c r="K401" s="55"/>
      <c r="L401" s="55"/>
      <c r="M401" s="55"/>
      <c r="N401" s="55"/>
      <c r="O401" s="55"/>
      <c r="P401" s="55"/>
      <c r="Q401" s="55"/>
      <c r="R401" s="55"/>
      <c r="S401" s="55"/>
      <c r="T401" s="55"/>
      <c r="U401" s="55"/>
      <c r="V401" s="55"/>
      <c r="W401" s="55"/>
      <c r="X401" s="55"/>
      <c r="Y401" s="55"/>
      <c r="Z401" s="55"/>
    </row>
    <row r="402" spans="1:26" ht="15">
      <c r="A402" s="55"/>
      <c r="B402" s="55"/>
      <c r="C402" s="55"/>
      <c r="D402" s="55"/>
      <c r="E402" s="55"/>
      <c r="F402" s="55"/>
      <c r="G402" s="55"/>
      <c r="H402" s="55"/>
      <c r="I402" s="55"/>
      <c r="J402" s="55"/>
      <c r="K402" s="55"/>
      <c r="L402" s="55"/>
      <c r="M402" s="55"/>
      <c r="N402" s="55"/>
      <c r="O402" s="55"/>
      <c r="P402" s="55"/>
      <c r="Q402" s="55"/>
      <c r="R402" s="55"/>
      <c r="S402" s="55"/>
      <c r="T402" s="55"/>
      <c r="U402" s="55"/>
      <c r="V402" s="55"/>
      <c r="W402" s="55"/>
      <c r="X402" s="55"/>
      <c r="Y402" s="55"/>
      <c r="Z402" s="55"/>
    </row>
    <row r="403" spans="1:26" ht="15">
      <c r="A403" s="55"/>
      <c r="B403" s="55"/>
      <c r="C403" s="55"/>
      <c r="D403" s="55"/>
      <c r="E403" s="55"/>
      <c r="F403" s="55"/>
      <c r="G403" s="55"/>
      <c r="H403" s="55"/>
      <c r="I403" s="55"/>
      <c r="J403" s="55"/>
      <c r="K403" s="55"/>
      <c r="L403" s="55"/>
      <c r="M403" s="55"/>
      <c r="N403" s="55"/>
      <c r="O403" s="55"/>
      <c r="P403" s="55"/>
      <c r="Q403" s="55"/>
      <c r="R403" s="55"/>
      <c r="S403" s="55"/>
      <c r="T403" s="55"/>
      <c r="U403" s="55"/>
      <c r="V403" s="55"/>
      <c r="W403" s="55"/>
      <c r="X403" s="55"/>
      <c r="Y403" s="55"/>
      <c r="Z403" s="55"/>
    </row>
    <row r="404" spans="1:26" ht="15">
      <c r="A404" s="55"/>
      <c r="B404" s="55"/>
      <c r="C404" s="55"/>
      <c r="D404" s="55"/>
      <c r="E404" s="55"/>
      <c r="F404" s="55"/>
      <c r="G404" s="55"/>
      <c r="H404" s="55"/>
      <c r="I404" s="55"/>
      <c r="J404" s="55"/>
      <c r="K404" s="55"/>
      <c r="L404" s="55"/>
      <c r="M404" s="55"/>
      <c r="N404" s="55"/>
      <c r="O404" s="55"/>
      <c r="P404" s="55"/>
      <c r="Q404" s="55"/>
      <c r="R404" s="55"/>
      <c r="S404" s="55"/>
      <c r="T404" s="55"/>
      <c r="U404" s="55"/>
      <c r="V404" s="55"/>
      <c r="W404" s="55"/>
      <c r="X404" s="55"/>
      <c r="Y404" s="55"/>
      <c r="Z404" s="55"/>
    </row>
    <row r="405" spans="1:26" ht="15">
      <c r="A405" s="55"/>
      <c r="B405" s="55"/>
      <c r="C405" s="55"/>
      <c r="D405" s="55"/>
      <c r="E405" s="55"/>
      <c r="F405" s="55"/>
      <c r="G405" s="55"/>
      <c r="H405" s="55"/>
      <c r="I405" s="55"/>
      <c r="J405" s="55"/>
      <c r="K405" s="55"/>
      <c r="L405" s="55"/>
      <c r="M405" s="55"/>
      <c r="N405" s="55"/>
      <c r="O405" s="55"/>
      <c r="P405" s="55"/>
      <c r="Q405" s="55"/>
      <c r="R405" s="55"/>
      <c r="S405" s="55"/>
      <c r="T405" s="55"/>
      <c r="U405" s="55"/>
      <c r="V405" s="55"/>
      <c r="W405" s="55"/>
      <c r="X405" s="55"/>
      <c r="Y405" s="55"/>
      <c r="Z405" s="55"/>
    </row>
    <row r="406" spans="1:26" ht="15">
      <c r="A406" s="55"/>
      <c r="B406" s="55"/>
      <c r="C406" s="55"/>
      <c r="D406" s="55"/>
      <c r="E406" s="55"/>
      <c r="F406" s="55"/>
      <c r="G406" s="55"/>
      <c r="H406" s="55"/>
      <c r="I406" s="55"/>
      <c r="J406" s="55"/>
      <c r="K406" s="55"/>
      <c r="L406" s="55"/>
      <c r="M406" s="55"/>
      <c r="N406" s="55"/>
      <c r="O406" s="55"/>
      <c r="P406" s="55"/>
      <c r="Q406" s="55"/>
      <c r="R406" s="55"/>
      <c r="S406" s="55"/>
      <c r="T406" s="55"/>
      <c r="U406" s="55"/>
      <c r="V406" s="55"/>
      <c r="W406" s="55"/>
      <c r="X406" s="55"/>
      <c r="Y406" s="55"/>
      <c r="Z406" s="55"/>
    </row>
    <row r="407" spans="1:26" ht="15">
      <c r="A407" s="55"/>
      <c r="B407" s="55"/>
      <c r="C407" s="55"/>
      <c r="D407" s="55"/>
      <c r="E407" s="55"/>
      <c r="F407" s="55"/>
      <c r="G407" s="55"/>
      <c r="H407" s="55"/>
      <c r="I407" s="55"/>
      <c r="J407" s="55"/>
      <c r="K407" s="55"/>
      <c r="L407" s="55"/>
      <c r="M407" s="55"/>
      <c r="N407" s="55"/>
      <c r="O407" s="55"/>
      <c r="P407" s="55"/>
      <c r="Q407" s="55"/>
      <c r="R407" s="55"/>
      <c r="S407" s="55"/>
      <c r="T407" s="55"/>
      <c r="U407" s="55"/>
      <c r="V407" s="55"/>
      <c r="W407" s="55"/>
      <c r="X407" s="55"/>
      <c r="Y407" s="55"/>
      <c r="Z407" s="55"/>
    </row>
    <row r="408" spans="1:26" ht="15">
      <c r="A408" s="55"/>
      <c r="B408" s="55"/>
      <c r="C408" s="55"/>
      <c r="D408" s="55"/>
      <c r="E408" s="55"/>
      <c r="F408" s="55"/>
      <c r="G408" s="55"/>
      <c r="H408" s="55"/>
      <c r="I408" s="55"/>
      <c r="J408" s="55"/>
      <c r="K408" s="55"/>
      <c r="L408" s="55"/>
      <c r="M408" s="55"/>
      <c r="N408" s="55"/>
      <c r="O408" s="55"/>
      <c r="P408" s="55"/>
      <c r="Q408" s="55"/>
      <c r="R408" s="55"/>
      <c r="S408" s="55"/>
      <c r="T408" s="55"/>
      <c r="U408" s="55"/>
      <c r="V408" s="55"/>
      <c r="W408" s="55"/>
      <c r="X408" s="55"/>
      <c r="Y408" s="55"/>
      <c r="Z408" s="55"/>
    </row>
    <row r="409" spans="1:26" ht="15">
      <c r="A409" s="55"/>
      <c r="B409" s="55"/>
      <c r="C409" s="55"/>
      <c r="D409" s="55"/>
      <c r="E409" s="55"/>
      <c r="F409" s="55"/>
      <c r="G409" s="55"/>
      <c r="H409" s="55"/>
      <c r="I409" s="55"/>
      <c r="J409" s="55"/>
      <c r="K409" s="55"/>
      <c r="L409" s="55"/>
      <c r="M409" s="55"/>
      <c r="N409" s="55"/>
      <c r="O409" s="55"/>
      <c r="P409" s="55"/>
      <c r="Q409" s="55"/>
      <c r="R409" s="55"/>
      <c r="S409" s="55"/>
      <c r="T409" s="55"/>
      <c r="U409" s="55"/>
      <c r="V409" s="55"/>
      <c r="W409" s="55"/>
      <c r="X409" s="55"/>
      <c r="Y409" s="55"/>
      <c r="Z409" s="55"/>
    </row>
    <row r="410" spans="1:26" ht="15">
      <c r="A410" s="55"/>
      <c r="B410" s="55"/>
      <c r="C410" s="55"/>
      <c r="D410" s="55"/>
      <c r="E410" s="55"/>
      <c r="F410" s="55"/>
      <c r="G410" s="55"/>
      <c r="H410" s="55"/>
      <c r="I410" s="55"/>
      <c r="J410" s="55"/>
      <c r="K410" s="55"/>
      <c r="L410" s="55"/>
      <c r="M410" s="55"/>
      <c r="N410" s="55"/>
      <c r="O410" s="55"/>
      <c r="P410" s="55"/>
      <c r="Q410" s="55"/>
      <c r="R410" s="55"/>
      <c r="S410" s="55"/>
      <c r="T410" s="55"/>
      <c r="U410" s="55"/>
      <c r="V410" s="55"/>
      <c r="W410" s="55"/>
      <c r="X410" s="55"/>
      <c r="Y410" s="55"/>
      <c r="Z410" s="55"/>
    </row>
    <row r="411" spans="1:26" ht="15">
      <c r="A411" s="55"/>
      <c r="B411" s="55"/>
      <c r="C411" s="55"/>
      <c r="D411" s="55"/>
      <c r="E411" s="55"/>
      <c r="F411" s="55"/>
      <c r="G411" s="55"/>
      <c r="H411" s="55"/>
      <c r="I411" s="55"/>
      <c r="J411" s="55"/>
      <c r="K411" s="55"/>
      <c r="L411" s="55"/>
      <c r="M411" s="55"/>
      <c r="N411" s="55"/>
      <c r="O411" s="55"/>
      <c r="P411" s="55"/>
      <c r="Q411" s="55"/>
      <c r="R411" s="55"/>
      <c r="S411" s="55"/>
      <c r="T411" s="55"/>
      <c r="U411" s="55"/>
      <c r="V411" s="55"/>
      <c r="W411" s="55"/>
      <c r="X411" s="55"/>
      <c r="Y411" s="55"/>
      <c r="Z411" s="55"/>
    </row>
    <row r="412" spans="1:26" ht="15">
      <c r="A412" s="55"/>
      <c r="B412" s="55"/>
      <c r="C412" s="55"/>
      <c r="D412" s="55"/>
      <c r="E412" s="55"/>
      <c r="F412" s="55"/>
      <c r="G412" s="55"/>
      <c r="H412" s="55"/>
      <c r="I412" s="55"/>
      <c r="J412" s="55"/>
      <c r="K412" s="55"/>
      <c r="L412" s="55"/>
      <c r="M412" s="55"/>
      <c r="N412" s="55"/>
      <c r="O412" s="55"/>
      <c r="P412" s="55"/>
      <c r="Q412" s="55"/>
      <c r="R412" s="55"/>
      <c r="S412" s="55"/>
      <c r="T412" s="55"/>
      <c r="U412" s="55"/>
      <c r="V412" s="55"/>
      <c r="W412" s="55"/>
      <c r="X412" s="55"/>
      <c r="Y412" s="55"/>
      <c r="Z412" s="55"/>
    </row>
    <row r="413" spans="1:26" ht="15">
      <c r="A413" s="55"/>
      <c r="B413" s="55"/>
      <c r="C413" s="55"/>
      <c r="D413" s="55"/>
      <c r="E413" s="55"/>
      <c r="F413" s="55"/>
      <c r="G413" s="55"/>
      <c r="H413" s="55"/>
      <c r="I413" s="55"/>
      <c r="J413" s="55"/>
      <c r="K413" s="55"/>
      <c r="L413" s="55"/>
      <c r="M413" s="55"/>
      <c r="N413" s="55"/>
      <c r="O413" s="55"/>
      <c r="P413" s="55"/>
      <c r="Q413" s="55"/>
      <c r="R413" s="55"/>
      <c r="S413" s="55"/>
      <c r="T413" s="55"/>
      <c r="U413" s="55"/>
      <c r="V413" s="55"/>
      <c r="W413" s="55"/>
      <c r="X413" s="55"/>
      <c r="Y413" s="55"/>
      <c r="Z413" s="55"/>
    </row>
    <row r="414" spans="1:26" ht="15">
      <c r="A414" s="55"/>
      <c r="B414" s="55"/>
      <c r="C414" s="55"/>
      <c r="D414" s="55"/>
      <c r="E414" s="55"/>
      <c r="F414" s="55"/>
      <c r="G414" s="55"/>
      <c r="H414" s="55"/>
      <c r="I414" s="55"/>
      <c r="J414" s="55"/>
      <c r="K414" s="55"/>
      <c r="L414" s="55"/>
      <c r="M414" s="55"/>
      <c r="N414" s="55"/>
      <c r="O414" s="55"/>
      <c r="P414" s="55"/>
      <c r="Q414" s="55"/>
      <c r="R414" s="55"/>
      <c r="S414" s="55"/>
      <c r="T414" s="55"/>
      <c r="U414" s="55"/>
      <c r="V414" s="55"/>
      <c r="W414" s="55"/>
      <c r="X414" s="55"/>
      <c r="Y414" s="55"/>
      <c r="Z414" s="55"/>
    </row>
    <row r="415" spans="1:26" ht="15">
      <c r="A415" s="55"/>
      <c r="B415" s="55"/>
      <c r="C415" s="55"/>
      <c r="D415" s="55"/>
      <c r="E415" s="55"/>
      <c r="F415" s="55"/>
      <c r="G415" s="55"/>
      <c r="H415" s="55"/>
      <c r="I415" s="55"/>
      <c r="J415" s="55"/>
      <c r="K415" s="55"/>
      <c r="L415" s="55"/>
      <c r="M415" s="55"/>
      <c r="N415" s="55"/>
      <c r="O415" s="55"/>
      <c r="P415" s="55"/>
      <c r="Q415" s="55"/>
      <c r="R415" s="55"/>
      <c r="S415" s="55"/>
      <c r="T415" s="55"/>
      <c r="U415" s="55"/>
      <c r="V415" s="55"/>
      <c r="W415" s="55"/>
      <c r="X415" s="55"/>
      <c r="Y415" s="55"/>
      <c r="Z415" s="55"/>
    </row>
    <row r="416" spans="1:26" ht="15">
      <c r="A416" s="55"/>
      <c r="B416" s="55"/>
      <c r="C416" s="55"/>
      <c r="D416" s="55"/>
      <c r="E416" s="55"/>
      <c r="F416" s="55"/>
      <c r="G416" s="55"/>
      <c r="H416" s="55"/>
      <c r="I416" s="55"/>
      <c r="J416" s="55"/>
      <c r="K416" s="55"/>
      <c r="L416" s="55"/>
      <c r="M416" s="55"/>
      <c r="N416" s="55"/>
      <c r="O416" s="55"/>
      <c r="P416" s="55"/>
      <c r="Q416" s="55"/>
      <c r="R416" s="55"/>
      <c r="S416" s="55"/>
      <c r="T416" s="55"/>
      <c r="U416" s="55"/>
      <c r="V416" s="55"/>
      <c r="W416" s="55"/>
      <c r="X416" s="55"/>
      <c r="Y416" s="55"/>
      <c r="Z416" s="55"/>
    </row>
    <row r="417" spans="1:26" ht="15">
      <c r="A417" s="55"/>
      <c r="B417" s="55"/>
      <c r="C417" s="55"/>
      <c r="D417" s="55"/>
      <c r="E417" s="55"/>
      <c r="F417" s="55"/>
      <c r="G417" s="55"/>
      <c r="H417" s="55"/>
      <c r="I417" s="55"/>
      <c r="J417" s="55"/>
      <c r="K417" s="55"/>
      <c r="L417" s="55"/>
      <c r="M417" s="55"/>
      <c r="N417" s="55"/>
      <c r="O417" s="55"/>
      <c r="P417" s="55"/>
      <c r="Q417" s="55"/>
      <c r="R417" s="55"/>
      <c r="S417" s="55"/>
      <c r="T417" s="55"/>
      <c r="U417" s="55"/>
      <c r="V417" s="55"/>
      <c r="W417" s="55"/>
      <c r="X417" s="55"/>
      <c r="Y417" s="55"/>
      <c r="Z417" s="55"/>
    </row>
    <row r="418" spans="1:26" ht="15">
      <c r="A418" s="55"/>
      <c r="B418" s="55"/>
      <c r="C418" s="55"/>
      <c r="D418" s="55"/>
      <c r="E418" s="55"/>
      <c r="F418" s="55"/>
      <c r="G418" s="55"/>
      <c r="H418" s="55"/>
      <c r="I418" s="55"/>
      <c r="J418" s="55"/>
      <c r="K418" s="55"/>
      <c r="L418" s="55"/>
      <c r="M418" s="55"/>
      <c r="N418" s="55"/>
      <c r="O418" s="55"/>
      <c r="P418" s="55"/>
      <c r="Q418" s="55"/>
      <c r="R418" s="55"/>
      <c r="S418" s="55"/>
      <c r="T418" s="55"/>
      <c r="U418" s="55"/>
      <c r="V418" s="55"/>
      <c r="W418" s="55"/>
      <c r="X418" s="55"/>
      <c r="Y418" s="55"/>
      <c r="Z418" s="55"/>
    </row>
    <row r="419" spans="1:26" ht="15">
      <c r="A419" s="55"/>
      <c r="B419" s="55"/>
      <c r="C419" s="55"/>
      <c r="D419" s="55"/>
      <c r="E419" s="55"/>
      <c r="F419" s="55"/>
      <c r="G419" s="55"/>
      <c r="H419" s="55"/>
      <c r="I419" s="55"/>
      <c r="J419" s="55"/>
      <c r="K419" s="55"/>
      <c r="L419" s="55"/>
      <c r="M419" s="55"/>
      <c r="N419" s="55"/>
      <c r="O419" s="55"/>
      <c r="P419" s="55"/>
      <c r="Q419" s="55"/>
      <c r="R419" s="55"/>
      <c r="S419" s="55"/>
      <c r="T419" s="55"/>
      <c r="U419" s="55"/>
      <c r="V419" s="55"/>
      <c r="W419" s="55"/>
      <c r="X419" s="55"/>
      <c r="Y419" s="55"/>
      <c r="Z419" s="55"/>
    </row>
    <row r="420" spans="1:26" ht="15">
      <c r="A420" s="55"/>
      <c r="B420" s="55"/>
      <c r="C420" s="55"/>
      <c r="D420" s="55"/>
      <c r="E420" s="55"/>
      <c r="F420" s="55"/>
      <c r="G420" s="55"/>
      <c r="H420" s="55"/>
      <c r="I420" s="55"/>
      <c r="J420" s="55"/>
      <c r="K420" s="55"/>
      <c r="L420" s="55"/>
      <c r="M420" s="55"/>
      <c r="N420" s="55"/>
      <c r="O420" s="55"/>
      <c r="P420" s="55"/>
      <c r="Q420" s="55"/>
      <c r="R420" s="55"/>
      <c r="S420" s="55"/>
      <c r="T420" s="55"/>
      <c r="U420" s="55"/>
      <c r="V420" s="55"/>
      <c r="W420" s="55"/>
      <c r="X420" s="55"/>
      <c r="Y420" s="55"/>
      <c r="Z420" s="55"/>
    </row>
    <row r="421" spans="1:26" ht="15">
      <c r="A421" s="55"/>
      <c r="B421" s="55"/>
      <c r="C421" s="55"/>
      <c r="D421" s="55"/>
      <c r="E421" s="55"/>
      <c r="F421" s="55"/>
      <c r="G421" s="55"/>
      <c r="H421" s="55"/>
      <c r="I421" s="55"/>
      <c r="J421" s="55"/>
      <c r="K421" s="55"/>
      <c r="L421" s="55"/>
      <c r="M421" s="55"/>
      <c r="N421" s="55"/>
      <c r="O421" s="55"/>
      <c r="P421" s="55"/>
      <c r="Q421" s="55"/>
      <c r="R421" s="55"/>
      <c r="S421" s="55"/>
      <c r="T421" s="55"/>
      <c r="U421" s="55"/>
      <c r="V421" s="55"/>
      <c r="W421" s="55"/>
      <c r="X421" s="55"/>
      <c r="Y421" s="55"/>
      <c r="Z421" s="55"/>
    </row>
    <row r="422" spans="1:26" ht="15">
      <c r="A422" s="55"/>
      <c r="B422" s="55"/>
      <c r="C422" s="55"/>
      <c r="D422" s="55"/>
      <c r="E422" s="55"/>
      <c r="F422" s="55"/>
      <c r="G422" s="55"/>
      <c r="H422" s="55"/>
      <c r="I422" s="55"/>
      <c r="J422" s="55"/>
      <c r="K422" s="55"/>
      <c r="L422" s="55"/>
      <c r="M422" s="55"/>
      <c r="N422" s="55"/>
      <c r="O422" s="55"/>
      <c r="P422" s="55"/>
      <c r="Q422" s="55"/>
      <c r="R422" s="55"/>
      <c r="S422" s="55"/>
      <c r="T422" s="55"/>
      <c r="U422" s="55"/>
      <c r="V422" s="55"/>
      <c r="W422" s="55"/>
      <c r="X422" s="55"/>
      <c r="Y422" s="55"/>
      <c r="Z422" s="55"/>
    </row>
    <row r="423" spans="1:26" ht="15">
      <c r="A423" s="55"/>
      <c r="B423" s="55"/>
      <c r="C423" s="55"/>
      <c r="D423" s="55"/>
      <c r="E423" s="55"/>
      <c r="F423" s="55"/>
      <c r="G423" s="55"/>
      <c r="H423" s="55"/>
      <c r="I423" s="55"/>
      <c r="J423" s="55"/>
      <c r="K423" s="55"/>
      <c r="L423" s="55"/>
      <c r="M423" s="55"/>
      <c r="N423" s="55"/>
      <c r="O423" s="55"/>
      <c r="P423" s="55"/>
      <c r="Q423" s="55"/>
      <c r="R423" s="55"/>
      <c r="S423" s="55"/>
      <c r="T423" s="55"/>
      <c r="U423" s="55"/>
      <c r="V423" s="55"/>
      <c r="W423" s="55"/>
      <c r="X423" s="55"/>
      <c r="Y423" s="55"/>
      <c r="Z423" s="55"/>
    </row>
    <row r="424" spans="1:26" ht="15">
      <c r="A424" s="55"/>
      <c r="B424" s="55"/>
      <c r="C424" s="55"/>
      <c r="D424" s="55"/>
      <c r="E424" s="55"/>
      <c r="F424" s="55"/>
      <c r="G424" s="55"/>
      <c r="H424" s="55"/>
      <c r="I424" s="55"/>
      <c r="J424" s="55"/>
      <c r="K424" s="55"/>
      <c r="L424" s="55"/>
      <c r="M424" s="55"/>
      <c r="N424" s="55"/>
      <c r="O424" s="55"/>
      <c r="P424" s="55"/>
      <c r="Q424" s="55"/>
      <c r="R424" s="55"/>
      <c r="S424" s="55"/>
      <c r="T424" s="55"/>
      <c r="U424" s="55"/>
      <c r="V424" s="55"/>
      <c r="W424" s="55"/>
      <c r="X424" s="55"/>
      <c r="Y424" s="55"/>
      <c r="Z424" s="55"/>
    </row>
    <row r="425" spans="1:26" ht="15">
      <c r="A425" s="55"/>
      <c r="B425" s="55"/>
      <c r="C425" s="55"/>
      <c r="D425" s="55"/>
      <c r="E425" s="55"/>
      <c r="F425" s="55"/>
      <c r="G425" s="55"/>
      <c r="H425" s="55"/>
      <c r="I425" s="55"/>
      <c r="J425" s="55"/>
      <c r="K425" s="55"/>
      <c r="L425" s="55"/>
      <c r="M425" s="55"/>
      <c r="N425" s="55"/>
      <c r="O425" s="55"/>
      <c r="P425" s="55"/>
      <c r="Q425" s="55"/>
      <c r="R425" s="55"/>
      <c r="S425" s="55"/>
      <c r="T425" s="55"/>
      <c r="U425" s="55"/>
      <c r="V425" s="55"/>
      <c r="W425" s="55"/>
      <c r="X425" s="55"/>
      <c r="Y425" s="55"/>
      <c r="Z425" s="55"/>
    </row>
    <row r="426" spans="1:26" ht="15">
      <c r="A426" s="55"/>
      <c r="B426" s="55"/>
      <c r="C426" s="55"/>
      <c r="D426" s="55"/>
      <c r="E426" s="55"/>
      <c r="F426" s="55"/>
      <c r="G426" s="55"/>
      <c r="H426" s="55"/>
      <c r="I426" s="55"/>
      <c r="J426" s="55"/>
      <c r="K426" s="55"/>
      <c r="L426" s="55"/>
      <c r="M426" s="55"/>
      <c r="N426" s="55"/>
      <c r="O426" s="55"/>
      <c r="P426" s="55"/>
      <c r="Q426" s="55"/>
      <c r="R426" s="55"/>
      <c r="S426" s="55"/>
      <c r="T426" s="55"/>
      <c r="U426" s="55"/>
      <c r="V426" s="55"/>
      <c r="W426" s="55"/>
      <c r="X426" s="55"/>
      <c r="Y426" s="55"/>
      <c r="Z426" s="55"/>
    </row>
    <row r="427" spans="1:26" ht="15">
      <c r="A427" s="55"/>
      <c r="B427" s="55"/>
      <c r="C427" s="55"/>
      <c r="D427" s="55"/>
      <c r="E427" s="55"/>
      <c r="F427" s="55"/>
      <c r="G427" s="55"/>
      <c r="H427" s="55"/>
      <c r="I427" s="55"/>
      <c r="J427" s="55"/>
      <c r="K427" s="55"/>
      <c r="L427" s="55"/>
      <c r="M427" s="55"/>
      <c r="N427" s="55"/>
      <c r="O427" s="55"/>
      <c r="P427" s="55"/>
      <c r="Q427" s="55"/>
      <c r="R427" s="55"/>
      <c r="S427" s="55"/>
      <c r="T427" s="55"/>
      <c r="U427" s="55"/>
      <c r="V427" s="55"/>
      <c r="W427" s="55"/>
      <c r="X427" s="55"/>
      <c r="Y427" s="55"/>
      <c r="Z427" s="55"/>
    </row>
    <row r="428" spans="1:26" ht="15">
      <c r="A428" s="55"/>
      <c r="B428" s="55"/>
      <c r="C428" s="55"/>
      <c r="D428" s="55"/>
      <c r="E428" s="55"/>
      <c r="F428" s="55"/>
      <c r="G428" s="55"/>
      <c r="H428" s="55"/>
      <c r="I428" s="55"/>
      <c r="J428" s="55"/>
      <c r="K428" s="55"/>
      <c r="L428" s="55"/>
      <c r="M428" s="55"/>
      <c r="N428" s="55"/>
      <c r="O428" s="55"/>
      <c r="P428" s="55"/>
      <c r="Q428" s="55"/>
      <c r="R428" s="55"/>
      <c r="S428" s="55"/>
      <c r="T428" s="55"/>
      <c r="U428" s="55"/>
      <c r="V428" s="55"/>
      <c r="W428" s="55"/>
      <c r="X428" s="55"/>
      <c r="Y428" s="55"/>
      <c r="Z428" s="55"/>
    </row>
    <row r="429" spans="1:26" ht="15">
      <c r="A429" s="55"/>
      <c r="B429" s="55"/>
      <c r="C429" s="55"/>
      <c r="D429" s="55"/>
      <c r="E429" s="55"/>
      <c r="F429" s="55"/>
      <c r="G429" s="55"/>
      <c r="H429" s="55"/>
      <c r="I429" s="55"/>
      <c r="J429" s="55"/>
      <c r="K429" s="55"/>
      <c r="L429" s="55"/>
      <c r="M429" s="55"/>
      <c r="N429" s="55"/>
      <c r="O429" s="55"/>
      <c r="P429" s="55"/>
      <c r="Q429" s="55"/>
      <c r="R429" s="55"/>
      <c r="S429" s="55"/>
      <c r="T429" s="55"/>
      <c r="U429" s="55"/>
      <c r="V429" s="55"/>
      <c r="W429" s="55"/>
      <c r="X429" s="55"/>
      <c r="Y429" s="55"/>
      <c r="Z429" s="55"/>
    </row>
    <row r="430" spans="1:26" ht="15">
      <c r="A430" s="55"/>
      <c r="B430" s="55"/>
      <c r="C430" s="55"/>
      <c r="D430" s="55"/>
      <c r="E430" s="55"/>
      <c r="F430" s="55"/>
      <c r="G430" s="55"/>
      <c r="H430" s="55"/>
      <c r="I430" s="55"/>
      <c r="J430" s="55"/>
      <c r="K430" s="55"/>
      <c r="L430" s="55"/>
      <c r="M430" s="55"/>
      <c r="N430" s="55"/>
      <c r="O430" s="55"/>
      <c r="P430" s="55"/>
      <c r="Q430" s="55"/>
      <c r="R430" s="55"/>
      <c r="S430" s="55"/>
      <c r="T430" s="55"/>
      <c r="U430" s="55"/>
      <c r="V430" s="55"/>
      <c r="W430" s="55"/>
      <c r="X430" s="55"/>
      <c r="Y430" s="55"/>
      <c r="Z430" s="55"/>
    </row>
    <row r="431" spans="1:26" ht="15">
      <c r="A431" s="55"/>
      <c r="B431" s="55"/>
      <c r="C431" s="55"/>
      <c r="D431" s="55"/>
      <c r="E431" s="55"/>
      <c r="F431" s="55"/>
      <c r="G431" s="55"/>
      <c r="H431" s="55"/>
      <c r="I431" s="55"/>
      <c r="J431" s="55"/>
      <c r="K431" s="55"/>
      <c r="L431" s="55"/>
      <c r="M431" s="55"/>
      <c r="N431" s="55"/>
      <c r="O431" s="55"/>
      <c r="P431" s="55"/>
      <c r="Q431" s="55"/>
      <c r="R431" s="55"/>
      <c r="S431" s="55"/>
      <c r="T431" s="55"/>
      <c r="U431" s="55"/>
      <c r="V431" s="55"/>
      <c r="W431" s="55"/>
      <c r="X431" s="55"/>
      <c r="Y431" s="55"/>
      <c r="Z431" s="55"/>
    </row>
    <row r="432" spans="1:26" ht="15">
      <c r="A432" s="55"/>
      <c r="B432" s="55"/>
      <c r="C432" s="55"/>
      <c r="D432" s="55"/>
      <c r="E432" s="55"/>
      <c r="F432" s="55"/>
      <c r="G432" s="55"/>
      <c r="H432" s="55"/>
      <c r="I432" s="55"/>
      <c r="J432" s="55"/>
      <c r="K432" s="55"/>
      <c r="L432" s="55"/>
      <c r="M432" s="55"/>
      <c r="N432" s="55"/>
      <c r="O432" s="55"/>
      <c r="P432" s="55"/>
      <c r="Q432" s="55"/>
      <c r="R432" s="55"/>
      <c r="S432" s="55"/>
      <c r="T432" s="55"/>
      <c r="U432" s="55"/>
      <c r="V432" s="55"/>
      <c r="W432" s="55"/>
      <c r="X432" s="55"/>
      <c r="Y432" s="55"/>
      <c r="Z432" s="55"/>
    </row>
    <row r="433" spans="1:26" ht="15">
      <c r="A433" s="55"/>
      <c r="B433" s="55"/>
      <c r="C433" s="55"/>
      <c r="D433" s="55"/>
      <c r="E433" s="55"/>
      <c r="F433" s="55"/>
      <c r="G433" s="55"/>
      <c r="H433" s="55"/>
      <c r="I433" s="55"/>
      <c r="J433" s="55"/>
      <c r="K433" s="55"/>
      <c r="L433" s="55"/>
      <c r="M433" s="55"/>
      <c r="N433" s="55"/>
      <c r="O433" s="55"/>
      <c r="P433" s="55"/>
      <c r="Q433" s="55"/>
      <c r="R433" s="55"/>
      <c r="S433" s="55"/>
      <c r="T433" s="55"/>
      <c r="U433" s="55"/>
      <c r="V433" s="55"/>
      <c r="W433" s="55"/>
      <c r="X433" s="55"/>
      <c r="Y433" s="55"/>
      <c r="Z433" s="55"/>
    </row>
    <row r="434" spans="1:26" ht="15">
      <c r="A434" s="55"/>
      <c r="B434" s="55"/>
      <c r="C434" s="55"/>
      <c r="D434" s="55"/>
      <c r="E434" s="55"/>
      <c r="F434" s="55"/>
      <c r="G434" s="55"/>
      <c r="H434" s="55"/>
      <c r="I434" s="55"/>
      <c r="J434" s="55"/>
      <c r="K434" s="55"/>
      <c r="L434" s="55"/>
      <c r="M434" s="55"/>
      <c r="N434" s="55"/>
      <c r="O434" s="55"/>
      <c r="P434" s="55"/>
      <c r="Q434" s="55"/>
      <c r="R434" s="55"/>
      <c r="S434" s="55"/>
      <c r="T434" s="55"/>
      <c r="U434" s="55"/>
      <c r="V434" s="55"/>
      <c r="W434" s="55"/>
      <c r="X434" s="55"/>
      <c r="Y434" s="55"/>
      <c r="Z434" s="55"/>
    </row>
    <row r="435" spans="1:26" ht="15">
      <c r="A435" s="55"/>
      <c r="B435" s="55"/>
      <c r="C435" s="55"/>
      <c r="D435" s="55"/>
      <c r="E435" s="55"/>
      <c r="F435" s="55"/>
      <c r="G435" s="55"/>
      <c r="H435" s="55"/>
      <c r="I435" s="55"/>
      <c r="J435" s="55"/>
      <c r="K435" s="55"/>
      <c r="L435" s="55"/>
      <c r="M435" s="55"/>
      <c r="N435" s="55"/>
      <c r="O435" s="55"/>
      <c r="P435" s="55"/>
      <c r="Q435" s="55"/>
      <c r="R435" s="55"/>
      <c r="S435" s="55"/>
      <c r="T435" s="55"/>
      <c r="U435" s="55"/>
      <c r="V435" s="55"/>
      <c r="W435" s="55"/>
      <c r="X435" s="55"/>
      <c r="Y435" s="55"/>
      <c r="Z435" s="55"/>
    </row>
    <row r="436" spans="1:26" ht="15">
      <c r="A436" s="55"/>
      <c r="B436" s="55"/>
      <c r="C436" s="55"/>
      <c r="D436" s="55"/>
      <c r="E436" s="55"/>
      <c r="F436" s="55"/>
      <c r="G436" s="55"/>
      <c r="H436" s="55"/>
      <c r="I436" s="55"/>
      <c r="J436" s="55"/>
      <c r="K436" s="55"/>
      <c r="L436" s="55"/>
      <c r="M436" s="55"/>
      <c r="N436" s="55"/>
      <c r="O436" s="55"/>
      <c r="P436" s="55"/>
      <c r="Q436" s="55"/>
      <c r="R436" s="55"/>
      <c r="S436" s="55"/>
      <c r="T436" s="55"/>
      <c r="U436" s="55"/>
      <c r="V436" s="55"/>
      <c r="W436" s="55"/>
      <c r="X436" s="55"/>
      <c r="Y436" s="55"/>
      <c r="Z436" s="55"/>
    </row>
    <row r="437" spans="1:26" ht="15">
      <c r="A437" s="55"/>
      <c r="B437" s="55"/>
      <c r="C437" s="55"/>
      <c r="D437" s="55"/>
      <c r="E437" s="55"/>
      <c r="F437" s="55"/>
      <c r="G437" s="55"/>
      <c r="H437" s="55"/>
      <c r="I437" s="55"/>
      <c r="J437" s="55"/>
      <c r="K437" s="55"/>
      <c r="L437" s="55"/>
      <c r="M437" s="55"/>
      <c r="N437" s="55"/>
      <c r="O437" s="55"/>
      <c r="P437" s="55"/>
      <c r="Q437" s="55"/>
      <c r="R437" s="55"/>
      <c r="S437" s="55"/>
      <c r="T437" s="55"/>
      <c r="U437" s="55"/>
      <c r="V437" s="55"/>
      <c r="W437" s="55"/>
      <c r="X437" s="55"/>
      <c r="Y437" s="55"/>
      <c r="Z437" s="55"/>
    </row>
    <row r="438" spans="1:26" ht="15">
      <c r="A438" s="55"/>
      <c r="B438" s="55"/>
      <c r="C438" s="55"/>
      <c r="D438" s="55"/>
      <c r="E438" s="55"/>
      <c r="F438" s="55"/>
      <c r="G438" s="55"/>
      <c r="H438" s="55"/>
      <c r="I438" s="55"/>
      <c r="J438" s="55"/>
      <c r="K438" s="55"/>
      <c r="L438" s="55"/>
      <c r="M438" s="55"/>
      <c r="N438" s="55"/>
      <c r="O438" s="55"/>
      <c r="P438" s="55"/>
      <c r="Q438" s="55"/>
      <c r="R438" s="55"/>
      <c r="S438" s="55"/>
      <c r="T438" s="55"/>
      <c r="U438" s="55"/>
      <c r="V438" s="55"/>
      <c r="W438" s="55"/>
      <c r="X438" s="55"/>
      <c r="Y438" s="55"/>
      <c r="Z438" s="55"/>
    </row>
    <row r="439" spans="1:26" ht="15">
      <c r="A439" s="55"/>
      <c r="B439" s="55"/>
      <c r="C439" s="55"/>
      <c r="D439" s="55"/>
      <c r="E439" s="55"/>
      <c r="F439" s="55"/>
      <c r="G439" s="55"/>
      <c r="H439" s="55"/>
      <c r="I439" s="55"/>
      <c r="J439" s="55"/>
      <c r="K439" s="55"/>
      <c r="L439" s="55"/>
      <c r="M439" s="55"/>
      <c r="N439" s="55"/>
      <c r="O439" s="55"/>
      <c r="P439" s="55"/>
      <c r="Q439" s="55"/>
      <c r="R439" s="55"/>
      <c r="S439" s="55"/>
      <c r="T439" s="55"/>
      <c r="U439" s="55"/>
      <c r="V439" s="55"/>
      <c r="W439" s="55"/>
      <c r="X439" s="55"/>
      <c r="Y439" s="55"/>
      <c r="Z439" s="55"/>
    </row>
    <row r="440" spans="1:26" ht="15">
      <c r="A440" s="55"/>
      <c r="B440" s="55"/>
      <c r="C440" s="55"/>
      <c r="D440" s="55"/>
      <c r="E440" s="55"/>
      <c r="F440" s="55"/>
      <c r="G440" s="55"/>
      <c r="H440" s="55"/>
      <c r="I440" s="55"/>
      <c r="J440" s="55"/>
      <c r="K440" s="55"/>
      <c r="L440" s="55"/>
      <c r="M440" s="55"/>
      <c r="N440" s="55"/>
      <c r="O440" s="55"/>
      <c r="P440" s="55"/>
      <c r="Q440" s="55"/>
      <c r="R440" s="55"/>
      <c r="S440" s="55"/>
      <c r="T440" s="55"/>
      <c r="U440" s="55"/>
      <c r="V440" s="55"/>
      <c r="W440" s="55"/>
      <c r="X440" s="55"/>
      <c r="Y440" s="55"/>
      <c r="Z440" s="55"/>
    </row>
    <row r="441" spans="1:26" ht="15">
      <c r="A441" s="55"/>
      <c r="B441" s="55"/>
      <c r="C441" s="55"/>
      <c r="D441" s="55"/>
      <c r="E441" s="55"/>
      <c r="F441" s="55"/>
      <c r="G441" s="55"/>
      <c r="H441" s="55"/>
      <c r="I441" s="55"/>
      <c r="J441" s="55"/>
      <c r="K441" s="55"/>
      <c r="L441" s="55"/>
      <c r="M441" s="55"/>
      <c r="N441" s="55"/>
      <c r="O441" s="55"/>
      <c r="P441" s="55"/>
      <c r="Q441" s="55"/>
      <c r="R441" s="55"/>
      <c r="S441" s="55"/>
      <c r="T441" s="55"/>
      <c r="U441" s="55"/>
      <c r="V441" s="55"/>
      <c r="W441" s="55"/>
      <c r="X441" s="55"/>
      <c r="Y441" s="55"/>
      <c r="Z441" s="55"/>
    </row>
    <row r="442" spans="1:26" ht="15">
      <c r="A442" s="55"/>
      <c r="B442" s="55"/>
      <c r="C442" s="55"/>
      <c r="D442" s="55"/>
      <c r="E442" s="55"/>
      <c r="F442" s="55"/>
      <c r="G442" s="55"/>
      <c r="H442" s="55"/>
      <c r="I442" s="55"/>
      <c r="J442" s="55"/>
      <c r="K442" s="55"/>
      <c r="L442" s="55"/>
      <c r="M442" s="55"/>
      <c r="N442" s="55"/>
      <c r="O442" s="55"/>
      <c r="P442" s="55"/>
      <c r="Q442" s="55"/>
      <c r="R442" s="55"/>
      <c r="S442" s="55"/>
      <c r="T442" s="55"/>
      <c r="U442" s="55"/>
      <c r="V442" s="55"/>
      <c r="W442" s="55"/>
      <c r="X442" s="55"/>
      <c r="Y442" s="55"/>
      <c r="Z442" s="55"/>
    </row>
    <row r="443" spans="1:26" ht="15">
      <c r="A443" s="55"/>
      <c r="B443" s="55"/>
      <c r="C443" s="55"/>
      <c r="D443" s="55"/>
      <c r="E443" s="55"/>
      <c r="F443" s="55"/>
      <c r="G443" s="55"/>
      <c r="H443" s="55"/>
      <c r="I443" s="55"/>
      <c r="J443" s="55"/>
      <c r="K443" s="55"/>
      <c r="L443" s="55"/>
      <c r="M443" s="55"/>
      <c r="N443" s="55"/>
      <c r="O443" s="55"/>
      <c r="P443" s="55"/>
      <c r="Q443" s="55"/>
      <c r="R443" s="55"/>
      <c r="S443" s="55"/>
      <c r="T443" s="55"/>
      <c r="U443" s="55"/>
      <c r="V443" s="55"/>
      <c r="W443" s="55"/>
      <c r="X443" s="55"/>
      <c r="Y443" s="55"/>
      <c r="Z443" s="55"/>
    </row>
    <row r="444" spans="1:26" ht="15">
      <c r="A444" s="55"/>
      <c r="B444" s="55"/>
      <c r="C444" s="55"/>
      <c r="D444" s="55"/>
      <c r="E444" s="55"/>
      <c r="F444" s="55"/>
      <c r="G444" s="55"/>
      <c r="H444" s="55"/>
      <c r="I444" s="55"/>
      <c r="J444" s="55"/>
      <c r="K444" s="55"/>
      <c r="L444" s="55"/>
      <c r="M444" s="55"/>
      <c r="N444" s="55"/>
      <c r="O444" s="55"/>
      <c r="P444" s="55"/>
      <c r="Q444" s="55"/>
      <c r="R444" s="55"/>
      <c r="S444" s="55"/>
      <c r="T444" s="55"/>
      <c r="U444" s="55"/>
      <c r="V444" s="55"/>
      <c r="W444" s="55"/>
      <c r="X444" s="55"/>
      <c r="Y444" s="55"/>
      <c r="Z444" s="55"/>
    </row>
    <row r="445" spans="1:26" ht="15">
      <c r="A445" s="55"/>
      <c r="B445" s="55"/>
      <c r="C445" s="55"/>
      <c r="D445" s="55"/>
      <c r="E445" s="55"/>
      <c r="F445" s="55"/>
      <c r="G445" s="55"/>
      <c r="H445" s="55"/>
      <c r="I445" s="55"/>
      <c r="J445" s="55"/>
      <c r="K445" s="55"/>
      <c r="L445" s="55"/>
      <c r="M445" s="55"/>
      <c r="N445" s="55"/>
      <c r="O445" s="55"/>
      <c r="P445" s="55"/>
      <c r="Q445" s="55"/>
      <c r="R445" s="55"/>
      <c r="S445" s="55"/>
      <c r="T445" s="55"/>
      <c r="U445" s="55"/>
      <c r="V445" s="55"/>
      <c r="W445" s="55"/>
      <c r="X445" s="55"/>
      <c r="Y445" s="55"/>
      <c r="Z445" s="55"/>
    </row>
    <row r="446" spans="1:26" ht="15">
      <c r="A446" s="55"/>
      <c r="B446" s="55"/>
      <c r="C446" s="55"/>
      <c r="D446" s="55"/>
      <c r="E446" s="55"/>
      <c r="F446" s="55"/>
      <c r="G446" s="55"/>
      <c r="H446" s="55"/>
      <c r="I446" s="55"/>
      <c r="J446" s="55"/>
      <c r="K446" s="55"/>
      <c r="L446" s="55"/>
      <c r="M446" s="55"/>
      <c r="N446" s="55"/>
      <c r="O446" s="55"/>
      <c r="P446" s="55"/>
      <c r="Q446" s="55"/>
      <c r="R446" s="55"/>
      <c r="S446" s="55"/>
      <c r="T446" s="55"/>
      <c r="U446" s="55"/>
      <c r="V446" s="55"/>
      <c r="W446" s="55"/>
      <c r="X446" s="55"/>
      <c r="Y446" s="55"/>
      <c r="Z446" s="55"/>
    </row>
    <row r="447" spans="1:26" ht="15">
      <c r="A447" s="55"/>
      <c r="B447" s="55"/>
      <c r="C447" s="55"/>
      <c r="D447" s="55"/>
      <c r="E447" s="55"/>
      <c r="F447" s="55"/>
      <c r="G447" s="55"/>
      <c r="H447" s="55"/>
      <c r="I447" s="55"/>
      <c r="J447" s="55"/>
      <c r="K447" s="55"/>
      <c r="L447" s="55"/>
      <c r="M447" s="55"/>
      <c r="N447" s="55"/>
      <c r="O447" s="55"/>
      <c r="P447" s="55"/>
      <c r="Q447" s="55"/>
      <c r="R447" s="55"/>
      <c r="S447" s="55"/>
      <c r="T447" s="55"/>
      <c r="U447" s="55"/>
      <c r="V447" s="55"/>
      <c r="W447" s="55"/>
      <c r="X447" s="55"/>
      <c r="Y447" s="55"/>
      <c r="Z447" s="55"/>
    </row>
    <row r="448" spans="1:26" ht="15">
      <c r="A448" s="55"/>
      <c r="B448" s="55"/>
      <c r="C448" s="55"/>
      <c r="D448" s="55"/>
      <c r="E448" s="55"/>
      <c r="F448" s="55"/>
      <c r="G448" s="55"/>
      <c r="H448" s="55"/>
      <c r="I448" s="55"/>
      <c r="J448" s="55"/>
      <c r="K448" s="55"/>
      <c r="L448" s="55"/>
      <c r="M448" s="55"/>
      <c r="N448" s="55"/>
      <c r="O448" s="55"/>
      <c r="P448" s="55"/>
      <c r="Q448" s="55"/>
      <c r="R448" s="55"/>
      <c r="S448" s="55"/>
      <c r="T448" s="55"/>
      <c r="U448" s="55"/>
      <c r="V448" s="55"/>
      <c r="W448" s="55"/>
      <c r="X448" s="55"/>
      <c r="Y448" s="55"/>
      <c r="Z448" s="55"/>
    </row>
    <row r="449" spans="1:26" ht="15">
      <c r="A449" s="55"/>
      <c r="B449" s="55"/>
      <c r="C449" s="55"/>
      <c r="D449" s="55"/>
      <c r="E449" s="55"/>
      <c r="F449" s="55"/>
      <c r="G449" s="55"/>
      <c r="H449" s="55"/>
      <c r="I449" s="55"/>
      <c r="J449" s="55"/>
      <c r="K449" s="55"/>
      <c r="L449" s="55"/>
      <c r="M449" s="55"/>
      <c r="N449" s="55"/>
      <c r="O449" s="55"/>
      <c r="P449" s="55"/>
      <c r="Q449" s="55"/>
      <c r="R449" s="55"/>
      <c r="S449" s="55"/>
      <c r="T449" s="55"/>
      <c r="U449" s="55"/>
      <c r="V449" s="55"/>
      <c r="W449" s="55"/>
      <c r="X449" s="55"/>
      <c r="Y449" s="55"/>
      <c r="Z449" s="55"/>
    </row>
    <row r="450" spans="1:26" ht="15">
      <c r="A450" s="55"/>
      <c r="B450" s="55"/>
      <c r="C450" s="55"/>
      <c r="D450" s="55"/>
      <c r="E450" s="55"/>
      <c r="F450" s="55"/>
      <c r="G450" s="55"/>
      <c r="H450" s="55"/>
      <c r="I450" s="55"/>
      <c r="J450" s="55"/>
      <c r="K450" s="55"/>
      <c r="L450" s="55"/>
      <c r="M450" s="55"/>
      <c r="N450" s="55"/>
      <c r="O450" s="55"/>
      <c r="P450" s="55"/>
      <c r="Q450" s="55"/>
      <c r="R450" s="55"/>
      <c r="S450" s="55"/>
      <c r="T450" s="55"/>
      <c r="U450" s="55"/>
      <c r="V450" s="55"/>
      <c r="W450" s="55"/>
      <c r="X450" s="55"/>
      <c r="Y450" s="55"/>
      <c r="Z450" s="55"/>
    </row>
    <row r="451" spans="1:26" ht="15">
      <c r="A451" s="55"/>
      <c r="B451" s="55"/>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row>
    <row r="452" spans="1:26" ht="15">
      <c r="A452" s="55"/>
      <c r="B452" s="55"/>
      <c r="C452" s="55"/>
      <c r="D452" s="55"/>
      <c r="E452" s="55"/>
      <c r="F452" s="55"/>
      <c r="G452" s="55"/>
      <c r="H452" s="55"/>
      <c r="I452" s="55"/>
      <c r="J452" s="55"/>
      <c r="K452" s="55"/>
      <c r="L452" s="55"/>
      <c r="M452" s="55"/>
      <c r="N452" s="55"/>
      <c r="O452" s="55"/>
      <c r="P452" s="55"/>
      <c r="Q452" s="55"/>
      <c r="R452" s="55"/>
      <c r="S452" s="55"/>
      <c r="T452" s="55"/>
      <c r="U452" s="55"/>
      <c r="V452" s="55"/>
      <c r="W452" s="55"/>
      <c r="X452" s="55"/>
      <c r="Y452" s="55"/>
      <c r="Z452" s="55"/>
    </row>
    <row r="453" spans="1:26" ht="15">
      <c r="A453" s="55"/>
      <c r="B453" s="55"/>
      <c r="C453" s="55"/>
      <c r="D453" s="55"/>
      <c r="E453" s="55"/>
      <c r="F453" s="55"/>
      <c r="G453" s="55"/>
      <c r="H453" s="55"/>
      <c r="I453" s="55"/>
      <c r="J453" s="55"/>
      <c r="K453" s="55"/>
      <c r="L453" s="55"/>
      <c r="M453" s="55"/>
      <c r="N453" s="55"/>
      <c r="O453" s="55"/>
      <c r="P453" s="55"/>
      <c r="Q453" s="55"/>
      <c r="R453" s="55"/>
      <c r="S453" s="55"/>
      <c r="T453" s="55"/>
      <c r="U453" s="55"/>
      <c r="V453" s="55"/>
      <c r="W453" s="55"/>
      <c r="X453" s="55"/>
      <c r="Y453" s="55"/>
      <c r="Z453" s="55"/>
    </row>
    <row r="454" spans="1:26" ht="15">
      <c r="A454" s="55"/>
      <c r="B454" s="55"/>
      <c r="C454" s="55"/>
      <c r="D454" s="55"/>
      <c r="E454" s="55"/>
      <c r="F454" s="55"/>
      <c r="G454" s="55"/>
      <c r="H454" s="55"/>
      <c r="I454" s="55"/>
      <c r="J454" s="55"/>
      <c r="K454" s="55"/>
      <c r="L454" s="55"/>
      <c r="M454" s="55"/>
      <c r="N454" s="55"/>
      <c r="O454" s="55"/>
      <c r="P454" s="55"/>
      <c r="Q454" s="55"/>
      <c r="R454" s="55"/>
      <c r="S454" s="55"/>
      <c r="T454" s="55"/>
      <c r="U454" s="55"/>
      <c r="V454" s="55"/>
      <c r="W454" s="55"/>
      <c r="X454" s="55"/>
      <c r="Y454" s="55"/>
      <c r="Z454" s="55"/>
    </row>
    <row r="455" spans="1:26" ht="15">
      <c r="A455" s="55"/>
      <c r="B455" s="55"/>
      <c r="C455" s="55"/>
      <c r="D455" s="55"/>
      <c r="E455" s="55"/>
      <c r="F455" s="55"/>
      <c r="G455" s="55"/>
      <c r="H455" s="55"/>
      <c r="I455" s="55"/>
      <c r="J455" s="55"/>
      <c r="K455" s="55"/>
      <c r="L455" s="55"/>
      <c r="M455" s="55"/>
      <c r="N455" s="55"/>
      <c r="O455" s="55"/>
      <c r="P455" s="55"/>
      <c r="Q455" s="55"/>
      <c r="R455" s="55"/>
      <c r="S455" s="55"/>
      <c r="T455" s="55"/>
      <c r="U455" s="55"/>
      <c r="V455" s="55"/>
      <c r="W455" s="55"/>
      <c r="X455" s="55"/>
      <c r="Y455" s="55"/>
      <c r="Z455" s="55"/>
    </row>
    <row r="456" spans="1:26" ht="15">
      <c r="A456" s="55"/>
      <c r="B456" s="55"/>
      <c r="C456" s="55"/>
      <c r="D456" s="55"/>
      <c r="E456" s="55"/>
      <c r="F456" s="55"/>
      <c r="G456" s="55"/>
      <c r="H456" s="55"/>
      <c r="I456" s="55"/>
      <c r="J456" s="55"/>
      <c r="K456" s="55"/>
      <c r="L456" s="55"/>
      <c r="M456" s="55"/>
      <c r="N456" s="55"/>
      <c r="O456" s="55"/>
      <c r="P456" s="55"/>
      <c r="Q456" s="55"/>
      <c r="R456" s="55"/>
      <c r="S456" s="55"/>
      <c r="T456" s="55"/>
      <c r="U456" s="55"/>
      <c r="V456" s="55"/>
      <c r="W456" s="55"/>
      <c r="X456" s="55"/>
      <c r="Y456" s="55"/>
      <c r="Z456" s="55"/>
    </row>
    <row r="457" spans="1:26" ht="15">
      <c r="A457" s="55"/>
      <c r="B457" s="55"/>
      <c r="C457" s="55"/>
      <c r="D457" s="55"/>
      <c r="E457" s="55"/>
      <c r="F457" s="55"/>
      <c r="G457" s="55"/>
      <c r="H457" s="55"/>
      <c r="I457" s="55"/>
      <c r="J457" s="55"/>
      <c r="K457" s="55"/>
      <c r="L457" s="55"/>
      <c r="M457" s="55"/>
      <c r="N457" s="55"/>
      <c r="O457" s="55"/>
      <c r="P457" s="55"/>
      <c r="Q457" s="55"/>
      <c r="R457" s="55"/>
      <c r="S457" s="55"/>
      <c r="T457" s="55"/>
      <c r="U457" s="55"/>
      <c r="V457" s="55"/>
      <c r="W457" s="55"/>
      <c r="X457" s="55"/>
      <c r="Y457" s="55"/>
      <c r="Z457" s="55"/>
    </row>
    <row r="458" spans="1:26" ht="15">
      <c r="A458" s="55"/>
      <c r="B458" s="55"/>
      <c r="C458" s="55"/>
      <c r="D458" s="55"/>
      <c r="E458" s="55"/>
      <c r="F458" s="55"/>
      <c r="G458" s="55"/>
      <c r="H458" s="55"/>
      <c r="I458" s="55"/>
      <c r="J458" s="55"/>
      <c r="K458" s="55"/>
      <c r="L458" s="55"/>
      <c r="M458" s="55"/>
      <c r="N458" s="55"/>
      <c r="O458" s="55"/>
      <c r="P458" s="55"/>
      <c r="Q458" s="55"/>
      <c r="R458" s="55"/>
      <c r="S458" s="55"/>
      <c r="T458" s="55"/>
      <c r="U458" s="55"/>
      <c r="V458" s="55"/>
      <c r="W458" s="55"/>
      <c r="X458" s="55"/>
      <c r="Y458" s="55"/>
      <c r="Z458" s="55"/>
    </row>
    <row r="459" spans="1:26" ht="15">
      <c r="A459" s="55"/>
      <c r="B459" s="55"/>
      <c r="C459" s="55"/>
      <c r="D459" s="55"/>
      <c r="E459" s="55"/>
      <c r="F459" s="55"/>
      <c r="G459" s="55"/>
      <c r="H459" s="55"/>
      <c r="I459" s="55"/>
      <c r="J459" s="55"/>
      <c r="K459" s="55"/>
      <c r="L459" s="55"/>
      <c r="M459" s="55"/>
      <c r="N459" s="55"/>
      <c r="O459" s="55"/>
      <c r="P459" s="55"/>
      <c r="Q459" s="55"/>
      <c r="R459" s="55"/>
      <c r="S459" s="55"/>
      <c r="T459" s="55"/>
      <c r="U459" s="55"/>
      <c r="V459" s="55"/>
      <c r="W459" s="55"/>
      <c r="X459" s="55"/>
      <c r="Y459" s="55"/>
      <c r="Z459" s="55"/>
    </row>
    <row r="460" spans="1:26" ht="15">
      <c r="A460" s="55"/>
      <c r="B460" s="55"/>
      <c r="C460" s="55"/>
      <c r="D460" s="55"/>
      <c r="E460" s="55"/>
      <c r="F460" s="55"/>
      <c r="G460" s="55"/>
      <c r="H460" s="55"/>
      <c r="I460" s="55"/>
      <c r="J460" s="55"/>
      <c r="K460" s="55"/>
      <c r="L460" s="55"/>
      <c r="M460" s="55"/>
      <c r="N460" s="55"/>
      <c r="O460" s="55"/>
      <c r="P460" s="55"/>
      <c r="Q460" s="55"/>
      <c r="R460" s="55"/>
      <c r="S460" s="55"/>
      <c r="T460" s="55"/>
      <c r="U460" s="55"/>
      <c r="V460" s="55"/>
      <c r="W460" s="55"/>
      <c r="X460" s="55"/>
      <c r="Y460" s="55"/>
      <c r="Z460" s="55"/>
    </row>
    <row r="461" spans="1:26" ht="15">
      <c r="A461" s="55"/>
      <c r="B461" s="55"/>
      <c r="C461" s="55"/>
      <c r="D461" s="55"/>
      <c r="E461" s="55"/>
      <c r="F461" s="55"/>
      <c r="G461" s="55"/>
      <c r="H461" s="55"/>
      <c r="I461" s="55"/>
      <c r="J461" s="55"/>
      <c r="K461" s="55"/>
      <c r="L461" s="55"/>
      <c r="M461" s="55"/>
      <c r="N461" s="55"/>
      <c r="O461" s="55"/>
      <c r="P461" s="55"/>
      <c r="Q461" s="55"/>
      <c r="R461" s="55"/>
      <c r="S461" s="55"/>
      <c r="T461" s="55"/>
      <c r="U461" s="55"/>
      <c r="V461" s="55"/>
      <c r="W461" s="55"/>
      <c r="X461" s="55"/>
      <c r="Y461" s="55"/>
      <c r="Z461" s="55"/>
    </row>
    <row r="462" spans="1:26" ht="15">
      <c r="A462" s="55"/>
      <c r="B462" s="55"/>
      <c r="C462" s="55"/>
      <c r="D462" s="55"/>
      <c r="E462" s="55"/>
      <c r="F462" s="55"/>
      <c r="G462" s="55"/>
      <c r="H462" s="55"/>
      <c r="I462" s="55"/>
      <c r="J462" s="55"/>
      <c r="K462" s="55"/>
      <c r="L462" s="55"/>
      <c r="M462" s="55"/>
      <c r="N462" s="55"/>
      <c r="O462" s="55"/>
      <c r="P462" s="55"/>
      <c r="Q462" s="55"/>
      <c r="R462" s="55"/>
      <c r="S462" s="55"/>
      <c r="T462" s="55"/>
      <c r="U462" s="55"/>
      <c r="V462" s="55"/>
      <c r="W462" s="55"/>
      <c r="X462" s="55"/>
      <c r="Y462" s="55"/>
      <c r="Z462" s="55"/>
    </row>
    <row r="463" spans="1:26" ht="15">
      <c r="A463" s="55"/>
      <c r="B463" s="55"/>
      <c r="C463" s="55"/>
      <c r="D463" s="55"/>
      <c r="E463" s="55"/>
      <c r="F463" s="55"/>
      <c r="G463" s="55"/>
      <c r="H463" s="55"/>
      <c r="I463" s="55"/>
      <c r="J463" s="55"/>
      <c r="K463" s="55"/>
      <c r="L463" s="55"/>
      <c r="M463" s="55"/>
      <c r="N463" s="55"/>
      <c r="O463" s="55"/>
      <c r="P463" s="55"/>
      <c r="Q463" s="55"/>
      <c r="R463" s="55"/>
      <c r="S463" s="55"/>
      <c r="T463" s="55"/>
      <c r="U463" s="55"/>
      <c r="V463" s="55"/>
      <c r="W463" s="55"/>
      <c r="X463" s="55"/>
      <c r="Y463" s="55"/>
      <c r="Z463" s="55"/>
    </row>
    <row r="464" spans="1:26" ht="15">
      <c r="A464" s="55"/>
      <c r="B464" s="55"/>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5"/>
    </row>
    <row r="465" spans="1:26" ht="15">
      <c r="A465" s="55"/>
      <c r="B465" s="55"/>
      <c r="C465" s="55"/>
      <c r="D465" s="55"/>
      <c r="E465" s="55"/>
      <c r="F465" s="55"/>
      <c r="G465" s="55"/>
      <c r="H465" s="55"/>
      <c r="I465" s="55"/>
      <c r="J465" s="55"/>
      <c r="K465" s="55"/>
      <c r="L465" s="55"/>
      <c r="M465" s="55"/>
      <c r="N465" s="55"/>
      <c r="O465" s="55"/>
      <c r="P465" s="55"/>
      <c r="Q465" s="55"/>
      <c r="R465" s="55"/>
      <c r="S465" s="55"/>
      <c r="T465" s="55"/>
      <c r="U465" s="55"/>
      <c r="V465" s="55"/>
      <c r="W465" s="55"/>
      <c r="X465" s="55"/>
      <c r="Y465" s="55"/>
      <c r="Z465" s="55"/>
    </row>
    <row r="466" spans="1:26" ht="15">
      <c r="A466" s="55"/>
      <c r="B466" s="55"/>
      <c r="C466" s="55"/>
      <c r="D466" s="55"/>
      <c r="E466" s="55"/>
      <c r="F466" s="55"/>
      <c r="G466" s="55"/>
      <c r="H466" s="55"/>
      <c r="I466" s="55"/>
      <c r="J466" s="55"/>
      <c r="K466" s="55"/>
      <c r="L466" s="55"/>
      <c r="M466" s="55"/>
      <c r="N466" s="55"/>
      <c r="O466" s="55"/>
      <c r="P466" s="55"/>
      <c r="Q466" s="55"/>
      <c r="R466" s="55"/>
      <c r="S466" s="55"/>
      <c r="T466" s="55"/>
      <c r="U466" s="55"/>
      <c r="V466" s="55"/>
      <c r="W466" s="55"/>
      <c r="X466" s="55"/>
      <c r="Y466" s="55"/>
      <c r="Z466" s="55"/>
    </row>
    <row r="467" spans="1:26" ht="15">
      <c r="A467" s="55"/>
      <c r="B467" s="55"/>
      <c r="C467" s="55"/>
      <c r="D467" s="55"/>
      <c r="E467" s="55"/>
      <c r="F467" s="55"/>
      <c r="G467" s="55"/>
      <c r="H467" s="55"/>
      <c r="I467" s="55"/>
      <c r="J467" s="55"/>
      <c r="K467" s="55"/>
      <c r="L467" s="55"/>
      <c r="M467" s="55"/>
      <c r="N467" s="55"/>
      <c r="O467" s="55"/>
      <c r="P467" s="55"/>
      <c r="Q467" s="55"/>
      <c r="R467" s="55"/>
      <c r="S467" s="55"/>
      <c r="T467" s="55"/>
      <c r="U467" s="55"/>
      <c r="V467" s="55"/>
      <c r="W467" s="55"/>
      <c r="X467" s="55"/>
      <c r="Y467" s="55"/>
      <c r="Z467" s="55"/>
    </row>
    <row r="468" spans="1:26" ht="15">
      <c r="A468" s="55"/>
      <c r="B468" s="55"/>
      <c r="C468" s="55"/>
      <c r="D468" s="55"/>
      <c r="E468" s="55"/>
      <c r="F468" s="55"/>
      <c r="G468" s="55"/>
      <c r="H468" s="55"/>
      <c r="I468" s="55"/>
      <c r="J468" s="55"/>
      <c r="K468" s="55"/>
      <c r="L468" s="55"/>
      <c r="M468" s="55"/>
      <c r="N468" s="55"/>
      <c r="O468" s="55"/>
      <c r="P468" s="55"/>
      <c r="Q468" s="55"/>
      <c r="R468" s="55"/>
      <c r="S468" s="55"/>
      <c r="T468" s="55"/>
      <c r="U468" s="55"/>
      <c r="V468" s="55"/>
      <c r="W468" s="55"/>
      <c r="X468" s="55"/>
      <c r="Y468" s="55"/>
      <c r="Z468" s="55"/>
    </row>
    <row r="469" spans="1:26" ht="15">
      <c r="A469" s="55"/>
      <c r="B469" s="55"/>
      <c r="C469" s="55"/>
      <c r="D469" s="55"/>
      <c r="E469" s="55"/>
      <c r="F469" s="55"/>
      <c r="G469" s="55"/>
      <c r="H469" s="55"/>
      <c r="I469" s="55"/>
      <c r="J469" s="55"/>
      <c r="K469" s="55"/>
      <c r="L469" s="55"/>
      <c r="M469" s="55"/>
      <c r="N469" s="55"/>
      <c r="O469" s="55"/>
      <c r="P469" s="55"/>
      <c r="Q469" s="55"/>
      <c r="R469" s="55"/>
      <c r="S469" s="55"/>
      <c r="T469" s="55"/>
      <c r="U469" s="55"/>
      <c r="V469" s="55"/>
      <c r="W469" s="55"/>
      <c r="X469" s="55"/>
      <c r="Y469" s="55"/>
      <c r="Z469" s="55"/>
    </row>
    <row r="470" spans="1:26" ht="15">
      <c r="A470" s="55"/>
      <c r="B470" s="55"/>
      <c r="C470" s="55"/>
      <c r="D470" s="55"/>
      <c r="E470" s="55"/>
      <c r="F470" s="55"/>
      <c r="G470" s="55"/>
      <c r="H470" s="55"/>
      <c r="I470" s="55"/>
      <c r="J470" s="55"/>
      <c r="K470" s="55"/>
      <c r="L470" s="55"/>
      <c r="M470" s="55"/>
      <c r="N470" s="55"/>
      <c r="O470" s="55"/>
      <c r="P470" s="55"/>
      <c r="Q470" s="55"/>
      <c r="R470" s="55"/>
      <c r="S470" s="55"/>
      <c r="T470" s="55"/>
      <c r="U470" s="55"/>
      <c r="V470" s="55"/>
      <c r="W470" s="55"/>
      <c r="X470" s="55"/>
      <c r="Y470" s="55"/>
      <c r="Z470" s="55"/>
    </row>
    <row r="471" spans="1:26" ht="15">
      <c r="A471" s="55"/>
      <c r="B471" s="55"/>
      <c r="C471" s="55"/>
      <c r="D471" s="55"/>
      <c r="E471" s="55"/>
      <c r="F471" s="55"/>
      <c r="G471" s="55"/>
      <c r="H471" s="55"/>
      <c r="I471" s="55"/>
      <c r="J471" s="55"/>
      <c r="K471" s="55"/>
      <c r="L471" s="55"/>
      <c r="M471" s="55"/>
      <c r="N471" s="55"/>
      <c r="O471" s="55"/>
      <c r="P471" s="55"/>
      <c r="Q471" s="55"/>
      <c r="R471" s="55"/>
      <c r="S471" s="55"/>
      <c r="T471" s="55"/>
      <c r="U471" s="55"/>
      <c r="V471" s="55"/>
      <c r="W471" s="55"/>
      <c r="X471" s="55"/>
      <c r="Y471" s="55"/>
      <c r="Z471" s="55"/>
    </row>
    <row r="472" spans="1:26" ht="15">
      <c r="A472" s="55"/>
      <c r="B472" s="55"/>
      <c r="C472" s="55"/>
      <c r="D472" s="55"/>
      <c r="E472" s="55"/>
      <c r="F472" s="55"/>
      <c r="G472" s="55"/>
      <c r="H472" s="55"/>
      <c r="I472" s="55"/>
      <c r="J472" s="55"/>
      <c r="K472" s="55"/>
      <c r="L472" s="55"/>
      <c r="M472" s="55"/>
      <c r="N472" s="55"/>
      <c r="O472" s="55"/>
      <c r="P472" s="55"/>
      <c r="Q472" s="55"/>
      <c r="R472" s="55"/>
      <c r="S472" s="55"/>
      <c r="T472" s="55"/>
      <c r="U472" s="55"/>
      <c r="V472" s="55"/>
      <c r="W472" s="55"/>
      <c r="X472" s="55"/>
      <c r="Y472" s="55"/>
      <c r="Z472" s="55"/>
    </row>
    <row r="473" spans="1:26" ht="15">
      <c r="A473" s="55"/>
      <c r="B473" s="55"/>
      <c r="C473" s="55"/>
      <c r="D473" s="55"/>
      <c r="E473" s="55"/>
      <c r="F473" s="55"/>
      <c r="G473" s="55"/>
      <c r="H473" s="55"/>
      <c r="I473" s="55"/>
      <c r="J473" s="55"/>
      <c r="K473" s="55"/>
      <c r="L473" s="55"/>
      <c r="M473" s="55"/>
      <c r="N473" s="55"/>
      <c r="O473" s="55"/>
      <c r="P473" s="55"/>
      <c r="Q473" s="55"/>
      <c r="R473" s="55"/>
      <c r="S473" s="55"/>
      <c r="T473" s="55"/>
      <c r="U473" s="55"/>
      <c r="V473" s="55"/>
      <c r="W473" s="55"/>
      <c r="X473" s="55"/>
      <c r="Y473" s="55"/>
      <c r="Z473" s="55"/>
    </row>
    <row r="474" spans="1:26" ht="15">
      <c r="A474" s="55"/>
      <c r="B474" s="55"/>
      <c r="C474" s="55"/>
      <c r="D474" s="55"/>
      <c r="E474" s="55"/>
      <c r="F474" s="55"/>
      <c r="G474" s="55"/>
      <c r="H474" s="55"/>
      <c r="I474" s="55"/>
      <c r="J474" s="55"/>
      <c r="K474" s="55"/>
      <c r="L474" s="55"/>
      <c r="M474" s="55"/>
      <c r="N474" s="55"/>
      <c r="O474" s="55"/>
      <c r="P474" s="55"/>
      <c r="Q474" s="55"/>
      <c r="R474" s="55"/>
      <c r="S474" s="55"/>
      <c r="T474" s="55"/>
      <c r="U474" s="55"/>
      <c r="V474" s="55"/>
      <c r="W474" s="55"/>
      <c r="X474" s="55"/>
      <c r="Y474" s="55"/>
      <c r="Z474" s="55"/>
    </row>
    <row r="475" spans="1:26" ht="15">
      <c r="A475" s="55"/>
      <c r="B475" s="55"/>
      <c r="C475" s="55"/>
      <c r="D475" s="55"/>
      <c r="E475" s="55"/>
      <c r="F475" s="55"/>
      <c r="G475" s="55"/>
      <c r="H475" s="55"/>
      <c r="I475" s="55"/>
      <c r="J475" s="55"/>
      <c r="K475" s="55"/>
      <c r="L475" s="55"/>
      <c r="M475" s="55"/>
      <c r="N475" s="55"/>
      <c r="O475" s="55"/>
      <c r="P475" s="55"/>
      <c r="Q475" s="55"/>
      <c r="R475" s="55"/>
      <c r="S475" s="55"/>
      <c r="T475" s="55"/>
      <c r="U475" s="55"/>
      <c r="V475" s="55"/>
      <c r="W475" s="55"/>
      <c r="X475" s="55"/>
      <c r="Y475" s="55"/>
      <c r="Z475" s="55"/>
    </row>
    <row r="476" spans="1:26" ht="15">
      <c r="A476" s="55"/>
      <c r="B476" s="55"/>
      <c r="C476" s="55"/>
      <c r="D476" s="55"/>
      <c r="E476" s="55"/>
      <c r="F476" s="55"/>
      <c r="G476" s="55"/>
      <c r="H476" s="55"/>
      <c r="I476" s="55"/>
      <c r="J476" s="55"/>
      <c r="K476" s="55"/>
      <c r="L476" s="55"/>
      <c r="M476" s="55"/>
      <c r="N476" s="55"/>
      <c r="O476" s="55"/>
      <c r="P476" s="55"/>
      <c r="Q476" s="55"/>
      <c r="R476" s="55"/>
      <c r="S476" s="55"/>
      <c r="T476" s="55"/>
      <c r="U476" s="55"/>
      <c r="V476" s="55"/>
      <c r="W476" s="55"/>
      <c r="X476" s="55"/>
      <c r="Y476" s="55"/>
      <c r="Z476" s="55"/>
    </row>
    <row r="477" spans="1:26" ht="15">
      <c r="A477" s="55"/>
      <c r="B477" s="55"/>
      <c r="C477" s="55"/>
      <c r="D477" s="55"/>
      <c r="E477" s="55"/>
      <c r="F477" s="55"/>
      <c r="G477" s="55"/>
      <c r="H477" s="55"/>
      <c r="I477" s="55"/>
      <c r="J477" s="55"/>
      <c r="K477" s="55"/>
      <c r="L477" s="55"/>
      <c r="M477" s="55"/>
      <c r="N477" s="55"/>
      <c r="O477" s="55"/>
      <c r="P477" s="55"/>
      <c r="Q477" s="55"/>
      <c r="R477" s="55"/>
      <c r="S477" s="55"/>
      <c r="T477" s="55"/>
      <c r="U477" s="55"/>
      <c r="V477" s="55"/>
      <c r="W477" s="55"/>
      <c r="X477" s="55"/>
      <c r="Y477" s="55"/>
      <c r="Z477" s="55"/>
    </row>
    <row r="478" spans="1:26" ht="15">
      <c r="A478" s="55"/>
      <c r="B478" s="55"/>
      <c r="C478" s="55"/>
      <c r="D478" s="55"/>
      <c r="E478" s="55"/>
      <c r="F478" s="55"/>
      <c r="G478" s="55"/>
      <c r="H478" s="55"/>
      <c r="I478" s="55"/>
      <c r="J478" s="55"/>
      <c r="K478" s="55"/>
      <c r="L478" s="55"/>
      <c r="M478" s="55"/>
      <c r="N478" s="55"/>
      <c r="O478" s="55"/>
      <c r="P478" s="55"/>
      <c r="Q478" s="55"/>
      <c r="R478" s="55"/>
      <c r="S478" s="55"/>
      <c r="T478" s="55"/>
      <c r="U478" s="55"/>
      <c r="V478" s="55"/>
      <c r="W478" s="55"/>
      <c r="X478" s="55"/>
      <c r="Y478" s="55"/>
      <c r="Z478" s="55"/>
    </row>
    <row r="479" spans="1:26" ht="15">
      <c r="A479" s="55"/>
      <c r="B479" s="55"/>
      <c r="C479" s="55"/>
      <c r="D479" s="55"/>
      <c r="E479" s="55"/>
      <c r="F479" s="55"/>
      <c r="G479" s="55"/>
      <c r="H479" s="55"/>
      <c r="I479" s="55"/>
      <c r="J479" s="55"/>
      <c r="K479" s="55"/>
      <c r="L479" s="55"/>
      <c r="M479" s="55"/>
      <c r="N479" s="55"/>
      <c r="O479" s="55"/>
      <c r="P479" s="55"/>
      <c r="Q479" s="55"/>
      <c r="R479" s="55"/>
      <c r="S479" s="55"/>
      <c r="T479" s="55"/>
      <c r="U479" s="55"/>
      <c r="V479" s="55"/>
      <c r="W479" s="55"/>
      <c r="X479" s="55"/>
      <c r="Y479" s="55"/>
      <c r="Z479" s="55"/>
    </row>
    <row r="480" spans="1:26" ht="15">
      <c r="A480" s="55"/>
      <c r="B480" s="55"/>
      <c r="C480" s="55"/>
      <c r="D480" s="55"/>
      <c r="E480" s="55"/>
      <c r="F480" s="55"/>
      <c r="G480" s="55"/>
      <c r="H480" s="55"/>
      <c r="I480" s="55"/>
      <c r="J480" s="55"/>
      <c r="K480" s="55"/>
      <c r="L480" s="55"/>
      <c r="M480" s="55"/>
      <c r="N480" s="55"/>
      <c r="O480" s="55"/>
      <c r="P480" s="55"/>
      <c r="Q480" s="55"/>
      <c r="R480" s="55"/>
      <c r="S480" s="55"/>
      <c r="T480" s="55"/>
      <c r="U480" s="55"/>
      <c r="V480" s="55"/>
      <c r="W480" s="55"/>
      <c r="X480" s="55"/>
      <c r="Y480" s="55"/>
      <c r="Z480" s="55"/>
    </row>
    <row r="481" spans="1:26" ht="15">
      <c r="A481" s="55"/>
      <c r="B481" s="55"/>
      <c r="C481" s="55"/>
      <c r="D481" s="55"/>
      <c r="E481" s="55"/>
      <c r="F481" s="55"/>
      <c r="G481" s="55"/>
      <c r="H481" s="55"/>
      <c r="I481" s="55"/>
      <c r="J481" s="55"/>
      <c r="K481" s="55"/>
      <c r="L481" s="55"/>
      <c r="M481" s="55"/>
      <c r="N481" s="55"/>
      <c r="O481" s="55"/>
      <c r="P481" s="55"/>
      <c r="Q481" s="55"/>
      <c r="R481" s="55"/>
      <c r="S481" s="55"/>
      <c r="T481" s="55"/>
      <c r="U481" s="55"/>
      <c r="V481" s="55"/>
      <c r="W481" s="55"/>
      <c r="X481" s="55"/>
      <c r="Y481" s="55"/>
      <c r="Z481" s="55"/>
    </row>
    <row r="482" spans="1:26" ht="15">
      <c r="A482" s="55"/>
      <c r="B482" s="55"/>
      <c r="C482" s="55"/>
      <c r="D482" s="55"/>
      <c r="E482" s="55"/>
      <c r="F482" s="55"/>
      <c r="G482" s="55"/>
      <c r="H482" s="55"/>
      <c r="I482" s="55"/>
      <c r="J482" s="55"/>
      <c r="K482" s="55"/>
      <c r="L482" s="55"/>
      <c r="M482" s="55"/>
      <c r="N482" s="55"/>
      <c r="O482" s="55"/>
      <c r="P482" s="55"/>
      <c r="Q482" s="55"/>
      <c r="R482" s="55"/>
      <c r="S482" s="55"/>
      <c r="T482" s="55"/>
      <c r="U482" s="55"/>
      <c r="V482" s="55"/>
      <c r="W482" s="55"/>
      <c r="X482" s="55"/>
      <c r="Y482" s="55"/>
      <c r="Z482" s="55"/>
    </row>
    <row r="483" spans="1:26" ht="15">
      <c r="A483" s="55"/>
      <c r="B483" s="55"/>
      <c r="C483" s="55"/>
      <c r="D483" s="55"/>
      <c r="E483" s="55"/>
      <c r="F483" s="55"/>
      <c r="G483" s="55"/>
      <c r="H483" s="55"/>
      <c r="I483" s="55"/>
      <c r="J483" s="55"/>
      <c r="K483" s="55"/>
      <c r="L483" s="55"/>
      <c r="M483" s="55"/>
      <c r="N483" s="55"/>
      <c r="O483" s="55"/>
      <c r="P483" s="55"/>
      <c r="Q483" s="55"/>
      <c r="R483" s="55"/>
      <c r="S483" s="55"/>
      <c r="T483" s="55"/>
      <c r="U483" s="55"/>
      <c r="V483" s="55"/>
      <c r="W483" s="55"/>
      <c r="X483" s="55"/>
      <c r="Y483" s="55"/>
      <c r="Z483" s="55"/>
    </row>
    <row r="484" spans="1:26" ht="15">
      <c r="A484" s="55"/>
      <c r="B484" s="55"/>
      <c r="C484" s="55"/>
      <c r="D484" s="55"/>
      <c r="E484" s="55"/>
      <c r="F484" s="55"/>
      <c r="G484" s="55"/>
      <c r="H484" s="55"/>
      <c r="I484" s="55"/>
      <c r="J484" s="55"/>
      <c r="K484" s="55"/>
      <c r="L484" s="55"/>
      <c r="M484" s="55"/>
      <c r="N484" s="55"/>
      <c r="O484" s="55"/>
      <c r="P484" s="55"/>
      <c r="Q484" s="55"/>
      <c r="R484" s="55"/>
      <c r="S484" s="55"/>
      <c r="T484" s="55"/>
      <c r="U484" s="55"/>
      <c r="V484" s="55"/>
      <c r="W484" s="55"/>
      <c r="X484" s="55"/>
      <c r="Y484" s="55"/>
      <c r="Z484" s="55"/>
    </row>
    <row r="485" spans="1:26" ht="15">
      <c r="A485" s="55"/>
      <c r="B485" s="55"/>
      <c r="C485" s="55"/>
      <c r="D485" s="55"/>
      <c r="E485" s="55"/>
      <c r="F485" s="55"/>
      <c r="G485" s="55"/>
      <c r="H485" s="55"/>
      <c r="I485" s="55"/>
      <c r="J485" s="55"/>
      <c r="K485" s="55"/>
      <c r="L485" s="55"/>
      <c r="M485" s="55"/>
      <c r="N485" s="55"/>
      <c r="O485" s="55"/>
      <c r="P485" s="55"/>
      <c r="Q485" s="55"/>
      <c r="R485" s="55"/>
      <c r="S485" s="55"/>
      <c r="T485" s="55"/>
      <c r="U485" s="55"/>
      <c r="V485" s="55"/>
      <c r="W485" s="55"/>
      <c r="X485" s="55"/>
      <c r="Y485" s="55"/>
      <c r="Z485" s="55"/>
    </row>
    <row r="486" spans="1:26" ht="15">
      <c r="A486" s="55"/>
      <c r="B486" s="55"/>
      <c r="C486" s="55"/>
      <c r="D486" s="55"/>
      <c r="E486" s="55"/>
      <c r="F486" s="55"/>
      <c r="G486" s="55"/>
      <c r="H486" s="55"/>
      <c r="I486" s="55"/>
      <c r="J486" s="55"/>
      <c r="K486" s="55"/>
      <c r="L486" s="55"/>
      <c r="M486" s="55"/>
      <c r="N486" s="55"/>
      <c r="O486" s="55"/>
      <c r="P486" s="55"/>
      <c r="Q486" s="55"/>
      <c r="R486" s="55"/>
      <c r="S486" s="55"/>
      <c r="T486" s="55"/>
      <c r="U486" s="55"/>
      <c r="V486" s="55"/>
      <c r="W486" s="55"/>
      <c r="X486" s="55"/>
      <c r="Y486" s="55"/>
      <c r="Z486" s="55"/>
    </row>
    <row r="487" spans="1:26" ht="15">
      <c r="A487" s="55"/>
      <c r="B487" s="55"/>
      <c r="C487" s="55"/>
      <c r="D487" s="55"/>
      <c r="E487" s="55"/>
      <c r="F487" s="55"/>
      <c r="G487" s="55"/>
      <c r="H487" s="55"/>
      <c r="I487" s="55"/>
      <c r="J487" s="55"/>
      <c r="K487" s="55"/>
      <c r="L487" s="55"/>
      <c r="M487" s="55"/>
      <c r="N487" s="55"/>
      <c r="O487" s="55"/>
      <c r="P487" s="55"/>
      <c r="Q487" s="55"/>
      <c r="R487" s="55"/>
      <c r="S487" s="55"/>
      <c r="T487" s="55"/>
      <c r="U487" s="55"/>
      <c r="V487" s="55"/>
      <c r="W487" s="55"/>
      <c r="X487" s="55"/>
      <c r="Y487" s="55"/>
      <c r="Z487" s="55"/>
    </row>
    <row r="488" spans="1:26" ht="15">
      <c r="A488" s="55"/>
      <c r="B488" s="55"/>
      <c r="C488" s="55"/>
      <c r="D488" s="55"/>
      <c r="E488" s="55"/>
      <c r="F488" s="55"/>
      <c r="G488" s="55"/>
      <c r="H488" s="55"/>
      <c r="I488" s="55"/>
      <c r="J488" s="55"/>
      <c r="K488" s="55"/>
      <c r="L488" s="55"/>
      <c r="M488" s="55"/>
      <c r="N488" s="55"/>
      <c r="O488" s="55"/>
      <c r="P488" s="55"/>
      <c r="Q488" s="55"/>
      <c r="R488" s="55"/>
      <c r="S488" s="55"/>
      <c r="T488" s="55"/>
      <c r="U488" s="55"/>
      <c r="V488" s="55"/>
      <c r="W488" s="55"/>
      <c r="X488" s="55"/>
      <c r="Y488" s="55"/>
      <c r="Z488" s="55"/>
    </row>
    <row r="489" spans="1:26" ht="15">
      <c r="A489" s="55"/>
      <c r="B489" s="55"/>
      <c r="C489" s="55"/>
      <c r="D489" s="55"/>
      <c r="E489" s="55"/>
      <c r="F489" s="55"/>
      <c r="G489" s="55"/>
      <c r="H489" s="55"/>
      <c r="I489" s="55"/>
      <c r="J489" s="55"/>
      <c r="K489" s="55"/>
      <c r="L489" s="55"/>
      <c r="M489" s="55"/>
      <c r="N489" s="55"/>
      <c r="O489" s="55"/>
      <c r="P489" s="55"/>
      <c r="Q489" s="55"/>
      <c r="R489" s="55"/>
      <c r="S489" s="55"/>
      <c r="T489" s="55"/>
      <c r="U489" s="55"/>
      <c r="V489" s="55"/>
      <c r="W489" s="55"/>
      <c r="X489" s="55"/>
      <c r="Y489" s="55"/>
      <c r="Z489" s="55"/>
    </row>
    <row r="490" spans="1:26" ht="15">
      <c r="A490" s="55"/>
      <c r="B490" s="55"/>
      <c r="C490" s="55"/>
      <c r="D490" s="55"/>
      <c r="E490" s="55"/>
      <c r="F490" s="55"/>
      <c r="G490" s="55"/>
      <c r="H490" s="55"/>
      <c r="I490" s="55"/>
      <c r="J490" s="55"/>
      <c r="K490" s="55"/>
      <c r="L490" s="55"/>
      <c r="M490" s="55"/>
      <c r="N490" s="55"/>
      <c r="O490" s="55"/>
      <c r="P490" s="55"/>
      <c r="Q490" s="55"/>
      <c r="R490" s="55"/>
      <c r="S490" s="55"/>
      <c r="T490" s="55"/>
      <c r="U490" s="55"/>
      <c r="V490" s="55"/>
      <c r="W490" s="55"/>
      <c r="X490" s="55"/>
      <c r="Y490" s="55"/>
      <c r="Z490" s="55"/>
    </row>
    <row r="491" spans="1:26" ht="15">
      <c r="A491" s="55"/>
      <c r="B491" s="55"/>
      <c r="C491" s="55"/>
      <c r="D491" s="55"/>
      <c r="E491" s="55"/>
      <c r="F491" s="55"/>
      <c r="G491" s="55"/>
      <c r="H491" s="55"/>
      <c r="I491" s="55"/>
      <c r="J491" s="55"/>
      <c r="K491" s="55"/>
      <c r="L491" s="55"/>
      <c r="M491" s="55"/>
      <c r="N491" s="55"/>
      <c r="O491" s="55"/>
      <c r="P491" s="55"/>
      <c r="Q491" s="55"/>
      <c r="R491" s="55"/>
      <c r="S491" s="55"/>
      <c r="T491" s="55"/>
      <c r="U491" s="55"/>
      <c r="V491" s="55"/>
      <c r="W491" s="55"/>
      <c r="X491" s="55"/>
      <c r="Y491" s="55"/>
      <c r="Z491" s="55"/>
    </row>
    <row r="492" spans="1:26" ht="15">
      <c r="A492" s="55"/>
      <c r="B492" s="55"/>
      <c r="C492" s="55"/>
      <c r="D492" s="55"/>
      <c r="E492" s="55"/>
      <c r="F492" s="55"/>
      <c r="G492" s="55"/>
      <c r="H492" s="55"/>
      <c r="I492" s="55"/>
      <c r="J492" s="55"/>
      <c r="K492" s="55"/>
      <c r="L492" s="55"/>
      <c r="M492" s="55"/>
      <c r="N492" s="55"/>
      <c r="O492" s="55"/>
      <c r="P492" s="55"/>
      <c r="Q492" s="55"/>
      <c r="R492" s="55"/>
      <c r="S492" s="55"/>
      <c r="T492" s="55"/>
      <c r="U492" s="55"/>
      <c r="V492" s="55"/>
      <c r="W492" s="55"/>
      <c r="X492" s="55"/>
      <c r="Y492" s="55"/>
      <c r="Z492" s="55"/>
    </row>
    <row r="493" spans="1:26" ht="15">
      <c r="A493" s="55"/>
      <c r="B493" s="55"/>
      <c r="C493" s="55"/>
      <c r="D493" s="55"/>
      <c r="E493" s="55"/>
      <c r="F493" s="55"/>
      <c r="G493" s="55"/>
      <c r="H493" s="55"/>
      <c r="I493" s="55"/>
      <c r="J493" s="55"/>
      <c r="K493" s="55"/>
      <c r="L493" s="55"/>
      <c r="M493" s="55"/>
      <c r="N493" s="55"/>
      <c r="O493" s="55"/>
      <c r="P493" s="55"/>
      <c r="Q493" s="55"/>
      <c r="R493" s="55"/>
      <c r="S493" s="55"/>
      <c r="T493" s="55"/>
      <c r="U493" s="55"/>
      <c r="V493" s="55"/>
      <c r="W493" s="55"/>
      <c r="X493" s="55"/>
      <c r="Y493" s="55"/>
      <c r="Z493" s="55"/>
    </row>
    <row r="494" spans="1:26" ht="15">
      <c r="A494" s="55"/>
      <c r="B494" s="55"/>
      <c r="C494" s="55"/>
      <c r="D494" s="55"/>
      <c r="E494" s="55"/>
      <c r="F494" s="55"/>
      <c r="G494" s="55"/>
      <c r="H494" s="55"/>
      <c r="I494" s="55"/>
      <c r="J494" s="55"/>
      <c r="K494" s="55"/>
      <c r="L494" s="55"/>
      <c r="M494" s="55"/>
      <c r="N494" s="55"/>
      <c r="O494" s="55"/>
      <c r="P494" s="55"/>
      <c r="Q494" s="55"/>
      <c r="R494" s="55"/>
      <c r="S494" s="55"/>
      <c r="T494" s="55"/>
      <c r="U494" s="55"/>
      <c r="V494" s="55"/>
      <c r="W494" s="55"/>
      <c r="X494" s="55"/>
      <c r="Y494" s="55"/>
      <c r="Z494" s="55"/>
    </row>
    <row r="495" spans="1:26" ht="15">
      <c r="A495" s="55"/>
      <c r="B495" s="55"/>
      <c r="C495" s="55"/>
      <c r="D495" s="55"/>
      <c r="E495" s="55"/>
      <c r="F495" s="55"/>
      <c r="G495" s="55"/>
      <c r="H495" s="55"/>
      <c r="I495" s="55"/>
      <c r="J495" s="55"/>
      <c r="K495" s="55"/>
      <c r="L495" s="55"/>
      <c r="M495" s="55"/>
      <c r="N495" s="55"/>
      <c r="O495" s="55"/>
      <c r="P495" s="55"/>
      <c r="Q495" s="55"/>
      <c r="R495" s="55"/>
      <c r="S495" s="55"/>
      <c r="T495" s="55"/>
      <c r="U495" s="55"/>
      <c r="V495" s="55"/>
      <c r="W495" s="55"/>
      <c r="X495" s="55"/>
      <c r="Y495" s="55"/>
      <c r="Z495" s="55"/>
    </row>
    <row r="496" spans="1:26" ht="15">
      <c r="A496" s="55"/>
      <c r="B496" s="55"/>
      <c r="C496" s="55"/>
      <c r="D496" s="55"/>
      <c r="E496" s="55"/>
      <c r="F496" s="55"/>
      <c r="G496" s="55"/>
      <c r="H496" s="55"/>
      <c r="I496" s="55"/>
      <c r="J496" s="55"/>
      <c r="K496" s="55"/>
      <c r="L496" s="55"/>
      <c r="M496" s="55"/>
      <c r="N496" s="55"/>
      <c r="O496" s="55"/>
      <c r="P496" s="55"/>
      <c r="Q496" s="55"/>
      <c r="R496" s="55"/>
      <c r="S496" s="55"/>
      <c r="T496" s="55"/>
      <c r="U496" s="55"/>
      <c r="V496" s="55"/>
      <c r="W496" s="55"/>
      <c r="X496" s="55"/>
      <c r="Y496" s="55"/>
      <c r="Z496" s="55"/>
    </row>
    <row r="497" spans="1:26" ht="15">
      <c r="A497" s="55"/>
      <c r="B497" s="55"/>
      <c r="C497" s="55"/>
      <c r="D497" s="55"/>
      <c r="E497" s="55"/>
      <c r="F497" s="55"/>
      <c r="G497" s="55"/>
      <c r="H497" s="55"/>
      <c r="I497" s="55"/>
      <c r="J497" s="55"/>
      <c r="K497" s="55"/>
      <c r="L497" s="55"/>
      <c r="M497" s="55"/>
      <c r="N497" s="55"/>
      <c r="O497" s="55"/>
      <c r="P497" s="55"/>
      <c r="Q497" s="55"/>
      <c r="R497" s="55"/>
      <c r="S497" s="55"/>
      <c r="T497" s="55"/>
      <c r="U497" s="55"/>
      <c r="V497" s="55"/>
      <c r="W497" s="55"/>
      <c r="X497" s="55"/>
      <c r="Y497" s="55"/>
      <c r="Z497" s="55"/>
    </row>
    <row r="498" spans="1:26" ht="15">
      <c r="A498" s="55"/>
      <c r="B498" s="55"/>
      <c r="C498" s="55"/>
      <c r="D498" s="55"/>
      <c r="E498" s="55"/>
      <c r="F498" s="55"/>
      <c r="G498" s="55"/>
      <c r="H498" s="55"/>
      <c r="I498" s="55"/>
      <c r="J498" s="55"/>
      <c r="K498" s="55"/>
      <c r="L498" s="55"/>
      <c r="M498" s="55"/>
      <c r="N498" s="55"/>
      <c r="O498" s="55"/>
      <c r="P498" s="55"/>
      <c r="Q498" s="55"/>
      <c r="R498" s="55"/>
      <c r="S498" s="55"/>
      <c r="T498" s="55"/>
      <c r="U498" s="55"/>
      <c r="V498" s="55"/>
      <c r="W498" s="55"/>
      <c r="X498" s="55"/>
      <c r="Y498" s="55"/>
      <c r="Z498" s="55"/>
    </row>
    <row r="499" spans="1:26" ht="15">
      <c r="A499" s="55"/>
      <c r="B499" s="55"/>
      <c r="C499" s="55"/>
      <c r="D499" s="55"/>
      <c r="E499" s="55"/>
      <c r="F499" s="55"/>
      <c r="G499" s="55"/>
      <c r="H499" s="55"/>
      <c r="I499" s="55"/>
      <c r="J499" s="55"/>
      <c r="K499" s="55"/>
      <c r="L499" s="55"/>
      <c r="M499" s="55"/>
      <c r="N499" s="55"/>
      <c r="O499" s="55"/>
      <c r="P499" s="55"/>
      <c r="Q499" s="55"/>
      <c r="R499" s="55"/>
      <c r="S499" s="55"/>
      <c r="T499" s="55"/>
      <c r="U499" s="55"/>
      <c r="V499" s="55"/>
      <c r="W499" s="55"/>
      <c r="X499" s="55"/>
      <c r="Y499" s="55"/>
      <c r="Z499" s="55"/>
    </row>
    <row r="500" spans="1:26" ht="15">
      <c r="A500" s="55"/>
      <c r="B500" s="55"/>
      <c r="C500" s="55"/>
      <c r="D500" s="55"/>
      <c r="E500" s="55"/>
      <c r="F500" s="55"/>
      <c r="G500" s="55"/>
      <c r="H500" s="55"/>
      <c r="I500" s="55"/>
      <c r="J500" s="55"/>
      <c r="K500" s="55"/>
      <c r="L500" s="55"/>
      <c r="M500" s="55"/>
      <c r="N500" s="55"/>
      <c r="O500" s="55"/>
      <c r="P500" s="55"/>
      <c r="Q500" s="55"/>
      <c r="R500" s="55"/>
      <c r="S500" s="55"/>
      <c r="T500" s="55"/>
      <c r="U500" s="55"/>
      <c r="V500" s="55"/>
      <c r="W500" s="55"/>
      <c r="X500" s="55"/>
      <c r="Y500" s="55"/>
      <c r="Z500" s="55"/>
    </row>
    <row r="501" spans="1:26" ht="15">
      <c r="A501" s="55"/>
      <c r="B501" s="55"/>
      <c r="C501" s="55"/>
      <c r="D501" s="55"/>
      <c r="E501" s="55"/>
      <c r="F501" s="55"/>
      <c r="G501" s="55"/>
      <c r="H501" s="55"/>
      <c r="I501" s="55"/>
      <c r="J501" s="55"/>
      <c r="K501" s="55"/>
      <c r="L501" s="55"/>
      <c r="M501" s="55"/>
      <c r="N501" s="55"/>
      <c r="O501" s="55"/>
      <c r="P501" s="55"/>
      <c r="Q501" s="55"/>
      <c r="R501" s="55"/>
      <c r="S501" s="55"/>
      <c r="T501" s="55"/>
      <c r="U501" s="55"/>
      <c r="V501" s="55"/>
      <c r="W501" s="55"/>
      <c r="X501" s="55"/>
      <c r="Y501" s="55"/>
      <c r="Z501" s="55"/>
    </row>
    <row r="502" spans="1:26" ht="15">
      <c r="A502" s="55"/>
      <c r="B502" s="55"/>
      <c r="C502" s="55"/>
      <c r="D502" s="55"/>
      <c r="E502" s="55"/>
      <c r="F502" s="55"/>
      <c r="G502" s="55"/>
      <c r="H502" s="55"/>
      <c r="I502" s="55"/>
      <c r="J502" s="55"/>
      <c r="K502" s="55"/>
      <c r="L502" s="55"/>
      <c r="M502" s="55"/>
      <c r="N502" s="55"/>
      <c r="O502" s="55"/>
      <c r="P502" s="55"/>
      <c r="Q502" s="55"/>
      <c r="R502" s="55"/>
      <c r="S502" s="55"/>
      <c r="T502" s="55"/>
      <c r="U502" s="55"/>
      <c r="V502" s="55"/>
      <c r="W502" s="55"/>
      <c r="X502" s="55"/>
      <c r="Y502" s="55"/>
      <c r="Z502" s="55"/>
    </row>
    <row r="503" spans="1:26" ht="15">
      <c r="A503" s="55"/>
      <c r="B503" s="55"/>
      <c r="C503" s="55"/>
      <c r="D503" s="55"/>
      <c r="E503" s="55"/>
      <c r="F503" s="55"/>
      <c r="G503" s="55"/>
      <c r="H503" s="55"/>
      <c r="I503" s="55"/>
      <c r="J503" s="55"/>
      <c r="K503" s="55"/>
      <c r="L503" s="55"/>
      <c r="M503" s="55"/>
      <c r="N503" s="55"/>
      <c r="O503" s="55"/>
      <c r="P503" s="55"/>
      <c r="Q503" s="55"/>
      <c r="R503" s="55"/>
      <c r="S503" s="55"/>
      <c r="T503" s="55"/>
      <c r="U503" s="55"/>
      <c r="V503" s="55"/>
      <c r="W503" s="55"/>
      <c r="X503" s="55"/>
      <c r="Y503" s="55"/>
      <c r="Z503" s="55"/>
    </row>
    <row r="504" spans="1:26" ht="15">
      <c r="A504" s="55"/>
      <c r="B504" s="55"/>
      <c r="C504" s="55"/>
      <c r="D504" s="55"/>
      <c r="E504" s="55"/>
      <c r="F504" s="55"/>
      <c r="G504" s="55"/>
      <c r="H504" s="55"/>
      <c r="I504" s="55"/>
      <c r="J504" s="55"/>
      <c r="K504" s="55"/>
      <c r="L504" s="55"/>
      <c r="M504" s="55"/>
      <c r="N504" s="55"/>
      <c r="O504" s="55"/>
      <c r="P504" s="55"/>
      <c r="Q504" s="55"/>
      <c r="R504" s="55"/>
      <c r="S504" s="55"/>
      <c r="T504" s="55"/>
      <c r="U504" s="55"/>
      <c r="V504" s="55"/>
      <c r="W504" s="55"/>
      <c r="X504" s="55"/>
      <c r="Y504" s="55"/>
      <c r="Z504" s="55"/>
    </row>
    <row r="505" spans="1:26" ht="15">
      <c r="A505" s="55"/>
      <c r="B505" s="55"/>
      <c r="C505" s="55"/>
      <c r="D505" s="55"/>
      <c r="E505" s="55"/>
      <c r="F505" s="55"/>
      <c r="G505" s="55"/>
      <c r="H505" s="55"/>
      <c r="I505" s="55"/>
      <c r="J505" s="55"/>
      <c r="K505" s="55"/>
      <c r="L505" s="55"/>
      <c r="M505" s="55"/>
      <c r="N505" s="55"/>
      <c r="O505" s="55"/>
      <c r="P505" s="55"/>
      <c r="Q505" s="55"/>
      <c r="R505" s="55"/>
      <c r="S505" s="55"/>
      <c r="T505" s="55"/>
      <c r="U505" s="55"/>
      <c r="V505" s="55"/>
      <c r="W505" s="55"/>
      <c r="X505" s="55"/>
      <c r="Y505" s="55"/>
      <c r="Z505" s="55"/>
    </row>
    <row r="506" spans="1:26" ht="15">
      <c r="A506" s="55"/>
      <c r="B506" s="55"/>
      <c r="C506" s="55"/>
      <c r="D506" s="55"/>
      <c r="E506" s="55"/>
      <c r="F506" s="55"/>
      <c r="G506" s="55"/>
      <c r="H506" s="55"/>
      <c r="I506" s="55"/>
      <c r="J506" s="55"/>
      <c r="K506" s="55"/>
      <c r="L506" s="55"/>
      <c r="M506" s="55"/>
      <c r="N506" s="55"/>
      <c r="O506" s="55"/>
      <c r="P506" s="55"/>
      <c r="Q506" s="55"/>
      <c r="R506" s="55"/>
      <c r="S506" s="55"/>
      <c r="T506" s="55"/>
      <c r="U506" s="55"/>
      <c r="V506" s="55"/>
      <c r="W506" s="55"/>
      <c r="X506" s="55"/>
      <c r="Y506" s="55"/>
      <c r="Z506" s="55"/>
    </row>
    <row r="507" spans="1:26" ht="15">
      <c r="A507" s="55"/>
      <c r="B507" s="55"/>
      <c r="C507" s="55"/>
      <c r="D507" s="55"/>
      <c r="E507" s="55"/>
      <c r="F507" s="55"/>
      <c r="G507" s="55"/>
      <c r="H507" s="55"/>
      <c r="I507" s="55"/>
      <c r="J507" s="55"/>
      <c r="K507" s="55"/>
      <c r="L507" s="55"/>
      <c r="M507" s="55"/>
      <c r="N507" s="55"/>
      <c r="O507" s="55"/>
      <c r="P507" s="55"/>
      <c r="Q507" s="55"/>
      <c r="R507" s="55"/>
      <c r="S507" s="55"/>
      <c r="T507" s="55"/>
      <c r="U507" s="55"/>
      <c r="V507" s="55"/>
      <c r="W507" s="55"/>
      <c r="X507" s="55"/>
      <c r="Y507" s="55"/>
      <c r="Z507" s="55"/>
    </row>
    <row r="508" spans="1:26" ht="15">
      <c r="A508" s="55"/>
      <c r="B508" s="55"/>
      <c r="C508" s="55"/>
      <c r="D508" s="55"/>
      <c r="E508" s="55"/>
      <c r="F508" s="55"/>
      <c r="G508" s="55"/>
      <c r="H508" s="55"/>
      <c r="I508" s="55"/>
      <c r="J508" s="55"/>
      <c r="K508" s="55"/>
      <c r="L508" s="55"/>
      <c r="M508" s="55"/>
      <c r="N508" s="55"/>
      <c r="O508" s="55"/>
      <c r="P508" s="55"/>
      <c r="Q508" s="55"/>
      <c r="R508" s="55"/>
      <c r="S508" s="55"/>
      <c r="T508" s="55"/>
      <c r="U508" s="55"/>
      <c r="V508" s="55"/>
      <c r="W508" s="55"/>
      <c r="X508" s="55"/>
      <c r="Y508" s="55"/>
      <c r="Z508" s="55"/>
    </row>
    <row r="509" spans="1:26" ht="15">
      <c r="A509" s="55"/>
      <c r="B509" s="55"/>
      <c r="C509" s="55"/>
      <c r="D509" s="55"/>
      <c r="E509" s="55"/>
      <c r="F509" s="55"/>
      <c r="G509" s="55"/>
      <c r="H509" s="55"/>
      <c r="I509" s="55"/>
      <c r="J509" s="55"/>
      <c r="K509" s="55"/>
      <c r="L509" s="55"/>
      <c r="M509" s="55"/>
      <c r="N509" s="55"/>
      <c r="O509" s="55"/>
      <c r="P509" s="55"/>
      <c r="Q509" s="55"/>
      <c r="R509" s="55"/>
      <c r="S509" s="55"/>
      <c r="T509" s="55"/>
      <c r="U509" s="55"/>
      <c r="V509" s="55"/>
      <c r="W509" s="55"/>
      <c r="X509" s="55"/>
      <c r="Y509" s="55"/>
      <c r="Z509" s="55"/>
    </row>
    <row r="510" spans="1:26" ht="15">
      <c r="A510" s="55"/>
      <c r="B510" s="55"/>
      <c r="C510" s="55"/>
      <c r="D510" s="55"/>
      <c r="E510" s="55"/>
      <c r="F510" s="55"/>
      <c r="G510" s="55"/>
      <c r="H510" s="55"/>
      <c r="I510" s="55"/>
      <c r="J510" s="55"/>
      <c r="K510" s="55"/>
      <c r="L510" s="55"/>
      <c r="M510" s="55"/>
      <c r="N510" s="55"/>
      <c r="O510" s="55"/>
      <c r="P510" s="55"/>
      <c r="Q510" s="55"/>
      <c r="R510" s="55"/>
      <c r="S510" s="55"/>
      <c r="T510" s="55"/>
      <c r="U510" s="55"/>
      <c r="V510" s="55"/>
      <c r="W510" s="55"/>
      <c r="X510" s="55"/>
      <c r="Y510" s="55"/>
      <c r="Z510" s="55"/>
    </row>
    <row r="511" spans="1:26" ht="15">
      <c r="A511" s="55"/>
      <c r="B511" s="55"/>
      <c r="C511" s="55"/>
      <c r="D511" s="55"/>
      <c r="E511" s="55"/>
      <c r="F511" s="55"/>
      <c r="G511" s="55"/>
      <c r="H511" s="55"/>
      <c r="I511" s="55"/>
      <c r="J511" s="55"/>
      <c r="K511" s="55"/>
      <c r="L511" s="55"/>
      <c r="M511" s="55"/>
      <c r="N511" s="55"/>
      <c r="O511" s="55"/>
      <c r="P511" s="55"/>
      <c r="Q511" s="55"/>
      <c r="R511" s="55"/>
      <c r="S511" s="55"/>
      <c r="T511" s="55"/>
      <c r="U511" s="55"/>
      <c r="V511" s="55"/>
      <c r="W511" s="55"/>
      <c r="X511" s="55"/>
      <c r="Y511" s="55"/>
      <c r="Z511" s="55"/>
    </row>
    <row r="512" spans="1:26" ht="15">
      <c r="A512" s="55"/>
      <c r="B512" s="55"/>
      <c r="C512" s="55"/>
      <c r="D512" s="55"/>
      <c r="E512" s="55"/>
      <c r="F512" s="55"/>
      <c r="G512" s="55"/>
      <c r="H512" s="55"/>
      <c r="I512" s="55"/>
      <c r="J512" s="55"/>
      <c r="K512" s="55"/>
      <c r="L512" s="55"/>
      <c r="M512" s="55"/>
      <c r="N512" s="55"/>
      <c r="O512" s="55"/>
      <c r="P512" s="55"/>
      <c r="Q512" s="55"/>
      <c r="R512" s="55"/>
      <c r="S512" s="55"/>
      <c r="T512" s="55"/>
      <c r="U512" s="55"/>
      <c r="V512" s="55"/>
      <c r="W512" s="55"/>
      <c r="X512" s="55"/>
      <c r="Y512" s="55"/>
      <c r="Z512" s="55"/>
    </row>
    <row r="513" spans="1:26" ht="15">
      <c r="A513" s="55"/>
      <c r="B513" s="55"/>
      <c r="C513" s="55"/>
      <c r="D513" s="55"/>
      <c r="E513" s="55"/>
      <c r="F513" s="55"/>
      <c r="G513" s="55"/>
      <c r="H513" s="55"/>
      <c r="I513" s="55"/>
      <c r="J513" s="55"/>
      <c r="K513" s="55"/>
      <c r="L513" s="55"/>
      <c r="M513" s="55"/>
      <c r="N513" s="55"/>
      <c r="O513" s="55"/>
      <c r="P513" s="55"/>
      <c r="Q513" s="55"/>
      <c r="R513" s="55"/>
      <c r="S513" s="55"/>
      <c r="T513" s="55"/>
      <c r="U513" s="55"/>
      <c r="V513" s="55"/>
      <c r="W513" s="55"/>
      <c r="X513" s="55"/>
      <c r="Y513" s="55"/>
      <c r="Z513" s="55"/>
    </row>
    <row r="514" spans="1:26" ht="15">
      <c r="A514" s="55"/>
      <c r="B514" s="55"/>
      <c r="C514" s="55"/>
      <c r="D514" s="55"/>
      <c r="E514" s="55"/>
      <c r="F514" s="55"/>
      <c r="G514" s="55"/>
      <c r="H514" s="55"/>
      <c r="I514" s="55"/>
      <c r="J514" s="55"/>
      <c r="K514" s="55"/>
      <c r="L514" s="55"/>
      <c r="M514" s="55"/>
      <c r="N514" s="55"/>
      <c r="O514" s="55"/>
      <c r="P514" s="55"/>
      <c r="Q514" s="55"/>
      <c r="R514" s="55"/>
      <c r="S514" s="55"/>
      <c r="T514" s="55"/>
      <c r="U514" s="55"/>
      <c r="V514" s="55"/>
      <c r="W514" s="55"/>
      <c r="X514" s="55"/>
      <c r="Y514" s="55"/>
      <c r="Z514" s="55"/>
    </row>
    <row r="515" spans="1:26" ht="15">
      <c r="A515" s="55"/>
      <c r="B515" s="55"/>
      <c r="C515" s="55"/>
      <c r="D515" s="55"/>
      <c r="E515" s="55"/>
      <c r="F515" s="55"/>
      <c r="G515" s="55"/>
      <c r="H515" s="55"/>
      <c r="I515" s="55"/>
      <c r="J515" s="55"/>
      <c r="K515" s="55"/>
      <c r="L515" s="55"/>
      <c r="M515" s="55"/>
      <c r="N515" s="55"/>
      <c r="O515" s="55"/>
      <c r="P515" s="55"/>
      <c r="Q515" s="55"/>
      <c r="R515" s="55"/>
      <c r="S515" s="55"/>
      <c r="T515" s="55"/>
      <c r="U515" s="55"/>
      <c r="V515" s="55"/>
      <c r="W515" s="55"/>
      <c r="X515" s="55"/>
      <c r="Y515" s="55"/>
      <c r="Z515" s="55"/>
    </row>
    <row r="516" spans="1:26" ht="15">
      <c r="A516" s="55"/>
      <c r="B516" s="55"/>
      <c r="C516" s="55"/>
      <c r="D516" s="55"/>
      <c r="E516" s="55"/>
      <c r="F516" s="55"/>
      <c r="G516" s="55"/>
      <c r="H516" s="55"/>
      <c r="I516" s="55"/>
      <c r="J516" s="55"/>
      <c r="K516" s="55"/>
      <c r="L516" s="55"/>
      <c r="M516" s="55"/>
      <c r="N516" s="55"/>
      <c r="O516" s="55"/>
      <c r="P516" s="55"/>
      <c r="Q516" s="55"/>
      <c r="R516" s="55"/>
      <c r="S516" s="55"/>
      <c r="T516" s="55"/>
      <c r="U516" s="55"/>
      <c r="V516" s="55"/>
      <c r="W516" s="55"/>
      <c r="X516" s="55"/>
      <c r="Y516" s="55"/>
      <c r="Z516" s="55"/>
    </row>
    <row r="517" spans="1:26" ht="15">
      <c r="A517" s="55"/>
      <c r="B517" s="55"/>
      <c r="C517" s="55"/>
      <c r="D517" s="55"/>
      <c r="E517" s="55"/>
      <c r="F517" s="55"/>
      <c r="G517" s="55"/>
      <c r="H517" s="55"/>
      <c r="I517" s="55"/>
      <c r="J517" s="55"/>
      <c r="K517" s="55"/>
      <c r="L517" s="55"/>
      <c r="M517" s="55"/>
      <c r="N517" s="55"/>
      <c r="O517" s="55"/>
      <c r="P517" s="55"/>
      <c r="Q517" s="55"/>
      <c r="R517" s="55"/>
      <c r="S517" s="55"/>
      <c r="T517" s="55"/>
      <c r="U517" s="55"/>
      <c r="V517" s="55"/>
      <c r="W517" s="55"/>
      <c r="X517" s="55"/>
      <c r="Y517" s="55"/>
      <c r="Z517" s="55"/>
    </row>
    <row r="518" spans="1:26" ht="15">
      <c r="A518" s="55"/>
      <c r="B518" s="55"/>
      <c r="C518" s="55"/>
      <c r="D518" s="55"/>
      <c r="E518" s="55"/>
      <c r="F518" s="55"/>
      <c r="G518" s="55"/>
      <c r="H518" s="55"/>
      <c r="I518" s="55"/>
      <c r="J518" s="55"/>
      <c r="K518" s="55"/>
      <c r="L518" s="55"/>
      <c r="M518" s="55"/>
      <c r="N518" s="55"/>
      <c r="O518" s="55"/>
      <c r="P518" s="55"/>
      <c r="Q518" s="55"/>
      <c r="R518" s="55"/>
      <c r="S518" s="55"/>
      <c r="T518" s="55"/>
      <c r="U518" s="55"/>
      <c r="V518" s="55"/>
      <c r="W518" s="55"/>
      <c r="X518" s="55"/>
      <c r="Y518" s="55"/>
      <c r="Z518" s="55"/>
    </row>
    <row r="519" spans="1:26" ht="15">
      <c r="A519" s="55"/>
      <c r="B519" s="55"/>
      <c r="C519" s="55"/>
      <c r="D519" s="55"/>
      <c r="E519" s="55"/>
      <c r="F519" s="55"/>
      <c r="G519" s="55"/>
      <c r="H519" s="55"/>
      <c r="I519" s="55"/>
      <c r="J519" s="55"/>
      <c r="K519" s="55"/>
      <c r="L519" s="55"/>
      <c r="M519" s="55"/>
      <c r="N519" s="55"/>
      <c r="O519" s="55"/>
      <c r="P519" s="55"/>
      <c r="Q519" s="55"/>
      <c r="R519" s="55"/>
      <c r="S519" s="55"/>
      <c r="T519" s="55"/>
      <c r="U519" s="55"/>
      <c r="V519" s="55"/>
      <c r="W519" s="55"/>
      <c r="X519" s="55"/>
      <c r="Y519" s="55"/>
      <c r="Z519" s="55"/>
    </row>
    <row r="520" spans="1:26" ht="15">
      <c r="A520" s="55"/>
      <c r="B520" s="55"/>
      <c r="C520" s="55"/>
      <c r="D520" s="55"/>
      <c r="E520" s="55"/>
      <c r="F520" s="55"/>
      <c r="G520" s="55"/>
      <c r="H520" s="55"/>
      <c r="I520" s="55"/>
      <c r="J520" s="55"/>
      <c r="K520" s="55"/>
      <c r="L520" s="55"/>
      <c r="M520" s="55"/>
      <c r="N520" s="55"/>
      <c r="O520" s="55"/>
      <c r="P520" s="55"/>
      <c r="Q520" s="55"/>
      <c r="R520" s="55"/>
      <c r="S520" s="55"/>
      <c r="T520" s="55"/>
      <c r="U520" s="55"/>
      <c r="V520" s="55"/>
      <c r="W520" s="55"/>
      <c r="X520" s="55"/>
      <c r="Y520" s="55"/>
      <c r="Z520" s="55"/>
    </row>
    <row r="521" spans="1:26" ht="15">
      <c r="A521" s="55"/>
      <c r="B521" s="55"/>
      <c r="C521" s="55"/>
      <c r="D521" s="55"/>
      <c r="E521" s="55"/>
      <c r="F521" s="55"/>
      <c r="G521" s="55"/>
      <c r="H521" s="55"/>
      <c r="I521" s="55"/>
      <c r="J521" s="55"/>
      <c r="K521" s="55"/>
      <c r="L521" s="55"/>
      <c r="M521" s="55"/>
      <c r="N521" s="55"/>
      <c r="O521" s="55"/>
      <c r="P521" s="55"/>
      <c r="Q521" s="55"/>
      <c r="R521" s="55"/>
      <c r="S521" s="55"/>
      <c r="T521" s="55"/>
      <c r="U521" s="55"/>
      <c r="V521" s="55"/>
      <c r="W521" s="55"/>
      <c r="X521" s="55"/>
      <c r="Y521" s="55"/>
      <c r="Z521" s="55"/>
    </row>
    <row r="522" spans="1:26" ht="15">
      <c r="A522" s="55"/>
      <c r="B522" s="55"/>
      <c r="C522" s="55"/>
      <c r="D522" s="55"/>
      <c r="E522" s="55"/>
      <c r="F522" s="55"/>
      <c r="G522" s="55"/>
      <c r="H522" s="55"/>
      <c r="I522" s="55"/>
      <c r="J522" s="55"/>
      <c r="K522" s="55"/>
      <c r="L522" s="55"/>
      <c r="M522" s="55"/>
      <c r="N522" s="55"/>
      <c r="O522" s="55"/>
      <c r="P522" s="55"/>
      <c r="Q522" s="55"/>
      <c r="R522" s="55"/>
      <c r="S522" s="55"/>
      <c r="T522" s="55"/>
      <c r="U522" s="55"/>
      <c r="V522" s="55"/>
      <c r="W522" s="55"/>
      <c r="X522" s="55"/>
      <c r="Y522" s="55"/>
      <c r="Z522" s="55"/>
    </row>
    <row r="523" spans="1:26" ht="15">
      <c r="A523" s="55"/>
      <c r="B523" s="55"/>
      <c r="C523" s="55"/>
      <c r="D523" s="55"/>
      <c r="E523" s="55"/>
      <c r="F523" s="55"/>
      <c r="G523" s="55"/>
      <c r="H523" s="55"/>
      <c r="I523" s="55"/>
      <c r="J523" s="55"/>
      <c r="K523" s="55"/>
      <c r="L523" s="55"/>
      <c r="M523" s="55"/>
      <c r="N523" s="55"/>
      <c r="O523" s="55"/>
      <c r="P523" s="55"/>
      <c r="Q523" s="55"/>
      <c r="R523" s="55"/>
      <c r="S523" s="55"/>
      <c r="T523" s="55"/>
      <c r="U523" s="55"/>
      <c r="V523" s="55"/>
      <c r="W523" s="55"/>
      <c r="X523" s="55"/>
      <c r="Y523" s="55"/>
      <c r="Z523" s="55"/>
    </row>
    <row r="524" spans="1:26" ht="15">
      <c r="A524" s="55"/>
      <c r="B524" s="55"/>
      <c r="C524" s="55"/>
      <c r="D524" s="55"/>
      <c r="E524" s="55"/>
      <c r="F524" s="55"/>
      <c r="G524" s="55"/>
      <c r="H524" s="55"/>
      <c r="I524" s="55"/>
      <c r="J524" s="55"/>
      <c r="K524" s="55"/>
      <c r="L524" s="55"/>
      <c r="M524" s="55"/>
      <c r="N524" s="55"/>
      <c r="O524" s="55"/>
      <c r="P524" s="55"/>
      <c r="Q524" s="55"/>
      <c r="R524" s="55"/>
      <c r="S524" s="55"/>
      <c r="T524" s="55"/>
      <c r="U524" s="55"/>
      <c r="V524" s="55"/>
      <c r="W524" s="55"/>
      <c r="X524" s="55"/>
      <c r="Y524" s="55"/>
      <c r="Z524" s="55"/>
    </row>
    <row r="525" spans="1:26" ht="15">
      <c r="A525" s="55"/>
      <c r="B525" s="55"/>
      <c r="C525" s="55"/>
      <c r="D525" s="55"/>
      <c r="E525" s="55"/>
      <c r="F525" s="55"/>
      <c r="G525" s="55"/>
      <c r="H525" s="55"/>
      <c r="I525" s="55"/>
      <c r="J525" s="55"/>
      <c r="K525" s="55"/>
      <c r="L525" s="55"/>
      <c r="M525" s="55"/>
      <c r="N525" s="55"/>
      <c r="O525" s="55"/>
      <c r="P525" s="55"/>
      <c r="Q525" s="55"/>
      <c r="R525" s="55"/>
      <c r="S525" s="55"/>
      <c r="T525" s="55"/>
      <c r="U525" s="55"/>
      <c r="V525" s="55"/>
      <c r="W525" s="55"/>
      <c r="X525" s="55"/>
      <c r="Y525" s="55"/>
      <c r="Z525" s="55"/>
    </row>
    <row r="526" spans="1:26" ht="15">
      <c r="A526" s="55"/>
      <c r="B526" s="55"/>
      <c r="C526" s="55"/>
      <c r="D526" s="55"/>
      <c r="E526" s="55"/>
      <c r="F526" s="55"/>
      <c r="G526" s="55"/>
      <c r="H526" s="55"/>
      <c r="I526" s="55"/>
      <c r="J526" s="55"/>
      <c r="K526" s="55"/>
      <c r="L526" s="55"/>
      <c r="M526" s="55"/>
      <c r="N526" s="55"/>
      <c r="O526" s="55"/>
      <c r="P526" s="55"/>
      <c r="Q526" s="55"/>
      <c r="R526" s="55"/>
      <c r="S526" s="55"/>
      <c r="T526" s="55"/>
      <c r="U526" s="55"/>
      <c r="V526" s="55"/>
      <c r="W526" s="55"/>
      <c r="X526" s="55"/>
      <c r="Y526" s="55"/>
      <c r="Z526" s="55"/>
    </row>
    <row r="527" spans="1:26" ht="15">
      <c r="A527" s="55"/>
      <c r="B527" s="55"/>
      <c r="C527" s="55"/>
      <c r="D527" s="55"/>
      <c r="E527" s="55"/>
      <c r="F527" s="55"/>
      <c r="G527" s="55"/>
      <c r="H527" s="55"/>
      <c r="I527" s="55"/>
      <c r="J527" s="55"/>
      <c r="K527" s="55"/>
      <c r="L527" s="55"/>
      <c r="M527" s="55"/>
      <c r="N527" s="55"/>
      <c r="O527" s="55"/>
      <c r="P527" s="55"/>
      <c r="Q527" s="55"/>
      <c r="R527" s="55"/>
      <c r="S527" s="55"/>
      <c r="T527" s="55"/>
      <c r="U527" s="55"/>
      <c r="V527" s="55"/>
      <c r="W527" s="55"/>
      <c r="X527" s="55"/>
      <c r="Y527" s="55"/>
      <c r="Z527" s="55"/>
    </row>
    <row r="528" spans="1:26" ht="15">
      <c r="A528" s="55"/>
      <c r="B528" s="55"/>
      <c r="C528" s="55"/>
      <c r="D528" s="55"/>
      <c r="E528" s="55"/>
      <c r="F528" s="55"/>
      <c r="G528" s="55"/>
      <c r="H528" s="55"/>
      <c r="I528" s="55"/>
      <c r="J528" s="55"/>
      <c r="K528" s="55"/>
      <c r="L528" s="55"/>
      <c r="M528" s="55"/>
      <c r="N528" s="55"/>
      <c r="O528" s="55"/>
      <c r="P528" s="55"/>
      <c r="Q528" s="55"/>
      <c r="R528" s="55"/>
      <c r="S528" s="55"/>
      <c r="T528" s="55"/>
      <c r="U528" s="55"/>
      <c r="V528" s="55"/>
      <c r="W528" s="55"/>
      <c r="X528" s="55"/>
      <c r="Y528" s="55"/>
      <c r="Z528" s="55"/>
    </row>
    <row r="529" spans="1:26" ht="15">
      <c r="A529" s="55"/>
      <c r="B529" s="55"/>
      <c r="C529" s="55"/>
      <c r="D529" s="55"/>
      <c r="E529" s="55"/>
      <c r="F529" s="55"/>
      <c r="G529" s="55"/>
      <c r="H529" s="55"/>
      <c r="I529" s="55"/>
      <c r="J529" s="55"/>
      <c r="K529" s="55"/>
      <c r="L529" s="55"/>
      <c r="M529" s="55"/>
      <c r="N529" s="55"/>
      <c r="O529" s="55"/>
      <c r="P529" s="55"/>
      <c r="Q529" s="55"/>
      <c r="R529" s="55"/>
      <c r="S529" s="55"/>
      <c r="T529" s="55"/>
      <c r="U529" s="55"/>
      <c r="V529" s="55"/>
      <c r="W529" s="55"/>
      <c r="X529" s="55"/>
      <c r="Y529" s="55"/>
      <c r="Z529" s="55"/>
    </row>
    <row r="530" spans="1:26" ht="15">
      <c r="A530" s="55"/>
      <c r="B530" s="55"/>
      <c r="C530" s="55"/>
      <c r="D530" s="55"/>
      <c r="E530" s="55"/>
      <c r="F530" s="55"/>
      <c r="G530" s="55"/>
      <c r="H530" s="55"/>
      <c r="I530" s="55"/>
      <c r="J530" s="55"/>
      <c r="K530" s="55"/>
      <c r="L530" s="55"/>
      <c r="M530" s="55"/>
      <c r="N530" s="55"/>
      <c r="O530" s="55"/>
      <c r="P530" s="55"/>
      <c r="Q530" s="55"/>
      <c r="R530" s="55"/>
      <c r="S530" s="55"/>
      <c r="T530" s="55"/>
      <c r="U530" s="55"/>
      <c r="V530" s="55"/>
      <c r="W530" s="55"/>
      <c r="X530" s="55"/>
      <c r="Y530" s="55"/>
      <c r="Z530" s="55"/>
    </row>
    <row r="531" spans="1:26" ht="15">
      <c r="A531" s="55"/>
      <c r="B531" s="55"/>
      <c r="C531" s="55"/>
      <c r="D531" s="55"/>
      <c r="E531" s="55"/>
      <c r="F531" s="55"/>
      <c r="G531" s="55"/>
      <c r="H531" s="55"/>
      <c r="I531" s="55"/>
      <c r="J531" s="55"/>
      <c r="K531" s="55"/>
      <c r="L531" s="55"/>
      <c r="M531" s="55"/>
      <c r="N531" s="55"/>
      <c r="O531" s="55"/>
      <c r="P531" s="55"/>
      <c r="Q531" s="55"/>
      <c r="R531" s="55"/>
      <c r="S531" s="55"/>
      <c r="T531" s="55"/>
      <c r="U531" s="55"/>
      <c r="V531" s="55"/>
      <c r="W531" s="55"/>
      <c r="X531" s="55"/>
      <c r="Y531" s="55"/>
      <c r="Z531" s="55"/>
    </row>
    <row r="532" spans="1:26" ht="15">
      <c r="A532" s="55"/>
      <c r="B532" s="55"/>
      <c r="C532" s="55"/>
      <c r="D532" s="55"/>
      <c r="E532" s="55"/>
      <c r="F532" s="55"/>
      <c r="G532" s="55"/>
      <c r="H532" s="55"/>
      <c r="I532" s="55"/>
      <c r="J532" s="55"/>
      <c r="K532" s="55"/>
      <c r="L532" s="55"/>
      <c r="M532" s="55"/>
      <c r="N532" s="55"/>
      <c r="O532" s="55"/>
      <c r="P532" s="55"/>
      <c r="Q532" s="55"/>
      <c r="R532" s="55"/>
      <c r="S532" s="55"/>
      <c r="T532" s="55"/>
      <c r="U532" s="55"/>
      <c r="V532" s="55"/>
      <c r="W532" s="55"/>
      <c r="X532" s="55"/>
      <c r="Y532" s="55"/>
      <c r="Z532" s="55"/>
    </row>
    <row r="533" spans="1:26" ht="15">
      <c r="A533" s="55"/>
      <c r="B533" s="55"/>
      <c r="C533" s="55"/>
      <c r="D533" s="55"/>
      <c r="E533" s="55"/>
      <c r="F533" s="55"/>
      <c r="G533" s="55"/>
      <c r="H533" s="55"/>
      <c r="I533" s="55"/>
      <c r="J533" s="55"/>
      <c r="K533" s="55"/>
      <c r="L533" s="55"/>
      <c r="M533" s="55"/>
      <c r="N533" s="55"/>
      <c r="O533" s="55"/>
      <c r="P533" s="55"/>
      <c r="Q533" s="55"/>
      <c r="R533" s="55"/>
      <c r="S533" s="55"/>
      <c r="T533" s="55"/>
      <c r="U533" s="55"/>
      <c r="V533" s="55"/>
      <c r="W533" s="55"/>
      <c r="X533" s="55"/>
      <c r="Y533" s="55"/>
      <c r="Z533" s="55"/>
    </row>
    <row r="534" spans="1:26" ht="15">
      <c r="A534" s="55"/>
      <c r="B534" s="55"/>
      <c r="C534" s="55"/>
      <c r="D534" s="55"/>
      <c r="E534" s="55"/>
      <c r="F534" s="55"/>
      <c r="G534" s="55"/>
      <c r="H534" s="55"/>
      <c r="I534" s="55"/>
      <c r="J534" s="55"/>
      <c r="K534" s="55"/>
      <c r="L534" s="55"/>
      <c r="M534" s="55"/>
      <c r="N534" s="55"/>
      <c r="O534" s="55"/>
      <c r="P534" s="55"/>
      <c r="Q534" s="55"/>
      <c r="R534" s="55"/>
      <c r="S534" s="55"/>
      <c r="T534" s="55"/>
      <c r="U534" s="55"/>
      <c r="V534" s="55"/>
      <c r="W534" s="55"/>
      <c r="X534" s="55"/>
      <c r="Y534" s="55"/>
      <c r="Z534" s="55"/>
    </row>
    <row r="535" spans="1:26" ht="15">
      <c r="A535" s="55"/>
      <c r="B535" s="55"/>
      <c r="C535" s="55"/>
      <c r="D535" s="55"/>
      <c r="E535" s="55"/>
      <c r="F535" s="55"/>
      <c r="G535" s="55"/>
      <c r="H535" s="55"/>
      <c r="I535" s="55"/>
      <c r="J535" s="55"/>
      <c r="K535" s="55"/>
      <c r="L535" s="55"/>
      <c r="M535" s="55"/>
      <c r="N535" s="55"/>
      <c r="O535" s="55"/>
      <c r="P535" s="55"/>
      <c r="Q535" s="55"/>
      <c r="R535" s="55"/>
      <c r="S535" s="55"/>
      <c r="T535" s="55"/>
      <c r="U535" s="55"/>
      <c r="V535" s="55"/>
      <c r="W535" s="55"/>
      <c r="X535" s="55"/>
      <c r="Y535" s="55"/>
      <c r="Z535" s="55"/>
    </row>
    <row r="536" spans="1:26" ht="15">
      <c r="A536" s="55"/>
      <c r="B536" s="55"/>
      <c r="C536" s="55"/>
      <c r="D536" s="55"/>
      <c r="E536" s="55"/>
      <c r="F536" s="55"/>
      <c r="G536" s="55"/>
      <c r="H536" s="55"/>
      <c r="I536" s="55"/>
      <c r="J536" s="55"/>
      <c r="K536" s="55"/>
      <c r="L536" s="55"/>
      <c r="M536" s="55"/>
      <c r="N536" s="55"/>
      <c r="O536" s="55"/>
      <c r="P536" s="55"/>
      <c r="Q536" s="55"/>
      <c r="R536" s="55"/>
      <c r="S536" s="55"/>
      <c r="T536" s="55"/>
      <c r="U536" s="55"/>
      <c r="V536" s="55"/>
      <c r="W536" s="55"/>
      <c r="X536" s="55"/>
      <c r="Y536" s="55"/>
      <c r="Z536" s="55"/>
    </row>
    <row r="537" spans="1:26" ht="15">
      <c r="A537" s="55"/>
      <c r="B537" s="55"/>
      <c r="C537" s="55"/>
      <c r="D537" s="55"/>
      <c r="E537" s="55"/>
      <c r="F537" s="55"/>
      <c r="G537" s="55"/>
      <c r="H537" s="55"/>
      <c r="I537" s="55"/>
      <c r="J537" s="55"/>
      <c r="K537" s="55"/>
      <c r="L537" s="55"/>
      <c r="M537" s="55"/>
      <c r="N537" s="55"/>
      <c r="O537" s="55"/>
      <c r="P537" s="55"/>
      <c r="Q537" s="55"/>
      <c r="R537" s="55"/>
      <c r="S537" s="55"/>
      <c r="T537" s="55"/>
      <c r="U537" s="55"/>
      <c r="V537" s="55"/>
      <c r="W537" s="55"/>
      <c r="X537" s="55"/>
      <c r="Y537" s="55"/>
      <c r="Z537" s="55"/>
    </row>
    <row r="538" spans="1:26" ht="15">
      <c r="A538" s="55"/>
      <c r="B538" s="55"/>
      <c r="C538" s="55"/>
      <c r="D538" s="55"/>
      <c r="E538" s="55"/>
      <c r="F538" s="55"/>
      <c r="G538" s="55"/>
      <c r="H538" s="55"/>
      <c r="I538" s="55"/>
      <c r="J538" s="55"/>
      <c r="K538" s="55"/>
      <c r="L538" s="55"/>
      <c r="M538" s="55"/>
      <c r="N538" s="55"/>
      <c r="O538" s="55"/>
      <c r="P538" s="55"/>
      <c r="Q538" s="55"/>
      <c r="R538" s="55"/>
      <c r="S538" s="55"/>
      <c r="T538" s="55"/>
      <c r="U538" s="55"/>
      <c r="V538" s="55"/>
      <c r="W538" s="55"/>
      <c r="X538" s="55"/>
      <c r="Y538" s="55"/>
      <c r="Z538" s="55"/>
    </row>
    <row r="539" spans="1:26" ht="15">
      <c r="A539" s="55"/>
      <c r="B539" s="55"/>
      <c r="C539" s="55"/>
      <c r="D539" s="55"/>
      <c r="E539" s="55"/>
      <c r="F539" s="55"/>
      <c r="G539" s="55"/>
      <c r="H539" s="55"/>
      <c r="I539" s="55"/>
      <c r="J539" s="55"/>
      <c r="K539" s="55"/>
      <c r="L539" s="55"/>
      <c r="M539" s="55"/>
      <c r="N539" s="55"/>
      <c r="O539" s="55"/>
      <c r="P539" s="55"/>
      <c r="Q539" s="55"/>
      <c r="R539" s="55"/>
      <c r="S539" s="55"/>
      <c r="T539" s="55"/>
      <c r="U539" s="55"/>
      <c r="V539" s="55"/>
      <c r="W539" s="55"/>
      <c r="X539" s="55"/>
      <c r="Y539" s="55"/>
      <c r="Z539" s="55"/>
    </row>
    <row r="540" spans="1:26" ht="15">
      <c r="A540" s="55"/>
      <c r="B540" s="55"/>
      <c r="C540" s="55"/>
      <c r="D540" s="55"/>
      <c r="E540" s="55"/>
      <c r="F540" s="55"/>
      <c r="G540" s="55"/>
      <c r="H540" s="55"/>
      <c r="I540" s="55"/>
      <c r="J540" s="55"/>
      <c r="K540" s="55"/>
      <c r="L540" s="55"/>
      <c r="M540" s="55"/>
      <c r="N540" s="55"/>
      <c r="O540" s="55"/>
      <c r="P540" s="55"/>
      <c r="Q540" s="55"/>
      <c r="R540" s="55"/>
      <c r="S540" s="55"/>
      <c r="T540" s="55"/>
      <c r="U540" s="55"/>
      <c r="V540" s="55"/>
      <c r="W540" s="55"/>
      <c r="X540" s="55"/>
      <c r="Y540" s="55"/>
      <c r="Z540" s="55"/>
    </row>
    <row r="541" spans="1:26" ht="15">
      <c r="A541" s="55"/>
      <c r="B541" s="55"/>
      <c r="C541" s="55"/>
      <c r="D541" s="55"/>
      <c r="E541" s="55"/>
      <c r="F541" s="55"/>
      <c r="G541" s="55"/>
      <c r="H541" s="55"/>
      <c r="I541" s="55"/>
      <c r="J541" s="55"/>
      <c r="K541" s="55"/>
      <c r="L541" s="55"/>
      <c r="M541" s="55"/>
      <c r="N541" s="55"/>
      <c r="O541" s="55"/>
      <c r="P541" s="55"/>
      <c r="Q541" s="55"/>
      <c r="R541" s="55"/>
      <c r="S541" s="55"/>
      <c r="T541" s="55"/>
      <c r="U541" s="55"/>
      <c r="V541" s="55"/>
      <c r="W541" s="55"/>
      <c r="X541" s="55"/>
      <c r="Y541" s="55"/>
      <c r="Z541" s="55"/>
    </row>
    <row r="542" spans="1:26" ht="15">
      <c r="A542" s="55"/>
      <c r="B542" s="55"/>
      <c r="C542" s="55"/>
      <c r="D542" s="55"/>
      <c r="E542" s="55"/>
      <c r="F542" s="55"/>
      <c r="G542" s="55"/>
      <c r="H542" s="55"/>
      <c r="I542" s="55"/>
      <c r="J542" s="55"/>
      <c r="K542" s="55"/>
      <c r="L542" s="55"/>
      <c r="M542" s="55"/>
      <c r="N542" s="55"/>
      <c r="O542" s="55"/>
      <c r="P542" s="55"/>
      <c r="Q542" s="55"/>
      <c r="R542" s="55"/>
      <c r="S542" s="55"/>
      <c r="T542" s="55"/>
      <c r="U542" s="55"/>
      <c r="V542" s="55"/>
      <c r="W542" s="55"/>
      <c r="X542" s="55"/>
      <c r="Y542" s="55"/>
      <c r="Z542" s="55"/>
    </row>
    <row r="543" spans="1:26" ht="15">
      <c r="A543" s="55"/>
      <c r="B543" s="55"/>
      <c r="C543" s="55"/>
      <c r="D543" s="55"/>
      <c r="E543" s="55"/>
      <c r="F543" s="55"/>
      <c r="G543" s="55"/>
      <c r="H543" s="55"/>
      <c r="I543" s="55"/>
      <c r="J543" s="55"/>
      <c r="K543" s="55"/>
      <c r="L543" s="55"/>
      <c r="M543" s="55"/>
      <c r="N543" s="55"/>
      <c r="O543" s="55"/>
      <c r="P543" s="55"/>
      <c r="Q543" s="55"/>
      <c r="R543" s="55"/>
      <c r="S543" s="55"/>
      <c r="T543" s="55"/>
      <c r="U543" s="55"/>
      <c r="V543" s="55"/>
      <c r="W543" s="55"/>
      <c r="X543" s="55"/>
      <c r="Y543" s="55"/>
      <c r="Z543" s="55"/>
    </row>
    <row r="544" spans="1:26" ht="15">
      <c r="A544" s="55"/>
      <c r="B544" s="55"/>
      <c r="C544" s="55"/>
      <c r="D544" s="55"/>
      <c r="E544" s="55"/>
      <c r="F544" s="55"/>
      <c r="G544" s="55"/>
      <c r="H544" s="55"/>
      <c r="I544" s="55"/>
      <c r="J544" s="55"/>
      <c r="K544" s="55"/>
      <c r="L544" s="55"/>
      <c r="M544" s="55"/>
      <c r="N544" s="55"/>
      <c r="O544" s="55"/>
      <c r="P544" s="55"/>
      <c r="Q544" s="55"/>
      <c r="R544" s="55"/>
      <c r="S544" s="55"/>
      <c r="T544" s="55"/>
      <c r="U544" s="55"/>
      <c r="V544" s="55"/>
      <c r="W544" s="55"/>
      <c r="X544" s="55"/>
      <c r="Y544" s="55"/>
      <c r="Z544" s="55"/>
    </row>
    <row r="545" spans="1:26" ht="15">
      <c r="A545" s="55"/>
      <c r="B545" s="55"/>
      <c r="C545" s="55"/>
      <c r="D545" s="55"/>
      <c r="E545" s="55"/>
      <c r="F545" s="55"/>
      <c r="G545" s="55"/>
      <c r="H545" s="55"/>
      <c r="I545" s="55"/>
      <c r="J545" s="55"/>
      <c r="K545" s="55"/>
      <c r="L545" s="55"/>
      <c r="M545" s="55"/>
      <c r="N545" s="55"/>
      <c r="O545" s="55"/>
      <c r="P545" s="55"/>
      <c r="Q545" s="55"/>
      <c r="R545" s="55"/>
      <c r="S545" s="55"/>
      <c r="T545" s="55"/>
      <c r="U545" s="55"/>
      <c r="V545" s="55"/>
      <c r="W545" s="55"/>
      <c r="X545" s="55"/>
      <c r="Y545" s="55"/>
      <c r="Z545" s="55"/>
    </row>
    <row r="546" spans="1:26" ht="15">
      <c r="A546" s="55"/>
      <c r="B546" s="55"/>
      <c r="C546" s="55"/>
      <c r="D546" s="55"/>
      <c r="E546" s="55"/>
      <c r="F546" s="55"/>
      <c r="G546" s="55"/>
      <c r="H546" s="55"/>
      <c r="I546" s="55"/>
      <c r="J546" s="55"/>
      <c r="K546" s="55"/>
      <c r="L546" s="55"/>
      <c r="M546" s="55"/>
      <c r="N546" s="55"/>
      <c r="O546" s="55"/>
      <c r="P546" s="55"/>
      <c r="Q546" s="55"/>
      <c r="R546" s="55"/>
      <c r="S546" s="55"/>
      <c r="T546" s="55"/>
      <c r="U546" s="55"/>
      <c r="V546" s="55"/>
      <c r="W546" s="55"/>
      <c r="X546" s="55"/>
      <c r="Y546" s="55"/>
      <c r="Z546" s="55"/>
    </row>
    <row r="547" spans="1:26" ht="15">
      <c r="A547" s="55"/>
      <c r="B547" s="55"/>
      <c r="C547" s="55"/>
      <c r="D547" s="55"/>
      <c r="E547" s="55"/>
      <c r="F547" s="55"/>
      <c r="G547" s="55"/>
      <c r="H547" s="55"/>
      <c r="I547" s="55"/>
      <c r="J547" s="55"/>
      <c r="K547" s="55"/>
      <c r="L547" s="55"/>
      <c r="M547" s="55"/>
      <c r="N547" s="55"/>
      <c r="O547" s="55"/>
      <c r="P547" s="55"/>
      <c r="Q547" s="55"/>
      <c r="R547" s="55"/>
      <c r="S547" s="55"/>
      <c r="T547" s="55"/>
      <c r="U547" s="55"/>
      <c r="V547" s="55"/>
      <c r="W547" s="55"/>
      <c r="X547" s="55"/>
      <c r="Y547" s="55"/>
      <c r="Z547" s="55"/>
    </row>
    <row r="548" spans="1:26" ht="15">
      <c r="A548" s="55"/>
      <c r="B548" s="55"/>
      <c r="C548" s="55"/>
      <c r="D548" s="55"/>
      <c r="E548" s="55"/>
      <c r="F548" s="55"/>
      <c r="G548" s="55"/>
      <c r="H548" s="55"/>
      <c r="I548" s="55"/>
      <c r="J548" s="55"/>
      <c r="K548" s="55"/>
      <c r="L548" s="55"/>
      <c r="M548" s="55"/>
      <c r="N548" s="55"/>
      <c r="O548" s="55"/>
      <c r="P548" s="55"/>
      <c r="Q548" s="55"/>
      <c r="R548" s="55"/>
      <c r="S548" s="55"/>
      <c r="T548" s="55"/>
      <c r="U548" s="55"/>
      <c r="V548" s="55"/>
      <c r="W548" s="55"/>
      <c r="X548" s="55"/>
      <c r="Y548" s="55"/>
      <c r="Z548" s="55"/>
    </row>
    <row r="549" spans="1:26" ht="15">
      <c r="A549" s="55"/>
      <c r="B549" s="55"/>
      <c r="C549" s="55"/>
      <c r="D549" s="55"/>
      <c r="E549" s="55"/>
      <c r="F549" s="55"/>
      <c r="G549" s="55"/>
      <c r="H549" s="55"/>
      <c r="I549" s="55"/>
      <c r="J549" s="55"/>
      <c r="K549" s="55"/>
      <c r="L549" s="55"/>
      <c r="M549" s="55"/>
      <c r="N549" s="55"/>
      <c r="O549" s="55"/>
      <c r="P549" s="55"/>
      <c r="Q549" s="55"/>
      <c r="R549" s="55"/>
      <c r="S549" s="55"/>
      <c r="T549" s="55"/>
      <c r="U549" s="55"/>
      <c r="V549" s="55"/>
      <c r="W549" s="55"/>
      <c r="X549" s="55"/>
      <c r="Y549" s="55"/>
      <c r="Z549" s="55"/>
    </row>
    <row r="550" spans="1:26" ht="15">
      <c r="A550" s="55"/>
      <c r="B550" s="55"/>
      <c r="C550" s="55"/>
      <c r="D550" s="55"/>
      <c r="E550" s="55"/>
      <c r="F550" s="55"/>
      <c r="G550" s="55"/>
      <c r="H550" s="55"/>
      <c r="I550" s="55"/>
      <c r="J550" s="55"/>
      <c r="K550" s="55"/>
      <c r="L550" s="55"/>
      <c r="M550" s="55"/>
      <c r="N550" s="55"/>
      <c r="O550" s="55"/>
      <c r="P550" s="55"/>
      <c r="Q550" s="55"/>
      <c r="R550" s="55"/>
      <c r="S550" s="55"/>
      <c r="T550" s="55"/>
      <c r="U550" s="55"/>
      <c r="V550" s="55"/>
      <c r="W550" s="55"/>
      <c r="X550" s="55"/>
      <c r="Y550" s="55"/>
      <c r="Z550" s="55"/>
    </row>
    <row r="551" spans="1:26" ht="15">
      <c r="A551" s="55"/>
      <c r="B551" s="55"/>
      <c r="C551" s="55"/>
      <c r="D551" s="55"/>
      <c r="E551" s="55"/>
      <c r="F551" s="55"/>
      <c r="G551" s="55"/>
      <c r="H551" s="55"/>
      <c r="I551" s="55"/>
      <c r="J551" s="55"/>
      <c r="K551" s="55"/>
      <c r="L551" s="55"/>
      <c r="M551" s="55"/>
      <c r="N551" s="55"/>
      <c r="O551" s="55"/>
      <c r="P551" s="55"/>
      <c r="Q551" s="55"/>
      <c r="R551" s="55"/>
      <c r="S551" s="55"/>
      <c r="T551" s="55"/>
      <c r="U551" s="55"/>
      <c r="V551" s="55"/>
      <c r="W551" s="55"/>
      <c r="X551" s="55"/>
      <c r="Y551" s="55"/>
      <c r="Z551" s="55"/>
    </row>
    <row r="552" spans="1:26" ht="15">
      <c r="A552" s="55"/>
      <c r="B552" s="55"/>
      <c r="C552" s="55"/>
      <c r="D552" s="55"/>
      <c r="E552" s="55"/>
      <c r="F552" s="55"/>
      <c r="G552" s="55"/>
      <c r="H552" s="55"/>
      <c r="I552" s="55"/>
      <c r="J552" s="55"/>
      <c r="K552" s="55"/>
      <c r="L552" s="55"/>
      <c r="M552" s="55"/>
      <c r="N552" s="55"/>
      <c r="O552" s="55"/>
      <c r="P552" s="55"/>
      <c r="Q552" s="55"/>
      <c r="R552" s="55"/>
      <c r="S552" s="55"/>
      <c r="T552" s="55"/>
      <c r="U552" s="55"/>
      <c r="V552" s="55"/>
      <c r="W552" s="55"/>
      <c r="X552" s="55"/>
      <c r="Y552" s="55"/>
      <c r="Z552" s="55"/>
    </row>
    <row r="553" spans="1:26" ht="15">
      <c r="A553" s="55"/>
      <c r="B553" s="55"/>
      <c r="C553" s="55"/>
      <c r="D553" s="55"/>
      <c r="E553" s="55"/>
      <c r="F553" s="55"/>
      <c r="G553" s="55"/>
      <c r="H553" s="55"/>
      <c r="I553" s="55"/>
      <c r="J553" s="55"/>
      <c r="K553" s="55"/>
      <c r="L553" s="55"/>
      <c r="M553" s="55"/>
      <c r="N553" s="55"/>
      <c r="O553" s="55"/>
      <c r="P553" s="55"/>
      <c r="Q553" s="55"/>
      <c r="R553" s="55"/>
      <c r="S553" s="55"/>
      <c r="T553" s="55"/>
      <c r="U553" s="55"/>
      <c r="V553" s="55"/>
      <c r="W553" s="55"/>
      <c r="X553" s="55"/>
      <c r="Y553" s="55"/>
      <c r="Z553" s="55"/>
    </row>
    <row r="554" spans="1:26" ht="15">
      <c r="A554" s="55"/>
      <c r="B554" s="55"/>
      <c r="C554" s="55"/>
      <c r="D554" s="55"/>
      <c r="E554" s="55"/>
      <c r="F554" s="55"/>
      <c r="G554" s="55"/>
      <c r="H554" s="55"/>
      <c r="I554" s="55"/>
      <c r="J554" s="55"/>
      <c r="K554" s="55"/>
      <c r="L554" s="55"/>
      <c r="M554" s="55"/>
      <c r="N554" s="55"/>
      <c r="O554" s="55"/>
      <c r="P554" s="55"/>
      <c r="Q554" s="55"/>
      <c r="R554" s="55"/>
      <c r="S554" s="55"/>
      <c r="T554" s="55"/>
      <c r="U554" s="55"/>
      <c r="V554" s="55"/>
      <c r="W554" s="55"/>
      <c r="X554" s="55"/>
      <c r="Y554" s="55"/>
      <c r="Z554" s="55"/>
    </row>
    <row r="555" spans="1:26" ht="15">
      <c r="A555" s="55"/>
      <c r="B555" s="55"/>
      <c r="C555" s="55"/>
      <c r="D555" s="55"/>
      <c r="E555" s="55"/>
      <c r="F555" s="55"/>
      <c r="G555" s="55"/>
      <c r="H555" s="55"/>
      <c r="I555" s="55"/>
      <c r="J555" s="55"/>
      <c r="K555" s="55"/>
      <c r="L555" s="55"/>
      <c r="M555" s="55"/>
      <c r="N555" s="55"/>
      <c r="O555" s="55"/>
      <c r="P555" s="55"/>
      <c r="Q555" s="55"/>
      <c r="R555" s="55"/>
      <c r="S555" s="55"/>
      <c r="T555" s="55"/>
      <c r="U555" s="55"/>
      <c r="V555" s="55"/>
      <c r="W555" s="55"/>
      <c r="X555" s="55"/>
      <c r="Y555" s="55"/>
      <c r="Z555" s="55"/>
    </row>
    <row r="556" spans="1:26" ht="15">
      <c r="A556" s="55"/>
      <c r="B556" s="55"/>
      <c r="C556" s="55"/>
      <c r="D556" s="55"/>
      <c r="E556" s="55"/>
      <c r="F556" s="55"/>
      <c r="G556" s="55"/>
      <c r="H556" s="55"/>
      <c r="I556" s="55"/>
      <c r="J556" s="55"/>
      <c r="K556" s="55"/>
      <c r="L556" s="55"/>
      <c r="M556" s="55"/>
      <c r="N556" s="55"/>
      <c r="O556" s="55"/>
      <c r="P556" s="55"/>
      <c r="Q556" s="55"/>
      <c r="R556" s="55"/>
      <c r="S556" s="55"/>
      <c r="T556" s="55"/>
      <c r="U556" s="55"/>
      <c r="V556" s="55"/>
      <c r="W556" s="55"/>
      <c r="X556" s="55"/>
      <c r="Y556" s="55"/>
      <c r="Z556" s="55"/>
    </row>
    <row r="557" spans="1:26" ht="15">
      <c r="A557" s="55"/>
      <c r="B557" s="55"/>
      <c r="C557" s="55"/>
      <c r="D557" s="55"/>
      <c r="E557" s="55"/>
      <c r="F557" s="55"/>
      <c r="G557" s="55"/>
      <c r="H557" s="55"/>
      <c r="I557" s="55"/>
      <c r="J557" s="55"/>
      <c r="K557" s="55"/>
      <c r="L557" s="55"/>
      <c r="M557" s="55"/>
      <c r="N557" s="55"/>
      <c r="O557" s="55"/>
      <c r="P557" s="55"/>
      <c r="Q557" s="55"/>
      <c r="R557" s="55"/>
      <c r="S557" s="55"/>
      <c r="T557" s="55"/>
      <c r="U557" s="55"/>
      <c r="V557" s="55"/>
      <c r="W557" s="55"/>
      <c r="X557" s="55"/>
      <c r="Y557" s="55"/>
      <c r="Z557" s="55"/>
    </row>
    <row r="558" spans="1:26" ht="15">
      <c r="A558" s="55"/>
      <c r="B558" s="55"/>
      <c r="C558" s="55"/>
      <c r="D558" s="55"/>
      <c r="E558" s="55"/>
      <c r="F558" s="55"/>
      <c r="G558" s="55"/>
      <c r="H558" s="55"/>
      <c r="I558" s="55"/>
      <c r="J558" s="55"/>
      <c r="K558" s="55"/>
      <c r="L558" s="55"/>
      <c r="M558" s="55"/>
      <c r="N558" s="55"/>
      <c r="O558" s="55"/>
      <c r="P558" s="55"/>
      <c r="Q558" s="55"/>
      <c r="R558" s="55"/>
      <c r="S558" s="55"/>
      <c r="T558" s="55"/>
      <c r="U558" s="55"/>
      <c r="V558" s="55"/>
      <c r="W558" s="55"/>
      <c r="X558" s="55"/>
      <c r="Y558" s="55"/>
      <c r="Z558" s="55"/>
    </row>
    <row r="559" spans="1:26" ht="15">
      <c r="A559" s="55"/>
      <c r="B559" s="55"/>
      <c r="C559" s="55"/>
      <c r="D559" s="55"/>
      <c r="E559" s="55"/>
      <c r="F559" s="55"/>
      <c r="G559" s="55"/>
      <c r="H559" s="55"/>
      <c r="I559" s="55"/>
      <c r="J559" s="55"/>
      <c r="K559" s="55"/>
      <c r="L559" s="55"/>
      <c r="M559" s="55"/>
      <c r="N559" s="55"/>
      <c r="O559" s="55"/>
      <c r="P559" s="55"/>
      <c r="Q559" s="55"/>
      <c r="R559" s="55"/>
      <c r="S559" s="55"/>
      <c r="T559" s="55"/>
      <c r="U559" s="55"/>
      <c r="V559" s="55"/>
      <c r="W559" s="55"/>
      <c r="X559" s="55"/>
      <c r="Y559" s="55"/>
      <c r="Z559" s="55"/>
    </row>
    <row r="560" spans="1:26" ht="15">
      <c r="A560" s="55"/>
      <c r="B560" s="55"/>
      <c r="C560" s="55"/>
      <c r="D560" s="55"/>
      <c r="E560" s="55"/>
      <c r="F560" s="55"/>
      <c r="G560" s="55"/>
      <c r="H560" s="55"/>
      <c r="I560" s="55"/>
      <c r="J560" s="55"/>
      <c r="K560" s="55"/>
      <c r="L560" s="55"/>
      <c r="M560" s="55"/>
      <c r="N560" s="55"/>
      <c r="O560" s="55"/>
      <c r="P560" s="55"/>
      <c r="Q560" s="55"/>
      <c r="R560" s="55"/>
      <c r="S560" s="55"/>
      <c r="T560" s="55"/>
      <c r="U560" s="55"/>
      <c r="V560" s="55"/>
      <c r="W560" s="55"/>
      <c r="X560" s="55"/>
      <c r="Y560" s="55"/>
      <c r="Z560" s="55"/>
    </row>
    <row r="561" spans="1:26" ht="15">
      <c r="A561" s="55"/>
      <c r="B561" s="55"/>
      <c r="C561" s="55"/>
      <c r="D561" s="55"/>
      <c r="E561" s="55"/>
      <c r="F561" s="55"/>
      <c r="G561" s="55"/>
      <c r="H561" s="55"/>
      <c r="I561" s="55"/>
      <c r="J561" s="55"/>
      <c r="K561" s="55"/>
      <c r="L561" s="55"/>
      <c r="M561" s="55"/>
      <c r="N561" s="55"/>
      <c r="O561" s="55"/>
      <c r="P561" s="55"/>
      <c r="Q561" s="55"/>
      <c r="R561" s="55"/>
      <c r="S561" s="55"/>
      <c r="T561" s="55"/>
      <c r="U561" s="55"/>
      <c r="V561" s="55"/>
      <c r="W561" s="55"/>
      <c r="X561" s="55"/>
      <c r="Y561" s="55"/>
      <c r="Z561" s="55"/>
    </row>
    <row r="562" spans="1:26" ht="15">
      <c r="A562" s="55"/>
      <c r="B562" s="55"/>
      <c r="C562" s="55"/>
      <c r="D562" s="55"/>
      <c r="E562" s="55"/>
      <c r="F562" s="55"/>
      <c r="G562" s="55"/>
      <c r="H562" s="55"/>
      <c r="I562" s="55"/>
      <c r="J562" s="55"/>
      <c r="K562" s="55"/>
      <c r="L562" s="55"/>
      <c r="M562" s="55"/>
      <c r="N562" s="55"/>
      <c r="O562" s="55"/>
      <c r="P562" s="55"/>
      <c r="Q562" s="55"/>
      <c r="R562" s="55"/>
      <c r="S562" s="55"/>
      <c r="T562" s="55"/>
      <c r="U562" s="55"/>
      <c r="V562" s="55"/>
      <c r="W562" s="55"/>
      <c r="X562" s="55"/>
      <c r="Y562" s="55"/>
      <c r="Z562" s="55"/>
    </row>
    <row r="563" spans="1:26" ht="15">
      <c r="A563" s="55"/>
      <c r="B563" s="55"/>
      <c r="C563" s="55"/>
      <c r="D563" s="55"/>
      <c r="E563" s="55"/>
      <c r="F563" s="55"/>
      <c r="G563" s="55"/>
      <c r="H563" s="55"/>
      <c r="I563" s="55"/>
      <c r="J563" s="55"/>
      <c r="K563" s="55"/>
      <c r="L563" s="55"/>
      <c r="M563" s="55"/>
      <c r="N563" s="55"/>
      <c r="O563" s="55"/>
      <c r="P563" s="55"/>
      <c r="Q563" s="55"/>
      <c r="R563" s="55"/>
      <c r="S563" s="55"/>
      <c r="T563" s="55"/>
      <c r="U563" s="55"/>
      <c r="V563" s="55"/>
      <c r="W563" s="55"/>
      <c r="X563" s="55"/>
      <c r="Y563" s="55"/>
      <c r="Z563" s="55"/>
    </row>
    <row r="564" spans="1:26" ht="15">
      <c r="A564" s="55"/>
      <c r="B564" s="55"/>
      <c r="C564" s="55"/>
      <c r="D564" s="55"/>
      <c r="E564" s="55"/>
      <c r="F564" s="55"/>
      <c r="G564" s="55"/>
      <c r="H564" s="55"/>
      <c r="I564" s="55"/>
      <c r="J564" s="55"/>
      <c r="K564" s="55"/>
      <c r="L564" s="55"/>
      <c r="M564" s="55"/>
      <c r="N564" s="55"/>
      <c r="O564" s="55"/>
      <c r="P564" s="55"/>
      <c r="Q564" s="55"/>
      <c r="R564" s="55"/>
      <c r="S564" s="55"/>
      <c r="T564" s="55"/>
      <c r="U564" s="55"/>
      <c r="V564" s="55"/>
      <c r="W564" s="55"/>
      <c r="X564" s="55"/>
      <c r="Y564" s="55"/>
      <c r="Z564" s="55"/>
    </row>
    <row r="565" spans="1:26" ht="15">
      <c r="A565" s="55"/>
      <c r="B565" s="55"/>
      <c r="C565" s="55"/>
      <c r="D565" s="55"/>
      <c r="E565" s="55"/>
      <c r="F565" s="55"/>
      <c r="G565" s="55"/>
      <c r="H565" s="55"/>
      <c r="I565" s="55"/>
      <c r="J565" s="55"/>
      <c r="K565" s="55"/>
      <c r="L565" s="55"/>
      <c r="M565" s="55"/>
      <c r="N565" s="55"/>
      <c r="O565" s="55"/>
      <c r="P565" s="55"/>
      <c r="Q565" s="55"/>
      <c r="R565" s="55"/>
      <c r="S565" s="55"/>
      <c r="T565" s="55"/>
      <c r="U565" s="55"/>
      <c r="V565" s="55"/>
      <c r="W565" s="55"/>
      <c r="X565" s="55"/>
      <c r="Y565" s="55"/>
      <c r="Z565" s="55"/>
    </row>
    <row r="566" spans="1:26" ht="15">
      <c r="A566" s="55"/>
      <c r="B566" s="55"/>
      <c r="C566" s="55"/>
      <c r="D566" s="55"/>
      <c r="E566" s="55"/>
      <c r="F566" s="55"/>
      <c r="G566" s="55"/>
      <c r="H566" s="55"/>
      <c r="I566" s="55"/>
      <c r="J566" s="55"/>
      <c r="K566" s="55"/>
      <c r="L566" s="55"/>
      <c r="M566" s="55"/>
      <c r="N566" s="55"/>
      <c r="O566" s="55"/>
      <c r="P566" s="55"/>
      <c r="Q566" s="55"/>
      <c r="R566" s="55"/>
      <c r="S566" s="55"/>
      <c r="T566" s="55"/>
      <c r="U566" s="55"/>
      <c r="V566" s="55"/>
      <c r="W566" s="55"/>
      <c r="X566" s="55"/>
      <c r="Y566" s="55"/>
      <c r="Z566" s="55"/>
    </row>
    <row r="567" spans="1:26" ht="15">
      <c r="A567" s="55"/>
      <c r="B567" s="55"/>
      <c r="C567" s="55"/>
      <c r="D567" s="55"/>
      <c r="E567" s="55"/>
      <c r="F567" s="55"/>
      <c r="G567" s="55"/>
      <c r="H567" s="55"/>
      <c r="I567" s="55"/>
      <c r="J567" s="55"/>
      <c r="K567" s="55"/>
      <c r="L567" s="55"/>
      <c r="M567" s="55"/>
      <c r="N567" s="55"/>
      <c r="O567" s="55"/>
      <c r="P567" s="55"/>
      <c r="Q567" s="55"/>
      <c r="R567" s="55"/>
      <c r="S567" s="55"/>
      <c r="T567" s="55"/>
      <c r="U567" s="55"/>
      <c r="V567" s="55"/>
      <c r="W567" s="55"/>
      <c r="X567" s="55"/>
      <c r="Y567" s="55"/>
      <c r="Z567" s="55"/>
    </row>
    <row r="568" spans="1:26" ht="15">
      <c r="A568" s="55"/>
      <c r="B568" s="55"/>
      <c r="C568" s="55"/>
      <c r="D568" s="55"/>
      <c r="E568" s="55"/>
      <c r="F568" s="55"/>
      <c r="G568" s="55"/>
      <c r="H568" s="55"/>
      <c r="I568" s="55"/>
      <c r="J568" s="55"/>
      <c r="K568" s="55"/>
      <c r="L568" s="55"/>
      <c r="M568" s="55"/>
      <c r="N568" s="55"/>
      <c r="O568" s="55"/>
      <c r="P568" s="55"/>
      <c r="Q568" s="55"/>
      <c r="R568" s="55"/>
      <c r="S568" s="55"/>
      <c r="T568" s="55"/>
      <c r="U568" s="55"/>
      <c r="V568" s="55"/>
      <c r="W568" s="55"/>
      <c r="X568" s="55"/>
      <c r="Y568" s="55"/>
      <c r="Z568" s="55"/>
    </row>
    <row r="569" spans="1:26" ht="15">
      <c r="A569" s="55"/>
      <c r="B569" s="55"/>
      <c r="C569" s="55"/>
      <c r="D569" s="55"/>
      <c r="E569" s="55"/>
      <c r="F569" s="55"/>
      <c r="G569" s="55"/>
      <c r="H569" s="55"/>
      <c r="I569" s="55"/>
      <c r="J569" s="55"/>
      <c r="K569" s="55"/>
      <c r="L569" s="55"/>
      <c r="M569" s="55"/>
      <c r="N569" s="55"/>
      <c r="O569" s="55"/>
      <c r="P569" s="55"/>
      <c r="Q569" s="55"/>
      <c r="R569" s="55"/>
      <c r="S569" s="55"/>
      <c r="T569" s="55"/>
      <c r="U569" s="55"/>
      <c r="V569" s="55"/>
      <c r="W569" s="55"/>
      <c r="X569" s="55"/>
      <c r="Y569" s="55"/>
      <c r="Z569" s="55"/>
    </row>
    <row r="570" spans="1:26" ht="15">
      <c r="A570" s="55"/>
      <c r="B570" s="55"/>
      <c r="C570" s="55"/>
      <c r="D570" s="55"/>
      <c r="E570" s="55"/>
      <c r="F570" s="55"/>
      <c r="G570" s="55"/>
      <c r="H570" s="55"/>
      <c r="I570" s="55"/>
      <c r="J570" s="55"/>
      <c r="K570" s="55"/>
      <c r="L570" s="55"/>
      <c r="M570" s="55"/>
      <c r="N570" s="55"/>
      <c r="O570" s="55"/>
      <c r="P570" s="55"/>
      <c r="Q570" s="55"/>
      <c r="R570" s="55"/>
      <c r="S570" s="55"/>
      <c r="T570" s="55"/>
      <c r="U570" s="55"/>
      <c r="V570" s="55"/>
      <c r="W570" s="55"/>
      <c r="X570" s="55"/>
      <c r="Y570" s="55"/>
      <c r="Z570" s="55"/>
    </row>
    <row r="571" spans="1:26" ht="15">
      <c r="A571" s="55"/>
      <c r="B571" s="55"/>
      <c r="C571" s="55"/>
      <c r="D571" s="55"/>
      <c r="E571" s="55"/>
      <c r="F571" s="55"/>
      <c r="G571" s="55"/>
      <c r="H571" s="55"/>
      <c r="I571" s="55"/>
      <c r="J571" s="55"/>
      <c r="K571" s="55"/>
      <c r="L571" s="55"/>
      <c r="M571" s="55"/>
      <c r="N571" s="55"/>
      <c r="O571" s="55"/>
      <c r="P571" s="55"/>
      <c r="Q571" s="55"/>
      <c r="R571" s="55"/>
      <c r="S571" s="55"/>
      <c r="T571" s="55"/>
      <c r="U571" s="55"/>
      <c r="V571" s="55"/>
      <c r="W571" s="55"/>
      <c r="X571" s="55"/>
      <c r="Y571" s="55"/>
      <c r="Z571" s="55"/>
    </row>
    <row r="572" spans="1:26" ht="15">
      <c r="A572" s="55"/>
      <c r="B572" s="55"/>
      <c r="C572" s="55"/>
      <c r="D572" s="55"/>
      <c r="E572" s="55"/>
      <c r="F572" s="55"/>
      <c r="G572" s="55"/>
      <c r="H572" s="55"/>
      <c r="I572" s="55"/>
      <c r="J572" s="55"/>
      <c r="K572" s="55"/>
      <c r="L572" s="55"/>
      <c r="M572" s="55"/>
      <c r="N572" s="55"/>
      <c r="O572" s="55"/>
      <c r="P572" s="55"/>
      <c r="Q572" s="55"/>
      <c r="R572" s="55"/>
      <c r="S572" s="55"/>
      <c r="T572" s="55"/>
      <c r="U572" s="55"/>
      <c r="V572" s="55"/>
      <c r="W572" s="55"/>
      <c r="X572" s="55"/>
      <c r="Y572" s="55"/>
      <c r="Z572" s="55"/>
    </row>
    <row r="573" spans="1:26" ht="15">
      <c r="A573" s="55"/>
      <c r="B573" s="55"/>
      <c r="C573" s="55"/>
      <c r="D573" s="55"/>
      <c r="E573" s="55"/>
      <c r="F573" s="55"/>
      <c r="G573" s="55"/>
      <c r="H573" s="55"/>
      <c r="I573" s="55"/>
      <c r="J573" s="55"/>
      <c r="K573" s="55"/>
      <c r="L573" s="55"/>
      <c r="M573" s="55"/>
      <c r="N573" s="55"/>
      <c r="O573" s="55"/>
      <c r="P573" s="55"/>
      <c r="Q573" s="55"/>
      <c r="R573" s="55"/>
      <c r="S573" s="55"/>
      <c r="T573" s="55"/>
      <c r="U573" s="55"/>
      <c r="V573" s="55"/>
      <c r="W573" s="55"/>
      <c r="X573" s="55"/>
      <c r="Y573" s="55"/>
      <c r="Z573" s="55"/>
    </row>
    <row r="574" spans="1:26" ht="15">
      <c r="A574" s="55"/>
      <c r="B574" s="55"/>
      <c r="C574" s="55"/>
      <c r="D574" s="55"/>
      <c r="E574" s="55"/>
      <c r="F574" s="55"/>
      <c r="G574" s="55"/>
      <c r="H574" s="55"/>
      <c r="I574" s="55"/>
      <c r="J574" s="55"/>
      <c r="K574" s="55"/>
      <c r="L574" s="55"/>
      <c r="M574" s="55"/>
      <c r="N574" s="55"/>
      <c r="O574" s="55"/>
      <c r="P574" s="55"/>
      <c r="Q574" s="55"/>
      <c r="R574" s="55"/>
      <c r="S574" s="55"/>
      <c r="T574" s="55"/>
      <c r="U574" s="55"/>
      <c r="V574" s="55"/>
      <c r="W574" s="55"/>
      <c r="X574" s="55"/>
      <c r="Y574" s="55"/>
      <c r="Z574" s="55"/>
    </row>
    <row r="575" spans="1:26" ht="15">
      <c r="A575" s="55"/>
      <c r="B575" s="55"/>
      <c r="C575" s="55"/>
      <c r="D575" s="55"/>
      <c r="E575" s="55"/>
      <c r="F575" s="55"/>
      <c r="G575" s="55"/>
      <c r="H575" s="55"/>
      <c r="I575" s="55"/>
      <c r="J575" s="55"/>
      <c r="K575" s="55"/>
      <c r="L575" s="55"/>
      <c r="M575" s="55"/>
      <c r="N575" s="55"/>
      <c r="O575" s="55"/>
      <c r="P575" s="55"/>
      <c r="Q575" s="55"/>
      <c r="R575" s="55"/>
      <c r="S575" s="55"/>
      <c r="T575" s="55"/>
      <c r="U575" s="55"/>
      <c r="V575" s="55"/>
      <c r="W575" s="55"/>
      <c r="X575" s="55"/>
      <c r="Y575" s="55"/>
      <c r="Z575" s="55"/>
    </row>
    <row r="576" spans="1:26" ht="15">
      <c r="A576" s="55"/>
      <c r="B576" s="55"/>
      <c r="C576" s="55"/>
      <c r="D576" s="55"/>
      <c r="E576" s="55"/>
      <c r="F576" s="55"/>
      <c r="G576" s="55"/>
      <c r="H576" s="55"/>
      <c r="I576" s="55"/>
      <c r="J576" s="55"/>
      <c r="K576" s="55"/>
      <c r="L576" s="55"/>
      <c r="M576" s="55"/>
      <c r="N576" s="55"/>
      <c r="O576" s="55"/>
      <c r="P576" s="55"/>
      <c r="Q576" s="55"/>
      <c r="R576" s="55"/>
      <c r="S576" s="55"/>
      <c r="T576" s="55"/>
      <c r="U576" s="55"/>
      <c r="V576" s="55"/>
      <c r="W576" s="55"/>
      <c r="X576" s="55"/>
      <c r="Y576" s="55"/>
      <c r="Z576" s="55"/>
    </row>
    <row r="577" spans="1:26" ht="15">
      <c r="A577" s="55"/>
      <c r="B577" s="55"/>
      <c r="C577" s="55"/>
      <c r="D577" s="55"/>
      <c r="E577" s="55"/>
      <c r="F577" s="55"/>
      <c r="G577" s="55"/>
      <c r="H577" s="55"/>
      <c r="I577" s="55"/>
      <c r="J577" s="55"/>
      <c r="K577" s="55"/>
      <c r="L577" s="55"/>
      <c r="M577" s="55"/>
      <c r="N577" s="55"/>
      <c r="O577" s="55"/>
      <c r="P577" s="55"/>
      <c r="Q577" s="55"/>
      <c r="R577" s="55"/>
      <c r="S577" s="55"/>
      <c r="T577" s="55"/>
      <c r="U577" s="55"/>
      <c r="V577" s="55"/>
      <c r="W577" s="55"/>
      <c r="X577" s="55"/>
      <c r="Y577" s="55"/>
      <c r="Z577" s="55"/>
    </row>
    <row r="578" spans="1:26" ht="15">
      <c r="A578" s="55"/>
      <c r="B578" s="55"/>
      <c r="C578" s="55"/>
      <c r="D578" s="55"/>
      <c r="E578" s="55"/>
      <c r="F578" s="55"/>
      <c r="G578" s="55"/>
      <c r="H578" s="55"/>
      <c r="I578" s="55"/>
      <c r="J578" s="55"/>
      <c r="K578" s="55"/>
      <c r="L578" s="55"/>
      <c r="M578" s="55"/>
      <c r="N578" s="55"/>
      <c r="O578" s="55"/>
      <c r="P578" s="55"/>
      <c r="Q578" s="55"/>
      <c r="R578" s="55"/>
      <c r="S578" s="55"/>
      <c r="T578" s="55"/>
      <c r="U578" s="55"/>
      <c r="V578" s="55"/>
      <c r="W578" s="55"/>
      <c r="X578" s="55"/>
      <c r="Y578" s="55"/>
      <c r="Z578" s="55"/>
    </row>
    <row r="579" spans="1:26" ht="15">
      <c r="A579" s="55"/>
      <c r="B579" s="55"/>
      <c r="C579" s="55"/>
      <c r="D579" s="55"/>
      <c r="E579" s="55"/>
      <c r="F579" s="55"/>
      <c r="G579" s="55"/>
      <c r="H579" s="55"/>
      <c r="I579" s="55"/>
      <c r="J579" s="55"/>
      <c r="K579" s="55"/>
      <c r="L579" s="55"/>
      <c r="M579" s="55"/>
      <c r="N579" s="55"/>
      <c r="O579" s="55"/>
      <c r="P579" s="55"/>
      <c r="Q579" s="55"/>
      <c r="R579" s="55"/>
      <c r="S579" s="55"/>
      <c r="T579" s="55"/>
      <c r="U579" s="55"/>
      <c r="V579" s="55"/>
      <c r="W579" s="55"/>
      <c r="X579" s="55"/>
      <c r="Y579" s="55"/>
      <c r="Z579" s="55"/>
    </row>
    <row r="580" spans="1:26" ht="15">
      <c r="A580" s="55"/>
      <c r="B580" s="55"/>
      <c r="C580" s="55"/>
      <c r="D580" s="55"/>
      <c r="E580" s="55"/>
      <c r="F580" s="55"/>
      <c r="G580" s="55"/>
      <c r="H580" s="55"/>
      <c r="I580" s="55"/>
      <c r="J580" s="55"/>
      <c r="K580" s="55"/>
      <c r="L580" s="55"/>
      <c r="M580" s="55"/>
      <c r="N580" s="55"/>
      <c r="O580" s="55"/>
      <c r="P580" s="55"/>
      <c r="Q580" s="55"/>
      <c r="R580" s="55"/>
      <c r="S580" s="55"/>
      <c r="T580" s="55"/>
      <c r="U580" s="55"/>
      <c r="V580" s="55"/>
      <c r="W580" s="55"/>
      <c r="X580" s="55"/>
      <c r="Y580" s="55"/>
      <c r="Z580" s="55"/>
    </row>
    <row r="581" spans="1:26" ht="15">
      <c r="A581" s="55"/>
      <c r="B581" s="55"/>
      <c r="C581" s="55"/>
      <c r="D581" s="55"/>
      <c r="E581" s="55"/>
      <c r="F581" s="55"/>
      <c r="G581" s="55"/>
      <c r="H581" s="55"/>
      <c r="I581" s="55"/>
      <c r="J581" s="55"/>
      <c r="K581" s="55"/>
      <c r="L581" s="55"/>
      <c r="M581" s="55"/>
      <c r="N581" s="55"/>
      <c r="O581" s="55"/>
      <c r="P581" s="55"/>
      <c r="Q581" s="55"/>
      <c r="R581" s="55"/>
      <c r="S581" s="55"/>
      <c r="T581" s="55"/>
      <c r="U581" s="55"/>
      <c r="V581" s="55"/>
      <c r="W581" s="55"/>
      <c r="X581" s="55"/>
      <c r="Y581" s="55"/>
      <c r="Z581" s="55"/>
    </row>
    <row r="582" spans="1:26" ht="15">
      <c r="A582" s="55"/>
      <c r="B582" s="55"/>
      <c r="C582" s="55"/>
      <c r="D582" s="55"/>
      <c r="E582" s="55"/>
      <c r="F582" s="55"/>
      <c r="G582" s="55"/>
      <c r="H582" s="55"/>
      <c r="I582" s="55"/>
      <c r="J582" s="55"/>
      <c r="K582" s="55"/>
      <c r="L582" s="55"/>
      <c r="M582" s="55"/>
      <c r="N582" s="55"/>
      <c r="O582" s="55"/>
      <c r="P582" s="55"/>
      <c r="Q582" s="55"/>
      <c r="R582" s="55"/>
      <c r="S582" s="55"/>
      <c r="T582" s="55"/>
      <c r="U582" s="55"/>
      <c r="V582" s="55"/>
      <c r="W582" s="55"/>
      <c r="X582" s="55"/>
      <c r="Y582" s="55"/>
      <c r="Z582" s="55"/>
    </row>
    <row r="583" spans="1:26" ht="15">
      <c r="A583" s="55"/>
      <c r="B583" s="55"/>
      <c r="C583" s="55"/>
      <c r="D583" s="55"/>
      <c r="E583" s="55"/>
      <c r="F583" s="55"/>
      <c r="G583" s="55"/>
      <c r="H583" s="55"/>
      <c r="I583" s="55"/>
      <c r="J583" s="55"/>
      <c r="K583" s="55"/>
      <c r="L583" s="55"/>
      <c r="M583" s="55"/>
      <c r="N583" s="55"/>
      <c r="O583" s="55"/>
      <c r="P583" s="55"/>
      <c r="Q583" s="55"/>
      <c r="R583" s="55"/>
      <c r="S583" s="55"/>
      <c r="T583" s="55"/>
      <c r="U583" s="55"/>
      <c r="V583" s="55"/>
      <c r="W583" s="55"/>
      <c r="X583" s="55"/>
      <c r="Y583" s="55"/>
      <c r="Z583" s="55"/>
    </row>
    <row r="584" spans="1:26" ht="15">
      <c r="A584" s="55"/>
      <c r="B584" s="55"/>
      <c r="C584" s="55"/>
      <c r="D584" s="55"/>
      <c r="E584" s="55"/>
      <c r="F584" s="55"/>
      <c r="G584" s="55"/>
      <c r="H584" s="55"/>
      <c r="I584" s="55"/>
      <c r="J584" s="55"/>
      <c r="K584" s="55"/>
      <c r="L584" s="55"/>
      <c r="M584" s="55"/>
      <c r="N584" s="55"/>
      <c r="O584" s="55"/>
      <c r="P584" s="55"/>
      <c r="Q584" s="55"/>
      <c r="R584" s="55"/>
      <c r="S584" s="55"/>
      <c r="T584" s="55"/>
      <c r="U584" s="55"/>
      <c r="V584" s="55"/>
      <c r="W584" s="55"/>
      <c r="X584" s="55"/>
      <c r="Y584" s="55"/>
      <c r="Z584" s="55"/>
    </row>
    <row r="585" spans="1:26" ht="15">
      <c r="A585" s="55"/>
      <c r="B585" s="55"/>
      <c r="C585" s="55"/>
      <c r="D585" s="55"/>
      <c r="E585" s="55"/>
      <c r="F585" s="55"/>
      <c r="G585" s="55"/>
      <c r="H585" s="55"/>
      <c r="I585" s="55"/>
      <c r="J585" s="55"/>
      <c r="K585" s="55"/>
      <c r="L585" s="55"/>
      <c r="M585" s="55"/>
      <c r="N585" s="55"/>
      <c r="O585" s="55"/>
      <c r="P585" s="55"/>
      <c r="Q585" s="55"/>
      <c r="R585" s="55"/>
      <c r="S585" s="55"/>
      <c r="T585" s="55"/>
      <c r="U585" s="55"/>
      <c r="V585" s="55"/>
      <c r="W585" s="55"/>
      <c r="X585" s="55"/>
      <c r="Y585" s="55"/>
      <c r="Z585" s="55"/>
    </row>
    <row r="586" spans="1:26" ht="15">
      <c r="A586" s="55"/>
      <c r="B586" s="55"/>
      <c r="C586" s="55"/>
      <c r="D586" s="55"/>
      <c r="E586" s="55"/>
      <c r="F586" s="55"/>
      <c r="G586" s="55"/>
      <c r="H586" s="55"/>
      <c r="I586" s="55"/>
      <c r="J586" s="55"/>
      <c r="K586" s="55"/>
      <c r="L586" s="55"/>
      <c r="M586" s="55"/>
      <c r="N586" s="55"/>
      <c r="O586" s="55"/>
      <c r="P586" s="55"/>
      <c r="Q586" s="55"/>
      <c r="R586" s="55"/>
      <c r="S586" s="55"/>
      <c r="T586" s="55"/>
      <c r="U586" s="55"/>
      <c r="V586" s="55"/>
      <c r="W586" s="55"/>
      <c r="X586" s="55"/>
      <c r="Y586" s="55"/>
      <c r="Z586" s="55"/>
    </row>
    <row r="587" spans="1:26" ht="15">
      <c r="A587" s="55"/>
      <c r="B587" s="55"/>
      <c r="C587" s="55"/>
      <c r="D587" s="55"/>
      <c r="E587" s="55"/>
      <c r="F587" s="55"/>
      <c r="G587" s="55"/>
      <c r="H587" s="55"/>
      <c r="I587" s="55"/>
      <c r="J587" s="55"/>
      <c r="K587" s="55"/>
      <c r="L587" s="55"/>
      <c r="M587" s="55"/>
      <c r="N587" s="55"/>
      <c r="O587" s="55"/>
      <c r="P587" s="55"/>
      <c r="Q587" s="55"/>
      <c r="R587" s="55"/>
      <c r="S587" s="55"/>
      <c r="T587" s="55"/>
      <c r="U587" s="55"/>
      <c r="V587" s="55"/>
      <c r="W587" s="55"/>
      <c r="X587" s="55"/>
      <c r="Y587" s="55"/>
      <c r="Z587" s="55"/>
    </row>
    <row r="588" spans="1:26" ht="15">
      <c r="A588" s="55"/>
      <c r="B588" s="55"/>
      <c r="C588" s="55"/>
      <c r="D588" s="55"/>
      <c r="E588" s="55"/>
      <c r="F588" s="55"/>
      <c r="G588" s="55"/>
      <c r="H588" s="55"/>
      <c r="I588" s="55"/>
      <c r="J588" s="55"/>
      <c r="K588" s="55"/>
      <c r="L588" s="55"/>
      <c r="M588" s="55"/>
      <c r="N588" s="55"/>
      <c r="O588" s="55"/>
      <c r="P588" s="55"/>
      <c r="Q588" s="55"/>
      <c r="R588" s="55"/>
      <c r="S588" s="55"/>
      <c r="T588" s="55"/>
      <c r="U588" s="55"/>
      <c r="V588" s="55"/>
      <c r="W588" s="55"/>
      <c r="X588" s="55"/>
      <c r="Y588" s="55"/>
      <c r="Z588" s="55"/>
    </row>
    <row r="589" spans="1:26" ht="15">
      <c r="A589" s="55"/>
      <c r="B589" s="55"/>
      <c r="C589" s="55"/>
      <c r="D589" s="55"/>
      <c r="E589" s="55"/>
      <c r="F589" s="55"/>
      <c r="G589" s="55"/>
      <c r="H589" s="55"/>
      <c r="I589" s="55"/>
      <c r="J589" s="55"/>
      <c r="K589" s="55"/>
      <c r="L589" s="55"/>
      <c r="M589" s="55"/>
      <c r="N589" s="55"/>
      <c r="O589" s="55"/>
      <c r="P589" s="55"/>
      <c r="Q589" s="55"/>
      <c r="R589" s="55"/>
      <c r="S589" s="55"/>
      <c r="T589" s="55"/>
      <c r="U589" s="55"/>
      <c r="V589" s="55"/>
      <c r="W589" s="55"/>
      <c r="X589" s="55"/>
      <c r="Y589" s="55"/>
      <c r="Z589" s="55"/>
    </row>
    <row r="590" spans="1:26" ht="15">
      <c r="A590" s="55"/>
      <c r="B590" s="55"/>
      <c r="C590" s="55"/>
      <c r="D590" s="55"/>
      <c r="E590" s="55"/>
      <c r="F590" s="55"/>
      <c r="G590" s="55"/>
      <c r="H590" s="55"/>
      <c r="I590" s="55"/>
      <c r="J590" s="55"/>
      <c r="K590" s="55"/>
      <c r="L590" s="55"/>
      <c r="M590" s="55"/>
      <c r="N590" s="55"/>
      <c r="O590" s="55"/>
      <c r="P590" s="55"/>
      <c r="Q590" s="55"/>
      <c r="R590" s="55"/>
      <c r="S590" s="55"/>
      <c r="T590" s="55"/>
      <c r="U590" s="55"/>
      <c r="V590" s="55"/>
      <c r="W590" s="55"/>
      <c r="X590" s="55"/>
      <c r="Y590" s="55"/>
      <c r="Z590" s="55"/>
    </row>
    <row r="591" spans="1:26" ht="15">
      <c r="A591" s="55"/>
      <c r="B591" s="55"/>
      <c r="C591" s="55"/>
      <c r="D591" s="55"/>
      <c r="E591" s="55"/>
      <c r="F591" s="55"/>
      <c r="G591" s="55"/>
      <c r="H591" s="55"/>
      <c r="I591" s="55"/>
      <c r="J591" s="55"/>
      <c r="K591" s="55"/>
      <c r="L591" s="55"/>
      <c r="M591" s="55"/>
      <c r="N591" s="55"/>
      <c r="O591" s="55"/>
      <c r="P591" s="55"/>
      <c r="Q591" s="55"/>
      <c r="R591" s="55"/>
      <c r="S591" s="55"/>
      <c r="T591" s="55"/>
      <c r="U591" s="55"/>
      <c r="V591" s="55"/>
      <c r="W591" s="55"/>
      <c r="X591" s="55"/>
      <c r="Y591" s="55"/>
      <c r="Z591" s="55"/>
    </row>
    <row r="592" spans="1:26" ht="15">
      <c r="A592" s="55"/>
      <c r="B592" s="55"/>
      <c r="C592" s="55"/>
      <c r="D592" s="55"/>
      <c r="E592" s="55"/>
      <c r="F592" s="55"/>
      <c r="G592" s="55"/>
      <c r="H592" s="55"/>
      <c r="I592" s="55"/>
      <c r="J592" s="55"/>
      <c r="K592" s="55"/>
      <c r="L592" s="55"/>
      <c r="M592" s="55"/>
      <c r="N592" s="55"/>
      <c r="O592" s="55"/>
      <c r="P592" s="55"/>
      <c r="Q592" s="55"/>
      <c r="R592" s="55"/>
      <c r="S592" s="55"/>
      <c r="T592" s="55"/>
      <c r="U592" s="55"/>
      <c r="V592" s="55"/>
      <c r="W592" s="55"/>
      <c r="X592" s="55"/>
      <c r="Y592" s="55"/>
      <c r="Z592" s="55"/>
    </row>
    <row r="593" spans="1:26" ht="15">
      <c r="A593" s="55"/>
      <c r="B593" s="55"/>
      <c r="C593" s="55"/>
      <c r="D593" s="55"/>
      <c r="E593" s="55"/>
      <c r="F593" s="55"/>
      <c r="G593" s="55"/>
      <c r="H593" s="55"/>
      <c r="I593" s="55"/>
      <c r="J593" s="55"/>
      <c r="K593" s="55"/>
      <c r="L593" s="55"/>
      <c r="M593" s="55"/>
      <c r="N593" s="55"/>
      <c r="O593" s="55"/>
      <c r="P593" s="55"/>
      <c r="Q593" s="55"/>
      <c r="R593" s="55"/>
      <c r="S593" s="55"/>
      <c r="T593" s="55"/>
      <c r="U593" s="55"/>
      <c r="V593" s="55"/>
      <c r="W593" s="55"/>
      <c r="X593" s="55"/>
      <c r="Y593" s="55"/>
      <c r="Z593" s="55"/>
    </row>
    <row r="594" spans="1:26" ht="15">
      <c r="A594" s="55"/>
      <c r="B594" s="55"/>
      <c r="C594" s="55"/>
      <c r="D594" s="55"/>
      <c r="E594" s="55"/>
      <c r="F594" s="55"/>
      <c r="G594" s="55"/>
      <c r="H594" s="55"/>
      <c r="I594" s="55"/>
      <c r="J594" s="55"/>
      <c r="K594" s="55"/>
      <c r="L594" s="55"/>
      <c r="M594" s="55"/>
      <c r="N594" s="55"/>
      <c r="O594" s="55"/>
      <c r="P594" s="55"/>
      <c r="Q594" s="55"/>
      <c r="R594" s="55"/>
      <c r="S594" s="55"/>
      <c r="T594" s="55"/>
      <c r="U594" s="55"/>
      <c r="V594" s="55"/>
      <c r="W594" s="55"/>
      <c r="X594" s="55"/>
      <c r="Y594" s="55"/>
      <c r="Z594" s="55"/>
    </row>
    <row r="595" spans="1:26" ht="15">
      <c r="A595" s="55"/>
      <c r="B595" s="55"/>
      <c r="C595" s="55"/>
      <c r="D595" s="55"/>
      <c r="E595" s="55"/>
      <c r="F595" s="55"/>
      <c r="G595" s="55"/>
      <c r="H595" s="55"/>
      <c r="I595" s="55"/>
      <c r="J595" s="55"/>
      <c r="K595" s="55"/>
      <c r="L595" s="55"/>
      <c r="M595" s="55"/>
      <c r="N595" s="55"/>
      <c r="O595" s="55"/>
      <c r="P595" s="55"/>
      <c r="Q595" s="55"/>
      <c r="R595" s="55"/>
      <c r="S595" s="55"/>
      <c r="T595" s="55"/>
      <c r="U595" s="55"/>
      <c r="V595" s="55"/>
      <c r="W595" s="55"/>
      <c r="X595" s="55"/>
      <c r="Y595" s="55"/>
      <c r="Z595" s="55"/>
    </row>
    <row r="596" spans="1:26" ht="15">
      <c r="A596" s="55"/>
      <c r="B596" s="55"/>
      <c r="C596" s="55"/>
      <c r="D596" s="55"/>
      <c r="E596" s="55"/>
      <c r="F596" s="55"/>
      <c r="G596" s="55"/>
      <c r="H596" s="55"/>
      <c r="I596" s="55"/>
      <c r="J596" s="55"/>
      <c r="K596" s="55"/>
      <c r="L596" s="55"/>
      <c r="M596" s="55"/>
      <c r="N596" s="55"/>
      <c r="O596" s="55"/>
      <c r="P596" s="55"/>
      <c r="Q596" s="55"/>
      <c r="R596" s="55"/>
      <c r="S596" s="55"/>
      <c r="T596" s="55"/>
      <c r="U596" s="55"/>
      <c r="V596" s="55"/>
      <c r="W596" s="55"/>
      <c r="X596" s="55"/>
      <c r="Y596" s="55"/>
      <c r="Z596" s="55"/>
    </row>
    <row r="597" spans="1:26" ht="15">
      <c r="A597" s="55"/>
      <c r="B597" s="55"/>
      <c r="C597" s="55"/>
      <c r="D597" s="55"/>
      <c r="E597" s="55"/>
      <c r="F597" s="55"/>
      <c r="G597" s="55"/>
      <c r="H597" s="55"/>
      <c r="I597" s="55"/>
      <c r="J597" s="55"/>
      <c r="K597" s="55"/>
      <c r="L597" s="55"/>
      <c r="M597" s="55"/>
      <c r="N597" s="55"/>
      <c r="O597" s="55"/>
      <c r="P597" s="55"/>
      <c r="Q597" s="55"/>
      <c r="R597" s="55"/>
      <c r="S597" s="55"/>
      <c r="T597" s="55"/>
      <c r="U597" s="55"/>
      <c r="V597" s="55"/>
      <c r="W597" s="55"/>
      <c r="X597" s="55"/>
      <c r="Y597" s="55"/>
      <c r="Z597" s="55"/>
    </row>
    <row r="598" spans="1:26" ht="15">
      <c r="A598" s="55"/>
      <c r="B598" s="55"/>
      <c r="C598" s="55"/>
      <c r="D598" s="55"/>
      <c r="E598" s="55"/>
      <c r="F598" s="55"/>
      <c r="G598" s="55"/>
      <c r="H598" s="55"/>
      <c r="I598" s="55"/>
      <c r="J598" s="55"/>
      <c r="K598" s="55"/>
      <c r="L598" s="55"/>
      <c r="M598" s="55"/>
      <c r="N598" s="55"/>
      <c r="O598" s="55"/>
      <c r="P598" s="55"/>
      <c r="Q598" s="55"/>
      <c r="R598" s="55"/>
      <c r="S598" s="55"/>
      <c r="T598" s="55"/>
      <c r="U598" s="55"/>
      <c r="V598" s="55"/>
      <c r="W598" s="55"/>
      <c r="X598" s="55"/>
      <c r="Y598" s="55"/>
      <c r="Z598" s="55"/>
    </row>
    <row r="599" spans="1:26" ht="15">
      <c r="A599" s="55"/>
      <c r="B599" s="55"/>
      <c r="C599" s="55"/>
      <c r="D599" s="55"/>
      <c r="E599" s="55"/>
      <c r="F599" s="55"/>
      <c r="G599" s="55"/>
      <c r="H599" s="55"/>
      <c r="I599" s="55"/>
      <c r="J599" s="55"/>
      <c r="K599" s="55"/>
      <c r="L599" s="55"/>
      <c r="M599" s="55"/>
      <c r="N599" s="55"/>
      <c r="O599" s="55"/>
      <c r="P599" s="55"/>
      <c r="Q599" s="55"/>
      <c r="R599" s="55"/>
      <c r="S599" s="55"/>
      <c r="T599" s="55"/>
      <c r="U599" s="55"/>
      <c r="V599" s="55"/>
      <c r="W599" s="55"/>
      <c r="X599" s="55"/>
      <c r="Y599" s="55"/>
      <c r="Z599" s="55"/>
    </row>
    <row r="600" spans="1:26" ht="15">
      <c r="A600" s="55"/>
      <c r="B600" s="55"/>
      <c r="C600" s="55"/>
      <c r="D600" s="55"/>
      <c r="E600" s="55"/>
      <c r="F600" s="55"/>
      <c r="G600" s="55"/>
      <c r="H600" s="55"/>
      <c r="I600" s="55"/>
      <c r="J600" s="55"/>
      <c r="K600" s="55"/>
      <c r="L600" s="55"/>
      <c r="M600" s="55"/>
      <c r="N600" s="55"/>
      <c r="O600" s="55"/>
      <c r="P600" s="55"/>
      <c r="Q600" s="55"/>
      <c r="R600" s="55"/>
      <c r="S600" s="55"/>
      <c r="T600" s="55"/>
      <c r="U600" s="55"/>
      <c r="V600" s="55"/>
      <c r="W600" s="55"/>
      <c r="X600" s="55"/>
      <c r="Y600" s="55"/>
      <c r="Z600" s="55"/>
    </row>
    <row r="601" spans="1:26" ht="15">
      <c r="A601" s="55"/>
      <c r="B601" s="55"/>
      <c r="C601" s="55"/>
      <c r="D601" s="55"/>
      <c r="E601" s="55"/>
      <c r="F601" s="55"/>
      <c r="G601" s="55"/>
      <c r="H601" s="55"/>
      <c r="I601" s="55"/>
      <c r="J601" s="55"/>
      <c r="K601" s="55"/>
      <c r="L601" s="55"/>
      <c r="M601" s="55"/>
      <c r="N601" s="55"/>
      <c r="O601" s="55"/>
      <c r="P601" s="55"/>
      <c r="Q601" s="55"/>
      <c r="R601" s="55"/>
      <c r="S601" s="55"/>
      <c r="T601" s="55"/>
      <c r="U601" s="55"/>
      <c r="V601" s="55"/>
      <c r="W601" s="55"/>
      <c r="X601" s="55"/>
      <c r="Y601" s="55"/>
      <c r="Z601" s="55"/>
    </row>
    <row r="602" spans="1:26" ht="15">
      <c r="A602" s="55"/>
      <c r="B602" s="55"/>
      <c r="C602" s="55"/>
      <c r="D602" s="55"/>
      <c r="E602" s="55"/>
      <c r="F602" s="55"/>
      <c r="G602" s="55"/>
      <c r="H602" s="55"/>
      <c r="I602" s="55"/>
      <c r="J602" s="55"/>
      <c r="K602" s="55"/>
      <c r="L602" s="55"/>
      <c r="M602" s="55"/>
      <c r="N602" s="55"/>
      <c r="O602" s="55"/>
      <c r="P602" s="55"/>
      <c r="Q602" s="55"/>
      <c r="R602" s="55"/>
      <c r="S602" s="55"/>
      <c r="T602" s="55"/>
      <c r="U602" s="55"/>
      <c r="V602" s="55"/>
      <c r="W602" s="55"/>
      <c r="X602" s="55"/>
      <c r="Y602" s="55"/>
      <c r="Z602" s="55"/>
    </row>
    <row r="603" spans="1:26" ht="15">
      <c r="A603" s="55"/>
      <c r="B603" s="55"/>
      <c r="C603" s="55"/>
      <c r="D603" s="55"/>
      <c r="E603" s="55"/>
      <c r="F603" s="55"/>
      <c r="G603" s="55"/>
      <c r="H603" s="55"/>
      <c r="I603" s="55"/>
      <c r="J603" s="55"/>
      <c r="K603" s="55"/>
      <c r="L603" s="55"/>
      <c r="M603" s="55"/>
      <c r="N603" s="55"/>
      <c r="O603" s="55"/>
      <c r="P603" s="55"/>
      <c r="Q603" s="55"/>
      <c r="R603" s="55"/>
      <c r="S603" s="55"/>
      <c r="T603" s="55"/>
      <c r="U603" s="55"/>
      <c r="V603" s="55"/>
      <c r="W603" s="55"/>
      <c r="X603" s="55"/>
      <c r="Y603" s="55"/>
      <c r="Z603" s="55"/>
    </row>
    <row r="604" spans="1:26" ht="15">
      <c r="A604" s="55"/>
      <c r="B604" s="55"/>
      <c r="C604" s="55"/>
      <c r="D604" s="55"/>
      <c r="E604" s="55"/>
      <c r="F604" s="55"/>
      <c r="G604" s="55"/>
      <c r="H604" s="55"/>
      <c r="I604" s="55"/>
      <c r="J604" s="55"/>
      <c r="K604" s="55"/>
      <c r="L604" s="55"/>
      <c r="M604" s="55"/>
      <c r="N604" s="55"/>
      <c r="O604" s="55"/>
      <c r="P604" s="55"/>
      <c r="Q604" s="55"/>
      <c r="R604" s="55"/>
      <c r="S604" s="55"/>
      <c r="T604" s="55"/>
      <c r="U604" s="55"/>
      <c r="V604" s="55"/>
      <c r="W604" s="55"/>
      <c r="X604" s="55"/>
      <c r="Y604" s="55"/>
      <c r="Z604" s="55"/>
    </row>
    <row r="605" spans="1:26" ht="15">
      <c r="A605" s="55"/>
      <c r="B605" s="55"/>
      <c r="C605" s="55"/>
      <c r="D605" s="55"/>
      <c r="E605" s="55"/>
      <c r="F605" s="55"/>
      <c r="G605" s="55"/>
      <c r="H605" s="55"/>
      <c r="I605" s="55"/>
      <c r="J605" s="55"/>
      <c r="K605" s="55"/>
      <c r="L605" s="55"/>
      <c r="M605" s="55"/>
      <c r="N605" s="55"/>
      <c r="O605" s="55"/>
      <c r="P605" s="55"/>
      <c r="Q605" s="55"/>
      <c r="R605" s="55"/>
      <c r="S605" s="55"/>
      <c r="T605" s="55"/>
      <c r="U605" s="55"/>
      <c r="V605" s="55"/>
      <c r="W605" s="55"/>
      <c r="X605" s="55"/>
      <c r="Y605" s="55"/>
      <c r="Z605" s="55"/>
    </row>
    <row r="606" spans="1:26" ht="15">
      <c r="A606" s="55"/>
      <c r="B606" s="55"/>
      <c r="C606" s="55"/>
      <c r="D606" s="55"/>
      <c r="E606" s="55"/>
      <c r="F606" s="55"/>
      <c r="G606" s="55"/>
      <c r="H606" s="55"/>
      <c r="I606" s="55"/>
      <c r="J606" s="55"/>
      <c r="K606" s="55"/>
      <c r="L606" s="55"/>
      <c r="M606" s="55"/>
      <c r="N606" s="55"/>
      <c r="O606" s="55"/>
      <c r="P606" s="55"/>
      <c r="Q606" s="55"/>
      <c r="R606" s="55"/>
      <c r="S606" s="55"/>
      <c r="T606" s="55"/>
      <c r="U606" s="55"/>
      <c r="V606" s="55"/>
      <c r="W606" s="55"/>
      <c r="X606" s="55"/>
      <c r="Y606" s="55"/>
      <c r="Z606" s="55"/>
    </row>
    <row r="607" spans="1:26" ht="15">
      <c r="A607" s="55"/>
      <c r="B607" s="55"/>
      <c r="C607" s="55"/>
      <c r="D607" s="55"/>
      <c r="E607" s="55"/>
      <c r="F607" s="55"/>
      <c r="G607" s="55"/>
      <c r="H607" s="55"/>
      <c r="I607" s="55"/>
      <c r="J607" s="55"/>
      <c r="K607" s="55"/>
      <c r="L607" s="55"/>
      <c r="M607" s="55"/>
      <c r="N607" s="55"/>
      <c r="O607" s="55"/>
      <c r="P607" s="55"/>
      <c r="Q607" s="55"/>
      <c r="R607" s="55"/>
      <c r="S607" s="55"/>
      <c r="T607" s="55"/>
      <c r="U607" s="55"/>
      <c r="V607" s="55"/>
      <c r="W607" s="55"/>
      <c r="X607" s="55"/>
      <c r="Y607" s="55"/>
      <c r="Z607" s="55"/>
    </row>
    <row r="608" spans="1:26" ht="15">
      <c r="A608" s="55"/>
      <c r="B608" s="55"/>
      <c r="C608" s="55"/>
      <c r="D608" s="55"/>
      <c r="E608" s="55"/>
      <c r="F608" s="55"/>
      <c r="G608" s="55"/>
      <c r="H608" s="55"/>
      <c r="I608" s="55"/>
      <c r="J608" s="55"/>
      <c r="K608" s="55"/>
      <c r="L608" s="55"/>
      <c r="M608" s="55"/>
      <c r="N608" s="55"/>
      <c r="O608" s="55"/>
      <c r="P608" s="55"/>
      <c r="Q608" s="55"/>
      <c r="R608" s="55"/>
      <c r="S608" s="55"/>
      <c r="T608" s="55"/>
      <c r="U608" s="55"/>
      <c r="V608" s="55"/>
      <c r="W608" s="55"/>
      <c r="X608" s="55"/>
      <c r="Y608" s="55"/>
      <c r="Z608" s="55"/>
    </row>
    <row r="609" spans="1:26" ht="15">
      <c r="A609" s="55"/>
      <c r="B609" s="55"/>
      <c r="C609" s="55"/>
      <c r="D609" s="55"/>
      <c r="E609" s="55"/>
      <c r="F609" s="55"/>
      <c r="G609" s="55"/>
      <c r="H609" s="55"/>
      <c r="I609" s="55"/>
      <c r="J609" s="55"/>
      <c r="K609" s="55"/>
      <c r="L609" s="55"/>
      <c r="M609" s="55"/>
      <c r="N609" s="55"/>
      <c r="O609" s="55"/>
      <c r="P609" s="55"/>
      <c r="Q609" s="55"/>
      <c r="R609" s="55"/>
      <c r="S609" s="55"/>
      <c r="T609" s="55"/>
      <c r="U609" s="55"/>
      <c r="V609" s="55"/>
      <c r="W609" s="55"/>
      <c r="X609" s="55"/>
      <c r="Y609" s="55"/>
      <c r="Z609" s="55"/>
    </row>
    <row r="610" spans="1:26" ht="15">
      <c r="A610" s="55"/>
      <c r="B610" s="55"/>
      <c r="C610" s="55"/>
      <c r="D610" s="55"/>
      <c r="E610" s="55"/>
      <c r="F610" s="55"/>
      <c r="G610" s="55"/>
      <c r="H610" s="55"/>
      <c r="I610" s="55"/>
      <c r="J610" s="55"/>
      <c r="K610" s="55"/>
      <c r="L610" s="55"/>
      <c r="M610" s="55"/>
      <c r="N610" s="55"/>
      <c r="O610" s="55"/>
      <c r="P610" s="55"/>
      <c r="Q610" s="55"/>
      <c r="R610" s="55"/>
      <c r="S610" s="55"/>
      <c r="T610" s="55"/>
      <c r="U610" s="55"/>
      <c r="V610" s="55"/>
      <c r="W610" s="55"/>
      <c r="X610" s="55"/>
      <c r="Y610" s="55"/>
      <c r="Z610" s="55"/>
    </row>
    <row r="611" spans="1:26" ht="15">
      <c r="A611" s="55"/>
      <c r="B611" s="55"/>
      <c r="C611" s="55"/>
      <c r="D611" s="55"/>
      <c r="E611" s="55"/>
      <c r="F611" s="55"/>
      <c r="G611" s="55"/>
      <c r="H611" s="55"/>
      <c r="I611" s="55"/>
      <c r="J611" s="55"/>
      <c r="K611" s="55"/>
      <c r="L611" s="55"/>
      <c r="M611" s="55"/>
      <c r="N611" s="55"/>
      <c r="O611" s="55"/>
      <c r="P611" s="55"/>
      <c r="Q611" s="55"/>
      <c r="R611" s="55"/>
      <c r="S611" s="55"/>
      <c r="T611" s="55"/>
      <c r="U611" s="55"/>
      <c r="V611" s="55"/>
      <c r="W611" s="55"/>
      <c r="X611" s="55"/>
      <c r="Y611" s="55"/>
      <c r="Z611" s="55"/>
    </row>
    <row r="612" spans="1:26" ht="15">
      <c r="A612" s="55"/>
      <c r="B612" s="55"/>
      <c r="C612" s="55"/>
      <c r="D612" s="55"/>
      <c r="E612" s="55"/>
      <c r="F612" s="55"/>
      <c r="G612" s="55"/>
      <c r="H612" s="55"/>
      <c r="I612" s="55"/>
      <c r="J612" s="55"/>
      <c r="K612" s="55"/>
      <c r="L612" s="55"/>
      <c r="M612" s="55"/>
      <c r="N612" s="55"/>
      <c r="O612" s="55"/>
      <c r="P612" s="55"/>
      <c r="Q612" s="55"/>
      <c r="R612" s="55"/>
      <c r="S612" s="55"/>
      <c r="T612" s="55"/>
      <c r="U612" s="55"/>
      <c r="V612" s="55"/>
      <c r="W612" s="55"/>
      <c r="X612" s="55"/>
      <c r="Y612" s="55"/>
      <c r="Z612" s="55"/>
    </row>
    <row r="613" spans="1:26" ht="15">
      <c r="A613" s="55"/>
      <c r="B613" s="55"/>
      <c r="C613" s="55"/>
      <c r="D613" s="55"/>
      <c r="E613" s="55"/>
      <c r="F613" s="55"/>
      <c r="G613" s="55"/>
      <c r="H613" s="55"/>
      <c r="I613" s="55"/>
      <c r="J613" s="55"/>
      <c r="K613" s="55"/>
      <c r="L613" s="55"/>
      <c r="M613" s="55"/>
      <c r="N613" s="55"/>
      <c r="O613" s="55"/>
      <c r="P613" s="55"/>
      <c r="Q613" s="55"/>
      <c r="R613" s="55"/>
      <c r="S613" s="55"/>
      <c r="T613" s="55"/>
      <c r="U613" s="55"/>
      <c r="V613" s="55"/>
      <c r="W613" s="55"/>
      <c r="X613" s="55"/>
      <c r="Y613" s="55"/>
      <c r="Z613" s="55"/>
    </row>
    <row r="614" spans="1:26" ht="15">
      <c r="A614" s="55"/>
      <c r="B614" s="55"/>
      <c r="C614" s="55"/>
      <c r="D614" s="55"/>
      <c r="E614" s="55"/>
      <c r="F614" s="55"/>
      <c r="G614" s="55"/>
      <c r="H614" s="55"/>
      <c r="I614" s="55"/>
      <c r="J614" s="55"/>
      <c r="K614" s="55"/>
      <c r="L614" s="55"/>
      <c r="M614" s="55"/>
      <c r="N614" s="55"/>
      <c r="O614" s="55"/>
      <c r="P614" s="55"/>
      <c r="Q614" s="55"/>
      <c r="R614" s="55"/>
      <c r="S614" s="55"/>
      <c r="T614" s="55"/>
      <c r="U614" s="55"/>
      <c r="V614" s="55"/>
      <c r="W614" s="55"/>
      <c r="X614" s="55"/>
      <c r="Y614" s="55"/>
      <c r="Z614" s="55"/>
    </row>
    <row r="615" spans="1:26" ht="15">
      <c r="A615" s="55"/>
      <c r="B615" s="55"/>
      <c r="C615" s="55"/>
      <c r="D615" s="55"/>
      <c r="E615" s="55"/>
      <c r="F615" s="55"/>
      <c r="G615" s="55"/>
      <c r="H615" s="55"/>
      <c r="I615" s="55"/>
      <c r="J615" s="55"/>
      <c r="K615" s="55"/>
      <c r="L615" s="55"/>
      <c r="M615" s="55"/>
      <c r="N615" s="55"/>
      <c r="O615" s="55"/>
      <c r="P615" s="55"/>
      <c r="Q615" s="55"/>
      <c r="R615" s="55"/>
      <c r="S615" s="55"/>
      <c r="T615" s="55"/>
      <c r="U615" s="55"/>
      <c r="V615" s="55"/>
      <c r="W615" s="55"/>
      <c r="X615" s="55"/>
      <c r="Y615" s="55"/>
      <c r="Z615" s="55"/>
    </row>
    <row r="616" spans="1:26" ht="15">
      <c r="A616" s="55"/>
      <c r="B616" s="55"/>
      <c r="C616" s="55"/>
      <c r="D616" s="55"/>
      <c r="E616" s="55"/>
      <c r="F616" s="55"/>
      <c r="G616" s="55"/>
      <c r="H616" s="55"/>
      <c r="I616" s="55"/>
      <c r="J616" s="55"/>
      <c r="K616" s="55"/>
      <c r="L616" s="55"/>
      <c r="M616" s="55"/>
      <c r="N616" s="55"/>
      <c r="O616" s="55"/>
      <c r="P616" s="55"/>
      <c r="Q616" s="55"/>
      <c r="R616" s="55"/>
      <c r="S616" s="55"/>
      <c r="T616" s="55"/>
      <c r="U616" s="55"/>
      <c r="V616" s="55"/>
      <c r="W616" s="55"/>
      <c r="X616" s="55"/>
      <c r="Y616" s="55"/>
      <c r="Z616" s="55"/>
    </row>
    <row r="617" spans="1:26" ht="15">
      <c r="A617" s="55"/>
      <c r="B617" s="55"/>
      <c r="C617" s="55"/>
      <c r="D617" s="55"/>
      <c r="E617" s="55"/>
      <c r="F617" s="55"/>
      <c r="G617" s="55"/>
      <c r="H617" s="55"/>
      <c r="I617" s="55"/>
      <c r="J617" s="55"/>
      <c r="K617" s="55"/>
      <c r="L617" s="55"/>
      <c r="M617" s="55"/>
      <c r="N617" s="55"/>
      <c r="O617" s="55"/>
      <c r="P617" s="55"/>
      <c r="Q617" s="55"/>
      <c r="R617" s="55"/>
      <c r="S617" s="55"/>
      <c r="T617" s="55"/>
      <c r="U617" s="55"/>
      <c r="V617" s="55"/>
      <c r="W617" s="55"/>
      <c r="X617" s="55"/>
      <c r="Y617" s="55"/>
      <c r="Z617" s="55"/>
    </row>
    <row r="618" spans="1:26" ht="15">
      <c r="A618" s="55"/>
      <c r="B618" s="55"/>
      <c r="C618" s="55"/>
      <c r="D618" s="55"/>
      <c r="E618" s="55"/>
      <c r="F618" s="55"/>
      <c r="G618" s="55"/>
      <c r="H618" s="55"/>
      <c r="I618" s="55"/>
      <c r="J618" s="55"/>
      <c r="K618" s="55"/>
      <c r="L618" s="55"/>
      <c r="M618" s="55"/>
      <c r="N618" s="55"/>
      <c r="O618" s="55"/>
      <c r="P618" s="55"/>
      <c r="Q618" s="55"/>
      <c r="R618" s="55"/>
      <c r="S618" s="55"/>
      <c r="T618" s="55"/>
      <c r="U618" s="55"/>
      <c r="V618" s="55"/>
      <c r="W618" s="55"/>
      <c r="X618" s="55"/>
      <c r="Y618" s="55"/>
      <c r="Z618" s="55"/>
    </row>
    <row r="619" spans="1:26" ht="15">
      <c r="A619" s="55"/>
      <c r="B619" s="55"/>
      <c r="C619" s="55"/>
      <c r="D619" s="55"/>
      <c r="E619" s="55"/>
      <c r="F619" s="55"/>
      <c r="G619" s="55"/>
      <c r="H619" s="55"/>
      <c r="I619" s="55"/>
      <c r="J619" s="55"/>
      <c r="K619" s="55"/>
      <c r="L619" s="55"/>
      <c r="M619" s="55"/>
      <c r="N619" s="55"/>
      <c r="O619" s="55"/>
      <c r="P619" s="55"/>
      <c r="Q619" s="55"/>
      <c r="R619" s="55"/>
      <c r="S619" s="55"/>
      <c r="T619" s="55"/>
      <c r="U619" s="55"/>
      <c r="V619" s="55"/>
      <c r="W619" s="55"/>
      <c r="X619" s="55"/>
      <c r="Y619" s="55"/>
      <c r="Z619" s="55"/>
    </row>
    <row r="620" spans="1:26" ht="15">
      <c r="A620" s="55"/>
      <c r="B620" s="55"/>
      <c r="C620" s="55"/>
      <c r="D620" s="55"/>
      <c r="E620" s="55"/>
      <c r="F620" s="55"/>
      <c r="G620" s="55"/>
      <c r="H620" s="55"/>
      <c r="I620" s="55"/>
      <c r="J620" s="55"/>
      <c r="K620" s="55"/>
      <c r="L620" s="55"/>
      <c r="M620" s="55"/>
      <c r="N620" s="55"/>
      <c r="O620" s="55"/>
      <c r="P620" s="55"/>
      <c r="Q620" s="55"/>
      <c r="R620" s="55"/>
      <c r="S620" s="55"/>
      <c r="T620" s="55"/>
      <c r="U620" s="55"/>
      <c r="V620" s="55"/>
      <c r="W620" s="55"/>
      <c r="X620" s="55"/>
      <c r="Y620" s="55"/>
      <c r="Z620" s="55"/>
    </row>
    <row r="621" spans="1:26" ht="15">
      <c r="A621" s="55"/>
      <c r="B621" s="55"/>
      <c r="C621" s="55"/>
      <c r="D621" s="55"/>
      <c r="E621" s="55"/>
      <c r="F621" s="55"/>
      <c r="G621" s="55"/>
      <c r="H621" s="55"/>
      <c r="I621" s="55"/>
      <c r="J621" s="55"/>
      <c r="K621" s="55"/>
      <c r="L621" s="55"/>
      <c r="M621" s="55"/>
      <c r="N621" s="55"/>
      <c r="O621" s="55"/>
      <c r="P621" s="55"/>
      <c r="Q621" s="55"/>
      <c r="R621" s="55"/>
      <c r="S621" s="55"/>
      <c r="T621" s="55"/>
      <c r="U621" s="55"/>
      <c r="V621" s="55"/>
      <c r="W621" s="55"/>
      <c r="X621" s="55"/>
      <c r="Y621" s="55"/>
      <c r="Z621" s="55"/>
    </row>
    <row r="622" spans="1:26" ht="15">
      <c r="A622" s="55"/>
      <c r="B622" s="55"/>
      <c r="C622" s="55"/>
      <c r="D622" s="55"/>
      <c r="E622" s="55"/>
      <c r="F622" s="55"/>
      <c r="G622" s="55"/>
      <c r="H622" s="55"/>
      <c r="I622" s="55"/>
      <c r="J622" s="55"/>
      <c r="K622" s="55"/>
      <c r="L622" s="55"/>
      <c r="M622" s="55"/>
      <c r="N622" s="55"/>
      <c r="O622" s="55"/>
      <c r="P622" s="55"/>
      <c r="Q622" s="55"/>
      <c r="R622" s="55"/>
      <c r="S622" s="55"/>
      <c r="T622" s="55"/>
      <c r="U622" s="55"/>
      <c r="V622" s="55"/>
      <c r="W622" s="55"/>
      <c r="X622" s="55"/>
      <c r="Y622" s="55"/>
      <c r="Z622" s="55"/>
    </row>
    <row r="623" spans="1:26" ht="15">
      <c r="A623" s="55"/>
      <c r="B623" s="55"/>
      <c r="C623" s="55"/>
      <c r="D623" s="55"/>
      <c r="E623" s="55"/>
      <c r="F623" s="55"/>
      <c r="G623" s="55"/>
      <c r="H623" s="55"/>
      <c r="I623" s="55"/>
      <c r="J623" s="55"/>
      <c r="K623" s="55"/>
      <c r="L623" s="55"/>
      <c r="M623" s="55"/>
      <c r="N623" s="55"/>
      <c r="O623" s="55"/>
      <c r="P623" s="55"/>
      <c r="Q623" s="55"/>
      <c r="R623" s="55"/>
      <c r="S623" s="55"/>
      <c r="T623" s="55"/>
      <c r="U623" s="55"/>
      <c r="V623" s="55"/>
      <c r="W623" s="55"/>
      <c r="X623" s="55"/>
      <c r="Y623" s="55"/>
      <c r="Z623" s="55"/>
    </row>
    <row r="624" spans="1:26" ht="15">
      <c r="A624" s="55"/>
      <c r="B624" s="55"/>
      <c r="C624" s="55"/>
      <c r="D624" s="55"/>
      <c r="E624" s="55"/>
      <c r="F624" s="55"/>
      <c r="G624" s="55"/>
      <c r="H624" s="55"/>
      <c r="I624" s="55"/>
      <c r="J624" s="55"/>
      <c r="K624" s="55"/>
      <c r="L624" s="55"/>
      <c r="M624" s="55"/>
      <c r="N624" s="55"/>
      <c r="O624" s="55"/>
      <c r="P624" s="55"/>
      <c r="Q624" s="55"/>
      <c r="R624" s="55"/>
      <c r="S624" s="55"/>
      <c r="T624" s="55"/>
      <c r="U624" s="55"/>
      <c r="V624" s="55"/>
      <c r="W624" s="55"/>
      <c r="X624" s="55"/>
      <c r="Y624" s="55"/>
      <c r="Z624" s="55"/>
    </row>
    <row r="625" spans="1:26" ht="15">
      <c r="A625" s="55"/>
      <c r="B625" s="55"/>
      <c r="C625" s="55"/>
      <c r="D625" s="55"/>
      <c r="E625" s="55"/>
      <c r="F625" s="55"/>
      <c r="G625" s="55"/>
      <c r="H625" s="55"/>
      <c r="I625" s="55"/>
      <c r="J625" s="55"/>
      <c r="K625" s="55"/>
      <c r="L625" s="55"/>
      <c r="M625" s="55"/>
      <c r="N625" s="55"/>
      <c r="O625" s="55"/>
      <c r="P625" s="55"/>
      <c r="Q625" s="55"/>
      <c r="R625" s="55"/>
      <c r="S625" s="55"/>
      <c r="T625" s="55"/>
      <c r="U625" s="55"/>
      <c r="V625" s="55"/>
      <c r="W625" s="55"/>
      <c r="X625" s="55"/>
      <c r="Y625" s="55"/>
      <c r="Z625" s="55"/>
    </row>
    <row r="626" spans="1:26" ht="15">
      <c r="A626" s="55"/>
      <c r="B626" s="55"/>
      <c r="C626" s="55"/>
      <c r="D626" s="55"/>
      <c r="E626" s="55"/>
      <c r="F626" s="55"/>
      <c r="G626" s="55"/>
      <c r="H626" s="55"/>
      <c r="I626" s="55"/>
      <c r="J626" s="55"/>
      <c r="K626" s="55"/>
      <c r="L626" s="55"/>
      <c r="M626" s="55"/>
      <c r="N626" s="55"/>
      <c r="O626" s="55"/>
      <c r="P626" s="55"/>
      <c r="Q626" s="55"/>
      <c r="R626" s="55"/>
      <c r="S626" s="55"/>
      <c r="T626" s="55"/>
      <c r="U626" s="55"/>
      <c r="V626" s="55"/>
      <c r="W626" s="55"/>
      <c r="X626" s="55"/>
      <c r="Y626" s="55"/>
      <c r="Z626" s="55"/>
    </row>
    <row r="627" spans="1:26" ht="15">
      <c r="A627" s="55"/>
      <c r="B627" s="55"/>
      <c r="C627" s="55"/>
      <c r="D627" s="55"/>
      <c r="E627" s="55"/>
      <c r="F627" s="55"/>
      <c r="G627" s="55"/>
      <c r="H627" s="55"/>
      <c r="I627" s="55"/>
      <c r="J627" s="55"/>
      <c r="K627" s="55"/>
      <c r="L627" s="55"/>
      <c r="M627" s="55"/>
      <c r="N627" s="55"/>
      <c r="O627" s="55"/>
      <c r="P627" s="55"/>
      <c r="Q627" s="55"/>
      <c r="R627" s="55"/>
      <c r="S627" s="55"/>
      <c r="T627" s="55"/>
      <c r="U627" s="55"/>
      <c r="V627" s="55"/>
      <c r="W627" s="55"/>
      <c r="X627" s="55"/>
      <c r="Y627" s="55"/>
      <c r="Z627" s="55"/>
    </row>
    <row r="628" spans="1:26" ht="15">
      <c r="A628" s="55"/>
      <c r="B628" s="55"/>
      <c r="C628" s="55"/>
      <c r="D628" s="55"/>
      <c r="E628" s="55"/>
      <c r="F628" s="55"/>
      <c r="G628" s="55"/>
      <c r="H628" s="55"/>
      <c r="I628" s="55"/>
      <c r="J628" s="55"/>
      <c r="K628" s="55"/>
      <c r="L628" s="55"/>
      <c r="M628" s="55"/>
      <c r="N628" s="55"/>
      <c r="O628" s="55"/>
      <c r="P628" s="55"/>
      <c r="Q628" s="55"/>
      <c r="R628" s="55"/>
      <c r="S628" s="55"/>
      <c r="T628" s="55"/>
      <c r="U628" s="55"/>
      <c r="V628" s="55"/>
      <c r="W628" s="55"/>
      <c r="X628" s="55"/>
      <c r="Y628" s="55"/>
      <c r="Z628" s="55"/>
    </row>
    <row r="629" spans="1:26" ht="15">
      <c r="A629" s="55"/>
      <c r="B629" s="55"/>
      <c r="C629" s="55"/>
      <c r="D629" s="55"/>
      <c r="E629" s="55"/>
      <c r="F629" s="55"/>
      <c r="G629" s="55"/>
      <c r="H629" s="55"/>
      <c r="I629" s="55"/>
      <c r="J629" s="55"/>
      <c r="K629" s="55"/>
      <c r="L629" s="55"/>
      <c r="M629" s="55"/>
      <c r="N629" s="55"/>
      <c r="O629" s="55"/>
      <c r="P629" s="55"/>
      <c r="Q629" s="55"/>
      <c r="R629" s="55"/>
      <c r="S629" s="55"/>
      <c r="T629" s="55"/>
      <c r="U629" s="55"/>
      <c r="V629" s="55"/>
      <c r="W629" s="55"/>
      <c r="X629" s="55"/>
      <c r="Y629" s="55"/>
      <c r="Z629" s="55"/>
    </row>
    <row r="630" spans="1:26" ht="15">
      <c r="A630" s="55"/>
      <c r="B630" s="55"/>
      <c r="C630" s="55"/>
      <c r="D630" s="55"/>
      <c r="E630" s="55"/>
      <c r="F630" s="55"/>
      <c r="G630" s="55"/>
      <c r="H630" s="55"/>
      <c r="I630" s="55"/>
      <c r="J630" s="55"/>
      <c r="K630" s="55"/>
      <c r="L630" s="55"/>
      <c r="M630" s="55"/>
      <c r="N630" s="55"/>
      <c r="O630" s="55"/>
      <c r="P630" s="55"/>
      <c r="Q630" s="55"/>
      <c r="R630" s="55"/>
      <c r="S630" s="55"/>
      <c r="T630" s="55"/>
      <c r="U630" s="55"/>
      <c r="V630" s="55"/>
      <c r="W630" s="55"/>
      <c r="X630" s="55"/>
      <c r="Y630" s="55"/>
      <c r="Z630" s="55"/>
    </row>
    <row r="631" spans="1:26" ht="15">
      <c r="A631" s="55"/>
      <c r="B631" s="55"/>
      <c r="C631" s="55"/>
      <c r="D631" s="55"/>
      <c r="E631" s="55"/>
      <c r="F631" s="55"/>
      <c r="G631" s="55"/>
      <c r="H631" s="55"/>
      <c r="I631" s="55"/>
      <c r="J631" s="55"/>
      <c r="K631" s="55"/>
      <c r="L631" s="55"/>
      <c r="M631" s="55"/>
      <c r="N631" s="55"/>
      <c r="O631" s="55"/>
      <c r="P631" s="55"/>
      <c r="Q631" s="55"/>
      <c r="R631" s="55"/>
      <c r="S631" s="55"/>
      <c r="T631" s="55"/>
      <c r="U631" s="55"/>
      <c r="V631" s="55"/>
      <c r="W631" s="55"/>
      <c r="X631" s="55"/>
      <c r="Y631" s="55"/>
      <c r="Z631" s="55"/>
    </row>
    <row r="632" spans="1:26" ht="15">
      <c r="A632" s="55"/>
      <c r="B632" s="55"/>
      <c r="C632" s="55"/>
      <c r="D632" s="55"/>
      <c r="E632" s="55"/>
      <c r="F632" s="55"/>
      <c r="G632" s="55"/>
      <c r="H632" s="55"/>
      <c r="I632" s="55"/>
      <c r="J632" s="55"/>
      <c r="K632" s="55"/>
      <c r="L632" s="55"/>
      <c r="M632" s="55"/>
      <c r="N632" s="55"/>
      <c r="O632" s="55"/>
      <c r="P632" s="55"/>
      <c r="Q632" s="55"/>
      <c r="R632" s="55"/>
      <c r="S632" s="55"/>
      <c r="T632" s="55"/>
      <c r="U632" s="55"/>
      <c r="V632" s="55"/>
      <c r="W632" s="55"/>
      <c r="X632" s="55"/>
      <c r="Y632" s="55"/>
      <c r="Z632" s="55"/>
    </row>
    <row r="633" spans="1:26" ht="15">
      <c r="A633" s="55"/>
      <c r="B633" s="55"/>
      <c r="C633" s="55"/>
      <c r="D633" s="55"/>
      <c r="E633" s="55"/>
      <c r="F633" s="55"/>
      <c r="G633" s="55"/>
      <c r="H633" s="55"/>
      <c r="I633" s="55"/>
      <c r="J633" s="55"/>
      <c r="K633" s="55"/>
      <c r="L633" s="55"/>
      <c r="M633" s="55"/>
      <c r="N633" s="55"/>
      <c r="O633" s="55"/>
      <c r="P633" s="55"/>
      <c r="Q633" s="55"/>
      <c r="R633" s="55"/>
      <c r="S633" s="55"/>
      <c r="T633" s="55"/>
      <c r="U633" s="55"/>
      <c r="V633" s="55"/>
      <c r="W633" s="55"/>
      <c r="X633" s="55"/>
      <c r="Y633" s="55"/>
      <c r="Z633" s="55"/>
    </row>
    <row r="634" spans="1:26" ht="15">
      <c r="A634" s="55"/>
      <c r="B634" s="55"/>
      <c r="C634" s="55"/>
      <c r="D634" s="55"/>
      <c r="E634" s="55"/>
      <c r="F634" s="55"/>
      <c r="G634" s="55"/>
      <c r="H634" s="55"/>
      <c r="I634" s="55"/>
      <c r="J634" s="55"/>
      <c r="K634" s="55"/>
      <c r="L634" s="55"/>
      <c r="M634" s="55"/>
      <c r="N634" s="55"/>
      <c r="O634" s="55"/>
      <c r="P634" s="55"/>
      <c r="Q634" s="55"/>
      <c r="R634" s="55"/>
      <c r="S634" s="55"/>
      <c r="T634" s="55"/>
      <c r="U634" s="55"/>
      <c r="V634" s="55"/>
      <c r="W634" s="55"/>
      <c r="X634" s="55"/>
      <c r="Y634" s="55"/>
      <c r="Z634" s="55"/>
    </row>
    <row r="635" spans="1:26" ht="15">
      <c r="A635" s="55"/>
      <c r="B635" s="55"/>
      <c r="C635" s="55"/>
      <c r="D635" s="55"/>
      <c r="E635" s="55"/>
      <c r="F635" s="55"/>
      <c r="G635" s="55"/>
      <c r="H635" s="55"/>
      <c r="I635" s="55"/>
      <c r="J635" s="55"/>
      <c r="K635" s="55"/>
      <c r="L635" s="55"/>
      <c r="M635" s="55"/>
      <c r="N635" s="55"/>
      <c r="O635" s="55"/>
      <c r="P635" s="55"/>
      <c r="Q635" s="55"/>
      <c r="R635" s="55"/>
      <c r="S635" s="55"/>
      <c r="T635" s="55"/>
      <c r="U635" s="55"/>
      <c r="V635" s="55"/>
      <c r="W635" s="55"/>
      <c r="X635" s="55"/>
      <c r="Y635" s="55"/>
      <c r="Z635" s="55"/>
    </row>
    <row r="636" spans="1:26" ht="15">
      <c r="A636" s="55"/>
      <c r="B636" s="55"/>
      <c r="C636" s="55"/>
      <c r="D636" s="55"/>
      <c r="E636" s="55"/>
      <c r="F636" s="55"/>
      <c r="G636" s="55"/>
      <c r="H636" s="55"/>
      <c r="I636" s="55"/>
      <c r="J636" s="55"/>
      <c r="K636" s="55"/>
      <c r="L636" s="55"/>
      <c r="M636" s="55"/>
      <c r="N636" s="55"/>
      <c r="O636" s="55"/>
      <c r="P636" s="55"/>
      <c r="Q636" s="55"/>
      <c r="R636" s="55"/>
      <c r="S636" s="55"/>
      <c r="T636" s="55"/>
      <c r="U636" s="55"/>
      <c r="V636" s="55"/>
      <c r="W636" s="55"/>
      <c r="X636" s="55"/>
      <c r="Y636" s="55"/>
      <c r="Z636" s="55"/>
    </row>
    <row r="637" spans="1:26" ht="15">
      <c r="A637" s="55"/>
      <c r="B637" s="55"/>
      <c r="C637" s="55"/>
      <c r="D637" s="55"/>
      <c r="E637" s="55"/>
      <c r="F637" s="55"/>
      <c r="G637" s="55"/>
      <c r="H637" s="55"/>
      <c r="I637" s="55"/>
      <c r="J637" s="55"/>
      <c r="K637" s="55"/>
      <c r="L637" s="55"/>
      <c r="M637" s="55"/>
      <c r="N637" s="55"/>
      <c r="O637" s="55"/>
      <c r="P637" s="55"/>
      <c r="Q637" s="55"/>
      <c r="R637" s="55"/>
      <c r="S637" s="55"/>
      <c r="T637" s="55"/>
      <c r="U637" s="55"/>
      <c r="V637" s="55"/>
      <c r="W637" s="55"/>
      <c r="X637" s="55"/>
      <c r="Y637" s="55"/>
      <c r="Z637" s="55"/>
    </row>
    <row r="638" spans="1:26" ht="15">
      <c r="A638" s="55"/>
      <c r="B638" s="55"/>
      <c r="C638" s="55"/>
      <c r="D638" s="55"/>
      <c r="E638" s="55"/>
      <c r="F638" s="55"/>
      <c r="G638" s="55"/>
      <c r="H638" s="55"/>
      <c r="I638" s="55"/>
      <c r="J638" s="55"/>
      <c r="K638" s="55"/>
      <c r="L638" s="55"/>
      <c r="M638" s="55"/>
      <c r="N638" s="55"/>
      <c r="O638" s="55"/>
      <c r="P638" s="55"/>
      <c r="Q638" s="55"/>
      <c r="R638" s="55"/>
      <c r="S638" s="55"/>
      <c r="T638" s="55"/>
      <c r="U638" s="55"/>
      <c r="V638" s="55"/>
      <c r="W638" s="55"/>
      <c r="X638" s="55"/>
      <c r="Y638" s="55"/>
      <c r="Z638" s="55"/>
    </row>
    <row r="639" spans="1:26" ht="15">
      <c r="A639" s="55"/>
      <c r="B639" s="55"/>
      <c r="C639" s="55"/>
      <c r="D639" s="55"/>
      <c r="E639" s="55"/>
      <c r="F639" s="55"/>
      <c r="G639" s="55"/>
      <c r="H639" s="55"/>
      <c r="I639" s="55"/>
      <c r="J639" s="55"/>
      <c r="K639" s="55"/>
      <c r="L639" s="55"/>
      <c r="M639" s="55"/>
      <c r="N639" s="55"/>
      <c r="O639" s="55"/>
      <c r="P639" s="55"/>
      <c r="Q639" s="55"/>
      <c r="R639" s="55"/>
      <c r="S639" s="55"/>
      <c r="T639" s="55"/>
      <c r="U639" s="55"/>
      <c r="V639" s="55"/>
      <c r="W639" s="55"/>
      <c r="X639" s="55"/>
      <c r="Y639" s="55"/>
      <c r="Z639" s="55"/>
    </row>
    <row r="640" spans="1:26" ht="15">
      <c r="A640" s="55"/>
      <c r="B640" s="55"/>
      <c r="C640" s="55"/>
      <c r="D640" s="55"/>
      <c r="E640" s="55"/>
      <c r="F640" s="55"/>
      <c r="G640" s="55"/>
      <c r="H640" s="55"/>
      <c r="I640" s="55"/>
      <c r="J640" s="55"/>
      <c r="K640" s="55"/>
      <c r="L640" s="55"/>
      <c r="M640" s="55"/>
      <c r="N640" s="55"/>
      <c r="O640" s="55"/>
      <c r="P640" s="55"/>
      <c r="Q640" s="55"/>
      <c r="R640" s="55"/>
      <c r="S640" s="55"/>
      <c r="T640" s="55"/>
      <c r="U640" s="55"/>
      <c r="V640" s="55"/>
      <c r="W640" s="55"/>
      <c r="X640" s="55"/>
      <c r="Y640" s="55"/>
      <c r="Z640" s="55"/>
    </row>
    <row r="641" spans="1:26" ht="15">
      <c r="A641" s="55"/>
      <c r="B641" s="55"/>
      <c r="C641" s="55"/>
      <c r="D641" s="55"/>
      <c r="E641" s="55"/>
      <c r="F641" s="55"/>
      <c r="G641" s="55"/>
      <c r="H641" s="55"/>
      <c r="I641" s="55"/>
      <c r="J641" s="55"/>
      <c r="K641" s="55"/>
      <c r="L641" s="55"/>
      <c r="M641" s="55"/>
      <c r="N641" s="55"/>
      <c r="O641" s="55"/>
      <c r="P641" s="55"/>
      <c r="Q641" s="55"/>
      <c r="R641" s="55"/>
      <c r="S641" s="55"/>
      <c r="T641" s="55"/>
      <c r="U641" s="55"/>
      <c r="V641" s="55"/>
      <c r="W641" s="55"/>
      <c r="X641" s="55"/>
      <c r="Y641" s="55"/>
      <c r="Z641" s="55"/>
    </row>
    <row r="642" spans="1:26" ht="15">
      <c r="A642" s="55"/>
      <c r="B642" s="55"/>
      <c r="C642" s="55"/>
      <c r="D642" s="55"/>
      <c r="E642" s="55"/>
      <c r="F642" s="55"/>
      <c r="G642" s="55"/>
      <c r="H642" s="55"/>
      <c r="I642" s="55"/>
      <c r="J642" s="55"/>
      <c r="K642" s="55"/>
      <c r="L642" s="55"/>
      <c r="M642" s="55"/>
      <c r="N642" s="55"/>
      <c r="O642" s="55"/>
      <c r="P642" s="55"/>
      <c r="Q642" s="55"/>
      <c r="R642" s="55"/>
      <c r="S642" s="55"/>
      <c r="T642" s="55"/>
      <c r="U642" s="55"/>
      <c r="V642" s="55"/>
      <c r="W642" s="55"/>
      <c r="X642" s="55"/>
      <c r="Y642" s="55"/>
      <c r="Z642" s="55"/>
    </row>
    <row r="643" spans="1:26" ht="15">
      <c r="A643" s="55"/>
      <c r="B643" s="55"/>
      <c r="C643" s="55"/>
      <c r="D643" s="55"/>
      <c r="E643" s="55"/>
      <c r="F643" s="55"/>
      <c r="G643" s="55"/>
      <c r="H643" s="55"/>
      <c r="I643" s="55"/>
      <c r="J643" s="55"/>
      <c r="K643" s="55"/>
      <c r="L643" s="55"/>
      <c r="M643" s="55"/>
      <c r="N643" s="55"/>
      <c r="O643" s="55"/>
      <c r="P643" s="55"/>
      <c r="Q643" s="55"/>
      <c r="R643" s="55"/>
      <c r="S643" s="55"/>
      <c r="T643" s="55"/>
      <c r="U643" s="55"/>
      <c r="V643" s="55"/>
      <c r="W643" s="55"/>
      <c r="X643" s="55"/>
      <c r="Y643" s="55"/>
      <c r="Z643" s="55"/>
    </row>
    <row r="644" spans="1:26" ht="15">
      <c r="A644" s="55"/>
      <c r="B644" s="55"/>
      <c r="C644" s="55"/>
      <c r="D644" s="55"/>
      <c r="E644" s="55"/>
      <c r="F644" s="55"/>
      <c r="G644" s="55"/>
      <c r="H644" s="55"/>
      <c r="I644" s="55"/>
      <c r="J644" s="55"/>
      <c r="K644" s="55"/>
      <c r="L644" s="55"/>
      <c r="M644" s="55"/>
      <c r="N644" s="55"/>
      <c r="O644" s="55"/>
      <c r="P644" s="55"/>
      <c r="Q644" s="55"/>
      <c r="R644" s="55"/>
      <c r="S644" s="55"/>
      <c r="T644" s="55"/>
      <c r="U644" s="55"/>
      <c r="V644" s="55"/>
      <c r="W644" s="55"/>
      <c r="X644" s="55"/>
      <c r="Y644" s="55"/>
      <c r="Z644" s="55"/>
    </row>
    <row r="645" spans="1:26" ht="15">
      <c r="A645" s="55"/>
      <c r="B645" s="55"/>
      <c r="C645" s="55"/>
      <c r="D645" s="55"/>
      <c r="E645" s="55"/>
      <c r="F645" s="55"/>
      <c r="G645" s="55"/>
      <c r="H645" s="55"/>
      <c r="I645" s="55"/>
      <c r="J645" s="55"/>
      <c r="K645" s="55"/>
      <c r="L645" s="55"/>
      <c r="M645" s="55"/>
      <c r="N645" s="55"/>
      <c r="O645" s="55"/>
      <c r="P645" s="55"/>
      <c r="Q645" s="55"/>
      <c r="R645" s="55"/>
      <c r="S645" s="55"/>
      <c r="T645" s="55"/>
      <c r="U645" s="55"/>
      <c r="V645" s="55"/>
      <c r="W645" s="55"/>
      <c r="X645" s="55"/>
      <c r="Y645" s="55"/>
      <c r="Z645" s="55"/>
    </row>
    <row r="646" spans="1:26" ht="15">
      <c r="A646" s="55"/>
      <c r="B646" s="55"/>
      <c r="C646" s="55"/>
      <c r="D646" s="55"/>
      <c r="E646" s="55"/>
      <c r="F646" s="55"/>
      <c r="G646" s="55"/>
      <c r="H646" s="55"/>
      <c r="I646" s="55"/>
      <c r="J646" s="55"/>
      <c r="K646" s="55"/>
      <c r="L646" s="55"/>
      <c r="M646" s="55"/>
      <c r="N646" s="55"/>
      <c r="O646" s="55"/>
      <c r="P646" s="55"/>
      <c r="Q646" s="55"/>
      <c r="R646" s="55"/>
      <c r="S646" s="55"/>
      <c r="T646" s="55"/>
      <c r="U646" s="55"/>
      <c r="V646" s="55"/>
      <c r="W646" s="55"/>
      <c r="X646" s="55"/>
      <c r="Y646" s="55"/>
      <c r="Z646" s="55"/>
    </row>
    <row r="647" spans="1:26" ht="15">
      <c r="A647" s="55"/>
      <c r="B647" s="55"/>
      <c r="C647" s="55"/>
      <c r="D647" s="55"/>
      <c r="E647" s="55"/>
      <c r="F647" s="55"/>
      <c r="G647" s="55"/>
      <c r="H647" s="55"/>
      <c r="I647" s="55"/>
      <c r="J647" s="55"/>
      <c r="K647" s="55"/>
      <c r="L647" s="55"/>
      <c r="M647" s="55"/>
      <c r="N647" s="55"/>
      <c r="O647" s="55"/>
      <c r="P647" s="55"/>
      <c r="Q647" s="55"/>
      <c r="R647" s="55"/>
      <c r="S647" s="55"/>
      <c r="T647" s="55"/>
      <c r="U647" s="55"/>
      <c r="V647" s="55"/>
      <c r="W647" s="55"/>
      <c r="X647" s="55"/>
      <c r="Y647" s="55"/>
      <c r="Z647" s="55"/>
    </row>
    <row r="648" spans="1:26" ht="15">
      <c r="A648" s="55"/>
      <c r="B648" s="55"/>
      <c r="C648" s="55"/>
      <c r="D648" s="55"/>
      <c r="E648" s="55"/>
      <c r="F648" s="55"/>
      <c r="G648" s="55"/>
      <c r="H648" s="55"/>
      <c r="I648" s="55"/>
      <c r="J648" s="55"/>
      <c r="K648" s="55"/>
      <c r="L648" s="55"/>
      <c r="M648" s="55"/>
      <c r="N648" s="55"/>
      <c r="O648" s="55"/>
      <c r="P648" s="55"/>
      <c r="Q648" s="55"/>
      <c r="R648" s="55"/>
      <c r="S648" s="55"/>
      <c r="T648" s="55"/>
      <c r="U648" s="55"/>
      <c r="V648" s="55"/>
      <c r="W648" s="55"/>
      <c r="X648" s="55"/>
      <c r="Y648" s="55"/>
      <c r="Z648" s="55"/>
    </row>
    <row r="649" spans="1:26" ht="15">
      <c r="A649" s="55"/>
      <c r="B649" s="55"/>
      <c r="C649" s="55"/>
      <c r="D649" s="55"/>
      <c r="E649" s="55"/>
      <c r="F649" s="55"/>
      <c r="G649" s="55"/>
      <c r="H649" s="55"/>
      <c r="I649" s="55"/>
      <c r="J649" s="55"/>
      <c r="K649" s="55"/>
      <c r="L649" s="55"/>
      <c r="M649" s="55"/>
      <c r="N649" s="55"/>
      <c r="O649" s="55"/>
      <c r="P649" s="55"/>
      <c r="Q649" s="55"/>
      <c r="R649" s="55"/>
      <c r="S649" s="55"/>
      <c r="T649" s="55"/>
      <c r="U649" s="55"/>
      <c r="V649" s="55"/>
      <c r="W649" s="55"/>
      <c r="X649" s="55"/>
      <c r="Y649" s="55"/>
      <c r="Z649" s="55"/>
    </row>
    <row r="650" spans="1:26" ht="15">
      <c r="A650" s="55"/>
      <c r="B650" s="55"/>
      <c r="C650" s="55"/>
      <c r="D650" s="55"/>
      <c r="E650" s="55"/>
      <c r="F650" s="55"/>
      <c r="G650" s="55"/>
      <c r="H650" s="55"/>
      <c r="I650" s="55"/>
      <c r="J650" s="55"/>
      <c r="K650" s="55"/>
      <c r="L650" s="55"/>
      <c r="M650" s="55"/>
      <c r="N650" s="55"/>
      <c r="O650" s="55"/>
      <c r="P650" s="55"/>
      <c r="Q650" s="55"/>
      <c r="R650" s="55"/>
      <c r="S650" s="55"/>
      <c r="T650" s="55"/>
      <c r="U650" s="55"/>
      <c r="V650" s="55"/>
      <c r="W650" s="55"/>
      <c r="X650" s="55"/>
      <c r="Y650" s="55"/>
      <c r="Z650" s="55"/>
    </row>
    <row r="651" spans="1:26" ht="15">
      <c r="A651" s="55"/>
      <c r="B651" s="55"/>
      <c r="C651" s="55"/>
      <c r="D651" s="55"/>
      <c r="E651" s="55"/>
      <c r="F651" s="55"/>
      <c r="G651" s="55"/>
      <c r="H651" s="55"/>
      <c r="I651" s="55"/>
      <c r="J651" s="55"/>
      <c r="K651" s="55"/>
      <c r="L651" s="55"/>
      <c r="M651" s="55"/>
      <c r="N651" s="55"/>
      <c r="O651" s="55"/>
      <c r="P651" s="55"/>
      <c r="Q651" s="55"/>
      <c r="R651" s="55"/>
      <c r="S651" s="55"/>
      <c r="T651" s="55"/>
      <c r="U651" s="55"/>
      <c r="V651" s="55"/>
      <c r="W651" s="55"/>
      <c r="X651" s="55"/>
      <c r="Y651" s="55"/>
      <c r="Z651" s="55"/>
    </row>
    <row r="652" spans="1:26" ht="15">
      <c r="A652" s="55"/>
      <c r="B652" s="55"/>
      <c r="C652" s="55"/>
      <c r="D652" s="55"/>
      <c r="E652" s="55"/>
      <c r="F652" s="55"/>
      <c r="G652" s="55"/>
      <c r="H652" s="55"/>
      <c r="I652" s="55"/>
      <c r="J652" s="55"/>
      <c r="K652" s="55"/>
      <c r="L652" s="55"/>
      <c r="M652" s="55"/>
      <c r="N652" s="55"/>
      <c r="O652" s="55"/>
      <c r="P652" s="55"/>
      <c r="Q652" s="55"/>
      <c r="R652" s="55"/>
      <c r="S652" s="55"/>
      <c r="T652" s="55"/>
      <c r="U652" s="55"/>
      <c r="V652" s="55"/>
      <c r="W652" s="55"/>
      <c r="X652" s="55"/>
      <c r="Y652" s="55"/>
      <c r="Z652" s="55"/>
    </row>
    <row r="653" spans="1:26" ht="15">
      <c r="A653" s="55"/>
      <c r="B653" s="55"/>
      <c r="C653" s="55"/>
      <c r="D653" s="55"/>
      <c r="E653" s="55"/>
      <c r="F653" s="55"/>
      <c r="G653" s="55"/>
      <c r="H653" s="55"/>
      <c r="I653" s="55"/>
      <c r="J653" s="55"/>
      <c r="K653" s="55"/>
      <c r="L653" s="55"/>
      <c r="M653" s="55"/>
      <c r="N653" s="55"/>
      <c r="O653" s="55"/>
      <c r="P653" s="55"/>
      <c r="Q653" s="55"/>
      <c r="R653" s="55"/>
      <c r="S653" s="55"/>
      <c r="T653" s="55"/>
      <c r="U653" s="55"/>
      <c r="V653" s="55"/>
      <c r="W653" s="55"/>
      <c r="X653" s="55"/>
      <c r="Y653" s="55"/>
      <c r="Z653" s="55"/>
    </row>
    <row r="654" spans="1:26" ht="15">
      <c r="A654" s="55"/>
      <c r="B654" s="55"/>
      <c r="C654" s="55"/>
      <c r="D654" s="55"/>
      <c r="E654" s="55"/>
      <c r="F654" s="55"/>
      <c r="G654" s="55"/>
      <c r="H654" s="55"/>
      <c r="I654" s="55"/>
      <c r="J654" s="55"/>
      <c r="K654" s="55"/>
      <c r="L654" s="55"/>
      <c r="M654" s="55"/>
      <c r="N654" s="55"/>
      <c r="O654" s="55"/>
      <c r="P654" s="55"/>
      <c r="Q654" s="55"/>
      <c r="R654" s="55"/>
      <c r="S654" s="55"/>
      <c r="T654" s="55"/>
      <c r="U654" s="55"/>
      <c r="V654" s="55"/>
      <c r="W654" s="55"/>
      <c r="X654" s="55"/>
      <c r="Y654" s="55"/>
      <c r="Z654" s="55"/>
    </row>
    <row r="655" spans="1:26" ht="15">
      <c r="A655" s="55"/>
      <c r="B655" s="55"/>
      <c r="C655" s="55"/>
      <c r="D655" s="55"/>
      <c r="E655" s="55"/>
      <c r="F655" s="55"/>
      <c r="G655" s="55"/>
      <c r="H655" s="55"/>
      <c r="I655" s="55"/>
      <c r="J655" s="55"/>
      <c r="K655" s="55"/>
      <c r="L655" s="55"/>
      <c r="M655" s="55"/>
      <c r="N655" s="55"/>
      <c r="O655" s="55"/>
      <c r="P655" s="55"/>
      <c r="Q655" s="55"/>
      <c r="R655" s="55"/>
      <c r="S655" s="55"/>
      <c r="T655" s="55"/>
      <c r="U655" s="55"/>
      <c r="V655" s="55"/>
      <c r="W655" s="55"/>
      <c r="X655" s="55"/>
      <c r="Y655" s="55"/>
      <c r="Z655" s="55"/>
    </row>
    <row r="656" spans="1:26" ht="15">
      <c r="A656" s="55"/>
      <c r="B656" s="55"/>
      <c r="C656" s="55"/>
      <c r="D656" s="55"/>
      <c r="E656" s="55"/>
      <c r="F656" s="55"/>
      <c r="G656" s="55"/>
      <c r="H656" s="55"/>
      <c r="I656" s="55"/>
      <c r="J656" s="55"/>
      <c r="K656" s="55"/>
      <c r="L656" s="55"/>
      <c r="M656" s="55"/>
      <c r="N656" s="55"/>
      <c r="O656" s="55"/>
      <c r="P656" s="55"/>
      <c r="Q656" s="55"/>
      <c r="R656" s="55"/>
      <c r="S656" s="55"/>
      <c r="T656" s="55"/>
      <c r="U656" s="55"/>
      <c r="V656" s="55"/>
      <c r="W656" s="55"/>
      <c r="X656" s="55"/>
      <c r="Y656" s="55"/>
      <c r="Z656" s="55"/>
    </row>
    <row r="657" spans="1:26" ht="15">
      <c r="A657" s="55"/>
      <c r="B657" s="55"/>
      <c r="C657" s="55"/>
      <c r="D657" s="55"/>
      <c r="E657" s="55"/>
      <c r="F657" s="55"/>
      <c r="G657" s="55"/>
      <c r="H657" s="55"/>
      <c r="I657" s="55"/>
      <c r="J657" s="55"/>
      <c r="K657" s="55"/>
      <c r="L657" s="55"/>
      <c r="M657" s="55"/>
      <c r="N657" s="55"/>
      <c r="O657" s="55"/>
      <c r="P657" s="55"/>
      <c r="Q657" s="55"/>
      <c r="R657" s="55"/>
      <c r="S657" s="55"/>
      <c r="T657" s="55"/>
      <c r="U657" s="55"/>
      <c r="V657" s="55"/>
      <c r="W657" s="55"/>
      <c r="X657" s="55"/>
      <c r="Y657" s="55"/>
      <c r="Z657" s="55"/>
    </row>
    <row r="658" spans="1:26" ht="15">
      <c r="A658" s="55"/>
      <c r="B658" s="55"/>
      <c r="C658" s="55"/>
      <c r="D658" s="55"/>
      <c r="E658" s="55"/>
      <c r="F658" s="55"/>
      <c r="G658" s="55"/>
      <c r="H658" s="55"/>
      <c r="I658" s="55"/>
      <c r="J658" s="55"/>
      <c r="K658" s="55"/>
      <c r="L658" s="55"/>
      <c r="M658" s="55"/>
      <c r="N658" s="55"/>
      <c r="O658" s="55"/>
      <c r="P658" s="55"/>
      <c r="Q658" s="55"/>
      <c r="R658" s="55"/>
      <c r="S658" s="55"/>
      <c r="T658" s="55"/>
      <c r="U658" s="55"/>
      <c r="V658" s="55"/>
      <c r="W658" s="55"/>
      <c r="X658" s="55"/>
      <c r="Y658" s="55"/>
      <c r="Z658" s="55"/>
    </row>
    <row r="659" spans="1:26" ht="15">
      <c r="A659" s="55"/>
      <c r="B659" s="55"/>
      <c r="C659" s="55"/>
      <c r="D659" s="55"/>
      <c r="E659" s="55"/>
      <c r="F659" s="55"/>
      <c r="G659" s="55"/>
      <c r="H659" s="55"/>
      <c r="I659" s="55"/>
      <c r="J659" s="55"/>
      <c r="K659" s="55"/>
      <c r="L659" s="55"/>
      <c r="M659" s="55"/>
      <c r="N659" s="55"/>
      <c r="O659" s="55"/>
      <c r="P659" s="55"/>
      <c r="Q659" s="55"/>
      <c r="R659" s="55"/>
      <c r="S659" s="55"/>
      <c r="T659" s="55"/>
      <c r="U659" s="55"/>
      <c r="V659" s="55"/>
      <c r="W659" s="55"/>
      <c r="X659" s="55"/>
      <c r="Y659" s="55"/>
      <c r="Z659" s="55"/>
    </row>
    <row r="660" spans="1:26" ht="15">
      <c r="A660" s="55"/>
      <c r="B660" s="55"/>
      <c r="C660" s="55"/>
      <c r="D660" s="55"/>
      <c r="E660" s="55"/>
      <c r="F660" s="55"/>
      <c r="G660" s="55"/>
      <c r="H660" s="55"/>
      <c r="I660" s="55"/>
      <c r="J660" s="55"/>
      <c r="K660" s="55"/>
      <c r="L660" s="55"/>
      <c r="M660" s="55"/>
      <c r="N660" s="55"/>
      <c r="O660" s="55"/>
      <c r="P660" s="55"/>
      <c r="Q660" s="55"/>
      <c r="R660" s="55"/>
      <c r="S660" s="55"/>
      <c r="T660" s="55"/>
      <c r="U660" s="55"/>
      <c r="V660" s="55"/>
      <c r="W660" s="55"/>
      <c r="X660" s="55"/>
      <c r="Y660" s="55"/>
      <c r="Z660" s="55"/>
    </row>
    <row r="661" spans="1:26" ht="15">
      <c r="A661" s="55"/>
      <c r="B661" s="55"/>
      <c r="C661" s="55"/>
      <c r="D661" s="55"/>
      <c r="E661" s="55"/>
      <c r="F661" s="55"/>
      <c r="G661" s="55"/>
      <c r="H661" s="55"/>
      <c r="I661" s="55"/>
      <c r="J661" s="55"/>
      <c r="K661" s="55"/>
      <c r="L661" s="55"/>
      <c r="M661" s="55"/>
      <c r="N661" s="55"/>
      <c r="O661" s="55"/>
      <c r="P661" s="55"/>
      <c r="Q661" s="55"/>
      <c r="R661" s="55"/>
      <c r="S661" s="55"/>
      <c r="T661" s="55"/>
      <c r="U661" s="55"/>
      <c r="V661" s="55"/>
      <c r="W661" s="55"/>
      <c r="X661" s="55"/>
      <c r="Y661" s="55"/>
      <c r="Z661" s="55"/>
    </row>
    <row r="662" spans="1:26" ht="15">
      <c r="A662" s="55"/>
      <c r="B662" s="55"/>
      <c r="C662" s="55"/>
      <c r="D662" s="55"/>
      <c r="E662" s="55"/>
      <c r="F662" s="55"/>
      <c r="G662" s="55"/>
      <c r="H662" s="55"/>
      <c r="I662" s="55"/>
      <c r="J662" s="55"/>
      <c r="K662" s="55"/>
      <c r="L662" s="55"/>
      <c r="M662" s="55"/>
      <c r="N662" s="55"/>
      <c r="O662" s="55"/>
      <c r="P662" s="55"/>
      <c r="Q662" s="55"/>
      <c r="R662" s="55"/>
      <c r="S662" s="55"/>
      <c r="T662" s="55"/>
      <c r="U662" s="55"/>
      <c r="V662" s="55"/>
      <c r="W662" s="55"/>
      <c r="X662" s="55"/>
      <c r="Y662" s="55"/>
      <c r="Z662" s="55"/>
    </row>
    <row r="663" spans="1:26" ht="15">
      <c r="A663" s="55"/>
      <c r="B663" s="55"/>
      <c r="C663" s="55"/>
      <c r="D663" s="55"/>
      <c r="E663" s="55"/>
      <c r="F663" s="55"/>
      <c r="G663" s="55"/>
      <c r="H663" s="55"/>
      <c r="I663" s="55"/>
      <c r="J663" s="55"/>
      <c r="K663" s="55"/>
      <c r="L663" s="55"/>
      <c r="M663" s="55"/>
      <c r="N663" s="55"/>
      <c r="O663" s="55"/>
      <c r="P663" s="55"/>
      <c r="Q663" s="55"/>
      <c r="R663" s="55"/>
      <c r="S663" s="55"/>
      <c r="T663" s="55"/>
      <c r="U663" s="55"/>
      <c r="V663" s="55"/>
      <c r="W663" s="55"/>
      <c r="X663" s="55"/>
      <c r="Y663" s="55"/>
      <c r="Z663" s="55"/>
    </row>
    <row r="664" spans="1:26" ht="15">
      <c r="A664" s="55"/>
      <c r="B664" s="55"/>
      <c r="C664" s="55"/>
      <c r="D664" s="55"/>
      <c r="E664" s="55"/>
      <c r="F664" s="55"/>
      <c r="G664" s="55"/>
      <c r="H664" s="55"/>
      <c r="I664" s="55"/>
      <c r="J664" s="55"/>
      <c r="K664" s="55"/>
      <c r="L664" s="55"/>
      <c r="M664" s="55"/>
      <c r="N664" s="55"/>
      <c r="O664" s="55"/>
      <c r="P664" s="55"/>
      <c r="Q664" s="55"/>
      <c r="R664" s="55"/>
      <c r="S664" s="55"/>
      <c r="T664" s="55"/>
      <c r="U664" s="55"/>
      <c r="V664" s="55"/>
      <c r="W664" s="55"/>
      <c r="X664" s="55"/>
      <c r="Y664" s="55"/>
      <c r="Z664" s="55"/>
    </row>
    <row r="665" spans="1:26" ht="15">
      <c r="A665" s="55"/>
      <c r="B665" s="55"/>
      <c r="C665" s="55"/>
      <c r="D665" s="55"/>
      <c r="E665" s="55"/>
      <c r="F665" s="55"/>
      <c r="G665" s="55"/>
      <c r="H665" s="55"/>
      <c r="I665" s="55"/>
      <c r="J665" s="55"/>
      <c r="K665" s="55"/>
      <c r="L665" s="55"/>
      <c r="M665" s="55"/>
      <c r="N665" s="55"/>
      <c r="O665" s="55"/>
      <c r="P665" s="55"/>
      <c r="Q665" s="55"/>
      <c r="R665" s="55"/>
      <c r="S665" s="55"/>
      <c r="T665" s="55"/>
      <c r="U665" s="55"/>
      <c r="V665" s="55"/>
      <c r="W665" s="55"/>
      <c r="X665" s="55"/>
      <c r="Y665" s="55"/>
      <c r="Z665" s="55"/>
    </row>
    <row r="666" spans="1:26" ht="15">
      <c r="A666" s="55"/>
      <c r="B666" s="55"/>
      <c r="C666" s="55"/>
      <c r="D666" s="55"/>
      <c r="E666" s="55"/>
      <c r="F666" s="55"/>
      <c r="G666" s="55"/>
      <c r="H666" s="55"/>
      <c r="I666" s="55"/>
      <c r="J666" s="55"/>
      <c r="K666" s="55"/>
      <c r="L666" s="55"/>
      <c r="M666" s="55"/>
      <c r="N666" s="55"/>
      <c r="O666" s="55"/>
      <c r="P666" s="55"/>
      <c r="Q666" s="55"/>
      <c r="R666" s="55"/>
      <c r="S666" s="55"/>
      <c r="T666" s="55"/>
      <c r="U666" s="55"/>
      <c r="V666" s="55"/>
      <c r="W666" s="55"/>
      <c r="X666" s="55"/>
      <c r="Y666" s="55"/>
      <c r="Z666" s="55"/>
    </row>
    <row r="667" spans="1:26" ht="15">
      <c r="A667" s="55"/>
      <c r="B667" s="55"/>
      <c r="C667" s="55"/>
      <c r="D667" s="55"/>
      <c r="E667" s="55"/>
      <c r="F667" s="55"/>
      <c r="G667" s="55"/>
      <c r="H667" s="55"/>
      <c r="I667" s="55"/>
      <c r="J667" s="55"/>
      <c r="K667" s="55"/>
      <c r="L667" s="55"/>
      <c r="M667" s="55"/>
      <c r="N667" s="55"/>
      <c r="O667" s="55"/>
      <c r="P667" s="55"/>
      <c r="Q667" s="55"/>
      <c r="R667" s="55"/>
      <c r="S667" s="55"/>
      <c r="T667" s="55"/>
      <c r="U667" s="55"/>
      <c r="V667" s="55"/>
      <c r="W667" s="55"/>
      <c r="X667" s="55"/>
      <c r="Y667" s="55"/>
      <c r="Z667" s="55"/>
    </row>
    <row r="668" spans="1:26" ht="15">
      <c r="A668" s="55"/>
      <c r="B668" s="55"/>
      <c r="C668" s="55"/>
      <c r="D668" s="55"/>
      <c r="E668" s="55"/>
      <c r="F668" s="55"/>
      <c r="G668" s="55"/>
      <c r="H668" s="55"/>
      <c r="I668" s="55"/>
      <c r="J668" s="55"/>
      <c r="K668" s="55"/>
      <c r="L668" s="55"/>
      <c r="M668" s="55"/>
      <c r="N668" s="55"/>
      <c r="O668" s="55"/>
      <c r="P668" s="55"/>
      <c r="Q668" s="55"/>
      <c r="R668" s="55"/>
      <c r="S668" s="55"/>
      <c r="T668" s="55"/>
      <c r="U668" s="55"/>
      <c r="V668" s="55"/>
      <c r="W668" s="55"/>
      <c r="X668" s="55"/>
      <c r="Y668" s="55"/>
      <c r="Z668" s="55"/>
    </row>
    <row r="669" spans="1:26" ht="15">
      <c r="A669" s="55"/>
      <c r="B669" s="55"/>
      <c r="C669" s="55"/>
      <c r="D669" s="55"/>
      <c r="E669" s="55"/>
      <c r="F669" s="55"/>
      <c r="G669" s="55"/>
      <c r="H669" s="55"/>
      <c r="I669" s="55"/>
      <c r="J669" s="55"/>
      <c r="K669" s="55"/>
      <c r="L669" s="55"/>
      <c r="M669" s="55"/>
      <c r="N669" s="55"/>
      <c r="O669" s="55"/>
      <c r="P669" s="55"/>
      <c r="Q669" s="55"/>
      <c r="R669" s="55"/>
      <c r="S669" s="55"/>
      <c r="T669" s="55"/>
      <c r="U669" s="55"/>
      <c r="V669" s="55"/>
      <c r="W669" s="55"/>
      <c r="X669" s="55"/>
      <c r="Y669" s="55"/>
      <c r="Z669" s="55"/>
    </row>
    <row r="670" spans="1:26" ht="15">
      <c r="A670" s="55"/>
      <c r="B670" s="55"/>
      <c r="C670" s="55"/>
      <c r="D670" s="55"/>
      <c r="E670" s="55"/>
      <c r="F670" s="55"/>
      <c r="G670" s="55"/>
      <c r="H670" s="55"/>
      <c r="I670" s="55"/>
      <c r="J670" s="55"/>
      <c r="K670" s="55"/>
      <c r="L670" s="55"/>
      <c r="M670" s="55"/>
      <c r="N670" s="55"/>
      <c r="O670" s="55"/>
      <c r="P670" s="55"/>
      <c r="Q670" s="55"/>
      <c r="R670" s="55"/>
      <c r="S670" s="55"/>
      <c r="T670" s="55"/>
      <c r="U670" s="55"/>
      <c r="V670" s="55"/>
      <c r="W670" s="55"/>
      <c r="X670" s="55"/>
      <c r="Y670" s="55"/>
      <c r="Z670" s="55"/>
    </row>
    <row r="671" spans="1:26" ht="15">
      <c r="A671" s="55"/>
      <c r="B671" s="55"/>
      <c r="C671" s="55"/>
      <c r="D671" s="55"/>
      <c r="E671" s="55"/>
      <c r="F671" s="55"/>
      <c r="G671" s="55"/>
      <c r="H671" s="55"/>
      <c r="I671" s="55"/>
      <c r="J671" s="55"/>
      <c r="K671" s="55"/>
      <c r="L671" s="55"/>
      <c r="M671" s="55"/>
      <c r="N671" s="55"/>
      <c r="O671" s="55"/>
      <c r="P671" s="55"/>
      <c r="Q671" s="55"/>
      <c r="R671" s="55"/>
      <c r="S671" s="55"/>
      <c r="T671" s="55"/>
      <c r="U671" s="55"/>
      <c r="V671" s="55"/>
      <c r="W671" s="55"/>
      <c r="X671" s="55"/>
      <c r="Y671" s="55"/>
      <c r="Z671" s="55"/>
    </row>
    <row r="672" spans="1:26" ht="15">
      <c r="A672" s="55"/>
      <c r="B672" s="55"/>
      <c r="C672" s="55"/>
      <c r="D672" s="55"/>
      <c r="E672" s="55"/>
      <c r="F672" s="55"/>
      <c r="G672" s="55"/>
      <c r="H672" s="55"/>
      <c r="I672" s="55"/>
      <c r="J672" s="55"/>
      <c r="K672" s="55"/>
      <c r="L672" s="55"/>
      <c r="M672" s="55"/>
      <c r="N672" s="55"/>
      <c r="O672" s="55"/>
      <c r="P672" s="55"/>
      <c r="Q672" s="55"/>
      <c r="R672" s="55"/>
      <c r="S672" s="55"/>
      <c r="T672" s="55"/>
      <c r="U672" s="55"/>
      <c r="V672" s="55"/>
      <c r="W672" s="55"/>
      <c r="X672" s="55"/>
      <c r="Y672" s="55"/>
      <c r="Z672" s="55"/>
    </row>
    <row r="673" spans="1:26" ht="15">
      <c r="A673" s="55"/>
      <c r="B673" s="55"/>
      <c r="C673" s="55"/>
      <c r="D673" s="55"/>
      <c r="E673" s="55"/>
      <c r="F673" s="55"/>
      <c r="G673" s="55"/>
      <c r="H673" s="55"/>
      <c r="I673" s="55"/>
      <c r="J673" s="55"/>
      <c r="K673" s="55"/>
      <c r="L673" s="55"/>
      <c r="M673" s="55"/>
      <c r="N673" s="55"/>
      <c r="O673" s="55"/>
      <c r="P673" s="55"/>
      <c r="Q673" s="55"/>
      <c r="R673" s="55"/>
      <c r="S673" s="55"/>
      <c r="T673" s="55"/>
      <c r="U673" s="55"/>
      <c r="V673" s="55"/>
      <c r="W673" s="55"/>
      <c r="X673" s="55"/>
      <c r="Y673" s="55"/>
      <c r="Z673" s="55"/>
    </row>
    <row r="674" spans="1:26" ht="15">
      <c r="A674" s="55"/>
      <c r="B674" s="55"/>
      <c r="C674" s="55"/>
      <c r="D674" s="55"/>
      <c r="E674" s="55"/>
      <c r="F674" s="55"/>
      <c r="G674" s="55"/>
      <c r="H674" s="55"/>
      <c r="I674" s="55"/>
      <c r="J674" s="55"/>
      <c r="K674" s="55"/>
      <c r="L674" s="55"/>
      <c r="M674" s="55"/>
      <c r="N674" s="55"/>
      <c r="O674" s="55"/>
      <c r="P674" s="55"/>
      <c r="Q674" s="55"/>
      <c r="R674" s="55"/>
      <c r="S674" s="55"/>
      <c r="T674" s="55"/>
      <c r="U674" s="55"/>
      <c r="V674" s="55"/>
      <c r="W674" s="55"/>
      <c r="X674" s="55"/>
      <c r="Y674" s="55"/>
      <c r="Z674" s="55"/>
    </row>
    <row r="675" spans="1:26" ht="15">
      <c r="A675" s="55"/>
      <c r="B675" s="55"/>
      <c r="C675" s="55"/>
      <c r="D675" s="55"/>
      <c r="E675" s="55"/>
      <c r="F675" s="55"/>
      <c r="G675" s="55"/>
      <c r="H675" s="55"/>
      <c r="I675" s="55"/>
      <c r="J675" s="55"/>
      <c r="K675" s="55"/>
      <c r="L675" s="55"/>
      <c r="M675" s="55"/>
      <c r="N675" s="55"/>
      <c r="O675" s="55"/>
      <c r="P675" s="55"/>
      <c r="Q675" s="55"/>
      <c r="R675" s="55"/>
      <c r="S675" s="55"/>
      <c r="T675" s="55"/>
      <c r="U675" s="55"/>
      <c r="V675" s="55"/>
      <c r="W675" s="55"/>
      <c r="X675" s="55"/>
      <c r="Y675" s="55"/>
      <c r="Z675" s="55"/>
    </row>
    <row r="676" spans="1:26" ht="15">
      <c r="A676" s="55"/>
      <c r="B676" s="55"/>
      <c r="C676" s="55"/>
      <c r="D676" s="55"/>
      <c r="E676" s="55"/>
      <c r="F676" s="55"/>
      <c r="G676" s="55"/>
      <c r="H676" s="55"/>
      <c r="I676" s="55"/>
      <c r="J676" s="55"/>
      <c r="K676" s="55"/>
      <c r="L676" s="55"/>
      <c r="M676" s="55"/>
      <c r="N676" s="55"/>
      <c r="O676" s="55"/>
      <c r="P676" s="55"/>
      <c r="Q676" s="55"/>
      <c r="R676" s="55"/>
      <c r="S676" s="55"/>
      <c r="T676" s="55"/>
      <c r="U676" s="55"/>
      <c r="V676" s="55"/>
      <c r="W676" s="55"/>
      <c r="X676" s="55"/>
      <c r="Y676" s="55"/>
      <c r="Z676" s="55"/>
    </row>
    <row r="677" spans="1:26" ht="15">
      <c r="A677" s="55"/>
      <c r="B677" s="55"/>
      <c r="C677" s="55"/>
      <c r="D677" s="55"/>
      <c r="E677" s="55"/>
      <c r="F677" s="55"/>
      <c r="G677" s="55"/>
      <c r="H677" s="55"/>
      <c r="I677" s="55"/>
      <c r="J677" s="55"/>
      <c r="K677" s="55"/>
      <c r="L677" s="55"/>
      <c r="M677" s="55"/>
      <c r="N677" s="55"/>
      <c r="O677" s="55"/>
      <c r="P677" s="55"/>
      <c r="Q677" s="55"/>
      <c r="R677" s="55"/>
      <c r="S677" s="55"/>
      <c r="T677" s="55"/>
      <c r="U677" s="55"/>
      <c r="V677" s="55"/>
      <c r="W677" s="55"/>
      <c r="X677" s="55"/>
      <c r="Y677" s="55"/>
      <c r="Z677" s="55"/>
    </row>
    <row r="678" spans="1:26" ht="15">
      <c r="A678" s="55"/>
      <c r="B678" s="55"/>
      <c r="C678" s="55"/>
      <c r="D678" s="55"/>
      <c r="E678" s="55"/>
      <c r="F678" s="55"/>
      <c r="G678" s="55"/>
      <c r="H678" s="55"/>
      <c r="I678" s="55"/>
      <c r="J678" s="55"/>
      <c r="K678" s="55"/>
      <c r="L678" s="55"/>
      <c r="M678" s="55"/>
      <c r="N678" s="55"/>
      <c r="O678" s="55"/>
      <c r="P678" s="55"/>
      <c r="Q678" s="55"/>
      <c r="R678" s="55"/>
      <c r="S678" s="55"/>
      <c r="T678" s="55"/>
      <c r="U678" s="55"/>
      <c r="V678" s="55"/>
      <c r="W678" s="55"/>
      <c r="X678" s="55"/>
      <c r="Y678" s="55"/>
      <c r="Z678" s="55"/>
    </row>
    <row r="679" spans="1:26" ht="15">
      <c r="A679" s="55"/>
      <c r="B679" s="55"/>
      <c r="C679" s="55"/>
      <c r="D679" s="55"/>
      <c r="E679" s="55"/>
      <c r="F679" s="55"/>
      <c r="G679" s="55"/>
      <c r="H679" s="55"/>
      <c r="I679" s="55"/>
      <c r="J679" s="55"/>
      <c r="K679" s="55"/>
      <c r="L679" s="55"/>
      <c r="M679" s="55"/>
      <c r="N679" s="55"/>
      <c r="O679" s="55"/>
      <c r="P679" s="55"/>
      <c r="Q679" s="55"/>
      <c r="R679" s="55"/>
      <c r="S679" s="55"/>
      <c r="T679" s="55"/>
      <c r="U679" s="55"/>
      <c r="V679" s="55"/>
      <c r="W679" s="55"/>
      <c r="X679" s="55"/>
      <c r="Y679" s="55"/>
      <c r="Z679" s="55"/>
    </row>
    <row r="680" spans="1:26" ht="15">
      <c r="A680" s="55"/>
      <c r="B680" s="55"/>
      <c r="C680" s="55"/>
      <c r="D680" s="55"/>
      <c r="E680" s="55"/>
      <c r="F680" s="55"/>
      <c r="G680" s="55"/>
      <c r="H680" s="55"/>
      <c r="I680" s="55"/>
      <c r="J680" s="55"/>
      <c r="K680" s="55"/>
      <c r="L680" s="55"/>
      <c r="M680" s="55"/>
      <c r="N680" s="55"/>
      <c r="O680" s="55"/>
      <c r="P680" s="55"/>
      <c r="Q680" s="55"/>
      <c r="R680" s="55"/>
      <c r="S680" s="55"/>
      <c r="T680" s="55"/>
      <c r="U680" s="55"/>
      <c r="V680" s="55"/>
      <c r="W680" s="55"/>
      <c r="X680" s="55"/>
      <c r="Y680" s="55"/>
      <c r="Z680" s="55"/>
    </row>
    <row r="681" spans="1:26" ht="15">
      <c r="A681" s="55"/>
      <c r="B681" s="55"/>
      <c r="C681" s="55"/>
      <c r="D681" s="55"/>
      <c r="E681" s="55"/>
      <c r="F681" s="55"/>
      <c r="G681" s="55"/>
      <c r="H681" s="55"/>
      <c r="I681" s="55"/>
      <c r="J681" s="55"/>
      <c r="K681" s="55"/>
      <c r="L681" s="55"/>
      <c r="M681" s="55"/>
      <c r="N681" s="55"/>
      <c r="O681" s="55"/>
      <c r="P681" s="55"/>
      <c r="Q681" s="55"/>
      <c r="R681" s="55"/>
      <c r="S681" s="55"/>
      <c r="T681" s="55"/>
      <c r="U681" s="55"/>
      <c r="V681" s="55"/>
      <c r="W681" s="55"/>
      <c r="X681" s="55"/>
      <c r="Y681" s="55"/>
      <c r="Z681" s="55"/>
    </row>
    <row r="682" spans="1:26" ht="15">
      <c r="A682" s="55"/>
      <c r="B682" s="55"/>
      <c r="C682" s="55"/>
      <c r="D682" s="55"/>
      <c r="E682" s="55"/>
      <c r="F682" s="55"/>
      <c r="G682" s="55"/>
      <c r="H682" s="55"/>
      <c r="I682" s="55"/>
      <c r="J682" s="55"/>
      <c r="K682" s="55"/>
      <c r="L682" s="55"/>
      <c r="M682" s="55"/>
      <c r="N682" s="55"/>
      <c r="O682" s="55"/>
      <c r="P682" s="55"/>
      <c r="Q682" s="55"/>
      <c r="R682" s="55"/>
      <c r="S682" s="55"/>
      <c r="T682" s="55"/>
      <c r="U682" s="55"/>
      <c r="V682" s="55"/>
      <c r="W682" s="55"/>
      <c r="X682" s="55"/>
      <c r="Y682" s="55"/>
      <c r="Z682" s="55"/>
    </row>
    <row r="683" spans="1:26" ht="15">
      <c r="A683" s="55"/>
      <c r="B683" s="55"/>
      <c r="C683" s="55"/>
      <c r="D683" s="55"/>
      <c r="E683" s="55"/>
      <c r="F683" s="55"/>
      <c r="G683" s="55"/>
      <c r="H683" s="55"/>
      <c r="I683" s="55"/>
      <c r="J683" s="55"/>
      <c r="K683" s="55"/>
      <c r="L683" s="55"/>
      <c r="M683" s="55"/>
      <c r="N683" s="55"/>
      <c r="O683" s="55"/>
      <c r="P683" s="55"/>
      <c r="Q683" s="55"/>
      <c r="R683" s="55"/>
      <c r="S683" s="55"/>
      <c r="T683" s="55"/>
      <c r="U683" s="55"/>
      <c r="V683" s="55"/>
      <c r="W683" s="55"/>
      <c r="X683" s="55"/>
      <c r="Y683" s="55"/>
      <c r="Z683" s="55"/>
    </row>
    <row r="684" spans="1:26" ht="15">
      <c r="A684" s="55"/>
      <c r="B684" s="55"/>
      <c r="C684" s="55"/>
      <c r="D684" s="55"/>
      <c r="E684" s="55"/>
      <c r="F684" s="55"/>
      <c r="G684" s="55"/>
      <c r="H684" s="55"/>
      <c r="I684" s="55"/>
      <c r="J684" s="55"/>
      <c r="K684" s="55"/>
      <c r="L684" s="55"/>
      <c r="M684" s="55"/>
      <c r="N684" s="55"/>
      <c r="O684" s="55"/>
      <c r="P684" s="55"/>
      <c r="Q684" s="55"/>
      <c r="R684" s="55"/>
      <c r="S684" s="55"/>
      <c r="T684" s="55"/>
      <c r="U684" s="55"/>
      <c r="V684" s="55"/>
      <c r="W684" s="55"/>
      <c r="X684" s="55"/>
      <c r="Y684" s="55"/>
      <c r="Z684" s="55"/>
    </row>
    <row r="685" spans="1:26" ht="15">
      <c r="A685" s="55"/>
      <c r="B685" s="55"/>
      <c r="C685" s="55"/>
      <c r="D685" s="55"/>
      <c r="E685" s="55"/>
      <c r="F685" s="55"/>
      <c r="G685" s="55"/>
      <c r="H685" s="55"/>
      <c r="I685" s="55"/>
      <c r="J685" s="55"/>
      <c r="K685" s="55"/>
      <c r="L685" s="55"/>
      <c r="M685" s="55"/>
      <c r="N685" s="55"/>
      <c r="O685" s="55"/>
      <c r="P685" s="55"/>
      <c r="Q685" s="55"/>
      <c r="R685" s="55"/>
      <c r="S685" s="55"/>
      <c r="T685" s="55"/>
      <c r="U685" s="55"/>
      <c r="V685" s="55"/>
      <c r="W685" s="55"/>
      <c r="X685" s="55"/>
      <c r="Y685" s="55"/>
      <c r="Z685" s="55"/>
    </row>
    <row r="686" spans="1:26" ht="15">
      <c r="A686" s="55"/>
      <c r="B686" s="55"/>
      <c r="C686" s="55"/>
      <c r="D686" s="55"/>
      <c r="E686" s="55"/>
      <c r="F686" s="55"/>
      <c r="G686" s="55"/>
      <c r="H686" s="55"/>
      <c r="I686" s="55"/>
      <c r="J686" s="55"/>
      <c r="K686" s="55"/>
      <c r="L686" s="55"/>
      <c r="M686" s="55"/>
      <c r="N686" s="55"/>
      <c r="O686" s="55"/>
      <c r="P686" s="55"/>
      <c r="Q686" s="55"/>
      <c r="R686" s="55"/>
      <c r="S686" s="55"/>
      <c r="T686" s="55"/>
      <c r="U686" s="55"/>
      <c r="V686" s="55"/>
      <c r="W686" s="55"/>
      <c r="X686" s="55"/>
      <c r="Y686" s="55"/>
      <c r="Z686" s="55"/>
    </row>
    <row r="687" spans="1:26" ht="15">
      <c r="A687" s="55"/>
      <c r="B687" s="55"/>
      <c r="C687" s="55"/>
      <c r="D687" s="55"/>
      <c r="E687" s="55"/>
      <c r="F687" s="55"/>
      <c r="G687" s="55"/>
      <c r="H687" s="55"/>
      <c r="I687" s="55"/>
      <c r="J687" s="55"/>
      <c r="K687" s="55"/>
      <c r="L687" s="55"/>
      <c r="M687" s="55"/>
      <c r="N687" s="55"/>
      <c r="O687" s="55"/>
      <c r="P687" s="55"/>
      <c r="Q687" s="55"/>
      <c r="R687" s="55"/>
      <c r="S687" s="55"/>
      <c r="T687" s="55"/>
      <c r="U687" s="55"/>
      <c r="V687" s="55"/>
      <c r="W687" s="55"/>
      <c r="X687" s="55"/>
      <c r="Y687" s="55"/>
      <c r="Z687" s="55"/>
    </row>
    <row r="688" spans="1:26" ht="15">
      <c r="A688" s="55"/>
      <c r="B688" s="55"/>
      <c r="C688" s="55"/>
      <c r="D688" s="55"/>
      <c r="E688" s="55"/>
      <c r="F688" s="55"/>
      <c r="G688" s="55"/>
      <c r="H688" s="55"/>
      <c r="I688" s="55"/>
      <c r="J688" s="55"/>
      <c r="K688" s="55"/>
      <c r="L688" s="55"/>
      <c r="M688" s="55"/>
      <c r="N688" s="55"/>
      <c r="O688" s="55"/>
      <c r="P688" s="55"/>
      <c r="Q688" s="55"/>
      <c r="R688" s="55"/>
      <c r="S688" s="55"/>
      <c r="T688" s="55"/>
      <c r="U688" s="55"/>
      <c r="V688" s="55"/>
      <c r="W688" s="55"/>
      <c r="X688" s="55"/>
      <c r="Y688" s="55"/>
      <c r="Z688" s="55"/>
    </row>
    <row r="689" spans="1:26" ht="15">
      <c r="A689" s="55"/>
      <c r="B689" s="55"/>
      <c r="C689" s="55"/>
      <c r="D689" s="55"/>
      <c r="E689" s="55"/>
      <c r="F689" s="55"/>
      <c r="G689" s="55"/>
      <c r="H689" s="55"/>
      <c r="I689" s="55"/>
      <c r="J689" s="55"/>
      <c r="K689" s="55"/>
      <c r="L689" s="55"/>
      <c r="M689" s="55"/>
      <c r="N689" s="55"/>
      <c r="O689" s="55"/>
      <c r="P689" s="55"/>
      <c r="Q689" s="55"/>
      <c r="R689" s="55"/>
      <c r="S689" s="55"/>
      <c r="T689" s="55"/>
      <c r="U689" s="55"/>
      <c r="V689" s="55"/>
      <c r="W689" s="55"/>
      <c r="X689" s="55"/>
      <c r="Y689" s="55"/>
      <c r="Z689" s="55"/>
    </row>
    <row r="690" spans="1:26" ht="15">
      <c r="A690" s="55"/>
      <c r="B690" s="55"/>
      <c r="C690" s="55"/>
      <c r="D690" s="55"/>
      <c r="E690" s="55"/>
      <c r="F690" s="55"/>
      <c r="G690" s="55"/>
      <c r="H690" s="55"/>
      <c r="I690" s="55"/>
      <c r="J690" s="55"/>
      <c r="K690" s="55"/>
      <c r="L690" s="55"/>
      <c r="M690" s="55"/>
      <c r="N690" s="55"/>
      <c r="O690" s="55"/>
      <c r="P690" s="55"/>
      <c r="Q690" s="55"/>
      <c r="R690" s="55"/>
      <c r="S690" s="55"/>
      <c r="T690" s="55"/>
      <c r="U690" s="55"/>
      <c r="V690" s="55"/>
      <c r="W690" s="55"/>
      <c r="X690" s="55"/>
      <c r="Y690" s="55"/>
      <c r="Z690" s="55"/>
    </row>
    <row r="691" spans="1:26" ht="15">
      <c r="A691" s="55"/>
      <c r="B691" s="55"/>
      <c r="C691" s="55"/>
      <c r="D691" s="55"/>
      <c r="E691" s="55"/>
      <c r="F691" s="55"/>
      <c r="G691" s="55"/>
      <c r="H691" s="55"/>
      <c r="I691" s="55"/>
      <c r="J691" s="55"/>
      <c r="K691" s="55"/>
      <c r="L691" s="55"/>
      <c r="M691" s="55"/>
      <c r="N691" s="55"/>
      <c r="O691" s="55"/>
      <c r="P691" s="55"/>
      <c r="Q691" s="55"/>
      <c r="R691" s="55"/>
      <c r="S691" s="55"/>
      <c r="T691" s="55"/>
      <c r="U691" s="55"/>
      <c r="V691" s="55"/>
      <c r="W691" s="55"/>
      <c r="X691" s="55"/>
      <c r="Y691" s="55"/>
      <c r="Z691" s="55"/>
    </row>
    <row r="692" spans="1:26" ht="15">
      <c r="A692" s="55"/>
      <c r="B692" s="55"/>
      <c r="C692" s="55"/>
      <c r="D692" s="55"/>
      <c r="E692" s="55"/>
      <c r="F692" s="55"/>
      <c r="G692" s="55"/>
      <c r="H692" s="55"/>
      <c r="I692" s="55"/>
      <c r="J692" s="55"/>
      <c r="K692" s="55"/>
      <c r="L692" s="55"/>
      <c r="M692" s="55"/>
      <c r="N692" s="55"/>
      <c r="O692" s="55"/>
      <c r="P692" s="55"/>
      <c r="Q692" s="55"/>
      <c r="R692" s="55"/>
      <c r="S692" s="55"/>
      <c r="T692" s="55"/>
      <c r="U692" s="55"/>
      <c r="V692" s="55"/>
      <c r="W692" s="55"/>
      <c r="X692" s="55"/>
      <c r="Y692" s="55"/>
      <c r="Z692" s="55"/>
    </row>
    <row r="693" spans="1:26" ht="15">
      <c r="A693" s="55"/>
      <c r="B693" s="55"/>
      <c r="C693" s="55"/>
      <c r="D693" s="55"/>
      <c r="E693" s="55"/>
      <c r="F693" s="55"/>
      <c r="G693" s="55"/>
      <c r="H693" s="55"/>
      <c r="I693" s="55"/>
      <c r="J693" s="55"/>
      <c r="K693" s="55"/>
      <c r="L693" s="55"/>
      <c r="M693" s="55"/>
      <c r="N693" s="55"/>
      <c r="O693" s="55"/>
      <c r="P693" s="55"/>
      <c r="Q693" s="55"/>
      <c r="R693" s="55"/>
      <c r="S693" s="55"/>
      <c r="T693" s="55"/>
      <c r="U693" s="55"/>
      <c r="V693" s="55"/>
      <c r="W693" s="55"/>
      <c r="X693" s="55"/>
      <c r="Y693" s="55"/>
      <c r="Z693" s="55"/>
    </row>
    <row r="694" spans="1:26" ht="15">
      <c r="A694" s="55"/>
      <c r="B694" s="55"/>
      <c r="C694" s="55"/>
      <c r="D694" s="55"/>
      <c r="E694" s="55"/>
      <c r="F694" s="55"/>
      <c r="G694" s="55"/>
      <c r="H694" s="55"/>
      <c r="I694" s="55"/>
      <c r="J694" s="55"/>
      <c r="K694" s="55"/>
      <c r="L694" s="55"/>
      <c r="M694" s="55"/>
      <c r="N694" s="55"/>
      <c r="O694" s="55"/>
      <c r="P694" s="55"/>
      <c r="Q694" s="55"/>
      <c r="R694" s="55"/>
      <c r="S694" s="55"/>
      <c r="T694" s="55"/>
      <c r="U694" s="55"/>
      <c r="V694" s="55"/>
      <c r="W694" s="55"/>
      <c r="X694" s="55"/>
      <c r="Y694" s="55"/>
      <c r="Z694" s="55"/>
    </row>
    <row r="695" spans="1:26" ht="15">
      <c r="A695" s="55"/>
      <c r="B695" s="55"/>
      <c r="C695" s="55"/>
      <c r="D695" s="55"/>
      <c r="E695" s="55"/>
      <c r="F695" s="55"/>
      <c r="G695" s="55"/>
      <c r="H695" s="55"/>
      <c r="I695" s="55"/>
      <c r="J695" s="55"/>
      <c r="K695" s="55"/>
      <c r="L695" s="55"/>
      <c r="M695" s="55"/>
      <c r="N695" s="55"/>
      <c r="O695" s="55"/>
      <c r="P695" s="55"/>
      <c r="Q695" s="55"/>
      <c r="R695" s="55"/>
      <c r="S695" s="55"/>
      <c r="T695" s="55"/>
      <c r="U695" s="55"/>
      <c r="V695" s="55"/>
      <c r="W695" s="55"/>
      <c r="X695" s="55"/>
      <c r="Y695" s="55"/>
      <c r="Z695" s="55"/>
    </row>
    <row r="696" spans="1:26" ht="15">
      <c r="A696" s="55"/>
      <c r="B696" s="55"/>
      <c r="C696" s="55"/>
      <c r="D696" s="55"/>
      <c r="E696" s="55"/>
      <c r="F696" s="55"/>
      <c r="G696" s="55"/>
      <c r="H696" s="55"/>
      <c r="I696" s="55"/>
      <c r="J696" s="55"/>
      <c r="K696" s="55"/>
      <c r="L696" s="55"/>
      <c r="M696" s="55"/>
      <c r="N696" s="55"/>
      <c r="O696" s="55"/>
      <c r="P696" s="55"/>
      <c r="Q696" s="55"/>
      <c r="R696" s="55"/>
      <c r="S696" s="55"/>
      <c r="T696" s="55"/>
      <c r="U696" s="55"/>
      <c r="V696" s="55"/>
      <c r="W696" s="55"/>
      <c r="X696" s="55"/>
      <c r="Y696" s="55"/>
      <c r="Z696" s="55"/>
    </row>
    <row r="697" spans="1:26" ht="15">
      <c r="A697" s="55"/>
      <c r="B697" s="55"/>
      <c r="C697" s="55"/>
      <c r="D697" s="55"/>
      <c r="E697" s="55"/>
      <c r="F697" s="55"/>
      <c r="G697" s="55"/>
      <c r="H697" s="55"/>
      <c r="I697" s="55"/>
      <c r="J697" s="55"/>
      <c r="K697" s="55"/>
      <c r="L697" s="55"/>
      <c r="M697" s="55"/>
      <c r="N697" s="55"/>
      <c r="O697" s="55"/>
      <c r="P697" s="55"/>
      <c r="Q697" s="55"/>
      <c r="R697" s="55"/>
      <c r="S697" s="55"/>
      <c r="T697" s="55"/>
      <c r="U697" s="55"/>
      <c r="V697" s="55"/>
      <c r="W697" s="55"/>
      <c r="X697" s="55"/>
      <c r="Y697" s="55"/>
      <c r="Z697" s="55"/>
    </row>
    <row r="698" spans="1:26" ht="15">
      <c r="A698" s="55"/>
      <c r="B698" s="55"/>
      <c r="C698" s="55"/>
      <c r="D698" s="55"/>
      <c r="E698" s="55"/>
      <c r="F698" s="55"/>
      <c r="G698" s="55"/>
      <c r="H698" s="55"/>
      <c r="I698" s="55"/>
      <c r="J698" s="55"/>
      <c r="K698" s="55"/>
      <c r="L698" s="55"/>
      <c r="M698" s="55"/>
      <c r="N698" s="55"/>
      <c r="O698" s="55"/>
      <c r="P698" s="55"/>
      <c r="Q698" s="55"/>
      <c r="R698" s="55"/>
      <c r="S698" s="55"/>
      <c r="T698" s="55"/>
      <c r="U698" s="55"/>
      <c r="V698" s="55"/>
      <c r="W698" s="55"/>
      <c r="X698" s="55"/>
      <c r="Y698" s="55"/>
      <c r="Z698" s="55"/>
    </row>
    <row r="699" spans="1:26" ht="15">
      <c r="A699" s="55"/>
      <c r="B699" s="55"/>
      <c r="C699" s="55"/>
      <c r="D699" s="55"/>
      <c r="E699" s="55"/>
      <c r="F699" s="55"/>
      <c r="G699" s="55"/>
      <c r="H699" s="55"/>
      <c r="I699" s="55"/>
      <c r="J699" s="55"/>
      <c r="K699" s="55"/>
      <c r="L699" s="55"/>
      <c r="M699" s="55"/>
      <c r="N699" s="55"/>
      <c r="O699" s="55"/>
      <c r="P699" s="55"/>
      <c r="Q699" s="55"/>
      <c r="R699" s="55"/>
      <c r="S699" s="55"/>
      <c r="T699" s="55"/>
      <c r="U699" s="55"/>
      <c r="V699" s="55"/>
      <c r="W699" s="55"/>
      <c r="X699" s="55"/>
      <c r="Y699" s="55"/>
      <c r="Z699" s="55"/>
    </row>
    <row r="700" spans="1:26" ht="15">
      <c r="A700" s="55"/>
      <c r="B700" s="55"/>
      <c r="C700" s="55"/>
      <c r="D700" s="55"/>
      <c r="E700" s="55"/>
      <c r="F700" s="55"/>
      <c r="G700" s="55"/>
      <c r="H700" s="55"/>
      <c r="I700" s="55"/>
      <c r="J700" s="55"/>
      <c r="K700" s="55"/>
      <c r="L700" s="55"/>
      <c r="M700" s="55"/>
      <c r="N700" s="55"/>
      <c r="O700" s="55"/>
      <c r="P700" s="55"/>
      <c r="Q700" s="55"/>
      <c r="R700" s="55"/>
      <c r="S700" s="55"/>
      <c r="T700" s="55"/>
      <c r="U700" s="55"/>
      <c r="V700" s="55"/>
      <c r="W700" s="55"/>
      <c r="X700" s="55"/>
      <c r="Y700" s="55"/>
      <c r="Z700" s="55"/>
    </row>
    <row r="701" spans="1:26" ht="15">
      <c r="A701" s="55"/>
      <c r="B701" s="55"/>
      <c r="C701" s="55"/>
      <c r="D701" s="55"/>
      <c r="E701" s="55"/>
      <c r="F701" s="55"/>
      <c r="G701" s="55"/>
      <c r="H701" s="55"/>
      <c r="I701" s="55"/>
      <c r="J701" s="55"/>
      <c r="K701" s="55"/>
      <c r="L701" s="55"/>
      <c r="M701" s="55"/>
      <c r="N701" s="55"/>
      <c r="O701" s="55"/>
      <c r="P701" s="55"/>
      <c r="Q701" s="55"/>
      <c r="R701" s="55"/>
      <c r="S701" s="55"/>
      <c r="T701" s="55"/>
      <c r="U701" s="55"/>
      <c r="V701" s="55"/>
      <c r="W701" s="55"/>
      <c r="X701" s="55"/>
      <c r="Y701" s="55"/>
      <c r="Z701" s="55"/>
    </row>
    <row r="702" spans="1:26" ht="15">
      <c r="A702" s="55"/>
      <c r="B702" s="55"/>
      <c r="C702" s="55"/>
      <c r="D702" s="55"/>
      <c r="E702" s="55"/>
      <c r="F702" s="55"/>
      <c r="G702" s="55"/>
      <c r="H702" s="55"/>
      <c r="I702" s="55"/>
      <c r="J702" s="55"/>
      <c r="K702" s="55"/>
      <c r="L702" s="55"/>
      <c r="M702" s="55"/>
      <c r="N702" s="55"/>
      <c r="O702" s="55"/>
      <c r="P702" s="55"/>
      <c r="Q702" s="55"/>
      <c r="R702" s="55"/>
      <c r="S702" s="55"/>
      <c r="T702" s="55"/>
      <c r="U702" s="55"/>
      <c r="V702" s="55"/>
      <c r="W702" s="55"/>
      <c r="X702" s="55"/>
      <c r="Y702" s="55"/>
      <c r="Z702" s="55"/>
    </row>
    <row r="703" spans="1:26" ht="15">
      <c r="A703" s="55"/>
      <c r="B703" s="55"/>
      <c r="C703" s="55"/>
      <c r="D703" s="55"/>
      <c r="E703" s="55"/>
      <c r="F703" s="55"/>
      <c r="G703" s="55"/>
      <c r="H703" s="55"/>
      <c r="I703" s="55"/>
      <c r="J703" s="55"/>
      <c r="K703" s="55"/>
      <c r="L703" s="55"/>
      <c r="M703" s="55"/>
      <c r="N703" s="55"/>
      <c r="O703" s="55"/>
      <c r="P703" s="55"/>
      <c r="Q703" s="55"/>
      <c r="R703" s="55"/>
      <c r="S703" s="55"/>
      <c r="T703" s="55"/>
      <c r="U703" s="55"/>
      <c r="V703" s="55"/>
      <c r="W703" s="55"/>
      <c r="X703" s="55"/>
      <c r="Y703" s="55"/>
      <c r="Z703" s="55"/>
    </row>
    <row r="704" spans="1:26" ht="15">
      <c r="A704" s="55"/>
      <c r="B704" s="55"/>
      <c r="C704" s="55"/>
      <c r="D704" s="55"/>
      <c r="E704" s="55"/>
      <c r="F704" s="55"/>
      <c r="G704" s="55"/>
      <c r="H704" s="55"/>
      <c r="I704" s="55"/>
      <c r="J704" s="55"/>
      <c r="K704" s="55"/>
      <c r="L704" s="55"/>
      <c r="M704" s="55"/>
      <c r="N704" s="55"/>
      <c r="O704" s="55"/>
      <c r="P704" s="55"/>
      <c r="Q704" s="55"/>
      <c r="R704" s="55"/>
      <c r="S704" s="55"/>
      <c r="T704" s="55"/>
      <c r="U704" s="55"/>
      <c r="V704" s="55"/>
      <c r="W704" s="55"/>
      <c r="X704" s="55"/>
      <c r="Y704" s="55"/>
      <c r="Z704" s="55"/>
    </row>
    <row r="705" spans="1:26" ht="15">
      <c r="A705" s="55"/>
      <c r="B705" s="55"/>
      <c r="C705" s="55"/>
      <c r="D705" s="55"/>
      <c r="E705" s="55"/>
      <c r="F705" s="55"/>
      <c r="G705" s="55"/>
      <c r="H705" s="55"/>
      <c r="I705" s="55"/>
      <c r="J705" s="55"/>
      <c r="K705" s="55"/>
      <c r="L705" s="55"/>
      <c r="M705" s="55"/>
      <c r="N705" s="55"/>
      <c r="O705" s="55"/>
      <c r="P705" s="55"/>
      <c r="Q705" s="55"/>
      <c r="R705" s="55"/>
      <c r="S705" s="55"/>
      <c r="T705" s="55"/>
      <c r="U705" s="55"/>
      <c r="V705" s="55"/>
      <c r="W705" s="55"/>
      <c r="X705" s="55"/>
      <c r="Y705" s="55"/>
      <c r="Z705" s="55"/>
    </row>
    <row r="706" spans="1:26" ht="15">
      <c r="A706" s="55"/>
      <c r="B706" s="55"/>
      <c r="C706" s="55"/>
      <c r="D706" s="55"/>
      <c r="E706" s="55"/>
      <c r="F706" s="55"/>
      <c r="G706" s="55"/>
      <c r="H706" s="55"/>
      <c r="I706" s="55"/>
      <c r="J706" s="55"/>
      <c r="K706" s="55"/>
      <c r="L706" s="55"/>
      <c r="M706" s="55"/>
      <c r="N706" s="55"/>
      <c r="O706" s="55"/>
      <c r="P706" s="55"/>
      <c r="Q706" s="55"/>
      <c r="R706" s="55"/>
      <c r="S706" s="55"/>
      <c r="T706" s="55"/>
      <c r="U706" s="55"/>
      <c r="V706" s="55"/>
      <c r="W706" s="55"/>
      <c r="X706" s="55"/>
      <c r="Y706" s="55"/>
      <c r="Z706" s="55"/>
    </row>
    <row r="707" spans="1:26" ht="15">
      <c r="A707" s="55"/>
      <c r="B707" s="55"/>
      <c r="C707" s="55"/>
      <c r="D707" s="55"/>
      <c r="E707" s="55"/>
      <c r="F707" s="55"/>
      <c r="G707" s="55"/>
      <c r="H707" s="55"/>
      <c r="I707" s="55"/>
      <c r="J707" s="55"/>
      <c r="K707" s="55"/>
      <c r="L707" s="55"/>
      <c r="M707" s="55"/>
      <c r="N707" s="55"/>
      <c r="O707" s="55"/>
      <c r="P707" s="55"/>
      <c r="Q707" s="55"/>
      <c r="R707" s="55"/>
      <c r="S707" s="55"/>
      <c r="T707" s="55"/>
      <c r="U707" s="55"/>
      <c r="V707" s="55"/>
      <c r="W707" s="55"/>
      <c r="X707" s="55"/>
      <c r="Y707" s="55"/>
      <c r="Z707" s="55"/>
    </row>
    <row r="708" spans="1:26" ht="15">
      <c r="A708" s="55"/>
      <c r="B708" s="55"/>
      <c r="C708" s="55"/>
      <c r="D708" s="55"/>
      <c r="E708" s="55"/>
      <c r="F708" s="55"/>
      <c r="G708" s="55"/>
      <c r="H708" s="55"/>
      <c r="I708" s="55"/>
      <c r="J708" s="55"/>
      <c r="K708" s="55"/>
      <c r="L708" s="55"/>
      <c r="M708" s="55"/>
      <c r="N708" s="55"/>
      <c r="O708" s="55"/>
      <c r="P708" s="55"/>
      <c r="Q708" s="55"/>
      <c r="R708" s="55"/>
      <c r="S708" s="55"/>
      <c r="T708" s="55"/>
      <c r="U708" s="55"/>
      <c r="V708" s="55"/>
      <c r="W708" s="55"/>
      <c r="X708" s="55"/>
      <c r="Y708" s="55"/>
      <c r="Z708" s="55"/>
    </row>
    <row r="709" spans="1:26" ht="15">
      <c r="A709" s="55"/>
      <c r="B709" s="55"/>
      <c r="C709" s="55"/>
      <c r="D709" s="55"/>
      <c r="E709" s="55"/>
      <c r="F709" s="55"/>
      <c r="G709" s="55"/>
      <c r="H709" s="55"/>
      <c r="I709" s="55"/>
      <c r="J709" s="55"/>
      <c r="K709" s="55"/>
      <c r="L709" s="55"/>
      <c r="M709" s="55"/>
      <c r="N709" s="55"/>
      <c r="O709" s="55"/>
      <c r="P709" s="55"/>
      <c r="Q709" s="55"/>
      <c r="R709" s="55"/>
      <c r="S709" s="55"/>
      <c r="T709" s="55"/>
      <c r="U709" s="55"/>
      <c r="V709" s="55"/>
      <c r="W709" s="55"/>
      <c r="X709" s="55"/>
      <c r="Y709" s="55"/>
      <c r="Z709" s="55"/>
    </row>
    <row r="710" spans="1:26" ht="15">
      <c r="A710" s="55"/>
      <c r="B710" s="55"/>
      <c r="C710" s="55"/>
      <c r="D710" s="55"/>
      <c r="E710" s="55"/>
      <c r="F710" s="55"/>
      <c r="G710" s="55"/>
      <c r="H710" s="55"/>
      <c r="I710" s="55"/>
      <c r="J710" s="55"/>
      <c r="K710" s="55"/>
      <c r="L710" s="55"/>
      <c r="M710" s="55"/>
      <c r="N710" s="55"/>
      <c r="O710" s="55"/>
      <c r="P710" s="55"/>
      <c r="Q710" s="55"/>
      <c r="R710" s="55"/>
      <c r="S710" s="55"/>
      <c r="T710" s="55"/>
      <c r="U710" s="55"/>
      <c r="V710" s="55"/>
      <c r="W710" s="55"/>
      <c r="X710" s="55"/>
      <c r="Y710" s="55"/>
      <c r="Z710" s="55"/>
    </row>
    <row r="711" spans="1:26" ht="15">
      <c r="A711" s="55"/>
      <c r="B711" s="55"/>
      <c r="C711" s="55"/>
      <c r="D711" s="55"/>
      <c r="E711" s="55"/>
      <c r="F711" s="55"/>
      <c r="G711" s="55"/>
      <c r="H711" s="55"/>
      <c r="I711" s="55"/>
      <c r="J711" s="55"/>
      <c r="K711" s="55"/>
      <c r="L711" s="55"/>
      <c r="M711" s="55"/>
      <c r="N711" s="55"/>
      <c r="O711" s="55"/>
      <c r="P711" s="55"/>
      <c r="Q711" s="55"/>
      <c r="R711" s="55"/>
      <c r="S711" s="55"/>
      <c r="T711" s="55"/>
      <c r="U711" s="55"/>
      <c r="V711" s="55"/>
      <c r="W711" s="55"/>
      <c r="X711" s="55"/>
      <c r="Y711" s="55"/>
      <c r="Z711" s="55"/>
    </row>
    <row r="712" spans="1:26" ht="15">
      <c r="A712" s="55"/>
      <c r="B712" s="55"/>
      <c r="C712" s="55"/>
      <c r="D712" s="55"/>
      <c r="E712" s="55"/>
      <c r="F712" s="55"/>
      <c r="G712" s="55"/>
      <c r="H712" s="55"/>
      <c r="I712" s="55"/>
      <c r="J712" s="55"/>
      <c r="K712" s="55"/>
      <c r="L712" s="55"/>
      <c r="M712" s="55"/>
      <c r="N712" s="55"/>
      <c r="O712" s="55"/>
      <c r="P712" s="55"/>
      <c r="Q712" s="55"/>
      <c r="R712" s="55"/>
      <c r="S712" s="55"/>
      <c r="T712" s="55"/>
      <c r="U712" s="55"/>
      <c r="V712" s="55"/>
      <c r="W712" s="55"/>
      <c r="X712" s="55"/>
      <c r="Y712" s="55"/>
      <c r="Z712" s="55"/>
    </row>
    <row r="713" spans="1:26" ht="15">
      <c r="A713" s="55"/>
      <c r="B713" s="55"/>
      <c r="C713" s="55"/>
      <c r="D713" s="55"/>
      <c r="E713" s="55"/>
      <c r="F713" s="55"/>
      <c r="G713" s="55"/>
      <c r="H713" s="55"/>
      <c r="I713" s="55"/>
      <c r="J713" s="55"/>
      <c r="K713" s="55"/>
      <c r="L713" s="55"/>
      <c r="M713" s="55"/>
      <c r="N713" s="55"/>
      <c r="O713" s="55"/>
      <c r="P713" s="55"/>
      <c r="Q713" s="55"/>
      <c r="R713" s="55"/>
      <c r="S713" s="55"/>
      <c r="T713" s="55"/>
      <c r="U713" s="55"/>
      <c r="V713" s="55"/>
      <c r="W713" s="55"/>
      <c r="X713" s="55"/>
      <c r="Y713" s="55"/>
      <c r="Z713" s="55"/>
    </row>
    <row r="714" spans="1:26" ht="15">
      <c r="A714" s="55"/>
      <c r="B714" s="55"/>
      <c r="C714" s="55"/>
      <c r="D714" s="55"/>
      <c r="E714" s="55"/>
      <c r="F714" s="55"/>
      <c r="G714" s="55"/>
      <c r="H714" s="55"/>
      <c r="I714" s="55"/>
      <c r="J714" s="55"/>
      <c r="K714" s="55"/>
      <c r="L714" s="55"/>
      <c r="M714" s="55"/>
      <c r="N714" s="55"/>
      <c r="O714" s="55"/>
      <c r="P714" s="55"/>
      <c r="Q714" s="55"/>
      <c r="R714" s="55"/>
      <c r="S714" s="55"/>
      <c r="T714" s="55"/>
      <c r="U714" s="55"/>
      <c r="V714" s="55"/>
      <c r="W714" s="55"/>
      <c r="X714" s="55"/>
      <c r="Y714" s="55"/>
      <c r="Z714" s="55"/>
    </row>
    <row r="715" spans="1:26" ht="15">
      <c r="A715" s="55"/>
      <c r="B715" s="55"/>
      <c r="C715" s="55"/>
      <c r="D715" s="55"/>
      <c r="E715" s="55"/>
      <c r="F715" s="55"/>
      <c r="G715" s="55"/>
      <c r="H715" s="55"/>
      <c r="I715" s="55"/>
      <c r="J715" s="55"/>
      <c r="K715" s="55"/>
      <c r="L715" s="55"/>
      <c r="M715" s="55"/>
      <c r="N715" s="55"/>
      <c r="O715" s="55"/>
      <c r="P715" s="55"/>
      <c r="Q715" s="55"/>
      <c r="R715" s="55"/>
      <c r="S715" s="55"/>
      <c r="T715" s="55"/>
      <c r="U715" s="55"/>
      <c r="V715" s="55"/>
      <c r="W715" s="55"/>
      <c r="X715" s="55"/>
      <c r="Y715" s="55"/>
      <c r="Z715" s="55"/>
    </row>
    <row r="716" spans="1:26" ht="15">
      <c r="A716" s="55"/>
      <c r="B716" s="55"/>
      <c r="C716" s="55"/>
      <c r="D716" s="55"/>
      <c r="E716" s="55"/>
      <c r="F716" s="55"/>
      <c r="G716" s="55"/>
      <c r="H716" s="55"/>
      <c r="I716" s="55"/>
      <c r="J716" s="55"/>
      <c r="K716" s="55"/>
      <c r="L716" s="55"/>
      <c r="M716" s="55"/>
      <c r="N716" s="55"/>
      <c r="O716" s="55"/>
      <c r="P716" s="55"/>
      <c r="Q716" s="55"/>
      <c r="R716" s="55"/>
      <c r="S716" s="55"/>
      <c r="T716" s="55"/>
      <c r="U716" s="55"/>
      <c r="V716" s="55"/>
      <c r="W716" s="55"/>
      <c r="X716" s="55"/>
      <c r="Y716" s="55"/>
      <c r="Z716" s="55"/>
    </row>
    <row r="717" spans="1:26" ht="15">
      <c r="A717" s="55"/>
      <c r="B717" s="55"/>
      <c r="C717" s="55"/>
      <c r="D717" s="55"/>
      <c r="E717" s="55"/>
      <c r="F717" s="55"/>
      <c r="G717" s="55"/>
      <c r="H717" s="55"/>
      <c r="I717" s="55"/>
      <c r="J717" s="55"/>
      <c r="K717" s="55"/>
      <c r="L717" s="55"/>
      <c r="M717" s="55"/>
      <c r="N717" s="55"/>
      <c r="O717" s="55"/>
      <c r="P717" s="55"/>
      <c r="Q717" s="55"/>
      <c r="R717" s="55"/>
      <c r="S717" s="55"/>
      <c r="T717" s="55"/>
      <c r="U717" s="55"/>
      <c r="V717" s="55"/>
      <c r="W717" s="55"/>
      <c r="X717" s="55"/>
      <c r="Y717" s="55"/>
      <c r="Z717" s="55"/>
    </row>
    <row r="718" spans="1:26" ht="15">
      <c r="A718" s="55"/>
      <c r="B718" s="55"/>
      <c r="C718" s="55"/>
      <c r="D718" s="55"/>
      <c r="E718" s="55"/>
      <c r="F718" s="55"/>
      <c r="G718" s="55"/>
      <c r="H718" s="55"/>
      <c r="I718" s="55"/>
      <c r="J718" s="55"/>
      <c r="K718" s="55"/>
      <c r="L718" s="55"/>
      <c r="M718" s="55"/>
      <c r="N718" s="55"/>
      <c r="O718" s="55"/>
      <c r="P718" s="55"/>
      <c r="Q718" s="55"/>
      <c r="R718" s="55"/>
      <c r="S718" s="55"/>
      <c r="T718" s="55"/>
      <c r="U718" s="55"/>
      <c r="V718" s="55"/>
      <c r="W718" s="55"/>
      <c r="X718" s="55"/>
      <c r="Y718" s="55"/>
      <c r="Z718" s="55"/>
    </row>
    <row r="719" spans="1:26" ht="15">
      <c r="A719" s="55"/>
      <c r="B719" s="55"/>
      <c r="C719" s="55"/>
      <c r="D719" s="55"/>
      <c r="E719" s="55"/>
      <c r="F719" s="55"/>
      <c r="G719" s="55"/>
      <c r="H719" s="55"/>
      <c r="I719" s="55"/>
      <c r="J719" s="55"/>
      <c r="K719" s="55"/>
      <c r="L719" s="55"/>
      <c r="M719" s="55"/>
      <c r="N719" s="55"/>
      <c r="O719" s="55"/>
      <c r="P719" s="55"/>
      <c r="Q719" s="55"/>
      <c r="R719" s="55"/>
      <c r="S719" s="55"/>
      <c r="T719" s="55"/>
      <c r="U719" s="55"/>
      <c r="V719" s="55"/>
      <c r="W719" s="55"/>
      <c r="X719" s="55"/>
      <c r="Y719" s="55"/>
      <c r="Z719" s="55"/>
    </row>
    <row r="720" spans="1:26" ht="15">
      <c r="A720" s="55"/>
      <c r="B720" s="55"/>
      <c r="C720" s="55"/>
      <c r="D720" s="55"/>
      <c r="E720" s="55"/>
      <c r="F720" s="55"/>
      <c r="G720" s="55"/>
      <c r="H720" s="55"/>
      <c r="I720" s="55"/>
      <c r="J720" s="55"/>
      <c r="K720" s="55"/>
      <c r="L720" s="55"/>
      <c r="M720" s="55"/>
      <c r="N720" s="55"/>
      <c r="O720" s="55"/>
      <c r="P720" s="55"/>
      <c r="Q720" s="55"/>
      <c r="R720" s="55"/>
      <c r="S720" s="55"/>
      <c r="T720" s="55"/>
      <c r="U720" s="55"/>
      <c r="V720" s="55"/>
      <c r="W720" s="55"/>
      <c r="X720" s="55"/>
      <c r="Y720" s="55"/>
      <c r="Z720" s="55"/>
    </row>
    <row r="721" spans="1:26" ht="15">
      <c r="A721" s="55"/>
      <c r="B721" s="55"/>
      <c r="C721" s="55"/>
      <c r="D721" s="55"/>
      <c r="E721" s="55"/>
      <c r="F721" s="55"/>
      <c r="G721" s="55"/>
      <c r="H721" s="55"/>
      <c r="I721" s="55"/>
      <c r="J721" s="55"/>
      <c r="K721" s="55"/>
      <c r="L721" s="55"/>
      <c r="M721" s="55"/>
      <c r="N721" s="55"/>
      <c r="O721" s="55"/>
      <c r="P721" s="55"/>
      <c r="Q721" s="55"/>
      <c r="R721" s="55"/>
      <c r="S721" s="55"/>
      <c r="T721" s="55"/>
      <c r="U721" s="55"/>
      <c r="V721" s="55"/>
      <c r="W721" s="55"/>
      <c r="X721" s="55"/>
      <c r="Y721" s="55"/>
      <c r="Z721" s="55"/>
    </row>
    <row r="722" spans="1:26" ht="15">
      <c r="A722" s="55"/>
      <c r="B722" s="55"/>
      <c r="C722" s="55"/>
      <c r="D722" s="55"/>
      <c r="E722" s="55"/>
      <c r="F722" s="55"/>
      <c r="G722" s="55"/>
      <c r="H722" s="55"/>
      <c r="I722" s="55"/>
      <c r="J722" s="55"/>
      <c r="K722" s="55"/>
      <c r="L722" s="55"/>
      <c r="M722" s="55"/>
      <c r="N722" s="55"/>
      <c r="O722" s="55"/>
      <c r="P722" s="55"/>
      <c r="Q722" s="55"/>
      <c r="R722" s="55"/>
      <c r="S722" s="55"/>
      <c r="T722" s="55"/>
      <c r="U722" s="55"/>
      <c r="V722" s="55"/>
      <c r="W722" s="55"/>
      <c r="X722" s="55"/>
      <c r="Y722" s="55"/>
      <c r="Z722" s="55"/>
    </row>
    <row r="723" spans="1:26" ht="15">
      <c r="A723" s="55"/>
      <c r="B723" s="55"/>
      <c r="C723" s="55"/>
      <c r="D723" s="55"/>
      <c r="E723" s="55"/>
      <c r="F723" s="55"/>
      <c r="G723" s="55"/>
      <c r="H723" s="55"/>
      <c r="I723" s="55"/>
      <c r="J723" s="55"/>
      <c r="K723" s="55"/>
      <c r="L723" s="55"/>
      <c r="M723" s="55"/>
      <c r="N723" s="55"/>
      <c r="O723" s="55"/>
      <c r="P723" s="55"/>
      <c r="Q723" s="55"/>
      <c r="R723" s="55"/>
      <c r="S723" s="55"/>
      <c r="T723" s="55"/>
      <c r="U723" s="55"/>
      <c r="V723" s="55"/>
      <c r="W723" s="55"/>
      <c r="X723" s="55"/>
      <c r="Y723" s="55"/>
      <c r="Z723" s="55"/>
    </row>
    <row r="724" spans="1:26" ht="15">
      <c r="A724" s="55"/>
      <c r="B724" s="55"/>
      <c r="C724" s="55"/>
      <c r="D724" s="55"/>
      <c r="E724" s="55"/>
      <c r="F724" s="55"/>
      <c r="G724" s="55"/>
      <c r="H724" s="55"/>
      <c r="I724" s="55"/>
      <c r="J724" s="55"/>
      <c r="K724" s="55"/>
      <c r="L724" s="55"/>
      <c r="M724" s="55"/>
      <c r="N724" s="55"/>
      <c r="O724" s="55"/>
      <c r="P724" s="55"/>
      <c r="Q724" s="55"/>
      <c r="R724" s="55"/>
      <c r="S724" s="55"/>
      <c r="T724" s="55"/>
      <c r="U724" s="55"/>
      <c r="V724" s="55"/>
      <c r="W724" s="55"/>
      <c r="X724" s="55"/>
      <c r="Y724" s="55"/>
      <c r="Z724" s="55"/>
    </row>
    <row r="725" spans="1:26" ht="15">
      <c r="A725" s="55"/>
      <c r="B725" s="55"/>
      <c r="C725" s="55"/>
      <c r="D725" s="55"/>
      <c r="E725" s="55"/>
      <c r="F725" s="55"/>
      <c r="G725" s="55"/>
      <c r="H725" s="55"/>
      <c r="I725" s="55"/>
      <c r="J725" s="55"/>
      <c r="K725" s="55"/>
      <c r="L725" s="55"/>
      <c r="M725" s="55"/>
      <c r="N725" s="55"/>
      <c r="O725" s="55"/>
      <c r="P725" s="55"/>
      <c r="Q725" s="55"/>
      <c r="R725" s="55"/>
      <c r="S725" s="55"/>
      <c r="T725" s="55"/>
      <c r="U725" s="55"/>
      <c r="V725" s="55"/>
      <c r="W725" s="55"/>
      <c r="X725" s="55"/>
      <c r="Y725" s="55"/>
      <c r="Z725" s="55"/>
    </row>
    <row r="726" spans="1:26" ht="15">
      <c r="A726" s="55"/>
      <c r="B726" s="55"/>
      <c r="C726" s="55"/>
      <c r="D726" s="55"/>
      <c r="E726" s="55"/>
      <c r="F726" s="55"/>
      <c r="G726" s="55"/>
      <c r="H726" s="55"/>
      <c r="I726" s="55"/>
      <c r="J726" s="55"/>
      <c r="K726" s="55"/>
      <c r="L726" s="55"/>
      <c r="M726" s="55"/>
      <c r="N726" s="55"/>
      <c r="O726" s="55"/>
      <c r="P726" s="55"/>
      <c r="Q726" s="55"/>
      <c r="R726" s="55"/>
      <c r="S726" s="55"/>
      <c r="T726" s="55"/>
      <c r="U726" s="55"/>
      <c r="V726" s="55"/>
      <c r="W726" s="55"/>
      <c r="X726" s="55"/>
      <c r="Y726" s="55"/>
      <c r="Z726" s="55"/>
    </row>
    <row r="727" spans="1:26" ht="15">
      <c r="A727" s="55"/>
      <c r="B727" s="55"/>
      <c r="C727" s="55"/>
      <c r="D727" s="55"/>
      <c r="E727" s="55"/>
      <c r="F727" s="55"/>
      <c r="G727" s="55"/>
      <c r="H727" s="55"/>
      <c r="I727" s="55"/>
      <c r="J727" s="55"/>
      <c r="K727" s="55"/>
      <c r="L727" s="55"/>
      <c r="M727" s="55"/>
      <c r="N727" s="55"/>
      <c r="O727" s="55"/>
      <c r="P727" s="55"/>
      <c r="Q727" s="55"/>
      <c r="R727" s="55"/>
      <c r="S727" s="55"/>
      <c r="T727" s="55"/>
      <c r="U727" s="55"/>
      <c r="V727" s="55"/>
      <c r="W727" s="55"/>
      <c r="X727" s="55"/>
      <c r="Y727" s="55"/>
      <c r="Z727" s="55"/>
    </row>
    <row r="728" spans="1:26" ht="15">
      <c r="A728" s="55"/>
      <c r="B728" s="55"/>
      <c r="C728" s="55"/>
      <c r="D728" s="55"/>
      <c r="E728" s="55"/>
      <c r="F728" s="55"/>
      <c r="G728" s="55"/>
      <c r="H728" s="55"/>
      <c r="I728" s="55"/>
      <c r="J728" s="55"/>
      <c r="K728" s="55"/>
      <c r="L728" s="55"/>
      <c r="M728" s="55"/>
      <c r="N728" s="55"/>
      <c r="O728" s="55"/>
      <c r="P728" s="55"/>
      <c r="Q728" s="55"/>
      <c r="R728" s="55"/>
      <c r="S728" s="55"/>
      <c r="T728" s="55"/>
      <c r="U728" s="55"/>
      <c r="V728" s="55"/>
      <c r="W728" s="55"/>
      <c r="X728" s="55"/>
      <c r="Y728" s="55"/>
      <c r="Z728" s="55"/>
    </row>
    <row r="729" spans="1:26" ht="15">
      <c r="A729" s="55"/>
      <c r="B729" s="55"/>
      <c r="C729" s="55"/>
      <c r="D729" s="55"/>
      <c r="E729" s="55"/>
      <c r="F729" s="55"/>
      <c r="G729" s="55"/>
      <c r="H729" s="55"/>
      <c r="I729" s="55"/>
      <c r="J729" s="55"/>
      <c r="K729" s="55"/>
      <c r="L729" s="55"/>
      <c r="M729" s="55"/>
      <c r="N729" s="55"/>
      <c r="O729" s="55"/>
      <c r="P729" s="55"/>
      <c r="Q729" s="55"/>
      <c r="R729" s="55"/>
      <c r="S729" s="55"/>
      <c r="T729" s="55"/>
      <c r="U729" s="55"/>
      <c r="V729" s="55"/>
      <c r="W729" s="55"/>
      <c r="X729" s="55"/>
      <c r="Y729" s="55"/>
      <c r="Z729" s="55"/>
    </row>
    <row r="730" spans="1:26" ht="15">
      <c r="A730" s="55"/>
      <c r="B730" s="55"/>
      <c r="C730" s="55"/>
      <c r="D730" s="55"/>
      <c r="E730" s="55"/>
      <c r="F730" s="55"/>
      <c r="G730" s="55"/>
      <c r="H730" s="55"/>
      <c r="I730" s="55"/>
      <c r="J730" s="55"/>
      <c r="K730" s="55"/>
      <c r="L730" s="55"/>
      <c r="M730" s="55"/>
      <c r="N730" s="55"/>
      <c r="O730" s="55"/>
      <c r="P730" s="55"/>
      <c r="Q730" s="55"/>
      <c r="R730" s="55"/>
      <c r="S730" s="55"/>
      <c r="T730" s="55"/>
      <c r="U730" s="55"/>
      <c r="V730" s="55"/>
      <c r="W730" s="55"/>
      <c r="X730" s="55"/>
      <c r="Y730" s="55"/>
      <c r="Z730" s="55"/>
    </row>
    <row r="731" spans="1:26" ht="15">
      <c r="A731" s="55"/>
      <c r="B731" s="55"/>
      <c r="C731" s="55"/>
      <c r="D731" s="55"/>
      <c r="E731" s="55"/>
      <c r="F731" s="55"/>
      <c r="G731" s="55"/>
      <c r="H731" s="55"/>
      <c r="I731" s="55"/>
      <c r="J731" s="55"/>
      <c r="K731" s="55"/>
      <c r="L731" s="55"/>
      <c r="M731" s="55"/>
      <c r="N731" s="55"/>
      <c r="O731" s="55"/>
      <c r="P731" s="55"/>
      <c r="Q731" s="55"/>
      <c r="R731" s="55"/>
      <c r="S731" s="55"/>
      <c r="T731" s="55"/>
      <c r="U731" s="55"/>
      <c r="V731" s="55"/>
      <c r="W731" s="55"/>
      <c r="X731" s="55"/>
      <c r="Y731" s="55"/>
      <c r="Z731" s="55"/>
    </row>
    <row r="732" spans="1:26" ht="15">
      <c r="A732" s="55"/>
      <c r="B732" s="55"/>
      <c r="C732" s="55"/>
      <c r="D732" s="55"/>
      <c r="E732" s="55"/>
      <c r="F732" s="55"/>
      <c r="G732" s="55"/>
      <c r="H732" s="55"/>
      <c r="I732" s="55"/>
      <c r="J732" s="55"/>
      <c r="K732" s="55"/>
      <c r="L732" s="55"/>
      <c r="M732" s="55"/>
      <c r="N732" s="55"/>
      <c r="O732" s="55"/>
      <c r="P732" s="55"/>
      <c r="Q732" s="55"/>
      <c r="R732" s="55"/>
      <c r="S732" s="55"/>
      <c r="T732" s="55"/>
      <c r="U732" s="55"/>
      <c r="V732" s="55"/>
      <c r="W732" s="55"/>
      <c r="X732" s="55"/>
      <c r="Y732" s="55"/>
      <c r="Z732" s="55"/>
    </row>
    <row r="733" spans="1:26" ht="15">
      <c r="A733" s="55"/>
      <c r="B733" s="55"/>
      <c r="C733" s="55"/>
      <c r="D733" s="55"/>
      <c r="E733" s="55"/>
      <c r="F733" s="55"/>
      <c r="G733" s="55"/>
      <c r="H733" s="55"/>
      <c r="I733" s="55"/>
      <c r="J733" s="55"/>
      <c r="K733" s="55"/>
      <c r="L733" s="55"/>
      <c r="M733" s="55"/>
      <c r="N733" s="55"/>
      <c r="O733" s="55"/>
      <c r="P733" s="55"/>
      <c r="Q733" s="55"/>
      <c r="R733" s="55"/>
      <c r="S733" s="55"/>
      <c r="T733" s="55"/>
      <c r="U733" s="55"/>
      <c r="V733" s="55"/>
      <c r="W733" s="55"/>
      <c r="X733" s="55"/>
      <c r="Y733" s="55"/>
      <c r="Z733" s="55"/>
    </row>
    <row r="734" spans="1:26" ht="15">
      <c r="A734" s="55"/>
      <c r="B734" s="55"/>
      <c r="C734" s="55"/>
      <c r="D734" s="55"/>
      <c r="E734" s="55"/>
      <c r="F734" s="55"/>
      <c r="G734" s="55"/>
      <c r="H734" s="55"/>
      <c r="I734" s="55"/>
      <c r="J734" s="55"/>
      <c r="K734" s="55"/>
      <c r="L734" s="55"/>
      <c r="M734" s="55"/>
      <c r="N734" s="55"/>
      <c r="O734" s="55"/>
      <c r="P734" s="55"/>
      <c r="Q734" s="55"/>
      <c r="R734" s="55"/>
      <c r="S734" s="55"/>
      <c r="T734" s="55"/>
      <c r="U734" s="55"/>
      <c r="V734" s="55"/>
      <c r="W734" s="55"/>
      <c r="X734" s="55"/>
      <c r="Y734" s="55"/>
      <c r="Z734" s="55"/>
    </row>
    <row r="735" spans="1:26" ht="15">
      <c r="A735" s="55"/>
      <c r="B735" s="55"/>
      <c r="C735" s="55"/>
      <c r="D735" s="55"/>
      <c r="E735" s="55"/>
      <c r="F735" s="55"/>
      <c r="G735" s="55"/>
      <c r="H735" s="55"/>
      <c r="I735" s="55"/>
      <c r="J735" s="55"/>
      <c r="K735" s="55"/>
      <c r="L735" s="55"/>
      <c r="M735" s="55"/>
      <c r="N735" s="55"/>
      <c r="O735" s="55"/>
      <c r="P735" s="55"/>
      <c r="Q735" s="55"/>
      <c r="R735" s="55"/>
      <c r="S735" s="55"/>
      <c r="T735" s="55"/>
      <c r="U735" s="55"/>
      <c r="V735" s="55"/>
      <c r="W735" s="55"/>
      <c r="X735" s="55"/>
      <c r="Y735" s="55"/>
      <c r="Z735" s="55"/>
    </row>
    <row r="736" spans="1:26" ht="15">
      <c r="A736" s="55"/>
      <c r="B736" s="55"/>
      <c r="C736" s="55"/>
      <c r="D736" s="55"/>
      <c r="E736" s="55"/>
      <c r="F736" s="55"/>
      <c r="G736" s="55"/>
      <c r="H736" s="55"/>
      <c r="I736" s="55"/>
      <c r="J736" s="55"/>
      <c r="K736" s="55"/>
      <c r="L736" s="55"/>
      <c r="M736" s="55"/>
      <c r="N736" s="55"/>
      <c r="O736" s="55"/>
      <c r="P736" s="55"/>
      <c r="Q736" s="55"/>
      <c r="R736" s="55"/>
      <c r="S736" s="55"/>
      <c r="T736" s="55"/>
      <c r="U736" s="55"/>
      <c r="V736" s="55"/>
      <c r="W736" s="55"/>
      <c r="X736" s="55"/>
      <c r="Y736" s="55"/>
      <c r="Z736" s="55"/>
    </row>
    <row r="737" spans="1:26" ht="15">
      <c r="A737" s="55"/>
      <c r="B737" s="55"/>
      <c r="C737" s="55"/>
      <c r="D737" s="55"/>
      <c r="E737" s="55"/>
      <c r="F737" s="55"/>
      <c r="G737" s="55"/>
      <c r="H737" s="55"/>
      <c r="I737" s="55"/>
      <c r="J737" s="55"/>
      <c r="K737" s="55"/>
      <c r="L737" s="55"/>
      <c r="M737" s="55"/>
      <c r="N737" s="55"/>
      <c r="O737" s="55"/>
      <c r="P737" s="55"/>
      <c r="Q737" s="55"/>
      <c r="R737" s="55"/>
      <c r="S737" s="55"/>
      <c r="T737" s="55"/>
      <c r="U737" s="55"/>
      <c r="V737" s="55"/>
      <c r="W737" s="55"/>
      <c r="X737" s="55"/>
      <c r="Y737" s="55"/>
      <c r="Z737" s="55"/>
    </row>
    <row r="738" spans="1:26" ht="15">
      <c r="A738" s="55"/>
      <c r="B738" s="55"/>
      <c r="C738" s="55"/>
      <c r="D738" s="55"/>
      <c r="E738" s="55"/>
      <c r="F738" s="55"/>
      <c r="G738" s="55"/>
      <c r="H738" s="55"/>
      <c r="I738" s="55"/>
      <c r="J738" s="55"/>
      <c r="K738" s="55"/>
      <c r="L738" s="55"/>
      <c r="M738" s="55"/>
      <c r="N738" s="55"/>
      <c r="O738" s="55"/>
      <c r="P738" s="55"/>
      <c r="Q738" s="55"/>
      <c r="R738" s="55"/>
      <c r="S738" s="55"/>
      <c r="T738" s="55"/>
      <c r="U738" s="55"/>
      <c r="V738" s="55"/>
      <c r="W738" s="55"/>
      <c r="X738" s="55"/>
      <c r="Y738" s="55"/>
      <c r="Z738" s="55"/>
    </row>
    <row r="739" spans="1:26" ht="15">
      <c r="A739" s="55"/>
      <c r="B739" s="55"/>
      <c r="C739" s="55"/>
      <c r="D739" s="55"/>
      <c r="E739" s="55"/>
      <c r="F739" s="55"/>
      <c r="G739" s="55"/>
      <c r="H739" s="55"/>
      <c r="I739" s="55"/>
      <c r="J739" s="55"/>
      <c r="K739" s="55"/>
      <c r="L739" s="55"/>
      <c r="M739" s="55"/>
      <c r="N739" s="55"/>
      <c r="O739" s="55"/>
      <c r="P739" s="55"/>
      <c r="Q739" s="55"/>
      <c r="R739" s="55"/>
      <c r="S739" s="55"/>
      <c r="T739" s="55"/>
      <c r="U739" s="55"/>
      <c r="V739" s="55"/>
      <c r="W739" s="55"/>
      <c r="X739" s="55"/>
      <c r="Y739" s="55"/>
      <c r="Z739" s="55"/>
    </row>
    <row r="740" spans="1:26" ht="15">
      <c r="A740" s="55"/>
      <c r="B740" s="55"/>
      <c r="C740" s="55"/>
      <c r="D740" s="55"/>
      <c r="E740" s="55"/>
      <c r="F740" s="55"/>
      <c r="G740" s="55"/>
      <c r="H740" s="55"/>
      <c r="I740" s="55"/>
      <c r="J740" s="55"/>
      <c r="K740" s="55"/>
      <c r="L740" s="55"/>
      <c r="M740" s="55"/>
      <c r="N740" s="55"/>
      <c r="O740" s="55"/>
      <c r="P740" s="55"/>
      <c r="Q740" s="55"/>
      <c r="R740" s="55"/>
      <c r="S740" s="55"/>
      <c r="T740" s="55"/>
      <c r="U740" s="55"/>
      <c r="V740" s="55"/>
      <c r="W740" s="55"/>
      <c r="X740" s="55"/>
      <c r="Y740" s="55"/>
      <c r="Z740" s="55"/>
    </row>
    <row r="741" spans="1:26" ht="15">
      <c r="A741" s="55"/>
      <c r="B741" s="55"/>
      <c r="C741" s="55"/>
      <c r="D741" s="55"/>
      <c r="E741" s="55"/>
      <c r="F741" s="55"/>
      <c r="G741" s="55"/>
      <c r="H741" s="55"/>
      <c r="I741" s="55"/>
      <c r="J741" s="55"/>
      <c r="K741" s="55"/>
      <c r="L741" s="55"/>
      <c r="M741" s="55"/>
      <c r="N741" s="55"/>
      <c r="O741" s="55"/>
      <c r="P741" s="55"/>
      <c r="Q741" s="55"/>
      <c r="R741" s="55"/>
      <c r="S741" s="55"/>
      <c r="T741" s="55"/>
      <c r="U741" s="55"/>
      <c r="V741" s="55"/>
      <c r="W741" s="55"/>
      <c r="X741" s="55"/>
      <c r="Y741" s="55"/>
      <c r="Z741" s="55"/>
    </row>
    <row r="742" spans="1:26" ht="15">
      <c r="A742" s="55"/>
      <c r="B742" s="55"/>
      <c r="C742" s="55"/>
      <c r="D742" s="55"/>
      <c r="E742" s="55"/>
      <c r="F742" s="55"/>
      <c r="G742" s="55"/>
      <c r="H742" s="55"/>
      <c r="I742" s="55"/>
      <c r="J742" s="55"/>
      <c r="K742" s="55"/>
      <c r="L742" s="55"/>
      <c r="M742" s="55"/>
      <c r="N742" s="55"/>
      <c r="O742" s="55"/>
      <c r="P742" s="55"/>
      <c r="Q742" s="55"/>
      <c r="R742" s="55"/>
      <c r="S742" s="55"/>
      <c r="T742" s="55"/>
      <c r="U742" s="55"/>
      <c r="V742" s="55"/>
      <c r="W742" s="55"/>
      <c r="X742" s="55"/>
      <c r="Y742" s="55"/>
      <c r="Z742" s="55"/>
    </row>
    <row r="743" spans="1:26" ht="15">
      <c r="A743" s="55"/>
      <c r="B743" s="55"/>
      <c r="C743" s="55"/>
      <c r="D743" s="55"/>
      <c r="E743" s="55"/>
      <c r="F743" s="55"/>
      <c r="G743" s="55"/>
      <c r="H743" s="55"/>
      <c r="I743" s="55"/>
      <c r="J743" s="55"/>
      <c r="K743" s="55"/>
      <c r="L743" s="55"/>
      <c r="M743" s="55"/>
      <c r="N743" s="55"/>
      <c r="O743" s="55"/>
      <c r="P743" s="55"/>
      <c r="Q743" s="55"/>
      <c r="R743" s="55"/>
      <c r="S743" s="55"/>
      <c r="T743" s="55"/>
      <c r="U743" s="55"/>
      <c r="V743" s="55"/>
      <c r="W743" s="55"/>
      <c r="X743" s="55"/>
      <c r="Y743" s="55"/>
      <c r="Z743" s="55"/>
    </row>
    <row r="744" spans="1:26" ht="15">
      <c r="A744" s="55"/>
      <c r="B744" s="55"/>
      <c r="C744" s="55"/>
      <c r="D744" s="55"/>
      <c r="E744" s="55"/>
      <c r="F744" s="55"/>
      <c r="G744" s="55"/>
      <c r="H744" s="55"/>
      <c r="I744" s="55"/>
      <c r="J744" s="55"/>
      <c r="K744" s="55"/>
      <c r="L744" s="55"/>
      <c r="M744" s="55"/>
      <c r="N744" s="55"/>
      <c r="O744" s="55"/>
      <c r="P744" s="55"/>
      <c r="Q744" s="55"/>
      <c r="R744" s="55"/>
      <c r="S744" s="55"/>
      <c r="T744" s="55"/>
      <c r="U744" s="55"/>
      <c r="V744" s="55"/>
      <c r="W744" s="55"/>
      <c r="X744" s="55"/>
      <c r="Y744" s="55"/>
      <c r="Z744" s="55"/>
    </row>
    <row r="745" spans="1:26" ht="15">
      <c r="A745" s="55"/>
      <c r="B745" s="55"/>
      <c r="C745" s="55"/>
      <c r="D745" s="55"/>
      <c r="E745" s="55"/>
      <c r="F745" s="55"/>
      <c r="G745" s="55"/>
      <c r="H745" s="55"/>
      <c r="I745" s="55"/>
      <c r="J745" s="55"/>
      <c r="K745" s="55"/>
      <c r="L745" s="55"/>
      <c r="M745" s="55"/>
      <c r="N745" s="55"/>
      <c r="O745" s="55"/>
      <c r="P745" s="55"/>
      <c r="Q745" s="55"/>
      <c r="R745" s="55"/>
      <c r="S745" s="55"/>
      <c r="T745" s="55"/>
      <c r="U745" s="55"/>
      <c r="V745" s="55"/>
      <c r="W745" s="55"/>
      <c r="X745" s="55"/>
      <c r="Y745" s="55"/>
      <c r="Z745" s="55"/>
    </row>
    <row r="746" spans="1:26" ht="15">
      <c r="A746" s="55"/>
      <c r="B746" s="55"/>
      <c r="C746" s="55"/>
      <c r="D746" s="55"/>
      <c r="E746" s="55"/>
      <c r="F746" s="55"/>
      <c r="G746" s="55"/>
      <c r="H746" s="55"/>
      <c r="I746" s="55"/>
      <c r="J746" s="55"/>
      <c r="K746" s="55"/>
      <c r="L746" s="55"/>
      <c r="M746" s="55"/>
      <c r="N746" s="55"/>
      <c r="O746" s="55"/>
      <c r="P746" s="55"/>
      <c r="Q746" s="55"/>
      <c r="R746" s="55"/>
      <c r="S746" s="55"/>
      <c r="T746" s="55"/>
      <c r="U746" s="55"/>
      <c r="V746" s="55"/>
      <c r="W746" s="55"/>
      <c r="X746" s="55"/>
      <c r="Y746" s="55"/>
      <c r="Z746" s="55"/>
    </row>
    <row r="747" spans="1:26" ht="15">
      <c r="A747" s="55"/>
      <c r="B747" s="55"/>
      <c r="C747" s="55"/>
      <c r="D747" s="55"/>
      <c r="E747" s="55"/>
      <c r="F747" s="55"/>
      <c r="G747" s="55"/>
      <c r="H747" s="55"/>
      <c r="I747" s="55"/>
      <c r="J747" s="55"/>
      <c r="K747" s="55"/>
      <c r="L747" s="55"/>
      <c r="M747" s="55"/>
      <c r="N747" s="55"/>
      <c r="O747" s="55"/>
      <c r="P747" s="55"/>
      <c r="Q747" s="55"/>
      <c r="R747" s="55"/>
      <c r="S747" s="55"/>
      <c r="T747" s="55"/>
      <c r="U747" s="55"/>
      <c r="V747" s="55"/>
      <c r="W747" s="55"/>
      <c r="X747" s="55"/>
      <c r="Y747" s="55"/>
      <c r="Z747" s="55"/>
    </row>
    <row r="748" spans="1:26" ht="15">
      <c r="A748" s="55"/>
      <c r="B748" s="55"/>
      <c r="C748" s="55"/>
      <c r="D748" s="55"/>
      <c r="E748" s="55"/>
      <c r="F748" s="55"/>
      <c r="G748" s="55"/>
      <c r="H748" s="55"/>
      <c r="I748" s="55"/>
      <c r="J748" s="55"/>
      <c r="K748" s="55"/>
      <c r="L748" s="55"/>
      <c r="M748" s="55"/>
      <c r="N748" s="55"/>
      <c r="O748" s="55"/>
      <c r="P748" s="55"/>
      <c r="Q748" s="55"/>
      <c r="R748" s="55"/>
      <c r="S748" s="55"/>
      <c r="T748" s="55"/>
      <c r="U748" s="55"/>
      <c r="V748" s="55"/>
      <c r="W748" s="55"/>
      <c r="X748" s="55"/>
      <c r="Y748" s="55"/>
      <c r="Z748" s="55"/>
    </row>
    <row r="749" spans="1:26" ht="15">
      <c r="A749" s="55"/>
      <c r="B749" s="55"/>
      <c r="C749" s="55"/>
      <c r="D749" s="55"/>
      <c r="E749" s="55"/>
      <c r="F749" s="55"/>
      <c r="G749" s="55"/>
      <c r="H749" s="55"/>
      <c r="I749" s="55"/>
      <c r="J749" s="55"/>
      <c r="K749" s="55"/>
      <c r="L749" s="55"/>
      <c r="M749" s="55"/>
      <c r="N749" s="55"/>
      <c r="O749" s="55"/>
      <c r="P749" s="55"/>
      <c r="Q749" s="55"/>
      <c r="R749" s="55"/>
      <c r="S749" s="55"/>
      <c r="T749" s="55"/>
      <c r="U749" s="55"/>
      <c r="V749" s="55"/>
      <c r="W749" s="55"/>
      <c r="X749" s="55"/>
      <c r="Y749" s="55"/>
      <c r="Z749" s="55"/>
    </row>
    <row r="750" spans="1:26" ht="15">
      <c r="A750" s="55"/>
      <c r="B750" s="55"/>
      <c r="C750" s="55"/>
      <c r="D750" s="55"/>
      <c r="E750" s="55"/>
      <c r="F750" s="55"/>
      <c r="G750" s="55"/>
      <c r="H750" s="55"/>
      <c r="I750" s="55"/>
      <c r="J750" s="55"/>
      <c r="K750" s="55"/>
      <c r="L750" s="55"/>
      <c r="M750" s="55"/>
      <c r="N750" s="55"/>
      <c r="O750" s="55"/>
      <c r="P750" s="55"/>
      <c r="Q750" s="55"/>
      <c r="R750" s="55"/>
      <c r="S750" s="55"/>
      <c r="T750" s="55"/>
      <c r="U750" s="55"/>
      <c r="V750" s="55"/>
      <c r="W750" s="55"/>
      <c r="X750" s="55"/>
      <c r="Y750" s="55"/>
      <c r="Z750" s="55"/>
    </row>
    <row r="751" spans="1:26" ht="15">
      <c r="A751" s="55"/>
      <c r="B751" s="55"/>
      <c r="C751" s="55"/>
      <c r="D751" s="55"/>
      <c r="E751" s="55"/>
      <c r="F751" s="55"/>
      <c r="G751" s="55"/>
      <c r="H751" s="55"/>
      <c r="I751" s="55"/>
      <c r="J751" s="55"/>
      <c r="K751" s="55"/>
      <c r="L751" s="55"/>
      <c r="M751" s="55"/>
      <c r="N751" s="55"/>
      <c r="O751" s="55"/>
      <c r="P751" s="55"/>
      <c r="Q751" s="55"/>
      <c r="R751" s="55"/>
      <c r="S751" s="55"/>
      <c r="T751" s="55"/>
      <c r="U751" s="55"/>
      <c r="V751" s="55"/>
      <c r="W751" s="55"/>
      <c r="X751" s="55"/>
      <c r="Y751" s="55"/>
      <c r="Z751" s="55"/>
    </row>
    <row r="752" spans="1:26" ht="15">
      <c r="A752" s="55"/>
      <c r="B752" s="55"/>
      <c r="C752" s="55"/>
      <c r="D752" s="55"/>
      <c r="E752" s="55"/>
      <c r="F752" s="55"/>
      <c r="G752" s="55"/>
      <c r="H752" s="55"/>
      <c r="I752" s="55"/>
      <c r="J752" s="55"/>
      <c r="K752" s="55"/>
      <c r="L752" s="55"/>
      <c r="M752" s="55"/>
      <c r="N752" s="55"/>
      <c r="O752" s="55"/>
      <c r="P752" s="55"/>
      <c r="Q752" s="55"/>
      <c r="R752" s="55"/>
      <c r="S752" s="55"/>
      <c r="T752" s="55"/>
      <c r="U752" s="55"/>
      <c r="V752" s="55"/>
      <c r="W752" s="55"/>
      <c r="X752" s="55"/>
      <c r="Y752" s="55"/>
      <c r="Z752" s="55"/>
    </row>
    <row r="753" spans="1:26" ht="15">
      <c r="A753" s="55"/>
      <c r="B753" s="55"/>
      <c r="C753" s="55"/>
      <c r="D753" s="55"/>
      <c r="E753" s="55"/>
      <c r="F753" s="55"/>
      <c r="G753" s="55"/>
      <c r="H753" s="55"/>
      <c r="I753" s="55"/>
      <c r="J753" s="55"/>
      <c r="K753" s="55"/>
      <c r="L753" s="55"/>
      <c r="M753" s="55"/>
      <c r="N753" s="55"/>
      <c r="O753" s="55"/>
      <c r="P753" s="55"/>
      <c r="Q753" s="55"/>
      <c r="R753" s="55"/>
      <c r="S753" s="55"/>
      <c r="T753" s="55"/>
      <c r="U753" s="55"/>
      <c r="V753" s="55"/>
      <c r="W753" s="55"/>
      <c r="X753" s="55"/>
      <c r="Y753" s="55"/>
      <c r="Z753" s="55"/>
    </row>
    <row r="754" spans="1:26" ht="15">
      <c r="A754" s="55"/>
      <c r="B754" s="55"/>
      <c r="C754" s="55"/>
      <c r="D754" s="55"/>
      <c r="E754" s="55"/>
      <c r="F754" s="55"/>
      <c r="G754" s="55"/>
      <c r="H754" s="55"/>
      <c r="I754" s="55"/>
      <c r="J754" s="55"/>
      <c r="K754" s="55"/>
      <c r="L754" s="55"/>
      <c r="M754" s="55"/>
      <c r="N754" s="55"/>
      <c r="O754" s="55"/>
      <c r="P754" s="55"/>
      <c r="Q754" s="55"/>
      <c r="R754" s="55"/>
      <c r="S754" s="55"/>
      <c r="T754" s="55"/>
      <c r="U754" s="55"/>
      <c r="V754" s="55"/>
      <c r="W754" s="55"/>
      <c r="X754" s="55"/>
      <c r="Y754" s="55"/>
      <c r="Z754" s="55"/>
    </row>
    <row r="755" spans="1:26" ht="15">
      <c r="A755" s="55"/>
      <c r="B755" s="55"/>
      <c r="C755" s="55"/>
      <c r="D755" s="55"/>
      <c r="E755" s="55"/>
      <c r="F755" s="55"/>
      <c r="G755" s="55"/>
      <c r="H755" s="55"/>
      <c r="I755" s="55"/>
      <c r="J755" s="55"/>
      <c r="K755" s="55"/>
      <c r="L755" s="55"/>
      <c r="M755" s="55"/>
      <c r="N755" s="55"/>
      <c r="O755" s="55"/>
      <c r="P755" s="55"/>
      <c r="Q755" s="55"/>
      <c r="R755" s="55"/>
      <c r="S755" s="55"/>
      <c r="T755" s="55"/>
      <c r="U755" s="55"/>
      <c r="V755" s="55"/>
      <c r="W755" s="55"/>
      <c r="X755" s="55"/>
      <c r="Y755" s="55"/>
      <c r="Z755" s="55"/>
    </row>
    <row r="756" spans="1:26" ht="15">
      <c r="A756" s="55"/>
      <c r="B756" s="55"/>
      <c r="C756" s="55"/>
      <c r="D756" s="55"/>
      <c r="E756" s="55"/>
      <c r="F756" s="55"/>
      <c r="G756" s="55"/>
      <c r="H756" s="55"/>
      <c r="I756" s="55"/>
      <c r="J756" s="55"/>
      <c r="K756" s="55"/>
      <c r="L756" s="55"/>
      <c r="M756" s="55"/>
      <c r="N756" s="55"/>
      <c r="O756" s="55"/>
      <c r="P756" s="55"/>
      <c r="Q756" s="55"/>
      <c r="R756" s="55"/>
      <c r="S756" s="55"/>
      <c r="T756" s="55"/>
      <c r="U756" s="55"/>
      <c r="V756" s="55"/>
      <c r="W756" s="55"/>
      <c r="X756" s="55"/>
      <c r="Y756" s="55"/>
      <c r="Z756" s="55"/>
    </row>
    <row r="757" spans="1:26" ht="15">
      <c r="A757" s="55"/>
      <c r="B757" s="55"/>
      <c r="C757" s="55"/>
      <c r="D757" s="55"/>
      <c r="E757" s="55"/>
      <c r="F757" s="55"/>
      <c r="G757" s="55"/>
      <c r="H757" s="55"/>
      <c r="I757" s="55"/>
      <c r="J757" s="55"/>
      <c r="K757" s="55"/>
      <c r="L757" s="55"/>
      <c r="M757" s="55"/>
      <c r="N757" s="55"/>
      <c r="O757" s="55"/>
      <c r="P757" s="55"/>
      <c r="Q757" s="55"/>
      <c r="R757" s="55"/>
      <c r="S757" s="55"/>
      <c r="T757" s="55"/>
      <c r="U757" s="55"/>
      <c r="V757" s="55"/>
      <c r="W757" s="55"/>
      <c r="X757" s="55"/>
      <c r="Y757" s="55"/>
      <c r="Z757" s="55"/>
    </row>
    <row r="758" spans="1:26" ht="15">
      <c r="A758" s="55"/>
      <c r="B758" s="55"/>
      <c r="C758" s="55"/>
      <c r="D758" s="55"/>
      <c r="E758" s="55"/>
      <c r="F758" s="55"/>
      <c r="G758" s="55"/>
      <c r="H758" s="55"/>
      <c r="I758" s="55"/>
      <c r="J758" s="55"/>
      <c r="K758" s="55"/>
      <c r="L758" s="55"/>
      <c r="M758" s="55"/>
      <c r="N758" s="55"/>
      <c r="O758" s="55"/>
      <c r="P758" s="55"/>
      <c r="Q758" s="55"/>
      <c r="R758" s="55"/>
      <c r="S758" s="55"/>
      <c r="T758" s="55"/>
      <c r="U758" s="55"/>
      <c r="V758" s="55"/>
      <c r="W758" s="55"/>
      <c r="X758" s="55"/>
      <c r="Y758" s="55"/>
      <c r="Z758" s="55"/>
    </row>
    <row r="759" spans="1:26" ht="15">
      <c r="A759" s="55"/>
      <c r="B759" s="55"/>
      <c r="C759" s="55"/>
      <c r="D759" s="55"/>
      <c r="E759" s="55"/>
      <c r="F759" s="55"/>
      <c r="G759" s="55"/>
      <c r="H759" s="55"/>
      <c r="I759" s="55"/>
      <c r="J759" s="55"/>
      <c r="K759" s="55"/>
      <c r="L759" s="55"/>
      <c r="M759" s="55"/>
      <c r="N759" s="55"/>
      <c r="O759" s="55"/>
      <c r="P759" s="55"/>
      <c r="Q759" s="55"/>
      <c r="R759" s="55"/>
      <c r="S759" s="55"/>
      <c r="T759" s="55"/>
      <c r="U759" s="55"/>
      <c r="V759" s="55"/>
      <c r="W759" s="55"/>
      <c r="X759" s="55"/>
      <c r="Y759" s="55"/>
      <c r="Z759" s="55"/>
    </row>
    <row r="760" spans="1:26" ht="15">
      <c r="A760" s="55"/>
      <c r="B760" s="55"/>
      <c r="C760" s="55"/>
      <c r="D760" s="55"/>
      <c r="E760" s="55"/>
      <c r="F760" s="55"/>
      <c r="G760" s="55"/>
      <c r="H760" s="55"/>
      <c r="I760" s="55"/>
      <c r="J760" s="55"/>
      <c r="K760" s="55"/>
      <c r="L760" s="55"/>
      <c r="M760" s="55"/>
      <c r="N760" s="55"/>
      <c r="O760" s="55"/>
      <c r="P760" s="55"/>
      <c r="Q760" s="55"/>
      <c r="R760" s="55"/>
      <c r="S760" s="55"/>
      <c r="T760" s="55"/>
      <c r="U760" s="55"/>
      <c r="V760" s="55"/>
      <c r="W760" s="55"/>
      <c r="X760" s="55"/>
      <c r="Y760" s="55"/>
      <c r="Z760" s="55"/>
    </row>
    <row r="761" spans="1:26" ht="15">
      <c r="A761" s="55"/>
      <c r="B761" s="55"/>
      <c r="C761" s="55"/>
      <c r="D761" s="55"/>
      <c r="E761" s="55"/>
      <c r="F761" s="55"/>
      <c r="G761" s="55"/>
      <c r="H761" s="55"/>
      <c r="I761" s="55"/>
      <c r="J761" s="55"/>
      <c r="K761" s="55"/>
      <c r="L761" s="55"/>
      <c r="M761" s="55"/>
      <c r="N761" s="55"/>
      <c r="O761" s="55"/>
      <c r="P761" s="55"/>
      <c r="Q761" s="55"/>
      <c r="R761" s="55"/>
      <c r="S761" s="55"/>
      <c r="T761" s="55"/>
      <c r="U761" s="55"/>
      <c r="V761" s="55"/>
      <c r="W761" s="55"/>
      <c r="X761" s="55"/>
      <c r="Y761" s="55"/>
      <c r="Z761" s="55"/>
    </row>
    <row r="762" spans="1:26" ht="15">
      <c r="A762" s="55"/>
      <c r="B762" s="55"/>
      <c r="C762" s="55"/>
      <c r="D762" s="55"/>
      <c r="E762" s="55"/>
      <c r="F762" s="55"/>
      <c r="G762" s="55"/>
      <c r="H762" s="55"/>
      <c r="I762" s="55"/>
      <c r="J762" s="55"/>
      <c r="K762" s="55"/>
      <c r="L762" s="55"/>
      <c r="M762" s="55"/>
      <c r="N762" s="55"/>
      <c r="O762" s="55"/>
      <c r="P762" s="55"/>
      <c r="Q762" s="55"/>
      <c r="R762" s="55"/>
      <c r="S762" s="55"/>
      <c r="T762" s="55"/>
      <c r="U762" s="55"/>
      <c r="V762" s="55"/>
      <c r="W762" s="55"/>
      <c r="X762" s="55"/>
      <c r="Y762" s="55"/>
      <c r="Z762" s="55"/>
    </row>
    <row r="763" spans="1:26" ht="15">
      <c r="A763" s="55"/>
      <c r="B763" s="55"/>
      <c r="C763" s="55"/>
      <c r="D763" s="55"/>
      <c r="E763" s="55"/>
      <c r="F763" s="55"/>
      <c r="G763" s="55"/>
      <c r="H763" s="55"/>
      <c r="I763" s="55"/>
      <c r="J763" s="55"/>
      <c r="K763" s="55"/>
      <c r="L763" s="55"/>
      <c r="M763" s="55"/>
      <c r="N763" s="55"/>
      <c r="O763" s="55"/>
      <c r="P763" s="55"/>
      <c r="Q763" s="55"/>
      <c r="R763" s="55"/>
      <c r="S763" s="55"/>
      <c r="T763" s="55"/>
      <c r="U763" s="55"/>
      <c r="V763" s="55"/>
      <c r="W763" s="55"/>
      <c r="X763" s="55"/>
      <c r="Y763" s="55"/>
      <c r="Z763" s="55"/>
    </row>
    <row r="764" spans="1:26" ht="15">
      <c r="A764" s="55"/>
      <c r="B764" s="55"/>
      <c r="C764" s="55"/>
      <c r="D764" s="55"/>
      <c r="E764" s="55"/>
      <c r="F764" s="55"/>
      <c r="G764" s="55"/>
      <c r="H764" s="55"/>
      <c r="I764" s="55"/>
      <c r="J764" s="55"/>
      <c r="K764" s="55"/>
      <c r="L764" s="55"/>
      <c r="M764" s="55"/>
      <c r="N764" s="55"/>
      <c r="O764" s="55"/>
      <c r="P764" s="55"/>
      <c r="Q764" s="55"/>
      <c r="R764" s="55"/>
      <c r="S764" s="55"/>
      <c r="T764" s="55"/>
      <c r="U764" s="55"/>
      <c r="V764" s="55"/>
      <c r="W764" s="55"/>
      <c r="X764" s="55"/>
      <c r="Y764" s="55"/>
      <c r="Z764" s="55"/>
    </row>
    <row r="765" spans="1:26" ht="15">
      <c r="A765" s="55"/>
      <c r="B765" s="55"/>
      <c r="C765" s="55"/>
      <c r="D765" s="55"/>
      <c r="E765" s="55"/>
      <c r="F765" s="55"/>
      <c r="G765" s="55"/>
      <c r="H765" s="55"/>
      <c r="I765" s="55"/>
      <c r="J765" s="55"/>
      <c r="K765" s="55"/>
      <c r="L765" s="55"/>
      <c r="M765" s="55"/>
      <c r="N765" s="55"/>
      <c r="O765" s="55"/>
      <c r="P765" s="55"/>
      <c r="Q765" s="55"/>
      <c r="R765" s="55"/>
      <c r="S765" s="55"/>
      <c r="T765" s="55"/>
      <c r="U765" s="55"/>
      <c r="V765" s="55"/>
      <c r="W765" s="55"/>
      <c r="X765" s="55"/>
      <c r="Y765" s="55"/>
      <c r="Z765" s="55"/>
    </row>
    <row r="766" spans="1:26" ht="15">
      <c r="A766" s="55"/>
      <c r="B766" s="55"/>
      <c r="C766" s="55"/>
      <c r="D766" s="55"/>
      <c r="E766" s="55"/>
      <c r="F766" s="55"/>
      <c r="G766" s="55"/>
      <c r="H766" s="55"/>
      <c r="I766" s="55"/>
      <c r="J766" s="55"/>
      <c r="K766" s="55"/>
      <c r="L766" s="55"/>
      <c r="M766" s="55"/>
      <c r="N766" s="55"/>
      <c r="O766" s="55"/>
      <c r="P766" s="55"/>
      <c r="Q766" s="55"/>
      <c r="R766" s="55"/>
      <c r="S766" s="55"/>
      <c r="T766" s="55"/>
      <c r="U766" s="55"/>
      <c r="V766" s="55"/>
      <c r="W766" s="55"/>
      <c r="X766" s="55"/>
      <c r="Y766" s="55"/>
      <c r="Z766" s="55"/>
    </row>
    <row r="767" spans="1:26" ht="15">
      <c r="A767" s="55"/>
      <c r="B767" s="55"/>
      <c r="C767" s="55"/>
      <c r="D767" s="55"/>
      <c r="E767" s="55"/>
      <c r="F767" s="55"/>
      <c r="G767" s="55"/>
      <c r="H767" s="55"/>
      <c r="I767" s="55"/>
      <c r="J767" s="55"/>
      <c r="K767" s="55"/>
      <c r="L767" s="55"/>
      <c r="M767" s="55"/>
      <c r="N767" s="55"/>
      <c r="O767" s="55"/>
      <c r="P767" s="55"/>
      <c r="Q767" s="55"/>
      <c r="R767" s="55"/>
      <c r="S767" s="55"/>
      <c r="T767" s="55"/>
      <c r="U767" s="55"/>
      <c r="V767" s="55"/>
      <c r="W767" s="55"/>
      <c r="X767" s="55"/>
      <c r="Y767" s="55"/>
      <c r="Z767" s="55"/>
    </row>
    <row r="768" spans="1:26" ht="15">
      <c r="A768" s="55"/>
      <c r="B768" s="55"/>
      <c r="C768" s="55"/>
      <c r="D768" s="55"/>
      <c r="E768" s="55"/>
      <c r="F768" s="55"/>
      <c r="G768" s="55"/>
      <c r="H768" s="55"/>
      <c r="I768" s="55"/>
      <c r="J768" s="55"/>
      <c r="K768" s="55"/>
      <c r="L768" s="55"/>
      <c r="M768" s="55"/>
      <c r="N768" s="55"/>
      <c r="O768" s="55"/>
      <c r="P768" s="55"/>
      <c r="Q768" s="55"/>
      <c r="R768" s="55"/>
      <c r="S768" s="55"/>
      <c r="T768" s="55"/>
      <c r="U768" s="55"/>
      <c r="V768" s="55"/>
      <c r="W768" s="55"/>
      <c r="X768" s="55"/>
      <c r="Y768" s="55"/>
      <c r="Z768" s="55"/>
    </row>
    <row r="769" spans="1:26" ht="15">
      <c r="A769" s="55"/>
      <c r="B769" s="55"/>
      <c r="C769" s="55"/>
      <c r="D769" s="55"/>
      <c r="E769" s="55"/>
      <c r="F769" s="55"/>
      <c r="G769" s="55"/>
      <c r="H769" s="55"/>
      <c r="I769" s="55"/>
      <c r="J769" s="55"/>
      <c r="K769" s="55"/>
      <c r="L769" s="55"/>
      <c r="M769" s="55"/>
      <c r="N769" s="55"/>
      <c r="O769" s="55"/>
      <c r="P769" s="55"/>
      <c r="Q769" s="55"/>
      <c r="R769" s="55"/>
      <c r="S769" s="55"/>
      <c r="T769" s="55"/>
      <c r="U769" s="55"/>
      <c r="V769" s="55"/>
      <c r="W769" s="55"/>
      <c r="X769" s="55"/>
      <c r="Y769" s="55"/>
      <c r="Z769" s="55"/>
    </row>
    <row r="770" spans="1:26" ht="15">
      <c r="A770" s="55"/>
      <c r="B770" s="55"/>
      <c r="C770" s="55"/>
      <c r="D770" s="55"/>
      <c r="E770" s="55"/>
      <c r="F770" s="55"/>
      <c r="G770" s="55"/>
      <c r="H770" s="55"/>
      <c r="I770" s="55"/>
      <c r="J770" s="55"/>
      <c r="K770" s="55"/>
      <c r="L770" s="55"/>
      <c r="M770" s="55"/>
      <c r="N770" s="55"/>
      <c r="O770" s="55"/>
      <c r="P770" s="55"/>
      <c r="Q770" s="55"/>
      <c r="R770" s="55"/>
      <c r="S770" s="55"/>
      <c r="T770" s="55"/>
      <c r="U770" s="55"/>
      <c r="V770" s="55"/>
      <c r="W770" s="55"/>
      <c r="X770" s="55"/>
      <c r="Y770" s="55"/>
      <c r="Z770" s="55"/>
    </row>
    <row r="771" spans="1:26" ht="15">
      <c r="A771" s="55"/>
      <c r="B771" s="55"/>
      <c r="C771" s="55"/>
      <c r="D771" s="55"/>
      <c r="E771" s="55"/>
      <c r="F771" s="55"/>
      <c r="G771" s="55"/>
      <c r="H771" s="55"/>
      <c r="I771" s="55"/>
      <c r="J771" s="55"/>
      <c r="K771" s="55"/>
      <c r="L771" s="55"/>
      <c r="M771" s="55"/>
      <c r="N771" s="55"/>
      <c r="O771" s="55"/>
      <c r="P771" s="55"/>
      <c r="Q771" s="55"/>
      <c r="R771" s="55"/>
      <c r="S771" s="55"/>
      <c r="T771" s="55"/>
      <c r="U771" s="55"/>
      <c r="V771" s="55"/>
      <c r="W771" s="55"/>
      <c r="X771" s="55"/>
      <c r="Y771" s="55"/>
      <c r="Z771" s="55"/>
    </row>
    <row r="772" spans="1:26" ht="15">
      <c r="A772" s="55"/>
      <c r="B772" s="55"/>
      <c r="C772" s="55"/>
      <c r="D772" s="55"/>
      <c r="E772" s="55"/>
      <c r="F772" s="55"/>
      <c r="G772" s="55"/>
      <c r="H772" s="55"/>
      <c r="I772" s="55"/>
      <c r="J772" s="55"/>
      <c r="K772" s="55"/>
      <c r="L772" s="55"/>
      <c r="M772" s="55"/>
      <c r="N772" s="55"/>
      <c r="O772" s="55"/>
      <c r="P772" s="55"/>
      <c r="Q772" s="55"/>
      <c r="R772" s="55"/>
      <c r="S772" s="55"/>
      <c r="T772" s="55"/>
      <c r="U772" s="55"/>
      <c r="V772" s="55"/>
      <c r="W772" s="55"/>
      <c r="X772" s="55"/>
      <c r="Y772" s="55"/>
      <c r="Z772" s="55"/>
    </row>
    <row r="773" spans="1:26" ht="15">
      <c r="A773" s="55"/>
      <c r="B773" s="55"/>
      <c r="C773" s="55"/>
      <c r="D773" s="55"/>
      <c r="E773" s="55"/>
      <c r="F773" s="55"/>
      <c r="G773" s="55"/>
      <c r="H773" s="55"/>
      <c r="I773" s="55"/>
      <c r="J773" s="55"/>
      <c r="K773" s="55"/>
      <c r="L773" s="55"/>
      <c r="M773" s="55"/>
      <c r="N773" s="55"/>
      <c r="O773" s="55"/>
      <c r="P773" s="55"/>
      <c r="Q773" s="55"/>
      <c r="R773" s="55"/>
      <c r="S773" s="55"/>
      <c r="T773" s="55"/>
      <c r="U773" s="55"/>
      <c r="V773" s="55"/>
      <c r="W773" s="55"/>
      <c r="X773" s="55"/>
      <c r="Y773" s="55"/>
      <c r="Z773" s="55"/>
    </row>
    <row r="774" spans="1:26" ht="15">
      <c r="A774" s="55"/>
      <c r="B774" s="55"/>
      <c r="C774" s="55"/>
      <c r="D774" s="55"/>
      <c r="E774" s="55"/>
      <c r="F774" s="55"/>
      <c r="G774" s="55"/>
      <c r="H774" s="55"/>
      <c r="I774" s="55"/>
      <c r="J774" s="55"/>
      <c r="K774" s="55"/>
      <c r="L774" s="55"/>
      <c r="M774" s="55"/>
      <c r="N774" s="55"/>
      <c r="O774" s="55"/>
      <c r="P774" s="55"/>
      <c r="Q774" s="55"/>
      <c r="R774" s="55"/>
      <c r="S774" s="55"/>
      <c r="T774" s="55"/>
      <c r="U774" s="55"/>
      <c r="V774" s="55"/>
      <c r="W774" s="55"/>
      <c r="X774" s="55"/>
      <c r="Y774" s="55"/>
      <c r="Z774" s="55"/>
    </row>
    <row r="775" spans="1:26" ht="15">
      <c r="A775" s="55"/>
      <c r="B775" s="55"/>
      <c r="C775" s="55"/>
      <c r="D775" s="55"/>
      <c r="E775" s="55"/>
      <c r="F775" s="55"/>
      <c r="G775" s="55"/>
      <c r="H775" s="55"/>
      <c r="I775" s="55"/>
      <c r="J775" s="55"/>
      <c r="K775" s="55"/>
      <c r="L775" s="55"/>
      <c r="M775" s="55"/>
      <c r="N775" s="55"/>
      <c r="O775" s="55"/>
      <c r="P775" s="55"/>
      <c r="Q775" s="55"/>
      <c r="R775" s="55"/>
      <c r="S775" s="55"/>
      <c r="T775" s="55"/>
      <c r="U775" s="55"/>
      <c r="V775" s="55"/>
      <c r="W775" s="55"/>
      <c r="X775" s="55"/>
      <c r="Y775" s="55"/>
      <c r="Z775" s="55"/>
    </row>
    <row r="776" spans="1:26" ht="15">
      <c r="A776" s="55"/>
      <c r="B776" s="55"/>
      <c r="C776" s="55"/>
      <c r="D776" s="55"/>
      <c r="E776" s="55"/>
      <c r="F776" s="55"/>
      <c r="G776" s="55"/>
      <c r="H776" s="55"/>
      <c r="I776" s="55"/>
      <c r="J776" s="55"/>
      <c r="K776" s="55"/>
      <c r="L776" s="55"/>
      <c r="M776" s="55"/>
      <c r="N776" s="55"/>
      <c r="O776" s="55"/>
      <c r="P776" s="55"/>
      <c r="Q776" s="55"/>
      <c r="R776" s="55"/>
      <c r="S776" s="55"/>
      <c r="T776" s="55"/>
      <c r="U776" s="55"/>
      <c r="V776" s="55"/>
      <c r="W776" s="55"/>
      <c r="X776" s="55"/>
      <c r="Y776" s="55"/>
      <c r="Z776" s="55"/>
    </row>
    <row r="777" spans="1:26" ht="15">
      <c r="A777" s="55"/>
      <c r="B777" s="55"/>
      <c r="C777" s="55"/>
      <c r="D777" s="55"/>
      <c r="E777" s="55"/>
      <c r="F777" s="55"/>
      <c r="G777" s="55"/>
      <c r="H777" s="55"/>
      <c r="I777" s="55"/>
      <c r="J777" s="55"/>
      <c r="K777" s="55"/>
      <c r="L777" s="55"/>
      <c r="M777" s="55"/>
      <c r="N777" s="55"/>
      <c r="O777" s="55"/>
      <c r="P777" s="55"/>
      <c r="Q777" s="55"/>
      <c r="R777" s="55"/>
      <c r="S777" s="55"/>
      <c r="T777" s="55"/>
      <c r="U777" s="55"/>
      <c r="V777" s="55"/>
      <c r="W777" s="55"/>
      <c r="X777" s="55"/>
      <c r="Y777" s="55"/>
      <c r="Z777" s="55"/>
    </row>
    <row r="778" spans="1:26" ht="15">
      <c r="A778" s="55"/>
      <c r="B778" s="55"/>
      <c r="C778" s="55"/>
      <c r="D778" s="55"/>
      <c r="E778" s="55"/>
      <c r="F778" s="55"/>
      <c r="G778" s="55"/>
      <c r="H778" s="55"/>
      <c r="I778" s="55"/>
      <c r="J778" s="55"/>
      <c r="K778" s="55"/>
      <c r="L778" s="55"/>
      <c r="M778" s="55"/>
      <c r="N778" s="55"/>
      <c r="O778" s="55"/>
      <c r="P778" s="55"/>
      <c r="Q778" s="55"/>
      <c r="R778" s="55"/>
      <c r="S778" s="55"/>
      <c r="T778" s="55"/>
      <c r="U778" s="55"/>
      <c r="V778" s="55"/>
      <c r="W778" s="55"/>
      <c r="X778" s="55"/>
      <c r="Y778" s="55"/>
      <c r="Z778" s="55"/>
    </row>
    <row r="779" spans="1:26" ht="15">
      <c r="A779" s="55"/>
      <c r="B779" s="55"/>
      <c r="C779" s="55"/>
      <c r="D779" s="55"/>
      <c r="E779" s="55"/>
      <c r="F779" s="55"/>
      <c r="G779" s="55"/>
      <c r="H779" s="55"/>
      <c r="I779" s="55"/>
      <c r="J779" s="55"/>
      <c r="K779" s="55"/>
      <c r="L779" s="55"/>
      <c r="M779" s="55"/>
      <c r="N779" s="55"/>
      <c r="O779" s="55"/>
      <c r="P779" s="55"/>
      <c r="Q779" s="55"/>
      <c r="R779" s="55"/>
      <c r="S779" s="55"/>
      <c r="T779" s="55"/>
      <c r="U779" s="55"/>
      <c r="V779" s="55"/>
      <c r="W779" s="55"/>
      <c r="X779" s="55"/>
      <c r="Y779" s="55"/>
      <c r="Z779" s="55"/>
    </row>
    <row r="780" spans="1:26" ht="15">
      <c r="A780" s="55"/>
      <c r="B780" s="55"/>
      <c r="C780" s="55"/>
      <c r="D780" s="55"/>
      <c r="E780" s="55"/>
      <c r="F780" s="55"/>
      <c r="G780" s="55"/>
      <c r="H780" s="55"/>
      <c r="I780" s="55"/>
      <c r="J780" s="55"/>
      <c r="K780" s="55"/>
      <c r="L780" s="55"/>
      <c r="M780" s="55"/>
      <c r="N780" s="55"/>
      <c r="O780" s="55"/>
      <c r="P780" s="55"/>
      <c r="Q780" s="55"/>
      <c r="R780" s="55"/>
      <c r="S780" s="55"/>
      <c r="T780" s="55"/>
      <c r="U780" s="55"/>
      <c r="V780" s="55"/>
      <c r="W780" s="55"/>
      <c r="X780" s="55"/>
      <c r="Y780" s="55"/>
      <c r="Z780" s="55"/>
    </row>
    <row r="781" spans="1:26" ht="15">
      <c r="A781" s="55"/>
      <c r="B781" s="55"/>
      <c r="C781" s="55"/>
      <c r="D781" s="55"/>
      <c r="E781" s="55"/>
      <c r="F781" s="55"/>
      <c r="G781" s="55"/>
      <c r="H781" s="55"/>
      <c r="I781" s="55"/>
      <c r="J781" s="55"/>
      <c r="K781" s="55"/>
      <c r="L781" s="55"/>
      <c r="M781" s="55"/>
      <c r="N781" s="55"/>
      <c r="O781" s="55"/>
      <c r="P781" s="55"/>
      <c r="Q781" s="55"/>
      <c r="R781" s="55"/>
      <c r="S781" s="55"/>
      <c r="T781" s="55"/>
      <c r="U781" s="55"/>
      <c r="V781" s="55"/>
      <c r="W781" s="55"/>
      <c r="X781" s="55"/>
      <c r="Y781" s="55"/>
      <c r="Z781" s="55"/>
    </row>
    <row r="782" spans="1:26" ht="15">
      <c r="A782" s="55"/>
      <c r="B782" s="55"/>
      <c r="C782" s="55"/>
      <c r="D782" s="55"/>
      <c r="E782" s="55"/>
      <c r="F782" s="55"/>
      <c r="G782" s="55"/>
      <c r="H782" s="55"/>
      <c r="I782" s="55"/>
      <c r="J782" s="55"/>
      <c r="K782" s="55"/>
      <c r="L782" s="55"/>
      <c r="M782" s="55"/>
      <c r="N782" s="55"/>
      <c r="O782" s="55"/>
      <c r="P782" s="55"/>
      <c r="Q782" s="55"/>
      <c r="R782" s="55"/>
      <c r="S782" s="55"/>
      <c r="T782" s="55"/>
      <c r="U782" s="55"/>
      <c r="V782" s="55"/>
      <c r="W782" s="55"/>
      <c r="X782" s="55"/>
      <c r="Y782" s="55"/>
      <c r="Z782" s="55"/>
    </row>
    <row r="783" spans="1:26" ht="15">
      <c r="A783" s="55"/>
      <c r="B783" s="55"/>
      <c r="C783" s="55"/>
      <c r="D783" s="55"/>
      <c r="E783" s="55"/>
      <c r="F783" s="55"/>
      <c r="G783" s="55"/>
      <c r="H783" s="55"/>
      <c r="I783" s="55"/>
      <c r="J783" s="55"/>
      <c r="K783" s="55"/>
      <c r="L783" s="55"/>
      <c r="M783" s="55"/>
      <c r="N783" s="55"/>
      <c r="O783" s="55"/>
      <c r="P783" s="55"/>
      <c r="Q783" s="55"/>
      <c r="R783" s="55"/>
      <c r="S783" s="55"/>
      <c r="T783" s="55"/>
      <c r="U783" s="55"/>
      <c r="V783" s="55"/>
      <c r="W783" s="55"/>
      <c r="X783" s="55"/>
      <c r="Y783" s="55"/>
      <c r="Z783" s="55"/>
    </row>
    <row r="784" spans="1:26" ht="15">
      <c r="A784" s="55"/>
      <c r="B784" s="55"/>
      <c r="C784" s="55"/>
      <c r="D784" s="55"/>
      <c r="E784" s="55"/>
      <c r="F784" s="55"/>
      <c r="G784" s="55"/>
      <c r="H784" s="55"/>
      <c r="I784" s="55"/>
      <c r="J784" s="55"/>
      <c r="K784" s="55"/>
      <c r="L784" s="55"/>
      <c r="M784" s="55"/>
      <c r="N784" s="55"/>
      <c r="O784" s="55"/>
      <c r="P784" s="55"/>
      <c r="Q784" s="55"/>
      <c r="R784" s="55"/>
      <c r="S784" s="55"/>
      <c r="T784" s="55"/>
      <c r="U784" s="55"/>
      <c r="V784" s="55"/>
      <c r="W784" s="55"/>
      <c r="X784" s="55"/>
      <c r="Y784" s="55"/>
      <c r="Z784" s="55"/>
    </row>
    <row r="785" spans="1:26" ht="15">
      <c r="A785" s="55"/>
      <c r="B785" s="55"/>
      <c r="C785" s="55"/>
      <c r="D785" s="55"/>
      <c r="E785" s="55"/>
      <c r="F785" s="55"/>
      <c r="G785" s="55"/>
      <c r="H785" s="55"/>
      <c r="I785" s="55"/>
      <c r="J785" s="55"/>
      <c r="K785" s="55"/>
      <c r="L785" s="55"/>
      <c r="M785" s="55"/>
      <c r="N785" s="55"/>
      <c r="O785" s="55"/>
      <c r="P785" s="55"/>
      <c r="Q785" s="55"/>
      <c r="R785" s="55"/>
      <c r="S785" s="55"/>
      <c r="T785" s="55"/>
      <c r="U785" s="55"/>
      <c r="V785" s="55"/>
      <c r="W785" s="55"/>
      <c r="X785" s="55"/>
      <c r="Y785" s="55"/>
      <c r="Z785" s="55"/>
    </row>
    <row r="786" spans="1:26" ht="15">
      <c r="A786" s="55"/>
      <c r="B786" s="55"/>
      <c r="C786" s="55"/>
      <c r="D786" s="55"/>
      <c r="E786" s="55"/>
      <c r="F786" s="55"/>
      <c r="G786" s="55"/>
      <c r="H786" s="55"/>
      <c r="I786" s="55"/>
      <c r="J786" s="55"/>
      <c r="K786" s="55"/>
      <c r="L786" s="55"/>
      <c r="M786" s="55"/>
      <c r="N786" s="55"/>
      <c r="O786" s="55"/>
      <c r="P786" s="55"/>
      <c r="Q786" s="55"/>
      <c r="R786" s="55"/>
      <c r="S786" s="55"/>
      <c r="T786" s="55"/>
      <c r="U786" s="55"/>
      <c r="V786" s="55"/>
      <c r="W786" s="55"/>
      <c r="X786" s="55"/>
      <c r="Y786" s="55"/>
      <c r="Z786" s="55"/>
    </row>
    <row r="787" spans="1:26" ht="15">
      <c r="A787" s="55"/>
      <c r="B787" s="55"/>
      <c r="C787" s="55"/>
      <c r="D787" s="55"/>
      <c r="E787" s="55"/>
      <c r="F787" s="55"/>
      <c r="G787" s="55"/>
      <c r="H787" s="55"/>
      <c r="I787" s="55"/>
      <c r="J787" s="55"/>
      <c r="K787" s="55"/>
      <c r="L787" s="55"/>
      <c r="M787" s="55"/>
      <c r="N787" s="55"/>
      <c r="O787" s="55"/>
      <c r="P787" s="55"/>
      <c r="Q787" s="55"/>
      <c r="R787" s="55"/>
      <c r="S787" s="55"/>
      <c r="T787" s="55"/>
      <c r="U787" s="55"/>
      <c r="V787" s="55"/>
      <c r="W787" s="55"/>
      <c r="X787" s="55"/>
      <c r="Y787" s="55"/>
      <c r="Z787" s="55"/>
    </row>
    <row r="788" spans="1:26" ht="15">
      <c r="A788" s="55"/>
      <c r="B788" s="55"/>
      <c r="C788" s="55"/>
      <c r="D788" s="55"/>
      <c r="E788" s="55"/>
      <c r="F788" s="55"/>
      <c r="G788" s="55"/>
      <c r="H788" s="55"/>
      <c r="I788" s="55"/>
      <c r="J788" s="55"/>
      <c r="K788" s="55"/>
      <c r="L788" s="55"/>
      <c r="M788" s="55"/>
      <c r="N788" s="55"/>
      <c r="O788" s="55"/>
      <c r="P788" s="55"/>
      <c r="Q788" s="55"/>
      <c r="R788" s="55"/>
      <c r="S788" s="55"/>
      <c r="T788" s="55"/>
      <c r="U788" s="55"/>
      <c r="V788" s="55"/>
      <c r="W788" s="55"/>
      <c r="X788" s="55"/>
      <c r="Y788" s="55"/>
      <c r="Z788" s="55"/>
    </row>
    <row r="789" spans="1:26" ht="15">
      <c r="A789" s="55"/>
      <c r="B789" s="55"/>
      <c r="C789" s="55"/>
      <c r="D789" s="55"/>
      <c r="E789" s="55"/>
      <c r="F789" s="55"/>
      <c r="G789" s="55"/>
      <c r="H789" s="55"/>
      <c r="I789" s="55"/>
      <c r="J789" s="55"/>
      <c r="K789" s="55"/>
      <c r="L789" s="55"/>
      <c r="M789" s="55"/>
      <c r="N789" s="55"/>
      <c r="O789" s="55"/>
      <c r="P789" s="55"/>
      <c r="Q789" s="55"/>
      <c r="R789" s="55"/>
      <c r="S789" s="55"/>
      <c r="T789" s="55"/>
      <c r="U789" s="55"/>
      <c r="V789" s="55"/>
      <c r="W789" s="55"/>
      <c r="X789" s="55"/>
      <c r="Y789" s="55"/>
      <c r="Z789" s="55"/>
    </row>
    <row r="790" spans="1:26" ht="15">
      <c r="A790" s="55"/>
      <c r="B790" s="55"/>
      <c r="C790" s="55"/>
      <c r="D790" s="55"/>
      <c r="E790" s="55"/>
      <c r="F790" s="55"/>
      <c r="G790" s="55"/>
      <c r="H790" s="55"/>
      <c r="I790" s="55"/>
      <c r="J790" s="55"/>
      <c r="K790" s="55"/>
      <c r="L790" s="55"/>
      <c r="M790" s="55"/>
      <c r="N790" s="55"/>
      <c r="O790" s="55"/>
      <c r="P790" s="55"/>
      <c r="Q790" s="55"/>
      <c r="R790" s="55"/>
      <c r="S790" s="55"/>
      <c r="T790" s="55"/>
      <c r="U790" s="55"/>
      <c r="V790" s="55"/>
      <c r="W790" s="55"/>
      <c r="X790" s="55"/>
      <c r="Y790" s="55"/>
      <c r="Z790" s="55"/>
    </row>
    <row r="791" spans="1:26" ht="15">
      <c r="A791" s="55"/>
      <c r="B791" s="55"/>
      <c r="C791" s="55"/>
      <c r="D791" s="55"/>
      <c r="E791" s="55"/>
      <c r="F791" s="55"/>
      <c r="G791" s="55"/>
      <c r="H791" s="55"/>
      <c r="I791" s="55"/>
      <c r="J791" s="55"/>
      <c r="K791" s="55"/>
      <c r="L791" s="55"/>
      <c r="M791" s="55"/>
      <c r="N791" s="55"/>
      <c r="O791" s="55"/>
      <c r="P791" s="55"/>
      <c r="Q791" s="55"/>
      <c r="R791" s="55"/>
      <c r="S791" s="55"/>
      <c r="T791" s="55"/>
      <c r="U791" s="55"/>
      <c r="V791" s="55"/>
      <c r="W791" s="55"/>
      <c r="X791" s="55"/>
      <c r="Y791" s="55"/>
      <c r="Z791" s="55"/>
    </row>
    <row r="792" spans="1:26" ht="15">
      <c r="A792" s="55"/>
      <c r="B792" s="55"/>
      <c r="C792" s="55"/>
      <c r="D792" s="55"/>
      <c r="E792" s="55"/>
      <c r="F792" s="55"/>
      <c r="G792" s="55"/>
      <c r="H792" s="55"/>
      <c r="I792" s="55"/>
      <c r="J792" s="55"/>
      <c r="K792" s="55"/>
      <c r="L792" s="55"/>
      <c r="M792" s="55"/>
      <c r="N792" s="55"/>
      <c r="O792" s="55"/>
      <c r="P792" s="55"/>
      <c r="Q792" s="55"/>
      <c r="R792" s="55"/>
      <c r="S792" s="55"/>
      <c r="T792" s="55"/>
      <c r="U792" s="55"/>
      <c r="V792" s="55"/>
      <c r="W792" s="55"/>
      <c r="X792" s="55"/>
      <c r="Y792" s="55"/>
      <c r="Z792" s="55"/>
    </row>
    <row r="793" spans="1:26" ht="15">
      <c r="A793" s="55"/>
      <c r="B793" s="55"/>
      <c r="C793" s="55"/>
      <c r="D793" s="55"/>
      <c r="E793" s="55"/>
      <c r="F793" s="55"/>
      <c r="G793" s="55"/>
      <c r="H793" s="55"/>
      <c r="I793" s="55"/>
      <c r="J793" s="55"/>
      <c r="K793" s="55"/>
      <c r="L793" s="55"/>
      <c r="M793" s="55"/>
      <c r="N793" s="55"/>
      <c r="O793" s="55"/>
      <c r="P793" s="55"/>
      <c r="Q793" s="55"/>
      <c r="R793" s="55"/>
      <c r="S793" s="55"/>
      <c r="T793" s="55"/>
      <c r="U793" s="55"/>
      <c r="V793" s="55"/>
      <c r="W793" s="55"/>
      <c r="X793" s="55"/>
      <c r="Y793" s="55"/>
      <c r="Z793" s="55"/>
    </row>
    <row r="794" spans="1:26" ht="15">
      <c r="A794" s="55"/>
      <c r="B794" s="55"/>
      <c r="C794" s="55"/>
      <c r="D794" s="55"/>
      <c r="E794" s="55"/>
      <c r="F794" s="55"/>
      <c r="G794" s="55"/>
      <c r="H794" s="55"/>
      <c r="I794" s="55"/>
      <c r="J794" s="55"/>
      <c r="K794" s="55"/>
      <c r="L794" s="55"/>
      <c r="M794" s="55"/>
      <c r="N794" s="55"/>
      <c r="O794" s="55"/>
      <c r="P794" s="55"/>
      <c r="Q794" s="55"/>
      <c r="R794" s="55"/>
      <c r="S794" s="55"/>
      <c r="T794" s="55"/>
      <c r="U794" s="55"/>
      <c r="V794" s="55"/>
      <c r="W794" s="55"/>
      <c r="X794" s="55"/>
      <c r="Y794" s="55"/>
      <c r="Z794" s="55"/>
    </row>
    <row r="795" spans="1:26" ht="15">
      <c r="A795" s="55"/>
      <c r="B795" s="55"/>
      <c r="C795" s="55"/>
      <c r="D795" s="55"/>
      <c r="E795" s="55"/>
      <c r="F795" s="55"/>
      <c r="G795" s="55"/>
      <c r="H795" s="55"/>
      <c r="I795" s="55"/>
      <c r="J795" s="55"/>
      <c r="K795" s="55"/>
      <c r="L795" s="55"/>
      <c r="M795" s="55"/>
      <c r="N795" s="55"/>
      <c r="O795" s="55"/>
      <c r="P795" s="55"/>
      <c r="Q795" s="55"/>
      <c r="R795" s="55"/>
      <c r="S795" s="55"/>
      <c r="T795" s="55"/>
      <c r="U795" s="55"/>
      <c r="V795" s="55"/>
      <c r="W795" s="55"/>
      <c r="X795" s="55"/>
      <c r="Y795" s="55"/>
      <c r="Z795" s="55"/>
    </row>
    <row r="796" spans="1:26" ht="15">
      <c r="A796" s="55"/>
      <c r="B796" s="55"/>
      <c r="C796" s="55"/>
      <c r="D796" s="55"/>
      <c r="E796" s="55"/>
      <c r="F796" s="55"/>
      <c r="G796" s="55"/>
      <c r="H796" s="55"/>
      <c r="I796" s="55"/>
      <c r="J796" s="55"/>
      <c r="K796" s="55"/>
      <c r="L796" s="55"/>
      <c r="M796" s="55"/>
      <c r="N796" s="55"/>
      <c r="O796" s="55"/>
      <c r="P796" s="55"/>
      <c r="Q796" s="55"/>
      <c r="R796" s="55"/>
      <c r="S796" s="55"/>
      <c r="T796" s="55"/>
      <c r="U796" s="55"/>
      <c r="V796" s="55"/>
      <c r="W796" s="55"/>
      <c r="X796" s="55"/>
      <c r="Y796" s="55"/>
      <c r="Z796" s="55"/>
    </row>
    <row r="797" spans="1:26" ht="15">
      <c r="A797" s="55"/>
      <c r="B797" s="55"/>
      <c r="C797" s="55"/>
      <c r="D797" s="55"/>
      <c r="E797" s="55"/>
      <c r="F797" s="55"/>
      <c r="G797" s="55"/>
      <c r="H797" s="55"/>
      <c r="I797" s="55"/>
      <c r="J797" s="55"/>
      <c r="K797" s="55"/>
      <c r="L797" s="55"/>
      <c r="M797" s="55"/>
      <c r="N797" s="55"/>
      <c r="O797" s="55"/>
      <c r="P797" s="55"/>
      <c r="Q797" s="55"/>
      <c r="R797" s="55"/>
      <c r="S797" s="55"/>
      <c r="T797" s="55"/>
      <c r="U797" s="55"/>
      <c r="V797" s="55"/>
      <c r="W797" s="55"/>
      <c r="X797" s="55"/>
      <c r="Y797" s="55"/>
      <c r="Z797" s="55"/>
    </row>
    <row r="798" spans="1:26" ht="15">
      <c r="A798" s="55"/>
      <c r="B798" s="55"/>
      <c r="C798" s="55"/>
      <c r="D798" s="55"/>
      <c r="E798" s="55"/>
      <c r="F798" s="55"/>
      <c r="G798" s="55"/>
      <c r="H798" s="55"/>
      <c r="I798" s="55"/>
      <c r="J798" s="55"/>
      <c r="K798" s="55"/>
      <c r="L798" s="55"/>
      <c r="M798" s="55"/>
      <c r="N798" s="55"/>
      <c r="O798" s="55"/>
      <c r="P798" s="55"/>
      <c r="Q798" s="55"/>
      <c r="R798" s="55"/>
      <c r="S798" s="55"/>
      <c r="T798" s="55"/>
      <c r="U798" s="55"/>
      <c r="V798" s="55"/>
      <c r="W798" s="55"/>
      <c r="X798" s="55"/>
      <c r="Y798" s="55"/>
      <c r="Z798" s="55"/>
    </row>
    <row r="799" spans="1:26" ht="15">
      <c r="A799" s="55"/>
      <c r="B799" s="55"/>
      <c r="C799" s="55"/>
      <c r="D799" s="55"/>
      <c r="E799" s="55"/>
      <c r="F799" s="55"/>
      <c r="G799" s="55"/>
      <c r="H799" s="55"/>
      <c r="I799" s="55"/>
      <c r="J799" s="55"/>
      <c r="K799" s="55"/>
      <c r="L799" s="55"/>
      <c r="M799" s="55"/>
      <c r="N799" s="55"/>
      <c r="O799" s="55"/>
      <c r="P799" s="55"/>
      <c r="Q799" s="55"/>
      <c r="R799" s="55"/>
      <c r="S799" s="55"/>
      <c r="T799" s="55"/>
      <c r="U799" s="55"/>
      <c r="V799" s="55"/>
      <c r="W799" s="55"/>
      <c r="X799" s="55"/>
      <c r="Y799" s="55"/>
      <c r="Z799" s="55"/>
    </row>
    <row r="800" spans="1:26" ht="15">
      <c r="A800" s="55"/>
      <c r="B800" s="55"/>
      <c r="C800" s="55"/>
      <c r="D800" s="55"/>
      <c r="E800" s="55"/>
      <c r="F800" s="55"/>
      <c r="G800" s="55"/>
      <c r="H800" s="55"/>
      <c r="I800" s="55"/>
      <c r="J800" s="55"/>
      <c r="K800" s="55"/>
      <c r="L800" s="55"/>
      <c r="M800" s="55"/>
      <c r="N800" s="55"/>
      <c r="O800" s="55"/>
      <c r="P800" s="55"/>
      <c r="Q800" s="55"/>
      <c r="R800" s="55"/>
      <c r="S800" s="55"/>
      <c r="T800" s="55"/>
      <c r="U800" s="55"/>
      <c r="V800" s="55"/>
      <c r="W800" s="55"/>
      <c r="X800" s="55"/>
      <c r="Y800" s="55"/>
      <c r="Z800" s="55"/>
    </row>
    <row r="801" spans="1:26" ht="15">
      <c r="A801" s="55"/>
      <c r="B801" s="55"/>
      <c r="C801" s="55"/>
      <c r="D801" s="55"/>
      <c r="E801" s="55"/>
      <c r="F801" s="55"/>
      <c r="G801" s="55"/>
      <c r="H801" s="55"/>
      <c r="I801" s="55"/>
      <c r="J801" s="55"/>
      <c r="K801" s="55"/>
      <c r="L801" s="55"/>
      <c r="M801" s="55"/>
      <c r="N801" s="55"/>
      <c r="O801" s="55"/>
      <c r="P801" s="55"/>
      <c r="Q801" s="55"/>
      <c r="R801" s="55"/>
      <c r="S801" s="55"/>
      <c r="T801" s="55"/>
      <c r="U801" s="55"/>
      <c r="V801" s="55"/>
      <c r="W801" s="55"/>
      <c r="X801" s="55"/>
      <c r="Y801" s="55"/>
      <c r="Z801" s="55"/>
    </row>
    <row r="802" spans="1:26" ht="15">
      <c r="A802" s="55"/>
      <c r="B802" s="55"/>
      <c r="C802" s="55"/>
      <c r="D802" s="55"/>
      <c r="E802" s="55"/>
      <c r="F802" s="55"/>
      <c r="G802" s="55"/>
      <c r="H802" s="55"/>
      <c r="I802" s="55"/>
      <c r="J802" s="55"/>
      <c r="K802" s="55"/>
      <c r="L802" s="55"/>
      <c r="M802" s="55"/>
      <c r="N802" s="55"/>
      <c r="O802" s="55"/>
      <c r="P802" s="55"/>
      <c r="Q802" s="55"/>
      <c r="R802" s="55"/>
      <c r="S802" s="55"/>
      <c r="T802" s="55"/>
      <c r="U802" s="55"/>
      <c r="V802" s="55"/>
      <c r="W802" s="55"/>
      <c r="X802" s="55"/>
      <c r="Y802" s="55"/>
      <c r="Z802" s="55"/>
    </row>
    <row r="803" spans="1:26" ht="15">
      <c r="A803" s="55"/>
      <c r="B803" s="55"/>
      <c r="C803" s="55"/>
      <c r="D803" s="55"/>
      <c r="E803" s="55"/>
      <c r="F803" s="55"/>
      <c r="G803" s="55"/>
      <c r="H803" s="55"/>
      <c r="I803" s="55"/>
      <c r="J803" s="55"/>
      <c r="K803" s="55"/>
      <c r="L803" s="55"/>
      <c r="M803" s="55"/>
      <c r="N803" s="55"/>
      <c r="O803" s="55"/>
      <c r="P803" s="55"/>
      <c r="Q803" s="55"/>
      <c r="R803" s="55"/>
      <c r="S803" s="55"/>
      <c r="T803" s="55"/>
      <c r="U803" s="55"/>
      <c r="V803" s="55"/>
      <c r="W803" s="55"/>
      <c r="X803" s="55"/>
      <c r="Y803" s="55"/>
      <c r="Z803" s="55"/>
    </row>
    <row r="804" spans="1:26" ht="15">
      <c r="A804" s="55"/>
      <c r="B804" s="55"/>
      <c r="C804" s="55"/>
      <c r="D804" s="55"/>
      <c r="E804" s="55"/>
      <c r="F804" s="55"/>
      <c r="G804" s="55"/>
      <c r="H804" s="55"/>
      <c r="I804" s="55"/>
      <c r="J804" s="55"/>
      <c r="K804" s="55"/>
      <c r="L804" s="55"/>
      <c r="M804" s="55"/>
      <c r="N804" s="55"/>
      <c r="O804" s="55"/>
      <c r="P804" s="55"/>
      <c r="Q804" s="55"/>
      <c r="R804" s="55"/>
      <c r="S804" s="55"/>
      <c r="T804" s="55"/>
      <c r="U804" s="55"/>
      <c r="V804" s="55"/>
      <c r="W804" s="55"/>
      <c r="X804" s="55"/>
      <c r="Y804" s="55"/>
      <c r="Z804" s="55"/>
    </row>
    <row r="805" spans="1:26" ht="15">
      <c r="A805" s="55"/>
      <c r="B805" s="55"/>
      <c r="C805" s="55"/>
      <c r="D805" s="55"/>
      <c r="E805" s="55"/>
      <c r="F805" s="55"/>
      <c r="G805" s="55"/>
      <c r="H805" s="55"/>
      <c r="I805" s="55"/>
      <c r="J805" s="55"/>
      <c r="K805" s="55"/>
      <c r="L805" s="55"/>
      <c r="M805" s="55"/>
      <c r="N805" s="55"/>
      <c r="O805" s="55"/>
      <c r="P805" s="55"/>
      <c r="Q805" s="55"/>
      <c r="R805" s="55"/>
      <c r="S805" s="55"/>
      <c r="T805" s="55"/>
      <c r="U805" s="55"/>
      <c r="V805" s="55"/>
      <c r="W805" s="55"/>
      <c r="X805" s="55"/>
      <c r="Y805" s="55"/>
      <c r="Z805" s="55"/>
    </row>
    <row r="806" spans="1:26" ht="15">
      <c r="A806" s="55"/>
      <c r="B806" s="55"/>
      <c r="C806" s="55"/>
      <c r="D806" s="55"/>
      <c r="E806" s="55"/>
      <c r="F806" s="55"/>
      <c r="G806" s="55"/>
      <c r="H806" s="55"/>
      <c r="I806" s="55"/>
      <c r="J806" s="55"/>
      <c r="K806" s="55"/>
      <c r="L806" s="55"/>
      <c r="M806" s="55"/>
      <c r="N806" s="55"/>
      <c r="O806" s="55"/>
      <c r="P806" s="55"/>
      <c r="Q806" s="55"/>
      <c r="R806" s="55"/>
      <c r="S806" s="55"/>
      <c r="T806" s="55"/>
      <c r="U806" s="55"/>
      <c r="V806" s="55"/>
      <c r="W806" s="55"/>
      <c r="X806" s="55"/>
      <c r="Y806" s="55"/>
      <c r="Z806" s="55"/>
    </row>
    <row r="807" spans="1:26" ht="15">
      <c r="A807" s="55"/>
      <c r="B807" s="55"/>
      <c r="C807" s="55"/>
      <c r="D807" s="55"/>
      <c r="E807" s="55"/>
      <c r="F807" s="55"/>
      <c r="G807" s="55"/>
      <c r="H807" s="55"/>
      <c r="I807" s="55"/>
      <c r="J807" s="55"/>
      <c r="K807" s="55"/>
      <c r="L807" s="55"/>
      <c r="M807" s="55"/>
      <c r="N807" s="55"/>
      <c r="O807" s="55"/>
      <c r="P807" s="55"/>
      <c r="Q807" s="55"/>
      <c r="R807" s="55"/>
      <c r="S807" s="55"/>
      <c r="T807" s="55"/>
      <c r="U807" s="55"/>
      <c r="V807" s="55"/>
      <c r="W807" s="55"/>
      <c r="X807" s="55"/>
      <c r="Y807" s="55"/>
      <c r="Z807" s="55"/>
    </row>
    <row r="808" spans="1:26" ht="15">
      <c r="A808" s="55"/>
      <c r="B808" s="55"/>
      <c r="C808" s="55"/>
      <c r="D808" s="55"/>
      <c r="E808" s="55"/>
      <c r="F808" s="55"/>
      <c r="G808" s="55"/>
      <c r="H808" s="55"/>
      <c r="I808" s="55"/>
      <c r="J808" s="55"/>
      <c r="K808" s="55"/>
      <c r="L808" s="55"/>
      <c r="M808" s="55"/>
      <c r="N808" s="55"/>
      <c r="O808" s="55"/>
      <c r="P808" s="55"/>
      <c r="Q808" s="55"/>
      <c r="R808" s="55"/>
      <c r="S808" s="55"/>
      <c r="T808" s="55"/>
      <c r="U808" s="55"/>
      <c r="V808" s="55"/>
      <c r="W808" s="55"/>
      <c r="X808" s="55"/>
      <c r="Y808" s="55"/>
      <c r="Z808" s="55"/>
    </row>
    <row r="809" spans="1:26" ht="15">
      <c r="A809" s="55"/>
      <c r="B809" s="55"/>
      <c r="C809" s="55"/>
      <c r="D809" s="55"/>
      <c r="E809" s="55"/>
      <c r="F809" s="55"/>
      <c r="G809" s="55"/>
      <c r="H809" s="55"/>
      <c r="I809" s="55"/>
      <c r="J809" s="55"/>
      <c r="K809" s="55"/>
      <c r="L809" s="55"/>
      <c r="M809" s="55"/>
      <c r="N809" s="55"/>
      <c r="O809" s="55"/>
      <c r="P809" s="55"/>
      <c r="Q809" s="55"/>
      <c r="R809" s="55"/>
      <c r="S809" s="55"/>
      <c r="T809" s="55"/>
      <c r="U809" s="55"/>
      <c r="V809" s="55"/>
      <c r="W809" s="55"/>
      <c r="X809" s="55"/>
      <c r="Y809" s="55"/>
      <c r="Z809" s="55"/>
    </row>
    <row r="810" spans="1:26" ht="15">
      <c r="A810" s="55"/>
      <c r="B810" s="55"/>
      <c r="C810" s="55"/>
      <c r="D810" s="55"/>
      <c r="E810" s="55"/>
      <c r="F810" s="55"/>
      <c r="G810" s="55"/>
      <c r="H810" s="55"/>
      <c r="I810" s="55"/>
      <c r="J810" s="55"/>
      <c r="K810" s="55"/>
      <c r="L810" s="55"/>
      <c r="M810" s="55"/>
      <c r="N810" s="55"/>
      <c r="O810" s="55"/>
      <c r="P810" s="55"/>
      <c r="Q810" s="55"/>
      <c r="R810" s="55"/>
      <c r="S810" s="55"/>
      <c r="T810" s="55"/>
      <c r="U810" s="55"/>
      <c r="V810" s="55"/>
      <c r="W810" s="55"/>
      <c r="X810" s="55"/>
      <c r="Y810" s="55"/>
      <c r="Z810" s="55"/>
    </row>
    <row r="811" spans="1:26" ht="15">
      <c r="A811" s="55"/>
      <c r="B811" s="55"/>
      <c r="C811" s="55"/>
      <c r="D811" s="55"/>
      <c r="E811" s="55"/>
      <c r="F811" s="55"/>
      <c r="G811" s="55"/>
      <c r="H811" s="55"/>
      <c r="I811" s="55"/>
      <c r="J811" s="55"/>
      <c r="K811" s="55"/>
      <c r="L811" s="55"/>
      <c r="M811" s="55"/>
      <c r="N811" s="55"/>
      <c r="O811" s="55"/>
      <c r="P811" s="55"/>
      <c r="Q811" s="55"/>
      <c r="R811" s="55"/>
      <c r="S811" s="55"/>
      <c r="T811" s="55"/>
      <c r="U811" s="55"/>
      <c r="V811" s="55"/>
      <c r="W811" s="55"/>
      <c r="X811" s="55"/>
      <c r="Y811" s="55"/>
      <c r="Z811" s="55"/>
    </row>
    <row r="812" spans="1:26" ht="15">
      <c r="A812" s="55"/>
      <c r="B812" s="55"/>
      <c r="C812" s="55"/>
      <c r="D812" s="55"/>
      <c r="E812" s="55"/>
      <c r="F812" s="55"/>
      <c r="G812" s="55"/>
      <c r="H812" s="55"/>
      <c r="I812" s="55"/>
      <c r="J812" s="55"/>
      <c r="K812" s="55"/>
      <c r="L812" s="55"/>
      <c r="M812" s="55"/>
      <c r="N812" s="55"/>
      <c r="O812" s="55"/>
      <c r="P812" s="55"/>
      <c r="Q812" s="55"/>
      <c r="R812" s="55"/>
      <c r="S812" s="55"/>
      <c r="T812" s="55"/>
      <c r="U812" s="55"/>
      <c r="V812" s="55"/>
      <c r="W812" s="55"/>
      <c r="X812" s="55"/>
      <c r="Y812" s="55"/>
      <c r="Z812" s="55"/>
    </row>
    <row r="813" spans="1:26" ht="15">
      <c r="A813" s="55"/>
      <c r="B813" s="55"/>
      <c r="C813" s="55"/>
      <c r="D813" s="55"/>
      <c r="E813" s="55"/>
      <c r="F813" s="55"/>
      <c r="G813" s="55"/>
      <c r="H813" s="55"/>
      <c r="I813" s="55"/>
      <c r="J813" s="55"/>
      <c r="K813" s="55"/>
      <c r="L813" s="55"/>
      <c r="M813" s="55"/>
      <c r="N813" s="55"/>
      <c r="O813" s="55"/>
      <c r="P813" s="55"/>
      <c r="Q813" s="55"/>
      <c r="R813" s="55"/>
      <c r="S813" s="55"/>
      <c r="T813" s="55"/>
      <c r="U813" s="55"/>
      <c r="V813" s="55"/>
      <c r="W813" s="55"/>
      <c r="X813" s="55"/>
      <c r="Y813" s="55"/>
      <c r="Z813" s="55"/>
    </row>
    <row r="814" spans="1:26" ht="15">
      <c r="A814" s="55"/>
      <c r="B814" s="55"/>
      <c r="C814" s="55"/>
      <c r="D814" s="55"/>
      <c r="E814" s="55"/>
      <c r="F814" s="55"/>
      <c r="G814" s="55"/>
      <c r="H814" s="55"/>
      <c r="I814" s="55"/>
      <c r="J814" s="55"/>
      <c r="K814" s="55"/>
      <c r="L814" s="55"/>
      <c r="M814" s="55"/>
      <c r="N814" s="55"/>
      <c r="O814" s="55"/>
      <c r="P814" s="55"/>
      <c r="Q814" s="55"/>
      <c r="R814" s="55"/>
      <c r="S814" s="55"/>
      <c r="T814" s="55"/>
      <c r="U814" s="55"/>
      <c r="V814" s="55"/>
      <c r="W814" s="55"/>
      <c r="X814" s="55"/>
      <c r="Y814" s="55"/>
      <c r="Z814" s="55"/>
    </row>
    <row r="815" spans="1:26" ht="15">
      <c r="A815" s="55"/>
      <c r="B815" s="55"/>
      <c r="C815" s="55"/>
      <c r="D815" s="55"/>
      <c r="E815" s="55"/>
      <c r="F815" s="55"/>
      <c r="G815" s="55"/>
      <c r="H815" s="55"/>
      <c r="I815" s="55"/>
      <c r="J815" s="55"/>
      <c r="K815" s="55"/>
      <c r="L815" s="55"/>
      <c r="M815" s="55"/>
      <c r="N815" s="55"/>
      <c r="O815" s="55"/>
      <c r="P815" s="55"/>
      <c r="Q815" s="55"/>
      <c r="R815" s="55"/>
      <c r="S815" s="55"/>
      <c r="T815" s="55"/>
      <c r="U815" s="55"/>
      <c r="V815" s="55"/>
      <c r="W815" s="55"/>
      <c r="X815" s="55"/>
      <c r="Y815" s="55"/>
      <c r="Z815" s="55"/>
    </row>
    <row r="816" spans="1:26" ht="15">
      <c r="A816" s="55"/>
      <c r="B816" s="55"/>
      <c r="C816" s="55"/>
      <c r="D816" s="55"/>
      <c r="E816" s="55"/>
      <c r="F816" s="55"/>
      <c r="G816" s="55"/>
      <c r="H816" s="55"/>
      <c r="I816" s="55"/>
      <c r="J816" s="55"/>
      <c r="K816" s="55"/>
      <c r="L816" s="55"/>
      <c r="M816" s="55"/>
      <c r="N816" s="55"/>
      <c r="O816" s="55"/>
      <c r="P816" s="55"/>
      <c r="Q816" s="55"/>
      <c r="R816" s="55"/>
      <c r="S816" s="55"/>
      <c r="T816" s="55"/>
      <c r="U816" s="55"/>
      <c r="V816" s="55"/>
      <c r="W816" s="55"/>
      <c r="X816" s="55"/>
      <c r="Y816" s="55"/>
      <c r="Z816" s="55"/>
    </row>
    <row r="817" spans="1:26" ht="15">
      <c r="A817" s="55"/>
      <c r="B817" s="55"/>
      <c r="C817" s="55"/>
      <c r="D817" s="55"/>
      <c r="E817" s="55"/>
      <c r="F817" s="55"/>
      <c r="G817" s="55"/>
      <c r="H817" s="55"/>
      <c r="I817" s="55"/>
      <c r="J817" s="55"/>
      <c r="K817" s="55"/>
      <c r="L817" s="55"/>
      <c r="M817" s="55"/>
      <c r="N817" s="55"/>
      <c r="O817" s="55"/>
      <c r="P817" s="55"/>
      <c r="Q817" s="55"/>
      <c r="R817" s="55"/>
      <c r="S817" s="55"/>
      <c r="T817" s="55"/>
      <c r="U817" s="55"/>
      <c r="V817" s="55"/>
      <c r="W817" s="55"/>
      <c r="X817" s="55"/>
      <c r="Y817" s="55"/>
      <c r="Z817" s="55"/>
    </row>
    <row r="818" spans="1:26" ht="15">
      <c r="A818" s="55"/>
      <c r="B818" s="55"/>
      <c r="C818" s="55"/>
      <c r="D818" s="55"/>
      <c r="E818" s="55"/>
      <c r="F818" s="55"/>
      <c r="G818" s="55"/>
      <c r="H818" s="55"/>
      <c r="I818" s="55"/>
      <c r="J818" s="55"/>
      <c r="K818" s="55"/>
      <c r="L818" s="55"/>
      <c r="M818" s="55"/>
      <c r="N818" s="55"/>
      <c r="O818" s="55"/>
      <c r="P818" s="55"/>
      <c r="Q818" s="55"/>
      <c r="R818" s="55"/>
      <c r="S818" s="55"/>
      <c r="T818" s="55"/>
      <c r="U818" s="55"/>
      <c r="V818" s="55"/>
      <c r="W818" s="55"/>
      <c r="X818" s="55"/>
      <c r="Y818" s="55"/>
      <c r="Z818" s="55"/>
    </row>
    <row r="819" spans="1:26" ht="15">
      <c r="A819" s="55"/>
      <c r="B819" s="55"/>
      <c r="C819" s="55"/>
      <c r="D819" s="55"/>
      <c r="E819" s="55"/>
      <c r="F819" s="55"/>
      <c r="G819" s="55"/>
      <c r="H819" s="55"/>
      <c r="I819" s="55"/>
      <c r="J819" s="55"/>
      <c r="K819" s="55"/>
      <c r="L819" s="55"/>
      <c r="M819" s="55"/>
      <c r="N819" s="55"/>
      <c r="O819" s="55"/>
      <c r="P819" s="55"/>
      <c r="Q819" s="55"/>
      <c r="R819" s="55"/>
      <c r="S819" s="55"/>
      <c r="T819" s="55"/>
      <c r="U819" s="55"/>
      <c r="V819" s="55"/>
      <c r="W819" s="55"/>
      <c r="X819" s="55"/>
      <c r="Y819" s="55"/>
      <c r="Z819" s="55"/>
    </row>
    <row r="820" spans="1:26" ht="15">
      <c r="A820" s="55"/>
      <c r="B820" s="55"/>
      <c r="C820" s="55"/>
      <c r="D820" s="55"/>
      <c r="E820" s="55"/>
      <c r="F820" s="55"/>
      <c r="G820" s="55"/>
      <c r="H820" s="55"/>
      <c r="I820" s="55"/>
      <c r="J820" s="55"/>
      <c r="K820" s="55"/>
      <c r="L820" s="55"/>
      <c r="M820" s="55"/>
      <c r="N820" s="55"/>
      <c r="O820" s="55"/>
      <c r="P820" s="55"/>
      <c r="Q820" s="55"/>
      <c r="R820" s="55"/>
      <c r="S820" s="55"/>
      <c r="T820" s="55"/>
      <c r="U820" s="55"/>
      <c r="V820" s="55"/>
      <c r="W820" s="55"/>
      <c r="X820" s="55"/>
      <c r="Y820" s="55"/>
      <c r="Z820" s="55"/>
    </row>
    <row r="821" spans="1:26" ht="15">
      <c r="A821" s="55"/>
      <c r="B821" s="55"/>
      <c r="C821" s="55"/>
      <c r="D821" s="55"/>
      <c r="E821" s="55"/>
      <c r="F821" s="55"/>
      <c r="G821" s="55"/>
      <c r="H821" s="55"/>
      <c r="I821" s="55"/>
      <c r="J821" s="55"/>
      <c r="K821" s="55"/>
      <c r="L821" s="55"/>
      <c r="M821" s="55"/>
      <c r="N821" s="55"/>
      <c r="O821" s="55"/>
      <c r="P821" s="55"/>
      <c r="Q821" s="55"/>
      <c r="R821" s="55"/>
      <c r="S821" s="55"/>
      <c r="T821" s="55"/>
      <c r="U821" s="55"/>
      <c r="V821" s="55"/>
      <c r="W821" s="55"/>
      <c r="X821" s="55"/>
      <c r="Y821" s="55"/>
      <c r="Z821" s="55"/>
    </row>
    <row r="822" spans="1:26" ht="15">
      <c r="A822" s="55"/>
      <c r="B822" s="55"/>
      <c r="C822" s="55"/>
      <c r="D822" s="55"/>
      <c r="E822" s="55"/>
      <c r="F822" s="55"/>
      <c r="G822" s="55"/>
      <c r="H822" s="55"/>
      <c r="I822" s="55"/>
      <c r="J822" s="55"/>
      <c r="K822" s="55"/>
      <c r="L822" s="55"/>
      <c r="M822" s="55"/>
      <c r="N822" s="55"/>
      <c r="O822" s="55"/>
      <c r="P822" s="55"/>
      <c r="Q822" s="55"/>
      <c r="R822" s="55"/>
      <c r="S822" s="55"/>
      <c r="T822" s="55"/>
      <c r="U822" s="55"/>
      <c r="V822" s="55"/>
      <c r="W822" s="55"/>
      <c r="X822" s="55"/>
      <c r="Y822" s="55"/>
      <c r="Z822" s="55"/>
    </row>
    <row r="823" spans="1:26" ht="15">
      <c r="A823" s="55"/>
      <c r="B823" s="55"/>
      <c r="C823" s="55"/>
      <c r="D823" s="55"/>
      <c r="E823" s="55"/>
      <c r="F823" s="55"/>
      <c r="G823" s="55"/>
      <c r="H823" s="55"/>
      <c r="I823" s="55"/>
      <c r="J823" s="55"/>
      <c r="K823" s="55"/>
      <c r="L823" s="55"/>
      <c r="M823" s="55"/>
      <c r="N823" s="55"/>
      <c r="O823" s="55"/>
      <c r="P823" s="55"/>
      <c r="Q823" s="55"/>
      <c r="R823" s="55"/>
      <c r="S823" s="55"/>
      <c r="T823" s="55"/>
      <c r="U823" s="55"/>
      <c r="V823" s="55"/>
      <c r="W823" s="55"/>
      <c r="X823" s="55"/>
      <c r="Y823" s="55"/>
      <c r="Z823" s="55"/>
    </row>
    <row r="824" spans="1:26" ht="15">
      <c r="A824" s="55"/>
      <c r="B824" s="55"/>
      <c r="C824" s="55"/>
      <c r="D824" s="55"/>
      <c r="E824" s="55"/>
      <c r="F824" s="55"/>
      <c r="G824" s="55"/>
      <c r="H824" s="55"/>
      <c r="I824" s="55"/>
      <c r="J824" s="55"/>
      <c r="K824" s="55"/>
      <c r="L824" s="55"/>
      <c r="M824" s="55"/>
      <c r="N824" s="55"/>
      <c r="O824" s="55"/>
      <c r="P824" s="55"/>
      <c r="Q824" s="55"/>
      <c r="R824" s="55"/>
      <c r="S824" s="55"/>
      <c r="T824" s="55"/>
      <c r="U824" s="55"/>
      <c r="V824" s="55"/>
      <c r="W824" s="55"/>
      <c r="X824" s="55"/>
      <c r="Y824" s="55"/>
      <c r="Z824" s="55"/>
    </row>
    <row r="825" spans="1:26" ht="15">
      <c r="A825" s="55"/>
      <c r="B825" s="55"/>
      <c r="C825" s="55"/>
      <c r="D825" s="55"/>
      <c r="E825" s="55"/>
      <c r="F825" s="55"/>
      <c r="G825" s="55"/>
      <c r="H825" s="55"/>
      <c r="I825" s="55"/>
      <c r="J825" s="55"/>
      <c r="K825" s="55"/>
      <c r="L825" s="55"/>
      <c r="M825" s="55"/>
      <c r="N825" s="55"/>
      <c r="O825" s="55"/>
      <c r="P825" s="55"/>
      <c r="Q825" s="55"/>
      <c r="R825" s="55"/>
      <c r="S825" s="55"/>
      <c r="T825" s="55"/>
      <c r="U825" s="55"/>
      <c r="V825" s="55"/>
      <c r="W825" s="55"/>
      <c r="X825" s="55"/>
      <c r="Y825" s="55"/>
      <c r="Z825" s="55"/>
    </row>
    <row r="826" spans="1:26" ht="15">
      <c r="A826" s="55"/>
      <c r="B826" s="55"/>
      <c r="C826" s="55"/>
      <c r="D826" s="55"/>
      <c r="E826" s="55"/>
      <c r="F826" s="55"/>
      <c r="G826" s="55"/>
      <c r="H826" s="55"/>
      <c r="I826" s="55"/>
      <c r="J826" s="55"/>
      <c r="K826" s="55"/>
      <c r="L826" s="55"/>
      <c r="M826" s="55"/>
      <c r="N826" s="55"/>
      <c r="O826" s="55"/>
      <c r="P826" s="55"/>
      <c r="Q826" s="55"/>
      <c r="R826" s="55"/>
      <c r="S826" s="55"/>
      <c r="T826" s="55"/>
      <c r="U826" s="55"/>
      <c r="V826" s="55"/>
      <c r="W826" s="55"/>
      <c r="X826" s="55"/>
      <c r="Y826" s="55"/>
      <c r="Z826" s="55"/>
    </row>
    <row r="827" spans="1:26" ht="15">
      <c r="A827" s="55"/>
      <c r="B827" s="55"/>
      <c r="C827" s="55"/>
      <c r="D827" s="55"/>
      <c r="E827" s="55"/>
      <c r="F827" s="55"/>
      <c r="G827" s="55"/>
      <c r="H827" s="55"/>
      <c r="I827" s="55"/>
      <c r="J827" s="55"/>
      <c r="K827" s="55"/>
      <c r="L827" s="55"/>
      <c r="M827" s="55"/>
      <c r="N827" s="55"/>
      <c r="O827" s="55"/>
      <c r="P827" s="55"/>
      <c r="Q827" s="55"/>
      <c r="R827" s="55"/>
      <c r="S827" s="55"/>
      <c r="T827" s="55"/>
      <c r="U827" s="55"/>
      <c r="V827" s="55"/>
      <c r="W827" s="55"/>
      <c r="X827" s="55"/>
      <c r="Y827" s="55"/>
      <c r="Z827" s="55"/>
    </row>
    <row r="828" spans="1:26" ht="15">
      <c r="A828" s="55"/>
      <c r="B828" s="55"/>
      <c r="C828" s="55"/>
      <c r="D828" s="55"/>
      <c r="E828" s="55"/>
      <c r="F828" s="55"/>
      <c r="G828" s="55"/>
      <c r="H828" s="55"/>
      <c r="I828" s="55"/>
      <c r="J828" s="55"/>
      <c r="K828" s="55"/>
      <c r="L828" s="55"/>
      <c r="M828" s="55"/>
      <c r="N828" s="55"/>
      <c r="O828" s="55"/>
      <c r="P828" s="55"/>
      <c r="Q828" s="55"/>
      <c r="R828" s="55"/>
      <c r="S828" s="55"/>
      <c r="T828" s="55"/>
      <c r="U828" s="55"/>
      <c r="V828" s="55"/>
      <c r="W828" s="55"/>
      <c r="X828" s="55"/>
      <c r="Y828" s="55"/>
      <c r="Z828" s="55"/>
    </row>
    <row r="829" spans="1:26" ht="15">
      <c r="A829" s="55"/>
      <c r="B829" s="55"/>
      <c r="C829" s="55"/>
      <c r="D829" s="55"/>
      <c r="E829" s="55"/>
      <c r="F829" s="55"/>
      <c r="G829" s="55"/>
      <c r="H829" s="55"/>
      <c r="I829" s="55"/>
      <c r="J829" s="55"/>
      <c r="K829" s="55"/>
      <c r="L829" s="55"/>
      <c r="M829" s="55"/>
      <c r="N829" s="55"/>
      <c r="O829" s="55"/>
      <c r="P829" s="55"/>
      <c r="Q829" s="55"/>
      <c r="R829" s="55"/>
      <c r="S829" s="55"/>
      <c r="T829" s="55"/>
      <c r="U829" s="55"/>
      <c r="V829" s="55"/>
      <c r="W829" s="55"/>
      <c r="X829" s="55"/>
      <c r="Y829" s="55"/>
      <c r="Z829" s="55"/>
    </row>
    <row r="830" spans="1:26" ht="15">
      <c r="A830" s="55"/>
      <c r="B830" s="55"/>
      <c r="C830" s="55"/>
      <c r="D830" s="55"/>
      <c r="E830" s="55"/>
      <c r="F830" s="55"/>
      <c r="G830" s="55"/>
      <c r="H830" s="55"/>
      <c r="I830" s="55"/>
      <c r="J830" s="55"/>
      <c r="K830" s="55"/>
      <c r="L830" s="55"/>
      <c r="M830" s="55"/>
      <c r="N830" s="55"/>
      <c r="O830" s="55"/>
      <c r="P830" s="55"/>
      <c r="Q830" s="55"/>
      <c r="R830" s="55"/>
      <c r="S830" s="55"/>
      <c r="T830" s="55"/>
      <c r="U830" s="55"/>
      <c r="V830" s="55"/>
      <c r="W830" s="55"/>
      <c r="X830" s="55"/>
      <c r="Y830" s="55"/>
      <c r="Z830" s="55"/>
    </row>
    <row r="831" spans="1:26" ht="15">
      <c r="A831" s="55"/>
      <c r="B831" s="55"/>
      <c r="C831" s="55"/>
      <c r="D831" s="55"/>
      <c r="E831" s="55"/>
      <c r="F831" s="55"/>
      <c r="G831" s="55"/>
      <c r="H831" s="55"/>
      <c r="I831" s="55"/>
      <c r="J831" s="55"/>
      <c r="K831" s="55"/>
      <c r="L831" s="55"/>
      <c r="M831" s="55"/>
      <c r="N831" s="55"/>
      <c r="O831" s="55"/>
      <c r="P831" s="55"/>
      <c r="Q831" s="55"/>
      <c r="R831" s="55"/>
      <c r="S831" s="55"/>
      <c r="T831" s="55"/>
      <c r="U831" s="55"/>
      <c r="V831" s="55"/>
      <c r="W831" s="55"/>
      <c r="X831" s="55"/>
      <c r="Y831" s="55"/>
      <c r="Z831" s="55"/>
    </row>
    <row r="832" spans="1:26" ht="15">
      <c r="A832" s="55"/>
      <c r="B832" s="55"/>
      <c r="C832" s="55"/>
      <c r="D832" s="55"/>
      <c r="E832" s="55"/>
      <c r="F832" s="55"/>
      <c r="G832" s="55"/>
      <c r="H832" s="55"/>
      <c r="I832" s="55"/>
      <c r="J832" s="55"/>
      <c r="K832" s="55"/>
      <c r="L832" s="55"/>
      <c r="M832" s="55"/>
      <c r="N832" s="55"/>
      <c r="O832" s="55"/>
      <c r="P832" s="55"/>
      <c r="Q832" s="55"/>
      <c r="R832" s="55"/>
      <c r="S832" s="55"/>
      <c r="T832" s="55"/>
      <c r="U832" s="55"/>
      <c r="V832" s="55"/>
      <c r="W832" s="55"/>
      <c r="X832" s="55"/>
      <c r="Y832" s="55"/>
      <c r="Z832" s="55"/>
    </row>
    <row r="833" spans="1:26" ht="15">
      <c r="A833" s="55"/>
      <c r="B833" s="55"/>
      <c r="C833" s="55"/>
      <c r="D833" s="55"/>
      <c r="E833" s="55"/>
      <c r="F833" s="55"/>
      <c r="G833" s="55"/>
      <c r="H833" s="55"/>
      <c r="I833" s="55"/>
      <c r="J833" s="55"/>
      <c r="K833" s="55"/>
      <c r="L833" s="55"/>
      <c r="M833" s="55"/>
      <c r="N833" s="55"/>
      <c r="O833" s="55"/>
      <c r="P833" s="55"/>
      <c r="Q833" s="55"/>
      <c r="R833" s="55"/>
      <c r="S833" s="55"/>
      <c r="T833" s="55"/>
      <c r="U833" s="55"/>
      <c r="V833" s="55"/>
      <c r="W833" s="55"/>
      <c r="X833" s="55"/>
      <c r="Y833" s="55"/>
      <c r="Z833" s="55"/>
    </row>
    <row r="834" spans="1:26" ht="15">
      <c r="A834" s="55"/>
      <c r="B834" s="55"/>
      <c r="C834" s="55"/>
      <c r="D834" s="55"/>
      <c r="E834" s="55"/>
      <c r="F834" s="55"/>
      <c r="G834" s="55"/>
      <c r="H834" s="55"/>
      <c r="I834" s="55"/>
      <c r="J834" s="55"/>
      <c r="K834" s="55"/>
      <c r="L834" s="55"/>
      <c r="M834" s="55"/>
      <c r="N834" s="55"/>
      <c r="O834" s="55"/>
      <c r="P834" s="55"/>
      <c r="Q834" s="55"/>
      <c r="R834" s="55"/>
      <c r="S834" s="55"/>
      <c r="T834" s="55"/>
      <c r="U834" s="55"/>
      <c r="V834" s="55"/>
      <c r="W834" s="55"/>
      <c r="X834" s="55"/>
      <c r="Y834" s="55"/>
      <c r="Z834" s="55"/>
    </row>
    <row r="835" spans="1:26" ht="15">
      <c r="A835" s="55"/>
      <c r="B835" s="55"/>
      <c r="C835" s="55"/>
      <c r="D835" s="55"/>
      <c r="E835" s="55"/>
      <c r="F835" s="55"/>
      <c r="G835" s="55"/>
      <c r="H835" s="55"/>
      <c r="I835" s="55"/>
      <c r="J835" s="55"/>
      <c r="K835" s="55"/>
      <c r="L835" s="55"/>
      <c r="M835" s="55"/>
      <c r="N835" s="55"/>
      <c r="O835" s="55"/>
      <c r="P835" s="55"/>
      <c r="Q835" s="55"/>
      <c r="R835" s="55"/>
      <c r="S835" s="55"/>
      <c r="T835" s="55"/>
      <c r="U835" s="55"/>
      <c r="V835" s="55"/>
      <c r="W835" s="55"/>
      <c r="X835" s="55"/>
      <c r="Y835" s="55"/>
      <c r="Z835" s="55"/>
    </row>
    <row r="836" spans="1:26" ht="15">
      <c r="A836" s="55"/>
      <c r="B836" s="55"/>
      <c r="C836" s="55"/>
      <c r="D836" s="55"/>
      <c r="E836" s="55"/>
      <c r="F836" s="55"/>
      <c r="G836" s="55"/>
      <c r="H836" s="55"/>
      <c r="I836" s="55"/>
      <c r="J836" s="55"/>
      <c r="K836" s="55"/>
      <c r="L836" s="55"/>
      <c r="M836" s="55"/>
      <c r="N836" s="55"/>
      <c r="O836" s="55"/>
      <c r="P836" s="55"/>
      <c r="Q836" s="55"/>
      <c r="R836" s="55"/>
      <c r="S836" s="55"/>
      <c r="T836" s="55"/>
      <c r="U836" s="55"/>
      <c r="V836" s="55"/>
      <c r="W836" s="55"/>
      <c r="X836" s="55"/>
      <c r="Y836" s="55"/>
      <c r="Z836" s="55"/>
    </row>
    <row r="837" spans="1:26" ht="15">
      <c r="A837" s="55"/>
      <c r="B837" s="55"/>
      <c r="C837" s="55"/>
      <c r="D837" s="55"/>
      <c r="E837" s="55"/>
      <c r="F837" s="55"/>
      <c r="G837" s="55"/>
      <c r="H837" s="55"/>
      <c r="I837" s="55"/>
      <c r="J837" s="55"/>
      <c r="K837" s="55"/>
      <c r="L837" s="55"/>
      <c r="M837" s="55"/>
      <c r="N837" s="55"/>
      <c r="O837" s="55"/>
      <c r="P837" s="55"/>
      <c r="Q837" s="55"/>
      <c r="R837" s="55"/>
      <c r="S837" s="55"/>
      <c r="T837" s="55"/>
      <c r="U837" s="55"/>
      <c r="V837" s="55"/>
      <c r="W837" s="55"/>
      <c r="X837" s="55"/>
      <c r="Y837" s="55"/>
      <c r="Z837" s="55"/>
    </row>
    <row r="838" spans="1:26" ht="15">
      <c r="A838" s="55"/>
      <c r="B838" s="55"/>
      <c r="C838" s="55"/>
      <c r="D838" s="55"/>
      <c r="E838" s="55"/>
      <c r="F838" s="55"/>
      <c r="G838" s="55"/>
      <c r="H838" s="55"/>
      <c r="I838" s="55"/>
      <c r="J838" s="55"/>
      <c r="K838" s="55"/>
      <c r="L838" s="55"/>
      <c r="M838" s="55"/>
      <c r="N838" s="55"/>
      <c r="O838" s="55"/>
      <c r="P838" s="55"/>
      <c r="Q838" s="55"/>
      <c r="R838" s="55"/>
      <c r="S838" s="55"/>
      <c r="T838" s="55"/>
      <c r="U838" s="55"/>
      <c r="V838" s="55"/>
      <c r="W838" s="55"/>
      <c r="X838" s="55"/>
      <c r="Y838" s="55"/>
      <c r="Z838" s="55"/>
    </row>
    <row r="839" spans="1:26" ht="15">
      <c r="A839" s="55"/>
      <c r="B839" s="55"/>
      <c r="C839" s="55"/>
      <c r="D839" s="55"/>
      <c r="E839" s="55"/>
      <c r="F839" s="55"/>
      <c r="G839" s="55"/>
      <c r="H839" s="55"/>
      <c r="I839" s="55"/>
      <c r="J839" s="55"/>
      <c r="K839" s="55"/>
      <c r="L839" s="55"/>
      <c r="M839" s="55"/>
      <c r="N839" s="55"/>
      <c r="O839" s="55"/>
      <c r="P839" s="55"/>
      <c r="Q839" s="55"/>
      <c r="R839" s="55"/>
      <c r="S839" s="55"/>
      <c r="T839" s="55"/>
      <c r="U839" s="55"/>
      <c r="V839" s="55"/>
      <c r="W839" s="55"/>
      <c r="X839" s="55"/>
      <c r="Y839" s="55"/>
      <c r="Z839" s="55"/>
    </row>
    <row r="840" spans="1:26" ht="15">
      <c r="A840" s="55"/>
      <c r="B840" s="55"/>
      <c r="C840" s="55"/>
      <c r="D840" s="55"/>
      <c r="E840" s="55"/>
      <c r="F840" s="55"/>
      <c r="G840" s="55"/>
      <c r="H840" s="55"/>
      <c r="I840" s="55"/>
      <c r="J840" s="55"/>
      <c r="K840" s="55"/>
      <c r="L840" s="55"/>
      <c r="M840" s="55"/>
      <c r="N840" s="55"/>
      <c r="O840" s="55"/>
      <c r="P840" s="55"/>
      <c r="Q840" s="55"/>
      <c r="R840" s="55"/>
      <c r="S840" s="55"/>
      <c r="T840" s="55"/>
      <c r="U840" s="55"/>
      <c r="V840" s="55"/>
      <c r="W840" s="55"/>
      <c r="X840" s="55"/>
      <c r="Y840" s="55"/>
      <c r="Z840" s="55"/>
    </row>
    <row r="841" spans="1:26" ht="15">
      <c r="A841" s="55"/>
      <c r="B841" s="55"/>
      <c r="C841" s="55"/>
      <c r="D841" s="55"/>
      <c r="E841" s="55"/>
      <c r="F841" s="55"/>
      <c r="G841" s="55"/>
      <c r="H841" s="55"/>
      <c r="I841" s="55"/>
      <c r="J841" s="55"/>
      <c r="K841" s="55"/>
      <c r="L841" s="55"/>
      <c r="M841" s="55"/>
      <c r="N841" s="55"/>
      <c r="O841" s="55"/>
      <c r="P841" s="55"/>
      <c r="Q841" s="55"/>
      <c r="R841" s="55"/>
      <c r="S841" s="55"/>
      <c r="T841" s="55"/>
      <c r="U841" s="55"/>
      <c r="V841" s="55"/>
      <c r="W841" s="55"/>
      <c r="X841" s="55"/>
      <c r="Y841" s="55"/>
      <c r="Z841" s="55"/>
    </row>
    <row r="842" spans="1:26" ht="15">
      <c r="A842" s="55"/>
      <c r="B842" s="55"/>
      <c r="C842" s="55"/>
      <c r="D842" s="55"/>
      <c r="E842" s="55"/>
      <c r="F842" s="55"/>
      <c r="G842" s="55"/>
      <c r="H842" s="55"/>
      <c r="I842" s="55"/>
      <c r="J842" s="55"/>
      <c r="K842" s="55"/>
      <c r="L842" s="55"/>
      <c r="M842" s="55"/>
      <c r="N842" s="55"/>
      <c r="O842" s="55"/>
      <c r="P842" s="55"/>
      <c r="Q842" s="55"/>
      <c r="R842" s="55"/>
      <c r="S842" s="55"/>
      <c r="T842" s="55"/>
      <c r="U842" s="55"/>
      <c r="V842" s="55"/>
      <c r="W842" s="55"/>
      <c r="X842" s="55"/>
      <c r="Y842" s="55"/>
      <c r="Z842" s="55"/>
    </row>
    <row r="843" spans="1:26" ht="15">
      <c r="A843" s="55"/>
      <c r="B843" s="55"/>
      <c r="C843" s="55"/>
      <c r="D843" s="55"/>
      <c r="E843" s="55"/>
      <c r="F843" s="55"/>
      <c r="G843" s="55"/>
      <c r="H843" s="55"/>
      <c r="I843" s="55"/>
      <c r="J843" s="55"/>
      <c r="K843" s="55"/>
      <c r="L843" s="55"/>
      <c r="M843" s="55"/>
      <c r="N843" s="55"/>
      <c r="O843" s="55"/>
      <c r="P843" s="55"/>
      <c r="Q843" s="55"/>
      <c r="R843" s="55"/>
      <c r="S843" s="55"/>
      <c r="T843" s="55"/>
      <c r="U843" s="55"/>
      <c r="V843" s="55"/>
      <c r="W843" s="55"/>
      <c r="X843" s="55"/>
      <c r="Y843" s="55"/>
      <c r="Z843" s="55"/>
    </row>
    <row r="844" spans="1:26" ht="15">
      <c r="A844" s="55"/>
      <c r="B844" s="55"/>
      <c r="C844" s="55"/>
      <c r="D844" s="55"/>
      <c r="E844" s="55"/>
      <c r="F844" s="55"/>
      <c r="G844" s="55"/>
      <c r="H844" s="55"/>
      <c r="I844" s="55"/>
      <c r="J844" s="55"/>
      <c r="K844" s="55"/>
      <c r="L844" s="55"/>
      <c r="M844" s="55"/>
      <c r="N844" s="55"/>
      <c r="O844" s="55"/>
      <c r="P844" s="55"/>
      <c r="Q844" s="55"/>
      <c r="R844" s="55"/>
      <c r="S844" s="55"/>
      <c r="T844" s="55"/>
      <c r="U844" s="55"/>
      <c r="V844" s="55"/>
      <c r="W844" s="55"/>
      <c r="X844" s="55"/>
      <c r="Y844" s="55"/>
      <c r="Z844" s="55"/>
    </row>
    <row r="845" spans="1:26" ht="15">
      <c r="A845" s="55"/>
      <c r="B845" s="55"/>
      <c r="C845" s="55"/>
      <c r="D845" s="55"/>
      <c r="E845" s="55"/>
      <c r="F845" s="55"/>
      <c r="G845" s="55"/>
      <c r="H845" s="55"/>
      <c r="I845" s="55"/>
      <c r="J845" s="55"/>
      <c r="K845" s="55"/>
      <c r="L845" s="55"/>
      <c r="M845" s="55"/>
      <c r="N845" s="55"/>
      <c r="O845" s="55"/>
      <c r="P845" s="55"/>
      <c r="Q845" s="55"/>
      <c r="R845" s="55"/>
      <c r="S845" s="55"/>
      <c r="T845" s="55"/>
      <c r="U845" s="55"/>
      <c r="V845" s="55"/>
      <c r="W845" s="55"/>
      <c r="X845" s="55"/>
      <c r="Y845" s="55"/>
      <c r="Z845" s="55"/>
    </row>
    <row r="846" spans="1:26" ht="15">
      <c r="A846" s="55"/>
      <c r="B846" s="55"/>
      <c r="C846" s="55"/>
      <c r="D846" s="55"/>
      <c r="E846" s="55"/>
      <c r="F846" s="55"/>
      <c r="G846" s="55"/>
      <c r="H846" s="55"/>
      <c r="I846" s="55"/>
      <c r="J846" s="55"/>
      <c r="K846" s="55"/>
      <c r="L846" s="55"/>
      <c r="M846" s="55"/>
      <c r="N846" s="55"/>
      <c r="O846" s="55"/>
      <c r="P846" s="55"/>
      <c r="Q846" s="55"/>
      <c r="R846" s="55"/>
      <c r="S846" s="55"/>
      <c r="T846" s="55"/>
      <c r="U846" s="55"/>
      <c r="V846" s="55"/>
      <c r="W846" s="55"/>
      <c r="X846" s="55"/>
      <c r="Y846" s="55"/>
      <c r="Z846" s="55"/>
    </row>
    <row r="847" spans="1:26" ht="15">
      <c r="A847" s="55"/>
      <c r="B847" s="55"/>
      <c r="C847" s="55"/>
      <c r="D847" s="55"/>
      <c r="E847" s="55"/>
      <c r="F847" s="55"/>
      <c r="G847" s="55"/>
      <c r="H847" s="55"/>
      <c r="I847" s="55"/>
      <c r="J847" s="55"/>
      <c r="K847" s="55"/>
      <c r="L847" s="55"/>
      <c r="M847" s="55"/>
      <c r="N847" s="55"/>
      <c r="O847" s="55"/>
      <c r="P847" s="55"/>
      <c r="Q847" s="55"/>
      <c r="R847" s="55"/>
      <c r="S847" s="55"/>
      <c r="T847" s="55"/>
      <c r="U847" s="55"/>
      <c r="V847" s="55"/>
      <c r="W847" s="55"/>
      <c r="X847" s="55"/>
      <c r="Y847" s="55"/>
      <c r="Z847" s="55"/>
    </row>
    <row r="848" spans="1:26" ht="15">
      <c r="A848" s="55"/>
      <c r="B848" s="55"/>
      <c r="C848" s="55"/>
      <c r="D848" s="55"/>
      <c r="E848" s="55"/>
      <c r="F848" s="55"/>
      <c r="G848" s="55"/>
      <c r="H848" s="55"/>
      <c r="I848" s="55"/>
      <c r="J848" s="55"/>
      <c r="K848" s="55"/>
      <c r="L848" s="55"/>
      <c r="M848" s="55"/>
      <c r="N848" s="55"/>
      <c r="O848" s="55"/>
      <c r="P848" s="55"/>
      <c r="Q848" s="55"/>
      <c r="R848" s="55"/>
      <c r="S848" s="55"/>
      <c r="T848" s="55"/>
      <c r="U848" s="55"/>
      <c r="V848" s="55"/>
      <c r="W848" s="55"/>
      <c r="X848" s="55"/>
      <c r="Y848" s="55"/>
      <c r="Z848" s="55"/>
    </row>
    <row r="849" spans="1:26" ht="15">
      <c r="A849" s="55"/>
      <c r="B849" s="55"/>
      <c r="C849" s="55"/>
      <c r="D849" s="55"/>
      <c r="E849" s="55"/>
      <c r="F849" s="55"/>
      <c r="G849" s="55"/>
      <c r="H849" s="55"/>
      <c r="I849" s="55"/>
      <c r="J849" s="55"/>
      <c r="K849" s="55"/>
      <c r="L849" s="55"/>
      <c r="M849" s="55"/>
      <c r="N849" s="55"/>
      <c r="O849" s="55"/>
      <c r="P849" s="55"/>
      <c r="Q849" s="55"/>
      <c r="R849" s="55"/>
      <c r="S849" s="55"/>
      <c r="T849" s="55"/>
      <c r="U849" s="55"/>
      <c r="V849" s="55"/>
      <c r="W849" s="55"/>
      <c r="X849" s="55"/>
      <c r="Y849" s="55"/>
      <c r="Z849" s="55"/>
    </row>
    <row r="850" spans="1:26" ht="15">
      <c r="A850" s="55"/>
      <c r="B850" s="55"/>
      <c r="C850" s="55"/>
      <c r="D850" s="55"/>
      <c r="E850" s="55"/>
      <c r="F850" s="55"/>
      <c r="G850" s="55"/>
      <c r="H850" s="55"/>
      <c r="I850" s="55"/>
      <c r="J850" s="55"/>
      <c r="K850" s="55"/>
      <c r="L850" s="55"/>
      <c r="M850" s="55"/>
      <c r="N850" s="55"/>
      <c r="O850" s="55"/>
      <c r="P850" s="55"/>
      <c r="Q850" s="55"/>
      <c r="R850" s="55"/>
      <c r="S850" s="55"/>
      <c r="T850" s="55"/>
      <c r="U850" s="55"/>
      <c r="V850" s="55"/>
      <c r="W850" s="55"/>
      <c r="X850" s="55"/>
      <c r="Y850" s="55"/>
      <c r="Z850" s="55"/>
    </row>
    <row r="851" spans="1:26" ht="15">
      <c r="A851" s="55"/>
      <c r="B851" s="55"/>
      <c r="C851" s="55"/>
      <c r="D851" s="55"/>
      <c r="E851" s="55"/>
      <c r="F851" s="55"/>
      <c r="G851" s="55"/>
      <c r="H851" s="55"/>
      <c r="I851" s="55"/>
      <c r="J851" s="55"/>
      <c r="K851" s="55"/>
      <c r="L851" s="55"/>
      <c r="M851" s="55"/>
      <c r="N851" s="55"/>
      <c r="O851" s="55"/>
      <c r="P851" s="55"/>
      <c r="Q851" s="55"/>
      <c r="R851" s="55"/>
      <c r="S851" s="55"/>
      <c r="T851" s="55"/>
      <c r="U851" s="55"/>
      <c r="V851" s="55"/>
      <c r="W851" s="55"/>
      <c r="X851" s="55"/>
      <c r="Y851" s="55"/>
      <c r="Z851" s="55"/>
    </row>
    <row r="852" spans="1:26" ht="15">
      <c r="A852" s="55"/>
      <c r="B852" s="55"/>
      <c r="C852" s="55"/>
      <c r="D852" s="55"/>
      <c r="E852" s="55"/>
      <c r="F852" s="55"/>
      <c r="G852" s="55"/>
      <c r="H852" s="55"/>
      <c r="I852" s="55"/>
      <c r="J852" s="55"/>
      <c r="K852" s="55"/>
      <c r="L852" s="55"/>
      <c r="M852" s="55"/>
      <c r="N852" s="55"/>
      <c r="O852" s="55"/>
      <c r="P852" s="55"/>
      <c r="Q852" s="55"/>
      <c r="R852" s="55"/>
      <c r="S852" s="55"/>
      <c r="T852" s="55"/>
      <c r="U852" s="55"/>
      <c r="V852" s="55"/>
      <c r="W852" s="55"/>
      <c r="X852" s="55"/>
      <c r="Y852" s="55"/>
      <c r="Z852" s="55"/>
    </row>
    <row r="853" spans="1:26" ht="15">
      <c r="A853" s="55"/>
      <c r="B853" s="55"/>
      <c r="C853" s="55"/>
      <c r="D853" s="55"/>
      <c r="E853" s="55"/>
      <c r="F853" s="55"/>
      <c r="G853" s="55"/>
      <c r="H853" s="55"/>
      <c r="I853" s="55"/>
      <c r="J853" s="55"/>
      <c r="K853" s="55"/>
      <c r="L853" s="55"/>
      <c r="M853" s="55"/>
      <c r="N853" s="55"/>
      <c r="O853" s="55"/>
      <c r="P853" s="55"/>
      <c r="Q853" s="55"/>
      <c r="R853" s="55"/>
      <c r="S853" s="55"/>
      <c r="T853" s="55"/>
      <c r="U853" s="55"/>
      <c r="V853" s="55"/>
      <c r="W853" s="55"/>
      <c r="X853" s="55"/>
      <c r="Y853" s="55"/>
      <c r="Z853" s="55"/>
    </row>
    <row r="854" spans="1:26" ht="15">
      <c r="A854" s="55"/>
      <c r="B854" s="55"/>
      <c r="C854" s="55"/>
      <c r="D854" s="55"/>
      <c r="E854" s="55"/>
      <c r="F854" s="55"/>
      <c r="G854" s="55"/>
      <c r="H854" s="55"/>
      <c r="I854" s="55"/>
      <c r="J854" s="55"/>
      <c r="K854" s="55"/>
      <c r="L854" s="55"/>
      <c r="M854" s="55"/>
      <c r="N854" s="55"/>
      <c r="O854" s="55"/>
      <c r="P854" s="55"/>
      <c r="Q854" s="55"/>
      <c r="R854" s="55"/>
      <c r="S854" s="55"/>
      <c r="T854" s="55"/>
      <c r="U854" s="55"/>
      <c r="V854" s="55"/>
      <c r="W854" s="55"/>
      <c r="X854" s="55"/>
      <c r="Y854" s="55"/>
      <c r="Z854" s="55"/>
    </row>
    <row r="855" spans="1:26" ht="15">
      <c r="A855" s="55"/>
      <c r="B855" s="55"/>
      <c r="C855" s="55"/>
      <c r="D855" s="55"/>
      <c r="E855" s="55"/>
      <c r="F855" s="55"/>
      <c r="G855" s="55"/>
      <c r="H855" s="55"/>
      <c r="I855" s="55"/>
      <c r="J855" s="55"/>
      <c r="K855" s="55"/>
      <c r="L855" s="55"/>
      <c r="M855" s="55"/>
      <c r="N855" s="55"/>
      <c r="O855" s="55"/>
      <c r="P855" s="55"/>
      <c r="Q855" s="55"/>
      <c r="R855" s="55"/>
      <c r="S855" s="55"/>
      <c r="T855" s="55"/>
      <c r="U855" s="55"/>
      <c r="V855" s="55"/>
      <c r="W855" s="55"/>
      <c r="X855" s="55"/>
      <c r="Y855" s="55"/>
      <c r="Z855" s="55"/>
    </row>
    <row r="856" spans="1:26" ht="15">
      <c r="A856" s="55"/>
      <c r="B856" s="55"/>
      <c r="C856" s="55"/>
      <c r="D856" s="55"/>
      <c r="E856" s="55"/>
      <c r="F856" s="55"/>
      <c r="G856" s="55"/>
      <c r="H856" s="55"/>
      <c r="I856" s="55"/>
      <c r="J856" s="55"/>
      <c r="K856" s="55"/>
      <c r="L856" s="55"/>
      <c r="M856" s="55"/>
      <c r="N856" s="55"/>
      <c r="O856" s="55"/>
      <c r="P856" s="55"/>
      <c r="Q856" s="55"/>
      <c r="R856" s="55"/>
      <c r="S856" s="55"/>
      <c r="T856" s="55"/>
      <c r="U856" s="55"/>
      <c r="V856" s="55"/>
      <c r="W856" s="55"/>
      <c r="X856" s="55"/>
      <c r="Y856" s="55"/>
      <c r="Z856" s="55"/>
    </row>
    <row r="857" spans="1:26" ht="15">
      <c r="A857" s="55"/>
      <c r="B857" s="55"/>
      <c r="C857" s="55"/>
      <c r="D857" s="55"/>
      <c r="E857" s="55"/>
      <c r="F857" s="55"/>
      <c r="G857" s="55"/>
      <c r="H857" s="55"/>
      <c r="I857" s="55"/>
      <c r="J857" s="55"/>
      <c r="K857" s="55"/>
      <c r="L857" s="55"/>
      <c r="M857" s="55"/>
      <c r="N857" s="55"/>
      <c r="O857" s="55"/>
      <c r="P857" s="55"/>
      <c r="Q857" s="55"/>
      <c r="R857" s="55"/>
      <c r="S857" s="55"/>
      <c r="T857" s="55"/>
      <c r="U857" s="55"/>
      <c r="V857" s="55"/>
      <c r="W857" s="55"/>
      <c r="X857" s="55"/>
      <c r="Y857" s="55"/>
      <c r="Z857" s="55"/>
    </row>
    <row r="858" spans="1:26" ht="15">
      <c r="A858" s="55"/>
      <c r="B858" s="55"/>
      <c r="C858" s="55"/>
      <c r="D858" s="55"/>
      <c r="E858" s="55"/>
      <c r="F858" s="55"/>
      <c r="G858" s="55"/>
      <c r="H858" s="55"/>
      <c r="I858" s="55"/>
      <c r="J858" s="55"/>
      <c r="K858" s="55"/>
      <c r="L858" s="55"/>
      <c r="M858" s="55"/>
      <c r="N858" s="55"/>
      <c r="O858" s="55"/>
      <c r="P858" s="55"/>
      <c r="Q858" s="55"/>
      <c r="R858" s="55"/>
      <c r="S858" s="55"/>
      <c r="T858" s="55"/>
      <c r="U858" s="55"/>
      <c r="V858" s="55"/>
      <c r="W858" s="55"/>
      <c r="X858" s="55"/>
      <c r="Y858" s="55"/>
      <c r="Z858" s="55"/>
    </row>
    <row r="859" spans="1:26" ht="15">
      <c r="A859" s="55"/>
      <c r="B859" s="55"/>
      <c r="C859" s="55"/>
      <c r="D859" s="55"/>
      <c r="E859" s="55"/>
      <c r="F859" s="55"/>
      <c r="G859" s="55"/>
      <c r="H859" s="55"/>
      <c r="I859" s="55"/>
      <c r="J859" s="55"/>
      <c r="K859" s="55"/>
      <c r="L859" s="55"/>
      <c r="M859" s="55"/>
      <c r="N859" s="55"/>
      <c r="O859" s="55"/>
      <c r="P859" s="55"/>
      <c r="Q859" s="55"/>
      <c r="R859" s="55"/>
      <c r="S859" s="55"/>
      <c r="T859" s="55"/>
      <c r="U859" s="55"/>
      <c r="V859" s="55"/>
      <c r="W859" s="55"/>
      <c r="X859" s="55"/>
      <c r="Y859" s="55"/>
      <c r="Z859" s="55"/>
    </row>
    <row r="860" spans="1:26" ht="15">
      <c r="A860" s="55"/>
      <c r="B860" s="55"/>
      <c r="C860" s="55"/>
      <c r="D860" s="55"/>
      <c r="E860" s="55"/>
      <c r="F860" s="55"/>
      <c r="G860" s="55"/>
      <c r="H860" s="55"/>
      <c r="I860" s="55"/>
      <c r="J860" s="55"/>
      <c r="K860" s="55"/>
      <c r="L860" s="55"/>
      <c r="M860" s="55"/>
      <c r="N860" s="55"/>
      <c r="O860" s="55"/>
      <c r="P860" s="55"/>
      <c r="Q860" s="55"/>
      <c r="R860" s="55"/>
      <c r="S860" s="55"/>
      <c r="T860" s="55"/>
      <c r="U860" s="55"/>
      <c r="V860" s="55"/>
      <c r="W860" s="55"/>
      <c r="X860" s="55"/>
      <c r="Y860" s="55"/>
      <c r="Z860" s="55"/>
    </row>
    <row r="861" spans="1:26" ht="15">
      <c r="A861" s="55"/>
      <c r="B861" s="55"/>
      <c r="C861" s="55"/>
      <c r="D861" s="55"/>
      <c r="E861" s="55"/>
      <c r="F861" s="55"/>
      <c r="G861" s="55"/>
      <c r="H861" s="55"/>
      <c r="I861" s="55"/>
      <c r="J861" s="55"/>
      <c r="K861" s="55"/>
      <c r="L861" s="55"/>
      <c r="M861" s="55"/>
      <c r="N861" s="55"/>
      <c r="O861" s="55"/>
      <c r="P861" s="55"/>
      <c r="Q861" s="55"/>
      <c r="R861" s="55"/>
      <c r="S861" s="55"/>
      <c r="T861" s="55"/>
      <c r="U861" s="55"/>
      <c r="V861" s="55"/>
      <c r="W861" s="55"/>
      <c r="X861" s="55"/>
      <c r="Y861" s="55"/>
      <c r="Z861" s="55"/>
    </row>
    <row r="862" spans="1:26" ht="15">
      <c r="A862" s="55"/>
      <c r="B862" s="55"/>
      <c r="C862" s="55"/>
      <c r="D862" s="55"/>
      <c r="E862" s="55"/>
      <c r="F862" s="55"/>
      <c r="G862" s="55"/>
      <c r="H862" s="55"/>
      <c r="I862" s="55"/>
      <c r="J862" s="55"/>
      <c r="K862" s="55"/>
      <c r="L862" s="55"/>
      <c r="M862" s="55"/>
      <c r="N862" s="55"/>
      <c r="O862" s="55"/>
      <c r="P862" s="55"/>
      <c r="Q862" s="55"/>
      <c r="R862" s="55"/>
      <c r="S862" s="55"/>
      <c r="T862" s="55"/>
      <c r="U862" s="55"/>
      <c r="V862" s="55"/>
      <c r="W862" s="55"/>
      <c r="X862" s="55"/>
      <c r="Y862" s="55"/>
      <c r="Z862" s="55"/>
    </row>
    <row r="863" spans="1:26" ht="15">
      <c r="A863" s="55"/>
      <c r="B863" s="55"/>
      <c r="C863" s="55"/>
      <c r="D863" s="55"/>
      <c r="E863" s="55"/>
      <c r="F863" s="55"/>
      <c r="G863" s="55"/>
      <c r="H863" s="55"/>
      <c r="I863" s="55"/>
      <c r="J863" s="55"/>
      <c r="K863" s="55"/>
      <c r="L863" s="55"/>
      <c r="M863" s="55"/>
      <c r="N863" s="55"/>
      <c r="O863" s="55"/>
      <c r="P863" s="55"/>
      <c r="Q863" s="55"/>
      <c r="R863" s="55"/>
      <c r="S863" s="55"/>
      <c r="T863" s="55"/>
      <c r="U863" s="55"/>
      <c r="V863" s="55"/>
      <c r="W863" s="55"/>
      <c r="X863" s="55"/>
      <c r="Y863" s="55"/>
      <c r="Z863" s="55"/>
    </row>
    <row r="864" spans="1:26" ht="15">
      <c r="A864" s="55"/>
      <c r="B864" s="55"/>
      <c r="C864" s="55"/>
      <c r="D864" s="55"/>
      <c r="E864" s="55"/>
      <c r="F864" s="55"/>
      <c r="G864" s="55"/>
      <c r="H864" s="55"/>
      <c r="I864" s="55"/>
      <c r="J864" s="55"/>
      <c r="K864" s="55"/>
      <c r="L864" s="55"/>
      <c r="M864" s="55"/>
      <c r="N864" s="55"/>
      <c r="O864" s="55"/>
      <c r="P864" s="55"/>
      <c r="Q864" s="55"/>
      <c r="R864" s="55"/>
      <c r="S864" s="55"/>
      <c r="T864" s="55"/>
      <c r="U864" s="55"/>
      <c r="V864" s="55"/>
      <c r="W864" s="55"/>
      <c r="X864" s="55"/>
      <c r="Y864" s="55"/>
      <c r="Z864" s="55"/>
    </row>
    <row r="865" spans="1:26" ht="15">
      <c r="A865" s="55"/>
      <c r="B865" s="55"/>
      <c r="C865" s="55"/>
      <c r="D865" s="55"/>
      <c r="E865" s="55"/>
      <c r="F865" s="55"/>
      <c r="G865" s="55"/>
      <c r="H865" s="55"/>
      <c r="I865" s="55"/>
      <c r="J865" s="55"/>
      <c r="K865" s="55"/>
      <c r="L865" s="55"/>
      <c r="M865" s="55"/>
      <c r="N865" s="55"/>
      <c r="O865" s="55"/>
      <c r="P865" s="55"/>
      <c r="Q865" s="55"/>
      <c r="R865" s="55"/>
      <c r="S865" s="55"/>
      <c r="T865" s="55"/>
      <c r="U865" s="55"/>
      <c r="V865" s="55"/>
      <c r="W865" s="55"/>
      <c r="X865" s="55"/>
      <c r="Y865" s="55"/>
      <c r="Z865" s="55"/>
    </row>
    <row r="866" spans="1:26" ht="15">
      <c r="A866" s="55"/>
      <c r="B866" s="55"/>
      <c r="C866" s="55"/>
      <c r="D866" s="55"/>
      <c r="E866" s="55"/>
      <c r="F866" s="55"/>
      <c r="G866" s="55"/>
      <c r="H866" s="55"/>
      <c r="I866" s="55"/>
      <c r="J866" s="55"/>
      <c r="K866" s="55"/>
      <c r="L866" s="55"/>
      <c r="M866" s="55"/>
      <c r="N866" s="55"/>
      <c r="O866" s="55"/>
      <c r="P866" s="55"/>
      <c r="Q866" s="55"/>
      <c r="R866" s="55"/>
      <c r="S866" s="55"/>
      <c r="T866" s="55"/>
      <c r="U866" s="55"/>
      <c r="V866" s="55"/>
      <c r="W866" s="55"/>
      <c r="X866" s="55"/>
      <c r="Y866" s="55"/>
      <c r="Z866" s="55"/>
    </row>
    <row r="867" spans="1:26" ht="15">
      <c r="A867" s="55"/>
      <c r="B867" s="55"/>
      <c r="C867" s="55"/>
      <c r="D867" s="55"/>
      <c r="E867" s="55"/>
      <c r="F867" s="55"/>
      <c r="G867" s="55"/>
      <c r="H867" s="55"/>
      <c r="I867" s="55"/>
      <c r="J867" s="55"/>
      <c r="K867" s="55"/>
      <c r="L867" s="55"/>
      <c r="M867" s="55"/>
      <c r="N867" s="55"/>
      <c r="O867" s="55"/>
      <c r="P867" s="55"/>
      <c r="Q867" s="55"/>
      <c r="R867" s="55"/>
      <c r="S867" s="55"/>
      <c r="T867" s="55"/>
      <c r="U867" s="55"/>
      <c r="V867" s="55"/>
      <c r="W867" s="55"/>
      <c r="X867" s="55"/>
      <c r="Y867" s="55"/>
      <c r="Z867" s="55"/>
    </row>
    <row r="868" spans="1:26" ht="15">
      <c r="A868" s="55"/>
      <c r="B868" s="55"/>
      <c r="C868" s="55"/>
      <c r="D868" s="55"/>
      <c r="E868" s="55"/>
      <c r="F868" s="55"/>
      <c r="G868" s="55"/>
      <c r="H868" s="55"/>
      <c r="I868" s="55"/>
      <c r="J868" s="55"/>
      <c r="K868" s="55"/>
      <c r="L868" s="55"/>
      <c r="M868" s="55"/>
      <c r="N868" s="55"/>
      <c r="O868" s="55"/>
      <c r="P868" s="55"/>
      <c r="Q868" s="55"/>
      <c r="R868" s="55"/>
      <c r="S868" s="55"/>
      <c r="T868" s="55"/>
      <c r="U868" s="55"/>
      <c r="V868" s="55"/>
      <c r="W868" s="55"/>
      <c r="X868" s="55"/>
      <c r="Y868" s="55"/>
      <c r="Z868" s="55"/>
    </row>
    <row r="869" spans="1:26" ht="15">
      <c r="A869" s="55"/>
      <c r="B869" s="55"/>
      <c r="C869" s="55"/>
      <c r="D869" s="55"/>
      <c r="E869" s="55"/>
      <c r="F869" s="55"/>
      <c r="G869" s="55"/>
      <c r="H869" s="55"/>
      <c r="I869" s="55"/>
      <c r="J869" s="55"/>
      <c r="K869" s="55"/>
      <c r="L869" s="55"/>
      <c r="M869" s="55"/>
      <c r="N869" s="55"/>
      <c r="O869" s="55"/>
      <c r="P869" s="55"/>
      <c r="Q869" s="55"/>
      <c r="R869" s="55"/>
      <c r="S869" s="55"/>
      <c r="T869" s="55"/>
      <c r="U869" s="55"/>
      <c r="V869" s="55"/>
      <c r="W869" s="55"/>
      <c r="X869" s="55"/>
      <c r="Y869" s="55"/>
      <c r="Z869" s="55"/>
    </row>
    <row r="870" spans="1:26" ht="15">
      <c r="A870" s="55"/>
      <c r="B870" s="55"/>
      <c r="C870" s="55"/>
      <c r="D870" s="55"/>
      <c r="E870" s="55"/>
      <c r="F870" s="55"/>
      <c r="G870" s="55"/>
      <c r="H870" s="55"/>
      <c r="I870" s="55"/>
      <c r="J870" s="55"/>
      <c r="K870" s="55"/>
      <c r="L870" s="55"/>
      <c r="M870" s="55"/>
      <c r="N870" s="55"/>
      <c r="O870" s="55"/>
      <c r="P870" s="55"/>
      <c r="Q870" s="55"/>
      <c r="R870" s="55"/>
      <c r="S870" s="55"/>
      <c r="T870" s="55"/>
      <c r="U870" s="55"/>
      <c r="V870" s="55"/>
      <c r="W870" s="55"/>
      <c r="X870" s="55"/>
      <c r="Y870" s="55"/>
      <c r="Z870" s="55"/>
    </row>
    <row r="871" spans="1:26" ht="15">
      <c r="A871" s="55"/>
      <c r="B871" s="55"/>
      <c r="C871" s="55"/>
      <c r="D871" s="55"/>
      <c r="E871" s="55"/>
      <c r="F871" s="55"/>
      <c r="G871" s="55"/>
      <c r="H871" s="55"/>
      <c r="I871" s="55"/>
      <c r="J871" s="55"/>
      <c r="K871" s="55"/>
      <c r="L871" s="55"/>
      <c r="M871" s="55"/>
      <c r="N871" s="55"/>
      <c r="O871" s="55"/>
      <c r="P871" s="55"/>
      <c r="Q871" s="55"/>
      <c r="R871" s="55"/>
      <c r="S871" s="55"/>
      <c r="T871" s="55"/>
      <c r="U871" s="55"/>
      <c r="V871" s="55"/>
      <c r="W871" s="55"/>
      <c r="X871" s="55"/>
      <c r="Y871" s="55"/>
      <c r="Z871" s="55"/>
    </row>
    <row r="872" spans="1:26" ht="15">
      <c r="A872" s="55"/>
      <c r="B872" s="55"/>
      <c r="C872" s="55"/>
      <c r="D872" s="55"/>
      <c r="E872" s="55"/>
      <c r="F872" s="55"/>
      <c r="G872" s="55"/>
      <c r="H872" s="55"/>
      <c r="I872" s="55"/>
      <c r="J872" s="55"/>
      <c r="K872" s="55"/>
      <c r="L872" s="55"/>
      <c r="M872" s="55"/>
      <c r="N872" s="55"/>
      <c r="O872" s="55"/>
      <c r="P872" s="55"/>
      <c r="Q872" s="55"/>
      <c r="R872" s="55"/>
      <c r="S872" s="55"/>
      <c r="T872" s="55"/>
      <c r="U872" s="55"/>
      <c r="V872" s="55"/>
      <c r="W872" s="55"/>
      <c r="X872" s="55"/>
      <c r="Y872" s="55"/>
      <c r="Z872" s="55"/>
    </row>
    <row r="873" spans="1:26" ht="15">
      <c r="A873" s="55"/>
      <c r="B873" s="55"/>
      <c r="C873" s="55"/>
      <c r="D873" s="55"/>
      <c r="E873" s="55"/>
      <c r="F873" s="55"/>
      <c r="G873" s="55"/>
      <c r="H873" s="55"/>
      <c r="I873" s="55"/>
      <c r="J873" s="55"/>
      <c r="K873" s="55"/>
      <c r="L873" s="55"/>
      <c r="M873" s="55"/>
      <c r="N873" s="55"/>
      <c r="O873" s="55"/>
      <c r="P873" s="55"/>
      <c r="Q873" s="55"/>
      <c r="R873" s="55"/>
      <c r="S873" s="55"/>
      <c r="T873" s="55"/>
      <c r="U873" s="55"/>
      <c r="V873" s="55"/>
      <c r="W873" s="55"/>
      <c r="X873" s="55"/>
      <c r="Y873" s="55"/>
      <c r="Z873" s="55"/>
    </row>
    <row r="874" spans="1:26" ht="15">
      <c r="A874" s="55"/>
      <c r="B874" s="55"/>
      <c r="C874" s="55"/>
      <c r="D874" s="55"/>
      <c r="E874" s="55"/>
      <c r="F874" s="55"/>
      <c r="G874" s="55"/>
      <c r="H874" s="55"/>
      <c r="I874" s="55"/>
      <c r="J874" s="55"/>
      <c r="K874" s="55"/>
      <c r="L874" s="55"/>
      <c r="M874" s="55"/>
      <c r="N874" s="55"/>
      <c r="O874" s="55"/>
      <c r="P874" s="55"/>
      <c r="Q874" s="55"/>
      <c r="R874" s="55"/>
      <c r="S874" s="55"/>
      <c r="T874" s="55"/>
      <c r="U874" s="55"/>
      <c r="V874" s="55"/>
      <c r="W874" s="55"/>
      <c r="X874" s="55"/>
      <c r="Y874" s="55"/>
      <c r="Z874" s="55"/>
    </row>
    <row r="875" spans="1:26" ht="15">
      <c r="A875" s="55"/>
      <c r="B875" s="55"/>
      <c r="C875" s="55"/>
      <c r="D875" s="55"/>
      <c r="E875" s="55"/>
      <c r="F875" s="55"/>
      <c r="G875" s="55"/>
      <c r="H875" s="55"/>
      <c r="I875" s="55"/>
      <c r="J875" s="55"/>
      <c r="K875" s="55"/>
      <c r="L875" s="55"/>
      <c r="M875" s="55"/>
      <c r="N875" s="55"/>
      <c r="O875" s="55"/>
      <c r="P875" s="55"/>
      <c r="Q875" s="55"/>
      <c r="R875" s="55"/>
      <c r="S875" s="55"/>
      <c r="T875" s="55"/>
      <c r="U875" s="55"/>
      <c r="V875" s="55"/>
      <c r="W875" s="55"/>
      <c r="X875" s="55"/>
      <c r="Y875" s="55"/>
      <c r="Z875" s="55"/>
    </row>
    <row r="876" spans="1:26" ht="15">
      <c r="A876" s="55"/>
      <c r="B876" s="55"/>
      <c r="C876" s="55"/>
      <c r="D876" s="55"/>
      <c r="E876" s="55"/>
      <c r="F876" s="55"/>
      <c r="G876" s="55"/>
      <c r="H876" s="55"/>
      <c r="I876" s="55"/>
      <c r="J876" s="55"/>
      <c r="K876" s="55"/>
      <c r="L876" s="55"/>
      <c r="M876" s="55"/>
      <c r="N876" s="55"/>
      <c r="O876" s="55"/>
      <c r="P876" s="55"/>
      <c r="Q876" s="55"/>
      <c r="R876" s="55"/>
      <c r="S876" s="55"/>
      <c r="T876" s="55"/>
      <c r="U876" s="55"/>
      <c r="V876" s="55"/>
      <c r="W876" s="55"/>
      <c r="X876" s="55"/>
      <c r="Y876" s="55"/>
      <c r="Z876" s="55"/>
    </row>
    <row r="877" spans="1:26" ht="15">
      <c r="A877" s="55"/>
      <c r="B877" s="55"/>
      <c r="C877" s="55"/>
      <c r="D877" s="55"/>
      <c r="E877" s="55"/>
      <c r="F877" s="55"/>
      <c r="G877" s="55"/>
      <c r="H877" s="55"/>
      <c r="I877" s="55"/>
      <c r="J877" s="55"/>
      <c r="K877" s="55"/>
      <c r="L877" s="55"/>
      <c r="M877" s="55"/>
      <c r="N877" s="55"/>
      <c r="O877" s="55"/>
      <c r="P877" s="55"/>
      <c r="Q877" s="55"/>
      <c r="R877" s="55"/>
      <c r="S877" s="55"/>
      <c r="T877" s="55"/>
      <c r="U877" s="55"/>
      <c r="V877" s="55"/>
      <c r="W877" s="55"/>
      <c r="X877" s="55"/>
      <c r="Y877" s="55"/>
      <c r="Z877" s="55"/>
    </row>
    <row r="878" spans="1:26" ht="15">
      <c r="A878" s="55"/>
      <c r="B878" s="55"/>
      <c r="C878" s="55"/>
      <c r="D878" s="55"/>
      <c r="E878" s="55"/>
      <c r="F878" s="55"/>
      <c r="G878" s="55"/>
      <c r="H878" s="55"/>
      <c r="I878" s="55"/>
      <c r="J878" s="55"/>
      <c r="K878" s="55"/>
      <c r="L878" s="55"/>
      <c r="M878" s="55"/>
      <c r="N878" s="55"/>
      <c r="O878" s="55"/>
      <c r="P878" s="55"/>
      <c r="Q878" s="55"/>
      <c r="R878" s="55"/>
      <c r="S878" s="55"/>
      <c r="T878" s="55"/>
      <c r="U878" s="55"/>
      <c r="V878" s="55"/>
      <c r="W878" s="55"/>
      <c r="X878" s="55"/>
      <c r="Y878" s="55"/>
      <c r="Z878" s="55"/>
    </row>
    <row r="879" spans="1:26" ht="15">
      <c r="A879" s="55"/>
      <c r="B879" s="55"/>
      <c r="C879" s="55"/>
      <c r="D879" s="55"/>
      <c r="E879" s="55"/>
      <c r="F879" s="55"/>
      <c r="G879" s="55"/>
      <c r="H879" s="55"/>
      <c r="I879" s="55"/>
      <c r="J879" s="55"/>
      <c r="K879" s="55"/>
      <c r="L879" s="55"/>
      <c r="M879" s="55"/>
      <c r="N879" s="55"/>
      <c r="O879" s="55"/>
      <c r="P879" s="55"/>
      <c r="Q879" s="55"/>
      <c r="R879" s="55"/>
      <c r="S879" s="55"/>
      <c r="T879" s="55"/>
      <c r="U879" s="55"/>
      <c r="V879" s="55"/>
      <c r="W879" s="55"/>
      <c r="X879" s="55"/>
      <c r="Y879" s="55"/>
      <c r="Z879" s="55"/>
    </row>
    <row r="880" spans="1:26" ht="15">
      <c r="A880" s="55"/>
      <c r="B880" s="55"/>
      <c r="C880" s="55"/>
      <c r="D880" s="55"/>
      <c r="E880" s="55"/>
      <c r="F880" s="55"/>
      <c r="G880" s="55"/>
      <c r="H880" s="55"/>
      <c r="I880" s="55"/>
      <c r="J880" s="55"/>
      <c r="K880" s="55"/>
      <c r="L880" s="55"/>
      <c r="M880" s="55"/>
      <c r="N880" s="55"/>
      <c r="O880" s="55"/>
      <c r="P880" s="55"/>
      <c r="Q880" s="55"/>
      <c r="R880" s="55"/>
      <c r="S880" s="55"/>
      <c r="T880" s="55"/>
      <c r="U880" s="55"/>
      <c r="V880" s="55"/>
      <c r="W880" s="55"/>
      <c r="X880" s="55"/>
      <c r="Y880" s="55"/>
      <c r="Z880" s="55"/>
    </row>
    <row r="881" spans="1:26" ht="15">
      <c r="A881" s="55"/>
      <c r="B881" s="55"/>
      <c r="C881" s="55"/>
      <c r="D881" s="55"/>
      <c r="E881" s="55"/>
      <c r="F881" s="55"/>
      <c r="G881" s="55"/>
      <c r="H881" s="55"/>
      <c r="I881" s="55"/>
      <c r="J881" s="55"/>
      <c r="K881" s="55"/>
      <c r="L881" s="55"/>
      <c r="M881" s="55"/>
      <c r="N881" s="55"/>
      <c r="O881" s="55"/>
      <c r="P881" s="55"/>
      <c r="Q881" s="55"/>
      <c r="R881" s="55"/>
      <c r="S881" s="55"/>
      <c r="T881" s="55"/>
      <c r="U881" s="55"/>
      <c r="V881" s="55"/>
      <c r="W881" s="55"/>
      <c r="X881" s="55"/>
      <c r="Y881" s="55"/>
      <c r="Z881" s="55"/>
    </row>
    <row r="882" spans="1:26" ht="15">
      <c r="A882" s="55"/>
      <c r="B882" s="55"/>
      <c r="C882" s="55"/>
      <c r="D882" s="55"/>
      <c r="E882" s="55"/>
      <c r="F882" s="55"/>
      <c r="G882" s="55"/>
      <c r="H882" s="55"/>
      <c r="I882" s="55"/>
      <c r="J882" s="55"/>
      <c r="K882" s="55"/>
      <c r="L882" s="55"/>
      <c r="M882" s="55"/>
      <c r="N882" s="55"/>
      <c r="O882" s="55"/>
      <c r="P882" s="55"/>
      <c r="Q882" s="55"/>
      <c r="R882" s="55"/>
      <c r="S882" s="55"/>
      <c r="T882" s="55"/>
      <c r="U882" s="55"/>
      <c r="V882" s="55"/>
      <c r="W882" s="55"/>
      <c r="X882" s="55"/>
      <c r="Y882" s="55"/>
      <c r="Z882" s="55"/>
    </row>
    <row r="883" spans="1:26" ht="15">
      <c r="A883" s="55"/>
      <c r="B883" s="55"/>
      <c r="C883" s="55"/>
      <c r="D883" s="55"/>
      <c r="E883" s="55"/>
      <c r="F883" s="55"/>
      <c r="G883" s="55"/>
      <c r="H883" s="55"/>
      <c r="I883" s="55"/>
      <c r="J883" s="55"/>
      <c r="K883" s="55"/>
      <c r="L883" s="55"/>
      <c r="M883" s="55"/>
      <c r="N883" s="55"/>
      <c r="O883" s="55"/>
      <c r="P883" s="55"/>
      <c r="Q883" s="55"/>
      <c r="R883" s="55"/>
      <c r="S883" s="55"/>
      <c r="T883" s="55"/>
      <c r="U883" s="55"/>
      <c r="V883" s="55"/>
      <c r="W883" s="55"/>
      <c r="X883" s="55"/>
      <c r="Y883" s="55"/>
      <c r="Z883" s="55"/>
    </row>
    <row r="884" spans="1:26" ht="15">
      <c r="A884" s="55"/>
      <c r="B884" s="55"/>
      <c r="C884" s="55"/>
      <c r="D884" s="55"/>
      <c r="E884" s="55"/>
      <c r="F884" s="55"/>
      <c r="G884" s="55"/>
      <c r="H884" s="55"/>
      <c r="I884" s="55"/>
      <c r="J884" s="55"/>
      <c r="K884" s="55"/>
      <c r="L884" s="55"/>
      <c r="M884" s="55"/>
      <c r="N884" s="55"/>
      <c r="O884" s="55"/>
      <c r="P884" s="55"/>
      <c r="Q884" s="55"/>
      <c r="R884" s="55"/>
      <c r="S884" s="55"/>
      <c r="T884" s="55"/>
      <c r="U884" s="55"/>
      <c r="V884" s="55"/>
      <c r="W884" s="55"/>
      <c r="X884" s="55"/>
      <c r="Y884" s="55"/>
      <c r="Z884" s="55"/>
    </row>
    <row r="885" spans="1:26" ht="15">
      <c r="A885" s="55"/>
      <c r="B885" s="55"/>
      <c r="C885" s="55"/>
      <c r="D885" s="55"/>
      <c r="E885" s="55"/>
      <c r="F885" s="55"/>
      <c r="G885" s="55"/>
      <c r="H885" s="55"/>
      <c r="I885" s="55"/>
      <c r="J885" s="55"/>
      <c r="K885" s="55"/>
      <c r="L885" s="55"/>
      <c r="M885" s="55"/>
      <c r="N885" s="55"/>
      <c r="O885" s="55"/>
      <c r="P885" s="55"/>
      <c r="Q885" s="55"/>
      <c r="R885" s="55"/>
      <c r="S885" s="55"/>
      <c r="T885" s="55"/>
      <c r="U885" s="55"/>
      <c r="V885" s="55"/>
      <c r="W885" s="55"/>
      <c r="X885" s="55"/>
      <c r="Y885" s="55"/>
      <c r="Z885" s="55"/>
    </row>
    <row r="886" spans="1:26" ht="15">
      <c r="A886" s="55"/>
      <c r="B886" s="55"/>
      <c r="C886" s="55"/>
      <c r="D886" s="55"/>
      <c r="E886" s="55"/>
      <c r="F886" s="55"/>
      <c r="G886" s="55"/>
      <c r="H886" s="55"/>
      <c r="I886" s="55"/>
      <c r="J886" s="55"/>
      <c r="K886" s="55"/>
      <c r="L886" s="55"/>
      <c r="M886" s="55"/>
      <c r="N886" s="55"/>
      <c r="O886" s="55"/>
      <c r="P886" s="55"/>
      <c r="Q886" s="55"/>
      <c r="R886" s="55"/>
      <c r="S886" s="55"/>
      <c r="T886" s="55"/>
      <c r="U886" s="55"/>
      <c r="V886" s="55"/>
      <c r="W886" s="55"/>
      <c r="X886" s="55"/>
      <c r="Y886" s="55"/>
      <c r="Z886" s="55"/>
    </row>
    <row r="887" spans="1:26" ht="15">
      <c r="A887" s="55"/>
      <c r="B887" s="55"/>
      <c r="C887" s="55"/>
      <c r="D887" s="55"/>
      <c r="E887" s="55"/>
      <c r="F887" s="55"/>
      <c r="G887" s="55"/>
      <c r="H887" s="55"/>
      <c r="I887" s="55"/>
      <c r="J887" s="55"/>
      <c r="K887" s="55"/>
      <c r="L887" s="55"/>
      <c r="M887" s="55"/>
      <c r="N887" s="55"/>
      <c r="O887" s="55"/>
      <c r="P887" s="55"/>
      <c r="Q887" s="55"/>
      <c r="R887" s="55"/>
      <c r="S887" s="55"/>
      <c r="T887" s="55"/>
      <c r="U887" s="55"/>
      <c r="V887" s="55"/>
      <c r="W887" s="55"/>
      <c r="X887" s="55"/>
      <c r="Y887" s="55"/>
      <c r="Z887" s="55"/>
    </row>
    <row r="888" spans="1:26" ht="15">
      <c r="A888" s="55"/>
      <c r="B888" s="55"/>
      <c r="C888" s="55"/>
      <c r="D888" s="55"/>
      <c r="E888" s="55"/>
      <c r="F888" s="55"/>
      <c r="G888" s="55"/>
      <c r="H888" s="55"/>
      <c r="I888" s="55"/>
      <c r="J888" s="55"/>
      <c r="K888" s="55"/>
      <c r="L888" s="55"/>
      <c r="M888" s="55"/>
      <c r="N888" s="55"/>
      <c r="O888" s="55"/>
      <c r="P888" s="55"/>
      <c r="Q888" s="55"/>
      <c r="R888" s="55"/>
      <c r="S888" s="55"/>
      <c r="T888" s="55"/>
      <c r="U888" s="55"/>
      <c r="V888" s="55"/>
      <c r="W888" s="55"/>
      <c r="X888" s="55"/>
      <c r="Y888" s="55"/>
      <c r="Z888" s="55"/>
    </row>
    <row r="889" spans="1:26" ht="15">
      <c r="A889" s="55"/>
      <c r="B889" s="55"/>
      <c r="C889" s="55"/>
      <c r="D889" s="55"/>
      <c r="E889" s="55"/>
      <c r="F889" s="55"/>
      <c r="G889" s="55"/>
      <c r="H889" s="55"/>
      <c r="I889" s="55"/>
      <c r="J889" s="55"/>
      <c r="K889" s="55"/>
      <c r="L889" s="55"/>
      <c r="M889" s="55"/>
      <c r="N889" s="55"/>
      <c r="O889" s="55"/>
      <c r="P889" s="55"/>
      <c r="Q889" s="55"/>
      <c r="R889" s="55"/>
      <c r="S889" s="55"/>
      <c r="T889" s="55"/>
      <c r="U889" s="55"/>
      <c r="V889" s="55"/>
      <c r="W889" s="55"/>
      <c r="X889" s="55"/>
      <c r="Y889" s="55"/>
      <c r="Z889" s="55"/>
    </row>
    <row r="890" spans="1:26" ht="15">
      <c r="A890" s="55"/>
      <c r="B890" s="55"/>
      <c r="C890" s="55"/>
      <c r="D890" s="55"/>
      <c r="E890" s="55"/>
      <c r="F890" s="55"/>
      <c r="G890" s="55"/>
      <c r="H890" s="55"/>
      <c r="I890" s="55"/>
      <c r="J890" s="55"/>
      <c r="K890" s="55"/>
      <c r="L890" s="55"/>
      <c r="M890" s="55"/>
      <c r="N890" s="55"/>
      <c r="O890" s="55"/>
      <c r="P890" s="55"/>
      <c r="Q890" s="55"/>
      <c r="R890" s="55"/>
      <c r="S890" s="55"/>
      <c r="T890" s="55"/>
      <c r="U890" s="55"/>
      <c r="V890" s="55"/>
      <c r="W890" s="55"/>
      <c r="X890" s="55"/>
      <c r="Y890" s="55"/>
      <c r="Z890" s="55"/>
    </row>
    <row r="891" spans="1:26" ht="15">
      <c r="A891" s="55"/>
      <c r="B891" s="55"/>
      <c r="C891" s="55"/>
      <c r="D891" s="55"/>
      <c r="E891" s="55"/>
      <c r="F891" s="55"/>
      <c r="G891" s="55"/>
      <c r="H891" s="55"/>
      <c r="I891" s="55"/>
      <c r="J891" s="55"/>
      <c r="K891" s="55"/>
      <c r="L891" s="55"/>
      <c r="M891" s="55"/>
      <c r="N891" s="55"/>
      <c r="O891" s="55"/>
      <c r="P891" s="55"/>
      <c r="Q891" s="55"/>
      <c r="R891" s="55"/>
      <c r="S891" s="55"/>
      <c r="T891" s="55"/>
      <c r="U891" s="55"/>
      <c r="V891" s="55"/>
      <c r="W891" s="55"/>
      <c r="X891" s="55"/>
      <c r="Y891" s="55"/>
      <c r="Z891" s="55"/>
    </row>
    <row r="892" spans="1:26" ht="15">
      <c r="A892" s="55"/>
      <c r="B892" s="55"/>
      <c r="C892" s="55"/>
      <c r="D892" s="55"/>
      <c r="E892" s="55"/>
      <c r="F892" s="55"/>
      <c r="G892" s="55"/>
      <c r="H892" s="55"/>
      <c r="I892" s="55"/>
      <c r="J892" s="55"/>
      <c r="K892" s="55"/>
      <c r="L892" s="55"/>
      <c r="M892" s="55"/>
      <c r="N892" s="55"/>
      <c r="O892" s="55"/>
      <c r="P892" s="55"/>
      <c r="Q892" s="55"/>
      <c r="R892" s="55"/>
      <c r="S892" s="55"/>
      <c r="T892" s="55"/>
      <c r="U892" s="55"/>
      <c r="V892" s="55"/>
      <c r="W892" s="55"/>
      <c r="X892" s="55"/>
      <c r="Y892" s="55"/>
      <c r="Z892" s="55"/>
    </row>
    <row r="893" spans="1:26" ht="15">
      <c r="A893" s="55"/>
      <c r="B893" s="55"/>
      <c r="C893" s="55"/>
      <c r="D893" s="55"/>
      <c r="E893" s="55"/>
      <c r="F893" s="55"/>
      <c r="G893" s="55"/>
      <c r="H893" s="55"/>
      <c r="I893" s="55"/>
      <c r="J893" s="55"/>
      <c r="K893" s="55"/>
      <c r="L893" s="55"/>
      <c r="M893" s="55"/>
      <c r="N893" s="55"/>
      <c r="O893" s="55"/>
      <c r="P893" s="55"/>
      <c r="Q893" s="55"/>
      <c r="R893" s="55"/>
      <c r="S893" s="55"/>
      <c r="T893" s="55"/>
      <c r="U893" s="55"/>
      <c r="V893" s="55"/>
      <c r="W893" s="55"/>
      <c r="X893" s="55"/>
      <c r="Y893" s="55"/>
      <c r="Z893" s="55"/>
    </row>
    <row r="894" spans="1:26" ht="15">
      <c r="A894" s="55"/>
      <c r="B894" s="55"/>
      <c r="C894" s="55"/>
      <c r="D894" s="55"/>
      <c r="E894" s="55"/>
      <c r="F894" s="55"/>
      <c r="G894" s="55"/>
      <c r="H894" s="55"/>
      <c r="I894" s="55"/>
      <c r="J894" s="55"/>
      <c r="K894" s="55"/>
      <c r="L894" s="55"/>
      <c r="M894" s="55"/>
      <c r="N894" s="55"/>
      <c r="O894" s="55"/>
      <c r="P894" s="55"/>
      <c r="Q894" s="55"/>
      <c r="R894" s="55"/>
      <c r="S894" s="55"/>
      <c r="T894" s="55"/>
      <c r="U894" s="55"/>
      <c r="V894" s="55"/>
      <c r="W894" s="55"/>
      <c r="X894" s="55"/>
      <c r="Y894" s="55"/>
      <c r="Z894" s="55"/>
    </row>
    <row r="895" spans="1:26" ht="15">
      <c r="A895" s="55"/>
      <c r="B895" s="55"/>
      <c r="C895" s="55"/>
      <c r="D895" s="55"/>
      <c r="E895" s="55"/>
      <c r="F895" s="55"/>
      <c r="G895" s="55"/>
      <c r="H895" s="55"/>
      <c r="I895" s="55"/>
      <c r="J895" s="55"/>
      <c r="K895" s="55"/>
      <c r="L895" s="55"/>
      <c r="M895" s="55"/>
      <c r="N895" s="55"/>
      <c r="O895" s="55"/>
      <c r="P895" s="55"/>
      <c r="Q895" s="55"/>
      <c r="R895" s="55"/>
      <c r="S895" s="55"/>
      <c r="T895" s="55"/>
      <c r="U895" s="55"/>
      <c r="V895" s="55"/>
      <c r="W895" s="55"/>
      <c r="X895" s="55"/>
      <c r="Y895" s="55"/>
      <c r="Z895" s="55"/>
    </row>
    <row r="896" spans="1:26" ht="15">
      <c r="A896" s="55"/>
      <c r="B896" s="55"/>
      <c r="C896" s="55"/>
      <c r="D896" s="55"/>
      <c r="E896" s="55"/>
      <c r="F896" s="55"/>
      <c r="G896" s="55"/>
      <c r="H896" s="55"/>
      <c r="I896" s="55"/>
      <c r="J896" s="55"/>
      <c r="K896" s="55"/>
      <c r="L896" s="55"/>
      <c r="M896" s="55"/>
      <c r="N896" s="55"/>
      <c r="O896" s="55"/>
      <c r="P896" s="55"/>
      <c r="Q896" s="55"/>
      <c r="R896" s="55"/>
      <c r="S896" s="55"/>
      <c r="T896" s="55"/>
      <c r="U896" s="55"/>
      <c r="V896" s="55"/>
      <c r="W896" s="55"/>
      <c r="X896" s="55"/>
      <c r="Y896" s="55"/>
      <c r="Z896" s="55"/>
    </row>
    <row r="897" spans="1:26" ht="15">
      <c r="A897" s="55"/>
      <c r="B897" s="55"/>
      <c r="C897" s="55"/>
      <c r="D897" s="55"/>
      <c r="E897" s="55"/>
      <c r="F897" s="55"/>
      <c r="G897" s="55"/>
      <c r="H897" s="55"/>
      <c r="I897" s="55"/>
      <c r="J897" s="55"/>
      <c r="K897" s="55"/>
      <c r="L897" s="55"/>
      <c r="M897" s="55"/>
      <c r="N897" s="55"/>
      <c r="O897" s="55"/>
      <c r="P897" s="55"/>
      <c r="Q897" s="55"/>
      <c r="R897" s="55"/>
      <c r="S897" s="55"/>
      <c r="T897" s="55"/>
      <c r="U897" s="55"/>
      <c r="V897" s="55"/>
      <c r="W897" s="55"/>
      <c r="X897" s="55"/>
      <c r="Y897" s="55"/>
      <c r="Z897" s="55"/>
    </row>
    <row r="898" spans="1:26" ht="15">
      <c r="A898" s="55"/>
      <c r="B898" s="55"/>
      <c r="C898" s="55"/>
      <c r="D898" s="55"/>
      <c r="E898" s="55"/>
      <c r="F898" s="55"/>
      <c r="G898" s="55"/>
      <c r="H898" s="55"/>
      <c r="I898" s="55"/>
      <c r="J898" s="55"/>
      <c r="K898" s="55"/>
      <c r="L898" s="55"/>
      <c r="M898" s="55"/>
      <c r="N898" s="55"/>
      <c r="O898" s="55"/>
      <c r="P898" s="55"/>
      <c r="Q898" s="55"/>
      <c r="R898" s="55"/>
      <c r="S898" s="55"/>
      <c r="T898" s="55"/>
      <c r="U898" s="55"/>
      <c r="V898" s="55"/>
      <c r="W898" s="55"/>
      <c r="X898" s="55"/>
      <c r="Y898" s="55"/>
      <c r="Z898" s="55"/>
    </row>
    <row r="899" spans="1:26" ht="15">
      <c r="A899" s="55"/>
      <c r="B899" s="55"/>
      <c r="C899" s="55"/>
      <c r="D899" s="55"/>
      <c r="E899" s="55"/>
      <c r="F899" s="55"/>
      <c r="G899" s="55"/>
      <c r="H899" s="55"/>
      <c r="I899" s="55"/>
      <c r="J899" s="55"/>
      <c r="K899" s="55"/>
      <c r="L899" s="55"/>
      <c r="M899" s="55"/>
      <c r="N899" s="55"/>
      <c r="O899" s="55"/>
      <c r="P899" s="55"/>
      <c r="Q899" s="55"/>
      <c r="R899" s="55"/>
      <c r="S899" s="55"/>
      <c r="T899" s="55"/>
      <c r="U899" s="55"/>
      <c r="V899" s="55"/>
      <c r="W899" s="55"/>
      <c r="X899" s="55"/>
      <c r="Y899" s="55"/>
      <c r="Z899" s="55"/>
    </row>
    <row r="900" spans="1:26" ht="15">
      <c r="A900" s="55"/>
      <c r="B900" s="55"/>
      <c r="C900" s="55"/>
      <c r="D900" s="55"/>
      <c r="E900" s="55"/>
      <c r="F900" s="55"/>
      <c r="G900" s="55"/>
      <c r="H900" s="55"/>
      <c r="I900" s="55"/>
      <c r="J900" s="55"/>
      <c r="K900" s="55"/>
      <c r="L900" s="55"/>
      <c r="M900" s="55"/>
      <c r="N900" s="55"/>
      <c r="O900" s="55"/>
      <c r="P900" s="55"/>
      <c r="Q900" s="55"/>
      <c r="R900" s="55"/>
      <c r="S900" s="55"/>
      <c r="T900" s="55"/>
      <c r="U900" s="55"/>
      <c r="V900" s="55"/>
      <c r="W900" s="55"/>
      <c r="X900" s="55"/>
      <c r="Y900" s="55"/>
      <c r="Z900" s="55"/>
    </row>
    <row r="901" spans="1:26" ht="15">
      <c r="A901" s="55"/>
      <c r="B901" s="55"/>
      <c r="C901" s="55"/>
      <c r="D901" s="55"/>
      <c r="E901" s="55"/>
      <c r="F901" s="55"/>
      <c r="G901" s="55"/>
      <c r="H901" s="55"/>
      <c r="I901" s="55"/>
      <c r="J901" s="55"/>
      <c r="K901" s="55"/>
      <c r="L901" s="55"/>
      <c r="M901" s="55"/>
      <c r="N901" s="55"/>
      <c r="O901" s="55"/>
      <c r="P901" s="55"/>
      <c r="Q901" s="55"/>
      <c r="R901" s="55"/>
      <c r="S901" s="55"/>
      <c r="T901" s="55"/>
      <c r="U901" s="55"/>
      <c r="V901" s="55"/>
      <c r="W901" s="55"/>
      <c r="X901" s="55"/>
      <c r="Y901" s="55"/>
      <c r="Z901" s="55"/>
    </row>
    <row r="902" spans="1:26" ht="15">
      <c r="A902" s="55"/>
      <c r="B902" s="55"/>
      <c r="C902" s="55"/>
      <c r="D902" s="55"/>
      <c r="E902" s="55"/>
      <c r="F902" s="55"/>
      <c r="G902" s="55"/>
      <c r="H902" s="55"/>
      <c r="I902" s="55"/>
      <c r="J902" s="55"/>
      <c r="K902" s="55"/>
      <c r="L902" s="55"/>
      <c r="M902" s="55"/>
      <c r="N902" s="55"/>
      <c r="O902" s="55"/>
      <c r="P902" s="55"/>
      <c r="Q902" s="55"/>
      <c r="R902" s="55"/>
      <c r="S902" s="55"/>
      <c r="T902" s="55"/>
      <c r="U902" s="55"/>
      <c r="V902" s="55"/>
      <c r="W902" s="55"/>
      <c r="X902" s="55"/>
      <c r="Y902" s="55"/>
      <c r="Z902" s="55"/>
    </row>
    <row r="903" spans="1:26" ht="15">
      <c r="A903" s="55"/>
      <c r="B903" s="55"/>
      <c r="C903" s="55"/>
      <c r="D903" s="55"/>
      <c r="E903" s="55"/>
      <c r="F903" s="55"/>
      <c r="G903" s="55"/>
      <c r="H903" s="55"/>
      <c r="I903" s="55"/>
      <c r="J903" s="55"/>
      <c r="K903" s="55"/>
      <c r="L903" s="55"/>
      <c r="M903" s="55"/>
      <c r="N903" s="55"/>
      <c r="O903" s="55"/>
      <c r="P903" s="55"/>
      <c r="Q903" s="55"/>
      <c r="R903" s="55"/>
      <c r="S903" s="55"/>
      <c r="T903" s="55"/>
      <c r="U903" s="55"/>
      <c r="V903" s="55"/>
      <c r="W903" s="55"/>
      <c r="X903" s="55"/>
      <c r="Y903" s="55"/>
      <c r="Z903" s="55"/>
    </row>
    <row r="904" spans="1:26" ht="15">
      <c r="A904" s="55"/>
      <c r="B904" s="55"/>
      <c r="C904" s="55"/>
      <c r="D904" s="55"/>
      <c r="E904" s="55"/>
      <c r="F904" s="55"/>
      <c r="G904" s="55"/>
      <c r="H904" s="55"/>
      <c r="I904" s="55"/>
      <c r="J904" s="55"/>
      <c r="K904" s="55"/>
      <c r="L904" s="55"/>
      <c r="M904" s="55"/>
      <c r="N904" s="55"/>
      <c r="O904" s="55"/>
      <c r="P904" s="55"/>
      <c r="Q904" s="55"/>
      <c r="R904" s="55"/>
      <c r="S904" s="55"/>
      <c r="T904" s="55"/>
      <c r="U904" s="55"/>
      <c r="V904" s="55"/>
      <c r="W904" s="55"/>
      <c r="X904" s="55"/>
      <c r="Y904" s="55"/>
      <c r="Z904" s="55"/>
    </row>
    <row r="905" spans="1:26" ht="15">
      <c r="A905" s="55"/>
      <c r="B905" s="55"/>
      <c r="C905" s="55"/>
      <c r="D905" s="55"/>
      <c r="E905" s="55"/>
      <c r="F905" s="55"/>
      <c r="G905" s="55"/>
      <c r="H905" s="55"/>
      <c r="I905" s="55"/>
      <c r="J905" s="55"/>
      <c r="K905" s="55"/>
      <c r="L905" s="55"/>
      <c r="M905" s="55"/>
      <c r="N905" s="55"/>
      <c r="O905" s="55"/>
      <c r="P905" s="55"/>
      <c r="Q905" s="55"/>
      <c r="R905" s="55"/>
      <c r="S905" s="55"/>
      <c r="T905" s="55"/>
      <c r="U905" s="55"/>
      <c r="V905" s="55"/>
      <c r="W905" s="55"/>
      <c r="X905" s="55"/>
      <c r="Y905" s="55"/>
      <c r="Z905" s="55"/>
    </row>
    <row r="906" spans="1:26" ht="15">
      <c r="A906" s="55"/>
      <c r="B906" s="55"/>
      <c r="C906" s="55"/>
      <c r="D906" s="55"/>
      <c r="E906" s="55"/>
      <c r="F906" s="55"/>
      <c r="G906" s="55"/>
      <c r="H906" s="55"/>
      <c r="I906" s="55"/>
      <c r="J906" s="55"/>
      <c r="K906" s="55"/>
      <c r="L906" s="55"/>
      <c r="M906" s="55"/>
      <c r="N906" s="55"/>
      <c r="O906" s="55"/>
      <c r="P906" s="55"/>
      <c r="Q906" s="55"/>
      <c r="R906" s="55"/>
      <c r="S906" s="55"/>
      <c r="T906" s="55"/>
      <c r="U906" s="55"/>
      <c r="V906" s="55"/>
      <c r="W906" s="55"/>
      <c r="X906" s="55"/>
      <c r="Y906" s="55"/>
      <c r="Z906" s="55"/>
    </row>
    <row r="907" spans="1:26" ht="15">
      <c r="A907" s="55"/>
      <c r="B907" s="55"/>
      <c r="C907" s="55"/>
      <c r="D907" s="55"/>
      <c r="E907" s="55"/>
      <c r="F907" s="55"/>
      <c r="G907" s="55"/>
      <c r="H907" s="55"/>
      <c r="I907" s="55"/>
      <c r="J907" s="55"/>
      <c r="K907" s="55"/>
      <c r="L907" s="55"/>
      <c r="M907" s="55"/>
      <c r="N907" s="55"/>
      <c r="O907" s="55"/>
      <c r="P907" s="55"/>
      <c r="Q907" s="55"/>
      <c r="R907" s="55"/>
      <c r="S907" s="55"/>
      <c r="T907" s="55"/>
      <c r="U907" s="55"/>
      <c r="V907" s="55"/>
      <c r="W907" s="55"/>
      <c r="X907" s="55"/>
      <c r="Y907" s="55"/>
      <c r="Z907" s="55"/>
    </row>
    <row r="908" spans="1:26" ht="15">
      <c r="A908" s="55"/>
      <c r="B908" s="55"/>
      <c r="C908" s="55"/>
      <c r="D908" s="55"/>
      <c r="E908" s="55"/>
      <c r="F908" s="55"/>
      <c r="G908" s="55"/>
      <c r="H908" s="55"/>
      <c r="I908" s="55"/>
      <c r="J908" s="55"/>
      <c r="K908" s="55"/>
      <c r="L908" s="55"/>
      <c r="M908" s="55"/>
      <c r="N908" s="55"/>
      <c r="O908" s="55"/>
      <c r="P908" s="55"/>
      <c r="Q908" s="55"/>
      <c r="R908" s="55"/>
      <c r="S908" s="55"/>
      <c r="T908" s="55"/>
      <c r="U908" s="55"/>
      <c r="V908" s="55"/>
      <c r="W908" s="55"/>
      <c r="X908" s="55"/>
      <c r="Y908" s="55"/>
      <c r="Z908" s="55"/>
    </row>
    <row r="909" spans="1:26" ht="15">
      <c r="A909" s="55"/>
      <c r="B909" s="55"/>
      <c r="C909" s="55"/>
      <c r="D909" s="55"/>
      <c r="E909" s="55"/>
      <c r="F909" s="55"/>
      <c r="G909" s="55"/>
      <c r="H909" s="55"/>
      <c r="I909" s="55"/>
      <c r="J909" s="55"/>
      <c r="K909" s="55"/>
      <c r="L909" s="55"/>
      <c r="M909" s="55"/>
      <c r="N909" s="55"/>
      <c r="O909" s="55"/>
      <c r="P909" s="55"/>
      <c r="Q909" s="55"/>
      <c r="R909" s="55"/>
      <c r="S909" s="55"/>
      <c r="T909" s="55"/>
      <c r="U909" s="55"/>
      <c r="V909" s="55"/>
      <c r="W909" s="55"/>
      <c r="X909" s="55"/>
      <c r="Y909" s="55"/>
      <c r="Z909" s="55"/>
    </row>
    <row r="910" spans="1:26" ht="15">
      <c r="A910" s="55"/>
      <c r="B910" s="55"/>
      <c r="C910" s="55"/>
      <c r="D910" s="55"/>
      <c r="E910" s="55"/>
      <c r="F910" s="55"/>
      <c r="G910" s="55"/>
      <c r="H910" s="55"/>
      <c r="I910" s="55"/>
      <c r="J910" s="55"/>
      <c r="K910" s="55"/>
      <c r="L910" s="55"/>
      <c r="M910" s="55"/>
      <c r="N910" s="55"/>
      <c r="O910" s="55"/>
      <c r="P910" s="55"/>
      <c r="Q910" s="55"/>
      <c r="R910" s="55"/>
      <c r="S910" s="55"/>
      <c r="T910" s="55"/>
      <c r="U910" s="55"/>
      <c r="V910" s="55"/>
      <c r="W910" s="55"/>
      <c r="X910" s="55"/>
      <c r="Y910" s="55"/>
      <c r="Z910" s="55"/>
    </row>
    <row r="911" spans="1:26" ht="15">
      <c r="A911" s="55"/>
      <c r="B911" s="55"/>
      <c r="C911" s="55"/>
      <c r="D911" s="55"/>
      <c r="E911" s="55"/>
      <c r="F911" s="55"/>
      <c r="G911" s="55"/>
      <c r="H911" s="55"/>
      <c r="I911" s="55"/>
      <c r="J911" s="55"/>
      <c r="K911" s="55"/>
      <c r="L911" s="55"/>
      <c r="M911" s="55"/>
      <c r="N911" s="55"/>
      <c r="O911" s="55"/>
      <c r="P911" s="55"/>
      <c r="Q911" s="55"/>
      <c r="R911" s="55"/>
      <c r="S911" s="55"/>
      <c r="T911" s="55"/>
      <c r="U911" s="55"/>
      <c r="V911" s="55"/>
      <c r="W911" s="55"/>
      <c r="X911" s="55"/>
      <c r="Y911" s="55"/>
      <c r="Z911" s="55"/>
    </row>
    <row r="912" spans="1:26" ht="15">
      <c r="A912" s="55"/>
      <c r="B912" s="55"/>
      <c r="C912" s="55"/>
      <c r="D912" s="55"/>
      <c r="E912" s="55"/>
      <c r="F912" s="55"/>
      <c r="G912" s="55"/>
      <c r="H912" s="55"/>
      <c r="I912" s="55"/>
      <c r="J912" s="55"/>
      <c r="K912" s="55"/>
      <c r="L912" s="55"/>
      <c r="M912" s="55"/>
      <c r="N912" s="55"/>
      <c r="O912" s="55"/>
      <c r="P912" s="55"/>
      <c r="Q912" s="55"/>
      <c r="R912" s="55"/>
      <c r="S912" s="55"/>
      <c r="T912" s="55"/>
      <c r="U912" s="55"/>
      <c r="V912" s="55"/>
      <c r="W912" s="55"/>
      <c r="X912" s="55"/>
      <c r="Y912" s="55"/>
      <c r="Z912" s="55"/>
    </row>
    <row r="913" spans="1:26" ht="15">
      <c r="A913" s="55"/>
      <c r="B913" s="55"/>
      <c r="C913" s="55"/>
      <c r="D913" s="55"/>
      <c r="E913" s="55"/>
      <c r="F913" s="55"/>
      <c r="G913" s="55"/>
      <c r="H913" s="55"/>
      <c r="I913" s="55"/>
      <c r="J913" s="55"/>
      <c r="K913" s="55"/>
      <c r="L913" s="55"/>
      <c r="M913" s="55"/>
      <c r="N913" s="55"/>
      <c r="O913" s="55"/>
      <c r="P913" s="55"/>
      <c r="Q913" s="55"/>
      <c r="R913" s="55"/>
      <c r="S913" s="55"/>
      <c r="T913" s="55"/>
      <c r="U913" s="55"/>
      <c r="V913" s="55"/>
      <c r="W913" s="55"/>
      <c r="X913" s="55"/>
      <c r="Y913" s="55"/>
      <c r="Z913" s="55"/>
    </row>
    <row r="914" spans="1:26" ht="15">
      <c r="A914" s="55"/>
      <c r="B914" s="55"/>
      <c r="C914" s="55"/>
      <c r="D914" s="55"/>
      <c r="E914" s="55"/>
      <c r="F914" s="55"/>
      <c r="G914" s="55"/>
      <c r="H914" s="55"/>
      <c r="I914" s="55"/>
      <c r="J914" s="55"/>
      <c r="K914" s="55"/>
      <c r="L914" s="55"/>
      <c r="M914" s="55"/>
      <c r="N914" s="55"/>
      <c r="O914" s="55"/>
      <c r="P914" s="55"/>
      <c r="Q914" s="55"/>
      <c r="R914" s="55"/>
      <c r="S914" s="55"/>
      <c r="T914" s="55"/>
      <c r="U914" s="55"/>
      <c r="V914" s="55"/>
      <c r="W914" s="55"/>
      <c r="X914" s="55"/>
      <c r="Y914" s="55"/>
      <c r="Z914" s="55"/>
    </row>
    <row r="915" spans="1:26" ht="15">
      <c r="A915" s="55"/>
      <c r="B915" s="55"/>
      <c r="C915" s="55"/>
      <c r="D915" s="55"/>
      <c r="E915" s="55"/>
      <c r="F915" s="55"/>
      <c r="G915" s="55"/>
      <c r="H915" s="55"/>
      <c r="I915" s="55"/>
      <c r="J915" s="55"/>
      <c r="K915" s="55"/>
      <c r="L915" s="55"/>
      <c r="M915" s="55"/>
      <c r="N915" s="55"/>
      <c r="O915" s="55"/>
      <c r="P915" s="55"/>
      <c r="Q915" s="55"/>
      <c r="R915" s="55"/>
      <c r="S915" s="55"/>
      <c r="T915" s="55"/>
      <c r="U915" s="55"/>
      <c r="V915" s="55"/>
      <c r="W915" s="55"/>
      <c r="X915" s="55"/>
      <c r="Y915" s="55"/>
      <c r="Z915" s="55"/>
    </row>
    <row r="916" spans="1:26" ht="15">
      <c r="A916" s="55"/>
      <c r="B916" s="55"/>
      <c r="C916" s="55"/>
      <c r="D916" s="55"/>
      <c r="E916" s="55"/>
      <c r="F916" s="55"/>
      <c r="G916" s="55"/>
      <c r="H916" s="55"/>
      <c r="I916" s="55"/>
      <c r="J916" s="55"/>
      <c r="K916" s="55"/>
      <c r="L916" s="55"/>
      <c r="M916" s="55"/>
      <c r="N916" s="55"/>
      <c r="O916" s="55"/>
      <c r="P916" s="55"/>
      <c r="Q916" s="55"/>
      <c r="R916" s="55"/>
      <c r="S916" s="55"/>
      <c r="T916" s="55"/>
      <c r="U916" s="55"/>
      <c r="V916" s="55"/>
      <c r="W916" s="55"/>
      <c r="X916" s="55"/>
      <c r="Y916" s="55"/>
      <c r="Z916" s="55"/>
    </row>
    <row r="917" spans="1:26" ht="15">
      <c r="A917" s="55"/>
      <c r="B917" s="55"/>
      <c r="C917" s="55"/>
      <c r="D917" s="55"/>
      <c r="E917" s="55"/>
      <c r="F917" s="55"/>
      <c r="G917" s="55"/>
      <c r="H917" s="55"/>
      <c r="I917" s="55"/>
      <c r="J917" s="55"/>
      <c r="K917" s="55"/>
      <c r="L917" s="55"/>
      <c r="M917" s="55"/>
      <c r="N917" s="55"/>
      <c r="O917" s="55"/>
      <c r="P917" s="55"/>
      <c r="Q917" s="55"/>
      <c r="R917" s="55"/>
      <c r="S917" s="55"/>
      <c r="T917" s="55"/>
      <c r="U917" s="55"/>
      <c r="V917" s="55"/>
      <c r="W917" s="55"/>
      <c r="X917" s="55"/>
      <c r="Y917" s="55"/>
      <c r="Z917" s="55"/>
    </row>
    <row r="918" spans="1:26" ht="15">
      <c r="A918" s="55"/>
      <c r="B918" s="55"/>
      <c r="C918" s="55"/>
      <c r="D918" s="55"/>
      <c r="E918" s="55"/>
      <c r="F918" s="55"/>
      <c r="G918" s="55"/>
      <c r="H918" s="55"/>
      <c r="I918" s="55"/>
      <c r="J918" s="55"/>
      <c r="K918" s="55"/>
      <c r="L918" s="55"/>
      <c r="M918" s="55"/>
      <c r="N918" s="55"/>
      <c r="O918" s="55"/>
      <c r="P918" s="55"/>
      <c r="Q918" s="55"/>
      <c r="R918" s="55"/>
      <c r="S918" s="55"/>
      <c r="T918" s="55"/>
      <c r="U918" s="55"/>
      <c r="V918" s="55"/>
      <c r="W918" s="55"/>
      <c r="X918" s="55"/>
      <c r="Y918" s="55"/>
      <c r="Z918" s="55"/>
    </row>
    <row r="919" spans="1:26" ht="15">
      <c r="A919" s="55"/>
      <c r="B919" s="55"/>
      <c r="C919" s="55"/>
      <c r="D919" s="55"/>
      <c r="E919" s="55"/>
      <c r="F919" s="55"/>
      <c r="G919" s="55"/>
      <c r="H919" s="55"/>
      <c r="I919" s="55"/>
      <c r="J919" s="55"/>
      <c r="K919" s="55"/>
      <c r="L919" s="55"/>
      <c r="M919" s="55"/>
      <c r="N919" s="55"/>
      <c r="O919" s="55"/>
      <c r="P919" s="55"/>
      <c r="Q919" s="55"/>
      <c r="R919" s="55"/>
      <c r="S919" s="55"/>
      <c r="T919" s="55"/>
      <c r="U919" s="55"/>
      <c r="V919" s="55"/>
      <c r="W919" s="55"/>
      <c r="X919" s="55"/>
      <c r="Y919" s="55"/>
      <c r="Z919" s="55"/>
    </row>
    <row r="920" spans="1:26" ht="15">
      <c r="A920" s="55"/>
      <c r="B920" s="55"/>
      <c r="C920" s="55"/>
      <c r="D920" s="55"/>
      <c r="E920" s="55"/>
      <c r="F920" s="55"/>
      <c r="G920" s="55"/>
      <c r="H920" s="55"/>
      <c r="I920" s="55"/>
      <c r="J920" s="55"/>
      <c r="K920" s="55"/>
      <c r="L920" s="55"/>
      <c r="M920" s="55"/>
      <c r="N920" s="55"/>
      <c r="O920" s="55"/>
      <c r="P920" s="55"/>
      <c r="Q920" s="55"/>
      <c r="R920" s="55"/>
      <c r="S920" s="55"/>
      <c r="T920" s="55"/>
      <c r="U920" s="55"/>
      <c r="V920" s="55"/>
      <c r="W920" s="55"/>
      <c r="X920" s="55"/>
      <c r="Y920" s="55"/>
      <c r="Z920" s="55"/>
    </row>
    <row r="921" spans="1:26" ht="15">
      <c r="A921" s="55"/>
      <c r="B921" s="55"/>
      <c r="C921" s="55"/>
      <c r="D921" s="55"/>
      <c r="E921" s="55"/>
      <c r="F921" s="55"/>
      <c r="G921" s="55"/>
      <c r="H921" s="55"/>
      <c r="I921" s="55"/>
      <c r="J921" s="55"/>
      <c r="K921" s="55"/>
      <c r="L921" s="55"/>
      <c r="M921" s="55"/>
      <c r="N921" s="55"/>
      <c r="O921" s="55"/>
      <c r="P921" s="55"/>
      <c r="Q921" s="55"/>
      <c r="R921" s="55"/>
      <c r="S921" s="55"/>
      <c r="T921" s="55"/>
      <c r="U921" s="55"/>
      <c r="V921" s="55"/>
      <c r="W921" s="55"/>
      <c r="X921" s="55"/>
      <c r="Y921" s="55"/>
      <c r="Z921" s="55"/>
    </row>
    <row r="922" spans="1:26" ht="15">
      <c r="A922" s="55"/>
      <c r="B922" s="55"/>
      <c r="C922" s="55"/>
      <c r="D922" s="55"/>
      <c r="E922" s="55"/>
      <c r="F922" s="55"/>
      <c r="G922" s="55"/>
      <c r="H922" s="55"/>
      <c r="I922" s="55"/>
      <c r="J922" s="55"/>
      <c r="K922" s="55"/>
      <c r="L922" s="55"/>
      <c r="M922" s="55"/>
      <c r="N922" s="55"/>
      <c r="O922" s="55"/>
      <c r="P922" s="55"/>
      <c r="Q922" s="55"/>
      <c r="R922" s="55"/>
      <c r="S922" s="55"/>
      <c r="T922" s="55"/>
      <c r="U922" s="55"/>
      <c r="V922" s="55"/>
      <c r="W922" s="55"/>
      <c r="X922" s="55"/>
      <c r="Y922" s="55"/>
      <c r="Z922" s="55"/>
    </row>
    <row r="923" spans="1:26" ht="15">
      <c r="A923" s="55"/>
      <c r="B923" s="55"/>
      <c r="C923" s="55"/>
      <c r="D923" s="55"/>
      <c r="E923" s="55"/>
      <c r="F923" s="55"/>
      <c r="G923" s="55"/>
      <c r="H923" s="55"/>
      <c r="I923" s="55"/>
      <c r="J923" s="55"/>
      <c r="K923" s="55"/>
      <c r="L923" s="55"/>
      <c r="M923" s="55"/>
      <c r="N923" s="55"/>
      <c r="O923" s="55"/>
      <c r="P923" s="55"/>
      <c r="Q923" s="55"/>
      <c r="R923" s="55"/>
      <c r="S923" s="55"/>
      <c r="T923" s="55"/>
      <c r="U923" s="55"/>
      <c r="V923" s="55"/>
      <c r="W923" s="55"/>
      <c r="X923" s="55"/>
      <c r="Y923" s="55"/>
      <c r="Z923" s="55"/>
    </row>
    <row r="924" spans="1:26" ht="15">
      <c r="A924" s="55"/>
      <c r="B924" s="55"/>
      <c r="C924" s="55"/>
      <c r="D924" s="55"/>
      <c r="E924" s="55"/>
      <c r="F924" s="55"/>
      <c r="G924" s="55"/>
      <c r="H924" s="55"/>
      <c r="I924" s="55"/>
      <c r="J924" s="55"/>
      <c r="K924" s="55"/>
      <c r="L924" s="55"/>
      <c r="M924" s="55"/>
      <c r="N924" s="55"/>
      <c r="O924" s="55"/>
      <c r="P924" s="55"/>
      <c r="Q924" s="55"/>
      <c r="R924" s="55"/>
      <c r="S924" s="55"/>
      <c r="T924" s="55"/>
      <c r="U924" s="55"/>
      <c r="V924" s="55"/>
      <c r="W924" s="55"/>
      <c r="X924" s="55"/>
      <c r="Y924" s="55"/>
      <c r="Z924" s="55"/>
    </row>
    <row r="925" spans="1:26" ht="15">
      <c r="A925" s="55"/>
      <c r="B925" s="55"/>
      <c r="C925" s="55"/>
      <c r="D925" s="55"/>
      <c r="E925" s="55"/>
      <c r="F925" s="55"/>
      <c r="G925" s="55"/>
      <c r="H925" s="55"/>
      <c r="I925" s="55"/>
      <c r="J925" s="55"/>
      <c r="K925" s="55"/>
      <c r="L925" s="55"/>
      <c r="M925" s="55"/>
      <c r="N925" s="55"/>
      <c r="O925" s="55"/>
      <c r="P925" s="55"/>
      <c r="Q925" s="55"/>
      <c r="R925" s="55"/>
      <c r="S925" s="55"/>
      <c r="T925" s="55"/>
      <c r="U925" s="55"/>
      <c r="V925" s="55"/>
      <c r="W925" s="55"/>
      <c r="X925" s="55"/>
      <c r="Y925" s="55"/>
      <c r="Z925" s="55"/>
    </row>
    <row r="926" spans="1:26" ht="15">
      <c r="A926" s="55"/>
      <c r="B926" s="55"/>
      <c r="C926" s="55"/>
      <c r="D926" s="55"/>
      <c r="E926" s="55"/>
      <c r="F926" s="55"/>
      <c r="G926" s="55"/>
      <c r="H926" s="55"/>
      <c r="I926" s="55"/>
      <c r="J926" s="55"/>
      <c r="K926" s="55"/>
      <c r="L926" s="55"/>
      <c r="M926" s="55"/>
      <c r="N926" s="55"/>
      <c r="O926" s="55"/>
      <c r="P926" s="55"/>
      <c r="Q926" s="55"/>
      <c r="R926" s="55"/>
      <c r="S926" s="55"/>
      <c r="T926" s="55"/>
      <c r="U926" s="55"/>
      <c r="V926" s="55"/>
      <c r="W926" s="55"/>
      <c r="X926" s="55"/>
      <c r="Y926" s="55"/>
      <c r="Z926" s="55"/>
    </row>
    <row r="927" spans="1:26" ht="15">
      <c r="A927" s="55"/>
      <c r="B927" s="55"/>
      <c r="C927" s="55"/>
      <c r="D927" s="55"/>
      <c r="E927" s="55"/>
      <c r="F927" s="55"/>
      <c r="G927" s="55"/>
      <c r="H927" s="55"/>
      <c r="I927" s="55"/>
      <c r="J927" s="55"/>
      <c r="K927" s="55"/>
      <c r="L927" s="55"/>
      <c r="M927" s="55"/>
      <c r="N927" s="55"/>
      <c r="O927" s="55"/>
      <c r="P927" s="55"/>
      <c r="Q927" s="55"/>
      <c r="R927" s="55"/>
      <c r="S927" s="55"/>
      <c r="T927" s="55"/>
      <c r="U927" s="55"/>
      <c r="V927" s="55"/>
      <c r="W927" s="55"/>
      <c r="X927" s="55"/>
      <c r="Y927" s="55"/>
      <c r="Z927" s="55"/>
    </row>
    <row r="928" spans="1:26" ht="15">
      <c r="A928" s="55"/>
      <c r="B928" s="55"/>
      <c r="C928" s="55"/>
      <c r="D928" s="55"/>
      <c r="E928" s="55"/>
      <c r="F928" s="55"/>
      <c r="G928" s="55"/>
      <c r="H928" s="55"/>
      <c r="I928" s="55"/>
      <c r="J928" s="55"/>
      <c r="K928" s="55"/>
      <c r="L928" s="55"/>
      <c r="M928" s="55"/>
      <c r="N928" s="55"/>
      <c r="O928" s="55"/>
      <c r="P928" s="55"/>
      <c r="Q928" s="55"/>
      <c r="R928" s="55"/>
      <c r="S928" s="55"/>
      <c r="T928" s="55"/>
      <c r="U928" s="55"/>
      <c r="V928" s="55"/>
      <c r="W928" s="55"/>
      <c r="X928" s="55"/>
      <c r="Y928" s="55"/>
      <c r="Z928" s="55"/>
    </row>
    <row r="929" spans="1:26" ht="15">
      <c r="A929" s="55"/>
      <c r="B929" s="55"/>
      <c r="C929" s="55"/>
      <c r="D929" s="55"/>
      <c r="E929" s="55"/>
      <c r="F929" s="55"/>
      <c r="G929" s="55"/>
      <c r="H929" s="55"/>
      <c r="I929" s="55"/>
      <c r="J929" s="55"/>
      <c r="K929" s="55"/>
      <c r="L929" s="55"/>
      <c r="M929" s="55"/>
      <c r="N929" s="55"/>
      <c r="O929" s="55"/>
      <c r="P929" s="55"/>
      <c r="Q929" s="55"/>
      <c r="R929" s="55"/>
      <c r="S929" s="55"/>
      <c r="T929" s="55"/>
      <c r="U929" s="55"/>
      <c r="V929" s="55"/>
      <c r="W929" s="55"/>
      <c r="X929" s="55"/>
      <c r="Y929" s="55"/>
      <c r="Z929" s="55"/>
    </row>
    <row r="930" spans="1:26" ht="15">
      <c r="A930" s="55"/>
      <c r="B930" s="55"/>
      <c r="C930" s="55"/>
      <c r="D930" s="55"/>
      <c r="E930" s="55"/>
      <c r="F930" s="55"/>
      <c r="G930" s="55"/>
      <c r="H930" s="55"/>
      <c r="I930" s="55"/>
      <c r="J930" s="55"/>
      <c r="K930" s="55"/>
      <c r="L930" s="55"/>
      <c r="M930" s="55"/>
      <c r="N930" s="55"/>
      <c r="O930" s="55"/>
      <c r="P930" s="55"/>
      <c r="Q930" s="55"/>
      <c r="R930" s="55"/>
      <c r="S930" s="55"/>
      <c r="T930" s="55"/>
      <c r="U930" s="55"/>
      <c r="V930" s="55"/>
      <c r="W930" s="55"/>
      <c r="X930" s="55"/>
      <c r="Y930" s="55"/>
      <c r="Z930" s="55"/>
    </row>
    <row r="931" spans="1:26" ht="15">
      <c r="A931" s="55"/>
      <c r="B931" s="55"/>
      <c r="C931" s="55"/>
      <c r="D931" s="55"/>
      <c r="E931" s="55"/>
      <c r="F931" s="55"/>
      <c r="G931" s="55"/>
      <c r="H931" s="55"/>
      <c r="I931" s="55"/>
      <c r="J931" s="55"/>
      <c r="K931" s="55"/>
      <c r="L931" s="55"/>
      <c r="M931" s="55"/>
      <c r="N931" s="55"/>
      <c r="O931" s="55"/>
      <c r="P931" s="55"/>
      <c r="Q931" s="55"/>
      <c r="R931" s="55"/>
      <c r="S931" s="55"/>
      <c r="T931" s="55"/>
      <c r="U931" s="55"/>
      <c r="V931" s="55"/>
      <c r="W931" s="55"/>
      <c r="X931" s="55"/>
      <c r="Y931" s="55"/>
      <c r="Z931" s="55"/>
    </row>
    <row r="932" spans="1:26" ht="15">
      <c r="A932" s="55"/>
      <c r="B932" s="55"/>
      <c r="C932" s="55"/>
      <c r="D932" s="55"/>
      <c r="E932" s="55"/>
      <c r="F932" s="55"/>
      <c r="G932" s="55"/>
      <c r="H932" s="55"/>
      <c r="I932" s="55"/>
      <c r="J932" s="55"/>
      <c r="K932" s="55"/>
      <c r="L932" s="55"/>
      <c r="M932" s="55"/>
      <c r="N932" s="55"/>
      <c r="O932" s="55"/>
      <c r="P932" s="55"/>
      <c r="Q932" s="55"/>
      <c r="R932" s="55"/>
      <c r="S932" s="55"/>
      <c r="T932" s="55"/>
      <c r="U932" s="55"/>
      <c r="V932" s="55"/>
      <c r="W932" s="55"/>
      <c r="X932" s="55"/>
      <c r="Y932" s="55"/>
      <c r="Z932" s="55"/>
    </row>
    <row r="933" spans="1:26" ht="15">
      <c r="A933" s="55"/>
      <c r="B933" s="55"/>
      <c r="C933" s="55"/>
      <c r="D933" s="55"/>
      <c r="E933" s="55"/>
      <c r="F933" s="55"/>
      <c r="G933" s="55"/>
      <c r="H933" s="55"/>
      <c r="I933" s="55"/>
      <c r="J933" s="55"/>
      <c r="K933" s="55"/>
      <c r="L933" s="55"/>
      <c r="M933" s="55"/>
      <c r="N933" s="55"/>
      <c r="O933" s="55"/>
      <c r="P933" s="55"/>
      <c r="Q933" s="55"/>
      <c r="R933" s="55"/>
      <c r="S933" s="55"/>
      <c r="T933" s="55"/>
      <c r="U933" s="55"/>
      <c r="V933" s="55"/>
      <c r="W933" s="55"/>
      <c r="X933" s="55"/>
      <c r="Y933" s="55"/>
      <c r="Z933" s="55"/>
    </row>
    <row r="934" spans="1:26" ht="15">
      <c r="A934" s="55"/>
      <c r="B934" s="55"/>
      <c r="C934" s="55"/>
      <c r="D934" s="55"/>
      <c r="E934" s="55"/>
      <c r="F934" s="55"/>
      <c r="G934" s="55"/>
      <c r="H934" s="55"/>
      <c r="I934" s="55"/>
      <c r="J934" s="55"/>
      <c r="K934" s="55"/>
      <c r="L934" s="55"/>
      <c r="M934" s="55"/>
      <c r="N934" s="55"/>
      <c r="O934" s="55"/>
      <c r="P934" s="55"/>
      <c r="Q934" s="55"/>
      <c r="R934" s="55"/>
      <c r="S934" s="55"/>
      <c r="T934" s="55"/>
      <c r="U934" s="55"/>
      <c r="V934" s="55"/>
      <c r="W934" s="55"/>
      <c r="X934" s="55"/>
      <c r="Y934" s="55"/>
      <c r="Z934" s="55"/>
    </row>
    <row r="935" spans="1:26" ht="15">
      <c r="A935" s="55"/>
      <c r="B935" s="55"/>
      <c r="C935" s="55"/>
      <c r="D935" s="55"/>
      <c r="E935" s="55"/>
      <c r="F935" s="55"/>
      <c r="G935" s="55"/>
      <c r="H935" s="55"/>
      <c r="I935" s="55"/>
      <c r="J935" s="55"/>
      <c r="K935" s="55"/>
      <c r="L935" s="55"/>
      <c r="M935" s="55"/>
      <c r="N935" s="55"/>
      <c r="O935" s="55"/>
      <c r="P935" s="55"/>
      <c r="Q935" s="55"/>
      <c r="R935" s="55"/>
      <c r="S935" s="55"/>
      <c r="T935" s="55"/>
      <c r="U935" s="55"/>
      <c r="V935" s="55"/>
      <c r="W935" s="55"/>
      <c r="X935" s="55"/>
      <c r="Y935" s="55"/>
      <c r="Z935" s="55"/>
    </row>
    <row r="936" spans="1:26" ht="15">
      <c r="A936" s="55"/>
      <c r="B936" s="55"/>
      <c r="C936" s="55"/>
      <c r="D936" s="55"/>
      <c r="E936" s="55"/>
      <c r="F936" s="55"/>
      <c r="G936" s="55"/>
      <c r="H936" s="55"/>
      <c r="I936" s="55"/>
      <c r="J936" s="55"/>
      <c r="K936" s="55"/>
      <c r="L936" s="55"/>
      <c r="M936" s="55"/>
      <c r="N936" s="55"/>
      <c r="O936" s="55"/>
      <c r="P936" s="55"/>
      <c r="Q936" s="55"/>
      <c r="R936" s="55"/>
      <c r="S936" s="55"/>
      <c r="T936" s="55"/>
      <c r="U936" s="55"/>
      <c r="V936" s="55"/>
      <c r="W936" s="55"/>
      <c r="X936" s="55"/>
      <c r="Y936" s="55"/>
      <c r="Z936" s="55"/>
    </row>
    <row r="937" spans="1:26" ht="15">
      <c r="A937" s="55"/>
      <c r="B937" s="55"/>
      <c r="C937" s="55"/>
      <c r="D937" s="55"/>
      <c r="E937" s="55"/>
      <c r="F937" s="55"/>
      <c r="G937" s="55"/>
      <c r="H937" s="55"/>
      <c r="I937" s="55"/>
      <c r="J937" s="55"/>
      <c r="K937" s="55"/>
      <c r="L937" s="55"/>
      <c r="M937" s="55"/>
      <c r="N937" s="55"/>
      <c r="O937" s="55"/>
      <c r="P937" s="55"/>
      <c r="Q937" s="55"/>
      <c r="R937" s="55"/>
      <c r="S937" s="55"/>
      <c r="T937" s="55"/>
      <c r="U937" s="55"/>
      <c r="V937" s="55"/>
      <c r="W937" s="55"/>
      <c r="X937" s="55"/>
      <c r="Y937" s="55"/>
      <c r="Z937" s="55"/>
    </row>
    <row r="938" spans="1:26" ht="15">
      <c r="A938" s="55"/>
      <c r="B938" s="55"/>
      <c r="C938" s="55"/>
      <c r="D938" s="55"/>
      <c r="E938" s="55"/>
      <c r="F938" s="55"/>
      <c r="G938" s="55"/>
      <c r="H938" s="55"/>
      <c r="I938" s="55"/>
      <c r="J938" s="55"/>
      <c r="K938" s="55"/>
      <c r="L938" s="55"/>
      <c r="M938" s="55"/>
      <c r="N938" s="55"/>
      <c r="O938" s="55"/>
      <c r="P938" s="55"/>
      <c r="Q938" s="55"/>
      <c r="R938" s="55"/>
      <c r="S938" s="55"/>
      <c r="T938" s="55"/>
      <c r="U938" s="55"/>
      <c r="V938" s="55"/>
      <c r="W938" s="55"/>
      <c r="X938" s="55"/>
      <c r="Y938" s="55"/>
      <c r="Z938" s="55"/>
    </row>
    <row r="939" spans="1:26" ht="15">
      <c r="A939" s="55"/>
      <c r="B939" s="55"/>
      <c r="C939" s="55"/>
      <c r="D939" s="55"/>
      <c r="E939" s="55"/>
      <c r="F939" s="55"/>
      <c r="G939" s="55"/>
      <c r="H939" s="55"/>
      <c r="I939" s="55"/>
      <c r="J939" s="55"/>
      <c r="K939" s="55"/>
      <c r="L939" s="55"/>
      <c r="M939" s="55"/>
      <c r="N939" s="55"/>
      <c r="O939" s="55"/>
      <c r="P939" s="55"/>
      <c r="Q939" s="55"/>
      <c r="R939" s="55"/>
      <c r="S939" s="55"/>
      <c r="T939" s="55"/>
      <c r="U939" s="55"/>
      <c r="V939" s="55"/>
      <c r="W939" s="55"/>
      <c r="X939" s="55"/>
      <c r="Y939" s="55"/>
      <c r="Z939" s="55"/>
    </row>
    <row r="940" spans="1:26" ht="15">
      <c r="A940" s="55"/>
      <c r="B940" s="55"/>
      <c r="C940" s="55"/>
      <c r="D940" s="55"/>
      <c r="E940" s="55"/>
      <c r="F940" s="55"/>
      <c r="G940" s="55"/>
      <c r="H940" s="55"/>
      <c r="I940" s="55"/>
      <c r="J940" s="55"/>
      <c r="K940" s="55"/>
      <c r="L940" s="55"/>
      <c r="M940" s="55"/>
      <c r="N940" s="55"/>
      <c r="O940" s="55"/>
      <c r="P940" s="55"/>
      <c r="Q940" s="55"/>
      <c r="R940" s="55"/>
      <c r="S940" s="55"/>
      <c r="T940" s="55"/>
      <c r="U940" s="55"/>
      <c r="V940" s="55"/>
      <c r="W940" s="55"/>
      <c r="X940" s="55"/>
      <c r="Y940" s="55"/>
      <c r="Z940" s="55"/>
    </row>
    <row r="941" spans="1:26" ht="15">
      <c r="A941" s="55"/>
      <c r="B941" s="55"/>
      <c r="C941" s="55"/>
      <c r="D941" s="55"/>
      <c r="E941" s="55"/>
      <c r="F941" s="55"/>
      <c r="G941" s="55"/>
      <c r="H941" s="55"/>
      <c r="I941" s="55"/>
      <c r="J941" s="55"/>
      <c r="K941" s="55"/>
      <c r="L941" s="55"/>
      <c r="M941" s="55"/>
      <c r="N941" s="55"/>
      <c r="O941" s="55"/>
      <c r="P941" s="55"/>
      <c r="Q941" s="55"/>
      <c r="R941" s="55"/>
      <c r="S941" s="55"/>
      <c r="T941" s="55"/>
      <c r="U941" s="55"/>
      <c r="V941" s="55"/>
      <c r="W941" s="55"/>
      <c r="X941" s="55"/>
      <c r="Y941" s="55"/>
      <c r="Z941" s="55"/>
    </row>
    <row r="942" spans="1:26" ht="15">
      <c r="A942" s="55"/>
      <c r="B942" s="55"/>
      <c r="C942" s="55"/>
      <c r="D942" s="55"/>
      <c r="E942" s="55"/>
      <c r="F942" s="55"/>
      <c r="G942" s="55"/>
      <c r="H942" s="55"/>
      <c r="I942" s="55"/>
      <c r="J942" s="55"/>
      <c r="K942" s="55"/>
      <c r="L942" s="55"/>
      <c r="M942" s="55"/>
      <c r="N942" s="55"/>
      <c r="O942" s="55"/>
      <c r="P942" s="55"/>
      <c r="Q942" s="55"/>
      <c r="R942" s="55"/>
      <c r="S942" s="55"/>
      <c r="T942" s="55"/>
      <c r="U942" s="55"/>
      <c r="V942" s="55"/>
      <c r="W942" s="55"/>
      <c r="X942" s="55"/>
      <c r="Y942" s="55"/>
      <c r="Z942" s="55"/>
    </row>
    <row r="943" spans="1:26" ht="15">
      <c r="A943" s="55"/>
      <c r="B943" s="55"/>
      <c r="C943" s="55"/>
      <c r="D943" s="55"/>
      <c r="E943" s="55"/>
      <c r="F943" s="55"/>
      <c r="G943" s="55"/>
      <c r="H943" s="55"/>
      <c r="I943" s="55"/>
      <c r="J943" s="55"/>
      <c r="K943" s="55"/>
      <c r="L943" s="55"/>
      <c r="M943" s="55"/>
      <c r="N943" s="55"/>
      <c r="O943" s="55"/>
      <c r="P943" s="55"/>
      <c r="Q943" s="55"/>
      <c r="R943" s="55"/>
      <c r="S943" s="55"/>
      <c r="T943" s="55"/>
      <c r="U943" s="55"/>
      <c r="V943" s="55"/>
      <c r="W943" s="55"/>
      <c r="X943" s="55"/>
      <c r="Y943" s="55"/>
      <c r="Z943" s="55"/>
    </row>
    <row r="944" spans="1:26" ht="15">
      <c r="A944" s="55"/>
      <c r="B944" s="55"/>
      <c r="C944" s="55"/>
      <c r="D944" s="55"/>
      <c r="E944" s="55"/>
      <c r="F944" s="55"/>
      <c r="G944" s="55"/>
      <c r="H944" s="55"/>
      <c r="I944" s="55"/>
      <c r="J944" s="55"/>
      <c r="K944" s="55"/>
      <c r="L944" s="55"/>
      <c r="M944" s="55"/>
      <c r="N944" s="55"/>
      <c r="O944" s="55"/>
      <c r="P944" s="55"/>
      <c r="Q944" s="55"/>
      <c r="R944" s="55"/>
      <c r="S944" s="55"/>
      <c r="T944" s="55"/>
      <c r="U944" s="55"/>
      <c r="V944" s="55"/>
      <c r="W944" s="55"/>
      <c r="X944" s="55"/>
      <c r="Y944" s="55"/>
      <c r="Z944" s="55"/>
    </row>
    <row r="945" spans="1:26" ht="15">
      <c r="A945" s="55"/>
      <c r="B945" s="55"/>
      <c r="C945" s="55"/>
      <c r="D945" s="55"/>
      <c r="E945" s="55"/>
      <c r="F945" s="55"/>
      <c r="G945" s="55"/>
      <c r="H945" s="55"/>
      <c r="I945" s="55"/>
      <c r="J945" s="55"/>
      <c r="K945" s="55"/>
      <c r="L945" s="55"/>
      <c r="M945" s="55"/>
      <c r="N945" s="55"/>
      <c r="O945" s="55"/>
      <c r="P945" s="55"/>
      <c r="Q945" s="55"/>
      <c r="R945" s="55"/>
      <c r="S945" s="55"/>
      <c r="T945" s="55"/>
      <c r="U945" s="55"/>
      <c r="V945" s="55"/>
      <c r="W945" s="55"/>
      <c r="X945" s="55"/>
      <c r="Y945" s="55"/>
      <c r="Z945" s="55"/>
    </row>
    <row r="946" spans="1:26" ht="15">
      <c r="A946" s="55"/>
      <c r="B946" s="55"/>
      <c r="C946" s="55"/>
      <c r="D946" s="55"/>
      <c r="E946" s="55"/>
      <c r="F946" s="55"/>
      <c r="G946" s="55"/>
      <c r="H946" s="55"/>
      <c r="I946" s="55"/>
      <c r="J946" s="55"/>
      <c r="K946" s="55"/>
      <c r="L946" s="55"/>
      <c r="M946" s="55"/>
      <c r="N946" s="55"/>
      <c r="O946" s="55"/>
      <c r="P946" s="55"/>
      <c r="Q946" s="55"/>
      <c r="R946" s="55"/>
      <c r="S946" s="55"/>
      <c r="T946" s="55"/>
      <c r="U946" s="55"/>
      <c r="V946" s="55"/>
      <c r="W946" s="55"/>
      <c r="X946" s="55"/>
      <c r="Y946" s="55"/>
      <c r="Z946" s="55"/>
    </row>
    <row r="947" spans="1:26" ht="15">
      <c r="A947" s="55"/>
      <c r="B947" s="55"/>
      <c r="C947" s="55"/>
      <c r="D947" s="55"/>
      <c r="E947" s="55"/>
      <c r="F947" s="55"/>
      <c r="G947" s="55"/>
      <c r="H947" s="55"/>
      <c r="I947" s="55"/>
      <c r="J947" s="55"/>
      <c r="K947" s="55"/>
      <c r="L947" s="55"/>
      <c r="M947" s="55"/>
      <c r="N947" s="55"/>
      <c r="O947" s="55"/>
      <c r="P947" s="55"/>
      <c r="Q947" s="55"/>
      <c r="R947" s="55"/>
      <c r="S947" s="55"/>
      <c r="T947" s="55"/>
      <c r="U947" s="55"/>
      <c r="V947" s="55"/>
      <c r="W947" s="55"/>
      <c r="X947" s="55"/>
      <c r="Y947" s="55"/>
      <c r="Z947" s="55"/>
    </row>
    <row r="948" spans="1:26" ht="15">
      <c r="A948" s="55"/>
      <c r="B948" s="55"/>
      <c r="C948" s="55"/>
      <c r="D948" s="55"/>
      <c r="E948" s="55"/>
      <c r="F948" s="55"/>
      <c r="G948" s="55"/>
      <c r="H948" s="55"/>
      <c r="I948" s="55"/>
      <c r="J948" s="55"/>
      <c r="K948" s="55"/>
      <c r="L948" s="55"/>
      <c r="M948" s="55"/>
      <c r="N948" s="55"/>
      <c r="O948" s="55"/>
      <c r="P948" s="55"/>
      <c r="Q948" s="55"/>
      <c r="R948" s="55"/>
      <c r="S948" s="55"/>
      <c r="T948" s="55"/>
      <c r="U948" s="55"/>
      <c r="V948" s="55"/>
      <c r="W948" s="55"/>
      <c r="X948" s="55"/>
      <c r="Y948" s="55"/>
      <c r="Z948" s="55"/>
    </row>
    <row r="949" spans="1:26" ht="15">
      <c r="A949" s="55"/>
      <c r="B949" s="55"/>
      <c r="C949" s="55"/>
      <c r="D949" s="55"/>
      <c r="E949" s="55"/>
      <c r="F949" s="55"/>
      <c r="G949" s="55"/>
      <c r="H949" s="55"/>
      <c r="I949" s="55"/>
      <c r="J949" s="55"/>
      <c r="K949" s="55"/>
      <c r="L949" s="55"/>
      <c r="M949" s="55"/>
      <c r="N949" s="55"/>
      <c r="O949" s="55"/>
      <c r="P949" s="55"/>
      <c r="Q949" s="55"/>
      <c r="R949" s="55"/>
      <c r="S949" s="55"/>
      <c r="T949" s="55"/>
      <c r="U949" s="55"/>
      <c r="V949" s="55"/>
      <c r="W949" s="55"/>
      <c r="X949" s="55"/>
      <c r="Y949" s="55"/>
      <c r="Z949" s="55"/>
    </row>
    <row r="950" spans="1:26" ht="15">
      <c r="A950" s="55"/>
      <c r="B950" s="55"/>
      <c r="C950" s="55"/>
      <c r="D950" s="55"/>
      <c r="E950" s="55"/>
      <c r="F950" s="55"/>
      <c r="G950" s="55"/>
      <c r="H950" s="55"/>
      <c r="I950" s="55"/>
      <c r="J950" s="55"/>
      <c r="K950" s="55"/>
      <c r="L950" s="55"/>
      <c r="M950" s="55"/>
      <c r="N950" s="55"/>
      <c r="O950" s="55"/>
      <c r="P950" s="55"/>
      <c r="Q950" s="55"/>
      <c r="R950" s="55"/>
      <c r="S950" s="55"/>
      <c r="T950" s="55"/>
      <c r="U950" s="55"/>
      <c r="V950" s="55"/>
      <c r="W950" s="55"/>
      <c r="X950" s="55"/>
      <c r="Y950" s="55"/>
      <c r="Z950" s="55"/>
    </row>
    <row r="951" spans="1:26" ht="15">
      <c r="A951" s="55"/>
      <c r="B951" s="55"/>
      <c r="C951" s="55"/>
      <c r="D951" s="55"/>
      <c r="E951" s="55"/>
      <c r="F951" s="55"/>
      <c r="G951" s="55"/>
      <c r="H951" s="55"/>
      <c r="I951" s="55"/>
      <c r="J951" s="55"/>
      <c r="K951" s="55"/>
      <c r="L951" s="55"/>
      <c r="M951" s="55"/>
      <c r="N951" s="55"/>
      <c r="O951" s="55"/>
      <c r="P951" s="55"/>
      <c r="Q951" s="55"/>
      <c r="R951" s="55"/>
      <c r="S951" s="55"/>
      <c r="T951" s="55"/>
      <c r="U951" s="55"/>
      <c r="V951" s="55"/>
      <c r="W951" s="55"/>
      <c r="X951" s="55"/>
      <c r="Y951" s="55"/>
      <c r="Z951" s="55"/>
    </row>
    <row r="952" spans="1:26" ht="15">
      <c r="A952" s="55"/>
      <c r="B952" s="55"/>
      <c r="C952" s="55"/>
      <c r="D952" s="55"/>
      <c r="E952" s="55"/>
      <c r="F952" s="55"/>
      <c r="G952" s="55"/>
      <c r="H952" s="55"/>
      <c r="I952" s="55"/>
      <c r="J952" s="55"/>
      <c r="K952" s="55"/>
      <c r="L952" s="55"/>
      <c r="M952" s="55"/>
      <c r="N952" s="55"/>
      <c r="O952" s="55"/>
      <c r="P952" s="55"/>
      <c r="Q952" s="55"/>
      <c r="R952" s="55"/>
      <c r="S952" s="55"/>
      <c r="T952" s="55"/>
      <c r="U952" s="55"/>
      <c r="V952" s="55"/>
      <c r="W952" s="55"/>
      <c r="X952" s="55"/>
      <c r="Y952" s="55"/>
      <c r="Z952" s="55"/>
    </row>
    <row r="953" spans="1:26" ht="15">
      <c r="A953" s="55"/>
      <c r="B953" s="55"/>
      <c r="C953" s="55"/>
      <c r="D953" s="55"/>
      <c r="E953" s="55"/>
      <c r="F953" s="55"/>
      <c r="G953" s="55"/>
      <c r="H953" s="55"/>
      <c r="I953" s="55"/>
      <c r="J953" s="55"/>
      <c r="K953" s="55"/>
      <c r="L953" s="55"/>
      <c r="M953" s="55"/>
      <c r="N953" s="55"/>
      <c r="O953" s="55"/>
      <c r="P953" s="55"/>
      <c r="Q953" s="55"/>
      <c r="R953" s="55"/>
      <c r="S953" s="55"/>
      <c r="T953" s="55"/>
      <c r="U953" s="55"/>
      <c r="V953" s="55"/>
      <c r="W953" s="55"/>
      <c r="X953" s="55"/>
      <c r="Y953" s="55"/>
      <c r="Z953" s="55"/>
    </row>
    <row r="954" spans="1:26" ht="15">
      <c r="A954" s="55"/>
      <c r="B954" s="55"/>
      <c r="C954" s="55"/>
      <c r="D954" s="55"/>
      <c r="E954" s="55"/>
      <c r="F954" s="55"/>
      <c r="G954" s="55"/>
      <c r="H954" s="55"/>
      <c r="I954" s="55"/>
      <c r="J954" s="55"/>
      <c r="K954" s="55"/>
      <c r="L954" s="55"/>
      <c r="M954" s="55"/>
      <c r="N954" s="55"/>
      <c r="O954" s="55"/>
      <c r="P954" s="55"/>
      <c r="Q954" s="55"/>
      <c r="R954" s="55"/>
      <c r="S954" s="55"/>
      <c r="T954" s="55"/>
      <c r="U954" s="55"/>
      <c r="V954" s="55"/>
      <c r="W954" s="55"/>
      <c r="X954" s="55"/>
      <c r="Y954" s="55"/>
      <c r="Z954" s="55"/>
    </row>
    <row r="955" spans="1:26" ht="15">
      <c r="A955" s="55"/>
      <c r="B955" s="55"/>
      <c r="C955" s="55"/>
      <c r="D955" s="55"/>
      <c r="E955" s="55"/>
      <c r="F955" s="55"/>
      <c r="G955" s="55"/>
      <c r="H955" s="55"/>
      <c r="I955" s="55"/>
      <c r="J955" s="55"/>
      <c r="K955" s="55"/>
      <c r="L955" s="55"/>
      <c r="M955" s="55"/>
      <c r="N955" s="55"/>
      <c r="O955" s="55"/>
      <c r="P955" s="55"/>
      <c r="Q955" s="55"/>
      <c r="R955" s="55"/>
      <c r="S955" s="55"/>
      <c r="T955" s="55"/>
      <c r="U955" s="55"/>
      <c r="V955" s="55"/>
      <c r="W955" s="55"/>
      <c r="X955" s="55"/>
      <c r="Y955" s="55"/>
      <c r="Z955" s="55"/>
    </row>
    <row r="956" spans="1:26" ht="15">
      <c r="A956" s="55"/>
      <c r="B956" s="55"/>
      <c r="C956" s="55"/>
      <c r="D956" s="55"/>
      <c r="E956" s="55"/>
      <c r="F956" s="55"/>
      <c r="G956" s="55"/>
      <c r="H956" s="55"/>
      <c r="I956" s="55"/>
      <c r="J956" s="55"/>
      <c r="K956" s="55"/>
      <c r="L956" s="55"/>
      <c r="M956" s="55"/>
      <c r="N956" s="55"/>
      <c r="O956" s="55"/>
      <c r="P956" s="55"/>
      <c r="Q956" s="55"/>
      <c r="R956" s="55"/>
      <c r="S956" s="55"/>
      <c r="T956" s="55"/>
      <c r="U956" s="55"/>
      <c r="V956" s="55"/>
      <c r="W956" s="55"/>
      <c r="X956" s="55"/>
      <c r="Y956" s="55"/>
      <c r="Z956" s="55"/>
    </row>
    <row r="957" spans="1:26" ht="15">
      <c r="A957" s="55"/>
      <c r="B957" s="55"/>
      <c r="C957" s="55"/>
      <c r="D957" s="55"/>
      <c r="E957" s="55"/>
      <c r="F957" s="55"/>
      <c r="G957" s="55"/>
      <c r="H957" s="55"/>
      <c r="I957" s="55"/>
      <c r="J957" s="55"/>
      <c r="K957" s="55"/>
      <c r="L957" s="55"/>
      <c r="M957" s="55"/>
      <c r="N957" s="55"/>
      <c r="O957" s="55"/>
      <c r="P957" s="55"/>
      <c r="Q957" s="55"/>
      <c r="R957" s="55"/>
      <c r="S957" s="55"/>
      <c r="T957" s="55"/>
      <c r="U957" s="55"/>
      <c r="V957" s="55"/>
      <c r="W957" s="55"/>
      <c r="X957" s="55"/>
      <c r="Y957" s="55"/>
      <c r="Z957" s="55"/>
    </row>
    <row r="958" spans="1:26" ht="15">
      <c r="A958" s="55"/>
      <c r="B958" s="55"/>
      <c r="C958" s="55"/>
      <c r="D958" s="55"/>
      <c r="E958" s="55"/>
      <c r="F958" s="55"/>
      <c r="G958" s="55"/>
      <c r="H958" s="55"/>
      <c r="I958" s="55"/>
      <c r="J958" s="55"/>
      <c r="K958" s="55"/>
      <c r="L958" s="55"/>
      <c r="M958" s="55"/>
      <c r="N958" s="55"/>
      <c r="O958" s="55"/>
      <c r="P958" s="55"/>
      <c r="Q958" s="55"/>
      <c r="R958" s="55"/>
      <c r="S958" s="55"/>
      <c r="T958" s="55"/>
      <c r="U958" s="55"/>
      <c r="V958" s="55"/>
      <c r="W958" s="55"/>
      <c r="X958" s="55"/>
      <c r="Y958" s="55"/>
      <c r="Z958" s="55"/>
    </row>
    <row r="959" spans="1:26" ht="15">
      <c r="A959" s="55"/>
      <c r="B959" s="55"/>
      <c r="C959" s="55"/>
      <c r="D959" s="55"/>
      <c r="E959" s="55"/>
      <c r="F959" s="55"/>
      <c r="G959" s="55"/>
      <c r="H959" s="55"/>
      <c r="I959" s="55"/>
      <c r="J959" s="55"/>
      <c r="K959" s="55"/>
      <c r="L959" s="55"/>
      <c r="M959" s="55"/>
      <c r="N959" s="55"/>
      <c r="O959" s="55"/>
      <c r="P959" s="55"/>
      <c r="Q959" s="55"/>
      <c r="R959" s="55"/>
      <c r="S959" s="55"/>
      <c r="T959" s="55"/>
      <c r="U959" s="55"/>
      <c r="V959" s="55"/>
      <c r="W959" s="55"/>
      <c r="X959" s="55"/>
      <c r="Y959" s="55"/>
      <c r="Z959" s="55"/>
    </row>
    <row r="960" spans="1:26" ht="15">
      <c r="A960" s="55"/>
      <c r="B960" s="55"/>
      <c r="C960" s="55"/>
      <c r="D960" s="55"/>
      <c r="E960" s="55"/>
      <c r="F960" s="55"/>
      <c r="G960" s="55"/>
      <c r="H960" s="55"/>
      <c r="I960" s="55"/>
      <c r="J960" s="55"/>
      <c r="K960" s="55"/>
      <c r="L960" s="55"/>
      <c r="M960" s="55"/>
      <c r="N960" s="55"/>
      <c r="O960" s="55"/>
      <c r="P960" s="55"/>
      <c r="Q960" s="55"/>
      <c r="R960" s="55"/>
      <c r="S960" s="55"/>
      <c r="T960" s="55"/>
      <c r="U960" s="55"/>
      <c r="V960" s="55"/>
      <c r="W960" s="55"/>
      <c r="X960" s="55"/>
      <c r="Y960" s="55"/>
      <c r="Z960" s="55"/>
    </row>
    <row r="961" spans="1:26" ht="15">
      <c r="A961" s="55"/>
      <c r="B961" s="55"/>
      <c r="C961" s="55"/>
      <c r="D961" s="55"/>
      <c r="E961" s="55"/>
      <c r="F961" s="55"/>
      <c r="G961" s="55"/>
      <c r="H961" s="55"/>
      <c r="I961" s="55"/>
      <c r="J961" s="55"/>
      <c r="K961" s="55"/>
      <c r="L961" s="55"/>
      <c r="M961" s="55"/>
      <c r="N961" s="55"/>
      <c r="O961" s="55"/>
      <c r="P961" s="55"/>
      <c r="Q961" s="55"/>
      <c r="R961" s="55"/>
      <c r="S961" s="55"/>
      <c r="T961" s="55"/>
      <c r="U961" s="55"/>
      <c r="V961" s="55"/>
      <c r="W961" s="55"/>
      <c r="X961" s="55"/>
      <c r="Y961" s="55"/>
      <c r="Z961" s="55"/>
    </row>
    <row r="962" spans="1:26" ht="15">
      <c r="A962" s="55"/>
      <c r="B962" s="55"/>
      <c r="C962" s="55"/>
      <c r="D962" s="55"/>
      <c r="E962" s="55"/>
      <c r="F962" s="55"/>
      <c r="G962" s="55"/>
      <c r="H962" s="55"/>
      <c r="I962" s="55"/>
      <c r="J962" s="55"/>
      <c r="K962" s="55"/>
      <c r="L962" s="55"/>
      <c r="M962" s="55"/>
      <c r="N962" s="55"/>
      <c r="O962" s="55"/>
      <c r="P962" s="55"/>
      <c r="Q962" s="55"/>
      <c r="R962" s="55"/>
      <c r="S962" s="55"/>
      <c r="T962" s="55"/>
      <c r="U962" s="55"/>
      <c r="V962" s="55"/>
      <c r="W962" s="55"/>
      <c r="X962" s="55"/>
      <c r="Y962" s="55"/>
      <c r="Z962" s="55"/>
    </row>
    <row r="963" spans="1:26" ht="15">
      <c r="A963" s="55"/>
      <c r="B963" s="55"/>
      <c r="C963" s="55"/>
      <c r="D963" s="55"/>
      <c r="E963" s="55"/>
      <c r="F963" s="55"/>
      <c r="G963" s="55"/>
      <c r="H963" s="55"/>
      <c r="I963" s="55"/>
      <c r="J963" s="55"/>
      <c r="K963" s="55"/>
      <c r="L963" s="55"/>
      <c r="M963" s="55"/>
      <c r="N963" s="55"/>
      <c r="O963" s="55"/>
      <c r="P963" s="55"/>
      <c r="Q963" s="55"/>
      <c r="R963" s="55"/>
      <c r="S963" s="55"/>
      <c r="T963" s="55"/>
      <c r="U963" s="55"/>
      <c r="V963" s="55"/>
      <c r="W963" s="55"/>
      <c r="X963" s="55"/>
      <c r="Y963" s="55"/>
      <c r="Z963" s="55"/>
    </row>
    <row r="964" spans="1:26" ht="15">
      <c r="A964" s="55"/>
      <c r="B964" s="55"/>
      <c r="C964" s="55"/>
      <c r="D964" s="55"/>
      <c r="E964" s="55"/>
      <c r="F964" s="55"/>
      <c r="G964" s="55"/>
      <c r="H964" s="55"/>
      <c r="I964" s="55"/>
      <c r="J964" s="55"/>
      <c r="K964" s="55"/>
      <c r="L964" s="55"/>
      <c r="M964" s="55"/>
      <c r="N964" s="55"/>
      <c r="O964" s="55"/>
      <c r="P964" s="55"/>
      <c r="Q964" s="55"/>
      <c r="R964" s="55"/>
      <c r="S964" s="55"/>
      <c r="T964" s="55"/>
      <c r="U964" s="55"/>
      <c r="V964" s="55"/>
      <c r="W964" s="55"/>
      <c r="X964" s="55"/>
      <c r="Y964" s="55"/>
      <c r="Z964" s="55"/>
    </row>
    <row r="965" spans="1:26" ht="15">
      <c r="A965" s="55"/>
      <c r="B965" s="55"/>
      <c r="C965" s="55"/>
      <c r="D965" s="55"/>
      <c r="E965" s="55"/>
      <c r="F965" s="55"/>
      <c r="G965" s="55"/>
      <c r="H965" s="55"/>
      <c r="I965" s="55"/>
      <c r="J965" s="55"/>
      <c r="K965" s="55"/>
      <c r="L965" s="55"/>
      <c r="M965" s="55"/>
      <c r="N965" s="55"/>
      <c r="O965" s="55"/>
      <c r="P965" s="55"/>
      <c r="Q965" s="55"/>
      <c r="R965" s="55"/>
      <c r="S965" s="55"/>
      <c r="T965" s="55"/>
      <c r="U965" s="55"/>
      <c r="V965" s="55"/>
      <c r="W965" s="55"/>
      <c r="X965" s="55"/>
      <c r="Y965" s="55"/>
      <c r="Z965" s="55"/>
    </row>
    <row r="966" spans="1:26" ht="15">
      <c r="A966" s="55"/>
      <c r="B966" s="55"/>
      <c r="C966" s="55"/>
      <c r="D966" s="55"/>
      <c r="E966" s="55"/>
      <c r="F966" s="55"/>
      <c r="G966" s="55"/>
      <c r="H966" s="55"/>
      <c r="I966" s="55"/>
      <c r="J966" s="55"/>
      <c r="K966" s="55"/>
      <c r="L966" s="55"/>
      <c r="M966" s="55"/>
      <c r="N966" s="55"/>
      <c r="O966" s="55"/>
      <c r="P966" s="55"/>
      <c r="Q966" s="55"/>
      <c r="R966" s="55"/>
      <c r="S966" s="55"/>
      <c r="T966" s="55"/>
      <c r="U966" s="55"/>
      <c r="V966" s="55"/>
      <c r="W966" s="55"/>
      <c r="X966" s="55"/>
      <c r="Y966" s="55"/>
      <c r="Z966" s="55"/>
    </row>
    <row r="967" spans="1:26" ht="15">
      <c r="A967" s="55"/>
      <c r="B967" s="55"/>
      <c r="C967" s="55"/>
      <c r="D967" s="55"/>
      <c r="E967" s="55"/>
      <c r="F967" s="55"/>
      <c r="G967" s="55"/>
      <c r="H967" s="55"/>
      <c r="I967" s="55"/>
      <c r="J967" s="55"/>
      <c r="K967" s="55"/>
      <c r="L967" s="55"/>
      <c r="M967" s="55"/>
      <c r="N967" s="55"/>
      <c r="O967" s="55"/>
      <c r="P967" s="55"/>
      <c r="Q967" s="55"/>
      <c r="R967" s="55"/>
      <c r="S967" s="55"/>
      <c r="T967" s="55"/>
      <c r="U967" s="55"/>
      <c r="V967" s="55"/>
      <c r="W967" s="55"/>
      <c r="X967" s="55"/>
      <c r="Y967" s="55"/>
      <c r="Z967" s="55"/>
    </row>
    <row r="968" spans="1:26" ht="15">
      <c r="A968" s="55"/>
      <c r="B968" s="55"/>
      <c r="C968" s="55"/>
      <c r="D968" s="55"/>
      <c r="E968" s="55"/>
      <c r="F968" s="55"/>
      <c r="G968" s="55"/>
      <c r="H968" s="55"/>
      <c r="I968" s="55"/>
      <c r="J968" s="55"/>
      <c r="K968" s="55"/>
      <c r="L968" s="55"/>
      <c r="M968" s="55"/>
      <c r="N968" s="55"/>
      <c r="O968" s="55"/>
      <c r="P968" s="55"/>
      <c r="Q968" s="55"/>
      <c r="R968" s="55"/>
      <c r="S968" s="55"/>
      <c r="T968" s="55"/>
      <c r="U968" s="55"/>
      <c r="V968" s="55"/>
      <c r="W968" s="55"/>
      <c r="X968" s="55"/>
      <c r="Y968" s="55"/>
      <c r="Z968" s="55"/>
    </row>
    <row r="969" spans="1:26" ht="15">
      <c r="A969" s="55"/>
      <c r="B969" s="55"/>
      <c r="C969" s="55"/>
      <c r="D969" s="55"/>
      <c r="E969" s="55"/>
      <c r="F969" s="55"/>
      <c r="G969" s="55"/>
      <c r="H969" s="55"/>
      <c r="I969" s="55"/>
      <c r="J969" s="55"/>
      <c r="K969" s="55"/>
      <c r="L969" s="55"/>
      <c r="M969" s="55"/>
      <c r="N969" s="55"/>
      <c r="O969" s="55"/>
      <c r="P969" s="55"/>
      <c r="Q969" s="55"/>
      <c r="R969" s="55"/>
      <c r="S969" s="55"/>
      <c r="T969" s="55"/>
      <c r="U969" s="55"/>
      <c r="V969" s="55"/>
      <c r="W969" s="55"/>
      <c r="X969" s="55"/>
      <c r="Y969" s="55"/>
      <c r="Z969" s="55"/>
    </row>
    <row r="970" spans="1:26" ht="15">
      <c r="A970" s="55"/>
      <c r="B970" s="55"/>
      <c r="C970" s="55"/>
      <c r="D970" s="55"/>
      <c r="E970" s="55"/>
      <c r="F970" s="55"/>
      <c r="G970" s="55"/>
      <c r="H970" s="55"/>
      <c r="I970" s="55"/>
      <c r="J970" s="55"/>
      <c r="K970" s="55"/>
      <c r="L970" s="55"/>
      <c r="M970" s="55"/>
      <c r="N970" s="55"/>
      <c r="O970" s="55"/>
      <c r="P970" s="55"/>
      <c r="Q970" s="55"/>
      <c r="R970" s="55"/>
      <c r="S970" s="55"/>
      <c r="T970" s="55"/>
      <c r="U970" s="55"/>
      <c r="V970" s="55"/>
      <c r="W970" s="55"/>
      <c r="X970" s="55"/>
      <c r="Y970" s="55"/>
      <c r="Z970" s="55"/>
    </row>
    <row r="971" spans="1:26" ht="15">
      <c r="A971" s="55"/>
      <c r="B971" s="55"/>
      <c r="C971" s="55"/>
      <c r="D971" s="55"/>
      <c r="E971" s="55"/>
      <c r="F971" s="55"/>
      <c r="G971" s="55"/>
      <c r="H971" s="55"/>
      <c r="I971" s="55"/>
      <c r="J971" s="55"/>
      <c r="K971" s="55"/>
      <c r="L971" s="55"/>
      <c r="M971" s="55"/>
      <c r="N971" s="55"/>
      <c r="O971" s="55"/>
      <c r="P971" s="55"/>
      <c r="Q971" s="55"/>
      <c r="R971" s="55"/>
      <c r="S971" s="55"/>
      <c r="T971" s="55"/>
      <c r="U971" s="55"/>
      <c r="V971" s="55"/>
      <c r="W971" s="55"/>
      <c r="X971" s="55"/>
      <c r="Y971" s="55"/>
      <c r="Z971" s="55"/>
    </row>
    <row r="972" spans="1:26" ht="15">
      <c r="A972" s="55"/>
      <c r="B972" s="55"/>
      <c r="C972" s="55"/>
      <c r="D972" s="55"/>
      <c r="E972" s="55"/>
      <c r="F972" s="55"/>
      <c r="G972" s="55"/>
      <c r="H972" s="55"/>
      <c r="I972" s="55"/>
      <c r="J972" s="55"/>
      <c r="K972" s="55"/>
      <c r="L972" s="55"/>
      <c r="M972" s="55"/>
      <c r="N972" s="55"/>
      <c r="O972" s="55"/>
      <c r="P972" s="55"/>
      <c r="Q972" s="55"/>
      <c r="R972" s="55"/>
      <c r="S972" s="55"/>
      <c r="T972" s="55"/>
      <c r="U972" s="55"/>
      <c r="V972" s="55"/>
      <c r="W972" s="55"/>
      <c r="X972" s="55"/>
      <c r="Y972" s="55"/>
      <c r="Z972" s="55"/>
    </row>
    <row r="973" spans="1:26" ht="15">
      <c r="A973" s="55"/>
      <c r="B973" s="55"/>
      <c r="C973" s="55"/>
      <c r="D973" s="55"/>
      <c r="E973" s="55"/>
      <c r="F973" s="55"/>
      <c r="G973" s="55"/>
      <c r="H973" s="55"/>
      <c r="I973" s="55"/>
      <c r="J973" s="55"/>
      <c r="K973" s="55"/>
      <c r="L973" s="55"/>
      <c r="M973" s="55"/>
      <c r="N973" s="55"/>
      <c r="O973" s="55"/>
      <c r="P973" s="55"/>
      <c r="Q973" s="55"/>
      <c r="R973" s="55"/>
      <c r="S973" s="55"/>
      <c r="T973" s="55"/>
      <c r="U973" s="55"/>
      <c r="V973" s="55"/>
      <c r="W973" s="55"/>
      <c r="X973" s="55"/>
      <c r="Y973" s="55"/>
      <c r="Z973" s="55"/>
    </row>
    <row r="974" spans="1:26" ht="15">
      <c r="A974" s="55"/>
      <c r="B974" s="55"/>
      <c r="C974" s="55"/>
      <c r="D974" s="55"/>
      <c r="E974" s="55"/>
      <c r="F974" s="55"/>
      <c r="G974" s="55"/>
      <c r="H974" s="55"/>
      <c r="I974" s="55"/>
      <c r="J974" s="55"/>
      <c r="K974" s="55"/>
      <c r="L974" s="55"/>
      <c r="M974" s="55"/>
      <c r="N974" s="55"/>
      <c r="O974" s="55"/>
      <c r="P974" s="55"/>
      <c r="Q974" s="55"/>
      <c r="R974" s="55"/>
      <c r="S974" s="55"/>
      <c r="T974" s="55"/>
      <c r="U974" s="55"/>
      <c r="V974" s="55"/>
      <c r="W974" s="55"/>
      <c r="X974" s="55"/>
      <c r="Y974" s="55"/>
      <c r="Z974" s="55"/>
    </row>
    <row r="975" spans="1:26" ht="15">
      <c r="A975" s="55"/>
      <c r="B975" s="55"/>
      <c r="C975" s="55"/>
      <c r="D975" s="55"/>
      <c r="E975" s="55"/>
      <c r="F975" s="55"/>
      <c r="G975" s="55"/>
      <c r="H975" s="55"/>
      <c r="I975" s="55"/>
      <c r="J975" s="55"/>
      <c r="K975" s="55"/>
      <c r="L975" s="55"/>
      <c r="M975" s="55"/>
      <c r="N975" s="55"/>
      <c r="O975" s="55"/>
      <c r="P975" s="55"/>
      <c r="Q975" s="55"/>
      <c r="R975" s="55"/>
      <c r="S975" s="55"/>
      <c r="T975" s="55"/>
      <c r="U975" s="55"/>
      <c r="V975" s="55"/>
      <c r="W975" s="55"/>
      <c r="X975" s="55"/>
      <c r="Y975" s="55"/>
      <c r="Z975" s="55"/>
    </row>
    <row r="976" spans="1:26" ht="15">
      <c r="A976" s="55"/>
      <c r="B976" s="55"/>
      <c r="C976" s="55"/>
      <c r="D976" s="55"/>
      <c r="E976" s="55"/>
      <c r="F976" s="55"/>
      <c r="G976" s="55"/>
      <c r="H976" s="55"/>
      <c r="I976" s="55"/>
      <c r="J976" s="55"/>
      <c r="K976" s="55"/>
      <c r="L976" s="55"/>
      <c r="M976" s="55"/>
      <c r="N976" s="55"/>
      <c r="O976" s="55"/>
      <c r="P976" s="55"/>
      <c r="Q976" s="55"/>
      <c r="R976" s="55"/>
      <c r="S976" s="55"/>
      <c r="T976" s="55"/>
      <c r="U976" s="55"/>
      <c r="V976" s="55"/>
      <c r="W976" s="55"/>
      <c r="X976" s="55"/>
      <c r="Y976" s="55"/>
      <c r="Z976" s="55"/>
    </row>
    <row r="977" spans="1:26" ht="15">
      <c r="A977" s="55"/>
      <c r="B977" s="55"/>
      <c r="C977" s="55"/>
      <c r="D977" s="55"/>
      <c r="E977" s="55"/>
      <c r="F977" s="55"/>
      <c r="G977" s="55"/>
      <c r="H977" s="55"/>
      <c r="I977" s="55"/>
      <c r="J977" s="55"/>
      <c r="K977" s="55"/>
      <c r="L977" s="55"/>
      <c r="M977" s="55"/>
      <c r="N977" s="55"/>
      <c r="O977" s="55"/>
      <c r="P977" s="55"/>
      <c r="Q977" s="55"/>
      <c r="R977" s="55"/>
      <c r="S977" s="55"/>
      <c r="T977" s="55"/>
      <c r="U977" s="55"/>
      <c r="V977" s="55"/>
      <c r="W977" s="55"/>
      <c r="X977" s="55"/>
      <c r="Y977" s="55"/>
      <c r="Z977" s="55"/>
    </row>
    <row r="978" spans="1:26" ht="15">
      <c r="A978" s="55"/>
      <c r="B978" s="55"/>
      <c r="C978" s="55"/>
      <c r="D978" s="55"/>
      <c r="E978" s="55"/>
      <c r="F978" s="55"/>
      <c r="G978" s="55"/>
      <c r="H978" s="55"/>
      <c r="I978" s="55"/>
      <c r="J978" s="55"/>
      <c r="K978" s="55"/>
      <c r="L978" s="55"/>
      <c r="M978" s="55"/>
      <c r="N978" s="55"/>
      <c r="O978" s="55"/>
      <c r="P978" s="55"/>
      <c r="Q978" s="55"/>
      <c r="R978" s="55"/>
      <c r="S978" s="55"/>
      <c r="T978" s="55"/>
      <c r="U978" s="55"/>
      <c r="V978" s="55"/>
      <c r="W978" s="55"/>
      <c r="X978" s="55"/>
      <c r="Y978" s="55"/>
      <c r="Z978" s="55"/>
    </row>
    <row r="979" spans="1:26" ht="15">
      <c r="A979" s="55"/>
      <c r="B979" s="55"/>
      <c r="C979" s="55"/>
      <c r="D979" s="55"/>
      <c r="E979" s="55"/>
      <c r="F979" s="55"/>
      <c r="G979" s="55"/>
      <c r="H979" s="55"/>
      <c r="I979" s="55"/>
      <c r="J979" s="55"/>
      <c r="K979" s="55"/>
      <c r="L979" s="55"/>
      <c r="M979" s="55"/>
      <c r="N979" s="55"/>
      <c r="O979" s="55"/>
      <c r="P979" s="55"/>
      <c r="Q979" s="55"/>
      <c r="R979" s="55"/>
      <c r="S979" s="55"/>
      <c r="T979" s="55"/>
      <c r="U979" s="55"/>
      <c r="V979" s="55"/>
      <c r="W979" s="55"/>
      <c r="X979" s="55"/>
      <c r="Y979" s="55"/>
      <c r="Z979" s="55"/>
    </row>
    <row r="980" spans="1:26" ht="15">
      <c r="A980" s="55"/>
      <c r="B980" s="55"/>
      <c r="C980" s="55"/>
      <c r="D980" s="55"/>
      <c r="E980" s="55"/>
      <c r="F980" s="55"/>
      <c r="G980" s="55"/>
      <c r="H980" s="55"/>
      <c r="I980" s="55"/>
      <c r="J980" s="55"/>
      <c r="K980" s="55"/>
      <c r="L980" s="55"/>
      <c r="M980" s="55"/>
      <c r="N980" s="55"/>
      <c r="O980" s="55"/>
      <c r="P980" s="55"/>
      <c r="Q980" s="55"/>
      <c r="R980" s="55"/>
      <c r="S980" s="55"/>
      <c r="T980" s="55"/>
      <c r="U980" s="55"/>
      <c r="V980" s="55"/>
      <c r="W980" s="55"/>
      <c r="X980" s="55"/>
      <c r="Y980" s="55"/>
      <c r="Z980" s="55"/>
    </row>
    <row r="981" spans="1:26" ht="15">
      <c r="A981" s="55"/>
      <c r="B981" s="55"/>
      <c r="C981" s="55"/>
      <c r="D981" s="55"/>
      <c r="E981" s="55"/>
      <c r="F981" s="55"/>
      <c r="G981" s="55"/>
      <c r="H981" s="55"/>
      <c r="I981" s="55"/>
      <c r="J981" s="55"/>
      <c r="K981" s="55"/>
      <c r="L981" s="55"/>
      <c r="M981" s="55"/>
      <c r="N981" s="55"/>
      <c r="O981" s="55"/>
      <c r="P981" s="55"/>
      <c r="Q981" s="55"/>
      <c r="R981" s="55"/>
      <c r="S981" s="55"/>
      <c r="T981" s="55"/>
      <c r="U981" s="55"/>
      <c r="V981" s="55"/>
      <c r="W981" s="55"/>
      <c r="X981" s="55"/>
      <c r="Y981" s="55"/>
      <c r="Z981" s="55"/>
    </row>
    <row r="982" spans="1:26" ht="15">
      <c r="A982" s="55"/>
      <c r="B982" s="55"/>
      <c r="C982" s="55"/>
      <c r="D982" s="55"/>
      <c r="E982" s="55"/>
      <c r="F982" s="55"/>
      <c r="G982" s="55"/>
      <c r="H982" s="55"/>
      <c r="I982" s="55"/>
      <c r="J982" s="55"/>
      <c r="K982" s="55"/>
      <c r="L982" s="55"/>
      <c r="M982" s="55"/>
      <c r="N982" s="55"/>
      <c r="O982" s="55"/>
      <c r="P982" s="55"/>
      <c r="Q982" s="55"/>
      <c r="R982" s="55"/>
      <c r="S982" s="55"/>
      <c r="T982" s="55"/>
      <c r="U982" s="55"/>
      <c r="V982" s="55"/>
      <c r="W982" s="55"/>
      <c r="X982" s="55"/>
      <c r="Y982" s="55"/>
      <c r="Z982" s="55"/>
    </row>
    <row r="983" spans="1:26" ht="15">
      <c r="A983" s="55"/>
      <c r="B983" s="55"/>
      <c r="C983" s="55"/>
      <c r="D983" s="55"/>
      <c r="E983" s="55"/>
      <c r="F983" s="55"/>
      <c r="G983" s="55"/>
      <c r="H983" s="55"/>
      <c r="I983" s="55"/>
      <c r="J983" s="55"/>
      <c r="K983" s="55"/>
      <c r="L983" s="55"/>
      <c r="M983" s="55"/>
      <c r="N983" s="55"/>
      <c r="O983" s="55"/>
      <c r="P983" s="55"/>
      <c r="Q983" s="55"/>
      <c r="R983" s="55"/>
      <c r="S983" s="55"/>
      <c r="T983" s="55"/>
      <c r="U983" s="55"/>
      <c r="V983" s="55"/>
      <c r="W983" s="55"/>
      <c r="X983" s="55"/>
      <c r="Y983" s="55"/>
      <c r="Z983" s="55"/>
    </row>
    <row r="984" spans="1:26" ht="15">
      <c r="A984" s="55"/>
      <c r="B984" s="55"/>
      <c r="C984" s="55"/>
      <c r="D984" s="55"/>
      <c r="E984" s="55"/>
      <c r="F984" s="55"/>
      <c r="G984" s="55"/>
      <c r="H984" s="55"/>
      <c r="I984" s="55"/>
      <c r="J984" s="55"/>
      <c r="K984" s="55"/>
      <c r="L984" s="55"/>
      <c r="M984" s="55"/>
      <c r="N984" s="55"/>
      <c r="O984" s="55"/>
      <c r="P984" s="55"/>
      <c r="Q984" s="55"/>
      <c r="R984" s="55"/>
      <c r="S984" s="55"/>
      <c r="T984" s="55"/>
      <c r="U984" s="55"/>
      <c r="V984" s="55"/>
      <c r="W984" s="55"/>
      <c r="X984" s="55"/>
      <c r="Y984" s="55"/>
      <c r="Z984" s="55"/>
    </row>
    <row r="985" spans="1:26" ht="15">
      <c r="A985" s="55"/>
      <c r="B985" s="55"/>
      <c r="C985" s="55"/>
      <c r="D985" s="55"/>
      <c r="E985" s="55"/>
      <c r="F985" s="55"/>
      <c r="G985" s="55"/>
      <c r="H985" s="55"/>
      <c r="I985" s="55"/>
      <c r="J985" s="55"/>
      <c r="K985" s="55"/>
      <c r="L985" s="55"/>
      <c r="M985" s="55"/>
      <c r="N985" s="55"/>
      <c r="O985" s="55"/>
      <c r="P985" s="55"/>
      <c r="Q985" s="55"/>
      <c r="R985" s="55"/>
      <c r="S985" s="55"/>
      <c r="T985" s="55"/>
      <c r="U985" s="55"/>
      <c r="V985" s="55"/>
      <c r="W985" s="55"/>
      <c r="X985" s="55"/>
      <c r="Y985" s="55"/>
      <c r="Z985" s="55"/>
    </row>
    <row r="986" spans="1:26" ht="15">
      <c r="A986" s="55"/>
      <c r="B986" s="55"/>
      <c r="C986" s="55"/>
      <c r="D986" s="55"/>
      <c r="E986" s="55"/>
      <c r="F986" s="55"/>
      <c r="G986" s="55"/>
      <c r="H986" s="55"/>
      <c r="I986" s="55"/>
      <c r="J986" s="55"/>
      <c r="K986" s="55"/>
      <c r="L986" s="55"/>
      <c r="M986" s="55"/>
      <c r="N986" s="55"/>
      <c r="O986" s="55"/>
      <c r="P986" s="55"/>
      <c r="Q986" s="55"/>
      <c r="R986" s="55"/>
      <c r="S986" s="55"/>
      <c r="T986" s="55"/>
      <c r="U986" s="55"/>
      <c r="V986" s="55"/>
      <c r="W986" s="55"/>
      <c r="X986" s="55"/>
      <c r="Y986" s="55"/>
      <c r="Z986" s="55"/>
    </row>
    <row r="987" spans="1:26" ht="15">
      <c r="A987" s="55"/>
      <c r="B987" s="55"/>
      <c r="C987" s="55"/>
      <c r="D987" s="55"/>
      <c r="E987" s="55"/>
      <c r="F987" s="55"/>
      <c r="G987" s="55"/>
      <c r="H987" s="55"/>
      <c r="I987" s="55"/>
      <c r="J987" s="55"/>
      <c r="K987" s="55"/>
      <c r="L987" s="55"/>
      <c r="M987" s="55"/>
      <c r="N987" s="55"/>
      <c r="O987" s="55"/>
      <c r="P987" s="55"/>
      <c r="Q987" s="55"/>
      <c r="R987" s="55"/>
      <c r="S987" s="55"/>
      <c r="T987" s="55"/>
      <c r="U987" s="55"/>
      <c r="V987" s="55"/>
      <c r="W987" s="55"/>
      <c r="X987" s="55"/>
      <c r="Y987" s="55"/>
      <c r="Z987" s="55"/>
    </row>
    <row r="988" spans="1:26" ht="15">
      <c r="A988" s="55"/>
      <c r="B988" s="55"/>
      <c r="C988" s="55"/>
      <c r="D988" s="55"/>
      <c r="E988" s="55"/>
      <c r="F988" s="55"/>
      <c r="G988" s="55"/>
      <c r="H988" s="55"/>
      <c r="I988" s="55"/>
      <c r="J988" s="55"/>
      <c r="K988" s="55"/>
      <c r="L988" s="55"/>
      <c r="M988" s="55"/>
      <c r="N988" s="55"/>
      <c r="O988" s="55"/>
      <c r="P988" s="55"/>
      <c r="Q988" s="55"/>
      <c r="R988" s="55"/>
      <c r="S988" s="55"/>
      <c r="T988" s="55"/>
      <c r="U988" s="55"/>
      <c r="V988" s="55"/>
      <c r="W988" s="55"/>
      <c r="X988" s="55"/>
      <c r="Y988" s="55"/>
      <c r="Z988" s="55"/>
    </row>
    <row r="989" spans="1:26" ht="15">
      <c r="A989" s="55"/>
      <c r="B989" s="55"/>
      <c r="C989" s="55"/>
      <c r="D989" s="55"/>
      <c r="E989" s="55"/>
      <c r="F989" s="55"/>
      <c r="G989" s="55"/>
      <c r="H989" s="55"/>
      <c r="I989" s="55"/>
      <c r="J989" s="55"/>
      <c r="K989" s="55"/>
      <c r="L989" s="55"/>
      <c r="M989" s="55"/>
      <c r="N989" s="55"/>
      <c r="O989" s="55"/>
      <c r="P989" s="55"/>
      <c r="Q989" s="55"/>
      <c r="R989" s="55"/>
      <c r="S989" s="55"/>
      <c r="T989" s="55"/>
      <c r="U989" s="55"/>
      <c r="V989" s="55"/>
      <c r="W989" s="55"/>
      <c r="X989" s="55"/>
      <c r="Y989" s="55"/>
      <c r="Z989" s="55"/>
    </row>
    <row r="990" spans="1:26" ht="15">
      <c r="A990" s="55"/>
      <c r="B990" s="55"/>
      <c r="C990" s="55"/>
      <c r="D990" s="55"/>
      <c r="E990" s="55"/>
      <c r="F990" s="55"/>
      <c r="G990" s="55"/>
      <c r="H990" s="55"/>
      <c r="I990" s="55"/>
      <c r="J990" s="55"/>
      <c r="K990" s="55"/>
      <c r="L990" s="55"/>
      <c r="M990" s="55"/>
      <c r="N990" s="55"/>
      <c r="O990" s="55"/>
      <c r="P990" s="55"/>
      <c r="Q990" s="55"/>
      <c r="R990" s="55"/>
      <c r="S990" s="55"/>
      <c r="T990" s="55"/>
      <c r="U990" s="55"/>
      <c r="V990" s="55"/>
      <c r="W990" s="55"/>
      <c r="X990" s="55"/>
      <c r="Y990" s="55"/>
      <c r="Z990" s="55"/>
    </row>
    <row r="991" spans="1:26" ht="15">
      <c r="A991" s="55"/>
      <c r="B991" s="55"/>
      <c r="C991" s="55"/>
      <c r="D991" s="55"/>
      <c r="E991" s="55"/>
      <c r="F991" s="55"/>
      <c r="G991" s="55"/>
      <c r="H991" s="55"/>
      <c r="I991" s="55"/>
      <c r="J991" s="55"/>
      <c r="K991" s="55"/>
      <c r="L991" s="55"/>
      <c r="M991" s="55"/>
      <c r="N991" s="55"/>
      <c r="O991" s="55"/>
      <c r="P991" s="55"/>
      <c r="Q991" s="55"/>
      <c r="R991" s="55"/>
      <c r="S991" s="55"/>
      <c r="T991" s="55"/>
      <c r="U991" s="55"/>
      <c r="V991" s="55"/>
      <c r="W991" s="55"/>
      <c r="X991" s="55"/>
      <c r="Y991" s="55"/>
      <c r="Z991" s="55"/>
    </row>
    <row r="992" spans="1:26" ht="15">
      <c r="A992" s="55"/>
      <c r="B992" s="55"/>
      <c r="C992" s="55"/>
      <c r="D992" s="55"/>
      <c r="E992" s="55"/>
      <c r="F992" s="55"/>
      <c r="G992" s="55"/>
      <c r="H992" s="55"/>
      <c r="I992" s="55"/>
      <c r="J992" s="55"/>
      <c r="K992" s="55"/>
      <c r="L992" s="55"/>
      <c r="M992" s="55"/>
      <c r="N992" s="55"/>
      <c r="O992" s="55"/>
      <c r="P992" s="55"/>
      <c r="Q992" s="55"/>
      <c r="R992" s="55"/>
      <c r="S992" s="55"/>
      <c r="T992" s="55"/>
      <c r="U992" s="55"/>
      <c r="V992" s="55"/>
      <c r="W992" s="55"/>
      <c r="X992" s="55"/>
      <c r="Y992" s="55"/>
      <c r="Z992" s="55"/>
    </row>
    <row r="993" spans="1:26" ht="15">
      <c r="A993" s="55"/>
      <c r="B993" s="55"/>
      <c r="C993" s="55"/>
      <c r="D993" s="55"/>
      <c r="E993" s="55"/>
      <c r="F993" s="55"/>
      <c r="G993" s="55"/>
      <c r="H993" s="55"/>
      <c r="I993" s="55"/>
      <c r="J993" s="55"/>
      <c r="K993" s="55"/>
      <c r="L993" s="55"/>
      <c r="M993" s="55"/>
      <c r="N993" s="55"/>
      <c r="O993" s="55"/>
      <c r="P993" s="55"/>
      <c r="Q993" s="55"/>
      <c r="R993" s="55"/>
      <c r="S993" s="55"/>
      <c r="T993" s="55"/>
      <c r="U993" s="55"/>
      <c r="V993" s="55"/>
      <c r="W993" s="55"/>
      <c r="X993" s="55"/>
      <c r="Y993" s="55"/>
      <c r="Z993" s="55"/>
    </row>
    <row r="994" spans="1:26" ht="15">
      <c r="A994" s="55"/>
      <c r="B994" s="55"/>
      <c r="C994" s="55"/>
      <c r="D994" s="55"/>
      <c r="E994" s="55"/>
      <c r="F994" s="55"/>
      <c r="G994" s="55"/>
      <c r="H994" s="55"/>
      <c r="I994" s="55"/>
      <c r="J994" s="55"/>
      <c r="K994" s="55"/>
      <c r="L994" s="55"/>
      <c r="M994" s="55"/>
      <c r="N994" s="55"/>
      <c r="O994" s="55"/>
      <c r="P994" s="55"/>
      <c r="Q994" s="55"/>
      <c r="R994" s="55"/>
      <c r="S994" s="55"/>
      <c r="T994" s="55"/>
      <c r="U994" s="55"/>
      <c r="V994" s="55"/>
      <c r="W994" s="55"/>
      <c r="X994" s="55"/>
      <c r="Y994" s="55"/>
      <c r="Z994" s="55"/>
    </row>
    <row r="995" spans="1:26" ht="15">
      <c r="A995" s="55"/>
      <c r="B995" s="55"/>
      <c r="C995" s="55"/>
      <c r="D995" s="55"/>
      <c r="E995" s="55"/>
      <c r="F995" s="55"/>
      <c r="G995" s="55"/>
      <c r="H995" s="55"/>
      <c r="I995" s="55"/>
      <c r="J995" s="55"/>
      <c r="K995" s="55"/>
      <c r="L995" s="55"/>
      <c r="M995" s="55"/>
      <c r="N995" s="55"/>
      <c r="O995" s="55"/>
      <c r="P995" s="55"/>
      <c r="Q995" s="55"/>
      <c r="R995" s="55"/>
      <c r="S995" s="55"/>
      <c r="T995" s="55"/>
      <c r="U995" s="55"/>
      <c r="V995" s="55"/>
      <c r="W995" s="55"/>
      <c r="X995" s="55"/>
      <c r="Y995" s="55"/>
      <c r="Z995" s="55"/>
    </row>
    <row r="996" spans="1:26" ht="15">
      <c r="A996" s="55"/>
      <c r="B996" s="55"/>
      <c r="C996" s="55"/>
      <c r="D996" s="55"/>
      <c r="E996" s="55"/>
      <c r="F996" s="55"/>
      <c r="G996" s="55"/>
      <c r="H996" s="55"/>
      <c r="I996" s="55"/>
      <c r="J996" s="55"/>
      <c r="K996" s="55"/>
      <c r="L996" s="55"/>
      <c r="M996" s="55"/>
      <c r="N996" s="55"/>
      <c r="O996" s="55"/>
      <c r="P996" s="55"/>
      <c r="Q996" s="55"/>
      <c r="R996" s="55"/>
      <c r="S996" s="55"/>
      <c r="T996" s="55"/>
      <c r="U996" s="55"/>
      <c r="V996" s="55"/>
      <c r="W996" s="55"/>
      <c r="X996" s="55"/>
      <c r="Y996" s="55"/>
      <c r="Z996" s="55"/>
    </row>
    <row r="997" spans="1:26" ht="15">
      <c r="A997" s="55"/>
      <c r="B997" s="55"/>
      <c r="C997" s="55"/>
      <c r="D997" s="55"/>
      <c r="E997" s="55"/>
      <c r="F997" s="55"/>
      <c r="G997" s="55"/>
      <c r="H997" s="55"/>
      <c r="I997" s="55"/>
      <c r="J997" s="55"/>
      <c r="K997" s="55"/>
      <c r="L997" s="55"/>
      <c r="M997" s="55"/>
      <c r="N997" s="55"/>
      <c r="O997" s="55"/>
      <c r="P997" s="55"/>
      <c r="Q997" s="55"/>
      <c r="R997" s="55"/>
      <c r="S997" s="55"/>
      <c r="T997" s="55"/>
      <c r="U997" s="55"/>
      <c r="V997" s="55"/>
      <c r="W997" s="55"/>
      <c r="X997" s="55"/>
      <c r="Y997" s="55"/>
      <c r="Z997" s="55"/>
    </row>
    <row r="998" spans="1:26" ht="15">
      <c r="A998" s="55"/>
      <c r="B998" s="55"/>
      <c r="C998" s="55"/>
      <c r="D998" s="55"/>
      <c r="E998" s="55"/>
      <c r="F998" s="55"/>
      <c r="G998" s="55"/>
      <c r="H998" s="55"/>
      <c r="I998" s="55"/>
      <c r="J998" s="55"/>
      <c r="K998" s="55"/>
      <c r="L998" s="55"/>
      <c r="M998" s="55"/>
      <c r="N998" s="55"/>
      <c r="O998" s="55"/>
      <c r="P998" s="55"/>
      <c r="Q998" s="55"/>
      <c r="R998" s="55"/>
      <c r="S998" s="55"/>
      <c r="T998" s="55"/>
      <c r="U998" s="55"/>
      <c r="V998" s="55"/>
      <c r="W998" s="55"/>
      <c r="X998" s="55"/>
      <c r="Y998" s="55"/>
      <c r="Z998" s="55"/>
    </row>
    <row r="999" spans="1:26" ht="15">
      <c r="A999" s="55"/>
      <c r="B999" s="55"/>
      <c r="C999" s="55"/>
      <c r="D999" s="55"/>
      <c r="E999" s="55"/>
      <c r="F999" s="55"/>
      <c r="G999" s="55"/>
      <c r="H999" s="55"/>
      <c r="I999" s="55"/>
      <c r="J999" s="55"/>
      <c r="K999" s="55"/>
      <c r="L999" s="55"/>
      <c r="M999" s="55"/>
      <c r="N999" s="55"/>
      <c r="O999" s="55"/>
      <c r="P999" s="55"/>
      <c r="Q999" s="55"/>
      <c r="R999" s="55"/>
      <c r="S999" s="55"/>
      <c r="T999" s="55"/>
      <c r="U999" s="55"/>
      <c r="V999" s="55"/>
      <c r="W999" s="55"/>
      <c r="X999" s="55"/>
      <c r="Y999" s="55"/>
      <c r="Z999" s="55"/>
    </row>
    <row r="1000" spans="1:26" ht="15">
      <c r="A1000" s="55"/>
      <c r="B1000" s="55"/>
      <c r="C1000" s="55"/>
      <c r="D1000" s="55"/>
      <c r="E1000" s="55"/>
      <c r="F1000" s="55"/>
      <c r="G1000" s="55"/>
      <c r="H1000" s="55"/>
      <c r="I1000" s="55"/>
      <c r="J1000" s="55"/>
      <c r="K1000" s="55"/>
      <c r="L1000" s="55"/>
      <c r="M1000" s="55"/>
      <c r="N1000" s="55"/>
      <c r="O1000" s="55"/>
      <c r="P1000" s="55"/>
      <c r="Q1000" s="55"/>
      <c r="R1000" s="55"/>
      <c r="S1000" s="55"/>
      <c r="T1000" s="55"/>
      <c r="U1000" s="55"/>
      <c r="V1000" s="55"/>
      <c r="W1000" s="55"/>
      <c r="X1000" s="55"/>
      <c r="Y1000" s="55"/>
      <c r="Z1000" s="55"/>
    </row>
  </sheetData>
  <mergeCells count="7">
    <mergeCell ref="F7:J7"/>
    <mergeCell ref="A9:J9"/>
    <mergeCell ref="A2:J2"/>
    <mergeCell ref="F3:J3"/>
    <mergeCell ref="F4:J4"/>
    <mergeCell ref="F5:J5"/>
    <mergeCell ref="F6:J6"/>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L1039"/>
  <sheetViews>
    <sheetView showGridLines="0" workbookViewId="0"/>
  </sheetViews>
  <sheetFormatPr defaultColWidth="12.5703125" defaultRowHeight="15.75" customHeight="1"/>
  <cols>
    <col min="1" max="1" width="6.5703125" customWidth="1"/>
    <col min="2" max="2" width="4.140625" customWidth="1"/>
    <col min="3" max="3" width="27.140625" customWidth="1"/>
    <col min="4" max="4" width="7.85546875" customWidth="1"/>
    <col min="5" max="5" width="8.140625" customWidth="1"/>
    <col min="6" max="6" width="8" customWidth="1"/>
    <col min="7" max="7" width="7.85546875" customWidth="1"/>
    <col min="8" max="8" width="11.42578125" customWidth="1"/>
  </cols>
  <sheetData>
    <row r="1" spans="1:12" ht="15.75" customHeight="1">
      <c r="A1" s="4"/>
      <c r="B1" s="4"/>
      <c r="C1" s="4"/>
      <c r="D1" s="4"/>
      <c r="E1" s="4"/>
      <c r="F1" s="4"/>
      <c r="G1" s="4"/>
      <c r="H1" s="4"/>
      <c r="I1" s="4"/>
      <c r="J1" s="1135"/>
    </row>
    <row r="2" spans="1:12" ht="15.75" customHeight="1">
      <c r="A2" s="4"/>
      <c r="B2" s="4"/>
      <c r="C2" s="4"/>
      <c r="D2" s="4"/>
      <c r="E2" s="4"/>
      <c r="F2" s="4"/>
      <c r="G2" s="4"/>
      <c r="H2" s="4"/>
      <c r="I2" s="4"/>
      <c r="J2" s="1135"/>
      <c r="L2" s="1136"/>
    </row>
    <row r="3" spans="1:12" ht="15.75" customHeight="1">
      <c r="A3" s="4"/>
      <c r="B3" s="4"/>
      <c r="C3" s="4"/>
      <c r="D3" s="4"/>
      <c r="E3" s="4"/>
      <c r="F3" s="4"/>
      <c r="G3" s="4"/>
      <c r="H3" s="4"/>
      <c r="I3" s="4"/>
      <c r="J3" s="1135"/>
    </row>
    <row r="4" spans="1:12" ht="15.75" customHeight="1">
      <c r="A4" s="4"/>
      <c r="B4" s="4"/>
      <c r="C4" s="4"/>
      <c r="D4" s="4"/>
      <c r="E4" s="4"/>
      <c r="F4" s="4"/>
      <c r="G4" s="4"/>
      <c r="H4" s="4"/>
      <c r="I4" s="4"/>
      <c r="J4" s="1135"/>
    </row>
    <row r="5" spans="1:12" ht="15.75" customHeight="1">
      <c r="A5" s="10"/>
      <c r="B5" s="10"/>
      <c r="C5" s="10"/>
      <c r="D5" s="10"/>
      <c r="E5" s="10"/>
      <c r="F5" s="10"/>
      <c r="G5" s="10"/>
      <c r="H5" s="10"/>
      <c r="I5" s="10"/>
      <c r="J5" s="1137"/>
    </row>
    <row r="6" spans="1:12" ht="15">
      <c r="A6" s="1544" t="s">
        <v>72</v>
      </c>
      <c r="B6" s="1433"/>
      <c r="C6" s="1433"/>
      <c r="D6" s="1433"/>
      <c r="E6" s="1433"/>
      <c r="F6" s="1433"/>
      <c r="G6" s="1433"/>
      <c r="H6" s="1433"/>
      <c r="I6" s="1433"/>
      <c r="J6" s="1434"/>
    </row>
    <row r="7" spans="1:12" ht="15.75" customHeight="1">
      <c r="A7" s="1138"/>
      <c r="B7" s="1139"/>
      <c r="C7" s="1139"/>
      <c r="D7" s="1139"/>
      <c r="E7" s="1139"/>
      <c r="F7" s="1139"/>
      <c r="G7" s="1139"/>
      <c r="H7" s="1139"/>
      <c r="I7" s="1139"/>
      <c r="J7" s="1140"/>
    </row>
    <row r="8" spans="1:12" ht="15.75" customHeight="1">
      <c r="A8" s="1141" t="s">
        <v>4169</v>
      </c>
      <c r="B8" s="1142"/>
      <c r="C8" s="1142"/>
      <c r="D8" s="1142"/>
      <c r="E8" s="1142"/>
      <c r="F8" s="1142"/>
      <c r="G8" s="1142"/>
      <c r="H8" s="1142"/>
      <c r="I8" s="1545"/>
      <c r="J8" s="1436"/>
    </row>
    <row r="9" spans="1:12" ht="15">
      <c r="A9" s="1546" t="s">
        <v>4170</v>
      </c>
      <c r="B9" s="1438"/>
      <c r="C9" s="1547" t="s">
        <v>75</v>
      </c>
      <c r="D9" s="1442"/>
      <c r="E9" s="1442"/>
      <c r="F9" s="1442"/>
      <c r="G9" s="1442"/>
      <c r="H9" s="1443"/>
      <c r="I9" s="1444" t="s">
        <v>76</v>
      </c>
      <c r="J9" s="1548">
        <f ca="1">TODAY()</f>
        <v>45734</v>
      </c>
    </row>
    <row r="10" spans="1:12" ht="13.5">
      <c r="A10" s="1439"/>
      <c r="B10" s="1440"/>
      <c r="C10" s="1549" t="s">
        <v>77</v>
      </c>
      <c r="D10" s="1442"/>
      <c r="E10" s="1442"/>
      <c r="F10" s="1442"/>
      <c r="G10" s="1442"/>
      <c r="H10" s="1443"/>
      <c r="I10" s="1439"/>
      <c r="J10" s="1440"/>
    </row>
    <row r="11" spans="1:12" ht="15.75" customHeight="1">
      <c r="A11" s="1555" t="s">
        <v>78</v>
      </c>
      <c r="B11" s="1555" t="s">
        <v>79</v>
      </c>
      <c r="C11" s="1556" t="s">
        <v>80</v>
      </c>
      <c r="D11" s="1554" t="s">
        <v>81</v>
      </c>
      <c r="E11" s="1554" t="s">
        <v>82</v>
      </c>
      <c r="F11" s="1554" t="s">
        <v>83</v>
      </c>
      <c r="G11" s="1554" t="s">
        <v>84</v>
      </c>
      <c r="H11" s="1550" t="s">
        <v>85</v>
      </c>
      <c r="I11" s="1550" t="s">
        <v>86</v>
      </c>
      <c r="J11" s="1551" t="s">
        <v>87</v>
      </c>
    </row>
    <row r="12" spans="1:12" ht="15.75" customHeight="1">
      <c r="A12" s="1448"/>
      <c r="B12" s="1448"/>
      <c r="C12" s="1448"/>
      <c r="D12" s="1448"/>
      <c r="E12" s="1448"/>
      <c r="F12" s="1448"/>
      <c r="G12" s="1448"/>
      <c r="H12" s="1448"/>
      <c r="I12" s="1448"/>
      <c r="J12" s="1448"/>
    </row>
    <row r="13" spans="1:12" ht="15.75" customHeight="1">
      <c r="A13" s="1143">
        <v>1</v>
      </c>
      <c r="B13" s="1143" t="s">
        <v>103</v>
      </c>
      <c r="C13" s="1144"/>
      <c r="D13" s="1143">
        <v>5</v>
      </c>
      <c r="E13" s="1143">
        <v>5</v>
      </c>
      <c r="F13" s="1143">
        <v>0</v>
      </c>
      <c r="G13" s="1143">
        <v>0</v>
      </c>
      <c r="H13" s="1143">
        <v>10</v>
      </c>
      <c r="I13" s="1145">
        <v>5500</v>
      </c>
      <c r="J13" s="1146">
        <v>55000</v>
      </c>
    </row>
    <row r="14" spans="1:12" ht="15.75" customHeight="1">
      <c r="A14" s="1143">
        <v>2</v>
      </c>
      <c r="B14" s="1143" t="s">
        <v>103</v>
      </c>
      <c r="C14" s="1144"/>
      <c r="D14" s="1143">
        <v>1</v>
      </c>
      <c r="E14" s="1143">
        <v>0</v>
      </c>
      <c r="F14" s="1143">
        <v>0</v>
      </c>
      <c r="G14" s="1143">
        <v>0</v>
      </c>
      <c r="H14" s="1143">
        <v>1</v>
      </c>
      <c r="I14" s="1145">
        <v>3000</v>
      </c>
      <c r="J14" s="1146">
        <v>3000</v>
      </c>
    </row>
    <row r="15" spans="1:12" ht="15.75" customHeight="1">
      <c r="A15" s="1143">
        <v>3</v>
      </c>
      <c r="B15" s="1143" t="s">
        <v>103</v>
      </c>
      <c r="C15" s="1144"/>
      <c r="D15" s="1143">
        <v>5</v>
      </c>
      <c r="E15" s="1143">
        <v>5</v>
      </c>
      <c r="F15" s="1143">
        <v>0</v>
      </c>
      <c r="G15" s="1143">
        <v>0</v>
      </c>
      <c r="H15" s="1143">
        <v>10</v>
      </c>
      <c r="I15" s="1145">
        <v>3000</v>
      </c>
      <c r="J15" s="1146">
        <v>30000</v>
      </c>
    </row>
    <row r="16" spans="1:12" ht="15.75" customHeight="1">
      <c r="A16" s="1147"/>
      <c r="B16" s="1148"/>
      <c r="C16" s="1149" t="s">
        <v>2516</v>
      </c>
      <c r="D16" s="1148"/>
      <c r="E16" s="1148"/>
      <c r="F16" s="1148"/>
      <c r="G16" s="1148"/>
      <c r="H16" s="1148"/>
      <c r="I16" s="1148"/>
      <c r="J16" s="1150"/>
    </row>
    <row r="17" spans="1:10" ht="15.75" customHeight="1">
      <c r="A17" s="1143">
        <v>84</v>
      </c>
      <c r="B17" s="1143" t="s">
        <v>103</v>
      </c>
      <c r="C17" s="1144"/>
      <c r="D17" s="1143">
        <v>3</v>
      </c>
      <c r="E17" s="1143">
        <v>0</v>
      </c>
      <c r="F17" s="1143">
        <v>0</v>
      </c>
      <c r="G17" s="1143">
        <v>0</v>
      </c>
      <c r="H17" s="1143">
        <v>3</v>
      </c>
      <c r="I17" s="1143">
        <v>350</v>
      </c>
      <c r="J17" s="1146">
        <v>1050</v>
      </c>
    </row>
    <row r="18" spans="1:10" ht="15.75" customHeight="1">
      <c r="A18" s="1143">
        <v>85</v>
      </c>
      <c r="B18" s="1143" t="s">
        <v>103</v>
      </c>
      <c r="C18" s="1144"/>
      <c r="D18" s="1143">
        <v>15</v>
      </c>
      <c r="E18" s="1143">
        <v>15</v>
      </c>
      <c r="F18" s="1143">
        <v>15</v>
      </c>
      <c r="G18" s="1143">
        <v>0</v>
      </c>
      <c r="H18" s="1143">
        <v>45</v>
      </c>
      <c r="I18" s="1143">
        <v>250</v>
      </c>
      <c r="J18" s="1146">
        <v>11250</v>
      </c>
    </row>
    <row r="19" spans="1:10" ht="15.75" customHeight="1">
      <c r="A19" s="1143">
        <v>86</v>
      </c>
      <c r="B19" s="1143" t="s">
        <v>103</v>
      </c>
      <c r="C19" s="1144"/>
      <c r="D19" s="1143">
        <v>15</v>
      </c>
      <c r="E19" s="1143">
        <v>0</v>
      </c>
      <c r="F19" s="1143">
        <v>15</v>
      </c>
      <c r="G19" s="1143">
        <v>0</v>
      </c>
      <c r="H19" s="1143">
        <v>30</v>
      </c>
      <c r="I19" s="1143">
        <v>70</v>
      </c>
      <c r="J19" s="1146">
        <v>2100</v>
      </c>
    </row>
    <row r="20" spans="1:10" ht="15.75" customHeight="1">
      <c r="A20" s="1143">
        <v>87</v>
      </c>
      <c r="B20" s="1143" t="s">
        <v>103</v>
      </c>
      <c r="C20" s="1144"/>
      <c r="D20" s="1143">
        <v>200</v>
      </c>
      <c r="E20" s="1143">
        <v>300</v>
      </c>
      <c r="F20" s="1143">
        <v>200</v>
      </c>
      <c r="G20" s="1143">
        <v>300</v>
      </c>
      <c r="H20" s="1143">
        <v>1000</v>
      </c>
      <c r="I20" s="1143">
        <v>8</v>
      </c>
      <c r="J20" s="1146">
        <v>8000</v>
      </c>
    </row>
    <row r="21" spans="1:10" ht="15.75" customHeight="1">
      <c r="A21" s="1142"/>
      <c r="B21" s="1142"/>
      <c r="C21" s="1142"/>
      <c r="D21" s="1142"/>
      <c r="E21" s="1142"/>
      <c r="F21" s="1142"/>
      <c r="G21" s="1142"/>
      <c r="H21" s="1552" t="s">
        <v>88</v>
      </c>
      <c r="I21" s="1436"/>
      <c r="J21" s="1151">
        <f>SUM(J13:J20)</f>
        <v>110400</v>
      </c>
    </row>
    <row r="22" spans="1:10" ht="15.75" customHeight="1">
      <c r="A22" s="1136"/>
      <c r="B22" s="1136"/>
      <c r="C22" s="1136"/>
      <c r="D22" s="1136"/>
      <c r="E22" s="1152"/>
      <c r="F22" s="1142"/>
      <c r="G22" s="1545"/>
      <c r="H22" s="1451"/>
      <c r="I22" s="1436"/>
      <c r="J22" s="1153"/>
    </row>
    <row r="23" spans="1:10" ht="15.75" customHeight="1">
      <c r="A23" s="1154"/>
      <c r="B23" s="1154"/>
      <c r="C23" s="1154"/>
      <c r="D23" s="1154"/>
      <c r="E23" s="1155"/>
      <c r="F23" s="1139"/>
      <c r="G23" s="1139"/>
      <c r="H23" s="1139"/>
      <c r="I23" s="1139"/>
      <c r="J23" s="1156"/>
    </row>
    <row r="24" spans="1:10" ht="15.75" customHeight="1">
      <c r="A24" s="1553"/>
      <c r="B24" s="1433"/>
      <c r="C24" s="1433"/>
      <c r="D24" s="1553"/>
      <c r="E24" s="1433"/>
      <c r="F24" s="1433"/>
      <c r="G24" s="1433"/>
      <c r="H24" s="1433"/>
      <c r="I24" s="1433"/>
      <c r="J24" s="1433"/>
    </row>
    <row r="25" spans="1:10" ht="15.75" customHeight="1">
      <c r="A25" s="1139"/>
      <c r="B25" s="1139"/>
      <c r="C25" s="1139"/>
      <c r="D25" s="1139"/>
      <c r="E25" s="1139"/>
      <c r="F25" s="1139"/>
      <c r="G25" s="1139"/>
      <c r="H25" s="1139"/>
      <c r="I25" s="1139"/>
      <c r="J25" s="1157"/>
    </row>
    <row r="26" spans="1:10" ht="15.75" customHeight="1">
      <c r="A26" s="1139"/>
      <c r="B26" s="1139"/>
      <c r="C26" s="1139"/>
      <c r="D26" s="1139"/>
      <c r="E26" s="1139"/>
      <c r="F26" s="1139"/>
      <c r="G26" s="1139"/>
      <c r="H26" s="1139"/>
      <c r="I26" s="1139"/>
      <c r="J26" s="1157"/>
    </row>
    <row r="27" spans="1:10" ht="15.75" customHeight="1">
      <c r="A27" s="1139"/>
      <c r="B27" s="1139"/>
      <c r="C27" s="1139"/>
      <c r="D27" s="1139"/>
      <c r="E27" s="1139"/>
      <c r="F27" s="1139"/>
      <c r="G27" s="1139"/>
      <c r="H27" s="1139"/>
      <c r="I27" s="1139"/>
      <c r="J27" s="1157"/>
    </row>
    <row r="28" spans="1:10" ht="15.75" customHeight="1">
      <c r="A28" s="1139"/>
      <c r="B28" s="1139"/>
      <c r="C28" s="1139"/>
      <c r="D28" s="1139"/>
      <c r="E28" s="1139"/>
      <c r="F28" s="1139"/>
      <c r="G28" s="1139"/>
      <c r="H28" s="1139"/>
      <c r="I28" s="1139"/>
      <c r="J28" s="1157"/>
    </row>
    <row r="29" spans="1:10" ht="15.75" customHeight="1">
      <c r="A29" s="1139"/>
      <c r="B29" s="1139"/>
      <c r="C29" s="1139"/>
      <c r="D29" s="1139"/>
      <c r="E29" s="1139"/>
      <c r="F29" s="1139"/>
      <c r="G29" s="1139"/>
      <c r="H29" s="1139"/>
      <c r="I29" s="1139"/>
      <c r="J29" s="1157"/>
    </row>
    <row r="30" spans="1:10" ht="15.75" customHeight="1">
      <c r="A30" s="1139"/>
      <c r="B30" s="1139"/>
      <c r="C30" s="1139"/>
      <c r="D30" s="1139"/>
      <c r="E30" s="1139"/>
      <c r="F30" s="1139"/>
      <c r="G30" s="1139"/>
      <c r="H30" s="1139"/>
      <c r="I30" s="1139"/>
      <c r="J30" s="1157"/>
    </row>
    <row r="31" spans="1:10" ht="15.75" customHeight="1">
      <c r="A31" s="1139"/>
      <c r="B31" s="1139"/>
      <c r="C31" s="1139"/>
      <c r="D31" s="1139"/>
      <c r="E31" s="1139"/>
      <c r="F31" s="1139"/>
      <c r="G31" s="1139"/>
      <c r="H31" s="1139"/>
      <c r="I31" s="1139"/>
      <c r="J31" s="1157"/>
    </row>
    <row r="32" spans="1:10" ht="15.75" customHeight="1">
      <c r="A32" s="1553"/>
      <c r="B32" s="1433"/>
      <c r="C32" s="1433"/>
      <c r="D32" s="1553"/>
      <c r="E32" s="1433"/>
      <c r="F32" s="1433"/>
      <c r="G32" s="1433"/>
      <c r="H32" s="1433"/>
      <c r="I32" s="1433"/>
      <c r="J32" s="1433"/>
    </row>
    <row r="33" spans="1:10" ht="15.75" customHeight="1">
      <c r="A33" s="1139"/>
      <c r="B33" s="1139"/>
      <c r="C33" s="1139"/>
      <c r="D33" s="1139"/>
      <c r="E33" s="1139"/>
      <c r="F33" s="1139"/>
      <c r="G33" s="1139"/>
      <c r="H33" s="1139"/>
      <c r="I33" s="1139"/>
      <c r="J33" s="1157"/>
    </row>
    <row r="34" spans="1:10" ht="15.75" customHeight="1">
      <c r="A34" s="1139"/>
      <c r="B34" s="1139"/>
      <c r="C34" s="1139"/>
      <c r="D34" s="1553"/>
      <c r="E34" s="1433"/>
      <c r="F34" s="1433"/>
      <c r="G34" s="1433"/>
      <c r="H34" s="1433"/>
      <c r="I34" s="1433"/>
      <c r="J34" s="1433"/>
    </row>
    <row r="35" spans="1:10" ht="15.75" customHeight="1">
      <c r="A35" s="1139"/>
      <c r="B35" s="1139"/>
      <c r="C35" s="1139"/>
      <c r="D35" s="1139"/>
      <c r="E35" s="1139"/>
      <c r="F35" s="1139"/>
      <c r="G35" s="1139"/>
      <c r="H35" s="1139"/>
      <c r="I35" s="1139"/>
      <c r="J35" s="1157"/>
    </row>
    <row r="36" spans="1:10" ht="15.75" customHeight="1">
      <c r="A36" s="1139"/>
      <c r="B36" s="1139"/>
      <c r="C36" s="1139"/>
      <c r="D36" s="1139"/>
      <c r="E36" s="1139"/>
      <c r="F36" s="1139"/>
      <c r="G36" s="1139"/>
      <c r="H36" s="1139"/>
      <c r="I36" s="1139"/>
      <c r="J36" s="1157"/>
    </row>
    <row r="37" spans="1:10" ht="15.75" customHeight="1">
      <c r="A37" s="1139"/>
      <c r="B37" s="1139"/>
      <c r="C37" s="1139"/>
      <c r="D37" s="1139"/>
      <c r="E37" s="1139"/>
      <c r="F37" s="1139"/>
      <c r="G37" s="1139"/>
      <c r="H37" s="1139"/>
      <c r="I37" s="1139"/>
      <c r="J37" s="1157"/>
    </row>
    <row r="38" spans="1:10" ht="15.75" customHeight="1">
      <c r="A38" s="1139"/>
      <c r="B38" s="1139"/>
      <c r="C38" s="1139"/>
      <c r="D38" s="1139"/>
      <c r="E38" s="1139"/>
      <c r="F38" s="1139"/>
      <c r="G38" s="1139"/>
      <c r="H38" s="1139"/>
      <c r="I38" s="1139"/>
      <c r="J38" s="1157"/>
    </row>
    <row r="39" spans="1:10" ht="15.75" customHeight="1">
      <c r="A39" s="1142"/>
      <c r="B39" s="1142"/>
      <c r="C39" s="1142"/>
      <c r="D39" s="1142"/>
      <c r="E39" s="1142"/>
      <c r="F39" s="1142"/>
      <c r="G39" s="1142"/>
      <c r="H39" s="1142"/>
      <c r="I39" s="1142"/>
      <c r="J39" s="1158"/>
    </row>
    <row r="40" spans="1:10" ht="15.75" customHeight="1">
      <c r="A40" s="1150"/>
      <c r="B40" s="1150"/>
      <c r="C40" s="1150"/>
      <c r="D40" s="1150"/>
      <c r="E40" s="1150"/>
      <c r="F40" s="1150"/>
      <c r="G40" s="1150"/>
      <c r="H40" s="1150"/>
      <c r="I40" s="1150"/>
      <c r="J40" s="1158"/>
    </row>
    <row r="41" spans="1:10" ht="15.75" customHeight="1">
      <c r="A41" s="1150"/>
      <c r="B41" s="1150"/>
      <c r="C41" s="1150"/>
      <c r="D41" s="1150"/>
      <c r="E41" s="1150"/>
      <c r="F41" s="1150"/>
      <c r="G41" s="1150"/>
      <c r="H41" s="1150"/>
      <c r="I41" s="1150"/>
      <c r="J41" s="1158"/>
    </row>
    <row r="42" spans="1:10" ht="15.75" customHeight="1">
      <c r="A42" s="1150"/>
      <c r="B42" s="1150"/>
      <c r="C42" s="1150"/>
      <c r="D42" s="1150"/>
      <c r="E42" s="1150"/>
      <c r="F42" s="1150"/>
      <c r="G42" s="1150"/>
      <c r="H42" s="1150"/>
      <c r="I42" s="1150"/>
      <c r="J42" s="1158"/>
    </row>
    <row r="43" spans="1:10" ht="15.75" customHeight="1">
      <c r="A43" s="1150"/>
      <c r="B43" s="1150"/>
      <c r="C43" s="1150"/>
      <c r="D43" s="1150"/>
      <c r="E43" s="1150"/>
      <c r="F43" s="1150"/>
      <c r="G43" s="1150"/>
      <c r="H43" s="1150"/>
      <c r="I43" s="1150"/>
      <c r="J43" s="1158"/>
    </row>
    <row r="44" spans="1:10" ht="15.75" customHeight="1">
      <c r="A44" s="1150"/>
      <c r="B44" s="1150"/>
      <c r="C44" s="1150"/>
      <c r="D44" s="1150"/>
      <c r="E44" s="1150"/>
      <c r="F44" s="1150"/>
      <c r="G44" s="1150"/>
      <c r="H44" s="1150"/>
      <c r="I44" s="1150"/>
      <c r="J44" s="1158"/>
    </row>
    <row r="45" spans="1:10" ht="15.75" customHeight="1">
      <c r="A45" s="1150"/>
      <c r="B45" s="1150"/>
      <c r="C45" s="1150"/>
      <c r="D45" s="1150"/>
      <c r="E45" s="1150"/>
      <c r="F45" s="1150"/>
      <c r="G45" s="1150"/>
      <c r="H45" s="1150"/>
      <c r="I45" s="1150"/>
      <c r="J45" s="1158"/>
    </row>
    <row r="46" spans="1:10" ht="15.75" customHeight="1">
      <c r="A46" s="1150"/>
      <c r="B46" s="1150"/>
      <c r="C46" s="1150"/>
      <c r="D46" s="1150"/>
      <c r="E46" s="1150"/>
      <c r="F46" s="1150"/>
      <c r="G46" s="1150"/>
      <c r="H46" s="1150"/>
      <c r="I46" s="1150"/>
      <c r="J46" s="1158"/>
    </row>
    <row r="47" spans="1:10" ht="15.75" customHeight="1">
      <c r="A47" s="1150"/>
      <c r="B47" s="1150"/>
      <c r="C47" s="1150"/>
      <c r="D47" s="1150"/>
      <c r="E47" s="1150"/>
      <c r="F47" s="1150"/>
      <c r="G47" s="1150"/>
      <c r="H47" s="1150"/>
      <c r="I47" s="1150"/>
      <c r="J47" s="1158"/>
    </row>
    <row r="48" spans="1:10" ht="15.75" customHeight="1">
      <c r="A48" s="1150"/>
      <c r="B48" s="1150"/>
      <c r="C48" s="1150"/>
      <c r="D48" s="1150"/>
      <c r="E48" s="1150"/>
      <c r="F48" s="1150"/>
      <c r="G48" s="1150"/>
      <c r="H48" s="1150"/>
      <c r="I48" s="1150"/>
      <c r="J48" s="1158"/>
    </row>
    <row r="49" spans="1:10" ht="15.75" customHeight="1">
      <c r="A49" s="1150"/>
      <c r="B49" s="1150"/>
      <c r="C49" s="1150"/>
      <c r="D49" s="1150"/>
      <c r="E49" s="1150"/>
      <c r="F49" s="1150"/>
      <c r="G49" s="1150"/>
      <c r="H49" s="1150"/>
      <c r="I49" s="1150"/>
      <c r="J49" s="1158"/>
    </row>
    <row r="50" spans="1:10" ht="15.75" customHeight="1">
      <c r="A50" s="1150"/>
      <c r="B50" s="1150"/>
      <c r="C50" s="1150"/>
      <c r="D50" s="1150"/>
      <c r="E50" s="1150"/>
      <c r="F50" s="1150"/>
      <c r="G50" s="1150"/>
      <c r="H50" s="1150"/>
      <c r="I50" s="1150"/>
      <c r="J50" s="1158"/>
    </row>
    <row r="51" spans="1:10" ht="15.75" customHeight="1">
      <c r="A51" s="1150"/>
      <c r="B51" s="1150"/>
      <c r="C51" s="1150"/>
      <c r="D51" s="1150"/>
      <c r="E51" s="1150"/>
      <c r="F51" s="1150"/>
      <c r="G51" s="1150"/>
      <c r="H51" s="1150"/>
      <c r="I51" s="1150"/>
      <c r="J51" s="1158"/>
    </row>
    <row r="52" spans="1:10" ht="15.75" customHeight="1">
      <c r="A52" s="1150"/>
      <c r="B52" s="1150"/>
      <c r="C52" s="1150"/>
      <c r="D52" s="1150"/>
      <c r="E52" s="1150"/>
      <c r="F52" s="1150"/>
      <c r="G52" s="1150"/>
      <c r="H52" s="1150"/>
      <c r="I52" s="1150"/>
      <c r="J52" s="1158"/>
    </row>
    <row r="53" spans="1:10" ht="15.75" customHeight="1">
      <c r="A53" s="1150"/>
      <c r="B53" s="1150"/>
      <c r="C53" s="1150"/>
      <c r="D53" s="1150"/>
      <c r="E53" s="1150"/>
      <c r="F53" s="1150"/>
      <c r="G53" s="1150"/>
      <c r="H53" s="1150"/>
      <c r="I53" s="1150"/>
      <c r="J53" s="1158"/>
    </row>
    <row r="54" spans="1:10" ht="15.75" customHeight="1">
      <c r="A54" s="1150"/>
      <c r="B54" s="1150"/>
      <c r="C54" s="1150"/>
      <c r="D54" s="1150"/>
      <c r="E54" s="1150"/>
      <c r="F54" s="1150"/>
      <c r="G54" s="1150"/>
      <c r="H54" s="1150"/>
      <c r="I54" s="1150"/>
      <c r="J54" s="1158"/>
    </row>
    <row r="55" spans="1:10" ht="15.75" customHeight="1">
      <c r="A55" s="1150"/>
      <c r="B55" s="1150"/>
      <c r="C55" s="1150"/>
      <c r="D55" s="1150"/>
      <c r="E55" s="1150"/>
      <c r="F55" s="1150"/>
      <c r="G55" s="1150"/>
      <c r="H55" s="1150"/>
      <c r="I55" s="1150"/>
      <c r="J55" s="1158"/>
    </row>
    <row r="56" spans="1:10" ht="15.75" customHeight="1">
      <c r="A56" s="1150"/>
      <c r="B56" s="1150"/>
      <c r="C56" s="1150"/>
      <c r="D56" s="1150"/>
      <c r="E56" s="1150"/>
      <c r="F56" s="1150"/>
      <c r="G56" s="1150"/>
      <c r="H56" s="1150"/>
      <c r="I56" s="1150"/>
      <c r="J56" s="1158"/>
    </row>
    <row r="57" spans="1:10" ht="15.75" customHeight="1">
      <c r="A57" s="1150"/>
      <c r="B57" s="1150"/>
      <c r="C57" s="1150"/>
      <c r="D57" s="1150"/>
      <c r="E57" s="1150"/>
      <c r="F57" s="1150"/>
      <c r="G57" s="1150"/>
      <c r="H57" s="1150"/>
      <c r="I57" s="1150"/>
      <c r="J57" s="1158"/>
    </row>
    <row r="58" spans="1:10" ht="15.75" customHeight="1">
      <c r="A58" s="1150"/>
      <c r="B58" s="1150"/>
      <c r="C58" s="1150"/>
      <c r="D58" s="1150"/>
      <c r="E58" s="1150"/>
      <c r="F58" s="1150"/>
      <c r="G58" s="1150"/>
      <c r="H58" s="1150"/>
      <c r="I58" s="1150"/>
      <c r="J58" s="1158"/>
    </row>
    <row r="59" spans="1:10" ht="15.75" customHeight="1">
      <c r="A59" s="1150"/>
      <c r="B59" s="1150"/>
      <c r="C59" s="1150"/>
      <c r="D59" s="1150"/>
      <c r="E59" s="1150"/>
      <c r="F59" s="1150"/>
      <c r="G59" s="1150"/>
      <c r="H59" s="1150"/>
      <c r="I59" s="1150"/>
      <c r="J59" s="1158"/>
    </row>
    <row r="60" spans="1:10" ht="15.75" customHeight="1">
      <c r="A60" s="1150"/>
      <c r="B60" s="1150"/>
      <c r="C60" s="1150"/>
      <c r="D60" s="1150"/>
      <c r="E60" s="1150"/>
      <c r="F60" s="1150"/>
      <c r="G60" s="1150"/>
      <c r="H60" s="1150"/>
      <c r="I60" s="1150"/>
      <c r="J60" s="1158"/>
    </row>
    <row r="61" spans="1:10" ht="15">
      <c r="A61" s="1150"/>
      <c r="B61" s="1150"/>
      <c r="C61" s="1150"/>
      <c r="D61" s="1150"/>
      <c r="E61" s="1150"/>
      <c r="F61" s="1150"/>
      <c r="G61" s="1150"/>
      <c r="H61" s="1150"/>
      <c r="I61" s="1150"/>
      <c r="J61" s="1158"/>
    </row>
    <row r="62" spans="1:10" ht="15">
      <c r="A62" s="1150"/>
      <c r="B62" s="1150"/>
      <c r="C62" s="1150"/>
      <c r="D62" s="1150"/>
      <c r="E62" s="1150"/>
      <c r="F62" s="1150"/>
      <c r="G62" s="1150"/>
      <c r="H62" s="1150"/>
      <c r="I62" s="1150"/>
      <c r="J62" s="1158"/>
    </row>
    <row r="63" spans="1:10" ht="15">
      <c r="A63" s="1150"/>
      <c r="B63" s="1150"/>
      <c r="C63" s="1150"/>
      <c r="D63" s="1150"/>
      <c r="E63" s="1150"/>
      <c r="F63" s="1150"/>
      <c r="G63" s="1150"/>
      <c r="H63" s="1150"/>
      <c r="I63" s="1150"/>
      <c r="J63" s="1158"/>
    </row>
    <row r="64" spans="1:10" ht="15">
      <c r="A64" s="1150"/>
      <c r="B64" s="1150"/>
      <c r="C64" s="1150"/>
      <c r="D64" s="1150"/>
      <c r="E64" s="1150"/>
      <c r="F64" s="1150"/>
      <c r="G64" s="1150"/>
      <c r="H64" s="1150"/>
      <c r="I64" s="1150"/>
      <c r="J64" s="1158"/>
    </row>
    <row r="65" spans="1:10" ht="15">
      <c r="A65" s="1150"/>
      <c r="B65" s="1150"/>
      <c r="C65" s="1150"/>
      <c r="D65" s="1150"/>
      <c r="E65" s="1150"/>
      <c r="F65" s="1150"/>
      <c r="G65" s="1150"/>
      <c r="H65" s="1150"/>
      <c r="I65" s="1150"/>
      <c r="J65" s="1158"/>
    </row>
    <row r="66" spans="1:10" ht="15">
      <c r="A66" s="1150"/>
      <c r="B66" s="1150"/>
      <c r="C66" s="1150"/>
      <c r="D66" s="1150"/>
      <c r="E66" s="1150"/>
      <c r="F66" s="1150"/>
      <c r="G66" s="1150"/>
      <c r="H66" s="1150"/>
      <c r="I66" s="1150"/>
      <c r="J66" s="1158"/>
    </row>
    <row r="67" spans="1:10" ht="15">
      <c r="A67" s="1150"/>
      <c r="B67" s="1150"/>
      <c r="C67" s="1150"/>
      <c r="D67" s="1150"/>
      <c r="E67" s="1150"/>
      <c r="F67" s="1150"/>
      <c r="G67" s="1150"/>
      <c r="H67" s="1150"/>
      <c r="I67" s="1150"/>
      <c r="J67" s="1158"/>
    </row>
    <row r="68" spans="1:10" ht="15">
      <c r="A68" s="1150"/>
      <c r="B68" s="1150"/>
      <c r="C68" s="1150"/>
      <c r="D68" s="1150"/>
      <c r="E68" s="1150"/>
      <c r="F68" s="1150"/>
      <c r="G68" s="1150"/>
      <c r="H68" s="1150"/>
      <c r="I68" s="1150"/>
      <c r="J68" s="1158"/>
    </row>
    <row r="69" spans="1:10" ht="15">
      <c r="A69" s="1150"/>
      <c r="B69" s="1150"/>
      <c r="C69" s="1150"/>
      <c r="D69" s="1150"/>
      <c r="E69" s="1150"/>
      <c r="F69" s="1150"/>
      <c r="G69" s="1150"/>
      <c r="H69" s="1150"/>
      <c r="I69" s="1150"/>
      <c r="J69" s="1158"/>
    </row>
    <row r="70" spans="1:10" ht="15">
      <c r="A70" s="1150"/>
      <c r="B70" s="1150"/>
      <c r="C70" s="1150"/>
      <c r="D70" s="1150"/>
      <c r="E70" s="1150"/>
      <c r="F70" s="1150"/>
      <c r="G70" s="1150"/>
      <c r="H70" s="1150"/>
      <c r="I70" s="1150"/>
      <c r="J70" s="1158"/>
    </row>
    <row r="71" spans="1:10" ht="15">
      <c r="A71" s="1150"/>
      <c r="B71" s="1150"/>
      <c r="C71" s="1150"/>
      <c r="D71" s="1150"/>
      <c r="E71" s="1150"/>
      <c r="F71" s="1150"/>
      <c r="G71" s="1150"/>
      <c r="H71" s="1150"/>
      <c r="I71" s="1150"/>
      <c r="J71" s="1158"/>
    </row>
    <row r="72" spans="1:10" ht="15">
      <c r="A72" s="1150"/>
      <c r="B72" s="1150"/>
      <c r="C72" s="1150"/>
      <c r="D72" s="1150"/>
      <c r="E72" s="1150"/>
      <c r="F72" s="1150"/>
      <c r="G72" s="1150"/>
      <c r="H72" s="1150"/>
      <c r="I72" s="1150"/>
      <c r="J72" s="1158"/>
    </row>
    <row r="73" spans="1:10" ht="15">
      <c r="A73" s="1150"/>
      <c r="B73" s="1150"/>
      <c r="C73" s="1150"/>
      <c r="D73" s="1150"/>
      <c r="E73" s="1150"/>
      <c r="F73" s="1150"/>
      <c r="G73" s="1150"/>
      <c r="H73" s="1150"/>
      <c r="I73" s="1150"/>
      <c r="J73" s="1158"/>
    </row>
    <row r="74" spans="1:10" ht="15">
      <c r="A74" s="1150"/>
      <c r="B74" s="1150"/>
      <c r="C74" s="1150"/>
      <c r="D74" s="1150"/>
      <c r="E74" s="1150"/>
      <c r="F74" s="1150"/>
      <c r="G74" s="1150"/>
      <c r="H74" s="1150"/>
      <c r="I74" s="1150"/>
      <c r="J74" s="1158"/>
    </row>
    <row r="75" spans="1:10" ht="15">
      <c r="A75" s="1150"/>
      <c r="B75" s="1150"/>
      <c r="C75" s="1150"/>
      <c r="D75" s="1150"/>
      <c r="E75" s="1150"/>
      <c r="F75" s="1150"/>
      <c r="G75" s="1150"/>
      <c r="H75" s="1150"/>
      <c r="I75" s="1150"/>
      <c r="J75" s="1158"/>
    </row>
    <row r="76" spans="1:10" ht="15">
      <c r="A76" s="1150"/>
      <c r="B76" s="1150"/>
      <c r="C76" s="1150"/>
      <c r="D76" s="1150"/>
      <c r="E76" s="1150"/>
      <c r="F76" s="1150"/>
      <c r="G76" s="1150"/>
      <c r="H76" s="1150"/>
      <c r="I76" s="1150"/>
      <c r="J76" s="1158"/>
    </row>
    <row r="77" spans="1:10" ht="15">
      <c r="A77" s="1150"/>
      <c r="B77" s="1150"/>
      <c r="C77" s="1150"/>
      <c r="D77" s="1150"/>
      <c r="E77" s="1150"/>
      <c r="F77" s="1150"/>
      <c r="G77" s="1150"/>
      <c r="H77" s="1150"/>
      <c r="I77" s="1150"/>
      <c r="J77" s="1158"/>
    </row>
    <row r="78" spans="1:10" ht="15">
      <c r="A78" s="1150"/>
      <c r="B78" s="1150"/>
      <c r="C78" s="1150"/>
      <c r="D78" s="1150"/>
      <c r="E78" s="1150"/>
      <c r="F78" s="1150"/>
      <c r="G78" s="1150"/>
      <c r="H78" s="1150"/>
      <c r="I78" s="1150"/>
      <c r="J78" s="1158"/>
    </row>
    <row r="79" spans="1:10" ht="15">
      <c r="A79" s="1150"/>
      <c r="B79" s="1150"/>
      <c r="C79" s="1150"/>
      <c r="D79" s="1150"/>
      <c r="E79" s="1150"/>
      <c r="F79" s="1150"/>
      <c r="G79" s="1150"/>
      <c r="H79" s="1150"/>
      <c r="I79" s="1150"/>
      <c r="J79" s="1158"/>
    </row>
    <row r="80" spans="1:10" ht="15">
      <c r="A80" s="1150"/>
      <c r="B80" s="1150"/>
      <c r="C80" s="1150"/>
      <c r="D80" s="1150"/>
      <c r="E80" s="1150"/>
      <c r="F80" s="1150"/>
      <c r="G80" s="1150"/>
      <c r="H80" s="1150"/>
      <c r="I80" s="1150"/>
      <c r="J80" s="1158"/>
    </row>
    <row r="81" spans="1:10" ht="15">
      <c r="A81" s="1150"/>
      <c r="B81" s="1150"/>
      <c r="C81" s="1150"/>
      <c r="D81" s="1150"/>
      <c r="E81" s="1150"/>
      <c r="F81" s="1150"/>
      <c r="G81" s="1150"/>
      <c r="H81" s="1150"/>
      <c r="I81" s="1150"/>
      <c r="J81" s="1158"/>
    </row>
    <row r="82" spans="1:10" ht="15">
      <c r="A82" s="1150"/>
      <c r="B82" s="1150"/>
      <c r="C82" s="1150"/>
      <c r="D82" s="1150"/>
      <c r="E82" s="1150"/>
      <c r="F82" s="1150"/>
      <c r="G82" s="1150"/>
      <c r="H82" s="1150"/>
      <c r="I82" s="1150"/>
      <c r="J82" s="1158"/>
    </row>
    <row r="83" spans="1:10" ht="15">
      <c r="A83" s="1150"/>
      <c r="B83" s="1150"/>
      <c r="C83" s="1150"/>
      <c r="D83" s="1150"/>
      <c r="E83" s="1150"/>
      <c r="F83" s="1150"/>
      <c r="G83" s="1150"/>
      <c r="H83" s="1150"/>
      <c r="I83" s="1150"/>
      <c r="J83" s="1158"/>
    </row>
    <row r="84" spans="1:10" ht="15">
      <c r="A84" s="1150"/>
      <c r="B84" s="1150"/>
      <c r="C84" s="1150"/>
      <c r="D84" s="1150"/>
      <c r="E84" s="1150"/>
      <c r="F84" s="1150"/>
      <c r="G84" s="1150"/>
      <c r="H84" s="1150"/>
      <c r="I84" s="1150"/>
      <c r="J84" s="1158"/>
    </row>
    <row r="85" spans="1:10" ht="15">
      <c r="A85" s="1150"/>
      <c r="B85" s="1150"/>
      <c r="C85" s="1150"/>
      <c r="D85" s="1150"/>
      <c r="E85" s="1150"/>
      <c r="F85" s="1150"/>
      <c r="G85" s="1150"/>
      <c r="H85" s="1150"/>
      <c r="I85" s="1150"/>
      <c r="J85" s="1158"/>
    </row>
    <row r="86" spans="1:10" ht="15">
      <c r="A86" s="1150"/>
      <c r="B86" s="1150"/>
      <c r="C86" s="1150"/>
      <c r="D86" s="1150"/>
      <c r="E86" s="1150"/>
      <c r="F86" s="1150"/>
      <c r="G86" s="1150"/>
      <c r="H86" s="1150"/>
      <c r="I86" s="1150"/>
      <c r="J86" s="1158"/>
    </row>
    <row r="87" spans="1:10" ht="15">
      <c r="A87" s="1150"/>
      <c r="B87" s="1150"/>
      <c r="C87" s="1150"/>
      <c r="D87" s="1150"/>
      <c r="E87" s="1150"/>
      <c r="F87" s="1150"/>
      <c r="G87" s="1150"/>
      <c r="H87" s="1150"/>
      <c r="I87" s="1150"/>
      <c r="J87" s="1158"/>
    </row>
    <row r="88" spans="1:10" ht="15">
      <c r="A88" s="1150"/>
      <c r="B88" s="1150"/>
      <c r="C88" s="1150"/>
      <c r="D88" s="1150"/>
      <c r="E88" s="1150"/>
      <c r="F88" s="1150"/>
      <c r="G88" s="1150"/>
      <c r="H88" s="1150"/>
      <c r="I88" s="1150"/>
      <c r="J88" s="1158"/>
    </row>
    <row r="89" spans="1:10" ht="15">
      <c r="A89" s="1150"/>
      <c r="B89" s="1150"/>
      <c r="C89" s="1150"/>
      <c r="D89" s="1150"/>
      <c r="E89" s="1150"/>
      <c r="F89" s="1150"/>
      <c r="G89" s="1150"/>
      <c r="H89" s="1150"/>
      <c r="I89" s="1150"/>
      <c r="J89" s="1158"/>
    </row>
    <row r="90" spans="1:10" ht="15">
      <c r="A90" s="1150"/>
      <c r="B90" s="1150"/>
      <c r="C90" s="1150"/>
      <c r="D90" s="1150"/>
      <c r="E90" s="1150"/>
      <c r="F90" s="1150"/>
      <c r="G90" s="1150"/>
      <c r="H90" s="1150"/>
      <c r="I90" s="1150"/>
      <c r="J90" s="1158"/>
    </row>
    <row r="91" spans="1:10" ht="15">
      <c r="A91" s="1150"/>
      <c r="B91" s="1150"/>
      <c r="C91" s="1150"/>
      <c r="D91" s="1150"/>
      <c r="E91" s="1150"/>
      <c r="F91" s="1150"/>
      <c r="G91" s="1150"/>
      <c r="H91" s="1150"/>
      <c r="I91" s="1150"/>
      <c r="J91" s="1158"/>
    </row>
    <row r="92" spans="1:10" ht="15">
      <c r="A92" s="1150"/>
      <c r="B92" s="1150"/>
      <c r="C92" s="1150"/>
      <c r="D92" s="1150"/>
      <c r="E92" s="1150"/>
      <c r="F92" s="1150"/>
      <c r="G92" s="1150"/>
      <c r="H92" s="1150"/>
      <c r="I92" s="1150"/>
      <c r="J92" s="1158"/>
    </row>
    <row r="93" spans="1:10" ht="15">
      <c r="A93" s="1150"/>
      <c r="B93" s="1150"/>
      <c r="C93" s="1150"/>
      <c r="D93" s="1150"/>
      <c r="E93" s="1150"/>
      <c r="F93" s="1150"/>
      <c r="G93" s="1150"/>
      <c r="H93" s="1150"/>
      <c r="I93" s="1150"/>
      <c r="J93" s="1158"/>
    </row>
    <row r="94" spans="1:10" ht="15">
      <c r="A94" s="1150"/>
      <c r="B94" s="1150"/>
      <c r="C94" s="1150"/>
      <c r="D94" s="1150"/>
      <c r="E94" s="1150"/>
      <c r="F94" s="1150"/>
      <c r="G94" s="1150"/>
      <c r="H94" s="1150"/>
      <c r="I94" s="1150"/>
      <c r="J94" s="1158"/>
    </row>
    <row r="95" spans="1:10" ht="15">
      <c r="A95" s="1150"/>
      <c r="B95" s="1150"/>
      <c r="C95" s="1150"/>
      <c r="D95" s="1150"/>
      <c r="E95" s="1150"/>
      <c r="F95" s="1150"/>
      <c r="G95" s="1150"/>
      <c r="H95" s="1150"/>
      <c r="I95" s="1150"/>
      <c r="J95" s="1158"/>
    </row>
    <row r="96" spans="1:10" ht="15">
      <c r="A96" s="1150"/>
      <c r="B96" s="1150"/>
      <c r="C96" s="1150"/>
      <c r="D96" s="1150"/>
      <c r="E96" s="1150"/>
      <c r="F96" s="1150"/>
      <c r="G96" s="1150"/>
      <c r="H96" s="1150"/>
      <c r="I96" s="1150"/>
      <c r="J96" s="1158"/>
    </row>
    <row r="97" spans="1:10" ht="15">
      <c r="A97" s="1150"/>
      <c r="B97" s="1150"/>
      <c r="C97" s="1150"/>
      <c r="D97" s="1150"/>
      <c r="E97" s="1150"/>
      <c r="F97" s="1150"/>
      <c r="G97" s="1150"/>
      <c r="H97" s="1150"/>
      <c r="I97" s="1150"/>
      <c r="J97" s="1158"/>
    </row>
    <row r="98" spans="1:10" ht="15">
      <c r="A98" s="1150"/>
      <c r="B98" s="1150"/>
      <c r="C98" s="1150"/>
      <c r="D98" s="1150"/>
      <c r="E98" s="1150"/>
      <c r="F98" s="1150"/>
      <c r="G98" s="1150"/>
      <c r="H98" s="1150"/>
      <c r="I98" s="1150"/>
      <c r="J98" s="1158"/>
    </row>
    <row r="99" spans="1:10" ht="15">
      <c r="A99" s="1150"/>
      <c r="B99" s="1150"/>
      <c r="C99" s="1150"/>
      <c r="D99" s="1150"/>
      <c r="E99" s="1150"/>
      <c r="F99" s="1150"/>
      <c r="G99" s="1150"/>
      <c r="H99" s="1150"/>
      <c r="I99" s="1150"/>
      <c r="J99" s="1158"/>
    </row>
    <row r="100" spans="1:10" ht="15">
      <c r="A100" s="1150"/>
      <c r="B100" s="1150"/>
      <c r="C100" s="1150"/>
      <c r="D100" s="1150"/>
      <c r="E100" s="1150"/>
      <c r="F100" s="1150"/>
      <c r="G100" s="1150"/>
      <c r="H100" s="1150"/>
      <c r="I100" s="1150"/>
      <c r="J100" s="1158"/>
    </row>
    <row r="101" spans="1:10" ht="15">
      <c r="A101" s="1150"/>
      <c r="B101" s="1150"/>
      <c r="C101" s="1150"/>
      <c r="D101" s="1150"/>
      <c r="E101" s="1150"/>
      <c r="F101" s="1150"/>
      <c r="G101" s="1150"/>
      <c r="H101" s="1150"/>
      <c r="I101" s="1150"/>
      <c r="J101" s="1158"/>
    </row>
    <row r="102" spans="1:10" ht="15">
      <c r="A102" s="1150"/>
      <c r="B102" s="1150"/>
      <c r="C102" s="1150"/>
      <c r="D102" s="1150"/>
      <c r="E102" s="1150"/>
      <c r="F102" s="1150"/>
      <c r="G102" s="1150"/>
      <c r="H102" s="1150"/>
      <c r="I102" s="1150"/>
      <c r="J102" s="1158"/>
    </row>
    <row r="103" spans="1:10" ht="15">
      <c r="A103" s="1150"/>
      <c r="B103" s="1150"/>
      <c r="C103" s="1150"/>
      <c r="D103" s="1150"/>
      <c r="E103" s="1150"/>
      <c r="F103" s="1150"/>
      <c r="G103" s="1150"/>
      <c r="H103" s="1150"/>
      <c r="I103" s="1150"/>
      <c r="J103" s="1158"/>
    </row>
    <row r="104" spans="1:10" ht="15">
      <c r="A104" s="1150"/>
      <c r="B104" s="1150"/>
      <c r="C104" s="1150"/>
      <c r="D104" s="1150"/>
      <c r="E104" s="1150"/>
      <c r="F104" s="1150"/>
      <c r="G104" s="1150"/>
      <c r="H104" s="1150"/>
      <c r="I104" s="1150"/>
      <c r="J104" s="1158"/>
    </row>
    <row r="105" spans="1:10" ht="15">
      <c r="A105" s="1150"/>
      <c r="B105" s="1150"/>
      <c r="C105" s="1150"/>
      <c r="D105" s="1150"/>
      <c r="E105" s="1150"/>
      <c r="F105" s="1150"/>
      <c r="G105" s="1150"/>
      <c r="H105" s="1150"/>
      <c r="I105" s="1150"/>
      <c r="J105" s="1158"/>
    </row>
    <row r="106" spans="1:10" ht="15">
      <c r="A106" s="1150"/>
      <c r="B106" s="1150"/>
      <c r="C106" s="1150"/>
      <c r="D106" s="1150"/>
      <c r="E106" s="1150"/>
      <c r="F106" s="1150"/>
      <c r="G106" s="1150"/>
      <c r="H106" s="1150"/>
      <c r="I106" s="1150"/>
      <c r="J106" s="1158"/>
    </row>
    <row r="107" spans="1:10" ht="15">
      <c r="A107" s="1150"/>
      <c r="B107" s="1150"/>
      <c r="C107" s="1150"/>
      <c r="D107" s="1150"/>
      <c r="E107" s="1150"/>
      <c r="F107" s="1150"/>
      <c r="G107" s="1150"/>
      <c r="H107" s="1150"/>
      <c r="I107" s="1150"/>
      <c r="J107" s="1158"/>
    </row>
    <row r="108" spans="1:10" ht="15">
      <c r="A108" s="1150"/>
      <c r="B108" s="1150"/>
      <c r="C108" s="1150"/>
      <c r="D108" s="1150"/>
      <c r="E108" s="1150"/>
      <c r="F108" s="1150"/>
      <c r="G108" s="1150"/>
      <c r="H108" s="1150"/>
      <c r="I108" s="1150"/>
      <c r="J108" s="1158"/>
    </row>
    <row r="109" spans="1:10" ht="15">
      <c r="A109" s="1150"/>
      <c r="B109" s="1150"/>
      <c r="C109" s="1150"/>
      <c r="D109" s="1150"/>
      <c r="E109" s="1150"/>
      <c r="F109" s="1150"/>
      <c r="G109" s="1150"/>
      <c r="H109" s="1150"/>
      <c r="I109" s="1150"/>
      <c r="J109" s="1158"/>
    </row>
    <row r="110" spans="1:10" ht="15">
      <c r="A110" s="1150"/>
      <c r="B110" s="1150"/>
      <c r="C110" s="1150"/>
      <c r="D110" s="1150"/>
      <c r="E110" s="1150"/>
      <c r="F110" s="1150"/>
      <c r="G110" s="1150"/>
      <c r="H110" s="1150"/>
      <c r="I110" s="1150"/>
      <c r="J110" s="1158"/>
    </row>
    <row r="111" spans="1:10" ht="15">
      <c r="A111" s="1150"/>
      <c r="B111" s="1150"/>
      <c r="C111" s="1150"/>
      <c r="D111" s="1150"/>
      <c r="E111" s="1150"/>
      <c r="F111" s="1150"/>
      <c r="G111" s="1150"/>
      <c r="H111" s="1150"/>
      <c r="I111" s="1150"/>
      <c r="J111" s="1158"/>
    </row>
    <row r="112" spans="1:10" ht="15">
      <c r="A112" s="1150"/>
      <c r="B112" s="1150"/>
      <c r="C112" s="1150"/>
      <c r="D112" s="1150"/>
      <c r="E112" s="1150"/>
      <c r="F112" s="1150"/>
      <c r="G112" s="1150"/>
      <c r="H112" s="1150"/>
      <c r="I112" s="1150"/>
      <c r="J112" s="1158"/>
    </row>
    <row r="113" spans="1:10" ht="15">
      <c r="A113" s="1150"/>
      <c r="B113" s="1150"/>
      <c r="C113" s="1150"/>
      <c r="D113" s="1150"/>
      <c r="E113" s="1150"/>
      <c r="F113" s="1150"/>
      <c r="G113" s="1150"/>
      <c r="H113" s="1150"/>
      <c r="I113" s="1150"/>
      <c r="J113" s="1158"/>
    </row>
    <row r="114" spans="1:10" ht="15">
      <c r="A114" s="1150"/>
      <c r="B114" s="1150"/>
      <c r="C114" s="1150"/>
      <c r="D114" s="1150"/>
      <c r="E114" s="1150"/>
      <c r="F114" s="1150"/>
      <c r="G114" s="1150"/>
      <c r="H114" s="1150"/>
      <c r="I114" s="1150"/>
      <c r="J114" s="1158"/>
    </row>
    <row r="115" spans="1:10" ht="15">
      <c r="A115" s="1150"/>
      <c r="B115" s="1150"/>
      <c r="C115" s="1150"/>
      <c r="D115" s="1150"/>
      <c r="E115" s="1150"/>
      <c r="F115" s="1150"/>
      <c r="G115" s="1150"/>
      <c r="H115" s="1150"/>
      <c r="I115" s="1150"/>
      <c r="J115" s="1158"/>
    </row>
    <row r="116" spans="1:10" ht="15">
      <c r="A116" s="1150"/>
      <c r="B116" s="1150"/>
      <c r="C116" s="1150"/>
      <c r="D116" s="1150"/>
      <c r="E116" s="1150"/>
      <c r="F116" s="1150"/>
      <c r="G116" s="1150"/>
      <c r="H116" s="1150"/>
      <c r="I116" s="1150"/>
      <c r="J116" s="1158"/>
    </row>
    <row r="117" spans="1:10" ht="15">
      <c r="A117" s="1150"/>
      <c r="B117" s="1150"/>
      <c r="C117" s="1150"/>
      <c r="D117" s="1150"/>
      <c r="E117" s="1150"/>
      <c r="F117" s="1150"/>
      <c r="G117" s="1150"/>
      <c r="H117" s="1150"/>
      <c r="I117" s="1150"/>
      <c r="J117" s="1158"/>
    </row>
    <row r="118" spans="1:10" ht="15">
      <c r="A118" s="1150"/>
      <c r="B118" s="1150"/>
      <c r="C118" s="1150"/>
      <c r="D118" s="1150"/>
      <c r="E118" s="1150"/>
      <c r="F118" s="1150"/>
      <c r="G118" s="1150"/>
      <c r="H118" s="1150"/>
      <c r="I118" s="1150"/>
      <c r="J118" s="1158"/>
    </row>
    <row r="119" spans="1:10" ht="15">
      <c r="A119" s="1150"/>
      <c r="B119" s="1150"/>
      <c r="C119" s="1150"/>
      <c r="D119" s="1150"/>
      <c r="E119" s="1150"/>
      <c r="F119" s="1150"/>
      <c r="G119" s="1150"/>
      <c r="H119" s="1150"/>
      <c r="I119" s="1150"/>
      <c r="J119" s="1158"/>
    </row>
    <row r="120" spans="1:10" ht="15">
      <c r="A120" s="1150"/>
      <c r="B120" s="1150"/>
      <c r="C120" s="1150"/>
      <c r="D120" s="1150"/>
      <c r="E120" s="1150"/>
      <c r="F120" s="1150"/>
      <c r="G120" s="1150"/>
      <c r="H120" s="1150"/>
      <c r="I120" s="1150"/>
      <c r="J120" s="1158"/>
    </row>
    <row r="121" spans="1:10" ht="15">
      <c r="A121" s="1150"/>
      <c r="B121" s="1150"/>
      <c r="C121" s="1150"/>
      <c r="D121" s="1150"/>
      <c r="E121" s="1150"/>
      <c r="F121" s="1150"/>
      <c r="G121" s="1150"/>
      <c r="H121" s="1150"/>
      <c r="I121" s="1150"/>
      <c r="J121" s="1158"/>
    </row>
    <row r="122" spans="1:10" ht="15">
      <c r="A122" s="1150"/>
      <c r="B122" s="1150"/>
      <c r="C122" s="1150"/>
      <c r="D122" s="1150"/>
      <c r="E122" s="1150"/>
      <c r="F122" s="1150"/>
      <c r="G122" s="1150"/>
      <c r="H122" s="1150"/>
      <c r="I122" s="1150"/>
      <c r="J122" s="1158"/>
    </row>
    <row r="123" spans="1:10" ht="15">
      <c r="A123" s="1150"/>
      <c r="B123" s="1150"/>
      <c r="C123" s="1150"/>
      <c r="D123" s="1150"/>
      <c r="E123" s="1150"/>
      <c r="F123" s="1150"/>
      <c r="G123" s="1150"/>
      <c r="H123" s="1150"/>
      <c r="I123" s="1150"/>
      <c r="J123" s="1158"/>
    </row>
    <row r="124" spans="1:10" ht="15">
      <c r="A124" s="1150"/>
      <c r="B124" s="1150"/>
      <c r="C124" s="1150"/>
      <c r="D124" s="1150"/>
      <c r="E124" s="1150"/>
      <c r="F124" s="1150"/>
      <c r="G124" s="1150"/>
      <c r="H124" s="1150"/>
      <c r="I124" s="1150"/>
      <c r="J124" s="1158"/>
    </row>
    <row r="125" spans="1:10" ht="15">
      <c r="A125" s="1150"/>
      <c r="B125" s="1150"/>
      <c r="C125" s="1150"/>
      <c r="D125" s="1150"/>
      <c r="E125" s="1150"/>
      <c r="F125" s="1150"/>
      <c r="G125" s="1150"/>
      <c r="H125" s="1150"/>
      <c r="I125" s="1150"/>
      <c r="J125" s="1158"/>
    </row>
    <row r="126" spans="1:10" ht="15">
      <c r="A126" s="1150"/>
      <c r="B126" s="1150"/>
      <c r="C126" s="1150"/>
      <c r="D126" s="1150"/>
      <c r="E126" s="1150"/>
      <c r="F126" s="1150"/>
      <c r="G126" s="1150"/>
      <c r="H126" s="1150"/>
      <c r="I126" s="1150"/>
      <c r="J126" s="1158"/>
    </row>
    <row r="127" spans="1:10" ht="15">
      <c r="A127" s="1150"/>
      <c r="B127" s="1150"/>
      <c r="C127" s="1150"/>
      <c r="D127" s="1150"/>
      <c r="E127" s="1150"/>
      <c r="F127" s="1150"/>
      <c r="G127" s="1150"/>
      <c r="H127" s="1150"/>
      <c r="I127" s="1150"/>
      <c r="J127" s="1158"/>
    </row>
    <row r="128" spans="1:10" ht="15">
      <c r="A128" s="1150"/>
      <c r="B128" s="1150"/>
      <c r="C128" s="1150"/>
      <c r="D128" s="1150"/>
      <c r="E128" s="1150"/>
      <c r="F128" s="1150"/>
      <c r="G128" s="1150"/>
      <c r="H128" s="1150"/>
      <c r="I128" s="1150"/>
      <c r="J128" s="1158"/>
    </row>
    <row r="129" spans="1:10" ht="15">
      <c r="A129" s="1150"/>
      <c r="B129" s="1150"/>
      <c r="C129" s="1150"/>
      <c r="D129" s="1150"/>
      <c r="E129" s="1150"/>
      <c r="F129" s="1150"/>
      <c r="G129" s="1150"/>
      <c r="H129" s="1150"/>
      <c r="I129" s="1150"/>
      <c r="J129" s="1158"/>
    </row>
    <row r="130" spans="1:10" ht="15">
      <c r="A130" s="1150"/>
      <c r="B130" s="1150"/>
      <c r="C130" s="1150"/>
      <c r="D130" s="1150"/>
      <c r="E130" s="1150"/>
      <c r="F130" s="1150"/>
      <c r="G130" s="1150"/>
      <c r="H130" s="1150"/>
      <c r="I130" s="1150"/>
      <c r="J130" s="1158"/>
    </row>
    <row r="131" spans="1:10" ht="15">
      <c r="A131" s="1150"/>
      <c r="B131" s="1150"/>
      <c r="C131" s="1150"/>
      <c r="D131" s="1150"/>
      <c r="E131" s="1150"/>
      <c r="F131" s="1150"/>
      <c r="G131" s="1150"/>
      <c r="H131" s="1150"/>
      <c r="I131" s="1150"/>
      <c r="J131" s="1158"/>
    </row>
    <row r="132" spans="1:10" ht="15">
      <c r="A132" s="1150"/>
      <c r="B132" s="1150"/>
      <c r="C132" s="1150"/>
      <c r="D132" s="1150"/>
      <c r="E132" s="1150"/>
      <c r="F132" s="1150"/>
      <c r="G132" s="1150"/>
      <c r="H132" s="1150"/>
      <c r="I132" s="1150"/>
      <c r="J132" s="1158"/>
    </row>
    <row r="133" spans="1:10" ht="15">
      <c r="A133" s="1150"/>
      <c r="B133" s="1150"/>
      <c r="C133" s="1150"/>
      <c r="D133" s="1150"/>
      <c r="E133" s="1150"/>
      <c r="F133" s="1150"/>
      <c r="G133" s="1150"/>
      <c r="H133" s="1150"/>
      <c r="I133" s="1150"/>
      <c r="J133" s="1158"/>
    </row>
    <row r="134" spans="1:10" ht="15">
      <c r="A134" s="1150"/>
      <c r="B134" s="1150"/>
      <c r="C134" s="1150"/>
      <c r="D134" s="1150"/>
      <c r="E134" s="1150"/>
      <c r="F134" s="1150"/>
      <c r="G134" s="1150"/>
      <c r="H134" s="1150"/>
      <c r="I134" s="1150"/>
      <c r="J134" s="1158"/>
    </row>
    <row r="135" spans="1:10" ht="15">
      <c r="A135" s="1150"/>
      <c r="B135" s="1150"/>
      <c r="C135" s="1150"/>
      <c r="D135" s="1150"/>
      <c r="E135" s="1150"/>
      <c r="F135" s="1150"/>
      <c r="G135" s="1150"/>
      <c r="H135" s="1150"/>
      <c r="I135" s="1150"/>
      <c r="J135" s="1158"/>
    </row>
    <row r="136" spans="1:10" ht="15">
      <c r="A136" s="1150"/>
      <c r="B136" s="1150"/>
      <c r="C136" s="1150"/>
      <c r="D136" s="1150"/>
      <c r="E136" s="1150"/>
      <c r="F136" s="1150"/>
      <c r="G136" s="1150"/>
      <c r="H136" s="1150"/>
      <c r="I136" s="1150"/>
      <c r="J136" s="1158"/>
    </row>
    <row r="137" spans="1:10" ht="15">
      <c r="A137" s="1150"/>
      <c r="B137" s="1150"/>
      <c r="C137" s="1150"/>
      <c r="D137" s="1150"/>
      <c r="E137" s="1150"/>
      <c r="F137" s="1150"/>
      <c r="G137" s="1150"/>
      <c r="H137" s="1150"/>
      <c r="I137" s="1150"/>
      <c r="J137" s="1158"/>
    </row>
    <row r="138" spans="1:10" ht="15">
      <c r="A138" s="1150"/>
      <c r="B138" s="1150"/>
      <c r="C138" s="1150"/>
      <c r="D138" s="1150"/>
      <c r="E138" s="1150"/>
      <c r="F138" s="1150"/>
      <c r="G138" s="1150"/>
      <c r="H138" s="1150"/>
      <c r="I138" s="1150"/>
      <c r="J138" s="1158"/>
    </row>
    <row r="139" spans="1:10" ht="15">
      <c r="A139" s="1150"/>
      <c r="B139" s="1150"/>
      <c r="C139" s="1150"/>
      <c r="D139" s="1150"/>
      <c r="E139" s="1150"/>
      <c r="F139" s="1150"/>
      <c r="G139" s="1150"/>
      <c r="H139" s="1150"/>
      <c r="I139" s="1150"/>
      <c r="J139" s="1158"/>
    </row>
    <row r="140" spans="1:10" ht="15">
      <c r="A140" s="1150"/>
      <c r="B140" s="1150"/>
      <c r="C140" s="1150"/>
      <c r="D140" s="1150"/>
      <c r="E140" s="1150"/>
      <c r="F140" s="1150"/>
      <c r="G140" s="1150"/>
      <c r="H140" s="1150"/>
      <c r="I140" s="1150"/>
      <c r="J140" s="1158"/>
    </row>
    <row r="141" spans="1:10" ht="15">
      <c r="A141" s="1150"/>
      <c r="B141" s="1150"/>
      <c r="C141" s="1150"/>
      <c r="D141" s="1150"/>
      <c r="E141" s="1150"/>
      <c r="F141" s="1150"/>
      <c r="G141" s="1150"/>
      <c r="H141" s="1150"/>
      <c r="I141" s="1150"/>
      <c r="J141" s="1158"/>
    </row>
    <row r="142" spans="1:10" ht="15">
      <c r="A142" s="1150"/>
      <c r="B142" s="1150"/>
      <c r="C142" s="1150"/>
      <c r="D142" s="1150"/>
      <c r="E142" s="1150"/>
      <c r="F142" s="1150"/>
      <c r="G142" s="1150"/>
      <c r="H142" s="1150"/>
      <c r="I142" s="1150"/>
      <c r="J142" s="1158"/>
    </row>
    <row r="143" spans="1:10" ht="15">
      <c r="A143" s="1150"/>
      <c r="B143" s="1150"/>
      <c r="C143" s="1150"/>
      <c r="D143" s="1150"/>
      <c r="E143" s="1150"/>
      <c r="F143" s="1150"/>
      <c r="G143" s="1150"/>
      <c r="H143" s="1150"/>
      <c r="I143" s="1150"/>
      <c r="J143" s="1158"/>
    </row>
    <row r="144" spans="1:10" ht="15">
      <c r="A144" s="1150"/>
      <c r="B144" s="1150"/>
      <c r="C144" s="1150"/>
      <c r="D144" s="1150"/>
      <c r="E144" s="1150"/>
      <c r="F144" s="1150"/>
      <c r="G144" s="1150"/>
      <c r="H144" s="1150"/>
      <c r="I144" s="1150"/>
      <c r="J144" s="1158"/>
    </row>
    <row r="145" spans="1:10" ht="15">
      <c r="A145" s="1150"/>
      <c r="B145" s="1150"/>
      <c r="C145" s="1150"/>
      <c r="D145" s="1150"/>
      <c r="E145" s="1150"/>
      <c r="F145" s="1150"/>
      <c r="G145" s="1150"/>
      <c r="H145" s="1150"/>
      <c r="I145" s="1150"/>
      <c r="J145" s="1158"/>
    </row>
    <row r="146" spans="1:10" ht="15">
      <c r="A146" s="1150"/>
      <c r="B146" s="1150"/>
      <c r="C146" s="1150"/>
      <c r="D146" s="1150"/>
      <c r="E146" s="1150"/>
      <c r="F146" s="1150"/>
      <c r="G146" s="1150"/>
      <c r="H146" s="1150"/>
      <c r="I146" s="1150"/>
      <c r="J146" s="1158"/>
    </row>
    <row r="147" spans="1:10" ht="15">
      <c r="A147" s="1150"/>
      <c r="B147" s="1150"/>
      <c r="C147" s="1150"/>
      <c r="D147" s="1150"/>
      <c r="E147" s="1150"/>
      <c r="F147" s="1150"/>
      <c r="G147" s="1150"/>
      <c r="H147" s="1150"/>
      <c r="I147" s="1150"/>
      <c r="J147" s="1158"/>
    </row>
    <row r="148" spans="1:10" ht="15">
      <c r="A148" s="1150"/>
      <c r="B148" s="1150"/>
      <c r="C148" s="1150"/>
      <c r="D148" s="1150"/>
      <c r="E148" s="1150"/>
      <c r="F148" s="1150"/>
      <c r="G148" s="1150"/>
      <c r="H148" s="1150"/>
      <c r="I148" s="1150"/>
      <c r="J148" s="1158"/>
    </row>
    <row r="149" spans="1:10" ht="15">
      <c r="A149" s="1150"/>
      <c r="B149" s="1150"/>
      <c r="C149" s="1150"/>
      <c r="D149" s="1150"/>
      <c r="E149" s="1150"/>
      <c r="F149" s="1150"/>
      <c r="G149" s="1150"/>
      <c r="H149" s="1150"/>
      <c r="I149" s="1150"/>
      <c r="J149" s="1158"/>
    </row>
    <row r="150" spans="1:10" ht="15">
      <c r="A150" s="1150"/>
      <c r="B150" s="1150"/>
      <c r="C150" s="1150"/>
      <c r="D150" s="1150"/>
      <c r="E150" s="1150"/>
      <c r="F150" s="1150"/>
      <c r="G150" s="1150"/>
      <c r="H150" s="1150"/>
      <c r="I150" s="1150"/>
      <c r="J150" s="1158"/>
    </row>
    <row r="151" spans="1:10" ht="15">
      <c r="A151" s="1150"/>
      <c r="B151" s="1150"/>
      <c r="C151" s="1150"/>
      <c r="D151" s="1150"/>
      <c r="E151" s="1150"/>
      <c r="F151" s="1150"/>
      <c r="G151" s="1150"/>
      <c r="H151" s="1150"/>
      <c r="I151" s="1150"/>
      <c r="J151" s="1158"/>
    </row>
    <row r="152" spans="1:10" ht="15">
      <c r="A152" s="1150"/>
      <c r="B152" s="1150"/>
      <c r="C152" s="1150"/>
      <c r="D152" s="1150"/>
      <c r="E152" s="1150"/>
      <c r="F152" s="1150"/>
      <c r="G152" s="1150"/>
      <c r="H152" s="1150"/>
      <c r="I152" s="1150"/>
      <c r="J152" s="1158"/>
    </row>
    <row r="153" spans="1:10" ht="15">
      <c r="A153" s="1150"/>
      <c r="B153" s="1150"/>
      <c r="C153" s="1150"/>
      <c r="D153" s="1150"/>
      <c r="E153" s="1150"/>
      <c r="F153" s="1150"/>
      <c r="G153" s="1150"/>
      <c r="H153" s="1150"/>
      <c r="I153" s="1150"/>
      <c r="J153" s="1158"/>
    </row>
    <row r="154" spans="1:10" ht="15">
      <c r="A154" s="1150"/>
      <c r="B154" s="1150"/>
      <c r="C154" s="1150"/>
      <c r="D154" s="1150"/>
      <c r="E154" s="1150"/>
      <c r="F154" s="1150"/>
      <c r="G154" s="1150"/>
      <c r="H154" s="1150"/>
      <c r="I154" s="1150"/>
      <c r="J154" s="1158"/>
    </row>
    <row r="155" spans="1:10" ht="15">
      <c r="A155" s="1150"/>
      <c r="B155" s="1150"/>
      <c r="C155" s="1150"/>
      <c r="D155" s="1150"/>
      <c r="E155" s="1150"/>
      <c r="F155" s="1150"/>
      <c r="G155" s="1150"/>
      <c r="H155" s="1150"/>
      <c r="I155" s="1150"/>
      <c r="J155" s="1158"/>
    </row>
    <row r="156" spans="1:10" ht="15">
      <c r="A156" s="1150"/>
      <c r="B156" s="1150"/>
      <c r="C156" s="1150"/>
      <c r="D156" s="1150"/>
      <c r="E156" s="1150"/>
      <c r="F156" s="1150"/>
      <c r="G156" s="1150"/>
      <c r="H156" s="1150"/>
      <c r="I156" s="1150"/>
      <c r="J156" s="1158"/>
    </row>
    <row r="157" spans="1:10" ht="15">
      <c r="A157" s="1150"/>
      <c r="B157" s="1150"/>
      <c r="C157" s="1150"/>
      <c r="D157" s="1150"/>
      <c r="E157" s="1150"/>
      <c r="F157" s="1150"/>
      <c r="G157" s="1150"/>
      <c r="H157" s="1150"/>
      <c r="I157" s="1150"/>
      <c r="J157" s="1158"/>
    </row>
    <row r="158" spans="1:10" ht="15">
      <c r="A158" s="1150"/>
      <c r="B158" s="1150"/>
      <c r="C158" s="1150"/>
      <c r="D158" s="1150"/>
      <c r="E158" s="1150"/>
      <c r="F158" s="1150"/>
      <c r="G158" s="1150"/>
      <c r="H158" s="1150"/>
      <c r="I158" s="1150"/>
      <c r="J158" s="1158"/>
    </row>
    <row r="159" spans="1:10" ht="15">
      <c r="A159" s="1150"/>
      <c r="B159" s="1150"/>
      <c r="C159" s="1150"/>
      <c r="D159" s="1150"/>
      <c r="E159" s="1150"/>
      <c r="F159" s="1150"/>
      <c r="G159" s="1150"/>
      <c r="H159" s="1150"/>
      <c r="I159" s="1150"/>
      <c r="J159" s="1158"/>
    </row>
    <row r="160" spans="1:10" ht="15">
      <c r="A160" s="1150"/>
      <c r="B160" s="1150"/>
      <c r="C160" s="1150"/>
      <c r="D160" s="1150"/>
      <c r="E160" s="1150"/>
      <c r="F160" s="1150"/>
      <c r="G160" s="1150"/>
      <c r="H160" s="1150"/>
      <c r="I160" s="1150"/>
      <c r="J160" s="1158"/>
    </row>
    <row r="161" spans="1:10" ht="15">
      <c r="A161" s="1150"/>
      <c r="B161" s="1150"/>
      <c r="C161" s="1150"/>
      <c r="D161" s="1150"/>
      <c r="E161" s="1150"/>
      <c r="F161" s="1150"/>
      <c r="G161" s="1150"/>
      <c r="H161" s="1150"/>
      <c r="I161" s="1150"/>
      <c r="J161" s="1158"/>
    </row>
    <row r="162" spans="1:10" ht="15">
      <c r="A162" s="1150"/>
      <c r="B162" s="1150"/>
      <c r="C162" s="1150"/>
      <c r="D162" s="1150"/>
      <c r="E162" s="1150"/>
      <c r="F162" s="1150"/>
      <c r="G162" s="1150"/>
      <c r="H162" s="1150"/>
      <c r="I162" s="1150"/>
      <c r="J162" s="1158"/>
    </row>
    <row r="163" spans="1:10" ht="15">
      <c r="A163" s="1150"/>
      <c r="B163" s="1150"/>
      <c r="C163" s="1150"/>
      <c r="D163" s="1150"/>
      <c r="E163" s="1150"/>
      <c r="F163" s="1150"/>
      <c r="G163" s="1150"/>
      <c r="H163" s="1150"/>
      <c r="I163" s="1150"/>
      <c r="J163" s="1158"/>
    </row>
    <row r="164" spans="1:10" ht="15">
      <c r="A164" s="1150"/>
      <c r="B164" s="1150"/>
      <c r="C164" s="1150"/>
      <c r="D164" s="1150"/>
      <c r="E164" s="1150"/>
      <c r="F164" s="1150"/>
      <c r="G164" s="1150"/>
      <c r="H164" s="1150"/>
      <c r="I164" s="1150"/>
      <c r="J164" s="1158"/>
    </row>
    <row r="165" spans="1:10" ht="15">
      <c r="A165" s="1150"/>
      <c r="B165" s="1150"/>
      <c r="C165" s="1150"/>
      <c r="D165" s="1150"/>
      <c r="E165" s="1150"/>
      <c r="F165" s="1150"/>
      <c r="G165" s="1150"/>
      <c r="H165" s="1150"/>
      <c r="I165" s="1150"/>
      <c r="J165" s="1158"/>
    </row>
    <row r="166" spans="1:10" ht="15">
      <c r="A166" s="1150"/>
      <c r="B166" s="1150"/>
      <c r="C166" s="1150"/>
      <c r="D166" s="1150"/>
      <c r="E166" s="1150"/>
      <c r="F166" s="1150"/>
      <c r="G166" s="1150"/>
      <c r="H166" s="1150"/>
      <c r="I166" s="1150"/>
      <c r="J166" s="1158"/>
    </row>
    <row r="167" spans="1:10" ht="15">
      <c r="A167" s="1150"/>
      <c r="B167" s="1150"/>
      <c r="C167" s="1150"/>
      <c r="D167" s="1150"/>
      <c r="E167" s="1150"/>
      <c r="F167" s="1150"/>
      <c r="G167" s="1150"/>
      <c r="H167" s="1150"/>
      <c r="I167" s="1150"/>
      <c r="J167" s="1158"/>
    </row>
    <row r="168" spans="1:10" ht="15">
      <c r="A168" s="1150"/>
      <c r="B168" s="1150"/>
      <c r="C168" s="1150"/>
      <c r="D168" s="1150"/>
      <c r="E168" s="1150"/>
      <c r="F168" s="1150"/>
      <c r="G168" s="1150"/>
      <c r="H168" s="1150"/>
      <c r="I168" s="1150"/>
      <c r="J168" s="1158"/>
    </row>
    <row r="169" spans="1:10" ht="15">
      <c r="A169" s="1150"/>
      <c r="B169" s="1150"/>
      <c r="C169" s="1150"/>
      <c r="D169" s="1150"/>
      <c r="E169" s="1150"/>
      <c r="F169" s="1150"/>
      <c r="G169" s="1150"/>
      <c r="H169" s="1150"/>
      <c r="I169" s="1150"/>
      <c r="J169" s="1158"/>
    </row>
    <row r="170" spans="1:10" ht="15">
      <c r="A170" s="1150"/>
      <c r="B170" s="1150"/>
      <c r="C170" s="1150"/>
      <c r="D170" s="1150"/>
      <c r="E170" s="1150"/>
      <c r="F170" s="1150"/>
      <c r="G170" s="1150"/>
      <c r="H170" s="1150"/>
      <c r="I170" s="1150"/>
      <c r="J170" s="1158"/>
    </row>
    <row r="171" spans="1:10" ht="15">
      <c r="A171" s="1150"/>
      <c r="B171" s="1150"/>
      <c r="C171" s="1150"/>
      <c r="D171" s="1150"/>
      <c r="E171" s="1150"/>
      <c r="F171" s="1150"/>
      <c r="G171" s="1150"/>
      <c r="H171" s="1150"/>
      <c r="I171" s="1150"/>
      <c r="J171" s="1158"/>
    </row>
    <row r="172" spans="1:10" ht="15">
      <c r="A172" s="1150"/>
      <c r="B172" s="1150"/>
      <c r="C172" s="1150"/>
      <c r="D172" s="1150"/>
      <c r="E172" s="1150"/>
      <c r="F172" s="1150"/>
      <c r="G172" s="1150"/>
      <c r="H172" s="1150"/>
      <c r="I172" s="1150"/>
      <c r="J172" s="1158"/>
    </row>
    <row r="173" spans="1:10" ht="15">
      <c r="A173" s="1150"/>
      <c r="B173" s="1150"/>
      <c r="C173" s="1150"/>
      <c r="D173" s="1150"/>
      <c r="E173" s="1150"/>
      <c r="F173" s="1150"/>
      <c r="G173" s="1150"/>
      <c r="H173" s="1150"/>
      <c r="I173" s="1150"/>
      <c r="J173" s="1158"/>
    </row>
    <row r="174" spans="1:10" ht="15">
      <c r="A174" s="1150"/>
      <c r="B174" s="1150"/>
      <c r="C174" s="1150"/>
      <c r="D174" s="1150"/>
      <c r="E174" s="1150"/>
      <c r="F174" s="1150"/>
      <c r="G174" s="1150"/>
      <c r="H174" s="1150"/>
      <c r="I174" s="1150"/>
      <c r="J174" s="1158"/>
    </row>
    <row r="175" spans="1:10" ht="15">
      <c r="A175" s="1150"/>
      <c r="B175" s="1150"/>
      <c r="C175" s="1150"/>
      <c r="D175" s="1150"/>
      <c r="E175" s="1150"/>
      <c r="F175" s="1150"/>
      <c r="G175" s="1150"/>
      <c r="H175" s="1150"/>
      <c r="I175" s="1150"/>
      <c r="J175" s="1158"/>
    </row>
    <row r="176" spans="1:10" ht="15">
      <c r="A176" s="1150"/>
      <c r="B176" s="1150"/>
      <c r="C176" s="1150"/>
      <c r="D176" s="1150"/>
      <c r="E176" s="1150"/>
      <c r="F176" s="1150"/>
      <c r="G176" s="1150"/>
      <c r="H176" s="1150"/>
      <c r="I176" s="1150"/>
      <c r="J176" s="1158"/>
    </row>
    <row r="177" spans="1:10" ht="15">
      <c r="A177" s="1150"/>
      <c r="B177" s="1150"/>
      <c r="C177" s="1150"/>
      <c r="D177" s="1150"/>
      <c r="E177" s="1150"/>
      <c r="F177" s="1150"/>
      <c r="G177" s="1150"/>
      <c r="H177" s="1150"/>
      <c r="I177" s="1150"/>
      <c r="J177" s="1158"/>
    </row>
    <row r="178" spans="1:10" ht="15">
      <c r="A178" s="1150"/>
      <c r="B178" s="1150"/>
      <c r="C178" s="1150"/>
      <c r="D178" s="1150"/>
      <c r="E178" s="1150"/>
      <c r="F178" s="1150"/>
      <c r="G178" s="1150"/>
      <c r="H178" s="1150"/>
      <c r="I178" s="1150"/>
      <c r="J178" s="1158"/>
    </row>
    <row r="179" spans="1:10" ht="15">
      <c r="A179" s="1150"/>
      <c r="B179" s="1150"/>
      <c r="C179" s="1150"/>
      <c r="D179" s="1150"/>
      <c r="E179" s="1150"/>
      <c r="F179" s="1150"/>
      <c r="G179" s="1150"/>
      <c r="H179" s="1150"/>
      <c r="I179" s="1150"/>
      <c r="J179" s="1158"/>
    </row>
    <row r="180" spans="1:10" ht="15">
      <c r="A180" s="1150"/>
      <c r="B180" s="1150"/>
      <c r="C180" s="1150"/>
      <c r="D180" s="1150"/>
      <c r="E180" s="1150"/>
      <c r="F180" s="1150"/>
      <c r="G180" s="1150"/>
      <c r="H180" s="1150"/>
      <c r="I180" s="1150"/>
      <c r="J180" s="1158"/>
    </row>
    <row r="181" spans="1:10" ht="15">
      <c r="A181" s="1150"/>
      <c r="B181" s="1150"/>
      <c r="C181" s="1150"/>
      <c r="D181" s="1150"/>
      <c r="E181" s="1150"/>
      <c r="F181" s="1150"/>
      <c r="G181" s="1150"/>
      <c r="H181" s="1150"/>
      <c r="I181" s="1150"/>
      <c r="J181" s="1158"/>
    </row>
    <row r="182" spans="1:10" ht="15">
      <c r="A182" s="1150"/>
      <c r="B182" s="1150"/>
      <c r="C182" s="1150"/>
      <c r="D182" s="1150"/>
      <c r="E182" s="1150"/>
      <c r="F182" s="1150"/>
      <c r="G182" s="1150"/>
      <c r="H182" s="1150"/>
      <c r="I182" s="1150"/>
      <c r="J182" s="1158"/>
    </row>
    <row r="183" spans="1:10" ht="15">
      <c r="A183" s="1150"/>
      <c r="B183" s="1150"/>
      <c r="C183" s="1150"/>
      <c r="D183" s="1150"/>
      <c r="E183" s="1150"/>
      <c r="F183" s="1150"/>
      <c r="G183" s="1150"/>
      <c r="H183" s="1150"/>
      <c r="I183" s="1150"/>
      <c r="J183" s="1158"/>
    </row>
    <row r="184" spans="1:10" ht="15">
      <c r="A184" s="1150"/>
      <c r="B184" s="1150"/>
      <c r="C184" s="1150"/>
      <c r="D184" s="1150"/>
      <c r="E184" s="1150"/>
      <c r="F184" s="1150"/>
      <c r="G184" s="1150"/>
      <c r="H184" s="1150"/>
      <c r="I184" s="1150"/>
      <c r="J184" s="1158"/>
    </row>
    <row r="185" spans="1:10" ht="15">
      <c r="A185" s="1150"/>
      <c r="B185" s="1150"/>
      <c r="C185" s="1150"/>
      <c r="D185" s="1150"/>
      <c r="E185" s="1150"/>
      <c r="F185" s="1150"/>
      <c r="G185" s="1150"/>
      <c r="H185" s="1150"/>
      <c r="I185" s="1150"/>
      <c r="J185" s="1158"/>
    </row>
    <row r="186" spans="1:10" ht="15">
      <c r="A186" s="1150"/>
      <c r="B186" s="1150"/>
      <c r="C186" s="1150"/>
      <c r="D186" s="1150"/>
      <c r="E186" s="1150"/>
      <c r="F186" s="1150"/>
      <c r="G186" s="1150"/>
      <c r="H186" s="1150"/>
      <c r="I186" s="1150"/>
      <c r="J186" s="1158"/>
    </row>
    <row r="187" spans="1:10" ht="15">
      <c r="A187" s="1150"/>
      <c r="B187" s="1150"/>
      <c r="C187" s="1150"/>
      <c r="D187" s="1150"/>
      <c r="E187" s="1150"/>
      <c r="F187" s="1150"/>
      <c r="G187" s="1150"/>
      <c r="H187" s="1150"/>
      <c r="I187" s="1150"/>
      <c r="J187" s="1158"/>
    </row>
    <row r="188" spans="1:10" ht="15">
      <c r="A188" s="1150"/>
      <c r="B188" s="1150"/>
      <c r="C188" s="1150"/>
      <c r="D188" s="1150"/>
      <c r="E188" s="1150"/>
      <c r="F188" s="1150"/>
      <c r="G188" s="1150"/>
      <c r="H188" s="1150"/>
      <c r="I188" s="1150"/>
      <c r="J188" s="1158"/>
    </row>
    <row r="189" spans="1:10" ht="15">
      <c r="A189" s="1150"/>
      <c r="B189" s="1150"/>
      <c r="C189" s="1150"/>
      <c r="D189" s="1150"/>
      <c r="E189" s="1150"/>
      <c r="F189" s="1150"/>
      <c r="G189" s="1150"/>
      <c r="H189" s="1150"/>
      <c r="I189" s="1150"/>
      <c r="J189" s="1158"/>
    </row>
    <row r="190" spans="1:10" ht="15">
      <c r="A190" s="1150"/>
      <c r="B190" s="1150"/>
      <c r="C190" s="1150"/>
      <c r="D190" s="1150"/>
      <c r="E190" s="1150"/>
      <c r="F190" s="1150"/>
      <c r="G190" s="1150"/>
      <c r="H190" s="1150"/>
      <c r="I190" s="1150"/>
      <c r="J190" s="1158"/>
    </row>
    <row r="191" spans="1:10" ht="15">
      <c r="A191" s="1150"/>
      <c r="B191" s="1150"/>
      <c r="C191" s="1150"/>
      <c r="D191" s="1150"/>
      <c r="E191" s="1150"/>
      <c r="F191" s="1150"/>
      <c r="G191" s="1150"/>
      <c r="H191" s="1150"/>
      <c r="I191" s="1150"/>
      <c r="J191" s="1158"/>
    </row>
    <row r="192" spans="1:10" ht="15">
      <c r="A192" s="1150"/>
      <c r="B192" s="1150"/>
      <c r="C192" s="1150"/>
      <c r="D192" s="1150"/>
      <c r="E192" s="1150"/>
      <c r="F192" s="1150"/>
      <c r="G192" s="1150"/>
      <c r="H192" s="1150"/>
      <c r="I192" s="1150"/>
      <c r="J192" s="1158"/>
    </row>
    <row r="193" spans="1:10" ht="15">
      <c r="A193" s="1150"/>
      <c r="B193" s="1150"/>
      <c r="C193" s="1150"/>
      <c r="D193" s="1150"/>
      <c r="E193" s="1150"/>
      <c r="F193" s="1150"/>
      <c r="G193" s="1150"/>
      <c r="H193" s="1150"/>
      <c r="I193" s="1150"/>
      <c r="J193" s="1158"/>
    </row>
    <row r="194" spans="1:10" ht="15">
      <c r="A194" s="1150"/>
      <c r="B194" s="1150"/>
      <c r="C194" s="1150"/>
      <c r="D194" s="1150"/>
      <c r="E194" s="1150"/>
      <c r="F194" s="1150"/>
      <c r="G194" s="1150"/>
      <c r="H194" s="1150"/>
      <c r="I194" s="1150"/>
      <c r="J194" s="1158"/>
    </row>
    <row r="195" spans="1:10" ht="15">
      <c r="A195" s="1150"/>
      <c r="B195" s="1150"/>
      <c r="C195" s="1150"/>
      <c r="D195" s="1150"/>
      <c r="E195" s="1150"/>
      <c r="F195" s="1150"/>
      <c r="G195" s="1150"/>
      <c r="H195" s="1150"/>
      <c r="I195" s="1150"/>
      <c r="J195" s="1158"/>
    </row>
    <row r="196" spans="1:10" ht="15">
      <c r="A196" s="1150"/>
      <c r="B196" s="1150"/>
      <c r="C196" s="1150"/>
      <c r="D196" s="1150"/>
      <c r="E196" s="1150"/>
      <c r="F196" s="1150"/>
      <c r="G196" s="1150"/>
      <c r="H196" s="1150"/>
      <c r="I196" s="1150"/>
      <c r="J196" s="1158"/>
    </row>
    <row r="197" spans="1:10" ht="15">
      <c r="A197" s="1150"/>
      <c r="B197" s="1150"/>
      <c r="C197" s="1150"/>
      <c r="D197" s="1150"/>
      <c r="E197" s="1150"/>
      <c r="F197" s="1150"/>
      <c r="G197" s="1150"/>
      <c r="H197" s="1150"/>
      <c r="I197" s="1150"/>
      <c r="J197" s="1158"/>
    </row>
    <row r="198" spans="1:10" ht="15">
      <c r="A198" s="1150"/>
      <c r="B198" s="1150"/>
      <c r="C198" s="1150"/>
      <c r="D198" s="1150"/>
      <c r="E198" s="1150"/>
      <c r="F198" s="1150"/>
      <c r="G198" s="1150"/>
      <c r="H198" s="1150"/>
      <c r="I198" s="1150"/>
      <c r="J198" s="1158"/>
    </row>
    <row r="199" spans="1:10" ht="15">
      <c r="A199" s="1150"/>
      <c r="B199" s="1150"/>
      <c r="C199" s="1150"/>
      <c r="D199" s="1150"/>
      <c r="E199" s="1150"/>
      <c r="F199" s="1150"/>
      <c r="G199" s="1150"/>
      <c r="H199" s="1150"/>
      <c r="I199" s="1150"/>
      <c r="J199" s="1158"/>
    </row>
    <row r="200" spans="1:10" ht="15">
      <c r="A200" s="1150"/>
      <c r="B200" s="1150"/>
      <c r="C200" s="1150"/>
      <c r="D200" s="1150"/>
      <c r="E200" s="1150"/>
      <c r="F200" s="1150"/>
      <c r="G200" s="1150"/>
      <c r="H200" s="1150"/>
      <c r="I200" s="1150"/>
      <c r="J200" s="1158"/>
    </row>
    <row r="201" spans="1:10" ht="15">
      <c r="A201" s="1150"/>
      <c r="B201" s="1150"/>
      <c r="C201" s="1150"/>
      <c r="D201" s="1150"/>
      <c r="E201" s="1150"/>
      <c r="F201" s="1150"/>
      <c r="G201" s="1150"/>
      <c r="H201" s="1150"/>
      <c r="I201" s="1150"/>
      <c r="J201" s="1158"/>
    </row>
    <row r="202" spans="1:10" ht="15">
      <c r="A202" s="1150"/>
      <c r="B202" s="1150"/>
      <c r="C202" s="1150"/>
      <c r="D202" s="1150"/>
      <c r="E202" s="1150"/>
      <c r="F202" s="1150"/>
      <c r="G202" s="1150"/>
      <c r="H202" s="1150"/>
      <c r="I202" s="1150"/>
      <c r="J202" s="1158"/>
    </row>
    <row r="203" spans="1:10" ht="15">
      <c r="A203" s="1150"/>
      <c r="B203" s="1150"/>
      <c r="C203" s="1150"/>
      <c r="D203" s="1150"/>
      <c r="E203" s="1150"/>
      <c r="F203" s="1150"/>
      <c r="G203" s="1150"/>
      <c r="H203" s="1150"/>
      <c r="I203" s="1150"/>
      <c r="J203" s="1158"/>
    </row>
    <row r="204" spans="1:10" ht="15">
      <c r="A204" s="1150"/>
      <c r="B204" s="1150"/>
      <c r="C204" s="1150"/>
      <c r="D204" s="1150"/>
      <c r="E204" s="1150"/>
      <c r="F204" s="1150"/>
      <c r="G204" s="1150"/>
      <c r="H204" s="1150"/>
      <c r="I204" s="1150"/>
      <c r="J204" s="1158"/>
    </row>
    <row r="205" spans="1:10" ht="15">
      <c r="A205" s="1150"/>
      <c r="B205" s="1150"/>
      <c r="C205" s="1150"/>
      <c r="D205" s="1150"/>
      <c r="E205" s="1150"/>
      <c r="F205" s="1150"/>
      <c r="G205" s="1150"/>
      <c r="H205" s="1150"/>
      <c r="I205" s="1150"/>
      <c r="J205" s="1158"/>
    </row>
    <row r="206" spans="1:10" ht="15">
      <c r="A206" s="1150"/>
      <c r="B206" s="1150"/>
      <c r="C206" s="1150"/>
      <c r="D206" s="1150"/>
      <c r="E206" s="1150"/>
      <c r="F206" s="1150"/>
      <c r="G206" s="1150"/>
      <c r="H206" s="1150"/>
      <c r="I206" s="1150"/>
      <c r="J206" s="1158"/>
    </row>
    <row r="207" spans="1:10" ht="15">
      <c r="A207" s="1150"/>
      <c r="B207" s="1150"/>
      <c r="C207" s="1150"/>
      <c r="D207" s="1150"/>
      <c r="E207" s="1150"/>
      <c r="F207" s="1150"/>
      <c r="G207" s="1150"/>
      <c r="H207" s="1150"/>
      <c r="I207" s="1150"/>
      <c r="J207" s="1158"/>
    </row>
    <row r="208" spans="1:10" ht="15">
      <c r="A208" s="1150"/>
      <c r="B208" s="1150"/>
      <c r="C208" s="1150"/>
      <c r="D208" s="1150"/>
      <c r="E208" s="1150"/>
      <c r="F208" s="1150"/>
      <c r="G208" s="1150"/>
      <c r="H208" s="1150"/>
      <c r="I208" s="1150"/>
      <c r="J208" s="1158"/>
    </row>
    <row r="209" spans="1:10" ht="15">
      <c r="A209" s="1150"/>
      <c r="B209" s="1150"/>
      <c r="C209" s="1150"/>
      <c r="D209" s="1150"/>
      <c r="E209" s="1150"/>
      <c r="F209" s="1150"/>
      <c r="G209" s="1150"/>
      <c r="H209" s="1150"/>
      <c r="I209" s="1150"/>
      <c r="J209" s="1158"/>
    </row>
    <row r="210" spans="1:10" ht="15">
      <c r="A210" s="1150"/>
      <c r="B210" s="1150"/>
      <c r="C210" s="1150"/>
      <c r="D210" s="1150"/>
      <c r="E210" s="1150"/>
      <c r="F210" s="1150"/>
      <c r="G210" s="1150"/>
      <c r="H210" s="1150"/>
      <c r="I210" s="1150"/>
      <c r="J210" s="1158"/>
    </row>
    <row r="211" spans="1:10" ht="15">
      <c r="A211" s="1150"/>
      <c r="B211" s="1150"/>
      <c r="C211" s="1150"/>
      <c r="D211" s="1150"/>
      <c r="E211" s="1150"/>
      <c r="F211" s="1150"/>
      <c r="G211" s="1150"/>
      <c r="H211" s="1150"/>
      <c r="I211" s="1150"/>
      <c r="J211" s="1158"/>
    </row>
    <row r="212" spans="1:10" ht="15">
      <c r="A212" s="1150"/>
      <c r="B212" s="1150"/>
      <c r="C212" s="1150"/>
      <c r="D212" s="1150"/>
      <c r="E212" s="1150"/>
      <c r="F212" s="1150"/>
      <c r="G212" s="1150"/>
      <c r="H212" s="1150"/>
      <c r="I212" s="1150"/>
      <c r="J212" s="1158"/>
    </row>
    <row r="213" spans="1:10" ht="15">
      <c r="A213" s="1150"/>
      <c r="B213" s="1150"/>
      <c r="C213" s="1150"/>
      <c r="D213" s="1150"/>
      <c r="E213" s="1150"/>
      <c r="F213" s="1150"/>
      <c r="G213" s="1150"/>
      <c r="H213" s="1150"/>
      <c r="I213" s="1150"/>
      <c r="J213" s="1158"/>
    </row>
    <row r="214" spans="1:10" ht="15">
      <c r="A214" s="1150"/>
      <c r="B214" s="1150"/>
      <c r="C214" s="1150"/>
      <c r="D214" s="1150"/>
      <c r="E214" s="1150"/>
      <c r="F214" s="1150"/>
      <c r="G214" s="1150"/>
      <c r="H214" s="1150"/>
      <c r="I214" s="1150"/>
      <c r="J214" s="1158"/>
    </row>
    <row r="215" spans="1:10" ht="15">
      <c r="A215" s="1150"/>
      <c r="B215" s="1150"/>
      <c r="C215" s="1150"/>
      <c r="D215" s="1150"/>
      <c r="E215" s="1150"/>
      <c r="F215" s="1150"/>
      <c r="G215" s="1150"/>
      <c r="H215" s="1150"/>
      <c r="I215" s="1150"/>
      <c r="J215" s="1158"/>
    </row>
    <row r="216" spans="1:10" ht="15">
      <c r="A216" s="1150"/>
      <c r="B216" s="1150"/>
      <c r="C216" s="1150"/>
      <c r="D216" s="1150"/>
      <c r="E216" s="1150"/>
      <c r="F216" s="1150"/>
      <c r="G216" s="1150"/>
      <c r="H216" s="1150"/>
      <c r="I216" s="1150"/>
      <c r="J216" s="1158"/>
    </row>
    <row r="217" spans="1:10" ht="15">
      <c r="A217" s="1150"/>
      <c r="B217" s="1150"/>
      <c r="C217" s="1150"/>
      <c r="D217" s="1150"/>
      <c r="E217" s="1150"/>
      <c r="F217" s="1150"/>
      <c r="G217" s="1150"/>
      <c r="H217" s="1150"/>
      <c r="I217" s="1150"/>
      <c r="J217" s="1158"/>
    </row>
    <row r="218" spans="1:10" ht="15">
      <c r="A218" s="1150"/>
      <c r="B218" s="1150"/>
      <c r="C218" s="1150"/>
      <c r="D218" s="1150"/>
      <c r="E218" s="1150"/>
      <c r="F218" s="1150"/>
      <c r="G218" s="1150"/>
      <c r="H218" s="1150"/>
      <c r="I218" s="1150"/>
      <c r="J218" s="1158"/>
    </row>
    <row r="219" spans="1:10" ht="15">
      <c r="A219" s="1150"/>
      <c r="B219" s="1150"/>
      <c r="C219" s="1150"/>
      <c r="D219" s="1150"/>
      <c r="E219" s="1150"/>
      <c r="F219" s="1150"/>
      <c r="G219" s="1150"/>
      <c r="H219" s="1150"/>
      <c r="I219" s="1150"/>
      <c r="J219" s="1158"/>
    </row>
    <row r="220" spans="1:10" ht="15">
      <c r="A220" s="1150"/>
      <c r="B220" s="1150"/>
      <c r="C220" s="1150"/>
      <c r="D220" s="1150"/>
      <c r="E220" s="1150"/>
      <c r="F220" s="1150"/>
      <c r="G220" s="1150"/>
      <c r="H220" s="1150"/>
      <c r="I220" s="1150"/>
      <c r="J220" s="1158"/>
    </row>
    <row r="221" spans="1:10" ht="15">
      <c r="A221" s="1150"/>
      <c r="B221" s="1150"/>
      <c r="C221" s="1150"/>
      <c r="D221" s="1150"/>
      <c r="E221" s="1150"/>
      <c r="F221" s="1150"/>
      <c r="G221" s="1150"/>
      <c r="H221" s="1150"/>
      <c r="I221" s="1150"/>
      <c r="J221" s="1158"/>
    </row>
    <row r="222" spans="1:10" ht="15">
      <c r="A222" s="1150"/>
      <c r="B222" s="1150"/>
      <c r="C222" s="1150"/>
      <c r="D222" s="1150"/>
      <c r="E222" s="1150"/>
      <c r="F222" s="1150"/>
      <c r="G222" s="1150"/>
      <c r="H222" s="1150"/>
      <c r="I222" s="1150"/>
      <c r="J222" s="1158"/>
    </row>
    <row r="223" spans="1:10" ht="15">
      <c r="A223" s="1150"/>
      <c r="B223" s="1150"/>
      <c r="C223" s="1150"/>
      <c r="D223" s="1150"/>
      <c r="E223" s="1150"/>
      <c r="F223" s="1150"/>
      <c r="G223" s="1150"/>
      <c r="H223" s="1150"/>
      <c r="I223" s="1150"/>
      <c r="J223" s="1158"/>
    </row>
    <row r="224" spans="1:10" ht="15">
      <c r="A224" s="1150"/>
      <c r="B224" s="1150"/>
      <c r="C224" s="1150"/>
      <c r="D224" s="1150"/>
      <c r="E224" s="1150"/>
      <c r="F224" s="1150"/>
      <c r="G224" s="1150"/>
      <c r="H224" s="1150"/>
      <c r="I224" s="1150"/>
      <c r="J224" s="1158"/>
    </row>
    <row r="225" spans="1:10" ht="15">
      <c r="A225" s="1150"/>
      <c r="B225" s="1150"/>
      <c r="C225" s="1150"/>
      <c r="D225" s="1150"/>
      <c r="E225" s="1150"/>
      <c r="F225" s="1150"/>
      <c r="G225" s="1150"/>
      <c r="H225" s="1150"/>
      <c r="I225" s="1150"/>
      <c r="J225" s="1158"/>
    </row>
    <row r="226" spans="1:10" ht="15">
      <c r="A226" s="1150"/>
      <c r="B226" s="1150"/>
      <c r="C226" s="1150"/>
      <c r="D226" s="1150"/>
      <c r="E226" s="1150"/>
      <c r="F226" s="1150"/>
      <c r="G226" s="1150"/>
      <c r="H226" s="1150"/>
      <c r="I226" s="1150"/>
      <c r="J226" s="1158"/>
    </row>
    <row r="227" spans="1:10" ht="15">
      <c r="A227" s="1150"/>
      <c r="B227" s="1150"/>
      <c r="C227" s="1150"/>
      <c r="D227" s="1150"/>
      <c r="E227" s="1150"/>
      <c r="F227" s="1150"/>
      <c r="G227" s="1150"/>
      <c r="H227" s="1150"/>
      <c r="I227" s="1150"/>
      <c r="J227" s="1158"/>
    </row>
    <row r="228" spans="1:10" ht="15">
      <c r="A228" s="1150"/>
      <c r="B228" s="1150"/>
      <c r="C228" s="1150"/>
      <c r="D228" s="1150"/>
      <c r="E228" s="1150"/>
      <c r="F228" s="1150"/>
      <c r="G228" s="1150"/>
      <c r="H228" s="1150"/>
      <c r="I228" s="1150"/>
      <c r="J228" s="1158"/>
    </row>
    <row r="229" spans="1:10" ht="15">
      <c r="A229" s="1150"/>
      <c r="B229" s="1150"/>
      <c r="C229" s="1150"/>
      <c r="D229" s="1150"/>
      <c r="E229" s="1150"/>
      <c r="F229" s="1150"/>
      <c r="G229" s="1150"/>
      <c r="H229" s="1150"/>
      <c r="I229" s="1150"/>
      <c r="J229" s="1158"/>
    </row>
    <row r="230" spans="1:10" ht="15">
      <c r="A230" s="1150"/>
      <c r="B230" s="1150"/>
      <c r="C230" s="1150"/>
      <c r="D230" s="1150"/>
      <c r="E230" s="1150"/>
      <c r="F230" s="1150"/>
      <c r="G230" s="1150"/>
      <c r="H230" s="1150"/>
      <c r="I230" s="1150"/>
      <c r="J230" s="1158"/>
    </row>
    <row r="231" spans="1:10" ht="15">
      <c r="A231" s="1150"/>
      <c r="B231" s="1150"/>
      <c r="C231" s="1150"/>
      <c r="D231" s="1150"/>
      <c r="E231" s="1150"/>
      <c r="F231" s="1150"/>
      <c r="G231" s="1150"/>
      <c r="H231" s="1150"/>
      <c r="I231" s="1150"/>
      <c r="J231" s="1158"/>
    </row>
    <row r="232" spans="1:10" ht="15">
      <c r="A232" s="1150"/>
      <c r="B232" s="1150"/>
      <c r="C232" s="1150"/>
      <c r="D232" s="1150"/>
      <c r="E232" s="1150"/>
      <c r="F232" s="1150"/>
      <c r="G232" s="1150"/>
      <c r="H232" s="1150"/>
      <c r="I232" s="1150"/>
      <c r="J232" s="1158"/>
    </row>
    <row r="233" spans="1:10" ht="15">
      <c r="A233" s="1150"/>
      <c r="B233" s="1150"/>
      <c r="C233" s="1150"/>
      <c r="D233" s="1150"/>
      <c r="E233" s="1150"/>
      <c r="F233" s="1150"/>
      <c r="G233" s="1150"/>
      <c r="H233" s="1150"/>
      <c r="I233" s="1150"/>
      <c r="J233" s="1158"/>
    </row>
    <row r="234" spans="1:10" ht="15">
      <c r="A234" s="1150"/>
      <c r="B234" s="1150"/>
      <c r="C234" s="1150"/>
      <c r="D234" s="1150"/>
      <c r="E234" s="1150"/>
      <c r="F234" s="1150"/>
      <c r="G234" s="1150"/>
      <c r="H234" s="1150"/>
      <c r="I234" s="1150"/>
      <c r="J234" s="1158"/>
    </row>
    <row r="235" spans="1:10" ht="15">
      <c r="A235" s="1150"/>
      <c r="B235" s="1150"/>
      <c r="C235" s="1150"/>
      <c r="D235" s="1150"/>
      <c r="E235" s="1150"/>
      <c r="F235" s="1150"/>
      <c r="G235" s="1150"/>
      <c r="H235" s="1150"/>
      <c r="I235" s="1150"/>
      <c r="J235" s="1158"/>
    </row>
    <row r="236" spans="1:10" ht="15">
      <c r="A236" s="1150"/>
      <c r="B236" s="1150"/>
      <c r="C236" s="1150"/>
      <c r="D236" s="1150"/>
      <c r="E236" s="1150"/>
      <c r="F236" s="1150"/>
      <c r="G236" s="1150"/>
      <c r="H236" s="1150"/>
      <c r="I236" s="1150"/>
      <c r="J236" s="1158"/>
    </row>
    <row r="237" spans="1:10" ht="15">
      <c r="A237" s="1150"/>
      <c r="B237" s="1150"/>
      <c r="C237" s="1150"/>
      <c r="D237" s="1150"/>
      <c r="E237" s="1150"/>
      <c r="F237" s="1150"/>
      <c r="G237" s="1150"/>
      <c r="H237" s="1150"/>
      <c r="I237" s="1150"/>
      <c r="J237" s="1158"/>
    </row>
    <row r="238" spans="1:10" ht="15">
      <c r="A238" s="1150"/>
      <c r="B238" s="1150"/>
      <c r="C238" s="1150"/>
      <c r="D238" s="1150"/>
      <c r="E238" s="1150"/>
      <c r="F238" s="1150"/>
      <c r="G238" s="1150"/>
      <c r="H238" s="1150"/>
      <c r="I238" s="1150"/>
      <c r="J238" s="1158"/>
    </row>
    <row r="239" spans="1:10" ht="15">
      <c r="A239" s="1150"/>
      <c r="B239" s="1150"/>
      <c r="C239" s="1150"/>
      <c r="D239" s="1150"/>
      <c r="E239" s="1150"/>
      <c r="F239" s="1150"/>
      <c r="G239" s="1150"/>
      <c r="H239" s="1150"/>
      <c r="I239" s="1150"/>
      <c r="J239" s="1158"/>
    </row>
    <row r="240" spans="1:10" ht="15">
      <c r="A240" s="1150"/>
      <c r="B240" s="1150"/>
      <c r="C240" s="1150"/>
      <c r="D240" s="1150"/>
      <c r="E240" s="1150"/>
      <c r="F240" s="1150"/>
      <c r="G240" s="1150"/>
      <c r="H240" s="1150"/>
      <c r="I240" s="1150"/>
      <c r="J240" s="1158"/>
    </row>
    <row r="241" spans="1:10" ht="15">
      <c r="A241" s="1150"/>
      <c r="B241" s="1150"/>
      <c r="C241" s="1150"/>
      <c r="D241" s="1150"/>
      <c r="E241" s="1150"/>
      <c r="F241" s="1150"/>
      <c r="G241" s="1150"/>
      <c r="H241" s="1150"/>
      <c r="I241" s="1150"/>
      <c r="J241" s="1158"/>
    </row>
    <row r="242" spans="1:10" ht="15">
      <c r="A242" s="1150"/>
      <c r="B242" s="1150"/>
      <c r="C242" s="1150"/>
      <c r="D242" s="1150"/>
      <c r="E242" s="1150"/>
      <c r="F242" s="1150"/>
      <c r="G242" s="1150"/>
      <c r="H242" s="1150"/>
      <c r="I242" s="1150"/>
      <c r="J242" s="1158"/>
    </row>
    <row r="243" spans="1:10" ht="15">
      <c r="A243" s="1150"/>
      <c r="B243" s="1150"/>
      <c r="C243" s="1150"/>
      <c r="D243" s="1150"/>
      <c r="E243" s="1150"/>
      <c r="F243" s="1150"/>
      <c r="G243" s="1150"/>
      <c r="H243" s="1150"/>
      <c r="I243" s="1150"/>
      <c r="J243" s="1158"/>
    </row>
    <row r="244" spans="1:10" ht="15">
      <c r="A244" s="1150"/>
      <c r="B244" s="1150"/>
      <c r="C244" s="1150"/>
      <c r="D244" s="1150"/>
      <c r="E244" s="1150"/>
      <c r="F244" s="1150"/>
      <c r="G244" s="1150"/>
      <c r="H244" s="1150"/>
      <c r="I244" s="1150"/>
      <c r="J244" s="1158"/>
    </row>
    <row r="245" spans="1:10" ht="15">
      <c r="A245" s="1150"/>
      <c r="B245" s="1150"/>
      <c r="C245" s="1150"/>
      <c r="D245" s="1150"/>
      <c r="E245" s="1150"/>
      <c r="F245" s="1150"/>
      <c r="G245" s="1150"/>
      <c r="H245" s="1150"/>
      <c r="I245" s="1150"/>
      <c r="J245" s="1158"/>
    </row>
    <row r="246" spans="1:10" ht="15">
      <c r="A246" s="1150"/>
      <c r="B246" s="1150"/>
      <c r="C246" s="1150"/>
      <c r="D246" s="1150"/>
      <c r="E246" s="1150"/>
      <c r="F246" s="1150"/>
      <c r="G246" s="1150"/>
      <c r="H246" s="1150"/>
      <c r="I246" s="1150"/>
      <c r="J246" s="1158"/>
    </row>
    <row r="247" spans="1:10" ht="15">
      <c r="A247" s="1150"/>
      <c r="B247" s="1150"/>
      <c r="C247" s="1150"/>
      <c r="D247" s="1150"/>
      <c r="E247" s="1150"/>
      <c r="F247" s="1150"/>
      <c r="G247" s="1150"/>
      <c r="H247" s="1150"/>
      <c r="I247" s="1150"/>
      <c r="J247" s="1158"/>
    </row>
    <row r="248" spans="1:10" ht="15">
      <c r="A248" s="1150"/>
      <c r="B248" s="1150"/>
      <c r="C248" s="1150"/>
      <c r="D248" s="1150"/>
      <c r="E248" s="1150"/>
      <c r="F248" s="1150"/>
      <c r="G248" s="1150"/>
      <c r="H248" s="1150"/>
      <c r="I248" s="1150"/>
      <c r="J248" s="1158"/>
    </row>
    <row r="249" spans="1:10" ht="15">
      <c r="A249" s="1150"/>
      <c r="B249" s="1150"/>
      <c r="C249" s="1150"/>
      <c r="D249" s="1150"/>
      <c r="E249" s="1150"/>
      <c r="F249" s="1150"/>
      <c r="G249" s="1150"/>
      <c r="H249" s="1150"/>
      <c r="I249" s="1150"/>
      <c r="J249" s="1158"/>
    </row>
    <row r="250" spans="1:10" ht="15">
      <c r="A250" s="1150"/>
      <c r="B250" s="1150"/>
      <c r="C250" s="1150"/>
      <c r="D250" s="1150"/>
      <c r="E250" s="1150"/>
      <c r="F250" s="1150"/>
      <c r="G250" s="1150"/>
      <c r="H250" s="1150"/>
      <c r="I250" s="1150"/>
      <c r="J250" s="1158"/>
    </row>
    <row r="251" spans="1:10" ht="15">
      <c r="A251" s="1150"/>
      <c r="B251" s="1150"/>
      <c r="C251" s="1150"/>
      <c r="D251" s="1150"/>
      <c r="E251" s="1150"/>
      <c r="F251" s="1150"/>
      <c r="G251" s="1150"/>
      <c r="H251" s="1150"/>
      <c r="I251" s="1150"/>
      <c r="J251" s="1158"/>
    </row>
    <row r="252" spans="1:10" ht="15">
      <c r="A252" s="1150"/>
      <c r="B252" s="1150"/>
      <c r="C252" s="1150"/>
      <c r="D252" s="1150"/>
      <c r="E252" s="1150"/>
      <c r="F252" s="1150"/>
      <c r="G252" s="1150"/>
      <c r="H252" s="1150"/>
      <c r="I252" s="1150"/>
      <c r="J252" s="1158"/>
    </row>
    <row r="253" spans="1:10" ht="15">
      <c r="A253" s="1150"/>
      <c r="B253" s="1150"/>
      <c r="C253" s="1150"/>
      <c r="D253" s="1150"/>
      <c r="E253" s="1150"/>
      <c r="F253" s="1150"/>
      <c r="G253" s="1150"/>
      <c r="H253" s="1150"/>
      <c r="I253" s="1150"/>
      <c r="J253" s="1158"/>
    </row>
    <row r="254" spans="1:10" ht="15">
      <c r="A254" s="1150"/>
      <c r="B254" s="1150"/>
      <c r="C254" s="1150"/>
      <c r="D254" s="1150"/>
      <c r="E254" s="1150"/>
      <c r="F254" s="1150"/>
      <c r="G254" s="1150"/>
      <c r="H254" s="1150"/>
      <c r="I254" s="1150"/>
      <c r="J254" s="1158"/>
    </row>
    <row r="255" spans="1:10" ht="15">
      <c r="A255" s="1150"/>
      <c r="B255" s="1150"/>
      <c r="C255" s="1150"/>
      <c r="D255" s="1150"/>
      <c r="E255" s="1150"/>
      <c r="F255" s="1150"/>
      <c r="G255" s="1150"/>
      <c r="H255" s="1150"/>
      <c r="I255" s="1150"/>
      <c r="J255" s="1158"/>
    </row>
    <row r="256" spans="1:10" ht="15">
      <c r="A256" s="1150"/>
      <c r="B256" s="1150"/>
      <c r="C256" s="1150"/>
      <c r="D256" s="1150"/>
      <c r="E256" s="1150"/>
      <c r="F256" s="1150"/>
      <c r="G256" s="1150"/>
      <c r="H256" s="1150"/>
      <c r="I256" s="1150"/>
      <c r="J256" s="1158"/>
    </row>
    <row r="257" spans="1:10" ht="15">
      <c r="A257" s="1150"/>
      <c r="B257" s="1150"/>
      <c r="C257" s="1150"/>
      <c r="D257" s="1150"/>
      <c r="E257" s="1150"/>
      <c r="F257" s="1150"/>
      <c r="G257" s="1150"/>
      <c r="H257" s="1150"/>
      <c r="I257" s="1150"/>
      <c r="J257" s="1158"/>
    </row>
    <row r="258" spans="1:10" ht="15">
      <c r="A258" s="1150"/>
      <c r="B258" s="1150"/>
      <c r="C258" s="1150"/>
      <c r="D258" s="1150"/>
      <c r="E258" s="1150"/>
      <c r="F258" s="1150"/>
      <c r="G258" s="1150"/>
      <c r="H258" s="1150"/>
      <c r="I258" s="1150"/>
      <c r="J258" s="1158"/>
    </row>
    <row r="259" spans="1:10" ht="15">
      <c r="A259" s="1150"/>
      <c r="B259" s="1150"/>
      <c r="C259" s="1150"/>
      <c r="D259" s="1150"/>
      <c r="E259" s="1150"/>
      <c r="F259" s="1150"/>
      <c r="G259" s="1150"/>
      <c r="H259" s="1150"/>
      <c r="I259" s="1150"/>
      <c r="J259" s="1158"/>
    </row>
    <row r="260" spans="1:10" ht="15">
      <c r="A260" s="1150"/>
      <c r="B260" s="1150"/>
      <c r="C260" s="1150"/>
      <c r="D260" s="1150"/>
      <c r="E260" s="1150"/>
      <c r="F260" s="1150"/>
      <c r="G260" s="1150"/>
      <c r="H260" s="1150"/>
      <c r="I260" s="1150"/>
      <c r="J260" s="1158"/>
    </row>
    <row r="261" spans="1:10" ht="15">
      <c r="A261" s="1150"/>
      <c r="B261" s="1150"/>
      <c r="C261" s="1150"/>
      <c r="D261" s="1150"/>
      <c r="E261" s="1150"/>
      <c r="F261" s="1150"/>
      <c r="G261" s="1150"/>
      <c r="H261" s="1150"/>
      <c r="I261" s="1150"/>
      <c r="J261" s="1158"/>
    </row>
    <row r="262" spans="1:10" ht="15">
      <c r="A262" s="1150"/>
      <c r="B262" s="1150"/>
      <c r="C262" s="1150"/>
      <c r="D262" s="1150"/>
      <c r="E262" s="1150"/>
      <c r="F262" s="1150"/>
      <c r="G262" s="1150"/>
      <c r="H262" s="1150"/>
      <c r="I262" s="1150"/>
      <c r="J262" s="1158"/>
    </row>
    <row r="263" spans="1:10" ht="15">
      <c r="A263" s="1150"/>
      <c r="B263" s="1150"/>
      <c r="C263" s="1150"/>
      <c r="D263" s="1150"/>
      <c r="E263" s="1150"/>
      <c r="F263" s="1150"/>
      <c r="G263" s="1150"/>
      <c r="H263" s="1150"/>
      <c r="I263" s="1150"/>
      <c r="J263" s="1158"/>
    </row>
    <row r="264" spans="1:10" ht="15">
      <c r="A264" s="1150"/>
      <c r="B264" s="1150"/>
      <c r="C264" s="1150"/>
      <c r="D264" s="1150"/>
      <c r="E264" s="1150"/>
      <c r="F264" s="1150"/>
      <c r="G264" s="1150"/>
      <c r="H264" s="1150"/>
      <c r="I264" s="1150"/>
      <c r="J264" s="1158"/>
    </row>
    <row r="265" spans="1:10" ht="15">
      <c r="A265" s="1150"/>
      <c r="B265" s="1150"/>
      <c r="C265" s="1150"/>
      <c r="D265" s="1150"/>
      <c r="E265" s="1150"/>
      <c r="F265" s="1150"/>
      <c r="G265" s="1150"/>
      <c r="H265" s="1150"/>
      <c r="I265" s="1150"/>
      <c r="J265" s="1158"/>
    </row>
    <row r="266" spans="1:10" ht="15">
      <c r="A266" s="1150"/>
      <c r="B266" s="1150"/>
      <c r="C266" s="1150"/>
      <c r="D266" s="1150"/>
      <c r="E266" s="1150"/>
      <c r="F266" s="1150"/>
      <c r="G266" s="1150"/>
      <c r="H266" s="1150"/>
      <c r="I266" s="1150"/>
      <c r="J266" s="1158"/>
    </row>
    <row r="267" spans="1:10" ht="15">
      <c r="A267" s="1150"/>
      <c r="B267" s="1150"/>
      <c r="C267" s="1150"/>
      <c r="D267" s="1150"/>
      <c r="E267" s="1150"/>
      <c r="F267" s="1150"/>
      <c r="G267" s="1150"/>
      <c r="H267" s="1150"/>
      <c r="I267" s="1150"/>
      <c r="J267" s="1158"/>
    </row>
    <row r="268" spans="1:10" ht="15">
      <c r="A268" s="1150"/>
      <c r="B268" s="1150"/>
      <c r="C268" s="1150"/>
      <c r="D268" s="1150"/>
      <c r="E268" s="1150"/>
      <c r="F268" s="1150"/>
      <c r="G268" s="1150"/>
      <c r="H268" s="1150"/>
      <c r="I268" s="1150"/>
      <c r="J268" s="1158"/>
    </row>
    <row r="269" spans="1:10" ht="15">
      <c r="A269" s="1150"/>
      <c r="B269" s="1150"/>
      <c r="C269" s="1150"/>
      <c r="D269" s="1150"/>
      <c r="E269" s="1150"/>
      <c r="F269" s="1150"/>
      <c r="G269" s="1150"/>
      <c r="H269" s="1150"/>
      <c r="I269" s="1150"/>
      <c r="J269" s="1158"/>
    </row>
    <row r="270" spans="1:10" ht="15">
      <c r="A270" s="1150"/>
      <c r="B270" s="1150"/>
      <c r="C270" s="1150"/>
      <c r="D270" s="1150"/>
      <c r="E270" s="1150"/>
      <c r="F270" s="1150"/>
      <c r="G270" s="1150"/>
      <c r="H270" s="1150"/>
      <c r="I270" s="1150"/>
      <c r="J270" s="1158"/>
    </row>
    <row r="271" spans="1:10" ht="15">
      <c r="A271" s="1150"/>
      <c r="B271" s="1150"/>
      <c r="C271" s="1150"/>
      <c r="D271" s="1150"/>
      <c r="E271" s="1150"/>
      <c r="F271" s="1150"/>
      <c r="G271" s="1150"/>
      <c r="H271" s="1150"/>
      <c r="I271" s="1150"/>
      <c r="J271" s="1158"/>
    </row>
    <row r="272" spans="1:10" ht="15">
      <c r="A272" s="1150"/>
      <c r="B272" s="1150"/>
      <c r="C272" s="1150"/>
      <c r="D272" s="1150"/>
      <c r="E272" s="1150"/>
      <c r="F272" s="1150"/>
      <c r="G272" s="1150"/>
      <c r="H272" s="1150"/>
      <c r="I272" s="1150"/>
      <c r="J272" s="1158"/>
    </row>
    <row r="273" spans="1:10" ht="15">
      <c r="A273" s="1150"/>
      <c r="B273" s="1150"/>
      <c r="C273" s="1150"/>
      <c r="D273" s="1150"/>
      <c r="E273" s="1150"/>
      <c r="F273" s="1150"/>
      <c r="G273" s="1150"/>
      <c r="H273" s="1150"/>
      <c r="I273" s="1150"/>
      <c r="J273" s="1158"/>
    </row>
    <row r="274" spans="1:10" ht="15">
      <c r="A274" s="1150"/>
      <c r="B274" s="1150"/>
      <c r="C274" s="1150"/>
      <c r="D274" s="1150"/>
      <c r="E274" s="1150"/>
      <c r="F274" s="1150"/>
      <c r="G274" s="1150"/>
      <c r="H274" s="1150"/>
      <c r="I274" s="1150"/>
      <c r="J274" s="1158"/>
    </row>
    <row r="275" spans="1:10" ht="15">
      <c r="A275" s="1150"/>
      <c r="B275" s="1150"/>
      <c r="C275" s="1150"/>
      <c r="D275" s="1150"/>
      <c r="E275" s="1150"/>
      <c r="F275" s="1150"/>
      <c r="G275" s="1150"/>
      <c r="H275" s="1150"/>
      <c r="I275" s="1150"/>
      <c r="J275" s="1158"/>
    </row>
    <row r="276" spans="1:10" ht="15">
      <c r="A276" s="1150"/>
      <c r="B276" s="1150"/>
      <c r="C276" s="1150"/>
      <c r="D276" s="1150"/>
      <c r="E276" s="1150"/>
      <c r="F276" s="1150"/>
      <c r="G276" s="1150"/>
      <c r="H276" s="1150"/>
      <c r="I276" s="1150"/>
      <c r="J276" s="1158"/>
    </row>
    <row r="277" spans="1:10" ht="15">
      <c r="A277" s="1150"/>
      <c r="B277" s="1150"/>
      <c r="C277" s="1150"/>
      <c r="D277" s="1150"/>
      <c r="E277" s="1150"/>
      <c r="F277" s="1150"/>
      <c r="G277" s="1150"/>
      <c r="H277" s="1150"/>
      <c r="I277" s="1150"/>
      <c r="J277" s="1158"/>
    </row>
    <row r="278" spans="1:10" ht="15">
      <c r="A278" s="1150"/>
      <c r="B278" s="1150"/>
      <c r="C278" s="1150"/>
      <c r="D278" s="1150"/>
      <c r="E278" s="1150"/>
      <c r="F278" s="1150"/>
      <c r="G278" s="1150"/>
      <c r="H278" s="1150"/>
      <c r="I278" s="1150"/>
      <c r="J278" s="1158"/>
    </row>
    <row r="279" spans="1:10" ht="15">
      <c r="A279" s="1150"/>
      <c r="B279" s="1150"/>
      <c r="C279" s="1150"/>
      <c r="D279" s="1150"/>
      <c r="E279" s="1150"/>
      <c r="F279" s="1150"/>
      <c r="G279" s="1150"/>
      <c r="H279" s="1150"/>
      <c r="I279" s="1150"/>
      <c r="J279" s="1158"/>
    </row>
    <row r="280" spans="1:10" ht="15">
      <c r="A280" s="1150"/>
      <c r="B280" s="1150"/>
      <c r="C280" s="1150"/>
      <c r="D280" s="1150"/>
      <c r="E280" s="1150"/>
      <c r="F280" s="1150"/>
      <c r="G280" s="1150"/>
      <c r="H280" s="1150"/>
      <c r="I280" s="1150"/>
      <c r="J280" s="1158"/>
    </row>
    <row r="281" spans="1:10" ht="15">
      <c r="A281" s="1150"/>
      <c r="B281" s="1150"/>
      <c r="C281" s="1150"/>
      <c r="D281" s="1150"/>
      <c r="E281" s="1150"/>
      <c r="F281" s="1150"/>
      <c r="G281" s="1150"/>
      <c r="H281" s="1150"/>
      <c r="I281" s="1150"/>
      <c r="J281" s="1158"/>
    </row>
    <row r="282" spans="1:10" ht="15">
      <c r="A282" s="1150"/>
      <c r="B282" s="1150"/>
      <c r="C282" s="1150"/>
      <c r="D282" s="1150"/>
      <c r="E282" s="1150"/>
      <c r="F282" s="1150"/>
      <c r="G282" s="1150"/>
      <c r="H282" s="1150"/>
      <c r="I282" s="1150"/>
      <c r="J282" s="1158"/>
    </row>
    <row r="283" spans="1:10" ht="15">
      <c r="A283" s="1150"/>
      <c r="B283" s="1150"/>
      <c r="C283" s="1150"/>
      <c r="D283" s="1150"/>
      <c r="E283" s="1150"/>
      <c r="F283" s="1150"/>
      <c r="G283" s="1150"/>
      <c r="H283" s="1150"/>
      <c r="I283" s="1150"/>
      <c r="J283" s="1158"/>
    </row>
    <row r="284" spans="1:10" ht="15">
      <c r="A284" s="1150"/>
      <c r="B284" s="1150"/>
      <c r="C284" s="1150"/>
      <c r="D284" s="1150"/>
      <c r="E284" s="1150"/>
      <c r="F284" s="1150"/>
      <c r="G284" s="1150"/>
      <c r="H284" s="1150"/>
      <c r="I284" s="1150"/>
      <c r="J284" s="1158"/>
    </row>
    <row r="285" spans="1:10" ht="15">
      <c r="A285" s="1150"/>
      <c r="B285" s="1150"/>
      <c r="C285" s="1150"/>
      <c r="D285" s="1150"/>
      <c r="E285" s="1150"/>
      <c r="F285" s="1150"/>
      <c r="G285" s="1150"/>
      <c r="H285" s="1150"/>
      <c r="I285" s="1150"/>
      <c r="J285" s="1158"/>
    </row>
    <row r="286" spans="1:10" ht="15">
      <c r="A286" s="1150"/>
      <c r="B286" s="1150"/>
      <c r="C286" s="1150"/>
      <c r="D286" s="1150"/>
      <c r="E286" s="1150"/>
      <c r="F286" s="1150"/>
      <c r="G286" s="1150"/>
      <c r="H286" s="1150"/>
      <c r="I286" s="1150"/>
      <c r="J286" s="1158"/>
    </row>
    <row r="287" spans="1:10" ht="15">
      <c r="A287" s="1150"/>
      <c r="B287" s="1150"/>
      <c r="C287" s="1150"/>
      <c r="D287" s="1150"/>
      <c r="E287" s="1150"/>
      <c r="F287" s="1150"/>
      <c r="G287" s="1150"/>
      <c r="H287" s="1150"/>
      <c r="I287" s="1150"/>
      <c r="J287" s="1158"/>
    </row>
    <row r="288" spans="1:10" ht="15">
      <c r="A288" s="1150"/>
      <c r="B288" s="1150"/>
      <c r="C288" s="1150"/>
      <c r="D288" s="1150"/>
      <c r="E288" s="1150"/>
      <c r="F288" s="1150"/>
      <c r="G288" s="1150"/>
      <c r="H288" s="1150"/>
      <c r="I288" s="1150"/>
      <c r="J288" s="1158"/>
    </row>
    <row r="289" spans="1:10" ht="15">
      <c r="A289" s="1150"/>
      <c r="B289" s="1150"/>
      <c r="C289" s="1150"/>
      <c r="D289" s="1150"/>
      <c r="E289" s="1150"/>
      <c r="F289" s="1150"/>
      <c r="G289" s="1150"/>
      <c r="H289" s="1150"/>
      <c r="I289" s="1150"/>
      <c r="J289" s="1158"/>
    </row>
    <row r="290" spans="1:10" ht="15">
      <c r="A290" s="1150"/>
      <c r="B290" s="1150"/>
      <c r="C290" s="1150"/>
      <c r="D290" s="1150"/>
      <c r="E290" s="1150"/>
      <c r="F290" s="1150"/>
      <c r="G290" s="1150"/>
      <c r="H290" s="1150"/>
      <c r="I290" s="1150"/>
      <c r="J290" s="1158"/>
    </row>
    <row r="291" spans="1:10" ht="15">
      <c r="A291" s="1150"/>
      <c r="B291" s="1150"/>
      <c r="C291" s="1150"/>
      <c r="D291" s="1150"/>
      <c r="E291" s="1150"/>
      <c r="F291" s="1150"/>
      <c r="G291" s="1150"/>
      <c r="H291" s="1150"/>
      <c r="I291" s="1150"/>
      <c r="J291" s="1158"/>
    </row>
    <row r="292" spans="1:10" ht="15">
      <c r="A292" s="1150"/>
      <c r="B292" s="1150"/>
      <c r="C292" s="1150"/>
      <c r="D292" s="1150"/>
      <c r="E292" s="1150"/>
      <c r="F292" s="1150"/>
      <c r="G292" s="1150"/>
      <c r="H292" s="1150"/>
      <c r="I292" s="1150"/>
      <c r="J292" s="1158"/>
    </row>
    <row r="293" spans="1:10" ht="15">
      <c r="A293" s="1150"/>
      <c r="B293" s="1150"/>
      <c r="C293" s="1150"/>
      <c r="D293" s="1150"/>
      <c r="E293" s="1150"/>
      <c r="F293" s="1150"/>
      <c r="G293" s="1150"/>
      <c r="H293" s="1150"/>
      <c r="I293" s="1150"/>
      <c r="J293" s="1158"/>
    </row>
    <row r="294" spans="1:10" ht="15">
      <c r="A294" s="1150"/>
      <c r="B294" s="1150"/>
      <c r="C294" s="1150"/>
      <c r="D294" s="1150"/>
      <c r="E294" s="1150"/>
      <c r="F294" s="1150"/>
      <c r="G294" s="1150"/>
      <c r="H294" s="1150"/>
      <c r="I294" s="1150"/>
      <c r="J294" s="1158"/>
    </row>
    <row r="295" spans="1:10" ht="15">
      <c r="A295" s="1150"/>
      <c r="B295" s="1150"/>
      <c r="C295" s="1150"/>
      <c r="D295" s="1150"/>
      <c r="E295" s="1150"/>
      <c r="F295" s="1150"/>
      <c r="G295" s="1150"/>
      <c r="H295" s="1150"/>
      <c r="I295" s="1150"/>
      <c r="J295" s="1158"/>
    </row>
    <row r="296" spans="1:10" ht="15">
      <c r="A296" s="1150"/>
      <c r="B296" s="1150"/>
      <c r="C296" s="1150"/>
      <c r="D296" s="1150"/>
      <c r="E296" s="1150"/>
      <c r="F296" s="1150"/>
      <c r="G296" s="1150"/>
      <c r="H296" s="1150"/>
      <c r="I296" s="1150"/>
      <c r="J296" s="1158"/>
    </row>
    <row r="297" spans="1:10" ht="15">
      <c r="A297" s="1150"/>
      <c r="B297" s="1150"/>
      <c r="C297" s="1150"/>
      <c r="D297" s="1150"/>
      <c r="E297" s="1150"/>
      <c r="F297" s="1150"/>
      <c r="G297" s="1150"/>
      <c r="H297" s="1150"/>
      <c r="I297" s="1150"/>
      <c r="J297" s="1158"/>
    </row>
    <row r="298" spans="1:10" ht="15">
      <c r="A298" s="1150"/>
      <c r="B298" s="1150"/>
      <c r="C298" s="1150"/>
      <c r="D298" s="1150"/>
      <c r="E298" s="1150"/>
      <c r="F298" s="1150"/>
      <c r="G298" s="1150"/>
      <c r="H298" s="1150"/>
      <c r="I298" s="1150"/>
      <c r="J298" s="1158"/>
    </row>
    <row r="299" spans="1:10" ht="15">
      <c r="A299" s="1150"/>
      <c r="B299" s="1150"/>
      <c r="C299" s="1150"/>
      <c r="D299" s="1150"/>
      <c r="E299" s="1150"/>
      <c r="F299" s="1150"/>
      <c r="G299" s="1150"/>
      <c r="H299" s="1150"/>
      <c r="I299" s="1150"/>
      <c r="J299" s="1158"/>
    </row>
    <row r="300" spans="1:10" ht="15">
      <c r="A300" s="1150"/>
      <c r="B300" s="1150"/>
      <c r="C300" s="1150"/>
      <c r="D300" s="1150"/>
      <c r="E300" s="1150"/>
      <c r="F300" s="1150"/>
      <c r="G300" s="1150"/>
      <c r="H300" s="1150"/>
      <c r="I300" s="1150"/>
      <c r="J300" s="1158"/>
    </row>
    <row r="301" spans="1:10" ht="15">
      <c r="A301" s="1150"/>
      <c r="B301" s="1150"/>
      <c r="C301" s="1150"/>
      <c r="D301" s="1150"/>
      <c r="E301" s="1150"/>
      <c r="F301" s="1150"/>
      <c r="G301" s="1150"/>
      <c r="H301" s="1150"/>
      <c r="I301" s="1150"/>
      <c r="J301" s="1158"/>
    </row>
    <row r="302" spans="1:10" ht="15">
      <c r="A302" s="1150"/>
      <c r="B302" s="1150"/>
      <c r="C302" s="1150"/>
      <c r="D302" s="1150"/>
      <c r="E302" s="1150"/>
      <c r="F302" s="1150"/>
      <c r="G302" s="1150"/>
      <c r="H302" s="1150"/>
      <c r="I302" s="1150"/>
      <c r="J302" s="1158"/>
    </row>
    <row r="303" spans="1:10" ht="15">
      <c r="A303" s="1150"/>
      <c r="B303" s="1150"/>
      <c r="C303" s="1150"/>
      <c r="D303" s="1150"/>
      <c r="E303" s="1150"/>
      <c r="F303" s="1150"/>
      <c r="G303" s="1150"/>
      <c r="H303" s="1150"/>
      <c r="I303" s="1150"/>
      <c r="J303" s="1158"/>
    </row>
    <row r="304" spans="1:10" ht="15">
      <c r="A304" s="1150"/>
      <c r="B304" s="1150"/>
      <c r="C304" s="1150"/>
      <c r="D304" s="1150"/>
      <c r="E304" s="1150"/>
      <c r="F304" s="1150"/>
      <c r="G304" s="1150"/>
      <c r="H304" s="1150"/>
      <c r="I304" s="1150"/>
      <c r="J304" s="1158"/>
    </row>
    <row r="305" spans="1:10" ht="15">
      <c r="A305" s="1150"/>
      <c r="B305" s="1150"/>
      <c r="C305" s="1150"/>
      <c r="D305" s="1150"/>
      <c r="E305" s="1150"/>
      <c r="F305" s="1150"/>
      <c r="G305" s="1150"/>
      <c r="H305" s="1150"/>
      <c r="I305" s="1150"/>
      <c r="J305" s="1158"/>
    </row>
    <row r="306" spans="1:10" ht="15">
      <c r="A306" s="1150"/>
      <c r="B306" s="1150"/>
      <c r="C306" s="1150"/>
      <c r="D306" s="1150"/>
      <c r="E306" s="1150"/>
      <c r="F306" s="1150"/>
      <c r="G306" s="1150"/>
      <c r="H306" s="1150"/>
      <c r="I306" s="1150"/>
      <c r="J306" s="1158"/>
    </row>
    <row r="307" spans="1:10" ht="15">
      <c r="A307" s="1150"/>
      <c r="B307" s="1150"/>
      <c r="C307" s="1150"/>
      <c r="D307" s="1150"/>
      <c r="E307" s="1150"/>
      <c r="F307" s="1150"/>
      <c r="G307" s="1150"/>
      <c r="H307" s="1150"/>
      <c r="I307" s="1150"/>
      <c r="J307" s="1158"/>
    </row>
    <row r="308" spans="1:10" ht="15">
      <c r="A308" s="1150"/>
      <c r="B308" s="1150"/>
      <c r="C308" s="1150"/>
      <c r="D308" s="1150"/>
      <c r="E308" s="1150"/>
      <c r="F308" s="1150"/>
      <c r="G308" s="1150"/>
      <c r="H308" s="1150"/>
      <c r="I308" s="1150"/>
      <c r="J308" s="1158"/>
    </row>
    <row r="309" spans="1:10" ht="15">
      <c r="A309" s="1150"/>
      <c r="B309" s="1150"/>
      <c r="C309" s="1150"/>
      <c r="D309" s="1150"/>
      <c r="E309" s="1150"/>
      <c r="F309" s="1150"/>
      <c r="G309" s="1150"/>
      <c r="H309" s="1150"/>
      <c r="I309" s="1150"/>
      <c r="J309" s="1158"/>
    </row>
    <row r="310" spans="1:10" ht="15">
      <c r="A310" s="1150"/>
      <c r="B310" s="1150"/>
      <c r="C310" s="1150"/>
      <c r="D310" s="1150"/>
      <c r="E310" s="1150"/>
      <c r="F310" s="1150"/>
      <c r="G310" s="1150"/>
      <c r="H310" s="1150"/>
      <c r="I310" s="1150"/>
      <c r="J310" s="1158"/>
    </row>
    <row r="311" spans="1:10" ht="15">
      <c r="A311" s="1150"/>
      <c r="B311" s="1150"/>
      <c r="C311" s="1150"/>
      <c r="D311" s="1150"/>
      <c r="E311" s="1150"/>
      <c r="F311" s="1150"/>
      <c r="G311" s="1150"/>
      <c r="H311" s="1150"/>
      <c r="I311" s="1150"/>
      <c r="J311" s="1158"/>
    </row>
    <row r="312" spans="1:10" ht="15">
      <c r="A312" s="1150"/>
      <c r="B312" s="1150"/>
      <c r="C312" s="1150"/>
      <c r="D312" s="1150"/>
      <c r="E312" s="1150"/>
      <c r="F312" s="1150"/>
      <c r="G312" s="1150"/>
      <c r="H312" s="1150"/>
      <c r="I312" s="1150"/>
      <c r="J312" s="1158"/>
    </row>
    <row r="313" spans="1:10" ht="15">
      <c r="A313" s="1150"/>
      <c r="B313" s="1150"/>
      <c r="C313" s="1150"/>
      <c r="D313" s="1150"/>
      <c r="E313" s="1150"/>
      <c r="F313" s="1150"/>
      <c r="G313" s="1150"/>
      <c r="H313" s="1150"/>
      <c r="I313" s="1150"/>
      <c r="J313" s="1158"/>
    </row>
    <row r="314" spans="1:10" ht="15">
      <c r="A314" s="1150"/>
      <c r="B314" s="1150"/>
      <c r="C314" s="1150"/>
      <c r="D314" s="1150"/>
      <c r="E314" s="1150"/>
      <c r="F314" s="1150"/>
      <c r="G314" s="1150"/>
      <c r="H314" s="1150"/>
      <c r="I314" s="1150"/>
      <c r="J314" s="1158"/>
    </row>
    <row r="315" spans="1:10" ht="15">
      <c r="A315" s="1150"/>
      <c r="B315" s="1150"/>
      <c r="C315" s="1150"/>
      <c r="D315" s="1150"/>
      <c r="E315" s="1150"/>
      <c r="F315" s="1150"/>
      <c r="G315" s="1150"/>
      <c r="H315" s="1150"/>
      <c r="I315" s="1150"/>
      <c r="J315" s="1158"/>
    </row>
    <row r="316" spans="1:10" ht="15">
      <c r="A316" s="1150"/>
      <c r="B316" s="1150"/>
      <c r="C316" s="1150"/>
      <c r="D316" s="1150"/>
      <c r="E316" s="1150"/>
      <c r="F316" s="1150"/>
      <c r="G316" s="1150"/>
      <c r="H316" s="1150"/>
      <c r="I316" s="1150"/>
      <c r="J316" s="1158"/>
    </row>
    <row r="317" spans="1:10" ht="15">
      <c r="A317" s="1150"/>
      <c r="B317" s="1150"/>
      <c r="C317" s="1150"/>
      <c r="D317" s="1150"/>
      <c r="E317" s="1150"/>
      <c r="F317" s="1150"/>
      <c r="G317" s="1150"/>
      <c r="H317" s="1150"/>
      <c r="I317" s="1150"/>
      <c r="J317" s="1158"/>
    </row>
    <row r="318" spans="1:10" ht="15">
      <c r="A318" s="1150"/>
      <c r="B318" s="1150"/>
      <c r="C318" s="1150"/>
      <c r="D318" s="1150"/>
      <c r="E318" s="1150"/>
      <c r="F318" s="1150"/>
      <c r="G318" s="1150"/>
      <c r="H318" s="1150"/>
      <c r="I318" s="1150"/>
      <c r="J318" s="1158"/>
    </row>
    <row r="319" spans="1:10" ht="15">
      <c r="A319" s="1150"/>
      <c r="B319" s="1150"/>
      <c r="C319" s="1150"/>
      <c r="D319" s="1150"/>
      <c r="E319" s="1150"/>
      <c r="F319" s="1150"/>
      <c r="G319" s="1150"/>
      <c r="H319" s="1150"/>
      <c r="I319" s="1150"/>
      <c r="J319" s="1158"/>
    </row>
    <row r="320" spans="1:10" ht="15">
      <c r="A320" s="1150"/>
      <c r="B320" s="1150"/>
      <c r="C320" s="1150"/>
      <c r="D320" s="1150"/>
      <c r="E320" s="1150"/>
      <c r="F320" s="1150"/>
      <c r="G320" s="1150"/>
      <c r="H320" s="1150"/>
      <c r="I320" s="1150"/>
      <c r="J320" s="1158"/>
    </row>
    <row r="321" spans="1:10" ht="15">
      <c r="A321" s="1150"/>
      <c r="B321" s="1150"/>
      <c r="C321" s="1150"/>
      <c r="D321" s="1150"/>
      <c r="E321" s="1150"/>
      <c r="F321" s="1150"/>
      <c r="G321" s="1150"/>
      <c r="H321" s="1150"/>
      <c r="I321" s="1150"/>
      <c r="J321" s="1158"/>
    </row>
    <row r="322" spans="1:10" ht="15">
      <c r="A322" s="1150"/>
      <c r="B322" s="1150"/>
      <c r="C322" s="1150"/>
      <c r="D322" s="1150"/>
      <c r="E322" s="1150"/>
      <c r="F322" s="1150"/>
      <c r="G322" s="1150"/>
      <c r="H322" s="1150"/>
      <c r="I322" s="1150"/>
      <c r="J322" s="1158"/>
    </row>
    <row r="323" spans="1:10" ht="15">
      <c r="A323" s="1150"/>
      <c r="B323" s="1150"/>
      <c r="C323" s="1150"/>
      <c r="D323" s="1150"/>
      <c r="E323" s="1150"/>
      <c r="F323" s="1150"/>
      <c r="G323" s="1150"/>
      <c r="H323" s="1150"/>
      <c r="I323" s="1150"/>
      <c r="J323" s="1158"/>
    </row>
    <row r="324" spans="1:10" ht="15">
      <c r="A324" s="1150"/>
      <c r="B324" s="1150"/>
      <c r="C324" s="1150"/>
      <c r="D324" s="1150"/>
      <c r="E324" s="1150"/>
      <c r="F324" s="1150"/>
      <c r="G324" s="1150"/>
      <c r="H324" s="1150"/>
      <c r="I324" s="1150"/>
      <c r="J324" s="1158"/>
    </row>
    <row r="325" spans="1:10" ht="15">
      <c r="A325" s="1150"/>
      <c r="B325" s="1150"/>
      <c r="C325" s="1150"/>
      <c r="D325" s="1150"/>
      <c r="E325" s="1150"/>
      <c r="F325" s="1150"/>
      <c r="G325" s="1150"/>
      <c r="H325" s="1150"/>
      <c r="I325" s="1150"/>
      <c r="J325" s="1158"/>
    </row>
    <row r="326" spans="1:10" ht="15">
      <c r="A326" s="1150"/>
      <c r="B326" s="1150"/>
      <c r="C326" s="1150"/>
      <c r="D326" s="1150"/>
      <c r="E326" s="1150"/>
      <c r="F326" s="1150"/>
      <c r="G326" s="1150"/>
      <c r="H326" s="1150"/>
      <c r="I326" s="1150"/>
      <c r="J326" s="1158"/>
    </row>
    <row r="327" spans="1:10" ht="15">
      <c r="A327" s="1150"/>
      <c r="B327" s="1150"/>
      <c r="C327" s="1150"/>
      <c r="D327" s="1150"/>
      <c r="E327" s="1150"/>
      <c r="F327" s="1150"/>
      <c r="G327" s="1150"/>
      <c r="H327" s="1150"/>
      <c r="I327" s="1150"/>
      <c r="J327" s="1158"/>
    </row>
    <row r="328" spans="1:10" ht="15">
      <c r="A328" s="1150"/>
      <c r="B328" s="1150"/>
      <c r="C328" s="1150"/>
      <c r="D328" s="1150"/>
      <c r="E328" s="1150"/>
      <c r="F328" s="1150"/>
      <c r="G328" s="1150"/>
      <c r="H328" s="1150"/>
      <c r="I328" s="1150"/>
      <c r="J328" s="1158"/>
    </row>
    <row r="329" spans="1:10" ht="15">
      <c r="A329" s="1150"/>
      <c r="B329" s="1150"/>
      <c r="C329" s="1150"/>
      <c r="D329" s="1150"/>
      <c r="E329" s="1150"/>
      <c r="F329" s="1150"/>
      <c r="G329" s="1150"/>
      <c r="H329" s="1150"/>
      <c r="I329" s="1150"/>
      <c r="J329" s="1158"/>
    </row>
    <row r="330" spans="1:10" ht="15">
      <c r="A330" s="1150"/>
      <c r="B330" s="1150"/>
      <c r="C330" s="1150"/>
      <c r="D330" s="1150"/>
      <c r="E330" s="1150"/>
      <c r="F330" s="1150"/>
      <c r="G330" s="1150"/>
      <c r="H330" s="1150"/>
      <c r="I330" s="1150"/>
      <c r="J330" s="1158"/>
    </row>
    <row r="331" spans="1:10" ht="15">
      <c r="A331" s="1150"/>
      <c r="B331" s="1150"/>
      <c r="C331" s="1150"/>
      <c r="D331" s="1150"/>
      <c r="E331" s="1150"/>
      <c r="F331" s="1150"/>
      <c r="G331" s="1150"/>
      <c r="H331" s="1150"/>
      <c r="I331" s="1150"/>
      <c r="J331" s="1158"/>
    </row>
    <row r="332" spans="1:10" ht="15">
      <c r="A332" s="1150"/>
      <c r="B332" s="1150"/>
      <c r="C332" s="1150"/>
      <c r="D332" s="1150"/>
      <c r="E332" s="1150"/>
      <c r="F332" s="1150"/>
      <c r="G332" s="1150"/>
      <c r="H332" s="1150"/>
      <c r="I332" s="1150"/>
      <c r="J332" s="1158"/>
    </row>
    <row r="333" spans="1:10" ht="15">
      <c r="A333" s="1150"/>
      <c r="B333" s="1150"/>
      <c r="C333" s="1150"/>
      <c r="D333" s="1150"/>
      <c r="E333" s="1150"/>
      <c r="F333" s="1150"/>
      <c r="G333" s="1150"/>
      <c r="H333" s="1150"/>
      <c r="I333" s="1150"/>
      <c r="J333" s="1158"/>
    </row>
    <row r="334" spans="1:10" ht="15">
      <c r="A334" s="1150"/>
      <c r="B334" s="1150"/>
      <c r="C334" s="1150"/>
      <c r="D334" s="1150"/>
      <c r="E334" s="1150"/>
      <c r="F334" s="1150"/>
      <c r="G334" s="1150"/>
      <c r="H334" s="1150"/>
      <c r="I334" s="1150"/>
      <c r="J334" s="1158"/>
    </row>
    <row r="335" spans="1:10" ht="15">
      <c r="A335" s="1150"/>
      <c r="B335" s="1150"/>
      <c r="C335" s="1150"/>
      <c r="D335" s="1150"/>
      <c r="E335" s="1150"/>
      <c r="F335" s="1150"/>
      <c r="G335" s="1150"/>
      <c r="H335" s="1150"/>
      <c r="I335" s="1150"/>
      <c r="J335" s="1158"/>
    </row>
    <row r="336" spans="1:10" ht="15">
      <c r="A336" s="1150"/>
      <c r="B336" s="1150"/>
      <c r="C336" s="1150"/>
      <c r="D336" s="1150"/>
      <c r="E336" s="1150"/>
      <c r="F336" s="1150"/>
      <c r="G336" s="1150"/>
      <c r="H336" s="1150"/>
      <c r="I336" s="1150"/>
      <c r="J336" s="1158"/>
    </row>
    <row r="337" spans="1:10" ht="15">
      <c r="A337" s="1150"/>
      <c r="B337" s="1150"/>
      <c r="C337" s="1150"/>
      <c r="D337" s="1150"/>
      <c r="E337" s="1150"/>
      <c r="F337" s="1150"/>
      <c r="G337" s="1150"/>
      <c r="H337" s="1150"/>
      <c r="I337" s="1150"/>
      <c r="J337" s="1158"/>
    </row>
    <row r="338" spans="1:10" ht="15">
      <c r="A338" s="1150"/>
      <c r="B338" s="1150"/>
      <c r="C338" s="1150"/>
      <c r="D338" s="1150"/>
      <c r="E338" s="1150"/>
      <c r="F338" s="1150"/>
      <c r="G338" s="1150"/>
      <c r="H338" s="1150"/>
      <c r="I338" s="1150"/>
      <c r="J338" s="1158"/>
    </row>
    <row r="339" spans="1:10" ht="15">
      <c r="A339" s="1150"/>
      <c r="B339" s="1150"/>
      <c r="C339" s="1150"/>
      <c r="D339" s="1150"/>
      <c r="E339" s="1150"/>
      <c r="F339" s="1150"/>
      <c r="G339" s="1150"/>
      <c r="H339" s="1150"/>
      <c r="I339" s="1150"/>
      <c r="J339" s="1158"/>
    </row>
    <row r="340" spans="1:10" ht="15">
      <c r="A340" s="1150"/>
      <c r="B340" s="1150"/>
      <c r="C340" s="1150"/>
      <c r="D340" s="1150"/>
      <c r="E340" s="1150"/>
      <c r="F340" s="1150"/>
      <c r="G340" s="1150"/>
      <c r="H340" s="1150"/>
      <c r="I340" s="1150"/>
      <c r="J340" s="1158"/>
    </row>
    <row r="341" spans="1:10" ht="15">
      <c r="A341" s="1150"/>
      <c r="B341" s="1150"/>
      <c r="C341" s="1150"/>
      <c r="D341" s="1150"/>
      <c r="E341" s="1150"/>
      <c r="F341" s="1150"/>
      <c r="G341" s="1150"/>
      <c r="H341" s="1150"/>
      <c r="I341" s="1150"/>
      <c r="J341" s="1158"/>
    </row>
    <row r="342" spans="1:10" ht="15">
      <c r="A342" s="1150"/>
      <c r="B342" s="1150"/>
      <c r="C342" s="1150"/>
      <c r="D342" s="1150"/>
      <c r="E342" s="1150"/>
      <c r="F342" s="1150"/>
      <c r="G342" s="1150"/>
      <c r="H342" s="1150"/>
      <c r="I342" s="1150"/>
      <c r="J342" s="1158"/>
    </row>
    <row r="343" spans="1:10" ht="15">
      <c r="A343" s="1150"/>
      <c r="B343" s="1150"/>
      <c r="C343" s="1150"/>
      <c r="D343" s="1150"/>
      <c r="E343" s="1150"/>
      <c r="F343" s="1150"/>
      <c r="G343" s="1150"/>
      <c r="H343" s="1150"/>
      <c r="I343" s="1150"/>
      <c r="J343" s="1158"/>
    </row>
    <row r="344" spans="1:10" ht="15">
      <c r="A344" s="1150"/>
      <c r="B344" s="1150"/>
      <c r="C344" s="1150"/>
      <c r="D344" s="1150"/>
      <c r="E344" s="1150"/>
      <c r="F344" s="1150"/>
      <c r="G344" s="1150"/>
      <c r="H344" s="1150"/>
      <c r="I344" s="1150"/>
      <c r="J344" s="1158"/>
    </row>
    <row r="345" spans="1:10" ht="15">
      <c r="A345" s="1150"/>
      <c r="B345" s="1150"/>
      <c r="C345" s="1150"/>
      <c r="D345" s="1150"/>
      <c r="E345" s="1150"/>
      <c r="F345" s="1150"/>
      <c r="G345" s="1150"/>
      <c r="H345" s="1150"/>
      <c r="I345" s="1150"/>
      <c r="J345" s="1158"/>
    </row>
    <row r="346" spans="1:10" ht="15">
      <c r="A346" s="1150"/>
      <c r="B346" s="1150"/>
      <c r="C346" s="1150"/>
      <c r="D346" s="1150"/>
      <c r="E346" s="1150"/>
      <c r="F346" s="1150"/>
      <c r="G346" s="1150"/>
      <c r="H346" s="1150"/>
      <c r="I346" s="1150"/>
      <c r="J346" s="1158"/>
    </row>
    <row r="347" spans="1:10" ht="15">
      <c r="A347" s="1150"/>
      <c r="B347" s="1150"/>
      <c r="C347" s="1150"/>
      <c r="D347" s="1150"/>
      <c r="E347" s="1150"/>
      <c r="F347" s="1150"/>
      <c r="G347" s="1150"/>
      <c r="H347" s="1150"/>
      <c r="I347" s="1150"/>
      <c r="J347" s="1158"/>
    </row>
    <row r="348" spans="1:10" ht="15">
      <c r="A348" s="1150"/>
      <c r="B348" s="1150"/>
      <c r="C348" s="1150"/>
      <c r="D348" s="1150"/>
      <c r="E348" s="1150"/>
      <c r="F348" s="1150"/>
      <c r="G348" s="1150"/>
      <c r="H348" s="1150"/>
      <c r="I348" s="1150"/>
      <c r="J348" s="1158"/>
    </row>
    <row r="349" spans="1:10" ht="15">
      <c r="A349" s="1150"/>
      <c r="B349" s="1150"/>
      <c r="C349" s="1150"/>
      <c r="D349" s="1150"/>
      <c r="E349" s="1150"/>
      <c r="F349" s="1150"/>
      <c r="G349" s="1150"/>
      <c r="H349" s="1150"/>
      <c r="I349" s="1150"/>
      <c r="J349" s="1158"/>
    </row>
    <row r="350" spans="1:10" ht="15">
      <c r="A350" s="1150"/>
      <c r="B350" s="1150"/>
      <c r="C350" s="1150"/>
      <c r="D350" s="1150"/>
      <c r="E350" s="1150"/>
      <c r="F350" s="1150"/>
      <c r="G350" s="1150"/>
      <c r="H350" s="1150"/>
      <c r="I350" s="1150"/>
      <c r="J350" s="1158"/>
    </row>
    <row r="351" spans="1:10" ht="15">
      <c r="A351" s="1150"/>
      <c r="B351" s="1150"/>
      <c r="C351" s="1150"/>
      <c r="D351" s="1150"/>
      <c r="E351" s="1150"/>
      <c r="F351" s="1150"/>
      <c r="G351" s="1150"/>
      <c r="H351" s="1150"/>
      <c r="I351" s="1150"/>
      <c r="J351" s="1158"/>
    </row>
    <row r="352" spans="1:10" ht="15">
      <c r="A352" s="1150"/>
      <c r="B352" s="1150"/>
      <c r="C352" s="1150"/>
      <c r="D352" s="1150"/>
      <c r="E352" s="1150"/>
      <c r="F352" s="1150"/>
      <c r="G352" s="1150"/>
      <c r="H352" s="1150"/>
      <c r="I352" s="1150"/>
      <c r="J352" s="1158"/>
    </row>
    <row r="353" spans="1:10" ht="15">
      <c r="A353" s="1150"/>
      <c r="B353" s="1150"/>
      <c r="C353" s="1150"/>
      <c r="D353" s="1150"/>
      <c r="E353" s="1150"/>
      <c r="F353" s="1150"/>
      <c r="G353" s="1150"/>
      <c r="H353" s="1150"/>
      <c r="I353" s="1150"/>
      <c r="J353" s="1158"/>
    </row>
    <row r="354" spans="1:10" ht="15">
      <c r="A354" s="1150"/>
      <c r="B354" s="1150"/>
      <c r="C354" s="1150"/>
      <c r="D354" s="1150"/>
      <c r="E354" s="1150"/>
      <c r="F354" s="1150"/>
      <c r="G354" s="1150"/>
      <c r="H354" s="1150"/>
      <c r="I354" s="1150"/>
      <c r="J354" s="1158"/>
    </row>
    <row r="355" spans="1:10" ht="15">
      <c r="A355" s="1150"/>
      <c r="B355" s="1150"/>
      <c r="C355" s="1150"/>
      <c r="D355" s="1150"/>
      <c r="E355" s="1150"/>
      <c r="F355" s="1150"/>
      <c r="G355" s="1150"/>
      <c r="H355" s="1150"/>
      <c r="I355" s="1150"/>
      <c r="J355" s="1158"/>
    </row>
    <row r="356" spans="1:10" ht="15">
      <c r="A356" s="1150"/>
      <c r="B356" s="1150"/>
      <c r="C356" s="1150"/>
      <c r="D356" s="1150"/>
      <c r="E356" s="1150"/>
      <c r="F356" s="1150"/>
      <c r="G356" s="1150"/>
      <c r="H356" s="1150"/>
      <c r="I356" s="1150"/>
      <c r="J356" s="1158"/>
    </row>
    <row r="357" spans="1:10" ht="15">
      <c r="A357" s="1150"/>
      <c r="B357" s="1150"/>
      <c r="C357" s="1150"/>
      <c r="D357" s="1150"/>
      <c r="E357" s="1150"/>
      <c r="F357" s="1150"/>
      <c r="G357" s="1150"/>
      <c r="H357" s="1150"/>
      <c r="I357" s="1150"/>
      <c r="J357" s="1158"/>
    </row>
    <row r="358" spans="1:10" ht="15">
      <c r="A358" s="1150"/>
      <c r="B358" s="1150"/>
      <c r="C358" s="1150"/>
      <c r="D358" s="1150"/>
      <c r="E358" s="1150"/>
      <c r="F358" s="1150"/>
      <c r="G358" s="1150"/>
      <c r="H358" s="1150"/>
      <c r="I358" s="1150"/>
      <c r="J358" s="1158"/>
    </row>
    <row r="359" spans="1:10" ht="15">
      <c r="A359" s="1150"/>
      <c r="B359" s="1150"/>
      <c r="C359" s="1150"/>
      <c r="D359" s="1150"/>
      <c r="E359" s="1150"/>
      <c r="F359" s="1150"/>
      <c r="G359" s="1150"/>
      <c r="H359" s="1150"/>
      <c r="I359" s="1150"/>
      <c r="J359" s="1158"/>
    </row>
    <row r="360" spans="1:10" ht="15">
      <c r="A360" s="1150"/>
      <c r="B360" s="1150"/>
      <c r="C360" s="1150"/>
      <c r="D360" s="1150"/>
      <c r="E360" s="1150"/>
      <c r="F360" s="1150"/>
      <c r="G360" s="1150"/>
      <c r="H360" s="1150"/>
      <c r="I360" s="1150"/>
      <c r="J360" s="1158"/>
    </row>
    <row r="361" spans="1:10" ht="15">
      <c r="A361" s="1150"/>
      <c r="B361" s="1150"/>
      <c r="C361" s="1150"/>
      <c r="D361" s="1150"/>
      <c r="E361" s="1150"/>
      <c r="F361" s="1150"/>
      <c r="G361" s="1150"/>
      <c r="H361" s="1150"/>
      <c r="I361" s="1150"/>
      <c r="J361" s="1158"/>
    </row>
    <row r="362" spans="1:10" ht="15">
      <c r="A362" s="1150"/>
      <c r="B362" s="1150"/>
      <c r="C362" s="1150"/>
      <c r="D362" s="1150"/>
      <c r="E362" s="1150"/>
      <c r="F362" s="1150"/>
      <c r="G362" s="1150"/>
      <c r="H362" s="1150"/>
      <c r="I362" s="1150"/>
      <c r="J362" s="1158"/>
    </row>
    <row r="363" spans="1:10" ht="15">
      <c r="A363" s="1150"/>
      <c r="B363" s="1150"/>
      <c r="C363" s="1150"/>
      <c r="D363" s="1150"/>
      <c r="E363" s="1150"/>
      <c r="F363" s="1150"/>
      <c r="G363" s="1150"/>
      <c r="H363" s="1150"/>
      <c r="I363" s="1150"/>
      <c r="J363" s="1158"/>
    </row>
    <row r="364" spans="1:10" ht="15">
      <c r="A364" s="1150"/>
      <c r="B364" s="1150"/>
      <c r="C364" s="1150"/>
      <c r="D364" s="1150"/>
      <c r="E364" s="1150"/>
      <c r="F364" s="1150"/>
      <c r="G364" s="1150"/>
      <c r="H364" s="1150"/>
      <c r="I364" s="1150"/>
      <c r="J364" s="1158"/>
    </row>
    <row r="365" spans="1:10" ht="15">
      <c r="A365" s="1150"/>
      <c r="B365" s="1150"/>
      <c r="C365" s="1150"/>
      <c r="D365" s="1150"/>
      <c r="E365" s="1150"/>
      <c r="F365" s="1150"/>
      <c r="G365" s="1150"/>
      <c r="H365" s="1150"/>
      <c r="I365" s="1150"/>
      <c r="J365" s="1158"/>
    </row>
    <row r="366" spans="1:10" ht="15">
      <c r="A366" s="1150"/>
      <c r="B366" s="1150"/>
      <c r="C366" s="1150"/>
      <c r="D366" s="1150"/>
      <c r="E366" s="1150"/>
      <c r="F366" s="1150"/>
      <c r="G366" s="1150"/>
      <c r="H366" s="1150"/>
      <c r="I366" s="1150"/>
      <c r="J366" s="1158"/>
    </row>
    <row r="367" spans="1:10" ht="15">
      <c r="A367" s="1150"/>
      <c r="B367" s="1150"/>
      <c r="C367" s="1150"/>
      <c r="D367" s="1150"/>
      <c r="E367" s="1150"/>
      <c r="F367" s="1150"/>
      <c r="G367" s="1150"/>
      <c r="H367" s="1150"/>
      <c r="I367" s="1150"/>
      <c r="J367" s="1158"/>
    </row>
    <row r="368" spans="1:10" ht="15">
      <c r="A368" s="1150"/>
      <c r="B368" s="1150"/>
      <c r="C368" s="1150"/>
      <c r="D368" s="1150"/>
      <c r="E368" s="1150"/>
      <c r="F368" s="1150"/>
      <c r="G368" s="1150"/>
      <c r="H368" s="1150"/>
      <c r="I368" s="1150"/>
      <c r="J368" s="1158"/>
    </row>
    <row r="369" spans="1:10" ht="15">
      <c r="A369" s="1150"/>
      <c r="B369" s="1150"/>
      <c r="C369" s="1150"/>
      <c r="D369" s="1150"/>
      <c r="E369" s="1150"/>
      <c r="F369" s="1150"/>
      <c r="G369" s="1150"/>
      <c r="H369" s="1150"/>
      <c r="I369" s="1150"/>
      <c r="J369" s="1158"/>
    </row>
    <row r="370" spans="1:10" ht="15">
      <c r="A370" s="1150"/>
      <c r="B370" s="1150"/>
      <c r="C370" s="1150"/>
      <c r="D370" s="1150"/>
      <c r="E370" s="1150"/>
      <c r="F370" s="1150"/>
      <c r="G370" s="1150"/>
      <c r="H370" s="1150"/>
      <c r="I370" s="1150"/>
      <c r="J370" s="1158"/>
    </row>
    <row r="371" spans="1:10" ht="15">
      <c r="A371" s="1150"/>
      <c r="B371" s="1150"/>
      <c r="C371" s="1150"/>
      <c r="D371" s="1150"/>
      <c r="E371" s="1150"/>
      <c r="F371" s="1150"/>
      <c r="G371" s="1150"/>
      <c r="H371" s="1150"/>
      <c r="I371" s="1150"/>
      <c r="J371" s="1158"/>
    </row>
    <row r="372" spans="1:10" ht="15">
      <c r="A372" s="1150"/>
      <c r="B372" s="1150"/>
      <c r="C372" s="1150"/>
      <c r="D372" s="1150"/>
      <c r="E372" s="1150"/>
      <c r="F372" s="1150"/>
      <c r="G372" s="1150"/>
      <c r="H372" s="1150"/>
      <c r="I372" s="1150"/>
      <c r="J372" s="1158"/>
    </row>
    <row r="373" spans="1:10" ht="15">
      <c r="A373" s="1150"/>
      <c r="B373" s="1150"/>
      <c r="C373" s="1150"/>
      <c r="D373" s="1150"/>
      <c r="E373" s="1150"/>
      <c r="F373" s="1150"/>
      <c r="G373" s="1150"/>
      <c r="H373" s="1150"/>
      <c r="I373" s="1150"/>
      <c r="J373" s="1158"/>
    </row>
    <row r="374" spans="1:10" ht="15">
      <c r="A374" s="1150"/>
      <c r="B374" s="1150"/>
      <c r="C374" s="1150"/>
      <c r="D374" s="1150"/>
      <c r="E374" s="1150"/>
      <c r="F374" s="1150"/>
      <c r="G374" s="1150"/>
      <c r="H374" s="1150"/>
      <c r="I374" s="1150"/>
      <c r="J374" s="1158"/>
    </row>
    <row r="375" spans="1:10" ht="15">
      <c r="A375" s="1150"/>
      <c r="B375" s="1150"/>
      <c r="C375" s="1150"/>
      <c r="D375" s="1150"/>
      <c r="E375" s="1150"/>
      <c r="F375" s="1150"/>
      <c r="G375" s="1150"/>
      <c r="H375" s="1150"/>
      <c r="I375" s="1150"/>
      <c r="J375" s="1158"/>
    </row>
    <row r="376" spans="1:10" ht="15">
      <c r="A376" s="1150"/>
      <c r="B376" s="1150"/>
      <c r="C376" s="1150"/>
      <c r="D376" s="1150"/>
      <c r="E376" s="1150"/>
      <c r="F376" s="1150"/>
      <c r="G376" s="1150"/>
      <c r="H376" s="1150"/>
      <c r="I376" s="1150"/>
      <c r="J376" s="1158"/>
    </row>
    <row r="377" spans="1:10" ht="15">
      <c r="A377" s="1150"/>
      <c r="B377" s="1150"/>
      <c r="C377" s="1150"/>
      <c r="D377" s="1150"/>
      <c r="E377" s="1150"/>
      <c r="F377" s="1150"/>
      <c r="G377" s="1150"/>
      <c r="H377" s="1150"/>
      <c r="I377" s="1150"/>
      <c r="J377" s="1158"/>
    </row>
    <row r="378" spans="1:10" ht="15">
      <c r="A378" s="1150"/>
      <c r="B378" s="1150"/>
      <c r="C378" s="1150"/>
      <c r="D378" s="1150"/>
      <c r="E378" s="1150"/>
      <c r="F378" s="1150"/>
      <c r="G378" s="1150"/>
      <c r="H378" s="1150"/>
      <c r="I378" s="1150"/>
      <c r="J378" s="1158"/>
    </row>
    <row r="379" spans="1:10" ht="15">
      <c r="A379" s="1150"/>
      <c r="B379" s="1150"/>
      <c r="C379" s="1150"/>
      <c r="D379" s="1150"/>
      <c r="E379" s="1150"/>
      <c r="F379" s="1150"/>
      <c r="G379" s="1150"/>
      <c r="H379" s="1150"/>
      <c r="I379" s="1150"/>
      <c r="J379" s="1158"/>
    </row>
    <row r="380" spans="1:10" ht="15">
      <c r="A380" s="1150"/>
      <c r="B380" s="1150"/>
      <c r="C380" s="1150"/>
      <c r="D380" s="1150"/>
      <c r="E380" s="1150"/>
      <c r="F380" s="1150"/>
      <c r="G380" s="1150"/>
      <c r="H380" s="1150"/>
      <c r="I380" s="1150"/>
      <c r="J380" s="1158"/>
    </row>
    <row r="381" spans="1:10" ht="15">
      <c r="A381" s="1150"/>
      <c r="B381" s="1150"/>
      <c r="C381" s="1150"/>
      <c r="D381" s="1150"/>
      <c r="E381" s="1150"/>
      <c r="F381" s="1150"/>
      <c r="G381" s="1150"/>
      <c r="H381" s="1150"/>
      <c r="I381" s="1150"/>
      <c r="J381" s="1158"/>
    </row>
    <row r="382" spans="1:10" ht="15">
      <c r="A382" s="1150"/>
      <c r="B382" s="1150"/>
      <c r="C382" s="1150"/>
      <c r="D382" s="1150"/>
      <c r="E382" s="1150"/>
      <c r="F382" s="1150"/>
      <c r="G382" s="1150"/>
      <c r="H382" s="1150"/>
      <c r="I382" s="1150"/>
      <c r="J382" s="1158"/>
    </row>
    <row r="383" spans="1:10" ht="15">
      <c r="A383" s="1150"/>
      <c r="B383" s="1150"/>
      <c r="C383" s="1150"/>
      <c r="D383" s="1150"/>
      <c r="E383" s="1150"/>
      <c r="F383" s="1150"/>
      <c r="G383" s="1150"/>
      <c r="H383" s="1150"/>
      <c r="I383" s="1150"/>
      <c r="J383" s="1158"/>
    </row>
    <row r="384" spans="1:10" ht="15">
      <c r="A384" s="1150"/>
      <c r="B384" s="1150"/>
      <c r="C384" s="1150"/>
      <c r="D384" s="1150"/>
      <c r="E384" s="1150"/>
      <c r="F384" s="1150"/>
      <c r="G384" s="1150"/>
      <c r="H384" s="1150"/>
      <c r="I384" s="1150"/>
      <c r="J384" s="1158"/>
    </row>
    <row r="385" spans="1:10" ht="15">
      <c r="A385" s="1150"/>
      <c r="B385" s="1150"/>
      <c r="C385" s="1150"/>
      <c r="D385" s="1150"/>
      <c r="E385" s="1150"/>
      <c r="F385" s="1150"/>
      <c r="G385" s="1150"/>
      <c r="H385" s="1150"/>
      <c r="I385" s="1150"/>
      <c r="J385" s="1158"/>
    </row>
    <row r="386" spans="1:10" ht="15">
      <c r="A386" s="1150"/>
      <c r="B386" s="1150"/>
      <c r="C386" s="1150"/>
      <c r="D386" s="1150"/>
      <c r="E386" s="1150"/>
      <c r="F386" s="1150"/>
      <c r="G386" s="1150"/>
      <c r="H386" s="1150"/>
      <c r="I386" s="1150"/>
      <c r="J386" s="1158"/>
    </row>
    <row r="387" spans="1:10" ht="15">
      <c r="A387" s="1150"/>
      <c r="B387" s="1150"/>
      <c r="C387" s="1150"/>
      <c r="D387" s="1150"/>
      <c r="E387" s="1150"/>
      <c r="F387" s="1150"/>
      <c r="G387" s="1150"/>
      <c r="H387" s="1150"/>
      <c r="I387" s="1150"/>
      <c r="J387" s="1158"/>
    </row>
    <row r="388" spans="1:10" ht="15">
      <c r="A388" s="1150"/>
      <c r="B388" s="1150"/>
      <c r="C388" s="1150"/>
      <c r="D388" s="1150"/>
      <c r="E388" s="1150"/>
      <c r="F388" s="1150"/>
      <c r="G388" s="1150"/>
      <c r="H388" s="1150"/>
      <c r="I388" s="1150"/>
      <c r="J388" s="1158"/>
    </row>
    <row r="389" spans="1:10" ht="15">
      <c r="A389" s="1150"/>
      <c r="B389" s="1150"/>
      <c r="C389" s="1150"/>
      <c r="D389" s="1150"/>
      <c r="E389" s="1150"/>
      <c r="F389" s="1150"/>
      <c r="G389" s="1150"/>
      <c r="H389" s="1150"/>
      <c r="I389" s="1150"/>
      <c r="J389" s="1158"/>
    </row>
    <row r="390" spans="1:10" ht="15">
      <c r="A390" s="1150"/>
      <c r="B390" s="1150"/>
      <c r="C390" s="1150"/>
      <c r="D390" s="1150"/>
      <c r="E390" s="1150"/>
      <c r="F390" s="1150"/>
      <c r="G390" s="1150"/>
      <c r="H390" s="1150"/>
      <c r="I390" s="1150"/>
      <c r="J390" s="1158"/>
    </row>
    <row r="391" spans="1:10" ht="15">
      <c r="A391" s="1150"/>
      <c r="B391" s="1150"/>
      <c r="C391" s="1150"/>
      <c r="D391" s="1150"/>
      <c r="E391" s="1150"/>
      <c r="F391" s="1150"/>
      <c r="G391" s="1150"/>
      <c r="H391" s="1150"/>
      <c r="I391" s="1150"/>
      <c r="J391" s="1158"/>
    </row>
    <row r="392" spans="1:10" ht="15">
      <c r="A392" s="1150"/>
      <c r="B392" s="1150"/>
      <c r="C392" s="1150"/>
      <c r="D392" s="1150"/>
      <c r="E392" s="1150"/>
      <c r="F392" s="1150"/>
      <c r="G392" s="1150"/>
      <c r="H392" s="1150"/>
      <c r="I392" s="1150"/>
      <c r="J392" s="1158"/>
    </row>
    <row r="393" spans="1:10" ht="15">
      <c r="A393" s="1150"/>
      <c r="B393" s="1150"/>
      <c r="C393" s="1150"/>
      <c r="D393" s="1150"/>
      <c r="E393" s="1150"/>
      <c r="F393" s="1150"/>
      <c r="G393" s="1150"/>
      <c r="H393" s="1150"/>
      <c r="I393" s="1150"/>
      <c r="J393" s="1158"/>
    </row>
    <row r="394" spans="1:10" ht="15">
      <c r="A394" s="1150"/>
      <c r="B394" s="1150"/>
      <c r="C394" s="1150"/>
      <c r="D394" s="1150"/>
      <c r="E394" s="1150"/>
      <c r="F394" s="1150"/>
      <c r="G394" s="1150"/>
      <c r="H394" s="1150"/>
      <c r="I394" s="1150"/>
      <c r="J394" s="1158"/>
    </row>
    <row r="395" spans="1:10" ht="15">
      <c r="A395" s="1150"/>
      <c r="B395" s="1150"/>
      <c r="C395" s="1150"/>
      <c r="D395" s="1150"/>
      <c r="E395" s="1150"/>
      <c r="F395" s="1150"/>
      <c r="G395" s="1150"/>
      <c r="H395" s="1150"/>
      <c r="I395" s="1150"/>
      <c r="J395" s="1158"/>
    </row>
    <row r="396" spans="1:10" ht="15">
      <c r="A396" s="1150"/>
      <c r="B396" s="1150"/>
      <c r="C396" s="1150"/>
      <c r="D396" s="1150"/>
      <c r="E396" s="1150"/>
      <c r="F396" s="1150"/>
      <c r="G396" s="1150"/>
      <c r="H396" s="1150"/>
      <c r="I396" s="1150"/>
      <c r="J396" s="1158"/>
    </row>
    <row r="397" spans="1:10" ht="15">
      <c r="A397" s="1150"/>
      <c r="B397" s="1150"/>
      <c r="C397" s="1150"/>
      <c r="D397" s="1150"/>
      <c r="E397" s="1150"/>
      <c r="F397" s="1150"/>
      <c r="G397" s="1150"/>
      <c r="H397" s="1150"/>
      <c r="I397" s="1150"/>
      <c r="J397" s="1158"/>
    </row>
    <row r="398" spans="1:10" ht="15">
      <c r="A398" s="1150"/>
      <c r="B398" s="1150"/>
      <c r="C398" s="1150"/>
      <c r="D398" s="1150"/>
      <c r="E398" s="1150"/>
      <c r="F398" s="1150"/>
      <c r="G398" s="1150"/>
      <c r="H398" s="1150"/>
      <c r="I398" s="1150"/>
      <c r="J398" s="1158"/>
    </row>
    <row r="399" spans="1:10" ht="15">
      <c r="A399" s="1150"/>
      <c r="B399" s="1150"/>
      <c r="C399" s="1150"/>
      <c r="D399" s="1150"/>
      <c r="E399" s="1150"/>
      <c r="F399" s="1150"/>
      <c r="G399" s="1150"/>
      <c r="H399" s="1150"/>
      <c r="I399" s="1150"/>
      <c r="J399" s="1158"/>
    </row>
    <row r="400" spans="1:10" ht="15">
      <c r="A400" s="1150"/>
      <c r="B400" s="1150"/>
      <c r="C400" s="1150"/>
      <c r="D400" s="1150"/>
      <c r="E400" s="1150"/>
      <c r="F400" s="1150"/>
      <c r="G400" s="1150"/>
      <c r="H400" s="1150"/>
      <c r="I400" s="1150"/>
      <c r="J400" s="1158"/>
    </row>
    <row r="401" spans="1:10" ht="15">
      <c r="A401" s="1150"/>
      <c r="B401" s="1150"/>
      <c r="C401" s="1150"/>
      <c r="D401" s="1150"/>
      <c r="E401" s="1150"/>
      <c r="F401" s="1150"/>
      <c r="G401" s="1150"/>
      <c r="H401" s="1150"/>
      <c r="I401" s="1150"/>
      <c r="J401" s="1158"/>
    </row>
    <row r="402" spans="1:10" ht="15">
      <c r="A402" s="1150"/>
      <c r="B402" s="1150"/>
      <c r="C402" s="1150"/>
      <c r="D402" s="1150"/>
      <c r="E402" s="1150"/>
      <c r="F402" s="1150"/>
      <c r="G402" s="1150"/>
      <c r="H402" s="1150"/>
      <c r="I402" s="1150"/>
      <c r="J402" s="1158"/>
    </row>
    <row r="403" spans="1:10" ht="15">
      <c r="A403" s="1150"/>
      <c r="B403" s="1150"/>
      <c r="C403" s="1150"/>
      <c r="D403" s="1150"/>
      <c r="E403" s="1150"/>
      <c r="F403" s="1150"/>
      <c r="G403" s="1150"/>
      <c r="H403" s="1150"/>
      <c r="I403" s="1150"/>
      <c r="J403" s="1158"/>
    </row>
    <row r="404" spans="1:10" ht="15">
      <c r="A404" s="1150"/>
      <c r="B404" s="1150"/>
      <c r="C404" s="1150"/>
      <c r="D404" s="1150"/>
      <c r="E404" s="1150"/>
      <c r="F404" s="1150"/>
      <c r="G404" s="1150"/>
      <c r="H404" s="1150"/>
      <c r="I404" s="1150"/>
      <c r="J404" s="1158"/>
    </row>
    <row r="405" spans="1:10" ht="15">
      <c r="A405" s="1150"/>
      <c r="B405" s="1150"/>
      <c r="C405" s="1150"/>
      <c r="D405" s="1150"/>
      <c r="E405" s="1150"/>
      <c r="F405" s="1150"/>
      <c r="G405" s="1150"/>
      <c r="H405" s="1150"/>
      <c r="I405" s="1150"/>
      <c r="J405" s="1158"/>
    </row>
    <row r="406" spans="1:10" ht="15">
      <c r="A406" s="1150"/>
      <c r="B406" s="1150"/>
      <c r="C406" s="1150"/>
      <c r="D406" s="1150"/>
      <c r="E406" s="1150"/>
      <c r="F406" s="1150"/>
      <c r="G406" s="1150"/>
      <c r="H406" s="1150"/>
      <c r="I406" s="1150"/>
      <c r="J406" s="1158"/>
    </row>
    <row r="407" spans="1:10" ht="15">
      <c r="A407" s="1150"/>
      <c r="B407" s="1150"/>
      <c r="C407" s="1150"/>
      <c r="D407" s="1150"/>
      <c r="E407" s="1150"/>
      <c r="F407" s="1150"/>
      <c r="G407" s="1150"/>
      <c r="H407" s="1150"/>
      <c r="I407" s="1150"/>
      <c r="J407" s="1158"/>
    </row>
    <row r="408" spans="1:10" ht="15">
      <c r="A408" s="1150"/>
      <c r="B408" s="1150"/>
      <c r="C408" s="1150"/>
      <c r="D408" s="1150"/>
      <c r="E408" s="1150"/>
      <c r="F408" s="1150"/>
      <c r="G408" s="1150"/>
      <c r="H408" s="1150"/>
      <c r="I408" s="1150"/>
      <c r="J408" s="1158"/>
    </row>
    <row r="409" spans="1:10" ht="15">
      <c r="A409" s="1150"/>
      <c r="B409" s="1150"/>
      <c r="C409" s="1150"/>
      <c r="D409" s="1150"/>
      <c r="E409" s="1150"/>
      <c r="F409" s="1150"/>
      <c r="G409" s="1150"/>
      <c r="H409" s="1150"/>
      <c r="I409" s="1150"/>
      <c r="J409" s="1158"/>
    </row>
    <row r="410" spans="1:10" ht="15">
      <c r="A410" s="1150"/>
      <c r="B410" s="1150"/>
      <c r="C410" s="1150"/>
      <c r="D410" s="1150"/>
      <c r="E410" s="1150"/>
      <c r="F410" s="1150"/>
      <c r="G410" s="1150"/>
      <c r="H410" s="1150"/>
      <c r="I410" s="1150"/>
      <c r="J410" s="1158"/>
    </row>
    <row r="411" spans="1:10" ht="15">
      <c r="A411" s="1150"/>
      <c r="B411" s="1150"/>
      <c r="C411" s="1150"/>
      <c r="D411" s="1150"/>
      <c r="E411" s="1150"/>
      <c r="F411" s="1150"/>
      <c r="G411" s="1150"/>
      <c r="H411" s="1150"/>
      <c r="I411" s="1150"/>
      <c r="J411" s="1158"/>
    </row>
    <row r="412" spans="1:10" ht="15">
      <c r="A412" s="1150"/>
      <c r="B412" s="1150"/>
      <c r="C412" s="1150"/>
      <c r="D412" s="1150"/>
      <c r="E412" s="1150"/>
      <c r="F412" s="1150"/>
      <c r="G412" s="1150"/>
      <c r="H412" s="1150"/>
      <c r="I412" s="1150"/>
      <c r="J412" s="1158"/>
    </row>
    <row r="413" spans="1:10" ht="15">
      <c r="A413" s="1150"/>
      <c r="B413" s="1150"/>
      <c r="C413" s="1150"/>
      <c r="D413" s="1150"/>
      <c r="E413" s="1150"/>
      <c r="F413" s="1150"/>
      <c r="G413" s="1150"/>
      <c r="H413" s="1150"/>
      <c r="I413" s="1150"/>
      <c r="J413" s="1158"/>
    </row>
    <row r="414" spans="1:10" ht="15">
      <c r="A414" s="1150"/>
      <c r="B414" s="1150"/>
      <c r="C414" s="1150"/>
      <c r="D414" s="1150"/>
      <c r="E414" s="1150"/>
      <c r="F414" s="1150"/>
      <c r="G414" s="1150"/>
      <c r="H414" s="1150"/>
      <c r="I414" s="1150"/>
      <c r="J414" s="1158"/>
    </row>
    <row r="415" spans="1:10" ht="15">
      <c r="A415" s="1150"/>
      <c r="B415" s="1150"/>
      <c r="C415" s="1150"/>
      <c r="D415" s="1150"/>
      <c r="E415" s="1150"/>
      <c r="F415" s="1150"/>
      <c r="G415" s="1150"/>
      <c r="H415" s="1150"/>
      <c r="I415" s="1150"/>
      <c r="J415" s="1158"/>
    </row>
    <row r="416" spans="1:10" ht="15">
      <c r="A416" s="1150"/>
      <c r="B416" s="1150"/>
      <c r="C416" s="1150"/>
      <c r="D416" s="1150"/>
      <c r="E416" s="1150"/>
      <c r="F416" s="1150"/>
      <c r="G416" s="1150"/>
      <c r="H416" s="1150"/>
      <c r="I416" s="1150"/>
      <c r="J416" s="1158"/>
    </row>
    <row r="417" spans="1:10" ht="15">
      <c r="A417" s="1150"/>
      <c r="B417" s="1150"/>
      <c r="C417" s="1150"/>
      <c r="D417" s="1150"/>
      <c r="E417" s="1150"/>
      <c r="F417" s="1150"/>
      <c r="G417" s="1150"/>
      <c r="H417" s="1150"/>
      <c r="I417" s="1150"/>
      <c r="J417" s="1158"/>
    </row>
    <row r="418" spans="1:10" ht="15">
      <c r="A418" s="1150"/>
      <c r="B418" s="1150"/>
      <c r="C418" s="1150"/>
      <c r="D418" s="1150"/>
      <c r="E418" s="1150"/>
      <c r="F418" s="1150"/>
      <c r="G418" s="1150"/>
      <c r="H418" s="1150"/>
      <c r="I418" s="1150"/>
      <c r="J418" s="1158"/>
    </row>
    <row r="419" spans="1:10" ht="15">
      <c r="A419" s="1150"/>
      <c r="B419" s="1150"/>
      <c r="C419" s="1150"/>
      <c r="D419" s="1150"/>
      <c r="E419" s="1150"/>
      <c r="F419" s="1150"/>
      <c r="G419" s="1150"/>
      <c r="H419" s="1150"/>
      <c r="I419" s="1150"/>
      <c r="J419" s="1158"/>
    </row>
    <row r="420" spans="1:10" ht="15">
      <c r="A420" s="1150"/>
      <c r="B420" s="1150"/>
      <c r="C420" s="1150"/>
      <c r="D420" s="1150"/>
      <c r="E420" s="1150"/>
      <c r="F420" s="1150"/>
      <c r="G420" s="1150"/>
      <c r="H420" s="1150"/>
      <c r="I420" s="1150"/>
      <c r="J420" s="1158"/>
    </row>
    <row r="421" spans="1:10" ht="15">
      <c r="A421" s="1150"/>
      <c r="B421" s="1150"/>
      <c r="C421" s="1150"/>
      <c r="D421" s="1150"/>
      <c r="E421" s="1150"/>
      <c r="F421" s="1150"/>
      <c r="G421" s="1150"/>
      <c r="H421" s="1150"/>
      <c r="I421" s="1150"/>
      <c r="J421" s="1158"/>
    </row>
    <row r="422" spans="1:10" ht="15">
      <c r="A422" s="1150"/>
      <c r="B422" s="1150"/>
      <c r="C422" s="1150"/>
      <c r="D422" s="1150"/>
      <c r="E422" s="1150"/>
      <c r="F422" s="1150"/>
      <c r="G422" s="1150"/>
      <c r="H422" s="1150"/>
      <c r="I422" s="1150"/>
      <c r="J422" s="1158"/>
    </row>
    <row r="423" spans="1:10" ht="15">
      <c r="A423" s="1150"/>
      <c r="B423" s="1150"/>
      <c r="C423" s="1150"/>
      <c r="D423" s="1150"/>
      <c r="E423" s="1150"/>
      <c r="F423" s="1150"/>
      <c r="G423" s="1150"/>
      <c r="H423" s="1150"/>
      <c r="I423" s="1150"/>
      <c r="J423" s="1158"/>
    </row>
    <row r="424" spans="1:10" ht="15">
      <c r="A424" s="1150"/>
      <c r="B424" s="1150"/>
      <c r="C424" s="1150"/>
      <c r="D424" s="1150"/>
      <c r="E424" s="1150"/>
      <c r="F424" s="1150"/>
      <c r="G424" s="1150"/>
      <c r="H424" s="1150"/>
      <c r="I424" s="1150"/>
      <c r="J424" s="1158"/>
    </row>
    <row r="425" spans="1:10" ht="15">
      <c r="A425" s="1150"/>
      <c r="B425" s="1150"/>
      <c r="C425" s="1150"/>
      <c r="D425" s="1150"/>
      <c r="E425" s="1150"/>
      <c r="F425" s="1150"/>
      <c r="G425" s="1150"/>
      <c r="H425" s="1150"/>
      <c r="I425" s="1150"/>
      <c r="J425" s="1158"/>
    </row>
    <row r="426" spans="1:10" ht="15">
      <c r="A426" s="1150"/>
      <c r="B426" s="1150"/>
      <c r="C426" s="1150"/>
      <c r="D426" s="1150"/>
      <c r="E426" s="1150"/>
      <c r="F426" s="1150"/>
      <c r="G426" s="1150"/>
      <c r="H426" s="1150"/>
      <c r="I426" s="1150"/>
      <c r="J426" s="1158"/>
    </row>
    <row r="427" spans="1:10" ht="15">
      <c r="A427" s="1150"/>
      <c r="B427" s="1150"/>
      <c r="C427" s="1150"/>
      <c r="D427" s="1150"/>
      <c r="E427" s="1150"/>
      <c r="F427" s="1150"/>
      <c r="G427" s="1150"/>
      <c r="H427" s="1150"/>
      <c r="I427" s="1150"/>
      <c r="J427" s="1158"/>
    </row>
    <row r="428" spans="1:10" ht="15">
      <c r="A428" s="1150"/>
      <c r="B428" s="1150"/>
      <c r="C428" s="1150"/>
      <c r="D428" s="1150"/>
      <c r="E428" s="1150"/>
      <c r="F428" s="1150"/>
      <c r="G428" s="1150"/>
      <c r="H428" s="1150"/>
      <c r="I428" s="1150"/>
      <c r="J428" s="1158"/>
    </row>
    <row r="429" spans="1:10" ht="15">
      <c r="A429" s="1150"/>
      <c r="B429" s="1150"/>
      <c r="C429" s="1150"/>
      <c r="D429" s="1150"/>
      <c r="E429" s="1150"/>
      <c r="F429" s="1150"/>
      <c r="G429" s="1150"/>
      <c r="H429" s="1150"/>
      <c r="I429" s="1150"/>
      <c r="J429" s="1158"/>
    </row>
    <row r="430" spans="1:10" ht="15">
      <c r="A430" s="1150"/>
      <c r="B430" s="1150"/>
      <c r="C430" s="1150"/>
      <c r="D430" s="1150"/>
      <c r="E430" s="1150"/>
      <c r="F430" s="1150"/>
      <c r="G430" s="1150"/>
      <c r="H430" s="1150"/>
      <c r="I430" s="1150"/>
      <c r="J430" s="1158"/>
    </row>
    <row r="431" spans="1:10" ht="15">
      <c r="A431" s="1150"/>
      <c r="B431" s="1150"/>
      <c r="C431" s="1150"/>
      <c r="D431" s="1150"/>
      <c r="E431" s="1150"/>
      <c r="F431" s="1150"/>
      <c r="G431" s="1150"/>
      <c r="H431" s="1150"/>
      <c r="I431" s="1150"/>
      <c r="J431" s="1158"/>
    </row>
    <row r="432" spans="1:10" ht="15">
      <c r="A432" s="1150"/>
      <c r="B432" s="1150"/>
      <c r="C432" s="1150"/>
      <c r="D432" s="1150"/>
      <c r="E432" s="1150"/>
      <c r="F432" s="1150"/>
      <c r="G432" s="1150"/>
      <c r="H432" s="1150"/>
      <c r="I432" s="1150"/>
      <c r="J432" s="1158"/>
    </row>
    <row r="433" spans="1:10" ht="15">
      <c r="A433" s="1150"/>
      <c r="B433" s="1150"/>
      <c r="C433" s="1150"/>
      <c r="D433" s="1150"/>
      <c r="E433" s="1150"/>
      <c r="F433" s="1150"/>
      <c r="G433" s="1150"/>
      <c r="H433" s="1150"/>
      <c r="I433" s="1150"/>
      <c r="J433" s="1158"/>
    </row>
    <row r="434" spans="1:10" ht="15">
      <c r="A434" s="1150"/>
      <c r="B434" s="1150"/>
      <c r="C434" s="1150"/>
      <c r="D434" s="1150"/>
      <c r="E434" s="1150"/>
      <c r="F434" s="1150"/>
      <c r="G434" s="1150"/>
      <c r="H434" s="1150"/>
      <c r="I434" s="1150"/>
      <c r="J434" s="1158"/>
    </row>
    <row r="435" spans="1:10" ht="15">
      <c r="A435" s="1150"/>
      <c r="B435" s="1150"/>
      <c r="C435" s="1150"/>
      <c r="D435" s="1150"/>
      <c r="E435" s="1150"/>
      <c r="F435" s="1150"/>
      <c r="G435" s="1150"/>
      <c r="H435" s="1150"/>
      <c r="I435" s="1150"/>
      <c r="J435" s="1158"/>
    </row>
    <row r="436" spans="1:10" ht="15">
      <c r="A436" s="1150"/>
      <c r="B436" s="1150"/>
      <c r="C436" s="1150"/>
      <c r="D436" s="1150"/>
      <c r="E436" s="1150"/>
      <c r="F436" s="1150"/>
      <c r="G436" s="1150"/>
      <c r="H436" s="1150"/>
      <c r="I436" s="1150"/>
      <c r="J436" s="1158"/>
    </row>
    <row r="437" spans="1:10" ht="15">
      <c r="A437" s="1150"/>
      <c r="B437" s="1150"/>
      <c r="C437" s="1150"/>
      <c r="D437" s="1150"/>
      <c r="E437" s="1150"/>
      <c r="F437" s="1150"/>
      <c r="G437" s="1150"/>
      <c r="H437" s="1150"/>
      <c r="I437" s="1150"/>
      <c r="J437" s="1158"/>
    </row>
    <row r="438" spans="1:10" ht="15">
      <c r="A438" s="1150"/>
      <c r="B438" s="1150"/>
      <c r="C438" s="1150"/>
      <c r="D438" s="1150"/>
      <c r="E438" s="1150"/>
      <c r="F438" s="1150"/>
      <c r="G438" s="1150"/>
      <c r="H438" s="1150"/>
      <c r="I438" s="1150"/>
      <c r="J438" s="1158"/>
    </row>
    <row r="439" spans="1:10" ht="15">
      <c r="A439" s="1150"/>
      <c r="B439" s="1150"/>
      <c r="C439" s="1150"/>
      <c r="D439" s="1150"/>
      <c r="E439" s="1150"/>
      <c r="F439" s="1150"/>
      <c r="G439" s="1150"/>
      <c r="H439" s="1150"/>
      <c r="I439" s="1150"/>
      <c r="J439" s="1158"/>
    </row>
    <row r="440" spans="1:10" ht="15">
      <c r="A440" s="1150"/>
      <c r="B440" s="1150"/>
      <c r="C440" s="1150"/>
      <c r="D440" s="1150"/>
      <c r="E440" s="1150"/>
      <c r="F440" s="1150"/>
      <c r="G440" s="1150"/>
      <c r="H440" s="1150"/>
      <c r="I440" s="1150"/>
      <c r="J440" s="1158"/>
    </row>
    <row r="441" spans="1:10" ht="15">
      <c r="A441" s="1150"/>
      <c r="B441" s="1150"/>
      <c r="C441" s="1150"/>
      <c r="D441" s="1150"/>
      <c r="E441" s="1150"/>
      <c r="F441" s="1150"/>
      <c r="G441" s="1150"/>
      <c r="H441" s="1150"/>
      <c r="I441" s="1150"/>
      <c r="J441" s="1158"/>
    </row>
    <row r="442" spans="1:10" ht="15">
      <c r="A442" s="1150"/>
      <c r="B442" s="1150"/>
      <c r="C442" s="1150"/>
      <c r="D442" s="1150"/>
      <c r="E442" s="1150"/>
      <c r="F442" s="1150"/>
      <c r="G442" s="1150"/>
      <c r="H442" s="1150"/>
      <c r="I442" s="1150"/>
      <c r="J442" s="1158"/>
    </row>
    <row r="443" spans="1:10" ht="15">
      <c r="A443" s="1150"/>
      <c r="B443" s="1150"/>
      <c r="C443" s="1150"/>
      <c r="D443" s="1150"/>
      <c r="E443" s="1150"/>
      <c r="F443" s="1150"/>
      <c r="G443" s="1150"/>
      <c r="H443" s="1150"/>
      <c r="I443" s="1150"/>
      <c r="J443" s="1158"/>
    </row>
    <row r="444" spans="1:10" ht="15">
      <c r="A444" s="1150"/>
      <c r="B444" s="1150"/>
      <c r="C444" s="1150"/>
      <c r="D444" s="1150"/>
      <c r="E444" s="1150"/>
      <c r="F444" s="1150"/>
      <c r="G444" s="1150"/>
      <c r="H444" s="1150"/>
      <c r="I444" s="1150"/>
      <c r="J444" s="1158"/>
    </row>
    <row r="445" spans="1:10" ht="15">
      <c r="A445" s="1150"/>
      <c r="B445" s="1150"/>
      <c r="C445" s="1150"/>
      <c r="D445" s="1150"/>
      <c r="E445" s="1150"/>
      <c r="F445" s="1150"/>
      <c r="G445" s="1150"/>
      <c r="H445" s="1150"/>
      <c r="I445" s="1150"/>
      <c r="J445" s="1158"/>
    </row>
    <row r="446" spans="1:10" ht="15">
      <c r="A446" s="1150"/>
      <c r="B446" s="1150"/>
      <c r="C446" s="1150"/>
      <c r="D446" s="1150"/>
      <c r="E446" s="1150"/>
      <c r="F446" s="1150"/>
      <c r="G446" s="1150"/>
      <c r="H446" s="1150"/>
      <c r="I446" s="1150"/>
      <c r="J446" s="1158"/>
    </row>
    <row r="447" spans="1:10" ht="15">
      <c r="A447" s="1150"/>
      <c r="B447" s="1150"/>
      <c r="C447" s="1150"/>
      <c r="D447" s="1150"/>
      <c r="E447" s="1150"/>
      <c r="F447" s="1150"/>
      <c r="G447" s="1150"/>
      <c r="H447" s="1150"/>
      <c r="I447" s="1150"/>
      <c r="J447" s="1158"/>
    </row>
    <row r="448" spans="1:10" ht="15">
      <c r="A448" s="1150"/>
      <c r="B448" s="1150"/>
      <c r="C448" s="1150"/>
      <c r="D448" s="1150"/>
      <c r="E448" s="1150"/>
      <c r="F448" s="1150"/>
      <c r="G448" s="1150"/>
      <c r="H448" s="1150"/>
      <c r="I448" s="1150"/>
      <c r="J448" s="1158"/>
    </row>
    <row r="449" spans="1:10" ht="15">
      <c r="A449" s="1150"/>
      <c r="B449" s="1150"/>
      <c r="C449" s="1150"/>
      <c r="D449" s="1150"/>
      <c r="E449" s="1150"/>
      <c r="F449" s="1150"/>
      <c r="G449" s="1150"/>
      <c r="H449" s="1150"/>
      <c r="I449" s="1150"/>
      <c r="J449" s="1158"/>
    </row>
    <row r="450" spans="1:10" ht="15">
      <c r="A450" s="1150"/>
      <c r="B450" s="1150"/>
      <c r="C450" s="1150"/>
      <c r="D450" s="1150"/>
      <c r="E450" s="1150"/>
      <c r="F450" s="1150"/>
      <c r="G450" s="1150"/>
      <c r="H450" s="1150"/>
      <c r="I450" s="1150"/>
      <c r="J450" s="1158"/>
    </row>
    <row r="451" spans="1:10" ht="15">
      <c r="A451" s="1150"/>
      <c r="B451" s="1150"/>
      <c r="C451" s="1150"/>
      <c r="D451" s="1150"/>
      <c r="E451" s="1150"/>
      <c r="F451" s="1150"/>
      <c r="G451" s="1150"/>
      <c r="H451" s="1150"/>
      <c r="I451" s="1150"/>
      <c r="J451" s="1158"/>
    </row>
    <row r="452" spans="1:10" ht="15">
      <c r="A452" s="1150"/>
      <c r="B452" s="1150"/>
      <c r="C452" s="1150"/>
      <c r="D452" s="1150"/>
      <c r="E452" s="1150"/>
      <c r="F452" s="1150"/>
      <c r="G452" s="1150"/>
      <c r="H452" s="1150"/>
      <c r="I452" s="1150"/>
      <c r="J452" s="1158"/>
    </row>
    <row r="453" spans="1:10" ht="15">
      <c r="A453" s="1150"/>
      <c r="B453" s="1150"/>
      <c r="C453" s="1150"/>
      <c r="D453" s="1150"/>
      <c r="E453" s="1150"/>
      <c r="F453" s="1150"/>
      <c r="G453" s="1150"/>
      <c r="H453" s="1150"/>
      <c r="I453" s="1150"/>
      <c r="J453" s="1158"/>
    </row>
    <row r="454" spans="1:10" ht="15">
      <c r="A454" s="1150"/>
      <c r="B454" s="1150"/>
      <c r="C454" s="1150"/>
      <c r="D454" s="1150"/>
      <c r="E454" s="1150"/>
      <c r="F454" s="1150"/>
      <c r="G454" s="1150"/>
      <c r="H454" s="1150"/>
      <c r="I454" s="1150"/>
      <c r="J454" s="1158"/>
    </row>
    <row r="455" spans="1:10" ht="15">
      <c r="A455" s="1150"/>
      <c r="B455" s="1150"/>
      <c r="C455" s="1150"/>
      <c r="D455" s="1150"/>
      <c r="E455" s="1150"/>
      <c r="F455" s="1150"/>
      <c r="G455" s="1150"/>
      <c r="H455" s="1150"/>
      <c r="I455" s="1150"/>
      <c r="J455" s="1158"/>
    </row>
    <row r="456" spans="1:10" ht="15">
      <c r="A456" s="1150"/>
      <c r="B456" s="1150"/>
      <c r="C456" s="1150"/>
      <c r="D456" s="1150"/>
      <c r="E456" s="1150"/>
      <c r="F456" s="1150"/>
      <c r="G456" s="1150"/>
      <c r="H456" s="1150"/>
      <c r="I456" s="1150"/>
      <c r="J456" s="1158"/>
    </row>
    <row r="457" spans="1:10" ht="15">
      <c r="A457" s="1150"/>
      <c r="B457" s="1150"/>
      <c r="C457" s="1150"/>
      <c r="D457" s="1150"/>
      <c r="E457" s="1150"/>
      <c r="F457" s="1150"/>
      <c r="G457" s="1150"/>
      <c r="H457" s="1150"/>
      <c r="I457" s="1150"/>
      <c r="J457" s="1158"/>
    </row>
    <row r="458" spans="1:10" ht="15">
      <c r="A458" s="1150"/>
      <c r="B458" s="1150"/>
      <c r="C458" s="1150"/>
      <c r="D458" s="1150"/>
      <c r="E458" s="1150"/>
      <c r="F458" s="1150"/>
      <c r="G458" s="1150"/>
      <c r="H458" s="1150"/>
      <c r="I458" s="1150"/>
      <c r="J458" s="1158"/>
    </row>
    <row r="459" spans="1:10" ht="15">
      <c r="A459" s="1150"/>
      <c r="B459" s="1150"/>
      <c r="C459" s="1150"/>
      <c r="D459" s="1150"/>
      <c r="E459" s="1150"/>
      <c r="F459" s="1150"/>
      <c r="G459" s="1150"/>
      <c r="H459" s="1150"/>
      <c r="I459" s="1150"/>
      <c r="J459" s="1158"/>
    </row>
    <row r="460" spans="1:10" ht="15">
      <c r="A460" s="1150"/>
      <c r="B460" s="1150"/>
      <c r="C460" s="1150"/>
      <c r="D460" s="1150"/>
      <c r="E460" s="1150"/>
      <c r="F460" s="1150"/>
      <c r="G460" s="1150"/>
      <c r="H460" s="1150"/>
      <c r="I460" s="1150"/>
      <c r="J460" s="1158"/>
    </row>
    <row r="461" spans="1:10" ht="15">
      <c r="A461" s="1150"/>
      <c r="B461" s="1150"/>
      <c r="C461" s="1150"/>
      <c r="D461" s="1150"/>
      <c r="E461" s="1150"/>
      <c r="F461" s="1150"/>
      <c r="G461" s="1150"/>
      <c r="H461" s="1150"/>
      <c r="I461" s="1150"/>
      <c r="J461" s="1158"/>
    </row>
    <row r="462" spans="1:10" ht="15">
      <c r="A462" s="1150"/>
      <c r="B462" s="1150"/>
      <c r="C462" s="1150"/>
      <c r="D462" s="1150"/>
      <c r="E462" s="1150"/>
      <c r="F462" s="1150"/>
      <c r="G462" s="1150"/>
      <c r="H462" s="1150"/>
      <c r="I462" s="1150"/>
      <c r="J462" s="1158"/>
    </row>
    <row r="463" spans="1:10" ht="15">
      <c r="A463" s="1150"/>
      <c r="B463" s="1150"/>
      <c r="C463" s="1150"/>
      <c r="D463" s="1150"/>
      <c r="E463" s="1150"/>
      <c r="F463" s="1150"/>
      <c r="G463" s="1150"/>
      <c r="H463" s="1150"/>
      <c r="I463" s="1150"/>
      <c r="J463" s="1158"/>
    </row>
    <row r="464" spans="1:10" ht="15">
      <c r="A464" s="1150"/>
      <c r="B464" s="1150"/>
      <c r="C464" s="1150"/>
      <c r="D464" s="1150"/>
      <c r="E464" s="1150"/>
      <c r="F464" s="1150"/>
      <c r="G464" s="1150"/>
      <c r="H464" s="1150"/>
      <c r="I464" s="1150"/>
      <c r="J464" s="1158"/>
    </row>
    <row r="465" spans="1:10" ht="15">
      <c r="A465" s="1150"/>
      <c r="B465" s="1150"/>
      <c r="C465" s="1150"/>
      <c r="D465" s="1150"/>
      <c r="E465" s="1150"/>
      <c r="F465" s="1150"/>
      <c r="G465" s="1150"/>
      <c r="H465" s="1150"/>
      <c r="I465" s="1150"/>
      <c r="J465" s="1158"/>
    </row>
    <row r="466" spans="1:10" ht="15">
      <c r="A466" s="1150"/>
      <c r="B466" s="1150"/>
      <c r="C466" s="1150"/>
      <c r="D466" s="1150"/>
      <c r="E466" s="1150"/>
      <c r="F466" s="1150"/>
      <c r="G466" s="1150"/>
      <c r="H466" s="1150"/>
      <c r="I466" s="1150"/>
      <c r="J466" s="1158"/>
    </row>
    <row r="467" spans="1:10" ht="15">
      <c r="A467" s="1150"/>
      <c r="B467" s="1150"/>
      <c r="C467" s="1150"/>
      <c r="D467" s="1150"/>
      <c r="E467" s="1150"/>
      <c r="F467" s="1150"/>
      <c r="G467" s="1150"/>
      <c r="H467" s="1150"/>
      <c r="I467" s="1150"/>
      <c r="J467" s="1158"/>
    </row>
    <row r="468" spans="1:10" ht="15">
      <c r="A468" s="1150"/>
      <c r="B468" s="1150"/>
      <c r="C468" s="1150"/>
      <c r="D468" s="1150"/>
      <c r="E468" s="1150"/>
      <c r="F468" s="1150"/>
      <c r="G468" s="1150"/>
      <c r="H468" s="1150"/>
      <c r="I468" s="1150"/>
      <c r="J468" s="1158"/>
    </row>
    <row r="469" spans="1:10" ht="15">
      <c r="A469" s="1150"/>
      <c r="B469" s="1150"/>
      <c r="C469" s="1150"/>
      <c r="D469" s="1150"/>
      <c r="E469" s="1150"/>
      <c r="F469" s="1150"/>
      <c r="G469" s="1150"/>
      <c r="H469" s="1150"/>
      <c r="I469" s="1150"/>
      <c r="J469" s="1158"/>
    </row>
    <row r="470" spans="1:10" ht="15">
      <c r="A470" s="1150"/>
      <c r="B470" s="1150"/>
      <c r="C470" s="1150"/>
      <c r="D470" s="1150"/>
      <c r="E470" s="1150"/>
      <c r="F470" s="1150"/>
      <c r="G470" s="1150"/>
      <c r="H470" s="1150"/>
      <c r="I470" s="1150"/>
      <c r="J470" s="1158"/>
    </row>
    <row r="471" spans="1:10" ht="15">
      <c r="A471" s="1150"/>
      <c r="B471" s="1150"/>
      <c r="C471" s="1150"/>
      <c r="D471" s="1150"/>
      <c r="E471" s="1150"/>
      <c r="F471" s="1150"/>
      <c r="G471" s="1150"/>
      <c r="H471" s="1150"/>
      <c r="I471" s="1150"/>
      <c r="J471" s="1158"/>
    </row>
    <row r="472" spans="1:10" ht="15">
      <c r="A472" s="1150"/>
      <c r="B472" s="1150"/>
      <c r="C472" s="1150"/>
      <c r="D472" s="1150"/>
      <c r="E472" s="1150"/>
      <c r="F472" s="1150"/>
      <c r="G472" s="1150"/>
      <c r="H472" s="1150"/>
      <c r="I472" s="1150"/>
      <c r="J472" s="1158"/>
    </row>
    <row r="473" spans="1:10" ht="15">
      <c r="A473" s="1150"/>
      <c r="B473" s="1150"/>
      <c r="C473" s="1150"/>
      <c r="D473" s="1150"/>
      <c r="E473" s="1150"/>
      <c r="F473" s="1150"/>
      <c r="G473" s="1150"/>
      <c r="H473" s="1150"/>
      <c r="I473" s="1150"/>
      <c r="J473" s="1158"/>
    </row>
    <row r="474" spans="1:10" ht="15">
      <c r="A474" s="1150"/>
      <c r="B474" s="1150"/>
      <c r="C474" s="1150"/>
      <c r="D474" s="1150"/>
      <c r="E474" s="1150"/>
      <c r="F474" s="1150"/>
      <c r="G474" s="1150"/>
      <c r="H474" s="1150"/>
      <c r="I474" s="1150"/>
      <c r="J474" s="1158"/>
    </row>
    <row r="475" spans="1:10" ht="15">
      <c r="A475" s="1150"/>
      <c r="B475" s="1150"/>
      <c r="C475" s="1150"/>
      <c r="D475" s="1150"/>
      <c r="E475" s="1150"/>
      <c r="F475" s="1150"/>
      <c r="G475" s="1150"/>
      <c r="H475" s="1150"/>
      <c r="I475" s="1150"/>
      <c r="J475" s="1158"/>
    </row>
    <row r="476" spans="1:10" ht="15">
      <c r="A476" s="1150"/>
      <c r="B476" s="1150"/>
      <c r="C476" s="1150"/>
      <c r="D476" s="1150"/>
      <c r="E476" s="1150"/>
      <c r="F476" s="1150"/>
      <c r="G476" s="1150"/>
      <c r="H476" s="1150"/>
      <c r="I476" s="1150"/>
      <c r="J476" s="1158"/>
    </row>
    <row r="477" spans="1:10" ht="15">
      <c r="A477" s="1150"/>
      <c r="B477" s="1150"/>
      <c r="C477" s="1150"/>
      <c r="D477" s="1150"/>
      <c r="E477" s="1150"/>
      <c r="F477" s="1150"/>
      <c r="G477" s="1150"/>
      <c r="H477" s="1150"/>
      <c r="I477" s="1150"/>
      <c r="J477" s="1158"/>
    </row>
    <row r="478" spans="1:10" ht="15">
      <c r="A478" s="1150"/>
      <c r="B478" s="1150"/>
      <c r="C478" s="1150"/>
      <c r="D478" s="1150"/>
      <c r="E478" s="1150"/>
      <c r="F478" s="1150"/>
      <c r="G478" s="1150"/>
      <c r="H478" s="1150"/>
      <c r="I478" s="1150"/>
      <c r="J478" s="1158"/>
    </row>
    <row r="479" spans="1:10" ht="15">
      <c r="A479" s="1150"/>
      <c r="B479" s="1150"/>
      <c r="C479" s="1150"/>
      <c r="D479" s="1150"/>
      <c r="E479" s="1150"/>
      <c r="F479" s="1150"/>
      <c r="G479" s="1150"/>
      <c r="H479" s="1150"/>
      <c r="I479" s="1150"/>
      <c r="J479" s="1158"/>
    </row>
    <row r="480" spans="1:10" ht="15">
      <c r="A480" s="1150"/>
      <c r="B480" s="1150"/>
      <c r="C480" s="1150"/>
      <c r="D480" s="1150"/>
      <c r="E480" s="1150"/>
      <c r="F480" s="1150"/>
      <c r="G480" s="1150"/>
      <c r="H480" s="1150"/>
      <c r="I480" s="1150"/>
      <c r="J480" s="1158"/>
    </row>
    <row r="481" spans="1:10" ht="15">
      <c r="A481" s="1150"/>
      <c r="B481" s="1150"/>
      <c r="C481" s="1150"/>
      <c r="D481" s="1150"/>
      <c r="E481" s="1150"/>
      <c r="F481" s="1150"/>
      <c r="G481" s="1150"/>
      <c r="H481" s="1150"/>
      <c r="I481" s="1150"/>
      <c r="J481" s="1158"/>
    </row>
    <row r="482" spans="1:10" ht="15">
      <c r="A482" s="1150"/>
      <c r="B482" s="1150"/>
      <c r="C482" s="1150"/>
      <c r="D482" s="1150"/>
      <c r="E482" s="1150"/>
      <c r="F482" s="1150"/>
      <c r="G482" s="1150"/>
      <c r="H482" s="1150"/>
      <c r="I482" s="1150"/>
      <c r="J482" s="1158"/>
    </row>
    <row r="483" spans="1:10" ht="15">
      <c r="A483" s="1150"/>
      <c r="B483" s="1150"/>
      <c r="C483" s="1150"/>
      <c r="D483" s="1150"/>
      <c r="E483" s="1150"/>
      <c r="F483" s="1150"/>
      <c r="G483" s="1150"/>
      <c r="H483" s="1150"/>
      <c r="I483" s="1150"/>
      <c r="J483" s="1158"/>
    </row>
    <row r="484" spans="1:10" ht="15">
      <c r="A484" s="1150"/>
      <c r="B484" s="1150"/>
      <c r="C484" s="1150"/>
      <c r="D484" s="1150"/>
      <c r="E484" s="1150"/>
      <c r="F484" s="1150"/>
      <c r="G484" s="1150"/>
      <c r="H484" s="1150"/>
      <c r="I484" s="1150"/>
      <c r="J484" s="1158"/>
    </row>
    <row r="485" spans="1:10" ht="15">
      <c r="A485" s="1150"/>
      <c r="B485" s="1150"/>
      <c r="C485" s="1150"/>
      <c r="D485" s="1150"/>
      <c r="E485" s="1150"/>
      <c r="F485" s="1150"/>
      <c r="G485" s="1150"/>
      <c r="H485" s="1150"/>
      <c r="I485" s="1150"/>
      <c r="J485" s="1158"/>
    </row>
    <row r="486" spans="1:10" ht="15">
      <c r="A486" s="1150"/>
      <c r="B486" s="1150"/>
      <c r="C486" s="1150"/>
      <c r="D486" s="1150"/>
      <c r="E486" s="1150"/>
      <c r="F486" s="1150"/>
      <c r="G486" s="1150"/>
      <c r="H486" s="1150"/>
      <c r="I486" s="1150"/>
      <c r="J486" s="1158"/>
    </row>
    <row r="487" spans="1:10" ht="15">
      <c r="A487" s="1150"/>
      <c r="B487" s="1150"/>
      <c r="C487" s="1150"/>
      <c r="D487" s="1150"/>
      <c r="E487" s="1150"/>
      <c r="F487" s="1150"/>
      <c r="G487" s="1150"/>
      <c r="H487" s="1150"/>
      <c r="I487" s="1150"/>
      <c r="J487" s="1158"/>
    </row>
    <row r="488" spans="1:10" ht="15">
      <c r="A488" s="1150"/>
      <c r="B488" s="1150"/>
      <c r="C488" s="1150"/>
      <c r="D488" s="1150"/>
      <c r="E488" s="1150"/>
      <c r="F488" s="1150"/>
      <c r="G488" s="1150"/>
      <c r="H488" s="1150"/>
      <c r="I488" s="1150"/>
      <c r="J488" s="1158"/>
    </row>
    <row r="489" spans="1:10" ht="15">
      <c r="A489" s="1150"/>
      <c r="B489" s="1150"/>
      <c r="C489" s="1150"/>
      <c r="D489" s="1150"/>
      <c r="E489" s="1150"/>
      <c r="F489" s="1150"/>
      <c r="G489" s="1150"/>
      <c r="H489" s="1150"/>
      <c r="I489" s="1150"/>
      <c r="J489" s="1158"/>
    </row>
    <row r="490" spans="1:10" ht="15">
      <c r="A490" s="1150"/>
      <c r="B490" s="1150"/>
      <c r="C490" s="1150"/>
      <c r="D490" s="1150"/>
      <c r="E490" s="1150"/>
      <c r="F490" s="1150"/>
      <c r="G490" s="1150"/>
      <c r="H490" s="1150"/>
      <c r="I490" s="1150"/>
      <c r="J490" s="1158"/>
    </row>
    <row r="491" spans="1:10" ht="15">
      <c r="A491" s="1150"/>
      <c r="B491" s="1150"/>
      <c r="C491" s="1150"/>
      <c r="D491" s="1150"/>
      <c r="E491" s="1150"/>
      <c r="F491" s="1150"/>
      <c r="G491" s="1150"/>
      <c r="H491" s="1150"/>
      <c r="I491" s="1150"/>
      <c r="J491" s="1158"/>
    </row>
    <row r="492" spans="1:10" ht="15">
      <c r="A492" s="1150"/>
      <c r="B492" s="1150"/>
      <c r="C492" s="1150"/>
      <c r="D492" s="1150"/>
      <c r="E492" s="1150"/>
      <c r="F492" s="1150"/>
      <c r="G492" s="1150"/>
      <c r="H492" s="1150"/>
      <c r="I492" s="1150"/>
      <c r="J492" s="1158"/>
    </row>
    <row r="493" spans="1:10" ht="15">
      <c r="A493" s="1150"/>
      <c r="B493" s="1150"/>
      <c r="C493" s="1150"/>
      <c r="D493" s="1150"/>
      <c r="E493" s="1150"/>
      <c r="F493" s="1150"/>
      <c r="G493" s="1150"/>
      <c r="H493" s="1150"/>
      <c r="I493" s="1150"/>
      <c r="J493" s="1158"/>
    </row>
    <row r="494" spans="1:10" ht="15">
      <c r="A494" s="1150"/>
      <c r="B494" s="1150"/>
      <c r="C494" s="1150"/>
      <c r="D494" s="1150"/>
      <c r="E494" s="1150"/>
      <c r="F494" s="1150"/>
      <c r="G494" s="1150"/>
      <c r="H494" s="1150"/>
      <c r="I494" s="1150"/>
      <c r="J494" s="1158"/>
    </row>
    <row r="495" spans="1:10" ht="15">
      <c r="A495" s="1150"/>
      <c r="B495" s="1150"/>
      <c r="C495" s="1150"/>
      <c r="D495" s="1150"/>
      <c r="E495" s="1150"/>
      <c r="F495" s="1150"/>
      <c r="G495" s="1150"/>
      <c r="H495" s="1150"/>
      <c r="I495" s="1150"/>
      <c r="J495" s="1158"/>
    </row>
    <row r="496" spans="1:10" ht="15">
      <c r="A496" s="1150"/>
      <c r="B496" s="1150"/>
      <c r="C496" s="1150"/>
      <c r="D496" s="1150"/>
      <c r="E496" s="1150"/>
      <c r="F496" s="1150"/>
      <c r="G496" s="1150"/>
      <c r="H496" s="1150"/>
      <c r="I496" s="1150"/>
      <c r="J496" s="1158"/>
    </row>
    <row r="497" spans="1:10" ht="15">
      <c r="A497" s="1150"/>
      <c r="B497" s="1150"/>
      <c r="C497" s="1150"/>
      <c r="D497" s="1150"/>
      <c r="E497" s="1150"/>
      <c r="F497" s="1150"/>
      <c r="G497" s="1150"/>
      <c r="H497" s="1150"/>
      <c r="I497" s="1150"/>
      <c r="J497" s="1158"/>
    </row>
    <row r="498" spans="1:10" ht="15">
      <c r="A498" s="1150"/>
      <c r="B498" s="1150"/>
      <c r="C498" s="1150"/>
      <c r="D498" s="1150"/>
      <c r="E498" s="1150"/>
      <c r="F498" s="1150"/>
      <c r="G498" s="1150"/>
      <c r="H498" s="1150"/>
      <c r="I498" s="1150"/>
      <c r="J498" s="1158"/>
    </row>
    <row r="499" spans="1:10" ht="15">
      <c r="A499" s="1150"/>
      <c r="B499" s="1150"/>
      <c r="C499" s="1150"/>
      <c r="D499" s="1150"/>
      <c r="E499" s="1150"/>
      <c r="F499" s="1150"/>
      <c r="G499" s="1150"/>
      <c r="H499" s="1150"/>
      <c r="I499" s="1150"/>
      <c r="J499" s="1158"/>
    </row>
    <row r="500" spans="1:10" ht="15">
      <c r="A500" s="1150"/>
      <c r="B500" s="1150"/>
      <c r="C500" s="1150"/>
      <c r="D500" s="1150"/>
      <c r="E500" s="1150"/>
      <c r="F500" s="1150"/>
      <c r="G500" s="1150"/>
      <c r="H500" s="1150"/>
      <c r="I500" s="1150"/>
      <c r="J500" s="1158"/>
    </row>
    <row r="501" spans="1:10" ht="15">
      <c r="A501" s="1150"/>
      <c r="B501" s="1150"/>
      <c r="C501" s="1150"/>
      <c r="D501" s="1150"/>
      <c r="E501" s="1150"/>
      <c r="F501" s="1150"/>
      <c r="G501" s="1150"/>
      <c r="H501" s="1150"/>
      <c r="I501" s="1150"/>
      <c r="J501" s="1158"/>
    </row>
    <row r="502" spans="1:10" ht="15">
      <c r="A502" s="1150"/>
      <c r="B502" s="1150"/>
      <c r="C502" s="1150"/>
      <c r="D502" s="1150"/>
      <c r="E502" s="1150"/>
      <c r="F502" s="1150"/>
      <c r="G502" s="1150"/>
      <c r="H502" s="1150"/>
      <c r="I502" s="1150"/>
      <c r="J502" s="1158"/>
    </row>
    <row r="503" spans="1:10" ht="15">
      <c r="A503" s="1150"/>
      <c r="B503" s="1150"/>
      <c r="C503" s="1150"/>
      <c r="D503" s="1150"/>
      <c r="E503" s="1150"/>
      <c r="F503" s="1150"/>
      <c r="G503" s="1150"/>
      <c r="H503" s="1150"/>
      <c r="I503" s="1150"/>
      <c r="J503" s="1158"/>
    </row>
    <row r="504" spans="1:10" ht="15">
      <c r="A504" s="1150"/>
      <c r="B504" s="1150"/>
      <c r="C504" s="1150"/>
      <c r="D504" s="1150"/>
      <c r="E504" s="1150"/>
      <c r="F504" s="1150"/>
      <c r="G504" s="1150"/>
      <c r="H504" s="1150"/>
      <c r="I504" s="1150"/>
      <c r="J504" s="1158"/>
    </row>
    <row r="505" spans="1:10" ht="15">
      <c r="A505" s="1150"/>
      <c r="B505" s="1150"/>
      <c r="C505" s="1150"/>
      <c r="D505" s="1150"/>
      <c r="E505" s="1150"/>
      <c r="F505" s="1150"/>
      <c r="G505" s="1150"/>
      <c r="H505" s="1150"/>
      <c r="I505" s="1150"/>
      <c r="J505" s="1158"/>
    </row>
    <row r="506" spans="1:10" ht="15">
      <c r="A506" s="1150"/>
      <c r="B506" s="1150"/>
      <c r="C506" s="1150"/>
      <c r="D506" s="1150"/>
      <c r="E506" s="1150"/>
      <c r="F506" s="1150"/>
      <c r="G506" s="1150"/>
      <c r="H506" s="1150"/>
      <c r="I506" s="1150"/>
      <c r="J506" s="1158"/>
    </row>
    <row r="507" spans="1:10" ht="15">
      <c r="A507" s="1150"/>
      <c r="B507" s="1150"/>
      <c r="C507" s="1150"/>
      <c r="D507" s="1150"/>
      <c r="E507" s="1150"/>
      <c r="F507" s="1150"/>
      <c r="G507" s="1150"/>
      <c r="H507" s="1150"/>
      <c r="I507" s="1150"/>
      <c r="J507" s="1158"/>
    </row>
    <row r="508" spans="1:10" ht="15">
      <c r="A508" s="1150"/>
      <c r="B508" s="1150"/>
      <c r="C508" s="1150"/>
      <c r="D508" s="1150"/>
      <c r="E508" s="1150"/>
      <c r="F508" s="1150"/>
      <c r="G508" s="1150"/>
      <c r="H508" s="1150"/>
      <c r="I508" s="1150"/>
      <c r="J508" s="1158"/>
    </row>
    <row r="509" spans="1:10" ht="15">
      <c r="A509" s="1150"/>
      <c r="B509" s="1150"/>
      <c r="C509" s="1150"/>
      <c r="D509" s="1150"/>
      <c r="E509" s="1150"/>
      <c r="F509" s="1150"/>
      <c r="G509" s="1150"/>
      <c r="H509" s="1150"/>
      <c r="I509" s="1150"/>
      <c r="J509" s="1158"/>
    </row>
    <row r="510" spans="1:10" ht="15">
      <c r="A510" s="1150"/>
      <c r="B510" s="1150"/>
      <c r="C510" s="1150"/>
      <c r="D510" s="1150"/>
      <c r="E510" s="1150"/>
      <c r="F510" s="1150"/>
      <c r="G510" s="1150"/>
      <c r="H510" s="1150"/>
      <c r="I510" s="1150"/>
      <c r="J510" s="1158"/>
    </row>
    <row r="511" spans="1:10" ht="15">
      <c r="A511" s="1150"/>
      <c r="B511" s="1150"/>
      <c r="C511" s="1150"/>
      <c r="D511" s="1150"/>
      <c r="E511" s="1150"/>
      <c r="F511" s="1150"/>
      <c r="G511" s="1150"/>
      <c r="H511" s="1150"/>
      <c r="I511" s="1150"/>
      <c r="J511" s="1158"/>
    </row>
    <row r="512" spans="1:10" ht="15">
      <c r="A512" s="1150"/>
      <c r="B512" s="1150"/>
      <c r="C512" s="1150"/>
      <c r="D512" s="1150"/>
      <c r="E512" s="1150"/>
      <c r="F512" s="1150"/>
      <c r="G512" s="1150"/>
      <c r="H512" s="1150"/>
      <c r="I512" s="1150"/>
      <c r="J512" s="1158"/>
    </row>
    <row r="513" spans="1:10" ht="15">
      <c r="A513" s="1150"/>
      <c r="B513" s="1150"/>
      <c r="C513" s="1150"/>
      <c r="D513" s="1150"/>
      <c r="E513" s="1150"/>
      <c r="F513" s="1150"/>
      <c r="G513" s="1150"/>
      <c r="H513" s="1150"/>
      <c r="I513" s="1150"/>
      <c r="J513" s="1158"/>
    </row>
    <row r="514" spans="1:10" ht="15">
      <c r="A514" s="1150"/>
      <c r="B514" s="1150"/>
      <c r="C514" s="1150"/>
      <c r="D514" s="1150"/>
      <c r="E514" s="1150"/>
      <c r="F514" s="1150"/>
      <c r="G514" s="1150"/>
      <c r="H514" s="1150"/>
      <c r="I514" s="1150"/>
      <c r="J514" s="1158"/>
    </row>
    <row r="515" spans="1:10" ht="15">
      <c r="A515" s="1150"/>
      <c r="B515" s="1150"/>
      <c r="C515" s="1150"/>
      <c r="D515" s="1150"/>
      <c r="E515" s="1150"/>
      <c r="F515" s="1150"/>
      <c r="G515" s="1150"/>
      <c r="H515" s="1150"/>
      <c r="I515" s="1150"/>
      <c r="J515" s="1158"/>
    </row>
    <row r="516" spans="1:10" ht="15">
      <c r="A516" s="1150"/>
      <c r="B516" s="1150"/>
      <c r="C516" s="1150"/>
      <c r="D516" s="1150"/>
      <c r="E516" s="1150"/>
      <c r="F516" s="1150"/>
      <c r="G516" s="1150"/>
      <c r="H516" s="1150"/>
      <c r="I516" s="1150"/>
      <c r="J516" s="1158"/>
    </row>
    <row r="517" spans="1:10" ht="15">
      <c r="A517" s="1150"/>
      <c r="B517" s="1150"/>
      <c r="C517" s="1150"/>
      <c r="D517" s="1150"/>
      <c r="E517" s="1150"/>
      <c r="F517" s="1150"/>
      <c r="G517" s="1150"/>
      <c r="H517" s="1150"/>
      <c r="I517" s="1150"/>
      <c r="J517" s="1158"/>
    </row>
    <row r="518" spans="1:10" ht="15">
      <c r="A518" s="1150"/>
      <c r="B518" s="1150"/>
      <c r="C518" s="1150"/>
      <c r="D518" s="1150"/>
      <c r="E518" s="1150"/>
      <c r="F518" s="1150"/>
      <c r="G518" s="1150"/>
      <c r="H518" s="1150"/>
      <c r="I518" s="1150"/>
      <c r="J518" s="1158"/>
    </row>
    <row r="519" spans="1:10" ht="15">
      <c r="A519" s="1150"/>
      <c r="B519" s="1150"/>
      <c r="C519" s="1150"/>
      <c r="D519" s="1150"/>
      <c r="E519" s="1150"/>
      <c r="F519" s="1150"/>
      <c r="G519" s="1150"/>
      <c r="H519" s="1150"/>
      <c r="I519" s="1150"/>
      <c r="J519" s="1158"/>
    </row>
    <row r="520" spans="1:10" ht="15">
      <c r="A520" s="1150"/>
      <c r="B520" s="1150"/>
      <c r="C520" s="1150"/>
      <c r="D520" s="1150"/>
      <c r="E520" s="1150"/>
      <c r="F520" s="1150"/>
      <c r="G520" s="1150"/>
      <c r="H520" s="1150"/>
      <c r="I520" s="1150"/>
      <c r="J520" s="1158"/>
    </row>
    <row r="521" spans="1:10" ht="15">
      <c r="A521" s="1150"/>
      <c r="B521" s="1150"/>
      <c r="C521" s="1150"/>
      <c r="D521" s="1150"/>
      <c r="E521" s="1150"/>
      <c r="F521" s="1150"/>
      <c r="G521" s="1150"/>
      <c r="H521" s="1150"/>
      <c r="I521" s="1150"/>
      <c r="J521" s="1158"/>
    </row>
    <row r="522" spans="1:10" ht="15">
      <c r="A522" s="1150"/>
      <c r="B522" s="1150"/>
      <c r="C522" s="1150"/>
      <c r="D522" s="1150"/>
      <c r="E522" s="1150"/>
      <c r="F522" s="1150"/>
      <c r="G522" s="1150"/>
      <c r="H522" s="1150"/>
      <c r="I522" s="1150"/>
      <c r="J522" s="1158"/>
    </row>
    <row r="523" spans="1:10" ht="15">
      <c r="A523" s="1150"/>
      <c r="B523" s="1150"/>
      <c r="C523" s="1150"/>
      <c r="D523" s="1150"/>
      <c r="E523" s="1150"/>
      <c r="F523" s="1150"/>
      <c r="G523" s="1150"/>
      <c r="H523" s="1150"/>
      <c r="I523" s="1150"/>
      <c r="J523" s="1158"/>
    </row>
    <row r="524" spans="1:10" ht="15">
      <c r="A524" s="1150"/>
      <c r="B524" s="1150"/>
      <c r="C524" s="1150"/>
      <c r="D524" s="1150"/>
      <c r="E524" s="1150"/>
      <c r="F524" s="1150"/>
      <c r="G524" s="1150"/>
      <c r="H524" s="1150"/>
      <c r="I524" s="1150"/>
      <c r="J524" s="1158"/>
    </row>
    <row r="525" spans="1:10" ht="15">
      <c r="A525" s="1150"/>
      <c r="B525" s="1150"/>
      <c r="C525" s="1150"/>
      <c r="D525" s="1150"/>
      <c r="E525" s="1150"/>
      <c r="F525" s="1150"/>
      <c r="G525" s="1150"/>
      <c r="H525" s="1150"/>
      <c r="I525" s="1150"/>
      <c r="J525" s="1158"/>
    </row>
    <row r="526" spans="1:10" ht="15">
      <c r="A526" s="1150"/>
      <c r="B526" s="1150"/>
      <c r="C526" s="1150"/>
      <c r="D526" s="1150"/>
      <c r="E526" s="1150"/>
      <c r="F526" s="1150"/>
      <c r="G526" s="1150"/>
      <c r="H526" s="1150"/>
      <c r="I526" s="1150"/>
      <c r="J526" s="1158"/>
    </row>
    <row r="527" spans="1:10" ht="15">
      <c r="A527" s="1150"/>
      <c r="B527" s="1150"/>
      <c r="C527" s="1150"/>
      <c r="D527" s="1150"/>
      <c r="E527" s="1150"/>
      <c r="F527" s="1150"/>
      <c r="G527" s="1150"/>
      <c r="H527" s="1150"/>
      <c r="I527" s="1150"/>
      <c r="J527" s="1158"/>
    </row>
    <row r="528" spans="1:10" ht="15">
      <c r="A528" s="1150"/>
      <c r="B528" s="1150"/>
      <c r="C528" s="1150"/>
      <c r="D528" s="1150"/>
      <c r="E528" s="1150"/>
      <c r="F528" s="1150"/>
      <c r="G528" s="1150"/>
      <c r="H528" s="1150"/>
      <c r="I528" s="1150"/>
      <c r="J528" s="1158"/>
    </row>
    <row r="529" spans="1:10" ht="15">
      <c r="A529" s="1150"/>
      <c r="B529" s="1150"/>
      <c r="C529" s="1150"/>
      <c r="D529" s="1150"/>
      <c r="E529" s="1150"/>
      <c r="F529" s="1150"/>
      <c r="G529" s="1150"/>
      <c r="H529" s="1150"/>
      <c r="I529" s="1150"/>
      <c r="J529" s="1158"/>
    </row>
    <row r="530" spans="1:10" ht="15">
      <c r="A530" s="1150"/>
      <c r="B530" s="1150"/>
      <c r="C530" s="1150"/>
      <c r="D530" s="1150"/>
      <c r="E530" s="1150"/>
      <c r="F530" s="1150"/>
      <c r="G530" s="1150"/>
      <c r="H530" s="1150"/>
      <c r="I530" s="1150"/>
      <c r="J530" s="1158"/>
    </row>
    <row r="531" spans="1:10" ht="15">
      <c r="A531" s="1150"/>
      <c r="B531" s="1150"/>
      <c r="C531" s="1150"/>
      <c r="D531" s="1150"/>
      <c r="E531" s="1150"/>
      <c r="F531" s="1150"/>
      <c r="G531" s="1150"/>
      <c r="H531" s="1150"/>
      <c r="I531" s="1150"/>
      <c r="J531" s="1158"/>
    </row>
    <row r="532" spans="1:10" ht="15">
      <c r="A532" s="1150"/>
      <c r="B532" s="1150"/>
      <c r="C532" s="1150"/>
      <c r="D532" s="1150"/>
      <c r="E532" s="1150"/>
      <c r="F532" s="1150"/>
      <c r="G532" s="1150"/>
      <c r="H532" s="1150"/>
      <c r="I532" s="1150"/>
      <c r="J532" s="1158"/>
    </row>
    <row r="533" spans="1:10" ht="15">
      <c r="A533" s="1150"/>
      <c r="B533" s="1150"/>
      <c r="C533" s="1150"/>
      <c r="D533" s="1150"/>
      <c r="E533" s="1150"/>
      <c r="F533" s="1150"/>
      <c r="G533" s="1150"/>
      <c r="H533" s="1150"/>
      <c r="I533" s="1150"/>
      <c r="J533" s="1158"/>
    </row>
    <row r="534" spans="1:10" ht="15">
      <c r="A534" s="1150"/>
      <c r="B534" s="1150"/>
      <c r="C534" s="1150"/>
      <c r="D534" s="1150"/>
      <c r="E534" s="1150"/>
      <c r="F534" s="1150"/>
      <c r="G534" s="1150"/>
      <c r="H534" s="1150"/>
      <c r="I534" s="1150"/>
      <c r="J534" s="1158"/>
    </row>
    <row r="535" spans="1:10" ht="15">
      <c r="A535" s="1150"/>
      <c r="B535" s="1150"/>
      <c r="C535" s="1150"/>
      <c r="D535" s="1150"/>
      <c r="E535" s="1150"/>
      <c r="F535" s="1150"/>
      <c r="G535" s="1150"/>
      <c r="H535" s="1150"/>
      <c r="I535" s="1150"/>
      <c r="J535" s="1158"/>
    </row>
    <row r="536" spans="1:10" ht="15">
      <c r="A536" s="1150"/>
      <c r="B536" s="1150"/>
      <c r="C536" s="1150"/>
      <c r="D536" s="1150"/>
      <c r="E536" s="1150"/>
      <c r="F536" s="1150"/>
      <c r="G536" s="1150"/>
      <c r="H536" s="1150"/>
      <c r="I536" s="1150"/>
      <c r="J536" s="1158"/>
    </row>
    <row r="537" spans="1:10" ht="15">
      <c r="A537" s="1150"/>
      <c r="B537" s="1150"/>
      <c r="C537" s="1150"/>
      <c r="D537" s="1150"/>
      <c r="E537" s="1150"/>
      <c r="F537" s="1150"/>
      <c r="G537" s="1150"/>
      <c r="H537" s="1150"/>
      <c r="I537" s="1150"/>
      <c r="J537" s="1158"/>
    </row>
    <row r="538" spans="1:10" ht="15">
      <c r="A538" s="1150"/>
      <c r="B538" s="1150"/>
      <c r="C538" s="1150"/>
      <c r="D538" s="1150"/>
      <c r="E538" s="1150"/>
      <c r="F538" s="1150"/>
      <c r="G538" s="1150"/>
      <c r="H538" s="1150"/>
      <c r="I538" s="1150"/>
      <c r="J538" s="1158"/>
    </row>
    <row r="539" spans="1:10" ht="15">
      <c r="A539" s="1150"/>
      <c r="B539" s="1150"/>
      <c r="C539" s="1150"/>
      <c r="D539" s="1150"/>
      <c r="E539" s="1150"/>
      <c r="F539" s="1150"/>
      <c r="G539" s="1150"/>
      <c r="H539" s="1150"/>
      <c r="I539" s="1150"/>
      <c r="J539" s="1158"/>
    </row>
    <row r="540" spans="1:10" ht="15">
      <c r="A540" s="1150"/>
      <c r="B540" s="1150"/>
      <c r="C540" s="1150"/>
      <c r="D540" s="1150"/>
      <c r="E540" s="1150"/>
      <c r="F540" s="1150"/>
      <c r="G540" s="1150"/>
      <c r="H540" s="1150"/>
      <c r="I540" s="1150"/>
      <c r="J540" s="1158"/>
    </row>
    <row r="541" spans="1:10" ht="15">
      <c r="A541" s="1150"/>
      <c r="B541" s="1150"/>
      <c r="C541" s="1150"/>
      <c r="D541" s="1150"/>
      <c r="E541" s="1150"/>
      <c r="F541" s="1150"/>
      <c r="G541" s="1150"/>
      <c r="H541" s="1150"/>
      <c r="I541" s="1150"/>
      <c r="J541" s="1158"/>
    </row>
    <row r="542" spans="1:10" ht="15">
      <c r="A542" s="1150"/>
      <c r="B542" s="1150"/>
      <c r="C542" s="1150"/>
      <c r="D542" s="1150"/>
      <c r="E542" s="1150"/>
      <c r="F542" s="1150"/>
      <c r="G542" s="1150"/>
      <c r="H542" s="1150"/>
      <c r="I542" s="1150"/>
      <c r="J542" s="1158"/>
    </row>
    <row r="543" spans="1:10" ht="15">
      <c r="A543" s="1150"/>
      <c r="B543" s="1150"/>
      <c r="C543" s="1150"/>
      <c r="D543" s="1150"/>
      <c r="E543" s="1150"/>
      <c r="F543" s="1150"/>
      <c r="G543" s="1150"/>
      <c r="H543" s="1150"/>
      <c r="I543" s="1150"/>
      <c r="J543" s="1158"/>
    </row>
    <row r="544" spans="1:10" ht="15">
      <c r="A544" s="1150"/>
      <c r="B544" s="1150"/>
      <c r="C544" s="1150"/>
      <c r="D544" s="1150"/>
      <c r="E544" s="1150"/>
      <c r="F544" s="1150"/>
      <c r="G544" s="1150"/>
      <c r="H544" s="1150"/>
      <c r="I544" s="1150"/>
      <c r="J544" s="1158"/>
    </row>
    <row r="545" spans="1:10" ht="15">
      <c r="A545" s="1150"/>
      <c r="B545" s="1150"/>
      <c r="C545" s="1150"/>
      <c r="D545" s="1150"/>
      <c r="E545" s="1150"/>
      <c r="F545" s="1150"/>
      <c r="G545" s="1150"/>
      <c r="H545" s="1150"/>
      <c r="I545" s="1150"/>
      <c r="J545" s="1158"/>
    </row>
    <row r="546" spans="1:10" ht="15">
      <c r="A546" s="1150"/>
      <c r="B546" s="1150"/>
      <c r="C546" s="1150"/>
      <c r="D546" s="1150"/>
      <c r="E546" s="1150"/>
      <c r="F546" s="1150"/>
      <c r="G546" s="1150"/>
      <c r="H546" s="1150"/>
      <c r="I546" s="1150"/>
      <c r="J546" s="1158"/>
    </row>
    <row r="547" spans="1:10" ht="15">
      <c r="A547" s="1150"/>
      <c r="B547" s="1150"/>
      <c r="C547" s="1150"/>
      <c r="D547" s="1150"/>
      <c r="E547" s="1150"/>
      <c r="F547" s="1150"/>
      <c r="G547" s="1150"/>
      <c r="H547" s="1150"/>
      <c r="I547" s="1150"/>
      <c r="J547" s="1158"/>
    </row>
    <row r="548" spans="1:10" ht="15">
      <c r="A548" s="1150"/>
      <c r="B548" s="1150"/>
      <c r="C548" s="1150"/>
      <c r="D548" s="1150"/>
      <c r="E548" s="1150"/>
      <c r="F548" s="1150"/>
      <c r="G548" s="1150"/>
      <c r="H548" s="1150"/>
      <c r="I548" s="1150"/>
      <c r="J548" s="1158"/>
    </row>
    <row r="549" spans="1:10" ht="15">
      <c r="A549" s="1150"/>
      <c r="B549" s="1150"/>
      <c r="C549" s="1150"/>
      <c r="D549" s="1150"/>
      <c r="E549" s="1150"/>
      <c r="F549" s="1150"/>
      <c r="G549" s="1150"/>
      <c r="H549" s="1150"/>
      <c r="I549" s="1150"/>
      <c r="J549" s="1158"/>
    </row>
    <row r="550" spans="1:10" ht="15">
      <c r="A550" s="1150"/>
      <c r="B550" s="1150"/>
      <c r="C550" s="1150"/>
      <c r="D550" s="1150"/>
      <c r="E550" s="1150"/>
      <c r="F550" s="1150"/>
      <c r="G550" s="1150"/>
      <c r="H550" s="1150"/>
      <c r="I550" s="1150"/>
      <c r="J550" s="1158"/>
    </row>
    <row r="551" spans="1:10" ht="15">
      <c r="A551" s="1150"/>
      <c r="B551" s="1150"/>
      <c r="C551" s="1150"/>
      <c r="D551" s="1150"/>
      <c r="E551" s="1150"/>
      <c r="F551" s="1150"/>
      <c r="G551" s="1150"/>
      <c r="H551" s="1150"/>
      <c r="I551" s="1150"/>
      <c r="J551" s="1158"/>
    </row>
    <row r="552" spans="1:10" ht="15">
      <c r="A552" s="1150"/>
      <c r="B552" s="1150"/>
      <c r="C552" s="1150"/>
      <c r="D552" s="1150"/>
      <c r="E552" s="1150"/>
      <c r="F552" s="1150"/>
      <c r="G552" s="1150"/>
      <c r="H552" s="1150"/>
      <c r="I552" s="1150"/>
      <c r="J552" s="1158"/>
    </row>
    <row r="553" spans="1:10" ht="15">
      <c r="A553" s="1150"/>
      <c r="B553" s="1150"/>
      <c r="C553" s="1150"/>
      <c r="D553" s="1150"/>
      <c r="E553" s="1150"/>
      <c r="F553" s="1150"/>
      <c r="G553" s="1150"/>
      <c r="H553" s="1150"/>
      <c r="I553" s="1150"/>
      <c r="J553" s="1158"/>
    </row>
    <row r="554" spans="1:10" ht="15">
      <c r="A554" s="1150"/>
      <c r="B554" s="1150"/>
      <c r="C554" s="1150"/>
      <c r="D554" s="1150"/>
      <c r="E554" s="1150"/>
      <c r="F554" s="1150"/>
      <c r="G554" s="1150"/>
      <c r="H554" s="1150"/>
      <c r="I554" s="1150"/>
      <c r="J554" s="1158"/>
    </row>
    <row r="555" spans="1:10" ht="15">
      <c r="A555" s="1150"/>
      <c r="B555" s="1150"/>
      <c r="C555" s="1150"/>
      <c r="D555" s="1150"/>
      <c r="E555" s="1150"/>
      <c r="F555" s="1150"/>
      <c r="G555" s="1150"/>
      <c r="H555" s="1150"/>
      <c r="I555" s="1150"/>
      <c r="J555" s="1158"/>
    </row>
    <row r="556" spans="1:10" ht="15">
      <c r="A556" s="1150"/>
      <c r="B556" s="1150"/>
      <c r="C556" s="1150"/>
      <c r="D556" s="1150"/>
      <c r="E556" s="1150"/>
      <c r="F556" s="1150"/>
      <c r="G556" s="1150"/>
      <c r="H556" s="1150"/>
      <c r="I556" s="1150"/>
      <c r="J556" s="1158"/>
    </row>
    <row r="557" spans="1:10" ht="15">
      <c r="A557" s="1150"/>
      <c r="B557" s="1150"/>
      <c r="C557" s="1150"/>
      <c r="D557" s="1150"/>
      <c r="E557" s="1150"/>
      <c r="F557" s="1150"/>
      <c r="G557" s="1150"/>
      <c r="H557" s="1150"/>
      <c r="I557" s="1150"/>
      <c r="J557" s="1158"/>
    </row>
    <row r="558" spans="1:10" ht="15">
      <c r="A558" s="1150"/>
      <c r="B558" s="1150"/>
      <c r="C558" s="1150"/>
      <c r="D558" s="1150"/>
      <c r="E558" s="1150"/>
      <c r="F558" s="1150"/>
      <c r="G558" s="1150"/>
      <c r="H558" s="1150"/>
      <c r="I558" s="1150"/>
      <c r="J558" s="1158"/>
    </row>
    <row r="559" spans="1:10" ht="15">
      <c r="A559" s="1150"/>
      <c r="B559" s="1150"/>
      <c r="C559" s="1150"/>
      <c r="D559" s="1150"/>
      <c r="E559" s="1150"/>
      <c r="F559" s="1150"/>
      <c r="G559" s="1150"/>
      <c r="H559" s="1150"/>
      <c r="I559" s="1150"/>
      <c r="J559" s="1158"/>
    </row>
    <row r="560" spans="1:10" ht="15">
      <c r="A560" s="1150"/>
      <c r="B560" s="1150"/>
      <c r="C560" s="1150"/>
      <c r="D560" s="1150"/>
      <c r="E560" s="1150"/>
      <c r="F560" s="1150"/>
      <c r="G560" s="1150"/>
      <c r="H560" s="1150"/>
      <c r="I560" s="1150"/>
      <c r="J560" s="1158"/>
    </row>
    <row r="561" spans="1:10" ht="15">
      <c r="A561" s="1150"/>
      <c r="B561" s="1150"/>
      <c r="C561" s="1150"/>
      <c r="D561" s="1150"/>
      <c r="E561" s="1150"/>
      <c r="F561" s="1150"/>
      <c r="G561" s="1150"/>
      <c r="H561" s="1150"/>
      <c r="I561" s="1150"/>
      <c r="J561" s="1158"/>
    </row>
    <row r="562" spans="1:10" ht="15">
      <c r="A562" s="1150"/>
      <c r="B562" s="1150"/>
      <c r="C562" s="1150"/>
      <c r="D562" s="1150"/>
      <c r="E562" s="1150"/>
      <c r="F562" s="1150"/>
      <c r="G562" s="1150"/>
      <c r="H562" s="1150"/>
      <c r="I562" s="1150"/>
      <c r="J562" s="1158"/>
    </row>
    <row r="563" spans="1:10" ht="15">
      <c r="A563" s="1150"/>
      <c r="B563" s="1150"/>
      <c r="C563" s="1150"/>
      <c r="D563" s="1150"/>
      <c r="E563" s="1150"/>
      <c r="F563" s="1150"/>
      <c r="G563" s="1150"/>
      <c r="H563" s="1150"/>
      <c r="I563" s="1150"/>
      <c r="J563" s="1158"/>
    </row>
    <row r="564" spans="1:10" ht="15">
      <c r="A564" s="1150"/>
      <c r="B564" s="1150"/>
      <c r="C564" s="1150"/>
      <c r="D564" s="1150"/>
      <c r="E564" s="1150"/>
      <c r="F564" s="1150"/>
      <c r="G564" s="1150"/>
      <c r="H564" s="1150"/>
      <c r="I564" s="1150"/>
      <c r="J564" s="1158"/>
    </row>
    <row r="565" spans="1:10" ht="15">
      <c r="A565" s="1150"/>
      <c r="B565" s="1150"/>
      <c r="C565" s="1150"/>
      <c r="D565" s="1150"/>
      <c r="E565" s="1150"/>
      <c r="F565" s="1150"/>
      <c r="G565" s="1150"/>
      <c r="H565" s="1150"/>
      <c r="I565" s="1150"/>
      <c r="J565" s="1158"/>
    </row>
    <row r="566" spans="1:10" ht="15">
      <c r="A566" s="1150"/>
      <c r="B566" s="1150"/>
      <c r="C566" s="1150"/>
      <c r="D566" s="1150"/>
      <c r="E566" s="1150"/>
      <c r="F566" s="1150"/>
      <c r="G566" s="1150"/>
      <c r="H566" s="1150"/>
      <c r="I566" s="1150"/>
      <c r="J566" s="1158"/>
    </row>
    <row r="567" spans="1:10" ht="15">
      <c r="A567" s="1150"/>
      <c r="B567" s="1150"/>
      <c r="C567" s="1150"/>
      <c r="D567" s="1150"/>
      <c r="E567" s="1150"/>
      <c r="F567" s="1150"/>
      <c r="G567" s="1150"/>
      <c r="H567" s="1150"/>
      <c r="I567" s="1150"/>
      <c r="J567" s="1158"/>
    </row>
    <row r="568" spans="1:10" ht="15">
      <c r="A568" s="1150"/>
      <c r="B568" s="1150"/>
      <c r="C568" s="1150"/>
      <c r="D568" s="1150"/>
      <c r="E568" s="1150"/>
      <c r="F568" s="1150"/>
      <c r="G568" s="1150"/>
      <c r="H568" s="1150"/>
      <c r="I568" s="1150"/>
      <c r="J568" s="1158"/>
    </row>
    <row r="569" spans="1:10" ht="15">
      <c r="A569" s="1150"/>
      <c r="B569" s="1150"/>
      <c r="C569" s="1150"/>
      <c r="D569" s="1150"/>
      <c r="E569" s="1150"/>
      <c r="F569" s="1150"/>
      <c r="G569" s="1150"/>
      <c r="H569" s="1150"/>
      <c r="I569" s="1150"/>
      <c r="J569" s="1158"/>
    </row>
    <row r="570" spans="1:10" ht="15">
      <c r="A570" s="1150"/>
      <c r="B570" s="1150"/>
      <c r="C570" s="1150"/>
      <c r="D570" s="1150"/>
      <c r="E570" s="1150"/>
      <c r="F570" s="1150"/>
      <c r="G570" s="1150"/>
      <c r="H570" s="1150"/>
      <c r="I570" s="1150"/>
      <c r="J570" s="1158"/>
    </row>
    <row r="571" spans="1:10" ht="15">
      <c r="A571" s="1150"/>
      <c r="B571" s="1150"/>
      <c r="C571" s="1150"/>
      <c r="D571" s="1150"/>
      <c r="E571" s="1150"/>
      <c r="F571" s="1150"/>
      <c r="G571" s="1150"/>
      <c r="H571" s="1150"/>
      <c r="I571" s="1150"/>
      <c r="J571" s="1158"/>
    </row>
    <row r="572" spans="1:10" ht="15">
      <c r="A572" s="1150"/>
      <c r="B572" s="1150"/>
      <c r="C572" s="1150"/>
      <c r="D572" s="1150"/>
      <c r="E572" s="1150"/>
      <c r="F572" s="1150"/>
      <c r="G572" s="1150"/>
      <c r="H572" s="1150"/>
      <c r="I572" s="1150"/>
      <c r="J572" s="1158"/>
    </row>
    <row r="573" spans="1:10" ht="15">
      <c r="A573" s="1150"/>
      <c r="B573" s="1150"/>
      <c r="C573" s="1150"/>
      <c r="D573" s="1150"/>
      <c r="E573" s="1150"/>
      <c r="F573" s="1150"/>
      <c r="G573" s="1150"/>
      <c r="H573" s="1150"/>
      <c r="I573" s="1150"/>
      <c r="J573" s="1158"/>
    </row>
    <row r="574" spans="1:10" ht="15">
      <c r="A574" s="1150"/>
      <c r="B574" s="1150"/>
      <c r="C574" s="1150"/>
      <c r="D574" s="1150"/>
      <c r="E574" s="1150"/>
      <c r="F574" s="1150"/>
      <c r="G574" s="1150"/>
      <c r="H574" s="1150"/>
      <c r="I574" s="1150"/>
      <c r="J574" s="1158"/>
    </row>
    <row r="575" spans="1:10" ht="15">
      <c r="A575" s="1150"/>
      <c r="B575" s="1150"/>
      <c r="C575" s="1150"/>
      <c r="D575" s="1150"/>
      <c r="E575" s="1150"/>
      <c r="F575" s="1150"/>
      <c r="G575" s="1150"/>
      <c r="H575" s="1150"/>
      <c r="I575" s="1150"/>
      <c r="J575" s="1158"/>
    </row>
    <row r="576" spans="1:10" ht="15">
      <c r="A576" s="1150"/>
      <c r="B576" s="1150"/>
      <c r="C576" s="1150"/>
      <c r="D576" s="1150"/>
      <c r="E576" s="1150"/>
      <c r="F576" s="1150"/>
      <c r="G576" s="1150"/>
      <c r="H576" s="1150"/>
      <c r="I576" s="1150"/>
      <c r="J576" s="1158"/>
    </row>
    <row r="577" spans="1:10" ht="15">
      <c r="A577" s="1150"/>
      <c r="B577" s="1150"/>
      <c r="C577" s="1150"/>
      <c r="D577" s="1150"/>
      <c r="E577" s="1150"/>
      <c r="F577" s="1150"/>
      <c r="G577" s="1150"/>
      <c r="H577" s="1150"/>
      <c r="I577" s="1150"/>
      <c r="J577" s="1158"/>
    </row>
    <row r="578" spans="1:10" ht="15">
      <c r="A578" s="1150"/>
      <c r="B578" s="1150"/>
      <c r="C578" s="1150"/>
      <c r="D578" s="1150"/>
      <c r="E578" s="1150"/>
      <c r="F578" s="1150"/>
      <c r="G578" s="1150"/>
      <c r="H578" s="1150"/>
      <c r="I578" s="1150"/>
      <c r="J578" s="1158"/>
    </row>
    <row r="579" spans="1:10" ht="15">
      <c r="A579" s="1150"/>
      <c r="B579" s="1150"/>
      <c r="C579" s="1150"/>
      <c r="D579" s="1150"/>
      <c r="E579" s="1150"/>
      <c r="F579" s="1150"/>
      <c r="G579" s="1150"/>
      <c r="H579" s="1150"/>
      <c r="I579" s="1150"/>
      <c r="J579" s="1158"/>
    </row>
    <row r="580" spans="1:10" ht="15">
      <c r="A580" s="1150"/>
      <c r="B580" s="1150"/>
      <c r="C580" s="1150"/>
      <c r="D580" s="1150"/>
      <c r="E580" s="1150"/>
      <c r="F580" s="1150"/>
      <c r="G580" s="1150"/>
      <c r="H580" s="1150"/>
      <c r="I580" s="1150"/>
      <c r="J580" s="1158"/>
    </row>
    <row r="581" spans="1:10" ht="15">
      <c r="A581" s="1150"/>
      <c r="B581" s="1150"/>
      <c r="C581" s="1150"/>
      <c r="D581" s="1150"/>
      <c r="E581" s="1150"/>
      <c r="F581" s="1150"/>
      <c r="G581" s="1150"/>
      <c r="H581" s="1150"/>
      <c r="I581" s="1150"/>
      <c r="J581" s="1158"/>
    </row>
    <row r="582" spans="1:10" ht="15">
      <c r="A582" s="1150"/>
      <c r="B582" s="1150"/>
      <c r="C582" s="1150"/>
      <c r="D582" s="1150"/>
      <c r="E582" s="1150"/>
      <c r="F582" s="1150"/>
      <c r="G582" s="1150"/>
      <c r="H582" s="1150"/>
      <c r="I582" s="1150"/>
      <c r="J582" s="1158"/>
    </row>
    <row r="583" spans="1:10" ht="15">
      <c r="A583" s="1150"/>
      <c r="B583" s="1150"/>
      <c r="C583" s="1150"/>
      <c r="D583" s="1150"/>
      <c r="E583" s="1150"/>
      <c r="F583" s="1150"/>
      <c r="G583" s="1150"/>
      <c r="H583" s="1150"/>
      <c r="I583" s="1150"/>
      <c r="J583" s="1158"/>
    </row>
    <row r="584" spans="1:10" ht="15">
      <c r="A584" s="1150"/>
      <c r="B584" s="1150"/>
      <c r="C584" s="1150"/>
      <c r="D584" s="1150"/>
      <c r="E584" s="1150"/>
      <c r="F584" s="1150"/>
      <c r="G584" s="1150"/>
      <c r="H584" s="1150"/>
      <c r="I584" s="1150"/>
      <c r="J584" s="1158"/>
    </row>
    <row r="585" spans="1:10" ht="15">
      <c r="A585" s="1150"/>
      <c r="B585" s="1150"/>
      <c r="C585" s="1150"/>
      <c r="D585" s="1150"/>
      <c r="E585" s="1150"/>
      <c r="F585" s="1150"/>
      <c r="G585" s="1150"/>
      <c r="H585" s="1150"/>
      <c r="I585" s="1150"/>
      <c r="J585" s="1158"/>
    </row>
    <row r="586" spans="1:10" ht="15">
      <c r="A586" s="1150"/>
      <c r="B586" s="1150"/>
      <c r="C586" s="1150"/>
      <c r="D586" s="1150"/>
      <c r="E586" s="1150"/>
      <c r="F586" s="1150"/>
      <c r="G586" s="1150"/>
      <c r="H586" s="1150"/>
      <c r="I586" s="1150"/>
      <c r="J586" s="1158"/>
    </row>
    <row r="587" spans="1:10" ht="15">
      <c r="A587" s="1150"/>
      <c r="B587" s="1150"/>
      <c r="C587" s="1150"/>
      <c r="D587" s="1150"/>
      <c r="E587" s="1150"/>
      <c r="F587" s="1150"/>
      <c r="G587" s="1150"/>
      <c r="H587" s="1150"/>
      <c r="I587" s="1150"/>
      <c r="J587" s="1158"/>
    </row>
    <row r="588" spans="1:10" ht="15">
      <c r="A588" s="1150"/>
      <c r="B588" s="1150"/>
      <c r="C588" s="1150"/>
      <c r="D588" s="1150"/>
      <c r="E588" s="1150"/>
      <c r="F588" s="1150"/>
      <c r="G588" s="1150"/>
      <c r="H588" s="1150"/>
      <c r="I588" s="1150"/>
      <c r="J588" s="1158"/>
    </row>
    <row r="589" spans="1:10" ht="15">
      <c r="A589" s="1150"/>
      <c r="B589" s="1150"/>
      <c r="C589" s="1150"/>
      <c r="D589" s="1150"/>
      <c r="E589" s="1150"/>
      <c r="F589" s="1150"/>
      <c r="G589" s="1150"/>
      <c r="H589" s="1150"/>
      <c r="I589" s="1150"/>
      <c r="J589" s="1158"/>
    </row>
    <row r="590" spans="1:10" ht="15">
      <c r="A590" s="1150"/>
      <c r="B590" s="1150"/>
      <c r="C590" s="1150"/>
      <c r="D590" s="1150"/>
      <c r="E590" s="1150"/>
      <c r="F590" s="1150"/>
      <c r="G590" s="1150"/>
      <c r="H590" s="1150"/>
      <c r="I590" s="1150"/>
      <c r="J590" s="1158"/>
    </row>
    <row r="591" spans="1:10" ht="15">
      <c r="A591" s="1150"/>
      <c r="B591" s="1150"/>
      <c r="C591" s="1150"/>
      <c r="D591" s="1150"/>
      <c r="E591" s="1150"/>
      <c r="F591" s="1150"/>
      <c r="G591" s="1150"/>
      <c r="H591" s="1150"/>
      <c r="I591" s="1150"/>
      <c r="J591" s="1158"/>
    </row>
    <row r="592" spans="1:10" ht="15">
      <c r="A592" s="1150"/>
      <c r="B592" s="1150"/>
      <c r="C592" s="1150"/>
      <c r="D592" s="1150"/>
      <c r="E592" s="1150"/>
      <c r="F592" s="1150"/>
      <c r="G592" s="1150"/>
      <c r="H592" s="1150"/>
      <c r="I592" s="1150"/>
      <c r="J592" s="1158"/>
    </row>
    <row r="593" spans="1:10" ht="15">
      <c r="A593" s="1150"/>
      <c r="B593" s="1150"/>
      <c r="C593" s="1150"/>
      <c r="D593" s="1150"/>
      <c r="E593" s="1150"/>
      <c r="F593" s="1150"/>
      <c r="G593" s="1150"/>
      <c r="H593" s="1150"/>
      <c r="I593" s="1150"/>
      <c r="J593" s="1158"/>
    </row>
    <row r="594" spans="1:10" ht="15">
      <c r="A594" s="1150"/>
      <c r="B594" s="1150"/>
      <c r="C594" s="1150"/>
      <c r="D594" s="1150"/>
      <c r="E594" s="1150"/>
      <c r="F594" s="1150"/>
      <c r="G594" s="1150"/>
      <c r="H594" s="1150"/>
      <c r="I594" s="1150"/>
      <c r="J594" s="1158"/>
    </row>
    <row r="595" spans="1:10" ht="15">
      <c r="A595" s="1150"/>
      <c r="B595" s="1150"/>
      <c r="C595" s="1150"/>
      <c r="D595" s="1150"/>
      <c r="E595" s="1150"/>
      <c r="F595" s="1150"/>
      <c r="G595" s="1150"/>
      <c r="H595" s="1150"/>
      <c r="I595" s="1150"/>
      <c r="J595" s="1158"/>
    </row>
    <row r="596" spans="1:10" ht="15">
      <c r="A596" s="1150"/>
      <c r="B596" s="1150"/>
      <c r="C596" s="1150"/>
      <c r="D596" s="1150"/>
      <c r="E596" s="1150"/>
      <c r="F596" s="1150"/>
      <c r="G596" s="1150"/>
      <c r="H596" s="1150"/>
      <c r="I596" s="1150"/>
      <c r="J596" s="1158"/>
    </row>
    <row r="597" spans="1:10" ht="15">
      <c r="A597" s="1150"/>
      <c r="B597" s="1150"/>
      <c r="C597" s="1150"/>
      <c r="D597" s="1150"/>
      <c r="E597" s="1150"/>
      <c r="F597" s="1150"/>
      <c r="G597" s="1150"/>
      <c r="H597" s="1150"/>
      <c r="I597" s="1150"/>
      <c r="J597" s="1158"/>
    </row>
    <row r="598" spans="1:10" ht="15">
      <c r="A598" s="1150"/>
      <c r="B598" s="1150"/>
      <c r="C598" s="1150"/>
      <c r="D598" s="1150"/>
      <c r="E598" s="1150"/>
      <c r="F598" s="1150"/>
      <c r="G598" s="1150"/>
      <c r="H598" s="1150"/>
      <c r="I598" s="1150"/>
      <c r="J598" s="1158"/>
    </row>
    <row r="599" spans="1:10" ht="15">
      <c r="A599" s="1150"/>
      <c r="B599" s="1150"/>
      <c r="C599" s="1150"/>
      <c r="D599" s="1150"/>
      <c r="E599" s="1150"/>
      <c r="F599" s="1150"/>
      <c r="G599" s="1150"/>
      <c r="H599" s="1150"/>
      <c r="I599" s="1150"/>
      <c r="J599" s="1158"/>
    </row>
    <row r="600" spans="1:10" ht="15">
      <c r="A600" s="1150"/>
      <c r="B600" s="1150"/>
      <c r="C600" s="1150"/>
      <c r="D600" s="1150"/>
      <c r="E600" s="1150"/>
      <c r="F600" s="1150"/>
      <c r="G600" s="1150"/>
      <c r="H600" s="1150"/>
      <c r="I600" s="1150"/>
      <c r="J600" s="1158"/>
    </row>
    <row r="601" spans="1:10" ht="15">
      <c r="A601" s="1150"/>
      <c r="B601" s="1150"/>
      <c r="C601" s="1150"/>
      <c r="D601" s="1150"/>
      <c r="E601" s="1150"/>
      <c r="F601" s="1150"/>
      <c r="G601" s="1150"/>
      <c r="H601" s="1150"/>
      <c r="I601" s="1150"/>
      <c r="J601" s="1158"/>
    </row>
    <row r="602" spans="1:10" ht="15">
      <c r="A602" s="1150"/>
      <c r="B602" s="1150"/>
      <c r="C602" s="1150"/>
      <c r="D602" s="1150"/>
      <c r="E602" s="1150"/>
      <c r="F602" s="1150"/>
      <c r="G602" s="1150"/>
      <c r="H602" s="1150"/>
      <c r="I602" s="1150"/>
      <c r="J602" s="1158"/>
    </row>
    <row r="603" spans="1:10" ht="15">
      <c r="A603" s="1150"/>
      <c r="B603" s="1150"/>
      <c r="C603" s="1150"/>
      <c r="D603" s="1150"/>
      <c r="E603" s="1150"/>
      <c r="F603" s="1150"/>
      <c r="G603" s="1150"/>
      <c r="H603" s="1150"/>
      <c r="I603" s="1150"/>
      <c r="J603" s="1158"/>
    </row>
    <row r="604" spans="1:10" ht="15">
      <c r="A604" s="1150"/>
      <c r="B604" s="1150"/>
      <c r="C604" s="1150"/>
      <c r="D604" s="1150"/>
      <c r="E604" s="1150"/>
      <c r="F604" s="1150"/>
      <c r="G604" s="1150"/>
      <c r="H604" s="1150"/>
      <c r="I604" s="1150"/>
      <c r="J604" s="1158"/>
    </row>
    <row r="605" spans="1:10" ht="15">
      <c r="A605" s="1150"/>
      <c r="B605" s="1150"/>
      <c r="C605" s="1150"/>
      <c r="D605" s="1150"/>
      <c r="E605" s="1150"/>
      <c r="F605" s="1150"/>
      <c r="G605" s="1150"/>
      <c r="H605" s="1150"/>
      <c r="I605" s="1150"/>
      <c r="J605" s="1158"/>
    </row>
    <row r="606" spans="1:10" ht="15">
      <c r="A606" s="1150"/>
      <c r="B606" s="1150"/>
      <c r="C606" s="1150"/>
      <c r="D606" s="1150"/>
      <c r="E606" s="1150"/>
      <c r="F606" s="1150"/>
      <c r="G606" s="1150"/>
      <c r="H606" s="1150"/>
      <c r="I606" s="1150"/>
      <c r="J606" s="1158"/>
    </row>
    <row r="607" spans="1:10" ht="15">
      <c r="A607" s="1150"/>
      <c r="B607" s="1150"/>
      <c r="C607" s="1150"/>
      <c r="D607" s="1150"/>
      <c r="E607" s="1150"/>
      <c r="F607" s="1150"/>
      <c r="G607" s="1150"/>
      <c r="H607" s="1150"/>
      <c r="I607" s="1150"/>
      <c r="J607" s="1158"/>
    </row>
    <row r="608" spans="1:10" ht="15">
      <c r="A608" s="1150"/>
      <c r="B608" s="1150"/>
      <c r="C608" s="1150"/>
      <c r="D608" s="1150"/>
      <c r="E608" s="1150"/>
      <c r="F608" s="1150"/>
      <c r="G608" s="1150"/>
      <c r="H608" s="1150"/>
      <c r="I608" s="1150"/>
      <c r="J608" s="1158"/>
    </row>
    <row r="609" spans="1:10" ht="15">
      <c r="A609" s="1150"/>
      <c r="B609" s="1150"/>
      <c r="C609" s="1150"/>
      <c r="D609" s="1150"/>
      <c r="E609" s="1150"/>
      <c r="F609" s="1150"/>
      <c r="G609" s="1150"/>
      <c r="H609" s="1150"/>
      <c r="I609" s="1150"/>
      <c r="J609" s="1158"/>
    </row>
    <row r="610" spans="1:10" ht="15">
      <c r="A610" s="1150"/>
      <c r="B610" s="1150"/>
      <c r="C610" s="1150"/>
      <c r="D610" s="1150"/>
      <c r="E610" s="1150"/>
      <c r="F610" s="1150"/>
      <c r="G610" s="1150"/>
      <c r="H610" s="1150"/>
      <c r="I610" s="1150"/>
      <c r="J610" s="1158"/>
    </row>
    <row r="611" spans="1:10" ht="15">
      <c r="A611" s="1150"/>
      <c r="B611" s="1150"/>
      <c r="C611" s="1150"/>
      <c r="D611" s="1150"/>
      <c r="E611" s="1150"/>
      <c r="F611" s="1150"/>
      <c r="G611" s="1150"/>
      <c r="H611" s="1150"/>
      <c r="I611" s="1150"/>
      <c r="J611" s="1158"/>
    </row>
    <row r="612" spans="1:10" ht="15">
      <c r="A612" s="1150"/>
      <c r="B612" s="1150"/>
      <c r="C612" s="1150"/>
      <c r="D612" s="1150"/>
      <c r="E612" s="1150"/>
      <c r="F612" s="1150"/>
      <c r="G612" s="1150"/>
      <c r="H612" s="1150"/>
      <c r="I612" s="1150"/>
      <c r="J612" s="1158"/>
    </row>
    <row r="613" spans="1:10" ht="15">
      <c r="A613" s="1150"/>
      <c r="B613" s="1150"/>
      <c r="C613" s="1150"/>
      <c r="D613" s="1150"/>
      <c r="E613" s="1150"/>
      <c r="F613" s="1150"/>
      <c r="G613" s="1150"/>
      <c r="H613" s="1150"/>
      <c r="I613" s="1150"/>
      <c r="J613" s="1158"/>
    </row>
    <row r="614" spans="1:10" ht="15">
      <c r="A614" s="1150"/>
      <c r="B614" s="1150"/>
      <c r="C614" s="1150"/>
      <c r="D614" s="1150"/>
      <c r="E614" s="1150"/>
      <c r="F614" s="1150"/>
      <c r="G614" s="1150"/>
      <c r="H614" s="1150"/>
      <c r="I614" s="1150"/>
      <c r="J614" s="1158"/>
    </row>
    <row r="615" spans="1:10" ht="15">
      <c r="A615" s="1150"/>
      <c r="B615" s="1150"/>
      <c r="C615" s="1150"/>
      <c r="D615" s="1150"/>
      <c r="E615" s="1150"/>
      <c r="F615" s="1150"/>
      <c r="G615" s="1150"/>
      <c r="H615" s="1150"/>
      <c r="I615" s="1150"/>
      <c r="J615" s="1158"/>
    </row>
    <row r="616" spans="1:10" ht="15">
      <c r="A616" s="1150"/>
      <c r="B616" s="1150"/>
      <c r="C616" s="1150"/>
      <c r="D616" s="1150"/>
      <c r="E616" s="1150"/>
      <c r="F616" s="1150"/>
      <c r="G616" s="1150"/>
      <c r="H616" s="1150"/>
      <c r="I616" s="1150"/>
      <c r="J616" s="1158"/>
    </row>
    <row r="617" spans="1:10" ht="15">
      <c r="A617" s="1150"/>
      <c r="B617" s="1150"/>
      <c r="C617" s="1150"/>
      <c r="D617" s="1150"/>
      <c r="E617" s="1150"/>
      <c r="F617" s="1150"/>
      <c r="G617" s="1150"/>
      <c r="H617" s="1150"/>
      <c r="I617" s="1150"/>
      <c r="J617" s="1158"/>
    </row>
    <row r="618" spans="1:10" ht="15">
      <c r="A618" s="1150"/>
      <c r="B618" s="1150"/>
      <c r="C618" s="1150"/>
      <c r="D618" s="1150"/>
      <c r="E618" s="1150"/>
      <c r="F618" s="1150"/>
      <c r="G618" s="1150"/>
      <c r="H618" s="1150"/>
      <c r="I618" s="1150"/>
      <c r="J618" s="1158"/>
    </row>
    <row r="619" spans="1:10" ht="15">
      <c r="A619" s="1150"/>
      <c r="B619" s="1150"/>
      <c r="C619" s="1150"/>
      <c r="D619" s="1150"/>
      <c r="E619" s="1150"/>
      <c r="F619" s="1150"/>
      <c r="G619" s="1150"/>
      <c r="H619" s="1150"/>
      <c r="I619" s="1150"/>
      <c r="J619" s="1158"/>
    </row>
    <row r="620" spans="1:10" ht="15">
      <c r="A620" s="1150"/>
      <c r="B620" s="1150"/>
      <c r="C620" s="1150"/>
      <c r="D620" s="1150"/>
      <c r="E620" s="1150"/>
      <c r="F620" s="1150"/>
      <c r="G620" s="1150"/>
      <c r="H620" s="1150"/>
      <c r="I620" s="1150"/>
      <c r="J620" s="1158"/>
    </row>
    <row r="621" spans="1:10" ht="15">
      <c r="A621" s="1150"/>
      <c r="B621" s="1150"/>
      <c r="C621" s="1150"/>
      <c r="D621" s="1150"/>
      <c r="E621" s="1150"/>
      <c r="F621" s="1150"/>
      <c r="G621" s="1150"/>
      <c r="H621" s="1150"/>
      <c r="I621" s="1150"/>
      <c r="J621" s="1158"/>
    </row>
    <row r="622" spans="1:10" ht="15">
      <c r="A622" s="1150"/>
      <c r="B622" s="1150"/>
      <c r="C622" s="1150"/>
      <c r="D622" s="1150"/>
      <c r="E622" s="1150"/>
      <c r="F622" s="1150"/>
      <c r="G622" s="1150"/>
      <c r="H622" s="1150"/>
      <c r="I622" s="1150"/>
      <c r="J622" s="1158"/>
    </row>
    <row r="623" spans="1:10" ht="15">
      <c r="A623" s="1150"/>
      <c r="B623" s="1150"/>
      <c r="C623" s="1150"/>
      <c r="D623" s="1150"/>
      <c r="E623" s="1150"/>
      <c r="F623" s="1150"/>
      <c r="G623" s="1150"/>
      <c r="H623" s="1150"/>
      <c r="I623" s="1150"/>
      <c r="J623" s="1158"/>
    </row>
    <row r="624" spans="1:10" ht="15">
      <c r="A624" s="1150"/>
      <c r="B624" s="1150"/>
      <c r="C624" s="1150"/>
      <c r="D624" s="1150"/>
      <c r="E624" s="1150"/>
      <c r="F624" s="1150"/>
      <c r="G624" s="1150"/>
      <c r="H624" s="1150"/>
      <c r="I624" s="1150"/>
      <c r="J624" s="1158"/>
    </row>
    <row r="625" spans="1:10" ht="15">
      <c r="A625" s="1150"/>
      <c r="B625" s="1150"/>
      <c r="C625" s="1150"/>
      <c r="D625" s="1150"/>
      <c r="E625" s="1150"/>
      <c r="F625" s="1150"/>
      <c r="G625" s="1150"/>
      <c r="H625" s="1150"/>
      <c r="I625" s="1150"/>
      <c r="J625" s="1158"/>
    </row>
    <row r="626" spans="1:10" ht="15">
      <c r="A626" s="1150"/>
      <c r="B626" s="1150"/>
      <c r="C626" s="1150"/>
      <c r="D626" s="1150"/>
      <c r="E626" s="1150"/>
      <c r="F626" s="1150"/>
      <c r="G626" s="1150"/>
      <c r="H626" s="1150"/>
      <c r="I626" s="1150"/>
      <c r="J626" s="1158"/>
    </row>
    <row r="627" spans="1:10" ht="15">
      <c r="A627" s="1150"/>
      <c r="B627" s="1150"/>
      <c r="C627" s="1150"/>
      <c r="D627" s="1150"/>
      <c r="E627" s="1150"/>
      <c r="F627" s="1150"/>
      <c r="G627" s="1150"/>
      <c r="H627" s="1150"/>
      <c r="I627" s="1150"/>
      <c r="J627" s="1158"/>
    </row>
    <row r="628" spans="1:10" ht="15">
      <c r="A628" s="1150"/>
      <c r="B628" s="1150"/>
      <c r="C628" s="1150"/>
      <c r="D628" s="1150"/>
      <c r="E628" s="1150"/>
      <c r="F628" s="1150"/>
      <c r="G628" s="1150"/>
      <c r="H628" s="1150"/>
      <c r="I628" s="1150"/>
      <c r="J628" s="1158"/>
    </row>
    <row r="629" spans="1:10" ht="15">
      <c r="A629" s="1150"/>
      <c r="B629" s="1150"/>
      <c r="C629" s="1150"/>
      <c r="D629" s="1150"/>
      <c r="E629" s="1150"/>
      <c r="F629" s="1150"/>
      <c r="G629" s="1150"/>
      <c r="H629" s="1150"/>
      <c r="I629" s="1150"/>
      <c r="J629" s="1158"/>
    </row>
    <row r="630" spans="1:10" ht="15">
      <c r="A630" s="1150"/>
      <c r="B630" s="1150"/>
      <c r="C630" s="1150"/>
      <c r="D630" s="1150"/>
      <c r="E630" s="1150"/>
      <c r="F630" s="1150"/>
      <c r="G630" s="1150"/>
      <c r="H630" s="1150"/>
      <c r="I630" s="1150"/>
      <c r="J630" s="1158"/>
    </row>
    <row r="631" spans="1:10" ht="15">
      <c r="A631" s="1150"/>
      <c r="B631" s="1150"/>
      <c r="C631" s="1150"/>
      <c r="D631" s="1150"/>
      <c r="E631" s="1150"/>
      <c r="F631" s="1150"/>
      <c r="G631" s="1150"/>
      <c r="H631" s="1150"/>
      <c r="I631" s="1150"/>
      <c r="J631" s="1158"/>
    </row>
    <row r="632" spans="1:10" ht="15">
      <c r="A632" s="1150"/>
      <c r="B632" s="1150"/>
      <c r="C632" s="1150"/>
      <c r="D632" s="1150"/>
      <c r="E632" s="1150"/>
      <c r="F632" s="1150"/>
      <c r="G632" s="1150"/>
      <c r="H632" s="1150"/>
      <c r="I632" s="1150"/>
      <c r="J632" s="1158"/>
    </row>
    <row r="633" spans="1:10" ht="15">
      <c r="A633" s="1150"/>
      <c r="B633" s="1150"/>
      <c r="C633" s="1150"/>
      <c r="D633" s="1150"/>
      <c r="E633" s="1150"/>
      <c r="F633" s="1150"/>
      <c r="G633" s="1150"/>
      <c r="H633" s="1150"/>
      <c r="I633" s="1150"/>
      <c r="J633" s="1158"/>
    </row>
    <row r="634" spans="1:10" ht="15">
      <c r="A634" s="1150"/>
      <c r="B634" s="1150"/>
      <c r="C634" s="1150"/>
      <c r="D634" s="1150"/>
      <c r="E634" s="1150"/>
      <c r="F634" s="1150"/>
      <c r="G634" s="1150"/>
      <c r="H634" s="1150"/>
      <c r="I634" s="1150"/>
      <c r="J634" s="1158"/>
    </row>
    <row r="635" spans="1:10" ht="15">
      <c r="A635" s="1150"/>
      <c r="B635" s="1150"/>
      <c r="C635" s="1150"/>
      <c r="D635" s="1150"/>
      <c r="E635" s="1150"/>
      <c r="F635" s="1150"/>
      <c r="G635" s="1150"/>
      <c r="H635" s="1150"/>
      <c r="I635" s="1150"/>
      <c r="J635" s="1158"/>
    </row>
    <row r="636" spans="1:10" ht="15">
      <c r="A636" s="1150"/>
      <c r="B636" s="1150"/>
      <c r="C636" s="1150"/>
      <c r="D636" s="1150"/>
      <c r="E636" s="1150"/>
      <c r="F636" s="1150"/>
      <c r="G636" s="1150"/>
      <c r="H636" s="1150"/>
      <c r="I636" s="1150"/>
      <c r="J636" s="1158"/>
    </row>
    <row r="637" spans="1:10" ht="15">
      <c r="A637" s="1150"/>
      <c r="B637" s="1150"/>
      <c r="C637" s="1150"/>
      <c r="D637" s="1150"/>
      <c r="E637" s="1150"/>
      <c r="F637" s="1150"/>
      <c r="G637" s="1150"/>
      <c r="H637" s="1150"/>
      <c r="I637" s="1150"/>
      <c r="J637" s="1158"/>
    </row>
    <row r="638" spans="1:10" ht="15">
      <c r="A638" s="1150"/>
      <c r="B638" s="1150"/>
      <c r="C638" s="1150"/>
      <c r="D638" s="1150"/>
      <c r="E638" s="1150"/>
      <c r="F638" s="1150"/>
      <c r="G638" s="1150"/>
      <c r="H638" s="1150"/>
      <c r="I638" s="1150"/>
      <c r="J638" s="1158"/>
    </row>
    <row r="639" spans="1:10" ht="15">
      <c r="A639" s="1150"/>
      <c r="B639" s="1150"/>
      <c r="C639" s="1150"/>
      <c r="D639" s="1150"/>
      <c r="E639" s="1150"/>
      <c r="F639" s="1150"/>
      <c r="G639" s="1150"/>
      <c r="H639" s="1150"/>
      <c r="I639" s="1150"/>
      <c r="J639" s="1158"/>
    </row>
    <row r="640" spans="1:10" ht="15">
      <c r="A640" s="1150"/>
      <c r="B640" s="1150"/>
      <c r="C640" s="1150"/>
      <c r="D640" s="1150"/>
      <c r="E640" s="1150"/>
      <c r="F640" s="1150"/>
      <c r="G640" s="1150"/>
      <c r="H640" s="1150"/>
      <c r="I640" s="1150"/>
      <c r="J640" s="1158"/>
    </row>
    <row r="641" spans="1:10" ht="15">
      <c r="A641" s="1150"/>
      <c r="B641" s="1150"/>
      <c r="C641" s="1150"/>
      <c r="D641" s="1150"/>
      <c r="E641" s="1150"/>
      <c r="F641" s="1150"/>
      <c r="G641" s="1150"/>
      <c r="H641" s="1150"/>
      <c r="I641" s="1150"/>
      <c r="J641" s="1158"/>
    </row>
    <row r="642" spans="1:10" ht="15">
      <c r="A642" s="1150"/>
      <c r="B642" s="1150"/>
      <c r="C642" s="1150"/>
      <c r="D642" s="1150"/>
      <c r="E642" s="1150"/>
      <c r="F642" s="1150"/>
      <c r="G642" s="1150"/>
      <c r="H642" s="1150"/>
      <c r="I642" s="1150"/>
      <c r="J642" s="1158"/>
    </row>
    <row r="643" spans="1:10" ht="15">
      <c r="A643" s="1150"/>
      <c r="B643" s="1150"/>
      <c r="C643" s="1150"/>
      <c r="D643" s="1150"/>
      <c r="E643" s="1150"/>
      <c r="F643" s="1150"/>
      <c r="G643" s="1150"/>
      <c r="H643" s="1150"/>
      <c r="I643" s="1150"/>
      <c r="J643" s="1158"/>
    </row>
    <row r="644" spans="1:10" ht="15">
      <c r="A644" s="1150"/>
      <c r="B644" s="1150"/>
      <c r="C644" s="1150"/>
      <c r="D644" s="1150"/>
      <c r="E644" s="1150"/>
      <c r="F644" s="1150"/>
      <c r="G644" s="1150"/>
      <c r="H644" s="1150"/>
      <c r="I644" s="1150"/>
      <c r="J644" s="1158"/>
    </row>
    <row r="645" spans="1:10" ht="15">
      <c r="A645" s="1150"/>
      <c r="B645" s="1150"/>
      <c r="C645" s="1150"/>
      <c r="D645" s="1150"/>
      <c r="E645" s="1150"/>
      <c r="F645" s="1150"/>
      <c r="G645" s="1150"/>
      <c r="H645" s="1150"/>
      <c r="I645" s="1150"/>
      <c r="J645" s="1158"/>
    </row>
    <row r="646" spans="1:10" ht="15">
      <c r="A646" s="1150"/>
      <c r="B646" s="1150"/>
      <c r="C646" s="1150"/>
      <c r="D646" s="1150"/>
      <c r="E646" s="1150"/>
      <c r="F646" s="1150"/>
      <c r="G646" s="1150"/>
      <c r="H646" s="1150"/>
      <c r="I646" s="1150"/>
      <c r="J646" s="1158"/>
    </row>
    <row r="647" spans="1:10" ht="15">
      <c r="A647" s="1150"/>
      <c r="B647" s="1150"/>
      <c r="C647" s="1150"/>
      <c r="D647" s="1150"/>
      <c r="E647" s="1150"/>
      <c r="F647" s="1150"/>
      <c r="G647" s="1150"/>
      <c r="H647" s="1150"/>
      <c r="I647" s="1150"/>
      <c r="J647" s="1158"/>
    </row>
    <row r="648" spans="1:10" ht="15">
      <c r="A648" s="1150"/>
      <c r="B648" s="1150"/>
      <c r="C648" s="1150"/>
      <c r="D648" s="1150"/>
      <c r="E648" s="1150"/>
      <c r="F648" s="1150"/>
      <c r="G648" s="1150"/>
      <c r="H648" s="1150"/>
      <c r="I648" s="1150"/>
      <c r="J648" s="1158"/>
    </row>
    <row r="649" spans="1:10" ht="15">
      <c r="A649" s="1150"/>
      <c r="B649" s="1150"/>
      <c r="C649" s="1150"/>
      <c r="D649" s="1150"/>
      <c r="E649" s="1150"/>
      <c r="F649" s="1150"/>
      <c r="G649" s="1150"/>
      <c r="H649" s="1150"/>
      <c r="I649" s="1150"/>
      <c r="J649" s="1158"/>
    </row>
    <row r="650" spans="1:10" ht="15">
      <c r="A650" s="1150"/>
      <c r="B650" s="1150"/>
      <c r="C650" s="1150"/>
      <c r="D650" s="1150"/>
      <c r="E650" s="1150"/>
      <c r="F650" s="1150"/>
      <c r="G650" s="1150"/>
      <c r="H650" s="1150"/>
      <c r="I650" s="1150"/>
      <c r="J650" s="1158"/>
    </row>
    <row r="651" spans="1:10" ht="15">
      <c r="A651" s="1150"/>
      <c r="B651" s="1150"/>
      <c r="C651" s="1150"/>
      <c r="D651" s="1150"/>
      <c r="E651" s="1150"/>
      <c r="F651" s="1150"/>
      <c r="G651" s="1150"/>
      <c r="H651" s="1150"/>
      <c r="I651" s="1150"/>
      <c r="J651" s="1158"/>
    </row>
    <row r="652" spans="1:10" ht="15">
      <c r="A652" s="1150"/>
      <c r="B652" s="1150"/>
      <c r="C652" s="1150"/>
      <c r="D652" s="1150"/>
      <c r="E652" s="1150"/>
      <c r="F652" s="1150"/>
      <c r="G652" s="1150"/>
      <c r="H652" s="1150"/>
      <c r="I652" s="1150"/>
      <c r="J652" s="1158"/>
    </row>
    <row r="653" spans="1:10" ht="15">
      <c r="A653" s="1150"/>
      <c r="B653" s="1150"/>
      <c r="C653" s="1150"/>
      <c r="D653" s="1150"/>
      <c r="E653" s="1150"/>
      <c r="F653" s="1150"/>
      <c r="G653" s="1150"/>
      <c r="H653" s="1150"/>
      <c r="I653" s="1150"/>
      <c r="J653" s="1158"/>
    </row>
    <row r="654" spans="1:10" ht="15">
      <c r="A654" s="1150"/>
      <c r="B654" s="1150"/>
      <c r="C654" s="1150"/>
      <c r="D654" s="1150"/>
      <c r="E654" s="1150"/>
      <c r="F654" s="1150"/>
      <c r="G654" s="1150"/>
      <c r="H654" s="1150"/>
      <c r="I654" s="1150"/>
      <c r="J654" s="1158"/>
    </row>
    <row r="655" spans="1:10" ht="15">
      <c r="A655" s="1150"/>
      <c r="B655" s="1150"/>
      <c r="C655" s="1150"/>
      <c r="D655" s="1150"/>
      <c r="E655" s="1150"/>
      <c r="F655" s="1150"/>
      <c r="G655" s="1150"/>
      <c r="H655" s="1150"/>
      <c r="I655" s="1150"/>
      <c r="J655" s="1158"/>
    </row>
    <row r="656" spans="1:10" ht="15">
      <c r="A656" s="1150"/>
      <c r="B656" s="1150"/>
      <c r="C656" s="1150"/>
      <c r="D656" s="1150"/>
      <c r="E656" s="1150"/>
      <c r="F656" s="1150"/>
      <c r="G656" s="1150"/>
      <c r="H656" s="1150"/>
      <c r="I656" s="1150"/>
      <c r="J656" s="1158"/>
    </row>
    <row r="657" spans="1:10" ht="15">
      <c r="A657" s="1150"/>
      <c r="B657" s="1150"/>
      <c r="C657" s="1150"/>
      <c r="D657" s="1150"/>
      <c r="E657" s="1150"/>
      <c r="F657" s="1150"/>
      <c r="G657" s="1150"/>
      <c r="H657" s="1150"/>
      <c r="I657" s="1150"/>
      <c r="J657" s="1158"/>
    </row>
    <row r="658" spans="1:10" ht="15">
      <c r="A658" s="1150"/>
      <c r="B658" s="1150"/>
      <c r="C658" s="1150"/>
      <c r="D658" s="1150"/>
      <c r="E658" s="1150"/>
      <c r="F658" s="1150"/>
      <c r="G658" s="1150"/>
      <c r="H658" s="1150"/>
      <c r="I658" s="1150"/>
      <c r="J658" s="1158"/>
    </row>
    <row r="659" spans="1:10" ht="15">
      <c r="A659" s="1150"/>
      <c r="B659" s="1150"/>
      <c r="C659" s="1150"/>
      <c r="D659" s="1150"/>
      <c r="E659" s="1150"/>
      <c r="F659" s="1150"/>
      <c r="G659" s="1150"/>
      <c r="H659" s="1150"/>
      <c r="I659" s="1150"/>
      <c r="J659" s="1158"/>
    </row>
    <row r="660" spans="1:10" ht="15">
      <c r="A660" s="1150"/>
      <c r="B660" s="1150"/>
      <c r="C660" s="1150"/>
      <c r="D660" s="1150"/>
      <c r="E660" s="1150"/>
      <c r="F660" s="1150"/>
      <c r="G660" s="1150"/>
      <c r="H660" s="1150"/>
      <c r="I660" s="1150"/>
      <c r="J660" s="1158"/>
    </row>
    <row r="661" spans="1:10" ht="15">
      <c r="A661" s="1150"/>
      <c r="B661" s="1150"/>
      <c r="C661" s="1150"/>
      <c r="D661" s="1150"/>
      <c r="E661" s="1150"/>
      <c r="F661" s="1150"/>
      <c r="G661" s="1150"/>
      <c r="H661" s="1150"/>
      <c r="I661" s="1150"/>
      <c r="J661" s="1158"/>
    </row>
    <row r="662" spans="1:10" ht="15">
      <c r="A662" s="1150"/>
      <c r="B662" s="1150"/>
      <c r="C662" s="1150"/>
      <c r="D662" s="1150"/>
      <c r="E662" s="1150"/>
      <c r="F662" s="1150"/>
      <c r="G662" s="1150"/>
      <c r="H662" s="1150"/>
      <c r="I662" s="1150"/>
      <c r="J662" s="1158"/>
    </row>
    <row r="663" spans="1:10" ht="15">
      <c r="A663" s="1150"/>
      <c r="B663" s="1150"/>
      <c r="C663" s="1150"/>
      <c r="D663" s="1150"/>
      <c r="E663" s="1150"/>
      <c r="F663" s="1150"/>
      <c r="G663" s="1150"/>
      <c r="H663" s="1150"/>
      <c r="I663" s="1150"/>
      <c r="J663" s="1158"/>
    </row>
    <row r="664" spans="1:10" ht="15">
      <c r="A664" s="1150"/>
      <c r="B664" s="1150"/>
      <c r="C664" s="1150"/>
      <c r="D664" s="1150"/>
      <c r="E664" s="1150"/>
      <c r="F664" s="1150"/>
      <c r="G664" s="1150"/>
      <c r="H664" s="1150"/>
      <c r="I664" s="1150"/>
      <c r="J664" s="1158"/>
    </row>
    <row r="665" spans="1:10" ht="15">
      <c r="A665" s="1150"/>
      <c r="B665" s="1150"/>
      <c r="C665" s="1150"/>
      <c r="D665" s="1150"/>
      <c r="E665" s="1150"/>
      <c r="F665" s="1150"/>
      <c r="G665" s="1150"/>
      <c r="H665" s="1150"/>
      <c r="I665" s="1150"/>
      <c r="J665" s="1158"/>
    </row>
    <row r="666" spans="1:10" ht="15">
      <c r="A666" s="1150"/>
      <c r="B666" s="1150"/>
      <c r="C666" s="1150"/>
      <c r="D666" s="1150"/>
      <c r="E666" s="1150"/>
      <c r="F666" s="1150"/>
      <c r="G666" s="1150"/>
      <c r="H666" s="1150"/>
      <c r="I666" s="1150"/>
      <c r="J666" s="1158"/>
    </row>
    <row r="667" spans="1:10" ht="15">
      <c r="A667" s="1150"/>
      <c r="B667" s="1150"/>
      <c r="C667" s="1150"/>
      <c r="D667" s="1150"/>
      <c r="E667" s="1150"/>
      <c r="F667" s="1150"/>
      <c r="G667" s="1150"/>
      <c r="H667" s="1150"/>
      <c r="I667" s="1150"/>
      <c r="J667" s="1158"/>
    </row>
    <row r="668" spans="1:10" ht="15">
      <c r="A668" s="1150"/>
      <c r="B668" s="1150"/>
      <c r="C668" s="1150"/>
      <c r="D668" s="1150"/>
      <c r="E668" s="1150"/>
      <c r="F668" s="1150"/>
      <c r="G668" s="1150"/>
      <c r="H668" s="1150"/>
      <c r="I668" s="1150"/>
      <c r="J668" s="1158"/>
    </row>
    <row r="669" spans="1:10" ht="15">
      <c r="A669" s="1150"/>
      <c r="B669" s="1150"/>
      <c r="C669" s="1150"/>
      <c r="D669" s="1150"/>
      <c r="E669" s="1150"/>
      <c r="F669" s="1150"/>
      <c r="G669" s="1150"/>
      <c r="H669" s="1150"/>
      <c r="I669" s="1150"/>
      <c r="J669" s="1158"/>
    </row>
    <row r="670" spans="1:10" ht="15">
      <c r="A670" s="1150"/>
      <c r="B670" s="1150"/>
      <c r="C670" s="1150"/>
      <c r="D670" s="1150"/>
      <c r="E670" s="1150"/>
      <c r="F670" s="1150"/>
      <c r="G670" s="1150"/>
      <c r="H670" s="1150"/>
      <c r="I670" s="1150"/>
      <c r="J670" s="1158"/>
    </row>
    <row r="671" spans="1:10" ht="15">
      <c r="A671" s="1150"/>
      <c r="B671" s="1150"/>
      <c r="C671" s="1150"/>
      <c r="D671" s="1150"/>
      <c r="E671" s="1150"/>
      <c r="F671" s="1150"/>
      <c r="G671" s="1150"/>
      <c r="H671" s="1150"/>
      <c r="I671" s="1150"/>
      <c r="J671" s="1158"/>
    </row>
    <row r="672" spans="1:10" ht="15">
      <c r="A672" s="1150"/>
      <c r="B672" s="1150"/>
      <c r="C672" s="1150"/>
      <c r="D672" s="1150"/>
      <c r="E672" s="1150"/>
      <c r="F672" s="1150"/>
      <c r="G672" s="1150"/>
      <c r="H672" s="1150"/>
      <c r="I672" s="1150"/>
      <c r="J672" s="1158"/>
    </row>
    <row r="673" spans="1:10" ht="15">
      <c r="A673" s="1150"/>
      <c r="B673" s="1150"/>
      <c r="C673" s="1150"/>
      <c r="D673" s="1150"/>
      <c r="E673" s="1150"/>
      <c r="F673" s="1150"/>
      <c r="G673" s="1150"/>
      <c r="H673" s="1150"/>
      <c r="I673" s="1150"/>
      <c r="J673" s="1158"/>
    </row>
    <row r="674" spans="1:10" ht="15">
      <c r="A674" s="1150"/>
      <c r="B674" s="1150"/>
      <c r="C674" s="1150"/>
      <c r="D674" s="1150"/>
      <c r="E674" s="1150"/>
      <c r="F674" s="1150"/>
      <c r="G674" s="1150"/>
      <c r="H674" s="1150"/>
      <c r="I674" s="1150"/>
      <c r="J674" s="1158"/>
    </row>
    <row r="675" spans="1:10" ht="15">
      <c r="A675" s="1150"/>
      <c r="B675" s="1150"/>
      <c r="C675" s="1150"/>
      <c r="D675" s="1150"/>
      <c r="E675" s="1150"/>
      <c r="F675" s="1150"/>
      <c r="G675" s="1150"/>
      <c r="H675" s="1150"/>
      <c r="I675" s="1150"/>
      <c r="J675" s="1158"/>
    </row>
    <row r="676" spans="1:10" ht="15">
      <c r="A676" s="1150"/>
      <c r="B676" s="1150"/>
      <c r="C676" s="1150"/>
      <c r="D676" s="1150"/>
      <c r="E676" s="1150"/>
      <c r="F676" s="1150"/>
      <c r="G676" s="1150"/>
      <c r="H676" s="1150"/>
      <c r="I676" s="1150"/>
      <c r="J676" s="1158"/>
    </row>
    <row r="677" spans="1:10" ht="15">
      <c r="A677" s="1150"/>
      <c r="B677" s="1150"/>
      <c r="C677" s="1150"/>
      <c r="D677" s="1150"/>
      <c r="E677" s="1150"/>
      <c r="F677" s="1150"/>
      <c r="G677" s="1150"/>
      <c r="H677" s="1150"/>
      <c r="I677" s="1150"/>
      <c r="J677" s="1158"/>
    </row>
    <row r="678" spans="1:10" ht="15">
      <c r="A678" s="1150"/>
      <c r="B678" s="1150"/>
      <c r="C678" s="1150"/>
      <c r="D678" s="1150"/>
      <c r="E678" s="1150"/>
      <c r="F678" s="1150"/>
      <c r="G678" s="1150"/>
      <c r="H678" s="1150"/>
      <c r="I678" s="1150"/>
      <c r="J678" s="1158"/>
    </row>
    <row r="679" spans="1:10" ht="15">
      <c r="A679" s="1150"/>
      <c r="B679" s="1150"/>
      <c r="C679" s="1150"/>
      <c r="D679" s="1150"/>
      <c r="E679" s="1150"/>
      <c r="F679" s="1150"/>
      <c r="G679" s="1150"/>
      <c r="H679" s="1150"/>
      <c r="I679" s="1150"/>
      <c r="J679" s="1158"/>
    </row>
    <row r="680" spans="1:10" ht="15">
      <c r="A680" s="1150"/>
      <c r="B680" s="1150"/>
      <c r="C680" s="1150"/>
      <c r="D680" s="1150"/>
      <c r="E680" s="1150"/>
      <c r="F680" s="1150"/>
      <c r="G680" s="1150"/>
      <c r="H680" s="1150"/>
      <c r="I680" s="1150"/>
      <c r="J680" s="1158"/>
    </row>
    <row r="681" spans="1:10" ht="15">
      <c r="A681" s="1150"/>
      <c r="B681" s="1150"/>
      <c r="C681" s="1150"/>
      <c r="D681" s="1150"/>
      <c r="E681" s="1150"/>
      <c r="F681" s="1150"/>
      <c r="G681" s="1150"/>
      <c r="H681" s="1150"/>
      <c r="I681" s="1150"/>
      <c r="J681" s="1158"/>
    </row>
    <row r="682" spans="1:10" ht="15">
      <c r="A682" s="1150"/>
      <c r="B682" s="1150"/>
      <c r="C682" s="1150"/>
      <c r="D682" s="1150"/>
      <c r="E682" s="1150"/>
      <c r="F682" s="1150"/>
      <c r="G682" s="1150"/>
      <c r="H682" s="1150"/>
      <c r="I682" s="1150"/>
      <c r="J682" s="1158"/>
    </row>
    <row r="683" spans="1:10" ht="15">
      <c r="A683" s="1150"/>
      <c r="B683" s="1150"/>
      <c r="C683" s="1150"/>
      <c r="D683" s="1150"/>
      <c r="E683" s="1150"/>
      <c r="F683" s="1150"/>
      <c r="G683" s="1150"/>
      <c r="H683" s="1150"/>
      <c r="I683" s="1150"/>
      <c r="J683" s="1158"/>
    </row>
    <row r="684" spans="1:10" ht="15">
      <c r="A684" s="1150"/>
      <c r="B684" s="1150"/>
      <c r="C684" s="1150"/>
      <c r="D684" s="1150"/>
      <c r="E684" s="1150"/>
      <c r="F684" s="1150"/>
      <c r="G684" s="1150"/>
      <c r="H684" s="1150"/>
      <c r="I684" s="1150"/>
      <c r="J684" s="1158"/>
    </row>
    <row r="685" spans="1:10" ht="15">
      <c r="A685" s="1150"/>
      <c r="B685" s="1150"/>
      <c r="C685" s="1150"/>
      <c r="D685" s="1150"/>
      <c r="E685" s="1150"/>
      <c r="F685" s="1150"/>
      <c r="G685" s="1150"/>
      <c r="H685" s="1150"/>
      <c r="I685" s="1150"/>
      <c r="J685" s="1158"/>
    </row>
    <row r="686" spans="1:10" ht="15">
      <c r="A686" s="1150"/>
      <c r="B686" s="1150"/>
      <c r="C686" s="1150"/>
      <c r="D686" s="1150"/>
      <c r="E686" s="1150"/>
      <c r="F686" s="1150"/>
      <c r="G686" s="1150"/>
      <c r="H686" s="1150"/>
      <c r="I686" s="1150"/>
      <c r="J686" s="1158"/>
    </row>
    <row r="687" spans="1:10" ht="15">
      <c r="A687" s="1150"/>
      <c r="B687" s="1150"/>
      <c r="C687" s="1150"/>
      <c r="D687" s="1150"/>
      <c r="E687" s="1150"/>
      <c r="F687" s="1150"/>
      <c r="G687" s="1150"/>
      <c r="H687" s="1150"/>
      <c r="I687" s="1150"/>
      <c r="J687" s="1158"/>
    </row>
    <row r="688" spans="1:10" ht="15">
      <c r="A688" s="1150"/>
      <c r="B688" s="1150"/>
      <c r="C688" s="1150"/>
      <c r="D688" s="1150"/>
      <c r="E688" s="1150"/>
      <c r="F688" s="1150"/>
      <c r="G688" s="1150"/>
      <c r="H688" s="1150"/>
      <c r="I688" s="1150"/>
      <c r="J688" s="1158"/>
    </row>
    <row r="689" spans="1:10" ht="15">
      <c r="A689" s="1150"/>
      <c r="B689" s="1150"/>
      <c r="C689" s="1150"/>
      <c r="D689" s="1150"/>
      <c r="E689" s="1150"/>
      <c r="F689" s="1150"/>
      <c r="G689" s="1150"/>
      <c r="H689" s="1150"/>
      <c r="I689" s="1150"/>
      <c r="J689" s="1158"/>
    </row>
    <row r="690" spans="1:10" ht="15">
      <c r="A690" s="1150"/>
      <c r="B690" s="1150"/>
      <c r="C690" s="1150"/>
      <c r="D690" s="1150"/>
      <c r="E690" s="1150"/>
      <c r="F690" s="1150"/>
      <c r="G690" s="1150"/>
      <c r="H690" s="1150"/>
      <c r="I690" s="1150"/>
      <c r="J690" s="1158"/>
    </row>
    <row r="691" spans="1:10" ht="15">
      <c r="A691" s="1150"/>
      <c r="B691" s="1150"/>
      <c r="C691" s="1150"/>
      <c r="D691" s="1150"/>
      <c r="E691" s="1150"/>
      <c r="F691" s="1150"/>
      <c r="G691" s="1150"/>
      <c r="H691" s="1150"/>
      <c r="I691" s="1150"/>
      <c r="J691" s="1158"/>
    </row>
    <row r="692" spans="1:10" ht="15">
      <c r="A692" s="1150"/>
      <c r="B692" s="1150"/>
      <c r="C692" s="1150"/>
      <c r="D692" s="1150"/>
      <c r="E692" s="1150"/>
      <c r="F692" s="1150"/>
      <c r="G692" s="1150"/>
      <c r="H692" s="1150"/>
      <c r="I692" s="1150"/>
      <c r="J692" s="1158"/>
    </row>
    <row r="693" spans="1:10" ht="15">
      <c r="A693" s="1150"/>
      <c r="B693" s="1150"/>
      <c r="C693" s="1150"/>
      <c r="D693" s="1150"/>
      <c r="E693" s="1150"/>
      <c r="F693" s="1150"/>
      <c r="G693" s="1150"/>
      <c r="H693" s="1150"/>
      <c r="I693" s="1150"/>
      <c r="J693" s="1158"/>
    </row>
    <row r="694" spans="1:10" ht="15">
      <c r="A694" s="1150"/>
      <c r="B694" s="1150"/>
      <c r="C694" s="1150"/>
      <c r="D694" s="1150"/>
      <c r="E694" s="1150"/>
      <c r="F694" s="1150"/>
      <c r="G694" s="1150"/>
      <c r="H694" s="1150"/>
      <c r="I694" s="1150"/>
      <c r="J694" s="1158"/>
    </row>
    <row r="695" spans="1:10" ht="15">
      <c r="A695" s="1150"/>
      <c r="B695" s="1150"/>
      <c r="C695" s="1150"/>
      <c r="D695" s="1150"/>
      <c r="E695" s="1150"/>
      <c r="F695" s="1150"/>
      <c r="G695" s="1150"/>
      <c r="H695" s="1150"/>
      <c r="I695" s="1150"/>
      <c r="J695" s="1158"/>
    </row>
    <row r="696" spans="1:10" ht="15">
      <c r="A696" s="1150"/>
      <c r="B696" s="1150"/>
      <c r="C696" s="1150"/>
      <c r="D696" s="1150"/>
      <c r="E696" s="1150"/>
      <c r="F696" s="1150"/>
      <c r="G696" s="1150"/>
      <c r="H696" s="1150"/>
      <c r="I696" s="1150"/>
      <c r="J696" s="1158"/>
    </row>
    <row r="697" spans="1:10" ht="15">
      <c r="A697" s="1150"/>
      <c r="B697" s="1150"/>
      <c r="C697" s="1150"/>
      <c r="D697" s="1150"/>
      <c r="E697" s="1150"/>
      <c r="F697" s="1150"/>
      <c r="G697" s="1150"/>
      <c r="H697" s="1150"/>
      <c r="I697" s="1150"/>
      <c r="J697" s="1158"/>
    </row>
    <row r="698" spans="1:10" ht="15">
      <c r="A698" s="1150"/>
      <c r="B698" s="1150"/>
      <c r="C698" s="1150"/>
      <c r="D698" s="1150"/>
      <c r="E698" s="1150"/>
      <c r="F698" s="1150"/>
      <c r="G698" s="1150"/>
      <c r="H698" s="1150"/>
      <c r="I698" s="1150"/>
      <c r="J698" s="1158"/>
    </row>
    <row r="699" spans="1:10" ht="15">
      <c r="A699" s="1150"/>
      <c r="B699" s="1150"/>
      <c r="C699" s="1150"/>
      <c r="D699" s="1150"/>
      <c r="E699" s="1150"/>
      <c r="F699" s="1150"/>
      <c r="G699" s="1150"/>
      <c r="H699" s="1150"/>
      <c r="I699" s="1150"/>
      <c r="J699" s="1158"/>
    </row>
    <row r="700" spans="1:10" ht="15">
      <c r="A700" s="1150"/>
      <c r="B700" s="1150"/>
      <c r="C700" s="1150"/>
      <c r="D700" s="1150"/>
      <c r="E700" s="1150"/>
      <c r="F700" s="1150"/>
      <c r="G700" s="1150"/>
      <c r="H700" s="1150"/>
      <c r="I700" s="1150"/>
      <c r="J700" s="1158"/>
    </row>
    <row r="701" spans="1:10" ht="15">
      <c r="A701" s="1150"/>
      <c r="B701" s="1150"/>
      <c r="C701" s="1150"/>
      <c r="D701" s="1150"/>
      <c r="E701" s="1150"/>
      <c r="F701" s="1150"/>
      <c r="G701" s="1150"/>
      <c r="H701" s="1150"/>
      <c r="I701" s="1150"/>
      <c r="J701" s="1158"/>
    </row>
    <row r="702" spans="1:10" ht="15">
      <c r="A702" s="1150"/>
      <c r="B702" s="1150"/>
      <c r="C702" s="1150"/>
      <c r="D702" s="1150"/>
      <c r="E702" s="1150"/>
      <c r="F702" s="1150"/>
      <c r="G702" s="1150"/>
      <c r="H702" s="1150"/>
      <c r="I702" s="1150"/>
      <c r="J702" s="1158"/>
    </row>
    <row r="703" spans="1:10" ht="15">
      <c r="A703" s="1150"/>
      <c r="B703" s="1150"/>
      <c r="C703" s="1150"/>
      <c r="D703" s="1150"/>
      <c r="E703" s="1150"/>
      <c r="F703" s="1150"/>
      <c r="G703" s="1150"/>
      <c r="H703" s="1150"/>
      <c r="I703" s="1150"/>
      <c r="J703" s="1158"/>
    </row>
    <row r="704" spans="1:10" ht="15">
      <c r="A704" s="1150"/>
      <c r="B704" s="1150"/>
      <c r="C704" s="1150"/>
      <c r="D704" s="1150"/>
      <c r="E704" s="1150"/>
      <c r="F704" s="1150"/>
      <c r="G704" s="1150"/>
      <c r="H704" s="1150"/>
      <c r="I704" s="1150"/>
      <c r="J704" s="1158"/>
    </row>
    <row r="705" spans="1:10" ht="15">
      <c r="A705" s="1150"/>
      <c r="B705" s="1150"/>
      <c r="C705" s="1150"/>
      <c r="D705" s="1150"/>
      <c r="E705" s="1150"/>
      <c r="F705" s="1150"/>
      <c r="G705" s="1150"/>
      <c r="H705" s="1150"/>
      <c r="I705" s="1150"/>
      <c r="J705" s="1158"/>
    </row>
    <row r="706" spans="1:10" ht="15">
      <c r="A706" s="1150"/>
      <c r="B706" s="1150"/>
      <c r="C706" s="1150"/>
      <c r="D706" s="1150"/>
      <c r="E706" s="1150"/>
      <c r="F706" s="1150"/>
      <c r="G706" s="1150"/>
      <c r="H706" s="1150"/>
      <c r="I706" s="1150"/>
      <c r="J706" s="1158"/>
    </row>
    <row r="707" spans="1:10" ht="15">
      <c r="A707" s="1150"/>
      <c r="B707" s="1150"/>
      <c r="C707" s="1150"/>
      <c r="D707" s="1150"/>
      <c r="E707" s="1150"/>
      <c r="F707" s="1150"/>
      <c r="G707" s="1150"/>
      <c r="H707" s="1150"/>
      <c r="I707" s="1150"/>
      <c r="J707" s="1158"/>
    </row>
    <row r="708" spans="1:10" ht="15">
      <c r="A708" s="1150"/>
      <c r="B708" s="1150"/>
      <c r="C708" s="1150"/>
      <c r="D708" s="1150"/>
      <c r="E708" s="1150"/>
      <c r="F708" s="1150"/>
      <c r="G708" s="1150"/>
      <c r="H708" s="1150"/>
      <c r="I708" s="1150"/>
      <c r="J708" s="1158"/>
    </row>
    <row r="709" spans="1:10" ht="15">
      <c r="A709" s="1150"/>
      <c r="B709" s="1150"/>
      <c r="C709" s="1150"/>
      <c r="D709" s="1150"/>
      <c r="E709" s="1150"/>
      <c r="F709" s="1150"/>
      <c r="G709" s="1150"/>
      <c r="H709" s="1150"/>
      <c r="I709" s="1150"/>
      <c r="J709" s="1158"/>
    </row>
    <row r="710" spans="1:10" ht="15">
      <c r="A710" s="1150"/>
      <c r="B710" s="1150"/>
      <c r="C710" s="1150"/>
      <c r="D710" s="1150"/>
      <c r="E710" s="1150"/>
      <c r="F710" s="1150"/>
      <c r="G710" s="1150"/>
      <c r="H710" s="1150"/>
      <c r="I710" s="1150"/>
      <c r="J710" s="1158"/>
    </row>
    <row r="711" spans="1:10" ht="15">
      <c r="A711" s="1150"/>
      <c r="B711" s="1150"/>
      <c r="C711" s="1150"/>
      <c r="D711" s="1150"/>
      <c r="E711" s="1150"/>
      <c r="F711" s="1150"/>
      <c r="G711" s="1150"/>
      <c r="H711" s="1150"/>
      <c r="I711" s="1150"/>
      <c r="J711" s="1158"/>
    </row>
    <row r="712" spans="1:10" ht="15">
      <c r="A712" s="1150"/>
      <c r="B712" s="1150"/>
      <c r="C712" s="1150"/>
      <c r="D712" s="1150"/>
      <c r="E712" s="1150"/>
      <c r="F712" s="1150"/>
      <c r="G712" s="1150"/>
      <c r="H712" s="1150"/>
      <c r="I712" s="1150"/>
      <c r="J712" s="1158"/>
    </row>
    <row r="713" spans="1:10" ht="15">
      <c r="A713" s="1150"/>
      <c r="B713" s="1150"/>
      <c r="C713" s="1150"/>
      <c r="D713" s="1150"/>
      <c r="E713" s="1150"/>
      <c r="F713" s="1150"/>
      <c r="G713" s="1150"/>
      <c r="H713" s="1150"/>
      <c r="I713" s="1150"/>
      <c r="J713" s="1158"/>
    </row>
    <row r="714" spans="1:10" ht="15">
      <c r="A714" s="1150"/>
      <c r="B714" s="1150"/>
      <c r="C714" s="1150"/>
      <c r="D714" s="1150"/>
      <c r="E714" s="1150"/>
      <c r="F714" s="1150"/>
      <c r="G714" s="1150"/>
      <c r="H714" s="1150"/>
      <c r="I714" s="1150"/>
      <c r="J714" s="1158"/>
    </row>
    <row r="715" spans="1:10" ht="15">
      <c r="A715" s="1150"/>
      <c r="B715" s="1150"/>
      <c r="C715" s="1150"/>
      <c r="D715" s="1150"/>
      <c r="E715" s="1150"/>
      <c r="F715" s="1150"/>
      <c r="G715" s="1150"/>
      <c r="H715" s="1150"/>
      <c r="I715" s="1150"/>
      <c r="J715" s="1158"/>
    </row>
    <row r="716" spans="1:10" ht="15">
      <c r="A716" s="1150"/>
      <c r="B716" s="1150"/>
      <c r="C716" s="1150"/>
      <c r="D716" s="1150"/>
      <c r="E716" s="1150"/>
      <c r="F716" s="1150"/>
      <c r="G716" s="1150"/>
      <c r="H716" s="1150"/>
      <c r="I716" s="1150"/>
      <c r="J716" s="1158"/>
    </row>
    <row r="717" spans="1:10" ht="15">
      <c r="A717" s="1150"/>
      <c r="B717" s="1150"/>
      <c r="C717" s="1150"/>
      <c r="D717" s="1150"/>
      <c r="E717" s="1150"/>
      <c r="F717" s="1150"/>
      <c r="G717" s="1150"/>
      <c r="H717" s="1150"/>
      <c r="I717" s="1150"/>
      <c r="J717" s="1158"/>
    </row>
    <row r="718" spans="1:10" ht="15">
      <c r="A718" s="1150"/>
      <c r="B718" s="1150"/>
      <c r="C718" s="1150"/>
      <c r="D718" s="1150"/>
      <c r="E718" s="1150"/>
      <c r="F718" s="1150"/>
      <c r="G718" s="1150"/>
      <c r="H718" s="1150"/>
      <c r="I718" s="1150"/>
      <c r="J718" s="1158"/>
    </row>
    <row r="719" spans="1:10" ht="15">
      <c r="A719" s="1150"/>
      <c r="B719" s="1150"/>
      <c r="C719" s="1150"/>
      <c r="D719" s="1150"/>
      <c r="E719" s="1150"/>
      <c r="F719" s="1150"/>
      <c r="G719" s="1150"/>
      <c r="H719" s="1150"/>
      <c r="I719" s="1150"/>
      <c r="J719" s="1158"/>
    </row>
    <row r="720" spans="1:10" ht="15">
      <c r="A720" s="1150"/>
      <c r="B720" s="1150"/>
      <c r="C720" s="1150"/>
      <c r="D720" s="1150"/>
      <c r="E720" s="1150"/>
      <c r="F720" s="1150"/>
      <c r="G720" s="1150"/>
      <c r="H720" s="1150"/>
      <c r="I720" s="1150"/>
      <c r="J720" s="1158"/>
    </row>
    <row r="721" spans="1:10" ht="15">
      <c r="A721" s="1150"/>
      <c r="B721" s="1150"/>
      <c r="C721" s="1150"/>
      <c r="D721" s="1150"/>
      <c r="E721" s="1150"/>
      <c r="F721" s="1150"/>
      <c r="G721" s="1150"/>
      <c r="H721" s="1150"/>
      <c r="I721" s="1150"/>
      <c r="J721" s="1158"/>
    </row>
    <row r="722" spans="1:10" ht="15">
      <c r="A722" s="1150"/>
      <c r="B722" s="1150"/>
      <c r="C722" s="1150"/>
      <c r="D722" s="1150"/>
      <c r="E722" s="1150"/>
      <c r="F722" s="1150"/>
      <c r="G722" s="1150"/>
      <c r="H722" s="1150"/>
      <c r="I722" s="1150"/>
      <c r="J722" s="1158"/>
    </row>
    <row r="723" spans="1:10" ht="15">
      <c r="A723" s="1150"/>
      <c r="B723" s="1150"/>
      <c r="C723" s="1150"/>
      <c r="D723" s="1150"/>
      <c r="E723" s="1150"/>
      <c r="F723" s="1150"/>
      <c r="G723" s="1150"/>
      <c r="H723" s="1150"/>
      <c r="I723" s="1150"/>
      <c r="J723" s="1158"/>
    </row>
    <row r="724" spans="1:10" ht="15">
      <c r="A724" s="1150"/>
      <c r="B724" s="1150"/>
      <c r="C724" s="1150"/>
      <c r="D724" s="1150"/>
      <c r="E724" s="1150"/>
      <c r="F724" s="1150"/>
      <c r="G724" s="1150"/>
      <c r="H724" s="1150"/>
      <c r="I724" s="1150"/>
      <c r="J724" s="1158"/>
    </row>
    <row r="725" spans="1:10" ht="15">
      <c r="A725" s="1150"/>
      <c r="B725" s="1150"/>
      <c r="C725" s="1150"/>
      <c r="D725" s="1150"/>
      <c r="E725" s="1150"/>
      <c r="F725" s="1150"/>
      <c r="G725" s="1150"/>
      <c r="H725" s="1150"/>
      <c r="I725" s="1150"/>
      <c r="J725" s="1158"/>
    </row>
    <row r="726" spans="1:10" ht="15">
      <c r="A726" s="1150"/>
      <c r="B726" s="1150"/>
      <c r="C726" s="1150"/>
      <c r="D726" s="1150"/>
      <c r="E726" s="1150"/>
      <c r="F726" s="1150"/>
      <c r="G726" s="1150"/>
      <c r="H726" s="1150"/>
      <c r="I726" s="1150"/>
      <c r="J726" s="1158"/>
    </row>
    <row r="727" spans="1:10" ht="15">
      <c r="A727" s="1150"/>
      <c r="B727" s="1150"/>
      <c r="C727" s="1150"/>
      <c r="D727" s="1150"/>
      <c r="E727" s="1150"/>
      <c r="F727" s="1150"/>
      <c r="G727" s="1150"/>
      <c r="H727" s="1150"/>
      <c r="I727" s="1150"/>
      <c r="J727" s="1158"/>
    </row>
    <row r="728" spans="1:10" ht="15">
      <c r="A728" s="1150"/>
      <c r="B728" s="1150"/>
      <c r="C728" s="1150"/>
      <c r="D728" s="1150"/>
      <c r="E728" s="1150"/>
      <c r="F728" s="1150"/>
      <c r="G728" s="1150"/>
      <c r="H728" s="1150"/>
      <c r="I728" s="1150"/>
      <c r="J728" s="1158"/>
    </row>
    <row r="729" spans="1:10" ht="15">
      <c r="A729" s="1150"/>
      <c r="B729" s="1150"/>
      <c r="C729" s="1150"/>
      <c r="D729" s="1150"/>
      <c r="E729" s="1150"/>
      <c r="F729" s="1150"/>
      <c r="G729" s="1150"/>
      <c r="H729" s="1150"/>
      <c r="I729" s="1150"/>
      <c r="J729" s="1158"/>
    </row>
    <row r="730" spans="1:10" ht="15">
      <c r="A730" s="1150"/>
      <c r="B730" s="1150"/>
      <c r="C730" s="1150"/>
      <c r="D730" s="1150"/>
      <c r="E730" s="1150"/>
      <c r="F730" s="1150"/>
      <c r="G730" s="1150"/>
      <c r="H730" s="1150"/>
      <c r="I730" s="1150"/>
      <c r="J730" s="1158"/>
    </row>
    <row r="731" spans="1:10" ht="15">
      <c r="A731" s="1150"/>
      <c r="B731" s="1150"/>
      <c r="C731" s="1150"/>
      <c r="D731" s="1150"/>
      <c r="E731" s="1150"/>
      <c r="F731" s="1150"/>
      <c r="G731" s="1150"/>
      <c r="H731" s="1150"/>
      <c r="I731" s="1150"/>
      <c r="J731" s="1158"/>
    </row>
    <row r="732" spans="1:10" ht="15">
      <c r="A732" s="1150"/>
      <c r="B732" s="1150"/>
      <c r="C732" s="1150"/>
      <c r="D732" s="1150"/>
      <c r="E732" s="1150"/>
      <c r="F732" s="1150"/>
      <c r="G732" s="1150"/>
      <c r="H732" s="1150"/>
      <c r="I732" s="1150"/>
      <c r="J732" s="1158"/>
    </row>
    <row r="733" spans="1:10" ht="15">
      <c r="A733" s="1150"/>
      <c r="B733" s="1150"/>
      <c r="C733" s="1150"/>
      <c r="D733" s="1150"/>
      <c r="E733" s="1150"/>
      <c r="F733" s="1150"/>
      <c r="G733" s="1150"/>
      <c r="H733" s="1150"/>
      <c r="I733" s="1150"/>
      <c r="J733" s="1158"/>
    </row>
    <row r="734" spans="1:10" ht="15">
      <c r="A734" s="1150"/>
      <c r="B734" s="1150"/>
      <c r="C734" s="1150"/>
      <c r="D734" s="1150"/>
      <c r="E734" s="1150"/>
      <c r="F734" s="1150"/>
      <c r="G734" s="1150"/>
      <c r="H734" s="1150"/>
      <c r="I734" s="1150"/>
      <c r="J734" s="1158"/>
    </row>
    <row r="735" spans="1:10" ht="15">
      <c r="A735" s="1150"/>
      <c r="B735" s="1150"/>
      <c r="C735" s="1150"/>
      <c r="D735" s="1150"/>
      <c r="E735" s="1150"/>
      <c r="F735" s="1150"/>
      <c r="G735" s="1150"/>
      <c r="H735" s="1150"/>
      <c r="I735" s="1150"/>
      <c r="J735" s="1158"/>
    </row>
    <row r="736" spans="1:10" ht="15">
      <c r="A736" s="1150"/>
      <c r="B736" s="1150"/>
      <c r="C736" s="1150"/>
      <c r="D736" s="1150"/>
      <c r="E736" s="1150"/>
      <c r="F736" s="1150"/>
      <c r="G736" s="1150"/>
      <c r="H736" s="1150"/>
      <c r="I736" s="1150"/>
      <c r="J736" s="1158"/>
    </row>
    <row r="737" spans="1:10" ht="15">
      <c r="A737" s="1150"/>
      <c r="B737" s="1150"/>
      <c r="C737" s="1150"/>
      <c r="D737" s="1150"/>
      <c r="E737" s="1150"/>
      <c r="F737" s="1150"/>
      <c r="G737" s="1150"/>
      <c r="H737" s="1150"/>
      <c r="I737" s="1150"/>
      <c r="J737" s="1158"/>
    </row>
    <row r="738" spans="1:10" ht="15">
      <c r="A738" s="1150"/>
      <c r="B738" s="1150"/>
      <c r="C738" s="1150"/>
      <c r="D738" s="1150"/>
      <c r="E738" s="1150"/>
      <c r="F738" s="1150"/>
      <c r="G738" s="1150"/>
      <c r="H738" s="1150"/>
      <c r="I738" s="1150"/>
      <c r="J738" s="1158"/>
    </row>
    <row r="739" spans="1:10" ht="15">
      <c r="A739" s="1150"/>
      <c r="B739" s="1150"/>
      <c r="C739" s="1150"/>
      <c r="D739" s="1150"/>
      <c r="E739" s="1150"/>
      <c r="F739" s="1150"/>
      <c r="G739" s="1150"/>
      <c r="H739" s="1150"/>
      <c r="I739" s="1150"/>
      <c r="J739" s="1158"/>
    </row>
    <row r="740" spans="1:10" ht="15">
      <c r="A740" s="1150"/>
      <c r="B740" s="1150"/>
      <c r="C740" s="1150"/>
      <c r="D740" s="1150"/>
      <c r="E740" s="1150"/>
      <c r="F740" s="1150"/>
      <c r="G740" s="1150"/>
      <c r="H740" s="1150"/>
      <c r="I740" s="1150"/>
      <c r="J740" s="1158"/>
    </row>
    <row r="741" spans="1:10" ht="15">
      <c r="A741" s="1150"/>
      <c r="B741" s="1150"/>
      <c r="C741" s="1150"/>
      <c r="D741" s="1150"/>
      <c r="E741" s="1150"/>
      <c r="F741" s="1150"/>
      <c r="G741" s="1150"/>
      <c r="H741" s="1150"/>
      <c r="I741" s="1150"/>
      <c r="J741" s="1158"/>
    </row>
    <row r="742" spans="1:10" ht="15">
      <c r="A742" s="1150"/>
      <c r="B742" s="1150"/>
      <c r="C742" s="1150"/>
      <c r="D742" s="1150"/>
      <c r="E742" s="1150"/>
      <c r="F742" s="1150"/>
      <c r="G742" s="1150"/>
      <c r="H742" s="1150"/>
      <c r="I742" s="1150"/>
      <c r="J742" s="1158"/>
    </row>
    <row r="743" spans="1:10" ht="15">
      <c r="A743" s="1150"/>
      <c r="B743" s="1150"/>
      <c r="C743" s="1150"/>
      <c r="D743" s="1150"/>
      <c r="E743" s="1150"/>
      <c r="F743" s="1150"/>
      <c r="G743" s="1150"/>
      <c r="H743" s="1150"/>
      <c r="I743" s="1150"/>
      <c r="J743" s="1158"/>
    </row>
    <row r="744" spans="1:10" ht="15">
      <c r="A744" s="1150"/>
      <c r="B744" s="1150"/>
      <c r="C744" s="1150"/>
      <c r="D744" s="1150"/>
      <c r="E744" s="1150"/>
      <c r="F744" s="1150"/>
      <c r="G744" s="1150"/>
      <c r="H744" s="1150"/>
      <c r="I744" s="1150"/>
      <c r="J744" s="1158"/>
    </row>
    <row r="745" spans="1:10" ht="15">
      <c r="A745" s="1150"/>
      <c r="B745" s="1150"/>
      <c r="C745" s="1150"/>
      <c r="D745" s="1150"/>
      <c r="E745" s="1150"/>
      <c r="F745" s="1150"/>
      <c r="G745" s="1150"/>
      <c r="H745" s="1150"/>
      <c r="I745" s="1150"/>
      <c r="J745" s="1158"/>
    </row>
    <row r="746" spans="1:10" ht="15">
      <c r="A746" s="1150"/>
      <c r="B746" s="1150"/>
      <c r="C746" s="1150"/>
      <c r="D746" s="1150"/>
      <c r="E746" s="1150"/>
      <c r="F746" s="1150"/>
      <c r="G746" s="1150"/>
      <c r="H746" s="1150"/>
      <c r="I746" s="1150"/>
      <c r="J746" s="1158"/>
    </row>
    <row r="747" spans="1:10" ht="15">
      <c r="A747" s="1150"/>
      <c r="B747" s="1150"/>
      <c r="C747" s="1150"/>
      <c r="D747" s="1150"/>
      <c r="E747" s="1150"/>
      <c r="F747" s="1150"/>
      <c r="G747" s="1150"/>
      <c r="H747" s="1150"/>
      <c r="I747" s="1150"/>
      <c r="J747" s="1158"/>
    </row>
    <row r="748" spans="1:10" ht="15">
      <c r="A748" s="1150"/>
      <c r="B748" s="1150"/>
      <c r="C748" s="1150"/>
      <c r="D748" s="1150"/>
      <c r="E748" s="1150"/>
      <c r="F748" s="1150"/>
      <c r="G748" s="1150"/>
      <c r="H748" s="1150"/>
      <c r="I748" s="1150"/>
      <c r="J748" s="1158"/>
    </row>
    <row r="749" spans="1:10" ht="15">
      <c r="A749" s="1150"/>
      <c r="B749" s="1150"/>
      <c r="C749" s="1150"/>
      <c r="D749" s="1150"/>
      <c r="E749" s="1150"/>
      <c r="F749" s="1150"/>
      <c r="G749" s="1150"/>
      <c r="H749" s="1150"/>
      <c r="I749" s="1150"/>
      <c r="J749" s="1158"/>
    </row>
    <row r="750" spans="1:10" ht="15">
      <c r="A750" s="1150"/>
      <c r="B750" s="1150"/>
      <c r="C750" s="1150"/>
      <c r="D750" s="1150"/>
      <c r="E750" s="1150"/>
      <c r="F750" s="1150"/>
      <c r="G750" s="1150"/>
      <c r="H750" s="1150"/>
      <c r="I750" s="1150"/>
      <c r="J750" s="1158"/>
    </row>
    <row r="751" spans="1:10" ht="15">
      <c r="A751" s="1150"/>
      <c r="B751" s="1150"/>
      <c r="C751" s="1150"/>
      <c r="D751" s="1150"/>
      <c r="E751" s="1150"/>
      <c r="F751" s="1150"/>
      <c r="G751" s="1150"/>
      <c r="H751" s="1150"/>
      <c r="I751" s="1150"/>
      <c r="J751" s="1158"/>
    </row>
    <row r="752" spans="1:10" ht="15">
      <c r="A752" s="1150"/>
      <c r="B752" s="1150"/>
      <c r="C752" s="1150"/>
      <c r="D752" s="1150"/>
      <c r="E752" s="1150"/>
      <c r="F752" s="1150"/>
      <c r="G752" s="1150"/>
      <c r="H752" s="1150"/>
      <c r="I752" s="1150"/>
      <c r="J752" s="1158"/>
    </row>
    <row r="753" spans="1:10" ht="15">
      <c r="A753" s="1150"/>
      <c r="B753" s="1150"/>
      <c r="C753" s="1150"/>
      <c r="D753" s="1150"/>
      <c r="E753" s="1150"/>
      <c r="F753" s="1150"/>
      <c r="G753" s="1150"/>
      <c r="H753" s="1150"/>
      <c r="I753" s="1150"/>
      <c r="J753" s="1158"/>
    </row>
    <row r="754" spans="1:10" ht="15">
      <c r="A754" s="1150"/>
      <c r="B754" s="1150"/>
      <c r="C754" s="1150"/>
      <c r="D754" s="1150"/>
      <c r="E754" s="1150"/>
      <c r="F754" s="1150"/>
      <c r="G754" s="1150"/>
      <c r="H754" s="1150"/>
      <c r="I754" s="1150"/>
      <c r="J754" s="1158"/>
    </row>
    <row r="755" spans="1:10" ht="15">
      <c r="A755" s="1150"/>
      <c r="B755" s="1150"/>
      <c r="C755" s="1150"/>
      <c r="D755" s="1150"/>
      <c r="E755" s="1150"/>
      <c r="F755" s="1150"/>
      <c r="G755" s="1150"/>
      <c r="H755" s="1150"/>
      <c r="I755" s="1150"/>
      <c r="J755" s="1158"/>
    </row>
    <row r="756" spans="1:10" ht="15">
      <c r="A756" s="1150"/>
      <c r="B756" s="1150"/>
      <c r="C756" s="1150"/>
      <c r="D756" s="1150"/>
      <c r="E756" s="1150"/>
      <c r="F756" s="1150"/>
      <c r="G756" s="1150"/>
      <c r="H756" s="1150"/>
      <c r="I756" s="1150"/>
      <c r="J756" s="1158"/>
    </row>
    <row r="757" spans="1:10" ht="15">
      <c r="A757" s="1150"/>
      <c r="B757" s="1150"/>
      <c r="C757" s="1150"/>
      <c r="D757" s="1150"/>
      <c r="E757" s="1150"/>
      <c r="F757" s="1150"/>
      <c r="G757" s="1150"/>
      <c r="H757" s="1150"/>
      <c r="I757" s="1150"/>
      <c r="J757" s="1158"/>
    </row>
    <row r="758" spans="1:10" ht="15">
      <c r="A758" s="1150"/>
      <c r="B758" s="1150"/>
      <c r="C758" s="1150"/>
      <c r="D758" s="1150"/>
      <c r="E758" s="1150"/>
      <c r="F758" s="1150"/>
      <c r="G758" s="1150"/>
      <c r="H758" s="1150"/>
      <c r="I758" s="1150"/>
      <c r="J758" s="1158"/>
    </row>
    <row r="759" spans="1:10" ht="15">
      <c r="A759" s="1150"/>
      <c r="B759" s="1150"/>
      <c r="C759" s="1150"/>
      <c r="D759" s="1150"/>
      <c r="E759" s="1150"/>
      <c r="F759" s="1150"/>
      <c r="G759" s="1150"/>
      <c r="H759" s="1150"/>
      <c r="I759" s="1150"/>
      <c r="J759" s="1158"/>
    </row>
    <row r="760" spans="1:10" ht="15">
      <c r="A760" s="1150"/>
      <c r="B760" s="1150"/>
      <c r="C760" s="1150"/>
      <c r="D760" s="1150"/>
      <c r="E760" s="1150"/>
      <c r="F760" s="1150"/>
      <c r="G760" s="1150"/>
      <c r="H760" s="1150"/>
      <c r="I760" s="1150"/>
      <c r="J760" s="1158"/>
    </row>
    <row r="761" spans="1:10" ht="15">
      <c r="A761" s="1150"/>
      <c r="B761" s="1150"/>
      <c r="C761" s="1150"/>
      <c r="D761" s="1150"/>
      <c r="E761" s="1150"/>
      <c r="F761" s="1150"/>
      <c r="G761" s="1150"/>
      <c r="H761" s="1150"/>
      <c r="I761" s="1150"/>
      <c r="J761" s="1158"/>
    </row>
    <row r="762" spans="1:10" ht="15">
      <c r="A762" s="1150"/>
      <c r="B762" s="1150"/>
      <c r="C762" s="1150"/>
      <c r="D762" s="1150"/>
      <c r="E762" s="1150"/>
      <c r="F762" s="1150"/>
      <c r="G762" s="1150"/>
      <c r="H762" s="1150"/>
      <c r="I762" s="1150"/>
      <c r="J762" s="1158"/>
    </row>
    <row r="763" spans="1:10" ht="15">
      <c r="A763" s="1150"/>
      <c r="B763" s="1150"/>
      <c r="C763" s="1150"/>
      <c r="D763" s="1150"/>
      <c r="E763" s="1150"/>
      <c r="F763" s="1150"/>
      <c r="G763" s="1150"/>
      <c r="H763" s="1150"/>
      <c r="I763" s="1150"/>
      <c r="J763" s="1158"/>
    </row>
    <row r="764" spans="1:10" ht="15">
      <c r="A764" s="1150"/>
      <c r="B764" s="1150"/>
      <c r="C764" s="1150"/>
      <c r="D764" s="1150"/>
      <c r="E764" s="1150"/>
      <c r="F764" s="1150"/>
      <c r="G764" s="1150"/>
      <c r="H764" s="1150"/>
      <c r="I764" s="1150"/>
      <c r="J764" s="1158"/>
    </row>
    <row r="765" spans="1:10" ht="15">
      <c r="A765" s="1150"/>
      <c r="B765" s="1150"/>
      <c r="C765" s="1150"/>
      <c r="D765" s="1150"/>
      <c r="E765" s="1150"/>
      <c r="F765" s="1150"/>
      <c r="G765" s="1150"/>
      <c r="H765" s="1150"/>
      <c r="I765" s="1150"/>
      <c r="J765" s="1158"/>
    </row>
    <row r="766" spans="1:10" ht="15">
      <c r="A766" s="1150"/>
      <c r="B766" s="1150"/>
      <c r="C766" s="1150"/>
      <c r="D766" s="1150"/>
      <c r="E766" s="1150"/>
      <c r="F766" s="1150"/>
      <c r="G766" s="1150"/>
      <c r="H766" s="1150"/>
      <c r="I766" s="1150"/>
      <c r="J766" s="1158"/>
    </row>
    <row r="767" spans="1:10" ht="15">
      <c r="A767" s="1150"/>
      <c r="B767" s="1150"/>
      <c r="C767" s="1150"/>
      <c r="D767" s="1150"/>
      <c r="E767" s="1150"/>
      <c r="F767" s="1150"/>
      <c r="G767" s="1150"/>
      <c r="H767" s="1150"/>
      <c r="I767" s="1150"/>
      <c r="J767" s="1158"/>
    </row>
    <row r="768" spans="1:10" ht="15">
      <c r="A768" s="1150"/>
      <c r="B768" s="1150"/>
      <c r="C768" s="1150"/>
      <c r="D768" s="1150"/>
      <c r="E768" s="1150"/>
      <c r="F768" s="1150"/>
      <c r="G768" s="1150"/>
      <c r="H768" s="1150"/>
      <c r="I768" s="1150"/>
      <c r="J768" s="1158"/>
    </row>
    <row r="769" spans="1:10" ht="15">
      <c r="A769" s="1150"/>
      <c r="B769" s="1150"/>
      <c r="C769" s="1150"/>
      <c r="D769" s="1150"/>
      <c r="E769" s="1150"/>
      <c r="F769" s="1150"/>
      <c r="G769" s="1150"/>
      <c r="H769" s="1150"/>
      <c r="I769" s="1150"/>
      <c r="J769" s="1158"/>
    </row>
    <row r="770" spans="1:10" ht="15">
      <c r="A770" s="1150"/>
      <c r="B770" s="1150"/>
      <c r="C770" s="1150"/>
      <c r="D770" s="1150"/>
      <c r="E770" s="1150"/>
      <c r="F770" s="1150"/>
      <c r="G770" s="1150"/>
      <c r="H770" s="1150"/>
      <c r="I770" s="1150"/>
      <c r="J770" s="1158"/>
    </row>
    <row r="771" spans="1:10" ht="15">
      <c r="A771" s="1150"/>
      <c r="B771" s="1150"/>
      <c r="C771" s="1150"/>
      <c r="D771" s="1150"/>
      <c r="E771" s="1150"/>
      <c r="F771" s="1150"/>
      <c r="G771" s="1150"/>
      <c r="H771" s="1150"/>
      <c r="I771" s="1150"/>
      <c r="J771" s="1158"/>
    </row>
    <row r="772" spans="1:10" ht="15">
      <c r="A772" s="1150"/>
      <c r="B772" s="1150"/>
      <c r="C772" s="1150"/>
      <c r="D772" s="1150"/>
      <c r="E772" s="1150"/>
      <c r="F772" s="1150"/>
      <c r="G772" s="1150"/>
      <c r="H772" s="1150"/>
      <c r="I772" s="1150"/>
      <c r="J772" s="1158"/>
    </row>
    <row r="773" spans="1:10" ht="15">
      <c r="A773" s="1150"/>
      <c r="B773" s="1150"/>
      <c r="C773" s="1150"/>
      <c r="D773" s="1150"/>
      <c r="E773" s="1150"/>
      <c r="F773" s="1150"/>
      <c r="G773" s="1150"/>
      <c r="H773" s="1150"/>
      <c r="I773" s="1150"/>
      <c r="J773" s="1158"/>
    </row>
    <row r="774" spans="1:10" ht="15">
      <c r="A774" s="1150"/>
      <c r="B774" s="1150"/>
      <c r="C774" s="1150"/>
      <c r="D774" s="1150"/>
      <c r="E774" s="1150"/>
      <c r="F774" s="1150"/>
      <c r="G774" s="1150"/>
      <c r="H774" s="1150"/>
      <c r="I774" s="1150"/>
      <c r="J774" s="1158"/>
    </row>
    <row r="775" spans="1:10" ht="15">
      <c r="A775" s="1150"/>
      <c r="B775" s="1150"/>
      <c r="C775" s="1150"/>
      <c r="D775" s="1150"/>
      <c r="E775" s="1150"/>
      <c r="F775" s="1150"/>
      <c r="G775" s="1150"/>
      <c r="H775" s="1150"/>
      <c r="I775" s="1150"/>
      <c r="J775" s="1158"/>
    </row>
    <row r="776" spans="1:10" ht="15">
      <c r="A776" s="1150"/>
      <c r="B776" s="1150"/>
      <c r="C776" s="1150"/>
      <c r="D776" s="1150"/>
      <c r="E776" s="1150"/>
      <c r="F776" s="1150"/>
      <c r="G776" s="1150"/>
      <c r="H776" s="1150"/>
      <c r="I776" s="1150"/>
      <c r="J776" s="1158"/>
    </row>
    <row r="777" spans="1:10" ht="15">
      <c r="A777" s="1150"/>
      <c r="B777" s="1150"/>
      <c r="C777" s="1150"/>
      <c r="D777" s="1150"/>
      <c r="E777" s="1150"/>
      <c r="F777" s="1150"/>
      <c r="G777" s="1150"/>
      <c r="H777" s="1150"/>
      <c r="I777" s="1150"/>
      <c r="J777" s="1158"/>
    </row>
    <row r="778" spans="1:10" ht="15">
      <c r="A778" s="1150"/>
      <c r="B778" s="1150"/>
      <c r="C778" s="1150"/>
      <c r="D778" s="1150"/>
      <c r="E778" s="1150"/>
      <c r="F778" s="1150"/>
      <c r="G778" s="1150"/>
      <c r="H778" s="1150"/>
      <c r="I778" s="1150"/>
      <c r="J778" s="1158"/>
    </row>
    <row r="779" spans="1:10" ht="15">
      <c r="A779" s="1150"/>
      <c r="B779" s="1150"/>
      <c r="C779" s="1150"/>
      <c r="D779" s="1150"/>
      <c r="E779" s="1150"/>
      <c r="F779" s="1150"/>
      <c r="G779" s="1150"/>
      <c r="H779" s="1150"/>
      <c r="I779" s="1150"/>
      <c r="J779" s="1158"/>
    </row>
    <row r="780" spans="1:10" ht="15">
      <c r="A780" s="1150"/>
      <c r="B780" s="1150"/>
      <c r="C780" s="1150"/>
      <c r="D780" s="1150"/>
      <c r="E780" s="1150"/>
      <c r="F780" s="1150"/>
      <c r="G780" s="1150"/>
      <c r="H780" s="1150"/>
      <c r="I780" s="1150"/>
      <c r="J780" s="1158"/>
    </row>
    <row r="781" spans="1:10" ht="15">
      <c r="A781" s="1150"/>
      <c r="B781" s="1150"/>
      <c r="C781" s="1150"/>
      <c r="D781" s="1150"/>
      <c r="E781" s="1150"/>
      <c r="F781" s="1150"/>
      <c r="G781" s="1150"/>
      <c r="H781" s="1150"/>
      <c r="I781" s="1150"/>
      <c r="J781" s="1158"/>
    </row>
    <row r="782" spans="1:10" ht="15">
      <c r="A782" s="1150"/>
      <c r="B782" s="1150"/>
      <c r="C782" s="1150"/>
      <c r="D782" s="1150"/>
      <c r="E782" s="1150"/>
      <c r="F782" s="1150"/>
      <c r="G782" s="1150"/>
      <c r="H782" s="1150"/>
      <c r="I782" s="1150"/>
      <c r="J782" s="1158"/>
    </row>
    <row r="783" spans="1:10" ht="15">
      <c r="A783" s="1150"/>
      <c r="B783" s="1150"/>
      <c r="C783" s="1150"/>
      <c r="D783" s="1150"/>
      <c r="E783" s="1150"/>
      <c r="F783" s="1150"/>
      <c r="G783" s="1150"/>
      <c r="H783" s="1150"/>
      <c r="I783" s="1150"/>
      <c r="J783" s="1158"/>
    </row>
    <row r="784" spans="1:10" ht="15">
      <c r="A784" s="1150"/>
      <c r="B784" s="1150"/>
      <c r="C784" s="1150"/>
      <c r="D784" s="1150"/>
      <c r="E784" s="1150"/>
      <c r="F784" s="1150"/>
      <c r="G784" s="1150"/>
      <c r="H784" s="1150"/>
      <c r="I784" s="1150"/>
      <c r="J784" s="1158"/>
    </row>
    <row r="785" spans="1:10" ht="15">
      <c r="A785" s="1150"/>
      <c r="B785" s="1150"/>
      <c r="C785" s="1150"/>
      <c r="D785" s="1150"/>
      <c r="E785" s="1150"/>
      <c r="F785" s="1150"/>
      <c r="G785" s="1150"/>
      <c r="H785" s="1150"/>
      <c r="I785" s="1150"/>
      <c r="J785" s="1158"/>
    </row>
    <row r="786" spans="1:10" ht="15">
      <c r="A786" s="1150"/>
      <c r="B786" s="1150"/>
      <c r="C786" s="1150"/>
      <c r="D786" s="1150"/>
      <c r="E786" s="1150"/>
      <c r="F786" s="1150"/>
      <c r="G786" s="1150"/>
      <c r="H786" s="1150"/>
      <c r="I786" s="1150"/>
      <c r="J786" s="1158"/>
    </row>
    <row r="787" spans="1:10" ht="15">
      <c r="A787" s="1150"/>
      <c r="B787" s="1150"/>
      <c r="C787" s="1150"/>
      <c r="D787" s="1150"/>
      <c r="E787" s="1150"/>
      <c r="F787" s="1150"/>
      <c r="G787" s="1150"/>
      <c r="H787" s="1150"/>
      <c r="I787" s="1150"/>
      <c r="J787" s="1158"/>
    </row>
    <row r="788" spans="1:10" ht="15">
      <c r="A788" s="1150"/>
      <c r="B788" s="1150"/>
      <c r="C788" s="1150"/>
      <c r="D788" s="1150"/>
      <c r="E788" s="1150"/>
      <c r="F788" s="1150"/>
      <c r="G788" s="1150"/>
      <c r="H788" s="1150"/>
      <c r="I788" s="1150"/>
      <c r="J788" s="1158"/>
    </row>
    <row r="789" spans="1:10" ht="15">
      <c r="A789" s="1150"/>
      <c r="B789" s="1150"/>
      <c r="C789" s="1150"/>
      <c r="D789" s="1150"/>
      <c r="E789" s="1150"/>
      <c r="F789" s="1150"/>
      <c r="G789" s="1150"/>
      <c r="H789" s="1150"/>
      <c r="I789" s="1150"/>
      <c r="J789" s="1158"/>
    </row>
    <row r="790" spans="1:10" ht="15">
      <c r="A790" s="1150"/>
      <c r="B790" s="1150"/>
      <c r="C790" s="1150"/>
      <c r="D790" s="1150"/>
      <c r="E790" s="1150"/>
      <c r="F790" s="1150"/>
      <c r="G790" s="1150"/>
      <c r="H790" s="1150"/>
      <c r="I790" s="1150"/>
      <c r="J790" s="1158"/>
    </row>
    <row r="791" spans="1:10" ht="15">
      <c r="A791" s="1150"/>
      <c r="B791" s="1150"/>
      <c r="C791" s="1150"/>
      <c r="D791" s="1150"/>
      <c r="E791" s="1150"/>
      <c r="F791" s="1150"/>
      <c r="G791" s="1150"/>
      <c r="H791" s="1150"/>
      <c r="I791" s="1150"/>
      <c r="J791" s="1158"/>
    </row>
    <row r="792" spans="1:10" ht="15">
      <c r="A792" s="1150"/>
      <c r="B792" s="1150"/>
      <c r="C792" s="1150"/>
      <c r="D792" s="1150"/>
      <c r="E792" s="1150"/>
      <c r="F792" s="1150"/>
      <c r="G792" s="1150"/>
      <c r="H792" s="1150"/>
      <c r="I792" s="1150"/>
      <c r="J792" s="1158"/>
    </row>
    <row r="793" spans="1:10" ht="15">
      <c r="A793" s="1150"/>
      <c r="B793" s="1150"/>
      <c r="C793" s="1150"/>
      <c r="D793" s="1150"/>
      <c r="E793" s="1150"/>
      <c r="F793" s="1150"/>
      <c r="G793" s="1150"/>
      <c r="H793" s="1150"/>
      <c r="I793" s="1150"/>
      <c r="J793" s="1158"/>
    </row>
    <row r="794" spans="1:10" ht="15">
      <c r="A794" s="1150"/>
      <c r="B794" s="1150"/>
      <c r="C794" s="1150"/>
      <c r="D794" s="1150"/>
      <c r="E794" s="1150"/>
      <c r="F794" s="1150"/>
      <c r="G794" s="1150"/>
      <c r="H794" s="1150"/>
      <c r="I794" s="1150"/>
      <c r="J794" s="1158"/>
    </row>
    <row r="795" spans="1:10" ht="15">
      <c r="A795" s="1150"/>
      <c r="B795" s="1150"/>
      <c r="C795" s="1150"/>
      <c r="D795" s="1150"/>
      <c r="E795" s="1150"/>
      <c r="F795" s="1150"/>
      <c r="G795" s="1150"/>
      <c r="H795" s="1150"/>
      <c r="I795" s="1150"/>
      <c r="J795" s="1158"/>
    </row>
    <row r="796" spans="1:10" ht="15">
      <c r="A796" s="1150"/>
      <c r="B796" s="1150"/>
      <c r="C796" s="1150"/>
      <c r="D796" s="1150"/>
      <c r="E796" s="1150"/>
      <c r="F796" s="1150"/>
      <c r="G796" s="1150"/>
      <c r="H796" s="1150"/>
      <c r="I796" s="1150"/>
      <c r="J796" s="1158"/>
    </row>
    <row r="797" spans="1:10" ht="15">
      <c r="A797" s="1150"/>
      <c r="B797" s="1150"/>
      <c r="C797" s="1150"/>
      <c r="D797" s="1150"/>
      <c r="E797" s="1150"/>
      <c r="F797" s="1150"/>
      <c r="G797" s="1150"/>
      <c r="H797" s="1150"/>
      <c r="I797" s="1150"/>
      <c r="J797" s="1158"/>
    </row>
    <row r="798" spans="1:10" ht="15">
      <c r="A798" s="1150"/>
      <c r="B798" s="1150"/>
      <c r="C798" s="1150"/>
      <c r="D798" s="1150"/>
      <c r="E798" s="1150"/>
      <c r="F798" s="1150"/>
      <c r="G798" s="1150"/>
      <c r="H798" s="1150"/>
      <c r="I798" s="1150"/>
      <c r="J798" s="1158"/>
    </row>
    <row r="799" spans="1:10" ht="15">
      <c r="A799" s="1150"/>
      <c r="B799" s="1150"/>
      <c r="C799" s="1150"/>
      <c r="D799" s="1150"/>
      <c r="E799" s="1150"/>
      <c r="F799" s="1150"/>
      <c r="G799" s="1150"/>
      <c r="H799" s="1150"/>
      <c r="I799" s="1150"/>
      <c r="J799" s="1158"/>
    </row>
    <row r="800" spans="1:10" ht="15">
      <c r="A800" s="1150"/>
      <c r="B800" s="1150"/>
      <c r="C800" s="1150"/>
      <c r="D800" s="1150"/>
      <c r="E800" s="1150"/>
      <c r="F800" s="1150"/>
      <c r="G800" s="1150"/>
      <c r="H800" s="1150"/>
      <c r="I800" s="1150"/>
      <c r="J800" s="1158"/>
    </row>
    <row r="801" spans="1:10" ht="15">
      <c r="A801" s="1150"/>
      <c r="B801" s="1150"/>
      <c r="C801" s="1150"/>
      <c r="D801" s="1150"/>
      <c r="E801" s="1150"/>
      <c r="F801" s="1150"/>
      <c r="G801" s="1150"/>
      <c r="H801" s="1150"/>
      <c r="I801" s="1150"/>
      <c r="J801" s="1158"/>
    </row>
    <row r="802" spans="1:10" ht="15">
      <c r="A802" s="1150"/>
      <c r="B802" s="1150"/>
      <c r="C802" s="1150"/>
      <c r="D802" s="1150"/>
      <c r="E802" s="1150"/>
      <c r="F802" s="1150"/>
      <c r="G802" s="1150"/>
      <c r="H802" s="1150"/>
      <c r="I802" s="1150"/>
      <c r="J802" s="1158"/>
    </row>
    <row r="803" spans="1:10" ht="15">
      <c r="A803" s="1150"/>
      <c r="B803" s="1150"/>
      <c r="C803" s="1150"/>
      <c r="D803" s="1150"/>
      <c r="E803" s="1150"/>
      <c r="F803" s="1150"/>
      <c r="G803" s="1150"/>
      <c r="H803" s="1150"/>
      <c r="I803" s="1150"/>
      <c r="J803" s="1158"/>
    </row>
    <row r="804" spans="1:10" ht="15">
      <c r="A804" s="1150"/>
      <c r="B804" s="1150"/>
      <c r="C804" s="1150"/>
      <c r="D804" s="1150"/>
      <c r="E804" s="1150"/>
      <c r="F804" s="1150"/>
      <c r="G804" s="1150"/>
      <c r="H804" s="1150"/>
      <c r="I804" s="1150"/>
      <c r="J804" s="1158"/>
    </row>
    <row r="805" spans="1:10" ht="15">
      <c r="A805" s="1150"/>
      <c r="B805" s="1150"/>
      <c r="C805" s="1150"/>
      <c r="D805" s="1150"/>
      <c r="E805" s="1150"/>
      <c r="F805" s="1150"/>
      <c r="G805" s="1150"/>
      <c r="H805" s="1150"/>
      <c r="I805" s="1150"/>
      <c r="J805" s="1158"/>
    </row>
    <row r="806" spans="1:10" ht="15">
      <c r="A806" s="1150"/>
      <c r="B806" s="1150"/>
      <c r="C806" s="1150"/>
      <c r="D806" s="1150"/>
      <c r="E806" s="1150"/>
      <c r="F806" s="1150"/>
      <c r="G806" s="1150"/>
      <c r="H806" s="1150"/>
      <c r="I806" s="1150"/>
      <c r="J806" s="1158"/>
    </row>
    <row r="807" spans="1:10" ht="15">
      <c r="A807" s="1150"/>
      <c r="B807" s="1150"/>
      <c r="C807" s="1150"/>
      <c r="D807" s="1150"/>
      <c r="E807" s="1150"/>
      <c r="F807" s="1150"/>
      <c r="G807" s="1150"/>
      <c r="H807" s="1150"/>
      <c r="I807" s="1150"/>
      <c r="J807" s="1158"/>
    </row>
    <row r="808" spans="1:10" ht="15">
      <c r="A808" s="1150"/>
      <c r="B808" s="1150"/>
      <c r="C808" s="1150"/>
      <c r="D808" s="1150"/>
      <c r="E808" s="1150"/>
      <c r="F808" s="1150"/>
      <c r="G808" s="1150"/>
      <c r="H808" s="1150"/>
      <c r="I808" s="1150"/>
      <c r="J808" s="1158"/>
    </row>
    <row r="809" spans="1:10" ht="15">
      <c r="A809" s="1150"/>
      <c r="B809" s="1150"/>
      <c r="C809" s="1150"/>
      <c r="D809" s="1150"/>
      <c r="E809" s="1150"/>
      <c r="F809" s="1150"/>
      <c r="G809" s="1150"/>
      <c r="H809" s="1150"/>
      <c r="I809" s="1150"/>
      <c r="J809" s="1158"/>
    </row>
    <row r="810" spans="1:10" ht="15">
      <c r="A810" s="1150"/>
      <c r="B810" s="1150"/>
      <c r="C810" s="1150"/>
      <c r="D810" s="1150"/>
      <c r="E810" s="1150"/>
      <c r="F810" s="1150"/>
      <c r="G810" s="1150"/>
      <c r="H810" s="1150"/>
      <c r="I810" s="1150"/>
      <c r="J810" s="1158"/>
    </row>
    <row r="811" spans="1:10" ht="15">
      <c r="A811" s="1150"/>
      <c r="B811" s="1150"/>
      <c r="C811" s="1150"/>
      <c r="D811" s="1150"/>
      <c r="E811" s="1150"/>
      <c r="F811" s="1150"/>
      <c r="G811" s="1150"/>
      <c r="H811" s="1150"/>
      <c r="I811" s="1150"/>
      <c r="J811" s="1158"/>
    </row>
    <row r="812" spans="1:10" ht="15">
      <c r="A812" s="1150"/>
      <c r="B812" s="1150"/>
      <c r="C812" s="1150"/>
      <c r="D812" s="1150"/>
      <c r="E812" s="1150"/>
      <c r="F812" s="1150"/>
      <c r="G812" s="1150"/>
      <c r="H812" s="1150"/>
      <c r="I812" s="1150"/>
      <c r="J812" s="1158"/>
    </row>
    <row r="813" spans="1:10" ht="15">
      <c r="A813" s="1150"/>
      <c r="B813" s="1150"/>
      <c r="C813" s="1150"/>
      <c r="D813" s="1150"/>
      <c r="E813" s="1150"/>
      <c r="F813" s="1150"/>
      <c r="G813" s="1150"/>
      <c r="H813" s="1150"/>
      <c r="I813" s="1150"/>
      <c r="J813" s="1158"/>
    </row>
    <row r="814" spans="1:10" ht="15">
      <c r="A814" s="1150"/>
      <c r="B814" s="1150"/>
      <c r="C814" s="1150"/>
      <c r="D814" s="1150"/>
      <c r="E814" s="1150"/>
      <c r="F814" s="1150"/>
      <c r="G814" s="1150"/>
      <c r="H814" s="1150"/>
      <c r="I814" s="1150"/>
      <c r="J814" s="1158"/>
    </row>
    <row r="815" spans="1:10" ht="15">
      <c r="A815" s="1150"/>
      <c r="B815" s="1150"/>
      <c r="C815" s="1150"/>
      <c r="D815" s="1150"/>
      <c r="E815" s="1150"/>
      <c r="F815" s="1150"/>
      <c r="G815" s="1150"/>
      <c r="H815" s="1150"/>
      <c r="I815" s="1150"/>
      <c r="J815" s="1158"/>
    </row>
    <row r="816" spans="1:10" ht="15">
      <c r="A816" s="1150"/>
      <c r="B816" s="1150"/>
      <c r="C816" s="1150"/>
      <c r="D816" s="1150"/>
      <c r="E816" s="1150"/>
      <c r="F816" s="1150"/>
      <c r="G816" s="1150"/>
      <c r="H816" s="1150"/>
      <c r="I816" s="1150"/>
      <c r="J816" s="1158"/>
    </row>
    <row r="817" spans="1:10" ht="15">
      <c r="A817" s="1150"/>
      <c r="B817" s="1150"/>
      <c r="C817" s="1150"/>
      <c r="D817" s="1150"/>
      <c r="E817" s="1150"/>
      <c r="F817" s="1150"/>
      <c r="G817" s="1150"/>
      <c r="H817" s="1150"/>
      <c r="I817" s="1150"/>
      <c r="J817" s="1158"/>
    </row>
    <row r="818" spans="1:10" ht="15">
      <c r="A818" s="1150"/>
      <c r="B818" s="1150"/>
      <c r="C818" s="1150"/>
      <c r="D818" s="1150"/>
      <c r="E818" s="1150"/>
      <c r="F818" s="1150"/>
      <c r="G818" s="1150"/>
      <c r="H818" s="1150"/>
      <c r="I818" s="1150"/>
      <c r="J818" s="1158"/>
    </row>
    <row r="819" spans="1:10" ht="15">
      <c r="A819" s="1150"/>
      <c r="B819" s="1150"/>
      <c r="C819" s="1150"/>
      <c r="D819" s="1150"/>
      <c r="E819" s="1150"/>
      <c r="F819" s="1150"/>
      <c r="G819" s="1150"/>
      <c r="H819" s="1150"/>
      <c r="I819" s="1150"/>
      <c r="J819" s="1158"/>
    </row>
    <row r="820" spans="1:10" ht="15">
      <c r="A820" s="1150"/>
      <c r="B820" s="1150"/>
      <c r="C820" s="1150"/>
      <c r="D820" s="1150"/>
      <c r="E820" s="1150"/>
      <c r="F820" s="1150"/>
      <c r="G820" s="1150"/>
      <c r="H820" s="1150"/>
      <c r="I820" s="1150"/>
      <c r="J820" s="1158"/>
    </row>
    <row r="821" spans="1:10" ht="15">
      <c r="A821" s="1150"/>
      <c r="B821" s="1150"/>
      <c r="C821" s="1150"/>
      <c r="D821" s="1150"/>
      <c r="E821" s="1150"/>
      <c r="F821" s="1150"/>
      <c r="G821" s="1150"/>
      <c r="H821" s="1150"/>
      <c r="I821" s="1150"/>
      <c r="J821" s="1158"/>
    </row>
    <row r="822" spans="1:10" ht="15">
      <c r="A822" s="1150"/>
      <c r="B822" s="1150"/>
      <c r="C822" s="1150"/>
      <c r="D822" s="1150"/>
      <c r="E822" s="1150"/>
      <c r="F822" s="1150"/>
      <c r="G822" s="1150"/>
      <c r="H822" s="1150"/>
      <c r="I822" s="1150"/>
      <c r="J822" s="1158"/>
    </row>
    <row r="823" spans="1:10" ht="15">
      <c r="A823" s="1150"/>
      <c r="B823" s="1150"/>
      <c r="C823" s="1150"/>
      <c r="D823" s="1150"/>
      <c r="E823" s="1150"/>
      <c r="F823" s="1150"/>
      <c r="G823" s="1150"/>
      <c r="H823" s="1150"/>
      <c r="I823" s="1150"/>
      <c r="J823" s="1158"/>
    </row>
    <row r="824" spans="1:10" ht="15">
      <c r="A824" s="1150"/>
      <c r="B824" s="1150"/>
      <c r="C824" s="1150"/>
      <c r="D824" s="1150"/>
      <c r="E824" s="1150"/>
      <c r="F824" s="1150"/>
      <c r="G824" s="1150"/>
      <c r="H824" s="1150"/>
      <c r="I824" s="1150"/>
      <c r="J824" s="1158"/>
    </row>
    <row r="825" spans="1:10" ht="15">
      <c r="A825" s="1150"/>
      <c r="B825" s="1150"/>
      <c r="C825" s="1150"/>
      <c r="D825" s="1150"/>
      <c r="E825" s="1150"/>
      <c r="F825" s="1150"/>
      <c r="G825" s="1150"/>
      <c r="H825" s="1150"/>
      <c r="I825" s="1150"/>
      <c r="J825" s="1158"/>
    </row>
    <row r="826" spans="1:10" ht="15">
      <c r="A826" s="1150"/>
      <c r="B826" s="1150"/>
      <c r="C826" s="1150"/>
      <c r="D826" s="1150"/>
      <c r="E826" s="1150"/>
      <c r="F826" s="1150"/>
      <c r="G826" s="1150"/>
      <c r="H826" s="1150"/>
      <c r="I826" s="1150"/>
      <c r="J826" s="1158"/>
    </row>
    <row r="827" spans="1:10" ht="15">
      <c r="A827" s="1150"/>
      <c r="B827" s="1150"/>
      <c r="C827" s="1150"/>
      <c r="D827" s="1150"/>
      <c r="E827" s="1150"/>
      <c r="F827" s="1150"/>
      <c r="G827" s="1150"/>
      <c r="H827" s="1150"/>
      <c r="I827" s="1150"/>
      <c r="J827" s="1158"/>
    </row>
    <row r="828" spans="1:10" ht="15">
      <c r="A828" s="1150"/>
      <c r="B828" s="1150"/>
      <c r="C828" s="1150"/>
      <c r="D828" s="1150"/>
      <c r="E828" s="1150"/>
      <c r="F828" s="1150"/>
      <c r="G828" s="1150"/>
      <c r="H828" s="1150"/>
      <c r="I828" s="1150"/>
      <c r="J828" s="1158"/>
    </row>
    <row r="829" spans="1:10" ht="15">
      <c r="A829" s="1150"/>
      <c r="B829" s="1150"/>
      <c r="C829" s="1150"/>
      <c r="D829" s="1150"/>
      <c r="E829" s="1150"/>
      <c r="F829" s="1150"/>
      <c r="G829" s="1150"/>
      <c r="H829" s="1150"/>
      <c r="I829" s="1150"/>
      <c r="J829" s="1158"/>
    </row>
    <row r="830" spans="1:10" ht="15">
      <c r="A830" s="1150"/>
      <c r="B830" s="1150"/>
      <c r="C830" s="1150"/>
      <c r="D830" s="1150"/>
      <c r="E830" s="1150"/>
      <c r="F830" s="1150"/>
      <c r="G830" s="1150"/>
      <c r="H830" s="1150"/>
      <c r="I830" s="1150"/>
      <c r="J830" s="1158"/>
    </row>
    <row r="831" spans="1:10" ht="15">
      <c r="A831" s="1150"/>
      <c r="B831" s="1150"/>
      <c r="C831" s="1150"/>
      <c r="D831" s="1150"/>
      <c r="E831" s="1150"/>
      <c r="F831" s="1150"/>
      <c r="G831" s="1150"/>
      <c r="H831" s="1150"/>
      <c r="I831" s="1150"/>
      <c r="J831" s="1158"/>
    </row>
    <row r="832" spans="1:10" ht="15">
      <c r="A832" s="1150"/>
      <c r="B832" s="1150"/>
      <c r="C832" s="1150"/>
      <c r="D832" s="1150"/>
      <c r="E832" s="1150"/>
      <c r="F832" s="1150"/>
      <c r="G832" s="1150"/>
      <c r="H832" s="1150"/>
      <c r="I832" s="1150"/>
      <c r="J832" s="1158"/>
    </row>
    <row r="833" spans="1:10" ht="15">
      <c r="A833" s="1150"/>
      <c r="B833" s="1150"/>
      <c r="C833" s="1150"/>
      <c r="D833" s="1150"/>
      <c r="E833" s="1150"/>
      <c r="F833" s="1150"/>
      <c r="G833" s="1150"/>
      <c r="H833" s="1150"/>
      <c r="I833" s="1150"/>
      <c r="J833" s="1158"/>
    </row>
    <row r="834" spans="1:10" ht="15">
      <c r="A834" s="1150"/>
      <c r="B834" s="1150"/>
      <c r="C834" s="1150"/>
      <c r="D834" s="1150"/>
      <c r="E834" s="1150"/>
      <c r="F834" s="1150"/>
      <c r="G834" s="1150"/>
      <c r="H834" s="1150"/>
      <c r="I834" s="1150"/>
      <c r="J834" s="1158"/>
    </row>
    <row r="835" spans="1:10" ht="15">
      <c r="A835" s="1150"/>
      <c r="B835" s="1150"/>
      <c r="C835" s="1150"/>
      <c r="D835" s="1150"/>
      <c r="E835" s="1150"/>
      <c r="F835" s="1150"/>
      <c r="G835" s="1150"/>
      <c r="H835" s="1150"/>
      <c r="I835" s="1150"/>
      <c r="J835" s="1158"/>
    </row>
    <row r="836" spans="1:10" ht="15">
      <c r="A836" s="1150"/>
      <c r="B836" s="1150"/>
      <c r="C836" s="1150"/>
      <c r="D836" s="1150"/>
      <c r="E836" s="1150"/>
      <c r="F836" s="1150"/>
      <c r="G836" s="1150"/>
      <c r="H836" s="1150"/>
      <c r="I836" s="1150"/>
      <c r="J836" s="1158"/>
    </row>
    <row r="837" spans="1:10" ht="15">
      <c r="A837" s="1150"/>
      <c r="B837" s="1150"/>
      <c r="C837" s="1150"/>
      <c r="D837" s="1150"/>
      <c r="E837" s="1150"/>
      <c r="F837" s="1150"/>
      <c r="G837" s="1150"/>
      <c r="H837" s="1150"/>
      <c r="I837" s="1150"/>
      <c r="J837" s="1158"/>
    </row>
    <row r="838" spans="1:10" ht="15">
      <c r="A838" s="1150"/>
      <c r="B838" s="1150"/>
      <c r="C838" s="1150"/>
      <c r="D838" s="1150"/>
      <c r="E838" s="1150"/>
      <c r="F838" s="1150"/>
      <c r="G838" s="1150"/>
      <c r="H838" s="1150"/>
      <c r="I838" s="1150"/>
      <c r="J838" s="1158"/>
    </row>
    <row r="839" spans="1:10" ht="15">
      <c r="A839" s="1150"/>
      <c r="B839" s="1150"/>
      <c r="C839" s="1150"/>
      <c r="D839" s="1150"/>
      <c r="E839" s="1150"/>
      <c r="F839" s="1150"/>
      <c r="G839" s="1150"/>
      <c r="H839" s="1150"/>
      <c r="I839" s="1150"/>
      <c r="J839" s="1158"/>
    </row>
    <row r="840" spans="1:10" ht="15">
      <c r="A840" s="1150"/>
      <c r="B840" s="1150"/>
      <c r="C840" s="1150"/>
      <c r="D840" s="1150"/>
      <c r="E840" s="1150"/>
      <c r="F840" s="1150"/>
      <c r="G840" s="1150"/>
      <c r="H840" s="1150"/>
      <c r="I840" s="1150"/>
      <c r="J840" s="1158"/>
    </row>
    <row r="841" spans="1:10" ht="15">
      <c r="A841" s="1150"/>
      <c r="B841" s="1150"/>
      <c r="C841" s="1150"/>
      <c r="D841" s="1150"/>
      <c r="E841" s="1150"/>
      <c r="F841" s="1150"/>
      <c r="G841" s="1150"/>
      <c r="H841" s="1150"/>
      <c r="I841" s="1150"/>
      <c r="J841" s="1158"/>
    </row>
    <row r="842" spans="1:10" ht="15">
      <c r="A842" s="1150"/>
      <c r="B842" s="1150"/>
      <c r="C842" s="1150"/>
      <c r="D842" s="1150"/>
      <c r="E842" s="1150"/>
      <c r="F842" s="1150"/>
      <c r="G842" s="1150"/>
      <c r="H842" s="1150"/>
      <c r="I842" s="1150"/>
      <c r="J842" s="1158"/>
    </row>
    <row r="843" spans="1:10" ht="15">
      <c r="A843" s="1150"/>
      <c r="B843" s="1150"/>
      <c r="C843" s="1150"/>
      <c r="D843" s="1150"/>
      <c r="E843" s="1150"/>
      <c r="F843" s="1150"/>
      <c r="G843" s="1150"/>
      <c r="H843" s="1150"/>
      <c r="I843" s="1150"/>
      <c r="J843" s="1158"/>
    </row>
    <row r="844" spans="1:10" ht="15">
      <c r="A844" s="1150"/>
      <c r="B844" s="1150"/>
      <c r="C844" s="1150"/>
      <c r="D844" s="1150"/>
      <c r="E844" s="1150"/>
      <c r="F844" s="1150"/>
      <c r="G844" s="1150"/>
      <c r="H844" s="1150"/>
      <c r="I844" s="1150"/>
      <c r="J844" s="1158"/>
    </row>
    <row r="845" spans="1:10" ht="15">
      <c r="A845" s="1150"/>
      <c r="B845" s="1150"/>
      <c r="C845" s="1150"/>
      <c r="D845" s="1150"/>
      <c r="E845" s="1150"/>
      <c r="F845" s="1150"/>
      <c r="G845" s="1150"/>
      <c r="H845" s="1150"/>
      <c r="I845" s="1150"/>
      <c r="J845" s="1158"/>
    </row>
    <row r="846" spans="1:10" ht="15">
      <c r="A846" s="1150"/>
      <c r="B846" s="1150"/>
      <c r="C846" s="1150"/>
      <c r="D846" s="1150"/>
      <c r="E846" s="1150"/>
      <c r="F846" s="1150"/>
      <c r="G846" s="1150"/>
      <c r="H846" s="1150"/>
      <c r="I846" s="1150"/>
      <c r="J846" s="1158"/>
    </row>
    <row r="847" spans="1:10" ht="15">
      <c r="A847" s="1150"/>
      <c r="B847" s="1150"/>
      <c r="C847" s="1150"/>
      <c r="D847" s="1150"/>
      <c r="E847" s="1150"/>
      <c r="F847" s="1150"/>
      <c r="G847" s="1150"/>
      <c r="H847" s="1150"/>
      <c r="I847" s="1150"/>
      <c r="J847" s="1158"/>
    </row>
    <row r="848" spans="1:10" ht="15">
      <c r="A848" s="1150"/>
      <c r="B848" s="1150"/>
      <c r="C848" s="1150"/>
      <c r="D848" s="1150"/>
      <c r="E848" s="1150"/>
      <c r="F848" s="1150"/>
      <c r="G848" s="1150"/>
      <c r="H848" s="1150"/>
      <c r="I848" s="1150"/>
      <c r="J848" s="1158"/>
    </row>
    <row r="849" spans="1:10" ht="15">
      <c r="A849" s="1150"/>
      <c r="B849" s="1150"/>
      <c r="C849" s="1150"/>
      <c r="D849" s="1150"/>
      <c r="E849" s="1150"/>
      <c r="F849" s="1150"/>
      <c r="G849" s="1150"/>
      <c r="H849" s="1150"/>
      <c r="I849" s="1150"/>
      <c r="J849" s="1158"/>
    </row>
    <row r="850" spans="1:10" ht="15">
      <c r="A850" s="1150"/>
      <c r="B850" s="1150"/>
      <c r="C850" s="1150"/>
      <c r="D850" s="1150"/>
      <c r="E850" s="1150"/>
      <c r="F850" s="1150"/>
      <c r="G850" s="1150"/>
      <c r="H850" s="1150"/>
      <c r="I850" s="1150"/>
      <c r="J850" s="1158"/>
    </row>
    <row r="851" spans="1:10" ht="15">
      <c r="A851" s="1150"/>
      <c r="B851" s="1150"/>
      <c r="C851" s="1150"/>
      <c r="D851" s="1150"/>
      <c r="E851" s="1150"/>
      <c r="F851" s="1150"/>
      <c r="G851" s="1150"/>
      <c r="H851" s="1150"/>
      <c r="I851" s="1150"/>
      <c r="J851" s="1158"/>
    </row>
    <row r="852" spans="1:10" ht="15">
      <c r="A852" s="1150"/>
      <c r="B852" s="1150"/>
      <c r="C852" s="1150"/>
      <c r="D852" s="1150"/>
      <c r="E852" s="1150"/>
      <c r="F852" s="1150"/>
      <c r="G852" s="1150"/>
      <c r="H852" s="1150"/>
      <c r="I852" s="1150"/>
      <c r="J852" s="1158"/>
    </row>
    <row r="853" spans="1:10" ht="15">
      <c r="A853" s="1150"/>
      <c r="B853" s="1150"/>
      <c r="C853" s="1150"/>
      <c r="D853" s="1150"/>
      <c r="E853" s="1150"/>
      <c r="F853" s="1150"/>
      <c r="G853" s="1150"/>
      <c r="H853" s="1150"/>
      <c r="I853" s="1150"/>
      <c r="J853" s="1158"/>
    </row>
    <row r="854" spans="1:10" ht="15">
      <c r="A854" s="1150"/>
      <c r="B854" s="1150"/>
      <c r="C854" s="1150"/>
      <c r="D854" s="1150"/>
      <c r="E854" s="1150"/>
      <c r="F854" s="1150"/>
      <c r="G854" s="1150"/>
      <c r="H854" s="1150"/>
      <c r="I854" s="1150"/>
      <c r="J854" s="1158"/>
    </row>
    <row r="855" spans="1:10" ht="15">
      <c r="A855" s="1150"/>
      <c r="B855" s="1150"/>
      <c r="C855" s="1150"/>
      <c r="D855" s="1150"/>
      <c r="E855" s="1150"/>
      <c r="F855" s="1150"/>
      <c r="G855" s="1150"/>
      <c r="H855" s="1150"/>
      <c r="I855" s="1150"/>
      <c r="J855" s="1158"/>
    </row>
    <row r="856" spans="1:10" ht="15">
      <c r="A856" s="1150"/>
      <c r="B856" s="1150"/>
      <c r="C856" s="1150"/>
      <c r="D856" s="1150"/>
      <c r="E856" s="1150"/>
      <c r="F856" s="1150"/>
      <c r="G856" s="1150"/>
      <c r="H856" s="1150"/>
      <c r="I856" s="1150"/>
      <c r="J856" s="1158"/>
    </row>
    <row r="857" spans="1:10" ht="15">
      <c r="A857" s="1150"/>
      <c r="B857" s="1150"/>
      <c r="C857" s="1150"/>
      <c r="D857" s="1150"/>
      <c r="E857" s="1150"/>
      <c r="F857" s="1150"/>
      <c r="G857" s="1150"/>
      <c r="H857" s="1150"/>
      <c r="I857" s="1150"/>
      <c r="J857" s="1158"/>
    </row>
    <row r="858" spans="1:10" ht="15">
      <c r="A858" s="1150"/>
      <c r="B858" s="1150"/>
      <c r="C858" s="1150"/>
      <c r="D858" s="1150"/>
      <c r="E858" s="1150"/>
      <c r="F858" s="1150"/>
      <c r="G858" s="1150"/>
      <c r="H858" s="1150"/>
      <c r="I858" s="1150"/>
      <c r="J858" s="1158"/>
    </row>
    <row r="859" spans="1:10" ht="15">
      <c r="A859" s="1150"/>
      <c r="B859" s="1150"/>
      <c r="C859" s="1150"/>
      <c r="D859" s="1150"/>
      <c r="E859" s="1150"/>
      <c r="F859" s="1150"/>
      <c r="G859" s="1150"/>
      <c r="H859" s="1150"/>
      <c r="I859" s="1150"/>
      <c r="J859" s="1158"/>
    </row>
    <row r="860" spans="1:10" ht="15">
      <c r="A860" s="1150"/>
      <c r="B860" s="1150"/>
      <c r="C860" s="1150"/>
      <c r="D860" s="1150"/>
      <c r="E860" s="1150"/>
      <c r="F860" s="1150"/>
      <c r="G860" s="1150"/>
      <c r="H860" s="1150"/>
      <c r="I860" s="1150"/>
      <c r="J860" s="1158"/>
    </row>
    <row r="861" spans="1:10" ht="15">
      <c r="A861" s="1150"/>
      <c r="B861" s="1150"/>
      <c r="C861" s="1150"/>
      <c r="D861" s="1150"/>
      <c r="E861" s="1150"/>
      <c r="F861" s="1150"/>
      <c r="G861" s="1150"/>
      <c r="H861" s="1150"/>
      <c r="I861" s="1150"/>
      <c r="J861" s="1158"/>
    </row>
    <row r="862" spans="1:10" ht="15">
      <c r="A862" s="1150"/>
      <c r="B862" s="1150"/>
      <c r="C862" s="1150"/>
      <c r="D862" s="1150"/>
      <c r="E862" s="1150"/>
      <c r="F862" s="1150"/>
      <c r="G862" s="1150"/>
      <c r="H862" s="1150"/>
      <c r="I862" s="1150"/>
      <c r="J862" s="1158"/>
    </row>
    <row r="863" spans="1:10" ht="15">
      <c r="A863" s="1150"/>
      <c r="B863" s="1150"/>
      <c r="C863" s="1150"/>
      <c r="D863" s="1150"/>
      <c r="E863" s="1150"/>
      <c r="F863" s="1150"/>
      <c r="G863" s="1150"/>
      <c r="H863" s="1150"/>
      <c r="I863" s="1150"/>
      <c r="J863" s="1158"/>
    </row>
    <row r="864" spans="1:10" ht="15">
      <c r="A864" s="1150"/>
      <c r="B864" s="1150"/>
      <c r="C864" s="1150"/>
      <c r="D864" s="1150"/>
      <c r="E864" s="1150"/>
      <c r="F864" s="1150"/>
      <c r="G864" s="1150"/>
      <c r="H864" s="1150"/>
      <c r="I864" s="1150"/>
      <c r="J864" s="1158"/>
    </row>
    <row r="865" spans="1:10" ht="15">
      <c r="A865" s="1150"/>
      <c r="B865" s="1150"/>
      <c r="C865" s="1150"/>
      <c r="D865" s="1150"/>
      <c r="E865" s="1150"/>
      <c r="F865" s="1150"/>
      <c r="G865" s="1150"/>
      <c r="H865" s="1150"/>
      <c r="I865" s="1150"/>
      <c r="J865" s="1158"/>
    </row>
    <row r="866" spans="1:10" ht="15">
      <c r="A866" s="1150"/>
      <c r="B866" s="1150"/>
      <c r="C866" s="1150"/>
      <c r="D866" s="1150"/>
      <c r="E866" s="1150"/>
      <c r="F866" s="1150"/>
      <c r="G866" s="1150"/>
      <c r="H866" s="1150"/>
      <c r="I866" s="1150"/>
      <c r="J866" s="1158"/>
    </row>
    <row r="867" spans="1:10" ht="15">
      <c r="A867" s="1150"/>
      <c r="B867" s="1150"/>
      <c r="C867" s="1150"/>
      <c r="D867" s="1150"/>
      <c r="E867" s="1150"/>
      <c r="F867" s="1150"/>
      <c r="G867" s="1150"/>
      <c r="H867" s="1150"/>
      <c r="I867" s="1150"/>
      <c r="J867" s="1158"/>
    </row>
    <row r="868" spans="1:10" ht="15">
      <c r="A868" s="1150"/>
      <c r="B868" s="1150"/>
      <c r="C868" s="1150"/>
      <c r="D868" s="1150"/>
      <c r="E868" s="1150"/>
      <c r="F868" s="1150"/>
      <c r="G868" s="1150"/>
      <c r="H868" s="1150"/>
      <c r="I868" s="1150"/>
      <c r="J868" s="1158"/>
    </row>
    <row r="869" spans="1:10" ht="15">
      <c r="A869" s="1150"/>
      <c r="B869" s="1150"/>
      <c r="C869" s="1150"/>
      <c r="D869" s="1150"/>
      <c r="E869" s="1150"/>
      <c r="F869" s="1150"/>
      <c r="G869" s="1150"/>
      <c r="H869" s="1150"/>
      <c r="I869" s="1150"/>
      <c r="J869" s="1158"/>
    </row>
    <row r="870" spans="1:10" ht="15">
      <c r="A870" s="1150"/>
      <c r="B870" s="1150"/>
      <c r="C870" s="1150"/>
      <c r="D870" s="1150"/>
      <c r="E870" s="1150"/>
      <c r="F870" s="1150"/>
      <c r="G870" s="1150"/>
      <c r="H870" s="1150"/>
      <c r="I870" s="1150"/>
      <c r="J870" s="1158"/>
    </row>
    <row r="871" spans="1:10" ht="15">
      <c r="A871" s="1150"/>
      <c r="B871" s="1150"/>
      <c r="C871" s="1150"/>
      <c r="D871" s="1150"/>
      <c r="E871" s="1150"/>
      <c r="F871" s="1150"/>
      <c r="G871" s="1150"/>
      <c r="H871" s="1150"/>
      <c r="I871" s="1150"/>
      <c r="J871" s="1158"/>
    </row>
    <row r="872" spans="1:10" ht="15">
      <c r="A872" s="1150"/>
      <c r="B872" s="1150"/>
      <c r="C872" s="1150"/>
      <c r="D872" s="1150"/>
      <c r="E872" s="1150"/>
      <c r="F872" s="1150"/>
      <c r="G872" s="1150"/>
      <c r="H872" s="1150"/>
      <c r="I872" s="1150"/>
      <c r="J872" s="1158"/>
    </row>
    <row r="873" spans="1:10" ht="15">
      <c r="A873" s="1150"/>
      <c r="B873" s="1150"/>
      <c r="C873" s="1150"/>
      <c r="D873" s="1150"/>
      <c r="E873" s="1150"/>
      <c r="F873" s="1150"/>
      <c r="G873" s="1150"/>
      <c r="H873" s="1150"/>
      <c r="I873" s="1150"/>
      <c r="J873" s="1158"/>
    </row>
    <row r="874" spans="1:10" ht="15">
      <c r="A874" s="1150"/>
      <c r="B874" s="1150"/>
      <c r="C874" s="1150"/>
      <c r="D874" s="1150"/>
      <c r="E874" s="1150"/>
      <c r="F874" s="1150"/>
      <c r="G874" s="1150"/>
      <c r="H874" s="1150"/>
      <c r="I874" s="1150"/>
      <c r="J874" s="1158"/>
    </row>
    <row r="875" spans="1:10" ht="15">
      <c r="A875" s="1150"/>
      <c r="B875" s="1150"/>
      <c r="C875" s="1150"/>
      <c r="D875" s="1150"/>
      <c r="E875" s="1150"/>
      <c r="F875" s="1150"/>
      <c r="G875" s="1150"/>
      <c r="H875" s="1150"/>
      <c r="I875" s="1150"/>
      <c r="J875" s="1158"/>
    </row>
    <row r="876" spans="1:10" ht="15">
      <c r="A876" s="1150"/>
      <c r="B876" s="1150"/>
      <c r="C876" s="1150"/>
      <c r="D876" s="1150"/>
      <c r="E876" s="1150"/>
      <c r="F876" s="1150"/>
      <c r="G876" s="1150"/>
      <c r="H876" s="1150"/>
      <c r="I876" s="1150"/>
      <c r="J876" s="1158"/>
    </row>
    <row r="877" spans="1:10" ht="15">
      <c r="A877" s="1150"/>
      <c r="B877" s="1150"/>
      <c r="C877" s="1150"/>
      <c r="D877" s="1150"/>
      <c r="E877" s="1150"/>
      <c r="F877" s="1150"/>
      <c r="G877" s="1150"/>
      <c r="H877" s="1150"/>
      <c r="I877" s="1150"/>
      <c r="J877" s="1158"/>
    </row>
    <row r="878" spans="1:10" ht="15">
      <c r="A878" s="1150"/>
      <c r="B878" s="1150"/>
      <c r="C878" s="1150"/>
      <c r="D878" s="1150"/>
      <c r="E878" s="1150"/>
      <c r="F878" s="1150"/>
      <c r="G878" s="1150"/>
      <c r="H878" s="1150"/>
      <c r="I878" s="1150"/>
      <c r="J878" s="1158"/>
    </row>
    <row r="879" spans="1:10" ht="15">
      <c r="A879" s="1150"/>
      <c r="B879" s="1150"/>
      <c r="C879" s="1150"/>
      <c r="D879" s="1150"/>
      <c r="E879" s="1150"/>
      <c r="F879" s="1150"/>
      <c r="G879" s="1150"/>
      <c r="H879" s="1150"/>
      <c r="I879" s="1150"/>
      <c r="J879" s="1158"/>
    </row>
    <row r="880" spans="1:10" ht="15">
      <c r="A880" s="1150"/>
      <c r="B880" s="1150"/>
      <c r="C880" s="1150"/>
      <c r="D880" s="1150"/>
      <c r="E880" s="1150"/>
      <c r="F880" s="1150"/>
      <c r="G880" s="1150"/>
      <c r="H880" s="1150"/>
      <c r="I880" s="1150"/>
      <c r="J880" s="1158"/>
    </row>
    <row r="881" spans="1:10" ht="15">
      <c r="A881" s="1150"/>
      <c r="B881" s="1150"/>
      <c r="C881" s="1150"/>
      <c r="D881" s="1150"/>
      <c r="E881" s="1150"/>
      <c r="F881" s="1150"/>
      <c r="G881" s="1150"/>
      <c r="H881" s="1150"/>
      <c r="I881" s="1150"/>
      <c r="J881" s="1158"/>
    </row>
    <row r="882" spans="1:10" ht="15">
      <c r="A882" s="1150"/>
      <c r="B882" s="1150"/>
      <c r="C882" s="1150"/>
      <c r="D882" s="1150"/>
      <c r="E882" s="1150"/>
      <c r="F882" s="1150"/>
      <c r="G882" s="1150"/>
      <c r="H882" s="1150"/>
      <c r="I882" s="1150"/>
      <c r="J882" s="1158"/>
    </row>
    <row r="883" spans="1:10" ht="15">
      <c r="A883" s="1150"/>
      <c r="B883" s="1150"/>
      <c r="C883" s="1150"/>
      <c r="D883" s="1150"/>
      <c r="E883" s="1150"/>
      <c r="F883" s="1150"/>
      <c r="G883" s="1150"/>
      <c r="H883" s="1150"/>
      <c r="I883" s="1150"/>
      <c r="J883" s="1158"/>
    </row>
    <row r="884" spans="1:10" ht="15">
      <c r="A884" s="1150"/>
      <c r="B884" s="1150"/>
      <c r="C884" s="1150"/>
      <c r="D884" s="1150"/>
      <c r="E884" s="1150"/>
      <c r="F884" s="1150"/>
      <c r="G884" s="1150"/>
      <c r="H884" s="1150"/>
      <c r="I884" s="1150"/>
      <c r="J884" s="1158"/>
    </row>
    <row r="885" spans="1:10" ht="15">
      <c r="A885" s="1150"/>
      <c r="B885" s="1150"/>
      <c r="C885" s="1150"/>
      <c r="D885" s="1150"/>
      <c r="E885" s="1150"/>
      <c r="F885" s="1150"/>
      <c r="G885" s="1150"/>
      <c r="H885" s="1150"/>
      <c r="I885" s="1150"/>
      <c r="J885" s="1158"/>
    </row>
    <row r="886" spans="1:10" ht="15">
      <c r="A886" s="1150"/>
      <c r="B886" s="1150"/>
      <c r="C886" s="1150"/>
      <c r="D886" s="1150"/>
      <c r="E886" s="1150"/>
      <c r="F886" s="1150"/>
      <c r="G886" s="1150"/>
      <c r="H886" s="1150"/>
      <c r="I886" s="1150"/>
      <c r="J886" s="1158"/>
    </row>
    <row r="887" spans="1:10" ht="15">
      <c r="A887" s="1150"/>
      <c r="B887" s="1150"/>
      <c r="C887" s="1150"/>
      <c r="D887" s="1150"/>
      <c r="E887" s="1150"/>
      <c r="F887" s="1150"/>
      <c r="G887" s="1150"/>
      <c r="H887" s="1150"/>
      <c r="I887" s="1150"/>
      <c r="J887" s="1158"/>
    </row>
    <row r="888" spans="1:10" ht="15">
      <c r="A888" s="1150"/>
      <c r="B888" s="1150"/>
      <c r="C888" s="1150"/>
      <c r="D888" s="1150"/>
      <c r="E888" s="1150"/>
      <c r="F888" s="1150"/>
      <c r="G888" s="1150"/>
      <c r="H888" s="1150"/>
      <c r="I888" s="1150"/>
      <c r="J888" s="1158"/>
    </row>
    <row r="889" spans="1:10" ht="15">
      <c r="A889" s="1150"/>
      <c r="B889" s="1150"/>
      <c r="C889" s="1150"/>
      <c r="D889" s="1150"/>
      <c r="E889" s="1150"/>
      <c r="F889" s="1150"/>
      <c r="G889" s="1150"/>
      <c r="H889" s="1150"/>
      <c r="I889" s="1150"/>
      <c r="J889" s="1158"/>
    </row>
    <row r="890" spans="1:10" ht="15">
      <c r="A890" s="1150"/>
      <c r="B890" s="1150"/>
      <c r="C890" s="1150"/>
      <c r="D890" s="1150"/>
      <c r="E890" s="1150"/>
      <c r="F890" s="1150"/>
      <c r="G890" s="1150"/>
      <c r="H890" s="1150"/>
      <c r="I890" s="1150"/>
      <c r="J890" s="1158"/>
    </row>
    <row r="891" spans="1:10" ht="15">
      <c r="A891" s="1150"/>
      <c r="B891" s="1150"/>
      <c r="C891" s="1150"/>
      <c r="D891" s="1150"/>
      <c r="E891" s="1150"/>
      <c r="F891" s="1150"/>
      <c r="G891" s="1150"/>
      <c r="H891" s="1150"/>
      <c r="I891" s="1150"/>
      <c r="J891" s="1158"/>
    </row>
    <row r="892" spans="1:10" ht="15">
      <c r="A892" s="1150"/>
      <c r="B892" s="1150"/>
      <c r="C892" s="1150"/>
      <c r="D892" s="1150"/>
      <c r="E892" s="1150"/>
      <c r="F892" s="1150"/>
      <c r="G892" s="1150"/>
      <c r="H892" s="1150"/>
      <c r="I892" s="1150"/>
      <c r="J892" s="1158"/>
    </row>
    <row r="893" spans="1:10" ht="15">
      <c r="A893" s="1150"/>
      <c r="B893" s="1150"/>
      <c r="C893" s="1150"/>
      <c r="D893" s="1150"/>
      <c r="E893" s="1150"/>
      <c r="F893" s="1150"/>
      <c r="G893" s="1150"/>
      <c r="H893" s="1150"/>
      <c r="I893" s="1150"/>
      <c r="J893" s="1158"/>
    </row>
    <row r="894" spans="1:10" ht="15">
      <c r="A894" s="1150"/>
      <c r="B894" s="1150"/>
      <c r="C894" s="1150"/>
      <c r="D894" s="1150"/>
      <c r="E894" s="1150"/>
      <c r="F894" s="1150"/>
      <c r="G894" s="1150"/>
      <c r="H894" s="1150"/>
      <c r="I894" s="1150"/>
      <c r="J894" s="1158"/>
    </row>
    <row r="895" spans="1:10" ht="15">
      <c r="A895" s="1150"/>
      <c r="B895" s="1150"/>
      <c r="C895" s="1150"/>
      <c r="D895" s="1150"/>
      <c r="E895" s="1150"/>
      <c r="F895" s="1150"/>
      <c r="G895" s="1150"/>
      <c r="H895" s="1150"/>
      <c r="I895" s="1150"/>
      <c r="J895" s="1158"/>
    </row>
    <row r="896" spans="1:10" ht="15">
      <c r="A896" s="1150"/>
      <c r="B896" s="1150"/>
      <c r="C896" s="1150"/>
      <c r="D896" s="1150"/>
      <c r="E896" s="1150"/>
      <c r="F896" s="1150"/>
      <c r="G896" s="1150"/>
      <c r="H896" s="1150"/>
      <c r="I896" s="1150"/>
      <c r="J896" s="1158"/>
    </row>
    <row r="897" spans="1:10" ht="15">
      <c r="A897" s="1150"/>
      <c r="B897" s="1150"/>
      <c r="C897" s="1150"/>
      <c r="D897" s="1150"/>
      <c r="E897" s="1150"/>
      <c r="F897" s="1150"/>
      <c r="G897" s="1150"/>
      <c r="H897" s="1150"/>
      <c r="I897" s="1150"/>
      <c r="J897" s="1158"/>
    </row>
    <row r="898" spans="1:10" ht="15">
      <c r="A898" s="1150"/>
      <c r="B898" s="1150"/>
      <c r="C898" s="1150"/>
      <c r="D898" s="1150"/>
      <c r="E898" s="1150"/>
      <c r="F898" s="1150"/>
      <c r="G898" s="1150"/>
      <c r="H898" s="1150"/>
      <c r="I898" s="1150"/>
      <c r="J898" s="1158"/>
    </row>
    <row r="899" spans="1:10" ht="15">
      <c r="A899" s="1150"/>
      <c r="B899" s="1150"/>
      <c r="C899" s="1150"/>
      <c r="D899" s="1150"/>
      <c r="E899" s="1150"/>
      <c r="F899" s="1150"/>
      <c r="G899" s="1150"/>
      <c r="H899" s="1150"/>
      <c r="I899" s="1150"/>
      <c r="J899" s="1158"/>
    </row>
    <row r="900" spans="1:10" ht="15">
      <c r="A900" s="1150"/>
      <c r="B900" s="1150"/>
      <c r="C900" s="1150"/>
      <c r="D900" s="1150"/>
      <c r="E900" s="1150"/>
      <c r="F900" s="1150"/>
      <c r="G900" s="1150"/>
      <c r="H900" s="1150"/>
      <c r="I900" s="1150"/>
      <c r="J900" s="1158"/>
    </row>
    <row r="901" spans="1:10" ht="15">
      <c r="A901" s="1150"/>
      <c r="B901" s="1150"/>
      <c r="C901" s="1150"/>
      <c r="D901" s="1150"/>
      <c r="E901" s="1150"/>
      <c r="F901" s="1150"/>
      <c r="G901" s="1150"/>
      <c r="H901" s="1150"/>
      <c r="I901" s="1150"/>
      <c r="J901" s="1158"/>
    </row>
    <row r="902" spans="1:10" ht="15">
      <c r="A902" s="1150"/>
      <c r="B902" s="1150"/>
      <c r="C902" s="1150"/>
      <c r="D902" s="1150"/>
      <c r="E902" s="1150"/>
      <c r="F902" s="1150"/>
      <c r="G902" s="1150"/>
      <c r="H902" s="1150"/>
      <c r="I902" s="1150"/>
      <c r="J902" s="1158"/>
    </row>
    <row r="903" spans="1:10" ht="15">
      <c r="A903" s="1150"/>
      <c r="B903" s="1150"/>
      <c r="C903" s="1150"/>
      <c r="D903" s="1150"/>
      <c r="E903" s="1150"/>
      <c r="F903" s="1150"/>
      <c r="G903" s="1150"/>
      <c r="H903" s="1150"/>
      <c r="I903" s="1150"/>
      <c r="J903" s="1158"/>
    </row>
    <row r="904" spans="1:10" ht="15">
      <c r="A904" s="1150"/>
      <c r="B904" s="1150"/>
      <c r="C904" s="1150"/>
      <c r="D904" s="1150"/>
      <c r="E904" s="1150"/>
      <c r="F904" s="1150"/>
      <c r="G904" s="1150"/>
      <c r="H904" s="1150"/>
      <c r="I904" s="1150"/>
      <c r="J904" s="1158"/>
    </row>
    <row r="905" spans="1:10" ht="15">
      <c r="A905" s="1150"/>
      <c r="B905" s="1150"/>
      <c r="C905" s="1150"/>
      <c r="D905" s="1150"/>
      <c r="E905" s="1150"/>
      <c r="F905" s="1150"/>
      <c r="G905" s="1150"/>
      <c r="H905" s="1150"/>
      <c r="I905" s="1150"/>
      <c r="J905" s="1158"/>
    </row>
    <row r="906" spans="1:10" ht="15">
      <c r="A906" s="1150"/>
      <c r="B906" s="1150"/>
      <c r="C906" s="1150"/>
      <c r="D906" s="1150"/>
      <c r="E906" s="1150"/>
      <c r="F906" s="1150"/>
      <c r="G906" s="1150"/>
      <c r="H906" s="1150"/>
      <c r="I906" s="1150"/>
      <c r="J906" s="1158"/>
    </row>
    <row r="907" spans="1:10" ht="15">
      <c r="A907" s="1150"/>
      <c r="B907" s="1150"/>
      <c r="C907" s="1150"/>
      <c r="D907" s="1150"/>
      <c r="E907" s="1150"/>
      <c r="F907" s="1150"/>
      <c r="G907" s="1150"/>
      <c r="H907" s="1150"/>
      <c r="I907" s="1150"/>
      <c r="J907" s="1158"/>
    </row>
    <row r="908" spans="1:10" ht="15">
      <c r="A908" s="1150"/>
      <c r="B908" s="1150"/>
      <c r="C908" s="1150"/>
      <c r="D908" s="1150"/>
      <c r="E908" s="1150"/>
      <c r="F908" s="1150"/>
      <c r="G908" s="1150"/>
      <c r="H908" s="1150"/>
      <c r="I908" s="1150"/>
      <c r="J908" s="1158"/>
    </row>
    <row r="909" spans="1:10" ht="15">
      <c r="A909" s="1150"/>
      <c r="B909" s="1150"/>
      <c r="C909" s="1150"/>
      <c r="D909" s="1150"/>
      <c r="E909" s="1150"/>
      <c r="F909" s="1150"/>
      <c r="G909" s="1150"/>
      <c r="H909" s="1150"/>
      <c r="I909" s="1150"/>
      <c r="J909" s="1158"/>
    </row>
    <row r="910" spans="1:10" ht="15">
      <c r="A910" s="1150"/>
      <c r="B910" s="1150"/>
      <c r="C910" s="1150"/>
      <c r="D910" s="1150"/>
      <c r="E910" s="1150"/>
      <c r="F910" s="1150"/>
      <c r="G910" s="1150"/>
      <c r="H910" s="1150"/>
      <c r="I910" s="1150"/>
      <c r="J910" s="1158"/>
    </row>
    <row r="911" spans="1:10" ht="15">
      <c r="A911" s="1150"/>
      <c r="B911" s="1150"/>
      <c r="C911" s="1150"/>
      <c r="D911" s="1150"/>
      <c r="E911" s="1150"/>
      <c r="F911" s="1150"/>
      <c r="G911" s="1150"/>
      <c r="H911" s="1150"/>
      <c r="I911" s="1150"/>
      <c r="J911" s="1158"/>
    </row>
    <row r="912" spans="1:10" ht="15">
      <c r="A912" s="1150"/>
      <c r="B912" s="1150"/>
      <c r="C912" s="1150"/>
      <c r="D912" s="1150"/>
      <c r="E912" s="1150"/>
      <c r="F912" s="1150"/>
      <c r="G912" s="1150"/>
      <c r="H912" s="1150"/>
      <c r="I912" s="1150"/>
      <c r="J912" s="1158"/>
    </row>
    <row r="913" spans="1:10" ht="15">
      <c r="A913" s="1150"/>
      <c r="B913" s="1150"/>
      <c r="C913" s="1150"/>
      <c r="D913" s="1150"/>
      <c r="E913" s="1150"/>
      <c r="F913" s="1150"/>
      <c r="G913" s="1150"/>
      <c r="H913" s="1150"/>
      <c r="I913" s="1150"/>
      <c r="J913" s="1158"/>
    </row>
    <row r="914" spans="1:10" ht="15">
      <c r="A914" s="1150"/>
      <c r="B914" s="1150"/>
      <c r="C914" s="1150"/>
      <c r="D914" s="1150"/>
      <c r="E914" s="1150"/>
      <c r="F914" s="1150"/>
      <c r="G914" s="1150"/>
      <c r="H914" s="1150"/>
      <c r="I914" s="1150"/>
      <c r="J914" s="1158"/>
    </row>
    <row r="915" spans="1:10" ht="15">
      <c r="A915" s="1150"/>
      <c r="B915" s="1150"/>
      <c r="C915" s="1150"/>
      <c r="D915" s="1150"/>
      <c r="E915" s="1150"/>
      <c r="F915" s="1150"/>
      <c r="G915" s="1150"/>
      <c r="H915" s="1150"/>
      <c r="I915" s="1150"/>
      <c r="J915" s="1158"/>
    </row>
    <row r="916" spans="1:10" ht="15">
      <c r="A916" s="1150"/>
      <c r="B916" s="1150"/>
      <c r="C916" s="1150"/>
      <c r="D916" s="1150"/>
      <c r="E916" s="1150"/>
      <c r="F916" s="1150"/>
      <c r="G916" s="1150"/>
      <c r="H916" s="1150"/>
      <c r="I916" s="1150"/>
      <c r="J916" s="1158"/>
    </row>
    <row r="917" spans="1:10" ht="15">
      <c r="A917" s="1150"/>
      <c r="B917" s="1150"/>
      <c r="C917" s="1150"/>
      <c r="D917" s="1150"/>
      <c r="E917" s="1150"/>
      <c r="F917" s="1150"/>
      <c r="G917" s="1150"/>
      <c r="H917" s="1150"/>
      <c r="I917" s="1150"/>
      <c r="J917" s="1158"/>
    </row>
    <row r="918" spans="1:10" ht="15">
      <c r="A918" s="1150"/>
      <c r="B918" s="1150"/>
      <c r="C918" s="1150"/>
      <c r="D918" s="1150"/>
      <c r="E918" s="1150"/>
      <c r="F918" s="1150"/>
      <c r="G918" s="1150"/>
      <c r="H918" s="1150"/>
      <c r="I918" s="1150"/>
      <c r="J918" s="1158"/>
    </row>
    <row r="919" spans="1:10" ht="15">
      <c r="A919" s="1150"/>
      <c r="B919" s="1150"/>
      <c r="C919" s="1150"/>
      <c r="D919" s="1150"/>
      <c r="E919" s="1150"/>
      <c r="F919" s="1150"/>
      <c r="G919" s="1150"/>
      <c r="H919" s="1150"/>
      <c r="I919" s="1150"/>
      <c r="J919" s="1158"/>
    </row>
    <row r="920" spans="1:10" ht="15">
      <c r="A920" s="1150"/>
      <c r="B920" s="1150"/>
      <c r="C920" s="1150"/>
      <c r="D920" s="1150"/>
      <c r="E920" s="1150"/>
      <c r="F920" s="1150"/>
      <c r="G920" s="1150"/>
      <c r="H920" s="1150"/>
      <c r="I920" s="1150"/>
      <c r="J920" s="1158"/>
    </row>
    <row r="921" spans="1:10" ht="15">
      <c r="A921" s="1150"/>
      <c r="B921" s="1150"/>
      <c r="C921" s="1150"/>
      <c r="D921" s="1150"/>
      <c r="E921" s="1150"/>
      <c r="F921" s="1150"/>
      <c r="G921" s="1150"/>
      <c r="H921" s="1150"/>
      <c r="I921" s="1150"/>
      <c r="J921" s="1158"/>
    </row>
    <row r="922" spans="1:10" ht="15">
      <c r="A922" s="1150"/>
      <c r="B922" s="1150"/>
      <c r="C922" s="1150"/>
      <c r="D922" s="1150"/>
      <c r="E922" s="1150"/>
      <c r="F922" s="1150"/>
      <c r="G922" s="1150"/>
      <c r="H922" s="1150"/>
      <c r="I922" s="1150"/>
      <c r="J922" s="1158"/>
    </row>
    <row r="923" spans="1:10" ht="15">
      <c r="A923" s="1150"/>
      <c r="B923" s="1150"/>
      <c r="C923" s="1150"/>
      <c r="D923" s="1150"/>
      <c r="E923" s="1150"/>
      <c r="F923" s="1150"/>
      <c r="G923" s="1150"/>
      <c r="H923" s="1150"/>
      <c r="I923" s="1150"/>
      <c r="J923" s="1158"/>
    </row>
    <row r="924" spans="1:10" ht="15">
      <c r="A924" s="1150"/>
      <c r="B924" s="1150"/>
      <c r="C924" s="1150"/>
      <c r="D924" s="1150"/>
      <c r="E924" s="1150"/>
      <c r="F924" s="1150"/>
      <c r="G924" s="1150"/>
      <c r="H924" s="1150"/>
      <c r="I924" s="1150"/>
      <c r="J924" s="1158"/>
    </row>
    <row r="925" spans="1:10" ht="15">
      <c r="A925" s="1150"/>
      <c r="B925" s="1150"/>
      <c r="C925" s="1150"/>
      <c r="D925" s="1150"/>
      <c r="E925" s="1150"/>
      <c r="F925" s="1150"/>
      <c r="G925" s="1150"/>
      <c r="H925" s="1150"/>
      <c r="I925" s="1150"/>
      <c r="J925" s="1158"/>
    </row>
    <row r="926" spans="1:10" ht="15">
      <c r="A926" s="1150"/>
      <c r="B926" s="1150"/>
      <c r="C926" s="1150"/>
      <c r="D926" s="1150"/>
      <c r="E926" s="1150"/>
      <c r="F926" s="1150"/>
      <c r="G926" s="1150"/>
      <c r="H926" s="1150"/>
      <c r="I926" s="1150"/>
      <c r="J926" s="1158"/>
    </row>
    <row r="927" spans="1:10" ht="15">
      <c r="A927" s="1150"/>
      <c r="B927" s="1150"/>
      <c r="C927" s="1150"/>
      <c r="D927" s="1150"/>
      <c r="E927" s="1150"/>
      <c r="F927" s="1150"/>
      <c r="G927" s="1150"/>
      <c r="H927" s="1150"/>
      <c r="I927" s="1150"/>
      <c r="J927" s="1158"/>
    </row>
    <row r="928" spans="1:10" ht="15">
      <c r="A928" s="1150"/>
      <c r="B928" s="1150"/>
      <c r="C928" s="1150"/>
      <c r="D928" s="1150"/>
      <c r="E928" s="1150"/>
      <c r="F928" s="1150"/>
      <c r="G928" s="1150"/>
      <c r="H928" s="1150"/>
      <c r="I928" s="1150"/>
      <c r="J928" s="1158"/>
    </row>
    <row r="929" spans="1:10" ht="15">
      <c r="A929" s="1150"/>
      <c r="B929" s="1150"/>
      <c r="C929" s="1150"/>
      <c r="D929" s="1150"/>
      <c r="E929" s="1150"/>
      <c r="F929" s="1150"/>
      <c r="G929" s="1150"/>
      <c r="H929" s="1150"/>
      <c r="I929" s="1150"/>
      <c r="J929" s="1158"/>
    </row>
    <row r="930" spans="1:10" ht="15">
      <c r="A930" s="1150"/>
      <c r="B930" s="1150"/>
      <c r="C930" s="1150"/>
      <c r="D930" s="1150"/>
      <c r="E930" s="1150"/>
      <c r="F930" s="1150"/>
      <c r="G930" s="1150"/>
      <c r="H930" s="1150"/>
      <c r="I930" s="1150"/>
      <c r="J930" s="1158"/>
    </row>
    <row r="931" spans="1:10" ht="15">
      <c r="A931" s="1150"/>
      <c r="B931" s="1150"/>
      <c r="C931" s="1150"/>
      <c r="D931" s="1150"/>
      <c r="E931" s="1150"/>
      <c r="F931" s="1150"/>
      <c r="G931" s="1150"/>
      <c r="H931" s="1150"/>
      <c r="I931" s="1150"/>
      <c r="J931" s="1158"/>
    </row>
    <row r="932" spans="1:10" ht="15">
      <c r="A932" s="1150"/>
      <c r="B932" s="1150"/>
      <c r="C932" s="1150"/>
      <c r="D932" s="1150"/>
      <c r="E932" s="1150"/>
      <c r="F932" s="1150"/>
      <c r="G932" s="1150"/>
      <c r="H932" s="1150"/>
      <c r="I932" s="1150"/>
      <c r="J932" s="1158"/>
    </row>
    <row r="933" spans="1:10" ht="15">
      <c r="A933" s="1150"/>
      <c r="B933" s="1150"/>
      <c r="C933" s="1150"/>
      <c r="D933" s="1150"/>
      <c r="E933" s="1150"/>
      <c r="F933" s="1150"/>
      <c r="G933" s="1150"/>
      <c r="H933" s="1150"/>
      <c r="I933" s="1150"/>
      <c r="J933" s="1158"/>
    </row>
    <row r="934" spans="1:10" ht="15">
      <c r="A934" s="1150"/>
      <c r="B934" s="1150"/>
      <c r="C934" s="1150"/>
      <c r="D934" s="1150"/>
      <c r="E934" s="1150"/>
      <c r="F934" s="1150"/>
      <c r="G934" s="1150"/>
      <c r="H934" s="1150"/>
      <c r="I934" s="1150"/>
      <c r="J934" s="1158"/>
    </row>
    <row r="935" spans="1:10" ht="15">
      <c r="A935" s="1150"/>
      <c r="B935" s="1150"/>
      <c r="C935" s="1150"/>
      <c r="D935" s="1150"/>
      <c r="E935" s="1150"/>
      <c r="F935" s="1150"/>
      <c r="G935" s="1150"/>
      <c r="H935" s="1150"/>
      <c r="I935" s="1150"/>
      <c r="J935" s="1158"/>
    </row>
    <row r="936" spans="1:10" ht="15">
      <c r="A936" s="1150"/>
      <c r="B936" s="1150"/>
      <c r="C936" s="1150"/>
      <c r="D936" s="1150"/>
      <c r="E936" s="1150"/>
      <c r="F936" s="1150"/>
      <c r="G936" s="1150"/>
      <c r="H936" s="1150"/>
      <c r="I936" s="1150"/>
      <c r="J936" s="1158"/>
    </row>
    <row r="937" spans="1:10" ht="15">
      <c r="A937" s="1150"/>
      <c r="B937" s="1150"/>
      <c r="C937" s="1150"/>
      <c r="D937" s="1150"/>
      <c r="E937" s="1150"/>
      <c r="F937" s="1150"/>
      <c r="G937" s="1150"/>
      <c r="H937" s="1150"/>
      <c r="I937" s="1150"/>
      <c r="J937" s="1158"/>
    </row>
    <row r="938" spans="1:10" ht="15">
      <c r="A938" s="1150"/>
      <c r="B938" s="1150"/>
      <c r="C938" s="1150"/>
      <c r="D938" s="1150"/>
      <c r="E938" s="1150"/>
      <c r="F938" s="1150"/>
      <c r="G938" s="1150"/>
      <c r="H938" s="1150"/>
      <c r="I938" s="1150"/>
      <c r="J938" s="1158"/>
    </row>
    <row r="939" spans="1:10" ht="15">
      <c r="A939" s="1150"/>
      <c r="B939" s="1150"/>
      <c r="C939" s="1150"/>
      <c r="D939" s="1150"/>
      <c r="E939" s="1150"/>
      <c r="F939" s="1150"/>
      <c r="G939" s="1150"/>
      <c r="H939" s="1150"/>
      <c r="I939" s="1150"/>
      <c r="J939" s="1158"/>
    </row>
    <row r="940" spans="1:10" ht="15">
      <c r="A940" s="1150"/>
      <c r="B940" s="1150"/>
      <c r="C940" s="1150"/>
      <c r="D940" s="1150"/>
      <c r="E940" s="1150"/>
      <c r="F940" s="1150"/>
      <c r="G940" s="1150"/>
      <c r="H940" s="1150"/>
      <c r="I940" s="1150"/>
      <c r="J940" s="1158"/>
    </row>
    <row r="941" spans="1:10" ht="15">
      <c r="A941" s="1150"/>
      <c r="B941" s="1150"/>
      <c r="C941" s="1150"/>
      <c r="D941" s="1150"/>
      <c r="E941" s="1150"/>
      <c r="F941" s="1150"/>
      <c r="G941" s="1150"/>
      <c r="H941" s="1150"/>
      <c r="I941" s="1150"/>
      <c r="J941" s="1158"/>
    </row>
    <row r="942" spans="1:10" ht="15">
      <c r="A942" s="1150"/>
      <c r="B942" s="1150"/>
      <c r="C942" s="1150"/>
      <c r="D942" s="1150"/>
      <c r="E942" s="1150"/>
      <c r="F942" s="1150"/>
      <c r="G942" s="1150"/>
      <c r="H942" s="1150"/>
      <c r="I942" s="1150"/>
      <c r="J942" s="1158"/>
    </row>
    <row r="943" spans="1:10" ht="15">
      <c r="A943" s="1150"/>
      <c r="B943" s="1150"/>
      <c r="C943" s="1150"/>
      <c r="D943" s="1150"/>
      <c r="E943" s="1150"/>
      <c r="F943" s="1150"/>
      <c r="G943" s="1150"/>
      <c r="H943" s="1150"/>
      <c r="I943" s="1150"/>
      <c r="J943" s="1158"/>
    </row>
    <row r="944" spans="1:10" ht="15">
      <c r="A944" s="1150"/>
      <c r="B944" s="1150"/>
      <c r="C944" s="1150"/>
      <c r="D944" s="1150"/>
      <c r="E944" s="1150"/>
      <c r="F944" s="1150"/>
      <c r="G944" s="1150"/>
      <c r="H944" s="1150"/>
      <c r="I944" s="1150"/>
      <c r="J944" s="1158"/>
    </row>
    <row r="945" spans="1:10" ht="15">
      <c r="A945" s="1150"/>
      <c r="B945" s="1150"/>
      <c r="C945" s="1150"/>
      <c r="D945" s="1150"/>
      <c r="E945" s="1150"/>
      <c r="F945" s="1150"/>
      <c r="G945" s="1150"/>
      <c r="H945" s="1150"/>
      <c r="I945" s="1150"/>
      <c r="J945" s="1158"/>
    </row>
    <row r="946" spans="1:10" ht="15">
      <c r="A946" s="1150"/>
      <c r="B946" s="1150"/>
      <c r="C946" s="1150"/>
      <c r="D946" s="1150"/>
      <c r="E946" s="1150"/>
      <c r="F946" s="1150"/>
      <c r="G946" s="1150"/>
      <c r="H946" s="1150"/>
      <c r="I946" s="1150"/>
      <c r="J946" s="1158"/>
    </row>
    <row r="947" spans="1:10" ht="15">
      <c r="A947" s="1150"/>
      <c r="B947" s="1150"/>
      <c r="C947" s="1150"/>
      <c r="D947" s="1150"/>
      <c r="E947" s="1150"/>
      <c r="F947" s="1150"/>
      <c r="G947" s="1150"/>
      <c r="H947" s="1150"/>
      <c r="I947" s="1150"/>
      <c r="J947" s="1158"/>
    </row>
    <row r="948" spans="1:10" ht="15">
      <c r="A948" s="1150"/>
      <c r="B948" s="1150"/>
      <c r="C948" s="1150"/>
      <c r="D948" s="1150"/>
      <c r="E948" s="1150"/>
      <c r="F948" s="1150"/>
      <c r="G948" s="1150"/>
      <c r="H948" s="1150"/>
      <c r="I948" s="1150"/>
      <c r="J948" s="1158"/>
    </row>
    <row r="949" spans="1:10" ht="15">
      <c r="A949" s="1150"/>
      <c r="B949" s="1150"/>
      <c r="C949" s="1150"/>
      <c r="D949" s="1150"/>
      <c r="E949" s="1150"/>
      <c r="F949" s="1150"/>
      <c r="G949" s="1150"/>
      <c r="H949" s="1150"/>
      <c r="I949" s="1150"/>
      <c r="J949" s="1158"/>
    </row>
    <row r="950" spans="1:10" ht="15">
      <c r="A950" s="1150"/>
      <c r="B950" s="1150"/>
      <c r="C950" s="1150"/>
      <c r="D950" s="1150"/>
      <c r="E950" s="1150"/>
      <c r="F950" s="1150"/>
      <c r="G950" s="1150"/>
      <c r="H950" s="1150"/>
      <c r="I950" s="1150"/>
      <c r="J950" s="1158"/>
    </row>
    <row r="951" spans="1:10" ht="15">
      <c r="A951" s="1150"/>
      <c r="B951" s="1150"/>
      <c r="C951" s="1150"/>
      <c r="D951" s="1150"/>
      <c r="E951" s="1150"/>
      <c r="F951" s="1150"/>
      <c r="G951" s="1150"/>
      <c r="H951" s="1150"/>
      <c r="I951" s="1150"/>
      <c r="J951" s="1158"/>
    </row>
    <row r="952" spans="1:10" ht="15">
      <c r="A952" s="1150"/>
      <c r="B952" s="1150"/>
      <c r="C952" s="1150"/>
      <c r="D952" s="1150"/>
      <c r="E952" s="1150"/>
      <c r="F952" s="1150"/>
      <c r="G952" s="1150"/>
      <c r="H952" s="1150"/>
      <c r="I952" s="1150"/>
      <c r="J952" s="1158"/>
    </row>
    <row r="953" spans="1:10" ht="15">
      <c r="A953" s="1150"/>
      <c r="B953" s="1150"/>
      <c r="C953" s="1150"/>
      <c r="D953" s="1150"/>
      <c r="E953" s="1150"/>
      <c r="F953" s="1150"/>
      <c r="G953" s="1150"/>
      <c r="H953" s="1150"/>
      <c r="I953" s="1150"/>
      <c r="J953" s="1158"/>
    </row>
    <row r="954" spans="1:10" ht="15">
      <c r="A954" s="1150"/>
      <c r="B954" s="1150"/>
      <c r="C954" s="1150"/>
      <c r="D954" s="1150"/>
      <c r="E954" s="1150"/>
      <c r="F954" s="1150"/>
      <c r="G954" s="1150"/>
      <c r="H954" s="1150"/>
      <c r="I954" s="1150"/>
      <c r="J954" s="1158"/>
    </row>
    <row r="955" spans="1:10" ht="15">
      <c r="A955" s="1150"/>
      <c r="B955" s="1150"/>
      <c r="C955" s="1150"/>
      <c r="D955" s="1150"/>
      <c r="E955" s="1150"/>
      <c r="F955" s="1150"/>
      <c r="G955" s="1150"/>
      <c r="H955" s="1150"/>
      <c r="I955" s="1150"/>
      <c r="J955" s="1158"/>
    </row>
    <row r="956" spans="1:10" ht="15">
      <c r="A956" s="1150"/>
      <c r="B956" s="1150"/>
      <c r="C956" s="1150"/>
      <c r="D956" s="1150"/>
      <c r="E956" s="1150"/>
      <c r="F956" s="1150"/>
      <c r="G956" s="1150"/>
      <c r="H956" s="1150"/>
      <c r="I956" s="1150"/>
      <c r="J956" s="1158"/>
    </row>
    <row r="957" spans="1:10" ht="15">
      <c r="A957" s="1150"/>
      <c r="B957" s="1150"/>
      <c r="C957" s="1150"/>
      <c r="D957" s="1150"/>
      <c r="E957" s="1150"/>
      <c r="F957" s="1150"/>
      <c r="G957" s="1150"/>
      <c r="H957" s="1150"/>
      <c r="I957" s="1150"/>
      <c r="J957" s="1158"/>
    </row>
    <row r="958" spans="1:10" ht="15">
      <c r="A958" s="1150"/>
      <c r="B958" s="1150"/>
      <c r="C958" s="1150"/>
      <c r="D958" s="1150"/>
      <c r="E958" s="1150"/>
      <c r="F958" s="1150"/>
      <c r="G958" s="1150"/>
      <c r="H958" s="1150"/>
      <c r="I958" s="1150"/>
      <c r="J958" s="1158"/>
    </row>
    <row r="959" spans="1:10" ht="15">
      <c r="A959" s="1150"/>
      <c r="B959" s="1150"/>
      <c r="C959" s="1150"/>
      <c r="D959" s="1150"/>
      <c r="E959" s="1150"/>
      <c r="F959" s="1150"/>
      <c r="G959" s="1150"/>
      <c r="H959" s="1150"/>
      <c r="I959" s="1150"/>
      <c r="J959" s="1158"/>
    </row>
    <row r="960" spans="1:10" ht="15">
      <c r="A960" s="1150"/>
      <c r="B960" s="1150"/>
      <c r="C960" s="1150"/>
      <c r="D960" s="1150"/>
      <c r="E960" s="1150"/>
      <c r="F960" s="1150"/>
      <c r="G960" s="1150"/>
      <c r="H960" s="1150"/>
      <c r="I960" s="1150"/>
      <c r="J960" s="1158"/>
    </row>
    <row r="961" spans="1:10" ht="15">
      <c r="A961" s="1150"/>
      <c r="B961" s="1150"/>
      <c r="C961" s="1150"/>
      <c r="D961" s="1150"/>
      <c r="E961" s="1150"/>
      <c r="F961" s="1150"/>
      <c r="G961" s="1150"/>
      <c r="H961" s="1150"/>
      <c r="I961" s="1150"/>
      <c r="J961" s="1158"/>
    </row>
    <row r="962" spans="1:10" ht="15">
      <c r="A962" s="1150"/>
      <c r="B962" s="1150"/>
      <c r="C962" s="1150"/>
      <c r="D962" s="1150"/>
      <c r="E962" s="1150"/>
      <c r="F962" s="1150"/>
      <c r="G962" s="1150"/>
      <c r="H962" s="1150"/>
      <c r="I962" s="1150"/>
      <c r="J962" s="1158"/>
    </row>
    <row r="963" spans="1:10" ht="15">
      <c r="A963" s="1150"/>
      <c r="B963" s="1150"/>
      <c r="C963" s="1150"/>
      <c r="D963" s="1150"/>
      <c r="E963" s="1150"/>
      <c r="F963" s="1150"/>
      <c r="G963" s="1150"/>
      <c r="H963" s="1150"/>
      <c r="I963" s="1150"/>
      <c r="J963" s="1158"/>
    </row>
    <row r="964" spans="1:10" ht="15">
      <c r="A964" s="1150"/>
      <c r="B964" s="1150"/>
      <c r="C964" s="1150"/>
      <c r="D964" s="1150"/>
      <c r="E964" s="1150"/>
      <c r="F964" s="1150"/>
      <c r="G964" s="1150"/>
      <c r="H964" s="1150"/>
      <c r="I964" s="1150"/>
      <c r="J964" s="1158"/>
    </row>
    <row r="965" spans="1:10" ht="15">
      <c r="A965" s="1150"/>
      <c r="B965" s="1150"/>
      <c r="C965" s="1150"/>
      <c r="D965" s="1150"/>
      <c r="E965" s="1150"/>
      <c r="F965" s="1150"/>
      <c r="G965" s="1150"/>
      <c r="H965" s="1150"/>
      <c r="I965" s="1150"/>
      <c r="J965" s="1158"/>
    </row>
    <row r="966" spans="1:10" ht="15">
      <c r="A966" s="1150"/>
      <c r="B966" s="1150"/>
      <c r="C966" s="1150"/>
      <c r="D966" s="1150"/>
      <c r="E966" s="1150"/>
      <c r="F966" s="1150"/>
      <c r="G966" s="1150"/>
      <c r="H966" s="1150"/>
      <c r="I966" s="1150"/>
      <c r="J966" s="1158"/>
    </row>
    <row r="967" spans="1:10" ht="15">
      <c r="A967" s="1150"/>
      <c r="B967" s="1150"/>
      <c r="C967" s="1150"/>
      <c r="D967" s="1150"/>
      <c r="E967" s="1150"/>
      <c r="F967" s="1150"/>
      <c r="G967" s="1150"/>
      <c r="H967" s="1150"/>
      <c r="I967" s="1150"/>
      <c r="J967" s="1158"/>
    </row>
    <row r="968" spans="1:10" ht="15">
      <c r="A968" s="1150"/>
      <c r="B968" s="1150"/>
      <c r="C968" s="1150"/>
      <c r="D968" s="1150"/>
      <c r="E968" s="1150"/>
      <c r="F968" s="1150"/>
      <c r="G968" s="1150"/>
      <c r="H968" s="1150"/>
      <c r="I968" s="1150"/>
      <c r="J968" s="1158"/>
    </row>
    <row r="969" spans="1:10" ht="15">
      <c r="A969" s="1150"/>
      <c r="B969" s="1150"/>
      <c r="C969" s="1150"/>
      <c r="D969" s="1150"/>
      <c r="E969" s="1150"/>
      <c r="F969" s="1150"/>
      <c r="G969" s="1150"/>
      <c r="H969" s="1150"/>
      <c r="I969" s="1150"/>
      <c r="J969" s="1158"/>
    </row>
    <row r="970" spans="1:10" ht="15">
      <c r="A970" s="1150"/>
      <c r="B970" s="1150"/>
      <c r="C970" s="1150"/>
      <c r="D970" s="1150"/>
      <c r="E970" s="1150"/>
      <c r="F970" s="1150"/>
      <c r="G970" s="1150"/>
      <c r="H970" s="1150"/>
      <c r="I970" s="1150"/>
      <c r="J970" s="1158"/>
    </row>
    <row r="971" spans="1:10" ht="15">
      <c r="A971" s="1150"/>
      <c r="B971" s="1150"/>
      <c r="C971" s="1150"/>
      <c r="D971" s="1150"/>
      <c r="E971" s="1150"/>
      <c r="F971" s="1150"/>
      <c r="G971" s="1150"/>
      <c r="H971" s="1150"/>
      <c r="I971" s="1150"/>
      <c r="J971" s="1158"/>
    </row>
    <row r="972" spans="1:10" ht="15">
      <c r="A972" s="1150"/>
      <c r="B972" s="1150"/>
      <c r="C972" s="1150"/>
      <c r="D972" s="1150"/>
      <c r="E972" s="1150"/>
      <c r="F972" s="1150"/>
      <c r="G972" s="1150"/>
      <c r="H972" s="1150"/>
      <c r="I972" s="1150"/>
      <c r="J972" s="1158"/>
    </row>
    <row r="973" spans="1:10" ht="15">
      <c r="A973" s="1150"/>
      <c r="B973" s="1150"/>
      <c r="C973" s="1150"/>
      <c r="D973" s="1150"/>
      <c r="E973" s="1150"/>
      <c r="F973" s="1150"/>
      <c r="G973" s="1150"/>
      <c r="H973" s="1150"/>
      <c r="I973" s="1150"/>
      <c r="J973" s="1158"/>
    </row>
    <row r="974" spans="1:10" ht="15">
      <c r="A974" s="1150"/>
      <c r="B974" s="1150"/>
      <c r="C974" s="1150"/>
      <c r="D974" s="1150"/>
      <c r="E974" s="1150"/>
      <c r="F974" s="1150"/>
      <c r="G974" s="1150"/>
      <c r="H974" s="1150"/>
      <c r="I974" s="1150"/>
      <c r="J974" s="1158"/>
    </row>
    <row r="975" spans="1:10" ht="15">
      <c r="A975" s="1150"/>
      <c r="B975" s="1150"/>
      <c r="C975" s="1150"/>
      <c r="D975" s="1150"/>
      <c r="E975" s="1150"/>
      <c r="F975" s="1150"/>
      <c r="G975" s="1150"/>
      <c r="H975" s="1150"/>
      <c r="I975" s="1150"/>
      <c r="J975" s="1158"/>
    </row>
    <row r="976" spans="1:10" ht="15">
      <c r="A976" s="1150"/>
      <c r="B976" s="1150"/>
      <c r="C976" s="1150"/>
      <c r="D976" s="1150"/>
      <c r="E976" s="1150"/>
      <c r="F976" s="1150"/>
      <c r="G976" s="1150"/>
      <c r="H976" s="1150"/>
      <c r="I976" s="1150"/>
      <c r="J976" s="1158"/>
    </row>
    <row r="977" spans="1:10" ht="15">
      <c r="A977" s="1150"/>
      <c r="B977" s="1150"/>
      <c r="C977" s="1150"/>
      <c r="D977" s="1150"/>
      <c r="E977" s="1150"/>
      <c r="F977" s="1150"/>
      <c r="G977" s="1150"/>
      <c r="H977" s="1150"/>
      <c r="I977" s="1150"/>
      <c r="J977" s="1158"/>
    </row>
    <row r="978" spans="1:10" ht="15">
      <c r="A978" s="1150"/>
      <c r="B978" s="1150"/>
      <c r="C978" s="1150"/>
      <c r="D978" s="1150"/>
      <c r="E978" s="1150"/>
      <c r="F978" s="1150"/>
      <c r="G978" s="1150"/>
      <c r="H978" s="1150"/>
      <c r="I978" s="1150"/>
      <c r="J978" s="1158"/>
    </row>
    <row r="979" spans="1:10" ht="15">
      <c r="A979" s="1150"/>
      <c r="B979" s="1150"/>
      <c r="C979" s="1150"/>
      <c r="D979" s="1150"/>
      <c r="E979" s="1150"/>
      <c r="F979" s="1150"/>
      <c r="G979" s="1150"/>
      <c r="H979" s="1150"/>
      <c r="I979" s="1150"/>
      <c r="J979" s="1158"/>
    </row>
    <row r="980" spans="1:10" ht="15">
      <c r="A980" s="1150"/>
      <c r="B980" s="1150"/>
      <c r="C980" s="1150"/>
      <c r="D980" s="1150"/>
      <c r="E980" s="1150"/>
      <c r="F980" s="1150"/>
      <c r="G980" s="1150"/>
      <c r="H980" s="1150"/>
      <c r="I980" s="1150"/>
      <c r="J980" s="1158"/>
    </row>
    <row r="981" spans="1:10" ht="15">
      <c r="A981" s="1150"/>
      <c r="B981" s="1150"/>
      <c r="C981" s="1150"/>
      <c r="D981" s="1150"/>
      <c r="E981" s="1150"/>
      <c r="F981" s="1150"/>
      <c r="G981" s="1150"/>
      <c r="H981" s="1150"/>
      <c r="I981" s="1150"/>
      <c r="J981" s="1158"/>
    </row>
    <row r="982" spans="1:10" ht="15">
      <c r="A982" s="1150"/>
      <c r="B982" s="1150"/>
      <c r="C982" s="1150"/>
      <c r="D982" s="1150"/>
      <c r="E982" s="1150"/>
      <c r="F982" s="1150"/>
      <c r="G982" s="1150"/>
      <c r="H982" s="1150"/>
      <c r="I982" s="1150"/>
      <c r="J982" s="1158"/>
    </row>
    <row r="983" spans="1:10" ht="15">
      <c r="A983" s="1150"/>
      <c r="B983" s="1150"/>
      <c r="C983" s="1150"/>
      <c r="D983" s="1150"/>
      <c r="E983" s="1150"/>
      <c r="F983" s="1150"/>
      <c r="G983" s="1150"/>
      <c r="H983" s="1150"/>
      <c r="I983" s="1150"/>
      <c r="J983" s="1158"/>
    </row>
    <row r="984" spans="1:10" ht="15">
      <c r="A984" s="1150"/>
      <c r="B984" s="1150"/>
      <c r="C984" s="1150"/>
      <c r="D984" s="1150"/>
      <c r="E984" s="1150"/>
      <c r="F984" s="1150"/>
      <c r="G984" s="1150"/>
      <c r="H984" s="1150"/>
      <c r="I984" s="1150"/>
      <c r="J984" s="1158"/>
    </row>
    <row r="985" spans="1:10" ht="15">
      <c r="A985" s="1150"/>
      <c r="B985" s="1150"/>
      <c r="C985" s="1150"/>
      <c r="D985" s="1150"/>
      <c r="E985" s="1150"/>
      <c r="F985" s="1150"/>
      <c r="G985" s="1150"/>
      <c r="H985" s="1150"/>
      <c r="I985" s="1150"/>
      <c r="J985" s="1158"/>
    </row>
    <row r="986" spans="1:10" ht="15">
      <c r="A986" s="1150"/>
      <c r="B986" s="1150"/>
      <c r="C986" s="1150"/>
      <c r="D986" s="1150"/>
      <c r="E986" s="1150"/>
      <c r="F986" s="1150"/>
      <c r="G986" s="1150"/>
      <c r="H986" s="1150"/>
      <c r="I986" s="1150"/>
      <c r="J986" s="1158"/>
    </row>
    <row r="987" spans="1:10" ht="15">
      <c r="A987" s="1150"/>
      <c r="B987" s="1150"/>
      <c r="C987" s="1150"/>
      <c r="D987" s="1150"/>
      <c r="E987" s="1150"/>
      <c r="F987" s="1150"/>
      <c r="G987" s="1150"/>
      <c r="H987" s="1150"/>
      <c r="I987" s="1150"/>
      <c r="J987" s="1158"/>
    </row>
    <row r="988" spans="1:10" ht="15">
      <c r="A988" s="1150"/>
      <c r="B988" s="1150"/>
      <c r="C988" s="1150"/>
      <c r="D988" s="1150"/>
      <c r="E988" s="1150"/>
      <c r="F988" s="1150"/>
      <c r="G988" s="1150"/>
      <c r="H988" s="1150"/>
      <c r="I988" s="1150"/>
      <c r="J988" s="1158"/>
    </row>
    <row r="989" spans="1:10" ht="15">
      <c r="A989" s="1150"/>
      <c r="B989" s="1150"/>
      <c r="C989" s="1150"/>
      <c r="D989" s="1150"/>
      <c r="E989" s="1150"/>
      <c r="F989" s="1150"/>
      <c r="G989" s="1150"/>
      <c r="H989" s="1150"/>
      <c r="I989" s="1150"/>
      <c r="J989" s="1158"/>
    </row>
    <row r="990" spans="1:10" ht="15">
      <c r="A990" s="1150"/>
      <c r="B990" s="1150"/>
      <c r="C990" s="1150"/>
      <c r="D990" s="1150"/>
      <c r="E990" s="1150"/>
      <c r="F990" s="1150"/>
      <c r="G990" s="1150"/>
      <c r="H990" s="1150"/>
      <c r="I990" s="1150"/>
      <c r="J990" s="1158"/>
    </row>
    <row r="991" spans="1:10" ht="15">
      <c r="A991" s="1150"/>
      <c r="B991" s="1150"/>
      <c r="C991" s="1150"/>
      <c r="D991" s="1150"/>
      <c r="E991" s="1150"/>
      <c r="F991" s="1150"/>
      <c r="G991" s="1150"/>
      <c r="H991" s="1150"/>
      <c r="I991" s="1150"/>
      <c r="J991" s="1158"/>
    </row>
    <row r="992" spans="1:10" ht="15">
      <c r="A992" s="1150"/>
      <c r="B992" s="1150"/>
      <c r="C992" s="1150"/>
      <c r="D992" s="1150"/>
      <c r="E992" s="1150"/>
      <c r="F992" s="1150"/>
      <c r="G992" s="1150"/>
      <c r="H992" s="1150"/>
      <c r="I992" s="1150"/>
      <c r="J992" s="1158"/>
    </row>
    <row r="993" spans="1:10" ht="15">
      <c r="A993" s="1150"/>
      <c r="B993" s="1150"/>
      <c r="C993" s="1150"/>
      <c r="D993" s="1150"/>
      <c r="E993" s="1150"/>
      <c r="F993" s="1150"/>
      <c r="G993" s="1150"/>
      <c r="H993" s="1150"/>
      <c r="I993" s="1150"/>
      <c r="J993" s="1158"/>
    </row>
    <row r="994" spans="1:10" ht="15">
      <c r="A994" s="1150"/>
      <c r="B994" s="1150"/>
      <c r="C994" s="1150"/>
      <c r="D994" s="1150"/>
      <c r="E994" s="1150"/>
      <c r="F994" s="1150"/>
      <c r="G994" s="1150"/>
      <c r="H994" s="1150"/>
      <c r="I994" s="1150"/>
      <c r="J994" s="1158"/>
    </row>
    <row r="995" spans="1:10" ht="15">
      <c r="A995" s="1150"/>
      <c r="B995" s="1150"/>
      <c r="C995" s="1150"/>
      <c r="D995" s="1150"/>
      <c r="E995" s="1150"/>
      <c r="F995" s="1150"/>
      <c r="G995" s="1150"/>
      <c r="H995" s="1150"/>
      <c r="I995" s="1150"/>
      <c r="J995" s="1158"/>
    </row>
    <row r="996" spans="1:10" ht="15">
      <c r="A996" s="1150"/>
      <c r="B996" s="1150"/>
      <c r="C996" s="1150"/>
      <c r="D996" s="1150"/>
      <c r="E996" s="1150"/>
      <c r="F996" s="1150"/>
      <c r="G996" s="1150"/>
      <c r="H996" s="1150"/>
      <c r="I996" s="1150"/>
      <c r="J996" s="1158"/>
    </row>
    <row r="997" spans="1:10" ht="15">
      <c r="A997" s="1150"/>
      <c r="B997" s="1150"/>
      <c r="C997" s="1150"/>
      <c r="D997" s="1150"/>
      <c r="E997" s="1150"/>
      <c r="F997" s="1150"/>
      <c r="G997" s="1150"/>
      <c r="H997" s="1150"/>
      <c r="I997" s="1150"/>
      <c r="J997" s="1158"/>
    </row>
    <row r="998" spans="1:10" ht="15">
      <c r="A998" s="1150"/>
      <c r="B998" s="1150"/>
      <c r="C998" s="1150"/>
      <c r="D998" s="1150"/>
      <c r="E998" s="1150"/>
      <c r="F998" s="1150"/>
      <c r="G998" s="1150"/>
      <c r="H998" s="1150"/>
      <c r="I998" s="1150"/>
      <c r="J998" s="1158"/>
    </row>
    <row r="999" spans="1:10" ht="15">
      <c r="A999" s="1150"/>
      <c r="B999" s="1150"/>
      <c r="C999" s="1150"/>
      <c r="D999" s="1150"/>
      <c r="E999" s="1150"/>
      <c r="F999" s="1150"/>
      <c r="G999" s="1150"/>
      <c r="H999" s="1150"/>
      <c r="I999" s="1150"/>
      <c r="J999" s="1158"/>
    </row>
    <row r="1000" spans="1:10" ht="15">
      <c r="A1000" s="1150"/>
      <c r="B1000" s="1150"/>
      <c r="C1000" s="1150"/>
      <c r="D1000" s="1150"/>
      <c r="E1000" s="1150"/>
      <c r="F1000" s="1150"/>
      <c r="G1000" s="1150"/>
      <c r="H1000" s="1150"/>
      <c r="I1000" s="1150"/>
      <c r="J1000" s="1158"/>
    </row>
    <row r="1001" spans="1:10" ht="15">
      <c r="A1001" s="1150"/>
      <c r="B1001" s="1150"/>
      <c r="C1001" s="1150"/>
      <c r="D1001" s="1150"/>
      <c r="E1001" s="1150"/>
      <c r="F1001" s="1150"/>
      <c r="G1001" s="1150"/>
      <c r="H1001" s="1150"/>
      <c r="I1001" s="1150"/>
      <c r="J1001" s="1158"/>
    </row>
    <row r="1002" spans="1:10" ht="15">
      <c r="A1002" s="1150"/>
      <c r="B1002" s="1150"/>
      <c r="C1002" s="1150"/>
      <c r="D1002" s="1150"/>
      <c r="E1002" s="1150"/>
      <c r="F1002" s="1150"/>
      <c r="G1002" s="1150"/>
      <c r="H1002" s="1150"/>
      <c r="I1002" s="1150"/>
      <c r="J1002" s="1158"/>
    </row>
    <row r="1003" spans="1:10" ht="15">
      <c r="A1003" s="1150"/>
      <c r="B1003" s="1150"/>
      <c r="C1003" s="1150"/>
      <c r="D1003" s="1150"/>
      <c r="E1003" s="1150"/>
      <c r="F1003" s="1150"/>
      <c r="G1003" s="1150"/>
      <c r="H1003" s="1150"/>
      <c r="I1003" s="1150"/>
      <c r="J1003" s="1158"/>
    </row>
    <row r="1004" spans="1:10" ht="15">
      <c r="A1004" s="1150"/>
      <c r="B1004" s="1150"/>
      <c r="C1004" s="1150"/>
      <c r="D1004" s="1150"/>
      <c r="E1004" s="1150"/>
      <c r="F1004" s="1150"/>
      <c r="G1004" s="1150"/>
      <c r="H1004" s="1150"/>
      <c r="I1004" s="1150"/>
      <c r="J1004" s="1158"/>
    </row>
    <row r="1005" spans="1:10" ht="15">
      <c r="A1005" s="1150"/>
      <c r="B1005" s="1150"/>
      <c r="C1005" s="1150"/>
      <c r="D1005" s="1150"/>
      <c r="E1005" s="1150"/>
      <c r="F1005" s="1150"/>
      <c r="G1005" s="1150"/>
      <c r="H1005" s="1150"/>
      <c r="I1005" s="1150"/>
      <c r="J1005" s="1158"/>
    </row>
    <row r="1006" spans="1:10" ht="15">
      <c r="A1006" s="1150"/>
      <c r="B1006" s="1150"/>
      <c r="C1006" s="1150"/>
      <c r="D1006" s="1150"/>
      <c r="E1006" s="1150"/>
      <c r="F1006" s="1150"/>
      <c r="G1006" s="1150"/>
      <c r="H1006" s="1150"/>
      <c r="I1006" s="1150"/>
      <c r="J1006" s="1158"/>
    </row>
    <row r="1007" spans="1:10" ht="15">
      <c r="A1007" s="1150"/>
      <c r="B1007" s="1150"/>
      <c r="C1007" s="1150"/>
      <c r="D1007" s="1150"/>
      <c r="E1007" s="1150"/>
      <c r="F1007" s="1150"/>
      <c r="G1007" s="1150"/>
      <c r="H1007" s="1150"/>
      <c r="I1007" s="1150"/>
      <c r="J1007" s="1158"/>
    </row>
    <row r="1008" spans="1:10" ht="15">
      <c r="A1008" s="1150"/>
      <c r="B1008" s="1150"/>
      <c r="C1008" s="1150"/>
      <c r="D1008" s="1150"/>
      <c r="E1008" s="1150"/>
      <c r="F1008" s="1150"/>
      <c r="G1008" s="1150"/>
      <c r="H1008" s="1150"/>
      <c r="I1008" s="1150"/>
      <c r="J1008" s="1158"/>
    </row>
    <row r="1009" spans="1:10" ht="15">
      <c r="A1009" s="1150"/>
      <c r="B1009" s="1150"/>
      <c r="C1009" s="1150"/>
      <c r="D1009" s="1150"/>
      <c r="E1009" s="1150"/>
      <c r="F1009" s="1150"/>
      <c r="G1009" s="1150"/>
      <c r="H1009" s="1150"/>
      <c r="I1009" s="1150"/>
      <c r="J1009" s="1158"/>
    </row>
    <row r="1010" spans="1:10" ht="15">
      <c r="A1010" s="1150"/>
      <c r="B1010" s="1150"/>
      <c r="C1010" s="1150"/>
      <c r="D1010" s="1150"/>
      <c r="E1010" s="1150"/>
      <c r="F1010" s="1150"/>
      <c r="G1010" s="1150"/>
      <c r="H1010" s="1150"/>
      <c r="I1010" s="1150"/>
      <c r="J1010" s="1158"/>
    </row>
    <row r="1011" spans="1:10" ht="15">
      <c r="A1011" s="1150"/>
      <c r="B1011" s="1150"/>
      <c r="C1011" s="1150"/>
      <c r="D1011" s="1150"/>
      <c r="E1011" s="1150"/>
      <c r="F1011" s="1150"/>
      <c r="G1011" s="1150"/>
      <c r="H1011" s="1150"/>
      <c r="I1011" s="1150"/>
      <c r="J1011" s="1158"/>
    </row>
    <row r="1012" spans="1:10" ht="15">
      <c r="A1012" s="1150"/>
      <c r="B1012" s="1150"/>
      <c r="C1012" s="1150"/>
      <c r="D1012" s="1150"/>
      <c r="E1012" s="1150"/>
      <c r="F1012" s="1150"/>
      <c r="G1012" s="1150"/>
      <c r="H1012" s="1150"/>
      <c r="I1012" s="1150"/>
      <c r="J1012" s="1158"/>
    </row>
    <row r="1013" spans="1:10" ht="15">
      <c r="A1013" s="1150"/>
      <c r="B1013" s="1150"/>
      <c r="C1013" s="1150"/>
      <c r="D1013" s="1150"/>
      <c r="E1013" s="1150"/>
      <c r="F1013" s="1150"/>
      <c r="G1013" s="1150"/>
      <c r="H1013" s="1150"/>
      <c r="I1013" s="1150"/>
      <c r="J1013" s="1158"/>
    </row>
    <row r="1014" spans="1:10" ht="15">
      <c r="A1014" s="1150"/>
      <c r="B1014" s="1150"/>
      <c r="C1014" s="1150"/>
      <c r="D1014" s="1150"/>
      <c r="E1014" s="1150"/>
      <c r="F1014" s="1150"/>
      <c r="G1014" s="1150"/>
      <c r="H1014" s="1150"/>
      <c r="I1014" s="1150"/>
      <c r="J1014" s="1158"/>
    </row>
    <row r="1015" spans="1:10" ht="15">
      <c r="A1015" s="1150"/>
      <c r="B1015" s="1150"/>
      <c r="C1015" s="1150"/>
      <c r="D1015" s="1150"/>
      <c r="E1015" s="1150"/>
      <c r="F1015" s="1150"/>
      <c r="G1015" s="1150"/>
      <c r="H1015" s="1150"/>
      <c r="I1015" s="1150"/>
      <c r="J1015" s="1158"/>
    </row>
    <row r="1016" spans="1:10" ht="15">
      <c r="A1016" s="1150"/>
      <c r="B1016" s="1150"/>
      <c r="C1016" s="1150"/>
      <c r="D1016" s="1150"/>
      <c r="E1016" s="1150"/>
      <c r="F1016" s="1150"/>
      <c r="G1016" s="1150"/>
      <c r="H1016" s="1150"/>
      <c r="I1016" s="1150"/>
      <c r="J1016" s="1158"/>
    </row>
    <row r="1017" spans="1:10" ht="15">
      <c r="A1017" s="1150"/>
      <c r="B1017" s="1150"/>
      <c r="C1017" s="1150"/>
      <c r="D1017" s="1150"/>
      <c r="E1017" s="1150"/>
      <c r="F1017" s="1150"/>
      <c r="G1017" s="1150"/>
      <c r="H1017" s="1150"/>
      <c r="I1017" s="1150"/>
      <c r="J1017" s="1158"/>
    </row>
    <row r="1018" spans="1:10" ht="15">
      <c r="A1018" s="1150"/>
      <c r="B1018" s="1150"/>
      <c r="C1018" s="1150"/>
      <c r="D1018" s="1150"/>
      <c r="E1018" s="1150"/>
      <c r="F1018" s="1150"/>
      <c r="G1018" s="1150"/>
      <c r="H1018" s="1150"/>
      <c r="I1018" s="1150"/>
      <c r="J1018" s="1158"/>
    </row>
    <row r="1019" spans="1:10" ht="15">
      <c r="A1019" s="1150"/>
      <c r="B1019" s="1150"/>
      <c r="C1019" s="1150"/>
      <c r="D1019" s="1150"/>
      <c r="E1019" s="1150"/>
      <c r="F1019" s="1150"/>
      <c r="G1019" s="1150"/>
      <c r="H1019" s="1150"/>
      <c r="I1019" s="1150"/>
      <c r="J1019" s="1158"/>
    </row>
    <row r="1020" spans="1:10" ht="15">
      <c r="A1020" s="1150"/>
      <c r="B1020" s="1150"/>
      <c r="C1020" s="1150"/>
      <c r="D1020" s="1150"/>
      <c r="E1020" s="1150"/>
      <c r="F1020" s="1150"/>
      <c r="G1020" s="1150"/>
      <c r="H1020" s="1150"/>
      <c r="I1020" s="1150"/>
      <c r="J1020" s="1158"/>
    </row>
    <row r="1021" spans="1:10" ht="15">
      <c r="A1021" s="1150"/>
      <c r="B1021" s="1150"/>
      <c r="C1021" s="1150"/>
      <c r="D1021" s="1150"/>
      <c r="E1021" s="1150"/>
      <c r="F1021" s="1150"/>
      <c r="G1021" s="1150"/>
      <c r="H1021" s="1150"/>
      <c r="I1021" s="1150"/>
      <c r="J1021" s="1158"/>
    </row>
    <row r="1022" spans="1:10" ht="15">
      <c r="A1022" s="1150"/>
      <c r="B1022" s="1150"/>
      <c r="C1022" s="1150"/>
      <c r="D1022" s="1150"/>
      <c r="E1022" s="1150"/>
      <c r="F1022" s="1150"/>
      <c r="G1022" s="1150"/>
      <c r="H1022" s="1150"/>
      <c r="I1022" s="1150"/>
      <c r="J1022" s="1158"/>
    </row>
    <row r="1023" spans="1:10" ht="15">
      <c r="A1023" s="1150"/>
      <c r="B1023" s="1150"/>
      <c r="C1023" s="1150"/>
      <c r="D1023" s="1150"/>
      <c r="E1023" s="1150"/>
      <c r="F1023" s="1150"/>
      <c r="G1023" s="1150"/>
      <c r="H1023" s="1150"/>
      <c r="I1023" s="1150"/>
      <c r="J1023" s="1158"/>
    </row>
    <row r="1024" spans="1:10" ht="15">
      <c r="A1024" s="1150"/>
      <c r="B1024" s="1150"/>
      <c r="C1024" s="1150"/>
      <c r="D1024" s="1150"/>
      <c r="E1024" s="1150"/>
      <c r="F1024" s="1150"/>
      <c r="G1024" s="1150"/>
      <c r="H1024" s="1150"/>
      <c r="I1024" s="1150"/>
      <c r="J1024" s="1158"/>
    </row>
    <row r="1025" spans="1:10" ht="15">
      <c r="A1025" s="1150"/>
      <c r="B1025" s="1150"/>
      <c r="C1025" s="1150"/>
      <c r="D1025" s="1150"/>
      <c r="E1025" s="1150"/>
      <c r="F1025" s="1150"/>
      <c r="G1025" s="1150"/>
      <c r="H1025" s="1150"/>
      <c r="I1025" s="1150"/>
      <c r="J1025" s="1158"/>
    </row>
    <row r="1026" spans="1:10" ht="15">
      <c r="A1026" s="1150"/>
      <c r="B1026" s="1150"/>
      <c r="C1026" s="1150"/>
      <c r="D1026" s="1150"/>
      <c r="E1026" s="1150"/>
      <c r="F1026" s="1150"/>
      <c r="G1026" s="1150"/>
      <c r="H1026" s="1150"/>
      <c r="I1026" s="1150"/>
      <c r="J1026" s="1158"/>
    </row>
    <row r="1027" spans="1:10" ht="15">
      <c r="A1027" s="1150"/>
      <c r="B1027" s="1150"/>
      <c r="C1027" s="1150"/>
      <c r="D1027" s="1150"/>
      <c r="E1027" s="1150"/>
      <c r="F1027" s="1150"/>
      <c r="G1027" s="1150"/>
      <c r="H1027" s="1150"/>
      <c r="I1027" s="1150"/>
      <c r="J1027" s="1158"/>
    </row>
    <row r="1028" spans="1:10" ht="15">
      <c r="A1028" s="1150"/>
      <c r="B1028" s="1150"/>
      <c r="C1028" s="1150"/>
      <c r="D1028" s="1150"/>
      <c r="E1028" s="1150"/>
      <c r="F1028" s="1150"/>
      <c r="G1028" s="1150"/>
      <c r="H1028" s="1150"/>
      <c r="I1028" s="1150"/>
      <c r="J1028" s="1158"/>
    </row>
    <row r="1029" spans="1:10" ht="15">
      <c r="A1029" s="1150"/>
      <c r="B1029" s="1150"/>
      <c r="C1029" s="1150"/>
      <c r="D1029" s="1150"/>
      <c r="E1029" s="1150"/>
      <c r="F1029" s="1150"/>
      <c r="G1029" s="1150"/>
      <c r="H1029" s="1150"/>
      <c r="I1029" s="1150"/>
      <c r="J1029" s="1158"/>
    </row>
    <row r="1030" spans="1:10" ht="15">
      <c r="A1030" s="1150"/>
      <c r="B1030" s="1150"/>
      <c r="C1030" s="1150"/>
      <c r="D1030" s="1150"/>
      <c r="E1030" s="1150"/>
      <c r="F1030" s="1150"/>
      <c r="G1030" s="1150"/>
      <c r="H1030" s="1150"/>
      <c r="I1030" s="1150"/>
      <c r="J1030" s="1158"/>
    </row>
    <row r="1031" spans="1:10" ht="15">
      <c r="A1031" s="1150"/>
      <c r="B1031" s="1150"/>
      <c r="C1031" s="1150"/>
      <c r="D1031" s="1150"/>
      <c r="E1031" s="1150"/>
      <c r="F1031" s="1150"/>
      <c r="G1031" s="1150"/>
      <c r="H1031" s="1150"/>
      <c r="I1031" s="1150"/>
      <c r="J1031" s="1158"/>
    </row>
    <row r="1032" spans="1:10" ht="15">
      <c r="A1032" s="1150"/>
      <c r="B1032" s="1150"/>
      <c r="C1032" s="1150"/>
      <c r="D1032" s="1150"/>
      <c r="E1032" s="1150"/>
      <c r="F1032" s="1150"/>
      <c r="G1032" s="1150"/>
      <c r="H1032" s="1150"/>
      <c r="I1032" s="1150"/>
      <c r="J1032" s="1158"/>
    </row>
    <row r="1033" spans="1:10" ht="15">
      <c r="A1033" s="1150"/>
      <c r="B1033" s="1150"/>
      <c r="C1033" s="1150"/>
      <c r="D1033" s="1150"/>
      <c r="E1033" s="1150"/>
      <c r="F1033" s="1150"/>
      <c r="G1033" s="1150"/>
      <c r="H1033" s="1150"/>
      <c r="I1033" s="1150"/>
      <c r="J1033" s="1158"/>
    </row>
    <row r="1034" spans="1:10" ht="15">
      <c r="A1034" s="1150"/>
      <c r="B1034" s="1150"/>
      <c r="C1034" s="1150"/>
      <c r="D1034" s="1150"/>
      <c r="E1034" s="1150"/>
      <c r="F1034" s="1150"/>
      <c r="G1034" s="1150"/>
      <c r="H1034" s="1150"/>
      <c r="I1034" s="1150"/>
      <c r="J1034" s="1158"/>
    </row>
    <row r="1035" spans="1:10" ht="15">
      <c r="A1035" s="1150"/>
      <c r="B1035" s="1150"/>
      <c r="C1035" s="1150"/>
      <c r="D1035" s="1150"/>
      <c r="E1035" s="1150"/>
      <c r="F1035" s="1150"/>
      <c r="G1035" s="1150"/>
      <c r="H1035" s="1150"/>
      <c r="I1035" s="1150"/>
      <c r="J1035" s="1158"/>
    </row>
    <row r="1036" spans="1:10" ht="15">
      <c r="A1036" s="1150"/>
      <c r="B1036" s="1150"/>
      <c r="C1036" s="1150"/>
      <c r="D1036" s="1150"/>
      <c r="E1036" s="1150"/>
      <c r="F1036" s="1150"/>
      <c r="G1036" s="1150"/>
      <c r="H1036" s="1150"/>
      <c r="I1036" s="1150"/>
      <c r="J1036" s="1158"/>
    </row>
    <row r="1037" spans="1:10" ht="15">
      <c r="A1037" s="1150"/>
      <c r="B1037" s="1150"/>
      <c r="C1037" s="1150"/>
      <c r="D1037" s="1150"/>
      <c r="E1037" s="1150"/>
      <c r="F1037" s="1150"/>
      <c r="G1037" s="1150"/>
      <c r="H1037" s="1150"/>
      <c r="I1037" s="1150"/>
      <c r="J1037" s="1158"/>
    </row>
    <row r="1038" spans="1:10" ht="15">
      <c r="A1038" s="1150"/>
      <c r="B1038" s="1150"/>
      <c r="C1038" s="1150"/>
      <c r="D1038" s="1150"/>
      <c r="E1038" s="1150"/>
      <c r="F1038" s="1150"/>
      <c r="G1038" s="1150"/>
      <c r="H1038" s="1150"/>
      <c r="I1038" s="1150"/>
      <c r="J1038" s="1158"/>
    </row>
    <row r="1039" spans="1:10" ht="15">
      <c r="A1039" s="1150"/>
      <c r="B1039" s="1150"/>
      <c r="C1039" s="1150"/>
      <c r="D1039" s="1150"/>
      <c r="E1039" s="1150"/>
      <c r="F1039" s="1150"/>
      <c r="G1039" s="1150"/>
      <c r="H1039" s="1150"/>
      <c r="I1039" s="1150"/>
      <c r="J1039" s="1158"/>
    </row>
  </sheetData>
  <mergeCells count="24">
    <mergeCell ref="F11:F12"/>
    <mergeCell ref="G11:G12"/>
    <mergeCell ref="A11:A12"/>
    <mergeCell ref="B11:B12"/>
    <mergeCell ref="C11:C12"/>
    <mergeCell ref="D11:D12"/>
    <mergeCell ref="E11:E12"/>
    <mergeCell ref="A24:C24"/>
    <mergeCell ref="D24:J24"/>
    <mergeCell ref="A32:C32"/>
    <mergeCell ref="D32:J32"/>
    <mergeCell ref="D34:J34"/>
    <mergeCell ref="H11:H12"/>
    <mergeCell ref="I11:I12"/>
    <mergeCell ref="J11:J12"/>
    <mergeCell ref="H21:I21"/>
    <mergeCell ref="G22:I22"/>
    <mergeCell ref="A6:J6"/>
    <mergeCell ref="I8:J8"/>
    <mergeCell ref="A9:B10"/>
    <mergeCell ref="C9:H9"/>
    <mergeCell ref="I9:I10"/>
    <mergeCell ref="J9:J10"/>
    <mergeCell ref="C10:H10"/>
  </mergeCell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N41"/>
  <sheetViews>
    <sheetView showGridLines="0" workbookViewId="0"/>
  </sheetViews>
  <sheetFormatPr defaultColWidth="12.5703125" defaultRowHeight="15.75" customHeight="1"/>
  <cols>
    <col min="1" max="1" width="3.140625" customWidth="1"/>
    <col min="2" max="2" width="4.140625" customWidth="1"/>
    <col min="5" max="5" width="4.42578125" customWidth="1"/>
    <col min="6" max="6" width="4" customWidth="1"/>
    <col min="9" max="9" width="3.140625" customWidth="1"/>
    <col min="10" max="10" width="8.85546875" customWidth="1"/>
    <col min="11" max="11" width="7.42578125" customWidth="1"/>
    <col min="12" max="12" width="6.5703125" customWidth="1"/>
    <col min="13" max="13" width="8.42578125" customWidth="1"/>
    <col min="14" max="14" width="9" customWidth="1"/>
  </cols>
  <sheetData>
    <row r="1" spans="1:14" ht="15.75" customHeight="1">
      <c r="A1" s="1520" t="s">
        <v>4051</v>
      </c>
      <c r="B1" s="1479"/>
      <c r="C1" s="1479"/>
      <c r="D1" s="1522" t="s">
        <v>4052</v>
      </c>
      <c r="E1" s="1479"/>
      <c r="F1" s="1479"/>
      <c r="G1" s="1479"/>
      <c r="H1" s="1438"/>
      <c r="I1" s="1523" t="s">
        <v>4053</v>
      </c>
      <c r="J1" s="1442"/>
      <c r="K1" s="1442"/>
      <c r="L1" s="1524"/>
      <c r="M1" s="1442"/>
      <c r="N1" s="1443"/>
    </row>
    <row r="2" spans="1:14" ht="15.75" customHeight="1">
      <c r="A2" s="1521"/>
      <c r="B2" s="1451"/>
      <c r="C2" s="1451"/>
      <c r="D2" s="1494" t="s">
        <v>4054</v>
      </c>
      <c r="E2" s="1451"/>
      <c r="F2" s="1451"/>
      <c r="G2" s="1451"/>
      <c r="H2" s="1518"/>
      <c r="I2" s="1525" t="s">
        <v>4055</v>
      </c>
      <c r="J2" s="1507"/>
      <c r="K2" s="1507"/>
      <c r="L2" s="1506"/>
      <c r="M2" s="1507"/>
      <c r="N2" s="1440"/>
    </row>
    <row r="3" spans="1:14" ht="15.75" customHeight="1">
      <c r="A3" s="1526" t="s">
        <v>4056</v>
      </c>
      <c r="B3" s="1507"/>
      <c r="C3" s="1507"/>
      <c r="D3" s="1527" t="s">
        <v>4057</v>
      </c>
      <c r="E3" s="1507"/>
      <c r="F3" s="1507"/>
      <c r="G3" s="1507"/>
      <c r="H3" s="1440"/>
      <c r="I3" s="1092"/>
      <c r="J3" s="1506"/>
      <c r="K3" s="1507"/>
      <c r="L3" s="1506"/>
      <c r="M3" s="1507"/>
      <c r="N3" s="1440"/>
    </row>
    <row r="4" spans="1:14" ht="15.75" customHeight="1">
      <c r="A4" s="1528" t="s">
        <v>4058</v>
      </c>
      <c r="B4" s="1442"/>
      <c r="C4" s="1442"/>
      <c r="D4" s="1442"/>
      <c r="E4" s="1442"/>
      <c r="F4" s="1442"/>
      <c r="G4" s="1442"/>
      <c r="H4" s="1443"/>
      <c r="I4" s="1523" t="s">
        <v>4059</v>
      </c>
      <c r="J4" s="1442"/>
      <c r="K4" s="1442"/>
      <c r="L4" s="1506"/>
      <c r="M4" s="1507"/>
      <c r="N4" s="1440"/>
    </row>
    <row r="5" spans="1:14" ht="12.75">
      <c r="A5" s="1094"/>
      <c r="B5" s="1095"/>
      <c r="C5" s="1095"/>
      <c r="D5" s="1095"/>
      <c r="E5" s="1095"/>
      <c r="F5" s="1095"/>
      <c r="G5" s="1095"/>
      <c r="H5" s="1095"/>
      <c r="I5" s="1095"/>
      <c r="J5" s="1095"/>
      <c r="K5" s="1095"/>
      <c r="L5" s="1095"/>
      <c r="M5" s="1095"/>
      <c r="N5" s="1096"/>
    </row>
    <row r="6" spans="1:14" ht="12.75">
      <c r="A6" s="1094" t="s">
        <v>4060</v>
      </c>
      <c r="B6" s="1508" t="s">
        <v>4061</v>
      </c>
      <c r="C6" s="1451"/>
      <c r="D6" s="1451"/>
      <c r="E6" s="1095"/>
      <c r="F6" s="1095"/>
      <c r="G6" s="1095"/>
      <c r="H6" s="1095"/>
      <c r="I6" s="1095"/>
      <c r="J6" s="1095"/>
      <c r="K6" s="1095"/>
      <c r="L6" s="1451"/>
      <c r="M6" s="1451"/>
      <c r="N6" s="1096"/>
    </row>
    <row r="7" spans="1:14" ht="12.75">
      <c r="A7" s="1094"/>
      <c r="B7" s="1508" t="s">
        <v>4062</v>
      </c>
      <c r="C7" s="1451"/>
      <c r="D7" s="1451"/>
      <c r="E7" s="1095"/>
      <c r="F7" s="1095"/>
      <c r="G7" s="1095"/>
      <c r="H7" s="1095"/>
      <c r="I7" s="1095"/>
      <c r="J7" s="1095"/>
      <c r="K7" s="1095"/>
      <c r="L7" s="1529" t="s">
        <v>4063</v>
      </c>
      <c r="M7" s="1479"/>
      <c r="N7" s="1096"/>
    </row>
    <row r="8" spans="1:14" ht="12.75">
      <c r="A8" s="1094"/>
      <c r="B8" s="1508" t="s">
        <v>4064</v>
      </c>
      <c r="C8" s="1451"/>
      <c r="D8" s="1451"/>
      <c r="E8" s="1095"/>
      <c r="F8" s="1095"/>
      <c r="G8" s="1095"/>
      <c r="H8" s="1095"/>
      <c r="I8" s="1095"/>
      <c r="J8" s="1095"/>
      <c r="K8" s="1095"/>
      <c r="L8" s="1095"/>
      <c r="M8" s="1095"/>
      <c r="N8" s="1096"/>
    </row>
    <row r="9" spans="1:14" ht="12.75">
      <c r="A9" s="1094"/>
      <c r="B9" s="1095"/>
      <c r="C9" s="1095"/>
      <c r="D9" s="1095"/>
      <c r="E9" s="1095"/>
      <c r="F9" s="1095"/>
      <c r="G9" s="1095"/>
      <c r="H9" s="1095"/>
      <c r="I9" s="1095"/>
      <c r="J9" s="1095"/>
      <c r="K9" s="1095"/>
      <c r="L9" s="1095"/>
      <c r="M9" s="1095"/>
      <c r="N9" s="1096"/>
    </row>
    <row r="10" spans="1:14" ht="12.75">
      <c r="A10" s="1094"/>
      <c r="B10" s="1095"/>
      <c r="C10" s="1530" t="s">
        <v>4065</v>
      </c>
      <c r="D10" s="1451"/>
      <c r="E10" s="1451"/>
      <c r="F10" s="1451"/>
      <c r="G10" s="1451"/>
      <c r="H10" s="1451"/>
      <c r="I10" s="1451"/>
      <c r="J10" s="1451"/>
      <c r="K10" s="1095"/>
      <c r="L10" s="1095"/>
      <c r="M10" s="1095"/>
      <c r="N10" s="1096"/>
    </row>
    <row r="11" spans="1:14" ht="12.75">
      <c r="A11" s="1094"/>
      <c r="B11" s="1095"/>
      <c r="C11" s="1095"/>
      <c r="D11" s="1095"/>
      <c r="E11" s="1095"/>
      <c r="F11" s="1095"/>
      <c r="G11" s="1095"/>
      <c r="H11" s="1095"/>
      <c r="I11" s="1095"/>
      <c r="J11" s="1095"/>
      <c r="K11" s="1095"/>
      <c r="L11" s="1095"/>
      <c r="M11" s="1095"/>
      <c r="N11" s="1096"/>
    </row>
    <row r="12" spans="1:14" ht="12.75">
      <c r="A12" s="1094"/>
      <c r="B12" s="1508" t="s">
        <v>4066</v>
      </c>
      <c r="C12" s="1451"/>
      <c r="D12" s="1451"/>
      <c r="E12" s="1451"/>
      <c r="F12" s="1451"/>
      <c r="G12" s="1451"/>
      <c r="H12" s="1451"/>
      <c r="I12" s="1451"/>
      <c r="J12" s="1451"/>
      <c r="K12" s="1451"/>
      <c r="L12" s="1451"/>
      <c r="M12" s="1451"/>
      <c r="N12" s="1096"/>
    </row>
    <row r="13" spans="1:14" ht="12.75">
      <c r="A13" s="1094"/>
      <c r="B13" s="1508" t="s">
        <v>4067</v>
      </c>
      <c r="C13" s="1451"/>
      <c r="D13" s="1451"/>
      <c r="E13" s="1451"/>
      <c r="F13" s="1451"/>
      <c r="G13" s="1451"/>
      <c r="H13" s="1451"/>
      <c r="I13" s="1451"/>
      <c r="J13" s="1451"/>
      <c r="K13" s="1451"/>
      <c r="L13" s="1451"/>
      <c r="M13" s="1451"/>
      <c r="N13" s="1096"/>
    </row>
    <row r="14" spans="1:14" ht="12.75">
      <c r="A14" s="1097"/>
      <c r="B14" s="1095"/>
      <c r="C14" s="1095"/>
      <c r="D14" s="1095"/>
      <c r="E14" s="1095"/>
      <c r="F14" s="1095"/>
      <c r="G14" s="1095"/>
      <c r="H14" s="1095"/>
      <c r="I14" s="1095"/>
      <c r="J14" s="1095"/>
      <c r="K14" s="1095"/>
      <c r="L14" s="1095"/>
      <c r="M14" s="1095"/>
      <c r="N14" s="1096"/>
    </row>
    <row r="15" spans="1:14" ht="12.75">
      <c r="A15" s="1097"/>
      <c r="B15" s="1508" t="s">
        <v>4068</v>
      </c>
      <c r="C15" s="1451"/>
      <c r="D15" s="1451"/>
      <c r="E15" s="1451"/>
      <c r="F15" s="1451"/>
      <c r="G15" s="1451"/>
      <c r="H15" s="1451"/>
      <c r="I15" s="1451"/>
      <c r="J15" s="1451"/>
      <c r="K15" s="1451"/>
      <c r="L15" s="1451"/>
      <c r="M15" s="1451"/>
      <c r="N15" s="1096"/>
    </row>
    <row r="16" spans="1:14" ht="12.75">
      <c r="A16" s="1097"/>
      <c r="B16" s="1451"/>
      <c r="C16" s="1451"/>
      <c r="D16" s="1095"/>
      <c r="E16" s="1095"/>
      <c r="F16" s="1095"/>
      <c r="G16" s="1095"/>
      <c r="H16" s="1095"/>
      <c r="I16" s="1095"/>
      <c r="J16" s="1095"/>
      <c r="K16" s="1095"/>
      <c r="L16" s="1095"/>
      <c r="M16" s="1095"/>
      <c r="N16" s="1096"/>
    </row>
    <row r="17" spans="1:14" ht="12.75">
      <c r="A17" s="1097"/>
      <c r="B17" s="1508" t="s">
        <v>4069</v>
      </c>
      <c r="C17" s="1451"/>
      <c r="D17" s="1451"/>
      <c r="E17" s="1451"/>
      <c r="F17" s="1451"/>
      <c r="G17" s="1451"/>
      <c r="H17" s="1451"/>
      <c r="I17" s="1451"/>
      <c r="J17" s="1451"/>
      <c r="K17" s="1451"/>
      <c r="L17" s="1451"/>
      <c r="M17" s="1451"/>
      <c r="N17" s="1096"/>
    </row>
    <row r="18" spans="1:14" ht="12.75">
      <c r="A18" s="1094"/>
      <c r="B18" s="1508" t="s">
        <v>4070</v>
      </c>
      <c r="C18" s="1451"/>
      <c r="D18" s="1451"/>
      <c r="E18" s="1451"/>
      <c r="F18" s="1451"/>
      <c r="G18" s="1451"/>
      <c r="H18" s="1451"/>
      <c r="I18" s="1451"/>
      <c r="J18" s="1451"/>
      <c r="K18" s="1451"/>
      <c r="L18" s="1451"/>
      <c r="M18" s="1451"/>
      <c r="N18" s="1096"/>
    </row>
    <row r="19" spans="1:14" ht="12.75">
      <c r="A19" s="1094"/>
      <c r="B19" s="1508" t="s">
        <v>4071</v>
      </c>
      <c r="C19" s="1451"/>
      <c r="D19" s="1451"/>
      <c r="E19" s="1451"/>
      <c r="F19" s="1451"/>
      <c r="G19" s="1451"/>
      <c r="H19" s="1451"/>
      <c r="I19" s="1451"/>
      <c r="J19" s="1451"/>
      <c r="K19" s="1451"/>
      <c r="L19" s="1451"/>
      <c r="M19" s="1451"/>
      <c r="N19" s="1096"/>
    </row>
    <row r="20" spans="1:14" ht="12.75">
      <c r="A20" s="1094"/>
      <c r="B20" s="1095"/>
      <c r="C20" s="1095"/>
      <c r="D20" s="1095"/>
      <c r="E20" s="1095"/>
      <c r="F20" s="1095"/>
      <c r="G20" s="1095"/>
      <c r="H20" s="1095"/>
      <c r="I20" s="1095"/>
      <c r="J20" s="1095"/>
      <c r="K20" s="1095"/>
      <c r="L20" s="1095"/>
      <c r="M20" s="1095"/>
      <c r="N20" s="1096"/>
    </row>
    <row r="21" spans="1:14" ht="12.75">
      <c r="A21" s="1532" t="s">
        <v>4072</v>
      </c>
      <c r="B21" s="1443"/>
      <c r="C21" s="1529" t="s">
        <v>4073</v>
      </c>
      <c r="D21" s="1479"/>
      <c r="E21" s="1479"/>
      <c r="F21" s="1479"/>
      <c r="G21" s="1438"/>
      <c r="H21" s="1519" t="s">
        <v>4074</v>
      </c>
      <c r="I21" s="1442"/>
      <c r="J21" s="1098" t="s">
        <v>3292</v>
      </c>
      <c r="K21" s="1519" t="s">
        <v>4075</v>
      </c>
      <c r="L21" s="1443"/>
      <c r="M21" s="1519" t="s">
        <v>4076</v>
      </c>
      <c r="N21" s="1443"/>
    </row>
    <row r="22" spans="1:14" ht="15.75" customHeight="1">
      <c r="A22" s="1559">
        <v>1</v>
      </c>
      <c r="B22" s="1438"/>
      <c r="C22" s="1560" t="s">
        <v>624</v>
      </c>
      <c r="D22" s="1479"/>
      <c r="E22" s="1479"/>
      <c r="F22" s="1479"/>
      <c r="G22" s="1438"/>
      <c r="H22" s="1561">
        <v>1</v>
      </c>
      <c r="I22" s="1479"/>
      <c r="J22" s="1159" t="s">
        <v>446</v>
      </c>
      <c r="K22" s="1557">
        <v>46800</v>
      </c>
      <c r="L22" s="1438"/>
      <c r="M22" s="1557">
        <v>46800</v>
      </c>
      <c r="N22" s="1438"/>
    </row>
    <row r="23" spans="1:14" ht="15.75" customHeight="1">
      <c r="A23" s="1558"/>
      <c r="B23" s="1451"/>
      <c r="C23" s="1558"/>
      <c r="D23" s="1451"/>
      <c r="E23" s="1451"/>
      <c r="F23" s="1451"/>
      <c r="G23" s="1518"/>
      <c r="H23" s="1451"/>
      <c r="I23" s="1451"/>
      <c r="J23" s="1160"/>
      <c r="K23" s="1545"/>
      <c r="L23" s="1518"/>
      <c r="M23" s="1545"/>
      <c r="N23" s="1518"/>
    </row>
    <row r="24" spans="1:14" ht="15.75" customHeight="1">
      <c r="A24" s="1558"/>
      <c r="B24" s="1518"/>
      <c r="C24" s="1558"/>
      <c r="D24" s="1451"/>
      <c r="E24" s="1451"/>
      <c r="F24" s="1451"/>
      <c r="G24" s="1518"/>
      <c r="H24" s="1545"/>
      <c r="I24" s="1518"/>
      <c r="J24" s="1161"/>
      <c r="K24" s="1545"/>
      <c r="L24" s="1518"/>
      <c r="M24" s="1545"/>
      <c r="N24" s="1518"/>
    </row>
    <row r="25" spans="1:14" ht="15.75" customHeight="1">
      <c r="A25" s="1558"/>
      <c r="B25" s="1518"/>
      <c r="C25" s="1558"/>
      <c r="D25" s="1451"/>
      <c r="E25" s="1451"/>
      <c r="F25" s="1451"/>
      <c r="G25" s="1518"/>
      <c r="H25" s="1545"/>
      <c r="I25" s="1518"/>
      <c r="J25" s="1161"/>
      <c r="K25" s="1545"/>
      <c r="L25" s="1518"/>
      <c r="M25" s="1545"/>
      <c r="N25" s="1518"/>
    </row>
    <row r="26" spans="1:14" ht="15.75" customHeight="1">
      <c r="A26" s="1558"/>
      <c r="B26" s="1518"/>
      <c r="C26" s="1558"/>
      <c r="D26" s="1451"/>
      <c r="E26" s="1451"/>
      <c r="F26" s="1451"/>
      <c r="G26" s="1518"/>
      <c r="H26" s="1545"/>
      <c r="I26" s="1518"/>
      <c r="J26" s="1161"/>
      <c r="K26" s="1545"/>
      <c r="L26" s="1518"/>
      <c r="M26" s="1545"/>
      <c r="N26" s="1518"/>
    </row>
    <row r="27" spans="1:14" ht="15.75" customHeight="1">
      <c r="A27" s="1558"/>
      <c r="B27" s="1518"/>
      <c r="C27" s="1558"/>
      <c r="D27" s="1451"/>
      <c r="E27" s="1451"/>
      <c r="F27" s="1451"/>
      <c r="G27" s="1518"/>
      <c r="H27" s="1545"/>
      <c r="I27" s="1518"/>
      <c r="J27" s="1161"/>
      <c r="K27" s="1545"/>
      <c r="L27" s="1518"/>
      <c r="M27" s="1545"/>
      <c r="N27" s="1518"/>
    </row>
    <row r="28" spans="1:14" ht="15.75" customHeight="1">
      <c r="A28" s="1558"/>
      <c r="B28" s="1518"/>
      <c r="C28" s="1558"/>
      <c r="D28" s="1451"/>
      <c r="E28" s="1451"/>
      <c r="F28" s="1451"/>
      <c r="G28" s="1518"/>
      <c r="H28" s="1545"/>
      <c r="I28" s="1518"/>
      <c r="J28" s="1161"/>
      <c r="K28" s="1545"/>
      <c r="L28" s="1518"/>
      <c r="M28" s="1545"/>
      <c r="N28" s="1518"/>
    </row>
    <row r="29" spans="1:14" ht="15.75" customHeight="1">
      <c r="A29" s="1558"/>
      <c r="B29" s="1518"/>
      <c r="C29" s="1558"/>
      <c r="D29" s="1451"/>
      <c r="E29" s="1451"/>
      <c r="F29" s="1451"/>
      <c r="G29" s="1518"/>
      <c r="H29" s="1545"/>
      <c r="I29" s="1518"/>
      <c r="J29" s="1162"/>
      <c r="K29" s="1506"/>
      <c r="L29" s="1440"/>
      <c r="M29" s="1506"/>
      <c r="N29" s="1440"/>
    </row>
    <row r="30" spans="1:14" ht="15.75" customHeight="1">
      <c r="A30" s="1510"/>
      <c r="B30" s="1507"/>
      <c r="C30" s="1510"/>
      <c r="D30" s="1507"/>
      <c r="E30" s="1507"/>
      <c r="F30" s="1507"/>
      <c r="G30" s="1440"/>
      <c r="H30" s="1506"/>
      <c r="I30" s="1507"/>
      <c r="J30" s="1563" t="s">
        <v>4077</v>
      </c>
      <c r="K30" s="1507"/>
      <c r="L30" s="1507"/>
      <c r="M30" s="1516">
        <v>46800</v>
      </c>
      <c r="N30" s="1440"/>
    </row>
    <row r="31" spans="1:14" ht="15.75" customHeight="1">
      <c r="A31" s="1562" t="s">
        <v>4078</v>
      </c>
      <c r="B31" s="1442"/>
      <c r="C31" s="1442"/>
      <c r="D31" s="1442"/>
      <c r="E31" s="1442"/>
      <c r="F31" s="1442"/>
      <c r="G31" s="1442"/>
      <c r="H31" s="1442"/>
      <c r="I31" s="1442"/>
      <c r="J31" s="1442"/>
      <c r="K31" s="1442"/>
      <c r="L31" s="1442"/>
      <c r="M31" s="1442"/>
      <c r="N31" s="1443"/>
    </row>
    <row r="32" spans="1:14" ht="12.75">
      <c r="A32" s="1094"/>
      <c r="B32" s="1508" t="s">
        <v>4079</v>
      </c>
      <c r="C32" s="1451"/>
      <c r="D32" s="1451"/>
      <c r="E32" s="1451"/>
      <c r="F32" s="1094"/>
      <c r="G32" s="1095" t="s">
        <v>4080</v>
      </c>
      <c r="H32" s="1095"/>
      <c r="I32" s="1096"/>
      <c r="J32" s="1508" t="s">
        <v>4081</v>
      </c>
      <c r="K32" s="1451"/>
      <c r="L32" s="1095"/>
      <c r="M32" s="1095"/>
      <c r="N32" s="1096"/>
    </row>
    <row r="33" spans="1:14" ht="12.75">
      <c r="A33" s="1094"/>
      <c r="B33" s="1508" t="s">
        <v>4082</v>
      </c>
      <c r="C33" s="1451"/>
      <c r="D33" s="1451"/>
      <c r="E33" s="1095"/>
      <c r="F33" s="1094"/>
      <c r="G33" s="1095"/>
      <c r="H33" s="1095"/>
      <c r="I33" s="1096"/>
      <c r="J33" s="1095"/>
      <c r="K33" s="1095"/>
      <c r="L33" s="1095"/>
      <c r="M33" s="1095"/>
      <c r="N33" s="1096"/>
    </row>
    <row r="34" spans="1:14" ht="12.75">
      <c r="A34" s="1094"/>
      <c r="B34" s="1095"/>
      <c r="C34" s="1095"/>
      <c r="D34" s="1095"/>
      <c r="E34" s="1095"/>
      <c r="F34" s="1094"/>
      <c r="G34" s="1095"/>
      <c r="H34" s="1095"/>
      <c r="I34" s="1096"/>
      <c r="J34" s="1095"/>
      <c r="K34" s="1095"/>
      <c r="L34" s="1095"/>
      <c r="M34" s="1095"/>
      <c r="N34" s="1096"/>
    </row>
    <row r="35" spans="1:14" ht="12.75">
      <c r="A35" s="1094"/>
      <c r="B35" s="1095"/>
      <c r="C35" s="1095"/>
      <c r="D35" s="1095"/>
      <c r="E35" s="1095"/>
      <c r="F35" s="1094"/>
      <c r="G35" s="1095"/>
      <c r="H35" s="1095"/>
      <c r="I35" s="1096"/>
      <c r="J35" s="1095"/>
      <c r="K35" s="1095"/>
      <c r="L35" s="1095"/>
      <c r="M35" s="1095"/>
      <c r="N35" s="1096"/>
    </row>
    <row r="36" spans="1:14" ht="15.75" customHeight="1">
      <c r="A36" s="1517" t="s">
        <v>4083</v>
      </c>
      <c r="B36" s="1451"/>
      <c r="C36" s="1451"/>
      <c r="D36" s="1451"/>
      <c r="E36" s="1518"/>
      <c r="F36" s="1101"/>
      <c r="G36" s="1512" t="s">
        <v>4084</v>
      </c>
      <c r="H36" s="1507"/>
      <c r="I36" s="1096"/>
      <c r="J36" s="1512" t="s">
        <v>4085</v>
      </c>
      <c r="K36" s="1507"/>
      <c r="L36" s="1507"/>
      <c r="M36" s="1507"/>
      <c r="N36" s="1440"/>
    </row>
    <row r="37" spans="1:14" ht="12.75">
      <c r="A37" s="1102"/>
      <c r="B37" s="1519" t="s">
        <v>4086</v>
      </c>
      <c r="C37" s="1442"/>
      <c r="D37" s="1442"/>
      <c r="E37" s="1103"/>
      <c r="F37" s="1104"/>
      <c r="G37" s="1519" t="s">
        <v>4087</v>
      </c>
      <c r="H37" s="1442"/>
      <c r="I37" s="842"/>
      <c r="J37" s="1513" t="s">
        <v>4088</v>
      </c>
      <c r="K37" s="1507"/>
      <c r="L37" s="1507"/>
      <c r="M37" s="1507"/>
      <c r="N37" s="842"/>
    </row>
    <row r="38" spans="1:14" ht="12.75">
      <c r="A38" s="1094"/>
      <c r="B38" s="1095"/>
      <c r="C38" s="1095"/>
      <c r="D38" s="1095"/>
      <c r="E38" s="1095"/>
      <c r="F38" s="1095"/>
      <c r="G38" s="1095"/>
      <c r="H38" s="1095"/>
      <c r="I38" s="1095"/>
      <c r="J38" s="1095"/>
      <c r="K38" s="1095"/>
      <c r="L38" s="1095"/>
      <c r="M38" s="1095"/>
      <c r="N38" s="1096"/>
    </row>
    <row r="39" spans="1:14" ht="12.75">
      <c r="A39" s="1094"/>
      <c r="B39" s="1514" t="s">
        <v>4089</v>
      </c>
      <c r="C39" s="1451"/>
      <c r="D39" s="1451"/>
      <c r="E39" s="1451"/>
      <c r="F39" s="1451"/>
      <c r="G39" s="1451"/>
      <c r="H39" s="1451"/>
      <c r="I39" s="1451"/>
      <c r="J39" s="1451"/>
      <c r="K39" s="1451"/>
      <c r="L39" s="1451"/>
      <c r="M39" s="1451"/>
      <c r="N39" s="1096"/>
    </row>
    <row r="40" spans="1:14" ht="12.75">
      <c r="A40" s="1094"/>
      <c r="B40" s="1095"/>
      <c r="C40" s="1508" t="s">
        <v>4090</v>
      </c>
      <c r="D40" s="1451"/>
      <c r="E40" s="1451"/>
      <c r="F40" s="1451"/>
      <c r="G40" s="1451"/>
      <c r="H40" s="1451"/>
      <c r="I40" s="1451"/>
      <c r="J40" s="1451"/>
      <c r="K40" s="1451"/>
      <c r="L40" s="1451"/>
      <c r="M40" s="1451"/>
      <c r="N40" s="1096"/>
    </row>
    <row r="41" spans="1:14" ht="12.75">
      <c r="A41" s="1102"/>
      <c r="B41" s="1105"/>
      <c r="C41" s="1105"/>
      <c r="D41" s="1105"/>
      <c r="E41" s="1105"/>
      <c r="F41" s="1105"/>
      <c r="G41" s="1105"/>
      <c r="H41" s="1105"/>
      <c r="I41" s="1105"/>
      <c r="J41" s="1105"/>
      <c r="K41" s="1105"/>
      <c r="L41" s="1105"/>
      <c r="M41" s="1105"/>
      <c r="N41" s="1106"/>
    </row>
  </sheetData>
  <mergeCells count="89">
    <mergeCell ref="B13:M13"/>
    <mergeCell ref="B15:M15"/>
    <mergeCell ref="K21:L21"/>
    <mergeCell ref="M21:N21"/>
    <mergeCell ref="B16:C16"/>
    <mergeCell ref="B17:M17"/>
    <mergeCell ref="B18:M18"/>
    <mergeCell ref="B19:M19"/>
    <mergeCell ref="A21:B21"/>
    <mergeCell ref="C21:G21"/>
    <mergeCell ref="H21:I21"/>
    <mergeCell ref="B7:D7"/>
    <mergeCell ref="L7:M7"/>
    <mergeCell ref="B8:D8"/>
    <mergeCell ref="C10:J10"/>
    <mergeCell ref="B12:M12"/>
    <mergeCell ref="L4:N4"/>
    <mergeCell ref="L6:M6"/>
    <mergeCell ref="A3:C3"/>
    <mergeCell ref="D3:H3"/>
    <mergeCell ref="J3:K3"/>
    <mergeCell ref="L3:N3"/>
    <mergeCell ref="A4:H4"/>
    <mergeCell ref="I4:K4"/>
    <mergeCell ref="B6:D6"/>
    <mergeCell ref="A1:C2"/>
    <mergeCell ref="D1:H1"/>
    <mergeCell ref="I1:K1"/>
    <mergeCell ref="L1:N1"/>
    <mergeCell ref="D2:H2"/>
    <mergeCell ref="I2:K2"/>
    <mergeCell ref="L2:N2"/>
    <mergeCell ref="J36:N36"/>
    <mergeCell ref="J37:M37"/>
    <mergeCell ref="B39:M39"/>
    <mergeCell ref="C40:M40"/>
    <mergeCell ref="K27:L27"/>
    <mergeCell ref="K28:L28"/>
    <mergeCell ref="K29:L29"/>
    <mergeCell ref="M29:N29"/>
    <mergeCell ref="J30:L30"/>
    <mergeCell ref="M30:N30"/>
    <mergeCell ref="J32:K32"/>
    <mergeCell ref="B33:D33"/>
    <mergeCell ref="A36:E36"/>
    <mergeCell ref="G36:H36"/>
    <mergeCell ref="B37:D37"/>
    <mergeCell ref="G37:H37"/>
    <mergeCell ref="C28:G28"/>
    <mergeCell ref="H28:I28"/>
    <mergeCell ref="M28:N28"/>
    <mergeCell ref="C30:G30"/>
    <mergeCell ref="B32:E32"/>
    <mergeCell ref="A28:B28"/>
    <mergeCell ref="A29:B29"/>
    <mergeCell ref="C29:G29"/>
    <mergeCell ref="H29:I29"/>
    <mergeCell ref="A30:B30"/>
    <mergeCell ref="H30:I30"/>
    <mergeCell ref="A31:N31"/>
    <mergeCell ref="M24:N24"/>
    <mergeCell ref="A25:B25"/>
    <mergeCell ref="A27:B27"/>
    <mergeCell ref="C27:G27"/>
    <mergeCell ref="H27:I27"/>
    <mergeCell ref="M27:N27"/>
    <mergeCell ref="K25:L25"/>
    <mergeCell ref="M25:N25"/>
    <mergeCell ref="A26:B26"/>
    <mergeCell ref="C26:G26"/>
    <mergeCell ref="H26:I26"/>
    <mergeCell ref="K26:L26"/>
    <mergeCell ref="M26:N26"/>
    <mergeCell ref="C25:G25"/>
    <mergeCell ref="H25:I25"/>
    <mergeCell ref="A24:B24"/>
    <mergeCell ref="C24:G24"/>
    <mergeCell ref="H24:I24"/>
    <mergeCell ref="K24:L24"/>
    <mergeCell ref="A22:B22"/>
    <mergeCell ref="C22:G22"/>
    <mergeCell ref="H22:I22"/>
    <mergeCell ref="A23:B23"/>
    <mergeCell ref="M22:N22"/>
    <mergeCell ref="C23:G23"/>
    <mergeCell ref="H23:I23"/>
    <mergeCell ref="M23:N23"/>
    <mergeCell ref="K22:L22"/>
    <mergeCell ref="K23:L23"/>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F1102"/>
  <sheetViews>
    <sheetView workbookViewId="0">
      <pane ySplit="1" topLeftCell="A2" activePane="bottomLeft" state="frozen"/>
      <selection pane="bottomLeft" activeCell="B3" sqref="B3"/>
    </sheetView>
  </sheetViews>
  <sheetFormatPr defaultColWidth="12.5703125" defaultRowHeight="15.75" customHeight="1"/>
  <cols>
    <col min="1" max="1" width="18.85546875" customWidth="1"/>
    <col min="2" max="2" width="10.42578125" customWidth="1"/>
    <col min="3" max="3" width="58.85546875" customWidth="1"/>
    <col min="4" max="9" width="18.85546875" customWidth="1"/>
  </cols>
  <sheetData>
    <row r="1" spans="1:6" ht="15.75" customHeight="1">
      <c r="A1" s="1" t="s">
        <v>4171</v>
      </c>
      <c r="B1" s="1" t="s">
        <v>936</v>
      </c>
      <c r="C1" s="1" t="s">
        <v>4172</v>
      </c>
      <c r="D1" s="1" t="s">
        <v>1</v>
      </c>
      <c r="E1" s="1" t="s">
        <v>4173</v>
      </c>
      <c r="F1" s="1163" t="s">
        <v>4174</v>
      </c>
    </row>
    <row r="2" spans="1:6" ht="15.75" customHeight="1">
      <c r="A2" s="1164">
        <f ca="1">IFERROR(__xludf.DUMMYFUNCTION("FILTER('IMAGE UPLOAD'!A2:A1102,'IMAGE UPLOAD'!A2:A1102&lt;&gt;"""")"),44796.6897429398)</f>
        <v>44796.689742939801</v>
      </c>
      <c r="B2" s="1" t="s">
        <v>4175</v>
      </c>
      <c r="C2" s="1165" t="s">
        <v>4176</v>
      </c>
      <c r="D2" s="1166" t="str">
        <f ca="1">IFERROR(__xludf.DUMMYFUNCTION("iferror(SPLIT(C2,""=""))"),"https://drive.google.com/open?id")</f>
        <v>https://drive.google.com/open?id</v>
      </c>
      <c r="E2" s="1" t="str">
        <f ca="1">IFERROR(__xludf.DUMMYFUNCTION("""COMPUTED_VALUE"""),"1Ih4PSWao7irLqhWgsnYW3XEFxnHb7PkA")</f>
        <v>1Ih4PSWao7irLqhWgsnYW3XEFxnHb7PkA</v>
      </c>
      <c r="F2" s="1" t="e">
        <f t="shared" ref="F2:F256" ca="1" si="0">IMAGE($F$1&amp;E2)</f>
        <v>#NAME?</v>
      </c>
    </row>
    <row r="3" spans="1:6" ht="15.75" customHeight="1">
      <c r="A3" s="1164">
        <f ca="1">IFERROR(__xludf.DUMMYFUNCTION("""COMPUTED_VALUE"""),44796.7105635763)</f>
        <v>44796.7105635763</v>
      </c>
      <c r="B3" s="1" t="s">
        <v>4177</v>
      </c>
      <c r="C3" s="1165" t="s">
        <v>4178</v>
      </c>
      <c r="D3" s="1166" t="str">
        <f ca="1">IFERROR(__xludf.DUMMYFUNCTION("iferror(SPLIT(C3,""=""))"),"https://drive.google.com/open?id")</f>
        <v>https://drive.google.com/open?id</v>
      </c>
      <c r="E3" s="1" t="str">
        <f ca="1">IFERROR(__xludf.DUMMYFUNCTION("""COMPUTED_VALUE"""),"1ak-tu-KWiMfHMO8D1ahWNbliWr-ljvDh")</f>
        <v>1ak-tu-KWiMfHMO8D1ahWNbliWr-ljvDh</v>
      </c>
      <c r="F3" s="1" t="e">
        <f t="shared" ca="1" si="0"/>
        <v>#NAME?</v>
      </c>
    </row>
    <row r="4" spans="1:6" ht="15.75" customHeight="1">
      <c r="A4" s="1164">
        <f ca="1">IFERROR(__xludf.DUMMYFUNCTION("""COMPUTED_VALUE"""),44796.7130554166)</f>
        <v>44796.7130554166</v>
      </c>
      <c r="B4" s="1" t="s">
        <v>4179</v>
      </c>
      <c r="C4" s="1165" t="s">
        <v>4180</v>
      </c>
      <c r="D4" s="1166" t="str">
        <f ca="1">IFERROR(__xludf.DUMMYFUNCTION("iferror(SPLIT(C4,""=""))"),"https://drive.google.com/open?id")</f>
        <v>https://drive.google.com/open?id</v>
      </c>
      <c r="E4" s="1" t="str">
        <f ca="1">IFERROR(__xludf.DUMMYFUNCTION("""COMPUTED_VALUE"""),"12aJE8qc4jTO_PhTspWRUPED8KtLso9Fa")</f>
        <v>12aJE8qc4jTO_PhTspWRUPED8KtLso9Fa</v>
      </c>
      <c r="F4" s="1" t="e">
        <f t="shared" ca="1" si="0"/>
        <v>#NAME?</v>
      </c>
    </row>
    <row r="5" spans="1:6" ht="15.75" customHeight="1">
      <c r="A5" s="1164">
        <f ca="1">IFERROR(__xludf.DUMMYFUNCTION("""COMPUTED_VALUE"""),44796.71692103)</f>
        <v>44796.716921029998</v>
      </c>
      <c r="B5" s="1" t="s">
        <v>4181</v>
      </c>
      <c r="C5" s="1165" t="s">
        <v>4182</v>
      </c>
      <c r="D5" s="1166" t="str">
        <f ca="1">IFERROR(__xludf.DUMMYFUNCTION("iferror(SPLIT(C5,""=""))"),"https://drive.google.com/open?id")</f>
        <v>https://drive.google.com/open?id</v>
      </c>
      <c r="E5" s="1" t="str">
        <f ca="1">IFERROR(__xludf.DUMMYFUNCTION("""COMPUTED_VALUE"""),"1En9XgypXxYUDUKfuzdOuJ4sYs_eRJEiF")</f>
        <v>1En9XgypXxYUDUKfuzdOuJ4sYs_eRJEiF</v>
      </c>
      <c r="F5" s="1" t="e">
        <f t="shared" ca="1" si="0"/>
        <v>#NAME?</v>
      </c>
    </row>
    <row r="6" spans="1:6" ht="15.75" customHeight="1">
      <c r="A6" s="1164">
        <f ca="1">IFERROR(__xludf.DUMMYFUNCTION("""COMPUTED_VALUE"""),44796.7186111458)</f>
        <v>44796.7186111458</v>
      </c>
      <c r="B6" s="1" t="s">
        <v>4183</v>
      </c>
      <c r="C6" s="1165" t="s">
        <v>4184</v>
      </c>
      <c r="D6" s="1166" t="str">
        <f ca="1">IFERROR(__xludf.DUMMYFUNCTION("iferror(SPLIT(C6,""=""))"),"https://drive.google.com/open?id")</f>
        <v>https://drive.google.com/open?id</v>
      </c>
      <c r="E6" s="1" t="str">
        <f ca="1">IFERROR(__xludf.DUMMYFUNCTION("""COMPUTED_VALUE"""),"1ro1lRMxhs3SkJleCNBU3FRRL4igRCFmf")</f>
        <v>1ro1lRMxhs3SkJleCNBU3FRRL4igRCFmf</v>
      </c>
      <c r="F6" s="1" t="e">
        <f t="shared" ca="1" si="0"/>
        <v>#NAME?</v>
      </c>
    </row>
    <row r="7" spans="1:6" ht="15.75" customHeight="1">
      <c r="A7" s="1164">
        <f ca="1">IFERROR(__xludf.DUMMYFUNCTION("""COMPUTED_VALUE"""),44796.7198331828)</f>
        <v>44796.719833182797</v>
      </c>
      <c r="B7" s="1" t="s">
        <v>4185</v>
      </c>
      <c r="C7" s="1165" t="s">
        <v>4186</v>
      </c>
      <c r="D7" s="1166" t="str">
        <f ca="1">IFERROR(__xludf.DUMMYFUNCTION("iferror(SPLIT(C7,""=""))"),"https://drive.google.com/open?id")</f>
        <v>https://drive.google.com/open?id</v>
      </c>
      <c r="E7" s="1" t="str">
        <f ca="1">IFERROR(__xludf.DUMMYFUNCTION("""COMPUTED_VALUE"""),"1_GiBifW86bKGszMCXKIrk4ws_VG_kLZF")</f>
        <v>1_GiBifW86bKGszMCXKIrk4ws_VG_kLZF</v>
      </c>
      <c r="F7" s="1" t="e">
        <f t="shared" ca="1" si="0"/>
        <v>#NAME?</v>
      </c>
    </row>
    <row r="8" spans="1:6" ht="15.75" customHeight="1">
      <c r="A8" s="1164">
        <f ca="1">IFERROR(__xludf.DUMMYFUNCTION("""COMPUTED_VALUE"""),44796.7218063773)</f>
        <v>44796.721806377303</v>
      </c>
      <c r="B8" s="1" t="s">
        <v>4187</v>
      </c>
      <c r="C8" s="1165" t="s">
        <v>4188</v>
      </c>
      <c r="D8" s="1166" t="str">
        <f ca="1">IFERROR(__xludf.DUMMYFUNCTION("iferror(SPLIT(C8,""=""))"),"https://drive.google.com/open?id")</f>
        <v>https://drive.google.com/open?id</v>
      </c>
      <c r="E8" s="1" t="str">
        <f ca="1">IFERROR(__xludf.DUMMYFUNCTION("""COMPUTED_VALUE"""),"1e6XMUyeMlHk75z1qHgQc89BJgSR9YGfK")</f>
        <v>1e6XMUyeMlHk75z1qHgQc89BJgSR9YGfK</v>
      </c>
      <c r="F8" s="1" t="e">
        <f t="shared" ca="1" si="0"/>
        <v>#NAME?</v>
      </c>
    </row>
    <row r="9" spans="1:6" ht="15.75" customHeight="1">
      <c r="B9" s="1" t="s">
        <v>4743</v>
      </c>
      <c r="C9" s="1" t="s">
        <v>4743</v>
      </c>
      <c r="D9" s="1" t="str">
        <f ca="1">IFERROR(__xludf.DUMMYFUNCTION("iferror(SPLIT(C9,""=""))"),"")</f>
        <v/>
      </c>
      <c r="F9" s="1" t="e">
        <f t="shared" ca="1" si="0"/>
        <v>#NAME?</v>
      </c>
    </row>
    <row r="10" spans="1:6" ht="15.75" customHeight="1">
      <c r="B10" s="1" t="s">
        <v>4743</v>
      </c>
      <c r="C10" s="1" t="s">
        <v>4743</v>
      </c>
      <c r="D10" s="1" t="str">
        <f ca="1">IFERROR(__xludf.DUMMYFUNCTION("iferror(SPLIT(C10,""=""))"),"")</f>
        <v/>
      </c>
      <c r="F10" s="1" t="e">
        <f t="shared" ca="1" si="0"/>
        <v>#NAME?</v>
      </c>
    </row>
    <row r="11" spans="1:6" ht="15.75" customHeight="1">
      <c r="B11" s="1" t="s">
        <v>4743</v>
      </c>
      <c r="C11" s="1" t="s">
        <v>4743</v>
      </c>
      <c r="D11" s="1" t="str">
        <f ca="1">IFERROR(__xludf.DUMMYFUNCTION("iferror(SPLIT(C11,""=""))"),"")</f>
        <v/>
      </c>
      <c r="F11" s="1" t="e">
        <f t="shared" ca="1" si="0"/>
        <v>#NAME?</v>
      </c>
    </row>
    <row r="12" spans="1:6" ht="15.75" customHeight="1">
      <c r="B12" s="1" t="s">
        <v>4743</v>
      </c>
      <c r="C12" s="1" t="s">
        <v>4743</v>
      </c>
      <c r="D12" s="1" t="str">
        <f ca="1">IFERROR(__xludf.DUMMYFUNCTION("iferror(SPLIT(C12,""=""))"),"")</f>
        <v/>
      </c>
      <c r="F12" s="1" t="e">
        <f t="shared" ca="1" si="0"/>
        <v>#NAME?</v>
      </c>
    </row>
    <row r="13" spans="1:6" ht="15.75" customHeight="1">
      <c r="B13" s="1" t="s">
        <v>4743</v>
      </c>
      <c r="C13" s="1" t="s">
        <v>4743</v>
      </c>
      <c r="D13" s="1" t="str">
        <f ca="1">IFERROR(__xludf.DUMMYFUNCTION("iferror(SPLIT(C13,""=""))"),"")</f>
        <v/>
      </c>
      <c r="F13" s="1" t="e">
        <f t="shared" ca="1" si="0"/>
        <v>#NAME?</v>
      </c>
    </row>
    <row r="14" spans="1:6" ht="15.75" customHeight="1">
      <c r="B14" s="1" t="s">
        <v>4743</v>
      </c>
      <c r="C14" s="1" t="s">
        <v>4743</v>
      </c>
      <c r="D14" s="1" t="str">
        <f ca="1">IFERROR(__xludf.DUMMYFUNCTION("iferror(SPLIT(C14,""=""))"),"")</f>
        <v/>
      </c>
      <c r="F14" s="1" t="e">
        <f t="shared" ca="1" si="0"/>
        <v>#NAME?</v>
      </c>
    </row>
    <row r="15" spans="1:6" ht="15.75" customHeight="1">
      <c r="B15" s="1" t="s">
        <v>4743</v>
      </c>
      <c r="C15" s="1" t="s">
        <v>4743</v>
      </c>
      <c r="D15" s="1" t="str">
        <f ca="1">IFERROR(__xludf.DUMMYFUNCTION("iferror(SPLIT(C15,""=""))"),"")</f>
        <v/>
      </c>
      <c r="F15" s="1" t="e">
        <f t="shared" ca="1" si="0"/>
        <v>#NAME?</v>
      </c>
    </row>
    <row r="16" spans="1:6" ht="15.75" customHeight="1">
      <c r="B16" s="1" t="s">
        <v>4743</v>
      </c>
      <c r="C16" s="1" t="s">
        <v>4743</v>
      </c>
      <c r="D16" s="1" t="str">
        <f ca="1">IFERROR(__xludf.DUMMYFUNCTION("iferror(SPLIT(C16,""=""))"),"")</f>
        <v/>
      </c>
      <c r="F16" s="1" t="e">
        <f t="shared" ca="1" si="0"/>
        <v>#NAME?</v>
      </c>
    </row>
    <row r="17" spans="2:6" ht="15.75" customHeight="1">
      <c r="B17" s="1" t="s">
        <v>4743</v>
      </c>
      <c r="C17" s="1" t="s">
        <v>4743</v>
      </c>
      <c r="D17" s="1" t="str">
        <f ca="1">IFERROR(__xludf.DUMMYFUNCTION("iferror(SPLIT(C17,""=""))"),"")</f>
        <v/>
      </c>
      <c r="F17" s="1" t="e">
        <f t="shared" ca="1" si="0"/>
        <v>#NAME?</v>
      </c>
    </row>
    <row r="18" spans="2:6" ht="15.75" customHeight="1">
      <c r="B18" s="1" t="s">
        <v>4743</v>
      </c>
      <c r="C18" s="1" t="s">
        <v>4743</v>
      </c>
      <c r="D18" s="1" t="str">
        <f ca="1">IFERROR(__xludf.DUMMYFUNCTION("iferror(SPLIT(C18,""=""))"),"")</f>
        <v/>
      </c>
      <c r="F18" s="1" t="e">
        <f t="shared" ca="1" si="0"/>
        <v>#NAME?</v>
      </c>
    </row>
    <row r="19" spans="2:6" ht="15.75" customHeight="1">
      <c r="B19" s="1" t="s">
        <v>4743</v>
      </c>
      <c r="C19" s="1" t="s">
        <v>4743</v>
      </c>
      <c r="D19" s="1" t="str">
        <f ca="1">IFERROR(__xludf.DUMMYFUNCTION("iferror(SPLIT(C19,""=""))"),"")</f>
        <v/>
      </c>
      <c r="F19" s="1" t="e">
        <f t="shared" ca="1" si="0"/>
        <v>#NAME?</v>
      </c>
    </row>
    <row r="20" spans="2:6" ht="15.75" customHeight="1">
      <c r="B20" s="1" t="s">
        <v>4743</v>
      </c>
      <c r="C20" s="1" t="s">
        <v>4743</v>
      </c>
      <c r="D20" s="1" t="str">
        <f ca="1">IFERROR(__xludf.DUMMYFUNCTION("iferror(SPLIT(C20,""=""))"),"")</f>
        <v/>
      </c>
      <c r="F20" s="1" t="e">
        <f t="shared" ca="1" si="0"/>
        <v>#NAME?</v>
      </c>
    </row>
    <row r="21" spans="2:6" ht="15.75" customHeight="1">
      <c r="B21" s="1" t="s">
        <v>4743</v>
      </c>
      <c r="C21" s="1" t="s">
        <v>4743</v>
      </c>
      <c r="D21" s="1" t="str">
        <f ca="1">IFERROR(__xludf.DUMMYFUNCTION("iferror(SPLIT(C21,""=""))"),"")</f>
        <v/>
      </c>
      <c r="F21" s="1" t="e">
        <f t="shared" ca="1" si="0"/>
        <v>#NAME?</v>
      </c>
    </row>
    <row r="22" spans="2:6" ht="15.75" customHeight="1">
      <c r="B22" s="1" t="s">
        <v>4743</v>
      </c>
      <c r="C22" s="1" t="s">
        <v>4743</v>
      </c>
      <c r="D22" s="1" t="str">
        <f ca="1">IFERROR(__xludf.DUMMYFUNCTION("iferror(SPLIT(C22,""=""))"),"")</f>
        <v/>
      </c>
      <c r="F22" s="1" t="e">
        <f t="shared" ca="1" si="0"/>
        <v>#NAME?</v>
      </c>
    </row>
    <row r="23" spans="2:6" ht="15.75" customHeight="1">
      <c r="B23" s="1" t="s">
        <v>4743</v>
      </c>
      <c r="C23" s="1" t="s">
        <v>4743</v>
      </c>
      <c r="D23" s="1" t="str">
        <f ca="1">IFERROR(__xludf.DUMMYFUNCTION("iferror(SPLIT(C23,""=""))"),"")</f>
        <v/>
      </c>
      <c r="F23" s="1" t="e">
        <f t="shared" ca="1" si="0"/>
        <v>#NAME?</v>
      </c>
    </row>
    <row r="24" spans="2:6" ht="15.75" customHeight="1">
      <c r="B24" s="1" t="s">
        <v>4743</v>
      </c>
      <c r="C24" s="1" t="s">
        <v>4743</v>
      </c>
      <c r="D24" s="1" t="str">
        <f ca="1">IFERROR(__xludf.DUMMYFUNCTION("iferror(SPLIT(C24,""=""))"),"")</f>
        <v/>
      </c>
      <c r="F24" s="1" t="e">
        <f t="shared" ca="1" si="0"/>
        <v>#NAME?</v>
      </c>
    </row>
    <row r="25" spans="2:6" ht="15.75" customHeight="1">
      <c r="B25" s="1" t="s">
        <v>4743</v>
      </c>
      <c r="C25" s="1" t="s">
        <v>4743</v>
      </c>
      <c r="D25" s="1" t="str">
        <f ca="1">IFERROR(__xludf.DUMMYFUNCTION("iferror(SPLIT(C25,""=""))"),"")</f>
        <v/>
      </c>
      <c r="F25" s="1" t="e">
        <f t="shared" ca="1" si="0"/>
        <v>#NAME?</v>
      </c>
    </row>
    <row r="26" spans="2:6" ht="15.75" customHeight="1">
      <c r="B26" s="1" t="s">
        <v>4743</v>
      </c>
      <c r="C26" s="1" t="s">
        <v>4743</v>
      </c>
      <c r="D26" s="1" t="str">
        <f ca="1">IFERROR(__xludf.DUMMYFUNCTION("iferror(SPLIT(C26,""=""))"),"")</f>
        <v/>
      </c>
      <c r="F26" s="1" t="e">
        <f t="shared" ca="1" si="0"/>
        <v>#NAME?</v>
      </c>
    </row>
    <row r="27" spans="2:6" ht="15.75" customHeight="1">
      <c r="B27" s="1" t="s">
        <v>4743</v>
      </c>
      <c r="C27" s="1" t="s">
        <v>4743</v>
      </c>
      <c r="D27" s="1" t="str">
        <f ca="1">IFERROR(__xludf.DUMMYFUNCTION("iferror(SPLIT(C27,""=""))"),"")</f>
        <v/>
      </c>
      <c r="F27" s="1" t="e">
        <f t="shared" ca="1" si="0"/>
        <v>#NAME?</v>
      </c>
    </row>
    <row r="28" spans="2:6" ht="15.75" customHeight="1">
      <c r="B28" s="1" t="s">
        <v>4743</v>
      </c>
      <c r="C28" s="1" t="s">
        <v>4743</v>
      </c>
      <c r="D28" s="1" t="str">
        <f ca="1">IFERROR(__xludf.DUMMYFUNCTION("iferror(SPLIT(C28,""=""))"),"")</f>
        <v/>
      </c>
      <c r="F28" s="1" t="e">
        <f t="shared" ca="1" si="0"/>
        <v>#NAME?</v>
      </c>
    </row>
    <row r="29" spans="2:6" ht="15.75" customHeight="1">
      <c r="B29" s="1" t="s">
        <v>4743</v>
      </c>
      <c r="C29" s="1" t="s">
        <v>4743</v>
      </c>
      <c r="D29" s="1" t="str">
        <f ca="1">IFERROR(__xludf.DUMMYFUNCTION("iferror(SPLIT(C29,""=""))"),"")</f>
        <v/>
      </c>
      <c r="F29" s="1" t="e">
        <f t="shared" ca="1" si="0"/>
        <v>#NAME?</v>
      </c>
    </row>
    <row r="30" spans="2:6" ht="15.75" customHeight="1">
      <c r="B30" s="1" t="s">
        <v>4743</v>
      </c>
      <c r="C30" s="1" t="s">
        <v>4743</v>
      </c>
      <c r="D30" s="1" t="str">
        <f ca="1">IFERROR(__xludf.DUMMYFUNCTION("iferror(SPLIT(C30,""=""))"),"")</f>
        <v/>
      </c>
      <c r="F30" s="1" t="e">
        <f t="shared" ca="1" si="0"/>
        <v>#NAME?</v>
      </c>
    </row>
    <row r="31" spans="2:6" ht="15.75" customHeight="1">
      <c r="B31" s="1" t="s">
        <v>4743</v>
      </c>
      <c r="C31" s="1" t="s">
        <v>4743</v>
      </c>
      <c r="D31" s="1" t="str">
        <f ca="1">IFERROR(__xludf.DUMMYFUNCTION("iferror(SPLIT(C31,""=""))"),"")</f>
        <v/>
      </c>
      <c r="F31" s="1" t="e">
        <f t="shared" ca="1" si="0"/>
        <v>#NAME?</v>
      </c>
    </row>
    <row r="32" spans="2:6" ht="15.75" customHeight="1">
      <c r="B32" s="1" t="s">
        <v>4743</v>
      </c>
      <c r="C32" s="1" t="s">
        <v>4743</v>
      </c>
      <c r="D32" s="1" t="str">
        <f ca="1">IFERROR(__xludf.DUMMYFUNCTION("iferror(SPLIT(C32,""=""))"),"")</f>
        <v/>
      </c>
      <c r="F32" s="1" t="e">
        <f t="shared" ca="1" si="0"/>
        <v>#NAME?</v>
      </c>
    </row>
    <row r="33" spans="2:6" ht="15.75" customHeight="1">
      <c r="B33" s="1" t="s">
        <v>4743</v>
      </c>
      <c r="C33" s="1" t="s">
        <v>4743</v>
      </c>
      <c r="D33" s="1" t="str">
        <f ca="1">IFERROR(__xludf.DUMMYFUNCTION("iferror(SPLIT(C33,""=""))"),"")</f>
        <v/>
      </c>
      <c r="F33" s="1" t="e">
        <f t="shared" ca="1" si="0"/>
        <v>#NAME?</v>
      </c>
    </row>
    <row r="34" spans="2:6" ht="15.75" customHeight="1">
      <c r="B34" s="1" t="s">
        <v>4743</v>
      </c>
      <c r="C34" s="1" t="s">
        <v>4743</v>
      </c>
      <c r="D34" s="1" t="str">
        <f ca="1">IFERROR(__xludf.DUMMYFUNCTION("iferror(SPLIT(C34,""=""))"),"")</f>
        <v/>
      </c>
      <c r="F34" s="1" t="e">
        <f t="shared" ca="1" si="0"/>
        <v>#NAME?</v>
      </c>
    </row>
    <row r="35" spans="2:6" ht="15.75" customHeight="1">
      <c r="B35" s="1" t="s">
        <v>4743</v>
      </c>
      <c r="C35" s="1" t="s">
        <v>4743</v>
      </c>
      <c r="D35" s="1" t="str">
        <f ca="1">IFERROR(__xludf.DUMMYFUNCTION("iferror(SPLIT(C35,""=""))"),"")</f>
        <v/>
      </c>
      <c r="F35" s="1" t="e">
        <f t="shared" ca="1" si="0"/>
        <v>#NAME?</v>
      </c>
    </row>
    <row r="36" spans="2:6" ht="15.75" customHeight="1">
      <c r="B36" s="1" t="s">
        <v>4743</v>
      </c>
      <c r="C36" s="1" t="s">
        <v>4743</v>
      </c>
      <c r="D36" s="1" t="str">
        <f ca="1">IFERROR(__xludf.DUMMYFUNCTION("iferror(SPLIT(C36,""=""))"),"")</f>
        <v/>
      </c>
      <c r="F36" s="1" t="e">
        <f t="shared" ca="1" si="0"/>
        <v>#NAME?</v>
      </c>
    </row>
    <row r="37" spans="2:6" ht="15.75" customHeight="1">
      <c r="B37" s="1" t="s">
        <v>4743</v>
      </c>
      <c r="C37" s="1" t="s">
        <v>4743</v>
      </c>
      <c r="D37" s="1" t="str">
        <f ca="1">IFERROR(__xludf.DUMMYFUNCTION("iferror(SPLIT(C37,""=""))"),"")</f>
        <v/>
      </c>
      <c r="F37" s="1" t="e">
        <f t="shared" ca="1" si="0"/>
        <v>#NAME?</v>
      </c>
    </row>
    <row r="38" spans="2:6" ht="15.75" customHeight="1">
      <c r="B38" s="1" t="s">
        <v>4743</v>
      </c>
      <c r="C38" s="1" t="s">
        <v>4743</v>
      </c>
      <c r="D38" s="1" t="str">
        <f ca="1">IFERROR(__xludf.DUMMYFUNCTION("iferror(SPLIT(C38,""=""))"),"")</f>
        <v/>
      </c>
      <c r="F38" s="1" t="e">
        <f t="shared" ca="1" si="0"/>
        <v>#NAME?</v>
      </c>
    </row>
    <row r="39" spans="2:6" ht="15.75" customHeight="1">
      <c r="B39" s="1" t="s">
        <v>4743</v>
      </c>
      <c r="C39" s="1" t="s">
        <v>4743</v>
      </c>
      <c r="D39" s="1" t="str">
        <f ca="1">IFERROR(__xludf.DUMMYFUNCTION("iferror(SPLIT(C39,""=""))"),"")</f>
        <v/>
      </c>
      <c r="F39" s="1" t="e">
        <f t="shared" ca="1" si="0"/>
        <v>#NAME?</v>
      </c>
    </row>
    <row r="40" spans="2:6" ht="15.75" customHeight="1">
      <c r="B40" s="1" t="s">
        <v>4743</v>
      </c>
      <c r="C40" s="1" t="s">
        <v>4743</v>
      </c>
      <c r="D40" s="1" t="str">
        <f ca="1">IFERROR(__xludf.DUMMYFUNCTION("iferror(SPLIT(C40,""=""))"),"")</f>
        <v/>
      </c>
      <c r="F40" s="1" t="e">
        <f t="shared" ca="1" si="0"/>
        <v>#NAME?</v>
      </c>
    </row>
    <row r="41" spans="2:6" ht="15.75" customHeight="1">
      <c r="B41" s="1" t="s">
        <v>4743</v>
      </c>
      <c r="C41" s="1" t="s">
        <v>4743</v>
      </c>
      <c r="D41" s="1" t="str">
        <f ca="1">IFERROR(__xludf.DUMMYFUNCTION("iferror(SPLIT(C41,""=""))"),"")</f>
        <v/>
      </c>
      <c r="F41" s="1" t="e">
        <f t="shared" ca="1" si="0"/>
        <v>#NAME?</v>
      </c>
    </row>
    <row r="42" spans="2:6" ht="15.75" customHeight="1">
      <c r="B42" s="1" t="s">
        <v>4743</v>
      </c>
      <c r="C42" s="1" t="s">
        <v>4743</v>
      </c>
      <c r="D42" s="1" t="str">
        <f ca="1">IFERROR(__xludf.DUMMYFUNCTION("iferror(SPLIT(C42,""=""))"),"")</f>
        <v/>
      </c>
      <c r="F42" s="1" t="e">
        <f t="shared" ca="1" si="0"/>
        <v>#NAME?</v>
      </c>
    </row>
    <row r="43" spans="2:6" ht="15.75" customHeight="1">
      <c r="B43" s="1" t="s">
        <v>4743</v>
      </c>
      <c r="C43" s="1" t="s">
        <v>4743</v>
      </c>
      <c r="D43" s="1" t="str">
        <f ca="1">IFERROR(__xludf.DUMMYFUNCTION("iferror(SPLIT(C43,""=""))"),"")</f>
        <v/>
      </c>
      <c r="F43" s="1" t="e">
        <f t="shared" ca="1" si="0"/>
        <v>#NAME?</v>
      </c>
    </row>
    <row r="44" spans="2:6" ht="15.75" customHeight="1">
      <c r="B44" s="1" t="s">
        <v>4743</v>
      </c>
      <c r="C44" s="1" t="s">
        <v>4743</v>
      </c>
      <c r="D44" s="1" t="str">
        <f ca="1">IFERROR(__xludf.DUMMYFUNCTION("iferror(SPLIT(C44,""=""))"),"")</f>
        <v/>
      </c>
      <c r="F44" s="1" t="e">
        <f t="shared" ca="1" si="0"/>
        <v>#NAME?</v>
      </c>
    </row>
    <row r="45" spans="2:6" ht="15.75" customHeight="1">
      <c r="B45" s="1" t="s">
        <v>4743</v>
      </c>
      <c r="C45" s="1" t="s">
        <v>4743</v>
      </c>
      <c r="D45" s="1" t="str">
        <f ca="1">IFERROR(__xludf.DUMMYFUNCTION("iferror(SPLIT(C45,""=""))"),"")</f>
        <v/>
      </c>
      <c r="F45" s="1" t="e">
        <f t="shared" ca="1" si="0"/>
        <v>#NAME?</v>
      </c>
    </row>
    <row r="46" spans="2:6" ht="15.75" customHeight="1">
      <c r="B46" s="1" t="s">
        <v>4743</v>
      </c>
      <c r="C46" s="1" t="s">
        <v>4743</v>
      </c>
      <c r="D46" s="1" t="str">
        <f ca="1">IFERROR(__xludf.DUMMYFUNCTION("iferror(SPLIT(C46,""=""))"),"")</f>
        <v/>
      </c>
      <c r="F46" s="1" t="e">
        <f t="shared" ca="1" si="0"/>
        <v>#NAME?</v>
      </c>
    </row>
    <row r="47" spans="2:6" ht="15.75" customHeight="1">
      <c r="B47" s="1" t="s">
        <v>4743</v>
      </c>
      <c r="C47" s="1" t="s">
        <v>4743</v>
      </c>
      <c r="D47" s="1" t="str">
        <f ca="1">IFERROR(__xludf.DUMMYFUNCTION("iferror(SPLIT(C47,""=""))"),"")</f>
        <v/>
      </c>
      <c r="F47" s="1" t="e">
        <f t="shared" ca="1" si="0"/>
        <v>#NAME?</v>
      </c>
    </row>
    <row r="48" spans="2:6" ht="15.75" customHeight="1">
      <c r="B48" s="1" t="s">
        <v>4743</v>
      </c>
      <c r="C48" s="1" t="s">
        <v>4743</v>
      </c>
      <c r="D48" s="1" t="str">
        <f ca="1">IFERROR(__xludf.DUMMYFUNCTION("iferror(SPLIT(C48,""=""))"),"")</f>
        <v/>
      </c>
      <c r="F48" s="1" t="e">
        <f t="shared" ca="1" si="0"/>
        <v>#NAME?</v>
      </c>
    </row>
    <row r="49" spans="2:6" ht="15.75" customHeight="1">
      <c r="B49" s="1" t="s">
        <v>4743</v>
      </c>
      <c r="C49" s="1" t="s">
        <v>4743</v>
      </c>
      <c r="D49" s="1" t="str">
        <f ca="1">IFERROR(__xludf.DUMMYFUNCTION("iferror(SPLIT(C49,""=""))"),"")</f>
        <v/>
      </c>
      <c r="F49" s="1" t="e">
        <f t="shared" ca="1" si="0"/>
        <v>#NAME?</v>
      </c>
    </row>
    <row r="50" spans="2:6" ht="15.75" customHeight="1">
      <c r="B50" s="1" t="s">
        <v>4743</v>
      </c>
      <c r="C50" s="1" t="s">
        <v>4743</v>
      </c>
      <c r="D50" s="1" t="str">
        <f ca="1">IFERROR(__xludf.DUMMYFUNCTION("iferror(SPLIT(C50,""=""))"),"")</f>
        <v/>
      </c>
      <c r="F50" s="1" t="e">
        <f t="shared" ca="1" si="0"/>
        <v>#NAME?</v>
      </c>
    </row>
    <row r="51" spans="2:6" ht="15.75" customHeight="1">
      <c r="B51" s="1" t="s">
        <v>4743</v>
      </c>
      <c r="C51" s="1" t="s">
        <v>4743</v>
      </c>
      <c r="D51" s="1" t="str">
        <f ca="1">IFERROR(__xludf.DUMMYFUNCTION("iferror(SPLIT(C51,""=""))"),"")</f>
        <v/>
      </c>
      <c r="F51" s="1" t="e">
        <f t="shared" ca="1" si="0"/>
        <v>#NAME?</v>
      </c>
    </row>
    <row r="52" spans="2:6" ht="15.75" customHeight="1">
      <c r="B52" s="1" t="s">
        <v>4743</v>
      </c>
      <c r="C52" s="1" t="s">
        <v>4743</v>
      </c>
      <c r="D52" s="1" t="str">
        <f ca="1">IFERROR(__xludf.DUMMYFUNCTION("iferror(SPLIT(C52,""=""))"),"")</f>
        <v/>
      </c>
      <c r="F52" s="1" t="e">
        <f t="shared" ca="1" si="0"/>
        <v>#NAME?</v>
      </c>
    </row>
    <row r="53" spans="2:6" ht="15.75" customHeight="1">
      <c r="B53" s="1" t="s">
        <v>4743</v>
      </c>
      <c r="C53" s="1" t="s">
        <v>4743</v>
      </c>
      <c r="D53" s="1" t="str">
        <f ca="1">IFERROR(__xludf.DUMMYFUNCTION("iferror(SPLIT(C53,""=""))"),"")</f>
        <v/>
      </c>
      <c r="F53" s="1" t="e">
        <f t="shared" ca="1" si="0"/>
        <v>#NAME?</v>
      </c>
    </row>
    <row r="54" spans="2:6" ht="15.75" customHeight="1">
      <c r="B54" s="1" t="s">
        <v>4743</v>
      </c>
      <c r="C54" s="1" t="s">
        <v>4743</v>
      </c>
      <c r="D54" s="1" t="str">
        <f ca="1">IFERROR(__xludf.DUMMYFUNCTION("iferror(SPLIT(C54,""=""))"),"")</f>
        <v/>
      </c>
      <c r="F54" s="1" t="e">
        <f t="shared" ca="1" si="0"/>
        <v>#NAME?</v>
      </c>
    </row>
    <row r="55" spans="2:6" ht="15.75" customHeight="1">
      <c r="B55" s="1" t="s">
        <v>4743</v>
      </c>
      <c r="C55" s="1" t="s">
        <v>4743</v>
      </c>
      <c r="D55" s="1" t="str">
        <f ca="1">IFERROR(__xludf.DUMMYFUNCTION("iferror(SPLIT(C55,""=""))"),"")</f>
        <v/>
      </c>
      <c r="F55" s="1" t="e">
        <f t="shared" ca="1" si="0"/>
        <v>#NAME?</v>
      </c>
    </row>
    <row r="56" spans="2:6" ht="15.75" customHeight="1">
      <c r="B56" s="1" t="s">
        <v>4743</v>
      </c>
      <c r="C56" s="1" t="s">
        <v>4743</v>
      </c>
      <c r="D56" s="1" t="str">
        <f ca="1">IFERROR(__xludf.DUMMYFUNCTION("iferror(SPLIT(C56,""=""))"),"")</f>
        <v/>
      </c>
      <c r="F56" s="1" t="e">
        <f t="shared" ca="1" si="0"/>
        <v>#NAME?</v>
      </c>
    </row>
    <row r="57" spans="2:6" ht="15.75" customHeight="1">
      <c r="B57" s="1" t="s">
        <v>4743</v>
      </c>
      <c r="C57" s="1" t="s">
        <v>4743</v>
      </c>
      <c r="D57" s="1" t="str">
        <f ca="1">IFERROR(__xludf.DUMMYFUNCTION("iferror(SPLIT(C57,""=""))"),"")</f>
        <v/>
      </c>
      <c r="F57" s="1" t="e">
        <f t="shared" ca="1" si="0"/>
        <v>#NAME?</v>
      </c>
    </row>
    <row r="58" spans="2:6" ht="15.75" customHeight="1">
      <c r="B58" s="1" t="s">
        <v>4743</v>
      </c>
      <c r="C58" s="1" t="s">
        <v>4743</v>
      </c>
      <c r="D58" s="1" t="str">
        <f ca="1">IFERROR(__xludf.DUMMYFUNCTION("iferror(SPLIT(C58,""=""))"),"")</f>
        <v/>
      </c>
      <c r="F58" s="1" t="e">
        <f t="shared" ca="1" si="0"/>
        <v>#NAME?</v>
      </c>
    </row>
    <row r="59" spans="2:6" ht="15.75" customHeight="1">
      <c r="B59" s="1" t="s">
        <v>4743</v>
      </c>
      <c r="C59" s="1" t="s">
        <v>4743</v>
      </c>
      <c r="D59" s="1" t="str">
        <f ca="1">IFERROR(__xludf.DUMMYFUNCTION("iferror(SPLIT(C59,""=""))"),"")</f>
        <v/>
      </c>
      <c r="F59" s="1" t="e">
        <f t="shared" ca="1" si="0"/>
        <v>#NAME?</v>
      </c>
    </row>
    <row r="60" spans="2:6" ht="15.75" customHeight="1">
      <c r="B60" s="1" t="s">
        <v>4743</v>
      </c>
      <c r="C60" s="1" t="s">
        <v>4743</v>
      </c>
      <c r="D60" s="1" t="str">
        <f ca="1">IFERROR(__xludf.DUMMYFUNCTION("iferror(SPLIT(C60,""=""))"),"")</f>
        <v/>
      </c>
      <c r="F60" s="1" t="e">
        <f t="shared" ca="1" si="0"/>
        <v>#NAME?</v>
      </c>
    </row>
    <row r="61" spans="2:6" ht="15.75" customHeight="1">
      <c r="B61" s="1" t="s">
        <v>4743</v>
      </c>
      <c r="C61" s="1" t="s">
        <v>4743</v>
      </c>
      <c r="D61" s="1" t="str">
        <f ca="1">IFERROR(__xludf.DUMMYFUNCTION("iferror(SPLIT(C61,""=""))"),"")</f>
        <v/>
      </c>
      <c r="F61" s="1" t="e">
        <f t="shared" ca="1" si="0"/>
        <v>#NAME?</v>
      </c>
    </row>
    <row r="62" spans="2:6" ht="12.75">
      <c r="B62" s="1" t="s">
        <v>4743</v>
      </c>
      <c r="C62" s="1" t="s">
        <v>4743</v>
      </c>
      <c r="D62" s="1" t="str">
        <f ca="1">IFERROR(__xludf.DUMMYFUNCTION("iferror(SPLIT(C62,""=""))"),"")</f>
        <v/>
      </c>
      <c r="F62" s="1" t="e">
        <f t="shared" ca="1" si="0"/>
        <v>#NAME?</v>
      </c>
    </row>
    <row r="63" spans="2:6" ht="12.75">
      <c r="B63" s="1" t="s">
        <v>4743</v>
      </c>
      <c r="C63" s="1" t="s">
        <v>4743</v>
      </c>
      <c r="D63" s="1" t="str">
        <f ca="1">IFERROR(__xludf.DUMMYFUNCTION("iferror(SPLIT(C63,""=""))"),"")</f>
        <v/>
      </c>
      <c r="F63" s="1" t="e">
        <f t="shared" ca="1" si="0"/>
        <v>#NAME?</v>
      </c>
    </row>
    <row r="64" spans="2:6" ht="12.75">
      <c r="B64" s="1" t="s">
        <v>4743</v>
      </c>
      <c r="C64" s="1" t="s">
        <v>4743</v>
      </c>
      <c r="D64" s="1" t="str">
        <f ca="1">IFERROR(__xludf.DUMMYFUNCTION("iferror(SPLIT(C64,""=""))"),"")</f>
        <v/>
      </c>
      <c r="F64" s="1" t="e">
        <f t="shared" ca="1" si="0"/>
        <v>#NAME?</v>
      </c>
    </row>
    <row r="65" spans="2:6" ht="12.75">
      <c r="B65" s="1" t="s">
        <v>4743</v>
      </c>
      <c r="C65" s="1" t="s">
        <v>4743</v>
      </c>
      <c r="D65" s="1" t="str">
        <f ca="1">IFERROR(__xludf.DUMMYFUNCTION("iferror(SPLIT(C65,""=""))"),"")</f>
        <v/>
      </c>
      <c r="F65" s="1" t="e">
        <f t="shared" ca="1" si="0"/>
        <v>#NAME?</v>
      </c>
    </row>
    <row r="66" spans="2:6" ht="12.75">
      <c r="B66" s="1" t="s">
        <v>4743</v>
      </c>
      <c r="C66" s="1" t="s">
        <v>4743</v>
      </c>
      <c r="D66" s="1" t="str">
        <f ca="1">IFERROR(__xludf.DUMMYFUNCTION("iferror(SPLIT(C66,""=""))"),"")</f>
        <v/>
      </c>
      <c r="F66" s="1" t="e">
        <f t="shared" ca="1" si="0"/>
        <v>#NAME?</v>
      </c>
    </row>
    <row r="67" spans="2:6" ht="12.75">
      <c r="B67" s="1" t="s">
        <v>4743</v>
      </c>
      <c r="C67" s="1" t="s">
        <v>4743</v>
      </c>
      <c r="D67" s="1" t="str">
        <f ca="1">IFERROR(__xludf.DUMMYFUNCTION("iferror(SPLIT(C67,""=""))"),"")</f>
        <v/>
      </c>
      <c r="F67" s="1" t="e">
        <f t="shared" ca="1" si="0"/>
        <v>#NAME?</v>
      </c>
    </row>
    <row r="68" spans="2:6" ht="12.75">
      <c r="B68" s="1" t="s">
        <v>4743</v>
      </c>
      <c r="C68" s="1" t="s">
        <v>4743</v>
      </c>
      <c r="D68" s="1" t="str">
        <f ca="1">IFERROR(__xludf.DUMMYFUNCTION("iferror(SPLIT(C68,""=""))"),"")</f>
        <v/>
      </c>
      <c r="F68" s="1" t="e">
        <f t="shared" ca="1" si="0"/>
        <v>#NAME?</v>
      </c>
    </row>
    <row r="69" spans="2:6" ht="12.75">
      <c r="B69" s="1" t="s">
        <v>4743</v>
      </c>
      <c r="C69" s="1" t="s">
        <v>4743</v>
      </c>
      <c r="D69" s="1" t="str">
        <f ca="1">IFERROR(__xludf.DUMMYFUNCTION("iferror(SPLIT(C69,""=""))"),"")</f>
        <v/>
      </c>
      <c r="F69" s="1" t="e">
        <f t="shared" ca="1" si="0"/>
        <v>#NAME?</v>
      </c>
    </row>
    <row r="70" spans="2:6" ht="12.75">
      <c r="B70" s="1" t="s">
        <v>4743</v>
      </c>
      <c r="C70" s="1" t="s">
        <v>4743</v>
      </c>
      <c r="D70" s="1" t="str">
        <f ca="1">IFERROR(__xludf.DUMMYFUNCTION("iferror(SPLIT(C70,""=""))"),"")</f>
        <v/>
      </c>
      <c r="F70" s="1" t="e">
        <f t="shared" ca="1" si="0"/>
        <v>#NAME?</v>
      </c>
    </row>
    <row r="71" spans="2:6" ht="12.75">
      <c r="B71" s="1" t="s">
        <v>4743</v>
      </c>
      <c r="C71" s="1" t="s">
        <v>4743</v>
      </c>
      <c r="D71" s="1" t="str">
        <f ca="1">IFERROR(__xludf.DUMMYFUNCTION("iferror(SPLIT(C71,""=""))"),"")</f>
        <v/>
      </c>
      <c r="F71" s="1" t="e">
        <f t="shared" ca="1" si="0"/>
        <v>#NAME?</v>
      </c>
    </row>
    <row r="72" spans="2:6" ht="12.75">
      <c r="B72" s="1" t="s">
        <v>4743</v>
      </c>
      <c r="C72" s="1" t="s">
        <v>4743</v>
      </c>
      <c r="D72" s="1" t="str">
        <f ca="1">IFERROR(__xludf.DUMMYFUNCTION("iferror(SPLIT(C72,""=""))"),"")</f>
        <v/>
      </c>
      <c r="F72" s="1" t="e">
        <f t="shared" ca="1" si="0"/>
        <v>#NAME?</v>
      </c>
    </row>
    <row r="73" spans="2:6" ht="12.75">
      <c r="B73" s="1" t="s">
        <v>4743</v>
      </c>
      <c r="C73" s="1" t="s">
        <v>4743</v>
      </c>
      <c r="D73" s="1" t="str">
        <f ca="1">IFERROR(__xludf.DUMMYFUNCTION("iferror(SPLIT(C73,""=""))"),"")</f>
        <v/>
      </c>
      <c r="F73" s="1" t="e">
        <f t="shared" ca="1" si="0"/>
        <v>#NAME?</v>
      </c>
    </row>
    <row r="74" spans="2:6" ht="12.75">
      <c r="B74" s="1" t="s">
        <v>4743</v>
      </c>
      <c r="C74" s="1" t="s">
        <v>4743</v>
      </c>
      <c r="D74" s="1" t="str">
        <f ca="1">IFERROR(__xludf.DUMMYFUNCTION("iferror(SPLIT(C74,""=""))"),"")</f>
        <v/>
      </c>
      <c r="F74" s="1" t="e">
        <f t="shared" ca="1" si="0"/>
        <v>#NAME?</v>
      </c>
    </row>
    <row r="75" spans="2:6" ht="12.75">
      <c r="B75" s="1" t="s">
        <v>4743</v>
      </c>
      <c r="C75" s="1" t="s">
        <v>4743</v>
      </c>
      <c r="D75" s="1" t="str">
        <f ca="1">IFERROR(__xludf.DUMMYFUNCTION("iferror(SPLIT(C75,""=""))"),"")</f>
        <v/>
      </c>
      <c r="F75" s="1" t="e">
        <f t="shared" ca="1" si="0"/>
        <v>#NAME?</v>
      </c>
    </row>
    <row r="76" spans="2:6" ht="12.75">
      <c r="B76" s="1" t="s">
        <v>4743</v>
      </c>
      <c r="C76" s="1" t="s">
        <v>4743</v>
      </c>
      <c r="D76" s="1" t="str">
        <f ca="1">IFERROR(__xludf.DUMMYFUNCTION("iferror(SPLIT(C76,""=""))"),"")</f>
        <v/>
      </c>
      <c r="F76" s="1" t="e">
        <f t="shared" ca="1" si="0"/>
        <v>#NAME?</v>
      </c>
    </row>
    <row r="77" spans="2:6" ht="12.75">
      <c r="B77" s="1" t="s">
        <v>4743</v>
      </c>
      <c r="C77" s="1" t="s">
        <v>4743</v>
      </c>
      <c r="D77" s="1" t="str">
        <f ca="1">IFERROR(__xludf.DUMMYFUNCTION("iferror(SPLIT(C77,""=""))"),"")</f>
        <v/>
      </c>
      <c r="F77" s="1" t="e">
        <f t="shared" ca="1" si="0"/>
        <v>#NAME?</v>
      </c>
    </row>
    <row r="78" spans="2:6" ht="12.75">
      <c r="B78" s="1" t="s">
        <v>4743</v>
      </c>
      <c r="C78" s="1" t="s">
        <v>4743</v>
      </c>
      <c r="D78" s="1" t="str">
        <f ca="1">IFERROR(__xludf.DUMMYFUNCTION("iferror(SPLIT(C78,""=""))"),"")</f>
        <v/>
      </c>
      <c r="F78" s="1" t="e">
        <f t="shared" ca="1" si="0"/>
        <v>#NAME?</v>
      </c>
    </row>
    <row r="79" spans="2:6" ht="12.75">
      <c r="B79" s="1" t="s">
        <v>4743</v>
      </c>
      <c r="C79" s="1" t="s">
        <v>4743</v>
      </c>
      <c r="D79" s="1" t="str">
        <f ca="1">IFERROR(__xludf.DUMMYFUNCTION("iferror(SPLIT(C79,""=""))"),"")</f>
        <v/>
      </c>
      <c r="F79" s="1" t="e">
        <f t="shared" ca="1" si="0"/>
        <v>#NAME?</v>
      </c>
    </row>
    <row r="80" spans="2:6" ht="12.75">
      <c r="B80" s="1" t="s">
        <v>4743</v>
      </c>
      <c r="C80" s="1" t="s">
        <v>4743</v>
      </c>
      <c r="D80" s="1" t="str">
        <f ca="1">IFERROR(__xludf.DUMMYFUNCTION("iferror(SPLIT(C80,""=""))"),"")</f>
        <v/>
      </c>
      <c r="F80" s="1" t="e">
        <f t="shared" ca="1" si="0"/>
        <v>#NAME?</v>
      </c>
    </row>
    <row r="81" spans="2:6" ht="12.75">
      <c r="B81" s="1" t="s">
        <v>4743</v>
      </c>
      <c r="C81" s="1" t="s">
        <v>4743</v>
      </c>
      <c r="D81" s="1" t="str">
        <f ca="1">IFERROR(__xludf.DUMMYFUNCTION("iferror(SPLIT(C81,""=""))"),"")</f>
        <v/>
      </c>
      <c r="F81" s="1" t="e">
        <f t="shared" ca="1" si="0"/>
        <v>#NAME?</v>
      </c>
    </row>
    <row r="82" spans="2:6" ht="12.75">
      <c r="B82" s="1" t="s">
        <v>4743</v>
      </c>
      <c r="C82" s="1" t="s">
        <v>4743</v>
      </c>
      <c r="D82" s="1" t="str">
        <f ca="1">IFERROR(__xludf.DUMMYFUNCTION("iferror(SPLIT(C82,""=""))"),"")</f>
        <v/>
      </c>
      <c r="F82" s="1" t="e">
        <f t="shared" ca="1" si="0"/>
        <v>#NAME?</v>
      </c>
    </row>
    <row r="83" spans="2:6" ht="12.75">
      <c r="B83" s="1" t="s">
        <v>4743</v>
      </c>
      <c r="C83" s="1" t="s">
        <v>4743</v>
      </c>
      <c r="D83" s="1" t="str">
        <f ca="1">IFERROR(__xludf.DUMMYFUNCTION("iferror(SPLIT(C83,""=""))"),"")</f>
        <v/>
      </c>
      <c r="F83" s="1" t="e">
        <f t="shared" ca="1" si="0"/>
        <v>#NAME?</v>
      </c>
    </row>
    <row r="84" spans="2:6" ht="12.75">
      <c r="B84" s="1" t="s">
        <v>4743</v>
      </c>
      <c r="C84" s="1" t="s">
        <v>4743</v>
      </c>
      <c r="D84" s="1" t="str">
        <f ca="1">IFERROR(__xludf.DUMMYFUNCTION("iferror(SPLIT(C84,""=""))"),"")</f>
        <v/>
      </c>
      <c r="F84" s="1" t="e">
        <f t="shared" ca="1" si="0"/>
        <v>#NAME?</v>
      </c>
    </row>
    <row r="85" spans="2:6" ht="12.75">
      <c r="B85" s="1" t="s">
        <v>4743</v>
      </c>
      <c r="C85" s="1" t="s">
        <v>4743</v>
      </c>
      <c r="D85" s="1" t="str">
        <f ca="1">IFERROR(__xludf.DUMMYFUNCTION("iferror(SPLIT(C85,""=""))"),"")</f>
        <v/>
      </c>
      <c r="F85" s="1" t="e">
        <f t="shared" ca="1" si="0"/>
        <v>#NAME?</v>
      </c>
    </row>
    <row r="86" spans="2:6" ht="12.75">
      <c r="B86" s="1" t="s">
        <v>4743</v>
      </c>
      <c r="C86" s="1" t="s">
        <v>4743</v>
      </c>
      <c r="D86" s="1" t="str">
        <f ca="1">IFERROR(__xludf.DUMMYFUNCTION("iferror(SPLIT(C86,""=""))"),"")</f>
        <v/>
      </c>
      <c r="F86" s="1" t="e">
        <f t="shared" ca="1" si="0"/>
        <v>#NAME?</v>
      </c>
    </row>
    <row r="87" spans="2:6" ht="12.75">
      <c r="B87" s="1" t="s">
        <v>4743</v>
      </c>
      <c r="C87" s="1" t="s">
        <v>4743</v>
      </c>
      <c r="D87" s="1" t="str">
        <f ca="1">IFERROR(__xludf.DUMMYFUNCTION("iferror(SPLIT(C87,""=""))"),"")</f>
        <v/>
      </c>
      <c r="F87" s="1" t="e">
        <f t="shared" ca="1" si="0"/>
        <v>#NAME?</v>
      </c>
    </row>
    <row r="88" spans="2:6" ht="12.75">
      <c r="B88" s="1" t="s">
        <v>4743</v>
      </c>
      <c r="C88" s="1" t="s">
        <v>4743</v>
      </c>
      <c r="D88" s="1" t="str">
        <f ca="1">IFERROR(__xludf.DUMMYFUNCTION("iferror(SPLIT(C88,""=""))"),"")</f>
        <v/>
      </c>
      <c r="F88" s="1" t="e">
        <f t="shared" ca="1" si="0"/>
        <v>#NAME?</v>
      </c>
    </row>
    <row r="89" spans="2:6" ht="12.75">
      <c r="B89" s="1" t="s">
        <v>4743</v>
      </c>
      <c r="C89" s="1" t="s">
        <v>4743</v>
      </c>
      <c r="D89" s="1" t="str">
        <f ca="1">IFERROR(__xludf.DUMMYFUNCTION("iferror(SPLIT(C89,""=""))"),"")</f>
        <v/>
      </c>
      <c r="F89" s="1" t="e">
        <f t="shared" ca="1" si="0"/>
        <v>#NAME?</v>
      </c>
    </row>
    <row r="90" spans="2:6" ht="12.75">
      <c r="B90" s="1" t="s">
        <v>4743</v>
      </c>
      <c r="C90" s="1" t="s">
        <v>4743</v>
      </c>
      <c r="D90" s="1" t="str">
        <f ca="1">IFERROR(__xludf.DUMMYFUNCTION("iferror(SPLIT(C90,""=""))"),"")</f>
        <v/>
      </c>
      <c r="F90" s="1" t="e">
        <f t="shared" ca="1" si="0"/>
        <v>#NAME?</v>
      </c>
    </row>
    <row r="91" spans="2:6" ht="12.75">
      <c r="B91" s="1" t="s">
        <v>4743</v>
      </c>
      <c r="C91" s="1" t="s">
        <v>4743</v>
      </c>
      <c r="D91" s="1" t="str">
        <f ca="1">IFERROR(__xludf.DUMMYFUNCTION("iferror(SPLIT(C91,""=""))"),"")</f>
        <v/>
      </c>
      <c r="F91" s="1" t="e">
        <f t="shared" ca="1" si="0"/>
        <v>#NAME?</v>
      </c>
    </row>
    <row r="92" spans="2:6" ht="12.75">
      <c r="B92" s="1" t="s">
        <v>4743</v>
      </c>
      <c r="C92" s="1" t="s">
        <v>4743</v>
      </c>
      <c r="D92" s="1" t="str">
        <f ca="1">IFERROR(__xludf.DUMMYFUNCTION("iferror(SPLIT(C92,""=""))"),"")</f>
        <v/>
      </c>
      <c r="F92" s="1" t="e">
        <f t="shared" ca="1" si="0"/>
        <v>#NAME?</v>
      </c>
    </row>
    <row r="93" spans="2:6" ht="12.75">
      <c r="B93" s="1" t="s">
        <v>4743</v>
      </c>
      <c r="C93" s="1" t="s">
        <v>4743</v>
      </c>
      <c r="D93" s="1" t="str">
        <f ca="1">IFERROR(__xludf.DUMMYFUNCTION("iferror(SPLIT(C93,""=""))"),"")</f>
        <v/>
      </c>
      <c r="F93" s="1" t="e">
        <f t="shared" ca="1" si="0"/>
        <v>#NAME?</v>
      </c>
    </row>
    <row r="94" spans="2:6" ht="12.75">
      <c r="B94" s="1" t="s">
        <v>4743</v>
      </c>
      <c r="C94" s="1" t="s">
        <v>4743</v>
      </c>
      <c r="D94" s="1" t="str">
        <f ca="1">IFERROR(__xludf.DUMMYFUNCTION("iferror(SPLIT(C94,""=""))"),"")</f>
        <v/>
      </c>
      <c r="F94" s="1" t="e">
        <f t="shared" ca="1" si="0"/>
        <v>#NAME?</v>
      </c>
    </row>
    <row r="95" spans="2:6" ht="12.75">
      <c r="B95" s="1" t="s">
        <v>4743</v>
      </c>
      <c r="C95" s="1" t="s">
        <v>4743</v>
      </c>
      <c r="D95" s="1" t="str">
        <f ca="1">IFERROR(__xludf.DUMMYFUNCTION("iferror(SPLIT(C95,""=""))"),"")</f>
        <v/>
      </c>
      <c r="F95" s="1" t="e">
        <f t="shared" ca="1" si="0"/>
        <v>#NAME?</v>
      </c>
    </row>
    <row r="96" spans="2:6" ht="12.75">
      <c r="B96" s="1" t="s">
        <v>4743</v>
      </c>
      <c r="C96" s="1" t="s">
        <v>4743</v>
      </c>
      <c r="D96" s="1" t="str">
        <f ca="1">IFERROR(__xludf.DUMMYFUNCTION("iferror(SPLIT(C96,""=""))"),"")</f>
        <v/>
      </c>
      <c r="F96" s="1" t="e">
        <f t="shared" ca="1" si="0"/>
        <v>#NAME?</v>
      </c>
    </row>
    <row r="97" spans="2:6" ht="12.75">
      <c r="B97" s="1" t="s">
        <v>4743</v>
      </c>
      <c r="C97" s="1" t="s">
        <v>4743</v>
      </c>
      <c r="D97" s="1" t="str">
        <f ca="1">IFERROR(__xludf.DUMMYFUNCTION("iferror(SPLIT(C97,""=""))"),"")</f>
        <v/>
      </c>
      <c r="F97" s="1" t="e">
        <f t="shared" ca="1" si="0"/>
        <v>#NAME?</v>
      </c>
    </row>
    <row r="98" spans="2:6" ht="12.75">
      <c r="B98" s="1" t="s">
        <v>4743</v>
      </c>
      <c r="C98" s="1" t="s">
        <v>4743</v>
      </c>
      <c r="D98" s="1" t="str">
        <f ca="1">IFERROR(__xludf.DUMMYFUNCTION("iferror(SPLIT(C98,""=""))"),"")</f>
        <v/>
      </c>
      <c r="F98" s="1" t="e">
        <f t="shared" ca="1" si="0"/>
        <v>#NAME?</v>
      </c>
    </row>
    <row r="99" spans="2:6" ht="12.75">
      <c r="B99" s="1" t="s">
        <v>4743</v>
      </c>
      <c r="C99" s="1" t="s">
        <v>4743</v>
      </c>
      <c r="D99" s="1" t="str">
        <f ca="1">IFERROR(__xludf.DUMMYFUNCTION("iferror(SPLIT(C99,""=""))"),"")</f>
        <v/>
      </c>
      <c r="F99" s="1" t="e">
        <f t="shared" ca="1" si="0"/>
        <v>#NAME?</v>
      </c>
    </row>
    <row r="100" spans="2:6" ht="12.75">
      <c r="B100" s="1" t="s">
        <v>4743</v>
      </c>
      <c r="C100" s="1" t="s">
        <v>4743</v>
      </c>
      <c r="D100" s="1" t="str">
        <f ca="1">IFERROR(__xludf.DUMMYFUNCTION("iferror(SPLIT(C100,""=""))"),"")</f>
        <v/>
      </c>
      <c r="F100" s="1" t="e">
        <f t="shared" ca="1" si="0"/>
        <v>#NAME?</v>
      </c>
    </row>
    <row r="101" spans="2:6" ht="12.75">
      <c r="B101" s="1" t="s">
        <v>4743</v>
      </c>
      <c r="C101" s="1" t="s">
        <v>4743</v>
      </c>
      <c r="D101" s="1" t="str">
        <f ca="1">IFERROR(__xludf.DUMMYFUNCTION("iferror(SPLIT(C101,""=""))"),"")</f>
        <v/>
      </c>
      <c r="F101" s="1" t="e">
        <f t="shared" ca="1" si="0"/>
        <v>#NAME?</v>
      </c>
    </row>
    <row r="102" spans="2:6" ht="12.75">
      <c r="B102" s="1" t="s">
        <v>4743</v>
      </c>
      <c r="C102" s="1" t="s">
        <v>4743</v>
      </c>
      <c r="D102" s="1" t="str">
        <f ca="1">IFERROR(__xludf.DUMMYFUNCTION("iferror(SPLIT(C102,""=""))"),"")</f>
        <v/>
      </c>
      <c r="F102" s="1" t="e">
        <f t="shared" ca="1" si="0"/>
        <v>#NAME?</v>
      </c>
    </row>
    <row r="103" spans="2:6" ht="12.75">
      <c r="B103" s="1" t="s">
        <v>4743</v>
      </c>
      <c r="C103" s="1" t="s">
        <v>4743</v>
      </c>
      <c r="D103" s="1" t="str">
        <f ca="1">IFERROR(__xludf.DUMMYFUNCTION("iferror(SPLIT(C103,""=""))"),"")</f>
        <v/>
      </c>
      <c r="F103" s="1" t="e">
        <f t="shared" ca="1" si="0"/>
        <v>#NAME?</v>
      </c>
    </row>
    <row r="104" spans="2:6" ht="12.75">
      <c r="B104" s="1" t="s">
        <v>4743</v>
      </c>
      <c r="C104" s="1" t="s">
        <v>4743</v>
      </c>
      <c r="D104" s="1" t="str">
        <f ca="1">IFERROR(__xludf.DUMMYFUNCTION("iferror(SPLIT(C104,""=""))"),"")</f>
        <v/>
      </c>
      <c r="F104" s="1" t="e">
        <f t="shared" ca="1" si="0"/>
        <v>#NAME?</v>
      </c>
    </row>
    <row r="105" spans="2:6" ht="12.75">
      <c r="B105" s="1" t="s">
        <v>4743</v>
      </c>
      <c r="C105" s="1" t="s">
        <v>4743</v>
      </c>
      <c r="D105" s="1" t="str">
        <f ca="1">IFERROR(__xludf.DUMMYFUNCTION("iferror(SPLIT(C105,""=""))"),"")</f>
        <v/>
      </c>
      <c r="F105" s="1" t="e">
        <f t="shared" ca="1" si="0"/>
        <v>#NAME?</v>
      </c>
    </row>
    <row r="106" spans="2:6" ht="12.75">
      <c r="B106" s="1" t="s">
        <v>4743</v>
      </c>
      <c r="C106" s="1" t="s">
        <v>4743</v>
      </c>
      <c r="D106" s="1" t="str">
        <f ca="1">IFERROR(__xludf.DUMMYFUNCTION("iferror(SPLIT(C106,""=""))"),"")</f>
        <v/>
      </c>
      <c r="F106" s="1" t="e">
        <f t="shared" ca="1" si="0"/>
        <v>#NAME?</v>
      </c>
    </row>
    <row r="107" spans="2:6" ht="12.75">
      <c r="B107" s="1" t="s">
        <v>4743</v>
      </c>
      <c r="C107" s="1" t="s">
        <v>4743</v>
      </c>
      <c r="D107" s="1" t="str">
        <f ca="1">IFERROR(__xludf.DUMMYFUNCTION("iferror(SPLIT(C107,""=""))"),"")</f>
        <v/>
      </c>
      <c r="F107" s="1" t="e">
        <f t="shared" ca="1" si="0"/>
        <v>#NAME?</v>
      </c>
    </row>
    <row r="108" spans="2:6" ht="12.75">
      <c r="B108" s="1" t="s">
        <v>4743</v>
      </c>
      <c r="C108" s="1" t="s">
        <v>4743</v>
      </c>
      <c r="D108" s="1" t="str">
        <f ca="1">IFERROR(__xludf.DUMMYFUNCTION("iferror(SPLIT(C108,""=""))"),"")</f>
        <v/>
      </c>
      <c r="F108" s="1" t="e">
        <f t="shared" ca="1" si="0"/>
        <v>#NAME?</v>
      </c>
    </row>
    <row r="109" spans="2:6" ht="12.75">
      <c r="B109" s="1" t="s">
        <v>4743</v>
      </c>
      <c r="C109" s="1" t="s">
        <v>4743</v>
      </c>
      <c r="D109" s="1" t="str">
        <f ca="1">IFERROR(__xludf.DUMMYFUNCTION("iferror(SPLIT(C109,""=""))"),"")</f>
        <v/>
      </c>
      <c r="F109" s="1" t="e">
        <f t="shared" ca="1" si="0"/>
        <v>#NAME?</v>
      </c>
    </row>
    <row r="110" spans="2:6" ht="12.75">
      <c r="B110" s="1" t="s">
        <v>4743</v>
      </c>
      <c r="C110" s="1" t="s">
        <v>4743</v>
      </c>
      <c r="D110" s="1" t="str">
        <f ca="1">IFERROR(__xludf.DUMMYFUNCTION("iferror(SPLIT(C110,""=""))"),"")</f>
        <v/>
      </c>
      <c r="F110" s="1" t="e">
        <f t="shared" ca="1" si="0"/>
        <v>#NAME?</v>
      </c>
    </row>
    <row r="111" spans="2:6" ht="12.75">
      <c r="B111" s="1" t="s">
        <v>4743</v>
      </c>
      <c r="C111" s="1" t="s">
        <v>4743</v>
      </c>
      <c r="D111" s="1" t="str">
        <f ca="1">IFERROR(__xludf.DUMMYFUNCTION("iferror(SPLIT(C111,""=""))"),"")</f>
        <v/>
      </c>
      <c r="F111" s="1" t="e">
        <f t="shared" ca="1" si="0"/>
        <v>#NAME?</v>
      </c>
    </row>
    <row r="112" spans="2:6" ht="12.75">
      <c r="B112" s="1" t="s">
        <v>4743</v>
      </c>
      <c r="C112" s="1" t="s">
        <v>4743</v>
      </c>
      <c r="D112" s="1" t="str">
        <f ca="1">IFERROR(__xludf.DUMMYFUNCTION("iferror(SPLIT(C112,""=""))"),"")</f>
        <v/>
      </c>
      <c r="F112" s="1" t="e">
        <f t="shared" ca="1" si="0"/>
        <v>#NAME?</v>
      </c>
    </row>
    <row r="113" spans="2:6" ht="12.75">
      <c r="B113" s="1" t="s">
        <v>4743</v>
      </c>
      <c r="C113" s="1" t="s">
        <v>4743</v>
      </c>
      <c r="D113" s="1" t="str">
        <f ca="1">IFERROR(__xludf.DUMMYFUNCTION("iferror(SPLIT(C113,""=""))"),"")</f>
        <v/>
      </c>
      <c r="F113" s="1" t="e">
        <f t="shared" ca="1" si="0"/>
        <v>#NAME?</v>
      </c>
    </row>
    <row r="114" spans="2:6" ht="12.75">
      <c r="B114" s="1" t="s">
        <v>4743</v>
      </c>
      <c r="C114" s="1" t="s">
        <v>4743</v>
      </c>
      <c r="D114" s="1" t="str">
        <f ca="1">IFERROR(__xludf.DUMMYFUNCTION("iferror(SPLIT(C114,""=""))"),"")</f>
        <v/>
      </c>
      <c r="F114" s="1" t="e">
        <f t="shared" ca="1" si="0"/>
        <v>#NAME?</v>
      </c>
    </row>
    <row r="115" spans="2:6" ht="12.75">
      <c r="B115" s="1" t="s">
        <v>4743</v>
      </c>
      <c r="C115" s="1" t="s">
        <v>4743</v>
      </c>
      <c r="D115" s="1" t="str">
        <f ca="1">IFERROR(__xludf.DUMMYFUNCTION("iferror(SPLIT(C115,""=""))"),"")</f>
        <v/>
      </c>
      <c r="F115" s="1" t="e">
        <f t="shared" ca="1" si="0"/>
        <v>#NAME?</v>
      </c>
    </row>
    <row r="116" spans="2:6" ht="12.75">
      <c r="B116" s="1" t="s">
        <v>4743</v>
      </c>
      <c r="C116" s="1" t="s">
        <v>4743</v>
      </c>
      <c r="D116" s="1" t="str">
        <f ca="1">IFERROR(__xludf.DUMMYFUNCTION("iferror(SPLIT(C116,""=""))"),"")</f>
        <v/>
      </c>
      <c r="F116" s="1" t="e">
        <f t="shared" ca="1" si="0"/>
        <v>#NAME?</v>
      </c>
    </row>
    <row r="117" spans="2:6" ht="12.75">
      <c r="B117" s="1" t="s">
        <v>4743</v>
      </c>
      <c r="C117" s="1" t="s">
        <v>4743</v>
      </c>
      <c r="D117" s="1" t="str">
        <f ca="1">IFERROR(__xludf.DUMMYFUNCTION("iferror(SPLIT(C117,""=""))"),"")</f>
        <v/>
      </c>
      <c r="F117" s="1" t="e">
        <f t="shared" ca="1" si="0"/>
        <v>#NAME?</v>
      </c>
    </row>
    <row r="118" spans="2:6" ht="12.75">
      <c r="B118" s="1" t="s">
        <v>4743</v>
      </c>
      <c r="C118" s="1" t="s">
        <v>4743</v>
      </c>
      <c r="D118" s="1" t="str">
        <f ca="1">IFERROR(__xludf.DUMMYFUNCTION("iferror(SPLIT(C118,""=""))"),"")</f>
        <v/>
      </c>
      <c r="F118" s="1" t="e">
        <f t="shared" ca="1" si="0"/>
        <v>#NAME?</v>
      </c>
    </row>
    <row r="119" spans="2:6" ht="12.75">
      <c r="B119" s="1" t="s">
        <v>4743</v>
      </c>
      <c r="C119" s="1" t="s">
        <v>4743</v>
      </c>
      <c r="D119" s="1" t="str">
        <f ca="1">IFERROR(__xludf.DUMMYFUNCTION("iferror(SPLIT(C119,""=""))"),"")</f>
        <v/>
      </c>
      <c r="F119" s="1" t="e">
        <f t="shared" ca="1" si="0"/>
        <v>#NAME?</v>
      </c>
    </row>
    <row r="120" spans="2:6" ht="12.75">
      <c r="B120" s="1" t="s">
        <v>4743</v>
      </c>
      <c r="C120" s="1" t="s">
        <v>4743</v>
      </c>
      <c r="D120" s="1" t="str">
        <f ca="1">IFERROR(__xludf.DUMMYFUNCTION("iferror(SPLIT(C120,""=""))"),"")</f>
        <v/>
      </c>
      <c r="F120" s="1" t="e">
        <f t="shared" ca="1" si="0"/>
        <v>#NAME?</v>
      </c>
    </row>
    <row r="121" spans="2:6" ht="12.75">
      <c r="B121" s="1" t="s">
        <v>4743</v>
      </c>
      <c r="C121" s="1" t="s">
        <v>4743</v>
      </c>
      <c r="D121" s="1" t="str">
        <f ca="1">IFERROR(__xludf.DUMMYFUNCTION("iferror(SPLIT(C121,""=""))"),"")</f>
        <v/>
      </c>
      <c r="F121" s="1" t="e">
        <f t="shared" ca="1" si="0"/>
        <v>#NAME?</v>
      </c>
    </row>
    <row r="122" spans="2:6" ht="12.75">
      <c r="B122" s="1" t="s">
        <v>4743</v>
      </c>
      <c r="C122" s="1" t="s">
        <v>4743</v>
      </c>
      <c r="D122" s="1" t="str">
        <f ca="1">IFERROR(__xludf.DUMMYFUNCTION("iferror(SPLIT(C122,""=""))"),"")</f>
        <v/>
      </c>
      <c r="F122" s="1" t="e">
        <f t="shared" ca="1" si="0"/>
        <v>#NAME?</v>
      </c>
    </row>
    <row r="123" spans="2:6" ht="12.75">
      <c r="B123" s="1" t="s">
        <v>4743</v>
      </c>
      <c r="C123" s="1" t="s">
        <v>4743</v>
      </c>
      <c r="D123" s="1" t="str">
        <f ca="1">IFERROR(__xludf.DUMMYFUNCTION("iferror(SPLIT(C123,""=""))"),"")</f>
        <v/>
      </c>
      <c r="F123" s="1" t="e">
        <f t="shared" ca="1" si="0"/>
        <v>#NAME?</v>
      </c>
    </row>
    <row r="124" spans="2:6" ht="12.75">
      <c r="B124" s="1" t="s">
        <v>4743</v>
      </c>
      <c r="C124" s="1" t="s">
        <v>4743</v>
      </c>
      <c r="D124" s="1" t="str">
        <f ca="1">IFERROR(__xludf.DUMMYFUNCTION("iferror(SPLIT(C124,""=""))"),"")</f>
        <v/>
      </c>
      <c r="F124" s="1" t="e">
        <f t="shared" ca="1" si="0"/>
        <v>#NAME?</v>
      </c>
    </row>
    <row r="125" spans="2:6" ht="12.75">
      <c r="B125" s="1" t="s">
        <v>4743</v>
      </c>
      <c r="C125" s="1" t="s">
        <v>4743</v>
      </c>
      <c r="D125" s="1" t="str">
        <f ca="1">IFERROR(__xludf.DUMMYFUNCTION("iferror(SPLIT(C125,""=""))"),"")</f>
        <v/>
      </c>
      <c r="F125" s="1" t="e">
        <f t="shared" ca="1" si="0"/>
        <v>#NAME?</v>
      </c>
    </row>
    <row r="126" spans="2:6" ht="12.75">
      <c r="B126" s="1" t="s">
        <v>4743</v>
      </c>
      <c r="C126" s="1" t="s">
        <v>4743</v>
      </c>
      <c r="D126" s="1" t="str">
        <f ca="1">IFERROR(__xludf.DUMMYFUNCTION("iferror(SPLIT(C126,""=""))"),"")</f>
        <v/>
      </c>
      <c r="F126" s="1" t="e">
        <f t="shared" ca="1" si="0"/>
        <v>#NAME?</v>
      </c>
    </row>
    <row r="127" spans="2:6" ht="12.75">
      <c r="B127" s="1" t="s">
        <v>4743</v>
      </c>
      <c r="C127" s="1" t="s">
        <v>4743</v>
      </c>
      <c r="D127" s="1" t="str">
        <f ca="1">IFERROR(__xludf.DUMMYFUNCTION("iferror(SPLIT(C127,""=""))"),"")</f>
        <v/>
      </c>
      <c r="F127" s="1" t="e">
        <f t="shared" ca="1" si="0"/>
        <v>#NAME?</v>
      </c>
    </row>
    <row r="128" spans="2:6" ht="12.75">
      <c r="B128" s="1" t="s">
        <v>4743</v>
      </c>
      <c r="C128" s="1" t="s">
        <v>4743</v>
      </c>
      <c r="D128" s="1" t="str">
        <f ca="1">IFERROR(__xludf.DUMMYFUNCTION("iferror(SPLIT(C128,""=""))"),"")</f>
        <v/>
      </c>
      <c r="F128" s="1" t="e">
        <f t="shared" ca="1" si="0"/>
        <v>#NAME?</v>
      </c>
    </row>
    <row r="129" spans="2:6" ht="12.75">
      <c r="B129" s="1" t="s">
        <v>4743</v>
      </c>
      <c r="C129" s="1" t="s">
        <v>4743</v>
      </c>
      <c r="D129" s="1" t="str">
        <f ca="1">IFERROR(__xludf.DUMMYFUNCTION("iferror(SPLIT(C129,""=""))"),"")</f>
        <v/>
      </c>
      <c r="F129" s="1" t="e">
        <f t="shared" ca="1" si="0"/>
        <v>#NAME?</v>
      </c>
    </row>
    <row r="130" spans="2:6" ht="12.75">
      <c r="B130" s="1" t="s">
        <v>4743</v>
      </c>
      <c r="C130" s="1" t="s">
        <v>4743</v>
      </c>
      <c r="D130" s="1" t="str">
        <f ca="1">IFERROR(__xludf.DUMMYFUNCTION("iferror(SPLIT(C130,""=""))"),"")</f>
        <v/>
      </c>
      <c r="F130" s="1" t="e">
        <f t="shared" ca="1" si="0"/>
        <v>#NAME?</v>
      </c>
    </row>
    <row r="131" spans="2:6" ht="12.75">
      <c r="B131" s="1" t="s">
        <v>4743</v>
      </c>
      <c r="C131" s="1" t="s">
        <v>4743</v>
      </c>
      <c r="D131" s="1" t="str">
        <f ca="1">IFERROR(__xludf.DUMMYFUNCTION("iferror(SPLIT(C131,""=""))"),"")</f>
        <v/>
      </c>
      <c r="F131" s="1" t="e">
        <f t="shared" ca="1" si="0"/>
        <v>#NAME?</v>
      </c>
    </row>
    <row r="132" spans="2:6" ht="12.75">
      <c r="B132" s="1" t="s">
        <v>4743</v>
      </c>
      <c r="C132" s="1" t="s">
        <v>4743</v>
      </c>
      <c r="D132" s="1" t="str">
        <f ca="1">IFERROR(__xludf.DUMMYFUNCTION("iferror(SPLIT(C132,""=""))"),"")</f>
        <v/>
      </c>
      <c r="F132" s="1" t="e">
        <f t="shared" ca="1" si="0"/>
        <v>#NAME?</v>
      </c>
    </row>
    <row r="133" spans="2:6" ht="12.75">
      <c r="B133" s="1" t="s">
        <v>4743</v>
      </c>
      <c r="C133" s="1" t="s">
        <v>4743</v>
      </c>
      <c r="D133" s="1" t="str">
        <f ca="1">IFERROR(__xludf.DUMMYFUNCTION("iferror(SPLIT(C133,""=""))"),"")</f>
        <v/>
      </c>
      <c r="F133" s="1" t="e">
        <f t="shared" ca="1" si="0"/>
        <v>#NAME?</v>
      </c>
    </row>
    <row r="134" spans="2:6" ht="12.75">
      <c r="B134" s="1" t="s">
        <v>4743</v>
      </c>
      <c r="C134" s="1" t="s">
        <v>4743</v>
      </c>
      <c r="D134" s="1" t="str">
        <f ca="1">IFERROR(__xludf.DUMMYFUNCTION("iferror(SPLIT(C134,""=""))"),"")</f>
        <v/>
      </c>
      <c r="F134" s="1" t="e">
        <f t="shared" ca="1" si="0"/>
        <v>#NAME?</v>
      </c>
    </row>
    <row r="135" spans="2:6" ht="12.75">
      <c r="B135" s="1" t="s">
        <v>4743</v>
      </c>
      <c r="C135" s="1" t="s">
        <v>4743</v>
      </c>
      <c r="D135" s="1" t="str">
        <f ca="1">IFERROR(__xludf.DUMMYFUNCTION("iferror(SPLIT(C135,""=""))"),"")</f>
        <v/>
      </c>
      <c r="F135" s="1" t="e">
        <f t="shared" ca="1" si="0"/>
        <v>#NAME?</v>
      </c>
    </row>
    <row r="136" spans="2:6" ht="12.75">
      <c r="B136" s="1" t="s">
        <v>4743</v>
      </c>
      <c r="C136" s="1" t="s">
        <v>4743</v>
      </c>
      <c r="D136" s="1" t="str">
        <f ca="1">IFERROR(__xludf.DUMMYFUNCTION("iferror(SPLIT(C136,""=""))"),"")</f>
        <v/>
      </c>
      <c r="F136" s="1" t="e">
        <f t="shared" ca="1" si="0"/>
        <v>#NAME?</v>
      </c>
    </row>
    <row r="137" spans="2:6" ht="12.75">
      <c r="B137" s="1" t="s">
        <v>4743</v>
      </c>
      <c r="C137" s="1" t="s">
        <v>4743</v>
      </c>
      <c r="D137" s="1" t="str">
        <f ca="1">IFERROR(__xludf.DUMMYFUNCTION("iferror(SPLIT(C137,""=""))"),"")</f>
        <v/>
      </c>
      <c r="F137" s="1" t="e">
        <f t="shared" ca="1" si="0"/>
        <v>#NAME?</v>
      </c>
    </row>
    <row r="138" spans="2:6" ht="12.75">
      <c r="B138" s="1" t="s">
        <v>4743</v>
      </c>
      <c r="C138" s="1" t="s">
        <v>4743</v>
      </c>
      <c r="D138" s="1" t="str">
        <f ca="1">IFERROR(__xludf.DUMMYFUNCTION("iferror(SPLIT(C138,""=""))"),"")</f>
        <v/>
      </c>
      <c r="F138" s="1" t="e">
        <f t="shared" ca="1" si="0"/>
        <v>#NAME?</v>
      </c>
    </row>
    <row r="139" spans="2:6" ht="12.75">
      <c r="B139" s="1" t="s">
        <v>4743</v>
      </c>
      <c r="C139" s="1" t="s">
        <v>4743</v>
      </c>
      <c r="D139" s="1" t="str">
        <f ca="1">IFERROR(__xludf.DUMMYFUNCTION("iferror(SPLIT(C139,""=""))"),"")</f>
        <v/>
      </c>
      <c r="F139" s="1" t="e">
        <f t="shared" ca="1" si="0"/>
        <v>#NAME?</v>
      </c>
    </row>
    <row r="140" spans="2:6" ht="12.75">
      <c r="B140" s="1" t="s">
        <v>4743</v>
      </c>
      <c r="C140" s="1" t="s">
        <v>4743</v>
      </c>
      <c r="D140" s="1" t="str">
        <f ca="1">IFERROR(__xludf.DUMMYFUNCTION("iferror(SPLIT(C140,""=""))"),"")</f>
        <v/>
      </c>
      <c r="F140" s="1" t="e">
        <f t="shared" ca="1" si="0"/>
        <v>#NAME?</v>
      </c>
    </row>
    <row r="141" spans="2:6" ht="12.75">
      <c r="B141" s="1" t="s">
        <v>4743</v>
      </c>
      <c r="C141" s="1" t="s">
        <v>4743</v>
      </c>
      <c r="D141" s="1" t="str">
        <f ca="1">IFERROR(__xludf.DUMMYFUNCTION("iferror(SPLIT(C141,""=""))"),"")</f>
        <v/>
      </c>
      <c r="F141" s="1" t="e">
        <f t="shared" ca="1" si="0"/>
        <v>#NAME?</v>
      </c>
    </row>
    <row r="142" spans="2:6" ht="12.75">
      <c r="B142" s="1" t="s">
        <v>4743</v>
      </c>
      <c r="C142" s="1" t="s">
        <v>4743</v>
      </c>
      <c r="D142" s="1" t="str">
        <f ca="1">IFERROR(__xludf.DUMMYFUNCTION("iferror(SPLIT(C142,""=""))"),"")</f>
        <v/>
      </c>
      <c r="F142" s="1" t="e">
        <f t="shared" ca="1" si="0"/>
        <v>#NAME?</v>
      </c>
    </row>
    <row r="143" spans="2:6" ht="12.75">
      <c r="B143" s="1" t="s">
        <v>4743</v>
      </c>
      <c r="C143" s="1" t="s">
        <v>4743</v>
      </c>
      <c r="D143" s="1" t="str">
        <f ca="1">IFERROR(__xludf.DUMMYFUNCTION("iferror(SPLIT(C143,""=""))"),"")</f>
        <v/>
      </c>
      <c r="F143" s="1" t="e">
        <f t="shared" ca="1" si="0"/>
        <v>#NAME?</v>
      </c>
    </row>
    <row r="144" spans="2:6" ht="12.75">
      <c r="B144" s="1" t="s">
        <v>4743</v>
      </c>
      <c r="C144" s="1" t="s">
        <v>4743</v>
      </c>
      <c r="D144" s="1" t="str">
        <f ca="1">IFERROR(__xludf.DUMMYFUNCTION("iferror(SPLIT(C144,""=""))"),"")</f>
        <v/>
      </c>
      <c r="F144" s="1" t="e">
        <f t="shared" ca="1" si="0"/>
        <v>#NAME?</v>
      </c>
    </row>
    <row r="145" spans="2:6" ht="12.75">
      <c r="B145" s="1" t="s">
        <v>4743</v>
      </c>
      <c r="C145" s="1" t="s">
        <v>4743</v>
      </c>
      <c r="D145" s="1" t="str">
        <f ca="1">IFERROR(__xludf.DUMMYFUNCTION("iferror(SPLIT(C145,""=""))"),"")</f>
        <v/>
      </c>
      <c r="F145" s="1" t="e">
        <f t="shared" ca="1" si="0"/>
        <v>#NAME?</v>
      </c>
    </row>
    <row r="146" spans="2:6" ht="12.75">
      <c r="B146" s="1" t="s">
        <v>4743</v>
      </c>
      <c r="C146" s="1" t="s">
        <v>4743</v>
      </c>
      <c r="D146" s="1" t="str">
        <f ca="1">IFERROR(__xludf.DUMMYFUNCTION("iferror(SPLIT(C146,""=""))"),"")</f>
        <v/>
      </c>
      <c r="F146" s="1" t="e">
        <f t="shared" ca="1" si="0"/>
        <v>#NAME?</v>
      </c>
    </row>
    <row r="147" spans="2:6" ht="12.75">
      <c r="B147" s="1" t="s">
        <v>4743</v>
      </c>
      <c r="C147" s="1" t="s">
        <v>4743</v>
      </c>
      <c r="D147" s="1" t="str">
        <f ca="1">IFERROR(__xludf.DUMMYFUNCTION("iferror(SPLIT(C147,""=""))"),"")</f>
        <v/>
      </c>
      <c r="F147" s="1" t="e">
        <f t="shared" ca="1" si="0"/>
        <v>#NAME?</v>
      </c>
    </row>
    <row r="148" spans="2:6" ht="12.75">
      <c r="B148" s="1" t="s">
        <v>4743</v>
      </c>
      <c r="C148" s="1" t="s">
        <v>4743</v>
      </c>
      <c r="D148" s="1" t="str">
        <f ca="1">IFERROR(__xludf.DUMMYFUNCTION("iferror(SPLIT(C148,""=""))"),"")</f>
        <v/>
      </c>
      <c r="F148" s="1" t="e">
        <f t="shared" ca="1" si="0"/>
        <v>#NAME?</v>
      </c>
    </row>
    <row r="149" spans="2:6" ht="12.75">
      <c r="B149" s="1" t="s">
        <v>4743</v>
      </c>
      <c r="C149" s="1" t="s">
        <v>4743</v>
      </c>
      <c r="D149" s="1" t="str">
        <f ca="1">IFERROR(__xludf.DUMMYFUNCTION("iferror(SPLIT(C149,""=""))"),"")</f>
        <v/>
      </c>
      <c r="F149" s="1" t="e">
        <f t="shared" ca="1" si="0"/>
        <v>#NAME?</v>
      </c>
    </row>
    <row r="150" spans="2:6" ht="12.75">
      <c r="B150" s="1" t="s">
        <v>4743</v>
      </c>
      <c r="C150" s="1" t="s">
        <v>4743</v>
      </c>
      <c r="D150" s="1" t="str">
        <f ca="1">IFERROR(__xludf.DUMMYFUNCTION("iferror(SPLIT(C150,""=""))"),"")</f>
        <v/>
      </c>
      <c r="F150" s="1" t="e">
        <f t="shared" ca="1" si="0"/>
        <v>#NAME?</v>
      </c>
    </row>
    <row r="151" spans="2:6" ht="12.75">
      <c r="B151" s="1" t="s">
        <v>4743</v>
      </c>
      <c r="C151" s="1" t="s">
        <v>4743</v>
      </c>
      <c r="D151" s="1" t="str">
        <f ca="1">IFERROR(__xludf.DUMMYFUNCTION("iferror(SPLIT(C151,""=""))"),"")</f>
        <v/>
      </c>
      <c r="F151" s="1" t="e">
        <f t="shared" ca="1" si="0"/>
        <v>#NAME?</v>
      </c>
    </row>
    <row r="152" spans="2:6" ht="12.75">
      <c r="B152" s="1" t="s">
        <v>4743</v>
      </c>
      <c r="C152" s="1" t="s">
        <v>4743</v>
      </c>
      <c r="D152" s="1" t="str">
        <f ca="1">IFERROR(__xludf.DUMMYFUNCTION("iferror(SPLIT(C152,""=""))"),"")</f>
        <v/>
      </c>
      <c r="F152" s="1" t="e">
        <f t="shared" ca="1" si="0"/>
        <v>#NAME?</v>
      </c>
    </row>
    <row r="153" spans="2:6" ht="12.75">
      <c r="B153" s="1" t="s">
        <v>4743</v>
      </c>
      <c r="C153" s="1" t="s">
        <v>4743</v>
      </c>
      <c r="D153" s="1" t="str">
        <f ca="1">IFERROR(__xludf.DUMMYFUNCTION("iferror(SPLIT(C153,""=""))"),"")</f>
        <v/>
      </c>
      <c r="F153" s="1" t="e">
        <f t="shared" ca="1" si="0"/>
        <v>#NAME?</v>
      </c>
    </row>
    <row r="154" spans="2:6" ht="12.75">
      <c r="B154" s="1" t="s">
        <v>4743</v>
      </c>
      <c r="C154" s="1" t="s">
        <v>4743</v>
      </c>
      <c r="D154" s="1" t="str">
        <f ca="1">IFERROR(__xludf.DUMMYFUNCTION("iferror(SPLIT(C154,""=""))"),"")</f>
        <v/>
      </c>
      <c r="F154" s="1" t="e">
        <f t="shared" ca="1" si="0"/>
        <v>#NAME?</v>
      </c>
    </row>
    <row r="155" spans="2:6" ht="12.75">
      <c r="B155" s="1" t="s">
        <v>4743</v>
      </c>
      <c r="C155" s="1" t="s">
        <v>4743</v>
      </c>
      <c r="D155" s="1" t="str">
        <f ca="1">IFERROR(__xludf.DUMMYFUNCTION("iferror(SPLIT(C155,""=""))"),"")</f>
        <v/>
      </c>
      <c r="F155" s="1" t="e">
        <f t="shared" ca="1" si="0"/>
        <v>#NAME?</v>
      </c>
    </row>
    <row r="156" spans="2:6" ht="12.75">
      <c r="B156" s="1" t="s">
        <v>4743</v>
      </c>
      <c r="C156" s="1" t="s">
        <v>4743</v>
      </c>
      <c r="D156" s="1" t="str">
        <f ca="1">IFERROR(__xludf.DUMMYFUNCTION("iferror(SPLIT(C156,""=""))"),"")</f>
        <v/>
      </c>
      <c r="F156" s="1" t="e">
        <f t="shared" ca="1" si="0"/>
        <v>#NAME?</v>
      </c>
    </row>
    <row r="157" spans="2:6" ht="12.75">
      <c r="B157" s="1" t="s">
        <v>4743</v>
      </c>
      <c r="C157" s="1" t="s">
        <v>4743</v>
      </c>
      <c r="D157" s="1" t="str">
        <f ca="1">IFERROR(__xludf.DUMMYFUNCTION("iferror(SPLIT(C157,""=""))"),"")</f>
        <v/>
      </c>
      <c r="F157" s="1" t="e">
        <f t="shared" ca="1" si="0"/>
        <v>#NAME?</v>
      </c>
    </row>
    <row r="158" spans="2:6" ht="12.75">
      <c r="B158" s="1" t="s">
        <v>4743</v>
      </c>
      <c r="C158" s="1" t="s">
        <v>4743</v>
      </c>
      <c r="D158" s="1" t="str">
        <f ca="1">IFERROR(__xludf.DUMMYFUNCTION("iferror(SPLIT(C158,""=""))"),"")</f>
        <v/>
      </c>
      <c r="F158" s="1" t="e">
        <f t="shared" ca="1" si="0"/>
        <v>#NAME?</v>
      </c>
    </row>
    <row r="159" spans="2:6" ht="12.75">
      <c r="B159" s="1" t="s">
        <v>4743</v>
      </c>
      <c r="C159" s="1" t="s">
        <v>4743</v>
      </c>
      <c r="D159" s="1" t="str">
        <f ca="1">IFERROR(__xludf.DUMMYFUNCTION("iferror(SPLIT(C159,""=""))"),"")</f>
        <v/>
      </c>
      <c r="F159" s="1" t="e">
        <f t="shared" ca="1" si="0"/>
        <v>#NAME?</v>
      </c>
    </row>
    <row r="160" spans="2:6" ht="12.75">
      <c r="B160" s="1" t="s">
        <v>4743</v>
      </c>
      <c r="C160" s="1" t="s">
        <v>4743</v>
      </c>
      <c r="D160" s="1" t="str">
        <f ca="1">IFERROR(__xludf.DUMMYFUNCTION("iferror(SPLIT(C160,""=""))"),"")</f>
        <v/>
      </c>
      <c r="F160" s="1" t="e">
        <f t="shared" ca="1" si="0"/>
        <v>#NAME?</v>
      </c>
    </row>
    <row r="161" spans="2:6" ht="12.75">
      <c r="B161" s="1" t="s">
        <v>4743</v>
      </c>
      <c r="C161" s="1" t="s">
        <v>4743</v>
      </c>
      <c r="D161" s="1" t="str">
        <f ca="1">IFERROR(__xludf.DUMMYFUNCTION("iferror(SPLIT(C161,""=""))"),"")</f>
        <v/>
      </c>
      <c r="F161" s="1" t="e">
        <f t="shared" ca="1" si="0"/>
        <v>#NAME?</v>
      </c>
    </row>
    <row r="162" spans="2:6" ht="12.75">
      <c r="B162" s="1" t="s">
        <v>4743</v>
      </c>
      <c r="C162" s="1" t="s">
        <v>4743</v>
      </c>
      <c r="D162" s="1" t="str">
        <f ca="1">IFERROR(__xludf.DUMMYFUNCTION("iferror(SPLIT(C162,""=""))"),"")</f>
        <v/>
      </c>
      <c r="F162" s="1" t="e">
        <f t="shared" ca="1" si="0"/>
        <v>#NAME?</v>
      </c>
    </row>
    <row r="163" spans="2:6" ht="12.75">
      <c r="B163" s="1" t="s">
        <v>4743</v>
      </c>
      <c r="C163" s="1" t="s">
        <v>4743</v>
      </c>
      <c r="D163" s="1" t="str">
        <f ca="1">IFERROR(__xludf.DUMMYFUNCTION("iferror(SPLIT(C163,""=""))"),"")</f>
        <v/>
      </c>
      <c r="F163" s="1" t="e">
        <f t="shared" ca="1" si="0"/>
        <v>#NAME?</v>
      </c>
    </row>
    <row r="164" spans="2:6" ht="12.75">
      <c r="B164" s="1" t="s">
        <v>4743</v>
      </c>
      <c r="C164" s="1" t="s">
        <v>4743</v>
      </c>
      <c r="D164" s="1" t="str">
        <f ca="1">IFERROR(__xludf.DUMMYFUNCTION("iferror(SPLIT(C164,""=""))"),"")</f>
        <v/>
      </c>
      <c r="F164" s="1" t="e">
        <f t="shared" ca="1" si="0"/>
        <v>#NAME?</v>
      </c>
    </row>
    <row r="165" spans="2:6" ht="12.75">
      <c r="B165" s="1" t="s">
        <v>4743</v>
      </c>
      <c r="C165" s="1" t="s">
        <v>4743</v>
      </c>
      <c r="D165" s="1" t="str">
        <f ca="1">IFERROR(__xludf.DUMMYFUNCTION("iferror(SPLIT(C165,""=""))"),"")</f>
        <v/>
      </c>
      <c r="F165" s="1" t="e">
        <f t="shared" ca="1" si="0"/>
        <v>#NAME?</v>
      </c>
    </row>
    <row r="166" spans="2:6" ht="12.75">
      <c r="B166" s="1" t="s">
        <v>4743</v>
      </c>
      <c r="C166" s="1" t="s">
        <v>4743</v>
      </c>
      <c r="D166" s="1" t="str">
        <f ca="1">IFERROR(__xludf.DUMMYFUNCTION("iferror(SPLIT(C166,""=""))"),"")</f>
        <v/>
      </c>
      <c r="F166" s="1" t="e">
        <f t="shared" ca="1" si="0"/>
        <v>#NAME?</v>
      </c>
    </row>
    <row r="167" spans="2:6" ht="12.75">
      <c r="B167" s="1" t="s">
        <v>4743</v>
      </c>
      <c r="C167" s="1" t="s">
        <v>4743</v>
      </c>
      <c r="D167" s="1" t="str">
        <f ca="1">IFERROR(__xludf.DUMMYFUNCTION("iferror(SPLIT(C167,""=""))"),"")</f>
        <v/>
      </c>
      <c r="F167" s="1" t="e">
        <f t="shared" ca="1" si="0"/>
        <v>#NAME?</v>
      </c>
    </row>
    <row r="168" spans="2:6" ht="12.75">
      <c r="B168" s="1" t="s">
        <v>4743</v>
      </c>
      <c r="C168" s="1" t="s">
        <v>4743</v>
      </c>
      <c r="D168" s="1" t="str">
        <f ca="1">IFERROR(__xludf.DUMMYFUNCTION("iferror(SPLIT(C168,""=""))"),"")</f>
        <v/>
      </c>
      <c r="F168" s="1" t="e">
        <f t="shared" ca="1" si="0"/>
        <v>#NAME?</v>
      </c>
    </row>
    <row r="169" spans="2:6" ht="12.75">
      <c r="B169" s="1" t="s">
        <v>4743</v>
      </c>
      <c r="C169" s="1" t="s">
        <v>4743</v>
      </c>
      <c r="D169" s="1" t="str">
        <f ca="1">IFERROR(__xludf.DUMMYFUNCTION("iferror(SPLIT(C169,""=""))"),"")</f>
        <v/>
      </c>
      <c r="F169" s="1" t="e">
        <f t="shared" ca="1" si="0"/>
        <v>#NAME?</v>
      </c>
    </row>
    <row r="170" spans="2:6" ht="12.75">
      <c r="B170" s="1" t="s">
        <v>4743</v>
      </c>
      <c r="C170" s="1" t="s">
        <v>4743</v>
      </c>
      <c r="D170" s="1" t="str">
        <f ca="1">IFERROR(__xludf.DUMMYFUNCTION("iferror(SPLIT(C170,""=""))"),"")</f>
        <v/>
      </c>
      <c r="F170" s="1" t="e">
        <f t="shared" ca="1" si="0"/>
        <v>#NAME?</v>
      </c>
    </row>
    <row r="171" spans="2:6" ht="12.75">
      <c r="B171" s="1" t="s">
        <v>4743</v>
      </c>
      <c r="C171" s="1" t="s">
        <v>4743</v>
      </c>
      <c r="D171" s="1" t="str">
        <f ca="1">IFERROR(__xludf.DUMMYFUNCTION("iferror(SPLIT(C171,""=""))"),"")</f>
        <v/>
      </c>
      <c r="F171" s="1" t="e">
        <f t="shared" ca="1" si="0"/>
        <v>#NAME?</v>
      </c>
    </row>
    <row r="172" spans="2:6" ht="12.75">
      <c r="B172" s="1" t="s">
        <v>4743</v>
      </c>
      <c r="C172" s="1" t="s">
        <v>4743</v>
      </c>
      <c r="D172" s="1" t="str">
        <f ca="1">IFERROR(__xludf.DUMMYFUNCTION("iferror(SPLIT(C172,""=""))"),"")</f>
        <v/>
      </c>
      <c r="F172" s="1" t="e">
        <f t="shared" ca="1" si="0"/>
        <v>#NAME?</v>
      </c>
    </row>
    <row r="173" spans="2:6" ht="12.75">
      <c r="B173" s="1" t="s">
        <v>4743</v>
      </c>
      <c r="C173" s="1" t="s">
        <v>4743</v>
      </c>
      <c r="D173" s="1" t="str">
        <f ca="1">IFERROR(__xludf.DUMMYFUNCTION("iferror(SPLIT(C173,""=""))"),"")</f>
        <v/>
      </c>
      <c r="F173" s="1" t="e">
        <f t="shared" ca="1" si="0"/>
        <v>#NAME?</v>
      </c>
    </row>
    <row r="174" spans="2:6" ht="12.75">
      <c r="B174" s="1" t="s">
        <v>4743</v>
      </c>
      <c r="C174" s="1" t="s">
        <v>4743</v>
      </c>
      <c r="D174" s="1" t="str">
        <f ca="1">IFERROR(__xludf.DUMMYFUNCTION("iferror(SPLIT(C174,""=""))"),"")</f>
        <v/>
      </c>
      <c r="F174" s="1" t="e">
        <f t="shared" ca="1" si="0"/>
        <v>#NAME?</v>
      </c>
    </row>
    <row r="175" spans="2:6" ht="12.75">
      <c r="B175" s="1" t="s">
        <v>4743</v>
      </c>
      <c r="C175" s="1" t="s">
        <v>4743</v>
      </c>
      <c r="D175" s="1" t="str">
        <f ca="1">IFERROR(__xludf.DUMMYFUNCTION("iferror(SPLIT(C175,""=""))"),"")</f>
        <v/>
      </c>
      <c r="F175" s="1" t="e">
        <f t="shared" ca="1" si="0"/>
        <v>#NAME?</v>
      </c>
    </row>
    <row r="176" spans="2:6" ht="12.75">
      <c r="B176" s="1" t="s">
        <v>4743</v>
      </c>
      <c r="C176" s="1" t="s">
        <v>4743</v>
      </c>
      <c r="D176" s="1" t="str">
        <f ca="1">IFERROR(__xludf.DUMMYFUNCTION("iferror(SPLIT(C176,""=""))"),"")</f>
        <v/>
      </c>
      <c r="F176" s="1" t="e">
        <f t="shared" ca="1" si="0"/>
        <v>#NAME?</v>
      </c>
    </row>
    <row r="177" spans="2:6" ht="12.75">
      <c r="B177" s="1" t="s">
        <v>4743</v>
      </c>
      <c r="C177" s="1" t="s">
        <v>4743</v>
      </c>
      <c r="D177" s="1" t="str">
        <f ca="1">IFERROR(__xludf.DUMMYFUNCTION("iferror(SPLIT(C177,""=""))"),"")</f>
        <v/>
      </c>
      <c r="F177" s="1" t="e">
        <f t="shared" ca="1" si="0"/>
        <v>#NAME?</v>
      </c>
    </row>
    <row r="178" spans="2:6" ht="12.75">
      <c r="B178" s="1" t="s">
        <v>4743</v>
      </c>
      <c r="C178" s="1" t="s">
        <v>4743</v>
      </c>
      <c r="D178" s="1" t="str">
        <f ca="1">IFERROR(__xludf.DUMMYFUNCTION("iferror(SPLIT(C178,""=""))"),"")</f>
        <v/>
      </c>
      <c r="F178" s="1" t="e">
        <f t="shared" ca="1" si="0"/>
        <v>#NAME?</v>
      </c>
    </row>
    <row r="179" spans="2:6" ht="12.75">
      <c r="B179" s="1" t="s">
        <v>4743</v>
      </c>
      <c r="C179" s="1" t="s">
        <v>4743</v>
      </c>
      <c r="D179" s="1" t="str">
        <f ca="1">IFERROR(__xludf.DUMMYFUNCTION("iferror(SPLIT(C179,""=""))"),"")</f>
        <v/>
      </c>
      <c r="F179" s="1" t="e">
        <f t="shared" ca="1" si="0"/>
        <v>#NAME?</v>
      </c>
    </row>
    <row r="180" spans="2:6" ht="12.75">
      <c r="B180" s="1" t="s">
        <v>4743</v>
      </c>
      <c r="C180" s="1" t="s">
        <v>4743</v>
      </c>
      <c r="D180" s="1" t="str">
        <f ca="1">IFERROR(__xludf.DUMMYFUNCTION("iferror(SPLIT(C180,""=""))"),"")</f>
        <v/>
      </c>
      <c r="F180" s="1" t="e">
        <f t="shared" ca="1" si="0"/>
        <v>#NAME?</v>
      </c>
    </row>
    <row r="181" spans="2:6" ht="12.75">
      <c r="B181" s="1" t="s">
        <v>4743</v>
      </c>
      <c r="C181" s="1" t="s">
        <v>4743</v>
      </c>
      <c r="D181" s="1" t="str">
        <f ca="1">IFERROR(__xludf.DUMMYFUNCTION("iferror(SPLIT(C181,""=""))"),"")</f>
        <v/>
      </c>
      <c r="F181" s="1" t="e">
        <f t="shared" ca="1" si="0"/>
        <v>#NAME?</v>
      </c>
    </row>
    <row r="182" spans="2:6" ht="12.75">
      <c r="B182" s="1" t="s">
        <v>4743</v>
      </c>
      <c r="C182" s="1" t="s">
        <v>4743</v>
      </c>
      <c r="D182" s="1" t="str">
        <f ca="1">IFERROR(__xludf.DUMMYFUNCTION("iferror(SPLIT(C182,""=""))"),"")</f>
        <v/>
      </c>
      <c r="F182" s="1" t="e">
        <f t="shared" ca="1" si="0"/>
        <v>#NAME?</v>
      </c>
    </row>
    <row r="183" spans="2:6" ht="12.75">
      <c r="B183" s="1" t="s">
        <v>4743</v>
      </c>
      <c r="C183" s="1" t="s">
        <v>4743</v>
      </c>
      <c r="D183" s="1" t="str">
        <f ca="1">IFERROR(__xludf.DUMMYFUNCTION("iferror(SPLIT(C183,""=""))"),"")</f>
        <v/>
      </c>
      <c r="F183" s="1" t="e">
        <f t="shared" ca="1" si="0"/>
        <v>#NAME?</v>
      </c>
    </row>
    <row r="184" spans="2:6" ht="12.75">
      <c r="B184" s="1" t="s">
        <v>4743</v>
      </c>
      <c r="C184" s="1" t="s">
        <v>4743</v>
      </c>
      <c r="D184" s="1" t="str">
        <f ca="1">IFERROR(__xludf.DUMMYFUNCTION("iferror(SPLIT(C184,""=""))"),"")</f>
        <v/>
      </c>
      <c r="F184" s="1" t="e">
        <f t="shared" ca="1" si="0"/>
        <v>#NAME?</v>
      </c>
    </row>
    <row r="185" spans="2:6" ht="12.75">
      <c r="B185" s="1" t="s">
        <v>4743</v>
      </c>
      <c r="C185" s="1" t="s">
        <v>4743</v>
      </c>
      <c r="D185" s="1" t="str">
        <f ca="1">IFERROR(__xludf.DUMMYFUNCTION("iferror(SPLIT(C185,""=""))"),"")</f>
        <v/>
      </c>
      <c r="F185" s="1" t="e">
        <f t="shared" ca="1" si="0"/>
        <v>#NAME?</v>
      </c>
    </row>
    <row r="186" spans="2:6" ht="12.75">
      <c r="B186" s="1" t="s">
        <v>4743</v>
      </c>
      <c r="C186" s="1" t="s">
        <v>4743</v>
      </c>
      <c r="D186" s="1" t="str">
        <f ca="1">IFERROR(__xludf.DUMMYFUNCTION("iferror(SPLIT(C186,""=""))"),"")</f>
        <v/>
      </c>
      <c r="F186" s="1" t="e">
        <f t="shared" ca="1" si="0"/>
        <v>#NAME?</v>
      </c>
    </row>
    <row r="187" spans="2:6" ht="12.75">
      <c r="B187" s="1" t="s">
        <v>4743</v>
      </c>
      <c r="C187" s="1" t="s">
        <v>4743</v>
      </c>
      <c r="D187" s="1" t="str">
        <f ca="1">IFERROR(__xludf.DUMMYFUNCTION("iferror(SPLIT(C187,""=""))"),"")</f>
        <v/>
      </c>
      <c r="F187" s="1" t="e">
        <f t="shared" ca="1" si="0"/>
        <v>#NAME?</v>
      </c>
    </row>
    <row r="188" spans="2:6" ht="12.75">
      <c r="B188" s="1" t="s">
        <v>4743</v>
      </c>
      <c r="C188" s="1" t="s">
        <v>4743</v>
      </c>
      <c r="D188" s="1" t="str">
        <f ca="1">IFERROR(__xludf.DUMMYFUNCTION("iferror(SPLIT(C188,""=""))"),"")</f>
        <v/>
      </c>
      <c r="F188" s="1" t="e">
        <f t="shared" ca="1" si="0"/>
        <v>#NAME?</v>
      </c>
    </row>
    <row r="189" spans="2:6" ht="12.75">
      <c r="B189" s="1" t="s">
        <v>4743</v>
      </c>
      <c r="C189" s="1" t="s">
        <v>4743</v>
      </c>
      <c r="D189" s="1" t="str">
        <f ca="1">IFERROR(__xludf.DUMMYFUNCTION("iferror(SPLIT(C189,""=""))"),"")</f>
        <v/>
      </c>
      <c r="F189" s="1" t="e">
        <f t="shared" ca="1" si="0"/>
        <v>#NAME?</v>
      </c>
    </row>
    <row r="190" spans="2:6" ht="12.75">
      <c r="B190" s="1" t="s">
        <v>4743</v>
      </c>
      <c r="C190" s="1" t="s">
        <v>4743</v>
      </c>
      <c r="D190" s="1" t="str">
        <f ca="1">IFERROR(__xludf.DUMMYFUNCTION("iferror(SPLIT(C190,""=""))"),"")</f>
        <v/>
      </c>
      <c r="F190" s="1" t="e">
        <f t="shared" ca="1" si="0"/>
        <v>#NAME?</v>
      </c>
    </row>
    <row r="191" spans="2:6" ht="12.75">
      <c r="B191" s="1" t="s">
        <v>4743</v>
      </c>
      <c r="C191" s="1" t="s">
        <v>4743</v>
      </c>
      <c r="D191" s="1" t="str">
        <f ca="1">IFERROR(__xludf.DUMMYFUNCTION("iferror(SPLIT(C191,""=""))"),"")</f>
        <v/>
      </c>
      <c r="F191" s="1" t="e">
        <f t="shared" ca="1" si="0"/>
        <v>#NAME?</v>
      </c>
    </row>
    <row r="192" spans="2:6" ht="12.75">
      <c r="B192" s="1" t="s">
        <v>4743</v>
      </c>
      <c r="C192" s="1" t="s">
        <v>4743</v>
      </c>
      <c r="D192" s="1" t="str">
        <f ca="1">IFERROR(__xludf.DUMMYFUNCTION("iferror(SPLIT(C192,""=""))"),"")</f>
        <v/>
      </c>
      <c r="F192" s="1" t="e">
        <f t="shared" ca="1" si="0"/>
        <v>#NAME?</v>
      </c>
    </row>
    <row r="193" spans="2:6" ht="12.75">
      <c r="B193" s="1" t="s">
        <v>4743</v>
      </c>
      <c r="C193" s="1" t="s">
        <v>4743</v>
      </c>
      <c r="D193" s="1" t="str">
        <f ca="1">IFERROR(__xludf.DUMMYFUNCTION("iferror(SPLIT(C193,""=""))"),"")</f>
        <v/>
      </c>
      <c r="F193" s="1" t="e">
        <f t="shared" ca="1" si="0"/>
        <v>#NAME?</v>
      </c>
    </row>
    <row r="194" spans="2:6" ht="12.75">
      <c r="B194" s="1" t="s">
        <v>4743</v>
      </c>
      <c r="C194" s="1" t="s">
        <v>4743</v>
      </c>
      <c r="D194" s="1" t="str">
        <f ca="1">IFERROR(__xludf.DUMMYFUNCTION("iferror(SPLIT(C194,""=""))"),"")</f>
        <v/>
      </c>
      <c r="F194" s="1" t="e">
        <f t="shared" ca="1" si="0"/>
        <v>#NAME?</v>
      </c>
    </row>
    <row r="195" spans="2:6" ht="12.75">
      <c r="B195" s="1" t="s">
        <v>4743</v>
      </c>
      <c r="C195" s="1" t="s">
        <v>4743</v>
      </c>
      <c r="D195" s="1" t="str">
        <f ca="1">IFERROR(__xludf.DUMMYFUNCTION("iferror(SPLIT(C195,""=""))"),"")</f>
        <v/>
      </c>
      <c r="F195" s="1" t="e">
        <f t="shared" ca="1" si="0"/>
        <v>#NAME?</v>
      </c>
    </row>
    <row r="196" spans="2:6" ht="12.75">
      <c r="B196" s="1" t="s">
        <v>4743</v>
      </c>
      <c r="C196" s="1" t="s">
        <v>4743</v>
      </c>
      <c r="D196" s="1" t="str">
        <f ca="1">IFERROR(__xludf.DUMMYFUNCTION("iferror(SPLIT(C196,""=""))"),"")</f>
        <v/>
      </c>
      <c r="F196" s="1" t="e">
        <f t="shared" ca="1" si="0"/>
        <v>#NAME?</v>
      </c>
    </row>
    <row r="197" spans="2:6" ht="12.75">
      <c r="B197" s="1" t="s">
        <v>4743</v>
      </c>
      <c r="C197" s="1" t="s">
        <v>4743</v>
      </c>
      <c r="D197" s="1" t="str">
        <f ca="1">IFERROR(__xludf.DUMMYFUNCTION("iferror(SPLIT(C197,""=""))"),"")</f>
        <v/>
      </c>
      <c r="F197" s="1" t="e">
        <f t="shared" ca="1" si="0"/>
        <v>#NAME?</v>
      </c>
    </row>
    <row r="198" spans="2:6" ht="12.75">
      <c r="B198" s="1" t="s">
        <v>4743</v>
      </c>
      <c r="C198" s="1" t="s">
        <v>4743</v>
      </c>
      <c r="D198" s="1" t="str">
        <f ca="1">IFERROR(__xludf.DUMMYFUNCTION("iferror(SPLIT(C198,""=""))"),"")</f>
        <v/>
      </c>
      <c r="F198" s="1" t="e">
        <f t="shared" ca="1" si="0"/>
        <v>#NAME?</v>
      </c>
    </row>
    <row r="199" spans="2:6" ht="12.75">
      <c r="B199" s="1" t="s">
        <v>4743</v>
      </c>
      <c r="C199" s="1" t="s">
        <v>4743</v>
      </c>
      <c r="D199" s="1" t="str">
        <f ca="1">IFERROR(__xludf.DUMMYFUNCTION("iferror(SPLIT(C199,""=""))"),"")</f>
        <v/>
      </c>
      <c r="F199" s="1" t="e">
        <f t="shared" ca="1" si="0"/>
        <v>#NAME?</v>
      </c>
    </row>
    <row r="200" spans="2:6" ht="12.75">
      <c r="B200" s="1" t="s">
        <v>4743</v>
      </c>
      <c r="C200" s="1" t="s">
        <v>4743</v>
      </c>
      <c r="D200" s="1" t="str">
        <f ca="1">IFERROR(__xludf.DUMMYFUNCTION("iferror(SPLIT(C200,""=""))"),"")</f>
        <v/>
      </c>
      <c r="F200" s="1" t="e">
        <f t="shared" ca="1" si="0"/>
        <v>#NAME?</v>
      </c>
    </row>
    <row r="201" spans="2:6" ht="12.75">
      <c r="B201" s="1" t="s">
        <v>4743</v>
      </c>
      <c r="C201" s="1" t="s">
        <v>4743</v>
      </c>
      <c r="D201" s="1" t="str">
        <f ca="1">IFERROR(__xludf.DUMMYFUNCTION("iferror(SPLIT(C201,""=""))"),"")</f>
        <v/>
      </c>
      <c r="F201" s="1" t="e">
        <f t="shared" ca="1" si="0"/>
        <v>#NAME?</v>
      </c>
    </row>
    <row r="202" spans="2:6" ht="12.75">
      <c r="B202" s="1" t="s">
        <v>4743</v>
      </c>
      <c r="C202" s="1" t="s">
        <v>4743</v>
      </c>
      <c r="D202" s="1" t="str">
        <f ca="1">IFERROR(__xludf.DUMMYFUNCTION("iferror(SPLIT(C202,""=""))"),"")</f>
        <v/>
      </c>
      <c r="F202" s="1" t="e">
        <f t="shared" ca="1" si="0"/>
        <v>#NAME?</v>
      </c>
    </row>
    <row r="203" spans="2:6" ht="12.75">
      <c r="B203" s="1" t="s">
        <v>4743</v>
      </c>
      <c r="C203" s="1" t="s">
        <v>4743</v>
      </c>
      <c r="D203" s="1" t="str">
        <f ca="1">IFERROR(__xludf.DUMMYFUNCTION("iferror(SPLIT(C203,""=""))"),"")</f>
        <v/>
      </c>
      <c r="F203" s="1" t="e">
        <f t="shared" ca="1" si="0"/>
        <v>#NAME?</v>
      </c>
    </row>
    <row r="204" spans="2:6" ht="12.75">
      <c r="B204" s="1" t="s">
        <v>4743</v>
      </c>
      <c r="C204" s="1" t="s">
        <v>4743</v>
      </c>
      <c r="D204" s="1" t="str">
        <f ca="1">IFERROR(__xludf.DUMMYFUNCTION("iferror(SPLIT(C204,""=""))"),"")</f>
        <v/>
      </c>
      <c r="F204" s="1" t="e">
        <f t="shared" ca="1" si="0"/>
        <v>#NAME?</v>
      </c>
    </row>
    <row r="205" spans="2:6" ht="12.75">
      <c r="B205" s="1" t="s">
        <v>4743</v>
      </c>
      <c r="C205" s="1" t="s">
        <v>4743</v>
      </c>
      <c r="D205" s="1" t="str">
        <f ca="1">IFERROR(__xludf.DUMMYFUNCTION("iferror(SPLIT(C205,""=""))"),"")</f>
        <v/>
      </c>
      <c r="F205" s="1" t="e">
        <f t="shared" ca="1" si="0"/>
        <v>#NAME?</v>
      </c>
    </row>
    <row r="206" spans="2:6" ht="12.75">
      <c r="B206" s="1" t="s">
        <v>4743</v>
      </c>
      <c r="C206" s="1" t="s">
        <v>4743</v>
      </c>
      <c r="D206" s="1" t="str">
        <f ca="1">IFERROR(__xludf.DUMMYFUNCTION("iferror(SPLIT(C206,""=""))"),"")</f>
        <v/>
      </c>
      <c r="F206" s="1" t="e">
        <f t="shared" ca="1" si="0"/>
        <v>#NAME?</v>
      </c>
    </row>
    <row r="207" spans="2:6" ht="12.75">
      <c r="B207" s="1" t="s">
        <v>4743</v>
      </c>
      <c r="C207" s="1" t="s">
        <v>4743</v>
      </c>
      <c r="D207" s="1" t="str">
        <f ca="1">IFERROR(__xludf.DUMMYFUNCTION("iferror(SPLIT(C207,""=""))"),"")</f>
        <v/>
      </c>
      <c r="F207" s="1" t="e">
        <f t="shared" ca="1" si="0"/>
        <v>#NAME?</v>
      </c>
    </row>
    <row r="208" spans="2:6" ht="12.75">
      <c r="B208" s="1" t="s">
        <v>4743</v>
      </c>
      <c r="C208" s="1" t="s">
        <v>4743</v>
      </c>
      <c r="D208" s="1" t="str">
        <f ca="1">IFERROR(__xludf.DUMMYFUNCTION("iferror(SPLIT(C208,""=""))"),"")</f>
        <v/>
      </c>
      <c r="F208" s="1" t="e">
        <f t="shared" ca="1" si="0"/>
        <v>#NAME?</v>
      </c>
    </row>
    <row r="209" spans="2:6" ht="12.75">
      <c r="B209" s="1" t="s">
        <v>4743</v>
      </c>
      <c r="C209" s="1" t="s">
        <v>4743</v>
      </c>
      <c r="D209" s="1" t="str">
        <f ca="1">IFERROR(__xludf.DUMMYFUNCTION("iferror(SPLIT(C209,""=""))"),"")</f>
        <v/>
      </c>
      <c r="F209" s="1" t="e">
        <f t="shared" ca="1" si="0"/>
        <v>#NAME?</v>
      </c>
    </row>
    <row r="210" spans="2:6" ht="12.75">
      <c r="B210" s="1" t="s">
        <v>4743</v>
      </c>
      <c r="C210" s="1" t="s">
        <v>4743</v>
      </c>
      <c r="D210" s="1" t="str">
        <f ca="1">IFERROR(__xludf.DUMMYFUNCTION("iferror(SPLIT(C210,""=""))"),"")</f>
        <v/>
      </c>
      <c r="F210" s="1" t="e">
        <f t="shared" ca="1" si="0"/>
        <v>#NAME?</v>
      </c>
    </row>
    <row r="211" spans="2:6" ht="12.75">
      <c r="B211" s="1" t="s">
        <v>4743</v>
      </c>
      <c r="C211" s="1" t="s">
        <v>4743</v>
      </c>
      <c r="D211" s="1" t="str">
        <f ca="1">IFERROR(__xludf.DUMMYFUNCTION("iferror(SPLIT(C211,""=""))"),"")</f>
        <v/>
      </c>
      <c r="F211" s="1" t="e">
        <f t="shared" ca="1" si="0"/>
        <v>#NAME?</v>
      </c>
    </row>
    <row r="212" spans="2:6" ht="12.75">
      <c r="B212" s="1" t="s">
        <v>4743</v>
      </c>
      <c r="C212" s="1" t="s">
        <v>4743</v>
      </c>
      <c r="D212" s="1" t="str">
        <f ca="1">IFERROR(__xludf.DUMMYFUNCTION("iferror(SPLIT(C212,""=""))"),"")</f>
        <v/>
      </c>
      <c r="F212" s="1" t="e">
        <f t="shared" ca="1" si="0"/>
        <v>#NAME?</v>
      </c>
    </row>
    <row r="213" spans="2:6" ht="12.75">
      <c r="B213" s="1" t="s">
        <v>4743</v>
      </c>
      <c r="C213" s="1" t="s">
        <v>4743</v>
      </c>
      <c r="D213" s="1" t="str">
        <f ca="1">IFERROR(__xludf.DUMMYFUNCTION("iferror(SPLIT(C213,""=""))"),"")</f>
        <v/>
      </c>
      <c r="F213" s="1" t="e">
        <f t="shared" ca="1" si="0"/>
        <v>#NAME?</v>
      </c>
    </row>
    <row r="214" spans="2:6" ht="12.75">
      <c r="B214" s="1" t="s">
        <v>4743</v>
      </c>
      <c r="C214" s="1" t="s">
        <v>4743</v>
      </c>
      <c r="D214" s="1" t="str">
        <f ca="1">IFERROR(__xludf.DUMMYFUNCTION("iferror(SPLIT(C214,""=""))"),"")</f>
        <v/>
      </c>
      <c r="F214" s="1" t="e">
        <f t="shared" ca="1" si="0"/>
        <v>#NAME?</v>
      </c>
    </row>
    <row r="215" spans="2:6" ht="12.75">
      <c r="B215" s="1" t="s">
        <v>4743</v>
      </c>
      <c r="C215" s="1" t="s">
        <v>4743</v>
      </c>
      <c r="D215" s="1" t="str">
        <f ca="1">IFERROR(__xludf.DUMMYFUNCTION("iferror(SPLIT(C215,""=""))"),"")</f>
        <v/>
      </c>
      <c r="F215" s="1" t="e">
        <f t="shared" ca="1" si="0"/>
        <v>#NAME?</v>
      </c>
    </row>
    <row r="216" spans="2:6" ht="12.75">
      <c r="B216" s="1" t="s">
        <v>4743</v>
      </c>
      <c r="C216" s="1" t="s">
        <v>4743</v>
      </c>
      <c r="D216" s="1" t="str">
        <f ca="1">IFERROR(__xludf.DUMMYFUNCTION("iferror(SPLIT(C216,""=""))"),"")</f>
        <v/>
      </c>
      <c r="F216" s="1" t="e">
        <f t="shared" ca="1" si="0"/>
        <v>#NAME?</v>
      </c>
    </row>
    <row r="217" spans="2:6" ht="12.75">
      <c r="B217" s="1" t="s">
        <v>4743</v>
      </c>
      <c r="C217" s="1" t="s">
        <v>4743</v>
      </c>
      <c r="D217" s="1" t="str">
        <f ca="1">IFERROR(__xludf.DUMMYFUNCTION("iferror(SPLIT(C217,""=""))"),"")</f>
        <v/>
      </c>
      <c r="F217" s="1" t="e">
        <f t="shared" ca="1" si="0"/>
        <v>#NAME?</v>
      </c>
    </row>
    <row r="218" spans="2:6" ht="12.75">
      <c r="B218" s="1" t="s">
        <v>4743</v>
      </c>
      <c r="C218" s="1" t="s">
        <v>4743</v>
      </c>
      <c r="D218" s="1" t="str">
        <f ca="1">IFERROR(__xludf.DUMMYFUNCTION("iferror(SPLIT(C218,""=""))"),"")</f>
        <v/>
      </c>
      <c r="F218" s="1" t="e">
        <f t="shared" ca="1" si="0"/>
        <v>#NAME?</v>
      </c>
    </row>
    <row r="219" spans="2:6" ht="12.75">
      <c r="B219" s="1" t="s">
        <v>4743</v>
      </c>
      <c r="C219" s="1" t="s">
        <v>4743</v>
      </c>
      <c r="D219" s="1" t="str">
        <f ca="1">IFERROR(__xludf.DUMMYFUNCTION("iferror(SPLIT(C219,""=""))"),"")</f>
        <v/>
      </c>
      <c r="F219" s="1" t="e">
        <f t="shared" ca="1" si="0"/>
        <v>#NAME?</v>
      </c>
    </row>
    <row r="220" spans="2:6" ht="12.75">
      <c r="B220" s="1" t="s">
        <v>4743</v>
      </c>
      <c r="C220" s="1" t="s">
        <v>4743</v>
      </c>
      <c r="D220" s="1" t="str">
        <f ca="1">IFERROR(__xludf.DUMMYFUNCTION("iferror(SPLIT(C220,""=""))"),"")</f>
        <v/>
      </c>
      <c r="F220" s="1" t="e">
        <f t="shared" ca="1" si="0"/>
        <v>#NAME?</v>
      </c>
    </row>
    <row r="221" spans="2:6" ht="12.75">
      <c r="B221" s="1" t="s">
        <v>4743</v>
      </c>
      <c r="C221" s="1" t="s">
        <v>4743</v>
      </c>
      <c r="D221" s="1" t="str">
        <f ca="1">IFERROR(__xludf.DUMMYFUNCTION("iferror(SPLIT(C221,""=""))"),"")</f>
        <v/>
      </c>
      <c r="F221" s="1" t="e">
        <f t="shared" ca="1" si="0"/>
        <v>#NAME?</v>
      </c>
    </row>
    <row r="222" spans="2:6" ht="12.75">
      <c r="B222" s="1" t="s">
        <v>4743</v>
      </c>
      <c r="C222" s="1" t="s">
        <v>4743</v>
      </c>
      <c r="D222" s="1" t="str">
        <f ca="1">IFERROR(__xludf.DUMMYFUNCTION("iferror(SPLIT(C222,""=""))"),"")</f>
        <v/>
      </c>
      <c r="F222" s="1" t="e">
        <f t="shared" ca="1" si="0"/>
        <v>#NAME?</v>
      </c>
    </row>
    <row r="223" spans="2:6" ht="12.75">
      <c r="B223" s="1" t="s">
        <v>4743</v>
      </c>
      <c r="C223" s="1" t="s">
        <v>4743</v>
      </c>
      <c r="D223" s="1" t="str">
        <f ca="1">IFERROR(__xludf.DUMMYFUNCTION("iferror(SPLIT(C223,""=""))"),"")</f>
        <v/>
      </c>
      <c r="F223" s="1" t="e">
        <f t="shared" ca="1" si="0"/>
        <v>#NAME?</v>
      </c>
    </row>
    <row r="224" spans="2:6" ht="12.75">
      <c r="B224" s="1" t="s">
        <v>4743</v>
      </c>
      <c r="C224" s="1" t="s">
        <v>4743</v>
      </c>
      <c r="D224" s="1" t="str">
        <f ca="1">IFERROR(__xludf.DUMMYFUNCTION("iferror(SPLIT(C224,""=""))"),"")</f>
        <v/>
      </c>
      <c r="F224" s="1" t="e">
        <f t="shared" ca="1" si="0"/>
        <v>#NAME?</v>
      </c>
    </row>
    <row r="225" spans="2:6" ht="12.75">
      <c r="B225" s="1" t="s">
        <v>4743</v>
      </c>
      <c r="C225" s="1" t="s">
        <v>4743</v>
      </c>
      <c r="D225" s="1" t="str">
        <f ca="1">IFERROR(__xludf.DUMMYFUNCTION("iferror(SPLIT(C225,""=""))"),"")</f>
        <v/>
      </c>
      <c r="F225" s="1" t="e">
        <f t="shared" ca="1" si="0"/>
        <v>#NAME?</v>
      </c>
    </row>
    <row r="226" spans="2:6" ht="12.75">
      <c r="B226" s="1" t="s">
        <v>4743</v>
      </c>
      <c r="C226" s="1" t="s">
        <v>4743</v>
      </c>
      <c r="D226" s="1" t="str">
        <f ca="1">IFERROR(__xludf.DUMMYFUNCTION("iferror(SPLIT(C226,""=""))"),"")</f>
        <v/>
      </c>
      <c r="F226" s="1" t="e">
        <f t="shared" ca="1" si="0"/>
        <v>#NAME?</v>
      </c>
    </row>
    <row r="227" spans="2:6" ht="12.75">
      <c r="B227" s="1" t="s">
        <v>4743</v>
      </c>
      <c r="C227" s="1" t="s">
        <v>4743</v>
      </c>
      <c r="D227" s="1" t="str">
        <f ca="1">IFERROR(__xludf.DUMMYFUNCTION("iferror(SPLIT(C227,""=""))"),"")</f>
        <v/>
      </c>
      <c r="F227" s="1" t="e">
        <f t="shared" ca="1" si="0"/>
        <v>#NAME?</v>
      </c>
    </row>
    <row r="228" spans="2:6" ht="12.75">
      <c r="B228" s="1" t="s">
        <v>4743</v>
      </c>
      <c r="C228" s="1" t="s">
        <v>4743</v>
      </c>
      <c r="D228" s="1" t="str">
        <f ca="1">IFERROR(__xludf.DUMMYFUNCTION("iferror(SPLIT(C228,""=""))"),"")</f>
        <v/>
      </c>
      <c r="F228" s="1" t="e">
        <f t="shared" ca="1" si="0"/>
        <v>#NAME?</v>
      </c>
    </row>
    <row r="229" spans="2:6" ht="12.75">
      <c r="B229" s="1" t="s">
        <v>4743</v>
      </c>
      <c r="C229" s="1" t="s">
        <v>4743</v>
      </c>
      <c r="D229" s="1" t="str">
        <f ca="1">IFERROR(__xludf.DUMMYFUNCTION("iferror(SPLIT(C229,""=""))"),"")</f>
        <v/>
      </c>
      <c r="F229" s="1" t="e">
        <f t="shared" ca="1" si="0"/>
        <v>#NAME?</v>
      </c>
    </row>
    <row r="230" spans="2:6" ht="12.75">
      <c r="B230" s="1" t="s">
        <v>4743</v>
      </c>
      <c r="C230" s="1" t="s">
        <v>4743</v>
      </c>
      <c r="D230" s="1" t="str">
        <f ca="1">IFERROR(__xludf.DUMMYFUNCTION("iferror(SPLIT(C230,""=""))"),"")</f>
        <v/>
      </c>
      <c r="F230" s="1" t="e">
        <f t="shared" ca="1" si="0"/>
        <v>#NAME?</v>
      </c>
    </row>
    <row r="231" spans="2:6" ht="12.75">
      <c r="B231" s="1" t="s">
        <v>4743</v>
      </c>
      <c r="C231" s="1" t="s">
        <v>4743</v>
      </c>
      <c r="D231" s="1" t="str">
        <f ca="1">IFERROR(__xludf.DUMMYFUNCTION("iferror(SPLIT(C231,""=""))"),"")</f>
        <v/>
      </c>
      <c r="F231" s="1" t="e">
        <f t="shared" ca="1" si="0"/>
        <v>#NAME?</v>
      </c>
    </row>
    <row r="232" spans="2:6" ht="12.75">
      <c r="B232" s="1" t="s">
        <v>4743</v>
      </c>
      <c r="C232" s="1" t="s">
        <v>4743</v>
      </c>
      <c r="D232" s="1" t="str">
        <f ca="1">IFERROR(__xludf.DUMMYFUNCTION("iferror(SPLIT(C232,""=""))"),"")</f>
        <v/>
      </c>
      <c r="F232" s="1" t="e">
        <f t="shared" ca="1" si="0"/>
        <v>#NAME?</v>
      </c>
    </row>
    <row r="233" spans="2:6" ht="12.75">
      <c r="B233" s="1" t="s">
        <v>4743</v>
      </c>
      <c r="C233" s="1" t="s">
        <v>4743</v>
      </c>
      <c r="D233" s="1" t="str">
        <f ca="1">IFERROR(__xludf.DUMMYFUNCTION("iferror(SPLIT(C233,""=""))"),"")</f>
        <v/>
      </c>
      <c r="F233" s="1" t="e">
        <f t="shared" ca="1" si="0"/>
        <v>#NAME?</v>
      </c>
    </row>
    <row r="234" spans="2:6" ht="12.75">
      <c r="B234" s="1" t="s">
        <v>4743</v>
      </c>
      <c r="C234" s="1" t="s">
        <v>4743</v>
      </c>
      <c r="D234" s="1" t="str">
        <f ca="1">IFERROR(__xludf.DUMMYFUNCTION("iferror(SPLIT(C234,""=""))"),"")</f>
        <v/>
      </c>
      <c r="F234" s="1" t="e">
        <f t="shared" ca="1" si="0"/>
        <v>#NAME?</v>
      </c>
    </row>
    <row r="235" spans="2:6" ht="12.75">
      <c r="B235" s="1" t="s">
        <v>4743</v>
      </c>
      <c r="C235" s="1" t="s">
        <v>4743</v>
      </c>
      <c r="D235" s="1" t="str">
        <f ca="1">IFERROR(__xludf.DUMMYFUNCTION("iferror(SPLIT(C235,""=""))"),"")</f>
        <v/>
      </c>
      <c r="F235" s="1" t="e">
        <f t="shared" ca="1" si="0"/>
        <v>#NAME?</v>
      </c>
    </row>
    <row r="236" spans="2:6" ht="12.75">
      <c r="B236" s="1" t="s">
        <v>4743</v>
      </c>
      <c r="C236" s="1" t="s">
        <v>4743</v>
      </c>
      <c r="D236" s="1" t="str">
        <f ca="1">IFERROR(__xludf.DUMMYFUNCTION("iferror(SPLIT(C236,""=""))"),"")</f>
        <v/>
      </c>
      <c r="F236" s="1" t="e">
        <f t="shared" ca="1" si="0"/>
        <v>#NAME?</v>
      </c>
    </row>
    <row r="237" spans="2:6" ht="12.75">
      <c r="B237" s="1" t="s">
        <v>4743</v>
      </c>
      <c r="C237" s="1" t="s">
        <v>4743</v>
      </c>
      <c r="D237" s="1" t="str">
        <f ca="1">IFERROR(__xludf.DUMMYFUNCTION("iferror(SPLIT(C237,""=""))"),"")</f>
        <v/>
      </c>
      <c r="F237" s="1" t="e">
        <f t="shared" ca="1" si="0"/>
        <v>#NAME?</v>
      </c>
    </row>
    <row r="238" spans="2:6" ht="12.75">
      <c r="B238" s="1" t="s">
        <v>4743</v>
      </c>
      <c r="C238" s="1" t="s">
        <v>4743</v>
      </c>
      <c r="D238" s="1" t="str">
        <f ca="1">IFERROR(__xludf.DUMMYFUNCTION("iferror(SPLIT(C238,""=""))"),"")</f>
        <v/>
      </c>
      <c r="F238" s="1" t="e">
        <f t="shared" ca="1" si="0"/>
        <v>#NAME?</v>
      </c>
    </row>
    <row r="239" spans="2:6" ht="12.75">
      <c r="B239" s="1" t="s">
        <v>4743</v>
      </c>
      <c r="C239" s="1" t="s">
        <v>4743</v>
      </c>
      <c r="D239" s="1" t="str">
        <f ca="1">IFERROR(__xludf.DUMMYFUNCTION("iferror(SPLIT(C239,""=""))"),"")</f>
        <v/>
      </c>
      <c r="F239" s="1" t="e">
        <f t="shared" ca="1" si="0"/>
        <v>#NAME?</v>
      </c>
    </row>
    <row r="240" spans="2:6" ht="12.75">
      <c r="B240" s="1" t="s">
        <v>4743</v>
      </c>
      <c r="C240" s="1" t="s">
        <v>4743</v>
      </c>
      <c r="D240" s="1" t="str">
        <f ca="1">IFERROR(__xludf.DUMMYFUNCTION("iferror(SPLIT(C240,""=""))"),"")</f>
        <v/>
      </c>
      <c r="F240" s="1" t="e">
        <f t="shared" ca="1" si="0"/>
        <v>#NAME?</v>
      </c>
    </row>
    <row r="241" spans="2:6" ht="12.75">
      <c r="B241" s="1" t="s">
        <v>4743</v>
      </c>
      <c r="C241" s="1" t="s">
        <v>4743</v>
      </c>
      <c r="D241" s="1" t="str">
        <f ca="1">IFERROR(__xludf.DUMMYFUNCTION("iferror(SPLIT(C241,""=""))"),"")</f>
        <v/>
      </c>
      <c r="F241" s="1" t="e">
        <f t="shared" ca="1" si="0"/>
        <v>#NAME?</v>
      </c>
    </row>
    <row r="242" spans="2:6" ht="12.75">
      <c r="B242" s="1" t="s">
        <v>4743</v>
      </c>
      <c r="C242" s="1" t="s">
        <v>4743</v>
      </c>
      <c r="D242" s="1" t="str">
        <f ca="1">IFERROR(__xludf.DUMMYFUNCTION("iferror(SPLIT(C242,""=""))"),"")</f>
        <v/>
      </c>
      <c r="F242" s="1" t="e">
        <f t="shared" ca="1" si="0"/>
        <v>#NAME?</v>
      </c>
    </row>
    <row r="243" spans="2:6" ht="12.75">
      <c r="B243" s="1" t="s">
        <v>4743</v>
      </c>
      <c r="C243" s="1" t="s">
        <v>4743</v>
      </c>
      <c r="D243" s="1" t="str">
        <f ca="1">IFERROR(__xludf.DUMMYFUNCTION("iferror(SPLIT(C243,""=""))"),"")</f>
        <v/>
      </c>
      <c r="F243" s="1" t="e">
        <f t="shared" ca="1" si="0"/>
        <v>#NAME?</v>
      </c>
    </row>
    <row r="244" spans="2:6" ht="12.75">
      <c r="B244" s="1" t="s">
        <v>4743</v>
      </c>
      <c r="C244" s="1" t="s">
        <v>4743</v>
      </c>
      <c r="D244" s="1" t="str">
        <f ca="1">IFERROR(__xludf.DUMMYFUNCTION("iferror(SPLIT(C244,""=""))"),"")</f>
        <v/>
      </c>
      <c r="F244" s="1" t="e">
        <f t="shared" ca="1" si="0"/>
        <v>#NAME?</v>
      </c>
    </row>
    <row r="245" spans="2:6" ht="12.75">
      <c r="B245" s="1" t="s">
        <v>4743</v>
      </c>
      <c r="C245" s="1" t="s">
        <v>4743</v>
      </c>
      <c r="D245" s="1" t="str">
        <f ca="1">IFERROR(__xludf.DUMMYFUNCTION("iferror(SPLIT(C245,""=""))"),"")</f>
        <v/>
      </c>
      <c r="F245" s="1" t="e">
        <f t="shared" ca="1" si="0"/>
        <v>#NAME?</v>
      </c>
    </row>
    <row r="246" spans="2:6" ht="12.75">
      <c r="B246" s="1" t="s">
        <v>4743</v>
      </c>
      <c r="C246" s="1" t="s">
        <v>4743</v>
      </c>
      <c r="D246" s="1" t="str">
        <f ca="1">IFERROR(__xludf.DUMMYFUNCTION("iferror(SPLIT(C246,""=""))"),"")</f>
        <v/>
      </c>
      <c r="F246" s="1" t="e">
        <f t="shared" ca="1" si="0"/>
        <v>#NAME?</v>
      </c>
    </row>
    <row r="247" spans="2:6" ht="12.75">
      <c r="B247" s="1" t="s">
        <v>4743</v>
      </c>
      <c r="C247" s="1" t="s">
        <v>4743</v>
      </c>
      <c r="D247" s="1" t="str">
        <f ca="1">IFERROR(__xludf.DUMMYFUNCTION("iferror(SPLIT(C247,""=""))"),"")</f>
        <v/>
      </c>
      <c r="F247" s="1" t="e">
        <f t="shared" ca="1" si="0"/>
        <v>#NAME?</v>
      </c>
    </row>
    <row r="248" spans="2:6" ht="12.75">
      <c r="B248" s="1" t="s">
        <v>4743</v>
      </c>
      <c r="C248" s="1" t="s">
        <v>4743</v>
      </c>
      <c r="D248" s="1" t="str">
        <f ca="1">IFERROR(__xludf.DUMMYFUNCTION("iferror(SPLIT(C248,""=""))"),"")</f>
        <v/>
      </c>
      <c r="F248" s="1" t="e">
        <f t="shared" ca="1" si="0"/>
        <v>#NAME?</v>
      </c>
    </row>
    <row r="249" spans="2:6" ht="12.75">
      <c r="B249" s="1" t="s">
        <v>4743</v>
      </c>
      <c r="C249" s="1" t="s">
        <v>4743</v>
      </c>
      <c r="D249" s="1" t="str">
        <f ca="1">IFERROR(__xludf.DUMMYFUNCTION("iferror(SPLIT(C249,""=""))"),"")</f>
        <v/>
      </c>
      <c r="F249" s="1" t="e">
        <f t="shared" ca="1" si="0"/>
        <v>#NAME?</v>
      </c>
    </row>
    <row r="250" spans="2:6" ht="12.75">
      <c r="B250" s="1" t="s">
        <v>4743</v>
      </c>
      <c r="C250" s="1" t="s">
        <v>4743</v>
      </c>
      <c r="D250" s="1" t="str">
        <f ca="1">IFERROR(__xludf.DUMMYFUNCTION("iferror(SPLIT(C250,""=""))"),"")</f>
        <v/>
      </c>
      <c r="F250" s="1" t="e">
        <f t="shared" ca="1" si="0"/>
        <v>#NAME?</v>
      </c>
    </row>
    <row r="251" spans="2:6" ht="12.75">
      <c r="B251" s="1" t="s">
        <v>4743</v>
      </c>
      <c r="C251" s="1" t="s">
        <v>4743</v>
      </c>
      <c r="D251" s="1" t="str">
        <f ca="1">IFERROR(__xludf.DUMMYFUNCTION("iferror(SPLIT(C251,""=""))"),"")</f>
        <v/>
      </c>
      <c r="F251" s="1" t="e">
        <f t="shared" ca="1" si="0"/>
        <v>#NAME?</v>
      </c>
    </row>
    <row r="252" spans="2:6" ht="12.75">
      <c r="B252" s="1" t="s">
        <v>4743</v>
      </c>
      <c r="C252" s="1" t="s">
        <v>4743</v>
      </c>
      <c r="D252" s="1" t="str">
        <f ca="1">IFERROR(__xludf.DUMMYFUNCTION("iferror(SPLIT(C252,""=""))"),"")</f>
        <v/>
      </c>
      <c r="F252" s="1" t="e">
        <f t="shared" ca="1" si="0"/>
        <v>#NAME?</v>
      </c>
    </row>
    <row r="253" spans="2:6" ht="12.75">
      <c r="B253" s="1" t="s">
        <v>4743</v>
      </c>
      <c r="C253" s="1" t="s">
        <v>4743</v>
      </c>
      <c r="D253" s="1" t="str">
        <f ca="1">IFERROR(__xludf.DUMMYFUNCTION("iferror(SPLIT(C253,""=""))"),"")</f>
        <v/>
      </c>
      <c r="F253" s="1" t="e">
        <f t="shared" ca="1" si="0"/>
        <v>#NAME?</v>
      </c>
    </row>
    <row r="254" spans="2:6" ht="12.75">
      <c r="B254" s="1" t="s">
        <v>4743</v>
      </c>
      <c r="C254" s="1" t="s">
        <v>4743</v>
      </c>
      <c r="D254" s="1" t="str">
        <f ca="1">IFERROR(__xludf.DUMMYFUNCTION("iferror(SPLIT(C254,""=""))"),"")</f>
        <v/>
      </c>
      <c r="F254" s="1" t="e">
        <f t="shared" ca="1" si="0"/>
        <v>#NAME?</v>
      </c>
    </row>
    <row r="255" spans="2:6" ht="12.75">
      <c r="B255" s="1" t="s">
        <v>4743</v>
      </c>
      <c r="C255" s="1" t="s">
        <v>4743</v>
      </c>
      <c r="D255" s="1" t="str">
        <f ca="1">IFERROR(__xludf.DUMMYFUNCTION("iferror(SPLIT(C255,""=""))"),"")</f>
        <v/>
      </c>
      <c r="F255" s="1" t="e">
        <f t="shared" ca="1" si="0"/>
        <v>#NAME?</v>
      </c>
    </row>
    <row r="256" spans="2:6" ht="12.75">
      <c r="B256" s="1" t="s">
        <v>4743</v>
      </c>
      <c r="C256" s="1" t="s">
        <v>4743</v>
      </c>
      <c r="D256" s="1" t="str">
        <f ca="1">IFERROR(__xludf.DUMMYFUNCTION("iferror(SPLIT(C256,""=""))"),"")</f>
        <v/>
      </c>
      <c r="F256" s="1" t="e">
        <f t="shared" ca="1" si="0"/>
        <v>#NAME?</v>
      </c>
    </row>
    <row r="257" spans="2:6" ht="12.75">
      <c r="B257" s="1" t="s">
        <v>4743</v>
      </c>
      <c r="C257" s="1" t="s">
        <v>4743</v>
      </c>
      <c r="D257" s="1" t="str">
        <f ca="1">IFERROR(__xludf.DUMMYFUNCTION("iferror(SPLIT(C257,""=""))"),"")</f>
        <v/>
      </c>
      <c r="F257" s="1" t="e">
        <f t="shared" ref="F257:F511" ca="1" si="1">IMAGE($F$1&amp;E257)</f>
        <v>#NAME?</v>
      </c>
    </row>
    <row r="258" spans="2:6" ht="12.75">
      <c r="B258" s="1" t="s">
        <v>4743</v>
      </c>
      <c r="C258" s="1" t="s">
        <v>4743</v>
      </c>
      <c r="D258" s="1" t="str">
        <f ca="1">IFERROR(__xludf.DUMMYFUNCTION("iferror(SPLIT(C258,""=""))"),"")</f>
        <v/>
      </c>
      <c r="F258" s="1" t="e">
        <f t="shared" ca="1" si="1"/>
        <v>#NAME?</v>
      </c>
    </row>
    <row r="259" spans="2:6" ht="12.75">
      <c r="B259" s="1" t="s">
        <v>4743</v>
      </c>
      <c r="C259" s="1" t="s">
        <v>4743</v>
      </c>
      <c r="D259" s="1" t="str">
        <f ca="1">IFERROR(__xludf.DUMMYFUNCTION("iferror(SPLIT(C259,""=""))"),"")</f>
        <v/>
      </c>
      <c r="F259" s="1" t="e">
        <f t="shared" ca="1" si="1"/>
        <v>#NAME?</v>
      </c>
    </row>
    <row r="260" spans="2:6" ht="12.75">
      <c r="B260" s="1" t="s">
        <v>4743</v>
      </c>
      <c r="C260" s="1" t="s">
        <v>4743</v>
      </c>
      <c r="D260" s="1" t="str">
        <f ca="1">IFERROR(__xludf.DUMMYFUNCTION("iferror(SPLIT(C260,""=""))"),"")</f>
        <v/>
      </c>
      <c r="F260" s="1" t="e">
        <f t="shared" ca="1" si="1"/>
        <v>#NAME?</v>
      </c>
    </row>
    <row r="261" spans="2:6" ht="12.75">
      <c r="B261" s="1" t="s">
        <v>4743</v>
      </c>
      <c r="C261" s="1" t="s">
        <v>4743</v>
      </c>
      <c r="D261" s="1" t="str">
        <f ca="1">IFERROR(__xludf.DUMMYFUNCTION("iferror(SPLIT(C261,""=""))"),"")</f>
        <v/>
      </c>
      <c r="F261" s="1" t="e">
        <f t="shared" ca="1" si="1"/>
        <v>#NAME?</v>
      </c>
    </row>
    <row r="262" spans="2:6" ht="12.75">
      <c r="B262" s="1" t="s">
        <v>4743</v>
      </c>
      <c r="C262" s="1" t="s">
        <v>4743</v>
      </c>
      <c r="D262" s="1" t="str">
        <f ca="1">IFERROR(__xludf.DUMMYFUNCTION("iferror(SPLIT(C262,""=""))"),"")</f>
        <v/>
      </c>
      <c r="F262" s="1" t="e">
        <f t="shared" ca="1" si="1"/>
        <v>#NAME?</v>
      </c>
    </row>
    <row r="263" spans="2:6" ht="12.75">
      <c r="B263" s="1" t="s">
        <v>4743</v>
      </c>
      <c r="C263" s="1" t="s">
        <v>4743</v>
      </c>
      <c r="D263" s="1" t="str">
        <f ca="1">IFERROR(__xludf.DUMMYFUNCTION("iferror(SPLIT(C263,""=""))"),"")</f>
        <v/>
      </c>
      <c r="F263" s="1" t="e">
        <f t="shared" ca="1" si="1"/>
        <v>#NAME?</v>
      </c>
    </row>
    <row r="264" spans="2:6" ht="12.75">
      <c r="B264" s="1" t="s">
        <v>4743</v>
      </c>
      <c r="C264" s="1" t="s">
        <v>4743</v>
      </c>
      <c r="D264" s="1" t="str">
        <f ca="1">IFERROR(__xludf.DUMMYFUNCTION("iferror(SPLIT(C264,""=""))"),"")</f>
        <v/>
      </c>
      <c r="F264" s="1" t="e">
        <f t="shared" ca="1" si="1"/>
        <v>#NAME?</v>
      </c>
    </row>
    <row r="265" spans="2:6" ht="12.75">
      <c r="B265" s="1" t="s">
        <v>4743</v>
      </c>
      <c r="C265" s="1" t="s">
        <v>4743</v>
      </c>
      <c r="D265" s="1" t="str">
        <f ca="1">IFERROR(__xludf.DUMMYFUNCTION("iferror(SPLIT(C265,""=""))"),"")</f>
        <v/>
      </c>
      <c r="F265" s="1" t="e">
        <f t="shared" ca="1" si="1"/>
        <v>#NAME?</v>
      </c>
    </row>
    <row r="266" spans="2:6" ht="12.75">
      <c r="B266" s="1" t="s">
        <v>4743</v>
      </c>
      <c r="C266" s="1" t="s">
        <v>4743</v>
      </c>
      <c r="D266" s="1" t="str">
        <f ca="1">IFERROR(__xludf.DUMMYFUNCTION("iferror(SPLIT(C266,""=""))"),"")</f>
        <v/>
      </c>
      <c r="F266" s="1" t="e">
        <f t="shared" ca="1" si="1"/>
        <v>#NAME?</v>
      </c>
    </row>
    <row r="267" spans="2:6" ht="12.75">
      <c r="B267" s="1" t="s">
        <v>4743</v>
      </c>
      <c r="C267" s="1" t="s">
        <v>4743</v>
      </c>
      <c r="D267" s="1" t="str">
        <f ca="1">IFERROR(__xludf.DUMMYFUNCTION("iferror(SPLIT(C267,""=""))"),"")</f>
        <v/>
      </c>
      <c r="F267" s="1" t="e">
        <f t="shared" ca="1" si="1"/>
        <v>#NAME?</v>
      </c>
    </row>
    <row r="268" spans="2:6" ht="12.75">
      <c r="B268" s="1" t="s">
        <v>4743</v>
      </c>
      <c r="C268" s="1" t="s">
        <v>4743</v>
      </c>
      <c r="D268" s="1" t="str">
        <f ca="1">IFERROR(__xludf.DUMMYFUNCTION("iferror(SPLIT(C268,""=""))"),"")</f>
        <v/>
      </c>
      <c r="F268" s="1" t="e">
        <f t="shared" ca="1" si="1"/>
        <v>#NAME?</v>
      </c>
    </row>
    <row r="269" spans="2:6" ht="12.75">
      <c r="B269" s="1" t="s">
        <v>4743</v>
      </c>
      <c r="C269" s="1" t="s">
        <v>4743</v>
      </c>
      <c r="D269" s="1" t="str">
        <f ca="1">IFERROR(__xludf.DUMMYFUNCTION("iferror(SPLIT(C269,""=""))"),"")</f>
        <v/>
      </c>
      <c r="F269" s="1" t="e">
        <f t="shared" ca="1" si="1"/>
        <v>#NAME?</v>
      </c>
    </row>
    <row r="270" spans="2:6" ht="12.75">
      <c r="B270" s="1" t="s">
        <v>4743</v>
      </c>
      <c r="C270" s="1" t="s">
        <v>4743</v>
      </c>
      <c r="D270" s="1" t="str">
        <f ca="1">IFERROR(__xludf.DUMMYFUNCTION("iferror(SPLIT(C270,""=""))"),"")</f>
        <v/>
      </c>
      <c r="F270" s="1" t="e">
        <f t="shared" ca="1" si="1"/>
        <v>#NAME?</v>
      </c>
    </row>
    <row r="271" spans="2:6" ht="12.75">
      <c r="B271" s="1" t="s">
        <v>4743</v>
      </c>
      <c r="C271" s="1" t="s">
        <v>4743</v>
      </c>
      <c r="D271" s="1" t="str">
        <f ca="1">IFERROR(__xludf.DUMMYFUNCTION("iferror(SPLIT(C271,""=""))"),"")</f>
        <v/>
      </c>
      <c r="F271" s="1" t="e">
        <f t="shared" ca="1" si="1"/>
        <v>#NAME?</v>
      </c>
    </row>
    <row r="272" spans="2:6" ht="12.75">
      <c r="B272" s="1" t="s">
        <v>4743</v>
      </c>
      <c r="C272" s="1" t="s">
        <v>4743</v>
      </c>
      <c r="D272" s="1" t="str">
        <f ca="1">IFERROR(__xludf.DUMMYFUNCTION("iferror(SPLIT(C272,""=""))"),"")</f>
        <v/>
      </c>
      <c r="F272" s="1" t="e">
        <f t="shared" ca="1" si="1"/>
        <v>#NAME?</v>
      </c>
    </row>
    <row r="273" spans="2:6" ht="12.75">
      <c r="B273" s="1" t="s">
        <v>4743</v>
      </c>
      <c r="C273" s="1" t="s">
        <v>4743</v>
      </c>
      <c r="D273" s="1" t="str">
        <f ca="1">IFERROR(__xludf.DUMMYFUNCTION("iferror(SPLIT(C273,""=""))"),"")</f>
        <v/>
      </c>
      <c r="F273" s="1" t="e">
        <f t="shared" ca="1" si="1"/>
        <v>#NAME?</v>
      </c>
    </row>
    <row r="274" spans="2:6" ht="12.75">
      <c r="B274" s="1" t="s">
        <v>4743</v>
      </c>
      <c r="C274" s="1" t="s">
        <v>4743</v>
      </c>
      <c r="D274" s="1" t="str">
        <f ca="1">IFERROR(__xludf.DUMMYFUNCTION("iferror(SPLIT(C274,""=""))"),"")</f>
        <v/>
      </c>
      <c r="F274" s="1" t="e">
        <f t="shared" ca="1" si="1"/>
        <v>#NAME?</v>
      </c>
    </row>
    <row r="275" spans="2:6" ht="12.75">
      <c r="B275" s="1" t="s">
        <v>4743</v>
      </c>
      <c r="C275" s="1" t="s">
        <v>4743</v>
      </c>
      <c r="D275" s="1" t="str">
        <f ca="1">IFERROR(__xludf.DUMMYFUNCTION("iferror(SPLIT(C275,""=""))"),"")</f>
        <v/>
      </c>
      <c r="F275" s="1" t="e">
        <f t="shared" ca="1" si="1"/>
        <v>#NAME?</v>
      </c>
    </row>
    <row r="276" spans="2:6" ht="12.75">
      <c r="B276" s="1" t="s">
        <v>4743</v>
      </c>
      <c r="C276" s="1" t="s">
        <v>4743</v>
      </c>
      <c r="D276" s="1" t="str">
        <f ca="1">IFERROR(__xludf.DUMMYFUNCTION("iferror(SPLIT(C276,""=""))"),"")</f>
        <v/>
      </c>
      <c r="F276" s="1" t="e">
        <f t="shared" ca="1" si="1"/>
        <v>#NAME?</v>
      </c>
    </row>
    <row r="277" spans="2:6" ht="12.75">
      <c r="B277" s="1" t="s">
        <v>4743</v>
      </c>
      <c r="C277" s="1" t="s">
        <v>4743</v>
      </c>
      <c r="D277" s="1" t="str">
        <f ca="1">IFERROR(__xludf.DUMMYFUNCTION("iferror(SPLIT(C277,""=""))"),"")</f>
        <v/>
      </c>
      <c r="F277" s="1" t="e">
        <f t="shared" ca="1" si="1"/>
        <v>#NAME?</v>
      </c>
    </row>
    <row r="278" spans="2:6" ht="12.75">
      <c r="B278" s="1" t="s">
        <v>4743</v>
      </c>
      <c r="C278" s="1" t="s">
        <v>4743</v>
      </c>
      <c r="D278" s="1" t="str">
        <f ca="1">IFERROR(__xludf.DUMMYFUNCTION("iferror(SPLIT(C278,""=""))"),"")</f>
        <v/>
      </c>
      <c r="F278" s="1" t="e">
        <f t="shared" ca="1" si="1"/>
        <v>#NAME?</v>
      </c>
    </row>
    <row r="279" spans="2:6" ht="12.75">
      <c r="B279" s="1" t="s">
        <v>4743</v>
      </c>
      <c r="C279" s="1" t="s">
        <v>4743</v>
      </c>
      <c r="D279" s="1" t="str">
        <f ca="1">IFERROR(__xludf.DUMMYFUNCTION("iferror(SPLIT(C279,""=""))"),"")</f>
        <v/>
      </c>
      <c r="F279" s="1" t="e">
        <f t="shared" ca="1" si="1"/>
        <v>#NAME?</v>
      </c>
    </row>
    <row r="280" spans="2:6" ht="12.75">
      <c r="B280" s="1" t="s">
        <v>4743</v>
      </c>
      <c r="C280" s="1" t="s">
        <v>4743</v>
      </c>
      <c r="D280" s="1" t="str">
        <f ca="1">IFERROR(__xludf.DUMMYFUNCTION("iferror(SPLIT(C280,""=""))"),"")</f>
        <v/>
      </c>
      <c r="F280" s="1" t="e">
        <f t="shared" ca="1" si="1"/>
        <v>#NAME?</v>
      </c>
    </row>
    <row r="281" spans="2:6" ht="12.75">
      <c r="B281" s="1" t="s">
        <v>4743</v>
      </c>
      <c r="C281" s="1" t="s">
        <v>4743</v>
      </c>
      <c r="D281" s="1" t="str">
        <f ca="1">IFERROR(__xludf.DUMMYFUNCTION("iferror(SPLIT(C281,""=""))"),"")</f>
        <v/>
      </c>
      <c r="F281" s="1" t="e">
        <f t="shared" ca="1" si="1"/>
        <v>#NAME?</v>
      </c>
    </row>
    <row r="282" spans="2:6" ht="12.75">
      <c r="B282" s="1" t="s">
        <v>4743</v>
      </c>
      <c r="C282" s="1" t="s">
        <v>4743</v>
      </c>
      <c r="D282" s="1" t="str">
        <f ca="1">IFERROR(__xludf.DUMMYFUNCTION("iferror(SPLIT(C282,""=""))"),"")</f>
        <v/>
      </c>
      <c r="F282" s="1" t="e">
        <f t="shared" ca="1" si="1"/>
        <v>#NAME?</v>
      </c>
    </row>
    <row r="283" spans="2:6" ht="12.75">
      <c r="B283" s="1" t="s">
        <v>4743</v>
      </c>
      <c r="C283" s="1" t="s">
        <v>4743</v>
      </c>
      <c r="D283" s="1" t="str">
        <f ca="1">IFERROR(__xludf.DUMMYFUNCTION("iferror(SPLIT(C283,""=""))"),"")</f>
        <v/>
      </c>
      <c r="F283" s="1" t="e">
        <f t="shared" ca="1" si="1"/>
        <v>#NAME?</v>
      </c>
    </row>
    <row r="284" spans="2:6" ht="12.75">
      <c r="B284" s="1" t="s">
        <v>4743</v>
      </c>
      <c r="C284" s="1" t="s">
        <v>4743</v>
      </c>
      <c r="D284" s="1" t="str">
        <f ca="1">IFERROR(__xludf.DUMMYFUNCTION("iferror(SPLIT(C284,""=""))"),"")</f>
        <v/>
      </c>
      <c r="F284" s="1" t="e">
        <f t="shared" ca="1" si="1"/>
        <v>#NAME?</v>
      </c>
    </row>
    <row r="285" spans="2:6" ht="12.75">
      <c r="B285" s="1" t="s">
        <v>4743</v>
      </c>
      <c r="C285" s="1" t="s">
        <v>4743</v>
      </c>
      <c r="D285" s="1" t="str">
        <f ca="1">IFERROR(__xludf.DUMMYFUNCTION("iferror(SPLIT(C285,""=""))"),"")</f>
        <v/>
      </c>
      <c r="F285" s="1" t="e">
        <f t="shared" ca="1" si="1"/>
        <v>#NAME?</v>
      </c>
    </row>
    <row r="286" spans="2:6" ht="12.75">
      <c r="B286" s="1" t="s">
        <v>4743</v>
      </c>
      <c r="C286" s="1" t="s">
        <v>4743</v>
      </c>
      <c r="D286" s="1" t="str">
        <f ca="1">IFERROR(__xludf.DUMMYFUNCTION("iferror(SPLIT(C286,""=""))"),"")</f>
        <v/>
      </c>
      <c r="F286" s="1" t="e">
        <f t="shared" ca="1" si="1"/>
        <v>#NAME?</v>
      </c>
    </row>
    <row r="287" spans="2:6" ht="12.75">
      <c r="B287" s="1" t="s">
        <v>4743</v>
      </c>
      <c r="C287" s="1" t="s">
        <v>4743</v>
      </c>
      <c r="D287" s="1" t="str">
        <f ca="1">IFERROR(__xludf.DUMMYFUNCTION("iferror(SPLIT(C287,""=""))"),"")</f>
        <v/>
      </c>
      <c r="F287" s="1" t="e">
        <f t="shared" ca="1" si="1"/>
        <v>#NAME?</v>
      </c>
    </row>
    <row r="288" spans="2:6" ht="12.75">
      <c r="B288" s="1" t="s">
        <v>4743</v>
      </c>
      <c r="C288" s="1" t="s">
        <v>4743</v>
      </c>
      <c r="D288" s="1" t="str">
        <f ca="1">IFERROR(__xludf.DUMMYFUNCTION("iferror(SPLIT(C288,""=""))"),"")</f>
        <v/>
      </c>
      <c r="F288" s="1" t="e">
        <f t="shared" ca="1" si="1"/>
        <v>#NAME?</v>
      </c>
    </row>
    <row r="289" spans="2:6" ht="12.75">
      <c r="B289" s="1" t="s">
        <v>4743</v>
      </c>
      <c r="C289" s="1" t="s">
        <v>4743</v>
      </c>
      <c r="D289" s="1" t="str">
        <f ca="1">IFERROR(__xludf.DUMMYFUNCTION("iferror(SPLIT(C289,""=""))"),"")</f>
        <v/>
      </c>
      <c r="F289" s="1" t="e">
        <f t="shared" ca="1" si="1"/>
        <v>#NAME?</v>
      </c>
    </row>
    <row r="290" spans="2:6" ht="12.75">
      <c r="B290" s="1" t="s">
        <v>4743</v>
      </c>
      <c r="C290" s="1" t="s">
        <v>4743</v>
      </c>
      <c r="D290" s="1" t="str">
        <f ca="1">IFERROR(__xludf.DUMMYFUNCTION("iferror(SPLIT(C290,""=""))"),"")</f>
        <v/>
      </c>
      <c r="F290" s="1" t="e">
        <f t="shared" ca="1" si="1"/>
        <v>#NAME?</v>
      </c>
    </row>
    <row r="291" spans="2:6" ht="12.75">
      <c r="B291" s="1" t="s">
        <v>4743</v>
      </c>
      <c r="C291" s="1" t="s">
        <v>4743</v>
      </c>
      <c r="D291" s="1" t="str">
        <f ca="1">IFERROR(__xludf.DUMMYFUNCTION("iferror(SPLIT(C291,""=""))"),"")</f>
        <v/>
      </c>
      <c r="F291" s="1" t="e">
        <f t="shared" ca="1" si="1"/>
        <v>#NAME?</v>
      </c>
    </row>
    <row r="292" spans="2:6" ht="12.75">
      <c r="B292" s="1" t="s">
        <v>4743</v>
      </c>
      <c r="C292" s="1" t="s">
        <v>4743</v>
      </c>
      <c r="D292" s="1" t="str">
        <f ca="1">IFERROR(__xludf.DUMMYFUNCTION("iferror(SPLIT(C292,""=""))"),"")</f>
        <v/>
      </c>
      <c r="F292" s="1" t="e">
        <f t="shared" ca="1" si="1"/>
        <v>#NAME?</v>
      </c>
    </row>
    <row r="293" spans="2:6" ht="12.75">
      <c r="B293" s="1" t="s">
        <v>4743</v>
      </c>
      <c r="C293" s="1" t="s">
        <v>4743</v>
      </c>
      <c r="D293" s="1" t="str">
        <f ca="1">IFERROR(__xludf.DUMMYFUNCTION("iferror(SPLIT(C293,""=""))"),"")</f>
        <v/>
      </c>
      <c r="F293" s="1" t="e">
        <f t="shared" ca="1" si="1"/>
        <v>#NAME?</v>
      </c>
    </row>
    <row r="294" spans="2:6" ht="12.75">
      <c r="B294" s="1" t="s">
        <v>4743</v>
      </c>
      <c r="C294" s="1" t="s">
        <v>4743</v>
      </c>
      <c r="D294" s="1" t="str">
        <f ca="1">IFERROR(__xludf.DUMMYFUNCTION("iferror(SPLIT(C294,""=""))"),"")</f>
        <v/>
      </c>
      <c r="F294" s="1" t="e">
        <f t="shared" ca="1" si="1"/>
        <v>#NAME?</v>
      </c>
    </row>
    <row r="295" spans="2:6" ht="12.75">
      <c r="B295" s="1" t="s">
        <v>4743</v>
      </c>
      <c r="C295" s="1" t="s">
        <v>4743</v>
      </c>
      <c r="D295" s="1" t="str">
        <f ca="1">IFERROR(__xludf.DUMMYFUNCTION("iferror(SPLIT(C295,""=""))"),"")</f>
        <v/>
      </c>
      <c r="F295" s="1" t="e">
        <f t="shared" ca="1" si="1"/>
        <v>#NAME?</v>
      </c>
    </row>
    <row r="296" spans="2:6" ht="12.75">
      <c r="B296" s="1" t="s">
        <v>4743</v>
      </c>
      <c r="C296" s="1" t="s">
        <v>4743</v>
      </c>
      <c r="D296" s="1" t="str">
        <f ca="1">IFERROR(__xludf.DUMMYFUNCTION("iferror(SPLIT(C296,""=""))"),"")</f>
        <v/>
      </c>
      <c r="F296" s="1" t="e">
        <f t="shared" ca="1" si="1"/>
        <v>#NAME?</v>
      </c>
    </row>
    <row r="297" spans="2:6" ht="12.75">
      <c r="B297" s="1" t="s">
        <v>4743</v>
      </c>
      <c r="C297" s="1" t="s">
        <v>4743</v>
      </c>
      <c r="D297" s="1" t="str">
        <f ca="1">IFERROR(__xludf.DUMMYFUNCTION("iferror(SPLIT(C297,""=""))"),"")</f>
        <v/>
      </c>
      <c r="F297" s="1" t="e">
        <f t="shared" ca="1" si="1"/>
        <v>#NAME?</v>
      </c>
    </row>
    <row r="298" spans="2:6" ht="12.75">
      <c r="B298" s="1" t="s">
        <v>4743</v>
      </c>
      <c r="C298" s="1" t="s">
        <v>4743</v>
      </c>
      <c r="D298" s="1" t="str">
        <f ca="1">IFERROR(__xludf.DUMMYFUNCTION("iferror(SPLIT(C298,""=""))"),"")</f>
        <v/>
      </c>
      <c r="F298" s="1" t="e">
        <f t="shared" ca="1" si="1"/>
        <v>#NAME?</v>
      </c>
    </row>
    <row r="299" spans="2:6" ht="12.75">
      <c r="B299" s="1" t="s">
        <v>4743</v>
      </c>
      <c r="C299" s="1" t="s">
        <v>4743</v>
      </c>
      <c r="D299" s="1" t="str">
        <f ca="1">IFERROR(__xludf.DUMMYFUNCTION("iferror(SPLIT(C299,""=""))"),"")</f>
        <v/>
      </c>
      <c r="F299" s="1" t="e">
        <f t="shared" ca="1" si="1"/>
        <v>#NAME?</v>
      </c>
    </row>
    <row r="300" spans="2:6" ht="12.75">
      <c r="B300" s="1" t="s">
        <v>4743</v>
      </c>
      <c r="C300" s="1" t="s">
        <v>4743</v>
      </c>
      <c r="D300" s="1" t="str">
        <f ca="1">IFERROR(__xludf.DUMMYFUNCTION("iferror(SPLIT(C300,""=""))"),"")</f>
        <v/>
      </c>
      <c r="F300" s="1" t="e">
        <f t="shared" ca="1" si="1"/>
        <v>#NAME?</v>
      </c>
    </row>
    <row r="301" spans="2:6" ht="12.75">
      <c r="B301" s="1" t="s">
        <v>4743</v>
      </c>
      <c r="C301" s="1" t="s">
        <v>4743</v>
      </c>
      <c r="D301" s="1" t="str">
        <f ca="1">IFERROR(__xludf.DUMMYFUNCTION("iferror(SPLIT(C301,""=""))"),"")</f>
        <v/>
      </c>
      <c r="F301" s="1" t="e">
        <f t="shared" ca="1" si="1"/>
        <v>#NAME?</v>
      </c>
    </row>
    <row r="302" spans="2:6" ht="12.75">
      <c r="B302" s="1" t="s">
        <v>4743</v>
      </c>
      <c r="C302" s="1" t="s">
        <v>4743</v>
      </c>
      <c r="D302" s="1" t="str">
        <f ca="1">IFERROR(__xludf.DUMMYFUNCTION("iferror(SPLIT(C302,""=""))"),"")</f>
        <v/>
      </c>
      <c r="F302" s="1" t="e">
        <f t="shared" ca="1" si="1"/>
        <v>#NAME?</v>
      </c>
    </row>
    <row r="303" spans="2:6" ht="12.75">
      <c r="B303" s="1" t="s">
        <v>4743</v>
      </c>
      <c r="C303" s="1" t="s">
        <v>4743</v>
      </c>
      <c r="D303" s="1" t="str">
        <f ca="1">IFERROR(__xludf.DUMMYFUNCTION("iferror(SPLIT(C303,""=""))"),"")</f>
        <v/>
      </c>
      <c r="F303" s="1" t="e">
        <f t="shared" ca="1" si="1"/>
        <v>#NAME?</v>
      </c>
    </row>
    <row r="304" spans="2:6" ht="12.75">
      <c r="B304" s="1" t="s">
        <v>4743</v>
      </c>
      <c r="C304" s="1" t="s">
        <v>4743</v>
      </c>
      <c r="D304" s="1" t="str">
        <f ca="1">IFERROR(__xludf.DUMMYFUNCTION("iferror(SPLIT(C304,""=""))"),"")</f>
        <v/>
      </c>
      <c r="F304" s="1" t="e">
        <f t="shared" ca="1" si="1"/>
        <v>#NAME?</v>
      </c>
    </row>
    <row r="305" spans="2:6" ht="12.75">
      <c r="B305" s="1" t="s">
        <v>4743</v>
      </c>
      <c r="C305" s="1" t="s">
        <v>4743</v>
      </c>
      <c r="D305" s="1" t="str">
        <f ca="1">IFERROR(__xludf.DUMMYFUNCTION("iferror(SPLIT(C305,""=""))"),"")</f>
        <v/>
      </c>
      <c r="F305" s="1" t="e">
        <f t="shared" ca="1" si="1"/>
        <v>#NAME?</v>
      </c>
    </row>
    <row r="306" spans="2:6" ht="12.75">
      <c r="B306" s="1" t="s">
        <v>4743</v>
      </c>
      <c r="C306" s="1" t="s">
        <v>4743</v>
      </c>
      <c r="D306" s="1" t="str">
        <f ca="1">IFERROR(__xludf.DUMMYFUNCTION("iferror(SPLIT(C306,""=""))"),"")</f>
        <v/>
      </c>
      <c r="F306" s="1" t="e">
        <f t="shared" ca="1" si="1"/>
        <v>#NAME?</v>
      </c>
    </row>
    <row r="307" spans="2:6" ht="12.75">
      <c r="B307" s="1" t="s">
        <v>4743</v>
      </c>
      <c r="C307" s="1" t="s">
        <v>4743</v>
      </c>
      <c r="D307" s="1" t="str">
        <f ca="1">IFERROR(__xludf.DUMMYFUNCTION("iferror(SPLIT(C307,""=""))"),"")</f>
        <v/>
      </c>
      <c r="F307" s="1" t="e">
        <f t="shared" ca="1" si="1"/>
        <v>#NAME?</v>
      </c>
    </row>
    <row r="308" spans="2:6" ht="12.75">
      <c r="B308" s="1" t="s">
        <v>4743</v>
      </c>
      <c r="C308" s="1" t="s">
        <v>4743</v>
      </c>
      <c r="D308" s="1" t="str">
        <f ca="1">IFERROR(__xludf.DUMMYFUNCTION("iferror(SPLIT(C308,""=""))"),"")</f>
        <v/>
      </c>
      <c r="F308" s="1" t="e">
        <f t="shared" ca="1" si="1"/>
        <v>#NAME?</v>
      </c>
    </row>
    <row r="309" spans="2:6" ht="12.75">
      <c r="B309" s="1" t="s">
        <v>4743</v>
      </c>
      <c r="C309" s="1" t="s">
        <v>4743</v>
      </c>
      <c r="D309" s="1" t="str">
        <f ca="1">IFERROR(__xludf.DUMMYFUNCTION("iferror(SPLIT(C309,""=""))"),"")</f>
        <v/>
      </c>
      <c r="F309" s="1" t="e">
        <f t="shared" ca="1" si="1"/>
        <v>#NAME?</v>
      </c>
    </row>
    <row r="310" spans="2:6" ht="12.75">
      <c r="B310" s="1" t="s">
        <v>4743</v>
      </c>
      <c r="C310" s="1" t="s">
        <v>4743</v>
      </c>
      <c r="D310" s="1" t="str">
        <f ca="1">IFERROR(__xludf.DUMMYFUNCTION("iferror(SPLIT(C310,""=""))"),"")</f>
        <v/>
      </c>
      <c r="F310" s="1" t="e">
        <f t="shared" ca="1" si="1"/>
        <v>#NAME?</v>
      </c>
    </row>
    <row r="311" spans="2:6" ht="12.75">
      <c r="B311" s="1" t="s">
        <v>4743</v>
      </c>
      <c r="C311" s="1" t="s">
        <v>4743</v>
      </c>
      <c r="D311" s="1" t="str">
        <f ca="1">IFERROR(__xludf.DUMMYFUNCTION("iferror(SPLIT(C311,""=""))"),"")</f>
        <v/>
      </c>
      <c r="F311" s="1" t="e">
        <f t="shared" ca="1" si="1"/>
        <v>#NAME?</v>
      </c>
    </row>
    <row r="312" spans="2:6" ht="12.75">
      <c r="B312" s="1" t="s">
        <v>4743</v>
      </c>
      <c r="C312" s="1" t="s">
        <v>4743</v>
      </c>
      <c r="D312" s="1" t="str">
        <f ca="1">IFERROR(__xludf.DUMMYFUNCTION("iferror(SPLIT(C312,""=""))"),"")</f>
        <v/>
      </c>
      <c r="F312" s="1" t="e">
        <f t="shared" ca="1" si="1"/>
        <v>#NAME?</v>
      </c>
    </row>
    <row r="313" spans="2:6" ht="12.75">
      <c r="B313" s="1" t="s">
        <v>4743</v>
      </c>
      <c r="C313" s="1" t="s">
        <v>4743</v>
      </c>
      <c r="D313" s="1" t="str">
        <f ca="1">IFERROR(__xludf.DUMMYFUNCTION("iferror(SPLIT(C313,""=""))"),"")</f>
        <v/>
      </c>
      <c r="F313" s="1" t="e">
        <f t="shared" ca="1" si="1"/>
        <v>#NAME?</v>
      </c>
    </row>
    <row r="314" spans="2:6" ht="12.75">
      <c r="B314" s="1" t="s">
        <v>4743</v>
      </c>
      <c r="C314" s="1" t="s">
        <v>4743</v>
      </c>
      <c r="D314" s="1" t="str">
        <f ca="1">IFERROR(__xludf.DUMMYFUNCTION("iferror(SPLIT(C314,""=""))"),"")</f>
        <v/>
      </c>
      <c r="F314" s="1" t="e">
        <f t="shared" ca="1" si="1"/>
        <v>#NAME?</v>
      </c>
    </row>
    <row r="315" spans="2:6" ht="12.75">
      <c r="B315" s="1" t="s">
        <v>4743</v>
      </c>
      <c r="C315" s="1" t="s">
        <v>4743</v>
      </c>
      <c r="D315" s="1" t="str">
        <f ca="1">IFERROR(__xludf.DUMMYFUNCTION("iferror(SPLIT(C315,""=""))"),"")</f>
        <v/>
      </c>
      <c r="F315" s="1" t="e">
        <f t="shared" ca="1" si="1"/>
        <v>#NAME?</v>
      </c>
    </row>
    <row r="316" spans="2:6" ht="12.75">
      <c r="B316" s="1" t="s">
        <v>4743</v>
      </c>
      <c r="C316" s="1" t="s">
        <v>4743</v>
      </c>
      <c r="D316" s="1" t="str">
        <f ca="1">IFERROR(__xludf.DUMMYFUNCTION("iferror(SPLIT(C316,""=""))"),"")</f>
        <v/>
      </c>
      <c r="F316" s="1" t="e">
        <f t="shared" ca="1" si="1"/>
        <v>#NAME?</v>
      </c>
    </row>
    <row r="317" spans="2:6" ht="12.75">
      <c r="B317" s="1" t="s">
        <v>4743</v>
      </c>
      <c r="C317" s="1" t="s">
        <v>4743</v>
      </c>
      <c r="D317" s="1" t="str">
        <f ca="1">IFERROR(__xludf.DUMMYFUNCTION("iferror(SPLIT(C317,""=""))"),"")</f>
        <v/>
      </c>
      <c r="F317" s="1" t="e">
        <f t="shared" ca="1" si="1"/>
        <v>#NAME?</v>
      </c>
    </row>
    <row r="318" spans="2:6" ht="12.75">
      <c r="B318" s="1" t="s">
        <v>4743</v>
      </c>
      <c r="C318" s="1" t="s">
        <v>4743</v>
      </c>
      <c r="D318" s="1" t="str">
        <f ca="1">IFERROR(__xludf.DUMMYFUNCTION("iferror(SPLIT(C318,""=""))"),"")</f>
        <v/>
      </c>
      <c r="F318" s="1" t="e">
        <f t="shared" ca="1" si="1"/>
        <v>#NAME?</v>
      </c>
    </row>
    <row r="319" spans="2:6" ht="12.75">
      <c r="B319" s="1" t="s">
        <v>4743</v>
      </c>
      <c r="C319" s="1" t="s">
        <v>4743</v>
      </c>
      <c r="D319" s="1" t="str">
        <f ca="1">IFERROR(__xludf.DUMMYFUNCTION("iferror(SPLIT(C319,""=""))"),"")</f>
        <v/>
      </c>
      <c r="F319" s="1" t="e">
        <f t="shared" ca="1" si="1"/>
        <v>#NAME?</v>
      </c>
    </row>
    <row r="320" spans="2:6" ht="12.75">
      <c r="B320" s="1" t="s">
        <v>4743</v>
      </c>
      <c r="C320" s="1" t="s">
        <v>4743</v>
      </c>
      <c r="D320" s="1" t="str">
        <f ca="1">IFERROR(__xludf.DUMMYFUNCTION("iferror(SPLIT(C320,""=""))"),"")</f>
        <v/>
      </c>
      <c r="F320" s="1" t="e">
        <f t="shared" ca="1" si="1"/>
        <v>#NAME?</v>
      </c>
    </row>
    <row r="321" spans="2:6" ht="12.75">
      <c r="B321" s="1" t="s">
        <v>4743</v>
      </c>
      <c r="C321" s="1" t="s">
        <v>4743</v>
      </c>
      <c r="D321" s="1" t="str">
        <f ca="1">IFERROR(__xludf.DUMMYFUNCTION("iferror(SPLIT(C321,""=""))"),"")</f>
        <v/>
      </c>
      <c r="F321" s="1" t="e">
        <f t="shared" ca="1" si="1"/>
        <v>#NAME?</v>
      </c>
    </row>
    <row r="322" spans="2:6" ht="12.75">
      <c r="B322" s="1" t="s">
        <v>4743</v>
      </c>
      <c r="C322" s="1" t="s">
        <v>4743</v>
      </c>
      <c r="D322" s="1" t="str">
        <f ca="1">IFERROR(__xludf.DUMMYFUNCTION("iferror(SPLIT(C322,""=""))"),"")</f>
        <v/>
      </c>
      <c r="F322" s="1" t="e">
        <f t="shared" ca="1" si="1"/>
        <v>#NAME?</v>
      </c>
    </row>
    <row r="323" spans="2:6" ht="12.75">
      <c r="B323" s="1" t="s">
        <v>4743</v>
      </c>
      <c r="C323" s="1" t="s">
        <v>4743</v>
      </c>
      <c r="D323" s="1" t="str">
        <f ca="1">IFERROR(__xludf.DUMMYFUNCTION("iferror(SPLIT(C323,""=""))"),"")</f>
        <v/>
      </c>
      <c r="F323" s="1" t="e">
        <f t="shared" ca="1" si="1"/>
        <v>#NAME?</v>
      </c>
    </row>
    <row r="324" spans="2:6" ht="12.75">
      <c r="B324" s="1" t="s">
        <v>4743</v>
      </c>
      <c r="C324" s="1" t="s">
        <v>4743</v>
      </c>
      <c r="D324" s="1" t="str">
        <f ca="1">IFERROR(__xludf.DUMMYFUNCTION("iferror(SPLIT(C324,""=""))"),"")</f>
        <v/>
      </c>
      <c r="F324" s="1" t="e">
        <f t="shared" ca="1" si="1"/>
        <v>#NAME?</v>
      </c>
    </row>
    <row r="325" spans="2:6" ht="12.75">
      <c r="B325" s="1" t="s">
        <v>4743</v>
      </c>
      <c r="C325" s="1" t="s">
        <v>4743</v>
      </c>
      <c r="D325" s="1" t="str">
        <f ca="1">IFERROR(__xludf.DUMMYFUNCTION("iferror(SPLIT(C325,""=""))"),"")</f>
        <v/>
      </c>
      <c r="F325" s="1" t="e">
        <f t="shared" ca="1" si="1"/>
        <v>#NAME?</v>
      </c>
    </row>
    <row r="326" spans="2:6" ht="12.75">
      <c r="B326" s="1" t="s">
        <v>4743</v>
      </c>
      <c r="C326" s="1" t="s">
        <v>4743</v>
      </c>
      <c r="D326" s="1" t="str">
        <f ca="1">IFERROR(__xludf.DUMMYFUNCTION("iferror(SPLIT(C326,""=""))"),"")</f>
        <v/>
      </c>
      <c r="F326" s="1" t="e">
        <f t="shared" ca="1" si="1"/>
        <v>#NAME?</v>
      </c>
    </row>
    <row r="327" spans="2:6" ht="12.75">
      <c r="B327" s="1" t="s">
        <v>4743</v>
      </c>
      <c r="C327" s="1" t="s">
        <v>4743</v>
      </c>
      <c r="D327" s="1" t="str">
        <f ca="1">IFERROR(__xludf.DUMMYFUNCTION("iferror(SPLIT(C327,""=""))"),"")</f>
        <v/>
      </c>
      <c r="F327" s="1" t="e">
        <f t="shared" ca="1" si="1"/>
        <v>#NAME?</v>
      </c>
    </row>
    <row r="328" spans="2:6" ht="12.75">
      <c r="B328" s="1" t="s">
        <v>4743</v>
      </c>
      <c r="C328" s="1" t="s">
        <v>4743</v>
      </c>
      <c r="D328" s="1" t="str">
        <f ca="1">IFERROR(__xludf.DUMMYFUNCTION("iferror(SPLIT(C328,""=""))"),"")</f>
        <v/>
      </c>
      <c r="F328" s="1" t="e">
        <f t="shared" ca="1" si="1"/>
        <v>#NAME?</v>
      </c>
    </row>
    <row r="329" spans="2:6" ht="12.75">
      <c r="B329" s="1" t="s">
        <v>4743</v>
      </c>
      <c r="C329" s="1" t="s">
        <v>4743</v>
      </c>
      <c r="D329" s="1" t="str">
        <f ca="1">IFERROR(__xludf.DUMMYFUNCTION("iferror(SPLIT(C329,""=""))"),"")</f>
        <v/>
      </c>
      <c r="F329" s="1" t="e">
        <f t="shared" ca="1" si="1"/>
        <v>#NAME?</v>
      </c>
    </row>
    <row r="330" spans="2:6" ht="12.75">
      <c r="B330" s="1" t="s">
        <v>4743</v>
      </c>
      <c r="C330" s="1" t="s">
        <v>4743</v>
      </c>
      <c r="D330" s="1" t="str">
        <f ca="1">IFERROR(__xludf.DUMMYFUNCTION("iferror(SPLIT(C330,""=""))"),"")</f>
        <v/>
      </c>
      <c r="F330" s="1" t="e">
        <f t="shared" ca="1" si="1"/>
        <v>#NAME?</v>
      </c>
    </row>
    <row r="331" spans="2:6" ht="12.75">
      <c r="B331" s="1" t="s">
        <v>4743</v>
      </c>
      <c r="C331" s="1" t="s">
        <v>4743</v>
      </c>
      <c r="D331" s="1" t="str">
        <f ca="1">IFERROR(__xludf.DUMMYFUNCTION("iferror(SPLIT(C331,""=""))"),"")</f>
        <v/>
      </c>
      <c r="F331" s="1" t="e">
        <f t="shared" ca="1" si="1"/>
        <v>#NAME?</v>
      </c>
    </row>
    <row r="332" spans="2:6" ht="12.75">
      <c r="B332" s="1" t="s">
        <v>4743</v>
      </c>
      <c r="C332" s="1" t="s">
        <v>4743</v>
      </c>
      <c r="D332" s="1" t="str">
        <f ca="1">IFERROR(__xludf.DUMMYFUNCTION("iferror(SPLIT(C332,""=""))"),"")</f>
        <v/>
      </c>
      <c r="F332" s="1" t="e">
        <f t="shared" ca="1" si="1"/>
        <v>#NAME?</v>
      </c>
    </row>
    <row r="333" spans="2:6" ht="12.75">
      <c r="B333" s="1" t="s">
        <v>4743</v>
      </c>
      <c r="C333" s="1" t="s">
        <v>4743</v>
      </c>
      <c r="D333" s="1" t="str">
        <f ca="1">IFERROR(__xludf.DUMMYFUNCTION("iferror(SPLIT(C333,""=""))"),"")</f>
        <v/>
      </c>
      <c r="F333" s="1" t="e">
        <f t="shared" ca="1" si="1"/>
        <v>#NAME?</v>
      </c>
    </row>
    <row r="334" spans="2:6" ht="12.75">
      <c r="B334" s="1" t="s">
        <v>4743</v>
      </c>
      <c r="C334" s="1" t="s">
        <v>4743</v>
      </c>
      <c r="D334" s="1" t="str">
        <f ca="1">IFERROR(__xludf.DUMMYFUNCTION("iferror(SPLIT(C334,""=""))"),"")</f>
        <v/>
      </c>
      <c r="F334" s="1" t="e">
        <f t="shared" ca="1" si="1"/>
        <v>#NAME?</v>
      </c>
    </row>
    <row r="335" spans="2:6" ht="12.75">
      <c r="B335" s="1" t="s">
        <v>4743</v>
      </c>
      <c r="C335" s="1" t="s">
        <v>4743</v>
      </c>
      <c r="D335" s="1" t="str">
        <f ca="1">IFERROR(__xludf.DUMMYFUNCTION("iferror(SPLIT(C335,""=""))"),"")</f>
        <v/>
      </c>
      <c r="F335" s="1" t="e">
        <f t="shared" ca="1" si="1"/>
        <v>#NAME?</v>
      </c>
    </row>
    <row r="336" spans="2:6" ht="12.75">
      <c r="B336" s="1" t="s">
        <v>4743</v>
      </c>
      <c r="C336" s="1" t="s">
        <v>4743</v>
      </c>
      <c r="D336" s="1" t="str">
        <f ca="1">IFERROR(__xludf.DUMMYFUNCTION("iferror(SPLIT(C336,""=""))"),"")</f>
        <v/>
      </c>
      <c r="F336" s="1" t="e">
        <f t="shared" ca="1" si="1"/>
        <v>#NAME?</v>
      </c>
    </row>
    <row r="337" spans="2:6" ht="12.75">
      <c r="B337" s="1" t="s">
        <v>4743</v>
      </c>
      <c r="C337" s="1" t="s">
        <v>4743</v>
      </c>
      <c r="D337" s="1" t="str">
        <f ca="1">IFERROR(__xludf.DUMMYFUNCTION("iferror(SPLIT(C337,""=""))"),"")</f>
        <v/>
      </c>
      <c r="F337" s="1" t="e">
        <f t="shared" ca="1" si="1"/>
        <v>#NAME?</v>
      </c>
    </row>
    <row r="338" spans="2:6" ht="12.75">
      <c r="B338" s="1" t="s">
        <v>4743</v>
      </c>
      <c r="C338" s="1" t="s">
        <v>4743</v>
      </c>
      <c r="D338" s="1" t="str">
        <f ca="1">IFERROR(__xludf.DUMMYFUNCTION("iferror(SPLIT(C338,""=""))"),"")</f>
        <v/>
      </c>
      <c r="F338" s="1" t="e">
        <f t="shared" ca="1" si="1"/>
        <v>#NAME?</v>
      </c>
    </row>
    <row r="339" spans="2:6" ht="12.75">
      <c r="B339" s="1" t="s">
        <v>4743</v>
      </c>
      <c r="C339" s="1" t="s">
        <v>4743</v>
      </c>
      <c r="D339" s="1" t="str">
        <f ca="1">IFERROR(__xludf.DUMMYFUNCTION("iferror(SPLIT(C339,""=""))"),"")</f>
        <v/>
      </c>
      <c r="F339" s="1" t="e">
        <f t="shared" ca="1" si="1"/>
        <v>#NAME?</v>
      </c>
    </row>
    <row r="340" spans="2:6" ht="12.75">
      <c r="B340" s="1" t="s">
        <v>4743</v>
      </c>
      <c r="C340" s="1" t="s">
        <v>4743</v>
      </c>
      <c r="D340" s="1" t="str">
        <f ca="1">IFERROR(__xludf.DUMMYFUNCTION("iferror(SPLIT(C340,""=""))"),"")</f>
        <v/>
      </c>
      <c r="F340" s="1" t="e">
        <f t="shared" ca="1" si="1"/>
        <v>#NAME?</v>
      </c>
    </row>
    <row r="341" spans="2:6" ht="12.75">
      <c r="B341" s="1" t="s">
        <v>4743</v>
      </c>
      <c r="C341" s="1" t="s">
        <v>4743</v>
      </c>
      <c r="D341" s="1" t="str">
        <f ca="1">IFERROR(__xludf.DUMMYFUNCTION("iferror(SPLIT(C341,""=""))"),"")</f>
        <v/>
      </c>
      <c r="F341" s="1" t="e">
        <f t="shared" ca="1" si="1"/>
        <v>#NAME?</v>
      </c>
    </row>
    <row r="342" spans="2:6" ht="12.75">
      <c r="B342" s="1" t="s">
        <v>4743</v>
      </c>
      <c r="C342" s="1" t="s">
        <v>4743</v>
      </c>
      <c r="D342" s="1" t="str">
        <f ca="1">IFERROR(__xludf.DUMMYFUNCTION("iferror(SPLIT(C342,""=""))"),"")</f>
        <v/>
      </c>
      <c r="F342" s="1" t="e">
        <f t="shared" ca="1" si="1"/>
        <v>#NAME?</v>
      </c>
    </row>
    <row r="343" spans="2:6" ht="12.75">
      <c r="B343" s="1" t="s">
        <v>4743</v>
      </c>
      <c r="C343" s="1" t="s">
        <v>4743</v>
      </c>
      <c r="D343" s="1" t="str">
        <f ca="1">IFERROR(__xludf.DUMMYFUNCTION("iferror(SPLIT(C343,""=""))"),"")</f>
        <v/>
      </c>
      <c r="F343" s="1" t="e">
        <f t="shared" ca="1" si="1"/>
        <v>#NAME?</v>
      </c>
    </row>
    <row r="344" spans="2:6" ht="12.75">
      <c r="B344" s="1" t="s">
        <v>4743</v>
      </c>
      <c r="C344" s="1" t="s">
        <v>4743</v>
      </c>
      <c r="D344" s="1" t="str">
        <f ca="1">IFERROR(__xludf.DUMMYFUNCTION("iferror(SPLIT(C344,""=""))"),"")</f>
        <v/>
      </c>
      <c r="F344" s="1" t="e">
        <f t="shared" ca="1" si="1"/>
        <v>#NAME?</v>
      </c>
    </row>
    <row r="345" spans="2:6" ht="12.75">
      <c r="B345" s="1" t="s">
        <v>4743</v>
      </c>
      <c r="C345" s="1" t="s">
        <v>4743</v>
      </c>
      <c r="D345" s="1" t="str">
        <f ca="1">IFERROR(__xludf.DUMMYFUNCTION("iferror(SPLIT(C345,""=""))"),"")</f>
        <v/>
      </c>
      <c r="F345" s="1" t="e">
        <f t="shared" ca="1" si="1"/>
        <v>#NAME?</v>
      </c>
    </row>
    <row r="346" spans="2:6" ht="12.75">
      <c r="B346" s="1" t="s">
        <v>4743</v>
      </c>
      <c r="C346" s="1" t="s">
        <v>4743</v>
      </c>
      <c r="D346" s="1" t="str">
        <f ca="1">IFERROR(__xludf.DUMMYFUNCTION("iferror(SPLIT(C346,""=""))"),"")</f>
        <v/>
      </c>
      <c r="F346" s="1" t="e">
        <f t="shared" ca="1" si="1"/>
        <v>#NAME?</v>
      </c>
    </row>
    <row r="347" spans="2:6" ht="12.75">
      <c r="B347" s="1" t="s">
        <v>4743</v>
      </c>
      <c r="C347" s="1" t="s">
        <v>4743</v>
      </c>
      <c r="D347" s="1" t="str">
        <f ca="1">IFERROR(__xludf.DUMMYFUNCTION("iferror(SPLIT(C347,""=""))"),"")</f>
        <v/>
      </c>
      <c r="F347" s="1" t="e">
        <f t="shared" ca="1" si="1"/>
        <v>#NAME?</v>
      </c>
    </row>
    <row r="348" spans="2:6" ht="12.75">
      <c r="B348" s="1" t="s">
        <v>4743</v>
      </c>
      <c r="C348" s="1" t="s">
        <v>4743</v>
      </c>
      <c r="D348" s="1" t="str">
        <f ca="1">IFERROR(__xludf.DUMMYFUNCTION("iferror(SPLIT(C348,""=""))"),"")</f>
        <v/>
      </c>
      <c r="F348" s="1" t="e">
        <f t="shared" ca="1" si="1"/>
        <v>#NAME?</v>
      </c>
    </row>
    <row r="349" spans="2:6" ht="12.75">
      <c r="B349" s="1" t="s">
        <v>4743</v>
      </c>
      <c r="C349" s="1" t="s">
        <v>4743</v>
      </c>
      <c r="D349" s="1" t="str">
        <f ca="1">IFERROR(__xludf.DUMMYFUNCTION("iferror(SPLIT(C349,""=""))"),"")</f>
        <v/>
      </c>
      <c r="F349" s="1" t="e">
        <f t="shared" ca="1" si="1"/>
        <v>#NAME?</v>
      </c>
    </row>
    <row r="350" spans="2:6" ht="12.75">
      <c r="B350" s="1" t="s">
        <v>4743</v>
      </c>
      <c r="C350" s="1" t="s">
        <v>4743</v>
      </c>
      <c r="D350" s="1" t="str">
        <f ca="1">IFERROR(__xludf.DUMMYFUNCTION("iferror(SPLIT(C350,""=""))"),"")</f>
        <v/>
      </c>
      <c r="F350" s="1" t="e">
        <f t="shared" ca="1" si="1"/>
        <v>#NAME?</v>
      </c>
    </row>
    <row r="351" spans="2:6" ht="12.75">
      <c r="B351" s="1" t="s">
        <v>4743</v>
      </c>
      <c r="C351" s="1" t="s">
        <v>4743</v>
      </c>
      <c r="D351" s="1" t="str">
        <f ca="1">IFERROR(__xludf.DUMMYFUNCTION("iferror(SPLIT(C351,""=""))"),"")</f>
        <v/>
      </c>
      <c r="F351" s="1" t="e">
        <f t="shared" ca="1" si="1"/>
        <v>#NAME?</v>
      </c>
    </row>
    <row r="352" spans="2:6" ht="12.75">
      <c r="B352" s="1" t="s">
        <v>4743</v>
      </c>
      <c r="C352" s="1" t="s">
        <v>4743</v>
      </c>
      <c r="D352" s="1" t="str">
        <f ca="1">IFERROR(__xludf.DUMMYFUNCTION("iferror(SPLIT(C352,""=""))"),"")</f>
        <v/>
      </c>
      <c r="F352" s="1" t="e">
        <f t="shared" ca="1" si="1"/>
        <v>#NAME?</v>
      </c>
    </row>
    <row r="353" spans="2:6" ht="12.75">
      <c r="B353" s="1" t="s">
        <v>4743</v>
      </c>
      <c r="C353" s="1" t="s">
        <v>4743</v>
      </c>
      <c r="D353" s="1" t="str">
        <f ca="1">IFERROR(__xludf.DUMMYFUNCTION("iferror(SPLIT(C353,""=""))"),"")</f>
        <v/>
      </c>
      <c r="F353" s="1" t="e">
        <f t="shared" ca="1" si="1"/>
        <v>#NAME?</v>
      </c>
    </row>
    <row r="354" spans="2:6" ht="12.75">
      <c r="B354" s="1" t="s">
        <v>4743</v>
      </c>
      <c r="C354" s="1" t="s">
        <v>4743</v>
      </c>
      <c r="D354" s="1" t="str">
        <f ca="1">IFERROR(__xludf.DUMMYFUNCTION("iferror(SPLIT(C354,""=""))"),"")</f>
        <v/>
      </c>
      <c r="F354" s="1" t="e">
        <f t="shared" ca="1" si="1"/>
        <v>#NAME?</v>
      </c>
    </row>
    <row r="355" spans="2:6" ht="12.75">
      <c r="B355" s="1" t="s">
        <v>4743</v>
      </c>
      <c r="C355" s="1" t="s">
        <v>4743</v>
      </c>
      <c r="D355" s="1" t="str">
        <f ca="1">IFERROR(__xludf.DUMMYFUNCTION("iferror(SPLIT(C355,""=""))"),"")</f>
        <v/>
      </c>
      <c r="F355" s="1" t="e">
        <f t="shared" ca="1" si="1"/>
        <v>#NAME?</v>
      </c>
    </row>
    <row r="356" spans="2:6" ht="12.75">
      <c r="B356" s="1" t="s">
        <v>4743</v>
      </c>
      <c r="C356" s="1" t="s">
        <v>4743</v>
      </c>
      <c r="D356" s="1" t="str">
        <f ca="1">IFERROR(__xludf.DUMMYFUNCTION("iferror(SPLIT(C356,""=""))"),"")</f>
        <v/>
      </c>
      <c r="F356" s="1" t="e">
        <f t="shared" ca="1" si="1"/>
        <v>#NAME?</v>
      </c>
    </row>
    <row r="357" spans="2:6" ht="12.75">
      <c r="B357" s="1" t="s">
        <v>4743</v>
      </c>
      <c r="C357" s="1" t="s">
        <v>4743</v>
      </c>
      <c r="D357" s="1" t="str">
        <f ca="1">IFERROR(__xludf.DUMMYFUNCTION("iferror(SPLIT(C357,""=""))"),"")</f>
        <v/>
      </c>
      <c r="F357" s="1" t="e">
        <f t="shared" ca="1" si="1"/>
        <v>#NAME?</v>
      </c>
    </row>
    <row r="358" spans="2:6" ht="12.75">
      <c r="B358" s="1" t="s">
        <v>4743</v>
      </c>
      <c r="C358" s="1" t="s">
        <v>4743</v>
      </c>
      <c r="D358" s="1" t="str">
        <f ca="1">IFERROR(__xludf.DUMMYFUNCTION("iferror(SPLIT(C358,""=""))"),"")</f>
        <v/>
      </c>
      <c r="F358" s="1" t="e">
        <f t="shared" ca="1" si="1"/>
        <v>#NAME?</v>
      </c>
    </row>
    <row r="359" spans="2:6" ht="12.75">
      <c r="B359" s="1" t="s">
        <v>4743</v>
      </c>
      <c r="C359" s="1" t="s">
        <v>4743</v>
      </c>
      <c r="D359" s="1" t="str">
        <f ca="1">IFERROR(__xludf.DUMMYFUNCTION("iferror(SPLIT(C359,""=""))"),"")</f>
        <v/>
      </c>
      <c r="F359" s="1" t="e">
        <f t="shared" ca="1" si="1"/>
        <v>#NAME?</v>
      </c>
    </row>
    <row r="360" spans="2:6" ht="12.75">
      <c r="B360" s="1" t="s">
        <v>4743</v>
      </c>
      <c r="C360" s="1" t="s">
        <v>4743</v>
      </c>
      <c r="D360" s="1" t="str">
        <f ca="1">IFERROR(__xludf.DUMMYFUNCTION("iferror(SPLIT(C360,""=""))"),"")</f>
        <v/>
      </c>
      <c r="F360" s="1" t="e">
        <f t="shared" ca="1" si="1"/>
        <v>#NAME?</v>
      </c>
    </row>
    <row r="361" spans="2:6" ht="12.75">
      <c r="B361" s="1" t="s">
        <v>4743</v>
      </c>
      <c r="C361" s="1" t="s">
        <v>4743</v>
      </c>
      <c r="D361" s="1" t="str">
        <f ca="1">IFERROR(__xludf.DUMMYFUNCTION("iferror(SPLIT(C361,""=""))"),"")</f>
        <v/>
      </c>
      <c r="F361" s="1" t="e">
        <f t="shared" ca="1" si="1"/>
        <v>#NAME?</v>
      </c>
    </row>
    <row r="362" spans="2:6" ht="12.75">
      <c r="B362" s="1" t="s">
        <v>4743</v>
      </c>
      <c r="C362" s="1" t="s">
        <v>4743</v>
      </c>
      <c r="D362" s="1" t="str">
        <f ca="1">IFERROR(__xludf.DUMMYFUNCTION("iferror(SPLIT(C362,""=""))"),"")</f>
        <v/>
      </c>
      <c r="F362" s="1" t="e">
        <f t="shared" ca="1" si="1"/>
        <v>#NAME?</v>
      </c>
    </row>
    <row r="363" spans="2:6" ht="12.75">
      <c r="B363" s="1" t="s">
        <v>4743</v>
      </c>
      <c r="C363" s="1" t="s">
        <v>4743</v>
      </c>
      <c r="D363" s="1" t="str">
        <f ca="1">IFERROR(__xludf.DUMMYFUNCTION("iferror(SPLIT(C363,""=""))"),"")</f>
        <v/>
      </c>
      <c r="F363" s="1" t="e">
        <f t="shared" ca="1" si="1"/>
        <v>#NAME?</v>
      </c>
    </row>
    <row r="364" spans="2:6" ht="12.75">
      <c r="B364" s="1" t="s">
        <v>4743</v>
      </c>
      <c r="C364" s="1" t="s">
        <v>4743</v>
      </c>
      <c r="D364" s="1" t="str">
        <f ca="1">IFERROR(__xludf.DUMMYFUNCTION("iferror(SPLIT(C364,""=""))"),"")</f>
        <v/>
      </c>
      <c r="F364" s="1" t="e">
        <f t="shared" ca="1" si="1"/>
        <v>#NAME?</v>
      </c>
    </row>
    <row r="365" spans="2:6" ht="12.75">
      <c r="B365" s="1" t="s">
        <v>4743</v>
      </c>
      <c r="C365" s="1" t="s">
        <v>4743</v>
      </c>
      <c r="D365" s="1" t="str">
        <f ca="1">IFERROR(__xludf.DUMMYFUNCTION("iferror(SPLIT(C365,""=""))"),"")</f>
        <v/>
      </c>
      <c r="F365" s="1" t="e">
        <f t="shared" ca="1" si="1"/>
        <v>#NAME?</v>
      </c>
    </row>
    <row r="366" spans="2:6" ht="12.75">
      <c r="B366" s="1" t="s">
        <v>4743</v>
      </c>
      <c r="C366" s="1" t="s">
        <v>4743</v>
      </c>
      <c r="D366" s="1" t="str">
        <f ca="1">IFERROR(__xludf.DUMMYFUNCTION("iferror(SPLIT(C366,""=""))"),"")</f>
        <v/>
      </c>
      <c r="F366" s="1" t="e">
        <f t="shared" ca="1" si="1"/>
        <v>#NAME?</v>
      </c>
    </row>
    <row r="367" spans="2:6" ht="12.75">
      <c r="B367" s="1" t="s">
        <v>4743</v>
      </c>
      <c r="C367" s="1" t="s">
        <v>4743</v>
      </c>
      <c r="D367" s="1" t="str">
        <f ca="1">IFERROR(__xludf.DUMMYFUNCTION("iferror(SPLIT(C367,""=""))"),"")</f>
        <v/>
      </c>
      <c r="F367" s="1" t="e">
        <f t="shared" ca="1" si="1"/>
        <v>#NAME?</v>
      </c>
    </row>
    <row r="368" spans="2:6" ht="12.75">
      <c r="B368" s="1" t="s">
        <v>4743</v>
      </c>
      <c r="C368" s="1" t="s">
        <v>4743</v>
      </c>
      <c r="D368" s="1" t="str">
        <f ca="1">IFERROR(__xludf.DUMMYFUNCTION("iferror(SPLIT(C368,""=""))"),"")</f>
        <v/>
      </c>
      <c r="F368" s="1" t="e">
        <f t="shared" ca="1" si="1"/>
        <v>#NAME?</v>
      </c>
    </row>
    <row r="369" spans="2:6" ht="12.75">
      <c r="B369" s="1" t="s">
        <v>4743</v>
      </c>
      <c r="C369" s="1" t="s">
        <v>4743</v>
      </c>
      <c r="D369" s="1" t="str">
        <f ca="1">IFERROR(__xludf.DUMMYFUNCTION("iferror(SPLIT(C369,""=""))"),"")</f>
        <v/>
      </c>
      <c r="F369" s="1" t="e">
        <f t="shared" ca="1" si="1"/>
        <v>#NAME?</v>
      </c>
    </row>
    <row r="370" spans="2:6" ht="12.75">
      <c r="B370" s="1" t="s">
        <v>4743</v>
      </c>
      <c r="C370" s="1" t="s">
        <v>4743</v>
      </c>
      <c r="D370" s="1" t="str">
        <f ca="1">IFERROR(__xludf.DUMMYFUNCTION("iferror(SPLIT(C370,""=""))"),"")</f>
        <v/>
      </c>
      <c r="F370" s="1" t="e">
        <f t="shared" ca="1" si="1"/>
        <v>#NAME?</v>
      </c>
    </row>
    <row r="371" spans="2:6" ht="12.75">
      <c r="B371" s="1" t="s">
        <v>4743</v>
      </c>
      <c r="C371" s="1" t="s">
        <v>4743</v>
      </c>
      <c r="D371" s="1" t="str">
        <f ca="1">IFERROR(__xludf.DUMMYFUNCTION("iferror(SPLIT(C371,""=""))"),"")</f>
        <v/>
      </c>
      <c r="F371" s="1" t="e">
        <f t="shared" ca="1" si="1"/>
        <v>#NAME?</v>
      </c>
    </row>
    <row r="372" spans="2:6" ht="12.75">
      <c r="B372" s="1" t="s">
        <v>4743</v>
      </c>
      <c r="C372" s="1" t="s">
        <v>4743</v>
      </c>
      <c r="D372" s="1" t="str">
        <f ca="1">IFERROR(__xludf.DUMMYFUNCTION("iferror(SPLIT(C372,""=""))"),"")</f>
        <v/>
      </c>
      <c r="F372" s="1" t="e">
        <f t="shared" ca="1" si="1"/>
        <v>#NAME?</v>
      </c>
    </row>
    <row r="373" spans="2:6" ht="12.75">
      <c r="B373" s="1" t="s">
        <v>4743</v>
      </c>
      <c r="C373" s="1" t="s">
        <v>4743</v>
      </c>
      <c r="D373" s="1" t="str">
        <f ca="1">IFERROR(__xludf.DUMMYFUNCTION("iferror(SPLIT(C373,""=""))"),"")</f>
        <v/>
      </c>
      <c r="F373" s="1" t="e">
        <f t="shared" ca="1" si="1"/>
        <v>#NAME?</v>
      </c>
    </row>
    <row r="374" spans="2:6" ht="12.75">
      <c r="B374" s="1" t="s">
        <v>4743</v>
      </c>
      <c r="C374" s="1" t="s">
        <v>4743</v>
      </c>
      <c r="D374" s="1" t="str">
        <f ca="1">IFERROR(__xludf.DUMMYFUNCTION("iferror(SPLIT(C374,""=""))"),"")</f>
        <v/>
      </c>
      <c r="F374" s="1" t="e">
        <f t="shared" ca="1" si="1"/>
        <v>#NAME?</v>
      </c>
    </row>
    <row r="375" spans="2:6" ht="12.75">
      <c r="B375" s="1" t="s">
        <v>4743</v>
      </c>
      <c r="C375" s="1" t="s">
        <v>4743</v>
      </c>
      <c r="D375" s="1" t="str">
        <f ca="1">IFERROR(__xludf.DUMMYFUNCTION("iferror(SPLIT(C375,""=""))"),"")</f>
        <v/>
      </c>
      <c r="F375" s="1" t="e">
        <f t="shared" ca="1" si="1"/>
        <v>#NAME?</v>
      </c>
    </row>
    <row r="376" spans="2:6" ht="12.75">
      <c r="B376" s="1" t="s">
        <v>4743</v>
      </c>
      <c r="C376" s="1" t="s">
        <v>4743</v>
      </c>
      <c r="D376" s="1" t="str">
        <f ca="1">IFERROR(__xludf.DUMMYFUNCTION("iferror(SPLIT(C376,""=""))"),"")</f>
        <v/>
      </c>
      <c r="F376" s="1" t="e">
        <f t="shared" ca="1" si="1"/>
        <v>#NAME?</v>
      </c>
    </row>
    <row r="377" spans="2:6" ht="12.75">
      <c r="B377" s="1" t="s">
        <v>4743</v>
      </c>
      <c r="C377" s="1" t="s">
        <v>4743</v>
      </c>
      <c r="D377" s="1" t="str">
        <f ca="1">IFERROR(__xludf.DUMMYFUNCTION("iferror(SPLIT(C377,""=""))"),"")</f>
        <v/>
      </c>
      <c r="F377" s="1" t="e">
        <f t="shared" ca="1" si="1"/>
        <v>#NAME?</v>
      </c>
    </row>
    <row r="378" spans="2:6" ht="12.75">
      <c r="B378" s="1" t="s">
        <v>4743</v>
      </c>
      <c r="C378" s="1" t="s">
        <v>4743</v>
      </c>
      <c r="D378" s="1" t="str">
        <f ca="1">IFERROR(__xludf.DUMMYFUNCTION("iferror(SPLIT(C378,""=""))"),"")</f>
        <v/>
      </c>
      <c r="F378" s="1" t="e">
        <f t="shared" ca="1" si="1"/>
        <v>#NAME?</v>
      </c>
    </row>
    <row r="379" spans="2:6" ht="12.75">
      <c r="B379" s="1" t="s">
        <v>4743</v>
      </c>
      <c r="C379" s="1" t="s">
        <v>4743</v>
      </c>
      <c r="D379" s="1" t="str">
        <f ca="1">IFERROR(__xludf.DUMMYFUNCTION("iferror(SPLIT(C379,""=""))"),"")</f>
        <v/>
      </c>
      <c r="F379" s="1" t="e">
        <f t="shared" ca="1" si="1"/>
        <v>#NAME?</v>
      </c>
    </row>
    <row r="380" spans="2:6" ht="12.75">
      <c r="B380" s="1" t="s">
        <v>4743</v>
      </c>
      <c r="C380" s="1" t="s">
        <v>4743</v>
      </c>
      <c r="D380" s="1" t="str">
        <f ca="1">IFERROR(__xludf.DUMMYFUNCTION("iferror(SPLIT(C380,""=""))"),"")</f>
        <v/>
      </c>
      <c r="F380" s="1" t="e">
        <f t="shared" ca="1" si="1"/>
        <v>#NAME?</v>
      </c>
    </row>
    <row r="381" spans="2:6" ht="12.75">
      <c r="B381" s="1" t="s">
        <v>4743</v>
      </c>
      <c r="C381" s="1" t="s">
        <v>4743</v>
      </c>
      <c r="D381" s="1" t="str">
        <f ca="1">IFERROR(__xludf.DUMMYFUNCTION("iferror(SPLIT(C381,""=""))"),"")</f>
        <v/>
      </c>
      <c r="F381" s="1" t="e">
        <f t="shared" ca="1" si="1"/>
        <v>#NAME?</v>
      </c>
    </row>
    <row r="382" spans="2:6" ht="12.75">
      <c r="B382" s="1" t="s">
        <v>4743</v>
      </c>
      <c r="C382" s="1" t="s">
        <v>4743</v>
      </c>
      <c r="D382" s="1" t="str">
        <f ca="1">IFERROR(__xludf.DUMMYFUNCTION("iferror(SPLIT(C382,""=""))"),"")</f>
        <v/>
      </c>
      <c r="F382" s="1" t="e">
        <f t="shared" ca="1" si="1"/>
        <v>#NAME?</v>
      </c>
    </row>
    <row r="383" spans="2:6" ht="12.75">
      <c r="B383" s="1" t="s">
        <v>4743</v>
      </c>
      <c r="C383" s="1" t="s">
        <v>4743</v>
      </c>
      <c r="D383" s="1" t="str">
        <f ca="1">IFERROR(__xludf.DUMMYFUNCTION("iferror(SPLIT(C383,""=""))"),"")</f>
        <v/>
      </c>
      <c r="F383" s="1" t="e">
        <f t="shared" ca="1" si="1"/>
        <v>#NAME?</v>
      </c>
    </row>
    <row r="384" spans="2:6" ht="12.75">
      <c r="B384" s="1" t="s">
        <v>4743</v>
      </c>
      <c r="C384" s="1" t="s">
        <v>4743</v>
      </c>
      <c r="D384" s="1" t="str">
        <f ca="1">IFERROR(__xludf.DUMMYFUNCTION("iferror(SPLIT(C384,""=""))"),"")</f>
        <v/>
      </c>
      <c r="F384" s="1" t="e">
        <f t="shared" ca="1" si="1"/>
        <v>#NAME?</v>
      </c>
    </row>
    <row r="385" spans="2:6" ht="12.75">
      <c r="B385" s="1" t="s">
        <v>4743</v>
      </c>
      <c r="C385" s="1" t="s">
        <v>4743</v>
      </c>
      <c r="D385" s="1" t="str">
        <f ca="1">IFERROR(__xludf.DUMMYFUNCTION("iferror(SPLIT(C385,""=""))"),"")</f>
        <v/>
      </c>
      <c r="F385" s="1" t="e">
        <f t="shared" ca="1" si="1"/>
        <v>#NAME?</v>
      </c>
    </row>
    <row r="386" spans="2:6" ht="12.75">
      <c r="B386" s="1" t="s">
        <v>4743</v>
      </c>
      <c r="C386" s="1" t="s">
        <v>4743</v>
      </c>
      <c r="D386" s="1" t="str">
        <f ca="1">IFERROR(__xludf.DUMMYFUNCTION("iferror(SPLIT(C386,""=""))"),"")</f>
        <v/>
      </c>
      <c r="F386" s="1" t="e">
        <f t="shared" ca="1" si="1"/>
        <v>#NAME?</v>
      </c>
    </row>
    <row r="387" spans="2:6" ht="12.75">
      <c r="B387" s="1" t="s">
        <v>4743</v>
      </c>
      <c r="C387" s="1" t="s">
        <v>4743</v>
      </c>
      <c r="D387" s="1" t="str">
        <f ca="1">IFERROR(__xludf.DUMMYFUNCTION("iferror(SPLIT(C387,""=""))"),"")</f>
        <v/>
      </c>
      <c r="F387" s="1" t="e">
        <f t="shared" ca="1" si="1"/>
        <v>#NAME?</v>
      </c>
    </row>
    <row r="388" spans="2:6" ht="12.75">
      <c r="B388" s="1" t="s">
        <v>4743</v>
      </c>
      <c r="C388" s="1" t="s">
        <v>4743</v>
      </c>
      <c r="D388" s="1" t="str">
        <f ca="1">IFERROR(__xludf.DUMMYFUNCTION("iferror(SPLIT(C388,""=""))"),"")</f>
        <v/>
      </c>
      <c r="F388" s="1" t="e">
        <f t="shared" ca="1" si="1"/>
        <v>#NAME?</v>
      </c>
    </row>
    <row r="389" spans="2:6" ht="12.75">
      <c r="B389" s="1" t="s">
        <v>4743</v>
      </c>
      <c r="C389" s="1" t="s">
        <v>4743</v>
      </c>
      <c r="D389" s="1" t="str">
        <f ca="1">IFERROR(__xludf.DUMMYFUNCTION("iferror(SPLIT(C389,""=""))"),"")</f>
        <v/>
      </c>
      <c r="F389" s="1" t="e">
        <f t="shared" ca="1" si="1"/>
        <v>#NAME?</v>
      </c>
    </row>
    <row r="390" spans="2:6" ht="12.75">
      <c r="B390" s="1" t="s">
        <v>4743</v>
      </c>
      <c r="C390" s="1" t="s">
        <v>4743</v>
      </c>
      <c r="D390" s="1" t="str">
        <f ca="1">IFERROR(__xludf.DUMMYFUNCTION("iferror(SPLIT(C390,""=""))"),"")</f>
        <v/>
      </c>
      <c r="F390" s="1" t="e">
        <f t="shared" ca="1" si="1"/>
        <v>#NAME?</v>
      </c>
    </row>
    <row r="391" spans="2:6" ht="12.75">
      <c r="B391" s="1" t="s">
        <v>4743</v>
      </c>
      <c r="C391" s="1" t="s">
        <v>4743</v>
      </c>
      <c r="D391" s="1" t="str">
        <f ca="1">IFERROR(__xludf.DUMMYFUNCTION("iferror(SPLIT(C391,""=""))"),"")</f>
        <v/>
      </c>
      <c r="F391" s="1" t="e">
        <f t="shared" ca="1" si="1"/>
        <v>#NAME?</v>
      </c>
    </row>
    <row r="392" spans="2:6" ht="12.75">
      <c r="B392" s="1" t="s">
        <v>4743</v>
      </c>
      <c r="C392" s="1" t="s">
        <v>4743</v>
      </c>
      <c r="D392" s="1" t="str">
        <f ca="1">IFERROR(__xludf.DUMMYFUNCTION("iferror(SPLIT(C392,""=""))"),"")</f>
        <v/>
      </c>
      <c r="F392" s="1" t="e">
        <f t="shared" ca="1" si="1"/>
        <v>#NAME?</v>
      </c>
    </row>
    <row r="393" spans="2:6" ht="12.75">
      <c r="B393" s="1" t="s">
        <v>4743</v>
      </c>
      <c r="C393" s="1" t="s">
        <v>4743</v>
      </c>
      <c r="D393" s="1" t="str">
        <f ca="1">IFERROR(__xludf.DUMMYFUNCTION("iferror(SPLIT(C393,""=""))"),"")</f>
        <v/>
      </c>
      <c r="F393" s="1" t="e">
        <f t="shared" ca="1" si="1"/>
        <v>#NAME?</v>
      </c>
    </row>
    <row r="394" spans="2:6" ht="12.75">
      <c r="B394" s="1" t="s">
        <v>4743</v>
      </c>
      <c r="C394" s="1" t="s">
        <v>4743</v>
      </c>
      <c r="D394" s="1" t="str">
        <f ca="1">IFERROR(__xludf.DUMMYFUNCTION("iferror(SPLIT(C394,""=""))"),"")</f>
        <v/>
      </c>
      <c r="F394" s="1" t="e">
        <f t="shared" ca="1" si="1"/>
        <v>#NAME?</v>
      </c>
    </row>
    <row r="395" spans="2:6" ht="12.75">
      <c r="B395" s="1" t="s">
        <v>4743</v>
      </c>
      <c r="C395" s="1" t="s">
        <v>4743</v>
      </c>
      <c r="D395" s="1" t="str">
        <f ca="1">IFERROR(__xludf.DUMMYFUNCTION("iferror(SPLIT(C395,""=""))"),"")</f>
        <v/>
      </c>
      <c r="F395" s="1" t="e">
        <f t="shared" ca="1" si="1"/>
        <v>#NAME?</v>
      </c>
    </row>
    <row r="396" spans="2:6" ht="12.75">
      <c r="B396" s="1" t="s">
        <v>4743</v>
      </c>
      <c r="C396" s="1" t="s">
        <v>4743</v>
      </c>
      <c r="D396" s="1" t="str">
        <f ca="1">IFERROR(__xludf.DUMMYFUNCTION("iferror(SPLIT(C396,""=""))"),"")</f>
        <v/>
      </c>
      <c r="F396" s="1" t="e">
        <f t="shared" ca="1" si="1"/>
        <v>#NAME?</v>
      </c>
    </row>
    <row r="397" spans="2:6" ht="12.75">
      <c r="B397" s="1" t="s">
        <v>4743</v>
      </c>
      <c r="C397" s="1" t="s">
        <v>4743</v>
      </c>
      <c r="D397" s="1" t="str">
        <f ca="1">IFERROR(__xludf.DUMMYFUNCTION("iferror(SPLIT(C397,""=""))"),"")</f>
        <v/>
      </c>
      <c r="F397" s="1" t="e">
        <f t="shared" ca="1" si="1"/>
        <v>#NAME?</v>
      </c>
    </row>
    <row r="398" spans="2:6" ht="12.75">
      <c r="B398" s="1" t="s">
        <v>4743</v>
      </c>
      <c r="C398" s="1" t="s">
        <v>4743</v>
      </c>
      <c r="D398" s="1" t="str">
        <f ca="1">IFERROR(__xludf.DUMMYFUNCTION("iferror(SPLIT(C398,""=""))"),"")</f>
        <v/>
      </c>
      <c r="F398" s="1" t="e">
        <f t="shared" ca="1" si="1"/>
        <v>#NAME?</v>
      </c>
    </row>
    <row r="399" spans="2:6" ht="12.75">
      <c r="B399" s="1" t="s">
        <v>4743</v>
      </c>
      <c r="C399" s="1" t="s">
        <v>4743</v>
      </c>
      <c r="D399" s="1" t="str">
        <f ca="1">IFERROR(__xludf.DUMMYFUNCTION("iferror(SPLIT(C399,""=""))"),"")</f>
        <v/>
      </c>
      <c r="F399" s="1" t="e">
        <f t="shared" ca="1" si="1"/>
        <v>#NAME?</v>
      </c>
    </row>
    <row r="400" spans="2:6" ht="12.75">
      <c r="B400" s="1" t="s">
        <v>4743</v>
      </c>
      <c r="C400" s="1" t="s">
        <v>4743</v>
      </c>
      <c r="D400" s="1" t="str">
        <f ca="1">IFERROR(__xludf.DUMMYFUNCTION("iferror(SPLIT(C400,""=""))"),"")</f>
        <v/>
      </c>
      <c r="F400" s="1" t="e">
        <f t="shared" ca="1" si="1"/>
        <v>#NAME?</v>
      </c>
    </row>
    <row r="401" spans="2:6" ht="12.75">
      <c r="B401" s="1" t="s">
        <v>4743</v>
      </c>
      <c r="C401" s="1" t="s">
        <v>4743</v>
      </c>
      <c r="D401" s="1" t="str">
        <f ca="1">IFERROR(__xludf.DUMMYFUNCTION("iferror(SPLIT(C401,""=""))"),"")</f>
        <v/>
      </c>
      <c r="F401" s="1" t="e">
        <f t="shared" ca="1" si="1"/>
        <v>#NAME?</v>
      </c>
    </row>
    <row r="402" spans="2:6" ht="12.75">
      <c r="B402" s="1" t="s">
        <v>4743</v>
      </c>
      <c r="C402" s="1" t="s">
        <v>4743</v>
      </c>
      <c r="D402" s="1" t="str">
        <f ca="1">IFERROR(__xludf.DUMMYFUNCTION("iferror(SPLIT(C402,""=""))"),"")</f>
        <v/>
      </c>
      <c r="F402" s="1" t="e">
        <f t="shared" ca="1" si="1"/>
        <v>#NAME?</v>
      </c>
    </row>
    <row r="403" spans="2:6" ht="12.75">
      <c r="B403" s="1" t="s">
        <v>4743</v>
      </c>
      <c r="C403" s="1" t="s">
        <v>4743</v>
      </c>
      <c r="D403" s="1" t="str">
        <f ca="1">IFERROR(__xludf.DUMMYFUNCTION("iferror(SPLIT(C403,""=""))"),"")</f>
        <v/>
      </c>
      <c r="F403" s="1" t="e">
        <f t="shared" ca="1" si="1"/>
        <v>#NAME?</v>
      </c>
    </row>
    <row r="404" spans="2:6" ht="12.75">
      <c r="B404" s="1" t="s">
        <v>4743</v>
      </c>
      <c r="C404" s="1" t="s">
        <v>4743</v>
      </c>
      <c r="D404" s="1" t="str">
        <f ca="1">IFERROR(__xludf.DUMMYFUNCTION("iferror(SPLIT(C404,""=""))"),"")</f>
        <v/>
      </c>
      <c r="F404" s="1" t="e">
        <f t="shared" ca="1" si="1"/>
        <v>#NAME?</v>
      </c>
    </row>
    <row r="405" spans="2:6" ht="12.75">
      <c r="B405" s="1" t="s">
        <v>4743</v>
      </c>
      <c r="C405" s="1" t="s">
        <v>4743</v>
      </c>
      <c r="D405" s="1" t="str">
        <f ca="1">IFERROR(__xludf.DUMMYFUNCTION("iferror(SPLIT(C405,""=""))"),"")</f>
        <v/>
      </c>
      <c r="F405" s="1" t="e">
        <f t="shared" ca="1" si="1"/>
        <v>#NAME?</v>
      </c>
    </row>
    <row r="406" spans="2:6" ht="12.75">
      <c r="B406" s="1" t="s">
        <v>4743</v>
      </c>
      <c r="C406" s="1" t="s">
        <v>4743</v>
      </c>
      <c r="D406" s="1" t="str">
        <f ca="1">IFERROR(__xludf.DUMMYFUNCTION("iferror(SPLIT(C406,""=""))"),"")</f>
        <v/>
      </c>
      <c r="F406" s="1" t="e">
        <f t="shared" ca="1" si="1"/>
        <v>#NAME?</v>
      </c>
    </row>
    <row r="407" spans="2:6" ht="12.75">
      <c r="B407" s="1" t="s">
        <v>4743</v>
      </c>
      <c r="C407" s="1" t="s">
        <v>4743</v>
      </c>
      <c r="D407" s="1" t="str">
        <f ca="1">IFERROR(__xludf.DUMMYFUNCTION("iferror(SPLIT(C407,""=""))"),"")</f>
        <v/>
      </c>
      <c r="F407" s="1" t="e">
        <f t="shared" ca="1" si="1"/>
        <v>#NAME?</v>
      </c>
    </row>
    <row r="408" spans="2:6" ht="12.75">
      <c r="B408" s="1" t="s">
        <v>4743</v>
      </c>
      <c r="C408" s="1" t="s">
        <v>4743</v>
      </c>
      <c r="D408" s="1" t="str">
        <f ca="1">IFERROR(__xludf.DUMMYFUNCTION("iferror(SPLIT(C408,""=""))"),"")</f>
        <v/>
      </c>
      <c r="F408" s="1" t="e">
        <f t="shared" ca="1" si="1"/>
        <v>#NAME?</v>
      </c>
    </row>
    <row r="409" spans="2:6" ht="12.75">
      <c r="B409" s="1" t="s">
        <v>4743</v>
      </c>
      <c r="C409" s="1" t="s">
        <v>4743</v>
      </c>
      <c r="D409" s="1" t="str">
        <f ca="1">IFERROR(__xludf.DUMMYFUNCTION("iferror(SPLIT(C409,""=""))"),"")</f>
        <v/>
      </c>
      <c r="F409" s="1" t="e">
        <f t="shared" ca="1" si="1"/>
        <v>#NAME?</v>
      </c>
    </row>
    <row r="410" spans="2:6" ht="12.75">
      <c r="B410" s="1" t="s">
        <v>4743</v>
      </c>
      <c r="C410" s="1" t="s">
        <v>4743</v>
      </c>
      <c r="D410" s="1" t="str">
        <f ca="1">IFERROR(__xludf.DUMMYFUNCTION("iferror(SPLIT(C410,""=""))"),"")</f>
        <v/>
      </c>
      <c r="F410" s="1" t="e">
        <f t="shared" ca="1" si="1"/>
        <v>#NAME?</v>
      </c>
    </row>
    <row r="411" spans="2:6" ht="12.75">
      <c r="B411" s="1" t="s">
        <v>4743</v>
      </c>
      <c r="C411" s="1" t="s">
        <v>4743</v>
      </c>
      <c r="D411" s="1" t="str">
        <f ca="1">IFERROR(__xludf.DUMMYFUNCTION("iferror(SPLIT(C411,""=""))"),"")</f>
        <v/>
      </c>
      <c r="F411" s="1" t="e">
        <f t="shared" ca="1" si="1"/>
        <v>#NAME?</v>
      </c>
    </row>
    <row r="412" spans="2:6" ht="12.75">
      <c r="B412" s="1" t="s">
        <v>4743</v>
      </c>
      <c r="C412" s="1" t="s">
        <v>4743</v>
      </c>
      <c r="D412" s="1" t="str">
        <f ca="1">IFERROR(__xludf.DUMMYFUNCTION("iferror(SPLIT(C412,""=""))"),"")</f>
        <v/>
      </c>
      <c r="F412" s="1" t="e">
        <f t="shared" ca="1" si="1"/>
        <v>#NAME?</v>
      </c>
    </row>
    <row r="413" spans="2:6" ht="12.75">
      <c r="B413" s="1" t="s">
        <v>4743</v>
      </c>
      <c r="C413" s="1" t="s">
        <v>4743</v>
      </c>
      <c r="D413" s="1" t="str">
        <f ca="1">IFERROR(__xludf.DUMMYFUNCTION("iferror(SPLIT(C413,""=""))"),"")</f>
        <v/>
      </c>
      <c r="F413" s="1" t="e">
        <f t="shared" ca="1" si="1"/>
        <v>#NAME?</v>
      </c>
    </row>
    <row r="414" spans="2:6" ht="12.75">
      <c r="B414" s="1" t="s">
        <v>4743</v>
      </c>
      <c r="C414" s="1" t="s">
        <v>4743</v>
      </c>
      <c r="D414" s="1" t="str">
        <f ca="1">IFERROR(__xludf.DUMMYFUNCTION("iferror(SPLIT(C414,""=""))"),"")</f>
        <v/>
      </c>
      <c r="F414" s="1" t="e">
        <f t="shared" ca="1" si="1"/>
        <v>#NAME?</v>
      </c>
    </row>
    <row r="415" spans="2:6" ht="12.75">
      <c r="B415" s="1" t="s">
        <v>4743</v>
      </c>
      <c r="C415" s="1" t="s">
        <v>4743</v>
      </c>
      <c r="D415" s="1" t="str">
        <f ca="1">IFERROR(__xludf.DUMMYFUNCTION("iferror(SPLIT(C415,""=""))"),"")</f>
        <v/>
      </c>
      <c r="F415" s="1" t="e">
        <f t="shared" ca="1" si="1"/>
        <v>#NAME?</v>
      </c>
    </row>
    <row r="416" spans="2:6" ht="12.75">
      <c r="B416" s="1" t="s">
        <v>4743</v>
      </c>
      <c r="C416" s="1" t="s">
        <v>4743</v>
      </c>
      <c r="D416" s="1" t="str">
        <f ca="1">IFERROR(__xludf.DUMMYFUNCTION("iferror(SPLIT(C416,""=""))"),"")</f>
        <v/>
      </c>
      <c r="F416" s="1" t="e">
        <f t="shared" ca="1" si="1"/>
        <v>#NAME?</v>
      </c>
    </row>
    <row r="417" spans="2:6" ht="12.75">
      <c r="B417" s="1" t="s">
        <v>4743</v>
      </c>
      <c r="C417" s="1" t="s">
        <v>4743</v>
      </c>
      <c r="D417" s="1" t="str">
        <f ca="1">IFERROR(__xludf.DUMMYFUNCTION("iferror(SPLIT(C417,""=""))"),"")</f>
        <v/>
      </c>
      <c r="F417" s="1" t="e">
        <f t="shared" ca="1" si="1"/>
        <v>#NAME?</v>
      </c>
    </row>
    <row r="418" spans="2:6" ht="12.75">
      <c r="B418" s="1" t="s">
        <v>4743</v>
      </c>
      <c r="C418" s="1" t="s">
        <v>4743</v>
      </c>
      <c r="D418" s="1" t="str">
        <f ca="1">IFERROR(__xludf.DUMMYFUNCTION("iferror(SPLIT(C418,""=""))"),"")</f>
        <v/>
      </c>
      <c r="F418" s="1" t="e">
        <f t="shared" ca="1" si="1"/>
        <v>#NAME?</v>
      </c>
    </row>
    <row r="419" spans="2:6" ht="12.75">
      <c r="B419" s="1" t="s">
        <v>4743</v>
      </c>
      <c r="C419" s="1" t="s">
        <v>4743</v>
      </c>
      <c r="D419" s="1" t="str">
        <f ca="1">IFERROR(__xludf.DUMMYFUNCTION("iferror(SPLIT(C419,""=""))"),"")</f>
        <v/>
      </c>
      <c r="F419" s="1" t="e">
        <f t="shared" ca="1" si="1"/>
        <v>#NAME?</v>
      </c>
    </row>
    <row r="420" spans="2:6" ht="12.75">
      <c r="B420" s="1" t="s">
        <v>4743</v>
      </c>
      <c r="C420" s="1" t="s">
        <v>4743</v>
      </c>
      <c r="D420" s="1" t="str">
        <f ca="1">IFERROR(__xludf.DUMMYFUNCTION("iferror(SPLIT(C420,""=""))"),"")</f>
        <v/>
      </c>
      <c r="F420" s="1" t="e">
        <f t="shared" ca="1" si="1"/>
        <v>#NAME?</v>
      </c>
    </row>
    <row r="421" spans="2:6" ht="12.75">
      <c r="B421" s="1" t="s">
        <v>4743</v>
      </c>
      <c r="C421" s="1" t="s">
        <v>4743</v>
      </c>
      <c r="D421" s="1" t="str">
        <f ca="1">IFERROR(__xludf.DUMMYFUNCTION("iferror(SPLIT(C421,""=""))"),"")</f>
        <v/>
      </c>
      <c r="F421" s="1" t="e">
        <f t="shared" ca="1" si="1"/>
        <v>#NAME?</v>
      </c>
    </row>
    <row r="422" spans="2:6" ht="12.75">
      <c r="B422" s="1" t="s">
        <v>4743</v>
      </c>
      <c r="C422" s="1" t="s">
        <v>4743</v>
      </c>
      <c r="D422" s="1" t="str">
        <f ca="1">IFERROR(__xludf.DUMMYFUNCTION("iferror(SPLIT(C422,""=""))"),"")</f>
        <v/>
      </c>
      <c r="F422" s="1" t="e">
        <f t="shared" ca="1" si="1"/>
        <v>#NAME?</v>
      </c>
    </row>
    <row r="423" spans="2:6" ht="12.75">
      <c r="B423" s="1" t="s">
        <v>4743</v>
      </c>
      <c r="C423" s="1" t="s">
        <v>4743</v>
      </c>
      <c r="D423" s="1" t="str">
        <f ca="1">IFERROR(__xludf.DUMMYFUNCTION("iferror(SPLIT(C423,""=""))"),"")</f>
        <v/>
      </c>
      <c r="F423" s="1" t="e">
        <f t="shared" ca="1" si="1"/>
        <v>#NAME?</v>
      </c>
    </row>
    <row r="424" spans="2:6" ht="12.75">
      <c r="B424" s="1" t="s">
        <v>4743</v>
      </c>
      <c r="C424" s="1" t="s">
        <v>4743</v>
      </c>
      <c r="D424" s="1" t="str">
        <f ca="1">IFERROR(__xludf.DUMMYFUNCTION("iferror(SPLIT(C424,""=""))"),"")</f>
        <v/>
      </c>
      <c r="F424" s="1" t="e">
        <f t="shared" ca="1" si="1"/>
        <v>#NAME?</v>
      </c>
    </row>
    <row r="425" spans="2:6" ht="12.75">
      <c r="B425" s="1" t="s">
        <v>4743</v>
      </c>
      <c r="C425" s="1" t="s">
        <v>4743</v>
      </c>
      <c r="D425" s="1" t="str">
        <f ca="1">IFERROR(__xludf.DUMMYFUNCTION("iferror(SPLIT(C425,""=""))"),"")</f>
        <v/>
      </c>
      <c r="F425" s="1" t="e">
        <f t="shared" ca="1" si="1"/>
        <v>#NAME?</v>
      </c>
    </row>
    <row r="426" spans="2:6" ht="12.75">
      <c r="B426" s="1" t="s">
        <v>4743</v>
      </c>
      <c r="C426" s="1" t="s">
        <v>4743</v>
      </c>
      <c r="D426" s="1" t="str">
        <f ca="1">IFERROR(__xludf.DUMMYFUNCTION("iferror(SPLIT(C426,""=""))"),"")</f>
        <v/>
      </c>
      <c r="F426" s="1" t="e">
        <f t="shared" ca="1" si="1"/>
        <v>#NAME?</v>
      </c>
    </row>
    <row r="427" spans="2:6" ht="12.75">
      <c r="B427" s="1" t="s">
        <v>4743</v>
      </c>
      <c r="C427" s="1" t="s">
        <v>4743</v>
      </c>
      <c r="D427" s="1" t="str">
        <f ca="1">IFERROR(__xludf.DUMMYFUNCTION("iferror(SPLIT(C427,""=""))"),"")</f>
        <v/>
      </c>
      <c r="F427" s="1" t="e">
        <f t="shared" ca="1" si="1"/>
        <v>#NAME?</v>
      </c>
    </row>
    <row r="428" spans="2:6" ht="12.75">
      <c r="B428" s="1" t="s">
        <v>4743</v>
      </c>
      <c r="C428" s="1" t="s">
        <v>4743</v>
      </c>
      <c r="D428" s="1" t="str">
        <f ca="1">IFERROR(__xludf.DUMMYFUNCTION("iferror(SPLIT(C428,""=""))"),"")</f>
        <v/>
      </c>
      <c r="F428" s="1" t="e">
        <f t="shared" ca="1" si="1"/>
        <v>#NAME?</v>
      </c>
    </row>
    <row r="429" spans="2:6" ht="12.75">
      <c r="B429" s="1" t="s">
        <v>4743</v>
      </c>
      <c r="C429" s="1" t="s">
        <v>4743</v>
      </c>
      <c r="D429" s="1" t="str">
        <f ca="1">IFERROR(__xludf.DUMMYFUNCTION("iferror(SPLIT(C429,""=""))"),"")</f>
        <v/>
      </c>
      <c r="F429" s="1" t="e">
        <f t="shared" ca="1" si="1"/>
        <v>#NAME?</v>
      </c>
    </row>
    <row r="430" spans="2:6" ht="12.75">
      <c r="B430" s="1" t="s">
        <v>4743</v>
      </c>
      <c r="C430" s="1" t="s">
        <v>4743</v>
      </c>
      <c r="D430" s="1" t="str">
        <f ca="1">IFERROR(__xludf.DUMMYFUNCTION("iferror(SPLIT(C430,""=""))"),"")</f>
        <v/>
      </c>
      <c r="F430" s="1" t="e">
        <f t="shared" ca="1" si="1"/>
        <v>#NAME?</v>
      </c>
    </row>
    <row r="431" spans="2:6" ht="12.75">
      <c r="B431" s="1" t="s">
        <v>4743</v>
      </c>
      <c r="C431" s="1" t="s">
        <v>4743</v>
      </c>
      <c r="D431" s="1" t="str">
        <f ca="1">IFERROR(__xludf.DUMMYFUNCTION("iferror(SPLIT(C431,""=""))"),"")</f>
        <v/>
      </c>
      <c r="F431" s="1" t="e">
        <f t="shared" ca="1" si="1"/>
        <v>#NAME?</v>
      </c>
    </row>
    <row r="432" spans="2:6" ht="12.75">
      <c r="B432" s="1" t="s">
        <v>4743</v>
      </c>
      <c r="C432" s="1" t="s">
        <v>4743</v>
      </c>
      <c r="D432" s="1" t="str">
        <f ca="1">IFERROR(__xludf.DUMMYFUNCTION("iferror(SPLIT(C432,""=""))"),"")</f>
        <v/>
      </c>
      <c r="F432" s="1" t="e">
        <f t="shared" ca="1" si="1"/>
        <v>#NAME?</v>
      </c>
    </row>
    <row r="433" spans="2:6" ht="12.75">
      <c r="B433" s="1" t="s">
        <v>4743</v>
      </c>
      <c r="C433" s="1" t="s">
        <v>4743</v>
      </c>
      <c r="D433" s="1" t="str">
        <f ca="1">IFERROR(__xludf.DUMMYFUNCTION("iferror(SPLIT(C433,""=""))"),"")</f>
        <v/>
      </c>
      <c r="F433" s="1" t="e">
        <f t="shared" ca="1" si="1"/>
        <v>#NAME?</v>
      </c>
    </row>
    <row r="434" spans="2:6" ht="12.75">
      <c r="B434" s="1" t="s">
        <v>4743</v>
      </c>
      <c r="C434" s="1" t="s">
        <v>4743</v>
      </c>
      <c r="D434" s="1" t="str">
        <f ca="1">IFERROR(__xludf.DUMMYFUNCTION("iferror(SPLIT(C434,""=""))"),"")</f>
        <v/>
      </c>
      <c r="F434" s="1" t="e">
        <f t="shared" ca="1" si="1"/>
        <v>#NAME?</v>
      </c>
    </row>
    <row r="435" spans="2:6" ht="12.75">
      <c r="B435" s="1" t="s">
        <v>4743</v>
      </c>
      <c r="C435" s="1" t="s">
        <v>4743</v>
      </c>
      <c r="D435" s="1" t="str">
        <f ca="1">IFERROR(__xludf.DUMMYFUNCTION("iferror(SPLIT(C435,""=""))"),"")</f>
        <v/>
      </c>
      <c r="F435" s="1" t="e">
        <f t="shared" ca="1" si="1"/>
        <v>#NAME?</v>
      </c>
    </row>
    <row r="436" spans="2:6" ht="12.75">
      <c r="B436" s="1" t="s">
        <v>4743</v>
      </c>
      <c r="C436" s="1" t="s">
        <v>4743</v>
      </c>
      <c r="D436" s="1" t="str">
        <f ca="1">IFERROR(__xludf.DUMMYFUNCTION("iferror(SPLIT(C436,""=""))"),"")</f>
        <v/>
      </c>
      <c r="F436" s="1" t="e">
        <f t="shared" ca="1" si="1"/>
        <v>#NAME?</v>
      </c>
    </row>
    <row r="437" spans="2:6" ht="12.75">
      <c r="B437" s="1" t="s">
        <v>4743</v>
      </c>
      <c r="C437" s="1" t="s">
        <v>4743</v>
      </c>
      <c r="D437" s="1" t="str">
        <f ca="1">IFERROR(__xludf.DUMMYFUNCTION("iferror(SPLIT(C437,""=""))"),"")</f>
        <v/>
      </c>
      <c r="F437" s="1" t="e">
        <f t="shared" ca="1" si="1"/>
        <v>#NAME?</v>
      </c>
    </row>
    <row r="438" spans="2:6" ht="12.75">
      <c r="B438" s="1" t="s">
        <v>4743</v>
      </c>
      <c r="C438" s="1" t="s">
        <v>4743</v>
      </c>
      <c r="D438" s="1" t="str">
        <f ca="1">IFERROR(__xludf.DUMMYFUNCTION("iferror(SPLIT(C438,""=""))"),"")</f>
        <v/>
      </c>
      <c r="F438" s="1" t="e">
        <f t="shared" ca="1" si="1"/>
        <v>#NAME?</v>
      </c>
    </row>
    <row r="439" spans="2:6" ht="12.75">
      <c r="B439" s="1" t="s">
        <v>4743</v>
      </c>
      <c r="C439" s="1" t="s">
        <v>4743</v>
      </c>
      <c r="D439" s="1" t="str">
        <f ca="1">IFERROR(__xludf.DUMMYFUNCTION("iferror(SPLIT(C439,""=""))"),"")</f>
        <v/>
      </c>
      <c r="F439" s="1" t="e">
        <f t="shared" ca="1" si="1"/>
        <v>#NAME?</v>
      </c>
    </row>
    <row r="440" spans="2:6" ht="12.75">
      <c r="B440" s="1" t="s">
        <v>4743</v>
      </c>
      <c r="C440" s="1" t="s">
        <v>4743</v>
      </c>
      <c r="D440" s="1" t="str">
        <f ca="1">IFERROR(__xludf.DUMMYFUNCTION("iferror(SPLIT(C440,""=""))"),"")</f>
        <v/>
      </c>
      <c r="F440" s="1" t="e">
        <f t="shared" ca="1" si="1"/>
        <v>#NAME?</v>
      </c>
    </row>
    <row r="441" spans="2:6" ht="12.75">
      <c r="B441" s="1" t="s">
        <v>4743</v>
      </c>
      <c r="C441" s="1" t="s">
        <v>4743</v>
      </c>
      <c r="D441" s="1" t="str">
        <f ca="1">IFERROR(__xludf.DUMMYFUNCTION("iferror(SPLIT(C441,""=""))"),"")</f>
        <v/>
      </c>
      <c r="F441" s="1" t="e">
        <f t="shared" ca="1" si="1"/>
        <v>#NAME?</v>
      </c>
    </row>
    <row r="442" spans="2:6" ht="12.75">
      <c r="B442" s="1" t="s">
        <v>4743</v>
      </c>
      <c r="C442" s="1" t="s">
        <v>4743</v>
      </c>
      <c r="D442" s="1" t="str">
        <f ca="1">IFERROR(__xludf.DUMMYFUNCTION("iferror(SPLIT(C442,""=""))"),"")</f>
        <v/>
      </c>
      <c r="F442" s="1" t="e">
        <f t="shared" ca="1" si="1"/>
        <v>#NAME?</v>
      </c>
    </row>
    <row r="443" spans="2:6" ht="12.75">
      <c r="B443" s="1" t="s">
        <v>4743</v>
      </c>
      <c r="C443" s="1" t="s">
        <v>4743</v>
      </c>
      <c r="D443" s="1" t="str">
        <f ca="1">IFERROR(__xludf.DUMMYFUNCTION("iferror(SPLIT(C443,""=""))"),"")</f>
        <v/>
      </c>
      <c r="F443" s="1" t="e">
        <f t="shared" ca="1" si="1"/>
        <v>#NAME?</v>
      </c>
    </row>
    <row r="444" spans="2:6" ht="12.75">
      <c r="B444" s="1" t="s">
        <v>4743</v>
      </c>
      <c r="C444" s="1" t="s">
        <v>4743</v>
      </c>
      <c r="D444" s="1" t="str">
        <f ca="1">IFERROR(__xludf.DUMMYFUNCTION("iferror(SPLIT(C444,""=""))"),"")</f>
        <v/>
      </c>
      <c r="F444" s="1" t="e">
        <f t="shared" ca="1" si="1"/>
        <v>#NAME?</v>
      </c>
    </row>
    <row r="445" spans="2:6" ht="12.75">
      <c r="B445" s="1" t="s">
        <v>4743</v>
      </c>
      <c r="C445" s="1" t="s">
        <v>4743</v>
      </c>
      <c r="D445" s="1" t="str">
        <f ca="1">IFERROR(__xludf.DUMMYFUNCTION("iferror(SPLIT(C445,""=""))"),"")</f>
        <v/>
      </c>
      <c r="F445" s="1" t="e">
        <f t="shared" ca="1" si="1"/>
        <v>#NAME?</v>
      </c>
    </row>
    <row r="446" spans="2:6" ht="12.75">
      <c r="B446" s="1" t="s">
        <v>4743</v>
      </c>
      <c r="C446" s="1" t="s">
        <v>4743</v>
      </c>
      <c r="D446" s="1" t="str">
        <f ca="1">IFERROR(__xludf.DUMMYFUNCTION("iferror(SPLIT(C446,""=""))"),"")</f>
        <v/>
      </c>
      <c r="F446" s="1" t="e">
        <f t="shared" ca="1" si="1"/>
        <v>#NAME?</v>
      </c>
    </row>
    <row r="447" spans="2:6" ht="12.75">
      <c r="B447" s="1" t="s">
        <v>4743</v>
      </c>
      <c r="C447" s="1" t="s">
        <v>4743</v>
      </c>
      <c r="D447" s="1" t="str">
        <f ca="1">IFERROR(__xludf.DUMMYFUNCTION("iferror(SPLIT(C447,""=""))"),"")</f>
        <v/>
      </c>
      <c r="F447" s="1" t="e">
        <f t="shared" ca="1" si="1"/>
        <v>#NAME?</v>
      </c>
    </row>
    <row r="448" spans="2:6" ht="12.75">
      <c r="B448" s="1" t="s">
        <v>4743</v>
      </c>
      <c r="C448" s="1" t="s">
        <v>4743</v>
      </c>
      <c r="D448" s="1" t="str">
        <f ca="1">IFERROR(__xludf.DUMMYFUNCTION("iferror(SPLIT(C448,""=""))"),"")</f>
        <v/>
      </c>
      <c r="F448" s="1" t="e">
        <f t="shared" ca="1" si="1"/>
        <v>#NAME?</v>
      </c>
    </row>
    <row r="449" spans="2:6" ht="12.75">
      <c r="B449" s="1" t="s">
        <v>4743</v>
      </c>
      <c r="C449" s="1" t="s">
        <v>4743</v>
      </c>
      <c r="D449" s="1" t="str">
        <f ca="1">IFERROR(__xludf.DUMMYFUNCTION("iferror(SPLIT(C449,""=""))"),"")</f>
        <v/>
      </c>
      <c r="F449" s="1" t="e">
        <f t="shared" ca="1" si="1"/>
        <v>#NAME?</v>
      </c>
    </row>
    <row r="450" spans="2:6" ht="12.75">
      <c r="B450" s="1" t="s">
        <v>4743</v>
      </c>
      <c r="C450" s="1" t="s">
        <v>4743</v>
      </c>
      <c r="D450" s="1" t="str">
        <f ca="1">IFERROR(__xludf.DUMMYFUNCTION("iferror(SPLIT(C450,""=""))"),"")</f>
        <v/>
      </c>
      <c r="F450" s="1" t="e">
        <f t="shared" ca="1" si="1"/>
        <v>#NAME?</v>
      </c>
    </row>
    <row r="451" spans="2:6" ht="12.75">
      <c r="B451" s="1" t="s">
        <v>4743</v>
      </c>
      <c r="C451" s="1" t="s">
        <v>4743</v>
      </c>
      <c r="D451" s="1" t="str">
        <f ca="1">IFERROR(__xludf.DUMMYFUNCTION("iferror(SPLIT(C451,""=""))"),"")</f>
        <v/>
      </c>
      <c r="F451" s="1" t="e">
        <f t="shared" ca="1" si="1"/>
        <v>#NAME?</v>
      </c>
    </row>
    <row r="452" spans="2:6" ht="12.75">
      <c r="B452" s="1" t="s">
        <v>4743</v>
      </c>
      <c r="C452" s="1" t="s">
        <v>4743</v>
      </c>
      <c r="D452" s="1" t="str">
        <f ca="1">IFERROR(__xludf.DUMMYFUNCTION("iferror(SPLIT(C452,""=""))"),"")</f>
        <v/>
      </c>
      <c r="F452" s="1" t="e">
        <f t="shared" ca="1" si="1"/>
        <v>#NAME?</v>
      </c>
    </row>
    <row r="453" spans="2:6" ht="12.75">
      <c r="B453" s="1" t="s">
        <v>4743</v>
      </c>
      <c r="C453" s="1" t="s">
        <v>4743</v>
      </c>
      <c r="D453" s="1" t="str">
        <f ca="1">IFERROR(__xludf.DUMMYFUNCTION("iferror(SPLIT(C453,""=""))"),"")</f>
        <v/>
      </c>
      <c r="F453" s="1" t="e">
        <f t="shared" ca="1" si="1"/>
        <v>#NAME?</v>
      </c>
    </row>
    <row r="454" spans="2:6" ht="12.75">
      <c r="B454" s="1" t="s">
        <v>4743</v>
      </c>
      <c r="C454" s="1" t="s">
        <v>4743</v>
      </c>
      <c r="D454" s="1" t="str">
        <f ca="1">IFERROR(__xludf.DUMMYFUNCTION("iferror(SPLIT(C454,""=""))"),"")</f>
        <v/>
      </c>
      <c r="F454" s="1" t="e">
        <f t="shared" ca="1" si="1"/>
        <v>#NAME?</v>
      </c>
    </row>
    <row r="455" spans="2:6" ht="12.75">
      <c r="B455" s="1" t="s">
        <v>4743</v>
      </c>
      <c r="C455" s="1" t="s">
        <v>4743</v>
      </c>
      <c r="D455" s="1" t="str">
        <f ca="1">IFERROR(__xludf.DUMMYFUNCTION("iferror(SPLIT(C455,""=""))"),"")</f>
        <v/>
      </c>
      <c r="F455" s="1" t="e">
        <f t="shared" ca="1" si="1"/>
        <v>#NAME?</v>
      </c>
    </row>
    <row r="456" spans="2:6" ht="12.75">
      <c r="B456" s="1" t="s">
        <v>4743</v>
      </c>
      <c r="C456" s="1" t="s">
        <v>4743</v>
      </c>
      <c r="D456" s="1" t="str">
        <f ca="1">IFERROR(__xludf.DUMMYFUNCTION("iferror(SPLIT(C456,""=""))"),"")</f>
        <v/>
      </c>
      <c r="F456" s="1" t="e">
        <f t="shared" ca="1" si="1"/>
        <v>#NAME?</v>
      </c>
    </row>
    <row r="457" spans="2:6" ht="12.75">
      <c r="B457" s="1" t="s">
        <v>4743</v>
      </c>
      <c r="C457" s="1" t="s">
        <v>4743</v>
      </c>
      <c r="D457" s="1" t="str">
        <f ca="1">IFERROR(__xludf.DUMMYFUNCTION("iferror(SPLIT(C457,""=""))"),"")</f>
        <v/>
      </c>
      <c r="F457" s="1" t="e">
        <f t="shared" ca="1" si="1"/>
        <v>#NAME?</v>
      </c>
    </row>
    <row r="458" spans="2:6" ht="12.75">
      <c r="B458" s="1" t="s">
        <v>4743</v>
      </c>
      <c r="C458" s="1" t="s">
        <v>4743</v>
      </c>
      <c r="D458" s="1" t="str">
        <f ca="1">IFERROR(__xludf.DUMMYFUNCTION("iferror(SPLIT(C458,""=""))"),"")</f>
        <v/>
      </c>
      <c r="F458" s="1" t="e">
        <f t="shared" ca="1" si="1"/>
        <v>#NAME?</v>
      </c>
    </row>
    <row r="459" spans="2:6" ht="12.75">
      <c r="B459" s="1" t="s">
        <v>4743</v>
      </c>
      <c r="C459" s="1" t="s">
        <v>4743</v>
      </c>
      <c r="D459" s="1" t="str">
        <f ca="1">IFERROR(__xludf.DUMMYFUNCTION("iferror(SPLIT(C459,""=""))"),"")</f>
        <v/>
      </c>
      <c r="F459" s="1" t="e">
        <f t="shared" ca="1" si="1"/>
        <v>#NAME?</v>
      </c>
    </row>
    <row r="460" spans="2:6" ht="12.75">
      <c r="B460" s="1" t="s">
        <v>4743</v>
      </c>
      <c r="C460" s="1" t="s">
        <v>4743</v>
      </c>
      <c r="D460" s="1" t="str">
        <f ca="1">IFERROR(__xludf.DUMMYFUNCTION("iferror(SPLIT(C460,""=""))"),"")</f>
        <v/>
      </c>
      <c r="F460" s="1" t="e">
        <f t="shared" ca="1" si="1"/>
        <v>#NAME?</v>
      </c>
    </row>
    <row r="461" spans="2:6" ht="12.75">
      <c r="B461" s="1" t="s">
        <v>4743</v>
      </c>
      <c r="C461" s="1" t="s">
        <v>4743</v>
      </c>
      <c r="D461" s="1" t="str">
        <f ca="1">IFERROR(__xludf.DUMMYFUNCTION("iferror(SPLIT(C461,""=""))"),"")</f>
        <v/>
      </c>
      <c r="F461" s="1" t="e">
        <f t="shared" ca="1" si="1"/>
        <v>#NAME?</v>
      </c>
    </row>
    <row r="462" spans="2:6" ht="12.75">
      <c r="B462" s="1" t="s">
        <v>4743</v>
      </c>
      <c r="C462" s="1" t="s">
        <v>4743</v>
      </c>
      <c r="D462" s="1" t="str">
        <f ca="1">IFERROR(__xludf.DUMMYFUNCTION("iferror(SPLIT(C462,""=""))"),"")</f>
        <v/>
      </c>
      <c r="F462" s="1" t="e">
        <f t="shared" ca="1" si="1"/>
        <v>#NAME?</v>
      </c>
    </row>
    <row r="463" spans="2:6" ht="12.75">
      <c r="B463" s="1" t="s">
        <v>4743</v>
      </c>
      <c r="C463" s="1" t="s">
        <v>4743</v>
      </c>
      <c r="D463" s="1" t="str">
        <f ca="1">IFERROR(__xludf.DUMMYFUNCTION("iferror(SPLIT(C463,""=""))"),"")</f>
        <v/>
      </c>
      <c r="F463" s="1" t="e">
        <f t="shared" ca="1" si="1"/>
        <v>#NAME?</v>
      </c>
    </row>
    <row r="464" spans="2:6" ht="12.75">
      <c r="B464" s="1" t="s">
        <v>4743</v>
      </c>
      <c r="C464" s="1" t="s">
        <v>4743</v>
      </c>
      <c r="D464" s="1" t="str">
        <f ca="1">IFERROR(__xludf.DUMMYFUNCTION("iferror(SPLIT(C464,""=""))"),"")</f>
        <v/>
      </c>
      <c r="F464" s="1" t="e">
        <f t="shared" ca="1" si="1"/>
        <v>#NAME?</v>
      </c>
    </row>
    <row r="465" spans="2:6" ht="12.75">
      <c r="B465" s="1" t="s">
        <v>4743</v>
      </c>
      <c r="C465" s="1" t="s">
        <v>4743</v>
      </c>
      <c r="D465" s="1" t="str">
        <f ca="1">IFERROR(__xludf.DUMMYFUNCTION("iferror(SPLIT(C465,""=""))"),"")</f>
        <v/>
      </c>
      <c r="F465" s="1" t="e">
        <f t="shared" ca="1" si="1"/>
        <v>#NAME?</v>
      </c>
    </row>
    <row r="466" spans="2:6" ht="12.75">
      <c r="B466" s="1" t="s">
        <v>4743</v>
      </c>
      <c r="C466" s="1" t="s">
        <v>4743</v>
      </c>
      <c r="D466" s="1" t="str">
        <f ca="1">IFERROR(__xludf.DUMMYFUNCTION("iferror(SPLIT(C466,""=""))"),"")</f>
        <v/>
      </c>
      <c r="F466" s="1" t="e">
        <f t="shared" ca="1" si="1"/>
        <v>#NAME?</v>
      </c>
    </row>
    <row r="467" spans="2:6" ht="12.75">
      <c r="B467" s="1" t="s">
        <v>4743</v>
      </c>
      <c r="C467" s="1" t="s">
        <v>4743</v>
      </c>
      <c r="D467" s="1" t="str">
        <f ca="1">IFERROR(__xludf.DUMMYFUNCTION("iferror(SPLIT(C467,""=""))"),"")</f>
        <v/>
      </c>
      <c r="F467" s="1" t="e">
        <f t="shared" ca="1" si="1"/>
        <v>#NAME?</v>
      </c>
    </row>
    <row r="468" spans="2:6" ht="12.75">
      <c r="B468" s="1" t="s">
        <v>4743</v>
      </c>
      <c r="C468" s="1" t="s">
        <v>4743</v>
      </c>
      <c r="D468" s="1" t="str">
        <f ca="1">IFERROR(__xludf.DUMMYFUNCTION("iferror(SPLIT(C468,""=""))"),"")</f>
        <v/>
      </c>
      <c r="F468" s="1" t="e">
        <f t="shared" ca="1" si="1"/>
        <v>#NAME?</v>
      </c>
    </row>
    <row r="469" spans="2:6" ht="12.75">
      <c r="B469" s="1" t="s">
        <v>4743</v>
      </c>
      <c r="C469" s="1" t="s">
        <v>4743</v>
      </c>
      <c r="D469" s="1" t="str">
        <f ca="1">IFERROR(__xludf.DUMMYFUNCTION("iferror(SPLIT(C469,""=""))"),"")</f>
        <v/>
      </c>
      <c r="F469" s="1" t="e">
        <f t="shared" ca="1" si="1"/>
        <v>#NAME?</v>
      </c>
    </row>
    <row r="470" spans="2:6" ht="12.75">
      <c r="B470" s="1" t="s">
        <v>4743</v>
      </c>
      <c r="C470" s="1" t="s">
        <v>4743</v>
      </c>
      <c r="D470" s="1" t="str">
        <f ca="1">IFERROR(__xludf.DUMMYFUNCTION("iferror(SPLIT(C470,""=""))"),"")</f>
        <v/>
      </c>
      <c r="F470" s="1" t="e">
        <f t="shared" ca="1" si="1"/>
        <v>#NAME?</v>
      </c>
    </row>
    <row r="471" spans="2:6" ht="12.75">
      <c r="B471" s="1" t="s">
        <v>4743</v>
      </c>
      <c r="C471" s="1" t="s">
        <v>4743</v>
      </c>
      <c r="D471" s="1" t="str">
        <f ca="1">IFERROR(__xludf.DUMMYFUNCTION("iferror(SPLIT(C471,""=""))"),"")</f>
        <v/>
      </c>
      <c r="F471" s="1" t="e">
        <f t="shared" ca="1" si="1"/>
        <v>#NAME?</v>
      </c>
    </row>
    <row r="472" spans="2:6" ht="12.75">
      <c r="B472" s="1" t="s">
        <v>4743</v>
      </c>
      <c r="C472" s="1" t="s">
        <v>4743</v>
      </c>
      <c r="D472" s="1" t="str">
        <f ca="1">IFERROR(__xludf.DUMMYFUNCTION("iferror(SPLIT(C472,""=""))"),"")</f>
        <v/>
      </c>
      <c r="F472" s="1" t="e">
        <f t="shared" ca="1" si="1"/>
        <v>#NAME?</v>
      </c>
    </row>
    <row r="473" spans="2:6" ht="12.75">
      <c r="B473" s="1" t="s">
        <v>4743</v>
      </c>
      <c r="C473" s="1" t="s">
        <v>4743</v>
      </c>
      <c r="D473" s="1" t="str">
        <f ca="1">IFERROR(__xludf.DUMMYFUNCTION("iferror(SPLIT(C473,""=""))"),"")</f>
        <v/>
      </c>
      <c r="F473" s="1" t="e">
        <f t="shared" ca="1" si="1"/>
        <v>#NAME?</v>
      </c>
    </row>
    <row r="474" spans="2:6" ht="12.75">
      <c r="B474" s="1" t="s">
        <v>4743</v>
      </c>
      <c r="C474" s="1" t="s">
        <v>4743</v>
      </c>
      <c r="D474" s="1" t="str">
        <f ca="1">IFERROR(__xludf.DUMMYFUNCTION("iferror(SPLIT(C474,""=""))"),"")</f>
        <v/>
      </c>
      <c r="F474" s="1" t="e">
        <f t="shared" ca="1" si="1"/>
        <v>#NAME?</v>
      </c>
    </row>
    <row r="475" spans="2:6" ht="12.75">
      <c r="B475" s="1" t="s">
        <v>4743</v>
      </c>
      <c r="C475" s="1" t="s">
        <v>4743</v>
      </c>
      <c r="D475" s="1" t="str">
        <f ca="1">IFERROR(__xludf.DUMMYFUNCTION("iferror(SPLIT(C475,""=""))"),"")</f>
        <v/>
      </c>
      <c r="F475" s="1" t="e">
        <f t="shared" ca="1" si="1"/>
        <v>#NAME?</v>
      </c>
    </row>
    <row r="476" spans="2:6" ht="12.75">
      <c r="B476" s="1" t="s">
        <v>4743</v>
      </c>
      <c r="C476" s="1" t="s">
        <v>4743</v>
      </c>
      <c r="D476" s="1" t="str">
        <f ca="1">IFERROR(__xludf.DUMMYFUNCTION("iferror(SPLIT(C476,""=""))"),"")</f>
        <v/>
      </c>
      <c r="F476" s="1" t="e">
        <f t="shared" ca="1" si="1"/>
        <v>#NAME?</v>
      </c>
    </row>
    <row r="477" spans="2:6" ht="12.75">
      <c r="B477" s="1" t="s">
        <v>4743</v>
      </c>
      <c r="C477" s="1" t="s">
        <v>4743</v>
      </c>
      <c r="D477" s="1" t="str">
        <f ca="1">IFERROR(__xludf.DUMMYFUNCTION("iferror(SPLIT(C477,""=""))"),"")</f>
        <v/>
      </c>
      <c r="F477" s="1" t="e">
        <f t="shared" ca="1" si="1"/>
        <v>#NAME?</v>
      </c>
    </row>
    <row r="478" spans="2:6" ht="12.75">
      <c r="B478" s="1" t="s">
        <v>4743</v>
      </c>
      <c r="C478" s="1" t="s">
        <v>4743</v>
      </c>
      <c r="D478" s="1" t="str">
        <f ca="1">IFERROR(__xludf.DUMMYFUNCTION("iferror(SPLIT(C478,""=""))"),"")</f>
        <v/>
      </c>
      <c r="F478" s="1" t="e">
        <f t="shared" ca="1" si="1"/>
        <v>#NAME?</v>
      </c>
    </row>
    <row r="479" spans="2:6" ht="12.75">
      <c r="B479" s="1" t="s">
        <v>4743</v>
      </c>
      <c r="C479" s="1" t="s">
        <v>4743</v>
      </c>
      <c r="D479" s="1" t="str">
        <f ca="1">IFERROR(__xludf.DUMMYFUNCTION("iferror(SPLIT(C479,""=""))"),"")</f>
        <v/>
      </c>
      <c r="F479" s="1" t="e">
        <f t="shared" ca="1" si="1"/>
        <v>#NAME?</v>
      </c>
    </row>
    <row r="480" spans="2:6" ht="12.75">
      <c r="B480" s="1" t="s">
        <v>4743</v>
      </c>
      <c r="C480" s="1" t="s">
        <v>4743</v>
      </c>
      <c r="D480" s="1" t="str">
        <f ca="1">IFERROR(__xludf.DUMMYFUNCTION("iferror(SPLIT(C480,""=""))"),"")</f>
        <v/>
      </c>
      <c r="F480" s="1" t="e">
        <f t="shared" ca="1" si="1"/>
        <v>#NAME?</v>
      </c>
    </row>
    <row r="481" spans="2:6" ht="12.75">
      <c r="B481" s="1" t="s">
        <v>4743</v>
      </c>
      <c r="C481" s="1" t="s">
        <v>4743</v>
      </c>
      <c r="D481" s="1" t="str">
        <f ca="1">IFERROR(__xludf.DUMMYFUNCTION("iferror(SPLIT(C481,""=""))"),"")</f>
        <v/>
      </c>
      <c r="F481" s="1" t="e">
        <f t="shared" ca="1" si="1"/>
        <v>#NAME?</v>
      </c>
    </row>
    <row r="482" spans="2:6" ht="12.75">
      <c r="B482" s="1" t="s">
        <v>4743</v>
      </c>
      <c r="C482" s="1" t="s">
        <v>4743</v>
      </c>
      <c r="D482" s="1" t="str">
        <f ca="1">IFERROR(__xludf.DUMMYFUNCTION("iferror(SPLIT(C482,""=""))"),"")</f>
        <v/>
      </c>
      <c r="F482" s="1" t="e">
        <f t="shared" ca="1" si="1"/>
        <v>#NAME?</v>
      </c>
    </row>
    <row r="483" spans="2:6" ht="12.75">
      <c r="B483" s="1" t="s">
        <v>4743</v>
      </c>
      <c r="C483" s="1" t="s">
        <v>4743</v>
      </c>
      <c r="D483" s="1" t="str">
        <f ca="1">IFERROR(__xludf.DUMMYFUNCTION("iferror(SPLIT(C483,""=""))"),"")</f>
        <v/>
      </c>
      <c r="F483" s="1" t="e">
        <f t="shared" ca="1" si="1"/>
        <v>#NAME?</v>
      </c>
    </row>
    <row r="484" spans="2:6" ht="12.75">
      <c r="B484" s="1" t="s">
        <v>4743</v>
      </c>
      <c r="C484" s="1" t="s">
        <v>4743</v>
      </c>
      <c r="D484" s="1" t="str">
        <f ca="1">IFERROR(__xludf.DUMMYFUNCTION("iferror(SPLIT(C484,""=""))"),"")</f>
        <v/>
      </c>
      <c r="F484" s="1" t="e">
        <f t="shared" ca="1" si="1"/>
        <v>#NAME?</v>
      </c>
    </row>
    <row r="485" spans="2:6" ht="12.75">
      <c r="B485" s="1" t="s">
        <v>4743</v>
      </c>
      <c r="C485" s="1" t="s">
        <v>4743</v>
      </c>
      <c r="D485" s="1" t="str">
        <f ca="1">IFERROR(__xludf.DUMMYFUNCTION("iferror(SPLIT(C485,""=""))"),"")</f>
        <v/>
      </c>
      <c r="F485" s="1" t="e">
        <f t="shared" ca="1" si="1"/>
        <v>#NAME?</v>
      </c>
    </row>
    <row r="486" spans="2:6" ht="12.75">
      <c r="B486" s="1" t="s">
        <v>4743</v>
      </c>
      <c r="C486" s="1" t="s">
        <v>4743</v>
      </c>
      <c r="D486" s="1" t="str">
        <f ca="1">IFERROR(__xludf.DUMMYFUNCTION("iferror(SPLIT(C486,""=""))"),"")</f>
        <v/>
      </c>
      <c r="F486" s="1" t="e">
        <f t="shared" ca="1" si="1"/>
        <v>#NAME?</v>
      </c>
    </row>
    <row r="487" spans="2:6" ht="12.75">
      <c r="B487" s="1" t="s">
        <v>4743</v>
      </c>
      <c r="C487" s="1" t="s">
        <v>4743</v>
      </c>
      <c r="D487" s="1" t="str">
        <f ca="1">IFERROR(__xludf.DUMMYFUNCTION("iferror(SPLIT(C487,""=""))"),"")</f>
        <v/>
      </c>
      <c r="F487" s="1" t="e">
        <f t="shared" ca="1" si="1"/>
        <v>#NAME?</v>
      </c>
    </row>
    <row r="488" spans="2:6" ht="12.75">
      <c r="B488" s="1" t="s">
        <v>4743</v>
      </c>
      <c r="C488" s="1" t="s">
        <v>4743</v>
      </c>
      <c r="D488" s="1" t="str">
        <f ca="1">IFERROR(__xludf.DUMMYFUNCTION("iferror(SPLIT(C488,""=""))"),"")</f>
        <v/>
      </c>
      <c r="F488" s="1" t="e">
        <f t="shared" ca="1" si="1"/>
        <v>#NAME?</v>
      </c>
    </row>
    <row r="489" spans="2:6" ht="12.75">
      <c r="B489" s="1" t="s">
        <v>4743</v>
      </c>
      <c r="C489" s="1" t="s">
        <v>4743</v>
      </c>
      <c r="D489" s="1" t="str">
        <f ca="1">IFERROR(__xludf.DUMMYFUNCTION("iferror(SPLIT(C489,""=""))"),"")</f>
        <v/>
      </c>
      <c r="F489" s="1" t="e">
        <f t="shared" ca="1" si="1"/>
        <v>#NAME?</v>
      </c>
    </row>
    <row r="490" spans="2:6" ht="12.75">
      <c r="B490" s="1" t="s">
        <v>4743</v>
      </c>
      <c r="C490" s="1" t="s">
        <v>4743</v>
      </c>
      <c r="D490" s="1" t="str">
        <f ca="1">IFERROR(__xludf.DUMMYFUNCTION("iferror(SPLIT(C490,""=""))"),"")</f>
        <v/>
      </c>
      <c r="F490" s="1" t="e">
        <f t="shared" ca="1" si="1"/>
        <v>#NAME?</v>
      </c>
    </row>
    <row r="491" spans="2:6" ht="12.75">
      <c r="B491" s="1" t="s">
        <v>4743</v>
      </c>
      <c r="C491" s="1" t="s">
        <v>4743</v>
      </c>
      <c r="D491" s="1" t="str">
        <f ca="1">IFERROR(__xludf.DUMMYFUNCTION("iferror(SPLIT(C491,""=""))"),"")</f>
        <v/>
      </c>
      <c r="F491" s="1" t="e">
        <f t="shared" ca="1" si="1"/>
        <v>#NAME?</v>
      </c>
    </row>
    <row r="492" spans="2:6" ht="12.75">
      <c r="B492" s="1" t="s">
        <v>4743</v>
      </c>
      <c r="C492" s="1" t="s">
        <v>4743</v>
      </c>
      <c r="D492" s="1" t="str">
        <f ca="1">IFERROR(__xludf.DUMMYFUNCTION("iferror(SPLIT(C492,""=""))"),"")</f>
        <v/>
      </c>
      <c r="F492" s="1" t="e">
        <f t="shared" ca="1" si="1"/>
        <v>#NAME?</v>
      </c>
    </row>
    <row r="493" spans="2:6" ht="12.75">
      <c r="B493" s="1" t="s">
        <v>4743</v>
      </c>
      <c r="C493" s="1" t="s">
        <v>4743</v>
      </c>
      <c r="D493" s="1" t="str">
        <f ca="1">IFERROR(__xludf.DUMMYFUNCTION("iferror(SPLIT(C493,""=""))"),"")</f>
        <v/>
      </c>
      <c r="F493" s="1" t="e">
        <f t="shared" ca="1" si="1"/>
        <v>#NAME?</v>
      </c>
    </row>
    <row r="494" spans="2:6" ht="12.75">
      <c r="B494" s="1" t="s">
        <v>4743</v>
      </c>
      <c r="C494" s="1" t="s">
        <v>4743</v>
      </c>
      <c r="D494" s="1" t="str">
        <f ca="1">IFERROR(__xludf.DUMMYFUNCTION("iferror(SPLIT(C494,""=""))"),"")</f>
        <v/>
      </c>
      <c r="F494" s="1" t="e">
        <f t="shared" ca="1" si="1"/>
        <v>#NAME?</v>
      </c>
    </row>
    <row r="495" spans="2:6" ht="12.75">
      <c r="B495" s="1" t="s">
        <v>4743</v>
      </c>
      <c r="C495" s="1" t="s">
        <v>4743</v>
      </c>
      <c r="D495" s="1" t="str">
        <f ca="1">IFERROR(__xludf.DUMMYFUNCTION("iferror(SPLIT(C495,""=""))"),"")</f>
        <v/>
      </c>
      <c r="F495" s="1" t="e">
        <f t="shared" ca="1" si="1"/>
        <v>#NAME?</v>
      </c>
    </row>
    <row r="496" spans="2:6" ht="12.75">
      <c r="B496" s="1" t="s">
        <v>4743</v>
      </c>
      <c r="C496" s="1" t="s">
        <v>4743</v>
      </c>
      <c r="D496" s="1" t="str">
        <f ca="1">IFERROR(__xludf.DUMMYFUNCTION("iferror(SPLIT(C496,""=""))"),"")</f>
        <v/>
      </c>
      <c r="F496" s="1" t="e">
        <f t="shared" ca="1" si="1"/>
        <v>#NAME?</v>
      </c>
    </row>
    <row r="497" spans="2:6" ht="12.75">
      <c r="B497" s="1" t="s">
        <v>4743</v>
      </c>
      <c r="C497" s="1" t="s">
        <v>4743</v>
      </c>
      <c r="D497" s="1" t="str">
        <f ca="1">IFERROR(__xludf.DUMMYFUNCTION("iferror(SPLIT(C497,""=""))"),"")</f>
        <v/>
      </c>
      <c r="F497" s="1" t="e">
        <f t="shared" ca="1" si="1"/>
        <v>#NAME?</v>
      </c>
    </row>
    <row r="498" spans="2:6" ht="12.75">
      <c r="B498" s="1" t="s">
        <v>4743</v>
      </c>
      <c r="C498" s="1" t="s">
        <v>4743</v>
      </c>
      <c r="D498" s="1" t="str">
        <f ca="1">IFERROR(__xludf.DUMMYFUNCTION("iferror(SPLIT(C498,""=""))"),"")</f>
        <v/>
      </c>
      <c r="F498" s="1" t="e">
        <f t="shared" ca="1" si="1"/>
        <v>#NAME?</v>
      </c>
    </row>
    <row r="499" spans="2:6" ht="12.75">
      <c r="B499" s="1" t="s">
        <v>4743</v>
      </c>
      <c r="C499" s="1" t="s">
        <v>4743</v>
      </c>
      <c r="D499" s="1" t="str">
        <f ca="1">IFERROR(__xludf.DUMMYFUNCTION("iferror(SPLIT(C499,""=""))"),"")</f>
        <v/>
      </c>
      <c r="F499" s="1" t="e">
        <f t="shared" ca="1" si="1"/>
        <v>#NAME?</v>
      </c>
    </row>
    <row r="500" spans="2:6" ht="12.75">
      <c r="B500" s="1" t="s">
        <v>4743</v>
      </c>
      <c r="C500" s="1" t="s">
        <v>4743</v>
      </c>
      <c r="D500" s="1" t="str">
        <f ca="1">IFERROR(__xludf.DUMMYFUNCTION("iferror(SPLIT(C500,""=""))"),"")</f>
        <v/>
      </c>
      <c r="F500" s="1" t="e">
        <f t="shared" ca="1" si="1"/>
        <v>#NAME?</v>
      </c>
    </row>
    <row r="501" spans="2:6" ht="12.75">
      <c r="B501" s="1" t="s">
        <v>4743</v>
      </c>
      <c r="C501" s="1" t="s">
        <v>4743</v>
      </c>
      <c r="D501" s="1" t="str">
        <f ca="1">IFERROR(__xludf.DUMMYFUNCTION("iferror(SPLIT(C501,""=""))"),"")</f>
        <v/>
      </c>
      <c r="F501" s="1" t="e">
        <f t="shared" ca="1" si="1"/>
        <v>#NAME?</v>
      </c>
    </row>
    <row r="502" spans="2:6" ht="12.75">
      <c r="B502" s="1" t="s">
        <v>4743</v>
      </c>
      <c r="C502" s="1" t="s">
        <v>4743</v>
      </c>
      <c r="D502" s="1" t="str">
        <f ca="1">IFERROR(__xludf.DUMMYFUNCTION("iferror(SPLIT(C502,""=""))"),"")</f>
        <v/>
      </c>
      <c r="F502" s="1" t="e">
        <f t="shared" ca="1" si="1"/>
        <v>#NAME?</v>
      </c>
    </row>
    <row r="503" spans="2:6" ht="12.75">
      <c r="B503" s="1" t="s">
        <v>4743</v>
      </c>
      <c r="C503" s="1" t="s">
        <v>4743</v>
      </c>
      <c r="D503" s="1" t="str">
        <f ca="1">IFERROR(__xludf.DUMMYFUNCTION("iferror(SPLIT(C503,""=""))"),"")</f>
        <v/>
      </c>
      <c r="F503" s="1" t="e">
        <f t="shared" ca="1" si="1"/>
        <v>#NAME?</v>
      </c>
    </row>
    <row r="504" spans="2:6" ht="12.75">
      <c r="B504" s="1" t="s">
        <v>4743</v>
      </c>
      <c r="C504" s="1" t="s">
        <v>4743</v>
      </c>
      <c r="D504" s="1" t="str">
        <f ca="1">IFERROR(__xludf.DUMMYFUNCTION("iferror(SPLIT(C504,""=""))"),"")</f>
        <v/>
      </c>
      <c r="F504" s="1" t="e">
        <f t="shared" ca="1" si="1"/>
        <v>#NAME?</v>
      </c>
    </row>
    <row r="505" spans="2:6" ht="12.75">
      <c r="B505" s="1" t="s">
        <v>4743</v>
      </c>
      <c r="C505" s="1" t="s">
        <v>4743</v>
      </c>
      <c r="D505" s="1" t="str">
        <f ca="1">IFERROR(__xludf.DUMMYFUNCTION("iferror(SPLIT(C505,""=""))"),"")</f>
        <v/>
      </c>
      <c r="F505" s="1" t="e">
        <f t="shared" ca="1" si="1"/>
        <v>#NAME?</v>
      </c>
    </row>
    <row r="506" spans="2:6" ht="12.75">
      <c r="B506" s="1" t="s">
        <v>4743</v>
      </c>
      <c r="C506" s="1" t="s">
        <v>4743</v>
      </c>
      <c r="D506" s="1" t="str">
        <f ca="1">IFERROR(__xludf.DUMMYFUNCTION("iferror(SPLIT(C506,""=""))"),"")</f>
        <v/>
      </c>
      <c r="F506" s="1" t="e">
        <f t="shared" ca="1" si="1"/>
        <v>#NAME?</v>
      </c>
    </row>
    <row r="507" spans="2:6" ht="12.75">
      <c r="B507" s="1" t="s">
        <v>4743</v>
      </c>
      <c r="C507" s="1" t="s">
        <v>4743</v>
      </c>
      <c r="D507" s="1" t="str">
        <f ca="1">IFERROR(__xludf.DUMMYFUNCTION("iferror(SPLIT(C507,""=""))"),"")</f>
        <v/>
      </c>
      <c r="F507" s="1" t="e">
        <f t="shared" ca="1" si="1"/>
        <v>#NAME?</v>
      </c>
    </row>
    <row r="508" spans="2:6" ht="12.75">
      <c r="B508" s="1" t="s">
        <v>4743</v>
      </c>
      <c r="C508" s="1" t="s">
        <v>4743</v>
      </c>
      <c r="D508" s="1" t="str">
        <f ca="1">IFERROR(__xludf.DUMMYFUNCTION("iferror(SPLIT(C508,""=""))"),"")</f>
        <v/>
      </c>
      <c r="F508" s="1" t="e">
        <f t="shared" ca="1" si="1"/>
        <v>#NAME?</v>
      </c>
    </row>
    <row r="509" spans="2:6" ht="12.75">
      <c r="B509" s="1" t="s">
        <v>4743</v>
      </c>
      <c r="C509" s="1" t="s">
        <v>4743</v>
      </c>
      <c r="D509" s="1" t="str">
        <f ca="1">IFERROR(__xludf.DUMMYFUNCTION("iferror(SPLIT(C509,""=""))"),"")</f>
        <v/>
      </c>
      <c r="F509" s="1" t="e">
        <f t="shared" ca="1" si="1"/>
        <v>#NAME?</v>
      </c>
    </row>
    <row r="510" spans="2:6" ht="12.75">
      <c r="B510" s="1" t="s">
        <v>4743</v>
      </c>
      <c r="C510" s="1" t="s">
        <v>4743</v>
      </c>
      <c r="D510" s="1" t="str">
        <f ca="1">IFERROR(__xludf.DUMMYFUNCTION("iferror(SPLIT(C510,""=""))"),"")</f>
        <v/>
      </c>
      <c r="F510" s="1" t="e">
        <f t="shared" ca="1" si="1"/>
        <v>#NAME?</v>
      </c>
    </row>
    <row r="511" spans="2:6" ht="12.75">
      <c r="B511" s="1" t="s">
        <v>4743</v>
      </c>
      <c r="C511" s="1" t="s">
        <v>4743</v>
      </c>
      <c r="D511" s="1" t="str">
        <f ca="1">IFERROR(__xludf.DUMMYFUNCTION("iferror(SPLIT(C511,""=""))"),"")</f>
        <v/>
      </c>
      <c r="F511" s="1" t="e">
        <f t="shared" ca="1" si="1"/>
        <v>#NAME?</v>
      </c>
    </row>
    <row r="512" spans="2:6" ht="12.75">
      <c r="B512" s="1" t="s">
        <v>4743</v>
      </c>
      <c r="C512" s="1" t="s">
        <v>4743</v>
      </c>
      <c r="D512" s="1" t="str">
        <f ca="1">IFERROR(__xludf.DUMMYFUNCTION("iferror(SPLIT(C512,""=""))"),"")</f>
        <v/>
      </c>
      <c r="F512" s="1" t="e">
        <f t="shared" ref="F512:F766" ca="1" si="2">IMAGE($F$1&amp;E512)</f>
        <v>#NAME?</v>
      </c>
    </row>
    <row r="513" spans="2:6" ht="12.75">
      <c r="B513" s="1" t="s">
        <v>4743</v>
      </c>
      <c r="C513" s="1" t="s">
        <v>4743</v>
      </c>
      <c r="D513" s="1" t="str">
        <f ca="1">IFERROR(__xludf.DUMMYFUNCTION("iferror(SPLIT(C513,""=""))"),"")</f>
        <v/>
      </c>
      <c r="F513" s="1" t="e">
        <f t="shared" ca="1" si="2"/>
        <v>#NAME?</v>
      </c>
    </row>
    <row r="514" spans="2:6" ht="12.75">
      <c r="B514" s="1" t="s">
        <v>4743</v>
      </c>
      <c r="C514" s="1" t="s">
        <v>4743</v>
      </c>
      <c r="D514" s="1" t="str">
        <f ca="1">IFERROR(__xludf.DUMMYFUNCTION("iferror(SPLIT(C514,""=""))"),"")</f>
        <v/>
      </c>
      <c r="F514" s="1" t="e">
        <f t="shared" ca="1" si="2"/>
        <v>#NAME?</v>
      </c>
    </row>
    <row r="515" spans="2:6" ht="12.75">
      <c r="B515" s="1" t="s">
        <v>4743</v>
      </c>
      <c r="C515" s="1" t="s">
        <v>4743</v>
      </c>
      <c r="D515" s="1" t="str">
        <f ca="1">IFERROR(__xludf.DUMMYFUNCTION("iferror(SPLIT(C515,""=""))"),"")</f>
        <v/>
      </c>
      <c r="F515" s="1" t="e">
        <f t="shared" ca="1" si="2"/>
        <v>#NAME?</v>
      </c>
    </row>
    <row r="516" spans="2:6" ht="12.75">
      <c r="B516" s="1" t="s">
        <v>4743</v>
      </c>
      <c r="C516" s="1" t="s">
        <v>4743</v>
      </c>
      <c r="D516" s="1" t="str">
        <f ca="1">IFERROR(__xludf.DUMMYFUNCTION("iferror(SPLIT(C516,""=""))"),"")</f>
        <v/>
      </c>
      <c r="F516" s="1" t="e">
        <f t="shared" ca="1" si="2"/>
        <v>#NAME?</v>
      </c>
    </row>
    <row r="517" spans="2:6" ht="12.75">
      <c r="B517" s="1" t="s">
        <v>4743</v>
      </c>
      <c r="C517" s="1" t="s">
        <v>4743</v>
      </c>
      <c r="D517" s="1" t="str">
        <f ca="1">IFERROR(__xludf.DUMMYFUNCTION("iferror(SPLIT(C517,""=""))"),"")</f>
        <v/>
      </c>
      <c r="F517" s="1" t="e">
        <f t="shared" ca="1" si="2"/>
        <v>#NAME?</v>
      </c>
    </row>
    <row r="518" spans="2:6" ht="12.75">
      <c r="B518" s="1" t="s">
        <v>4743</v>
      </c>
      <c r="C518" s="1" t="s">
        <v>4743</v>
      </c>
      <c r="D518" s="1" t="str">
        <f ca="1">IFERROR(__xludf.DUMMYFUNCTION("iferror(SPLIT(C518,""=""))"),"")</f>
        <v/>
      </c>
      <c r="F518" s="1" t="e">
        <f t="shared" ca="1" si="2"/>
        <v>#NAME?</v>
      </c>
    </row>
    <row r="519" spans="2:6" ht="12.75">
      <c r="B519" s="1" t="s">
        <v>4743</v>
      </c>
      <c r="C519" s="1" t="s">
        <v>4743</v>
      </c>
      <c r="D519" s="1" t="str">
        <f ca="1">IFERROR(__xludf.DUMMYFUNCTION("iferror(SPLIT(C519,""=""))"),"")</f>
        <v/>
      </c>
      <c r="F519" s="1" t="e">
        <f t="shared" ca="1" si="2"/>
        <v>#NAME?</v>
      </c>
    </row>
    <row r="520" spans="2:6" ht="12.75">
      <c r="B520" s="1" t="s">
        <v>4743</v>
      </c>
      <c r="C520" s="1" t="s">
        <v>4743</v>
      </c>
      <c r="D520" s="1" t="str">
        <f ca="1">IFERROR(__xludf.DUMMYFUNCTION("iferror(SPLIT(C520,""=""))"),"")</f>
        <v/>
      </c>
      <c r="F520" s="1" t="e">
        <f t="shared" ca="1" si="2"/>
        <v>#NAME?</v>
      </c>
    </row>
    <row r="521" spans="2:6" ht="12.75">
      <c r="B521" s="1" t="s">
        <v>4743</v>
      </c>
      <c r="C521" s="1" t="s">
        <v>4743</v>
      </c>
      <c r="D521" s="1" t="str">
        <f ca="1">IFERROR(__xludf.DUMMYFUNCTION("iferror(SPLIT(C521,""=""))"),"")</f>
        <v/>
      </c>
      <c r="F521" s="1" t="e">
        <f t="shared" ca="1" si="2"/>
        <v>#NAME?</v>
      </c>
    </row>
    <row r="522" spans="2:6" ht="12.75">
      <c r="B522" s="1" t="s">
        <v>4743</v>
      </c>
      <c r="C522" s="1" t="s">
        <v>4743</v>
      </c>
      <c r="D522" s="1" t="str">
        <f ca="1">IFERROR(__xludf.DUMMYFUNCTION("iferror(SPLIT(C522,""=""))"),"")</f>
        <v/>
      </c>
      <c r="F522" s="1" t="e">
        <f t="shared" ca="1" si="2"/>
        <v>#NAME?</v>
      </c>
    </row>
    <row r="523" spans="2:6" ht="12.75">
      <c r="B523" s="1" t="s">
        <v>4743</v>
      </c>
      <c r="C523" s="1" t="s">
        <v>4743</v>
      </c>
      <c r="D523" s="1" t="str">
        <f ca="1">IFERROR(__xludf.DUMMYFUNCTION("iferror(SPLIT(C523,""=""))"),"")</f>
        <v/>
      </c>
      <c r="F523" s="1" t="e">
        <f t="shared" ca="1" si="2"/>
        <v>#NAME?</v>
      </c>
    </row>
    <row r="524" spans="2:6" ht="12.75">
      <c r="B524" s="1" t="s">
        <v>4743</v>
      </c>
      <c r="C524" s="1" t="s">
        <v>4743</v>
      </c>
      <c r="D524" s="1" t="str">
        <f ca="1">IFERROR(__xludf.DUMMYFUNCTION("iferror(SPLIT(C524,""=""))"),"")</f>
        <v/>
      </c>
      <c r="F524" s="1" t="e">
        <f t="shared" ca="1" si="2"/>
        <v>#NAME?</v>
      </c>
    </row>
    <row r="525" spans="2:6" ht="12.75">
      <c r="B525" s="1" t="s">
        <v>4743</v>
      </c>
      <c r="C525" s="1" t="s">
        <v>4743</v>
      </c>
      <c r="D525" s="1" t="str">
        <f ca="1">IFERROR(__xludf.DUMMYFUNCTION("iferror(SPLIT(C525,""=""))"),"")</f>
        <v/>
      </c>
      <c r="F525" s="1" t="e">
        <f t="shared" ca="1" si="2"/>
        <v>#NAME?</v>
      </c>
    </row>
    <row r="526" spans="2:6" ht="12.75">
      <c r="B526" s="1" t="s">
        <v>4743</v>
      </c>
      <c r="C526" s="1" t="s">
        <v>4743</v>
      </c>
      <c r="D526" s="1" t="str">
        <f ca="1">IFERROR(__xludf.DUMMYFUNCTION("iferror(SPLIT(C526,""=""))"),"")</f>
        <v/>
      </c>
      <c r="F526" s="1" t="e">
        <f t="shared" ca="1" si="2"/>
        <v>#NAME?</v>
      </c>
    </row>
    <row r="527" spans="2:6" ht="12.75">
      <c r="B527" s="1" t="s">
        <v>4743</v>
      </c>
      <c r="C527" s="1" t="s">
        <v>4743</v>
      </c>
      <c r="D527" s="1" t="str">
        <f ca="1">IFERROR(__xludf.DUMMYFUNCTION("iferror(SPLIT(C527,""=""))"),"")</f>
        <v/>
      </c>
      <c r="F527" s="1" t="e">
        <f t="shared" ca="1" si="2"/>
        <v>#NAME?</v>
      </c>
    </row>
    <row r="528" spans="2:6" ht="12.75">
      <c r="B528" s="1" t="s">
        <v>4743</v>
      </c>
      <c r="C528" s="1" t="s">
        <v>4743</v>
      </c>
      <c r="D528" s="1" t="str">
        <f ca="1">IFERROR(__xludf.DUMMYFUNCTION("iferror(SPLIT(C528,""=""))"),"")</f>
        <v/>
      </c>
      <c r="F528" s="1" t="e">
        <f t="shared" ca="1" si="2"/>
        <v>#NAME?</v>
      </c>
    </row>
    <row r="529" spans="2:6" ht="12.75">
      <c r="B529" s="1" t="s">
        <v>4743</v>
      </c>
      <c r="C529" s="1" t="s">
        <v>4743</v>
      </c>
      <c r="D529" s="1" t="str">
        <f ca="1">IFERROR(__xludf.DUMMYFUNCTION("iferror(SPLIT(C529,""=""))"),"")</f>
        <v/>
      </c>
      <c r="F529" s="1" t="e">
        <f t="shared" ca="1" si="2"/>
        <v>#NAME?</v>
      </c>
    </row>
    <row r="530" spans="2:6" ht="12.75">
      <c r="B530" s="1" t="s">
        <v>4743</v>
      </c>
      <c r="C530" s="1" t="s">
        <v>4743</v>
      </c>
      <c r="D530" s="1" t="str">
        <f ca="1">IFERROR(__xludf.DUMMYFUNCTION("iferror(SPLIT(C530,""=""))"),"")</f>
        <v/>
      </c>
      <c r="F530" s="1" t="e">
        <f t="shared" ca="1" si="2"/>
        <v>#NAME?</v>
      </c>
    </row>
    <row r="531" spans="2:6" ht="12.75">
      <c r="B531" s="1" t="s">
        <v>4743</v>
      </c>
      <c r="C531" s="1" t="s">
        <v>4743</v>
      </c>
      <c r="D531" s="1" t="str">
        <f ca="1">IFERROR(__xludf.DUMMYFUNCTION("iferror(SPLIT(C531,""=""))"),"")</f>
        <v/>
      </c>
      <c r="F531" s="1" t="e">
        <f t="shared" ca="1" si="2"/>
        <v>#NAME?</v>
      </c>
    </row>
    <row r="532" spans="2:6" ht="12.75">
      <c r="B532" s="1" t="s">
        <v>4743</v>
      </c>
      <c r="C532" s="1" t="s">
        <v>4743</v>
      </c>
      <c r="D532" s="1" t="str">
        <f ca="1">IFERROR(__xludf.DUMMYFUNCTION("iferror(SPLIT(C532,""=""))"),"")</f>
        <v/>
      </c>
      <c r="F532" s="1" t="e">
        <f t="shared" ca="1" si="2"/>
        <v>#NAME?</v>
      </c>
    </row>
    <row r="533" spans="2:6" ht="12.75">
      <c r="B533" s="1" t="s">
        <v>4743</v>
      </c>
      <c r="C533" s="1" t="s">
        <v>4743</v>
      </c>
      <c r="D533" s="1" t="str">
        <f ca="1">IFERROR(__xludf.DUMMYFUNCTION("iferror(SPLIT(C533,""=""))"),"")</f>
        <v/>
      </c>
      <c r="F533" s="1" t="e">
        <f t="shared" ca="1" si="2"/>
        <v>#NAME?</v>
      </c>
    </row>
    <row r="534" spans="2:6" ht="12.75">
      <c r="B534" s="1" t="s">
        <v>4743</v>
      </c>
      <c r="C534" s="1" t="s">
        <v>4743</v>
      </c>
      <c r="D534" s="1" t="str">
        <f ca="1">IFERROR(__xludf.DUMMYFUNCTION("iferror(SPLIT(C534,""=""))"),"")</f>
        <v/>
      </c>
      <c r="F534" s="1" t="e">
        <f t="shared" ca="1" si="2"/>
        <v>#NAME?</v>
      </c>
    </row>
    <row r="535" spans="2:6" ht="12.75">
      <c r="B535" s="1" t="s">
        <v>4743</v>
      </c>
      <c r="C535" s="1" t="s">
        <v>4743</v>
      </c>
      <c r="D535" s="1" t="str">
        <f ca="1">IFERROR(__xludf.DUMMYFUNCTION("iferror(SPLIT(C535,""=""))"),"")</f>
        <v/>
      </c>
      <c r="F535" s="1" t="e">
        <f t="shared" ca="1" si="2"/>
        <v>#NAME?</v>
      </c>
    </row>
    <row r="536" spans="2:6" ht="12.75">
      <c r="B536" s="1" t="s">
        <v>4743</v>
      </c>
      <c r="C536" s="1" t="s">
        <v>4743</v>
      </c>
      <c r="D536" s="1" t="str">
        <f ca="1">IFERROR(__xludf.DUMMYFUNCTION("iferror(SPLIT(C536,""=""))"),"")</f>
        <v/>
      </c>
      <c r="F536" s="1" t="e">
        <f t="shared" ca="1" si="2"/>
        <v>#NAME?</v>
      </c>
    </row>
    <row r="537" spans="2:6" ht="12.75">
      <c r="B537" s="1" t="s">
        <v>4743</v>
      </c>
      <c r="C537" s="1" t="s">
        <v>4743</v>
      </c>
      <c r="D537" s="1" t="str">
        <f ca="1">IFERROR(__xludf.DUMMYFUNCTION("iferror(SPLIT(C537,""=""))"),"")</f>
        <v/>
      </c>
      <c r="F537" s="1" t="e">
        <f t="shared" ca="1" si="2"/>
        <v>#NAME?</v>
      </c>
    </row>
    <row r="538" spans="2:6" ht="12.75">
      <c r="B538" s="1" t="s">
        <v>4743</v>
      </c>
      <c r="C538" s="1" t="s">
        <v>4743</v>
      </c>
      <c r="D538" s="1" t="str">
        <f ca="1">IFERROR(__xludf.DUMMYFUNCTION("iferror(SPLIT(C538,""=""))"),"")</f>
        <v/>
      </c>
      <c r="F538" s="1" t="e">
        <f t="shared" ca="1" si="2"/>
        <v>#NAME?</v>
      </c>
    </row>
    <row r="539" spans="2:6" ht="12.75">
      <c r="B539" s="1" t="s">
        <v>4743</v>
      </c>
      <c r="C539" s="1" t="s">
        <v>4743</v>
      </c>
      <c r="D539" s="1" t="str">
        <f ca="1">IFERROR(__xludf.DUMMYFUNCTION("iferror(SPLIT(C539,""=""))"),"")</f>
        <v/>
      </c>
      <c r="F539" s="1" t="e">
        <f t="shared" ca="1" si="2"/>
        <v>#NAME?</v>
      </c>
    </row>
    <row r="540" spans="2:6" ht="12.75">
      <c r="B540" s="1" t="s">
        <v>4743</v>
      </c>
      <c r="C540" s="1" t="s">
        <v>4743</v>
      </c>
      <c r="D540" s="1" t="str">
        <f ca="1">IFERROR(__xludf.DUMMYFUNCTION("iferror(SPLIT(C540,""=""))"),"")</f>
        <v/>
      </c>
      <c r="F540" s="1" t="e">
        <f t="shared" ca="1" si="2"/>
        <v>#NAME?</v>
      </c>
    </row>
    <row r="541" spans="2:6" ht="12.75">
      <c r="B541" s="1" t="s">
        <v>4743</v>
      </c>
      <c r="C541" s="1" t="s">
        <v>4743</v>
      </c>
      <c r="D541" s="1" t="str">
        <f ca="1">IFERROR(__xludf.DUMMYFUNCTION("iferror(SPLIT(C541,""=""))"),"")</f>
        <v/>
      </c>
      <c r="F541" s="1" t="e">
        <f t="shared" ca="1" si="2"/>
        <v>#NAME?</v>
      </c>
    </row>
    <row r="542" spans="2:6" ht="12.75">
      <c r="B542" s="1" t="s">
        <v>4743</v>
      </c>
      <c r="C542" s="1" t="s">
        <v>4743</v>
      </c>
      <c r="D542" s="1" t="str">
        <f ca="1">IFERROR(__xludf.DUMMYFUNCTION("iferror(SPLIT(C542,""=""))"),"")</f>
        <v/>
      </c>
      <c r="F542" s="1" t="e">
        <f t="shared" ca="1" si="2"/>
        <v>#NAME?</v>
      </c>
    </row>
    <row r="543" spans="2:6" ht="12.75">
      <c r="B543" s="1" t="s">
        <v>4743</v>
      </c>
      <c r="C543" s="1" t="s">
        <v>4743</v>
      </c>
      <c r="D543" s="1" t="str">
        <f ca="1">IFERROR(__xludf.DUMMYFUNCTION("iferror(SPLIT(C543,""=""))"),"")</f>
        <v/>
      </c>
      <c r="F543" s="1" t="e">
        <f t="shared" ca="1" si="2"/>
        <v>#NAME?</v>
      </c>
    </row>
    <row r="544" spans="2:6" ht="12.75">
      <c r="B544" s="1" t="s">
        <v>4743</v>
      </c>
      <c r="C544" s="1" t="s">
        <v>4743</v>
      </c>
      <c r="D544" s="1" t="str">
        <f ca="1">IFERROR(__xludf.DUMMYFUNCTION("iferror(SPLIT(C544,""=""))"),"")</f>
        <v/>
      </c>
      <c r="F544" s="1" t="e">
        <f t="shared" ca="1" si="2"/>
        <v>#NAME?</v>
      </c>
    </row>
    <row r="545" spans="2:6" ht="12.75">
      <c r="B545" s="1" t="s">
        <v>4743</v>
      </c>
      <c r="C545" s="1" t="s">
        <v>4743</v>
      </c>
      <c r="D545" s="1" t="str">
        <f ca="1">IFERROR(__xludf.DUMMYFUNCTION("iferror(SPLIT(C545,""=""))"),"")</f>
        <v/>
      </c>
      <c r="F545" s="1" t="e">
        <f t="shared" ca="1" si="2"/>
        <v>#NAME?</v>
      </c>
    </row>
    <row r="546" spans="2:6" ht="12.75">
      <c r="B546" s="1" t="s">
        <v>4743</v>
      </c>
      <c r="C546" s="1" t="s">
        <v>4743</v>
      </c>
      <c r="D546" s="1" t="str">
        <f ca="1">IFERROR(__xludf.DUMMYFUNCTION("iferror(SPLIT(C546,""=""))"),"")</f>
        <v/>
      </c>
      <c r="F546" s="1" t="e">
        <f t="shared" ca="1" si="2"/>
        <v>#NAME?</v>
      </c>
    </row>
    <row r="547" spans="2:6" ht="12.75">
      <c r="B547" s="1" t="s">
        <v>4743</v>
      </c>
      <c r="C547" s="1" t="s">
        <v>4743</v>
      </c>
      <c r="D547" s="1" t="str">
        <f ca="1">IFERROR(__xludf.DUMMYFUNCTION("iferror(SPLIT(C547,""=""))"),"")</f>
        <v/>
      </c>
      <c r="F547" s="1" t="e">
        <f t="shared" ca="1" si="2"/>
        <v>#NAME?</v>
      </c>
    </row>
    <row r="548" spans="2:6" ht="12.75">
      <c r="B548" s="1" t="s">
        <v>4743</v>
      </c>
      <c r="C548" s="1" t="s">
        <v>4743</v>
      </c>
      <c r="D548" s="1" t="str">
        <f ca="1">IFERROR(__xludf.DUMMYFUNCTION("iferror(SPLIT(C548,""=""))"),"")</f>
        <v/>
      </c>
      <c r="F548" s="1" t="e">
        <f t="shared" ca="1" si="2"/>
        <v>#NAME?</v>
      </c>
    </row>
    <row r="549" spans="2:6" ht="12.75">
      <c r="B549" s="1" t="s">
        <v>4743</v>
      </c>
      <c r="C549" s="1" t="s">
        <v>4743</v>
      </c>
      <c r="D549" s="1" t="str">
        <f ca="1">IFERROR(__xludf.DUMMYFUNCTION("iferror(SPLIT(C549,""=""))"),"")</f>
        <v/>
      </c>
      <c r="F549" s="1" t="e">
        <f t="shared" ca="1" si="2"/>
        <v>#NAME?</v>
      </c>
    </row>
    <row r="550" spans="2:6" ht="12.75">
      <c r="B550" s="1" t="s">
        <v>4743</v>
      </c>
      <c r="C550" s="1" t="s">
        <v>4743</v>
      </c>
      <c r="D550" s="1" t="str">
        <f ca="1">IFERROR(__xludf.DUMMYFUNCTION("iferror(SPLIT(C550,""=""))"),"")</f>
        <v/>
      </c>
      <c r="F550" s="1" t="e">
        <f t="shared" ca="1" si="2"/>
        <v>#NAME?</v>
      </c>
    </row>
    <row r="551" spans="2:6" ht="12.75">
      <c r="B551" s="1" t="s">
        <v>4743</v>
      </c>
      <c r="C551" s="1" t="s">
        <v>4743</v>
      </c>
      <c r="D551" s="1" t="str">
        <f ca="1">IFERROR(__xludf.DUMMYFUNCTION("iferror(SPLIT(C551,""=""))"),"")</f>
        <v/>
      </c>
      <c r="F551" s="1" t="e">
        <f t="shared" ca="1" si="2"/>
        <v>#NAME?</v>
      </c>
    </row>
    <row r="552" spans="2:6" ht="12.75">
      <c r="B552" s="1" t="s">
        <v>4743</v>
      </c>
      <c r="C552" s="1" t="s">
        <v>4743</v>
      </c>
      <c r="D552" s="1" t="str">
        <f ca="1">IFERROR(__xludf.DUMMYFUNCTION("iferror(SPLIT(C552,""=""))"),"")</f>
        <v/>
      </c>
      <c r="F552" s="1" t="e">
        <f t="shared" ca="1" si="2"/>
        <v>#NAME?</v>
      </c>
    </row>
    <row r="553" spans="2:6" ht="12.75">
      <c r="B553" s="1" t="s">
        <v>4743</v>
      </c>
      <c r="C553" s="1" t="s">
        <v>4743</v>
      </c>
      <c r="D553" s="1" t="str">
        <f ca="1">IFERROR(__xludf.DUMMYFUNCTION("iferror(SPLIT(C553,""=""))"),"")</f>
        <v/>
      </c>
      <c r="F553" s="1" t="e">
        <f t="shared" ca="1" si="2"/>
        <v>#NAME?</v>
      </c>
    </row>
    <row r="554" spans="2:6" ht="12.75">
      <c r="B554" s="1" t="s">
        <v>4743</v>
      </c>
      <c r="C554" s="1" t="s">
        <v>4743</v>
      </c>
      <c r="D554" s="1" t="str">
        <f ca="1">IFERROR(__xludf.DUMMYFUNCTION("iferror(SPLIT(C554,""=""))"),"")</f>
        <v/>
      </c>
      <c r="F554" s="1" t="e">
        <f t="shared" ca="1" si="2"/>
        <v>#NAME?</v>
      </c>
    </row>
    <row r="555" spans="2:6" ht="12.75">
      <c r="B555" s="1" t="s">
        <v>4743</v>
      </c>
      <c r="C555" s="1" t="s">
        <v>4743</v>
      </c>
      <c r="D555" s="1" t="str">
        <f ca="1">IFERROR(__xludf.DUMMYFUNCTION("iferror(SPLIT(C555,""=""))"),"")</f>
        <v/>
      </c>
      <c r="F555" s="1" t="e">
        <f t="shared" ca="1" si="2"/>
        <v>#NAME?</v>
      </c>
    </row>
    <row r="556" spans="2:6" ht="12.75">
      <c r="B556" s="1" t="s">
        <v>4743</v>
      </c>
      <c r="C556" s="1" t="s">
        <v>4743</v>
      </c>
      <c r="D556" s="1" t="str">
        <f ca="1">IFERROR(__xludf.DUMMYFUNCTION("iferror(SPLIT(C556,""=""))"),"")</f>
        <v/>
      </c>
      <c r="F556" s="1" t="e">
        <f t="shared" ca="1" si="2"/>
        <v>#NAME?</v>
      </c>
    </row>
    <row r="557" spans="2:6" ht="12.75">
      <c r="B557" s="1" t="s">
        <v>4743</v>
      </c>
      <c r="C557" s="1" t="s">
        <v>4743</v>
      </c>
      <c r="D557" s="1" t="str">
        <f ca="1">IFERROR(__xludf.DUMMYFUNCTION("iferror(SPLIT(C557,""=""))"),"")</f>
        <v/>
      </c>
      <c r="F557" s="1" t="e">
        <f t="shared" ca="1" si="2"/>
        <v>#NAME?</v>
      </c>
    </row>
    <row r="558" spans="2:6" ht="12.75">
      <c r="B558" s="1" t="s">
        <v>4743</v>
      </c>
      <c r="C558" s="1" t="s">
        <v>4743</v>
      </c>
      <c r="D558" s="1" t="str">
        <f ca="1">IFERROR(__xludf.DUMMYFUNCTION("iferror(SPLIT(C558,""=""))"),"")</f>
        <v/>
      </c>
      <c r="F558" s="1" t="e">
        <f t="shared" ca="1" si="2"/>
        <v>#NAME?</v>
      </c>
    </row>
    <row r="559" spans="2:6" ht="12.75">
      <c r="B559" s="1" t="s">
        <v>4743</v>
      </c>
      <c r="C559" s="1" t="s">
        <v>4743</v>
      </c>
      <c r="D559" s="1" t="str">
        <f ca="1">IFERROR(__xludf.DUMMYFUNCTION("iferror(SPLIT(C559,""=""))"),"")</f>
        <v/>
      </c>
      <c r="F559" s="1" t="e">
        <f t="shared" ca="1" si="2"/>
        <v>#NAME?</v>
      </c>
    </row>
    <row r="560" spans="2:6" ht="12.75">
      <c r="B560" s="1" t="s">
        <v>4743</v>
      </c>
      <c r="C560" s="1" t="s">
        <v>4743</v>
      </c>
      <c r="D560" s="1" t="str">
        <f ca="1">IFERROR(__xludf.DUMMYFUNCTION("iferror(SPLIT(C560,""=""))"),"")</f>
        <v/>
      </c>
      <c r="F560" s="1" t="e">
        <f t="shared" ca="1" si="2"/>
        <v>#NAME?</v>
      </c>
    </row>
    <row r="561" spans="2:6" ht="12.75">
      <c r="B561" s="1" t="s">
        <v>4743</v>
      </c>
      <c r="C561" s="1" t="s">
        <v>4743</v>
      </c>
      <c r="D561" s="1" t="str">
        <f ca="1">IFERROR(__xludf.DUMMYFUNCTION("iferror(SPLIT(C561,""=""))"),"")</f>
        <v/>
      </c>
      <c r="F561" s="1" t="e">
        <f t="shared" ca="1" si="2"/>
        <v>#NAME?</v>
      </c>
    </row>
    <row r="562" spans="2:6" ht="12.75">
      <c r="B562" s="1" t="s">
        <v>4743</v>
      </c>
      <c r="C562" s="1" t="s">
        <v>4743</v>
      </c>
      <c r="D562" s="1" t="str">
        <f ca="1">IFERROR(__xludf.DUMMYFUNCTION("iferror(SPLIT(C562,""=""))"),"")</f>
        <v/>
      </c>
      <c r="F562" s="1" t="e">
        <f t="shared" ca="1" si="2"/>
        <v>#NAME?</v>
      </c>
    </row>
    <row r="563" spans="2:6" ht="12.75">
      <c r="B563" s="1" t="s">
        <v>4743</v>
      </c>
      <c r="C563" s="1" t="s">
        <v>4743</v>
      </c>
      <c r="D563" s="1" t="str">
        <f ca="1">IFERROR(__xludf.DUMMYFUNCTION("iferror(SPLIT(C563,""=""))"),"")</f>
        <v/>
      </c>
      <c r="F563" s="1" t="e">
        <f t="shared" ca="1" si="2"/>
        <v>#NAME?</v>
      </c>
    </row>
    <row r="564" spans="2:6" ht="12.75">
      <c r="B564" s="1" t="s">
        <v>4743</v>
      </c>
      <c r="C564" s="1" t="s">
        <v>4743</v>
      </c>
      <c r="D564" s="1" t="str">
        <f ca="1">IFERROR(__xludf.DUMMYFUNCTION("iferror(SPLIT(C564,""=""))"),"")</f>
        <v/>
      </c>
      <c r="F564" s="1" t="e">
        <f t="shared" ca="1" si="2"/>
        <v>#NAME?</v>
      </c>
    </row>
    <row r="565" spans="2:6" ht="12.75">
      <c r="B565" s="1" t="s">
        <v>4743</v>
      </c>
      <c r="C565" s="1" t="s">
        <v>4743</v>
      </c>
      <c r="D565" s="1" t="str">
        <f ca="1">IFERROR(__xludf.DUMMYFUNCTION("iferror(SPLIT(C565,""=""))"),"")</f>
        <v/>
      </c>
      <c r="F565" s="1" t="e">
        <f t="shared" ca="1" si="2"/>
        <v>#NAME?</v>
      </c>
    </row>
    <row r="566" spans="2:6" ht="12.75">
      <c r="B566" s="1" t="s">
        <v>4743</v>
      </c>
      <c r="C566" s="1" t="s">
        <v>4743</v>
      </c>
      <c r="D566" s="1" t="str">
        <f ca="1">IFERROR(__xludf.DUMMYFUNCTION("iferror(SPLIT(C566,""=""))"),"")</f>
        <v/>
      </c>
      <c r="F566" s="1" t="e">
        <f t="shared" ca="1" si="2"/>
        <v>#NAME?</v>
      </c>
    </row>
    <row r="567" spans="2:6" ht="12.75">
      <c r="B567" s="1" t="s">
        <v>4743</v>
      </c>
      <c r="C567" s="1" t="s">
        <v>4743</v>
      </c>
      <c r="D567" s="1" t="str">
        <f ca="1">IFERROR(__xludf.DUMMYFUNCTION("iferror(SPLIT(C567,""=""))"),"")</f>
        <v/>
      </c>
      <c r="F567" s="1" t="e">
        <f t="shared" ca="1" si="2"/>
        <v>#NAME?</v>
      </c>
    </row>
    <row r="568" spans="2:6" ht="12.75">
      <c r="B568" s="1" t="s">
        <v>4743</v>
      </c>
      <c r="C568" s="1" t="s">
        <v>4743</v>
      </c>
      <c r="D568" s="1" t="str">
        <f ca="1">IFERROR(__xludf.DUMMYFUNCTION("iferror(SPLIT(C568,""=""))"),"")</f>
        <v/>
      </c>
      <c r="F568" s="1" t="e">
        <f t="shared" ca="1" si="2"/>
        <v>#NAME?</v>
      </c>
    </row>
    <row r="569" spans="2:6" ht="12.75">
      <c r="B569" s="1" t="s">
        <v>4743</v>
      </c>
      <c r="C569" s="1" t="s">
        <v>4743</v>
      </c>
      <c r="D569" s="1" t="str">
        <f ca="1">IFERROR(__xludf.DUMMYFUNCTION("iferror(SPLIT(C569,""=""))"),"")</f>
        <v/>
      </c>
      <c r="F569" s="1" t="e">
        <f t="shared" ca="1" si="2"/>
        <v>#NAME?</v>
      </c>
    </row>
    <row r="570" spans="2:6" ht="12.75">
      <c r="B570" s="1" t="s">
        <v>4743</v>
      </c>
      <c r="C570" s="1" t="s">
        <v>4743</v>
      </c>
      <c r="D570" s="1" t="str">
        <f ca="1">IFERROR(__xludf.DUMMYFUNCTION("iferror(SPLIT(C570,""=""))"),"")</f>
        <v/>
      </c>
      <c r="F570" s="1" t="e">
        <f t="shared" ca="1" si="2"/>
        <v>#NAME?</v>
      </c>
    </row>
    <row r="571" spans="2:6" ht="12.75">
      <c r="B571" s="1" t="s">
        <v>4743</v>
      </c>
      <c r="C571" s="1" t="s">
        <v>4743</v>
      </c>
      <c r="D571" s="1" t="str">
        <f ca="1">IFERROR(__xludf.DUMMYFUNCTION("iferror(SPLIT(C571,""=""))"),"")</f>
        <v/>
      </c>
      <c r="F571" s="1" t="e">
        <f t="shared" ca="1" si="2"/>
        <v>#NAME?</v>
      </c>
    </row>
    <row r="572" spans="2:6" ht="12.75">
      <c r="B572" s="1" t="s">
        <v>4743</v>
      </c>
      <c r="C572" s="1" t="s">
        <v>4743</v>
      </c>
      <c r="D572" s="1" t="str">
        <f ca="1">IFERROR(__xludf.DUMMYFUNCTION("iferror(SPLIT(C572,""=""))"),"")</f>
        <v/>
      </c>
      <c r="F572" s="1" t="e">
        <f t="shared" ca="1" si="2"/>
        <v>#NAME?</v>
      </c>
    </row>
    <row r="573" spans="2:6" ht="12.75">
      <c r="B573" s="1" t="s">
        <v>4743</v>
      </c>
      <c r="C573" s="1" t="s">
        <v>4743</v>
      </c>
      <c r="D573" s="1" t="str">
        <f ca="1">IFERROR(__xludf.DUMMYFUNCTION("iferror(SPLIT(C573,""=""))"),"")</f>
        <v/>
      </c>
      <c r="F573" s="1" t="e">
        <f t="shared" ca="1" si="2"/>
        <v>#NAME?</v>
      </c>
    </row>
    <row r="574" spans="2:6" ht="12.75">
      <c r="B574" s="1" t="s">
        <v>4743</v>
      </c>
      <c r="C574" s="1" t="s">
        <v>4743</v>
      </c>
      <c r="D574" s="1" t="str">
        <f ca="1">IFERROR(__xludf.DUMMYFUNCTION("iferror(SPLIT(C574,""=""))"),"")</f>
        <v/>
      </c>
      <c r="F574" s="1" t="e">
        <f t="shared" ca="1" si="2"/>
        <v>#NAME?</v>
      </c>
    </row>
    <row r="575" spans="2:6" ht="12.75">
      <c r="B575" s="1" t="s">
        <v>4743</v>
      </c>
      <c r="C575" s="1" t="s">
        <v>4743</v>
      </c>
      <c r="D575" s="1" t="str">
        <f ca="1">IFERROR(__xludf.DUMMYFUNCTION("iferror(SPLIT(C575,""=""))"),"")</f>
        <v/>
      </c>
      <c r="F575" s="1" t="e">
        <f t="shared" ca="1" si="2"/>
        <v>#NAME?</v>
      </c>
    </row>
    <row r="576" spans="2:6" ht="12.75">
      <c r="B576" s="1" t="s">
        <v>4743</v>
      </c>
      <c r="C576" s="1" t="s">
        <v>4743</v>
      </c>
      <c r="D576" s="1" t="str">
        <f ca="1">IFERROR(__xludf.DUMMYFUNCTION("iferror(SPLIT(C576,""=""))"),"")</f>
        <v/>
      </c>
      <c r="F576" s="1" t="e">
        <f t="shared" ca="1" si="2"/>
        <v>#NAME?</v>
      </c>
    </row>
    <row r="577" spans="2:6" ht="12.75">
      <c r="B577" s="1" t="s">
        <v>4743</v>
      </c>
      <c r="C577" s="1" t="s">
        <v>4743</v>
      </c>
      <c r="D577" s="1" t="str">
        <f ca="1">IFERROR(__xludf.DUMMYFUNCTION("iferror(SPLIT(C577,""=""))"),"")</f>
        <v/>
      </c>
      <c r="F577" s="1" t="e">
        <f t="shared" ca="1" si="2"/>
        <v>#NAME?</v>
      </c>
    </row>
    <row r="578" spans="2:6" ht="12.75">
      <c r="B578" s="1" t="s">
        <v>4743</v>
      </c>
      <c r="C578" s="1" t="s">
        <v>4743</v>
      </c>
      <c r="D578" s="1" t="str">
        <f ca="1">IFERROR(__xludf.DUMMYFUNCTION("iferror(SPLIT(C578,""=""))"),"")</f>
        <v/>
      </c>
      <c r="F578" s="1" t="e">
        <f t="shared" ca="1" si="2"/>
        <v>#NAME?</v>
      </c>
    </row>
    <row r="579" spans="2:6" ht="12.75">
      <c r="B579" s="1" t="s">
        <v>4743</v>
      </c>
      <c r="C579" s="1" t="s">
        <v>4743</v>
      </c>
      <c r="D579" s="1" t="str">
        <f ca="1">IFERROR(__xludf.DUMMYFUNCTION("iferror(SPLIT(C579,""=""))"),"")</f>
        <v/>
      </c>
      <c r="F579" s="1" t="e">
        <f t="shared" ca="1" si="2"/>
        <v>#NAME?</v>
      </c>
    </row>
    <row r="580" spans="2:6" ht="12.75">
      <c r="B580" s="1" t="s">
        <v>4743</v>
      </c>
      <c r="C580" s="1" t="s">
        <v>4743</v>
      </c>
      <c r="D580" s="1" t="str">
        <f ca="1">IFERROR(__xludf.DUMMYFUNCTION("iferror(SPLIT(C580,""=""))"),"")</f>
        <v/>
      </c>
      <c r="F580" s="1" t="e">
        <f t="shared" ca="1" si="2"/>
        <v>#NAME?</v>
      </c>
    </row>
    <row r="581" spans="2:6" ht="12.75">
      <c r="B581" s="1" t="s">
        <v>4743</v>
      </c>
      <c r="C581" s="1" t="s">
        <v>4743</v>
      </c>
      <c r="D581" s="1" t="str">
        <f ca="1">IFERROR(__xludf.DUMMYFUNCTION("iferror(SPLIT(C581,""=""))"),"")</f>
        <v/>
      </c>
      <c r="F581" s="1" t="e">
        <f t="shared" ca="1" si="2"/>
        <v>#NAME?</v>
      </c>
    </row>
    <row r="582" spans="2:6" ht="12.75">
      <c r="B582" s="1" t="s">
        <v>4743</v>
      </c>
      <c r="C582" s="1" t="s">
        <v>4743</v>
      </c>
      <c r="D582" s="1" t="str">
        <f ca="1">IFERROR(__xludf.DUMMYFUNCTION("iferror(SPLIT(C582,""=""))"),"")</f>
        <v/>
      </c>
      <c r="F582" s="1" t="e">
        <f t="shared" ca="1" si="2"/>
        <v>#NAME?</v>
      </c>
    </row>
    <row r="583" spans="2:6" ht="12.75">
      <c r="B583" s="1" t="s">
        <v>4743</v>
      </c>
      <c r="C583" s="1" t="s">
        <v>4743</v>
      </c>
      <c r="D583" s="1" t="str">
        <f ca="1">IFERROR(__xludf.DUMMYFUNCTION("iferror(SPLIT(C583,""=""))"),"")</f>
        <v/>
      </c>
      <c r="F583" s="1" t="e">
        <f t="shared" ca="1" si="2"/>
        <v>#NAME?</v>
      </c>
    </row>
    <row r="584" spans="2:6" ht="12.75">
      <c r="B584" s="1" t="s">
        <v>4743</v>
      </c>
      <c r="C584" s="1" t="s">
        <v>4743</v>
      </c>
      <c r="D584" s="1" t="str">
        <f ca="1">IFERROR(__xludf.DUMMYFUNCTION("iferror(SPLIT(C584,""=""))"),"")</f>
        <v/>
      </c>
      <c r="F584" s="1" t="e">
        <f t="shared" ca="1" si="2"/>
        <v>#NAME?</v>
      </c>
    </row>
    <row r="585" spans="2:6" ht="12.75">
      <c r="B585" s="1" t="s">
        <v>4743</v>
      </c>
      <c r="C585" s="1" t="s">
        <v>4743</v>
      </c>
      <c r="D585" s="1" t="str">
        <f ca="1">IFERROR(__xludf.DUMMYFUNCTION("iferror(SPLIT(C585,""=""))"),"")</f>
        <v/>
      </c>
      <c r="F585" s="1" t="e">
        <f t="shared" ca="1" si="2"/>
        <v>#NAME?</v>
      </c>
    </row>
    <row r="586" spans="2:6" ht="12.75">
      <c r="B586" s="1" t="s">
        <v>4743</v>
      </c>
      <c r="C586" s="1" t="s">
        <v>4743</v>
      </c>
      <c r="D586" s="1" t="str">
        <f ca="1">IFERROR(__xludf.DUMMYFUNCTION("iferror(SPLIT(C586,""=""))"),"")</f>
        <v/>
      </c>
      <c r="F586" s="1" t="e">
        <f t="shared" ca="1" si="2"/>
        <v>#NAME?</v>
      </c>
    </row>
    <row r="587" spans="2:6" ht="12.75">
      <c r="B587" s="1" t="s">
        <v>4743</v>
      </c>
      <c r="C587" s="1" t="s">
        <v>4743</v>
      </c>
      <c r="D587" s="1" t="str">
        <f ca="1">IFERROR(__xludf.DUMMYFUNCTION("iferror(SPLIT(C587,""=""))"),"")</f>
        <v/>
      </c>
      <c r="F587" s="1" t="e">
        <f t="shared" ca="1" si="2"/>
        <v>#NAME?</v>
      </c>
    </row>
    <row r="588" spans="2:6" ht="12.75">
      <c r="B588" s="1" t="s">
        <v>4743</v>
      </c>
      <c r="C588" s="1" t="s">
        <v>4743</v>
      </c>
      <c r="D588" s="1" t="str">
        <f ca="1">IFERROR(__xludf.DUMMYFUNCTION("iferror(SPLIT(C588,""=""))"),"")</f>
        <v/>
      </c>
      <c r="F588" s="1" t="e">
        <f t="shared" ca="1" si="2"/>
        <v>#NAME?</v>
      </c>
    </row>
    <row r="589" spans="2:6" ht="12.75">
      <c r="B589" s="1" t="s">
        <v>4743</v>
      </c>
      <c r="C589" s="1" t="s">
        <v>4743</v>
      </c>
      <c r="D589" s="1" t="str">
        <f ca="1">IFERROR(__xludf.DUMMYFUNCTION("iferror(SPLIT(C589,""=""))"),"")</f>
        <v/>
      </c>
      <c r="F589" s="1" t="e">
        <f t="shared" ca="1" si="2"/>
        <v>#NAME?</v>
      </c>
    </row>
    <row r="590" spans="2:6" ht="12.75">
      <c r="B590" s="1" t="s">
        <v>4743</v>
      </c>
      <c r="C590" s="1" t="s">
        <v>4743</v>
      </c>
      <c r="D590" s="1" t="str">
        <f ca="1">IFERROR(__xludf.DUMMYFUNCTION("iferror(SPLIT(C590,""=""))"),"")</f>
        <v/>
      </c>
      <c r="F590" s="1" t="e">
        <f t="shared" ca="1" si="2"/>
        <v>#NAME?</v>
      </c>
    </row>
    <row r="591" spans="2:6" ht="12.75">
      <c r="B591" s="1" t="s">
        <v>4743</v>
      </c>
      <c r="C591" s="1" t="s">
        <v>4743</v>
      </c>
      <c r="D591" s="1" t="str">
        <f ca="1">IFERROR(__xludf.DUMMYFUNCTION("iferror(SPLIT(C591,""=""))"),"")</f>
        <v/>
      </c>
      <c r="F591" s="1" t="e">
        <f t="shared" ca="1" si="2"/>
        <v>#NAME?</v>
      </c>
    </row>
    <row r="592" spans="2:6" ht="12.75">
      <c r="B592" s="1" t="s">
        <v>4743</v>
      </c>
      <c r="C592" s="1" t="s">
        <v>4743</v>
      </c>
      <c r="D592" s="1" t="str">
        <f ca="1">IFERROR(__xludf.DUMMYFUNCTION("iferror(SPLIT(C592,""=""))"),"")</f>
        <v/>
      </c>
      <c r="F592" s="1" t="e">
        <f t="shared" ca="1" si="2"/>
        <v>#NAME?</v>
      </c>
    </row>
    <row r="593" spans="2:6" ht="12.75">
      <c r="B593" s="1" t="s">
        <v>4743</v>
      </c>
      <c r="C593" s="1" t="s">
        <v>4743</v>
      </c>
      <c r="D593" s="1" t="str">
        <f ca="1">IFERROR(__xludf.DUMMYFUNCTION("iferror(SPLIT(C593,""=""))"),"")</f>
        <v/>
      </c>
      <c r="F593" s="1" t="e">
        <f t="shared" ca="1" si="2"/>
        <v>#NAME?</v>
      </c>
    </row>
    <row r="594" spans="2:6" ht="12.75">
      <c r="B594" s="1" t="s">
        <v>4743</v>
      </c>
      <c r="C594" s="1" t="s">
        <v>4743</v>
      </c>
      <c r="D594" s="1" t="str">
        <f ca="1">IFERROR(__xludf.DUMMYFUNCTION("iferror(SPLIT(C594,""=""))"),"")</f>
        <v/>
      </c>
      <c r="F594" s="1" t="e">
        <f t="shared" ca="1" si="2"/>
        <v>#NAME?</v>
      </c>
    </row>
    <row r="595" spans="2:6" ht="12.75">
      <c r="B595" s="1" t="s">
        <v>4743</v>
      </c>
      <c r="C595" s="1" t="s">
        <v>4743</v>
      </c>
      <c r="D595" s="1" t="str">
        <f ca="1">IFERROR(__xludf.DUMMYFUNCTION("iferror(SPLIT(C595,""=""))"),"")</f>
        <v/>
      </c>
      <c r="F595" s="1" t="e">
        <f t="shared" ca="1" si="2"/>
        <v>#NAME?</v>
      </c>
    </row>
    <row r="596" spans="2:6" ht="12.75">
      <c r="B596" s="1" t="s">
        <v>4743</v>
      </c>
      <c r="C596" s="1" t="s">
        <v>4743</v>
      </c>
      <c r="D596" s="1" t="str">
        <f ca="1">IFERROR(__xludf.DUMMYFUNCTION("iferror(SPLIT(C596,""=""))"),"")</f>
        <v/>
      </c>
      <c r="F596" s="1" t="e">
        <f t="shared" ca="1" si="2"/>
        <v>#NAME?</v>
      </c>
    </row>
    <row r="597" spans="2:6" ht="12.75">
      <c r="B597" s="1" t="s">
        <v>4743</v>
      </c>
      <c r="C597" s="1" t="s">
        <v>4743</v>
      </c>
      <c r="D597" s="1" t="str">
        <f ca="1">IFERROR(__xludf.DUMMYFUNCTION("iferror(SPLIT(C597,""=""))"),"")</f>
        <v/>
      </c>
      <c r="F597" s="1" t="e">
        <f t="shared" ca="1" si="2"/>
        <v>#NAME?</v>
      </c>
    </row>
    <row r="598" spans="2:6" ht="12.75">
      <c r="B598" s="1" t="s">
        <v>4743</v>
      </c>
      <c r="C598" s="1" t="s">
        <v>4743</v>
      </c>
      <c r="D598" s="1" t="str">
        <f ca="1">IFERROR(__xludf.DUMMYFUNCTION("iferror(SPLIT(C598,""=""))"),"")</f>
        <v/>
      </c>
      <c r="F598" s="1" t="e">
        <f t="shared" ca="1" si="2"/>
        <v>#NAME?</v>
      </c>
    </row>
    <row r="599" spans="2:6" ht="12.75">
      <c r="B599" s="1" t="s">
        <v>4743</v>
      </c>
      <c r="C599" s="1" t="s">
        <v>4743</v>
      </c>
      <c r="D599" s="1" t="str">
        <f ca="1">IFERROR(__xludf.DUMMYFUNCTION("iferror(SPLIT(C599,""=""))"),"")</f>
        <v/>
      </c>
      <c r="F599" s="1" t="e">
        <f t="shared" ca="1" si="2"/>
        <v>#NAME?</v>
      </c>
    </row>
    <row r="600" spans="2:6" ht="12.75">
      <c r="B600" s="1" t="s">
        <v>4743</v>
      </c>
      <c r="C600" s="1" t="s">
        <v>4743</v>
      </c>
      <c r="D600" s="1" t="str">
        <f ca="1">IFERROR(__xludf.DUMMYFUNCTION("iferror(SPLIT(C600,""=""))"),"")</f>
        <v/>
      </c>
      <c r="F600" s="1" t="e">
        <f t="shared" ca="1" si="2"/>
        <v>#NAME?</v>
      </c>
    </row>
    <row r="601" spans="2:6" ht="12.75">
      <c r="B601" s="1" t="s">
        <v>4743</v>
      </c>
      <c r="C601" s="1" t="s">
        <v>4743</v>
      </c>
      <c r="D601" s="1" t="str">
        <f ca="1">IFERROR(__xludf.DUMMYFUNCTION("iferror(SPLIT(C601,""=""))"),"")</f>
        <v/>
      </c>
      <c r="F601" s="1" t="e">
        <f t="shared" ca="1" si="2"/>
        <v>#NAME?</v>
      </c>
    </row>
    <row r="602" spans="2:6" ht="12.75">
      <c r="B602" s="1" t="s">
        <v>4743</v>
      </c>
      <c r="C602" s="1" t="s">
        <v>4743</v>
      </c>
      <c r="D602" s="1" t="str">
        <f ca="1">IFERROR(__xludf.DUMMYFUNCTION("iferror(SPLIT(C602,""=""))"),"")</f>
        <v/>
      </c>
      <c r="F602" s="1" t="e">
        <f t="shared" ca="1" si="2"/>
        <v>#NAME?</v>
      </c>
    </row>
    <row r="603" spans="2:6" ht="12.75">
      <c r="B603" s="1" t="s">
        <v>4743</v>
      </c>
      <c r="C603" s="1" t="s">
        <v>4743</v>
      </c>
      <c r="D603" s="1" t="str">
        <f ca="1">IFERROR(__xludf.DUMMYFUNCTION("iferror(SPLIT(C603,""=""))"),"")</f>
        <v/>
      </c>
      <c r="F603" s="1" t="e">
        <f t="shared" ca="1" si="2"/>
        <v>#NAME?</v>
      </c>
    </row>
    <row r="604" spans="2:6" ht="12.75">
      <c r="B604" s="1" t="s">
        <v>4743</v>
      </c>
      <c r="C604" s="1" t="s">
        <v>4743</v>
      </c>
      <c r="D604" s="1" t="str">
        <f ca="1">IFERROR(__xludf.DUMMYFUNCTION("iferror(SPLIT(C604,""=""))"),"")</f>
        <v/>
      </c>
      <c r="F604" s="1" t="e">
        <f t="shared" ca="1" si="2"/>
        <v>#NAME?</v>
      </c>
    </row>
    <row r="605" spans="2:6" ht="12.75">
      <c r="B605" s="1" t="s">
        <v>4743</v>
      </c>
      <c r="C605" s="1" t="s">
        <v>4743</v>
      </c>
      <c r="D605" s="1" t="str">
        <f ca="1">IFERROR(__xludf.DUMMYFUNCTION("iferror(SPLIT(C605,""=""))"),"")</f>
        <v/>
      </c>
      <c r="F605" s="1" t="e">
        <f t="shared" ca="1" si="2"/>
        <v>#NAME?</v>
      </c>
    </row>
    <row r="606" spans="2:6" ht="12.75">
      <c r="B606" s="1" t="s">
        <v>4743</v>
      </c>
      <c r="C606" s="1" t="s">
        <v>4743</v>
      </c>
      <c r="D606" s="1" t="str">
        <f ca="1">IFERROR(__xludf.DUMMYFUNCTION("iferror(SPLIT(C606,""=""))"),"")</f>
        <v/>
      </c>
      <c r="F606" s="1" t="e">
        <f t="shared" ca="1" si="2"/>
        <v>#NAME?</v>
      </c>
    </row>
    <row r="607" spans="2:6" ht="12.75">
      <c r="B607" s="1" t="s">
        <v>4743</v>
      </c>
      <c r="C607" s="1" t="s">
        <v>4743</v>
      </c>
      <c r="D607" s="1" t="str">
        <f ca="1">IFERROR(__xludf.DUMMYFUNCTION("iferror(SPLIT(C607,""=""))"),"")</f>
        <v/>
      </c>
      <c r="F607" s="1" t="e">
        <f t="shared" ca="1" si="2"/>
        <v>#NAME?</v>
      </c>
    </row>
    <row r="608" spans="2:6" ht="12.75">
      <c r="B608" s="1" t="s">
        <v>4743</v>
      </c>
      <c r="C608" s="1" t="s">
        <v>4743</v>
      </c>
      <c r="D608" s="1" t="str">
        <f ca="1">IFERROR(__xludf.DUMMYFUNCTION("iferror(SPLIT(C608,""=""))"),"")</f>
        <v/>
      </c>
      <c r="F608" s="1" t="e">
        <f t="shared" ca="1" si="2"/>
        <v>#NAME?</v>
      </c>
    </row>
    <row r="609" spans="2:6" ht="12.75">
      <c r="B609" s="1" t="s">
        <v>4743</v>
      </c>
      <c r="C609" s="1" t="s">
        <v>4743</v>
      </c>
      <c r="D609" s="1" t="str">
        <f ca="1">IFERROR(__xludf.DUMMYFUNCTION("iferror(SPLIT(C609,""=""))"),"")</f>
        <v/>
      </c>
      <c r="F609" s="1" t="e">
        <f t="shared" ca="1" si="2"/>
        <v>#NAME?</v>
      </c>
    </row>
    <row r="610" spans="2:6" ht="12.75">
      <c r="B610" s="1" t="s">
        <v>4743</v>
      </c>
      <c r="C610" s="1" t="s">
        <v>4743</v>
      </c>
      <c r="D610" s="1" t="str">
        <f ca="1">IFERROR(__xludf.DUMMYFUNCTION("iferror(SPLIT(C610,""=""))"),"")</f>
        <v/>
      </c>
      <c r="F610" s="1" t="e">
        <f t="shared" ca="1" si="2"/>
        <v>#NAME?</v>
      </c>
    </row>
    <row r="611" spans="2:6" ht="12.75">
      <c r="B611" s="1" t="s">
        <v>4743</v>
      </c>
      <c r="C611" s="1" t="s">
        <v>4743</v>
      </c>
      <c r="D611" s="1" t="str">
        <f ca="1">IFERROR(__xludf.DUMMYFUNCTION("iferror(SPLIT(C611,""=""))"),"")</f>
        <v/>
      </c>
      <c r="F611" s="1" t="e">
        <f t="shared" ca="1" si="2"/>
        <v>#NAME?</v>
      </c>
    </row>
    <row r="612" spans="2:6" ht="12.75">
      <c r="B612" s="1" t="s">
        <v>4743</v>
      </c>
      <c r="C612" s="1" t="s">
        <v>4743</v>
      </c>
      <c r="D612" s="1" t="str">
        <f ca="1">IFERROR(__xludf.DUMMYFUNCTION("iferror(SPLIT(C612,""=""))"),"")</f>
        <v/>
      </c>
      <c r="F612" s="1" t="e">
        <f t="shared" ca="1" si="2"/>
        <v>#NAME?</v>
      </c>
    </row>
    <row r="613" spans="2:6" ht="12.75">
      <c r="B613" s="1" t="s">
        <v>4743</v>
      </c>
      <c r="C613" s="1" t="s">
        <v>4743</v>
      </c>
      <c r="D613" s="1" t="str">
        <f ca="1">IFERROR(__xludf.DUMMYFUNCTION("iferror(SPLIT(C613,""=""))"),"")</f>
        <v/>
      </c>
      <c r="F613" s="1" t="e">
        <f t="shared" ca="1" si="2"/>
        <v>#NAME?</v>
      </c>
    </row>
    <row r="614" spans="2:6" ht="12.75">
      <c r="B614" s="1" t="s">
        <v>4743</v>
      </c>
      <c r="C614" s="1" t="s">
        <v>4743</v>
      </c>
      <c r="D614" s="1" t="str">
        <f ca="1">IFERROR(__xludf.DUMMYFUNCTION("iferror(SPLIT(C614,""=""))"),"")</f>
        <v/>
      </c>
      <c r="F614" s="1" t="e">
        <f t="shared" ca="1" si="2"/>
        <v>#NAME?</v>
      </c>
    </row>
    <row r="615" spans="2:6" ht="12.75">
      <c r="B615" s="1" t="s">
        <v>4743</v>
      </c>
      <c r="C615" s="1" t="s">
        <v>4743</v>
      </c>
      <c r="D615" s="1" t="str">
        <f ca="1">IFERROR(__xludf.DUMMYFUNCTION("iferror(SPLIT(C615,""=""))"),"")</f>
        <v/>
      </c>
      <c r="F615" s="1" t="e">
        <f t="shared" ca="1" si="2"/>
        <v>#NAME?</v>
      </c>
    </row>
    <row r="616" spans="2:6" ht="12.75">
      <c r="B616" s="1" t="s">
        <v>4743</v>
      </c>
      <c r="C616" s="1" t="s">
        <v>4743</v>
      </c>
      <c r="D616" s="1" t="str">
        <f ca="1">IFERROR(__xludf.DUMMYFUNCTION("iferror(SPLIT(C616,""=""))"),"")</f>
        <v/>
      </c>
      <c r="F616" s="1" t="e">
        <f t="shared" ca="1" si="2"/>
        <v>#NAME?</v>
      </c>
    </row>
    <row r="617" spans="2:6" ht="12.75">
      <c r="B617" s="1" t="s">
        <v>4743</v>
      </c>
      <c r="C617" s="1" t="s">
        <v>4743</v>
      </c>
      <c r="D617" s="1" t="str">
        <f ca="1">IFERROR(__xludf.DUMMYFUNCTION("iferror(SPLIT(C617,""=""))"),"")</f>
        <v/>
      </c>
      <c r="F617" s="1" t="e">
        <f t="shared" ca="1" si="2"/>
        <v>#NAME?</v>
      </c>
    </row>
    <row r="618" spans="2:6" ht="12.75">
      <c r="B618" s="1" t="s">
        <v>4743</v>
      </c>
      <c r="C618" s="1" t="s">
        <v>4743</v>
      </c>
      <c r="D618" s="1" t="str">
        <f ca="1">IFERROR(__xludf.DUMMYFUNCTION("iferror(SPLIT(C618,""=""))"),"")</f>
        <v/>
      </c>
      <c r="F618" s="1" t="e">
        <f t="shared" ca="1" si="2"/>
        <v>#NAME?</v>
      </c>
    </row>
    <row r="619" spans="2:6" ht="12.75">
      <c r="B619" s="1" t="s">
        <v>4743</v>
      </c>
      <c r="C619" s="1" t="s">
        <v>4743</v>
      </c>
      <c r="D619" s="1" t="str">
        <f ca="1">IFERROR(__xludf.DUMMYFUNCTION("iferror(SPLIT(C619,""=""))"),"")</f>
        <v/>
      </c>
      <c r="F619" s="1" t="e">
        <f t="shared" ca="1" si="2"/>
        <v>#NAME?</v>
      </c>
    </row>
    <row r="620" spans="2:6" ht="12.75">
      <c r="B620" s="1" t="s">
        <v>4743</v>
      </c>
      <c r="C620" s="1" t="s">
        <v>4743</v>
      </c>
      <c r="D620" s="1" t="str">
        <f ca="1">IFERROR(__xludf.DUMMYFUNCTION("iferror(SPLIT(C620,""=""))"),"")</f>
        <v/>
      </c>
      <c r="F620" s="1" t="e">
        <f t="shared" ca="1" si="2"/>
        <v>#NAME?</v>
      </c>
    </row>
    <row r="621" spans="2:6" ht="12.75">
      <c r="B621" s="1" t="s">
        <v>4743</v>
      </c>
      <c r="C621" s="1" t="s">
        <v>4743</v>
      </c>
      <c r="D621" s="1" t="str">
        <f ca="1">IFERROR(__xludf.DUMMYFUNCTION("iferror(SPLIT(C621,""=""))"),"")</f>
        <v/>
      </c>
      <c r="F621" s="1" t="e">
        <f t="shared" ca="1" si="2"/>
        <v>#NAME?</v>
      </c>
    </row>
    <row r="622" spans="2:6" ht="12.75">
      <c r="B622" s="1" t="s">
        <v>4743</v>
      </c>
      <c r="C622" s="1" t="s">
        <v>4743</v>
      </c>
      <c r="D622" s="1" t="str">
        <f ca="1">IFERROR(__xludf.DUMMYFUNCTION("iferror(SPLIT(C622,""=""))"),"")</f>
        <v/>
      </c>
      <c r="F622" s="1" t="e">
        <f t="shared" ca="1" si="2"/>
        <v>#NAME?</v>
      </c>
    </row>
    <row r="623" spans="2:6" ht="12.75">
      <c r="B623" s="1" t="s">
        <v>4743</v>
      </c>
      <c r="C623" s="1" t="s">
        <v>4743</v>
      </c>
      <c r="D623" s="1" t="str">
        <f ca="1">IFERROR(__xludf.DUMMYFUNCTION("iferror(SPLIT(C623,""=""))"),"")</f>
        <v/>
      </c>
      <c r="F623" s="1" t="e">
        <f t="shared" ca="1" si="2"/>
        <v>#NAME?</v>
      </c>
    </row>
    <row r="624" spans="2:6" ht="12.75">
      <c r="B624" s="1" t="s">
        <v>4743</v>
      </c>
      <c r="C624" s="1" t="s">
        <v>4743</v>
      </c>
      <c r="D624" s="1" t="str">
        <f ca="1">IFERROR(__xludf.DUMMYFUNCTION("iferror(SPLIT(C624,""=""))"),"")</f>
        <v/>
      </c>
      <c r="F624" s="1" t="e">
        <f t="shared" ca="1" si="2"/>
        <v>#NAME?</v>
      </c>
    </row>
    <row r="625" spans="2:6" ht="12.75">
      <c r="B625" s="1" t="s">
        <v>4743</v>
      </c>
      <c r="C625" s="1" t="s">
        <v>4743</v>
      </c>
      <c r="D625" s="1" t="str">
        <f ca="1">IFERROR(__xludf.DUMMYFUNCTION("iferror(SPLIT(C625,""=""))"),"")</f>
        <v/>
      </c>
      <c r="F625" s="1" t="e">
        <f t="shared" ca="1" si="2"/>
        <v>#NAME?</v>
      </c>
    </row>
    <row r="626" spans="2:6" ht="12.75">
      <c r="B626" s="1" t="s">
        <v>4743</v>
      </c>
      <c r="C626" s="1" t="s">
        <v>4743</v>
      </c>
      <c r="D626" s="1" t="str">
        <f ca="1">IFERROR(__xludf.DUMMYFUNCTION("iferror(SPLIT(C626,""=""))"),"")</f>
        <v/>
      </c>
      <c r="F626" s="1" t="e">
        <f t="shared" ca="1" si="2"/>
        <v>#NAME?</v>
      </c>
    </row>
    <row r="627" spans="2:6" ht="12.75">
      <c r="B627" s="1" t="s">
        <v>4743</v>
      </c>
      <c r="C627" s="1" t="s">
        <v>4743</v>
      </c>
      <c r="D627" s="1" t="str">
        <f ca="1">IFERROR(__xludf.DUMMYFUNCTION("iferror(SPLIT(C627,""=""))"),"")</f>
        <v/>
      </c>
      <c r="F627" s="1" t="e">
        <f t="shared" ca="1" si="2"/>
        <v>#NAME?</v>
      </c>
    </row>
    <row r="628" spans="2:6" ht="12.75">
      <c r="B628" s="1" t="s">
        <v>4743</v>
      </c>
      <c r="C628" s="1" t="s">
        <v>4743</v>
      </c>
      <c r="D628" s="1" t="str">
        <f ca="1">IFERROR(__xludf.DUMMYFUNCTION("iferror(SPLIT(C628,""=""))"),"")</f>
        <v/>
      </c>
      <c r="F628" s="1" t="e">
        <f t="shared" ca="1" si="2"/>
        <v>#NAME?</v>
      </c>
    </row>
    <row r="629" spans="2:6" ht="12.75">
      <c r="B629" s="1" t="s">
        <v>4743</v>
      </c>
      <c r="C629" s="1" t="s">
        <v>4743</v>
      </c>
      <c r="D629" s="1" t="str">
        <f ca="1">IFERROR(__xludf.DUMMYFUNCTION("iferror(SPLIT(C629,""=""))"),"")</f>
        <v/>
      </c>
      <c r="F629" s="1" t="e">
        <f t="shared" ca="1" si="2"/>
        <v>#NAME?</v>
      </c>
    </row>
    <row r="630" spans="2:6" ht="12.75">
      <c r="B630" s="1" t="s">
        <v>4743</v>
      </c>
      <c r="C630" s="1" t="s">
        <v>4743</v>
      </c>
      <c r="D630" s="1" t="str">
        <f ca="1">IFERROR(__xludf.DUMMYFUNCTION("iferror(SPLIT(C630,""=""))"),"")</f>
        <v/>
      </c>
      <c r="F630" s="1" t="e">
        <f t="shared" ca="1" si="2"/>
        <v>#NAME?</v>
      </c>
    </row>
    <row r="631" spans="2:6" ht="12.75">
      <c r="B631" s="1" t="s">
        <v>4743</v>
      </c>
      <c r="C631" s="1" t="s">
        <v>4743</v>
      </c>
      <c r="D631" s="1" t="str">
        <f ca="1">IFERROR(__xludf.DUMMYFUNCTION("iferror(SPLIT(C631,""=""))"),"")</f>
        <v/>
      </c>
      <c r="F631" s="1" t="e">
        <f t="shared" ca="1" si="2"/>
        <v>#NAME?</v>
      </c>
    </row>
    <row r="632" spans="2:6" ht="12.75">
      <c r="B632" s="1" t="s">
        <v>4743</v>
      </c>
      <c r="C632" s="1" t="s">
        <v>4743</v>
      </c>
      <c r="D632" s="1" t="str">
        <f ca="1">IFERROR(__xludf.DUMMYFUNCTION("iferror(SPLIT(C632,""=""))"),"")</f>
        <v/>
      </c>
      <c r="F632" s="1" t="e">
        <f t="shared" ca="1" si="2"/>
        <v>#NAME?</v>
      </c>
    </row>
    <row r="633" spans="2:6" ht="12.75">
      <c r="B633" s="1" t="s">
        <v>4743</v>
      </c>
      <c r="C633" s="1" t="s">
        <v>4743</v>
      </c>
      <c r="D633" s="1" t="str">
        <f ca="1">IFERROR(__xludf.DUMMYFUNCTION("iferror(SPLIT(C633,""=""))"),"")</f>
        <v/>
      </c>
      <c r="F633" s="1" t="e">
        <f t="shared" ca="1" si="2"/>
        <v>#NAME?</v>
      </c>
    </row>
    <row r="634" spans="2:6" ht="12.75">
      <c r="B634" s="1" t="s">
        <v>4743</v>
      </c>
      <c r="C634" s="1" t="s">
        <v>4743</v>
      </c>
      <c r="D634" s="1" t="str">
        <f ca="1">IFERROR(__xludf.DUMMYFUNCTION("iferror(SPLIT(C634,""=""))"),"")</f>
        <v/>
      </c>
      <c r="F634" s="1" t="e">
        <f t="shared" ca="1" si="2"/>
        <v>#NAME?</v>
      </c>
    </row>
    <row r="635" spans="2:6" ht="12.75">
      <c r="B635" s="1" t="s">
        <v>4743</v>
      </c>
      <c r="C635" s="1" t="s">
        <v>4743</v>
      </c>
      <c r="D635" s="1" t="str">
        <f ca="1">IFERROR(__xludf.DUMMYFUNCTION("iferror(SPLIT(C635,""=""))"),"")</f>
        <v/>
      </c>
      <c r="F635" s="1" t="e">
        <f t="shared" ca="1" si="2"/>
        <v>#NAME?</v>
      </c>
    </row>
    <row r="636" spans="2:6" ht="12.75">
      <c r="B636" s="1" t="s">
        <v>4743</v>
      </c>
      <c r="C636" s="1" t="s">
        <v>4743</v>
      </c>
      <c r="D636" s="1" t="str">
        <f ca="1">IFERROR(__xludf.DUMMYFUNCTION("iferror(SPLIT(C636,""=""))"),"")</f>
        <v/>
      </c>
      <c r="F636" s="1" t="e">
        <f t="shared" ca="1" si="2"/>
        <v>#NAME?</v>
      </c>
    </row>
    <row r="637" spans="2:6" ht="12.75">
      <c r="B637" s="1" t="s">
        <v>4743</v>
      </c>
      <c r="C637" s="1" t="s">
        <v>4743</v>
      </c>
      <c r="D637" s="1" t="str">
        <f ca="1">IFERROR(__xludf.DUMMYFUNCTION("iferror(SPLIT(C637,""=""))"),"")</f>
        <v/>
      </c>
      <c r="F637" s="1" t="e">
        <f t="shared" ca="1" si="2"/>
        <v>#NAME?</v>
      </c>
    </row>
    <row r="638" spans="2:6" ht="12.75">
      <c r="B638" s="1" t="s">
        <v>4743</v>
      </c>
      <c r="C638" s="1" t="s">
        <v>4743</v>
      </c>
      <c r="D638" s="1" t="str">
        <f ca="1">IFERROR(__xludf.DUMMYFUNCTION("iferror(SPLIT(C638,""=""))"),"")</f>
        <v/>
      </c>
      <c r="F638" s="1" t="e">
        <f t="shared" ca="1" si="2"/>
        <v>#NAME?</v>
      </c>
    </row>
    <row r="639" spans="2:6" ht="12.75">
      <c r="B639" s="1" t="s">
        <v>4743</v>
      </c>
      <c r="C639" s="1" t="s">
        <v>4743</v>
      </c>
      <c r="D639" s="1" t="str">
        <f ca="1">IFERROR(__xludf.DUMMYFUNCTION("iferror(SPLIT(C639,""=""))"),"")</f>
        <v/>
      </c>
      <c r="F639" s="1" t="e">
        <f t="shared" ca="1" si="2"/>
        <v>#NAME?</v>
      </c>
    </row>
    <row r="640" spans="2:6" ht="12.75">
      <c r="B640" s="1" t="s">
        <v>4743</v>
      </c>
      <c r="C640" s="1" t="s">
        <v>4743</v>
      </c>
      <c r="D640" s="1" t="str">
        <f ca="1">IFERROR(__xludf.DUMMYFUNCTION("iferror(SPLIT(C640,""=""))"),"")</f>
        <v/>
      </c>
      <c r="F640" s="1" t="e">
        <f t="shared" ca="1" si="2"/>
        <v>#NAME?</v>
      </c>
    </row>
    <row r="641" spans="2:6" ht="12.75">
      <c r="B641" s="1" t="s">
        <v>4743</v>
      </c>
      <c r="C641" s="1" t="s">
        <v>4743</v>
      </c>
      <c r="D641" s="1" t="str">
        <f ca="1">IFERROR(__xludf.DUMMYFUNCTION("iferror(SPLIT(C641,""=""))"),"")</f>
        <v/>
      </c>
      <c r="F641" s="1" t="e">
        <f t="shared" ca="1" si="2"/>
        <v>#NAME?</v>
      </c>
    </row>
    <row r="642" spans="2:6" ht="12.75">
      <c r="B642" s="1" t="s">
        <v>4743</v>
      </c>
      <c r="C642" s="1" t="s">
        <v>4743</v>
      </c>
      <c r="D642" s="1" t="str">
        <f ca="1">IFERROR(__xludf.DUMMYFUNCTION("iferror(SPLIT(C642,""=""))"),"")</f>
        <v/>
      </c>
      <c r="F642" s="1" t="e">
        <f t="shared" ca="1" si="2"/>
        <v>#NAME?</v>
      </c>
    </row>
    <row r="643" spans="2:6" ht="12.75">
      <c r="B643" s="1" t="s">
        <v>4743</v>
      </c>
      <c r="C643" s="1" t="s">
        <v>4743</v>
      </c>
      <c r="D643" s="1" t="str">
        <f ca="1">IFERROR(__xludf.DUMMYFUNCTION("iferror(SPLIT(C643,""=""))"),"")</f>
        <v/>
      </c>
      <c r="F643" s="1" t="e">
        <f t="shared" ca="1" si="2"/>
        <v>#NAME?</v>
      </c>
    </row>
    <row r="644" spans="2:6" ht="12.75">
      <c r="B644" s="1" t="s">
        <v>4743</v>
      </c>
      <c r="C644" s="1" t="s">
        <v>4743</v>
      </c>
      <c r="D644" s="1" t="str">
        <f ca="1">IFERROR(__xludf.DUMMYFUNCTION("iferror(SPLIT(C644,""=""))"),"")</f>
        <v/>
      </c>
      <c r="F644" s="1" t="e">
        <f t="shared" ca="1" si="2"/>
        <v>#NAME?</v>
      </c>
    </row>
    <row r="645" spans="2:6" ht="12.75">
      <c r="B645" s="1" t="s">
        <v>4743</v>
      </c>
      <c r="C645" s="1" t="s">
        <v>4743</v>
      </c>
      <c r="D645" s="1" t="str">
        <f ca="1">IFERROR(__xludf.DUMMYFUNCTION("iferror(SPLIT(C645,""=""))"),"")</f>
        <v/>
      </c>
      <c r="F645" s="1" t="e">
        <f t="shared" ca="1" si="2"/>
        <v>#NAME?</v>
      </c>
    </row>
    <row r="646" spans="2:6" ht="12.75">
      <c r="B646" s="1" t="s">
        <v>4743</v>
      </c>
      <c r="C646" s="1" t="s">
        <v>4743</v>
      </c>
      <c r="D646" s="1" t="str">
        <f ca="1">IFERROR(__xludf.DUMMYFUNCTION("iferror(SPLIT(C646,""=""))"),"")</f>
        <v/>
      </c>
      <c r="F646" s="1" t="e">
        <f t="shared" ca="1" si="2"/>
        <v>#NAME?</v>
      </c>
    </row>
    <row r="647" spans="2:6" ht="12.75">
      <c r="B647" s="1" t="s">
        <v>4743</v>
      </c>
      <c r="C647" s="1" t="s">
        <v>4743</v>
      </c>
      <c r="D647" s="1" t="str">
        <f ca="1">IFERROR(__xludf.DUMMYFUNCTION("iferror(SPLIT(C647,""=""))"),"")</f>
        <v/>
      </c>
      <c r="F647" s="1" t="e">
        <f t="shared" ca="1" si="2"/>
        <v>#NAME?</v>
      </c>
    </row>
    <row r="648" spans="2:6" ht="12.75">
      <c r="B648" s="1" t="s">
        <v>4743</v>
      </c>
      <c r="C648" s="1" t="s">
        <v>4743</v>
      </c>
      <c r="D648" s="1" t="str">
        <f ca="1">IFERROR(__xludf.DUMMYFUNCTION("iferror(SPLIT(C648,""=""))"),"")</f>
        <v/>
      </c>
      <c r="F648" s="1" t="e">
        <f t="shared" ca="1" si="2"/>
        <v>#NAME?</v>
      </c>
    </row>
    <row r="649" spans="2:6" ht="12.75">
      <c r="B649" s="1" t="s">
        <v>4743</v>
      </c>
      <c r="C649" s="1" t="s">
        <v>4743</v>
      </c>
      <c r="D649" s="1" t="str">
        <f ca="1">IFERROR(__xludf.DUMMYFUNCTION("iferror(SPLIT(C649,""=""))"),"")</f>
        <v/>
      </c>
      <c r="F649" s="1" t="e">
        <f t="shared" ca="1" si="2"/>
        <v>#NAME?</v>
      </c>
    </row>
    <row r="650" spans="2:6" ht="12.75">
      <c r="B650" s="1" t="s">
        <v>4743</v>
      </c>
      <c r="C650" s="1" t="s">
        <v>4743</v>
      </c>
      <c r="D650" s="1" t="str">
        <f ca="1">IFERROR(__xludf.DUMMYFUNCTION("iferror(SPLIT(C650,""=""))"),"")</f>
        <v/>
      </c>
      <c r="F650" s="1" t="e">
        <f t="shared" ca="1" si="2"/>
        <v>#NAME?</v>
      </c>
    </row>
    <row r="651" spans="2:6" ht="12.75">
      <c r="B651" s="1" t="s">
        <v>4743</v>
      </c>
      <c r="C651" s="1" t="s">
        <v>4743</v>
      </c>
      <c r="D651" s="1" t="str">
        <f ca="1">IFERROR(__xludf.DUMMYFUNCTION("iferror(SPLIT(C651,""=""))"),"")</f>
        <v/>
      </c>
      <c r="F651" s="1" t="e">
        <f t="shared" ca="1" si="2"/>
        <v>#NAME?</v>
      </c>
    </row>
    <row r="652" spans="2:6" ht="12.75">
      <c r="B652" s="1" t="s">
        <v>4743</v>
      </c>
      <c r="C652" s="1" t="s">
        <v>4743</v>
      </c>
      <c r="D652" s="1" t="str">
        <f ca="1">IFERROR(__xludf.DUMMYFUNCTION("iferror(SPLIT(C652,""=""))"),"")</f>
        <v/>
      </c>
      <c r="F652" s="1" t="e">
        <f t="shared" ca="1" si="2"/>
        <v>#NAME?</v>
      </c>
    </row>
    <row r="653" spans="2:6" ht="12.75">
      <c r="B653" s="1" t="s">
        <v>4743</v>
      </c>
      <c r="C653" s="1" t="s">
        <v>4743</v>
      </c>
      <c r="D653" s="1" t="str">
        <f ca="1">IFERROR(__xludf.DUMMYFUNCTION("iferror(SPLIT(C653,""=""))"),"")</f>
        <v/>
      </c>
      <c r="F653" s="1" t="e">
        <f t="shared" ca="1" si="2"/>
        <v>#NAME?</v>
      </c>
    </row>
    <row r="654" spans="2:6" ht="12.75">
      <c r="B654" s="1" t="s">
        <v>4743</v>
      </c>
      <c r="C654" s="1" t="s">
        <v>4743</v>
      </c>
      <c r="D654" s="1" t="str">
        <f ca="1">IFERROR(__xludf.DUMMYFUNCTION("iferror(SPLIT(C654,""=""))"),"")</f>
        <v/>
      </c>
      <c r="F654" s="1" t="e">
        <f t="shared" ca="1" si="2"/>
        <v>#NAME?</v>
      </c>
    </row>
    <row r="655" spans="2:6" ht="12.75">
      <c r="B655" s="1" t="s">
        <v>4743</v>
      </c>
      <c r="C655" s="1" t="s">
        <v>4743</v>
      </c>
      <c r="D655" s="1" t="str">
        <f ca="1">IFERROR(__xludf.DUMMYFUNCTION("iferror(SPLIT(C655,""=""))"),"")</f>
        <v/>
      </c>
      <c r="F655" s="1" t="e">
        <f t="shared" ca="1" si="2"/>
        <v>#NAME?</v>
      </c>
    </row>
    <row r="656" spans="2:6" ht="12.75">
      <c r="B656" s="1" t="s">
        <v>4743</v>
      </c>
      <c r="C656" s="1" t="s">
        <v>4743</v>
      </c>
      <c r="D656" s="1" t="str">
        <f ca="1">IFERROR(__xludf.DUMMYFUNCTION("iferror(SPLIT(C656,""=""))"),"")</f>
        <v/>
      </c>
      <c r="F656" s="1" t="e">
        <f t="shared" ca="1" si="2"/>
        <v>#NAME?</v>
      </c>
    </row>
    <row r="657" spans="2:6" ht="12.75">
      <c r="B657" s="1" t="s">
        <v>4743</v>
      </c>
      <c r="C657" s="1" t="s">
        <v>4743</v>
      </c>
      <c r="D657" s="1" t="str">
        <f ca="1">IFERROR(__xludf.DUMMYFUNCTION("iferror(SPLIT(C657,""=""))"),"")</f>
        <v/>
      </c>
      <c r="F657" s="1" t="e">
        <f t="shared" ca="1" si="2"/>
        <v>#NAME?</v>
      </c>
    </row>
    <row r="658" spans="2:6" ht="12.75">
      <c r="B658" s="1" t="s">
        <v>4743</v>
      </c>
      <c r="C658" s="1" t="s">
        <v>4743</v>
      </c>
      <c r="D658" s="1" t="str">
        <f ca="1">IFERROR(__xludf.DUMMYFUNCTION("iferror(SPLIT(C658,""=""))"),"")</f>
        <v/>
      </c>
      <c r="F658" s="1" t="e">
        <f t="shared" ca="1" si="2"/>
        <v>#NAME?</v>
      </c>
    </row>
    <row r="659" spans="2:6" ht="12.75">
      <c r="B659" s="1" t="s">
        <v>4743</v>
      </c>
      <c r="C659" s="1" t="s">
        <v>4743</v>
      </c>
      <c r="D659" s="1" t="str">
        <f ca="1">IFERROR(__xludf.DUMMYFUNCTION("iferror(SPLIT(C659,""=""))"),"")</f>
        <v/>
      </c>
      <c r="F659" s="1" t="e">
        <f t="shared" ca="1" si="2"/>
        <v>#NAME?</v>
      </c>
    </row>
    <row r="660" spans="2:6" ht="12.75">
      <c r="B660" s="1" t="s">
        <v>4743</v>
      </c>
      <c r="C660" s="1" t="s">
        <v>4743</v>
      </c>
      <c r="D660" s="1" t="str">
        <f ca="1">IFERROR(__xludf.DUMMYFUNCTION("iferror(SPLIT(C660,""=""))"),"")</f>
        <v/>
      </c>
      <c r="F660" s="1" t="e">
        <f t="shared" ca="1" si="2"/>
        <v>#NAME?</v>
      </c>
    </row>
    <row r="661" spans="2:6" ht="12.75">
      <c r="B661" s="1" t="s">
        <v>4743</v>
      </c>
      <c r="C661" s="1" t="s">
        <v>4743</v>
      </c>
      <c r="D661" s="1" t="str">
        <f ca="1">IFERROR(__xludf.DUMMYFUNCTION("iferror(SPLIT(C661,""=""))"),"")</f>
        <v/>
      </c>
      <c r="F661" s="1" t="e">
        <f t="shared" ca="1" si="2"/>
        <v>#NAME?</v>
      </c>
    </row>
    <row r="662" spans="2:6" ht="12.75">
      <c r="B662" s="1" t="s">
        <v>4743</v>
      </c>
      <c r="C662" s="1" t="s">
        <v>4743</v>
      </c>
      <c r="D662" s="1" t="str">
        <f ca="1">IFERROR(__xludf.DUMMYFUNCTION("iferror(SPLIT(C662,""=""))"),"")</f>
        <v/>
      </c>
      <c r="F662" s="1" t="e">
        <f t="shared" ca="1" si="2"/>
        <v>#NAME?</v>
      </c>
    </row>
    <row r="663" spans="2:6" ht="12.75">
      <c r="B663" s="1" t="s">
        <v>4743</v>
      </c>
      <c r="C663" s="1" t="s">
        <v>4743</v>
      </c>
      <c r="D663" s="1" t="str">
        <f ca="1">IFERROR(__xludf.DUMMYFUNCTION("iferror(SPLIT(C663,""=""))"),"")</f>
        <v/>
      </c>
      <c r="F663" s="1" t="e">
        <f t="shared" ca="1" si="2"/>
        <v>#NAME?</v>
      </c>
    </row>
    <row r="664" spans="2:6" ht="12.75">
      <c r="B664" s="1" t="s">
        <v>4743</v>
      </c>
      <c r="C664" s="1" t="s">
        <v>4743</v>
      </c>
      <c r="D664" s="1" t="str">
        <f ca="1">IFERROR(__xludf.DUMMYFUNCTION("iferror(SPLIT(C664,""=""))"),"")</f>
        <v/>
      </c>
      <c r="F664" s="1" t="e">
        <f t="shared" ca="1" si="2"/>
        <v>#NAME?</v>
      </c>
    </row>
    <row r="665" spans="2:6" ht="12.75">
      <c r="B665" s="1" t="s">
        <v>4743</v>
      </c>
      <c r="C665" s="1" t="s">
        <v>4743</v>
      </c>
      <c r="D665" s="1" t="str">
        <f ca="1">IFERROR(__xludf.DUMMYFUNCTION("iferror(SPLIT(C665,""=""))"),"")</f>
        <v/>
      </c>
      <c r="F665" s="1" t="e">
        <f t="shared" ca="1" si="2"/>
        <v>#NAME?</v>
      </c>
    </row>
    <row r="666" spans="2:6" ht="12.75">
      <c r="B666" s="1" t="s">
        <v>4743</v>
      </c>
      <c r="C666" s="1" t="s">
        <v>4743</v>
      </c>
      <c r="D666" s="1" t="str">
        <f ca="1">IFERROR(__xludf.DUMMYFUNCTION("iferror(SPLIT(C666,""=""))"),"")</f>
        <v/>
      </c>
      <c r="F666" s="1" t="e">
        <f t="shared" ca="1" si="2"/>
        <v>#NAME?</v>
      </c>
    </row>
    <row r="667" spans="2:6" ht="12.75">
      <c r="B667" s="1" t="s">
        <v>4743</v>
      </c>
      <c r="C667" s="1" t="s">
        <v>4743</v>
      </c>
      <c r="D667" s="1" t="str">
        <f ca="1">IFERROR(__xludf.DUMMYFUNCTION("iferror(SPLIT(C667,""=""))"),"")</f>
        <v/>
      </c>
      <c r="F667" s="1" t="e">
        <f t="shared" ca="1" si="2"/>
        <v>#NAME?</v>
      </c>
    </row>
    <row r="668" spans="2:6" ht="12.75">
      <c r="B668" s="1" t="s">
        <v>4743</v>
      </c>
      <c r="C668" s="1" t="s">
        <v>4743</v>
      </c>
      <c r="D668" s="1" t="str">
        <f ca="1">IFERROR(__xludf.DUMMYFUNCTION("iferror(SPLIT(C668,""=""))"),"")</f>
        <v/>
      </c>
      <c r="F668" s="1" t="e">
        <f t="shared" ca="1" si="2"/>
        <v>#NAME?</v>
      </c>
    </row>
    <row r="669" spans="2:6" ht="12.75">
      <c r="B669" s="1" t="s">
        <v>4743</v>
      </c>
      <c r="C669" s="1" t="s">
        <v>4743</v>
      </c>
      <c r="D669" s="1" t="str">
        <f ca="1">IFERROR(__xludf.DUMMYFUNCTION("iferror(SPLIT(C669,""=""))"),"")</f>
        <v/>
      </c>
      <c r="F669" s="1" t="e">
        <f t="shared" ca="1" si="2"/>
        <v>#NAME?</v>
      </c>
    </row>
    <row r="670" spans="2:6" ht="12.75">
      <c r="B670" s="1" t="s">
        <v>4743</v>
      </c>
      <c r="C670" s="1" t="s">
        <v>4743</v>
      </c>
      <c r="D670" s="1" t="str">
        <f ca="1">IFERROR(__xludf.DUMMYFUNCTION("iferror(SPLIT(C670,""=""))"),"")</f>
        <v/>
      </c>
      <c r="F670" s="1" t="e">
        <f t="shared" ca="1" si="2"/>
        <v>#NAME?</v>
      </c>
    </row>
    <row r="671" spans="2:6" ht="12.75">
      <c r="B671" s="1" t="s">
        <v>4743</v>
      </c>
      <c r="C671" s="1" t="s">
        <v>4743</v>
      </c>
      <c r="D671" s="1" t="str">
        <f ca="1">IFERROR(__xludf.DUMMYFUNCTION("iferror(SPLIT(C671,""=""))"),"")</f>
        <v/>
      </c>
      <c r="F671" s="1" t="e">
        <f t="shared" ca="1" si="2"/>
        <v>#NAME?</v>
      </c>
    </row>
    <row r="672" spans="2:6" ht="12.75">
      <c r="B672" s="1" t="s">
        <v>4743</v>
      </c>
      <c r="C672" s="1" t="s">
        <v>4743</v>
      </c>
      <c r="D672" s="1" t="str">
        <f ca="1">IFERROR(__xludf.DUMMYFUNCTION("iferror(SPLIT(C672,""=""))"),"")</f>
        <v/>
      </c>
      <c r="F672" s="1" t="e">
        <f t="shared" ca="1" si="2"/>
        <v>#NAME?</v>
      </c>
    </row>
    <row r="673" spans="2:6" ht="12.75">
      <c r="B673" s="1" t="s">
        <v>4743</v>
      </c>
      <c r="C673" s="1" t="s">
        <v>4743</v>
      </c>
      <c r="D673" s="1" t="str">
        <f ca="1">IFERROR(__xludf.DUMMYFUNCTION("iferror(SPLIT(C673,""=""))"),"")</f>
        <v/>
      </c>
      <c r="F673" s="1" t="e">
        <f t="shared" ca="1" si="2"/>
        <v>#NAME?</v>
      </c>
    </row>
    <row r="674" spans="2:6" ht="12.75">
      <c r="B674" s="1" t="s">
        <v>4743</v>
      </c>
      <c r="C674" s="1" t="s">
        <v>4743</v>
      </c>
      <c r="D674" s="1" t="str">
        <f ca="1">IFERROR(__xludf.DUMMYFUNCTION("iferror(SPLIT(C674,""=""))"),"")</f>
        <v/>
      </c>
      <c r="F674" s="1" t="e">
        <f t="shared" ca="1" si="2"/>
        <v>#NAME?</v>
      </c>
    </row>
    <row r="675" spans="2:6" ht="12.75">
      <c r="B675" s="1" t="s">
        <v>4743</v>
      </c>
      <c r="C675" s="1" t="s">
        <v>4743</v>
      </c>
      <c r="D675" s="1" t="str">
        <f ca="1">IFERROR(__xludf.DUMMYFUNCTION("iferror(SPLIT(C675,""=""))"),"")</f>
        <v/>
      </c>
      <c r="F675" s="1" t="e">
        <f t="shared" ca="1" si="2"/>
        <v>#NAME?</v>
      </c>
    </row>
    <row r="676" spans="2:6" ht="12.75">
      <c r="B676" s="1" t="s">
        <v>4743</v>
      </c>
      <c r="C676" s="1" t="s">
        <v>4743</v>
      </c>
      <c r="D676" s="1" t="str">
        <f ca="1">IFERROR(__xludf.DUMMYFUNCTION("iferror(SPLIT(C676,""=""))"),"")</f>
        <v/>
      </c>
      <c r="F676" s="1" t="e">
        <f t="shared" ca="1" si="2"/>
        <v>#NAME?</v>
      </c>
    </row>
    <row r="677" spans="2:6" ht="12.75">
      <c r="B677" s="1" t="s">
        <v>4743</v>
      </c>
      <c r="C677" s="1" t="s">
        <v>4743</v>
      </c>
      <c r="D677" s="1" t="str">
        <f ca="1">IFERROR(__xludf.DUMMYFUNCTION("iferror(SPLIT(C677,""=""))"),"")</f>
        <v/>
      </c>
      <c r="F677" s="1" t="e">
        <f t="shared" ca="1" si="2"/>
        <v>#NAME?</v>
      </c>
    </row>
    <row r="678" spans="2:6" ht="12.75">
      <c r="B678" s="1" t="s">
        <v>4743</v>
      </c>
      <c r="C678" s="1" t="s">
        <v>4743</v>
      </c>
      <c r="D678" s="1" t="str">
        <f ca="1">IFERROR(__xludf.DUMMYFUNCTION("iferror(SPLIT(C678,""=""))"),"")</f>
        <v/>
      </c>
      <c r="F678" s="1" t="e">
        <f t="shared" ca="1" si="2"/>
        <v>#NAME?</v>
      </c>
    </row>
    <row r="679" spans="2:6" ht="12.75">
      <c r="B679" s="1" t="s">
        <v>4743</v>
      </c>
      <c r="C679" s="1" t="s">
        <v>4743</v>
      </c>
      <c r="D679" s="1" t="str">
        <f ca="1">IFERROR(__xludf.DUMMYFUNCTION("iferror(SPLIT(C679,""=""))"),"")</f>
        <v/>
      </c>
      <c r="F679" s="1" t="e">
        <f t="shared" ca="1" si="2"/>
        <v>#NAME?</v>
      </c>
    </row>
    <row r="680" spans="2:6" ht="12.75">
      <c r="B680" s="1" t="s">
        <v>4743</v>
      </c>
      <c r="C680" s="1" t="s">
        <v>4743</v>
      </c>
      <c r="D680" s="1" t="str">
        <f ca="1">IFERROR(__xludf.DUMMYFUNCTION("iferror(SPLIT(C680,""=""))"),"")</f>
        <v/>
      </c>
      <c r="F680" s="1" t="e">
        <f t="shared" ca="1" si="2"/>
        <v>#NAME?</v>
      </c>
    </row>
    <row r="681" spans="2:6" ht="12.75">
      <c r="B681" s="1" t="s">
        <v>4743</v>
      </c>
      <c r="C681" s="1" t="s">
        <v>4743</v>
      </c>
      <c r="D681" s="1" t="str">
        <f ca="1">IFERROR(__xludf.DUMMYFUNCTION("iferror(SPLIT(C681,""=""))"),"")</f>
        <v/>
      </c>
      <c r="F681" s="1" t="e">
        <f t="shared" ca="1" si="2"/>
        <v>#NAME?</v>
      </c>
    </row>
    <row r="682" spans="2:6" ht="12.75">
      <c r="B682" s="1" t="s">
        <v>4743</v>
      </c>
      <c r="C682" s="1" t="s">
        <v>4743</v>
      </c>
      <c r="D682" s="1" t="str">
        <f ca="1">IFERROR(__xludf.DUMMYFUNCTION("iferror(SPLIT(C682,""=""))"),"")</f>
        <v/>
      </c>
      <c r="F682" s="1" t="e">
        <f t="shared" ca="1" si="2"/>
        <v>#NAME?</v>
      </c>
    </row>
    <row r="683" spans="2:6" ht="12.75">
      <c r="B683" s="1" t="s">
        <v>4743</v>
      </c>
      <c r="C683" s="1" t="s">
        <v>4743</v>
      </c>
      <c r="D683" s="1" t="str">
        <f ca="1">IFERROR(__xludf.DUMMYFUNCTION("iferror(SPLIT(C683,""=""))"),"")</f>
        <v/>
      </c>
      <c r="F683" s="1" t="e">
        <f t="shared" ca="1" si="2"/>
        <v>#NAME?</v>
      </c>
    </row>
    <row r="684" spans="2:6" ht="12.75">
      <c r="B684" s="1" t="s">
        <v>4743</v>
      </c>
      <c r="C684" s="1" t="s">
        <v>4743</v>
      </c>
      <c r="D684" s="1" t="str">
        <f ca="1">IFERROR(__xludf.DUMMYFUNCTION("iferror(SPLIT(C684,""=""))"),"")</f>
        <v/>
      </c>
      <c r="F684" s="1" t="e">
        <f t="shared" ca="1" si="2"/>
        <v>#NAME?</v>
      </c>
    </row>
    <row r="685" spans="2:6" ht="12.75">
      <c r="B685" s="1" t="s">
        <v>4743</v>
      </c>
      <c r="C685" s="1" t="s">
        <v>4743</v>
      </c>
      <c r="D685" s="1" t="str">
        <f ca="1">IFERROR(__xludf.DUMMYFUNCTION("iferror(SPLIT(C685,""=""))"),"")</f>
        <v/>
      </c>
      <c r="F685" s="1" t="e">
        <f t="shared" ca="1" si="2"/>
        <v>#NAME?</v>
      </c>
    </row>
    <row r="686" spans="2:6" ht="12.75">
      <c r="B686" s="1" t="s">
        <v>4743</v>
      </c>
      <c r="C686" s="1" t="s">
        <v>4743</v>
      </c>
      <c r="D686" s="1" t="str">
        <f ca="1">IFERROR(__xludf.DUMMYFUNCTION("iferror(SPLIT(C686,""=""))"),"")</f>
        <v/>
      </c>
      <c r="F686" s="1" t="e">
        <f t="shared" ca="1" si="2"/>
        <v>#NAME?</v>
      </c>
    </row>
    <row r="687" spans="2:6" ht="12.75">
      <c r="B687" s="1" t="s">
        <v>4743</v>
      </c>
      <c r="C687" s="1" t="s">
        <v>4743</v>
      </c>
      <c r="D687" s="1" t="str">
        <f ca="1">IFERROR(__xludf.DUMMYFUNCTION("iferror(SPLIT(C687,""=""))"),"")</f>
        <v/>
      </c>
      <c r="F687" s="1" t="e">
        <f t="shared" ca="1" si="2"/>
        <v>#NAME?</v>
      </c>
    </row>
    <row r="688" spans="2:6" ht="12.75">
      <c r="B688" s="1" t="s">
        <v>4743</v>
      </c>
      <c r="C688" s="1" t="s">
        <v>4743</v>
      </c>
      <c r="D688" s="1" t="str">
        <f ca="1">IFERROR(__xludf.DUMMYFUNCTION("iferror(SPLIT(C688,""=""))"),"")</f>
        <v/>
      </c>
      <c r="F688" s="1" t="e">
        <f t="shared" ca="1" si="2"/>
        <v>#NAME?</v>
      </c>
    </row>
    <row r="689" spans="2:6" ht="12.75">
      <c r="B689" s="1" t="s">
        <v>4743</v>
      </c>
      <c r="C689" s="1" t="s">
        <v>4743</v>
      </c>
      <c r="D689" s="1" t="str">
        <f ca="1">IFERROR(__xludf.DUMMYFUNCTION("iferror(SPLIT(C689,""=""))"),"")</f>
        <v/>
      </c>
      <c r="F689" s="1" t="e">
        <f t="shared" ca="1" si="2"/>
        <v>#NAME?</v>
      </c>
    </row>
    <row r="690" spans="2:6" ht="12.75">
      <c r="B690" s="1" t="s">
        <v>4743</v>
      </c>
      <c r="C690" s="1" t="s">
        <v>4743</v>
      </c>
      <c r="D690" s="1" t="str">
        <f ca="1">IFERROR(__xludf.DUMMYFUNCTION("iferror(SPLIT(C690,""=""))"),"")</f>
        <v/>
      </c>
      <c r="F690" s="1" t="e">
        <f t="shared" ca="1" si="2"/>
        <v>#NAME?</v>
      </c>
    </row>
    <row r="691" spans="2:6" ht="12.75">
      <c r="B691" s="1" t="s">
        <v>4743</v>
      </c>
      <c r="C691" s="1" t="s">
        <v>4743</v>
      </c>
      <c r="D691" s="1" t="str">
        <f ca="1">IFERROR(__xludf.DUMMYFUNCTION("iferror(SPLIT(C691,""=""))"),"")</f>
        <v/>
      </c>
      <c r="F691" s="1" t="e">
        <f t="shared" ca="1" si="2"/>
        <v>#NAME?</v>
      </c>
    </row>
    <row r="692" spans="2:6" ht="12.75">
      <c r="B692" s="1" t="s">
        <v>4743</v>
      </c>
      <c r="C692" s="1" t="s">
        <v>4743</v>
      </c>
      <c r="D692" s="1" t="str">
        <f ca="1">IFERROR(__xludf.DUMMYFUNCTION("iferror(SPLIT(C692,""=""))"),"")</f>
        <v/>
      </c>
      <c r="F692" s="1" t="e">
        <f t="shared" ca="1" si="2"/>
        <v>#NAME?</v>
      </c>
    </row>
    <row r="693" spans="2:6" ht="12.75">
      <c r="B693" s="1" t="s">
        <v>4743</v>
      </c>
      <c r="C693" s="1" t="s">
        <v>4743</v>
      </c>
      <c r="D693" s="1" t="str">
        <f ca="1">IFERROR(__xludf.DUMMYFUNCTION("iferror(SPLIT(C693,""=""))"),"")</f>
        <v/>
      </c>
      <c r="F693" s="1" t="e">
        <f t="shared" ca="1" si="2"/>
        <v>#NAME?</v>
      </c>
    </row>
    <row r="694" spans="2:6" ht="12.75">
      <c r="B694" s="1" t="s">
        <v>4743</v>
      </c>
      <c r="C694" s="1" t="s">
        <v>4743</v>
      </c>
      <c r="D694" s="1" t="str">
        <f ca="1">IFERROR(__xludf.DUMMYFUNCTION("iferror(SPLIT(C694,""=""))"),"")</f>
        <v/>
      </c>
      <c r="F694" s="1" t="e">
        <f t="shared" ca="1" si="2"/>
        <v>#NAME?</v>
      </c>
    </row>
    <row r="695" spans="2:6" ht="12.75">
      <c r="B695" s="1" t="s">
        <v>4743</v>
      </c>
      <c r="C695" s="1" t="s">
        <v>4743</v>
      </c>
      <c r="D695" s="1" t="str">
        <f ca="1">IFERROR(__xludf.DUMMYFUNCTION("iferror(SPLIT(C695,""=""))"),"")</f>
        <v/>
      </c>
      <c r="F695" s="1" t="e">
        <f t="shared" ca="1" si="2"/>
        <v>#NAME?</v>
      </c>
    </row>
    <row r="696" spans="2:6" ht="12.75">
      <c r="B696" s="1" t="s">
        <v>4743</v>
      </c>
      <c r="C696" s="1" t="s">
        <v>4743</v>
      </c>
      <c r="D696" s="1" t="str">
        <f ca="1">IFERROR(__xludf.DUMMYFUNCTION("iferror(SPLIT(C696,""=""))"),"")</f>
        <v/>
      </c>
      <c r="F696" s="1" t="e">
        <f t="shared" ca="1" si="2"/>
        <v>#NAME?</v>
      </c>
    </row>
    <row r="697" spans="2:6" ht="12.75">
      <c r="B697" s="1" t="s">
        <v>4743</v>
      </c>
      <c r="C697" s="1" t="s">
        <v>4743</v>
      </c>
      <c r="D697" s="1" t="str">
        <f ca="1">IFERROR(__xludf.DUMMYFUNCTION("iferror(SPLIT(C697,""=""))"),"")</f>
        <v/>
      </c>
      <c r="F697" s="1" t="e">
        <f t="shared" ca="1" si="2"/>
        <v>#NAME?</v>
      </c>
    </row>
    <row r="698" spans="2:6" ht="12.75">
      <c r="B698" s="1" t="s">
        <v>4743</v>
      </c>
      <c r="C698" s="1" t="s">
        <v>4743</v>
      </c>
      <c r="D698" s="1" t="str">
        <f ca="1">IFERROR(__xludf.DUMMYFUNCTION("iferror(SPLIT(C698,""=""))"),"")</f>
        <v/>
      </c>
      <c r="F698" s="1" t="e">
        <f t="shared" ca="1" si="2"/>
        <v>#NAME?</v>
      </c>
    </row>
    <row r="699" spans="2:6" ht="12.75">
      <c r="B699" s="1" t="s">
        <v>4743</v>
      </c>
      <c r="C699" s="1" t="s">
        <v>4743</v>
      </c>
      <c r="D699" s="1" t="str">
        <f ca="1">IFERROR(__xludf.DUMMYFUNCTION("iferror(SPLIT(C699,""=""))"),"")</f>
        <v/>
      </c>
      <c r="F699" s="1" t="e">
        <f t="shared" ca="1" si="2"/>
        <v>#NAME?</v>
      </c>
    </row>
    <row r="700" spans="2:6" ht="12.75">
      <c r="B700" s="1" t="s">
        <v>4743</v>
      </c>
      <c r="C700" s="1" t="s">
        <v>4743</v>
      </c>
      <c r="D700" s="1" t="str">
        <f ca="1">IFERROR(__xludf.DUMMYFUNCTION("iferror(SPLIT(C700,""=""))"),"")</f>
        <v/>
      </c>
      <c r="F700" s="1" t="e">
        <f t="shared" ca="1" si="2"/>
        <v>#NAME?</v>
      </c>
    </row>
    <row r="701" spans="2:6" ht="12.75">
      <c r="B701" s="1" t="s">
        <v>4743</v>
      </c>
      <c r="C701" s="1" t="s">
        <v>4743</v>
      </c>
      <c r="D701" s="1" t="str">
        <f ca="1">IFERROR(__xludf.DUMMYFUNCTION("iferror(SPLIT(C701,""=""))"),"")</f>
        <v/>
      </c>
      <c r="F701" s="1" t="e">
        <f t="shared" ca="1" si="2"/>
        <v>#NAME?</v>
      </c>
    </row>
    <row r="702" spans="2:6" ht="12.75">
      <c r="B702" s="1" t="s">
        <v>4743</v>
      </c>
      <c r="C702" s="1" t="s">
        <v>4743</v>
      </c>
      <c r="D702" s="1" t="str">
        <f ca="1">IFERROR(__xludf.DUMMYFUNCTION("iferror(SPLIT(C702,""=""))"),"")</f>
        <v/>
      </c>
      <c r="F702" s="1" t="e">
        <f t="shared" ca="1" si="2"/>
        <v>#NAME?</v>
      </c>
    </row>
    <row r="703" spans="2:6" ht="12.75">
      <c r="B703" s="1" t="s">
        <v>4743</v>
      </c>
      <c r="C703" s="1" t="s">
        <v>4743</v>
      </c>
      <c r="D703" s="1" t="str">
        <f ca="1">IFERROR(__xludf.DUMMYFUNCTION("iferror(SPLIT(C703,""=""))"),"")</f>
        <v/>
      </c>
      <c r="F703" s="1" t="e">
        <f t="shared" ca="1" si="2"/>
        <v>#NAME?</v>
      </c>
    </row>
    <row r="704" spans="2:6" ht="12.75">
      <c r="B704" s="1" t="s">
        <v>4743</v>
      </c>
      <c r="C704" s="1" t="s">
        <v>4743</v>
      </c>
      <c r="D704" s="1" t="str">
        <f ca="1">IFERROR(__xludf.DUMMYFUNCTION("iferror(SPLIT(C704,""=""))"),"")</f>
        <v/>
      </c>
      <c r="F704" s="1" t="e">
        <f t="shared" ca="1" si="2"/>
        <v>#NAME?</v>
      </c>
    </row>
    <row r="705" spans="2:6" ht="12.75">
      <c r="B705" s="1" t="s">
        <v>4743</v>
      </c>
      <c r="C705" s="1" t="s">
        <v>4743</v>
      </c>
      <c r="D705" s="1" t="str">
        <f ca="1">IFERROR(__xludf.DUMMYFUNCTION("iferror(SPLIT(C705,""=""))"),"")</f>
        <v/>
      </c>
      <c r="F705" s="1" t="e">
        <f t="shared" ca="1" si="2"/>
        <v>#NAME?</v>
      </c>
    </row>
    <row r="706" spans="2:6" ht="12.75">
      <c r="B706" s="1" t="s">
        <v>4743</v>
      </c>
      <c r="C706" s="1" t="s">
        <v>4743</v>
      </c>
      <c r="D706" s="1" t="str">
        <f ca="1">IFERROR(__xludf.DUMMYFUNCTION("iferror(SPLIT(C706,""=""))"),"")</f>
        <v/>
      </c>
      <c r="F706" s="1" t="e">
        <f t="shared" ca="1" si="2"/>
        <v>#NAME?</v>
      </c>
    </row>
    <row r="707" spans="2:6" ht="12.75">
      <c r="B707" s="1" t="s">
        <v>4743</v>
      </c>
      <c r="C707" s="1" t="s">
        <v>4743</v>
      </c>
      <c r="D707" s="1" t="str">
        <f ca="1">IFERROR(__xludf.DUMMYFUNCTION("iferror(SPLIT(C707,""=""))"),"")</f>
        <v/>
      </c>
      <c r="F707" s="1" t="e">
        <f t="shared" ca="1" si="2"/>
        <v>#NAME?</v>
      </c>
    </row>
    <row r="708" spans="2:6" ht="12.75">
      <c r="B708" s="1" t="s">
        <v>4743</v>
      </c>
      <c r="C708" s="1" t="s">
        <v>4743</v>
      </c>
      <c r="D708" s="1" t="str">
        <f ca="1">IFERROR(__xludf.DUMMYFUNCTION("iferror(SPLIT(C708,""=""))"),"")</f>
        <v/>
      </c>
      <c r="F708" s="1" t="e">
        <f t="shared" ca="1" si="2"/>
        <v>#NAME?</v>
      </c>
    </row>
    <row r="709" spans="2:6" ht="12.75">
      <c r="B709" s="1" t="s">
        <v>4743</v>
      </c>
      <c r="C709" s="1" t="s">
        <v>4743</v>
      </c>
      <c r="D709" s="1" t="str">
        <f ca="1">IFERROR(__xludf.DUMMYFUNCTION("iferror(SPLIT(C709,""=""))"),"")</f>
        <v/>
      </c>
      <c r="F709" s="1" t="e">
        <f t="shared" ca="1" si="2"/>
        <v>#NAME?</v>
      </c>
    </row>
    <row r="710" spans="2:6" ht="12.75">
      <c r="B710" s="1" t="s">
        <v>4743</v>
      </c>
      <c r="C710" s="1" t="s">
        <v>4743</v>
      </c>
      <c r="D710" s="1" t="str">
        <f ca="1">IFERROR(__xludf.DUMMYFUNCTION("iferror(SPLIT(C710,""=""))"),"")</f>
        <v/>
      </c>
      <c r="F710" s="1" t="e">
        <f t="shared" ca="1" si="2"/>
        <v>#NAME?</v>
      </c>
    </row>
    <row r="711" spans="2:6" ht="12.75">
      <c r="B711" s="1" t="s">
        <v>4743</v>
      </c>
      <c r="C711" s="1" t="s">
        <v>4743</v>
      </c>
      <c r="D711" s="1" t="str">
        <f ca="1">IFERROR(__xludf.DUMMYFUNCTION("iferror(SPLIT(C711,""=""))"),"")</f>
        <v/>
      </c>
      <c r="F711" s="1" t="e">
        <f t="shared" ca="1" si="2"/>
        <v>#NAME?</v>
      </c>
    </row>
    <row r="712" spans="2:6" ht="12.75">
      <c r="B712" s="1" t="s">
        <v>4743</v>
      </c>
      <c r="C712" s="1" t="s">
        <v>4743</v>
      </c>
      <c r="D712" s="1" t="str">
        <f ca="1">IFERROR(__xludf.DUMMYFUNCTION("iferror(SPLIT(C712,""=""))"),"")</f>
        <v/>
      </c>
      <c r="F712" s="1" t="e">
        <f t="shared" ca="1" si="2"/>
        <v>#NAME?</v>
      </c>
    </row>
    <row r="713" spans="2:6" ht="12.75">
      <c r="B713" s="1" t="s">
        <v>4743</v>
      </c>
      <c r="C713" s="1" t="s">
        <v>4743</v>
      </c>
      <c r="D713" s="1" t="str">
        <f ca="1">IFERROR(__xludf.DUMMYFUNCTION("iferror(SPLIT(C713,""=""))"),"")</f>
        <v/>
      </c>
      <c r="F713" s="1" t="e">
        <f t="shared" ca="1" si="2"/>
        <v>#NAME?</v>
      </c>
    </row>
    <row r="714" spans="2:6" ht="12.75">
      <c r="B714" s="1" t="s">
        <v>4743</v>
      </c>
      <c r="C714" s="1" t="s">
        <v>4743</v>
      </c>
      <c r="D714" s="1" t="str">
        <f ca="1">IFERROR(__xludf.DUMMYFUNCTION("iferror(SPLIT(C714,""=""))"),"")</f>
        <v/>
      </c>
      <c r="F714" s="1" t="e">
        <f t="shared" ca="1" si="2"/>
        <v>#NAME?</v>
      </c>
    </row>
    <row r="715" spans="2:6" ht="12.75">
      <c r="B715" s="1" t="s">
        <v>4743</v>
      </c>
      <c r="C715" s="1" t="s">
        <v>4743</v>
      </c>
      <c r="D715" s="1" t="str">
        <f ca="1">IFERROR(__xludf.DUMMYFUNCTION("iferror(SPLIT(C715,""=""))"),"")</f>
        <v/>
      </c>
      <c r="F715" s="1" t="e">
        <f t="shared" ca="1" si="2"/>
        <v>#NAME?</v>
      </c>
    </row>
    <row r="716" spans="2:6" ht="12.75">
      <c r="B716" s="1" t="s">
        <v>4743</v>
      </c>
      <c r="C716" s="1" t="s">
        <v>4743</v>
      </c>
      <c r="D716" s="1" t="str">
        <f ca="1">IFERROR(__xludf.DUMMYFUNCTION("iferror(SPLIT(C716,""=""))"),"")</f>
        <v/>
      </c>
      <c r="F716" s="1" t="e">
        <f t="shared" ca="1" si="2"/>
        <v>#NAME?</v>
      </c>
    </row>
    <row r="717" spans="2:6" ht="12.75">
      <c r="B717" s="1" t="s">
        <v>4743</v>
      </c>
      <c r="C717" s="1" t="s">
        <v>4743</v>
      </c>
      <c r="D717" s="1" t="str">
        <f ca="1">IFERROR(__xludf.DUMMYFUNCTION("iferror(SPLIT(C717,""=""))"),"")</f>
        <v/>
      </c>
      <c r="F717" s="1" t="e">
        <f t="shared" ca="1" si="2"/>
        <v>#NAME?</v>
      </c>
    </row>
    <row r="718" spans="2:6" ht="12.75">
      <c r="B718" s="1" t="s">
        <v>4743</v>
      </c>
      <c r="C718" s="1" t="s">
        <v>4743</v>
      </c>
      <c r="D718" s="1" t="str">
        <f ca="1">IFERROR(__xludf.DUMMYFUNCTION("iferror(SPLIT(C718,""=""))"),"")</f>
        <v/>
      </c>
      <c r="F718" s="1" t="e">
        <f t="shared" ca="1" si="2"/>
        <v>#NAME?</v>
      </c>
    </row>
    <row r="719" spans="2:6" ht="12.75">
      <c r="B719" s="1" t="s">
        <v>4743</v>
      </c>
      <c r="C719" s="1" t="s">
        <v>4743</v>
      </c>
      <c r="D719" s="1" t="str">
        <f ca="1">IFERROR(__xludf.DUMMYFUNCTION("iferror(SPLIT(C719,""=""))"),"")</f>
        <v/>
      </c>
      <c r="F719" s="1" t="e">
        <f t="shared" ca="1" si="2"/>
        <v>#NAME?</v>
      </c>
    </row>
    <row r="720" spans="2:6" ht="12.75">
      <c r="B720" s="1" t="s">
        <v>4743</v>
      </c>
      <c r="C720" s="1" t="s">
        <v>4743</v>
      </c>
      <c r="D720" s="1" t="str">
        <f ca="1">IFERROR(__xludf.DUMMYFUNCTION("iferror(SPLIT(C720,""=""))"),"")</f>
        <v/>
      </c>
      <c r="F720" s="1" t="e">
        <f t="shared" ca="1" si="2"/>
        <v>#NAME?</v>
      </c>
    </row>
    <row r="721" spans="2:6" ht="12.75">
      <c r="B721" s="1" t="s">
        <v>4743</v>
      </c>
      <c r="C721" s="1" t="s">
        <v>4743</v>
      </c>
      <c r="D721" s="1" t="str">
        <f ca="1">IFERROR(__xludf.DUMMYFUNCTION("iferror(SPLIT(C721,""=""))"),"")</f>
        <v/>
      </c>
      <c r="F721" s="1" t="e">
        <f t="shared" ca="1" si="2"/>
        <v>#NAME?</v>
      </c>
    </row>
    <row r="722" spans="2:6" ht="12.75">
      <c r="B722" s="1" t="s">
        <v>4743</v>
      </c>
      <c r="C722" s="1" t="s">
        <v>4743</v>
      </c>
      <c r="D722" s="1" t="str">
        <f ca="1">IFERROR(__xludf.DUMMYFUNCTION("iferror(SPLIT(C722,""=""))"),"")</f>
        <v/>
      </c>
      <c r="F722" s="1" t="e">
        <f t="shared" ca="1" si="2"/>
        <v>#NAME?</v>
      </c>
    </row>
    <row r="723" spans="2:6" ht="12.75">
      <c r="B723" s="1" t="s">
        <v>4743</v>
      </c>
      <c r="C723" s="1" t="s">
        <v>4743</v>
      </c>
      <c r="D723" s="1" t="str">
        <f ca="1">IFERROR(__xludf.DUMMYFUNCTION("iferror(SPLIT(C723,""=""))"),"")</f>
        <v/>
      </c>
      <c r="F723" s="1" t="e">
        <f t="shared" ca="1" si="2"/>
        <v>#NAME?</v>
      </c>
    </row>
    <row r="724" spans="2:6" ht="12.75">
      <c r="B724" s="1" t="s">
        <v>4743</v>
      </c>
      <c r="C724" s="1" t="s">
        <v>4743</v>
      </c>
      <c r="D724" s="1" t="str">
        <f ca="1">IFERROR(__xludf.DUMMYFUNCTION("iferror(SPLIT(C724,""=""))"),"")</f>
        <v/>
      </c>
      <c r="F724" s="1" t="e">
        <f t="shared" ca="1" si="2"/>
        <v>#NAME?</v>
      </c>
    </row>
    <row r="725" spans="2:6" ht="12.75">
      <c r="B725" s="1" t="s">
        <v>4743</v>
      </c>
      <c r="C725" s="1" t="s">
        <v>4743</v>
      </c>
      <c r="D725" s="1" t="str">
        <f ca="1">IFERROR(__xludf.DUMMYFUNCTION("iferror(SPLIT(C725,""=""))"),"")</f>
        <v/>
      </c>
      <c r="F725" s="1" t="e">
        <f t="shared" ca="1" si="2"/>
        <v>#NAME?</v>
      </c>
    </row>
    <row r="726" spans="2:6" ht="12.75">
      <c r="B726" s="1" t="s">
        <v>4743</v>
      </c>
      <c r="C726" s="1" t="s">
        <v>4743</v>
      </c>
      <c r="D726" s="1" t="str">
        <f ca="1">IFERROR(__xludf.DUMMYFUNCTION("iferror(SPLIT(C726,""=""))"),"")</f>
        <v/>
      </c>
      <c r="F726" s="1" t="e">
        <f t="shared" ca="1" si="2"/>
        <v>#NAME?</v>
      </c>
    </row>
    <row r="727" spans="2:6" ht="12.75">
      <c r="B727" s="1" t="s">
        <v>4743</v>
      </c>
      <c r="C727" s="1" t="s">
        <v>4743</v>
      </c>
      <c r="D727" s="1" t="str">
        <f ca="1">IFERROR(__xludf.DUMMYFUNCTION("iferror(SPLIT(C727,""=""))"),"")</f>
        <v/>
      </c>
      <c r="F727" s="1" t="e">
        <f t="shared" ca="1" si="2"/>
        <v>#NAME?</v>
      </c>
    </row>
    <row r="728" spans="2:6" ht="12.75">
      <c r="B728" s="1" t="s">
        <v>4743</v>
      </c>
      <c r="C728" s="1" t="s">
        <v>4743</v>
      </c>
      <c r="D728" s="1" t="str">
        <f ca="1">IFERROR(__xludf.DUMMYFUNCTION("iferror(SPLIT(C728,""=""))"),"")</f>
        <v/>
      </c>
      <c r="F728" s="1" t="e">
        <f t="shared" ca="1" si="2"/>
        <v>#NAME?</v>
      </c>
    </row>
    <row r="729" spans="2:6" ht="12.75">
      <c r="B729" s="1" t="s">
        <v>4743</v>
      </c>
      <c r="C729" s="1" t="s">
        <v>4743</v>
      </c>
      <c r="D729" s="1" t="str">
        <f ca="1">IFERROR(__xludf.DUMMYFUNCTION("iferror(SPLIT(C729,""=""))"),"")</f>
        <v/>
      </c>
      <c r="F729" s="1" t="e">
        <f t="shared" ca="1" si="2"/>
        <v>#NAME?</v>
      </c>
    </row>
    <row r="730" spans="2:6" ht="12.75">
      <c r="B730" s="1" t="s">
        <v>4743</v>
      </c>
      <c r="C730" s="1" t="s">
        <v>4743</v>
      </c>
      <c r="D730" s="1" t="str">
        <f ca="1">IFERROR(__xludf.DUMMYFUNCTION("iferror(SPLIT(C730,""=""))"),"")</f>
        <v/>
      </c>
      <c r="F730" s="1" t="e">
        <f t="shared" ca="1" si="2"/>
        <v>#NAME?</v>
      </c>
    </row>
    <row r="731" spans="2:6" ht="12.75">
      <c r="B731" s="1" t="s">
        <v>4743</v>
      </c>
      <c r="C731" s="1" t="s">
        <v>4743</v>
      </c>
      <c r="D731" s="1" t="str">
        <f ca="1">IFERROR(__xludf.DUMMYFUNCTION("iferror(SPLIT(C731,""=""))"),"")</f>
        <v/>
      </c>
      <c r="F731" s="1" t="e">
        <f t="shared" ca="1" si="2"/>
        <v>#NAME?</v>
      </c>
    </row>
    <row r="732" spans="2:6" ht="12.75">
      <c r="B732" s="1" t="s">
        <v>4743</v>
      </c>
      <c r="C732" s="1" t="s">
        <v>4743</v>
      </c>
      <c r="D732" s="1" t="str">
        <f ca="1">IFERROR(__xludf.DUMMYFUNCTION("iferror(SPLIT(C732,""=""))"),"")</f>
        <v/>
      </c>
      <c r="F732" s="1" t="e">
        <f t="shared" ca="1" si="2"/>
        <v>#NAME?</v>
      </c>
    </row>
    <row r="733" spans="2:6" ht="12.75">
      <c r="B733" s="1" t="s">
        <v>4743</v>
      </c>
      <c r="C733" s="1" t="s">
        <v>4743</v>
      </c>
      <c r="D733" s="1" t="str">
        <f ca="1">IFERROR(__xludf.DUMMYFUNCTION("iferror(SPLIT(C733,""=""))"),"")</f>
        <v/>
      </c>
      <c r="F733" s="1" t="e">
        <f t="shared" ca="1" si="2"/>
        <v>#NAME?</v>
      </c>
    </row>
    <row r="734" spans="2:6" ht="12.75">
      <c r="B734" s="1" t="s">
        <v>4743</v>
      </c>
      <c r="C734" s="1" t="s">
        <v>4743</v>
      </c>
      <c r="D734" s="1" t="str">
        <f ca="1">IFERROR(__xludf.DUMMYFUNCTION("iferror(SPLIT(C734,""=""))"),"")</f>
        <v/>
      </c>
      <c r="F734" s="1" t="e">
        <f t="shared" ca="1" si="2"/>
        <v>#NAME?</v>
      </c>
    </row>
    <row r="735" spans="2:6" ht="12.75">
      <c r="B735" s="1" t="s">
        <v>4743</v>
      </c>
      <c r="C735" s="1" t="s">
        <v>4743</v>
      </c>
      <c r="D735" s="1" t="str">
        <f ca="1">IFERROR(__xludf.DUMMYFUNCTION("iferror(SPLIT(C735,""=""))"),"")</f>
        <v/>
      </c>
      <c r="F735" s="1" t="e">
        <f t="shared" ca="1" si="2"/>
        <v>#NAME?</v>
      </c>
    </row>
    <row r="736" spans="2:6" ht="12.75">
      <c r="B736" s="1" t="s">
        <v>4743</v>
      </c>
      <c r="C736" s="1" t="s">
        <v>4743</v>
      </c>
      <c r="D736" s="1" t="str">
        <f ca="1">IFERROR(__xludf.DUMMYFUNCTION("iferror(SPLIT(C736,""=""))"),"")</f>
        <v/>
      </c>
      <c r="F736" s="1" t="e">
        <f t="shared" ca="1" si="2"/>
        <v>#NAME?</v>
      </c>
    </row>
    <row r="737" spans="2:6" ht="12.75">
      <c r="B737" s="1" t="s">
        <v>4743</v>
      </c>
      <c r="C737" s="1" t="s">
        <v>4743</v>
      </c>
      <c r="D737" s="1" t="str">
        <f ca="1">IFERROR(__xludf.DUMMYFUNCTION("iferror(SPLIT(C737,""=""))"),"")</f>
        <v/>
      </c>
      <c r="F737" s="1" t="e">
        <f t="shared" ca="1" si="2"/>
        <v>#NAME?</v>
      </c>
    </row>
    <row r="738" spans="2:6" ht="12.75">
      <c r="B738" s="1" t="s">
        <v>4743</v>
      </c>
      <c r="C738" s="1" t="s">
        <v>4743</v>
      </c>
      <c r="D738" s="1" t="str">
        <f ca="1">IFERROR(__xludf.DUMMYFUNCTION("iferror(SPLIT(C738,""=""))"),"")</f>
        <v/>
      </c>
      <c r="F738" s="1" t="e">
        <f t="shared" ca="1" si="2"/>
        <v>#NAME?</v>
      </c>
    </row>
    <row r="739" spans="2:6" ht="12.75">
      <c r="B739" s="1" t="s">
        <v>4743</v>
      </c>
      <c r="C739" s="1" t="s">
        <v>4743</v>
      </c>
      <c r="D739" s="1" t="str">
        <f ca="1">IFERROR(__xludf.DUMMYFUNCTION("iferror(SPLIT(C739,""=""))"),"")</f>
        <v/>
      </c>
      <c r="F739" s="1" t="e">
        <f t="shared" ca="1" si="2"/>
        <v>#NAME?</v>
      </c>
    </row>
    <row r="740" spans="2:6" ht="12.75">
      <c r="B740" s="1" t="s">
        <v>4743</v>
      </c>
      <c r="C740" s="1" t="s">
        <v>4743</v>
      </c>
      <c r="D740" s="1" t="str">
        <f ca="1">IFERROR(__xludf.DUMMYFUNCTION("iferror(SPLIT(C740,""=""))"),"")</f>
        <v/>
      </c>
      <c r="F740" s="1" t="e">
        <f t="shared" ca="1" si="2"/>
        <v>#NAME?</v>
      </c>
    </row>
    <row r="741" spans="2:6" ht="12.75">
      <c r="B741" s="1" t="s">
        <v>4743</v>
      </c>
      <c r="C741" s="1" t="s">
        <v>4743</v>
      </c>
      <c r="D741" s="1" t="str">
        <f ca="1">IFERROR(__xludf.DUMMYFUNCTION("iferror(SPLIT(C741,""=""))"),"")</f>
        <v/>
      </c>
      <c r="F741" s="1" t="e">
        <f t="shared" ca="1" si="2"/>
        <v>#NAME?</v>
      </c>
    </row>
    <row r="742" spans="2:6" ht="12.75">
      <c r="B742" s="1" t="s">
        <v>4743</v>
      </c>
      <c r="C742" s="1" t="s">
        <v>4743</v>
      </c>
      <c r="D742" s="1" t="str">
        <f ca="1">IFERROR(__xludf.DUMMYFUNCTION("iferror(SPLIT(C742,""=""))"),"")</f>
        <v/>
      </c>
      <c r="F742" s="1" t="e">
        <f t="shared" ca="1" si="2"/>
        <v>#NAME?</v>
      </c>
    </row>
    <row r="743" spans="2:6" ht="12.75">
      <c r="B743" s="1" t="s">
        <v>4743</v>
      </c>
      <c r="C743" s="1" t="s">
        <v>4743</v>
      </c>
      <c r="D743" s="1" t="str">
        <f ca="1">IFERROR(__xludf.DUMMYFUNCTION("iferror(SPLIT(C743,""=""))"),"")</f>
        <v/>
      </c>
      <c r="F743" s="1" t="e">
        <f t="shared" ca="1" si="2"/>
        <v>#NAME?</v>
      </c>
    </row>
    <row r="744" spans="2:6" ht="12.75">
      <c r="B744" s="1" t="s">
        <v>4743</v>
      </c>
      <c r="C744" s="1" t="s">
        <v>4743</v>
      </c>
      <c r="D744" s="1" t="str">
        <f ca="1">IFERROR(__xludf.DUMMYFUNCTION("iferror(SPLIT(C744,""=""))"),"")</f>
        <v/>
      </c>
      <c r="F744" s="1" t="e">
        <f t="shared" ca="1" si="2"/>
        <v>#NAME?</v>
      </c>
    </row>
    <row r="745" spans="2:6" ht="12.75">
      <c r="B745" s="1" t="s">
        <v>4743</v>
      </c>
      <c r="C745" s="1" t="s">
        <v>4743</v>
      </c>
      <c r="D745" s="1" t="str">
        <f ca="1">IFERROR(__xludf.DUMMYFUNCTION("iferror(SPLIT(C745,""=""))"),"")</f>
        <v/>
      </c>
      <c r="F745" s="1" t="e">
        <f t="shared" ca="1" si="2"/>
        <v>#NAME?</v>
      </c>
    </row>
    <row r="746" spans="2:6" ht="12.75">
      <c r="B746" s="1" t="s">
        <v>4743</v>
      </c>
      <c r="C746" s="1" t="s">
        <v>4743</v>
      </c>
      <c r="D746" s="1" t="str">
        <f ca="1">IFERROR(__xludf.DUMMYFUNCTION("iferror(SPLIT(C746,""=""))"),"")</f>
        <v/>
      </c>
      <c r="F746" s="1" t="e">
        <f t="shared" ca="1" si="2"/>
        <v>#NAME?</v>
      </c>
    </row>
    <row r="747" spans="2:6" ht="12.75">
      <c r="B747" s="1" t="s">
        <v>4743</v>
      </c>
      <c r="C747" s="1" t="s">
        <v>4743</v>
      </c>
      <c r="D747" s="1" t="str">
        <f ca="1">IFERROR(__xludf.DUMMYFUNCTION("iferror(SPLIT(C747,""=""))"),"")</f>
        <v/>
      </c>
      <c r="F747" s="1" t="e">
        <f t="shared" ca="1" si="2"/>
        <v>#NAME?</v>
      </c>
    </row>
    <row r="748" spans="2:6" ht="12.75">
      <c r="B748" s="1" t="s">
        <v>4743</v>
      </c>
      <c r="C748" s="1" t="s">
        <v>4743</v>
      </c>
      <c r="D748" s="1" t="str">
        <f ca="1">IFERROR(__xludf.DUMMYFUNCTION("iferror(SPLIT(C748,""=""))"),"")</f>
        <v/>
      </c>
      <c r="F748" s="1" t="e">
        <f t="shared" ca="1" si="2"/>
        <v>#NAME?</v>
      </c>
    </row>
    <row r="749" spans="2:6" ht="12.75">
      <c r="B749" s="1" t="s">
        <v>4743</v>
      </c>
      <c r="C749" s="1" t="s">
        <v>4743</v>
      </c>
      <c r="D749" s="1" t="str">
        <f ca="1">IFERROR(__xludf.DUMMYFUNCTION("iferror(SPLIT(C749,""=""))"),"")</f>
        <v/>
      </c>
      <c r="F749" s="1" t="e">
        <f t="shared" ca="1" si="2"/>
        <v>#NAME?</v>
      </c>
    </row>
    <row r="750" spans="2:6" ht="12.75">
      <c r="B750" s="1" t="s">
        <v>4743</v>
      </c>
      <c r="C750" s="1" t="s">
        <v>4743</v>
      </c>
      <c r="D750" s="1" t="str">
        <f ca="1">IFERROR(__xludf.DUMMYFUNCTION("iferror(SPLIT(C750,""=""))"),"")</f>
        <v/>
      </c>
      <c r="F750" s="1" t="e">
        <f t="shared" ca="1" si="2"/>
        <v>#NAME?</v>
      </c>
    </row>
    <row r="751" spans="2:6" ht="12.75">
      <c r="B751" s="1" t="s">
        <v>4743</v>
      </c>
      <c r="C751" s="1" t="s">
        <v>4743</v>
      </c>
      <c r="D751" s="1" t="str">
        <f ca="1">IFERROR(__xludf.DUMMYFUNCTION("iferror(SPLIT(C751,""=""))"),"")</f>
        <v/>
      </c>
      <c r="F751" s="1" t="e">
        <f t="shared" ca="1" si="2"/>
        <v>#NAME?</v>
      </c>
    </row>
    <row r="752" spans="2:6" ht="12.75">
      <c r="B752" s="1" t="s">
        <v>4743</v>
      </c>
      <c r="C752" s="1" t="s">
        <v>4743</v>
      </c>
      <c r="D752" s="1" t="str">
        <f ca="1">IFERROR(__xludf.DUMMYFUNCTION("iferror(SPLIT(C752,""=""))"),"")</f>
        <v/>
      </c>
      <c r="F752" s="1" t="e">
        <f t="shared" ca="1" si="2"/>
        <v>#NAME?</v>
      </c>
    </row>
    <row r="753" spans="2:6" ht="12.75">
      <c r="B753" s="1" t="s">
        <v>4743</v>
      </c>
      <c r="C753" s="1" t="s">
        <v>4743</v>
      </c>
      <c r="D753" s="1" t="str">
        <f ca="1">IFERROR(__xludf.DUMMYFUNCTION("iferror(SPLIT(C753,""=""))"),"")</f>
        <v/>
      </c>
      <c r="F753" s="1" t="e">
        <f t="shared" ca="1" si="2"/>
        <v>#NAME?</v>
      </c>
    </row>
    <row r="754" spans="2:6" ht="12.75">
      <c r="B754" s="1" t="s">
        <v>4743</v>
      </c>
      <c r="C754" s="1" t="s">
        <v>4743</v>
      </c>
      <c r="D754" s="1" t="str">
        <f ca="1">IFERROR(__xludf.DUMMYFUNCTION("iferror(SPLIT(C754,""=""))"),"")</f>
        <v/>
      </c>
      <c r="F754" s="1" t="e">
        <f t="shared" ca="1" si="2"/>
        <v>#NAME?</v>
      </c>
    </row>
    <row r="755" spans="2:6" ht="12.75">
      <c r="B755" s="1" t="s">
        <v>4743</v>
      </c>
      <c r="C755" s="1" t="s">
        <v>4743</v>
      </c>
      <c r="D755" s="1" t="str">
        <f ca="1">IFERROR(__xludf.DUMMYFUNCTION("iferror(SPLIT(C755,""=""))"),"")</f>
        <v/>
      </c>
      <c r="F755" s="1" t="e">
        <f t="shared" ca="1" si="2"/>
        <v>#NAME?</v>
      </c>
    </row>
    <row r="756" spans="2:6" ht="12.75">
      <c r="B756" s="1" t="s">
        <v>4743</v>
      </c>
      <c r="C756" s="1" t="s">
        <v>4743</v>
      </c>
      <c r="D756" s="1" t="str">
        <f ca="1">IFERROR(__xludf.DUMMYFUNCTION("iferror(SPLIT(C756,""=""))"),"")</f>
        <v/>
      </c>
      <c r="F756" s="1" t="e">
        <f t="shared" ca="1" si="2"/>
        <v>#NAME?</v>
      </c>
    </row>
    <row r="757" spans="2:6" ht="12.75">
      <c r="B757" s="1" t="s">
        <v>4743</v>
      </c>
      <c r="C757" s="1" t="s">
        <v>4743</v>
      </c>
      <c r="D757" s="1" t="str">
        <f ca="1">IFERROR(__xludf.DUMMYFUNCTION("iferror(SPLIT(C757,""=""))"),"")</f>
        <v/>
      </c>
      <c r="F757" s="1" t="e">
        <f t="shared" ca="1" si="2"/>
        <v>#NAME?</v>
      </c>
    </row>
    <row r="758" spans="2:6" ht="12.75">
      <c r="B758" s="1" t="s">
        <v>4743</v>
      </c>
      <c r="C758" s="1" t="s">
        <v>4743</v>
      </c>
      <c r="D758" s="1" t="str">
        <f ca="1">IFERROR(__xludf.DUMMYFUNCTION("iferror(SPLIT(C758,""=""))"),"")</f>
        <v/>
      </c>
      <c r="F758" s="1" t="e">
        <f t="shared" ca="1" si="2"/>
        <v>#NAME?</v>
      </c>
    </row>
    <row r="759" spans="2:6" ht="12.75">
      <c r="B759" s="1" t="s">
        <v>4743</v>
      </c>
      <c r="C759" s="1" t="s">
        <v>4743</v>
      </c>
      <c r="D759" s="1" t="str">
        <f ca="1">IFERROR(__xludf.DUMMYFUNCTION("iferror(SPLIT(C759,""=""))"),"")</f>
        <v/>
      </c>
      <c r="F759" s="1" t="e">
        <f t="shared" ca="1" si="2"/>
        <v>#NAME?</v>
      </c>
    </row>
    <row r="760" spans="2:6" ht="12.75">
      <c r="B760" s="1" t="s">
        <v>4743</v>
      </c>
      <c r="C760" s="1" t="s">
        <v>4743</v>
      </c>
      <c r="D760" s="1" t="str">
        <f ca="1">IFERROR(__xludf.DUMMYFUNCTION("iferror(SPLIT(C760,""=""))"),"")</f>
        <v/>
      </c>
      <c r="F760" s="1" t="e">
        <f t="shared" ca="1" si="2"/>
        <v>#NAME?</v>
      </c>
    </row>
    <row r="761" spans="2:6" ht="12.75">
      <c r="B761" s="1" t="s">
        <v>4743</v>
      </c>
      <c r="C761" s="1" t="s">
        <v>4743</v>
      </c>
      <c r="D761" s="1" t="str">
        <f ca="1">IFERROR(__xludf.DUMMYFUNCTION("iferror(SPLIT(C761,""=""))"),"")</f>
        <v/>
      </c>
      <c r="F761" s="1" t="e">
        <f t="shared" ca="1" si="2"/>
        <v>#NAME?</v>
      </c>
    </row>
    <row r="762" spans="2:6" ht="12.75">
      <c r="B762" s="1" t="s">
        <v>4743</v>
      </c>
      <c r="C762" s="1" t="s">
        <v>4743</v>
      </c>
      <c r="D762" s="1" t="str">
        <f ca="1">IFERROR(__xludf.DUMMYFUNCTION("iferror(SPLIT(C762,""=""))"),"")</f>
        <v/>
      </c>
      <c r="F762" s="1" t="e">
        <f t="shared" ca="1" si="2"/>
        <v>#NAME?</v>
      </c>
    </row>
    <row r="763" spans="2:6" ht="12.75">
      <c r="B763" s="1" t="s">
        <v>4743</v>
      </c>
      <c r="C763" s="1" t="s">
        <v>4743</v>
      </c>
      <c r="D763" s="1" t="str">
        <f ca="1">IFERROR(__xludf.DUMMYFUNCTION("iferror(SPLIT(C763,""=""))"),"")</f>
        <v/>
      </c>
      <c r="F763" s="1" t="e">
        <f t="shared" ca="1" si="2"/>
        <v>#NAME?</v>
      </c>
    </row>
    <row r="764" spans="2:6" ht="12.75">
      <c r="B764" s="1" t="s">
        <v>4743</v>
      </c>
      <c r="C764" s="1" t="s">
        <v>4743</v>
      </c>
      <c r="D764" s="1" t="str">
        <f ca="1">IFERROR(__xludf.DUMMYFUNCTION("iferror(SPLIT(C764,""=""))"),"")</f>
        <v/>
      </c>
      <c r="F764" s="1" t="e">
        <f t="shared" ca="1" si="2"/>
        <v>#NAME?</v>
      </c>
    </row>
    <row r="765" spans="2:6" ht="12.75">
      <c r="B765" s="1" t="s">
        <v>4743</v>
      </c>
      <c r="C765" s="1" t="s">
        <v>4743</v>
      </c>
      <c r="D765" s="1" t="str">
        <f ca="1">IFERROR(__xludf.DUMMYFUNCTION("iferror(SPLIT(C765,""=""))"),"")</f>
        <v/>
      </c>
      <c r="F765" s="1" t="e">
        <f t="shared" ca="1" si="2"/>
        <v>#NAME?</v>
      </c>
    </row>
    <row r="766" spans="2:6" ht="12.75">
      <c r="B766" s="1" t="s">
        <v>4743</v>
      </c>
      <c r="C766" s="1" t="s">
        <v>4743</v>
      </c>
      <c r="D766" s="1" t="str">
        <f ca="1">IFERROR(__xludf.DUMMYFUNCTION("iferror(SPLIT(C766,""=""))"),"")</f>
        <v/>
      </c>
      <c r="F766" s="1" t="e">
        <f t="shared" ca="1" si="2"/>
        <v>#NAME?</v>
      </c>
    </row>
    <row r="767" spans="2:6" ht="12.75">
      <c r="B767" s="1" t="s">
        <v>4743</v>
      </c>
      <c r="C767" s="1" t="s">
        <v>4743</v>
      </c>
      <c r="D767" s="1" t="str">
        <f ca="1">IFERROR(__xludf.DUMMYFUNCTION("iferror(SPLIT(C767,""=""))"),"")</f>
        <v/>
      </c>
      <c r="F767" s="1" t="e">
        <f t="shared" ref="F767:F1021" ca="1" si="3">IMAGE($F$1&amp;E767)</f>
        <v>#NAME?</v>
      </c>
    </row>
    <row r="768" spans="2:6" ht="12.75">
      <c r="B768" s="1" t="s">
        <v>4743</v>
      </c>
      <c r="C768" s="1" t="s">
        <v>4743</v>
      </c>
      <c r="D768" s="1" t="str">
        <f ca="1">IFERROR(__xludf.DUMMYFUNCTION("iferror(SPLIT(C768,""=""))"),"")</f>
        <v/>
      </c>
      <c r="F768" s="1" t="e">
        <f t="shared" ca="1" si="3"/>
        <v>#NAME?</v>
      </c>
    </row>
    <row r="769" spans="2:6" ht="12.75">
      <c r="B769" s="1" t="s">
        <v>4743</v>
      </c>
      <c r="C769" s="1" t="s">
        <v>4743</v>
      </c>
      <c r="D769" s="1" t="str">
        <f ca="1">IFERROR(__xludf.DUMMYFUNCTION("iferror(SPLIT(C769,""=""))"),"")</f>
        <v/>
      </c>
      <c r="F769" s="1" t="e">
        <f t="shared" ca="1" si="3"/>
        <v>#NAME?</v>
      </c>
    </row>
    <row r="770" spans="2:6" ht="12.75">
      <c r="B770" s="1" t="s">
        <v>4743</v>
      </c>
      <c r="C770" s="1" t="s">
        <v>4743</v>
      </c>
      <c r="D770" s="1" t="str">
        <f ca="1">IFERROR(__xludf.DUMMYFUNCTION("iferror(SPLIT(C770,""=""))"),"")</f>
        <v/>
      </c>
      <c r="F770" s="1" t="e">
        <f t="shared" ca="1" si="3"/>
        <v>#NAME?</v>
      </c>
    </row>
    <row r="771" spans="2:6" ht="12.75">
      <c r="B771" s="1" t="s">
        <v>4743</v>
      </c>
      <c r="C771" s="1" t="s">
        <v>4743</v>
      </c>
      <c r="D771" s="1" t="str">
        <f ca="1">IFERROR(__xludf.DUMMYFUNCTION("iferror(SPLIT(C771,""=""))"),"")</f>
        <v/>
      </c>
      <c r="F771" s="1" t="e">
        <f t="shared" ca="1" si="3"/>
        <v>#NAME?</v>
      </c>
    </row>
    <row r="772" spans="2:6" ht="12.75">
      <c r="B772" s="1" t="s">
        <v>4743</v>
      </c>
      <c r="C772" s="1" t="s">
        <v>4743</v>
      </c>
      <c r="D772" s="1" t="str">
        <f ca="1">IFERROR(__xludf.DUMMYFUNCTION("iferror(SPLIT(C772,""=""))"),"")</f>
        <v/>
      </c>
      <c r="F772" s="1" t="e">
        <f t="shared" ca="1" si="3"/>
        <v>#NAME?</v>
      </c>
    </row>
    <row r="773" spans="2:6" ht="12.75">
      <c r="B773" s="1" t="s">
        <v>4743</v>
      </c>
      <c r="C773" s="1" t="s">
        <v>4743</v>
      </c>
      <c r="D773" s="1" t="str">
        <f ca="1">IFERROR(__xludf.DUMMYFUNCTION("iferror(SPLIT(C773,""=""))"),"")</f>
        <v/>
      </c>
      <c r="F773" s="1" t="e">
        <f t="shared" ca="1" si="3"/>
        <v>#NAME?</v>
      </c>
    </row>
    <row r="774" spans="2:6" ht="12.75">
      <c r="B774" s="1" t="s">
        <v>4743</v>
      </c>
      <c r="C774" s="1" t="s">
        <v>4743</v>
      </c>
      <c r="D774" s="1" t="str">
        <f ca="1">IFERROR(__xludf.DUMMYFUNCTION("iferror(SPLIT(C774,""=""))"),"")</f>
        <v/>
      </c>
      <c r="F774" s="1" t="e">
        <f t="shared" ca="1" si="3"/>
        <v>#NAME?</v>
      </c>
    </row>
    <row r="775" spans="2:6" ht="12.75">
      <c r="B775" s="1" t="s">
        <v>4743</v>
      </c>
      <c r="C775" s="1" t="s">
        <v>4743</v>
      </c>
      <c r="D775" s="1" t="str">
        <f ca="1">IFERROR(__xludf.DUMMYFUNCTION("iferror(SPLIT(C775,""=""))"),"")</f>
        <v/>
      </c>
      <c r="F775" s="1" t="e">
        <f t="shared" ca="1" si="3"/>
        <v>#NAME?</v>
      </c>
    </row>
    <row r="776" spans="2:6" ht="12.75">
      <c r="B776" s="1" t="s">
        <v>4743</v>
      </c>
      <c r="C776" s="1" t="s">
        <v>4743</v>
      </c>
      <c r="D776" s="1" t="str">
        <f ca="1">IFERROR(__xludf.DUMMYFUNCTION("iferror(SPLIT(C776,""=""))"),"")</f>
        <v/>
      </c>
      <c r="F776" s="1" t="e">
        <f t="shared" ca="1" si="3"/>
        <v>#NAME?</v>
      </c>
    </row>
    <row r="777" spans="2:6" ht="12.75">
      <c r="B777" s="1" t="s">
        <v>4743</v>
      </c>
      <c r="C777" s="1" t="s">
        <v>4743</v>
      </c>
      <c r="D777" s="1" t="str">
        <f ca="1">IFERROR(__xludf.DUMMYFUNCTION("iferror(SPLIT(C777,""=""))"),"")</f>
        <v/>
      </c>
      <c r="F777" s="1" t="e">
        <f t="shared" ca="1" si="3"/>
        <v>#NAME?</v>
      </c>
    </row>
    <row r="778" spans="2:6" ht="12.75">
      <c r="B778" s="1" t="s">
        <v>4743</v>
      </c>
      <c r="C778" s="1" t="s">
        <v>4743</v>
      </c>
      <c r="D778" s="1" t="str">
        <f ca="1">IFERROR(__xludf.DUMMYFUNCTION("iferror(SPLIT(C778,""=""))"),"")</f>
        <v/>
      </c>
      <c r="F778" s="1" t="e">
        <f t="shared" ca="1" si="3"/>
        <v>#NAME?</v>
      </c>
    </row>
    <row r="779" spans="2:6" ht="12.75">
      <c r="B779" s="1" t="s">
        <v>4743</v>
      </c>
      <c r="C779" s="1" t="s">
        <v>4743</v>
      </c>
      <c r="D779" s="1" t="str">
        <f ca="1">IFERROR(__xludf.DUMMYFUNCTION("iferror(SPLIT(C779,""=""))"),"")</f>
        <v/>
      </c>
      <c r="F779" s="1" t="e">
        <f t="shared" ca="1" si="3"/>
        <v>#NAME?</v>
      </c>
    </row>
    <row r="780" spans="2:6" ht="12.75">
      <c r="B780" s="1" t="s">
        <v>4743</v>
      </c>
      <c r="C780" s="1" t="s">
        <v>4743</v>
      </c>
      <c r="D780" s="1" t="str">
        <f ca="1">IFERROR(__xludf.DUMMYFUNCTION("iferror(SPLIT(C780,""=""))"),"")</f>
        <v/>
      </c>
      <c r="F780" s="1" t="e">
        <f t="shared" ca="1" si="3"/>
        <v>#NAME?</v>
      </c>
    </row>
    <row r="781" spans="2:6" ht="12.75">
      <c r="B781" s="1" t="s">
        <v>4743</v>
      </c>
      <c r="C781" s="1" t="s">
        <v>4743</v>
      </c>
      <c r="D781" s="1" t="str">
        <f ca="1">IFERROR(__xludf.DUMMYFUNCTION("iferror(SPLIT(C781,""=""))"),"")</f>
        <v/>
      </c>
      <c r="F781" s="1" t="e">
        <f t="shared" ca="1" si="3"/>
        <v>#NAME?</v>
      </c>
    </row>
    <row r="782" spans="2:6" ht="12.75">
      <c r="B782" s="1" t="s">
        <v>4743</v>
      </c>
      <c r="C782" s="1" t="s">
        <v>4743</v>
      </c>
      <c r="D782" s="1" t="str">
        <f ca="1">IFERROR(__xludf.DUMMYFUNCTION("iferror(SPLIT(C782,""=""))"),"")</f>
        <v/>
      </c>
      <c r="F782" s="1" t="e">
        <f t="shared" ca="1" si="3"/>
        <v>#NAME?</v>
      </c>
    </row>
    <row r="783" spans="2:6" ht="12.75">
      <c r="B783" s="1" t="s">
        <v>4743</v>
      </c>
      <c r="C783" s="1" t="s">
        <v>4743</v>
      </c>
      <c r="D783" s="1" t="str">
        <f ca="1">IFERROR(__xludf.DUMMYFUNCTION("iferror(SPLIT(C783,""=""))"),"")</f>
        <v/>
      </c>
      <c r="F783" s="1" t="e">
        <f t="shared" ca="1" si="3"/>
        <v>#NAME?</v>
      </c>
    </row>
    <row r="784" spans="2:6" ht="12.75">
      <c r="B784" s="1" t="s">
        <v>4743</v>
      </c>
      <c r="C784" s="1" t="s">
        <v>4743</v>
      </c>
      <c r="D784" s="1" t="str">
        <f ca="1">IFERROR(__xludf.DUMMYFUNCTION("iferror(SPLIT(C784,""=""))"),"")</f>
        <v/>
      </c>
      <c r="F784" s="1" t="e">
        <f t="shared" ca="1" si="3"/>
        <v>#NAME?</v>
      </c>
    </row>
    <row r="785" spans="2:6" ht="12.75">
      <c r="B785" s="1" t="s">
        <v>4743</v>
      </c>
      <c r="C785" s="1" t="s">
        <v>4743</v>
      </c>
      <c r="D785" s="1" t="str">
        <f ca="1">IFERROR(__xludf.DUMMYFUNCTION("iferror(SPLIT(C785,""=""))"),"")</f>
        <v/>
      </c>
      <c r="F785" s="1" t="e">
        <f t="shared" ca="1" si="3"/>
        <v>#NAME?</v>
      </c>
    </row>
    <row r="786" spans="2:6" ht="12.75">
      <c r="B786" s="1" t="s">
        <v>4743</v>
      </c>
      <c r="C786" s="1" t="s">
        <v>4743</v>
      </c>
      <c r="D786" s="1" t="str">
        <f ca="1">IFERROR(__xludf.DUMMYFUNCTION("iferror(SPLIT(C786,""=""))"),"")</f>
        <v/>
      </c>
      <c r="F786" s="1" t="e">
        <f t="shared" ca="1" si="3"/>
        <v>#NAME?</v>
      </c>
    </row>
    <row r="787" spans="2:6" ht="12.75">
      <c r="B787" s="1" t="s">
        <v>4743</v>
      </c>
      <c r="C787" s="1" t="s">
        <v>4743</v>
      </c>
      <c r="D787" s="1" t="str">
        <f ca="1">IFERROR(__xludf.DUMMYFUNCTION("iferror(SPLIT(C787,""=""))"),"")</f>
        <v/>
      </c>
      <c r="F787" s="1" t="e">
        <f t="shared" ca="1" si="3"/>
        <v>#NAME?</v>
      </c>
    </row>
    <row r="788" spans="2:6" ht="12.75">
      <c r="B788" s="1" t="s">
        <v>4743</v>
      </c>
      <c r="C788" s="1" t="s">
        <v>4743</v>
      </c>
      <c r="D788" s="1" t="str">
        <f ca="1">IFERROR(__xludf.DUMMYFUNCTION("iferror(SPLIT(C788,""=""))"),"")</f>
        <v/>
      </c>
      <c r="F788" s="1" t="e">
        <f t="shared" ca="1" si="3"/>
        <v>#NAME?</v>
      </c>
    </row>
    <row r="789" spans="2:6" ht="12.75">
      <c r="B789" s="1" t="s">
        <v>4743</v>
      </c>
      <c r="C789" s="1" t="s">
        <v>4743</v>
      </c>
      <c r="D789" s="1" t="str">
        <f ca="1">IFERROR(__xludf.DUMMYFUNCTION("iferror(SPLIT(C789,""=""))"),"")</f>
        <v/>
      </c>
      <c r="F789" s="1" t="e">
        <f t="shared" ca="1" si="3"/>
        <v>#NAME?</v>
      </c>
    </row>
    <row r="790" spans="2:6" ht="12.75">
      <c r="B790" s="1" t="s">
        <v>4743</v>
      </c>
      <c r="C790" s="1" t="s">
        <v>4743</v>
      </c>
      <c r="D790" s="1" t="str">
        <f ca="1">IFERROR(__xludf.DUMMYFUNCTION("iferror(SPLIT(C790,""=""))"),"")</f>
        <v/>
      </c>
      <c r="F790" s="1" t="e">
        <f t="shared" ca="1" si="3"/>
        <v>#NAME?</v>
      </c>
    </row>
    <row r="791" spans="2:6" ht="12.75">
      <c r="B791" s="1" t="s">
        <v>4743</v>
      </c>
      <c r="C791" s="1" t="s">
        <v>4743</v>
      </c>
      <c r="D791" s="1" t="str">
        <f ca="1">IFERROR(__xludf.DUMMYFUNCTION("iferror(SPLIT(C791,""=""))"),"")</f>
        <v/>
      </c>
      <c r="F791" s="1" t="e">
        <f t="shared" ca="1" si="3"/>
        <v>#NAME?</v>
      </c>
    </row>
    <row r="792" spans="2:6" ht="12.75">
      <c r="B792" s="1" t="s">
        <v>4743</v>
      </c>
      <c r="C792" s="1" t="s">
        <v>4743</v>
      </c>
      <c r="D792" s="1" t="str">
        <f ca="1">IFERROR(__xludf.DUMMYFUNCTION("iferror(SPLIT(C792,""=""))"),"")</f>
        <v/>
      </c>
      <c r="F792" s="1" t="e">
        <f t="shared" ca="1" si="3"/>
        <v>#NAME?</v>
      </c>
    </row>
    <row r="793" spans="2:6" ht="12.75">
      <c r="B793" s="1" t="s">
        <v>4743</v>
      </c>
      <c r="C793" s="1" t="s">
        <v>4743</v>
      </c>
      <c r="D793" s="1" t="str">
        <f ca="1">IFERROR(__xludf.DUMMYFUNCTION("iferror(SPLIT(C793,""=""))"),"")</f>
        <v/>
      </c>
      <c r="F793" s="1" t="e">
        <f t="shared" ca="1" si="3"/>
        <v>#NAME?</v>
      </c>
    </row>
    <row r="794" spans="2:6" ht="12.75">
      <c r="B794" s="1" t="s">
        <v>4743</v>
      </c>
      <c r="C794" s="1" t="s">
        <v>4743</v>
      </c>
      <c r="D794" s="1" t="str">
        <f ca="1">IFERROR(__xludf.DUMMYFUNCTION("iferror(SPLIT(C794,""=""))"),"")</f>
        <v/>
      </c>
      <c r="F794" s="1" t="e">
        <f t="shared" ca="1" si="3"/>
        <v>#NAME?</v>
      </c>
    </row>
    <row r="795" spans="2:6" ht="12.75">
      <c r="B795" s="1" t="s">
        <v>4743</v>
      </c>
      <c r="C795" s="1" t="s">
        <v>4743</v>
      </c>
      <c r="D795" s="1" t="str">
        <f ca="1">IFERROR(__xludf.DUMMYFUNCTION("iferror(SPLIT(C795,""=""))"),"")</f>
        <v/>
      </c>
      <c r="F795" s="1" t="e">
        <f t="shared" ca="1" si="3"/>
        <v>#NAME?</v>
      </c>
    </row>
    <row r="796" spans="2:6" ht="12.75">
      <c r="B796" s="1" t="s">
        <v>4743</v>
      </c>
      <c r="C796" s="1" t="s">
        <v>4743</v>
      </c>
      <c r="D796" s="1" t="str">
        <f ca="1">IFERROR(__xludf.DUMMYFUNCTION("iferror(SPLIT(C796,""=""))"),"")</f>
        <v/>
      </c>
      <c r="F796" s="1" t="e">
        <f t="shared" ca="1" si="3"/>
        <v>#NAME?</v>
      </c>
    </row>
    <row r="797" spans="2:6" ht="12.75">
      <c r="B797" s="1" t="s">
        <v>4743</v>
      </c>
      <c r="C797" s="1" t="s">
        <v>4743</v>
      </c>
      <c r="D797" s="1" t="str">
        <f ca="1">IFERROR(__xludf.DUMMYFUNCTION("iferror(SPLIT(C797,""=""))"),"")</f>
        <v/>
      </c>
      <c r="F797" s="1" t="e">
        <f t="shared" ca="1" si="3"/>
        <v>#NAME?</v>
      </c>
    </row>
    <row r="798" spans="2:6" ht="12.75">
      <c r="B798" s="1" t="s">
        <v>4743</v>
      </c>
      <c r="C798" s="1" t="s">
        <v>4743</v>
      </c>
      <c r="D798" s="1" t="str">
        <f ca="1">IFERROR(__xludf.DUMMYFUNCTION("iferror(SPLIT(C798,""=""))"),"")</f>
        <v/>
      </c>
      <c r="F798" s="1" t="e">
        <f t="shared" ca="1" si="3"/>
        <v>#NAME?</v>
      </c>
    </row>
    <row r="799" spans="2:6" ht="12.75">
      <c r="B799" s="1" t="s">
        <v>4743</v>
      </c>
      <c r="C799" s="1" t="s">
        <v>4743</v>
      </c>
      <c r="D799" s="1" t="str">
        <f ca="1">IFERROR(__xludf.DUMMYFUNCTION("iferror(SPLIT(C799,""=""))"),"")</f>
        <v/>
      </c>
      <c r="F799" s="1" t="e">
        <f t="shared" ca="1" si="3"/>
        <v>#NAME?</v>
      </c>
    </row>
    <row r="800" spans="2:6" ht="12.75">
      <c r="B800" s="1" t="s">
        <v>4743</v>
      </c>
      <c r="C800" s="1" t="s">
        <v>4743</v>
      </c>
      <c r="D800" s="1" t="str">
        <f ca="1">IFERROR(__xludf.DUMMYFUNCTION("iferror(SPLIT(C800,""=""))"),"")</f>
        <v/>
      </c>
      <c r="F800" s="1" t="e">
        <f t="shared" ca="1" si="3"/>
        <v>#NAME?</v>
      </c>
    </row>
    <row r="801" spans="2:6" ht="12.75">
      <c r="B801" s="1" t="s">
        <v>4743</v>
      </c>
      <c r="C801" s="1" t="s">
        <v>4743</v>
      </c>
      <c r="D801" s="1" t="str">
        <f ca="1">IFERROR(__xludf.DUMMYFUNCTION("iferror(SPLIT(C801,""=""))"),"")</f>
        <v/>
      </c>
      <c r="F801" s="1" t="e">
        <f t="shared" ca="1" si="3"/>
        <v>#NAME?</v>
      </c>
    </row>
    <row r="802" spans="2:6" ht="12.75">
      <c r="B802" s="1" t="s">
        <v>4743</v>
      </c>
      <c r="C802" s="1" t="s">
        <v>4743</v>
      </c>
      <c r="D802" s="1" t="str">
        <f ca="1">IFERROR(__xludf.DUMMYFUNCTION("iferror(SPLIT(C802,""=""))"),"")</f>
        <v/>
      </c>
      <c r="F802" s="1" t="e">
        <f t="shared" ca="1" si="3"/>
        <v>#NAME?</v>
      </c>
    </row>
    <row r="803" spans="2:6" ht="12.75">
      <c r="B803" s="1" t="s">
        <v>4743</v>
      </c>
      <c r="C803" s="1" t="s">
        <v>4743</v>
      </c>
      <c r="D803" s="1" t="str">
        <f ca="1">IFERROR(__xludf.DUMMYFUNCTION("iferror(SPLIT(C803,""=""))"),"")</f>
        <v/>
      </c>
      <c r="F803" s="1" t="e">
        <f t="shared" ca="1" si="3"/>
        <v>#NAME?</v>
      </c>
    </row>
    <row r="804" spans="2:6" ht="12.75">
      <c r="B804" s="1" t="s">
        <v>4743</v>
      </c>
      <c r="C804" s="1" t="s">
        <v>4743</v>
      </c>
      <c r="D804" s="1" t="str">
        <f ca="1">IFERROR(__xludf.DUMMYFUNCTION("iferror(SPLIT(C804,""=""))"),"")</f>
        <v/>
      </c>
      <c r="F804" s="1" t="e">
        <f t="shared" ca="1" si="3"/>
        <v>#NAME?</v>
      </c>
    </row>
    <row r="805" spans="2:6" ht="12.75">
      <c r="B805" s="1" t="s">
        <v>4743</v>
      </c>
      <c r="C805" s="1" t="s">
        <v>4743</v>
      </c>
      <c r="D805" s="1" t="str">
        <f ca="1">IFERROR(__xludf.DUMMYFUNCTION("iferror(SPLIT(C805,""=""))"),"")</f>
        <v/>
      </c>
      <c r="F805" s="1" t="e">
        <f t="shared" ca="1" si="3"/>
        <v>#NAME?</v>
      </c>
    </row>
    <row r="806" spans="2:6" ht="12.75">
      <c r="B806" s="1" t="s">
        <v>4743</v>
      </c>
      <c r="C806" s="1" t="s">
        <v>4743</v>
      </c>
      <c r="D806" s="1" t="str">
        <f ca="1">IFERROR(__xludf.DUMMYFUNCTION("iferror(SPLIT(C806,""=""))"),"")</f>
        <v/>
      </c>
      <c r="F806" s="1" t="e">
        <f t="shared" ca="1" si="3"/>
        <v>#NAME?</v>
      </c>
    </row>
    <row r="807" spans="2:6" ht="12.75">
      <c r="B807" s="1" t="s">
        <v>4743</v>
      </c>
      <c r="C807" s="1" t="s">
        <v>4743</v>
      </c>
      <c r="D807" s="1" t="str">
        <f ca="1">IFERROR(__xludf.DUMMYFUNCTION("iferror(SPLIT(C807,""=""))"),"")</f>
        <v/>
      </c>
      <c r="F807" s="1" t="e">
        <f t="shared" ca="1" si="3"/>
        <v>#NAME?</v>
      </c>
    </row>
    <row r="808" spans="2:6" ht="12.75">
      <c r="B808" s="1" t="s">
        <v>4743</v>
      </c>
      <c r="C808" s="1" t="s">
        <v>4743</v>
      </c>
      <c r="D808" s="1" t="str">
        <f ca="1">IFERROR(__xludf.DUMMYFUNCTION("iferror(SPLIT(C808,""=""))"),"")</f>
        <v/>
      </c>
      <c r="F808" s="1" t="e">
        <f t="shared" ca="1" si="3"/>
        <v>#NAME?</v>
      </c>
    </row>
    <row r="809" spans="2:6" ht="12.75">
      <c r="B809" s="1" t="s">
        <v>4743</v>
      </c>
      <c r="C809" s="1" t="s">
        <v>4743</v>
      </c>
      <c r="D809" s="1" t="str">
        <f ca="1">IFERROR(__xludf.DUMMYFUNCTION("iferror(SPLIT(C809,""=""))"),"")</f>
        <v/>
      </c>
      <c r="F809" s="1" t="e">
        <f t="shared" ca="1" si="3"/>
        <v>#NAME?</v>
      </c>
    </row>
    <row r="810" spans="2:6" ht="12.75">
      <c r="B810" s="1" t="s">
        <v>4743</v>
      </c>
      <c r="C810" s="1" t="s">
        <v>4743</v>
      </c>
      <c r="D810" s="1" t="str">
        <f ca="1">IFERROR(__xludf.DUMMYFUNCTION("iferror(SPLIT(C810,""=""))"),"")</f>
        <v/>
      </c>
      <c r="F810" s="1" t="e">
        <f t="shared" ca="1" si="3"/>
        <v>#NAME?</v>
      </c>
    </row>
    <row r="811" spans="2:6" ht="12.75">
      <c r="B811" s="1" t="s">
        <v>4743</v>
      </c>
      <c r="C811" s="1" t="s">
        <v>4743</v>
      </c>
      <c r="D811" s="1" t="str">
        <f ca="1">IFERROR(__xludf.DUMMYFUNCTION("iferror(SPLIT(C811,""=""))"),"")</f>
        <v/>
      </c>
      <c r="F811" s="1" t="e">
        <f t="shared" ca="1" si="3"/>
        <v>#NAME?</v>
      </c>
    </row>
    <row r="812" spans="2:6" ht="12.75">
      <c r="B812" s="1" t="s">
        <v>4743</v>
      </c>
      <c r="C812" s="1" t="s">
        <v>4743</v>
      </c>
      <c r="D812" s="1" t="str">
        <f ca="1">IFERROR(__xludf.DUMMYFUNCTION("iferror(SPLIT(C812,""=""))"),"")</f>
        <v/>
      </c>
      <c r="F812" s="1" t="e">
        <f t="shared" ca="1" si="3"/>
        <v>#NAME?</v>
      </c>
    </row>
    <row r="813" spans="2:6" ht="12.75">
      <c r="B813" s="1" t="s">
        <v>4743</v>
      </c>
      <c r="C813" s="1" t="s">
        <v>4743</v>
      </c>
      <c r="D813" s="1" t="str">
        <f ca="1">IFERROR(__xludf.DUMMYFUNCTION("iferror(SPLIT(C813,""=""))"),"")</f>
        <v/>
      </c>
      <c r="F813" s="1" t="e">
        <f t="shared" ca="1" si="3"/>
        <v>#NAME?</v>
      </c>
    </row>
    <row r="814" spans="2:6" ht="12.75">
      <c r="B814" s="1" t="s">
        <v>4743</v>
      </c>
      <c r="C814" s="1" t="s">
        <v>4743</v>
      </c>
      <c r="D814" s="1" t="str">
        <f ca="1">IFERROR(__xludf.DUMMYFUNCTION("iferror(SPLIT(C814,""=""))"),"")</f>
        <v/>
      </c>
      <c r="F814" s="1" t="e">
        <f t="shared" ca="1" si="3"/>
        <v>#NAME?</v>
      </c>
    </row>
    <row r="815" spans="2:6" ht="12.75">
      <c r="B815" s="1" t="s">
        <v>4743</v>
      </c>
      <c r="C815" s="1" t="s">
        <v>4743</v>
      </c>
      <c r="D815" s="1" t="str">
        <f ca="1">IFERROR(__xludf.DUMMYFUNCTION("iferror(SPLIT(C815,""=""))"),"")</f>
        <v/>
      </c>
      <c r="F815" s="1" t="e">
        <f t="shared" ca="1" si="3"/>
        <v>#NAME?</v>
      </c>
    </row>
    <row r="816" spans="2:6" ht="12.75">
      <c r="B816" s="1" t="s">
        <v>4743</v>
      </c>
      <c r="C816" s="1" t="s">
        <v>4743</v>
      </c>
      <c r="D816" s="1" t="str">
        <f ca="1">IFERROR(__xludf.DUMMYFUNCTION("iferror(SPLIT(C816,""=""))"),"")</f>
        <v/>
      </c>
      <c r="F816" s="1" t="e">
        <f t="shared" ca="1" si="3"/>
        <v>#NAME?</v>
      </c>
    </row>
    <row r="817" spans="2:6" ht="12.75">
      <c r="B817" s="1" t="s">
        <v>4743</v>
      </c>
      <c r="C817" s="1" t="s">
        <v>4743</v>
      </c>
      <c r="D817" s="1" t="str">
        <f ca="1">IFERROR(__xludf.DUMMYFUNCTION("iferror(SPLIT(C817,""=""))"),"")</f>
        <v/>
      </c>
      <c r="F817" s="1" t="e">
        <f t="shared" ca="1" si="3"/>
        <v>#NAME?</v>
      </c>
    </row>
    <row r="818" spans="2:6" ht="12.75">
      <c r="B818" s="1" t="s">
        <v>4743</v>
      </c>
      <c r="C818" s="1" t="s">
        <v>4743</v>
      </c>
      <c r="D818" s="1" t="str">
        <f ca="1">IFERROR(__xludf.DUMMYFUNCTION("iferror(SPLIT(C818,""=""))"),"")</f>
        <v/>
      </c>
      <c r="F818" s="1" t="e">
        <f t="shared" ca="1" si="3"/>
        <v>#NAME?</v>
      </c>
    </row>
    <row r="819" spans="2:6" ht="12.75">
      <c r="B819" s="1" t="s">
        <v>4743</v>
      </c>
      <c r="C819" s="1" t="s">
        <v>4743</v>
      </c>
      <c r="D819" s="1" t="str">
        <f ca="1">IFERROR(__xludf.DUMMYFUNCTION("iferror(SPLIT(C819,""=""))"),"")</f>
        <v/>
      </c>
      <c r="F819" s="1" t="e">
        <f t="shared" ca="1" si="3"/>
        <v>#NAME?</v>
      </c>
    </row>
    <row r="820" spans="2:6" ht="12.75">
      <c r="B820" s="1" t="s">
        <v>4743</v>
      </c>
      <c r="C820" s="1" t="s">
        <v>4743</v>
      </c>
      <c r="D820" s="1" t="str">
        <f ca="1">IFERROR(__xludf.DUMMYFUNCTION("iferror(SPLIT(C820,""=""))"),"")</f>
        <v/>
      </c>
      <c r="F820" s="1" t="e">
        <f t="shared" ca="1" si="3"/>
        <v>#NAME?</v>
      </c>
    </row>
    <row r="821" spans="2:6" ht="12.75">
      <c r="B821" s="1" t="s">
        <v>4743</v>
      </c>
      <c r="C821" s="1" t="s">
        <v>4743</v>
      </c>
      <c r="D821" s="1" t="str">
        <f ca="1">IFERROR(__xludf.DUMMYFUNCTION("iferror(SPLIT(C821,""=""))"),"")</f>
        <v/>
      </c>
      <c r="F821" s="1" t="e">
        <f t="shared" ca="1" si="3"/>
        <v>#NAME?</v>
      </c>
    </row>
    <row r="822" spans="2:6" ht="12.75">
      <c r="B822" s="1" t="s">
        <v>4743</v>
      </c>
      <c r="C822" s="1" t="s">
        <v>4743</v>
      </c>
      <c r="D822" s="1" t="str">
        <f ca="1">IFERROR(__xludf.DUMMYFUNCTION("iferror(SPLIT(C822,""=""))"),"")</f>
        <v/>
      </c>
      <c r="F822" s="1" t="e">
        <f t="shared" ca="1" si="3"/>
        <v>#NAME?</v>
      </c>
    </row>
    <row r="823" spans="2:6" ht="12.75">
      <c r="B823" s="1" t="s">
        <v>4743</v>
      </c>
      <c r="C823" s="1" t="s">
        <v>4743</v>
      </c>
      <c r="D823" s="1" t="str">
        <f ca="1">IFERROR(__xludf.DUMMYFUNCTION("iferror(SPLIT(C823,""=""))"),"")</f>
        <v/>
      </c>
      <c r="F823" s="1" t="e">
        <f t="shared" ca="1" si="3"/>
        <v>#NAME?</v>
      </c>
    </row>
    <row r="824" spans="2:6" ht="12.75">
      <c r="B824" s="1" t="s">
        <v>4743</v>
      </c>
      <c r="C824" s="1" t="s">
        <v>4743</v>
      </c>
      <c r="D824" s="1" t="str">
        <f ca="1">IFERROR(__xludf.DUMMYFUNCTION("iferror(SPLIT(C824,""=""))"),"")</f>
        <v/>
      </c>
      <c r="F824" s="1" t="e">
        <f t="shared" ca="1" si="3"/>
        <v>#NAME?</v>
      </c>
    </row>
    <row r="825" spans="2:6" ht="12.75">
      <c r="B825" s="1" t="s">
        <v>4743</v>
      </c>
      <c r="C825" s="1" t="s">
        <v>4743</v>
      </c>
      <c r="D825" s="1" t="str">
        <f ca="1">IFERROR(__xludf.DUMMYFUNCTION("iferror(SPLIT(C825,""=""))"),"")</f>
        <v/>
      </c>
      <c r="F825" s="1" t="e">
        <f t="shared" ca="1" si="3"/>
        <v>#NAME?</v>
      </c>
    </row>
    <row r="826" spans="2:6" ht="12.75">
      <c r="B826" s="1" t="s">
        <v>4743</v>
      </c>
      <c r="C826" s="1" t="s">
        <v>4743</v>
      </c>
      <c r="D826" s="1" t="str">
        <f ca="1">IFERROR(__xludf.DUMMYFUNCTION("iferror(SPLIT(C826,""=""))"),"")</f>
        <v/>
      </c>
      <c r="F826" s="1" t="e">
        <f t="shared" ca="1" si="3"/>
        <v>#NAME?</v>
      </c>
    </row>
    <row r="827" spans="2:6" ht="12.75">
      <c r="B827" s="1" t="s">
        <v>4743</v>
      </c>
      <c r="C827" s="1" t="s">
        <v>4743</v>
      </c>
      <c r="D827" s="1" t="str">
        <f ca="1">IFERROR(__xludf.DUMMYFUNCTION("iferror(SPLIT(C827,""=""))"),"")</f>
        <v/>
      </c>
      <c r="F827" s="1" t="e">
        <f t="shared" ca="1" si="3"/>
        <v>#NAME?</v>
      </c>
    </row>
    <row r="828" spans="2:6" ht="12.75">
      <c r="B828" s="1" t="s">
        <v>4743</v>
      </c>
      <c r="C828" s="1" t="s">
        <v>4743</v>
      </c>
      <c r="D828" s="1" t="str">
        <f ca="1">IFERROR(__xludf.DUMMYFUNCTION("iferror(SPLIT(C828,""=""))"),"")</f>
        <v/>
      </c>
      <c r="F828" s="1" t="e">
        <f t="shared" ca="1" si="3"/>
        <v>#NAME?</v>
      </c>
    </row>
    <row r="829" spans="2:6" ht="12.75">
      <c r="B829" s="1" t="s">
        <v>4743</v>
      </c>
      <c r="C829" s="1" t="s">
        <v>4743</v>
      </c>
      <c r="D829" s="1" t="str">
        <f ca="1">IFERROR(__xludf.DUMMYFUNCTION("iferror(SPLIT(C829,""=""))"),"")</f>
        <v/>
      </c>
      <c r="F829" s="1" t="e">
        <f t="shared" ca="1" si="3"/>
        <v>#NAME?</v>
      </c>
    </row>
    <row r="830" spans="2:6" ht="12.75">
      <c r="B830" s="1" t="s">
        <v>4743</v>
      </c>
      <c r="C830" s="1" t="s">
        <v>4743</v>
      </c>
      <c r="D830" s="1" t="str">
        <f ca="1">IFERROR(__xludf.DUMMYFUNCTION("iferror(SPLIT(C830,""=""))"),"")</f>
        <v/>
      </c>
      <c r="F830" s="1" t="e">
        <f t="shared" ca="1" si="3"/>
        <v>#NAME?</v>
      </c>
    </row>
    <row r="831" spans="2:6" ht="12.75">
      <c r="B831" s="1" t="s">
        <v>4743</v>
      </c>
      <c r="C831" s="1" t="s">
        <v>4743</v>
      </c>
      <c r="D831" s="1" t="str">
        <f ca="1">IFERROR(__xludf.DUMMYFUNCTION("iferror(SPLIT(C831,""=""))"),"")</f>
        <v/>
      </c>
      <c r="F831" s="1" t="e">
        <f t="shared" ca="1" si="3"/>
        <v>#NAME?</v>
      </c>
    </row>
    <row r="832" spans="2:6" ht="12.75">
      <c r="B832" s="1" t="s">
        <v>4743</v>
      </c>
      <c r="C832" s="1" t="s">
        <v>4743</v>
      </c>
      <c r="D832" s="1" t="str">
        <f ca="1">IFERROR(__xludf.DUMMYFUNCTION("iferror(SPLIT(C832,""=""))"),"")</f>
        <v/>
      </c>
      <c r="F832" s="1" t="e">
        <f t="shared" ca="1" si="3"/>
        <v>#NAME?</v>
      </c>
    </row>
    <row r="833" spans="2:6" ht="12.75">
      <c r="B833" s="1" t="s">
        <v>4743</v>
      </c>
      <c r="C833" s="1" t="s">
        <v>4743</v>
      </c>
      <c r="D833" s="1" t="str">
        <f ca="1">IFERROR(__xludf.DUMMYFUNCTION("iferror(SPLIT(C833,""=""))"),"")</f>
        <v/>
      </c>
      <c r="F833" s="1" t="e">
        <f t="shared" ca="1" si="3"/>
        <v>#NAME?</v>
      </c>
    </row>
    <row r="834" spans="2:6" ht="12.75">
      <c r="B834" s="1" t="s">
        <v>4743</v>
      </c>
      <c r="C834" s="1" t="s">
        <v>4743</v>
      </c>
      <c r="D834" s="1" t="str">
        <f ca="1">IFERROR(__xludf.DUMMYFUNCTION("iferror(SPLIT(C834,""=""))"),"")</f>
        <v/>
      </c>
      <c r="F834" s="1" t="e">
        <f t="shared" ca="1" si="3"/>
        <v>#NAME?</v>
      </c>
    </row>
    <row r="835" spans="2:6" ht="12.75">
      <c r="B835" s="1" t="s">
        <v>4743</v>
      </c>
      <c r="C835" s="1" t="s">
        <v>4743</v>
      </c>
      <c r="D835" s="1" t="str">
        <f ca="1">IFERROR(__xludf.DUMMYFUNCTION("iferror(SPLIT(C835,""=""))"),"")</f>
        <v/>
      </c>
      <c r="F835" s="1" t="e">
        <f t="shared" ca="1" si="3"/>
        <v>#NAME?</v>
      </c>
    </row>
    <row r="836" spans="2:6" ht="12.75">
      <c r="B836" s="1" t="s">
        <v>4743</v>
      </c>
      <c r="C836" s="1" t="s">
        <v>4743</v>
      </c>
      <c r="D836" s="1" t="str">
        <f ca="1">IFERROR(__xludf.DUMMYFUNCTION("iferror(SPLIT(C836,""=""))"),"")</f>
        <v/>
      </c>
      <c r="F836" s="1" t="e">
        <f t="shared" ca="1" si="3"/>
        <v>#NAME?</v>
      </c>
    </row>
    <row r="837" spans="2:6" ht="12.75">
      <c r="B837" s="1" t="s">
        <v>4743</v>
      </c>
      <c r="C837" s="1" t="s">
        <v>4743</v>
      </c>
      <c r="D837" s="1" t="str">
        <f ca="1">IFERROR(__xludf.DUMMYFUNCTION("iferror(SPLIT(C837,""=""))"),"")</f>
        <v/>
      </c>
      <c r="F837" s="1" t="e">
        <f t="shared" ca="1" si="3"/>
        <v>#NAME?</v>
      </c>
    </row>
    <row r="838" spans="2:6" ht="12.75">
      <c r="B838" s="1" t="s">
        <v>4743</v>
      </c>
      <c r="C838" s="1" t="s">
        <v>4743</v>
      </c>
      <c r="D838" s="1" t="str">
        <f ca="1">IFERROR(__xludf.DUMMYFUNCTION("iferror(SPLIT(C838,""=""))"),"")</f>
        <v/>
      </c>
      <c r="F838" s="1" t="e">
        <f t="shared" ca="1" si="3"/>
        <v>#NAME?</v>
      </c>
    </row>
    <row r="839" spans="2:6" ht="12.75">
      <c r="B839" s="1" t="s">
        <v>4743</v>
      </c>
      <c r="C839" s="1" t="s">
        <v>4743</v>
      </c>
      <c r="D839" s="1" t="str">
        <f ca="1">IFERROR(__xludf.DUMMYFUNCTION("iferror(SPLIT(C839,""=""))"),"")</f>
        <v/>
      </c>
      <c r="F839" s="1" t="e">
        <f t="shared" ca="1" si="3"/>
        <v>#NAME?</v>
      </c>
    </row>
    <row r="840" spans="2:6" ht="12.75">
      <c r="B840" s="1" t="s">
        <v>4743</v>
      </c>
      <c r="C840" s="1" t="s">
        <v>4743</v>
      </c>
      <c r="D840" s="1" t="str">
        <f ca="1">IFERROR(__xludf.DUMMYFUNCTION("iferror(SPLIT(C840,""=""))"),"")</f>
        <v/>
      </c>
      <c r="F840" s="1" t="e">
        <f t="shared" ca="1" si="3"/>
        <v>#NAME?</v>
      </c>
    </row>
    <row r="841" spans="2:6" ht="12.75">
      <c r="B841" s="1" t="s">
        <v>4743</v>
      </c>
      <c r="C841" s="1" t="s">
        <v>4743</v>
      </c>
      <c r="D841" s="1" t="str">
        <f ca="1">IFERROR(__xludf.DUMMYFUNCTION("iferror(SPLIT(C841,""=""))"),"")</f>
        <v/>
      </c>
      <c r="F841" s="1" t="e">
        <f t="shared" ca="1" si="3"/>
        <v>#NAME?</v>
      </c>
    </row>
    <row r="842" spans="2:6" ht="12.75">
      <c r="B842" s="1" t="s">
        <v>4743</v>
      </c>
      <c r="C842" s="1" t="s">
        <v>4743</v>
      </c>
      <c r="D842" s="1" t="str">
        <f ca="1">IFERROR(__xludf.DUMMYFUNCTION("iferror(SPLIT(C842,""=""))"),"")</f>
        <v/>
      </c>
      <c r="F842" s="1" t="e">
        <f t="shared" ca="1" si="3"/>
        <v>#NAME?</v>
      </c>
    </row>
    <row r="843" spans="2:6" ht="12.75">
      <c r="B843" s="1" t="s">
        <v>4743</v>
      </c>
      <c r="C843" s="1" t="s">
        <v>4743</v>
      </c>
      <c r="D843" s="1" t="str">
        <f ca="1">IFERROR(__xludf.DUMMYFUNCTION("iferror(SPLIT(C843,""=""))"),"")</f>
        <v/>
      </c>
      <c r="F843" s="1" t="e">
        <f t="shared" ca="1" si="3"/>
        <v>#NAME?</v>
      </c>
    </row>
    <row r="844" spans="2:6" ht="12.75">
      <c r="B844" s="1" t="s">
        <v>4743</v>
      </c>
      <c r="C844" s="1" t="s">
        <v>4743</v>
      </c>
      <c r="D844" s="1" t="str">
        <f ca="1">IFERROR(__xludf.DUMMYFUNCTION("iferror(SPLIT(C844,""=""))"),"")</f>
        <v/>
      </c>
      <c r="F844" s="1" t="e">
        <f t="shared" ca="1" si="3"/>
        <v>#NAME?</v>
      </c>
    </row>
    <row r="845" spans="2:6" ht="12.75">
      <c r="B845" s="1" t="s">
        <v>4743</v>
      </c>
      <c r="C845" s="1" t="s">
        <v>4743</v>
      </c>
      <c r="D845" s="1" t="str">
        <f ca="1">IFERROR(__xludf.DUMMYFUNCTION("iferror(SPLIT(C845,""=""))"),"")</f>
        <v/>
      </c>
      <c r="F845" s="1" t="e">
        <f t="shared" ca="1" si="3"/>
        <v>#NAME?</v>
      </c>
    </row>
    <row r="846" spans="2:6" ht="12.75">
      <c r="B846" s="1" t="s">
        <v>4743</v>
      </c>
      <c r="C846" s="1" t="s">
        <v>4743</v>
      </c>
      <c r="D846" s="1" t="str">
        <f ca="1">IFERROR(__xludf.DUMMYFUNCTION("iferror(SPLIT(C846,""=""))"),"")</f>
        <v/>
      </c>
      <c r="F846" s="1" t="e">
        <f t="shared" ca="1" si="3"/>
        <v>#NAME?</v>
      </c>
    </row>
    <row r="847" spans="2:6" ht="12.75">
      <c r="B847" s="1" t="s">
        <v>4743</v>
      </c>
      <c r="C847" s="1" t="s">
        <v>4743</v>
      </c>
      <c r="D847" s="1" t="str">
        <f ca="1">IFERROR(__xludf.DUMMYFUNCTION("iferror(SPLIT(C847,""=""))"),"")</f>
        <v/>
      </c>
      <c r="F847" s="1" t="e">
        <f t="shared" ca="1" si="3"/>
        <v>#NAME?</v>
      </c>
    </row>
    <row r="848" spans="2:6" ht="12.75">
      <c r="B848" s="1" t="s">
        <v>4743</v>
      </c>
      <c r="C848" s="1" t="s">
        <v>4743</v>
      </c>
      <c r="D848" s="1" t="str">
        <f ca="1">IFERROR(__xludf.DUMMYFUNCTION("iferror(SPLIT(C848,""=""))"),"")</f>
        <v/>
      </c>
      <c r="F848" s="1" t="e">
        <f t="shared" ca="1" si="3"/>
        <v>#NAME?</v>
      </c>
    </row>
    <row r="849" spans="2:6" ht="12.75">
      <c r="B849" s="1" t="s">
        <v>4743</v>
      </c>
      <c r="C849" s="1" t="s">
        <v>4743</v>
      </c>
      <c r="D849" s="1" t="str">
        <f ca="1">IFERROR(__xludf.DUMMYFUNCTION("iferror(SPLIT(C849,""=""))"),"")</f>
        <v/>
      </c>
      <c r="F849" s="1" t="e">
        <f t="shared" ca="1" si="3"/>
        <v>#NAME?</v>
      </c>
    </row>
    <row r="850" spans="2:6" ht="12.75">
      <c r="B850" s="1" t="s">
        <v>4743</v>
      </c>
      <c r="C850" s="1" t="s">
        <v>4743</v>
      </c>
      <c r="D850" s="1" t="str">
        <f ca="1">IFERROR(__xludf.DUMMYFUNCTION("iferror(SPLIT(C850,""=""))"),"")</f>
        <v/>
      </c>
      <c r="F850" s="1" t="e">
        <f t="shared" ca="1" si="3"/>
        <v>#NAME?</v>
      </c>
    </row>
    <row r="851" spans="2:6" ht="12.75">
      <c r="B851" s="1" t="s">
        <v>4743</v>
      </c>
      <c r="C851" s="1" t="s">
        <v>4743</v>
      </c>
      <c r="D851" s="1" t="str">
        <f ca="1">IFERROR(__xludf.DUMMYFUNCTION("iferror(SPLIT(C851,""=""))"),"")</f>
        <v/>
      </c>
      <c r="F851" s="1" t="e">
        <f t="shared" ca="1" si="3"/>
        <v>#NAME?</v>
      </c>
    </row>
    <row r="852" spans="2:6" ht="12.75">
      <c r="B852" s="1" t="s">
        <v>4743</v>
      </c>
      <c r="C852" s="1" t="s">
        <v>4743</v>
      </c>
      <c r="D852" s="1" t="str">
        <f ca="1">IFERROR(__xludf.DUMMYFUNCTION("iferror(SPLIT(C852,""=""))"),"")</f>
        <v/>
      </c>
      <c r="F852" s="1" t="e">
        <f t="shared" ca="1" si="3"/>
        <v>#NAME?</v>
      </c>
    </row>
    <row r="853" spans="2:6" ht="12.75">
      <c r="B853" s="1" t="s">
        <v>4743</v>
      </c>
      <c r="C853" s="1" t="s">
        <v>4743</v>
      </c>
      <c r="D853" s="1" t="str">
        <f ca="1">IFERROR(__xludf.DUMMYFUNCTION("iferror(SPLIT(C853,""=""))"),"")</f>
        <v/>
      </c>
      <c r="F853" s="1" t="e">
        <f t="shared" ca="1" si="3"/>
        <v>#NAME?</v>
      </c>
    </row>
    <row r="854" spans="2:6" ht="12.75">
      <c r="B854" s="1" t="s">
        <v>4743</v>
      </c>
      <c r="C854" s="1" t="s">
        <v>4743</v>
      </c>
      <c r="D854" s="1" t="str">
        <f ca="1">IFERROR(__xludf.DUMMYFUNCTION("iferror(SPLIT(C854,""=""))"),"")</f>
        <v/>
      </c>
      <c r="F854" s="1" t="e">
        <f t="shared" ca="1" si="3"/>
        <v>#NAME?</v>
      </c>
    </row>
    <row r="855" spans="2:6" ht="12.75">
      <c r="B855" s="1" t="s">
        <v>4743</v>
      </c>
      <c r="C855" s="1" t="s">
        <v>4743</v>
      </c>
      <c r="D855" s="1" t="str">
        <f ca="1">IFERROR(__xludf.DUMMYFUNCTION("iferror(SPLIT(C855,""=""))"),"")</f>
        <v/>
      </c>
      <c r="F855" s="1" t="e">
        <f t="shared" ca="1" si="3"/>
        <v>#NAME?</v>
      </c>
    </row>
    <row r="856" spans="2:6" ht="12.75">
      <c r="B856" s="1" t="s">
        <v>4743</v>
      </c>
      <c r="C856" s="1" t="s">
        <v>4743</v>
      </c>
      <c r="D856" s="1" t="str">
        <f ca="1">IFERROR(__xludf.DUMMYFUNCTION("iferror(SPLIT(C856,""=""))"),"")</f>
        <v/>
      </c>
      <c r="F856" s="1" t="e">
        <f t="shared" ca="1" si="3"/>
        <v>#NAME?</v>
      </c>
    </row>
    <row r="857" spans="2:6" ht="12.75">
      <c r="B857" s="1" t="s">
        <v>4743</v>
      </c>
      <c r="C857" s="1" t="s">
        <v>4743</v>
      </c>
      <c r="D857" s="1" t="str">
        <f ca="1">IFERROR(__xludf.DUMMYFUNCTION("iferror(SPLIT(C857,""=""))"),"")</f>
        <v/>
      </c>
      <c r="F857" s="1" t="e">
        <f t="shared" ca="1" si="3"/>
        <v>#NAME?</v>
      </c>
    </row>
    <row r="858" spans="2:6" ht="12.75">
      <c r="B858" s="1" t="s">
        <v>4743</v>
      </c>
      <c r="C858" s="1" t="s">
        <v>4743</v>
      </c>
      <c r="D858" s="1" t="str">
        <f ca="1">IFERROR(__xludf.DUMMYFUNCTION("iferror(SPLIT(C858,""=""))"),"")</f>
        <v/>
      </c>
      <c r="F858" s="1" t="e">
        <f t="shared" ca="1" si="3"/>
        <v>#NAME?</v>
      </c>
    </row>
    <row r="859" spans="2:6" ht="12.75">
      <c r="B859" s="1" t="s">
        <v>4743</v>
      </c>
      <c r="C859" s="1" t="s">
        <v>4743</v>
      </c>
      <c r="D859" s="1" t="str">
        <f ca="1">IFERROR(__xludf.DUMMYFUNCTION("iferror(SPLIT(C859,""=""))"),"")</f>
        <v/>
      </c>
      <c r="F859" s="1" t="e">
        <f t="shared" ca="1" si="3"/>
        <v>#NAME?</v>
      </c>
    </row>
    <row r="860" spans="2:6" ht="12.75">
      <c r="B860" s="1" t="s">
        <v>4743</v>
      </c>
      <c r="C860" s="1" t="s">
        <v>4743</v>
      </c>
      <c r="D860" s="1" t="str">
        <f ca="1">IFERROR(__xludf.DUMMYFUNCTION("iferror(SPLIT(C860,""=""))"),"")</f>
        <v/>
      </c>
      <c r="F860" s="1" t="e">
        <f t="shared" ca="1" si="3"/>
        <v>#NAME?</v>
      </c>
    </row>
    <row r="861" spans="2:6" ht="12.75">
      <c r="B861" s="1" t="s">
        <v>4743</v>
      </c>
      <c r="C861" s="1" t="s">
        <v>4743</v>
      </c>
      <c r="D861" s="1" t="str">
        <f ca="1">IFERROR(__xludf.DUMMYFUNCTION("iferror(SPLIT(C861,""=""))"),"")</f>
        <v/>
      </c>
      <c r="F861" s="1" t="e">
        <f t="shared" ca="1" si="3"/>
        <v>#NAME?</v>
      </c>
    </row>
    <row r="862" spans="2:6" ht="12.75">
      <c r="B862" s="1" t="s">
        <v>4743</v>
      </c>
      <c r="C862" s="1" t="s">
        <v>4743</v>
      </c>
      <c r="D862" s="1" t="str">
        <f ca="1">IFERROR(__xludf.DUMMYFUNCTION("iferror(SPLIT(C862,""=""))"),"")</f>
        <v/>
      </c>
      <c r="F862" s="1" t="e">
        <f t="shared" ca="1" si="3"/>
        <v>#NAME?</v>
      </c>
    </row>
    <row r="863" spans="2:6" ht="12.75">
      <c r="B863" s="1" t="s">
        <v>4743</v>
      </c>
      <c r="C863" s="1" t="s">
        <v>4743</v>
      </c>
      <c r="D863" s="1" t="str">
        <f ca="1">IFERROR(__xludf.DUMMYFUNCTION("iferror(SPLIT(C863,""=""))"),"")</f>
        <v/>
      </c>
      <c r="F863" s="1" t="e">
        <f t="shared" ca="1" si="3"/>
        <v>#NAME?</v>
      </c>
    </row>
    <row r="864" spans="2:6" ht="12.75">
      <c r="B864" s="1" t="s">
        <v>4743</v>
      </c>
      <c r="C864" s="1" t="s">
        <v>4743</v>
      </c>
      <c r="D864" s="1" t="str">
        <f ca="1">IFERROR(__xludf.DUMMYFUNCTION("iferror(SPLIT(C864,""=""))"),"")</f>
        <v/>
      </c>
      <c r="F864" s="1" t="e">
        <f t="shared" ca="1" si="3"/>
        <v>#NAME?</v>
      </c>
    </row>
    <row r="865" spans="2:6" ht="12.75">
      <c r="B865" s="1" t="s">
        <v>4743</v>
      </c>
      <c r="C865" s="1" t="s">
        <v>4743</v>
      </c>
      <c r="D865" s="1" t="str">
        <f ca="1">IFERROR(__xludf.DUMMYFUNCTION("iferror(SPLIT(C865,""=""))"),"")</f>
        <v/>
      </c>
      <c r="F865" s="1" t="e">
        <f t="shared" ca="1" si="3"/>
        <v>#NAME?</v>
      </c>
    </row>
    <row r="866" spans="2:6" ht="12.75">
      <c r="B866" s="1" t="s">
        <v>4743</v>
      </c>
      <c r="C866" s="1" t="s">
        <v>4743</v>
      </c>
      <c r="D866" s="1" t="str">
        <f ca="1">IFERROR(__xludf.DUMMYFUNCTION("iferror(SPLIT(C866,""=""))"),"")</f>
        <v/>
      </c>
      <c r="F866" s="1" t="e">
        <f t="shared" ca="1" si="3"/>
        <v>#NAME?</v>
      </c>
    </row>
    <row r="867" spans="2:6" ht="12.75">
      <c r="B867" s="1" t="s">
        <v>4743</v>
      </c>
      <c r="C867" s="1" t="s">
        <v>4743</v>
      </c>
      <c r="D867" s="1" t="str">
        <f ca="1">IFERROR(__xludf.DUMMYFUNCTION("iferror(SPLIT(C867,""=""))"),"")</f>
        <v/>
      </c>
      <c r="F867" s="1" t="e">
        <f t="shared" ca="1" si="3"/>
        <v>#NAME?</v>
      </c>
    </row>
    <row r="868" spans="2:6" ht="12.75">
      <c r="B868" s="1" t="s">
        <v>4743</v>
      </c>
      <c r="C868" s="1" t="s">
        <v>4743</v>
      </c>
      <c r="D868" s="1" t="str">
        <f ca="1">IFERROR(__xludf.DUMMYFUNCTION("iferror(SPLIT(C868,""=""))"),"")</f>
        <v/>
      </c>
      <c r="F868" s="1" t="e">
        <f t="shared" ca="1" si="3"/>
        <v>#NAME?</v>
      </c>
    </row>
    <row r="869" spans="2:6" ht="12.75">
      <c r="B869" s="1" t="s">
        <v>4743</v>
      </c>
      <c r="C869" s="1" t="s">
        <v>4743</v>
      </c>
      <c r="D869" s="1" t="str">
        <f ca="1">IFERROR(__xludf.DUMMYFUNCTION("iferror(SPLIT(C869,""=""))"),"")</f>
        <v/>
      </c>
      <c r="F869" s="1" t="e">
        <f t="shared" ca="1" si="3"/>
        <v>#NAME?</v>
      </c>
    </row>
    <row r="870" spans="2:6" ht="12.75">
      <c r="B870" s="1" t="s">
        <v>4743</v>
      </c>
      <c r="C870" s="1" t="s">
        <v>4743</v>
      </c>
      <c r="D870" s="1" t="str">
        <f ca="1">IFERROR(__xludf.DUMMYFUNCTION("iferror(SPLIT(C870,""=""))"),"")</f>
        <v/>
      </c>
      <c r="F870" s="1" t="e">
        <f t="shared" ca="1" si="3"/>
        <v>#NAME?</v>
      </c>
    </row>
    <row r="871" spans="2:6" ht="12.75">
      <c r="B871" s="1" t="s">
        <v>4743</v>
      </c>
      <c r="C871" s="1" t="s">
        <v>4743</v>
      </c>
      <c r="D871" s="1" t="str">
        <f ca="1">IFERROR(__xludf.DUMMYFUNCTION("iferror(SPLIT(C871,""=""))"),"")</f>
        <v/>
      </c>
      <c r="F871" s="1" t="e">
        <f t="shared" ca="1" si="3"/>
        <v>#NAME?</v>
      </c>
    </row>
    <row r="872" spans="2:6" ht="12.75">
      <c r="B872" s="1" t="s">
        <v>4743</v>
      </c>
      <c r="C872" s="1" t="s">
        <v>4743</v>
      </c>
      <c r="D872" s="1" t="str">
        <f ca="1">IFERROR(__xludf.DUMMYFUNCTION("iferror(SPLIT(C872,""=""))"),"")</f>
        <v/>
      </c>
      <c r="F872" s="1" t="e">
        <f t="shared" ca="1" si="3"/>
        <v>#NAME?</v>
      </c>
    </row>
    <row r="873" spans="2:6" ht="12.75">
      <c r="B873" s="1" t="s">
        <v>4743</v>
      </c>
      <c r="C873" s="1" t="s">
        <v>4743</v>
      </c>
      <c r="D873" s="1" t="str">
        <f ca="1">IFERROR(__xludf.DUMMYFUNCTION("iferror(SPLIT(C873,""=""))"),"")</f>
        <v/>
      </c>
      <c r="F873" s="1" t="e">
        <f t="shared" ca="1" si="3"/>
        <v>#NAME?</v>
      </c>
    </row>
    <row r="874" spans="2:6" ht="12.75">
      <c r="B874" s="1" t="s">
        <v>4743</v>
      </c>
      <c r="C874" s="1" t="s">
        <v>4743</v>
      </c>
      <c r="D874" s="1" t="str">
        <f ca="1">IFERROR(__xludf.DUMMYFUNCTION("iferror(SPLIT(C874,""=""))"),"")</f>
        <v/>
      </c>
      <c r="F874" s="1" t="e">
        <f t="shared" ca="1" si="3"/>
        <v>#NAME?</v>
      </c>
    </row>
    <row r="875" spans="2:6" ht="12.75">
      <c r="B875" s="1" t="s">
        <v>4743</v>
      </c>
      <c r="C875" s="1" t="s">
        <v>4743</v>
      </c>
      <c r="D875" s="1" t="str">
        <f ca="1">IFERROR(__xludf.DUMMYFUNCTION("iferror(SPLIT(C875,""=""))"),"")</f>
        <v/>
      </c>
      <c r="F875" s="1" t="e">
        <f t="shared" ca="1" si="3"/>
        <v>#NAME?</v>
      </c>
    </row>
    <row r="876" spans="2:6" ht="12.75">
      <c r="B876" s="1" t="s">
        <v>4743</v>
      </c>
      <c r="C876" s="1" t="s">
        <v>4743</v>
      </c>
      <c r="D876" s="1" t="str">
        <f ca="1">IFERROR(__xludf.DUMMYFUNCTION("iferror(SPLIT(C876,""=""))"),"")</f>
        <v/>
      </c>
      <c r="F876" s="1" t="e">
        <f t="shared" ca="1" si="3"/>
        <v>#NAME?</v>
      </c>
    </row>
    <row r="877" spans="2:6" ht="12.75">
      <c r="B877" s="1" t="s">
        <v>4743</v>
      </c>
      <c r="C877" s="1" t="s">
        <v>4743</v>
      </c>
      <c r="D877" s="1" t="str">
        <f ca="1">IFERROR(__xludf.DUMMYFUNCTION("iferror(SPLIT(C877,""=""))"),"")</f>
        <v/>
      </c>
      <c r="F877" s="1" t="e">
        <f t="shared" ca="1" si="3"/>
        <v>#NAME?</v>
      </c>
    </row>
    <row r="878" spans="2:6" ht="12.75">
      <c r="B878" s="1" t="s">
        <v>4743</v>
      </c>
      <c r="C878" s="1" t="s">
        <v>4743</v>
      </c>
      <c r="D878" s="1" t="str">
        <f ca="1">IFERROR(__xludf.DUMMYFUNCTION("iferror(SPLIT(C878,""=""))"),"")</f>
        <v/>
      </c>
      <c r="F878" s="1" t="e">
        <f t="shared" ca="1" si="3"/>
        <v>#NAME?</v>
      </c>
    </row>
    <row r="879" spans="2:6" ht="12.75">
      <c r="B879" s="1" t="s">
        <v>4743</v>
      </c>
      <c r="C879" s="1" t="s">
        <v>4743</v>
      </c>
      <c r="D879" s="1" t="str">
        <f ca="1">IFERROR(__xludf.DUMMYFUNCTION("iferror(SPLIT(C879,""=""))"),"")</f>
        <v/>
      </c>
      <c r="F879" s="1" t="e">
        <f t="shared" ca="1" si="3"/>
        <v>#NAME?</v>
      </c>
    </row>
    <row r="880" spans="2:6" ht="12.75">
      <c r="B880" s="1" t="s">
        <v>4743</v>
      </c>
      <c r="C880" s="1" t="s">
        <v>4743</v>
      </c>
      <c r="D880" s="1" t="str">
        <f ca="1">IFERROR(__xludf.DUMMYFUNCTION("iferror(SPLIT(C880,""=""))"),"")</f>
        <v/>
      </c>
      <c r="F880" s="1" t="e">
        <f t="shared" ca="1" si="3"/>
        <v>#NAME?</v>
      </c>
    </row>
    <row r="881" spans="2:6" ht="12.75">
      <c r="B881" s="1" t="s">
        <v>4743</v>
      </c>
      <c r="C881" s="1" t="s">
        <v>4743</v>
      </c>
      <c r="D881" s="1" t="str">
        <f ca="1">IFERROR(__xludf.DUMMYFUNCTION("iferror(SPLIT(C881,""=""))"),"")</f>
        <v/>
      </c>
      <c r="F881" s="1" t="e">
        <f t="shared" ca="1" si="3"/>
        <v>#NAME?</v>
      </c>
    </row>
    <row r="882" spans="2:6" ht="12.75">
      <c r="B882" s="1" t="s">
        <v>4743</v>
      </c>
      <c r="C882" s="1" t="s">
        <v>4743</v>
      </c>
      <c r="D882" s="1" t="str">
        <f ca="1">IFERROR(__xludf.DUMMYFUNCTION("iferror(SPLIT(C882,""=""))"),"")</f>
        <v/>
      </c>
      <c r="F882" s="1" t="e">
        <f t="shared" ca="1" si="3"/>
        <v>#NAME?</v>
      </c>
    </row>
    <row r="883" spans="2:6" ht="12.75">
      <c r="B883" s="1" t="s">
        <v>4743</v>
      </c>
      <c r="C883" s="1" t="s">
        <v>4743</v>
      </c>
      <c r="D883" s="1" t="str">
        <f ca="1">IFERROR(__xludf.DUMMYFUNCTION("iferror(SPLIT(C883,""=""))"),"")</f>
        <v/>
      </c>
      <c r="F883" s="1" t="e">
        <f t="shared" ca="1" si="3"/>
        <v>#NAME?</v>
      </c>
    </row>
    <row r="884" spans="2:6" ht="12.75">
      <c r="B884" s="1" t="s">
        <v>4743</v>
      </c>
      <c r="C884" s="1" t="s">
        <v>4743</v>
      </c>
      <c r="D884" s="1" t="str">
        <f ca="1">IFERROR(__xludf.DUMMYFUNCTION("iferror(SPLIT(C884,""=""))"),"")</f>
        <v/>
      </c>
      <c r="F884" s="1" t="e">
        <f t="shared" ca="1" si="3"/>
        <v>#NAME?</v>
      </c>
    </row>
    <row r="885" spans="2:6" ht="12.75">
      <c r="B885" s="1" t="s">
        <v>4743</v>
      </c>
      <c r="C885" s="1" t="s">
        <v>4743</v>
      </c>
      <c r="D885" s="1" t="str">
        <f ca="1">IFERROR(__xludf.DUMMYFUNCTION("iferror(SPLIT(C885,""=""))"),"")</f>
        <v/>
      </c>
      <c r="F885" s="1" t="e">
        <f t="shared" ca="1" si="3"/>
        <v>#NAME?</v>
      </c>
    </row>
    <row r="886" spans="2:6" ht="12.75">
      <c r="B886" s="1" t="s">
        <v>4743</v>
      </c>
      <c r="C886" s="1" t="s">
        <v>4743</v>
      </c>
      <c r="D886" s="1" t="str">
        <f ca="1">IFERROR(__xludf.DUMMYFUNCTION("iferror(SPLIT(C886,""=""))"),"")</f>
        <v/>
      </c>
      <c r="F886" s="1" t="e">
        <f t="shared" ca="1" si="3"/>
        <v>#NAME?</v>
      </c>
    </row>
    <row r="887" spans="2:6" ht="12.75">
      <c r="B887" s="1" t="s">
        <v>4743</v>
      </c>
      <c r="C887" s="1" t="s">
        <v>4743</v>
      </c>
      <c r="D887" s="1" t="str">
        <f ca="1">IFERROR(__xludf.DUMMYFUNCTION("iferror(SPLIT(C887,""=""))"),"")</f>
        <v/>
      </c>
      <c r="F887" s="1" t="e">
        <f t="shared" ca="1" si="3"/>
        <v>#NAME?</v>
      </c>
    </row>
    <row r="888" spans="2:6" ht="12.75">
      <c r="B888" s="1" t="s">
        <v>4743</v>
      </c>
      <c r="C888" s="1" t="s">
        <v>4743</v>
      </c>
      <c r="D888" s="1" t="str">
        <f ca="1">IFERROR(__xludf.DUMMYFUNCTION("iferror(SPLIT(C888,""=""))"),"")</f>
        <v/>
      </c>
      <c r="F888" s="1" t="e">
        <f t="shared" ca="1" si="3"/>
        <v>#NAME?</v>
      </c>
    </row>
    <row r="889" spans="2:6" ht="12.75">
      <c r="B889" s="1" t="s">
        <v>4743</v>
      </c>
      <c r="C889" s="1" t="s">
        <v>4743</v>
      </c>
      <c r="D889" s="1" t="str">
        <f ca="1">IFERROR(__xludf.DUMMYFUNCTION("iferror(SPLIT(C889,""=""))"),"")</f>
        <v/>
      </c>
      <c r="F889" s="1" t="e">
        <f t="shared" ca="1" si="3"/>
        <v>#NAME?</v>
      </c>
    </row>
    <row r="890" spans="2:6" ht="12.75">
      <c r="B890" s="1" t="s">
        <v>4743</v>
      </c>
      <c r="C890" s="1" t="s">
        <v>4743</v>
      </c>
      <c r="D890" s="1" t="str">
        <f ca="1">IFERROR(__xludf.DUMMYFUNCTION("iferror(SPLIT(C890,""=""))"),"")</f>
        <v/>
      </c>
      <c r="F890" s="1" t="e">
        <f t="shared" ca="1" si="3"/>
        <v>#NAME?</v>
      </c>
    </row>
    <row r="891" spans="2:6" ht="12.75">
      <c r="B891" s="1" t="s">
        <v>4743</v>
      </c>
      <c r="C891" s="1" t="s">
        <v>4743</v>
      </c>
      <c r="D891" s="1" t="str">
        <f ca="1">IFERROR(__xludf.DUMMYFUNCTION("iferror(SPLIT(C891,""=""))"),"")</f>
        <v/>
      </c>
      <c r="F891" s="1" t="e">
        <f t="shared" ca="1" si="3"/>
        <v>#NAME?</v>
      </c>
    </row>
    <row r="892" spans="2:6" ht="12.75">
      <c r="B892" s="1" t="s">
        <v>4743</v>
      </c>
      <c r="C892" s="1" t="s">
        <v>4743</v>
      </c>
      <c r="D892" s="1" t="str">
        <f ca="1">IFERROR(__xludf.DUMMYFUNCTION("iferror(SPLIT(C892,""=""))"),"")</f>
        <v/>
      </c>
      <c r="F892" s="1" t="e">
        <f t="shared" ca="1" si="3"/>
        <v>#NAME?</v>
      </c>
    </row>
    <row r="893" spans="2:6" ht="12.75">
      <c r="B893" s="1" t="s">
        <v>4743</v>
      </c>
      <c r="C893" s="1" t="s">
        <v>4743</v>
      </c>
      <c r="D893" s="1" t="str">
        <f ca="1">IFERROR(__xludf.DUMMYFUNCTION("iferror(SPLIT(C893,""=""))"),"")</f>
        <v/>
      </c>
      <c r="F893" s="1" t="e">
        <f t="shared" ca="1" si="3"/>
        <v>#NAME?</v>
      </c>
    </row>
    <row r="894" spans="2:6" ht="12.75">
      <c r="B894" s="1" t="s">
        <v>4743</v>
      </c>
      <c r="C894" s="1" t="s">
        <v>4743</v>
      </c>
      <c r="D894" s="1" t="str">
        <f ca="1">IFERROR(__xludf.DUMMYFUNCTION("iferror(SPLIT(C894,""=""))"),"")</f>
        <v/>
      </c>
      <c r="F894" s="1" t="e">
        <f t="shared" ca="1" si="3"/>
        <v>#NAME?</v>
      </c>
    </row>
    <row r="895" spans="2:6" ht="12.75">
      <c r="B895" s="1" t="s">
        <v>4743</v>
      </c>
      <c r="C895" s="1" t="s">
        <v>4743</v>
      </c>
      <c r="D895" s="1" t="str">
        <f ca="1">IFERROR(__xludf.DUMMYFUNCTION("iferror(SPLIT(C895,""=""))"),"")</f>
        <v/>
      </c>
      <c r="F895" s="1" t="e">
        <f t="shared" ca="1" si="3"/>
        <v>#NAME?</v>
      </c>
    </row>
    <row r="896" spans="2:6" ht="12.75">
      <c r="B896" s="1" t="s">
        <v>4743</v>
      </c>
      <c r="C896" s="1" t="s">
        <v>4743</v>
      </c>
      <c r="D896" s="1" t="str">
        <f ca="1">IFERROR(__xludf.DUMMYFUNCTION("iferror(SPLIT(C896,""=""))"),"")</f>
        <v/>
      </c>
      <c r="F896" s="1" t="e">
        <f t="shared" ca="1" si="3"/>
        <v>#NAME?</v>
      </c>
    </row>
    <row r="897" spans="2:6" ht="12.75">
      <c r="B897" s="1" t="s">
        <v>4743</v>
      </c>
      <c r="C897" s="1" t="s">
        <v>4743</v>
      </c>
      <c r="D897" s="1" t="str">
        <f ca="1">IFERROR(__xludf.DUMMYFUNCTION("iferror(SPLIT(C897,""=""))"),"")</f>
        <v/>
      </c>
      <c r="F897" s="1" t="e">
        <f t="shared" ca="1" si="3"/>
        <v>#NAME?</v>
      </c>
    </row>
    <row r="898" spans="2:6" ht="12.75">
      <c r="B898" s="1" t="s">
        <v>4743</v>
      </c>
      <c r="C898" s="1" t="s">
        <v>4743</v>
      </c>
      <c r="D898" s="1" t="str">
        <f ca="1">IFERROR(__xludf.DUMMYFUNCTION("iferror(SPLIT(C898,""=""))"),"")</f>
        <v/>
      </c>
      <c r="F898" s="1" t="e">
        <f t="shared" ca="1" si="3"/>
        <v>#NAME?</v>
      </c>
    </row>
    <row r="899" spans="2:6" ht="12.75">
      <c r="B899" s="1" t="s">
        <v>4743</v>
      </c>
      <c r="C899" s="1" t="s">
        <v>4743</v>
      </c>
      <c r="D899" s="1" t="str">
        <f ca="1">IFERROR(__xludf.DUMMYFUNCTION("iferror(SPLIT(C899,""=""))"),"")</f>
        <v/>
      </c>
      <c r="F899" s="1" t="e">
        <f t="shared" ca="1" si="3"/>
        <v>#NAME?</v>
      </c>
    </row>
    <row r="900" spans="2:6" ht="12.75">
      <c r="B900" s="1" t="s">
        <v>4743</v>
      </c>
      <c r="C900" s="1" t="s">
        <v>4743</v>
      </c>
      <c r="D900" s="1" t="str">
        <f ca="1">IFERROR(__xludf.DUMMYFUNCTION("iferror(SPLIT(C900,""=""))"),"")</f>
        <v/>
      </c>
      <c r="F900" s="1" t="e">
        <f t="shared" ca="1" si="3"/>
        <v>#NAME?</v>
      </c>
    </row>
    <row r="901" spans="2:6" ht="12.75">
      <c r="B901" s="1" t="s">
        <v>4743</v>
      </c>
      <c r="C901" s="1" t="s">
        <v>4743</v>
      </c>
      <c r="D901" s="1" t="str">
        <f ca="1">IFERROR(__xludf.DUMMYFUNCTION("iferror(SPLIT(C901,""=""))"),"")</f>
        <v/>
      </c>
      <c r="F901" s="1" t="e">
        <f t="shared" ca="1" si="3"/>
        <v>#NAME?</v>
      </c>
    </row>
    <row r="902" spans="2:6" ht="12.75">
      <c r="B902" s="1" t="s">
        <v>4743</v>
      </c>
      <c r="C902" s="1" t="s">
        <v>4743</v>
      </c>
      <c r="D902" s="1" t="str">
        <f ca="1">IFERROR(__xludf.DUMMYFUNCTION("iferror(SPLIT(C902,""=""))"),"")</f>
        <v/>
      </c>
      <c r="F902" s="1" t="e">
        <f t="shared" ca="1" si="3"/>
        <v>#NAME?</v>
      </c>
    </row>
    <row r="903" spans="2:6" ht="12.75">
      <c r="B903" s="1" t="s">
        <v>4743</v>
      </c>
      <c r="C903" s="1" t="s">
        <v>4743</v>
      </c>
      <c r="D903" s="1" t="str">
        <f ca="1">IFERROR(__xludf.DUMMYFUNCTION("iferror(SPLIT(C903,""=""))"),"")</f>
        <v/>
      </c>
      <c r="F903" s="1" t="e">
        <f t="shared" ca="1" si="3"/>
        <v>#NAME?</v>
      </c>
    </row>
    <row r="904" spans="2:6" ht="12.75">
      <c r="B904" s="1" t="s">
        <v>4743</v>
      </c>
      <c r="C904" s="1" t="s">
        <v>4743</v>
      </c>
      <c r="D904" s="1" t="str">
        <f ca="1">IFERROR(__xludf.DUMMYFUNCTION("iferror(SPLIT(C904,""=""))"),"")</f>
        <v/>
      </c>
      <c r="F904" s="1" t="e">
        <f t="shared" ca="1" si="3"/>
        <v>#NAME?</v>
      </c>
    </row>
    <row r="905" spans="2:6" ht="12.75">
      <c r="B905" s="1" t="s">
        <v>4743</v>
      </c>
      <c r="C905" s="1" t="s">
        <v>4743</v>
      </c>
      <c r="D905" s="1" t="str">
        <f ca="1">IFERROR(__xludf.DUMMYFUNCTION("iferror(SPLIT(C905,""=""))"),"")</f>
        <v/>
      </c>
      <c r="F905" s="1" t="e">
        <f t="shared" ca="1" si="3"/>
        <v>#NAME?</v>
      </c>
    </row>
    <row r="906" spans="2:6" ht="12.75">
      <c r="B906" s="1" t="s">
        <v>4743</v>
      </c>
      <c r="C906" s="1" t="s">
        <v>4743</v>
      </c>
      <c r="D906" s="1" t="str">
        <f ca="1">IFERROR(__xludf.DUMMYFUNCTION("iferror(SPLIT(C906,""=""))"),"")</f>
        <v/>
      </c>
      <c r="F906" s="1" t="e">
        <f t="shared" ca="1" si="3"/>
        <v>#NAME?</v>
      </c>
    </row>
    <row r="907" spans="2:6" ht="12.75">
      <c r="B907" s="1" t="s">
        <v>4743</v>
      </c>
      <c r="C907" s="1" t="s">
        <v>4743</v>
      </c>
      <c r="D907" s="1" t="str">
        <f ca="1">IFERROR(__xludf.DUMMYFUNCTION("iferror(SPLIT(C907,""=""))"),"")</f>
        <v/>
      </c>
      <c r="F907" s="1" t="e">
        <f t="shared" ca="1" si="3"/>
        <v>#NAME?</v>
      </c>
    </row>
    <row r="908" spans="2:6" ht="12.75">
      <c r="B908" s="1" t="s">
        <v>4743</v>
      </c>
      <c r="C908" s="1" t="s">
        <v>4743</v>
      </c>
      <c r="D908" s="1" t="str">
        <f ca="1">IFERROR(__xludf.DUMMYFUNCTION("iferror(SPLIT(C908,""=""))"),"")</f>
        <v/>
      </c>
      <c r="F908" s="1" t="e">
        <f t="shared" ca="1" si="3"/>
        <v>#NAME?</v>
      </c>
    </row>
    <row r="909" spans="2:6" ht="12.75">
      <c r="B909" s="1" t="s">
        <v>4743</v>
      </c>
      <c r="C909" s="1" t="s">
        <v>4743</v>
      </c>
      <c r="D909" s="1" t="str">
        <f ca="1">IFERROR(__xludf.DUMMYFUNCTION("iferror(SPLIT(C909,""=""))"),"")</f>
        <v/>
      </c>
      <c r="F909" s="1" t="e">
        <f t="shared" ca="1" si="3"/>
        <v>#NAME?</v>
      </c>
    </row>
    <row r="910" spans="2:6" ht="12.75">
      <c r="B910" s="1" t="s">
        <v>4743</v>
      </c>
      <c r="C910" s="1" t="s">
        <v>4743</v>
      </c>
      <c r="D910" s="1" t="str">
        <f ca="1">IFERROR(__xludf.DUMMYFUNCTION("iferror(SPLIT(C910,""=""))"),"")</f>
        <v/>
      </c>
      <c r="F910" s="1" t="e">
        <f t="shared" ca="1" si="3"/>
        <v>#NAME?</v>
      </c>
    </row>
    <row r="911" spans="2:6" ht="12.75">
      <c r="B911" s="1" t="s">
        <v>4743</v>
      </c>
      <c r="C911" s="1" t="s">
        <v>4743</v>
      </c>
      <c r="D911" s="1" t="str">
        <f ca="1">IFERROR(__xludf.DUMMYFUNCTION("iferror(SPLIT(C911,""=""))"),"")</f>
        <v/>
      </c>
      <c r="F911" s="1" t="e">
        <f t="shared" ca="1" si="3"/>
        <v>#NAME?</v>
      </c>
    </row>
    <row r="912" spans="2:6" ht="12.75">
      <c r="B912" s="1" t="s">
        <v>4743</v>
      </c>
      <c r="C912" s="1" t="s">
        <v>4743</v>
      </c>
      <c r="D912" s="1" t="str">
        <f ca="1">IFERROR(__xludf.DUMMYFUNCTION("iferror(SPLIT(C912,""=""))"),"")</f>
        <v/>
      </c>
      <c r="F912" s="1" t="e">
        <f t="shared" ca="1" si="3"/>
        <v>#NAME?</v>
      </c>
    </row>
    <row r="913" spans="2:6" ht="12.75">
      <c r="B913" s="1" t="s">
        <v>4743</v>
      </c>
      <c r="C913" s="1" t="s">
        <v>4743</v>
      </c>
      <c r="D913" s="1" t="str">
        <f ca="1">IFERROR(__xludf.DUMMYFUNCTION("iferror(SPLIT(C913,""=""))"),"")</f>
        <v/>
      </c>
      <c r="F913" s="1" t="e">
        <f t="shared" ca="1" si="3"/>
        <v>#NAME?</v>
      </c>
    </row>
    <row r="914" spans="2:6" ht="12.75">
      <c r="B914" s="1" t="s">
        <v>4743</v>
      </c>
      <c r="C914" s="1" t="s">
        <v>4743</v>
      </c>
      <c r="D914" s="1" t="str">
        <f ca="1">IFERROR(__xludf.DUMMYFUNCTION("iferror(SPLIT(C914,""=""))"),"")</f>
        <v/>
      </c>
      <c r="F914" s="1" t="e">
        <f t="shared" ca="1" si="3"/>
        <v>#NAME?</v>
      </c>
    </row>
    <row r="915" spans="2:6" ht="12.75">
      <c r="B915" s="1" t="s">
        <v>4743</v>
      </c>
      <c r="C915" s="1" t="s">
        <v>4743</v>
      </c>
      <c r="D915" s="1" t="str">
        <f ca="1">IFERROR(__xludf.DUMMYFUNCTION("iferror(SPLIT(C915,""=""))"),"")</f>
        <v/>
      </c>
      <c r="F915" s="1" t="e">
        <f t="shared" ca="1" si="3"/>
        <v>#NAME?</v>
      </c>
    </row>
    <row r="916" spans="2:6" ht="12.75">
      <c r="B916" s="1" t="s">
        <v>4743</v>
      </c>
      <c r="C916" s="1" t="s">
        <v>4743</v>
      </c>
      <c r="D916" s="1" t="str">
        <f ca="1">IFERROR(__xludf.DUMMYFUNCTION("iferror(SPLIT(C916,""=""))"),"")</f>
        <v/>
      </c>
      <c r="F916" s="1" t="e">
        <f t="shared" ca="1" si="3"/>
        <v>#NAME?</v>
      </c>
    </row>
    <row r="917" spans="2:6" ht="12.75">
      <c r="B917" s="1" t="s">
        <v>4743</v>
      </c>
      <c r="C917" s="1" t="s">
        <v>4743</v>
      </c>
      <c r="D917" s="1" t="str">
        <f ca="1">IFERROR(__xludf.DUMMYFUNCTION("iferror(SPLIT(C917,""=""))"),"")</f>
        <v/>
      </c>
      <c r="F917" s="1" t="e">
        <f t="shared" ca="1" si="3"/>
        <v>#NAME?</v>
      </c>
    </row>
    <row r="918" spans="2:6" ht="12.75">
      <c r="B918" s="1" t="s">
        <v>4743</v>
      </c>
      <c r="C918" s="1" t="s">
        <v>4743</v>
      </c>
      <c r="D918" s="1" t="str">
        <f ca="1">IFERROR(__xludf.DUMMYFUNCTION("iferror(SPLIT(C918,""=""))"),"")</f>
        <v/>
      </c>
      <c r="F918" s="1" t="e">
        <f t="shared" ca="1" si="3"/>
        <v>#NAME?</v>
      </c>
    </row>
    <row r="919" spans="2:6" ht="12.75">
      <c r="B919" s="1" t="s">
        <v>4743</v>
      </c>
      <c r="C919" s="1" t="s">
        <v>4743</v>
      </c>
      <c r="D919" s="1" t="str">
        <f ca="1">IFERROR(__xludf.DUMMYFUNCTION("iferror(SPLIT(C919,""=""))"),"")</f>
        <v/>
      </c>
      <c r="F919" s="1" t="e">
        <f t="shared" ca="1" si="3"/>
        <v>#NAME?</v>
      </c>
    </row>
    <row r="920" spans="2:6" ht="12.75">
      <c r="B920" s="1" t="s">
        <v>4743</v>
      </c>
      <c r="C920" s="1" t="s">
        <v>4743</v>
      </c>
      <c r="D920" s="1" t="str">
        <f ca="1">IFERROR(__xludf.DUMMYFUNCTION("iferror(SPLIT(C920,""=""))"),"")</f>
        <v/>
      </c>
      <c r="F920" s="1" t="e">
        <f t="shared" ca="1" si="3"/>
        <v>#NAME?</v>
      </c>
    </row>
    <row r="921" spans="2:6" ht="12.75">
      <c r="B921" s="1" t="s">
        <v>4743</v>
      </c>
      <c r="C921" s="1" t="s">
        <v>4743</v>
      </c>
      <c r="D921" s="1" t="str">
        <f ca="1">IFERROR(__xludf.DUMMYFUNCTION("iferror(SPLIT(C921,""=""))"),"")</f>
        <v/>
      </c>
      <c r="F921" s="1" t="e">
        <f t="shared" ca="1" si="3"/>
        <v>#NAME?</v>
      </c>
    </row>
    <row r="922" spans="2:6" ht="12.75">
      <c r="B922" s="1" t="s">
        <v>4743</v>
      </c>
      <c r="C922" s="1" t="s">
        <v>4743</v>
      </c>
      <c r="D922" s="1" t="str">
        <f ca="1">IFERROR(__xludf.DUMMYFUNCTION("iferror(SPLIT(C922,""=""))"),"")</f>
        <v/>
      </c>
      <c r="F922" s="1" t="e">
        <f t="shared" ca="1" si="3"/>
        <v>#NAME?</v>
      </c>
    </row>
    <row r="923" spans="2:6" ht="12.75">
      <c r="B923" s="1" t="s">
        <v>4743</v>
      </c>
      <c r="C923" s="1" t="s">
        <v>4743</v>
      </c>
      <c r="D923" s="1" t="str">
        <f ca="1">IFERROR(__xludf.DUMMYFUNCTION("iferror(SPLIT(C923,""=""))"),"")</f>
        <v/>
      </c>
      <c r="F923" s="1" t="e">
        <f t="shared" ca="1" si="3"/>
        <v>#NAME?</v>
      </c>
    </row>
    <row r="924" spans="2:6" ht="12.75">
      <c r="B924" s="1" t="s">
        <v>4743</v>
      </c>
      <c r="C924" s="1" t="s">
        <v>4743</v>
      </c>
      <c r="D924" s="1" t="str">
        <f ca="1">IFERROR(__xludf.DUMMYFUNCTION("iferror(SPLIT(C924,""=""))"),"")</f>
        <v/>
      </c>
      <c r="F924" s="1" t="e">
        <f t="shared" ca="1" si="3"/>
        <v>#NAME?</v>
      </c>
    </row>
    <row r="925" spans="2:6" ht="12.75">
      <c r="B925" s="1" t="s">
        <v>4743</v>
      </c>
      <c r="C925" s="1" t="s">
        <v>4743</v>
      </c>
      <c r="D925" s="1" t="str">
        <f ca="1">IFERROR(__xludf.DUMMYFUNCTION("iferror(SPLIT(C925,""=""))"),"")</f>
        <v/>
      </c>
      <c r="F925" s="1" t="e">
        <f t="shared" ca="1" si="3"/>
        <v>#NAME?</v>
      </c>
    </row>
    <row r="926" spans="2:6" ht="12.75">
      <c r="B926" s="1" t="s">
        <v>4743</v>
      </c>
      <c r="C926" s="1" t="s">
        <v>4743</v>
      </c>
      <c r="D926" s="1" t="str">
        <f ca="1">IFERROR(__xludf.DUMMYFUNCTION("iferror(SPLIT(C926,""=""))"),"")</f>
        <v/>
      </c>
      <c r="F926" s="1" t="e">
        <f t="shared" ca="1" si="3"/>
        <v>#NAME?</v>
      </c>
    </row>
    <row r="927" spans="2:6" ht="12.75">
      <c r="B927" s="1" t="s">
        <v>4743</v>
      </c>
      <c r="C927" s="1" t="s">
        <v>4743</v>
      </c>
      <c r="D927" s="1" t="str">
        <f ca="1">IFERROR(__xludf.DUMMYFUNCTION("iferror(SPLIT(C927,""=""))"),"")</f>
        <v/>
      </c>
      <c r="F927" s="1" t="e">
        <f t="shared" ca="1" si="3"/>
        <v>#NAME?</v>
      </c>
    </row>
    <row r="928" spans="2:6" ht="12.75">
      <c r="B928" s="1" t="s">
        <v>4743</v>
      </c>
      <c r="C928" s="1" t="s">
        <v>4743</v>
      </c>
      <c r="D928" s="1" t="str">
        <f ca="1">IFERROR(__xludf.DUMMYFUNCTION("iferror(SPLIT(C928,""=""))"),"")</f>
        <v/>
      </c>
      <c r="F928" s="1" t="e">
        <f t="shared" ca="1" si="3"/>
        <v>#NAME?</v>
      </c>
    </row>
    <row r="929" spans="2:6" ht="12.75">
      <c r="B929" s="1" t="s">
        <v>4743</v>
      </c>
      <c r="C929" s="1" t="s">
        <v>4743</v>
      </c>
      <c r="D929" s="1" t="str">
        <f ca="1">IFERROR(__xludf.DUMMYFUNCTION("iferror(SPLIT(C929,""=""))"),"")</f>
        <v/>
      </c>
      <c r="F929" s="1" t="e">
        <f t="shared" ca="1" si="3"/>
        <v>#NAME?</v>
      </c>
    </row>
    <row r="930" spans="2:6" ht="12.75">
      <c r="B930" s="1" t="s">
        <v>4743</v>
      </c>
      <c r="C930" s="1" t="s">
        <v>4743</v>
      </c>
      <c r="D930" s="1" t="str">
        <f ca="1">IFERROR(__xludf.DUMMYFUNCTION("iferror(SPLIT(C930,""=""))"),"")</f>
        <v/>
      </c>
      <c r="F930" s="1" t="e">
        <f t="shared" ca="1" si="3"/>
        <v>#NAME?</v>
      </c>
    </row>
    <row r="931" spans="2:6" ht="12.75">
      <c r="B931" s="1" t="s">
        <v>4743</v>
      </c>
      <c r="C931" s="1" t="s">
        <v>4743</v>
      </c>
      <c r="D931" s="1" t="str">
        <f ca="1">IFERROR(__xludf.DUMMYFUNCTION("iferror(SPLIT(C931,""=""))"),"")</f>
        <v/>
      </c>
      <c r="F931" s="1" t="e">
        <f t="shared" ca="1" si="3"/>
        <v>#NAME?</v>
      </c>
    </row>
    <row r="932" spans="2:6" ht="12.75">
      <c r="B932" s="1" t="s">
        <v>4743</v>
      </c>
      <c r="C932" s="1" t="s">
        <v>4743</v>
      </c>
      <c r="D932" s="1" t="str">
        <f ca="1">IFERROR(__xludf.DUMMYFUNCTION("iferror(SPLIT(C932,""=""))"),"")</f>
        <v/>
      </c>
      <c r="F932" s="1" t="e">
        <f t="shared" ca="1" si="3"/>
        <v>#NAME?</v>
      </c>
    </row>
    <row r="933" spans="2:6" ht="12.75">
      <c r="B933" s="1" t="s">
        <v>4743</v>
      </c>
      <c r="C933" s="1" t="s">
        <v>4743</v>
      </c>
      <c r="D933" s="1" t="str">
        <f ca="1">IFERROR(__xludf.DUMMYFUNCTION("iferror(SPLIT(C933,""=""))"),"")</f>
        <v/>
      </c>
      <c r="F933" s="1" t="e">
        <f t="shared" ca="1" si="3"/>
        <v>#NAME?</v>
      </c>
    </row>
    <row r="934" spans="2:6" ht="12.75">
      <c r="B934" s="1" t="s">
        <v>4743</v>
      </c>
      <c r="C934" s="1" t="s">
        <v>4743</v>
      </c>
      <c r="D934" s="1" t="str">
        <f ca="1">IFERROR(__xludf.DUMMYFUNCTION("iferror(SPLIT(C934,""=""))"),"")</f>
        <v/>
      </c>
      <c r="F934" s="1" t="e">
        <f t="shared" ca="1" si="3"/>
        <v>#NAME?</v>
      </c>
    </row>
    <row r="935" spans="2:6" ht="12.75">
      <c r="B935" s="1" t="s">
        <v>4743</v>
      </c>
      <c r="C935" s="1" t="s">
        <v>4743</v>
      </c>
      <c r="D935" s="1" t="str">
        <f ca="1">IFERROR(__xludf.DUMMYFUNCTION("iferror(SPLIT(C935,""=""))"),"")</f>
        <v/>
      </c>
      <c r="F935" s="1" t="e">
        <f t="shared" ca="1" si="3"/>
        <v>#NAME?</v>
      </c>
    </row>
    <row r="936" spans="2:6" ht="12.75">
      <c r="B936" s="1" t="s">
        <v>4743</v>
      </c>
      <c r="C936" s="1" t="s">
        <v>4743</v>
      </c>
      <c r="D936" s="1" t="str">
        <f ca="1">IFERROR(__xludf.DUMMYFUNCTION("iferror(SPLIT(C936,""=""))"),"")</f>
        <v/>
      </c>
      <c r="F936" s="1" t="e">
        <f t="shared" ca="1" si="3"/>
        <v>#NAME?</v>
      </c>
    </row>
    <row r="937" spans="2:6" ht="12.75">
      <c r="B937" s="1" t="s">
        <v>4743</v>
      </c>
      <c r="C937" s="1" t="s">
        <v>4743</v>
      </c>
      <c r="D937" s="1" t="str">
        <f ca="1">IFERROR(__xludf.DUMMYFUNCTION("iferror(SPLIT(C937,""=""))"),"")</f>
        <v/>
      </c>
      <c r="F937" s="1" t="e">
        <f t="shared" ca="1" si="3"/>
        <v>#NAME?</v>
      </c>
    </row>
    <row r="938" spans="2:6" ht="12.75">
      <c r="B938" s="1" t="s">
        <v>4743</v>
      </c>
      <c r="C938" s="1" t="s">
        <v>4743</v>
      </c>
      <c r="D938" s="1" t="str">
        <f ca="1">IFERROR(__xludf.DUMMYFUNCTION("iferror(SPLIT(C938,""=""))"),"")</f>
        <v/>
      </c>
      <c r="F938" s="1" t="e">
        <f t="shared" ca="1" si="3"/>
        <v>#NAME?</v>
      </c>
    </row>
    <row r="939" spans="2:6" ht="12.75">
      <c r="B939" s="1" t="s">
        <v>4743</v>
      </c>
      <c r="C939" s="1" t="s">
        <v>4743</v>
      </c>
      <c r="D939" s="1" t="str">
        <f ca="1">IFERROR(__xludf.DUMMYFUNCTION("iferror(SPLIT(C939,""=""))"),"")</f>
        <v/>
      </c>
      <c r="F939" s="1" t="e">
        <f t="shared" ca="1" si="3"/>
        <v>#NAME?</v>
      </c>
    </row>
    <row r="940" spans="2:6" ht="12.75">
      <c r="B940" s="1" t="s">
        <v>4743</v>
      </c>
      <c r="C940" s="1" t="s">
        <v>4743</v>
      </c>
      <c r="D940" s="1" t="str">
        <f ca="1">IFERROR(__xludf.DUMMYFUNCTION("iferror(SPLIT(C940,""=""))"),"")</f>
        <v/>
      </c>
      <c r="F940" s="1" t="e">
        <f t="shared" ca="1" si="3"/>
        <v>#NAME?</v>
      </c>
    </row>
    <row r="941" spans="2:6" ht="12.75">
      <c r="B941" s="1" t="s">
        <v>4743</v>
      </c>
      <c r="C941" s="1" t="s">
        <v>4743</v>
      </c>
      <c r="D941" s="1" t="str">
        <f ca="1">IFERROR(__xludf.DUMMYFUNCTION("iferror(SPLIT(C941,""=""))"),"")</f>
        <v/>
      </c>
      <c r="F941" s="1" t="e">
        <f t="shared" ca="1" si="3"/>
        <v>#NAME?</v>
      </c>
    </row>
    <row r="942" spans="2:6" ht="12.75">
      <c r="B942" s="1" t="s">
        <v>4743</v>
      </c>
      <c r="C942" s="1" t="s">
        <v>4743</v>
      </c>
      <c r="D942" s="1" t="str">
        <f ca="1">IFERROR(__xludf.DUMMYFUNCTION("iferror(SPLIT(C942,""=""))"),"")</f>
        <v/>
      </c>
      <c r="F942" s="1" t="e">
        <f t="shared" ca="1" si="3"/>
        <v>#NAME?</v>
      </c>
    </row>
    <row r="943" spans="2:6" ht="12.75">
      <c r="B943" s="1" t="s">
        <v>4743</v>
      </c>
      <c r="C943" s="1" t="s">
        <v>4743</v>
      </c>
      <c r="D943" s="1" t="str">
        <f ca="1">IFERROR(__xludf.DUMMYFUNCTION("iferror(SPLIT(C943,""=""))"),"")</f>
        <v/>
      </c>
      <c r="F943" s="1" t="e">
        <f t="shared" ca="1" si="3"/>
        <v>#NAME?</v>
      </c>
    </row>
    <row r="944" spans="2:6" ht="12.75">
      <c r="B944" s="1" t="s">
        <v>4743</v>
      </c>
      <c r="C944" s="1" t="s">
        <v>4743</v>
      </c>
      <c r="D944" s="1" t="str">
        <f ca="1">IFERROR(__xludf.DUMMYFUNCTION("iferror(SPLIT(C944,""=""))"),"")</f>
        <v/>
      </c>
      <c r="F944" s="1" t="e">
        <f t="shared" ca="1" si="3"/>
        <v>#NAME?</v>
      </c>
    </row>
    <row r="945" spans="2:6" ht="12.75">
      <c r="B945" s="1" t="s">
        <v>4743</v>
      </c>
      <c r="C945" s="1" t="s">
        <v>4743</v>
      </c>
      <c r="D945" s="1" t="str">
        <f ca="1">IFERROR(__xludf.DUMMYFUNCTION("iferror(SPLIT(C945,""=""))"),"")</f>
        <v/>
      </c>
      <c r="F945" s="1" t="e">
        <f t="shared" ca="1" si="3"/>
        <v>#NAME?</v>
      </c>
    </row>
    <row r="946" spans="2:6" ht="12.75">
      <c r="B946" s="1" t="s">
        <v>4743</v>
      </c>
      <c r="C946" s="1" t="s">
        <v>4743</v>
      </c>
      <c r="D946" s="1" t="str">
        <f ca="1">IFERROR(__xludf.DUMMYFUNCTION("iferror(SPLIT(C946,""=""))"),"")</f>
        <v/>
      </c>
      <c r="F946" s="1" t="e">
        <f t="shared" ca="1" si="3"/>
        <v>#NAME?</v>
      </c>
    </row>
    <row r="947" spans="2:6" ht="12.75">
      <c r="B947" s="1" t="s">
        <v>4743</v>
      </c>
      <c r="C947" s="1" t="s">
        <v>4743</v>
      </c>
      <c r="D947" s="1" t="str">
        <f ca="1">IFERROR(__xludf.DUMMYFUNCTION("iferror(SPLIT(C947,""=""))"),"")</f>
        <v/>
      </c>
      <c r="F947" s="1" t="e">
        <f t="shared" ca="1" si="3"/>
        <v>#NAME?</v>
      </c>
    </row>
    <row r="948" spans="2:6" ht="12.75">
      <c r="B948" s="1" t="s">
        <v>4743</v>
      </c>
      <c r="C948" s="1" t="s">
        <v>4743</v>
      </c>
      <c r="D948" s="1" t="str">
        <f ca="1">IFERROR(__xludf.DUMMYFUNCTION("iferror(SPLIT(C948,""=""))"),"")</f>
        <v/>
      </c>
      <c r="F948" s="1" t="e">
        <f t="shared" ca="1" si="3"/>
        <v>#NAME?</v>
      </c>
    </row>
    <row r="949" spans="2:6" ht="12.75">
      <c r="B949" s="1" t="s">
        <v>4743</v>
      </c>
      <c r="C949" s="1" t="s">
        <v>4743</v>
      </c>
      <c r="D949" s="1" t="str">
        <f ca="1">IFERROR(__xludf.DUMMYFUNCTION("iferror(SPLIT(C949,""=""))"),"")</f>
        <v/>
      </c>
      <c r="F949" s="1" t="e">
        <f t="shared" ca="1" si="3"/>
        <v>#NAME?</v>
      </c>
    </row>
    <row r="950" spans="2:6" ht="12.75">
      <c r="B950" s="1" t="s">
        <v>4743</v>
      </c>
      <c r="C950" s="1" t="s">
        <v>4743</v>
      </c>
      <c r="D950" s="1" t="str">
        <f ca="1">IFERROR(__xludf.DUMMYFUNCTION("iferror(SPLIT(C950,""=""))"),"")</f>
        <v/>
      </c>
      <c r="F950" s="1" t="e">
        <f t="shared" ca="1" si="3"/>
        <v>#NAME?</v>
      </c>
    </row>
    <row r="951" spans="2:6" ht="12.75">
      <c r="B951" s="1" t="s">
        <v>4743</v>
      </c>
      <c r="C951" s="1" t="s">
        <v>4743</v>
      </c>
      <c r="D951" s="1" t="str">
        <f ca="1">IFERROR(__xludf.DUMMYFUNCTION("iferror(SPLIT(C951,""=""))"),"")</f>
        <v/>
      </c>
      <c r="F951" s="1" t="e">
        <f t="shared" ca="1" si="3"/>
        <v>#NAME?</v>
      </c>
    </row>
    <row r="952" spans="2:6" ht="12.75">
      <c r="B952" s="1" t="s">
        <v>4743</v>
      </c>
      <c r="C952" s="1" t="s">
        <v>4743</v>
      </c>
      <c r="D952" s="1" t="str">
        <f ca="1">IFERROR(__xludf.DUMMYFUNCTION("iferror(SPLIT(C952,""=""))"),"")</f>
        <v/>
      </c>
      <c r="F952" s="1" t="e">
        <f t="shared" ca="1" si="3"/>
        <v>#NAME?</v>
      </c>
    </row>
    <row r="953" spans="2:6" ht="12.75">
      <c r="B953" s="1" t="s">
        <v>4743</v>
      </c>
      <c r="C953" s="1" t="s">
        <v>4743</v>
      </c>
      <c r="D953" s="1" t="str">
        <f ca="1">IFERROR(__xludf.DUMMYFUNCTION("iferror(SPLIT(C953,""=""))"),"")</f>
        <v/>
      </c>
      <c r="F953" s="1" t="e">
        <f t="shared" ca="1" si="3"/>
        <v>#NAME?</v>
      </c>
    </row>
    <row r="954" spans="2:6" ht="12.75">
      <c r="B954" s="1" t="s">
        <v>4743</v>
      </c>
      <c r="C954" s="1" t="s">
        <v>4743</v>
      </c>
      <c r="D954" s="1" t="str">
        <f ca="1">IFERROR(__xludf.DUMMYFUNCTION("iferror(SPLIT(C954,""=""))"),"")</f>
        <v/>
      </c>
      <c r="F954" s="1" t="e">
        <f t="shared" ca="1" si="3"/>
        <v>#NAME?</v>
      </c>
    </row>
    <row r="955" spans="2:6" ht="12.75">
      <c r="B955" s="1" t="s">
        <v>4743</v>
      </c>
      <c r="C955" s="1" t="s">
        <v>4743</v>
      </c>
      <c r="D955" s="1" t="str">
        <f ca="1">IFERROR(__xludf.DUMMYFUNCTION("iferror(SPLIT(C955,""=""))"),"")</f>
        <v/>
      </c>
      <c r="F955" s="1" t="e">
        <f t="shared" ca="1" si="3"/>
        <v>#NAME?</v>
      </c>
    </row>
    <row r="956" spans="2:6" ht="12.75">
      <c r="B956" s="1" t="s">
        <v>4743</v>
      </c>
      <c r="C956" s="1" t="s">
        <v>4743</v>
      </c>
      <c r="D956" s="1" t="str">
        <f ca="1">IFERROR(__xludf.DUMMYFUNCTION("iferror(SPLIT(C956,""=""))"),"")</f>
        <v/>
      </c>
      <c r="F956" s="1" t="e">
        <f t="shared" ca="1" si="3"/>
        <v>#NAME?</v>
      </c>
    </row>
    <row r="957" spans="2:6" ht="12.75">
      <c r="B957" s="1" t="s">
        <v>4743</v>
      </c>
      <c r="C957" s="1" t="s">
        <v>4743</v>
      </c>
      <c r="D957" s="1" t="str">
        <f ca="1">IFERROR(__xludf.DUMMYFUNCTION("iferror(SPLIT(C957,""=""))"),"")</f>
        <v/>
      </c>
      <c r="F957" s="1" t="e">
        <f t="shared" ca="1" si="3"/>
        <v>#NAME?</v>
      </c>
    </row>
    <row r="958" spans="2:6" ht="12.75">
      <c r="B958" s="1" t="s">
        <v>4743</v>
      </c>
      <c r="C958" s="1" t="s">
        <v>4743</v>
      </c>
      <c r="D958" s="1" t="str">
        <f ca="1">IFERROR(__xludf.DUMMYFUNCTION("iferror(SPLIT(C958,""=""))"),"")</f>
        <v/>
      </c>
      <c r="F958" s="1" t="e">
        <f t="shared" ca="1" si="3"/>
        <v>#NAME?</v>
      </c>
    </row>
    <row r="959" spans="2:6" ht="12.75">
      <c r="B959" s="1" t="s">
        <v>4743</v>
      </c>
      <c r="C959" s="1" t="s">
        <v>4743</v>
      </c>
      <c r="D959" s="1" t="str">
        <f ca="1">IFERROR(__xludf.DUMMYFUNCTION("iferror(SPLIT(C959,""=""))"),"")</f>
        <v/>
      </c>
      <c r="F959" s="1" t="e">
        <f t="shared" ca="1" si="3"/>
        <v>#NAME?</v>
      </c>
    </row>
    <row r="960" spans="2:6" ht="12.75">
      <c r="B960" s="1" t="s">
        <v>4743</v>
      </c>
      <c r="C960" s="1" t="s">
        <v>4743</v>
      </c>
      <c r="D960" s="1" t="str">
        <f ca="1">IFERROR(__xludf.DUMMYFUNCTION("iferror(SPLIT(C960,""=""))"),"")</f>
        <v/>
      </c>
      <c r="F960" s="1" t="e">
        <f t="shared" ca="1" si="3"/>
        <v>#NAME?</v>
      </c>
    </row>
    <row r="961" spans="2:6" ht="12.75">
      <c r="B961" s="1" t="s">
        <v>4743</v>
      </c>
      <c r="C961" s="1" t="s">
        <v>4743</v>
      </c>
      <c r="D961" s="1" t="str">
        <f ca="1">IFERROR(__xludf.DUMMYFUNCTION("iferror(SPLIT(C961,""=""))"),"")</f>
        <v/>
      </c>
      <c r="F961" s="1" t="e">
        <f t="shared" ca="1" si="3"/>
        <v>#NAME?</v>
      </c>
    </row>
    <row r="962" spans="2:6" ht="12.75">
      <c r="B962" s="1" t="s">
        <v>4743</v>
      </c>
      <c r="C962" s="1" t="s">
        <v>4743</v>
      </c>
      <c r="D962" s="1" t="str">
        <f ca="1">IFERROR(__xludf.DUMMYFUNCTION("iferror(SPLIT(C962,""=""))"),"")</f>
        <v/>
      </c>
      <c r="F962" s="1" t="e">
        <f t="shared" ca="1" si="3"/>
        <v>#NAME?</v>
      </c>
    </row>
    <row r="963" spans="2:6" ht="12.75">
      <c r="B963" s="1" t="s">
        <v>4743</v>
      </c>
      <c r="C963" s="1" t="s">
        <v>4743</v>
      </c>
      <c r="D963" s="1" t="str">
        <f ca="1">IFERROR(__xludf.DUMMYFUNCTION("iferror(SPLIT(C963,""=""))"),"")</f>
        <v/>
      </c>
      <c r="F963" s="1" t="e">
        <f t="shared" ca="1" si="3"/>
        <v>#NAME?</v>
      </c>
    </row>
    <row r="964" spans="2:6" ht="12.75">
      <c r="B964" s="1" t="s">
        <v>4743</v>
      </c>
      <c r="C964" s="1" t="s">
        <v>4743</v>
      </c>
      <c r="D964" s="1" t="str">
        <f ca="1">IFERROR(__xludf.DUMMYFUNCTION("iferror(SPLIT(C964,""=""))"),"")</f>
        <v/>
      </c>
      <c r="F964" s="1" t="e">
        <f t="shared" ca="1" si="3"/>
        <v>#NAME?</v>
      </c>
    </row>
    <row r="965" spans="2:6" ht="12.75">
      <c r="B965" s="1" t="s">
        <v>4743</v>
      </c>
      <c r="C965" s="1" t="s">
        <v>4743</v>
      </c>
      <c r="D965" s="1" t="str">
        <f ca="1">IFERROR(__xludf.DUMMYFUNCTION("iferror(SPLIT(C965,""=""))"),"")</f>
        <v/>
      </c>
      <c r="F965" s="1" t="e">
        <f t="shared" ca="1" si="3"/>
        <v>#NAME?</v>
      </c>
    </row>
    <row r="966" spans="2:6" ht="12.75">
      <c r="B966" s="1" t="s">
        <v>4743</v>
      </c>
      <c r="C966" s="1" t="s">
        <v>4743</v>
      </c>
      <c r="D966" s="1" t="str">
        <f ca="1">IFERROR(__xludf.DUMMYFUNCTION("iferror(SPLIT(C966,""=""))"),"")</f>
        <v/>
      </c>
      <c r="F966" s="1" t="e">
        <f t="shared" ca="1" si="3"/>
        <v>#NAME?</v>
      </c>
    </row>
    <row r="967" spans="2:6" ht="12.75">
      <c r="B967" s="1" t="s">
        <v>4743</v>
      </c>
      <c r="C967" s="1" t="s">
        <v>4743</v>
      </c>
      <c r="D967" s="1" t="str">
        <f ca="1">IFERROR(__xludf.DUMMYFUNCTION("iferror(SPLIT(C967,""=""))"),"")</f>
        <v/>
      </c>
      <c r="F967" s="1" t="e">
        <f t="shared" ca="1" si="3"/>
        <v>#NAME?</v>
      </c>
    </row>
    <row r="968" spans="2:6" ht="12.75">
      <c r="B968" s="1" t="s">
        <v>4743</v>
      </c>
      <c r="C968" s="1" t="s">
        <v>4743</v>
      </c>
      <c r="D968" s="1" t="str">
        <f ca="1">IFERROR(__xludf.DUMMYFUNCTION("iferror(SPLIT(C968,""=""))"),"")</f>
        <v/>
      </c>
      <c r="F968" s="1" t="e">
        <f t="shared" ca="1" si="3"/>
        <v>#NAME?</v>
      </c>
    </row>
    <row r="969" spans="2:6" ht="12.75">
      <c r="B969" s="1" t="s">
        <v>4743</v>
      </c>
      <c r="C969" s="1" t="s">
        <v>4743</v>
      </c>
      <c r="D969" s="1" t="str">
        <f ca="1">IFERROR(__xludf.DUMMYFUNCTION("iferror(SPLIT(C969,""=""))"),"")</f>
        <v/>
      </c>
      <c r="F969" s="1" t="e">
        <f t="shared" ca="1" si="3"/>
        <v>#NAME?</v>
      </c>
    </row>
    <row r="970" spans="2:6" ht="12.75">
      <c r="B970" s="1" t="s">
        <v>4743</v>
      </c>
      <c r="C970" s="1" t="s">
        <v>4743</v>
      </c>
      <c r="D970" s="1" t="str">
        <f ca="1">IFERROR(__xludf.DUMMYFUNCTION("iferror(SPLIT(C970,""=""))"),"")</f>
        <v/>
      </c>
      <c r="F970" s="1" t="e">
        <f t="shared" ca="1" si="3"/>
        <v>#NAME?</v>
      </c>
    </row>
    <row r="971" spans="2:6" ht="12.75">
      <c r="B971" s="1" t="s">
        <v>4743</v>
      </c>
      <c r="C971" s="1" t="s">
        <v>4743</v>
      </c>
      <c r="D971" s="1" t="str">
        <f ca="1">IFERROR(__xludf.DUMMYFUNCTION("iferror(SPLIT(C971,""=""))"),"")</f>
        <v/>
      </c>
      <c r="F971" s="1" t="e">
        <f t="shared" ca="1" si="3"/>
        <v>#NAME?</v>
      </c>
    </row>
    <row r="972" spans="2:6" ht="12.75">
      <c r="B972" s="1" t="s">
        <v>4743</v>
      </c>
      <c r="C972" s="1" t="s">
        <v>4743</v>
      </c>
      <c r="D972" s="1" t="str">
        <f ca="1">IFERROR(__xludf.DUMMYFUNCTION("iferror(SPLIT(C972,""=""))"),"")</f>
        <v/>
      </c>
      <c r="F972" s="1" t="e">
        <f t="shared" ca="1" si="3"/>
        <v>#NAME?</v>
      </c>
    </row>
    <row r="973" spans="2:6" ht="12.75">
      <c r="B973" s="1" t="s">
        <v>4743</v>
      </c>
      <c r="C973" s="1" t="s">
        <v>4743</v>
      </c>
      <c r="D973" s="1" t="str">
        <f ca="1">IFERROR(__xludf.DUMMYFUNCTION("iferror(SPLIT(C973,""=""))"),"")</f>
        <v/>
      </c>
      <c r="F973" s="1" t="e">
        <f t="shared" ca="1" si="3"/>
        <v>#NAME?</v>
      </c>
    </row>
    <row r="974" spans="2:6" ht="12.75">
      <c r="B974" s="1" t="s">
        <v>4743</v>
      </c>
      <c r="C974" s="1" t="s">
        <v>4743</v>
      </c>
      <c r="D974" s="1" t="str">
        <f ca="1">IFERROR(__xludf.DUMMYFUNCTION("iferror(SPLIT(C974,""=""))"),"")</f>
        <v/>
      </c>
      <c r="F974" s="1" t="e">
        <f t="shared" ca="1" si="3"/>
        <v>#NAME?</v>
      </c>
    </row>
    <row r="975" spans="2:6" ht="12.75">
      <c r="B975" s="1" t="s">
        <v>4743</v>
      </c>
      <c r="C975" s="1" t="s">
        <v>4743</v>
      </c>
      <c r="D975" s="1" t="str">
        <f ca="1">IFERROR(__xludf.DUMMYFUNCTION("iferror(SPLIT(C975,""=""))"),"")</f>
        <v/>
      </c>
      <c r="F975" s="1" t="e">
        <f t="shared" ca="1" si="3"/>
        <v>#NAME?</v>
      </c>
    </row>
    <row r="976" spans="2:6" ht="12.75">
      <c r="B976" s="1" t="s">
        <v>4743</v>
      </c>
      <c r="C976" s="1" t="s">
        <v>4743</v>
      </c>
      <c r="D976" s="1" t="str">
        <f ca="1">IFERROR(__xludf.DUMMYFUNCTION("iferror(SPLIT(C976,""=""))"),"")</f>
        <v/>
      </c>
      <c r="F976" s="1" t="e">
        <f t="shared" ca="1" si="3"/>
        <v>#NAME?</v>
      </c>
    </row>
    <row r="977" spans="2:6" ht="12.75">
      <c r="B977" s="1" t="s">
        <v>4743</v>
      </c>
      <c r="C977" s="1" t="s">
        <v>4743</v>
      </c>
      <c r="D977" s="1" t="str">
        <f ca="1">IFERROR(__xludf.DUMMYFUNCTION("iferror(SPLIT(C977,""=""))"),"")</f>
        <v/>
      </c>
      <c r="F977" s="1" t="e">
        <f t="shared" ca="1" si="3"/>
        <v>#NAME?</v>
      </c>
    </row>
    <row r="978" spans="2:6" ht="12.75">
      <c r="B978" s="1" t="s">
        <v>4743</v>
      </c>
      <c r="C978" s="1" t="s">
        <v>4743</v>
      </c>
      <c r="D978" s="1" t="str">
        <f ca="1">IFERROR(__xludf.DUMMYFUNCTION("iferror(SPLIT(C978,""=""))"),"")</f>
        <v/>
      </c>
      <c r="F978" s="1" t="e">
        <f t="shared" ca="1" si="3"/>
        <v>#NAME?</v>
      </c>
    </row>
    <row r="979" spans="2:6" ht="12.75">
      <c r="B979" s="1" t="s">
        <v>4743</v>
      </c>
      <c r="C979" s="1" t="s">
        <v>4743</v>
      </c>
      <c r="D979" s="1" t="str">
        <f ca="1">IFERROR(__xludf.DUMMYFUNCTION("iferror(SPLIT(C979,""=""))"),"")</f>
        <v/>
      </c>
      <c r="F979" s="1" t="e">
        <f t="shared" ca="1" si="3"/>
        <v>#NAME?</v>
      </c>
    </row>
    <row r="980" spans="2:6" ht="12.75">
      <c r="B980" s="1" t="s">
        <v>4743</v>
      </c>
      <c r="C980" s="1" t="s">
        <v>4743</v>
      </c>
      <c r="D980" s="1" t="str">
        <f ca="1">IFERROR(__xludf.DUMMYFUNCTION("iferror(SPLIT(C980,""=""))"),"")</f>
        <v/>
      </c>
      <c r="F980" s="1" t="e">
        <f t="shared" ca="1" si="3"/>
        <v>#NAME?</v>
      </c>
    </row>
    <row r="981" spans="2:6" ht="12.75">
      <c r="B981" s="1" t="s">
        <v>4743</v>
      </c>
      <c r="C981" s="1" t="s">
        <v>4743</v>
      </c>
      <c r="D981" s="1" t="str">
        <f ca="1">IFERROR(__xludf.DUMMYFUNCTION("iferror(SPLIT(C981,""=""))"),"")</f>
        <v/>
      </c>
      <c r="F981" s="1" t="e">
        <f t="shared" ca="1" si="3"/>
        <v>#NAME?</v>
      </c>
    </row>
    <row r="982" spans="2:6" ht="12.75">
      <c r="B982" s="1" t="s">
        <v>4743</v>
      </c>
      <c r="C982" s="1" t="s">
        <v>4743</v>
      </c>
      <c r="D982" s="1" t="str">
        <f ca="1">IFERROR(__xludf.DUMMYFUNCTION("iferror(SPLIT(C982,""=""))"),"")</f>
        <v/>
      </c>
      <c r="F982" s="1" t="e">
        <f t="shared" ca="1" si="3"/>
        <v>#NAME?</v>
      </c>
    </row>
    <row r="983" spans="2:6" ht="12.75">
      <c r="B983" s="1" t="s">
        <v>4743</v>
      </c>
      <c r="C983" s="1" t="s">
        <v>4743</v>
      </c>
      <c r="D983" s="1" t="str">
        <f ca="1">IFERROR(__xludf.DUMMYFUNCTION("iferror(SPLIT(C983,""=""))"),"")</f>
        <v/>
      </c>
      <c r="F983" s="1" t="e">
        <f t="shared" ca="1" si="3"/>
        <v>#NAME?</v>
      </c>
    </row>
    <row r="984" spans="2:6" ht="12.75">
      <c r="B984" s="1" t="s">
        <v>4743</v>
      </c>
      <c r="C984" s="1" t="s">
        <v>4743</v>
      </c>
      <c r="D984" s="1" t="str">
        <f ca="1">IFERROR(__xludf.DUMMYFUNCTION("iferror(SPLIT(C984,""=""))"),"")</f>
        <v/>
      </c>
      <c r="F984" s="1" t="e">
        <f t="shared" ca="1" si="3"/>
        <v>#NAME?</v>
      </c>
    </row>
    <row r="985" spans="2:6" ht="12.75">
      <c r="B985" s="1" t="s">
        <v>4743</v>
      </c>
      <c r="C985" s="1" t="s">
        <v>4743</v>
      </c>
      <c r="D985" s="1" t="str">
        <f ca="1">IFERROR(__xludf.DUMMYFUNCTION("iferror(SPLIT(C985,""=""))"),"")</f>
        <v/>
      </c>
      <c r="F985" s="1" t="e">
        <f t="shared" ca="1" si="3"/>
        <v>#NAME?</v>
      </c>
    </row>
    <row r="986" spans="2:6" ht="12.75">
      <c r="B986" s="1" t="s">
        <v>4743</v>
      </c>
      <c r="C986" s="1" t="s">
        <v>4743</v>
      </c>
      <c r="D986" s="1" t="str">
        <f ca="1">IFERROR(__xludf.DUMMYFUNCTION("iferror(SPLIT(C986,""=""))"),"")</f>
        <v/>
      </c>
      <c r="F986" s="1" t="e">
        <f t="shared" ca="1" si="3"/>
        <v>#NAME?</v>
      </c>
    </row>
    <row r="987" spans="2:6" ht="12.75">
      <c r="B987" s="1" t="s">
        <v>4743</v>
      </c>
      <c r="C987" s="1" t="s">
        <v>4743</v>
      </c>
      <c r="D987" s="1" t="str">
        <f ca="1">IFERROR(__xludf.DUMMYFUNCTION("iferror(SPLIT(C987,""=""))"),"")</f>
        <v/>
      </c>
      <c r="F987" s="1" t="e">
        <f t="shared" ca="1" si="3"/>
        <v>#NAME?</v>
      </c>
    </row>
    <row r="988" spans="2:6" ht="12.75">
      <c r="B988" s="1" t="s">
        <v>4743</v>
      </c>
      <c r="C988" s="1" t="s">
        <v>4743</v>
      </c>
      <c r="D988" s="1" t="str">
        <f ca="1">IFERROR(__xludf.DUMMYFUNCTION("iferror(SPLIT(C988,""=""))"),"")</f>
        <v/>
      </c>
      <c r="F988" s="1" t="e">
        <f t="shared" ca="1" si="3"/>
        <v>#NAME?</v>
      </c>
    </row>
    <row r="989" spans="2:6" ht="12.75">
      <c r="B989" s="1" t="s">
        <v>4743</v>
      </c>
      <c r="C989" s="1" t="s">
        <v>4743</v>
      </c>
      <c r="D989" s="1" t="str">
        <f ca="1">IFERROR(__xludf.DUMMYFUNCTION("iferror(SPLIT(C989,""=""))"),"")</f>
        <v/>
      </c>
      <c r="F989" s="1" t="e">
        <f t="shared" ca="1" si="3"/>
        <v>#NAME?</v>
      </c>
    </row>
    <row r="990" spans="2:6" ht="12.75">
      <c r="B990" s="1" t="s">
        <v>4743</v>
      </c>
      <c r="C990" s="1" t="s">
        <v>4743</v>
      </c>
      <c r="D990" s="1" t="str">
        <f ca="1">IFERROR(__xludf.DUMMYFUNCTION("iferror(SPLIT(C990,""=""))"),"")</f>
        <v/>
      </c>
      <c r="F990" s="1" t="e">
        <f t="shared" ca="1" si="3"/>
        <v>#NAME?</v>
      </c>
    </row>
    <row r="991" spans="2:6" ht="12.75">
      <c r="B991" s="1" t="s">
        <v>4743</v>
      </c>
      <c r="C991" s="1" t="s">
        <v>4743</v>
      </c>
      <c r="D991" s="1" t="str">
        <f ca="1">IFERROR(__xludf.DUMMYFUNCTION("iferror(SPLIT(C991,""=""))"),"")</f>
        <v/>
      </c>
      <c r="F991" s="1" t="e">
        <f t="shared" ca="1" si="3"/>
        <v>#NAME?</v>
      </c>
    </row>
    <row r="992" spans="2:6" ht="12.75">
      <c r="B992" s="1" t="s">
        <v>4743</v>
      </c>
      <c r="C992" s="1" t="s">
        <v>4743</v>
      </c>
      <c r="D992" s="1" t="str">
        <f ca="1">IFERROR(__xludf.DUMMYFUNCTION("iferror(SPLIT(C992,""=""))"),"")</f>
        <v/>
      </c>
      <c r="F992" s="1" t="e">
        <f t="shared" ca="1" si="3"/>
        <v>#NAME?</v>
      </c>
    </row>
    <row r="993" spans="2:6" ht="12.75">
      <c r="B993" s="1" t="s">
        <v>4743</v>
      </c>
      <c r="C993" s="1" t="s">
        <v>4743</v>
      </c>
      <c r="D993" s="1" t="str">
        <f ca="1">IFERROR(__xludf.DUMMYFUNCTION("iferror(SPLIT(C993,""=""))"),"")</f>
        <v/>
      </c>
      <c r="F993" s="1" t="e">
        <f t="shared" ca="1" si="3"/>
        <v>#NAME?</v>
      </c>
    </row>
    <row r="994" spans="2:6" ht="12.75">
      <c r="B994" s="1" t="s">
        <v>4743</v>
      </c>
      <c r="C994" s="1" t="s">
        <v>4743</v>
      </c>
      <c r="D994" s="1" t="str">
        <f ca="1">IFERROR(__xludf.DUMMYFUNCTION("iferror(SPLIT(C994,""=""))"),"")</f>
        <v/>
      </c>
      <c r="F994" s="1" t="e">
        <f t="shared" ca="1" si="3"/>
        <v>#NAME?</v>
      </c>
    </row>
    <row r="995" spans="2:6" ht="12.75">
      <c r="B995" s="1" t="s">
        <v>4743</v>
      </c>
      <c r="C995" s="1" t="s">
        <v>4743</v>
      </c>
      <c r="D995" s="1" t="str">
        <f ca="1">IFERROR(__xludf.DUMMYFUNCTION("iferror(SPLIT(C995,""=""))"),"")</f>
        <v/>
      </c>
      <c r="F995" s="1" t="e">
        <f t="shared" ca="1" si="3"/>
        <v>#NAME?</v>
      </c>
    </row>
    <row r="996" spans="2:6" ht="12.75">
      <c r="B996" s="1" t="s">
        <v>4743</v>
      </c>
      <c r="C996" s="1" t="s">
        <v>4743</v>
      </c>
      <c r="D996" s="1" t="str">
        <f ca="1">IFERROR(__xludf.DUMMYFUNCTION("iferror(SPLIT(C996,""=""))"),"")</f>
        <v/>
      </c>
      <c r="F996" s="1" t="e">
        <f t="shared" ca="1" si="3"/>
        <v>#NAME?</v>
      </c>
    </row>
    <row r="997" spans="2:6" ht="12.75">
      <c r="B997" s="1" t="s">
        <v>4743</v>
      </c>
      <c r="C997" s="1" t="s">
        <v>4743</v>
      </c>
      <c r="D997" s="1" t="str">
        <f ca="1">IFERROR(__xludf.DUMMYFUNCTION("iferror(SPLIT(C997,""=""))"),"")</f>
        <v/>
      </c>
      <c r="F997" s="1" t="e">
        <f t="shared" ca="1" si="3"/>
        <v>#NAME?</v>
      </c>
    </row>
    <row r="998" spans="2:6" ht="12.75">
      <c r="B998" s="1" t="s">
        <v>4743</v>
      </c>
      <c r="C998" s="1" t="s">
        <v>4743</v>
      </c>
      <c r="D998" s="1" t="str">
        <f ca="1">IFERROR(__xludf.DUMMYFUNCTION("iferror(SPLIT(C998,""=""))"),"")</f>
        <v/>
      </c>
      <c r="F998" s="1" t="e">
        <f t="shared" ca="1" si="3"/>
        <v>#NAME?</v>
      </c>
    </row>
    <row r="999" spans="2:6" ht="12.75">
      <c r="B999" s="1" t="s">
        <v>4743</v>
      </c>
      <c r="C999" s="1" t="s">
        <v>4743</v>
      </c>
      <c r="D999" s="1" t="str">
        <f ca="1">IFERROR(__xludf.DUMMYFUNCTION("iferror(SPLIT(C999,""=""))"),"")</f>
        <v/>
      </c>
      <c r="F999" s="1" t="e">
        <f t="shared" ca="1" si="3"/>
        <v>#NAME?</v>
      </c>
    </row>
    <row r="1000" spans="2:6" ht="12.75">
      <c r="B1000" s="1" t="s">
        <v>4743</v>
      </c>
      <c r="C1000" s="1" t="s">
        <v>4743</v>
      </c>
      <c r="D1000" s="1" t="str">
        <f ca="1">IFERROR(__xludf.DUMMYFUNCTION("iferror(SPLIT(C1000,""=""))"),"")</f>
        <v/>
      </c>
      <c r="F1000" s="1" t="e">
        <f t="shared" ca="1" si="3"/>
        <v>#NAME?</v>
      </c>
    </row>
    <row r="1001" spans="2:6" ht="12.75">
      <c r="B1001" s="1" t="s">
        <v>4743</v>
      </c>
      <c r="C1001" s="1" t="s">
        <v>4743</v>
      </c>
      <c r="D1001" s="1" t="str">
        <f ca="1">IFERROR(__xludf.DUMMYFUNCTION("iferror(SPLIT(C1001,""=""))"),"")</f>
        <v/>
      </c>
      <c r="F1001" s="1" t="e">
        <f t="shared" ca="1" si="3"/>
        <v>#NAME?</v>
      </c>
    </row>
    <row r="1002" spans="2:6" ht="12.75">
      <c r="B1002" s="1" t="s">
        <v>4743</v>
      </c>
      <c r="C1002" s="1" t="s">
        <v>4743</v>
      </c>
      <c r="D1002" s="1" t="str">
        <f ca="1">IFERROR(__xludf.DUMMYFUNCTION("iferror(SPLIT(C1002,""=""))"),"")</f>
        <v/>
      </c>
      <c r="F1002" s="1" t="e">
        <f t="shared" ca="1" si="3"/>
        <v>#NAME?</v>
      </c>
    </row>
    <row r="1003" spans="2:6" ht="12.75">
      <c r="B1003" s="1" t="s">
        <v>4743</v>
      </c>
      <c r="C1003" s="1" t="s">
        <v>4743</v>
      </c>
      <c r="D1003" s="1" t="str">
        <f ca="1">IFERROR(__xludf.DUMMYFUNCTION("iferror(SPLIT(C1003,""=""))"),"")</f>
        <v/>
      </c>
      <c r="F1003" s="1" t="e">
        <f t="shared" ca="1" si="3"/>
        <v>#NAME?</v>
      </c>
    </row>
    <row r="1004" spans="2:6" ht="12.75">
      <c r="B1004" s="1" t="s">
        <v>4743</v>
      </c>
      <c r="C1004" s="1" t="s">
        <v>4743</v>
      </c>
      <c r="D1004" s="1" t="str">
        <f ca="1">IFERROR(__xludf.DUMMYFUNCTION("iferror(SPLIT(C1004,""=""))"),"")</f>
        <v/>
      </c>
      <c r="F1004" s="1" t="e">
        <f t="shared" ca="1" si="3"/>
        <v>#NAME?</v>
      </c>
    </row>
    <row r="1005" spans="2:6" ht="12.75">
      <c r="B1005" s="1" t="s">
        <v>4743</v>
      </c>
      <c r="C1005" s="1" t="s">
        <v>4743</v>
      </c>
      <c r="D1005" s="1" t="str">
        <f ca="1">IFERROR(__xludf.DUMMYFUNCTION("iferror(SPLIT(C1005,""=""))"),"")</f>
        <v/>
      </c>
      <c r="F1005" s="1" t="e">
        <f t="shared" ca="1" si="3"/>
        <v>#NAME?</v>
      </c>
    </row>
    <row r="1006" spans="2:6" ht="12.75">
      <c r="B1006" s="1" t="s">
        <v>4743</v>
      </c>
      <c r="C1006" s="1" t="s">
        <v>4743</v>
      </c>
      <c r="D1006" s="1" t="str">
        <f ca="1">IFERROR(__xludf.DUMMYFUNCTION("iferror(SPLIT(C1006,""=""))"),"")</f>
        <v/>
      </c>
      <c r="F1006" s="1" t="e">
        <f t="shared" ca="1" si="3"/>
        <v>#NAME?</v>
      </c>
    </row>
    <row r="1007" spans="2:6" ht="12.75">
      <c r="B1007" s="1" t="s">
        <v>4743</v>
      </c>
      <c r="C1007" s="1" t="s">
        <v>4743</v>
      </c>
      <c r="D1007" s="1" t="str">
        <f ca="1">IFERROR(__xludf.DUMMYFUNCTION("iferror(SPLIT(C1007,""=""))"),"")</f>
        <v/>
      </c>
      <c r="F1007" s="1" t="e">
        <f t="shared" ca="1" si="3"/>
        <v>#NAME?</v>
      </c>
    </row>
    <row r="1008" spans="2:6" ht="12.75">
      <c r="B1008" s="1" t="s">
        <v>4743</v>
      </c>
      <c r="C1008" s="1" t="s">
        <v>4743</v>
      </c>
      <c r="D1008" s="1" t="str">
        <f ca="1">IFERROR(__xludf.DUMMYFUNCTION("iferror(SPLIT(C1008,""=""))"),"")</f>
        <v/>
      </c>
      <c r="F1008" s="1" t="e">
        <f t="shared" ca="1" si="3"/>
        <v>#NAME?</v>
      </c>
    </row>
    <row r="1009" spans="2:6" ht="12.75">
      <c r="B1009" s="1" t="s">
        <v>4743</v>
      </c>
      <c r="C1009" s="1" t="s">
        <v>4743</v>
      </c>
      <c r="D1009" s="1" t="str">
        <f ca="1">IFERROR(__xludf.DUMMYFUNCTION("iferror(SPLIT(C1009,""=""))"),"")</f>
        <v/>
      </c>
      <c r="F1009" s="1" t="e">
        <f t="shared" ca="1" si="3"/>
        <v>#NAME?</v>
      </c>
    </row>
    <row r="1010" spans="2:6" ht="12.75">
      <c r="B1010" s="1" t="s">
        <v>4743</v>
      </c>
      <c r="C1010" s="1" t="s">
        <v>4743</v>
      </c>
      <c r="D1010" s="1" t="str">
        <f ca="1">IFERROR(__xludf.DUMMYFUNCTION("iferror(SPLIT(C1010,""=""))"),"")</f>
        <v/>
      </c>
      <c r="F1010" s="1" t="e">
        <f t="shared" ca="1" si="3"/>
        <v>#NAME?</v>
      </c>
    </row>
    <row r="1011" spans="2:6" ht="12.75">
      <c r="B1011" s="1" t="s">
        <v>4743</v>
      </c>
      <c r="C1011" s="1" t="s">
        <v>4743</v>
      </c>
      <c r="D1011" s="1" t="str">
        <f ca="1">IFERROR(__xludf.DUMMYFUNCTION("iferror(SPLIT(C1011,""=""))"),"")</f>
        <v/>
      </c>
      <c r="F1011" s="1" t="e">
        <f t="shared" ca="1" si="3"/>
        <v>#NAME?</v>
      </c>
    </row>
    <row r="1012" spans="2:6" ht="12.75">
      <c r="B1012" s="1" t="s">
        <v>4743</v>
      </c>
      <c r="C1012" s="1" t="s">
        <v>4743</v>
      </c>
      <c r="D1012" s="1" t="str">
        <f ca="1">IFERROR(__xludf.DUMMYFUNCTION("iferror(SPLIT(C1012,""=""))"),"")</f>
        <v/>
      </c>
      <c r="F1012" s="1" t="e">
        <f t="shared" ca="1" si="3"/>
        <v>#NAME?</v>
      </c>
    </row>
    <row r="1013" spans="2:6" ht="12.75">
      <c r="B1013" s="1" t="s">
        <v>4743</v>
      </c>
      <c r="C1013" s="1" t="s">
        <v>4743</v>
      </c>
      <c r="D1013" s="1" t="str">
        <f ca="1">IFERROR(__xludf.DUMMYFUNCTION("iferror(SPLIT(C1013,""=""))"),"")</f>
        <v/>
      </c>
      <c r="F1013" s="1" t="e">
        <f t="shared" ca="1" si="3"/>
        <v>#NAME?</v>
      </c>
    </row>
    <row r="1014" spans="2:6" ht="12.75">
      <c r="B1014" s="1" t="s">
        <v>4743</v>
      </c>
      <c r="C1014" s="1" t="s">
        <v>4743</v>
      </c>
      <c r="D1014" s="1" t="str">
        <f ca="1">IFERROR(__xludf.DUMMYFUNCTION("iferror(SPLIT(C1014,""=""))"),"")</f>
        <v/>
      </c>
      <c r="F1014" s="1" t="e">
        <f t="shared" ca="1" si="3"/>
        <v>#NAME?</v>
      </c>
    </row>
    <row r="1015" spans="2:6" ht="12.75">
      <c r="B1015" s="1" t="s">
        <v>4743</v>
      </c>
      <c r="C1015" s="1" t="s">
        <v>4743</v>
      </c>
      <c r="D1015" s="1" t="str">
        <f ca="1">IFERROR(__xludf.DUMMYFUNCTION("iferror(SPLIT(C1015,""=""))"),"")</f>
        <v/>
      </c>
      <c r="F1015" s="1" t="e">
        <f t="shared" ca="1" si="3"/>
        <v>#NAME?</v>
      </c>
    </row>
    <row r="1016" spans="2:6" ht="12.75">
      <c r="B1016" s="1" t="s">
        <v>4743</v>
      </c>
      <c r="C1016" s="1" t="s">
        <v>4743</v>
      </c>
      <c r="D1016" s="1" t="str">
        <f ca="1">IFERROR(__xludf.DUMMYFUNCTION("iferror(SPLIT(C1016,""=""))"),"")</f>
        <v/>
      </c>
      <c r="F1016" s="1" t="e">
        <f t="shared" ca="1" si="3"/>
        <v>#NAME?</v>
      </c>
    </row>
    <row r="1017" spans="2:6" ht="12.75">
      <c r="B1017" s="1" t="s">
        <v>4743</v>
      </c>
      <c r="C1017" s="1" t="s">
        <v>4743</v>
      </c>
      <c r="D1017" s="1" t="str">
        <f ca="1">IFERROR(__xludf.DUMMYFUNCTION("iferror(SPLIT(C1017,""=""))"),"")</f>
        <v/>
      </c>
      <c r="F1017" s="1" t="e">
        <f t="shared" ca="1" si="3"/>
        <v>#NAME?</v>
      </c>
    </row>
    <row r="1018" spans="2:6" ht="12.75">
      <c r="B1018" s="1" t="s">
        <v>4743</v>
      </c>
      <c r="C1018" s="1" t="s">
        <v>4743</v>
      </c>
      <c r="D1018" s="1" t="str">
        <f ca="1">IFERROR(__xludf.DUMMYFUNCTION("iferror(SPLIT(C1018,""=""))"),"")</f>
        <v/>
      </c>
      <c r="F1018" s="1" t="e">
        <f t="shared" ca="1" si="3"/>
        <v>#NAME?</v>
      </c>
    </row>
    <row r="1019" spans="2:6" ht="12.75">
      <c r="B1019" s="1" t="s">
        <v>4743</v>
      </c>
      <c r="C1019" s="1" t="s">
        <v>4743</v>
      </c>
      <c r="D1019" s="1" t="str">
        <f ca="1">IFERROR(__xludf.DUMMYFUNCTION("iferror(SPLIT(C1019,""=""))"),"")</f>
        <v/>
      </c>
      <c r="F1019" s="1" t="e">
        <f t="shared" ca="1" si="3"/>
        <v>#NAME?</v>
      </c>
    </row>
    <row r="1020" spans="2:6" ht="12.75">
      <c r="B1020" s="1" t="s">
        <v>4743</v>
      </c>
      <c r="C1020" s="1" t="s">
        <v>4743</v>
      </c>
      <c r="D1020" s="1" t="str">
        <f ca="1">IFERROR(__xludf.DUMMYFUNCTION("iferror(SPLIT(C1020,""=""))"),"")</f>
        <v/>
      </c>
      <c r="F1020" s="1" t="e">
        <f t="shared" ca="1" si="3"/>
        <v>#NAME?</v>
      </c>
    </row>
    <row r="1021" spans="2:6" ht="12.75">
      <c r="B1021" s="1" t="s">
        <v>4743</v>
      </c>
      <c r="C1021" s="1" t="s">
        <v>4743</v>
      </c>
      <c r="D1021" s="1" t="str">
        <f ca="1">IFERROR(__xludf.DUMMYFUNCTION("iferror(SPLIT(C1021,""=""))"),"")</f>
        <v/>
      </c>
      <c r="F1021" s="1" t="e">
        <f t="shared" ca="1" si="3"/>
        <v>#NAME?</v>
      </c>
    </row>
    <row r="1022" spans="2:6" ht="12.75">
      <c r="B1022" s="1" t="s">
        <v>4743</v>
      </c>
      <c r="C1022" s="1" t="s">
        <v>4743</v>
      </c>
      <c r="D1022" s="1" t="str">
        <f ca="1">IFERROR(__xludf.DUMMYFUNCTION("iferror(SPLIT(C1022,""=""))"),"")</f>
        <v/>
      </c>
      <c r="F1022" s="1" t="e">
        <f t="shared" ref="F1022:F1102" ca="1" si="4">IMAGE($F$1&amp;E1022)</f>
        <v>#NAME?</v>
      </c>
    </row>
    <row r="1023" spans="2:6" ht="12.75">
      <c r="B1023" s="1" t="s">
        <v>4743</v>
      </c>
      <c r="C1023" s="1" t="s">
        <v>4743</v>
      </c>
      <c r="D1023" s="1" t="str">
        <f ca="1">IFERROR(__xludf.DUMMYFUNCTION("iferror(SPLIT(C1023,""=""))"),"")</f>
        <v/>
      </c>
      <c r="F1023" s="1" t="e">
        <f t="shared" ca="1" si="4"/>
        <v>#NAME?</v>
      </c>
    </row>
    <row r="1024" spans="2:6" ht="12.75">
      <c r="B1024" s="1" t="s">
        <v>4743</v>
      </c>
      <c r="C1024" s="1" t="s">
        <v>4743</v>
      </c>
      <c r="D1024" s="1" t="str">
        <f ca="1">IFERROR(__xludf.DUMMYFUNCTION("iferror(SPLIT(C1024,""=""))"),"")</f>
        <v/>
      </c>
      <c r="F1024" s="1" t="e">
        <f t="shared" ca="1" si="4"/>
        <v>#NAME?</v>
      </c>
    </row>
    <row r="1025" spans="2:6" ht="12.75">
      <c r="B1025" s="1" t="s">
        <v>4743</v>
      </c>
      <c r="C1025" s="1" t="s">
        <v>4743</v>
      </c>
      <c r="D1025" s="1" t="str">
        <f ca="1">IFERROR(__xludf.DUMMYFUNCTION("iferror(SPLIT(C1025,""=""))"),"")</f>
        <v/>
      </c>
      <c r="F1025" s="1" t="e">
        <f t="shared" ca="1" si="4"/>
        <v>#NAME?</v>
      </c>
    </row>
    <row r="1026" spans="2:6" ht="12.75">
      <c r="B1026" s="1" t="s">
        <v>4743</v>
      </c>
      <c r="C1026" s="1" t="s">
        <v>4743</v>
      </c>
      <c r="D1026" s="1" t="str">
        <f ca="1">IFERROR(__xludf.DUMMYFUNCTION("iferror(SPLIT(C1026,""=""))"),"")</f>
        <v/>
      </c>
      <c r="F1026" s="1" t="e">
        <f t="shared" ca="1" si="4"/>
        <v>#NAME?</v>
      </c>
    </row>
    <row r="1027" spans="2:6" ht="12.75">
      <c r="B1027" s="1" t="s">
        <v>4743</v>
      </c>
      <c r="C1027" s="1" t="s">
        <v>4743</v>
      </c>
      <c r="D1027" s="1" t="str">
        <f ca="1">IFERROR(__xludf.DUMMYFUNCTION("iferror(SPLIT(C1027,""=""))"),"")</f>
        <v/>
      </c>
      <c r="F1027" s="1" t="e">
        <f t="shared" ca="1" si="4"/>
        <v>#NAME?</v>
      </c>
    </row>
    <row r="1028" spans="2:6" ht="12.75">
      <c r="B1028" s="1" t="s">
        <v>4743</v>
      </c>
      <c r="C1028" s="1" t="s">
        <v>4743</v>
      </c>
      <c r="D1028" s="1" t="str">
        <f ca="1">IFERROR(__xludf.DUMMYFUNCTION("iferror(SPLIT(C1028,""=""))"),"")</f>
        <v/>
      </c>
      <c r="F1028" s="1" t="e">
        <f t="shared" ca="1" si="4"/>
        <v>#NAME?</v>
      </c>
    </row>
    <row r="1029" spans="2:6" ht="12.75">
      <c r="B1029" s="1" t="s">
        <v>4743</v>
      </c>
      <c r="C1029" s="1" t="s">
        <v>4743</v>
      </c>
      <c r="D1029" s="1" t="str">
        <f ca="1">IFERROR(__xludf.DUMMYFUNCTION("iferror(SPLIT(C1029,""=""))"),"")</f>
        <v/>
      </c>
      <c r="F1029" s="1" t="e">
        <f t="shared" ca="1" si="4"/>
        <v>#NAME?</v>
      </c>
    </row>
    <row r="1030" spans="2:6" ht="12.75">
      <c r="B1030" s="1" t="s">
        <v>4743</v>
      </c>
      <c r="C1030" s="1" t="s">
        <v>4743</v>
      </c>
      <c r="D1030" s="1" t="str">
        <f ca="1">IFERROR(__xludf.DUMMYFUNCTION("iferror(SPLIT(C1030,""=""))"),"")</f>
        <v/>
      </c>
      <c r="F1030" s="1" t="e">
        <f t="shared" ca="1" si="4"/>
        <v>#NAME?</v>
      </c>
    </row>
    <row r="1031" spans="2:6" ht="12.75">
      <c r="B1031" s="1" t="s">
        <v>4743</v>
      </c>
      <c r="C1031" s="1" t="s">
        <v>4743</v>
      </c>
      <c r="D1031" s="1" t="str">
        <f ca="1">IFERROR(__xludf.DUMMYFUNCTION("iferror(SPLIT(C1031,""=""))"),"")</f>
        <v/>
      </c>
      <c r="F1031" s="1" t="e">
        <f t="shared" ca="1" si="4"/>
        <v>#NAME?</v>
      </c>
    </row>
    <row r="1032" spans="2:6" ht="12.75">
      <c r="B1032" s="1" t="s">
        <v>4743</v>
      </c>
      <c r="C1032" s="1" t="s">
        <v>4743</v>
      </c>
      <c r="D1032" s="1" t="str">
        <f ca="1">IFERROR(__xludf.DUMMYFUNCTION("iferror(SPLIT(C1032,""=""))"),"")</f>
        <v/>
      </c>
      <c r="F1032" s="1" t="e">
        <f t="shared" ca="1" si="4"/>
        <v>#NAME?</v>
      </c>
    </row>
    <row r="1033" spans="2:6" ht="12.75">
      <c r="B1033" s="1" t="s">
        <v>4743</v>
      </c>
      <c r="C1033" s="1" t="s">
        <v>4743</v>
      </c>
      <c r="D1033" s="1" t="str">
        <f ca="1">IFERROR(__xludf.DUMMYFUNCTION("iferror(SPLIT(C1033,""=""))"),"")</f>
        <v/>
      </c>
      <c r="F1033" s="1" t="e">
        <f t="shared" ca="1" si="4"/>
        <v>#NAME?</v>
      </c>
    </row>
    <row r="1034" spans="2:6" ht="12.75">
      <c r="B1034" s="1" t="s">
        <v>4743</v>
      </c>
      <c r="C1034" s="1" t="s">
        <v>4743</v>
      </c>
      <c r="D1034" s="1" t="str">
        <f ca="1">IFERROR(__xludf.DUMMYFUNCTION("iferror(SPLIT(C1034,""=""))"),"")</f>
        <v/>
      </c>
      <c r="F1034" s="1" t="e">
        <f t="shared" ca="1" si="4"/>
        <v>#NAME?</v>
      </c>
    </row>
    <row r="1035" spans="2:6" ht="12.75">
      <c r="B1035" s="1" t="s">
        <v>4743</v>
      </c>
      <c r="C1035" s="1" t="s">
        <v>4743</v>
      </c>
      <c r="D1035" s="1" t="str">
        <f ca="1">IFERROR(__xludf.DUMMYFUNCTION("iferror(SPLIT(C1035,""=""))"),"")</f>
        <v/>
      </c>
      <c r="F1035" s="1" t="e">
        <f t="shared" ca="1" si="4"/>
        <v>#NAME?</v>
      </c>
    </row>
    <row r="1036" spans="2:6" ht="12.75">
      <c r="B1036" s="1" t="s">
        <v>4743</v>
      </c>
      <c r="C1036" s="1" t="s">
        <v>4743</v>
      </c>
      <c r="D1036" s="1" t="str">
        <f ca="1">IFERROR(__xludf.DUMMYFUNCTION("iferror(SPLIT(C1036,""=""))"),"")</f>
        <v/>
      </c>
      <c r="F1036" s="1" t="e">
        <f t="shared" ca="1" si="4"/>
        <v>#NAME?</v>
      </c>
    </row>
    <row r="1037" spans="2:6" ht="12.75">
      <c r="B1037" s="1" t="s">
        <v>4743</v>
      </c>
      <c r="C1037" s="1" t="s">
        <v>4743</v>
      </c>
      <c r="D1037" s="1" t="str">
        <f ca="1">IFERROR(__xludf.DUMMYFUNCTION("iferror(SPLIT(C1037,""=""))"),"")</f>
        <v/>
      </c>
      <c r="F1037" s="1" t="e">
        <f t="shared" ca="1" si="4"/>
        <v>#NAME?</v>
      </c>
    </row>
    <row r="1038" spans="2:6" ht="12.75">
      <c r="B1038" s="1" t="s">
        <v>4743</v>
      </c>
      <c r="C1038" s="1" t="s">
        <v>4743</v>
      </c>
      <c r="D1038" s="1" t="str">
        <f ca="1">IFERROR(__xludf.DUMMYFUNCTION("iferror(SPLIT(C1038,""=""))"),"")</f>
        <v/>
      </c>
      <c r="F1038" s="1" t="e">
        <f t="shared" ca="1" si="4"/>
        <v>#NAME?</v>
      </c>
    </row>
    <row r="1039" spans="2:6" ht="12.75">
      <c r="B1039" s="1" t="s">
        <v>4743</v>
      </c>
      <c r="C1039" s="1" t="s">
        <v>4743</v>
      </c>
      <c r="D1039" s="1" t="str">
        <f ca="1">IFERROR(__xludf.DUMMYFUNCTION("iferror(SPLIT(C1039,""=""))"),"")</f>
        <v/>
      </c>
      <c r="F1039" s="1" t="e">
        <f t="shared" ca="1" si="4"/>
        <v>#NAME?</v>
      </c>
    </row>
    <row r="1040" spans="2:6" ht="12.75">
      <c r="B1040" s="1" t="s">
        <v>4743</v>
      </c>
      <c r="C1040" s="1" t="s">
        <v>4743</v>
      </c>
      <c r="D1040" s="1" t="str">
        <f ca="1">IFERROR(__xludf.DUMMYFUNCTION("iferror(SPLIT(C1040,""=""))"),"")</f>
        <v/>
      </c>
      <c r="F1040" s="1" t="e">
        <f t="shared" ca="1" si="4"/>
        <v>#NAME?</v>
      </c>
    </row>
    <row r="1041" spans="2:6" ht="12.75">
      <c r="B1041" s="1" t="s">
        <v>4743</v>
      </c>
      <c r="C1041" s="1" t="s">
        <v>4743</v>
      </c>
      <c r="D1041" s="1" t="str">
        <f ca="1">IFERROR(__xludf.DUMMYFUNCTION("iferror(SPLIT(C1041,""=""))"),"")</f>
        <v/>
      </c>
      <c r="F1041" s="1" t="e">
        <f t="shared" ca="1" si="4"/>
        <v>#NAME?</v>
      </c>
    </row>
    <row r="1042" spans="2:6" ht="12.75">
      <c r="B1042" s="1" t="s">
        <v>4743</v>
      </c>
      <c r="C1042" s="1" t="s">
        <v>4743</v>
      </c>
      <c r="D1042" s="1" t="str">
        <f ca="1">IFERROR(__xludf.DUMMYFUNCTION("iferror(SPLIT(C1042,""=""))"),"")</f>
        <v/>
      </c>
      <c r="F1042" s="1" t="e">
        <f t="shared" ca="1" si="4"/>
        <v>#NAME?</v>
      </c>
    </row>
    <row r="1043" spans="2:6" ht="12.75">
      <c r="B1043" s="1" t="s">
        <v>4743</v>
      </c>
      <c r="C1043" s="1" t="s">
        <v>4743</v>
      </c>
      <c r="D1043" s="1" t="str">
        <f ca="1">IFERROR(__xludf.DUMMYFUNCTION("iferror(SPLIT(C1043,""=""))"),"")</f>
        <v/>
      </c>
      <c r="F1043" s="1" t="e">
        <f t="shared" ca="1" si="4"/>
        <v>#NAME?</v>
      </c>
    </row>
    <row r="1044" spans="2:6" ht="12.75">
      <c r="B1044" s="1" t="s">
        <v>4743</v>
      </c>
      <c r="C1044" s="1" t="s">
        <v>4743</v>
      </c>
      <c r="D1044" s="1" t="str">
        <f ca="1">IFERROR(__xludf.DUMMYFUNCTION("iferror(SPLIT(C1044,""=""))"),"")</f>
        <v/>
      </c>
      <c r="F1044" s="1" t="e">
        <f t="shared" ca="1" si="4"/>
        <v>#NAME?</v>
      </c>
    </row>
    <row r="1045" spans="2:6" ht="12.75">
      <c r="B1045" s="1" t="s">
        <v>4743</v>
      </c>
      <c r="C1045" s="1" t="s">
        <v>4743</v>
      </c>
      <c r="D1045" s="1" t="str">
        <f ca="1">IFERROR(__xludf.DUMMYFUNCTION("iferror(SPLIT(C1045,""=""))"),"")</f>
        <v/>
      </c>
      <c r="F1045" s="1" t="e">
        <f t="shared" ca="1" si="4"/>
        <v>#NAME?</v>
      </c>
    </row>
    <row r="1046" spans="2:6" ht="12.75">
      <c r="B1046" s="1" t="s">
        <v>4743</v>
      </c>
      <c r="C1046" s="1" t="s">
        <v>4743</v>
      </c>
      <c r="D1046" s="1" t="str">
        <f ca="1">IFERROR(__xludf.DUMMYFUNCTION("iferror(SPLIT(C1046,""=""))"),"")</f>
        <v/>
      </c>
      <c r="F1046" s="1" t="e">
        <f t="shared" ca="1" si="4"/>
        <v>#NAME?</v>
      </c>
    </row>
    <row r="1047" spans="2:6" ht="12.75">
      <c r="B1047" s="1" t="s">
        <v>4743</v>
      </c>
      <c r="C1047" s="1" t="s">
        <v>4743</v>
      </c>
      <c r="D1047" s="1" t="str">
        <f ca="1">IFERROR(__xludf.DUMMYFUNCTION("iferror(SPLIT(C1047,""=""))"),"")</f>
        <v/>
      </c>
      <c r="F1047" s="1" t="e">
        <f t="shared" ca="1" si="4"/>
        <v>#NAME?</v>
      </c>
    </row>
    <row r="1048" spans="2:6" ht="12.75">
      <c r="B1048" s="1" t="s">
        <v>4743</v>
      </c>
      <c r="C1048" s="1" t="s">
        <v>4743</v>
      </c>
      <c r="D1048" s="1" t="str">
        <f ca="1">IFERROR(__xludf.DUMMYFUNCTION("iferror(SPLIT(C1048,""=""))"),"")</f>
        <v/>
      </c>
      <c r="F1048" s="1" t="e">
        <f t="shared" ca="1" si="4"/>
        <v>#NAME?</v>
      </c>
    </row>
    <row r="1049" spans="2:6" ht="12.75">
      <c r="B1049" s="1" t="s">
        <v>4743</v>
      </c>
      <c r="C1049" s="1" t="s">
        <v>4743</v>
      </c>
      <c r="D1049" s="1" t="str">
        <f ca="1">IFERROR(__xludf.DUMMYFUNCTION("iferror(SPLIT(C1049,""=""))"),"")</f>
        <v/>
      </c>
      <c r="F1049" s="1" t="e">
        <f t="shared" ca="1" si="4"/>
        <v>#NAME?</v>
      </c>
    </row>
    <row r="1050" spans="2:6" ht="12.75">
      <c r="B1050" s="1" t="s">
        <v>4743</v>
      </c>
      <c r="C1050" s="1" t="s">
        <v>4743</v>
      </c>
      <c r="D1050" s="1" t="str">
        <f ca="1">IFERROR(__xludf.DUMMYFUNCTION("iferror(SPLIT(C1050,""=""))"),"")</f>
        <v/>
      </c>
      <c r="F1050" s="1" t="e">
        <f t="shared" ca="1" si="4"/>
        <v>#NAME?</v>
      </c>
    </row>
    <row r="1051" spans="2:6" ht="12.75">
      <c r="B1051" s="1" t="s">
        <v>4743</v>
      </c>
      <c r="C1051" s="1" t="s">
        <v>4743</v>
      </c>
      <c r="D1051" s="1" t="str">
        <f ca="1">IFERROR(__xludf.DUMMYFUNCTION("iferror(SPLIT(C1051,""=""))"),"")</f>
        <v/>
      </c>
      <c r="F1051" s="1" t="e">
        <f t="shared" ca="1" si="4"/>
        <v>#NAME?</v>
      </c>
    </row>
    <row r="1052" spans="2:6" ht="12.75">
      <c r="B1052" s="1" t="s">
        <v>4743</v>
      </c>
      <c r="C1052" s="1" t="s">
        <v>4743</v>
      </c>
      <c r="D1052" s="1" t="str">
        <f ca="1">IFERROR(__xludf.DUMMYFUNCTION("iferror(SPLIT(C1052,""=""))"),"")</f>
        <v/>
      </c>
      <c r="F1052" s="1" t="e">
        <f t="shared" ca="1" si="4"/>
        <v>#NAME?</v>
      </c>
    </row>
    <row r="1053" spans="2:6" ht="12.75">
      <c r="B1053" s="1" t="s">
        <v>4743</v>
      </c>
      <c r="C1053" s="1" t="s">
        <v>4743</v>
      </c>
      <c r="D1053" s="1" t="str">
        <f ca="1">IFERROR(__xludf.DUMMYFUNCTION("iferror(SPLIT(C1053,""=""))"),"")</f>
        <v/>
      </c>
      <c r="F1053" s="1" t="e">
        <f t="shared" ca="1" si="4"/>
        <v>#NAME?</v>
      </c>
    </row>
    <row r="1054" spans="2:6" ht="12.75">
      <c r="B1054" s="1" t="s">
        <v>4743</v>
      </c>
      <c r="C1054" s="1" t="s">
        <v>4743</v>
      </c>
      <c r="D1054" s="1" t="str">
        <f ca="1">IFERROR(__xludf.DUMMYFUNCTION("iferror(SPLIT(C1054,""=""))"),"")</f>
        <v/>
      </c>
      <c r="F1054" s="1" t="e">
        <f t="shared" ca="1" si="4"/>
        <v>#NAME?</v>
      </c>
    </row>
    <row r="1055" spans="2:6" ht="12.75">
      <c r="B1055" s="1" t="s">
        <v>4743</v>
      </c>
      <c r="C1055" s="1" t="s">
        <v>4743</v>
      </c>
      <c r="D1055" s="1" t="str">
        <f ca="1">IFERROR(__xludf.DUMMYFUNCTION("iferror(SPLIT(C1055,""=""))"),"")</f>
        <v/>
      </c>
      <c r="F1055" s="1" t="e">
        <f t="shared" ca="1" si="4"/>
        <v>#NAME?</v>
      </c>
    </row>
    <row r="1056" spans="2:6" ht="12.75">
      <c r="B1056" s="1" t="s">
        <v>4743</v>
      </c>
      <c r="C1056" s="1" t="s">
        <v>4743</v>
      </c>
      <c r="D1056" s="1" t="str">
        <f ca="1">IFERROR(__xludf.DUMMYFUNCTION("iferror(SPLIT(C1056,""=""))"),"")</f>
        <v/>
      </c>
      <c r="F1056" s="1" t="e">
        <f t="shared" ca="1" si="4"/>
        <v>#NAME?</v>
      </c>
    </row>
    <row r="1057" spans="2:6" ht="12.75">
      <c r="B1057" s="1" t="s">
        <v>4743</v>
      </c>
      <c r="C1057" s="1" t="s">
        <v>4743</v>
      </c>
      <c r="D1057" s="1" t="str">
        <f ca="1">IFERROR(__xludf.DUMMYFUNCTION("iferror(SPLIT(C1057,""=""))"),"")</f>
        <v/>
      </c>
      <c r="F1057" s="1" t="e">
        <f t="shared" ca="1" si="4"/>
        <v>#NAME?</v>
      </c>
    </row>
    <row r="1058" spans="2:6" ht="12.75">
      <c r="B1058" s="1" t="s">
        <v>4743</v>
      </c>
      <c r="C1058" s="1" t="s">
        <v>4743</v>
      </c>
      <c r="D1058" s="1" t="str">
        <f ca="1">IFERROR(__xludf.DUMMYFUNCTION("iferror(SPLIT(C1058,""=""))"),"")</f>
        <v/>
      </c>
      <c r="F1058" s="1" t="e">
        <f t="shared" ca="1" si="4"/>
        <v>#NAME?</v>
      </c>
    </row>
    <row r="1059" spans="2:6" ht="12.75">
      <c r="B1059" s="1" t="s">
        <v>4743</v>
      </c>
      <c r="C1059" s="1" t="s">
        <v>4743</v>
      </c>
      <c r="D1059" s="1" t="str">
        <f ca="1">IFERROR(__xludf.DUMMYFUNCTION("iferror(SPLIT(C1059,""=""))"),"")</f>
        <v/>
      </c>
      <c r="F1059" s="1" t="e">
        <f t="shared" ca="1" si="4"/>
        <v>#NAME?</v>
      </c>
    </row>
    <row r="1060" spans="2:6" ht="12.75">
      <c r="B1060" s="1" t="s">
        <v>4743</v>
      </c>
      <c r="C1060" s="1" t="s">
        <v>4743</v>
      </c>
      <c r="D1060" s="1" t="str">
        <f ca="1">IFERROR(__xludf.DUMMYFUNCTION("iferror(SPLIT(C1060,""=""))"),"")</f>
        <v/>
      </c>
      <c r="F1060" s="1" t="e">
        <f t="shared" ca="1" si="4"/>
        <v>#NAME?</v>
      </c>
    </row>
    <row r="1061" spans="2:6" ht="12.75">
      <c r="B1061" s="1" t="s">
        <v>4743</v>
      </c>
      <c r="C1061" s="1" t="s">
        <v>4743</v>
      </c>
      <c r="D1061" s="1" t="str">
        <f ca="1">IFERROR(__xludf.DUMMYFUNCTION("iferror(SPLIT(C1061,""=""))"),"")</f>
        <v/>
      </c>
      <c r="F1061" s="1" t="e">
        <f t="shared" ca="1" si="4"/>
        <v>#NAME?</v>
      </c>
    </row>
    <row r="1062" spans="2:6" ht="12.75">
      <c r="B1062" s="1" t="s">
        <v>4743</v>
      </c>
      <c r="C1062" s="1" t="s">
        <v>4743</v>
      </c>
      <c r="D1062" s="1" t="str">
        <f ca="1">IFERROR(__xludf.DUMMYFUNCTION("iferror(SPLIT(C1062,""=""))"),"")</f>
        <v/>
      </c>
      <c r="F1062" s="1" t="e">
        <f t="shared" ca="1" si="4"/>
        <v>#NAME?</v>
      </c>
    </row>
    <row r="1063" spans="2:6" ht="12.75">
      <c r="B1063" s="1" t="s">
        <v>4743</v>
      </c>
      <c r="C1063" s="1" t="s">
        <v>4743</v>
      </c>
      <c r="D1063" s="1" t="str">
        <f ca="1">IFERROR(__xludf.DUMMYFUNCTION("iferror(SPLIT(C1063,""=""))"),"")</f>
        <v/>
      </c>
      <c r="F1063" s="1" t="e">
        <f t="shared" ca="1" si="4"/>
        <v>#NAME?</v>
      </c>
    </row>
    <row r="1064" spans="2:6" ht="12.75">
      <c r="B1064" s="1" t="s">
        <v>4743</v>
      </c>
      <c r="C1064" s="1" t="s">
        <v>4743</v>
      </c>
      <c r="D1064" s="1" t="str">
        <f ca="1">IFERROR(__xludf.DUMMYFUNCTION("iferror(SPLIT(C1064,""=""))"),"")</f>
        <v/>
      </c>
      <c r="F1064" s="1" t="e">
        <f t="shared" ca="1" si="4"/>
        <v>#NAME?</v>
      </c>
    </row>
    <row r="1065" spans="2:6" ht="12.75">
      <c r="B1065" s="1" t="s">
        <v>4743</v>
      </c>
      <c r="C1065" s="1" t="s">
        <v>4743</v>
      </c>
      <c r="D1065" s="1" t="str">
        <f ca="1">IFERROR(__xludf.DUMMYFUNCTION("iferror(SPLIT(C1065,""=""))"),"")</f>
        <v/>
      </c>
      <c r="F1065" s="1" t="e">
        <f t="shared" ca="1" si="4"/>
        <v>#NAME?</v>
      </c>
    </row>
    <row r="1066" spans="2:6" ht="12.75">
      <c r="B1066" s="1" t="s">
        <v>4743</v>
      </c>
      <c r="C1066" s="1" t="s">
        <v>4743</v>
      </c>
      <c r="D1066" s="1" t="str">
        <f ca="1">IFERROR(__xludf.DUMMYFUNCTION("iferror(SPLIT(C1066,""=""))"),"")</f>
        <v/>
      </c>
      <c r="F1066" s="1" t="e">
        <f t="shared" ca="1" si="4"/>
        <v>#NAME?</v>
      </c>
    </row>
    <row r="1067" spans="2:6" ht="12.75">
      <c r="B1067" s="1" t="s">
        <v>4743</v>
      </c>
      <c r="C1067" s="1" t="s">
        <v>4743</v>
      </c>
      <c r="D1067" s="1" t="str">
        <f ca="1">IFERROR(__xludf.DUMMYFUNCTION("iferror(SPLIT(C1067,""=""))"),"")</f>
        <v/>
      </c>
      <c r="F1067" s="1" t="e">
        <f t="shared" ca="1" si="4"/>
        <v>#NAME?</v>
      </c>
    </row>
    <row r="1068" spans="2:6" ht="12.75">
      <c r="B1068" s="1" t="s">
        <v>4743</v>
      </c>
      <c r="C1068" s="1" t="s">
        <v>4743</v>
      </c>
      <c r="D1068" s="1" t="str">
        <f ca="1">IFERROR(__xludf.DUMMYFUNCTION("iferror(SPLIT(C1068,""=""))"),"")</f>
        <v/>
      </c>
      <c r="F1068" s="1" t="e">
        <f t="shared" ca="1" si="4"/>
        <v>#NAME?</v>
      </c>
    </row>
    <row r="1069" spans="2:6" ht="12.75">
      <c r="B1069" s="1" t="s">
        <v>4743</v>
      </c>
      <c r="C1069" s="1" t="s">
        <v>4743</v>
      </c>
      <c r="D1069" s="1" t="str">
        <f ca="1">IFERROR(__xludf.DUMMYFUNCTION("iferror(SPLIT(C1069,""=""))"),"")</f>
        <v/>
      </c>
      <c r="F1069" s="1" t="e">
        <f t="shared" ca="1" si="4"/>
        <v>#NAME?</v>
      </c>
    </row>
    <row r="1070" spans="2:6" ht="12.75">
      <c r="B1070" s="1" t="s">
        <v>4743</v>
      </c>
      <c r="C1070" s="1" t="s">
        <v>4743</v>
      </c>
      <c r="D1070" s="1" t="str">
        <f ca="1">IFERROR(__xludf.DUMMYFUNCTION("iferror(SPLIT(C1070,""=""))"),"")</f>
        <v/>
      </c>
      <c r="F1070" s="1" t="e">
        <f t="shared" ca="1" si="4"/>
        <v>#NAME?</v>
      </c>
    </row>
    <row r="1071" spans="2:6" ht="12.75">
      <c r="B1071" s="1" t="s">
        <v>4743</v>
      </c>
      <c r="C1071" s="1" t="s">
        <v>4743</v>
      </c>
      <c r="D1071" s="1" t="str">
        <f ca="1">IFERROR(__xludf.DUMMYFUNCTION("iferror(SPLIT(C1071,""=""))"),"")</f>
        <v/>
      </c>
      <c r="F1071" s="1" t="e">
        <f t="shared" ca="1" si="4"/>
        <v>#NAME?</v>
      </c>
    </row>
    <row r="1072" spans="2:6" ht="12.75">
      <c r="B1072" s="1" t="s">
        <v>4743</v>
      </c>
      <c r="C1072" s="1" t="s">
        <v>4743</v>
      </c>
      <c r="D1072" s="1" t="str">
        <f ca="1">IFERROR(__xludf.DUMMYFUNCTION("iferror(SPLIT(C1072,""=""))"),"")</f>
        <v/>
      </c>
      <c r="F1072" s="1" t="e">
        <f t="shared" ca="1" si="4"/>
        <v>#NAME?</v>
      </c>
    </row>
    <row r="1073" spans="2:6" ht="12.75">
      <c r="B1073" s="1" t="s">
        <v>4743</v>
      </c>
      <c r="C1073" s="1" t="s">
        <v>4743</v>
      </c>
      <c r="D1073" s="1" t="str">
        <f ca="1">IFERROR(__xludf.DUMMYFUNCTION("iferror(SPLIT(C1073,""=""))"),"")</f>
        <v/>
      </c>
      <c r="F1073" s="1" t="e">
        <f t="shared" ca="1" si="4"/>
        <v>#NAME?</v>
      </c>
    </row>
    <row r="1074" spans="2:6" ht="12.75">
      <c r="B1074" s="1" t="s">
        <v>4743</v>
      </c>
      <c r="C1074" s="1" t="s">
        <v>4743</v>
      </c>
      <c r="D1074" s="1" t="str">
        <f ca="1">IFERROR(__xludf.DUMMYFUNCTION("iferror(SPLIT(C1074,""=""))"),"")</f>
        <v/>
      </c>
      <c r="F1074" s="1" t="e">
        <f t="shared" ca="1" si="4"/>
        <v>#NAME?</v>
      </c>
    </row>
    <row r="1075" spans="2:6" ht="12.75">
      <c r="B1075" s="1" t="s">
        <v>4743</v>
      </c>
      <c r="C1075" s="1" t="s">
        <v>4743</v>
      </c>
      <c r="D1075" s="1" t="str">
        <f ca="1">IFERROR(__xludf.DUMMYFUNCTION("iferror(SPLIT(C1075,""=""))"),"")</f>
        <v/>
      </c>
      <c r="F1075" s="1" t="e">
        <f t="shared" ca="1" si="4"/>
        <v>#NAME?</v>
      </c>
    </row>
    <row r="1076" spans="2:6" ht="12.75">
      <c r="B1076" s="1" t="s">
        <v>4743</v>
      </c>
      <c r="C1076" s="1" t="s">
        <v>4743</v>
      </c>
      <c r="D1076" s="1" t="str">
        <f ca="1">IFERROR(__xludf.DUMMYFUNCTION("iferror(SPLIT(C1076,""=""))"),"")</f>
        <v/>
      </c>
      <c r="F1076" s="1" t="e">
        <f t="shared" ca="1" si="4"/>
        <v>#NAME?</v>
      </c>
    </row>
    <row r="1077" spans="2:6" ht="12.75">
      <c r="B1077" s="1" t="s">
        <v>4743</v>
      </c>
      <c r="C1077" s="1" t="s">
        <v>4743</v>
      </c>
      <c r="D1077" s="1" t="str">
        <f ca="1">IFERROR(__xludf.DUMMYFUNCTION("iferror(SPLIT(C1077,""=""))"),"")</f>
        <v/>
      </c>
      <c r="F1077" s="1" t="e">
        <f t="shared" ca="1" si="4"/>
        <v>#NAME?</v>
      </c>
    </row>
    <row r="1078" spans="2:6" ht="12.75">
      <c r="B1078" s="1" t="s">
        <v>4743</v>
      </c>
      <c r="C1078" s="1" t="s">
        <v>4743</v>
      </c>
      <c r="D1078" s="1" t="str">
        <f ca="1">IFERROR(__xludf.DUMMYFUNCTION("iferror(SPLIT(C1078,""=""))"),"")</f>
        <v/>
      </c>
      <c r="F1078" s="1" t="e">
        <f t="shared" ca="1" si="4"/>
        <v>#NAME?</v>
      </c>
    </row>
    <row r="1079" spans="2:6" ht="12.75">
      <c r="B1079" s="1" t="s">
        <v>4743</v>
      </c>
      <c r="C1079" s="1" t="s">
        <v>4743</v>
      </c>
      <c r="D1079" s="1" t="str">
        <f ca="1">IFERROR(__xludf.DUMMYFUNCTION("iferror(SPLIT(C1079,""=""))"),"")</f>
        <v/>
      </c>
      <c r="F1079" s="1" t="e">
        <f t="shared" ca="1" si="4"/>
        <v>#NAME?</v>
      </c>
    </row>
    <row r="1080" spans="2:6" ht="12.75">
      <c r="B1080" s="1" t="s">
        <v>4743</v>
      </c>
      <c r="C1080" s="1" t="s">
        <v>4743</v>
      </c>
      <c r="D1080" s="1" t="str">
        <f ca="1">IFERROR(__xludf.DUMMYFUNCTION("iferror(SPLIT(C1080,""=""))"),"")</f>
        <v/>
      </c>
      <c r="F1080" s="1" t="e">
        <f t="shared" ca="1" si="4"/>
        <v>#NAME?</v>
      </c>
    </row>
    <row r="1081" spans="2:6" ht="12.75">
      <c r="B1081" s="1" t="s">
        <v>4743</v>
      </c>
      <c r="C1081" s="1" t="s">
        <v>4743</v>
      </c>
      <c r="D1081" s="1" t="str">
        <f ca="1">IFERROR(__xludf.DUMMYFUNCTION("iferror(SPLIT(C1081,""=""))"),"")</f>
        <v/>
      </c>
      <c r="F1081" s="1" t="e">
        <f t="shared" ca="1" si="4"/>
        <v>#NAME?</v>
      </c>
    </row>
    <row r="1082" spans="2:6" ht="12.75">
      <c r="B1082" s="1" t="s">
        <v>4743</v>
      </c>
      <c r="C1082" s="1" t="s">
        <v>4743</v>
      </c>
      <c r="D1082" s="1" t="str">
        <f ca="1">IFERROR(__xludf.DUMMYFUNCTION("iferror(SPLIT(C1082,""=""))"),"")</f>
        <v/>
      </c>
      <c r="F1082" s="1" t="e">
        <f t="shared" ca="1" si="4"/>
        <v>#NAME?</v>
      </c>
    </row>
    <row r="1083" spans="2:6" ht="12.75">
      <c r="B1083" s="1" t="s">
        <v>4743</v>
      </c>
      <c r="C1083" s="1" t="s">
        <v>4743</v>
      </c>
      <c r="D1083" s="1" t="str">
        <f ca="1">IFERROR(__xludf.DUMMYFUNCTION("iferror(SPLIT(C1083,""=""))"),"")</f>
        <v/>
      </c>
      <c r="F1083" s="1" t="e">
        <f t="shared" ca="1" si="4"/>
        <v>#NAME?</v>
      </c>
    </row>
    <row r="1084" spans="2:6" ht="12.75">
      <c r="B1084" s="1" t="s">
        <v>4743</v>
      </c>
      <c r="C1084" s="1" t="s">
        <v>4743</v>
      </c>
      <c r="D1084" s="1" t="str">
        <f ca="1">IFERROR(__xludf.DUMMYFUNCTION("iferror(SPLIT(C1084,""=""))"),"")</f>
        <v/>
      </c>
      <c r="F1084" s="1" t="e">
        <f t="shared" ca="1" si="4"/>
        <v>#NAME?</v>
      </c>
    </row>
    <row r="1085" spans="2:6" ht="12.75">
      <c r="B1085" s="1" t="s">
        <v>4743</v>
      </c>
      <c r="C1085" s="1" t="s">
        <v>4743</v>
      </c>
      <c r="D1085" s="1" t="str">
        <f ca="1">IFERROR(__xludf.DUMMYFUNCTION("iferror(SPLIT(C1085,""=""))"),"")</f>
        <v/>
      </c>
      <c r="F1085" s="1" t="e">
        <f t="shared" ca="1" si="4"/>
        <v>#NAME?</v>
      </c>
    </row>
    <row r="1086" spans="2:6" ht="12.75">
      <c r="B1086" s="1" t="s">
        <v>4743</v>
      </c>
      <c r="C1086" s="1" t="s">
        <v>4743</v>
      </c>
      <c r="D1086" s="1" t="str">
        <f ca="1">IFERROR(__xludf.DUMMYFUNCTION("iferror(SPLIT(C1086,""=""))"),"")</f>
        <v/>
      </c>
      <c r="F1086" s="1" t="e">
        <f t="shared" ca="1" si="4"/>
        <v>#NAME?</v>
      </c>
    </row>
    <row r="1087" spans="2:6" ht="12.75">
      <c r="B1087" s="1" t="s">
        <v>4743</v>
      </c>
      <c r="C1087" s="1" t="s">
        <v>4743</v>
      </c>
      <c r="D1087" s="1" t="str">
        <f ca="1">IFERROR(__xludf.DUMMYFUNCTION("iferror(SPLIT(C1087,""=""))"),"")</f>
        <v/>
      </c>
      <c r="F1087" s="1" t="e">
        <f t="shared" ca="1" si="4"/>
        <v>#NAME?</v>
      </c>
    </row>
    <row r="1088" spans="2:6" ht="12.75">
      <c r="B1088" s="1" t="s">
        <v>4743</v>
      </c>
      <c r="C1088" s="1" t="s">
        <v>4743</v>
      </c>
      <c r="D1088" s="1" t="str">
        <f ca="1">IFERROR(__xludf.DUMMYFUNCTION("iferror(SPLIT(C1088,""=""))"),"")</f>
        <v/>
      </c>
      <c r="F1088" s="1" t="e">
        <f t="shared" ca="1" si="4"/>
        <v>#NAME?</v>
      </c>
    </row>
    <row r="1089" spans="2:6" ht="12.75">
      <c r="B1089" s="1" t="s">
        <v>4743</v>
      </c>
      <c r="C1089" s="1" t="s">
        <v>4743</v>
      </c>
      <c r="D1089" s="1" t="str">
        <f ca="1">IFERROR(__xludf.DUMMYFUNCTION("iferror(SPLIT(C1089,""=""))"),"")</f>
        <v/>
      </c>
      <c r="F1089" s="1" t="e">
        <f t="shared" ca="1" si="4"/>
        <v>#NAME?</v>
      </c>
    </row>
    <row r="1090" spans="2:6" ht="12.75">
      <c r="B1090" s="1" t="s">
        <v>4743</v>
      </c>
      <c r="C1090" s="1" t="s">
        <v>4743</v>
      </c>
      <c r="D1090" s="1" t="str">
        <f ca="1">IFERROR(__xludf.DUMMYFUNCTION("iferror(SPLIT(C1090,""=""))"),"")</f>
        <v/>
      </c>
      <c r="F1090" s="1" t="e">
        <f t="shared" ca="1" si="4"/>
        <v>#NAME?</v>
      </c>
    </row>
    <row r="1091" spans="2:6" ht="12.75">
      <c r="B1091" s="1" t="s">
        <v>4743</v>
      </c>
      <c r="C1091" s="1" t="s">
        <v>4743</v>
      </c>
      <c r="D1091" s="1" t="str">
        <f ca="1">IFERROR(__xludf.DUMMYFUNCTION("iferror(SPLIT(C1091,""=""))"),"")</f>
        <v/>
      </c>
      <c r="F1091" s="1" t="e">
        <f t="shared" ca="1" si="4"/>
        <v>#NAME?</v>
      </c>
    </row>
    <row r="1092" spans="2:6" ht="12.75">
      <c r="B1092" s="1" t="s">
        <v>4743</v>
      </c>
      <c r="C1092" s="1" t="s">
        <v>4743</v>
      </c>
      <c r="D1092" s="1" t="str">
        <f ca="1">IFERROR(__xludf.DUMMYFUNCTION("iferror(SPLIT(C1092,""=""))"),"")</f>
        <v/>
      </c>
      <c r="F1092" s="1" t="e">
        <f t="shared" ca="1" si="4"/>
        <v>#NAME?</v>
      </c>
    </row>
    <row r="1093" spans="2:6" ht="12.75">
      <c r="B1093" s="1" t="s">
        <v>4743</v>
      </c>
      <c r="C1093" s="1" t="s">
        <v>4743</v>
      </c>
      <c r="D1093" s="1" t="str">
        <f ca="1">IFERROR(__xludf.DUMMYFUNCTION("iferror(SPLIT(C1093,""=""))"),"")</f>
        <v/>
      </c>
      <c r="F1093" s="1" t="e">
        <f t="shared" ca="1" si="4"/>
        <v>#NAME?</v>
      </c>
    </row>
    <row r="1094" spans="2:6" ht="12.75">
      <c r="B1094" s="1" t="s">
        <v>4743</v>
      </c>
      <c r="C1094" s="1" t="s">
        <v>4743</v>
      </c>
      <c r="D1094" s="1" t="str">
        <f ca="1">IFERROR(__xludf.DUMMYFUNCTION("iferror(SPLIT(C1094,""=""))"),"")</f>
        <v/>
      </c>
      <c r="F1094" s="1" t="e">
        <f t="shared" ca="1" si="4"/>
        <v>#NAME?</v>
      </c>
    </row>
    <row r="1095" spans="2:6" ht="12.75">
      <c r="B1095" s="1" t="s">
        <v>4743</v>
      </c>
      <c r="C1095" s="1" t="s">
        <v>4743</v>
      </c>
      <c r="D1095" s="1" t="str">
        <f ca="1">IFERROR(__xludf.DUMMYFUNCTION("iferror(SPLIT(C1095,""=""))"),"")</f>
        <v/>
      </c>
      <c r="F1095" s="1" t="e">
        <f t="shared" ca="1" si="4"/>
        <v>#NAME?</v>
      </c>
    </row>
    <row r="1096" spans="2:6" ht="12.75">
      <c r="B1096" s="1" t="s">
        <v>4743</v>
      </c>
      <c r="C1096" s="1" t="s">
        <v>4743</v>
      </c>
      <c r="D1096" s="1" t="str">
        <f ca="1">IFERROR(__xludf.DUMMYFUNCTION("iferror(SPLIT(C1096,""=""))"),"")</f>
        <v/>
      </c>
      <c r="F1096" s="1" t="e">
        <f t="shared" ca="1" si="4"/>
        <v>#NAME?</v>
      </c>
    </row>
    <row r="1097" spans="2:6" ht="12.75">
      <c r="B1097" s="1" t="s">
        <v>4743</v>
      </c>
      <c r="C1097" s="1" t="s">
        <v>4743</v>
      </c>
      <c r="D1097" s="1" t="str">
        <f ca="1">IFERROR(__xludf.DUMMYFUNCTION("iferror(SPLIT(C1097,""=""))"),"")</f>
        <v/>
      </c>
      <c r="F1097" s="1" t="e">
        <f t="shared" ca="1" si="4"/>
        <v>#NAME?</v>
      </c>
    </row>
    <row r="1098" spans="2:6" ht="12.75">
      <c r="B1098" s="1" t="s">
        <v>4743</v>
      </c>
      <c r="C1098" s="1" t="s">
        <v>4743</v>
      </c>
      <c r="D1098" s="1" t="str">
        <f ca="1">IFERROR(__xludf.DUMMYFUNCTION("iferror(SPLIT(C1098,""=""))"),"")</f>
        <v/>
      </c>
      <c r="F1098" s="1" t="e">
        <f t="shared" ca="1" si="4"/>
        <v>#NAME?</v>
      </c>
    </row>
    <row r="1099" spans="2:6" ht="12.75">
      <c r="B1099" s="1" t="s">
        <v>4743</v>
      </c>
      <c r="C1099" s="1" t="s">
        <v>4743</v>
      </c>
      <c r="D1099" s="1" t="str">
        <f ca="1">IFERROR(__xludf.DUMMYFUNCTION("iferror(SPLIT(C1099,""=""))"),"")</f>
        <v/>
      </c>
      <c r="F1099" s="1" t="e">
        <f t="shared" ca="1" si="4"/>
        <v>#NAME?</v>
      </c>
    </row>
    <row r="1100" spans="2:6" ht="12.75">
      <c r="B1100" s="1" t="s">
        <v>4743</v>
      </c>
      <c r="C1100" s="1" t="s">
        <v>4743</v>
      </c>
      <c r="D1100" s="1" t="str">
        <f ca="1">IFERROR(__xludf.DUMMYFUNCTION("iferror(SPLIT(C1100,""=""))"),"")</f>
        <v/>
      </c>
      <c r="F1100" s="1" t="e">
        <f t="shared" ca="1" si="4"/>
        <v>#NAME?</v>
      </c>
    </row>
    <row r="1101" spans="2:6" ht="12.75">
      <c r="B1101" s="1" t="s">
        <v>4743</v>
      </c>
      <c r="C1101" s="1" t="s">
        <v>4743</v>
      </c>
      <c r="D1101" s="1" t="str">
        <f ca="1">IFERROR(__xludf.DUMMYFUNCTION("iferror(SPLIT(C1101,""=""))"),"")</f>
        <v/>
      </c>
      <c r="F1101" s="1" t="e">
        <f t="shared" ca="1" si="4"/>
        <v>#NAME?</v>
      </c>
    </row>
    <row r="1102" spans="2:6" ht="12.75">
      <c r="B1102" s="1" t="s">
        <v>4743</v>
      </c>
      <c r="C1102" s="1" t="s">
        <v>4743</v>
      </c>
      <c r="D1102" s="1" t="str">
        <f ca="1">IFERROR(__xludf.DUMMYFUNCTION("iferror(SPLIT(C1102,""=""))"),"")</f>
        <v/>
      </c>
      <c r="F1102" s="1" t="e">
        <f t="shared" ca="1" si="4"/>
        <v>#NAME?</v>
      </c>
    </row>
  </sheetData>
  <hyperlinks>
    <hyperlink ref="F1" r:id="rId1"/>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outlinePr summaryBelow="0" summaryRight="0"/>
  </sheetPr>
  <dimension ref="A1:E1000"/>
  <sheetViews>
    <sheetView workbookViewId="0">
      <pane ySplit="1" topLeftCell="A2" activePane="bottomLeft" state="frozen"/>
      <selection pane="bottomLeft" activeCell="B3" sqref="B3"/>
    </sheetView>
  </sheetViews>
  <sheetFormatPr defaultColWidth="12.5703125" defaultRowHeight="15.75" customHeight="1"/>
  <cols>
    <col min="1" max="1" width="66.85546875" hidden="1" customWidth="1"/>
    <col min="2" max="2" width="7.85546875" customWidth="1"/>
    <col min="3" max="3" width="11.5703125" customWidth="1"/>
    <col min="4" max="4" width="14.42578125" customWidth="1"/>
    <col min="5" max="5" width="37.140625" customWidth="1"/>
  </cols>
  <sheetData>
    <row r="1" spans="1:5" ht="15.75" customHeight="1">
      <c r="A1" s="1167" t="s">
        <v>321</v>
      </c>
      <c r="B1" s="1168" t="s">
        <v>278</v>
      </c>
      <c r="C1" s="1169" t="s">
        <v>429</v>
      </c>
      <c r="D1" s="1169" t="s">
        <v>322</v>
      </c>
      <c r="E1" s="1109" t="s">
        <v>2</v>
      </c>
    </row>
    <row r="2" spans="1:5" ht="15.75" customHeight="1">
      <c r="A2" s="1090" t="str">
        <f ca="1">IFERROR(__xludf.DUMMYFUNCTION("IFERROR(FILTER('Pivot Table 1'!A2:A1000,'Pivot Table 1'!A2:A1000&lt;&gt;""""))"),"")</f>
        <v/>
      </c>
      <c r="B2" s="1170">
        <v>1</v>
      </c>
      <c r="C2" s="64" t="s">
        <v>4743</v>
      </c>
      <c r="D2" s="64">
        <v>0</v>
      </c>
      <c r="E2" s="279" t="s">
        <v>4743</v>
      </c>
    </row>
    <row r="3" spans="1:5" ht="15.75" customHeight="1">
      <c r="A3" s="1090"/>
      <c r="B3" s="1170">
        <v>1</v>
      </c>
      <c r="C3" s="64" t="s">
        <v>4743</v>
      </c>
      <c r="D3" s="64">
        <v>0</v>
      </c>
      <c r="E3" s="279" t="s">
        <v>4743</v>
      </c>
    </row>
    <row r="4" spans="1:5" ht="15.75" customHeight="1">
      <c r="A4" s="1090"/>
      <c r="B4" s="1170">
        <v>1</v>
      </c>
      <c r="C4" s="64" t="s">
        <v>4743</v>
      </c>
      <c r="D4" s="64">
        <v>0</v>
      </c>
      <c r="E4" s="279" t="s">
        <v>4743</v>
      </c>
    </row>
    <row r="5" spans="1:5" ht="15.75" customHeight="1">
      <c r="A5" s="1090"/>
      <c r="B5" s="74" t="s">
        <v>4743</v>
      </c>
      <c r="C5" s="64" t="s">
        <v>4743</v>
      </c>
      <c r="D5" s="64">
        <v>0</v>
      </c>
      <c r="E5" s="279" t="s">
        <v>4743</v>
      </c>
    </row>
    <row r="6" spans="1:5" ht="15.75" customHeight="1">
      <c r="A6" s="1090"/>
      <c r="B6" s="74" t="s">
        <v>4743</v>
      </c>
      <c r="C6" s="64" t="s">
        <v>4743</v>
      </c>
      <c r="D6" s="64">
        <v>0</v>
      </c>
      <c r="E6" s="279" t="s">
        <v>4743</v>
      </c>
    </row>
    <row r="7" spans="1:5" ht="15.75" customHeight="1">
      <c r="A7" s="1090"/>
      <c r="B7" s="74" t="s">
        <v>4743</v>
      </c>
      <c r="C7" s="64" t="s">
        <v>4743</v>
      </c>
      <c r="D7" s="64">
        <v>0</v>
      </c>
      <c r="E7" s="279" t="s">
        <v>4743</v>
      </c>
    </row>
    <row r="8" spans="1:5" ht="15.75" customHeight="1">
      <c r="A8" s="1090"/>
      <c r="B8" s="74" t="s">
        <v>4743</v>
      </c>
      <c r="C8" s="64" t="s">
        <v>4743</v>
      </c>
      <c r="D8" s="64">
        <v>0</v>
      </c>
      <c r="E8" s="279" t="s">
        <v>4743</v>
      </c>
    </row>
    <row r="9" spans="1:5" ht="15.75" customHeight="1">
      <c r="A9" s="1090"/>
      <c r="B9" s="74" t="s">
        <v>4743</v>
      </c>
      <c r="C9" s="64" t="s">
        <v>4743</v>
      </c>
      <c r="D9" s="64">
        <v>0</v>
      </c>
      <c r="E9" s="279" t="s">
        <v>4743</v>
      </c>
    </row>
    <row r="10" spans="1:5" ht="15.75" customHeight="1">
      <c r="A10" s="1090"/>
      <c r="B10" s="74" t="s">
        <v>4743</v>
      </c>
      <c r="C10" s="64" t="s">
        <v>4743</v>
      </c>
      <c r="D10" s="64">
        <v>0</v>
      </c>
      <c r="E10" s="279" t="s">
        <v>4743</v>
      </c>
    </row>
    <row r="11" spans="1:5" ht="15.75" customHeight="1">
      <c r="A11" s="1090"/>
      <c r="B11" s="74" t="s">
        <v>4743</v>
      </c>
      <c r="C11" s="64" t="s">
        <v>4743</v>
      </c>
      <c r="D11" s="64">
        <v>0</v>
      </c>
      <c r="E11" s="279" t="s">
        <v>4743</v>
      </c>
    </row>
    <row r="12" spans="1:5" ht="15.75" customHeight="1">
      <c r="A12" s="1090"/>
      <c r="B12" s="74" t="s">
        <v>4743</v>
      </c>
      <c r="C12" s="64" t="s">
        <v>4743</v>
      </c>
      <c r="D12" s="64">
        <v>0</v>
      </c>
      <c r="E12" s="279" t="s">
        <v>4743</v>
      </c>
    </row>
    <row r="13" spans="1:5" ht="15.75" customHeight="1">
      <c r="A13" s="1090"/>
      <c r="B13" s="74" t="s">
        <v>4743</v>
      </c>
      <c r="C13" s="64" t="s">
        <v>4743</v>
      </c>
      <c r="D13" s="64">
        <v>0</v>
      </c>
      <c r="E13" s="279" t="s">
        <v>4743</v>
      </c>
    </row>
    <row r="14" spans="1:5" ht="15.75" customHeight="1">
      <c r="A14" s="1090"/>
      <c r="B14" s="74" t="s">
        <v>4743</v>
      </c>
      <c r="C14" s="64" t="s">
        <v>4743</v>
      </c>
      <c r="D14" s="64">
        <v>0</v>
      </c>
      <c r="E14" s="279" t="s">
        <v>4743</v>
      </c>
    </row>
    <row r="15" spans="1:5" ht="15.75" customHeight="1">
      <c r="A15" s="1090"/>
      <c r="B15" s="74" t="s">
        <v>4743</v>
      </c>
      <c r="C15" s="64" t="s">
        <v>4743</v>
      </c>
      <c r="D15" s="64">
        <v>0</v>
      </c>
      <c r="E15" s="279" t="s">
        <v>4743</v>
      </c>
    </row>
    <row r="16" spans="1:5" ht="15.75" customHeight="1">
      <c r="A16" s="1090"/>
      <c r="B16" s="74" t="s">
        <v>4743</v>
      </c>
      <c r="C16" s="64" t="s">
        <v>4743</v>
      </c>
      <c r="D16" s="64">
        <v>0</v>
      </c>
      <c r="E16" s="279" t="s">
        <v>4743</v>
      </c>
    </row>
    <row r="17" spans="1:5" ht="15.75" customHeight="1">
      <c r="A17" s="1090"/>
      <c r="B17" s="74" t="s">
        <v>4743</v>
      </c>
      <c r="C17" s="64" t="s">
        <v>4743</v>
      </c>
      <c r="D17" s="64">
        <v>0</v>
      </c>
      <c r="E17" s="279" t="s">
        <v>4743</v>
      </c>
    </row>
    <row r="18" spans="1:5" ht="15.75" customHeight="1">
      <c r="A18" s="1090"/>
      <c r="B18" s="74" t="s">
        <v>4743</v>
      </c>
      <c r="C18" s="64" t="s">
        <v>4743</v>
      </c>
      <c r="D18" s="64">
        <v>0</v>
      </c>
      <c r="E18" s="279" t="s">
        <v>4743</v>
      </c>
    </row>
    <row r="19" spans="1:5" ht="15.75" customHeight="1">
      <c r="A19" s="1090"/>
      <c r="B19" s="74" t="s">
        <v>4743</v>
      </c>
      <c r="C19" s="64" t="s">
        <v>4743</v>
      </c>
      <c r="D19" s="64">
        <v>0</v>
      </c>
      <c r="E19" s="279" t="s">
        <v>4743</v>
      </c>
    </row>
    <row r="20" spans="1:5" ht="15.75" customHeight="1">
      <c r="A20" s="1090"/>
      <c r="B20" s="74" t="s">
        <v>4743</v>
      </c>
      <c r="C20" s="64" t="s">
        <v>4743</v>
      </c>
      <c r="D20" s="64">
        <v>0</v>
      </c>
      <c r="E20" s="279" t="s">
        <v>4743</v>
      </c>
    </row>
    <row r="21" spans="1:5" ht="15.75" customHeight="1">
      <c r="A21" s="1090"/>
      <c r="B21" s="74" t="s">
        <v>4743</v>
      </c>
      <c r="C21" s="64" t="s">
        <v>4743</v>
      </c>
      <c r="D21" s="64">
        <v>0</v>
      </c>
      <c r="E21" s="279" t="s">
        <v>4743</v>
      </c>
    </row>
    <row r="22" spans="1:5" ht="15.75" customHeight="1">
      <c r="A22" s="1090"/>
      <c r="B22" s="74" t="s">
        <v>4743</v>
      </c>
      <c r="C22" s="64" t="s">
        <v>4743</v>
      </c>
      <c r="D22" s="64">
        <v>0</v>
      </c>
      <c r="E22" s="279" t="s">
        <v>4743</v>
      </c>
    </row>
    <row r="23" spans="1:5" ht="15.75" customHeight="1">
      <c r="A23" s="1090"/>
      <c r="B23" s="74" t="s">
        <v>4743</v>
      </c>
      <c r="C23" s="64" t="s">
        <v>4743</v>
      </c>
      <c r="D23" s="64">
        <v>0</v>
      </c>
      <c r="E23" s="279" t="s">
        <v>4743</v>
      </c>
    </row>
    <row r="24" spans="1:5" ht="15.75" customHeight="1">
      <c r="A24" s="1090"/>
      <c r="B24" s="74" t="s">
        <v>4743</v>
      </c>
      <c r="C24" s="64" t="s">
        <v>4743</v>
      </c>
      <c r="D24" s="64">
        <v>0</v>
      </c>
      <c r="E24" s="279" t="s">
        <v>4743</v>
      </c>
    </row>
    <row r="25" spans="1:5" ht="15.75" customHeight="1">
      <c r="A25" s="1090"/>
      <c r="B25" s="74" t="s">
        <v>4743</v>
      </c>
      <c r="C25" s="64" t="s">
        <v>4743</v>
      </c>
      <c r="D25" s="64">
        <v>0</v>
      </c>
      <c r="E25" s="279" t="s">
        <v>4743</v>
      </c>
    </row>
    <row r="26" spans="1:5" ht="15.75" customHeight="1">
      <c r="A26" s="1090"/>
      <c r="B26" s="74" t="s">
        <v>4743</v>
      </c>
      <c r="C26" s="64" t="s">
        <v>4743</v>
      </c>
      <c r="D26" s="64">
        <v>0</v>
      </c>
      <c r="E26" s="279" t="s">
        <v>4743</v>
      </c>
    </row>
    <row r="27" spans="1:5" ht="15.75" customHeight="1">
      <c r="A27" s="1090"/>
      <c r="B27" s="74" t="s">
        <v>4743</v>
      </c>
      <c r="C27" s="64" t="s">
        <v>4743</v>
      </c>
      <c r="D27" s="64">
        <v>0</v>
      </c>
      <c r="E27" s="279" t="s">
        <v>4743</v>
      </c>
    </row>
    <row r="28" spans="1:5" ht="15.75" customHeight="1">
      <c r="A28" s="1090"/>
      <c r="B28" s="74" t="s">
        <v>4743</v>
      </c>
      <c r="C28" s="64" t="s">
        <v>4743</v>
      </c>
      <c r="D28" s="64">
        <v>0</v>
      </c>
      <c r="E28" s="279" t="s">
        <v>4743</v>
      </c>
    </row>
    <row r="29" spans="1:5" ht="15.75" customHeight="1">
      <c r="A29" s="1090"/>
      <c r="B29" s="74" t="s">
        <v>4743</v>
      </c>
      <c r="C29" s="64" t="s">
        <v>4743</v>
      </c>
      <c r="D29" s="64">
        <v>0</v>
      </c>
      <c r="E29" s="279" t="s">
        <v>4743</v>
      </c>
    </row>
    <row r="30" spans="1:5" ht="15.75" customHeight="1">
      <c r="A30" s="1090"/>
      <c r="B30" s="74" t="s">
        <v>4743</v>
      </c>
      <c r="C30" s="64" t="s">
        <v>4743</v>
      </c>
      <c r="D30" s="64">
        <v>0</v>
      </c>
      <c r="E30" s="279" t="s">
        <v>4743</v>
      </c>
    </row>
    <row r="31" spans="1:5" ht="15.75" customHeight="1">
      <c r="A31" s="1090"/>
      <c r="B31" s="74" t="s">
        <v>4743</v>
      </c>
      <c r="C31" s="64" t="s">
        <v>4743</v>
      </c>
      <c r="D31" s="64">
        <v>0</v>
      </c>
      <c r="E31" s="279" t="s">
        <v>4743</v>
      </c>
    </row>
    <row r="32" spans="1:5" ht="15.75" customHeight="1">
      <c r="A32" s="1090"/>
      <c r="B32" s="74" t="s">
        <v>4743</v>
      </c>
      <c r="C32" s="64" t="s">
        <v>4743</v>
      </c>
      <c r="D32" s="64">
        <v>0</v>
      </c>
      <c r="E32" s="279" t="s">
        <v>4743</v>
      </c>
    </row>
    <row r="33" spans="1:5" ht="15.75" customHeight="1">
      <c r="A33" s="1090"/>
      <c r="B33" s="74" t="s">
        <v>4743</v>
      </c>
      <c r="C33" s="64" t="s">
        <v>4743</v>
      </c>
      <c r="D33" s="64">
        <v>0</v>
      </c>
      <c r="E33" s="279" t="s">
        <v>4743</v>
      </c>
    </row>
    <row r="34" spans="1:5" ht="15.75" customHeight="1">
      <c r="A34" s="1090"/>
      <c r="B34" s="74" t="s">
        <v>4743</v>
      </c>
      <c r="C34" s="64" t="s">
        <v>4743</v>
      </c>
      <c r="D34" s="64">
        <v>0</v>
      </c>
      <c r="E34" s="279" t="s">
        <v>4743</v>
      </c>
    </row>
    <row r="35" spans="1:5" ht="15.75" customHeight="1">
      <c r="A35" s="1090"/>
      <c r="B35" s="74" t="s">
        <v>4743</v>
      </c>
      <c r="C35" s="64" t="s">
        <v>4743</v>
      </c>
      <c r="D35" s="64">
        <v>0</v>
      </c>
      <c r="E35" s="279" t="s">
        <v>4743</v>
      </c>
    </row>
    <row r="36" spans="1:5" ht="15.75" customHeight="1">
      <c r="A36" s="1090"/>
      <c r="B36" s="74" t="s">
        <v>4743</v>
      </c>
      <c r="C36" s="64" t="s">
        <v>4743</v>
      </c>
      <c r="D36" s="64">
        <v>0</v>
      </c>
      <c r="E36" s="279" t="s">
        <v>4743</v>
      </c>
    </row>
    <row r="37" spans="1:5" ht="15.75" customHeight="1">
      <c r="A37" s="1090"/>
      <c r="B37" s="74" t="s">
        <v>4743</v>
      </c>
      <c r="C37" s="64" t="s">
        <v>4743</v>
      </c>
      <c r="D37" s="64">
        <v>0</v>
      </c>
      <c r="E37" s="279" t="s">
        <v>4743</v>
      </c>
    </row>
    <row r="38" spans="1:5" ht="15.75" customHeight="1">
      <c r="A38" s="1090"/>
      <c r="B38" s="74" t="s">
        <v>4743</v>
      </c>
      <c r="C38" s="64" t="s">
        <v>4743</v>
      </c>
      <c r="D38" s="64">
        <v>0</v>
      </c>
      <c r="E38" s="279" t="s">
        <v>4743</v>
      </c>
    </row>
    <row r="39" spans="1:5" ht="15.75" customHeight="1">
      <c r="A39" s="1090"/>
      <c r="B39" s="74" t="s">
        <v>4743</v>
      </c>
      <c r="C39" s="64" t="s">
        <v>4743</v>
      </c>
      <c r="D39" s="64">
        <v>0</v>
      </c>
      <c r="E39" s="279" t="s">
        <v>4743</v>
      </c>
    </row>
    <row r="40" spans="1:5" ht="15.75" customHeight="1">
      <c r="A40" s="1090"/>
      <c r="B40" s="74" t="s">
        <v>4743</v>
      </c>
      <c r="C40" s="64" t="s">
        <v>4743</v>
      </c>
      <c r="D40" s="64">
        <v>0</v>
      </c>
      <c r="E40" s="279" t="s">
        <v>4743</v>
      </c>
    </row>
    <row r="41" spans="1:5" ht="15.75" customHeight="1">
      <c r="A41" s="1090"/>
      <c r="B41" s="74" t="s">
        <v>4743</v>
      </c>
      <c r="C41" s="64" t="s">
        <v>4743</v>
      </c>
      <c r="D41" s="64">
        <v>0</v>
      </c>
      <c r="E41" s="279" t="s">
        <v>4743</v>
      </c>
    </row>
    <row r="42" spans="1:5" ht="15.75" customHeight="1">
      <c r="A42" s="1090"/>
      <c r="B42" s="74" t="s">
        <v>4743</v>
      </c>
      <c r="C42" s="64" t="s">
        <v>4743</v>
      </c>
      <c r="D42" s="64">
        <v>0</v>
      </c>
      <c r="E42" s="279" t="s">
        <v>4743</v>
      </c>
    </row>
    <row r="43" spans="1:5" ht="15.75" customHeight="1">
      <c r="A43" s="1090"/>
      <c r="B43" s="74" t="s">
        <v>4743</v>
      </c>
      <c r="C43" s="64" t="s">
        <v>4743</v>
      </c>
      <c r="D43" s="64">
        <v>0</v>
      </c>
      <c r="E43" s="279" t="s">
        <v>4743</v>
      </c>
    </row>
    <row r="44" spans="1:5" ht="15.75" customHeight="1">
      <c r="A44" s="1090"/>
      <c r="B44" s="74" t="s">
        <v>4743</v>
      </c>
      <c r="C44" s="64" t="s">
        <v>4743</v>
      </c>
      <c r="D44" s="64">
        <v>0</v>
      </c>
      <c r="E44" s="279" t="s">
        <v>4743</v>
      </c>
    </row>
    <row r="45" spans="1:5" ht="15.75" customHeight="1">
      <c r="A45" s="1090"/>
      <c r="B45" s="74" t="s">
        <v>4743</v>
      </c>
      <c r="C45" s="64" t="s">
        <v>4743</v>
      </c>
      <c r="D45" s="64">
        <v>0</v>
      </c>
      <c r="E45" s="279" t="s">
        <v>4743</v>
      </c>
    </row>
    <row r="46" spans="1:5" ht="15.75" customHeight="1">
      <c r="A46" s="1090"/>
      <c r="B46" s="74" t="s">
        <v>4743</v>
      </c>
      <c r="C46" s="64" t="s">
        <v>4743</v>
      </c>
      <c r="D46" s="64">
        <v>0</v>
      </c>
      <c r="E46" s="279" t="s">
        <v>4743</v>
      </c>
    </row>
    <row r="47" spans="1:5" ht="15.75" customHeight="1">
      <c r="A47" s="1090"/>
      <c r="B47" s="74" t="s">
        <v>4743</v>
      </c>
      <c r="C47" s="64" t="s">
        <v>4743</v>
      </c>
      <c r="D47" s="64">
        <v>0</v>
      </c>
      <c r="E47" s="279" t="s">
        <v>4743</v>
      </c>
    </row>
    <row r="48" spans="1:5" ht="15.75" customHeight="1">
      <c r="A48" s="1090"/>
      <c r="B48" s="74" t="s">
        <v>4743</v>
      </c>
      <c r="C48" s="64" t="s">
        <v>4743</v>
      </c>
      <c r="D48" s="64">
        <v>0</v>
      </c>
      <c r="E48" s="279" t="s">
        <v>4743</v>
      </c>
    </row>
    <row r="49" spans="1:5" ht="15.75" customHeight="1">
      <c r="A49" s="1090"/>
      <c r="B49" s="74" t="s">
        <v>4743</v>
      </c>
      <c r="C49" s="64" t="s">
        <v>4743</v>
      </c>
      <c r="D49" s="64">
        <v>0</v>
      </c>
      <c r="E49" s="279" t="s">
        <v>4743</v>
      </c>
    </row>
    <row r="50" spans="1:5" ht="15.75" customHeight="1">
      <c r="A50" s="1090"/>
      <c r="B50" s="74" t="s">
        <v>4743</v>
      </c>
      <c r="C50" s="64" t="s">
        <v>4743</v>
      </c>
      <c r="D50" s="64">
        <v>0</v>
      </c>
      <c r="E50" s="279" t="s">
        <v>4743</v>
      </c>
    </row>
    <row r="51" spans="1:5" ht="15.75" customHeight="1">
      <c r="A51" s="1090"/>
      <c r="B51" s="74" t="s">
        <v>4743</v>
      </c>
      <c r="C51" s="64" t="s">
        <v>4743</v>
      </c>
      <c r="D51" s="64">
        <v>0</v>
      </c>
      <c r="E51" s="279" t="s">
        <v>4743</v>
      </c>
    </row>
    <row r="52" spans="1:5" ht="15.75" customHeight="1">
      <c r="A52" s="1090"/>
      <c r="B52" s="74" t="s">
        <v>4743</v>
      </c>
      <c r="C52" s="64" t="s">
        <v>4743</v>
      </c>
      <c r="D52" s="64">
        <v>0</v>
      </c>
      <c r="E52" s="279" t="s">
        <v>4743</v>
      </c>
    </row>
    <row r="53" spans="1:5" ht="15.75" customHeight="1">
      <c r="A53" s="1090"/>
      <c r="B53" s="74" t="s">
        <v>4743</v>
      </c>
      <c r="C53" s="64" t="s">
        <v>4743</v>
      </c>
      <c r="D53" s="64">
        <v>0</v>
      </c>
      <c r="E53" s="279" t="s">
        <v>4743</v>
      </c>
    </row>
    <row r="54" spans="1:5" ht="15.75" customHeight="1">
      <c r="A54" s="1090"/>
      <c r="B54" s="74" t="s">
        <v>4743</v>
      </c>
      <c r="C54" s="64" t="s">
        <v>4743</v>
      </c>
      <c r="D54" s="64">
        <v>0</v>
      </c>
      <c r="E54" s="279" t="s">
        <v>4743</v>
      </c>
    </row>
    <row r="55" spans="1:5" ht="15.75" customHeight="1">
      <c r="A55" s="1090"/>
      <c r="B55" s="74" t="s">
        <v>4743</v>
      </c>
      <c r="C55" s="64" t="s">
        <v>4743</v>
      </c>
      <c r="D55" s="64">
        <v>0</v>
      </c>
      <c r="E55" s="279" t="s">
        <v>4743</v>
      </c>
    </row>
    <row r="56" spans="1:5" ht="15.75" customHeight="1">
      <c r="A56" s="1090"/>
      <c r="B56" s="74" t="s">
        <v>4743</v>
      </c>
      <c r="C56" s="64" t="s">
        <v>4743</v>
      </c>
      <c r="D56" s="64">
        <v>0</v>
      </c>
      <c r="E56" s="279" t="s">
        <v>4743</v>
      </c>
    </row>
    <row r="57" spans="1:5" ht="15.75" customHeight="1">
      <c r="A57" s="1090"/>
      <c r="B57" s="74" t="s">
        <v>4743</v>
      </c>
      <c r="C57" s="64" t="s">
        <v>4743</v>
      </c>
      <c r="D57" s="64">
        <v>0</v>
      </c>
      <c r="E57" s="279" t="s">
        <v>4743</v>
      </c>
    </row>
    <row r="58" spans="1:5" ht="15.75" customHeight="1">
      <c r="A58" s="1090"/>
      <c r="B58" s="74" t="s">
        <v>4743</v>
      </c>
      <c r="C58" s="64" t="s">
        <v>4743</v>
      </c>
      <c r="D58" s="64">
        <v>0</v>
      </c>
      <c r="E58" s="279" t="s">
        <v>4743</v>
      </c>
    </row>
    <row r="59" spans="1:5" ht="15.75" customHeight="1">
      <c r="A59" s="1090"/>
      <c r="B59" s="74" t="s">
        <v>4743</v>
      </c>
      <c r="C59" s="64" t="s">
        <v>4743</v>
      </c>
      <c r="D59" s="64">
        <v>0</v>
      </c>
      <c r="E59" s="279" t="s">
        <v>4743</v>
      </c>
    </row>
    <row r="60" spans="1:5" ht="15.75" customHeight="1">
      <c r="A60" s="1090"/>
      <c r="B60" s="74" t="s">
        <v>4743</v>
      </c>
      <c r="C60" s="64" t="s">
        <v>4743</v>
      </c>
      <c r="D60" s="64">
        <v>0</v>
      </c>
      <c r="E60" s="279" t="s">
        <v>4743</v>
      </c>
    </row>
    <row r="61" spans="1:5" ht="15.75" customHeight="1">
      <c r="A61" s="1090"/>
      <c r="B61" s="74" t="s">
        <v>4743</v>
      </c>
      <c r="C61" s="64" t="s">
        <v>4743</v>
      </c>
      <c r="D61" s="64">
        <v>0</v>
      </c>
      <c r="E61" s="279" t="s">
        <v>4743</v>
      </c>
    </row>
    <row r="62" spans="1:5" ht="12.75">
      <c r="A62" s="1090"/>
      <c r="B62" s="74" t="s">
        <v>4743</v>
      </c>
      <c r="C62" s="64" t="s">
        <v>4743</v>
      </c>
      <c r="D62" s="64">
        <v>0</v>
      </c>
      <c r="E62" s="279" t="s">
        <v>4743</v>
      </c>
    </row>
    <row r="63" spans="1:5" ht="12.75">
      <c r="A63" s="1090"/>
      <c r="B63" s="74" t="s">
        <v>4743</v>
      </c>
      <c r="C63" s="64" t="s">
        <v>4743</v>
      </c>
      <c r="D63" s="64">
        <v>0</v>
      </c>
      <c r="E63" s="279" t="s">
        <v>4743</v>
      </c>
    </row>
    <row r="64" spans="1:5" ht="12.75">
      <c r="A64" s="1090"/>
      <c r="B64" s="74" t="s">
        <v>4743</v>
      </c>
      <c r="C64" s="64" t="s">
        <v>4743</v>
      </c>
      <c r="D64" s="64">
        <v>0</v>
      </c>
      <c r="E64" s="279" t="s">
        <v>4743</v>
      </c>
    </row>
    <row r="65" spans="1:5" ht="12.75">
      <c r="A65" s="1090"/>
      <c r="B65" s="74" t="s">
        <v>4743</v>
      </c>
      <c r="C65" s="64" t="s">
        <v>4743</v>
      </c>
      <c r="D65" s="64">
        <v>0</v>
      </c>
      <c r="E65" s="279" t="s">
        <v>4743</v>
      </c>
    </row>
    <row r="66" spans="1:5" ht="12.75">
      <c r="A66" s="1090"/>
      <c r="B66" s="74" t="s">
        <v>4743</v>
      </c>
      <c r="C66" s="64" t="s">
        <v>4743</v>
      </c>
      <c r="D66" s="64">
        <v>0</v>
      </c>
      <c r="E66" s="279" t="s">
        <v>4743</v>
      </c>
    </row>
    <row r="67" spans="1:5" ht="12.75">
      <c r="A67" s="1090"/>
      <c r="B67" s="74" t="s">
        <v>4743</v>
      </c>
      <c r="C67" s="64" t="s">
        <v>4743</v>
      </c>
      <c r="D67" s="64">
        <v>0</v>
      </c>
      <c r="E67" s="279" t="s">
        <v>4743</v>
      </c>
    </row>
    <row r="68" spans="1:5" ht="12.75">
      <c r="A68" s="1090"/>
      <c r="B68" s="74" t="s">
        <v>4743</v>
      </c>
      <c r="C68" s="64" t="s">
        <v>4743</v>
      </c>
      <c r="D68" s="64">
        <v>0</v>
      </c>
      <c r="E68" s="279" t="s">
        <v>4743</v>
      </c>
    </row>
    <row r="69" spans="1:5" ht="12.75">
      <c r="A69" s="1090"/>
      <c r="B69" s="74" t="s">
        <v>4743</v>
      </c>
      <c r="C69" s="64" t="s">
        <v>4743</v>
      </c>
      <c r="D69" s="64">
        <v>0</v>
      </c>
      <c r="E69" s="279" t="s">
        <v>4743</v>
      </c>
    </row>
    <row r="70" spans="1:5" ht="12.75">
      <c r="A70" s="1090"/>
      <c r="B70" s="74" t="s">
        <v>4743</v>
      </c>
      <c r="C70" s="64" t="s">
        <v>4743</v>
      </c>
      <c r="D70" s="64">
        <v>0</v>
      </c>
      <c r="E70" s="279" t="s">
        <v>4743</v>
      </c>
    </row>
    <row r="71" spans="1:5" ht="12.75">
      <c r="A71" s="1090"/>
      <c r="B71" s="74" t="s">
        <v>4743</v>
      </c>
      <c r="C71" s="64" t="s">
        <v>4743</v>
      </c>
      <c r="D71" s="64">
        <v>0</v>
      </c>
      <c r="E71" s="279" t="s">
        <v>4743</v>
      </c>
    </row>
    <row r="72" spans="1:5" ht="12.75">
      <c r="A72" s="1090"/>
      <c r="B72" s="74" t="s">
        <v>4743</v>
      </c>
      <c r="C72" s="64" t="s">
        <v>4743</v>
      </c>
      <c r="D72" s="64">
        <v>0</v>
      </c>
      <c r="E72" s="279" t="s">
        <v>4743</v>
      </c>
    </row>
    <row r="73" spans="1:5" ht="12.75">
      <c r="A73" s="1090"/>
      <c r="B73" s="74" t="s">
        <v>4743</v>
      </c>
      <c r="C73" s="64" t="s">
        <v>4743</v>
      </c>
      <c r="D73" s="64">
        <v>0</v>
      </c>
      <c r="E73" s="279" t="s">
        <v>4743</v>
      </c>
    </row>
    <row r="74" spans="1:5" ht="12.75">
      <c r="A74" s="1090"/>
      <c r="B74" s="74" t="s">
        <v>4743</v>
      </c>
      <c r="C74" s="64" t="s">
        <v>4743</v>
      </c>
      <c r="D74" s="64">
        <v>0</v>
      </c>
      <c r="E74" s="279" t="s">
        <v>4743</v>
      </c>
    </row>
    <row r="75" spans="1:5" ht="12.75">
      <c r="A75" s="1090"/>
      <c r="B75" s="74" t="s">
        <v>4743</v>
      </c>
      <c r="C75" s="64" t="s">
        <v>4743</v>
      </c>
      <c r="D75" s="64">
        <v>0</v>
      </c>
      <c r="E75" s="279" t="s">
        <v>4743</v>
      </c>
    </row>
    <row r="76" spans="1:5" ht="12.75">
      <c r="A76" s="1090"/>
      <c r="B76" s="74" t="s">
        <v>4743</v>
      </c>
      <c r="C76" s="64" t="s">
        <v>4743</v>
      </c>
      <c r="D76" s="64">
        <v>0</v>
      </c>
      <c r="E76" s="279" t="s">
        <v>4743</v>
      </c>
    </row>
    <row r="77" spans="1:5" ht="12.75">
      <c r="A77" s="1090"/>
      <c r="B77" s="74" t="s">
        <v>4743</v>
      </c>
      <c r="C77" s="64" t="s">
        <v>4743</v>
      </c>
      <c r="D77" s="64">
        <v>0</v>
      </c>
      <c r="E77" s="279" t="s">
        <v>4743</v>
      </c>
    </row>
    <row r="78" spans="1:5" ht="12.75">
      <c r="A78" s="1090"/>
      <c r="B78" s="74" t="s">
        <v>4743</v>
      </c>
      <c r="C78" s="64" t="s">
        <v>4743</v>
      </c>
      <c r="D78" s="64">
        <v>0</v>
      </c>
      <c r="E78" s="279" t="s">
        <v>4743</v>
      </c>
    </row>
    <row r="79" spans="1:5" ht="12.75">
      <c r="A79" s="1090"/>
      <c r="B79" s="74" t="s">
        <v>4743</v>
      </c>
      <c r="C79" s="64" t="s">
        <v>4743</v>
      </c>
      <c r="D79" s="64">
        <v>0</v>
      </c>
      <c r="E79" s="279" t="s">
        <v>4743</v>
      </c>
    </row>
    <row r="80" spans="1:5" ht="12.75">
      <c r="A80" s="1090"/>
      <c r="B80" s="74" t="s">
        <v>4743</v>
      </c>
      <c r="C80" s="64" t="s">
        <v>4743</v>
      </c>
      <c r="D80" s="64">
        <v>0</v>
      </c>
      <c r="E80" s="279" t="s">
        <v>4743</v>
      </c>
    </row>
    <row r="81" spans="1:5" ht="12.75">
      <c r="A81" s="1090"/>
      <c r="B81" s="74" t="s">
        <v>4743</v>
      </c>
      <c r="C81" s="64" t="s">
        <v>4743</v>
      </c>
      <c r="D81" s="64">
        <v>0</v>
      </c>
      <c r="E81" s="279" t="s">
        <v>4743</v>
      </c>
    </row>
    <row r="82" spans="1:5" ht="12.75">
      <c r="A82" s="1090"/>
      <c r="B82" s="74" t="s">
        <v>4743</v>
      </c>
      <c r="C82" s="64" t="s">
        <v>4743</v>
      </c>
      <c r="D82" s="64">
        <v>0</v>
      </c>
      <c r="E82" s="279" t="s">
        <v>4743</v>
      </c>
    </row>
    <row r="83" spans="1:5" ht="12.75">
      <c r="A83" s="1090"/>
      <c r="B83" s="74" t="s">
        <v>4743</v>
      </c>
      <c r="C83" s="64" t="s">
        <v>4743</v>
      </c>
      <c r="D83" s="64">
        <v>0</v>
      </c>
      <c r="E83" s="279" t="s">
        <v>4743</v>
      </c>
    </row>
    <row r="84" spans="1:5" ht="12.75">
      <c r="A84" s="1090"/>
      <c r="B84" s="74" t="s">
        <v>4743</v>
      </c>
      <c r="C84" s="64" t="s">
        <v>4743</v>
      </c>
      <c r="D84" s="64">
        <v>0</v>
      </c>
      <c r="E84" s="279" t="s">
        <v>4743</v>
      </c>
    </row>
    <row r="85" spans="1:5" ht="12.75">
      <c r="A85" s="1090"/>
      <c r="B85" s="74" t="s">
        <v>4743</v>
      </c>
      <c r="C85" s="64" t="s">
        <v>4743</v>
      </c>
      <c r="D85" s="64">
        <v>0</v>
      </c>
      <c r="E85" s="279" t="s">
        <v>4743</v>
      </c>
    </row>
    <row r="86" spans="1:5" ht="12.75">
      <c r="A86" s="1090"/>
      <c r="B86" s="74" t="s">
        <v>4743</v>
      </c>
      <c r="C86" s="64" t="s">
        <v>4743</v>
      </c>
      <c r="D86" s="64">
        <v>0</v>
      </c>
      <c r="E86" s="279" t="s">
        <v>4743</v>
      </c>
    </row>
    <row r="87" spans="1:5" ht="12.75">
      <c r="A87" s="1090"/>
      <c r="B87" s="74" t="s">
        <v>4743</v>
      </c>
      <c r="C87" s="64" t="s">
        <v>4743</v>
      </c>
      <c r="D87" s="64">
        <v>0</v>
      </c>
      <c r="E87" s="279" t="s">
        <v>4743</v>
      </c>
    </row>
    <row r="88" spans="1:5" ht="12.75">
      <c r="A88" s="1090"/>
      <c r="B88" s="74" t="s">
        <v>4743</v>
      </c>
      <c r="C88" s="64" t="s">
        <v>4743</v>
      </c>
      <c r="D88" s="64">
        <v>0</v>
      </c>
      <c r="E88" s="279" t="s">
        <v>4743</v>
      </c>
    </row>
    <row r="89" spans="1:5" ht="12.75">
      <c r="A89" s="1090"/>
      <c r="B89" s="74" t="s">
        <v>4743</v>
      </c>
      <c r="C89" s="64" t="s">
        <v>4743</v>
      </c>
      <c r="D89" s="64">
        <v>0</v>
      </c>
      <c r="E89" s="279" t="s">
        <v>4743</v>
      </c>
    </row>
    <row r="90" spans="1:5" ht="12.75">
      <c r="A90" s="1090"/>
      <c r="B90" s="74" t="s">
        <v>4743</v>
      </c>
      <c r="C90" s="64" t="s">
        <v>4743</v>
      </c>
      <c r="D90" s="64">
        <v>0</v>
      </c>
      <c r="E90" s="279" t="s">
        <v>4743</v>
      </c>
    </row>
    <row r="91" spans="1:5" ht="12.75">
      <c r="A91" s="1090"/>
      <c r="B91" s="74" t="s">
        <v>4743</v>
      </c>
      <c r="C91" s="64" t="s">
        <v>4743</v>
      </c>
      <c r="D91" s="64">
        <v>0</v>
      </c>
      <c r="E91" s="279" t="s">
        <v>4743</v>
      </c>
    </row>
    <row r="92" spans="1:5" ht="12.75">
      <c r="A92" s="1090"/>
      <c r="B92" s="74" t="s">
        <v>4743</v>
      </c>
      <c r="C92" s="64" t="s">
        <v>4743</v>
      </c>
      <c r="D92" s="64">
        <v>0</v>
      </c>
      <c r="E92" s="279" t="s">
        <v>4743</v>
      </c>
    </row>
    <row r="93" spans="1:5" ht="12.75">
      <c r="A93" s="1090"/>
      <c r="B93" s="74" t="s">
        <v>4743</v>
      </c>
      <c r="C93" s="64" t="s">
        <v>4743</v>
      </c>
      <c r="D93" s="64">
        <v>0</v>
      </c>
      <c r="E93" s="279" t="s">
        <v>4743</v>
      </c>
    </row>
    <row r="94" spans="1:5" ht="12.75">
      <c r="A94" s="1090"/>
      <c r="B94" s="74" t="s">
        <v>4743</v>
      </c>
      <c r="C94" s="64" t="s">
        <v>4743</v>
      </c>
      <c r="D94" s="64">
        <v>0</v>
      </c>
      <c r="E94" s="279" t="s">
        <v>4743</v>
      </c>
    </row>
    <row r="95" spans="1:5" ht="12.75">
      <c r="A95" s="1090"/>
      <c r="B95" s="74" t="s">
        <v>4743</v>
      </c>
      <c r="C95" s="64" t="s">
        <v>4743</v>
      </c>
      <c r="D95" s="64">
        <v>0</v>
      </c>
      <c r="E95" s="279" t="s">
        <v>4743</v>
      </c>
    </row>
    <row r="96" spans="1:5" ht="12.75">
      <c r="A96" s="1090"/>
      <c r="B96" s="74" t="s">
        <v>4743</v>
      </c>
      <c r="C96" s="64" t="s">
        <v>4743</v>
      </c>
      <c r="D96" s="64">
        <v>0</v>
      </c>
      <c r="E96" s="279" t="s">
        <v>4743</v>
      </c>
    </row>
    <row r="97" spans="1:5" ht="12.75">
      <c r="A97" s="1090"/>
      <c r="B97" s="74" t="s">
        <v>4743</v>
      </c>
      <c r="C97" s="64" t="s">
        <v>4743</v>
      </c>
      <c r="D97" s="64">
        <v>0</v>
      </c>
      <c r="E97" s="279" t="s">
        <v>4743</v>
      </c>
    </row>
    <row r="98" spans="1:5" ht="12.75">
      <c r="A98" s="1090"/>
      <c r="B98" s="74" t="s">
        <v>4743</v>
      </c>
      <c r="C98" s="64" t="s">
        <v>4743</v>
      </c>
      <c r="D98" s="64">
        <v>0</v>
      </c>
      <c r="E98" s="279" t="s">
        <v>4743</v>
      </c>
    </row>
    <row r="99" spans="1:5" ht="12.75">
      <c r="A99" s="1090"/>
      <c r="B99" s="74" t="s">
        <v>4743</v>
      </c>
      <c r="C99" s="64" t="s">
        <v>4743</v>
      </c>
      <c r="D99" s="64">
        <v>0</v>
      </c>
      <c r="E99" s="279" t="s">
        <v>4743</v>
      </c>
    </row>
    <row r="100" spans="1:5" ht="12.75">
      <c r="A100" s="1090"/>
      <c r="B100" s="74" t="s">
        <v>4743</v>
      </c>
      <c r="C100" s="64" t="s">
        <v>4743</v>
      </c>
      <c r="D100" s="64">
        <v>0</v>
      </c>
      <c r="E100" s="279" t="s">
        <v>4743</v>
      </c>
    </row>
    <row r="101" spans="1:5" ht="12.75">
      <c r="A101" s="1090"/>
      <c r="B101" s="74" t="s">
        <v>4743</v>
      </c>
      <c r="C101" s="64" t="s">
        <v>4743</v>
      </c>
      <c r="D101" s="64">
        <v>0</v>
      </c>
      <c r="E101" s="279" t="s">
        <v>4743</v>
      </c>
    </row>
    <row r="102" spans="1:5" ht="12.75">
      <c r="A102" s="1090"/>
      <c r="B102" s="74" t="s">
        <v>4743</v>
      </c>
      <c r="C102" s="64" t="s">
        <v>4743</v>
      </c>
      <c r="D102" s="64">
        <v>0</v>
      </c>
      <c r="E102" s="279" t="s">
        <v>4743</v>
      </c>
    </row>
    <row r="103" spans="1:5" ht="12.75">
      <c r="A103" s="1090"/>
      <c r="B103" s="74" t="s">
        <v>4743</v>
      </c>
      <c r="C103" s="64" t="s">
        <v>4743</v>
      </c>
      <c r="D103" s="64">
        <v>0</v>
      </c>
      <c r="E103" s="279" t="s">
        <v>4743</v>
      </c>
    </row>
    <row r="104" spans="1:5" ht="12.75">
      <c r="A104" s="1090"/>
      <c r="B104" s="74" t="s">
        <v>4743</v>
      </c>
      <c r="C104" s="64" t="s">
        <v>4743</v>
      </c>
      <c r="D104" s="64">
        <v>0</v>
      </c>
      <c r="E104" s="279" t="s">
        <v>4743</v>
      </c>
    </row>
    <row r="105" spans="1:5" ht="12.75">
      <c r="A105" s="1090"/>
      <c r="B105" s="74" t="s">
        <v>4743</v>
      </c>
      <c r="C105" s="64" t="s">
        <v>4743</v>
      </c>
      <c r="D105" s="64">
        <v>0</v>
      </c>
      <c r="E105" s="279" t="s">
        <v>4743</v>
      </c>
    </row>
    <row r="106" spans="1:5" ht="12.75">
      <c r="A106" s="1090"/>
      <c r="B106" s="74" t="s">
        <v>4743</v>
      </c>
      <c r="C106" s="64" t="s">
        <v>4743</v>
      </c>
      <c r="D106" s="64">
        <v>0</v>
      </c>
      <c r="E106" s="279" t="s">
        <v>4743</v>
      </c>
    </row>
    <row r="107" spans="1:5" ht="12.75">
      <c r="A107" s="1090"/>
      <c r="B107" s="74" t="s">
        <v>4743</v>
      </c>
      <c r="C107" s="64" t="s">
        <v>4743</v>
      </c>
      <c r="D107" s="64">
        <v>0</v>
      </c>
      <c r="E107" s="279" t="s">
        <v>4743</v>
      </c>
    </row>
    <row r="108" spans="1:5" ht="12.75">
      <c r="A108" s="1090"/>
      <c r="B108" s="74" t="s">
        <v>4743</v>
      </c>
      <c r="C108" s="64" t="s">
        <v>4743</v>
      </c>
      <c r="D108" s="64">
        <v>0</v>
      </c>
      <c r="E108" s="279" t="s">
        <v>4743</v>
      </c>
    </row>
    <row r="109" spans="1:5" ht="12.75">
      <c r="A109" s="1090"/>
      <c r="B109" s="74" t="s">
        <v>4743</v>
      </c>
      <c r="C109" s="64" t="s">
        <v>4743</v>
      </c>
      <c r="D109" s="64">
        <v>0</v>
      </c>
      <c r="E109" s="279" t="s">
        <v>4743</v>
      </c>
    </row>
    <row r="110" spans="1:5" ht="12.75">
      <c r="A110" s="1090"/>
      <c r="B110" s="74" t="s">
        <v>4743</v>
      </c>
      <c r="C110" s="64" t="s">
        <v>4743</v>
      </c>
      <c r="D110" s="64">
        <v>0</v>
      </c>
      <c r="E110" s="279" t="s">
        <v>4743</v>
      </c>
    </row>
    <row r="111" spans="1:5" ht="12.75">
      <c r="A111" s="1090"/>
      <c r="B111" s="74" t="s">
        <v>4743</v>
      </c>
      <c r="C111" s="64" t="s">
        <v>4743</v>
      </c>
      <c r="D111" s="64">
        <v>0</v>
      </c>
      <c r="E111" s="279" t="s">
        <v>4743</v>
      </c>
    </row>
    <row r="112" spans="1:5" ht="12.75">
      <c r="A112" s="1090"/>
      <c r="B112" s="74" t="s">
        <v>4743</v>
      </c>
      <c r="C112" s="64" t="s">
        <v>4743</v>
      </c>
      <c r="D112" s="64">
        <v>0</v>
      </c>
      <c r="E112" s="279" t="s">
        <v>4743</v>
      </c>
    </row>
    <row r="113" spans="1:5" ht="12.75">
      <c r="A113" s="1090"/>
      <c r="B113" s="74" t="s">
        <v>4743</v>
      </c>
      <c r="C113" s="64" t="s">
        <v>4743</v>
      </c>
      <c r="D113" s="64">
        <v>0</v>
      </c>
      <c r="E113" s="279" t="s">
        <v>4743</v>
      </c>
    </row>
    <row r="114" spans="1:5" ht="12.75">
      <c r="A114" s="1090"/>
      <c r="B114" s="74" t="s">
        <v>4743</v>
      </c>
      <c r="C114" s="64" t="s">
        <v>4743</v>
      </c>
      <c r="D114" s="64">
        <v>0</v>
      </c>
      <c r="E114" s="279" t="s">
        <v>4743</v>
      </c>
    </row>
    <row r="115" spans="1:5" ht="12.75">
      <c r="A115" s="1090"/>
      <c r="B115" s="74" t="s">
        <v>4743</v>
      </c>
      <c r="C115" s="64" t="s">
        <v>4743</v>
      </c>
      <c r="D115" s="64">
        <v>0</v>
      </c>
      <c r="E115" s="279" t="s">
        <v>4743</v>
      </c>
    </row>
    <row r="116" spans="1:5" ht="12.75">
      <c r="A116" s="1090"/>
      <c r="B116" s="74" t="s">
        <v>4743</v>
      </c>
      <c r="C116" s="64" t="s">
        <v>4743</v>
      </c>
      <c r="D116" s="64">
        <v>0</v>
      </c>
      <c r="E116" s="279" t="s">
        <v>4743</v>
      </c>
    </row>
    <row r="117" spans="1:5" ht="12.75">
      <c r="A117" s="1090"/>
      <c r="B117" s="74" t="s">
        <v>4743</v>
      </c>
      <c r="C117" s="64" t="s">
        <v>4743</v>
      </c>
      <c r="D117" s="64">
        <v>0</v>
      </c>
      <c r="E117" s="279" t="s">
        <v>4743</v>
      </c>
    </row>
    <row r="118" spans="1:5" ht="12.75">
      <c r="A118" s="1090"/>
      <c r="B118" s="74" t="s">
        <v>4743</v>
      </c>
      <c r="C118" s="64" t="s">
        <v>4743</v>
      </c>
      <c r="D118" s="64">
        <v>0</v>
      </c>
      <c r="E118" s="279" t="s">
        <v>4743</v>
      </c>
    </row>
    <row r="119" spans="1:5" ht="12.75">
      <c r="A119" s="1090"/>
      <c r="B119" s="74" t="s">
        <v>4743</v>
      </c>
      <c r="C119" s="64" t="s">
        <v>4743</v>
      </c>
      <c r="D119" s="64">
        <v>0</v>
      </c>
      <c r="E119" s="279" t="s">
        <v>4743</v>
      </c>
    </row>
    <row r="120" spans="1:5" ht="12.75">
      <c r="A120" s="1090"/>
      <c r="B120" s="74" t="s">
        <v>4743</v>
      </c>
      <c r="C120" s="64" t="s">
        <v>4743</v>
      </c>
      <c r="D120" s="64">
        <v>0</v>
      </c>
      <c r="E120" s="279" t="s">
        <v>4743</v>
      </c>
    </row>
    <row r="121" spans="1:5" ht="12.75">
      <c r="A121" s="1090"/>
      <c r="B121" s="74" t="s">
        <v>4743</v>
      </c>
      <c r="C121" s="64" t="s">
        <v>4743</v>
      </c>
      <c r="D121" s="64">
        <v>0</v>
      </c>
      <c r="E121" s="279" t="s">
        <v>4743</v>
      </c>
    </row>
    <row r="122" spans="1:5" ht="12.75">
      <c r="A122" s="1090"/>
      <c r="B122" s="74" t="s">
        <v>4743</v>
      </c>
      <c r="C122" s="64" t="s">
        <v>4743</v>
      </c>
      <c r="D122" s="64">
        <v>0</v>
      </c>
      <c r="E122" s="279" t="s">
        <v>4743</v>
      </c>
    </row>
    <row r="123" spans="1:5" ht="12.75">
      <c r="A123" s="1090"/>
      <c r="B123" s="74" t="s">
        <v>4743</v>
      </c>
      <c r="C123" s="64" t="s">
        <v>4743</v>
      </c>
      <c r="D123" s="64">
        <v>0</v>
      </c>
      <c r="E123" s="279" t="s">
        <v>4743</v>
      </c>
    </row>
    <row r="124" spans="1:5" ht="12.75">
      <c r="A124" s="1090"/>
      <c r="B124" s="74" t="s">
        <v>4743</v>
      </c>
      <c r="C124" s="64" t="s">
        <v>4743</v>
      </c>
      <c r="D124" s="64">
        <v>0</v>
      </c>
      <c r="E124" s="279" t="s">
        <v>4743</v>
      </c>
    </row>
    <row r="125" spans="1:5" ht="12.75">
      <c r="A125" s="1090"/>
      <c r="B125" s="74" t="s">
        <v>4743</v>
      </c>
      <c r="C125" s="64" t="s">
        <v>4743</v>
      </c>
      <c r="D125" s="64">
        <v>0</v>
      </c>
      <c r="E125" s="279" t="s">
        <v>4743</v>
      </c>
    </row>
    <row r="126" spans="1:5" ht="12.75">
      <c r="A126" s="1090"/>
      <c r="B126" s="74" t="s">
        <v>4743</v>
      </c>
      <c r="C126" s="64" t="s">
        <v>4743</v>
      </c>
      <c r="D126" s="64">
        <v>0</v>
      </c>
      <c r="E126" s="279" t="s">
        <v>4743</v>
      </c>
    </row>
    <row r="127" spans="1:5" ht="12.75">
      <c r="A127" s="1090"/>
      <c r="B127" s="74" t="s">
        <v>4743</v>
      </c>
      <c r="C127" s="64" t="s">
        <v>4743</v>
      </c>
      <c r="D127" s="64">
        <v>0</v>
      </c>
      <c r="E127" s="279" t="s">
        <v>4743</v>
      </c>
    </row>
    <row r="128" spans="1:5" ht="12.75">
      <c r="A128" s="1090"/>
      <c r="B128" s="74" t="s">
        <v>4743</v>
      </c>
      <c r="C128" s="64" t="s">
        <v>4743</v>
      </c>
      <c r="D128" s="64">
        <v>0</v>
      </c>
      <c r="E128" s="279" t="s">
        <v>4743</v>
      </c>
    </row>
    <row r="129" spans="1:5" ht="12.75">
      <c r="A129" s="1090"/>
      <c r="B129" s="74" t="s">
        <v>4743</v>
      </c>
      <c r="C129" s="64" t="s">
        <v>4743</v>
      </c>
      <c r="D129" s="64">
        <v>0</v>
      </c>
      <c r="E129" s="279" t="s">
        <v>4743</v>
      </c>
    </row>
    <row r="130" spans="1:5" ht="12.75">
      <c r="A130" s="1090"/>
      <c r="B130" s="74" t="s">
        <v>4743</v>
      </c>
      <c r="C130" s="64" t="s">
        <v>4743</v>
      </c>
      <c r="D130" s="64">
        <v>0</v>
      </c>
      <c r="E130" s="279" t="s">
        <v>4743</v>
      </c>
    </row>
    <row r="131" spans="1:5" ht="12.75">
      <c r="A131" s="1090"/>
      <c r="B131" s="74" t="s">
        <v>4743</v>
      </c>
      <c r="C131" s="64" t="s">
        <v>4743</v>
      </c>
      <c r="D131" s="64">
        <v>0</v>
      </c>
      <c r="E131" s="279" t="s">
        <v>4743</v>
      </c>
    </row>
    <row r="132" spans="1:5" ht="12.75">
      <c r="A132" s="1090"/>
      <c r="B132" s="74" t="s">
        <v>4743</v>
      </c>
      <c r="C132" s="64" t="s">
        <v>4743</v>
      </c>
      <c r="D132" s="64">
        <v>0</v>
      </c>
      <c r="E132" s="279" t="s">
        <v>4743</v>
      </c>
    </row>
    <row r="133" spans="1:5" ht="12.75">
      <c r="A133" s="1090"/>
      <c r="B133" s="74" t="s">
        <v>4743</v>
      </c>
      <c r="C133" s="64" t="s">
        <v>4743</v>
      </c>
      <c r="D133" s="64">
        <v>0</v>
      </c>
      <c r="E133" s="279" t="s">
        <v>4743</v>
      </c>
    </row>
    <row r="134" spans="1:5" ht="12.75">
      <c r="A134" s="1090"/>
      <c r="B134" s="74" t="s">
        <v>4743</v>
      </c>
      <c r="C134" s="64" t="s">
        <v>4743</v>
      </c>
      <c r="D134" s="64">
        <v>0</v>
      </c>
      <c r="E134" s="279" t="s">
        <v>4743</v>
      </c>
    </row>
    <row r="135" spans="1:5" ht="12.75">
      <c r="A135" s="1090"/>
      <c r="B135" s="74" t="s">
        <v>4743</v>
      </c>
      <c r="C135" s="64" t="s">
        <v>4743</v>
      </c>
      <c r="D135" s="64">
        <v>0</v>
      </c>
      <c r="E135" s="279" t="s">
        <v>4743</v>
      </c>
    </row>
    <row r="136" spans="1:5" ht="12.75">
      <c r="A136" s="1090"/>
      <c r="B136" s="74" t="s">
        <v>4743</v>
      </c>
      <c r="C136" s="64" t="s">
        <v>4743</v>
      </c>
      <c r="D136" s="64">
        <v>0</v>
      </c>
      <c r="E136" s="279" t="s">
        <v>4743</v>
      </c>
    </row>
    <row r="137" spans="1:5" ht="12.75">
      <c r="A137" s="1090"/>
      <c r="B137" s="74" t="s">
        <v>4743</v>
      </c>
      <c r="C137" s="64" t="s">
        <v>4743</v>
      </c>
      <c r="D137" s="64">
        <v>0</v>
      </c>
      <c r="E137" s="279" t="s">
        <v>4743</v>
      </c>
    </row>
    <row r="138" spans="1:5" ht="12.75">
      <c r="A138" s="1090"/>
      <c r="B138" s="74" t="s">
        <v>4743</v>
      </c>
      <c r="C138" s="64" t="s">
        <v>4743</v>
      </c>
      <c r="D138" s="64">
        <v>0</v>
      </c>
      <c r="E138" s="279" t="s">
        <v>4743</v>
      </c>
    </row>
    <row r="139" spans="1:5" ht="12.75">
      <c r="A139" s="1090"/>
      <c r="B139" s="74" t="s">
        <v>4743</v>
      </c>
      <c r="C139" s="64" t="s">
        <v>4743</v>
      </c>
      <c r="D139" s="64">
        <v>0</v>
      </c>
      <c r="E139" s="279" t="s">
        <v>4743</v>
      </c>
    </row>
    <row r="140" spans="1:5" ht="12.75">
      <c r="A140" s="1090"/>
      <c r="B140" s="74" t="s">
        <v>4743</v>
      </c>
      <c r="C140" s="64" t="s">
        <v>4743</v>
      </c>
      <c r="D140" s="64">
        <v>0</v>
      </c>
      <c r="E140" s="279" t="s">
        <v>4743</v>
      </c>
    </row>
    <row r="141" spans="1:5" ht="12.75">
      <c r="A141" s="1090"/>
      <c r="B141" s="74" t="s">
        <v>4743</v>
      </c>
      <c r="C141" s="64" t="s">
        <v>4743</v>
      </c>
      <c r="D141" s="64">
        <v>0</v>
      </c>
      <c r="E141" s="279" t="s">
        <v>4743</v>
      </c>
    </row>
    <row r="142" spans="1:5" ht="12.75">
      <c r="A142" s="1090"/>
      <c r="B142" s="74" t="s">
        <v>4743</v>
      </c>
      <c r="C142" s="64" t="s">
        <v>4743</v>
      </c>
      <c r="D142" s="64">
        <v>0</v>
      </c>
      <c r="E142" s="279" t="s">
        <v>4743</v>
      </c>
    </row>
    <row r="143" spans="1:5" ht="12.75">
      <c r="A143" s="1090"/>
      <c r="B143" s="74" t="s">
        <v>4743</v>
      </c>
      <c r="C143" s="64" t="s">
        <v>4743</v>
      </c>
      <c r="D143" s="64">
        <v>0</v>
      </c>
      <c r="E143" s="279" t="s">
        <v>4743</v>
      </c>
    </row>
    <row r="144" spans="1:5" ht="12.75">
      <c r="A144" s="1090"/>
      <c r="B144" s="74" t="s">
        <v>4743</v>
      </c>
      <c r="C144" s="64" t="s">
        <v>4743</v>
      </c>
      <c r="D144" s="64">
        <v>0</v>
      </c>
      <c r="E144" s="279" t="s">
        <v>4743</v>
      </c>
    </row>
    <row r="145" spans="1:5" ht="12.75">
      <c r="A145" s="1090"/>
      <c r="B145" s="74" t="s">
        <v>4743</v>
      </c>
      <c r="C145" s="64" t="s">
        <v>4743</v>
      </c>
      <c r="D145" s="64">
        <v>0</v>
      </c>
      <c r="E145" s="279" t="s">
        <v>4743</v>
      </c>
    </row>
    <row r="146" spans="1:5" ht="12.75">
      <c r="A146" s="1090"/>
      <c r="B146" s="74" t="s">
        <v>4743</v>
      </c>
      <c r="C146" s="64" t="s">
        <v>4743</v>
      </c>
      <c r="D146" s="64">
        <v>0</v>
      </c>
      <c r="E146" s="279" t="s">
        <v>4743</v>
      </c>
    </row>
    <row r="147" spans="1:5" ht="12.75">
      <c r="A147" s="1090"/>
      <c r="B147" s="74" t="s">
        <v>4743</v>
      </c>
      <c r="C147" s="64" t="s">
        <v>4743</v>
      </c>
      <c r="D147" s="64">
        <v>0</v>
      </c>
      <c r="E147" s="279" t="s">
        <v>4743</v>
      </c>
    </row>
    <row r="148" spans="1:5" ht="12.75">
      <c r="A148" s="1090"/>
      <c r="B148" s="74" t="s">
        <v>4743</v>
      </c>
      <c r="C148" s="64" t="s">
        <v>4743</v>
      </c>
      <c r="D148" s="64">
        <v>0</v>
      </c>
      <c r="E148" s="279" t="s">
        <v>4743</v>
      </c>
    </row>
    <row r="149" spans="1:5" ht="12.75">
      <c r="A149" s="1090"/>
      <c r="B149" s="74" t="s">
        <v>4743</v>
      </c>
      <c r="C149" s="64" t="s">
        <v>4743</v>
      </c>
      <c r="D149" s="64">
        <v>0</v>
      </c>
      <c r="E149" s="279" t="s">
        <v>4743</v>
      </c>
    </row>
    <row r="150" spans="1:5" ht="12.75">
      <c r="A150" s="1090"/>
      <c r="B150" s="74" t="s">
        <v>4743</v>
      </c>
      <c r="C150" s="64" t="s">
        <v>4743</v>
      </c>
      <c r="D150" s="64">
        <v>0</v>
      </c>
      <c r="E150" s="279" t="s">
        <v>4743</v>
      </c>
    </row>
    <row r="151" spans="1:5" ht="12.75">
      <c r="A151" s="1090"/>
      <c r="B151" s="74" t="s">
        <v>4743</v>
      </c>
      <c r="C151" s="64" t="s">
        <v>4743</v>
      </c>
      <c r="D151" s="64">
        <v>0</v>
      </c>
      <c r="E151" s="279" t="s">
        <v>4743</v>
      </c>
    </row>
    <row r="152" spans="1:5" ht="12.75">
      <c r="A152" s="1090"/>
      <c r="B152" s="74" t="s">
        <v>4743</v>
      </c>
      <c r="C152" s="64" t="s">
        <v>4743</v>
      </c>
      <c r="D152" s="64">
        <v>0</v>
      </c>
      <c r="E152" s="279" t="s">
        <v>4743</v>
      </c>
    </row>
    <row r="153" spans="1:5" ht="12.75">
      <c r="A153" s="1090"/>
      <c r="B153" s="74" t="s">
        <v>4743</v>
      </c>
      <c r="C153" s="64" t="s">
        <v>4743</v>
      </c>
      <c r="D153" s="64">
        <v>0</v>
      </c>
      <c r="E153" s="279" t="s">
        <v>4743</v>
      </c>
    </row>
    <row r="154" spans="1:5" ht="12.75">
      <c r="A154" s="1090"/>
      <c r="B154" s="74" t="s">
        <v>4743</v>
      </c>
      <c r="C154" s="64" t="s">
        <v>4743</v>
      </c>
      <c r="D154" s="64">
        <v>0</v>
      </c>
      <c r="E154" s="279" t="s">
        <v>4743</v>
      </c>
    </row>
    <row r="155" spans="1:5" ht="12.75">
      <c r="A155" s="1090"/>
      <c r="B155" s="74" t="s">
        <v>4743</v>
      </c>
      <c r="C155" s="64" t="s">
        <v>4743</v>
      </c>
      <c r="D155" s="64">
        <v>0</v>
      </c>
      <c r="E155" s="279" t="s">
        <v>4743</v>
      </c>
    </row>
    <row r="156" spans="1:5" ht="12.75">
      <c r="A156" s="1090"/>
      <c r="B156" s="74" t="s">
        <v>4743</v>
      </c>
      <c r="C156" s="64" t="s">
        <v>4743</v>
      </c>
      <c r="D156" s="64">
        <v>0</v>
      </c>
      <c r="E156" s="279" t="s">
        <v>4743</v>
      </c>
    </row>
    <row r="157" spans="1:5" ht="12.75">
      <c r="A157" s="1090"/>
      <c r="B157" s="74" t="s">
        <v>4743</v>
      </c>
      <c r="C157" s="64" t="s">
        <v>4743</v>
      </c>
      <c r="D157" s="64">
        <v>0</v>
      </c>
      <c r="E157" s="279" t="s">
        <v>4743</v>
      </c>
    </row>
    <row r="158" spans="1:5" ht="12.75">
      <c r="A158" s="1090"/>
      <c r="B158" s="74" t="s">
        <v>4743</v>
      </c>
      <c r="C158" s="64" t="s">
        <v>4743</v>
      </c>
      <c r="D158" s="64">
        <v>0</v>
      </c>
      <c r="E158" s="279" t="s">
        <v>4743</v>
      </c>
    </row>
    <row r="159" spans="1:5" ht="12.75">
      <c r="A159" s="1090"/>
      <c r="B159" s="74" t="s">
        <v>4743</v>
      </c>
      <c r="C159" s="64" t="s">
        <v>4743</v>
      </c>
      <c r="D159" s="64">
        <v>0</v>
      </c>
      <c r="E159" s="279" t="s">
        <v>4743</v>
      </c>
    </row>
    <row r="160" spans="1:5" ht="12.75">
      <c r="A160" s="1090"/>
      <c r="B160" s="74" t="s">
        <v>4743</v>
      </c>
      <c r="C160" s="64" t="s">
        <v>4743</v>
      </c>
      <c r="D160" s="64">
        <v>0</v>
      </c>
      <c r="E160" s="279" t="s">
        <v>4743</v>
      </c>
    </row>
    <row r="161" spans="1:5" ht="12.75">
      <c r="A161" s="1090"/>
      <c r="B161" s="74" t="s">
        <v>4743</v>
      </c>
      <c r="C161" s="64" t="s">
        <v>4743</v>
      </c>
      <c r="D161" s="64">
        <v>0</v>
      </c>
      <c r="E161" s="279" t="s">
        <v>4743</v>
      </c>
    </row>
    <row r="162" spans="1:5" ht="12.75">
      <c r="A162" s="1090"/>
      <c r="B162" s="74" t="s">
        <v>4743</v>
      </c>
      <c r="C162" s="64" t="s">
        <v>4743</v>
      </c>
      <c r="D162" s="64">
        <v>0</v>
      </c>
      <c r="E162" s="279" t="s">
        <v>4743</v>
      </c>
    </row>
    <row r="163" spans="1:5" ht="12.75">
      <c r="A163" s="1090"/>
      <c r="B163" s="74" t="s">
        <v>4743</v>
      </c>
      <c r="C163" s="64" t="s">
        <v>4743</v>
      </c>
      <c r="D163" s="64">
        <v>0</v>
      </c>
      <c r="E163" s="279" t="s">
        <v>4743</v>
      </c>
    </row>
    <row r="164" spans="1:5" ht="12.75">
      <c r="A164" s="1090"/>
      <c r="B164" s="74" t="s">
        <v>4743</v>
      </c>
      <c r="C164" s="64" t="s">
        <v>4743</v>
      </c>
      <c r="D164" s="64">
        <v>0</v>
      </c>
      <c r="E164" s="279" t="s">
        <v>4743</v>
      </c>
    </row>
    <row r="165" spans="1:5" ht="12.75">
      <c r="A165" s="1090"/>
      <c r="B165" s="74" t="s">
        <v>4743</v>
      </c>
      <c r="C165" s="64" t="s">
        <v>4743</v>
      </c>
      <c r="D165" s="64">
        <v>0</v>
      </c>
      <c r="E165" s="279" t="s">
        <v>4743</v>
      </c>
    </row>
    <row r="166" spans="1:5" ht="12.75">
      <c r="A166" s="1090"/>
      <c r="B166" s="74" t="s">
        <v>4743</v>
      </c>
      <c r="C166" s="64" t="s">
        <v>4743</v>
      </c>
      <c r="D166" s="64">
        <v>0</v>
      </c>
      <c r="E166" s="279" t="s">
        <v>4743</v>
      </c>
    </row>
    <row r="167" spans="1:5" ht="12.75">
      <c r="A167" s="1090"/>
      <c r="B167" s="74" t="s">
        <v>4743</v>
      </c>
      <c r="C167" s="64" t="s">
        <v>4743</v>
      </c>
      <c r="D167" s="64">
        <v>0</v>
      </c>
      <c r="E167" s="279" t="s">
        <v>4743</v>
      </c>
    </row>
    <row r="168" spans="1:5" ht="12.75">
      <c r="A168" s="1090"/>
      <c r="B168" s="74" t="s">
        <v>4743</v>
      </c>
      <c r="C168" s="64" t="s">
        <v>4743</v>
      </c>
      <c r="D168" s="64">
        <v>0</v>
      </c>
      <c r="E168" s="279" t="s">
        <v>4743</v>
      </c>
    </row>
    <row r="169" spans="1:5" ht="12.75">
      <c r="A169" s="1090"/>
      <c r="B169" s="74" t="s">
        <v>4743</v>
      </c>
      <c r="C169" s="64" t="s">
        <v>4743</v>
      </c>
      <c r="D169" s="64">
        <v>0</v>
      </c>
      <c r="E169" s="279" t="s">
        <v>4743</v>
      </c>
    </row>
    <row r="170" spans="1:5" ht="12.75">
      <c r="A170" s="1090"/>
      <c r="B170" s="74" t="s">
        <v>4743</v>
      </c>
      <c r="C170" s="64" t="s">
        <v>4743</v>
      </c>
      <c r="D170" s="64">
        <v>0</v>
      </c>
      <c r="E170" s="279" t="s">
        <v>4743</v>
      </c>
    </row>
    <row r="171" spans="1:5" ht="12.75">
      <c r="A171" s="1090"/>
      <c r="B171" s="74" t="s">
        <v>4743</v>
      </c>
      <c r="C171" s="64" t="s">
        <v>4743</v>
      </c>
      <c r="D171" s="64">
        <v>0</v>
      </c>
      <c r="E171" s="279" t="s">
        <v>4743</v>
      </c>
    </row>
    <row r="172" spans="1:5" ht="12.75">
      <c r="A172" s="1090"/>
      <c r="B172" s="74" t="s">
        <v>4743</v>
      </c>
      <c r="C172" s="64" t="s">
        <v>4743</v>
      </c>
      <c r="D172" s="64">
        <v>0</v>
      </c>
      <c r="E172" s="279" t="s">
        <v>4743</v>
      </c>
    </row>
    <row r="173" spans="1:5" ht="12.75">
      <c r="A173" s="1090"/>
      <c r="B173" s="74" t="s">
        <v>4743</v>
      </c>
      <c r="C173" s="64" t="s">
        <v>4743</v>
      </c>
      <c r="D173" s="64">
        <v>0</v>
      </c>
      <c r="E173" s="279" t="s">
        <v>4743</v>
      </c>
    </row>
    <row r="174" spans="1:5" ht="12.75">
      <c r="A174" s="1090"/>
      <c r="B174" s="74" t="s">
        <v>4743</v>
      </c>
      <c r="C174" s="64" t="s">
        <v>4743</v>
      </c>
      <c r="D174" s="64">
        <v>0</v>
      </c>
      <c r="E174" s="279" t="s">
        <v>4743</v>
      </c>
    </row>
    <row r="175" spans="1:5" ht="12.75">
      <c r="A175" s="1090"/>
      <c r="B175" s="74" t="s">
        <v>4743</v>
      </c>
      <c r="C175" s="64" t="s">
        <v>4743</v>
      </c>
      <c r="D175" s="64">
        <v>0</v>
      </c>
      <c r="E175" s="279" t="s">
        <v>4743</v>
      </c>
    </row>
    <row r="176" spans="1:5" ht="12.75">
      <c r="A176" s="1090"/>
      <c r="B176" s="74" t="s">
        <v>4743</v>
      </c>
      <c r="C176" s="64" t="s">
        <v>4743</v>
      </c>
      <c r="D176" s="64">
        <v>0</v>
      </c>
      <c r="E176" s="279" t="s">
        <v>4743</v>
      </c>
    </row>
    <row r="177" spans="1:5" ht="12.75">
      <c r="A177" s="1090"/>
      <c r="B177" s="74" t="s">
        <v>4743</v>
      </c>
      <c r="C177" s="64" t="s">
        <v>4743</v>
      </c>
      <c r="D177" s="64">
        <v>0</v>
      </c>
      <c r="E177" s="279" t="s">
        <v>4743</v>
      </c>
    </row>
    <row r="178" spans="1:5" ht="12.75">
      <c r="A178" s="1090"/>
      <c r="B178" s="74" t="s">
        <v>4743</v>
      </c>
      <c r="C178" s="64" t="s">
        <v>4743</v>
      </c>
      <c r="D178" s="64">
        <v>0</v>
      </c>
      <c r="E178" s="279" t="s">
        <v>4743</v>
      </c>
    </row>
    <row r="179" spans="1:5" ht="12.75">
      <c r="A179" s="1090"/>
      <c r="B179" s="74" t="s">
        <v>4743</v>
      </c>
      <c r="C179" s="64" t="s">
        <v>4743</v>
      </c>
      <c r="D179" s="64">
        <v>0</v>
      </c>
      <c r="E179" s="279" t="s">
        <v>4743</v>
      </c>
    </row>
    <row r="180" spans="1:5" ht="12.75">
      <c r="A180" s="1090"/>
      <c r="B180" s="74" t="s">
        <v>4743</v>
      </c>
      <c r="C180" s="64" t="s">
        <v>4743</v>
      </c>
      <c r="D180" s="64">
        <v>0</v>
      </c>
      <c r="E180" s="279" t="s">
        <v>4743</v>
      </c>
    </row>
    <row r="181" spans="1:5" ht="12.75">
      <c r="A181" s="1090"/>
      <c r="B181" s="74" t="s">
        <v>4743</v>
      </c>
      <c r="C181" s="64" t="s">
        <v>4743</v>
      </c>
      <c r="D181" s="64">
        <v>0</v>
      </c>
      <c r="E181" s="279" t="s">
        <v>4743</v>
      </c>
    </row>
    <row r="182" spans="1:5" ht="12.75">
      <c r="A182" s="1090"/>
      <c r="B182" s="74" t="s">
        <v>4743</v>
      </c>
      <c r="C182" s="64" t="s">
        <v>4743</v>
      </c>
      <c r="D182" s="64">
        <v>0</v>
      </c>
      <c r="E182" s="279" t="s">
        <v>4743</v>
      </c>
    </row>
    <row r="183" spans="1:5" ht="12.75">
      <c r="A183" s="1090"/>
      <c r="B183" s="74" t="s">
        <v>4743</v>
      </c>
      <c r="C183" s="64" t="s">
        <v>4743</v>
      </c>
      <c r="D183" s="64">
        <v>0</v>
      </c>
      <c r="E183" s="279" t="s">
        <v>4743</v>
      </c>
    </row>
    <row r="184" spans="1:5" ht="12.75">
      <c r="A184" s="1090"/>
      <c r="B184" s="74" t="s">
        <v>4743</v>
      </c>
      <c r="C184" s="64" t="s">
        <v>4743</v>
      </c>
      <c r="D184" s="64">
        <v>0</v>
      </c>
      <c r="E184" s="279" t="s">
        <v>4743</v>
      </c>
    </row>
    <row r="185" spans="1:5" ht="12.75">
      <c r="A185" s="1090"/>
      <c r="B185" s="74" t="s">
        <v>4743</v>
      </c>
      <c r="C185" s="64" t="s">
        <v>4743</v>
      </c>
      <c r="D185" s="64">
        <v>0</v>
      </c>
      <c r="E185" s="279" t="s">
        <v>4743</v>
      </c>
    </row>
    <row r="186" spans="1:5" ht="12.75">
      <c r="A186" s="1090"/>
      <c r="B186" s="74" t="s">
        <v>4743</v>
      </c>
      <c r="C186" s="64" t="s">
        <v>4743</v>
      </c>
      <c r="D186" s="64">
        <v>0</v>
      </c>
      <c r="E186" s="279" t="s">
        <v>4743</v>
      </c>
    </row>
    <row r="187" spans="1:5" ht="12.75">
      <c r="A187" s="1090"/>
      <c r="B187" s="74" t="s">
        <v>4743</v>
      </c>
      <c r="C187" s="64" t="s">
        <v>4743</v>
      </c>
      <c r="D187" s="64">
        <v>0</v>
      </c>
      <c r="E187" s="279" t="s">
        <v>4743</v>
      </c>
    </row>
    <row r="188" spans="1:5" ht="12.75">
      <c r="A188" s="1090"/>
      <c r="B188" s="74" t="s">
        <v>4743</v>
      </c>
      <c r="C188" s="64" t="s">
        <v>4743</v>
      </c>
      <c r="D188" s="64">
        <v>0</v>
      </c>
      <c r="E188" s="279" t="s">
        <v>4743</v>
      </c>
    </row>
    <row r="189" spans="1:5" ht="12.75">
      <c r="A189" s="1090"/>
      <c r="B189" s="74" t="s">
        <v>4743</v>
      </c>
      <c r="C189" s="64" t="s">
        <v>4743</v>
      </c>
      <c r="D189" s="64">
        <v>0</v>
      </c>
      <c r="E189" s="279" t="s">
        <v>4743</v>
      </c>
    </row>
    <row r="190" spans="1:5" ht="12.75">
      <c r="A190" s="1090"/>
      <c r="B190" s="74" t="s">
        <v>4743</v>
      </c>
      <c r="C190" s="64" t="s">
        <v>4743</v>
      </c>
      <c r="D190" s="64">
        <v>0</v>
      </c>
      <c r="E190" s="279" t="s">
        <v>4743</v>
      </c>
    </row>
    <row r="191" spans="1:5" ht="12.75">
      <c r="A191" s="1090"/>
      <c r="B191" s="74" t="s">
        <v>4743</v>
      </c>
      <c r="C191" s="64" t="s">
        <v>4743</v>
      </c>
      <c r="D191" s="64">
        <v>0</v>
      </c>
      <c r="E191" s="279" t="s">
        <v>4743</v>
      </c>
    </row>
    <row r="192" spans="1:5" ht="12.75">
      <c r="A192" s="1090"/>
      <c r="B192" s="74" t="s">
        <v>4743</v>
      </c>
      <c r="C192" s="64" t="s">
        <v>4743</v>
      </c>
      <c r="D192" s="64">
        <v>0</v>
      </c>
      <c r="E192" s="279" t="s">
        <v>4743</v>
      </c>
    </row>
    <row r="193" spans="1:5" ht="12.75">
      <c r="A193" s="1090"/>
      <c r="B193" s="74" t="s">
        <v>4743</v>
      </c>
      <c r="C193" s="64" t="s">
        <v>4743</v>
      </c>
      <c r="D193" s="64">
        <v>0</v>
      </c>
      <c r="E193" s="279" t="s">
        <v>4743</v>
      </c>
    </row>
    <row r="194" spans="1:5" ht="12.75">
      <c r="A194" s="1090"/>
      <c r="B194" s="74" t="s">
        <v>4743</v>
      </c>
      <c r="C194" s="64" t="s">
        <v>4743</v>
      </c>
      <c r="D194" s="64">
        <v>0</v>
      </c>
      <c r="E194" s="279" t="s">
        <v>4743</v>
      </c>
    </row>
    <row r="195" spans="1:5" ht="12.75">
      <c r="A195" s="1090"/>
      <c r="B195" s="74" t="s">
        <v>4743</v>
      </c>
      <c r="C195" s="64" t="s">
        <v>4743</v>
      </c>
      <c r="D195" s="64">
        <v>0</v>
      </c>
      <c r="E195" s="279" t="s">
        <v>4743</v>
      </c>
    </row>
    <row r="196" spans="1:5" ht="12.75">
      <c r="A196" s="1090"/>
      <c r="B196" s="74" t="s">
        <v>4743</v>
      </c>
      <c r="C196" s="64" t="s">
        <v>4743</v>
      </c>
      <c r="D196" s="64">
        <v>0</v>
      </c>
      <c r="E196" s="279" t="s">
        <v>4743</v>
      </c>
    </row>
    <row r="197" spans="1:5" ht="12.75">
      <c r="A197" s="1090"/>
      <c r="B197" s="74" t="s">
        <v>4743</v>
      </c>
      <c r="C197" s="64" t="s">
        <v>4743</v>
      </c>
      <c r="D197" s="64">
        <v>0</v>
      </c>
      <c r="E197" s="279" t="s">
        <v>4743</v>
      </c>
    </row>
    <row r="198" spans="1:5" ht="12.75">
      <c r="A198" s="1090"/>
      <c r="B198" s="74" t="s">
        <v>4743</v>
      </c>
      <c r="C198" s="64" t="s">
        <v>4743</v>
      </c>
      <c r="D198" s="64">
        <v>0</v>
      </c>
      <c r="E198" s="279" t="s">
        <v>4743</v>
      </c>
    </row>
    <row r="199" spans="1:5" ht="12.75">
      <c r="A199" s="1090"/>
      <c r="B199" s="74" t="s">
        <v>4743</v>
      </c>
      <c r="C199" s="64" t="s">
        <v>4743</v>
      </c>
      <c r="D199" s="64">
        <v>0</v>
      </c>
      <c r="E199" s="279" t="s">
        <v>4743</v>
      </c>
    </row>
    <row r="200" spans="1:5" ht="12.75">
      <c r="A200" s="1090"/>
      <c r="B200" s="74" t="s">
        <v>4743</v>
      </c>
      <c r="C200" s="64" t="s">
        <v>4743</v>
      </c>
      <c r="D200" s="64">
        <v>0</v>
      </c>
      <c r="E200" s="279" t="s">
        <v>4743</v>
      </c>
    </row>
    <row r="201" spans="1:5" ht="12.75">
      <c r="A201" s="1090"/>
      <c r="B201" s="74" t="s">
        <v>4743</v>
      </c>
      <c r="C201" s="64" t="s">
        <v>4743</v>
      </c>
      <c r="D201" s="64">
        <v>0</v>
      </c>
      <c r="E201" s="279" t="s">
        <v>4743</v>
      </c>
    </row>
    <row r="202" spans="1:5" ht="12.75">
      <c r="A202" s="1090"/>
      <c r="B202" s="74" t="s">
        <v>4743</v>
      </c>
      <c r="C202" s="64" t="s">
        <v>4743</v>
      </c>
      <c r="D202" s="64">
        <v>0</v>
      </c>
      <c r="E202" s="279" t="s">
        <v>4743</v>
      </c>
    </row>
    <row r="203" spans="1:5" ht="12.75">
      <c r="A203" s="1090"/>
      <c r="B203" s="74" t="s">
        <v>4743</v>
      </c>
      <c r="C203" s="64" t="s">
        <v>4743</v>
      </c>
      <c r="D203" s="64">
        <v>0</v>
      </c>
      <c r="E203" s="279" t="s">
        <v>4743</v>
      </c>
    </row>
    <row r="204" spans="1:5" ht="12.75">
      <c r="A204" s="1090"/>
      <c r="B204" s="74" t="s">
        <v>4743</v>
      </c>
      <c r="C204" s="64" t="s">
        <v>4743</v>
      </c>
      <c r="D204" s="64">
        <v>0</v>
      </c>
      <c r="E204" s="279" t="s">
        <v>4743</v>
      </c>
    </row>
    <row r="205" spans="1:5" ht="12.75">
      <c r="A205" s="1090"/>
      <c r="B205" s="74" t="s">
        <v>4743</v>
      </c>
      <c r="C205" s="64" t="s">
        <v>4743</v>
      </c>
      <c r="D205" s="64">
        <v>0</v>
      </c>
      <c r="E205" s="279" t="s">
        <v>4743</v>
      </c>
    </row>
    <row r="206" spans="1:5" ht="12.75">
      <c r="A206" s="1090"/>
      <c r="B206" s="74" t="s">
        <v>4743</v>
      </c>
      <c r="C206" s="64" t="s">
        <v>4743</v>
      </c>
      <c r="D206" s="64">
        <v>0</v>
      </c>
      <c r="E206" s="279" t="s">
        <v>4743</v>
      </c>
    </row>
    <row r="207" spans="1:5" ht="12.75">
      <c r="A207" s="1090"/>
      <c r="B207" s="74" t="s">
        <v>4743</v>
      </c>
      <c r="C207" s="64" t="s">
        <v>4743</v>
      </c>
      <c r="D207" s="64">
        <v>0</v>
      </c>
      <c r="E207" s="279" t="s">
        <v>4743</v>
      </c>
    </row>
    <row r="208" spans="1:5" ht="12.75">
      <c r="A208" s="1090"/>
      <c r="B208" s="74" t="s">
        <v>4743</v>
      </c>
      <c r="C208" s="64" t="s">
        <v>4743</v>
      </c>
      <c r="D208" s="64">
        <v>0</v>
      </c>
      <c r="E208" s="279" t="s">
        <v>4743</v>
      </c>
    </row>
    <row r="209" spans="1:5" ht="12.75">
      <c r="A209" s="1090"/>
      <c r="B209" s="74" t="s">
        <v>4743</v>
      </c>
      <c r="C209" s="64" t="s">
        <v>4743</v>
      </c>
      <c r="D209" s="64">
        <v>0</v>
      </c>
      <c r="E209" s="279" t="s">
        <v>4743</v>
      </c>
    </row>
    <row r="210" spans="1:5" ht="12.75">
      <c r="A210" s="1090"/>
      <c r="B210" s="74" t="s">
        <v>4743</v>
      </c>
      <c r="C210" s="64" t="s">
        <v>4743</v>
      </c>
      <c r="D210" s="64">
        <v>0</v>
      </c>
      <c r="E210" s="279" t="s">
        <v>4743</v>
      </c>
    </row>
    <row r="211" spans="1:5" ht="12.75">
      <c r="A211" s="1090"/>
      <c r="B211" s="74" t="s">
        <v>4743</v>
      </c>
      <c r="C211" s="64" t="s">
        <v>4743</v>
      </c>
      <c r="D211" s="64">
        <v>0</v>
      </c>
      <c r="E211" s="279" t="s">
        <v>4743</v>
      </c>
    </row>
    <row r="212" spans="1:5" ht="12.75">
      <c r="A212" s="1090"/>
      <c r="B212" s="74" t="s">
        <v>4743</v>
      </c>
      <c r="C212" s="64" t="s">
        <v>4743</v>
      </c>
      <c r="D212" s="64">
        <v>0</v>
      </c>
      <c r="E212" s="279" t="s">
        <v>4743</v>
      </c>
    </row>
    <row r="213" spans="1:5" ht="12.75">
      <c r="A213" s="1090"/>
      <c r="B213" s="74" t="s">
        <v>4743</v>
      </c>
      <c r="C213" s="64" t="s">
        <v>4743</v>
      </c>
      <c r="D213" s="64">
        <v>0</v>
      </c>
      <c r="E213" s="279" t="s">
        <v>4743</v>
      </c>
    </row>
    <row r="214" spans="1:5" ht="12.75">
      <c r="A214" s="1090"/>
      <c r="B214" s="74" t="s">
        <v>4743</v>
      </c>
      <c r="C214" s="64" t="s">
        <v>4743</v>
      </c>
      <c r="D214" s="64">
        <v>0</v>
      </c>
      <c r="E214" s="279" t="s">
        <v>4743</v>
      </c>
    </row>
    <row r="215" spans="1:5" ht="12.75">
      <c r="A215" s="1090"/>
      <c r="B215" s="74" t="s">
        <v>4743</v>
      </c>
      <c r="C215" s="64" t="s">
        <v>4743</v>
      </c>
      <c r="D215" s="64">
        <v>0</v>
      </c>
      <c r="E215" s="279" t="s">
        <v>4743</v>
      </c>
    </row>
    <row r="216" spans="1:5" ht="12.75">
      <c r="A216" s="1090"/>
      <c r="B216" s="74" t="s">
        <v>4743</v>
      </c>
      <c r="C216" s="64" t="s">
        <v>4743</v>
      </c>
      <c r="D216" s="64">
        <v>0</v>
      </c>
      <c r="E216" s="279" t="s">
        <v>4743</v>
      </c>
    </row>
    <row r="217" spans="1:5" ht="12.75">
      <c r="A217" s="1090"/>
      <c r="B217" s="74" t="s">
        <v>4743</v>
      </c>
      <c r="C217" s="64" t="s">
        <v>4743</v>
      </c>
      <c r="D217" s="64">
        <v>0</v>
      </c>
      <c r="E217" s="279" t="s">
        <v>4743</v>
      </c>
    </row>
    <row r="218" spans="1:5" ht="12.75">
      <c r="A218" s="1090"/>
      <c r="B218" s="74" t="s">
        <v>4743</v>
      </c>
      <c r="C218" s="64" t="s">
        <v>4743</v>
      </c>
      <c r="D218" s="64">
        <v>0</v>
      </c>
      <c r="E218" s="279" t="s">
        <v>4743</v>
      </c>
    </row>
    <row r="219" spans="1:5" ht="12.75">
      <c r="A219" s="1090"/>
      <c r="B219" s="74" t="s">
        <v>4743</v>
      </c>
      <c r="C219" s="64" t="s">
        <v>4743</v>
      </c>
      <c r="D219" s="64">
        <v>0</v>
      </c>
      <c r="E219" s="279" t="s">
        <v>4743</v>
      </c>
    </row>
    <row r="220" spans="1:5" ht="12.75">
      <c r="A220" s="1090"/>
      <c r="B220" s="74" t="s">
        <v>4743</v>
      </c>
      <c r="C220" s="64" t="s">
        <v>4743</v>
      </c>
      <c r="D220" s="64">
        <v>0</v>
      </c>
      <c r="E220" s="279" t="s">
        <v>4743</v>
      </c>
    </row>
    <row r="221" spans="1:5" ht="12.75">
      <c r="A221" s="1090"/>
      <c r="B221" s="74" t="s">
        <v>4743</v>
      </c>
      <c r="C221" s="64" t="s">
        <v>4743</v>
      </c>
      <c r="D221" s="64">
        <v>0</v>
      </c>
      <c r="E221" s="279" t="s">
        <v>4743</v>
      </c>
    </row>
    <row r="222" spans="1:5" ht="12.75">
      <c r="A222" s="1090"/>
      <c r="B222" s="74" t="s">
        <v>4743</v>
      </c>
      <c r="C222" s="64" t="s">
        <v>4743</v>
      </c>
      <c r="D222" s="64">
        <v>0</v>
      </c>
      <c r="E222" s="279" t="s">
        <v>4743</v>
      </c>
    </row>
    <row r="223" spans="1:5" ht="12.75">
      <c r="A223" s="1090"/>
      <c r="B223" s="74" t="s">
        <v>4743</v>
      </c>
      <c r="C223" s="64" t="s">
        <v>4743</v>
      </c>
      <c r="D223" s="64">
        <v>0</v>
      </c>
      <c r="E223" s="279" t="s">
        <v>4743</v>
      </c>
    </row>
    <row r="224" spans="1:5" ht="12.75">
      <c r="A224" s="1090"/>
      <c r="B224" s="74" t="s">
        <v>4743</v>
      </c>
      <c r="C224" s="64" t="s">
        <v>4743</v>
      </c>
      <c r="D224" s="64">
        <v>0</v>
      </c>
      <c r="E224" s="279" t="s">
        <v>4743</v>
      </c>
    </row>
    <row r="225" spans="1:5" ht="12.75">
      <c r="A225" s="1090"/>
      <c r="B225" s="74" t="s">
        <v>4743</v>
      </c>
      <c r="C225" s="64" t="s">
        <v>4743</v>
      </c>
      <c r="D225" s="64">
        <v>0</v>
      </c>
      <c r="E225" s="279" t="s">
        <v>4743</v>
      </c>
    </row>
    <row r="226" spans="1:5" ht="12.75">
      <c r="A226" s="1090"/>
      <c r="B226" s="74" t="s">
        <v>4743</v>
      </c>
      <c r="C226" s="64" t="s">
        <v>4743</v>
      </c>
      <c r="D226" s="64">
        <v>0</v>
      </c>
      <c r="E226" s="279" t="s">
        <v>4743</v>
      </c>
    </row>
    <row r="227" spans="1:5" ht="12.75">
      <c r="A227" s="1090"/>
      <c r="B227" s="74" t="s">
        <v>4743</v>
      </c>
      <c r="C227" s="64" t="s">
        <v>4743</v>
      </c>
      <c r="D227" s="64">
        <v>0</v>
      </c>
      <c r="E227" s="279" t="s">
        <v>4743</v>
      </c>
    </row>
    <row r="228" spans="1:5" ht="12.75">
      <c r="A228" s="1090"/>
      <c r="B228" s="74" t="s">
        <v>4743</v>
      </c>
      <c r="C228" s="64" t="s">
        <v>4743</v>
      </c>
      <c r="D228" s="64">
        <v>0</v>
      </c>
      <c r="E228" s="279" t="s">
        <v>4743</v>
      </c>
    </row>
    <row r="229" spans="1:5" ht="12.75">
      <c r="A229" s="1090"/>
      <c r="B229" s="74" t="s">
        <v>4743</v>
      </c>
      <c r="C229" s="64" t="s">
        <v>4743</v>
      </c>
      <c r="D229" s="64">
        <v>0</v>
      </c>
      <c r="E229" s="279" t="s">
        <v>4743</v>
      </c>
    </row>
    <row r="230" spans="1:5" ht="12.75">
      <c r="A230" s="1090"/>
      <c r="B230" s="74" t="s">
        <v>4743</v>
      </c>
      <c r="C230" s="64" t="s">
        <v>4743</v>
      </c>
      <c r="D230" s="64">
        <v>0</v>
      </c>
      <c r="E230" s="279" t="s">
        <v>4743</v>
      </c>
    </row>
    <row r="231" spans="1:5" ht="12.75">
      <c r="A231" s="1090"/>
      <c r="B231" s="74" t="s">
        <v>4743</v>
      </c>
      <c r="C231" s="64" t="s">
        <v>4743</v>
      </c>
      <c r="D231" s="64">
        <v>0</v>
      </c>
      <c r="E231" s="279" t="s">
        <v>4743</v>
      </c>
    </row>
    <row r="232" spans="1:5" ht="12.75">
      <c r="A232" s="1090"/>
      <c r="B232" s="74" t="s">
        <v>4743</v>
      </c>
      <c r="C232" s="64" t="s">
        <v>4743</v>
      </c>
      <c r="D232" s="64">
        <v>0</v>
      </c>
      <c r="E232" s="279" t="s">
        <v>4743</v>
      </c>
    </row>
    <row r="233" spans="1:5" ht="12.75">
      <c r="A233" s="1090"/>
      <c r="B233" s="74" t="s">
        <v>4743</v>
      </c>
      <c r="C233" s="64" t="s">
        <v>4743</v>
      </c>
      <c r="D233" s="64">
        <v>0</v>
      </c>
      <c r="E233" s="279" t="s">
        <v>4743</v>
      </c>
    </row>
    <row r="234" spans="1:5" ht="12.75">
      <c r="A234" s="1090"/>
      <c r="B234" s="74" t="s">
        <v>4743</v>
      </c>
      <c r="C234" s="64" t="s">
        <v>4743</v>
      </c>
      <c r="D234" s="64">
        <v>0</v>
      </c>
      <c r="E234" s="279" t="s">
        <v>4743</v>
      </c>
    </row>
    <row r="235" spans="1:5" ht="12.75">
      <c r="A235" s="1090"/>
      <c r="B235" s="74" t="s">
        <v>4743</v>
      </c>
      <c r="C235" s="64" t="s">
        <v>4743</v>
      </c>
      <c r="D235" s="64">
        <v>0</v>
      </c>
      <c r="E235" s="279" t="s">
        <v>4743</v>
      </c>
    </row>
    <row r="236" spans="1:5" ht="12.75">
      <c r="A236" s="1090"/>
      <c r="B236" s="74" t="s">
        <v>4743</v>
      </c>
      <c r="C236" s="64" t="s">
        <v>4743</v>
      </c>
      <c r="D236" s="64">
        <v>0</v>
      </c>
      <c r="E236" s="279" t="s">
        <v>4743</v>
      </c>
    </row>
    <row r="237" spans="1:5" ht="12.75">
      <c r="A237" s="1090"/>
      <c r="B237" s="74" t="s">
        <v>4743</v>
      </c>
      <c r="C237" s="64" t="s">
        <v>4743</v>
      </c>
      <c r="D237" s="64">
        <v>0</v>
      </c>
      <c r="E237" s="279" t="s">
        <v>4743</v>
      </c>
    </row>
    <row r="238" spans="1:5" ht="12.75">
      <c r="A238" s="1090"/>
      <c r="B238" s="74" t="s">
        <v>4743</v>
      </c>
      <c r="C238" s="64" t="s">
        <v>4743</v>
      </c>
      <c r="D238" s="64">
        <v>0</v>
      </c>
      <c r="E238" s="279" t="s">
        <v>4743</v>
      </c>
    </row>
    <row r="239" spans="1:5" ht="12.75">
      <c r="A239" s="1090"/>
      <c r="B239" s="74" t="s">
        <v>4743</v>
      </c>
      <c r="C239" s="64" t="s">
        <v>4743</v>
      </c>
      <c r="D239" s="64">
        <v>0</v>
      </c>
      <c r="E239" s="279" t="s">
        <v>4743</v>
      </c>
    </row>
    <row r="240" spans="1:5" ht="12.75">
      <c r="A240" s="1090"/>
      <c r="B240" s="74" t="s">
        <v>4743</v>
      </c>
      <c r="C240" s="64" t="s">
        <v>4743</v>
      </c>
      <c r="D240" s="64">
        <v>0</v>
      </c>
      <c r="E240" s="279" t="s">
        <v>4743</v>
      </c>
    </row>
    <row r="241" spans="1:5" ht="12.75">
      <c r="A241" s="1090"/>
      <c r="B241" s="74" t="s">
        <v>4743</v>
      </c>
      <c r="C241" s="64" t="s">
        <v>4743</v>
      </c>
      <c r="D241" s="64">
        <v>0</v>
      </c>
      <c r="E241" s="279" t="s">
        <v>4743</v>
      </c>
    </row>
    <row r="242" spans="1:5" ht="12.75">
      <c r="A242" s="1090"/>
      <c r="B242" s="74" t="s">
        <v>4743</v>
      </c>
      <c r="C242" s="64" t="s">
        <v>4743</v>
      </c>
      <c r="D242" s="64">
        <v>0</v>
      </c>
      <c r="E242" s="279" t="s">
        <v>4743</v>
      </c>
    </row>
    <row r="243" spans="1:5" ht="12.75">
      <c r="A243" s="1090"/>
      <c r="B243" s="74" t="s">
        <v>4743</v>
      </c>
      <c r="C243" s="64" t="s">
        <v>4743</v>
      </c>
      <c r="D243" s="64">
        <v>0</v>
      </c>
      <c r="E243" s="279" t="s">
        <v>4743</v>
      </c>
    </row>
    <row r="244" spans="1:5" ht="12.75">
      <c r="A244" s="1090"/>
      <c r="B244" s="74" t="s">
        <v>4743</v>
      </c>
      <c r="C244" s="64" t="s">
        <v>4743</v>
      </c>
      <c r="D244" s="64">
        <v>0</v>
      </c>
      <c r="E244" s="279" t="s">
        <v>4743</v>
      </c>
    </row>
    <row r="245" spans="1:5" ht="12.75">
      <c r="A245" s="1090"/>
      <c r="B245" s="74" t="s">
        <v>4743</v>
      </c>
      <c r="C245" s="64" t="s">
        <v>4743</v>
      </c>
      <c r="D245" s="64">
        <v>0</v>
      </c>
      <c r="E245" s="279" t="s">
        <v>4743</v>
      </c>
    </row>
    <row r="246" spans="1:5" ht="12.75">
      <c r="A246" s="1090"/>
      <c r="B246" s="74" t="s">
        <v>4743</v>
      </c>
      <c r="C246" s="64" t="s">
        <v>4743</v>
      </c>
      <c r="D246" s="64">
        <v>0</v>
      </c>
      <c r="E246" s="279" t="s">
        <v>4743</v>
      </c>
    </row>
    <row r="247" spans="1:5" ht="12.75">
      <c r="A247" s="1090"/>
      <c r="B247" s="74" t="s">
        <v>4743</v>
      </c>
      <c r="C247" s="64" t="s">
        <v>4743</v>
      </c>
      <c r="D247" s="64">
        <v>0</v>
      </c>
      <c r="E247" s="279" t="s">
        <v>4743</v>
      </c>
    </row>
    <row r="248" spans="1:5" ht="12.75">
      <c r="A248" s="1090"/>
      <c r="B248" s="74" t="s">
        <v>4743</v>
      </c>
      <c r="C248" s="64" t="s">
        <v>4743</v>
      </c>
      <c r="D248" s="64">
        <v>0</v>
      </c>
      <c r="E248" s="279" t="s">
        <v>4743</v>
      </c>
    </row>
    <row r="249" spans="1:5" ht="12.75">
      <c r="A249" s="1090"/>
      <c r="B249" s="74" t="s">
        <v>4743</v>
      </c>
      <c r="C249" s="64" t="s">
        <v>4743</v>
      </c>
      <c r="D249" s="64">
        <v>0</v>
      </c>
      <c r="E249" s="279" t="s">
        <v>4743</v>
      </c>
    </row>
    <row r="250" spans="1:5" ht="12.75">
      <c r="A250" s="1090"/>
      <c r="B250" s="74" t="s">
        <v>4743</v>
      </c>
      <c r="C250" s="64" t="s">
        <v>4743</v>
      </c>
      <c r="D250" s="64">
        <v>0</v>
      </c>
      <c r="E250" s="279" t="s">
        <v>4743</v>
      </c>
    </row>
    <row r="251" spans="1:5" ht="12.75">
      <c r="A251" s="1090"/>
      <c r="B251" s="74" t="s">
        <v>4743</v>
      </c>
      <c r="C251" s="64" t="s">
        <v>4743</v>
      </c>
      <c r="D251" s="64">
        <v>0</v>
      </c>
      <c r="E251" s="279" t="s">
        <v>4743</v>
      </c>
    </row>
    <row r="252" spans="1:5" ht="12.75">
      <c r="A252" s="1090"/>
      <c r="B252" s="74" t="s">
        <v>4743</v>
      </c>
      <c r="C252" s="64" t="s">
        <v>4743</v>
      </c>
      <c r="D252" s="64">
        <v>0</v>
      </c>
      <c r="E252" s="279" t="s">
        <v>4743</v>
      </c>
    </row>
    <row r="253" spans="1:5" ht="12.75">
      <c r="A253" s="1090"/>
      <c r="B253" s="74" t="s">
        <v>4743</v>
      </c>
      <c r="C253" s="64" t="s">
        <v>4743</v>
      </c>
      <c r="D253" s="64">
        <v>0</v>
      </c>
      <c r="E253" s="279" t="s">
        <v>4743</v>
      </c>
    </row>
    <row r="254" spans="1:5" ht="12.75">
      <c r="A254" s="1090"/>
      <c r="B254" s="74" t="s">
        <v>4743</v>
      </c>
      <c r="C254" s="64" t="s">
        <v>4743</v>
      </c>
      <c r="D254" s="64">
        <v>0</v>
      </c>
      <c r="E254" s="279" t="s">
        <v>4743</v>
      </c>
    </row>
    <row r="255" spans="1:5" ht="12.75">
      <c r="A255" s="1090"/>
      <c r="B255" s="74" t="s">
        <v>4743</v>
      </c>
      <c r="C255" s="64" t="s">
        <v>4743</v>
      </c>
      <c r="D255" s="64">
        <v>0</v>
      </c>
      <c r="E255" s="279" t="s">
        <v>4743</v>
      </c>
    </row>
    <row r="256" spans="1:5" ht="12.75">
      <c r="A256" s="1090"/>
      <c r="B256" s="74" t="s">
        <v>4743</v>
      </c>
      <c r="C256" s="64" t="s">
        <v>4743</v>
      </c>
      <c r="D256" s="64">
        <v>0</v>
      </c>
      <c r="E256" s="279" t="s">
        <v>4743</v>
      </c>
    </row>
    <row r="257" spans="1:5" ht="12.75">
      <c r="A257" s="1090"/>
      <c r="B257" s="74" t="s">
        <v>4743</v>
      </c>
      <c r="C257" s="64" t="s">
        <v>4743</v>
      </c>
      <c r="D257" s="64">
        <v>0</v>
      </c>
      <c r="E257" s="279" t="s">
        <v>4743</v>
      </c>
    </row>
    <row r="258" spans="1:5" ht="12.75">
      <c r="A258" s="1090"/>
      <c r="B258" s="74" t="s">
        <v>4743</v>
      </c>
      <c r="C258" s="64" t="s">
        <v>4743</v>
      </c>
      <c r="D258" s="64">
        <v>0</v>
      </c>
      <c r="E258" s="279" t="s">
        <v>4743</v>
      </c>
    </row>
    <row r="259" spans="1:5" ht="12.75">
      <c r="A259" s="1090"/>
      <c r="B259" s="74" t="s">
        <v>4743</v>
      </c>
      <c r="C259" s="64" t="s">
        <v>4743</v>
      </c>
      <c r="D259" s="64">
        <v>0</v>
      </c>
      <c r="E259" s="279" t="s">
        <v>4743</v>
      </c>
    </row>
    <row r="260" spans="1:5" ht="12.75">
      <c r="A260" s="1090"/>
      <c r="B260" s="74" t="s">
        <v>4743</v>
      </c>
      <c r="C260" s="64" t="s">
        <v>4743</v>
      </c>
      <c r="D260" s="64">
        <v>0</v>
      </c>
      <c r="E260" s="279" t="s">
        <v>4743</v>
      </c>
    </row>
    <row r="261" spans="1:5" ht="12.75">
      <c r="A261" s="1090"/>
      <c r="B261" s="74" t="s">
        <v>4743</v>
      </c>
      <c r="C261" s="64" t="s">
        <v>4743</v>
      </c>
      <c r="D261" s="64">
        <v>0</v>
      </c>
      <c r="E261" s="279" t="s">
        <v>4743</v>
      </c>
    </row>
    <row r="262" spans="1:5" ht="12.75">
      <c r="A262" s="1090"/>
      <c r="B262" s="74" t="s">
        <v>4743</v>
      </c>
      <c r="C262" s="64" t="s">
        <v>4743</v>
      </c>
      <c r="D262" s="64">
        <v>0</v>
      </c>
      <c r="E262" s="279" t="s">
        <v>4743</v>
      </c>
    </row>
    <row r="263" spans="1:5" ht="12.75">
      <c r="A263" s="1090"/>
      <c r="B263" s="74" t="s">
        <v>4743</v>
      </c>
      <c r="C263" s="64" t="s">
        <v>4743</v>
      </c>
      <c r="D263" s="64">
        <v>0</v>
      </c>
      <c r="E263" s="279" t="s">
        <v>4743</v>
      </c>
    </row>
    <row r="264" spans="1:5" ht="12.75">
      <c r="A264" s="1090"/>
      <c r="B264" s="74" t="s">
        <v>4743</v>
      </c>
      <c r="C264" s="64" t="s">
        <v>4743</v>
      </c>
      <c r="D264" s="64">
        <v>0</v>
      </c>
      <c r="E264" s="279" t="s">
        <v>4743</v>
      </c>
    </row>
    <row r="265" spans="1:5" ht="12.75">
      <c r="A265" s="1090"/>
      <c r="B265" s="74" t="s">
        <v>4743</v>
      </c>
      <c r="C265" s="64" t="s">
        <v>4743</v>
      </c>
      <c r="D265" s="64">
        <v>0</v>
      </c>
      <c r="E265" s="279" t="s">
        <v>4743</v>
      </c>
    </row>
    <row r="266" spans="1:5" ht="12.75">
      <c r="A266" s="1090"/>
      <c r="B266" s="74" t="s">
        <v>4743</v>
      </c>
      <c r="C266" s="64" t="s">
        <v>4743</v>
      </c>
      <c r="D266" s="64">
        <v>0</v>
      </c>
      <c r="E266" s="279" t="s">
        <v>4743</v>
      </c>
    </row>
    <row r="267" spans="1:5" ht="12.75">
      <c r="A267" s="1090"/>
      <c r="B267" s="74" t="s">
        <v>4743</v>
      </c>
      <c r="C267" s="64" t="s">
        <v>4743</v>
      </c>
      <c r="D267" s="64">
        <v>0</v>
      </c>
      <c r="E267" s="279" t="s">
        <v>4743</v>
      </c>
    </row>
    <row r="268" spans="1:5" ht="12.75">
      <c r="A268" s="1090"/>
      <c r="B268" s="74" t="s">
        <v>4743</v>
      </c>
      <c r="C268" s="64" t="s">
        <v>4743</v>
      </c>
      <c r="D268" s="64">
        <v>0</v>
      </c>
      <c r="E268" s="279" t="s">
        <v>4743</v>
      </c>
    </row>
    <row r="269" spans="1:5" ht="12.75">
      <c r="A269" s="1090"/>
      <c r="B269" s="74" t="s">
        <v>4743</v>
      </c>
      <c r="C269" s="64" t="s">
        <v>4743</v>
      </c>
      <c r="D269" s="64">
        <v>0</v>
      </c>
      <c r="E269" s="279" t="s">
        <v>4743</v>
      </c>
    </row>
    <row r="270" spans="1:5" ht="12.75">
      <c r="A270" s="1090"/>
      <c r="B270" s="74" t="s">
        <v>4743</v>
      </c>
      <c r="C270" s="64" t="s">
        <v>4743</v>
      </c>
      <c r="D270" s="64">
        <v>0</v>
      </c>
      <c r="E270" s="279" t="s">
        <v>4743</v>
      </c>
    </row>
    <row r="271" spans="1:5" ht="12.75">
      <c r="A271" s="1090"/>
      <c r="B271" s="74" t="s">
        <v>4743</v>
      </c>
      <c r="C271" s="64" t="s">
        <v>4743</v>
      </c>
      <c r="D271" s="64">
        <v>0</v>
      </c>
      <c r="E271" s="279" t="s">
        <v>4743</v>
      </c>
    </row>
    <row r="272" spans="1:5" ht="12.75">
      <c r="A272" s="1090"/>
      <c r="B272" s="74" t="s">
        <v>4743</v>
      </c>
      <c r="C272" s="64" t="s">
        <v>4743</v>
      </c>
      <c r="D272" s="64">
        <v>0</v>
      </c>
      <c r="E272" s="279" t="s">
        <v>4743</v>
      </c>
    </row>
    <row r="273" spans="1:5" ht="12.75">
      <c r="A273" s="1090"/>
      <c r="B273" s="74" t="s">
        <v>4743</v>
      </c>
      <c r="C273" s="64" t="s">
        <v>4743</v>
      </c>
      <c r="D273" s="64">
        <v>0</v>
      </c>
      <c r="E273" s="279" t="s">
        <v>4743</v>
      </c>
    </row>
    <row r="274" spans="1:5" ht="12.75">
      <c r="A274" s="1090"/>
      <c r="B274" s="74" t="s">
        <v>4743</v>
      </c>
      <c r="C274" s="64" t="s">
        <v>4743</v>
      </c>
      <c r="D274" s="64">
        <v>0</v>
      </c>
      <c r="E274" s="279" t="s">
        <v>4743</v>
      </c>
    </row>
    <row r="275" spans="1:5" ht="12.75">
      <c r="A275" s="1090"/>
      <c r="B275" s="74" t="s">
        <v>4743</v>
      </c>
      <c r="C275" s="64" t="s">
        <v>4743</v>
      </c>
      <c r="D275" s="64">
        <v>0</v>
      </c>
      <c r="E275" s="279" t="s">
        <v>4743</v>
      </c>
    </row>
    <row r="276" spans="1:5" ht="12.75">
      <c r="A276" s="1090"/>
      <c r="B276" s="74" t="s">
        <v>4743</v>
      </c>
      <c r="C276" s="64" t="s">
        <v>4743</v>
      </c>
      <c r="D276" s="64">
        <v>0</v>
      </c>
      <c r="E276" s="279" t="s">
        <v>4743</v>
      </c>
    </row>
    <row r="277" spans="1:5" ht="12.75">
      <c r="A277" s="1090"/>
      <c r="B277" s="74" t="s">
        <v>4743</v>
      </c>
      <c r="C277" s="64" t="s">
        <v>4743</v>
      </c>
      <c r="D277" s="64">
        <v>0</v>
      </c>
      <c r="E277" s="279" t="s">
        <v>4743</v>
      </c>
    </row>
    <row r="278" spans="1:5" ht="12.75">
      <c r="A278" s="1090"/>
      <c r="B278" s="74" t="s">
        <v>4743</v>
      </c>
      <c r="C278" s="64" t="s">
        <v>4743</v>
      </c>
      <c r="D278" s="64">
        <v>0</v>
      </c>
      <c r="E278" s="279" t="s">
        <v>4743</v>
      </c>
    </row>
    <row r="279" spans="1:5" ht="12.75">
      <c r="A279" s="1090"/>
      <c r="B279" s="74" t="s">
        <v>4743</v>
      </c>
      <c r="C279" s="64" t="s">
        <v>4743</v>
      </c>
      <c r="D279" s="64">
        <v>0</v>
      </c>
      <c r="E279" s="279" t="s">
        <v>4743</v>
      </c>
    </row>
    <row r="280" spans="1:5" ht="12.75">
      <c r="A280" s="1090"/>
      <c r="B280" s="74" t="s">
        <v>4743</v>
      </c>
      <c r="C280" s="64" t="s">
        <v>4743</v>
      </c>
      <c r="D280" s="64">
        <v>0</v>
      </c>
      <c r="E280" s="279" t="s">
        <v>4743</v>
      </c>
    </row>
    <row r="281" spans="1:5" ht="12.75">
      <c r="A281" s="1090"/>
      <c r="B281" s="74" t="s">
        <v>4743</v>
      </c>
      <c r="C281" s="64" t="s">
        <v>4743</v>
      </c>
      <c r="D281" s="64">
        <v>0</v>
      </c>
      <c r="E281" s="279" t="s">
        <v>4743</v>
      </c>
    </row>
    <row r="282" spans="1:5" ht="12.75">
      <c r="A282" s="1090"/>
      <c r="B282" s="74" t="s">
        <v>4743</v>
      </c>
      <c r="C282" s="64" t="s">
        <v>4743</v>
      </c>
      <c r="D282" s="64">
        <v>0</v>
      </c>
      <c r="E282" s="279" t="s">
        <v>4743</v>
      </c>
    </row>
    <row r="283" spans="1:5" ht="12.75">
      <c r="A283" s="1090"/>
      <c r="B283" s="74" t="s">
        <v>4743</v>
      </c>
      <c r="C283" s="64" t="s">
        <v>4743</v>
      </c>
      <c r="D283" s="64">
        <v>0</v>
      </c>
      <c r="E283" s="279" t="s">
        <v>4743</v>
      </c>
    </row>
    <row r="284" spans="1:5" ht="12.75">
      <c r="A284" s="1090"/>
      <c r="B284" s="74" t="s">
        <v>4743</v>
      </c>
      <c r="C284" s="64" t="s">
        <v>4743</v>
      </c>
      <c r="D284" s="64">
        <v>0</v>
      </c>
      <c r="E284" s="279" t="s">
        <v>4743</v>
      </c>
    </row>
    <row r="285" spans="1:5" ht="12.75">
      <c r="A285" s="1090"/>
      <c r="B285" s="74" t="s">
        <v>4743</v>
      </c>
      <c r="C285" s="64" t="s">
        <v>4743</v>
      </c>
      <c r="D285" s="64">
        <v>0</v>
      </c>
      <c r="E285" s="279" t="s">
        <v>4743</v>
      </c>
    </row>
    <row r="286" spans="1:5" ht="12.75">
      <c r="A286" s="1090"/>
      <c r="B286" s="74" t="s">
        <v>4743</v>
      </c>
      <c r="C286" s="64" t="s">
        <v>4743</v>
      </c>
      <c r="D286" s="64">
        <v>0</v>
      </c>
      <c r="E286" s="279" t="s">
        <v>4743</v>
      </c>
    </row>
    <row r="287" spans="1:5" ht="12.75">
      <c r="A287" s="1090"/>
      <c r="B287" s="74" t="s">
        <v>4743</v>
      </c>
      <c r="C287" s="64" t="s">
        <v>4743</v>
      </c>
      <c r="D287" s="64">
        <v>0</v>
      </c>
      <c r="E287" s="279" t="s">
        <v>4743</v>
      </c>
    </row>
    <row r="288" spans="1:5" ht="12.75">
      <c r="A288" s="1090"/>
      <c r="B288" s="74" t="s">
        <v>4743</v>
      </c>
      <c r="C288" s="64" t="s">
        <v>4743</v>
      </c>
      <c r="D288" s="64">
        <v>0</v>
      </c>
      <c r="E288" s="279" t="s">
        <v>4743</v>
      </c>
    </row>
    <row r="289" spans="1:5" ht="12.75">
      <c r="A289" s="1090"/>
      <c r="B289" s="74" t="s">
        <v>4743</v>
      </c>
      <c r="C289" s="64" t="s">
        <v>4743</v>
      </c>
      <c r="D289" s="64">
        <v>0</v>
      </c>
      <c r="E289" s="279" t="s">
        <v>4743</v>
      </c>
    </row>
    <row r="290" spans="1:5" ht="12.75">
      <c r="A290" s="1090"/>
      <c r="B290" s="74" t="s">
        <v>4743</v>
      </c>
      <c r="C290" s="64" t="s">
        <v>4743</v>
      </c>
      <c r="D290" s="64">
        <v>0</v>
      </c>
      <c r="E290" s="279" t="s">
        <v>4743</v>
      </c>
    </row>
    <row r="291" spans="1:5" ht="12.75">
      <c r="A291" s="1090"/>
      <c r="B291" s="74" t="s">
        <v>4743</v>
      </c>
      <c r="C291" s="64" t="s">
        <v>4743</v>
      </c>
      <c r="D291" s="64">
        <v>0</v>
      </c>
      <c r="E291" s="279" t="s">
        <v>4743</v>
      </c>
    </row>
    <row r="292" spans="1:5" ht="12.75">
      <c r="A292" s="1090"/>
      <c r="B292" s="74" t="s">
        <v>4743</v>
      </c>
      <c r="C292" s="64" t="s">
        <v>4743</v>
      </c>
      <c r="D292" s="64">
        <v>0</v>
      </c>
      <c r="E292" s="279" t="s">
        <v>4743</v>
      </c>
    </row>
    <row r="293" spans="1:5" ht="12.75">
      <c r="A293" s="1090"/>
      <c r="B293" s="74" t="s">
        <v>4743</v>
      </c>
      <c r="C293" s="64" t="s">
        <v>4743</v>
      </c>
      <c r="D293" s="64">
        <v>0</v>
      </c>
      <c r="E293" s="279" t="s">
        <v>4743</v>
      </c>
    </row>
    <row r="294" spans="1:5" ht="12.75">
      <c r="A294" s="1090"/>
      <c r="B294" s="74" t="s">
        <v>4743</v>
      </c>
      <c r="C294" s="64" t="s">
        <v>4743</v>
      </c>
      <c r="D294" s="64">
        <v>0</v>
      </c>
      <c r="E294" s="279" t="s">
        <v>4743</v>
      </c>
    </row>
    <row r="295" spans="1:5" ht="12.75">
      <c r="A295" s="1090"/>
      <c r="B295" s="74" t="s">
        <v>4743</v>
      </c>
      <c r="C295" s="64" t="s">
        <v>4743</v>
      </c>
      <c r="D295" s="64">
        <v>0</v>
      </c>
      <c r="E295" s="279" t="s">
        <v>4743</v>
      </c>
    </row>
    <row r="296" spans="1:5" ht="12.75">
      <c r="A296" s="1090"/>
      <c r="B296" s="74" t="s">
        <v>4743</v>
      </c>
      <c r="C296" s="64" t="s">
        <v>4743</v>
      </c>
      <c r="D296" s="64">
        <v>0</v>
      </c>
      <c r="E296" s="279" t="s">
        <v>4743</v>
      </c>
    </row>
    <row r="297" spans="1:5" ht="12.75">
      <c r="A297" s="1090"/>
      <c r="B297" s="74" t="s">
        <v>4743</v>
      </c>
      <c r="C297" s="64" t="s">
        <v>4743</v>
      </c>
      <c r="D297" s="64">
        <v>0</v>
      </c>
      <c r="E297" s="279" t="s">
        <v>4743</v>
      </c>
    </row>
    <row r="298" spans="1:5" ht="12.75">
      <c r="A298" s="1090"/>
      <c r="B298" s="74" t="s">
        <v>4743</v>
      </c>
      <c r="C298" s="64" t="s">
        <v>4743</v>
      </c>
      <c r="D298" s="64">
        <v>0</v>
      </c>
      <c r="E298" s="279" t="s">
        <v>4743</v>
      </c>
    </row>
    <row r="299" spans="1:5" ht="12.75">
      <c r="A299" s="1090"/>
      <c r="B299" s="74" t="s">
        <v>4743</v>
      </c>
      <c r="C299" s="64" t="s">
        <v>4743</v>
      </c>
      <c r="D299" s="64">
        <v>0</v>
      </c>
      <c r="E299" s="279" t="s">
        <v>4743</v>
      </c>
    </row>
    <row r="300" spans="1:5" ht="12.75">
      <c r="A300" s="1090"/>
      <c r="B300" s="74" t="s">
        <v>4743</v>
      </c>
      <c r="C300" s="64" t="s">
        <v>4743</v>
      </c>
      <c r="D300" s="64">
        <v>0</v>
      </c>
      <c r="E300" s="279" t="s">
        <v>4743</v>
      </c>
    </row>
    <row r="301" spans="1:5" ht="12.75">
      <c r="A301" s="1090"/>
      <c r="B301" s="74" t="s">
        <v>4743</v>
      </c>
      <c r="C301" s="64" t="s">
        <v>4743</v>
      </c>
      <c r="D301" s="64">
        <v>0</v>
      </c>
      <c r="E301" s="279" t="s">
        <v>4743</v>
      </c>
    </row>
    <row r="302" spans="1:5" ht="12.75">
      <c r="A302" s="1090"/>
      <c r="B302" s="74" t="s">
        <v>4743</v>
      </c>
      <c r="C302" s="64" t="s">
        <v>4743</v>
      </c>
      <c r="D302" s="64">
        <v>0</v>
      </c>
      <c r="E302" s="279" t="s">
        <v>4743</v>
      </c>
    </row>
    <row r="303" spans="1:5" ht="12.75">
      <c r="A303" s="1090"/>
      <c r="B303" s="74" t="s">
        <v>4743</v>
      </c>
      <c r="C303" s="64" t="s">
        <v>4743</v>
      </c>
      <c r="D303" s="64">
        <v>0</v>
      </c>
      <c r="E303" s="279" t="s">
        <v>4743</v>
      </c>
    </row>
    <row r="304" spans="1:5" ht="12.75">
      <c r="A304" s="1090"/>
      <c r="B304" s="74" t="s">
        <v>4743</v>
      </c>
      <c r="C304" s="64" t="s">
        <v>4743</v>
      </c>
      <c r="D304" s="64">
        <v>0</v>
      </c>
      <c r="E304" s="279" t="s">
        <v>4743</v>
      </c>
    </row>
    <row r="305" spans="1:5" ht="12.75">
      <c r="A305" s="1090"/>
      <c r="B305" s="74" t="s">
        <v>4743</v>
      </c>
      <c r="C305" s="64" t="s">
        <v>4743</v>
      </c>
      <c r="D305" s="64">
        <v>0</v>
      </c>
      <c r="E305" s="279" t="s">
        <v>4743</v>
      </c>
    </row>
    <row r="306" spans="1:5" ht="12.75">
      <c r="A306" s="1090"/>
      <c r="B306" s="74" t="s">
        <v>4743</v>
      </c>
      <c r="C306" s="64" t="s">
        <v>4743</v>
      </c>
      <c r="D306" s="64">
        <v>0</v>
      </c>
      <c r="E306" s="279" t="s">
        <v>4743</v>
      </c>
    </row>
    <row r="307" spans="1:5" ht="12.75">
      <c r="A307" s="1090"/>
      <c r="B307" s="74" t="s">
        <v>4743</v>
      </c>
      <c r="C307" s="64" t="s">
        <v>4743</v>
      </c>
      <c r="D307" s="64">
        <v>0</v>
      </c>
      <c r="E307" s="279" t="s">
        <v>4743</v>
      </c>
    </row>
    <row r="308" spans="1:5" ht="12.75">
      <c r="A308" s="1090"/>
      <c r="B308" s="74" t="s">
        <v>4743</v>
      </c>
      <c r="C308" s="64" t="s">
        <v>4743</v>
      </c>
      <c r="D308" s="64">
        <v>0</v>
      </c>
      <c r="E308" s="279" t="s">
        <v>4743</v>
      </c>
    </row>
    <row r="309" spans="1:5" ht="12.75">
      <c r="A309" s="1090"/>
      <c r="B309" s="74" t="s">
        <v>4743</v>
      </c>
      <c r="C309" s="64" t="s">
        <v>4743</v>
      </c>
      <c r="D309" s="64">
        <v>0</v>
      </c>
      <c r="E309" s="279" t="s">
        <v>4743</v>
      </c>
    </row>
    <row r="310" spans="1:5" ht="12.75">
      <c r="A310" s="1090"/>
      <c r="B310" s="74" t="s">
        <v>4743</v>
      </c>
      <c r="C310" s="64" t="s">
        <v>4743</v>
      </c>
      <c r="D310" s="64">
        <v>0</v>
      </c>
      <c r="E310" s="279" t="s">
        <v>4743</v>
      </c>
    </row>
    <row r="311" spans="1:5" ht="12.75">
      <c r="A311" s="1090"/>
      <c r="B311" s="74" t="s">
        <v>4743</v>
      </c>
      <c r="C311" s="64" t="s">
        <v>4743</v>
      </c>
      <c r="D311" s="64">
        <v>0</v>
      </c>
      <c r="E311" s="279" t="s">
        <v>4743</v>
      </c>
    </row>
    <row r="312" spans="1:5" ht="12.75">
      <c r="A312" s="1090"/>
      <c r="B312" s="74" t="s">
        <v>4743</v>
      </c>
      <c r="C312" s="64" t="s">
        <v>4743</v>
      </c>
      <c r="D312" s="64">
        <v>0</v>
      </c>
      <c r="E312" s="279" t="s">
        <v>4743</v>
      </c>
    </row>
    <row r="313" spans="1:5" ht="12.75">
      <c r="A313" s="1090"/>
      <c r="B313" s="74" t="s">
        <v>4743</v>
      </c>
      <c r="C313" s="64" t="s">
        <v>4743</v>
      </c>
      <c r="D313" s="64">
        <v>0</v>
      </c>
      <c r="E313" s="279" t="s">
        <v>4743</v>
      </c>
    </row>
    <row r="314" spans="1:5" ht="12.75">
      <c r="A314" s="1090"/>
      <c r="B314" s="74" t="s">
        <v>4743</v>
      </c>
      <c r="C314" s="64" t="s">
        <v>4743</v>
      </c>
      <c r="D314" s="64">
        <v>0</v>
      </c>
      <c r="E314" s="279" t="s">
        <v>4743</v>
      </c>
    </row>
    <row r="315" spans="1:5" ht="12.75">
      <c r="A315" s="1090"/>
      <c r="B315" s="74" t="s">
        <v>4743</v>
      </c>
      <c r="C315" s="64" t="s">
        <v>4743</v>
      </c>
      <c r="D315" s="64">
        <v>0</v>
      </c>
      <c r="E315" s="279" t="s">
        <v>4743</v>
      </c>
    </row>
    <row r="316" spans="1:5" ht="12.75">
      <c r="A316" s="1090"/>
      <c r="B316" s="74" t="s">
        <v>4743</v>
      </c>
      <c r="C316" s="64" t="s">
        <v>4743</v>
      </c>
      <c r="D316" s="64">
        <v>0</v>
      </c>
      <c r="E316" s="279" t="s">
        <v>4743</v>
      </c>
    </row>
    <row r="317" spans="1:5" ht="12.75">
      <c r="A317" s="1090"/>
      <c r="B317" s="74" t="s">
        <v>4743</v>
      </c>
      <c r="C317" s="64" t="s">
        <v>4743</v>
      </c>
      <c r="D317" s="64">
        <v>0</v>
      </c>
      <c r="E317" s="279" t="s">
        <v>4743</v>
      </c>
    </row>
    <row r="318" spans="1:5" ht="12.75">
      <c r="A318" s="1090"/>
      <c r="B318" s="74" t="s">
        <v>4743</v>
      </c>
      <c r="C318" s="64" t="s">
        <v>4743</v>
      </c>
      <c r="D318" s="64">
        <v>0</v>
      </c>
      <c r="E318" s="279" t="s">
        <v>4743</v>
      </c>
    </row>
    <row r="319" spans="1:5" ht="12.75">
      <c r="A319" s="1090"/>
      <c r="B319" s="74" t="s">
        <v>4743</v>
      </c>
      <c r="C319" s="64" t="s">
        <v>4743</v>
      </c>
      <c r="D319" s="64">
        <v>0</v>
      </c>
      <c r="E319" s="279" t="s">
        <v>4743</v>
      </c>
    </row>
    <row r="320" spans="1:5" ht="12.75">
      <c r="A320" s="1090"/>
      <c r="B320" s="74" t="s">
        <v>4743</v>
      </c>
      <c r="C320" s="64" t="s">
        <v>4743</v>
      </c>
      <c r="D320" s="64">
        <v>0</v>
      </c>
      <c r="E320" s="279" t="s">
        <v>4743</v>
      </c>
    </row>
    <row r="321" spans="1:5" ht="12.75">
      <c r="A321" s="1090"/>
      <c r="B321" s="74" t="s">
        <v>4743</v>
      </c>
      <c r="C321" s="64" t="s">
        <v>4743</v>
      </c>
      <c r="D321" s="64">
        <v>0</v>
      </c>
      <c r="E321" s="279" t="s">
        <v>4743</v>
      </c>
    </row>
    <row r="322" spans="1:5" ht="12.75">
      <c r="A322" s="1090"/>
      <c r="B322" s="74" t="s">
        <v>4743</v>
      </c>
      <c r="C322" s="64" t="s">
        <v>4743</v>
      </c>
      <c r="D322" s="64">
        <v>0</v>
      </c>
      <c r="E322" s="279" t="s">
        <v>4743</v>
      </c>
    </row>
    <row r="323" spans="1:5" ht="12.75">
      <c r="A323" s="1090"/>
      <c r="B323" s="74" t="s">
        <v>4743</v>
      </c>
      <c r="C323" s="64" t="s">
        <v>4743</v>
      </c>
      <c r="D323" s="64">
        <v>0</v>
      </c>
      <c r="E323" s="279" t="s">
        <v>4743</v>
      </c>
    </row>
    <row r="324" spans="1:5" ht="12.75">
      <c r="A324" s="1090"/>
      <c r="B324" s="74" t="s">
        <v>4743</v>
      </c>
      <c r="C324" s="64" t="s">
        <v>4743</v>
      </c>
      <c r="D324" s="64">
        <v>0</v>
      </c>
      <c r="E324" s="279" t="s">
        <v>4743</v>
      </c>
    </row>
    <row r="325" spans="1:5" ht="12.75">
      <c r="A325" s="1090"/>
      <c r="B325" s="74" t="s">
        <v>4743</v>
      </c>
      <c r="C325" s="64" t="s">
        <v>4743</v>
      </c>
      <c r="D325" s="64">
        <v>0</v>
      </c>
      <c r="E325" s="279" t="s">
        <v>4743</v>
      </c>
    </row>
    <row r="326" spans="1:5" ht="12.75">
      <c r="A326" s="1090"/>
      <c r="B326" s="74" t="s">
        <v>4743</v>
      </c>
      <c r="C326" s="64" t="s">
        <v>4743</v>
      </c>
      <c r="D326" s="64">
        <v>0</v>
      </c>
      <c r="E326" s="279" t="s">
        <v>4743</v>
      </c>
    </row>
    <row r="327" spans="1:5" ht="12.75">
      <c r="A327" s="1090"/>
      <c r="B327" s="74" t="s">
        <v>4743</v>
      </c>
      <c r="C327" s="64" t="s">
        <v>4743</v>
      </c>
      <c r="D327" s="64">
        <v>0</v>
      </c>
      <c r="E327" s="279" t="s">
        <v>4743</v>
      </c>
    </row>
    <row r="328" spans="1:5" ht="12.75">
      <c r="A328" s="1090"/>
      <c r="B328" s="74" t="s">
        <v>4743</v>
      </c>
      <c r="C328" s="64" t="s">
        <v>4743</v>
      </c>
      <c r="D328" s="64">
        <v>0</v>
      </c>
      <c r="E328" s="279" t="s">
        <v>4743</v>
      </c>
    </row>
    <row r="329" spans="1:5" ht="12.75">
      <c r="A329" s="1090"/>
      <c r="B329" s="74" t="s">
        <v>4743</v>
      </c>
      <c r="C329" s="64" t="s">
        <v>4743</v>
      </c>
      <c r="D329" s="64">
        <v>0</v>
      </c>
      <c r="E329" s="279" t="s">
        <v>4743</v>
      </c>
    </row>
    <row r="330" spans="1:5" ht="12.75">
      <c r="A330" s="1090"/>
      <c r="B330" s="74" t="s">
        <v>4743</v>
      </c>
      <c r="C330" s="64" t="s">
        <v>4743</v>
      </c>
      <c r="D330" s="64">
        <v>0</v>
      </c>
      <c r="E330" s="279" t="s">
        <v>4743</v>
      </c>
    </row>
    <row r="331" spans="1:5" ht="12.75">
      <c r="A331" s="1090"/>
      <c r="B331" s="74" t="s">
        <v>4743</v>
      </c>
      <c r="C331" s="64" t="s">
        <v>4743</v>
      </c>
      <c r="D331" s="64">
        <v>0</v>
      </c>
      <c r="E331" s="279" t="s">
        <v>4743</v>
      </c>
    </row>
    <row r="332" spans="1:5" ht="12.75">
      <c r="A332" s="1090"/>
      <c r="B332" s="74" t="s">
        <v>4743</v>
      </c>
      <c r="C332" s="64" t="s">
        <v>4743</v>
      </c>
      <c r="D332" s="64">
        <v>0</v>
      </c>
      <c r="E332" s="279" t="s">
        <v>4743</v>
      </c>
    </row>
    <row r="333" spans="1:5" ht="12.75">
      <c r="A333" s="1090"/>
      <c r="B333" s="74" t="s">
        <v>4743</v>
      </c>
      <c r="C333" s="64" t="s">
        <v>4743</v>
      </c>
      <c r="D333" s="64">
        <v>0</v>
      </c>
      <c r="E333" s="279" t="s">
        <v>4743</v>
      </c>
    </row>
    <row r="334" spans="1:5" ht="12.75">
      <c r="A334" s="1090"/>
      <c r="B334" s="74" t="s">
        <v>4743</v>
      </c>
      <c r="C334" s="64" t="s">
        <v>4743</v>
      </c>
      <c r="D334" s="64">
        <v>0</v>
      </c>
      <c r="E334" s="279" t="s">
        <v>4743</v>
      </c>
    </row>
    <row r="335" spans="1:5" ht="12.75">
      <c r="A335" s="1090"/>
      <c r="B335" s="74" t="s">
        <v>4743</v>
      </c>
      <c r="C335" s="64" t="s">
        <v>4743</v>
      </c>
      <c r="D335" s="64">
        <v>0</v>
      </c>
      <c r="E335" s="279" t="s">
        <v>4743</v>
      </c>
    </row>
    <row r="336" spans="1:5" ht="12.75">
      <c r="A336" s="1090"/>
      <c r="B336" s="74" t="s">
        <v>4743</v>
      </c>
      <c r="C336" s="64" t="s">
        <v>4743</v>
      </c>
      <c r="D336" s="64">
        <v>0</v>
      </c>
      <c r="E336" s="279" t="s">
        <v>4743</v>
      </c>
    </row>
    <row r="337" spans="1:5" ht="12.75">
      <c r="A337" s="1090"/>
      <c r="B337" s="74" t="s">
        <v>4743</v>
      </c>
      <c r="C337" s="64" t="s">
        <v>4743</v>
      </c>
      <c r="D337" s="64">
        <v>0</v>
      </c>
      <c r="E337" s="279" t="s">
        <v>4743</v>
      </c>
    </row>
    <row r="338" spans="1:5" ht="12.75">
      <c r="A338" s="1090"/>
      <c r="B338" s="74" t="s">
        <v>4743</v>
      </c>
      <c r="C338" s="64" t="s">
        <v>4743</v>
      </c>
      <c r="D338" s="64">
        <v>0</v>
      </c>
      <c r="E338" s="279" t="s">
        <v>4743</v>
      </c>
    </row>
    <row r="339" spans="1:5" ht="12.75">
      <c r="A339" s="1090"/>
      <c r="B339" s="74" t="s">
        <v>4743</v>
      </c>
      <c r="C339" s="64" t="s">
        <v>4743</v>
      </c>
      <c r="D339" s="64">
        <v>0</v>
      </c>
      <c r="E339" s="279" t="s">
        <v>4743</v>
      </c>
    </row>
    <row r="340" spans="1:5" ht="12.75">
      <c r="A340" s="1090"/>
      <c r="B340" s="74" t="s">
        <v>4743</v>
      </c>
      <c r="C340" s="64" t="s">
        <v>4743</v>
      </c>
      <c r="D340" s="64">
        <v>0</v>
      </c>
      <c r="E340" s="279" t="s">
        <v>4743</v>
      </c>
    </row>
    <row r="341" spans="1:5" ht="12.75">
      <c r="A341" s="1090"/>
      <c r="B341" s="74" t="s">
        <v>4743</v>
      </c>
      <c r="C341" s="64" t="s">
        <v>4743</v>
      </c>
      <c r="D341" s="64">
        <v>0</v>
      </c>
      <c r="E341" s="279" t="s">
        <v>4743</v>
      </c>
    </row>
    <row r="342" spans="1:5" ht="12.75">
      <c r="A342" s="1090"/>
      <c r="B342" s="74" t="s">
        <v>4743</v>
      </c>
      <c r="C342" s="64" t="s">
        <v>4743</v>
      </c>
      <c r="D342" s="64">
        <v>0</v>
      </c>
      <c r="E342" s="279" t="s">
        <v>4743</v>
      </c>
    </row>
    <row r="343" spans="1:5" ht="12.75">
      <c r="A343" s="1090"/>
      <c r="B343" s="74" t="s">
        <v>4743</v>
      </c>
      <c r="C343" s="64" t="s">
        <v>4743</v>
      </c>
      <c r="D343" s="64">
        <v>0</v>
      </c>
      <c r="E343" s="279" t="s">
        <v>4743</v>
      </c>
    </row>
    <row r="344" spans="1:5" ht="12.75">
      <c r="A344" s="1090"/>
      <c r="B344" s="74" t="s">
        <v>4743</v>
      </c>
      <c r="C344" s="64" t="s">
        <v>4743</v>
      </c>
      <c r="D344" s="64">
        <v>0</v>
      </c>
      <c r="E344" s="279" t="s">
        <v>4743</v>
      </c>
    </row>
    <row r="345" spans="1:5" ht="12.75">
      <c r="A345" s="1090"/>
      <c r="B345" s="74" t="s">
        <v>4743</v>
      </c>
      <c r="C345" s="64" t="s">
        <v>4743</v>
      </c>
      <c r="D345" s="64">
        <v>0</v>
      </c>
      <c r="E345" s="279" t="s">
        <v>4743</v>
      </c>
    </row>
    <row r="346" spans="1:5" ht="12.75">
      <c r="A346" s="1090"/>
      <c r="B346" s="74" t="s">
        <v>4743</v>
      </c>
      <c r="C346" s="64" t="s">
        <v>4743</v>
      </c>
      <c r="D346" s="64">
        <v>0</v>
      </c>
      <c r="E346" s="279" t="s">
        <v>4743</v>
      </c>
    </row>
    <row r="347" spans="1:5" ht="12.75">
      <c r="A347" s="1090"/>
      <c r="B347" s="74" t="s">
        <v>4743</v>
      </c>
      <c r="C347" s="64" t="s">
        <v>4743</v>
      </c>
      <c r="D347" s="64">
        <v>0</v>
      </c>
      <c r="E347" s="279" t="s">
        <v>4743</v>
      </c>
    </row>
    <row r="348" spans="1:5" ht="12.75">
      <c r="A348" s="1090"/>
      <c r="B348" s="74" t="s">
        <v>4743</v>
      </c>
      <c r="C348" s="64" t="s">
        <v>4743</v>
      </c>
      <c r="D348" s="64">
        <v>0</v>
      </c>
      <c r="E348" s="279" t="s">
        <v>4743</v>
      </c>
    </row>
    <row r="349" spans="1:5" ht="12.75">
      <c r="A349" s="1090"/>
      <c r="B349" s="74" t="s">
        <v>4743</v>
      </c>
      <c r="C349" s="64" t="s">
        <v>4743</v>
      </c>
      <c r="D349" s="64">
        <v>0</v>
      </c>
      <c r="E349" s="279" t="s">
        <v>4743</v>
      </c>
    </row>
    <row r="350" spans="1:5" ht="12.75">
      <c r="A350" s="1090"/>
      <c r="B350" s="74" t="s">
        <v>4743</v>
      </c>
      <c r="C350" s="64" t="s">
        <v>4743</v>
      </c>
      <c r="D350" s="64">
        <v>0</v>
      </c>
      <c r="E350" s="279" t="s">
        <v>4743</v>
      </c>
    </row>
    <row r="351" spans="1:5" ht="12.75">
      <c r="A351" s="1090"/>
      <c r="B351" s="74" t="s">
        <v>4743</v>
      </c>
      <c r="C351" s="64" t="s">
        <v>4743</v>
      </c>
      <c r="D351" s="64">
        <v>0</v>
      </c>
      <c r="E351" s="279" t="s">
        <v>4743</v>
      </c>
    </row>
    <row r="352" spans="1:5" ht="12.75">
      <c r="A352" s="1090"/>
      <c r="B352" s="74" t="s">
        <v>4743</v>
      </c>
      <c r="C352" s="64" t="s">
        <v>4743</v>
      </c>
      <c r="D352" s="64">
        <v>0</v>
      </c>
      <c r="E352" s="279" t="s">
        <v>4743</v>
      </c>
    </row>
    <row r="353" spans="1:5" ht="12.75">
      <c r="A353" s="1090"/>
      <c r="B353" s="74" t="s">
        <v>4743</v>
      </c>
      <c r="C353" s="64" t="s">
        <v>4743</v>
      </c>
      <c r="D353" s="64">
        <v>0</v>
      </c>
      <c r="E353" s="279" t="s">
        <v>4743</v>
      </c>
    </row>
    <row r="354" spans="1:5" ht="12.75">
      <c r="A354" s="1090"/>
      <c r="B354" s="74" t="s">
        <v>4743</v>
      </c>
      <c r="C354" s="64" t="s">
        <v>4743</v>
      </c>
      <c r="D354" s="64">
        <v>0</v>
      </c>
      <c r="E354" s="279" t="s">
        <v>4743</v>
      </c>
    </row>
    <row r="355" spans="1:5" ht="12.75">
      <c r="A355" s="1090"/>
      <c r="B355" s="74" t="s">
        <v>4743</v>
      </c>
      <c r="C355" s="64" t="s">
        <v>4743</v>
      </c>
      <c r="D355" s="64">
        <v>0</v>
      </c>
      <c r="E355" s="279" t="s">
        <v>4743</v>
      </c>
    </row>
    <row r="356" spans="1:5" ht="12.75">
      <c r="A356" s="1090"/>
      <c r="B356" s="74" t="s">
        <v>4743</v>
      </c>
      <c r="C356" s="64" t="s">
        <v>4743</v>
      </c>
      <c r="D356" s="64">
        <v>0</v>
      </c>
      <c r="E356" s="279" t="s">
        <v>4743</v>
      </c>
    </row>
    <row r="357" spans="1:5" ht="12.75">
      <c r="A357" s="1090"/>
      <c r="B357" s="74" t="s">
        <v>4743</v>
      </c>
      <c r="C357" s="64" t="s">
        <v>4743</v>
      </c>
      <c r="D357" s="64">
        <v>0</v>
      </c>
      <c r="E357" s="279" t="s">
        <v>4743</v>
      </c>
    </row>
    <row r="358" spans="1:5" ht="12.75">
      <c r="A358" s="1090"/>
      <c r="B358" s="74" t="s">
        <v>4743</v>
      </c>
      <c r="C358" s="64" t="s">
        <v>4743</v>
      </c>
      <c r="D358" s="64">
        <v>0</v>
      </c>
      <c r="E358" s="279" t="s">
        <v>4743</v>
      </c>
    </row>
    <row r="359" spans="1:5" ht="12.75">
      <c r="A359" s="1090"/>
      <c r="B359" s="74" t="s">
        <v>4743</v>
      </c>
      <c r="C359" s="64" t="s">
        <v>4743</v>
      </c>
      <c r="D359" s="64">
        <v>0</v>
      </c>
      <c r="E359" s="279" t="s">
        <v>4743</v>
      </c>
    </row>
    <row r="360" spans="1:5" ht="12.75">
      <c r="A360" s="1090"/>
      <c r="B360" s="74" t="s">
        <v>4743</v>
      </c>
      <c r="C360" s="64" t="s">
        <v>4743</v>
      </c>
      <c r="D360" s="64">
        <v>0</v>
      </c>
      <c r="E360" s="279" t="s">
        <v>4743</v>
      </c>
    </row>
    <row r="361" spans="1:5" ht="12.75">
      <c r="A361" s="1090"/>
      <c r="B361" s="74" t="s">
        <v>4743</v>
      </c>
      <c r="C361" s="64" t="s">
        <v>4743</v>
      </c>
      <c r="D361" s="64">
        <v>0</v>
      </c>
      <c r="E361" s="279" t="s">
        <v>4743</v>
      </c>
    </row>
    <row r="362" spans="1:5" ht="12.75">
      <c r="A362" s="1090"/>
      <c r="B362" s="74" t="s">
        <v>4743</v>
      </c>
      <c r="C362" s="64" t="s">
        <v>4743</v>
      </c>
      <c r="D362" s="64">
        <v>0</v>
      </c>
      <c r="E362" s="279" t="s">
        <v>4743</v>
      </c>
    </row>
    <row r="363" spans="1:5" ht="12.75">
      <c r="A363" s="1090"/>
      <c r="B363" s="74" t="s">
        <v>4743</v>
      </c>
      <c r="C363" s="64" t="s">
        <v>4743</v>
      </c>
      <c r="D363" s="64">
        <v>0</v>
      </c>
      <c r="E363" s="279" t="s">
        <v>4743</v>
      </c>
    </row>
    <row r="364" spans="1:5" ht="12.75">
      <c r="A364" s="1090"/>
      <c r="B364" s="74" t="s">
        <v>4743</v>
      </c>
      <c r="C364" s="64" t="s">
        <v>4743</v>
      </c>
      <c r="D364" s="64">
        <v>0</v>
      </c>
      <c r="E364" s="279" t="s">
        <v>4743</v>
      </c>
    </row>
    <row r="365" spans="1:5" ht="12.75">
      <c r="A365" s="1090"/>
      <c r="B365" s="74" t="s">
        <v>4743</v>
      </c>
      <c r="C365" s="64" t="s">
        <v>4743</v>
      </c>
      <c r="D365" s="64">
        <v>0</v>
      </c>
      <c r="E365" s="279" t="s">
        <v>4743</v>
      </c>
    </row>
    <row r="366" spans="1:5" ht="12.75">
      <c r="A366" s="1090"/>
      <c r="B366" s="74" t="s">
        <v>4743</v>
      </c>
      <c r="C366" s="64" t="s">
        <v>4743</v>
      </c>
      <c r="D366" s="64">
        <v>0</v>
      </c>
      <c r="E366" s="279" t="s">
        <v>4743</v>
      </c>
    </row>
    <row r="367" spans="1:5" ht="12.75">
      <c r="A367" s="1090"/>
      <c r="B367" s="74" t="s">
        <v>4743</v>
      </c>
      <c r="C367" s="64" t="s">
        <v>4743</v>
      </c>
      <c r="D367" s="64">
        <v>0</v>
      </c>
      <c r="E367" s="279" t="s">
        <v>4743</v>
      </c>
    </row>
    <row r="368" spans="1:5" ht="12.75">
      <c r="A368" s="1090"/>
      <c r="B368" s="74" t="s">
        <v>4743</v>
      </c>
      <c r="C368" s="64" t="s">
        <v>4743</v>
      </c>
      <c r="D368" s="64">
        <v>0</v>
      </c>
      <c r="E368" s="279" t="s">
        <v>4743</v>
      </c>
    </row>
    <row r="369" spans="1:5" ht="12.75">
      <c r="A369" s="1090"/>
      <c r="B369" s="74" t="s">
        <v>4743</v>
      </c>
      <c r="C369" s="64" t="s">
        <v>4743</v>
      </c>
      <c r="D369" s="64">
        <v>0</v>
      </c>
      <c r="E369" s="279" t="s">
        <v>4743</v>
      </c>
    </row>
    <row r="370" spans="1:5" ht="12.75">
      <c r="A370" s="1090"/>
      <c r="B370" s="74" t="s">
        <v>4743</v>
      </c>
      <c r="C370" s="64" t="s">
        <v>4743</v>
      </c>
      <c r="D370" s="64">
        <v>0</v>
      </c>
      <c r="E370" s="279" t="s">
        <v>4743</v>
      </c>
    </row>
    <row r="371" spans="1:5" ht="12.75">
      <c r="A371" s="1090"/>
      <c r="B371" s="74" t="s">
        <v>4743</v>
      </c>
      <c r="C371" s="64" t="s">
        <v>4743</v>
      </c>
      <c r="D371" s="64">
        <v>0</v>
      </c>
      <c r="E371" s="279" t="s">
        <v>4743</v>
      </c>
    </row>
    <row r="372" spans="1:5" ht="12.75">
      <c r="A372" s="1090"/>
      <c r="B372" s="74" t="s">
        <v>4743</v>
      </c>
      <c r="C372" s="64" t="s">
        <v>4743</v>
      </c>
      <c r="D372" s="64">
        <v>0</v>
      </c>
      <c r="E372" s="279" t="s">
        <v>4743</v>
      </c>
    </row>
    <row r="373" spans="1:5" ht="12.75">
      <c r="A373" s="1090"/>
      <c r="B373" s="74" t="s">
        <v>4743</v>
      </c>
      <c r="C373" s="64" t="s">
        <v>4743</v>
      </c>
      <c r="D373" s="64">
        <v>0</v>
      </c>
      <c r="E373" s="279" t="s">
        <v>4743</v>
      </c>
    </row>
    <row r="374" spans="1:5" ht="12.75">
      <c r="A374" s="1090"/>
      <c r="B374" s="74" t="s">
        <v>4743</v>
      </c>
      <c r="C374" s="64" t="s">
        <v>4743</v>
      </c>
      <c r="D374" s="64">
        <v>0</v>
      </c>
      <c r="E374" s="279" t="s">
        <v>4743</v>
      </c>
    </row>
    <row r="375" spans="1:5" ht="12.75">
      <c r="A375" s="1090"/>
      <c r="B375" s="74" t="s">
        <v>4743</v>
      </c>
      <c r="C375" s="64" t="s">
        <v>4743</v>
      </c>
      <c r="D375" s="64">
        <v>0</v>
      </c>
      <c r="E375" s="279" t="s">
        <v>4743</v>
      </c>
    </row>
    <row r="376" spans="1:5" ht="12.75">
      <c r="A376" s="1090"/>
      <c r="B376" s="74" t="s">
        <v>4743</v>
      </c>
      <c r="C376" s="64" t="s">
        <v>4743</v>
      </c>
      <c r="D376" s="64">
        <v>0</v>
      </c>
      <c r="E376" s="279" t="s">
        <v>4743</v>
      </c>
    </row>
    <row r="377" spans="1:5" ht="12.75">
      <c r="A377" s="1090"/>
      <c r="B377" s="74" t="s">
        <v>4743</v>
      </c>
      <c r="C377" s="64" t="s">
        <v>4743</v>
      </c>
      <c r="D377" s="64">
        <v>0</v>
      </c>
      <c r="E377" s="279" t="s">
        <v>4743</v>
      </c>
    </row>
    <row r="378" spans="1:5" ht="12.75">
      <c r="A378" s="1090"/>
      <c r="B378" s="74" t="s">
        <v>4743</v>
      </c>
      <c r="C378" s="64" t="s">
        <v>4743</v>
      </c>
      <c r="D378" s="64">
        <v>0</v>
      </c>
      <c r="E378" s="279" t="s">
        <v>4743</v>
      </c>
    </row>
    <row r="379" spans="1:5" ht="12.75">
      <c r="A379" s="1090"/>
      <c r="B379" s="74" t="s">
        <v>4743</v>
      </c>
      <c r="C379" s="64" t="s">
        <v>4743</v>
      </c>
      <c r="D379" s="64">
        <v>0</v>
      </c>
      <c r="E379" s="279" t="s">
        <v>4743</v>
      </c>
    </row>
    <row r="380" spans="1:5" ht="12.75">
      <c r="A380" s="1090"/>
      <c r="B380" s="74" t="s">
        <v>4743</v>
      </c>
      <c r="C380" s="64" t="s">
        <v>4743</v>
      </c>
      <c r="D380" s="64">
        <v>0</v>
      </c>
      <c r="E380" s="279" t="s">
        <v>4743</v>
      </c>
    </row>
    <row r="381" spans="1:5" ht="12.75">
      <c r="A381" s="1090"/>
      <c r="B381" s="74" t="s">
        <v>4743</v>
      </c>
      <c r="C381" s="64" t="s">
        <v>4743</v>
      </c>
      <c r="D381" s="64">
        <v>0</v>
      </c>
      <c r="E381" s="279" t="s">
        <v>4743</v>
      </c>
    </row>
    <row r="382" spans="1:5" ht="12.75">
      <c r="A382" s="1090"/>
      <c r="B382" s="74" t="s">
        <v>4743</v>
      </c>
      <c r="C382" s="64" t="s">
        <v>4743</v>
      </c>
      <c r="D382" s="64">
        <v>0</v>
      </c>
      <c r="E382" s="279" t="s">
        <v>4743</v>
      </c>
    </row>
    <row r="383" spans="1:5" ht="12.75">
      <c r="A383" s="1090"/>
      <c r="B383" s="74" t="s">
        <v>4743</v>
      </c>
      <c r="C383" s="64" t="s">
        <v>4743</v>
      </c>
      <c r="D383" s="64">
        <v>0</v>
      </c>
      <c r="E383" s="279" t="s">
        <v>4743</v>
      </c>
    </row>
    <row r="384" spans="1:5" ht="12.75">
      <c r="A384" s="1090"/>
      <c r="B384" s="74" t="s">
        <v>4743</v>
      </c>
      <c r="C384" s="64" t="s">
        <v>4743</v>
      </c>
      <c r="D384" s="64">
        <v>0</v>
      </c>
      <c r="E384" s="279" t="s">
        <v>4743</v>
      </c>
    </row>
    <row r="385" spans="1:5" ht="12.75">
      <c r="A385" s="1090"/>
      <c r="B385" s="74" t="s">
        <v>4743</v>
      </c>
      <c r="C385" s="64" t="s">
        <v>4743</v>
      </c>
      <c r="D385" s="64">
        <v>0</v>
      </c>
      <c r="E385" s="279" t="s">
        <v>4743</v>
      </c>
    </row>
    <row r="386" spans="1:5" ht="12.75">
      <c r="A386" s="1090"/>
      <c r="B386" s="74" t="s">
        <v>4743</v>
      </c>
      <c r="C386" s="64" t="s">
        <v>4743</v>
      </c>
      <c r="D386" s="64">
        <v>0</v>
      </c>
      <c r="E386" s="279" t="s">
        <v>4743</v>
      </c>
    </row>
    <row r="387" spans="1:5" ht="12.75">
      <c r="A387" s="1090"/>
      <c r="B387" s="74" t="s">
        <v>4743</v>
      </c>
      <c r="C387" s="64" t="s">
        <v>4743</v>
      </c>
      <c r="D387" s="64">
        <v>0</v>
      </c>
      <c r="E387" s="279" t="s">
        <v>4743</v>
      </c>
    </row>
    <row r="388" spans="1:5" ht="12.75">
      <c r="A388" s="1090"/>
      <c r="B388" s="74" t="s">
        <v>4743</v>
      </c>
      <c r="C388" s="64" t="s">
        <v>4743</v>
      </c>
      <c r="D388" s="64">
        <v>0</v>
      </c>
      <c r="E388" s="279" t="s">
        <v>4743</v>
      </c>
    </row>
    <row r="389" spans="1:5" ht="12.75">
      <c r="A389" s="1090"/>
      <c r="B389" s="74" t="s">
        <v>4743</v>
      </c>
      <c r="C389" s="64" t="s">
        <v>4743</v>
      </c>
      <c r="D389" s="64">
        <v>0</v>
      </c>
      <c r="E389" s="279" t="s">
        <v>4743</v>
      </c>
    </row>
    <row r="390" spans="1:5" ht="12.75">
      <c r="A390" s="1090"/>
      <c r="B390" s="74" t="s">
        <v>4743</v>
      </c>
      <c r="C390" s="64" t="s">
        <v>4743</v>
      </c>
      <c r="D390" s="64">
        <v>0</v>
      </c>
      <c r="E390" s="279" t="s">
        <v>4743</v>
      </c>
    </row>
    <row r="391" spans="1:5" ht="12.75">
      <c r="A391" s="1090"/>
      <c r="B391" s="74" t="s">
        <v>4743</v>
      </c>
      <c r="C391" s="64" t="s">
        <v>4743</v>
      </c>
      <c r="D391" s="64">
        <v>0</v>
      </c>
      <c r="E391" s="279" t="s">
        <v>4743</v>
      </c>
    </row>
    <row r="392" spans="1:5" ht="12.75">
      <c r="A392" s="1090"/>
      <c r="B392" s="74" t="s">
        <v>4743</v>
      </c>
      <c r="C392" s="64" t="s">
        <v>4743</v>
      </c>
      <c r="D392" s="64">
        <v>0</v>
      </c>
      <c r="E392" s="279" t="s">
        <v>4743</v>
      </c>
    </row>
    <row r="393" spans="1:5" ht="12.75">
      <c r="A393" s="1090"/>
      <c r="B393" s="74" t="s">
        <v>4743</v>
      </c>
      <c r="C393" s="64" t="s">
        <v>4743</v>
      </c>
      <c r="D393" s="64">
        <v>0</v>
      </c>
      <c r="E393" s="279" t="s">
        <v>4743</v>
      </c>
    </row>
    <row r="394" spans="1:5" ht="12.75">
      <c r="A394" s="1090"/>
      <c r="B394" s="74" t="s">
        <v>4743</v>
      </c>
      <c r="C394" s="64" t="s">
        <v>4743</v>
      </c>
      <c r="D394" s="64">
        <v>0</v>
      </c>
      <c r="E394" s="279" t="s">
        <v>4743</v>
      </c>
    </row>
    <row r="395" spans="1:5" ht="12.75">
      <c r="A395" s="1090"/>
      <c r="B395" s="74" t="s">
        <v>4743</v>
      </c>
      <c r="C395" s="64" t="s">
        <v>4743</v>
      </c>
      <c r="D395" s="64">
        <v>0</v>
      </c>
      <c r="E395" s="279" t="s">
        <v>4743</v>
      </c>
    </row>
    <row r="396" spans="1:5" ht="12.75">
      <c r="A396" s="1090"/>
      <c r="B396" s="74" t="s">
        <v>4743</v>
      </c>
      <c r="C396" s="64" t="s">
        <v>4743</v>
      </c>
      <c r="D396" s="64">
        <v>0</v>
      </c>
      <c r="E396" s="279" t="s">
        <v>4743</v>
      </c>
    </row>
    <row r="397" spans="1:5" ht="12.75">
      <c r="A397" s="1090"/>
      <c r="B397" s="74" t="s">
        <v>4743</v>
      </c>
      <c r="C397" s="64" t="s">
        <v>4743</v>
      </c>
      <c r="D397" s="64">
        <v>0</v>
      </c>
      <c r="E397" s="279" t="s">
        <v>4743</v>
      </c>
    </row>
    <row r="398" spans="1:5" ht="12.75">
      <c r="A398" s="1090"/>
      <c r="B398" s="74" t="s">
        <v>4743</v>
      </c>
      <c r="C398" s="64" t="s">
        <v>4743</v>
      </c>
      <c r="D398" s="64">
        <v>0</v>
      </c>
      <c r="E398" s="279" t="s">
        <v>4743</v>
      </c>
    </row>
    <row r="399" spans="1:5" ht="12.75">
      <c r="A399" s="1090"/>
      <c r="B399" s="74" t="s">
        <v>4743</v>
      </c>
      <c r="C399" s="64" t="s">
        <v>4743</v>
      </c>
      <c r="D399" s="64">
        <v>0</v>
      </c>
      <c r="E399" s="279" t="s">
        <v>4743</v>
      </c>
    </row>
    <row r="400" spans="1:5" ht="12.75">
      <c r="A400" s="1090"/>
      <c r="B400" s="74" t="s">
        <v>4743</v>
      </c>
      <c r="C400" s="64" t="s">
        <v>4743</v>
      </c>
      <c r="D400" s="64">
        <v>0</v>
      </c>
      <c r="E400" s="279" t="s">
        <v>4743</v>
      </c>
    </row>
    <row r="401" spans="1:5" ht="12.75">
      <c r="A401" s="1090"/>
      <c r="B401" s="74" t="s">
        <v>4743</v>
      </c>
      <c r="C401" s="64" t="s">
        <v>4743</v>
      </c>
      <c r="D401" s="64">
        <v>0</v>
      </c>
      <c r="E401" s="279" t="s">
        <v>4743</v>
      </c>
    </row>
    <row r="402" spans="1:5" ht="12.75">
      <c r="A402" s="1090"/>
      <c r="B402" s="74" t="s">
        <v>4743</v>
      </c>
      <c r="C402" s="64" t="s">
        <v>4743</v>
      </c>
      <c r="D402" s="64">
        <v>0</v>
      </c>
      <c r="E402" s="279" t="s">
        <v>4743</v>
      </c>
    </row>
    <row r="403" spans="1:5" ht="12.75">
      <c r="A403" s="1090"/>
      <c r="B403" s="74" t="s">
        <v>4743</v>
      </c>
      <c r="C403" s="64" t="s">
        <v>4743</v>
      </c>
      <c r="D403" s="64">
        <v>0</v>
      </c>
      <c r="E403" s="279" t="s">
        <v>4743</v>
      </c>
    </row>
    <row r="404" spans="1:5" ht="12.75">
      <c r="A404" s="1090"/>
      <c r="B404" s="74" t="s">
        <v>4743</v>
      </c>
      <c r="C404" s="64" t="s">
        <v>4743</v>
      </c>
      <c r="D404" s="64">
        <v>0</v>
      </c>
      <c r="E404" s="279" t="s">
        <v>4743</v>
      </c>
    </row>
    <row r="405" spans="1:5" ht="12.75">
      <c r="A405" s="1090"/>
      <c r="B405" s="74" t="s">
        <v>4743</v>
      </c>
      <c r="C405" s="64" t="s">
        <v>4743</v>
      </c>
      <c r="D405" s="64">
        <v>0</v>
      </c>
      <c r="E405" s="279" t="s">
        <v>4743</v>
      </c>
    </row>
    <row r="406" spans="1:5" ht="12.75">
      <c r="A406" s="1090"/>
      <c r="B406" s="74" t="s">
        <v>4743</v>
      </c>
      <c r="C406" s="64" t="s">
        <v>4743</v>
      </c>
      <c r="D406" s="64">
        <v>0</v>
      </c>
      <c r="E406" s="279" t="s">
        <v>4743</v>
      </c>
    </row>
    <row r="407" spans="1:5" ht="12.75">
      <c r="A407" s="1090"/>
      <c r="B407" s="74" t="s">
        <v>4743</v>
      </c>
      <c r="C407" s="64" t="s">
        <v>4743</v>
      </c>
      <c r="D407" s="64">
        <v>0</v>
      </c>
      <c r="E407" s="279" t="s">
        <v>4743</v>
      </c>
    </row>
    <row r="408" spans="1:5" ht="12.75">
      <c r="A408" s="1090"/>
      <c r="B408" s="74" t="s">
        <v>4743</v>
      </c>
      <c r="C408" s="64" t="s">
        <v>4743</v>
      </c>
      <c r="D408" s="64">
        <v>0</v>
      </c>
      <c r="E408" s="279" t="s">
        <v>4743</v>
      </c>
    </row>
    <row r="409" spans="1:5" ht="12.75">
      <c r="A409" s="1090"/>
      <c r="B409" s="74" t="s">
        <v>4743</v>
      </c>
      <c r="C409" s="64" t="s">
        <v>4743</v>
      </c>
      <c r="D409" s="64">
        <v>0</v>
      </c>
      <c r="E409" s="279" t="s">
        <v>4743</v>
      </c>
    </row>
    <row r="410" spans="1:5" ht="12.75">
      <c r="A410" s="1090"/>
      <c r="B410" s="74" t="s">
        <v>4743</v>
      </c>
      <c r="C410" s="64" t="s">
        <v>4743</v>
      </c>
      <c r="D410" s="64">
        <v>0</v>
      </c>
      <c r="E410" s="279" t="s">
        <v>4743</v>
      </c>
    </row>
    <row r="411" spans="1:5" ht="12.75">
      <c r="A411" s="1090"/>
      <c r="B411" s="74" t="s">
        <v>4743</v>
      </c>
      <c r="C411" s="64" t="s">
        <v>4743</v>
      </c>
      <c r="D411" s="64">
        <v>0</v>
      </c>
      <c r="E411" s="279" t="s">
        <v>4743</v>
      </c>
    </row>
    <row r="412" spans="1:5" ht="12.75">
      <c r="A412" s="1090"/>
      <c r="B412" s="74" t="s">
        <v>4743</v>
      </c>
      <c r="C412" s="64" t="s">
        <v>4743</v>
      </c>
      <c r="D412" s="64">
        <v>0</v>
      </c>
      <c r="E412" s="279" t="s">
        <v>4743</v>
      </c>
    </row>
    <row r="413" spans="1:5" ht="12.75">
      <c r="A413" s="1090"/>
      <c r="B413" s="74" t="s">
        <v>4743</v>
      </c>
      <c r="C413" s="64" t="s">
        <v>4743</v>
      </c>
      <c r="D413" s="64">
        <v>0</v>
      </c>
      <c r="E413" s="279" t="s">
        <v>4743</v>
      </c>
    </row>
    <row r="414" spans="1:5" ht="12.75">
      <c r="A414" s="1090"/>
      <c r="B414" s="74" t="s">
        <v>4743</v>
      </c>
      <c r="C414" s="64" t="s">
        <v>4743</v>
      </c>
      <c r="D414" s="64">
        <v>0</v>
      </c>
      <c r="E414" s="279" t="s">
        <v>4743</v>
      </c>
    </row>
    <row r="415" spans="1:5" ht="12.75">
      <c r="A415" s="1090"/>
      <c r="B415" s="74" t="s">
        <v>4743</v>
      </c>
      <c r="C415" s="64" t="s">
        <v>4743</v>
      </c>
      <c r="D415" s="64">
        <v>0</v>
      </c>
      <c r="E415" s="279" t="s">
        <v>4743</v>
      </c>
    </row>
    <row r="416" spans="1:5" ht="12.75">
      <c r="A416" s="1090"/>
      <c r="B416" s="74" t="s">
        <v>4743</v>
      </c>
      <c r="C416" s="64" t="s">
        <v>4743</v>
      </c>
      <c r="D416" s="64">
        <v>0</v>
      </c>
      <c r="E416" s="279" t="s">
        <v>4743</v>
      </c>
    </row>
    <row r="417" spans="1:5" ht="12.75">
      <c r="A417" s="1090"/>
      <c r="B417" s="74" t="s">
        <v>4743</v>
      </c>
      <c r="C417" s="64" t="s">
        <v>4743</v>
      </c>
      <c r="D417" s="64">
        <v>0</v>
      </c>
      <c r="E417" s="279" t="s">
        <v>4743</v>
      </c>
    </row>
    <row r="418" spans="1:5" ht="12.75">
      <c r="A418" s="1090"/>
      <c r="B418" s="74" t="s">
        <v>4743</v>
      </c>
      <c r="C418" s="64" t="s">
        <v>4743</v>
      </c>
      <c r="D418" s="64">
        <v>0</v>
      </c>
      <c r="E418" s="279" t="s">
        <v>4743</v>
      </c>
    </row>
    <row r="419" spans="1:5" ht="12.75">
      <c r="A419" s="1090"/>
      <c r="B419" s="74" t="s">
        <v>4743</v>
      </c>
      <c r="C419" s="64" t="s">
        <v>4743</v>
      </c>
      <c r="D419" s="64">
        <v>0</v>
      </c>
      <c r="E419" s="279" t="s">
        <v>4743</v>
      </c>
    </row>
    <row r="420" spans="1:5" ht="12.75">
      <c r="A420" s="1090"/>
      <c r="B420" s="74" t="s">
        <v>4743</v>
      </c>
      <c r="C420" s="64" t="s">
        <v>4743</v>
      </c>
      <c r="D420" s="64">
        <v>0</v>
      </c>
      <c r="E420" s="279" t="s">
        <v>4743</v>
      </c>
    </row>
    <row r="421" spans="1:5" ht="12.75">
      <c r="A421" s="1090"/>
      <c r="B421" s="74" t="s">
        <v>4743</v>
      </c>
      <c r="C421" s="64" t="s">
        <v>4743</v>
      </c>
      <c r="D421" s="64">
        <v>0</v>
      </c>
      <c r="E421" s="279" t="s">
        <v>4743</v>
      </c>
    </row>
    <row r="422" spans="1:5" ht="12.75">
      <c r="A422" s="1090"/>
      <c r="B422" s="74" t="s">
        <v>4743</v>
      </c>
      <c r="C422" s="64" t="s">
        <v>4743</v>
      </c>
      <c r="D422" s="64">
        <v>0</v>
      </c>
      <c r="E422" s="279" t="s">
        <v>4743</v>
      </c>
    </row>
    <row r="423" spans="1:5" ht="12.75">
      <c r="A423" s="1090"/>
      <c r="B423" s="74" t="s">
        <v>4743</v>
      </c>
      <c r="C423" s="64" t="s">
        <v>4743</v>
      </c>
      <c r="D423" s="64">
        <v>0</v>
      </c>
      <c r="E423" s="279" t="s">
        <v>4743</v>
      </c>
    </row>
    <row r="424" spans="1:5" ht="12.75">
      <c r="A424" s="1090"/>
      <c r="B424" s="74" t="s">
        <v>4743</v>
      </c>
      <c r="C424" s="64" t="s">
        <v>4743</v>
      </c>
      <c r="D424" s="64">
        <v>0</v>
      </c>
      <c r="E424" s="279" t="s">
        <v>4743</v>
      </c>
    </row>
    <row r="425" spans="1:5" ht="12.75">
      <c r="A425" s="1090"/>
      <c r="B425" s="74" t="s">
        <v>4743</v>
      </c>
      <c r="C425" s="64" t="s">
        <v>4743</v>
      </c>
      <c r="D425" s="64">
        <v>0</v>
      </c>
      <c r="E425" s="279" t="s">
        <v>4743</v>
      </c>
    </row>
    <row r="426" spans="1:5" ht="12.75">
      <c r="A426" s="1090"/>
      <c r="B426" s="74" t="s">
        <v>4743</v>
      </c>
      <c r="C426" s="64" t="s">
        <v>4743</v>
      </c>
      <c r="D426" s="64">
        <v>0</v>
      </c>
      <c r="E426" s="279" t="s">
        <v>4743</v>
      </c>
    </row>
    <row r="427" spans="1:5" ht="12.75">
      <c r="A427" s="1090"/>
      <c r="B427" s="74" t="s">
        <v>4743</v>
      </c>
      <c r="C427" s="64" t="s">
        <v>4743</v>
      </c>
      <c r="D427" s="64">
        <v>0</v>
      </c>
      <c r="E427" s="279" t="s">
        <v>4743</v>
      </c>
    </row>
    <row r="428" spans="1:5" ht="12.75">
      <c r="A428" s="1090"/>
      <c r="B428" s="74" t="s">
        <v>4743</v>
      </c>
      <c r="C428" s="64" t="s">
        <v>4743</v>
      </c>
      <c r="D428" s="64">
        <v>0</v>
      </c>
      <c r="E428" s="279" t="s">
        <v>4743</v>
      </c>
    </row>
    <row r="429" spans="1:5" ht="12.75">
      <c r="A429" s="1090"/>
      <c r="B429" s="74" t="s">
        <v>4743</v>
      </c>
      <c r="C429" s="64" t="s">
        <v>4743</v>
      </c>
      <c r="D429" s="64">
        <v>0</v>
      </c>
      <c r="E429" s="279" t="s">
        <v>4743</v>
      </c>
    </row>
    <row r="430" spans="1:5" ht="12.75">
      <c r="A430" s="1090"/>
      <c r="B430" s="74" t="s">
        <v>4743</v>
      </c>
      <c r="C430" s="64" t="s">
        <v>4743</v>
      </c>
      <c r="D430" s="64">
        <v>0</v>
      </c>
      <c r="E430" s="279" t="s">
        <v>4743</v>
      </c>
    </row>
    <row r="431" spans="1:5" ht="12.75">
      <c r="A431" s="1090"/>
      <c r="B431" s="74" t="s">
        <v>4743</v>
      </c>
      <c r="C431" s="64" t="s">
        <v>4743</v>
      </c>
      <c r="D431" s="64">
        <v>0</v>
      </c>
      <c r="E431" s="279" t="s">
        <v>4743</v>
      </c>
    </row>
    <row r="432" spans="1:5" ht="12.75">
      <c r="A432" s="1090"/>
      <c r="B432" s="74" t="s">
        <v>4743</v>
      </c>
      <c r="C432" s="64" t="s">
        <v>4743</v>
      </c>
      <c r="D432" s="64">
        <v>0</v>
      </c>
      <c r="E432" s="279" t="s">
        <v>4743</v>
      </c>
    </row>
    <row r="433" spans="1:5" ht="12.75">
      <c r="A433" s="1090"/>
      <c r="B433" s="74" t="s">
        <v>4743</v>
      </c>
      <c r="C433" s="64" t="s">
        <v>4743</v>
      </c>
      <c r="D433" s="64">
        <v>0</v>
      </c>
      <c r="E433" s="279" t="s">
        <v>4743</v>
      </c>
    </row>
    <row r="434" spans="1:5" ht="12.75">
      <c r="A434" s="1090"/>
      <c r="B434" s="74" t="s">
        <v>4743</v>
      </c>
      <c r="C434" s="64" t="s">
        <v>4743</v>
      </c>
      <c r="D434" s="64">
        <v>0</v>
      </c>
      <c r="E434" s="279" t="s">
        <v>4743</v>
      </c>
    </row>
    <row r="435" spans="1:5" ht="12.75">
      <c r="A435" s="1090"/>
      <c r="B435" s="74" t="s">
        <v>4743</v>
      </c>
      <c r="C435" s="64" t="s">
        <v>4743</v>
      </c>
      <c r="D435" s="64">
        <v>0</v>
      </c>
      <c r="E435" s="279" t="s">
        <v>4743</v>
      </c>
    </row>
    <row r="436" spans="1:5" ht="12.75">
      <c r="A436" s="1090"/>
      <c r="B436" s="74" t="s">
        <v>4743</v>
      </c>
      <c r="C436" s="64" t="s">
        <v>4743</v>
      </c>
      <c r="D436" s="64">
        <v>0</v>
      </c>
      <c r="E436" s="279" t="s">
        <v>4743</v>
      </c>
    </row>
    <row r="437" spans="1:5" ht="12.75">
      <c r="A437" s="1090"/>
      <c r="B437" s="74" t="s">
        <v>4743</v>
      </c>
      <c r="C437" s="64" t="s">
        <v>4743</v>
      </c>
      <c r="D437" s="64">
        <v>0</v>
      </c>
      <c r="E437" s="279" t="s">
        <v>4743</v>
      </c>
    </row>
    <row r="438" spans="1:5" ht="12.75">
      <c r="A438" s="1090"/>
      <c r="B438" s="74" t="s">
        <v>4743</v>
      </c>
      <c r="C438" s="64" t="s">
        <v>4743</v>
      </c>
      <c r="D438" s="64">
        <v>0</v>
      </c>
      <c r="E438" s="279" t="s">
        <v>4743</v>
      </c>
    </row>
    <row r="439" spans="1:5" ht="12.75">
      <c r="A439" s="1090"/>
      <c r="B439" s="74" t="s">
        <v>4743</v>
      </c>
      <c r="C439" s="64" t="s">
        <v>4743</v>
      </c>
      <c r="D439" s="64">
        <v>0</v>
      </c>
      <c r="E439" s="279" t="s">
        <v>4743</v>
      </c>
    </row>
    <row r="440" spans="1:5" ht="12.75">
      <c r="A440" s="1090"/>
      <c r="B440" s="74" t="s">
        <v>4743</v>
      </c>
      <c r="C440" s="64" t="s">
        <v>4743</v>
      </c>
      <c r="D440" s="64">
        <v>0</v>
      </c>
      <c r="E440" s="279" t="s">
        <v>4743</v>
      </c>
    </row>
    <row r="441" spans="1:5" ht="12.75">
      <c r="A441" s="1090"/>
      <c r="B441" s="74" t="s">
        <v>4743</v>
      </c>
      <c r="C441" s="64" t="s">
        <v>4743</v>
      </c>
      <c r="D441" s="64">
        <v>0</v>
      </c>
      <c r="E441" s="279" t="s">
        <v>4743</v>
      </c>
    </row>
    <row r="442" spans="1:5" ht="12.75">
      <c r="A442" s="1090"/>
      <c r="B442" s="74" t="s">
        <v>4743</v>
      </c>
      <c r="C442" s="64" t="s">
        <v>4743</v>
      </c>
      <c r="D442" s="64">
        <v>0</v>
      </c>
      <c r="E442" s="279" t="s">
        <v>4743</v>
      </c>
    </row>
    <row r="443" spans="1:5" ht="12.75">
      <c r="A443" s="1090"/>
      <c r="B443" s="74" t="s">
        <v>4743</v>
      </c>
      <c r="C443" s="64" t="s">
        <v>4743</v>
      </c>
      <c r="D443" s="64">
        <v>0</v>
      </c>
      <c r="E443" s="279" t="s">
        <v>4743</v>
      </c>
    </row>
    <row r="444" spans="1:5" ht="12.75">
      <c r="A444" s="1090"/>
      <c r="B444" s="74" t="s">
        <v>4743</v>
      </c>
      <c r="C444" s="64" t="s">
        <v>4743</v>
      </c>
      <c r="D444" s="64">
        <v>0</v>
      </c>
      <c r="E444" s="279" t="s">
        <v>4743</v>
      </c>
    </row>
    <row r="445" spans="1:5" ht="12.75">
      <c r="A445" s="1090"/>
      <c r="B445" s="74" t="s">
        <v>4743</v>
      </c>
      <c r="C445" s="64" t="s">
        <v>4743</v>
      </c>
      <c r="D445" s="64">
        <v>0</v>
      </c>
      <c r="E445" s="279" t="s">
        <v>4743</v>
      </c>
    </row>
    <row r="446" spans="1:5" ht="12.75">
      <c r="A446" s="1090"/>
      <c r="B446" s="74" t="s">
        <v>4743</v>
      </c>
      <c r="C446" s="64" t="s">
        <v>4743</v>
      </c>
      <c r="D446" s="64">
        <v>0</v>
      </c>
      <c r="E446" s="279" t="s">
        <v>4743</v>
      </c>
    </row>
    <row r="447" spans="1:5" ht="12.75">
      <c r="A447" s="1090"/>
      <c r="B447" s="74" t="s">
        <v>4743</v>
      </c>
      <c r="C447" s="64" t="s">
        <v>4743</v>
      </c>
      <c r="D447" s="64">
        <v>0</v>
      </c>
      <c r="E447" s="279" t="s">
        <v>4743</v>
      </c>
    </row>
    <row r="448" spans="1:5" ht="12.75">
      <c r="A448" s="1090"/>
      <c r="B448" s="74" t="s">
        <v>4743</v>
      </c>
      <c r="C448" s="64" t="s">
        <v>4743</v>
      </c>
      <c r="D448" s="64">
        <v>0</v>
      </c>
      <c r="E448" s="279" t="s">
        <v>4743</v>
      </c>
    </row>
    <row r="449" spans="1:5" ht="12.75">
      <c r="A449" s="1090"/>
      <c r="B449" s="74" t="s">
        <v>4743</v>
      </c>
      <c r="C449" s="64" t="s">
        <v>4743</v>
      </c>
      <c r="D449" s="64">
        <v>0</v>
      </c>
      <c r="E449" s="279" t="s">
        <v>4743</v>
      </c>
    </row>
    <row r="450" spans="1:5" ht="12.75">
      <c r="A450" s="1090"/>
      <c r="B450" s="74" t="s">
        <v>4743</v>
      </c>
      <c r="C450" s="64" t="s">
        <v>4743</v>
      </c>
      <c r="D450" s="64">
        <v>0</v>
      </c>
      <c r="E450" s="279" t="s">
        <v>4743</v>
      </c>
    </row>
    <row r="451" spans="1:5" ht="12.75">
      <c r="A451" s="1090"/>
      <c r="B451" s="74" t="s">
        <v>4743</v>
      </c>
      <c r="C451" s="64" t="s">
        <v>4743</v>
      </c>
      <c r="D451" s="64">
        <v>0</v>
      </c>
      <c r="E451" s="279" t="s">
        <v>4743</v>
      </c>
    </row>
    <row r="452" spans="1:5" ht="12.75">
      <c r="A452" s="1090"/>
      <c r="B452" s="74" t="s">
        <v>4743</v>
      </c>
      <c r="C452" s="64" t="s">
        <v>4743</v>
      </c>
      <c r="D452" s="64">
        <v>0</v>
      </c>
      <c r="E452" s="279" t="s">
        <v>4743</v>
      </c>
    </row>
    <row r="453" spans="1:5" ht="12.75">
      <c r="A453" s="1090"/>
      <c r="B453" s="74" t="s">
        <v>4743</v>
      </c>
      <c r="C453" s="64" t="s">
        <v>4743</v>
      </c>
      <c r="D453" s="64">
        <v>0</v>
      </c>
      <c r="E453" s="279" t="s">
        <v>4743</v>
      </c>
    </row>
    <row r="454" spans="1:5" ht="12.75">
      <c r="A454" s="1090"/>
      <c r="B454" s="74" t="s">
        <v>4743</v>
      </c>
      <c r="C454" s="64" t="s">
        <v>4743</v>
      </c>
      <c r="D454" s="64">
        <v>0</v>
      </c>
      <c r="E454" s="279" t="s">
        <v>4743</v>
      </c>
    </row>
    <row r="455" spans="1:5" ht="12.75">
      <c r="A455" s="1090"/>
      <c r="B455" s="74" t="s">
        <v>4743</v>
      </c>
      <c r="C455" s="64" t="s">
        <v>4743</v>
      </c>
      <c r="D455" s="64">
        <v>0</v>
      </c>
      <c r="E455" s="279" t="s">
        <v>4743</v>
      </c>
    </row>
    <row r="456" spans="1:5" ht="12.75">
      <c r="A456" s="1090"/>
      <c r="B456" s="74" t="s">
        <v>4743</v>
      </c>
      <c r="C456" s="64" t="s">
        <v>4743</v>
      </c>
      <c r="D456" s="64">
        <v>0</v>
      </c>
      <c r="E456" s="279" t="s">
        <v>4743</v>
      </c>
    </row>
    <row r="457" spans="1:5" ht="12.75">
      <c r="A457" s="1090"/>
      <c r="B457" s="74" t="s">
        <v>4743</v>
      </c>
      <c r="C457" s="64" t="s">
        <v>4743</v>
      </c>
      <c r="D457" s="64">
        <v>0</v>
      </c>
      <c r="E457" s="279" t="s">
        <v>4743</v>
      </c>
    </row>
    <row r="458" spans="1:5" ht="12.75">
      <c r="A458" s="1090"/>
      <c r="B458" s="74" t="s">
        <v>4743</v>
      </c>
      <c r="C458" s="64" t="s">
        <v>4743</v>
      </c>
      <c r="D458" s="64">
        <v>0</v>
      </c>
      <c r="E458" s="279" t="s">
        <v>4743</v>
      </c>
    </row>
    <row r="459" spans="1:5" ht="12.75">
      <c r="A459" s="1090"/>
      <c r="B459" s="74" t="s">
        <v>4743</v>
      </c>
      <c r="C459" s="64" t="s">
        <v>4743</v>
      </c>
      <c r="D459" s="64">
        <v>0</v>
      </c>
      <c r="E459" s="279" t="s">
        <v>4743</v>
      </c>
    </row>
    <row r="460" spans="1:5" ht="12.75">
      <c r="A460" s="1090"/>
      <c r="B460" s="74" t="s">
        <v>4743</v>
      </c>
      <c r="C460" s="64" t="s">
        <v>4743</v>
      </c>
      <c r="D460" s="64">
        <v>0</v>
      </c>
      <c r="E460" s="279" t="s">
        <v>4743</v>
      </c>
    </row>
    <row r="461" spans="1:5" ht="12.75">
      <c r="A461" s="1090"/>
      <c r="B461" s="74" t="s">
        <v>4743</v>
      </c>
      <c r="C461" s="64" t="s">
        <v>4743</v>
      </c>
      <c r="D461" s="64">
        <v>0</v>
      </c>
      <c r="E461" s="279" t="s">
        <v>4743</v>
      </c>
    </row>
    <row r="462" spans="1:5" ht="12.75">
      <c r="A462" s="1090"/>
      <c r="B462" s="74" t="s">
        <v>4743</v>
      </c>
      <c r="C462" s="64" t="s">
        <v>4743</v>
      </c>
      <c r="D462" s="64">
        <v>0</v>
      </c>
      <c r="E462" s="279" t="s">
        <v>4743</v>
      </c>
    </row>
    <row r="463" spans="1:5" ht="12.75">
      <c r="A463" s="1090"/>
      <c r="B463" s="74" t="s">
        <v>4743</v>
      </c>
      <c r="C463" s="64" t="s">
        <v>4743</v>
      </c>
      <c r="D463" s="64">
        <v>0</v>
      </c>
      <c r="E463" s="279" t="s">
        <v>4743</v>
      </c>
    </row>
    <row r="464" spans="1:5" ht="12.75">
      <c r="A464" s="1090"/>
      <c r="B464" s="74" t="s">
        <v>4743</v>
      </c>
      <c r="C464" s="64" t="s">
        <v>4743</v>
      </c>
      <c r="D464" s="64">
        <v>0</v>
      </c>
      <c r="E464" s="279" t="s">
        <v>4743</v>
      </c>
    </row>
    <row r="465" spans="1:5" ht="12.75">
      <c r="A465" s="1090"/>
      <c r="B465" s="74" t="s">
        <v>4743</v>
      </c>
      <c r="C465" s="64" t="s">
        <v>4743</v>
      </c>
      <c r="D465" s="64">
        <v>0</v>
      </c>
      <c r="E465" s="279" t="s">
        <v>4743</v>
      </c>
    </row>
    <row r="466" spans="1:5" ht="12.75">
      <c r="A466" s="1090"/>
      <c r="B466" s="74" t="s">
        <v>4743</v>
      </c>
      <c r="C466" s="64" t="s">
        <v>4743</v>
      </c>
      <c r="D466" s="64">
        <v>0</v>
      </c>
      <c r="E466" s="279" t="s">
        <v>4743</v>
      </c>
    </row>
    <row r="467" spans="1:5" ht="12.75">
      <c r="A467" s="1090"/>
      <c r="B467" s="74" t="s">
        <v>4743</v>
      </c>
      <c r="C467" s="64" t="s">
        <v>4743</v>
      </c>
      <c r="D467" s="64">
        <v>0</v>
      </c>
      <c r="E467" s="279" t="s">
        <v>4743</v>
      </c>
    </row>
    <row r="468" spans="1:5" ht="12.75">
      <c r="A468" s="1090"/>
      <c r="B468" s="74" t="s">
        <v>4743</v>
      </c>
      <c r="C468" s="64" t="s">
        <v>4743</v>
      </c>
      <c r="D468" s="64">
        <v>0</v>
      </c>
      <c r="E468" s="279" t="s">
        <v>4743</v>
      </c>
    </row>
    <row r="469" spans="1:5" ht="12.75">
      <c r="A469" s="1090"/>
      <c r="B469" s="74" t="s">
        <v>4743</v>
      </c>
      <c r="C469" s="64" t="s">
        <v>4743</v>
      </c>
      <c r="D469" s="64">
        <v>0</v>
      </c>
      <c r="E469" s="279" t="s">
        <v>4743</v>
      </c>
    </row>
    <row r="470" spans="1:5" ht="12.75">
      <c r="A470" s="1090"/>
      <c r="B470" s="74" t="s">
        <v>4743</v>
      </c>
      <c r="C470" s="64" t="s">
        <v>4743</v>
      </c>
      <c r="D470" s="64">
        <v>0</v>
      </c>
      <c r="E470" s="279" t="s">
        <v>4743</v>
      </c>
    </row>
    <row r="471" spans="1:5" ht="12.75">
      <c r="A471" s="1090"/>
      <c r="B471" s="74" t="s">
        <v>4743</v>
      </c>
      <c r="C471" s="64" t="s">
        <v>4743</v>
      </c>
      <c r="D471" s="64">
        <v>0</v>
      </c>
      <c r="E471" s="279" t="s">
        <v>4743</v>
      </c>
    </row>
    <row r="472" spans="1:5" ht="12.75">
      <c r="A472" s="1090"/>
      <c r="B472" s="74" t="s">
        <v>4743</v>
      </c>
      <c r="C472" s="64" t="s">
        <v>4743</v>
      </c>
      <c r="D472" s="64">
        <v>0</v>
      </c>
      <c r="E472" s="279" t="s">
        <v>4743</v>
      </c>
    </row>
    <row r="473" spans="1:5" ht="12.75">
      <c r="A473" s="1090"/>
      <c r="B473" s="74" t="s">
        <v>4743</v>
      </c>
      <c r="C473" s="64" t="s">
        <v>4743</v>
      </c>
      <c r="D473" s="64">
        <v>0</v>
      </c>
      <c r="E473" s="279" t="s">
        <v>4743</v>
      </c>
    </row>
    <row r="474" spans="1:5" ht="12.75">
      <c r="A474" s="1090"/>
      <c r="B474" s="74" t="s">
        <v>4743</v>
      </c>
      <c r="C474" s="64" t="s">
        <v>4743</v>
      </c>
      <c r="D474" s="64">
        <v>0</v>
      </c>
      <c r="E474" s="279" t="s">
        <v>4743</v>
      </c>
    </row>
    <row r="475" spans="1:5" ht="12.75">
      <c r="A475" s="1090"/>
      <c r="B475" s="74" t="s">
        <v>4743</v>
      </c>
      <c r="C475" s="64" t="s">
        <v>4743</v>
      </c>
      <c r="D475" s="64">
        <v>0</v>
      </c>
      <c r="E475" s="279" t="s">
        <v>4743</v>
      </c>
    </row>
    <row r="476" spans="1:5" ht="12.75">
      <c r="A476" s="1090"/>
      <c r="B476" s="74" t="s">
        <v>4743</v>
      </c>
      <c r="C476" s="64" t="s">
        <v>4743</v>
      </c>
      <c r="D476" s="64">
        <v>0</v>
      </c>
      <c r="E476" s="279" t="s">
        <v>4743</v>
      </c>
    </row>
    <row r="477" spans="1:5" ht="12.75">
      <c r="A477" s="1090"/>
      <c r="B477" s="74" t="s">
        <v>4743</v>
      </c>
      <c r="C477" s="64" t="s">
        <v>4743</v>
      </c>
      <c r="D477" s="64">
        <v>0</v>
      </c>
      <c r="E477" s="279" t="s">
        <v>4743</v>
      </c>
    </row>
    <row r="478" spans="1:5" ht="12.75">
      <c r="A478" s="1090"/>
      <c r="B478" s="74" t="s">
        <v>4743</v>
      </c>
      <c r="C478" s="64" t="s">
        <v>4743</v>
      </c>
      <c r="D478" s="64">
        <v>0</v>
      </c>
      <c r="E478" s="279" t="s">
        <v>4743</v>
      </c>
    </row>
    <row r="479" spans="1:5" ht="12.75">
      <c r="A479" s="1090"/>
      <c r="B479" s="74" t="s">
        <v>4743</v>
      </c>
      <c r="C479" s="64" t="s">
        <v>4743</v>
      </c>
      <c r="D479" s="64">
        <v>0</v>
      </c>
      <c r="E479" s="279" t="s">
        <v>4743</v>
      </c>
    </row>
    <row r="480" spans="1:5" ht="12.75">
      <c r="A480" s="1090"/>
      <c r="B480" s="74" t="s">
        <v>4743</v>
      </c>
      <c r="C480" s="64" t="s">
        <v>4743</v>
      </c>
      <c r="D480" s="64">
        <v>0</v>
      </c>
      <c r="E480" s="279" t="s">
        <v>4743</v>
      </c>
    </row>
    <row r="481" spans="1:5" ht="12.75">
      <c r="A481" s="1090"/>
      <c r="B481" s="74" t="s">
        <v>4743</v>
      </c>
      <c r="C481" s="64" t="s">
        <v>4743</v>
      </c>
      <c r="D481" s="64">
        <v>0</v>
      </c>
      <c r="E481" s="279" t="s">
        <v>4743</v>
      </c>
    </row>
    <row r="482" spans="1:5" ht="12.75">
      <c r="A482" s="1090"/>
      <c r="B482" s="74" t="s">
        <v>4743</v>
      </c>
      <c r="C482" s="64" t="s">
        <v>4743</v>
      </c>
      <c r="D482" s="64">
        <v>0</v>
      </c>
      <c r="E482" s="279" t="s">
        <v>4743</v>
      </c>
    </row>
    <row r="483" spans="1:5" ht="12.75">
      <c r="A483" s="1090"/>
      <c r="B483" s="74" t="s">
        <v>4743</v>
      </c>
      <c r="C483" s="64" t="s">
        <v>4743</v>
      </c>
      <c r="D483" s="64">
        <v>0</v>
      </c>
      <c r="E483" s="279" t="s">
        <v>4743</v>
      </c>
    </row>
    <row r="484" spans="1:5" ht="12.75">
      <c r="A484" s="1090"/>
      <c r="B484" s="74" t="s">
        <v>4743</v>
      </c>
      <c r="C484" s="64" t="s">
        <v>4743</v>
      </c>
      <c r="D484" s="64">
        <v>0</v>
      </c>
      <c r="E484" s="279" t="s">
        <v>4743</v>
      </c>
    </row>
    <row r="485" spans="1:5" ht="12.75">
      <c r="A485" s="1090"/>
      <c r="B485" s="74" t="s">
        <v>4743</v>
      </c>
      <c r="C485" s="64" t="s">
        <v>4743</v>
      </c>
      <c r="D485" s="64">
        <v>0</v>
      </c>
      <c r="E485" s="279" t="s">
        <v>4743</v>
      </c>
    </row>
    <row r="486" spans="1:5" ht="12.75">
      <c r="A486" s="1090"/>
      <c r="B486" s="74" t="s">
        <v>4743</v>
      </c>
      <c r="C486" s="64" t="s">
        <v>4743</v>
      </c>
      <c r="D486" s="64">
        <v>0</v>
      </c>
      <c r="E486" s="279" t="s">
        <v>4743</v>
      </c>
    </row>
    <row r="487" spans="1:5" ht="12.75">
      <c r="A487" s="1090"/>
      <c r="B487" s="74" t="s">
        <v>4743</v>
      </c>
      <c r="C487" s="64" t="s">
        <v>4743</v>
      </c>
      <c r="D487" s="64">
        <v>0</v>
      </c>
      <c r="E487" s="279" t="s">
        <v>4743</v>
      </c>
    </row>
    <row r="488" spans="1:5" ht="12.75">
      <c r="A488" s="1090"/>
      <c r="B488" s="74" t="s">
        <v>4743</v>
      </c>
      <c r="C488" s="64" t="s">
        <v>4743</v>
      </c>
      <c r="D488" s="64">
        <v>0</v>
      </c>
      <c r="E488" s="279" t="s">
        <v>4743</v>
      </c>
    </row>
    <row r="489" spans="1:5" ht="12.75">
      <c r="A489" s="1090"/>
      <c r="B489" s="74" t="s">
        <v>4743</v>
      </c>
      <c r="C489" s="64" t="s">
        <v>4743</v>
      </c>
      <c r="D489" s="64">
        <v>0</v>
      </c>
      <c r="E489" s="279" t="s">
        <v>4743</v>
      </c>
    </row>
    <row r="490" spans="1:5" ht="12.75">
      <c r="A490" s="1090"/>
      <c r="B490" s="74" t="s">
        <v>4743</v>
      </c>
      <c r="C490" s="64" t="s">
        <v>4743</v>
      </c>
      <c r="D490" s="64">
        <v>0</v>
      </c>
      <c r="E490" s="279" t="s">
        <v>4743</v>
      </c>
    </row>
    <row r="491" spans="1:5" ht="12.75">
      <c r="A491" s="1090"/>
      <c r="B491" s="74" t="s">
        <v>4743</v>
      </c>
      <c r="C491" s="64" t="s">
        <v>4743</v>
      </c>
      <c r="D491" s="64">
        <v>0</v>
      </c>
      <c r="E491" s="279" t="s">
        <v>4743</v>
      </c>
    </row>
    <row r="492" spans="1:5" ht="12.75">
      <c r="A492" s="1090"/>
      <c r="B492" s="74" t="s">
        <v>4743</v>
      </c>
      <c r="C492" s="64" t="s">
        <v>4743</v>
      </c>
      <c r="D492" s="64">
        <v>0</v>
      </c>
      <c r="E492" s="279" t="s">
        <v>4743</v>
      </c>
    </row>
    <row r="493" spans="1:5" ht="12.75">
      <c r="A493" s="1090"/>
      <c r="B493" s="74" t="s">
        <v>4743</v>
      </c>
      <c r="C493" s="64" t="s">
        <v>4743</v>
      </c>
      <c r="D493" s="64">
        <v>0</v>
      </c>
      <c r="E493" s="279" t="s">
        <v>4743</v>
      </c>
    </row>
    <row r="494" spans="1:5" ht="12.75">
      <c r="A494" s="1090"/>
      <c r="B494" s="74" t="s">
        <v>4743</v>
      </c>
      <c r="C494" s="64" t="s">
        <v>4743</v>
      </c>
      <c r="D494" s="64">
        <v>0</v>
      </c>
      <c r="E494" s="279" t="s">
        <v>4743</v>
      </c>
    </row>
    <row r="495" spans="1:5" ht="12.75">
      <c r="A495" s="1090"/>
      <c r="B495" s="74" t="s">
        <v>4743</v>
      </c>
      <c r="C495" s="64" t="s">
        <v>4743</v>
      </c>
      <c r="D495" s="64">
        <v>0</v>
      </c>
      <c r="E495" s="279" t="s">
        <v>4743</v>
      </c>
    </row>
    <row r="496" spans="1:5" ht="12.75">
      <c r="A496" s="1090"/>
      <c r="B496" s="74" t="s">
        <v>4743</v>
      </c>
      <c r="C496" s="64" t="s">
        <v>4743</v>
      </c>
      <c r="D496" s="64">
        <v>0</v>
      </c>
      <c r="E496" s="279" t="s">
        <v>4743</v>
      </c>
    </row>
    <row r="497" spans="1:5" ht="12.75">
      <c r="A497" s="1090"/>
      <c r="B497" s="74" t="s">
        <v>4743</v>
      </c>
      <c r="C497" s="64" t="s">
        <v>4743</v>
      </c>
      <c r="D497" s="64">
        <v>0</v>
      </c>
      <c r="E497" s="279" t="s">
        <v>4743</v>
      </c>
    </row>
    <row r="498" spans="1:5" ht="12.75">
      <c r="A498" s="1090"/>
      <c r="B498" s="74" t="s">
        <v>4743</v>
      </c>
      <c r="C498" s="64" t="s">
        <v>4743</v>
      </c>
      <c r="D498" s="64">
        <v>0</v>
      </c>
      <c r="E498" s="279" t="s">
        <v>4743</v>
      </c>
    </row>
    <row r="499" spans="1:5" ht="12.75">
      <c r="A499" s="1090"/>
      <c r="B499" s="74" t="s">
        <v>4743</v>
      </c>
      <c r="C499" s="64" t="s">
        <v>4743</v>
      </c>
      <c r="D499" s="64">
        <v>0</v>
      </c>
      <c r="E499" s="279" t="s">
        <v>4743</v>
      </c>
    </row>
    <row r="500" spans="1:5" ht="12.75">
      <c r="A500" s="1090"/>
      <c r="B500" s="74" t="s">
        <v>4743</v>
      </c>
      <c r="C500" s="64" t="s">
        <v>4743</v>
      </c>
      <c r="D500" s="64">
        <v>0</v>
      </c>
      <c r="E500" s="279" t="s">
        <v>4743</v>
      </c>
    </row>
    <row r="501" spans="1:5" ht="12.75">
      <c r="A501" s="1090"/>
      <c r="B501" s="74" t="s">
        <v>4743</v>
      </c>
      <c r="C501" s="64" t="s">
        <v>4743</v>
      </c>
      <c r="D501" s="64">
        <v>0</v>
      </c>
      <c r="E501" s="279" t="s">
        <v>4743</v>
      </c>
    </row>
    <row r="502" spans="1:5" ht="12.75">
      <c r="A502" s="1090"/>
      <c r="B502" s="74" t="s">
        <v>4743</v>
      </c>
      <c r="C502" s="64" t="s">
        <v>4743</v>
      </c>
      <c r="D502" s="64">
        <v>0</v>
      </c>
      <c r="E502" s="279" t="s">
        <v>4743</v>
      </c>
    </row>
    <row r="503" spans="1:5" ht="12.75">
      <c r="A503" s="1090"/>
      <c r="B503" s="74" t="s">
        <v>4743</v>
      </c>
      <c r="C503" s="64" t="s">
        <v>4743</v>
      </c>
      <c r="D503" s="64">
        <v>0</v>
      </c>
      <c r="E503" s="279" t="s">
        <v>4743</v>
      </c>
    </row>
    <row r="504" spans="1:5" ht="12.75">
      <c r="A504" s="1090"/>
      <c r="B504" s="74" t="s">
        <v>4743</v>
      </c>
      <c r="C504" s="64" t="s">
        <v>4743</v>
      </c>
      <c r="D504" s="64">
        <v>0</v>
      </c>
      <c r="E504" s="279" t="s">
        <v>4743</v>
      </c>
    </row>
    <row r="505" spans="1:5" ht="12.75">
      <c r="A505" s="1090"/>
      <c r="B505" s="74" t="s">
        <v>4743</v>
      </c>
      <c r="C505" s="64" t="s">
        <v>4743</v>
      </c>
      <c r="D505" s="64">
        <v>0</v>
      </c>
      <c r="E505" s="279" t="s">
        <v>4743</v>
      </c>
    </row>
    <row r="506" spans="1:5" ht="12.75">
      <c r="A506" s="1090"/>
      <c r="B506" s="74" t="s">
        <v>4743</v>
      </c>
      <c r="C506" s="64" t="s">
        <v>4743</v>
      </c>
      <c r="D506" s="64">
        <v>0</v>
      </c>
      <c r="E506" s="279" t="s">
        <v>4743</v>
      </c>
    </row>
    <row r="507" spans="1:5" ht="12.75">
      <c r="A507" s="1090"/>
      <c r="B507" s="74" t="s">
        <v>4743</v>
      </c>
      <c r="C507" s="64" t="s">
        <v>4743</v>
      </c>
      <c r="D507" s="64">
        <v>0</v>
      </c>
      <c r="E507" s="279" t="s">
        <v>4743</v>
      </c>
    </row>
    <row r="508" spans="1:5" ht="12.75">
      <c r="A508" s="1090"/>
      <c r="B508" s="74" t="s">
        <v>4743</v>
      </c>
      <c r="C508" s="64" t="s">
        <v>4743</v>
      </c>
      <c r="D508" s="64">
        <v>0</v>
      </c>
      <c r="E508" s="279" t="s">
        <v>4743</v>
      </c>
    </row>
    <row r="509" spans="1:5" ht="12.75">
      <c r="A509" s="1090"/>
      <c r="B509" s="74" t="s">
        <v>4743</v>
      </c>
      <c r="C509" s="64" t="s">
        <v>4743</v>
      </c>
      <c r="D509" s="64">
        <v>0</v>
      </c>
      <c r="E509" s="279" t="s">
        <v>4743</v>
      </c>
    </row>
    <row r="510" spans="1:5" ht="12.75">
      <c r="A510" s="1090"/>
      <c r="B510" s="74" t="s">
        <v>4743</v>
      </c>
      <c r="C510" s="64" t="s">
        <v>4743</v>
      </c>
      <c r="D510" s="64">
        <v>0</v>
      </c>
      <c r="E510" s="279" t="s">
        <v>4743</v>
      </c>
    </row>
    <row r="511" spans="1:5" ht="12.75">
      <c r="A511" s="1090"/>
      <c r="B511" s="74" t="s">
        <v>4743</v>
      </c>
      <c r="C511" s="64" t="s">
        <v>4743</v>
      </c>
      <c r="D511" s="64">
        <v>0</v>
      </c>
      <c r="E511" s="279" t="s">
        <v>4743</v>
      </c>
    </row>
    <row r="512" spans="1:5" ht="12.75">
      <c r="A512" s="1090"/>
      <c r="B512" s="74" t="s">
        <v>4743</v>
      </c>
      <c r="C512" s="64" t="s">
        <v>4743</v>
      </c>
      <c r="D512" s="64">
        <v>0</v>
      </c>
      <c r="E512" s="279" t="s">
        <v>4743</v>
      </c>
    </row>
    <row r="513" spans="1:5" ht="12.75">
      <c r="A513" s="1090"/>
      <c r="B513" s="74" t="s">
        <v>4743</v>
      </c>
      <c r="C513" s="64" t="s">
        <v>4743</v>
      </c>
      <c r="D513" s="64">
        <v>0</v>
      </c>
      <c r="E513" s="279" t="s">
        <v>4743</v>
      </c>
    </row>
    <row r="514" spans="1:5" ht="12.75">
      <c r="A514" s="1090"/>
      <c r="B514" s="74" t="s">
        <v>4743</v>
      </c>
      <c r="C514" s="64" t="s">
        <v>4743</v>
      </c>
      <c r="D514" s="64">
        <v>0</v>
      </c>
      <c r="E514" s="279" t="s">
        <v>4743</v>
      </c>
    </row>
    <row r="515" spans="1:5" ht="12.75">
      <c r="A515" s="1090"/>
      <c r="B515" s="74" t="s">
        <v>4743</v>
      </c>
      <c r="C515" s="64" t="s">
        <v>4743</v>
      </c>
      <c r="D515" s="64">
        <v>0</v>
      </c>
      <c r="E515" s="279" t="s">
        <v>4743</v>
      </c>
    </row>
    <row r="516" spans="1:5" ht="12.75">
      <c r="A516" s="1090"/>
      <c r="B516" s="74" t="s">
        <v>4743</v>
      </c>
      <c r="C516" s="64" t="s">
        <v>4743</v>
      </c>
      <c r="D516" s="64">
        <v>0</v>
      </c>
      <c r="E516" s="279" t="s">
        <v>4743</v>
      </c>
    </row>
    <row r="517" spans="1:5" ht="12.75">
      <c r="A517" s="1090"/>
      <c r="B517" s="74" t="s">
        <v>4743</v>
      </c>
      <c r="C517" s="64" t="s">
        <v>4743</v>
      </c>
      <c r="D517" s="64">
        <v>0</v>
      </c>
      <c r="E517" s="279" t="s">
        <v>4743</v>
      </c>
    </row>
    <row r="518" spans="1:5" ht="12.75">
      <c r="A518" s="1090"/>
      <c r="B518" s="74" t="s">
        <v>4743</v>
      </c>
      <c r="C518" s="64" t="s">
        <v>4743</v>
      </c>
      <c r="D518" s="64">
        <v>0</v>
      </c>
      <c r="E518" s="279" t="s">
        <v>4743</v>
      </c>
    </row>
    <row r="519" spans="1:5" ht="12.75">
      <c r="A519" s="1090"/>
      <c r="B519" s="74" t="s">
        <v>4743</v>
      </c>
      <c r="C519" s="64" t="s">
        <v>4743</v>
      </c>
      <c r="D519" s="64">
        <v>0</v>
      </c>
      <c r="E519" s="279" t="s">
        <v>4743</v>
      </c>
    </row>
    <row r="520" spans="1:5" ht="12.75">
      <c r="A520" s="1090"/>
      <c r="B520" s="74" t="s">
        <v>4743</v>
      </c>
      <c r="C520" s="64" t="s">
        <v>4743</v>
      </c>
      <c r="D520" s="64">
        <v>0</v>
      </c>
      <c r="E520" s="279" t="s">
        <v>4743</v>
      </c>
    </row>
    <row r="521" spans="1:5" ht="12.75">
      <c r="A521" s="1090"/>
      <c r="B521" s="74" t="s">
        <v>4743</v>
      </c>
      <c r="C521" s="64" t="s">
        <v>4743</v>
      </c>
      <c r="D521" s="64">
        <v>0</v>
      </c>
      <c r="E521" s="279" t="s">
        <v>4743</v>
      </c>
    </row>
    <row r="522" spans="1:5" ht="12.75">
      <c r="A522" s="1090"/>
      <c r="B522" s="74" t="s">
        <v>4743</v>
      </c>
      <c r="C522" s="64" t="s">
        <v>4743</v>
      </c>
      <c r="D522" s="64">
        <v>0</v>
      </c>
      <c r="E522" s="279" t="s">
        <v>4743</v>
      </c>
    </row>
    <row r="523" spans="1:5" ht="12.75">
      <c r="A523" s="1090"/>
      <c r="B523" s="74" t="s">
        <v>4743</v>
      </c>
      <c r="C523" s="64" t="s">
        <v>4743</v>
      </c>
      <c r="D523" s="64">
        <v>0</v>
      </c>
      <c r="E523" s="279" t="s">
        <v>4743</v>
      </c>
    </row>
    <row r="524" spans="1:5" ht="12.75">
      <c r="A524" s="1090"/>
      <c r="B524" s="74" t="s">
        <v>4743</v>
      </c>
      <c r="C524" s="64" t="s">
        <v>4743</v>
      </c>
      <c r="D524" s="64">
        <v>0</v>
      </c>
      <c r="E524" s="279" t="s">
        <v>4743</v>
      </c>
    </row>
    <row r="525" spans="1:5" ht="12.75">
      <c r="A525" s="1090"/>
      <c r="B525" s="74" t="s">
        <v>4743</v>
      </c>
      <c r="C525" s="64" t="s">
        <v>4743</v>
      </c>
      <c r="D525" s="64">
        <v>0</v>
      </c>
      <c r="E525" s="279" t="s">
        <v>4743</v>
      </c>
    </row>
    <row r="526" spans="1:5" ht="12.75">
      <c r="A526" s="1090"/>
      <c r="B526" s="74" t="s">
        <v>4743</v>
      </c>
      <c r="C526" s="64" t="s">
        <v>4743</v>
      </c>
      <c r="D526" s="64">
        <v>0</v>
      </c>
      <c r="E526" s="279" t="s">
        <v>4743</v>
      </c>
    </row>
    <row r="527" spans="1:5" ht="12.75">
      <c r="A527" s="1090"/>
      <c r="B527" s="74" t="s">
        <v>4743</v>
      </c>
      <c r="C527" s="64" t="s">
        <v>4743</v>
      </c>
      <c r="D527" s="64">
        <v>0</v>
      </c>
      <c r="E527" s="279" t="s">
        <v>4743</v>
      </c>
    </row>
    <row r="528" spans="1:5" ht="12.75">
      <c r="A528" s="1090"/>
      <c r="B528" s="74" t="s">
        <v>4743</v>
      </c>
      <c r="C528" s="64" t="s">
        <v>4743</v>
      </c>
      <c r="D528" s="64">
        <v>0</v>
      </c>
      <c r="E528" s="279" t="s">
        <v>4743</v>
      </c>
    </row>
    <row r="529" spans="1:5" ht="12.75">
      <c r="A529" s="1090"/>
      <c r="B529" s="74" t="s">
        <v>4743</v>
      </c>
      <c r="C529" s="64" t="s">
        <v>4743</v>
      </c>
      <c r="D529" s="64">
        <v>0</v>
      </c>
      <c r="E529" s="279" t="s">
        <v>4743</v>
      </c>
    </row>
    <row r="530" spans="1:5" ht="12.75">
      <c r="A530" s="1090"/>
      <c r="B530" s="74" t="s">
        <v>4743</v>
      </c>
      <c r="C530" s="64" t="s">
        <v>4743</v>
      </c>
      <c r="D530" s="64">
        <v>0</v>
      </c>
      <c r="E530" s="279" t="s">
        <v>4743</v>
      </c>
    </row>
    <row r="531" spans="1:5" ht="12.75">
      <c r="A531" s="1090"/>
      <c r="B531" s="74" t="s">
        <v>4743</v>
      </c>
      <c r="C531" s="64" t="s">
        <v>4743</v>
      </c>
      <c r="D531" s="64">
        <v>0</v>
      </c>
      <c r="E531" s="279" t="s">
        <v>4743</v>
      </c>
    </row>
    <row r="532" spans="1:5" ht="12.75">
      <c r="A532" s="1090"/>
      <c r="B532" s="74" t="s">
        <v>4743</v>
      </c>
      <c r="C532" s="64" t="s">
        <v>4743</v>
      </c>
      <c r="D532" s="64">
        <v>0</v>
      </c>
      <c r="E532" s="279" t="s">
        <v>4743</v>
      </c>
    </row>
    <row r="533" spans="1:5" ht="12.75">
      <c r="A533" s="1090"/>
      <c r="B533" s="74" t="s">
        <v>4743</v>
      </c>
      <c r="C533" s="64" t="s">
        <v>4743</v>
      </c>
      <c r="D533" s="64">
        <v>0</v>
      </c>
      <c r="E533" s="279" t="s">
        <v>4743</v>
      </c>
    </row>
    <row r="534" spans="1:5" ht="12.75">
      <c r="A534" s="1090"/>
      <c r="B534" s="74" t="s">
        <v>4743</v>
      </c>
      <c r="C534" s="64" t="s">
        <v>4743</v>
      </c>
      <c r="D534" s="64">
        <v>0</v>
      </c>
      <c r="E534" s="279" t="s">
        <v>4743</v>
      </c>
    </row>
    <row r="535" spans="1:5" ht="12.75">
      <c r="A535" s="1090"/>
      <c r="B535" s="74" t="s">
        <v>4743</v>
      </c>
      <c r="C535" s="64" t="s">
        <v>4743</v>
      </c>
      <c r="D535" s="64">
        <v>0</v>
      </c>
      <c r="E535" s="279" t="s">
        <v>4743</v>
      </c>
    </row>
    <row r="536" spans="1:5" ht="12.75">
      <c r="A536" s="1090"/>
      <c r="B536" s="74" t="s">
        <v>4743</v>
      </c>
      <c r="C536" s="64" t="s">
        <v>4743</v>
      </c>
      <c r="D536" s="64">
        <v>0</v>
      </c>
      <c r="E536" s="279" t="s">
        <v>4743</v>
      </c>
    </row>
    <row r="537" spans="1:5" ht="12.75">
      <c r="A537" s="1090"/>
      <c r="B537" s="74" t="s">
        <v>4743</v>
      </c>
      <c r="C537" s="64" t="s">
        <v>4743</v>
      </c>
      <c r="D537" s="64">
        <v>0</v>
      </c>
      <c r="E537" s="279" t="s">
        <v>4743</v>
      </c>
    </row>
    <row r="538" spans="1:5" ht="12.75">
      <c r="A538" s="1090"/>
      <c r="B538" s="74" t="s">
        <v>4743</v>
      </c>
      <c r="C538" s="64" t="s">
        <v>4743</v>
      </c>
      <c r="D538" s="64">
        <v>0</v>
      </c>
      <c r="E538" s="279" t="s">
        <v>4743</v>
      </c>
    </row>
    <row r="539" spans="1:5" ht="12.75">
      <c r="A539" s="1090"/>
      <c r="B539" s="74" t="s">
        <v>4743</v>
      </c>
      <c r="C539" s="64" t="s">
        <v>4743</v>
      </c>
      <c r="D539" s="64">
        <v>0</v>
      </c>
      <c r="E539" s="279" t="s">
        <v>4743</v>
      </c>
    </row>
    <row r="540" spans="1:5" ht="12.75">
      <c r="A540" s="1090"/>
      <c r="B540" s="74" t="s">
        <v>4743</v>
      </c>
      <c r="C540" s="64" t="s">
        <v>4743</v>
      </c>
      <c r="D540" s="64">
        <v>0</v>
      </c>
      <c r="E540" s="279" t="s">
        <v>4743</v>
      </c>
    </row>
    <row r="541" spans="1:5" ht="12.75">
      <c r="A541" s="1090"/>
      <c r="B541" s="74" t="s">
        <v>4743</v>
      </c>
      <c r="C541" s="64" t="s">
        <v>4743</v>
      </c>
      <c r="D541" s="64">
        <v>0</v>
      </c>
      <c r="E541" s="279" t="s">
        <v>4743</v>
      </c>
    </row>
    <row r="542" spans="1:5" ht="12.75">
      <c r="A542" s="1090"/>
      <c r="B542" s="74" t="s">
        <v>4743</v>
      </c>
      <c r="C542" s="64" t="s">
        <v>4743</v>
      </c>
      <c r="D542" s="64">
        <v>0</v>
      </c>
      <c r="E542" s="279" t="s">
        <v>4743</v>
      </c>
    </row>
    <row r="543" spans="1:5" ht="12.75">
      <c r="A543" s="1090"/>
      <c r="B543" s="74" t="s">
        <v>4743</v>
      </c>
      <c r="C543" s="64" t="s">
        <v>4743</v>
      </c>
      <c r="D543" s="64">
        <v>0</v>
      </c>
      <c r="E543" s="279" t="s">
        <v>4743</v>
      </c>
    </row>
    <row r="544" spans="1:5" ht="12.75">
      <c r="A544" s="1090"/>
      <c r="B544" s="74" t="s">
        <v>4743</v>
      </c>
      <c r="C544" s="64" t="s">
        <v>4743</v>
      </c>
      <c r="D544" s="64">
        <v>0</v>
      </c>
      <c r="E544" s="279" t="s">
        <v>4743</v>
      </c>
    </row>
    <row r="545" spans="1:5" ht="12.75">
      <c r="A545" s="1090"/>
      <c r="B545" s="74" t="s">
        <v>4743</v>
      </c>
      <c r="C545" s="64" t="s">
        <v>4743</v>
      </c>
      <c r="D545" s="64">
        <v>0</v>
      </c>
      <c r="E545" s="279" t="s">
        <v>4743</v>
      </c>
    </row>
    <row r="546" spans="1:5" ht="12.75">
      <c r="A546" s="1090"/>
      <c r="B546" s="74" t="s">
        <v>4743</v>
      </c>
      <c r="C546" s="64" t="s">
        <v>4743</v>
      </c>
      <c r="D546" s="64">
        <v>0</v>
      </c>
      <c r="E546" s="279" t="s">
        <v>4743</v>
      </c>
    </row>
    <row r="547" spans="1:5" ht="12.75">
      <c r="A547" s="1090"/>
      <c r="B547" s="74" t="s">
        <v>4743</v>
      </c>
      <c r="C547" s="64" t="s">
        <v>4743</v>
      </c>
      <c r="D547" s="64">
        <v>0</v>
      </c>
      <c r="E547" s="279" t="s">
        <v>4743</v>
      </c>
    </row>
    <row r="548" spans="1:5" ht="12.75">
      <c r="A548" s="1090"/>
      <c r="B548" s="74" t="s">
        <v>4743</v>
      </c>
      <c r="C548" s="64" t="s">
        <v>4743</v>
      </c>
      <c r="D548" s="64">
        <v>0</v>
      </c>
      <c r="E548" s="279" t="s">
        <v>4743</v>
      </c>
    </row>
    <row r="549" spans="1:5" ht="12.75">
      <c r="A549" s="1090"/>
      <c r="B549" s="74" t="s">
        <v>4743</v>
      </c>
      <c r="C549" s="64" t="s">
        <v>4743</v>
      </c>
      <c r="D549" s="64">
        <v>0</v>
      </c>
      <c r="E549" s="279" t="s">
        <v>4743</v>
      </c>
    </row>
    <row r="550" spans="1:5" ht="12.75">
      <c r="A550" s="1090"/>
      <c r="B550" s="74" t="s">
        <v>4743</v>
      </c>
      <c r="C550" s="64" t="s">
        <v>4743</v>
      </c>
      <c r="D550" s="64">
        <v>0</v>
      </c>
      <c r="E550" s="279" t="s">
        <v>4743</v>
      </c>
    </row>
    <row r="551" spans="1:5" ht="12.75">
      <c r="A551" s="1090"/>
      <c r="B551" s="74" t="s">
        <v>4743</v>
      </c>
      <c r="C551" s="64" t="s">
        <v>4743</v>
      </c>
      <c r="D551" s="64">
        <v>0</v>
      </c>
      <c r="E551" s="279" t="s">
        <v>4743</v>
      </c>
    </row>
    <row r="552" spans="1:5" ht="12.75">
      <c r="A552" s="1090"/>
      <c r="B552" s="74" t="s">
        <v>4743</v>
      </c>
      <c r="C552" s="64" t="s">
        <v>4743</v>
      </c>
      <c r="D552" s="64">
        <v>0</v>
      </c>
      <c r="E552" s="279" t="s">
        <v>4743</v>
      </c>
    </row>
    <row r="553" spans="1:5" ht="12.75">
      <c r="A553" s="1090"/>
      <c r="B553" s="74" t="s">
        <v>4743</v>
      </c>
      <c r="C553" s="64" t="s">
        <v>4743</v>
      </c>
      <c r="D553" s="64">
        <v>0</v>
      </c>
      <c r="E553" s="279" t="s">
        <v>4743</v>
      </c>
    </row>
    <row r="554" spans="1:5" ht="12.75">
      <c r="A554" s="1090"/>
      <c r="B554" s="74" t="s">
        <v>4743</v>
      </c>
      <c r="C554" s="64" t="s">
        <v>4743</v>
      </c>
      <c r="D554" s="64">
        <v>0</v>
      </c>
      <c r="E554" s="279" t="s">
        <v>4743</v>
      </c>
    </row>
    <row r="555" spans="1:5" ht="12.75">
      <c r="A555" s="1090"/>
      <c r="B555" s="74" t="s">
        <v>4743</v>
      </c>
      <c r="C555" s="64" t="s">
        <v>4743</v>
      </c>
      <c r="D555" s="64">
        <v>0</v>
      </c>
      <c r="E555" s="279" t="s">
        <v>4743</v>
      </c>
    </row>
    <row r="556" spans="1:5" ht="12.75">
      <c r="A556" s="1090"/>
      <c r="B556" s="74" t="s">
        <v>4743</v>
      </c>
      <c r="C556" s="64" t="s">
        <v>4743</v>
      </c>
      <c r="D556" s="64">
        <v>0</v>
      </c>
      <c r="E556" s="279" t="s">
        <v>4743</v>
      </c>
    </row>
    <row r="557" spans="1:5" ht="12.75">
      <c r="A557" s="1090"/>
      <c r="B557" s="74" t="s">
        <v>4743</v>
      </c>
      <c r="C557" s="64" t="s">
        <v>4743</v>
      </c>
      <c r="D557" s="64">
        <v>0</v>
      </c>
      <c r="E557" s="279" t="s">
        <v>4743</v>
      </c>
    </row>
    <row r="558" spans="1:5" ht="12.75">
      <c r="A558" s="1090"/>
      <c r="B558" s="74" t="s">
        <v>4743</v>
      </c>
      <c r="C558" s="64" t="s">
        <v>4743</v>
      </c>
      <c r="D558" s="64">
        <v>0</v>
      </c>
      <c r="E558" s="279" t="s">
        <v>4743</v>
      </c>
    </row>
    <row r="559" spans="1:5" ht="12.75">
      <c r="A559" s="1090"/>
      <c r="B559" s="74" t="s">
        <v>4743</v>
      </c>
      <c r="C559" s="64" t="s">
        <v>4743</v>
      </c>
      <c r="D559" s="64">
        <v>0</v>
      </c>
      <c r="E559" s="279" t="s">
        <v>4743</v>
      </c>
    </row>
    <row r="560" spans="1:5" ht="12.75">
      <c r="A560" s="1090"/>
      <c r="B560" s="74" t="s">
        <v>4743</v>
      </c>
      <c r="C560" s="64" t="s">
        <v>4743</v>
      </c>
      <c r="D560" s="64">
        <v>0</v>
      </c>
      <c r="E560" s="279" t="s">
        <v>4743</v>
      </c>
    </row>
    <row r="561" spans="1:5" ht="12.75">
      <c r="A561" s="1090"/>
      <c r="B561" s="74" t="s">
        <v>4743</v>
      </c>
      <c r="C561" s="64" t="s">
        <v>4743</v>
      </c>
      <c r="D561" s="64">
        <v>0</v>
      </c>
      <c r="E561" s="279" t="s">
        <v>4743</v>
      </c>
    </row>
    <row r="562" spans="1:5" ht="12.75">
      <c r="A562" s="1090"/>
      <c r="B562" s="74" t="s">
        <v>4743</v>
      </c>
      <c r="C562" s="64" t="s">
        <v>4743</v>
      </c>
      <c r="D562" s="64">
        <v>0</v>
      </c>
      <c r="E562" s="279" t="s">
        <v>4743</v>
      </c>
    </row>
    <row r="563" spans="1:5" ht="12.75">
      <c r="A563" s="1090"/>
      <c r="B563" s="74" t="s">
        <v>4743</v>
      </c>
      <c r="C563" s="64" t="s">
        <v>4743</v>
      </c>
      <c r="D563" s="64">
        <v>0</v>
      </c>
      <c r="E563" s="279" t="s">
        <v>4743</v>
      </c>
    </row>
    <row r="564" spans="1:5" ht="12.75">
      <c r="A564" s="1090"/>
      <c r="B564" s="74" t="s">
        <v>4743</v>
      </c>
      <c r="C564" s="64" t="s">
        <v>4743</v>
      </c>
      <c r="D564" s="64">
        <v>0</v>
      </c>
      <c r="E564" s="279" t="s">
        <v>4743</v>
      </c>
    </row>
    <row r="565" spans="1:5" ht="12.75">
      <c r="A565" s="1090"/>
      <c r="B565" s="74" t="s">
        <v>4743</v>
      </c>
      <c r="C565" s="64" t="s">
        <v>4743</v>
      </c>
      <c r="D565" s="64">
        <v>0</v>
      </c>
      <c r="E565" s="279" t="s">
        <v>4743</v>
      </c>
    </row>
    <row r="566" spans="1:5" ht="12.75">
      <c r="A566" s="1090"/>
      <c r="B566" s="74" t="s">
        <v>4743</v>
      </c>
      <c r="C566" s="64" t="s">
        <v>4743</v>
      </c>
      <c r="D566" s="64">
        <v>0</v>
      </c>
      <c r="E566" s="279" t="s">
        <v>4743</v>
      </c>
    </row>
    <row r="567" spans="1:5" ht="12.75">
      <c r="A567" s="1090"/>
      <c r="B567" s="74" t="s">
        <v>4743</v>
      </c>
      <c r="C567" s="64" t="s">
        <v>4743</v>
      </c>
      <c r="D567" s="64">
        <v>0</v>
      </c>
      <c r="E567" s="279" t="s">
        <v>4743</v>
      </c>
    </row>
    <row r="568" spans="1:5" ht="12.75">
      <c r="A568" s="1090"/>
      <c r="B568" s="74" t="s">
        <v>4743</v>
      </c>
      <c r="C568" s="64" t="s">
        <v>4743</v>
      </c>
      <c r="D568" s="64">
        <v>0</v>
      </c>
      <c r="E568" s="279" t="s">
        <v>4743</v>
      </c>
    </row>
    <row r="569" spans="1:5" ht="12.75">
      <c r="A569" s="1090"/>
      <c r="B569" s="74" t="s">
        <v>4743</v>
      </c>
      <c r="C569" s="64" t="s">
        <v>4743</v>
      </c>
      <c r="D569" s="64">
        <v>0</v>
      </c>
      <c r="E569" s="279" t="s">
        <v>4743</v>
      </c>
    </row>
    <row r="570" spans="1:5" ht="12.75">
      <c r="A570" s="1090"/>
      <c r="B570" s="74" t="s">
        <v>4743</v>
      </c>
      <c r="C570" s="64" t="s">
        <v>4743</v>
      </c>
      <c r="D570" s="64">
        <v>0</v>
      </c>
      <c r="E570" s="279" t="s">
        <v>4743</v>
      </c>
    </row>
    <row r="571" spans="1:5" ht="12.75">
      <c r="A571" s="1090"/>
      <c r="B571" s="74" t="s">
        <v>4743</v>
      </c>
      <c r="C571" s="64" t="s">
        <v>4743</v>
      </c>
      <c r="D571" s="64">
        <v>0</v>
      </c>
      <c r="E571" s="279" t="s">
        <v>4743</v>
      </c>
    </row>
    <row r="572" spans="1:5" ht="12.75">
      <c r="A572" s="1090"/>
      <c r="B572" s="74" t="s">
        <v>4743</v>
      </c>
      <c r="C572" s="64" t="s">
        <v>4743</v>
      </c>
      <c r="D572" s="64">
        <v>0</v>
      </c>
      <c r="E572" s="279" t="s">
        <v>4743</v>
      </c>
    </row>
    <row r="573" spans="1:5" ht="12.75">
      <c r="A573" s="1090"/>
      <c r="B573" s="74" t="s">
        <v>4743</v>
      </c>
      <c r="C573" s="64" t="s">
        <v>4743</v>
      </c>
      <c r="D573" s="64">
        <v>0</v>
      </c>
      <c r="E573" s="279" t="s">
        <v>4743</v>
      </c>
    </row>
    <row r="574" spans="1:5" ht="12.75">
      <c r="A574" s="1090"/>
      <c r="B574" s="74" t="s">
        <v>4743</v>
      </c>
      <c r="C574" s="64" t="s">
        <v>4743</v>
      </c>
      <c r="D574" s="64">
        <v>0</v>
      </c>
      <c r="E574" s="279" t="s">
        <v>4743</v>
      </c>
    </row>
    <row r="575" spans="1:5" ht="12.75">
      <c r="A575" s="1090"/>
      <c r="B575" s="74" t="s">
        <v>4743</v>
      </c>
      <c r="C575" s="64" t="s">
        <v>4743</v>
      </c>
      <c r="D575" s="64">
        <v>0</v>
      </c>
      <c r="E575" s="279" t="s">
        <v>4743</v>
      </c>
    </row>
    <row r="576" spans="1:5" ht="12.75">
      <c r="A576" s="1090"/>
      <c r="B576" s="74" t="s">
        <v>4743</v>
      </c>
      <c r="C576" s="64" t="s">
        <v>4743</v>
      </c>
      <c r="D576" s="64">
        <v>0</v>
      </c>
      <c r="E576" s="279" t="s">
        <v>4743</v>
      </c>
    </row>
    <row r="577" spans="1:5" ht="12.75">
      <c r="A577" s="1090"/>
      <c r="B577" s="74" t="s">
        <v>4743</v>
      </c>
      <c r="C577" s="64" t="s">
        <v>4743</v>
      </c>
      <c r="D577" s="64">
        <v>0</v>
      </c>
      <c r="E577" s="279" t="s">
        <v>4743</v>
      </c>
    </row>
    <row r="578" spans="1:5" ht="12.75">
      <c r="A578" s="1090"/>
      <c r="B578" s="74" t="s">
        <v>4743</v>
      </c>
      <c r="C578" s="64" t="s">
        <v>4743</v>
      </c>
      <c r="D578" s="64">
        <v>0</v>
      </c>
      <c r="E578" s="279" t="s">
        <v>4743</v>
      </c>
    </row>
    <row r="579" spans="1:5" ht="12.75">
      <c r="A579" s="1090"/>
      <c r="B579" s="74" t="s">
        <v>4743</v>
      </c>
      <c r="C579" s="64" t="s">
        <v>4743</v>
      </c>
      <c r="D579" s="64">
        <v>0</v>
      </c>
      <c r="E579" s="279" t="s">
        <v>4743</v>
      </c>
    </row>
    <row r="580" spans="1:5" ht="12.75">
      <c r="A580" s="1090"/>
      <c r="B580" s="74" t="s">
        <v>4743</v>
      </c>
      <c r="C580" s="64" t="s">
        <v>4743</v>
      </c>
      <c r="D580" s="64">
        <v>0</v>
      </c>
      <c r="E580" s="279" t="s">
        <v>4743</v>
      </c>
    </row>
    <row r="581" spans="1:5" ht="12.75">
      <c r="A581" s="1090"/>
      <c r="B581" s="74" t="s">
        <v>4743</v>
      </c>
      <c r="C581" s="64" t="s">
        <v>4743</v>
      </c>
      <c r="D581" s="64">
        <v>0</v>
      </c>
      <c r="E581" s="279" t="s">
        <v>4743</v>
      </c>
    </row>
    <row r="582" spans="1:5" ht="12.75">
      <c r="A582" s="1090"/>
      <c r="B582" s="74" t="s">
        <v>4743</v>
      </c>
      <c r="C582" s="64" t="s">
        <v>4743</v>
      </c>
      <c r="D582" s="64">
        <v>0</v>
      </c>
      <c r="E582" s="279" t="s">
        <v>4743</v>
      </c>
    </row>
    <row r="583" spans="1:5" ht="12.75">
      <c r="A583" s="1090"/>
      <c r="B583" s="74" t="s">
        <v>4743</v>
      </c>
      <c r="C583" s="64" t="s">
        <v>4743</v>
      </c>
      <c r="D583" s="64">
        <v>0</v>
      </c>
      <c r="E583" s="279" t="s">
        <v>4743</v>
      </c>
    </row>
    <row r="584" spans="1:5" ht="12.75">
      <c r="A584" s="1090"/>
      <c r="B584" s="74" t="s">
        <v>4743</v>
      </c>
      <c r="C584" s="64" t="s">
        <v>4743</v>
      </c>
      <c r="D584" s="64">
        <v>0</v>
      </c>
      <c r="E584" s="279" t="s">
        <v>4743</v>
      </c>
    </row>
    <row r="585" spans="1:5" ht="12.75">
      <c r="A585" s="1090"/>
      <c r="B585" s="74" t="s">
        <v>4743</v>
      </c>
      <c r="C585" s="64" t="s">
        <v>4743</v>
      </c>
      <c r="D585" s="64">
        <v>0</v>
      </c>
      <c r="E585" s="279" t="s">
        <v>4743</v>
      </c>
    </row>
    <row r="586" spans="1:5" ht="12.75">
      <c r="A586" s="1090"/>
      <c r="B586" s="74" t="s">
        <v>4743</v>
      </c>
      <c r="C586" s="64" t="s">
        <v>4743</v>
      </c>
      <c r="D586" s="64">
        <v>0</v>
      </c>
      <c r="E586" s="279" t="s">
        <v>4743</v>
      </c>
    </row>
    <row r="587" spans="1:5" ht="12.75">
      <c r="A587" s="1090"/>
      <c r="B587" s="74" t="s">
        <v>4743</v>
      </c>
      <c r="C587" s="64" t="s">
        <v>4743</v>
      </c>
      <c r="D587" s="64">
        <v>0</v>
      </c>
      <c r="E587" s="279" t="s">
        <v>4743</v>
      </c>
    </row>
    <row r="588" spans="1:5" ht="12.75">
      <c r="A588" s="1090"/>
      <c r="B588" s="74" t="s">
        <v>4743</v>
      </c>
      <c r="C588" s="64" t="s">
        <v>4743</v>
      </c>
      <c r="D588" s="64">
        <v>0</v>
      </c>
      <c r="E588" s="279" t="s">
        <v>4743</v>
      </c>
    </row>
    <row r="589" spans="1:5" ht="12.75">
      <c r="A589" s="1090"/>
      <c r="B589" s="74" t="s">
        <v>4743</v>
      </c>
      <c r="C589" s="64" t="s">
        <v>4743</v>
      </c>
      <c r="D589" s="64">
        <v>0</v>
      </c>
      <c r="E589" s="279" t="s">
        <v>4743</v>
      </c>
    </row>
    <row r="590" spans="1:5" ht="12.75">
      <c r="A590" s="1090"/>
      <c r="B590" s="74" t="s">
        <v>4743</v>
      </c>
      <c r="C590" s="64" t="s">
        <v>4743</v>
      </c>
      <c r="D590" s="64">
        <v>0</v>
      </c>
      <c r="E590" s="279" t="s">
        <v>4743</v>
      </c>
    </row>
    <row r="591" spans="1:5" ht="12.75">
      <c r="A591" s="1090"/>
      <c r="B591" s="74" t="s">
        <v>4743</v>
      </c>
      <c r="C591" s="64" t="s">
        <v>4743</v>
      </c>
      <c r="D591" s="64">
        <v>0</v>
      </c>
      <c r="E591" s="279" t="s">
        <v>4743</v>
      </c>
    </row>
    <row r="592" spans="1:5" ht="12.75">
      <c r="A592" s="1090"/>
      <c r="B592" s="74" t="s">
        <v>4743</v>
      </c>
      <c r="C592" s="64" t="s">
        <v>4743</v>
      </c>
      <c r="D592" s="64">
        <v>0</v>
      </c>
      <c r="E592" s="279" t="s">
        <v>4743</v>
      </c>
    </row>
    <row r="593" spans="1:5" ht="12.75">
      <c r="A593" s="1090"/>
      <c r="B593" s="74" t="s">
        <v>4743</v>
      </c>
      <c r="C593" s="64" t="s">
        <v>4743</v>
      </c>
      <c r="D593" s="64">
        <v>0</v>
      </c>
      <c r="E593" s="279" t="s">
        <v>4743</v>
      </c>
    </row>
    <row r="594" spans="1:5" ht="12.75">
      <c r="A594" s="1090"/>
      <c r="B594" s="74" t="s">
        <v>4743</v>
      </c>
      <c r="C594" s="64" t="s">
        <v>4743</v>
      </c>
      <c r="D594" s="64">
        <v>0</v>
      </c>
      <c r="E594" s="279" t="s">
        <v>4743</v>
      </c>
    </row>
    <row r="595" spans="1:5" ht="12.75">
      <c r="A595" s="1090"/>
      <c r="B595" s="74" t="s">
        <v>4743</v>
      </c>
      <c r="C595" s="64" t="s">
        <v>4743</v>
      </c>
      <c r="D595" s="64">
        <v>0</v>
      </c>
      <c r="E595" s="279" t="s">
        <v>4743</v>
      </c>
    </row>
    <row r="596" spans="1:5" ht="12.75">
      <c r="A596" s="1090"/>
      <c r="B596" s="74" t="s">
        <v>4743</v>
      </c>
      <c r="C596" s="64" t="s">
        <v>4743</v>
      </c>
      <c r="D596" s="64">
        <v>0</v>
      </c>
      <c r="E596" s="279" t="s">
        <v>4743</v>
      </c>
    </row>
    <row r="597" spans="1:5" ht="12.75">
      <c r="A597" s="1090"/>
      <c r="B597" s="74" t="s">
        <v>4743</v>
      </c>
      <c r="C597" s="64" t="s">
        <v>4743</v>
      </c>
      <c r="D597" s="64">
        <v>0</v>
      </c>
      <c r="E597" s="279" t="s">
        <v>4743</v>
      </c>
    </row>
    <row r="598" spans="1:5" ht="12.75">
      <c r="A598" s="1090"/>
      <c r="B598" s="74" t="s">
        <v>4743</v>
      </c>
      <c r="C598" s="64" t="s">
        <v>4743</v>
      </c>
      <c r="D598" s="64">
        <v>0</v>
      </c>
      <c r="E598" s="279" t="s">
        <v>4743</v>
      </c>
    </row>
    <row r="599" spans="1:5" ht="12.75">
      <c r="A599" s="1090"/>
      <c r="B599" s="74" t="s">
        <v>4743</v>
      </c>
      <c r="C599" s="64" t="s">
        <v>4743</v>
      </c>
      <c r="D599" s="64">
        <v>0</v>
      </c>
      <c r="E599" s="279" t="s">
        <v>4743</v>
      </c>
    </row>
    <row r="600" spans="1:5" ht="12.75">
      <c r="A600" s="1090"/>
      <c r="B600" s="74" t="s">
        <v>4743</v>
      </c>
      <c r="C600" s="64" t="s">
        <v>4743</v>
      </c>
      <c r="D600" s="64">
        <v>0</v>
      </c>
      <c r="E600" s="279" t="s">
        <v>4743</v>
      </c>
    </row>
    <row r="601" spans="1:5" ht="12.75">
      <c r="A601" s="1090"/>
      <c r="B601" s="74" t="s">
        <v>4743</v>
      </c>
      <c r="C601" s="64" t="s">
        <v>4743</v>
      </c>
      <c r="D601" s="64">
        <v>0</v>
      </c>
      <c r="E601" s="279" t="s">
        <v>4743</v>
      </c>
    </row>
    <row r="602" spans="1:5" ht="12.75">
      <c r="A602" s="1090"/>
      <c r="B602" s="74" t="s">
        <v>4743</v>
      </c>
      <c r="C602" s="64" t="s">
        <v>4743</v>
      </c>
      <c r="D602" s="64">
        <v>0</v>
      </c>
      <c r="E602" s="279" t="s">
        <v>4743</v>
      </c>
    </row>
    <row r="603" spans="1:5" ht="12.75">
      <c r="A603" s="1090"/>
      <c r="B603" s="74" t="s">
        <v>4743</v>
      </c>
      <c r="C603" s="64" t="s">
        <v>4743</v>
      </c>
      <c r="D603" s="64">
        <v>0</v>
      </c>
      <c r="E603" s="279" t="s">
        <v>4743</v>
      </c>
    </row>
    <row r="604" spans="1:5" ht="12.75">
      <c r="A604" s="1090"/>
      <c r="B604" s="74" t="s">
        <v>4743</v>
      </c>
      <c r="C604" s="64" t="s">
        <v>4743</v>
      </c>
      <c r="D604" s="64">
        <v>0</v>
      </c>
      <c r="E604" s="279" t="s">
        <v>4743</v>
      </c>
    </row>
    <row r="605" spans="1:5" ht="12.75">
      <c r="A605" s="1090"/>
      <c r="B605" s="74" t="s">
        <v>4743</v>
      </c>
      <c r="C605" s="64" t="s">
        <v>4743</v>
      </c>
      <c r="D605" s="64">
        <v>0</v>
      </c>
      <c r="E605" s="279" t="s">
        <v>4743</v>
      </c>
    </row>
    <row r="606" spans="1:5" ht="12.75">
      <c r="A606" s="1090"/>
      <c r="B606" s="74" t="s">
        <v>4743</v>
      </c>
      <c r="C606" s="64" t="s">
        <v>4743</v>
      </c>
      <c r="D606" s="64">
        <v>0</v>
      </c>
      <c r="E606" s="279" t="s">
        <v>4743</v>
      </c>
    </row>
    <row r="607" spans="1:5" ht="12.75">
      <c r="A607" s="1090"/>
      <c r="B607" s="74" t="s">
        <v>4743</v>
      </c>
      <c r="C607" s="64" t="s">
        <v>4743</v>
      </c>
      <c r="D607" s="64">
        <v>0</v>
      </c>
      <c r="E607" s="279" t="s">
        <v>4743</v>
      </c>
    </row>
    <row r="608" spans="1:5" ht="12.75">
      <c r="A608" s="1090"/>
      <c r="B608" s="74" t="s">
        <v>4743</v>
      </c>
      <c r="C608" s="64" t="s">
        <v>4743</v>
      </c>
      <c r="D608" s="64">
        <v>0</v>
      </c>
      <c r="E608" s="279" t="s">
        <v>4743</v>
      </c>
    </row>
    <row r="609" spans="1:5" ht="12.75">
      <c r="A609" s="1090"/>
      <c r="B609" s="74" t="s">
        <v>4743</v>
      </c>
      <c r="C609" s="64" t="s">
        <v>4743</v>
      </c>
      <c r="D609" s="64">
        <v>0</v>
      </c>
      <c r="E609" s="279" t="s">
        <v>4743</v>
      </c>
    </row>
    <row r="610" spans="1:5" ht="12.75">
      <c r="A610" s="1090"/>
      <c r="B610" s="74" t="s">
        <v>4743</v>
      </c>
      <c r="C610" s="64" t="s">
        <v>4743</v>
      </c>
      <c r="D610" s="64">
        <v>0</v>
      </c>
      <c r="E610" s="279" t="s">
        <v>4743</v>
      </c>
    </row>
    <row r="611" spans="1:5" ht="12.75">
      <c r="A611" s="1090"/>
      <c r="B611" s="74" t="s">
        <v>4743</v>
      </c>
      <c r="C611" s="64" t="s">
        <v>4743</v>
      </c>
      <c r="D611" s="64">
        <v>0</v>
      </c>
      <c r="E611" s="279" t="s">
        <v>4743</v>
      </c>
    </row>
    <row r="612" spans="1:5" ht="12.75">
      <c r="A612" s="1090"/>
      <c r="B612" s="74" t="s">
        <v>4743</v>
      </c>
      <c r="C612" s="64" t="s">
        <v>4743</v>
      </c>
      <c r="D612" s="64">
        <v>0</v>
      </c>
      <c r="E612" s="279" t="s">
        <v>4743</v>
      </c>
    </row>
    <row r="613" spans="1:5" ht="12.75">
      <c r="A613" s="1090"/>
      <c r="B613" s="74" t="s">
        <v>4743</v>
      </c>
      <c r="C613" s="64" t="s">
        <v>4743</v>
      </c>
      <c r="D613" s="64">
        <v>0</v>
      </c>
      <c r="E613" s="279" t="s">
        <v>4743</v>
      </c>
    </row>
    <row r="614" spans="1:5" ht="12.75">
      <c r="A614" s="1090"/>
      <c r="B614" s="74" t="s">
        <v>4743</v>
      </c>
      <c r="C614" s="64" t="s">
        <v>4743</v>
      </c>
      <c r="D614" s="64">
        <v>0</v>
      </c>
      <c r="E614" s="279" t="s">
        <v>4743</v>
      </c>
    </row>
    <row r="615" spans="1:5" ht="12.75">
      <c r="A615" s="1090"/>
      <c r="B615" s="74" t="s">
        <v>4743</v>
      </c>
      <c r="C615" s="64" t="s">
        <v>4743</v>
      </c>
      <c r="D615" s="64">
        <v>0</v>
      </c>
      <c r="E615" s="279" t="s">
        <v>4743</v>
      </c>
    </row>
    <row r="616" spans="1:5" ht="12.75">
      <c r="A616" s="1090"/>
      <c r="B616" s="74" t="s">
        <v>4743</v>
      </c>
      <c r="C616" s="64" t="s">
        <v>4743</v>
      </c>
      <c r="D616" s="64">
        <v>0</v>
      </c>
      <c r="E616" s="279" t="s">
        <v>4743</v>
      </c>
    </row>
    <row r="617" spans="1:5" ht="12.75">
      <c r="A617" s="1090"/>
      <c r="B617" s="74" t="s">
        <v>4743</v>
      </c>
      <c r="C617" s="64" t="s">
        <v>4743</v>
      </c>
      <c r="D617" s="64">
        <v>0</v>
      </c>
      <c r="E617" s="279" t="s">
        <v>4743</v>
      </c>
    </row>
    <row r="618" spans="1:5" ht="12.75">
      <c r="A618" s="1090"/>
      <c r="B618" s="74" t="s">
        <v>4743</v>
      </c>
      <c r="C618" s="64" t="s">
        <v>4743</v>
      </c>
      <c r="D618" s="64">
        <v>0</v>
      </c>
      <c r="E618" s="279" t="s">
        <v>4743</v>
      </c>
    </row>
    <row r="619" spans="1:5" ht="12.75">
      <c r="A619" s="1090"/>
      <c r="B619" s="74" t="s">
        <v>4743</v>
      </c>
      <c r="C619" s="64" t="s">
        <v>4743</v>
      </c>
      <c r="D619" s="64">
        <v>0</v>
      </c>
      <c r="E619" s="279" t="s">
        <v>4743</v>
      </c>
    </row>
    <row r="620" spans="1:5" ht="12.75">
      <c r="A620" s="1090"/>
      <c r="B620" s="74" t="s">
        <v>4743</v>
      </c>
      <c r="C620" s="64" t="s">
        <v>4743</v>
      </c>
      <c r="D620" s="64">
        <v>0</v>
      </c>
      <c r="E620" s="279" t="s">
        <v>4743</v>
      </c>
    </row>
    <row r="621" spans="1:5" ht="12.75">
      <c r="A621" s="1090"/>
      <c r="B621" s="74" t="s">
        <v>4743</v>
      </c>
      <c r="C621" s="64" t="s">
        <v>4743</v>
      </c>
      <c r="D621" s="64">
        <v>0</v>
      </c>
      <c r="E621" s="279" t="s">
        <v>4743</v>
      </c>
    </row>
    <row r="622" spans="1:5" ht="12.75">
      <c r="A622" s="1090"/>
      <c r="B622" s="74" t="s">
        <v>4743</v>
      </c>
      <c r="C622" s="64" t="s">
        <v>4743</v>
      </c>
      <c r="D622" s="64">
        <v>0</v>
      </c>
      <c r="E622" s="279" t="s">
        <v>4743</v>
      </c>
    </row>
    <row r="623" spans="1:5" ht="12.75">
      <c r="A623" s="1090"/>
      <c r="B623" s="74" t="s">
        <v>4743</v>
      </c>
      <c r="C623" s="64" t="s">
        <v>4743</v>
      </c>
      <c r="D623" s="64">
        <v>0</v>
      </c>
      <c r="E623" s="279" t="s">
        <v>4743</v>
      </c>
    </row>
    <row r="624" spans="1:5" ht="12.75">
      <c r="A624" s="1090"/>
      <c r="B624" s="74" t="s">
        <v>4743</v>
      </c>
      <c r="C624" s="64" t="s">
        <v>4743</v>
      </c>
      <c r="D624" s="64">
        <v>0</v>
      </c>
      <c r="E624" s="279" t="s">
        <v>4743</v>
      </c>
    </row>
    <row r="625" spans="1:5" ht="12.75">
      <c r="A625" s="1090"/>
      <c r="B625" s="74" t="s">
        <v>4743</v>
      </c>
      <c r="C625" s="64" t="s">
        <v>4743</v>
      </c>
      <c r="D625" s="64">
        <v>0</v>
      </c>
      <c r="E625" s="279" t="s">
        <v>4743</v>
      </c>
    </row>
    <row r="626" spans="1:5" ht="12.75">
      <c r="A626" s="1090"/>
      <c r="B626" s="74" t="s">
        <v>4743</v>
      </c>
      <c r="C626" s="64" t="s">
        <v>4743</v>
      </c>
      <c r="D626" s="64">
        <v>0</v>
      </c>
      <c r="E626" s="279" t="s">
        <v>4743</v>
      </c>
    </row>
    <row r="627" spans="1:5" ht="12.75">
      <c r="A627" s="1090"/>
      <c r="B627" s="74" t="s">
        <v>4743</v>
      </c>
      <c r="C627" s="64" t="s">
        <v>4743</v>
      </c>
      <c r="D627" s="64">
        <v>0</v>
      </c>
      <c r="E627" s="279" t="s">
        <v>4743</v>
      </c>
    </row>
    <row r="628" spans="1:5" ht="12.75">
      <c r="A628" s="1090"/>
      <c r="B628" s="74" t="s">
        <v>4743</v>
      </c>
      <c r="C628" s="64" t="s">
        <v>4743</v>
      </c>
      <c r="D628" s="64">
        <v>0</v>
      </c>
      <c r="E628" s="279" t="s">
        <v>4743</v>
      </c>
    </row>
    <row r="629" spans="1:5" ht="12.75">
      <c r="A629" s="1090"/>
      <c r="B629" s="74" t="s">
        <v>4743</v>
      </c>
      <c r="C629" s="64" t="s">
        <v>4743</v>
      </c>
      <c r="D629" s="64">
        <v>0</v>
      </c>
      <c r="E629" s="279" t="s">
        <v>4743</v>
      </c>
    </row>
    <row r="630" spans="1:5" ht="12.75">
      <c r="A630" s="1090"/>
      <c r="B630" s="74" t="s">
        <v>4743</v>
      </c>
      <c r="C630" s="64" t="s">
        <v>4743</v>
      </c>
      <c r="D630" s="64">
        <v>0</v>
      </c>
      <c r="E630" s="279" t="s">
        <v>4743</v>
      </c>
    </row>
    <row r="631" spans="1:5" ht="12.75">
      <c r="A631" s="1090"/>
      <c r="B631" s="74" t="s">
        <v>4743</v>
      </c>
      <c r="C631" s="64" t="s">
        <v>4743</v>
      </c>
      <c r="D631" s="64">
        <v>0</v>
      </c>
      <c r="E631" s="279" t="s">
        <v>4743</v>
      </c>
    </row>
    <row r="632" spans="1:5" ht="12.75">
      <c r="A632" s="1090"/>
      <c r="B632" s="74" t="s">
        <v>4743</v>
      </c>
      <c r="C632" s="64" t="s">
        <v>4743</v>
      </c>
      <c r="D632" s="64">
        <v>0</v>
      </c>
      <c r="E632" s="279" t="s">
        <v>4743</v>
      </c>
    </row>
    <row r="633" spans="1:5" ht="12.75">
      <c r="A633" s="1090"/>
      <c r="B633" s="74" t="s">
        <v>4743</v>
      </c>
      <c r="C633" s="64" t="s">
        <v>4743</v>
      </c>
      <c r="D633" s="64">
        <v>0</v>
      </c>
      <c r="E633" s="279" t="s">
        <v>4743</v>
      </c>
    </row>
    <row r="634" spans="1:5" ht="12.75">
      <c r="A634" s="1090"/>
      <c r="B634" s="74" t="s">
        <v>4743</v>
      </c>
      <c r="C634" s="64" t="s">
        <v>4743</v>
      </c>
      <c r="D634" s="64">
        <v>0</v>
      </c>
      <c r="E634" s="279" t="s">
        <v>4743</v>
      </c>
    </row>
    <row r="635" spans="1:5" ht="12.75">
      <c r="A635" s="1090"/>
      <c r="B635" s="74" t="s">
        <v>4743</v>
      </c>
      <c r="C635" s="64" t="s">
        <v>4743</v>
      </c>
      <c r="D635" s="64">
        <v>0</v>
      </c>
      <c r="E635" s="279" t="s">
        <v>4743</v>
      </c>
    </row>
    <row r="636" spans="1:5" ht="12.75">
      <c r="A636" s="1090"/>
      <c r="B636" s="74" t="s">
        <v>4743</v>
      </c>
      <c r="C636" s="64" t="s">
        <v>4743</v>
      </c>
      <c r="D636" s="64">
        <v>0</v>
      </c>
      <c r="E636" s="279" t="s">
        <v>4743</v>
      </c>
    </row>
    <row r="637" spans="1:5" ht="12.75">
      <c r="A637" s="1090"/>
      <c r="B637" s="74" t="s">
        <v>4743</v>
      </c>
      <c r="C637" s="64" t="s">
        <v>4743</v>
      </c>
      <c r="D637" s="64">
        <v>0</v>
      </c>
      <c r="E637" s="279" t="s">
        <v>4743</v>
      </c>
    </row>
    <row r="638" spans="1:5" ht="12.75">
      <c r="A638" s="1090"/>
      <c r="B638" s="74" t="s">
        <v>4743</v>
      </c>
      <c r="C638" s="64" t="s">
        <v>4743</v>
      </c>
      <c r="D638" s="64">
        <v>0</v>
      </c>
      <c r="E638" s="279" t="s">
        <v>4743</v>
      </c>
    </row>
    <row r="639" spans="1:5" ht="12.75">
      <c r="A639" s="1090"/>
      <c r="B639" s="74" t="s">
        <v>4743</v>
      </c>
      <c r="C639" s="64" t="s">
        <v>4743</v>
      </c>
      <c r="D639" s="64">
        <v>0</v>
      </c>
      <c r="E639" s="279" t="s">
        <v>4743</v>
      </c>
    </row>
    <row r="640" spans="1:5" ht="12.75">
      <c r="A640" s="1090"/>
      <c r="B640" s="74" t="s">
        <v>4743</v>
      </c>
      <c r="C640" s="64" t="s">
        <v>4743</v>
      </c>
      <c r="D640" s="64">
        <v>0</v>
      </c>
      <c r="E640" s="279" t="s">
        <v>4743</v>
      </c>
    </row>
    <row r="641" spans="1:5" ht="12.75">
      <c r="A641" s="1090"/>
      <c r="B641" s="74" t="s">
        <v>4743</v>
      </c>
      <c r="C641" s="64" t="s">
        <v>4743</v>
      </c>
      <c r="D641" s="64">
        <v>0</v>
      </c>
      <c r="E641" s="279" t="s">
        <v>4743</v>
      </c>
    </row>
    <row r="642" spans="1:5" ht="12.75">
      <c r="A642" s="1090"/>
      <c r="B642" s="74" t="s">
        <v>4743</v>
      </c>
      <c r="C642" s="64" t="s">
        <v>4743</v>
      </c>
      <c r="D642" s="64">
        <v>0</v>
      </c>
      <c r="E642" s="279" t="s">
        <v>4743</v>
      </c>
    </row>
    <row r="643" spans="1:5" ht="12.75">
      <c r="A643" s="1090"/>
      <c r="B643" s="74" t="s">
        <v>4743</v>
      </c>
      <c r="C643" s="64" t="s">
        <v>4743</v>
      </c>
      <c r="D643" s="64">
        <v>0</v>
      </c>
      <c r="E643" s="279" t="s">
        <v>4743</v>
      </c>
    </row>
    <row r="644" spans="1:5" ht="12.75">
      <c r="A644" s="1090"/>
      <c r="B644" s="74" t="s">
        <v>4743</v>
      </c>
      <c r="C644" s="64" t="s">
        <v>4743</v>
      </c>
      <c r="D644" s="64">
        <v>0</v>
      </c>
      <c r="E644" s="279" t="s">
        <v>4743</v>
      </c>
    </row>
    <row r="645" spans="1:5" ht="12.75">
      <c r="A645" s="1090"/>
      <c r="B645" s="74" t="s">
        <v>4743</v>
      </c>
      <c r="C645" s="64" t="s">
        <v>4743</v>
      </c>
      <c r="D645" s="64">
        <v>0</v>
      </c>
      <c r="E645" s="279" t="s">
        <v>4743</v>
      </c>
    </row>
    <row r="646" spans="1:5" ht="12.75">
      <c r="A646" s="1090"/>
      <c r="B646" s="74" t="s">
        <v>4743</v>
      </c>
      <c r="C646" s="64" t="s">
        <v>4743</v>
      </c>
      <c r="D646" s="64">
        <v>0</v>
      </c>
      <c r="E646" s="279" t="s">
        <v>4743</v>
      </c>
    </row>
    <row r="647" spans="1:5" ht="12.75">
      <c r="A647" s="1090"/>
      <c r="B647" s="74" t="s">
        <v>4743</v>
      </c>
      <c r="C647" s="64" t="s">
        <v>4743</v>
      </c>
      <c r="D647" s="64">
        <v>0</v>
      </c>
      <c r="E647" s="279" t="s">
        <v>4743</v>
      </c>
    </row>
    <row r="648" spans="1:5" ht="12.75">
      <c r="A648" s="1090"/>
      <c r="B648" s="74" t="s">
        <v>4743</v>
      </c>
      <c r="C648" s="64" t="s">
        <v>4743</v>
      </c>
      <c r="D648" s="64">
        <v>0</v>
      </c>
      <c r="E648" s="279" t="s">
        <v>4743</v>
      </c>
    </row>
    <row r="649" spans="1:5" ht="12.75">
      <c r="A649" s="1090"/>
      <c r="B649" s="74" t="s">
        <v>4743</v>
      </c>
      <c r="C649" s="64" t="s">
        <v>4743</v>
      </c>
      <c r="D649" s="64">
        <v>0</v>
      </c>
      <c r="E649" s="279" t="s">
        <v>4743</v>
      </c>
    </row>
    <row r="650" spans="1:5" ht="12.75">
      <c r="A650" s="1090"/>
      <c r="B650" s="74" t="s">
        <v>4743</v>
      </c>
      <c r="C650" s="64" t="s">
        <v>4743</v>
      </c>
      <c r="D650" s="64">
        <v>0</v>
      </c>
      <c r="E650" s="279" t="s">
        <v>4743</v>
      </c>
    </row>
    <row r="651" spans="1:5" ht="12.75">
      <c r="A651" s="1090"/>
      <c r="B651" s="74" t="s">
        <v>4743</v>
      </c>
      <c r="C651" s="64" t="s">
        <v>4743</v>
      </c>
      <c r="D651" s="64">
        <v>0</v>
      </c>
      <c r="E651" s="279" t="s">
        <v>4743</v>
      </c>
    </row>
    <row r="652" spans="1:5" ht="12.75">
      <c r="A652" s="1090"/>
      <c r="B652" s="74" t="s">
        <v>4743</v>
      </c>
      <c r="C652" s="64" t="s">
        <v>4743</v>
      </c>
      <c r="D652" s="64">
        <v>0</v>
      </c>
      <c r="E652" s="279" t="s">
        <v>4743</v>
      </c>
    </row>
    <row r="653" spans="1:5" ht="12.75">
      <c r="A653" s="1090"/>
      <c r="B653" s="74" t="s">
        <v>4743</v>
      </c>
      <c r="C653" s="64" t="s">
        <v>4743</v>
      </c>
      <c r="D653" s="64">
        <v>0</v>
      </c>
      <c r="E653" s="279" t="s">
        <v>4743</v>
      </c>
    </row>
    <row r="654" spans="1:5" ht="12.75">
      <c r="A654" s="1090"/>
      <c r="B654" s="74" t="s">
        <v>4743</v>
      </c>
      <c r="C654" s="64" t="s">
        <v>4743</v>
      </c>
      <c r="D654" s="64">
        <v>0</v>
      </c>
      <c r="E654" s="279" t="s">
        <v>4743</v>
      </c>
    </row>
    <row r="655" spans="1:5" ht="12.75">
      <c r="A655" s="1090"/>
      <c r="B655" s="74" t="s">
        <v>4743</v>
      </c>
      <c r="C655" s="64" t="s">
        <v>4743</v>
      </c>
      <c r="D655" s="64">
        <v>0</v>
      </c>
      <c r="E655" s="279" t="s">
        <v>4743</v>
      </c>
    </row>
    <row r="656" spans="1:5" ht="12.75">
      <c r="A656" s="1090"/>
      <c r="B656" s="74" t="s">
        <v>4743</v>
      </c>
      <c r="C656" s="64" t="s">
        <v>4743</v>
      </c>
      <c r="D656" s="64">
        <v>0</v>
      </c>
      <c r="E656" s="279" t="s">
        <v>4743</v>
      </c>
    </row>
    <row r="657" spans="1:5" ht="12.75">
      <c r="A657" s="1090"/>
      <c r="B657" s="74" t="s">
        <v>4743</v>
      </c>
      <c r="C657" s="64" t="s">
        <v>4743</v>
      </c>
      <c r="D657" s="64">
        <v>0</v>
      </c>
      <c r="E657" s="279" t="s">
        <v>4743</v>
      </c>
    </row>
    <row r="658" spans="1:5" ht="12.75">
      <c r="A658" s="1090"/>
      <c r="B658" s="74" t="s">
        <v>4743</v>
      </c>
      <c r="C658" s="64" t="s">
        <v>4743</v>
      </c>
      <c r="D658" s="64">
        <v>0</v>
      </c>
      <c r="E658" s="279" t="s">
        <v>4743</v>
      </c>
    </row>
    <row r="659" spans="1:5" ht="12.75">
      <c r="A659" s="1090"/>
      <c r="B659" s="74" t="s">
        <v>4743</v>
      </c>
      <c r="C659" s="64" t="s">
        <v>4743</v>
      </c>
      <c r="D659" s="64">
        <v>0</v>
      </c>
      <c r="E659" s="279" t="s">
        <v>4743</v>
      </c>
    </row>
    <row r="660" spans="1:5" ht="12.75">
      <c r="A660" s="1090"/>
      <c r="B660" s="74" t="s">
        <v>4743</v>
      </c>
      <c r="C660" s="64" t="s">
        <v>4743</v>
      </c>
      <c r="D660" s="64">
        <v>0</v>
      </c>
      <c r="E660" s="279" t="s">
        <v>4743</v>
      </c>
    </row>
    <row r="661" spans="1:5" ht="12.75">
      <c r="A661" s="1090"/>
      <c r="B661" s="74" t="s">
        <v>4743</v>
      </c>
      <c r="C661" s="64" t="s">
        <v>4743</v>
      </c>
      <c r="D661" s="64">
        <v>0</v>
      </c>
      <c r="E661" s="279" t="s">
        <v>4743</v>
      </c>
    </row>
    <row r="662" spans="1:5" ht="12.75">
      <c r="A662" s="1090"/>
      <c r="B662" s="74" t="s">
        <v>4743</v>
      </c>
      <c r="C662" s="64" t="s">
        <v>4743</v>
      </c>
      <c r="D662" s="64">
        <v>0</v>
      </c>
      <c r="E662" s="279" t="s">
        <v>4743</v>
      </c>
    </row>
    <row r="663" spans="1:5" ht="12.75">
      <c r="A663" s="1090"/>
      <c r="B663" s="74" t="s">
        <v>4743</v>
      </c>
      <c r="C663" s="64" t="s">
        <v>4743</v>
      </c>
      <c r="D663" s="64">
        <v>0</v>
      </c>
      <c r="E663" s="279" t="s">
        <v>4743</v>
      </c>
    </row>
    <row r="664" spans="1:5" ht="12.75">
      <c r="A664" s="1090"/>
      <c r="B664" s="74" t="s">
        <v>4743</v>
      </c>
      <c r="C664" s="64" t="s">
        <v>4743</v>
      </c>
      <c r="D664" s="64">
        <v>0</v>
      </c>
      <c r="E664" s="279" t="s">
        <v>4743</v>
      </c>
    </row>
    <row r="665" spans="1:5" ht="12.75">
      <c r="A665" s="1090"/>
      <c r="B665" s="74" t="s">
        <v>4743</v>
      </c>
      <c r="C665" s="64" t="s">
        <v>4743</v>
      </c>
      <c r="D665" s="64">
        <v>0</v>
      </c>
      <c r="E665" s="279" t="s">
        <v>4743</v>
      </c>
    </row>
    <row r="666" spans="1:5" ht="12.75">
      <c r="A666" s="1090"/>
      <c r="B666" s="74" t="s">
        <v>4743</v>
      </c>
      <c r="C666" s="64" t="s">
        <v>4743</v>
      </c>
      <c r="D666" s="64">
        <v>0</v>
      </c>
      <c r="E666" s="279" t="s">
        <v>4743</v>
      </c>
    </row>
    <row r="667" spans="1:5" ht="12.75">
      <c r="A667" s="1090"/>
      <c r="B667" s="74" t="s">
        <v>4743</v>
      </c>
      <c r="C667" s="64" t="s">
        <v>4743</v>
      </c>
      <c r="D667" s="64">
        <v>0</v>
      </c>
      <c r="E667" s="279" t="s">
        <v>4743</v>
      </c>
    </row>
    <row r="668" spans="1:5" ht="12.75">
      <c r="A668" s="1090"/>
      <c r="B668" s="74" t="s">
        <v>4743</v>
      </c>
      <c r="C668" s="64" t="s">
        <v>4743</v>
      </c>
      <c r="D668" s="64">
        <v>0</v>
      </c>
      <c r="E668" s="279" t="s">
        <v>4743</v>
      </c>
    </row>
    <row r="669" spans="1:5" ht="12.75">
      <c r="A669" s="1090"/>
      <c r="B669" s="74" t="s">
        <v>4743</v>
      </c>
      <c r="C669" s="64" t="s">
        <v>4743</v>
      </c>
      <c r="D669" s="64">
        <v>0</v>
      </c>
      <c r="E669" s="279" t="s">
        <v>4743</v>
      </c>
    </row>
    <row r="670" spans="1:5" ht="12.75">
      <c r="A670" s="1090"/>
      <c r="B670" s="74" t="s">
        <v>4743</v>
      </c>
      <c r="C670" s="64" t="s">
        <v>4743</v>
      </c>
      <c r="D670" s="64">
        <v>0</v>
      </c>
      <c r="E670" s="279" t="s">
        <v>4743</v>
      </c>
    </row>
    <row r="671" spans="1:5" ht="12.75">
      <c r="A671" s="1090"/>
      <c r="B671" s="74" t="s">
        <v>4743</v>
      </c>
      <c r="C671" s="64" t="s">
        <v>4743</v>
      </c>
      <c r="D671" s="64">
        <v>0</v>
      </c>
      <c r="E671" s="279" t="s">
        <v>4743</v>
      </c>
    </row>
    <row r="672" spans="1:5" ht="12.75">
      <c r="A672" s="1090"/>
      <c r="B672" s="74" t="s">
        <v>4743</v>
      </c>
      <c r="C672" s="64" t="s">
        <v>4743</v>
      </c>
      <c r="D672" s="64">
        <v>0</v>
      </c>
      <c r="E672" s="279" t="s">
        <v>4743</v>
      </c>
    </row>
    <row r="673" spans="1:5" ht="12.75">
      <c r="A673" s="1090"/>
      <c r="B673" s="74" t="s">
        <v>4743</v>
      </c>
      <c r="C673" s="64" t="s">
        <v>4743</v>
      </c>
      <c r="D673" s="64">
        <v>0</v>
      </c>
      <c r="E673" s="279" t="s">
        <v>4743</v>
      </c>
    </row>
    <row r="674" spans="1:5" ht="12.75">
      <c r="A674" s="1090"/>
      <c r="B674" s="74" t="s">
        <v>4743</v>
      </c>
      <c r="C674" s="64" t="s">
        <v>4743</v>
      </c>
      <c r="D674" s="64">
        <v>0</v>
      </c>
      <c r="E674" s="279" t="s">
        <v>4743</v>
      </c>
    </row>
    <row r="675" spans="1:5" ht="12.75">
      <c r="A675" s="1090"/>
      <c r="B675" s="74" t="s">
        <v>4743</v>
      </c>
      <c r="C675" s="64" t="s">
        <v>4743</v>
      </c>
      <c r="D675" s="64">
        <v>0</v>
      </c>
      <c r="E675" s="279" t="s">
        <v>4743</v>
      </c>
    </row>
    <row r="676" spans="1:5" ht="12.75">
      <c r="A676" s="1090"/>
      <c r="B676" s="74" t="s">
        <v>4743</v>
      </c>
      <c r="C676" s="64" t="s">
        <v>4743</v>
      </c>
      <c r="D676" s="64">
        <v>0</v>
      </c>
      <c r="E676" s="279" t="s">
        <v>4743</v>
      </c>
    </row>
    <row r="677" spans="1:5" ht="12.75">
      <c r="A677" s="1090"/>
      <c r="B677" s="74" t="s">
        <v>4743</v>
      </c>
      <c r="C677" s="64" t="s">
        <v>4743</v>
      </c>
      <c r="D677" s="64">
        <v>0</v>
      </c>
      <c r="E677" s="279" t="s">
        <v>4743</v>
      </c>
    </row>
    <row r="678" spans="1:5" ht="12.75">
      <c r="A678" s="1090"/>
      <c r="B678" s="74" t="s">
        <v>4743</v>
      </c>
      <c r="C678" s="64" t="s">
        <v>4743</v>
      </c>
      <c r="D678" s="64">
        <v>0</v>
      </c>
      <c r="E678" s="279" t="s">
        <v>4743</v>
      </c>
    </row>
    <row r="679" spans="1:5" ht="12.75">
      <c r="A679" s="1090"/>
      <c r="B679" s="74" t="s">
        <v>4743</v>
      </c>
      <c r="C679" s="64" t="s">
        <v>4743</v>
      </c>
      <c r="D679" s="64">
        <v>0</v>
      </c>
      <c r="E679" s="279" t="s">
        <v>4743</v>
      </c>
    </row>
    <row r="680" spans="1:5" ht="12.75">
      <c r="A680" s="1090"/>
      <c r="B680" s="74" t="s">
        <v>4743</v>
      </c>
      <c r="C680" s="64" t="s">
        <v>4743</v>
      </c>
      <c r="D680" s="64">
        <v>0</v>
      </c>
      <c r="E680" s="279" t="s">
        <v>4743</v>
      </c>
    </row>
    <row r="681" spans="1:5" ht="12.75">
      <c r="A681" s="1090"/>
      <c r="B681" s="74" t="s">
        <v>4743</v>
      </c>
      <c r="C681" s="64" t="s">
        <v>4743</v>
      </c>
      <c r="D681" s="64">
        <v>0</v>
      </c>
      <c r="E681" s="279" t="s">
        <v>4743</v>
      </c>
    </row>
    <row r="682" spans="1:5" ht="12.75">
      <c r="A682" s="1090"/>
      <c r="B682" s="74" t="s">
        <v>4743</v>
      </c>
      <c r="C682" s="64" t="s">
        <v>4743</v>
      </c>
      <c r="D682" s="64">
        <v>0</v>
      </c>
      <c r="E682" s="279" t="s">
        <v>4743</v>
      </c>
    </row>
    <row r="683" spans="1:5" ht="12.75">
      <c r="A683" s="1090"/>
      <c r="B683" s="74" t="s">
        <v>4743</v>
      </c>
      <c r="C683" s="64" t="s">
        <v>4743</v>
      </c>
      <c r="D683" s="64">
        <v>0</v>
      </c>
      <c r="E683" s="279" t="s">
        <v>4743</v>
      </c>
    </row>
    <row r="684" spans="1:5" ht="12.75">
      <c r="A684" s="1090"/>
      <c r="B684" s="74" t="s">
        <v>4743</v>
      </c>
      <c r="C684" s="64" t="s">
        <v>4743</v>
      </c>
      <c r="D684" s="64">
        <v>0</v>
      </c>
      <c r="E684" s="279" t="s">
        <v>4743</v>
      </c>
    </row>
    <row r="685" spans="1:5" ht="12.75">
      <c r="A685" s="1090"/>
      <c r="B685" s="74" t="s">
        <v>4743</v>
      </c>
      <c r="C685" s="64" t="s">
        <v>4743</v>
      </c>
      <c r="D685" s="64">
        <v>0</v>
      </c>
      <c r="E685" s="279" t="s">
        <v>4743</v>
      </c>
    </row>
    <row r="686" spans="1:5" ht="12.75">
      <c r="A686" s="1090"/>
      <c r="B686" s="74" t="s">
        <v>4743</v>
      </c>
      <c r="C686" s="64" t="s">
        <v>4743</v>
      </c>
      <c r="D686" s="64">
        <v>0</v>
      </c>
      <c r="E686" s="279" t="s">
        <v>4743</v>
      </c>
    </row>
    <row r="687" spans="1:5" ht="12.75">
      <c r="A687" s="1090"/>
      <c r="B687" s="74" t="s">
        <v>4743</v>
      </c>
      <c r="C687" s="64" t="s">
        <v>4743</v>
      </c>
      <c r="D687" s="64">
        <v>0</v>
      </c>
      <c r="E687" s="279" t="s">
        <v>4743</v>
      </c>
    </row>
    <row r="688" spans="1:5" ht="12.75">
      <c r="A688" s="1090"/>
      <c r="B688" s="74" t="s">
        <v>4743</v>
      </c>
      <c r="C688" s="64" t="s">
        <v>4743</v>
      </c>
      <c r="D688" s="64">
        <v>0</v>
      </c>
      <c r="E688" s="279" t="s">
        <v>4743</v>
      </c>
    </row>
    <row r="689" spans="1:5" ht="12.75">
      <c r="A689" s="1090"/>
      <c r="B689" s="74" t="s">
        <v>4743</v>
      </c>
      <c r="C689" s="64" t="s">
        <v>4743</v>
      </c>
      <c r="D689" s="64">
        <v>0</v>
      </c>
      <c r="E689" s="279" t="s">
        <v>4743</v>
      </c>
    </row>
    <row r="690" spans="1:5" ht="12.75">
      <c r="A690" s="1090"/>
      <c r="B690" s="74" t="s">
        <v>4743</v>
      </c>
      <c r="C690" s="64" t="s">
        <v>4743</v>
      </c>
      <c r="D690" s="64">
        <v>0</v>
      </c>
      <c r="E690" s="279" t="s">
        <v>4743</v>
      </c>
    </row>
    <row r="691" spans="1:5" ht="12.75">
      <c r="A691" s="1090"/>
      <c r="B691" s="74" t="s">
        <v>4743</v>
      </c>
      <c r="C691" s="64" t="s">
        <v>4743</v>
      </c>
      <c r="D691" s="64">
        <v>0</v>
      </c>
      <c r="E691" s="279" t="s">
        <v>4743</v>
      </c>
    </row>
    <row r="692" spans="1:5" ht="12.75">
      <c r="A692" s="1090"/>
      <c r="B692" s="74" t="s">
        <v>4743</v>
      </c>
      <c r="C692" s="64" t="s">
        <v>4743</v>
      </c>
      <c r="D692" s="64">
        <v>0</v>
      </c>
      <c r="E692" s="279" t="s">
        <v>4743</v>
      </c>
    </row>
    <row r="693" spans="1:5" ht="12.75">
      <c r="A693" s="1090"/>
      <c r="B693" s="74" t="s">
        <v>4743</v>
      </c>
      <c r="C693" s="64" t="s">
        <v>4743</v>
      </c>
      <c r="D693" s="64">
        <v>0</v>
      </c>
      <c r="E693" s="279" t="s">
        <v>4743</v>
      </c>
    </row>
    <row r="694" spans="1:5" ht="12.75">
      <c r="A694" s="1090"/>
      <c r="B694" s="74" t="s">
        <v>4743</v>
      </c>
      <c r="C694" s="64" t="s">
        <v>4743</v>
      </c>
      <c r="D694" s="64">
        <v>0</v>
      </c>
      <c r="E694" s="279" t="s">
        <v>4743</v>
      </c>
    </row>
    <row r="695" spans="1:5" ht="12.75">
      <c r="A695" s="1090"/>
      <c r="B695" s="74" t="s">
        <v>4743</v>
      </c>
      <c r="C695" s="64" t="s">
        <v>4743</v>
      </c>
      <c r="D695" s="64">
        <v>0</v>
      </c>
      <c r="E695" s="279" t="s">
        <v>4743</v>
      </c>
    </row>
    <row r="696" spans="1:5" ht="12.75">
      <c r="A696" s="1090"/>
      <c r="B696" s="74" t="s">
        <v>4743</v>
      </c>
      <c r="C696" s="64" t="s">
        <v>4743</v>
      </c>
      <c r="D696" s="64">
        <v>0</v>
      </c>
      <c r="E696" s="279" t="s">
        <v>4743</v>
      </c>
    </row>
    <row r="697" spans="1:5" ht="12.75">
      <c r="A697" s="1090"/>
      <c r="B697" s="74" t="s">
        <v>4743</v>
      </c>
      <c r="C697" s="64" t="s">
        <v>4743</v>
      </c>
      <c r="D697" s="64">
        <v>0</v>
      </c>
      <c r="E697" s="279" t="s">
        <v>4743</v>
      </c>
    </row>
    <row r="698" spans="1:5" ht="12.75">
      <c r="A698" s="1090"/>
      <c r="B698" s="74" t="s">
        <v>4743</v>
      </c>
      <c r="C698" s="64" t="s">
        <v>4743</v>
      </c>
      <c r="D698" s="64">
        <v>0</v>
      </c>
      <c r="E698" s="279" t="s">
        <v>4743</v>
      </c>
    </row>
    <row r="699" spans="1:5" ht="12.75">
      <c r="A699" s="1090"/>
      <c r="B699" s="74" t="s">
        <v>4743</v>
      </c>
      <c r="C699" s="64" t="s">
        <v>4743</v>
      </c>
      <c r="D699" s="64">
        <v>0</v>
      </c>
      <c r="E699" s="279" t="s">
        <v>4743</v>
      </c>
    </row>
    <row r="700" spans="1:5" ht="12.75">
      <c r="A700" s="1090"/>
      <c r="B700" s="74" t="s">
        <v>4743</v>
      </c>
      <c r="C700" s="64" t="s">
        <v>4743</v>
      </c>
      <c r="D700" s="64">
        <v>0</v>
      </c>
      <c r="E700" s="279" t="s">
        <v>4743</v>
      </c>
    </row>
    <row r="701" spans="1:5" ht="12.75">
      <c r="A701" s="1090"/>
      <c r="B701" s="74" t="s">
        <v>4743</v>
      </c>
      <c r="C701" s="64" t="s">
        <v>4743</v>
      </c>
      <c r="D701" s="64">
        <v>0</v>
      </c>
      <c r="E701" s="279" t="s">
        <v>4743</v>
      </c>
    </row>
    <row r="702" spans="1:5" ht="12.75">
      <c r="A702" s="1090"/>
      <c r="B702" s="74" t="s">
        <v>4743</v>
      </c>
      <c r="C702" s="64" t="s">
        <v>4743</v>
      </c>
      <c r="D702" s="64">
        <v>0</v>
      </c>
      <c r="E702" s="279" t="s">
        <v>4743</v>
      </c>
    </row>
    <row r="703" spans="1:5" ht="12.75">
      <c r="A703" s="1090"/>
      <c r="B703" s="74" t="s">
        <v>4743</v>
      </c>
      <c r="C703" s="64" t="s">
        <v>4743</v>
      </c>
      <c r="D703" s="64">
        <v>0</v>
      </c>
      <c r="E703" s="279" t="s">
        <v>4743</v>
      </c>
    </row>
    <row r="704" spans="1:5" ht="12.75">
      <c r="A704" s="1090"/>
      <c r="B704" s="74" t="s">
        <v>4743</v>
      </c>
      <c r="C704" s="64" t="s">
        <v>4743</v>
      </c>
      <c r="D704" s="64">
        <v>0</v>
      </c>
      <c r="E704" s="279" t="s">
        <v>4743</v>
      </c>
    </row>
    <row r="705" spans="1:5" ht="12.75">
      <c r="A705" s="1090"/>
      <c r="B705" s="74" t="s">
        <v>4743</v>
      </c>
      <c r="C705" s="64" t="s">
        <v>4743</v>
      </c>
      <c r="D705" s="64">
        <v>0</v>
      </c>
      <c r="E705" s="279" t="s">
        <v>4743</v>
      </c>
    </row>
    <row r="706" spans="1:5" ht="12.75">
      <c r="A706" s="1090"/>
      <c r="B706" s="74" t="s">
        <v>4743</v>
      </c>
      <c r="C706" s="64" t="s">
        <v>4743</v>
      </c>
      <c r="D706" s="64">
        <v>0</v>
      </c>
      <c r="E706" s="279" t="s">
        <v>4743</v>
      </c>
    </row>
    <row r="707" spans="1:5" ht="12.75">
      <c r="A707" s="1090"/>
      <c r="B707" s="74" t="s">
        <v>4743</v>
      </c>
      <c r="C707" s="64" t="s">
        <v>4743</v>
      </c>
      <c r="D707" s="64">
        <v>0</v>
      </c>
      <c r="E707" s="279" t="s">
        <v>4743</v>
      </c>
    </row>
    <row r="708" spans="1:5" ht="12.75">
      <c r="A708" s="1090"/>
      <c r="B708" s="74" t="s">
        <v>4743</v>
      </c>
      <c r="C708" s="64" t="s">
        <v>4743</v>
      </c>
      <c r="D708" s="64">
        <v>0</v>
      </c>
      <c r="E708" s="279" t="s">
        <v>4743</v>
      </c>
    </row>
    <row r="709" spans="1:5" ht="12.75">
      <c r="A709" s="1090"/>
      <c r="B709" s="74" t="s">
        <v>4743</v>
      </c>
      <c r="C709" s="64" t="s">
        <v>4743</v>
      </c>
      <c r="D709" s="64">
        <v>0</v>
      </c>
      <c r="E709" s="279" t="s">
        <v>4743</v>
      </c>
    </row>
    <row r="710" spans="1:5" ht="12.75">
      <c r="A710" s="1090"/>
      <c r="B710" s="74" t="s">
        <v>4743</v>
      </c>
      <c r="C710" s="64" t="s">
        <v>4743</v>
      </c>
      <c r="D710" s="64">
        <v>0</v>
      </c>
      <c r="E710" s="279" t="s">
        <v>4743</v>
      </c>
    </row>
    <row r="711" spans="1:5" ht="12.75">
      <c r="A711" s="1090"/>
      <c r="B711" s="74" t="s">
        <v>4743</v>
      </c>
      <c r="C711" s="64" t="s">
        <v>4743</v>
      </c>
      <c r="D711" s="64">
        <v>0</v>
      </c>
      <c r="E711" s="279" t="s">
        <v>4743</v>
      </c>
    </row>
    <row r="712" spans="1:5" ht="12.75">
      <c r="A712" s="1090"/>
      <c r="B712" s="74" t="s">
        <v>4743</v>
      </c>
      <c r="C712" s="64" t="s">
        <v>4743</v>
      </c>
      <c r="D712" s="64">
        <v>0</v>
      </c>
      <c r="E712" s="279" t="s">
        <v>4743</v>
      </c>
    </row>
    <row r="713" spans="1:5" ht="12.75">
      <c r="A713" s="1090"/>
      <c r="B713" s="74" t="s">
        <v>4743</v>
      </c>
      <c r="C713" s="64" t="s">
        <v>4743</v>
      </c>
      <c r="D713" s="64">
        <v>0</v>
      </c>
      <c r="E713" s="279" t="s">
        <v>4743</v>
      </c>
    </row>
    <row r="714" spans="1:5" ht="12.75">
      <c r="A714" s="1090"/>
      <c r="B714" s="74" t="s">
        <v>4743</v>
      </c>
      <c r="C714" s="64" t="s">
        <v>4743</v>
      </c>
      <c r="D714" s="64">
        <v>0</v>
      </c>
      <c r="E714" s="279" t="s">
        <v>4743</v>
      </c>
    </row>
    <row r="715" spans="1:5" ht="12.75">
      <c r="A715" s="1090"/>
      <c r="B715" s="74" t="s">
        <v>4743</v>
      </c>
      <c r="C715" s="64" t="s">
        <v>4743</v>
      </c>
      <c r="D715" s="64">
        <v>0</v>
      </c>
      <c r="E715" s="279" t="s">
        <v>4743</v>
      </c>
    </row>
    <row r="716" spans="1:5" ht="12.75">
      <c r="A716" s="1090"/>
      <c r="B716" s="74" t="s">
        <v>4743</v>
      </c>
      <c r="C716" s="64" t="s">
        <v>4743</v>
      </c>
      <c r="D716" s="64">
        <v>0</v>
      </c>
      <c r="E716" s="279" t="s">
        <v>4743</v>
      </c>
    </row>
    <row r="717" spans="1:5" ht="12.75">
      <c r="A717" s="1090"/>
      <c r="B717" s="74" t="s">
        <v>4743</v>
      </c>
      <c r="C717" s="64" t="s">
        <v>4743</v>
      </c>
      <c r="D717" s="64">
        <v>0</v>
      </c>
      <c r="E717" s="279" t="s">
        <v>4743</v>
      </c>
    </row>
    <row r="718" spans="1:5" ht="12.75">
      <c r="A718" s="1090"/>
      <c r="B718" s="74" t="s">
        <v>4743</v>
      </c>
      <c r="C718" s="64" t="s">
        <v>4743</v>
      </c>
      <c r="D718" s="64">
        <v>0</v>
      </c>
      <c r="E718" s="279" t="s">
        <v>4743</v>
      </c>
    </row>
    <row r="719" spans="1:5" ht="12.75">
      <c r="A719" s="1090"/>
      <c r="B719" s="74" t="s">
        <v>4743</v>
      </c>
      <c r="C719" s="64" t="s">
        <v>4743</v>
      </c>
      <c r="D719" s="64">
        <v>0</v>
      </c>
      <c r="E719" s="279" t="s">
        <v>4743</v>
      </c>
    </row>
    <row r="720" spans="1:5" ht="12.75">
      <c r="A720" s="1090"/>
      <c r="B720" s="74" t="s">
        <v>4743</v>
      </c>
      <c r="C720" s="64" t="s">
        <v>4743</v>
      </c>
      <c r="D720" s="64">
        <v>0</v>
      </c>
      <c r="E720" s="279" t="s">
        <v>4743</v>
      </c>
    </row>
    <row r="721" spans="1:5" ht="12.75">
      <c r="A721" s="1090"/>
      <c r="B721" s="74" t="s">
        <v>4743</v>
      </c>
      <c r="C721" s="64" t="s">
        <v>4743</v>
      </c>
      <c r="D721" s="64">
        <v>0</v>
      </c>
      <c r="E721" s="279" t="s">
        <v>4743</v>
      </c>
    </row>
    <row r="722" spans="1:5" ht="12.75">
      <c r="A722" s="1090"/>
      <c r="B722" s="74" t="s">
        <v>4743</v>
      </c>
      <c r="C722" s="64" t="s">
        <v>4743</v>
      </c>
      <c r="D722" s="64">
        <v>0</v>
      </c>
      <c r="E722" s="279" t="s">
        <v>4743</v>
      </c>
    </row>
    <row r="723" spans="1:5" ht="12.75">
      <c r="A723" s="1090"/>
      <c r="B723" s="74" t="s">
        <v>4743</v>
      </c>
      <c r="C723" s="64" t="s">
        <v>4743</v>
      </c>
      <c r="D723" s="64">
        <v>0</v>
      </c>
      <c r="E723" s="279" t="s">
        <v>4743</v>
      </c>
    </row>
    <row r="724" spans="1:5" ht="12.75">
      <c r="A724" s="1090"/>
      <c r="B724" s="74" t="s">
        <v>4743</v>
      </c>
      <c r="C724" s="64" t="s">
        <v>4743</v>
      </c>
      <c r="D724" s="64">
        <v>0</v>
      </c>
      <c r="E724" s="279" t="s">
        <v>4743</v>
      </c>
    </row>
    <row r="725" spans="1:5" ht="12.75">
      <c r="A725" s="1090"/>
      <c r="B725" s="74" t="s">
        <v>4743</v>
      </c>
      <c r="C725" s="64" t="s">
        <v>4743</v>
      </c>
      <c r="D725" s="64">
        <v>0</v>
      </c>
      <c r="E725" s="279" t="s">
        <v>4743</v>
      </c>
    </row>
    <row r="726" spans="1:5" ht="12.75">
      <c r="A726" s="1090"/>
      <c r="B726" s="74" t="s">
        <v>4743</v>
      </c>
      <c r="C726" s="64" t="s">
        <v>4743</v>
      </c>
      <c r="D726" s="64">
        <v>0</v>
      </c>
      <c r="E726" s="279" t="s">
        <v>4743</v>
      </c>
    </row>
    <row r="727" spans="1:5" ht="12.75">
      <c r="A727" s="1090"/>
      <c r="B727" s="74" t="s">
        <v>4743</v>
      </c>
      <c r="C727" s="64" t="s">
        <v>4743</v>
      </c>
      <c r="D727" s="64">
        <v>0</v>
      </c>
      <c r="E727" s="279" t="s">
        <v>4743</v>
      </c>
    </row>
    <row r="728" spans="1:5" ht="12.75">
      <c r="A728" s="1090"/>
      <c r="B728" s="74" t="s">
        <v>4743</v>
      </c>
      <c r="C728" s="64" t="s">
        <v>4743</v>
      </c>
      <c r="D728" s="64">
        <v>0</v>
      </c>
      <c r="E728" s="279" t="s">
        <v>4743</v>
      </c>
    </row>
    <row r="729" spans="1:5" ht="12.75">
      <c r="A729" s="1090"/>
      <c r="B729" s="74" t="s">
        <v>4743</v>
      </c>
      <c r="C729" s="64" t="s">
        <v>4743</v>
      </c>
      <c r="D729" s="64">
        <v>0</v>
      </c>
      <c r="E729" s="279" t="s">
        <v>4743</v>
      </c>
    </row>
    <row r="730" spans="1:5" ht="12.75">
      <c r="A730" s="1090"/>
      <c r="B730" s="74" t="s">
        <v>4743</v>
      </c>
      <c r="C730" s="64" t="s">
        <v>4743</v>
      </c>
      <c r="D730" s="64">
        <v>0</v>
      </c>
      <c r="E730" s="279" t="s">
        <v>4743</v>
      </c>
    </row>
    <row r="731" spans="1:5" ht="12.75">
      <c r="A731" s="1090"/>
      <c r="B731" s="74" t="s">
        <v>4743</v>
      </c>
      <c r="C731" s="64" t="s">
        <v>4743</v>
      </c>
      <c r="D731" s="64">
        <v>0</v>
      </c>
      <c r="E731" s="279" t="s">
        <v>4743</v>
      </c>
    </row>
    <row r="732" spans="1:5" ht="12.75">
      <c r="A732" s="1090"/>
      <c r="B732" s="74" t="s">
        <v>4743</v>
      </c>
      <c r="C732" s="64" t="s">
        <v>4743</v>
      </c>
      <c r="D732" s="64">
        <v>0</v>
      </c>
      <c r="E732" s="279" t="s">
        <v>4743</v>
      </c>
    </row>
    <row r="733" spans="1:5" ht="12.75">
      <c r="A733" s="1090"/>
      <c r="B733" s="74" t="s">
        <v>4743</v>
      </c>
      <c r="C733" s="64" t="s">
        <v>4743</v>
      </c>
      <c r="D733" s="64">
        <v>0</v>
      </c>
      <c r="E733" s="279" t="s">
        <v>4743</v>
      </c>
    </row>
    <row r="734" spans="1:5" ht="12.75">
      <c r="A734" s="1090"/>
      <c r="B734" s="74" t="s">
        <v>4743</v>
      </c>
      <c r="C734" s="64" t="s">
        <v>4743</v>
      </c>
      <c r="D734" s="64">
        <v>0</v>
      </c>
      <c r="E734" s="279" t="s">
        <v>4743</v>
      </c>
    </row>
    <row r="735" spans="1:5" ht="12.75">
      <c r="A735" s="1090"/>
      <c r="B735" s="74" t="s">
        <v>4743</v>
      </c>
      <c r="C735" s="64" t="s">
        <v>4743</v>
      </c>
      <c r="D735" s="64">
        <v>0</v>
      </c>
      <c r="E735" s="279" t="s">
        <v>4743</v>
      </c>
    </row>
    <row r="736" spans="1:5" ht="12.75">
      <c r="A736" s="1090"/>
      <c r="B736" s="74" t="s">
        <v>4743</v>
      </c>
      <c r="C736" s="64" t="s">
        <v>4743</v>
      </c>
      <c r="D736" s="64">
        <v>0</v>
      </c>
      <c r="E736" s="279" t="s">
        <v>4743</v>
      </c>
    </row>
    <row r="737" spans="1:5" ht="12.75">
      <c r="A737" s="1090"/>
      <c r="B737" s="74" t="s">
        <v>4743</v>
      </c>
      <c r="C737" s="64" t="s">
        <v>4743</v>
      </c>
      <c r="D737" s="64">
        <v>0</v>
      </c>
      <c r="E737" s="279" t="s">
        <v>4743</v>
      </c>
    </row>
    <row r="738" spans="1:5" ht="12.75">
      <c r="A738" s="1090"/>
      <c r="B738" s="74" t="s">
        <v>4743</v>
      </c>
      <c r="C738" s="64" t="s">
        <v>4743</v>
      </c>
      <c r="D738" s="64">
        <v>0</v>
      </c>
      <c r="E738" s="279" t="s">
        <v>4743</v>
      </c>
    </row>
    <row r="739" spans="1:5" ht="12.75">
      <c r="A739" s="1090"/>
      <c r="B739" s="74" t="s">
        <v>4743</v>
      </c>
      <c r="C739" s="64" t="s">
        <v>4743</v>
      </c>
      <c r="D739" s="64">
        <v>0</v>
      </c>
      <c r="E739" s="279" t="s">
        <v>4743</v>
      </c>
    </row>
    <row r="740" spans="1:5" ht="12.75">
      <c r="A740" s="1090"/>
      <c r="B740" s="74" t="s">
        <v>4743</v>
      </c>
      <c r="C740" s="64" t="s">
        <v>4743</v>
      </c>
      <c r="D740" s="64">
        <v>0</v>
      </c>
      <c r="E740" s="279" t="s">
        <v>4743</v>
      </c>
    </row>
    <row r="741" spans="1:5" ht="12.75">
      <c r="A741" s="1090"/>
      <c r="B741" s="74" t="s">
        <v>4743</v>
      </c>
      <c r="C741" s="64" t="s">
        <v>4743</v>
      </c>
      <c r="D741" s="64">
        <v>0</v>
      </c>
      <c r="E741" s="279" t="s">
        <v>4743</v>
      </c>
    </row>
    <row r="742" spans="1:5" ht="12.75">
      <c r="A742" s="1090"/>
      <c r="B742" s="74" t="s">
        <v>4743</v>
      </c>
      <c r="C742" s="64" t="s">
        <v>4743</v>
      </c>
      <c r="D742" s="64">
        <v>0</v>
      </c>
      <c r="E742" s="279" t="s">
        <v>4743</v>
      </c>
    </row>
    <row r="743" spans="1:5" ht="12.75">
      <c r="A743" s="1090"/>
      <c r="B743" s="74" t="s">
        <v>4743</v>
      </c>
      <c r="C743" s="64" t="s">
        <v>4743</v>
      </c>
      <c r="D743" s="64">
        <v>0</v>
      </c>
      <c r="E743" s="279" t="s">
        <v>4743</v>
      </c>
    </row>
    <row r="744" spans="1:5" ht="12.75">
      <c r="A744" s="1090"/>
      <c r="B744" s="74" t="s">
        <v>4743</v>
      </c>
      <c r="C744" s="64" t="s">
        <v>4743</v>
      </c>
      <c r="D744" s="64">
        <v>0</v>
      </c>
      <c r="E744" s="279" t="s">
        <v>4743</v>
      </c>
    </row>
    <row r="745" spans="1:5" ht="12.75">
      <c r="A745" s="1090"/>
      <c r="B745" s="74" t="s">
        <v>4743</v>
      </c>
      <c r="C745" s="64" t="s">
        <v>4743</v>
      </c>
      <c r="D745" s="64">
        <v>0</v>
      </c>
      <c r="E745" s="279" t="s">
        <v>4743</v>
      </c>
    </row>
    <row r="746" spans="1:5" ht="12.75">
      <c r="A746" s="1090"/>
      <c r="B746" s="74" t="s">
        <v>4743</v>
      </c>
      <c r="C746" s="64" t="s">
        <v>4743</v>
      </c>
      <c r="D746" s="64">
        <v>0</v>
      </c>
      <c r="E746" s="279" t="s">
        <v>4743</v>
      </c>
    </row>
    <row r="747" spans="1:5" ht="12.75">
      <c r="A747" s="1090"/>
      <c r="B747" s="74" t="s">
        <v>4743</v>
      </c>
      <c r="C747" s="64" t="s">
        <v>4743</v>
      </c>
      <c r="D747" s="64">
        <v>0</v>
      </c>
      <c r="E747" s="279" t="s">
        <v>4743</v>
      </c>
    </row>
    <row r="748" spans="1:5" ht="12.75">
      <c r="A748" s="1090"/>
      <c r="B748" s="74" t="s">
        <v>4743</v>
      </c>
      <c r="C748" s="64" t="s">
        <v>4743</v>
      </c>
      <c r="D748" s="64">
        <v>0</v>
      </c>
      <c r="E748" s="279" t="s">
        <v>4743</v>
      </c>
    </row>
    <row r="749" spans="1:5" ht="12.75">
      <c r="A749" s="1090"/>
      <c r="B749" s="74" t="s">
        <v>4743</v>
      </c>
      <c r="C749" s="64" t="s">
        <v>4743</v>
      </c>
      <c r="D749" s="64">
        <v>0</v>
      </c>
      <c r="E749" s="279" t="s">
        <v>4743</v>
      </c>
    </row>
    <row r="750" spans="1:5" ht="12.75">
      <c r="A750" s="1090"/>
      <c r="B750" s="74" t="s">
        <v>4743</v>
      </c>
      <c r="C750" s="64" t="s">
        <v>4743</v>
      </c>
      <c r="D750" s="64">
        <v>0</v>
      </c>
      <c r="E750" s="279" t="s">
        <v>4743</v>
      </c>
    </row>
    <row r="751" spans="1:5" ht="12.75">
      <c r="A751" s="1090"/>
      <c r="B751" s="74" t="s">
        <v>4743</v>
      </c>
      <c r="C751" s="64" t="s">
        <v>4743</v>
      </c>
      <c r="D751" s="64">
        <v>0</v>
      </c>
      <c r="E751" s="279" t="s">
        <v>4743</v>
      </c>
    </row>
    <row r="752" spans="1:5" ht="12.75">
      <c r="A752" s="1090"/>
      <c r="B752" s="74" t="s">
        <v>4743</v>
      </c>
      <c r="C752" s="64" t="s">
        <v>4743</v>
      </c>
      <c r="D752" s="64">
        <v>0</v>
      </c>
      <c r="E752" s="279" t="s">
        <v>4743</v>
      </c>
    </row>
    <row r="753" spans="1:5" ht="12.75">
      <c r="A753" s="1090"/>
      <c r="B753" s="74" t="s">
        <v>4743</v>
      </c>
      <c r="C753" s="64" t="s">
        <v>4743</v>
      </c>
      <c r="D753" s="64">
        <v>0</v>
      </c>
      <c r="E753" s="279" t="s">
        <v>4743</v>
      </c>
    </row>
    <row r="754" spans="1:5" ht="12.75">
      <c r="A754" s="1090"/>
      <c r="B754" s="74" t="s">
        <v>4743</v>
      </c>
      <c r="C754" s="64" t="s">
        <v>4743</v>
      </c>
      <c r="D754" s="64">
        <v>0</v>
      </c>
      <c r="E754" s="279" t="s">
        <v>4743</v>
      </c>
    </row>
    <row r="755" spans="1:5" ht="12.75">
      <c r="A755" s="1090"/>
      <c r="B755" s="74" t="s">
        <v>4743</v>
      </c>
      <c r="C755" s="64" t="s">
        <v>4743</v>
      </c>
      <c r="D755" s="64">
        <v>0</v>
      </c>
      <c r="E755" s="279" t="s">
        <v>4743</v>
      </c>
    </row>
    <row r="756" spans="1:5" ht="12.75">
      <c r="A756" s="1090"/>
      <c r="B756" s="74" t="s">
        <v>4743</v>
      </c>
      <c r="C756" s="64" t="s">
        <v>4743</v>
      </c>
      <c r="D756" s="64">
        <v>0</v>
      </c>
      <c r="E756" s="279" t="s">
        <v>4743</v>
      </c>
    </row>
    <row r="757" spans="1:5" ht="12.75">
      <c r="A757" s="1090"/>
      <c r="B757" s="74" t="s">
        <v>4743</v>
      </c>
      <c r="C757" s="64" t="s">
        <v>4743</v>
      </c>
      <c r="D757" s="64">
        <v>0</v>
      </c>
      <c r="E757" s="279" t="s">
        <v>4743</v>
      </c>
    </row>
    <row r="758" spans="1:5" ht="12.75">
      <c r="A758" s="1090"/>
      <c r="B758" s="74" t="s">
        <v>4743</v>
      </c>
      <c r="C758" s="64" t="s">
        <v>4743</v>
      </c>
      <c r="D758" s="64">
        <v>0</v>
      </c>
      <c r="E758" s="279" t="s">
        <v>4743</v>
      </c>
    </row>
    <row r="759" spans="1:5" ht="12.75">
      <c r="A759" s="1090"/>
      <c r="B759" s="74" t="s">
        <v>4743</v>
      </c>
      <c r="C759" s="64" t="s">
        <v>4743</v>
      </c>
      <c r="D759" s="64">
        <v>0</v>
      </c>
      <c r="E759" s="279" t="s">
        <v>4743</v>
      </c>
    </row>
    <row r="760" spans="1:5" ht="12.75">
      <c r="A760" s="1090"/>
      <c r="B760" s="74" t="s">
        <v>4743</v>
      </c>
      <c r="C760" s="64" t="s">
        <v>4743</v>
      </c>
      <c r="D760" s="64">
        <v>0</v>
      </c>
      <c r="E760" s="279" t="s">
        <v>4743</v>
      </c>
    </row>
    <row r="761" spans="1:5" ht="12.75">
      <c r="A761" s="1090"/>
      <c r="B761" s="74" t="s">
        <v>4743</v>
      </c>
      <c r="C761" s="64" t="s">
        <v>4743</v>
      </c>
      <c r="D761" s="64">
        <v>0</v>
      </c>
      <c r="E761" s="279" t="s">
        <v>4743</v>
      </c>
    </row>
    <row r="762" spans="1:5" ht="12.75">
      <c r="A762" s="1090"/>
      <c r="B762" s="74" t="s">
        <v>4743</v>
      </c>
      <c r="C762" s="64" t="s">
        <v>4743</v>
      </c>
      <c r="D762" s="64">
        <v>0</v>
      </c>
      <c r="E762" s="279" t="s">
        <v>4743</v>
      </c>
    </row>
    <row r="763" spans="1:5" ht="12.75">
      <c r="A763" s="1090"/>
      <c r="B763" s="74" t="s">
        <v>4743</v>
      </c>
      <c r="C763" s="64" t="s">
        <v>4743</v>
      </c>
      <c r="D763" s="64">
        <v>0</v>
      </c>
      <c r="E763" s="279" t="s">
        <v>4743</v>
      </c>
    </row>
    <row r="764" spans="1:5" ht="12.75">
      <c r="A764" s="1090"/>
      <c r="B764" s="74" t="s">
        <v>4743</v>
      </c>
      <c r="C764" s="64" t="s">
        <v>4743</v>
      </c>
      <c r="D764" s="64">
        <v>0</v>
      </c>
      <c r="E764" s="279" t="s">
        <v>4743</v>
      </c>
    </row>
    <row r="765" spans="1:5" ht="12.75">
      <c r="A765" s="1090"/>
      <c r="B765" s="74" t="s">
        <v>4743</v>
      </c>
      <c r="C765" s="64" t="s">
        <v>4743</v>
      </c>
      <c r="D765" s="64">
        <v>0</v>
      </c>
      <c r="E765" s="279" t="s">
        <v>4743</v>
      </c>
    </row>
    <row r="766" spans="1:5" ht="12.75">
      <c r="A766" s="1090"/>
      <c r="B766" s="74" t="s">
        <v>4743</v>
      </c>
      <c r="C766" s="64" t="s">
        <v>4743</v>
      </c>
      <c r="D766" s="64">
        <v>0</v>
      </c>
      <c r="E766" s="279" t="s">
        <v>4743</v>
      </c>
    </row>
    <row r="767" spans="1:5" ht="12.75">
      <c r="A767" s="1090"/>
      <c r="B767" s="74" t="s">
        <v>4743</v>
      </c>
      <c r="C767" s="64" t="s">
        <v>4743</v>
      </c>
      <c r="D767" s="64">
        <v>0</v>
      </c>
      <c r="E767" s="279" t="s">
        <v>4743</v>
      </c>
    </row>
    <row r="768" spans="1:5" ht="12.75">
      <c r="A768" s="1090"/>
      <c r="B768" s="74" t="s">
        <v>4743</v>
      </c>
      <c r="C768" s="64" t="s">
        <v>4743</v>
      </c>
      <c r="D768" s="64">
        <v>0</v>
      </c>
      <c r="E768" s="279" t="s">
        <v>4743</v>
      </c>
    </row>
    <row r="769" spans="1:5" ht="12.75">
      <c r="A769" s="1090"/>
      <c r="B769" s="74" t="s">
        <v>4743</v>
      </c>
      <c r="C769" s="64" t="s">
        <v>4743</v>
      </c>
      <c r="D769" s="64">
        <v>0</v>
      </c>
      <c r="E769" s="279" t="s">
        <v>4743</v>
      </c>
    </row>
    <row r="770" spans="1:5" ht="12.75">
      <c r="A770" s="1090"/>
      <c r="B770" s="74" t="s">
        <v>4743</v>
      </c>
      <c r="C770" s="64" t="s">
        <v>4743</v>
      </c>
      <c r="D770" s="64">
        <v>0</v>
      </c>
      <c r="E770" s="279" t="s">
        <v>4743</v>
      </c>
    </row>
    <row r="771" spans="1:5" ht="12.75">
      <c r="A771" s="1090"/>
      <c r="B771" s="74" t="s">
        <v>4743</v>
      </c>
      <c r="C771" s="64" t="s">
        <v>4743</v>
      </c>
      <c r="D771" s="64">
        <v>0</v>
      </c>
      <c r="E771" s="279" t="s">
        <v>4743</v>
      </c>
    </row>
    <row r="772" spans="1:5" ht="12.75">
      <c r="A772" s="1090"/>
      <c r="B772" s="74" t="s">
        <v>4743</v>
      </c>
      <c r="C772" s="64" t="s">
        <v>4743</v>
      </c>
      <c r="D772" s="64">
        <v>0</v>
      </c>
      <c r="E772" s="279" t="s">
        <v>4743</v>
      </c>
    </row>
    <row r="773" spans="1:5" ht="12.75">
      <c r="A773" s="1090"/>
      <c r="B773" s="74" t="s">
        <v>4743</v>
      </c>
      <c r="C773" s="64" t="s">
        <v>4743</v>
      </c>
      <c r="D773" s="64">
        <v>0</v>
      </c>
      <c r="E773" s="279" t="s">
        <v>4743</v>
      </c>
    </row>
    <row r="774" spans="1:5" ht="12.75">
      <c r="A774" s="1090"/>
      <c r="B774" s="74" t="s">
        <v>4743</v>
      </c>
      <c r="C774" s="64" t="s">
        <v>4743</v>
      </c>
      <c r="D774" s="64">
        <v>0</v>
      </c>
      <c r="E774" s="279" t="s">
        <v>4743</v>
      </c>
    </row>
    <row r="775" spans="1:5" ht="12.75">
      <c r="A775" s="1090"/>
      <c r="B775" s="74" t="s">
        <v>4743</v>
      </c>
      <c r="C775" s="64" t="s">
        <v>4743</v>
      </c>
      <c r="D775" s="64">
        <v>0</v>
      </c>
      <c r="E775" s="279" t="s">
        <v>4743</v>
      </c>
    </row>
    <row r="776" spans="1:5" ht="12.75">
      <c r="A776" s="1090"/>
      <c r="B776" s="74" t="s">
        <v>4743</v>
      </c>
      <c r="C776" s="64" t="s">
        <v>4743</v>
      </c>
      <c r="D776" s="64">
        <v>0</v>
      </c>
      <c r="E776" s="279" t="s">
        <v>4743</v>
      </c>
    </row>
    <row r="777" spans="1:5" ht="12.75">
      <c r="A777" s="1090"/>
      <c r="B777" s="74" t="s">
        <v>4743</v>
      </c>
      <c r="C777" s="64" t="s">
        <v>4743</v>
      </c>
      <c r="D777" s="64">
        <v>0</v>
      </c>
      <c r="E777" s="279" t="s">
        <v>4743</v>
      </c>
    </row>
    <row r="778" spans="1:5" ht="12.75">
      <c r="A778" s="1090"/>
      <c r="B778" s="74" t="s">
        <v>4743</v>
      </c>
      <c r="C778" s="64" t="s">
        <v>4743</v>
      </c>
      <c r="D778" s="64">
        <v>0</v>
      </c>
      <c r="E778" s="279" t="s">
        <v>4743</v>
      </c>
    </row>
    <row r="779" spans="1:5" ht="12.75">
      <c r="A779" s="1090"/>
      <c r="B779" s="74" t="s">
        <v>4743</v>
      </c>
      <c r="C779" s="64" t="s">
        <v>4743</v>
      </c>
      <c r="D779" s="64">
        <v>0</v>
      </c>
      <c r="E779" s="279" t="s">
        <v>4743</v>
      </c>
    </row>
    <row r="780" spans="1:5" ht="12.75">
      <c r="A780" s="1090"/>
      <c r="B780" s="74" t="s">
        <v>4743</v>
      </c>
      <c r="C780" s="64" t="s">
        <v>4743</v>
      </c>
      <c r="D780" s="64">
        <v>0</v>
      </c>
      <c r="E780" s="279" t="s">
        <v>4743</v>
      </c>
    </row>
    <row r="781" spans="1:5" ht="12.75">
      <c r="A781" s="1090"/>
      <c r="B781" s="74" t="s">
        <v>4743</v>
      </c>
      <c r="C781" s="64" t="s">
        <v>4743</v>
      </c>
      <c r="D781" s="64">
        <v>0</v>
      </c>
      <c r="E781" s="279" t="s">
        <v>4743</v>
      </c>
    </row>
    <row r="782" spans="1:5" ht="12.75">
      <c r="A782" s="1090"/>
      <c r="B782" s="74" t="s">
        <v>4743</v>
      </c>
      <c r="C782" s="64" t="s">
        <v>4743</v>
      </c>
      <c r="D782" s="64">
        <v>0</v>
      </c>
      <c r="E782" s="279" t="s">
        <v>4743</v>
      </c>
    </row>
    <row r="783" spans="1:5" ht="12.75">
      <c r="A783" s="1090"/>
      <c r="B783" s="74" t="s">
        <v>4743</v>
      </c>
      <c r="C783" s="64" t="s">
        <v>4743</v>
      </c>
      <c r="D783" s="64">
        <v>0</v>
      </c>
      <c r="E783" s="279" t="s">
        <v>4743</v>
      </c>
    </row>
    <row r="784" spans="1:5" ht="12.75">
      <c r="A784" s="1090"/>
      <c r="B784" s="74" t="s">
        <v>4743</v>
      </c>
      <c r="C784" s="64" t="s">
        <v>4743</v>
      </c>
      <c r="D784" s="64">
        <v>0</v>
      </c>
      <c r="E784" s="279" t="s">
        <v>4743</v>
      </c>
    </row>
    <row r="785" spans="1:5" ht="12.75">
      <c r="A785" s="1090"/>
      <c r="B785" s="74" t="s">
        <v>4743</v>
      </c>
      <c r="C785" s="64" t="s">
        <v>4743</v>
      </c>
      <c r="D785" s="64">
        <v>0</v>
      </c>
      <c r="E785" s="279" t="s">
        <v>4743</v>
      </c>
    </row>
    <row r="786" spans="1:5" ht="12.75">
      <c r="A786" s="1090"/>
      <c r="B786" s="74" t="s">
        <v>4743</v>
      </c>
      <c r="C786" s="64" t="s">
        <v>4743</v>
      </c>
      <c r="D786" s="64">
        <v>0</v>
      </c>
      <c r="E786" s="279" t="s">
        <v>4743</v>
      </c>
    </row>
    <row r="787" spans="1:5" ht="12.75">
      <c r="A787" s="1090"/>
      <c r="B787" s="74" t="s">
        <v>4743</v>
      </c>
      <c r="C787" s="64" t="s">
        <v>4743</v>
      </c>
      <c r="D787" s="64">
        <v>0</v>
      </c>
      <c r="E787" s="279" t="s">
        <v>4743</v>
      </c>
    </row>
    <row r="788" spans="1:5" ht="12.75">
      <c r="A788" s="1090"/>
      <c r="B788" s="74" t="s">
        <v>4743</v>
      </c>
      <c r="C788" s="64" t="s">
        <v>4743</v>
      </c>
      <c r="D788" s="64">
        <v>0</v>
      </c>
      <c r="E788" s="279" t="s">
        <v>4743</v>
      </c>
    </row>
    <row r="789" spans="1:5" ht="12.75">
      <c r="A789" s="1090"/>
      <c r="B789" s="74" t="s">
        <v>4743</v>
      </c>
      <c r="C789" s="64" t="s">
        <v>4743</v>
      </c>
      <c r="D789" s="64">
        <v>0</v>
      </c>
      <c r="E789" s="279" t="s">
        <v>4743</v>
      </c>
    </row>
    <row r="790" spans="1:5" ht="12.75">
      <c r="A790" s="1090"/>
      <c r="B790" s="74" t="s">
        <v>4743</v>
      </c>
      <c r="C790" s="64" t="s">
        <v>4743</v>
      </c>
      <c r="D790" s="64">
        <v>0</v>
      </c>
      <c r="E790" s="279" t="s">
        <v>4743</v>
      </c>
    </row>
    <row r="791" spans="1:5" ht="12.75">
      <c r="A791" s="1090"/>
      <c r="B791" s="74" t="s">
        <v>4743</v>
      </c>
      <c r="C791" s="64" t="s">
        <v>4743</v>
      </c>
      <c r="D791" s="64">
        <v>0</v>
      </c>
      <c r="E791" s="279" t="s">
        <v>4743</v>
      </c>
    </row>
    <row r="792" spans="1:5" ht="12.75">
      <c r="A792" s="1090"/>
      <c r="B792" s="74" t="s">
        <v>4743</v>
      </c>
      <c r="C792" s="64" t="s">
        <v>4743</v>
      </c>
      <c r="D792" s="64">
        <v>0</v>
      </c>
      <c r="E792" s="279" t="s">
        <v>4743</v>
      </c>
    </row>
    <row r="793" spans="1:5" ht="12.75">
      <c r="A793" s="1090"/>
      <c r="B793" s="74" t="s">
        <v>4743</v>
      </c>
      <c r="C793" s="64" t="s">
        <v>4743</v>
      </c>
      <c r="D793" s="64">
        <v>0</v>
      </c>
      <c r="E793" s="279" t="s">
        <v>4743</v>
      </c>
    </row>
    <row r="794" spans="1:5" ht="12.75">
      <c r="A794" s="1090"/>
      <c r="B794" s="74" t="s">
        <v>4743</v>
      </c>
      <c r="C794" s="64" t="s">
        <v>4743</v>
      </c>
      <c r="D794" s="64">
        <v>0</v>
      </c>
      <c r="E794" s="279" t="s">
        <v>4743</v>
      </c>
    </row>
    <row r="795" spans="1:5" ht="12.75">
      <c r="A795" s="1090"/>
      <c r="B795" s="74" t="s">
        <v>4743</v>
      </c>
      <c r="C795" s="64" t="s">
        <v>4743</v>
      </c>
      <c r="D795" s="64">
        <v>0</v>
      </c>
      <c r="E795" s="279" t="s">
        <v>4743</v>
      </c>
    </row>
    <row r="796" spans="1:5" ht="12.75">
      <c r="A796" s="1090"/>
      <c r="B796" s="74" t="s">
        <v>4743</v>
      </c>
      <c r="C796" s="64" t="s">
        <v>4743</v>
      </c>
      <c r="D796" s="64">
        <v>0</v>
      </c>
      <c r="E796" s="279" t="s">
        <v>4743</v>
      </c>
    </row>
    <row r="797" spans="1:5" ht="12.75">
      <c r="A797" s="1090"/>
      <c r="B797" s="74" t="s">
        <v>4743</v>
      </c>
      <c r="C797" s="64" t="s">
        <v>4743</v>
      </c>
      <c r="D797" s="64">
        <v>0</v>
      </c>
      <c r="E797" s="279" t="s">
        <v>4743</v>
      </c>
    </row>
    <row r="798" spans="1:5" ht="12.75">
      <c r="A798" s="1090"/>
      <c r="B798" s="74" t="s">
        <v>4743</v>
      </c>
      <c r="C798" s="64" t="s">
        <v>4743</v>
      </c>
      <c r="D798" s="64">
        <v>0</v>
      </c>
      <c r="E798" s="279" t="s">
        <v>4743</v>
      </c>
    </row>
    <row r="799" spans="1:5" ht="12.75">
      <c r="A799" s="1090"/>
      <c r="B799" s="74" t="s">
        <v>4743</v>
      </c>
      <c r="C799" s="64" t="s">
        <v>4743</v>
      </c>
      <c r="D799" s="64">
        <v>0</v>
      </c>
      <c r="E799" s="279" t="s">
        <v>4743</v>
      </c>
    </row>
    <row r="800" spans="1:5" ht="12.75">
      <c r="A800" s="1090"/>
      <c r="B800" s="74" t="s">
        <v>4743</v>
      </c>
      <c r="C800" s="64" t="s">
        <v>4743</v>
      </c>
      <c r="D800" s="64">
        <v>0</v>
      </c>
      <c r="E800" s="279" t="s">
        <v>4743</v>
      </c>
    </row>
    <row r="801" spans="1:5" ht="12.75">
      <c r="A801" s="1090"/>
      <c r="B801" s="74" t="s">
        <v>4743</v>
      </c>
      <c r="C801" s="64" t="s">
        <v>4743</v>
      </c>
      <c r="D801" s="64">
        <v>0</v>
      </c>
      <c r="E801" s="279" t="s">
        <v>4743</v>
      </c>
    </row>
    <row r="802" spans="1:5" ht="12.75">
      <c r="A802" s="1090"/>
      <c r="B802" s="74" t="s">
        <v>4743</v>
      </c>
      <c r="C802" s="64" t="s">
        <v>4743</v>
      </c>
      <c r="D802" s="64">
        <v>0</v>
      </c>
      <c r="E802" s="279" t="s">
        <v>4743</v>
      </c>
    </row>
    <row r="803" spans="1:5" ht="12.75">
      <c r="A803" s="1090"/>
      <c r="B803" s="74" t="s">
        <v>4743</v>
      </c>
      <c r="C803" s="64" t="s">
        <v>4743</v>
      </c>
      <c r="D803" s="64">
        <v>0</v>
      </c>
      <c r="E803" s="279" t="s">
        <v>4743</v>
      </c>
    </row>
    <row r="804" spans="1:5" ht="12.75">
      <c r="A804" s="1090"/>
      <c r="B804" s="74" t="s">
        <v>4743</v>
      </c>
      <c r="C804" s="64" t="s">
        <v>4743</v>
      </c>
      <c r="D804" s="64">
        <v>0</v>
      </c>
      <c r="E804" s="279" t="s">
        <v>4743</v>
      </c>
    </row>
    <row r="805" spans="1:5" ht="12.75">
      <c r="A805" s="1090"/>
      <c r="B805" s="74" t="s">
        <v>4743</v>
      </c>
      <c r="C805" s="64" t="s">
        <v>4743</v>
      </c>
      <c r="D805" s="64">
        <v>0</v>
      </c>
      <c r="E805" s="279" t="s">
        <v>4743</v>
      </c>
    </row>
    <row r="806" spans="1:5" ht="12.75">
      <c r="A806" s="1090"/>
      <c r="B806" s="74" t="s">
        <v>4743</v>
      </c>
      <c r="C806" s="64" t="s">
        <v>4743</v>
      </c>
      <c r="D806" s="64">
        <v>0</v>
      </c>
      <c r="E806" s="279" t="s">
        <v>4743</v>
      </c>
    </row>
    <row r="807" spans="1:5" ht="12.75">
      <c r="A807" s="1090"/>
      <c r="B807" s="74" t="s">
        <v>4743</v>
      </c>
      <c r="C807" s="64" t="s">
        <v>4743</v>
      </c>
      <c r="D807" s="64">
        <v>0</v>
      </c>
      <c r="E807" s="279" t="s">
        <v>4743</v>
      </c>
    </row>
    <row r="808" spans="1:5" ht="12.75">
      <c r="A808" s="1090"/>
      <c r="B808" s="74" t="s">
        <v>4743</v>
      </c>
      <c r="C808" s="64" t="s">
        <v>4743</v>
      </c>
      <c r="D808" s="64">
        <v>0</v>
      </c>
      <c r="E808" s="279" t="s">
        <v>4743</v>
      </c>
    </row>
    <row r="809" spans="1:5" ht="12.75">
      <c r="A809" s="1090"/>
      <c r="B809" s="74" t="s">
        <v>4743</v>
      </c>
      <c r="C809" s="64" t="s">
        <v>4743</v>
      </c>
      <c r="D809" s="64">
        <v>0</v>
      </c>
      <c r="E809" s="279" t="s">
        <v>4743</v>
      </c>
    </row>
    <row r="810" spans="1:5" ht="12.75">
      <c r="A810" s="1090"/>
      <c r="B810" s="74" t="s">
        <v>4743</v>
      </c>
      <c r="C810" s="64" t="s">
        <v>4743</v>
      </c>
      <c r="D810" s="64">
        <v>0</v>
      </c>
      <c r="E810" s="279" t="s">
        <v>4743</v>
      </c>
    </row>
    <row r="811" spans="1:5" ht="12.75">
      <c r="A811" s="1090"/>
      <c r="B811" s="74" t="s">
        <v>4743</v>
      </c>
      <c r="C811" s="64" t="s">
        <v>4743</v>
      </c>
      <c r="D811" s="64">
        <v>0</v>
      </c>
      <c r="E811" s="279" t="s">
        <v>4743</v>
      </c>
    </row>
    <row r="812" spans="1:5" ht="12.75">
      <c r="A812" s="1090"/>
      <c r="B812" s="74" t="s">
        <v>4743</v>
      </c>
      <c r="C812" s="64" t="s">
        <v>4743</v>
      </c>
      <c r="D812" s="64">
        <v>0</v>
      </c>
      <c r="E812" s="279" t="s">
        <v>4743</v>
      </c>
    </row>
    <row r="813" spans="1:5" ht="12.75">
      <c r="A813" s="1090"/>
      <c r="B813" s="74" t="s">
        <v>4743</v>
      </c>
      <c r="C813" s="64" t="s">
        <v>4743</v>
      </c>
      <c r="D813" s="64">
        <v>0</v>
      </c>
      <c r="E813" s="279" t="s">
        <v>4743</v>
      </c>
    </row>
    <row r="814" spans="1:5" ht="12.75">
      <c r="A814" s="1090"/>
      <c r="B814" s="74" t="s">
        <v>4743</v>
      </c>
      <c r="C814" s="64" t="s">
        <v>4743</v>
      </c>
      <c r="D814" s="64">
        <v>0</v>
      </c>
      <c r="E814" s="279" t="s">
        <v>4743</v>
      </c>
    </row>
    <row r="815" spans="1:5" ht="12.75">
      <c r="A815" s="1090"/>
      <c r="B815" s="74" t="s">
        <v>4743</v>
      </c>
      <c r="C815" s="64" t="s">
        <v>4743</v>
      </c>
      <c r="D815" s="64">
        <v>0</v>
      </c>
      <c r="E815" s="279" t="s">
        <v>4743</v>
      </c>
    </row>
    <row r="816" spans="1:5" ht="12.75">
      <c r="A816" s="1090"/>
      <c r="B816" s="74" t="s">
        <v>4743</v>
      </c>
      <c r="C816" s="64" t="s">
        <v>4743</v>
      </c>
      <c r="D816" s="64">
        <v>0</v>
      </c>
      <c r="E816" s="279" t="s">
        <v>4743</v>
      </c>
    </row>
    <row r="817" spans="1:5" ht="12.75">
      <c r="A817" s="1090"/>
      <c r="B817" s="74" t="s">
        <v>4743</v>
      </c>
      <c r="C817" s="64" t="s">
        <v>4743</v>
      </c>
      <c r="D817" s="64">
        <v>0</v>
      </c>
      <c r="E817" s="279" t="s">
        <v>4743</v>
      </c>
    </row>
    <row r="818" spans="1:5" ht="12.75">
      <c r="A818" s="1090"/>
      <c r="B818" s="74" t="s">
        <v>4743</v>
      </c>
      <c r="C818" s="64" t="s">
        <v>4743</v>
      </c>
      <c r="D818" s="64">
        <v>0</v>
      </c>
      <c r="E818" s="279" t="s">
        <v>4743</v>
      </c>
    </row>
    <row r="819" spans="1:5" ht="12.75">
      <c r="A819" s="1090"/>
      <c r="B819" s="74" t="s">
        <v>4743</v>
      </c>
      <c r="C819" s="64" t="s">
        <v>4743</v>
      </c>
      <c r="D819" s="64">
        <v>0</v>
      </c>
      <c r="E819" s="279" t="s">
        <v>4743</v>
      </c>
    </row>
    <row r="820" spans="1:5" ht="12.75">
      <c r="A820" s="1090"/>
      <c r="B820" s="74" t="s">
        <v>4743</v>
      </c>
      <c r="C820" s="64" t="s">
        <v>4743</v>
      </c>
      <c r="D820" s="64">
        <v>0</v>
      </c>
      <c r="E820" s="279" t="s">
        <v>4743</v>
      </c>
    </row>
    <row r="821" spans="1:5" ht="12.75">
      <c r="A821" s="1090"/>
      <c r="B821" s="74" t="s">
        <v>4743</v>
      </c>
      <c r="C821" s="64" t="s">
        <v>4743</v>
      </c>
      <c r="D821" s="64">
        <v>0</v>
      </c>
      <c r="E821" s="279" t="s">
        <v>4743</v>
      </c>
    </row>
    <row r="822" spans="1:5" ht="12.75">
      <c r="A822" s="1090"/>
      <c r="B822" s="74" t="s">
        <v>4743</v>
      </c>
      <c r="C822" s="64" t="s">
        <v>4743</v>
      </c>
      <c r="D822" s="64">
        <v>0</v>
      </c>
      <c r="E822" s="279" t="s">
        <v>4743</v>
      </c>
    </row>
    <row r="823" spans="1:5" ht="12.75">
      <c r="A823" s="1090"/>
      <c r="B823" s="74" t="s">
        <v>4743</v>
      </c>
      <c r="C823" s="64" t="s">
        <v>4743</v>
      </c>
      <c r="D823" s="64">
        <v>0</v>
      </c>
      <c r="E823" s="279" t="s">
        <v>4743</v>
      </c>
    </row>
    <row r="824" spans="1:5" ht="12.75">
      <c r="A824" s="1090"/>
      <c r="B824" s="74" t="s">
        <v>4743</v>
      </c>
      <c r="C824" s="64" t="s">
        <v>4743</v>
      </c>
      <c r="D824" s="64">
        <v>0</v>
      </c>
      <c r="E824" s="279" t="s">
        <v>4743</v>
      </c>
    </row>
    <row r="825" spans="1:5" ht="12.75">
      <c r="A825" s="1090"/>
      <c r="B825" s="74" t="s">
        <v>4743</v>
      </c>
      <c r="C825" s="64" t="s">
        <v>4743</v>
      </c>
      <c r="D825" s="64">
        <v>0</v>
      </c>
      <c r="E825" s="279" t="s">
        <v>4743</v>
      </c>
    </row>
    <row r="826" spans="1:5" ht="12.75">
      <c r="A826" s="1090"/>
      <c r="B826" s="74" t="s">
        <v>4743</v>
      </c>
      <c r="C826" s="64" t="s">
        <v>4743</v>
      </c>
      <c r="D826" s="64">
        <v>0</v>
      </c>
      <c r="E826" s="279" t="s">
        <v>4743</v>
      </c>
    </row>
    <row r="827" spans="1:5" ht="12.75">
      <c r="A827" s="1090"/>
      <c r="B827" s="74" t="s">
        <v>4743</v>
      </c>
      <c r="C827" s="64" t="s">
        <v>4743</v>
      </c>
      <c r="D827" s="64">
        <v>0</v>
      </c>
      <c r="E827" s="279" t="s">
        <v>4743</v>
      </c>
    </row>
    <row r="828" spans="1:5" ht="12.75">
      <c r="A828" s="1090"/>
      <c r="B828" s="74" t="s">
        <v>4743</v>
      </c>
      <c r="C828" s="64" t="s">
        <v>4743</v>
      </c>
      <c r="D828" s="64">
        <v>0</v>
      </c>
      <c r="E828" s="279" t="s">
        <v>4743</v>
      </c>
    </row>
    <row r="829" spans="1:5" ht="12.75">
      <c r="A829" s="1090"/>
      <c r="B829" s="74" t="s">
        <v>4743</v>
      </c>
      <c r="C829" s="64" t="s">
        <v>4743</v>
      </c>
      <c r="D829" s="64">
        <v>0</v>
      </c>
      <c r="E829" s="279" t="s">
        <v>4743</v>
      </c>
    </row>
    <row r="830" spans="1:5" ht="12.75">
      <c r="A830" s="1090"/>
      <c r="B830" s="74" t="s">
        <v>4743</v>
      </c>
      <c r="C830" s="64" t="s">
        <v>4743</v>
      </c>
      <c r="D830" s="64">
        <v>0</v>
      </c>
      <c r="E830" s="279" t="s">
        <v>4743</v>
      </c>
    </row>
    <row r="831" spans="1:5" ht="12.75">
      <c r="A831" s="1090"/>
      <c r="B831" s="74" t="s">
        <v>4743</v>
      </c>
      <c r="C831" s="64" t="s">
        <v>4743</v>
      </c>
      <c r="D831" s="64">
        <v>0</v>
      </c>
      <c r="E831" s="279" t="s">
        <v>4743</v>
      </c>
    </row>
    <row r="832" spans="1:5" ht="12.75">
      <c r="A832" s="1090"/>
      <c r="B832" s="74" t="s">
        <v>4743</v>
      </c>
      <c r="C832" s="64" t="s">
        <v>4743</v>
      </c>
      <c r="D832" s="64">
        <v>0</v>
      </c>
      <c r="E832" s="279" t="s">
        <v>4743</v>
      </c>
    </row>
    <row r="833" spans="1:5" ht="12.75">
      <c r="A833" s="1090"/>
      <c r="B833" s="74" t="s">
        <v>4743</v>
      </c>
      <c r="C833" s="64" t="s">
        <v>4743</v>
      </c>
      <c r="D833" s="64">
        <v>0</v>
      </c>
      <c r="E833" s="279" t="s">
        <v>4743</v>
      </c>
    </row>
    <row r="834" spans="1:5" ht="12.75">
      <c r="A834" s="1090"/>
      <c r="B834" s="74" t="s">
        <v>4743</v>
      </c>
      <c r="C834" s="64" t="s">
        <v>4743</v>
      </c>
      <c r="D834" s="64">
        <v>0</v>
      </c>
      <c r="E834" s="279" t="s">
        <v>4743</v>
      </c>
    </row>
    <row r="835" spans="1:5" ht="12.75">
      <c r="A835" s="1090"/>
      <c r="B835" s="74" t="s">
        <v>4743</v>
      </c>
      <c r="C835" s="64" t="s">
        <v>4743</v>
      </c>
      <c r="D835" s="64">
        <v>0</v>
      </c>
      <c r="E835" s="279" t="s">
        <v>4743</v>
      </c>
    </row>
    <row r="836" spans="1:5" ht="12.75">
      <c r="A836" s="1090"/>
      <c r="B836" s="74" t="s">
        <v>4743</v>
      </c>
      <c r="C836" s="64" t="s">
        <v>4743</v>
      </c>
      <c r="D836" s="64">
        <v>0</v>
      </c>
      <c r="E836" s="279" t="s">
        <v>4743</v>
      </c>
    </row>
    <row r="837" spans="1:5" ht="12.75">
      <c r="A837" s="1090"/>
      <c r="B837" s="74" t="s">
        <v>4743</v>
      </c>
      <c r="C837" s="64" t="s">
        <v>4743</v>
      </c>
      <c r="D837" s="64">
        <v>0</v>
      </c>
      <c r="E837" s="279" t="s">
        <v>4743</v>
      </c>
    </row>
    <row r="838" spans="1:5" ht="12.75">
      <c r="A838" s="1090"/>
      <c r="B838" s="74" t="s">
        <v>4743</v>
      </c>
      <c r="C838" s="64" t="s">
        <v>4743</v>
      </c>
      <c r="D838" s="64">
        <v>0</v>
      </c>
      <c r="E838" s="279" t="s">
        <v>4743</v>
      </c>
    </row>
    <row r="839" spans="1:5" ht="12.75">
      <c r="A839" s="1090"/>
      <c r="B839" s="74" t="s">
        <v>4743</v>
      </c>
      <c r="C839" s="64" t="s">
        <v>4743</v>
      </c>
      <c r="D839" s="64">
        <v>0</v>
      </c>
      <c r="E839" s="279" t="s">
        <v>4743</v>
      </c>
    </row>
    <row r="840" spans="1:5" ht="12.75">
      <c r="A840" s="1090"/>
      <c r="B840" s="74" t="s">
        <v>4743</v>
      </c>
      <c r="C840" s="64" t="s">
        <v>4743</v>
      </c>
      <c r="D840" s="64">
        <v>0</v>
      </c>
      <c r="E840" s="279" t="s">
        <v>4743</v>
      </c>
    </row>
    <row r="841" spans="1:5" ht="12.75">
      <c r="A841" s="1090"/>
      <c r="B841" s="74" t="s">
        <v>4743</v>
      </c>
      <c r="C841" s="64" t="s">
        <v>4743</v>
      </c>
      <c r="D841" s="64">
        <v>0</v>
      </c>
      <c r="E841" s="279" t="s">
        <v>4743</v>
      </c>
    </row>
    <row r="842" spans="1:5" ht="12.75">
      <c r="A842" s="1090"/>
      <c r="B842" s="74" t="s">
        <v>4743</v>
      </c>
      <c r="C842" s="64" t="s">
        <v>4743</v>
      </c>
      <c r="D842" s="64">
        <v>0</v>
      </c>
      <c r="E842" s="279" t="s">
        <v>4743</v>
      </c>
    </row>
    <row r="843" spans="1:5" ht="12.75">
      <c r="A843" s="1090"/>
      <c r="B843" s="74" t="s">
        <v>4743</v>
      </c>
      <c r="C843" s="64" t="s">
        <v>4743</v>
      </c>
      <c r="D843" s="64">
        <v>0</v>
      </c>
      <c r="E843" s="279" t="s">
        <v>4743</v>
      </c>
    </row>
    <row r="844" spans="1:5" ht="12.75">
      <c r="A844" s="1090"/>
      <c r="B844" s="74" t="s">
        <v>4743</v>
      </c>
      <c r="C844" s="64" t="s">
        <v>4743</v>
      </c>
      <c r="D844" s="64">
        <v>0</v>
      </c>
      <c r="E844" s="279" t="s">
        <v>4743</v>
      </c>
    </row>
    <row r="845" spans="1:5" ht="12.75">
      <c r="A845" s="1090"/>
      <c r="B845" s="74" t="s">
        <v>4743</v>
      </c>
      <c r="C845" s="64" t="s">
        <v>4743</v>
      </c>
      <c r="D845" s="64">
        <v>0</v>
      </c>
      <c r="E845" s="279" t="s">
        <v>4743</v>
      </c>
    </row>
    <row r="846" spans="1:5" ht="12.75">
      <c r="A846" s="1090"/>
      <c r="B846" s="74" t="s">
        <v>4743</v>
      </c>
      <c r="C846" s="64" t="s">
        <v>4743</v>
      </c>
      <c r="D846" s="64">
        <v>0</v>
      </c>
      <c r="E846" s="279" t="s">
        <v>4743</v>
      </c>
    </row>
    <row r="847" spans="1:5" ht="12.75">
      <c r="A847" s="1090"/>
      <c r="B847" s="74" t="s">
        <v>4743</v>
      </c>
      <c r="C847" s="64" t="s">
        <v>4743</v>
      </c>
      <c r="D847" s="64">
        <v>0</v>
      </c>
      <c r="E847" s="279" t="s">
        <v>4743</v>
      </c>
    </row>
    <row r="848" spans="1:5" ht="12.75">
      <c r="A848" s="1090"/>
      <c r="B848" s="74" t="s">
        <v>4743</v>
      </c>
      <c r="C848" s="64" t="s">
        <v>4743</v>
      </c>
      <c r="D848" s="64">
        <v>0</v>
      </c>
      <c r="E848" s="279" t="s">
        <v>4743</v>
      </c>
    </row>
    <row r="849" spans="1:5" ht="12.75">
      <c r="A849" s="1090"/>
      <c r="B849" s="74" t="s">
        <v>4743</v>
      </c>
      <c r="C849" s="64" t="s">
        <v>4743</v>
      </c>
      <c r="D849" s="64">
        <v>0</v>
      </c>
      <c r="E849" s="279" t="s">
        <v>4743</v>
      </c>
    </row>
    <row r="850" spans="1:5" ht="12.75">
      <c r="A850" s="1090"/>
      <c r="B850" s="74" t="s">
        <v>4743</v>
      </c>
      <c r="C850" s="64" t="s">
        <v>4743</v>
      </c>
      <c r="D850" s="64">
        <v>0</v>
      </c>
      <c r="E850" s="279" t="s">
        <v>4743</v>
      </c>
    </row>
    <row r="851" spans="1:5" ht="12.75">
      <c r="A851" s="1090"/>
      <c r="B851" s="74" t="s">
        <v>4743</v>
      </c>
      <c r="C851" s="64" t="s">
        <v>4743</v>
      </c>
      <c r="D851" s="64">
        <v>0</v>
      </c>
      <c r="E851" s="279" t="s">
        <v>4743</v>
      </c>
    </row>
    <row r="852" spans="1:5" ht="12.75">
      <c r="A852" s="1090"/>
      <c r="B852" s="74" t="s">
        <v>4743</v>
      </c>
      <c r="C852" s="64" t="s">
        <v>4743</v>
      </c>
      <c r="D852" s="64">
        <v>0</v>
      </c>
      <c r="E852" s="279" t="s">
        <v>4743</v>
      </c>
    </row>
    <row r="853" spans="1:5" ht="12.75">
      <c r="A853" s="1090"/>
      <c r="B853" s="74" t="s">
        <v>4743</v>
      </c>
      <c r="C853" s="64" t="s">
        <v>4743</v>
      </c>
      <c r="D853" s="64">
        <v>0</v>
      </c>
      <c r="E853" s="279" t="s">
        <v>4743</v>
      </c>
    </row>
    <row r="854" spans="1:5" ht="12.75">
      <c r="A854" s="1090"/>
      <c r="B854" s="74" t="s">
        <v>4743</v>
      </c>
      <c r="C854" s="64" t="s">
        <v>4743</v>
      </c>
      <c r="D854" s="64">
        <v>0</v>
      </c>
      <c r="E854" s="279" t="s">
        <v>4743</v>
      </c>
    </row>
    <row r="855" spans="1:5" ht="12.75">
      <c r="A855" s="1090"/>
      <c r="B855" s="74" t="s">
        <v>4743</v>
      </c>
      <c r="C855" s="64" t="s">
        <v>4743</v>
      </c>
      <c r="D855" s="64">
        <v>0</v>
      </c>
      <c r="E855" s="279" t="s">
        <v>4743</v>
      </c>
    </row>
    <row r="856" spans="1:5" ht="12.75">
      <c r="A856" s="1090"/>
      <c r="B856" s="74" t="s">
        <v>4743</v>
      </c>
      <c r="C856" s="64" t="s">
        <v>4743</v>
      </c>
      <c r="D856" s="64">
        <v>0</v>
      </c>
      <c r="E856" s="279" t="s">
        <v>4743</v>
      </c>
    </row>
    <row r="857" spans="1:5" ht="12.75">
      <c r="A857" s="1090"/>
      <c r="B857" s="74" t="s">
        <v>4743</v>
      </c>
      <c r="C857" s="64" t="s">
        <v>4743</v>
      </c>
      <c r="D857" s="64">
        <v>0</v>
      </c>
      <c r="E857" s="279" t="s">
        <v>4743</v>
      </c>
    </row>
    <row r="858" spans="1:5" ht="12.75">
      <c r="A858" s="1090"/>
      <c r="B858" s="74" t="s">
        <v>4743</v>
      </c>
      <c r="C858" s="64" t="s">
        <v>4743</v>
      </c>
      <c r="D858" s="64">
        <v>0</v>
      </c>
      <c r="E858" s="279" t="s">
        <v>4743</v>
      </c>
    </row>
    <row r="859" spans="1:5" ht="12.75">
      <c r="A859" s="1090"/>
      <c r="B859" s="74" t="s">
        <v>4743</v>
      </c>
      <c r="C859" s="64" t="s">
        <v>4743</v>
      </c>
      <c r="D859" s="64">
        <v>0</v>
      </c>
      <c r="E859" s="279" t="s">
        <v>4743</v>
      </c>
    </row>
    <row r="860" spans="1:5" ht="12.75">
      <c r="A860" s="1090"/>
      <c r="B860" s="74" t="s">
        <v>4743</v>
      </c>
      <c r="C860" s="64" t="s">
        <v>4743</v>
      </c>
      <c r="D860" s="64">
        <v>0</v>
      </c>
      <c r="E860" s="279" t="s">
        <v>4743</v>
      </c>
    </row>
    <row r="861" spans="1:5" ht="12.75">
      <c r="A861" s="1090"/>
      <c r="B861" s="74" t="s">
        <v>4743</v>
      </c>
      <c r="C861" s="64" t="s">
        <v>4743</v>
      </c>
      <c r="D861" s="64">
        <v>0</v>
      </c>
      <c r="E861" s="279" t="s">
        <v>4743</v>
      </c>
    </row>
    <row r="862" spans="1:5" ht="12.75">
      <c r="A862" s="1090"/>
      <c r="B862" s="74" t="s">
        <v>4743</v>
      </c>
      <c r="C862" s="64" t="s">
        <v>4743</v>
      </c>
      <c r="D862" s="64">
        <v>0</v>
      </c>
      <c r="E862" s="279" t="s">
        <v>4743</v>
      </c>
    </row>
    <row r="863" spans="1:5" ht="12.75">
      <c r="A863" s="1090"/>
      <c r="B863" s="74" t="s">
        <v>4743</v>
      </c>
      <c r="C863" s="64" t="s">
        <v>4743</v>
      </c>
      <c r="D863" s="64">
        <v>0</v>
      </c>
      <c r="E863" s="279" t="s">
        <v>4743</v>
      </c>
    </row>
    <row r="864" spans="1:5" ht="12.75">
      <c r="A864" s="1090"/>
      <c r="B864" s="74" t="s">
        <v>4743</v>
      </c>
      <c r="C864" s="64" t="s">
        <v>4743</v>
      </c>
      <c r="D864" s="64">
        <v>0</v>
      </c>
      <c r="E864" s="279" t="s">
        <v>4743</v>
      </c>
    </row>
    <row r="865" spans="1:5" ht="12.75">
      <c r="A865" s="1090"/>
      <c r="B865" s="74" t="s">
        <v>4743</v>
      </c>
      <c r="C865" s="64" t="s">
        <v>4743</v>
      </c>
      <c r="D865" s="64">
        <v>0</v>
      </c>
      <c r="E865" s="279" t="s">
        <v>4743</v>
      </c>
    </row>
    <row r="866" spans="1:5" ht="12.75">
      <c r="A866" s="1090"/>
      <c r="B866" s="74" t="s">
        <v>4743</v>
      </c>
      <c r="C866" s="64" t="s">
        <v>4743</v>
      </c>
      <c r="D866" s="64">
        <v>0</v>
      </c>
      <c r="E866" s="279" t="s">
        <v>4743</v>
      </c>
    </row>
    <row r="867" spans="1:5" ht="12.75">
      <c r="A867" s="1090"/>
      <c r="B867" s="74" t="s">
        <v>4743</v>
      </c>
      <c r="C867" s="64" t="s">
        <v>4743</v>
      </c>
      <c r="D867" s="64">
        <v>0</v>
      </c>
      <c r="E867" s="279" t="s">
        <v>4743</v>
      </c>
    </row>
    <row r="868" spans="1:5" ht="12.75">
      <c r="A868" s="1090"/>
      <c r="B868" s="74" t="s">
        <v>4743</v>
      </c>
      <c r="C868" s="64" t="s">
        <v>4743</v>
      </c>
      <c r="D868" s="64">
        <v>0</v>
      </c>
      <c r="E868" s="279" t="s">
        <v>4743</v>
      </c>
    </row>
    <row r="869" spans="1:5" ht="12.75">
      <c r="A869" s="1090"/>
      <c r="B869" s="74" t="s">
        <v>4743</v>
      </c>
      <c r="C869" s="64" t="s">
        <v>4743</v>
      </c>
      <c r="D869" s="64">
        <v>0</v>
      </c>
      <c r="E869" s="279" t="s">
        <v>4743</v>
      </c>
    </row>
    <row r="870" spans="1:5" ht="12.75">
      <c r="A870" s="1090"/>
      <c r="B870" s="74" t="s">
        <v>4743</v>
      </c>
      <c r="C870" s="64" t="s">
        <v>4743</v>
      </c>
      <c r="D870" s="64">
        <v>0</v>
      </c>
      <c r="E870" s="279" t="s">
        <v>4743</v>
      </c>
    </row>
    <row r="871" spans="1:5" ht="12.75">
      <c r="A871" s="1090"/>
      <c r="B871" s="74" t="s">
        <v>4743</v>
      </c>
      <c r="C871" s="64" t="s">
        <v>4743</v>
      </c>
      <c r="D871" s="64">
        <v>0</v>
      </c>
      <c r="E871" s="279" t="s">
        <v>4743</v>
      </c>
    </row>
    <row r="872" spans="1:5" ht="12.75">
      <c r="A872" s="1090"/>
      <c r="B872" s="74" t="s">
        <v>4743</v>
      </c>
      <c r="C872" s="64" t="s">
        <v>4743</v>
      </c>
      <c r="D872" s="64">
        <v>0</v>
      </c>
      <c r="E872" s="279" t="s">
        <v>4743</v>
      </c>
    </row>
    <row r="873" spans="1:5" ht="12.75">
      <c r="A873" s="1090"/>
      <c r="B873" s="74" t="s">
        <v>4743</v>
      </c>
      <c r="C873" s="64" t="s">
        <v>4743</v>
      </c>
      <c r="D873" s="64">
        <v>0</v>
      </c>
      <c r="E873" s="279" t="s">
        <v>4743</v>
      </c>
    </row>
    <row r="874" spans="1:5" ht="12.75">
      <c r="A874" s="1090"/>
      <c r="B874" s="74" t="s">
        <v>4743</v>
      </c>
      <c r="C874" s="64" t="s">
        <v>4743</v>
      </c>
      <c r="D874" s="64">
        <v>0</v>
      </c>
      <c r="E874" s="279" t="s">
        <v>4743</v>
      </c>
    </row>
    <row r="875" spans="1:5" ht="12.75">
      <c r="A875" s="1090"/>
      <c r="B875" s="74" t="s">
        <v>4743</v>
      </c>
      <c r="C875" s="64" t="s">
        <v>4743</v>
      </c>
      <c r="D875" s="64">
        <v>0</v>
      </c>
      <c r="E875" s="279" t="s">
        <v>4743</v>
      </c>
    </row>
    <row r="876" spans="1:5" ht="12.75">
      <c r="A876" s="1090"/>
      <c r="B876" s="74" t="s">
        <v>4743</v>
      </c>
      <c r="C876" s="64" t="s">
        <v>4743</v>
      </c>
      <c r="D876" s="64">
        <v>0</v>
      </c>
      <c r="E876" s="279" t="s">
        <v>4743</v>
      </c>
    </row>
    <row r="877" spans="1:5" ht="12.75">
      <c r="A877" s="1090"/>
      <c r="B877" s="74" t="s">
        <v>4743</v>
      </c>
      <c r="C877" s="64" t="s">
        <v>4743</v>
      </c>
      <c r="D877" s="64">
        <v>0</v>
      </c>
      <c r="E877" s="279" t="s">
        <v>4743</v>
      </c>
    </row>
    <row r="878" spans="1:5" ht="12.75">
      <c r="A878" s="1090"/>
      <c r="B878" s="74" t="s">
        <v>4743</v>
      </c>
      <c r="C878" s="64" t="s">
        <v>4743</v>
      </c>
      <c r="D878" s="64">
        <v>0</v>
      </c>
      <c r="E878" s="279" t="s">
        <v>4743</v>
      </c>
    </row>
    <row r="879" spans="1:5" ht="12.75">
      <c r="A879" s="1090"/>
      <c r="B879" s="74" t="s">
        <v>4743</v>
      </c>
      <c r="C879" s="64" t="s">
        <v>4743</v>
      </c>
      <c r="D879" s="64">
        <v>0</v>
      </c>
      <c r="E879" s="279" t="s">
        <v>4743</v>
      </c>
    </row>
    <row r="880" spans="1:5" ht="12.75">
      <c r="A880" s="1090"/>
      <c r="B880" s="74" t="s">
        <v>4743</v>
      </c>
      <c r="C880" s="64" t="s">
        <v>4743</v>
      </c>
      <c r="D880" s="64">
        <v>0</v>
      </c>
      <c r="E880" s="279" t="s">
        <v>4743</v>
      </c>
    </row>
    <row r="881" spans="1:5" ht="12.75">
      <c r="A881" s="1090"/>
      <c r="B881" s="74" t="s">
        <v>4743</v>
      </c>
      <c r="C881" s="64" t="s">
        <v>4743</v>
      </c>
      <c r="D881" s="64">
        <v>0</v>
      </c>
      <c r="E881" s="279" t="s">
        <v>4743</v>
      </c>
    </row>
    <row r="882" spans="1:5" ht="12.75">
      <c r="A882" s="1090"/>
      <c r="B882" s="74" t="s">
        <v>4743</v>
      </c>
      <c r="C882" s="64" t="s">
        <v>4743</v>
      </c>
      <c r="D882" s="64">
        <v>0</v>
      </c>
      <c r="E882" s="279" t="s">
        <v>4743</v>
      </c>
    </row>
    <row r="883" spans="1:5" ht="12.75">
      <c r="A883" s="1090"/>
      <c r="B883" s="74" t="s">
        <v>4743</v>
      </c>
      <c r="C883" s="64" t="s">
        <v>4743</v>
      </c>
      <c r="D883" s="64">
        <v>0</v>
      </c>
      <c r="E883" s="279" t="s">
        <v>4743</v>
      </c>
    </row>
    <row r="884" spans="1:5" ht="12.75">
      <c r="A884" s="1090"/>
      <c r="B884" s="74" t="s">
        <v>4743</v>
      </c>
      <c r="C884" s="64" t="s">
        <v>4743</v>
      </c>
      <c r="D884" s="64">
        <v>0</v>
      </c>
      <c r="E884" s="279" t="s">
        <v>4743</v>
      </c>
    </row>
    <row r="885" spans="1:5" ht="12.75">
      <c r="A885" s="1090"/>
      <c r="B885" s="74" t="s">
        <v>4743</v>
      </c>
      <c r="C885" s="64" t="s">
        <v>4743</v>
      </c>
      <c r="D885" s="64">
        <v>0</v>
      </c>
      <c r="E885" s="279" t="s">
        <v>4743</v>
      </c>
    </row>
    <row r="886" spans="1:5" ht="12.75">
      <c r="A886" s="1090"/>
      <c r="B886" s="74" t="s">
        <v>4743</v>
      </c>
      <c r="C886" s="64" t="s">
        <v>4743</v>
      </c>
      <c r="D886" s="64">
        <v>0</v>
      </c>
      <c r="E886" s="279" t="s">
        <v>4743</v>
      </c>
    </row>
    <row r="887" spans="1:5" ht="12.75">
      <c r="A887" s="1090"/>
      <c r="B887" s="74" t="s">
        <v>4743</v>
      </c>
      <c r="C887" s="64" t="s">
        <v>4743</v>
      </c>
      <c r="D887" s="64">
        <v>0</v>
      </c>
      <c r="E887" s="279" t="s">
        <v>4743</v>
      </c>
    </row>
    <row r="888" spans="1:5" ht="12.75">
      <c r="A888" s="1090"/>
      <c r="B888" s="74" t="s">
        <v>4743</v>
      </c>
      <c r="C888" s="64" t="s">
        <v>4743</v>
      </c>
      <c r="D888" s="64">
        <v>0</v>
      </c>
      <c r="E888" s="279" t="s">
        <v>4743</v>
      </c>
    </row>
    <row r="889" spans="1:5" ht="12.75">
      <c r="A889" s="1090"/>
      <c r="B889" s="74" t="s">
        <v>4743</v>
      </c>
      <c r="C889" s="64" t="s">
        <v>4743</v>
      </c>
      <c r="D889" s="64">
        <v>0</v>
      </c>
      <c r="E889" s="279" t="s">
        <v>4743</v>
      </c>
    </row>
    <row r="890" spans="1:5" ht="12.75">
      <c r="A890" s="1090"/>
      <c r="B890" s="74" t="s">
        <v>4743</v>
      </c>
      <c r="C890" s="64" t="s">
        <v>4743</v>
      </c>
      <c r="D890" s="64">
        <v>0</v>
      </c>
      <c r="E890" s="279" t="s">
        <v>4743</v>
      </c>
    </row>
    <row r="891" spans="1:5" ht="12.75">
      <c r="A891" s="1090"/>
      <c r="B891" s="74" t="s">
        <v>4743</v>
      </c>
      <c r="C891" s="64" t="s">
        <v>4743</v>
      </c>
      <c r="D891" s="64">
        <v>0</v>
      </c>
      <c r="E891" s="279" t="s">
        <v>4743</v>
      </c>
    </row>
    <row r="892" spans="1:5" ht="12.75">
      <c r="A892" s="1090"/>
      <c r="B892" s="74" t="s">
        <v>4743</v>
      </c>
      <c r="C892" s="64" t="s">
        <v>4743</v>
      </c>
      <c r="D892" s="64">
        <v>0</v>
      </c>
      <c r="E892" s="279" t="s">
        <v>4743</v>
      </c>
    </row>
    <row r="893" spans="1:5" ht="12.75">
      <c r="A893" s="1090"/>
      <c r="B893" s="74" t="s">
        <v>4743</v>
      </c>
      <c r="C893" s="64" t="s">
        <v>4743</v>
      </c>
      <c r="D893" s="64">
        <v>0</v>
      </c>
      <c r="E893" s="279" t="s">
        <v>4743</v>
      </c>
    </row>
    <row r="894" spans="1:5" ht="12.75">
      <c r="A894" s="1090"/>
      <c r="B894" s="74" t="s">
        <v>4743</v>
      </c>
      <c r="C894" s="64" t="s">
        <v>4743</v>
      </c>
      <c r="D894" s="64">
        <v>0</v>
      </c>
      <c r="E894" s="279" t="s">
        <v>4743</v>
      </c>
    </row>
    <row r="895" spans="1:5" ht="12.75">
      <c r="A895" s="1090"/>
      <c r="B895" s="74" t="s">
        <v>4743</v>
      </c>
      <c r="C895" s="64" t="s">
        <v>4743</v>
      </c>
      <c r="D895" s="64">
        <v>0</v>
      </c>
      <c r="E895" s="279" t="s">
        <v>4743</v>
      </c>
    </row>
    <row r="896" spans="1:5" ht="12.75">
      <c r="A896" s="1090"/>
      <c r="B896" s="74" t="s">
        <v>4743</v>
      </c>
      <c r="C896" s="64" t="s">
        <v>4743</v>
      </c>
      <c r="D896" s="64">
        <v>0</v>
      </c>
      <c r="E896" s="279" t="s">
        <v>4743</v>
      </c>
    </row>
    <row r="897" spans="1:5" ht="12.75">
      <c r="A897" s="1090"/>
      <c r="B897" s="74" t="s">
        <v>4743</v>
      </c>
      <c r="C897" s="64" t="s">
        <v>4743</v>
      </c>
      <c r="D897" s="64">
        <v>0</v>
      </c>
      <c r="E897" s="279" t="s">
        <v>4743</v>
      </c>
    </row>
    <row r="898" spans="1:5" ht="12.75">
      <c r="A898" s="1090"/>
      <c r="B898" s="74" t="s">
        <v>4743</v>
      </c>
      <c r="C898" s="64" t="s">
        <v>4743</v>
      </c>
      <c r="D898" s="64">
        <v>0</v>
      </c>
      <c r="E898" s="279" t="s">
        <v>4743</v>
      </c>
    </row>
    <row r="899" spans="1:5" ht="12.75">
      <c r="A899" s="1090"/>
      <c r="B899" s="74" t="s">
        <v>4743</v>
      </c>
      <c r="C899" s="64" t="s">
        <v>4743</v>
      </c>
      <c r="D899" s="64">
        <v>0</v>
      </c>
      <c r="E899" s="279" t="s">
        <v>4743</v>
      </c>
    </row>
    <row r="900" spans="1:5" ht="12.75">
      <c r="A900" s="1090"/>
      <c r="B900" s="74" t="s">
        <v>4743</v>
      </c>
      <c r="C900" s="64" t="s">
        <v>4743</v>
      </c>
      <c r="D900" s="64">
        <v>0</v>
      </c>
      <c r="E900" s="279" t="s">
        <v>4743</v>
      </c>
    </row>
    <row r="901" spans="1:5" ht="12.75">
      <c r="A901" s="1090"/>
      <c r="B901" s="74" t="s">
        <v>4743</v>
      </c>
      <c r="C901" s="64" t="s">
        <v>4743</v>
      </c>
      <c r="D901" s="64">
        <v>0</v>
      </c>
      <c r="E901" s="279" t="s">
        <v>4743</v>
      </c>
    </row>
    <row r="902" spans="1:5" ht="12.75">
      <c r="A902" s="1090"/>
      <c r="B902" s="74" t="s">
        <v>4743</v>
      </c>
      <c r="C902" s="64" t="s">
        <v>4743</v>
      </c>
      <c r="D902" s="64">
        <v>0</v>
      </c>
      <c r="E902" s="279" t="s">
        <v>4743</v>
      </c>
    </row>
    <row r="903" spans="1:5" ht="12.75">
      <c r="A903" s="1090"/>
      <c r="B903" s="74" t="s">
        <v>4743</v>
      </c>
      <c r="C903" s="64" t="s">
        <v>4743</v>
      </c>
      <c r="D903" s="64">
        <v>0</v>
      </c>
      <c r="E903" s="279" t="s">
        <v>4743</v>
      </c>
    </row>
    <row r="904" spans="1:5" ht="12.75">
      <c r="A904" s="1090"/>
      <c r="B904" s="74" t="s">
        <v>4743</v>
      </c>
      <c r="C904" s="64" t="s">
        <v>4743</v>
      </c>
      <c r="D904" s="64">
        <v>0</v>
      </c>
      <c r="E904" s="279" t="s">
        <v>4743</v>
      </c>
    </row>
    <row r="905" spans="1:5" ht="12.75">
      <c r="A905" s="1090"/>
      <c r="B905" s="74" t="s">
        <v>4743</v>
      </c>
      <c r="C905" s="64" t="s">
        <v>4743</v>
      </c>
      <c r="D905" s="64">
        <v>0</v>
      </c>
      <c r="E905" s="279" t="s">
        <v>4743</v>
      </c>
    </row>
    <row r="906" spans="1:5" ht="12.75">
      <c r="A906" s="1090"/>
      <c r="B906" s="74" t="s">
        <v>4743</v>
      </c>
      <c r="C906" s="64" t="s">
        <v>4743</v>
      </c>
      <c r="D906" s="64">
        <v>0</v>
      </c>
      <c r="E906" s="279" t="s">
        <v>4743</v>
      </c>
    </row>
    <row r="907" spans="1:5" ht="12.75">
      <c r="A907" s="1090"/>
      <c r="B907" s="74" t="s">
        <v>4743</v>
      </c>
      <c r="C907" s="64" t="s">
        <v>4743</v>
      </c>
      <c r="D907" s="64">
        <v>0</v>
      </c>
      <c r="E907" s="279" t="s">
        <v>4743</v>
      </c>
    </row>
    <row r="908" spans="1:5" ht="12.75">
      <c r="A908" s="1090"/>
      <c r="B908" s="74" t="s">
        <v>4743</v>
      </c>
      <c r="C908" s="64" t="s">
        <v>4743</v>
      </c>
      <c r="D908" s="64">
        <v>0</v>
      </c>
      <c r="E908" s="279" t="s">
        <v>4743</v>
      </c>
    </row>
    <row r="909" spans="1:5" ht="12.75">
      <c r="A909" s="1090"/>
      <c r="B909" s="74" t="s">
        <v>4743</v>
      </c>
      <c r="C909" s="64" t="s">
        <v>4743</v>
      </c>
      <c r="D909" s="64">
        <v>0</v>
      </c>
      <c r="E909" s="279" t="s">
        <v>4743</v>
      </c>
    </row>
    <row r="910" spans="1:5" ht="12.75">
      <c r="A910" s="1090"/>
      <c r="B910" s="74" t="s">
        <v>4743</v>
      </c>
      <c r="C910" s="64" t="s">
        <v>4743</v>
      </c>
      <c r="D910" s="64">
        <v>0</v>
      </c>
      <c r="E910" s="279" t="s">
        <v>4743</v>
      </c>
    </row>
    <row r="911" spans="1:5" ht="12.75">
      <c r="A911" s="1090"/>
      <c r="B911" s="74" t="s">
        <v>4743</v>
      </c>
      <c r="C911" s="64" t="s">
        <v>4743</v>
      </c>
      <c r="D911" s="64">
        <v>0</v>
      </c>
      <c r="E911" s="279" t="s">
        <v>4743</v>
      </c>
    </row>
    <row r="912" spans="1:5" ht="12.75">
      <c r="A912" s="1090"/>
      <c r="B912" s="74" t="s">
        <v>4743</v>
      </c>
      <c r="C912" s="64" t="s">
        <v>4743</v>
      </c>
      <c r="D912" s="64">
        <v>0</v>
      </c>
      <c r="E912" s="279" t="s">
        <v>4743</v>
      </c>
    </row>
    <row r="913" spans="1:5" ht="12.75">
      <c r="A913" s="1090"/>
      <c r="B913" s="74" t="s">
        <v>4743</v>
      </c>
      <c r="C913" s="64" t="s">
        <v>4743</v>
      </c>
      <c r="D913" s="64">
        <v>0</v>
      </c>
      <c r="E913" s="279" t="s">
        <v>4743</v>
      </c>
    </row>
    <row r="914" spans="1:5" ht="12.75">
      <c r="A914" s="1090"/>
      <c r="B914" s="74" t="s">
        <v>4743</v>
      </c>
      <c r="C914" s="64" t="s">
        <v>4743</v>
      </c>
      <c r="D914" s="64">
        <v>0</v>
      </c>
      <c r="E914" s="279" t="s">
        <v>4743</v>
      </c>
    </row>
    <row r="915" spans="1:5" ht="12.75">
      <c r="A915" s="1090"/>
      <c r="B915" s="74" t="s">
        <v>4743</v>
      </c>
      <c r="C915" s="64" t="s">
        <v>4743</v>
      </c>
      <c r="D915" s="64">
        <v>0</v>
      </c>
      <c r="E915" s="279" t="s">
        <v>4743</v>
      </c>
    </row>
    <row r="916" spans="1:5" ht="12.75">
      <c r="A916" s="1090"/>
      <c r="B916" s="74" t="s">
        <v>4743</v>
      </c>
      <c r="C916" s="64" t="s">
        <v>4743</v>
      </c>
      <c r="D916" s="64">
        <v>0</v>
      </c>
      <c r="E916" s="279" t="s">
        <v>4743</v>
      </c>
    </row>
    <row r="917" spans="1:5" ht="12.75">
      <c r="A917" s="1090"/>
      <c r="B917" s="74" t="s">
        <v>4743</v>
      </c>
      <c r="C917" s="64" t="s">
        <v>4743</v>
      </c>
      <c r="D917" s="64">
        <v>0</v>
      </c>
      <c r="E917" s="279" t="s">
        <v>4743</v>
      </c>
    </row>
    <row r="918" spans="1:5" ht="12.75">
      <c r="A918" s="1090"/>
      <c r="B918" s="74" t="s">
        <v>4743</v>
      </c>
      <c r="C918" s="64" t="s">
        <v>4743</v>
      </c>
      <c r="D918" s="64">
        <v>0</v>
      </c>
      <c r="E918" s="279" t="s">
        <v>4743</v>
      </c>
    </row>
    <row r="919" spans="1:5" ht="12.75">
      <c r="A919" s="1090"/>
      <c r="B919" s="74" t="s">
        <v>4743</v>
      </c>
      <c r="C919" s="64" t="s">
        <v>4743</v>
      </c>
      <c r="D919" s="64">
        <v>0</v>
      </c>
      <c r="E919" s="279" t="s">
        <v>4743</v>
      </c>
    </row>
    <row r="920" spans="1:5" ht="12.75">
      <c r="A920" s="1090"/>
      <c r="B920" s="74" t="s">
        <v>4743</v>
      </c>
      <c r="C920" s="64" t="s">
        <v>4743</v>
      </c>
      <c r="D920" s="64">
        <v>0</v>
      </c>
      <c r="E920" s="279" t="s">
        <v>4743</v>
      </c>
    </row>
    <row r="921" spans="1:5" ht="12.75">
      <c r="A921" s="1090"/>
      <c r="B921" s="74" t="s">
        <v>4743</v>
      </c>
      <c r="C921" s="64" t="s">
        <v>4743</v>
      </c>
      <c r="D921" s="64">
        <v>0</v>
      </c>
      <c r="E921" s="279" t="s">
        <v>4743</v>
      </c>
    </row>
    <row r="922" spans="1:5" ht="12.75">
      <c r="A922" s="1090"/>
      <c r="B922" s="74" t="s">
        <v>4743</v>
      </c>
      <c r="C922" s="64" t="s">
        <v>4743</v>
      </c>
      <c r="D922" s="64">
        <v>0</v>
      </c>
      <c r="E922" s="279" t="s">
        <v>4743</v>
      </c>
    </row>
    <row r="923" spans="1:5" ht="12.75">
      <c r="A923" s="1090"/>
      <c r="B923" s="74" t="s">
        <v>4743</v>
      </c>
      <c r="C923" s="64" t="s">
        <v>4743</v>
      </c>
      <c r="D923" s="64">
        <v>0</v>
      </c>
      <c r="E923" s="279" t="s">
        <v>4743</v>
      </c>
    </row>
    <row r="924" spans="1:5" ht="12.75">
      <c r="A924" s="1090"/>
      <c r="B924" s="74" t="s">
        <v>4743</v>
      </c>
      <c r="C924" s="64" t="s">
        <v>4743</v>
      </c>
      <c r="D924" s="64">
        <v>0</v>
      </c>
      <c r="E924" s="279" t="s">
        <v>4743</v>
      </c>
    </row>
    <row r="925" spans="1:5" ht="12.75">
      <c r="A925" s="1090"/>
      <c r="B925" s="74" t="s">
        <v>4743</v>
      </c>
      <c r="C925" s="64" t="s">
        <v>4743</v>
      </c>
      <c r="D925" s="64">
        <v>0</v>
      </c>
      <c r="E925" s="279" t="s">
        <v>4743</v>
      </c>
    </row>
    <row r="926" spans="1:5" ht="12.75">
      <c r="A926" s="1090"/>
      <c r="B926" s="74" t="s">
        <v>4743</v>
      </c>
      <c r="C926" s="64" t="s">
        <v>4743</v>
      </c>
      <c r="D926" s="64">
        <v>0</v>
      </c>
      <c r="E926" s="279" t="s">
        <v>4743</v>
      </c>
    </row>
    <row r="927" spans="1:5" ht="12.75">
      <c r="A927" s="1090"/>
      <c r="B927" s="74" t="s">
        <v>4743</v>
      </c>
      <c r="C927" s="64" t="s">
        <v>4743</v>
      </c>
      <c r="D927" s="64">
        <v>0</v>
      </c>
      <c r="E927" s="279" t="s">
        <v>4743</v>
      </c>
    </row>
    <row r="928" spans="1:5" ht="12.75">
      <c r="A928" s="1090"/>
      <c r="B928" s="74" t="s">
        <v>4743</v>
      </c>
      <c r="C928" s="64" t="s">
        <v>4743</v>
      </c>
      <c r="D928" s="64">
        <v>0</v>
      </c>
      <c r="E928" s="279" t="s">
        <v>4743</v>
      </c>
    </row>
    <row r="929" spans="1:5" ht="12.75">
      <c r="A929" s="1090"/>
      <c r="B929" s="74" t="s">
        <v>4743</v>
      </c>
      <c r="C929" s="64" t="s">
        <v>4743</v>
      </c>
      <c r="D929" s="64">
        <v>0</v>
      </c>
      <c r="E929" s="279" t="s">
        <v>4743</v>
      </c>
    </row>
    <row r="930" spans="1:5" ht="12.75">
      <c r="A930" s="1090"/>
      <c r="B930" s="74" t="s">
        <v>4743</v>
      </c>
      <c r="C930" s="64" t="s">
        <v>4743</v>
      </c>
      <c r="D930" s="64">
        <v>0</v>
      </c>
      <c r="E930" s="279" t="s">
        <v>4743</v>
      </c>
    </row>
    <row r="931" spans="1:5" ht="12.75">
      <c r="A931" s="1090"/>
      <c r="B931" s="74" t="s">
        <v>4743</v>
      </c>
      <c r="C931" s="64" t="s">
        <v>4743</v>
      </c>
      <c r="D931" s="64">
        <v>0</v>
      </c>
      <c r="E931" s="279" t="s">
        <v>4743</v>
      </c>
    </row>
    <row r="932" spans="1:5" ht="12.75">
      <c r="A932" s="1090"/>
      <c r="B932" s="74" t="s">
        <v>4743</v>
      </c>
      <c r="C932" s="64" t="s">
        <v>4743</v>
      </c>
      <c r="D932" s="64">
        <v>0</v>
      </c>
      <c r="E932" s="279" t="s">
        <v>4743</v>
      </c>
    </row>
    <row r="933" spans="1:5" ht="12.75">
      <c r="A933" s="1090"/>
      <c r="B933" s="74" t="s">
        <v>4743</v>
      </c>
      <c r="C933" s="64" t="s">
        <v>4743</v>
      </c>
      <c r="D933" s="64">
        <v>0</v>
      </c>
      <c r="E933" s="279" t="s">
        <v>4743</v>
      </c>
    </row>
    <row r="934" spans="1:5" ht="12.75">
      <c r="A934" s="1090"/>
      <c r="B934" s="74" t="s">
        <v>4743</v>
      </c>
      <c r="C934" s="64" t="s">
        <v>4743</v>
      </c>
      <c r="D934" s="64">
        <v>0</v>
      </c>
      <c r="E934" s="279" t="s">
        <v>4743</v>
      </c>
    </row>
    <row r="935" spans="1:5" ht="12.75">
      <c r="A935" s="1090"/>
      <c r="B935" s="74" t="s">
        <v>4743</v>
      </c>
      <c r="C935" s="64" t="s">
        <v>4743</v>
      </c>
      <c r="D935" s="64">
        <v>0</v>
      </c>
      <c r="E935" s="279" t="s">
        <v>4743</v>
      </c>
    </row>
    <row r="936" spans="1:5" ht="12.75">
      <c r="A936" s="1090"/>
      <c r="B936" s="74" t="s">
        <v>4743</v>
      </c>
      <c r="C936" s="64" t="s">
        <v>4743</v>
      </c>
      <c r="D936" s="64">
        <v>0</v>
      </c>
      <c r="E936" s="279" t="s">
        <v>4743</v>
      </c>
    </row>
    <row r="937" spans="1:5" ht="12.75">
      <c r="A937" s="1090"/>
      <c r="B937" s="74" t="s">
        <v>4743</v>
      </c>
      <c r="C937" s="64" t="s">
        <v>4743</v>
      </c>
      <c r="D937" s="64">
        <v>0</v>
      </c>
      <c r="E937" s="279" t="s">
        <v>4743</v>
      </c>
    </row>
    <row r="938" spans="1:5" ht="12.75">
      <c r="A938" s="1090"/>
      <c r="B938" s="74" t="s">
        <v>4743</v>
      </c>
      <c r="C938" s="64" t="s">
        <v>4743</v>
      </c>
      <c r="D938" s="64">
        <v>0</v>
      </c>
      <c r="E938" s="279" t="s">
        <v>4743</v>
      </c>
    </row>
    <row r="939" spans="1:5" ht="12.75">
      <c r="A939" s="1090"/>
      <c r="B939" s="74" t="s">
        <v>4743</v>
      </c>
      <c r="C939" s="64" t="s">
        <v>4743</v>
      </c>
      <c r="D939" s="64">
        <v>0</v>
      </c>
      <c r="E939" s="279" t="s">
        <v>4743</v>
      </c>
    </row>
    <row r="940" spans="1:5" ht="12.75">
      <c r="A940" s="1090"/>
      <c r="B940" s="74" t="s">
        <v>4743</v>
      </c>
      <c r="C940" s="64" t="s">
        <v>4743</v>
      </c>
      <c r="D940" s="64">
        <v>0</v>
      </c>
      <c r="E940" s="279" t="s">
        <v>4743</v>
      </c>
    </row>
    <row r="941" spans="1:5" ht="12.75">
      <c r="A941" s="1090"/>
      <c r="B941" s="74" t="s">
        <v>4743</v>
      </c>
      <c r="C941" s="64" t="s">
        <v>4743</v>
      </c>
      <c r="D941" s="64">
        <v>0</v>
      </c>
      <c r="E941" s="279" t="s">
        <v>4743</v>
      </c>
    </row>
    <row r="942" spans="1:5" ht="12.75">
      <c r="A942" s="1090"/>
      <c r="B942" s="74" t="s">
        <v>4743</v>
      </c>
      <c r="C942" s="64" t="s">
        <v>4743</v>
      </c>
      <c r="D942" s="64">
        <v>0</v>
      </c>
      <c r="E942" s="279" t="s">
        <v>4743</v>
      </c>
    </row>
    <row r="943" spans="1:5" ht="12.75">
      <c r="A943" s="1090"/>
      <c r="B943" s="74" t="s">
        <v>4743</v>
      </c>
      <c r="C943" s="64" t="s">
        <v>4743</v>
      </c>
      <c r="D943" s="64">
        <v>0</v>
      </c>
      <c r="E943" s="279" t="s">
        <v>4743</v>
      </c>
    </row>
    <row r="944" spans="1:5" ht="12.75">
      <c r="A944" s="1090"/>
      <c r="B944" s="74" t="s">
        <v>4743</v>
      </c>
      <c r="C944" s="64" t="s">
        <v>4743</v>
      </c>
      <c r="D944" s="64">
        <v>0</v>
      </c>
      <c r="E944" s="279" t="s">
        <v>4743</v>
      </c>
    </row>
    <row r="945" spans="1:5" ht="12.75">
      <c r="A945" s="1090"/>
      <c r="B945" s="74" t="s">
        <v>4743</v>
      </c>
      <c r="C945" s="64" t="s">
        <v>4743</v>
      </c>
      <c r="D945" s="64">
        <v>0</v>
      </c>
      <c r="E945" s="279" t="s">
        <v>4743</v>
      </c>
    </row>
    <row r="946" spans="1:5" ht="12.75">
      <c r="A946" s="1090"/>
      <c r="B946" s="74" t="s">
        <v>4743</v>
      </c>
      <c r="C946" s="64" t="s">
        <v>4743</v>
      </c>
      <c r="D946" s="64">
        <v>0</v>
      </c>
      <c r="E946" s="279" t="s">
        <v>4743</v>
      </c>
    </row>
    <row r="947" spans="1:5" ht="12.75">
      <c r="A947" s="1090"/>
      <c r="B947" s="74" t="s">
        <v>4743</v>
      </c>
      <c r="C947" s="64" t="s">
        <v>4743</v>
      </c>
      <c r="D947" s="64">
        <v>0</v>
      </c>
      <c r="E947" s="279" t="s">
        <v>4743</v>
      </c>
    </row>
    <row r="948" spans="1:5" ht="12.75">
      <c r="A948" s="1090"/>
      <c r="B948" s="74" t="s">
        <v>4743</v>
      </c>
      <c r="C948" s="64" t="s">
        <v>4743</v>
      </c>
      <c r="D948" s="64">
        <v>0</v>
      </c>
      <c r="E948" s="279" t="s">
        <v>4743</v>
      </c>
    </row>
    <row r="949" spans="1:5" ht="12.75">
      <c r="A949" s="1090"/>
      <c r="B949" s="74" t="s">
        <v>4743</v>
      </c>
      <c r="C949" s="64" t="s">
        <v>4743</v>
      </c>
      <c r="D949" s="64">
        <v>0</v>
      </c>
      <c r="E949" s="279" t="s">
        <v>4743</v>
      </c>
    </row>
    <row r="950" spans="1:5" ht="12.75">
      <c r="A950" s="1090"/>
      <c r="B950" s="74" t="s">
        <v>4743</v>
      </c>
      <c r="C950" s="64" t="s">
        <v>4743</v>
      </c>
      <c r="D950" s="64">
        <v>0</v>
      </c>
      <c r="E950" s="279" t="s">
        <v>4743</v>
      </c>
    </row>
    <row r="951" spans="1:5" ht="12.75">
      <c r="A951" s="1090"/>
      <c r="B951" s="74" t="s">
        <v>4743</v>
      </c>
      <c r="C951" s="64" t="s">
        <v>4743</v>
      </c>
      <c r="D951" s="64">
        <v>0</v>
      </c>
      <c r="E951" s="279" t="s">
        <v>4743</v>
      </c>
    </row>
    <row r="952" spans="1:5" ht="12.75">
      <c r="A952" s="1090"/>
      <c r="B952" s="74" t="s">
        <v>4743</v>
      </c>
      <c r="C952" s="64" t="s">
        <v>4743</v>
      </c>
      <c r="D952" s="64">
        <v>0</v>
      </c>
      <c r="E952" s="279" t="s">
        <v>4743</v>
      </c>
    </row>
    <row r="953" spans="1:5" ht="12.75">
      <c r="A953" s="1090"/>
      <c r="B953" s="74" t="s">
        <v>4743</v>
      </c>
      <c r="C953" s="64" t="s">
        <v>4743</v>
      </c>
      <c r="D953" s="64">
        <v>0</v>
      </c>
      <c r="E953" s="279" t="s">
        <v>4743</v>
      </c>
    </row>
    <row r="954" spans="1:5" ht="12.75">
      <c r="A954" s="1090"/>
      <c r="B954" s="74" t="s">
        <v>4743</v>
      </c>
      <c r="C954" s="64" t="s">
        <v>4743</v>
      </c>
      <c r="D954" s="64">
        <v>0</v>
      </c>
      <c r="E954" s="279" t="s">
        <v>4743</v>
      </c>
    </row>
    <row r="955" spans="1:5" ht="12.75">
      <c r="A955" s="1090"/>
      <c r="B955" s="74" t="s">
        <v>4743</v>
      </c>
      <c r="C955" s="64" t="s">
        <v>4743</v>
      </c>
      <c r="D955" s="64">
        <v>0</v>
      </c>
      <c r="E955" s="279" t="s">
        <v>4743</v>
      </c>
    </row>
    <row r="956" spans="1:5" ht="12.75">
      <c r="A956" s="1090"/>
      <c r="B956" s="74" t="s">
        <v>4743</v>
      </c>
      <c r="C956" s="64" t="s">
        <v>4743</v>
      </c>
      <c r="D956" s="64">
        <v>0</v>
      </c>
      <c r="E956" s="279" t="s">
        <v>4743</v>
      </c>
    </row>
    <row r="957" spans="1:5" ht="12.75">
      <c r="A957" s="1090"/>
      <c r="B957" s="74" t="s">
        <v>4743</v>
      </c>
      <c r="C957" s="64" t="s">
        <v>4743</v>
      </c>
      <c r="D957" s="64">
        <v>0</v>
      </c>
      <c r="E957" s="279" t="s">
        <v>4743</v>
      </c>
    </row>
    <row r="958" spans="1:5" ht="12.75">
      <c r="A958" s="1090"/>
      <c r="B958" s="74" t="s">
        <v>4743</v>
      </c>
      <c r="C958" s="64" t="s">
        <v>4743</v>
      </c>
      <c r="D958" s="64">
        <v>0</v>
      </c>
      <c r="E958" s="279" t="s">
        <v>4743</v>
      </c>
    </row>
    <row r="959" spans="1:5" ht="12.75">
      <c r="A959" s="1090"/>
      <c r="B959" s="74" t="s">
        <v>4743</v>
      </c>
      <c r="C959" s="64" t="s">
        <v>4743</v>
      </c>
      <c r="D959" s="64">
        <v>0</v>
      </c>
      <c r="E959" s="279" t="s">
        <v>4743</v>
      </c>
    </row>
    <row r="960" spans="1:5" ht="12.75">
      <c r="A960" s="1090"/>
      <c r="B960" s="74" t="s">
        <v>4743</v>
      </c>
      <c r="C960" s="64" t="s">
        <v>4743</v>
      </c>
      <c r="D960" s="64">
        <v>0</v>
      </c>
      <c r="E960" s="279" t="s">
        <v>4743</v>
      </c>
    </row>
    <row r="961" spans="1:5" ht="12.75">
      <c r="A961" s="1090"/>
      <c r="B961" s="74" t="s">
        <v>4743</v>
      </c>
      <c r="C961" s="64" t="s">
        <v>4743</v>
      </c>
      <c r="D961" s="64">
        <v>0</v>
      </c>
      <c r="E961" s="279" t="s">
        <v>4743</v>
      </c>
    </row>
    <row r="962" spans="1:5" ht="12.75">
      <c r="A962" s="1090"/>
      <c r="B962" s="74" t="s">
        <v>4743</v>
      </c>
      <c r="C962" s="64" t="s">
        <v>4743</v>
      </c>
      <c r="D962" s="64">
        <v>0</v>
      </c>
      <c r="E962" s="279" t="s">
        <v>4743</v>
      </c>
    </row>
    <row r="963" spans="1:5" ht="12.75">
      <c r="A963" s="1090"/>
      <c r="B963" s="74" t="s">
        <v>4743</v>
      </c>
      <c r="C963" s="64" t="s">
        <v>4743</v>
      </c>
      <c r="D963" s="64">
        <v>0</v>
      </c>
      <c r="E963" s="279" t="s">
        <v>4743</v>
      </c>
    </row>
    <row r="964" spans="1:5" ht="12.75">
      <c r="A964" s="1090"/>
      <c r="B964" s="74" t="s">
        <v>4743</v>
      </c>
      <c r="C964" s="64" t="s">
        <v>4743</v>
      </c>
      <c r="D964" s="64">
        <v>0</v>
      </c>
      <c r="E964" s="279" t="s">
        <v>4743</v>
      </c>
    </row>
    <row r="965" spans="1:5" ht="12.75">
      <c r="A965" s="1090"/>
      <c r="B965" s="74" t="s">
        <v>4743</v>
      </c>
      <c r="C965" s="64" t="s">
        <v>4743</v>
      </c>
      <c r="D965" s="64">
        <v>0</v>
      </c>
      <c r="E965" s="279" t="s">
        <v>4743</v>
      </c>
    </row>
    <row r="966" spans="1:5" ht="12.75">
      <c r="A966" s="1090"/>
      <c r="B966" s="74" t="s">
        <v>4743</v>
      </c>
      <c r="C966" s="64" t="s">
        <v>4743</v>
      </c>
      <c r="D966" s="64">
        <v>0</v>
      </c>
      <c r="E966" s="279" t="s">
        <v>4743</v>
      </c>
    </row>
    <row r="967" spans="1:5" ht="12.75">
      <c r="A967" s="1090"/>
      <c r="B967" s="74" t="s">
        <v>4743</v>
      </c>
      <c r="C967" s="64" t="s">
        <v>4743</v>
      </c>
      <c r="D967" s="64">
        <v>0</v>
      </c>
      <c r="E967" s="279" t="s">
        <v>4743</v>
      </c>
    </row>
    <row r="968" spans="1:5" ht="12.75">
      <c r="A968" s="1090"/>
      <c r="B968" s="74" t="s">
        <v>4743</v>
      </c>
      <c r="C968" s="64" t="s">
        <v>4743</v>
      </c>
      <c r="D968" s="64">
        <v>0</v>
      </c>
      <c r="E968" s="279" t="s">
        <v>4743</v>
      </c>
    </row>
    <row r="969" spans="1:5" ht="12.75">
      <c r="A969" s="1090"/>
      <c r="B969" s="74" t="s">
        <v>4743</v>
      </c>
      <c r="C969" s="64" t="s">
        <v>4743</v>
      </c>
      <c r="D969" s="64">
        <v>0</v>
      </c>
      <c r="E969" s="279" t="s">
        <v>4743</v>
      </c>
    </row>
    <row r="970" spans="1:5" ht="12.75">
      <c r="A970" s="1090"/>
      <c r="B970" s="74" t="s">
        <v>4743</v>
      </c>
      <c r="C970" s="64" t="s">
        <v>4743</v>
      </c>
      <c r="D970" s="64">
        <v>0</v>
      </c>
      <c r="E970" s="279" t="s">
        <v>4743</v>
      </c>
    </row>
    <row r="971" spans="1:5" ht="12.75">
      <c r="A971" s="1090"/>
      <c r="B971" s="74" t="s">
        <v>4743</v>
      </c>
      <c r="C971" s="64" t="s">
        <v>4743</v>
      </c>
      <c r="D971" s="64">
        <v>0</v>
      </c>
      <c r="E971" s="279" t="s">
        <v>4743</v>
      </c>
    </row>
    <row r="972" spans="1:5" ht="12.75">
      <c r="A972" s="1090"/>
      <c r="B972" s="74" t="s">
        <v>4743</v>
      </c>
      <c r="C972" s="64" t="s">
        <v>4743</v>
      </c>
      <c r="D972" s="64">
        <v>0</v>
      </c>
      <c r="E972" s="279" t="s">
        <v>4743</v>
      </c>
    </row>
    <row r="973" spans="1:5" ht="12.75">
      <c r="A973" s="1090"/>
      <c r="B973" s="74" t="s">
        <v>4743</v>
      </c>
      <c r="C973" s="64" t="s">
        <v>4743</v>
      </c>
      <c r="D973" s="64">
        <v>0</v>
      </c>
      <c r="E973" s="279" t="s">
        <v>4743</v>
      </c>
    </row>
    <row r="974" spans="1:5" ht="12.75">
      <c r="A974" s="1090"/>
      <c r="B974" s="74" t="s">
        <v>4743</v>
      </c>
      <c r="C974" s="64" t="s">
        <v>4743</v>
      </c>
      <c r="D974" s="64">
        <v>0</v>
      </c>
      <c r="E974" s="279" t="s">
        <v>4743</v>
      </c>
    </row>
    <row r="975" spans="1:5" ht="12.75">
      <c r="A975" s="1090"/>
      <c r="B975" s="74" t="s">
        <v>4743</v>
      </c>
      <c r="C975" s="64" t="s">
        <v>4743</v>
      </c>
      <c r="D975" s="64">
        <v>0</v>
      </c>
      <c r="E975" s="279" t="s">
        <v>4743</v>
      </c>
    </row>
    <row r="976" spans="1:5" ht="12.75">
      <c r="A976" s="1090"/>
      <c r="B976" s="74" t="s">
        <v>4743</v>
      </c>
      <c r="C976" s="64" t="s">
        <v>4743</v>
      </c>
      <c r="D976" s="64">
        <v>0</v>
      </c>
      <c r="E976" s="279" t="s">
        <v>4743</v>
      </c>
    </row>
    <row r="977" spans="1:5" ht="12.75">
      <c r="A977" s="1090"/>
      <c r="B977" s="74" t="s">
        <v>4743</v>
      </c>
      <c r="C977" s="64" t="s">
        <v>4743</v>
      </c>
      <c r="D977" s="64">
        <v>0</v>
      </c>
      <c r="E977" s="279" t="s">
        <v>4743</v>
      </c>
    </row>
    <row r="978" spans="1:5" ht="12.75">
      <c r="A978" s="1090"/>
      <c r="B978" s="74" t="s">
        <v>4743</v>
      </c>
      <c r="C978" s="64" t="s">
        <v>4743</v>
      </c>
      <c r="D978" s="64">
        <v>0</v>
      </c>
      <c r="E978" s="279" t="s">
        <v>4743</v>
      </c>
    </row>
    <row r="979" spans="1:5" ht="12.75">
      <c r="A979" s="1090"/>
      <c r="B979" s="74" t="s">
        <v>4743</v>
      </c>
      <c r="C979" s="64" t="s">
        <v>4743</v>
      </c>
      <c r="D979" s="64">
        <v>0</v>
      </c>
      <c r="E979" s="279" t="s">
        <v>4743</v>
      </c>
    </row>
    <row r="980" spans="1:5" ht="12.75">
      <c r="A980" s="1090"/>
      <c r="B980" s="74" t="s">
        <v>4743</v>
      </c>
      <c r="C980" s="64" t="s">
        <v>4743</v>
      </c>
      <c r="D980" s="64">
        <v>0</v>
      </c>
      <c r="E980" s="279" t="s">
        <v>4743</v>
      </c>
    </row>
    <row r="981" spans="1:5" ht="12.75">
      <c r="A981" s="1090"/>
      <c r="B981" s="74" t="s">
        <v>4743</v>
      </c>
      <c r="C981" s="64" t="s">
        <v>4743</v>
      </c>
      <c r="D981" s="64">
        <v>0</v>
      </c>
      <c r="E981" s="279" t="s">
        <v>4743</v>
      </c>
    </row>
    <row r="982" spans="1:5" ht="12.75">
      <c r="A982" s="1090"/>
      <c r="B982" s="74" t="s">
        <v>4743</v>
      </c>
      <c r="C982" s="64" t="s">
        <v>4743</v>
      </c>
      <c r="D982" s="64">
        <v>0</v>
      </c>
      <c r="E982" s="279" t="s">
        <v>4743</v>
      </c>
    </row>
    <row r="983" spans="1:5" ht="12.75">
      <c r="A983" s="1090"/>
      <c r="B983" s="74" t="s">
        <v>4743</v>
      </c>
      <c r="C983" s="64" t="s">
        <v>4743</v>
      </c>
      <c r="D983" s="64">
        <v>0</v>
      </c>
      <c r="E983" s="279" t="s">
        <v>4743</v>
      </c>
    </row>
    <row r="984" spans="1:5" ht="12.75">
      <c r="A984" s="1090"/>
      <c r="B984" s="74" t="s">
        <v>4743</v>
      </c>
      <c r="C984" s="64" t="s">
        <v>4743</v>
      </c>
      <c r="D984" s="64">
        <v>0</v>
      </c>
      <c r="E984" s="279" t="s">
        <v>4743</v>
      </c>
    </row>
    <row r="985" spans="1:5" ht="12.75">
      <c r="A985" s="1090"/>
      <c r="B985" s="74" t="s">
        <v>4743</v>
      </c>
      <c r="C985" s="64" t="s">
        <v>4743</v>
      </c>
      <c r="D985" s="64">
        <v>0</v>
      </c>
      <c r="E985" s="279" t="s">
        <v>4743</v>
      </c>
    </row>
    <row r="986" spans="1:5" ht="12.75">
      <c r="A986" s="1090"/>
      <c r="B986" s="74" t="s">
        <v>4743</v>
      </c>
      <c r="C986" s="64" t="s">
        <v>4743</v>
      </c>
      <c r="D986" s="64">
        <v>0</v>
      </c>
      <c r="E986" s="279" t="s">
        <v>4743</v>
      </c>
    </row>
    <row r="987" spans="1:5" ht="12.75">
      <c r="A987" s="1090"/>
      <c r="B987" s="74" t="s">
        <v>4743</v>
      </c>
      <c r="C987" s="64" t="s">
        <v>4743</v>
      </c>
      <c r="D987" s="64">
        <v>0</v>
      </c>
      <c r="E987" s="279" t="s">
        <v>4743</v>
      </c>
    </row>
    <row r="988" spans="1:5" ht="12.75">
      <c r="A988" s="1090"/>
      <c r="B988" s="74" t="s">
        <v>4743</v>
      </c>
      <c r="C988" s="64" t="s">
        <v>4743</v>
      </c>
      <c r="D988" s="64">
        <v>0</v>
      </c>
      <c r="E988" s="279" t="s">
        <v>4743</v>
      </c>
    </row>
    <row r="989" spans="1:5" ht="12.75">
      <c r="A989" s="1090"/>
      <c r="B989" s="74" t="s">
        <v>4743</v>
      </c>
      <c r="C989" s="64" t="s">
        <v>4743</v>
      </c>
      <c r="D989" s="64">
        <v>0</v>
      </c>
      <c r="E989" s="279" t="s">
        <v>4743</v>
      </c>
    </row>
    <row r="990" spans="1:5" ht="12.75">
      <c r="A990" s="1090"/>
      <c r="B990" s="74" t="s">
        <v>4743</v>
      </c>
      <c r="C990" s="64" t="s">
        <v>4743</v>
      </c>
      <c r="D990" s="64">
        <v>0</v>
      </c>
      <c r="E990" s="279" t="s">
        <v>4743</v>
      </c>
    </row>
    <row r="991" spans="1:5" ht="12.75">
      <c r="A991" s="1090"/>
      <c r="B991" s="74" t="s">
        <v>4743</v>
      </c>
      <c r="C991" s="64" t="s">
        <v>4743</v>
      </c>
      <c r="D991" s="64">
        <v>0</v>
      </c>
      <c r="E991" s="279" t="s">
        <v>4743</v>
      </c>
    </row>
    <row r="992" spans="1:5" ht="12.75">
      <c r="A992" s="1090"/>
      <c r="B992" s="74" t="s">
        <v>4743</v>
      </c>
      <c r="C992" s="64" t="s">
        <v>4743</v>
      </c>
      <c r="D992" s="64">
        <v>0</v>
      </c>
      <c r="E992" s="279" t="s">
        <v>4743</v>
      </c>
    </row>
    <row r="993" spans="1:5" ht="12.75">
      <c r="A993" s="1090"/>
      <c r="B993" s="74" t="s">
        <v>4743</v>
      </c>
      <c r="C993" s="64" t="s">
        <v>4743</v>
      </c>
      <c r="D993" s="64">
        <v>0</v>
      </c>
      <c r="E993" s="279" t="s">
        <v>4743</v>
      </c>
    </row>
    <row r="994" spans="1:5" ht="12.75">
      <c r="A994" s="1090"/>
      <c r="B994" s="74" t="s">
        <v>4743</v>
      </c>
      <c r="C994" s="64" t="s">
        <v>4743</v>
      </c>
      <c r="D994" s="64">
        <v>0</v>
      </c>
      <c r="E994" s="279" t="s">
        <v>4743</v>
      </c>
    </row>
    <row r="995" spans="1:5" ht="12.75">
      <c r="A995" s="1090"/>
      <c r="B995" s="74" t="s">
        <v>4743</v>
      </c>
      <c r="C995" s="64" t="s">
        <v>4743</v>
      </c>
      <c r="D995" s="64">
        <v>0</v>
      </c>
      <c r="E995" s="279" t="s">
        <v>4743</v>
      </c>
    </row>
    <row r="996" spans="1:5" ht="12.75">
      <c r="A996" s="1090"/>
      <c r="B996" s="74" t="s">
        <v>4743</v>
      </c>
      <c r="C996" s="64" t="s">
        <v>4743</v>
      </c>
      <c r="D996" s="64">
        <v>0</v>
      </c>
      <c r="E996" s="279" t="s">
        <v>4743</v>
      </c>
    </row>
    <row r="997" spans="1:5" ht="12.75">
      <c r="A997" s="1090"/>
      <c r="B997" s="74" t="s">
        <v>4743</v>
      </c>
      <c r="C997" s="64" t="s">
        <v>4743</v>
      </c>
      <c r="D997" s="64">
        <v>0</v>
      </c>
      <c r="E997" s="279" t="s">
        <v>4743</v>
      </c>
    </row>
    <row r="998" spans="1:5" ht="12.75">
      <c r="A998" s="1090"/>
      <c r="B998" s="74" t="s">
        <v>4743</v>
      </c>
      <c r="C998" s="64" t="s">
        <v>4743</v>
      </c>
      <c r="D998" s="64">
        <v>0</v>
      </c>
      <c r="E998" s="279" t="s">
        <v>4743</v>
      </c>
    </row>
    <row r="999" spans="1:5" ht="12.75">
      <c r="A999" s="1090"/>
      <c r="B999" s="74" t="s">
        <v>4743</v>
      </c>
      <c r="C999" s="64" t="s">
        <v>4743</v>
      </c>
      <c r="D999" s="64">
        <v>0</v>
      </c>
      <c r="E999" s="279" t="s">
        <v>4743</v>
      </c>
    </row>
    <row r="1000" spans="1:5" ht="12.75">
      <c r="A1000" s="1090"/>
      <c r="B1000" s="74" t="s">
        <v>4743</v>
      </c>
      <c r="C1000" s="64" t="s">
        <v>4743</v>
      </c>
      <c r="D1000" s="64">
        <v>0</v>
      </c>
      <c r="E1000" s="279" t="s">
        <v>4743</v>
      </c>
    </row>
  </sheetData>
  <customSheetViews>
    <customSheetView guid="{2286F829-20C0-4F61-A021-C374F53CE8BD}" filter="1" showAutoFilter="1">
      <pageMargins left="0.7" right="0.7" top="0.75" bottom="0.75" header="0.3" footer="0.3"/>
      <autoFilter ref="B1:E1000"/>
    </customSheetView>
  </customSheetViews>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FF"/>
    <outlinePr summaryBelow="0" summaryRight="0"/>
  </sheetPr>
  <dimension ref="A1:B1000"/>
  <sheetViews>
    <sheetView showGridLines="0" workbookViewId="0"/>
  </sheetViews>
  <sheetFormatPr defaultColWidth="12.5703125" defaultRowHeight="15.75" customHeight="1"/>
  <cols>
    <col min="1" max="1" width="60.5703125" customWidth="1"/>
    <col min="2" max="2" width="17.140625" customWidth="1"/>
  </cols>
  <sheetData>
    <row r="1" spans="1:2" ht="15.75" customHeight="1">
      <c r="A1" s="279" t="e">
        <v>#REF!</v>
      </c>
      <c r="B1" s="74"/>
    </row>
    <row r="2" spans="1:2" ht="15.75" customHeight="1">
      <c r="A2" s="279"/>
      <c r="B2" s="74"/>
    </row>
    <row r="3" spans="1:2" ht="15.75" customHeight="1">
      <c r="A3" s="279"/>
      <c r="B3" s="74"/>
    </row>
    <row r="4" spans="1:2" ht="15.75" customHeight="1">
      <c r="A4" s="279"/>
      <c r="B4" s="74"/>
    </row>
    <row r="5" spans="1:2" ht="15.75" customHeight="1">
      <c r="A5" s="279"/>
      <c r="B5" s="74"/>
    </row>
    <row r="6" spans="1:2" ht="15.75" customHeight="1">
      <c r="A6" s="279"/>
      <c r="B6" s="74"/>
    </row>
    <row r="7" spans="1:2" ht="15.75" customHeight="1">
      <c r="A7" s="279"/>
      <c r="B7" s="74"/>
    </row>
    <row r="8" spans="1:2" ht="15.75" customHeight="1">
      <c r="A8" s="279"/>
      <c r="B8" s="74"/>
    </row>
    <row r="9" spans="1:2" ht="15.75" customHeight="1">
      <c r="A9" s="279"/>
      <c r="B9" s="74"/>
    </row>
    <row r="10" spans="1:2" ht="15.75" customHeight="1">
      <c r="A10" s="279"/>
      <c r="B10" s="74"/>
    </row>
    <row r="11" spans="1:2" ht="15.75" customHeight="1">
      <c r="A11" s="279"/>
      <c r="B11" s="74"/>
    </row>
    <row r="12" spans="1:2" ht="15.75" customHeight="1">
      <c r="A12" s="279"/>
      <c r="B12" s="74"/>
    </row>
    <row r="13" spans="1:2" ht="15.75" customHeight="1">
      <c r="A13" s="279"/>
      <c r="B13" s="74"/>
    </row>
    <row r="14" spans="1:2" ht="15.75" customHeight="1">
      <c r="A14" s="279"/>
      <c r="B14" s="74"/>
    </row>
    <row r="15" spans="1:2" ht="15.75" customHeight="1">
      <c r="A15" s="279"/>
      <c r="B15" s="74"/>
    </row>
    <row r="16" spans="1:2" ht="15.75" customHeight="1">
      <c r="A16" s="279"/>
      <c r="B16" s="74"/>
    </row>
    <row r="17" spans="1:2" ht="15.75" customHeight="1">
      <c r="A17" s="279"/>
      <c r="B17" s="74"/>
    </row>
    <row r="18" spans="1:2" ht="15.75" customHeight="1">
      <c r="A18" s="279"/>
      <c r="B18" s="74"/>
    </row>
    <row r="19" spans="1:2" ht="15.75" customHeight="1">
      <c r="A19" s="279"/>
      <c r="B19" s="74"/>
    </row>
    <row r="20" spans="1:2" ht="15.75" customHeight="1">
      <c r="A20" s="279"/>
      <c r="B20" s="74"/>
    </row>
    <row r="21" spans="1:2" ht="15.75" customHeight="1">
      <c r="A21" s="279"/>
      <c r="B21" s="74"/>
    </row>
    <row r="22" spans="1:2" ht="15.75" customHeight="1">
      <c r="A22" s="279"/>
      <c r="B22" s="74"/>
    </row>
    <row r="23" spans="1:2" ht="15.75" customHeight="1">
      <c r="A23" s="279"/>
      <c r="B23" s="74"/>
    </row>
    <row r="24" spans="1:2" ht="15.75" customHeight="1">
      <c r="A24" s="279"/>
      <c r="B24" s="74"/>
    </row>
    <row r="25" spans="1:2" ht="15.75" customHeight="1">
      <c r="A25" s="279"/>
      <c r="B25" s="74"/>
    </row>
    <row r="26" spans="1:2" ht="15.75" customHeight="1">
      <c r="A26" s="279"/>
      <c r="B26" s="74"/>
    </row>
    <row r="27" spans="1:2" ht="15.75" customHeight="1">
      <c r="A27" s="279"/>
      <c r="B27" s="74"/>
    </row>
    <row r="28" spans="1:2" ht="15.75" customHeight="1">
      <c r="A28" s="279"/>
      <c r="B28" s="74"/>
    </row>
    <row r="29" spans="1:2" ht="15.75" customHeight="1">
      <c r="A29" s="279"/>
      <c r="B29" s="74"/>
    </row>
    <row r="30" spans="1:2" ht="15.75" customHeight="1">
      <c r="A30" s="279"/>
      <c r="B30" s="74"/>
    </row>
    <row r="31" spans="1:2" ht="15.75" customHeight="1">
      <c r="A31" s="279"/>
      <c r="B31" s="74"/>
    </row>
    <row r="32" spans="1:2" ht="15.75" customHeight="1">
      <c r="A32" s="279"/>
      <c r="B32" s="74"/>
    </row>
    <row r="33" spans="1:2" ht="15.75" customHeight="1">
      <c r="A33" s="279"/>
      <c r="B33" s="74"/>
    </row>
    <row r="34" spans="1:2" ht="15.75" customHeight="1">
      <c r="A34" s="279"/>
      <c r="B34" s="74"/>
    </row>
    <row r="35" spans="1:2" ht="15.75" customHeight="1">
      <c r="A35" s="279"/>
      <c r="B35" s="74"/>
    </row>
    <row r="36" spans="1:2" ht="15.75" customHeight="1">
      <c r="A36" s="279"/>
      <c r="B36" s="74"/>
    </row>
    <row r="37" spans="1:2" ht="15.75" customHeight="1">
      <c r="A37" s="279"/>
      <c r="B37" s="74"/>
    </row>
    <row r="38" spans="1:2" ht="15.75" customHeight="1">
      <c r="A38" s="279"/>
      <c r="B38" s="74"/>
    </row>
    <row r="39" spans="1:2" ht="15.75" customHeight="1">
      <c r="A39" s="279"/>
      <c r="B39" s="74"/>
    </row>
    <row r="40" spans="1:2" ht="15.75" customHeight="1">
      <c r="A40" s="279"/>
      <c r="B40" s="74"/>
    </row>
    <row r="41" spans="1:2" ht="15.75" customHeight="1">
      <c r="A41" s="279"/>
      <c r="B41" s="74"/>
    </row>
    <row r="42" spans="1:2" ht="15.75" customHeight="1">
      <c r="A42" s="279"/>
      <c r="B42" s="74"/>
    </row>
    <row r="43" spans="1:2" ht="15.75" customHeight="1">
      <c r="A43" s="279"/>
      <c r="B43" s="74"/>
    </row>
    <row r="44" spans="1:2" ht="15.75" customHeight="1">
      <c r="A44" s="279"/>
      <c r="B44" s="74"/>
    </row>
    <row r="45" spans="1:2" ht="15.75" customHeight="1">
      <c r="A45" s="279"/>
      <c r="B45" s="74"/>
    </row>
    <row r="46" spans="1:2" ht="15.75" customHeight="1">
      <c r="A46" s="279"/>
      <c r="B46" s="74"/>
    </row>
    <row r="47" spans="1:2" ht="15.75" customHeight="1">
      <c r="A47" s="279"/>
      <c r="B47" s="74"/>
    </row>
    <row r="48" spans="1:2" ht="15.75" customHeight="1">
      <c r="A48" s="279"/>
      <c r="B48" s="74"/>
    </row>
    <row r="49" spans="1:2" ht="15.75" customHeight="1">
      <c r="A49" s="279"/>
      <c r="B49" s="74"/>
    </row>
    <row r="50" spans="1:2" ht="15.75" customHeight="1">
      <c r="A50" s="279"/>
      <c r="B50" s="74"/>
    </row>
    <row r="51" spans="1:2" ht="15.75" customHeight="1">
      <c r="A51" s="279"/>
      <c r="B51" s="74"/>
    </row>
    <row r="52" spans="1:2" ht="15.75" customHeight="1">
      <c r="A52" s="279"/>
      <c r="B52" s="74"/>
    </row>
    <row r="53" spans="1:2" ht="15.75" customHeight="1">
      <c r="A53" s="279"/>
      <c r="B53" s="74"/>
    </row>
    <row r="54" spans="1:2" ht="15.75" customHeight="1">
      <c r="A54" s="279"/>
      <c r="B54" s="74"/>
    </row>
    <row r="55" spans="1:2" ht="15.75" customHeight="1">
      <c r="A55" s="279"/>
      <c r="B55" s="74"/>
    </row>
    <row r="56" spans="1:2" ht="15.75" customHeight="1">
      <c r="A56" s="279"/>
      <c r="B56" s="74"/>
    </row>
    <row r="57" spans="1:2" ht="15.75" customHeight="1">
      <c r="A57" s="279"/>
      <c r="B57" s="74"/>
    </row>
    <row r="58" spans="1:2" ht="15.75" customHeight="1">
      <c r="A58" s="279"/>
      <c r="B58" s="74"/>
    </row>
    <row r="59" spans="1:2" ht="15.75" customHeight="1">
      <c r="A59" s="279"/>
      <c r="B59" s="74"/>
    </row>
    <row r="60" spans="1:2" ht="15.75" customHeight="1">
      <c r="A60" s="279"/>
      <c r="B60" s="74"/>
    </row>
    <row r="61" spans="1:2" ht="12.75">
      <c r="A61" s="279"/>
      <c r="B61" s="74"/>
    </row>
    <row r="62" spans="1:2" ht="12.75">
      <c r="A62" s="279"/>
      <c r="B62" s="74"/>
    </row>
    <row r="63" spans="1:2" ht="12.75">
      <c r="A63" s="279"/>
      <c r="B63" s="74"/>
    </row>
    <row r="64" spans="1:2" ht="12.75">
      <c r="A64" s="279"/>
      <c r="B64" s="74"/>
    </row>
    <row r="65" spans="1:2" ht="12.75">
      <c r="A65" s="279"/>
      <c r="B65" s="74"/>
    </row>
    <row r="66" spans="1:2" ht="12.75">
      <c r="A66" s="279"/>
      <c r="B66" s="74"/>
    </row>
    <row r="67" spans="1:2" ht="12.75">
      <c r="A67" s="279"/>
      <c r="B67" s="74"/>
    </row>
    <row r="68" spans="1:2" ht="12.75">
      <c r="A68" s="279"/>
      <c r="B68" s="74"/>
    </row>
    <row r="69" spans="1:2" ht="12.75">
      <c r="A69" s="279"/>
      <c r="B69" s="74"/>
    </row>
    <row r="70" spans="1:2" ht="12.75">
      <c r="A70" s="279"/>
      <c r="B70" s="74"/>
    </row>
    <row r="71" spans="1:2" ht="12.75">
      <c r="A71" s="279"/>
      <c r="B71" s="74"/>
    </row>
    <row r="72" spans="1:2" ht="12.75">
      <c r="A72" s="279"/>
      <c r="B72" s="74"/>
    </row>
    <row r="73" spans="1:2" ht="12.75">
      <c r="A73" s="279"/>
      <c r="B73" s="74"/>
    </row>
    <row r="74" spans="1:2" ht="12.75">
      <c r="A74" s="279"/>
      <c r="B74" s="74"/>
    </row>
    <row r="75" spans="1:2" ht="12.75">
      <c r="A75" s="279"/>
      <c r="B75" s="74"/>
    </row>
    <row r="76" spans="1:2" ht="12.75">
      <c r="A76" s="279"/>
      <c r="B76" s="74"/>
    </row>
    <row r="77" spans="1:2" ht="12.75">
      <c r="A77" s="279"/>
      <c r="B77" s="74"/>
    </row>
    <row r="78" spans="1:2" ht="12.75">
      <c r="A78" s="279"/>
      <c r="B78" s="74"/>
    </row>
    <row r="79" spans="1:2" ht="12.75">
      <c r="A79" s="279"/>
      <c r="B79" s="74"/>
    </row>
    <row r="80" spans="1:2" ht="12.75">
      <c r="A80" s="279"/>
      <c r="B80" s="74"/>
    </row>
    <row r="81" spans="1:2" ht="12.75">
      <c r="A81" s="279"/>
      <c r="B81" s="74"/>
    </row>
    <row r="82" spans="1:2" ht="12.75">
      <c r="A82" s="279"/>
      <c r="B82" s="74"/>
    </row>
    <row r="83" spans="1:2" ht="12.75">
      <c r="A83" s="279"/>
      <c r="B83" s="74"/>
    </row>
    <row r="84" spans="1:2" ht="12.75">
      <c r="A84" s="279"/>
      <c r="B84" s="74"/>
    </row>
    <row r="85" spans="1:2" ht="12.75">
      <c r="A85" s="279"/>
      <c r="B85" s="74"/>
    </row>
    <row r="86" spans="1:2" ht="12.75">
      <c r="A86" s="279"/>
      <c r="B86" s="74"/>
    </row>
    <row r="87" spans="1:2" ht="12.75">
      <c r="A87" s="279"/>
      <c r="B87" s="74"/>
    </row>
    <row r="88" spans="1:2" ht="12.75">
      <c r="A88" s="279"/>
      <c r="B88" s="74"/>
    </row>
    <row r="89" spans="1:2" ht="12.75">
      <c r="A89" s="279"/>
      <c r="B89" s="74"/>
    </row>
    <row r="90" spans="1:2" ht="12.75">
      <c r="A90" s="279"/>
      <c r="B90" s="74"/>
    </row>
    <row r="91" spans="1:2" ht="12.75">
      <c r="A91" s="279"/>
      <c r="B91" s="74"/>
    </row>
    <row r="92" spans="1:2" ht="12.75">
      <c r="A92" s="279"/>
      <c r="B92" s="74"/>
    </row>
    <row r="93" spans="1:2" ht="12.75">
      <c r="A93" s="279"/>
      <c r="B93" s="74"/>
    </row>
    <row r="94" spans="1:2" ht="12.75">
      <c r="A94" s="279"/>
      <c r="B94" s="74"/>
    </row>
    <row r="95" spans="1:2" ht="12.75">
      <c r="A95" s="279"/>
      <c r="B95" s="74"/>
    </row>
    <row r="96" spans="1:2" ht="12.75">
      <c r="A96" s="279"/>
      <c r="B96" s="74"/>
    </row>
    <row r="97" spans="1:2" ht="12.75">
      <c r="A97" s="279"/>
      <c r="B97" s="74"/>
    </row>
    <row r="98" spans="1:2" ht="12.75">
      <c r="A98" s="279"/>
      <c r="B98" s="74"/>
    </row>
    <row r="99" spans="1:2" ht="12.75">
      <c r="A99" s="279"/>
      <c r="B99" s="74"/>
    </row>
    <row r="100" spans="1:2" ht="12.75">
      <c r="A100" s="279"/>
      <c r="B100" s="74"/>
    </row>
    <row r="101" spans="1:2" ht="12.75">
      <c r="A101" s="279"/>
      <c r="B101" s="74"/>
    </row>
    <row r="102" spans="1:2" ht="12.75">
      <c r="A102" s="279"/>
      <c r="B102" s="74"/>
    </row>
    <row r="103" spans="1:2" ht="12.75">
      <c r="A103" s="279"/>
      <c r="B103" s="74"/>
    </row>
    <row r="104" spans="1:2" ht="12.75">
      <c r="A104" s="279"/>
      <c r="B104" s="74"/>
    </row>
    <row r="105" spans="1:2" ht="12.75">
      <c r="A105" s="279"/>
      <c r="B105" s="74"/>
    </row>
    <row r="106" spans="1:2" ht="12.75">
      <c r="A106" s="279"/>
      <c r="B106" s="74"/>
    </row>
    <row r="107" spans="1:2" ht="12.75">
      <c r="A107" s="279"/>
      <c r="B107" s="74"/>
    </row>
    <row r="108" spans="1:2" ht="12.75">
      <c r="A108" s="279"/>
      <c r="B108" s="74"/>
    </row>
    <row r="109" spans="1:2" ht="12.75">
      <c r="A109" s="279"/>
      <c r="B109" s="74"/>
    </row>
    <row r="110" spans="1:2" ht="12.75">
      <c r="A110" s="279"/>
      <c r="B110" s="74"/>
    </row>
    <row r="111" spans="1:2" ht="12.75">
      <c r="A111" s="279"/>
      <c r="B111" s="74"/>
    </row>
    <row r="112" spans="1:2" ht="12.75">
      <c r="A112" s="279"/>
      <c r="B112" s="74"/>
    </row>
    <row r="113" spans="1:2" ht="12.75">
      <c r="A113" s="279"/>
      <c r="B113" s="74"/>
    </row>
    <row r="114" spans="1:2" ht="12.75">
      <c r="A114" s="279"/>
      <c r="B114" s="74"/>
    </row>
    <row r="115" spans="1:2" ht="12.75">
      <c r="A115" s="279"/>
      <c r="B115" s="74"/>
    </row>
    <row r="116" spans="1:2" ht="12.75">
      <c r="A116" s="279"/>
      <c r="B116" s="74"/>
    </row>
    <row r="117" spans="1:2" ht="12.75">
      <c r="A117" s="279"/>
      <c r="B117" s="74"/>
    </row>
    <row r="118" spans="1:2" ht="12.75">
      <c r="A118" s="279"/>
      <c r="B118" s="74"/>
    </row>
    <row r="119" spans="1:2" ht="12.75">
      <c r="A119" s="279"/>
      <c r="B119" s="74"/>
    </row>
    <row r="120" spans="1:2" ht="12.75">
      <c r="A120" s="279"/>
      <c r="B120" s="74"/>
    </row>
    <row r="121" spans="1:2" ht="12.75">
      <c r="A121" s="279"/>
      <c r="B121" s="74"/>
    </row>
    <row r="122" spans="1:2" ht="12.75">
      <c r="A122" s="279"/>
      <c r="B122" s="74"/>
    </row>
    <row r="123" spans="1:2" ht="12.75">
      <c r="A123" s="279"/>
      <c r="B123" s="74"/>
    </row>
    <row r="124" spans="1:2" ht="12.75">
      <c r="A124" s="279"/>
      <c r="B124" s="74"/>
    </row>
    <row r="125" spans="1:2" ht="12.75">
      <c r="A125" s="279"/>
      <c r="B125" s="74"/>
    </row>
    <row r="126" spans="1:2" ht="12.75">
      <c r="A126" s="279"/>
      <c r="B126" s="74"/>
    </row>
    <row r="127" spans="1:2" ht="12.75">
      <c r="A127" s="279"/>
      <c r="B127" s="74"/>
    </row>
    <row r="128" spans="1:2" ht="12.75">
      <c r="A128" s="279"/>
      <c r="B128" s="74"/>
    </row>
    <row r="129" spans="1:2" ht="12.75">
      <c r="A129" s="279"/>
      <c r="B129" s="74"/>
    </row>
    <row r="130" spans="1:2" ht="12.75">
      <c r="A130" s="279"/>
      <c r="B130" s="74"/>
    </row>
    <row r="131" spans="1:2" ht="12.75">
      <c r="A131" s="279"/>
      <c r="B131" s="74"/>
    </row>
    <row r="132" spans="1:2" ht="12.75">
      <c r="A132" s="279"/>
      <c r="B132" s="74"/>
    </row>
    <row r="133" spans="1:2" ht="12.75">
      <c r="A133" s="279"/>
      <c r="B133" s="74"/>
    </row>
    <row r="134" spans="1:2" ht="12.75">
      <c r="A134" s="279"/>
      <c r="B134" s="74"/>
    </row>
    <row r="135" spans="1:2" ht="12.75">
      <c r="A135" s="279"/>
      <c r="B135" s="74"/>
    </row>
    <row r="136" spans="1:2" ht="12.75">
      <c r="A136" s="279"/>
      <c r="B136" s="74"/>
    </row>
    <row r="137" spans="1:2" ht="12.75">
      <c r="A137" s="279"/>
      <c r="B137" s="74"/>
    </row>
    <row r="138" spans="1:2" ht="12.75">
      <c r="A138" s="279"/>
      <c r="B138" s="74"/>
    </row>
    <row r="139" spans="1:2" ht="12.75">
      <c r="A139" s="279"/>
      <c r="B139" s="74"/>
    </row>
    <row r="140" spans="1:2" ht="12.75">
      <c r="A140" s="279"/>
      <c r="B140" s="74"/>
    </row>
    <row r="141" spans="1:2" ht="12.75">
      <c r="A141" s="279"/>
      <c r="B141" s="74"/>
    </row>
    <row r="142" spans="1:2" ht="12.75">
      <c r="A142" s="279"/>
      <c r="B142" s="74"/>
    </row>
    <row r="143" spans="1:2" ht="12.75">
      <c r="A143" s="279"/>
      <c r="B143" s="74"/>
    </row>
    <row r="144" spans="1:2" ht="12.75">
      <c r="A144" s="279"/>
      <c r="B144" s="74"/>
    </row>
    <row r="145" spans="1:2" ht="12.75">
      <c r="A145" s="279"/>
      <c r="B145" s="74"/>
    </row>
    <row r="146" spans="1:2" ht="12.75">
      <c r="A146" s="279"/>
      <c r="B146" s="74"/>
    </row>
    <row r="147" spans="1:2" ht="12.75">
      <c r="A147" s="279"/>
      <c r="B147" s="74"/>
    </row>
    <row r="148" spans="1:2" ht="12.75">
      <c r="A148" s="279"/>
      <c r="B148" s="74"/>
    </row>
    <row r="149" spans="1:2" ht="12.75">
      <c r="A149" s="279"/>
      <c r="B149" s="74"/>
    </row>
    <row r="150" spans="1:2" ht="12.75">
      <c r="A150" s="279"/>
      <c r="B150" s="74"/>
    </row>
    <row r="151" spans="1:2" ht="12.75">
      <c r="A151" s="279"/>
      <c r="B151" s="74"/>
    </row>
    <row r="152" spans="1:2" ht="12.75">
      <c r="A152" s="279"/>
      <c r="B152" s="74"/>
    </row>
    <row r="153" spans="1:2" ht="12.75">
      <c r="A153" s="279"/>
      <c r="B153" s="74"/>
    </row>
    <row r="154" spans="1:2" ht="12.75">
      <c r="A154" s="279"/>
      <c r="B154" s="74"/>
    </row>
    <row r="155" spans="1:2" ht="12.75">
      <c r="A155" s="279"/>
      <c r="B155" s="74"/>
    </row>
    <row r="156" spans="1:2" ht="12.75">
      <c r="A156" s="279"/>
      <c r="B156" s="74"/>
    </row>
    <row r="157" spans="1:2" ht="12.75">
      <c r="A157" s="279"/>
      <c r="B157" s="74"/>
    </row>
    <row r="158" spans="1:2" ht="12.75">
      <c r="A158" s="279"/>
      <c r="B158" s="74"/>
    </row>
    <row r="159" spans="1:2" ht="12.75">
      <c r="A159" s="279"/>
      <c r="B159" s="74"/>
    </row>
    <row r="160" spans="1:2" ht="12.75">
      <c r="A160" s="279"/>
      <c r="B160" s="74"/>
    </row>
    <row r="161" spans="1:2" ht="12.75">
      <c r="A161" s="279"/>
      <c r="B161" s="74"/>
    </row>
    <row r="162" spans="1:2" ht="12.75">
      <c r="A162" s="279"/>
      <c r="B162" s="74"/>
    </row>
    <row r="163" spans="1:2" ht="12.75">
      <c r="A163" s="279"/>
      <c r="B163" s="74"/>
    </row>
    <row r="164" spans="1:2" ht="12.75">
      <c r="A164" s="279"/>
      <c r="B164" s="74"/>
    </row>
    <row r="165" spans="1:2" ht="12.75">
      <c r="A165" s="279"/>
      <c r="B165" s="74"/>
    </row>
    <row r="166" spans="1:2" ht="12.75">
      <c r="A166" s="279"/>
      <c r="B166" s="74"/>
    </row>
    <row r="167" spans="1:2" ht="12.75">
      <c r="A167" s="279"/>
      <c r="B167" s="74"/>
    </row>
    <row r="168" spans="1:2" ht="12.75">
      <c r="A168" s="279"/>
      <c r="B168" s="74"/>
    </row>
    <row r="169" spans="1:2" ht="12.75">
      <c r="A169" s="279"/>
      <c r="B169" s="74"/>
    </row>
    <row r="170" spans="1:2" ht="12.75">
      <c r="A170" s="279"/>
      <c r="B170" s="74"/>
    </row>
    <row r="171" spans="1:2" ht="12.75">
      <c r="A171" s="279"/>
      <c r="B171" s="74"/>
    </row>
    <row r="172" spans="1:2" ht="12.75">
      <c r="A172" s="279"/>
      <c r="B172" s="74"/>
    </row>
    <row r="173" spans="1:2" ht="12.75">
      <c r="A173" s="279"/>
      <c r="B173" s="74"/>
    </row>
    <row r="174" spans="1:2" ht="12.75">
      <c r="A174" s="279"/>
      <c r="B174" s="74"/>
    </row>
    <row r="175" spans="1:2" ht="12.75">
      <c r="A175" s="279"/>
      <c r="B175" s="74"/>
    </row>
    <row r="176" spans="1:2" ht="12.75">
      <c r="A176" s="279"/>
      <c r="B176" s="74"/>
    </row>
    <row r="177" spans="1:2" ht="12.75">
      <c r="A177" s="279"/>
      <c r="B177" s="74"/>
    </row>
    <row r="178" spans="1:2" ht="12.75">
      <c r="A178" s="279"/>
      <c r="B178" s="74"/>
    </row>
    <row r="179" spans="1:2" ht="12.75">
      <c r="A179" s="279"/>
      <c r="B179" s="74"/>
    </row>
    <row r="180" spans="1:2" ht="12.75">
      <c r="A180" s="279"/>
      <c r="B180" s="74"/>
    </row>
    <row r="181" spans="1:2" ht="12.75">
      <c r="A181" s="279"/>
      <c r="B181" s="74"/>
    </row>
    <row r="182" spans="1:2" ht="12.75">
      <c r="A182" s="279"/>
      <c r="B182" s="74"/>
    </row>
    <row r="183" spans="1:2" ht="12.75">
      <c r="A183" s="279"/>
      <c r="B183" s="74"/>
    </row>
    <row r="184" spans="1:2" ht="12.75">
      <c r="A184" s="279"/>
      <c r="B184" s="74"/>
    </row>
    <row r="185" spans="1:2" ht="12.75">
      <c r="A185" s="279"/>
      <c r="B185" s="74"/>
    </row>
    <row r="186" spans="1:2" ht="12.75">
      <c r="A186" s="279"/>
      <c r="B186" s="74"/>
    </row>
    <row r="187" spans="1:2" ht="12.75">
      <c r="A187" s="279"/>
      <c r="B187" s="74"/>
    </row>
    <row r="188" spans="1:2" ht="12.75">
      <c r="A188" s="279"/>
      <c r="B188" s="74"/>
    </row>
    <row r="189" spans="1:2" ht="12.75">
      <c r="A189" s="279"/>
      <c r="B189" s="74"/>
    </row>
    <row r="190" spans="1:2" ht="12.75">
      <c r="A190" s="279"/>
      <c r="B190" s="74"/>
    </row>
    <row r="191" spans="1:2" ht="12.75">
      <c r="A191" s="279"/>
      <c r="B191" s="74"/>
    </row>
    <row r="192" spans="1:2" ht="12.75">
      <c r="A192" s="279"/>
      <c r="B192" s="74"/>
    </row>
    <row r="193" spans="1:2" ht="12.75">
      <c r="A193" s="279"/>
      <c r="B193" s="74"/>
    </row>
    <row r="194" spans="1:2" ht="12.75">
      <c r="A194" s="279"/>
      <c r="B194" s="74"/>
    </row>
    <row r="195" spans="1:2" ht="12.75">
      <c r="A195" s="279"/>
      <c r="B195" s="74"/>
    </row>
    <row r="196" spans="1:2" ht="12.75">
      <c r="A196" s="279"/>
      <c r="B196" s="74"/>
    </row>
    <row r="197" spans="1:2" ht="12.75">
      <c r="A197" s="279"/>
      <c r="B197" s="74"/>
    </row>
    <row r="198" spans="1:2" ht="12.75">
      <c r="A198" s="279"/>
      <c r="B198" s="74"/>
    </row>
    <row r="199" spans="1:2" ht="12.75">
      <c r="A199" s="279"/>
      <c r="B199" s="74"/>
    </row>
    <row r="200" spans="1:2" ht="12.75">
      <c r="A200" s="279"/>
      <c r="B200" s="74"/>
    </row>
    <row r="201" spans="1:2" ht="12.75">
      <c r="A201" s="279"/>
      <c r="B201" s="74"/>
    </row>
    <row r="202" spans="1:2" ht="12.75">
      <c r="A202" s="279"/>
      <c r="B202" s="74"/>
    </row>
    <row r="203" spans="1:2" ht="12.75">
      <c r="A203" s="279"/>
      <c r="B203" s="74"/>
    </row>
    <row r="204" spans="1:2" ht="12.75">
      <c r="A204" s="279"/>
      <c r="B204" s="74"/>
    </row>
    <row r="205" spans="1:2" ht="12.75">
      <c r="A205" s="279"/>
      <c r="B205" s="74"/>
    </row>
    <row r="206" spans="1:2" ht="12.75">
      <c r="A206" s="279"/>
      <c r="B206" s="74"/>
    </row>
    <row r="207" spans="1:2" ht="12.75">
      <c r="A207" s="279"/>
      <c r="B207" s="74"/>
    </row>
    <row r="208" spans="1:2" ht="12.75">
      <c r="A208" s="279"/>
      <c r="B208" s="74"/>
    </row>
    <row r="209" spans="1:2" ht="12.75">
      <c r="A209" s="279"/>
      <c r="B209" s="74"/>
    </row>
    <row r="210" spans="1:2" ht="12.75">
      <c r="A210" s="279"/>
      <c r="B210" s="74"/>
    </row>
    <row r="211" spans="1:2" ht="12.75">
      <c r="A211" s="279"/>
      <c r="B211" s="74"/>
    </row>
    <row r="212" spans="1:2" ht="12.75">
      <c r="A212" s="279"/>
      <c r="B212" s="74"/>
    </row>
    <row r="213" spans="1:2" ht="12.75">
      <c r="A213" s="279"/>
      <c r="B213" s="74"/>
    </row>
    <row r="214" spans="1:2" ht="12.75">
      <c r="A214" s="279"/>
      <c r="B214" s="74"/>
    </row>
    <row r="215" spans="1:2" ht="12.75">
      <c r="A215" s="279"/>
      <c r="B215" s="74"/>
    </row>
    <row r="216" spans="1:2" ht="12.75">
      <c r="A216" s="279"/>
      <c r="B216" s="74"/>
    </row>
    <row r="217" spans="1:2" ht="12.75">
      <c r="A217" s="279"/>
      <c r="B217" s="74"/>
    </row>
    <row r="218" spans="1:2" ht="12.75">
      <c r="A218" s="279"/>
      <c r="B218" s="74"/>
    </row>
    <row r="219" spans="1:2" ht="12.75">
      <c r="A219" s="279"/>
      <c r="B219" s="74"/>
    </row>
    <row r="220" spans="1:2" ht="12.75">
      <c r="A220" s="279"/>
      <c r="B220" s="74"/>
    </row>
    <row r="221" spans="1:2" ht="12.75">
      <c r="A221" s="279"/>
      <c r="B221" s="74"/>
    </row>
    <row r="222" spans="1:2" ht="12.75">
      <c r="A222" s="279"/>
      <c r="B222" s="74"/>
    </row>
    <row r="223" spans="1:2" ht="12.75">
      <c r="A223" s="279"/>
      <c r="B223" s="74"/>
    </row>
    <row r="224" spans="1:2" ht="12.75">
      <c r="A224" s="279"/>
      <c r="B224" s="74"/>
    </row>
    <row r="225" spans="1:2" ht="12.75">
      <c r="A225" s="279"/>
      <c r="B225" s="74"/>
    </row>
    <row r="226" spans="1:2" ht="12.75">
      <c r="A226" s="279"/>
      <c r="B226" s="74"/>
    </row>
    <row r="227" spans="1:2" ht="12.75">
      <c r="A227" s="279"/>
      <c r="B227" s="74"/>
    </row>
    <row r="228" spans="1:2" ht="12.75">
      <c r="A228" s="279"/>
      <c r="B228" s="74"/>
    </row>
    <row r="229" spans="1:2" ht="12.75">
      <c r="A229" s="279"/>
      <c r="B229" s="74"/>
    </row>
    <row r="230" spans="1:2" ht="12.75">
      <c r="A230" s="279"/>
      <c r="B230" s="74"/>
    </row>
    <row r="231" spans="1:2" ht="12.75">
      <c r="A231" s="279"/>
      <c r="B231" s="74"/>
    </row>
    <row r="232" spans="1:2" ht="12.75">
      <c r="A232" s="279"/>
      <c r="B232" s="74"/>
    </row>
    <row r="233" spans="1:2" ht="12.75">
      <c r="A233" s="279"/>
      <c r="B233" s="74"/>
    </row>
    <row r="234" spans="1:2" ht="12.75">
      <c r="A234" s="279"/>
      <c r="B234" s="74"/>
    </row>
    <row r="235" spans="1:2" ht="12.75">
      <c r="A235" s="279"/>
      <c r="B235" s="74"/>
    </row>
    <row r="236" spans="1:2" ht="12.75">
      <c r="A236" s="279"/>
      <c r="B236" s="74"/>
    </row>
    <row r="237" spans="1:2" ht="12.75">
      <c r="A237" s="279"/>
      <c r="B237" s="74"/>
    </row>
    <row r="238" spans="1:2" ht="12.75">
      <c r="A238" s="279"/>
      <c r="B238" s="74"/>
    </row>
    <row r="239" spans="1:2" ht="12.75">
      <c r="A239" s="279"/>
      <c r="B239" s="74"/>
    </row>
    <row r="240" spans="1:2" ht="12.75">
      <c r="A240" s="279"/>
      <c r="B240" s="74"/>
    </row>
    <row r="241" spans="1:2" ht="12.75">
      <c r="A241" s="279"/>
      <c r="B241" s="74"/>
    </row>
    <row r="242" spans="1:2" ht="12.75">
      <c r="A242" s="279"/>
      <c r="B242" s="74"/>
    </row>
    <row r="243" spans="1:2" ht="12.75">
      <c r="A243" s="279"/>
      <c r="B243" s="74"/>
    </row>
    <row r="244" spans="1:2" ht="12.75">
      <c r="A244" s="279"/>
      <c r="B244" s="74"/>
    </row>
    <row r="245" spans="1:2" ht="12.75">
      <c r="A245" s="279"/>
      <c r="B245" s="74"/>
    </row>
    <row r="246" spans="1:2" ht="12.75">
      <c r="A246" s="279"/>
      <c r="B246" s="74"/>
    </row>
    <row r="247" spans="1:2" ht="12.75">
      <c r="A247" s="279"/>
      <c r="B247" s="74"/>
    </row>
    <row r="248" spans="1:2" ht="12.75">
      <c r="A248" s="279"/>
      <c r="B248" s="74"/>
    </row>
    <row r="249" spans="1:2" ht="12.75">
      <c r="A249" s="279"/>
      <c r="B249" s="74"/>
    </row>
    <row r="250" spans="1:2" ht="12.75">
      <c r="A250" s="279"/>
      <c r="B250" s="74"/>
    </row>
    <row r="251" spans="1:2" ht="12.75">
      <c r="A251" s="279"/>
      <c r="B251" s="74"/>
    </row>
    <row r="252" spans="1:2" ht="12.75">
      <c r="A252" s="279"/>
      <c r="B252" s="74"/>
    </row>
    <row r="253" spans="1:2" ht="12.75">
      <c r="A253" s="279"/>
      <c r="B253" s="74"/>
    </row>
    <row r="254" spans="1:2" ht="12.75">
      <c r="A254" s="279"/>
      <c r="B254" s="74"/>
    </row>
    <row r="255" spans="1:2" ht="12.75">
      <c r="A255" s="279"/>
      <c r="B255" s="74"/>
    </row>
    <row r="256" spans="1:2" ht="12.75">
      <c r="A256" s="279"/>
      <c r="B256" s="74"/>
    </row>
    <row r="257" spans="1:2" ht="12.75">
      <c r="A257" s="279"/>
      <c r="B257" s="74"/>
    </row>
    <row r="258" spans="1:2" ht="12.75">
      <c r="A258" s="279"/>
      <c r="B258" s="74"/>
    </row>
    <row r="259" spans="1:2" ht="12.75">
      <c r="A259" s="279"/>
      <c r="B259" s="74"/>
    </row>
    <row r="260" spans="1:2" ht="12.75">
      <c r="A260" s="279"/>
      <c r="B260" s="74"/>
    </row>
    <row r="261" spans="1:2" ht="12.75">
      <c r="A261" s="279"/>
      <c r="B261" s="74"/>
    </row>
    <row r="262" spans="1:2" ht="12.75">
      <c r="A262" s="279"/>
      <c r="B262" s="74"/>
    </row>
    <row r="263" spans="1:2" ht="12.75">
      <c r="A263" s="279"/>
      <c r="B263" s="74"/>
    </row>
    <row r="264" spans="1:2" ht="12.75">
      <c r="A264" s="279"/>
      <c r="B264" s="74"/>
    </row>
    <row r="265" spans="1:2" ht="12.75">
      <c r="A265" s="279"/>
      <c r="B265" s="74"/>
    </row>
    <row r="266" spans="1:2" ht="12.75">
      <c r="A266" s="279"/>
      <c r="B266" s="74"/>
    </row>
    <row r="267" spans="1:2" ht="12.75">
      <c r="A267" s="279"/>
      <c r="B267" s="74"/>
    </row>
    <row r="268" spans="1:2" ht="12.75">
      <c r="A268" s="279"/>
      <c r="B268" s="74"/>
    </row>
    <row r="269" spans="1:2" ht="12.75">
      <c r="A269" s="279"/>
      <c r="B269" s="74"/>
    </row>
    <row r="270" spans="1:2" ht="12.75">
      <c r="A270" s="279"/>
      <c r="B270" s="74"/>
    </row>
    <row r="271" spans="1:2" ht="12.75">
      <c r="A271" s="279"/>
      <c r="B271" s="74"/>
    </row>
    <row r="272" spans="1:2" ht="12.75">
      <c r="A272" s="279"/>
      <c r="B272" s="74"/>
    </row>
    <row r="273" spans="1:2" ht="12.75">
      <c r="A273" s="279"/>
      <c r="B273" s="74"/>
    </row>
    <row r="274" spans="1:2" ht="12.75">
      <c r="A274" s="279"/>
      <c r="B274" s="74"/>
    </row>
    <row r="275" spans="1:2" ht="12.75">
      <c r="A275" s="279"/>
      <c r="B275" s="74"/>
    </row>
    <row r="276" spans="1:2" ht="12.75">
      <c r="A276" s="279"/>
      <c r="B276" s="74"/>
    </row>
    <row r="277" spans="1:2" ht="12.75">
      <c r="A277" s="279"/>
      <c r="B277" s="74"/>
    </row>
    <row r="278" spans="1:2" ht="12.75">
      <c r="A278" s="279"/>
      <c r="B278" s="74"/>
    </row>
    <row r="279" spans="1:2" ht="12.75">
      <c r="A279" s="279"/>
      <c r="B279" s="74"/>
    </row>
    <row r="280" spans="1:2" ht="12.75">
      <c r="A280" s="279"/>
      <c r="B280" s="74"/>
    </row>
    <row r="281" spans="1:2" ht="12.75">
      <c r="A281" s="279"/>
      <c r="B281" s="74"/>
    </row>
    <row r="282" spans="1:2" ht="12.75">
      <c r="A282" s="279"/>
      <c r="B282" s="74"/>
    </row>
    <row r="283" spans="1:2" ht="12.75">
      <c r="A283" s="279"/>
      <c r="B283" s="74"/>
    </row>
    <row r="284" spans="1:2" ht="12.75">
      <c r="A284" s="279"/>
      <c r="B284" s="74"/>
    </row>
    <row r="285" spans="1:2" ht="12.75">
      <c r="A285" s="279"/>
      <c r="B285" s="74"/>
    </row>
    <row r="286" spans="1:2" ht="12.75">
      <c r="A286" s="279"/>
      <c r="B286" s="74"/>
    </row>
    <row r="287" spans="1:2" ht="12.75">
      <c r="A287" s="279"/>
      <c r="B287" s="74"/>
    </row>
    <row r="288" spans="1:2" ht="12.75">
      <c r="A288" s="279"/>
      <c r="B288" s="74"/>
    </row>
    <row r="289" spans="1:2" ht="12.75">
      <c r="A289" s="279"/>
      <c r="B289" s="74"/>
    </row>
    <row r="290" spans="1:2" ht="12.75">
      <c r="A290" s="279"/>
      <c r="B290" s="74"/>
    </row>
    <row r="291" spans="1:2" ht="12.75">
      <c r="A291" s="279"/>
      <c r="B291" s="74"/>
    </row>
    <row r="292" spans="1:2" ht="12.75">
      <c r="A292" s="279"/>
      <c r="B292" s="74"/>
    </row>
    <row r="293" spans="1:2" ht="12.75">
      <c r="A293" s="279"/>
      <c r="B293" s="74"/>
    </row>
    <row r="294" spans="1:2" ht="12.75">
      <c r="A294" s="279"/>
      <c r="B294" s="74"/>
    </row>
    <row r="295" spans="1:2" ht="12.75">
      <c r="A295" s="279"/>
      <c r="B295" s="74"/>
    </row>
    <row r="296" spans="1:2" ht="12.75">
      <c r="A296" s="279"/>
      <c r="B296" s="74"/>
    </row>
    <row r="297" spans="1:2" ht="12.75">
      <c r="A297" s="279"/>
      <c r="B297" s="74"/>
    </row>
    <row r="298" spans="1:2" ht="12.75">
      <c r="A298" s="279"/>
      <c r="B298" s="74"/>
    </row>
    <row r="299" spans="1:2" ht="12.75">
      <c r="A299" s="279"/>
      <c r="B299" s="74"/>
    </row>
    <row r="300" spans="1:2" ht="12.75">
      <c r="A300" s="279"/>
      <c r="B300" s="74"/>
    </row>
    <row r="301" spans="1:2" ht="12.75">
      <c r="A301" s="279"/>
      <c r="B301" s="74"/>
    </row>
    <row r="302" spans="1:2" ht="12.75">
      <c r="A302" s="279"/>
      <c r="B302" s="74"/>
    </row>
    <row r="303" spans="1:2" ht="12.75">
      <c r="A303" s="279"/>
      <c r="B303" s="74"/>
    </row>
    <row r="304" spans="1:2" ht="12.75">
      <c r="A304" s="279"/>
      <c r="B304" s="74"/>
    </row>
    <row r="305" spans="1:2" ht="12.75">
      <c r="A305" s="279"/>
      <c r="B305" s="74"/>
    </row>
    <row r="306" spans="1:2" ht="12.75">
      <c r="A306" s="279"/>
      <c r="B306" s="74"/>
    </row>
    <row r="307" spans="1:2" ht="12.75">
      <c r="A307" s="279"/>
      <c r="B307" s="74"/>
    </row>
    <row r="308" spans="1:2" ht="12.75">
      <c r="A308" s="279"/>
      <c r="B308" s="74"/>
    </row>
    <row r="309" spans="1:2" ht="12.75">
      <c r="A309" s="279"/>
      <c r="B309" s="74"/>
    </row>
    <row r="310" spans="1:2" ht="12.75">
      <c r="A310" s="279"/>
      <c r="B310" s="74"/>
    </row>
    <row r="311" spans="1:2" ht="12.75">
      <c r="A311" s="279"/>
      <c r="B311" s="74"/>
    </row>
    <row r="312" spans="1:2" ht="12.75">
      <c r="A312" s="279"/>
      <c r="B312" s="74"/>
    </row>
    <row r="313" spans="1:2" ht="12.75">
      <c r="A313" s="279"/>
      <c r="B313" s="74"/>
    </row>
    <row r="314" spans="1:2" ht="12.75">
      <c r="A314" s="279"/>
      <c r="B314" s="74"/>
    </row>
    <row r="315" spans="1:2" ht="12.75">
      <c r="A315" s="279"/>
      <c r="B315" s="74"/>
    </row>
    <row r="316" spans="1:2" ht="12.75">
      <c r="A316" s="279"/>
      <c r="B316" s="74"/>
    </row>
    <row r="317" spans="1:2" ht="12.75">
      <c r="A317" s="279"/>
      <c r="B317" s="74"/>
    </row>
    <row r="318" spans="1:2" ht="12.75">
      <c r="A318" s="279"/>
      <c r="B318" s="74"/>
    </row>
    <row r="319" spans="1:2" ht="12.75">
      <c r="A319" s="279"/>
      <c r="B319" s="74"/>
    </row>
    <row r="320" spans="1:2" ht="12.75">
      <c r="A320" s="279"/>
      <c r="B320" s="74"/>
    </row>
    <row r="321" spans="1:2" ht="12.75">
      <c r="A321" s="279"/>
      <c r="B321" s="74"/>
    </row>
    <row r="322" spans="1:2" ht="12.75">
      <c r="A322" s="279"/>
      <c r="B322" s="74"/>
    </row>
    <row r="323" spans="1:2" ht="12.75">
      <c r="A323" s="279"/>
      <c r="B323" s="74"/>
    </row>
    <row r="324" spans="1:2" ht="12.75">
      <c r="A324" s="279"/>
      <c r="B324" s="74"/>
    </row>
    <row r="325" spans="1:2" ht="12.75">
      <c r="A325" s="279"/>
      <c r="B325" s="74"/>
    </row>
    <row r="326" spans="1:2" ht="12.75">
      <c r="A326" s="279"/>
      <c r="B326" s="74"/>
    </row>
    <row r="327" spans="1:2" ht="12.75">
      <c r="A327" s="279"/>
      <c r="B327" s="74"/>
    </row>
    <row r="328" spans="1:2" ht="12.75">
      <c r="A328" s="279"/>
      <c r="B328" s="74"/>
    </row>
    <row r="329" spans="1:2" ht="12.75">
      <c r="A329" s="279"/>
      <c r="B329" s="74"/>
    </row>
    <row r="330" spans="1:2" ht="12.75">
      <c r="A330" s="279"/>
      <c r="B330" s="74"/>
    </row>
    <row r="331" spans="1:2" ht="12.75">
      <c r="A331" s="279"/>
      <c r="B331" s="74"/>
    </row>
    <row r="332" spans="1:2" ht="12.75">
      <c r="A332" s="279"/>
      <c r="B332" s="74"/>
    </row>
    <row r="333" spans="1:2" ht="12.75">
      <c r="A333" s="279"/>
      <c r="B333" s="74"/>
    </row>
    <row r="334" spans="1:2" ht="12.75">
      <c r="A334" s="279"/>
      <c r="B334" s="74"/>
    </row>
    <row r="335" spans="1:2" ht="12.75">
      <c r="A335" s="279"/>
      <c r="B335" s="74"/>
    </row>
    <row r="336" spans="1:2" ht="12.75">
      <c r="A336" s="279"/>
      <c r="B336" s="74"/>
    </row>
    <row r="337" spans="1:2" ht="12.75">
      <c r="A337" s="279"/>
      <c r="B337" s="74"/>
    </row>
    <row r="338" spans="1:2" ht="12.75">
      <c r="A338" s="279"/>
      <c r="B338" s="74"/>
    </row>
    <row r="339" spans="1:2" ht="12.75">
      <c r="A339" s="279"/>
      <c r="B339" s="74"/>
    </row>
    <row r="340" spans="1:2" ht="12.75">
      <c r="A340" s="279"/>
      <c r="B340" s="74"/>
    </row>
    <row r="341" spans="1:2" ht="12.75">
      <c r="A341" s="279"/>
      <c r="B341" s="74"/>
    </row>
    <row r="342" spans="1:2" ht="12.75">
      <c r="A342" s="279"/>
      <c r="B342" s="74"/>
    </row>
    <row r="343" spans="1:2" ht="12.75">
      <c r="A343" s="279"/>
      <c r="B343" s="74"/>
    </row>
    <row r="344" spans="1:2" ht="12.75">
      <c r="A344" s="279"/>
      <c r="B344" s="74"/>
    </row>
    <row r="345" spans="1:2" ht="12.75">
      <c r="A345" s="279"/>
      <c r="B345" s="74"/>
    </row>
    <row r="346" spans="1:2" ht="12.75">
      <c r="A346" s="279"/>
      <c r="B346" s="74"/>
    </row>
    <row r="347" spans="1:2" ht="12.75">
      <c r="A347" s="279"/>
      <c r="B347" s="74"/>
    </row>
    <row r="348" spans="1:2" ht="12.75">
      <c r="A348" s="279"/>
      <c r="B348" s="74"/>
    </row>
    <row r="349" spans="1:2" ht="12.75">
      <c r="A349" s="279"/>
      <c r="B349" s="74"/>
    </row>
    <row r="350" spans="1:2" ht="12.75">
      <c r="A350" s="279"/>
      <c r="B350" s="74"/>
    </row>
    <row r="351" spans="1:2" ht="12.75">
      <c r="A351" s="279"/>
      <c r="B351" s="74"/>
    </row>
    <row r="352" spans="1:2" ht="12.75">
      <c r="A352" s="279"/>
      <c r="B352" s="74"/>
    </row>
    <row r="353" spans="1:2" ht="12.75">
      <c r="A353" s="279"/>
      <c r="B353" s="74"/>
    </row>
    <row r="354" spans="1:2" ht="12.75">
      <c r="A354" s="279"/>
      <c r="B354" s="74"/>
    </row>
    <row r="355" spans="1:2" ht="12.75">
      <c r="A355" s="279"/>
      <c r="B355" s="74"/>
    </row>
    <row r="356" spans="1:2" ht="12.75">
      <c r="A356" s="279"/>
      <c r="B356" s="74"/>
    </row>
    <row r="357" spans="1:2" ht="12.75">
      <c r="A357" s="279"/>
      <c r="B357" s="74"/>
    </row>
    <row r="358" spans="1:2" ht="12.75">
      <c r="A358" s="279"/>
      <c r="B358" s="74"/>
    </row>
    <row r="359" spans="1:2" ht="12.75">
      <c r="A359" s="279"/>
      <c r="B359" s="74"/>
    </row>
    <row r="360" spans="1:2" ht="12.75">
      <c r="A360" s="279"/>
      <c r="B360" s="74"/>
    </row>
    <row r="361" spans="1:2" ht="12.75">
      <c r="A361" s="279"/>
      <c r="B361" s="74"/>
    </row>
    <row r="362" spans="1:2" ht="12.75">
      <c r="A362" s="279"/>
      <c r="B362" s="74"/>
    </row>
    <row r="363" spans="1:2" ht="12.75">
      <c r="A363" s="279"/>
      <c r="B363" s="74"/>
    </row>
    <row r="364" spans="1:2" ht="12.75">
      <c r="A364" s="279"/>
      <c r="B364" s="74"/>
    </row>
    <row r="365" spans="1:2" ht="12.75">
      <c r="A365" s="279"/>
      <c r="B365" s="74"/>
    </row>
    <row r="366" spans="1:2" ht="12.75">
      <c r="A366" s="279"/>
      <c r="B366" s="74"/>
    </row>
    <row r="367" spans="1:2" ht="12.75">
      <c r="A367" s="279"/>
      <c r="B367" s="74"/>
    </row>
    <row r="368" spans="1:2" ht="12.75">
      <c r="A368" s="279"/>
      <c r="B368" s="74"/>
    </row>
    <row r="369" spans="1:2" ht="12.75">
      <c r="A369" s="279"/>
      <c r="B369" s="74"/>
    </row>
    <row r="370" spans="1:2" ht="12.75">
      <c r="A370" s="279"/>
      <c r="B370" s="74"/>
    </row>
    <row r="371" spans="1:2" ht="12.75">
      <c r="A371" s="279"/>
      <c r="B371" s="74"/>
    </row>
    <row r="372" spans="1:2" ht="12.75">
      <c r="A372" s="279"/>
      <c r="B372" s="74"/>
    </row>
    <row r="373" spans="1:2" ht="12.75">
      <c r="A373" s="279"/>
      <c r="B373" s="74"/>
    </row>
    <row r="374" spans="1:2" ht="12.75">
      <c r="A374" s="279"/>
      <c r="B374" s="74"/>
    </row>
    <row r="375" spans="1:2" ht="12.75">
      <c r="A375" s="279"/>
      <c r="B375" s="74"/>
    </row>
    <row r="376" spans="1:2" ht="12.75">
      <c r="A376" s="279"/>
      <c r="B376" s="74"/>
    </row>
    <row r="377" spans="1:2" ht="12.75">
      <c r="A377" s="279"/>
      <c r="B377" s="74"/>
    </row>
    <row r="378" spans="1:2" ht="12.75">
      <c r="A378" s="279"/>
      <c r="B378" s="74"/>
    </row>
    <row r="379" spans="1:2" ht="12.75">
      <c r="A379" s="279"/>
      <c r="B379" s="74"/>
    </row>
    <row r="380" spans="1:2" ht="12.75">
      <c r="A380" s="279"/>
      <c r="B380" s="74"/>
    </row>
    <row r="381" spans="1:2" ht="12.75">
      <c r="A381" s="279"/>
      <c r="B381" s="74"/>
    </row>
    <row r="382" spans="1:2" ht="12.75">
      <c r="A382" s="279"/>
      <c r="B382" s="74"/>
    </row>
    <row r="383" spans="1:2" ht="12.75">
      <c r="A383" s="279"/>
      <c r="B383" s="74"/>
    </row>
    <row r="384" spans="1:2" ht="12.75">
      <c r="A384" s="279"/>
      <c r="B384" s="74"/>
    </row>
    <row r="385" spans="1:2" ht="12.75">
      <c r="A385" s="279"/>
      <c r="B385" s="74"/>
    </row>
    <row r="386" spans="1:2" ht="12.75">
      <c r="A386" s="279"/>
      <c r="B386" s="74"/>
    </row>
    <row r="387" spans="1:2" ht="12.75">
      <c r="A387" s="279"/>
      <c r="B387" s="74"/>
    </row>
    <row r="388" spans="1:2" ht="12.75">
      <c r="A388" s="279"/>
      <c r="B388" s="74"/>
    </row>
    <row r="389" spans="1:2" ht="12.75">
      <c r="A389" s="279"/>
      <c r="B389" s="74"/>
    </row>
    <row r="390" spans="1:2" ht="12.75">
      <c r="A390" s="279"/>
      <c r="B390" s="74"/>
    </row>
    <row r="391" spans="1:2" ht="12.75">
      <c r="A391" s="279"/>
      <c r="B391" s="74"/>
    </row>
    <row r="392" spans="1:2" ht="12.75">
      <c r="A392" s="279"/>
      <c r="B392" s="74"/>
    </row>
    <row r="393" spans="1:2" ht="12.75">
      <c r="A393" s="279"/>
      <c r="B393" s="74"/>
    </row>
    <row r="394" spans="1:2" ht="12.75">
      <c r="A394" s="279"/>
      <c r="B394" s="74"/>
    </row>
    <row r="395" spans="1:2" ht="12.75">
      <c r="A395" s="279"/>
      <c r="B395" s="74"/>
    </row>
    <row r="396" spans="1:2" ht="12.75">
      <c r="A396" s="279"/>
      <c r="B396" s="74"/>
    </row>
    <row r="397" spans="1:2" ht="12.75">
      <c r="A397" s="279"/>
      <c r="B397" s="74"/>
    </row>
    <row r="398" spans="1:2" ht="12.75">
      <c r="A398" s="279"/>
      <c r="B398" s="74"/>
    </row>
    <row r="399" spans="1:2" ht="12.75">
      <c r="A399" s="279"/>
      <c r="B399" s="74"/>
    </row>
    <row r="400" spans="1:2" ht="12.75">
      <c r="A400" s="279"/>
      <c r="B400" s="74"/>
    </row>
    <row r="401" spans="1:2" ht="12.75">
      <c r="A401" s="279"/>
      <c r="B401" s="74"/>
    </row>
    <row r="402" spans="1:2" ht="12.75">
      <c r="A402" s="279"/>
      <c r="B402" s="74"/>
    </row>
    <row r="403" spans="1:2" ht="12.75">
      <c r="A403" s="279"/>
      <c r="B403" s="74"/>
    </row>
    <row r="404" spans="1:2" ht="12.75">
      <c r="A404" s="279"/>
      <c r="B404" s="74"/>
    </row>
    <row r="405" spans="1:2" ht="12.75">
      <c r="A405" s="279"/>
      <c r="B405" s="74"/>
    </row>
    <row r="406" spans="1:2" ht="12.75">
      <c r="A406" s="279"/>
      <c r="B406" s="74"/>
    </row>
    <row r="407" spans="1:2" ht="12.75">
      <c r="A407" s="279"/>
      <c r="B407" s="74"/>
    </row>
    <row r="408" spans="1:2" ht="12.75">
      <c r="A408" s="279"/>
      <c r="B408" s="74"/>
    </row>
    <row r="409" spans="1:2" ht="12.75">
      <c r="A409" s="279"/>
      <c r="B409" s="74"/>
    </row>
    <row r="410" spans="1:2" ht="12.75">
      <c r="A410" s="279"/>
      <c r="B410" s="74"/>
    </row>
    <row r="411" spans="1:2" ht="12.75">
      <c r="A411" s="279"/>
      <c r="B411" s="74"/>
    </row>
    <row r="412" spans="1:2" ht="12.75">
      <c r="A412" s="279"/>
      <c r="B412" s="74"/>
    </row>
    <row r="413" spans="1:2" ht="12.75">
      <c r="A413" s="279"/>
      <c r="B413" s="74"/>
    </row>
    <row r="414" spans="1:2" ht="12.75">
      <c r="A414" s="279"/>
      <c r="B414" s="74"/>
    </row>
    <row r="415" spans="1:2" ht="12.75">
      <c r="A415" s="279"/>
      <c r="B415" s="74"/>
    </row>
    <row r="416" spans="1:2" ht="12.75">
      <c r="A416" s="279"/>
      <c r="B416" s="74"/>
    </row>
    <row r="417" spans="1:2" ht="12.75">
      <c r="A417" s="279"/>
      <c r="B417" s="74"/>
    </row>
    <row r="418" spans="1:2" ht="12.75">
      <c r="A418" s="279"/>
      <c r="B418" s="74"/>
    </row>
    <row r="419" spans="1:2" ht="12.75">
      <c r="A419" s="279"/>
      <c r="B419" s="74"/>
    </row>
    <row r="420" spans="1:2" ht="12.75">
      <c r="A420" s="279"/>
      <c r="B420" s="74"/>
    </row>
    <row r="421" spans="1:2" ht="12.75">
      <c r="A421" s="279"/>
      <c r="B421" s="74"/>
    </row>
    <row r="422" spans="1:2" ht="12.75">
      <c r="A422" s="279"/>
      <c r="B422" s="74"/>
    </row>
    <row r="423" spans="1:2" ht="12.75">
      <c r="A423" s="279"/>
      <c r="B423" s="74"/>
    </row>
    <row r="424" spans="1:2" ht="12.75">
      <c r="A424" s="279"/>
      <c r="B424" s="74"/>
    </row>
    <row r="425" spans="1:2" ht="12.75">
      <c r="A425" s="279"/>
      <c r="B425" s="74"/>
    </row>
    <row r="426" spans="1:2" ht="12.75">
      <c r="A426" s="279"/>
      <c r="B426" s="74"/>
    </row>
    <row r="427" spans="1:2" ht="12.75">
      <c r="A427" s="279"/>
      <c r="B427" s="74"/>
    </row>
    <row r="428" spans="1:2" ht="12.75">
      <c r="A428" s="279"/>
      <c r="B428" s="74"/>
    </row>
    <row r="429" spans="1:2" ht="12.75">
      <c r="A429" s="279"/>
      <c r="B429" s="74"/>
    </row>
    <row r="430" spans="1:2" ht="12.75">
      <c r="A430" s="279"/>
      <c r="B430" s="74"/>
    </row>
    <row r="431" spans="1:2" ht="12.75">
      <c r="A431" s="279"/>
      <c r="B431" s="74"/>
    </row>
    <row r="432" spans="1:2" ht="12.75">
      <c r="A432" s="279"/>
      <c r="B432" s="74"/>
    </row>
    <row r="433" spans="1:2" ht="12.75">
      <c r="A433" s="279"/>
      <c r="B433" s="74"/>
    </row>
    <row r="434" spans="1:2" ht="12.75">
      <c r="A434" s="279"/>
      <c r="B434" s="74"/>
    </row>
    <row r="435" spans="1:2" ht="12.75">
      <c r="A435" s="279"/>
      <c r="B435" s="74"/>
    </row>
    <row r="436" spans="1:2" ht="12.75">
      <c r="A436" s="279"/>
      <c r="B436" s="74"/>
    </row>
    <row r="437" spans="1:2" ht="12.75">
      <c r="A437" s="279"/>
      <c r="B437" s="74"/>
    </row>
    <row r="438" spans="1:2" ht="12.75">
      <c r="A438" s="279"/>
      <c r="B438" s="74"/>
    </row>
    <row r="439" spans="1:2" ht="12.75">
      <c r="A439" s="279"/>
      <c r="B439" s="74"/>
    </row>
    <row r="440" spans="1:2" ht="12.75">
      <c r="A440" s="279"/>
      <c r="B440" s="74"/>
    </row>
    <row r="441" spans="1:2" ht="12.75">
      <c r="A441" s="279"/>
      <c r="B441" s="74"/>
    </row>
    <row r="442" spans="1:2" ht="12.75">
      <c r="A442" s="279"/>
      <c r="B442" s="74"/>
    </row>
    <row r="443" spans="1:2" ht="12.75">
      <c r="A443" s="279"/>
      <c r="B443" s="74"/>
    </row>
    <row r="444" spans="1:2" ht="12.75">
      <c r="A444" s="279"/>
      <c r="B444" s="74"/>
    </row>
    <row r="445" spans="1:2" ht="12.75">
      <c r="A445" s="279"/>
      <c r="B445" s="74"/>
    </row>
    <row r="446" spans="1:2" ht="12.75">
      <c r="A446" s="279"/>
      <c r="B446" s="74"/>
    </row>
    <row r="447" spans="1:2" ht="12.75">
      <c r="A447" s="279"/>
      <c r="B447" s="74"/>
    </row>
    <row r="448" spans="1:2" ht="12.75">
      <c r="A448" s="279"/>
      <c r="B448" s="74"/>
    </row>
    <row r="449" spans="1:2" ht="12.75">
      <c r="A449" s="279"/>
      <c r="B449" s="74"/>
    </row>
    <row r="450" spans="1:2" ht="12.75">
      <c r="A450" s="279"/>
      <c r="B450" s="74"/>
    </row>
    <row r="451" spans="1:2" ht="12.75">
      <c r="A451" s="279"/>
      <c r="B451" s="74"/>
    </row>
    <row r="452" spans="1:2" ht="12.75">
      <c r="A452" s="279"/>
      <c r="B452" s="74"/>
    </row>
    <row r="453" spans="1:2" ht="12.75">
      <c r="A453" s="279"/>
      <c r="B453" s="74"/>
    </row>
    <row r="454" spans="1:2" ht="12.75">
      <c r="A454" s="279"/>
      <c r="B454" s="74"/>
    </row>
    <row r="455" spans="1:2" ht="12.75">
      <c r="A455" s="279"/>
      <c r="B455" s="74"/>
    </row>
    <row r="456" spans="1:2" ht="12.75">
      <c r="A456" s="279"/>
      <c r="B456" s="74"/>
    </row>
    <row r="457" spans="1:2" ht="12.75">
      <c r="A457" s="279"/>
      <c r="B457" s="74"/>
    </row>
    <row r="458" spans="1:2" ht="12.75">
      <c r="A458" s="279"/>
      <c r="B458" s="74"/>
    </row>
    <row r="459" spans="1:2" ht="12.75">
      <c r="A459" s="279"/>
      <c r="B459" s="74"/>
    </row>
    <row r="460" spans="1:2" ht="12.75">
      <c r="A460" s="279"/>
      <c r="B460" s="74"/>
    </row>
    <row r="461" spans="1:2" ht="12.75">
      <c r="A461" s="279"/>
      <c r="B461" s="74"/>
    </row>
    <row r="462" spans="1:2" ht="12.75">
      <c r="A462" s="279"/>
      <c r="B462" s="74"/>
    </row>
    <row r="463" spans="1:2" ht="12.75">
      <c r="A463" s="279"/>
      <c r="B463" s="74"/>
    </row>
    <row r="464" spans="1:2" ht="12.75">
      <c r="A464" s="279"/>
      <c r="B464" s="74"/>
    </row>
    <row r="465" spans="1:2" ht="12.75">
      <c r="A465" s="279"/>
      <c r="B465" s="74"/>
    </row>
    <row r="466" spans="1:2" ht="12.75">
      <c r="A466" s="279"/>
      <c r="B466" s="74"/>
    </row>
    <row r="467" spans="1:2" ht="12.75">
      <c r="A467" s="279"/>
      <c r="B467" s="74"/>
    </row>
    <row r="468" spans="1:2" ht="12.75">
      <c r="A468" s="279"/>
      <c r="B468" s="74"/>
    </row>
    <row r="469" spans="1:2" ht="12.75">
      <c r="A469" s="279"/>
      <c r="B469" s="74"/>
    </row>
    <row r="470" spans="1:2" ht="12.75">
      <c r="A470" s="279"/>
      <c r="B470" s="74"/>
    </row>
    <row r="471" spans="1:2" ht="12.75">
      <c r="A471" s="279"/>
      <c r="B471" s="74"/>
    </row>
    <row r="472" spans="1:2" ht="12.75">
      <c r="A472" s="279"/>
      <c r="B472" s="74"/>
    </row>
    <row r="473" spans="1:2" ht="12.75">
      <c r="A473" s="279"/>
      <c r="B473" s="74"/>
    </row>
    <row r="474" spans="1:2" ht="12.75">
      <c r="A474" s="279"/>
      <c r="B474" s="74"/>
    </row>
    <row r="475" spans="1:2" ht="12.75">
      <c r="A475" s="279"/>
      <c r="B475" s="74"/>
    </row>
    <row r="476" spans="1:2" ht="12.75">
      <c r="A476" s="279"/>
      <c r="B476" s="74"/>
    </row>
    <row r="477" spans="1:2" ht="12.75">
      <c r="A477" s="279"/>
      <c r="B477" s="74"/>
    </row>
    <row r="478" spans="1:2" ht="12.75">
      <c r="A478" s="279"/>
      <c r="B478" s="74"/>
    </row>
    <row r="479" spans="1:2" ht="12.75">
      <c r="A479" s="279"/>
      <c r="B479" s="74"/>
    </row>
    <row r="480" spans="1:2" ht="12.75">
      <c r="A480" s="279"/>
      <c r="B480" s="74"/>
    </row>
    <row r="481" spans="1:2" ht="12.75">
      <c r="A481" s="279"/>
      <c r="B481" s="74"/>
    </row>
    <row r="482" spans="1:2" ht="12.75">
      <c r="A482" s="279"/>
      <c r="B482" s="74"/>
    </row>
    <row r="483" spans="1:2" ht="12.75">
      <c r="A483" s="279"/>
      <c r="B483" s="74"/>
    </row>
    <row r="484" spans="1:2" ht="12.75">
      <c r="A484" s="279"/>
      <c r="B484" s="74"/>
    </row>
    <row r="485" spans="1:2" ht="12.75">
      <c r="A485" s="279"/>
      <c r="B485" s="74"/>
    </row>
    <row r="486" spans="1:2" ht="12.75">
      <c r="A486" s="279"/>
      <c r="B486" s="74"/>
    </row>
    <row r="487" spans="1:2" ht="12.75">
      <c r="A487" s="279"/>
      <c r="B487" s="74"/>
    </row>
    <row r="488" spans="1:2" ht="12.75">
      <c r="A488" s="279"/>
      <c r="B488" s="74"/>
    </row>
    <row r="489" spans="1:2" ht="12.75">
      <c r="A489" s="279"/>
      <c r="B489" s="74"/>
    </row>
    <row r="490" spans="1:2" ht="12.75">
      <c r="A490" s="279"/>
      <c r="B490" s="74"/>
    </row>
    <row r="491" spans="1:2" ht="12.75">
      <c r="A491" s="279"/>
      <c r="B491" s="74"/>
    </row>
    <row r="492" spans="1:2" ht="12.75">
      <c r="A492" s="279"/>
      <c r="B492" s="74"/>
    </row>
    <row r="493" spans="1:2" ht="12.75">
      <c r="A493" s="279"/>
      <c r="B493" s="74"/>
    </row>
    <row r="494" spans="1:2" ht="12.75">
      <c r="A494" s="279"/>
      <c r="B494" s="74"/>
    </row>
    <row r="495" spans="1:2" ht="12.75">
      <c r="A495" s="279"/>
      <c r="B495" s="74"/>
    </row>
    <row r="496" spans="1:2" ht="12.75">
      <c r="A496" s="279"/>
      <c r="B496" s="74"/>
    </row>
    <row r="497" spans="1:2" ht="12.75">
      <c r="A497" s="279"/>
      <c r="B497" s="74"/>
    </row>
    <row r="498" spans="1:2" ht="12.75">
      <c r="A498" s="279"/>
      <c r="B498" s="74"/>
    </row>
    <row r="499" spans="1:2" ht="12.75">
      <c r="A499" s="279"/>
      <c r="B499" s="74"/>
    </row>
    <row r="500" spans="1:2" ht="12.75">
      <c r="A500" s="279"/>
      <c r="B500" s="74"/>
    </row>
    <row r="501" spans="1:2" ht="12.75">
      <c r="A501" s="279"/>
      <c r="B501" s="74"/>
    </row>
    <row r="502" spans="1:2" ht="12.75">
      <c r="A502" s="279"/>
      <c r="B502" s="74"/>
    </row>
    <row r="503" spans="1:2" ht="12.75">
      <c r="A503" s="279"/>
      <c r="B503" s="74"/>
    </row>
    <row r="504" spans="1:2" ht="12.75">
      <c r="A504" s="279"/>
      <c r="B504" s="74"/>
    </row>
    <row r="505" spans="1:2" ht="12.75">
      <c r="A505" s="279"/>
      <c r="B505" s="74"/>
    </row>
    <row r="506" spans="1:2" ht="12.75">
      <c r="A506" s="279"/>
      <c r="B506" s="74"/>
    </row>
    <row r="507" spans="1:2" ht="12.75">
      <c r="A507" s="279"/>
      <c r="B507" s="74"/>
    </row>
    <row r="508" spans="1:2" ht="12.75">
      <c r="A508" s="279"/>
      <c r="B508" s="74"/>
    </row>
    <row r="509" spans="1:2" ht="12.75">
      <c r="A509" s="279"/>
      <c r="B509" s="74"/>
    </row>
    <row r="510" spans="1:2" ht="12.75">
      <c r="A510" s="279"/>
      <c r="B510" s="74"/>
    </row>
    <row r="511" spans="1:2" ht="12.75">
      <c r="A511" s="279"/>
      <c r="B511" s="74"/>
    </row>
    <row r="512" spans="1:2" ht="12.75">
      <c r="A512" s="279"/>
      <c r="B512" s="74"/>
    </row>
    <row r="513" spans="1:2" ht="12.75">
      <c r="A513" s="279"/>
      <c r="B513" s="74"/>
    </row>
    <row r="514" spans="1:2" ht="12.75">
      <c r="A514" s="279"/>
      <c r="B514" s="74"/>
    </row>
    <row r="515" spans="1:2" ht="12.75">
      <c r="A515" s="279"/>
      <c r="B515" s="74"/>
    </row>
    <row r="516" spans="1:2" ht="12.75">
      <c r="A516" s="279"/>
      <c r="B516" s="74"/>
    </row>
    <row r="517" spans="1:2" ht="12.75">
      <c r="A517" s="279"/>
      <c r="B517" s="74"/>
    </row>
    <row r="518" spans="1:2" ht="12.75">
      <c r="A518" s="279"/>
      <c r="B518" s="74"/>
    </row>
    <row r="519" spans="1:2" ht="12.75">
      <c r="A519" s="279"/>
      <c r="B519" s="74"/>
    </row>
    <row r="520" spans="1:2" ht="12.75">
      <c r="A520" s="279"/>
      <c r="B520" s="74"/>
    </row>
    <row r="521" spans="1:2" ht="12.75">
      <c r="A521" s="279"/>
      <c r="B521" s="74"/>
    </row>
    <row r="522" spans="1:2" ht="12.75">
      <c r="A522" s="279"/>
      <c r="B522" s="74"/>
    </row>
    <row r="523" spans="1:2" ht="12.75">
      <c r="A523" s="279"/>
      <c r="B523" s="74"/>
    </row>
    <row r="524" spans="1:2" ht="12.75">
      <c r="A524" s="279"/>
      <c r="B524" s="74"/>
    </row>
    <row r="525" spans="1:2" ht="12.75">
      <c r="A525" s="279"/>
      <c r="B525" s="74"/>
    </row>
    <row r="526" spans="1:2" ht="12.75">
      <c r="A526" s="279"/>
      <c r="B526" s="74"/>
    </row>
    <row r="527" spans="1:2" ht="12.75">
      <c r="A527" s="279"/>
      <c r="B527" s="74"/>
    </row>
    <row r="528" spans="1:2" ht="12.75">
      <c r="A528" s="279"/>
      <c r="B528" s="74"/>
    </row>
    <row r="529" spans="1:2" ht="12.75">
      <c r="A529" s="279"/>
      <c r="B529" s="74"/>
    </row>
    <row r="530" spans="1:2" ht="12.75">
      <c r="A530" s="279"/>
      <c r="B530" s="74"/>
    </row>
    <row r="531" spans="1:2" ht="12.75">
      <c r="A531" s="279"/>
      <c r="B531" s="74"/>
    </row>
    <row r="532" spans="1:2" ht="12.75">
      <c r="A532" s="279"/>
      <c r="B532" s="74"/>
    </row>
    <row r="533" spans="1:2" ht="12.75">
      <c r="A533" s="279"/>
      <c r="B533" s="74"/>
    </row>
    <row r="534" spans="1:2" ht="12.75">
      <c r="A534" s="279"/>
      <c r="B534" s="74"/>
    </row>
    <row r="535" spans="1:2" ht="12.75">
      <c r="A535" s="279"/>
      <c r="B535" s="74"/>
    </row>
    <row r="536" spans="1:2" ht="12.75">
      <c r="A536" s="279"/>
      <c r="B536" s="74"/>
    </row>
    <row r="537" spans="1:2" ht="12.75">
      <c r="A537" s="279"/>
      <c r="B537" s="74"/>
    </row>
    <row r="538" spans="1:2" ht="12.75">
      <c r="A538" s="279"/>
      <c r="B538" s="74"/>
    </row>
    <row r="539" spans="1:2" ht="12.75">
      <c r="A539" s="279"/>
      <c r="B539" s="74"/>
    </row>
    <row r="540" spans="1:2" ht="12.75">
      <c r="A540" s="279"/>
      <c r="B540" s="74"/>
    </row>
    <row r="541" spans="1:2" ht="12.75">
      <c r="A541" s="279"/>
      <c r="B541" s="74"/>
    </row>
    <row r="542" spans="1:2" ht="12.75">
      <c r="A542" s="279"/>
      <c r="B542" s="74"/>
    </row>
    <row r="543" spans="1:2" ht="12.75">
      <c r="A543" s="279"/>
      <c r="B543" s="74"/>
    </row>
    <row r="544" spans="1:2" ht="12.75">
      <c r="A544" s="279"/>
      <c r="B544" s="74"/>
    </row>
    <row r="545" spans="1:2" ht="12.75">
      <c r="A545" s="279"/>
      <c r="B545" s="74"/>
    </row>
    <row r="546" spans="1:2" ht="12.75">
      <c r="A546" s="279"/>
      <c r="B546" s="74"/>
    </row>
    <row r="547" spans="1:2" ht="12.75">
      <c r="A547" s="279"/>
      <c r="B547" s="74"/>
    </row>
    <row r="548" spans="1:2" ht="12.75">
      <c r="A548" s="279"/>
      <c r="B548" s="74"/>
    </row>
    <row r="549" spans="1:2" ht="12.75">
      <c r="A549" s="279"/>
      <c r="B549" s="74"/>
    </row>
    <row r="550" spans="1:2" ht="12.75">
      <c r="A550" s="279"/>
      <c r="B550" s="74"/>
    </row>
    <row r="551" spans="1:2" ht="12.75">
      <c r="A551" s="279"/>
      <c r="B551" s="74"/>
    </row>
    <row r="552" spans="1:2" ht="12.75">
      <c r="A552" s="279"/>
      <c r="B552" s="74"/>
    </row>
    <row r="553" spans="1:2" ht="12.75">
      <c r="A553" s="279"/>
      <c r="B553" s="74"/>
    </row>
    <row r="554" spans="1:2" ht="12.75">
      <c r="A554" s="279"/>
      <c r="B554" s="74"/>
    </row>
    <row r="555" spans="1:2" ht="12.75">
      <c r="A555" s="279"/>
      <c r="B555" s="74"/>
    </row>
    <row r="556" spans="1:2" ht="12.75">
      <c r="A556" s="279"/>
      <c r="B556" s="74"/>
    </row>
    <row r="557" spans="1:2" ht="12.75">
      <c r="A557" s="279"/>
      <c r="B557" s="74"/>
    </row>
    <row r="558" spans="1:2" ht="12.75">
      <c r="A558" s="279"/>
      <c r="B558" s="74"/>
    </row>
    <row r="559" spans="1:2" ht="12.75">
      <c r="A559" s="279"/>
      <c r="B559" s="74"/>
    </row>
    <row r="560" spans="1:2" ht="12.75">
      <c r="A560" s="279"/>
      <c r="B560" s="74"/>
    </row>
    <row r="561" spans="1:2" ht="12.75">
      <c r="A561" s="279"/>
      <c r="B561" s="74"/>
    </row>
    <row r="562" spans="1:2" ht="12.75">
      <c r="A562" s="279"/>
      <c r="B562" s="74"/>
    </row>
    <row r="563" spans="1:2" ht="12.75">
      <c r="A563" s="279"/>
      <c r="B563" s="74"/>
    </row>
    <row r="564" spans="1:2" ht="12.75">
      <c r="A564" s="279"/>
      <c r="B564" s="74"/>
    </row>
    <row r="565" spans="1:2" ht="12.75">
      <c r="A565" s="279"/>
      <c r="B565" s="74"/>
    </row>
    <row r="566" spans="1:2" ht="12.75">
      <c r="A566" s="279"/>
      <c r="B566" s="74"/>
    </row>
    <row r="567" spans="1:2" ht="12.75">
      <c r="A567" s="279"/>
      <c r="B567" s="74"/>
    </row>
    <row r="568" spans="1:2" ht="12.75">
      <c r="A568" s="279"/>
      <c r="B568" s="74"/>
    </row>
    <row r="569" spans="1:2" ht="12.75">
      <c r="A569" s="279"/>
      <c r="B569" s="74"/>
    </row>
    <row r="570" spans="1:2" ht="12.75">
      <c r="A570" s="279"/>
      <c r="B570" s="74"/>
    </row>
    <row r="571" spans="1:2" ht="12.75">
      <c r="A571" s="279"/>
      <c r="B571" s="74"/>
    </row>
    <row r="572" spans="1:2" ht="12.75">
      <c r="A572" s="279"/>
      <c r="B572" s="74"/>
    </row>
    <row r="573" spans="1:2" ht="12.75">
      <c r="A573" s="279"/>
      <c r="B573" s="74"/>
    </row>
    <row r="574" spans="1:2" ht="12.75">
      <c r="A574" s="279"/>
      <c r="B574" s="74"/>
    </row>
    <row r="575" spans="1:2" ht="12.75">
      <c r="A575" s="279"/>
      <c r="B575" s="74"/>
    </row>
    <row r="576" spans="1:2" ht="12.75">
      <c r="A576" s="279"/>
      <c r="B576" s="74"/>
    </row>
    <row r="577" spans="1:2" ht="12.75">
      <c r="A577" s="279"/>
      <c r="B577" s="74"/>
    </row>
    <row r="578" spans="1:2" ht="12.75">
      <c r="A578" s="279"/>
      <c r="B578" s="74"/>
    </row>
    <row r="579" spans="1:2" ht="12.75">
      <c r="A579" s="279"/>
      <c r="B579" s="74"/>
    </row>
    <row r="580" spans="1:2" ht="12.75">
      <c r="A580" s="279"/>
      <c r="B580" s="74"/>
    </row>
    <row r="581" spans="1:2" ht="12.75">
      <c r="A581" s="279"/>
      <c r="B581" s="74"/>
    </row>
    <row r="582" spans="1:2" ht="12.75">
      <c r="A582" s="279"/>
      <c r="B582" s="74"/>
    </row>
    <row r="583" spans="1:2" ht="12.75">
      <c r="A583" s="279"/>
      <c r="B583" s="74"/>
    </row>
    <row r="584" spans="1:2" ht="12.75">
      <c r="A584" s="279"/>
      <c r="B584" s="74"/>
    </row>
    <row r="585" spans="1:2" ht="12.75">
      <c r="A585" s="279"/>
      <c r="B585" s="74"/>
    </row>
    <row r="586" spans="1:2" ht="12.75">
      <c r="A586" s="279"/>
      <c r="B586" s="74"/>
    </row>
    <row r="587" spans="1:2" ht="12.75">
      <c r="A587" s="279"/>
      <c r="B587" s="74"/>
    </row>
    <row r="588" spans="1:2" ht="12.75">
      <c r="A588" s="279"/>
      <c r="B588" s="74"/>
    </row>
    <row r="589" spans="1:2" ht="12.75">
      <c r="A589" s="279"/>
      <c r="B589" s="74"/>
    </row>
    <row r="590" spans="1:2" ht="12.75">
      <c r="A590" s="279"/>
      <c r="B590" s="74"/>
    </row>
    <row r="591" spans="1:2" ht="12.75">
      <c r="A591" s="279"/>
      <c r="B591" s="74"/>
    </row>
    <row r="592" spans="1:2" ht="12.75">
      <c r="A592" s="279"/>
      <c r="B592" s="74"/>
    </row>
    <row r="593" spans="1:2" ht="12.75">
      <c r="A593" s="279"/>
      <c r="B593" s="74"/>
    </row>
    <row r="594" spans="1:2" ht="12.75">
      <c r="A594" s="279"/>
      <c r="B594" s="74"/>
    </row>
    <row r="595" spans="1:2" ht="12.75">
      <c r="A595" s="279"/>
      <c r="B595" s="74"/>
    </row>
    <row r="596" spans="1:2" ht="12.75">
      <c r="A596" s="279"/>
      <c r="B596" s="74"/>
    </row>
    <row r="597" spans="1:2" ht="12.75">
      <c r="A597" s="279"/>
      <c r="B597" s="74"/>
    </row>
    <row r="598" spans="1:2" ht="12.75">
      <c r="A598" s="279"/>
      <c r="B598" s="74"/>
    </row>
    <row r="599" spans="1:2" ht="12.75">
      <c r="A599" s="279"/>
      <c r="B599" s="74"/>
    </row>
    <row r="600" spans="1:2" ht="12.75">
      <c r="A600" s="279"/>
      <c r="B600" s="74"/>
    </row>
    <row r="601" spans="1:2" ht="12.75">
      <c r="A601" s="279"/>
      <c r="B601" s="74"/>
    </row>
    <row r="602" spans="1:2" ht="12.75">
      <c r="A602" s="279"/>
      <c r="B602" s="74"/>
    </row>
    <row r="603" spans="1:2" ht="12.75">
      <c r="A603" s="279"/>
      <c r="B603" s="74"/>
    </row>
    <row r="604" spans="1:2" ht="12.75">
      <c r="A604" s="279"/>
      <c r="B604" s="74"/>
    </row>
    <row r="605" spans="1:2" ht="12.75">
      <c r="A605" s="279"/>
      <c r="B605" s="74"/>
    </row>
    <row r="606" spans="1:2" ht="12.75">
      <c r="A606" s="279"/>
      <c r="B606" s="74"/>
    </row>
    <row r="607" spans="1:2" ht="12.75">
      <c r="A607" s="279"/>
      <c r="B607" s="74"/>
    </row>
    <row r="608" spans="1:2" ht="12.75">
      <c r="A608" s="279"/>
      <c r="B608" s="74"/>
    </row>
    <row r="609" spans="1:2" ht="12.75">
      <c r="A609" s="279"/>
      <c r="B609" s="74"/>
    </row>
    <row r="610" spans="1:2" ht="12.75">
      <c r="A610" s="279"/>
      <c r="B610" s="74"/>
    </row>
    <row r="611" spans="1:2" ht="12.75">
      <c r="A611" s="279"/>
      <c r="B611" s="74"/>
    </row>
    <row r="612" spans="1:2" ht="12.75">
      <c r="A612" s="279"/>
      <c r="B612" s="74"/>
    </row>
    <row r="613" spans="1:2" ht="12.75">
      <c r="A613" s="279"/>
      <c r="B613" s="74"/>
    </row>
    <row r="614" spans="1:2" ht="12.75">
      <c r="A614" s="279"/>
      <c r="B614" s="74"/>
    </row>
    <row r="615" spans="1:2" ht="12.75">
      <c r="A615" s="279"/>
      <c r="B615" s="74"/>
    </row>
    <row r="616" spans="1:2" ht="12.75">
      <c r="A616" s="279"/>
      <c r="B616" s="74"/>
    </row>
    <row r="617" spans="1:2" ht="12.75">
      <c r="A617" s="279"/>
      <c r="B617" s="74"/>
    </row>
    <row r="618" spans="1:2" ht="12.75">
      <c r="A618" s="279"/>
      <c r="B618" s="74"/>
    </row>
    <row r="619" spans="1:2" ht="12.75">
      <c r="A619" s="279"/>
      <c r="B619" s="74"/>
    </row>
    <row r="620" spans="1:2" ht="12.75">
      <c r="A620" s="279"/>
      <c r="B620" s="74"/>
    </row>
    <row r="621" spans="1:2" ht="12.75">
      <c r="A621" s="279"/>
      <c r="B621" s="74"/>
    </row>
    <row r="622" spans="1:2" ht="12.75">
      <c r="A622" s="279"/>
      <c r="B622" s="74"/>
    </row>
    <row r="623" spans="1:2" ht="12.75">
      <c r="A623" s="279"/>
      <c r="B623" s="74"/>
    </row>
    <row r="624" spans="1:2" ht="12.75">
      <c r="A624" s="279"/>
      <c r="B624" s="74"/>
    </row>
    <row r="625" spans="1:2" ht="12.75">
      <c r="A625" s="279"/>
      <c r="B625" s="74"/>
    </row>
    <row r="626" spans="1:2" ht="12.75">
      <c r="A626" s="279"/>
      <c r="B626" s="74"/>
    </row>
    <row r="627" spans="1:2" ht="12.75">
      <c r="A627" s="279"/>
      <c r="B627" s="74"/>
    </row>
    <row r="628" spans="1:2" ht="12.75">
      <c r="A628" s="279"/>
      <c r="B628" s="74"/>
    </row>
    <row r="629" spans="1:2" ht="12.75">
      <c r="A629" s="279"/>
      <c r="B629" s="74"/>
    </row>
    <row r="630" spans="1:2" ht="12.75">
      <c r="A630" s="279"/>
      <c r="B630" s="74"/>
    </row>
    <row r="631" spans="1:2" ht="12.75">
      <c r="A631" s="279"/>
      <c r="B631" s="74"/>
    </row>
    <row r="632" spans="1:2" ht="12.75">
      <c r="A632" s="279"/>
      <c r="B632" s="74"/>
    </row>
    <row r="633" spans="1:2" ht="12.75">
      <c r="A633" s="279"/>
      <c r="B633" s="74"/>
    </row>
    <row r="634" spans="1:2" ht="12.75">
      <c r="A634" s="279"/>
      <c r="B634" s="74"/>
    </row>
    <row r="635" spans="1:2" ht="12.75">
      <c r="A635" s="279"/>
      <c r="B635" s="74"/>
    </row>
    <row r="636" spans="1:2" ht="12.75">
      <c r="A636" s="279"/>
      <c r="B636" s="74"/>
    </row>
    <row r="637" spans="1:2" ht="12.75">
      <c r="A637" s="279"/>
      <c r="B637" s="74"/>
    </row>
    <row r="638" spans="1:2" ht="12.75">
      <c r="A638" s="279"/>
      <c r="B638" s="74"/>
    </row>
    <row r="639" spans="1:2" ht="12.75">
      <c r="A639" s="279"/>
      <c r="B639" s="74"/>
    </row>
    <row r="640" spans="1:2" ht="12.75">
      <c r="A640" s="279"/>
      <c r="B640" s="74"/>
    </row>
    <row r="641" spans="1:2" ht="12.75">
      <c r="A641" s="279"/>
      <c r="B641" s="74"/>
    </row>
    <row r="642" spans="1:2" ht="12.75">
      <c r="A642" s="279"/>
      <c r="B642" s="74"/>
    </row>
    <row r="643" spans="1:2" ht="12.75">
      <c r="A643" s="279"/>
      <c r="B643" s="74"/>
    </row>
    <row r="644" spans="1:2" ht="12.75">
      <c r="A644" s="279"/>
      <c r="B644" s="74"/>
    </row>
    <row r="645" spans="1:2" ht="12.75">
      <c r="A645" s="279"/>
      <c r="B645" s="74"/>
    </row>
    <row r="646" spans="1:2" ht="12.75">
      <c r="A646" s="279"/>
      <c r="B646" s="74"/>
    </row>
    <row r="647" spans="1:2" ht="12.75">
      <c r="A647" s="279"/>
      <c r="B647" s="74"/>
    </row>
    <row r="648" spans="1:2" ht="12.75">
      <c r="A648" s="279"/>
      <c r="B648" s="74"/>
    </row>
    <row r="649" spans="1:2" ht="12.75">
      <c r="A649" s="279"/>
      <c r="B649" s="74"/>
    </row>
    <row r="650" spans="1:2" ht="12.75">
      <c r="A650" s="279"/>
      <c r="B650" s="74"/>
    </row>
    <row r="651" spans="1:2" ht="12.75">
      <c r="A651" s="279"/>
      <c r="B651" s="74"/>
    </row>
    <row r="652" spans="1:2" ht="12.75">
      <c r="A652" s="279"/>
      <c r="B652" s="74"/>
    </row>
    <row r="653" spans="1:2" ht="12.75">
      <c r="A653" s="279"/>
      <c r="B653" s="74"/>
    </row>
    <row r="654" spans="1:2" ht="12.75">
      <c r="A654" s="279"/>
      <c r="B654" s="74"/>
    </row>
    <row r="655" spans="1:2" ht="12.75">
      <c r="A655" s="279"/>
      <c r="B655" s="74"/>
    </row>
    <row r="656" spans="1:2" ht="12.75">
      <c r="A656" s="279"/>
      <c r="B656" s="74"/>
    </row>
    <row r="657" spans="1:2" ht="12.75">
      <c r="A657" s="279"/>
      <c r="B657" s="74"/>
    </row>
    <row r="658" spans="1:2" ht="12.75">
      <c r="A658" s="279"/>
      <c r="B658" s="74"/>
    </row>
    <row r="659" spans="1:2" ht="12.75">
      <c r="A659" s="279"/>
      <c r="B659" s="74"/>
    </row>
    <row r="660" spans="1:2" ht="12.75">
      <c r="A660" s="279"/>
      <c r="B660" s="74"/>
    </row>
    <row r="661" spans="1:2" ht="12.75">
      <c r="A661" s="279"/>
      <c r="B661" s="74"/>
    </row>
    <row r="662" spans="1:2" ht="12.75">
      <c r="A662" s="279"/>
      <c r="B662" s="74"/>
    </row>
    <row r="663" spans="1:2" ht="12.75">
      <c r="A663" s="279"/>
      <c r="B663" s="74"/>
    </row>
    <row r="664" spans="1:2" ht="12.75">
      <c r="A664" s="279"/>
      <c r="B664" s="74"/>
    </row>
    <row r="665" spans="1:2" ht="12.75">
      <c r="A665" s="279"/>
      <c r="B665" s="74"/>
    </row>
    <row r="666" spans="1:2" ht="12.75">
      <c r="A666" s="279"/>
      <c r="B666" s="74"/>
    </row>
    <row r="667" spans="1:2" ht="12.75">
      <c r="A667" s="279"/>
      <c r="B667" s="74"/>
    </row>
    <row r="668" spans="1:2" ht="12.75">
      <c r="A668" s="279"/>
      <c r="B668" s="74"/>
    </row>
    <row r="669" spans="1:2" ht="12.75">
      <c r="A669" s="279"/>
      <c r="B669" s="74"/>
    </row>
    <row r="670" spans="1:2" ht="12.75">
      <c r="A670" s="279"/>
      <c r="B670" s="74"/>
    </row>
    <row r="671" spans="1:2" ht="12.75">
      <c r="A671" s="279"/>
      <c r="B671" s="74"/>
    </row>
    <row r="672" spans="1:2" ht="12.75">
      <c r="A672" s="279"/>
      <c r="B672" s="74"/>
    </row>
    <row r="673" spans="1:2" ht="12.75">
      <c r="A673" s="279"/>
      <c r="B673" s="74"/>
    </row>
    <row r="674" spans="1:2" ht="12.75">
      <c r="A674" s="279"/>
      <c r="B674" s="74"/>
    </row>
    <row r="675" spans="1:2" ht="12.75">
      <c r="A675" s="279"/>
      <c r="B675" s="74"/>
    </row>
    <row r="676" spans="1:2" ht="12.75">
      <c r="A676" s="279"/>
      <c r="B676" s="74"/>
    </row>
    <row r="677" spans="1:2" ht="12.75">
      <c r="A677" s="279"/>
      <c r="B677" s="74"/>
    </row>
    <row r="678" spans="1:2" ht="12.75">
      <c r="A678" s="279"/>
      <c r="B678" s="74"/>
    </row>
    <row r="679" spans="1:2" ht="12.75">
      <c r="A679" s="279"/>
      <c r="B679" s="74"/>
    </row>
    <row r="680" spans="1:2" ht="12.75">
      <c r="A680" s="279"/>
      <c r="B680" s="74"/>
    </row>
    <row r="681" spans="1:2" ht="12.75">
      <c r="A681" s="279"/>
      <c r="B681" s="74"/>
    </row>
    <row r="682" spans="1:2" ht="12.75">
      <c r="A682" s="279"/>
      <c r="B682" s="74"/>
    </row>
    <row r="683" spans="1:2" ht="12.75">
      <c r="A683" s="279"/>
      <c r="B683" s="74"/>
    </row>
    <row r="684" spans="1:2" ht="12.75">
      <c r="A684" s="279"/>
      <c r="B684" s="74"/>
    </row>
    <row r="685" spans="1:2" ht="12.75">
      <c r="A685" s="279"/>
      <c r="B685" s="74"/>
    </row>
    <row r="686" spans="1:2" ht="12.75">
      <c r="A686" s="279"/>
      <c r="B686" s="74"/>
    </row>
    <row r="687" spans="1:2" ht="12.75">
      <c r="A687" s="279"/>
      <c r="B687" s="74"/>
    </row>
    <row r="688" spans="1:2" ht="12.75">
      <c r="A688" s="279"/>
      <c r="B688" s="74"/>
    </row>
    <row r="689" spans="1:2" ht="12.75">
      <c r="A689" s="279"/>
      <c r="B689" s="74"/>
    </row>
    <row r="690" spans="1:2" ht="12.75">
      <c r="A690" s="279"/>
      <c r="B690" s="74"/>
    </row>
    <row r="691" spans="1:2" ht="12.75">
      <c r="A691" s="279"/>
      <c r="B691" s="74"/>
    </row>
    <row r="692" spans="1:2" ht="12.75">
      <c r="A692" s="279"/>
      <c r="B692" s="74"/>
    </row>
    <row r="693" spans="1:2" ht="12.75">
      <c r="A693" s="279"/>
      <c r="B693" s="74"/>
    </row>
    <row r="694" spans="1:2" ht="12.75">
      <c r="A694" s="279"/>
      <c r="B694" s="74"/>
    </row>
    <row r="695" spans="1:2" ht="12.75">
      <c r="A695" s="279"/>
      <c r="B695" s="74"/>
    </row>
    <row r="696" spans="1:2" ht="12.75">
      <c r="A696" s="279"/>
      <c r="B696" s="74"/>
    </row>
    <row r="697" spans="1:2" ht="12.75">
      <c r="A697" s="279"/>
      <c r="B697" s="74"/>
    </row>
    <row r="698" spans="1:2" ht="12.75">
      <c r="A698" s="279"/>
      <c r="B698" s="74"/>
    </row>
    <row r="699" spans="1:2" ht="12.75">
      <c r="A699" s="279"/>
      <c r="B699" s="74"/>
    </row>
    <row r="700" spans="1:2" ht="12.75">
      <c r="A700" s="279"/>
      <c r="B700" s="74"/>
    </row>
    <row r="701" spans="1:2" ht="12.75">
      <c r="A701" s="279"/>
      <c r="B701" s="74"/>
    </row>
    <row r="702" spans="1:2" ht="12.75">
      <c r="A702" s="279"/>
      <c r="B702" s="74"/>
    </row>
    <row r="703" spans="1:2" ht="12.75">
      <c r="A703" s="279"/>
      <c r="B703" s="74"/>
    </row>
    <row r="704" spans="1:2" ht="12.75">
      <c r="A704" s="279"/>
      <c r="B704" s="74"/>
    </row>
    <row r="705" spans="1:2" ht="12.75">
      <c r="A705" s="279"/>
      <c r="B705" s="74"/>
    </row>
    <row r="706" spans="1:2" ht="12.75">
      <c r="A706" s="279"/>
      <c r="B706" s="74"/>
    </row>
    <row r="707" spans="1:2" ht="12.75">
      <c r="A707" s="279"/>
      <c r="B707" s="74"/>
    </row>
    <row r="708" spans="1:2" ht="12.75">
      <c r="A708" s="279"/>
      <c r="B708" s="74"/>
    </row>
    <row r="709" spans="1:2" ht="12.75">
      <c r="A709" s="279"/>
      <c r="B709" s="74"/>
    </row>
    <row r="710" spans="1:2" ht="12.75">
      <c r="A710" s="279"/>
      <c r="B710" s="74"/>
    </row>
    <row r="711" spans="1:2" ht="12.75">
      <c r="A711" s="279"/>
      <c r="B711" s="74"/>
    </row>
    <row r="712" spans="1:2" ht="12.75">
      <c r="A712" s="279"/>
      <c r="B712" s="74"/>
    </row>
    <row r="713" spans="1:2" ht="12.75">
      <c r="A713" s="279"/>
      <c r="B713" s="74"/>
    </row>
    <row r="714" spans="1:2" ht="12.75">
      <c r="A714" s="279"/>
      <c r="B714" s="74"/>
    </row>
    <row r="715" spans="1:2" ht="12.75">
      <c r="A715" s="279"/>
      <c r="B715" s="74"/>
    </row>
    <row r="716" spans="1:2" ht="12.75">
      <c r="A716" s="279"/>
      <c r="B716" s="74"/>
    </row>
    <row r="717" spans="1:2" ht="12.75">
      <c r="A717" s="279"/>
      <c r="B717" s="74"/>
    </row>
    <row r="718" spans="1:2" ht="12.75">
      <c r="A718" s="279"/>
      <c r="B718" s="74"/>
    </row>
    <row r="719" spans="1:2" ht="12.75">
      <c r="A719" s="279"/>
      <c r="B719" s="74"/>
    </row>
    <row r="720" spans="1:2" ht="12.75">
      <c r="A720" s="279"/>
      <c r="B720" s="74"/>
    </row>
    <row r="721" spans="1:2" ht="12.75">
      <c r="A721" s="279"/>
      <c r="B721" s="74"/>
    </row>
    <row r="722" spans="1:2" ht="12.75">
      <c r="A722" s="279"/>
      <c r="B722" s="74"/>
    </row>
    <row r="723" spans="1:2" ht="12.75">
      <c r="A723" s="279"/>
      <c r="B723" s="74"/>
    </row>
    <row r="724" spans="1:2" ht="12.75">
      <c r="A724" s="279"/>
      <c r="B724" s="74"/>
    </row>
    <row r="725" spans="1:2" ht="12.75">
      <c r="A725" s="279"/>
      <c r="B725" s="74"/>
    </row>
    <row r="726" spans="1:2" ht="12.75">
      <c r="A726" s="279"/>
      <c r="B726" s="74"/>
    </row>
    <row r="727" spans="1:2" ht="12.75">
      <c r="A727" s="279"/>
      <c r="B727" s="74"/>
    </row>
    <row r="728" spans="1:2" ht="12.75">
      <c r="A728" s="279"/>
      <c r="B728" s="74"/>
    </row>
    <row r="729" spans="1:2" ht="12.75">
      <c r="A729" s="279"/>
      <c r="B729" s="74"/>
    </row>
    <row r="730" spans="1:2" ht="12.75">
      <c r="A730" s="279"/>
      <c r="B730" s="74"/>
    </row>
    <row r="731" spans="1:2" ht="12.75">
      <c r="A731" s="279"/>
      <c r="B731" s="74"/>
    </row>
    <row r="732" spans="1:2" ht="12.75">
      <c r="A732" s="279"/>
      <c r="B732" s="74"/>
    </row>
    <row r="733" spans="1:2" ht="12.75">
      <c r="A733" s="279"/>
      <c r="B733" s="74"/>
    </row>
    <row r="734" spans="1:2" ht="12.75">
      <c r="A734" s="279"/>
      <c r="B734" s="74"/>
    </row>
    <row r="735" spans="1:2" ht="12.75">
      <c r="A735" s="279"/>
      <c r="B735" s="74"/>
    </row>
    <row r="736" spans="1:2" ht="12.75">
      <c r="A736" s="279"/>
      <c r="B736" s="74"/>
    </row>
    <row r="737" spans="1:2" ht="12.75">
      <c r="A737" s="279"/>
      <c r="B737" s="74"/>
    </row>
    <row r="738" spans="1:2" ht="12.75">
      <c r="A738" s="279"/>
      <c r="B738" s="74"/>
    </row>
    <row r="739" spans="1:2" ht="12.75">
      <c r="A739" s="279"/>
      <c r="B739" s="74"/>
    </row>
    <row r="740" spans="1:2" ht="12.75">
      <c r="A740" s="279"/>
      <c r="B740" s="74"/>
    </row>
    <row r="741" spans="1:2" ht="12.75">
      <c r="A741" s="279"/>
      <c r="B741" s="74"/>
    </row>
    <row r="742" spans="1:2" ht="12.75">
      <c r="A742" s="279"/>
      <c r="B742" s="74"/>
    </row>
    <row r="743" spans="1:2" ht="12.75">
      <c r="A743" s="279"/>
      <c r="B743" s="74"/>
    </row>
    <row r="744" spans="1:2" ht="12.75">
      <c r="A744" s="279"/>
      <c r="B744" s="74"/>
    </row>
    <row r="745" spans="1:2" ht="12.75">
      <c r="A745" s="279"/>
      <c r="B745" s="74"/>
    </row>
    <row r="746" spans="1:2" ht="12.75">
      <c r="A746" s="279"/>
      <c r="B746" s="74"/>
    </row>
    <row r="747" spans="1:2" ht="12.75">
      <c r="A747" s="279"/>
      <c r="B747" s="74"/>
    </row>
    <row r="748" spans="1:2" ht="12.75">
      <c r="A748" s="279"/>
      <c r="B748" s="74"/>
    </row>
    <row r="749" spans="1:2" ht="12.75">
      <c r="A749" s="279"/>
      <c r="B749" s="74"/>
    </row>
    <row r="750" spans="1:2" ht="12.75">
      <c r="A750" s="279"/>
      <c r="B750" s="74"/>
    </row>
    <row r="751" spans="1:2" ht="12.75">
      <c r="A751" s="279"/>
      <c r="B751" s="74"/>
    </row>
    <row r="752" spans="1:2" ht="12.75">
      <c r="A752" s="279"/>
      <c r="B752" s="74"/>
    </row>
    <row r="753" spans="1:2" ht="12.75">
      <c r="A753" s="279"/>
      <c r="B753" s="74"/>
    </row>
    <row r="754" spans="1:2" ht="12.75">
      <c r="A754" s="279"/>
      <c r="B754" s="74"/>
    </row>
    <row r="755" spans="1:2" ht="12.75">
      <c r="A755" s="279"/>
      <c r="B755" s="74"/>
    </row>
    <row r="756" spans="1:2" ht="12.75">
      <c r="A756" s="279"/>
      <c r="B756" s="74"/>
    </row>
    <row r="757" spans="1:2" ht="12.75">
      <c r="A757" s="279"/>
      <c r="B757" s="74"/>
    </row>
    <row r="758" spans="1:2" ht="12.75">
      <c r="A758" s="279"/>
      <c r="B758" s="74"/>
    </row>
    <row r="759" spans="1:2" ht="12.75">
      <c r="A759" s="279"/>
      <c r="B759" s="74"/>
    </row>
    <row r="760" spans="1:2" ht="12.75">
      <c r="A760" s="279"/>
      <c r="B760" s="74"/>
    </row>
    <row r="761" spans="1:2" ht="12.75">
      <c r="A761" s="279"/>
      <c r="B761" s="74"/>
    </row>
    <row r="762" spans="1:2" ht="12.75">
      <c r="A762" s="279"/>
      <c r="B762" s="74"/>
    </row>
    <row r="763" spans="1:2" ht="12.75">
      <c r="A763" s="279"/>
      <c r="B763" s="74"/>
    </row>
    <row r="764" spans="1:2" ht="12.75">
      <c r="A764" s="279"/>
      <c r="B764" s="74"/>
    </row>
    <row r="765" spans="1:2" ht="12.75">
      <c r="A765" s="279"/>
      <c r="B765" s="74"/>
    </row>
    <row r="766" spans="1:2" ht="12.75">
      <c r="A766" s="279"/>
      <c r="B766" s="74"/>
    </row>
    <row r="767" spans="1:2" ht="12.75">
      <c r="A767" s="279"/>
      <c r="B767" s="74"/>
    </row>
    <row r="768" spans="1:2" ht="12.75">
      <c r="A768" s="279"/>
      <c r="B768" s="74"/>
    </row>
    <row r="769" spans="1:2" ht="12.75">
      <c r="A769" s="279"/>
      <c r="B769" s="74"/>
    </row>
    <row r="770" spans="1:2" ht="12.75">
      <c r="A770" s="279"/>
      <c r="B770" s="74"/>
    </row>
    <row r="771" spans="1:2" ht="12.75">
      <c r="A771" s="279"/>
      <c r="B771" s="74"/>
    </row>
    <row r="772" spans="1:2" ht="12.75">
      <c r="A772" s="279"/>
      <c r="B772" s="74"/>
    </row>
    <row r="773" spans="1:2" ht="12.75">
      <c r="A773" s="279"/>
      <c r="B773" s="74"/>
    </row>
    <row r="774" spans="1:2" ht="12.75">
      <c r="A774" s="279"/>
      <c r="B774" s="74"/>
    </row>
    <row r="775" spans="1:2" ht="12.75">
      <c r="A775" s="279"/>
      <c r="B775" s="74"/>
    </row>
    <row r="776" spans="1:2" ht="12.75">
      <c r="A776" s="279"/>
      <c r="B776" s="74"/>
    </row>
    <row r="777" spans="1:2" ht="12.75">
      <c r="A777" s="279"/>
      <c r="B777" s="74"/>
    </row>
    <row r="778" spans="1:2" ht="12.75">
      <c r="A778" s="279"/>
      <c r="B778" s="74"/>
    </row>
    <row r="779" spans="1:2" ht="12.75">
      <c r="A779" s="279"/>
      <c r="B779" s="74"/>
    </row>
    <row r="780" spans="1:2" ht="12.75">
      <c r="A780" s="279"/>
      <c r="B780" s="74"/>
    </row>
    <row r="781" spans="1:2" ht="12.75">
      <c r="A781" s="279"/>
      <c r="B781" s="74"/>
    </row>
    <row r="782" spans="1:2" ht="12.75">
      <c r="A782" s="279"/>
      <c r="B782" s="74"/>
    </row>
    <row r="783" spans="1:2" ht="12.75">
      <c r="A783" s="279"/>
      <c r="B783" s="74"/>
    </row>
    <row r="784" spans="1:2" ht="12.75">
      <c r="A784" s="279"/>
      <c r="B784" s="74"/>
    </row>
    <row r="785" spans="1:2" ht="12.75">
      <c r="A785" s="279"/>
      <c r="B785" s="74"/>
    </row>
    <row r="786" spans="1:2" ht="12.75">
      <c r="A786" s="279"/>
      <c r="B786" s="74"/>
    </row>
    <row r="787" spans="1:2" ht="12.75">
      <c r="A787" s="279"/>
      <c r="B787" s="74"/>
    </row>
    <row r="788" spans="1:2" ht="12.75">
      <c r="A788" s="279"/>
      <c r="B788" s="74"/>
    </row>
    <row r="789" spans="1:2" ht="12.75">
      <c r="A789" s="279"/>
      <c r="B789" s="74"/>
    </row>
    <row r="790" spans="1:2" ht="12.75">
      <c r="A790" s="279"/>
      <c r="B790" s="74"/>
    </row>
    <row r="791" spans="1:2" ht="12.75">
      <c r="A791" s="279"/>
      <c r="B791" s="74"/>
    </row>
    <row r="792" spans="1:2" ht="12.75">
      <c r="A792" s="279"/>
      <c r="B792" s="74"/>
    </row>
    <row r="793" spans="1:2" ht="12.75">
      <c r="A793" s="279"/>
      <c r="B793" s="74"/>
    </row>
    <row r="794" spans="1:2" ht="12.75">
      <c r="A794" s="279"/>
      <c r="B794" s="74"/>
    </row>
    <row r="795" spans="1:2" ht="12.75">
      <c r="A795" s="279"/>
      <c r="B795" s="74"/>
    </row>
    <row r="796" spans="1:2" ht="12.75">
      <c r="A796" s="279"/>
      <c r="B796" s="74"/>
    </row>
    <row r="797" spans="1:2" ht="12.75">
      <c r="A797" s="279"/>
      <c r="B797" s="74"/>
    </row>
    <row r="798" spans="1:2" ht="12.75">
      <c r="A798" s="279"/>
      <c r="B798" s="74"/>
    </row>
    <row r="799" spans="1:2" ht="12.75">
      <c r="A799" s="279"/>
      <c r="B799" s="74"/>
    </row>
    <row r="800" spans="1:2" ht="12.75">
      <c r="A800" s="279"/>
      <c r="B800" s="74"/>
    </row>
    <row r="801" spans="1:2" ht="12.75">
      <c r="A801" s="279"/>
      <c r="B801" s="74"/>
    </row>
    <row r="802" spans="1:2" ht="12.75">
      <c r="A802" s="279"/>
      <c r="B802" s="74"/>
    </row>
    <row r="803" spans="1:2" ht="12.75">
      <c r="A803" s="279"/>
      <c r="B803" s="74"/>
    </row>
    <row r="804" spans="1:2" ht="12.75">
      <c r="A804" s="279"/>
      <c r="B804" s="74"/>
    </row>
    <row r="805" spans="1:2" ht="12.75">
      <c r="A805" s="279"/>
      <c r="B805" s="74"/>
    </row>
    <row r="806" spans="1:2" ht="12.75">
      <c r="A806" s="279"/>
      <c r="B806" s="74"/>
    </row>
    <row r="807" spans="1:2" ht="12.75">
      <c r="A807" s="279"/>
      <c r="B807" s="74"/>
    </row>
    <row r="808" spans="1:2" ht="12.75">
      <c r="A808" s="279"/>
      <c r="B808" s="74"/>
    </row>
    <row r="809" spans="1:2" ht="12.75">
      <c r="A809" s="279"/>
      <c r="B809" s="74"/>
    </row>
    <row r="810" spans="1:2" ht="12.75">
      <c r="A810" s="279"/>
      <c r="B810" s="74"/>
    </row>
    <row r="811" spans="1:2" ht="12.75">
      <c r="A811" s="279"/>
      <c r="B811" s="74"/>
    </row>
    <row r="812" spans="1:2" ht="12.75">
      <c r="A812" s="279"/>
      <c r="B812" s="74"/>
    </row>
    <row r="813" spans="1:2" ht="12.75">
      <c r="A813" s="279"/>
      <c r="B813" s="74"/>
    </row>
    <row r="814" spans="1:2" ht="12.75">
      <c r="A814" s="279"/>
      <c r="B814" s="74"/>
    </row>
    <row r="815" spans="1:2" ht="12.75">
      <c r="A815" s="279"/>
      <c r="B815" s="74"/>
    </row>
    <row r="816" spans="1:2" ht="12.75">
      <c r="A816" s="279"/>
      <c r="B816" s="74"/>
    </row>
    <row r="817" spans="1:2" ht="12.75">
      <c r="A817" s="279"/>
      <c r="B817" s="74"/>
    </row>
    <row r="818" spans="1:2" ht="12.75">
      <c r="A818" s="279"/>
      <c r="B818" s="74"/>
    </row>
    <row r="819" spans="1:2" ht="12.75">
      <c r="A819" s="279"/>
      <c r="B819" s="74"/>
    </row>
    <row r="820" spans="1:2" ht="12.75">
      <c r="A820" s="279"/>
      <c r="B820" s="74"/>
    </row>
    <row r="821" spans="1:2" ht="12.75">
      <c r="A821" s="279"/>
      <c r="B821" s="74"/>
    </row>
    <row r="822" spans="1:2" ht="12.75">
      <c r="A822" s="279"/>
      <c r="B822" s="74"/>
    </row>
    <row r="823" spans="1:2" ht="12.75">
      <c r="A823" s="279"/>
      <c r="B823" s="74"/>
    </row>
    <row r="824" spans="1:2" ht="12.75">
      <c r="A824" s="279"/>
      <c r="B824" s="74"/>
    </row>
    <row r="825" spans="1:2" ht="12.75">
      <c r="A825" s="279"/>
      <c r="B825" s="74"/>
    </row>
    <row r="826" spans="1:2" ht="12.75">
      <c r="A826" s="279"/>
      <c r="B826" s="74"/>
    </row>
    <row r="827" spans="1:2" ht="12.75">
      <c r="A827" s="279"/>
      <c r="B827" s="74"/>
    </row>
    <row r="828" spans="1:2" ht="12.75">
      <c r="A828" s="279"/>
      <c r="B828" s="74"/>
    </row>
    <row r="829" spans="1:2" ht="12.75">
      <c r="A829" s="279"/>
      <c r="B829" s="74"/>
    </row>
    <row r="830" spans="1:2" ht="12.75">
      <c r="A830" s="279"/>
      <c r="B830" s="74"/>
    </row>
    <row r="831" spans="1:2" ht="12.75">
      <c r="A831" s="279"/>
      <c r="B831" s="74"/>
    </row>
    <row r="832" spans="1:2" ht="12.75">
      <c r="A832" s="279"/>
      <c r="B832" s="74"/>
    </row>
    <row r="833" spans="1:2" ht="12.75">
      <c r="A833" s="279"/>
      <c r="B833" s="74"/>
    </row>
    <row r="834" spans="1:2" ht="12.75">
      <c r="A834" s="279"/>
      <c r="B834" s="74"/>
    </row>
    <row r="835" spans="1:2" ht="12.75">
      <c r="A835" s="279"/>
      <c r="B835" s="74"/>
    </row>
    <row r="836" spans="1:2" ht="12.75">
      <c r="A836" s="279"/>
      <c r="B836" s="74"/>
    </row>
    <row r="837" spans="1:2" ht="12.75">
      <c r="A837" s="279"/>
      <c r="B837" s="74"/>
    </row>
    <row r="838" spans="1:2" ht="12.75">
      <c r="A838" s="279"/>
      <c r="B838" s="74"/>
    </row>
    <row r="839" spans="1:2" ht="12.75">
      <c r="A839" s="279"/>
      <c r="B839" s="74"/>
    </row>
    <row r="840" spans="1:2" ht="12.75">
      <c r="A840" s="279"/>
      <c r="B840" s="74"/>
    </row>
    <row r="841" spans="1:2" ht="12.75">
      <c r="A841" s="279"/>
      <c r="B841" s="74"/>
    </row>
    <row r="842" spans="1:2" ht="12.75">
      <c r="A842" s="279"/>
      <c r="B842" s="74"/>
    </row>
    <row r="843" spans="1:2" ht="12.75">
      <c r="A843" s="279"/>
      <c r="B843" s="74"/>
    </row>
    <row r="844" spans="1:2" ht="12.75">
      <c r="A844" s="279"/>
      <c r="B844" s="74"/>
    </row>
    <row r="845" spans="1:2" ht="12.75">
      <c r="A845" s="279"/>
      <c r="B845" s="74"/>
    </row>
    <row r="846" spans="1:2" ht="12.75">
      <c r="A846" s="279"/>
      <c r="B846" s="74"/>
    </row>
    <row r="847" spans="1:2" ht="12.75">
      <c r="A847" s="279"/>
      <c r="B847" s="74"/>
    </row>
    <row r="848" spans="1:2" ht="12.75">
      <c r="A848" s="279"/>
      <c r="B848" s="74"/>
    </row>
    <row r="849" spans="1:2" ht="12.75">
      <c r="A849" s="279"/>
      <c r="B849" s="74"/>
    </row>
    <row r="850" spans="1:2" ht="12.75">
      <c r="A850" s="279"/>
      <c r="B850" s="74"/>
    </row>
    <row r="851" spans="1:2" ht="12.75">
      <c r="A851" s="279"/>
      <c r="B851" s="74"/>
    </row>
    <row r="852" spans="1:2" ht="12.75">
      <c r="A852" s="279"/>
      <c r="B852" s="74"/>
    </row>
    <row r="853" spans="1:2" ht="12.75">
      <c r="A853" s="279"/>
      <c r="B853" s="74"/>
    </row>
    <row r="854" spans="1:2" ht="12.75">
      <c r="A854" s="279"/>
      <c r="B854" s="74"/>
    </row>
    <row r="855" spans="1:2" ht="12.75">
      <c r="A855" s="279"/>
      <c r="B855" s="74"/>
    </row>
    <row r="856" spans="1:2" ht="12.75">
      <c r="A856" s="279"/>
      <c r="B856" s="74"/>
    </row>
    <row r="857" spans="1:2" ht="12.75">
      <c r="A857" s="279"/>
      <c r="B857" s="74"/>
    </row>
    <row r="858" spans="1:2" ht="12.75">
      <c r="A858" s="279"/>
      <c r="B858" s="74"/>
    </row>
    <row r="859" spans="1:2" ht="12.75">
      <c r="A859" s="279"/>
      <c r="B859" s="74"/>
    </row>
    <row r="860" spans="1:2" ht="12.75">
      <c r="A860" s="279"/>
      <c r="B860" s="74"/>
    </row>
    <row r="861" spans="1:2" ht="12.75">
      <c r="A861" s="279"/>
      <c r="B861" s="74"/>
    </row>
    <row r="862" spans="1:2" ht="12.75">
      <c r="A862" s="279"/>
      <c r="B862" s="74"/>
    </row>
    <row r="863" spans="1:2" ht="12.75">
      <c r="A863" s="279"/>
      <c r="B863" s="74"/>
    </row>
    <row r="864" spans="1:2" ht="12.75">
      <c r="A864" s="279"/>
      <c r="B864" s="74"/>
    </row>
    <row r="865" spans="1:2" ht="12.75">
      <c r="A865" s="279"/>
      <c r="B865" s="74"/>
    </row>
    <row r="866" spans="1:2" ht="12.75">
      <c r="A866" s="279"/>
      <c r="B866" s="74"/>
    </row>
    <row r="867" spans="1:2" ht="12.75">
      <c r="A867" s="279"/>
      <c r="B867" s="74"/>
    </row>
    <row r="868" spans="1:2" ht="12.75">
      <c r="A868" s="279"/>
      <c r="B868" s="74"/>
    </row>
    <row r="869" spans="1:2" ht="12.75">
      <c r="A869" s="279"/>
      <c r="B869" s="74"/>
    </row>
    <row r="870" spans="1:2" ht="12.75">
      <c r="A870" s="279"/>
      <c r="B870" s="74"/>
    </row>
    <row r="871" spans="1:2" ht="12.75">
      <c r="A871" s="279"/>
      <c r="B871" s="74"/>
    </row>
    <row r="872" spans="1:2" ht="12.75">
      <c r="A872" s="279"/>
      <c r="B872" s="74"/>
    </row>
    <row r="873" spans="1:2" ht="12.75">
      <c r="A873" s="279"/>
      <c r="B873" s="74"/>
    </row>
    <row r="874" spans="1:2" ht="12.75">
      <c r="A874" s="279"/>
      <c r="B874" s="74"/>
    </row>
    <row r="875" spans="1:2" ht="12.75">
      <c r="A875" s="279"/>
      <c r="B875" s="74"/>
    </row>
    <row r="876" spans="1:2" ht="12.75">
      <c r="A876" s="279"/>
      <c r="B876" s="74"/>
    </row>
    <row r="877" spans="1:2" ht="12.75">
      <c r="A877" s="279"/>
      <c r="B877" s="74"/>
    </row>
    <row r="878" spans="1:2" ht="12.75">
      <c r="A878" s="279"/>
      <c r="B878" s="74"/>
    </row>
    <row r="879" spans="1:2" ht="12.75">
      <c r="A879" s="279"/>
      <c r="B879" s="74"/>
    </row>
    <row r="880" spans="1:2" ht="12.75">
      <c r="A880" s="279"/>
      <c r="B880" s="74"/>
    </row>
    <row r="881" spans="1:2" ht="12.75">
      <c r="A881" s="279"/>
      <c r="B881" s="74"/>
    </row>
    <row r="882" spans="1:2" ht="12.75">
      <c r="A882" s="279"/>
      <c r="B882" s="74"/>
    </row>
    <row r="883" spans="1:2" ht="12.75">
      <c r="A883" s="279"/>
      <c r="B883" s="74"/>
    </row>
    <row r="884" spans="1:2" ht="12.75">
      <c r="A884" s="279"/>
      <c r="B884" s="74"/>
    </row>
    <row r="885" spans="1:2" ht="12.75">
      <c r="A885" s="279"/>
      <c r="B885" s="74"/>
    </row>
    <row r="886" spans="1:2" ht="12.75">
      <c r="A886" s="279"/>
      <c r="B886" s="74"/>
    </row>
    <row r="887" spans="1:2" ht="12.75">
      <c r="A887" s="279"/>
      <c r="B887" s="74"/>
    </row>
    <row r="888" spans="1:2" ht="12.75">
      <c r="A888" s="279"/>
      <c r="B888" s="74"/>
    </row>
    <row r="889" spans="1:2" ht="12.75">
      <c r="A889" s="279"/>
      <c r="B889" s="74"/>
    </row>
    <row r="890" spans="1:2" ht="12.75">
      <c r="A890" s="279"/>
      <c r="B890" s="74"/>
    </row>
    <row r="891" spans="1:2" ht="12.75">
      <c r="A891" s="279"/>
      <c r="B891" s="74"/>
    </row>
    <row r="892" spans="1:2" ht="12.75">
      <c r="A892" s="279"/>
      <c r="B892" s="74"/>
    </row>
    <row r="893" spans="1:2" ht="12.75">
      <c r="A893" s="279"/>
      <c r="B893" s="74"/>
    </row>
    <row r="894" spans="1:2" ht="12.75">
      <c r="A894" s="279"/>
      <c r="B894" s="74"/>
    </row>
    <row r="895" spans="1:2" ht="12.75">
      <c r="A895" s="279"/>
      <c r="B895" s="74"/>
    </row>
    <row r="896" spans="1:2" ht="12.75">
      <c r="A896" s="279"/>
      <c r="B896" s="74"/>
    </row>
    <row r="897" spans="1:2" ht="12.75">
      <c r="A897" s="279"/>
      <c r="B897" s="74"/>
    </row>
    <row r="898" spans="1:2" ht="12.75">
      <c r="A898" s="279"/>
      <c r="B898" s="74"/>
    </row>
    <row r="899" spans="1:2" ht="12.75">
      <c r="A899" s="279"/>
      <c r="B899" s="74"/>
    </row>
    <row r="900" spans="1:2" ht="12.75">
      <c r="A900" s="279"/>
      <c r="B900" s="74"/>
    </row>
    <row r="901" spans="1:2" ht="12.75">
      <c r="A901" s="279"/>
      <c r="B901" s="74"/>
    </row>
    <row r="902" spans="1:2" ht="12.75">
      <c r="A902" s="279"/>
      <c r="B902" s="74"/>
    </row>
    <row r="903" spans="1:2" ht="12.75">
      <c r="A903" s="279"/>
      <c r="B903" s="74"/>
    </row>
    <row r="904" spans="1:2" ht="12.75">
      <c r="A904" s="279"/>
      <c r="B904" s="74"/>
    </row>
    <row r="905" spans="1:2" ht="12.75">
      <c r="A905" s="279"/>
      <c r="B905" s="74"/>
    </row>
    <row r="906" spans="1:2" ht="12.75">
      <c r="A906" s="279"/>
      <c r="B906" s="74"/>
    </row>
    <row r="907" spans="1:2" ht="12.75">
      <c r="A907" s="279"/>
      <c r="B907" s="74"/>
    </row>
    <row r="908" spans="1:2" ht="12.75">
      <c r="A908" s="279"/>
      <c r="B908" s="74"/>
    </row>
    <row r="909" spans="1:2" ht="12.75">
      <c r="A909" s="279"/>
      <c r="B909" s="74"/>
    </row>
    <row r="910" spans="1:2" ht="12.75">
      <c r="A910" s="279"/>
      <c r="B910" s="74"/>
    </row>
    <row r="911" spans="1:2" ht="12.75">
      <c r="A911" s="279"/>
      <c r="B911" s="74"/>
    </row>
    <row r="912" spans="1:2" ht="12.75">
      <c r="A912" s="279"/>
      <c r="B912" s="74"/>
    </row>
    <row r="913" spans="1:2" ht="12.75">
      <c r="A913" s="279"/>
      <c r="B913" s="74"/>
    </row>
    <row r="914" spans="1:2" ht="12.75">
      <c r="A914" s="279"/>
      <c r="B914" s="74"/>
    </row>
    <row r="915" spans="1:2" ht="12.75">
      <c r="A915" s="279"/>
      <c r="B915" s="74"/>
    </row>
    <row r="916" spans="1:2" ht="12.75">
      <c r="A916" s="279"/>
      <c r="B916" s="74"/>
    </row>
    <row r="917" spans="1:2" ht="12.75">
      <c r="A917" s="279"/>
      <c r="B917" s="74"/>
    </row>
    <row r="918" spans="1:2" ht="12.75">
      <c r="A918" s="279"/>
      <c r="B918" s="74"/>
    </row>
    <row r="919" spans="1:2" ht="12.75">
      <c r="A919" s="279"/>
      <c r="B919" s="74"/>
    </row>
    <row r="920" spans="1:2" ht="12.75">
      <c r="A920" s="279"/>
      <c r="B920" s="74"/>
    </row>
    <row r="921" spans="1:2" ht="12.75">
      <c r="A921" s="279"/>
      <c r="B921" s="74"/>
    </row>
    <row r="922" spans="1:2" ht="12.75">
      <c r="A922" s="279"/>
      <c r="B922" s="74"/>
    </row>
    <row r="923" spans="1:2" ht="12.75">
      <c r="A923" s="279"/>
      <c r="B923" s="74"/>
    </row>
    <row r="924" spans="1:2" ht="12.75">
      <c r="A924" s="279"/>
      <c r="B924" s="74"/>
    </row>
    <row r="925" spans="1:2" ht="12.75">
      <c r="A925" s="279"/>
      <c r="B925" s="74"/>
    </row>
    <row r="926" spans="1:2" ht="12.75">
      <c r="A926" s="279"/>
      <c r="B926" s="74"/>
    </row>
    <row r="927" spans="1:2" ht="12.75">
      <c r="A927" s="279"/>
      <c r="B927" s="74"/>
    </row>
    <row r="928" spans="1:2" ht="12.75">
      <c r="A928" s="279"/>
      <c r="B928" s="74"/>
    </row>
    <row r="929" spans="1:2" ht="12.75">
      <c r="A929" s="279"/>
      <c r="B929" s="74"/>
    </row>
    <row r="930" spans="1:2" ht="12.75">
      <c r="A930" s="279"/>
      <c r="B930" s="74"/>
    </row>
    <row r="931" spans="1:2" ht="12.75">
      <c r="A931" s="279"/>
      <c r="B931" s="74"/>
    </row>
    <row r="932" spans="1:2" ht="12.75">
      <c r="A932" s="279"/>
      <c r="B932" s="74"/>
    </row>
    <row r="933" spans="1:2" ht="12.75">
      <c r="A933" s="279"/>
      <c r="B933" s="74"/>
    </row>
    <row r="934" spans="1:2" ht="12.75">
      <c r="A934" s="279"/>
      <c r="B934" s="74"/>
    </row>
    <row r="935" spans="1:2" ht="12.75">
      <c r="A935" s="279"/>
      <c r="B935" s="74"/>
    </row>
    <row r="936" spans="1:2" ht="12.75">
      <c r="A936" s="279"/>
      <c r="B936" s="74"/>
    </row>
    <row r="937" spans="1:2" ht="12.75">
      <c r="A937" s="279"/>
      <c r="B937" s="74"/>
    </row>
    <row r="938" spans="1:2" ht="12.75">
      <c r="A938" s="279"/>
      <c r="B938" s="74"/>
    </row>
    <row r="939" spans="1:2" ht="12.75">
      <c r="A939" s="279"/>
      <c r="B939" s="74"/>
    </row>
    <row r="940" spans="1:2" ht="12.75">
      <c r="A940" s="279"/>
      <c r="B940" s="74"/>
    </row>
    <row r="941" spans="1:2" ht="12.75">
      <c r="A941" s="279"/>
      <c r="B941" s="74"/>
    </row>
    <row r="942" spans="1:2" ht="12.75">
      <c r="A942" s="279"/>
      <c r="B942" s="74"/>
    </row>
    <row r="943" spans="1:2" ht="12.75">
      <c r="A943" s="279"/>
      <c r="B943" s="74"/>
    </row>
    <row r="944" spans="1:2" ht="12.75">
      <c r="A944" s="279"/>
      <c r="B944" s="74"/>
    </row>
    <row r="945" spans="1:2" ht="12.75">
      <c r="A945" s="279"/>
      <c r="B945" s="74"/>
    </row>
    <row r="946" spans="1:2" ht="12.75">
      <c r="A946" s="279"/>
      <c r="B946" s="74"/>
    </row>
    <row r="947" spans="1:2" ht="12.75">
      <c r="A947" s="279"/>
      <c r="B947" s="74"/>
    </row>
    <row r="948" spans="1:2" ht="12.75">
      <c r="A948" s="279"/>
      <c r="B948" s="74"/>
    </row>
    <row r="949" spans="1:2" ht="12.75">
      <c r="A949" s="279"/>
      <c r="B949" s="74"/>
    </row>
    <row r="950" spans="1:2" ht="12.75">
      <c r="A950" s="279"/>
      <c r="B950" s="74"/>
    </row>
    <row r="951" spans="1:2" ht="12.75">
      <c r="A951" s="279"/>
      <c r="B951" s="74"/>
    </row>
    <row r="952" spans="1:2" ht="12.75">
      <c r="A952" s="279"/>
      <c r="B952" s="74"/>
    </row>
    <row r="953" spans="1:2" ht="12.75">
      <c r="A953" s="279"/>
      <c r="B953" s="74"/>
    </row>
    <row r="954" spans="1:2" ht="12.75">
      <c r="A954" s="279"/>
      <c r="B954" s="74"/>
    </row>
    <row r="955" spans="1:2" ht="12.75">
      <c r="A955" s="279"/>
      <c r="B955" s="74"/>
    </row>
    <row r="956" spans="1:2" ht="12.75">
      <c r="A956" s="279"/>
      <c r="B956" s="74"/>
    </row>
    <row r="957" spans="1:2" ht="12.75">
      <c r="A957" s="279"/>
      <c r="B957" s="74"/>
    </row>
    <row r="958" spans="1:2" ht="12.75">
      <c r="A958" s="279"/>
      <c r="B958" s="74"/>
    </row>
    <row r="959" spans="1:2" ht="12.75">
      <c r="A959" s="279"/>
      <c r="B959" s="74"/>
    </row>
    <row r="960" spans="1:2" ht="12.75">
      <c r="A960" s="279"/>
      <c r="B960" s="74"/>
    </row>
    <row r="961" spans="1:2" ht="12.75">
      <c r="A961" s="279"/>
      <c r="B961" s="74"/>
    </row>
    <row r="962" spans="1:2" ht="12.75">
      <c r="A962" s="279"/>
      <c r="B962" s="74"/>
    </row>
    <row r="963" spans="1:2" ht="12.75">
      <c r="A963" s="279"/>
      <c r="B963" s="74"/>
    </row>
    <row r="964" spans="1:2" ht="12.75">
      <c r="A964" s="279"/>
      <c r="B964" s="74"/>
    </row>
    <row r="965" spans="1:2" ht="12.75">
      <c r="A965" s="279"/>
      <c r="B965" s="74"/>
    </row>
    <row r="966" spans="1:2" ht="12.75">
      <c r="A966" s="279"/>
      <c r="B966" s="74"/>
    </row>
    <row r="967" spans="1:2" ht="12.75">
      <c r="A967" s="279"/>
      <c r="B967" s="74"/>
    </row>
    <row r="968" spans="1:2" ht="12.75">
      <c r="A968" s="279"/>
      <c r="B968" s="74"/>
    </row>
    <row r="969" spans="1:2" ht="12.75">
      <c r="A969" s="279"/>
      <c r="B969" s="74"/>
    </row>
    <row r="970" spans="1:2" ht="12.75">
      <c r="A970" s="279"/>
      <c r="B970" s="74"/>
    </row>
    <row r="971" spans="1:2" ht="12.75">
      <c r="A971" s="279"/>
      <c r="B971" s="74"/>
    </row>
    <row r="972" spans="1:2" ht="12.75">
      <c r="A972" s="279"/>
      <c r="B972" s="74"/>
    </row>
    <row r="973" spans="1:2" ht="12.75">
      <c r="A973" s="279"/>
      <c r="B973" s="74"/>
    </row>
    <row r="974" spans="1:2" ht="12.75">
      <c r="A974" s="279"/>
      <c r="B974" s="74"/>
    </row>
    <row r="975" spans="1:2" ht="12.75">
      <c r="A975" s="279"/>
      <c r="B975" s="74"/>
    </row>
    <row r="976" spans="1:2" ht="12.75">
      <c r="A976" s="279"/>
      <c r="B976" s="74"/>
    </row>
    <row r="977" spans="1:2" ht="12.75">
      <c r="A977" s="279"/>
      <c r="B977" s="74"/>
    </row>
    <row r="978" spans="1:2" ht="12.75">
      <c r="A978" s="279"/>
      <c r="B978" s="74"/>
    </row>
    <row r="979" spans="1:2" ht="12.75">
      <c r="A979" s="279"/>
      <c r="B979" s="74"/>
    </row>
    <row r="980" spans="1:2" ht="12.75">
      <c r="A980" s="279"/>
      <c r="B980" s="74"/>
    </row>
    <row r="981" spans="1:2" ht="12.75">
      <c r="A981" s="279"/>
      <c r="B981" s="74"/>
    </row>
    <row r="982" spans="1:2" ht="12.75">
      <c r="A982" s="279"/>
      <c r="B982" s="74"/>
    </row>
    <row r="983" spans="1:2" ht="12.75">
      <c r="A983" s="279"/>
      <c r="B983" s="74"/>
    </row>
    <row r="984" spans="1:2" ht="12.75">
      <c r="A984" s="279"/>
      <c r="B984" s="74"/>
    </row>
    <row r="985" spans="1:2" ht="12.75">
      <c r="A985" s="279"/>
      <c r="B985" s="74"/>
    </row>
    <row r="986" spans="1:2" ht="12.75">
      <c r="A986" s="279"/>
      <c r="B986" s="74"/>
    </row>
    <row r="987" spans="1:2" ht="12.75">
      <c r="A987" s="279"/>
      <c r="B987" s="74"/>
    </row>
    <row r="988" spans="1:2" ht="12.75">
      <c r="A988" s="279"/>
      <c r="B988" s="74"/>
    </row>
    <row r="989" spans="1:2" ht="12.75">
      <c r="A989" s="279"/>
      <c r="B989" s="74"/>
    </row>
    <row r="990" spans="1:2" ht="12.75">
      <c r="A990" s="279"/>
      <c r="B990" s="74"/>
    </row>
    <row r="991" spans="1:2" ht="12.75">
      <c r="A991" s="279"/>
      <c r="B991" s="74"/>
    </row>
    <row r="992" spans="1:2" ht="12.75">
      <c r="A992" s="279"/>
      <c r="B992" s="74"/>
    </row>
    <row r="993" spans="1:2" ht="12.75">
      <c r="A993" s="279"/>
      <c r="B993" s="74"/>
    </row>
    <row r="994" spans="1:2" ht="12.75">
      <c r="A994" s="279"/>
      <c r="B994" s="74"/>
    </row>
    <row r="995" spans="1:2" ht="12.75">
      <c r="A995" s="279"/>
      <c r="B995" s="74"/>
    </row>
    <row r="996" spans="1:2" ht="12.75">
      <c r="A996" s="279"/>
      <c r="B996" s="74"/>
    </row>
    <row r="997" spans="1:2" ht="12.75">
      <c r="A997" s="279"/>
      <c r="B997" s="74"/>
    </row>
    <row r="998" spans="1:2" ht="12.75">
      <c r="A998" s="279"/>
      <c r="B998" s="74"/>
    </row>
    <row r="999" spans="1:2" ht="12.75">
      <c r="A999" s="279"/>
      <c r="B999" s="74"/>
    </row>
    <row r="1000" spans="1:2" ht="12.75">
      <c r="A1000" s="279"/>
      <c r="B1000" s="74"/>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F1108"/>
  <sheetViews>
    <sheetView workbookViewId="0">
      <pane ySplit="1" topLeftCell="A2" activePane="bottomLeft" state="frozen"/>
      <selection pane="bottomLeft" activeCell="B3" sqref="B3"/>
    </sheetView>
  </sheetViews>
  <sheetFormatPr defaultColWidth="12.5703125" defaultRowHeight="15.75" customHeight="1"/>
  <cols>
    <col min="1" max="1" width="18.85546875" customWidth="1"/>
    <col min="2" max="2" width="9" customWidth="1"/>
    <col min="3" max="9" width="18.85546875" customWidth="1"/>
  </cols>
  <sheetData>
    <row r="1" spans="1:6" ht="15.75" customHeight="1">
      <c r="A1" s="1" t="s">
        <v>4171</v>
      </c>
      <c r="B1" s="1" t="s">
        <v>936</v>
      </c>
      <c r="C1" s="1" t="s">
        <v>4172</v>
      </c>
      <c r="D1" s="1" t="s">
        <v>1</v>
      </c>
      <c r="E1" s="1" t="s">
        <v>4173</v>
      </c>
      <c r="F1" s="1163" t="s">
        <v>4174</v>
      </c>
    </row>
    <row r="2" spans="1:6" ht="15.75" customHeight="1">
      <c r="A2" s="1164">
        <v>44796.689742939816</v>
      </c>
      <c r="B2" s="1" t="s">
        <v>4175</v>
      </c>
      <c r="C2" s="1165" t="s">
        <v>4176</v>
      </c>
      <c r="D2" s="1166" t="str">
        <f ca="1">IFERROR(__xludf.DUMMYFUNCTION("iferror(SPLIT(C2,""=""))"),"https://drive.google.com/open?id")</f>
        <v>https://drive.google.com/open?id</v>
      </c>
      <c r="E2" s="1" t="str">
        <f ca="1">IFERROR(__xludf.DUMMYFUNCTION("""COMPUTED_VALUE"""),"1Ih4PSWao7irLqhWgsnYW3XEFxnHb7PkA")</f>
        <v>1Ih4PSWao7irLqhWgsnYW3XEFxnHb7PkA</v>
      </c>
      <c r="F2" s="1" t="e">
        <f t="shared" ref="F2:F3" ca="1" si="0">IMAGE($F$1&amp;E2)</f>
        <v>#NAME?</v>
      </c>
    </row>
    <row r="3" spans="1:6" ht="15.75" customHeight="1">
      <c r="A3" s="1164">
        <v>44796.710563576387</v>
      </c>
      <c r="B3" s="1" t="s">
        <v>4177</v>
      </c>
      <c r="C3" s="1165" t="s">
        <v>4178</v>
      </c>
      <c r="D3" s="1166" t="str">
        <f ca="1">IFERROR(__xludf.DUMMYFUNCTION("iferror(SPLIT(C3,""=""))"),"https://drive.google.com/open?id")</f>
        <v>https://drive.google.com/open?id</v>
      </c>
      <c r="E3" s="1" t="str">
        <f ca="1">IFERROR(__xludf.DUMMYFUNCTION("""COMPUTED_VALUE"""),"1ak-tu-KWiMfHMO8D1ahWNbliWr-ljvDh")</f>
        <v>1ak-tu-KWiMfHMO8D1ahWNbliWr-ljvDh</v>
      </c>
      <c r="F3" s="1" t="e">
        <f t="shared" ca="1" si="0"/>
        <v>#NAME?</v>
      </c>
    </row>
    <row r="4" spans="1:6" ht="15.75" customHeight="1">
      <c r="A4" s="1164">
        <v>44796.713055416665</v>
      </c>
      <c r="B4" s="1" t="s">
        <v>4179</v>
      </c>
      <c r="C4" s="1165" t="s">
        <v>4180</v>
      </c>
    </row>
    <row r="5" spans="1:6" ht="15.75" customHeight="1">
      <c r="A5" s="1164">
        <v>44796.716921030093</v>
      </c>
      <c r="B5" s="1" t="s">
        <v>4181</v>
      </c>
      <c r="C5" s="1165" t="s">
        <v>4182</v>
      </c>
    </row>
    <row r="6" spans="1:6" ht="15.75" customHeight="1">
      <c r="A6" s="1164">
        <v>44796.718611145829</v>
      </c>
      <c r="B6" s="1" t="s">
        <v>4183</v>
      </c>
      <c r="C6" s="1165" t="s">
        <v>4184</v>
      </c>
    </row>
    <row r="7" spans="1:6" ht="15.75" customHeight="1">
      <c r="A7" s="1164">
        <v>44796.719833182869</v>
      </c>
      <c r="B7" s="1" t="s">
        <v>4185</v>
      </c>
      <c r="C7" s="1165" t="s">
        <v>4186</v>
      </c>
    </row>
    <row r="8" spans="1:6" ht="15.75" customHeight="1">
      <c r="A8" s="1164">
        <v>44796.721806377318</v>
      </c>
      <c r="B8" s="1" t="s">
        <v>4187</v>
      </c>
      <c r="C8" s="1165" t="s">
        <v>4188</v>
      </c>
    </row>
    <row r="9" spans="1:6" ht="15.75" customHeight="1">
      <c r="D9" s="1" t="str">
        <f ca="1">IFERROR(__xludf.DUMMYFUNCTION("iferror(SPLIT(C9,""=""))"),"")</f>
        <v/>
      </c>
      <c r="F9" s="1" t="e">
        <f t="shared" ref="F9:F263" ca="1" si="1">IMAGE($F$1&amp;E9)</f>
        <v>#NAME?</v>
      </c>
    </row>
    <row r="10" spans="1:6" ht="15.75" customHeight="1">
      <c r="D10" s="1" t="str">
        <f ca="1">IFERROR(__xludf.DUMMYFUNCTION("iferror(SPLIT(C10,""=""))"),"")</f>
        <v/>
      </c>
      <c r="F10" s="1" t="e">
        <f t="shared" ca="1" si="1"/>
        <v>#NAME?</v>
      </c>
    </row>
    <row r="11" spans="1:6" ht="15.75" customHeight="1">
      <c r="D11" s="1" t="str">
        <f ca="1">IFERROR(__xludf.DUMMYFUNCTION("iferror(SPLIT(C11,""=""))"),"")</f>
        <v/>
      </c>
      <c r="F11" s="1" t="e">
        <f t="shared" ca="1" si="1"/>
        <v>#NAME?</v>
      </c>
    </row>
    <row r="12" spans="1:6" ht="15.75" customHeight="1">
      <c r="D12" s="1" t="str">
        <f ca="1">IFERROR(__xludf.DUMMYFUNCTION("iferror(SPLIT(C12,""=""))"),"")</f>
        <v/>
      </c>
      <c r="F12" s="1" t="e">
        <f t="shared" ca="1" si="1"/>
        <v>#NAME?</v>
      </c>
    </row>
    <row r="13" spans="1:6" ht="15.75" customHeight="1">
      <c r="D13" s="1" t="str">
        <f ca="1">IFERROR(__xludf.DUMMYFUNCTION("iferror(SPLIT(C13,""=""))"),"")</f>
        <v/>
      </c>
      <c r="F13" s="1" t="e">
        <f t="shared" ca="1" si="1"/>
        <v>#NAME?</v>
      </c>
    </row>
    <row r="14" spans="1:6" ht="15.75" customHeight="1">
      <c r="D14" s="1" t="str">
        <f ca="1">IFERROR(__xludf.DUMMYFUNCTION("iferror(SPLIT(C14,""=""))"),"")</f>
        <v/>
      </c>
      <c r="F14" s="1" t="e">
        <f t="shared" ca="1" si="1"/>
        <v>#NAME?</v>
      </c>
    </row>
    <row r="15" spans="1:6" ht="15.75" customHeight="1">
      <c r="D15" s="1" t="str">
        <f ca="1">IFERROR(__xludf.DUMMYFUNCTION("iferror(SPLIT(C15,""=""))"),"")</f>
        <v/>
      </c>
      <c r="F15" s="1" t="e">
        <f t="shared" ca="1" si="1"/>
        <v>#NAME?</v>
      </c>
    </row>
    <row r="16" spans="1:6" ht="15.75" customHeight="1">
      <c r="D16" s="1" t="str">
        <f ca="1">IFERROR(__xludf.DUMMYFUNCTION("iferror(SPLIT(C16,""=""))"),"")</f>
        <v/>
      </c>
      <c r="F16" s="1" t="e">
        <f t="shared" ca="1" si="1"/>
        <v>#NAME?</v>
      </c>
    </row>
    <row r="17" spans="4:6" ht="15.75" customHeight="1">
      <c r="D17" s="1" t="str">
        <f ca="1">IFERROR(__xludf.DUMMYFUNCTION("iferror(SPLIT(C17,""=""))"),"")</f>
        <v/>
      </c>
      <c r="F17" s="1" t="e">
        <f t="shared" ca="1" si="1"/>
        <v>#NAME?</v>
      </c>
    </row>
    <row r="18" spans="4:6" ht="15.75" customHeight="1">
      <c r="D18" s="1" t="str">
        <f ca="1">IFERROR(__xludf.DUMMYFUNCTION("iferror(SPLIT(C18,""=""))"),"")</f>
        <v/>
      </c>
      <c r="F18" s="1" t="e">
        <f t="shared" ca="1" si="1"/>
        <v>#NAME?</v>
      </c>
    </row>
    <row r="19" spans="4:6" ht="15.75" customHeight="1">
      <c r="D19" s="1" t="str">
        <f ca="1">IFERROR(__xludf.DUMMYFUNCTION("iferror(SPLIT(C19,""=""))"),"")</f>
        <v/>
      </c>
      <c r="F19" s="1" t="e">
        <f t="shared" ca="1" si="1"/>
        <v>#NAME?</v>
      </c>
    </row>
    <row r="20" spans="4:6" ht="15.75" customHeight="1">
      <c r="D20" s="1" t="str">
        <f ca="1">IFERROR(__xludf.DUMMYFUNCTION("iferror(SPLIT(C20,""=""))"),"")</f>
        <v/>
      </c>
      <c r="F20" s="1" t="e">
        <f t="shared" ca="1" si="1"/>
        <v>#NAME?</v>
      </c>
    </row>
    <row r="21" spans="4:6" ht="15.75" customHeight="1">
      <c r="D21" s="1" t="str">
        <f ca="1">IFERROR(__xludf.DUMMYFUNCTION("iferror(SPLIT(C21,""=""))"),"")</f>
        <v/>
      </c>
      <c r="F21" s="1" t="e">
        <f t="shared" ca="1" si="1"/>
        <v>#NAME?</v>
      </c>
    </row>
    <row r="22" spans="4:6" ht="15.75" customHeight="1">
      <c r="D22" s="1" t="str">
        <f ca="1">IFERROR(__xludf.DUMMYFUNCTION("iferror(SPLIT(C22,""=""))"),"")</f>
        <v/>
      </c>
      <c r="F22" s="1" t="e">
        <f t="shared" ca="1" si="1"/>
        <v>#NAME?</v>
      </c>
    </row>
    <row r="23" spans="4:6" ht="15.75" customHeight="1">
      <c r="D23" s="1" t="str">
        <f ca="1">IFERROR(__xludf.DUMMYFUNCTION("iferror(SPLIT(C23,""=""))"),"")</f>
        <v/>
      </c>
      <c r="F23" s="1" t="e">
        <f t="shared" ca="1" si="1"/>
        <v>#NAME?</v>
      </c>
    </row>
    <row r="24" spans="4:6" ht="15.75" customHeight="1">
      <c r="D24" s="1" t="str">
        <f ca="1">IFERROR(__xludf.DUMMYFUNCTION("iferror(SPLIT(C24,""=""))"),"")</f>
        <v/>
      </c>
      <c r="F24" s="1" t="e">
        <f t="shared" ca="1" si="1"/>
        <v>#NAME?</v>
      </c>
    </row>
    <row r="25" spans="4:6" ht="15.75" customHeight="1">
      <c r="D25" s="1" t="str">
        <f ca="1">IFERROR(__xludf.DUMMYFUNCTION("iferror(SPLIT(C25,""=""))"),"")</f>
        <v/>
      </c>
      <c r="F25" s="1" t="e">
        <f t="shared" ca="1" si="1"/>
        <v>#NAME?</v>
      </c>
    </row>
    <row r="26" spans="4:6" ht="15.75" customHeight="1">
      <c r="D26" s="1" t="str">
        <f ca="1">IFERROR(__xludf.DUMMYFUNCTION("iferror(SPLIT(C26,""=""))"),"")</f>
        <v/>
      </c>
      <c r="F26" s="1" t="e">
        <f t="shared" ca="1" si="1"/>
        <v>#NAME?</v>
      </c>
    </row>
    <row r="27" spans="4:6" ht="15.75" customHeight="1">
      <c r="D27" s="1" t="str">
        <f ca="1">IFERROR(__xludf.DUMMYFUNCTION("iferror(SPLIT(C27,""=""))"),"")</f>
        <v/>
      </c>
      <c r="F27" s="1" t="e">
        <f t="shared" ca="1" si="1"/>
        <v>#NAME?</v>
      </c>
    </row>
    <row r="28" spans="4:6" ht="15.75" customHeight="1">
      <c r="D28" s="1" t="str">
        <f ca="1">IFERROR(__xludf.DUMMYFUNCTION("iferror(SPLIT(C28,""=""))"),"")</f>
        <v/>
      </c>
      <c r="F28" s="1" t="e">
        <f t="shared" ca="1" si="1"/>
        <v>#NAME?</v>
      </c>
    </row>
    <row r="29" spans="4:6" ht="15.75" customHeight="1">
      <c r="D29" s="1" t="str">
        <f ca="1">IFERROR(__xludf.DUMMYFUNCTION("iferror(SPLIT(C29,""=""))"),"")</f>
        <v/>
      </c>
      <c r="F29" s="1" t="e">
        <f t="shared" ca="1" si="1"/>
        <v>#NAME?</v>
      </c>
    </row>
    <row r="30" spans="4:6" ht="15.75" customHeight="1">
      <c r="D30" s="1" t="str">
        <f ca="1">IFERROR(__xludf.DUMMYFUNCTION("iferror(SPLIT(C30,""=""))"),"")</f>
        <v/>
      </c>
      <c r="F30" s="1" t="e">
        <f t="shared" ca="1" si="1"/>
        <v>#NAME?</v>
      </c>
    </row>
    <row r="31" spans="4:6" ht="15.75" customHeight="1">
      <c r="D31" s="1" t="str">
        <f ca="1">IFERROR(__xludf.DUMMYFUNCTION("iferror(SPLIT(C31,""=""))"),"")</f>
        <v/>
      </c>
      <c r="F31" s="1" t="e">
        <f t="shared" ca="1" si="1"/>
        <v>#NAME?</v>
      </c>
    </row>
    <row r="32" spans="4:6" ht="15.75" customHeight="1">
      <c r="D32" s="1" t="str">
        <f ca="1">IFERROR(__xludf.DUMMYFUNCTION("iferror(SPLIT(C32,""=""))"),"")</f>
        <v/>
      </c>
      <c r="F32" s="1" t="e">
        <f t="shared" ca="1" si="1"/>
        <v>#NAME?</v>
      </c>
    </row>
    <row r="33" spans="4:6" ht="15.75" customHeight="1">
      <c r="D33" s="1" t="str">
        <f ca="1">IFERROR(__xludf.DUMMYFUNCTION("iferror(SPLIT(C33,""=""))"),"")</f>
        <v/>
      </c>
      <c r="F33" s="1" t="e">
        <f t="shared" ca="1" si="1"/>
        <v>#NAME?</v>
      </c>
    </row>
    <row r="34" spans="4:6" ht="15.75" customHeight="1">
      <c r="D34" s="1" t="str">
        <f ca="1">IFERROR(__xludf.DUMMYFUNCTION("iferror(SPLIT(C34,""=""))"),"")</f>
        <v/>
      </c>
      <c r="F34" s="1" t="e">
        <f t="shared" ca="1" si="1"/>
        <v>#NAME?</v>
      </c>
    </row>
    <row r="35" spans="4:6" ht="15.75" customHeight="1">
      <c r="D35" s="1" t="str">
        <f ca="1">IFERROR(__xludf.DUMMYFUNCTION("iferror(SPLIT(C35,""=""))"),"")</f>
        <v/>
      </c>
      <c r="F35" s="1" t="e">
        <f t="shared" ca="1" si="1"/>
        <v>#NAME?</v>
      </c>
    </row>
    <row r="36" spans="4:6" ht="15.75" customHeight="1">
      <c r="D36" s="1" t="str">
        <f ca="1">IFERROR(__xludf.DUMMYFUNCTION("iferror(SPLIT(C36,""=""))"),"")</f>
        <v/>
      </c>
      <c r="F36" s="1" t="e">
        <f t="shared" ca="1" si="1"/>
        <v>#NAME?</v>
      </c>
    </row>
    <row r="37" spans="4:6" ht="15.75" customHeight="1">
      <c r="D37" s="1" t="str">
        <f ca="1">IFERROR(__xludf.DUMMYFUNCTION("iferror(SPLIT(C37,""=""))"),"")</f>
        <v/>
      </c>
      <c r="F37" s="1" t="e">
        <f t="shared" ca="1" si="1"/>
        <v>#NAME?</v>
      </c>
    </row>
    <row r="38" spans="4:6" ht="15.75" customHeight="1">
      <c r="D38" s="1" t="str">
        <f ca="1">IFERROR(__xludf.DUMMYFUNCTION("iferror(SPLIT(C38,""=""))"),"")</f>
        <v/>
      </c>
      <c r="F38" s="1" t="e">
        <f t="shared" ca="1" si="1"/>
        <v>#NAME?</v>
      </c>
    </row>
    <row r="39" spans="4:6" ht="15.75" customHeight="1">
      <c r="D39" s="1" t="str">
        <f ca="1">IFERROR(__xludf.DUMMYFUNCTION("iferror(SPLIT(C39,""=""))"),"")</f>
        <v/>
      </c>
      <c r="F39" s="1" t="e">
        <f t="shared" ca="1" si="1"/>
        <v>#NAME?</v>
      </c>
    </row>
    <row r="40" spans="4:6" ht="15.75" customHeight="1">
      <c r="D40" s="1" t="str">
        <f ca="1">IFERROR(__xludf.DUMMYFUNCTION("iferror(SPLIT(C40,""=""))"),"")</f>
        <v/>
      </c>
      <c r="F40" s="1" t="e">
        <f t="shared" ca="1" si="1"/>
        <v>#NAME?</v>
      </c>
    </row>
    <row r="41" spans="4:6" ht="15.75" customHeight="1">
      <c r="D41" s="1" t="str">
        <f ca="1">IFERROR(__xludf.DUMMYFUNCTION("iferror(SPLIT(C41,""=""))"),"")</f>
        <v/>
      </c>
      <c r="F41" s="1" t="e">
        <f t="shared" ca="1" si="1"/>
        <v>#NAME?</v>
      </c>
    </row>
    <row r="42" spans="4:6" ht="15.75" customHeight="1">
      <c r="D42" s="1" t="str">
        <f ca="1">IFERROR(__xludf.DUMMYFUNCTION("iferror(SPLIT(C42,""=""))"),"")</f>
        <v/>
      </c>
      <c r="F42" s="1" t="e">
        <f t="shared" ca="1" si="1"/>
        <v>#NAME?</v>
      </c>
    </row>
    <row r="43" spans="4:6" ht="15.75" customHeight="1">
      <c r="D43" s="1" t="str">
        <f ca="1">IFERROR(__xludf.DUMMYFUNCTION("iferror(SPLIT(C43,""=""))"),"")</f>
        <v/>
      </c>
      <c r="F43" s="1" t="e">
        <f t="shared" ca="1" si="1"/>
        <v>#NAME?</v>
      </c>
    </row>
    <row r="44" spans="4:6" ht="15.75" customHeight="1">
      <c r="D44" s="1" t="str">
        <f ca="1">IFERROR(__xludf.DUMMYFUNCTION("iferror(SPLIT(C44,""=""))"),"")</f>
        <v/>
      </c>
      <c r="F44" s="1" t="e">
        <f t="shared" ca="1" si="1"/>
        <v>#NAME?</v>
      </c>
    </row>
    <row r="45" spans="4:6" ht="15.75" customHeight="1">
      <c r="D45" s="1" t="str">
        <f ca="1">IFERROR(__xludf.DUMMYFUNCTION("iferror(SPLIT(C45,""=""))"),"")</f>
        <v/>
      </c>
      <c r="F45" s="1" t="e">
        <f t="shared" ca="1" si="1"/>
        <v>#NAME?</v>
      </c>
    </row>
    <row r="46" spans="4:6" ht="15.75" customHeight="1">
      <c r="D46" s="1" t="str">
        <f ca="1">IFERROR(__xludf.DUMMYFUNCTION("iferror(SPLIT(C46,""=""))"),"")</f>
        <v/>
      </c>
      <c r="F46" s="1" t="e">
        <f t="shared" ca="1" si="1"/>
        <v>#NAME?</v>
      </c>
    </row>
    <row r="47" spans="4:6" ht="15.75" customHeight="1">
      <c r="D47" s="1" t="str">
        <f ca="1">IFERROR(__xludf.DUMMYFUNCTION("iferror(SPLIT(C47,""=""))"),"")</f>
        <v/>
      </c>
      <c r="F47" s="1" t="e">
        <f t="shared" ca="1" si="1"/>
        <v>#NAME?</v>
      </c>
    </row>
    <row r="48" spans="4:6" ht="15.75" customHeight="1">
      <c r="D48" s="1" t="str">
        <f ca="1">IFERROR(__xludf.DUMMYFUNCTION("iferror(SPLIT(C48,""=""))"),"")</f>
        <v/>
      </c>
      <c r="F48" s="1" t="e">
        <f t="shared" ca="1" si="1"/>
        <v>#NAME?</v>
      </c>
    </row>
    <row r="49" spans="4:6" ht="15.75" customHeight="1">
      <c r="D49" s="1" t="str">
        <f ca="1">IFERROR(__xludf.DUMMYFUNCTION("iferror(SPLIT(C49,""=""))"),"")</f>
        <v/>
      </c>
      <c r="F49" s="1" t="e">
        <f t="shared" ca="1" si="1"/>
        <v>#NAME?</v>
      </c>
    </row>
    <row r="50" spans="4:6" ht="15.75" customHeight="1">
      <c r="D50" s="1" t="str">
        <f ca="1">IFERROR(__xludf.DUMMYFUNCTION("iferror(SPLIT(C50,""=""))"),"")</f>
        <v/>
      </c>
      <c r="F50" s="1" t="e">
        <f t="shared" ca="1" si="1"/>
        <v>#NAME?</v>
      </c>
    </row>
    <row r="51" spans="4:6" ht="15.75" customHeight="1">
      <c r="D51" s="1" t="str">
        <f ca="1">IFERROR(__xludf.DUMMYFUNCTION("iferror(SPLIT(C51,""=""))"),"")</f>
        <v/>
      </c>
      <c r="F51" s="1" t="e">
        <f t="shared" ca="1" si="1"/>
        <v>#NAME?</v>
      </c>
    </row>
    <row r="52" spans="4:6" ht="15.75" customHeight="1">
      <c r="D52" s="1" t="str">
        <f ca="1">IFERROR(__xludf.DUMMYFUNCTION("iferror(SPLIT(C52,""=""))"),"")</f>
        <v/>
      </c>
      <c r="F52" s="1" t="e">
        <f t="shared" ca="1" si="1"/>
        <v>#NAME?</v>
      </c>
    </row>
    <row r="53" spans="4:6" ht="15.75" customHeight="1">
      <c r="D53" s="1" t="str">
        <f ca="1">IFERROR(__xludf.DUMMYFUNCTION("iferror(SPLIT(C53,""=""))"),"")</f>
        <v/>
      </c>
      <c r="F53" s="1" t="e">
        <f t="shared" ca="1" si="1"/>
        <v>#NAME?</v>
      </c>
    </row>
    <row r="54" spans="4:6" ht="15.75" customHeight="1">
      <c r="D54" s="1" t="str">
        <f ca="1">IFERROR(__xludf.DUMMYFUNCTION("iferror(SPLIT(C54,""=""))"),"")</f>
        <v/>
      </c>
      <c r="F54" s="1" t="e">
        <f t="shared" ca="1" si="1"/>
        <v>#NAME?</v>
      </c>
    </row>
    <row r="55" spans="4:6" ht="15.75" customHeight="1">
      <c r="D55" s="1" t="str">
        <f ca="1">IFERROR(__xludf.DUMMYFUNCTION("iferror(SPLIT(C55,""=""))"),"")</f>
        <v/>
      </c>
      <c r="F55" s="1" t="e">
        <f t="shared" ca="1" si="1"/>
        <v>#NAME?</v>
      </c>
    </row>
    <row r="56" spans="4:6" ht="15.75" customHeight="1">
      <c r="D56" s="1" t="str">
        <f ca="1">IFERROR(__xludf.DUMMYFUNCTION("iferror(SPLIT(C56,""=""))"),"")</f>
        <v/>
      </c>
      <c r="F56" s="1" t="e">
        <f t="shared" ca="1" si="1"/>
        <v>#NAME?</v>
      </c>
    </row>
    <row r="57" spans="4:6" ht="15.75" customHeight="1">
      <c r="D57" s="1" t="str">
        <f ca="1">IFERROR(__xludf.DUMMYFUNCTION("iferror(SPLIT(C57,""=""))"),"")</f>
        <v/>
      </c>
      <c r="F57" s="1" t="e">
        <f t="shared" ca="1" si="1"/>
        <v>#NAME?</v>
      </c>
    </row>
    <row r="58" spans="4:6" ht="15.75" customHeight="1">
      <c r="D58" s="1" t="str">
        <f ca="1">IFERROR(__xludf.DUMMYFUNCTION("iferror(SPLIT(C58,""=""))"),"")</f>
        <v/>
      </c>
      <c r="F58" s="1" t="e">
        <f t="shared" ca="1" si="1"/>
        <v>#NAME?</v>
      </c>
    </row>
    <row r="59" spans="4:6" ht="15.75" customHeight="1">
      <c r="D59" s="1" t="str">
        <f ca="1">IFERROR(__xludf.DUMMYFUNCTION("iferror(SPLIT(C59,""=""))"),"")</f>
        <v/>
      </c>
      <c r="F59" s="1" t="e">
        <f t="shared" ca="1" si="1"/>
        <v>#NAME?</v>
      </c>
    </row>
    <row r="60" spans="4:6" ht="15.75" customHeight="1">
      <c r="D60" s="1" t="str">
        <f ca="1">IFERROR(__xludf.DUMMYFUNCTION("iferror(SPLIT(C60,""=""))"),"")</f>
        <v/>
      </c>
      <c r="F60" s="1" t="e">
        <f t="shared" ca="1" si="1"/>
        <v>#NAME?</v>
      </c>
    </row>
    <row r="61" spans="4:6" ht="15.75" customHeight="1">
      <c r="D61" s="1" t="str">
        <f ca="1">IFERROR(__xludf.DUMMYFUNCTION("iferror(SPLIT(C61,""=""))"),"")</f>
        <v/>
      </c>
      <c r="F61" s="1" t="e">
        <f t="shared" ca="1" si="1"/>
        <v>#NAME?</v>
      </c>
    </row>
    <row r="62" spans="4:6" ht="12.75">
      <c r="D62" s="1" t="str">
        <f ca="1">IFERROR(__xludf.DUMMYFUNCTION("iferror(SPLIT(C62,""=""))"),"")</f>
        <v/>
      </c>
      <c r="F62" s="1" t="e">
        <f t="shared" ca="1" si="1"/>
        <v>#NAME?</v>
      </c>
    </row>
    <row r="63" spans="4:6" ht="12.75">
      <c r="D63" s="1" t="str">
        <f ca="1">IFERROR(__xludf.DUMMYFUNCTION("iferror(SPLIT(C63,""=""))"),"")</f>
        <v/>
      </c>
      <c r="F63" s="1" t="e">
        <f t="shared" ca="1" si="1"/>
        <v>#NAME?</v>
      </c>
    </row>
    <row r="64" spans="4:6" ht="12.75">
      <c r="D64" s="1" t="str">
        <f ca="1">IFERROR(__xludf.DUMMYFUNCTION("iferror(SPLIT(C64,""=""))"),"")</f>
        <v/>
      </c>
      <c r="F64" s="1" t="e">
        <f t="shared" ca="1" si="1"/>
        <v>#NAME?</v>
      </c>
    </row>
    <row r="65" spans="4:6" ht="12.75">
      <c r="D65" s="1" t="str">
        <f ca="1">IFERROR(__xludf.DUMMYFUNCTION("iferror(SPLIT(C65,""=""))"),"")</f>
        <v/>
      </c>
      <c r="F65" s="1" t="e">
        <f t="shared" ca="1" si="1"/>
        <v>#NAME?</v>
      </c>
    </row>
    <row r="66" spans="4:6" ht="12.75">
      <c r="D66" s="1" t="str">
        <f ca="1">IFERROR(__xludf.DUMMYFUNCTION("iferror(SPLIT(C66,""=""))"),"")</f>
        <v/>
      </c>
      <c r="F66" s="1" t="e">
        <f t="shared" ca="1" si="1"/>
        <v>#NAME?</v>
      </c>
    </row>
    <row r="67" spans="4:6" ht="12.75">
      <c r="D67" s="1" t="str">
        <f ca="1">IFERROR(__xludf.DUMMYFUNCTION("iferror(SPLIT(C67,""=""))"),"")</f>
        <v/>
      </c>
      <c r="F67" s="1" t="e">
        <f t="shared" ca="1" si="1"/>
        <v>#NAME?</v>
      </c>
    </row>
    <row r="68" spans="4:6" ht="12.75">
      <c r="D68" s="1" t="str">
        <f ca="1">IFERROR(__xludf.DUMMYFUNCTION("iferror(SPLIT(C68,""=""))"),"")</f>
        <v/>
      </c>
      <c r="F68" s="1" t="e">
        <f t="shared" ca="1" si="1"/>
        <v>#NAME?</v>
      </c>
    </row>
    <row r="69" spans="4:6" ht="12.75">
      <c r="D69" s="1" t="str">
        <f ca="1">IFERROR(__xludf.DUMMYFUNCTION("iferror(SPLIT(C69,""=""))"),"")</f>
        <v/>
      </c>
      <c r="F69" s="1" t="e">
        <f t="shared" ca="1" si="1"/>
        <v>#NAME?</v>
      </c>
    </row>
    <row r="70" spans="4:6" ht="12.75">
      <c r="D70" s="1" t="str">
        <f ca="1">IFERROR(__xludf.DUMMYFUNCTION("iferror(SPLIT(C70,""=""))"),"")</f>
        <v/>
      </c>
      <c r="F70" s="1" t="e">
        <f t="shared" ca="1" si="1"/>
        <v>#NAME?</v>
      </c>
    </row>
    <row r="71" spans="4:6" ht="12.75">
      <c r="D71" s="1" t="str">
        <f ca="1">IFERROR(__xludf.DUMMYFUNCTION("iferror(SPLIT(C71,""=""))"),"")</f>
        <v/>
      </c>
      <c r="F71" s="1" t="e">
        <f t="shared" ca="1" si="1"/>
        <v>#NAME?</v>
      </c>
    </row>
    <row r="72" spans="4:6" ht="12.75">
      <c r="D72" s="1" t="str">
        <f ca="1">IFERROR(__xludf.DUMMYFUNCTION("iferror(SPLIT(C72,""=""))"),"")</f>
        <v/>
      </c>
      <c r="F72" s="1" t="e">
        <f t="shared" ca="1" si="1"/>
        <v>#NAME?</v>
      </c>
    </row>
    <row r="73" spans="4:6" ht="12.75">
      <c r="D73" s="1" t="str">
        <f ca="1">IFERROR(__xludf.DUMMYFUNCTION("iferror(SPLIT(C73,""=""))"),"")</f>
        <v/>
      </c>
      <c r="F73" s="1" t="e">
        <f t="shared" ca="1" si="1"/>
        <v>#NAME?</v>
      </c>
    </row>
    <row r="74" spans="4:6" ht="12.75">
      <c r="D74" s="1" t="str">
        <f ca="1">IFERROR(__xludf.DUMMYFUNCTION("iferror(SPLIT(C74,""=""))"),"")</f>
        <v/>
      </c>
      <c r="F74" s="1" t="e">
        <f t="shared" ca="1" si="1"/>
        <v>#NAME?</v>
      </c>
    </row>
    <row r="75" spans="4:6" ht="12.75">
      <c r="D75" s="1" t="str">
        <f ca="1">IFERROR(__xludf.DUMMYFUNCTION("iferror(SPLIT(C75,""=""))"),"")</f>
        <v/>
      </c>
      <c r="F75" s="1" t="e">
        <f t="shared" ca="1" si="1"/>
        <v>#NAME?</v>
      </c>
    </row>
    <row r="76" spans="4:6" ht="12.75">
      <c r="D76" s="1" t="str">
        <f ca="1">IFERROR(__xludf.DUMMYFUNCTION("iferror(SPLIT(C76,""=""))"),"")</f>
        <v/>
      </c>
      <c r="F76" s="1" t="e">
        <f t="shared" ca="1" si="1"/>
        <v>#NAME?</v>
      </c>
    </row>
    <row r="77" spans="4:6" ht="12.75">
      <c r="D77" s="1" t="str">
        <f ca="1">IFERROR(__xludf.DUMMYFUNCTION("iferror(SPLIT(C77,""=""))"),"")</f>
        <v/>
      </c>
      <c r="F77" s="1" t="e">
        <f t="shared" ca="1" si="1"/>
        <v>#NAME?</v>
      </c>
    </row>
    <row r="78" spans="4:6" ht="12.75">
      <c r="D78" s="1" t="str">
        <f ca="1">IFERROR(__xludf.DUMMYFUNCTION("iferror(SPLIT(C78,""=""))"),"")</f>
        <v/>
      </c>
      <c r="F78" s="1" t="e">
        <f t="shared" ca="1" si="1"/>
        <v>#NAME?</v>
      </c>
    </row>
    <row r="79" spans="4:6" ht="12.75">
      <c r="D79" s="1" t="str">
        <f ca="1">IFERROR(__xludf.DUMMYFUNCTION("iferror(SPLIT(C79,""=""))"),"")</f>
        <v/>
      </c>
      <c r="F79" s="1" t="e">
        <f t="shared" ca="1" si="1"/>
        <v>#NAME?</v>
      </c>
    </row>
    <row r="80" spans="4:6" ht="12.75">
      <c r="D80" s="1" t="str">
        <f ca="1">IFERROR(__xludf.DUMMYFUNCTION("iferror(SPLIT(C80,""=""))"),"")</f>
        <v/>
      </c>
      <c r="F80" s="1" t="e">
        <f t="shared" ca="1" si="1"/>
        <v>#NAME?</v>
      </c>
    </row>
    <row r="81" spans="4:6" ht="12.75">
      <c r="D81" s="1" t="str">
        <f ca="1">IFERROR(__xludf.DUMMYFUNCTION("iferror(SPLIT(C81,""=""))"),"")</f>
        <v/>
      </c>
      <c r="F81" s="1" t="e">
        <f t="shared" ca="1" si="1"/>
        <v>#NAME?</v>
      </c>
    </row>
    <row r="82" spans="4:6" ht="12.75">
      <c r="D82" s="1" t="str">
        <f ca="1">IFERROR(__xludf.DUMMYFUNCTION("iferror(SPLIT(C82,""=""))"),"")</f>
        <v/>
      </c>
      <c r="F82" s="1" t="e">
        <f t="shared" ca="1" si="1"/>
        <v>#NAME?</v>
      </c>
    </row>
    <row r="83" spans="4:6" ht="12.75">
      <c r="D83" s="1" t="str">
        <f ca="1">IFERROR(__xludf.DUMMYFUNCTION("iferror(SPLIT(C83,""=""))"),"")</f>
        <v/>
      </c>
      <c r="F83" s="1" t="e">
        <f t="shared" ca="1" si="1"/>
        <v>#NAME?</v>
      </c>
    </row>
    <row r="84" spans="4:6" ht="12.75">
      <c r="D84" s="1" t="str">
        <f ca="1">IFERROR(__xludf.DUMMYFUNCTION("iferror(SPLIT(C84,""=""))"),"")</f>
        <v/>
      </c>
      <c r="F84" s="1" t="e">
        <f t="shared" ca="1" si="1"/>
        <v>#NAME?</v>
      </c>
    </row>
    <row r="85" spans="4:6" ht="12.75">
      <c r="D85" s="1" t="str">
        <f ca="1">IFERROR(__xludf.DUMMYFUNCTION("iferror(SPLIT(C85,""=""))"),"")</f>
        <v/>
      </c>
      <c r="F85" s="1" t="e">
        <f t="shared" ca="1" si="1"/>
        <v>#NAME?</v>
      </c>
    </row>
    <row r="86" spans="4:6" ht="12.75">
      <c r="D86" s="1" t="str">
        <f ca="1">IFERROR(__xludf.DUMMYFUNCTION("iferror(SPLIT(C86,""=""))"),"")</f>
        <v/>
      </c>
      <c r="F86" s="1" t="e">
        <f t="shared" ca="1" si="1"/>
        <v>#NAME?</v>
      </c>
    </row>
    <row r="87" spans="4:6" ht="12.75">
      <c r="D87" s="1" t="str">
        <f ca="1">IFERROR(__xludf.DUMMYFUNCTION("iferror(SPLIT(C87,""=""))"),"")</f>
        <v/>
      </c>
      <c r="F87" s="1" t="e">
        <f t="shared" ca="1" si="1"/>
        <v>#NAME?</v>
      </c>
    </row>
    <row r="88" spans="4:6" ht="12.75">
      <c r="D88" s="1" t="str">
        <f ca="1">IFERROR(__xludf.DUMMYFUNCTION("iferror(SPLIT(C88,""=""))"),"")</f>
        <v/>
      </c>
      <c r="F88" s="1" t="e">
        <f t="shared" ca="1" si="1"/>
        <v>#NAME?</v>
      </c>
    </row>
    <row r="89" spans="4:6" ht="12.75">
      <c r="D89" s="1" t="str">
        <f ca="1">IFERROR(__xludf.DUMMYFUNCTION("iferror(SPLIT(C89,""=""))"),"")</f>
        <v/>
      </c>
      <c r="F89" s="1" t="e">
        <f t="shared" ca="1" si="1"/>
        <v>#NAME?</v>
      </c>
    </row>
    <row r="90" spans="4:6" ht="12.75">
      <c r="D90" s="1" t="str">
        <f ca="1">IFERROR(__xludf.DUMMYFUNCTION("iferror(SPLIT(C90,""=""))"),"")</f>
        <v/>
      </c>
      <c r="F90" s="1" t="e">
        <f t="shared" ca="1" si="1"/>
        <v>#NAME?</v>
      </c>
    </row>
    <row r="91" spans="4:6" ht="12.75">
      <c r="D91" s="1" t="str">
        <f ca="1">IFERROR(__xludf.DUMMYFUNCTION("iferror(SPLIT(C91,""=""))"),"")</f>
        <v/>
      </c>
      <c r="F91" s="1" t="e">
        <f t="shared" ca="1" si="1"/>
        <v>#NAME?</v>
      </c>
    </row>
    <row r="92" spans="4:6" ht="12.75">
      <c r="D92" s="1" t="str">
        <f ca="1">IFERROR(__xludf.DUMMYFUNCTION("iferror(SPLIT(C92,""=""))"),"")</f>
        <v/>
      </c>
      <c r="F92" s="1" t="e">
        <f t="shared" ca="1" si="1"/>
        <v>#NAME?</v>
      </c>
    </row>
    <row r="93" spans="4:6" ht="12.75">
      <c r="D93" s="1" t="str">
        <f ca="1">IFERROR(__xludf.DUMMYFUNCTION("iferror(SPLIT(C93,""=""))"),"")</f>
        <v/>
      </c>
      <c r="F93" s="1" t="e">
        <f t="shared" ca="1" si="1"/>
        <v>#NAME?</v>
      </c>
    </row>
    <row r="94" spans="4:6" ht="12.75">
      <c r="D94" s="1" t="str">
        <f ca="1">IFERROR(__xludf.DUMMYFUNCTION("iferror(SPLIT(C94,""=""))"),"")</f>
        <v/>
      </c>
      <c r="F94" s="1" t="e">
        <f t="shared" ca="1" si="1"/>
        <v>#NAME?</v>
      </c>
    </row>
    <row r="95" spans="4:6" ht="12.75">
      <c r="D95" s="1" t="str">
        <f ca="1">IFERROR(__xludf.DUMMYFUNCTION("iferror(SPLIT(C95,""=""))"),"")</f>
        <v/>
      </c>
      <c r="F95" s="1" t="e">
        <f t="shared" ca="1" si="1"/>
        <v>#NAME?</v>
      </c>
    </row>
    <row r="96" spans="4:6" ht="12.75">
      <c r="D96" s="1" t="str">
        <f ca="1">IFERROR(__xludf.DUMMYFUNCTION("iferror(SPLIT(C96,""=""))"),"")</f>
        <v/>
      </c>
      <c r="F96" s="1" t="e">
        <f t="shared" ca="1" si="1"/>
        <v>#NAME?</v>
      </c>
    </row>
    <row r="97" spans="4:6" ht="12.75">
      <c r="D97" s="1" t="str">
        <f ca="1">IFERROR(__xludf.DUMMYFUNCTION("iferror(SPLIT(C97,""=""))"),"")</f>
        <v/>
      </c>
      <c r="F97" s="1" t="e">
        <f t="shared" ca="1" si="1"/>
        <v>#NAME?</v>
      </c>
    </row>
    <row r="98" spans="4:6" ht="12.75">
      <c r="D98" s="1" t="str">
        <f ca="1">IFERROR(__xludf.DUMMYFUNCTION("iferror(SPLIT(C98,""=""))"),"")</f>
        <v/>
      </c>
      <c r="F98" s="1" t="e">
        <f t="shared" ca="1" si="1"/>
        <v>#NAME?</v>
      </c>
    </row>
    <row r="99" spans="4:6" ht="12.75">
      <c r="D99" s="1" t="str">
        <f ca="1">IFERROR(__xludf.DUMMYFUNCTION("iferror(SPLIT(C99,""=""))"),"")</f>
        <v/>
      </c>
      <c r="F99" s="1" t="e">
        <f t="shared" ca="1" si="1"/>
        <v>#NAME?</v>
      </c>
    </row>
    <row r="100" spans="4:6" ht="12.75">
      <c r="D100" s="1" t="str">
        <f ca="1">IFERROR(__xludf.DUMMYFUNCTION("iferror(SPLIT(C100,""=""))"),"")</f>
        <v/>
      </c>
      <c r="F100" s="1" t="e">
        <f t="shared" ca="1" si="1"/>
        <v>#NAME?</v>
      </c>
    </row>
    <row r="101" spans="4:6" ht="12.75">
      <c r="D101" s="1" t="str">
        <f ca="1">IFERROR(__xludf.DUMMYFUNCTION("iferror(SPLIT(C101,""=""))"),"")</f>
        <v/>
      </c>
      <c r="F101" s="1" t="e">
        <f t="shared" ca="1" si="1"/>
        <v>#NAME?</v>
      </c>
    </row>
    <row r="102" spans="4:6" ht="12.75">
      <c r="D102" s="1" t="str">
        <f ca="1">IFERROR(__xludf.DUMMYFUNCTION("iferror(SPLIT(C102,""=""))"),"")</f>
        <v/>
      </c>
      <c r="F102" s="1" t="e">
        <f t="shared" ca="1" si="1"/>
        <v>#NAME?</v>
      </c>
    </row>
    <row r="103" spans="4:6" ht="12.75">
      <c r="D103" s="1" t="str">
        <f ca="1">IFERROR(__xludf.DUMMYFUNCTION("iferror(SPLIT(C103,""=""))"),"")</f>
        <v/>
      </c>
      <c r="F103" s="1" t="e">
        <f t="shared" ca="1" si="1"/>
        <v>#NAME?</v>
      </c>
    </row>
    <row r="104" spans="4:6" ht="12.75">
      <c r="D104" s="1" t="str">
        <f ca="1">IFERROR(__xludf.DUMMYFUNCTION("iferror(SPLIT(C104,""=""))"),"")</f>
        <v/>
      </c>
      <c r="F104" s="1" t="e">
        <f t="shared" ca="1" si="1"/>
        <v>#NAME?</v>
      </c>
    </row>
    <row r="105" spans="4:6" ht="12.75">
      <c r="D105" s="1" t="str">
        <f ca="1">IFERROR(__xludf.DUMMYFUNCTION("iferror(SPLIT(C105,""=""))"),"")</f>
        <v/>
      </c>
      <c r="F105" s="1" t="e">
        <f t="shared" ca="1" si="1"/>
        <v>#NAME?</v>
      </c>
    </row>
    <row r="106" spans="4:6" ht="12.75">
      <c r="D106" s="1" t="str">
        <f ca="1">IFERROR(__xludf.DUMMYFUNCTION("iferror(SPLIT(C106,""=""))"),"")</f>
        <v/>
      </c>
      <c r="F106" s="1" t="e">
        <f t="shared" ca="1" si="1"/>
        <v>#NAME?</v>
      </c>
    </row>
    <row r="107" spans="4:6" ht="12.75">
      <c r="D107" s="1" t="str">
        <f ca="1">IFERROR(__xludf.DUMMYFUNCTION("iferror(SPLIT(C107,""=""))"),"")</f>
        <v/>
      </c>
      <c r="F107" s="1" t="e">
        <f t="shared" ca="1" si="1"/>
        <v>#NAME?</v>
      </c>
    </row>
    <row r="108" spans="4:6" ht="12.75">
      <c r="D108" s="1" t="str">
        <f ca="1">IFERROR(__xludf.DUMMYFUNCTION("iferror(SPLIT(C108,""=""))"),"")</f>
        <v/>
      </c>
      <c r="F108" s="1" t="e">
        <f t="shared" ca="1" si="1"/>
        <v>#NAME?</v>
      </c>
    </row>
    <row r="109" spans="4:6" ht="12.75">
      <c r="D109" s="1" t="str">
        <f ca="1">IFERROR(__xludf.DUMMYFUNCTION("iferror(SPLIT(C109,""=""))"),"")</f>
        <v/>
      </c>
      <c r="F109" s="1" t="e">
        <f t="shared" ca="1" si="1"/>
        <v>#NAME?</v>
      </c>
    </row>
    <row r="110" spans="4:6" ht="12.75">
      <c r="D110" s="1" t="str">
        <f ca="1">IFERROR(__xludf.DUMMYFUNCTION("iferror(SPLIT(C110,""=""))"),"")</f>
        <v/>
      </c>
      <c r="F110" s="1" t="e">
        <f t="shared" ca="1" si="1"/>
        <v>#NAME?</v>
      </c>
    </row>
    <row r="111" spans="4:6" ht="12.75">
      <c r="D111" s="1" t="str">
        <f ca="1">IFERROR(__xludf.DUMMYFUNCTION("iferror(SPLIT(C111,""=""))"),"")</f>
        <v/>
      </c>
      <c r="F111" s="1" t="e">
        <f t="shared" ca="1" si="1"/>
        <v>#NAME?</v>
      </c>
    </row>
    <row r="112" spans="4:6" ht="12.75">
      <c r="D112" s="1" t="str">
        <f ca="1">IFERROR(__xludf.DUMMYFUNCTION("iferror(SPLIT(C112,""=""))"),"")</f>
        <v/>
      </c>
      <c r="F112" s="1" t="e">
        <f t="shared" ca="1" si="1"/>
        <v>#NAME?</v>
      </c>
    </row>
    <row r="113" spans="4:6" ht="12.75">
      <c r="D113" s="1" t="str">
        <f ca="1">IFERROR(__xludf.DUMMYFUNCTION("iferror(SPLIT(C113,""=""))"),"")</f>
        <v/>
      </c>
      <c r="F113" s="1" t="e">
        <f t="shared" ca="1" si="1"/>
        <v>#NAME?</v>
      </c>
    </row>
    <row r="114" spans="4:6" ht="12.75">
      <c r="D114" s="1" t="str">
        <f ca="1">IFERROR(__xludf.DUMMYFUNCTION("iferror(SPLIT(C114,""=""))"),"")</f>
        <v/>
      </c>
      <c r="F114" s="1" t="e">
        <f t="shared" ca="1" si="1"/>
        <v>#NAME?</v>
      </c>
    </row>
    <row r="115" spans="4:6" ht="12.75">
      <c r="D115" s="1" t="str">
        <f ca="1">IFERROR(__xludf.DUMMYFUNCTION("iferror(SPLIT(C115,""=""))"),"")</f>
        <v/>
      </c>
      <c r="F115" s="1" t="e">
        <f t="shared" ca="1" si="1"/>
        <v>#NAME?</v>
      </c>
    </row>
    <row r="116" spans="4:6" ht="12.75">
      <c r="D116" s="1" t="str">
        <f ca="1">IFERROR(__xludf.DUMMYFUNCTION("iferror(SPLIT(C116,""=""))"),"")</f>
        <v/>
      </c>
      <c r="F116" s="1" t="e">
        <f t="shared" ca="1" si="1"/>
        <v>#NAME?</v>
      </c>
    </row>
    <row r="117" spans="4:6" ht="12.75">
      <c r="D117" s="1" t="str">
        <f ca="1">IFERROR(__xludf.DUMMYFUNCTION("iferror(SPLIT(C117,""=""))"),"")</f>
        <v/>
      </c>
      <c r="F117" s="1" t="e">
        <f t="shared" ca="1" si="1"/>
        <v>#NAME?</v>
      </c>
    </row>
    <row r="118" spans="4:6" ht="12.75">
      <c r="D118" s="1" t="str">
        <f ca="1">IFERROR(__xludf.DUMMYFUNCTION("iferror(SPLIT(C118,""=""))"),"")</f>
        <v/>
      </c>
      <c r="F118" s="1" t="e">
        <f t="shared" ca="1" si="1"/>
        <v>#NAME?</v>
      </c>
    </row>
    <row r="119" spans="4:6" ht="12.75">
      <c r="D119" s="1" t="str">
        <f ca="1">IFERROR(__xludf.DUMMYFUNCTION("iferror(SPLIT(C119,""=""))"),"")</f>
        <v/>
      </c>
      <c r="F119" s="1" t="e">
        <f t="shared" ca="1" si="1"/>
        <v>#NAME?</v>
      </c>
    </row>
    <row r="120" spans="4:6" ht="12.75">
      <c r="D120" s="1" t="str">
        <f ca="1">IFERROR(__xludf.DUMMYFUNCTION("iferror(SPLIT(C120,""=""))"),"")</f>
        <v/>
      </c>
      <c r="F120" s="1" t="e">
        <f t="shared" ca="1" si="1"/>
        <v>#NAME?</v>
      </c>
    </row>
    <row r="121" spans="4:6" ht="12.75">
      <c r="D121" s="1" t="str">
        <f ca="1">IFERROR(__xludf.DUMMYFUNCTION("iferror(SPLIT(C121,""=""))"),"")</f>
        <v/>
      </c>
      <c r="F121" s="1" t="e">
        <f t="shared" ca="1" si="1"/>
        <v>#NAME?</v>
      </c>
    </row>
    <row r="122" spans="4:6" ht="12.75">
      <c r="D122" s="1" t="str">
        <f ca="1">IFERROR(__xludf.DUMMYFUNCTION("iferror(SPLIT(C122,""=""))"),"")</f>
        <v/>
      </c>
      <c r="F122" s="1" t="e">
        <f t="shared" ca="1" si="1"/>
        <v>#NAME?</v>
      </c>
    </row>
    <row r="123" spans="4:6" ht="12.75">
      <c r="D123" s="1" t="str">
        <f ca="1">IFERROR(__xludf.DUMMYFUNCTION("iferror(SPLIT(C123,""=""))"),"")</f>
        <v/>
      </c>
      <c r="F123" s="1" t="e">
        <f t="shared" ca="1" si="1"/>
        <v>#NAME?</v>
      </c>
    </row>
    <row r="124" spans="4:6" ht="12.75">
      <c r="D124" s="1" t="str">
        <f ca="1">IFERROR(__xludf.DUMMYFUNCTION("iferror(SPLIT(C124,""=""))"),"")</f>
        <v/>
      </c>
      <c r="F124" s="1" t="e">
        <f t="shared" ca="1" si="1"/>
        <v>#NAME?</v>
      </c>
    </row>
    <row r="125" spans="4:6" ht="12.75">
      <c r="D125" s="1" t="str">
        <f ca="1">IFERROR(__xludf.DUMMYFUNCTION("iferror(SPLIT(C125,""=""))"),"")</f>
        <v/>
      </c>
      <c r="F125" s="1" t="e">
        <f t="shared" ca="1" si="1"/>
        <v>#NAME?</v>
      </c>
    </row>
    <row r="126" spans="4:6" ht="12.75">
      <c r="D126" s="1" t="str">
        <f ca="1">IFERROR(__xludf.DUMMYFUNCTION("iferror(SPLIT(C126,""=""))"),"")</f>
        <v/>
      </c>
      <c r="F126" s="1" t="e">
        <f t="shared" ca="1" si="1"/>
        <v>#NAME?</v>
      </c>
    </row>
    <row r="127" spans="4:6" ht="12.75">
      <c r="D127" s="1" t="str">
        <f ca="1">IFERROR(__xludf.DUMMYFUNCTION("iferror(SPLIT(C127,""=""))"),"")</f>
        <v/>
      </c>
      <c r="F127" s="1" t="e">
        <f t="shared" ca="1" si="1"/>
        <v>#NAME?</v>
      </c>
    </row>
    <row r="128" spans="4:6" ht="12.75">
      <c r="D128" s="1" t="str">
        <f ca="1">IFERROR(__xludf.DUMMYFUNCTION("iferror(SPLIT(C128,""=""))"),"")</f>
        <v/>
      </c>
      <c r="F128" s="1" t="e">
        <f t="shared" ca="1" si="1"/>
        <v>#NAME?</v>
      </c>
    </row>
    <row r="129" spans="4:6" ht="12.75">
      <c r="D129" s="1" t="str">
        <f ca="1">IFERROR(__xludf.DUMMYFUNCTION("iferror(SPLIT(C129,""=""))"),"")</f>
        <v/>
      </c>
      <c r="F129" s="1" t="e">
        <f t="shared" ca="1" si="1"/>
        <v>#NAME?</v>
      </c>
    </row>
    <row r="130" spans="4:6" ht="12.75">
      <c r="D130" s="1" t="str">
        <f ca="1">IFERROR(__xludf.DUMMYFUNCTION("iferror(SPLIT(C130,""=""))"),"")</f>
        <v/>
      </c>
      <c r="F130" s="1" t="e">
        <f t="shared" ca="1" si="1"/>
        <v>#NAME?</v>
      </c>
    </row>
    <row r="131" spans="4:6" ht="12.75">
      <c r="D131" s="1" t="str">
        <f ca="1">IFERROR(__xludf.DUMMYFUNCTION("iferror(SPLIT(C131,""=""))"),"")</f>
        <v/>
      </c>
      <c r="F131" s="1" t="e">
        <f t="shared" ca="1" si="1"/>
        <v>#NAME?</v>
      </c>
    </row>
    <row r="132" spans="4:6" ht="12.75">
      <c r="D132" s="1" t="str">
        <f ca="1">IFERROR(__xludf.DUMMYFUNCTION("iferror(SPLIT(C132,""=""))"),"")</f>
        <v/>
      </c>
      <c r="F132" s="1" t="e">
        <f t="shared" ca="1" si="1"/>
        <v>#NAME?</v>
      </c>
    </row>
    <row r="133" spans="4:6" ht="12.75">
      <c r="D133" s="1" t="str">
        <f ca="1">IFERROR(__xludf.DUMMYFUNCTION("iferror(SPLIT(C133,""=""))"),"")</f>
        <v/>
      </c>
      <c r="F133" s="1" t="e">
        <f t="shared" ca="1" si="1"/>
        <v>#NAME?</v>
      </c>
    </row>
    <row r="134" spans="4:6" ht="12.75">
      <c r="D134" s="1" t="str">
        <f ca="1">IFERROR(__xludf.DUMMYFUNCTION("iferror(SPLIT(C134,""=""))"),"")</f>
        <v/>
      </c>
      <c r="F134" s="1" t="e">
        <f t="shared" ca="1" si="1"/>
        <v>#NAME?</v>
      </c>
    </row>
    <row r="135" spans="4:6" ht="12.75">
      <c r="D135" s="1" t="str">
        <f ca="1">IFERROR(__xludf.DUMMYFUNCTION("iferror(SPLIT(C135,""=""))"),"")</f>
        <v/>
      </c>
      <c r="F135" s="1" t="e">
        <f t="shared" ca="1" si="1"/>
        <v>#NAME?</v>
      </c>
    </row>
    <row r="136" spans="4:6" ht="12.75">
      <c r="D136" s="1" t="str">
        <f ca="1">IFERROR(__xludf.DUMMYFUNCTION("iferror(SPLIT(C136,""=""))"),"")</f>
        <v/>
      </c>
      <c r="F136" s="1" t="e">
        <f t="shared" ca="1" si="1"/>
        <v>#NAME?</v>
      </c>
    </row>
    <row r="137" spans="4:6" ht="12.75">
      <c r="D137" s="1" t="str">
        <f ca="1">IFERROR(__xludf.DUMMYFUNCTION("iferror(SPLIT(C137,""=""))"),"")</f>
        <v/>
      </c>
      <c r="F137" s="1" t="e">
        <f t="shared" ca="1" si="1"/>
        <v>#NAME?</v>
      </c>
    </row>
    <row r="138" spans="4:6" ht="12.75">
      <c r="D138" s="1" t="str">
        <f ca="1">IFERROR(__xludf.DUMMYFUNCTION("iferror(SPLIT(C138,""=""))"),"")</f>
        <v/>
      </c>
      <c r="F138" s="1" t="e">
        <f t="shared" ca="1" si="1"/>
        <v>#NAME?</v>
      </c>
    </row>
    <row r="139" spans="4:6" ht="12.75">
      <c r="D139" s="1" t="str">
        <f ca="1">IFERROR(__xludf.DUMMYFUNCTION("iferror(SPLIT(C139,""=""))"),"")</f>
        <v/>
      </c>
      <c r="F139" s="1" t="e">
        <f t="shared" ca="1" si="1"/>
        <v>#NAME?</v>
      </c>
    </row>
    <row r="140" spans="4:6" ht="12.75">
      <c r="D140" s="1" t="str">
        <f ca="1">IFERROR(__xludf.DUMMYFUNCTION("iferror(SPLIT(C140,""=""))"),"")</f>
        <v/>
      </c>
      <c r="F140" s="1" t="e">
        <f t="shared" ca="1" si="1"/>
        <v>#NAME?</v>
      </c>
    </row>
    <row r="141" spans="4:6" ht="12.75">
      <c r="D141" s="1" t="str">
        <f ca="1">IFERROR(__xludf.DUMMYFUNCTION("iferror(SPLIT(C141,""=""))"),"")</f>
        <v/>
      </c>
      <c r="F141" s="1" t="e">
        <f t="shared" ca="1" si="1"/>
        <v>#NAME?</v>
      </c>
    </row>
    <row r="142" spans="4:6" ht="12.75">
      <c r="D142" s="1" t="str">
        <f ca="1">IFERROR(__xludf.DUMMYFUNCTION("iferror(SPLIT(C142,""=""))"),"")</f>
        <v/>
      </c>
      <c r="F142" s="1" t="e">
        <f t="shared" ca="1" si="1"/>
        <v>#NAME?</v>
      </c>
    </row>
    <row r="143" spans="4:6" ht="12.75">
      <c r="D143" s="1" t="str">
        <f ca="1">IFERROR(__xludf.DUMMYFUNCTION("iferror(SPLIT(C143,""=""))"),"")</f>
        <v/>
      </c>
      <c r="F143" s="1" t="e">
        <f t="shared" ca="1" si="1"/>
        <v>#NAME?</v>
      </c>
    </row>
    <row r="144" spans="4:6" ht="12.75">
      <c r="D144" s="1" t="str">
        <f ca="1">IFERROR(__xludf.DUMMYFUNCTION("iferror(SPLIT(C144,""=""))"),"")</f>
        <v/>
      </c>
      <c r="F144" s="1" t="e">
        <f t="shared" ca="1" si="1"/>
        <v>#NAME?</v>
      </c>
    </row>
    <row r="145" spans="4:6" ht="12.75">
      <c r="D145" s="1" t="str">
        <f ca="1">IFERROR(__xludf.DUMMYFUNCTION("iferror(SPLIT(C145,""=""))"),"")</f>
        <v/>
      </c>
      <c r="F145" s="1" t="e">
        <f t="shared" ca="1" si="1"/>
        <v>#NAME?</v>
      </c>
    </row>
    <row r="146" spans="4:6" ht="12.75">
      <c r="D146" s="1" t="str">
        <f ca="1">IFERROR(__xludf.DUMMYFUNCTION("iferror(SPLIT(C146,""=""))"),"")</f>
        <v/>
      </c>
      <c r="F146" s="1" t="e">
        <f t="shared" ca="1" si="1"/>
        <v>#NAME?</v>
      </c>
    </row>
    <row r="147" spans="4:6" ht="12.75">
      <c r="D147" s="1" t="str">
        <f ca="1">IFERROR(__xludf.DUMMYFUNCTION("iferror(SPLIT(C147,""=""))"),"")</f>
        <v/>
      </c>
      <c r="F147" s="1" t="e">
        <f t="shared" ca="1" si="1"/>
        <v>#NAME?</v>
      </c>
    </row>
    <row r="148" spans="4:6" ht="12.75">
      <c r="D148" s="1" t="str">
        <f ca="1">IFERROR(__xludf.DUMMYFUNCTION("iferror(SPLIT(C148,""=""))"),"")</f>
        <v/>
      </c>
      <c r="F148" s="1" t="e">
        <f t="shared" ca="1" si="1"/>
        <v>#NAME?</v>
      </c>
    </row>
    <row r="149" spans="4:6" ht="12.75">
      <c r="D149" s="1" t="str">
        <f ca="1">IFERROR(__xludf.DUMMYFUNCTION("iferror(SPLIT(C149,""=""))"),"")</f>
        <v/>
      </c>
      <c r="F149" s="1" t="e">
        <f t="shared" ca="1" si="1"/>
        <v>#NAME?</v>
      </c>
    </row>
    <row r="150" spans="4:6" ht="12.75">
      <c r="D150" s="1" t="str">
        <f ca="1">IFERROR(__xludf.DUMMYFUNCTION("iferror(SPLIT(C150,""=""))"),"")</f>
        <v/>
      </c>
      <c r="F150" s="1" t="e">
        <f t="shared" ca="1" si="1"/>
        <v>#NAME?</v>
      </c>
    </row>
    <row r="151" spans="4:6" ht="12.75">
      <c r="D151" s="1" t="str">
        <f ca="1">IFERROR(__xludf.DUMMYFUNCTION("iferror(SPLIT(C151,""=""))"),"")</f>
        <v/>
      </c>
      <c r="F151" s="1" t="e">
        <f t="shared" ca="1" si="1"/>
        <v>#NAME?</v>
      </c>
    </row>
    <row r="152" spans="4:6" ht="12.75">
      <c r="D152" s="1" t="str">
        <f ca="1">IFERROR(__xludf.DUMMYFUNCTION("iferror(SPLIT(C152,""=""))"),"")</f>
        <v/>
      </c>
      <c r="F152" s="1" t="e">
        <f t="shared" ca="1" si="1"/>
        <v>#NAME?</v>
      </c>
    </row>
    <row r="153" spans="4:6" ht="12.75">
      <c r="D153" s="1" t="str">
        <f ca="1">IFERROR(__xludf.DUMMYFUNCTION("iferror(SPLIT(C153,""=""))"),"")</f>
        <v/>
      </c>
      <c r="F153" s="1" t="e">
        <f t="shared" ca="1" si="1"/>
        <v>#NAME?</v>
      </c>
    </row>
    <row r="154" spans="4:6" ht="12.75">
      <c r="D154" s="1" t="str">
        <f ca="1">IFERROR(__xludf.DUMMYFUNCTION("iferror(SPLIT(C154,""=""))"),"")</f>
        <v/>
      </c>
      <c r="F154" s="1" t="e">
        <f t="shared" ca="1" si="1"/>
        <v>#NAME?</v>
      </c>
    </row>
    <row r="155" spans="4:6" ht="12.75">
      <c r="D155" s="1" t="str">
        <f ca="1">IFERROR(__xludf.DUMMYFUNCTION("iferror(SPLIT(C155,""=""))"),"")</f>
        <v/>
      </c>
      <c r="F155" s="1" t="e">
        <f t="shared" ca="1" si="1"/>
        <v>#NAME?</v>
      </c>
    </row>
    <row r="156" spans="4:6" ht="12.75">
      <c r="D156" s="1" t="str">
        <f ca="1">IFERROR(__xludf.DUMMYFUNCTION("iferror(SPLIT(C156,""=""))"),"")</f>
        <v/>
      </c>
      <c r="F156" s="1" t="e">
        <f t="shared" ca="1" si="1"/>
        <v>#NAME?</v>
      </c>
    </row>
    <row r="157" spans="4:6" ht="12.75">
      <c r="D157" s="1" t="str">
        <f ca="1">IFERROR(__xludf.DUMMYFUNCTION("iferror(SPLIT(C157,""=""))"),"")</f>
        <v/>
      </c>
      <c r="F157" s="1" t="e">
        <f t="shared" ca="1" si="1"/>
        <v>#NAME?</v>
      </c>
    </row>
    <row r="158" spans="4:6" ht="12.75">
      <c r="D158" s="1" t="str">
        <f ca="1">IFERROR(__xludf.DUMMYFUNCTION("iferror(SPLIT(C158,""=""))"),"")</f>
        <v/>
      </c>
      <c r="F158" s="1" t="e">
        <f t="shared" ca="1" si="1"/>
        <v>#NAME?</v>
      </c>
    </row>
    <row r="159" spans="4:6" ht="12.75">
      <c r="D159" s="1" t="str">
        <f ca="1">IFERROR(__xludf.DUMMYFUNCTION("iferror(SPLIT(C159,""=""))"),"")</f>
        <v/>
      </c>
      <c r="F159" s="1" t="e">
        <f t="shared" ca="1" si="1"/>
        <v>#NAME?</v>
      </c>
    </row>
    <row r="160" spans="4:6" ht="12.75">
      <c r="D160" s="1" t="str">
        <f ca="1">IFERROR(__xludf.DUMMYFUNCTION("iferror(SPLIT(C160,""=""))"),"")</f>
        <v/>
      </c>
      <c r="F160" s="1" t="e">
        <f t="shared" ca="1" si="1"/>
        <v>#NAME?</v>
      </c>
    </row>
    <row r="161" spans="4:6" ht="12.75">
      <c r="D161" s="1" t="str">
        <f ca="1">IFERROR(__xludf.DUMMYFUNCTION("iferror(SPLIT(C161,""=""))"),"")</f>
        <v/>
      </c>
      <c r="F161" s="1" t="e">
        <f t="shared" ca="1" si="1"/>
        <v>#NAME?</v>
      </c>
    </row>
    <row r="162" spans="4:6" ht="12.75">
      <c r="D162" s="1" t="str">
        <f ca="1">IFERROR(__xludf.DUMMYFUNCTION("iferror(SPLIT(C162,""=""))"),"")</f>
        <v/>
      </c>
      <c r="F162" s="1" t="e">
        <f t="shared" ca="1" si="1"/>
        <v>#NAME?</v>
      </c>
    </row>
    <row r="163" spans="4:6" ht="12.75">
      <c r="D163" s="1" t="str">
        <f ca="1">IFERROR(__xludf.DUMMYFUNCTION("iferror(SPLIT(C163,""=""))"),"")</f>
        <v/>
      </c>
      <c r="F163" s="1" t="e">
        <f t="shared" ca="1" si="1"/>
        <v>#NAME?</v>
      </c>
    </row>
    <row r="164" spans="4:6" ht="12.75">
      <c r="D164" s="1" t="str">
        <f ca="1">IFERROR(__xludf.DUMMYFUNCTION("iferror(SPLIT(C164,""=""))"),"")</f>
        <v/>
      </c>
      <c r="F164" s="1" t="e">
        <f t="shared" ca="1" si="1"/>
        <v>#NAME?</v>
      </c>
    </row>
    <row r="165" spans="4:6" ht="12.75">
      <c r="D165" s="1" t="str">
        <f ca="1">IFERROR(__xludf.DUMMYFUNCTION("iferror(SPLIT(C165,""=""))"),"")</f>
        <v/>
      </c>
      <c r="F165" s="1" t="e">
        <f t="shared" ca="1" si="1"/>
        <v>#NAME?</v>
      </c>
    </row>
    <row r="166" spans="4:6" ht="12.75">
      <c r="D166" s="1" t="str">
        <f ca="1">IFERROR(__xludf.DUMMYFUNCTION("iferror(SPLIT(C166,""=""))"),"")</f>
        <v/>
      </c>
      <c r="F166" s="1" t="e">
        <f t="shared" ca="1" si="1"/>
        <v>#NAME?</v>
      </c>
    </row>
    <row r="167" spans="4:6" ht="12.75">
      <c r="D167" s="1" t="str">
        <f ca="1">IFERROR(__xludf.DUMMYFUNCTION("iferror(SPLIT(C167,""=""))"),"")</f>
        <v/>
      </c>
      <c r="F167" s="1" t="e">
        <f t="shared" ca="1" si="1"/>
        <v>#NAME?</v>
      </c>
    </row>
    <row r="168" spans="4:6" ht="12.75">
      <c r="D168" s="1" t="str">
        <f ca="1">IFERROR(__xludf.DUMMYFUNCTION("iferror(SPLIT(C168,""=""))"),"")</f>
        <v/>
      </c>
      <c r="F168" s="1" t="e">
        <f t="shared" ca="1" si="1"/>
        <v>#NAME?</v>
      </c>
    </row>
    <row r="169" spans="4:6" ht="12.75">
      <c r="D169" s="1" t="str">
        <f ca="1">IFERROR(__xludf.DUMMYFUNCTION("iferror(SPLIT(C169,""=""))"),"")</f>
        <v/>
      </c>
      <c r="F169" s="1" t="e">
        <f t="shared" ca="1" si="1"/>
        <v>#NAME?</v>
      </c>
    </row>
    <row r="170" spans="4:6" ht="12.75">
      <c r="D170" s="1" t="str">
        <f ca="1">IFERROR(__xludf.DUMMYFUNCTION("iferror(SPLIT(C170,""=""))"),"")</f>
        <v/>
      </c>
      <c r="F170" s="1" t="e">
        <f t="shared" ca="1" si="1"/>
        <v>#NAME?</v>
      </c>
    </row>
    <row r="171" spans="4:6" ht="12.75">
      <c r="D171" s="1" t="str">
        <f ca="1">IFERROR(__xludf.DUMMYFUNCTION("iferror(SPLIT(C171,""=""))"),"")</f>
        <v/>
      </c>
      <c r="F171" s="1" t="e">
        <f t="shared" ca="1" si="1"/>
        <v>#NAME?</v>
      </c>
    </row>
    <row r="172" spans="4:6" ht="12.75">
      <c r="D172" s="1" t="str">
        <f ca="1">IFERROR(__xludf.DUMMYFUNCTION("iferror(SPLIT(C172,""=""))"),"")</f>
        <v/>
      </c>
      <c r="F172" s="1" t="e">
        <f t="shared" ca="1" si="1"/>
        <v>#NAME?</v>
      </c>
    </row>
    <row r="173" spans="4:6" ht="12.75">
      <c r="D173" s="1" t="str">
        <f ca="1">IFERROR(__xludf.DUMMYFUNCTION("iferror(SPLIT(C173,""=""))"),"")</f>
        <v/>
      </c>
      <c r="F173" s="1" t="e">
        <f t="shared" ca="1" si="1"/>
        <v>#NAME?</v>
      </c>
    </row>
    <row r="174" spans="4:6" ht="12.75">
      <c r="D174" s="1" t="str">
        <f ca="1">IFERROR(__xludf.DUMMYFUNCTION("iferror(SPLIT(C174,""=""))"),"")</f>
        <v/>
      </c>
      <c r="F174" s="1" t="e">
        <f t="shared" ca="1" si="1"/>
        <v>#NAME?</v>
      </c>
    </row>
    <row r="175" spans="4:6" ht="12.75">
      <c r="D175" s="1" t="str">
        <f ca="1">IFERROR(__xludf.DUMMYFUNCTION("iferror(SPLIT(C175,""=""))"),"")</f>
        <v/>
      </c>
      <c r="F175" s="1" t="e">
        <f t="shared" ca="1" si="1"/>
        <v>#NAME?</v>
      </c>
    </row>
    <row r="176" spans="4:6" ht="12.75">
      <c r="D176" s="1" t="str">
        <f ca="1">IFERROR(__xludf.DUMMYFUNCTION("iferror(SPLIT(C176,""=""))"),"")</f>
        <v/>
      </c>
      <c r="F176" s="1" t="e">
        <f t="shared" ca="1" si="1"/>
        <v>#NAME?</v>
      </c>
    </row>
    <row r="177" spans="4:6" ht="12.75">
      <c r="D177" s="1" t="str">
        <f ca="1">IFERROR(__xludf.DUMMYFUNCTION("iferror(SPLIT(C177,""=""))"),"")</f>
        <v/>
      </c>
      <c r="F177" s="1" t="e">
        <f t="shared" ca="1" si="1"/>
        <v>#NAME?</v>
      </c>
    </row>
    <row r="178" spans="4:6" ht="12.75">
      <c r="D178" s="1" t="str">
        <f ca="1">IFERROR(__xludf.DUMMYFUNCTION("iferror(SPLIT(C178,""=""))"),"")</f>
        <v/>
      </c>
      <c r="F178" s="1" t="e">
        <f t="shared" ca="1" si="1"/>
        <v>#NAME?</v>
      </c>
    </row>
    <row r="179" spans="4:6" ht="12.75">
      <c r="D179" s="1" t="str">
        <f ca="1">IFERROR(__xludf.DUMMYFUNCTION("iferror(SPLIT(C179,""=""))"),"")</f>
        <v/>
      </c>
      <c r="F179" s="1" t="e">
        <f t="shared" ca="1" si="1"/>
        <v>#NAME?</v>
      </c>
    </row>
    <row r="180" spans="4:6" ht="12.75">
      <c r="D180" s="1" t="str">
        <f ca="1">IFERROR(__xludf.DUMMYFUNCTION("iferror(SPLIT(C180,""=""))"),"")</f>
        <v/>
      </c>
      <c r="F180" s="1" t="e">
        <f t="shared" ca="1" si="1"/>
        <v>#NAME?</v>
      </c>
    </row>
    <row r="181" spans="4:6" ht="12.75">
      <c r="D181" s="1" t="str">
        <f ca="1">IFERROR(__xludf.DUMMYFUNCTION("iferror(SPLIT(C181,""=""))"),"")</f>
        <v/>
      </c>
      <c r="F181" s="1" t="e">
        <f t="shared" ca="1" si="1"/>
        <v>#NAME?</v>
      </c>
    </row>
    <row r="182" spans="4:6" ht="12.75">
      <c r="D182" s="1" t="str">
        <f ca="1">IFERROR(__xludf.DUMMYFUNCTION("iferror(SPLIT(C182,""=""))"),"")</f>
        <v/>
      </c>
      <c r="F182" s="1" t="e">
        <f t="shared" ca="1" si="1"/>
        <v>#NAME?</v>
      </c>
    </row>
    <row r="183" spans="4:6" ht="12.75">
      <c r="D183" s="1" t="str">
        <f ca="1">IFERROR(__xludf.DUMMYFUNCTION("iferror(SPLIT(C183,""=""))"),"")</f>
        <v/>
      </c>
      <c r="F183" s="1" t="e">
        <f t="shared" ca="1" si="1"/>
        <v>#NAME?</v>
      </c>
    </row>
    <row r="184" spans="4:6" ht="12.75">
      <c r="D184" s="1" t="str">
        <f ca="1">IFERROR(__xludf.DUMMYFUNCTION("iferror(SPLIT(C184,""=""))"),"")</f>
        <v/>
      </c>
      <c r="F184" s="1" t="e">
        <f t="shared" ca="1" si="1"/>
        <v>#NAME?</v>
      </c>
    </row>
    <row r="185" spans="4:6" ht="12.75">
      <c r="D185" s="1" t="str">
        <f ca="1">IFERROR(__xludf.DUMMYFUNCTION("iferror(SPLIT(C185,""=""))"),"")</f>
        <v/>
      </c>
      <c r="F185" s="1" t="e">
        <f t="shared" ca="1" si="1"/>
        <v>#NAME?</v>
      </c>
    </row>
    <row r="186" spans="4:6" ht="12.75">
      <c r="D186" s="1" t="str">
        <f ca="1">IFERROR(__xludf.DUMMYFUNCTION("iferror(SPLIT(C186,""=""))"),"")</f>
        <v/>
      </c>
      <c r="F186" s="1" t="e">
        <f t="shared" ca="1" si="1"/>
        <v>#NAME?</v>
      </c>
    </row>
    <row r="187" spans="4:6" ht="12.75">
      <c r="D187" s="1" t="str">
        <f ca="1">IFERROR(__xludf.DUMMYFUNCTION("iferror(SPLIT(C187,""=""))"),"")</f>
        <v/>
      </c>
      <c r="F187" s="1" t="e">
        <f t="shared" ca="1" si="1"/>
        <v>#NAME?</v>
      </c>
    </row>
    <row r="188" spans="4:6" ht="12.75">
      <c r="D188" s="1" t="str">
        <f ca="1">IFERROR(__xludf.DUMMYFUNCTION("iferror(SPLIT(C188,""=""))"),"")</f>
        <v/>
      </c>
      <c r="F188" s="1" t="e">
        <f t="shared" ca="1" si="1"/>
        <v>#NAME?</v>
      </c>
    </row>
    <row r="189" spans="4:6" ht="12.75">
      <c r="D189" s="1" t="str">
        <f ca="1">IFERROR(__xludf.DUMMYFUNCTION("iferror(SPLIT(C189,""=""))"),"")</f>
        <v/>
      </c>
      <c r="F189" s="1" t="e">
        <f t="shared" ca="1" si="1"/>
        <v>#NAME?</v>
      </c>
    </row>
    <row r="190" spans="4:6" ht="12.75">
      <c r="D190" s="1" t="str">
        <f ca="1">IFERROR(__xludf.DUMMYFUNCTION("iferror(SPLIT(C190,""=""))"),"")</f>
        <v/>
      </c>
      <c r="F190" s="1" t="e">
        <f t="shared" ca="1" si="1"/>
        <v>#NAME?</v>
      </c>
    </row>
    <row r="191" spans="4:6" ht="12.75">
      <c r="D191" s="1" t="str">
        <f ca="1">IFERROR(__xludf.DUMMYFUNCTION("iferror(SPLIT(C191,""=""))"),"")</f>
        <v/>
      </c>
      <c r="F191" s="1" t="e">
        <f t="shared" ca="1" si="1"/>
        <v>#NAME?</v>
      </c>
    </row>
    <row r="192" spans="4:6" ht="12.75">
      <c r="D192" s="1" t="str">
        <f ca="1">IFERROR(__xludf.DUMMYFUNCTION("iferror(SPLIT(C192,""=""))"),"")</f>
        <v/>
      </c>
      <c r="F192" s="1" t="e">
        <f t="shared" ca="1" si="1"/>
        <v>#NAME?</v>
      </c>
    </row>
    <row r="193" spans="4:6" ht="12.75">
      <c r="D193" s="1" t="str">
        <f ca="1">IFERROR(__xludf.DUMMYFUNCTION("iferror(SPLIT(C193,""=""))"),"")</f>
        <v/>
      </c>
      <c r="F193" s="1" t="e">
        <f t="shared" ca="1" si="1"/>
        <v>#NAME?</v>
      </c>
    </row>
    <row r="194" spans="4:6" ht="12.75">
      <c r="D194" s="1" t="str">
        <f ca="1">IFERROR(__xludf.DUMMYFUNCTION("iferror(SPLIT(C194,""=""))"),"")</f>
        <v/>
      </c>
      <c r="F194" s="1" t="e">
        <f t="shared" ca="1" si="1"/>
        <v>#NAME?</v>
      </c>
    </row>
    <row r="195" spans="4:6" ht="12.75">
      <c r="D195" s="1" t="str">
        <f ca="1">IFERROR(__xludf.DUMMYFUNCTION("iferror(SPLIT(C195,""=""))"),"")</f>
        <v/>
      </c>
      <c r="F195" s="1" t="e">
        <f t="shared" ca="1" si="1"/>
        <v>#NAME?</v>
      </c>
    </row>
    <row r="196" spans="4:6" ht="12.75">
      <c r="D196" s="1" t="str">
        <f ca="1">IFERROR(__xludf.DUMMYFUNCTION("iferror(SPLIT(C196,""=""))"),"")</f>
        <v/>
      </c>
      <c r="F196" s="1" t="e">
        <f t="shared" ca="1" si="1"/>
        <v>#NAME?</v>
      </c>
    </row>
    <row r="197" spans="4:6" ht="12.75">
      <c r="D197" s="1" t="str">
        <f ca="1">IFERROR(__xludf.DUMMYFUNCTION("iferror(SPLIT(C197,""=""))"),"")</f>
        <v/>
      </c>
      <c r="F197" s="1" t="e">
        <f t="shared" ca="1" si="1"/>
        <v>#NAME?</v>
      </c>
    </row>
    <row r="198" spans="4:6" ht="12.75">
      <c r="D198" s="1" t="str">
        <f ca="1">IFERROR(__xludf.DUMMYFUNCTION("iferror(SPLIT(C198,""=""))"),"")</f>
        <v/>
      </c>
      <c r="F198" s="1" t="e">
        <f t="shared" ca="1" si="1"/>
        <v>#NAME?</v>
      </c>
    </row>
    <row r="199" spans="4:6" ht="12.75">
      <c r="D199" s="1" t="str">
        <f ca="1">IFERROR(__xludf.DUMMYFUNCTION("iferror(SPLIT(C199,""=""))"),"")</f>
        <v/>
      </c>
      <c r="F199" s="1" t="e">
        <f t="shared" ca="1" si="1"/>
        <v>#NAME?</v>
      </c>
    </row>
    <row r="200" spans="4:6" ht="12.75">
      <c r="D200" s="1" t="str">
        <f ca="1">IFERROR(__xludf.DUMMYFUNCTION("iferror(SPLIT(C200,""=""))"),"")</f>
        <v/>
      </c>
      <c r="F200" s="1" t="e">
        <f t="shared" ca="1" si="1"/>
        <v>#NAME?</v>
      </c>
    </row>
    <row r="201" spans="4:6" ht="12.75">
      <c r="D201" s="1" t="str">
        <f ca="1">IFERROR(__xludf.DUMMYFUNCTION("iferror(SPLIT(C201,""=""))"),"")</f>
        <v/>
      </c>
      <c r="F201" s="1" t="e">
        <f t="shared" ca="1" si="1"/>
        <v>#NAME?</v>
      </c>
    </row>
    <row r="202" spans="4:6" ht="12.75">
      <c r="D202" s="1" t="str">
        <f ca="1">IFERROR(__xludf.DUMMYFUNCTION("iferror(SPLIT(C202,""=""))"),"")</f>
        <v/>
      </c>
      <c r="F202" s="1" t="e">
        <f t="shared" ca="1" si="1"/>
        <v>#NAME?</v>
      </c>
    </row>
    <row r="203" spans="4:6" ht="12.75">
      <c r="D203" s="1" t="str">
        <f ca="1">IFERROR(__xludf.DUMMYFUNCTION("iferror(SPLIT(C203,""=""))"),"")</f>
        <v/>
      </c>
      <c r="F203" s="1" t="e">
        <f t="shared" ca="1" si="1"/>
        <v>#NAME?</v>
      </c>
    </row>
    <row r="204" spans="4:6" ht="12.75">
      <c r="D204" s="1" t="str">
        <f ca="1">IFERROR(__xludf.DUMMYFUNCTION("iferror(SPLIT(C204,""=""))"),"")</f>
        <v/>
      </c>
      <c r="F204" s="1" t="e">
        <f t="shared" ca="1" si="1"/>
        <v>#NAME?</v>
      </c>
    </row>
    <row r="205" spans="4:6" ht="12.75">
      <c r="D205" s="1" t="str">
        <f ca="1">IFERROR(__xludf.DUMMYFUNCTION("iferror(SPLIT(C205,""=""))"),"")</f>
        <v/>
      </c>
      <c r="F205" s="1" t="e">
        <f t="shared" ca="1" si="1"/>
        <v>#NAME?</v>
      </c>
    </row>
    <row r="206" spans="4:6" ht="12.75">
      <c r="D206" s="1" t="str">
        <f ca="1">IFERROR(__xludf.DUMMYFUNCTION("iferror(SPLIT(C206,""=""))"),"")</f>
        <v/>
      </c>
      <c r="F206" s="1" t="e">
        <f t="shared" ca="1" si="1"/>
        <v>#NAME?</v>
      </c>
    </row>
    <row r="207" spans="4:6" ht="12.75">
      <c r="D207" s="1" t="str">
        <f ca="1">IFERROR(__xludf.DUMMYFUNCTION("iferror(SPLIT(C207,""=""))"),"")</f>
        <v/>
      </c>
      <c r="F207" s="1" t="e">
        <f t="shared" ca="1" si="1"/>
        <v>#NAME?</v>
      </c>
    </row>
    <row r="208" spans="4:6" ht="12.75">
      <c r="D208" s="1" t="str">
        <f ca="1">IFERROR(__xludf.DUMMYFUNCTION("iferror(SPLIT(C208,""=""))"),"")</f>
        <v/>
      </c>
      <c r="F208" s="1" t="e">
        <f t="shared" ca="1" si="1"/>
        <v>#NAME?</v>
      </c>
    </row>
    <row r="209" spans="4:6" ht="12.75">
      <c r="D209" s="1" t="str">
        <f ca="1">IFERROR(__xludf.DUMMYFUNCTION("iferror(SPLIT(C209,""=""))"),"")</f>
        <v/>
      </c>
      <c r="F209" s="1" t="e">
        <f t="shared" ca="1" si="1"/>
        <v>#NAME?</v>
      </c>
    </row>
    <row r="210" spans="4:6" ht="12.75">
      <c r="D210" s="1" t="str">
        <f ca="1">IFERROR(__xludf.DUMMYFUNCTION("iferror(SPLIT(C210,""=""))"),"")</f>
        <v/>
      </c>
      <c r="F210" s="1" t="e">
        <f t="shared" ca="1" si="1"/>
        <v>#NAME?</v>
      </c>
    </row>
    <row r="211" spans="4:6" ht="12.75">
      <c r="D211" s="1" t="str">
        <f ca="1">IFERROR(__xludf.DUMMYFUNCTION("iferror(SPLIT(C211,""=""))"),"")</f>
        <v/>
      </c>
      <c r="F211" s="1" t="e">
        <f t="shared" ca="1" si="1"/>
        <v>#NAME?</v>
      </c>
    </row>
    <row r="212" spans="4:6" ht="12.75">
      <c r="D212" s="1" t="str">
        <f ca="1">IFERROR(__xludf.DUMMYFUNCTION("iferror(SPLIT(C212,""=""))"),"")</f>
        <v/>
      </c>
      <c r="F212" s="1" t="e">
        <f t="shared" ca="1" si="1"/>
        <v>#NAME?</v>
      </c>
    </row>
    <row r="213" spans="4:6" ht="12.75">
      <c r="D213" s="1" t="str">
        <f ca="1">IFERROR(__xludf.DUMMYFUNCTION("iferror(SPLIT(C213,""=""))"),"")</f>
        <v/>
      </c>
      <c r="F213" s="1" t="e">
        <f t="shared" ca="1" si="1"/>
        <v>#NAME?</v>
      </c>
    </row>
    <row r="214" spans="4:6" ht="12.75">
      <c r="D214" s="1" t="str">
        <f ca="1">IFERROR(__xludf.DUMMYFUNCTION("iferror(SPLIT(C214,""=""))"),"")</f>
        <v/>
      </c>
      <c r="F214" s="1" t="e">
        <f t="shared" ca="1" si="1"/>
        <v>#NAME?</v>
      </c>
    </row>
    <row r="215" spans="4:6" ht="12.75">
      <c r="D215" s="1" t="str">
        <f ca="1">IFERROR(__xludf.DUMMYFUNCTION("iferror(SPLIT(C215,""=""))"),"")</f>
        <v/>
      </c>
      <c r="F215" s="1" t="e">
        <f t="shared" ca="1" si="1"/>
        <v>#NAME?</v>
      </c>
    </row>
    <row r="216" spans="4:6" ht="12.75">
      <c r="D216" s="1" t="str">
        <f ca="1">IFERROR(__xludf.DUMMYFUNCTION("iferror(SPLIT(C216,""=""))"),"")</f>
        <v/>
      </c>
      <c r="F216" s="1" t="e">
        <f t="shared" ca="1" si="1"/>
        <v>#NAME?</v>
      </c>
    </row>
    <row r="217" spans="4:6" ht="12.75">
      <c r="D217" s="1" t="str">
        <f ca="1">IFERROR(__xludf.DUMMYFUNCTION("iferror(SPLIT(C217,""=""))"),"")</f>
        <v/>
      </c>
      <c r="F217" s="1" t="e">
        <f t="shared" ca="1" si="1"/>
        <v>#NAME?</v>
      </c>
    </row>
    <row r="218" spans="4:6" ht="12.75">
      <c r="D218" s="1" t="str">
        <f ca="1">IFERROR(__xludf.DUMMYFUNCTION("iferror(SPLIT(C218,""=""))"),"")</f>
        <v/>
      </c>
      <c r="F218" s="1" t="e">
        <f t="shared" ca="1" si="1"/>
        <v>#NAME?</v>
      </c>
    </row>
    <row r="219" spans="4:6" ht="12.75">
      <c r="D219" s="1" t="str">
        <f ca="1">IFERROR(__xludf.DUMMYFUNCTION("iferror(SPLIT(C219,""=""))"),"")</f>
        <v/>
      </c>
      <c r="F219" s="1" t="e">
        <f t="shared" ca="1" si="1"/>
        <v>#NAME?</v>
      </c>
    </row>
    <row r="220" spans="4:6" ht="12.75">
      <c r="D220" s="1" t="str">
        <f ca="1">IFERROR(__xludf.DUMMYFUNCTION("iferror(SPLIT(C220,""=""))"),"")</f>
        <v/>
      </c>
      <c r="F220" s="1" t="e">
        <f t="shared" ca="1" si="1"/>
        <v>#NAME?</v>
      </c>
    </row>
    <row r="221" spans="4:6" ht="12.75">
      <c r="D221" s="1" t="str">
        <f ca="1">IFERROR(__xludf.DUMMYFUNCTION("iferror(SPLIT(C221,""=""))"),"")</f>
        <v/>
      </c>
      <c r="F221" s="1" t="e">
        <f t="shared" ca="1" si="1"/>
        <v>#NAME?</v>
      </c>
    </row>
    <row r="222" spans="4:6" ht="12.75">
      <c r="D222" s="1" t="str">
        <f ca="1">IFERROR(__xludf.DUMMYFUNCTION("iferror(SPLIT(C222,""=""))"),"")</f>
        <v/>
      </c>
      <c r="F222" s="1" t="e">
        <f t="shared" ca="1" si="1"/>
        <v>#NAME?</v>
      </c>
    </row>
    <row r="223" spans="4:6" ht="12.75">
      <c r="D223" s="1" t="str">
        <f ca="1">IFERROR(__xludf.DUMMYFUNCTION("iferror(SPLIT(C223,""=""))"),"")</f>
        <v/>
      </c>
      <c r="F223" s="1" t="e">
        <f t="shared" ca="1" si="1"/>
        <v>#NAME?</v>
      </c>
    </row>
    <row r="224" spans="4:6" ht="12.75">
      <c r="D224" s="1" t="str">
        <f ca="1">IFERROR(__xludf.DUMMYFUNCTION("iferror(SPLIT(C224,""=""))"),"")</f>
        <v/>
      </c>
      <c r="F224" s="1" t="e">
        <f t="shared" ca="1" si="1"/>
        <v>#NAME?</v>
      </c>
    </row>
    <row r="225" spans="4:6" ht="12.75">
      <c r="D225" s="1" t="str">
        <f ca="1">IFERROR(__xludf.DUMMYFUNCTION("iferror(SPLIT(C225,""=""))"),"")</f>
        <v/>
      </c>
      <c r="F225" s="1" t="e">
        <f t="shared" ca="1" si="1"/>
        <v>#NAME?</v>
      </c>
    </row>
    <row r="226" spans="4:6" ht="12.75">
      <c r="D226" s="1" t="str">
        <f ca="1">IFERROR(__xludf.DUMMYFUNCTION("iferror(SPLIT(C226,""=""))"),"")</f>
        <v/>
      </c>
      <c r="F226" s="1" t="e">
        <f t="shared" ca="1" si="1"/>
        <v>#NAME?</v>
      </c>
    </row>
    <row r="227" spans="4:6" ht="12.75">
      <c r="D227" s="1" t="str">
        <f ca="1">IFERROR(__xludf.DUMMYFUNCTION("iferror(SPLIT(C227,""=""))"),"")</f>
        <v/>
      </c>
      <c r="F227" s="1" t="e">
        <f t="shared" ca="1" si="1"/>
        <v>#NAME?</v>
      </c>
    </row>
    <row r="228" spans="4:6" ht="12.75">
      <c r="D228" s="1" t="str">
        <f ca="1">IFERROR(__xludf.DUMMYFUNCTION("iferror(SPLIT(C228,""=""))"),"")</f>
        <v/>
      </c>
      <c r="F228" s="1" t="e">
        <f t="shared" ca="1" si="1"/>
        <v>#NAME?</v>
      </c>
    </row>
    <row r="229" spans="4:6" ht="12.75">
      <c r="D229" s="1" t="str">
        <f ca="1">IFERROR(__xludf.DUMMYFUNCTION("iferror(SPLIT(C229,""=""))"),"")</f>
        <v/>
      </c>
      <c r="F229" s="1" t="e">
        <f t="shared" ca="1" si="1"/>
        <v>#NAME?</v>
      </c>
    </row>
    <row r="230" spans="4:6" ht="12.75">
      <c r="D230" s="1" t="str">
        <f ca="1">IFERROR(__xludf.DUMMYFUNCTION("iferror(SPLIT(C230,""=""))"),"")</f>
        <v/>
      </c>
      <c r="F230" s="1" t="e">
        <f t="shared" ca="1" si="1"/>
        <v>#NAME?</v>
      </c>
    </row>
    <row r="231" spans="4:6" ht="12.75">
      <c r="D231" s="1" t="str">
        <f ca="1">IFERROR(__xludf.DUMMYFUNCTION("iferror(SPLIT(C231,""=""))"),"")</f>
        <v/>
      </c>
      <c r="F231" s="1" t="e">
        <f t="shared" ca="1" si="1"/>
        <v>#NAME?</v>
      </c>
    </row>
    <row r="232" spans="4:6" ht="12.75">
      <c r="D232" s="1" t="str">
        <f ca="1">IFERROR(__xludf.DUMMYFUNCTION("iferror(SPLIT(C232,""=""))"),"")</f>
        <v/>
      </c>
      <c r="F232" s="1" t="e">
        <f t="shared" ca="1" si="1"/>
        <v>#NAME?</v>
      </c>
    </row>
    <row r="233" spans="4:6" ht="12.75">
      <c r="D233" s="1" t="str">
        <f ca="1">IFERROR(__xludf.DUMMYFUNCTION("iferror(SPLIT(C233,""=""))"),"")</f>
        <v/>
      </c>
      <c r="F233" s="1" t="e">
        <f t="shared" ca="1" si="1"/>
        <v>#NAME?</v>
      </c>
    </row>
    <row r="234" spans="4:6" ht="12.75">
      <c r="D234" s="1" t="str">
        <f ca="1">IFERROR(__xludf.DUMMYFUNCTION("iferror(SPLIT(C234,""=""))"),"")</f>
        <v/>
      </c>
      <c r="F234" s="1" t="e">
        <f t="shared" ca="1" si="1"/>
        <v>#NAME?</v>
      </c>
    </row>
    <row r="235" spans="4:6" ht="12.75">
      <c r="D235" s="1" t="str">
        <f ca="1">IFERROR(__xludf.DUMMYFUNCTION("iferror(SPLIT(C235,""=""))"),"")</f>
        <v/>
      </c>
      <c r="F235" s="1" t="e">
        <f t="shared" ca="1" si="1"/>
        <v>#NAME?</v>
      </c>
    </row>
    <row r="236" spans="4:6" ht="12.75">
      <c r="D236" s="1" t="str">
        <f ca="1">IFERROR(__xludf.DUMMYFUNCTION("iferror(SPLIT(C236,""=""))"),"")</f>
        <v/>
      </c>
      <c r="F236" s="1" t="e">
        <f t="shared" ca="1" si="1"/>
        <v>#NAME?</v>
      </c>
    </row>
    <row r="237" spans="4:6" ht="12.75">
      <c r="D237" s="1" t="str">
        <f ca="1">IFERROR(__xludf.DUMMYFUNCTION("iferror(SPLIT(C237,""=""))"),"")</f>
        <v/>
      </c>
      <c r="F237" s="1" t="e">
        <f t="shared" ca="1" si="1"/>
        <v>#NAME?</v>
      </c>
    </row>
    <row r="238" spans="4:6" ht="12.75">
      <c r="D238" s="1" t="str">
        <f ca="1">IFERROR(__xludf.DUMMYFUNCTION("iferror(SPLIT(C238,""=""))"),"")</f>
        <v/>
      </c>
      <c r="F238" s="1" t="e">
        <f t="shared" ca="1" si="1"/>
        <v>#NAME?</v>
      </c>
    </row>
    <row r="239" spans="4:6" ht="12.75">
      <c r="D239" s="1" t="str">
        <f ca="1">IFERROR(__xludf.DUMMYFUNCTION("iferror(SPLIT(C239,""=""))"),"")</f>
        <v/>
      </c>
      <c r="F239" s="1" t="e">
        <f t="shared" ca="1" si="1"/>
        <v>#NAME?</v>
      </c>
    </row>
    <row r="240" spans="4:6" ht="12.75">
      <c r="D240" s="1" t="str">
        <f ca="1">IFERROR(__xludf.DUMMYFUNCTION("iferror(SPLIT(C240,""=""))"),"")</f>
        <v/>
      </c>
      <c r="F240" s="1" t="e">
        <f t="shared" ca="1" si="1"/>
        <v>#NAME?</v>
      </c>
    </row>
    <row r="241" spans="4:6" ht="12.75">
      <c r="D241" s="1" t="str">
        <f ca="1">IFERROR(__xludf.DUMMYFUNCTION("iferror(SPLIT(C241,""=""))"),"")</f>
        <v/>
      </c>
      <c r="F241" s="1" t="e">
        <f t="shared" ca="1" si="1"/>
        <v>#NAME?</v>
      </c>
    </row>
    <row r="242" spans="4:6" ht="12.75">
      <c r="D242" s="1" t="str">
        <f ca="1">IFERROR(__xludf.DUMMYFUNCTION("iferror(SPLIT(C242,""=""))"),"")</f>
        <v/>
      </c>
      <c r="F242" s="1" t="e">
        <f t="shared" ca="1" si="1"/>
        <v>#NAME?</v>
      </c>
    </row>
    <row r="243" spans="4:6" ht="12.75">
      <c r="D243" s="1" t="str">
        <f ca="1">IFERROR(__xludf.DUMMYFUNCTION("iferror(SPLIT(C243,""=""))"),"")</f>
        <v/>
      </c>
      <c r="F243" s="1" t="e">
        <f t="shared" ca="1" si="1"/>
        <v>#NAME?</v>
      </c>
    </row>
    <row r="244" spans="4:6" ht="12.75">
      <c r="D244" s="1" t="str">
        <f ca="1">IFERROR(__xludf.DUMMYFUNCTION("iferror(SPLIT(C244,""=""))"),"")</f>
        <v/>
      </c>
      <c r="F244" s="1" t="e">
        <f t="shared" ca="1" si="1"/>
        <v>#NAME?</v>
      </c>
    </row>
    <row r="245" spans="4:6" ht="12.75">
      <c r="D245" s="1" t="str">
        <f ca="1">IFERROR(__xludf.DUMMYFUNCTION("iferror(SPLIT(C245,""=""))"),"")</f>
        <v/>
      </c>
      <c r="F245" s="1" t="e">
        <f t="shared" ca="1" si="1"/>
        <v>#NAME?</v>
      </c>
    </row>
    <row r="246" spans="4:6" ht="12.75">
      <c r="D246" s="1" t="str">
        <f ca="1">IFERROR(__xludf.DUMMYFUNCTION("iferror(SPLIT(C246,""=""))"),"")</f>
        <v/>
      </c>
      <c r="F246" s="1" t="e">
        <f t="shared" ca="1" si="1"/>
        <v>#NAME?</v>
      </c>
    </row>
    <row r="247" spans="4:6" ht="12.75">
      <c r="D247" s="1" t="str">
        <f ca="1">IFERROR(__xludf.DUMMYFUNCTION("iferror(SPLIT(C247,""=""))"),"")</f>
        <v/>
      </c>
      <c r="F247" s="1" t="e">
        <f t="shared" ca="1" si="1"/>
        <v>#NAME?</v>
      </c>
    </row>
    <row r="248" spans="4:6" ht="12.75">
      <c r="D248" s="1" t="str">
        <f ca="1">IFERROR(__xludf.DUMMYFUNCTION("iferror(SPLIT(C248,""=""))"),"")</f>
        <v/>
      </c>
      <c r="F248" s="1" t="e">
        <f t="shared" ca="1" si="1"/>
        <v>#NAME?</v>
      </c>
    </row>
    <row r="249" spans="4:6" ht="12.75">
      <c r="D249" s="1" t="str">
        <f ca="1">IFERROR(__xludf.DUMMYFUNCTION("iferror(SPLIT(C249,""=""))"),"")</f>
        <v/>
      </c>
      <c r="F249" s="1" t="e">
        <f t="shared" ca="1" si="1"/>
        <v>#NAME?</v>
      </c>
    </row>
    <row r="250" spans="4:6" ht="12.75">
      <c r="D250" s="1" t="str">
        <f ca="1">IFERROR(__xludf.DUMMYFUNCTION("iferror(SPLIT(C250,""=""))"),"")</f>
        <v/>
      </c>
      <c r="F250" s="1" t="e">
        <f t="shared" ca="1" si="1"/>
        <v>#NAME?</v>
      </c>
    </row>
    <row r="251" spans="4:6" ht="12.75">
      <c r="D251" s="1" t="str">
        <f ca="1">IFERROR(__xludf.DUMMYFUNCTION("iferror(SPLIT(C251,""=""))"),"")</f>
        <v/>
      </c>
      <c r="F251" s="1" t="e">
        <f t="shared" ca="1" si="1"/>
        <v>#NAME?</v>
      </c>
    </row>
    <row r="252" spans="4:6" ht="12.75">
      <c r="D252" s="1" t="str">
        <f ca="1">IFERROR(__xludf.DUMMYFUNCTION("iferror(SPLIT(C252,""=""))"),"")</f>
        <v/>
      </c>
      <c r="F252" s="1" t="e">
        <f t="shared" ca="1" si="1"/>
        <v>#NAME?</v>
      </c>
    </row>
    <row r="253" spans="4:6" ht="12.75">
      <c r="D253" s="1" t="str">
        <f ca="1">IFERROR(__xludf.DUMMYFUNCTION("iferror(SPLIT(C253,""=""))"),"")</f>
        <v/>
      </c>
      <c r="F253" s="1" t="e">
        <f t="shared" ca="1" si="1"/>
        <v>#NAME?</v>
      </c>
    </row>
    <row r="254" spans="4:6" ht="12.75">
      <c r="D254" s="1" t="str">
        <f ca="1">IFERROR(__xludf.DUMMYFUNCTION("iferror(SPLIT(C254,""=""))"),"")</f>
        <v/>
      </c>
      <c r="F254" s="1" t="e">
        <f t="shared" ca="1" si="1"/>
        <v>#NAME?</v>
      </c>
    </row>
    <row r="255" spans="4:6" ht="12.75">
      <c r="D255" s="1" t="str">
        <f ca="1">IFERROR(__xludf.DUMMYFUNCTION("iferror(SPLIT(C255,""=""))"),"")</f>
        <v/>
      </c>
      <c r="F255" s="1" t="e">
        <f t="shared" ca="1" si="1"/>
        <v>#NAME?</v>
      </c>
    </row>
    <row r="256" spans="4:6" ht="12.75">
      <c r="D256" s="1" t="str">
        <f ca="1">IFERROR(__xludf.DUMMYFUNCTION("iferror(SPLIT(C256,""=""))"),"")</f>
        <v/>
      </c>
      <c r="F256" s="1" t="e">
        <f t="shared" ca="1" si="1"/>
        <v>#NAME?</v>
      </c>
    </row>
    <row r="257" spans="4:6" ht="12.75">
      <c r="D257" s="1" t="str">
        <f ca="1">IFERROR(__xludf.DUMMYFUNCTION("iferror(SPLIT(C257,""=""))"),"")</f>
        <v/>
      </c>
      <c r="F257" s="1" t="e">
        <f t="shared" ca="1" si="1"/>
        <v>#NAME?</v>
      </c>
    </row>
    <row r="258" spans="4:6" ht="12.75">
      <c r="D258" s="1" t="str">
        <f ca="1">IFERROR(__xludf.DUMMYFUNCTION("iferror(SPLIT(C258,""=""))"),"")</f>
        <v/>
      </c>
      <c r="F258" s="1" t="e">
        <f t="shared" ca="1" si="1"/>
        <v>#NAME?</v>
      </c>
    </row>
    <row r="259" spans="4:6" ht="12.75">
      <c r="D259" s="1" t="str">
        <f ca="1">IFERROR(__xludf.DUMMYFUNCTION("iferror(SPLIT(C259,""=""))"),"")</f>
        <v/>
      </c>
      <c r="F259" s="1" t="e">
        <f t="shared" ca="1" si="1"/>
        <v>#NAME?</v>
      </c>
    </row>
    <row r="260" spans="4:6" ht="12.75">
      <c r="D260" s="1" t="str">
        <f ca="1">IFERROR(__xludf.DUMMYFUNCTION("iferror(SPLIT(C260,""=""))"),"")</f>
        <v/>
      </c>
      <c r="F260" s="1" t="e">
        <f t="shared" ca="1" si="1"/>
        <v>#NAME?</v>
      </c>
    </row>
    <row r="261" spans="4:6" ht="12.75">
      <c r="D261" s="1" t="str">
        <f ca="1">IFERROR(__xludf.DUMMYFUNCTION("iferror(SPLIT(C261,""=""))"),"")</f>
        <v/>
      </c>
      <c r="F261" s="1" t="e">
        <f t="shared" ca="1" si="1"/>
        <v>#NAME?</v>
      </c>
    </row>
    <row r="262" spans="4:6" ht="12.75">
      <c r="D262" s="1" t="str">
        <f ca="1">IFERROR(__xludf.DUMMYFUNCTION("iferror(SPLIT(C262,""=""))"),"")</f>
        <v/>
      </c>
      <c r="F262" s="1" t="e">
        <f t="shared" ca="1" si="1"/>
        <v>#NAME?</v>
      </c>
    </row>
    <row r="263" spans="4:6" ht="12.75">
      <c r="D263" s="1" t="str">
        <f ca="1">IFERROR(__xludf.DUMMYFUNCTION("iferror(SPLIT(C263,""=""))"),"")</f>
        <v/>
      </c>
      <c r="F263" s="1" t="e">
        <f t="shared" ca="1" si="1"/>
        <v>#NAME?</v>
      </c>
    </row>
    <row r="264" spans="4:6" ht="12.75">
      <c r="D264" s="1" t="str">
        <f ca="1">IFERROR(__xludf.DUMMYFUNCTION("iferror(SPLIT(C264,""=""))"),"")</f>
        <v/>
      </c>
      <c r="F264" s="1" t="e">
        <f t="shared" ref="F264:F518" ca="1" si="2">IMAGE($F$1&amp;E264)</f>
        <v>#NAME?</v>
      </c>
    </row>
    <row r="265" spans="4:6" ht="12.75">
      <c r="D265" s="1" t="str">
        <f ca="1">IFERROR(__xludf.DUMMYFUNCTION("iferror(SPLIT(C265,""=""))"),"")</f>
        <v/>
      </c>
      <c r="F265" s="1" t="e">
        <f t="shared" ca="1" si="2"/>
        <v>#NAME?</v>
      </c>
    </row>
    <row r="266" spans="4:6" ht="12.75">
      <c r="D266" s="1" t="str">
        <f ca="1">IFERROR(__xludf.DUMMYFUNCTION("iferror(SPLIT(C266,""=""))"),"")</f>
        <v/>
      </c>
      <c r="F266" s="1" t="e">
        <f t="shared" ca="1" si="2"/>
        <v>#NAME?</v>
      </c>
    </row>
    <row r="267" spans="4:6" ht="12.75">
      <c r="D267" s="1" t="str">
        <f ca="1">IFERROR(__xludf.DUMMYFUNCTION("iferror(SPLIT(C267,""=""))"),"")</f>
        <v/>
      </c>
      <c r="F267" s="1" t="e">
        <f t="shared" ca="1" si="2"/>
        <v>#NAME?</v>
      </c>
    </row>
    <row r="268" spans="4:6" ht="12.75">
      <c r="D268" s="1" t="str">
        <f ca="1">IFERROR(__xludf.DUMMYFUNCTION("iferror(SPLIT(C268,""=""))"),"")</f>
        <v/>
      </c>
      <c r="F268" s="1" t="e">
        <f t="shared" ca="1" si="2"/>
        <v>#NAME?</v>
      </c>
    </row>
    <row r="269" spans="4:6" ht="12.75">
      <c r="D269" s="1" t="str">
        <f ca="1">IFERROR(__xludf.DUMMYFUNCTION("iferror(SPLIT(C269,""=""))"),"")</f>
        <v/>
      </c>
      <c r="F269" s="1" t="e">
        <f t="shared" ca="1" si="2"/>
        <v>#NAME?</v>
      </c>
    </row>
    <row r="270" spans="4:6" ht="12.75">
      <c r="D270" s="1" t="str">
        <f ca="1">IFERROR(__xludf.DUMMYFUNCTION("iferror(SPLIT(C270,""=""))"),"")</f>
        <v/>
      </c>
      <c r="F270" s="1" t="e">
        <f t="shared" ca="1" si="2"/>
        <v>#NAME?</v>
      </c>
    </row>
    <row r="271" spans="4:6" ht="12.75">
      <c r="D271" s="1" t="str">
        <f ca="1">IFERROR(__xludf.DUMMYFUNCTION("iferror(SPLIT(C271,""=""))"),"")</f>
        <v/>
      </c>
      <c r="F271" s="1" t="e">
        <f t="shared" ca="1" si="2"/>
        <v>#NAME?</v>
      </c>
    </row>
    <row r="272" spans="4:6" ht="12.75">
      <c r="D272" s="1" t="str">
        <f ca="1">IFERROR(__xludf.DUMMYFUNCTION("iferror(SPLIT(C272,""=""))"),"")</f>
        <v/>
      </c>
      <c r="F272" s="1" t="e">
        <f t="shared" ca="1" si="2"/>
        <v>#NAME?</v>
      </c>
    </row>
    <row r="273" spans="4:6" ht="12.75">
      <c r="D273" s="1" t="str">
        <f ca="1">IFERROR(__xludf.DUMMYFUNCTION("iferror(SPLIT(C273,""=""))"),"")</f>
        <v/>
      </c>
      <c r="F273" s="1" t="e">
        <f t="shared" ca="1" si="2"/>
        <v>#NAME?</v>
      </c>
    </row>
    <row r="274" spans="4:6" ht="12.75">
      <c r="D274" s="1" t="str">
        <f ca="1">IFERROR(__xludf.DUMMYFUNCTION("iferror(SPLIT(C274,""=""))"),"")</f>
        <v/>
      </c>
      <c r="F274" s="1" t="e">
        <f t="shared" ca="1" si="2"/>
        <v>#NAME?</v>
      </c>
    </row>
    <row r="275" spans="4:6" ht="12.75">
      <c r="D275" s="1" t="str">
        <f ca="1">IFERROR(__xludf.DUMMYFUNCTION("iferror(SPLIT(C275,""=""))"),"")</f>
        <v/>
      </c>
      <c r="F275" s="1" t="e">
        <f t="shared" ca="1" si="2"/>
        <v>#NAME?</v>
      </c>
    </row>
    <row r="276" spans="4:6" ht="12.75">
      <c r="D276" s="1" t="str">
        <f ca="1">IFERROR(__xludf.DUMMYFUNCTION("iferror(SPLIT(C276,""=""))"),"")</f>
        <v/>
      </c>
      <c r="F276" s="1" t="e">
        <f t="shared" ca="1" si="2"/>
        <v>#NAME?</v>
      </c>
    </row>
    <row r="277" spans="4:6" ht="12.75">
      <c r="D277" s="1" t="str">
        <f ca="1">IFERROR(__xludf.DUMMYFUNCTION("iferror(SPLIT(C277,""=""))"),"")</f>
        <v/>
      </c>
      <c r="F277" s="1" t="e">
        <f t="shared" ca="1" si="2"/>
        <v>#NAME?</v>
      </c>
    </row>
    <row r="278" spans="4:6" ht="12.75">
      <c r="D278" s="1" t="str">
        <f ca="1">IFERROR(__xludf.DUMMYFUNCTION("iferror(SPLIT(C278,""=""))"),"")</f>
        <v/>
      </c>
      <c r="F278" s="1" t="e">
        <f t="shared" ca="1" si="2"/>
        <v>#NAME?</v>
      </c>
    </row>
    <row r="279" spans="4:6" ht="12.75">
      <c r="D279" s="1" t="str">
        <f ca="1">IFERROR(__xludf.DUMMYFUNCTION("iferror(SPLIT(C279,""=""))"),"")</f>
        <v/>
      </c>
      <c r="F279" s="1" t="e">
        <f t="shared" ca="1" si="2"/>
        <v>#NAME?</v>
      </c>
    </row>
    <row r="280" spans="4:6" ht="12.75">
      <c r="D280" s="1" t="str">
        <f ca="1">IFERROR(__xludf.DUMMYFUNCTION("iferror(SPLIT(C280,""=""))"),"")</f>
        <v/>
      </c>
      <c r="F280" s="1" t="e">
        <f t="shared" ca="1" si="2"/>
        <v>#NAME?</v>
      </c>
    </row>
    <row r="281" spans="4:6" ht="12.75">
      <c r="D281" s="1" t="str">
        <f ca="1">IFERROR(__xludf.DUMMYFUNCTION("iferror(SPLIT(C281,""=""))"),"")</f>
        <v/>
      </c>
      <c r="F281" s="1" t="e">
        <f t="shared" ca="1" si="2"/>
        <v>#NAME?</v>
      </c>
    </row>
    <row r="282" spans="4:6" ht="12.75">
      <c r="D282" s="1" t="str">
        <f ca="1">IFERROR(__xludf.DUMMYFUNCTION("iferror(SPLIT(C282,""=""))"),"")</f>
        <v/>
      </c>
      <c r="F282" s="1" t="e">
        <f t="shared" ca="1" si="2"/>
        <v>#NAME?</v>
      </c>
    </row>
    <row r="283" spans="4:6" ht="12.75">
      <c r="D283" s="1" t="str">
        <f ca="1">IFERROR(__xludf.DUMMYFUNCTION("iferror(SPLIT(C283,""=""))"),"")</f>
        <v/>
      </c>
      <c r="F283" s="1" t="e">
        <f t="shared" ca="1" si="2"/>
        <v>#NAME?</v>
      </c>
    </row>
    <row r="284" spans="4:6" ht="12.75">
      <c r="D284" s="1" t="str">
        <f ca="1">IFERROR(__xludf.DUMMYFUNCTION("iferror(SPLIT(C284,""=""))"),"")</f>
        <v/>
      </c>
      <c r="F284" s="1" t="e">
        <f t="shared" ca="1" si="2"/>
        <v>#NAME?</v>
      </c>
    </row>
    <row r="285" spans="4:6" ht="12.75">
      <c r="D285" s="1" t="str">
        <f ca="1">IFERROR(__xludf.DUMMYFUNCTION("iferror(SPLIT(C285,""=""))"),"")</f>
        <v/>
      </c>
      <c r="F285" s="1" t="e">
        <f t="shared" ca="1" si="2"/>
        <v>#NAME?</v>
      </c>
    </row>
    <row r="286" spans="4:6" ht="12.75">
      <c r="D286" s="1" t="str">
        <f ca="1">IFERROR(__xludf.DUMMYFUNCTION("iferror(SPLIT(C286,""=""))"),"")</f>
        <v/>
      </c>
      <c r="F286" s="1" t="e">
        <f t="shared" ca="1" si="2"/>
        <v>#NAME?</v>
      </c>
    </row>
    <row r="287" spans="4:6" ht="12.75">
      <c r="D287" s="1" t="str">
        <f ca="1">IFERROR(__xludf.DUMMYFUNCTION("iferror(SPLIT(C287,""=""))"),"")</f>
        <v/>
      </c>
      <c r="F287" s="1" t="e">
        <f t="shared" ca="1" si="2"/>
        <v>#NAME?</v>
      </c>
    </row>
    <row r="288" spans="4:6" ht="12.75">
      <c r="D288" s="1" t="str">
        <f ca="1">IFERROR(__xludf.DUMMYFUNCTION("iferror(SPLIT(C288,""=""))"),"")</f>
        <v/>
      </c>
      <c r="F288" s="1" t="e">
        <f t="shared" ca="1" si="2"/>
        <v>#NAME?</v>
      </c>
    </row>
    <row r="289" spans="4:6" ht="12.75">
      <c r="D289" s="1" t="str">
        <f ca="1">IFERROR(__xludf.DUMMYFUNCTION("iferror(SPLIT(C289,""=""))"),"")</f>
        <v/>
      </c>
      <c r="F289" s="1" t="e">
        <f t="shared" ca="1" si="2"/>
        <v>#NAME?</v>
      </c>
    </row>
    <row r="290" spans="4:6" ht="12.75">
      <c r="D290" s="1" t="str">
        <f ca="1">IFERROR(__xludf.DUMMYFUNCTION("iferror(SPLIT(C290,""=""))"),"")</f>
        <v/>
      </c>
      <c r="F290" s="1" t="e">
        <f t="shared" ca="1" si="2"/>
        <v>#NAME?</v>
      </c>
    </row>
    <row r="291" spans="4:6" ht="12.75">
      <c r="D291" s="1" t="str">
        <f ca="1">IFERROR(__xludf.DUMMYFUNCTION("iferror(SPLIT(C291,""=""))"),"")</f>
        <v/>
      </c>
      <c r="F291" s="1" t="e">
        <f t="shared" ca="1" si="2"/>
        <v>#NAME?</v>
      </c>
    </row>
    <row r="292" spans="4:6" ht="12.75">
      <c r="D292" s="1" t="str">
        <f ca="1">IFERROR(__xludf.DUMMYFUNCTION("iferror(SPLIT(C292,""=""))"),"")</f>
        <v/>
      </c>
      <c r="F292" s="1" t="e">
        <f t="shared" ca="1" si="2"/>
        <v>#NAME?</v>
      </c>
    </row>
    <row r="293" spans="4:6" ht="12.75">
      <c r="D293" s="1" t="str">
        <f ca="1">IFERROR(__xludf.DUMMYFUNCTION("iferror(SPLIT(C293,""=""))"),"")</f>
        <v/>
      </c>
      <c r="F293" s="1" t="e">
        <f t="shared" ca="1" si="2"/>
        <v>#NAME?</v>
      </c>
    </row>
    <row r="294" spans="4:6" ht="12.75">
      <c r="D294" s="1" t="str">
        <f ca="1">IFERROR(__xludf.DUMMYFUNCTION("iferror(SPLIT(C294,""=""))"),"")</f>
        <v/>
      </c>
      <c r="F294" s="1" t="e">
        <f t="shared" ca="1" si="2"/>
        <v>#NAME?</v>
      </c>
    </row>
    <row r="295" spans="4:6" ht="12.75">
      <c r="D295" s="1" t="str">
        <f ca="1">IFERROR(__xludf.DUMMYFUNCTION("iferror(SPLIT(C295,""=""))"),"")</f>
        <v/>
      </c>
      <c r="F295" s="1" t="e">
        <f t="shared" ca="1" si="2"/>
        <v>#NAME?</v>
      </c>
    </row>
    <row r="296" spans="4:6" ht="12.75">
      <c r="D296" s="1" t="str">
        <f ca="1">IFERROR(__xludf.DUMMYFUNCTION("iferror(SPLIT(C296,""=""))"),"")</f>
        <v/>
      </c>
      <c r="F296" s="1" t="e">
        <f t="shared" ca="1" si="2"/>
        <v>#NAME?</v>
      </c>
    </row>
    <row r="297" spans="4:6" ht="12.75">
      <c r="D297" s="1" t="str">
        <f ca="1">IFERROR(__xludf.DUMMYFUNCTION("iferror(SPLIT(C297,""=""))"),"")</f>
        <v/>
      </c>
      <c r="F297" s="1" t="e">
        <f t="shared" ca="1" si="2"/>
        <v>#NAME?</v>
      </c>
    </row>
    <row r="298" spans="4:6" ht="12.75">
      <c r="D298" s="1" t="str">
        <f ca="1">IFERROR(__xludf.DUMMYFUNCTION("iferror(SPLIT(C298,""=""))"),"")</f>
        <v/>
      </c>
      <c r="F298" s="1" t="e">
        <f t="shared" ca="1" si="2"/>
        <v>#NAME?</v>
      </c>
    </row>
    <row r="299" spans="4:6" ht="12.75">
      <c r="D299" s="1" t="str">
        <f ca="1">IFERROR(__xludf.DUMMYFUNCTION("iferror(SPLIT(C299,""=""))"),"")</f>
        <v/>
      </c>
      <c r="F299" s="1" t="e">
        <f t="shared" ca="1" si="2"/>
        <v>#NAME?</v>
      </c>
    </row>
    <row r="300" spans="4:6" ht="12.75">
      <c r="D300" s="1" t="str">
        <f ca="1">IFERROR(__xludf.DUMMYFUNCTION("iferror(SPLIT(C300,""=""))"),"")</f>
        <v/>
      </c>
      <c r="F300" s="1" t="e">
        <f t="shared" ca="1" si="2"/>
        <v>#NAME?</v>
      </c>
    </row>
    <row r="301" spans="4:6" ht="12.75">
      <c r="D301" s="1" t="str">
        <f ca="1">IFERROR(__xludf.DUMMYFUNCTION("iferror(SPLIT(C301,""=""))"),"")</f>
        <v/>
      </c>
      <c r="F301" s="1" t="e">
        <f t="shared" ca="1" si="2"/>
        <v>#NAME?</v>
      </c>
    </row>
    <row r="302" spans="4:6" ht="12.75">
      <c r="D302" s="1" t="str">
        <f ca="1">IFERROR(__xludf.DUMMYFUNCTION("iferror(SPLIT(C302,""=""))"),"")</f>
        <v/>
      </c>
      <c r="F302" s="1" t="e">
        <f t="shared" ca="1" si="2"/>
        <v>#NAME?</v>
      </c>
    </row>
    <row r="303" spans="4:6" ht="12.75">
      <c r="D303" s="1" t="str">
        <f ca="1">IFERROR(__xludf.DUMMYFUNCTION("iferror(SPLIT(C303,""=""))"),"")</f>
        <v/>
      </c>
      <c r="F303" s="1" t="e">
        <f t="shared" ca="1" si="2"/>
        <v>#NAME?</v>
      </c>
    </row>
    <row r="304" spans="4:6" ht="12.75">
      <c r="D304" s="1" t="str">
        <f ca="1">IFERROR(__xludf.DUMMYFUNCTION("iferror(SPLIT(C304,""=""))"),"")</f>
        <v/>
      </c>
      <c r="F304" s="1" t="e">
        <f t="shared" ca="1" si="2"/>
        <v>#NAME?</v>
      </c>
    </row>
    <row r="305" spans="4:6" ht="12.75">
      <c r="D305" s="1" t="str">
        <f ca="1">IFERROR(__xludf.DUMMYFUNCTION("iferror(SPLIT(C305,""=""))"),"")</f>
        <v/>
      </c>
      <c r="F305" s="1" t="e">
        <f t="shared" ca="1" si="2"/>
        <v>#NAME?</v>
      </c>
    </row>
    <row r="306" spans="4:6" ht="12.75">
      <c r="D306" s="1" t="str">
        <f ca="1">IFERROR(__xludf.DUMMYFUNCTION("iferror(SPLIT(C306,""=""))"),"")</f>
        <v/>
      </c>
      <c r="F306" s="1" t="e">
        <f t="shared" ca="1" si="2"/>
        <v>#NAME?</v>
      </c>
    </row>
    <row r="307" spans="4:6" ht="12.75">
      <c r="D307" s="1" t="str">
        <f ca="1">IFERROR(__xludf.DUMMYFUNCTION("iferror(SPLIT(C307,""=""))"),"")</f>
        <v/>
      </c>
      <c r="F307" s="1" t="e">
        <f t="shared" ca="1" si="2"/>
        <v>#NAME?</v>
      </c>
    </row>
    <row r="308" spans="4:6" ht="12.75">
      <c r="D308" s="1" t="str">
        <f ca="1">IFERROR(__xludf.DUMMYFUNCTION("iferror(SPLIT(C308,""=""))"),"")</f>
        <v/>
      </c>
      <c r="F308" s="1" t="e">
        <f t="shared" ca="1" si="2"/>
        <v>#NAME?</v>
      </c>
    </row>
    <row r="309" spans="4:6" ht="12.75">
      <c r="D309" s="1" t="str">
        <f ca="1">IFERROR(__xludf.DUMMYFUNCTION("iferror(SPLIT(C309,""=""))"),"")</f>
        <v/>
      </c>
      <c r="F309" s="1" t="e">
        <f t="shared" ca="1" si="2"/>
        <v>#NAME?</v>
      </c>
    </row>
    <row r="310" spans="4:6" ht="12.75">
      <c r="D310" s="1" t="str">
        <f ca="1">IFERROR(__xludf.DUMMYFUNCTION("iferror(SPLIT(C310,""=""))"),"")</f>
        <v/>
      </c>
      <c r="F310" s="1" t="e">
        <f t="shared" ca="1" si="2"/>
        <v>#NAME?</v>
      </c>
    </row>
    <row r="311" spans="4:6" ht="12.75">
      <c r="D311" s="1" t="str">
        <f ca="1">IFERROR(__xludf.DUMMYFUNCTION("iferror(SPLIT(C311,""=""))"),"")</f>
        <v/>
      </c>
      <c r="F311" s="1" t="e">
        <f t="shared" ca="1" si="2"/>
        <v>#NAME?</v>
      </c>
    </row>
    <row r="312" spans="4:6" ht="12.75">
      <c r="D312" s="1" t="str">
        <f ca="1">IFERROR(__xludf.DUMMYFUNCTION("iferror(SPLIT(C312,""=""))"),"")</f>
        <v/>
      </c>
      <c r="F312" s="1" t="e">
        <f t="shared" ca="1" si="2"/>
        <v>#NAME?</v>
      </c>
    </row>
    <row r="313" spans="4:6" ht="12.75">
      <c r="D313" s="1" t="str">
        <f ca="1">IFERROR(__xludf.DUMMYFUNCTION("iferror(SPLIT(C313,""=""))"),"")</f>
        <v/>
      </c>
      <c r="F313" s="1" t="e">
        <f t="shared" ca="1" si="2"/>
        <v>#NAME?</v>
      </c>
    </row>
    <row r="314" spans="4:6" ht="12.75">
      <c r="D314" s="1" t="str">
        <f ca="1">IFERROR(__xludf.DUMMYFUNCTION("iferror(SPLIT(C314,""=""))"),"")</f>
        <v/>
      </c>
      <c r="F314" s="1" t="e">
        <f t="shared" ca="1" si="2"/>
        <v>#NAME?</v>
      </c>
    </row>
    <row r="315" spans="4:6" ht="12.75">
      <c r="D315" s="1" t="str">
        <f ca="1">IFERROR(__xludf.DUMMYFUNCTION("iferror(SPLIT(C315,""=""))"),"")</f>
        <v/>
      </c>
      <c r="F315" s="1" t="e">
        <f t="shared" ca="1" si="2"/>
        <v>#NAME?</v>
      </c>
    </row>
    <row r="316" spans="4:6" ht="12.75">
      <c r="D316" s="1" t="str">
        <f ca="1">IFERROR(__xludf.DUMMYFUNCTION("iferror(SPLIT(C316,""=""))"),"")</f>
        <v/>
      </c>
      <c r="F316" s="1" t="e">
        <f t="shared" ca="1" si="2"/>
        <v>#NAME?</v>
      </c>
    </row>
    <row r="317" spans="4:6" ht="12.75">
      <c r="D317" s="1" t="str">
        <f ca="1">IFERROR(__xludf.DUMMYFUNCTION("iferror(SPLIT(C317,""=""))"),"")</f>
        <v/>
      </c>
      <c r="F317" s="1" t="e">
        <f t="shared" ca="1" si="2"/>
        <v>#NAME?</v>
      </c>
    </row>
    <row r="318" spans="4:6" ht="12.75">
      <c r="D318" s="1" t="str">
        <f ca="1">IFERROR(__xludf.DUMMYFUNCTION("iferror(SPLIT(C318,""=""))"),"")</f>
        <v/>
      </c>
      <c r="F318" s="1" t="e">
        <f t="shared" ca="1" si="2"/>
        <v>#NAME?</v>
      </c>
    </row>
    <row r="319" spans="4:6" ht="12.75">
      <c r="D319" s="1" t="str">
        <f ca="1">IFERROR(__xludf.DUMMYFUNCTION("iferror(SPLIT(C319,""=""))"),"")</f>
        <v/>
      </c>
      <c r="F319" s="1" t="e">
        <f t="shared" ca="1" si="2"/>
        <v>#NAME?</v>
      </c>
    </row>
    <row r="320" spans="4:6" ht="12.75">
      <c r="D320" s="1" t="str">
        <f ca="1">IFERROR(__xludf.DUMMYFUNCTION("iferror(SPLIT(C320,""=""))"),"")</f>
        <v/>
      </c>
      <c r="F320" s="1" t="e">
        <f t="shared" ca="1" si="2"/>
        <v>#NAME?</v>
      </c>
    </row>
    <row r="321" spans="4:6" ht="12.75">
      <c r="D321" s="1" t="str">
        <f ca="1">IFERROR(__xludf.DUMMYFUNCTION("iferror(SPLIT(C321,""=""))"),"")</f>
        <v/>
      </c>
      <c r="F321" s="1" t="e">
        <f t="shared" ca="1" si="2"/>
        <v>#NAME?</v>
      </c>
    </row>
    <row r="322" spans="4:6" ht="12.75">
      <c r="D322" s="1" t="str">
        <f ca="1">IFERROR(__xludf.DUMMYFUNCTION("iferror(SPLIT(C322,""=""))"),"")</f>
        <v/>
      </c>
      <c r="F322" s="1" t="e">
        <f t="shared" ca="1" si="2"/>
        <v>#NAME?</v>
      </c>
    </row>
    <row r="323" spans="4:6" ht="12.75">
      <c r="D323" s="1" t="str">
        <f ca="1">IFERROR(__xludf.DUMMYFUNCTION("iferror(SPLIT(C323,""=""))"),"")</f>
        <v/>
      </c>
      <c r="F323" s="1" t="e">
        <f t="shared" ca="1" si="2"/>
        <v>#NAME?</v>
      </c>
    </row>
    <row r="324" spans="4:6" ht="12.75">
      <c r="D324" s="1" t="str">
        <f ca="1">IFERROR(__xludf.DUMMYFUNCTION("iferror(SPLIT(C324,""=""))"),"")</f>
        <v/>
      </c>
      <c r="F324" s="1" t="e">
        <f t="shared" ca="1" si="2"/>
        <v>#NAME?</v>
      </c>
    </row>
    <row r="325" spans="4:6" ht="12.75">
      <c r="D325" s="1" t="str">
        <f ca="1">IFERROR(__xludf.DUMMYFUNCTION("iferror(SPLIT(C325,""=""))"),"")</f>
        <v/>
      </c>
      <c r="F325" s="1" t="e">
        <f t="shared" ca="1" si="2"/>
        <v>#NAME?</v>
      </c>
    </row>
    <row r="326" spans="4:6" ht="12.75">
      <c r="D326" s="1" t="str">
        <f ca="1">IFERROR(__xludf.DUMMYFUNCTION("iferror(SPLIT(C326,""=""))"),"")</f>
        <v/>
      </c>
      <c r="F326" s="1" t="e">
        <f t="shared" ca="1" si="2"/>
        <v>#NAME?</v>
      </c>
    </row>
    <row r="327" spans="4:6" ht="12.75">
      <c r="D327" s="1" t="str">
        <f ca="1">IFERROR(__xludf.DUMMYFUNCTION("iferror(SPLIT(C327,""=""))"),"")</f>
        <v/>
      </c>
      <c r="F327" s="1" t="e">
        <f t="shared" ca="1" si="2"/>
        <v>#NAME?</v>
      </c>
    </row>
    <row r="328" spans="4:6" ht="12.75">
      <c r="D328" s="1" t="str">
        <f ca="1">IFERROR(__xludf.DUMMYFUNCTION("iferror(SPLIT(C328,""=""))"),"")</f>
        <v/>
      </c>
      <c r="F328" s="1" t="e">
        <f t="shared" ca="1" si="2"/>
        <v>#NAME?</v>
      </c>
    </row>
    <row r="329" spans="4:6" ht="12.75">
      <c r="D329" s="1" t="str">
        <f ca="1">IFERROR(__xludf.DUMMYFUNCTION("iferror(SPLIT(C329,""=""))"),"")</f>
        <v/>
      </c>
      <c r="F329" s="1" t="e">
        <f t="shared" ca="1" si="2"/>
        <v>#NAME?</v>
      </c>
    </row>
    <row r="330" spans="4:6" ht="12.75">
      <c r="D330" s="1" t="str">
        <f ca="1">IFERROR(__xludf.DUMMYFUNCTION("iferror(SPLIT(C330,""=""))"),"")</f>
        <v/>
      </c>
      <c r="F330" s="1" t="e">
        <f t="shared" ca="1" si="2"/>
        <v>#NAME?</v>
      </c>
    </row>
    <row r="331" spans="4:6" ht="12.75">
      <c r="D331" s="1" t="str">
        <f ca="1">IFERROR(__xludf.DUMMYFUNCTION("iferror(SPLIT(C331,""=""))"),"")</f>
        <v/>
      </c>
      <c r="F331" s="1" t="e">
        <f t="shared" ca="1" si="2"/>
        <v>#NAME?</v>
      </c>
    </row>
    <row r="332" spans="4:6" ht="12.75">
      <c r="D332" s="1" t="str">
        <f ca="1">IFERROR(__xludf.DUMMYFUNCTION("iferror(SPLIT(C332,""=""))"),"")</f>
        <v/>
      </c>
      <c r="F332" s="1" t="e">
        <f t="shared" ca="1" si="2"/>
        <v>#NAME?</v>
      </c>
    </row>
    <row r="333" spans="4:6" ht="12.75">
      <c r="D333" s="1" t="str">
        <f ca="1">IFERROR(__xludf.DUMMYFUNCTION("iferror(SPLIT(C333,""=""))"),"")</f>
        <v/>
      </c>
      <c r="F333" s="1" t="e">
        <f t="shared" ca="1" si="2"/>
        <v>#NAME?</v>
      </c>
    </row>
    <row r="334" spans="4:6" ht="12.75">
      <c r="D334" s="1" t="str">
        <f ca="1">IFERROR(__xludf.DUMMYFUNCTION("iferror(SPLIT(C334,""=""))"),"")</f>
        <v/>
      </c>
      <c r="F334" s="1" t="e">
        <f t="shared" ca="1" si="2"/>
        <v>#NAME?</v>
      </c>
    </row>
    <row r="335" spans="4:6" ht="12.75">
      <c r="D335" s="1" t="str">
        <f ca="1">IFERROR(__xludf.DUMMYFUNCTION("iferror(SPLIT(C335,""=""))"),"")</f>
        <v/>
      </c>
      <c r="F335" s="1" t="e">
        <f t="shared" ca="1" si="2"/>
        <v>#NAME?</v>
      </c>
    </row>
    <row r="336" spans="4:6" ht="12.75">
      <c r="D336" s="1" t="str">
        <f ca="1">IFERROR(__xludf.DUMMYFUNCTION("iferror(SPLIT(C336,""=""))"),"")</f>
        <v/>
      </c>
      <c r="F336" s="1" t="e">
        <f t="shared" ca="1" si="2"/>
        <v>#NAME?</v>
      </c>
    </row>
    <row r="337" spans="4:6" ht="12.75">
      <c r="D337" s="1" t="str">
        <f ca="1">IFERROR(__xludf.DUMMYFUNCTION("iferror(SPLIT(C337,""=""))"),"")</f>
        <v/>
      </c>
      <c r="F337" s="1" t="e">
        <f t="shared" ca="1" si="2"/>
        <v>#NAME?</v>
      </c>
    </row>
    <row r="338" spans="4:6" ht="12.75">
      <c r="D338" s="1" t="str">
        <f ca="1">IFERROR(__xludf.DUMMYFUNCTION("iferror(SPLIT(C338,""=""))"),"")</f>
        <v/>
      </c>
      <c r="F338" s="1" t="e">
        <f t="shared" ca="1" si="2"/>
        <v>#NAME?</v>
      </c>
    </row>
    <row r="339" spans="4:6" ht="12.75">
      <c r="D339" s="1" t="str">
        <f ca="1">IFERROR(__xludf.DUMMYFUNCTION("iferror(SPLIT(C339,""=""))"),"")</f>
        <v/>
      </c>
      <c r="F339" s="1" t="e">
        <f t="shared" ca="1" si="2"/>
        <v>#NAME?</v>
      </c>
    </row>
    <row r="340" spans="4:6" ht="12.75">
      <c r="D340" s="1" t="str">
        <f ca="1">IFERROR(__xludf.DUMMYFUNCTION("iferror(SPLIT(C340,""=""))"),"")</f>
        <v/>
      </c>
      <c r="F340" s="1" t="e">
        <f t="shared" ca="1" si="2"/>
        <v>#NAME?</v>
      </c>
    </row>
    <row r="341" spans="4:6" ht="12.75">
      <c r="D341" s="1" t="str">
        <f ca="1">IFERROR(__xludf.DUMMYFUNCTION("iferror(SPLIT(C341,""=""))"),"")</f>
        <v/>
      </c>
      <c r="F341" s="1" t="e">
        <f t="shared" ca="1" si="2"/>
        <v>#NAME?</v>
      </c>
    </row>
    <row r="342" spans="4:6" ht="12.75">
      <c r="D342" s="1" t="str">
        <f ca="1">IFERROR(__xludf.DUMMYFUNCTION("iferror(SPLIT(C342,""=""))"),"")</f>
        <v/>
      </c>
      <c r="F342" s="1" t="e">
        <f t="shared" ca="1" si="2"/>
        <v>#NAME?</v>
      </c>
    </row>
    <row r="343" spans="4:6" ht="12.75">
      <c r="D343" s="1" t="str">
        <f ca="1">IFERROR(__xludf.DUMMYFUNCTION("iferror(SPLIT(C343,""=""))"),"")</f>
        <v/>
      </c>
      <c r="F343" s="1" t="e">
        <f t="shared" ca="1" si="2"/>
        <v>#NAME?</v>
      </c>
    </row>
    <row r="344" spans="4:6" ht="12.75">
      <c r="D344" s="1" t="str">
        <f ca="1">IFERROR(__xludf.DUMMYFUNCTION("iferror(SPLIT(C344,""=""))"),"")</f>
        <v/>
      </c>
      <c r="F344" s="1" t="e">
        <f t="shared" ca="1" si="2"/>
        <v>#NAME?</v>
      </c>
    </row>
    <row r="345" spans="4:6" ht="12.75">
      <c r="D345" s="1" t="str">
        <f ca="1">IFERROR(__xludf.DUMMYFUNCTION("iferror(SPLIT(C345,""=""))"),"")</f>
        <v/>
      </c>
      <c r="F345" s="1" t="e">
        <f t="shared" ca="1" si="2"/>
        <v>#NAME?</v>
      </c>
    </row>
    <row r="346" spans="4:6" ht="12.75">
      <c r="D346" s="1" t="str">
        <f ca="1">IFERROR(__xludf.DUMMYFUNCTION("iferror(SPLIT(C346,""=""))"),"")</f>
        <v/>
      </c>
      <c r="F346" s="1" t="e">
        <f t="shared" ca="1" si="2"/>
        <v>#NAME?</v>
      </c>
    </row>
    <row r="347" spans="4:6" ht="12.75">
      <c r="D347" s="1" t="str">
        <f ca="1">IFERROR(__xludf.DUMMYFUNCTION("iferror(SPLIT(C347,""=""))"),"")</f>
        <v/>
      </c>
      <c r="F347" s="1" t="e">
        <f t="shared" ca="1" si="2"/>
        <v>#NAME?</v>
      </c>
    </row>
    <row r="348" spans="4:6" ht="12.75">
      <c r="D348" s="1" t="str">
        <f ca="1">IFERROR(__xludf.DUMMYFUNCTION("iferror(SPLIT(C348,""=""))"),"")</f>
        <v/>
      </c>
      <c r="F348" s="1" t="e">
        <f t="shared" ca="1" si="2"/>
        <v>#NAME?</v>
      </c>
    </row>
    <row r="349" spans="4:6" ht="12.75">
      <c r="D349" s="1" t="str">
        <f ca="1">IFERROR(__xludf.DUMMYFUNCTION("iferror(SPLIT(C349,""=""))"),"")</f>
        <v/>
      </c>
      <c r="F349" s="1" t="e">
        <f t="shared" ca="1" si="2"/>
        <v>#NAME?</v>
      </c>
    </row>
    <row r="350" spans="4:6" ht="12.75">
      <c r="D350" s="1" t="str">
        <f ca="1">IFERROR(__xludf.DUMMYFUNCTION("iferror(SPLIT(C350,""=""))"),"")</f>
        <v/>
      </c>
      <c r="F350" s="1" t="e">
        <f t="shared" ca="1" si="2"/>
        <v>#NAME?</v>
      </c>
    </row>
    <row r="351" spans="4:6" ht="12.75">
      <c r="D351" s="1" t="str">
        <f ca="1">IFERROR(__xludf.DUMMYFUNCTION("iferror(SPLIT(C351,""=""))"),"")</f>
        <v/>
      </c>
      <c r="F351" s="1" t="e">
        <f t="shared" ca="1" si="2"/>
        <v>#NAME?</v>
      </c>
    </row>
    <row r="352" spans="4:6" ht="12.75">
      <c r="D352" s="1" t="str">
        <f ca="1">IFERROR(__xludf.DUMMYFUNCTION("iferror(SPLIT(C352,""=""))"),"")</f>
        <v/>
      </c>
      <c r="F352" s="1" t="e">
        <f t="shared" ca="1" si="2"/>
        <v>#NAME?</v>
      </c>
    </row>
    <row r="353" spans="4:6" ht="12.75">
      <c r="D353" s="1" t="str">
        <f ca="1">IFERROR(__xludf.DUMMYFUNCTION("iferror(SPLIT(C353,""=""))"),"")</f>
        <v/>
      </c>
      <c r="F353" s="1" t="e">
        <f t="shared" ca="1" si="2"/>
        <v>#NAME?</v>
      </c>
    </row>
    <row r="354" spans="4:6" ht="12.75">
      <c r="D354" s="1" t="str">
        <f ca="1">IFERROR(__xludf.DUMMYFUNCTION("iferror(SPLIT(C354,""=""))"),"")</f>
        <v/>
      </c>
      <c r="F354" s="1" t="e">
        <f t="shared" ca="1" si="2"/>
        <v>#NAME?</v>
      </c>
    </row>
    <row r="355" spans="4:6" ht="12.75">
      <c r="D355" s="1" t="str">
        <f ca="1">IFERROR(__xludf.DUMMYFUNCTION("iferror(SPLIT(C355,""=""))"),"")</f>
        <v/>
      </c>
      <c r="F355" s="1" t="e">
        <f t="shared" ca="1" si="2"/>
        <v>#NAME?</v>
      </c>
    </row>
    <row r="356" spans="4:6" ht="12.75">
      <c r="D356" s="1" t="str">
        <f ca="1">IFERROR(__xludf.DUMMYFUNCTION("iferror(SPLIT(C356,""=""))"),"")</f>
        <v/>
      </c>
      <c r="F356" s="1" t="e">
        <f t="shared" ca="1" si="2"/>
        <v>#NAME?</v>
      </c>
    </row>
    <row r="357" spans="4:6" ht="12.75">
      <c r="D357" s="1" t="str">
        <f ca="1">IFERROR(__xludf.DUMMYFUNCTION("iferror(SPLIT(C357,""=""))"),"")</f>
        <v/>
      </c>
      <c r="F357" s="1" t="e">
        <f t="shared" ca="1" si="2"/>
        <v>#NAME?</v>
      </c>
    </row>
    <row r="358" spans="4:6" ht="12.75">
      <c r="D358" s="1" t="str">
        <f ca="1">IFERROR(__xludf.DUMMYFUNCTION("iferror(SPLIT(C358,""=""))"),"")</f>
        <v/>
      </c>
      <c r="F358" s="1" t="e">
        <f t="shared" ca="1" si="2"/>
        <v>#NAME?</v>
      </c>
    </row>
    <row r="359" spans="4:6" ht="12.75">
      <c r="D359" s="1" t="str">
        <f ca="1">IFERROR(__xludf.DUMMYFUNCTION("iferror(SPLIT(C359,""=""))"),"")</f>
        <v/>
      </c>
      <c r="F359" s="1" t="e">
        <f t="shared" ca="1" si="2"/>
        <v>#NAME?</v>
      </c>
    </row>
    <row r="360" spans="4:6" ht="12.75">
      <c r="D360" s="1" t="str">
        <f ca="1">IFERROR(__xludf.DUMMYFUNCTION("iferror(SPLIT(C360,""=""))"),"")</f>
        <v/>
      </c>
      <c r="F360" s="1" t="e">
        <f t="shared" ca="1" si="2"/>
        <v>#NAME?</v>
      </c>
    </row>
    <row r="361" spans="4:6" ht="12.75">
      <c r="D361" s="1" t="str">
        <f ca="1">IFERROR(__xludf.DUMMYFUNCTION("iferror(SPLIT(C361,""=""))"),"")</f>
        <v/>
      </c>
      <c r="F361" s="1" t="e">
        <f t="shared" ca="1" si="2"/>
        <v>#NAME?</v>
      </c>
    </row>
    <row r="362" spans="4:6" ht="12.75">
      <c r="D362" s="1" t="str">
        <f ca="1">IFERROR(__xludf.DUMMYFUNCTION("iferror(SPLIT(C362,""=""))"),"")</f>
        <v/>
      </c>
      <c r="F362" s="1" t="e">
        <f t="shared" ca="1" si="2"/>
        <v>#NAME?</v>
      </c>
    </row>
    <row r="363" spans="4:6" ht="12.75">
      <c r="D363" s="1" t="str">
        <f ca="1">IFERROR(__xludf.DUMMYFUNCTION("iferror(SPLIT(C363,""=""))"),"")</f>
        <v/>
      </c>
      <c r="F363" s="1" t="e">
        <f t="shared" ca="1" si="2"/>
        <v>#NAME?</v>
      </c>
    </row>
    <row r="364" spans="4:6" ht="12.75">
      <c r="D364" s="1" t="str">
        <f ca="1">IFERROR(__xludf.DUMMYFUNCTION("iferror(SPLIT(C364,""=""))"),"")</f>
        <v/>
      </c>
      <c r="F364" s="1" t="e">
        <f t="shared" ca="1" si="2"/>
        <v>#NAME?</v>
      </c>
    </row>
    <row r="365" spans="4:6" ht="12.75">
      <c r="D365" s="1" t="str">
        <f ca="1">IFERROR(__xludf.DUMMYFUNCTION("iferror(SPLIT(C365,""=""))"),"")</f>
        <v/>
      </c>
      <c r="F365" s="1" t="e">
        <f t="shared" ca="1" si="2"/>
        <v>#NAME?</v>
      </c>
    </row>
    <row r="366" spans="4:6" ht="12.75">
      <c r="D366" s="1" t="str">
        <f ca="1">IFERROR(__xludf.DUMMYFUNCTION("iferror(SPLIT(C366,""=""))"),"")</f>
        <v/>
      </c>
      <c r="F366" s="1" t="e">
        <f t="shared" ca="1" si="2"/>
        <v>#NAME?</v>
      </c>
    </row>
    <row r="367" spans="4:6" ht="12.75">
      <c r="D367" s="1" t="str">
        <f ca="1">IFERROR(__xludf.DUMMYFUNCTION("iferror(SPLIT(C367,""=""))"),"")</f>
        <v/>
      </c>
      <c r="F367" s="1" t="e">
        <f t="shared" ca="1" si="2"/>
        <v>#NAME?</v>
      </c>
    </row>
    <row r="368" spans="4:6" ht="12.75">
      <c r="D368" s="1" t="str">
        <f ca="1">IFERROR(__xludf.DUMMYFUNCTION("iferror(SPLIT(C368,""=""))"),"")</f>
        <v/>
      </c>
      <c r="F368" s="1" t="e">
        <f t="shared" ca="1" si="2"/>
        <v>#NAME?</v>
      </c>
    </row>
    <row r="369" spans="4:6" ht="12.75">
      <c r="D369" s="1" t="str">
        <f ca="1">IFERROR(__xludf.DUMMYFUNCTION("iferror(SPLIT(C369,""=""))"),"")</f>
        <v/>
      </c>
      <c r="F369" s="1" t="e">
        <f t="shared" ca="1" si="2"/>
        <v>#NAME?</v>
      </c>
    </row>
    <row r="370" spans="4:6" ht="12.75">
      <c r="D370" s="1" t="str">
        <f ca="1">IFERROR(__xludf.DUMMYFUNCTION("iferror(SPLIT(C370,""=""))"),"")</f>
        <v/>
      </c>
      <c r="F370" s="1" t="e">
        <f t="shared" ca="1" si="2"/>
        <v>#NAME?</v>
      </c>
    </row>
    <row r="371" spans="4:6" ht="12.75">
      <c r="D371" s="1" t="str">
        <f ca="1">IFERROR(__xludf.DUMMYFUNCTION("iferror(SPLIT(C371,""=""))"),"")</f>
        <v/>
      </c>
      <c r="F371" s="1" t="e">
        <f t="shared" ca="1" si="2"/>
        <v>#NAME?</v>
      </c>
    </row>
    <row r="372" spans="4:6" ht="12.75">
      <c r="D372" s="1" t="str">
        <f ca="1">IFERROR(__xludf.DUMMYFUNCTION("iferror(SPLIT(C372,""=""))"),"")</f>
        <v/>
      </c>
      <c r="F372" s="1" t="e">
        <f t="shared" ca="1" si="2"/>
        <v>#NAME?</v>
      </c>
    </row>
    <row r="373" spans="4:6" ht="12.75">
      <c r="D373" s="1" t="str">
        <f ca="1">IFERROR(__xludf.DUMMYFUNCTION("iferror(SPLIT(C373,""=""))"),"")</f>
        <v/>
      </c>
      <c r="F373" s="1" t="e">
        <f t="shared" ca="1" si="2"/>
        <v>#NAME?</v>
      </c>
    </row>
    <row r="374" spans="4:6" ht="12.75">
      <c r="D374" s="1" t="str">
        <f ca="1">IFERROR(__xludf.DUMMYFUNCTION("iferror(SPLIT(C374,""=""))"),"")</f>
        <v/>
      </c>
      <c r="F374" s="1" t="e">
        <f t="shared" ca="1" si="2"/>
        <v>#NAME?</v>
      </c>
    </row>
    <row r="375" spans="4:6" ht="12.75">
      <c r="D375" s="1" t="str">
        <f ca="1">IFERROR(__xludf.DUMMYFUNCTION("iferror(SPLIT(C375,""=""))"),"")</f>
        <v/>
      </c>
      <c r="F375" s="1" t="e">
        <f t="shared" ca="1" si="2"/>
        <v>#NAME?</v>
      </c>
    </row>
    <row r="376" spans="4:6" ht="12.75">
      <c r="D376" s="1" t="str">
        <f ca="1">IFERROR(__xludf.DUMMYFUNCTION("iferror(SPLIT(C376,""=""))"),"")</f>
        <v/>
      </c>
      <c r="F376" s="1" t="e">
        <f t="shared" ca="1" si="2"/>
        <v>#NAME?</v>
      </c>
    </row>
    <row r="377" spans="4:6" ht="12.75">
      <c r="D377" s="1" t="str">
        <f ca="1">IFERROR(__xludf.DUMMYFUNCTION("iferror(SPLIT(C377,""=""))"),"")</f>
        <v/>
      </c>
      <c r="F377" s="1" t="e">
        <f t="shared" ca="1" si="2"/>
        <v>#NAME?</v>
      </c>
    </row>
    <row r="378" spans="4:6" ht="12.75">
      <c r="D378" s="1" t="str">
        <f ca="1">IFERROR(__xludf.DUMMYFUNCTION("iferror(SPLIT(C378,""=""))"),"")</f>
        <v/>
      </c>
      <c r="F378" s="1" t="e">
        <f t="shared" ca="1" si="2"/>
        <v>#NAME?</v>
      </c>
    </row>
    <row r="379" spans="4:6" ht="12.75">
      <c r="D379" s="1" t="str">
        <f ca="1">IFERROR(__xludf.DUMMYFUNCTION("iferror(SPLIT(C379,""=""))"),"")</f>
        <v/>
      </c>
      <c r="F379" s="1" t="e">
        <f t="shared" ca="1" si="2"/>
        <v>#NAME?</v>
      </c>
    </row>
    <row r="380" spans="4:6" ht="12.75">
      <c r="D380" s="1" t="str">
        <f ca="1">IFERROR(__xludf.DUMMYFUNCTION("iferror(SPLIT(C380,""=""))"),"")</f>
        <v/>
      </c>
      <c r="F380" s="1" t="e">
        <f t="shared" ca="1" si="2"/>
        <v>#NAME?</v>
      </c>
    </row>
    <row r="381" spans="4:6" ht="12.75">
      <c r="D381" s="1" t="str">
        <f ca="1">IFERROR(__xludf.DUMMYFUNCTION("iferror(SPLIT(C381,""=""))"),"")</f>
        <v/>
      </c>
      <c r="F381" s="1" t="e">
        <f t="shared" ca="1" si="2"/>
        <v>#NAME?</v>
      </c>
    </row>
    <row r="382" spans="4:6" ht="12.75">
      <c r="D382" s="1" t="str">
        <f ca="1">IFERROR(__xludf.DUMMYFUNCTION("iferror(SPLIT(C382,""=""))"),"")</f>
        <v/>
      </c>
      <c r="F382" s="1" t="e">
        <f t="shared" ca="1" si="2"/>
        <v>#NAME?</v>
      </c>
    </row>
    <row r="383" spans="4:6" ht="12.75">
      <c r="D383" s="1" t="str">
        <f ca="1">IFERROR(__xludf.DUMMYFUNCTION("iferror(SPLIT(C383,""=""))"),"")</f>
        <v/>
      </c>
      <c r="F383" s="1" t="e">
        <f t="shared" ca="1" si="2"/>
        <v>#NAME?</v>
      </c>
    </row>
    <row r="384" spans="4:6" ht="12.75">
      <c r="D384" s="1" t="str">
        <f ca="1">IFERROR(__xludf.DUMMYFUNCTION("iferror(SPLIT(C384,""=""))"),"")</f>
        <v/>
      </c>
      <c r="F384" s="1" t="e">
        <f t="shared" ca="1" si="2"/>
        <v>#NAME?</v>
      </c>
    </row>
    <row r="385" spans="4:6" ht="12.75">
      <c r="D385" s="1" t="str">
        <f ca="1">IFERROR(__xludf.DUMMYFUNCTION("iferror(SPLIT(C385,""=""))"),"")</f>
        <v/>
      </c>
      <c r="F385" s="1" t="e">
        <f t="shared" ca="1" si="2"/>
        <v>#NAME?</v>
      </c>
    </row>
    <row r="386" spans="4:6" ht="12.75">
      <c r="D386" s="1" t="str">
        <f ca="1">IFERROR(__xludf.DUMMYFUNCTION("iferror(SPLIT(C386,""=""))"),"")</f>
        <v/>
      </c>
      <c r="F386" s="1" t="e">
        <f t="shared" ca="1" si="2"/>
        <v>#NAME?</v>
      </c>
    </row>
    <row r="387" spans="4:6" ht="12.75">
      <c r="D387" s="1" t="str">
        <f ca="1">IFERROR(__xludf.DUMMYFUNCTION("iferror(SPLIT(C387,""=""))"),"")</f>
        <v/>
      </c>
      <c r="F387" s="1" t="e">
        <f t="shared" ca="1" si="2"/>
        <v>#NAME?</v>
      </c>
    </row>
    <row r="388" spans="4:6" ht="12.75">
      <c r="D388" s="1" t="str">
        <f ca="1">IFERROR(__xludf.DUMMYFUNCTION("iferror(SPLIT(C388,""=""))"),"")</f>
        <v/>
      </c>
      <c r="F388" s="1" t="e">
        <f t="shared" ca="1" si="2"/>
        <v>#NAME?</v>
      </c>
    </row>
    <row r="389" spans="4:6" ht="12.75">
      <c r="D389" s="1" t="str">
        <f ca="1">IFERROR(__xludf.DUMMYFUNCTION("iferror(SPLIT(C389,""=""))"),"")</f>
        <v/>
      </c>
      <c r="F389" s="1" t="e">
        <f t="shared" ca="1" si="2"/>
        <v>#NAME?</v>
      </c>
    </row>
    <row r="390" spans="4:6" ht="12.75">
      <c r="D390" s="1" t="str">
        <f ca="1">IFERROR(__xludf.DUMMYFUNCTION("iferror(SPLIT(C390,""=""))"),"")</f>
        <v/>
      </c>
      <c r="F390" s="1" t="e">
        <f t="shared" ca="1" si="2"/>
        <v>#NAME?</v>
      </c>
    </row>
    <row r="391" spans="4:6" ht="12.75">
      <c r="D391" s="1" t="str">
        <f ca="1">IFERROR(__xludf.DUMMYFUNCTION("iferror(SPLIT(C391,""=""))"),"")</f>
        <v/>
      </c>
      <c r="F391" s="1" t="e">
        <f t="shared" ca="1" si="2"/>
        <v>#NAME?</v>
      </c>
    </row>
    <row r="392" spans="4:6" ht="12.75">
      <c r="D392" s="1" t="str">
        <f ca="1">IFERROR(__xludf.DUMMYFUNCTION("iferror(SPLIT(C392,""=""))"),"")</f>
        <v/>
      </c>
      <c r="F392" s="1" t="e">
        <f t="shared" ca="1" si="2"/>
        <v>#NAME?</v>
      </c>
    </row>
    <row r="393" spans="4:6" ht="12.75">
      <c r="D393" s="1" t="str">
        <f ca="1">IFERROR(__xludf.DUMMYFUNCTION("iferror(SPLIT(C393,""=""))"),"")</f>
        <v/>
      </c>
      <c r="F393" s="1" t="e">
        <f t="shared" ca="1" si="2"/>
        <v>#NAME?</v>
      </c>
    </row>
    <row r="394" spans="4:6" ht="12.75">
      <c r="D394" s="1" t="str">
        <f ca="1">IFERROR(__xludf.DUMMYFUNCTION("iferror(SPLIT(C394,""=""))"),"")</f>
        <v/>
      </c>
      <c r="F394" s="1" t="e">
        <f t="shared" ca="1" si="2"/>
        <v>#NAME?</v>
      </c>
    </row>
    <row r="395" spans="4:6" ht="12.75">
      <c r="D395" s="1" t="str">
        <f ca="1">IFERROR(__xludf.DUMMYFUNCTION("iferror(SPLIT(C395,""=""))"),"")</f>
        <v/>
      </c>
      <c r="F395" s="1" t="e">
        <f t="shared" ca="1" si="2"/>
        <v>#NAME?</v>
      </c>
    </row>
    <row r="396" spans="4:6" ht="12.75">
      <c r="D396" s="1" t="str">
        <f ca="1">IFERROR(__xludf.DUMMYFUNCTION("iferror(SPLIT(C396,""=""))"),"")</f>
        <v/>
      </c>
      <c r="F396" s="1" t="e">
        <f t="shared" ca="1" si="2"/>
        <v>#NAME?</v>
      </c>
    </row>
    <row r="397" spans="4:6" ht="12.75">
      <c r="D397" s="1" t="str">
        <f ca="1">IFERROR(__xludf.DUMMYFUNCTION("iferror(SPLIT(C397,""=""))"),"")</f>
        <v/>
      </c>
      <c r="F397" s="1" t="e">
        <f t="shared" ca="1" si="2"/>
        <v>#NAME?</v>
      </c>
    </row>
    <row r="398" spans="4:6" ht="12.75">
      <c r="D398" s="1" t="str">
        <f ca="1">IFERROR(__xludf.DUMMYFUNCTION("iferror(SPLIT(C398,""=""))"),"")</f>
        <v/>
      </c>
      <c r="F398" s="1" t="e">
        <f t="shared" ca="1" si="2"/>
        <v>#NAME?</v>
      </c>
    </row>
    <row r="399" spans="4:6" ht="12.75">
      <c r="D399" s="1" t="str">
        <f ca="1">IFERROR(__xludf.DUMMYFUNCTION("iferror(SPLIT(C399,""=""))"),"")</f>
        <v/>
      </c>
      <c r="F399" s="1" t="e">
        <f t="shared" ca="1" si="2"/>
        <v>#NAME?</v>
      </c>
    </row>
    <row r="400" spans="4:6" ht="12.75">
      <c r="D400" s="1" t="str">
        <f ca="1">IFERROR(__xludf.DUMMYFUNCTION("iferror(SPLIT(C400,""=""))"),"")</f>
        <v/>
      </c>
      <c r="F400" s="1" t="e">
        <f t="shared" ca="1" si="2"/>
        <v>#NAME?</v>
      </c>
    </row>
    <row r="401" spans="4:6" ht="12.75">
      <c r="D401" s="1" t="str">
        <f ca="1">IFERROR(__xludf.DUMMYFUNCTION("iferror(SPLIT(C401,""=""))"),"")</f>
        <v/>
      </c>
      <c r="F401" s="1" t="e">
        <f t="shared" ca="1" si="2"/>
        <v>#NAME?</v>
      </c>
    </row>
    <row r="402" spans="4:6" ht="12.75">
      <c r="D402" s="1" t="str">
        <f ca="1">IFERROR(__xludf.DUMMYFUNCTION("iferror(SPLIT(C402,""=""))"),"")</f>
        <v/>
      </c>
      <c r="F402" s="1" t="e">
        <f t="shared" ca="1" si="2"/>
        <v>#NAME?</v>
      </c>
    </row>
    <row r="403" spans="4:6" ht="12.75">
      <c r="D403" s="1" t="str">
        <f ca="1">IFERROR(__xludf.DUMMYFUNCTION("iferror(SPLIT(C403,""=""))"),"")</f>
        <v/>
      </c>
      <c r="F403" s="1" t="e">
        <f t="shared" ca="1" si="2"/>
        <v>#NAME?</v>
      </c>
    </row>
    <row r="404" spans="4:6" ht="12.75">
      <c r="D404" s="1" t="str">
        <f ca="1">IFERROR(__xludf.DUMMYFUNCTION("iferror(SPLIT(C404,""=""))"),"")</f>
        <v/>
      </c>
      <c r="F404" s="1" t="e">
        <f t="shared" ca="1" si="2"/>
        <v>#NAME?</v>
      </c>
    </row>
    <row r="405" spans="4:6" ht="12.75">
      <c r="D405" s="1" t="str">
        <f ca="1">IFERROR(__xludf.DUMMYFUNCTION("iferror(SPLIT(C405,""=""))"),"")</f>
        <v/>
      </c>
      <c r="F405" s="1" t="e">
        <f t="shared" ca="1" si="2"/>
        <v>#NAME?</v>
      </c>
    </row>
    <row r="406" spans="4:6" ht="12.75">
      <c r="D406" s="1" t="str">
        <f ca="1">IFERROR(__xludf.DUMMYFUNCTION("iferror(SPLIT(C406,""=""))"),"")</f>
        <v/>
      </c>
      <c r="F406" s="1" t="e">
        <f t="shared" ca="1" si="2"/>
        <v>#NAME?</v>
      </c>
    </row>
    <row r="407" spans="4:6" ht="12.75">
      <c r="D407" s="1" t="str">
        <f ca="1">IFERROR(__xludf.DUMMYFUNCTION("iferror(SPLIT(C407,""=""))"),"")</f>
        <v/>
      </c>
      <c r="F407" s="1" t="e">
        <f t="shared" ca="1" si="2"/>
        <v>#NAME?</v>
      </c>
    </row>
    <row r="408" spans="4:6" ht="12.75">
      <c r="D408" s="1" t="str">
        <f ca="1">IFERROR(__xludf.DUMMYFUNCTION("iferror(SPLIT(C408,""=""))"),"")</f>
        <v/>
      </c>
      <c r="F408" s="1" t="e">
        <f t="shared" ca="1" si="2"/>
        <v>#NAME?</v>
      </c>
    </row>
    <row r="409" spans="4:6" ht="12.75">
      <c r="D409" s="1" t="str">
        <f ca="1">IFERROR(__xludf.DUMMYFUNCTION("iferror(SPLIT(C409,""=""))"),"")</f>
        <v/>
      </c>
      <c r="F409" s="1" t="e">
        <f t="shared" ca="1" si="2"/>
        <v>#NAME?</v>
      </c>
    </row>
    <row r="410" spans="4:6" ht="12.75">
      <c r="D410" s="1" t="str">
        <f ca="1">IFERROR(__xludf.DUMMYFUNCTION("iferror(SPLIT(C410,""=""))"),"")</f>
        <v/>
      </c>
      <c r="F410" s="1" t="e">
        <f t="shared" ca="1" si="2"/>
        <v>#NAME?</v>
      </c>
    </row>
    <row r="411" spans="4:6" ht="12.75">
      <c r="D411" s="1" t="str">
        <f ca="1">IFERROR(__xludf.DUMMYFUNCTION("iferror(SPLIT(C411,""=""))"),"")</f>
        <v/>
      </c>
      <c r="F411" s="1" t="e">
        <f t="shared" ca="1" si="2"/>
        <v>#NAME?</v>
      </c>
    </row>
    <row r="412" spans="4:6" ht="12.75">
      <c r="D412" s="1" t="str">
        <f ca="1">IFERROR(__xludf.DUMMYFUNCTION("iferror(SPLIT(C412,""=""))"),"")</f>
        <v/>
      </c>
      <c r="F412" s="1" t="e">
        <f t="shared" ca="1" si="2"/>
        <v>#NAME?</v>
      </c>
    </row>
    <row r="413" spans="4:6" ht="12.75">
      <c r="D413" s="1" t="str">
        <f ca="1">IFERROR(__xludf.DUMMYFUNCTION("iferror(SPLIT(C413,""=""))"),"")</f>
        <v/>
      </c>
      <c r="F413" s="1" t="e">
        <f t="shared" ca="1" si="2"/>
        <v>#NAME?</v>
      </c>
    </row>
    <row r="414" spans="4:6" ht="12.75">
      <c r="D414" s="1" t="str">
        <f ca="1">IFERROR(__xludf.DUMMYFUNCTION("iferror(SPLIT(C414,""=""))"),"")</f>
        <v/>
      </c>
      <c r="F414" s="1" t="e">
        <f t="shared" ca="1" si="2"/>
        <v>#NAME?</v>
      </c>
    </row>
    <row r="415" spans="4:6" ht="12.75">
      <c r="D415" s="1" t="str">
        <f ca="1">IFERROR(__xludf.DUMMYFUNCTION("iferror(SPLIT(C415,""=""))"),"")</f>
        <v/>
      </c>
      <c r="F415" s="1" t="e">
        <f t="shared" ca="1" si="2"/>
        <v>#NAME?</v>
      </c>
    </row>
    <row r="416" spans="4:6" ht="12.75">
      <c r="D416" s="1" t="str">
        <f ca="1">IFERROR(__xludf.DUMMYFUNCTION("iferror(SPLIT(C416,""=""))"),"")</f>
        <v/>
      </c>
      <c r="F416" s="1" t="e">
        <f t="shared" ca="1" si="2"/>
        <v>#NAME?</v>
      </c>
    </row>
    <row r="417" spans="4:6" ht="12.75">
      <c r="D417" s="1" t="str">
        <f ca="1">IFERROR(__xludf.DUMMYFUNCTION("iferror(SPLIT(C417,""=""))"),"")</f>
        <v/>
      </c>
      <c r="F417" s="1" t="e">
        <f t="shared" ca="1" si="2"/>
        <v>#NAME?</v>
      </c>
    </row>
    <row r="418" spans="4:6" ht="12.75">
      <c r="D418" s="1" t="str">
        <f ca="1">IFERROR(__xludf.DUMMYFUNCTION("iferror(SPLIT(C418,""=""))"),"")</f>
        <v/>
      </c>
      <c r="F418" s="1" t="e">
        <f t="shared" ca="1" si="2"/>
        <v>#NAME?</v>
      </c>
    </row>
    <row r="419" spans="4:6" ht="12.75">
      <c r="D419" s="1" t="str">
        <f ca="1">IFERROR(__xludf.DUMMYFUNCTION("iferror(SPLIT(C419,""=""))"),"")</f>
        <v/>
      </c>
      <c r="F419" s="1" t="e">
        <f t="shared" ca="1" si="2"/>
        <v>#NAME?</v>
      </c>
    </row>
    <row r="420" spans="4:6" ht="12.75">
      <c r="D420" s="1" t="str">
        <f ca="1">IFERROR(__xludf.DUMMYFUNCTION("iferror(SPLIT(C420,""=""))"),"")</f>
        <v/>
      </c>
      <c r="F420" s="1" t="e">
        <f t="shared" ca="1" si="2"/>
        <v>#NAME?</v>
      </c>
    </row>
    <row r="421" spans="4:6" ht="12.75">
      <c r="D421" s="1" t="str">
        <f ca="1">IFERROR(__xludf.DUMMYFUNCTION("iferror(SPLIT(C421,""=""))"),"")</f>
        <v/>
      </c>
      <c r="F421" s="1" t="e">
        <f t="shared" ca="1" si="2"/>
        <v>#NAME?</v>
      </c>
    </row>
    <row r="422" spans="4:6" ht="12.75">
      <c r="D422" s="1" t="str">
        <f ca="1">IFERROR(__xludf.DUMMYFUNCTION("iferror(SPLIT(C422,""=""))"),"")</f>
        <v/>
      </c>
      <c r="F422" s="1" t="e">
        <f t="shared" ca="1" si="2"/>
        <v>#NAME?</v>
      </c>
    </row>
    <row r="423" spans="4:6" ht="12.75">
      <c r="D423" s="1" t="str">
        <f ca="1">IFERROR(__xludf.DUMMYFUNCTION("iferror(SPLIT(C423,""=""))"),"")</f>
        <v/>
      </c>
      <c r="F423" s="1" t="e">
        <f t="shared" ca="1" si="2"/>
        <v>#NAME?</v>
      </c>
    </row>
    <row r="424" spans="4:6" ht="12.75">
      <c r="D424" s="1" t="str">
        <f ca="1">IFERROR(__xludf.DUMMYFUNCTION("iferror(SPLIT(C424,""=""))"),"")</f>
        <v/>
      </c>
      <c r="F424" s="1" t="e">
        <f t="shared" ca="1" si="2"/>
        <v>#NAME?</v>
      </c>
    </row>
    <row r="425" spans="4:6" ht="12.75">
      <c r="D425" s="1" t="str">
        <f ca="1">IFERROR(__xludf.DUMMYFUNCTION("iferror(SPLIT(C425,""=""))"),"")</f>
        <v/>
      </c>
      <c r="F425" s="1" t="e">
        <f t="shared" ca="1" si="2"/>
        <v>#NAME?</v>
      </c>
    </row>
    <row r="426" spans="4:6" ht="12.75">
      <c r="D426" s="1" t="str">
        <f ca="1">IFERROR(__xludf.DUMMYFUNCTION("iferror(SPLIT(C426,""=""))"),"")</f>
        <v/>
      </c>
      <c r="F426" s="1" t="e">
        <f t="shared" ca="1" si="2"/>
        <v>#NAME?</v>
      </c>
    </row>
    <row r="427" spans="4:6" ht="12.75">
      <c r="D427" s="1" t="str">
        <f ca="1">IFERROR(__xludf.DUMMYFUNCTION("iferror(SPLIT(C427,""=""))"),"")</f>
        <v/>
      </c>
      <c r="F427" s="1" t="e">
        <f t="shared" ca="1" si="2"/>
        <v>#NAME?</v>
      </c>
    </row>
    <row r="428" spans="4:6" ht="12.75">
      <c r="D428" s="1" t="str">
        <f ca="1">IFERROR(__xludf.DUMMYFUNCTION("iferror(SPLIT(C428,""=""))"),"")</f>
        <v/>
      </c>
      <c r="F428" s="1" t="e">
        <f t="shared" ca="1" si="2"/>
        <v>#NAME?</v>
      </c>
    </row>
    <row r="429" spans="4:6" ht="12.75">
      <c r="D429" s="1" t="str">
        <f ca="1">IFERROR(__xludf.DUMMYFUNCTION("iferror(SPLIT(C429,""=""))"),"")</f>
        <v/>
      </c>
      <c r="F429" s="1" t="e">
        <f t="shared" ca="1" si="2"/>
        <v>#NAME?</v>
      </c>
    </row>
    <row r="430" spans="4:6" ht="12.75">
      <c r="D430" s="1" t="str">
        <f ca="1">IFERROR(__xludf.DUMMYFUNCTION("iferror(SPLIT(C430,""=""))"),"")</f>
        <v/>
      </c>
      <c r="F430" s="1" t="e">
        <f t="shared" ca="1" si="2"/>
        <v>#NAME?</v>
      </c>
    </row>
    <row r="431" spans="4:6" ht="12.75">
      <c r="D431" s="1" t="str">
        <f ca="1">IFERROR(__xludf.DUMMYFUNCTION("iferror(SPLIT(C431,""=""))"),"")</f>
        <v/>
      </c>
      <c r="F431" s="1" t="e">
        <f t="shared" ca="1" si="2"/>
        <v>#NAME?</v>
      </c>
    </row>
    <row r="432" spans="4:6" ht="12.75">
      <c r="D432" s="1" t="str">
        <f ca="1">IFERROR(__xludf.DUMMYFUNCTION("iferror(SPLIT(C432,""=""))"),"")</f>
        <v/>
      </c>
      <c r="F432" s="1" t="e">
        <f t="shared" ca="1" si="2"/>
        <v>#NAME?</v>
      </c>
    </row>
    <row r="433" spans="4:6" ht="12.75">
      <c r="D433" s="1" t="str">
        <f ca="1">IFERROR(__xludf.DUMMYFUNCTION("iferror(SPLIT(C433,""=""))"),"")</f>
        <v/>
      </c>
      <c r="F433" s="1" t="e">
        <f t="shared" ca="1" si="2"/>
        <v>#NAME?</v>
      </c>
    </row>
    <row r="434" spans="4:6" ht="12.75">
      <c r="D434" s="1" t="str">
        <f ca="1">IFERROR(__xludf.DUMMYFUNCTION("iferror(SPLIT(C434,""=""))"),"")</f>
        <v/>
      </c>
      <c r="F434" s="1" t="e">
        <f t="shared" ca="1" si="2"/>
        <v>#NAME?</v>
      </c>
    </row>
    <row r="435" spans="4:6" ht="12.75">
      <c r="D435" s="1" t="str">
        <f ca="1">IFERROR(__xludf.DUMMYFUNCTION("iferror(SPLIT(C435,""=""))"),"")</f>
        <v/>
      </c>
      <c r="F435" s="1" t="e">
        <f t="shared" ca="1" si="2"/>
        <v>#NAME?</v>
      </c>
    </row>
    <row r="436" spans="4:6" ht="12.75">
      <c r="D436" s="1" t="str">
        <f ca="1">IFERROR(__xludf.DUMMYFUNCTION("iferror(SPLIT(C436,""=""))"),"")</f>
        <v/>
      </c>
      <c r="F436" s="1" t="e">
        <f t="shared" ca="1" si="2"/>
        <v>#NAME?</v>
      </c>
    </row>
    <row r="437" spans="4:6" ht="12.75">
      <c r="D437" s="1" t="str">
        <f ca="1">IFERROR(__xludf.DUMMYFUNCTION("iferror(SPLIT(C437,""=""))"),"")</f>
        <v/>
      </c>
      <c r="F437" s="1" t="e">
        <f t="shared" ca="1" si="2"/>
        <v>#NAME?</v>
      </c>
    </row>
    <row r="438" spans="4:6" ht="12.75">
      <c r="D438" s="1" t="str">
        <f ca="1">IFERROR(__xludf.DUMMYFUNCTION("iferror(SPLIT(C438,""=""))"),"")</f>
        <v/>
      </c>
      <c r="F438" s="1" t="e">
        <f t="shared" ca="1" si="2"/>
        <v>#NAME?</v>
      </c>
    </row>
    <row r="439" spans="4:6" ht="12.75">
      <c r="D439" s="1" t="str">
        <f ca="1">IFERROR(__xludf.DUMMYFUNCTION("iferror(SPLIT(C439,""=""))"),"")</f>
        <v/>
      </c>
      <c r="F439" s="1" t="e">
        <f t="shared" ca="1" si="2"/>
        <v>#NAME?</v>
      </c>
    </row>
    <row r="440" spans="4:6" ht="12.75">
      <c r="D440" s="1" t="str">
        <f ca="1">IFERROR(__xludf.DUMMYFUNCTION("iferror(SPLIT(C440,""=""))"),"")</f>
        <v/>
      </c>
      <c r="F440" s="1" t="e">
        <f t="shared" ca="1" si="2"/>
        <v>#NAME?</v>
      </c>
    </row>
    <row r="441" spans="4:6" ht="12.75">
      <c r="D441" s="1" t="str">
        <f ca="1">IFERROR(__xludf.DUMMYFUNCTION("iferror(SPLIT(C441,""=""))"),"")</f>
        <v/>
      </c>
      <c r="F441" s="1" t="e">
        <f t="shared" ca="1" si="2"/>
        <v>#NAME?</v>
      </c>
    </row>
    <row r="442" spans="4:6" ht="12.75">
      <c r="D442" s="1" t="str">
        <f ca="1">IFERROR(__xludf.DUMMYFUNCTION("iferror(SPLIT(C442,""=""))"),"")</f>
        <v/>
      </c>
      <c r="F442" s="1" t="e">
        <f t="shared" ca="1" si="2"/>
        <v>#NAME?</v>
      </c>
    </row>
    <row r="443" spans="4:6" ht="12.75">
      <c r="D443" s="1" t="str">
        <f ca="1">IFERROR(__xludf.DUMMYFUNCTION("iferror(SPLIT(C443,""=""))"),"")</f>
        <v/>
      </c>
      <c r="F443" s="1" t="e">
        <f t="shared" ca="1" si="2"/>
        <v>#NAME?</v>
      </c>
    </row>
    <row r="444" spans="4:6" ht="12.75">
      <c r="D444" s="1" t="str">
        <f ca="1">IFERROR(__xludf.DUMMYFUNCTION("iferror(SPLIT(C444,""=""))"),"")</f>
        <v/>
      </c>
      <c r="F444" s="1" t="e">
        <f t="shared" ca="1" si="2"/>
        <v>#NAME?</v>
      </c>
    </row>
    <row r="445" spans="4:6" ht="12.75">
      <c r="D445" s="1" t="str">
        <f ca="1">IFERROR(__xludf.DUMMYFUNCTION("iferror(SPLIT(C445,""=""))"),"")</f>
        <v/>
      </c>
      <c r="F445" s="1" t="e">
        <f t="shared" ca="1" si="2"/>
        <v>#NAME?</v>
      </c>
    </row>
    <row r="446" spans="4:6" ht="12.75">
      <c r="D446" s="1" t="str">
        <f ca="1">IFERROR(__xludf.DUMMYFUNCTION("iferror(SPLIT(C446,""=""))"),"")</f>
        <v/>
      </c>
      <c r="F446" s="1" t="e">
        <f t="shared" ca="1" si="2"/>
        <v>#NAME?</v>
      </c>
    </row>
    <row r="447" spans="4:6" ht="12.75">
      <c r="D447" s="1" t="str">
        <f ca="1">IFERROR(__xludf.DUMMYFUNCTION("iferror(SPLIT(C447,""=""))"),"")</f>
        <v/>
      </c>
      <c r="F447" s="1" t="e">
        <f t="shared" ca="1" si="2"/>
        <v>#NAME?</v>
      </c>
    </row>
    <row r="448" spans="4:6" ht="12.75">
      <c r="D448" s="1" t="str">
        <f ca="1">IFERROR(__xludf.DUMMYFUNCTION("iferror(SPLIT(C448,""=""))"),"")</f>
        <v/>
      </c>
      <c r="F448" s="1" t="e">
        <f t="shared" ca="1" si="2"/>
        <v>#NAME?</v>
      </c>
    </row>
    <row r="449" spans="4:6" ht="12.75">
      <c r="D449" s="1" t="str">
        <f ca="1">IFERROR(__xludf.DUMMYFUNCTION("iferror(SPLIT(C449,""=""))"),"")</f>
        <v/>
      </c>
      <c r="F449" s="1" t="e">
        <f t="shared" ca="1" si="2"/>
        <v>#NAME?</v>
      </c>
    </row>
    <row r="450" spans="4:6" ht="12.75">
      <c r="D450" s="1" t="str">
        <f ca="1">IFERROR(__xludf.DUMMYFUNCTION("iferror(SPLIT(C450,""=""))"),"")</f>
        <v/>
      </c>
      <c r="F450" s="1" t="e">
        <f t="shared" ca="1" si="2"/>
        <v>#NAME?</v>
      </c>
    </row>
    <row r="451" spans="4:6" ht="12.75">
      <c r="D451" s="1" t="str">
        <f ca="1">IFERROR(__xludf.DUMMYFUNCTION("iferror(SPLIT(C451,""=""))"),"")</f>
        <v/>
      </c>
      <c r="F451" s="1" t="e">
        <f t="shared" ca="1" si="2"/>
        <v>#NAME?</v>
      </c>
    </row>
    <row r="452" spans="4:6" ht="12.75">
      <c r="D452" s="1" t="str">
        <f ca="1">IFERROR(__xludf.DUMMYFUNCTION("iferror(SPLIT(C452,""=""))"),"")</f>
        <v/>
      </c>
      <c r="F452" s="1" t="e">
        <f t="shared" ca="1" si="2"/>
        <v>#NAME?</v>
      </c>
    </row>
    <row r="453" spans="4:6" ht="12.75">
      <c r="D453" s="1" t="str">
        <f ca="1">IFERROR(__xludf.DUMMYFUNCTION("iferror(SPLIT(C453,""=""))"),"")</f>
        <v/>
      </c>
      <c r="F453" s="1" t="e">
        <f t="shared" ca="1" si="2"/>
        <v>#NAME?</v>
      </c>
    </row>
    <row r="454" spans="4:6" ht="12.75">
      <c r="D454" s="1" t="str">
        <f ca="1">IFERROR(__xludf.DUMMYFUNCTION("iferror(SPLIT(C454,""=""))"),"")</f>
        <v/>
      </c>
      <c r="F454" s="1" t="e">
        <f t="shared" ca="1" si="2"/>
        <v>#NAME?</v>
      </c>
    </row>
    <row r="455" spans="4:6" ht="12.75">
      <c r="D455" s="1" t="str">
        <f ca="1">IFERROR(__xludf.DUMMYFUNCTION("iferror(SPLIT(C455,""=""))"),"")</f>
        <v/>
      </c>
      <c r="F455" s="1" t="e">
        <f t="shared" ca="1" si="2"/>
        <v>#NAME?</v>
      </c>
    </row>
    <row r="456" spans="4:6" ht="12.75">
      <c r="D456" s="1" t="str">
        <f ca="1">IFERROR(__xludf.DUMMYFUNCTION("iferror(SPLIT(C456,""=""))"),"")</f>
        <v/>
      </c>
      <c r="F456" s="1" t="e">
        <f t="shared" ca="1" si="2"/>
        <v>#NAME?</v>
      </c>
    </row>
    <row r="457" spans="4:6" ht="12.75">
      <c r="D457" s="1" t="str">
        <f ca="1">IFERROR(__xludf.DUMMYFUNCTION("iferror(SPLIT(C457,""=""))"),"")</f>
        <v/>
      </c>
      <c r="F457" s="1" t="e">
        <f t="shared" ca="1" si="2"/>
        <v>#NAME?</v>
      </c>
    </row>
    <row r="458" spans="4:6" ht="12.75">
      <c r="D458" s="1" t="str">
        <f ca="1">IFERROR(__xludf.DUMMYFUNCTION("iferror(SPLIT(C458,""=""))"),"")</f>
        <v/>
      </c>
      <c r="F458" s="1" t="e">
        <f t="shared" ca="1" si="2"/>
        <v>#NAME?</v>
      </c>
    </row>
    <row r="459" spans="4:6" ht="12.75">
      <c r="D459" s="1" t="str">
        <f ca="1">IFERROR(__xludf.DUMMYFUNCTION("iferror(SPLIT(C459,""=""))"),"")</f>
        <v/>
      </c>
      <c r="F459" s="1" t="e">
        <f t="shared" ca="1" si="2"/>
        <v>#NAME?</v>
      </c>
    </row>
    <row r="460" spans="4:6" ht="12.75">
      <c r="D460" s="1" t="str">
        <f ca="1">IFERROR(__xludf.DUMMYFUNCTION("iferror(SPLIT(C460,""=""))"),"")</f>
        <v/>
      </c>
      <c r="F460" s="1" t="e">
        <f t="shared" ca="1" si="2"/>
        <v>#NAME?</v>
      </c>
    </row>
    <row r="461" spans="4:6" ht="12.75">
      <c r="D461" s="1" t="str">
        <f ca="1">IFERROR(__xludf.DUMMYFUNCTION("iferror(SPLIT(C461,""=""))"),"")</f>
        <v/>
      </c>
      <c r="F461" s="1" t="e">
        <f t="shared" ca="1" si="2"/>
        <v>#NAME?</v>
      </c>
    </row>
    <row r="462" spans="4:6" ht="12.75">
      <c r="D462" s="1" t="str">
        <f ca="1">IFERROR(__xludf.DUMMYFUNCTION("iferror(SPLIT(C462,""=""))"),"")</f>
        <v/>
      </c>
      <c r="F462" s="1" t="e">
        <f t="shared" ca="1" si="2"/>
        <v>#NAME?</v>
      </c>
    </row>
    <row r="463" spans="4:6" ht="12.75">
      <c r="D463" s="1" t="str">
        <f ca="1">IFERROR(__xludf.DUMMYFUNCTION("iferror(SPLIT(C463,""=""))"),"")</f>
        <v/>
      </c>
      <c r="F463" s="1" t="e">
        <f t="shared" ca="1" si="2"/>
        <v>#NAME?</v>
      </c>
    </row>
    <row r="464" spans="4:6" ht="12.75">
      <c r="D464" s="1" t="str">
        <f ca="1">IFERROR(__xludf.DUMMYFUNCTION("iferror(SPLIT(C464,""=""))"),"")</f>
        <v/>
      </c>
      <c r="F464" s="1" t="e">
        <f t="shared" ca="1" si="2"/>
        <v>#NAME?</v>
      </c>
    </row>
    <row r="465" spans="4:6" ht="12.75">
      <c r="D465" s="1" t="str">
        <f ca="1">IFERROR(__xludf.DUMMYFUNCTION("iferror(SPLIT(C465,""=""))"),"")</f>
        <v/>
      </c>
      <c r="F465" s="1" t="e">
        <f t="shared" ca="1" si="2"/>
        <v>#NAME?</v>
      </c>
    </row>
    <row r="466" spans="4:6" ht="12.75">
      <c r="D466" s="1" t="str">
        <f ca="1">IFERROR(__xludf.DUMMYFUNCTION("iferror(SPLIT(C466,""=""))"),"")</f>
        <v/>
      </c>
      <c r="F466" s="1" t="e">
        <f t="shared" ca="1" si="2"/>
        <v>#NAME?</v>
      </c>
    </row>
    <row r="467" spans="4:6" ht="12.75">
      <c r="D467" s="1" t="str">
        <f ca="1">IFERROR(__xludf.DUMMYFUNCTION("iferror(SPLIT(C467,""=""))"),"")</f>
        <v/>
      </c>
      <c r="F467" s="1" t="e">
        <f t="shared" ca="1" si="2"/>
        <v>#NAME?</v>
      </c>
    </row>
    <row r="468" spans="4:6" ht="12.75">
      <c r="D468" s="1" t="str">
        <f ca="1">IFERROR(__xludf.DUMMYFUNCTION("iferror(SPLIT(C468,""=""))"),"")</f>
        <v/>
      </c>
      <c r="F468" s="1" t="e">
        <f t="shared" ca="1" si="2"/>
        <v>#NAME?</v>
      </c>
    </row>
    <row r="469" spans="4:6" ht="12.75">
      <c r="D469" s="1" t="str">
        <f ca="1">IFERROR(__xludf.DUMMYFUNCTION("iferror(SPLIT(C469,""=""))"),"")</f>
        <v/>
      </c>
      <c r="F469" s="1" t="e">
        <f t="shared" ca="1" si="2"/>
        <v>#NAME?</v>
      </c>
    </row>
    <row r="470" spans="4:6" ht="12.75">
      <c r="D470" s="1" t="str">
        <f ca="1">IFERROR(__xludf.DUMMYFUNCTION("iferror(SPLIT(C470,""=""))"),"")</f>
        <v/>
      </c>
      <c r="F470" s="1" t="e">
        <f t="shared" ca="1" si="2"/>
        <v>#NAME?</v>
      </c>
    </row>
    <row r="471" spans="4:6" ht="12.75">
      <c r="D471" s="1" t="str">
        <f ca="1">IFERROR(__xludf.DUMMYFUNCTION("iferror(SPLIT(C471,""=""))"),"")</f>
        <v/>
      </c>
      <c r="F471" s="1" t="e">
        <f t="shared" ca="1" si="2"/>
        <v>#NAME?</v>
      </c>
    </row>
    <row r="472" spans="4:6" ht="12.75">
      <c r="D472" s="1" t="str">
        <f ca="1">IFERROR(__xludf.DUMMYFUNCTION("iferror(SPLIT(C472,""=""))"),"")</f>
        <v/>
      </c>
      <c r="F472" s="1" t="e">
        <f t="shared" ca="1" si="2"/>
        <v>#NAME?</v>
      </c>
    </row>
    <row r="473" spans="4:6" ht="12.75">
      <c r="D473" s="1" t="str">
        <f ca="1">IFERROR(__xludf.DUMMYFUNCTION("iferror(SPLIT(C473,""=""))"),"")</f>
        <v/>
      </c>
      <c r="F473" s="1" t="e">
        <f t="shared" ca="1" si="2"/>
        <v>#NAME?</v>
      </c>
    </row>
    <row r="474" spans="4:6" ht="12.75">
      <c r="D474" s="1" t="str">
        <f ca="1">IFERROR(__xludf.DUMMYFUNCTION("iferror(SPLIT(C474,""=""))"),"")</f>
        <v/>
      </c>
      <c r="F474" s="1" t="e">
        <f t="shared" ca="1" si="2"/>
        <v>#NAME?</v>
      </c>
    </row>
    <row r="475" spans="4:6" ht="12.75">
      <c r="D475" s="1" t="str">
        <f ca="1">IFERROR(__xludf.DUMMYFUNCTION("iferror(SPLIT(C475,""=""))"),"")</f>
        <v/>
      </c>
      <c r="F475" s="1" t="e">
        <f t="shared" ca="1" si="2"/>
        <v>#NAME?</v>
      </c>
    </row>
    <row r="476" spans="4:6" ht="12.75">
      <c r="D476" s="1" t="str">
        <f ca="1">IFERROR(__xludf.DUMMYFUNCTION("iferror(SPLIT(C476,""=""))"),"")</f>
        <v/>
      </c>
      <c r="F476" s="1" t="e">
        <f t="shared" ca="1" si="2"/>
        <v>#NAME?</v>
      </c>
    </row>
    <row r="477" spans="4:6" ht="12.75">
      <c r="D477" s="1" t="str">
        <f ca="1">IFERROR(__xludf.DUMMYFUNCTION("iferror(SPLIT(C477,""=""))"),"")</f>
        <v/>
      </c>
      <c r="F477" s="1" t="e">
        <f t="shared" ca="1" si="2"/>
        <v>#NAME?</v>
      </c>
    </row>
    <row r="478" spans="4:6" ht="12.75">
      <c r="D478" s="1" t="str">
        <f ca="1">IFERROR(__xludf.DUMMYFUNCTION("iferror(SPLIT(C478,""=""))"),"")</f>
        <v/>
      </c>
      <c r="F478" s="1" t="e">
        <f t="shared" ca="1" si="2"/>
        <v>#NAME?</v>
      </c>
    </row>
    <row r="479" spans="4:6" ht="12.75">
      <c r="D479" s="1" t="str">
        <f ca="1">IFERROR(__xludf.DUMMYFUNCTION("iferror(SPLIT(C479,""=""))"),"")</f>
        <v/>
      </c>
      <c r="F479" s="1" t="e">
        <f t="shared" ca="1" si="2"/>
        <v>#NAME?</v>
      </c>
    </row>
    <row r="480" spans="4:6" ht="12.75">
      <c r="D480" s="1" t="str">
        <f ca="1">IFERROR(__xludf.DUMMYFUNCTION("iferror(SPLIT(C480,""=""))"),"")</f>
        <v/>
      </c>
      <c r="F480" s="1" t="e">
        <f t="shared" ca="1" si="2"/>
        <v>#NAME?</v>
      </c>
    </row>
    <row r="481" spans="4:6" ht="12.75">
      <c r="D481" s="1" t="str">
        <f ca="1">IFERROR(__xludf.DUMMYFUNCTION("iferror(SPLIT(C481,""=""))"),"")</f>
        <v/>
      </c>
      <c r="F481" s="1" t="e">
        <f t="shared" ca="1" si="2"/>
        <v>#NAME?</v>
      </c>
    </row>
    <row r="482" spans="4:6" ht="12.75">
      <c r="D482" s="1" t="str">
        <f ca="1">IFERROR(__xludf.DUMMYFUNCTION("iferror(SPLIT(C482,""=""))"),"")</f>
        <v/>
      </c>
      <c r="F482" s="1" t="e">
        <f t="shared" ca="1" si="2"/>
        <v>#NAME?</v>
      </c>
    </row>
    <row r="483" spans="4:6" ht="12.75">
      <c r="D483" s="1" t="str">
        <f ca="1">IFERROR(__xludf.DUMMYFUNCTION("iferror(SPLIT(C483,""=""))"),"")</f>
        <v/>
      </c>
      <c r="F483" s="1" t="e">
        <f t="shared" ca="1" si="2"/>
        <v>#NAME?</v>
      </c>
    </row>
    <row r="484" spans="4:6" ht="12.75">
      <c r="D484" s="1" t="str">
        <f ca="1">IFERROR(__xludf.DUMMYFUNCTION("iferror(SPLIT(C484,""=""))"),"")</f>
        <v/>
      </c>
      <c r="F484" s="1" t="e">
        <f t="shared" ca="1" si="2"/>
        <v>#NAME?</v>
      </c>
    </row>
    <row r="485" spans="4:6" ht="12.75">
      <c r="D485" s="1" t="str">
        <f ca="1">IFERROR(__xludf.DUMMYFUNCTION("iferror(SPLIT(C485,""=""))"),"")</f>
        <v/>
      </c>
      <c r="F485" s="1" t="e">
        <f t="shared" ca="1" si="2"/>
        <v>#NAME?</v>
      </c>
    </row>
    <row r="486" spans="4:6" ht="12.75">
      <c r="D486" s="1" t="str">
        <f ca="1">IFERROR(__xludf.DUMMYFUNCTION("iferror(SPLIT(C486,""=""))"),"")</f>
        <v/>
      </c>
      <c r="F486" s="1" t="e">
        <f t="shared" ca="1" si="2"/>
        <v>#NAME?</v>
      </c>
    </row>
    <row r="487" spans="4:6" ht="12.75">
      <c r="D487" s="1" t="str">
        <f ca="1">IFERROR(__xludf.DUMMYFUNCTION("iferror(SPLIT(C487,""=""))"),"")</f>
        <v/>
      </c>
      <c r="F487" s="1" t="e">
        <f t="shared" ca="1" si="2"/>
        <v>#NAME?</v>
      </c>
    </row>
    <row r="488" spans="4:6" ht="12.75">
      <c r="D488" s="1" t="str">
        <f ca="1">IFERROR(__xludf.DUMMYFUNCTION("iferror(SPLIT(C488,""=""))"),"")</f>
        <v/>
      </c>
      <c r="F488" s="1" t="e">
        <f t="shared" ca="1" si="2"/>
        <v>#NAME?</v>
      </c>
    </row>
    <row r="489" spans="4:6" ht="12.75">
      <c r="D489" s="1" t="str">
        <f ca="1">IFERROR(__xludf.DUMMYFUNCTION("iferror(SPLIT(C489,""=""))"),"")</f>
        <v/>
      </c>
      <c r="F489" s="1" t="e">
        <f t="shared" ca="1" si="2"/>
        <v>#NAME?</v>
      </c>
    </row>
    <row r="490" spans="4:6" ht="12.75">
      <c r="D490" s="1" t="str">
        <f ca="1">IFERROR(__xludf.DUMMYFUNCTION("iferror(SPLIT(C490,""=""))"),"")</f>
        <v/>
      </c>
      <c r="F490" s="1" t="e">
        <f t="shared" ca="1" si="2"/>
        <v>#NAME?</v>
      </c>
    </row>
    <row r="491" spans="4:6" ht="12.75">
      <c r="D491" s="1" t="str">
        <f ca="1">IFERROR(__xludf.DUMMYFUNCTION("iferror(SPLIT(C491,""=""))"),"")</f>
        <v/>
      </c>
      <c r="F491" s="1" t="e">
        <f t="shared" ca="1" si="2"/>
        <v>#NAME?</v>
      </c>
    </row>
    <row r="492" spans="4:6" ht="12.75">
      <c r="D492" s="1" t="str">
        <f ca="1">IFERROR(__xludf.DUMMYFUNCTION("iferror(SPLIT(C492,""=""))"),"")</f>
        <v/>
      </c>
      <c r="F492" s="1" t="e">
        <f t="shared" ca="1" si="2"/>
        <v>#NAME?</v>
      </c>
    </row>
    <row r="493" spans="4:6" ht="12.75">
      <c r="D493" s="1" t="str">
        <f ca="1">IFERROR(__xludf.DUMMYFUNCTION("iferror(SPLIT(C493,""=""))"),"")</f>
        <v/>
      </c>
      <c r="F493" s="1" t="e">
        <f t="shared" ca="1" si="2"/>
        <v>#NAME?</v>
      </c>
    </row>
    <row r="494" spans="4:6" ht="12.75">
      <c r="D494" s="1" t="str">
        <f ca="1">IFERROR(__xludf.DUMMYFUNCTION("iferror(SPLIT(C494,""=""))"),"")</f>
        <v/>
      </c>
      <c r="F494" s="1" t="e">
        <f t="shared" ca="1" si="2"/>
        <v>#NAME?</v>
      </c>
    </row>
    <row r="495" spans="4:6" ht="12.75">
      <c r="D495" s="1" t="str">
        <f ca="1">IFERROR(__xludf.DUMMYFUNCTION("iferror(SPLIT(C495,""=""))"),"")</f>
        <v/>
      </c>
      <c r="F495" s="1" t="e">
        <f t="shared" ca="1" si="2"/>
        <v>#NAME?</v>
      </c>
    </row>
    <row r="496" spans="4:6" ht="12.75">
      <c r="D496" s="1" t="str">
        <f ca="1">IFERROR(__xludf.DUMMYFUNCTION("iferror(SPLIT(C496,""=""))"),"")</f>
        <v/>
      </c>
      <c r="F496" s="1" t="e">
        <f t="shared" ca="1" si="2"/>
        <v>#NAME?</v>
      </c>
    </row>
    <row r="497" spans="4:6" ht="12.75">
      <c r="D497" s="1" t="str">
        <f ca="1">IFERROR(__xludf.DUMMYFUNCTION("iferror(SPLIT(C497,""=""))"),"")</f>
        <v/>
      </c>
      <c r="F497" s="1" t="e">
        <f t="shared" ca="1" si="2"/>
        <v>#NAME?</v>
      </c>
    </row>
    <row r="498" spans="4:6" ht="12.75">
      <c r="D498" s="1" t="str">
        <f ca="1">IFERROR(__xludf.DUMMYFUNCTION("iferror(SPLIT(C498,""=""))"),"")</f>
        <v/>
      </c>
      <c r="F498" s="1" t="e">
        <f t="shared" ca="1" si="2"/>
        <v>#NAME?</v>
      </c>
    </row>
    <row r="499" spans="4:6" ht="12.75">
      <c r="D499" s="1" t="str">
        <f ca="1">IFERROR(__xludf.DUMMYFUNCTION("iferror(SPLIT(C499,""=""))"),"")</f>
        <v/>
      </c>
      <c r="F499" s="1" t="e">
        <f t="shared" ca="1" si="2"/>
        <v>#NAME?</v>
      </c>
    </row>
    <row r="500" spans="4:6" ht="12.75">
      <c r="D500" s="1" t="str">
        <f ca="1">IFERROR(__xludf.DUMMYFUNCTION("iferror(SPLIT(C500,""=""))"),"")</f>
        <v/>
      </c>
      <c r="F500" s="1" t="e">
        <f t="shared" ca="1" si="2"/>
        <v>#NAME?</v>
      </c>
    </row>
    <row r="501" spans="4:6" ht="12.75">
      <c r="D501" s="1" t="str">
        <f ca="1">IFERROR(__xludf.DUMMYFUNCTION("iferror(SPLIT(C501,""=""))"),"")</f>
        <v/>
      </c>
      <c r="F501" s="1" t="e">
        <f t="shared" ca="1" si="2"/>
        <v>#NAME?</v>
      </c>
    </row>
    <row r="502" spans="4:6" ht="12.75">
      <c r="D502" s="1" t="str">
        <f ca="1">IFERROR(__xludf.DUMMYFUNCTION("iferror(SPLIT(C502,""=""))"),"")</f>
        <v/>
      </c>
      <c r="F502" s="1" t="e">
        <f t="shared" ca="1" si="2"/>
        <v>#NAME?</v>
      </c>
    </row>
    <row r="503" spans="4:6" ht="12.75">
      <c r="D503" s="1" t="str">
        <f ca="1">IFERROR(__xludf.DUMMYFUNCTION("iferror(SPLIT(C503,""=""))"),"")</f>
        <v/>
      </c>
      <c r="F503" s="1" t="e">
        <f t="shared" ca="1" si="2"/>
        <v>#NAME?</v>
      </c>
    </row>
    <row r="504" spans="4:6" ht="12.75">
      <c r="D504" s="1" t="str">
        <f ca="1">IFERROR(__xludf.DUMMYFUNCTION("iferror(SPLIT(C504,""=""))"),"")</f>
        <v/>
      </c>
      <c r="F504" s="1" t="e">
        <f t="shared" ca="1" si="2"/>
        <v>#NAME?</v>
      </c>
    </row>
    <row r="505" spans="4:6" ht="12.75">
      <c r="D505" s="1" t="str">
        <f ca="1">IFERROR(__xludf.DUMMYFUNCTION("iferror(SPLIT(C505,""=""))"),"")</f>
        <v/>
      </c>
      <c r="F505" s="1" t="e">
        <f t="shared" ca="1" si="2"/>
        <v>#NAME?</v>
      </c>
    </row>
    <row r="506" spans="4:6" ht="12.75">
      <c r="D506" s="1" t="str">
        <f ca="1">IFERROR(__xludf.DUMMYFUNCTION("iferror(SPLIT(C506,""=""))"),"")</f>
        <v/>
      </c>
      <c r="F506" s="1" t="e">
        <f t="shared" ca="1" si="2"/>
        <v>#NAME?</v>
      </c>
    </row>
    <row r="507" spans="4:6" ht="12.75">
      <c r="D507" s="1" t="str">
        <f ca="1">IFERROR(__xludf.DUMMYFUNCTION("iferror(SPLIT(C507,""=""))"),"")</f>
        <v/>
      </c>
      <c r="F507" s="1" t="e">
        <f t="shared" ca="1" si="2"/>
        <v>#NAME?</v>
      </c>
    </row>
    <row r="508" spans="4:6" ht="12.75">
      <c r="D508" s="1" t="str">
        <f ca="1">IFERROR(__xludf.DUMMYFUNCTION("iferror(SPLIT(C508,""=""))"),"")</f>
        <v/>
      </c>
      <c r="F508" s="1" t="e">
        <f t="shared" ca="1" si="2"/>
        <v>#NAME?</v>
      </c>
    </row>
    <row r="509" spans="4:6" ht="12.75">
      <c r="D509" s="1" t="str">
        <f ca="1">IFERROR(__xludf.DUMMYFUNCTION("iferror(SPLIT(C509,""=""))"),"")</f>
        <v/>
      </c>
      <c r="F509" s="1" t="e">
        <f t="shared" ca="1" si="2"/>
        <v>#NAME?</v>
      </c>
    </row>
    <row r="510" spans="4:6" ht="12.75">
      <c r="D510" s="1" t="str">
        <f ca="1">IFERROR(__xludf.DUMMYFUNCTION("iferror(SPLIT(C510,""=""))"),"")</f>
        <v/>
      </c>
      <c r="F510" s="1" t="e">
        <f t="shared" ca="1" si="2"/>
        <v>#NAME?</v>
      </c>
    </row>
    <row r="511" spans="4:6" ht="12.75">
      <c r="D511" s="1" t="str">
        <f ca="1">IFERROR(__xludf.DUMMYFUNCTION("iferror(SPLIT(C511,""=""))"),"")</f>
        <v/>
      </c>
      <c r="F511" s="1" t="e">
        <f t="shared" ca="1" si="2"/>
        <v>#NAME?</v>
      </c>
    </row>
    <row r="512" spans="4:6" ht="12.75">
      <c r="D512" s="1" t="str">
        <f ca="1">IFERROR(__xludf.DUMMYFUNCTION("iferror(SPLIT(C512,""=""))"),"")</f>
        <v/>
      </c>
      <c r="F512" s="1" t="e">
        <f t="shared" ca="1" si="2"/>
        <v>#NAME?</v>
      </c>
    </row>
    <row r="513" spans="4:6" ht="12.75">
      <c r="D513" s="1" t="str">
        <f ca="1">IFERROR(__xludf.DUMMYFUNCTION("iferror(SPLIT(C513,""=""))"),"")</f>
        <v/>
      </c>
      <c r="F513" s="1" t="e">
        <f t="shared" ca="1" si="2"/>
        <v>#NAME?</v>
      </c>
    </row>
    <row r="514" spans="4:6" ht="12.75">
      <c r="D514" s="1" t="str">
        <f ca="1">IFERROR(__xludf.DUMMYFUNCTION("iferror(SPLIT(C514,""=""))"),"")</f>
        <v/>
      </c>
      <c r="F514" s="1" t="e">
        <f t="shared" ca="1" si="2"/>
        <v>#NAME?</v>
      </c>
    </row>
    <row r="515" spans="4:6" ht="12.75">
      <c r="D515" s="1" t="str">
        <f ca="1">IFERROR(__xludf.DUMMYFUNCTION("iferror(SPLIT(C515,""=""))"),"")</f>
        <v/>
      </c>
      <c r="F515" s="1" t="e">
        <f t="shared" ca="1" si="2"/>
        <v>#NAME?</v>
      </c>
    </row>
    <row r="516" spans="4:6" ht="12.75">
      <c r="D516" s="1" t="str">
        <f ca="1">IFERROR(__xludf.DUMMYFUNCTION("iferror(SPLIT(C516,""=""))"),"")</f>
        <v/>
      </c>
      <c r="F516" s="1" t="e">
        <f t="shared" ca="1" si="2"/>
        <v>#NAME?</v>
      </c>
    </row>
    <row r="517" spans="4:6" ht="12.75">
      <c r="D517" s="1" t="str">
        <f ca="1">IFERROR(__xludf.DUMMYFUNCTION("iferror(SPLIT(C517,""=""))"),"")</f>
        <v/>
      </c>
      <c r="F517" s="1" t="e">
        <f t="shared" ca="1" si="2"/>
        <v>#NAME?</v>
      </c>
    </row>
    <row r="518" spans="4:6" ht="12.75">
      <c r="D518" s="1" t="str">
        <f ca="1">IFERROR(__xludf.DUMMYFUNCTION("iferror(SPLIT(C518,""=""))"),"")</f>
        <v/>
      </c>
      <c r="F518" s="1" t="e">
        <f t="shared" ca="1" si="2"/>
        <v>#NAME?</v>
      </c>
    </row>
    <row r="519" spans="4:6" ht="12.75">
      <c r="D519" s="1" t="str">
        <f ca="1">IFERROR(__xludf.DUMMYFUNCTION("iferror(SPLIT(C519,""=""))"),"")</f>
        <v/>
      </c>
      <c r="F519" s="1" t="e">
        <f t="shared" ref="F519:F773" ca="1" si="3">IMAGE($F$1&amp;E519)</f>
        <v>#NAME?</v>
      </c>
    </row>
    <row r="520" spans="4:6" ht="12.75">
      <c r="D520" s="1" t="str">
        <f ca="1">IFERROR(__xludf.DUMMYFUNCTION("iferror(SPLIT(C520,""=""))"),"")</f>
        <v/>
      </c>
      <c r="F520" s="1" t="e">
        <f t="shared" ca="1" si="3"/>
        <v>#NAME?</v>
      </c>
    </row>
    <row r="521" spans="4:6" ht="12.75">
      <c r="D521" s="1" t="str">
        <f ca="1">IFERROR(__xludf.DUMMYFUNCTION("iferror(SPLIT(C521,""=""))"),"")</f>
        <v/>
      </c>
      <c r="F521" s="1" t="e">
        <f t="shared" ca="1" si="3"/>
        <v>#NAME?</v>
      </c>
    </row>
    <row r="522" spans="4:6" ht="12.75">
      <c r="D522" s="1" t="str">
        <f ca="1">IFERROR(__xludf.DUMMYFUNCTION("iferror(SPLIT(C522,""=""))"),"")</f>
        <v/>
      </c>
      <c r="F522" s="1" t="e">
        <f t="shared" ca="1" si="3"/>
        <v>#NAME?</v>
      </c>
    </row>
    <row r="523" spans="4:6" ht="12.75">
      <c r="D523" s="1" t="str">
        <f ca="1">IFERROR(__xludf.DUMMYFUNCTION("iferror(SPLIT(C523,""=""))"),"")</f>
        <v/>
      </c>
      <c r="F523" s="1" t="e">
        <f t="shared" ca="1" si="3"/>
        <v>#NAME?</v>
      </c>
    </row>
    <row r="524" spans="4:6" ht="12.75">
      <c r="D524" s="1" t="str">
        <f ca="1">IFERROR(__xludf.DUMMYFUNCTION("iferror(SPLIT(C524,""=""))"),"")</f>
        <v/>
      </c>
      <c r="F524" s="1" t="e">
        <f t="shared" ca="1" si="3"/>
        <v>#NAME?</v>
      </c>
    </row>
    <row r="525" spans="4:6" ht="12.75">
      <c r="D525" s="1" t="str">
        <f ca="1">IFERROR(__xludf.DUMMYFUNCTION("iferror(SPLIT(C525,""=""))"),"")</f>
        <v/>
      </c>
      <c r="F525" s="1" t="e">
        <f t="shared" ca="1" si="3"/>
        <v>#NAME?</v>
      </c>
    </row>
    <row r="526" spans="4:6" ht="12.75">
      <c r="D526" s="1" t="str">
        <f ca="1">IFERROR(__xludf.DUMMYFUNCTION("iferror(SPLIT(C526,""=""))"),"")</f>
        <v/>
      </c>
      <c r="F526" s="1" t="e">
        <f t="shared" ca="1" si="3"/>
        <v>#NAME?</v>
      </c>
    </row>
    <row r="527" spans="4:6" ht="12.75">
      <c r="D527" s="1" t="str">
        <f ca="1">IFERROR(__xludf.DUMMYFUNCTION("iferror(SPLIT(C527,""=""))"),"")</f>
        <v/>
      </c>
      <c r="F527" s="1" t="e">
        <f t="shared" ca="1" si="3"/>
        <v>#NAME?</v>
      </c>
    </row>
    <row r="528" spans="4:6" ht="12.75">
      <c r="D528" s="1" t="str">
        <f ca="1">IFERROR(__xludf.DUMMYFUNCTION("iferror(SPLIT(C528,""=""))"),"")</f>
        <v/>
      </c>
      <c r="F528" s="1" t="e">
        <f t="shared" ca="1" si="3"/>
        <v>#NAME?</v>
      </c>
    </row>
    <row r="529" spans="4:6" ht="12.75">
      <c r="D529" s="1" t="str">
        <f ca="1">IFERROR(__xludf.DUMMYFUNCTION("iferror(SPLIT(C529,""=""))"),"")</f>
        <v/>
      </c>
      <c r="F529" s="1" t="e">
        <f t="shared" ca="1" si="3"/>
        <v>#NAME?</v>
      </c>
    </row>
    <row r="530" spans="4:6" ht="12.75">
      <c r="D530" s="1" t="str">
        <f ca="1">IFERROR(__xludf.DUMMYFUNCTION("iferror(SPLIT(C530,""=""))"),"")</f>
        <v/>
      </c>
      <c r="F530" s="1" t="e">
        <f t="shared" ca="1" si="3"/>
        <v>#NAME?</v>
      </c>
    </row>
    <row r="531" spans="4:6" ht="12.75">
      <c r="D531" s="1" t="str">
        <f ca="1">IFERROR(__xludf.DUMMYFUNCTION("iferror(SPLIT(C531,""=""))"),"")</f>
        <v/>
      </c>
      <c r="F531" s="1" t="e">
        <f t="shared" ca="1" si="3"/>
        <v>#NAME?</v>
      </c>
    </row>
    <row r="532" spans="4:6" ht="12.75">
      <c r="D532" s="1" t="str">
        <f ca="1">IFERROR(__xludf.DUMMYFUNCTION("iferror(SPLIT(C532,""=""))"),"")</f>
        <v/>
      </c>
      <c r="F532" s="1" t="e">
        <f t="shared" ca="1" si="3"/>
        <v>#NAME?</v>
      </c>
    </row>
    <row r="533" spans="4:6" ht="12.75">
      <c r="D533" s="1" t="str">
        <f ca="1">IFERROR(__xludf.DUMMYFUNCTION("iferror(SPLIT(C533,""=""))"),"")</f>
        <v/>
      </c>
      <c r="F533" s="1" t="e">
        <f t="shared" ca="1" si="3"/>
        <v>#NAME?</v>
      </c>
    </row>
    <row r="534" spans="4:6" ht="12.75">
      <c r="D534" s="1" t="str">
        <f ca="1">IFERROR(__xludf.DUMMYFUNCTION("iferror(SPLIT(C534,""=""))"),"")</f>
        <v/>
      </c>
      <c r="F534" s="1" t="e">
        <f t="shared" ca="1" si="3"/>
        <v>#NAME?</v>
      </c>
    </row>
    <row r="535" spans="4:6" ht="12.75">
      <c r="D535" s="1" t="str">
        <f ca="1">IFERROR(__xludf.DUMMYFUNCTION("iferror(SPLIT(C535,""=""))"),"")</f>
        <v/>
      </c>
      <c r="F535" s="1" t="e">
        <f t="shared" ca="1" si="3"/>
        <v>#NAME?</v>
      </c>
    </row>
    <row r="536" spans="4:6" ht="12.75">
      <c r="D536" s="1" t="str">
        <f ca="1">IFERROR(__xludf.DUMMYFUNCTION("iferror(SPLIT(C536,""=""))"),"")</f>
        <v/>
      </c>
      <c r="F536" s="1" t="e">
        <f t="shared" ca="1" si="3"/>
        <v>#NAME?</v>
      </c>
    </row>
    <row r="537" spans="4:6" ht="12.75">
      <c r="D537" s="1" t="str">
        <f ca="1">IFERROR(__xludf.DUMMYFUNCTION("iferror(SPLIT(C537,""=""))"),"")</f>
        <v/>
      </c>
      <c r="F537" s="1" t="e">
        <f t="shared" ca="1" si="3"/>
        <v>#NAME?</v>
      </c>
    </row>
    <row r="538" spans="4:6" ht="12.75">
      <c r="D538" s="1" t="str">
        <f ca="1">IFERROR(__xludf.DUMMYFUNCTION("iferror(SPLIT(C538,""=""))"),"")</f>
        <v/>
      </c>
      <c r="F538" s="1" t="e">
        <f t="shared" ca="1" si="3"/>
        <v>#NAME?</v>
      </c>
    </row>
    <row r="539" spans="4:6" ht="12.75">
      <c r="D539" s="1" t="str">
        <f ca="1">IFERROR(__xludf.DUMMYFUNCTION("iferror(SPLIT(C539,""=""))"),"")</f>
        <v/>
      </c>
      <c r="F539" s="1" t="e">
        <f t="shared" ca="1" si="3"/>
        <v>#NAME?</v>
      </c>
    </row>
    <row r="540" spans="4:6" ht="12.75">
      <c r="D540" s="1" t="str">
        <f ca="1">IFERROR(__xludf.DUMMYFUNCTION("iferror(SPLIT(C540,""=""))"),"")</f>
        <v/>
      </c>
      <c r="F540" s="1" t="e">
        <f t="shared" ca="1" si="3"/>
        <v>#NAME?</v>
      </c>
    </row>
    <row r="541" spans="4:6" ht="12.75">
      <c r="D541" s="1" t="str">
        <f ca="1">IFERROR(__xludf.DUMMYFUNCTION("iferror(SPLIT(C541,""=""))"),"")</f>
        <v/>
      </c>
      <c r="F541" s="1" t="e">
        <f t="shared" ca="1" si="3"/>
        <v>#NAME?</v>
      </c>
    </row>
    <row r="542" spans="4:6" ht="12.75">
      <c r="D542" s="1" t="str">
        <f ca="1">IFERROR(__xludf.DUMMYFUNCTION("iferror(SPLIT(C542,""=""))"),"")</f>
        <v/>
      </c>
      <c r="F542" s="1" t="e">
        <f t="shared" ca="1" si="3"/>
        <v>#NAME?</v>
      </c>
    </row>
    <row r="543" spans="4:6" ht="12.75">
      <c r="D543" s="1" t="str">
        <f ca="1">IFERROR(__xludf.DUMMYFUNCTION("iferror(SPLIT(C543,""=""))"),"")</f>
        <v/>
      </c>
      <c r="F543" s="1" t="e">
        <f t="shared" ca="1" si="3"/>
        <v>#NAME?</v>
      </c>
    </row>
    <row r="544" spans="4:6" ht="12.75">
      <c r="D544" s="1" t="str">
        <f ca="1">IFERROR(__xludf.DUMMYFUNCTION("iferror(SPLIT(C544,""=""))"),"")</f>
        <v/>
      </c>
      <c r="F544" s="1" t="e">
        <f t="shared" ca="1" si="3"/>
        <v>#NAME?</v>
      </c>
    </row>
    <row r="545" spans="4:6" ht="12.75">
      <c r="D545" s="1" t="str">
        <f ca="1">IFERROR(__xludf.DUMMYFUNCTION("iferror(SPLIT(C545,""=""))"),"")</f>
        <v/>
      </c>
      <c r="F545" s="1" t="e">
        <f t="shared" ca="1" si="3"/>
        <v>#NAME?</v>
      </c>
    </row>
    <row r="546" spans="4:6" ht="12.75">
      <c r="D546" s="1" t="str">
        <f ca="1">IFERROR(__xludf.DUMMYFUNCTION("iferror(SPLIT(C546,""=""))"),"")</f>
        <v/>
      </c>
      <c r="F546" s="1" t="e">
        <f t="shared" ca="1" si="3"/>
        <v>#NAME?</v>
      </c>
    </row>
    <row r="547" spans="4:6" ht="12.75">
      <c r="D547" s="1" t="str">
        <f ca="1">IFERROR(__xludf.DUMMYFUNCTION("iferror(SPLIT(C547,""=""))"),"")</f>
        <v/>
      </c>
      <c r="F547" s="1" t="e">
        <f t="shared" ca="1" si="3"/>
        <v>#NAME?</v>
      </c>
    </row>
    <row r="548" spans="4:6" ht="12.75">
      <c r="D548" s="1" t="str">
        <f ca="1">IFERROR(__xludf.DUMMYFUNCTION("iferror(SPLIT(C548,""=""))"),"")</f>
        <v/>
      </c>
      <c r="F548" s="1" t="e">
        <f t="shared" ca="1" si="3"/>
        <v>#NAME?</v>
      </c>
    </row>
    <row r="549" spans="4:6" ht="12.75">
      <c r="D549" s="1" t="str">
        <f ca="1">IFERROR(__xludf.DUMMYFUNCTION("iferror(SPLIT(C549,""=""))"),"")</f>
        <v/>
      </c>
      <c r="F549" s="1" t="e">
        <f t="shared" ca="1" si="3"/>
        <v>#NAME?</v>
      </c>
    </row>
    <row r="550" spans="4:6" ht="12.75">
      <c r="D550" s="1" t="str">
        <f ca="1">IFERROR(__xludf.DUMMYFUNCTION("iferror(SPLIT(C550,""=""))"),"")</f>
        <v/>
      </c>
      <c r="F550" s="1" t="e">
        <f t="shared" ca="1" si="3"/>
        <v>#NAME?</v>
      </c>
    </row>
    <row r="551" spans="4:6" ht="12.75">
      <c r="D551" s="1" t="str">
        <f ca="1">IFERROR(__xludf.DUMMYFUNCTION("iferror(SPLIT(C551,""=""))"),"")</f>
        <v/>
      </c>
      <c r="F551" s="1" t="e">
        <f t="shared" ca="1" si="3"/>
        <v>#NAME?</v>
      </c>
    </row>
    <row r="552" spans="4:6" ht="12.75">
      <c r="D552" s="1" t="str">
        <f ca="1">IFERROR(__xludf.DUMMYFUNCTION("iferror(SPLIT(C552,""=""))"),"")</f>
        <v/>
      </c>
      <c r="F552" s="1" t="e">
        <f t="shared" ca="1" si="3"/>
        <v>#NAME?</v>
      </c>
    </row>
    <row r="553" spans="4:6" ht="12.75">
      <c r="D553" s="1" t="str">
        <f ca="1">IFERROR(__xludf.DUMMYFUNCTION("iferror(SPLIT(C553,""=""))"),"")</f>
        <v/>
      </c>
      <c r="F553" s="1" t="e">
        <f t="shared" ca="1" si="3"/>
        <v>#NAME?</v>
      </c>
    </row>
    <row r="554" spans="4:6" ht="12.75">
      <c r="D554" s="1" t="str">
        <f ca="1">IFERROR(__xludf.DUMMYFUNCTION("iferror(SPLIT(C554,""=""))"),"")</f>
        <v/>
      </c>
      <c r="F554" s="1" t="e">
        <f t="shared" ca="1" si="3"/>
        <v>#NAME?</v>
      </c>
    </row>
    <row r="555" spans="4:6" ht="12.75">
      <c r="D555" s="1" t="str">
        <f ca="1">IFERROR(__xludf.DUMMYFUNCTION("iferror(SPLIT(C555,""=""))"),"")</f>
        <v/>
      </c>
      <c r="F555" s="1" t="e">
        <f t="shared" ca="1" si="3"/>
        <v>#NAME?</v>
      </c>
    </row>
    <row r="556" spans="4:6" ht="12.75">
      <c r="D556" s="1" t="str">
        <f ca="1">IFERROR(__xludf.DUMMYFUNCTION("iferror(SPLIT(C556,""=""))"),"")</f>
        <v/>
      </c>
      <c r="F556" s="1" t="e">
        <f t="shared" ca="1" si="3"/>
        <v>#NAME?</v>
      </c>
    </row>
    <row r="557" spans="4:6" ht="12.75">
      <c r="D557" s="1" t="str">
        <f ca="1">IFERROR(__xludf.DUMMYFUNCTION("iferror(SPLIT(C557,""=""))"),"")</f>
        <v/>
      </c>
      <c r="F557" s="1" t="e">
        <f t="shared" ca="1" si="3"/>
        <v>#NAME?</v>
      </c>
    </row>
    <row r="558" spans="4:6" ht="12.75">
      <c r="D558" s="1" t="str">
        <f ca="1">IFERROR(__xludf.DUMMYFUNCTION("iferror(SPLIT(C558,""=""))"),"")</f>
        <v/>
      </c>
      <c r="F558" s="1" t="e">
        <f t="shared" ca="1" si="3"/>
        <v>#NAME?</v>
      </c>
    </row>
    <row r="559" spans="4:6" ht="12.75">
      <c r="D559" s="1" t="str">
        <f ca="1">IFERROR(__xludf.DUMMYFUNCTION("iferror(SPLIT(C559,""=""))"),"")</f>
        <v/>
      </c>
      <c r="F559" s="1" t="e">
        <f t="shared" ca="1" si="3"/>
        <v>#NAME?</v>
      </c>
    </row>
    <row r="560" spans="4:6" ht="12.75">
      <c r="D560" s="1" t="str">
        <f ca="1">IFERROR(__xludf.DUMMYFUNCTION("iferror(SPLIT(C560,""=""))"),"")</f>
        <v/>
      </c>
      <c r="F560" s="1" t="e">
        <f t="shared" ca="1" si="3"/>
        <v>#NAME?</v>
      </c>
    </row>
    <row r="561" spans="4:6" ht="12.75">
      <c r="D561" s="1" t="str">
        <f ca="1">IFERROR(__xludf.DUMMYFUNCTION("iferror(SPLIT(C561,""=""))"),"")</f>
        <v/>
      </c>
      <c r="F561" s="1" t="e">
        <f t="shared" ca="1" si="3"/>
        <v>#NAME?</v>
      </c>
    </row>
    <row r="562" spans="4:6" ht="12.75">
      <c r="D562" s="1" t="str">
        <f ca="1">IFERROR(__xludf.DUMMYFUNCTION("iferror(SPLIT(C562,""=""))"),"")</f>
        <v/>
      </c>
      <c r="F562" s="1" t="e">
        <f t="shared" ca="1" si="3"/>
        <v>#NAME?</v>
      </c>
    </row>
    <row r="563" spans="4:6" ht="12.75">
      <c r="D563" s="1" t="str">
        <f ca="1">IFERROR(__xludf.DUMMYFUNCTION("iferror(SPLIT(C563,""=""))"),"")</f>
        <v/>
      </c>
      <c r="F563" s="1" t="e">
        <f t="shared" ca="1" si="3"/>
        <v>#NAME?</v>
      </c>
    </row>
    <row r="564" spans="4:6" ht="12.75">
      <c r="D564" s="1" t="str">
        <f ca="1">IFERROR(__xludf.DUMMYFUNCTION("iferror(SPLIT(C564,""=""))"),"")</f>
        <v/>
      </c>
      <c r="F564" s="1" t="e">
        <f t="shared" ca="1" si="3"/>
        <v>#NAME?</v>
      </c>
    </row>
    <row r="565" spans="4:6" ht="12.75">
      <c r="D565" s="1" t="str">
        <f ca="1">IFERROR(__xludf.DUMMYFUNCTION("iferror(SPLIT(C565,""=""))"),"")</f>
        <v/>
      </c>
      <c r="F565" s="1" t="e">
        <f t="shared" ca="1" si="3"/>
        <v>#NAME?</v>
      </c>
    </row>
    <row r="566" spans="4:6" ht="12.75">
      <c r="D566" s="1" t="str">
        <f ca="1">IFERROR(__xludf.DUMMYFUNCTION("iferror(SPLIT(C566,""=""))"),"")</f>
        <v/>
      </c>
      <c r="F566" s="1" t="e">
        <f t="shared" ca="1" si="3"/>
        <v>#NAME?</v>
      </c>
    </row>
    <row r="567" spans="4:6" ht="12.75">
      <c r="D567" s="1" t="str">
        <f ca="1">IFERROR(__xludf.DUMMYFUNCTION("iferror(SPLIT(C567,""=""))"),"")</f>
        <v/>
      </c>
      <c r="F567" s="1" t="e">
        <f t="shared" ca="1" si="3"/>
        <v>#NAME?</v>
      </c>
    </row>
    <row r="568" spans="4:6" ht="12.75">
      <c r="D568" s="1" t="str">
        <f ca="1">IFERROR(__xludf.DUMMYFUNCTION("iferror(SPLIT(C568,""=""))"),"")</f>
        <v/>
      </c>
      <c r="F568" s="1" t="e">
        <f t="shared" ca="1" si="3"/>
        <v>#NAME?</v>
      </c>
    </row>
    <row r="569" spans="4:6" ht="12.75">
      <c r="D569" s="1" t="str">
        <f ca="1">IFERROR(__xludf.DUMMYFUNCTION("iferror(SPLIT(C569,""=""))"),"")</f>
        <v/>
      </c>
      <c r="F569" s="1" t="e">
        <f t="shared" ca="1" si="3"/>
        <v>#NAME?</v>
      </c>
    </row>
    <row r="570" spans="4:6" ht="12.75">
      <c r="D570" s="1" t="str">
        <f ca="1">IFERROR(__xludf.DUMMYFUNCTION("iferror(SPLIT(C570,""=""))"),"")</f>
        <v/>
      </c>
      <c r="F570" s="1" t="e">
        <f t="shared" ca="1" si="3"/>
        <v>#NAME?</v>
      </c>
    </row>
    <row r="571" spans="4:6" ht="12.75">
      <c r="D571" s="1" t="str">
        <f ca="1">IFERROR(__xludf.DUMMYFUNCTION("iferror(SPLIT(C571,""=""))"),"")</f>
        <v/>
      </c>
      <c r="F571" s="1" t="e">
        <f t="shared" ca="1" si="3"/>
        <v>#NAME?</v>
      </c>
    </row>
    <row r="572" spans="4:6" ht="12.75">
      <c r="D572" s="1" t="str">
        <f ca="1">IFERROR(__xludf.DUMMYFUNCTION("iferror(SPLIT(C572,""=""))"),"")</f>
        <v/>
      </c>
      <c r="F572" s="1" t="e">
        <f t="shared" ca="1" si="3"/>
        <v>#NAME?</v>
      </c>
    </row>
    <row r="573" spans="4:6" ht="12.75">
      <c r="D573" s="1" t="str">
        <f ca="1">IFERROR(__xludf.DUMMYFUNCTION("iferror(SPLIT(C573,""=""))"),"")</f>
        <v/>
      </c>
      <c r="F573" s="1" t="e">
        <f t="shared" ca="1" si="3"/>
        <v>#NAME?</v>
      </c>
    </row>
    <row r="574" spans="4:6" ht="12.75">
      <c r="D574" s="1" t="str">
        <f ca="1">IFERROR(__xludf.DUMMYFUNCTION("iferror(SPLIT(C574,""=""))"),"")</f>
        <v/>
      </c>
      <c r="F574" s="1" t="e">
        <f t="shared" ca="1" si="3"/>
        <v>#NAME?</v>
      </c>
    </row>
    <row r="575" spans="4:6" ht="12.75">
      <c r="D575" s="1" t="str">
        <f ca="1">IFERROR(__xludf.DUMMYFUNCTION("iferror(SPLIT(C575,""=""))"),"")</f>
        <v/>
      </c>
      <c r="F575" s="1" t="e">
        <f t="shared" ca="1" si="3"/>
        <v>#NAME?</v>
      </c>
    </row>
    <row r="576" spans="4:6" ht="12.75">
      <c r="D576" s="1" t="str">
        <f ca="1">IFERROR(__xludf.DUMMYFUNCTION("iferror(SPLIT(C576,""=""))"),"")</f>
        <v/>
      </c>
      <c r="F576" s="1" t="e">
        <f t="shared" ca="1" si="3"/>
        <v>#NAME?</v>
      </c>
    </row>
    <row r="577" spans="4:6" ht="12.75">
      <c r="D577" s="1" t="str">
        <f ca="1">IFERROR(__xludf.DUMMYFUNCTION("iferror(SPLIT(C577,""=""))"),"")</f>
        <v/>
      </c>
      <c r="F577" s="1" t="e">
        <f t="shared" ca="1" si="3"/>
        <v>#NAME?</v>
      </c>
    </row>
    <row r="578" spans="4:6" ht="12.75">
      <c r="D578" s="1" t="str">
        <f ca="1">IFERROR(__xludf.DUMMYFUNCTION("iferror(SPLIT(C578,""=""))"),"")</f>
        <v/>
      </c>
      <c r="F578" s="1" t="e">
        <f t="shared" ca="1" si="3"/>
        <v>#NAME?</v>
      </c>
    </row>
    <row r="579" spans="4:6" ht="12.75">
      <c r="D579" s="1" t="str">
        <f ca="1">IFERROR(__xludf.DUMMYFUNCTION("iferror(SPLIT(C579,""=""))"),"")</f>
        <v/>
      </c>
      <c r="F579" s="1" t="e">
        <f t="shared" ca="1" si="3"/>
        <v>#NAME?</v>
      </c>
    </row>
    <row r="580" spans="4:6" ht="12.75">
      <c r="D580" s="1" t="str">
        <f ca="1">IFERROR(__xludf.DUMMYFUNCTION("iferror(SPLIT(C580,""=""))"),"")</f>
        <v/>
      </c>
      <c r="F580" s="1" t="e">
        <f t="shared" ca="1" si="3"/>
        <v>#NAME?</v>
      </c>
    </row>
    <row r="581" spans="4:6" ht="12.75">
      <c r="D581" s="1" t="str">
        <f ca="1">IFERROR(__xludf.DUMMYFUNCTION("iferror(SPLIT(C581,""=""))"),"")</f>
        <v/>
      </c>
      <c r="F581" s="1" t="e">
        <f t="shared" ca="1" si="3"/>
        <v>#NAME?</v>
      </c>
    </row>
    <row r="582" spans="4:6" ht="12.75">
      <c r="D582" s="1" t="str">
        <f ca="1">IFERROR(__xludf.DUMMYFUNCTION("iferror(SPLIT(C582,""=""))"),"")</f>
        <v/>
      </c>
      <c r="F582" s="1" t="e">
        <f t="shared" ca="1" si="3"/>
        <v>#NAME?</v>
      </c>
    </row>
    <row r="583" spans="4:6" ht="12.75">
      <c r="D583" s="1" t="str">
        <f ca="1">IFERROR(__xludf.DUMMYFUNCTION("iferror(SPLIT(C583,""=""))"),"")</f>
        <v/>
      </c>
      <c r="F583" s="1" t="e">
        <f t="shared" ca="1" si="3"/>
        <v>#NAME?</v>
      </c>
    </row>
    <row r="584" spans="4:6" ht="12.75">
      <c r="D584" s="1" t="str">
        <f ca="1">IFERROR(__xludf.DUMMYFUNCTION("iferror(SPLIT(C584,""=""))"),"")</f>
        <v/>
      </c>
      <c r="F584" s="1" t="e">
        <f t="shared" ca="1" si="3"/>
        <v>#NAME?</v>
      </c>
    </row>
    <row r="585" spans="4:6" ht="12.75">
      <c r="D585" s="1" t="str">
        <f ca="1">IFERROR(__xludf.DUMMYFUNCTION("iferror(SPLIT(C585,""=""))"),"")</f>
        <v/>
      </c>
      <c r="F585" s="1" t="e">
        <f t="shared" ca="1" si="3"/>
        <v>#NAME?</v>
      </c>
    </row>
    <row r="586" spans="4:6" ht="12.75">
      <c r="D586" s="1" t="str">
        <f ca="1">IFERROR(__xludf.DUMMYFUNCTION("iferror(SPLIT(C586,""=""))"),"")</f>
        <v/>
      </c>
      <c r="F586" s="1" t="e">
        <f t="shared" ca="1" si="3"/>
        <v>#NAME?</v>
      </c>
    </row>
    <row r="587" spans="4:6" ht="12.75">
      <c r="D587" s="1" t="str">
        <f ca="1">IFERROR(__xludf.DUMMYFUNCTION("iferror(SPLIT(C587,""=""))"),"")</f>
        <v/>
      </c>
      <c r="F587" s="1" t="e">
        <f t="shared" ca="1" si="3"/>
        <v>#NAME?</v>
      </c>
    </row>
    <row r="588" spans="4:6" ht="12.75">
      <c r="D588" s="1" t="str">
        <f ca="1">IFERROR(__xludf.DUMMYFUNCTION("iferror(SPLIT(C588,""=""))"),"")</f>
        <v/>
      </c>
      <c r="F588" s="1" t="e">
        <f t="shared" ca="1" si="3"/>
        <v>#NAME?</v>
      </c>
    </row>
    <row r="589" spans="4:6" ht="12.75">
      <c r="D589" s="1" t="str">
        <f ca="1">IFERROR(__xludf.DUMMYFUNCTION("iferror(SPLIT(C589,""=""))"),"")</f>
        <v/>
      </c>
      <c r="F589" s="1" t="e">
        <f t="shared" ca="1" si="3"/>
        <v>#NAME?</v>
      </c>
    </row>
    <row r="590" spans="4:6" ht="12.75">
      <c r="D590" s="1" t="str">
        <f ca="1">IFERROR(__xludf.DUMMYFUNCTION("iferror(SPLIT(C590,""=""))"),"")</f>
        <v/>
      </c>
      <c r="F590" s="1" t="e">
        <f t="shared" ca="1" si="3"/>
        <v>#NAME?</v>
      </c>
    </row>
    <row r="591" spans="4:6" ht="12.75">
      <c r="D591" s="1" t="str">
        <f ca="1">IFERROR(__xludf.DUMMYFUNCTION("iferror(SPLIT(C591,""=""))"),"")</f>
        <v/>
      </c>
      <c r="F591" s="1" t="e">
        <f t="shared" ca="1" si="3"/>
        <v>#NAME?</v>
      </c>
    </row>
    <row r="592" spans="4:6" ht="12.75">
      <c r="D592" s="1" t="str">
        <f ca="1">IFERROR(__xludf.DUMMYFUNCTION("iferror(SPLIT(C592,""=""))"),"")</f>
        <v/>
      </c>
      <c r="F592" s="1" t="e">
        <f t="shared" ca="1" si="3"/>
        <v>#NAME?</v>
      </c>
    </row>
    <row r="593" spans="4:6" ht="12.75">
      <c r="D593" s="1" t="str">
        <f ca="1">IFERROR(__xludf.DUMMYFUNCTION("iferror(SPLIT(C593,""=""))"),"")</f>
        <v/>
      </c>
      <c r="F593" s="1" t="e">
        <f t="shared" ca="1" si="3"/>
        <v>#NAME?</v>
      </c>
    </row>
    <row r="594" spans="4:6" ht="12.75">
      <c r="D594" s="1" t="str">
        <f ca="1">IFERROR(__xludf.DUMMYFUNCTION("iferror(SPLIT(C594,""=""))"),"")</f>
        <v/>
      </c>
      <c r="F594" s="1" t="e">
        <f t="shared" ca="1" si="3"/>
        <v>#NAME?</v>
      </c>
    </row>
    <row r="595" spans="4:6" ht="12.75">
      <c r="D595" s="1" t="str">
        <f ca="1">IFERROR(__xludf.DUMMYFUNCTION("iferror(SPLIT(C595,""=""))"),"")</f>
        <v/>
      </c>
      <c r="F595" s="1" t="e">
        <f t="shared" ca="1" si="3"/>
        <v>#NAME?</v>
      </c>
    </row>
    <row r="596" spans="4:6" ht="12.75">
      <c r="D596" s="1" t="str">
        <f ca="1">IFERROR(__xludf.DUMMYFUNCTION("iferror(SPLIT(C596,""=""))"),"")</f>
        <v/>
      </c>
      <c r="F596" s="1" t="e">
        <f t="shared" ca="1" si="3"/>
        <v>#NAME?</v>
      </c>
    </row>
    <row r="597" spans="4:6" ht="12.75">
      <c r="D597" s="1" t="str">
        <f ca="1">IFERROR(__xludf.DUMMYFUNCTION("iferror(SPLIT(C597,""=""))"),"")</f>
        <v/>
      </c>
      <c r="F597" s="1" t="e">
        <f t="shared" ca="1" si="3"/>
        <v>#NAME?</v>
      </c>
    </row>
    <row r="598" spans="4:6" ht="12.75">
      <c r="D598" s="1" t="str">
        <f ca="1">IFERROR(__xludf.DUMMYFUNCTION("iferror(SPLIT(C598,""=""))"),"")</f>
        <v/>
      </c>
      <c r="F598" s="1" t="e">
        <f t="shared" ca="1" si="3"/>
        <v>#NAME?</v>
      </c>
    </row>
    <row r="599" spans="4:6" ht="12.75">
      <c r="D599" s="1" t="str">
        <f ca="1">IFERROR(__xludf.DUMMYFUNCTION("iferror(SPLIT(C599,""=""))"),"")</f>
        <v/>
      </c>
      <c r="F599" s="1" t="e">
        <f t="shared" ca="1" si="3"/>
        <v>#NAME?</v>
      </c>
    </row>
    <row r="600" spans="4:6" ht="12.75">
      <c r="D600" s="1" t="str">
        <f ca="1">IFERROR(__xludf.DUMMYFUNCTION("iferror(SPLIT(C600,""=""))"),"")</f>
        <v/>
      </c>
      <c r="F600" s="1" t="e">
        <f t="shared" ca="1" si="3"/>
        <v>#NAME?</v>
      </c>
    </row>
    <row r="601" spans="4:6" ht="12.75">
      <c r="D601" s="1" t="str">
        <f ca="1">IFERROR(__xludf.DUMMYFUNCTION("iferror(SPLIT(C601,""=""))"),"")</f>
        <v/>
      </c>
      <c r="F601" s="1" t="e">
        <f t="shared" ca="1" si="3"/>
        <v>#NAME?</v>
      </c>
    </row>
    <row r="602" spans="4:6" ht="12.75">
      <c r="D602" s="1" t="str">
        <f ca="1">IFERROR(__xludf.DUMMYFUNCTION("iferror(SPLIT(C602,""=""))"),"")</f>
        <v/>
      </c>
      <c r="F602" s="1" t="e">
        <f t="shared" ca="1" si="3"/>
        <v>#NAME?</v>
      </c>
    </row>
    <row r="603" spans="4:6" ht="12.75">
      <c r="D603" s="1" t="str">
        <f ca="1">IFERROR(__xludf.DUMMYFUNCTION("iferror(SPLIT(C603,""=""))"),"")</f>
        <v/>
      </c>
      <c r="F603" s="1" t="e">
        <f t="shared" ca="1" si="3"/>
        <v>#NAME?</v>
      </c>
    </row>
    <row r="604" spans="4:6" ht="12.75">
      <c r="D604" s="1" t="str">
        <f ca="1">IFERROR(__xludf.DUMMYFUNCTION("iferror(SPLIT(C604,""=""))"),"")</f>
        <v/>
      </c>
      <c r="F604" s="1" t="e">
        <f t="shared" ca="1" si="3"/>
        <v>#NAME?</v>
      </c>
    </row>
    <row r="605" spans="4:6" ht="12.75">
      <c r="D605" s="1" t="str">
        <f ca="1">IFERROR(__xludf.DUMMYFUNCTION("iferror(SPLIT(C605,""=""))"),"")</f>
        <v/>
      </c>
      <c r="F605" s="1" t="e">
        <f t="shared" ca="1" si="3"/>
        <v>#NAME?</v>
      </c>
    </row>
    <row r="606" spans="4:6" ht="12.75">
      <c r="D606" s="1" t="str">
        <f ca="1">IFERROR(__xludf.DUMMYFUNCTION("iferror(SPLIT(C606,""=""))"),"")</f>
        <v/>
      </c>
      <c r="F606" s="1" t="e">
        <f t="shared" ca="1" si="3"/>
        <v>#NAME?</v>
      </c>
    </row>
    <row r="607" spans="4:6" ht="12.75">
      <c r="D607" s="1" t="str">
        <f ca="1">IFERROR(__xludf.DUMMYFUNCTION("iferror(SPLIT(C607,""=""))"),"")</f>
        <v/>
      </c>
      <c r="F607" s="1" t="e">
        <f t="shared" ca="1" si="3"/>
        <v>#NAME?</v>
      </c>
    </row>
    <row r="608" spans="4:6" ht="12.75">
      <c r="D608" s="1" t="str">
        <f ca="1">IFERROR(__xludf.DUMMYFUNCTION("iferror(SPLIT(C608,""=""))"),"")</f>
        <v/>
      </c>
      <c r="F608" s="1" t="e">
        <f t="shared" ca="1" si="3"/>
        <v>#NAME?</v>
      </c>
    </row>
    <row r="609" spans="4:6" ht="12.75">
      <c r="D609" s="1" t="str">
        <f ca="1">IFERROR(__xludf.DUMMYFUNCTION("iferror(SPLIT(C609,""=""))"),"")</f>
        <v/>
      </c>
      <c r="F609" s="1" t="e">
        <f t="shared" ca="1" si="3"/>
        <v>#NAME?</v>
      </c>
    </row>
    <row r="610" spans="4:6" ht="12.75">
      <c r="D610" s="1" t="str">
        <f ca="1">IFERROR(__xludf.DUMMYFUNCTION("iferror(SPLIT(C610,""=""))"),"")</f>
        <v/>
      </c>
      <c r="F610" s="1" t="e">
        <f t="shared" ca="1" si="3"/>
        <v>#NAME?</v>
      </c>
    </row>
    <row r="611" spans="4:6" ht="12.75">
      <c r="D611" s="1" t="str">
        <f ca="1">IFERROR(__xludf.DUMMYFUNCTION("iferror(SPLIT(C611,""=""))"),"")</f>
        <v/>
      </c>
      <c r="F611" s="1" t="e">
        <f t="shared" ca="1" si="3"/>
        <v>#NAME?</v>
      </c>
    </row>
    <row r="612" spans="4:6" ht="12.75">
      <c r="D612" s="1" t="str">
        <f ca="1">IFERROR(__xludf.DUMMYFUNCTION("iferror(SPLIT(C612,""=""))"),"")</f>
        <v/>
      </c>
      <c r="F612" s="1" t="e">
        <f t="shared" ca="1" si="3"/>
        <v>#NAME?</v>
      </c>
    </row>
    <row r="613" spans="4:6" ht="12.75">
      <c r="D613" s="1" t="str">
        <f ca="1">IFERROR(__xludf.DUMMYFUNCTION("iferror(SPLIT(C613,""=""))"),"")</f>
        <v/>
      </c>
      <c r="F613" s="1" t="e">
        <f t="shared" ca="1" si="3"/>
        <v>#NAME?</v>
      </c>
    </row>
    <row r="614" spans="4:6" ht="12.75">
      <c r="D614" s="1" t="str">
        <f ca="1">IFERROR(__xludf.DUMMYFUNCTION("iferror(SPLIT(C614,""=""))"),"")</f>
        <v/>
      </c>
      <c r="F614" s="1" t="e">
        <f t="shared" ca="1" si="3"/>
        <v>#NAME?</v>
      </c>
    </row>
    <row r="615" spans="4:6" ht="12.75">
      <c r="D615" s="1" t="str">
        <f ca="1">IFERROR(__xludf.DUMMYFUNCTION("iferror(SPLIT(C615,""=""))"),"")</f>
        <v/>
      </c>
      <c r="F615" s="1" t="e">
        <f t="shared" ca="1" si="3"/>
        <v>#NAME?</v>
      </c>
    </row>
    <row r="616" spans="4:6" ht="12.75">
      <c r="D616" s="1" t="str">
        <f ca="1">IFERROR(__xludf.DUMMYFUNCTION("iferror(SPLIT(C616,""=""))"),"")</f>
        <v/>
      </c>
      <c r="F616" s="1" t="e">
        <f t="shared" ca="1" si="3"/>
        <v>#NAME?</v>
      </c>
    </row>
    <row r="617" spans="4:6" ht="12.75">
      <c r="D617" s="1" t="str">
        <f ca="1">IFERROR(__xludf.DUMMYFUNCTION("iferror(SPLIT(C617,""=""))"),"")</f>
        <v/>
      </c>
      <c r="F617" s="1" t="e">
        <f t="shared" ca="1" si="3"/>
        <v>#NAME?</v>
      </c>
    </row>
    <row r="618" spans="4:6" ht="12.75">
      <c r="D618" s="1" t="str">
        <f ca="1">IFERROR(__xludf.DUMMYFUNCTION("iferror(SPLIT(C618,""=""))"),"")</f>
        <v/>
      </c>
      <c r="F618" s="1" t="e">
        <f t="shared" ca="1" si="3"/>
        <v>#NAME?</v>
      </c>
    </row>
    <row r="619" spans="4:6" ht="12.75">
      <c r="D619" s="1" t="str">
        <f ca="1">IFERROR(__xludf.DUMMYFUNCTION("iferror(SPLIT(C619,""=""))"),"")</f>
        <v/>
      </c>
      <c r="F619" s="1" t="e">
        <f t="shared" ca="1" si="3"/>
        <v>#NAME?</v>
      </c>
    </row>
    <row r="620" spans="4:6" ht="12.75">
      <c r="D620" s="1" t="str">
        <f ca="1">IFERROR(__xludf.DUMMYFUNCTION("iferror(SPLIT(C620,""=""))"),"")</f>
        <v/>
      </c>
      <c r="F620" s="1" t="e">
        <f t="shared" ca="1" si="3"/>
        <v>#NAME?</v>
      </c>
    </row>
    <row r="621" spans="4:6" ht="12.75">
      <c r="D621" s="1" t="str">
        <f ca="1">IFERROR(__xludf.DUMMYFUNCTION("iferror(SPLIT(C621,""=""))"),"")</f>
        <v/>
      </c>
      <c r="F621" s="1" t="e">
        <f t="shared" ca="1" si="3"/>
        <v>#NAME?</v>
      </c>
    </row>
    <row r="622" spans="4:6" ht="12.75">
      <c r="D622" s="1" t="str">
        <f ca="1">IFERROR(__xludf.DUMMYFUNCTION("iferror(SPLIT(C622,""=""))"),"")</f>
        <v/>
      </c>
      <c r="F622" s="1" t="e">
        <f t="shared" ca="1" si="3"/>
        <v>#NAME?</v>
      </c>
    </row>
    <row r="623" spans="4:6" ht="12.75">
      <c r="D623" s="1" t="str">
        <f ca="1">IFERROR(__xludf.DUMMYFUNCTION("iferror(SPLIT(C623,""=""))"),"")</f>
        <v/>
      </c>
      <c r="F623" s="1" t="e">
        <f t="shared" ca="1" si="3"/>
        <v>#NAME?</v>
      </c>
    </row>
    <row r="624" spans="4:6" ht="12.75">
      <c r="D624" s="1" t="str">
        <f ca="1">IFERROR(__xludf.DUMMYFUNCTION("iferror(SPLIT(C624,""=""))"),"")</f>
        <v/>
      </c>
      <c r="F624" s="1" t="e">
        <f t="shared" ca="1" si="3"/>
        <v>#NAME?</v>
      </c>
    </row>
    <row r="625" spans="4:6" ht="12.75">
      <c r="D625" s="1" t="str">
        <f ca="1">IFERROR(__xludf.DUMMYFUNCTION("iferror(SPLIT(C625,""=""))"),"")</f>
        <v/>
      </c>
      <c r="F625" s="1" t="e">
        <f t="shared" ca="1" si="3"/>
        <v>#NAME?</v>
      </c>
    </row>
    <row r="626" spans="4:6" ht="12.75">
      <c r="D626" s="1" t="str">
        <f ca="1">IFERROR(__xludf.DUMMYFUNCTION("iferror(SPLIT(C626,""=""))"),"")</f>
        <v/>
      </c>
      <c r="F626" s="1" t="e">
        <f t="shared" ca="1" si="3"/>
        <v>#NAME?</v>
      </c>
    </row>
    <row r="627" spans="4:6" ht="12.75">
      <c r="D627" s="1" t="str">
        <f ca="1">IFERROR(__xludf.DUMMYFUNCTION("iferror(SPLIT(C627,""=""))"),"")</f>
        <v/>
      </c>
      <c r="F627" s="1" t="e">
        <f t="shared" ca="1" si="3"/>
        <v>#NAME?</v>
      </c>
    </row>
    <row r="628" spans="4:6" ht="12.75">
      <c r="D628" s="1" t="str">
        <f ca="1">IFERROR(__xludf.DUMMYFUNCTION("iferror(SPLIT(C628,""=""))"),"")</f>
        <v/>
      </c>
      <c r="F628" s="1" t="e">
        <f t="shared" ca="1" si="3"/>
        <v>#NAME?</v>
      </c>
    </row>
    <row r="629" spans="4:6" ht="12.75">
      <c r="D629" s="1" t="str">
        <f ca="1">IFERROR(__xludf.DUMMYFUNCTION("iferror(SPLIT(C629,""=""))"),"")</f>
        <v/>
      </c>
      <c r="F629" s="1" t="e">
        <f t="shared" ca="1" si="3"/>
        <v>#NAME?</v>
      </c>
    </row>
    <row r="630" spans="4:6" ht="12.75">
      <c r="D630" s="1" t="str">
        <f ca="1">IFERROR(__xludf.DUMMYFUNCTION("iferror(SPLIT(C630,""=""))"),"")</f>
        <v/>
      </c>
      <c r="F630" s="1" t="e">
        <f t="shared" ca="1" si="3"/>
        <v>#NAME?</v>
      </c>
    </row>
    <row r="631" spans="4:6" ht="12.75">
      <c r="D631" s="1" t="str">
        <f ca="1">IFERROR(__xludf.DUMMYFUNCTION("iferror(SPLIT(C631,""=""))"),"")</f>
        <v/>
      </c>
      <c r="F631" s="1" t="e">
        <f t="shared" ca="1" si="3"/>
        <v>#NAME?</v>
      </c>
    </row>
    <row r="632" spans="4:6" ht="12.75">
      <c r="D632" s="1" t="str">
        <f ca="1">IFERROR(__xludf.DUMMYFUNCTION("iferror(SPLIT(C632,""=""))"),"")</f>
        <v/>
      </c>
      <c r="F632" s="1" t="e">
        <f t="shared" ca="1" si="3"/>
        <v>#NAME?</v>
      </c>
    </row>
    <row r="633" spans="4:6" ht="12.75">
      <c r="D633" s="1" t="str">
        <f ca="1">IFERROR(__xludf.DUMMYFUNCTION("iferror(SPLIT(C633,""=""))"),"")</f>
        <v/>
      </c>
      <c r="F633" s="1" t="e">
        <f t="shared" ca="1" si="3"/>
        <v>#NAME?</v>
      </c>
    </row>
    <row r="634" spans="4:6" ht="12.75">
      <c r="D634" s="1" t="str">
        <f ca="1">IFERROR(__xludf.DUMMYFUNCTION("iferror(SPLIT(C634,""=""))"),"")</f>
        <v/>
      </c>
      <c r="F634" s="1" t="e">
        <f t="shared" ca="1" si="3"/>
        <v>#NAME?</v>
      </c>
    </row>
    <row r="635" spans="4:6" ht="12.75">
      <c r="D635" s="1" t="str">
        <f ca="1">IFERROR(__xludf.DUMMYFUNCTION("iferror(SPLIT(C635,""=""))"),"")</f>
        <v/>
      </c>
      <c r="F635" s="1" t="e">
        <f t="shared" ca="1" si="3"/>
        <v>#NAME?</v>
      </c>
    </row>
    <row r="636" spans="4:6" ht="12.75">
      <c r="D636" s="1" t="str">
        <f ca="1">IFERROR(__xludf.DUMMYFUNCTION("iferror(SPLIT(C636,""=""))"),"")</f>
        <v/>
      </c>
      <c r="F636" s="1" t="e">
        <f t="shared" ca="1" si="3"/>
        <v>#NAME?</v>
      </c>
    </row>
    <row r="637" spans="4:6" ht="12.75">
      <c r="D637" s="1" t="str">
        <f ca="1">IFERROR(__xludf.DUMMYFUNCTION("iferror(SPLIT(C637,""=""))"),"")</f>
        <v/>
      </c>
      <c r="F637" s="1" t="e">
        <f t="shared" ca="1" si="3"/>
        <v>#NAME?</v>
      </c>
    </row>
    <row r="638" spans="4:6" ht="12.75">
      <c r="D638" s="1" t="str">
        <f ca="1">IFERROR(__xludf.DUMMYFUNCTION("iferror(SPLIT(C638,""=""))"),"")</f>
        <v/>
      </c>
      <c r="F638" s="1" t="e">
        <f t="shared" ca="1" si="3"/>
        <v>#NAME?</v>
      </c>
    </row>
    <row r="639" spans="4:6" ht="12.75">
      <c r="D639" s="1" t="str">
        <f ca="1">IFERROR(__xludf.DUMMYFUNCTION("iferror(SPLIT(C639,""=""))"),"")</f>
        <v/>
      </c>
      <c r="F639" s="1" t="e">
        <f t="shared" ca="1" si="3"/>
        <v>#NAME?</v>
      </c>
    </row>
    <row r="640" spans="4:6" ht="12.75">
      <c r="D640" s="1" t="str">
        <f ca="1">IFERROR(__xludf.DUMMYFUNCTION("iferror(SPLIT(C640,""=""))"),"")</f>
        <v/>
      </c>
      <c r="F640" s="1" t="e">
        <f t="shared" ca="1" si="3"/>
        <v>#NAME?</v>
      </c>
    </row>
    <row r="641" spans="4:6" ht="12.75">
      <c r="D641" s="1" t="str">
        <f ca="1">IFERROR(__xludf.DUMMYFUNCTION("iferror(SPLIT(C641,""=""))"),"")</f>
        <v/>
      </c>
      <c r="F641" s="1" t="e">
        <f t="shared" ca="1" si="3"/>
        <v>#NAME?</v>
      </c>
    </row>
    <row r="642" spans="4:6" ht="12.75">
      <c r="D642" s="1" t="str">
        <f ca="1">IFERROR(__xludf.DUMMYFUNCTION("iferror(SPLIT(C642,""=""))"),"")</f>
        <v/>
      </c>
      <c r="F642" s="1" t="e">
        <f t="shared" ca="1" si="3"/>
        <v>#NAME?</v>
      </c>
    </row>
    <row r="643" spans="4:6" ht="12.75">
      <c r="D643" s="1" t="str">
        <f ca="1">IFERROR(__xludf.DUMMYFUNCTION("iferror(SPLIT(C643,""=""))"),"")</f>
        <v/>
      </c>
      <c r="F643" s="1" t="e">
        <f t="shared" ca="1" si="3"/>
        <v>#NAME?</v>
      </c>
    </row>
    <row r="644" spans="4:6" ht="12.75">
      <c r="D644" s="1" t="str">
        <f ca="1">IFERROR(__xludf.DUMMYFUNCTION("iferror(SPLIT(C644,""=""))"),"")</f>
        <v/>
      </c>
      <c r="F644" s="1" t="e">
        <f t="shared" ca="1" si="3"/>
        <v>#NAME?</v>
      </c>
    </row>
    <row r="645" spans="4:6" ht="12.75">
      <c r="D645" s="1" t="str">
        <f ca="1">IFERROR(__xludf.DUMMYFUNCTION("iferror(SPLIT(C645,""=""))"),"")</f>
        <v/>
      </c>
      <c r="F645" s="1" t="e">
        <f t="shared" ca="1" si="3"/>
        <v>#NAME?</v>
      </c>
    </row>
    <row r="646" spans="4:6" ht="12.75">
      <c r="D646" s="1" t="str">
        <f ca="1">IFERROR(__xludf.DUMMYFUNCTION("iferror(SPLIT(C646,""=""))"),"")</f>
        <v/>
      </c>
      <c r="F646" s="1" t="e">
        <f t="shared" ca="1" si="3"/>
        <v>#NAME?</v>
      </c>
    </row>
    <row r="647" spans="4:6" ht="12.75">
      <c r="D647" s="1" t="str">
        <f ca="1">IFERROR(__xludf.DUMMYFUNCTION("iferror(SPLIT(C647,""=""))"),"")</f>
        <v/>
      </c>
      <c r="F647" s="1" t="e">
        <f t="shared" ca="1" si="3"/>
        <v>#NAME?</v>
      </c>
    </row>
    <row r="648" spans="4:6" ht="12.75">
      <c r="D648" s="1" t="str">
        <f ca="1">IFERROR(__xludf.DUMMYFUNCTION("iferror(SPLIT(C648,""=""))"),"")</f>
        <v/>
      </c>
      <c r="F648" s="1" t="e">
        <f t="shared" ca="1" si="3"/>
        <v>#NAME?</v>
      </c>
    </row>
    <row r="649" spans="4:6" ht="12.75">
      <c r="D649" s="1" t="str">
        <f ca="1">IFERROR(__xludf.DUMMYFUNCTION("iferror(SPLIT(C649,""=""))"),"")</f>
        <v/>
      </c>
      <c r="F649" s="1" t="e">
        <f t="shared" ca="1" si="3"/>
        <v>#NAME?</v>
      </c>
    </row>
    <row r="650" spans="4:6" ht="12.75">
      <c r="D650" s="1" t="str">
        <f ca="1">IFERROR(__xludf.DUMMYFUNCTION("iferror(SPLIT(C650,""=""))"),"")</f>
        <v/>
      </c>
      <c r="F650" s="1" t="e">
        <f t="shared" ca="1" si="3"/>
        <v>#NAME?</v>
      </c>
    </row>
    <row r="651" spans="4:6" ht="12.75">
      <c r="D651" s="1" t="str">
        <f ca="1">IFERROR(__xludf.DUMMYFUNCTION("iferror(SPLIT(C651,""=""))"),"")</f>
        <v/>
      </c>
      <c r="F651" s="1" t="e">
        <f t="shared" ca="1" si="3"/>
        <v>#NAME?</v>
      </c>
    </row>
    <row r="652" spans="4:6" ht="12.75">
      <c r="D652" s="1" t="str">
        <f ca="1">IFERROR(__xludf.DUMMYFUNCTION("iferror(SPLIT(C652,""=""))"),"")</f>
        <v/>
      </c>
      <c r="F652" s="1" t="e">
        <f t="shared" ca="1" si="3"/>
        <v>#NAME?</v>
      </c>
    </row>
    <row r="653" spans="4:6" ht="12.75">
      <c r="D653" s="1" t="str">
        <f ca="1">IFERROR(__xludf.DUMMYFUNCTION("iferror(SPLIT(C653,""=""))"),"")</f>
        <v/>
      </c>
      <c r="F653" s="1" t="e">
        <f t="shared" ca="1" si="3"/>
        <v>#NAME?</v>
      </c>
    </row>
    <row r="654" spans="4:6" ht="12.75">
      <c r="D654" s="1" t="str">
        <f ca="1">IFERROR(__xludf.DUMMYFUNCTION("iferror(SPLIT(C654,""=""))"),"")</f>
        <v/>
      </c>
      <c r="F654" s="1" t="e">
        <f t="shared" ca="1" si="3"/>
        <v>#NAME?</v>
      </c>
    </row>
    <row r="655" spans="4:6" ht="12.75">
      <c r="D655" s="1" t="str">
        <f ca="1">IFERROR(__xludf.DUMMYFUNCTION("iferror(SPLIT(C655,""=""))"),"")</f>
        <v/>
      </c>
      <c r="F655" s="1" t="e">
        <f t="shared" ca="1" si="3"/>
        <v>#NAME?</v>
      </c>
    </row>
    <row r="656" spans="4:6" ht="12.75">
      <c r="D656" s="1" t="str">
        <f ca="1">IFERROR(__xludf.DUMMYFUNCTION("iferror(SPLIT(C656,""=""))"),"")</f>
        <v/>
      </c>
      <c r="F656" s="1" t="e">
        <f t="shared" ca="1" si="3"/>
        <v>#NAME?</v>
      </c>
    </row>
    <row r="657" spans="4:6" ht="12.75">
      <c r="D657" s="1" t="str">
        <f ca="1">IFERROR(__xludf.DUMMYFUNCTION("iferror(SPLIT(C657,""=""))"),"")</f>
        <v/>
      </c>
      <c r="F657" s="1" t="e">
        <f t="shared" ca="1" si="3"/>
        <v>#NAME?</v>
      </c>
    </row>
    <row r="658" spans="4:6" ht="12.75">
      <c r="D658" s="1" t="str">
        <f ca="1">IFERROR(__xludf.DUMMYFUNCTION("iferror(SPLIT(C658,""=""))"),"")</f>
        <v/>
      </c>
      <c r="F658" s="1" t="e">
        <f t="shared" ca="1" si="3"/>
        <v>#NAME?</v>
      </c>
    </row>
    <row r="659" spans="4:6" ht="12.75">
      <c r="D659" s="1" t="str">
        <f ca="1">IFERROR(__xludf.DUMMYFUNCTION("iferror(SPLIT(C659,""=""))"),"")</f>
        <v/>
      </c>
      <c r="F659" s="1" t="e">
        <f t="shared" ca="1" si="3"/>
        <v>#NAME?</v>
      </c>
    </row>
    <row r="660" spans="4:6" ht="12.75">
      <c r="D660" s="1" t="str">
        <f ca="1">IFERROR(__xludf.DUMMYFUNCTION("iferror(SPLIT(C660,""=""))"),"")</f>
        <v/>
      </c>
      <c r="F660" s="1" t="e">
        <f t="shared" ca="1" si="3"/>
        <v>#NAME?</v>
      </c>
    </row>
    <row r="661" spans="4:6" ht="12.75">
      <c r="D661" s="1" t="str">
        <f ca="1">IFERROR(__xludf.DUMMYFUNCTION("iferror(SPLIT(C661,""=""))"),"")</f>
        <v/>
      </c>
      <c r="F661" s="1" t="e">
        <f t="shared" ca="1" si="3"/>
        <v>#NAME?</v>
      </c>
    </row>
    <row r="662" spans="4:6" ht="12.75">
      <c r="D662" s="1" t="str">
        <f ca="1">IFERROR(__xludf.DUMMYFUNCTION("iferror(SPLIT(C662,""=""))"),"")</f>
        <v/>
      </c>
      <c r="F662" s="1" t="e">
        <f t="shared" ca="1" si="3"/>
        <v>#NAME?</v>
      </c>
    </row>
    <row r="663" spans="4:6" ht="12.75">
      <c r="D663" s="1" t="str">
        <f ca="1">IFERROR(__xludf.DUMMYFUNCTION("iferror(SPLIT(C663,""=""))"),"")</f>
        <v/>
      </c>
      <c r="F663" s="1" t="e">
        <f t="shared" ca="1" si="3"/>
        <v>#NAME?</v>
      </c>
    </row>
    <row r="664" spans="4:6" ht="12.75">
      <c r="D664" s="1" t="str">
        <f ca="1">IFERROR(__xludf.DUMMYFUNCTION("iferror(SPLIT(C664,""=""))"),"")</f>
        <v/>
      </c>
      <c r="F664" s="1" t="e">
        <f t="shared" ca="1" si="3"/>
        <v>#NAME?</v>
      </c>
    </row>
    <row r="665" spans="4:6" ht="12.75">
      <c r="D665" s="1" t="str">
        <f ca="1">IFERROR(__xludf.DUMMYFUNCTION("iferror(SPLIT(C665,""=""))"),"")</f>
        <v/>
      </c>
      <c r="F665" s="1" t="e">
        <f t="shared" ca="1" si="3"/>
        <v>#NAME?</v>
      </c>
    </row>
    <row r="666" spans="4:6" ht="12.75">
      <c r="D666" s="1" t="str">
        <f ca="1">IFERROR(__xludf.DUMMYFUNCTION("iferror(SPLIT(C666,""=""))"),"")</f>
        <v/>
      </c>
      <c r="F666" s="1" t="e">
        <f t="shared" ca="1" si="3"/>
        <v>#NAME?</v>
      </c>
    </row>
    <row r="667" spans="4:6" ht="12.75">
      <c r="D667" s="1" t="str">
        <f ca="1">IFERROR(__xludf.DUMMYFUNCTION("iferror(SPLIT(C667,""=""))"),"")</f>
        <v/>
      </c>
      <c r="F667" s="1" t="e">
        <f t="shared" ca="1" si="3"/>
        <v>#NAME?</v>
      </c>
    </row>
    <row r="668" spans="4:6" ht="12.75">
      <c r="D668" s="1" t="str">
        <f ca="1">IFERROR(__xludf.DUMMYFUNCTION("iferror(SPLIT(C668,""=""))"),"")</f>
        <v/>
      </c>
      <c r="F668" s="1" t="e">
        <f t="shared" ca="1" si="3"/>
        <v>#NAME?</v>
      </c>
    </row>
    <row r="669" spans="4:6" ht="12.75">
      <c r="D669" s="1" t="str">
        <f ca="1">IFERROR(__xludf.DUMMYFUNCTION("iferror(SPLIT(C669,""=""))"),"")</f>
        <v/>
      </c>
      <c r="F669" s="1" t="e">
        <f t="shared" ca="1" si="3"/>
        <v>#NAME?</v>
      </c>
    </row>
    <row r="670" spans="4:6" ht="12.75">
      <c r="D670" s="1" t="str">
        <f ca="1">IFERROR(__xludf.DUMMYFUNCTION("iferror(SPLIT(C670,""=""))"),"")</f>
        <v/>
      </c>
      <c r="F670" s="1" t="e">
        <f t="shared" ca="1" si="3"/>
        <v>#NAME?</v>
      </c>
    </row>
    <row r="671" spans="4:6" ht="12.75">
      <c r="D671" s="1" t="str">
        <f ca="1">IFERROR(__xludf.DUMMYFUNCTION("iferror(SPLIT(C671,""=""))"),"")</f>
        <v/>
      </c>
      <c r="F671" s="1" t="e">
        <f t="shared" ca="1" si="3"/>
        <v>#NAME?</v>
      </c>
    </row>
    <row r="672" spans="4:6" ht="12.75">
      <c r="D672" s="1" t="str">
        <f ca="1">IFERROR(__xludf.DUMMYFUNCTION("iferror(SPLIT(C672,""=""))"),"")</f>
        <v/>
      </c>
      <c r="F672" s="1" t="e">
        <f t="shared" ca="1" si="3"/>
        <v>#NAME?</v>
      </c>
    </row>
    <row r="673" spans="4:6" ht="12.75">
      <c r="D673" s="1" t="str">
        <f ca="1">IFERROR(__xludf.DUMMYFUNCTION("iferror(SPLIT(C673,""=""))"),"")</f>
        <v/>
      </c>
      <c r="F673" s="1" t="e">
        <f t="shared" ca="1" si="3"/>
        <v>#NAME?</v>
      </c>
    </row>
    <row r="674" spans="4:6" ht="12.75">
      <c r="D674" s="1" t="str">
        <f ca="1">IFERROR(__xludf.DUMMYFUNCTION("iferror(SPLIT(C674,""=""))"),"")</f>
        <v/>
      </c>
      <c r="F674" s="1" t="e">
        <f t="shared" ca="1" si="3"/>
        <v>#NAME?</v>
      </c>
    </row>
    <row r="675" spans="4:6" ht="12.75">
      <c r="D675" s="1" t="str">
        <f ca="1">IFERROR(__xludf.DUMMYFUNCTION("iferror(SPLIT(C675,""=""))"),"")</f>
        <v/>
      </c>
      <c r="F675" s="1" t="e">
        <f t="shared" ca="1" si="3"/>
        <v>#NAME?</v>
      </c>
    </row>
    <row r="676" spans="4:6" ht="12.75">
      <c r="D676" s="1" t="str">
        <f ca="1">IFERROR(__xludf.DUMMYFUNCTION("iferror(SPLIT(C676,""=""))"),"")</f>
        <v/>
      </c>
      <c r="F676" s="1" t="e">
        <f t="shared" ca="1" si="3"/>
        <v>#NAME?</v>
      </c>
    </row>
    <row r="677" spans="4:6" ht="12.75">
      <c r="D677" s="1" t="str">
        <f ca="1">IFERROR(__xludf.DUMMYFUNCTION("iferror(SPLIT(C677,""=""))"),"")</f>
        <v/>
      </c>
      <c r="F677" s="1" t="e">
        <f t="shared" ca="1" si="3"/>
        <v>#NAME?</v>
      </c>
    </row>
    <row r="678" spans="4:6" ht="12.75">
      <c r="D678" s="1" t="str">
        <f ca="1">IFERROR(__xludf.DUMMYFUNCTION("iferror(SPLIT(C678,""=""))"),"")</f>
        <v/>
      </c>
      <c r="F678" s="1" t="e">
        <f t="shared" ca="1" si="3"/>
        <v>#NAME?</v>
      </c>
    </row>
    <row r="679" spans="4:6" ht="12.75">
      <c r="D679" s="1" t="str">
        <f ca="1">IFERROR(__xludf.DUMMYFUNCTION("iferror(SPLIT(C679,""=""))"),"")</f>
        <v/>
      </c>
      <c r="F679" s="1" t="e">
        <f t="shared" ca="1" si="3"/>
        <v>#NAME?</v>
      </c>
    </row>
    <row r="680" spans="4:6" ht="12.75">
      <c r="D680" s="1" t="str">
        <f ca="1">IFERROR(__xludf.DUMMYFUNCTION("iferror(SPLIT(C680,""=""))"),"")</f>
        <v/>
      </c>
      <c r="F680" s="1" t="e">
        <f t="shared" ca="1" si="3"/>
        <v>#NAME?</v>
      </c>
    </row>
    <row r="681" spans="4:6" ht="12.75">
      <c r="D681" s="1" t="str">
        <f ca="1">IFERROR(__xludf.DUMMYFUNCTION("iferror(SPLIT(C681,""=""))"),"")</f>
        <v/>
      </c>
      <c r="F681" s="1" t="e">
        <f t="shared" ca="1" si="3"/>
        <v>#NAME?</v>
      </c>
    </row>
    <row r="682" spans="4:6" ht="12.75">
      <c r="D682" s="1" t="str">
        <f ca="1">IFERROR(__xludf.DUMMYFUNCTION("iferror(SPLIT(C682,""=""))"),"")</f>
        <v/>
      </c>
      <c r="F682" s="1" t="e">
        <f t="shared" ca="1" si="3"/>
        <v>#NAME?</v>
      </c>
    </row>
    <row r="683" spans="4:6" ht="12.75">
      <c r="D683" s="1" t="str">
        <f ca="1">IFERROR(__xludf.DUMMYFUNCTION("iferror(SPLIT(C683,""=""))"),"")</f>
        <v/>
      </c>
      <c r="F683" s="1" t="e">
        <f t="shared" ca="1" si="3"/>
        <v>#NAME?</v>
      </c>
    </row>
    <row r="684" spans="4:6" ht="12.75">
      <c r="D684" s="1" t="str">
        <f ca="1">IFERROR(__xludf.DUMMYFUNCTION("iferror(SPLIT(C684,""=""))"),"")</f>
        <v/>
      </c>
      <c r="F684" s="1" t="e">
        <f t="shared" ca="1" si="3"/>
        <v>#NAME?</v>
      </c>
    </row>
    <row r="685" spans="4:6" ht="12.75">
      <c r="D685" s="1" t="str">
        <f ca="1">IFERROR(__xludf.DUMMYFUNCTION("iferror(SPLIT(C685,""=""))"),"")</f>
        <v/>
      </c>
      <c r="F685" s="1" t="e">
        <f t="shared" ca="1" si="3"/>
        <v>#NAME?</v>
      </c>
    </row>
    <row r="686" spans="4:6" ht="12.75">
      <c r="D686" s="1" t="str">
        <f ca="1">IFERROR(__xludf.DUMMYFUNCTION("iferror(SPLIT(C686,""=""))"),"")</f>
        <v/>
      </c>
      <c r="F686" s="1" t="e">
        <f t="shared" ca="1" si="3"/>
        <v>#NAME?</v>
      </c>
    </row>
    <row r="687" spans="4:6" ht="12.75">
      <c r="D687" s="1" t="str">
        <f ca="1">IFERROR(__xludf.DUMMYFUNCTION("iferror(SPLIT(C687,""=""))"),"")</f>
        <v/>
      </c>
      <c r="F687" s="1" t="e">
        <f t="shared" ca="1" si="3"/>
        <v>#NAME?</v>
      </c>
    </row>
    <row r="688" spans="4:6" ht="12.75">
      <c r="D688" s="1" t="str">
        <f ca="1">IFERROR(__xludf.DUMMYFUNCTION("iferror(SPLIT(C688,""=""))"),"")</f>
        <v/>
      </c>
      <c r="F688" s="1" t="e">
        <f t="shared" ca="1" si="3"/>
        <v>#NAME?</v>
      </c>
    </row>
    <row r="689" spans="4:6" ht="12.75">
      <c r="D689" s="1" t="str">
        <f ca="1">IFERROR(__xludf.DUMMYFUNCTION("iferror(SPLIT(C689,""=""))"),"")</f>
        <v/>
      </c>
      <c r="F689" s="1" t="e">
        <f t="shared" ca="1" si="3"/>
        <v>#NAME?</v>
      </c>
    </row>
    <row r="690" spans="4:6" ht="12.75">
      <c r="D690" s="1" t="str">
        <f ca="1">IFERROR(__xludf.DUMMYFUNCTION("iferror(SPLIT(C690,""=""))"),"")</f>
        <v/>
      </c>
      <c r="F690" s="1" t="e">
        <f t="shared" ca="1" si="3"/>
        <v>#NAME?</v>
      </c>
    </row>
    <row r="691" spans="4:6" ht="12.75">
      <c r="D691" s="1" t="str">
        <f ca="1">IFERROR(__xludf.DUMMYFUNCTION("iferror(SPLIT(C691,""=""))"),"")</f>
        <v/>
      </c>
      <c r="F691" s="1" t="e">
        <f t="shared" ca="1" si="3"/>
        <v>#NAME?</v>
      </c>
    </row>
    <row r="692" spans="4:6" ht="12.75">
      <c r="D692" s="1" t="str">
        <f ca="1">IFERROR(__xludf.DUMMYFUNCTION("iferror(SPLIT(C692,""=""))"),"")</f>
        <v/>
      </c>
      <c r="F692" s="1" t="e">
        <f t="shared" ca="1" si="3"/>
        <v>#NAME?</v>
      </c>
    </row>
    <row r="693" spans="4:6" ht="12.75">
      <c r="D693" s="1" t="str">
        <f ca="1">IFERROR(__xludf.DUMMYFUNCTION("iferror(SPLIT(C693,""=""))"),"")</f>
        <v/>
      </c>
      <c r="F693" s="1" t="e">
        <f t="shared" ca="1" si="3"/>
        <v>#NAME?</v>
      </c>
    </row>
    <row r="694" spans="4:6" ht="12.75">
      <c r="D694" s="1" t="str">
        <f ca="1">IFERROR(__xludf.DUMMYFUNCTION("iferror(SPLIT(C694,""=""))"),"")</f>
        <v/>
      </c>
      <c r="F694" s="1" t="e">
        <f t="shared" ca="1" si="3"/>
        <v>#NAME?</v>
      </c>
    </row>
    <row r="695" spans="4:6" ht="12.75">
      <c r="D695" s="1" t="str">
        <f ca="1">IFERROR(__xludf.DUMMYFUNCTION("iferror(SPLIT(C695,""=""))"),"")</f>
        <v/>
      </c>
      <c r="F695" s="1" t="e">
        <f t="shared" ca="1" si="3"/>
        <v>#NAME?</v>
      </c>
    </row>
    <row r="696" spans="4:6" ht="12.75">
      <c r="D696" s="1" t="str">
        <f ca="1">IFERROR(__xludf.DUMMYFUNCTION("iferror(SPLIT(C696,""=""))"),"")</f>
        <v/>
      </c>
      <c r="F696" s="1" t="e">
        <f t="shared" ca="1" si="3"/>
        <v>#NAME?</v>
      </c>
    </row>
    <row r="697" spans="4:6" ht="12.75">
      <c r="D697" s="1" t="str">
        <f ca="1">IFERROR(__xludf.DUMMYFUNCTION("iferror(SPLIT(C697,""=""))"),"")</f>
        <v/>
      </c>
      <c r="F697" s="1" t="e">
        <f t="shared" ca="1" si="3"/>
        <v>#NAME?</v>
      </c>
    </row>
    <row r="698" spans="4:6" ht="12.75">
      <c r="D698" s="1" t="str">
        <f ca="1">IFERROR(__xludf.DUMMYFUNCTION("iferror(SPLIT(C698,""=""))"),"")</f>
        <v/>
      </c>
      <c r="F698" s="1" t="e">
        <f t="shared" ca="1" si="3"/>
        <v>#NAME?</v>
      </c>
    </row>
    <row r="699" spans="4:6" ht="12.75">
      <c r="D699" s="1" t="str">
        <f ca="1">IFERROR(__xludf.DUMMYFUNCTION("iferror(SPLIT(C699,""=""))"),"")</f>
        <v/>
      </c>
      <c r="F699" s="1" t="e">
        <f t="shared" ca="1" si="3"/>
        <v>#NAME?</v>
      </c>
    </row>
    <row r="700" spans="4:6" ht="12.75">
      <c r="D700" s="1" t="str">
        <f ca="1">IFERROR(__xludf.DUMMYFUNCTION("iferror(SPLIT(C700,""=""))"),"")</f>
        <v/>
      </c>
      <c r="F700" s="1" t="e">
        <f t="shared" ca="1" si="3"/>
        <v>#NAME?</v>
      </c>
    </row>
    <row r="701" spans="4:6" ht="12.75">
      <c r="D701" s="1" t="str">
        <f ca="1">IFERROR(__xludf.DUMMYFUNCTION("iferror(SPLIT(C701,""=""))"),"")</f>
        <v/>
      </c>
      <c r="F701" s="1" t="e">
        <f t="shared" ca="1" si="3"/>
        <v>#NAME?</v>
      </c>
    </row>
    <row r="702" spans="4:6" ht="12.75">
      <c r="D702" s="1" t="str">
        <f ca="1">IFERROR(__xludf.DUMMYFUNCTION("iferror(SPLIT(C702,""=""))"),"")</f>
        <v/>
      </c>
      <c r="F702" s="1" t="e">
        <f t="shared" ca="1" si="3"/>
        <v>#NAME?</v>
      </c>
    </row>
    <row r="703" spans="4:6" ht="12.75">
      <c r="D703" s="1" t="str">
        <f ca="1">IFERROR(__xludf.DUMMYFUNCTION("iferror(SPLIT(C703,""=""))"),"")</f>
        <v/>
      </c>
      <c r="F703" s="1" t="e">
        <f t="shared" ca="1" si="3"/>
        <v>#NAME?</v>
      </c>
    </row>
    <row r="704" spans="4:6" ht="12.75">
      <c r="D704" s="1" t="str">
        <f ca="1">IFERROR(__xludf.DUMMYFUNCTION("iferror(SPLIT(C704,""=""))"),"")</f>
        <v/>
      </c>
      <c r="F704" s="1" t="e">
        <f t="shared" ca="1" si="3"/>
        <v>#NAME?</v>
      </c>
    </row>
    <row r="705" spans="4:6" ht="12.75">
      <c r="D705" s="1" t="str">
        <f ca="1">IFERROR(__xludf.DUMMYFUNCTION("iferror(SPLIT(C705,""=""))"),"")</f>
        <v/>
      </c>
      <c r="F705" s="1" t="e">
        <f t="shared" ca="1" si="3"/>
        <v>#NAME?</v>
      </c>
    </row>
    <row r="706" spans="4:6" ht="12.75">
      <c r="D706" s="1" t="str">
        <f ca="1">IFERROR(__xludf.DUMMYFUNCTION("iferror(SPLIT(C706,""=""))"),"")</f>
        <v/>
      </c>
      <c r="F706" s="1" t="e">
        <f t="shared" ca="1" si="3"/>
        <v>#NAME?</v>
      </c>
    </row>
    <row r="707" spans="4:6" ht="12.75">
      <c r="D707" s="1" t="str">
        <f ca="1">IFERROR(__xludf.DUMMYFUNCTION("iferror(SPLIT(C707,""=""))"),"")</f>
        <v/>
      </c>
      <c r="F707" s="1" t="e">
        <f t="shared" ca="1" si="3"/>
        <v>#NAME?</v>
      </c>
    </row>
    <row r="708" spans="4:6" ht="12.75">
      <c r="D708" s="1" t="str">
        <f ca="1">IFERROR(__xludf.DUMMYFUNCTION("iferror(SPLIT(C708,""=""))"),"")</f>
        <v/>
      </c>
      <c r="F708" s="1" t="e">
        <f t="shared" ca="1" si="3"/>
        <v>#NAME?</v>
      </c>
    </row>
    <row r="709" spans="4:6" ht="12.75">
      <c r="D709" s="1" t="str">
        <f ca="1">IFERROR(__xludf.DUMMYFUNCTION("iferror(SPLIT(C709,""=""))"),"")</f>
        <v/>
      </c>
      <c r="F709" s="1" t="e">
        <f t="shared" ca="1" si="3"/>
        <v>#NAME?</v>
      </c>
    </row>
    <row r="710" spans="4:6" ht="12.75">
      <c r="D710" s="1" t="str">
        <f ca="1">IFERROR(__xludf.DUMMYFUNCTION("iferror(SPLIT(C710,""=""))"),"")</f>
        <v/>
      </c>
      <c r="F710" s="1" t="e">
        <f t="shared" ca="1" si="3"/>
        <v>#NAME?</v>
      </c>
    </row>
    <row r="711" spans="4:6" ht="12.75">
      <c r="D711" s="1" t="str">
        <f ca="1">IFERROR(__xludf.DUMMYFUNCTION("iferror(SPLIT(C711,""=""))"),"")</f>
        <v/>
      </c>
      <c r="F711" s="1" t="e">
        <f t="shared" ca="1" si="3"/>
        <v>#NAME?</v>
      </c>
    </row>
    <row r="712" spans="4:6" ht="12.75">
      <c r="D712" s="1" t="str">
        <f ca="1">IFERROR(__xludf.DUMMYFUNCTION("iferror(SPLIT(C712,""=""))"),"")</f>
        <v/>
      </c>
      <c r="F712" s="1" t="e">
        <f t="shared" ca="1" si="3"/>
        <v>#NAME?</v>
      </c>
    </row>
    <row r="713" spans="4:6" ht="12.75">
      <c r="D713" s="1" t="str">
        <f ca="1">IFERROR(__xludf.DUMMYFUNCTION("iferror(SPLIT(C713,""=""))"),"")</f>
        <v/>
      </c>
      <c r="F713" s="1" t="e">
        <f t="shared" ca="1" si="3"/>
        <v>#NAME?</v>
      </c>
    </row>
    <row r="714" spans="4:6" ht="12.75">
      <c r="D714" s="1" t="str">
        <f ca="1">IFERROR(__xludf.DUMMYFUNCTION("iferror(SPLIT(C714,""=""))"),"")</f>
        <v/>
      </c>
      <c r="F714" s="1" t="e">
        <f t="shared" ca="1" si="3"/>
        <v>#NAME?</v>
      </c>
    </row>
    <row r="715" spans="4:6" ht="12.75">
      <c r="D715" s="1" t="str">
        <f ca="1">IFERROR(__xludf.DUMMYFUNCTION("iferror(SPLIT(C715,""=""))"),"")</f>
        <v/>
      </c>
      <c r="F715" s="1" t="e">
        <f t="shared" ca="1" si="3"/>
        <v>#NAME?</v>
      </c>
    </row>
    <row r="716" spans="4:6" ht="12.75">
      <c r="D716" s="1" t="str">
        <f ca="1">IFERROR(__xludf.DUMMYFUNCTION("iferror(SPLIT(C716,""=""))"),"")</f>
        <v/>
      </c>
      <c r="F716" s="1" t="e">
        <f t="shared" ca="1" si="3"/>
        <v>#NAME?</v>
      </c>
    </row>
    <row r="717" spans="4:6" ht="12.75">
      <c r="D717" s="1" t="str">
        <f ca="1">IFERROR(__xludf.DUMMYFUNCTION("iferror(SPLIT(C717,""=""))"),"")</f>
        <v/>
      </c>
      <c r="F717" s="1" t="e">
        <f t="shared" ca="1" si="3"/>
        <v>#NAME?</v>
      </c>
    </row>
    <row r="718" spans="4:6" ht="12.75">
      <c r="D718" s="1" t="str">
        <f ca="1">IFERROR(__xludf.DUMMYFUNCTION("iferror(SPLIT(C718,""=""))"),"")</f>
        <v/>
      </c>
      <c r="F718" s="1" t="e">
        <f t="shared" ca="1" si="3"/>
        <v>#NAME?</v>
      </c>
    </row>
    <row r="719" spans="4:6" ht="12.75">
      <c r="D719" s="1" t="str">
        <f ca="1">IFERROR(__xludf.DUMMYFUNCTION("iferror(SPLIT(C719,""=""))"),"")</f>
        <v/>
      </c>
      <c r="F719" s="1" t="e">
        <f t="shared" ca="1" si="3"/>
        <v>#NAME?</v>
      </c>
    </row>
    <row r="720" spans="4:6" ht="12.75">
      <c r="D720" s="1" t="str">
        <f ca="1">IFERROR(__xludf.DUMMYFUNCTION("iferror(SPLIT(C720,""=""))"),"")</f>
        <v/>
      </c>
      <c r="F720" s="1" t="e">
        <f t="shared" ca="1" si="3"/>
        <v>#NAME?</v>
      </c>
    </row>
    <row r="721" spans="4:6" ht="12.75">
      <c r="D721" s="1" t="str">
        <f ca="1">IFERROR(__xludf.DUMMYFUNCTION("iferror(SPLIT(C721,""=""))"),"")</f>
        <v/>
      </c>
      <c r="F721" s="1" t="e">
        <f t="shared" ca="1" si="3"/>
        <v>#NAME?</v>
      </c>
    </row>
    <row r="722" spans="4:6" ht="12.75">
      <c r="D722" s="1" t="str">
        <f ca="1">IFERROR(__xludf.DUMMYFUNCTION("iferror(SPLIT(C722,""=""))"),"")</f>
        <v/>
      </c>
      <c r="F722" s="1" t="e">
        <f t="shared" ca="1" si="3"/>
        <v>#NAME?</v>
      </c>
    </row>
    <row r="723" spans="4:6" ht="12.75">
      <c r="D723" s="1" t="str">
        <f ca="1">IFERROR(__xludf.DUMMYFUNCTION("iferror(SPLIT(C723,""=""))"),"")</f>
        <v/>
      </c>
      <c r="F723" s="1" t="e">
        <f t="shared" ca="1" si="3"/>
        <v>#NAME?</v>
      </c>
    </row>
    <row r="724" spans="4:6" ht="12.75">
      <c r="D724" s="1" t="str">
        <f ca="1">IFERROR(__xludf.DUMMYFUNCTION("iferror(SPLIT(C724,""=""))"),"")</f>
        <v/>
      </c>
      <c r="F724" s="1" t="e">
        <f t="shared" ca="1" si="3"/>
        <v>#NAME?</v>
      </c>
    </row>
    <row r="725" spans="4:6" ht="12.75">
      <c r="D725" s="1" t="str">
        <f ca="1">IFERROR(__xludf.DUMMYFUNCTION("iferror(SPLIT(C725,""=""))"),"")</f>
        <v/>
      </c>
      <c r="F725" s="1" t="e">
        <f t="shared" ca="1" si="3"/>
        <v>#NAME?</v>
      </c>
    </row>
    <row r="726" spans="4:6" ht="12.75">
      <c r="D726" s="1" t="str">
        <f ca="1">IFERROR(__xludf.DUMMYFUNCTION("iferror(SPLIT(C726,""=""))"),"")</f>
        <v/>
      </c>
      <c r="F726" s="1" t="e">
        <f t="shared" ca="1" si="3"/>
        <v>#NAME?</v>
      </c>
    </row>
    <row r="727" spans="4:6" ht="12.75">
      <c r="D727" s="1" t="str">
        <f ca="1">IFERROR(__xludf.DUMMYFUNCTION("iferror(SPLIT(C727,""=""))"),"")</f>
        <v/>
      </c>
      <c r="F727" s="1" t="e">
        <f t="shared" ca="1" si="3"/>
        <v>#NAME?</v>
      </c>
    </row>
    <row r="728" spans="4:6" ht="12.75">
      <c r="D728" s="1" t="str">
        <f ca="1">IFERROR(__xludf.DUMMYFUNCTION("iferror(SPLIT(C728,""=""))"),"")</f>
        <v/>
      </c>
      <c r="F728" s="1" t="e">
        <f t="shared" ca="1" si="3"/>
        <v>#NAME?</v>
      </c>
    </row>
    <row r="729" spans="4:6" ht="12.75">
      <c r="D729" s="1" t="str">
        <f ca="1">IFERROR(__xludf.DUMMYFUNCTION("iferror(SPLIT(C729,""=""))"),"")</f>
        <v/>
      </c>
      <c r="F729" s="1" t="e">
        <f t="shared" ca="1" si="3"/>
        <v>#NAME?</v>
      </c>
    </row>
    <row r="730" spans="4:6" ht="12.75">
      <c r="D730" s="1" t="str">
        <f ca="1">IFERROR(__xludf.DUMMYFUNCTION("iferror(SPLIT(C730,""=""))"),"")</f>
        <v/>
      </c>
      <c r="F730" s="1" t="e">
        <f t="shared" ca="1" si="3"/>
        <v>#NAME?</v>
      </c>
    </row>
    <row r="731" spans="4:6" ht="12.75">
      <c r="D731" s="1" t="str">
        <f ca="1">IFERROR(__xludf.DUMMYFUNCTION("iferror(SPLIT(C731,""=""))"),"")</f>
        <v/>
      </c>
      <c r="F731" s="1" t="e">
        <f t="shared" ca="1" si="3"/>
        <v>#NAME?</v>
      </c>
    </row>
    <row r="732" spans="4:6" ht="12.75">
      <c r="D732" s="1" t="str">
        <f ca="1">IFERROR(__xludf.DUMMYFUNCTION("iferror(SPLIT(C732,""=""))"),"")</f>
        <v/>
      </c>
      <c r="F732" s="1" t="e">
        <f t="shared" ca="1" si="3"/>
        <v>#NAME?</v>
      </c>
    </row>
    <row r="733" spans="4:6" ht="12.75">
      <c r="D733" s="1" t="str">
        <f ca="1">IFERROR(__xludf.DUMMYFUNCTION("iferror(SPLIT(C733,""=""))"),"")</f>
        <v/>
      </c>
      <c r="F733" s="1" t="e">
        <f t="shared" ca="1" si="3"/>
        <v>#NAME?</v>
      </c>
    </row>
    <row r="734" spans="4:6" ht="12.75">
      <c r="D734" s="1" t="str">
        <f ca="1">IFERROR(__xludf.DUMMYFUNCTION("iferror(SPLIT(C734,""=""))"),"")</f>
        <v/>
      </c>
      <c r="F734" s="1" t="e">
        <f t="shared" ca="1" si="3"/>
        <v>#NAME?</v>
      </c>
    </row>
    <row r="735" spans="4:6" ht="12.75">
      <c r="D735" s="1" t="str">
        <f ca="1">IFERROR(__xludf.DUMMYFUNCTION("iferror(SPLIT(C735,""=""))"),"")</f>
        <v/>
      </c>
      <c r="F735" s="1" t="e">
        <f t="shared" ca="1" si="3"/>
        <v>#NAME?</v>
      </c>
    </row>
    <row r="736" spans="4:6" ht="12.75">
      <c r="D736" s="1" t="str">
        <f ca="1">IFERROR(__xludf.DUMMYFUNCTION("iferror(SPLIT(C736,""=""))"),"")</f>
        <v/>
      </c>
      <c r="F736" s="1" t="e">
        <f t="shared" ca="1" si="3"/>
        <v>#NAME?</v>
      </c>
    </row>
    <row r="737" spans="4:6" ht="12.75">
      <c r="D737" s="1" t="str">
        <f ca="1">IFERROR(__xludf.DUMMYFUNCTION("iferror(SPLIT(C737,""=""))"),"")</f>
        <v/>
      </c>
      <c r="F737" s="1" t="e">
        <f t="shared" ca="1" si="3"/>
        <v>#NAME?</v>
      </c>
    </row>
    <row r="738" spans="4:6" ht="12.75">
      <c r="D738" s="1" t="str">
        <f ca="1">IFERROR(__xludf.DUMMYFUNCTION("iferror(SPLIT(C738,""=""))"),"")</f>
        <v/>
      </c>
      <c r="F738" s="1" t="e">
        <f t="shared" ca="1" si="3"/>
        <v>#NAME?</v>
      </c>
    </row>
    <row r="739" spans="4:6" ht="12.75">
      <c r="D739" s="1" t="str">
        <f ca="1">IFERROR(__xludf.DUMMYFUNCTION("iferror(SPLIT(C739,""=""))"),"")</f>
        <v/>
      </c>
      <c r="F739" s="1" t="e">
        <f t="shared" ca="1" si="3"/>
        <v>#NAME?</v>
      </c>
    </row>
    <row r="740" spans="4:6" ht="12.75">
      <c r="D740" s="1" t="str">
        <f ca="1">IFERROR(__xludf.DUMMYFUNCTION("iferror(SPLIT(C740,""=""))"),"")</f>
        <v/>
      </c>
      <c r="F740" s="1" t="e">
        <f t="shared" ca="1" si="3"/>
        <v>#NAME?</v>
      </c>
    </row>
    <row r="741" spans="4:6" ht="12.75">
      <c r="D741" s="1" t="str">
        <f ca="1">IFERROR(__xludf.DUMMYFUNCTION("iferror(SPLIT(C741,""=""))"),"")</f>
        <v/>
      </c>
      <c r="F741" s="1" t="e">
        <f t="shared" ca="1" si="3"/>
        <v>#NAME?</v>
      </c>
    </row>
    <row r="742" spans="4:6" ht="12.75">
      <c r="D742" s="1" t="str">
        <f ca="1">IFERROR(__xludf.DUMMYFUNCTION("iferror(SPLIT(C742,""=""))"),"")</f>
        <v/>
      </c>
      <c r="F742" s="1" t="e">
        <f t="shared" ca="1" si="3"/>
        <v>#NAME?</v>
      </c>
    </row>
    <row r="743" spans="4:6" ht="12.75">
      <c r="D743" s="1" t="str">
        <f ca="1">IFERROR(__xludf.DUMMYFUNCTION("iferror(SPLIT(C743,""=""))"),"")</f>
        <v/>
      </c>
      <c r="F743" s="1" t="e">
        <f t="shared" ca="1" si="3"/>
        <v>#NAME?</v>
      </c>
    </row>
    <row r="744" spans="4:6" ht="12.75">
      <c r="D744" s="1" t="str">
        <f ca="1">IFERROR(__xludf.DUMMYFUNCTION("iferror(SPLIT(C744,""=""))"),"")</f>
        <v/>
      </c>
      <c r="F744" s="1" t="e">
        <f t="shared" ca="1" si="3"/>
        <v>#NAME?</v>
      </c>
    </row>
    <row r="745" spans="4:6" ht="12.75">
      <c r="D745" s="1" t="str">
        <f ca="1">IFERROR(__xludf.DUMMYFUNCTION("iferror(SPLIT(C745,""=""))"),"")</f>
        <v/>
      </c>
      <c r="F745" s="1" t="e">
        <f t="shared" ca="1" si="3"/>
        <v>#NAME?</v>
      </c>
    </row>
    <row r="746" spans="4:6" ht="12.75">
      <c r="D746" s="1" t="str">
        <f ca="1">IFERROR(__xludf.DUMMYFUNCTION("iferror(SPLIT(C746,""=""))"),"")</f>
        <v/>
      </c>
      <c r="F746" s="1" t="e">
        <f t="shared" ca="1" si="3"/>
        <v>#NAME?</v>
      </c>
    </row>
    <row r="747" spans="4:6" ht="12.75">
      <c r="D747" s="1" t="str">
        <f ca="1">IFERROR(__xludf.DUMMYFUNCTION("iferror(SPLIT(C747,""=""))"),"")</f>
        <v/>
      </c>
      <c r="F747" s="1" t="e">
        <f t="shared" ca="1" si="3"/>
        <v>#NAME?</v>
      </c>
    </row>
    <row r="748" spans="4:6" ht="12.75">
      <c r="D748" s="1" t="str">
        <f ca="1">IFERROR(__xludf.DUMMYFUNCTION("iferror(SPLIT(C748,""=""))"),"")</f>
        <v/>
      </c>
      <c r="F748" s="1" t="e">
        <f t="shared" ca="1" si="3"/>
        <v>#NAME?</v>
      </c>
    </row>
    <row r="749" spans="4:6" ht="12.75">
      <c r="D749" s="1" t="str">
        <f ca="1">IFERROR(__xludf.DUMMYFUNCTION("iferror(SPLIT(C749,""=""))"),"")</f>
        <v/>
      </c>
      <c r="F749" s="1" t="e">
        <f t="shared" ca="1" si="3"/>
        <v>#NAME?</v>
      </c>
    </row>
    <row r="750" spans="4:6" ht="12.75">
      <c r="D750" s="1" t="str">
        <f ca="1">IFERROR(__xludf.DUMMYFUNCTION("iferror(SPLIT(C750,""=""))"),"")</f>
        <v/>
      </c>
      <c r="F750" s="1" t="e">
        <f t="shared" ca="1" si="3"/>
        <v>#NAME?</v>
      </c>
    </row>
    <row r="751" spans="4:6" ht="12.75">
      <c r="D751" s="1" t="str">
        <f ca="1">IFERROR(__xludf.DUMMYFUNCTION("iferror(SPLIT(C751,""=""))"),"")</f>
        <v/>
      </c>
      <c r="F751" s="1" t="e">
        <f t="shared" ca="1" si="3"/>
        <v>#NAME?</v>
      </c>
    </row>
    <row r="752" spans="4:6" ht="12.75">
      <c r="D752" s="1" t="str">
        <f ca="1">IFERROR(__xludf.DUMMYFUNCTION("iferror(SPLIT(C752,""=""))"),"")</f>
        <v/>
      </c>
      <c r="F752" s="1" t="e">
        <f t="shared" ca="1" si="3"/>
        <v>#NAME?</v>
      </c>
    </row>
    <row r="753" spans="4:6" ht="12.75">
      <c r="D753" s="1" t="str">
        <f ca="1">IFERROR(__xludf.DUMMYFUNCTION("iferror(SPLIT(C753,""=""))"),"")</f>
        <v/>
      </c>
      <c r="F753" s="1" t="e">
        <f t="shared" ca="1" si="3"/>
        <v>#NAME?</v>
      </c>
    </row>
    <row r="754" spans="4:6" ht="12.75">
      <c r="D754" s="1" t="str">
        <f ca="1">IFERROR(__xludf.DUMMYFUNCTION("iferror(SPLIT(C754,""=""))"),"")</f>
        <v/>
      </c>
      <c r="F754" s="1" t="e">
        <f t="shared" ca="1" si="3"/>
        <v>#NAME?</v>
      </c>
    </row>
    <row r="755" spans="4:6" ht="12.75">
      <c r="D755" s="1" t="str">
        <f ca="1">IFERROR(__xludf.DUMMYFUNCTION("iferror(SPLIT(C755,""=""))"),"")</f>
        <v/>
      </c>
      <c r="F755" s="1" t="e">
        <f t="shared" ca="1" si="3"/>
        <v>#NAME?</v>
      </c>
    </row>
    <row r="756" spans="4:6" ht="12.75">
      <c r="D756" s="1" t="str">
        <f ca="1">IFERROR(__xludf.DUMMYFUNCTION("iferror(SPLIT(C756,""=""))"),"")</f>
        <v/>
      </c>
      <c r="F756" s="1" t="e">
        <f t="shared" ca="1" si="3"/>
        <v>#NAME?</v>
      </c>
    </row>
    <row r="757" spans="4:6" ht="12.75">
      <c r="D757" s="1" t="str">
        <f ca="1">IFERROR(__xludf.DUMMYFUNCTION("iferror(SPLIT(C757,""=""))"),"")</f>
        <v/>
      </c>
      <c r="F757" s="1" t="e">
        <f t="shared" ca="1" si="3"/>
        <v>#NAME?</v>
      </c>
    </row>
    <row r="758" spans="4:6" ht="12.75">
      <c r="D758" s="1" t="str">
        <f ca="1">IFERROR(__xludf.DUMMYFUNCTION("iferror(SPLIT(C758,""=""))"),"")</f>
        <v/>
      </c>
      <c r="F758" s="1" t="e">
        <f t="shared" ca="1" si="3"/>
        <v>#NAME?</v>
      </c>
    </row>
    <row r="759" spans="4:6" ht="12.75">
      <c r="D759" s="1" t="str">
        <f ca="1">IFERROR(__xludf.DUMMYFUNCTION("iferror(SPLIT(C759,""=""))"),"")</f>
        <v/>
      </c>
      <c r="F759" s="1" t="e">
        <f t="shared" ca="1" si="3"/>
        <v>#NAME?</v>
      </c>
    </row>
    <row r="760" spans="4:6" ht="12.75">
      <c r="D760" s="1" t="str">
        <f ca="1">IFERROR(__xludf.DUMMYFUNCTION("iferror(SPLIT(C760,""=""))"),"")</f>
        <v/>
      </c>
      <c r="F760" s="1" t="e">
        <f t="shared" ca="1" si="3"/>
        <v>#NAME?</v>
      </c>
    </row>
    <row r="761" spans="4:6" ht="12.75">
      <c r="D761" s="1" t="str">
        <f ca="1">IFERROR(__xludf.DUMMYFUNCTION("iferror(SPLIT(C761,""=""))"),"")</f>
        <v/>
      </c>
      <c r="F761" s="1" t="e">
        <f t="shared" ca="1" si="3"/>
        <v>#NAME?</v>
      </c>
    </row>
    <row r="762" spans="4:6" ht="12.75">
      <c r="D762" s="1" t="str">
        <f ca="1">IFERROR(__xludf.DUMMYFUNCTION("iferror(SPLIT(C762,""=""))"),"")</f>
        <v/>
      </c>
      <c r="F762" s="1" t="e">
        <f t="shared" ca="1" si="3"/>
        <v>#NAME?</v>
      </c>
    </row>
    <row r="763" spans="4:6" ht="12.75">
      <c r="D763" s="1" t="str">
        <f ca="1">IFERROR(__xludf.DUMMYFUNCTION("iferror(SPLIT(C763,""=""))"),"")</f>
        <v/>
      </c>
      <c r="F763" s="1" t="e">
        <f t="shared" ca="1" si="3"/>
        <v>#NAME?</v>
      </c>
    </row>
    <row r="764" spans="4:6" ht="12.75">
      <c r="D764" s="1" t="str">
        <f ca="1">IFERROR(__xludf.DUMMYFUNCTION("iferror(SPLIT(C764,""=""))"),"")</f>
        <v/>
      </c>
      <c r="F764" s="1" t="e">
        <f t="shared" ca="1" si="3"/>
        <v>#NAME?</v>
      </c>
    </row>
    <row r="765" spans="4:6" ht="12.75">
      <c r="D765" s="1" t="str">
        <f ca="1">IFERROR(__xludf.DUMMYFUNCTION("iferror(SPLIT(C765,""=""))"),"")</f>
        <v/>
      </c>
      <c r="F765" s="1" t="e">
        <f t="shared" ca="1" si="3"/>
        <v>#NAME?</v>
      </c>
    </row>
    <row r="766" spans="4:6" ht="12.75">
      <c r="D766" s="1" t="str">
        <f ca="1">IFERROR(__xludf.DUMMYFUNCTION("iferror(SPLIT(C766,""=""))"),"")</f>
        <v/>
      </c>
      <c r="F766" s="1" t="e">
        <f t="shared" ca="1" si="3"/>
        <v>#NAME?</v>
      </c>
    </row>
    <row r="767" spans="4:6" ht="12.75">
      <c r="D767" s="1" t="str">
        <f ca="1">IFERROR(__xludf.DUMMYFUNCTION("iferror(SPLIT(C767,""=""))"),"")</f>
        <v/>
      </c>
      <c r="F767" s="1" t="e">
        <f t="shared" ca="1" si="3"/>
        <v>#NAME?</v>
      </c>
    </row>
    <row r="768" spans="4:6" ht="12.75">
      <c r="D768" s="1" t="str">
        <f ca="1">IFERROR(__xludf.DUMMYFUNCTION("iferror(SPLIT(C768,""=""))"),"")</f>
        <v/>
      </c>
      <c r="F768" s="1" t="e">
        <f t="shared" ca="1" si="3"/>
        <v>#NAME?</v>
      </c>
    </row>
    <row r="769" spans="4:6" ht="12.75">
      <c r="D769" s="1" t="str">
        <f ca="1">IFERROR(__xludf.DUMMYFUNCTION("iferror(SPLIT(C769,""=""))"),"")</f>
        <v/>
      </c>
      <c r="F769" s="1" t="e">
        <f t="shared" ca="1" si="3"/>
        <v>#NAME?</v>
      </c>
    </row>
    <row r="770" spans="4:6" ht="12.75">
      <c r="D770" s="1" t="str">
        <f ca="1">IFERROR(__xludf.DUMMYFUNCTION("iferror(SPLIT(C770,""=""))"),"")</f>
        <v/>
      </c>
      <c r="F770" s="1" t="e">
        <f t="shared" ca="1" si="3"/>
        <v>#NAME?</v>
      </c>
    </row>
    <row r="771" spans="4:6" ht="12.75">
      <c r="D771" s="1" t="str">
        <f ca="1">IFERROR(__xludf.DUMMYFUNCTION("iferror(SPLIT(C771,""=""))"),"")</f>
        <v/>
      </c>
      <c r="F771" s="1" t="e">
        <f t="shared" ca="1" si="3"/>
        <v>#NAME?</v>
      </c>
    </row>
    <row r="772" spans="4:6" ht="12.75">
      <c r="D772" s="1" t="str">
        <f ca="1">IFERROR(__xludf.DUMMYFUNCTION("iferror(SPLIT(C772,""=""))"),"")</f>
        <v/>
      </c>
      <c r="F772" s="1" t="e">
        <f t="shared" ca="1" si="3"/>
        <v>#NAME?</v>
      </c>
    </row>
    <row r="773" spans="4:6" ht="12.75">
      <c r="D773" s="1" t="str">
        <f ca="1">IFERROR(__xludf.DUMMYFUNCTION("iferror(SPLIT(C773,""=""))"),"")</f>
        <v/>
      </c>
      <c r="F773" s="1" t="e">
        <f t="shared" ca="1" si="3"/>
        <v>#NAME?</v>
      </c>
    </row>
    <row r="774" spans="4:6" ht="12.75">
      <c r="D774" s="1" t="str">
        <f ca="1">IFERROR(__xludf.DUMMYFUNCTION("iferror(SPLIT(C774,""=""))"),"")</f>
        <v/>
      </c>
      <c r="F774" s="1" t="e">
        <f t="shared" ref="F774:F1028" ca="1" si="4">IMAGE($F$1&amp;E774)</f>
        <v>#NAME?</v>
      </c>
    </row>
    <row r="775" spans="4:6" ht="12.75">
      <c r="D775" s="1" t="str">
        <f ca="1">IFERROR(__xludf.DUMMYFUNCTION("iferror(SPLIT(C775,""=""))"),"")</f>
        <v/>
      </c>
      <c r="F775" s="1" t="e">
        <f t="shared" ca="1" si="4"/>
        <v>#NAME?</v>
      </c>
    </row>
    <row r="776" spans="4:6" ht="12.75">
      <c r="D776" s="1" t="str">
        <f ca="1">IFERROR(__xludf.DUMMYFUNCTION("iferror(SPLIT(C776,""=""))"),"")</f>
        <v/>
      </c>
      <c r="F776" s="1" t="e">
        <f t="shared" ca="1" si="4"/>
        <v>#NAME?</v>
      </c>
    </row>
    <row r="777" spans="4:6" ht="12.75">
      <c r="D777" s="1" t="str">
        <f ca="1">IFERROR(__xludf.DUMMYFUNCTION("iferror(SPLIT(C777,""=""))"),"")</f>
        <v/>
      </c>
      <c r="F777" s="1" t="e">
        <f t="shared" ca="1" si="4"/>
        <v>#NAME?</v>
      </c>
    </row>
    <row r="778" spans="4:6" ht="12.75">
      <c r="D778" s="1" t="str">
        <f ca="1">IFERROR(__xludf.DUMMYFUNCTION("iferror(SPLIT(C778,""=""))"),"")</f>
        <v/>
      </c>
      <c r="F778" s="1" t="e">
        <f t="shared" ca="1" si="4"/>
        <v>#NAME?</v>
      </c>
    </row>
    <row r="779" spans="4:6" ht="12.75">
      <c r="D779" s="1" t="str">
        <f ca="1">IFERROR(__xludf.DUMMYFUNCTION("iferror(SPLIT(C779,""=""))"),"")</f>
        <v/>
      </c>
      <c r="F779" s="1" t="e">
        <f t="shared" ca="1" si="4"/>
        <v>#NAME?</v>
      </c>
    </row>
    <row r="780" spans="4:6" ht="12.75">
      <c r="D780" s="1" t="str">
        <f ca="1">IFERROR(__xludf.DUMMYFUNCTION("iferror(SPLIT(C780,""=""))"),"")</f>
        <v/>
      </c>
      <c r="F780" s="1" t="e">
        <f t="shared" ca="1" si="4"/>
        <v>#NAME?</v>
      </c>
    </row>
    <row r="781" spans="4:6" ht="12.75">
      <c r="D781" s="1" t="str">
        <f ca="1">IFERROR(__xludf.DUMMYFUNCTION("iferror(SPLIT(C781,""=""))"),"")</f>
        <v/>
      </c>
      <c r="F781" s="1" t="e">
        <f t="shared" ca="1" si="4"/>
        <v>#NAME?</v>
      </c>
    </row>
    <row r="782" spans="4:6" ht="12.75">
      <c r="D782" s="1" t="str">
        <f ca="1">IFERROR(__xludf.DUMMYFUNCTION("iferror(SPLIT(C782,""=""))"),"")</f>
        <v/>
      </c>
      <c r="F782" s="1" t="e">
        <f t="shared" ca="1" si="4"/>
        <v>#NAME?</v>
      </c>
    </row>
    <row r="783" spans="4:6" ht="12.75">
      <c r="D783" s="1" t="str">
        <f ca="1">IFERROR(__xludf.DUMMYFUNCTION("iferror(SPLIT(C783,""=""))"),"")</f>
        <v/>
      </c>
      <c r="F783" s="1" t="e">
        <f t="shared" ca="1" si="4"/>
        <v>#NAME?</v>
      </c>
    </row>
    <row r="784" spans="4:6" ht="12.75">
      <c r="D784" s="1" t="str">
        <f ca="1">IFERROR(__xludf.DUMMYFUNCTION("iferror(SPLIT(C784,""=""))"),"")</f>
        <v/>
      </c>
      <c r="F784" s="1" t="e">
        <f t="shared" ca="1" si="4"/>
        <v>#NAME?</v>
      </c>
    </row>
    <row r="785" spans="4:6" ht="12.75">
      <c r="D785" s="1" t="str">
        <f ca="1">IFERROR(__xludf.DUMMYFUNCTION("iferror(SPLIT(C785,""=""))"),"")</f>
        <v/>
      </c>
      <c r="F785" s="1" t="e">
        <f t="shared" ca="1" si="4"/>
        <v>#NAME?</v>
      </c>
    </row>
    <row r="786" spans="4:6" ht="12.75">
      <c r="D786" s="1" t="str">
        <f ca="1">IFERROR(__xludf.DUMMYFUNCTION("iferror(SPLIT(C786,""=""))"),"")</f>
        <v/>
      </c>
      <c r="F786" s="1" t="e">
        <f t="shared" ca="1" si="4"/>
        <v>#NAME?</v>
      </c>
    </row>
    <row r="787" spans="4:6" ht="12.75">
      <c r="D787" s="1" t="str">
        <f ca="1">IFERROR(__xludf.DUMMYFUNCTION("iferror(SPLIT(C787,""=""))"),"")</f>
        <v/>
      </c>
      <c r="F787" s="1" t="e">
        <f t="shared" ca="1" si="4"/>
        <v>#NAME?</v>
      </c>
    </row>
    <row r="788" spans="4:6" ht="12.75">
      <c r="D788" s="1" t="str">
        <f ca="1">IFERROR(__xludf.DUMMYFUNCTION("iferror(SPLIT(C788,""=""))"),"")</f>
        <v/>
      </c>
      <c r="F788" s="1" t="e">
        <f t="shared" ca="1" si="4"/>
        <v>#NAME?</v>
      </c>
    </row>
    <row r="789" spans="4:6" ht="12.75">
      <c r="D789" s="1" t="str">
        <f ca="1">IFERROR(__xludf.DUMMYFUNCTION("iferror(SPLIT(C789,""=""))"),"")</f>
        <v/>
      </c>
      <c r="F789" s="1" t="e">
        <f t="shared" ca="1" si="4"/>
        <v>#NAME?</v>
      </c>
    </row>
    <row r="790" spans="4:6" ht="12.75">
      <c r="D790" s="1" t="str">
        <f ca="1">IFERROR(__xludf.DUMMYFUNCTION("iferror(SPLIT(C790,""=""))"),"")</f>
        <v/>
      </c>
      <c r="F790" s="1" t="e">
        <f t="shared" ca="1" si="4"/>
        <v>#NAME?</v>
      </c>
    </row>
    <row r="791" spans="4:6" ht="12.75">
      <c r="D791" s="1" t="str">
        <f ca="1">IFERROR(__xludf.DUMMYFUNCTION("iferror(SPLIT(C791,""=""))"),"")</f>
        <v/>
      </c>
      <c r="F791" s="1" t="e">
        <f t="shared" ca="1" si="4"/>
        <v>#NAME?</v>
      </c>
    </row>
    <row r="792" spans="4:6" ht="12.75">
      <c r="D792" s="1" t="str">
        <f ca="1">IFERROR(__xludf.DUMMYFUNCTION("iferror(SPLIT(C792,""=""))"),"")</f>
        <v/>
      </c>
      <c r="F792" s="1" t="e">
        <f t="shared" ca="1" si="4"/>
        <v>#NAME?</v>
      </c>
    </row>
    <row r="793" spans="4:6" ht="12.75">
      <c r="D793" s="1" t="str">
        <f ca="1">IFERROR(__xludf.DUMMYFUNCTION("iferror(SPLIT(C793,""=""))"),"")</f>
        <v/>
      </c>
      <c r="F793" s="1" t="e">
        <f t="shared" ca="1" si="4"/>
        <v>#NAME?</v>
      </c>
    </row>
    <row r="794" spans="4:6" ht="12.75">
      <c r="D794" s="1" t="str">
        <f ca="1">IFERROR(__xludf.DUMMYFUNCTION("iferror(SPLIT(C794,""=""))"),"")</f>
        <v/>
      </c>
      <c r="F794" s="1" t="e">
        <f t="shared" ca="1" si="4"/>
        <v>#NAME?</v>
      </c>
    </row>
    <row r="795" spans="4:6" ht="12.75">
      <c r="D795" s="1" t="str">
        <f ca="1">IFERROR(__xludf.DUMMYFUNCTION("iferror(SPLIT(C795,""=""))"),"")</f>
        <v/>
      </c>
      <c r="F795" s="1" t="e">
        <f t="shared" ca="1" si="4"/>
        <v>#NAME?</v>
      </c>
    </row>
    <row r="796" spans="4:6" ht="12.75">
      <c r="D796" s="1" t="str">
        <f ca="1">IFERROR(__xludf.DUMMYFUNCTION("iferror(SPLIT(C796,""=""))"),"")</f>
        <v/>
      </c>
      <c r="F796" s="1" t="e">
        <f t="shared" ca="1" si="4"/>
        <v>#NAME?</v>
      </c>
    </row>
    <row r="797" spans="4:6" ht="12.75">
      <c r="D797" s="1" t="str">
        <f ca="1">IFERROR(__xludf.DUMMYFUNCTION("iferror(SPLIT(C797,""=""))"),"")</f>
        <v/>
      </c>
      <c r="F797" s="1" t="e">
        <f t="shared" ca="1" si="4"/>
        <v>#NAME?</v>
      </c>
    </row>
    <row r="798" spans="4:6" ht="12.75">
      <c r="D798" s="1" t="str">
        <f ca="1">IFERROR(__xludf.DUMMYFUNCTION("iferror(SPLIT(C798,""=""))"),"")</f>
        <v/>
      </c>
      <c r="F798" s="1" t="e">
        <f t="shared" ca="1" si="4"/>
        <v>#NAME?</v>
      </c>
    </row>
    <row r="799" spans="4:6" ht="12.75">
      <c r="D799" s="1" t="str">
        <f ca="1">IFERROR(__xludf.DUMMYFUNCTION("iferror(SPLIT(C799,""=""))"),"")</f>
        <v/>
      </c>
      <c r="F799" s="1" t="e">
        <f t="shared" ca="1" si="4"/>
        <v>#NAME?</v>
      </c>
    </row>
    <row r="800" spans="4:6" ht="12.75">
      <c r="D800" s="1" t="str">
        <f ca="1">IFERROR(__xludf.DUMMYFUNCTION("iferror(SPLIT(C800,""=""))"),"")</f>
        <v/>
      </c>
      <c r="F800" s="1" t="e">
        <f t="shared" ca="1" si="4"/>
        <v>#NAME?</v>
      </c>
    </row>
    <row r="801" spans="4:6" ht="12.75">
      <c r="D801" s="1" t="str">
        <f ca="1">IFERROR(__xludf.DUMMYFUNCTION("iferror(SPLIT(C801,""=""))"),"")</f>
        <v/>
      </c>
      <c r="F801" s="1" t="e">
        <f t="shared" ca="1" si="4"/>
        <v>#NAME?</v>
      </c>
    </row>
    <row r="802" spans="4:6" ht="12.75">
      <c r="D802" s="1" t="str">
        <f ca="1">IFERROR(__xludf.DUMMYFUNCTION("iferror(SPLIT(C802,""=""))"),"")</f>
        <v/>
      </c>
      <c r="F802" s="1" t="e">
        <f t="shared" ca="1" si="4"/>
        <v>#NAME?</v>
      </c>
    </row>
    <row r="803" spans="4:6" ht="12.75">
      <c r="D803" s="1" t="str">
        <f ca="1">IFERROR(__xludf.DUMMYFUNCTION("iferror(SPLIT(C803,""=""))"),"")</f>
        <v/>
      </c>
      <c r="F803" s="1" t="e">
        <f t="shared" ca="1" si="4"/>
        <v>#NAME?</v>
      </c>
    </row>
    <row r="804" spans="4:6" ht="12.75">
      <c r="D804" s="1" t="str">
        <f ca="1">IFERROR(__xludf.DUMMYFUNCTION("iferror(SPLIT(C804,""=""))"),"")</f>
        <v/>
      </c>
      <c r="F804" s="1" t="e">
        <f t="shared" ca="1" si="4"/>
        <v>#NAME?</v>
      </c>
    </row>
    <row r="805" spans="4:6" ht="12.75">
      <c r="D805" s="1" t="str">
        <f ca="1">IFERROR(__xludf.DUMMYFUNCTION("iferror(SPLIT(C805,""=""))"),"")</f>
        <v/>
      </c>
      <c r="F805" s="1" t="e">
        <f t="shared" ca="1" si="4"/>
        <v>#NAME?</v>
      </c>
    </row>
    <row r="806" spans="4:6" ht="12.75">
      <c r="D806" s="1" t="str">
        <f ca="1">IFERROR(__xludf.DUMMYFUNCTION("iferror(SPLIT(C806,""=""))"),"")</f>
        <v/>
      </c>
      <c r="F806" s="1" t="e">
        <f t="shared" ca="1" si="4"/>
        <v>#NAME?</v>
      </c>
    </row>
    <row r="807" spans="4:6" ht="12.75">
      <c r="D807" s="1" t="str">
        <f ca="1">IFERROR(__xludf.DUMMYFUNCTION("iferror(SPLIT(C807,""=""))"),"")</f>
        <v/>
      </c>
      <c r="F807" s="1" t="e">
        <f t="shared" ca="1" si="4"/>
        <v>#NAME?</v>
      </c>
    </row>
    <row r="808" spans="4:6" ht="12.75">
      <c r="D808" s="1" t="str">
        <f ca="1">IFERROR(__xludf.DUMMYFUNCTION("iferror(SPLIT(C808,""=""))"),"")</f>
        <v/>
      </c>
      <c r="F808" s="1" t="e">
        <f t="shared" ca="1" si="4"/>
        <v>#NAME?</v>
      </c>
    </row>
    <row r="809" spans="4:6" ht="12.75">
      <c r="D809" s="1" t="str">
        <f ca="1">IFERROR(__xludf.DUMMYFUNCTION("iferror(SPLIT(C809,""=""))"),"")</f>
        <v/>
      </c>
      <c r="F809" s="1" t="e">
        <f t="shared" ca="1" si="4"/>
        <v>#NAME?</v>
      </c>
    </row>
    <row r="810" spans="4:6" ht="12.75">
      <c r="D810" s="1" t="str">
        <f ca="1">IFERROR(__xludf.DUMMYFUNCTION("iferror(SPLIT(C810,""=""))"),"")</f>
        <v/>
      </c>
      <c r="F810" s="1" t="e">
        <f t="shared" ca="1" si="4"/>
        <v>#NAME?</v>
      </c>
    </row>
    <row r="811" spans="4:6" ht="12.75">
      <c r="D811" s="1" t="str">
        <f ca="1">IFERROR(__xludf.DUMMYFUNCTION("iferror(SPLIT(C811,""=""))"),"")</f>
        <v/>
      </c>
      <c r="F811" s="1" t="e">
        <f t="shared" ca="1" si="4"/>
        <v>#NAME?</v>
      </c>
    </row>
    <row r="812" spans="4:6" ht="12.75">
      <c r="D812" s="1" t="str">
        <f ca="1">IFERROR(__xludf.DUMMYFUNCTION("iferror(SPLIT(C812,""=""))"),"")</f>
        <v/>
      </c>
      <c r="F812" s="1" t="e">
        <f t="shared" ca="1" si="4"/>
        <v>#NAME?</v>
      </c>
    </row>
    <row r="813" spans="4:6" ht="12.75">
      <c r="D813" s="1" t="str">
        <f ca="1">IFERROR(__xludf.DUMMYFUNCTION("iferror(SPLIT(C813,""=""))"),"")</f>
        <v/>
      </c>
      <c r="F813" s="1" t="e">
        <f t="shared" ca="1" si="4"/>
        <v>#NAME?</v>
      </c>
    </row>
    <row r="814" spans="4:6" ht="12.75">
      <c r="D814" s="1" t="str">
        <f ca="1">IFERROR(__xludf.DUMMYFUNCTION("iferror(SPLIT(C814,""=""))"),"")</f>
        <v/>
      </c>
      <c r="F814" s="1" t="e">
        <f t="shared" ca="1" si="4"/>
        <v>#NAME?</v>
      </c>
    </row>
    <row r="815" spans="4:6" ht="12.75">
      <c r="D815" s="1" t="str">
        <f ca="1">IFERROR(__xludf.DUMMYFUNCTION("iferror(SPLIT(C815,""=""))"),"")</f>
        <v/>
      </c>
      <c r="F815" s="1" t="e">
        <f t="shared" ca="1" si="4"/>
        <v>#NAME?</v>
      </c>
    </row>
    <row r="816" spans="4:6" ht="12.75">
      <c r="D816" s="1" t="str">
        <f ca="1">IFERROR(__xludf.DUMMYFUNCTION("iferror(SPLIT(C816,""=""))"),"")</f>
        <v/>
      </c>
      <c r="F816" s="1" t="e">
        <f t="shared" ca="1" si="4"/>
        <v>#NAME?</v>
      </c>
    </row>
    <row r="817" spans="4:6" ht="12.75">
      <c r="D817" s="1" t="str">
        <f ca="1">IFERROR(__xludf.DUMMYFUNCTION("iferror(SPLIT(C817,""=""))"),"")</f>
        <v/>
      </c>
      <c r="F817" s="1" t="e">
        <f t="shared" ca="1" si="4"/>
        <v>#NAME?</v>
      </c>
    </row>
    <row r="818" spans="4:6" ht="12.75">
      <c r="D818" s="1" t="str">
        <f ca="1">IFERROR(__xludf.DUMMYFUNCTION("iferror(SPLIT(C818,""=""))"),"")</f>
        <v/>
      </c>
      <c r="F818" s="1" t="e">
        <f t="shared" ca="1" si="4"/>
        <v>#NAME?</v>
      </c>
    </row>
    <row r="819" spans="4:6" ht="12.75">
      <c r="D819" s="1" t="str">
        <f ca="1">IFERROR(__xludf.DUMMYFUNCTION("iferror(SPLIT(C819,""=""))"),"")</f>
        <v/>
      </c>
      <c r="F819" s="1" t="e">
        <f t="shared" ca="1" si="4"/>
        <v>#NAME?</v>
      </c>
    </row>
    <row r="820" spans="4:6" ht="12.75">
      <c r="D820" s="1" t="str">
        <f ca="1">IFERROR(__xludf.DUMMYFUNCTION("iferror(SPLIT(C820,""=""))"),"")</f>
        <v/>
      </c>
      <c r="F820" s="1" t="e">
        <f t="shared" ca="1" si="4"/>
        <v>#NAME?</v>
      </c>
    </row>
    <row r="821" spans="4:6" ht="12.75">
      <c r="D821" s="1" t="str">
        <f ca="1">IFERROR(__xludf.DUMMYFUNCTION("iferror(SPLIT(C821,""=""))"),"")</f>
        <v/>
      </c>
      <c r="F821" s="1" t="e">
        <f t="shared" ca="1" si="4"/>
        <v>#NAME?</v>
      </c>
    </row>
    <row r="822" spans="4:6" ht="12.75">
      <c r="D822" s="1" t="str">
        <f ca="1">IFERROR(__xludf.DUMMYFUNCTION("iferror(SPLIT(C822,""=""))"),"")</f>
        <v/>
      </c>
      <c r="F822" s="1" t="e">
        <f t="shared" ca="1" si="4"/>
        <v>#NAME?</v>
      </c>
    </row>
    <row r="823" spans="4:6" ht="12.75">
      <c r="D823" s="1" t="str">
        <f ca="1">IFERROR(__xludf.DUMMYFUNCTION("iferror(SPLIT(C823,""=""))"),"")</f>
        <v/>
      </c>
      <c r="F823" s="1" t="e">
        <f t="shared" ca="1" si="4"/>
        <v>#NAME?</v>
      </c>
    </row>
    <row r="824" spans="4:6" ht="12.75">
      <c r="D824" s="1" t="str">
        <f ca="1">IFERROR(__xludf.DUMMYFUNCTION("iferror(SPLIT(C824,""=""))"),"")</f>
        <v/>
      </c>
      <c r="F824" s="1" t="e">
        <f t="shared" ca="1" si="4"/>
        <v>#NAME?</v>
      </c>
    </row>
    <row r="825" spans="4:6" ht="12.75">
      <c r="D825" s="1" t="str">
        <f ca="1">IFERROR(__xludf.DUMMYFUNCTION("iferror(SPLIT(C825,""=""))"),"")</f>
        <v/>
      </c>
      <c r="F825" s="1" t="e">
        <f t="shared" ca="1" si="4"/>
        <v>#NAME?</v>
      </c>
    </row>
    <row r="826" spans="4:6" ht="12.75">
      <c r="D826" s="1" t="str">
        <f ca="1">IFERROR(__xludf.DUMMYFUNCTION("iferror(SPLIT(C826,""=""))"),"")</f>
        <v/>
      </c>
      <c r="F826" s="1" t="e">
        <f t="shared" ca="1" si="4"/>
        <v>#NAME?</v>
      </c>
    </row>
    <row r="827" spans="4:6" ht="12.75">
      <c r="D827" s="1" t="str">
        <f ca="1">IFERROR(__xludf.DUMMYFUNCTION("iferror(SPLIT(C827,""=""))"),"")</f>
        <v/>
      </c>
      <c r="F827" s="1" t="e">
        <f t="shared" ca="1" si="4"/>
        <v>#NAME?</v>
      </c>
    </row>
    <row r="828" spans="4:6" ht="12.75">
      <c r="D828" s="1" t="str">
        <f ca="1">IFERROR(__xludf.DUMMYFUNCTION("iferror(SPLIT(C828,""=""))"),"")</f>
        <v/>
      </c>
      <c r="F828" s="1" t="e">
        <f t="shared" ca="1" si="4"/>
        <v>#NAME?</v>
      </c>
    </row>
    <row r="829" spans="4:6" ht="12.75">
      <c r="D829" s="1" t="str">
        <f ca="1">IFERROR(__xludf.DUMMYFUNCTION("iferror(SPLIT(C829,""=""))"),"")</f>
        <v/>
      </c>
      <c r="F829" s="1" t="e">
        <f t="shared" ca="1" si="4"/>
        <v>#NAME?</v>
      </c>
    </row>
    <row r="830" spans="4:6" ht="12.75">
      <c r="D830" s="1" t="str">
        <f ca="1">IFERROR(__xludf.DUMMYFUNCTION("iferror(SPLIT(C830,""=""))"),"")</f>
        <v/>
      </c>
      <c r="F830" s="1" t="e">
        <f t="shared" ca="1" si="4"/>
        <v>#NAME?</v>
      </c>
    </row>
    <row r="831" spans="4:6" ht="12.75">
      <c r="D831" s="1" t="str">
        <f ca="1">IFERROR(__xludf.DUMMYFUNCTION("iferror(SPLIT(C831,""=""))"),"")</f>
        <v/>
      </c>
      <c r="F831" s="1" t="e">
        <f t="shared" ca="1" si="4"/>
        <v>#NAME?</v>
      </c>
    </row>
    <row r="832" spans="4:6" ht="12.75">
      <c r="D832" s="1" t="str">
        <f ca="1">IFERROR(__xludf.DUMMYFUNCTION("iferror(SPLIT(C832,""=""))"),"")</f>
        <v/>
      </c>
      <c r="F832" s="1" t="e">
        <f t="shared" ca="1" si="4"/>
        <v>#NAME?</v>
      </c>
    </row>
    <row r="833" spans="4:6" ht="12.75">
      <c r="D833" s="1" t="str">
        <f ca="1">IFERROR(__xludf.DUMMYFUNCTION("iferror(SPLIT(C833,""=""))"),"")</f>
        <v/>
      </c>
      <c r="F833" s="1" t="e">
        <f t="shared" ca="1" si="4"/>
        <v>#NAME?</v>
      </c>
    </row>
    <row r="834" spans="4:6" ht="12.75">
      <c r="D834" s="1" t="str">
        <f ca="1">IFERROR(__xludf.DUMMYFUNCTION("iferror(SPLIT(C834,""=""))"),"")</f>
        <v/>
      </c>
      <c r="F834" s="1" t="e">
        <f t="shared" ca="1" si="4"/>
        <v>#NAME?</v>
      </c>
    </row>
    <row r="835" spans="4:6" ht="12.75">
      <c r="D835" s="1" t="str">
        <f ca="1">IFERROR(__xludf.DUMMYFUNCTION("iferror(SPLIT(C835,""=""))"),"")</f>
        <v/>
      </c>
      <c r="F835" s="1" t="e">
        <f t="shared" ca="1" si="4"/>
        <v>#NAME?</v>
      </c>
    </row>
    <row r="836" spans="4:6" ht="12.75">
      <c r="D836" s="1" t="str">
        <f ca="1">IFERROR(__xludf.DUMMYFUNCTION("iferror(SPLIT(C836,""=""))"),"")</f>
        <v/>
      </c>
      <c r="F836" s="1" t="e">
        <f t="shared" ca="1" si="4"/>
        <v>#NAME?</v>
      </c>
    </row>
    <row r="837" spans="4:6" ht="12.75">
      <c r="D837" s="1" t="str">
        <f ca="1">IFERROR(__xludf.DUMMYFUNCTION("iferror(SPLIT(C837,""=""))"),"")</f>
        <v/>
      </c>
      <c r="F837" s="1" t="e">
        <f t="shared" ca="1" si="4"/>
        <v>#NAME?</v>
      </c>
    </row>
    <row r="838" spans="4:6" ht="12.75">
      <c r="D838" s="1" t="str">
        <f ca="1">IFERROR(__xludf.DUMMYFUNCTION("iferror(SPLIT(C838,""=""))"),"")</f>
        <v/>
      </c>
      <c r="F838" s="1" t="e">
        <f t="shared" ca="1" si="4"/>
        <v>#NAME?</v>
      </c>
    </row>
    <row r="839" spans="4:6" ht="12.75">
      <c r="D839" s="1" t="str">
        <f ca="1">IFERROR(__xludf.DUMMYFUNCTION("iferror(SPLIT(C839,""=""))"),"")</f>
        <v/>
      </c>
      <c r="F839" s="1" t="e">
        <f t="shared" ca="1" si="4"/>
        <v>#NAME?</v>
      </c>
    </row>
    <row r="840" spans="4:6" ht="12.75">
      <c r="D840" s="1" t="str">
        <f ca="1">IFERROR(__xludf.DUMMYFUNCTION("iferror(SPLIT(C840,""=""))"),"")</f>
        <v/>
      </c>
      <c r="F840" s="1" t="e">
        <f t="shared" ca="1" si="4"/>
        <v>#NAME?</v>
      </c>
    </row>
    <row r="841" spans="4:6" ht="12.75">
      <c r="D841" s="1" t="str">
        <f ca="1">IFERROR(__xludf.DUMMYFUNCTION("iferror(SPLIT(C841,""=""))"),"")</f>
        <v/>
      </c>
      <c r="F841" s="1" t="e">
        <f t="shared" ca="1" si="4"/>
        <v>#NAME?</v>
      </c>
    </row>
    <row r="842" spans="4:6" ht="12.75">
      <c r="D842" s="1" t="str">
        <f ca="1">IFERROR(__xludf.DUMMYFUNCTION("iferror(SPLIT(C842,""=""))"),"")</f>
        <v/>
      </c>
      <c r="F842" s="1" t="e">
        <f t="shared" ca="1" si="4"/>
        <v>#NAME?</v>
      </c>
    </row>
    <row r="843" spans="4:6" ht="12.75">
      <c r="D843" s="1" t="str">
        <f ca="1">IFERROR(__xludf.DUMMYFUNCTION("iferror(SPLIT(C843,""=""))"),"")</f>
        <v/>
      </c>
      <c r="F843" s="1" t="e">
        <f t="shared" ca="1" si="4"/>
        <v>#NAME?</v>
      </c>
    </row>
    <row r="844" spans="4:6" ht="12.75">
      <c r="D844" s="1" t="str">
        <f ca="1">IFERROR(__xludf.DUMMYFUNCTION("iferror(SPLIT(C844,""=""))"),"")</f>
        <v/>
      </c>
      <c r="F844" s="1" t="e">
        <f t="shared" ca="1" si="4"/>
        <v>#NAME?</v>
      </c>
    </row>
    <row r="845" spans="4:6" ht="12.75">
      <c r="D845" s="1" t="str">
        <f ca="1">IFERROR(__xludf.DUMMYFUNCTION("iferror(SPLIT(C845,""=""))"),"")</f>
        <v/>
      </c>
      <c r="F845" s="1" t="e">
        <f t="shared" ca="1" si="4"/>
        <v>#NAME?</v>
      </c>
    </row>
    <row r="846" spans="4:6" ht="12.75">
      <c r="D846" s="1" t="str">
        <f ca="1">IFERROR(__xludf.DUMMYFUNCTION("iferror(SPLIT(C846,""=""))"),"")</f>
        <v/>
      </c>
      <c r="F846" s="1" t="e">
        <f t="shared" ca="1" si="4"/>
        <v>#NAME?</v>
      </c>
    </row>
    <row r="847" spans="4:6" ht="12.75">
      <c r="D847" s="1" t="str">
        <f ca="1">IFERROR(__xludf.DUMMYFUNCTION("iferror(SPLIT(C847,""=""))"),"")</f>
        <v/>
      </c>
      <c r="F847" s="1" t="e">
        <f t="shared" ca="1" si="4"/>
        <v>#NAME?</v>
      </c>
    </row>
    <row r="848" spans="4:6" ht="12.75">
      <c r="D848" s="1" t="str">
        <f ca="1">IFERROR(__xludf.DUMMYFUNCTION("iferror(SPLIT(C848,""=""))"),"")</f>
        <v/>
      </c>
      <c r="F848" s="1" t="e">
        <f t="shared" ca="1" si="4"/>
        <v>#NAME?</v>
      </c>
    </row>
    <row r="849" spans="4:6" ht="12.75">
      <c r="D849" s="1" t="str">
        <f ca="1">IFERROR(__xludf.DUMMYFUNCTION("iferror(SPLIT(C849,""=""))"),"")</f>
        <v/>
      </c>
      <c r="F849" s="1" t="e">
        <f t="shared" ca="1" si="4"/>
        <v>#NAME?</v>
      </c>
    </row>
    <row r="850" spans="4:6" ht="12.75">
      <c r="D850" s="1" t="str">
        <f ca="1">IFERROR(__xludf.DUMMYFUNCTION("iferror(SPLIT(C850,""=""))"),"")</f>
        <v/>
      </c>
      <c r="F850" s="1" t="e">
        <f t="shared" ca="1" si="4"/>
        <v>#NAME?</v>
      </c>
    </row>
    <row r="851" spans="4:6" ht="12.75">
      <c r="D851" s="1" t="str">
        <f ca="1">IFERROR(__xludf.DUMMYFUNCTION("iferror(SPLIT(C851,""=""))"),"")</f>
        <v/>
      </c>
      <c r="F851" s="1" t="e">
        <f t="shared" ca="1" si="4"/>
        <v>#NAME?</v>
      </c>
    </row>
    <row r="852" spans="4:6" ht="12.75">
      <c r="D852" s="1" t="str">
        <f ca="1">IFERROR(__xludf.DUMMYFUNCTION("iferror(SPLIT(C852,""=""))"),"")</f>
        <v/>
      </c>
      <c r="F852" s="1" t="e">
        <f t="shared" ca="1" si="4"/>
        <v>#NAME?</v>
      </c>
    </row>
    <row r="853" spans="4:6" ht="12.75">
      <c r="D853" s="1" t="str">
        <f ca="1">IFERROR(__xludf.DUMMYFUNCTION("iferror(SPLIT(C853,""=""))"),"")</f>
        <v/>
      </c>
      <c r="F853" s="1" t="e">
        <f t="shared" ca="1" si="4"/>
        <v>#NAME?</v>
      </c>
    </row>
    <row r="854" spans="4:6" ht="12.75">
      <c r="D854" s="1" t="str">
        <f ca="1">IFERROR(__xludf.DUMMYFUNCTION("iferror(SPLIT(C854,""=""))"),"")</f>
        <v/>
      </c>
      <c r="F854" s="1" t="e">
        <f t="shared" ca="1" si="4"/>
        <v>#NAME?</v>
      </c>
    </row>
    <row r="855" spans="4:6" ht="12.75">
      <c r="D855" s="1" t="str">
        <f ca="1">IFERROR(__xludf.DUMMYFUNCTION("iferror(SPLIT(C855,""=""))"),"")</f>
        <v/>
      </c>
      <c r="F855" s="1" t="e">
        <f t="shared" ca="1" si="4"/>
        <v>#NAME?</v>
      </c>
    </row>
    <row r="856" spans="4:6" ht="12.75">
      <c r="D856" s="1" t="str">
        <f ca="1">IFERROR(__xludf.DUMMYFUNCTION("iferror(SPLIT(C856,""=""))"),"")</f>
        <v/>
      </c>
      <c r="F856" s="1" t="e">
        <f t="shared" ca="1" si="4"/>
        <v>#NAME?</v>
      </c>
    </row>
    <row r="857" spans="4:6" ht="12.75">
      <c r="D857" s="1" t="str">
        <f ca="1">IFERROR(__xludf.DUMMYFUNCTION("iferror(SPLIT(C857,""=""))"),"")</f>
        <v/>
      </c>
      <c r="F857" s="1" t="e">
        <f t="shared" ca="1" si="4"/>
        <v>#NAME?</v>
      </c>
    </row>
    <row r="858" spans="4:6" ht="12.75">
      <c r="D858" s="1" t="str">
        <f ca="1">IFERROR(__xludf.DUMMYFUNCTION("iferror(SPLIT(C858,""=""))"),"")</f>
        <v/>
      </c>
      <c r="F858" s="1" t="e">
        <f t="shared" ca="1" si="4"/>
        <v>#NAME?</v>
      </c>
    </row>
    <row r="859" spans="4:6" ht="12.75">
      <c r="D859" s="1" t="str">
        <f ca="1">IFERROR(__xludf.DUMMYFUNCTION("iferror(SPLIT(C859,""=""))"),"")</f>
        <v/>
      </c>
      <c r="F859" s="1" t="e">
        <f t="shared" ca="1" si="4"/>
        <v>#NAME?</v>
      </c>
    </row>
    <row r="860" spans="4:6" ht="12.75">
      <c r="D860" s="1" t="str">
        <f ca="1">IFERROR(__xludf.DUMMYFUNCTION("iferror(SPLIT(C860,""=""))"),"")</f>
        <v/>
      </c>
      <c r="F860" s="1" t="e">
        <f t="shared" ca="1" si="4"/>
        <v>#NAME?</v>
      </c>
    </row>
    <row r="861" spans="4:6" ht="12.75">
      <c r="D861" s="1" t="str">
        <f ca="1">IFERROR(__xludf.DUMMYFUNCTION("iferror(SPLIT(C861,""=""))"),"")</f>
        <v/>
      </c>
      <c r="F861" s="1" t="e">
        <f t="shared" ca="1" si="4"/>
        <v>#NAME?</v>
      </c>
    </row>
    <row r="862" spans="4:6" ht="12.75">
      <c r="D862" s="1" t="str">
        <f ca="1">IFERROR(__xludf.DUMMYFUNCTION("iferror(SPLIT(C862,""=""))"),"")</f>
        <v/>
      </c>
      <c r="F862" s="1" t="e">
        <f t="shared" ca="1" si="4"/>
        <v>#NAME?</v>
      </c>
    </row>
    <row r="863" spans="4:6" ht="12.75">
      <c r="D863" s="1" t="str">
        <f ca="1">IFERROR(__xludf.DUMMYFUNCTION("iferror(SPLIT(C863,""=""))"),"")</f>
        <v/>
      </c>
      <c r="F863" s="1" t="e">
        <f t="shared" ca="1" si="4"/>
        <v>#NAME?</v>
      </c>
    </row>
    <row r="864" spans="4:6" ht="12.75">
      <c r="D864" s="1" t="str">
        <f ca="1">IFERROR(__xludf.DUMMYFUNCTION("iferror(SPLIT(C864,""=""))"),"")</f>
        <v/>
      </c>
      <c r="F864" s="1" t="e">
        <f t="shared" ca="1" si="4"/>
        <v>#NAME?</v>
      </c>
    </row>
    <row r="865" spans="4:6" ht="12.75">
      <c r="D865" s="1" t="str">
        <f ca="1">IFERROR(__xludf.DUMMYFUNCTION("iferror(SPLIT(C865,""=""))"),"")</f>
        <v/>
      </c>
      <c r="F865" s="1" t="e">
        <f t="shared" ca="1" si="4"/>
        <v>#NAME?</v>
      </c>
    </row>
    <row r="866" spans="4:6" ht="12.75">
      <c r="D866" s="1" t="str">
        <f ca="1">IFERROR(__xludf.DUMMYFUNCTION("iferror(SPLIT(C866,""=""))"),"")</f>
        <v/>
      </c>
      <c r="F866" s="1" t="e">
        <f t="shared" ca="1" si="4"/>
        <v>#NAME?</v>
      </c>
    </row>
    <row r="867" spans="4:6" ht="12.75">
      <c r="D867" s="1" t="str">
        <f ca="1">IFERROR(__xludf.DUMMYFUNCTION("iferror(SPLIT(C867,""=""))"),"")</f>
        <v/>
      </c>
      <c r="F867" s="1" t="e">
        <f t="shared" ca="1" si="4"/>
        <v>#NAME?</v>
      </c>
    </row>
    <row r="868" spans="4:6" ht="12.75">
      <c r="D868" s="1" t="str">
        <f ca="1">IFERROR(__xludf.DUMMYFUNCTION("iferror(SPLIT(C868,""=""))"),"")</f>
        <v/>
      </c>
      <c r="F868" s="1" t="e">
        <f t="shared" ca="1" si="4"/>
        <v>#NAME?</v>
      </c>
    </row>
    <row r="869" spans="4:6" ht="12.75">
      <c r="D869" s="1" t="str">
        <f ca="1">IFERROR(__xludf.DUMMYFUNCTION("iferror(SPLIT(C869,""=""))"),"")</f>
        <v/>
      </c>
      <c r="F869" s="1" t="e">
        <f t="shared" ca="1" si="4"/>
        <v>#NAME?</v>
      </c>
    </row>
    <row r="870" spans="4:6" ht="12.75">
      <c r="D870" s="1" t="str">
        <f ca="1">IFERROR(__xludf.DUMMYFUNCTION("iferror(SPLIT(C870,""=""))"),"")</f>
        <v/>
      </c>
      <c r="F870" s="1" t="e">
        <f t="shared" ca="1" si="4"/>
        <v>#NAME?</v>
      </c>
    </row>
    <row r="871" spans="4:6" ht="12.75">
      <c r="D871" s="1" t="str">
        <f ca="1">IFERROR(__xludf.DUMMYFUNCTION("iferror(SPLIT(C871,""=""))"),"")</f>
        <v/>
      </c>
      <c r="F871" s="1" t="e">
        <f t="shared" ca="1" si="4"/>
        <v>#NAME?</v>
      </c>
    </row>
    <row r="872" spans="4:6" ht="12.75">
      <c r="D872" s="1" t="str">
        <f ca="1">IFERROR(__xludf.DUMMYFUNCTION("iferror(SPLIT(C872,""=""))"),"")</f>
        <v/>
      </c>
      <c r="F872" s="1" t="e">
        <f t="shared" ca="1" si="4"/>
        <v>#NAME?</v>
      </c>
    </row>
    <row r="873" spans="4:6" ht="12.75">
      <c r="D873" s="1" t="str">
        <f ca="1">IFERROR(__xludf.DUMMYFUNCTION("iferror(SPLIT(C873,""=""))"),"")</f>
        <v/>
      </c>
      <c r="F873" s="1" t="e">
        <f t="shared" ca="1" si="4"/>
        <v>#NAME?</v>
      </c>
    </row>
    <row r="874" spans="4:6" ht="12.75">
      <c r="D874" s="1" t="str">
        <f ca="1">IFERROR(__xludf.DUMMYFUNCTION("iferror(SPLIT(C874,""=""))"),"")</f>
        <v/>
      </c>
      <c r="F874" s="1" t="e">
        <f t="shared" ca="1" si="4"/>
        <v>#NAME?</v>
      </c>
    </row>
    <row r="875" spans="4:6" ht="12.75">
      <c r="D875" s="1" t="str">
        <f ca="1">IFERROR(__xludf.DUMMYFUNCTION("iferror(SPLIT(C875,""=""))"),"")</f>
        <v/>
      </c>
      <c r="F875" s="1" t="e">
        <f t="shared" ca="1" si="4"/>
        <v>#NAME?</v>
      </c>
    </row>
    <row r="876" spans="4:6" ht="12.75">
      <c r="D876" s="1" t="str">
        <f ca="1">IFERROR(__xludf.DUMMYFUNCTION("iferror(SPLIT(C876,""=""))"),"")</f>
        <v/>
      </c>
      <c r="F876" s="1" t="e">
        <f t="shared" ca="1" si="4"/>
        <v>#NAME?</v>
      </c>
    </row>
    <row r="877" spans="4:6" ht="12.75">
      <c r="D877" s="1" t="str">
        <f ca="1">IFERROR(__xludf.DUMMYFUNCTION("iferror(SPLIT(C877,""=""))"),"")</f>
        <v/>
      </c>
      <c r="F877" s="1" t="e">
        <f t="shared" ca="1" si="4"/>
        <v>#NAME?</v>
      </c>
    </row>
    <row r="878" spans="4:6" ht="12.75">
      <c r="D878" s="1" t="str">
        <f ca="1">IFERROR(__xludf.DUMMYFUNCTION("iferror(SPLIT(C878,""=""))"),"")</f>
        <v/>
      </c>
      <c r="F878" s="1" t="e">
        <f t="shared" ca="1" si="4"/>
        <v>#NAME?</v>
      </c>
    </row>
    <row r="879" spans="4:6" ht="12.75">
      <c r="D879" s="1" t="str">
        <f ca="1">IFERROR(__xludf.DUMMYFUNCTION("iferror(SPLIT(C879,""=""))"),"")</f>
        <v/>
      </c>
      <c r="F879" s="1" t="e">
        <f t="shared" ca="1" si="4"/>
        <v>#NAME?</v>
      </c>
    </row>
    <row r="880" spans="4:6" ht="12.75">
      <c r="D880" s="1" t="str">
        <f ca="1">IFERROR(__xludf.DUMMYFUNCTION("iferror(SPLIT(C880,""=""))"),"")</f>
        <v/>
      </c>
      <c r="F880" s="1" t="e">
        <f t="shared" ca="1" si="4"/>
        <v>#NAME?</v>
      </c>
    </row>
    <row r="881" spans="4:6" ht="12.75">
      <c r="D881" s="1" t="str">
        <f ca="1">IFERROR(__xludf.DUMMYFUNCTION("iferror(SPLIT(C881,""=""))"),"")</f>
        <v/>
      </c>
      <c r="F881" s="1" t="e">
        <f t="shared" ca="1" si="4"/>
        <v>#NAME?</v>
      </c>
    </row>
    <row r="882" spans="4:6" ht="12.75">
      <c r="D882" s="1" t="str">
        <f ca="1">IFERROR(__xludf.DUMMYFUNCTION("iferror(SPLIT(C882,""=""))"),"")</f>
        <v/>
      </c>
      <c r="F882" s="1" t="e">
        <f t="shared" ca="1" si="4"/>
        <v>#NAME?</v>
      </c>
    </row>
    <row r="883" spans="4:6" ht="12.75">
      <c r="D883" s="1" t="str">
        <f ca="1">IFERROR(__xludf.DUMMYFUNCTION("iferror(SPLIT(C883,""=""))"),"")</f>
        <v/>
      </c>
      <c r="F883" s="1" t="e">
        <f t="shared" ca="1" si="4"/>
        <v>#NAME?</v>
      </c>
    </row>
    <row r="884" spans="4:6" ht="12.75">
      <c r="D884" s="1" t="str">
        <f ca="1">IFERROR(__xludf.DUMMYFUNCTION("iferror(SPLIT(C884,""=""))"),"")</f>
        <v/>
      </c>
      <c r="F884" s="1" t="e">
        <f t="shared" ca="1" si="4"/>
        <v>#NAME?</v>
      </c>
    </row>
    <row r="885" spans="4:6" ht="12.75">
      <c r="D885" s="1" t="str">
        <f ca="1">IFERROR(__xludf.DUMMYFUNCTION("iferror(SPLIT(C885,""=""))"),"")</f>
        <v/>
      </c>
      <c r="F885" s="1" t="e">
        <f t="shared" ca="1" si="4"/>
        <v>#NAME?</v>
      </c>
    </row>
    <row r="886" spans="4:6" ht="12.75">
      <c r="D886" s="1" t="str">
        <f ca="1">IFERROR(__xludf.DUMMYFUNCTION("iferror(SPLIT(C886,""=""))"),"")</f>
        <v/>
      </c>
      <c r="F886" s="1" t="e">
        <f t="shared" ca="1" si="4"/>
        <v>#NAME?</v>
      </c>
    </row>
    <row r="887" spans="4:6" ht="12.75">
      <c r="D887" s="1" t="str">
        <f ca="1">IFERROR(__xludf.DUMMYFUNCTION("iferror(SPLIT(C887,""=""))"),"")</f>
        <v/>
      </c>
      <c r="F887" s="1" t="e">
        <f t="shared" ca="1" si="4"/>
        <v>#NAME?</v>
      </c>
    </row>
    <row r="888" spans="4:6" ht="12.75">
      <c r="D888" s="1" t="str">
        <f ca="1">IFERROR(__xludf.DUMMYFUNCTION("iferror(SPLIT(C888,""=""))"),"")</f>
        <v/>
      </c>
      <c r="F888" s="1" t="e">
        <f t="shared" ca="1" si="4"/>
        <v>#NAME?</v>
      </c>
    </row>
    <row r="889" spans="4:6" ht="12.75">
      <c r="D889" s="1" t="str">
        <f ca="1">IFERROR(__xludf.DUMMYFUNCTION("iferror(SPLIT(C889,""=""))"),"")</f>
        <v/>
      </c>
      <c r="F889" s="1" t="e">
        <f t="shared" ca="1" si="4"/>
        <v>#NAME?</v>
      </c>
    </row>
    <row r="890" spans="4:6" ht="12.75">
      <c r="D890" s="1" t="str">
        <f ca="1">IFERROR(__xludf.DUMMYFUNCTION("iferror(SPLIT(C890,""=""))"),"")</f>
        <v/>
      </c>
      <c r="F890" s="1" t="e">
        <f t="shared" ca="1" si="4"/>
        <v>#NAME?</v>
      </c>
    </row>
    <row r="891" spans="4:6" ht="12.75">
      <c r="D891" s="1" t="str">
        <f ca="1">IFERROR(__xludf.DUMMYFUNCTION("iferror(SPLIT(C891,""=""))"),"")</f>
        <v/>
      </c>
      <c r="F891" s="1" t="e">
        <f t="shared" ca="1" si="4"/>
        <v>#NAME?</v>
      </c>
    </row>
    <row r="892" spans="4:6" ht="12.75">
      <c r="D892" s="1" t="str">
        <f ca="1">IFERROR(__xludf.DUMMYFUNCTION("iferror(SPLIT(C892,""=""))"),"")</f>
        <v/>
      </c>
      <c r="F892" s="1" t="e">
        <f t="shared" ca="1" si="4"/>
        <v>#NAME?</v>
      </c>
    </row>
    <row r="893" spans="4:6" ht="12.75">
      <c r="D893" s="1" t="str">
        <f ca="1">IFERROR(__xludf.DUMMYFUNCTION("iferror(SPLIT(C893,""=""))"),"")</f>
        <v/>
      </c>
      <c r="F893" s="1" t="e">
        <f t="shared" ca="1" si="4"/>
        <v>#NAME?</v>
      </c>
    </row>
    <row r="894" spans="4:6" ht="12.75">
      <c r="D894" s="1" t="str">
        <f ca="1">IFERROR(__xludf.DUMMYFUNCTION("iferror(SPLIT(C894,""=""))"),"")</f>
        <v/>
      </c>
      <c r="F894" s="1" t="e">
        <f t="shared" ca="1" si="4"/>
        <v>#NAME?</v>
      </c>
    </row>
    <row r="895" spans="4:6" ht="12.75">
      <c r="D895" s="1" t="str">
        <f ca="1">IFERROR(__xludf.DUMMYFUNCTION("iferror(SPLIT(C895,""=""))"),"")</f>
        <v/>
      </c>
      <c r="F895" s="1" t="e">
        <f t="shared" ca="1" si="4"/>
        <v>#NAME?</v>
      </c>
    </row>
    <row r="896" spans="4:6" ht="12.75">
      <c r="D896" s="1" t="str">
        <f ca="1">IFERROR(__xludf.DUMMYFUNCTION("iferror(SPLIT(C896,""=""))"),"")</f>
        <v/>
      </c>
      <c r="F896" s="1" t="e">
        <f t="shared" ca="1" si="4"/>
        <v>#NAME?</v>
      </c>
    </row>
    <row r="897" spans="4:6" ht="12.75">
      <c r="D897" s="1" t="str">
        <f ca="1">IFERROR(__xludf.DUMMYFUNCTION("iferror(SPLIT(C897,""=""))"),"")</f>
        <v/>
      </c>
      <c r="F897" s="1" t="e">
        <f t="shared" ca="1" si="4"/>
        <v>#NAME?</v>
      </c>
    </row>
    <row r="898" spans="4:6" ht="12.75">
      <c r="D898" s="1" t="str">
        <f ca="1">IFERROR(__xludf.DUMMYFUNCTION("iferror(SPLIT(C898,""=""))"),"")</f>
        <v/>
      </c>
      <c r="F898" s="1" t="e">
        <f t="shared" ca="1" si="4"/>
        <v>#NAME?</v>
      </c>
    </row>
    <row r="899" spans="4:6" ht="12.75">
      <c r="D899" s="1" t="str">
        <f ca="1">IFERROR(__xludf.DUMMYFUNCTION("iferror(SPLIT(C899,""=""))"),"")</f>
        <v/>
      </c>
      <c r="F899" s="1" t="e">
        <f t="shared" ca="1" si="4"/>
        <v>#NAME?</v>
      </c>
    </row>
    <row r="900" spans="4:6" ht="12.75">
      <c r="D900" s="1" t="str">
        <f ca="1">IFERROR(__xludf.DUMMYFUNCTION("iferror(SPLIT(C900,""=""))"),"")</f>
        <v/>
      </c>
      <c r="F900" s="1" t="e">
        <f t="shared" ca="1" si="4"/>
        <v>#NAME?</v>
      </c>
    </row>
    <row r="901" spans="4:6" ht="12.75">
      <c r="D901" s="1" t="str">
        <f ca="1">IFERROR(__xludf.DUMMYFUNCTION("iferror(SPLIT(C901,""=""))"),"")</f>
        <v/>
      </c>
      <c r="F901" s="1" t="e">
        <f t="shared" ca="1" si="4"/>
        <v>#NAME?</v>
      </c>
    </row>
    <row r="902" spans="4:6" ht="12.75">
      <c r="D902" s="1" t="str">
        <f ca="1">IFERROR(__xludf.DUMMYFUNCTION("iferror(SPLIT(C902,""=""))"),"")</f>
        <v/>
      </c>
      <c r="F902" s="1" t="e">
        <f t="shared" ca="1" si="4"/>
        <v>#NAME?</v>
      </c>
    </row>
    <row r="903" spans="4:6" ht="12.75">
      <c r="D903" s="1" t="str">
        <f ca="1">IFERROR(__xludf.DUMMYFUNCTION("iferror(SPLIT(C903,""=""))"),"")</f>
        <v/>
      </c>
      <c r="F903" s="1" t="e">
        <f t="shared" ca="1" si="4"/>
        <v>#NAME?</v>
      </c>
    </row>
    <row r="904" spans="4:6" ht="12.75">
      <c r="D904" s="1" t="str">
        <f ca="1">IFERROR(__xludf.DUMMYFUNCTION("iferror(SPLIT(C904,""=""))"),"")</f>
        <v/>
      </c>
      <c r="F904" s="1" t="e">
        <f t="shared" ca="1" si="4"/>
        <v>#NAME?</v>
      </c>
    </row>
    <row r="905" spans="4:6" ht="12.75">
      <c r="D905" s="1" t="str">
        <f ca="1">IFERROR(__xludf.DUMMYFUNCTION("iferror(SPLIT(C905,""=""))"),"")</f>
        <v/>
      </c>
      <c r="F905" s="1" t="e">
        <f t="shared" ca="1" si="4"/>
        <v>#NAME?</v>
      </c>
    </row>
    <row r="906" spans="4:6" ht="12.75">
      <c r="D906" s="1" t="str">
        <f ca="1">IFERROR(__xludf.DUMMYFUNCTION("iferror(SPLIT(C906,""=""))"),"")</f>
        <v/>
      </c>
      <c r="F906" s="1" t="e">
        <f t="shared" ca="1" si="4"/>
        <v>#NAME?</v>
      </c>
    </row>
    <row r="907" spans="4:6" ht="12.75">
      <c r="D907" s="1" t="str">
        <f ca="1">IFERROR(__xludf.DUMMYFUNCTION("iferror(SPLIT(C907,""=""))"),"")</f>
        <v/>
      </c>
      <c r="F907" s="1" t="e">
        <f t="shared" ca="1" si="4"/>
        <v>#NAME?</v>
      </c>
    </row>
    <row r="908" spans="4:6" ht="12.75">
      <c r="D908" s="1" t="str">
        <f ca="1">IFERROR(__xludf.DUMMYFUNCTION("iferror(SPLIT(C908,""=""))"),"")</f>
        <v/>
      </c>
      <c r="F908" s="1" t="e">
        <f t="shared" ca="1" si="4"/>
        <v>#NAME?</v>
      </c>
    </row>
    <row r="909" spans="4:6" ht="12.75">
      <c r="D909" s="1" t="str">
        <f ca="1">IFERROR(__xludf.DUMMYFUNCTION("iferror(SPLIT(C909,""=""))"),"")</f>
        <v/>
      </c>
      <c r="F909" s="1" t="e">
        <f t="shared" ca="1" si="4"/>
        <v>#NAME?</v>
      </c>
    </row>
    <row r="910" spans="4:6" ht="12.75">
      <c r="D910" s="1" t="str">
        <f ca="1">IFERROR(__xludf.DUMMYFUNCTION("iferror(SPLIT(C910,""=""))"),"")</f>
        <v/>
      </c>
      <c r="F910" s="1" t="e">
        <f t="shared" ca="1" si="4"/>
        <v>#NAME?</v>
      </c>
    </row>
    <row r="911" spans="4:6" ht="12.75">
      <c r="D911" s="1" t="str">
        <f ca="1">IFERROR(__xludf.DUMMYFUNCTION("iferror(SPLIT(C911,""=""))"),"")</f>
        <v/>
      </c>
      <c r="F911" s="1" t="e">
        <f t="shared" ca="1" si="4"/>
        <v>#NAME?</v>
      </c>
    </row>
    <row r="912" spans="4:6" ht="12.75">
      <c r="D912" s="1" t="str">
        <f ca="1">IFERROR(__xludf.DUMMYFUNCTION("iferror(SPLIT(C912,""=""))"),"")</f>
        <v/>
      </c>
      <c r="F912" s="1" t="e">
        <f t="shared" ca="1" si="4"/>
        <v>#NAME?</v>
      </c>
    </row>
    <row r="913" spans="4:6" ht="12.75">
      <c r="D913" s="1" t="str">
        <f ca="1">IFERROR(__xludf.DUMMYFUNCTION("iferror(SPLIT(C913,""=""))"),"")</f>
        <v/>
      </c>
      <c r="F913" s="1" t="e">
        <f t="shared" ca="1" si="4"/>
        <v>#NAME?</v>
      </c>
    </row>
    <row r="914" spans="4:6" ht="12.75">
      <c r="D914" s="1" t="str">
        <f ca="1">IFERROR(__xludf.DUMMYFUNCTION("iferror(SPLIT(C914,""=""))"),"")</f>
        <v/>
      </c>
      <c r="F914" s="1" t="e">
        <f t="shared" ca="1" si="4"/>
        <v>#NAME?</v>
      </c>
    </row>
    <row r="915" spans="4:6" ht="12.75">
      <c r="D915" s="1" t="str">
        <f ca="1">IFERROR(__xludf.DUMMYFUNCTION("iferror(SPLIT(C915,""=""))"),"")</f>
        <v/>
      </c>
      <c r="F915" s="1" t="e">
        <f t="shared" ca="1" si="4"/>
        <v>#NAME?</v>
      </c>
    </row>
    <row r="916" spans="4:6" ht="12.75">
      <c r="D916" s="1" t="str">
        <f ca="1">IFERROR(__xludf.DUMMYFUNCTION("iferror(SPLIT(C916,""=""))"),"")</f>
        <v/>
      </c>
      <c r="F916" s="1" t="e">
        <f t="shared" ca="1" si="4"/>
        <v>#NAME?</v>
      </c>
    </row>
    <row r="917" spans="4:6" ht="12.75">
      <c r="D917" s="1" t="str">
        <f ca="1">IFERROR(__xludf.DUMMYFUNCTION("iferror(SPLIT(C917,""=""))"),"")</f>
        <v/>
      </c>
      <c r="F917" s="1" t="e">
        <f t="shared" ca="1" si="4"/>
        <v>#NAME?</v>
      </c>
    </row>
    <row r="918" spans="4:6" ht="12.75">
      <c r="D918" s="1" t="str">
        <f ca="1">IFERROR(__xludf.DUMMYFUNCTION("iferror(SPLIT(C918,""=""))"),"")</f>
        <v/>
      </c>
      <c r="F918" s="1" t="e">
        <f t="shared" ca="1" si="4"/>
        <v>#NAME?</v>
      </c>
    </row>
    <row r="919" spans="4:6" ht="12.75">
      <c r="D919" s="1" t="str">
        <f ca="1">IFERROR(__xludf.DUMMYFUNCTION("iferror(SPLIT(C919,""=""))"),"")</f>
        <v/>
      </c>
      <c r="F919" s="1" t="e">
        <f t="shared" ca="1" si="4"/>
        <v>#NAME?</v>
      </c>
    </row>
    <row r="920" spans="4:6" ht="12.75">
      <c r="D920" s="1" t="str">
        <f ca="1">IFERROR(__xludf.DUMMYFUNCTION("iferror(SPLIT(C920,""=""))"),"")</f>
        <v/>
      </c>
      <c r="F920" s="1" t="e">
        <f t="shared" ca="1" si="4"/>
        <v>#NAME?</v>
      </c>
    </row>
    <row r="921" spans="4:6" ht="12.75">
      <c r="D921" s="1" t="str">
        <f ca="1">IFERROR(__xludf.DUMMYFUNCTION("iferror(SPLIT(C921,""=""))"),"")</f>
        <v/>
      </c>
      <c r="F921" s="1" t="e">
        <f t="shared" ca="1" si="4"/>
        <v>#NAME?</v>
      </c>
    </row>
    <row r="922" spans="4:6" ht="12.75">
      <c r="D922" s="1" t="str">
        <f ca="1">IFERROR(__xludf.DUMMYFUNCTION("iferror(SPLIT(C922,""=""))"),"")</f>
        <v/>
      </c>
      <c r="F922" s="1" t="e">
        <f t="shared" ca="1" si="4"/>
        <v>#NAME?</v>
      </c>
    </row>
    <row r="923" spans="4:6" ht="12.75">
      <c r="D923" s="1" t="str">
        <f ca="1">IFERROR(__xludf.DUMMYFUNCTION("iferror(SPLIT(C923,""=""))"),"")</f>
        <v/>
      </c>
      <c r="F923" s="1" t="e">
        <f t="shared" ca="1" si="4"/>
        <v>#NAME?</v>
      </c>
    </row>
    <row r="924" spans="4:6" ht="12.75">
      <c r="D924" s="1" t="str">
        <f ca="1">IFERROR(__xludf.DUMMYFUNCTION("iferror(SPLIT(C924,""=""))"),"")</f>
        <v/>
      </c>
      <c r="F924" s="1" t="e">
        <f t="shared" ca="1" si="4"/>
        <v>#NAME?</v>
      </c>
    </row>
    <row r="925" spans="4:6" ht="12.75">
      <c r="D925" s="1" t="str">
        <f ca="1">IFERROR(__xludf.DUMMYFUNCTION("iferror(SPLIT(C925,""=""))"),"")</f>
        <v/>
      </c>
      <c r="F925" s="1" t="e">
        <f t="shared" ca="1" si="4"/>
        <v>#NAME?</v>
      </c>
    </row>
    <row r="926" spans="4:6" ht="12.75">
      <c r="D926" s="1" t="str">
        <f ca="1">IFERROR(__xludf.DUMMYFUNCTION("iferror(SPLIT(C926,""=""))"),"")</f>
        <v/>
      </c>
      <c r="F926" s="1" t="e">
        <f t="shared" ca="1" si="4"/>
        <v>#NAME?</v>
      </c>
    </row>
    <row r="927" spans="4:6" ht="12.75">
      <c r="D927" s="1" t="str">
        <f ca="1">IFERROR(__xludf.DUMMYFUNCTION("iferror(SPLIT(C927,""=""))"),"")</f>
        <v/>
      </c>
      <c r="F927" s="1" t="e">
        <f t="shared" ca="1" si="4"/>
        <v>#NAME?</v>
      </c>
    </row>
    <row r="928" spans="4:6" ht="12.75">
      <c r="D928" s="1" t="str">
        <f ca="1">IFERROR(__xludf.DUMMYFUNCTION("iferror(SPLIT(C928,""=""))"),"")</f>
        <v/>
      </c>
      <c r="F928" s="1" t="e">
        <f t="shared" ca="1" si="4"/>
        <v>#NAME?</v>
      </c>
    </row>
    <row r="929" spans="4:6" ht="12.75">
      <c r="D929" s="1" t="str">
        <f ca="1">IFERROR(__xludf.DUMMYFUNCTION("iferror(SPLIT(C929,""=""))"),"")</f>
        <v/>
      </c>
      <c r="F929" s="1" t="e">
        <f t="shared" ca="1" si="4"/>
        <v>#NAME?</v>
      </c>
    </row>
    <row r="930" spans="4:6" ht="12.75">
      <c r="D930" s="1" t="str">
        <f ca="1">IFERROR(__xludf.DUMMYFUNCTION("iferror(SPLIT(C930,""=""))"),"")</f>
        <v/>
      </c>
      <c r="F930" s="1" t="e">
        <f t="shared" ca="1" si="4"/>
        <v>#NAME?</v>
      </c>
    </row>
    <row r="931" spans="4:6" ht="12.75">
      <c r="D931" s="1" t="str">
        <f ca="1">IFERROR(__xludf.DUMMYFUNCTION("iferror(SPLIT(C931,""=""))"),"")</f>
        <v/>
      </c>
      <c r="F931" s="1" t="e">
        <f t="shared" ca="1" si="4"/>
        <v>#NAME?</v>
      </c>
    </row>
    <row r="932" spans="4:6" ht="12.75">
      <c r="D932" s="1" t="str">
        <f ca="1">IFERROR(__xludf.DUMMYFUNCTION("iferror(SPLIT(C932,""=""))"),"")</f>
        <v/>
      </c>
      <c r="F932" s="1" t="e">
        <f t="shared" ca="1" si="4"/>
        <v>#NAME?</v>
      </c>
    </row>
    <row r="933" spans="4:6" ht="12.75">
      <c r="D933" s="1" t="str">
        <f ca="1">IFERROR(__xludf.DUMMYFUNCTION("iferror(SPLIT(C933,""=""))"),"")</f>
        <v/>
      </c>
      <c r="F933" s="1" t="e">
        <f t="shared" ca="1" si="4"/>
        <v>#NAME?</v>
      </c>
    </row>
    <row r="934" spans="4:6" ht="12.75">
      <c r="D934" s="1" t="str">
        <f ca="1">IFERROR(__xludf.DUMMYFUNCTION("iferror(SPLIT(C934,""=""))"),"")</f>
        <v/>
      </c>
      <c r="F934" s="1" t="e">
        <f t="shared" ca="1" si="4"/>
        <v>#NAME?</v>
      </c>
    </row>
    <row r="935" spans="4:6" ht="12.75">
      <c r="D935" s="1" t="str">
        <f ca="1">IFERROR(__xludf.DUMMYFUNCTION("iferror(SPLIT(C935,""=""))"),"")</f>
        <v/>
      </c>
      <c r="F935" s="1" t="e">
        <f t="shared" ca="1" si="4"/>
        <v>#NAME?</v>
      </c>
    </row>
    <row r="936" spans="4:6" ht="12.75">
      <c r="D936" s="1" t="str">
        <f ca="1">IFERROR(__xludf.DUMMYFUNCTION("iferror(SPLIT(C936,""=""))"),"")</f>
        <v/>
      </c>
      <c r="F936" s="1" t="e">
        <f t="shared" ca="1" si="4"/>
        <v>#NAME?</v>
      </c>
    </row>
    <row r="937" spans="4:6" ht="12.75">
      <c r="D937" s="1" t="str">
        <f ca="1">IFERROR(__xludf.DUMMYFUNCTION("iferror(SPLIT(C937,""=""))"),"")</f>
        <v/>
      </c>
      <c r="F937" s="1" t="e">
        <f t="shared" ca="1" si="4"/>
        <v>#NAME?</v>
      </c>
    </row>
    <row r="938" spans="4:6" ht="12.75">
      <c r="D938" s="1" t="str">
        <f ca="1">IFERROR(__xludf.DUMMYFUNCTION("iferror(SPLIT(C938,""=""))"),"")</f>
        <v/>
      </c>
      <c r="F938" s="1" t="e">
        <f t="shared" ca="1" si="4"/>
        <v>#NAME?</v>
      </c>
    </row>
    <row r="939" spans="4:6" ht="12.75">
      <c r="D939" s="1" t="str">
        <f ca="1">IFERROR(__xludf.DUMMYFUNCTION("iferror(SPLIT(C939,""=""))"),"")</f>
        <v/>
      </c>
      <c r="F939" s="1" t="e">
        <f t="shared" ca="1" si="4"/>
        <v>#NAME?</v>
      </c>
    </row>
    <row r="940" spans="4:6" ht="12.75">
      <c r="D940" s="1" t="str">
        <f ca="1">IFERROR(__xludf.DUMMYFUNCTION("iferror(SPLIT(C940,""=""))"),"")</f>
        <v/>
      </c>
      <c r="F940" s="1" t="e">
        <f t="shared" ca="1" si="4"/>
        <v>#NAME?</v>
      </c>
    </row>
    <row r="941" spans="4:6" ht="12.75">
      <c r="D941" s="1" t="str">
        <f ca="1">IFERROR(__xludf.DUMMYFUNCTION("iferror(SPLIT(C941,""=""))"),"")</f>
        <v/>
      </c>
      <c r="F941" s="1" t="e">
        <f t="shared" ca="1" si="4"/>
        <v>#NAME?</v>
      </c>
    </row>
    <row r="942" spans="4:6" ht="12.75">
      <c r="D942" s="1" t="str">
        <f ca="1">IFERROR(__xludf.DUMMYFUNCTION("iferror(SPLIT(C942,""=""))"),"")</f>
        <v/>
      </c>
      <c r="F942" s="1" t="e">
        <f t="shared" ca="1" si="4"/>
        <v>#NAME?</v>
      </c>
    </row>
    <row r="943" spans="4:6" ht="12.75">
      <c r="D943" s="1" t="str">
        <f ca="1">IFERROR(__xludf.DUMMYFUNCTION("iferror(SPLIT(C943,""=""))"),"")</f>
        <v/>
      </c>
      <c r="F943" s="1" t="e">
        <f t="shared" ca="1" si="4"/>
        <v>#NAME?</v>
      </c>
    </row>
    <row r="944" spans="4:6" ht="12.75">
      <c r="D944" s="1" t="str">
        <f ca="1">IFERROR(__xludf.DUMMYFUNCTION("iferror(SPLIT(C944,""=""))"),"")</f>
        <v/>
      </c>
      <c r="F944" s="1" t="e">
        <f t="shared" ca="1" si="4"/>
        <v>#NAME?</v>
      </c>
    </row>
    <row r="945" spans="4:6" ht="12.75">
      <c r="D945" s="1" t="str">
        <f ca="1">IFERROR(__xludf.DUMMYFUNCTION("iferror(SPLIT(C945,""=""))"),"")</f>
        <v/>
      </c>
      <c r="F945" s="1" t="e">
        <f t="shared" ca="1" si="4"/>
        <v>#NAME?</v>
      </c>
    </row>
    <row r="946" spans="4:6" ht="12.75">
      <c r="D946" s="1" t="str">
        <f ca="1">IFERROR(__xludf.DUMMYFUNCTION("iferror(SPLIT(C946,""=""))"),"")</f>
        <v/>
      </c>
      <c r="F946" s="1" t="e">
        <f t="shared" ca="1" si="4"/>
        <v>#NAME?</v>
      </c>
    </row>
    <row r="947" spans="4:6" ht="12.75">
      <c r="D947" s="1" t="str">
        <f ca="1">IFERROR(__xludf.DUMMYFUNCTION("iferror(SPLIT(C947,""=""))"),"")</f>
        <v/>
      </c>
      <c r="F947" s="1" t="e">
        <f t="shared" ca="1" si="4"/>
        <v>#NAME?</v>
      </c>
    </row>
    <row r="948" spans="4:6" ht="12.75">
      <c r="D948" s="1" t="str">
        <f ca="1">IFERROR(__xludf.DUMMYFUNCTION("iferror(SPLIT(C948,""=""))"),"")</f>
        <v/>
      </c>
      <c r="F948" s="1" t="e">
        <f t="shared" ca="1" si="4"/>
        <v>#NAME?</v>
      </c>
    </row>
    <row r="949" spans="4:6" ht="12.75">
      <c r="D949" s="1" t="str">
        <f ca="1">IFERROR(__xludf.DUMMYFUNCTION("iferror(SPLIT(C949,""=""))"),"")</f>
        <v/>
      </c>
      <c r="F949" s="1" t="e">
        <f t="shared" ca="1" si="4"/>
        <v>#NAME?</v>
      </c>
    </row>
    <row r="950" spans="4:6" ht="12.75">
      <c r="D950" s="1" t="str">
        <f ca="1">IFERROR(__xludf.DUMMYFUNCTION("iferror(SPLIT(C950,""=""))"),"")</f>
        <v/>
      </c>
      <c r="F950" s="1" t="e">
        <f t="shared" ca="1" si="4"/>
        <v>#NAME?</v>
      </c>
    </row>
    <row r="951" spans="4:6" ht="12.75">
      <c r="D951" s="1" t="str">
        <f ca="1">IFERROR(__xludf.DUMMYFUNCTION("iferror(SPLIT(C951,""=""))"),"")</f>
        <v/>
      </c>
      <c r="F951" s="1" t="e">
        <f t="shared" ca="1" si="4"/>
        <v>#NAME?</v>
      </c>
    </row>
    <row r="952" spans="4:6" ht="12.75">
      <c r="D952" s="1" t="str">
        <f ca="1">IFERROR(__xludf.DUMMYFUNCTION("iferror(SPLIT(C952,""=""))"),"")</f>
        <v/>
      </c>
      <c r="F952" s="1" t="e">
        <f t="shared" ca="1" si="4"/>
        <v>#NAME?</v>
      </c>
    </row>
    <row r="953" spans="4:6" ht="12.75">
      <c r="D953" s="1" t="str">
        <f ca="1">IFERROR(__xludf.DUMMYFUNCTION("iferror(SPLIT(C953,""=""))"),"")</f>
        <v/>
      </c>
      <c r="F953" s="1" t="e">
        <f t="shared" ca="1" si="4"/>
        <v>#NAME?</v>
      </c>
    </row>
    <row r="954" spans="4:6" ht="12.75">
      <c r="D954" s="1" t="str">
        <f ca="1">IFERROR(__xludf.DUMMYFUNCTION("iferror(SPLIT(C954,""=""))"),"")</f>
        <v/>
      </c>
      <c r="F954" s="1" t="e">
        <f t="shared" ca="1" si="4"/>
        <v>#NAME?</v>
      </c>
    </row>
    <row r="955" spans="4:6" ht="12.75">
      <c r="D955" s="1" t="str">
        <f ca="1">IFERROR(__xludf.DUMMYFUNCTION("iferror(SPLIT(C955,""=""))"),"")</f>
        <v/>
      </c>
      <c r="F955" s="1" t="e">
        <f t="shared" ca="1" si="4"/>
        <v>#NAME?</v>
      </c>
    </row>
    <row r="956" spans="4:6" ht="12.75">
      <c r="D956" s="1" t="str">
        <f ca="1">IFERROR(__xludf.DUMMYFUNCTION("iferror(SPLIT(C956,""=""))"),"")</f>
        <v/>
      </c>
      <c r="F956" s="1" t="e">
        <f t="shared" ca="1" si="4"/>
        <v>#NAME?</v>
      </c>
    </row>
    <row r="957" spans="4:6" ht="12.75">
      <c r="D957" s="1" t="str">
        <f ca="1">IFERROR(__xludf.DUMMYFUNCTION("iferror(SPLIT(C957,""=""))"),"")</f>
        <v/>
      </c>
      <c r="F957" s="1" t="e">
        <f t="shared" ca="1" si="4"/>
        <v>#NAME?</v>
      </c>
    </row>
    <row r="958" spans="4:6" ht="12.75">
      <c r="D958" s="1" t="str">
        <f ca="1">IFERROR(__xludf.DUMMYFUNCTION("iferror(SPLIT(C958,""=""))"),"")</f>
        <v/>
      </c>
      <c r="F958" s="1" t="e">
        <f t="shared" ca="1" si="4"/>
        <v>#NAME?</v>
      </c>
    </row>
    <row r="959" spans="4:6" ht="12.75">
      <c r="D959" s="1" t="str">
        <f ca="1">IFERROR(__xludf.DUMMYFUNCTION("iferror(SPLIT(C959,""=""))"),"")</f>
        <v/>
      </c>
      <c r="F959" s="1" t="e">
        <f t="shared" ca="1" si="4"/>
        <v>#NAME?</v>
      </c>
    </row>
    <row r="960" spans="4:6" ht="12.75">
      <c r="D960" s="1" t="str">
        <f ca="1">IFERROR(__xludf.DUMMYFUNCTION("iferror(SPLIT(C960,""=""))"),"")</f>
        <v/>
      </c>
      <c r="F960" s="1" t="e">
        <f t="shared" ca="1" si="4"/>
        <v>#NAME?</v>
      </c>
    </row>
    <row r="961" spans="4:6" ht="12.75">
      <c r="D961" s="1" t="str">
        <f ca="1">IFERROR(__xludf.DUMMYFUNCTION("iferror(SPLIT(C961,""=""))"),"")</f>
        <v/>
      </c>
      <c r="F961" s="1" t="e">
        <f t="shared" ca="1" si="4"/>
        <v>#NAME?</v>
      </c>
    </row>
    <row r="962" spans="4:6" ht="12.75">
      <c r="D962" s="1" t="str">
        <f ca="1">IFERROR(__xludf.DUMMYFUNCTION("iferror(SPLIT(C962,""=""))"),"")</f>
        <v/>
      </c>
      <c r="F962" s="1" t="e">
        <f t="shared" ca="1" si="4"/>
        <v>#NAME?</v>
      </c>
    </row>
    <row r="963" spans="4:6" ht="12.75">
      <c r="D963" s="1" t="str">
        <f ca="1">IFERROR(__xludf.DUMMYFUNCTION("iferror(SPLIT(C963,""=""))"),"")</f>
        <v/>
      </c>
      <c r="F963" s="1" t="e">
        <f t="shared" ca="1" si="4"/>
        <v>#NAME?</v>
      </c>
    </row>
    <row r="964" spans="4:6" ht="12.75">
      <c r="D964" s="1" t="str">
        <f ca="1">IFERROR(__xludf.DUMMYFUNCTION("iferror(SPLIT(C964,""=""))"),"")</f>
        <v/>
      </c>
      <c r="F964" s="1" t="e">
        <f t="shared" ca="1" si="4"/>
        <v>#NAME?</v>
      </c>
    </row>
    <row r="965" spans="4:6" ht="12.75">
      <c r="D965" s="1" t="str">
        <f ca="1">IFERROR(__xludf.DUMMYFUNCTION("iferror(SPLIT(C965,""=""))"),"")</f>
        <v/>
      </c>
      <c r="F965" s="1" t="e">
        <f t="shared" ca="1" si="4"/>
        <v>#NAME?</v>
      </c>
    </row>
    <row r="966" spans="4:6" ht="12.75">
      <c r="D966" s="1" t="str">
        <f ca="1">IFERROR(__xludf.DUMMYFUNCTION("iferror(SPLIT(C966,""=""))"),"")</f>
        <v/>
      </c>
      <c r="F966" s="1" t="e">
        <f t="shared" ca="1" si="4"/>
        <v>#NAME?</v>
      </c>
    </row>
    <row r="967" spans="4:6" ht="12.75">
      <c r="D967" s="1" t="str">
        <f ca="1">IFERROR(__xludf.DUMMYFUNCTION("iferror(SPLIT(C967,""=""))"),"")</f>
        <v/>
      </c>
      <c r="F967" s="1" t="e">
        <f t="shared" ca="1" si="4"/>
        <v>#NAME?</v>
      </c>
    </row>
    <row r="968" spans="4:6" ht="12.75">
      <c r="D968" s="1" t="str">
        <f ca="1">IFERROR(__xludf.DUMMYFUNCTION("iferror(SPLIT(C968,""=""))"),"")</f>
        <v/>
      </c>
      <c r="F968" s="1" t="e">
        <f t="shared" ca="1" si="4"/>
        <v>#NAME?</v>
      </c>
    </row>
    <row r="969" spans="4:6" ht="12.75">
      <c r="D969" s="1" t="str">
        <f ca="1">IFERROR(__xludf.DUMMYFUNCTION("iferror(SPLIT(C969,""=""))"),"")</f>
        <v/>
      </c>
      <c r="F969" s="1" t="e">
        <f t="shared" ca="1" si="4"/>
        <v>#NAME?</v>
      </c>
    </row>
    <row r="970" spans="4:6" ht="12.75">
      <c r="D970" s="1" t="str">
        <f ca="1">IFERROR(__xludf.DUMMYFUNCTION("iferror(SPLIT(C970,""=""))"),"")</f>
        <v/>
      </c>
      <c r="F970" s="1" t="e">
        <f t="shared" ca="1" si="4"/>
        <v>#NAME?</v>
      </c>
    </row>
    <row r="971" spans="4:6" ht="12.75">
      <c r="D971" s="1" t="str">
        <f ca="1">IFERROR(__xludf.DUMMYFUNCTION("iferror(SPLIT(C971,""=""))"),"")</f>
        <v/>
      </c>
      <c r="F971" s="1" t="e">
        <f t="shared" ca="1" si="4"/>
        <v>#NAME?</v>
      </c>
    </row>
    <row r="972" spans="4:6" ht="12.75">
      <c r="D972" s="1" t="str">
        <f ca="1">IFERROR(__xludf.DUMMYFUNCTION("iferror(SPLIT(C972,""=""))"),"")</f>
        <v/>
      </c>
      <c r="F972" s="1" t="e">
        <f t="shared" ca="1" si="4"/>
        <v>#NAME?</v>
      </c>
    </row>
    <row r="973" spans="4:6" ht="12.75">
      <c r="D973" s="1" t="str">
        <f ca="1">IFERROR(__xludf.DUMMYFUNCTION("iferror(SPLIT(C973,""=""))"),"")</f>
        <v/>
      </c>
      <c r="F973" s="1" t="e">
        <f t="shared" ca="1" si="4"/>
        <v>#NAME?</v>
      </c>
    </row>
    <row r="974" spans="4:6" ht="12.75">
      <c r="D974" s="1" t="str">
        <f ca="1">IFERROR(__xludf.DUMMYFUNCTION("iferror(SPLIT(C974,""=""))"),"")</f>
        <v/>
      </c>
      <c r="F974" s="1" t="e">
        <f t="shared" ca="1" si="4"/>
        <v>#NAME?</v>
      </c>
    </row>
    <row r="975" spans="4:6" ht="12.75">
      <c r="D975" s="1" t="str">
        <f ca="1">IFERROR(__xludf.DUMMYFUNCTION("iferror(SPLIT(C975,""=""))"),"")</f>
        <v/>
      </c>
      <c r="F975" s="1" t="e">
        <f t="shared" ca="1" si="4"/>
        <v>#NAME?</v>
      </c>
    </row>
    <row r="976" spans="4:6" ht="12.75">
      <c r="D976" s="1" t="str">
        <f ca="1">IFERROR(__xludf.DUMMYFUNCTION("iferror(SPLIT(C976,""=""))"),"")</f>
        <v/>
      </c>
      <c r="F976" s="1" t="e">
        <f t="shared" ca="1" si="4"/>
        <v>#NAME?</v>
      </c>
    </row>
    <row r="977" spans="4:6" ht="12.75">
      <c r="D977" s="1" t="str">
        <f ca="1">IFERROR(__xludf.DUMMYFUNCTION("iferror(SPLIT(C977,""=""))"),"")</f>
        <v/>
      </c>
      <c r="F977" s="1" t="e">
        <f t="shared" ca="1" si="4"/>
        <v>#NAME?</v>
      </c>
    </row>
    <row r="978" spans="4:6" ht="12.75">
      <c r="D978" s="1" t="str">
        <f ca="1">IFERROR(__xludf.DUMMYFUNCTION("iferror(SPLIT(C978,""=""))"),"")</f>
        <v/>
      </c>
      <c r="F978" s="1" t="e">
        <f t="shared" ca="1" si="4"/>
        <v>#NAME?</v>
      </c>
    </row>
    <row r="979" spans="4:6" ht="12.75">
      <c r="D979" s="1" t="str">
        <f ca="1">IFERROR(__xludf.DUMMYFUNCTION("iferror(SPLIT(C979,""=""))"),"")</f>
        <v/>
      </c>
      <c r="F979" s="1" t="e">
        <f t="shared" ca="1" si="4"/>
        <v>#NAME?</v>
      </c>
    </row>
    <row r="980" spans="4:6" ht="12.75">
      <c r="D980" s="1" t="str">
        <f ca="1">IFERROR(__xludf.DUMMYFUNCTION("iferror(SPLIT(C980,""=""))"),"")</f>
        <v/>
      </c>
      <c r="F980" s="1" t="e">
        <f t="shared" ca="1" si="4"/>
        <v>#NAME?</v>
      </c>
    </row>
    <row r="981" spans="4:6" ht="12.75">
      <c r="D981" s="1" t="str">
        <f ca="1">IFERROR(__xludf.DUMMYFUNCTION("iferror(SPLIT(C981,""=""))"),"")</f>
        <v/>
      </c>
      <c r="F981" s="1" t="e">
        <f t="shared" ca="1" si="4"/>
        <v>#NAME?</v>
      </c>
    </row>
    <row r="982" spans="4:6" ht="12.75">
      <c r="D982" s="1" t="str">
        <f ca="1">IFERROR(__xludf.DUMMYFUNCTION("iferror(SPLIT(C982,""=""))"),"")</f>
        <v/>
      </c>
      <c r="F982" s="1" t="e">
        <f t="shared" ca="1" si="4"/>
        <v>#NAME?</v>
      </c>
    </row>
    <row r="983" spans="4:6" ht="12.75">
      <c r="D983" s="1" t="str">
        <f ca="1">IFERROR(__xludf.DUMMYFUNCTION("iferror(SPLIT(C983,""=""))"),"")</f>
        <v/>
      </c>
      <c r="F983" s="1" t="e">
        <f t="shared" ca="1" si="4"/>
        <v>#NAME?</v>
      </c>
    </row>
    <row r="984" spans="4:6" ht="12.75">
      <c r="D984" s="1" t="str">
        <f ca="1">IFERROR(__xludf.DUMMYFUNCTION("iferror(SPLIT(C984,""=""))"),"")</f>
        <v/>
      </c>
      <c r="F984" s="1" t="e">
        <f t="shared" ca="1" si="4"/>
        <v>#NAME?</v>
      </c>
    </row>
    <row r="985" spans="4:6" ht="12.75">
      <c r="D985" s="1" t="str">
        <f ca="1">IFERROR(__xludf.DUMMYFUNCTION("iferror(SPLIT(C985,""=""))"),"")</f>
        <v/>
      </c>
      <c r="F985" s="1" t="e">
        <f t="shared" ca="1" si="4"/>
        <v>#NAME?</v>
      </c>
    </row>
    <row r="986" spans="4:6" ht="12.75">
      <c r="D986" s="1" t="str">
        <f ca="1">IFERROR(__xludf.DUMMYFUNCTION("iferror(SPLIT(C986,""=""))"),"")</f>
        <v/>
      </c>
      <c r="F986" s="1" t="e">
        <f t="shared" ca="1" si="4"/>
        <v>#NAME?</v>
      </c>
    </row>
    <row r="987" spans="4:6" ht="12.75">
      <c r="D987" s="1" t="str">
        <f ca="1">IFERROR(__xludf.DUMMYFUNCTION("iferror(SPLIT(C987,""=""))"),"")</f>
        <v/>
      </c>
      <c r="F987" s="1" t="e">
        <f t="shared" ca="1" si="4"/>
        <v>#NAME?</v>
      </c>
    </row>
    <row r="988" spans="4:6" ht="12.75">
      <c r="D988" s="1" t="str">
        <f ca="1">IFERROR(__xludf.DUMMYFUNCTION("iferror(SPLIT(C988,""=""))"),"")</f>
        <v/>
      </c>
      <c r="F988" s="1" t="e">
        <f t="shared" ca="1" si="4"/>
        <v>#NAME?</v>
      </c>
    </row>
    <row r="989" spans="4:6" ht="12.75">
      <c r="D989" s="1" t="str">
        <f ca="1">IFERROR(__xludf.DUMMYFUNCTION("iferror(SPLIT(C989,""=""))"),"")</f>
        <v/>
      </c>
      <c r="F989" s="1" t="e">
        <f t="shared" ca="1" si="4"/>
        <v>#NAME?</v>
      </c>
    </row>
    <row r="990" spans="4:6" ht="12.75">
      <c r="D990" s="1" t="str">
        <f ca="1">IFERROR(__xludf.DUMMYFUNCTION("iferror(SPLIT(C990,""=""))"),"")</f>
        <v/>
      </c>
      <c r="F990" s="1" t="e">
        <f t="shared" ca="1" si="4"/>
        <v>#NAME?</v>
      </c>
    </row>
    <row r="991" spans="4:6" ht="12.75">
      <c r="D991" s="1" t="str">
        <f ca="1">IFERROR(__xludf.DUMMYFUNCTION("iferror(SPLIT(C991,""=""))"),"")</f>
        <v/>
      </c>
      <c r="F991" s="1" t="e">
        <f t="shared" ca="1" si="4"/>
        <v>#NAME?</v>
      </c>
    </row>
    <row r="992" spans="4:6" ht="12.75">
      <c r="D992" s="1" t="str">
        <f ca="1">IFERROR(__xludf.DUMMYFUNCTION("iferror(SPLIT(C992,""=""))"),"")</f>
        <v/>
      </c>
      <c r="F992" s="1" t="e">
        <f t="shared" ca="1" si="4"/>
        <v>#NAME?</v>
      </c>
    </row>
    <row r="993" spans="4:6" ht="12.75">
      <c r="D993" s="1" t="str">
        <f ca="1">IFERROR(__xludf.DUMMYFUNCTION("iferror(SPLIT(C993,""=""))"),"")</f>
        <v/>
      </c>
      <c r="F993" s="1" t="e">
        <f t="shared" ca="1" si="4"/>
        <v>#NAME?</v>
      </c>
    </row>
    <row r="994" spans="4:6" ht="12.75">
      <c r="D994" s="1" t="str">
        <f ca="1">IFERROR(__xludf.DUMMYFUNCTION("iferror(SPLIT(C994,""=""))"),"")</f>
        <v/>
      </c>
      <c r="F994" s="1" t="e">
        <f t="shared" ca="1" si="4"/>
        <v>#NAME?</v>
      </c>
    </row>
    <row r="995" spans="4:6" ht="12.75">
      <c r="D995" s="1" t="str">
        <f ca="1">IFERROR(__xludf.DUMMYFUNCTION("iferror(SPLIT(C995,""=""))"),"")</f>
        <v/>
      </c>
      <c r="F995" s="1" t="e">
        <f t="shared" ca="1" si="4"/>
        <v>#NAME?</v>
      </c>
    </row>
    <row r="996" spans="4:6" ht="12.75">
      <c r="D996" s="1" t="str">
        <f ca="1">IFERROR(__xludf.DUMMYFUNCTION("iferror(SPLIT(C996,""=""))"),"")</f>
        <v/>
      </c>
      <c r="F996" s="1" t="e">
        <f t="shared" ca="1" si="4"/>
        <v>#NAME?</v>
      </c>
    </row>
    <row r="997" spans="4:6" ht="12.75">
      <c r="D997" s="1" t="str">
        <f ca="1">IFERROR(__xludf.DUMMYFUNCTION("iferror(SPLIT(C997,""=""))"),"")</f>
        <v/>
      </c>
      <c r="F997" s="1" t="e">
        <f t="shared" ca="1" si="4"/>
        <v>#NAME?</v>
      </c>
    </row>
    <row r="998" spans="4:6" ht="12.75">
      <c r="D998" s="1" t="str">
        <f ca="1">IFERROR(__xludf.DUMMYFUNCTION("iferror(SPLIT(C998,""=""))"),"")</f>
        <v/>
      </c>
      <c r="F998" s="1" t="e">
        <f t="shared" ca="1" si="4"/>
        <v>#NAME?</v>
      </c>
    </row>
    <row r="999" spans="4:6" ht="12.75">
      <c r="D999" s="1" t="str">
        <f ca="1">IFERROR(__xludf.DUMMYFUNCTION("iferror(SPLIT(C999,""=""))"),"")</f>
        <v/>
      </c>
      <c r="F999" s="1" t="e">
        <f t="shared" ca="1" si="4"/>
        <v>#NAME?</v>
      </c>
    </row>
    <row r="1000" spans="4:6" ht="12.75">
      <c r="D1000" s="1" t="str">
        <f ca="1">IFERROR(__xludf.DUMMYFUNCTION("iferror(SPLIT(C1000,""=""))"),"")</f>
        <v/>
      </c>
      <c r="F1000" s="1" t="e">
        <f t="shared" ca="1" si="4"/>
        <v>#NAME?</v>
      </c>
    </row>
    <row r="1001" spans="4:6" ht="12.75">
      <c r="D1001" s="1" t="str">
        <f ca="1">IFERROR(__xludf.DUMMYFUNCTION("iferror(SPLIT(C1001,""=""))"),"")</f>
        <v/>
      </c>
      <c r="F1001" s="1" t="e">
        <f t="shared" ca="1" si="4"/>
        <v>#NAME?</v>
      </c>
    </row>
    <row r="1002" spans="4:6" ht="12.75">
      <c r="D1002" s="1" t="str">
        <f ca="1">IFERROR(__xludf.DUMMYFUNCTION("iferror(SPLIT(C1002,""=""))"),"")</f>
        <v/>
      </c>
      <c r="F1002" s="1" t="e">
        <f t="shared" ca="1" si="4"/>
        <v>#NAME?</v>
      </c>
    </row>
    <row r="1003" spans="4:6" ht="12.75">
      <c r="D1003" s="1" t="str">
        <f ca="1">IFERROR(__xludf.DUMMYFUNCTION("iferror(SPLIT(C1003,""=""))"),"")</f>
        <v/>
      </c>
      <c r="F1003" s="1" t="e">
        <f t="shared" ca="1" si="4"/>
        <v>#NAME?</v>
      </c>
    </row>
    <row r="1004" spans="4:6" ht="12.75">
      <c r="D1004" s="1" t="str">
        <f ca="1">IFERROR(__xludf.DUMMYFUNCTION("iferror(SPLIT(C1004,""=""))"),"")</f>
        <v/>
      </c>
      <c r="F1004" s="1" t="e">
        <f t="shared" ca="1" si="4"/>
        <v>#NAME?</v>
      </c>
    </row>
    <row r="1005" spans="4:6" ht="12.75">
      <c r="D1005" s="1" t="str">
        <f ca="1">IFERROR(__xludf.DUMMYFUNCTION("iferror(SPLIT(C1005,""=""))"),"")</f>
        <v/>
      </c>
      <c r="F1005" s="1" t="e">
        <f t="shared" ca="1" si="4"/>
        <v>#NAME?</v>
      </c>
    </row>
    <row r="1006" spans="4:6" ht="12.75">
      <c r="D1006" s="1" t="str">
        <f ca="1">IFERROR(__xludf.DUMMYFUNCTION("iferror(SPLIT(C1006,""=""))"),"")</f>
        <v/>
      </c>
      <c r="F1006" s="1" t="e">
        <f t="shared" ca="1" si="4"/>
        <v>#NAME?</v>
      </c>
    </row>
    <row r="1007" spans="4:6" ht="12.75">
      <c r="D1007" s="1" t="str">
        <f ca="1">IFERROR(__xludf.DUMMYFUNCTION("iferror(SPLIT(C1007,""=""))"),"")</f>
        <v/>
      </c>
      <c r="F1007" s="1" t="e">
        <f t="shared" ca="1" si="4"/>
        <v>#NAME?</v>
      </c>
    </row>
    <row r="1008" spans="4:6" ht="12.75">
      <c r="D1008" s="1" t="str">
        <f ca="1">IFERROR(__xludf.DUMMYFUNCTION("iferror(SPLIT(C1008,""=""))"),"")</f>
        <v/>
      </c>
      <c r="F1008" s="1" t="e">
        <f t="shared" ca="1" si="4"/>
        <v>#NAME?</v>
      </c>
    </row>
    <row r="1009" spans="4:6" ht="12.75">
      <c r="D1009" s="1" t="str">
        <f ca="1">IFERROR(__xludf.DUMMYFUNCTION("iferror(SPLIT(C1009,""=""))"),"")</f>
        <v/>
      </c>
      <c r="F1009" s="1" t="e">
        <f t="shared" ca="1" si="4"/>
        <v>#NAME?</v>
      </c>
    </row>
    <row r="1010" spans="4:6" ht="12.75">
      <c r="D1010" s="1" t="str">
        <f ca="1">IFERROR(__xludf.DUMMYFUNCTION("iferror(SPLIT(C1010,""=""))"),"")</f>
        <v/>
      </c>
      <c r="F1010" s="1" t="e">
        <f t="shared" ca="1" si="4"/>
        <v>#NAME?</v>
      </c>
    </row>
    <row r="1011" spans="4:6" ht="12.75">
      <c r="D1011" s="1" t="str">
        <f ca="1">IFERROR(__xludf.DUMMYFUNCTION("iferror(SPLIT(C1011,""=""))"),"")</f>
        <v/>
      </c>
      <c r="F1011" s="1" t="e">
        <f t="shared" ca="1" si="4"/>
        <v>#NAME?</v>
      </c>
    </row>
    <row r="1012" spans="4:6" ht="12.75">
      <c r="D1012" s="1" t="str">
        <f ca="1">IFERROR(__xludf.DUMMYFUNCTION("iferror(SPLIT(C1012,""=""))"),"")</f>
        <v/>
      </c>
      <c r="F1012" s="1" t="e">
        <f t="shared" ca="1" si="4"/>
        <v>#NAME?</v>
      </c>
    </row>
    <row r="1013" spans="4:6" ht="12.75">
      <c r="D1013" s="1" t="str">
        <f ca="1">IFERROR(__xludf.DUMMYFUNCTION("iferror(SPLIT(C1013,""=""))"),"")</f>
        <v/>
      </c>
      <c r="F1013" s="1" t="e">
        <f t="shared" ca="1" si="4"/>
        <v>#NAME?</v>
      </c>
    </row>
    <row r="1014" spans="4:6" ht="12.75">
      <c r="D1014" s="1" t="str">
        <f ca="1">IFERROR(__xludf.DUMMYFUNCTION("iferror(SPLIT(C1014,""=""))"),"")</f>
        <v/>
      </c>
      <c r="F1014" s="1" t="e">
        <f t="shared" ca="1" si="4"/>
        <v>#NAME?</v>
      </c>
    </row>
    <row r="1015" spans="4:6" ht="12.75">
      <c r="D1015" s="1" t="str">
        <f ca="1">IFERROR(__xludf.DUMMYFUNCTION("iferror(SPLIT(C1015,""=""))"),"")</f>
        <v/>
      </c>
      <c r="F1015" s="1" t="e">
        <f t="shared" ca="1" si="4"/>
        <v>#NAME?</v>
      </c>
    </row>
    <row r="1016" spans="4:6" ht="12.75">
      <c r="D1016" s="1" t="str">
        <f ca="1">IFERROR(__xludf.DUMMYFUNCTION("iferror(SPLIT(C1016,""=""))"),"")</f>
        <v/>
      </c>
      <c r="F1016" s="1" t="e">
        <f t="shared" ca="1" si="4"/>
        <v>#NAME?</v>
      </c>
    </row>
    <row r="1017" spans="4:6" ht="12.75">
      <c r="D1017" s="1" t="str">
        <f ca="1">IFERROR(__xludf.DUMMYFUNCTION("iferror(SPLIT(C1017,""=""))"),"")</f>
        <v/>
      </c>
      <c r="F1017" s="1" t="e">
        <f t="shared" ca="1" si="4"/>
        <v>#NAME?</v>
      </c>
    </row>
    <row r="1018" spans="4:6" ht="12.75">
      <c r="D1018" s="1" t="str">
        <f ca="1">IFERROR(__xludf.DUMMYFUNCTION("iferror(SPLIT(C1018,""=""))"),"")</f>
        <v/>
      </c>
      <c r="F1018" s="1" t="e">
        <f t="shared" ca="1" si="4"/>
        <v>#NAME?</v>
      </c>
    </row>
    <row r="1019" spans="4:6" ht="12.75">
      <c r="D1019" s="1" t="str">
        <f ca="1">IFERROR(__xludf.DUMMYFUNCTION("iferror(SPLIT(C1019,""=""))"),"")</f>
        <v/>
      </c>
      <c r="F1019" s="1" t="e">
        <f t="shared" ca="1" si="4"/>
        <v>#NAME?</v>
      </c>
    </row>
    <row r="1020" spans="4:6" ht="12.75">
      <c r="D1020" s="1" t="str">
        <f ca="1">IFERROR(__xludf.DUMMYFUNCTION("iferror(SPLIT(C1020,""=""))"),"")</f>
        <v/>
      </c>
      <c r="F1020" s="1" t="e">
        <f t="shared" ca="1" si="4"/>
        <v>#NAME?</v>
      </c>
    </row>
    <row r="1021" spans="4:6" ht="12.75">
      <c r="D1021" s="1" t="str">
        <f ca="1">IFERROR(__xludf.DUMMYFUNCTION("iferror(SPLIT(C1021,""=""))"),"")</f>
        <v/>
      </c>
      <c r="F1021" s="1" t="e">
        <f t="shared" ca="1" si="4"/>
        <v>#NAME?</v>
      </c>
    </row>
    <row r="1022" spans="4:6" ht="12.75">
      <c r="D1022" s="1" t="str">
        <f ca="1">IFERROR(__xludf.DUMMYFUNCTION("iferror(SPLIT(C1022,""=""))"),"")</f>
        <v/>
      </c>
      <c r="F1022" s="1" t="e">
        <f t="shared" ca="1" si="4"/>
        <v>#NAME?</v>
      </c>
    </row>
    <row r="1023" spans="4:6" ht="12.75">
      <c r="D1023" s="1" t="str">
        <f ca="1">IFERROR(__xludf.DUMMYFUNCTION("iferror(SPLIT(C1023,""=""))"),"")</f>
        <v/>
      </c>
      <c r="F1023" s="1" t="e">
        <f t="shared" ca="1" si="4"/>
        <v>#NAME?</v>
      </c>
    </row>
    <row r="1024" spans="4:6" ht="12.75">
      <c r="D1024" s="1" t="str">
        <f ca="1">IFERROR(__xludf.DUMMYFUNCTION("iferror(SPLIT(C1024,""=""))"),"")</f>
        <v/>
      </c>
      <c r="F1024" s="1" t="e">
        <f t="shared" ca="1" si="4"/>
        <v>#NAME?</v>
      </c>
    </row>
    <row r="1025" spans="4:6" ht="12.75">
      <c r="D1025" s="1" t="str">
        <f ca="1">IFERROR(__xludf.DUMMYFUNCTION("iferror(SPLIT(C1025,""=""))"),"")</f>
        <v/>
      </c>
      <c r="F1025" s="1" t="e">
        <f t="shared" ca="1" si="4"/>
        <v>#NAME?</v>
      </c>
    </row>
    <row r="1026" spans="4:6" ht="12.75">
      <c r="D1026" s="1" t="str">
        <f ca="1">IFERROR(__xludf.DUMMYFUNCTION("iferror(SPLIT(C1026,""=""))"),"")</f>
        <v/>
      </c>
      <c r="F1026" s="1" t="e">
        <f t="shared" ca="1" si="4"/>
        <v>#NAME?</v>
      </c>
    </row>
    <row r="1027" spans="4:6" ht="12.75">
      <c r="D1027" s="1" t="str">
        <f ca="1">IFERROR(__xludf.DUMMYFUNCTION("iferror(SPLIT(C1027,""=""))"),"")</f>
        <v/>
      </c>
      <c r="F1027" s="1" t="e">
        <f t="shared" ca="1" si="4"/>
        <v>#NAME?</v>
      </c>
    </row>
    <row r="1028" spans="4:6" ht="12.75">
      <c r="D1028" s="1" t="str">
        <f ca="1">IFERROR(__xludf.DUMMYFUNCTION("iferror(SPLIT(C1028,""=""))"),"")</f>
        <v/>
      </c>
      <c r="F1028" s="1" t="e">
        <f t="shared" ca="1" si="4"/>
        <v>#NAME?</v>
      </c>
    </row>
    <row r="1029" spans="4:6" ht="12.75">
      <c r="D1029" s="1" t="str">
        <f ca="1">IFERROR(__xludf.DUMMYFUNCTION("iferror(SPLIT(C1029,""=""))"),"")</f>
        <v/>
      </c>
      <c r="F1029" s="1" t="e">
        <f t="shared" ref="F1029:F1108" ca="1" si="5">IMAGE($F$1&amp;E1029)</f>
        <v>#NAME?</v>
      </c>
    </row>
    <row r="1030" spans="4:6" ht="12.75">
      <c r="D1030" s="1" t="str">
        <f ca="1">IFERROR(__xludf.DUMMYFUNCTION("iferror(SPLIT(C1030,""=""))"),"")</f>
        <v/>
      </c>
      <c r="F1030" s="1" t="e">
        <f t="shared" ca="1" si="5"/>
        <v>#NAME?</v>
      </c>
    </row>
    <row r="1031" spans="4:6" ht="12.75">
      <c r="D1031" s="1" t="str">
        <f ca="1">IFERROR(__xludf.DUMMYFUNCTION("iferror(SPLIT(C1031,""=""))"),"")</f>
        <v/>
      </c>
      <c r="F1031" s="1" t="e">
        <f t="shared" ca="1" si="5"/>
        <v>#NAME?</v>
      </c>
    </row>
    <row r="1032" spans="4:6" ht="12.75">
      <c r="D1032" s="1" t="str">
        <f ca="1">IFERROR(__xludf.DUMMYFUNCTION("iferror(SPLIT(C1032,""=""))"),"")</f>
        <v/>
      </c>
      <c r="F1032" s="1" t="e">
        <f t="shared" ca="1" si="5"/>
        <v>#NAME?</v>
      </c>
    </row>
    <row r="1033" spans="4:6" ht="12.75">
      <c r="D1033" s="1" t="str">
        <f ca="1">IFERROR(__xludf.DUMMYFUNCTION("iferror(SPLIT(C1033,""=""))"),"")</f>
        <v/>
      </c>
      <c r="F1033" s="1" t="e">
        <f t="shared" ca="1" si="5"/>
        <v>#NAME?</v>
      </c>
    </row>
    <row r="1034" spans="4:6" ht="12.75">
      <c r="D1034" s="1" t="str">
        <f ca="1">IFERROR(__xludf.DUMMYFUNCTION("iferror(SPLIT(C1034,""=""))"),"")</f>
        <v/>
      </c>
      <c r="F1034" s="1" t="e">
        <f t="shared" ca="1" si="5"/>
        <v>#NAME?</v>
      </c>
    </row>
    <row r="1035" spans="4:6" ht="12.75">
      <c r="D1035" s="1" t="str">
        <f ca="1">IFERROR(__xludf.DUMMYFUNCTION("iferror(SPLIT(C1035,""=""))"),"")</f>
        <v/>
      </c>
      <c r="F1035" s="1" t="e">
        <f t="shared" ca="1" si="5"/>
        <v>#NAME?</v>
      </c>
    </row>
    <row r="1036" spans="4:6" ht="12.75">
      <c r="D1036" s="1" t="str">
        <f ca="1">IFERROR(__xludf.DUMMYFUNCTION("iferror(SPLIT(C1036,""=""))"),"")</f>
        <v/>
      </c>
      <c r="F1036" s="1" t="e">
        <f t="shared" ca="1" si="5"/>
        <v>#NAME?</v>
      </c>
    </row>
    <row r="1037" spans="4:6" ht="12.75">
      <c r="D1037" s="1" t="str">
        <f ca="1">IFERROR(__xludf.DUMMYFUNCTION("iferror(SPLIT(C1037,""=""))"),"")</f>
        <v/>
      </c>
      <c r="F1037" s="1" t="e">
        <f t="shared" ca="1" si="5"/>
        <v>#NAME?</v>
      </c>
    </row>
    <row r="1038" spans="4:6" ht="12.75">
      <c r="D1038" s="1" t="str">
        <f ca="1">IFERROR(__xludf.DUMMYFUNCTION("iferror(SPLIT(C1038,""=""))"),"")</f>
        <v/>
      </c>
      <c r="F1038" s="1" t="e">
        <f t="shared" ca="1" si="5"/>
        <v>#NAME?</v>
      </c>
    </row>
    <row r="1039" spans="4:6" ht="12.75">
      <c r="D1039" s="1" t="str">
        <f ca="1">IFERROR(__xludf.DUMMYFUNCTION("iferror(SPLIT(C1039,""=""))"),"")</f>
        <v/>
      </c>
      <c r="F1039" s="1" t="e">
        <f t="shared" ca="1" si="5"/>
        <v>#NAME?</v>
      </c>
    </row>
    <row r="1040" spans="4:6" ht="12.75">
      <c r="D1040" s="1" t="str">
        <f ca="1">IFERROR(__xludf.DUMMYFUNCTION("iferror(SPLIT(C1040,""=""))"),"")</f>
        <v/>
      </c>
      <c r="F1040" s="1" t="e">
        <f t="shared" ca="1" si="5"/>
        <v>#NAME?</v>
      </c>
    </row>
    <row r="1041" spans="4:6" ht="12.75">
      <c r="D1041" s="1" t="str">
        <f ca="1">IFERROR(__xludf.DUMMYFUNCTION("iferror(SPLIT(C1041,""=""))"),"")</f>
        <v/>
      </c>
      <c r="F1041" s="1" t="e">
        <f t="shared" ca="1" si="5"/>
        <v>#NAME?</v>
      </c>
    </row>
    <row r="1042" spans="4:6" ht="12.75">
      <c r="D1042" s="1" t="str">
        <f ca="1">IFERROR(__xludf.DUMMYFUNCTION("iferror(SPLIT(C1042,""=""))"),"")</f>
        <v/>
      </c>
      <c r="F1042" s="1" t="e">
        <f t="shared" ca="1" si="5"/>
        <v>#NAME?</v>
      </c>
    </row>
    <row r="1043" spans="4:6" ht="12.75">
      <c r="D1043" s="1" t="str">
        <f ca="1">IFERROR(__xludf.DUMMYFUNCTION("iferror(SPLIT(C1043,""=""))"),"")</f>
        <v/>
      </c>
      <c r="F1043" s="1" t="e">
        <f t="shared" ca="1" si="5"/>
        <v>#NAME?</v>
      </c>
    </row>
    <row r="1044" spans="4:6" ht="12.75">
      <c r="D1044" s="1" t="str">
        <f ca="1">IFERROR(__xludf.DUMMYFUNCTION("iferror(SPLIT(C1044,""=""))"),"")</f>
        <v/>
      </c>
      <c r="F1044" s="1" t="e">
        <f t="shared" ca="1" si="5"/>
        <v>#NAME?</v>
      </c>
    </row>
    <row r="1045" spans="4:6" ht="12.75">
      <c r="D1045" s="1" t="str">
        <f ca="1">IFERROR(__xludf.DUMMYFUNCTION("iferror(SPLIT(C1045,""=""))"),"")</f>
        <v/>
      </c>
      <c r="F1045" s="1" t="e">
        <f t="shared" ca="1" si="5"/>
        <v>#NAME?</v>
      </c>
    </row>
    <row r="1046" spans="4:6" ht="12.75">
      <c r="D1046" s="1" t="str">
        <f ca="1">IFERROR(__xludf.DUMMYFUNCTION("iferror(SPLIT(C1046,""=""))"),"")</f>
        <v/>
      </c>
      <c r="F1046" s="1" t="e">
        <f t="shared" ca="1" si="5"/>
        <v>#NAME?</v>
      </c>
    </row>
    <row r="1047" spans="4:6" ht="12.75">
      <c r="D1047" s="1" t="str">
        <f ca="1">IFERROR(__xludf.DUMMYFUNCTION("iferror(SPLIT(C1047,""=""))"),"")</f>
        <v/>
      </c>
      <c r="F1047" s="1" t="e">
        <f t="shared" ca="1" si="5"/>
        <v>#NAME?</v>
      </c>
    </row>
    <row r="1048" spans="4:6" ht="12.75">
      <c r="D1048" s="1" t="str">
        <f ca="1">IFERROR(__xludf.DUMMYFUNCTION("iferror(SPLIT(C1048,""=""))"),"")</f>
        <v/>
      </c>
      <c r="F1048" s="1" t="e">
        <f t="shared" ca="1" si="5"/>
        <v>#NAME?</v>
      </c>
    </row>
    <row r="1049" spans="4:6" ht="12.75">
      <c r="D1049" s="1" t="str">
        <f ca="1">IFERROR(__xludf.DUMMYFUNCTION("iferror(SPLIT(C1049,""=""))"),"")</f>
        <v/>
      </c>
      <c r="F1049" s="1" t="e">
        <f t="shared" ca="1" si="5"/>
        <v>#NAME?</v>
      </c>
    </row>
    <row r="1050" spans="4:6" ht="12.75">
      <c r="D1050" s="1" t="str">
        <f ca="1">IFERROR(__xludf.DUMMYFUNCTION("iferror(SPLIT(C1050,""=""))"),"")</f>
        <v/>
      </c>
      <c r="F1050" s="1" t="e">
        <f t="shared" ca="1" si="5"/>
        <v>#NAME?</v>
      </c>
    </row>
    <row r="1051" spans="4:6" ht="12.75">
      <c r="D1051" s="1" t="str">
        <f ca="1">IFERROR(__xludf.DUMMYFUNCTION("iferror(SPLIT(C1051,""=""))"),"")</f>
        <v/>
      </c>
      <c r="F1051" s="1" t="e">
        <f t="shared" ca="1" si="5"/>
        <v>#NAME?</v>
      </c>
    </row>
    <row r="1052" spans="4:6" ht="12.75">
      <c r="D1052" s="1" t="str">
        <f ca="1">IFERROR(__xludf.DUMMYFUNCTION("iferror(SPLIT(C1052,""=""))"),"")</f>
        <v/>
      </c>
      <c r="F1052" s="1" t="e">
        <f t="shared" ca="1" si="5"/>
        <v>#NAME?</v>
      </c>
    </row>
    <row r="1053" spans="4:6" ht="12.75">
      <c r="D1053" s="1" t="str">
        <f ca="1">IFERROR(__xludf.DUMMYFUNCTION("iferror(SPLIT(C1053,""=""))"),"")</f>
        <v/>
      </c>
      <c r="F1053" s="1" t="e">
        <f t="shared" ca="1" si="5"/>
        <v>#NAME?</v>
      </c>
    </row>
    <row r="1054" spans="4:6" ht="12.75">
      <c r="D1054" s="1" t="str">
        <f ca="1">IFERROR(__xludf.DUMMYFUNCTION("iferror(SPLIT(C1054,""=""))"),"")</f>
        <v/>
      </c>
      <c r="F1054" s="1" t="e">
        <f t="shared" ca="1" si="5"/>
        <v>#NAME?</v>
      </c>
    </row>
    <row r="1055" spans="4:6" ht="12.75">
      <c r="D1055" s="1" t="str">
        <f ca="1">IFERROR(__xludf.DUMMYFUNCTION("iferror(SPLIT(C1055,""=""))"),"")</f>
        <v/>
      </c>
      <c r="F1055" s="1" t="e">
        <f t="shared" ca="1" si="5"/>
        <v>#NAME?</v>
      </c>
    </row>
    <row r="1056" spans="4:6" ht="12.75">
      <c r="D1056" s="1" t="str">
        <f ca="1">IFERROR(__xludf.DUMMYFUNCTION("iferror(SPLIT(C1056,""=""))"),"")</f>
        <v/>
      </c>
      <c r="F1056" s="1" t="e">
        <f t="shared" ca="1" si="5"/>
        <v>#NAME?</v>
      </c>
    </row>
    <row r="1057" spans="4:6" ht="12.75">
      <c r="D1057" s="1" t="str">
        <f ca="1">IFERROR(__xludf.DUMMYFUNCTION("iferror(SPLIT(C1057,""=""))"),"")</f>
        <v/>
      </c>
      <c r="F1057" s="1" t="e">
        <f t="shared" ca="1" si="5"/>
        <v>#NAME?</v>
      </c>
    </row>
    <row r="1058" spans="4:6" ht="12.75">
      <c r="D1058" s="1" t="str">
        <f ca="1">IFERROR(__xludf.DUMMYFUNCTION("iferror(SPLIT(C1058,""=""))"),"")</f>
        <v/>
      </c>
      <c r="F1058" s="1" t="e">
        <f t="shared" ca="1" si="5"/>
        <v>#NAME?</v>
      </c>
    </row>
    <row r="1059" spans="4:6" ht="12.75">
      <c r="D1059" s="1" t="str">
        <f ca="1">IFERROR(__xludf.DUMMYFUNCTION("iferror(SPLIT(C1059,""=""))"),"")</f>
        <v/>
      </c>
      <c r="F1059" s="1" t="e">
        <f t="shared" ca="1" si="5"/>
        <v>#NAME?</v>
      </c>
    </row>
    <row r="1060" spans="4:6" ht="12.75">
      <c r="D1060" s="1" t="str">
        <f ca="1">IFERROR(__xludf.DUMMYFUNCTION("iferror(SPLIT(C1060,""=""))"),"")</f>
        <v/>
      </c>
      <c r="F1060" s="1" t="e">
        <f t="shared" ca="1" si="5"/>
        <v>#NAME?</v>
      </c>
    </row>
    <row r="1061" spans="4:6" ht="12.75">
      <c r="D1061" s="1" t="str">
        <f ca="1">IFERROR(__xludf.DUMMYFUNCTION("iferror(SPLIT(C1061,""=""))"),"")</f>
        <v/>
      </c>
      <c r="F1061" s="1" t="e">
        <f t="shared" ca="1" si="5"/>
        <v>#NAME?</v>
      </c>
    </row>
    <row r="1062" spans="4:6" ht="12.75">
      <c r="D1062" s="1" t="str">
        <f ca="1">IFERROR(__xludf.DUMMYFUNCTION("iferror(SPLIT(C1062,""=""))"),"")</f>
        <v/>
      </c>
      <c r="F1062" s="1" t="e">
        <f t="shared" ca="1" si="5"/>
        <v>#NAME?</v>
      </c>
    </row>
    <row r="1063" spans="4:6" ht="12.75">
      <c r="D1063" s="1" t="str">
        <f ca="1">IFERROR(__xludf.DUMMYFUNCTION("iferror(SPLIT(C1063,""=""))"),"")</f>
        <v/>
      </c>
      <c r="F1063" s="1" t="e">
        <f t="shared" ca="1" si="5"/>
        <v>#NAME?</v>
      </c>
    </row>
    <row r="1064" spans="4:6" ht="12.75">
      <c r="D1064" s="1" t="str">
        <f ca="1">IFERROR(__xludf.DUMMYFUNCTION("iferror(SPLIT(C1064,""=""))"),"")</f>
        <v/>
      </c>
      <c r="F1064" s="1" t="e">
        <f t="shared" ca="1" si="5"/>
        <v>#NAME?</v>
      </c>
    </row>
    <row r="1065" spans="4:6" ht="12.75">
      <c r="D1065" s="1" t="str">
        <f ca="1">IFERROR(__xludf.DUMMYFUNCTION("iferror(SPLIT(C1065,""=""))"),"")</f>
        <v/>
      </c>
      <c r="F1065" s="1" t="e">
        <f t="shared" ca="1" si="5"/>
        <v>#NAME?</v>
      </c>
    </row>
    <row r="1066" spans="4:6" ht="12.75">
      <c r="D1066" s="1" t="str">
        <f ca="1">IFERROR(__xludf.DUMMYFUNCTION("iferror(SPLIT(C1066,""=""))"),"")</f>
        <v/>
      </c>
      <c r="F1066" s="1" t="e">
        <f t="shared" ca="1" si="5"/>
        <v>#NAME?</v>
      </c>
    </row>
    <row r="1067" spans="4:6" ht="12.75">
      <c r="D1067" s="1" t="str">
        <f ca="1">IFERROR(__xludf.DUMMYFUNCTION("iferror(SPLIT(C1067,""=""))"),"")</f>
        <v/>
      </c>
      <c r="F1067" s="1" t="e">
        <f t="shared" ca="1" si="5"/>
        <v>#NAME?</v>
      </c>
    </row>
    <row r="1068" spans="4:6" ht="12.75">
      <c r="D1068" s="1" t="str">
        <f ca="1">IFERROR(__xludf.DUMMYFUNCTION("iferror(SPLIT(C1068,""=""))"),"")</f>
        <v/>
      </c>
      <c r="F1068" s="1" t="e">
        <f t="shared" ca="1" si="5"/>
        <v>#NAME?</v>
      </c>
    </row>
    <row r="1069" spans="4:6" ht="12.75">
      <c r="D1069" s="1" t="str">
        <f ca="1">IFERROR(__xludf.DUMMYFUNCTION("iferror(SPLIT(C1069,""=""))"),"")</f>
        <v/>
      </c>
      <c r="F1069" s="1" t="e">
        <f t="shared" ca="1" si="5"/>
        <v>#NAME?</v>
      </c>
    </row>
    <row r="1070" spans="4:6" ht="12.75">
      <c r="D1070" s="1" t="str">
        <f ca="1">IFERROR(__xludf.DUMMYFUNCTION("iferror(SPLIT(C1070,""=""))"),"")</f>
        <v/>
      </c>
      <c r="F1070" s="1" t="e">
        <f t="shared" ca="1" si="5"/>
        <v>#NAME?</v>
      </c>
    </row>
    <row r="1071" spans="4:6" ht="12.75">
      <c r="D1071" s="1" t="str">
        <f ca="1">IFERROR(__xludf.DUMMYFUNCTION("iferror(SPLIT(C1071,""=""))"),"")</f>
        <v/>
      </c>
      <c r="F1071" s="1" t="e">
        <f t="shared" ca="1" si="5"/>
        <v>#NAME?</v>
      </c>
    </row>
    <row r="1072" spans="4:6" ht="12.75">
      <c r="D1072" s="1" t="str">
        <f ca="1">IFERROR(__xludf.DUMMYFUNCTION("iferror(SPLIT(C1072,""=""))"),"")</f>
        <v/>
      </c>
      <c r="F1072" s="1" t="e">
        <f t="shared" ca="1" si="5"/>
        <v>#NAME?</v>
      </c>
    </row>
    <row r="1073" spans="4:6" ht="12.75">
      <c r="D1073" s="1" t="str">
        <f ca="1">IFERROR(__xludf.DUMMYFUNCTION("iferror(SPLIT(C1073,""=""))"),"")</f>
        <v/>
      </c>
      <c r="F1073" s="1" t="e">
        <f t="shared" ca="1" si="5"/>
        <v>#NAME?</v>
      </c>
    </row>
    <row r="1074" spans="4:6" ht="12.75">
      <c r="D1074" s="1" t="str">
        <f ca="1">IFERROR(__xludf.DUMMYFUNCTION("iferror(SPLIT(C1074,""=""))"),"")</f>
        <v/>
      </c>
      <c r="F1074" s="1" t="e">
        <f t="shared" ca="1" si="5"/>
        <v>#NAME?</v>
      </c>
    </row>
    <row r="1075" spans="4:6" ht="12.75">
      <c r="D1075" s="1" t="str">
        <f ca="1">IFERROR(__xludf.DUMMYFUNCTION("iferror(SPLIT(C1075,""=""))"),"")</f>
        <v/>
      </c>
      <c r="F1075" s="1" t="e">
        <f t="shared" ca="1" si="5"/>
        <v>#NAME?</v>
      </c>
    </row>
    <row r="1076" spans="4:6" ht="12.75">
      <c r="D1076" s="1" t="str">
        <f ca="1">IFERROR(__xludf.DUMMYFUNCTION("iferror(SPLIT(C1076,""=""))"),"")</f>
        <v/>
      </c>
      <c r="F1076" s="1" t="e">
        <f t="shared" ca="1" si="5"/>
        <v>#NAME?</v>
      </c>
    </row>
    <row r="1077" spans="4:6" ht="12.75">
      <c r="D1077" s="1" t="str">
        <f ca="1">IFERROR(__xludf.DUMMYFUNCTION("iferror(SPLIT(C1077,""=""))"),"")</f>
        <v/>
      </c>
      <c r="F1077" s="1" t="e">
        <f t="shared" ca="1" si="5"/>
        <v>#NAME?</v>
      </c>
    </row>
    <row r="1078" spans="4:6" ht="12.75">
      <c r="D1078" s="1" t="str">
        <f ca="1">IFERROR(__xludf.DUMMYFUNCTION("iferror(SPLIT(C1078,""=""))"),"")</f>
        <v/>
      </c>
      <c r="F1078" s="1" t="e">
        <f t="shared" ca="1" si="5"/>
        <v>#NAME?</v>
      </c>
    </row>
    <row r="1079" spans="4:6" ht="12.75">
      <c r="D1079" s="1" t="str">
        <f ca="1">IFERROR(__xludf.DUMMYFUNCTION("iferror(SPLIT(C1079,""=""))"),"")</f>
        <v/>
      </c>
      <c r="F1079" s="1" t="e">
        <f t="shared" ca="1" si="5"/>
        <v>#NAME?</v>
      </c>
    </row>
    <row r="1080" spans="4:6" ht="12.75">
      <c r="D1080" s="1" t="str">
        <f ca="1">IFERROR(__xludf.DUMMYFUNCTION("iferror(SPLIT(C1080,""=""))"),"")</f>
        <v/>
      </c>
      <c r="F1080" s="1" t="e">
        <f t="shared" ca="1" si="5"/>
        <v>#NAME?</v>
      </c>
    </row>
    <row r="1081" spans="4:6" ht="12.75">
      <c r="D1081" s="1" t="str">
        <f ca="1">IFERROR(__xludf.DUMMYFUNCTION("iferror(SPLIT(C1081,""=""))"),"")</f>
        <v/>
      </c>
      <c r="F1081" s="1" t="e">
        <f t="shared" ca="1" si="5"/>
        <v>#NAME?</v>
      </c>
    </row>
    <row r="1082" spans="4:6" ht="12.75">
      <c r="D1082" s="1" t="str">
        <f ca="1">IFERROR(__xludf.DUMMYFUNCTION("iferror(SPLIT(C1082,""=""))"),"")</f>
        <v/>
      </c>
      <c r="F1082" s="1" t="e">
        <f t="shared" ca="1" si="5"/>
        <v>#NAME?</v>
      </c>
    </row>
    <row r="1083" spans="4:6" ht="12.75">
      <c r="D1083" s="1" t="str">
        <f ca="1">IFERROR(__xludf.DUMMYFUNCTION("iferror(SPLIT(C1083,""=""))"),"")</f>
        <v/>
      </c>
      <c r="F1083" s="1" t="e">
        <f t="shared" ca="1" si="5"/>
        <v>#NAME?</v>
      </c>
    </row>
    <row r="1084" spans="4:6" ht="12.75">
      <c r="D1084" s="1" t="str">
        <f ca="1">IFERROR(__xludf.DUMMYFUNCTION("iferror(SPLIT(C1084,""=""))"),"")</f>
        <v/>
      </c>
      <c r="F1084" s="1" t="e">
        <f t="shared" ca="1" si="5"/>
        <v>#NAME?</v>
      </c>
    </row>
    <row r="1085" spans="4:6" ht="12.75">
      <c r="D1085" s="1" t="str">
        <f ca="1">IFERROR(__xludf.DUMMYFUNCTION("iferror(SPLIT(C1085,""=""))"),"")</f>
        <v/>
      </c>
      <c r="F1085" s="1" t="e">
        <f t="shared" ca="1" si="5"/>
        <v>#NAME?</v>
      </c>
    </row>
    <row r="1086" spans="4:6" ht="12.75">
      <c r="D1086" s="1" t="str">
        <f ca="1">IFERROR(__xludf.DUMMYFUNCTION("iferror(SPLIT(C1086,""=""))"),"")</f>
        <v/>
      </c>
      <c r="F1086" s="1" t="e">
        <f t="shared" ca="1" si="5"/>
        <v>#NAME?</v>
      </c>
    </row>
    <row r="1087" spans="4:6" ht="12.75">
      <c r="D1087" s="1" t="str">
        <f ca="1">IFERROR(__xludf.DUMMYFUNCTION("iferror(SPLIT(C1087,""=""))"),"")</f>
        <v/>
      </c>
      <c r="F1087" s="1" t="e">
        <f t="shared" ca="1" si="5"/>
        <v>#NAME?</v>
      </c>
    </row>
    <row r="1088" spans="4:6" ht="12.75">
      <c r="D1088" s="1" t="str">
        <f ca="1">IFERROR(__xludf.DUMMYFUNCTION("iferror(SPLIT(C1088,""=""))"),"")</f>
        <v/>
      </c>
      <c r="F1088" s="1" t="e">
        <f t="shared" ca="1" si="5"/>
        <v>#NAME?</v>
      </c>
    </row>
    <row r="1089" spans="4:6" ht="12.75">
      <c r="D1089" s="1" t="str">
        <f ca="1">IFERROR(__xludf.DUMMYFUNCTION("iferror(SPLIT(C1089,""=""))"),"")</f>
        <v/>
      </c>
      <c r="F1089" s="1" t="e">
        <f t="shared" ca="1" si="5"/>
        <v>#NAME?</v>
      </c>
    </row>
    <row r="1090" spans="4:6" ht="12.75">
      <c r="D1090" s="1" t="str">
        <f ca="1">IFERROR(__xludf.DUMMYFUNCTION("iferror(SPLIT(C1090,""=""))"),"")</f>
        <v/>
      </c>
      <c r="F1090" s="1" t="e">
        <f t="shared" ca="1" si="5"/>
        <v>#NAME?</v>
      </c>
    </row>
    <row r="1091" spans="4:6" ht="12.75">
      <c r="D1091" s="1" t="str">
        <f ca="1">IFERROR(__xludf.DUMMYFUNCTION("iferror(SPLIT(C1091,""=""))"),"")</f>
        <v/>
      </c>
      <c r="F1091" s="1" t="e">
        <f t="shared" ca="1" si="5"/>
        <v>#NAME?</v>
      </c>
    </row>
    <row r="1092" spans="4:6" ht="12.75">
      <c r="D1092" s="1" t="str">
        <f ca="1">IFERROR(__xludf.DUMMYFUNCTION("iferror(SPLIT(C1092,""=""))"),"")</f>
        <v/>
      </c>
      <c r="F1092" s="1" t="e">
        <f t="shared" ca="1" si="5"/>
        <v>#NAME?</v>
      </c>
    </row>
    <row r="1093" spans="4:6" ht="12.75">
      <c r="D1093" s="1" t="str">
        <f ca="1">IFERROR(__xludf.DUMMYFUNCTION("iferror(SPLIT(C1093,""=""))"),"")</f>
        <v/>
      </c>
      <c r="F1093" s="1" t="e">
        <f t="shared" ca="1" si="5"/>
        <v>#NAME?</v>
      </c>
    </row>
    <row r="1094" spans="4:6" ht="12.75">
      <c r="D1094" s="1" t="str">
        <f ca="1">IFERROR(__xludf.DUMMYFUNCTION("iferror(SPLIT(C1094,""=""))"),"")</f>
        <v/>
      </c>
      <c r="F1094" s="1" t="e">
        <f t="shared" ca="1" si="5"/>
        <v>#NAME?</v>
      </c>
    </row>
    <row r="1095" spans="4:6" ht="12.75">
      <c r="D1095" s="1" t="str">
        <f ca="1">IFERROR(__xludf.DUMMYFUNCTION("iferror(SPLIT(C1095,""=""))"),"")</f>
        <v/>
      </c>
      <c r="F1095" s="1" t="e">
        <f t="shared" ca="1" si="5"/>
        <v>#NAME?</v>
      </c>
    </row>
    <row r="1096" spans="4:6" ht="12.75">
      <c r="D1096" s="1" t="str">
        <f ca="1">IFERROR(__xludf.DUMMYFUNCTION("iferror(SPLIT(C1096,""=""))"),"")</f>
        <v/>
      </c>
      <c r="F1096" s="1" t="e">
        <f t="shared" ca="1" si="5"/>
        <v>#NAME?</v>
      </c>
    </row>
    <row r="1097" spans="4:6" ht="12.75">
      <c r="D1097" s="1" t="str">
        <f ca="1">IFERROR(__xludf.DUMMYFUNCTION("iferror(SPLIT(C1097,""=""))"),"")</f>
        <v/>
      </c>
      <c r="F1097" s="1" t="e">
        <f t="shared" ca="1" si="5"/>
        <v>#NAME?</v>
      </c>
    </row>
    <row r="1098" spans="4:6" ht="12.75">
      <c r="D1098" s="1" t="str">
        <f ca="1">IFERROR(__xludf.DUMMYFUNCTION("iferror(SPLIT(C1098,""=""))"),"")</f>
        <v/>
      </c>
      <c r="F1098" s="1" t="e">
        <f t="shared" ca="1" si="5"/>
        <v>#NAME?</v>
      </c>
    </row>
    <row r="1099" spans="4:6" ht="12.75">
      <c r="D1099" s="1" t="str">
        <f ca="1">IFERROR(__xludf.DUMMYFUNCTION("iferror(SPLIT(C1099,""=""))"),"")</f>
        <v/>
      </c>
      <c r="F1099" s="1" t="e">
        <f t="shared" ca="1" si="5"/>
        <v>#NAME?</v>
      </c>
    </row>
    <row r="1100" spans="4:6" ht="12.75">
      <c r="D1100" s="1" t="str">
        <f ca="1">IFERROR(__xludf.DUMMYFUNCTION("iferror(SPLIT(C1100,""=""))"),"")</f>
        <v/>
      </c>
      <c r="F1100" s="1" t="e">
        <f t="shared" ca="1" si="5"/>
        <v>#NAME?</v>
      </c>
    </row>
    <row r="1101" spans="4:6" ht="12.75">
      <c r="D1101" s="1" t="str">
        <f ca="1">IFERROR(__xludf.DUMMYFUNCTION("iferror(SPLIT(C1101,""=""))"),"")</f>
        <v/>
      </c>
      <c r="F1101" s="1" t="e">
        <f t="shared" ca="1" si="5"/>
        <v>#NAME?</v>
      </c>
    </row>
    <row r="1102" spans="4:6" ht="12.75">
      <c r="D1102" s="1" t="str">
        <f ca="1">IFERROR(__xludf.DUMMYFUNCTION("iferror(SPLIT(C1102,""=""))"),"")</f>
        <v/>
      </c>
      <c r="F1102" s="1" t="e">
        <f t="shared" ca="1" si="5"/>
        <v>#NAME?</v>
      </c>
    </row>
    <row r="1103" spans="4:6" ht="12.75">
      <c r="D1103" s="1" t="str">
        <f ca="1">IFERROR(__xludf.DUMMYFUNCTION("iferror(SPLIT(C1103,""=""))"),"")</f>
        <v/>
      </c>
      <c r="F1103" s="1" t="e">
        <f t="shared" ca="1" si="5"/>
        <v>#NAME?</v>
      </c>
    </row>
    <row r="1104" spans="4:6" ht="12.75">
      <c r="D1104" s="1" t="str">
        <f ca="1">IFERROR(__xludf.DUMMYFUNCTION("iferror(SPLIT(C1104,""=""))"),"")</f>
        <v/>
      </c>
      <c r="F1104" s="1" t="e">
        <f t="shared" ca="1" si="5"/>
        <v>#NAME?</v>
      </c>
    </row>
    <row r="1105" spans="4:6" ht="12.75">
      <c r="D1105" s="1" t="str">
        <f ca="1">IFERROR(__xludf.DUMMYFUNCTION("iferror(SPLIT(C1105,""=""))"),"")</f>
        <v/>
      </c>
      <c r="F1105" s="1" t="e">
        <f t="shared" ca="1" si="5"/>
        <v>#NAME?</v>
      </c>
    </row>
    <row r="1106" spans="4:6" ht="12.75">
      <c r="D1106" s="1" t="str">
        <f ca="1">IFERROR(__xludf.DUMMYFUNCTION("iferror(SPLIT(C1106,""=""))"),"")</f>
        <v/>
      </c>
      <c r="F1106" s="1" t="e">
        <f t="shared" ca="1" si="5"/>
        <v>#NAME?</v>
      </c>
    </row>
    <row r="1107" spans="4:6" ht="12.75">
      <c r="D1107" s="1" t="str">
        <f ca="1">IFERROR(__xludf.DUMMYFUNCTION("iferror(SPLIT(C1107,""=""))"),"")</f>
        <v/>
      </c>
      <c r="F1107" s="1" t="e">
        <f t="shared" ca="1" si="5"/>
        <v>#NAME?</v>
      </c>
    </row>
    <row r="1108" spans="4:6" ht="12.75">
      <c r="D1108" s="1" t="str">
        <f ca="1">IFERROR(__xludf.DUMMYFUNCTION("iferror(SPLIT(C1108,""=""))"),"")</f>
        <v/>
      </c>
      <c r="F1108" s="1" t="e">
        <f t="shared" ca="1" si="5"/>
        <v>#NAME?</v>
      </c>
    </row>
  </sheetData>
  <hyperlinks>
    <hyperlink ref="F1" r:id="rId1"/>
    <hyperlink ref="C2" r:id="rId2"/>
    <hyperlink ref="C3" r:id="rId3"/>
    <hyperlink ref="C4" r:id="rId4"/>
    <hyperlink ref="C5" r:id="rId5"/>
    <hyperlink ref="C6" r:id="rId6"/>
    <hyperlink ref="C7" r:id="rId7"/>
    <hyperlink ref="C8" r:id="rId8"/>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F1000"/>
  <sheetViews>
    <sheetView workbookViewId="0"/>
  </sheetViews>
  <sheetFormatPr defaultColWidth="12.5703125" defaultRowHeight="15.75" customHeight="1"/>
  <cols>
    <col min="1" max="1" width="28.85546875" customWidth="1"/>
    <col min="2" max="2" width="54.42578125" customWidth="1"/>
  </cols>
  <sheetData>
    <row r="1" spans="1:6" ht="42" customHeight="1">
      <c r="A1" s="1171" t="s">
        <v>596</v>
      </c>
    </row>
    <row r="2" spans="1:6" ht="12.75">
      <c r="A2" s="74"/>
      <c r="B2" s="1" t="str">
        <f ca="1">IFERROR(__xludf.DUMMYFUNCTION("iferror((QUERY(DB!D1:D1000, ""SELECT * WHERE 1=1 ""&amp;""AND LOWER(C) LIKE LOWER(""""%"" &amp;JOIN(""%"""") AND LOWER(C) LIKE LOWER(""""%"", SPLIT(A1,"" ""))&amp;""%"""")"",1)),""*****"")"),"*****")</f>
        <v>*****</v>
      </c>
    </row>
    <row r="3" spans="1:6" ht="110.25" customHeight="1">
      <c r="A3" s="74" t="str">
        <f ca="1">IFERROR(VLOOKUP(C3,'DB_IMAGE UPLOAD'!$B$2:Z1000,5,0),"")</f>
        <v/>
      </c>
      <c r="C3" s="1" t="s">
        <v>4743</v>
      </c>
      <c r="E3" s="1" t="s">
        <v>4189</v>
      </c>
      <c r="F3" s="1" t="str">
        <f>PROPER(E3)</f>
        <v>Digital Full-Colour Laser Copier, Full-Colour Laser Network Printer, Full-Colour Laser Network Scanner, &amp; Network Fax</v>
      </c>
    </row>
    <row r="4" spans="1:6" ht="110.25" customHeight="1">
      <c r="A4" s="74" t="str">
        <f ca="1">IFERROR(VLOOKUP(C4,'DB_IMAGE UPLOAD'!$B$2:Z1000,5,0),"")</f>
        <v/>
      </c>
      <c r="C4" s="1" t="s">
        <v>4743</v>
      </c>
    </row>
    <row r="5" spans="1:6" ht="110.25" customHeight="1">
      <c r="A5" s="74" t="str">
        <f ca="1">IFERROR(VLOOKUP(C5,'DB_IMAGE UPLOAD'!$B$2:Z1000,5,0),"")</f>
        <v/>
      </c>
      <c r="C5" s="1" t="s">
        <v>4743</v>
      </c>
    </row>
    <row r="6" spans="1:6" ht="110.25" customHeight="1">
      <c r="A6" s="74" t="str">
        <f ca="1">IFERROR(VLOOKUP(C6,'DB_IMAGE UPLOAD'!$B$2:Z1000,5,0),"")</f>
        <v/>
      </c>
      <c r="C6" s="1" t="s">
        <v>4743</v>
      </c>
    </row>
    <row r="7" spans="1:6" ht="12.75">
      <c r="A7" s="74" t="str">
        <f ca="1">IFERROR(VLOOKUP(C7,'DB_IMAGE UPLOAD'!$B$2:Z1000,5,0),"")</f>
        <v/>
      </c>
      <c r="C7" s="1" t="s">
        <v>4743</v>
      </c>
    </row>
    <row r="8" spans="1:6" ht="12.75">
      <c r="A8" s="74" t="str">
        <f ca="1">IFERROR(VLOOKUP(C8,'DB_IMAGE UPLOAD'!$B$2:Z1000,5,0),"")</f>
        <v/>
      </c>
      <c r="C8" s="1" t="s">
        <v>4743</v>
      </c>
    </row>
    <row r="9" spans="1:6" ht="12.75">
      <c r="A9" s="74" t="str">
        <f ca="1">IFERROR(VLOOKUP(C9,'DB_IMAGE UPLOAD'!$B$2:Z1000,5,0),"")</f>
        <v/>
      </c>
      <c r="C9" s="1" t="s">
        <v>4743</v>
      </c>
    </row>
    <row r="10" spans="1:6" ht="12.75">
      <c r="A10" s="74" t="str">
        <f ca="1">IFERROR(VLOOKUP(C10,'DB_IMAGE UPLOAD'!$B$2:Z1000,5,0),"")</f>
        <v/>
      </c>
      <c r="C10" s="1" t="s">
        <v>4743</v>
      </c>
    </row>
    <row r="11" spans="1:6" ht="12.75">
      <c r="A11" s="74" t="str">
        <f ca="1">IFERROR(VLOOKUP(C11,'DB_IMAGE UPLOAD'!$B$2:Z1000,5,0),"")</f>
        <v/>
      </c>
      <c r="C11" s="1" t="s">
        <v>4743</v>
      </c>
    </row>
    <row r="12" spans="1:6" ht="12.75">
      <c r="A12" s="74" t="str">
        <f ca="1">IFERROR(VLOOKUP(C12,'DB_IMAGE UPLOAD'!$B$2:Z1000,5,0),"")</f>
        <v/>
      </c>
      <c r="C12" s="1" t="s">
        <v>4743</v>
      </c>
    </row>
    <row r="13" spans="1:6" ht="12.75">
      <c r="A13" s="74" t="str">
        <f ca="1">IFERROR(VLOOKUP(C13,'DB_IMAGE UPLOAD'!$B$2:Z1000,5,0),"")</f>
        <v/>
      </c>
      <c r="C13" s="1" t="s">
        <v>4743</v>
      </c>
    </row>
    <row r="14" spans="1:6" ht="12.75">
      <c r="A14" s="74" t="str">
        <f ca="1">IFERROR(VLOOKUP(C14,'DB_IMAGE UPLOAD'!$B$2:Z1000,5,0),"")</f>
        <v/>
      </c>
      <c r="C14" s="1" t="s">
        <v>4743</v>
      </c>
    </row>
    <row r="15" spans="1:6" ht="12.75">
      <c r="A15" s="74" t="str">
        <f ca="1">IFERROR(VLOOKUP(C15,'DB_IMAGE UPLOAD'!$B$2:Z1000,5,0),"")</f>
        <v/>
      </c>
      <c r="C15" s="1" t="s">
        <v>4743</v>
      </c>
    </row>
    <row r="16" spans="1:6" ht="12.75">
      <c r="A16" s="74" t="str">
        <f ca="1">IFERROR(VLOOKUP(C16,'DB_IMAGE UPLOAD'!$B$2:Z1000,5,0),"")</f>
        <v/>
      </c>
      <c r="C16" s="1" t="s">
        <v>4743</v>
      </c>
    </row>
    <row r="17" spans="1:3" ht="12.75">
      <c r="A17" s="74" t="str">
        <f ca="1">IFERROR(VLOOKUP(C17,'DB_IMAGE UPLOAD'!$B$2:Z1000,5,0),"")</f>
        <v/>
      </c>
      <c r="C17" s="1" t="s">
        <v>4743</v>
      </c>
    </row>
    <row r="18" spans="1:3" ht="12.75">
      <c r="A18" s="74" t="str">
        <f ca="1">IFERROR(VLOOKUP(C18,'DB_IMAGE UPLOAD'!$B$2:Z1000,5,0),"")</f>
        <v/>
      </c>
      <c r="C18" s="1" t="s">
        <v>4743</v>
      </c>
    </row>
    <row r="19" spans="1:3" ht="12.75">
      <c r="A19" s="74" t="str">
        <f ca="1">IFERROR(VLOOKUP(C19,'DB_IMAGE UPLOAD'!$B$2:Z1000,5,0),"")</f>
        <v/>
      </c>
      <c r="C19" s="1" t="s">
        <v>4743</v>
      </c>
    </row>
    <row r="20" spans="1:3" ht="12.75">
      <c r="A20" s="74" t="str">
        <f ca="1">IFERROR(VLOOKUP(C20,'DB_IMAGE UPLOAD'!$B$2:Z1000,5,0),"")</f>
        <v/>
      </c>
      <c r="C20" s="1" t="s">
        <v>4743</v>
      </c>
    </row>
    <row r="21" spans="1:3" ht="12.75">
      <c r="A21" s="74" t="str">
        <f ca="1">IFERROR(VLOOKUP(C21,'DB_IMAGE UPLOAD'!$B$2:Z1000,5,0),"")</f>
        <v/>
      </c>
      <c r="C21" s="1" t="s">
        <v>4743</v>
      </c>
    </row>
    <row r="22" spans="1:3" ht="12.75">
      <c r="A22" s="74" t="str">
        <f ca="1">IFERROR(VLOOKUP(C22,'DB_IMAGE UPLOAD'!$B$2:Z1000,5,0),"")</f>
        <v/>
      </c>
      <c r="C22" s="1" t="s">
        <v>4743</v>
      </c>
    </row>
    <row r="23" spans="1:3" ht="12.75">
      <c r="A23" s="74" t="str">
        <f ca="1">IFERROR(VLOOKUP(C23,'DB_IMAGE UPLOAD'!$B$2:Z1000,5,0),"")</f>
        <v/>
      </c>
      <c r="C23" s="1" t="s">
        <v>4743</v>
      </c>
    </row>
    <row r="24" spans="1:3" ht="12.75">
      <c r="A24" s="74" t="str">
        <f ca="1">IFERROR(VLOOKUP(C24,'DB_IMAGE UPLOAD'!$B$2:Z1000,5,0),"")</f>
        <v/>
      </c>
      <c r="C24" s="1" t="s">
        <v>4743</v>
      </c>
    </row>
    <row r="25" spans="1:3" ht="12.75">
      <c r="A25" s="74" t="str">
        <f ca="1">IFERROR(VLOOKUP(C25,'DB_IMAGE UPLOAD'!$B$2:Z1000,5,0),"")</f>
        <v/>
      </c>
      <c r="C25" s="1" t="s">
        <v>4743</v>
      </c>
    </row>
    <row r="26" spans="1:3" ht="12.75">
      <c r="A26" s="74" t="str">
        <f ca="1">IFERROR(VLOOKUP(C26,'DB_IMAGE UPLOAD'!$B$2:Z1000,5,0),"")</f>
        <v/>
      </c>
      <c r="C26" s="1" t="s">
        <v>4743</v>
      </c>
    </row>
    <row r="27" spans="1:3" ht="12.75">
      <c r="A27" s="74" t="str">
        <f ca="1">IFERROR(VLOOKUP(C27,'DB_IMAGE UPLOAD'!$B$2:Z1000,5,0),"")</f>
        <v/>
      </c>
      <c r="C27" s="1" t="s">
        <v>4743</v>
      </c>
    </row>
    <row r="28" spans="1:3" ht="12.75">
      <c r="A28" s="74" t="str">
        <f ca="1">IFERROR(VLOOKUP(C28,'DB_IMAGE UPLOAD'!$B$2:Z1000,5,0),"")</f>
        <v/>
      </c>
      <c r="C28" s="1" t="s">
        <v>4743</v>
      </c>
    </row>
    <row r="29" spans="1:3" ht="12.75">
      <c r="A29" s="74" t="str">
        <f ca="1">IFERROR(VLOOKUP(C29,'DB_IMAGE UPLOAD'!$B$2:Z1000,5,0),"")</f>
        <v/>
      </c>
      <c r="C29" s="1" t="s">
        <v>4743</v>
      </c>
    </row>
    <row r="30" spans="1:3" ht="12.75">
      <c r="A30" s="74" t="str">
        <f ca="1">IFERROR(VLOOKUP(C30,'DB_IMAGE UPLOAD'!$B$2:Z1000,5,0),"")</f>
        <v/>
      </c>
      <c r="C30" s="1" t="s">
        <v>4743</v>
      </c>
    </row>
    <row r="31" spans="1:3" ht="12.75">
      <c r="A31" s="74" t="str">
        <f ca="1">IFERROR(VLOOKUP(C31,'DB_IMAGE UPLOAD'!$B$2:Z1000,5,0),"")</f>
        <v/>
      </c>
      <c r="C31" s="1" t="s">
        <v>4743</v>
      </c>
    </row>
    <row r="32" spans="1:3" ht="12.75">
      <c r="A32" s="74" t="str">
        <f ca="1">IFERROR(VLOOKUP(C32,'DB_IMAGE UPLOAD'!$B$2:Z1000,5,0),"")</f>
        <v/>
      </c>
      <c r="C32" s="1" t="s">
        <v>4743</v>
      </c>
    </row>
    <row r="33" spans="1:3" ht="12.75">
      <c r="A33" s="74" t="str">
        <f ca="1">IFERROR(VLOOKUP(C33,'DB_IMAGE UPLOAD'!$B$2:Z1000,5,0),"")</f>
        <v/>
      </c>
      <c r="C33" s="1" t="s">
        <v>4743</v>
      </c>
    </row>
    <row r="34" spans="1:3" ht="12.75">
      <c r="A34" s="74" t="str">
        <f ca="1">IFERROR(VLOOKUP(C34,'DB_IMAGE UPLOAD'!$B$2:Z1000,5,0),"")</f>
        <v/>
      </c>
      <c r="C34" s="1" t="s">
        <v>4743</v>
      </c>
    </row>
    <row r="35" spans="1:3" ht="12.75">
      <c r="A35" s="74" t="str">
        <f ca="1">IFERROR(VLOOKUP(C35,'DB_IMAGE UPLOAD'!$B$2:Z1000,5,0),"")</f>
        <v/>
      </c>
      <c r="C35" s="1" t="s">
        <v>4743</v>
      </c>
    </row>
    <row r="36" spans="1:3" ht="12.75">
      <c r="A36" s="74" t="str">
        <f ca="1">IFERROR(VLOOKUP(C36,'DB_IMAGE UPLOAD'!$B$2:Z1000,5,0),"")</f>
        <v/>
      </c>
      <c r="C36" s="1" t="s">
        <v>4743</v>
      </c>
    </row>
    <row r="37" spans="1:3" ht="12.75">
      <c r="A37" s="74" t="str">
        <f ca="1">IFERROR(VLOOKUP(C37,'DB_IMAGE UPLOAD'!$B$2:Z1000,5,0),"")</f>
        <v/>
      </c>
      <c r="C37" s="1" t="s">
        <v>4743</v>
      </c>
    </row>
    <row r="38" spans="1:3" ht="12.75">
      <c r="A38" s="74" t="str">
        <f ca="1">IFERROR(VLOOKUP(C38,'DB_IMAGE UPLOAD'!$B$2:Z1000,5,0),"")</f>
        <v/>
      </c>
      <c r="C38" s="1" t="s">
        <v>4743</v>
      </c>
    </row>
    <row r="39" spans="1:3" ht="12.75">
      <c r="A39" s="74" t="str">
        <f ca="1">IFERROR(VLOOKUP(C39,'DB_IMAGE UPLOAD'!$B$2:Z1000,5,0),"")</f>
        <v/>
      </c>
      <c r="C39" s="1" t="s">
        <v>4743</v>
      </c>
    </row>
    <row r="40" spans="1:3" ht="12.75">
      <c r="A40" s="74" t="str">
        <f ca="1">IFERROR(VLOOKUP(C40,'DB_IMAGE UPLOAD'!$B$2:Z1000,5,0),"")</f>
        <v/>
      </c>
      <c r="C40" s="1" t="s">
        <v>4743</v>
      </c>
    </row>
    <row r="41" spans="1:3" ht="12.75">
      <c r="A41" s="74" t="str">
        <f ca="1">IFERROR(VLOOKUP(C41,'DB_IMAGE UPLOAD'!$B$2:Z1000,5,0),"")</f>
        <v/>
      </c>
      <c r="C41" s="1" t="s">
        <v>4743</v>
      </c>
    </row>
    <row r="42" spans="1:3" ht="12.75">
      <c r="A42" s="74" t="str">
        <f ca="1">IFERROR(VLOOKUP(C42,'DB_IMAGE UPLOAD'!$B$2:Z1000,5,0),"")</f>
        <v/>
      </c>
      <c r="C42" s="1" t="s">
        <v>4743</v>
      </c>
    </row>
    <row r="43" spans="1:3" ht="12.75">
      <c r="A43" s="74" t="str">
        <f ca="1">IFERROR(VLOOKUP(C43,'DB_IMAGE UPLOAD'!$B$2:Z1000,5,0),"")</f>
        <v/>
      </c>
      <c r="C43" s="1" t="s">
        <v>4743</v>
      </c>
    </row>
    <row r="44" spans="1:3" ht="12.75">
      <c r="A44" s="74" t="str">
        <f ca="1">IFERROR(VLOOKUP(C44,'DB_IMAGE UPLOAD'!$B$2:Z1000,5,0),"")</f>
        <v/>
      </c>
      <c r="C44" s="1" t="s">
        <v>4743</v>
      </c>
    </row>
    <row r="45" spans="1:3" ht="12.75">
      <c r="A45" s="74" t="str">
        <f ca="1">IFERROR(VLOOKUP(C45,'DB_IMAGE UPLOAD'!$B$2:Z1000,5,0),"")</f>
        <v/>
      </c>
      <c r="C45" s="1" t="s">
        <v>4743</v>
      </c>
    </row>
    <row r="46" spans="1:3" ht="12.75">
      <c r="A46" s="74" t="str">
        <f ca="1">IFERROR(VLOOKUP(C46,'DB_IMAGE UPLOAD'!$B$2:Z1000,5,0),"")</f>
        <v/>
      </c>
      <c r="C46" s="1" t="s">
        <v>4743</v>
      </c>
    </row>
    <row r="47" spans="1:3" ht="12.75">
      <c r="A47" s="74" t="str">
        <f ca="1">IFERROR(VLOOKUP(C47,'DB_IMAGE UPLOAD'!$B$2:Z1000,5,0),"")</f>
        <v/>
      </c>
      <c r="C47" s="1" t="s">
        <v>4743</v>
      </c>
    </row>
    <row r="48" spans="1:3" ht="12.75">
      <c r="A48" s="74" t="str">
        <f ca="1">IFERROR(VLOOKUP(C48,'DB_IMAGE UPLOAD'!$B$2:Z1000,5,0),"")</f>
        <v/>
      </c>
      <c r="C48" s="1" t="s">
        <v>4743</v>
      </c>
    </row>
    <row r="49" spans="1:3" ht="12.75">
      <c r="A49" s="74" t="str">
        <f ca="1">IFERROR(VLOOKUP(C49,'DB_IMAGE UPLOAD'!$B$2:Z1000,5,0),"")</f>
        <v/>
      </c>
      <c r="C49" s="1" t="s">
        <v>4743</v>
      </c>
    </row>
    <row r="50" spans="1:3" ht="12.75">
      <c r="A50" s="74" t="str">
        <f ca="1">IFERROR(VLOOKUP(C50,'DB_IMAGE UPLOAD'!$B$2:Z1000,5,0),"")</f>
        <v/>
      </c>
      <c r="C50" s="1" t="s">
        <v>4743</v>
      </c>
    </row>
    <row r="51" spans="1:3" ht="12.75">
      <c r="A51" s="74" t="str">
        <f ca="1">IFERROR(VLOOKUP(C51,'DB_IMAGE UPLOAD'!$B$2:Z1000,5,0),"")</f>
        <v/>
      </c>
      <c r="C51" s="1" t="s">
        <v>4743</v>
      </c>
    </row>
    <row r="52" spans="1:3" ht="12.75">
      <c r="A52" s="74" t="str">
        <f ca="1">IFERROR(VLOOKUP(C52,'DB_IMAGE UPLOAD'!$B$2:Z1000,5,0),"")</f>
        <v/>
      </c>
      <c r="C52" s="1" t="s">
        <v>4743</v>
      </c>
    </row>
    <row r="53" spans="1:3" ht="12.75">
      <c r="A53" s="74" t="str">
        <f ca="1">IFERROR(VLOOKUP(C53,'DB_IMAGE UPLOAD'!$B$2:Z1000,5,0),"")</f>
        <v/>
      </c>
      <c r="C53" s="1" t="s">
        <v>4743</v>
      </c>
    </row>
    <row r="54" spans="1:3" ht="12.75">
      <c r="A54" s="74" t="str">
        <f ca="1">IFERROR(VLOOKUP(C54,'DB_IMAGE UPLOAD'!$B$2:Z1000,5,0),"")</f>
        <v/>
      </c>
      <c r="C54" s="1" t="s">
        <v>4743</v>
      </c>
    </row>
    <row r="55" spans="1:3" ht="12.75">
      <c r="A55" s="74" t="str">
        <f ca="1">IFERROR(VLOOKUP(C55,'DB_IMAGE UPLOAD'!$B$2:Z1000,5,0),"")</f>
        <v/>
      </c>
      <c r="C55" s="1" t="s">
        <v>4743</v>
      </c>
    </row>
    <row r="56" spans="1:3" ht="12.75">
      <c r="A56" s="74" t="str">
        <f ca="1">IFERROR(VLOOKUP(C56,'DB_IMAGE UPLOAD'!$B$2:Z1000,5,0),"")</f>
        <v/>
      </c>
      <c r="C56" s="1" t="s">
        <v>4743</v>
      </c>
    </row>
    <row r="57" spans="1:3" ht="12.75">
      <c r="A57" s="74" t="str">
        <f ca="1">IFERROR(VLOOKUP(C57,'DB_IMAGE UPLOAD'!$B$2:Z1000,5,0),"")</f>
        <v/>
      </c>
      <c r="C57" s="1" t="s">
        <v>4743</v>
      </c>
    </row>
    <row r="58" spans="1:3" ht="12.75">
      <c r="A58" s="74" t="str">
        <f ca="1">IFERROR(VLOOKUP(C58,'DB_IMAGE UPLOAD'!$B$2:Z1000,5,0),"")</f>
        <v/>
      </c>
      <c r="C58" s="1" t="s">
        <v>4743</v>
      </c>
    </row>
    <row r="59" spans="1:3" ht="12.75">
      <c r="A59" s="74" t="str">
        <f ca="1">IFERROR(VLOOKUP(C59,'DB_IMAGE UPLOAD'!$B$2:Z1000,5,0),"")</f>
        <v/>
      </c>
      <c r="C59" s="1" t="s">
        <v>4743</v>
      </c>
    </row>
    <row r="60" spans="1:3" ht="12.75">
      <c r="A60" s="74" t="str">
        <f ca="1">IFERROR(VLOOKUP(C60,'DB_IMAGE UPLOAD'!$B$2:Z1000,5,0),"")</f>
        <v/>
      </c>
      <c r="C60" s="1" t="s">
        <v>4743</v>
      </c>
    </row>
    <row r="61" spans="1:3" ht="12.75">
      <c r="A61" s="74" t="str">
        <f ca="1">IFERROR(VLOOKUP(C61,'DB_IMAGE UPLOAD'!$B$2:Z1000,5,0),"")</f>
        <v/>
      </c>
      <c r="C61" s="1" t="s">
        <v>4743</v>
      </c>
    </row>
    <row r="62" spans="1:3" ht="12.75">
      <c r="A62" s="74" t="str">
        <f ca="1">IFERROR(VLOOKUP(C62,'DB_IMAGE UPLOAD'!$B$2:Z1000,5,0),"")</f>
        <v/>
      </c>
      <c r="C62" s="1" t="s">
        <v>4743</v>
      </c>
    </row>
    <row r="63" spans="1:3" ht="12.75">
      <c r="A63" s="74" t="str">
        <f ca="1">IFERROR(VLOOKUP(C63,'DB_IMAGE UPLOAD'!$B$2:Z1000,5,0),"")</f>
        <v/>
      </c>
      <c r="C63" s="1" t="s">
        <v>4743</v>
      </c>
    </row>
    <row r="64" spans="1:3" ht="12.75">
      <c r="A64" s="74" t="str">
        <f ca="1">IFERROR(VLOOKUP(C64,'DB_IMAGE UPLOAD'!$B$2:Z1000,5,0),"")</f>
        <v/>
      </c>
      <c r="C64" s="1" t="s">
        <v>4743</v>
      </c>
    </row>
    <row r="65" spans="1:3" ht="12.75">
      <c r="A65" s="74" t="str">
        <f ca="1">IFERROR(VLOOKUP(C65,'DB_IMAGE UPLOAD'!$B$2:Z1000,5,0),"")</f>
        <v/>
      </c>
      <c r="C65" s="1" t="s">
        <v>4743</v>
      </c>
    </row>
    <row r="66" spans="1:3" ht="12.75">
      <c r="A66" s="74" t="str">
        <f ca="1">IFERROR(VLOOKUP(C66,'DB_IMAGE UPLOAD'!$B$2:Z1000,5,0),"")</f>
        <v/>
      </c>
      <c r="C66" s="1" t="s">
        <v>4743</v>
      </c>
    </row>
    <row r="67" spans="1:3" ht="12.75">
      <c r="A67" s="74" t="str">
        <f ca="1">IFERROR(VLOOKUP(C67,'DB_IMAGE UPLOAD'!$B$2:Z1000,5,0),"")</f>
        <v/>
      </c>
      <c r="C67" s="1" t="s">
        <v>4743</v>
      </c>
    </row>
    <row r="68" spans="1:3" ht="12.75">
      <c r="A68" s="74" t="str">
        <f ca="1">IFERROR(VLOOKUP(C68,'DB_IMAGE UPLOAD'!$B$2:Z1000,5,0),"")</f>
        <v/>
      </c>
      <c r="C68" s="1" t="s">
        <v>4743</v>
      </c>
    </row>
    <row r="69" spans="1:3" ht="12.75">
      <c r="A69" s="74" t="str">
        <f ca="1">IFERROR(VLOOKUP(C69,'DB_IMAGE UPLOAD'!$B$2:Z1000,5,0),"")</f>
        <v/>
      </c>
      <c r="C69" s="1" t="s">
        <v>4743</v>
      </c>
    </row>
    <row r="70" spans="1:3" ht="12.75">
      <c r="A70" s="74" t="str">
        <f ca="1">IFERROR(VLOOKUP(C70,'DB_IMAGE UPLOAD'!$B$2:Z1000,5,0),"")</f>
        <v/>
      </c>
      <c r="C70" s="1" t="s">
        <v>4743</v>
      </c>
    </row>
    <row r="71" spans="1:3" ht="12.75">
      <c r="A71" s="74" t="str">
        <f ca="1">IFERROR(VLOOKUP(C71,'DB_IMAGE UPLOAD'!$B$2:Z1000,5,0),"")</f>
        <v/>
      </c>
      <c r="C71" s="1" t="s">
        <v>4743</v>
      </c>
    </row>
    <row r="72" spans="1:3" ht="12.75">
      <c r="A72" s="74" t="str">
        <f ca="1">IFERROR(VLOOKUP(C72,'DB_IMAGE UPLOAD'!$B$2:Z1000,5,0),"")</f>
        <v/>
      </c>
      <c r="C72" s="1" t="s">
        <v>4743</v>
      </c>
    </row>
    <row r="73" spans="1:3" ht="12.75">
      <c r="A73" s="74" t="str">
        <f ca="1">IFERROR(VLOOKUP(C73,'DB_IMAGE UPLOAD'!$B$2:Z1000,5,0),"")</f>
        <v/>
      </c>
      <c r="C73" s="1" t="s">
        <v>4743</v>
      </c>
    </row>
    <row r="74" spans="1:3" ht="12.75">
      <c r="A74" s="74" t="str">
        <f ca="1">IFERROR(VLOOKUP(C74,'DB_IMAGE UPLOAD'!$B$2:Z1000,5,0),"")</f>
        <v/>
      </c>
      <c r="C74" s="1" t="s">
        <v>4743</v>
      </c>
    </row>
    <row r="75" spans="1:3" ht="12.75">
      <c r="A75" s="74" t="str">
        <f ca="1">IFERROR(VLOOKUP(C75,'DB_IMAGE UPLOAD'!$B$2:Z1000,5,0),"")</f>
        <v/>
      </c>
      <c r="C75" s="1" t="s">
        <v>4743</v>
      </c>
    </row>
    <row r="76" spans="1:3" ht="12.75">
      <c r="A76" s="74" t="str">
        <f ca="1">IFERROR(VLOOKUP(C76,'DB_IMAGE UPLOAD'!$B$2:Z1000,5,0),"")</f>
        <v/>
      </c>
      <c r="C76" s="1" t="s">
        <v>4743</v>
      </c>
    </row>
    <row r="77" spans="1:3" ht="12.75">
      <c r="A77" s="74" t="str">
        <f ca="1">IFERROR(VLOOKUP(C77,'DB_IMAGE UPLOAD'!$B$2:Z1000,5,0),"")</f>
        <v/>
      </c>
      <c r="C77" s="1" t="s">
        <v>4743</v>
      </c>
    </row>
    <row r="78" spans="1:3" ht="12.75">
      <c r="A78" s="74" t="str">
        <f ca="1">IFERROR(VLOOKUP(C78,'DB_IMAGE UPLOAD'!$B$2:Z1000,5,0),"")</f>
        <v/>
      </c>
      <c r="C78" s="1" t="s">
        <v>4743</v>
      </c>
    </row>
    <row r="79" spans="1:3" ht="12.75">
      <c r="A79" s="74" t="str">
        <f ca="1">IFERROR(VLOOKUP(C79,'DB_IMAGE UPLOAD'!$B$2:Z1000,5,0),"")</f>
        <v/>
      </c>
      <c r="C79" s="1" t="s">
        <v>4743</v>
      </c>
    </row>
    <row r="80" spans="1:3" ht="12.75">
      <c r="A80" s="74" t="str">
        <f ca="1">IFERROR(VLOOKUP(C80,'DB_IMAGE UPLOAD'!$B$2:Z1000,5,0),"")</f>
        <v/>
      </c>
      <c r="C80" s="1" t="s">
        <v>4743</v>
      </c>
    </row>
    <row r="81" spans="1:3" ht="12.75">
      <c r="A81" s="74" t="str">
        <f ca="1">IFERROR(VLOOKUP(C81,'DB_IMAGE UPLOAD'!$B$2:Z1000,5,0),"")</f>
        <v/>
      </c>
      <c r="C81" s="1" t="s">
        <v>4743</v>
      </c>
    </row>
    <row r="82" spans="1:3" ht="12.75">
      <c r="A82" s="74" t="str">
        <f ca="1">IFERROR(VLOOKUP(C82,'DB_IMAGE UPLOAD'!$B$2:Z1000,5,0),"")</f>
        <v/>
      </c>
      <c r="C82" s="1" t="s">
        <v>4743</v>
      </c>
    </row>
    <row r="83" spans="1:3" ht="12.75">
      <c r="A83" s="74" t="str">
        <f ca="1">IFERROR(VLOOKUP(C83,'DB_IMAGE UPLOAD'!$B$2:Z1000,5,0),"")</f>
        <v/>
      </c>
      <c r="C83" s="1" t="s">
        <v>4743</v>
      </c>
    </row>
    <row r="84" spans="1:3" ht="12.75">
      <c r="A84" s="74" t="str">
        <f ca="1">IFERROR(VLOOKUP(C84,'DB_IMAGE UPLOAD'!$B$2:Z1000,5,0),"")</f>
        <v/>
      </c>
      <c r="C84" s="1" t="s">
        <v>4743</v>
      </c>
    </row>
    <row r="85" spans="1:3" ht="12.75">
      <c r="A85" s="74" t="str">
        <f ca="1">IFERROR(VLOOKUP(C85,'DB_IMAGE UPLOAD'!$B$2:Z1000,5,0),"")</f>
        <v/>
      </c>
      <c r="C85" s="1" t="s">
        <v>4743</v>
      </c>
    </row>
    <row r="86" spans="1:3" ht="12.75">
      <c r="A86" s="74" t="str">
        <f ca="1">IFERROR(VLOOKUP(C86,'DB_IMAGE UPLOAD'!$B$2:Z1000,5,0),"")</f>
        <v/>
      </c>
      <c r="C86" s="1" t="s">
        <v>4743</v>
      </c>
    </row>
    <row r="87" spans="1:3" ht="12.75">
      <c r="A87" s="74" t="str">
        <f ca="1">IFERROR(VLOOKUP(C87,'DB_IMAGE UPLOAD'!$B$2:Z1000,5,0),"")</f>
        <v/>
      </c>
      <c r="C87" s="1" t="s">
        <v>4743</v>
      </c>
    </row>
    <row r="88" spans="1:3" ht="12.75">
      <c r="A88" s="74" t="str">
        <f ca="1">IFERROR(VLOOKUP(C88,'DB_IMAGE UPLOAD'!$B$2:Z1000,5,0),"")</f>
        <v/>
      </c>
      <c r="C88" s="1" t="s">
        <v>4743</v>
      </c>
    </row>
    <row r="89" spans="1:3" ht="12.75">
      <c r="A89" s="74" t="str">
        <f ca="1">IFERROR(VLOOKUP(C89,'DB_IMAGE UPLOAD'!$B$2:Z1000,5,0),"")</f>
        <v/>
      </c>
      <c r="C89" s="1" t="s">
        <v>4743</v>
      </c>
    </row>
    <row r="90" spans="1:3" ht="12.75">
      <c r="A90" s="74" t="str">
        <f ca="1">IFERROR(VLOOKUP(C90,'DB_IMAGE UPLOAD'!$B$2:Z1000,5,0),"")</f>
        <v/>
      </c>
      <c r="C90" s="1" t="s">
        <v>4743</v>
      </c>
    </row>
    <row r="91" spans="1:3" ht="12.75">
      <c r="A91" s="74" t="str">
        <f ca="1">IFERROR(VLOOKUP(C91,'DB_IMAGE UPLOAD'!$B$2:Z1000,5,0),"")</f>
        <v/>
      </c>
      <c r="C91" s="1" t="s">
        <v>4743</v>
      </c>
    </row>
    <row r="92" spans="1:3" ht="12.75">
      <c r="A92" s="74" t="str">
        <f ca="1">IFERROR(VLOOKUP(C92,'DB_IMAGE UPLOAD'!$B$2:Z1000,5,0),"")</f>
        <v/>
      </c>
      <c r="C92" s="1" t="s">
        <v>4743</v>
      </c>
    </row>
    <row r="93" spans="1:3" ht="12.75">
      <c r="A93" s="74" t="str">
        <f ca="1">IFERROR(VLOOKUP(C93,'DB_IMAGE UPLOAD'!$B$2:Z1000,5,0),"")</f>
        <v/>
      </c>
      <c r="C93" s="1" t="s">
        <v>4743</v>
      </c>
    </row>
    <row r="94" spans="1:3" ht="12.75">
      <c r="A94" s="74" t="str">
        <f ca="1">IFERROR(VLOOKUP(C94,'DB_IMAGE UPLOAD'!$B$2:Z1000,5,0),"")</f>
        <v/>
      </c>
      <c r="C94" s="1" t="s">
        <v>4743</v>
      </c>
    </row>
    <row r="95" spans="1:3" ht="12.75">
      <c r="A95" s="74" t="str">
        <f ca="1">IFERROR(VLOOKUP(C95,'DB_IMAGE UPLOAD'!$B$2:Z1000,5,0),"")</f>
        <v/>
      </c>
      <c r="C95" s="1" t="s">
        <v>4743</v>
      </c>
    </row>
    <row r="96" spans="1:3" ht="12.75">
      <c r="A96" s="74" t="str">
        <f ca="1">IFERROR(VLOOKUP(C96,'DB_IMAGE UPLOAD'!$B$2:Z1000,5,0),"")</f>
        <v/>
      </c>
      <c r="C96" s="1" t="s">
        <v>4743</v>
      </c>
    </row>
    <row r="97" spans="1:3" ht="12.75">
      <c r="A97" s="74" t="str">
        <f ca="1">IFERROR(VLOOKUP(C97,'DB_IMAGE UPLOAD'!$B$2:Z1000,5,0),"")</f>
        <v/>
      </c>
      <c r="C97" s="1" t="s">
        <v>4743</v>
      </c>
    </row>
    <row r="98" spans="1:3" ht="12.75">
      <c r="A98" s="74" t="str">
        <f ca="1">IFERROR(VLOOKUP(C98,'DB_IMAGE UPLOAD'!$B$2:Z1000,5,0),"")</f>
        <v/>
      </c>
      <c r="C98" s="1" t="s">
        <v>4743</v>
      </c>
    </row>
    <row r="99" spans="1:3" ht="12.75">
      <c r="A99" s="74" t="str">
        <f ca="1">IFERROR(VLOOKUP(C99,'DB_IMAGE UPLOAD'!$B$2:Z1000,5,0),"")</f>
        <v/>
      </c>
      <c r="C99" s="1" t="s">
        <v>4743</v>
      </c>
    </row>
    <row r="100" spans="1:3" ht="12.75">
      <c r="A100" s="74" t="str">
        <f ca="1">IFERROR(VLOOKUP(C100,'DB_IMAGE UPLOAD'!$B$2:Z1000,5,0),"")</f>
        <v/>
      </c>
      <c r="C100" s="1" t="s">
        <v>4743</v>
      </c>
    </row>
    <row r="101" spans="1:3" ht="12.75">
      <c r="A101" s="74" t="str">
        <f ca="1">IFERROR(VLOOKUP(C101,'DB_IMAGE UPLOAD'!$B$2:Z1000,5,0),"")</f>
        <v/>
      </c>
      <c r="C101" s="1" t="s">
        <v>4743</v>
      </c>
    </row>
    <row r="102" spans="1:3" ht="12.75">
      <c r="A102" s="74" t="str">
        <f ca="1">IFERROR(VLOOKUP(C102,'DB_IMAGE UPLOAD'!$B$2:Z1000,5,0),"")</f>
        <v/>
      </c>
      <c r="C102" s="1" t="s">
        <v>4743</v>
      </c>
    </row>
    <row r="103" spans="1:3" ht="12.75">
      <c r="A103" s="74" t="str">
        <f ca="1">IFERROR(VLOOKUP(C103,'DB_IMAGE UPLOAD'!$B$2:Z1000,5,0),"")</f>
        <v/>
      </c>
      <c r="C103" s="1" t="s">
        <v>4743</v>
      </c>
    </row>
    <row r="104" spans="1:3" ht="12.75">
      <c r="A104" s="74" t="str">
        <f ca="1">IFERROR(VLOOKUP(C104,'DB_IMAGE UPLOAD'!$B$2:Z1000,5,0),"")</f>
        <v/>
      </c>
      <c r="C104" s="1" t="s">
        <v>4743</v>
      </c>
    </row>
    <row r="105" spans="1:3" ht="12.75">
      <c r="A105" s="74" t="str">
        <f ca="1">IFERROR(VLOOKUP(C105,'DB_IMAGE UPLOAD'!$B$2:Z1000,5,0),"")</f>
        <v/>
      </c>
      <c r="C105" s="1" t="s">
        <v>4743</v>
      </c>
    </row>
    <row r="106" spans="1:3" ht="12.75">
      <c r="A106" s="74" t="str">
        <f ca="1">IFERROR(VLOOKUP(C106,'DB_IMAGE UPLOAD'!$B$2:Z1000,5,0),"")</f>
        <v/>
      </c>
      <c r="C106" s="1" t="s">
        <v>4743</v>
      </c>
    </row>
    <row r="107" spans="1:3" ht="12.75">
      <c r="A107" s="74" t="str">
        <f ca="1">IFERROR(VLOOKUP(C107,'DB_IMAGE UPLOAD'!$B$2:Z1000,5,0),"")</f>
        <v/>
      </c>
      <c r="C107" s="1" t="s">
        <v>4743</v>
      </c>
    </row>
    <row r="108" spans="1:3" ht="12.75">
      <c r="A108" s="74" t="str">
        <f ca="1">IFERROR(VLOOKUP(C108,'DB_IMAGE UPLOAD'!$B$2:Z1000,5,0),"")</f>
        <v/>
      </c>
      <c r="C108" s="1" t="s">
        <v>4743</v>
      </c>
    </row>
    <row r="109" spans="1:3" ht="12.75">
      <c r="A109" s="74" t="str">
        <f ca="1">IFERROR(VLOOKUP(C109,'DB_IMAGE UPLOAD'!$B$2:Z1000,5,0),"")</f>
        <v/>
      </c>
      <c r="C109" s="1" t="s">
        <v>4743</v>
      </c>
    </row>
    <row r="110" spans="1:3" ht="12.75">
      <c r="A110" s="74" t="str">
        <f ca="1">IFERROR(VLOOKUP(C110,'DB_IMAGE UPLOAD'!$B$2:Z1000,5,0),"")</f>
        <v/>
      </c>
      <c r="C110" s="1" t="s">
        <v>4743</v>
      </c>
    </row>
    <row r="111" spans="1:3" ht="12.75">
      <c r="A111" s="74" t="str">
        <f ca="1">IFERROR(VLOOKUP(C111,'DB_IMAGE UPLOAD'!$B$2:Z1000,5,0),"")</f>
        <v/>
      </c>
      <c r="C111" s="1" t="s">
        <v>4743</v>
      </c>
    </row>
    <row r="112" spans="1:3" ht="12.75">
      <c r="A112" s="74" t="str">
        <f ca="1">IFERROR(VLOOKUP(C112,'DB_IMAGE UPLOAD'!$B$2:Z1000,5,0),"")</f>
        <v/>
      </c>
      <c r="C112" s="1" t="s">
        <v>4743</v>
      </c>
    </row>
    <row r="113" spans="1:3" ht="12.75">
      <c r="A113" s="74" t="str">
        <f ca="1">IFERROR(VLOOKUP(C113,'DB_IMAGE UPLOAD'!$B$2:Z1000,5,0),"")</f>
        <v/>
      </c>
      <c r="C113" s="1" t="s">
        <v>4743</v>
      </c>
    </row>
    <row r="114" spans="1:3" ht="12.75">
      <c r="A114" s="74" t="str">
        <f ca="1">IFERROR(VLOOKUP(C114,'DB_IMAGE UPLOAD'!$B$2:Z1000,5,0),"")</f>
        <v/>
      </c>
      <c r="C114" s="1" t="s">
        <v>4743</v>
      </c>
    </row>
    <row r="115" spans="1:3" ht="12.75">
      <c r="A115" s="74" t="str">
        <f ca="1">IFERROR(VLOOKUP(C115,'DB_IMAGE UPLOAD'!$B$2:Z1000,5,0),"")</f>
        <v/>
      </c>
      <c r="C115" s="1" t="s">
        <v>4743</v>
      </c>
    </row>
    <row r="116" spans="1:3" ht="12.75">
      <c r="A116" s="74" t="str">
        <f ca="1">IFERROR(VLOOKUP(C116,'DB_IMAGE UPLOAD'!$B$2:Z1000,5,0),"")</f>
        <v/>
      </c>
      <c r="C116" s="1" t="s">
        <v>4743</v>
      </c>
    </row>
    <row r="117" spans="1:3" ht="12.75">
      <c r="A117" s="74" t="str">
        <f ca="1">IFERROR(VLOOKUP(C117,'DB_IMAGE UPLOAD'!$B$2:Z1000,5,0),"")</f>
        <v/>
      </c>
      <c r="C117" s="1" t="s">
        <v>4743</v>
      </c>
    </row>
    <row r="118" spans="1:3" ht="12.75">
      <c r="A118" s="74" t="str">
        <f ca="1">IFERROR(VLOOKUP(C118,'DB_IMAGE UPLOAD'!$B$2:Z1000,5,0),"")</f>
        <v/>
      </c>
      <c r="C118" s="1" t="s">
        <v>4743</v>
      </c>
    </row>
    <row r="119" spans="1:3" ht="12.75">
      <c r="A119" s="74" t="str">
        <f ca="1">IFERROR(VLOOKUP(C119,'DB_IMAGE UPLOAD'!$B$2:Z1000,5,0),"")</f>
        <v/>
      </c>
      <c r="C119" s="1" t="s">
        <v>4743</v>
      </c>
    </row>
    <row r="120" spans="1:3" ht="12.75">
      <c r="A120" s="74" t="str">
        <f ca="1">IFERROR(VLOOKUP(C120,'DB_IMAGE UPLOAD'!$B$2:Z1000,5,0),"")</f>
        <v/>
      </c>
      <c r="C120" s="1" t="s">
        <v>4743</v>
      </c>
    </row>
    <row r="121" spans="1:3" ht="12.75">
      <c r="A121" s="74" t="str">
        <f ca="1">IFERROR(VLOOKUP(C121,'DB_IMAGE UPLOAD'!$B$2:Z1000,5,0),"")</f>
        <v/>
      </c>
      <c r="C121" s="1" t="s">
        <v>4743</v>
      </c>
    </row>
    <row r="122" spans="1:3" ht="12.75">
      <c r="A122" s="74" t="str">
        <f ca="1">IFERROR(VLOOKUP(C122,'DB_IMAGE UPLOAD'!$B$2:Z1000,5,0),"")</f>
        <v/>
      </c>
      <c r="C122" s="1" t="s">
        <v>4743</v>
      </c>
    </row>
    <row r="123" spans="1:3" ht="12.75">
      <c r="A123" s="74" t="str">
        <f ca="1">IFERROR(VLOOKUP(C123,'DB_IMAGE UPLOAD'!$B$2:Z1000,5,0),"")</f>
        <v/>
      </c>
      <c r="C123" s="1" t="s">
        <v>4743</v>
      </c>
    </row>
    <row r="124" spans="1:3" ht="12.75">
      <c r="A124" s="74" t="str">
        <f ca="1">IFERROR(VLOOKUP(C124,'DB_IMAGE UPLOAD'!$B$2:Z1000,5,0),"")</f>
        <v/>
      </c>
      <c r="C124" s="1" t="s">
        <v>4743</v>
      </c>
    </row>
    <row r="125" spans="1:3" ht="12.75">
      <c r="A125" s="74" t="str">
        <f ca="1">IFERROR(VLOOKUP(C125,'DB_IMAGE UPLOAD'!$B$2:Z1000,5,0),"")</f>
        <v/>
      </c>
      <c r="C125" s="1" t="s">
        <v>4743</v>
      </c>
    </row>
    <row r="126" spans="1:3" ht="12.75">
      <c r="A126" s="74" t="str">
        <f ca="1">IFERROR(VLOOKUP(C126,'DB_IMAGE UPLOAD'!$B$2:Z1000,5,0),"")</f>
        <v/>
      </c>
      <c r="C126" s="1" t="s">
        <v>4743</v>
      </c>
    </row>
    <row r="127" spans="1:3" ht="12.75">
      <c r="A127" s="74" t="str">
        <f ca="1">IFERROR(VLOOKUP(C127,'DB_IMAGE UPLOAD'!$B$2:Z1000,5,0),"")</f>
        <v/>
      </c>
      <c r="C127" s="1" t="s">
        <v>4743</v>
      </c>
    </row>
    <row r="128" spans="1:3" ht="12.75">
      <c r="A128" s="74" t="str">
        <f ca="1">IFERROR(VLOOKUP(C128,'DB_IMAGE UPLOAD'!$B$2:Z1000,5,0),"")</f>
        <v/>
      </c>
      <c r="C128" s="1" t="s">
        <v>4743</v>
      </c>
    </row>
    <row r="129" spans="1:3" ht="12.75">
      <c r="A129" s="74" t="str">
        <f ca="1">IFERROR(VLOOKUP(C129,'DB_IMAGE UPLOAD'!$B$2:Z1000,5,0),"")</f>
        <v/>
      </c>
      <c r="C129" s="1" t="s">
        <v>4743</v>
      </c>
    </row>
    <row r="130" spans="1:3" ht="12.75">
      <c r="A130" s="74" t="str">
        <f ca="1">IFERROR(VLOOKUP(C130,'DB_IMAGE UPLOAD'!$B$2:Z1000,5,0),"")</f>
        <v/>
      </c>
      <c r="C130" s="1" t="s">
        <v>4743</v>
      </c>
    </row>
    <row r="131" spans="1:3" ht="12.75">
      <c r="A131" s="74" t="str">
        <f ca="1">IFERROR(VLOOKUP(C131,'DB_IMAGE UPLOAD'!$B$2:Z1000,5,0),"")</f>
        <v/>
      </c>
      <c r="C131" s="1" t="s">
        <v>4743</v>
      </c>
    </row>
    <row r="132" spans="1:3" ht="12.75">
      <c r="A132" s="74" t="str">
        <f ca="1">IFERROR(VLOOKUP(C132,'DB_IMAGE UPLOAD'!$B$2:Z1000,5,0),"")</f>
        <v/>
      </c>
      <c r="C132" s="1" t="s">
        <v>4743</v>
      </c>
    </row>
    <row r="133" spans="1:3" ht="12.75">
      <c r="A133" s="74" t="str">
        <f ca="1">IFERROR(VLOOKUP(C133,'DB_IMAGE UPLOAD'!$B$2:Z1000,5,0),"")</f>
        <v/>
      </c>
      <c r="C133" s="1" t="s">
        <v>4743</v>
      </c>
    </row>
    <row r="134" spans="1:3" ht="12.75">
      <c r="A134" s="74" t="str">
        <f ca="1">IFERROR(VLOOKUP(C134,'DB_IMAGE UPLOAD'!$B$2:Z1000,5,0),"")</f>
        <v/>
      </c>
      <c r="C134" s="1" t="s">
        <v>4743</v>
      </c>
    </row>
    <row r="135" spans="1:3" ht="12.75">
      <c r="A135" s="74" t="str">
        <f ca="1">IFERROR(VLOOKUP(C135,'DB_IMAGE UPLOAD'!$B$2:Z1000,5,0),"")</f>
        <v/>
      </c>
      <c r="C135" s="1" t="s">
        <v>4743</v>
      </c>
    </row>
    <row r="136" spans="1:3" ht="12.75">
      <c r="A136" s="74" t="str">
        <f ca="1">IFERROR(VLOOKUP(C136,'DB_IMAGE UPLOAD'!$B$2:Z1000,5,0),"")</f>
        <v/>
      </c>
      <c r="C136" s="1" t="s">
        <v>4743</v>
      </c>
    </row>
    <row r="137" spans="1:3" ht="12.75">
      <c r="A137" s="74" t="str">
        <f ca="1">IFERROR(VLOOKUP(C137,'DB_IMAGE UPLOAD'!$B$2:Z1000,5,0),"")</f>
        <v/>
      </c>
      <c r="C137" s="1" t="s">
        <v>4743</v>
      </c>
    </row>
    <row r="138" spans="1:3" ht="12.75">
      <c r="A138" s="74" t="str">
        <f ca="1">IFERROR(VLOOKUP(C138,'DB_IMAGE UPLOAD'!$B$2:Z1000,5,0),"")</f>
        <v/>
      </c>
      <c r="C138" s="1" t="s">
        <v>4743</v>
      </c>
    </row>
    <row r="139" spans="1:3" ht="12.75">
      <c r="A139" s="74" t="str">
        <f ca="1">IFERROR(VLOOKUP(C139,'DB_IMAGE UPLOAD'!$B$2:Z1000,5,0),"")</f>
        <v/>
      </c>
      <c r="C139" s="1" t="s">
        <v>4743</v>
      </c>
    </row>
    <row r="140" spans="1:3" ht="12.75">
      <c r="A140" s="74" t="str">
        <f ca="1">IFERROR(VLOOKUP(C140,'DB_IMAGE UPLOAD'!$B$2:Z1000,5,0),"")</f>
        <v/>
      </c>
      <c r="C140" s="1" t="s">
        <v>4743</v>
      </c>
    </row>
    <row r="141" spans="1:3" ht="12.75">
      <c r="A141" s="74" t="str">
        <f ca="1">IFERROR(VLOOKUP(C141,'DB_IMAGE UPLOAD'!$B$2:Z1000,5,0),"")</f>
        <v/>
      </c>
      <c r="C141" s="1" t="s">
        <v>4743</v>
      </c>
    </row>
    <row r="142" spans="1:3" ht="12.75">
      <c r="A142" s="74" t="str">
        <f ca="1">IFERROR(VLOOKUP(C142,'DB_IMAGE UPLOAD'!$B$2:Z1000,5,0),"")</f>
        <v/>
      </c>
      <c r="C142" s="1" t="s">
        <v>4743</v>
      </c>
    </row>
    <row r="143" spans="1:3" ht="12.75">
      <c r="A143" s="74" t="str">
        <f ca="1">IFERROR(VLOOKUP(C143,'DB_IMAGE UPLOAD'!$B$2:Z1000,5,0),"")</f>
        <v/>
      </c>
      <c r="C143" s="1" t="s">
        <v>4743</v>
      </c>
    </row>
    <row r="144" spans="1:3" ht="12.75">
      <c r="A144" s="74" t="str">
        <f ca="1">IFERROR(VLOOKUP(C144,'DB_IMAGE UPLOAD'!$B$2:Z1000,5,0),"")</f>
        <v/>
      </c>
      <c r="C144" s="1" t="s">
        <v>4743</v>
      </c>
    </row>
    <row r="145" spans="1:3" ht="12.75">
      <c r="A145" s="74" t="str">
        <f ca="1">IFERROR(VLOOKUP(C145,'DB_IMAGE UPLOAD'!$B$2:Z1000,5,0),"")</f>
        <v/>
      </c>
      <c r="C145" s="1" t="s">
        <v>4743</v>
      </c>
    </row>
    <row r="146" spans="1:3" ht="12.75">
      <c r="A146" s="74" t="str">
        <f ca="1">IFERROR(VLOOKUP(C146,'DB_IMAGE UPLOAD'!$B$2:Z1000,5,0),"")</f>
        <v/>
      </c>
      <c r="C146" s="1" t="s">
        <v>4743</v>
      </c>
    </row>
    <row r="147" spans="1:3" ht="12.75">
      <c r="A147" s="74" t="str">
        <f ca="1">IFERROR(VLOOKUP(C147,'DB_IMAGE UPLOAD'!$B$2:Z1000,5,0),"")</f>
        <v/>
      </c>
      <c r="C147" s="1" t="s">
        <v>4743</v>
      </c>
    </row>
    <row r="148" spans="1:3" ht="12.75">
      <c r="A148" s="74" t="str">
        <f ca="1">IFERROR(VLOOKUP(C148,'DB_IMAGE UPLOAD'!$B$2:Z1000,5,0),"")</f>
        <v/>
      </c>
      <c r="C148" s="1" t="s">
        <v>4743</v>
      </c>
    </row>
    <row r="149" spans="1:3" ht="12.75">
      <c r="A149" s="74" t="str">
        <f ca="1">IFERROR(VLOOKUP(C149,'DB_IMAGE UPLOAD'!$B$2:Z1000,5,0),"")</f>
        <v/>
      </c>
      <c r="C149" s="1" t="s">
        <v>4743</v>
      </c>
    </row>
    <row r="150" spans="1:3" ht="12.75">
      <c r="A150" s="74" t="str">
        <f ca="1">IFERROR(VLOOKUP(C150,'DB_IMAGE UPLOAD'!$B$2:Z1000,5,0),"")</f>
        <v/>
      </c>
      <c r="C150" s="1" t="s">
        <v>4743</v>
      </c>
    </row>
    <row r="151" spans="1:3" ht="12.75">
      <c r="A151" s="74" t="str">
        <f ca="1">IFERROR(VLOOKUP(C151,'DB_IMAGE UPLOAD'!$B$2:Z1000,5,0),"")</f>
        <v/>
      </c>
      <c r="C151" s="1" t="s">
        <v>4743</v>
      </c>
    </row>
    <row r="152" spans="1:3" ht="12.75">
      <c r="A152" s="74" t="str">
        <f ca="1">IFERROR(VLOOKUP(C152,'DB_IMAGE UPLOAD'!$B$2:Z1000,5,0),"")</f>
        <v/>
      </c>
      <c r="C152" s="1" t="s">
        <v>4743</v>
      </c>
    </row>
    <row r="153" spans="1:3" ht="12.75">
      <c r="A153" s="74" t="str">
        <f ca="1">IFERROR(VLOOKUP(C153,'DB_IMAGE UPLOAD'!$B$2:Z1000,5,0),"")</f>
        <v/>
      </c>
      <c r="C153" s="1" t="s">
        <v>4743</v>
      </c>
    </row>
    <row r="154" spans="1:3" ht="12.75">
      <c r="A154" s="74" t="str">
        <f ca="1">IFERROR(VLOOKUP(C154,'DB_IMAGE UPLOAD'!$B$2:Z1000,5,0),"")</f>
        <v/>
      </c>
      <c r="C154" s="1" t="s">
        <v>4743</v>
      </c>
    </row>
    <row r="155" spans="1:3" ht="12.75">
      <c r="A155" s="74" t="str">
        <f ca="1">IFERROR(VLOOKUP(C155,'DB_IMAGE UPLOAD'!$B$2:Z1000,5,0),"")</f>
        <v/>
      </c>
      <c r="C155" s="1" t="s">
        <v>4743</v>
      </c>
    </row>
    <row r="156" spans="1:3" ht="12.75">
      <c r="A156" s="74" t="str">
        <f ca="1">IFERROR(VLOOKUP(C156,'DB_IMAGE UPLOAD'!$B$2:Z1000,5,0),"")</f>
        <v/>
      </c>
      <c r="C156" s="1" t="s">
        <v>4743</v>
      </c>
    </row>
    <row r="157" spans="1:3" ht="12.75">
      <c r="A157" s="74" t="str">
        <f ca="1">IFERROR(VLOOKUP(C157,'DB_IMAGE UPLOAD'!$B$2:Z1000,5,0),"")</f>
        <v/>
      </c>
      <c r="C157" s="1" t="s">
        <v>4743</v>
      </c>
    </row>
    <row r="158" spans="1:3" ht="12.75">
      <c r="A158" s="74" t="str">
        <f ca="1">IFERROR(VLOOKUP(C158,'DB_IMAGE UPLOAD'!$B$2:Z1000,5,0),"")</f>
        <v/>
      </c>
      <c r="C158" s="1" t="s">
        <v>4743</v>
      </c>
    </row>
    <row r="159" spans="1:3" ht="12.75">
      <c r="A159" s="74" t="str">
        <f ca="1">IFERROR(VLOOKUP(C159,'DB_IMAGE UPLOAD'!$B$2:Z1000,5,0),"")</f>
        <v/>
      </c>
      <c r="C159" s="1" t="s">
        <v>4743</v>
      </c>
    </row>
    <row r="160" spans="1:3" ht="12.75">
      <c r="A160" s="74" t="str">
        <f ca="1">IFERROR(VLOOKUP(C160,'DB_IMAGE UPLOAD'!$B$2:Z1000,5,0),"")</f>
        <v/>
      </c>
      <c r="C160" s="1" t="s">
        <v>4743</v>
      </c>
    </row>
    <row r="161" spans="1:3" ht="12.75">
      <c r="A161" s="74" t="str">
        <f ca="1">IFERROR(VLOOKUP(C161,'DB_IMAGE UPLOAD'!$B$2:Z1000,5,0),"")</f>
        <v/>
      </c>
      <c r="C161" s="1" t="s">
        <v>4743</v>
      </c>
    </row>
    <row r="162" spans="1:3" ht="12.75">
      <c r="A162" s="74" t="str">
        <f ca="1">IFERROR(VLOOKUP(C162,'DB_IMAGE UPLOAD'!$B$2:Z1000,5,0),"")</f>
        <v/>
      </c>
      <c r="C162" s="1" t="s">
        <v>4743</v>
      </c>
    </row>
    <row r="163" spans="1:3" ht="12.75">
      <c r="A163" s="74" t="str">
        <f ca="1">IFERROR(VLOOKUP(C163,'DB_IMAGE UPLOAD'!$B$2:Z1000,5,0),"")</f>
        <v/>
      </c>
      <c r="C163" s="1" t="s">
        <v>4743</v>
      </c>
    </row>
    <row r="164" spans="1:3" ht="12.75">
      <c r="A164" s="74" t="str">
        <f ca="1">IFERROR(VLOOKUP(C164,'DB_IMAGE UPLOAD'!$B$2:Z1000,5,0),"")</f>
        <v/>
      </c>
      <c r="C164" s="1" t="s">
        <v>4743</v>
      </c>
    </row>
    <row r="165" spans="1:3" ht="12.75">
      <c r="A165" s="74" t="str">
        <f ca="1">IFERROR(VLOOKUP(C165,'DB_IMAGE UPLOAD'!$B$2:Z1000,5,0),"")</f>
        <v/>
      </c>
      <c r="C165" s="1" t="s">
        <v>4743</v>
      </c>
    </row>
    <row r="166" spans="1:3" ht="12.75">
      <c r="A166" s="74" t="str">
        <f ca="1">IFERROR(VLOOKUP(C166,'DB_IMAGE UPLOAD'!$B$2:Z1000,5,0),"")</f>
        <v/>
      </c>
      <c r="C166" s="1" t="s">
        <v>4743</v>
      </c>
    </row>
    <row r="167" spans="1:3" ht="12.75">
      <c r="A167" s="74" t="str">
        <f ca="1">IFERROR(VLOOKUP(C167,'DB_IMAGE UPLOAD'!$B$2:Z1000,5,0),"")</f>
        <v/>
      </c>
      <c r="C167" s="1" t="s">
        <v>4743</v>
      </c>
    </row>
    <row r="168" spans="1:3" ht="12.75">
      <c r="A168" s="74" t="str">
        <f ca="1">IFERROR(VLOOKUP(C168,'DB_IMAGE UPLOAD'!$B$2:Z1000,5,0),"")</f>
        <v/>
      </c>
      <c r="C168" s="1" t="s">
        <v>4743</v>
      </c>
    </row>
    <row r="169" spans="1:3" ht="12.75">
      <c r="A169" s="74" t="str">
        <f ca="1">IFERROR(VLOOKUP(C169,'DB_IMAGE UPLOAD'!$B$2:Z1000,5,0),"")</f>
        <v/>
      </c>
      <c r="C169" s="1" t="s">
        <v>4743</v>
      </c>
    </row>
    <row r="170" spans="1:3" ht="12.75">
      <c r="A170" s="74" t="str">
        <f ca="1">IFERROR(VLOOKUP(C170,'DB_IMAGE UPLOAD'!$B$2:Z1000,5,0),"")</f>
        <v/>
      </c>
      <c r="C170" s="1" t="s">
        <v>4743</v>
      </c>
    </row>
    <row r="171" spans="1:3" ht="12.75">
      <c r="A171" s="74" t="str">
        <f ca="1">IFERROR(VLOOKUP(C171,'DB_IMAGE UPLOAD'!$B$2:Z1000,5,0),"")</f>
        <v/>
      </c>
      <c r="C171" s="1" t="s">
        <v>4743</v>
      </c>
    </row>
    <row r="172" spans="1:3" ht="12.75">
      <c r="A172" s="74" t="str">
        <f ca="1">IFERROR(VLOOKUP(C172,'DB_IMAGE UPLOAD'!$B$2:Z1000,5,0),"")</f>
        <v/>
      </c>
      <c r="C172" s="1" t="s">
        <v>4743</v>
      </c>
    </row>
    <row r="173" spans="1:3" ht="12.75">
      <c r="A173" s="74" t="str">
        <f ca="1">IFERROR(VLOOKUP(C173,'DB_IMAGE UPLOAD'!$B$2:Z1000,5,0),"")</f>
        <v/>
      </c>
      <c r="C173" s="1" t="s">
        <v>4743</v>
      </c>
    </row>
    <row r="174" spans="1:3" ht="12.75">
      <c r="A174" s="74" t="str">
        <f ca="1">IFERROR(VLOOKUP(C174,'DB_IMAGE UPLOAD'!$B$2:Z1000,5,0),"")</f>
        <v/>
      </c>
      <c r="C174" s="1" t="s">
        <v>4743</v>
      </c>
    </row>
    <row r="175" spans="1:3" ht="12.75">
      <c r="A175" s="74" t="str">
        <f ca="1">IFERROR(VLOOKUP(C175,'DB_IMAGE UPLOAD'!$B$2:Z1000,5,0),"")</f>
        <v/>
      </c>
      <c r="C175" s="1" t="s">
        <v>4743</v>
      </c>
    </row>
    <row r="176" spans="1:3" ht="12.75">
      <c r="A176" s="74" t="str">
        <f ca="1">IFERROR(VLOOKUP(C176,'DB_IMAGE UPLOAD'!$B$2:Z1000,5,0),"")</f>
        <v/>
      </c>
      <c r="C176" s="1" t="s">
        <v>4743</v>
      </c>
    </row>
    <row r="177" spans="1:3" ht="12.75">
      <c r="A177" s="74" t="str">
        <f ca="1">IFERROR(VLOOKUP(C177,'DB_IMAGE UPLOAD'!$B$2:Z1000,5,0),"")</f>
        <v/>
      </c>
      <c r="C177" s="1" t="s">
        <v>4743</v>
      </c>
    </row>
    <row r="178" spans="1:3" ht="12.75">
      <c r="A178" s="74" t="str">
        <f ca="1">IFERROR(VLOOKUP(C178,'DB_IMAGE UPLOAD'!$B$2:Z1000,5,0),"")</f>
        <v/>
      </c>
      <c r="C178" s="1" t="s">
        <v>4743</v>
      </c>
    </row>
    <row r="179" spans="1:3" ht="12.75">
      <c r="A179" s="74" t="str">
        <f ca="1">IFERROR(VLOOKUP(C179,'DB_IMAGE UPLOAD'!$B$2:Z1000,5,0),"")</f>
        <v/>
      </c>
      <c r="C179" s="1" t="s">
        <v>4743</v>
      </c>
    </row>
    <row r="180" spans="1:3" ht="12.75">
      <c r="A180" s="74" t="str">
        <f ca="1">IFERROR(VLOOKUP(C180,'DB_IMAGE UPLOAD'!$B$2:Z1000,5,0),"")</f>
        <v/>
      </c>
      <c r="C180" s="1" t="s">
        <v>4743</v>
      </c>
    </row>
    <row r="181" spans="1:3" ht="12.75">
      <c r="A181" s="74" t="str">
        <f ca="1">IFERROR(VLOOKUP(C181,'DB_IMAGE UPLOAD'!$B$2:Z1000,5,0),"")</f>
        <v/>
      </c>
      <c r="C181" s="1" t="s">
        <v>4743</v>
      </c>
    </row>
    <row r="182" spans="1:3" ht="12.75">
      <c r="A182" s="74" t="str">
        <f ca="1">IFERROR(VLOOKUP(C182,'DB_IMAGE UPLOAD'!$B$2:Z1000,5,0),"")</f>
        <v/>
      </c>
      <c r="C182" s="1" t="s">
        <v>4743</v>
      </c>
    </row>
    <row r="183" spans="1:3" ht="12.75">
      <c r="A183" s="74" t="str">
        <f ca="1">IFERROR(VLOOKUP(C183,'DB_IMAGE UPLOAD'!$B$2:Z1000,5,0),"")</f>
        <v/>
      </c>
      <c r="C183" s="1" t="s">
        <v>4743</v>
      </c>
    </row>
    <row r="184" spans="1:3" ht="12.75">
      <c r="A184" s="74" t="str">
        <f ca="1">IFERROR(VLOOKUP(C184,'DB_IMAGE UPLOAD'!$B$2:Z1000,5,0),"")</f>
        <v/>
      </c>
      <c r="C184" s="1" t="s">
        <v>4743</v>
      </c>
    </row>
    <row r="185" spans="1:3" ht="12.75">
      <c r="A185" s="74" t="str">
        <f ca="1">IFERROR(VLOOKUP(C185,'DB_IMAGE UPLOAD'!$B$2:Z1000,5,0),"")</f>
        <v/>
      </c>
      <c r="C185" s="1" t="s">
        <v>4743</v>
      </c>
    </row>
    <row r="186" spans="1:3" ht="12.75">
      <c r="A186" s="74" t="str">
        <f ca="1">IFERROR(VLOOKUP(C186,'DB_IMAGE UPLOAD'!$B$2:Z1000,5,0),"")</f>
        <v/>
      </c>
      <c r="C186" s="1" t="s">
        <v>4743</v>
      </c>
    </row>
    <row r="187" spans="1:3" ht="12.75">
      <c r="A187" s="74" t="str">
        <f ca="1">IFERROR(VLOOKUP(C187,'DB_IMAGE UPLOAD'!$B$2:Z1000,5,0),"")</f>
        <v/>
      </c>
      <c r="C187" s="1" t="s">
        <v>4743</v>
      </c>
    </row>
    <row r="188" spans="1:3" ht="12.75">
      <c r="A188" s="74" t="str">
        <f ca="1">IFERROR(VLOOKUP(C188,'DB_IMAGE UPLOAD'!$B$2:Z1000,5,0),"")</f>
        <v/>
      </c>
      <c r="C188" s="1" t="s">
        <v>4743</v>
      </c>
    </row>
    <row r="189" spans="1:3" ht="12.75">
      <c r="A189" s="74" t="str">
        <f ca="1">IFERROR(VLOOKUP(C189,'DB_IMAGE UPLOAD'!$B$2:Z1000,5,0),"")</f>
        <v/>
      </c>
      <c r="C189" s="1" t="s">
        <v>4743</v>
      </c>
    </row>
    <row r="190" spans="1:3" ht="12.75">
      <c r="A190" s="74" t="str">
        <f ca="1">IFERROR(VLOOKUP(C190,'DB_IMAGE UPLOAD'!$B$2:Z1000,5,0),"")</f>
        <v/>
      </c>
      <c r="C190" s="1" t="s">
        <v>4743</v>
      </c>
    </row>
    <row r="191" spans="1:3" ht="12.75">
      <c r="A191" s="74" t="str">
        <f ca="1">IFERROR(VLOOKUP(C191,'DB_IMAGE UPLOAD'!$B$2:Z1000,5,0),"")</f>
        <v/>
      </c>
      <c r="C191" s="1" t="s">
        <v>4743</v>
      </c>
    </row>
    <row r="192" spans="1:3" ht="12.75">
      <c r="A192" s="74" t="str">
        <f ca="1">IFERROR(VLOOKUP(C192,'DB_IMAGE UPLOAD'!$B$2:Z1000,5,0),"")</f>
        <v/>
      </c>
      <c r="C192" s="1" t="s">
        <v>4743</v>
      </c>
    </row>
    <row r="193" spans="1:3" ht="12.75">
      <c r="A193" s="74" t="str">
        <f ca="1">IFERROR(VLOOKUP(C193,'DB_IMAGE UPLOAD'!$B$2:Z1000,5,0),"")</f>
        <v/>
      </c>
      <c r="C193" s="1" t="s">
        <v>4743</v>
      </c>
    </row>
    <row r="194" spans="1:3" ht="12.75">
      <c r="A194" s="74" t="str">
        <f ca="1">IFERROR(VLOOKUP(C194,'DB_IMAGE UPLOAD'!$B$2:Z1000,5,0),"")</f>
        <v/>
      </c>
      <c r="C194" s="1" t="s">
        <v>4743</v>
      </c>
    </row>
    <row r="195" spans="1:3" ht="12.75">
      <c r="A195" s="74" t="str">
        <f ca="1">IFERROR(VLOOKUP(C195,'DB_IMAGE UPLOAD'!$B$2:Z1000,5,0),"")</f>
        <v/>
      </c>
      <c r="C195" s="1" t="s">
        <v>4743</v>
      </c>
    </row>
    <row r="196" spans="1:3" ht="12.75">
      <c r="A196" s="74" t="str">
        <f ca="1">IFERROR(VLOOKUP(C196,'DB_IMAGE UPLOAD'!$B$2:Z1000,5,0),"")</f>
        <v/>
      </c>
      <c r="C196" s="1" t="s">
        <v>4743</v>
      </c>
    </row>
    <row r="197" spans="1:3" ht="12.75">
      <c r="A197" s="74" t="str">
        <f ca="1">IFERROR(VLOOKUP(C197,'DB_IMAGE UPLOAD'!$B$2:Z1000,5,0),"")</f>
        <v/>
      </c>
      <c r="C197" s="1" t="s">
        <v>4743</v>
      </c>
    </row>
    <row r="198" spans="1:3" ht="12.75">
      <c r="A198" s="74" t="str">
        <f ca="1">IFERROR(VLOOKUP(C198,'DB_IMAGE UPLOAD'!$B$2:Z1000,5,0),"")</f>
        <v/>
      </c>
      <c r="C198" s="1" t="s">
        <v>4743</v>
      </c>
    </row>
    <row r="199" spans="1:3" ht="12.75">
      <c r="A199" s="74" t="str">
        <f ca="1">IFERROR(VLOOKUP(C199,'DB_IMAGE UPLOAD'!$B$2:Z1000,5,0),"")</f>
        <v/>
      </c>
      <c r="C199" s="1" t="s">
        <v>4743</v>
      </c>
    </row>
    <row r="200" spans="1:3" ht="12.75">
      <c r="A200" s="74" t="str">
        <f ca="1">IFERROR(VLOOKUP(C200,'DB_IMAGE UPLOAD'!$B$2:Z1000,5,0),"")</f>
        <v/>
      </c>
      <c r="C200" s="1" t="s">
        <v>4743</v>
      </c>
    </row>
    <row r="201" spans="1:3" ht="12.75">
      <c r="A201" s="74" t="str">
        <f ca="1">IFERROR(VLOOKUP(C201,'DB_IMAGE UPLOAD'!$B$2:Z1000,5,0),"")</f>
        <v/>
      </c>
      <c r="C201" s="1" t="s">
        <v>4743</v>
      </c>
    </row>
    <row r="202" spans="1:3" ht="12.75">
      <c r="A202" s="74" t="str">
        <f ca="1">IFERROR(VLOOKUP(C202,'DB_IMAGE UPLOAD'!$B$2:Z1000,5,0),"")</f>
        <v/>
      </c>
      <c r="C202" s="1" t="s">
        <v>4743</v>
      </c>
    </row>
    <row r="203" spans="1:3" ht="12.75">
      <c r="A203" s="74" t="str">
        <f ca="1">IFERROR(VLOOKUP(C203,'DB_IMAGE UPLOAD'!$B$2:Z1000,5,0),"")</f>
        <v/>
      </c>
      <c r="C203" s="1" t="s">
        <v>4743</v>
      </c>
    </row>
    <row r="204" spans="1:3" ht="12.75">
      <c r="A204" s="74" t="str">
        <f ca="1">IFERROR(VLOOKUP(C204,'DB_IMAGE UPLOAD'!$B$2:Z1000,5,0),"")</f>
        <v/>
      </c>
      <c r="C204" s="1" t="s">
        <v>4743</v>
      </c>
    </row>
    <row r="205" spans="1:3" ht="12.75">
      <c r="A205" s="74" t="str">
        <f ca="1">IFERROR(VLOOKUP(C205,'DB_IMAGE UPLOAD'!$B$2:Z1000,5,0),"")</f>
        <v/>
      </c>
      <c r="C205" s="1" t="s">
        <v>4743</v>
      </c>
    </row>
    <row r="206" spans="1:3" ht="12.75">
      <c r="A206" s="74" t="str">
        <f ca="1">IFERROR(VLOOKUP(C206,'DB_IMAGE UPLOAD'!$B$2:Z1000,5,0),"")</f>
        <v/>
      </c>
      <c r="C206" s="1" t="s">
        <v>4743</v>
      </c>
    </row>
    <row r="207" spans="1:3" ht="12.75">
      <c r="A207" s="74" t="str">
        <f ca="1">IFERROR(VLOOKUP(C207,'DB_IMAGE UPLOAD'!$B$2:Z1000,5,0),"")</f>
        <v/>
      </c>
      <c r="C207" s="1" t="s">
        <v>4743</v>
      </c>
    </row>
    <row r="208" spans="1:3" ht="12.75">
      <c r="A208" s="74" t="str">
        <f ca="1">IFERROR(VLOOKUP(C208,'DB_IMAGE UPLOAD'!$B$2:Z1000,5,0),"")</f>
        <v/>
      </c>
      <c r="C208" s="1" t="s">
        <v>4743</v>
      </c>
    </row>
    <row r="209" spans="1:3" ht="12.75">
      <c r="A209" s="74" t="str">
        <f ca="1">IFERROR(VLOOKUP(C209,'DB_IMAGE UPLOAD'!$B$2:Z1000,5,0),"")</f>
        <v/>
      </c>
      <c r="C209" s="1" t="s">
        <v>4743</v>
      </c>
    </row>
    <row r="210" spans="1:3" ht="12.75">
      <c r="A210" s="74" t="str">
        <f ca="1">IFERROR(VLOOKUP(C210,'DB_IMAGE UPLOAD'!$B$2:Z1000,5,0),"")</f>
        <v/>
      </c>
      <c r="C210" s="1" t="s">
        <v>4743</v>
      </c>
    </row>
    <row r="211" spans="1:3" ht="12.75">
      <c r="A211" s="74" t="str">
        <f ca="1">IFERROR(VLOOKUP(C211,'DB_IMAGE UPLOAD'!$B$2:Z1000,5,0),"")</f>
        <v/>
      </c>
      <c r="C211" s="1" t="s">
        <v>4743</v>
      </c>
    </row>
    <row r="212" spans="1:3" ht="12.75">
      <c r="A212" s="74" t="str">
        <f ca="1">IFERROR(VLOOKUP(C212,'DB_IMAGE UPLOAD'!$B$2:Z1000,5,0),"")</f>
        <v/>
      </c>
      <c r="C212" s="1" t="s">
        <v>4743</v>
      </c>
    </row>
    <row r="213" spans="1:3" ht="12.75">
      <c r="A213" s="74" t="str">
        <f ca="1">IFERROR(VLOOKUP(C213,'DB_IMAGE UPLOAD'!$B$2:Z1000,5,0),"")</f>
        <v/>
      </c>
      <c r="C213" s="1" t="s">
        <v>4743</v>
      </c>
    </row>
    <row r="214" spans="1:3" ht="12.75">
      <c r="A214" s="74" t="str">
        <f ca="1">IFERROR(VLOOKUP(C214,'DB_IMAGE UPLOAD'!$B$2:Z1000,5,0),"")</f>
        <v/>
      </c>
      <c r="C214" s="1" t="s">
        <v>4743</v>
      </c>
    </row>
    <row r="215" spans="1:3" ht="12.75">
      <c r="A215" s="74" t="str">
        <f ca="1">IFERROR(VLOOKUP(C215,'DB_IMAGE UPLOAD'!$B$2:Z1000,5,0),"")</f>
        <v/>
      </c>
      <c r="C215" s="1" t="s">
        <v>4743</v>
      </c>
    </row>
    <row r="216" spans="1:3" ht="12.75">
      <c r="A216" s="74" t="str">
        <f ca="1">IFERROR(VLOOKUP(C216,'DB_IMAGE UPLOAD'!$B$2:Z1000,5,0),"")</f>
        <v/>
      </c>
      <c r="C216" s="1" t="s">
        <v>4743</v>
      </c>
    </row>
    <row r="217" spans="1:3" ht="12.75">
      <c r="A217" s="74" t="str">
        <f ca="1">IFERROR(VLOOKUP(C217,'DB_IMAGE UPLOAD'!$B$2:Z1000,5,0),"")</f>
        <v/>
      </c>
      <c r="C217" s="1" t="s">
        <v>4743</v>
      </c>
    </row>
    <row r="218" spans="1:3" ht="12.75">
      <c r="A218" s="74" t="str">
        <f ca="1">IFERROR(VLOOKUP(C218,'DB_IMAGE UPLOAD'!$B$2:Z1000,5,0),"")</f>
        <v/>
      </c>
      <c r="C218" s="1" t="s">
        <v>4743</v>
      </c>
    </row>
    <row r="219" spans="1:3" ht="12.75">
      <c r="A219" s="74" t="str">
        <f ca="1">IFERROR(VLOOKUP(C219,'DB_IMAGE UPLOAD'!$B$2:Z1000,5,0),"")</f>
        <v/>
      </c>
      <c r="C219" s="1" t="s">
        <v>4743</v>
      </c>
    </row>
    <row r="220" spans="1:3" ht="12.75">
      <c r="A220" s="74" t="str">
        <f ca="1">IFERROR(VLOOKUP(C220,'DB_IMAGE UPLOAD'!$B$2:Z1000,5,0),"")</f>
        <v/>
      </c>
      <c r="C220" s="1" t="s">
        <v>4743</v>
      </c>
    </row>
    <row r="221" spans="1:3" ht="12.75">
      <c r="A221" s="74" t="str">
        <f ca="1">IFERROR(VLOOKUP(C221,'DB_IMAGE UPLOAD'!$B$2:Z1000,5,0),"")</f>
        <v/>
      </c>
      <c r="C221" s="1" t="s">
        <v>4743</v>
      </c>
    </row>
    <row r="222" spans="1:3" ht="12.75">
      <c r="A222" s="74" t="str">
        <f ca="1">IFERROR(VLOOKUP(C222,'DB_IMAGE UPLOAD'!$B$2:Z1000,5,0),"")</f>
        <v/>
      </c>
      <c r="C222" s="1" t="s">
        <v>4743</v>
      </c>
    </row>
    <row r="223" spans="1:3" ht="12.75">
      <c r="A223" s="74" t="str">
        <f ca="1">IFERROR(VLOOKUP(C223,'DB_IMAGE UPLOAD'!$B$2:Z1000,5,0),"")</f>
        <v/>
      </c>
      <c r="C223" s="1" t="s">
        <v>4743</v>
      </c>
    </row>
    <row r="224" spans="1:3" ht="12.75">
      <c r="A224" s="74" t="str">
        <f ca="1">IFERROR(VLOOKUP(C224,'DB_IMAGE UPLOAD'!$B$2:Z1000,5,0),"")</f>
        <v/>
      </c>
      <c r="C224" s="1" t="s">
        <v>4743</v>
      </c>
    </row>
    <row r="225" spans="1:3" ht="12.75">
      <c r="A225" s="74" t="str">
        <f ca="1">IFERROR(VLOOKUP(C225,'DB_IMAGE UPLOAD'!$B$2:Z1000,5,0),"")</f>
        <v/>
      </c>
      <c r="C225" s="1" t="s">
        <v>4743</v>
      </c>
    </row>
    <row r="226" spans="1:3" ht="12.75">
      <c r="A226" s="74" t="str">
        <f ca="1">IFERROR(VLOOKUP(C226,'DB_IMAGE UPLOAD'!$B$2:Z1000,5,0),"")</f>
        <v/>
      </c>
      <c r="C226" s="1" t="s">
        <v>4743</v>
      </c>
    </row>
    <row r="227" spans="1:3" ht="12.75">
      <c r="A227" s="74" t="str">
        <f ca="1">IFERROR(VLOOKUP(C227,'DB_IMAGE UPLOAD'!$B$2:Z1000,5,0),"")</f>
        <v/>
      </c>
      <c r="C227" s="1" t="s">
        <v>4743</v>
      </c>
    </row>
    <row r="228" spans="1:3" ht="12.75">
      <c r="A228" s="74" t="str">
        <f ca="1">IFERROR(VLOOKUP(C228,'DB_IMAGE UPLOAD'!$B$2:Z1000,5,0),"")</f>
        <v/>
      </c>
      <c r="C228" s="1" t="s">
        <v>4743</v>
      </c>
    </row>
    <row r="229" spans="1:3" ht="12.75">
      <c r="A229" s="74" t="str">
        <f ca="1">IFERROR(VLOOKUP(C229,'DB_IMAGE UPLOAD'!$B$2:Z1000,5,0),"")</f>
        <v/>
      </c>
      <c r="C229" s="1" t="s">
        <v>4743</v>
      </c>
    </row>
    <row r="230" spans="1:3" ht="12.75">
      <c r="A230" s="74" t="str">
        <f ca="1">IFERROR(VLOOKUP(C230,'DB_IMAGE UPLOAD'!$B$2:Z1000,5,0),"")</f>
        <v/>
      </c>
      <c r="C230" s="1" t="s">
        <v>4743</v>
      </c>
    </row>
    <row r="231" spans="1:3" ht="12.75">
      <c r="A231" s="74" t="str">
        <f ca="1">IFERROR(VLOOKUP(C231,'DB_IMAGE UPLOAD'!$B$2:Z1000,5,0),"")</f>
        <v/>
      </c>
      <c r="C231" s="1" t="s">
        <v>4743</v>
      </c>
    </row>
    <row r="232" spans="1:3" ht="12.75">
      <c r="A232" s="74" t="str">
        <f ca="1">IFERROR(VLOOKUP(C232,'DB_IMAGE UPLOAD'!$B$2:Z1000,5,0),"")</f>
        <v/>
      </c>
      <c r="C232" s="1" t="s">
        <v>4743</v>
      </c>
    </row>
    <row r="233" spans="1:3" ht="12.75">
      <c r="A233" s="74" t="str">
        <f ca="1">IFERROR(VLOOKUP(C233,'DB_IMAGE UPLOAD'!$B$2:Z1000,5,0),"")</f>
        <v/>
      </c>
      <c r="C233" s="1" t="s">
        <v>4743</v>
      </c>
    </row>
    <row r="234" spans="1:3" ht="12.75">
      <c r="A234" s="74" t="str">
        <f ca="1">IFERROR(VLOOKUP(C234,'DB_IMAGE UPLOAD'!$B$2:Z1000,5,0),"")</f>
        <v/>
      </c>
      <c r="C234" s="1" t="s">
        <v>4743</v>
      </c>
    </row>
    <row r="235" spans="1:3" ht="12.75">
      <c r="A235" s="74" t="str">
        <f ca="1">IFERROR(VLOOKUP(C235,'DB_IMAGE UPLOAD'!$B$2:Z1000,5,0),"")</f>
        <v/>
      </c>
      <c r="C235" s="1" t="s">
        <v>4743</v>
      </c>
    </row>
    <row r="236" spans="1:3" ht="12.75">
      <c r="A236" s="74" t="str">
        <f ca="1">IFERROR(VLOOKUP(C236,'DB_IMAGE UPLOAD'!$B$2:Z1000,5,0),"")</f>
        <v/>
      </c>
      <c r="C236" s="1" t="s">
        <v>4743</v>
      </c>
    </row>
    <row r="237" spans="1:3" ht="12.75">
      <c r="A237" s="74" t="str">
        <f ca="1">IFERROR(VLOOKUP(C237,'DB_IMAGE UPLOAD'!$B$2:Z1000,5,0),"")</f>
        <v/>
      </c>
      <c r="C237" s="1" t="s">
        <v>4743</v>
      </c>
    </row>
    <row r="238" spans="1:3" ht="12.75">
      <c r="A238" s="74" t="str">
        <f ca="1">IFERROR(VLOOKUP(C238,'DB_IMAGE UPLOAD'!$B$2:Z1000,5,0),"")</f>
        <v/>
      </c>
      <c r="C238" s="1" t="s">
        <v>4743</v>
      </c>
    </row>
    <row r="239" spans="1:3" ht="12.75">
      <c r="A239" s="74" t="str">
        <f ca="1">IFERROR(VLOOKUP(C239,'DB_IMAGE UPLOAD'!$B$2:Z1000,5,0),"")</f>
        <v/>
      </c>
      <c r="C239" s="1" t="s">
        <v>4743</v>
      </c>
    </row>
    <row r="240" spans="1:3" ht="12.75">
      <c r="A240" s="74" t="str">
        <f ca="1">IFERROR(VLOOKUP(C240,'DB_IMAGE UPLOAD'!$B$2:Z1000,5,0),"")</f>
        <v/>
      </c>
      <c r="C240" s="1" t="s">
        <v>4743</v>
      </c>
    </row>
    <row r="241" spans="1:3" ht="12.75">
      <c r="A241" s="74" t="str">
        <f ca="1">IFERROR(VLOOKUP(C241,'DB_IMAGE UPLOAD'!$B$2:Z1000,5,0),"")</f>
        <v/>
      </c>
      <c r="C241" s="1" t="s">
        <v>4743</v>
      </c>
    </row>
    <row r="242" spans="1:3" ht="12.75">
      <c r="A242" s="74" t="str">
        <f ca="1">IFERROR(VLOOKUP(C242,'DB_IMAGE UPLOAD'!$B$2:Z1000,5,0),"")</f>
        <v/>
      </c>
      <c r="C242" s="1" t="s">
        <v>4743</v>
      </c>
    </row>
    <row r="243" spans="1:3" ht="12.75">
      <c r="A243" s="74" t="str">
        <f ca="1">IFERROR(VLOOKUP(C243,'DB_IMAGE UPLOAD'!$B$2:Z1000,5,0),"")</f>
        <v/>
      </c>
      <c r="C243" s="1" t="s">
        <v>4743</v>
      </c>
    </row>
    <row r="244" spans="1:3" ht="12.75">
      <c r="A244" s="74" t="str">
        <f ca="1">IFERROR(VLOOKUP(C244,'DB_IMAGE UPLOAD'!$B$2:Z1000,5,0),"")</f>
        <v/>
      </c>
      <c r="C244" s="1" t="s">
        <v>4743</v>
      </c>
    </row>
    <row r="245" spans="1:3" ht="12.75">
      <c r="A245" s="74" t="str">
        <f ca="1">IFERROR(VLOOKUP(C245,'DB_IMAGE UPLOAD'!$B$2:Z1000,5,0),"")</f>
        <v/>
      </c>
      <c r="C245" s="1" t="s">
        <v>4743</v>
      </c>
    </row>
    <row r="246" spans="1:3" ht="12.75">
      <c r="A246" s="74" t="str">
        <f ca="1">IFERROR(VLOOKUP(C246,'DB_IMAGE UPLOAD'!$B$2:Z1000,5,0),"")</f>
        <v/>
      </c>
      <c r="C246" s="1" t="s">
        <v>4743</v>
      </c>
    </row>
    <row r="247" spans="1:3" ht="12.75">
      <c r="A247" s="74" t="str">
        <f ca="1">IFERROR(VLOOKUP(C247,'DB_IMAGE UPLOAD'!$B$2:Z1000,5,0),"")</f>
        <v/>
      </c>
      <c r="C247" s="1" t="s">
        <v>4743</v>
      </c>
    </row>
    <row r="248" spans="1:3" ht="12.75">
      <c r="A248" s="74" t="str">
        <f ca="1">IFERROR(VLOOKUP(C248,'DB_IMAGE UPLOAD'!$B$2:Z1000,5,0),"")</f>
        <v/>
      </c>
      <c r="C248" s="1" t="s">
        <v>4743</v>
      </c>
    </row>
    <row r="249" spans="1:3" ht="12.75">
      <c r="A249" s="74" t="str">
        <f ca="1">IFERROR(VLOOKUP(C249,'DB_IMAGE UPLOAD'!$B$2:Z1000,5,0),"")</f>
        <v/>
      </c>
      <c r="C249" s="1" t="s">
        <v>4743</v>
      </c>
    </row>
    <row r="250" spans="1:3" ht="12.75">
      <c r="A250" s="74" t="str">
        <f ca="1">IFERROR(VLOOKUP(C250,'DB_IMAGE UPLOAD'!$B$2:Z1000,5,0),"")</f>
        <v/>
      </c>
      <c r="C250" s="1" t="s">
        <v>4743</v>
      </c>
    </row>
    <row r="251" spans="1:3" ht="12.75">
      <c r="A251" s="74" t="str">
        <f ca="1">IFERROR(VLOOKUP(C251,'DB_IMAGE UPLOAD'!$B$2:Z1000,5,0),"")</f>
        <v/>
      </c>
      <c r="C251" s="1" t="s">
        <v>4743</v>
      </c>
    </row>
    <row r="252" spans="1:3" ht="12.75">
      <c r="A252" s="74" t="str">
        <f ca="1">IFERROR(VLOOKUP(C252,'DB_IMAGE UPLOAD'!$B$2:Z1000,5,0),"")</f>
        <v/>
      </c>
      <c r="C252" s="1" t="s">
        <v>4743</v>
      </c>
    </row>
    <row r="253" spans="1:3" ht="12.75">
      <c r="A253" s="74" t="str">
        <f ca="1">IFERROR(VLOOKUP(C253,'DB_IMAGE UPLOAD'!$B$2:Z1000,5,0),"")</f>
        <v/>
      </c>
      <c r="C253" s="1" t="s">
        <v>4743</v>
      </c>
    </row>
    <row r="254" spans="1:3" ht="12.75">
      <c r="A254" s="74" t="str">
        <f ca="1">IFERROR(VLOOKUP(C254,'DB_IMAGE UPLOAD'!$B$2:Z1000,5,0),"")</f>
        <v/>
      </c>
      <c r="C254" s="1" t="s">
        <v>4743</v>
      </c>
    </row>
    <row r="255" spans="1:3" ht="12.75">
      <c r="A255" s="74" t="str">
        <f ca="1">IFERROR(VLOOKUP(C255,'DB_IMAGE UPLOAD'!$B$2:Z1000,5,0),"")</f>
        <v/>
      </c>
      <c r="C255" s="1" t="s">
        <v>4743</v>
      </c>
    </row>
    <row r="256" spans="1:3" ht="12.75">
      <c r="A256" s="74" t="str">
        <f ca="1">IFERROR(VLOOKUP(C256,'DB_IMAGE UPLOAD'!$B$2:Z1000,5,0),"")</f>
        <v/>
      </c>
      <c r="C256" s="1" t="s">
        <v>4743</v>
      </c>
    </row>
    <row r="257" spans="1:3" ht="12.75">
      <c r="A257" s="74" t="str">
        <f ca="1">IFERROR(VLOOKUP(C257,'DB_IMAGE UPLOAD'!$B$2:Z1000,5,0),"")</f>
        <v/>
      </c>
      <c r="C257" s="1" t="s">
        <v>4743</v>
      </c>
    </row>
    <row r="258" spans="1:3" ht="12.75">
      <c r="A258" s="74" t="str">
        <f ca="1">IFERROR(VLOOKUP(C258,'DB_IMAGE UPLOAD'!$B$2:Z1000,5,0),"")</f>
        <v/>
      </c>
      <c r="C258" s="1" t="s">
        <v>4743</v>
      </c>
    </row>
    <row r="259" spans="1:3" ht="12.75">
      <c r="A259" s="74" t="str">
        <f ca="1">IFERROR(VLOOKUP(C259,'DB_IMAGE UPLOAD'!$B$2:Z1000,5,0),"")</f>
        <v/>
      </c>
      <c r="C259" s="1" t="s">
        <v>4743</v>
      </c>
    </row>
    <row r="260" spans="1:3" ht="12.75">
      <c r="A260" s="74" t="str">
        <f ca="1">IFERROR(VLOOKUP(C260,'DB_IMAGE UPLOAD'!$B$2:Z1000,5,0),"")</f>
        <v/>
      </c>
      <c r="C260" s="1" t="s">
        <v>4743</v>
      </c>
    </row>
    <row r="261" spans="1:3" ht="12.75">
      <c r="A261" s="74" t="str">
        <f ca="1">IFERROR(VLOOKUP(C261,'DB_IMAGE UPLOAD'!$B$2:Z1000,5,0),"")</f>
        <v/>
      </c>
      <c r="C261" s="1" t="s">
        <v>4743</v>
      </c>
    </row>
    <row r="262" spans="1:3" ht="12.75">
      <c r="A262" s="74" t="str">
        <f ca="1">IFERROR(VLOOKUP(C262,'DB_IMAGE UPLOAD'!$B$2:Z1000,5,0),"")</f>
        <v/>
      </c>
      <c r="C262" s="1" t="s">
        <v>4743</v>
      </c>
    </row>
    <row r="263" spans="1:3" ht="12.75">
      <c r="A263" s="74" t="str">
        <f ca="1">IFERROR(VLOOKUP(C263,'DB_IMAGE UPLOAD'!$B$2:Z1000,5,0),"")</f>
        <v/>
      </c>
      <c r="C263" s="1" t="s">
        <v>4743</v>
      </c>
    </row>
    <row r="264" spans="1:3" ht="12.75">
      <c r="A264" s="74" t="str">
        <f ca="1">IFERROR(VLOOKUP(C264,'DB_IMAGE UPLOAD'!$B$2:Z1000,5,0),"")</f>
        <v/>
      </c>
      <c r="C264" s="1" t="s">
        <v>4743</v>
      </c>
    </row>
    <row r="265" spans="1:3" ht="12.75">
      <c r="A265" s="74" t="str">
        <f ca="1">IFERROR(VLOOKUP(C265,'DB_IMAGE UPLOAD'!$B$2:Z1000,5,0),"")</f>
        <v/>
      </c>
      <c r="C265" s="1" t="s">
        <v>4743</v>
      </c>
    </row>
    <row r="266" spans="1:3" ht="12.75">
      <c r="A266" s="74" t="str">
        <f ca="1">IFERROR(VLOOKUP(C266,'DB_IMAGE UPLOAD'!$B$2:Z1000,5,0),"")</f>
        <v/>
      </c>
      <c r="C266" s="1" t="s">
        <v>4743</v>
      </c>
    </row>
    <row r="267" spans="1:3" ht="12.75">
      <c r="A267" s="74" t="str">
        <f ca="1">IFERROR(VLOOKUP(C267,'DB_IMAGE UPLOAD'!$B$2:Z1000,5,0),"")</f>
        <v/>
      </c>
      <c r="C267" s="1" t="s">
        <v>4743</v>
      </c>
    </row>
    <row r="268" spans="1:3" ht="12.75">
      <c r="A268" s="74" t="str">
        <f ca="1">IFERROR(VLOOKUP(C268,'DB_IMAGE UPLOAD'!$B$2:Z1000,5,0),"")</f>
        <v/>
      </c>
      <c r="C268" s="1" t="s">
        <v>4743</v>
      </c>
    </row>
    <row r="269" spans="1:3" ht="12.75">
      <c r="A269" s="74" t="str">
        <f ca="1">IFERROR(VLOOKUP(C269,'DB_IMAGE UPLOAD'!$B$2:Z1000,5,0),"")</f>
        <v/>
      </c>
      <c r="C269" s="1" t="s">
        <v>4743</v>
      </c>
    </row>
    <row r="270" spans="1:3" ht="12.75">
      <c r="A270" s="74" t="str">
        <f ca="1">IFERROR(VLOOKUP(C270,'DB_IMAGE UPLOAD'!$B$2:Z1000,5,0),"")</f>
        <v/>
      </c>
      <c r="C270" s="1" t="s">
        <v>4743</v>
      </c>
    </row>
    <row r="271" spans="1:3" ht="12.75">
      <c r="A271" s="74" t="str">
        <f ca="1">IFERROR(VLOOKUP(C271,'DB_IMAGE UPLOAD'!$B$2:Z1000,5,0),"")</f>
        <v/>
      </c>
      <c r="C271" s="1" t="s">
        <v>4743</v>
      </c>
    </row>
    <row r="272" spans="1:3" ht="12.75">
      <c r="A272" s="74" t="str">
        <f ca="1">IFERROR(VLOOKUP(C272,'DB_IMAGE UPLOAD'!$B$2:Z1000,5,0),"")</f>
        <v/>
      </c>
      <c r="C272" s="1" t="s">
        <v>4743</v>
      </c>
    </row>
    <row r="273" spans="1:3" ht="12.75">
      <c r="A273" s="74" t="str">
        <f ca="1">IFERROR(VLOOKUP(C273,'DB_IMAGE UPLOAD'!$B$2:Z1000,5,0),"")</f>
        <v/>
      </c>
      <c r="C273" s="1" t="s">
        <v>4743</v>
      </c>
    </row>
    <row r="274" spans="1:3" ht="12.75">
      <c r="A274" s="74" t="str">
        <f ca="1">IFERROR(VLOOKUP(C274,'DB_IMAGE UPLOAD'!$B$2:Z1000,5,0),"")</f>
        <v/>
      </c>
      <c r="C274" s="1" t="s">
        <v>4743</v>
      </c>
    </row>
    <row r="275" spans="1:3" ht="12.75">
      <c r="A275" s="74" t="str">
        <f ca="1">IFERROR(VLOOKUP(C275,'DB_IMAGE UPLOAD'!$B$2:Z1000,5,0),"")</f>
        <v/>
      </c>
      <c r="C275" s="1" t="s">
        <v>4743</v>
      </c>
    </row>
    <row r="276" spans="1:3" ht="12.75">
      <c r="A276" s="74" t="str">
        <f ca="1">IFERROR(VLOOKUP(C276,'DB_IMAGE UPLOAD'!$B$2:Z1000,5,0),"")</f>
        <v/>
      </c>
      <c r="C276" s="1" t="s">
        <v>4743</v>
      </c>
    </row>
    <row r="277" spans="1:3" ht="12.75">
      <c r="A277" s="74" t="str">
        <f ca="1">IFERROR(VLOOKUP(C277,'DB_IMAGE UPLOAD'!$B$2:Z1000,5,0),"")</f>
        <v/>
      </c>
      <c r="C277" s="1" t="s">
        <v>4743</v>
      </c>
    </row>
    <row r="278" spans="1:3" ht="12.75">
      <c r="A278" s="74" t="str">
        <f ca="1">IFERROR(VLOOKUP(C278,'DB_IMAGE UPLOAD'!$B$2:Z1000,5,0),"")</f>
        <v/>
      </c>
      <c r="C278" s="1" t="s">
        <v>4743</v>
      </c>
    </row>
    <row r="279" spans="1:3" ht="12.75">
      <c r="A279" s="74" t="str">
        <f ca="1">IFERROR(VLOOKUP(C279,'DB_IMAGE UPLOAD'!$B$2:Z1000,5,0),"")</f>
        <v/>
      </c>
      <c r="C279" s="1" t="s">
        <v>4743</v>
      </c>
    </row>
    <row r="280" spans="1:3" ht="12.75">
      <c r="A280" s="74" t="str">
        <f ca="1">IFERROR(VLOOKUP(C280,'DB_IMAGE UPLOAD'!$B$2:Z1000,5,0),"")</f>
        <v/>
      </c>
      <c r="C280" s="1" t="s">
        <v>4743</v>
      </c>
    </row>
    <row r="281" spans="1:3" ht="12.75">
      <c r="A281" s="74" t="str">
        <f ca="1">IFERROR(VLOOKUP(C281,'DB_IMAGE UPLOAD'!$B$2:Z1000,5,0),"")</f>
        <v/>
      </c>
      <c r="C281" s="1" t="s">
        <v>4743</v>
      </c>
    </row>
    <row r="282" spans="1:3" ht="12.75">
      <c r="A282" s="74" t="str">
        <f ca="1">IFERROR(VLOOKUP(C282,'DB_IMAGE UPLOAD'!$B$2:Z1000,5,0),"")</f>
        <v/>
      </c>
      <c r="C282" s="1" t="s">
        <v>4743</v>
      </c>
    </row>
    <row r="283" spans="1:3" ht="12.75">
      <c r="A283" s="74" t="str">
        <f ca="1">IFERROR(VLOOKUP(C283,'DB_IMAGE UPLOAD'!$B$2:Z1000,5,0),"")</f>
        <v/>
      </c>
      <c r="C283" s="1" t="s">
        <v>4743</v>
      </c>
    </row>
    <row r="284" spans="1:3" ht="12.75">
      <c r="A284" s="74" t="str">
        <f ca="1">IFERROR(VLOOKUP(C284,'DB_IMAGE UPLOAD'!$B$2:Z1000,5,0),"")</f>
        <v/>
      </c>
      <c r="C284" s="1" t="s">
        <v>4743</v>
      </c>
    </row>
    <row r="285" spans="1:3" ht="12.75">
      <c r="A285" s="74" t="str">
        <f ca="1">IFERROR(VLOOKUP(C285,'DB_IMAGE UPLOAD'!$B$2:Z1000,5,0),"")</f>
        <v/>
      </c>
      <c r="C285" s="1" t="s">
        <v>4743</v>
      </c>
    </row>
    <row r="286" spans="1:3" ht="12.75">
      <c r="A286" s="74" t="str">
        <f ca="1">IFERROR(VLOOKUP(C286,'DB_IMAGE UPLOAD'!$B$2:Z1000,5,0),"")</f>
        <v/>
      </c>
      <c r="C286" s="1" t="s">
        <v>4743</v>
      </c>
    </row>
    <row r="287" spans="1:3" ht="12.75">
      <c r="A287" s="74" t="str">
        <f ca="1">IFERROR(VLOOKUP(C287,'DB_IMAGE UPLOAD'!$B$2:Z1000,5,0),"")</f>
        <v/>
      </c>
      <c r="C287" s="1" t="s">
        <v>4743</v>
      </c>
    </row>
    <row r="288" spans="1:3" ht="12.75">
      <c r="A288" s="74" t="str">
        <f ca="1">IFERROR(VLOOKUP(C288,'DB_IMAGE UPLOAD'!$B$2:Z1000,5,0),"")</f>
        <v/>
      </c>
      <c r="C288" s="1" t="s">
        <v>4743</v>
      </c>
    </row>
    <row r="289" spans="1:3" ht="12.75">
      <c r="A289" s="74" t="str">
        <f ca="1">IFERROR(VLOOKUP(C289,'DB_IMAGE UPLOAD'!$B$2:Z1000,5,0),"")</f>
        <v/>
      </c>
      <c r="C289" s="1" t="s">
        <v>4743</v>
      </c>
    </row>
    <row r="290" spans="1:3" ht="12.75">
      <c r="A290" s="74" t="str">
        <f ca="1">IFERROR(VLOOKUP(C290,'DB_IMAGE UPLOAD'!$B$2:Z1000,5,0),"")</f>
        <v/>
      </c>
      <c r="C290" s="1" t="s">
        <v>4743</v>
      </c>
    </row>
    <row r="291" spans="1:3" ht="12.75">
      <c r="A291" s="74" t="str">
        <f ca="1">IFERROR(VLOOKUP(C291,'DB_IMAGE UPLOAD'!$B$2:Z1000,5,0),"")</f>
        <v/>
      </c>
      <c r="C291" s="1" t="s">
        <v>4743</v>
      </c>
    </row>
    <row r="292" spans="1:3" ht="12.75">
      <c r="A292" s="74" t="str">
        <f ca="1">IFERROR(VLOOKUP(C292,'DB_IMAGE UPLOAD'!$B$2:Z1000,5,0),"")</f>
        <v/>
      </c>
      <c r="C292" s="1" t="s">
        <v>4743</v>
      </c>
    </row>
    <row r="293" spans="1:3" ht="12.75">
      <c r="A293" s="74" t="str">
        <f ca="1">IFERROR(VLOOKUP(C293,'DB_IMAGE UPLOAD'!$B$2:Z1000,5,0),"")</f>
        <v/>
      </c>
      <c r="C293" s="1" t="s">
        <v>4743</v>
      </c>
    </row>
    <row r="294" spans="1:3" ht="12.75">
      <c r="A294" s="74" t="str">
        <f ca="1">IFERROR(VLOOKUP(C294,'DB_IMAGE UPLOAD'!$B$2:Z1000,5,0),"")</f>
        <v/>
      </c>
      <c r="C294" s="1" t="s">
        <v>4743</v>
      </c>
    </row>
    <row r="295" spans="1:3" ht="12.75">
      <c r="A295" s="74" t="str">
        <f ca="1">IFERROR(VLOOKUP(C295,'DB_IMAGE UPLOAD'!$B$2:Z1000,5,0),"")</f>
        <v/>
      </c>
      <c r="C295" s="1" t="s">
        <v>4743</v>
      </c>
    </row>
    <row r="296" spans="1:3" ht="12.75">
      <c r="A296" s="74" t="str">
        <f ca="1">IFERROR(VLOOKUP(C296,'DB_IMAGE UPLOAD'!$B$2:Z1000,5,0),"")</f>
        <v/>
      </c>
      <c r="C296" s="1" t="s">
        <v>4743</v>
      </c>
    </row>
    <row r="297" spans="1:3" ht="12.75">
      <c r="A297" s="74" t="str">
        <f ca="1">IFERROR(VLOOKUP(C297,'DB_IMAGE UPLOAD'!$B$2:Z1000,5,0),"")</f>
        <v/>
      </c>
      <c r="C297" s="1" t="s">
        <v>4743</v>
      </c>
    </row>
    <row r="298" spans="1:3" ht="12.75">
      <c r="A298" s="74" t="str">
        <f ca="1">IFERROR(VLOOKUP(C298,'DB_IMAGE UPLOAD'!$B$2:Z1000,5,0),"")</f>
        <v/>
      </c>
      <c r="C298" s="1" t="s">
        <v>4743</v>
      </c>
    </row>
    <row r="299" spans="1:3" ht="12.75">
      <c r="A299" s="74" t="str">
        <f ca="1">IFERROR(VLOOKUP(C299,'DB_IMAGE UPLOAD'!$B$2:Z1000,5,0),"")</f>
        <v/>
      </c>
      <c r="C299" s="1" t="s">
        <v>4743</v>
      </c>
    </row>
    <row r="300" spans="1:3" ht="12.75">
      <c r="A300" s="74" t="str">
        <f ca="1">IFERROR(VLOOKUP(C300,'DB_IMAGE UPLOAD'!$B$2:Z1000,5,0),"")</f>
        <v/>
      </c>
      <c r="C300" s="1" t="s">
        <v>4743</v>
      </c>
    </row>
    <row r="301" spans="1:3" ht="12.75">
      <c r="A301" s="74" t="str">
        <f ca="1">IFERROR(VLOOKUP(C301,'DB_IMAGE UPLOAD'!$B$2:Z1000,5,0),"")</f>
        <v/>
      </c>
      <c r="C301" s="1" t="s">
        <v>4743</v>
      </c>
    </row>
    <row r="302" spans="1:3" ht="12.75">
      <c r="A302" s="74" t="str">
        <f ca="1">IFERROR(VLOOKUP(C302,'DB_IMAGE UPLOAD'!$B$2:Z1000,5,0),"")</f>
        <v/>
      </c>
      <c r="C302" s="1" t="s">
        <v>4743</v>
      </c>
    </row>
    <row r="303" spans="1:3" ht="12.75">
      <c r="A303" s="74" t="str">
        <f ca="1">IFERROR(VLOOKUP(C303,'DB_IMAGE UPLOAD'!$B$2:Z1000,5,0),"")</f>
        <v/>
      </c>
      <c r="C303" s="1" t="s">
        <v>4743</v>
      </c>
    </row>
    <row r="304" spans="1:3" ht="12.75">
      <c r="A304" s="74" t="str">
        <f ca="1">IFERROR(VLOOKUP(C304,'DB_IMAGE UPLOAD'!$B$2:Z1000,5,0),"")</f>
        <v/>
      </c>
      <c r="C304" s="1" t="s">
        <v>4743</v>
      </c>
    </row>
    <row r="305" spans="1:3" ht="12.75">
      <c r="A305" s="74" t="str">
        <f ca="1">IFERROR(VLOOKUP(C305,'DB_IMAGE UPLOAD'!$B$2:Z1000,5,0),"")</f>
        <v/>
      </c>
      <c r="C305" s="1" t="s">
        <v>4743</v>
      </c>
    </row>
    <row r="306" spans="1:3" ht="12.75">
      <c r="A306" s="74" t="str">
        <f ca="1">IFERROR(VLOOKUP(C306,'DB_IMAGE UPLOAD'!$B$2:Z1000,5,0),"")</f>
        <v/>
      </c>
      <c r="C306" s="1" t="s">
        <v>4743</v>
      </c>
    </row>
    <row r="307" spans="1:3" ht="12.75">
      <c r="A307" s="74" t="str">
        <f ca="1">IFERROR(VLOOKUP(C307,'DB_IMAGE UPLOAD'!$B$2:Z1000,5,0),"")</f>
        <v/>
      </c>
      <c r="C307" s="1" t="s">
        <v>4743</v>
      </c>
    </row>
    <row r="308" spans="1:3" ht="12.75">
      <c r="A308" s="74" t="str">
        <f ca="1">IFERROR(VLOOKUP(C308,'DB_IMAGE UPLOAD'!$B$2:Z1000,5,0),"")</f>
        <v/>
      </c>
      <c r="C308" s="1" t="s">
        <v>4743</v>
      </c>
    </row>
    <row r="309" spans="1:3" ht="12.75">
      <c r="A309" s="74" t="str">
        <f ca="1">IFERROR(VLOOKUP(C309,'DB_IMAGE UPLOAD'!$B$2:Z1000,5,0),"")</f>
        <v/>
      </c>
      <c r="C309" s="1" t="s">
        <v>4743</v>
      </c>
    </row>
    <row r="310" spans="1:3" ht="12.75">
      <c r="A310" s="74" t="str">
        <f ca="1">IFERROR(VLOOKUP(C310,'DB_IMAGE UPLOAD'!$B$2:Z1000,5,0),"")</f>
        <v/>
      </c>
      <c r="C310" s="1" t="s">
        <v>4743</v>
      </c>
    </row>
    <row r="311" spans="1:3" ht="12.75">
      <c r="A311" s="74" t="str">
        <f ca="1">IFERROR(VLOOKUP(C311,'DB_IMAGE UPLOAD'!$B$2:Z1000,5,0),"")</f>
        <v/>
      </c>
      <c r="C311" s="1" t="s">
        <v>4743</v>
      </c>
    </row>
    <row r="312" spans="1:3" ht="12.75">
      <c r="A312" s="74" t="str">
        <f ca="1">IFERROR(VLOOKUP(C312,'DB_IMAGE UPLOAD'!$B$2:Z1000,5,0),"")</f>
        <v/>
      </c>
      <c r="C312" s="1" t="s">
        <v>4743</v>
      </c>
    </row>
    <row r="313" spans="1:3" ht="12.75">
      <c r="A313" s="74" t="str">
        <f ca="1">IFERROR(VLOOKUP(C313,'DB_IMAGE UPLOAD'!$B$2:Z1000,5,0),"")</f>
        <v/>
      </c>
      <c r="C313" s="1" t="s">
        <v>4743</v>
      </c>
    </row>
    <row r="314" spans="1:3" ht="12.75">
      <c r="A314" s="74" t="str">
        <f ca="1">IFERROR(VLOOKUP(C314,'DB_IMAGE UPLOAD'!$B$2:Z1000,5,0),"")</f>
        <v/>
      </c>
      <c r="C314" s="1" t="s">
        <v>4743</v>
      </c>
    </row>
    <row r="315" spans="1:3" ht="12.75">
      <c r="A315" s="74" t="str">
        <f ca="1">IFERROR(VLOOKUP(C315,'DB_IMAGE UPLOAD'!$B$2:Z1000,5,0),"")</f>
        <v/>
      </c>
      <c r="C315" s="1" t="s">
        <v>4743</v>
      </c>
    </row>
    <row r="316" spans="1:3" ht="12.75">
      <c r="A316" s="74" t="str">
        <f ca="1">IFERROR(VLOOKUP(C316,'DB_IMAGE UPLOAD'!$B$2:Z1000,5,0),"")</f>
        <v/>
      </c>
      <c r="C316" s="1" t="s">
        <v>4743</v>
      </c>
    </row>
    <row r="317" spans="1:3" ht="12.75">
      <c r="A317" s="74" t="str">
        <f ca="1">IFERROR(VLOOKUP(C317,'DB_IMAGE UPLOAD'!$B$2:Z1000,5,0),"")</f>
        <v/>
      </c>
      <c r="C317" s="1" t="s">
        <v>4743</v>
      </c>
    </row>
    <row r="318" spans="1:3" ht="12.75">
      <c r="A318" s="74" t="str">
        <f ca="1">IFERROR(VLOOKUP(C318,'DB_IMAGE UPLOAD'!$B$2:Z1000,5,0),"")</f>
        <v/>
      </c>
      <c r="C318" s="1" t="s">
        <v>4743</v>
      </c>
    </row>
    <row r="319" spans="1:3" ht="12.75">
      <c r="A319" s="74" t="str">
        <f ca="1">IFERROR(VLOOKUP(C319,'DB_IMAGE UPLOAD'!$B$2:Z1000,5,0),"")</f>
        <v/>
      </c>
      <c r="C319" s="1" t="s">
        <v>4743</v>
      </c>
    </row>
    <row r="320" spans="1:3" ht="12.75">
      <c r="A320" s="74" t="str">
        <f ca="1">IFERROR(VLOOKUP(C320,'DB_IMAGE UPLOAD'!$B$2:Z1000,5,0),"")</f>
        <v/>
      </c>
      <c r="C320" s="1" t="s">
        <v>4743</v>
      </c>
    </row>
    <row r="321" spans="1:3" ht="12.75">
      <c r="A321" s="74" t="str">
        <f ca="1">IFERROR(VLOOKUP(C321,'DB_IMAGE UPLOAD'!$B$2:Z1000,5,0),"")</f>
        <v/>
      </c>
      <c r="C321" s="1" t="s">
        <v>4743</v>
      </c>
    </row>
    <row r="322" spans="1:3" ht="12.75">
      <c r="A322" s="74" t="str">
        <f ca="1">IFERROR(VLOOKUP(C322,'DB_IMAGE UPLOAD'!$B$2:Z1000,5,0),"")</f>
        <v/>
      </c>
      <c r="C322" s="1" t="s">
        <v>4743</v>
      </c>
    </row>
    <row r="323" spans="1:3" ht="12.75">
      <c r="A323" s="74" t="str">
        <f ca="1">IFERROR(VLOOKUP(C323,'DB_IMAGE UPLOAD'!$B$2:Z1000,5,0),"")</f>
        <v/>
      </c>
      <c r="C323" s="1" t="s">
        <v>4743</v>
      </c>
    </row>
    <row r="324" spans="1:3" ht="12.75">
      <c r="A324" s="74" t="str">
        <f ca="1">IFERROR(VLOOKUP(C324,'DB_IMAGE UPLOAD'!$B$2:Z1000,5,0),"")</f>
        <v/>
      </c>
      <c r="C324" s="1" t="s">
        <v>4743</v>
      </c>
    </row>
    <row r="325" spans="1:3" ht="12.75">
      <c r="A325" s="74" t="str">
        <f ca="1">IFERROR(VLOOKUP(C325,'DB_IMAGE UPLOAD'!$B$2:Z1000,5,0),"")</f>
        <v/>
      </c>
      <c r="C325" s="1" t="s">
        <v>4743</v>
      </c>
    </row>
    <row r="326" spans="1:3" ht="12.75">
      <c r="A326" s="74" t="str">
        <f ca="1">IFERROR(VLOOKUP(C326,'DB_IMAGE UPLOAD'!$B$2:Z1000,5,0),"")</f>
        <v/>
      </c>
      <c r="C326" s="1" t="s">
        <v>4743</v>
      </c>
    </row>
    <row r="327" spans="1:3" ht="12.75">
      <c r="A327" s="74" t="str">
        <f ca="1">IFERROR(VLOOKUP(C327,'DB_IMAGE UPLOAD'!$B$2:Z1000,5,0),"")</f>
        <v/>
      </c>
      <c r="C327" s="1" t="s">
        <v>4743</v>
      </c>
    </row>
    <row r="328" spans="1:3" ht="12.75">
      <c r="A328" s="74" t="str">
        <f ca="1">IFERROR(VLOOKUP(C328,'DB_IMAGE UPLOAD'!$B$2:Z1000,5,0),"")</f>
        <v/>
      </c>
      <c r="C328" s="1" t="s">
        <v>4743</v>
      </c>
    </row>
    <row r="329" spans="1:3" ht="12.75">
      <c r="A329" s="74" t="str">
        <f ca="1">IFERROR(VLOOKUP(C329,'DB_IMAGE UPLOAD'!$B$2:Z1000,5,0),"")</f>
        <v/>
      </c>
      <c r="C329" s="1" t="s">
        <v>4743</v>
      </c>
    </row>
    <row r="330" spans="1:3" ht="12.75">
      <c r="A330" s="74" t="str">
        <f ca="1">IFERROR(VLOOKUP(C330,'DB_IMAGE UPLOAD'!$B$2:Z1000,5,0),"")</f>
        <v/>
      </c>
      <c r="C330" s="1" t="s">
        <v>4743</v>
      </c>
    </row>
    <row r="331" spans="1:3" ht="12.75">
      <c r="A331" s="74" t="str">
        <f ca="1">IFERROR(VLOOKUP(C331,'DB_IMAGE UPLOAD'!$B$2:Z1000,5,0),"")</f>
        <v/>
      </c>
      <c r="C331" s="1" t="s">
        <v>4743</v>
      </c>
    </row>
    <row r="332" spans="1:3" ht="12.75">
      <c r="A332" s="74" t="str">
        <f ca="1">IFERROR(VLOOKUP(C332,'DB_IMAGE UPLOAD'!$B$2:Z1000,5,0),"")</f>
        <v/>
      </c>
      <c r="C332" s="1" t="s">
        <v>4743</v>
      </c>
    </row>
    <row r="333" spans="1:3" ht="12.75">
      <c r="A333" s="74" t="str">
        <f ca="1">IFERROR(VLOOKUP(C333,'DB_IMAGE UPLOAD'!$B$2:Z1000,5,0),"")</f>
        <v/>
      </c>
      <c r="C333" s="1" t="s">
        <v>4743</v>
      </c>
    </row>
    <row r="334" spans="1:3" ht="12.75">
      <c r="A334" s="74" t="str">
        <f ca="1">IFERROR(VLOOKUP(C334,'DB_IMAGE UPLOAD'!$B$2:Z1000,5,0),"")</f>
        <v/>
      </c>
      <c r="C334" s="1" t="s">
        <v>4743</v>
      </c>
    </row>
    <row r="335" spans="1:3" ht="12.75">
      <c r="A335" s="74" t="str">
        <f ca="1">IFERROR(VLOOKUP(C335,'DB_IMAGE UPLOAD'!$B$2:Z1000,5,0),"")</f>
        <v/>
      </c>
      <c r="C335" s="1" t="s">
        <v>4743</v>
      </c>
    </row>
    <row r="336" spans="1:3" ht="12.75">
      <c r="A336" s="74" t="str">
        <f ca="1">IFERROR(VLOOKUP(C336,'DB_IMAGE UPLOAD'!$B$2:Z1000,5,0),"")</f>
        <v/>
      </c>
      <c r="C336" s="1" t="s">
        <v>4743</v>
      </c>
    </row>
    <row r="337" spans="1:3" ht="12.75">
      <c r="A337" s="74" t="str">
        <f ca="1">IFERROR(VLOOKUP(C337,'DB_IMAGE UPLOAD'!$B$2:Z1000,5,0),"")</f>
        <v/>
      </c>
      <c r="C337" s="1" t="s">
        <v>4743</v>
      </c>
    </row>
    <row r="338" spans="1:3" ht="12.75">
      <c r="A338" s="74" t="str">
        <f ca="1">IFERROR(VLOOKUP(C338,'DB_IMAGE UPLOAD'!$B$2:Z1000,5,0),"")</f>
        <v/>
      </c>
      <c r="C338" s="1" t="s">
        <v>4743</v>
      </c>
    </row>
    <row r="339" spans="1:3" ht="12.75">
      <c r="A339" s="74" t="str">
        <f ca="1">IFERROR(VLOOKUP(C339,'DB_IMAGE UPLOAD'!$B$2:Z1000,5,0),"")</f>
        <v/>
      </c>
      <c r="C339" s="1" t="s">
        <v>4743</v>
      </c>
    </row>
    <row r="340" spans="1:3" ht="12.75">
      <c r="A340" s="74" t="str">
        <f ca="1">IFERROR(VLOOKUP(C340,'DB_IMAGE UPLOAD'!$B$2:Z1000,5,0),"")</f>
        <v/>
      </c>
      <c r="C340" s="1" t="s">
        <v>4743</v>
      </c>
    </row>
    <row r="341" spans="1:3" ht="12.75">
      <c r="A341" s="74" t="str">
        <f ca="1">IFERROR(VLOOKUP(C341,'DB_IMAGE UPLOAD'!$B$2:Z1000,5,0),"")</f>
        <v/>
      </c>
      <c r="C341" s="1" t="s">
        <v>4743</v>
      </c>
    </row>
    <row r="342" spans="1:3" ht="12.75">
      <c r="A342" s="74" t="str">
        <f ca="1">IFERROR(VLOOKUP(C342,'DB_IMAGE UPLOAD'!$B$2:Z1000,5,0),"")</f>
        <v/>
      </c>
      <c r="C342" s="1" t="s">
        <v>4743</v>
      </c>
    </row>
    <row r="343" spans="1:3" ht="12.75">
      <c r="A343" s="74" t="str">
        <f ca="1">IFERROR(VLOOKUP(C343,'DB_IMAGE UPLOAD'!$B$2:Z1000,5,0),"")</f>
        <v/>
      </c>
      <c r="C343" s="1" t="s">
        <v>4743</v>
      </c>
    </row>
    <row r="344" spans="1:3" ht="12.75">
      <c r="A344" s="74" t="str">
        <f ca="1">IFERROR(VLOOKUP(C344,'DB_IMAGE UPLOAD'!$B$2:Z1000,5,0),"")</f>
        <v/>
      </c>
      <c r="C344" s="1" t="s">
        <v>4743</v>
      </c>
    </row>
    <row r="345" spans="1:3" ht="12.75">
      <c r="A345" s="74" t="str">
        <f ca="1">IFERROR(VLOOKUP(C345,'DB_IMAGE UPLOAD'!$B$2:Z1000,5,0),"")</f>
        <v/>
      </c>
      <c r="C345" s="1" t="s">
        <v>4743</v>
      </c>
    </row>
    <row r="346" spans="1:3" ht="12.75">
      <c r="A346" s="74" t="str">
        <f ca="1">IFERROR(VLOOKUP(C346,'DB_IMAGE UPLOAD'!$B$2:Z1000,5,0),"")</f>
        <v/>
      </c>
      <c r="C346" s="1" t="s">
        <v>4743</v>
      </c>
    </row>
    <row r="347" spans="1:3" ht="12.75">
      <c r="A347" s="74" t="str">
        <f ca="1">IFERROR(VLOOKUP(C347,'DB_IMAGE UPLOAD'!$B$2:Z1000,5,0),"")</f>
        <v/>
      </c>
      <c r="C347" s="1" t="s">
        <v>4743</v>
      </c>
    </row>
    <row r="348" spans="1:3" ht="12.75">
      <c r="A348" s="74" t="str">
        <f ca="1">IFERROR(VLOOKUP(C348,'DB_IMAGE UPLOAD'!$B$2:Z1000,5,0),"")</f>
        <v/>
      </c>
      <c r="C348" s="1" t="s">
        <v>4743</v>
      </c>
    </row>
    <row r="349" spans="1:3" ht="12.75">
      <c r="A349" s="74" t="str">
        <f ca="1">IFERROR(VLOOKUP(C349,'DB_IMAGE UPLOAD'!$B$2:Z1000,5,0),"")</f>
        <v/>
      </c>
      <c r="C349" s="1" t="s">
        <v>4743</v>
      </c>
    </row>
    <row r="350" spans="1:3" ht="12.75">
      <c r="A350" s="74" t="str">
        <f ca="1">IFERROR(VLOOKUP(C350,'DB_IMAGE UPLOAD'!$B$2:Z1000,5,0),"")</f>
        <v/>
      </c>
      <c r="C350" s="1" t="s">
        <v>4743</v>
      </c>
    </row>
    <row r="351" spans="1:3" ht="12.75">
      <c r="A351" s="74" t="str">
        <f ca="1">IFERROR(VLOOKUP(C351,'DB_IMAGE UPLOAD'!$B$2:Z1000,5,0),"")</f>
        <v/>
      </c>
      <c r="C351" s="1" t="s">
        <v>4743</v>
      </c>
    </row>
    <row r="352" spans="1:3" ht="12.75">
      <c r="A352" s="74" t="str">
        <f ca="1">IFERROR(VLOOKUP(C352,'DB_IMAGE UPLOAD'!$B$2:Z1000,5,0),"")</f>
        <v/>
      </c>
      <c r="C352" s="1" t="s">
        <v>4743</v>
      </c>
    </row>
    <row r="353" spans="1:3" ht="12.75">
      <c r="A353" s="74" t="str">
        <f ca="1">IFERROR(VLOOKUP(C353,'DB_IMAGE UPLOAD'!$B$2:Z1000,5,0),"")</f>
        <v/>
      </c>
      <c r="C353" s="1" t="s">
        <v>4743</v>
      </c>
    </row>
    <row r="354" spans="1:3" ht="12.75">
      <c r="A354" s="74" t="str">
        <f ca="1">IFERROR(VLOOKUP(C354,'DB_IMAGE UPLOAD'!$B$2:Z1000,5,0),"")</f>
        <v/>
      </c>
      <c r="C354" s="1" t="s">
        <v>4743</v>
      </c>
    </row>
    <row r="355" spans="1:3" ht="12.75">
      <c r="A355" s="74" t="str">
        <f ca="1">IFERROR(VLOOKUP(C355,'DB_IMAGE UPLOAD'!$B$2:Z1000,5,0),"")</f>
        <v/>
      </c>
      <c r="C355" s="1" t="s">
        <v>4743</v>
      </c>
    </row>
    <row r="356" spans="1:3" ht="12.75">
      <c r="A356" s="74" t="str">
        <f ca="1">IFERROR(VLOOKUP(C356,'DB_IMAGE UPLOAD'!$B$2:Z1000,5,0),"")</f>
        <v/>
      </c>
      <c r="C356" s="1" t="s">
        <v>4743</v>
      </c>
    </row>
    <row r="357" spans="1:3" ht="12.75">
      <c r="A357" s="74" t="str">
        <f ca="1">IFERROR(VLOOKUP(C357,'DB_IMAGE UPLOAD'!$B$2:Z1000,5,0),"")</f>
        <v/>
      </c>
      <c r="C357" s="1" t="s">
        <v>4743</v>
      </c>
    </row>
    <row r="358" spans="1:3" ht="12.75">
      <c r="A358" s="74" t="str">
        <f ca="1">IFERROR(VLOOKUP(C358,'DB_IMAGE UPLOAD'!$B$2:Z1000,5,0),"")</f>
        <v/>
      </c>
      <c r="C358" s="1" t="s">
        <v>4743</v>
      </c>
    </row>
    <row r="359" spans="1:3" ht="12.75">
      <c r="A359" s="74" t="str">
        <f ca="1">IFERROR(VLOOKUP(C359,'DB_IMAGE UPLOAD'!$B$2:Z1000,5,0),"")</f>
        <v/>
      </c>
      <c r="C359" s="1" t="s">
        <v>4743</v>
      </c>
    </row>
    <row r="360" spans="1:3" ht="12.75">
      <c r="A360" s="74" t="str">
        <f ca="1">IFERROR(VLOOKUP(C360,'DB_IMAGE UPLOAD'!$B$2:Z1000,5,0),"")</f>
        <v/>
      </c>
      <c r="C360" s="1" t="s">
        <v>4743</v>
      </c>
    </row>
    <row r="361" spans="1:3" ht="12.75">
      <c r="A361" s="74" t="str">
        <f ca="1">IFERROR(VLOOKUP(C361,'DB_IMAGE UPLOAD'!$B$2:Z1000,5,0),"")</f>
        <v/>
      </c>
      <c r="C361" s="1" t="s">
        <v>4743</v>
      </c>
    </row>
    <row r="362" spans="1:3" ht="12.75">
      <c r="A362" s="74" t="str">
        <f ca="1">IFERROR(VLOOKUP(C362,'DB_IMAGE UPLOAD'!$B$2:Z1000,5,0),"")</f>
        <v/>
      </c>
      <c r="C362" s="1" t="s">
        <v>4743</v>
      </c>
    </row>
    <row r="363" spans="1:3" ht="12.75">
      <c r="A363" s="74" t="str">
        <f ca="1">IFERROR(VLOOKUP(C363,'DB_IMAGE UPLOAD'!$B$2:Z1000,5,0),"")</f>
        <v/>
      </c>
      <c r="C363" s="1" t="s">
        <v>4743</v>
      </c>
    </row>
    <row r="364" spans="1:3" ht="12.75">
      <c r="A364" s="74" t="str">
        <f ca="1">IFERROR(VLOOKUP(C364,'DB_IMAGE UPLOAD'!$B$2:Z1000,5,0),"")</f>
        <v/>
      </c>
      <c r="C364" s="1" t="s">
        <v>4743</v>
      </c>
    </row>
    <row r="365" spans="1:3" ht="12.75">
      <c r="A365" s="74" t="str">
        <f ca="1">IFERROR(VLOOKUP(C365,'DB_IMAGE UPLOAD'!$B$2:Z1000,5,0),"")</f>
        <v/>
      </c>
      <c r="C365" s="1" t="s">
        <v>4743</v>
      </c>
    </row>
    <row r="366" spans="1:3" ht="12.75">
      <c r="A366" s="74" t="str">
        <f ca="1">IFERROR(VLOOKUP(C366,'DB_IMAGE UPLOAD'!$B$2:Z1000,5,0),"")</f>
        <v/>
      </c>
      <c r="C366" s="1" t="s">
        <v>4743</v>
      </c>
    </row>
    <row r="367" spans="1:3" ht="12.75">
      <c r="A367" s="74" t="str">
        <f ca="1">IFERROR(VLOOKUP(C367,'DB_IMAGE UPLOAD'!$B$2:Z1000,5,0),"")</f>
        <v/>
      </c>
      <c r="C367" s="1" t="s">
        <v>4743</v>
      </c>
    </row>
    <row r="368" spans="1:3" ht="12.75">
      <c r="A368" s="74" t="str">
        <f ca="1">IFERROR(VLOOKUP(C368,'DB_IMAGE UPLOAD'!$B$2:Z1000,5,0),"")</f>
        <v/>
      </c>
      <c r="C368" s="1" t="s">
        <v>4743</v>
      </c>
    </row>
    <row r="369" spans="1:3" ht="12.75">
      <c r="A369" s="74" t="str">
        <f ca="1">IFERROR(VLOOKUP(C369,'DB_IMAGE UPLOAD'!$B$2:Z1000,5,0),"")</f>
        <v/>
      </c>
      <c r="C369" s="1" t="s">
        <v>4743</v>
      </c>
    </row>
    <row r="370" spans="1:3" ht="12.75">
      <c r="A370" s="74" t="str">
        <f ca="1">IFERROR(VLOOKUP(C370,'DB_IMAGE UPLOAD'!$B$2:Z1000,5,0),"")</f>
        <v/>
      </c>
      <c r="C370" s="1" t="s">
        <v>4743</v>
      </c>
    </row>
    <row r="371" spans="1:3" ht="12.75">
      <c r="A371" s="74" t="str">
        <f ca="1">IFERROR(VLOOKUP(C371,'DB_IMAGE UPLOAD'!$B$2:Z1000,5,0),"")</f>
        <v/>
      </c>
      <c r="C371" s="1" t="s">
        <v>4743</v>
      </c>
    </row>
    <row r="372" spans="1:3" ht="12.75">
      <c r="A372" s="74" t="str">
        <f ca="1">IFERROR(VLOOKUP(C372,'DB_IMAGE UPLOAD'!$B$2:Z1000,5,0),"")</f>
        <v/>
      </c>
      <c r="C372" s="1" t="s">
        <v>4743</v>
      </c>
    </row>
    <row r="373" spans="1:3" ht="12.75">
      <c r="A373" s="74" t="str">
        <f ca="1">IFERROR(VLOOKUP(C373,'DB_IMAGE UPLOAD'!$B$2:Z1000,5,0),"")</f>
        <v/>
      </c>
      <c r="C373" s="1" t="s">
        <v>4743</v>
      </c>
    </row>
    <row r="374" spans="1:3" ht="12.75">
      <c r="A374" s="74" t="str">
        <f ca="1">IFERROR(VLOOKUP(C374,'DB_IMAGE UPLOAD'!$B$2:Z1000,5,0),"")</f>
        <v/>
      </c>
      <c r="C374" s="1" t="s">
        <v>4743</v>
      </c>
    </row>
    <row r="375" spans="1:3" ht="12.75">
      <c r="A375" s="74" t="str">
        <f ca="1">IFERROR(VLOOKUP(C375,'DB_IMAGE UPLOAD'!$B$2:Z1000,5,0),"")</f>
        <v/>
      </c>
      <c r="C375" s="1" t="s">
        <v>4743</v>
      </c>
    </row>
    <row r="376" spans="1:3" ht="12.75">
      <c r="A376" s="74" t="str">
        <f ca="1">IFERROR(VLOOKUP(C376,'DB_IMAGE UPLOAD'!$B$2:Z1000,5,0),"")</f>
        <v/>
      </c>
      <c r="C376" s="1" t="s">
        <v>4743</v>
      </c>
    </row>
    <row r="377" spans="1:3" ht="12.75">
      <c r="A377" s="74" t="str">
        <f ca="1">IFERROR(VLOOKUP(C377,'DB_IMAGE UPLOAD'!$B$2:Z1000,5,0),"")</f>
        <v/>
      </c>
      <c r="C377" s="1" t="s">
        <v>4743</v>
      </c>
    </row>
    <row r="378" spans="1:3" ht="12.75">
      <c r="A378" s="74" t="str">
        <f ca="1">IFERROR(VLOOKUP(C378,'DB_IMAGE UPLOAD'!$B$2:Z1000,5,0),"")</f>
        <v/>
      </c>
      <c r="C378" s="1" t="s">
        <v>4743</v>
      </c>
    </row>
    <row r="379" spans="1:3" ht="12.75">
      <c r="A379" s="74" t="str">
        <f ca="1">IFERROR(VLOOKUP(C379,'DB_IMAGE UPLOAD'!$B$2:Z1000,5,0),"")</f>
        <v/>
      </c>
      <c r="C379" s="1" t="s">
        <v>4743</v>
      </c>
    </row>
    <row r="380" spans="1:3" ht="12.75">
      <c r="A380" s="74" t="str">
        <f ca="1">IFERROR(VLOOKUP(C380,'DB_IMAGE UPLOAD'!$B$2:Z1000,5,0),"")</f>
        <v/>
      </c>
      <c r="C380" s="1" t="s">
        <v>4743</v>
      </c>
    </row>
    <row r="381" spans="1:3" ht="12.75">
      <c r="A381" s="74" t="str">
        <f ca="1">IFERROR(VLOOKUP(C381,'DB_IMAGE UPLOAD'!$B$2:Z1000,5,0),"")</f>
        <v/>
      </c>
      <c r="C381" s="1" t="s">
        <v>4743</v>
      </c>
    </row>
    <row r="382" spans="1:3" ht="12.75">
      <c r="A382" s="74" t="str">
        <f ca="1">IFERROR(VLOOKUP(C382,'DB_IMAGE UPLOAD'!$B$2:Z1000,5,0),"")</f>
        <v/>
      </c>
      <c r="C382" s="1" t="s">
        <v>4743</v>
      </c>
    </row>
    <row r="383" spans="1:3" ht="12.75">
      <c r="A383" s="74" t="str">
        <f ca="1">IFERROR(VLOOKUP(C383,'DB_IMAGE UPLOAD'!$B$2:Z1000,5,0),"")</f>
        <v/>
      </c>
      <c r="C383" s="1" t="s">
        <v>4743</v>
      </c>
    </row>
    <row r="384" spans="1:3" ht="12.75">
      <c r="A384" s="74" t="str">
        <f ca="1">IFERROR(VLOOKUP(C384,'DB_IMAGE UPLOAD'!$B$2:Z1000,5,0),"")</f>
        <v/>
      </c>
      <c r="C384" s="1" t="s">
        <v>4743</v>
      </c>
    </row>
    <row r="385" spans="1:3" ht="12.75">
      <c r="A385" s="74" t="str">
        <f ca="1">IFERROR(VLOOKUP(C385,'DB_IMAGE UPLOAD'!$B$2:Z1000,5,0),"")</f>
        <v/>
      </c>
      <c r="C385" s="1" t="s">
        <v>4743</v>
      </c>
    </row>
    <row r="386" spans="1:3" ht="12.75">
      <c r="A386" s="74" t="str">
        <f ca="1">IFERROR(VLOOKUP(C386,'DB_IMAGE UPLOAD'!$B$2:Z1000,5,0),"")</f>
        <v/>
      </c>
      <c r="C386" s="1" t="s">
        <v>4743</v>
      </c>
    </row>
    <row r="387" spans="1:3" ht="12.75">
      <c r="A387" s="74" t="str">
        <f ca="1">IFERROR(VLOOKUP(C387,'DB_IMAGE UPLOAD'!$B$2:Z1000,5,0),"")</f>
        <v/>
      </c>
      <c r="C387" s="1" t="s">
        <v>4743</v>
      </c>
    </row>
    <row r="388" spans="1:3" ht="12.75">
      <c r="A388" s="74" t="str">
        <f ca="1">IFERROR(VLOOKUP(C388,'DB_IMAGE UPLOAD'!$B$2:Z1000,5,0),"")</f>
        <v/>
      </c>
      <c r="C388" s="1" t="s">
        <v>4743</v>
      </c>
    </row>
    <row r="389" spans="1:3" ht="12.75">
      <c r="A389" s="74" t="str">
        <f ca="1">IFERROR(VLOOKUP(C389,'DB_IMAGE UPLOAD'!$B$2:Z1000,5,0),"")</f>
        <v/>
      </c>
      <c r="C389" s="1" t="s">
        <v>4743</v>
      </c>
    </row>
    <row r="390" spans="1:3" ht="12.75">
      <c r="A390" s="74" t="str">
        <f ca="1">IFERROR(VLOOKUP(C390,'DB_IMAGE UPLOAD'!$B$2:Z1000,5,0),"")</f>
        <v/>
      </c>
      <c r="C390" s="1" t="s">
        <v>4743</v>
      </c>
    </row>
    <row r="391" spans="1:3" ht="12.75">
      <c r="A391" s="74" t="str">
        <f ca="1">IFERROR(VLOOKUP(C391,'DB_IMAGE UPLOAD'!$B$2:Z1000,5,0),"")</f>
        <v/>
      </c>
      <c r="C391" s="1" t="s">
        <v>4743</v>
      </c>
    </row>
    <row r="392" spans="1:3" ht="12.75">
      <c r="A392" s="74" t="str">
        <f ca="1">IFERROR(VLOOKUP(C392,'DB_IMAGE UPLOAD'!$B$2:Z1000,5,0),"")</f>
        <v/>
      </c>
      <c r="C392" s="1" t="s">
        <v>4743</v>
      </c>
    </row>
    <row r="393" spans="1:3" ht="12.75">
      <c r="A393" s="74" t="str">
        <f ca="1">IFERROR(VLOOKUP(C393,'DB_IMAGE UPLOAD'!$B$2:Z1000,5,0),"")</f>
        <v/>
      </c>
      <c r="C393" s="1" t="s">
        <v>4743</v>
      </c>
    </row>
    <row r="394" spans="1:3" ht="12.75">
      <c r="A394" s="74" t="str">
        <f ca="1">IFERROR(VLOOKUP(C394,'DB_IMAGE UPLOAD'!$B$2:Z1000,5,0),"")</f>
        <v/>
      </c>
      <c r="C394" s="1" t="s">
        <v>4743</v>
      </c>
    </row>
    <row r="395" spans="1:3" ht="12.75">
      <c r="A395" s="74" t="str">
        <f ca="1">IFERROR(VLOOKUP(C395,'DB_IMAGE UPLOAD'!$B$2:Z1000,5,0),"")</f>
        <v/>
      </c>
      <c r="C395" s="1" t="s">
        <v>4743</v>
      </c>
    </row>
    <row r="396" spans="1:3" ht="12.75">
      <c r="A396" s="74" t="str">
        <f ca="1">IFERROR(VLOOKUP(C396,'DB_IMAGE UPLOAD'!$B$2:Z1000,5,0),"")</f>
        <v/>
      </c>
      <c r="C396" s="1" t="s">
        <v>4743</v>
      </c>
    </row>
    <row r="397" spans="1:3" ht="12.75">
      <c r="A397" s="74" t="str">
        <f ca="1">IFERROR(VLOOKUP(C397,'DB_IMAGE UPLOAD'!$B$2:Z1000,5,0),"")</f>
        <v/>
      </c>
      <c r="C397" s="1" t="s">
        <v>4743</v>
      </c>
    </row>
    <row r="398" spans="1:3" ht="12.75">
      <c r="A398" s="74" t="str">
        <f ca="1">IFERROR(VLOOKUP(C398,'DB_IMAGE UPLOAD'!$B$2:Z1000,5,0),"")</f>
        <v/>
      </c>
      <c r="C398" s="1" t="s">
        <v>4743</v>
      </c>
    </row>
    <row r="399" spans="1:3" ht="12.75">
      <c r="A399" s="74" t="str">
        <f ca="1">IFERROR(VLOOKUP(C399,'DB_IMAGE UPLOAD'!$B$2:Z1000,5,0),"")</f>
        <v/>
      </c>
      <c r="C399" s="1" t="s">
        <v>4743</v>
      </c>
    </row>
    <row r="400" spans="1:3" ht="12.75">
      <c r="A400" s="74" t="str">
        <f ca="1">IFERROR(VLOOKUP(C400,'DB_IMAGE UPLOAD'!$B$2:Z1000,5,0),"")</f>
        <v/>
      </c>
      <c r="C400" s="1" t="s">
        <v>4743</v>
      </c>
    </row>
    <row r="401" spans="1:3" ht="12.75">
      <c r="A401" s="74" t="str">
        <f ca="1">IFERROR(VLOOKUP(C401,'DB_IMAGE UPLOAD'!$B$2:Z1000,5,0),"")</f>
        <v/>
      </c>
      <c r="C401" s="1" t="s">
        <v>4743</v>
      </c>
    </row>
    <row r="402" spans="1:3" ht="12.75">
      <c r="A402" s="74" t="str">
        <f ca="1">IFERROR(VLOOKUP(C402,'DB_IMAGE UPLOAD'!$B$2:Z1000,5,0),"")</f>
        <v/>
      </c>
      <c r="C402" s="1" t="s">
        <v>4743</v>
      </c>
    </row>
    <row r="403" spans="1:3" ht="12.75">
      <c r="A403" s="74" t="str">
        <f ca="1">IFERROR(VLOOKUP(C403,'DB_IMAGE UPLOAD'!$B$2:Z1000,5,0),"")</f>
        <v/>
      </c>
      <c r="C403" s="1" t="s">
        <v>4743</v>
      </c>
    </row>
    <row r="404" spans="1:3" ht="12.75">
      <c r="A404" s="74" t="str">
        <f ca="1">IFERROR(VLOOKUP(C404,'DB_IMAGE UPLOAD'!$B$2:Z1000,5,0),"")</f>
        <v/>
      </c>
      <c r="C404" s="1" t="s">
        <v>4743</v>
      </c>
    </row>
    <row r="405" spans="1:3" ht="12.75">
      <c r="A405" s="74" t="str">
        <f ca="1">IFERROR(VLOOKUP(C405,'DB_IMAGE UPLOAD'!$B$2:Z1000,5,0),"")</f>
        <v/>
      </c>
      <c r="C405" s="1" t="s">
        <v>4743</v>
      </c>
    </row>
    <row r="406" spans="1:3" ht="12.75">
      <c r="A406" s="74" t="str">
        <f ca="1">IFERROR(VLOOKUP(C406,'DB_IMAGE UPLOAD'!$B$2:Z1000,5,0),"")</f>
        <v/>
      </c>
      <c r="C406" s="1" t="s">
        <v>4743</v>
      </c>
    </row>
    <row r="407" spans="1:3" ht="12.75">
      <c r="A407" s="74" t="str">
        <f ca="1">IFERROR(VLOOKUP(C407,'DB_IMAGE UPLOAD'!$B$2:Z1000,5,0),"")</f>
        <v/>
      </c>
      <c r="C407" s="1" t="s">
        <v>4743</v>
      </c>
    </row>
    <row r="408" spans="1:3" ht="12.75">
      <c r="A408" s="74" t="str">
        <f ca="1">IFERROR(VLOOKUP(C408,'DB_IMAGE UPLOAD'!$B$2:Z1000,5,0),"")</f>
        <v/>
      </c>
      <c r="C408" s="1" t="s">
        <v>4743</v>
      </c>
    </row>
    <row r="409" spans="1:3" ht="12.75">
      <c r="A409" s="74" t="str">
        <f ca="1">IFERROR(VLOOKUP(C409,'DB_IMAGE UPLOAD'!$B$2:Z1000,5,0),"")</f>
        <v/>
      </c>
      <c r="C409" s="1" t="s">
        <v>4743</v>
      </c>
    </row>
    <row r="410" spans="1:3" ht="12.75">
      <c r="A410" s="74" t="str">
        <f ca="1">IFERROR(VLOOKUP(C410,'DB_IMAGE UPLOAD'!$B$2:Z1000,5,0),"")</f>
        <v/>
      </c>
      <c r="C410" s="1" t="s">
        <v>4743</v>
      </c>
    </row>
    <row r="411" spans="1:3" ht="12.75">
      <c r="A411" s="74" t="str">
        <f ca="1">IFERROR(VLOOKUP(C411,'DB_IMAGE UPLOAD'!$B$2:Z1000,5,0),"")</f>
        <v/>
      </c>
      <c r="C411" s="1" t="s">
        <v>4743</v>
      </c>
    </row>
    <row r="412" spans="1:3" ht="12.75">
      <c r="A412" s="74" t="str">
        <f ca="1">IFERROR(VLOOKUP(C412,'DB_IMAGE UPLOAD'!$B$2:Z1000,5,0),"")</f>
        <v/>
      </c>
      <c r="C412" s="1" t="s">
        <v>4743</v>
      </c>
    </row>
    <row r="413" spans="1:3" ht="12.75">
      <c r="A413" s="74" t="str">
        <f ca="1">IFERROR(VLOOKUP(C413,'DB_IMAGE UPLOAD'!$B$2:Z1000,5,0),"")</f>
        <v/>
      </c>
      <c r="C413" s="1" t="s">
        <v>4743</v>
      </c>
    </row>
    <row r="414" spans="1:3" ht="12.75">
      <c r="A414" s="74" t="str">
        <f ca="1">IFERROR(VLOOKUP(C414,'DB_IMAGE UPLOAD'!$B$2:Z1000,5,0),"")</f>
        <v/>
      </c>
      <c r="C414" s="1" t="s">
        <v>4743</v>
      </c>
    </row>
    <row r="415" spans="1:3" ht="12.75">
      <c r="A415" s="74" t="str">
        <f ca="1">IFERROR(VLOOKUP(C415,'DB_IMAGE UPLOAD'!$B$2:Z1000,5,0),"")</f>
        <v/>
      </c>
      <c r="C415" s="1" t="s">
        <v>4743</v>
      </c>
    </row>
    <row r="416" spans="1:3" ht="12.75">
      <c r="A416" s="74" t="str">
        <f ca="1">IFERROR(VLOOKUP(C416,'DB_IMAGE UPLOAD'!$B$2:Z1000,5,0),"")</f>
        <v/>
      </c>
      <c r="C416" s="1" t="s">
        <v>4743</v>
      </c>
    </row>
    <row r="417" spans="1:3" ht="12.75">
      <c r="A417" s="74" t="str">
        <f ca="1">IFERROR(VLOOKUP(C417,'DB_IMAGE UPLOAD'!$B$2:Z1000,5,0),"")</f>
        <v/>
      </c>
      <c r="C417" s="1" t="s">
        <v>4743</v>
      </c>
    </row>
    <row r="418" spans="1:3" ht="12.75">
      <c r="A418" s="74" t="str">
        <f ca="1">IFERROR(VLOOKUP(C418,'DB_IMAGE UPLOAD'!$B$2:Z1000,5,0),"")</f>
        <v/>
      </c>
      <c r="C418" s="1" t="s">
        <v>4743</v>
      </c>
    </row>
    <row r="419" spans="1:3" ht="12.75">
      <c r="A419" s="74" t="str">
        <f ca="1">IFERROR(VLOOKUP(C419,'DB_IMAGE UPLOAD'!$B$2:Z1000,5,0),"")</f>
        <v/>
      </c>
      <c r="C419" s="1" t="s">
        <v>4743</v>
      </c>
    </row>
    <row r="420" spans="1:3" ht="12.75">
      <c r="A420" s="74" t="str">
        <f ca="1">IFERROR(VLOOKUP(C420,'DB_IMAGE UPLOAD'!$B$2:Z1000,5,0),"")</f>
        <v/>
      </c>
      <c r="C420" s="1" t="s">
        <v>4743</v>
      </c>
    </row>
    <row r="421" spans="1:3" ht="12.75">
      <c r="A421" s="74" t="str">
        <f ca="1">IFERROR(VLOOKUP(C421,'DB_IMAGE UPLOAD'!$B$2:Z1000,5,0),"")</f>
        <v/>
      </c>
      <c r="C421" s="1" t="s">
        <v>4743</v>
      </c>
    </row>
    <row r="422" spans="1:3" ht="12.75">
      <c r="A422" s="74" t="str">
        <f ca="1">IFERROR(VLOOKUP(C422,'DB_IMAGE UPLOAD'!$B$2:Z1000,5,0),"")</f>
        <v/>
      </c>
      <c r="C422" s="1" t="s">
        <v>4743</v>
      </c>
    </row>
    <row r="423" spans="1:3" ht="12.75">
      <c r="A423" s="74" t="str">
        <f ca="1">IFERROR(VLOOKUP(C423,'DB_IMAGE UPLOAD'!$B$2:Z1000,5,0),"")</f>
        <v/>
      </c>
      <c r="C423" s="1" t="s">
        <v>4743</v>
      </c>
    </row>
    <row r="424" spans="1:3" ht="12.75">
      <c r="A424" s="74" t="str">
        <f ca="1">IFERROR(VLOOKUP(C424,'DB_IMAGE UPLOAD'!$B$2:Z1000,5,0),"")</f>
        <v/>
      </c>
      <c r="C424" s="1" t="s">
        <v>4743</v>
      </c>
    </row>
    <row r="425" spans="1:3" ht="12.75">
      <c r="A425" s="74" t="str">
        <f ca="1">IFERROR(VLOOKUP(C425,'DB_IMAGE UPLOAD'!$B$2:Z1000,5,0),"")</f>
        <v/>
      </c>
      <c r="C425" s="1" t="s">
        <v>4743</v>
      </c>
    </row>
    <row r="426" spans="1:3" ht="12.75">
      <c r="A426" s="74" t="str">
        <f ca="1">IFERROR(VLOOKUP(C426,'DB_IMAGE UPLOAD'!$B$2:Z1000,5,0),"")</f>
        <v/>
      </c>
      <c r="C426" s="1" t="s">
        <v>4743</v>
      </c>
    </row>
    <row r="427" spans="1:3" ht="12.75">
      <c r="A427" s="74" t="str">
        <f ca="1">IFERROR(VLOOKUP(C427,'DB_IMAGE UPLOAD'!$B$2:Z1000,5,0),"")</f>
        <v/>
      </c>
      <c r="C427" s="1" t="s">
        <v>4743</v>
      </c>
    </row>
    <row r="428" spans="1:3" ht="12.75">
      <c r="A428" s="74" t="str">
        <f ca="1">IFERROR(VLOOKUP(C428,'DB_IMAGE UPLOAD'!$B$2:Z1000,5,0),"")</f>
        <v/>
      </c>
      <c r="C428" s="1" t="s">
        <v>4743</v>
      </c>
    </row>
    <row r="429" spans="1:3" ht="12.75">
      <c r="A429" s="74" t="str">
        <f ca="1">IFERROR(VLOOKUP(C429,'DB_IMAGE UPLOAD'!$B$2:Z1000,5,0),"")</f>
        <v/>
      </c>
      <c r="C429" s="1" t="s">
        <v>4743</v>
      </c>
    </row>
    <row r="430" spans="1:3" ht="12.75">
      <c r="A430" s="74" t="str">
        <f ca="1">IFERROR(VLOOKUP(C430,'DB_IMAGE UPLOAD'!$B$2:Z1000,5,0),"")</f>
        <v/>
      </c>
      <c r="C430" s="1" t="s">
        <v>4743</v>
      </c>
    </row>
    <row r="431" spans="1:3" ht="12.75">
      <c r="A431" s="74" t="str">
        <f ca="1">IFERROR(VLOOKUP(C431,'DB_IMAGE UPLOAD'!$B$2:Z1000,5,0),"")</f>
        <v/>
      </c>
      <c r="C431" s="1" t="s">
        <v>4743</v>
      </c>
    </row>
    <row r="432" spans="1:3" ht="12.75">
      <c r="A432" s="74" t="str">
        <f ca="1">IFERROR(VLOOKUP(C432,'DB_IMAGE UPLOAD'!$B$2:Z1000,5,0),"")</f>
        <v/>
      </c>
      <c r="C432" s="1" t="s">
        <v>4743</v>
      </c>
    </row>
    <row r="433" spans="1:3" ht="12.75">
      <c r="A433" s="74" t="str">
        <f ca="1">IFERROR(VLOOKUP(C433,'DB_IMAGE UPLOAD'!$B$2:Z1000,5,0),"")</f>
        <v/>
      </c>
      <c r="C433" s="1" t="s">
        <v>4743</v>
      </c>
    </row>
    <row r="434" spans="1:3" ht="12.75">
      <c r="A434" s="74" t="str">
        <f ca="1">IFERROR(VLOOKUP(C434,'DB_IMAGE UPLOAD'!$B$2:Z1000,5,0),"")</f>
        <v/>
      </c>
      <c r="C434" s="1" t="s">
        <v>4743</v>
      </c>
    </row>
    <row r="435" spans="1:3" ht="12.75">
      <c r="A435" s="74" t="str">
        <f ca="1">IFERROR(VLOOKUP(C435,'DB_IMAGE UPLOAD'!$B$2:Z1000,5,0),"")</f>
        <v/>
      </c>
      <c r="C435" s="1" t="s">
        <v>4743</v>
      </c>
    </row>
    <row r="436" spans="1:3" ht="12.75">
      <c r="A436" s="74" t="str">
        <f ca="1">IFERROR(VLOOKUP(C436,'DB_IMAGE UPLOAD'!$B$2:Z1000,5,0),"")</f>
        <v/>
      </c>
      <c r="C436" s="1" t="s">
        <v>4743</v>
      </c>
    </row>
    <row r="437" spans="1:3" ht="12.75">
      <c r="A437" s="74" t="str">
        <f ca="1">IFERROR(VLOOKUP(C437,'DB_IMAGE UPLOAD'!$B$2:Z1000,5,0),"")</f>
        <v/>
      </c>
      <c r="C437" s="1" t="s">
        <v>4743</v>
      </c>
    </row>
    <row r="438" spans="1:3" ht="12.75">
      <c r="A438" s="74" t="str">
        <f ca="1">IFERROR(VLOOKUP(C438,'DB_IMAGE UPLOAD'!$B$2:Z1000,5,0),"")</f>
        <v/>
      </c>
      <c r="C438" s="1" t="s">
        <v>4743</v>
      </c>
    </row>
    <row r="439" spans="1:3" ht="12.75">
      <c r="A439" s="74" t="str">
        <f ca="1">IFERROR(VLOOKUP(C439,'DB_IMAGE UPLOAD'!$B$2:Z1000,5,0),"")</f>
        <v/>
      </c>
      <c r="C439" s="1" t="s">
        <v>4743</v>
      </c>
    </row>
    <row r="440" spans="1:3" ht="12.75">
      <c r="A440" s="74" t="str">
        <f ca="1">IFERROR(VLOOKUP(C440,'DB_IMAGE UPLOAD'!$B$2:Z1000,5,0),"")</f>
        <v/>
      </c>
      <c r="C440" s="1" t="s">
        <v>4743</v>
      </c>
    </row>
    <row r="441" spans="1:3" ht="12.75">
      <c r="A441" s="74" t="str">
        <f ca="1">IFERROR(VLOOKUP(C441,'DB_IMAGE UPLOAD'!$B$2:Z1000,5,0),"")</f>
        <v/>
      </c>
      <c r="C441" s="1" t="s">
        <v>4743</v>
      </c>
    </row>
    <row r="442" spans="1:3" ht="12.75">
      <c r="A442" s="74" t="str">
        <f ca="1">IFERROR(VLOOKUP(C442,'DB_IMAGE UPLOAD'!$B$2:Z1000,5,0),"")</f>
        <v/>
      </c>
      <c r="C442" s="1" t="s">
        <v>4743</v>
      </c>
    </row>
    <row r="443" spans="1:3" ht="12.75">
      <c r="A443" s="74" t="str">
        <f ca="1">IFERROR(VLOOKUP(C443,'DB_IMAGE UPLOAD'!$B$2:Z1000,5,0),"")</f>
        <v/>
      </c>
      <c r="C443" s="1" t="s">
        <v>4743</v>
      </c>
    </row>
    <row r="444" spans="1:3" ht="12.75">
      <c r="A444" s="74" t="str">
        <f ca="1">IFERROR(VLOOKUP(C444,'DB_IMAGE UPLOAD'!$B$2:Z1000,5,0),"")</f>
        <v/>
      </c>
      <c r="C444" s="1" t="s">
        <v>4743</v>
      </c>
    </row>
    <row r="445" spans="1:3" ht="12.75">
      <c r="A445" s="74" t="str">
        <f ca="1">IFERROR(VLOOKUP(C445,'DB_IMAGE UPLOAD'!$B$2:Z1000,5,0),"")</f>
        <v/>
      </c>
      <c r="C445" s="1" t="s">
        <v>4743</v>
      </c>
    </row>
    <row r="446" spans="1:3" ht="12.75">
      <c r="A446" s="74" t="str">
        <f ca="1">IFERROR(VLOOKUP(C446,'DB_IMAGE UPLOAD'!$B$2:Z1000,5,0),"")</f>
        <v/>
      </c>
      <c r="C446" s="1" t="s">
        <v>4743</v>
      </c>
    </row>
    <row r="447" spans="1:3" ht="12.75">
      <c r="A447" s="74" t="str">
        <f ca="1">IFERROR(VLOOKUP(C447,'DB_IMAGE UPLOAD'!$B$2:Z1000,5,0),"")</f>
        <v/>
      </c>
      <c r="C447" s="1" t="s">
        <v>4743</v>
      </c>
    </row>
    <row r="448" spans="1:3" ht="12.75">
      <c r="A448" s="74" t="str">
        <f ca="1">IFERROR(VLOOKUP(C448,'DB_IMAGE UPLOAD'!$B$2:Z1000,5,0),"")</f>
        <v/>
      </c>
      <c r="C448" s="1" t="s">
        <v>4743</v>
      </c>
    </row>
    <row r="449" spans="1:3" ht="12.75">
      <c r="A449" s="74" t="str">
        <f ca="1">IFERROR(VLOOKUP(C449,'DB_IMAGE UPLOAD'!$B$2:Z1000,5,0),"")</f>
        <v/>
      </c>
      <c r="C449" s="1" t="s">
        <v>4743</v>
      </c>
    </row>
    <row r="450" spans="1:3" ht="12.75">
      <c r="A450" s="74" t="str">
        <f ca="1">IFERROR(VLOOKUP(C450,'DB_IMAGE UPLOAD'!$B$2:Z1000,5,0),"")</f>
        <v/>
      </c>
      <c r="C450" s="1" t="s">
        <v>4743</v>
      </c>
    </row>
    <row r="451" spans="1:3" ht="12.75">
      <c r="A451" s="74" t="str">
        <f ca="1">IFERROR(VLOOKUP(C451,'DB_IMAGE UPLOAD'!$B$2:Z1000,5,0),"")</f>
        <v/>
      </c>
      <c r="C451" s="1" t="s">
        <v>4743</v>
      </c>
    </row>
    <row r="452" spans="1:3" ht="12.75">
      <c r="A452" s="74" t="str">
        <f ca="1">IFERROR(VLOOKUP(C452,'DB_IMAGE UPLOAD'!$B$2:Z1000,5,0),"")</f>
        <v/>
      </c>
      <c r="C452" s="1" t="s">
        <v>4743</v>
      </c>
    </row>
    <row r="453" spans="1:3" ht="12.75">
      <c r="A453" s="74" t="str">
        <f ca="1">IFERROR(VLOOKUP(C453,'DB_IMAGE UPLOAD'!$B$2:Z1000,5,0),"")</f>
        <v/>
      </c>
      <c r="C453" s="1" t="s">
        <v>4743</v>
      </c>
    </row>
    <row r="454" spans="1:3" ht="12.75">
      <c r="A454" s="74" t="str">
        <f ca="1">IFERROR(VLOOKUP(C454,'DB_IMAGE UPLOAD'!$B$2:Z1000,5,0),"")</f>
        <v/>
      </c>
      <c r="C454" s="1" t="s">
        <v>4743</v>
      </c>
    </row>
    <row r="455" spans="1:3" ht="12.75">
      <c r="A455" s="74" t="str">
        <f ca="1">IFERROR(VLOOKUP(C455,'DB_IMAGE UPLOAD'!$B$2:Z1000,5,0),"")</f>
        <v/>
      </c>
      <c r="C455" s="1" t="s">
        <v>4743</v>
      </c>
    </row>
    <row r="456" spans="1:3" ht="12.75">
      <c r="A456" s="74" t="str">
        <f ca="1">IFERROR(VLOOKUP(C456,'DB_IMAGE UPLOAD'!$B$2:Z1000,5,0),"")</f>
        <v/>
      </c>
      <c r="C456" s="1" t="s">
        <v>4743</v>
      </c>
    </row>
    <row r="457" spans="1:3" ht="12.75">
      <c r="A457" s="74" t="str">
        <f ca="1">IFERROR(VLOOKUP(C457,'DB_IMAGE UPLOAD'!$B$2:Z1000,5,0),"")</f>
        <v/>
      </c>
      <c r="C457" s="1" t="s">
        <v>4743</v>
      </c>
    </row>
    <row r="458" spans="1:3" ht="12.75">
      <c r="A458" s="74" t="str">
        <f ca="1">IFERROR(VLOOKUP(C458,'DB_IMAGE UPLOAD'!$B$2:Z1000,5,0),"")</f>
        <v/>
      </c>
      <c r="C458" s="1" t="s">
        <v>4743</v>
      </c>
    </row>
    <row r="459" spans="1:3" ht="12.75">
      <c r="A459" s="74" t="str">
        <f ca="1">IFERROR(VLOOKUP(C459,'DB_IMAGE UPLOAD'!$B$2:Z1000,5,0),"")</f>
        <v/>
      </c>
      <c r="C459" s="1" t="s">
        <v>4743</v>
      </c>
    </row>
    <row r="460" spans="1:3" ht="12.75">
      <c r="A460" s="74" t="str">
        <f ca="1">IFERROR(VLOOKUP(C460,'DB_IMAGE UPLOAD'!$B$2:Z1000,5,0),"")</f>
        <v/>
      </c>
      <c r="C460" s="1" t="s">
        <v>4743</v>
      </c>
    </row>
    <row r="461" spans="1:3" ht="12.75">
      <c r="A461" s="74" t="str">
        <f ca="1">IFERROR(VLOOKUP(C461,'DB_IMAGE UPLOAD'!$B$2:Z1000,5,0),"")</f>
        <v/>
      </c>
      <c r="C461" s="1" t="s">
        <v>4743</v>
      </c>
    </row>
    <row r="462" spans="1:3" ht="12.75">
      <c r="A462" s="74" t="str">
        <f ca="1">IFERROR(VLOOKUP(C462,'DB_IMAGE UPLOAD'!$B$2:Z1000,5,0),"")</f>
        <v/>
      </c>
      <c r="C462" s="1" t="s">
        <v>4743</v>
      </c>
    </row>
    <row r="463" spans="1:3" ht="12.75">
      <c r="A463" s="74" t="str">
        <f ca="1">IFERROR(VLOOKUP(C463,'DB_IMAGE UPLOAD'!$B$2:Z1000,5,0),"")</f>
        <v/>
      </c>
      <c r="C463" s="1" t="s">
        <v>4743</v>
      </c>
    </row>
    <row r="464" spans="1:3" ht="12.75">
      <c r="A464" s="74" t="str">
        <f ca="1">IFERROR(VLOOKUP(C464,'DB_IMAGE UPLOAD'!$B$2:Z1000,5,0),"")</f>
        <v/>
      </c>
      <c r="C464" s="1" t="s">
        <v>4743</v>
      </c>
    </row>
    <row r="465" spans="1:3" ht="12.75">
      <c r="A465" s="74" t="str">
        <f ca="1">IFERROR(VLOOKUP(C465,'DB_IMAGE UPLOAD'!$B$2:Z1000,5,0),"")</f>
        <v/>
      </c>
      <c r="C465" s="1" t="s">
        <v>4743</v>
      </c>
    </row>
    <row r="466" spans="1:3" ht="12.75">
      <c r="A466" s="74" t="str">
        <f ca="1">IFERROR(VLOOKUP(C466,'DB_IMAGE UPLOAD'!$B$2:Z1000,5,0),"")</f>
        <v/>
      </c>
      <c r="C466" s="1" t="s">
        <v>4743</v>
      </c>
    </row>
    <row r="467" spans="1:3" ht="12.75">
      <c r="A467" s="74" t="str">
        <f ca="1">IFERROR(VLOOKUP(C467,'DB_IMAGE UPLOAD'!$B$2:Z1000,5,0),"")</f>
        <v/>
      </c>
      <c r="C467" s="1" t="s">
        <v>4743</v>
      </c>
    </row>
    <row r="468" spans="1:3" ht="12.75">
      <c r="A468" s="74" t="str">
        <f ca="1">IFERROR(VLOOKUP(C468,'DB_IMAGE UPLOAD'!$B$2:Z1000,5,0),"")</f>
        <v/>
      </c>
      <c r="C468" s="1" t="s">
        <v>4743</v>
      </c>
    </row>
    <row r="469" spans="1:3" ht="12.75">
      <c r="A469" s="74" t="str">
        <f ca="1">IFERROR(VLOOKUP(C469,'DB_IMAGE UPLOAD'!$B$2:Z1000,5,0),"")</f>
        <v/>
      </c>
      <c r="C469" s="1" t="s">
        <v>4743</v>
      </c>
    </row>
    <row r="470" spans="1:3" ht="12.75">
      <c r="A470" s="74" t="str">
        <f ca="1">IFERROR(VLOOKUP(C470,'DB_IMAGE UPLOAD'!$B$2:Z1000,5,0),"")</f>
        <v/>
      </c>
      <c r="C470" s="1" t="s">
        <v>4743</v>
      </c>
    </row>
    <row r="471" spans="1:3" ht="12.75">
      <c r="A471" s="74" t="str">
        <f ca="1">IFERROR(VLOOKUP(C471,'DB_IMAGE UPLOAD'!$B$2:Z1000,5,0),"")</f>
        <v/>
      </c>
      <c r="C471" s="1" t="s">
        <v>4743</v>
      </c>
    </row>
    <row r="472" spans="1:3" ht="12.75">
      <c r="A472" s="74" t="str">
        <f ca="1">IFERROR(VLOOKUP(C472,'DB_IMAGE UPLOAD'!$B$2:Z1000,5,0),"")</f>
        <v/>
      </c>
      <c r="C472" s="1" t="s">
        <v>4743</v>
      </c>
    </row>
    <row r="473" spans="1:3" ht="12.75">
      <c r="A473" s="74" t="str">
        <f ca="1">IFERROR(VLOOKUP(C473,'DB_IMAGE UPLOAD'!$B$2:Z1000,5,0),"")</f>
        <v/>
      </c>
      <c r="C473" s="1" t="s">
        <v>4743</v>
      </c>
    </row>
    <row r="474" spans="1:3" ht="12.75">
      <c r="A474" s="74" t="str">
        <f ca="1">IFERROR(VLOOKUP(C474,'DB_IMAGE UPLOAD'!$B$2:Z1000,5,0),"")</f>
        <v/>
      </c>
      <c r="C474" s="1" t="s">
        <v>4743</v>
      </c>
    </row>
    <row r="475" spans="1:3" ht="12.75">
      <c r="A475" s="74" t="str">
        <f ca="1">IFERROR(VLOOKUP(C475,'DB_IMAGE UPLOAD'!$B$2:Z1000,5,0),"")</f>
        <v/>
      </c>
      <c r="C475" s="1" t="s">
        <v>4743</v>
      </c>
    </row>
    <row r="476" spans="1:3" ht="12.75">
      <c r="A476" s="74" t="str">
        <f ca="1">IFERROR(VLOOKUP(C476,'DB_IMAGE UPLOAD'!$B$2:Z1000,5,0),"")</f>
        <v/>
      </c>
      <c r="C476" s="1" t="s">
        <v>4743</v>
      </c>
    </row>
    <row r="477" spans="1:3" ht="12.75">
      <c r="A477" s="74" t="str">
        <f ca="1">IFERROR(VLOOKUP(C477,'DB_IMAGE UPLOAD'!$B$2:Z1000,5,0),"")</f>
        <v/>
      </c>
      <c r="C477" s="1" t="s">
        <v>4743</v>
      </c>
    </row>
    <row r="478" spans="1:3" ht="12.75">
      <c r="A478" s="74" t="str">
        <f ca="1">IFERROR(VLOOKUP(C478,'DB_IMAGE UPLOAD'!$B$2:Z1000,5,0),"")</f>
        <v/>
      </c>
      <c r="C478" s="1" t="s">
        <v>4743</v>
      </c>
    </row>
    <row r="479" spans="1:3" ht="12.75">
      <c r="A479" s="74" t="str">
        <f ca="1">IFERROR(VLOOKUP(C479,'DB_IMAGE UPLOAD'!$B$2:Z1000,5,0),"")</f>
        <v/>
      </c>
      <c r="C479" s="1" t="s">
        <v>4743</v>
      </c>
    </row>
    <row r="480" spans="1:3" ht="12.75">
      <c r="A480" s="74" t="str">
        <f ca="1">IFERROR(VLOOKUP(C480,'DB_IMAGE UPLOAD'!$B$2:Z1000,5,0),"")</f>
        <v/>
      </c>
      <c r="C480" s="1" t="s">
        <v>4743</v>
      </c>
    </row>
    <row r="481" spans="1:3" ht="12.75">
      <c r="A481" s="74" t="str">
        <f ca="1">IFERROR(VLOOKUP(C481,'DB_IMAGE UPLOAD'!$B$2:Z1000,5,0),"")</f>
        <v/>
      </c>
      <c r="C481" s="1" t="s">
        <v>4743</v>
      </c>
    </row>
    <row r="482" spans="1:3" ht="12.75">
      <c r="A482" s="74" t="str">
        <f ca="1">IFERROR(VLOOKUP(C482,'DB_IMAGE UPLOAD'!$B$2:Z1000,5,0),"")</f>
        <v/>
      </c>
      <c r="C482" s="1" t="s">
        <v>4743</v>
      </c>
    </row>
    <row r="483" spans="1:3" ht="12.75">
      <c r="A483" s="74" t="str">
        <f ca="1">IFERROR(VLOOKUP(C483,'DB_IMAGE UPLOAD'!$B$2:Z1000,5,0),"")</f>
        <v/>
      </c>
      <c r="C483" s="1" t="s">
        <v>4743</v>
      </c>
    </row>
    <row r="484" spans="1:3" ht="12.75">
      <c r="A484" s="74" t="str">
        <f ca="1">IFERROR(VLOOKUP(C484,'DB_IMAGE UPLOAD'!$B$2:Z1000,5,0),"")</f>
        <v/>
      </c>
      <c r="C484" s="1" t="s">
        <v>4743</v>
      </c>
    </row>
    <row r="485" spans="1:3" ht="12.75">
      <c r="A485" s="74" t="str">
        <f ca="1">IFERROR(VLOOKUP(C485,'DB_IMAGE UPLOAD'!$B$2:Z1000,5,0),"")</f>
        <v/>
      </c>
      <c r="C485" s="1" t="s">
        <v>4743</v>
      </c>
    </row>
    <row r="486" spans="1:3" ht="12.75">
      <c r="A486" s="74" t="str">
        <f ca="1">IFERROR(VLOOKUP(C486,'DB_IMAGE UPLOAD'!$B$2:Z1000,5,0),"")</f>
        <v/>
      </c>
      <c r="C486" s="1" t="s">
        <v>4743</v>
      </c>
    </row>
    <row r="487" spans="1:3" ht="12.75">
      <c r="A487" s="74" t="str">
        <f ca="1">IFERROR(VLOOKUP(C487,'DB_IMAGE UPLOAD'!$B$2:Z1000,5,0),"")</f>
        <v/>
      </c>
      <c r="C487" s="1" t="s">
        <v>4743</v>
      </c>
    </row>
    <row r="488" spans="1:3" ht="12.75">
      <c r="A488" s="74" t="str">
        <f ca="1">IFERROR(VLOOKUP(C488,'DB_IMAGE UPLOAD'!$B$2:Z1000,5,0),"")</f>
        <v/>
      </c>
      <c r="C488" s="1" t="s">
        <v>4743</v>
      </c>
    </row>
    <row r="489" spans="1:3" ht="12.75">
      <c r="A489" s="74" t="str">
        <f ca="1">IFERROR(VLOOKUP(C489,'DB_IMAGE UPLOAD'!$B$2:Z1000,5,0),"")</f>
        <v/>
      </c>
      <c r="C489" s="1" t="s">
        <v>4743</v>
      </c>
    </row>
    <row r="490" spans="1:3" ht="12.75">
      <c r="A490" s="74" t="str">
        <f ca="1">IFERROR(VLOOKUP(C490,'DB_IMAGE UPLOAD'!$B$2:Z1000,5,0),"")</f>
        <v/>
      </c>
      <c r="C490" s="1" t="s">
        <v>4743</v>
      </c>
    </row>
    <row r="491" spans="1:3" ht="12.75">
      <c r="A491" s="74" t="str">
        <f ca="1">IFERROR(VLOOKUP(C491,'DB_IMAGE UPLOAD'!$B$2:Z1000,5,0),"")</f>
        <v/>
      </c>
      <c r="C491" s="1" t="s">
        <v>4743</v>
      </c>
    </row>
    <row r="492" spans="1:3" ht="12.75">
      <c r="A492" s="74" t="str">
        <f ca="1">IFERROR(VLOOKUP(C492,'DB_IMAGE UPLOAD'!$B$2:Z1000,5,0),"")</f>
        <v/>
      </c>
      <c r="C492" s="1" t="s">
        <v>4743</v>
      </c>
    </row>
    <row r="493" spans="1:3" ht="12.75">
      <c r="A493" s="74" t="str">
        <f ca="1">IFERROR(VLOOKUP(C493,'DB_IMAGE UPLOAD'!$B$2:Z1000,5,0),"")</f>
        <v/>
      </c>
      <c r="C493" s="1" t="s">
        <v>4743</v>
      </c>
    </row>
    <row r="494" spans="1:3" ht="12.75">
      <c r="A494" s="74" t="str">
        <f ca="1">IFERROR(VLOOKUP(C494,'DB_IMAGE UPLOAD'!$B$2:Z1000,5,0),"")</f>
        <v/>
      </c>
      <c r="C494" s="1" t="s">
        <v>4743</v>
      </c>
    </row>
    <row r="495" spans="1:3" ht="12.75">
      <c r="A495" s="74" t="str">
        <f ca="1">IFERROR(VLOOKUP(C495,'DB_IMAGE UPLOAD'!$B$2:Z1000,5,0),"")</f>
        <v/>
      </c>
      <c r="C495" s="1" t="s">
        <v>4743</v>
      </c>
    </row>
    <row r="496" spans="1:3" ht="12.75">
      <c r="A496" s="74" t="str">
        <f ca="1">IFERROR(VLOOKUP(C496,'DB_IMAGE UPLOAD'!$B$2:Z1000,5,0),"")</f>
        <v/>
      </c>
      <c r="C496" s="1" t="s">
        <v>4743</v>
      </c>
    </row>
    <row r="497" spans="1:3" ht="12.75">
      <c r="A497" s="74" t="str">
        <f ca="1">IFERROR(VLOOKUP(C497,'DB_IMAGE UPLOAD'!$B$2:Z1000,5,0),"")</f>
        <v/>
      </c>
      <c r="C497" s="1" t="s">
        <v>4743</v>
      </c>
    </row>
    <row r="498" spans="1:3" ht="12.75">
      <c r="A498" s="74" t="str">
        <f ca="1">IFERROR(VLOOKUP(C498,'DB_IMAGE UPLOAD'!$B$2:Z1000,5,0),"")</f>
        <v/>
      </c>
      <c r="C498" s="1" t="s">
        <v>4743</v>
      </c>
    </row>
    <row r="499" spans="1:3" ht="12.75">
      <c r="A499" s="74" t="str">
        <f ca="1">IFERROR(VLOOKUP(C499,'DB_IMAGE UPLOAD'!$B$2:Z1000,5,0),"")</f>
        <v/>
      </c>
      <c r="C499" s="1" t="s">
        <v>4743</v>
      </c>
    </row>
    <row r="500" spans="1:3" ht="12.75">
      <c r="A500" s="74" t="str">
        <f ca="1">IFERROR(VLOOKUP(C500,'DB_IMAGE UPLOAD'!$B$2:Z1000,5,0),"")</f>
        <v/>
      </c>
      <c r="C500" s="1" t="s">
        <v>4743</v>
      </c>
    </row>
    <row r="501" spans="1:3" ht="12.75">
      <c r="A501" s="74" t="str">
        <f ca="1">IFERROR(VLOOKUP(C501,'DB_IMAGE UPLOAD'!$B$2:Z1000,5,0),"")</f>
        <v/>
      </c>
      <c r="C501" s="1" t="s">
        <v>4743</v>
      </c>
    </row>
    <row r="502" spans="1:3" ht="12.75">
      <c r="A502" s="74" t="str">
        <f ca="1">IFERROR(VLOOKUP(C502,'DB_IMAGE UPLOAD'!$B$2:Z1000,5,0),"")</f>
        <v/>
      </c>
      <c r="C502" s="1" t="s">
        <v>4743</v>
      </c>
    </row>
    <row r="503" spans="1:3" ht="12.75">
      <c r="A503" s="74" t="str">
        <f ca="1">IFERROR(VLOOKUP(C503,'DB_IMAGE UPLOAD'!$B$2:Z1000,5,0),"")</f>
        <v/>
      </c>
      <c r="C503" s="1" t="s">
        <v>4743</v>
      </c>
    </row>
    <row r="504" spans="1:3" ht="12.75">
      <c r="A504" s="74" t="str">
        <f ca="1">IFERROR(VLOOKUP(C504,'DB_IMAGE UPLOAD'!$B$2:Z1000,5,0),"")</f>
        <v/>
      </c>
      <c r="C504" s="1" t="s">
        <v>4743</v>
      </c>
    </row>
    <row r="505" spans="1:3" ht="12.75">
      <c r="A505" s="74" t="str">
        <f ca="1">IFERROR(VLOOKUP(C505,'DB_IMAGE UPLOAD'!$B$2:Z1000,5,0),"")</f>
        <v/>
      </c>
      <c r="C505" s="1" t="s">
        <v>4743</v>
      </c>
    </row>
    <row r="506" spans="1:3" ht="12.75">
      <c r="A506" s="74" t="str">
        <f ca="1">IFERROR(VLOOKUP(C506,'DB_IMAGE UPLOAD'!$B$2:Z1000,5,0),"")</f>
        <v/>
      </c>
      <c r="C506" s="1" t="s">
        <v>4743</v>
      </c>
    </row>
    <row r="507" spans="1:3" ht="12.75">
      <c r="A507" s="74" t="str">
        <f ca="1">IFERROR(VLOOKUP(C507,'DB_IMAGE UPLOAD'!$B$2:Z1000,5,0),"")</f>
        <v/>
      </c>
      <c r="C507" s="1" t="s">
        <v>4743</v>
      </c>
    </row>
    <row r="508" spans="1:3" ht="12.75">
      <c r="A508" s="74" t="str">
        <f ca="1">IFERROR(VLOOKUP(C508,'DB_IMAGE UPLOAD'!$B$2:Z1000,5,0),"")</f>
        <v/>
      </c>
      <c r="C508" s="1" t="s">
        <v>4743</v>
      </c>
    </row>
    <row r="509" spans="1:3" ht="12.75">
      <c r="A509" s="74" t="str">
        <f ca="1">IFERROR(VLOOKUP(C509,'DB_IMAGE UPLOAD'!$B$2:Z1000,5,0),"")</f>
        <v/>
      </c>
      <c r="C509" s="1" t="s">
        <v>4743</v>
      </c>
    </row>
    <row r="510" spans="1:3" ht="12.75">
      <c r="A510" s="74" t="str">
        <f ca="1">IFERROR(VLOOKUP(C510,'DB_IMAGE UPLOAD'!$B$2:Z1000,5,0),"")</f>
        <v/>
      </c>
      <c r="C510" s="1" t="s">
        <v>4743</v>
      </c>
    </row>
    <row r="511" spans="1:3" ht="12.75">
      <c r="A511" s="74" t="str">
        <f ca="1">IFERROR(VLOOKUP(C511,'DB_IMAGE UPLOAD'!$B$2:Z1000,5,0),"")</f>
        <v/>
      </c>
      <c r="C511" s="1" t="s">
        <v>4743</v>
      </c>
    </row>
    <row r="512" spans="1:3" ht="12.75">
      <c r="A512" s="74" t="str">
        <f ca="1">IFERROR(VLOOKUP(C512,'DB_IMAGE UPLOAD'!$B$2:Z1000,5,0),"")</f>
        <v/>
      </c>
      <c r="C512" s="1" t="s">
        <v>4743</v>
      </c>
    </row>
    <row r="513" spans="1:3" ht="12.75">
      <c r="A513" s="74" t="str">
        <f ca="1">IFERROR(VLOOKUP(C513,'DB_IMAGE UPLOAD'!$B$2:Z1000,5,0),"")</f>
        <v/>
      </c>
      <c r="C513" s="1" t="s">
        <v>4743</v>
      </c>
    </row>
    <row r="514" spans="1:3" ht="12.75">
      <c r="A514" s="74" t="str">
        <f ca="1">IFERROR(VLOOKUP(C514,'DB_IMAGE UPLOAD'!$B$2:Z1000,5,0),"")</f>
        <v/>
      </c>
      <c r="C514" s="1" t="s">
        <v>4743</v>
      </c>
    </row>
    <row r="515" spans="1:3" ht="12.75">
      <c r="A515" s="74" t="str">
        <f ca="1">IFERROR(VLOOKUP(C515,'DB_IMAGE UPLOAD'!$B$2:Z1000,5,0),"")</f>
        <v/>
      </c>
      <c r="C515" s="1" t="s">
        <v>4743</v>
      </c>
    </row>
    <row r="516" spans="1:3" ht="12.75">
      <c r="A516" s="74" t="str">
        <f ca="1">IFERROR(VLOOKUP(C516,'DB_IMAGE UPLOAD'!$B$2:Z1000,5,0),"")</f>
        <v/>
      </c>
      <c r="C516" s="1" t="s">
        <v>4743</v>
      </c>
    </row>
    <row r="517" spans="1:3" ht="12.75">
      <c r="A517" s="74" t="str">
        <f ca="1">IFERROR(VLOOKUP(C517,'DB_IMAGE UPLOAD'!$B$2:Z1000,5,0),"")</f>
        <v/>
      </c>
      <c r="C517" s="1" t="s">
        <v>4743</v>
      </c>
    </row>
    <row r="518" spans="1:3" ht="12.75">
      <c r="A518" s="74" t="str">
        <f ca="1">IFERROR(VLOOKUP(C518,'DB_IMAGE UPLOAD'!$B$2:Z1000,5,0),"")</f>
        <v/>
      </c>
      <c r="C518" s="1" t="s">
        <v>4743</v>
      </c>
    </row>
    <row r="519" spans="1:3" ht="12.75">
      <c r="A519" s="74" t="str">
        <f ca="1">IFERROR(VLOOKUP(C519,'DB_IMAGE UPLOAD'!$B$2:Z1000,5,0),"")</f>
        <v/>
      </c>
      <c r="C519" s="1" t="s">
        <v>4743</v>
      </c>
    </row>
    <row r="520" spans="1:3" ht="12.75">
      <c r="A520" s="74" t="str">
        <f ca="1">IFERROR(VLOOKUP(C520,'DB_IMAGE UPLOAD'!$B$2:Z1000,5,0),"")</f>
        <v/>
      </c>
      <c r="C520" s="1" t="s">
        <v>4743</v>
      </c>
    </row>
    <row r="521" spans="1:3" ht="12.75">
      <c r="A521" s="74" t="str">
        <f ca="1">IFERROR(VLOOKUP(C521,'DB_IMAGE UPLOAD'!$B$2:Z1000,5,0),"")</f>
        <v/>
      </c>
      <c r="C521" s="1" t="s">
        <v>4743</v>
      </c>
    </row>
    <row r="522" spans="1:3" ht="12.75">
      <c r="A522" s="74" t="str">
        <f ca="1">IFERROR(VLOOKUP(C522,'DB_IMAGE UPLOAD'!$B$2:Z1000,5,0),"")</f>
        <v/>
      </c>
      <c r="C522" s="1" t="s">
        <v>4743</v>
      </c>
    </row>
    <row r="523" spans="1:3" ht="12.75">
      <c r="A523" s="74" t="str">
        <f ca="1">IFERROR(VLOOKUP(C523,'DB_IMAGE UPLOAD'!$B$2:Z1000,5,0),"")</f>
        <v/>
      </c>
      <c r="C523" s="1" t="s">
        <v>4743</v>
      </c>
    </row>
    <row r="524" spans="1:3" ht="12.75">
      <c r="A524" s="74" t="str">
        <f ca="1">IFERROR(VLOOKUP(C524,'DB_IMAGE UPLOAD'!$B$2:Z1000,5,0),"")</f>
        <v/>
      </c>
      <c r="C524" s="1" t="s">
        <v>4743</v>
      </c>
    </row>
    <row r="525" spans="1:3" ht="12.75">
      <c r="A525" s="74" t="str">
        <f ca="1">IFERROR(VLOOKUP(C525,'DB_IMAGE UPLOAD'!$B$2:Z1000,5,0),"")</f>
        <v/>
      </c>
      <c r="C525" s="1" t="s">
        <v>4743</v>
      </c>
    </row>
    <row r="526" spans="1:3" ht="12.75">
      <c r="A526" s="74" t="str">
        <f ca="1">IFERROR(VLOOKUP(C526,'DB_IMAGE UPLOAD'!$B$2:Z1000,5,0),"")</f>
        <v/>
      </c>
      <c r="C526" s="1" t="s">
        <v>4743</v>
      </c>
    </row>
    <row r="527" spans="1:3" ht="12.75">
      <c r="A527" s="74" t="str">
        <f ca="1">IFERROR(VLOOKUP(C527,'DB_IMAGE UPLOAD'!$B$2:Z1000,5,0),"")</f>
        <v/>
      </c>
      <c r="C527" s="1" t="s">
        <v>4743</v>
      </c>
    </row>
    <row r="528" spans="1:3" ht="12.75">
      <c r="A528" s="74" t="str">
        <f ca="1">IFERROR(VLOOKUP(C528,'DB_IMAGE UPLOAD'!$B$2:Z1000,5,0),"")</f>
        <v/>
      </c>
      <c r="C528" s="1" t="s">
        <v>4743</v>
      </c>
    </row>
    <row r="529" spans="1:3" ht="12.75">
      <c r="A529" s="74" t="str">
        <f ca="1">IFERROR(VLOOKUP(C529,'DB_IMAGE UPLOAD'!$B$2:Z1000,5,0),"")</f>
        <v/>
      </c>
      <c r="C529" s="1" t="s">
        <v>4743</v>
      </c>
    </row>
    <row r="530" spans="1:3" ht="12.75">
      <c r="A530" s="74" t="str">
        <f ca="1">IFERROR(VLOOKUP(C530,'DB_IMAGE UPLOAD'!$B$2:Z1000,5,0),"")</f>
        <v/>
      </c>
      <c r="C530" s="1" t="s">
        <v>4743</v>
      </c>
    </row>
    <row r="531" spans="1:3" ht="12.75">
      <c r="A531" s="74" t="str">
        <f ca="1">IFERROR(VLOOKUP(C531,'DB_IMAGE UPLOAD'!$B$2:Z1000,5,0),"")</f>
        <v/>
      </c>
      <c r="C531" s="1" t="s">
        <v>4743</v>
      </c>
    </row>
    <row r="532" spans="1:3" ht="12.75">
      <c r="A532" s="74" t="str">
        <f ca="1">IFERROR(VLOOKUP(C532,'DB_IMAGE UPLOAD'!$B$2:Z1000,5,0),"")</f>
        <v/>
      </c>
      <c r="C532" s="1" t="s">
        <v>4743</v>
      </c>
    </row>
    <row r="533" spans="1:3" ht="12.75">
      <c r="A533" s="74" t="str">
        <f ca="1">IFERROR(VLOOKUP(C533,'DB_IMAGE UPLOAD'!$B$2:Z1000,5,0),"")</f>
        <v/>
      </c>
      <c r="C533" s="1" t="s">
        <v>4743</v>
      </c>
    </row>
    <row r="534" spans="1:3" ht="12.75">
      <c r="A534" s="74" t="str">
        <f ca="1">IFERROR(VLOOKUP(C534,'DB_IMAGE UPLOAD'!$B$2:Z1000,5,0),"")</f>
        <v/>
      </c>
      <c r="C534" s="1" t="s">
        <v>4743</v>
      </c>
    </row>
    <row r="535" spans="1:3" ht="12.75">
      <c r="A535" s="74" t="str">
        <f ca="1">IFERROR(VLOOKUP(C535,'DB_IMAGE UPLOAD'!$B$2:Z1000,5,0),"")</f>
        <v/>
      </c>
      <c r="C535" s="1" t="s">
        <v>4743</v>
      </c>
    </row>
    <row r="536" spans="1:3" ht="12.75">
      <c r="A536" s="74" t="str">
        <f ca="1">IFERROR(VLOOKUP(C536,'DB_IMAGE UPLOAD'!$B$2:Z1000,5,0),"")</f>
        <v/>
      </c>
      <c r="C536" s="1" t="s">
        <v>4743</v>
      </c>
    </row>
    <row r="537" spans="1:3" ht="12.75">
      <c r="A537" s="74" t="str">
        <f ca="1">IFERROR(VLOOKUP(C537,'DB_IMAGE UPLOAD'!$B$2:Z1000,5,0),"")</f>
        <v/>
      </c>
      <c r="C537" s="1" t="s">
        <v>4743</v>
      </c>
    </row>
    <row r="538" spans="1:3" ht="12.75">
      <c r="A538" s="74" t="str">
        <f ca="1">IFERROR(VLOOKUP(C538,'DB_IMAGE UPLOAD'!$B$2:Z1000,5,0),"")</f>
        <v/>
      </c>
      <c r="C538" s="1" t="s">
        <v>4743</v>
      </c>
    </row>
    <row r="539" spans="1:3" ht="12.75">
      <c r="A539" s="74" t="str">
        <f ca="1">IFERROR(VLOOKUP(C539,'DB_IMAGE UPLOAD'!$B$2:Z1000,5,0),"")</f>
        <v/>
      </c>
      <c r="C539" s="1" t="s">
        <v>4743</v>
      </c>
    </row>
    <row r="540" spans="1:3" ht="12.75">
      <c r="A540" s="74" t="str">
        <f ca="1">IFERROR(VLOOKUP(C540,'DB_IMAGE UPLOAD'!$B$2:Z1000,5,0),"")</f>
        <v/>
      </c>
      <c r="C540" s="1" t="s">
        <v>4743</v>
      </c>
    </row>
    <row r="541" spans="1:3" ht="12.75">
      <c r="A541" s="74" t="str">
        <f ca="1">IFERROR(VLOOKUP(C541,'DB_IMAGE UPLOAD'!$B$2:Z1000,5,0),"")</f>
        <v/>
      </c>
      <c r="C541" s="1" t="s">
        <v>4743</v>
      </c>
    </row>
    <row r="542" spans="1:3" ht="12.75">
      <c r="A542" s="74" t="str">
        <f ca="1">IFERROR(VLOOKUP(C542,'DB_IMAGE UPLOAD'!$B$2:Z1000,5,0),"")</f>
        <v/>
      </c>
      <c r="C542" s="1" t="s">
        <v>4743</v>
      </c>
    </row>
    <row r="543" spans="1:3" ht="12.75">
      <c r="A543" s="74" t="str">
        <f ca="1">IFERROR(VLOOKUP(C543,'DB_IMAGE UPLOAD'!$B$2:Z1000,5,0),"")</f>
        <v/>
      </c>
      <c r="C543" s="1" t="s">
        <v>4743</v>
      </c>
    </row>
    <row r="544" spans="1:3" ht="12.75">
      <c r="A544" s="74" t="str">
        <f ca="1">IFERROR(VLOOKUP(C544,'DB_IMAGE UPLOAD'!$B$2:Z1000,5,0),"")</f>
        <v/>
      </c>
      <c r="C544" s="1" t="s">
        <v>4743</v>
      </c>
    </row>
    <row r="545" spans="1:3" ht="12.75">
      <c r="A545" s="74" t="str">
        <f ca="1">IFERROR(VLOOKUP(C545,'DB_IMAGE UPLOAD'!$B$2:Z1000,5,0),"")</f>
        <v/>
      </c>
      <c r="C545" s="1" t="s">
        <v>4743</v>
      </c>
    </row>
    <row r="546" spans="1:3" ht="12.75">
      <c r="A546" s="74" t="str">
        <f ca="1">IFERROR(VLOOKUP(C546,'DB_IMAGE UPLOAD'!$B$2:Z1000,5,0),"")</f>
        <v/>
      </c>
      <c r="C546" s="1" t="s">
        <v>4743</v>
      </c>
    </row>
    <row r="547" spans="1:3" ht="12.75">
      <c r="A547" s="74" t="str">
        <f ca="1">IFERROR(VLOOKUP(C547,'DB_IMAGE UPLOAD'!$B$2:Z1000,5,0),"")</f>
        <v/>
      </c>
      <c r="C547" s="1" t="s">
        <v>4743</v>
      </c>
    </row>
    <row r="548" spans="1:3" ht="12.75">
      <c r="A548" s="74" t="str">
        <f ca="1">IFERROR(VLOOKUP(C548,'DB_IMAGE UPLOAD'!$B$2:Z1000,5,0),"")</f>
        <v/>
      </c>
      <c r="C548" s="1" t="s">
        <v>4743</v>
      </c>
    </row>
    <row r="549" spans="1:3" ht="12.75">
      <c r="A549" s="74" t="str">
        <f ca="1">IFERROR(VLOOKUP(C549,'DB_IMAGE UPLOAD'!$B$2:Z1000,5,0),"")</f>
        <v/>
      </c>
      <c r="C549" s="1" t="s">
        <v>4743</v>
      </c>
    </row>
    <row r="550" spans="1:3" ht="12.75">
      <c r="A550" s="74" t="str">
        <f ca="1">IFERROR(VLOOKUP(C550,'DB_IMAGE UPLOAD'!$B$2:Z1000,5,0),"")</f>
        <v/>
      </c>
      <c r="C550" s="1" t="s">
        <v>4743</v>
      </c>
    </row>
    <row r="551" spans="1:3" ht="12.75">
      <c r="A551" s="74" t="str">
        <f ca="1">IFERROR(VLOOKUP(C551,'DB_IMAGE UPLOAD'!$B$2:Z1000,5,0),"")</f>
        <v/>
      </c>
      <c r="C551" s="1" t="s">
        <v>4743</v>
      </c>
    </row>
    <row r="552" spans="1:3" ht="12.75">
      <c r="A552" s="74" t="str">
        <f ca="1">IFERROR(VLOOKUP(C552,'DB_IMAGE UPLOAD'!$B$2:Z1000,5,0),"")</f>
        <v/>
      </c>
      <c r="C552" s="1" t="s">
        <v>4743</v>
      </c>
    </row>
    <row r="553" spans="1:3" ht="12.75">
      <c r="A553" s="74" t="str">
        <f ca="1">IFERROR(VLOOKUP(C553,'DB_IMAGE UPLOAD'!$B$2:Z1000,5,0),"")</f>
        <v/>
      </c>
      <c r="C553" s="1" t="s">
        <v>4743</v>
      </c>
    </row>
    <row r="554" spans="1:3" ht="12.75">
      <c r="A554" s="74" t="str">
        <f ca="1">IFERROR(VLOOKUP(C554,'DB_IMAGE UPLOAD'!$B$2:Z1000,5,0),"")</f>
        <v/>
      </c>
      <c r="C554" s="1" t="s">
        <v>4743</v>
      </c>
    </row>
    <row r="555" spans="1:3" ht="12.75">
      <c r="A555" s="74" t="str">
        <f ca="1">IFERROR(VLOOKUP(C555,'DB_IMAGE UPLOAD'!$B$2:Z1000,5,0),"")</f>
        <v/>
      </c>
      <c r="C555" s="1" t="s">
        <v>4743</v>
      </c>
    </row>
    <row r="556" spans="1:3" ht="12.75">
      <c r="A556" s="74" t="str">
        <f ca="1">IFERROR(VLOOKUP(C556,'DB_IMAGE UPLOAD'!$B$2:Z1000,5,0),"")</f>
        <v/>
      </c>
      <c r="C556" s="1" t="s">
        <v>4743</v>
      </c>
    </row>
    <row r="557" spans="1:3" ht="12.75">
      <c r="A557" s="74" t="str">
        <f ca="1">IFERROR(VLOOKUP(C557,'DB_IMAGE UPLOAD'!$B$2:Z1000,5,0),"")</f>
        <v/>
      </c>
      <c r="C557" s="1" t="s">
        <v>4743</v>
      </c>
    </row>
    <row r="558" spans="1:3" ht="12.75">
      <c r="A558" s="74" t="str">
        <f ca="1">IFERROR(VLOOKUP(C558,'DB_IMAGE UPLOAD'!$B$2:Z1000,5,0),"")</f>
        <v/>
      </c>
      <c r="C558" s="1" t="s">
        <v>4743</v>
      </c>
    </row>
    <row r="559" spans="1:3" ht="12.75">
      <c r="A559" s="74" t="str">
        <f ca="1">IFERROR(VLOOKUP(C559,'DB_IMAGE UPLOAD'!$B$2:Z1000,5,0),"")</f>
        <v/>
      </c>
      <c r="C559" s="1" t="s">
        <v>4743</v>
      </c>
    </row>
    <row r="560" spans="1:3" ht="12.75">
      <c r="A560" s="74" t="str">
        <f ca="1">IFERROR(VLOOKUP(C560,'DB_IMAGE UPLOAD'!$B$2:Z1000,5,0),"")</f>
        <v/>
      </c>
      <c r="C560" s="1" t="s">
        <v>4743</v>
      </c>
    </row>
    <row r="561" spans="1:3" ht="12.75">
      <c r="A561" s="74" t="str">
        <f ca="1">IFERROR(VLOOKUP(C561,'DB_IMAGE UPLOAD'!$B$2:Z1000,5,0),"")</f>
        <v/>
      </c>
      <c r="C561" s="1" t="s">
        <v>4743</v>
      </c>
    </row>
    <row r="562" spans="1:3" ht="12.75">
      <c r="A562" s="74" t="str">
        <f ca="1">IFERROR(VLOOKUP(C562,'DB_IMAGE UPLOAD'!$B$2:Z1000,5,0),"")</f>
        <v/>
      </c>
      <c r="C562" s="1" t="s">
        <v>4743</v>
      </c>
    </row>
    <row r="563" spans="1:3" ht="12.75">
      <c r="A563" s="74" t="str">
        <f ca="1">IFERROR(VLOOKUP(C563,'DB_IMAGE UPLOAD'!$B$2:Z1000,5,0),"")</f>
        <v/>
      </c>
      <c r="C563" s="1" t="s">
        <v>4743</v>
      </c>
    </row>
    <row r="564" spans="1:3" ht="12.75">
      <c r="A564" s="74" t="str">
        <f ca="1">IFERROR(VLOOKUP(C564,'DB_IMAGE UPLOAD'!$B$2:Z1000,5,0),"")</f>
        <v/>
      </c>
      <c r="C564" s="1" t="s">
        <v>4743</v>
      </c>
    </row>
    <row r="565" spans="1:3" ht="12.75">
      <c r="A565" s="74" t="str">
        <f ca="1">IFERROR(VLOOKUP(C565,'DB_IMAGE UPLOAD'!$B$2:Z1000,5,0),"")</f>
        <v/>
      </c>
      <c r="C565" s="1" t="s">
        <v>4743</v>
      </c>
    </row>
    <row r="566" spans="1:3" ht="12.75">
      <c r="A566" s="74" t="str">
        <f ca="1">IFERROR(VLOOKUP(C566,'DB_IMAGE UPLOAD'!$B$2:Z1000,5,0),"")</f>
        <v/>
      </c>
      <c r="C566" s="1" t="s">
        <v>4743</v>
      </c>
    </row>
    <row r="567" spans="1:3" ht="12.75">
      <c r="A567" s="74" t="str">
        <f ca="1">IFERROR(VLOOKUP(C567,'DB_IMAGE UPLOAD'!$B$2:Z1000,5,0),"")</f>
        <v/>
      </c>
      <c r="C567" s="1" t="s">
        <v>4743</v>
      </c>
    </row>
    <row r="568" spans="1:3" ht="12.75">
      <c r="A568" s="74" t="str">
        <f ca="1">IFERROR(VLOOKUP(C568,'DB_IMAGE UPLOAD'!$B$2:Z1000,5,0),"")</f>
        <v/>
      </c>
      <c r="C568" s="1" t="s">
        <v>4743</v>
      </c>
    </row>
    <row r="569" spans="1:3" ht="12.75">
      <c r="A569" s="74" t="str">
        <f ca="1">IFERROR(VLOOKUP(C569,'DB_IMAGE UPLOAD'!$B$2:Z1000,5,0),"")</f>
        <v/>
      </c>
      <c r="C569" s="1" t="s">
        <v>4743</v>
      </c>
    </row>
    <row r="570" spans="1:3" ht="12.75">
      <c r="A570" s="74" t="str">
        <f ca="1">IFERROR(VLOOKUP(C570,'DB_IMAGE UPLOAD'!$B$2:Z1000,5,0),"")</f>
        <v/>
      </c>
      <c r="C570" s="1" t="s">
        <v>4743</v>
      </c>
    </row>
    <row r="571" spans="1:3" ht="12.75">
      <c r="A571" s="74" t="str">
        <f ca="1">IFERROR(VLOOKUP(C571,'DB_IMAGE UPLOAD'!$B$2:Z1000,5,0),"")</f>
        <v/>
      </c>
      <c r="C571" s="1" t="s">
        <v>4743</v>
      </c>
    </row>
    <row r="572" spans="1:3" ht="12.75">
      <c r="A572" s="74" t="str">
        <f ca="1">IFERROR(VLOOKUP(C572,'DB_IMAGE UPLOAD'!$B$2:Z1000,5,0),"")</f>
        <v/>
      </c>
      <c r="C572" s="1" t="s">
        <v>4743</v>
      </c>
    </row>
    <row r="573" spans="1:3" ht="12.75">
      <c r="A573" s="74" t="str">
        <f ca="1">IFERROR(VLOOKUP(C573,'DB_IMAGE UPLOAD'!$B$2:Z1000,5,0),"")</f>
        <v/>
      </c>
      <c r="C573" s="1" t="s">
        <v>4743</v>
      </c>
    </row>
    <row r="574" spans="1:3" ht="12.75">
      <c r="A574" s="74" t="str">
        <f ca="1">IFERROR(VLOOKUP(C574,'DB_IMAGE UPLOAD'!$B$2:Z1000,5,0),"")</f>
        <v/>
      </c>
      <c r="C574" s="1" t="s">
        <v>4743</v>
      </c>
    </row>
    <row r="575" spans="1:3" ht="12.75">
      <c r="A575" s="74" t="str">
        <f ca="1">IFERROR(VLOOKUP(C575,'DB_IMAGE UPLOAD'!$B$2:Z1000,5,0),"")</f>
        <v/>
      </c>
      <c r="C575" s="1" t="s">
        <v>4743</v>
      </c>
    </row>
    <row r="576" spans="1:3" ht="12.75">
      <c r="A576" s="74" t="str">
        <f ca="1">IFERROR(VLOOKUP(C576,'DB_IMAGE UPLOAD'!$B$2:Z1000,5,0),"")</f>
        <v/>
      </c>
      <c r="C576" s="1" t="s">
        <v>4743</v>
      </c>
    </row>
    <row r="577" spans="1:3" ht="12.75">
      <c r="A577" s="74" t="str">
        <f ca="1">IFERROR(VLOOKUP(C577,'DB_IMAGE UPLOAD'!$B$2:Z1000,5,0),"")</f>
        <v/>
      </c>
      <c r="C577" s="1" t="s">
        <v>4743</v>
      </c>
    </row>
    <row r="578" spans="1:3" ht="12.75">
      <c r="A578" s="74" t="str">
        <f ca="1">IFERROR(VLOOKUP(C578,'DB_IMAGE UPLOAD'!$B$2:Z1000,5,0),"")</f>
        <v/>
      </c>
      <c r="C578" s="1" t="s">
        <v>4743</v>
      </c>
    </row>
    <row r="579" spans="1:3" ht="12.75">
      <c r="A579" s="74" t="str">
        <f ca="1">IFERROR(VLOOKUP(C579,'DB_IMAGE UPLOAD'!$B$2:Z1000,5,0),"")</f>
        <v/>
      </c>
      <c r="C579" s="1" t="s">
        <v>4743</v>
      </c>
    </row>
    <row r="580" spans="1:3" ht="12.75">
      <c r="A580" s="74" t="str">
        <f ca="1">IFERROR(VLOOKUP(C580,'DB_IMAGE UPLOAD'!$B$2:Z1000,5,0),"")</f>
        <v/>
      </c>
      <c r="C580" s="1" t="s">
        <v>4743</v>
      </c>
    </row>
    <row r="581" spans="1:3" ht="12.75">
      <c r="A581" s="74" t="str">
        <f ca="1">IFERROR(VLOOKUP(C581,'DB_IMAGE UPLOAD'!$B$2:Z1000,5,0),"")</f>
        <v/>
      </c>
      <c r="C581" s="1" t="s">
        <v>4743</v>
      </c>
    </row>
    <row r="582" spans="1:3" ht="12.75">
      <c r="A582" s="74" t="str">
        <f ca="1">IFERROR(VLOOKUP(C582,'DB_IMAGE UPLOAD'!$B$2:Z1000,5,0),"")</f>
        <v/>
      </c>
      <c r="C582" s="1" t="s">
        <v>4743</v>
      </c>
    </row>
    <row r="583" spans="1:3" ht="12.75">
      <c r="A583" s="74" t="str">
        <f ca="1">IFERROR(VLOOKUP(C583,'DB_IMAGE UPLOAD'!$B$2:Z1000,5,0),"")</f>
        <v/>
      </c>
      <c r="C583" s="1" t="s">
        <v>4743</v>
      </c>
    </row>
    <row r="584" spans="1:3" ht="12.75">
      <c r="A584" s="74" t="str">
        <f ca="1">IFERROR(VLOOKUP(C584,'DB_IMAGE UPLOAD'!$B$2:Z1000,5,0),"")</f>
        <v/>
      </c>
      <c r="C584" s="1" t="s">
        <v>4743</v>
      </c>
    </row>
    <row r="585" spans="1:3" ht="12.75">
      <c r="A585" s="74" t="str">
        <f ca="1">IFERROR(VLOOKUP(C585,'DB_IMAGE UPLOAD'!$B$2:Z1000,5,0),"")</f>
        <v/>
      </c>
      <c r="C585" s="1" t="s">
        <v>4743</v>
      </c>
    </row>
    <row r="586" spans="1:3" ht="12.75">
      <c r="A586" s="74" t="str">
        <f ca="1">IFERROR(VLOOKUP(C586,'DB_IMAGE UPLOAD'!$B$2:Z1000,5,0),"")</f>
        <v/>
      </c>
      <c r="C586" s="1" t="s">
        <v>4743</v>
      </c>
    </row>
    <row r="587" spans="1:3" ht="12.75">
      <c r="A587" s="74" t="str">
        <f ca="1">IFERROR(VLOOKUP(C587,'DB_IMAGE UPLOAD'!$B$2:Z1000,5,0),"")</f>
        <v/>
      </c>
      <c r="C587" s="1" t="s">
        <v>4743</v>
      </c>
    </row>
    <row r="588" spans="1:3" ht="12.75">
      <c r="A588" s="74" t="str">
        <f ca="1">IFERROR(VLOOKUP(C588,'DB_IMAGE UPLOAD'!$B$2:Z1000,5,0),"")</f>
        <v/>
      </c>
      <c r="C588" s="1" t="s">
        <v>4743</v>
      </c>
    </row>
    <row r="589" spans="1:3" ht="12.75">
      <c r="A589" s="74" t="str">
        <f ca="1">IFERROR(VLOOKUP(C589,'DB_IMAGE UPLOAD'!$B$2:Z1000,5,0),"")</f>
        <v/>
      </c>
      <c r="C589" s="1" t="s">
        <v>4743</v>
      </c>
    </row>
    <row r="590" spans="1:3" ht="12.75">
      <c r="A590" s="74" t="str">
        <f ca="1">IFERROR(VLOOKUP(C590,'DB_IMAGE UPLOAD'!$B$2:Z1000,5,0),"")</f>
        <v/>
      </c>
      <c r="C590" s="1" t="s">
        <v>4743</v>
      </c>
    </row>
    <row r="591" spans="1:3" ht="12.75">
      <c r="A591" s="74" t="str">
        <f ca="1">IFERROR(VLOOKUP(C591,'DB_IMAGE UPLOAD'!$B$2:Z1000,5,0),"")</f>
        <v/>
      </c>
      <c r="C591" s="1" t="s">
        <v>4743</v>
      </c>
    </row>
    <row r="592" spans="1:3" ht="12.75">
      <c r="A592" s="74" t="str">
        <f ca="1">IFERROR(VLOOKUP(C592,'DB_IMAGE UPLOAD'!$B$2:Z1000,5,0),"")</f>
        <v/>
      </c>
      <c r="C592" s="1" t="s">
        <v>4743</v>
      </c>
    </row>
    <row r="593" spans="1:3" ht="12.75">
      <c r="A593" s="74" t="str">
        <f ca="1">IFERROR(VLOOKUP(C593,'DB_IMAGE UPLOAD'!$B$2:Z1000,5,0),"")</f>
        <v/>
      </c>
      <c r="C593" s="1" t="s">
        <v>4743</v>
      </c>
    </row>
    <row r="594" spans="1:3" ht="12.75">
      <c r="A594" s="74" t="str">
        <f ca="1">IFERROR(VLOOKUP(C594,'DB_IMAGE UPLOAD'!$B$2:Z1000,5,0),"")</f>
        <v/>
      </c>
      <c r="C594" s="1" t="s">
        <v>4743</v>
      </c>
    </row>
    <row r="595" spans="1:3" ht="12.75">
      <c r="A595" s="74" t="str">
        <f ca="1">IFERROR(VLOOKUP(C595,'DB_IMAGE UPLOAD'!$B$2:Z1000,5,0),"")</f>
        <v/>
      </c>
      <c r="C595" s="1" t="s">
        <v>4743</v>
      </c>
    </row>
    <row r="596" spans="1:3" ht="12.75">
      <c r="A596" s="74" t="str">
        <f ca="1">IFERROR(VLOOKUP(C596,'DB_IMAGE UPLOAD'!$B$2:Z1000,5,0),"")</f>
        <v/>
      </c>
      <c r="C596" s="1" t="s">
        <v>4743</v>
      </c>
    </row>
    <row r="597" spans="1:3" ht="12.75">
      <c r="A597" s="74" t="str">
        <f ca="1">IFERROR(VLOOKUP(C597,'DB_IMAGE UPLOAD'!$B$2:Z1000,5,0),"")</f>
        <v/>
      </c>
      <c r="C597" s="1" t="s">
        <v>4743</v>
      </c>
    </row>
    <row r="598" spans="1:3" ht="12.75">
      <c r="A598" s="74" t="str">
        <f ca="1">IFERROR(VLOOKUP(C598,'DB_IMAGE UPLOAD'!$B$2:Z1000,5,0),"")</f>
        <v/>
      </c>
      <c r="C598" s="1" t="s">
        <v>4743</v>
      </c>
    </row>
    <row r="599" spans="1:3" ht="12.75">
      <c r="A599" s="74" t="str">
        <f ca="1">IFERROR(VLOOKUP(C599,'DB_IMAGE UPLOAD'!$B$2:Z1000,5,0),"")</f>
        <v/>
      </c>
      <c r="C599" s="1" t="s">
        <v>4743</v>
      </c>
    </row>
    <row r="600" spans="1:3" ht="12.75">
      <c r="A600" s="74" t="str">
        <f ca="1">IFERROR(VLOOKUP(C600,'DB_IMAGE UPLOAD'!$B$2:Z1000,5,0),"")</f>
        <v/>
      </c>
      <c r="C600" s="1" t="s">
        <v>4743</v>
      </c>
    </row>
    <row r="601" spans="1:3" ht="12.75">
      <c r="A601" s="74" t="str">
        <f ca="1">IFERROR(VLOOKUP(C601,'DB_IMAGE UPLOAD'!$B$2:Z1000,5,0),"")</f>
        <v/>
      </c>
      <c r="C601" s="1" t="s">
        <v>4743</v>
      </c>
    </row>
    <row r="602" spans="1:3" ht="12.75">
      <c r="A602" s="74" t="str">
        <f ca="1">IFERROR(VLOOKUP(C602,'DB_IMAGE UPLOAD'!$B$2:Z1000,5,0),"")</f>
        <v/>
      </c>
      <c r="C602" s="1" t="s">
        <v>4743</v>
      </c>
    </row>
    <row r="603" spans="1:3" ht="12.75">
      <c r="A603" s="74" t="str">
        <f ca="1">IFERROR(VLOOKUP(C603,'DB_IMAGE UPLOAD'!$B$2:Z1000,5,0),"")</f>
        <v/>
      </c>
      <c r="C603" s="1" t="s">
        <v>4743</v>
      </c>
    </row>
    <row r="604" spans="1:3" ht="12.75">
      <c r="A604" s="74" t="str">
        <f ca="1">IFERROR(VLOOKUP(C604,'DB_IMAGE UPLOAD'!$B$2:Z1000,5,0),"")</f>
        <v/>
      </c>
      <c r="C604" s="1" t="s">
        <v>4743</v>
      </c>
    </row>
    <row r="605" spans="1:3" ht="12.75">
      <c r="A605" s="74" t="str">
        <f ca="1">IFERROR(VLOOKUP(C605,'DB_IMAGE UPLOAD'!$B$2:Z1000,5,0),"")</f>
        <v/>
      </c>
      <c r="C605" s="1" t="s">
        <v>4743</v>
      </c>
    </row>
    <row r="606" spans="1:3" ht="12.75">
      <c r="A606" s="74" t="str">
        <f ca="1">IFERROR(VLOOKUP(C606,'DB_IMAGE UPLOAD'!$B$2:Z1000,5,0),"")</f>
        <v/>
      </c>
      <c r="C606" s="1" t="s">
        <v>4743</v>
      </c>
    </row>
    <row r="607" spans="1:3" ht="12.75">
      <c r="A607" s="74" t="str">
        <f ca="1">IFERROR(VLOOKUP(C607,'DB_IMAGE UPLOAD'!$B$2:Z1000,5,0),"")</f>
        <v/>
      </c>
      <c r="C607" s="1" t="s">
        <v>4743</v>
      </c>
    </row>
    <row r="608" spans="1:3" ht="12.75">
      <c r="A608" s="74" t="str">
        <f ca="1">IFERROR(VLOOKUP(C608,'DB_IMAGE UPLOAD'!$B$2:Z1000,5,0),"")</f>
        <v/>
      </c>
      <c r="C608" s="1" t="s">
        <v>4743</v>
      </c>
    </row>
    <row r="609" spans="1:3" ht="12.75">
      <c r="A609" s="74" t="str">
        <f ca="1">IFERROR(VLOOKUP(C609,'DB_IMAGE UPLOAD'!$B$2:Z1000,5,0),"")</f>
        <v/>
      </c>
      <c r="C609" s="1" t="s">
        <v>4743</v>
      </c>
    </row>
    <row r="610" spans="1:3" ht="12.75">
      <c r="A610" s="74" t="str">
        <f ca="1">IFERROR(VLOOKUP(C610,'DB_IMAGE UPLOAD'!$B$2:Z1000,5,0),"")</f>
        <v/>
      </c>
      <c r="C610" s="1" t="s">
        <v>4743</v>
      </c>
    </row>
    <row r="611" spans="1:3" ht="12.75">
      <c r="A611" s="74" t="str">
        <f ca="1">IFERROR(VLOOKUP(C611,'DB_IMAGE UPLOAD'!$B$2:Z1000,5,0),"")</f>
        <v/>
      </c>
      <c r="C611" s="1" t="s">
        <v>4743</v>
      </c>
    </row>
    <row r="612" spans="1:3" ht="12.75">
      <c r="A612" s="74" t="str">
        <f ca="1">IFERROR(VLOOKUP(C612,'DB_IMAGE UPLOAD'!$B$2:Z1000,5,0),"")</f>
        <v/>
      </c>
      <c r="C612" s="1" t="s">
        <v>4743</v>
      </c>
    </row>
    <row r="613" spans="1:3" ht="12.75">
      <c r="A613" s="74" t="str">
        <f ca="1">IFERROR(VLOOKUP(C613,'DB_IMAGE UPLOAD'!$B$2:Z1000,5,0),"")</f>
        <v/>
      </c>
      <c r="C613" s="1" t="s">
        <v>4743</v>
      </c>
    </row>
    <row r="614" spans="1:3" ht="12.75">
      <c r="A614" s="74" t="str">
        <f ca="1">IFERROR(VLOOKUP(C614,'DB_IMAGE UPLOAD'!$B$2:Z1000,5,0),"")</f>
        <v/>
      </c>
      <c r="C614" s="1" t="s">
        <v>4743</v>
      </c>
    </row>
    <row r="615" spans="1:3" ht="12.75">
      <c r="A615" s="74" t="str">
        <f ca="1">IFERROR(VLOOKUP(C615,'DB_IMAGE UPLOAD'!$B$2:Z1000,5,0),"")</f>
        <v/>
      </c>
      <c r="C615" s="1" t="s">
        <v>4743</v>
      </c>
    </row>
    <row r="616" spans="1:3" ht="12.75">
      <c r="A616" s="74" t="str">
        <f ca="1">IFERROR(VLOOKUP(C616,'DB_IMAGE UPLOAD'!$B$2:Z1000,5,0),"")</f>
        <v/>
      </c>
      <c r="C616" s="1" t="s">
        <v>4743</v>
      </c>
    </row>
    <row r="617" spans="1:3" ht="12.75">
      <c r="A617" s="74" t="str">
        <f ca="1">IFERROR(VLOOKUP(C617,'DB_IMAGE UPLOAD'!$B$2:Z1000,5,0),"")</f>
        <v/>
      </c>
      <c r="C617" s="1" t="s">
        <v>4743</v>
      </c>
    </row>
    <row r="618" spans="1:3" ht="12.75">
      <c r="A618" s="74" t="str">
        <f ca="1">IFERROR(VLOOKUP(C618,'DB_IMAGE UPLOAD'!$B$2:Z1000,5,0),"")</f>
        <v/>
      </c>
      <c r="C618" s="1" t="s">
        <v>4743</v>
      </c>
    </row>
    <row r="619" spans="1:3" ht="12.75">
      <c r="A619" s="74" t="str">
        <f ca="1">IFERROR(VLOOKUP(C619,'DB_IMAGE UPLOAD'!$B$2:Z1000,5,0),"")</f>
        <v/>
      </c>
      <c r="C619" s="1" t="s">
        <v>4743</v>
      </c>
    </row>
    <row r="620" spans="1:3" ht="12.75">
      <c r="A620" s="74" t="str">
        <f ca="1">IFERROR(VLOOKUP(C620,'DB_IMAGE UPLOAD'!$B$2:Z1000,5,0),"")</f>
        <v/>
      </c>
      <c r="C620" s="1" t="s">
        <v>4743</v>
      </c>
    </row>
    <row r="621" spans="1:3" ht="12.75">
      <c r="A621" s="74" t="str">
        <f ca="1">IFERROR(VLOOKUP(C621,'DB_IMAGE UPLOAD'!$B$2:Z1000,5,0),"")</f>
        <v/>
      </c>
      <c r="C621" s="1" t="s">
        <v>4743</v>
      </c>
    </row>
    <row r="622" spans="1:3" ht="12.75">
      <c r="A622" s="74" t="str">
        <f ca="1">IFERROR(VLOOKUP(C622,'DB_IMAGE UPLOAD'!$B$2:Z1000,5,0),"")</f>
        <v/>
      </c>
      <c r="C622" s="1" t="s">
        <v>4743</v>
      </c>
    </row>
    <row r="623" spans="1:3" ht="12.75">
      <c r="A623" s="74" t="str">
        <f ca="1">IFERROR(VLOOKUP(C623,'DB_IMAGE UPLOAD'!$B$2:Z1000,5,0),"")</f>
        <v/>
      </c>
      <c r="C623" s="1" t="s">
        <v>4743</v>
      </c>
    </row>
    <row r="624" spans="1:3" ht="12.75">
      <c r="A624" s="74" t="str">
        <f ca="1">IFERROR(VLOOKUP(C624,'DB_IMAGE UPLOAD'!$B$2:Z1000,5,0),"")</f>
        <v/>
      </c>
      <c r="C624" s="1" t="s">
        <v>4743</v>
      </c>
    </row>
    <row r="625" spans="1:3" ht="12.75">
      <c r="A625" s="74" t="str">
        <f ca="1">IFERROR(VLOOKUP(C625,'DB_IMAGE UPLOAD'!$B$2:Z1000,5,0),"")</f>
        <v/>
      </c>
      <c r="C625" s="1" t="s">
        <v>4743</v>
      </c>
    </row>
    <row r="626" spans="1:3" ht="12.75">
      <c r="A626" s="74" t="str">
        <f ca="1">IFERROR(VLOOKUP(C626,'DB_IMAGE UPLOAD'!$B$2:Z1000,5,0),"")</f>
        <v/>
      </c>
      <c r="C626" s="1" t="s">
        <v>4743</v>
      </c>
    </row>
    <row r="627" spans="1:3" ht="12.75">
      <c r="A627" s="74" t="str">
        <f ca="1">IFERROR(VLOOKUP(C627,'DB_IMAGE UPLOAD'!$B$2:Z1000,5,0),"")</f>
        <v/>
      </c>
      <c r="C627" s="1" t="s">
        <v>4743</v>
      </c>
    </row>
    <row r="628" spans="1:3" ht="12.75">
      <c r="A628" s="74" t="str">
        <f ca="1">IFERROR(VLOOKUP(C628,'DB_IMAGE UPLOAD'!$B$2:Z1000,5,0),"")</f>
        <v/>
      </c>
      <c r="C628" s="1" t="s">
        <v>4743</v>
      </c>
    </row>
    <row r="629" spans="1:3" ht="12.75">
      <c r="A629" s="74" t="str">
        <f ca="1">IFERROR(VLOOKUP(C629,'DB_IMAGE UPLOAD'!$B$2:Z1000,5,0),"")</f>
        <v/>
      </c>
      <c r="C629" s="1" t="s">
        <v>4743</v>
      </c>
    </row>
    <row r="630" spans="1:3" ht="12.75">
      <c r="A630" s="74" t="str">
        <f ca="1">IFERROR(VLOOKUP(C630,'DB_IMAGE UPLOAD'!$B$2:Z1000,5,0),"")</f>
        <v/>
      </c>
      <c r="C630" s="1" t="s">
        <v>4743</v>
      </c>
    </row>
    <row r="631" spans="1:3" ht="12.75">
      <c r="A631" s="74" t="str">
        <f ca="1">IFERROR(VLOOKUP(C631,'DB_IMAGE UPLOAD'!$B$2:Z1000,5,0),"")</f>
        <v/>
      </c>
      <c r="C631" s="1" t="s">
        <v>4743</v>
      </c>
    </row>
    <row r="632" spans="1:3" ht="12.75">
      <c r="A632" s="74" t="str">
        <f ca="1">IFERROR(VLOOKUP(C632,'DB_IMAGE UPLOAD'!$B$2:Z1000,5,0),"")</f>
        <v/>
      </c>
      <c r="C632" s="1" t="s">
        <v>4743</v>
      </c>
    </row>
    <row r="633" spans="1:3" ht="12.75">
      <c r="A633" s="74" t="str">
        <f ca="1">IFERROR(VLOOKUP(C633,'DB_IMAGE UPLOAD'!$B$2:Z1000,5,0),"")</f>
        <v/>
      </c>
      <c r="C633" s="1" t="s">
        <v>4743</v>
      </c>
    </row>
    <row r="634" spans="1:3" ht="12.75">
      <c r="A634" s="74" t="str">
        <f ca="1">IFERROR(VLOOKUP(C634,'DB_IMAGE UPLOAD'!$B$2:Z1000,5,0),"")</f>
        <v/>
      </c>
      <c r="C634" s="1" t="s">
        <v>4743</v>
      </c>
    </row>
    <row r="635" spans="1:3" ht="12.75">
      <c r="A635" s="74" t="str">
        <f ca="1">IFERROR(VLOOKUP(C635,'DB_IMAGE UPLOAD'!$B$2:Z1000,5,0),"")</f>
        <v/>
      </c>
      <c r="C635" s="1" t="s">
        <v>4743</v>
      </c>
    </row>
    <row r="636" spans="1:3" ht="12.75">
      <c r="A636" s="74" t="str">
        <f ca="1">IFERROR(VLOOKUP(C636,'DB_IMAGE UPLOAD'!$B$2:Z1000,5,0),"")</f>
        <v/>
      </c>
      <c r="C636" s="1" t="s">
        <v>4743</v>
      </c>
    </row>
    <row r="637" spans="1:3" ht="12.75">
      <c r="A637" s="74" t="str">
        <f ca="1">IFERROR(VLOOKUP(C637,'DB_IMAGE UPLOAD'!$B$2:Z1000,5,0),"")</f>
        <v/>
      </c>
      <c r="C637" s="1" t="s">
        <v>4743</v>
      </c>
    </row>
    <row r="638" spans="1:3" ht="12.75">
      <c r="A638" s="74" t="str">
        <f ca="1">IFERROR(VLOOKUP(C638,'DB_IMAGE UPLOAD'!$B$2:Z1000,5,0),"")</f>
        <v/>
      </c>
      <c r="C638" s="1" t="s">
        <v>4743</v>
      </c>
    </row>
    <row r="639" spans="1:3" ht="12.75">
      <c r="A639" s="74" t="str">
        <f ca="1">IFERROR(VLOOKUP(C639,'DB_IMAGE UPLOAD'!$B$2:Z1000,5,0),"")</f>
        <v/>
      </c>
      <c r="C639" s="1" t="s">
        <v>4743</v>
      </c>
    </row>
    <row r="640" spans="1:3" ht="12.75">
      <c r="A640" s="74" t="str">
        <f ca="1">IFERROR(VLOOKUP(C640,'DB_IMAGE UPLOAD'!$B$2:Z1000,5,0),"")</f>
        <v/>
      </c>
      <c r="C640" s="1" t="s">
        <v>4743</v>
      </c>
    </row>
    <row r="641" spans="1:3" ht="12.75">
      <c r="A641" s="74" t="str">
        <f ca="1">IFERROR(VLOOKUP(C641,'DB_IMAGE UPLOAD'!$B$2:Z1000,5,0),"")</f>
        <v/>
      </c>
      <c r="C641" s="1" t="s">
        <v>4743</v>
      </c>
    </row>
    <row r="642" spans="1:3" ht="12.75">
      <c r="A642" s="74" t="str">
        <f ca="1">IFERROR(VLOOKUP(C642,'DB_IMAGE UPLOAD'!$B$2:Z1000,5,0),"")</f>
        <v/>
      </c>
      <c r="C642" s="1" t="s">
        <v>4743</v>
      </c>
    </row>
    <row r="643" spans="1:3" ht="12.75">
      <c r="A643" s="74" t="str">
        <f ca="1">IFERROR(VLOOKUP(C643,'DB_IMAGE UPLOAD'!$B$2:Z1000,5,0),"")</f>
        <v/>
      </c>
      <c r="C643" s="1" t="s">
        <v>4743</v>
      </c>
    </row>
    <row r="644" spans="1:3" ht="12.75">
      <c r="A644" s="74" t="str">
        <f ca="1">IFERROR(VLOOKUP(C644,'DB_IMAGE UPLOAD'!$B$2:Z1000,5,0),"")</f>
        <v/>
      </c>
      <c r="C644" s="1" t="s">
        <v>4743</v>
      </c>
    </row>
    <row r="645" spans="1:3" ht="12.75">
      <c r="A645" s="74" t="str">
        <f ca="1">IFERROR(VLOOKUP(C645,'DB_IMAGE UPLOAD'!$B$2:Z1000,5,0),"")</f>
        <v/>
      </c>
      <c r="C645" s="1" t="s">
        <v>4743</v>
      </c>
    </row>
    <row r="646" spans="1:3" ht="12.75">
      <c r="A646" s="74" t="str">
        <f ca="1">IFERROR(VLOOKUP(C646,'DB_IMAGE UPLOAD'!$B$2:Z1000,5,0),"")</f>
        <v/>
      </c>
      <c r="C646" s="1" t="s">
        <v>4743</v>
      </c>
    </row>
    <row r="647" spans="1:3" ht="12.75">
      <c r="A647" s="74" t="str">
        <f ca="1">IFERROR(VLOOKUP(C647,'DB_IMAGE UPLOAD'!$B$2:Z1000,5,0),"")</f>
        <v/>
      </c>
      <c r="C647" s="1" t="s">
        <v>4743</v>
      </c>
    </row>
    <row r="648" spans="1:3" ht="12.75">
      <c r="A648" s="74" t="str">
        <f ca="1">IFERROR(VLOOKUP(C648,'DB_IMAGE UPLOAD'!$B$2:Z1000,5,0),"")</f>
        <v/>
      </c>
      <c r="C648" s="1" t="s">
        <v>4743</v>
      </c>
    </row>
    <row r="649" spans="1:3" ht="12.75">
      <c r="A649" s="74" t="str">
        <f ca="1">IFERROR(VLOOKUP(C649,'DB_IMAGE UPLOAD'!$B$2:Z1000,5,0),"")</f>
        <v/>
      </c>
      <c r="C649" s="1" t="s">
        <v>4743</v>
      </c>
    </row>
    <row r="650" spans="1:3" ht="12.75">
      <c r="A650" s="74" t="str">
        <f ca="1">IFERROR(VLOOKUP(C650,'DB_IMAGE UPLOAD'!$B$2:Z1000,5,0),"")</f>
        <v/>
      </c>
      <c r="C650" s="1" t="s">
        <v>4743</v>
      </c>
    </row>
    <row r="651" spans="1:3" ht="12.75">
      <c r="A651" s="74" t="str">
        <f ca="1">IFERROR(VLOOKUP(C651,'DB_IMAGE UPLOAD'!$B$2:Z1000,5,0),"")</f>
        <v/>
      </c>
      <c r="C651" s="1" t="s">
        <v>4743</v>
      </c>
    </row>
    <row r="652" spans="1:3" ht="12.75">
      <c r="A652" s="74" t="str">
        <f ca="1">IFERROR(VLOOKUP(C652,'DB_IMAGE UPLOAD'!$B$2:Z1000,5,0),"")</f>
        <v/>
      </c>
      <c r="C652" s="1" t="s">
        <v>4743</v>
      </c>
    </row>
    <row r="653" spans="1:3" ht="12.75">
      <c r="A653" s="74" t="str">
        <f ca="1">IFERROR(VLOOKUP(C653,'DB_IMAGE UPLOAD'!$B$2:Z1000,5,0),"")</f>
        <v/>
      </c>
      <c r="C653" s="1" t="s">
        <v>4743</v>
      </c>
    </row>
    <row r="654" spans="1:3" ht="12.75">
      <c r="A654" s="74" t="str">
        <f ca="1">IFERROR(VLOOKUP(C654,'DB_IMAGE UPLOAD'!$B$2:Z1000,5,0),"")</f>
        <v/>
      </c>
      <c r="C654" s="1" t="s">
        <v>4743</v>
      </c>
    </row>
    <row r="655" spans="1:3" ht="12.75">
      <c r="A655" s="74" t="str">
        <f ca="1">IFERROR(VLOOKUP(C655,'DB_IMAGE UPLOAD'!$B$2:Z1000,5,0),"")</f>
        <v/>
      </c>
      <c r="C655" s="1" t="s">
        <v>4743</v>
      </c>
    </row>
    <row r="656" spans="1:3" ht="12.75">
      <c r="A656" s="74" t="str">
        <f ca="1">IFERROR(VLOOKUP(C656,'DB_IMAGE UPLOAD'!$B$2:Z1000,5,0),"")</f>
        <v/>
      </c>
      <c r="C656" s="1" t="s">
        <v>4743</v>
      </c>
    </row>
    <row r="657" spans="1:3" ht="12.75">
      <c r="A657" s="74" t="str">
        <f ca="1">IFERROR(VLOOKUP(C657,'DB_IMAGE UPLOAD'!$B$2:Z1000,5,0),"")</f>
        <v/>
      </c>
      <c r="C657" s="1" t="s">
        <v>4743</v>
      </c>
    </row>
    <row r="658" spans="1:3" ht="12.75">
      <c r="A658" s="74" t="str">
        <f ca="1">IFERROR(VLOOKUP(C658,'DB_IMAGE UPLOAD'!$B$2:Z1000,5,0),"")</f>
        <v/>
      </c>
      <c r="C658" s="1" t="s">
        <v>4743</v>
      </c>
    </row>
    <row r="659" spans="1:3" ht="12.75">
      <c r="A659" s="74" t="str">
        <f ca="1">IFERROR(VLOOKUP(C659,'DB_IMAGE UPLOAD'!$B$2:Z1000,5,0),"")</f>
        <v/>
      </c>
      <c r="C659" s="1" t="s">
        <v>4743</v>
      </c>
    </row>
    <row r="660" spans="1:3" ht="12.75">
      <c r="A660" s="74" t="str">
        <f ca="1">IFERROR(VLOOKUP(C660,'DB_IMAGE UPLOAD'!$B$2:Z1000,5,0),"")</f>
        <v/>
      </c>
      <c r="C660" s="1" t="s">
        <v>4743</v>
      </c>
    </row>
    <row r="661" spans="1:3" ht="12.75">
      <c r="A661" s="74" t="str">
        <f ca="1">IFERROR(VLOOKUP(C661,'DB_IMAGE UPLOAD'!$B$2:Z1000,5,0),"")</f>
        <v/>
      </c>
      <c r="C661" s="1" t="s">
        <v>4743</v>
      </c>
    </row>
    <row r="662" spans="1:3" ht="12.75">
      <c r="A662" s="74" t="str">
        <f ca="1">IFERROR(VLOOKUP(C662,'DB_IMAGE UPLOAD'!$B$2:Z1000,5,0),"")</f>
        <v/>
      </c>
      <c r="C662" s="1" t="s">
        <v>4743</v>
      </c>
    </row>
    <row r="663" spans="1:3" ht="12.75">
      <c r="A663" s="74" t="str">
        <f ca="1">IFERROR(VLOOKUP(C663,'DB_IMAGE UPLOAD'!$B$2:Z1000,5,0),"")</f>
        <v/>
      </c>
      <c r="C663" s="1" t="s">
        <v>4743</v>
      </c>
    </row>
    <row r="664" spans="1:3" ht="12.75">
      <c r="A664" s="74" t="str">
        <f ca="1">IFERROR(VLOOKUP(C664,'DB_IMAGE UPLOAD'!$B$2:Z1000,5,0),"")</f>
        <v/>
      </c>
      <c r="C664" s="1" t="s">
        <v>4743</v>
      </c>
    </row>
    <row r="665" spans="1:3" ht="12.75">
      <c r="A665" s="74" t="str">
        <f ca="1">IFERROR(VLOOKUP(C665,'DB_IMAGE UPLOAD'!$B$2:Z1000,5,0),"")</f>
        <v/>
      </c>
      <c r="C665" s="1" t="s">
        <v>4743</v>
      </c>
    </row>
    <row r="666" spans="1:3" ht="12.75">
      <c r="A666" s="74" t="str">
        <f ca="1">IFERROR(VLOOKUP(C666,'DB_IMAGE UPLOAD'!$B$2:Z1000,5,0),"")</f>
        <v/>
      </c>
      <c r="C666" s="1" t="s">
        <v>4743</v>
      </c>
    </row>
    <row r="667" spans="1:3" ht="12.75">
      <c r="A667" s="74" t="str">
        <f ca="1">IFERROR(VLOOKUP(C667,'DB_IMAGE UPLOAD'!$B$2:Z1000,5,0),"")</f>
        <v/>
      </c>
      <c r="C667" s="1" t="s">
        <v>4743</v>
      </c>
    </row>
    <row r="668" spans="1:3" ht="12.75">
      <c r="A668" s="74" t="str">
        <f ca="1">IFERROR(VLOOKUP(C668,'DB_IMAGE UPLOAD'!$B$2:Z1000,5,0),"")</f>
        <v/>
      </c>
      <c r="C668" s="1" t="s">
        <v>4743</v>
      </c>
    </row>
    <row r="669" spans="1:3" ht="12.75">
      <c r="A669" s="74" t="str">
        <f ca="1">IFERROR(VLOOKUP(C669,'DB_IMAGE UPLOAD'!$B$2:Z1000,5,0),"")</f>
        <v/>
      </c>
      <c r="C669" s="1" t="s">
        <v>4743</v>
      </c>
    </row>
    <row r="670" spans="1:3" ht="12.75">
      <c r="A670" s="74" t="str">
        <f ca="1">IFERROR(VLOOKUP(C670,'DB_IMAGE UPLOAD'!$B$2:Z1000,5,0),"")</f>
        <v/>
      </c>
      <c r="C670" s="1" t="s">
        <v>4743</v>
      </c>
    </row>
    <row r="671" spans="1:3" ht="12.75">
      <c r="A671" s="74" t="str">
        <f ca="1">IFERROR(VLOOKUP(C671,'DB_IMAGE UPLOAD'!$B$2:Z1000,5,0),"")</f>
        <v/>
      </c>
      <c r="C671" s="1" t="s">
        <v>4743</v>
      </c>
    </row>
    <row r="672" spans="1:3" ht="12.75">
      <c r="A672" s="74" t="str">
        <f ca="1">IFERROR(VLOOKUP(C672,'DB_IMAGE UPLOAD'!$B$2:Z1000,5,0),"")</f>
        <v/>
      </c>
      <c r="C672" s="1" t="s">
        <v>4743</v>
      </c>
    </row>
    <row r="673" spans="1:3" ht="12.75">
      <c r="A673" s="74" t="str">
        <f ca="1">IFERROR(VLOOKUP(C673,'DB_IMAGE UPLOAD'!$B$2:Z1000,5,0),"")</f>
        <v/>
      </c>
      <c r="C673" s="1" t="s">
        <v>4743</v>
      </c>
    </row>
    <row r="674" spans="1:3" ht="12.75">
      <c r="A674" s="74" t="str">
        <f ca="1">IFERROR(VLOOKUP(C674,'DB_IMAGE UPLOAD'!$B$2:Z1000,5,0),"")</f>
        <v/>
      </c>
      <c r="C674" s="1" t="s">
        <v>4743</v>
      </c>
    </row>
    <row r="675" spans="1:3" ht="12.75">
      <c r="A675" s="74" t="str">
        <f ca="1">IFERROR(VLOOKUP(C675,'DB_IMAGE UPLOAD'!$B$2:Z1000,5,0),"")</f>
        <v/>
      </c>
      <c r="C675" s="1" t="s">
        <v>4743</v>
      </c>
    </row>
    <row r="676" spans="1:3" ht="12.75">
      <c r="A676" s="74" t="str">
        <f ca="1">IFERROR(VLOOKUP(C676,'DB_IMAGE UPLOAD'!$B$2:Z1000,5,0),"")</f>
        <v/>
      </c>
      <c r="C676" s="1" t="s">
        <v>4743</v>
      </c>
    </row>
    <row r="677" spans="1:3" ht="12.75">
      <c r="A677" s="74" t="str">
        <f ca="1">IFERROR(VLOOKUP(C677,'DB_IMAGE UPLOAD'!$B$2:Z1000,5,0),"")</f>
        <v/>
      </c>
      <c r="C677" s="1" t="s">
        <v>4743</v>
      </c>
    </row>
    <row r="678" spans="1:3" ht="12.75">
      <c r="A678" s="74" t="str">
        <f ca="1">IFERROR(VLOOKUP(C678,'DB_IMAGE UPLOAD'!$B$2:Z1000,5,0),"")</f>
        <v/>
      </c>
      <c r="C678" s="1" t="s">
        <v>4743</v>
      </c>
    </row>
    <row r="679" spans="1:3" ht="12.75">
      <c r="A679" s="74" t="str">
        <f ca="1">IFERROR(VLOOKUP(C679,'DB_IMAGE UPLOAD'!$B$2:Z1000,5,0),"")</f>
        <v/>
      </c>
      <c r="C679" s="1" t="s">
        <v>4743</v>
      </c>
    </row>
    <row r="680" spans="1:3" ht="12.75">
      <c r="A680" s="74" t="str">
        <f ca="1">IFERROR(VLOOKUP(C680,'DB_IMAGE UPLOAD'!$B$2:Z1000,5,0),"")</f>
        <v/>
      </c>
      <c r="C680" s="1" t="s">
        <v>4743</v>
      </c>
    </row>
    <row r="681" spans="1:3" ht="12.75">
      <c r="A681" s="74" t="str">
        <f ca="1">IFERROR(VLOOKUP(C681,'DB_IMAGE UPLOAD'!$B$2:Z1000,5,0),"")</f>
        <v/>
      </c>
      <c r="C681" s="1" t="s">
        <v>4743</v>
      </c>
    </row>
    <row r="682" spans="1:3" ht="12.75">
      <c r="A682" s="74" t="str">
        <f ca="1">IFERROR(VLOOKUP(C682,'DB_IMAGE UPLOAD'!$B$2:Z1000,5,0),"")</f>
        <v/>
      </c>
      <c r="C682" s="1" t="s">
        <v>4743</v>
      </c>
    </row>
    <row r="683" spans="1:3" ht="12.75">
      <c r="A683" s="74" t="str">
        <f ca="1">IFERROR(VLOOKUP(C683,'DB_IMAGE UPLOAD'!$B$2:Z1000,5,0),"")</f>
        <v/>
      </c>
      <c r="C683" s="1" t="s">
        <v>4743</v>
      </c>
    </row>
    <row r="684" spans="1:3" ht="12.75">
      <c r="A684" s="74" t="str">
        <f ca="1">IFERROR(VLOOKUP(C684,'DB_IMAGE UPLOAD'!$B$2:Z1000,5,0),"")</f>
        <v/>
      </c>
      <c r="C684" s="1" t="s">
        <v>4743</v>
      </c>
    </row>
    <row r="685" spans="1:3" ht="12.75">
      <c r="A685" s="74" t="str">
        <f ca="1">IFERROR(VLOOKUP(C685,'DB_IMAGE UPLOAD'!$B$2:Z1000,5,0),"")</f>
        <v/>
      </c>
      <c r="C685" s="1" t="s">
        <v>4743</v>
      </c>
    </row>
    <row r="686" spans="1:3" ht="12.75">
      <c r="A686" s="74" t="str">
        <f ca="1">IFERROR(VLOOKUP(C686,'DB_IMAGE UPLOAD'!$B$2:Z1000,5,0),"")</f>
        <v/>
      </c>
      <c r="C686" s="1" t="s">
        <v>4743</v>
      </c>
    </row>
    <row r="687" spans="1:3" ht="12.75">
      <c r="A687" s="74" t="str">
        <f ca="1">IFERROR(VLOOKUP(C687,'DB_IMAGE UPLOAD'!$B$2:Z1000,5,0),"")</f>
        <v/>
      </c>
      <c r="C687" s="1" t="s">
        <v>4743</v>
      </c>
    </row>
    <row r="688" spans="1:3" ht="12.75">
      <c r="A688" s="74" t="str">
        <f ca="1">IFERROR(VLOOKUP(C688,'DB_IMAGE UPLOAD'!$B$2:Z1000,5,0),"")</f>
        <v/>
      </c>
      <c r="C688" s="1" t="s">
        <v>4743</v>
      </c>
    </row>
    <row r="689" spans="1:3" ht="12.75">
      <c r="A689" s="74" t="str">
        <f ca="1">IFERROR(VLOOKUP(C689,'DB_IMAGE UPLOAD'!$B$2:Z1000,5,0),"")</f>
        <v/>
      </c>
      <c r="C689" s="1" t="s">
        <v>4743</v>
      </c>
    </row>
    <row r="690" spans="1:3" ht="12.75">
      <c r="A690" s="74" t="str">
        <f ca="1">IFERROR(VLOOKUP(C690,'DB_IMAGE UPLOAD'!$B$2:Z1000,5,0),"")</f>
        <v/>
      </c>
      <c r="C690" s="1" t="s">
        <v>4743</v>
      </c>
    </row>
    <row r="691" spans="1:3" ht="12.75">
      <c r="A691" s="74" t="str">
        <f ca="1">IFERROR(VLOOKUP(C691,'DB_IMAGE UPLOAD'!$B$2:Z1000,5,0),"")</f>
        <v/>
      </c>
      <c r="C691" s="1" t="s">
        <v>4743</v>
      </c>
    </row>
    <row r="692" spans="1:3" ht="12.75">
      <c r="A692" s="74" t="str">
        <f ca="1">IFERROR(VLOOKUP(C692,'DB_IMAGE UPLOAD'!$B$2:Z1000,5,0),"")</f>
        <v/>
      </c>
      <c r="C692" s="1" t="s">
        <v>4743</v>
      </c>
    </row>
    <row r="693" spans="1:3" ht="12.75">
      <c r="A693" s="74" t="str">
        <f ca="1">IFERROR(VLOOKUP(C693,'DB_IMAGE UPLOAD'!$B$2:Z1000,5,0),"")</f>
        <v/>
      </c>
      <c r="C693" s="1" t="s">
        <v>4743</v>
      </c>
    </row>
    <row r="694" spans="1:3" ht="12.75">
      <c r="A694" s="74" t="str">
        <f ca="1">IFERROR(VLOOKUP(C694,'DB_IMAGE UPLOAD'!$B$2:Z1000,5,0),"")</f>
        <v/>
      </c>
      <c r="C694" s="1" t="s">
        <v>4743</v>
      </c>
    </row>
    <row r="695" spans="1:3" ht="12.75">
      <c r="A695" s="74" t="str">
        <f ca="1">IFERROR(VLOOKUP(C695,'DB_IMAGE UPLOAD'!$B$2:Z1000,5,0),"")</f>
        <v/>
      </c>
      <c r="C695" s="1" t="s">
        <v>4743</v>
      </c>
    </row>
    <row r="696" spans="1:3" ht="12.75">
      <c r="A696" s="74" t="str">
        <f ca="1">IFERROR(VLOOKUP(C696,'DB_IMAGE UPLOAD'!$B$2:Z1000,5,0),"")</f>
        <v/>
      </c>
      <c r="C696" s="1" t="s">
        <v>4743</v>
      </c>
    </row>
    <row r="697" spans="1:3" ht="12.75">
      <c r="A697" s="74" t="str">
        <f ca="1">IFERROR(VLOOKUP(C697,'DB_IMAGE UPLOAD'!$B$2:Z1000,5,0),"")</f>
        <v/>
      </c>
      <c r="C697" s="1" t="s">
        <v>4743</v>
      </c>
    </row>
    <row r="698" spans="1:3" ht="12.75">
      <c r="A698" s="74" t="str">
        <f ca="1">IFERROR(VLOOKUP(C698,'DB_IMAGE UPLOAD'!$B$2:Z1000,5,0),"")</f>
        <v/>
      </c>
      <c r="C698" s="1" t="s">
        <v>4743</v>
      </c>
    </row>
    <row r="699" spans="1:3" ht="12.75">
      <c r="A699" s="74" t="str">
        <f ca="1">IFERROR(VLOOKUP(C699,'DB_IMAGE UPLOAD'!$B$2:Z1000,5,0),"")</f>
        <v/>
      </c>
      <c r="C699" s="1" t="s">
        <v>4743</v>
      </c>
    </row>
    <row r="700" spans="1:3" ht="12.75">
      <c r="A700" s="74" t="str">
        <f ca="1">IFERROR(VLOOKUP(C700,'DB_IMAGE UPLOAD'!$B$2:Z1000,5,0),"")</f>
        <v/>
      </c>
      <c r="C700" s="1" t="s">
        <v>4743</v>
      </c>
    </row>
    <row r="701" spans="1:3" ht="12.75">
      <c r="A701" s="74" t="str">
        <f ca="1">IFERROR(VLOOKUP(C701,'DB_IMAGE UPLOAD'!$B$2:Z1000,5,0),"")</f>
        <v/>
      </c>
      <c r="C701" s="1" t="s">
        <v>4743</v>
      </c>
    </row>
    <row r="702" spans="1:3" ht="12.75">
      <c r="A702" s="74" t="str">
        <f ca="1">IFERROR(VLOOKUP(C702,'DB_IMAGE UPLOAD'!$B$2:Z1000,5,0),"")</f>
        <v/>
      </c>
      <c r="C702" s="1" t="s">
        <v>4743</v>
      </c>
    </row>
    <row r="703" spans="1:3" ht="12.75">
      <c r="A703" s="74" t="str">
        <f ca="1">IFERROR(VLOOKUP(C703,'DB_IMAGE UPLOAD'!$B$2:Z1000,5,0),"")</f>
        <v/>
      </c>
      <c r="C703" s="1" t="s">
        <v>4743</v>
      </c>
    </row>
    <row r="704" spans="1:3" ht="12.75">
      <c r="A704" s="74" t="str">
        <f ca="1">IFERROR(VLOOKUP(C704,'DB_IMAGE UPLOAD'!$B$2:Z1000,5,0),"")</f>
        <v/>
      </c>
      <c r="C704" s="1" t="s">
        <v>4743</v>
      </c>
    </row>
    <row r="705" spans="1:3" ht="12.75">
      <c r="A705" s="74" t="str">
        <f ca="1">IFERROR(VLOOKUP(C705,'DB_IMAGE UPLOAD'!$B$2:Z1000,5,0),"")</f>
        <v/>
      </c>
      <c r="C705" s="1" t="s">
        <v>4743</v>
      </c>
    </row>
    <row r="706" spans="1:3" ht="12.75">
      <c r="A706" s="74" t="str">
        <f ca="1">IFERROR(VLOOKUP(C706,'DB_IMAGE UPLOAD'!$B$2:Z1000,5,0),"")</f>
        <v/>
      </c>
      <c r="C706" s="1" t="s">
        <v>4743</v>
      </c>
    </row>
    <row r="707" spans="1:3" ht="12.75">
      <c r="A707" s="74" t="str">
        <f ca="1">IFERROR(VLOOKUP(C707,'DB_IMAGE UPLOAD'!$B$2:Z1000,5,0),"")</f>
        <v/>
      </c>
      <c r="C707" s="1" t="s">
        <v>4743</v>
      </c>
    </row>
    <row r="708" spans="1:3" ht="12.75">
      <c r="A708" s="74" t="str">
        <f ca="1">IFERROR(VLOOKUP(C708,'DB_IMAGE UPLOAD'!$B$2:Z1000,5,0),"")</f>
        <v/>
      </c>
      <c r="C708" s="1" t="s">
        <v>4743</v>
      </c>
    </row>
    <row r="709" spans="1:3" ht="12.75">
      <c r="A709" s="74" t="str">
        <f ca="1">IFERROR(VLOOKUP(C709,'DB_IMAGE UPLOAD'!$B$2:Z1000,5,0),"")</f>
        <v/>
      </c>
      <c r="C709" s="1" t="s">
        <v>4743</v>
      </c>
    </row>
    <row r="710" spans="1:3" ht="12.75">
      <c r="A710" s="74" t="str">
        <f ca="1">IFERROR(VLOOKUP(C710,'DB_IMAGE UPLOAD'!$B$2:Z1000,5,0),"")</f>
        <v/>
      </c>
      <c r="C710" s="1" t="s">
        <v>4743</v>
      </c>
    </row>
    <row r="711" spans="1:3" ht="12.75">
      <c r="A711" s="74" t="str">
        <f ca="1">IFERROR(VLOOKUP(C711,'DB_IMAGE UPLOAD'!$B$2:Z1000,5,0),"")</f>
        <v/>
      </c>
      <c r="C711" s="1" t="s">
        <v>4743</v>
      </c>
    </row>
    <row r="712" spans="1:3" ht="12.75">
      <c r="A712" s="74" t="str">
        <f ca="1">IFERROR(VLOOKUP(C712,'DB_IMAGE UPLOAD'!$B$2:Z1000,5,0),"")</f>
        <v/>
      </c>
      <c r="C712" s="1" t="s">
        <v>4743</v>
      </c>
    </row>
    <row r="713" spans="1:3" ht="12.75">
      <c r="A713" s="74" t="str">
        <f ca="1">IFERROR(VLOOKUP(C713,'DB_IMAGE UPLOAD'!$B$2:Z1000,5,0),"")</f>
        <v/>
      </c>
      <c r="C713" s="1" t="s">
        <v>4743</v>
      </c>
    </row>
    <row r="714" spans="1:3" ht="12.75">
      <c r="A714" s="74" t="str">
        <f ca="1">IFERROR(VLOOKUP(C714,'DB_IMAGE UPLOAD'!$B$2:Z1000,5,0),"")</f>
        <v/>
      </c>
      <c r="C714" s="1" t="s">
        <v>4743</v>
      </c>
    </row>
    <row r="715" spans="1:3" ht="12.75">
      <c r="A715" s="74" t="str">
        <f ca="1">IFERROR(VLOOKUP(C715,'DB_IMAGE UPLOAD'!$B$2:Z1000,5,0),"")</f>
        <v/>
      </c>
      <c r="C715" s="1" t="s">
        <v>4743</v>
      </c>
    </row>
    <row r="716" spans="1:3" ht="12.75">
      <c r="A716" s="74" t="str">
        <f ca="1">IFERROR(VLOOKUP(C716,'DB_IMAGE UPLOAD'!$B$2:Z1000,5,0),"")</f>
        <v/>
      </c>
      <c r="C716" s="1" t="s">
        <v>4743</v>
      </c>
    </row>
    <row r="717" spans="1:3" ht="12.75">
      <c r="A717" s="74" t="str">
        <f ca="1">IFERROR(VLOOKUP(C717,'DB_IMAGE UPLOAD'!$B$2:Z1000,5,0),"")</f>
        <v/>
      </c>
      <c r="C717" s="1" t="s">
        <v>4743</v>
      </c>
    </row>
    <row r="718" spans="1:3" ht="12.75">
      <c r="A718" s="74" t="str">
        <f ca="1">IFERROR(VLOOKUP(C718,'DB_IMAGE UPLOAD'!$B$2:Z1000,5,0),"")</f>
        <v/>
      </c>
      <c r="C718" s="1" t="s">
        <v>4743</v>
      </c>
    </row>
    <row r="719" spans="1:3" ht="12.75">
      <c r="A719" s="74" t="str">
        <f ca="1">IFERROR(VLOOKUP(C719,'DB_IMAGE UPLOAD'!$B$2:Z1000,5,0),"")</f>
        <v/>
      </c>
      <c r="C719" s="1" t="s">
        <v>4743</v>
      </c>
    </row>
    <row r="720" spans="1:3" ht="12.75">
      <c r="A720" s="74" t="str">
        <f ca="1">IFERROR(VLOOKUP(C720,'DB_IMAGE UPLOAD'!$B$2:Z1000,5,0),"")</f>
        <v/>
      </c>
      <c r="C720" s="1" t="s">
        <v>4743</v>
      </c>
    </row>
    <row r="721" spans="1:3" ht="12.75">
      <c r="A721" s="74" t="str">
        <f ca="1">IFERROR(VLOOKUP(C721,'DB_IMAGE UPLOAD'!$B$2:Z1000,5,0),"")</f>
        <v/>
      </c>
      <c r="C721" s="1" t="s">
        <v>4743</v>
      </c>
    </row>
    <row r="722" spans="1:3" ht="12.75">
      <c r="A722" s="74" t="str">
        <f ca="1">IFERROR(VLOOKUP(C722,'DB_IMAGE UPLOAD'!$B$2:Z1000,5,0),"")</f>
        <v/>
      </c>
      <c r="C722" s="1" t="s">
        <v>4743</v>
      </c>
    </row>
    <row r="723" spans="1:3" ht="12.75">
      <c r="A723" s="74" t="str">
        <f ca="1">IFERROR(VLOOKUP(C723,'DB_IMAGE UPLOAD'!$B$2:Z1000,5,0),"")</f>
        <v/>
      </c>
      <c r="C723" s="1" t="s">
        <v>4743</v>
      </c>
    </row>
    <row r="724" spans="1:3" ht="12.75">
      <c r="A724" s="74" t="str">
        <f ca="1">IFERROR(VLOOKUP(C724,'DB_IMAGE UPLOAD'!$B$2:Z1000,5,0),"")</f>
        <v/>
      </c>
      <c r="C724" s="1" t="s">
        <v>4743</v>
      </c>
    </row>
    <row r="725" spans="1:3" ht="12.75">
      <c r="A725" s="74" t="str">
        <f ca="1">IFERROR(VLOOKUP(C725,'DB_IMAGE UPLOAD'!$B$2:Z1000,5,0),"")</f>
        <v/>
      </c>
      <c r="C725" s="1" t="s">
        <v>4743</v>
      </c>
    </row>
    <row r="726" spans="1:3" ht="12.75">
      <c r="A726" s="74" t="str">
        <f ca="1">IFERROR(VLOOKUP(C726,'DB_IMAGE UPLOAD'!$B$2:Z1000,5,0),"")</f>
        <v/>
      </c>
      <c r="C726" s="1" t="s">
        <v>4743</v>
      </c>
    </row>
    <row r="727" spans="1:3" ht="12.75">
      <c r="A727" s="74" t="str">
        <f ca="1">IFERROR(VLOOKUP(C727,'DB_IMAGE UPLOAD'!$B$2:Z1000,5,0),"")</f>
        <v/>
      </c>
      <c r="C727" s="1" t="s">
        <v>4743</v>
      </c>
    </row>
    <row r="728" spans="1:3" ht="12.75">
      <c r="A728" s="74" t="str">
        <f ca="1">IFERROR(VLOOKUP(C728,'DB_IMAGE UPLOAD'!$B$2:Z1000,5,0),"")</f>
        <v/>
      </c>
      <c r="C728" s="1" t="s">
        <v>4743</v>
      </c>
    </row>
    <row r="729" spans="1:3" ht="12.75">
      <c r="A729" s="74" t="str">
        <f ca="1">IFERROR(VLOOKUP(C729,'DB_IMAGE UPLOAD'!$B$2:Z1000,5,0),"")</f>
        <v/>
      </c>
      <c r="C729" s="1" t="s">
        <v>4743</v>
      </c>
    </row>
    <row r="730" spans="1:3" ht="12.75">
      <c r="A730" s="74" t="str">
        <f ca="1">IFERROR(VLOOKUP(C730,'DB_IMAGE UPLOAD'!$B$2:Z1000,5,0),"")</f>
        <v/>
      </c>
      <c r="C730" s="1" t="s">
        <v>4743</v>
      </c>
    </row>
    <row r="731" spans="1:3" ht="12.75">
      <c r="A731" s="74" t="str">
        <f ca="1">IFERROR(VLOOKUP(C731,'DB_IMAGE UPLOAD'!$B$2:Z1000,5,0),"")</f>
        <v/>
      </c>
      <c r="C731" s="1" t="s">
        <v>4743</v>
      </c>
    </row>
    <row r="732" spans="1:3" ht="12.75">
      <c r="A732" s="74" t="str">
        <f ca="1">IFERROR(VLOOKUP(C732,'DB_IMAGE UPLOAD'!$B$2:Z1000,5,0),"")</f>
        <v/>
      </c>
      <c r="C732" s="1" t="s">
        <v>4743</v>
      </c>
    </row>
    <row r="733" spans="1:3" ht="12.75">
      <c r="A733" s="74" t="str">
        <f ca="1">IFERROR(VLOOKUP(C733,'DB_IMAGE UPLOAD'!$B$2:Z1000,5,0),"")</f>
        <v/>
      </c>
      <c r="C733" s="1" t="s">
        <v>4743</v>
      </c>
    </row>
    <row r="734" spans="1:3" ht="12.75">
      <c r="A734" s="74" t="str">
        <f ca="1">IFERROR(VLOOKUP(C734,'DB_IMAGE UPLOAD'!$B$2:Z1000,5,0),"")</f>
        <v/>
      </c>
      <c r="C734" s="1" t="s">
        <v>4743</v>
      </c>
    </row>
    <row r="735" spans="1:3" ht="12.75">
      <c r="A735" s="74" t="str">
        <f ca="1">IFERROR(VLOOKUP(C735,'DB_IMAGE UPLOAD'!$B$2:Z1000,5,0),"")</f>
        <v/>
      </c>
      <c r="C735" s="1" t="s">
        <v>4743</v>
      </c>
    </row>
    <row r="736" spans="1:3" ht="12.75">
      <c r="A736" s="74" t="str">
        <f ca="1">IFERROR(VLOOKUP(C736,'DB_IMAGE UPLOAD'!$B$2:Z1000,5,0),"")</f>
        <v/>
      </c>
      <c r="C736" s="1" t="s">
        <v>4743</v>
      </c>
    </row>
    <row r="737" spans="1:3" ht="12.75">
      <c r="A737" s="74" t="str">
        <f ca="1">IFERROR(VLOOKUP(C737,'DB_IMAGE UPLOAD'!$B$2:Z1000,5,0),"")</f>
        <v/>
      </c>
      <c r="C737" s="1" t="s">
        <v>4743</v>
      </c>
    </row>
    <row r="738" spans="1:3" ht="12.75">
      <c r="A738" s="74" t="str">
        <f ca="1">IFERROR(VLOOKUP(C738,'DB_IMAGE UPLOAD'!$B$2:Z1000,5,0),"")</f>
        <v/>
      </c>
      <c r="C738" s="1" t="s">
        <v>4743</v>
      </c>
    </row>
    <row r="739" spans="1:3" ht="12.75">
      <c r="A739" s="74" t="str">
        <f ca="1">IFERROR(VLOOKUP(C739,'DB_IMAGE UPLOAD'!$B$2:Z1000,5,0),"")</f>
        <v/>
      </c>
      <c r="C739" s="1" t="s">
        <v>4743</v>
      </c>
    </row>
    <row r="740" spans="1:3" ht="12.75">
      <c r="A740" s="74" t="str">
        <f ca="1">IFERROR(VLOOKUP(C740,'DB_IMAGE UPLOAD'!$B$2:Z1000,5,0),"")</f>
        <v/>
      </c>
      <c r="C740" s="1" t="s">
        <v>4743</v>
      </c>
    </row>
    <row r="741" spans="1:3" ht="12.75">
      <c r="A741" s="74" t="str">
        <f ca="1">IFERROR(VLOOKUP(C741,'DB_IMAGE UPLOAD'!$B$2:Z1000,5,0),"")</f>
        <v/>
      </c>
      <c r="C741" s="1" t="s">
        <v>4743</v>
      </c>
    </row>
    <row r="742" spans="1:3" ht="12.75">
      <c r="A742" s="74" t="str">
        <f ca="1">IFERROR(VLOOKUP(C742,'DB_IMAGE UPLOAD'!$B$2:Z1000,5,0),"")</f>
        <v/>
      </c>
      <c r="C742" s="1" t="s">
        <v>4743</v>
      </c>
    </row>
    <row r="743" spans="1:3" ht="12.75">
      <c r="A743" s="74" t="str">
        <f ca="1">IFERROR(VLOOKUP(C743,'DB_IMAGE UPLOAD'!$B$2:Z1000,5,0),"")</f>
        <v/>
      </c>
      <c r="C743" s="1" t="s">
        <v>4743</v>
      </c>
    </row>
    <row r="744" spans="1:3" ht="12.75">
      <c r="A744" s="74" t="str">
        <f ca="1">IFERROR(VLOOKUP(C744,'DB_IMAGE UPLOAD'!$B$2:Z1000,5,0),"")</f>
        <v/>
      </c>
      <c r="C744" s="1" t="s">
        <v>4743</v>
      </c>
    </row>
    <row r="745" spans="1:3" ht="12.75">
      <c r="A745" s="74" t="str">
        <f ca="1">IFERROR(VLOOKUP(C745,'DB_IMAGE UPLOAD'!$B$2:Z1000,5,0),"")</f>
        <v/>
      </c>
      <c r="C745" s="1" t="s">
        <v>4743</v>
      </c>
    </row>
    <row r="746" spans="1:3" ht="12.75">
      <c r="A746" s="74" t="str">
        <f ca="1">IFERROR(VLOOKUP(C746,'DB_IMAGE UPLOAD'!$B$2:Z1000,5,0),"")</f>
        <v/>
      </c>
      <c r="C746" s="1" t="s">
        <v>4743</v>
      </c>
    </row>
    <row r="747" spans="1:3" ht="12.75">
      <c r="A747" s="74" t="str">
        <f ca="1">IFERROR(VLOOKUP(C747,'DB_IMAGE UPLOAD'!$B$2:Z1000,5,0),"")</f>
        <v/>
      </c>
      <c r="C747" s="1" t="s">
        <v>4743</v>
      </c>
    </row>
    <row r="748" spans="1:3" ht="12.75">
      <c r="A748" s="74" t="str">
        <f ca="1">IFERROR(VLOOKUP(C748,'DB_IMAGE UPLOAD'!$B$2:Z1000,5,0),"")</f>
        <v/>
      </c>
      <c r="C748" s="1" t="s">
        <v>4743</v>
      </c>
    </row>
    <row r="749" spans="1:3" ht="12.75">
      <c r="A749" s="74" t="str">
        <f ca="1">IFERROR(VLOOKUP(C749,'DB_IMAGE UPLOAD'!$B$2:Z1000,5,0),"")</f>
        <v/>
      </c>
      <c r="C749" s="1" t="s">
        <v>4743</v>
      </c>
    </row>
    <row r="750" spans="1:3" ht="12.75">
      <c r="A750" s="74" t="str">
        <f ca="1">IFERROR(VLOOKUP(C750,'DB_IMAGE UPLOAD'!$B$2:Z1000,5,0),"")</f>
        <v/>
      </c>
      <c r="C750" s="1" t="s">
        <v>4743</v>
      </c>
    </row>
    <row r="751" spans="1:3" ht="12.75">
      <c r="A751" s="74" t="str">
        <f ca="1">IFERROR(VLOOKUP(C751,'DB_IMAGE UPLOAD'!$B$2:Z1000,5,0),"")</f>
        <v/>
      </c>
      <c r="C751" s="1" t="s">
        <v>4743</v>
      </c>
    </row>
    <row r="752" spans="1:3" ht="12.75">
      <c r="A752" s="74" t="str">
        <f ca="1">IFERROR(VLOOKUP(C752,'DB_IMAGE UPLOAD'!$B$2:Z1000,5,0),"")</f>
        <v/>
      </c>
      <c r="C752" s="1" t="s">
        <v>4743</v>
      </c>
    </row>
    <row r="753" spans="1:3" ht="12.75">
      <c r="A753" s="74" t="str">
        <f ca="1">IFERROR(VLOOKUP(C753,'DB_IMAGE UPLOAD'!$B$2:Z1000,5,0),"")</f>
        <v/>
      </c>
      <c r="C753" s="1" t="s">
        <v>4743</v>
      </c>
    </row>
    <row r="754" spans="1:3" ht="12.75">
      <c r="A754" s="74" t="str">
        <f ca="1">IFERROR(VLOOKUP(C754,'DB_IMAGE UPLOAD'!$B$2:Z1000,5,0),"")</f>
        <v/>
      </c>
      <c r="C754" s="1" t="s">
        <v>4743</v>
      </c>
    </row>
    <row r="755" spans="1:3" ht="12.75">
      <c r="A755" s="74" t="str">
        <f ca="1">IFERROR(VLOOKUP(C755,'DB_IMAGE UPLOAD'!$B$2:Z1000,5,0),"")</f>
        <v/>
      </c>
      <c r="C755" s="1" t="s">
        <v>4743</v>
      </c>
    </row>
    <row r="756" spans="1:3" ht="12.75">
      <c r="A756" s="74" t="str">
        <f ca="1">IFERROR(VLOOKUP(C756,'DB_IMAGE UPLOAD'!$B$2:Z1000,5,0),"")</f>
        <v/>
      </c>
      <c r="C756" s="1" t="s">
        <v>4743</v>
      </c>
    </row>
    <row r="757" spans="1:3" ht="12.75">
      <c r="A757" s="74" t="str">
        <f ca="1">IFERROR(VLOOKUP(C757,'DB_IMAGE UPLOAD'!$B$2:Z1000,5,0),"")</f>
        <v/>
      </c>
      <c r="C757" s="1" t="s">
        <v>4743</v>
      </c>
    </row>
    <row r="758" spans="1:3" ht="12.75">
      <c r="A758" s="74" t="str">
        <f ca="1">IFERROR(VLOOKUP(C758,'DB_IMAGE UPLOAD'!$B$2:Z1000,5,0),"")</f>
        <v/>
      </c>
      <c r="C758" s="1" t="s">
        <v>4743</v>
      </c>
    </row>
    <row r="759" spans="1:3" ht="12.75">
      <c r="A759" s="74" t="str">
        <f ca="1">IFERROR(VLOOKUP(C759,'DB_IMAGE UPLOAD'!$B$2:Z1000,5,0),"")</f>
        <v/>
      </c>
      <c r="C759" s="1" t="s">
        <v>4743</v>
      </c>
    </row>
    <row r="760" spans="1:3" ht="12.75">
      <c r="A760" s="74" t="str">
        <f ca="1">IFERROR(VLOOKUP(C760,'DB_IMAGE UPLOAD'!$B$2:Z1000,5,0),"")</f>
        <v/>
      </c>
      <c r="C760" s="1" t="s">
        <v>4743</v>
      </c>
    </row>
    <row r="761" spans="1:3" ht="12.75">
      <c r="A761" s="74" t="str">
        <f ca="1">IFERROR(VLOOKUP(C761,'DB_IMAGE UPLOAD'!$B$2:Z1000,5,0),"")</f>
        <v/>
      </c>
      <c r="C761" s="1" t="s">
        <v>4743</v>
      </c>
    </row>
    <row r="762" spans="1:3" ht="12.75">
      <c r="A762" s="74" t="str">
        <f ca="1">IFERROR(VLOOKUP(C762,'DB_IMAGE UPLOAD'!$B$2:Z1000,5,0),"")</f>
        <v/>
      </c>
      <c r="C762" s="1" t="s">
        <v>4743</v>
      </c>
    </row>
    <row r="763" spans="1:3" ht="12.75">
      <c r="A763" s="74" t="str">
        <f ca="1">IFERROR(VLOOKUP(C763,'DB_IMAGE UPLOAD'!$B$2:Z1000,5,0),"")</f>
        <v/>
      </c>
      <c r="C763" s="1" t="s">
        <v>4743</v>
      </c>
    </row>
    <row r="764" spans="1:3" ht="12.75">
      <c r="A764" s="74" t="str">
        <f ca="1">IFERROR(VLOOKUP(C764,'DB_IMAGE UPLOAD'!$B$2:Z1000,5,0),"")</f>
        <v/>
      </c>
      <c r="C764" s="1" t="s">
        <v>4743</v>
      </c>
    </row>
    <row r="765" spans="1:3" ht="12.75">
      <c r="A765" s="74" t="str">
        <f ca="1">IFERROR(VLOOKUP(C765,'DB_IMAGE UPLOAD'!$B$2:Z1000,5,0),"")</f>
        <v/>
      </c>
      <c r="C765" s="1" t="s">
        <v>4743</v>
      </c>
    </row>
    <row r="766" spans="1:3" ht="12.75">
      <c r="A766" s="74" t="str">
        <f ca="1">IFERROR(VLOOKUP(C766,'DB_IMAGE UPLOAD'!$B$2:Z1000,5,0),"")</f>
        <v/>
      </c>
      <c r="C766" s="1" t="s">
        <v>4743</v>
      </c>
    </row>
    <row r="767" spans="1:3" ht="12.75">
      <c r="A767" s="74" t="str">
        <f ca="1">IFERROR(VLOOKUP(C767,'DB_IMAGE UPLOAD'!$B$2:Z1000,5,0),"")</f>
        <v/>
      </c>
      <c r="C767" s="1" t="s">
        <v>4743</v>
      </c>
    </row>
    <row r="768" spans="1:3" ht="12.75">
      <c r="A768" s="74" t="str">
        <f ca="1">IFERROR(VLOOKUP(C768,'DB_IMAGE UPLOAD'!$B$2:Z1000,5,0),"")</f>
        <v/>
      </c>
      <c r="C768" s="1" t="s">
        <v>4743</v>
      </c>
    </row>
    <row r="769" spans="1:3" ht="12.75">
      <c r="A769" s="74" t="str">
        <f ca="1">IFERROR(VLOOKUP(C769,'DB_IMAGE UPLOAD'!$B$2:Z1000,5,0),"")</f>
        <v/>
      </c>
      <c r="C769" s="1" t="s">
        <v>4743</v>
      </c>
    </row>
    <row r="770" spans="1:3" ht="12.75">
      <c r="A770" s="74" t="str">
        <f ca="1">IFERROR(VLOOKUP(C770,'DB_IMAGE UPLOAD'!$B$2:Z1000,5,0),"")</f>
        <v/>
      </c>
      <c r="C770" s="1" t="s">
        <v>4743</v>
      </c>
    </row>
    <row r="771" spans="1:3" ht="12.75">
      <c r="A771" s="74" t="str">
        <f ca="1">IFERROR(VLOOKUP(C771,'DB_IMAGE UPLOAD'!$B$2:Z1000,5,0),"")</f>
        <v/>
      </c>
      <c r="C771" s="1" t="s">
        <v>4743</v>
      </c>
    </row>
    <row r="772" spans="1:3" ht="12.75">
      <c r="A772" s="74" t="str">
        <f ca="1">IFERROR(VLOOKUP(C772,'DB_IMAGE UPLOAD'!$B$2:Z1000,5,0),"")</f>
        <v/>
      </c>
      <c r="C772" s="1" t="s">
        <v>4743</v>
      </c>
    </row>
    <row r="773" spans="1:3" ht="12.75">
      <c r="A773" s="74" t="str">
        <f ca="1">IFERROR(VLOOKUP(C773,'DB_IMAGE UPLOAD'!$B$2:Z1000,5,0),"")</f>
        <v/>
      </c>
      <c r="C773" s="1" t="s">
        <v>4743</v>
      </c>
    </row>
    <row r="774" spans="1:3" ht="12.75">
      <c r="A774" s="74" t="str">
        <f ca="1">IFERROR(VLOOKUP(C774,'DB_IMAGE UPLOAD'!$B$2:Z1000,5,0),"")</f>
        <v/>
      </c>
      <c r="C774" s="1" t="s">
        <v>4743</v>
      </c>
    </row>
    <row r="775" spans="1:3" ht="12.75">
      <c r="A775" s="74" t="str">
        <f ca="1">IFERROR(VLOOKUP(C775,'DB_IMAGE UPLOAD'!$B$2:Z1000,5,0),"")</f>
        <v/>
      </c>
      <c r="C775" s="1" t="s">
        <v>4743</v>
      </c>
    </row>
    <row r="776" spans="1:3" ht="12.75">
      <c r="A776" s="74" t="str">
        <f ca="1">IFERROR(VLOOKUP(C776,'DB_IMAGE UPLOAD'!$B$2:Z1000,5,0),"")</f>
        <v/>
      </c>
      <c r="C776" s="1" t="s">
        <v>4743</v>
      </c>
    </row>
    <row r="777" spans="1:3" ht="12.75">
      <c r="A777" s="74" t="str">
        <f ca="1">IFERROR(VLOOKUP(C777,'DB_IMAGE UPLOAD'!$B$2:Z1000,5,0),"")</f>
        <v/>
      </c>
      <c r="C777" s="1" t="s">
        <v>4743</v>
      </c>
    </row>
    <row r="778" spans="1:3" ht="12.75">
      <c r="A778" s="74" t="str">
        <f ca="1">IFERROR(VLOOKUP(C778,'DB_IMAGE UPLOAD'!$B$2:Z1000,5,0),"")</f>
        <v/>
      </c>
      <c r="C778" s="1" t="s">
        <v>4743</v>
      </c>
    </row>
    <row r="779" spans="1:3" ht="12.75">
      <c r="A779" s="74" t="str">
        <f ca="1">IFERROR(VLOOKUP(C779,'DB_IMAGE UPLOAD'!$B$2:Z1000,5,0),"")</f>
        <v/>
      </c>
      <c r="C779" s="1" t="s">
        <v>4743</v>
      </c>
    </row>
    <row r="780" spans="1:3" ht="12.75">
      <c r="A780" s="74" t="str">
        <f ca="1">IFERROR(VLOOKUP(C780,'DB_IMAGE UPLOAD'!$B$2:Z1000,5,0),"")</f>
        <v/>
      </c>
      <c r="C780" s="1" t="s">
        <v>4743</v>
      </c>
    </row>
    <row r="781" spans="1:3" ht="12.75">
      <c r="A781" s="74" t="str">
        <f ca="1">IFERROR(VLOOKUP(C781,'DB_IMAGE UPLOAD'!$B$2:Z1000,5,0),"")</f>
        <v/>
      </c>
      <c r="C781" s="1" t="s">
        <v>4743</v>
      </c>
    </row>
    <row r="782" spans="1:3" ht="12.75">
      <c r="A782" s="74" t="str">
        <f ca="1">IFERROR(VLOOKUP(C782,'DB_IMAGE UPLOAD'!$B$2:Z1000,5,0),"")</f>
        <v/>
      </c>
      <c r="C782" s="1" t="s">
        <v>4743</v>
      </c>
    </row>
    <row r="783" spans="1:3" ht="12.75">
      <c r="A783" s="74" t="str">
        <f ca="1">IFERROR(VLOOKUP(C783,'DB_IMAGE UPLOAD'!$B$2:Z1000,5,0),"")</f>
        <v/>
      </c>
      <c r="C783" s="1" t="s">
        <v>4743</v>
      </c>
    </row>
    <row r="784" spans="1:3" ht="12.75">
      <c r="A784" s="74" t="str">
        <f ca="1">IFERROR(VLOOKUP(C784,'DB_IMAGE UPLOAD'!$B$2:Z1000,5,0),"")</f>
        <v/>
      </c>
      <c r="C784" s="1" t="s">
        <v>4743</v>
      </c>
    </row>
    <row r="785" spans="1:3" ht="12.75">
      <c r="A785" s="74" t="str">
        <f ca="1">IFERROR(VLOOKUP(C785,'DB_IMAGE UPLOAD'!$B$2:Z1000,5,0),"")</f>
        <v/>
      </c>
      <c r="C785" s="1" t="s">
        <v>4743</v>
      </c>
    </row>
    <row r="786" spans="1:3" ht="12.75">
      <c r="A786" s="74" t="str">
        <f ca="1">IFERROR(VLOOKUP(C786,'DB_IMAGE UPLOAD'!$B$2:Z1000,5,0),"")</f>
        <v/>
      </c>
      <c r="C786" s="1" t="s">
        <v>4743</v>
      </c>
    </row>
    <row r="787" spans="1:3" ht="12.75">
      <c r="A787" s="74" t="str">
        <f ca="1">IFERROR(VLOOKUP(C787,'DB_IMAGE UPLOAD'!$B$2:Z1000,5,0),"")</f>
        <v/>
      </c>
      <c r="C787" s="1" t="s">
        <v>4743</v>
      </c>
    </row>
    <row r="788" spans="1:3" ht="12.75">
      <c r="A788" s="74" t="str">
        <f ca="1">IFERROR(VLOOKUP(C788,'DB_IMAGE UPLOAD'!$B$2:Z1000,5,0),"")</f>
        <v/>
      </c>
      <c r="C788" s="1" t="s">
        <v>4743</v>
      </c>
    </row>
    <row r="789" spans="1:3" ht="12.75">
      <c r="A789" s="74" t="str">
        <f ca="1">IFERROR(VLOOKUP(C789,'DB_IMAGE UPLOAD'!$B$2:Z1000,5,0),"")</f>
        <v/>
      </c>
      <c r="C789" s="1" t="s">
        <v>4743</v>
      </c>
    </row>
    <row r="790" spans="1:3" ht="12.75">
      <c r="A790" s="74" t="str">
        <f ca="1">IFERROR(VLOOKUP(C790,'DB_IMAGE UPLOAD'!$B$2:Z1000,5,0),"")</f>
        <v/>
      </c>
      <c r="C790" s="1" t="s">
        <v>4743</v>
      </c>
    </row>
    <row r="791" spans="1:3" ht="12.75">
      <c r="A791" s="74" t="str">
        <f ca="1">IFERROR(VLOOKUP(C791,'DB_IMAGE UPLOAD'!$B$2:Z1000,5,0),"")</f>
        <v/>
      </c>
      <c r="C791" s="1" t="s">
        <v>4743</v>
      </c>
    </row>
    <row r="792" spans="1:3" ht="12.75">
      <c r="A792" s="74" t="str">
        <f ca="1">IFERROR(VLOOKUP(C792,'DB_IMAGE UPLOAD'!$B$2:Z1000,5,0),"")</f>
        <v/>
      </c>
      <c r="C792" s="1" t="s">
        <v>4743</v>
      </c>
    </row>
    <row r="793" spans="1:3" ht="12.75">
      <c r="A793" s="74" t="str">
        <f ca="1">IFERROR(VLOOKUP(C793,'DB_IMAGE UPLOAD'!$B$2:Z1000,5,0),"")</f>
        <v/>
      </c>
      <c r="C793" s="1" t="s">
        <v>4743</v>
      </c>
    </row>
    <row r="794" spans="1:3" ht="12.75">
      <c r="A794" s="74" t="str">
        <f ca="1">IFERROR(VLOOKUP(C794,'DB_IMAGE UPLOAD'!$B$2:Z1000,5,0),"")</f>
        <v/>
      </c>
      <c r="C794" s="1" t="s">
        <v>4743</v>
      </c>
    </row>
    <row r="795" spans="1:3" ht="12.75">
      <c r="A795" s="74" t="str">
        <f ca="1">IFERROR(VLOOKUP(C795,'DB_IMAGE UPLOAD'!$B$2:Z1000,5,0),"")</f>
        <v/>
      </c>
      <c r="C795" s="1" t="s">
        <v>4743</v>
      </c>
    </row>
    <row r="796" spans="1:3" ht="12.75">
      <c r="A796" s="74" t="str">
        <f ca="1">IFERROR(VLOOKUP(C796,'DB_IMAGE UPLOAD'!$B$2:Z1000,5,0),"")</f>
        <v/>
      </c>
      <c r="C796" s="1" t="s">
        <v>4743</v>
      </c>
    </row>
    <row r="797" spans="1:3" ht="12.75">
      <c r="A797" s="74" t="str">
        <f ca="1">IFERROR(VLOOKUP(C797,'DB_IMAGE UPLOAD'!$B$2:Z1000,5,0),"")</f>
        <v/>
      </c>
      <c r="C797" s="1" t="s">
        <v>4743</v>
      </c>
    </row>
    <row r="798" spans="1:3" ht="12.75">
      <c r="A798" s="74" t="str">
        <f ca="1">IFERROR(VLOOKUP(C798,'DB_IMAGE UPLOAD'!$B$2:Z1000,5,0),"")</f>
        <v/>
      </c>
      <c r="C798" s="1" t="s">
        <v>4743</v>
      </c>
    </row>
    <row r="799" spans="1:3" ht="12.75">
      <c r="A799" s="74" t="str">
        <f ca="1">IFERROR(VLOOKUP(C799,'DB_IMAGE UPLOAD'!$B$2:Z1000,5,0),"")</f>
        <v/>
      </c>
      <c r="C799" s="1" t="s">
        <v>4743</v>
      </c>
    </row>
    <row r="800" spans="1:3" ht="12.75">
      <c r="A800" s="74" t="str">
        <f ca="1">IFERROR(VLOOKUP(C800,'DB_IMAGE UPLOAD'!$B$2:Z1000,5,0),"")</f>
        <v/>
      </c>
      <c r="C800" s="1" t="s">
        <v>4743</v>
      </c>
    </row>
    <row r="801" spans="1:3" ht="12.75">
      <c r="A801" s="74" t="str">
        <f ca="1">IFERROR(VLOOKUP(C801,'DB_IMAGE UPLOAD'!$B$2:Z1000,5,0),"")</f>
        <v/>
      </c>
      <c r="C801" s="1" t="s">
        <v>4743</v>
      </c>
    </row>
    <row r="802" spans="1:3" ht="12.75">
      <c r="A802" s="74" t="str">
        <f ca="1">IFERROR(VLOOKUP(C802,'DB_IMAGE UPLOAD'!$B$2:Z1000,5,0),"")</f>
        <v/>
      </c>
      <c r="C802" s="1" t="s">
        <v>4743</v>
      </c>
    </row>
    <row r="803" spans="1:3" ht="12.75">
      <c r="A803" s="74" t="str">
        <f ca="1">IFERROR(VLOOKUP(C803,'DB_IMAGE UPLOAD'!$B$2:Z1000,5,0),"")</f>
        <v/>
      </c>
      <c r="C803" s="1" t="s">
        <v>4743</v>
      </c>
    </row>
    <row r="804" spans="1:3" ht="12.75">
      <c r="A804" s="74" t="str">
        <f ca="1">IFERROR(VLOOKUP(C804,'DB_IMAGE UPLOAD'!$B$2:Z1000,5,0),"")</f>
        <v/>
      </c>
      <c r="C804" s="1" t="s">
        <v>4743</v>
      </c>
    </row>
    <row r="805" spans="1:3" ht="12.75">
      <c r="A805" s="74" t="str">
        <f ca="1">IFERROR(VLOOKUP(C805,'DB_IMAGE UPLOAD'!$B$2:Z1000,5,0),"")</f>
        <v/>
      </c>
      <c r="C805" s="1" t="s">
        <v>4743</v>
      </c>
    </row>
    <row r="806" spans="1:3" ht="12.75">
      <c r="A806" s="74" t="str">
        <f ca="1">IFERROR(VLOOKUP(C806,'DB_IMAGE UPLOAD'!$B$2:Z1000,5,0),"")</f>
        <v/>
      </c>
      <c r="C806" s="1" t="s">
        <v>4743</v>
      </c>
    </row>
    <row r="807" spans="1:3" ht="12.75">
      <c r="A807" s="74" t="str">
        <f ca="1">IFERROR(VLOOKUP(C807,'DB_IMAGE UPLOAD'!$B$2:Z1000,5,0),"")</f>
        <v/>
      </c>
      <c r="C807" s="1" t="s">
        <v>4743</v>
      </c>
    </row>
    <row r="808" spans="1:3" ht="12.75">
      <c r="A808" s="74" t="str">
        <f ca="1">IFERROR(VLOOKUP(C808,'DB_IMAGE UPLOAD'!$B$2:Z1000,5,0),"")</f>
        <v/>
      </c>
      <c r="C808" s="1" t="s">
        <v>4743</v>
      </c>
    </row>
    <row r="809" spans="1:3" ht="12.75">
      <c r="A809" s="74" t="str">
        <f ca="1">IFERROR(VLOOKUP(C809,'DB_IMAGE UPLOAD'!$B$2:Z1000,5,0),"")</f>
        <v/>
      </c>
      <c r="C809" s="1" t="s">
        <v>4743</v>
      </c>
    </row>
    <row r="810" spans="1:3" ht="12.75">
      <c r="A810" s="74" t="str">
        <f ca="1">IFERROR(VLOOKUP(C810,'DB_IMAGE UPLOAD'!$B$2:Z1000,5,0),"")</f>
        <v/>
      </c>
      <c r="C810" s="1" t="s">
        <v>4743</v>
      </c>
    </row>
    <row r="811" spans="1:3" ht="12.75">
      <c r="A811" s="74" t="str">
        <f ca="1">IFERROR(VLOOKUP(C811,'DB_IMAGE UPLOAD'!$B$2:Z1000,5,0),"")</f>
        <v/>
      </c>
      <c r="C811" s="1" t="s">
        <v>4743</v>
      </c>
    </row>
    <row r="812" spans="1:3" ht="12.75">
      <c r="A812" s="74" t="str">
        <f ca="1">IFERROR(VLOOKUP(C812,'DB_IMAGE UPLOAD'!$B$2:Z1000,5,0),"")</f>
        <v/>
      </c>
      <c r="C812" s="1" t="s">
        <v>4743</v>
      </c>
    </row>
    <row r="813" spans="1:3" ht="12.75">
      <c r="A813" s="74" t="str">
        <f ca="1">IFERROR(VLOOKUP(C813,'DB_IMAGE UPLOAD'!$B$2:Z1000,5,0),"")</f>
        <v/>
      </c>
      <c r="C813" s="1" t="s">
        <v>4743</v>
      </c>
    </row>
    <row r="814" spans="1:3" ht="12.75">
      <c r="A814" s="74" t="str">
        <f ca="1">IFERROR(VLOOKUP(C814,'DB_IMAGE UPLOAD'!$B$2:Z1000,5,0),"")</f>
        <v/>
      </c>
      <c r="C814" s="1" t="s">
        <v>4743</v>
      </c>
    </row>
    <row r="815" spans="1:3" ht="12.75">
      <c r="A815" s="74" t="str">
        <f ca="1">IFERROR(VLOOKUP(C815,'DB_IMAGE UPLOAD'!$B$2:Z1000,5,0),"")</f>
        <v/>
      </c>
      <c r="C815" s="1" t="s">
        <v>4743</v>
      </c>
    </row>
    <row r="816" spans="1:3" ht="12.75">
      <c r="A816" s="74" t="str">
        <f ca="1">IFERROR(VLOOKUP(C816,'DB_IMAGE UPLOAD'!$B$2:Z1000,5,0),"")</f>
        <v/>
      </c>
      <c r="C816" s="1" t="s">
        <v>4743</v>
      </c>
    </row>
    <row r="817" spans="1:3" ht="12.75">
      <c r="A817" s="74" t="str">
        <f ca="1">IFERROR(VLOOKUP(C817,'DB_IMAGE UPLOAD'!$B$2:Z1000,5,0),"")</f>
        <v/>
      </c>
      <c r="C817" s="1" t="s">
        <v>4743</v>
      </c>
    </row>
    <row r="818" spans="1:3" ht="12.75">
      <c r="A818" s="74" t="str">
        <f ca="1">IFERROR(VLOOKUP(C818,'DB_IMAGE UPLOAD'!$B$2:Z1000,5,0),"")</f>
        <v/>
      </c>
      <c r="C818" s="1" t="s">
        <v>4743</v>
      </c>
    </row>
    <row r="819" spans="1:3" ht="12.75">
      <c r="A819" s="74" t="str">
        <f ca="1">IFERROR(VLOOKUP(C819,'DB_IMAGE UPLOAD'!$B$2:Z1000,5,0),"")</f>
        <v/>
      </c>
      <c r="C819" s="1" t="s">
        <v>4743</v>
      </c>
    </row>
    <row r="820" spans="1:3" ht="12.75">
      <c r="A820" s="74" t="str">
        <f ca="1">IFERROR(VLOOKUP(C820,'DB_IMAGE UPLOAD'!$B$2:Z1000,5,0),"")</f>
        <v/>
      </c>
      <c r="C820" s="1" t="s">
        <v>4743</v>
      </c>
    </row>
    <row r="821" spans="1:3" ht="12.75">
      <c r="A821" s="74" t="str">
        <f ca="1">IFERROR(VLOOKUP(C821,'DB_IMAGE UPLOAD'!$B$2:Z1000,5,0),"")</f>
        <v/>
      </c>
      <c r="C821" s="1" t="s">
        <v>4743</v>
      </c>
    </row>
    <row r="822" spans="1:3" ht="12.75">
      <c r="A822" s="74" t="str">
        <f ca="1">IFERROR(VLOOKUP(C822,'DB_IMAGE UPLOAD'!$B$2:Z1000,5,0),"")</f>
        <v/>
      </c>
      <c r="C822" s="1" t="s">
        <v>4743</v>
      </c>
    </row>
    <row r="823" spans="1:3" ht="12.75">
      <c r="A823" s="74" t="str">
        <f ca="1">IFERROR(VLOOKUP(C823,'DB_IMAGE UPLOAD'!$B$2:Z1000,5,0),"")</f>
        <v/>
      </c>
      <c r="C823" s="1" t="s">
        <v>4743</v>
      </c>
    </row>
    <row r="824" spans="1:3" ht="12.75">
      <c r="A824" s="74" t="str">
        <f ca="1">IFERROR(VLOOKUP(C824,'DB_IMAGE UPLOAD'!$B$2:Z1000,5,0),"")</f>
        <v/>
      </c>
      <c r="C824" s="1" t="s">
        <v>4743</v>
      </c>
    </row>
    <row r="825" spans="1:3" ht="12.75">
      <c r="A825" s="74" t="str">
        <f ca="1">IFERROR(VLOOKUP(C825,'DB_IMAGE UPLOAD'!$B$2:Z1000,5,0),"")</f>
        <v/>
      </c>
      <c r="C825" s="1" t="s">
        <v>4743</v>
      </c>
    </row>
    <row r="826" spans="1:3" ht="12.75">
      <c r="A826" s="74" t="str">
        <f ca="1">IFERROR(VLOOKUP(C826,'DB_IMAGE UPLOAD'!$B$2:Z1000,5,0),"")</f>
        <v/>
      </c>
      <c r="C826" s="1" t="s">
        <v>4743</v>
      </c>
    </row>
    <row r="827" spans="1:3" ht="12.75">
      <c r="A827" s="74" t="str">
        <f ca="1">IFERROR(VLOOKUP(C827,'DB_IMAGE UPLOAD'!$B$2:Z1000,5,0),"")</f>
        <v/>
      </c>
      <c r="C827" s="1" t="s">
        <v>4743</v>
      </c>
    </row>
    <row r="828" spans="1:3" ht="12.75">
      <c r="A828" s="74" t="str">
        <f ca="1">IFERROR(VLOOKUP(C828,'DB_IMAGE UPLOAD'!$B$2:Z1000,5,0),"")</f>
        <v/>
      </c>
      <c r="C828" s="1" t="s">
        <v>4743</v>
      </c>
    </row>
    <row r="829" spans="1:3" ht="12.75">
      <c r="A829" s="74" t="str">
        <f ca="1">IFERROR(VLOOKUP(C829,'DB_IMAGE UPLOAD'!$B$2:Z1000,5,0),"")</f>
        <v/>
      </c>
      <c r="C829" s="1" t="s">
        <v>4743</v>
      </c>
    </row>
    <row r="830" spans="1:3" ht="12.75">
      <c r="A830" s="74" t="str">
        <f ca="1">IFERROR(VLOOKUP(C830,'DB_IMAGE UPLOAD'!$B$2:Z1000,5,0),"")</f>
        <v/>
      </c>
      <c r="C830" s="1" t="s">
        <v>4743</v>
      </c>
    </row>
    <row r="831" spans="1:3" ht="12.75">
      <c r="A831" s="74" t="str">
        <f ca="1">IFERROR(VLOOKUP(C831,'DB_IMAGE UPLOAD'!$B$2:Z1000,5,0),"")</f>
        <v/>
      </c>
      <c r="C831" s="1" t="s">
        <v>4743</v>
      </c>
    </row>
    <row r="832" spans="1:3" ht="12.75">
      <c r="A832" s="74" t="str">
        <f ca="1">IFERROR(VLOOKUP(C832,'DB_IMAGE UPLOAD'!$B$2:Z1000,5,0),"")</f>
        <v/>
      </c>
      <c r="C832" s="1" t="s">
        <v>4743</v>
      </c>
    </row>
    <row r="833" spans="1:3" ht="12.75">
      <c r="A833" s="74" t="str">
        <f ca="1">IFERROR(VLOOKUP(C833,'DB_IMAGE UPLOAD'!$B$2:Z1000,5,0),"")</f>
        <v/>
      </c>
      <c r="C833" s="1" t="s">
        <v>4743</v>
      </c>
    </row>
    <row r="834" spans="1:3" ht="12.75">
      <c r="A834" s="74" t="str">
        <f ca="1">IFERROR(VLOOKUP(C834,'DB_IMAGE UPLOAD'!$B$2:Z1000,5,0),"")</f>
        <v/>
      </c>
      <c r="C834" s="1" t="s">
        <v>4743</v>
      </c>
    </row>
    <row r="835" spans="1:3" ht="12.75">
      <c r="A835" s="74" t="str">
        <f ca="1">IFERROR(VLOOKUP(C835,'DB_IMAGE UPLOAD'!$B$2:Z1000,5,0),"")</f>
        <v/>
      </c>
      <c r="C835" s="1" t="s">
        <v>4743</v>
      </c>
    </row>
    <row r="836" spans="1:3" ht="12.75">
      <c r="A836" s="74" t="str">
        <f ca="1">IFERROR(VLOOKUP(C836,'DB_IMAGE UPLOAD'!$B$2:Z1000,5,0),"")</f>
        <v/>
      </c>
      <c r="C836" s="1" t="s">
        <v>4743</v>
      </c>
    </row>
    <row r="837" spans="1:3" ht="12.75">
      <c r="A837" s="74" t="str">
        <f ca="1">IFERROR(VLOOKUP(C837,'DB_IMAGE UPLOAD'!$B$2:Z1000,5,0),"")</f>
        <v/>
      </c>
      <c r="C837" s="1" t="s">
        <v>4743</v>
      </c>
    </row>
    <row r="838" spans="1:3" ht="12.75">
      <c r="A838" s="74" t="str">
        <f ca="1">IFERROR(VLOOKUP(C838,'DB_IMAGE UPLOAD'!$B$2:Z1000,5,0),"")</f>
        <v/>
      </c>
      <c r="C838" s="1" t="s">
        <v>4743</v>
      </c>
    </row>
    <row r="839" spans="1:3" ht="12.75">
      <c r="A839" s="74" t="str">
        <f ca="1">IFERROR(VLOOKUP(C839,'DB_IMAGE UPLOAD'!$B$2:Z1000,5,0),"")</f>
        <v/>
      </c>
      <c r="C839" s="1" t="s">
        <v>4743</v>
      </c>
    </row>
    <row r="840" spans="1:3" ht="12.75">
      <c r="A840" s="74" t="str">
        <f ca="1">IFERROR(VLOOKUP(C840,'DB_IMAGE UPLOAD'!$B$2:Z1000,5,0),"")</f>
        <v/>
      </c>
      <c r="C840" s="1" t="s">
        <v>4743</v>
      </c>
    </row>
    <row r="841" spans="1:3" ht="12.75">
      <c r="A841" s="74" t="str">
        <f ca="1">IFERROR(VLOOKUP(C841,'DB_IMAGE UPLOAD'!$B$2:Z1000,5,0),"")</f>
        <v/>
      </c>
      <c r="C841" s="1" t="s">
        <v>4743</v>
      </c>
    </row>
    <row r="842" spans="1:3" ht="12.75">
      <c r="A842" s="74" t="str">
        <f ca="1">IFERROR(VLOOKUP(C842,'DB_IMAGE UPLOAD'!$B$2:Z1000,5,0),"")</f>
        <v/>
      </c>
      <c r="C842" s="1" t="s">
        <v>4743</v>
      </c>
    </row>
    <row r="843" spans="1:3" ht="12.75">
      <c r="A843" s="74" t="str">
        <f ca="1">IFERROR(VLOOKUP(C843,'DB_IMAGE UPLOAD'!$B$2:Z1000,5,0),"")</f>
        <v/>
      </c>
      <c r="C843" s="1" t="s">
        <v>4743</v>
      </c>
    </row>
    <row r="844" spans="1:3" ht="12.75">
      <c r="A844" s="74" t="str">
        <f ca="1">IFERROR(VLOOKUP(C844,'DB_IMAGE UPLOAD'!$B$2:Z1000,5,0),"")</f>
        <v/>
      </c>
      <c r="C844" s="1" t="s">
        <v>4743</v>
      </c>
    </row>
    <row r="845" spans="1:3" ht="12.75">
      <c r="A845" s="74" t="str">
        <f ca="1">IFERROR(VLOOKUP(C845,'DB_IMAGE UPLOAD'!$B$2:Z1000,5,0),"")</f>
        <v/>
      </c>
      <c r="C845" s="1" t="s">
        <v>4743</v>
      </c>
    </row>
    <row r="846" spans="1:3" ht="12.75">
      <c r="A846" s="74" t="str">
        <f ca="1">IFERROR(VLOOKUP(C846,'DB_IMAGE UPLOAD'!$B$2:Z1000,5,0),"")</f>
        <v/>
      </c>
      <c r="C846" s="1" t="s">
        <v>4743</v>
      </c>
    </row>
    <row r="847" spans="1:3" ht="12.75">
      <c r="A847" s="74" t="str">
        <f ca="1">IFERROR(VLOOKUP(C847,'DB_IMAGE UPLOAD'!$B$2:Z1000,5,0),"")</f>
        <v/>
      </c>
      <c r="C847" s="1" t="s">
        <v>4743</v>
      </c>
    </row>
    <row r="848" spans="1:3" ht="12.75">
      <c r="A848" s="74" t="str">
        <f ca="1">IFERROR(VLOOKUP(C848,'DB_IMAGE UPLOAD'!$B$2:Z1000,5,0),"")</f>
        <v/>
      </c>
      <c r="C848" s="1" t="s">
        <v>4743</v>
      </c>
    </row>
    <row r="849" spans="1:3" ht="12.75">
      <c r="A849" s="74" t="str">
        <f ca="1">IFERROR(VLOOKUP(C849,'DB_IMAGE UPLOAD'!$B$2:Z1000,5,0),"")</f>
        <v/>
      </c>
      <c r="C849" s="1" t="s">
        <v>4743</v>
      </c>
    </row>
    <row r="850" spans="1:3" ht="12.75">
      <c r="A850" s="74" t="str">
        <f ca="1">IFERROR(VLOOKUP(C850,'DB_IMAGE UPLOAD'!$B$2:Z1000,5,0),"")</f>
        <v/>
      </c>
      <c r="C850" s="1" t="s">
        <v>4743</v>
      </c>
    </row>
    <row r="851" spans="1:3" ht="12.75">
      <c r="A851" s="74" t="str">
        <f ca="1">IFERROR(VLOOKUP(C851,'DB_IMAGE UPLOAD'!$B$2:Z1000,5,0),"")</f>
        <v/>
      </c>
      <c r="C851" s="1" t="s">
        <v>4743</v>
      </c>
    </row>
    <row r="852" spans="1:3" ht="12.75">
      <c r="A852" s="74" t="str">
        <f ca="1">IFERROR(VLOOKUP(C852,'DB_IMAGE UPLOAD'!$B$2:Z1000,5,0),"")</f>
        <v/>
      </c>
      <c r="C852" s="1" t="s">
        <v>4743</v>
      </c>
    </row>
    <row r="853" spans="1:3" ht="12.75">
      <c r="A853" s="74" t="str">
        <f ca="1">IFERROR(VLOOKUP(C853,'DB_IMAGE UPLOAD'!$B$2:Z1000,5,0),"")</f>
        <v/>
      </c>
      <c r="C853" s="1" t="s">
        <v>4743</v>
      </c>
    </row>
    <row r="854" spans="1:3" ht="12.75">
      <c r="A854" s="74" t="str">
        <f ca="1">IFERROR(VLOOKUP(C854,'DB_IMAGE UPLOAD'!$B$2:Z1000,5,0),"")</f>
        <v/>
      </c>
      <c r="C854" s="1" t="s">
        <v>4743</v>
      </c>
    </row>
    <row r="855" spans="1:3" ht="12.75">
      <c r="A855" s="74" t="str">
        <f ca="1">IFERROR(VLOOKUP(C855,'DB_IMAGE UPLOAD'!$B$2:Z1000,5,0),"")</f>
        <v/>
      </c>
      <c r="C855" s="1" t="s">
        <v>4743</v>
      </c>
    </row>
    <row r="856" spans="1:3" ht="12.75">
      <c r="A856" s="74" t="str">
        <f ca="1">IFERROR(VLOOKUP(C856,'DB_IMAGE UPLOAD'!$B$2:Z1000,5,0),"")</f>
        <v/>
      </c>
      <c r="C856" s="1" t="s">
        <v>4743</v>
      </c>
    </row>
    <row r="857" spans="1:3" ht="12.75">
      <c r="A857" s="74" t="str">
        <f ca="1">IFERROR(VLOOKUP(C857,'DB_IMAGE UPLOAD'!$B$2:Z1000,5,0),"")</f>
        <v/>
      </c>
      <c r="C857" s="1" t="s">
        <v>4743</v>
      </c>
    </row>
    <row r="858" spans="1:3" ht="12.75">
      <c r="A858" s="74" t="str">
        <f ca="1">IFERROR(VLOOKUP(C858,'DB_IMAGE UPLOAD'!$B$2:Z1000,5,0),"")</f>
        <v/>
      </c>
      <c r="C858" s="1" t="s">
        <v>4743</v>
      </c>
    </row>
    <row r="859" spans="1:3" ht="12.75">
      <c r="A859" s="74" t="str">
        <f ca="1">IFERROR(VLOOKUP(C859,'DB_IMAGE UPLOAD'!$B$2:Z1000,5,0),"")</f>
        <v/>
      </c>
      <c r="C859" s="1" t="s">
        <v>4743</v>
      </c>
    </row>
    <row r="860" spans="1:3" ht="12.75">
      <c r="A860" s="74" t="str">
        <f ca="1">IFERROR(VLOOKUP(C860,'DB_IMAGE UPLOAD'!$B$2:Z1000,5,0),"")</f>
        <v/>
      </c>
      <c r="C860" s="1" t="s">
        <v>4743</v>
      </c>
    </row>
    <row r="861" spans="1:3" ht="12.75">
      <c r="A861" s="74" t="str">
        <f ca="1">IFERROR(VLOOKUP(C861,'DB_IMAGE UPLOAD'!$B$2:Z1000,5,0),"")</f>
        <v/>
      </c>
      <c r="C861" s="1" t="s">
        <v>4743</v>
      </c>
    </row>
    <row r="862" spans="1:3" ht="12.75">
      <c r="A862" s="74" t="str">
        <f ca="1">IFERROR(VLOOKUP(C862,'DB_IMAGE UPLOAD'!$B$2:Z1000,5,0),"")</f>
        <v/>
      </c>
      <c r="C862" s="1" t="s">
        <v>4743</v>
      </c>
    </row>
    <row r="863" spans="1:3" ht="12.75">
      <c r="A863" s="74" t="str">
        <f ca="1">IFERROR(VLOOKUP(C863,'DB_IMAGE UPLOAD'!$B$2:Z1000,5,0),"")</f>
        <v/>
      </c>
      <c r="C863" s="1" t="s">
        <v>4743</v>
      </c>
    </row>
    <row r="864" spans="1:3" ht="12.75">
      <c r="A864" s="74" t="str">
        <f ca="1">IFERROR(VLOOKUP(C864,'DB_IMAGE UPLOAD'!$B$2:Z1000,5,0),"")</f>
        <v/>
      </c>
      <c r="C864" s="1" t="s">
        <v>4743</v>
      </c>
    </row>
    <row r="865" spans="1:3" ht="12.75">
      <c r="A865" s="74" t="str">
        <f ca="1">IFERROR(VLOOKUP(C865,'DB_IMAGE UPLOAD'!$B$2:Z1000,5,0),"")</f>
        <v/>
      </c>
      <c r="C865" s="1" t="s">
        <v>4743</v>
      </c>
    </row>
    <row r="866" spans="1:3" ht="12.75">
      <c r="A866" s="74" t="str">
        <f ca="1">IFERROR(VLOOKUP(C866,'DB_IMAGE UPLOAD'!$B$2:Z1000,5,0),"")</f>
        <v/>
      </c>
      <c r="C866" s="1" t="s">
        <v>4743</v>
      </c>
    </row>
    <row r="867" spans="1:3" ht="12.75">
      <c r="A867" s="74" t="str">
        <f ca="1">IFERROR(VLOOKUP(C867,'DB_IMAGE UPLOAD'!$B$2:Z1000,5,0),"")</f>
        <v/>
      </c>
      <c r="C867" s="1" t="s">
        <v>4743</v>
      </c>
    </row>
    <row r="868" spans="1:3" ht="12.75">
      <c r="A868" s="74" t="str">
        <f ca="1">IFERROR(VLOOKUP(C868,'DB_IMAGE UPLOAD'!$B$2:Z1000,5,0),"")</f>
        <v/>
      </c>
      <c r="C868" s="1" t="s">
        <v>4743</v>
      </c>
    </row>
    <row r="869" spans="1:3" ht="12.75">
      <c r="A869" s="74" t="str">
        <f ca="1">IFERROR(VLOOKUP(C869,'DB_IMAGE UPLOAD'!$B$2:Z1000,5,0),"")</f>
        <v/>
      </c>
      <c r="C869" s="1" t="s">
        <v>4743</v>
      </c>
    </row>
    <row r="870" spans="1:3" ht="12.75">
      <c r="A870" s="74" t="str">
        <f ca="1">IFERROR(VLOOKUP(C870,'DB_IMAGE UPLOAD'!$B$2:Z1000,5,0),"")</f>
        <v/>
      </c>
      <c r="C870" s="1" t="s">
        <v>4743</v>
      </c>
    </row>
    <row r="871" spans="1:3" ht="12.75">
      <c r="A871" s="74" t="str">
        <f ca="1">IFERROR(VLOOKUP(C871,'DB_IMAGE UPLOAD'!$B$2:Z1000,5,0),"")</f>
        <v/>
      </c>
      <c r="C871" s="1" t="s">
        <v>4743</v>
      </c>
    </row>
    <row r="872" spans="1:3" ht="12.75">
      <c r="A872" s="74" t="str">
        <f ca="1">IFERROR(VLOOKUP(C872,'DB_IMAGE UPLOAD'!$B$2:Z1000,5,0),"")</f>
        <v/>
      </c>
      <c r="C872" s="1" t="s">
        <v>4743</v>
      </c>
    </row>
    <row r="873" spans="1:3" ht="12.75">
      <c r="A873" s="74" t="str">
        <f ca="1">IFERROR(VLOOKUP(C873,'DB_IMAGE UPLOAD'!$B$2:Z1000,5,0),"")</f>
        <v/>
      </c>
      <c r="C873" s="1" t="s">
        <v>4743</v>
      </c>
    </row>
    <row r="874" spans="1:3" ht="12.75">
      <c r="A874" s="74" t="str">
        <f ca="1">IFERROR(VLOOKUP(C874,'DB_IMAGE UPLOAD'!$B$2:Z1000,5,0),"")</f>
        <v/>
      </c>
      <c r="C874" s="1" t="s">
        <v>4743</v>
      </c>
    </row>
    <row r="875" spans="1:3" ht="12.75">
      <c r="A875" s="74" t="str">
        <f ca="1">IFERROR(VLOOKUP(C875,'DB_IMAGE UPLOAD'!$B$2:Z1000,5,0),"")</f>
        <v/>
      </c>
      <c r="C875" s="1" t="s">
        <v>4743</v>
      </c>
    </row>
    <row r="876" spans="1:3" ht="12.75">
      <c r="A876" s="74" t="str">
        <f ca="1">IFERROR(VLOOKUP(C876,'DB_IMAGE UPLOAD'!$B$2:Z1000,5,0),"")</f>
        <v/>
      </c>
      <c r="C876" s="1" t="s">
        <v>4743</v>
      </c>
    </row>
    <row r="877" spans="1:3" ht="12.75">
      <c r="A877" s="74" t="str">
        <f ca="1">IFERROR(VLOOKUP(C877,'DB_IMAGE UPLOAD'!$B$2:Z1000,5,0),"")</f>
        <v/>
      </c>
      <c r="C877" s="1" t="s">
        <v>4743</v>
      </c>
    </row>
    <row r="878" spans="1:3" ht="12.75">
      <c r="A878" s="74" t="str">
        <f ca="1">IFERROR(VLOOKUP(C878,'DB_IMAGE UPLOAD'!$B$2:Z1000,5,0),"")</f>
        <v/>
      </c>
      <c r="C878" s="1" t="s">
        <v>4743</v>
      </c>
    </row>
    <row r="879" spans="1:3" ht="12.75">
      <c r="A879" s="74" t="str">
        <f ca="1">IFERROR(VLOOKUP(C879,'DB_IMAGE UPLOAD'!$B$2:Z1000,5,0),"")</f>
        <v/>
      </c>
      <c r="C879" s="1" t="s">
        <v>4743</v>
      </c>
    </row>
    <row r="880" spans="1:3" ht="12.75">
      <c r="A880" s="74" t="str">
        <f ca="1">IFERROR(VLOOKUP(C880,'DB_IMAGE UPLOAD'!$B$2:Z1000,5,0),"")</f>
        <v/>
      </c>
      <c r="C880" s="1" t="s">
        <v>4743</v>
      </c>
    </row>
    <row r="881" spans="1:3" ht="12.75">
      <c r="A881" s="74" t="str">
        <f ca="1">IFERROR(VLOOKUP(C881,'DB_IMAGE UPLOAD'!$B$2:Z1000,5,0),"")</f>
        <v/>
      </c>
      <c r="C881" s="1" t="s">
        <v>4743</v>
      </c>
    </row>
    <row r="882" spans="1:3" ht="12.75">
      <c r="A882" s="74" t="str">
        <f ca="1">IFERROR(VLOOKUP(C882,'DB_IMAGE UPLOAD'!$B$2:Z1000,5,0),"")</f>
        <v/>
      </c>
      <c r="C882" s="1" t="s">
        <v>4743</v>
      </c>
    </row>
    <row r="883" spans="1:3" ht="12.75">
      <c r="A883" s="74" t="str">
        <f ca="1">IFERROR(VLOOKUP(C883,'DB_IMAGE UPLOAD'!$B$2:Z1000,5,0),"")</f>
        <v/>
      </c>
      <c r="C883" s="1" t="s">
        <v>4743</v>
      </c>
    </row>
    <row r="884" spans="1:3" ht="12.75">
      <c r="A884" s="74" t="str">
        <f ca="1">IFERROR(VLOOKUP(C884,'DB_IMAGE UPLOAD'!$B$2:Z1000,5,0),"")</f>
        <v/>
      </c>
      <c r="C884" s="1" t="s">
        <v>4743</v>
      </c>
    </row>
    <row r="885" spans="1:3" ht="12.75">
      <c r="A885" s="74" t="str">
        <f ca="1">IFERROR(VLOOKUP(C885,'DB_IMAGE UPLOAD'!$B$2:Z1000,5,0),"")</f>
        <v/>
      </c>
      <c r="C885" s="1" t="s">
        <v>4743</v>
      </c>
    </row>
    <row r="886" spans="1:3" ht="12.75">
      <c r="A886" s="74" t="str">
        <f ca="1">IFERROR(VLOOKUP(C886,'DB_IMAGE UPLOAD'!$B$2:Z1000,5,0),"")</f>
        <v/>
      </c>
      <c r="C886" s="1" t="s">
        <v>4743</v>
      </c>
    </row>
    <row r="887" spans="1:3" ht="12.75">
      <c r="A887" s="74" t="str">
        <f ca="1">IFERROR(VLOOKUP(C887,'DB_IMAGE UPLOAD'!$B$2:Z1000,5,0),"")</f>
        <v/>
      </c>
      <c r="C887" s="1" t="s">
        <v>4743</v>
      </c>
    </row>
    <row r="888" spans="1:3" ht="12.75">
      <c r="A888" s="74" t="str">
        <f ca="1">IFERROR(VLOOKUP(C888,'DB_IMAGE UPLOAD'!$B$2:Z1000,5,0),"")</f>
        <v/>
      </c>
      <c r="C888" s="1" t="s">
        <v>4743</v>
      </c>
    </row>
    <row r="889" spans="1:3" ht="12.75">
      <c r="A889" s="74" t="str">
        <f ca="1">IFERROR(VLOOKUP(C889,'DB_IMAGE UPLOAD'!$B$2:Z1000,5,0),"")</f>
        <v/>
      </c>
      <c r="C889" s="1" t="s">
        <v>4743</v>
      </c>
    </row>
    <row r="890" spans="1:3" ht="12.75">
      <c r="A890" s="74" t="str">
        <f ca="1">IFERROR(VLOOKUP(C890,'DB_IMAGE UPLOAD'!$B$2:Z1000,5,0),"")</f>
        <v/>
      </c>
      <c r="C890" s="1" t="s">
        <v>4743</v>
      </c>
    </row>
    <row r="891" spans="1:3" ht="12.75">
      <c r="A891" s="74" t="str">
        <f ca="1">IFERROR(VLOOKUP(C891,'DB_IMAGE UPLOAD'!$B$2:Z1000,5,0),"")</f>
        <v/>
      </c>
      <c r="C891" s="1" t="s">
        <v>4743</v>
      </c>
    </row>
    <row r="892" spans="1:3" ht="12.75">
      <c r="A892" s="74" t="str">
        <f ca="1">IFERROR(VLOOKUP(C892,'DB_IMAGE UPLOAD'!$B$2:Z1000,5,0),"")</f>
        <v/>
      </c>
      <c r="C892" s="1" t="s">
        <v>4743</v>
      </c>
    </row>
    <row r="893" spans="1:3" ht="12.75">
      <c r="A893" s="74" t="str">
        <f ca="1">IFERROR(VLOOKUP(C893,'DB_IMAGE UPLOAD'!$B$2:Z1000,5,0),"")</f>
        <v/>
      </c>
      <c r="C893" s="1" t="s">
        <v>4743</v>
      </c>
    </row>
    <row r="894" spans="1:3" ht="12.75">
      <c r="A894" s="74" t="str">
        <f ca="1">IFERROR(VLOOKUP(C894,'DB_IMAGE UPLOAD'!$B$2:Z1000,5,0),"")</f>
        <v/>
      </c>
      <c r="C894" s="1" t="s">
        <v>4743</v>
      </c>
    </row>
    <row r="895" spans="1:3" ht="12.75">
      <c r="A895" s="74" t="str">
        <f ca="1">IFERROR(VLOOKUP(C895,'DB_IMAGE UPLOAD'!$B$2:Z1000,5,0),"")</f>
        <v/>
      </c>
      <c r="C895" s="1" t="s">
        <v>4743</v>
      </c>
    </row>
    <row r="896" spans="1:3" ht="12.75">
      <c r="A896" s="74" t="str">
        <f ca="1">IFERROR(VLOOKUP(C896,'DB_IMAGE UPLOAD'!$B$2:Z1000,5,0),"")</f>
        <v/>
      </c>
      <c r="C896" s="1" t="s">
        <v>4743</v>
      </c>
    </row>
    <row r="897" spans="1:3" ht="12.75">
      <c r="A897" s="74" t="str">
        <f ca="1">IFERROR(VLOOKUP(C897,'DB_IMAGE UPLOAD'!$B$2:Z1000,5,0),"")</f>
        <v/>
      </c>
      <c r="C897" s="1" t="s">
        <v>4743</v>
      </c>
    </row>
    <row r="898" spans="1:3" ht="12.75">
      <c r="A898" s="74" t="str">
        <f ca="1">IFERROR(VLOOKUP(C898,'DB_IMAGE UPLOAD'!$B$2:Z1000,5,0),"")</f>
        <v/>
      </c>
      <c r="C898" s="1" t="s">
        <v>4743</v>
      </c>
    </row>
    <row r="899" spans="1:3" ht="12.75">
      <c r="A899" s="74" t="str">
        <f ca="1">IFERROR(VLOOKUP(C899,'DB_IMAGE UPLOAD'!$B$2:Z1000,5,0),"")</f>
        <v/>
      </c>
      <c r="C899" s="1" t="s">
        <v>4743</v>
      </c>
    </row>
    <row r="900" spans="1:3" ht="12.75">
      <c r="A900" s="74" t="str">
        <f ca="1">IFERROR(VLOOKUP(C900,'DB_IMAGE UPLOAD'!$B$2:Z1000,5,0),"")</f>
        <v/>
      </c>
      <c r="C900" s="1" t="s">
        <v>4743</v>
      </c>
    </row>
    <row r="901" spans="1:3" ht="12.75">
      <c r="A901" s="74" t="str">
        <f ca="1">IFERROR(VLOOKUP(C901,'DB_IMAGE UPLOAD'!$B$2:Z1000,5,0),"")</f>
        <v/>
      </c>
      <c r="C901" s="1" t="s">
        <v>4743</v>
      </c>
    </row>
    <row r="902" spans="1:3" ht="12.75">
      <c r="A902" s="74" t="str">
        <f ca="1">IFERROR(VLOOKUP(C902,'DB_IMAGE UPLOAD'!$B$2:Z1000,5,0),"")</f>
        <v/>
      </c>
      <c r="C902" s="1" t="s">
        <v>4743</v>
      </c>
    </row>
    <row r="903" spans="1:3" ht="12.75">
      <c r="A903" s="74" t="str">
        <f ca="1">IFERROR(VLOOKUP(C903,'DB_IMAGE UPLOAD'!$B$2:Z1000,5,0),"")</f>
        <v/>
      </c>
      <c r="C903" s="1" t="s">
        <v>4743</v>
      </c>
    </row>
    <row r="904" spans="1:3" ht="12.75">
      <c r="A904" s="74" t="str">
        <f ca="1">IFERROR(VLOOKUP(C904,'DB_IMAGE UPLOAD'!$B$2:Z1000,5,0),"")</f>
        <v/>
      </c>
      <c r="C904" s="1" t="s">
        <v>4743</v>
      </c>
    </row>
    <row r="905" spans="1:3" ht="12.75">
      <c r="A905" s="74" t="str">
        <f ca="1">IFERROR(VLOOKUP(C905,'DB_IMAGE UPLOAD'!$B$2:Z1000,5,0),"")</f>
        <v/>
      </c>
      <c r="C905" s="1" t="s">
        <v>4743</v>
      </c>
    </row>
    <row r="906" spans="1:3" ht="12.75">
      <c r="A906" s="74" t="str">
        <f ca="1">IFERROR(VLOOKUP(C906,'DB_IMAGE UPLOAD'!$B$2:Z1000,5,0),"")</f>
        <v/>
      </c>
      <c r="C906" s="1" t="s">
        <v>4743</v>
      </c>
    </row>
    <row r="907" spans="1:3" ht="12.75">
      <c r="A907" s="74" t="str">
        <f ca="1">IFERROR(VLOOKUP(C907,'DB_IMAGE UPLOAD'!$B$2:Z1000,5,0),"")</f>
        <v/>
      </c>
      <c r="C907" s="1" t="s">
        <v>4743</v>
      </c>
    </row>
    <row r="908" spans="1:3" ht="12.75">
      <c r="A908" s="74" t="str">
        <f ca="1">IFERROR(VLOOKUP(C908,'DB_IMAGE UPLOAD'!$B$2:Z1000,5,0),"")</f>
        <v/>
      </c>
      <c r="C908" s="1" t="s">
        <v>4743</v>
      </c>
    </row>
    <row r="909" spans="1:3" ht="12.75">
      <c r="A909" s="74" t="str">
        <f ca="1">IFERROR(VLOOKUP(C909,'DB_IMAGE UPLOAD'!$B$2:Z1000,5,0),"")</f>
        <v/>
      </c>
      <c r="C909" s="1" t="s">
        <v>4743</v>
      </c>
    </row>
    <row r="910" spans="1:3" ht="12.75">
      <c r="A910" s="74" t="str">
        <f ca="1">IFERROR(VLOOKUP(C910,'DB_IMAGE UPLOAD'!$B$2:Z1000,5,0),"")</f>
        <v/>
      </c>
      <c r="C910" s="1" t="s">
        <v>4743</v>
      </c>
    </row>
    <row r="911" spans="1:3" ht="12.75">
      <c r="A911" s="74" t="str">
        <f ca="1">IFERROR(VLOOKUP(C911,'DB_IMAGE UPLOAD'!$B$2:Z1000,5,0),"")</f>
        <v/>
      </c>
      <c r="C911" s="1" t="s">
        <v>4743</v>
      </c>
    </row>
    <row r="912" spans="1:3" ht="12.75">
      <c r="A912" s="74" t="str">
        <f ca="1">IFERROR(VLOOKUP(C912,'DB_IMAGE UPLOAD'!$B$2:Z1000,5,0),"")</f>
        <v/>
      </c>
      <c r="C912" s="1" t="s">
        <v>4743</v>
      </c>
    </row>
    <row r="913" spans="1:3" ht="12.75">
      <c r="A913" s="74" t="str">
        <f ca="1">IFERROR(VLOOKUP(C913,'DB_IMAGE UPLOAD'!$B$2:Z1000,5,0),"")</f>
        <v/>
      </c>
      <c r="C913" s="1" t="s">
        <v>4743</v>
      </c>
    </row>
    <row r="914" spans="1:3" ht="12.75">
      <c r="A914" s="74" t="str">
        <f ca="1">IFERROR(VLOOKUP(C914,'DB_IMAGE UPLOAD'!$B$2:Z1000,5,0),"")</f>
        <v/>
      </c>
      <c r="C914" s="1" t="s">
        <v>4743</v>
      </c>
    </row>
    <row r="915" spans="1:3" ht="12.75">
      <c r="A915" s="74" t="str">
        <f ca="1">IFERROR(VLOOKUP(C915,'DB_IMAGE UPLOAD'!$B$2:Z1000,5,0),"")</f>
        <v/>
      </c>
      <c r="C915" s="1" t="s">
        <v>4743</v>
      </c>
    </row>
    <row r="916" spans="1:3" ht="12.75">
      <c r="A916" s="74" t="str">
        <f ca="1">IFERROR(VLOOKUP(C916,'DB_IMAGE UPLOAD'!$B$2:Z1000,5,0),"")</f>
        <v/>
      </c>
      <c r="C916" s="1" t="s">
        <v>4743</v>
      </c>
    </row>
    <row r="917" spans="1:3" ht="12.75">
      <c r="A917" s="74" t="str">
        <f ca="1">IFERROR(VLOOKUP(C917,'DB_IMAGE UPLOAD'!$B$2:Z1000,5,0),"")</f>
        <v/>
      </c>
      <c r="C917" s="1" t="s">
        <v>4743</v>
      </c>
    </row>
    <row r="918" spans="1:3" ht="12.75">
      <c r="A918" s="74" t="str">
        <f ca="1">IFERROR(VLOOKUP(C918,'DB_IMAGE UPLOAD'!$B$2:Z1000,5,0),"")</f>
        <v/>
      </c>
      <c r="C918" s="1" t="s">
        <v>4743</v>
      </c>
    </row>
    <row r="919" spans="1:3" ht="12.75">
      <c r="A919" s="74" t="str">
        <f ca="1">IFERROR(VLOOKUP(C919,'DB_IMAGE UPLOAD'!$B$2:Z1000,5,0),"")</f>
        <v/>
      </c>
      <c r="C919" s="1" t="s">
        <v>4743</v>
      </c>
    </row>
    <row r="920" spans="1:3" ht="12.75">
      <c r="A920" s="74" t="str">
        <f ca="1">IFERROR(VLOOKUP(C920,'DB_IMAGE UPLOAD'!$B$2:Z1000,5,0),"")</f>
        <v/>
      </c>
      <c r="C920" s="1" t="s">
        <v>4743</v>
      </c>
    </row>
    <row r="921" spans="1:3" ht="12.75">
      <c r="A921" s="74" t="str">
        <f ca="1">IFERROR(VLOOKUP(C921,'DB_IMAGE UPLOAD'!$B$2:Z1000,5,0),"")</f>
        <v/>
      </c>
      <c r="C921" s="1" t="s">
        <v>4743</v>
      </c>
    </row>
    <row r="922" spans="1:3" ht="12.75">
      <c r="A922" s="74" t="str">
        <f ca="1">IFERROR(VLOOKUP(C922,'DB_IMAGE UPLOAD'!$B$2:Z1000,5,0),"")</f>
        <v/>
      </c>
      <c r="C922" s="1" t="s">
        <v>4743</v>
      </c>
    </row>
    <row r="923" spans="1:3" ht="12.75">
      <c r="A923" s="74" t="str">
        <f ca="1">IFERROR(VLOOKUP(C923,'DB_IMAGE UPLOAD'!$B$2:Z1000,5,0),"")</f>
        <v/>
      </c>
      <c r="C923" s="1" t="s">
        <v>4743</v>
      </c>
    </row>
    <row r="924" spans="1:3" ht="12.75">
      <c r="A924" s="74" t="str">
        <f ca="1">IFERROR(VLOOKUP(C924,'DB_IMAGE UPLOAD'!$B$2:Z1000,5,0),"")</f>
        <v/>
      </c>
      <c r="C924" s="1" t="s">
        <v>4743</v>
      </c>
    </row>
    <row r="925" spans="1:3" ht="12.75">
      <c r="A925" s="74" t="str">
        <f ca="1">IFERROR(VLOOKUP(C925,'DB_IMAGE UPLOAD'!$B$2:Z1000,5,0),"")</f>
        <v/>
      </c>
      <c r="C925" s="1" t="s">
        <v>4743</v>
      </c>
    </row>
    <row r="926" spans="1:3" ht="12.75">
      <c r="A926" s="74" t="str">
        <f ca="1">IFERROR(VLOOKUP(C926,'DB_IMAGE UPLOAD'!$B$2:Z1000,5,0),"")</f>
        <v/>
      </c>
      <c r="C926" s="1" t="s">
        <v>4743</v>
      </c>
    </row>
    <row r="927" spans="1:3" ht="12.75">
      <c r="A927" s="74" t="str">
        <f ca="1">IFERROR(VLOOKUP(C927,'DB_IMAGE UPLOAD'!$B$2:Z1000,5,0),"")</f>
        <v/>
      </c>
      <c r="C927" s="1" t="s">
        <v>4743</v>
      </c>
    </row>
    <row r="928" spans="1:3" ht="12.75">
      <c r="A928" s="74" t="str">
        <f ca="1">IFERROR(VLOOKUP(C928,'DB_IMAGE UPLOAD'!$B$2:Z1000,5,0),"")</f>
        <v/>
      </c>
      <c r="C928" s="1" t="s">
        <v>4743</v>
      </c>
    </row>
    <row r="929" spans="1:3" ht="12.75">
      <c r="A929" s="74" t="str">
        <f ca="1">IFERROR(VLOOKUP(C929,'DB_IMAGE UPLOAD'!$B$2:Z1000,5,0),"")</f>
        <v/>
      </c>
      <c r="C929" s="1" t="s">
        <v>4743</v>
      </c>
    </row>
    <row r="930" spans="1:3" ht="12.75">
      <c r="A930" s="74" t="str">
        <f ca="1">IFERROR(VLOOKUP(C930,'DB_IMAGE UPLOAD'!$B$2:Z1000,5,0),"")</f>
        <v/>
      </c>
      <c r="C930" s="1" t="s">
        <v>4743</v>
      </c>
    </row>
    <row r="931" spans="1:3" ht="12.75">
      <c r="A931" s="74" t="str">
        <f ca="1">IFERROR(VLOOKUP(C931,'DB_IMAGE UPLOAD'!$B$2:Z1000,5,0),"")</f>
        <v/>
      </c>
      <c r="C931" s="1" t="s">
        <v>4743</v>
      </c>
    </row>
    <row r="932" spans="1:3" ht="12.75">
      <c r="A932" s="74" t="str">
        <f ca="1">IFERROR(VLOOKUP(C932,'DB_IMAGE UPLOAD'!$B$2:Z1000,5,0),"")</f>
        <v/>
      </c>
      <c r="C932" s="1" t="s">
        <v>4743</v>
      </c>
    </row>
    <row r="933" spans="1:3" ht="12.75">
      <c r="A933" s="74" t="str">
        <f ca="1">IFERROR(VLOOKUP(C933,'DB_IMAGE UPLOAD'!$B$2:Z1000,5,0),"")</f>
        <v/>
      </c>
      <c r="C933" s="1" t="s">
        <v>4743</v>
      </c>
    </row>
    <row r="934" spans="1:3" ht="12.75">
      <c r="A934" s="74" t="str">
        <f ca="1">IFERROR(VLOOKUP(C934,'DB_IMAGE UPLOAD'!$B$2:Z1000,5,0),"")</f>
        <v/>
      </c>
      <c r="C934" s="1" t="s">
        <v>4743</v>
      </c>
    </row>
    <row r="935" spans="1:3" ht="12.75">
      <c r="A935" s="74" t="str">
        <f ca="1">IFERROR(VLOOKUP(C935,'DB_IMAGE UPLOAD'!$B$2:Z1000,5,0),"")</f>
        <v/>
      </c>
      <c r="C935" s="1" t="s">
        <v>4743</v>
      </c>
    </row>
    <row r="936" spans="1:3" ht="12.75">
      <c r="A936" s="74" t="str">
        <f ca="1">IFERROR(VLOOKUP(C936,'DB_IMAGE UPLOAD'!$B$2:Z1000,5,0),"")</f>
        <v/>
      </c>
      <c r="C936" s="1" t="s">
        <v>4743</v>
      </c>
    </row>
    <row r="937" spans="1:3" ht="12.75">
      <c r="A937" s="74" t="str">
        <f ca="1">IFERROR(VLOOKUP(C937,'DB_IMAGE UPLOAD'!$B$2:Z1000,5,0),"")</f>
        <v/>
      </c>
      <c r="C937" s="1" t="s">
        <v>4743</v>
      </c>
    </row>
    <row r="938" spans="1:3" ht="12.75">
      <c r="A938" s="74" t="str">
        <f ca="1">IFERROR(VLOOKUP(C938,'DB_IMAGE UPLOAD'!$B$2:Z1000,5,0),"")</f>
        <v/>
      </c>
      <c r="C938" s="1" t="s">
        <v>4743</v>
      </c>
    </row>
    <row r="939" spans="1:3" ht="12.75">
      <c r="A939" s="74" t="str">
        <f ca="1">IFERROR(VLOOKUP(C939,'DB_IMAGE UPLOAD'!$B$2:Z1000,5,0),"")</f>
        <v/>
      </c>
      <c r="C939" s="1" t="s">
        <v>4743</v>
      </c>
    </row>
    <row r="940" spans="1:3" ht="12.75">
      <c r="A940" s="74" t="str">
        <f ca="1">IFERROR(VLOOKUP(C940,'DB_IMAGE UPLOAD'!$B$2:Z1000,5,0),"")</f>
        <v/>
      </c>
      <c r="C940" s="1" t="s">
        <v>4743</v>
      </c>
    </row>
    <row r="941" spans="1:3" ht="12.75">
      <c r="A941" s="74" t="str">
        <f ca="1">IFERROR(VLOOKUP(C941,'DB_IMAGE UPLOAD'!$B$2:Z1000,5,0),"")</f>
        <v/>
      </c>
      <c r="C941" s="1" t="s">
        <v>4743</v>
      </c>
    </row>
    <row r="942" spans="1:3" ht="12.75">
      <c r="A942" s="74" t="str">
        <f ca="1">IFERROR(VLOOKUP(C942,'DB_IMAGE UPLOAD'!$B$2:Z1000,5,0),"")</f>
        <v/>
      </c>
      <c r="C942" s="1" t="s">
        <v>4743</v>
      </c>
    </row>
    <row r="943" spans="1:3" ht="12.75">
      <c r="A943" s="74" t="str">
        <f ca="1">IFERROR(VLOOKUP(C943,'DB_IMAGE UPLOAD'!$B$2:Z1000,5,0),"")</f>
        <v/>
      </c>
      <c r="C943" s="1" t="s">
        <v>4743</v>
      </c>
    </row>
    <row r="944" spans="1:3" ht="12.75">
      <c r="A944" s="74" t="str">
        <f ca="1">IFERROR(VLOOKUP(C944,'DB_IMAGE UPLOAD'!$B$2:Z1000,5,0),"")</f>
        <v/>
      </c>
      <c r="C944" s="1" t="s">
        <v>4743</v>
      </c>
    </row>
    <row r="945" spans="1:3" ht="12.75">
      <c r="A945" s="74" t="str">
        <f ca="1">IFERROR(VLOOKUP(C945,'DB_IMAGE UPLOAD'!$B$2:Z1000,5,0),"")</f>
        <v/>
      </c>
      <c r="C945" s="1" t="s">
        <v>4743</v>
      </c>
    </row>
    <row r="946" spans="1:3" ht="12.75">
      <c r="A946" s="74" t="str">
        <f ca="1">IFERROR(VLOOKUP(C946,'DB_IMAGE UPLOAD'!$B$2:Z1000,5,0),"")</f>
        <v/>
      </c>
      <c r="C946" s="1" t="s">
        <v>4743</v>
      </c>
    </row>
    <row r="947" spans="1:3" ht="12.75">
      <c r="A947" s="74" t="str">
        <f ca="1">IFERROR(VLOOKUP(C947,'DB_IMAGE UPLOAD'!$B$2:Z1000,5,0),"")</f>
        <v/>
      </c>
      <c r="C947" s="1" t="s">
        <v>4743</v>
      </c>
    </row>
    <row r="948" spans="1:3" ht="12.75">
      <c r="A948" s="74" t="str">
        <f ca="1">IFERROR(VLOOKUP(C948,'DB_IMAGE UPLOAD'!$B$2:Z1000,5,0),"")</f>
        <v/>
      </c>
      <c r="C948" s="1" t="s">
        <v>4743</v>
      </c>
    </row>
    <row r="949" spans="1:3" ht="12.75">
      <c r="A949" s="74" t="str">
        <f ca="1">IFERROR(VLOOKUP(C949,'DB_IMAGE UPLOAD'!$B$2:Z1000,5,0),"")</f>
        <v/>
      </c>
      <c r="C949" s="1" t="s">
        <v>4743</v>
      </c>
    </row>
    <row r="950" spans="1:3" ht="12.75">
      <c r="A950" s="74" t="str">
        <f ca="1">IFERROR(VLOOKUP(C950,'DB_IMAGE UPLOAD'!$B$2:Z1000,5,0),"")</f>
        <v/>
      </c>
      <c r="C950" s="1" t="s">
        <v>4743</v>
      </c>
    </row>
    <row r="951" spans="1:3" ht="12.75">
      <c r="A951" s="74" t="str">
        <f ca="1">IFERROR(VLOOKUP(C951,'DB_IMAGE UPLOAD'!$B$2:Z1000,5,0),"")</f>
        <v/>
      </c>
      <c r="C951" s="1" t="s">
        <v>4743</v>
      </c>
    </row>
    <row r="952" spans="1:3" ht="12.75">
      <c r="A952" s="74" t="str">
        <f ca="1">IFERROR(VLOOKUP(C952,'DB_IMAGE UPLOAD'!$B$2:Z1000,5,0),"")</f>
        <v/>
      </c>
      <c r="C952" s="1" t="s">
        <v>4743</v>
      </c>
    </row>
    <row r="953" spans="1:3" ht="12.75">
      <c r="A953" s="74" t="str">
        <f ca="1">IFERROR(VLOOKUP(C953,'DB_IMAGE UPLOAD'!$B$2:Z1000,5,0),"")</f>
        <v/>
      </c>
      <c r="C953" s="1" t="s">
        <v>4743</v>
      </c>
    </row>
    <row r="954" spans="1:3" ht="12.75">
      <c r="A954" s="74" t="str">
        <f ca="1">IFERROR(VLOOKUP(C954,'DB_IMAGE UPLOAD'!$B$2:Z1000,5,0),"")</f>
        <v/>
      </c>
      <c r="C954" s="1" t="s">
        <v>4743</v>
      </c>
    </row>
    <row r="955" spans="1:3" ht="12.75">
      <c r="A955" s="74" t="str">
        <f ca="1">IFERROR(VLOOKUP(C955,'DB_IMAGE UPLOAD'!$B$2:Z1000,5,0),"")</f>
        <v/>
      </c>
      <c r="C955" s="1" t="s">
        <v>4743</v>
      </c>
    </row>
    <row r="956" spans="1:3" ht="12.75">
      <c r="A956" s="74" t="str">
        <f ca="1">IFERROR(VLOOKUP(C956,'DB_IMAGE UPLOAD'!$B$2:Z1000,5,0),"")</f>
        <v/>
      </c>
      <c r="C956" s="1" t="s">
        <v>4743</v>
      </c>
    </row>
    <row r="957" spans="1:3" ht="12.75">
      <c r="A957" s="74" t="str">
        <f ca="1">IFERROR(VLOOKUP(C957,'DB_IMAGE UPLOAD'!$B$2:Z1000,5,0),"")</f>
        <v/>
      </c>
      <c r="C957" s="1" t="s">
        <v>4743</v>
      </c>
    </row>
    <row r="958" spans="1:3" ht="12.75">
      <c r="A958" s="74" t="str">
        <f ca="1">IFERROR(VLOOKUP(C958,'DB_IMAGE UPLOAD'!$B$2:Z1000,5,0),"")</f>
        <v/>
      </c>
      <c r="C958" s="1" t="s">
        <v>4743</v>
      </c>
    </row>
    <row r="959" spans="1:3" ht="12.75">
      <c r="A959" s="74" t="str">
        <f ca="1">IFERROR(VLOOKUP(C959,'DB_IMAGE UPLOAD'!$B$2:Z1000,5,0),"")</f>
        <v/>
      </c>
      <c r="C959" s="1" t="s">
        <v>4743</v>
      </c>
    </row>
    <row r="960" spans="1:3" ht="12.75">
      <c r="A960" s="74" t="str">
        <f ca="1">IFERROR(VLOOKUP(C960,'DB_IMAGE UPLOAD'!$B$2:Z1000,5,0),"")</f>
        <v/>
      </c>
      <c r="C960" s="1" t="s">
        <v>4743</v>
      </c>
    </row>
    <row r="961" spans="1:3" ht="12.75">
      <c r="A961" s="74" t="str">
        <f ca="1">IFERROR(VLOOKUP(C961,'DB_IMAGE UPLOAD'!$B$2:Z1000,5,0),"")</f>
        <v/>
      </c>
      <c r="C961" s="1" t="s">
        <v>4743</v>
      </c>
    </row>
    <row r="962" spans="1:3" ht="12.75">
      <c r="A962" s="74" t="str">
        <f ca="1">IFERROR(VLOOKUP(C962,'DB_IMAGE UPLOAD'!$B$2:Z1000,5,0),"")</f>
        <v/>
      </c>
      <c r="C962" s="1" t="s">
        <v>4743</v>
      </c>
    </row>
    <row r="963" spans="1:3" ht="12.75">
      <c r="A963" s="74" t="str">
        <f ca="1">IFERROR(VLOOKUP(C963,'DB_IMAGE UPLOAD'!$B$2:Z1000,5,0),"")</f>
        <v/>
      </c>
      <c r="C963" s="1" t="s">
        <v>4743</v>
      </c>
    </row>
    <row r="964" spans="1:3" ht="12.75">
      <c r="A964" s="74" t="str">
        <f ca="1">IFERROR(VLOOKUP(C964,'DB_IMAGE UPLOAD'!$B$2:Z1000,5,0),"")</f>
        <v/>
      </c>
      <c r="C964" s="1" t="s">
        <v>4743</v>
      </c>
    </row>
    <row r="965" spans="1:3" ht="12.75">
      <c r="A965" s="74" t="str">
        <f ca="1">IFERROR(VLOOKUP(C965,'DB_IMAGE UPLOAD'!$B$2:Z1000,5,0),"")</f>
        <v/>
      </c>
      <c r="C965" s="1" t="s">
        <v>4743</v>
      </c>
    </row>
    <row r="966" spans="1:3" ht="12.75">
      <c r="A966" s="74" t="str">
        <f ca="1">IFERROR(VLOOKUP(C966,'DB_IMAGE UPLOAD'!$B$2:Z1000,5,0),"")</f>
        <v/>
      </c>
      <c r="C966" s="1" t="s">
        <v>4743</v>
      </c>
    </row>
    <row r="967" spans="1:3" ht="12.75">
      <c r="A967" s="74" t="str">
        <f ca="1">IFERROR(VLOOKUP(C967,'DB_IMAGE UPLOAD'!$B$2:Z1000,5,0),"")</f>
        <v/>
      </c>
      <c r="C967" s="1" t="s">
        <v>4743</v>
      </c>
    </row>
    <row r="968" spans="1:3" ht="12.75">
      <c r="A968" s="74" t="str">
        <f ca="1">IFERROR(VLOOKUP(C968,'DB_IMAGE UPLOAD'!$B$2:Z1000,5,0),"")</f>
        <v/>
      </c>
      <c r="C968" s="1" t="s">
        <v>4743</v>
      </c>
    </row>
    <row r="969" spans="1:3" ht="12.75">
      <c r="A969" s="74" t="str">
        <f ca="1">IFERROR(VLOOKUP(C969,'DB_IMAGE UPLOAD'!$B$2:Z1000,5,0),"")</f>
        <v/>
      </c>
      <c r="C969" s="1" t="s">
        <v>4743</v>
      </c>
    </row>
    <row r="970" spans="1:3" ht="12.75">
      <c r="A970" s="74" t="str">
        <f ca="1">IFERROR(VLOOKUP(C970,'DB_IMAGE UPLOAD'!$B$2:Z1000,5,0),"")</f>
        <v/>
      </c>
      <c r="C970" s="1" t="s">
        <v>4743</v>
      </c>
    </row>
    <row r="971" spans="1:3" ht="12.75">
      <c r="A971" s="74" t="str">
        <f ca="1">IFERROR(VLOOKUP(C971,'DB_IMAGE UPLOAD'!$B$2:Z1000,5,0),"")</f>
        <v/>
      </c>
      <c r="C971" s="1" t="s">
        <v>4743</v>
      </c>
    </row>
    <row r="972" spans="1:3" ht="12.75">
      <c r="A972" s="74" t="str">
        <f ca="1">IFERROR(VLOOKUP(C972,'DB_IMAGE UPLOAD'!$B$2:Z1000,5,0),"")</f>
        <v/>
      </c>
      <c r="C972" s="1" t="s">
        <v>4743</v>
      </c>
    </row>
    <row r="973" spans="1:3" ht="12.75">
      <c r="A973" s="74" t="str">
        <f ca="1">IFERROR(VLOOKUP(C973,'DB_IMAGE UPLOAD'!$B$2:Z1000,5,0),"")</f>
        <v/>
      </c>
      <c r="C973" s="1" t="s">
        <v>4743</v>
      </c>
    </row>
    <row r="974" spans="1:3" ht="12.75">
      <c r="A974" s="74" t="str">
        <f ca="1">IFERROR(VLOOKUP(C974,'DB_IMAGE UPLOAD'!$B$2:Z1000,5,0),"")</f>
        <v/>
      </c>
      <c r="C974" s="1" t="s">
        <v>4743</v>
      </c>
    </row>
    <row r="975" spans="1:3" ht="12.75">
      <c r="A975" s="74" t="str">
        <f ca="1">IFERROR(VLOOKUP(C975,'DB_IMAGE UPLOAD'!$B$2:Z1000,5,0),"")</f>
        <v/>
      </c>
      <c r="C975" s="1" t="s">
        <v>4743</v>
      </c>
    </row>
    <row r="976" spans="1:3" ht="12.75">
      <c r="A976" s="74" t="str">
        <f ca="1">IFERROR(VLOOKUP(C976,'DB_IMAGE UPLOAD'!$B$2:Z1000,5,0),"")</f>
        <v/>
      </c>
      <c r="C976" s="1" t="s">
        <v>4743</v>
      </c>
    </row>
    <row r="977" spans="1:3" ht="12.75">
      <c r="A977" s="74" t="str">
        <f ca="1">IFERROR(VLOOKUP(C977,'DB_IMAGE UPLOAD'!$B$2:Z1000,5,0),"")</f>
        <v/>
      </c>
      <c r="C977" s="1" t="s">
        <v>4743</v>
      </c>
    </row>
    <row r="978" spans="1:3" ht="12.75">
      <c r="A978" s="74" t="str">
        <f ca="1">IFERROR(VLOOKUP(C978,'DB_IMAGE UPLOAD'!$B$2:Z1000,5,0),"")</f>
        <v/>
      </c>
      <c r="C978" s="1" t="s">
        <v>4743</v>
      </c>
    </row>
    <row r="979" spans="1:3" ht="12.75">
      <c r="A979" s="74" t="str">
        <f ca="1">IFERROR(VLOOKUP(C979,'DB_IMAGE UPLOAD'!$B$2:Z1000,5,0),"")</f>
        <v/>
      </c>
      <c r="C979" s="1" t="s">
        <v>4743</v>
      </c>
    </row>
    <row r="980" spans="1:3" ht="12.75">
      <c r="A980" s="74" t="str">
        <f ca="1">IFERROR(VLOOKUP(C980,'DB_IMAGE UPLOAD'!$B$2:Z1000,5,0),"")</f>
        <v/>
      </c>
      <c r="C980" s="1" t="s">
        <v>4743</v>
      </c>
    </row>
    <row r="981" spans="1:3" ht="12.75">
      <c r="A981" s="74" t="str">
        <f ca="1">IFERROR(VLOOKUP(C981,'DB_IMAGE UPLOAD'!$B$2:Z1000,5,0),"")</f>
        <v/>
      </c>
      <c r="C981" s="1" t="s">
        <v>4743</v>
      </c>
    </row>
    <row r="982" spans="1:3" ht="12.75">
      <c r="A982" s="74" t="str">
        <f ca="1">IFERROR(VLOOKUP(C982,'DB_IMAGE UPLOAD'!$B$2:Z1000,5,0),"")</f>
        <v/>
      </c>
      <c r="C982" s="1" t="s">
        <v>4743</v>
      </c>
    </row>
    <row r="983" spans="1:3" ht="12.75">
      <c r="A983" s="74" t="str">
        <f ca="1">IFERROR(VLOOKUP(C983,'DB_IMAGE UPLOAD'!$B$2:Z1000,5,0),"")</f>
        <v/>
      </c>
      <c r="C983" s="1" t="s">
        <v>4743</v>
      </c>
    </row>
    <row r="984" spans="1:3" ht="12.75">
      <c r="A984" s="74" t="str">
        <f ca="1">IFERROR(VLOOKUP(C984,'DB_IMAGE UPLOAD'!$B$2:Z1000,5,0),"")</f>
        <v/>
      </c>
      <c r="C984" s="1" t="s">
        <v>4743</v>
      </c>
    </row>
    <row r="985" spans="1:3" ht="12.75">
      <c r="A985" s="74" t="str">
        <f ca="1">IFERROR(VLOOKUP(C985,'DB_IMAGE UPLOAD'!$B$2:Z1000,5,0),"")</f>
        <v/>
      </c>
      <c r="C985" s="1" t="s">
        <v>4743</v>
      </c>
    </row>
    <row r="986" spans="1:3" ht="12.75">
      <c r="A986" s="74" t="str">
        <f ca="1">IFERROR(VLOOKUP(C986,'DB_IMAGE UPLOAD'!$B$2:Z1000,5,0),"")</f>
        <v/>
      </c>
      <c r="C986" s="1" t="s">
        <v>4743</v>
      </c>
    </row>
    <row r="987" spans="1:3" ht="12.75">
      <c r="A987" s="74" t="str">
        <f ca="1">IFERROR(VLOOKUP(C987,'DB_IMAGE UPLOAD'!$B$2:Z1000,5,0),"")</f>
        <v/>
      </c>
      <c r="C987" s="1" t="s">
        <v>4743</v>
      </c>
    </row>
    <row r="988" spans="1:3" ht="12.75">
      <c r="A988" s="74" t="str">
        <f ca="1">IFERROR(VLOOKUP(C988,'DB_IMAGE UPLOAD'!$B$2:Z1000,5,0),"")</f>
        <v/>
      </c>
      <c r="C988" s="1" t="s">
        <v>4743</v>
      </c>
    </row>
    <row r="989" spans="1:3" ht="12.75">
      <c r="A989" s="74" t="str">
        <f ca="1">IFERROR(VLOOKUP(C989,'DB_IMAGE UPLOAD'!$B$2:Z1000,5,0),"")</f>
        <v/>
      </c>
      <c r="C989" s="1" t="s">
        <v>4743</v>
      </c>
    </row>
    <row r="990" spans="1:3" ht="12.75">
      <c r="A990" s="74" t="str">
        <f ca="1">IFERROR(VLOOKUP(C990,'DB_IMAGE UPLOAD'!$B$2:Z1000,5,0),"")</f>
        <v/>
      </c>
      <c r="C990" s="1" t="s">
        <v>4743</v>
      </c>
    </row>
    <row r="991" spans="1:3" ht="12.75">
      <c r="A991" s="74" t="str">
        <f ca="1">IFERROR(VLOOKUP(C991,'DB_IMAGE UPLOAD'!$B$2:Z1000,5,0),"")</f>
        <v/>
      </c>
      <c r="C991" s="1" t="s">
        <v>4743</v>
      </c>
    </row>
    <row r="992" spans="1:3" ht="12.75">
      <c r="A992" s="74" t="str">
        <f ca="1">IFERROR(VLOOKUP(C992,'DB_IMAGE UPLOAD'!$B$2:Z1000,5,0),"")</f>
        <v/>
      </c>
      <c r="C992" s="1" t="s">
        <v>4743</v>
      </c>
    </row>
    <row r="993" spans="1:3" ht="12.75">
      <c r="A993" s="74" t="str">
        <f ca="1">IFERROR(VLOOKUP(C993,'DB_IMAGE UPLOAD'!$B$2:Z1000,5,0),"")</f>
        <v/>
      </c>
      <c r="C993" s="1" t="s">
        <v>4743</v>
      </c>
    </row>
    <row r="994" spans="1:3" ht="12.75">
      <c r="A994" s="74" t="str">
        <f ca="1">IFERROR(VLOOKUP(C994,'DB_IMAGE UPLOAD'!$B$2:Z1000,5,0),"")</f>
        <v/>
      </c>
      <c r="C994" s="1" t="s">
        <v>4743</v>
      </c>
    </row>
    <row r="995" spans="1:3" ht="12.75">
      <c r="A995" s="74" t="str">
        <f ca="1">IFERROR(VLOOKUP(C995,'DB_IMAGE UPLOAD'!$B$2:Z1000,5,0),"")</f>
        <v/>
      </c>
      <c r="C995" s="1" t="s">
        <v>4743</v>
      </c>
    </row>
    <row r="996" spans="1:3" ht="12.75">
      <c r="A996" s="74" t="str">
        <f ca="1">IFERROR(VLOOKUP(C996,'DB_IMAGE UPLOAD'!$B$2:Z1000,5,0),"")</f>
        <v/>
      </c>
      <c r="C996" s="1" t="s">
        <v>4743</v>
      </c>
    </row>
    <row r="997" spans="1:3" ht="12.75">
      <c r="A997" s="74" t="str">
        <f ca="1">IFERROR(VLOOKUP(C997,'DB_IMAGE UPLOAD'!$B$2:Z1000,5,0),"")</f>
        <v/>
      </c>
      <c r="C997" s="1" t="s">
        <v>4743</v>
      </c>
    </row>
    <row r="998" spans="1:3" ht="12.75">
      <c r="A998" s="74" t="str">
        <f ca="1">IFERROR(VLOOKUP(C998,'DB_IMAGE UPLOAD'!$B$2:Z1000,5,0),"")</f>
        <v/>
      </c>
      <c r="C998" s="1" t="s">
        <v>4743</v>
      </c>
    </row>
    <row r="999" spans="1:3" ht="12.75">
      <c r="A999" s="74" t="str">
        <f ca="1">IFERROR(VLOOKUP(C999,'DB_IMAGE UPLOAD'!$B$2:Z1000,5,0),"")</f>
        <v/>
      </c>
      <c r="C999" s="1" t="s">
        <v>4743</v>
      </c>
    </row>
    <row r="1000" spans="1:3" ht="12.75">
      <c r="A1000" s="74" t="str">
        <f ca="1">IFERROR(VLOOKUP(C1000,'DB_IMAGE UPLOAD'!$B$2:Z1000,5,0),"")</f>
        <v/>
      </c>
      <c r="C1000" s="1" t="s">
        <v>4743</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C1000"/>
  <sheetViews>
    <sheetView workbookViewId="0"/>
  </sheetViews>
  <sheetFormatPr defaultColWidth="12.5703125" defaultRowHeight="15.75" customHeight="1"/>
  <cols>
    <col min="1" max="1" width="10.42578125" customWidth="1"/>
    <col min="2" max="2" width="12.5703125" customWidth="1"/>
    <col min="3" max="3" width="5" customWidth="1"/>
    <col min="4" max="4" width="13" customWidth="1"/>
    <col min="6" max="6" width="19.140625" customWidth="1"/>
    <col min="7" max="7" width="3.85546875" customWidth="1"/>
    <col min="8" max="8" width="15.85546875" customWidth="1"/>
    <col min="10" max="10" width="17.140625" customWidth="1"/>
  </cols>
  <sheetData>
    <row r="1" spans="1:29" ht="15.75" customHeight="1">
      <c r="A1" s="59"/>
      <c r="B1" s="1172" t="s">
        <v>4190</v>
      </c>
      <c r="C1" s="59" t="s">
        <v>4191</v>
      </c>
      <c r="D1" s="1173" t="s">
        <v>4192</v>
      </c>
      <c r="E1" s="59" t="s">
        <v>4193</v>
      </c>
      <c r="F1" s="1173" t="s">
        <v>4194</v>
      </c>
      <c r="G1" s="1174"/>
      <c r="H1" s="1175" t="s">
        <v>4195</v>
      </c>
      <c r="I1" s="59" t="s">
        <v>4191</v>
      </c>
      <c r="J1" s="1173" t="s">
        <v>4192</v>
      </c>
      <c r="K1" s="59" t="s">
        <v>4193</v>
      </c>
      <c r="L1" s="1173" t="s">
        <v>4194</v>
      </c>
      <c r="M1" s="59" t="s">
        <v>4196</v>
      </c>
      <c r="N1" s="59"/>
      <c r="O1" s="59"/>
      <c r="P1" s="59"/>
      <c r="Q1" s="59"/>
      <c r="R1" s="59"/>
      <c r="S1" s="59"/>
      <c r="T1" s="59"/>
      <c r="U1" s="59"/>
      <c r="V1" s="59"/>
      <c r="W1" s="59"/>
      <c r="X1" s="59"/>
      <c r="Y1" s="59"/>
      <c r="Z1" s="59"/>
      <c r="AA1" s="59"/>
      <c r="AB1" s="59"/>
      <c r="AC1" s="59"/>
    </row>
    <row r="2" spans="1:29" ht="15.75" customHeight="1">
      <c r="A2" s="1171" t="s">
        <v>4197</v>
      </c>
      <c r="B2" s="59" t="s">
        <v>4198</v>
      </c>
      <c r="C2" s="59">
        <v>128</v>
      </c>
      <c r="D2" s="1173" t="s">
        <v>4199</v>
      </c>
      <c r="E2" s="59" t="s">
        <v>4200</v>
      </c>
      <c r="F2" s="1173" t="s">
        <v>4201</v>
      </c>
      <c r="G2" s="1176" t="s">
        <v>4202</v>
      </c>
      <c r="H2" s="59" t="s">
        <v>1437</v>
      </c>
      <c r="I2" s="59">
        <v>480</v>
      </c>
      <c r="J2" s="1173" t="s">
        <v>4203</v>
      </c>
      <c r="K2" s="59" t="s">
        <v>4204</v>
      </c>
      <c r="L2" s="1173" t="s">
        <v>4205</v>
      </c>
      <c r="M2" s="59"/>
      <c r="N2" s="59"/>
      <c r="O2" s="59"/>
      <c r="P2" s="59"/>
      <c r="Q2" s="59"/>
      <c r="R2" s="59"/>
      <c r="S2" s="59"/>
      <c r="T2" s="59"/>
      <c r="U2" s="59"/>
      <c r="V2" s="59"/>
      <c r="W2" s="59"/>
      <c r="X2" s="59"/>
      <c r="Y2" s="59"/>
      <c r="Z2" s="59"/>
      <c r="AA2" s="59"/>
      <c r="AB2" s="59"/>
      <c r="AC2" s="59"/>
    </row>
    <row r="3" spans="1:29" ht="15.75" customHeight="1">
      <c r="A3" s="1171" t="s">
        <v>4206</v>
      </c>
      <c r="B3" s="59" t="s">
        <v>4207</v>
      </c>
      <c r="C3" s="59">
        <v>176</v>
      </c>
      <c r="D3" s="1173" t="s">
        <v>4208</v>
      </c>
      <c r="E3" s="59" t="s">
        <v>4209</v>
      </c>
      <c r="F3" s="1173" t="s">
        <v>4210</v>
      </c>
      <c r="G3" s="1176" t="s">
        <v>4202</v>
      </c>
      <c r="H3" s="59" t="s">
        <v>4211</v>
      </c>
      <c r="I3" s="59">
        <v>128</v>
      </c>
      <c r="J3" s="1173" t="s">
        <v>4212</v>
      </c>
      <c r="K3" s="1173" t="s">
        <v>4213</v>
      </c>
      <c r="L3" s="1173" t="s">
        <v>4214</v>
      </c>
      <c r="M3" s="59" t="s">
        <v>4215</v>
      </c>
      <c r="N3" s="59"/>
      <c r="O3" s="59"/>
      <c r="P3" s="59"/>
      <c r="Q3" s="59"/>
      <c r="R3" s="59"/>
      <c r="S3" s="59"/>
      <c r="T3" s="59"/>
      <c r="U3" s="59"/>
      <c r="V3" s="59"/>
      <c r="W3" s="59"/>
      <c r="X3" s="59"/>
      <c r="Y3" s="59"/>
      <c r="Z3" s="59"/>
      <c r="AA3" s="59"/>
      <c r="AB3" s="59"/>
      <c r="AC3" s="59"/>
    </row>
    <row r="4" spans="1:29" ht="15.75" customHeight="1">
      <c r="A4" s="59"/>
      <c r="B4" s="59"/>
      <c r="C4" s="59"/>
      <c r="D4" s="1173"/>
      <c r="E4" s="59"/>
      <c r="F4" s="1173"/>
      <c r="G4" s="1174"/>
      <c r="H4" s="59"/>
      <c r="I4" s="59"/>
      <c r="J4" s="1173"/>
      <c r="K4" s="59"/>
      <c r="L4" s="1173"/>
      <c r="M4" s="59"/>
      <c r="N4" s="59"/>
      <c r="O4" s="59"/>
      <c r="P4" s="59"/>
      <c r="Q4" s="59"/>
      <c r="R4" s="59"/>
      <c r="S4" s="59"/>
      <c r="T4" s="59"/>
      <c r="U4" s="59"/>
      <c r="V4" s="59"/>
      <c r="W4" s="59"/>
      <c r="X4" s="59"/>
      <c r="Y4" s="59"/>
      <c r="Z4" s="59"/>
      <c r="AA4" s="59"/>
      <c r="AB4" s="59"/>
      <c r="AC4" s="59"/>
    </row>
    <row r="5" spans="1:29" ht="15.75" customHeight="1">
      <c r="A5" s="59"/>
      <c r="B5" s="59"/>
      <c r="C5" s="59"/>
      <c r="D5" s="1173"/>
      <c r="E5" s="59"/>
      <c r="F5" s="1173"/>
      <c r="G5" s="1174"/>
      <c r="H5" s="1177" t="s">
        <v>4216</v>
      </c>
      <c r="I5" s="59"/>
      <c r="J5" s="1173"/>
      <c r="K5" s="59"/>
      <c r="L5" s="1173"/>
      <c r="M5" s="59"/>
      <c r="N5" s="59"/>
      <c r="O5" s="59"/>
      <c r="P5" s="59"/>
      <c r="Q5" s="59"/>
      <c r="R5" s="59"/>
      <c r="S5" s="59"/>
      <c r="T5" s="59"/>
      <c r="U5" s="59"/>
      <c r="V5" s="59"/>
      <c r="W5" s="59"/>
      <c r="X5" s="59"/>
      <c r="Y5" s="59"/>
      <c r="Z5" s="59"/>
      <c r="AA5" s="59"/>
      <c r="AB5" s="59"/>
      <c r="AC5" s="59"/>
    </row>
    <row r="6" spans="1:29" ht="15.75" customHeight="1">
      <c r="G6" s="1174"/>
      <c r="H6" s="59" t="s">
        <v>4217</v>
      </c>
      <c r="I6" s="59">
        <v>20</v>
      </c>
      <c r="J6" s="1173" t="s">
        <v>4218</v>
      </c>
      <c r="K6" s="1173" t="s">
        <v>4219</v>
      </c>
      <c r="L6" s="1173" t="s">
        <v>4220</v>
      </c>
      <c r="N6" s="59"/>
      <c r="O6" s="59"/>
      <c r="P6" s="59"/>
      <c r="Q6" s="59"/>
      <c r="R6" s="59"/>
      <c r="S6" s="59"/>
      <c r="T6" s="59"/>
      <c r="U6" s="59"/>
      <c r="V6" s="59"/>
      <c r="W6" s="59"/>
      <c r="X6" s="59"/>
      <c r="Y6" s="59"/>
      <c r="Z6" s="59"/>
      <c r="AA6" s="59"/>
      <c r="AB6" s="59"/>
      <c r="AC6" s="59"/>
    </row>
    <row r="7" spans="1:29" ht="15.75" customHeight="1">
      <c r="A7" s="59"/>
      <c r="B7" s="59"/>
      <c r="C7" s="59"/>
      <c r="D7" s="1173"/>
      <c r="E7" s="59"/>
      <c r="F7" s="1173"/>
      <c r="G7" s="1174"/>
      <c r="H7" s="59"/>
      <c r="I7" s="59"/>
      <c r="J7" s="1173"/>
      <c r="K7" s="59"/>
      <c r="L7" s="1173"/>
      <c r="M7" s="59"/>
      <c r="N7" s="59"/>
      <c r="O7" s="59"/>
      <c r="P7" s="59"/>
      <c r="Q7" s="59"/>
      <c r="R7" s="59"/>
      <c r="S7" s="59"/>
      <c r="T7" s="59"/>
      <c r="U7" s="59"/>
      <c r="V7" s="59"/>
      <c r="W7" s="59"/>
      <c r="X7" s="59"/>
      <c r="Y7" s="59"/>
      <c r="Z7" s="59"/>
      <c r="AA7" s="59"/>
      <c r="AB7" s="59"/>
      <c r="AC7" s="59"/>
    </row>
    <row r="8" spans="1:29" ht="15.75" customHeight="1">
      <c r="A8" s="59"/>
      <c r="B8" s="59"/>
      <c r="C8" s="59"/>
      <c r="D8" s="1173"/>
      <c r="E8" s="59"/>
      <c r="F8" s="1173"/>
      <c r="G8" s="1174"/>
      <c r="H8" s="59"/>
      <c r="I8" s="59"/>
      <c r="J8" s="1173"/>
      <c r="K8" s="59"/>
      <c r="L8" s="1173"/>
      <c r="M8" s="59"/>
      <c r="N8" s="59"/>
      <c r="O8" s="59"/>
      <c r="P8" s="59"/>
      <c r="Q8" s="59"/>
      <c r="R8" s="59"/>
      <c r="S8" s="59"/>
      <c r="T8" s="59"/>
      <c r="U8" s="59"/>
      <c r="V8" s="59"/>
      <c r="W8" s="59"/>
      <c r="X8" s="59"/>
      <c r="Y8" s="59"/>
      <c r="Z8" s="59"/>
      <c r="AA8" s="59"/>
      <c r="AB8" s="59"/>
      <c r="AC8" s="59"/>
    </row>
    <row r="9" spans="1:29" ht="15.75" customHeight="1">
      <c r="A9" s="59"/>
      <c r="B9" s="59"/>
      <c r="C9" s="59"/>
      <c r="D9" s="1173"/>
      <c r="E9" s="59"/>
      <c r="F9" s="1173"/>
      <c r="G9" s="1174"/>
      <c r="H9" s="59"/>
      <c r="I9" s="59"/>
      <c r="J9" s="1173"/>
      <c r="K9" s="59"/>
      <c r="L9" s="1173"/>
      <c r="M9" s="59"/>
      <c r="N9" s="59"/>
      <c r="O9" s="59"/>
      <c r="P9" s="59"/>
      <c r="Q9" s="59"/>
      <c r="R9" s="59"/>
      <c r="S9" s="59"/>
      <c r="T9" s="59"/>
      <c r="U9" s="59"/>
      <c r="V9" s="59"/>
      <c r="W9" s="59"/>
      <c r="X9" s="59"/>
      <c r="Y9" s="59"/>
      <c r="Z9" s="59"/>
      <c r="AA9" s="59"/>
      <c r="AB9" s="59"/>
      <c r="AC9" s="59"/>
    </row>
    <row r="10" spans="1:29" ht="15.75" customHeight="1">
      <c r="A10" s="59"/>
      <c r="B10" s="59"/>
      <c r="C10" s="59"/>
      <c r="D10" s="1173"/>
      <c r="E10" s="59"/>
      <c r="F10" s="1173"/>
      <c r="G10" s="1174"/>
      <c r="H10" s="59"/>
      <c r="I10" s="59"/>
      <c r="J10" s="1173"/>
      <c r="K10" s="59"/>
      <c r="L10" s="1173"/>
      <c r="M10" s="59"/>
      <c r="N10" s="59"/>
      <c r="O10" s="59"/>
      <c r="P10" s="59"/>
      <c r="Q10" s="59"/>
      <c r="R10" s="59"/>
      <c r="S10" s="59"/>
      <c r="T10" s="59"/>
      <c r="U10" s="59"/>
      <c r="V10" s="59"/>
      <c r="W10" s="59"/>
      <c r="X10" s="59"/>
      <c r="Y10" s="59"/>
      <c r="Z10" s="59"/>
      <c r="AA10" s="59"/>
      <c r="AB10" s="59"/>
      <c r="AC10" s="59"/>
    </row>
    <row r="11" spans="1:29" ht="15.75" customHeight="1">
      <c r="A11" s="59"/>
      <c r="B11" s="59"/>
      <c r="C11" s="59"/>
      <c r="D11" s="1173"/>
      <c r="E11" s="59"/>
      <c r="F11" s="1173"/>
      <c r="G11" s="1174"/>
      <c r="H11" s="59"/>
      <c r="I11" s="59"/>
      <c r="J11" s="1173"/>
      <c r="K11" s="59"/>
      <c r="L11" s="1173"/>
      <c r="M11" s="59"/>
      <c r="N11" s="59"/>
      <c r="O11" s="59"/>
      <c r="P11" s="59"/>
      <c r="Q11" s="59"/>
      <c r="R11" s="59"/>
      <c r="S11" s="59"/>
      <c r="T11" s="59"/>
      <c r="U11" s="59"/>
      <c r="V11" s="59"/>
      <c r="W11" s="59"/>
      <c r="X11" s="59"/>
      <c r="Y11" s="59"/>
      <c r="Z11" s="59"/>
      <c r="AA11" s="59"/>
      <c r="AB11" s="59"/>
      <c r="AC11" s="59"/>
    </row>
    <row r="12" spans="1:29" ht="15.75" customHeight="1">
      <c r="A12" s="59"/>
      <c r="B12" s="59"/>
      <c r="C12" s="59"/>
      <c r="D12" s="1173"/>
      <c r="E12" s="59"/>
      <c r="F12" s="1173"/>
      <c r="G12" s="1174"/>
      <c r="H12" s="59"/>
      <c r="I12" s="59"/>
      <c r="J12" s="1173"/>
      <c r="K12" s="59"/>
      <c r="L12" s="1173"/>
      <c r="M12" s="59"/>
      <c r="N12" s="59"/>
      <c r="O12" s="59"/>
      <c r="P12" s="59"/>
      <c r="Q12" s="59"/>
      <c r="R12" s="59"/>
      <c r="S12" s="59"/>
      <c r="T12" s="59"/>
      <c r="U12" s="59"/>
      <c r="V12" s="59"/>
      <c r="W12" s="59"/>
      <c r="X12" s="59"/>
      <c r="Y12" s="59"/>
      <c r="Z12" s="59"/>
      <c r="AA12" s="59"/>
      <c r="AB12" s="59"/>
      <c r="AC12" s="59"/>
    </row>
    <row r="13" spans="1:29" ht="15.75" customHeight="1">
      <c r="A13" s="59"/>
      <c r="B13" s="59"/>
      <c r="C13" s="59"/>
      <c r="D13" s="1173"/>
      <c r="E13" s="59"/>
      <c r="F13" s="1173"/>
      <c r="G13" s="1174"/>
      <c r="H13" s="59"/>
      <c r="I13" s="59"/>
      <c r="J13" s="1173"/>
      <c r="K13" s="59"/>
      <c r="L13" s="1173"/>
      <c r="M13" s="59"/>
      <c r="N13" s="59"/>
      <c r="O13" s="59"/>
      <c r="P13" s="59"/>
      <c r="Q13" s="59"/>
      <c r="R13" s="59"/>
      <c r="S13" s="59"/>
      <c r="T13" s="59"/>
      <c r="U13" s="59"/>
      <c r="V13" s="59"/>
      <c r="W13" s="59"/>
      <c r="X13" s="59"/>
      <c r="Y13" s="59"/>
      <c r="Z13" s="59"/>
      <c r="AA13" s="59"/>
      <c r="AB13" s="59"/>
      <c r="AC13" s="59"/>
    </row>
    <row r="14" spans="1:29" ht="15.75" customHeight="1">
      <c r="A14" s="59"/>
      <c r="B14" s="59"/>
      <c r="C14" s="59"/>
      <c r="D14" s="1173"/>
      <c r="E14" s="59"/>
      <c r="F14" s="1173"/>
      <c r="G14" s="1174"/>
      <c r="H14" s="59"/>
      <c r="I14" s="59"/>
      <c r="J14" s="1173"/>
      <c r="K14" s="59"/>
      <c r="L14" s="1173"/>
      <c r="M14" s="59"/>
      <c r="N14" s="59"/>
      <c r="O14" s="59"/>
      <c r="P14" s="59"/>
      <c r="Q14" s="59"/>
      <c r="R14" s="59"/>
      <c r="S14" s="59"/>
      <c r="T14" s="59"/>
      <c r="U14" s="59"/>
      <c r="V14" s="59"/>
      <c r="W14" s="59"/>
      <c r="X14" s="59"/>
      <c r="Y14" s="59"/>
      <c r="Z14" s="59"/>
      <c r="AA14" s="59"/>
      <c r="AB14" s="59"/>
      <c r="AC14" s="59"/>
    </row>
    <row r="15" spans="1:29" ht="15.75" customHeight="1">
      <c r="A15" s="59"/>
      <c r="B15" s="59"/>
      <c r="C15" s="59"/>
      <c r="D15" s="1173"/>
      <c r="E15" s="59"/>
      <c r="F15" s="1173"/>
      <c r="G15" s="1174"/>
      <c r="H15" s="59"/>
      <c r="I15" s="59"/>
      <c r="J15" s="1173"/>
      <c r="K15" s="59"/>
      <c r="L15" s="1173"/>
      <c r="M15" s="59"/>
      <c r="N15" s="59"/>
      <c r="O15" s="59"/>
      <c r="P15" s="59"/>
      <c r="Q15" s="59"/>
      <c r="R15" s="59"/>
      <c r="S15" s="59"/>
      <c r="T15" s="59"/>
      <c r="U15" s="59"/>
      <c r="V15" s="59"/>
      <c r="W15" s="59"/>
      <c r="X15" s="59"/>
      <c r="Y15" s="59"/>
      <c r="Z15" s="59"/>
      <c r="AA15" s="59"/>
      <c r="AB15" s="59"/>
      <c r="AC15" s="59"/>
    </row>
    <row r="16" spans="1:29" ht="15.75" customHeight="1">
      <c r="A16" s="59"/>
      <c r="B16" s="59"/>
      <c r="C16" s="59"/>
      <c r="D16" s="1173"/>
      <c r="E16" s="59"/>
      <c r="F16" s="1173"/>
      <c r="G16" s="1174"/>
      <c r="H16" s="59"/>
      <c r="I16" s="59"/>
      <c r="J16" s="1173"/>
      <c r="K16" s="59"/>
      <c r="L16" s="1173"/>
      <c r="M16" s="59"/>
      <c r="N16" s="59"/>
      <c r="O16" s="59"/>
      <c r="P16" s="59"/>
      <c r="Q16" s="59"/>
      <c r="R16" s="59"/>
      <c r="S16" s="59"/>
      <c r="T16" s="59"/>
      <c r="U16" s="59"/>
      <c r="V16" s="59"/>
      <c r="W16" s="59"/>
      <c r="X16" s="59"/>
      <c r="Y16" s="59"/>
      <c r="Z16" s="59"/>
      <c r="AA16" s="59"/>
      <c r="AB16" s="59"/>
      <c r="AC16" s="59"/>
    </row>
    <row r="17" spans="1:29" ht="15.75" customHeight="1">
      <c r="A17" s="59"/>
      <c r="B17" s="59"/>
      <c r="C17" s="59"/>
      <c r="D17" s="1173"/>
      <c r="E17" s="59"/>
      <c r="F17" s="1173"/>
      <c r="G17" s="1174"/>
      <c r="H17" s="59"/>
      <c r="I17" s="59"/>
      <c r="J17" s="1173"/>
      <c r="K17" s="59"/>
      <c r="L17" s="1173"/>
      <c r="M17" s="59"/>
      <c r="N17" s="59"/>
      <c r="O17" s="59"/>
      <c r="P17" s="59"/>
      <c r="Q17" s="59"/>
      <c r="R17" s="59"/>
      <c r="S17" s="59"/>
      <c r="T17" s="59"/>
      <c r="U17" s="59"/>
      <c r="V17" s="59"/>
      <c r="W17" s="59"/>
      <c r="X17" s="59"/>
      <c r="Y17" s="59"/>
      <c r="Z17" s="59"/>
      <c r="AA17" s="59"/>
      <c r="AB17" s="59"/>
      <c r="AC17" s="59"/>
    </row>
    <row r="18" spans="1:29" ht="15.75" customHeight="1">
      <c r="A18" s="59"/>
      <c r="B18" s="59"/>
      <c r="C18" s="59"/>
      <c r="D18" s="1173"/>
      <c r="E18" s="59"/>
      <c r="F18" s="1173"/>
      <c r="G18" s="1174"/>
      <c r="H18" s="59"/>
      <c r="I18" s="59"/>
      <c r="J18" s="1173"/>
      <c r="K18" s="59"/>
      <c r="L18" s="1173"/>
      <c r="M18" s="59"/>
      <c r="N18" s="59"/>
      <c r="O18" s="59"/>
      <c r="P18" s="59"/>
      <c r="Q18" s="59"/>
      <c r="R18" s="59"/>
      <c r="S18" s="59"/>
      <c r="T18" s="59"/>
      <c r="U18" s="59"/>
      <c r="V18" s="59"/>
      <c r="W18" s="59"/>
      <c r="X18" s="59"/>
      <c r="Y18" s="59"/>
      <c r="Z18" s="59"/>
      <c r="AA18" s="59"/>
      <c r="AB18" s="59"/>
      <c r="AC18" s="59"/>
    </row>
    <row r="19" spans="1:29" ht="15.75" customHeight="1">
      <c r="A19" s="59"/>
      <c r="B19" s="59"/>
      <c r="C19" s="59"/>
      <c r="D19" s="1173"/>
      <c r="E19" s="59"/>
      <c r="F19" s="1173"/>
      <c r="G19" s="1174"/>
      <c r="H19" s="59"/>
      <c r="I19" s="59"/>
      <c r="J19" s="1173"/>
      <c r="K19" s="59"/>
      <c r="L19" s="1173"/>
      <c r="M19" s="59"/>
      <c r="N19" s="59"/>
      <c r="O19" s="59"/>
      <c r="P19" s="59"/>
      <c r="Q19" s="59"/>
      <c r="R19" s="59"/>
      <c r="S19" s="59"/>
      <c r="T19" s="59"/>
      <c r="U19" s="59"/>
      <c r="V19" s="59"/>
      <c r="W19" s="59"/>
      <c r="X19" s="59"/>
      <c r="Y19" s="59"/>
      <c r="Z19" s="59"/>
      <c r="AA19" s="59"/>
      <c r="AB19" s="59"/>
      <c r="AC19" s="59"/>
    </row>
    <row r="20" spans="1:29" ht="15.75" customHeight="1">
      <c r="A20" s="59"/>
      <c r="B20" s="59"/>
      <c r="C20" s="59"/>
      <c r="D20" s="1173"/>
      <c r="E20" s="59"/>
      <c r="F20" s="1173"/>
      <c r="G20" s="1174"/>
      <c r="H20" s="59"/>
      <c r="I20" s="59"/>
      <c r="J20" s="1173"/>
      <c r="K20" s="59"/>
      <c r="L20" s="1173"/>
      <c r="M20" s="59"/>
      <c r="N20" s="59"/>
      <c r="O20" s="59"/>
      <c r="P20" s="59"/>
      <c r="Q20" s="59"/>
      <c r="R20" s="59"/>
      <c r="S20" s="59"/>
      <c r="T20" s="59"/>
      <c r="U20" s="59"/>
      <c r="V20" s="59"/>
      <c r="W20" s="59"/>
      <c r="X20" s="59"/>
      <c r="Y20" s="59"/>
      <c r="Z20" s="59"/>
      <c r="AA20" s="59"/>
      <c r="AB20" s="59"/>
      <c r="AC20" s="59"/>
    </row>
    <row r="21" spans="1:29" ht="15.75" customHeight="1">
      <c r="A21" s="59"/>
      <c r="B21" s="59"/>
      <c r="C21" s="59"/>
      <c r="D21" s="1173"/>
      <c r="E21" s="59"/>
      <c r="F21" s="1173"/>
      <c r="G21" s="1174"/>
      <c r="H21" s="59"/>
      <c r="I21" s="59"/>
      <c r="J21" s="1173"/>
      <c r="K21" s="59"/>
      <c r="L21" s="1173"/>
      <c r="M21" s="59"/>
      <c r="N21" s="59"/>
      <c r="O21" s="59"/>
      <c r="P21" s="59"/>
      <c r="Q21" s="59"/>
      <c r="R21" s="59"/>
      <c r="S21" s="59"/>
      <c r="T21" s="59"/>
      <c r="U21" s="59"/>
      <c r="V21" s="59"/>
      <c r="W21" s="59"/>
      <c r="X21" s="59"/>
      <c r="Y21" s="59"/>
      <c r="Z21" s="59"/>
      <c r="AA21" s="59"/>
      <c r="AB21" s="59"/>
      <c r="AC21" s="59"/>
    </row>
    <row r="22" spans="1:29" ht="15.75" customHeight="1">
      <c r="A22" s="59"/>
      <c r="B22" s="59"/>
      <c r="C22" s="59"/>
      <c r="D22" s="1173"/>
      <c r="E22" s="59"/>
      <c r="F22" s="1173"/>
      <c r="G22" s="1174"/>
      <c r="H22" s="59"/>
      <c r="I22" s="59"/>
      <c r="J22" s="1173"/>
      <c r="K22" s="59"/>
      <c r="L22" s="1173"/>
      <c r="M22" s="59"/>
      <c r="N22" s="59"/>
      <c r="O22" s="59"/>
      <c r="P22" s="59"/>
      <c r="Q22" s="59"/>
      <c r="R22" s="59"/>
      <c r="S22" s="59"/>
      <c r="T22" s="59"/>
      <c r="U22" s="59"/>
      <c r="V22" s="59"/>
      <c r="W22" s="59"/>
      <c r="X22" s="59"/>
      <c r="Y22" s="59"/>
      <c r="Z22" s="59"/>
      <c r="AA22" s="59"/>
      <c r="AB22" s="59"/>
      <c r="AC22" s="59"/>
    </row>
    <row r="23" spans="1:29" ht="15.75" customHeight="1">
      <c r="A23" s="59"/>
      <c r="B23" s="59"/>
      <c r="C23" s="59"/>
      <c r="D23" s="1173"/>
      <c r="E23" s="59"/>
      <c r="F23" s="1173"/>
      <c r="G23" s="1174"/>
      <c r="H23" s="59"/>
      <c r="I23" s="59"/>
      <c r="J23" s="1173"/>
      <c r="K23" s="59"/>
      <c r="L23" s="1173"/>
      <c r="M23" s="59"/>
      <c r="N23" s="59"/>
      <c r="O23" s="59"/>
      <c r="P23" s="59"/>
      <c r="Q23" s="59"/>
      <c r="R23" s="59"/>
      <c r="S23" s="59"/>
      <c r="T23" s="59"/>
      <c r="U23" s="59"/>
      <c r="V23" s="59"/>
      <c r="W23" s="59"/>
      <c r="X23" s="59"/>
      <c r="Y23" s="59"/>
      <c r="Z23" s="59"/>
      <c r="AA23" s="59"/>
      <c r="AB23" s="59"/>
      <c r="AC23" s="59"/>
    </row>
    <row r="24" spans="1:29" ht="15.75" customHeight="1">
      <c r="A24" s="59"/>
      <c r="B24" s="59"/>
      <c r="C24" s="59"/>
      <c r="D24" s="1173"/>
      <c r="E24" s="59"/>
      <c r="F24" s="1173"/>
      <c r="G24" s="1174"/>
      <c r="H24" s="59"/>
      <c r="I24" s="59"/>
      <c r="J24" s="1173"/>
      <c r="K24" s="59"/>
      <c r="L24" s="1173"/>
      <c r="M24" s="59"/>
      <c r="N24" s="59"/>
      <c r="O24" s="59"/>
      <c r="P24" s="59"/>
      <c r="Q24" s="59"/>
      <c r="R24" s="59"/>
      <c r="S24" s="59"/>
      <c r="T24" s="59"/>
      <c r="U24" s="59"/>
      <c r="V24" s="59"/>
      <c r="W24" s="59"/>
      <c r="X24" s="59"/>
      <c r="Y24" s="59"/>
      <c r="Z24" s="59"/>
      <c r="AA24" s="59"/>
      <c r="AB24" s="59"/>
      <c r="AC24" s="59"/>
    </row>
    <row r="25" spans="1:29" ht="15.75" customHeight="1">
      <c r="A25" s="59"/>
      <c r="B25" s="59"/>
      <c r="C25" s="59"/>
      <c r="D25" s="1173"/>
      <c r="E25" s="59"/>
      <c r="F25" s="1173"/>
      <c r="G25" s="1174"/>
      <c r="H25" s="59"/>
      <c r="I25" s="59"/>
      <c r="J25" s="1173"/>
      <c r="K25" s="59"/>
      <c r="L25" s="1173"/>
      <c r="M25" s="59"/>
      <c r="N25" s="59"/>
      <c r="O25" s="59"/>
      <c r="P25" s="59"/>
      <c r="Q25" s="59"/>
      <c r="R25" s="59"/>
      <c r="S25" s="59"/>
      <c r="T25" s="59"/>
      <c r="U25" s="59"/>
      <c r="V25" s="59"/>
      <c r="W25" s="59"/>
      <c r="X25" s="59"/>
      <c r="Y25" s="59"/>
      <c r="Z25" s="59"/>
      <c r="AA25" s="59"/>
      <c r="AB25" s="59"/>
      <c r="AC25" s="59"/>
    </row>
    <row r="26" spans="1:29" ht="15.75" customHeight="1">
      <c r="A26" s="59"/>
      <c r="B26" s="59"/>
      <c r="C26" s="59"/>
      <c r="D26" s="1173"/>
      <c r="E26" s="59"/>
      <c r="F26" s="1173"/>
      <c r="G26" s="1174"/>
      <c r="H26" s="59"/>
      <c r="I26" s="59"/>
      <c r="J26" s="1173"/>
      <c r="K26" s="59"/>
      <c r="L26" s="1173"/>
      <c r="M26" s="59"/>
      <c r="N26" s="59"/>
      <c r="O26" s="59"/>
      <c r="P26" s="59"/>
      <c r="Q26" s="59"/>
      <c r="R26" s="59"/>
      <c r="S26" s="59"/>
      <c r="T26" s="59"/>
      <c r="U26" s="59"/>
      <c r="V26" s="59"/>
      <c r="W26" s="59"/>
      <c r="X26" s="59"/>
      <c r="Y26" s="59"/>
      <c r="Z26" s="59"/>
      <c r="AA26" s="59"/>
      <c r="AB26" s="59"/>
      <c r="AC26" s="59"/>
    </row>
    <row r="27" spans="1:29" ht="15.75" customHeight="1">
      <c r="A27" s="59"/>
      <c r="B27" s="59"/>
      <c r="C27" s="59"/>
      <c r="D27" s="1173"/>
      <c r="E27" s="59"/>
      <c r="F27" s="1173"/>
      <c r="G27" s="1174"/>
      <c r="H27" s="59"/>
      <c r="I27" s="59"/>
      <c r="J27" s="1173"/>
      <c r="K27" s="59"/>
      <c r="L27" s="1173"/>
      <c r="M27" s="59"/>
      <c r="N27" s="59"/>
      <c r="O27" s="59"/>
      <c r="P27" s="59"/>
      <c r="Q27" s="59"/>
      <c r="R27" s="59"/>
      <c r="S27" s="59"/>
      <c r="T27" s="59"/>
      <c r="U27" s="59"/>
      <c r="V27" s="59"/>
      <c r="W27" s="59"/>
      <c r="X27" s="59"/>
      <c r="Y27" s="59"/>
      <c r="Z27" s="59"/>
      <c r="AA27" s="59"/>
      <c r="AB27" s="59"/>
      <c r="AC27" s="59"/>
    </row>
    <row r="28" spans="1:29" ht="15.75" customHeight="1">
      <c r="A28" s="59"/>
      <c r="B28" s="59"/>
      <c r="C28" s="59"/>
      <c r="D28" s="1173"/>
      <c r="E28" s="59"/>
      <c r="F28" s="1173"/>
      <c r="G28" s="1174"/>
      <c r="H28" s="59"/>
      <c r="I28" s="59"/>
      <c r="J28" s="1173"/>
      <c r="K28" s="59"/>
      <c r="L28" s="1173"/>
      <c r="M28" s="59"/>
      <c r="N28" s="59"/>
      <c r="O28" s="59"/>
      <c r="P28" s="59"/>
      <c r="Q28" s="59"/>
      <c r="R28" s="59"/>
      <c r="S28" s="59"/>
      <c r="T28" s="59"/>
      <c r="U28" s="59"/>
      <c r="V28" s="59"/>
      <c r="W28" s="59"/>
      <c r="X28" s="59"/>
      <c r="Y28" s="59"/>
      <c r="Z28" s="59"/>
      <c r="AA28" s="59"/>
      <c r="AB28" s="59"/>
      <c r="AC28" s="59"/>
    </row>
    <row r="29" spans="1:29" ht="15.75" customHeight="1">
      <c r="A29" s="59"/>
      <c r="B29" s="59"/>
      <c r="C29" s="59"/>
      <c r="D29" s="1173"/>
      <c r="E29" s="59"/>
      <c r="F29" s="1173"/>
      <c r="G29" s="1174"/>
      <c r="H29" s="59"/>
      <c r="I29" s="59"/>
      <c r="J29" s="1173"/>
      <c r="K29" s="59"/>
      <c r="L29" s="1173"/>
      <c r="M29" s="59"/>
      <c r="N29" s="59"/>
      <c r="O29" s="59"/>
      <c r="P29" s="59"/>
      <c r="Q29" s="59"/>
      <c r="R29" s="59"/>
      <c r="S29" s="59"/>
      <c r="T29" s="59"/>
      <c r="U29" s="59"/>
      <c r="V29" s="59"/>
      <c r="W29" s="59"/>
      <c r="X29" s="59"/>
      <c r="Y29" s="59"/>
      <c r="Z29" s="59"/>
      <c r="AA29" s="59"/>
      <c r="AB29" s="59"/>
      <c r="AC29" s="59"/>
    </row>
    <row r="30" spans="1:29" ht="15.75" customHeight="1">
      <c r="A30" s="59"/>
      <c r="B30" s="59"/>
      <c r="C30" s="59"/>
      <c r="D30" s="1173"/>
      <c r="E30" s="59"/>
      <c r="F30" s="1173"/>
      <c r="G30" s="1174"/>
      <c r="H30" s="59"/>
      <c r="I30" s="59"/>
      <c r="J30" s="1173"/>
      <c r="K30" s="59"/>
      <c r="L30" s="1173"/>
      <c r="M30" s="59"/>
      <c r="N30" s="59"/>
      <c r="O30" s="59"/>
      <c r="P30" s="59"/>
      <c r="Q30" s="59"/>
      <c r="R30" s="59"/>
      <c r="S30" s="59"/>
      <c r="T30" s="59"/>
      <c r="U30" s="59"/>
      <c r="V30" s="59"/>
      <c r="W30" s="59"/>
      <c r="X30" s="59"/>
      <c r="Y30" s="59"/>
      <c r="Z30" s="59"/>
      <c r="AA30" s="59"/>
      <c r="AB30" s="59"/>
      <c r="AC30" s="59"/>
    </row>
    <row r="31" spans="1:29" ht="15.75" customHeight="1">
      <c r="A31" s="59"/>
      <c r="B31" s="59"/>
      <c r="C31" s="59"/>
      <c r="D31" s="1173"/>
      <c r="E31" s="59"/>
      <c r="F31" s="1173"/>
      <c r="G31" s="1174"/>
      <c r="H31" s="59"/>
      <c r="I31" s="59"/>
      <c r="J31" s="1173"/>
      <c r="K31" s="59"/>
      <c r="L31" s="1173"/>
      <c r="M31" s="59"/>
      <c r="N31" s="59"/>
      <c r="O31" s="59"/>
      <c r="P31" s="59"/>
      <c r="Q31" s="59"/>
      <c r="R31" s="59"/>
      <c r="S31" s="59"/>
      <c r="T31" s="59"/>
      <c r="U31" s="59"/>
      <c r="V31" s="59"/>
      <c r="W31" s="59"/>
      <c r="X31" s="59"/>
      <c r="Y31" s="59"/>
      <c r="Z31" s="59"/>
      <c r="AA31" s="59"/>
      <c r="AB31" s="59"/>
      <c r="AC31" s="59"/>
    </row>
    <row r="32" spans="1:29" ht="15.75" customHeight="1">
      <c r="A32" s="59"/>
      <c r="B32" s="59"/>
      <c r="C32" s="59"/>
      <c r="D32" s="1173"/>
      <c r="E32" s="59"/>
      <c r="F32" s="1173"/>
      <c r="G32" s="1174"/>
      <c r="H32" s="59"/>
      <c r="I32" s="59"/>
      <c r="J32" s="1173"/>
      <c r="K32" s="59"/>
      <c r="L32" s="1173"/>
      <c r="M32" s="59"/>
      <c r="N32" s="59"/>
      <c r="O32" s="59"/>
      <c r="P32" s="59"/>
      <c r="Q32" s="59"/>
      <c r="R32" s="59"/>
      <c r="S32" s="59"/>
      <c r="T32" s="59"/>
      <c r="U32" s="59"/>
      <c r="V32" s="59"/>
      <c r="W32" s="59"/>
      <c r="X32" s="59"/>
      <c r="Y32" s="59"/>
      <c r="Z32" s="59"/>
      <c r="AA32" s="59"/>
      <c r="AB32" s="59"/>
      <c r="AC32" s="59"/>
    </row>
    <row r="33" spans="1:29" ht="15.75" customHeight="1">
      <c r="A33" s="59"/>
      <c r="B33" s="59"/>
      <c r="C33" s="59"/>
      <c r="D33" s="1173"/>
      <c r="E33" s="59"/>
      <c r="F33" s="1173"/>
      <c r="G33" s="1174"/>
      <c r="H33" s="59"/>
      <c r="I33" s="59"/>
      <c r="J33" s="1173"/>
      <c r="K33" s="59"/>
      <c r="L33" s="1173"/>
      <c r="M33" s="59"/>
      <c r="N33" s="59"/>
      <c r="O33" s="59"/>
      <c r="P33" s="59"/>
      <c r="Q33" s="59"/>
      <c r="R33" s="59"/>
      <c r="S33" s="59"/>
      <c r="T33" s="59"/>
      <c r="U33" s="59"/>
      <c r="V33" s="59"/>
      <c r="W33" s="59"/>
      <c r="X33" s="59"/>
      <c r="Y33" s="59"/>
      <c r="Z33" s="59"/>
      <c r="AA33" s="59"/>
      <c r="AB33" s="59"/>
      <c r="AC33" s="59"/>
    </row>
    <row r="34" spans="1:29" ht="15.75" customHeight="1">
      <c r="A34" s="59"/>
      <c r="B34" s="59"/>
      <c r="C34" s="59"/>
      <c r="D34" s="1173"/>
      <c r="E34" s="59"/>
      <c r="F34" s="1173"/>
      <c r="G34" s="1174"/>
      <c r="H34" s="59"/>
      <c r="I34" s="59"/>
      <c r="J34" s="1173"/>
      <c r="K34" s="59"/>
      <c r="L34" s="1173"/>
      <c r="M34" s="59"/>
      <c r="N34" s="59"/>
      <c r="O34" s="59"/>
      <c r="P34" s="59"/>
      <c r="Q34" s="59"/>
      <c r="R34" s="59"/>
      <c r="S34" s="59"/>
      <c r="T34" s="59"/>
      <c r="U34" s="59"/>
      <c r="V34" s="59"/>
      <c r="W34" s="59"/>
      <c r="X34" s="59"/>
      <c r="Y34" s="59"/>
      <c r="Z34" s="59"/>
      <c r="AA34" s="59"/>
      <c r="AB34" s="59"/>
      <c r="AC34" s="59"/>
    </row>
    <row r="35" spans="1:29" ht="15.75" customHeight="1">
      <c r="A35" s="59"/>
      <c r="B35" s="59"/>
      <c r="C35" s="59"/>
      <c r="D35" s="1173"/>
      <c r="E35" s="59"/>
      <c r="F35" s="1173"/>
      <c r="G35" s="1174"/>
      <c r="H35" s="59"/>
      <c r="I35" s="59"/>
      <c r="J35" s="1173"/>
      <c r="K35" s="59"/>
      <c r="L35" s="1173"/>
      <c r="M35" s="59"/>
      <c r="N35" s="59"/>
      <c r="O35" s="59"/>
      <c r="P35" s="59"/>
      <c r="Q35" s="59"/>
      <c r="R35" s="59"/>
      <c r="S35" s="59"/>
      <c r="T35" s="59"/>
      <c r="U35" s="59"/>
      <c r="V35" s="59"/>
      <c r="W35" s="59"/>
      <c r="X35" s="59"/>
      <c r="Y35" s="59"/>
      <c r="Z35" s="59"/>
      <c r="AA35" s="59"/>
      <c r="AB35" s="59"/>
      <c r="AC35" s="59"/>
    </row>
    <row r="36" spans="1:29" ht="15.75" customHeight="1">
      <c r="A36" s="59"/>
      <c r="B36" s="59"/>
      <c r="C36" s="59"/>
      <c r="D36" s="1173"/>
      <c r="E36" s="59"/>
      <c r="F36" s="1173"/>
      <c r="G36" s="1174"/>
      <c r="H36" s="59"/>
      <c r="I36" s="59"/>
      <c r="J36" s="1173"/>
      <c r="K36" s="59"/>
      <c r="L36" s="1173"/>
      <c r="M36" s="59"/>
      <c r="N36" s="59"/>
      <c r="O36" s="59"/>
      <c r="P36" s="59"/>
      <c r="Q36" s="59"/>
      <c r="R36" s="59"/>
      <c r="S36" s="59"/>
      <c r="T36" s="59"/>
      <c r="U36" s="59"/>
      <c r="V36" s="59"/>
      <c r="W36" s="59"/>
      <c r="X36" s="59"/>
      <c r="Y36" s="59"/>
      <c r="Z36" s="59"/>
      <c r="AA36" s="59"/>
      <c r="AB36" s="59"/>
      <c r="AC36" s="59"/>
    </row>
    <row r="37" spans="1:29" ht="15.75" customHeight="1">
      <c r="A37" s="59"/>
      <c r="B37" s="59"/>
      <c r="C37" s="59"/>
      <c r="D37" s="1173"/>
      <c r="E37" s="59"/>
      <c r="F37" s="1173"/>
      <c r="G37" s="1174"/>
      <c r="H37" s="59"/>
      <c r="I37" s="59"/>
      <c r="J37" s="1173"/>
      <c r="K37" s="59"/>
      <c r="L37" s="1173"/>
      <c r="M37" s="59"/>
      <c r="N37" s="59"/>
      <c r="O37" s="59"/>
      <c r="P37" s="59"/>
      <c r="Q37" s="59"/>
      <c r="R37" s="59"/>
      <c r="S37" s="59"/>
      <c r="T37" s="59"/>
      <c r="U37" s="59"/>
      <c r="V37" s="59"/>
      <c r="W37" s="59"/>
      <c r="X37" s="59"/>
      <c r="Y37" s="59"/>
      <c r="Z37" s="59"/>
      <c r="AA37" s="59"/>
      <c r="AB37" s="59"/>
      <c r="AC37" s="59"/>
    </row>
    <row r="38" spans="1:29" ht="15.75" customHeight="1">
      <c r="A38" s="59"/>
      <c r="B38" s="59"/>
      <c r="C38" s="59"/>
      <c r="D38" s="1173"/>
      <c r="E38" s="59"/>
      <c r="F38" s="1173"/>
      <c r="G38" s="1174"/>
      <c r="H38" s="59"/>
      <c r="I38" s="59"/>
      <c r="J38" s="1173"/>
      <c r="K38" s="59"/>
      <c r="L38" s="1173"/>
      <c r="M38" s="59"/>
      <c r="N38" s="59"/>
      <c r="O38" s="59"/>
      <c r="P38" s="59"/>
      <c r="Q38" s="59"/>
      <c r="R38" s="59"/>
      <c r="S38" s="59"/>
      <c r="T38" s="59"/>
      <c r="U38" s="59"/>
      <c r="V38" s="59"/>
      <c r="W38" s="59"/>
      <c r="X38" s="59"/>
      <c r="Y38" s="59"/>
      <c r="Z38" s="59"/>
      <c r="AA38" s="59"/>
      <c r="AB38" s="59"/>
      <c r="AC38" s="59"/>
    </row>
    <row r="39" spans="1:29" ht="15.75" customHeight="1">
      <c r="A39" s="59"/>
      <c r="B39" s="59"/>
      <c r="C39" s="59"/>
      <c r="D39" s="1173"/>
      <c r="E39" s="59"/>
      <c r="F39" s="1173"/>
      <c r="G39" s="1174"/>
      <c r="H39" s="59"/>
      <c r="I39" s="59"/>
      <c r="J39" s="1173"/>
      <c r="K39" s="59"/>
      <c r="L39" s="1173"/>
      <c r="M39" s="59"/>
      <c r="N39" s="59"/>
      <c r="O39" s="59"/>
      <c r="P39" s="59"/>
      <c r="Q39" s="59"/>
      <c r="R39" s="59"/>
      <c r="S39" s="59"/>
      <c r="T39" s="59"/>
      <c r="U39" s="59"/>
      <c r="V39" s="59"/>
      <c r="W39" s="59"/>
      <c r="X39" s="59"/>
      <c r="Y39" s="59"/>
      <c r="Z39" s="59"/>
      <c r="AA39" s="59"/>
      <c r="AB39" s="59"/>
      <c r="AC39" s="59"/>
    </row>
    <row r="40" spans="1:29" ht="15.75" customHeight="1">
      <c r="A40" s="59"/>
      <c r="B40" s="59"/>
      <c r="C40" s="59"/>
      <c r="D40" s="1173"/>
      <c r="E40" s="59"/>
      <c r="F40" s="1173"/>
      <c r="G40" s="1174"/>
      <c r="H40" s="59"/>
      <c r="I40" s="59"/>
      <c r="J40" s="1173"/>
      <c r="K40" s="59"/>
      <c r="L40" s="1173"/>
      <c r="M40" s="59"/>
      <c r="N40" s="59"/>
      <c r="O40" s="59"/>
      <c r="P40" s="59"/>
      <c r="Q40" s="59"/>
      <c r="R40" s="59"/>
      <c r="S40" s="59"/>
      <c r="T40" s="59"/>
      <c r="U40" s="59"/>
      <c r="V40" s="59"/>
      <c r="W40" s="59"/>
      <c r="X40" s="59"/>
      <c r="Y40" s="59"/>
      <c r="Z40" s="59"/>
      <c r="AA40" s="59"/>
      <c r="AB40" s="59"/>
      <c r="AC40" s="59"/>
    </row>
    <row r="41" spans="1:29" ht="15.75" customHeight="1">
      <c r="A41" s="59"/>
      <c r="B41" s="59"/>
      <c r="C41" s="59"/>
      <c r="D41" s="1173"/>
      <c r="E41" s="59"/>
      <c r="F41" s="1173"/>
      <c r="G41" s="1174"/>
      <c r="H41" s="59"/>
      <c r="I41" s="59"/>
      <c r="J41" s="1173"/>
      <c r="K41" s="59"/>
      <c r="L41" s="1173"/>
      <c r="M41" s="59"/>
      <c r="N41" s="59"/>
      <c r="O41" s="59"/>
      <c r="P41" s="59"/>
      <c r="Q41" s="59"/>
      <c r="R41" s="59"/>
      <c r="S41" s="59"/>
      <c r="T41" s="59"/>
      <c r="U41" s="59"/>
      <c r="V41" s="59"/>
      <c r="W41" s="59"/>
      <c r="X41" s="59"/>
      <c r="Y41" s="59"/>
      <c r="Z41" s="59"/>
      <c r="AA41" s="59"/>
      <c r="AB41" s="59"/>
      <c r="AC41" s="59"/>
    </row>
    <row r="42" spans="1:29" ht="15.75" customHeight="1">
      <c r="A42" s="59"/>
      <c r="B42" s="59"/>
      <c r="C42" s="59"/>
      <c r="D42" s="1173"/>
      <c r="E42" s="59"/>
      <c r="F42" s="1173"/>
      <c r="G42" s="1174"/>
      <c r="H42" s="59"/>
      <c r="I42" s="59"/>
      <c r="J42" s="1173"/>
      <c r="K42" s="59"/>
      <c r="L42" s="1173"/>
      <c r="M42" s="59"/>
      <c r="N42" s="59"/>
      <c r="O42" s="59"/>
      <c r="P42" s="59"/>
      <c r="Q42" s="59"/>
      <c r="R42" s="59"/>
      <c r="S42" s="59"/>
      <c r="T42" s="59"/>
      <c r="U42" s="59"/>
      <c r="V42" s="59"/>
      <c r="W42" s="59"/>
      <c r="X42" s="59"/>
      <c r="Y42" s="59"/>
      <c r="Z42" s="59"/>
      <c r="AA42" s="59"/>
      <c r="AB42" s="59"/>
      <c r="AC42" s="59"/>
    </row>
    <row r="43" spans="1:29" ht="15.75" customHeight="1">
      <c r="A43" s="59"/>
      <c r="B43" s="59"/>
      <c r="C43" s="59"/>
      <c r="D43" s="1173"/>
      <c r="E43" s="59"/>
      <c r="F43" s="1173"/>
      <c r="G43" s="1174"/>
      <c r="H43" s="59"/>
      <c r="I43" s="59"/>
      <c r="J43" s="1173"/>
      <c r="K43" s="59"/>
      <c r="L43" s="1173"/>
      <c r="M43" s="59"/>
      <c r="N43" s="59"/>
      <c r="O43" s="59"/>
      <c r="P43" s="59"/>
      <c r="Q43" s="59"/>
      <c r="R43" s="59"/>
      <c r="S43" s="59"/>
      <c r="T43" s="59"/>
      <c r="U43" s="59"/>
      <c r="V43" s="59"/>
      <c r="W43" s="59"/>
      <c r="X43" s="59"/>
      <c r="Y43" s="59"/>
      <c r="Z43" s="59"/>
      <c r="AA43" s="59"/>
      <c r="AB43" s="59"/>
      <c r="AC43" s="59"/>
    </row>
    <row r="44" spans="1:29" ht="15.75" customHeight="1">
      <c r="A44" s="59"/>
      <c r="B44" s="59"/>
      <c r="C44" s="59"/>
      <c r="D44" s="1173"/>
      <c r="E44" s="59"/>
      <c r="F44" s="1173"/>
      <c r="G44" s="1174"/>
      <c r="H44" s="59"/>
      <c r="I44" s="59"/>
      <c r="J44" s="1173"/>
      <c r="K44" s="59"/>
      <c r="L44" s="1173"/>
      <c r="M44" s="59"/>
      <c r="N44" s="59"/>
      <c r="O44" s="59"/>
      <c r="P44" s="59"/>
      <c r="Q44" s="59"/>
      <c r="R44" s="59"/>
      <c r="S44" s="59"/>
      <c r="T44" s="59"/>
      <c r="U44" s="59"/>
      <c r="V44" s="59"/>
      <c r="W44" s="59"/>
      <c r="X44" s="59"/>
      <c r="Y44" s="59"/>
      <c r="Z44" s="59"/>
      <c r="AA44" s="59"/>
      <c r="AB44" s="59"/>
      <c r="AC44" s="59"/>
    </row>
    <row r="45" spans="1:29" ht="15.75" customHeight="1">
      <c r="A45" s="59"/>
      <c r="B45" s="59"/>
      <c r="C45" s="59"/>
      <c r="D45" s="1173"/>
      <c r="E45" s="59"/>
      <c r="F45" s="1173"/>
      <c r="G45" s="1174"/>
      <c r="H45" s="59"/>
      <c r="I45" s="59"/>
      <c r="J45" s="1173"/>
      <c r="K45" s="59"/>
      <c r="L45" s="1173"/>
      <c r="M45" s="59"/>
      <c r="N45" s="59"/>
      <c r="O45" s="59"/>
      <c r="P45" s="59"/>
      <c r="Q45" s="59"/>
      <c r="R45" s="59"/>
      <c r="S45" s="59"/>
      <c r="T45" s="59"/>
      <c r="U45" s="59"/>
      <c r="V45" s="59"/>
      <c r="W45" s="59"/>
      <c r="X45" s="59"/>
      <c r="Y45" s="59"/>
      <c r="Z45" s="59"/>
      <c r="AA45" s="59"/>
      <c r="AB45" s="59"/>
      <c r="AC45" s="59"/>
    </row>
    <row r="46" spans="1:29" ht="15.75" customHeight="1">
      <c r="A46" s="59"/>
      <c r="B46" s="59"/>
      <c r="C46" s="59"/>
      <c r="D46" s="1173"/>
      <c r="E46" s="59"/>
      <c r="F46" s="1173"/>
      <c r="G46" s="1174"/>
      <c r="H46" s="59"/>
      <c r="I46" s="59"/>
      <c r="J46" s="1173"/>
      <c r="K46" s="59"/>
      <c r="L46" s="1173"/>
      <c r="M46" s="59"/>
      <c r="N46" s="59"/>
      <c r="O46" s="59"/>
      <c r="P46" s="59"/>
      <c r="Q46" s="59"/>
      <c r="R46" s="59"/>
      <c r="S46" s="59"/>
      <c r="T46" s="59"/>
      <c r="U46" s="59"/>
      <c r="V46" s="59"/>
      <c r="W46" s="59"/>
      <c r="X46" s="59"/>
      <c r="Y46" s="59"/>
      <c r="Z46" s="59"/>
      <c r="AA46" s="59"/>
      <c r="AB46" s="59"/>
      <c r="AC46" s="59"/>
    </row>
    <row r="47" spans="1:29" ht="15.75" customHeight="1">
      <c r="A47" s="59"/>
      <c r="B47" s="59"/>
      <c r="C47" s="59"/>
      <c r="D47" s="1173"/>
      <c r="E47" s="59"/>
      <c r="F47" s="1173"/>
      <c r="G47" s="1174"/>
      <c r="H47" s="59"/>
      <c r="I47" s="59"/>
      <c r="J47" s="1173"/>
      <c r="K47" s="59"/>
      <c r="L47" s="1173"/>
      <c r="M47" s="59"/>
      <c r="N47" s="59"/>
      <c r="O47" s="59"/>
      <c r="P47" s="59"/>
      <c r="Q47" s="59"/>
      <c r="R47" s="59"/>
      <c r="S47" s="59"/>
      <c r="T47" s="59"/>
      <c r="U47" s="59"/>
      <c r="V47" s="59"/>
      <c r="W47" s="59"/>
      <c r="X47" s="59"/>
      <c r="Y47" s="59"/>
      <c r="Z47" s="59"/>
      <c r="AA47" s="59"/>
      <c r="AB47" s="59"/>
      <c r="AC47" s="59"/>
    </row>
    <row r="48" spans="1:29" ht="15.75" customHeight="1">
      <c r="A48" s="59"/>
      <c r="B48" s="59"/>
      <c r="C48" s="59"/>
      <c r="D48" s="1173"/>
      <c r="E48" s="59"/>
      <c r="F48" s="1173"/>
      <c r="G48" s="1174"/>
      <c r="H48" s="59"/>
      <c r="I48" s="59"/>
      <c r="J48" s="1173"/>
      <c r="K48" s="59"/>
      <c r="L48" s="1173"/>
      <c r="M48" s="59"/>
      <c r="N48" s="59"/>
      <c r="O48" s="59"/>
      <c r="P48" s="59"/>
      <c r="Q48" s="59"/>
      <c r="R48" s="59"/>
      <c r="S48" s="59"/>
      <c r="T48" s="59"/>
      <c r="U48" s="59"/>
      <c r="V48" s="59"/>
      <c r="W48" s="59"/>
      <c r="X48" s="59"/>
      <c r="Y48" s="59"/>
      <c r="Z48" s="59"/>
      <c r="AA48" s="59"/>
      <c r="AB48" s="59"/>
      <c r="AC48" s="59"/>
    </row>
    <row r="49" spans="1:29" ht="15.75" customHeight="1">
      <c r="A49" s="59"/>
      <c r="B49" s="59"/>
      <c r="C49" s="59"/>
      <c r="D49" s="1173"/>
      <c r="E49" s="59"/>
      <c r="F49" s="1173"/>
      <c r="G49" s="1174"/>
      <c r="H49" s="59"/>
      <c r="I49" s="59"/>
      <c r="J49" s="1173"/>
      <c r="K49" s="59"/>
      <c r="L49" s="1173"/>
      <c r="M49" s="59"/>
      <c r="N49" s="59"/>
      <c r="O49" s="59"/>
      <c r="P49" s="59"/>
      <c r="Q49" s="59"/>
      <c r="R49" s="59"/>
      <c r="S49" s="59"/>
      <c r="T49" s="59"/>
      <c r="U49" s="59"/>
      <c r="V49" s="59"/>
      <c r="W49" s="59"/>
      <c r="X49" s="59"/>
      <c r="Y49" s="59"/>
      <c r="Z49" s="59"/>
      <c r="AA49" s="59"/>
      <c r="AB49" s="59"/>
      <c r="AC49" s="59"/>
    </row>
    <row r="50" spans="1:29" ht="15.75" customHeight="1">
      <c r="A50" s="59"/>
      <c r="B50" s="59"/>
      <c r="C50" s="59"/>
      <c r="D50" s="1173"/>
      <c r="E50" s="59"/>
      <c r="F50" s="1173"/>
      <c r="G50" s="1174"/>
      <c r="H50" s="59"/>
      <c r="I50" s="59"/>
      <c r="J50" s="1173"/>
      <c r="K50" s="59"/>
      <c r="L50" s="1173"/>
      <c r="M50" s="59"/>
      <c r="N50" s="59"/>
      <c r="O50" s="59"/>
      <c r="P50" s="59"/>
      <c r="Q50" s="59"/>
      <c r="R50" s="59"/>
      <c r="S50" s="59"/>
      <c r="T50" s="59"/>
      <c r="U50" s="59"/>
      <c r="V50" s="59"/>
      <c r="W50" s="59"/>
      <c r="X50" s="59"/>
      <c r="Y50" s="59"/>
      <c r="Z50" s="59"/>
      <c r="AA50" s="59"/>
      <c r="AB50" s="59"/>
      <c r="AC50" s="59"/>
    </row>
    <row r="51" spans="1:29" ht="15.75" customHeight="1">
      <c r="A51" s="59"/>
      <c r="B51" s="59"/>
      <c r="C51" s="59"/>
      <c r="D51" s="1173"/>
      <c r="E51" s="59"/>
      <c r="F51" s="1173"/>
      <c r="G51" s="1174"/>
      <c r="H51" s="59"/>
      <c r="I51" s="59"/>
      <c r="J51" s="1173"/>
      <c r="K51" s="59"/>
      <c r="L51" s="1173"/>
      <c r="M51" s="59"/>
      <c r="N51" s="59"/>
      <c r="O51" s="59"/>
      <c r="P51" s="59"/>
      <c r="Q51" s="59"/>
      <c r="R51" s="59"/>
      <c r="S51" s="59"/>
      <c r="T51" s="59"/>
      <c r="U51" s="59"/>
      <c r="V51" s="59"/>
      <c r="W51" s="59"/>
      <c r="X51" s="59"/>
      <c r="Y51" s="59"/>
      <c r="Z51" s="59"/>
      <c r="AA51" s="59"/>
      <c r="AB51" s="59"/>
      <c r="AC51" s="59"/>
    </row>
    <row r="52" spans="1:29" ht="15.75" customHeight="1">
      <c r="A52" s="59"/>
      <c r="B52" s="59"/>
      <c r="C52" s="59"/>
      <c r="D52" s="1173"/>
      <c r="E52" s="59"/>
      <c r="F52" s="1173"/>
      <c r="G52" s="1174"/>
      <c r="H52" s="59"/>
      <c r="I52" s="59"/>
      <c r="J52" s="1173"/>
      <c r="K52" s="59"/>
      <c r="L52" s="1173"/>
      <c r="M52" s="59"/>
      <c r="N52" s="59"/>
      <c r="O52" s="59"/>
      <c r="P52" s="59"/>
      <c r="Q52" s="59"/>
      <c r="R52" s="59"/>
      <c r="S52" s="59"/>
      <c r="T52" s="59"/>
      <c r="U52" s="59"/>
      <c r="V52" s="59"/>
      <c r="W52" s="59"/>
      <c r="X52" s="59"/>
      <c r="Y52" s="59"/>
      <c r="Z52" s="59"/>
      <c r="AA52" s="59"/>
      <c r="AB52" s="59"/>
      <c r="AC52" s="59"/>
    </row>
    <row r="53" spans="1:29" ht="15.75" customHeight="1">
      <c r="A53" s="59"/>
      <c r="B53" s="59"/>
      <c r="C53" s="59"/>
      <c r="D53" s="1173"/>
      <c r="E53" s="59"/>
      <c r="F53" s="1173"/>
      <c r="G53" s="1174"/>
      <c r="H53" s="59"/>
      <c r="I53" s="59"/>
      <c r="J53" s="1173"/>
      <c r="K53" s="59"/>
      <c r="L53" s="1173"/>
      <c r="M53" s="59"/>
      <c r="N53" s="59"/>
      <c r="O53" s="59"/>
      <c r="P53" s="59"/>
      <c r="Q53" s="59"/>
      <c r="R53" s="59"/>
      <c r="S53" s="59"/>
      <c r="T53" s="59"/>
      <c r="U53" s="59"/>
      <c r="V53" s="59"/>
      <c r="W53" s="59"/>
      <c r="X53" s="59"/>
      <c r="Y53" s="59"/>
      <c r="Z53" s="59"/>
      <c r="AA53" s="59"/>
      <c r="AB53" s="59"/>
      <c r="AC53" s="59"/>
    </row>
    <row r="54" spans="1:29" ht="15.75" customHeight="1">
      <c r="A54" s="59"/>
      <c r="B54" s="59"/>
      <c r="C54" s="59"/>
      <c r="D54" s="1173"/>
      <c r="E54" s="59"/>
      <c r="F54" s="1173"/>
      <c r="G54" s="1174"/>
      <c r="H54" s="59"/>
      <c r="I54" s="59"/>
      <c r="J54" s="1173"/>
      <c r="K54" s="59"/>
      <c r="L54" s="1173"/>
      <c r="M54" s="59"/>
      <c r="N54" s="59"/>
      <c r="O54" s="59"/>
      <c r="P54" s="59"/>
      <c r="Q54" s="59"/>
      <c r="R54" s="59"/>
      <c r="S54" s="59"/>
      <c r="T54" s="59"/>
      <c r="U54" s="59"/>
      <c r="V54" s="59"/>
      <c r="W54" s="59"/>
      <c r="X54" s="59"/>
      <c r="Y54" s="59"/>
      <c r="Z54" s="59"/>
      <c r="AA54" s="59"/>
      <c r="AB54" s="59"/>
      <c r="AC54" s="59"/>
    </row>
    <row r="55" spans="1:29" ht="15.75" customHeight="1">
      <c r="A55" s="59"/>
      <c r="B55" s="59"/>
      <c r="C55" s="59"/>
      <c r="D55" s="1173"/>
      <c r="E55" s="59"/>
      <c r="F55" s="1173"/>
      <c r="G55" s="1174"/>
      <c r="H55" s="59"/>
      <c r="I55" s="59"/>
      <c r="J55" s="1173"/>
      <c r="K55" s="59"/>
      <c r="L55" s="1173"/>
      <c r="M55" s="59"/>
      <c r="N55" s="59"/>
      <c r="O55" s="59"/>
      <c r="P55" s="59"/>
      <c r="Q55" s="59"/>
      <c r="R55" s="59"/>
      <c r="S55" s="59"/>
      <c r="T55" s="59"/>
      <c r="U55" s="59"/>
      <c r="V55" s="59"/>
      <c r="W55" s="59"/>
      <c r="X55" s="59"/>
      <c r="Y55" s="59"/>
      <c r="Z55" s="59"/>
      <c r="AA55" s="59"/>
      <c r="AB55" s="59"/>
      <c r="AC55" s="59"/>
    </row>
    <row r="56" spans="1:29" ht="15.75" customHeight="1">
      <c r="A56" s="59"/>
      <c r="B56" s="59"/>
      <c r="C56" s="59"/>
      <c r="D56" s="1173"/>
      <c r="E56" s="59"/>
      <c r="F56" s="1173"/>
      <c r="G56" s="1174"/>
      <c r="H56" s="59"/>
      <c r="I56" s="59"/>
      <c r="J56" s="1173"/>
      <c r="K56" s="59"/>
      <c r="L56" s="1173"/>
      <c r="M56" s="59"/>
      <c r="N56" s="59"/>
      <c r="O56" s="59"/>
      <c r="P56" s="59"/>
      <c r="Q56" s="59"/>
      <c r="R56" s="59"/>
      <c r="S56" s="59"/>
      <c r="T56" s="59"/>
      <c r="U56" s="59"/>
      <c r="V56" s="59"/>
      <c r="W56" s="59"/>
      <c r="X56" s="59"/>
      <c r="Y56" s="59"/>
      <c r="Z56" s="59"/>
      <c r="AA56" s="59"/>
      <c r="AB56" s="59"/>
      <c r="AC56" s="59"/>
    </row>
    <row r="57" spans="1:29" ht="15.75" customHeight="1">
      <c r="A57" s="59"/>
      <c r="B57" s="59"/>
      <c r="C57" s="59"/>
      <c r="D57" s="1173"/>
      <c r="E57" s="59"/>
      <c r="F57" s="1173"/>
      <c r="G57" s="1174"/>
      <c r="H57" s="59"/>
      <c r="I57" s="59"/>
      <c r="J57" s="1173"/>
      <c r="K57" s="59"/>
      <c r="L57" s="1173"/>
      <c r="M57" s="59"/>
      <c r="N57" s="59"/>
      <c r="O57" s="59"/>
      <c r="P57" s="59"/>
      <c r="Q57" s="59"/>
      <c r="R57" s="59"/>
      <c r="S57" s="59"/>
      <c r="T57" s="59"/>
      <c r="U57" s="59"/>
      <c r="V57" s="59"/>
      <c r="W57" s="59"/>
      <c r="X57" s="59"/>
      <c r="Y57" s="59"/>
      <c r="Z57" s="59"/>
      <c r="AA57" s="59"/>
      <c r="AB57" s="59"/>
      <c r="AC57" s="59"/>
    </row>
    <row r="58" spans="1:29" ht="15.75" customHeight="1">
      <c r="A58" s="59"/>
      <c r="B58" s="59"/>
      <c r="C58" s="59"/>
      <c r="D58" s="1173"/>
      <c r="E58" s="59"/>
      <c r="F58" s="1173"/>
      <c r="G58" s="1174"/>
      <c r="H58" s="59"/>
      <c r="I58" s="59"/>
      <c r="J58" s="1173"/>
      <c r="K58" s="59"/>
      <c r="L58" s="1173"/>
      <c r="M58" s="59"/>
      <c r="N58" s="59"/>
      <c r="O58" s="59"/>
      <c r="P58" s="59"/>
      <c r="Q58" s="59"/>
      <c r="R58" s="59"/>
      <c r="S58" s="59"/>
      <c r="T58" s="59"/>
      <c r="U58" s="59"/>
      <c r="V58" s="59"/>
      <c r="W58" s="59"/>
      <c r="X58" s="59"/>
      <c r="Y58" s="59"/>
      <c r="Z58" s="59"/>
      <c r="AA58" s="59"/>
      <c r="AB58" s="59"/>
      <c r="AC58" s="59"/>
    </row>
    <row r="59" spans="1:29" ht="15.75" customHeight="1">
      <c r="A59" s="59"/>
      <c r="B59" s="59"/>
      <c r="C59" s="59"/>
      <c r="D59" s="1173"/>
      <c r="E59" s="59"/>
      <c r="F59" s="1173"/>
      <c r="G59" s="1174"/>
      <c r="H59" s="59"/>
      <c r="I59" s="59"/>
      <c r="J59" s="1173"/>
      <c r="K59" s="59"/>
      <c r="L59" s="1173"/>
      <c r="M59" s="59"/>
      <c r="N59" s="59"/>
      <c r="O59" s="59"/>
      <c r="P59" s="59"/>
      <c r="Q59" s="59"/>
      <c r="R59" s="59"/>
      <c r="S59" s="59"/>
      <c r="T59" s="59"/>
      <c r="U59" s="59"/>
      <c r="V59" s="59"/>
      <c r="W59" s="59"/>
      <c r="X59" s="59"/>
      <c r="Y59" s="59"/>
      <c r="Z59" s="59"/>
      <c r="AA59" s="59"/>
      <c r="AB59" s="59"/>
      <c r="AC59" s="59"/>
    </row>
    <row r="60" spans="1:29" ht="15.75" customHeight="1">
      <c r="A60" s="59"/>
      <c r="B60" s="59"/>
      <c r="C60" s="59"/>
      <c r="D60" s="1173"/>
      <c r="E60" s="59"/>
      <c r="F60" s="1173"/>
      <c r="G60" s="1174"/>
      <c r="H60" s="59"/>
      <c r="I60" s="59"/>
      <c r="J60" s="1173"/>
      <c r="K60" s="59"/>
      <c r="L60" s="1173"/>
      <c r="M60" s="59"/>
      <c r="N60" s="59"/>
      <c r="O60" s="59"/>
      <c r="P60" s="59"/>
      <c r="Q60" s="59"/>
      <c r="R60" s="59"/>
      <c r="S60" s="59"/>
      <c r="T60" s="59"/>
      <c r="U60" s="59"/>
      <c r="V60" s="59"/>
      <c r="W60" s="59"/>
      <c r="X60" s="59"/>
      <c r="Y60" s="59"/>
      <c r="Z60" s="59"/>
      <c r="AA60" s="59"/>
      <c r="AB60" s="59"/>
      <c r="AC60" s="59"/>
    </row>
    <row r="61" spans="1:29" ht="12.75">
      <c r="A61" s="59"/>
      <c r="B61" s="59"/>
      <c r="C61" s="59"/>
      <c r="D61" s="1173"/>
      <c r="E61" s="59"/>
      <c r="F61" s="1173"/>
      <c r="G61" s="1174"/>
      <c r="H61" s="59"/>
      <c r="I61" s="59"/>
      <c r="J61" s="1173"/>
      <c r="K61" s="59"/>
      <c r="L61" s="1173"/>
      <c r="M61" s="59"/>
      <c r="N61" s="59"/>
      <c r="O61" s="59"/>
      <c r="P61" s="59"/>
      <c r="Q61" s="59"/>
      <c r="R61" s="59"/>
      <c r="S61" s="59"/>
      <c r="T61" s="59"/>
      <c r="U61" s="59"/>
      <c r="V61" s="59"/>
      <c r="W61" s="59"/>
      <c r="X61" s="59"/>
      <c r="Y61" s="59"/>
      <c r="Z61" s="59"/>
      <c r="AA61" s="59"/>
      <c r="AB61" s="59"/>
      <c r="AC61" s="59"/>
    </row>
    <row r="62" spans="1:29" ht="12.75">
      <c r="A62" s="59"/>
      <c r="B62" s="59"/>
      <c r="C62" s="59"/>
      <c r="D62" s="1173"/>
      <c r="E62" s="59"/>
      <c r="F62" s="1173"/>
      <c r="G62" s="1174"/>
      <c r="H62" s="59"/>
      <c r="I62" s="59"/>
      <c r="J62" s="1173"/>
      <c r="K62" s="59"/>
      <c r="L62" s="1173"/>
      <c r="M62" s="59"/>
      <c r="N62" s="59"/>
      <c r="O62" s="59"/>
      <c r="P62" s="59"/>
      <c r="Q62" s="59"/>
      <c r="R62" s="59"/>
      <c r="S62" s="59"/>
      <c r="T62" s="59"/>
      <c r="U62" s="59"/>
      <c r="V62" s="59"/>
      <c r="W62" s="59"/>
      <c r="X62" s="59"/>
      <c r="Y62" s="59"/>
      <c r="Z62" s="59"/>
      <c r="AA62" s="59"/>
      <c r="AB62" s="59"/>
      <c r="AC62" s="59"/>
    </row>
    <row r="63" spans="1:29" ht="12.75">
      <c r="A63" s="59"/>
      <c r="B63" s="59"/>
      <c r="C63" s="59"/>
      <c r="D63" s="1173"/>
      <c r="E63" s="59"/>
      <c r="F63" s="1173"/>
      <c r="G63" s="1174"/>
      <c r="H63" s="59"/>
      <c r="I63" s="59"/>
      <c r="J63" s="1173"/>
      <c r="K63" s="59"/>
      <c r="L63" s="1173"/>
      <c r="M63" s="59"/>
      <c r="N63" s="59"/>
      <c r="O63" s="59"/>
      <c r="P63" s="59"/>
      <c r="Q63" s="59"/>
      <c r="R63" s="59"/>
      <c r="S63" s="59"/>
      <c r="T63" s="59"/>
      <c r="U63" s="59"/>
      <c r="V63" s="59"/>
      <c r="W63" s="59"/>
      <c r="X63" s="59"/>
      <c r="Y63" s="59"/>
      <c r="Z63" s="59"/>
      <c r="AA63" s="59"/>
      <c r="AB63" s="59"/>
      <c r="AC63" s="59"/>
    </row>
    <row r="64" spans="1:29" ht="12.75">
      <c r="A64" s="59"/>
      <c r="B64" s="59"/>
      <c r="C64" s="59"/>
      <c r="D64" s="1173"/>
      <c r="E64" s="59"/>
      <c r="F64" s="1173"/>
      <c r="G64" s="1174"/>
      <c r="H64" s="59"/>
      <c r="I64" s="59"/>
      <c r="J64" s="1173"/>
      <c r="K64" s="59"/>
      <c r="L64" s="1173"/>
      <c r="M64" s="59"/>
      <c r="N64" s="59"/>
      <c r="O64" s="59"/>
      <c r="P64" s="59"/>
      <c r="Q64" s="59"/>
      <c r="R64" s="59"/>
      <c r="S64" s="59"/>
      <c r="T64" s="59"/>
      <c r="U64" s="59"/>
      <c r="V64" s="59"/>
      <c r="W64" s="59"/>
      <c r="X64" s="59"/>
      <c r="Y64" s="59"/>
      <c r="Z64" s="59"/>
      <c r="AA64" s="59"/>
      <c r="AB64" s="59"/>
      <c r="AC64" s="59"/>
    </row>
    <row r="65" spans="1:29" ht="12.75">
      <c r="A65" s="59"/>
      <c r="B65" s="59"/>
      <c r="C65" s="59"/>
      <c r="D65" s="1173"/>
      <c r="E65" s="59"/>
      <c r="F65" s="1173"/>
      <c r="G65" s="1174"/>
      <c r="H65" s="59"/>
      <c r="I65" s="59"/>
      <c r="J65" s="1173"/>
      <c r="K65" s="59"/>
      <c r="L65" s="1173"/>
      <c r="M65" s="59"/>
      <c r="N65" s="59"/>
      <c r="O65" s="59"/>
      <c r="P65" s="59"/>
      <c r="Q65" s="59"/>
      <c r="R65" s="59"/>
      <c r="S65" s="59"/>
      <c r="T65" s="59"/>
      <c r="U65" s="59"/>
      <c r="V65" s="59"/>
      <c r="W65" s="59"/>
      <c r="X65" s="59"/>
      <c r="Y65" s="59"/>
      <c r="Z65" s="59"/>
      <c r="AA65" s="59"/>
      <c r="AB65" s="59"/>
      <c r="AC65" s="59"/>
    </row>
    <row r="66" spans="1:29" ht="12.75">
      <c r="A66" s="59"/>
      <c r="B66" s="59"/>
      <c r="C66" s="59"/>
      <c r="D66" s="1173"/>
      <c r="E66" s="59"/>
      <c r="F66" s="1173"/>
      <c r="G66" s="1174"/>
      <c r="H66" s="59"/>
      <c r="I66" s="59"/>
      <c r="J66" s="1173"/>
      <c r="K66" s="59"/>
      <c r="L66" s="1173"/>
      <c r="M66" s="59"/>
      <c r="N66" s="59"/>
      <c r="O66" s="59"/>
      <c r="P66" s="59"/>
      <c r="Q66" s="59"/>
      <c r="R66" s="59"/>
      <c r="S66" s="59"/>
      <c r="T66" s="59"/>
      <c r="U66" s="59"/>
      <c r="V66" s="59"/>
      <c r="W66" s="59"/>
      <c r="X66" s="59"/>
      <c r="Y66" s="59"/>
      <c r="Z66" s="59"/>
      <c r="AA66" s="59"/>
      <c r="AB66" s="59"/>
      <c r="AC66" s="59"/>
    </row>
    <row r="67" spans="1:29" ht="12.75">
      <c r="A67" s="59"/>
      <c r="B67" s="59"/>
      <c r="C67" s="59"/>
      <c r="D67" s="1173"/>
      <c r="E67" s="59"/>
      <c r="F67" s="1173"/>
      <c r="G67" s="1174"/>
      <c r="H67" s="59"/>
      <c r="I67" s="59"/>
      <c r="J67" s="1173"/>
      <c r="K67" s="59"/>
      <c r="L67" s="1173"/>
      <c r="M67" s="59"/>
      <c r="N67" s="59"/>
      <c r="O67" s="59"/>
      <c r="P67" s="59"/>
      <c r="Q67" s="59"/>
      <c r="R67" s="59"/>
      <c r="S67" s="59"/>
      <c r="T67" s="59"/>
      <c r="U67" s="59"/>
      <c r="V67" s="59"/>
      <c r="W67" s="59"/>
      <c r="X67" s="59"/>
      <c r="Y67" s="59"/>
      <c r="Z67" s="59"/>
      <c r="AA67" s="59"/>
      <c r="AB67" s="59"/>
      <c r="AC67" s="59"/>
    </row>
    <row r="68" spans="1:29" ht="12.75">
      <c r="A68" s="59"/>
      <c r="B68" s="59"/>
      <c r="C68" s="59"/>
      <c r="D68" s="1173"/>
      <c r="E68" s="59"/>
      <c r="F68" s="1173"/>
      <c r="G68" s="1174"/>
      <c r="H68" s="59"/>
      <c r="I68" s="59"/>
      <c r="J68" s="1173"/>
      <c r="K68" s="59"/>
      <c r="L68" s="1173"/>
      <c r="M68" s="59"/>
      <c r="N68" s="59"/>
      <c r="O68" s="59"/>
      <c r="P68" s="59"/>
      <c r="Q68" s="59"/>
      <c r="R68" s="59"/>
      <c r="S68" s="59"/>
      <c r="T68" s="59"/>
      <c r="U68" s="59"/>
      <c r="V68" s="59"/>
      <c r="W68" s="59"/>
      <c r="X68" s="59"/>
      <c r="Y68" s="59"/>
      <c r="Z68" s="59"/>
      <c r="AA68" s="59"/>
      <c r="AB68" s="59"/>
      <c r="AC68" s="59"/>
    </row>
    <row r="69" spans="1:29" ht="12.75">
      <c r="A69" s="59"/>
      <c r="B69" s="59"/>
      <c r="C69" s="59"/>
      <c r="D69" s="1173"/>
      <c r="E69" s="59"/>
      <c r="F69" s="1173"/>
      <c r="G69" s="1174"/>
      <c r="H69" s="59"/>
      <c r="I69" s="59"/>
      <c r="J69" s="1173"/>
      <c r="K69" s="59"/>
      <c r="L69" s="1173"/>
      <c r="M69" s="59"/>
      <c r="N69" s="59"/>
      <c r="O69" s="59"/>
      <c r="P69" s="59"/>
      <c r="Q69" s="59"/>
      <c r="R69" s="59"/>
      <c r="S69" s="59"/>
      <c r="T69" s="59"/>
      <c r="U69" s="59"/>
      <c r="V69" s="59"/>
      <c r="W69" s="59"/>
      <c r="X69" s="59"/>
      <c r="Y69" s="59"/>
      <c r="Z69" s="59"/>
      <c r="AA69" s="59"/>
      <c r="AB69" s="59"/>
      <c r="AC69" s="59"/>
    </row>
    <row r="70" spans="1:29" ht="12.75">
      <c r="A70" s="59"/>
      <c r="B70" s="59"/>
      <c r="C70" s="59"/>
      <c r="D70" s="1173"/>
      <c r="E70" s="59"/>
      <c r="F70" s="1173"/>
      <c r="G70" s="1174"/>
      <c r="H70" s="59"/>
      <c r="I70" s="59"/>
      <c r="J70" s="1173"/>
      <c r="K70" s="59"/>
      <c r="L70" s="1173"/>
      <c r="M70" s="59"/>
      <c r="N70" s="59"/>
      <c r="O70" s="59"/>
      <c r="P70" s="59"/>
      <c r="Q70" s="59"/>
      <c r="R70" s="59"/>
      <c r="S70" s="59"/>
      <c r="T70" s="59"/>
      <c r="U70" s="59"/>
      <c r="V70" s="59"/>
      <c r="W70" s="59"/>
      <c r="X70" s="59"/>
      <c r="Y70" s="59"/>
      <c r="Z70" s="59"/>
      <c r="AA70" s="59"/>
      <c r="AB70" s="59"/>
      <c r="AC70" s="59"/>
    </row>
    <row r="71" spans="1:29" ht="12.75">
      <c r="A71" s="59"/>
      <c r="B71" s="59"/>
      <c r="C71" s="59"/>
      <c r="D71" s="1173"/>
      <c r="E71" s="59"/>
      <c r="F71" s="1173"/>
      <c r="G71" s="1174"/>
      <c r="H71" s="59"/>
      <c r="I71" s="59"/>
      <c r="J71" s="1173"/>
      <c r="K71" s="59"/>
      <c r="L71" s="1173"/>
      <c r="M71" s="59"/>
      <c r="N71" s="59"/>
      <c r="O71" s="59"/>
      <c r="P71" s="59"/>
      <c r="Q71" s="59"/>
      <c r="R71" s="59"/>
      <c r="S71" s="59"/>
      <c r="T71" s="59"/>
      <c r="U71" s="59"/>
      <c r="V71" s="59"/>
      <c r="W71" s="59"/>
      <c r="X71" s="59"/>
      <c r="Y71" s="59"/>
      <c r="Z71" s="59"/>
      <c r="AA71" s="59"/>
      <c r="AB71" s="59"/>
      <c r="AC71" s="59"/>
    </row>
    <row r="72" spans="1:29" ht="12.75">
      <c r="A72" s="59"/>
      <c r="B72" s="59"/>
      <c r="C72" s="59"/>
      <c r="D72" s="1173"/>
      <c r="E72" s="59"/>
      <c r="F72" s="1173"/>
      <c r="G72" s="1174"/>
      <c r="H72" s="59"/>
      <c r="I72" s="59"/>
      <c r="J72" s="1173"/>
      <c r="K72" s="59"/>
      <c r="L72" s="1173"/>
      <c r="M72" s="59"/>
      <c r="N72" s="59"/>
      <c r="O72" s="59"/>
      <c r="P72" s="59"/>
      <c r="Q72" s="59"/>
      <c r="R72" s="59"/>
      <c r="S72" s="59"/>
      <c r="T72" s="59"/>
      <c r="U72" s="59"/>
      <c r="V72" s="59"/>
      <c r="W72" s="59"/>
      <c r="X72" s="59"/>
      <c r="Y72" s="59"/>
      <c r="Z72" s="59"/>
      <c r="AA72" s="59"/>
      <c r="AB72" s="59"/>
      <c r="AC72" s="59"/>
    </row>
    <row r="73" spans="1:29" ht="12.75">
      <c r="A73" s="59"/>
      <c r="B73" s="59"/>
      <c r="C73" s="59"/>
      <c r="D73" s="1173"/>
      <c r="E73" s="59"/>
      <c r="F73" s="1173"/>
      <c r="G73" s="1174"/>
      <c r="H73" s="59"/>
      <c r="I73" s="59"/>
      <c r="J73" s="1173"/>
      <c r="K73" s="59"/>
      <c r="L73" s="1173"/>
      <c r="M73" s="59"/>
      <c r="N73" s="59"/>
      <c r="O73" s="59"/>
      <c r="P73" s="59"/>
      <c r="Q73" s="59"/>
      <c r="R73" s="59"/>
      <c r="S73" s="59"/>
      <c r="T73" s="59"/>
      <c r="U73" s="59"/>
      <c r="V73" s="59"/>
      <c r="W73" s="59"/>
      <c r="X73" s="59"/>
      <c r="Y73" s="59"/>
      <c r="Z73" s="59"/>
      <c r="AA73" s="59"/>
      <c r="AB73" s="59"/>
      <c r="AC73" s="59"/>
    </row>
    <row r="74" spans="1:29" ht="12.75">
      <c r="A74" s="59"/>
      <c r="B74" s="59"/>
      <c r="C74" s="59"/>
      <c r="D74" s="1173"/>
      <c r="E74" s="59"/>
      <c r="F74" s="1173"/>
      <c r="G74" s="1174"/>
      <c r="H74" s="59"/>
      <c r="I74" s="59"/>
      <c r="J74" s="1173"/>
      <c r="K74" s="59"/>
      <c r="L74" s="1173"/>
      <c r="M74" s="59"/>
      <c r="N74" s="59"/>
      <c r="O74" s="59"/>
      <c r="P74" s="59"/>
      <c r="Q74" s="59"/>
      <c r="R74" s="59"/>
      <c r="S74" s="59"/>
      <c r="T74" s="59"/>
      <c r="U74" s="59"/>
      <c r="V74" s="59"/>
      <c r="W74" s="59"/>
      <c r="X74" s="59"/>
      <c r="Y74" s="59"/>
      <c r="Z74" s="59"/>
      <c r="AA74" s="59"/>
      <c r="AB74" s="59"/>
      <c r="AC74" s="59"/>
    </row>
    <row r="75" spans="1:29" ht="12.75">
      <c r="A75" s="59"/>
      <c r="B75" s="59"/>
      <c r="C75" s="59"/>
      <c r="D75" s="1173"/>
      <c r="E75" s="59"/>
      <c r="F75" s="1173"/>
      <c r="G75" s="1174"/>
      <c r="H75" s="59"/>
      <c r="I75" s="59"/>
      <c r="J75" s="1173"/>
      <c r="K75" s="59"/>
      <c r="L75" s="1173"/>
      <c r="M75" s="59"/>
      <c r="N75" s="59"/>
      <c r="O75" s="59"/>
      <c r="P75" s="59"/>
      <c r="Q75" s="59"/>
      <c r="R75" s="59"/>
      <c r="S75" s="59"/>
      <c r="T75" s="59"/>
      <c r="U75" s="59"/>
      <c r="V75" s="59"/>
      <c r="W75" s="59"/>
      <c r="X75" s="59"/>
      <c r="Y75" s="59"/>
      <c r="Z75" s="59"/>
      <c r="AA75" s="59"/>
      <c r="AB75" s="59"/>
      <c r="AC75" s="59"/>
    </row>
    <row r="76" spans="1:29" ht="12.75">
      <c r="A76" s="59"/>
      <c r="B76" s="59"/>
      <c r="C76" s="59"/>
      <c r="D76" s="1173"/>
      <c r="E76" s="59"/>
      <c r="F76" s="1173"/>
      <c r="G76" s="1174"/>
      <c r="H76" s="59"/>
      <c r="I76" s="59"/>
      <c r="J76" s="1173"/>
      <c r="K76" s="59"/>
      <c r="L76" s="1173"/>
      <c r="M76" s="59"/>
      <c r="N76" s="59"/>
      <c r="O76" s="59"/>
      <c r="P76" s="59"/>
      <c r="Q76" s="59"/>
      <c r="R76" s="59"/>
      <c r="S76" s="59"/>
      <c r="T76" s="59"/>
      <c r="U76" s="59"/>
      <c r="V76" s="59"/>
      <c r="W76" s="59"/>
      <c r="X76" s="59"/>
      <c r="Y76" s="59"/>
      <c r="Z76" s="59"/>
      <c r="AA76" s="59"/>
      <c r="AB76" s="59"/>
      <c r="AC76" s="59"/>
    </row>
    <row r="77" spans="1:29" ht="12.75">
      <c r="A77" s="59"/>
      <c r="B77" s="59"/>
      <c r="C77" s="59"/>
      <c r="D77" s="1173"/>
      <c r="E77" s="59"/>
      <c r="F77" s="1173"/>
      <c r="G77" s="1174"/>
      <c r="H77" s="59"/>
      <c r="I77" s="59"/>
      <c r="J77" s="1173"/>
      <c r="K77" s="59"/>
      <c r="L77" s="1173"/>
      <c r="M77" s="59"/>
      <c r="N77" s="59"/>
      <c r="O77" s="59"/>
      <c r="P77" s="59"/>
      <c r="Q77" s="59"/>
      <c r="R77" s="59"/>
      <c r="S77" s="59"/>
      <c r="T77" s="59"/>
      <c r="U77" s="59"/>
      <c r="V77" s="59"/>
      <c r="W77" s="59"/>
      <c r="X77" s="59"/>
      <c r="Y77" s="59"/>
      <c r="Z77" s="59"/>
      <c r="AA77" s="59"/>
      <c r="AB77" s="59"/>
      <c r="AC77" s="59"/>
    </row>
    <row r="78" spans="1:29" ht="12.75">
      <c r="A78" s="59"/>
      <c r="B78" s="59"/>
      <c r="C78" s="59"/>
      <c r="D78" s="1173"/>
      <c r="E78" s="59"/>
      <c r="F78" s="1173"/>
      <c r="G78" s="1174"/>
      <c r="H78" s="59"/>
      <c r="I78" s="59"/>
      <c r="J78" s="1173"/>
      <c r="K78" s="59"/>
      <c r="L78" s="1173"/>
      <c r="M78" s="59"/>
      <c r="N78" s="59"/>
      <c r="O78" s="59"/>
      <c r="P78" s="59"/>
      <c r="Q78" s="59"/>
      <c r="R78" s="59"/>
      <c r="S78" s="59"/>
      <c r="T78" s="59"/>
      <c r="U78" s="59"/>
      <c r="V78" s="59"/>
      <c r="W78" s="59"/>
      <c r="X78" s="59"/>
      <c r="Y78" s="59"/>
      <c r="Z78" s="59"/>
      <c r="AA78" s="59"/>
      <c r="AB78" s="59"/>
      <c r="AC78" s="59"/>
    </row>
    <row r="79" spans="1:29" ht="12.75">
      <c r="A79" s="59"/>
      <c r="B79" s="59"/>
      <c r="C79" s="59"/>
      <c r="D79" s="1173"/>
      <c r="E79" s="59"/>
      <c r="F79" s="1173"/>
      <c r="G79" s="1174"/>
      <c r="H79" s="59"/>
      <c r="I79" s="59"/>
      <c r="J79" s="1173"/>
      <c r="K79" s="59"/>
      <c r="L79" s="1173"/>
      <c r="M79" s="59"/>
      <c r="N79" s="59"/>
      <c r="O79" s="59"/>
      <c r="P79" s="59"/>
      <c r="Q79" s="59"/>
      <c r="R79" s="59"/>
      <c r="S79" s="59"/>
      <c r="T79" s="59"/>
      <c r="U79" s="59"/>
      <c r="V79" s="59"/>
      <c r="W79" s="59"/>
      <c r="X79" s="59"/>
      <c r="Y79" s="59"/>
      <c r="Z79" s="59"/>
      <c r="AA79" s="59"/>
      <c r="AB79" s="59"/>
      <c r="AC79" s="59"/>
    </row>
    <row r="80" spans="1:29" ht="12.75">
      <c r="A80" s="59"/>
      <c r="B80" s="59"/>
      <c r="C80" s="59"/>
      <c r="D80" s="1173"/>
      <c r="E80" s="59"/>
      <c r="F80" s="1173"/>
      <c r="G80" s="1174"/>
      <c r="H80" s="59"/>
      <c r="I80" s="59"/>
      <c r="J80" s="1173"/>
      <c r="K80" s="59"/>
      <c r="L80" s="1173"/>
      <c r="M80" s="59"/>
      <c r="N80" s="59"/>
      <c r="O80" s="59"/>
      <c r="P80" s="59"/>
      <c r="Q80" s="59"/>
      <c r="R80" s="59"/>
      <c r="S80" s="59"/>
      <c r="T80" s="59"/>
      <c r="U80" s="59"/>
      <c r="V80" s="59"/>
      <c r="W80" s="59"/>
      <c r="X80" s="59"/>
      <c r="Y80" s="59"/>
      <c r="Z80" s="59"/>
      <c r="AA80" s="59"/>
      <c r="AB80" s="59"/>
      <c r="AC80" s="59"/>
    </row>
    <row r="81" spans="1:29" ht="12.75">
      <c r="A81" s="59"/>
      <c r="B81" s="59"/>
      <c r="C81" s="59"/>
      <c r="D81" s="1173"/>
      <c r="E81" s="59"/>
      <c r="F81" s="1173"/>
      <c r="G81" s="1174"/>
      <c r="H81" s="59"/>
      <c r="I81" s="59"/>
      <c r="J81" s="1173"/>
      <c r="K81" s="59"/>
      <c r="L81" s="1173"/>
      <c r="M81" s="59"/>
      <c r="N81" s="59"/>
      <c r="O81" s="59"/>
      <c r="P81" s="59"/>
      <c r="Q81" s="59"/>
      <c r="R81" s="59"/>
      <c r="S81" s="59"/>
      <c r="T81" s="59"/>
      <c r="U81" s="59"/>
      <c r="V81" s="59"/>
      <c r="W81" s="59"/>
      <c r="X81" s="59"/>
      <c r="Y81" s="59"/>
      <c r="Z81" s="59"/>
      <c r="AA81" s="59"/>
      <c r="AB81" s="59"/>
      <c r="AC81" s="59"/>
    </row>
    <row r="82" spans="1:29" ht="12.75">
      <c r="A82" s="59"/>
      <c r="B82" s="59"/>
      <c r="C82" s="59"/>
      <c r="D82" s="1173"/>
      <c r="E82" s="59"/>
      <c r="F82" s="1173"/>
      <c r="G82" s="1174"/>
      <c r="H82" s="59"/>
      <c r="I82" s="59"/>
      <c r="J82" s="1173"/>
      <c r="K82" s="59"/>
      <c r="L82" s="1173"/>
      <c r="M82" s="59"/>
      <c r="N82" s="59"/>
      <c r="O82" s="59"/>
      <c r="P82" s="59"/>
      <c r="Q82" s="59"/>
      <c r="R82" s="59"/>
      <c r="S82" s="59"/>
      <c r="T82" s="59"/>
      <c r="U82" s="59"/>
      <c r="V82" s="59"/>
      <c r="W82" s="59"/>
      <c r="X82" s="59"/>
      <c r="Y82" s="59"/>
      <c r="Z82" s="59"/>
      <c r="AA82" s="59"/>
      <c r="AB82" s="59"/>
      <c r="AC82" s="59"/>
    </row>
    <row r="83" spans="1:29" ht="12.75">
      <c r="A83" s="59"/>
      <c r="B83" s="59"/>
      <c r="C83" s="59"/>
      <c r="D83" s="1173"/>
      <c r="E83" s="59"/>
      <c r="F83" s="1173"/>
      <c r="G83" s="1174"/>
      <c r="H83" s="59"/>
      <c r="I83" s="59"/>
      <c r="J83" s="1173"/>
      <c r="K83" s="59"/>
      <c r="L83" s="1173"/>
      <c r="M83" s="59"/>
      <c r="N83" s="59"/>
      <c r="O83" s="59"/>
      <c r="P83" s="59"/>
      <c r="Q83" s="59"/>
      <c r="R83" s="59"/>
      <c r="S83" s="59"/>
      <c r="T83" s="59"/>
      <c r="U83" s="59"/>
      <c r="V83" s="59"/>
      <c r="W83" s="59"/>
      <c r="X83" s="59"/>
      <c r="Y83" s="59"/>
      <c r="Z83" s="59"/>
      <c r="AA83" s="59"/>
      <c r="AB83" s="59"/>
      <c r="AC83" s="59"/>
    </row>
    <row r="84" spans="1:29" ht="12.75">
      <c r="A84" s="59"/>
      <c r="B84" s="59"/>
      <c r="C84" s="59"/>
      <c r="D84" s="1173"/>
      <c r="E84" s="59"/>
      <c r="F84" s="1173"/>
      <c r="G84" s="1174"/>
      <c r="H84" s="59"/>
      <c r="I84" s="59"/>
      <c r="J84" s="1173"/>
      <c r="K84" s="59"/>
      <c r="L84" s="1173"/>
      <c r="M84" s="59"/>
      <c r="N84" s="59"/>
      <c r="O84" s="59"/>
      <c r="P84" s="59"/>
      <c r="Q84" s="59"/>
      <c r="R84" s="59"/>
      <c r="S84" s="59"/>
      <c r="T84" s="59"/>
      <c r="U84" s="59"/>
      <c r="V84" s="59"/>
      <c r="W84" s="59"/>
      <c r="X84" s="59"/>
      <c r="Y84" s="59"/>
      <c r="Z84" s="59"/>
      <c r="AA84" s="59"/>
      <c r="AB84" s="59"/>
      <c r="AC84" s="59"/>
    </row>
    <row r="85" spans="1:29" ht="12.75">
      <c r="A85" s="59"/>
      <c r="B85" s="59"/>
      <c r="C85" s="59"/>
      <c r="D85" s="1173"/>
      <c r="E85" s="59"/>
      <c r="F85" s="1173"/>
      <c r="G85" s="1174"/>
      <c r="H85" s="59"/>
      <c r="I85" s="59"/>
      <c r="J85" s="1173"/>
      <c r="K85" s="59"/>
      <c r="L85" s="1173"/>
      <c r="M85" s="59"/>
      <c r="N85" s="59"/>
      <c r="O85" s="59"/>
      <c r="P85" s="59"/>
      <c r="Q85" s="59"/>
      <c r="R85" s="59"/>
      <c r="S85" s="59"/>
      <c r="T85" s="59"/>
      <c r="U85" s="59"/>
      <c r="V85" s="59"/>
      <c r="W85" s="59"/>
      <c r="X85" s="59"/>
      <c r="Y85" s="59"/>
      <c r="Z85" s="59"/>
      <c r="AA85" s="59"/>
      <c r="AB85" s="59"/>
      <c r="AC85" s="59"/>
    </row>
    <row r="86" spans="1:29" ht="12.75">
      <c r="A86" s="59"/>
      <c r="B86" s="59"/>
      <c r="C86" s="59"/>
      <c r="D86" s="1173"/>
      <c r="E86" s="59"/>
      <c r="F86" s="1173"/>
      <c r="G86" s="1174"/>
      <c r="H86" s="59"/>
      <c r="I86" s="59"/>
      <c r="J86" s="1173"/>
      <c r="K86" s="59"/>
      <c r="L86" s="1173"/>
      <c r="M86" s="59"/>
      <c r="N86" s="59"/>
      <c r="O86" s="59"/>
      <c r="P86" s="59"/>
      <c r="Q86" s="59"/>
      <c r="R86" s="59"/>
      <c r="S86" s="59"/>
      <c r="T86" s="59"/>
      <c r="U86" s="59"/>
      <c r="V86" s="59"/>
      <c r="W86" s="59"/>
      <c r="X86" s="59"/>
      <c r="Y86" s="59"/>
      <c r="Z86" s="59"/>
      <c r="AA86" s="59"/>
      <c r="AB86" s="59"/>
      <c r="AC86" s="59"/>
    </row>
    <row r="87" spans="1:29" ht="12.75">
      <c r="A87" s="59"/>
      <c r="B87" s="59"/>
      <c r="C87" s="59"/>
      <c r="D87" s="1173"/>
      <c r="E87" s="59"/>
      <c r="F87" s="1173"/>
      <c r="G87" s="1174"/>
      <c r="H87" s="59"/>
      <c r="I87" s="59"/>
      <c r="J87" s="1173"/>
      <c r="K87" s="59"/>
      <c r="L87" s="1173"/>
      <c r="M87" s="59"/>
      <c r="N87" s="59"/>
      <c r="O87" s="59"/>
      <c r="P87" s="59"/>
      <c r="Q87" s="59"/>
      <c r="R87" s="59"/>
      <c r="S87" s="59"/>
      <c r="T87" s="59"/>
      <c r="U87" s="59"/>
      <c r="V87" s="59"/>
      <c r="W87" s="59"/>
      <c r="X87" s="59"/>
      <c r="Y87" s="59"/>
      <c r="Z87" s="59"/>
      <c r="AA87" s="59"/>
      <c r="AB87" s="59"/>
      <c r="AC87" s="59"/>
    </row>
    <row r="88" spans="1:29" ht="12.75">
      <c r="A88" s="59"/>
      <c r="B88" s="59"/>
      <c r="C88" s="59"/>
      <c r="D88" s="1173"/>
      <c r="E88" s="59"/>
      <c r="F88" s="1173"/>
      <c r="G88" s="1174"/>
      <c r="H88" s="59"/>
      <c r="I88" s="59"/>
      <c r="J88" s="1173"/>
      <c r="K88" s="59"/>
      <c r="L88" s="1173"/>
      <c r="M88" s="59"/>
      <c r="N88" s="59"/>
      <c r="O88" s="59"/>
      <c r="P88" s="59"/>
      <c r="Q88" s="59"/>
      <c r="R88" s="59"/>
      <c r="S88" s="59"/>
      <c r="T88" s="59"/>
      <c r="U88" s="59"/>
      <c r="V88" s="59"/>
      <c r="W88" s="59"/>
      <c r="X88" s="59"/>
      <c r="Y88" s="59"/>
      <c r="Z88" s="59"/>
      <c r="AA88" s="59"/>
      <c r="AB88" s="59"/>
      <c r="AC88" s="59"/>
    </row>
    <row r="89" spans="1:29" ht="12.75">
      <c r="A89" s="59"/>
      <c r="B89" s="59"/>
      <c r="C89" s="59"/>
      <c r="D89" s="1173"/>
      <c r="E89" s="59"/>
      <c r="F89" s="1173"/>
      <c r="G89" s="1174"/>
      <c r="H89" s="59"/>
      <c r="I89" s="59"/>
      <c r="J89" s="1173"/>
      <c r="K89" s="59"/>
      <c r="L89" s="1173"/>
      <c r="M89" s="59"/>
      <c r="N89" s="59"/>
      <c r="O89" s="59"/>
      <c r="P89" s="59"/>
      <c r="Q89" s="59"/>
      <c r="R89" s="59"/>
      <c r="S89" s="59"/>
      <c r="T89" s="59"/>
      <c r="U89" s="59"/>
      <c r="V89" s="59"/>
      <c r="W89" s="59"/>
      <c r="X89" s="59"/>
      <c r="Y89" s="59"/>
      <c r="Z89" s="59"/>
      <c r="AA89" s="59"/>
      <c r="AB89" s="59"/>
      <c r="AC89" s="59"/>
    </row>
    <row r="90" spans="1:29" ht="12.75">
      <c r="A90" s="59"/>
      <c r="B90" s="59"/>
      <c r="C90" s="59"/>
      <c r="D90" s="1173"/>
      <c r="E90" s="59"/>
      <c r="F90" s="1173"/>
      <c r="G90" s="1174"/>
      <c r="H90" s="59"/>
      <c r="I90" s="59"/>
      <c r="J90" s="1173"/>
      <c r="K90" s="59"/>
      <c r="L90" s="1173"/>
      <c r="M90" s="59"/>
      <c r="N90" s="59"/>
      <c r="O90" s="59"/>
      <c r="P90" s="59"/>
      <c r="Q90" s="59"/>
      <c r="R90" s="59"/>
      <c r="S90" s="59"/>
      <c r="T90" s="59"/>
      <c r="U90" s="59"/>
      <c r="V90" s="59"/>
      <c r="W90" s="59"/>
      <c r="X90" s="59"/>
      <c r="Y90" s="59"/>
      <c r="Z90" s="59"/>
      <c r="AA90" s="59"/>
      <c r="AB90" s="59"/>
      <c r="AC90" s="59"/>
    </row>
    <row r="91" spans="1:29" ht="12.75">
      <c r="A91" s="59"/>
      <c r="B91" s="59"/>
      <c r="C91" s="59"/>
      <c r="D91" s="1173"/>
      <c r="E91" s="59"/>
      <c r="F91" s="1173"/>
      <c r="G91" s="1174"/>
      <c r="H91" s="59"/>
      <c r="I91" s="59"/>
      <c r="J91" s="1173"/>
      <c r="K91" s="59"/>
      <c r="L91" s="1173"/>
      <c r="M91" s="59"/>
      <c r="N91" s="59"/>
      <c r="O91" s="59"/>
      <c r="P91" s="59"/>
      <c r="Q91" s="59"/>
      <c r="R91" s="59"/>
      <c r="S91" s="59"/>
      <c r="T91" s="59"/>
      <c r="U91" s="59"/>
      <c r="V91" s="59"/>
      <c r="W91" s="59"/>
      <c r="X91" s="59"/>
      <c r="Y91" s="59"/>
      <c r="Z91" s="59"/>
      <c r="AA91" s="59"/>
      <c r="AB91" s="59"/>
      <c r="AC91" s="59"/>
    </row>
    <row r="92" spans="1:29" ht="12.75">
      <c r="A92" s="59"/>
      <c r="B92" s="59"/>
      <c r="C92" s="59"/>
      <c r="D92" s="1173"/>
      <c r="E92" s="59"/>
      <c r="F92" s="1173"/>
      <c r="G92" s="1174"/>
      <c r="H92" s="59"/>
      <c r="I92" s="59"/>
      <c r="J92" s="1173"/>
      <c r="K92" s="59"/>
      <c r="L92" s="1173"/>
      <c r="M92" s="59"/>
      <c r="N92" s="59"/>
      <c r="O92" s="59"/>
      <c r="P92" s="59"/>
      <c r="Q92" s="59"/>
      <c r="R92" s="59"/>
      <c r="S92" s="59"/>
      <c r="T92" s="59"/>
      <c r="U92" s="59"/>
      <c r="V92" s="59"/>
      <c r="W92" s="59"/>
      <c r="X92" s="59"/>
      <c r="Y92" s="59"/>
      <c r="Z92" s="59"/>
      <c r="AA92" s="59"/>
      <c r="AB92" s="59"/>
      <c r="AC92" s="59"/>
    </row>
    <row r="93" spans="1:29" ht="12.75">
      <c r="A93" s="59"/>
      <c r="B93" s="59"/>
      <c r="C93" s="59"/>
      <c r="D93" s="1173"/>
      <c r="E93" s="59"/>
      <c r="F93" s="1173"/>
      <c r="G93" s="1174"/>
      <c r="H93" s="59"/>
      <c r="I93" s="59"/>
      <c r="J93" s="1173"/>
      <c r="K93" s="59"/>
      <c r="L93" s="1173"/>
      <c r="M93" s="59"/>
      <c r="N93" s="59"/>
      <c r="O93" s="59"/>
      <c r="P93" s="59"/>
      <c r="Q93" s="59"/>
      <c r="R93" s="59"/>
      <c r="S93" s="59"/>
      <c r="T93" s="59"/>
      <c r="U93" s="59"/>
      <c r="V93" s="59"/>
      <c r="W93" s="59"/>
      <c r="X93" s="59"/>
      <c r="Y93" s="59"/>
      <c r="Z93" s="59"/>
      <c r="AA93" s="59"/>
      <c r="AB93" s="59"/>
      <c r="AC93" s="59"/>
    </row>
    <row r="94" spans="1:29" ht="12.75">
      <c r="A94" s="59"/>
      <c r="B94" s="59"/>
      <c r="C94" s="59"/>
      <c r="D94" s="1173"/>
      <c r="E94" s="59"/>
      <c r="F94" s="1173"/>
      <c r="G94" s="1174"/>
      <c r="H94" s="59"/>
      <c r="I94" s="59"/>
      <c r="J94" s="1173"/>
      <c r="K94" s="59"/>
      <c r="L94" s="1173"/>
      <c r="M94" s="59"/>
      <c r="N94" s="59"/>
      <c r="O94" s="59"/>
      <c r="P94" s="59"/>
      <c r="Q94" s="59"/>
      <c r="R94" s="59"/>
      <c r="S94" s="59"/>
      <c r="T94" s="59"/>
      <c r="U94" s="59"/>
      <c r="V94" s="59"/>
      <c r="W94" s="59"/>
      <c r="X94" s="59"/>
      <c r="Y94" s="59"/>
      <c r="Z94" s="59"/>
      <c r="AA94" s="59"/>
      <c r="AB94" s="59"/>
      <c r="AC94" s="59"/>
    </row>
    <row r="95" spans="1:29" ht="12.75">
      <c r="A95" s="59"/>
      <c r="B95" s="59"/>
      <c r="C95" s="59"/>
      <c r="D95" s="1173"/>
      <c r="E95" s="59"/>
      <c r="F95" s="1173"/>
      <c r="G95" s="1174"/>
      <c r="H95" s="59"/>
      <c r="I95" s="59"/>
      <c r="J95" s="1173"/>
      <c r="K95" s="59"/>
      <c r="L95" s="1173"/>
      <c r="M95" s="59"/>
      <c r="N95" s="59"/>
      <c r="O95" s="59"/>
      <c r="P95" s="59"/>
      <c r="Q95" s="59"/>
      <c r="R95" s="59"/>
      <c r="S95" s="59"/>
      <c r="T95" s="59"/>
      <c r="U95" s="59"/>
      <c r="V95" s="59"/>
      <c r="W95" s="59"/>
      <c r="X95" s="59"/>
      <c r="Y95" s="59"/>
      <c r="Z95" s="59"/>
      <c r="AA95" s="59"/>
      <c r="AB95" s="59"/>
      <c r="AC95" s="59"/>
    </row>
    <row r="96" spans="1:29" ht="12.75">
      <c r="A96" s="59"/>
      <c r="B96" s="59"/>
      <c r="C96" s="59"/>
      <c r="D96" s="1173"/>
      <c r="E96" s="59"/>
      <c r="F96" s="1173"/>
      <c r="G96" s="1174"/>
      <c r="H96" s="59"/>
      <c r="I96" s="59"/>
      <c r="J96" s="1173"/>
      <c r="K96" s="59"/>
      <c r="L96" s="1173"/>
      <c r="M96" s="59"/>
      <c r="N96" s="59"/>
      <c r="O96" s="59"/>
      <c r="P96" s="59"/>
      <c r="Q96" s="59"/>
      <c r="R96" s="59"/>
      <c r="S96" s="59"/>
      <c r="T96" s="59"/>
      <c r="U96" s="59"/>
      <c r="V96" s="59"/>
      <c r="W96" s="59"/>
      <c r="X96" s="59"/>
      <c r="Y96" s="59"/>
      <c r="Z96" s="59"/>
      <c r="AA96" s="59"/>
      <c r="AB96" s="59"/>
      <c r="AC96" s="59"/>
    </row>
    <row r="97" spans="1:29" ht="12.75">
      <c r="A97" s="59"/>
      <c r="B97" s="59"/>
      <c r="C97" s="59"/>
      <c r="D97" s="1173"/>
      <c r="E97" s="59"/>
      <c r="F97" s="1173"/>
      <c r="G97" s="1174"/>
      <c r="H97" s="59"/>
      <c r="I97" s="59"/>
      <c r="J97" s="1173"/>
      <c r="K97" s="59"/>
      <c r="L97" s="1173"/>
      <c r="M97" s="59"/>
      <c r="N97" s="59"/>
      <c r="O97" s="59"/>
      <c r="P97" s="59"/>
      <c r="Q97" s="59"/>
      <c r="R97" s="59"/>
      <c r="S97" s="59"/>
      <c r="T97" s="59"/>
      <c r="U97" s="59"/>
      <c r="V97" s="59"/>
      <c r="W97" s="59"/>
      <c r="X97" s="59"/>
      <c r="Y97" s="59"/>
      <c r="Z97" s="59"/>
      <c r="AA97" s="59"/>
      <c r="AB97" s="59"/>
      <c r="AC97" s="59"/>
    </row>
    <row r="98" spans="1:29" ht="12.75">
      <c r="A98" s="59"/>
      <c r="B98" s="59"/>
      <c r="C98" s="59"/>
      <c r="D98" s="1173"/>
      <c r="E98" s="59"/>
      <c r="F98" s="1173"/>
      <c r="G98" s="1174"/>
      <c r="H98" s="59"/>
      <c r="I98" s="59"/>
      <c r="J98" s="1173"/>
      <c r="K98" s="59"/>
      <c r="L98" s="1173"/>
      <c r="M98" s="59"/>
      <c r="N98" s="59"/>
      <c r="O98" s="59"/>
      <c r="P98" s="59"/>
      <c r="Q98" s="59"/>
      <c r="R98" s="59"/>
      <c r="S98" s="59"/>
      <c r="T98" s="59"/>
      <c r="U98" s="59"/>
      <c r="V98" s="59"/>
      <c r="W98" s="59"/>
      <c r="X98" s="59"/>
      <c r="Y98" s="59"/>
      <c r="Z98" s="59"/>
      <c r="AA98" s="59"/>
      <c r="AB98" s="59"/>
      <c r="AC98" s="59"/>
    </row>
    <row r="99" spans="1:29" ht="12.75">
      <c r="A99" s="59"/>
      <c r="B99" s="59"/>
      <c r="C99" s="59"/>
      <c r="D99" s="1173"/>
      <c r="E99" s="59"/>
      <c r="F99" s="1173"/>
      <c r="G99" s="1174"/>
      <c r="H99" s="59"/>
      <c r="I99" s="59"/>
      <c r="J99" s="1173"/>
      <c r="K99" s="59"/>
      <c r="L99" s="1173"/>
      <c r="M99" s="59"/>
      <c r="N99" s="59"/>
      <c r="O99" s="59"/>
      <c r="P99" s="59"/>
      <c r="Q99" s="59"/>
      <c r="R99" s="59"/>
      <c r="S99" s="59"/>
      <c r="T99" s="59"/>
      <c r="U99" s="59"/>
      <c r="V99" s="59"/>
      <c r="W99" s="59"/>
      <c r="X99" s="59"/>
      <c r="Y99" s="59"/>
      <c r="Z99" s="59"/>
      <c r="AA99" s="59"/>
      <c r="AB99" s="59"/>
      <c r="AC99" s="59"/>
    </row>
    <row r="100" spans="1:29" ht="12.75">
      <c r="A100" s="59"/>
      <c r="B100" s="59"/>
      <c r="C100" s="59"/>
      <c r="D100" s="1173"/>
      <c r="E100" s="59"/>
      <c r="F100" s="1173"/>
      <c r="G100" s="1174"/>
      <c r="H100" s="59"/>
      <c r="I100" s="59"/>
      <c r="J100" s="1173"/>
      <c r="K100" s="59"/>
      <c r="L100" s="1173"/>
      <c r="M100" s="59"/>
      <c r="N100" s="59"/>
      <c r="O100" s="59"/>
      <c r="P100" s="59"/>
      <c r="Q100" s="59"/>
      <c r="R100" s="59"/>
      <c r="S100" s="59"/>
      <c r="T100" s="59"/>
      <c r="U100" s="59"/>
      <c r="V100" s="59"/>
      <c r="W100" s="59"/>
      <c r="X100" s="59"/>
      <c r="Y100" s="59"/>
      <c r="Z100" s="59"/>
      <c r="AA100" s="59"/>
      <c r="AB100" s="59"/>
      <c r="AC100" s="59"/>
    </row>
    <row r="101" spans="1:29" ht="12.75">
      <c r="A101" s="59"/>
      <c r="B101" s="59"/>
      <c r="C101" s="59"/>
      <c r="D101" s="1173"/>
      <c r="E101" s="59"/>
      <c r="F101" s="1173"/>
      <c r="G101" s="1174"/>
      <c r="H101" s="59"/>
      <c r="I101" s="59"/>
      <c r="J101" s="1173"/>
      <c r="K101" s="59"/>
      <c r="L101" s="1173"/>
      <c r="M101" s="59"/>
      <c r="N101" s="59"/>
      <c r="O101" s="59"/>
      <c r="P101" s="59"/>
      <c r="Q101" s="59"/>
      <c r="R101" s="59"/>
      <c r="S101" s="59"/>
      <c r="T101" s="59"/>
      <c r="U101" s="59"/>
      <c r="V101" s="59"/>
      <c r="W101" s="59"/>
      <c r="X101" s="59"/>
      <c r="Y101" s="59"/>
      <c r="Z101" s="59"/>
      <c r="AA101" s="59"/>
      <c r="AB101" s="59"/>
      <c r="AC101" s="59"/>
    </row>
    <row r="102" spans="1:29" ht="12.75">
      <c r="A102" s="59"/>
      <c r="B102" s="59"/>
      <c r="C102" s="59"/>
      <c r="D102" s="1173"/>
      <c r="E102" s="59"/>
      <c r="F102" s="1173"/>
      <c r="G102" s="1174"/>
      <c r="H102" s="59"/>
      <c r="I102" s="59"/>
      <c r="J102" s="1173"/>
      <c r="K102" s="59"/>
      <c r="L102" s="1173"/>
      <c r="M102" s="59"/>
      <c r="N102" s="59"/>
      <c r="O102" s="59"/>
      <c r="P102" s="59"/>
      <c r="Q102" s="59"/>
      <c r="R102" s="59"/>
      <c r="S102" s="59"/>
      <c r="T102" s="59"/>
      <c r="U102" s="59"/>
      <c r="V102" s="59"/>
      <c r="W102" s="59"/>
      <c r="X102" s="59"/>
      <c r="Y102" s="59"/>
      <c r="Z102" s="59"/>
      <c r="AA102" s="59"/>
      <c r="AB102" s="59"/>
      <c r="AC102" s="59"/>
    </row>
    <row r="103" spans="1:29" ht="12.75">
      <c r="A103" s="59"/>
      <c r="B103" s="59"/>
      <c r="C103" s="59"/>
      <c r="D103" s="1173"/>
      <c r="E103" s="59"/>
      <c r="F103" s="1173"/>
      <c r="G103" s="1174"/>
      <c r="H103" s="59"/>
      <c r="I103" s="59"/>
      <c r="J103" s="1173"/>
      <c r="K103" s="59"/>
      <c r="L103" s="1173"/>
      <c r="M103" s="59"/>
      <c r="N103" s="59"/>
      <c r="O103" s="59"/>
      <c r="P103" s="59"/>
      <c r="Q103" s="59"/>
      <c r="R103" s="59"/>
      <c r="S103" s="59"/>
      <c r="T103" s="59"/>
      <c r="U103" s="59"/>
      <c r="V103" s="59"/>
      <c r="W103" s="59"/>
      <c r="X103" s="59"/>
      <c r="Y103" s="59"/>
      <c r="Z103" s="59"/>
      <c r="AA103" s="59"/>
      <c r="AB103" s="59"/>
      <c r="AC103" s="59"/>
    </row>
    <row r="104" spans="1:29" ht="12.75">
      <c r="A104" s="59"/>
      <c r="B104" s="59"/>
      <c r="C104" s="59"/>
      <c r="D104" s="1173"/>
      <c r="E104" s="59"/>
      <c r="F104" s="1173"/>
      <c r="G104" s="1174"/>
      <c r="H104" s="59"/>
      <c r="I104" s="59"/>
      <c r="J104" s="1173"/>
      <c r="K104" s="59"/>
      <c r="L104" s="1173"/>
      <c r="M104" s="59"/>
      <c r="N104" s="59"/>
      <c r="O104" s="59"/>
      <c r="P104" s="59"/>
      <c r="Q104" s="59"/>
      <c r="R104" s="59"/>
      <c r="S104" s="59"/>
      <c r="T104" s="59"/>
      <c r="U104" s="59"/>
      <c r="V104" s="59"/>
      <c r="W104" s="59"/>
      <c r="X104" s="59"/>
      <c r="Y104" s="59"/>
      <c r="Z104" s="59"/>
      <c r="AA104" s="59"/>
      <c r="AB104" s="59"/>
      <c r="AC104" s="59"/>
    </row>
    <row r="105" spans="1:29" ht="12.75">
      <c r="A105" s="59"/>
      <c r="B105" s="59"/>
      <c r="C105" s="59"/>
      <c r="D105" s="1173"/>
      <c r="E105" s="59"/>
      <c r="F105" s="1173"/>
      <c r="G105" s="1174"/>
      <c r="H105" s="59"/>
      <c r="I105" s="59"/>
      <c r="J105" s="1173"/>
      <c r="K105" s="59"/>
      <c r="L105" s="1173"/>
      <c r="M105" s="59"/>
      <c r="N105" s="59"/>
      <c r="O105" s="59"/>
      <c r="P105" s="59"/>
      <c r="Q105" s="59"/>
      <c r="R105" s="59"/>
      <c r="S105" s="59"/>
      <c r="T105" s="59"/>
      <c r="U105" s="59"/>
      <c r="V105" s="59"/>
      <c r="W105" s="59"/>
      <c r="X105" s="59"/>
      <c r="Y105" s="59"/>
      <c r="Z105" s="59"/>
      <c r="AA105" s="59"/>
      <c r="AB105" s="59"/>
      <c r="AC105" s="59"/>
    </row>
    <row r="106" spans="1:29" ht="12.75">
      <c r="A106" s="59"/>
      <c r="B106" s="59"/>
      <c r="C106" s="59"/>
      <c r="D106" s="1173"/>
      <c r="E106" s="59"/>
      <c r="F106" s="1173"/>
      <c r="G106" s="1174"/>
      <c r="H106" s="59"/>
      <c r="I106" s="59"/>
      <c r="J106" s="1173"/>
      <c r="K106" s="59"/>
      <c r="L106" s="1173"/>
      <c r="M106" s="59"/>
      <c r="N106" s="59"/>
      <c r="O106" s="59"/>
      <c r="P106" s="59"/>
      <c r="Q106" s="59"/>
      <c r="R106" s="59"/>
      <c r="S106" s="59"/>
      <c r="T106" s="59"/>
      <c r="U106" s="59"/>
      <c r="V106" s="59"/>
      <c r="W106" s="59"/>
      <c r="X106" s="59"/>
      <c r="Y106" s="59"/>
      <c r="Z106" s="59"/>
      <c r="AA106" s="59"/>
      <c r="AB106" s="59"/>
      <c r="AC106" s="59"/>
    </row>
    <row r="107" spans="1:29" ht="12.75">
      <c r="A107" s="59"/>
      <c r="B107" s="59"/>
      <c r="C107" s="59"/>
      <c r="D107" s="1173"/>
      <c r="E107" s="59"/>
      <c r="F107" s="1173"/>
      <c r="G107" s="1174"/>
      <c r="H107" s="59"/>
      <c r="I107" s="59"/>
      <c r="J107" s="1173"/>
      <c r="K107" s="59"/>
      <c r="L107" s="1173"/>
      <c r="M107" s="59"/>
      <c r="N107" s="59"/>
      <c r="O107" s="59"/>
      <c r="P107" s="59"/>
      <c r="Q107" s="59"/>
      <c r="R107" s="59"/>
      <c r="S107" s="59"/>
      <c r="T107" s="59"/>
      <c r="U107" s="59"/>
      <c r="V107" s="59"/>
      <c r="W107" s="59"/>
      <c r="X107" s="59"/>
      <c r="Y107" s="59"/>
      <c r="Z107" s="59"/>
      <c r="AA107" s="59"/>
      <c r="AB107" s="59"/>
      <c r="AC107" s="59"/>
    </row>
    <row r="108" spans="1:29" ht="12.75">
      <c r="A108" s="59"/>
      <c r="B108" s="59"/>
      <c r="C108" s="59"/>
      <c r="D108" s="1173"/>
      <c r="E108" s="59"/>
      <c r="F108" s="1173"/>
      <c r="G108" s="1174"/>
      <c r="H108" s="59"/>
      <c r="I108" s="59"/>
      <c r="J108" s="1173"/>
      <c r="K108" s="59"/>
      <c r="L108" s="1173"/>
      <c r="M108" s="59"/>
      <c r="N108" s="59"/>
      <c r="O108" s="59"/>
      <c r="P108" s="59"/>
      <c r="Q108" s="59"/>
      <c r="R108" s="59"/>
      <c r="S108" s="59"/>
      <c r="T108" s="59"/>
      <c r="U108" s="59"/>
      <c r="V108" s="59"/>
      <c r="W108" s="59"/>
      <c r="X108" s="59"/>
      <c r="Y108" s="59"/>
      <c r="Z108" s="59"/>
      <c r="AA108" s="59"/>
      <c r="AB108" s="59"/>
      <c r="AC108" s="59"/>
    </row>
    <row r="109" spans="1:29" ht="12.75">
      <c r="A109" s="59"/>
      <c r="B109" s="59"/>
      <c r="C109" s="59"/>
      <c r="D109" s="1173"/>
      <c r="E109" s="59"/>
      <c r="F109" s="1173"/>
      <c r="G109" s="1174"/>
      <c r="H109" s="59"/>
      <c r="I109" s="59"/>
      <c r="J109" s="1173"/>
      <c r="K109" s="59"/>
      <c r="L109" s="1173"/>
      <c r="M109" s="59"/>
      <c r="N109" s="59"/>
      <c r="O109" s="59"/>
      <c r="P109" s="59"/>
      <c r="Q109" s="59"/>
      <c r="R109" s="59"/>
      <c r="S109" s="59"/>
      <c r="T109" s="59"/>
      <c r="U109" s="59"/>
      <c r="V109" s="59"/>
      <c r="W109" s="59"/>
      <c r="X109" s="59"/>
      <c r="Y109" s="59"/>
      <c r="Z109" s="59"/>
      <c r="AA109" s="59"/>
      <c r="AB109" s="59"/>
      <c r="AC109" s="59"/>
    </row>
    <row r="110" spans="1:29" ht="12.75">
      <c r="A110" s="59"/>
      <c r="B110" s="59"/>
      <c r="C110" s="59"/>
      <c r="D110" s="1173"/>
      <c r="E110" s="59"/>
      <c r="F110" s="1173"/>
      <c r="G110" s="1174"/>
      <c r="H110" s="59"/>
      <c r="I110" s="59"/>
      <c r="J110" s="1173"/>
      <c r="K110" s="59"/>
      <c r="L110" s="1173"/>
      <c r="M110" s="59"/>
      <c r="N110" s="59"/>
      <c r="O110" s="59"/>
      <c r="P110" s="59"/>
      <c r="Q110" s="59"/>
      <c r="R110" s="59"/>
      <c r="S110" s="59"/>
      <c r="T110" s="59"/>
      <c r="U110" s="59"/>
      <c r="V110" s="59"/>
      <c r="W110" s="59"/>
      <c r="X110" s="59"/>
      <c r="Y110" s="59"/>
      <c r="Z110" s="59"/>
      <c r="AA110" s="59"/>
      <c r="AB110" s="59"/>
      <c r="AC110" s="59"/>
    </row>
    <row r="111" spans="1:29" ht="12.75">
      <c r="A111" s="59"/>
      <c r="B111" s="59"/>
      <c r="C111" s="59"/>
      <c r="D111" s="1173"/>
      <c r="E111" s="59"/>
      <c r="F111" s="1173"/>
      <c r="G111" s="1174"/>
      <c r="H111" s="59"/>
      <c r="I111" s="59"/>
      <c r="J111" s="1173"/>
      <c r="K111" s="59"/>
      <c r="L111" s="1173"/>
      <c r="M111" s="59"/>
      <c r="N111" s="59"/>
      <c r="O111" s="59"/>
      <c r="P111" s="59"/>
      <c r="Q111" s="59"/>
      <c r="R111" s="59"/>
      <c r="S111" s="59"/>
      <c r="T111" s="59"/>
      <c r="U111" s="59"/>
      <c r="V111" s="59"/>
      <c r="W111" s="59"/>
      <c r="X111" s="59"/>
      <c r="Y111" s="59"/>
      <c r="Z111" s="59"/>
      <c r="AA111" s="59"/>
      <c r="AB111" s="59"/>
      <c r="AC111" s="59"/>
    </row>
    <row r="112" spans="1:29" ht="12.75">
      <c r="A112" s="59"/>
      <c r="B112" s="59"/>
      <c r="C112" s="59"/>
      <c r="D112" s="1173"/>
      <c r="E112" s="59"/>
      <c r="F112" s="1173"/>
      <c r="G112" s="1174"/>
      <c r="H112" s="59"/>
      <c r="I112" s="59"/>
      <c r="J112" s="1173"/>
      <c r="K112" s="59"/>
      <c r="L112" s="1173"/>
      <c r="M112" s="59"/>
      <c r="N112" s="59"/>
      <c r="O112" s="59"/>
      <c r="P112" s="59"/>
      <c r="Q112" s="59"/>
      <c r="R112" s="59"/>
      <c r="S112" s="59"/>
      <c r="T112" s="59"/>
      <c r="U112" s="59"/>
      <c r="V112" s="59"/>
      <c r="W112" s="59"/>
      <c r="X112" s="59"/>
      <c r="Y112" s="59"/>
      <c r="Z112" s="59"/>
      <c r="AA112" s="59"/>
      <c r="AB112" s="59"/>
      <c r="AC112" s="59"/>
    </row>
    <row r="113" spans="1:29" ht="12.75">
      <c r="A113" s="59"/>
      <c r="B113" s="59"/>
      <c r="C113" s="59"/>
      <c r="D113" s="1173"/>
      <c r="E113" s="59"/>
      <c r="F113" s="1173"/>
      <c r="G113" s="1174"/>
      <c r="H113" s="59"/>
      <c r="I113" s="59"/>
      <c r="J113" s="1173"/>
      <c r="K113" s="59"/>
      <c r="L113" s="1173"/>
      <c r="M113" s="59"/>
      <c r="N113" s="59"/>
      <c r="O113" s="59"/>
      <c r="P113" s="59"/>
      <c r="Q113" s="59"/>
      <c r="R113" s="59"/>
      <c r="S113" s="59"/>
      <c r="T113" s="59"/>
      <c r="U113" s="59"/>
      <c r="V113" s="59"/>
      <c r="W113" s="59"/>
      <c r="X113" s="59"/>
      <c r="Y113" s="59"/>
      <c r="Z113" s="59"/>
      <c r="AA113" s="59"/>
      <c r="AB113" s="59"/>
      <c r="AC113" s="59"/>
    </row>
    <row r="114" spans="1:29" ht="12.75">
      <c r="A114" s="59"/>
      <c r="B114" s="59"/>
      <c r="C114" s="59"/>
      <c r="D114" s="1173"/>
      <c r="E114" s="59"/>
      <c r="F114" s="1173"/>
      <c r="G114" s="1174"/>
      <c r="H114" s="59"/>
      <c r="I114" s="59"/>
      <c r="J114" s="1173"/>
      <c r="K114" s="59"/>
      <c r="L114" s="1173"/>
      <c r="M114" s="59"/>
      <c r="N114" s="59"/>
      <c r="O114" s="59"/>
      <c r="P114" s="59"/>
      <c r="Q114" s="59"/>
      <c r="R114" s="59"/>
      <c r="S114" s="59"/>
      <c r="T114" s="59"/>
      <c r="U114" s="59"/>
      <c r="V114" s="59"/>
      <c r="W114" s="59"/>
      <c r="X114" s="59"/>
      <c r="Y114" s="59"/>
      <c r="Z114" s="59"/>
      <c r="AA114" s="59"/>
      <c r="AB114" s="59"/>
      <c r="AC114" s="59"/>
    </row>
    <row r="115" spans="1:29" ht="12.75">
      <c r="A115" s="59"/>
      <c r="B115" s="59"/>
      <c r="C115" s="59"/>
      <c r="D115" s="1173"/>
      <c r="E115" s="59"/>
      <c r="F115" s="1173"/>
      <c r="G115" s="1174"/>
      <c r="H115" s="59"/>
      <c r="I115" s="59"/>
      <c r="J115" s="1173"/>
      <c r="K115" s="59"/>
      <c r="L115" s="1173"/>
      <c r="M115" s="59"/>
      <c r="N115" s="59"/>
      <c r="O115" s="59"/>
      <c r="P115" s="59"/>
      <c r="Q115" s="59"/>
      <c r="R115" s="59"/>
      <c r="S115" s="59"/>
      <c r="T115" s="59"/>
      <c r="U115" s="59"/>
      <c r="V115" s="59"/>
      <c r="W115" s="59"/>
      <c r="X115" s="59"/>
      <c r="Y115" s="59"/>
      <c r="Z115" s="59"/>
      <c r="AA115" s="59"/>
      <c r="AB115" s="59"/>
      <c r="AC115" s="59"/>
    </row>
    <row r="116" spans="1:29" ht="12.75">
      <c r="A116" s="59"/>
      <c r="B116" s="59"/>
      <c r="C116" s="59"/>
      <c r="D116" s="1173"/>
      <c r="E116" s="59"/>
      <c r="F116" s="1173"/>
      <c r="G116" s="1174"/>
      <c r="H116" s="59"/>
      <c r="I116" s="59"/>
      <c r="J116" s="1173"/>
      <c r="K116" s="59"/>
      <c r="L116" s="1173"/>
      <c r="M116" s="59"/>
      <c r="N116" s="59"/>
      <c r="O116" s="59"/>
      <c r="P116" s="59"/>
      <c r="Q116" s="59"/>
      <c r="R116" s="59"/>
      <c r="S116" s="59"/>
      <c r="T116" s="59"/>
      <c r="U116" s="59"/>
      <c r="V116" s="59"/>
      <c r="W116" s="59"/>
      <c r="X116" s="59"/>
      <c r="Y116" s="59"/>
      <c r="Z116" s="59"/>
      <c r="AA116" s="59"/>
      <c r="AB116" s="59"/>
      <c r="AC116" s="59"/>
    </row>
    <row r="117" spans="1:29" ht="12.75">
      <c r="A117" s="59"/>
      <c r="B117" s="59"/>
      <c r="C117" s="59"/>
      <c r="D117" s="1173"/>
      <c r="E117" s="59"/>
      <c r="F117" s="1173"/>
      <c r="G117" s="1174"/>
      <c r="H117" s="59"/>
      <c r="I117" s="59"/>
      <c r="J117" s="1173"/>
      <c r="K117" s="59"/>
      <c r="L117" s="1173"/>
      <c r="M117" s="59"/>
      <c r="N117" s="59"/>
      <c r="O117" s="59"/>
      <c r="P117" s="59"/>
      <c r="Q117" s="59"/>
      <c r="R117" s="59"/>
      <c r="S117" s="59"/>
      <c r="T117" s="59"/>
      <c r="U117" s="59"/>
      <c r="V117" s="59"/>
      <c r="W117" s="59"/>
      <c r="X117" s="59"/>
      <c r="Y117" s="59"/>
      <c r="Z117" s="59"/>
      <c r="AA117" s="59"/>
      <c r="AB117" s="59"/>
      <c r="AC117" s="59"/>
    </row>
    <row r="118" spans="1:29" ht="12.75">
      <c r="A118" s="59"/>
      <c r="B118" s="59"/>
      <c r="C118" s="59"/>
      <c r="D118" s="1173"/>
      <c r="E118" s="59"/>
      <c r="F118" s="1173"/>
      <c r="G118" s="1174"/>
      <c r="H118" s="59"/>
      <c r="I118" s="59"/>
      <c r="J118" s="1173"/>
      <c r="K118" s="59"/>
      <c r="L118" s="1173"/>
      <c r="M118" s="59"/>
      <c r="N118" s="59"/>
      <c r="O118" s="59"/>
      <c r="P118" s="59"/>
      <c r="Q118" s="59"/>
      <c r="R118" s="59"/>
      <c r="S118" s="59"/>
      <c r="T118" s="59"/>
      <c r="U118" s="59"/>
      <c r="V118" s="59"/>
      <c r="W118" s="59"/>
      <c r="X118" s="59"/>
      <c r="Y118" s="59"/>
      <c r="Z118" s="59"/>
      <c r="AA118" s="59"/>
      <c r="AB118" s="59"/>
      <c r="AC118" s="59"/>
    </row>
    <row r="119" spans="1:29" ht="12.75">
      <c r="A119" s="59"/>
      <c r="B119" s="59"/>
      <c r="C119" s="59"/>
      <c r="D119" s="1173"/>
      <c r="E119" s="59"/>
      <c r="F119" s="1173"/>
      <c r="G119" s="1174"/>
      <c r="H119" s="59"/>
      <c r="I119" s="59"/>
      <c r="J119" s="1173"/>
      <c r="K119" s="59"/>
      <c r="L119" s="1173"/>
      <c r="M119" s="59"/>
      <c r="N119" s="59"/>
      <c r="O119" s="59"/>
      <c r="P119" s="59"/>
      <c r="Q119" s="59"/>
      <c r="R119" s="59"/>
      <c r="S119" s="59"/>
      <c r="T119" s="59"/>
      <c r="U119" s="59"/>
      <c r="V119" s="59"/>
      <c r="W119" s="59"/>
      <c r="X119" s="59"/>
      <c r="Y119" s="59"/>
      <c r="Z119" s="59"/>
      <c r="AA119" s="59"/>
      <c r="AB119" s="59"/>
      <c r="AC119" s="59"/>
    </row>
    <row r="120" spans="1:29" ht="12.75">
      <c r="A120" s="59"/>
      <c r="B120" s="59"/>
      <c r="C120" s="59"/>
      <c r="D120" s="1173"/>
      <c r="E120" s="59"/>
      <c r="F120" s="1173"/>
      <c r="G120" s="1174"/>
      <c r="H120" s="59"/>
      <c r="I120" s="59"/>
      <c r="J120" s="1173"/>
      <c r="K120" s="59"/>
      <c r="L120" s="1173"/>
      <c r="M120" s="59"/>
      <c r="N120" s="59"/>
      <c r="O120" s="59"/>
      <c r="P120" s="59"/>
      <c r="Q120" s="59"/>
      <c r="R120" s="59"/>
      <c r="S120" s="59"/>
      <c r="T120" s="59"/>
      <c r="U120" s="59"/>
      <c r="V120" s="59"/>
      <c r="W120" s="59"/>
      <c r="X120" s="59"/>
      <c r="Y120" s="59"/>
      <c r="Z120" s="59"/>
      <c r="AA120" s="59"/>
      <c r="AB120" s="59"/>
      <c r="AC120" s="59"/>
    </row>
    <row r="121" spans="1:29" ht="12.75">
      <c r="A121" s="59"/>
      <c r="B121" s="59"/>
      <c r="C121" s="59"/>
      <c r="D121" s="1173"/>
      <c r="E121" s="59"/>
      <c r="F121" s="1173"/>
      <c r="G121" s="1174"/>
      <c r="H121" s="59"/>
      <c r="I121" s="59"/>
      <c r="J121" s="1173"/>
      <c r="K121" s="59"/>
      <c r="L121" s="1173"/>
      <c r="M121" s="59"/>
      <c r="N121" s="59"/>
      <c r="O121" s="59"/>
      <c r="P121" s="59"/>
      <c r="Q121" s="59"/>
      <c r="R121" s="59"/>
      <c r="S121" s="59"/>
      <c r="T121" s="59"/>
      <c r="U121" s="59"/>
      <c r="V121" s="59"/>
      <c r="W121" s="59"/>
      <c r="X121" s="59"/>
      <c r="Y121" s="59"/>
      <c r="Z121" s="59"/>
      <c r="AA121" s="59"/>
      <c r="AB121" s="59"/>
      <c r="AC121" s="59"/>
    </row>
    <row r="122" spans="1:29" ht="12.75">
      <c r="A122" s="59"/>
      <c r="B122" s="59"/>
      <c r="C122" s="59"/>
      <c r="D122" s="1173"/>
      <c r="E122" s="59"/>
      <c r="F122" s="1173"/>
      <c r="G122" s="1174"/>
      <c r="H122" s="59"/>
      <c r="I122" s="59"/>
      <c r="J122" s="1173"/>
      <c r="K122" s="59"/>
      <c r="L122" s="1173"/>
      <c r="M122" s="59"/>
      <c r="N122" s="59"/>
      <c r="O122" s="59"/>
      <c r="P122" s="59"/>
      <c r="Q122" s="59"/>
      <c r="R122" s="59"/>
      <c r="S122" s="59"/>
      <c r="T122" s="59"/>
      <c r="U122" s="59"/>
      <c r="V122" s="59"/>
      <c r="W122" s="59"/>
      <c r="X122" s="59"/>
      <c r="Y122" s="59"/>
      <c r="Z122" s="59"/>
      <c r="AA122" s="59"/>
      <c r="AB122" s="59"/>
      <c r="AC122" s="59"/>
    </row>
    <row r="123" spans="1:29" ht="12.75">
      <c r="A123" s="59"/>
      <c r="B123" s="59"/>
      <c r="C123" s="59"/>
      <c r="D123" s="1173"/>
      <c r="E123" s="59"/>
      <c r="F123" s="1173"/>
      <c r="G123" s="1174"/>
      <c r="H123" s="59"/>
      <c r="I123" s="59"/>
      <c r="J123" s="1173"/>
      <c r="K123" s="59"/>
      <c r="L123" s="1173"/>
      <c r="M123" s="59"/>
      <c r="N123" s="59"/>
      <c r="O123" s="59"/>
      <c r="P123" s="59"/>
      <c r="Q123" s="59"/>
      <c r="R123" s="59"/>
      <c r="S123" s="59"/>
      <c r="T123" s="59"/>
      <c r="U123" s="59"/>
      <c r="V123" s="59"/>
      <c r="W123" s="59"/>
      <c r="X123" s="59"/>
      <c r="Y123" s="59"/>
      <c r="Z123" s="59"/>
      <c r="AA123" s="59"/>
      <c r="AB123" s="59"/>
      <c r="AC123" s="59"/>
    </row>
    <row r="124" spans="1:29" ht="12.75">
      <c r="A124" s="59"/>
      <c r="B124" s="59"/>
      <c r="C124" s="59"/>
      <c r="D124" s="1173"/>
      <c r="E124" s="59"/>
      <c r="F124" s="1173"/>
      <c r="G124" s="1174"/>
      <c r="H124" s="59"/>
      <c r="I124" s="59"/>
      <c r="J124" s="1173"/>
      <c r="K124" s="59"/>
      <c r="L124" s="1173"/>
      <c r="M124" s="59"/>
      <c r="N124" s="59"/>
      <c r="O124" s="59"/>
      <c r="P124" s="59"/>
      <c r="Q124" s="59"/>
      <c r="R124" s="59"/>
      <c r="S124" s="59"/>
      <c r="T124" s="59"/>
      <c r="U124" s="59"/>
      <c r="V124" s="59"/>
      <c r="W124" s="59"/>
      <c r="X124" s="59"/>
      <c r="Y124" s="59"/>
      <c r="Z124" s="59"/>
      <c r="AA124" s="59"/>
      <c r="AB124" s="59"/>
      <c r="AC124" s="59"/>
    </row>
    <row r="125" spans="1:29" ht="12.75">
      <c r="A125" s="59"/>
      <c r="B125" s="59"/>
      <c r="C125" s="59"/>
      <c r="D125" s="1173"/>
      <c r="E125" s="59"/>
      <c r="F125" s="1173"/>
      <c r="G125" s="1174"/>
      <c r="H125" s="59"/>
      <c r="I125" s="59"/>
      <c r="J125" s="1173"/>
      <c r="K125" s="59"/>
      <c r="L125" s="1173"/>
      <c r="M125" s="59"/>
      <c r="N125" s="59"/>
      <c r="O125" s="59"/>
      <c r="P125" s="59"/>
      <c r="Q125" s="59"/>
      <c r="R125" s="59"/>
      <c r="S125" s="59"/>
      <c r="T125" s="59"/>
      <c r="U125" s="59"/>
      <c r="V125" s="59"/>
      <c r="W125" s="59"/>
      <c r="X125" s="59"/>
      <c r="Y125" s="59"/>
      <c r="Z125" s="59"/>
      <c r="AA125" s="59"/>
      <c r="AB125" s="59"/>
      <c r="AC125" s="59"/>
    </row>
    <row r="126" spans="1:29" ht="12.75">
      <c r="A126" s="59"/>
      <c r="B126" s="59"/>
      <c r="C126" s="59"/>
      <c r="D126" s="1173"/>
      <c r="E126" s="59"/>
      <c r="F126" s="1173"/>
      <c r="G126" s="1174"/>
      <c r="H126" s="59"/>
      <c r="I126" s="59"/>
      <c r="J126" s="1173"/>
      <c r="K126" s="59"/>
      <c r="L126" s="1173"/>
      <c r="M126" s="59"/>
      <c r="N126" s="59"/>
      <c r="O126" s="59"/>
      <c r="P126" s="59"/>
      <c r="Q126" s="59"/>
      <c r="R126" s="59"/>
      <c r="S126" s="59"/>
      <c r="T126" s="59"/>
      <c r="U126" s="59"/>
      <c r="V126" s="59"/>
      <c r="W126" s="59"/>
      <c r="X126" s="59"/>
      <c r="Y126" s="59"/>
      <c r="Z126" s="59"/>
      <c r="AA126" s="59"/>
      <c r="AB126" s="59"/>
      <c r="AC126" s="59"/>
    </row>
    <row r="127" spans="1:29" ht="12.75">
      <c r="A127" s="59"/>
      <c r="B127" s="59"/>
      <c r="C127" s="59"/>
      <c r="D127" s="1173"/>
      <c r="E127" s="59"/>
      <c r="F127" s="1173"/>
      <c r="G127" s="1174"/>
      <c r="H127" s="59"/>
      <c r="I127" s="59"/>
      <c r="J127" s="1173"/>
      <c r="K127" s="59"/>
      <c r="L127" s="1173"/>
      <c r="M127" s="59"/>
      <c r="N127" s="59"/>
      <c r="O127" s="59"/>
      <c r="P127" s="59"/>
      <c r="Q127" s="59"/>
      <c r="R127" s="59"/>
      <c r="S127" s="59"/>
      <c r="T127" s="59"/>
      <c r="U127" s="59"/>
      <c r="V127" s="59"/>
      <c r="W127" s="59"/>
      <c r="X127" s="59"/>
      <c r="Y127" s="59"/>
      <c r="Z127" s="59"/>
      <c r="AA127" s="59"/>
      <c r="AB127" s="59"/>
      <c r="AC127" s="59"/>
    </row>
    <row r="128" spans="1:29" ht="12.75">
      <c r="A128" s="59"/>
      <c r="B128" s="59"/>
      <c r="C128" s="59"/>
      <c r="D128" s="1173"/>
      <c r="E128" s="59"/>
      <c r="F128" s="1173"/>
      <c r="G128" s="1174"/>
      <c r="H128" s="59"/>
      <c r="I128" s="59"/>
      <c r="J128" s="1173"/>
      <c r="K128" s="59"/>
      <c r="L128" s="1173"/>
      <c r="M128" s="59"/>
      <c r="N128" s="59"/>
      <c r="O128" s="59"/>
      <c r="P128" s="59"/>
      <c r="Q128" s="59"/>
      <c r="R128" s="59"/>
      <c r="S128" s="59"/>
      <c r="T128" s="59"/>
      <c r="U128" s="59"/>
      <c r="V128" s="59"/>
      <c r="W128" s="59"/>
      <c r="X128" s="59"/>
      <c r="Y128" s="59"/>
      <c r="Z128" s="59"/>
      <c r="AA128" s="59"/>
      <c r="AB128" s="59"/>
      <c r="AC128" s="59"/>
    </row>
    <row r="129" spans="1:29" ht="12.75">
      <c r="A129" s="59"/>
      <c r="B129" s="59"/>
      <c r="C129" s="59"/>
      <c r="D129" s="1173"/>
      <c r="E129" s="59"/>
      <c r="F129" s="1173"/>
      <c r="G129" s="1174"/>
      <c r="H129" s="59"/>
      <c r="I129" s="59"/>
      <c r="J129" s="1173"/>
      <c r="K129" s="59"/>
      <c r="L129" s="1173"/>
      <c r="M129" s="59"/>
      <c r="N129" s="59"/>
      <c r="O129" s="59"/>
      <c r="P129" s="59"/>
      <c r="Q129" s="59"/>
      <c r="R129" s="59"/>
      <c r="S129" s="59"/>
      <c r="T129" s="59"/>
      <c r="U129" s="59"/>
      <c r="V129" s="59"/>
      <c r="W129" s="59"/>
      <c r="X129" s="59"/>
      <c r="Y129" s="59"/>
      <c r="Z129" s="59"/>
      <c r="AA129" s="59"/>
      <c r="AB129" s="59"/>
      <c r="AC129" s="59"/>
    </row>
    <row r="130" spans="1:29" ht="12.75">
      <c r="A130" s="59"/>
      <c r="B130" s="59"/>
      <c r="C130" s="59"/>
      <c r="D130" s="1173"/>
      <c r="E130" s="59"/>
      <c r="F130" s="1173"/>
      <c r="G130" s="1174"/>
      <c r="H130" s="59"/>
      <c r="I130" s="59"/>
      <c r="J130" s="1173"/>
      <c r="K130" s="59"/>
      <c r="L130" s="1173"/>
      <c r="M130" s="59"/>
      <c r="N130" s="59"/>
      <c r="O130" s="59"/>
      <c r="P130" s="59"/>
      <c r="Q130" s="59"/>
      <c r="R130" s="59"/>
      <c r="S130" s="59"/>
      <c r="T130" s="59"/>
      <c r="U130" s="59"/>
      <c r="V130" s="59"/>
      <c r="W130" s="59"/>
      <c r="X130" s="59"/>
      <c r="Y130" s="59"/>
      <c r="Z130" s="59"/>
      <c r="AA130" s="59"/>
      <c r="AB130" s="59"/>
      <c r="AC130" s="59"/>
    </row>
    <row r="131" spans="1:29" ht="12.75">
      <c r="A131" s="59"/>
      <c r="B131" s="59"/>
      <c r="C131" s="59"/>
      <c r="D131" s="1173"/>
      <c r="E131" s="59"/>
      <c r="F131" s="1173"/>
      <c r="G131" s="1174"/>
      <c r="H131" s="59"/>
      <c r="I131" s="59"/>
      <c r="J131" s="1173"/>
      <c r="K131" s="59"/>
      <c r="L131" s="1173"/>
      <c r="M131" s="59"/>
      <c r="N131" s="59"/>
      <c r="O131" s="59"/>
      <c r="P131" s="59"/>
      <c r="Q131" s="59"/>
      <c r="R131" s="59"/>
      <c r="S131" s="59"/>
      <c r="T131" s="59"/>
      <c r="U131" s="59"/>
      <c r="V131" s="59"/>
      <c r="W131" s="59"/>
      <c r="X131" s="59"/>
      <c r="Y131" s="59"/>
      <c r="Z131" s="59"/>
      <c r="AA131" s="59"/>
      <c r="AB131" s="59"/>
      <c r="AC131" s="59"/>
    </row>
    <row r="132" spans="1:29" ht="12.75">
      <c r="A132" s="59"/>
      <c r="B132" s="59"/>
      <c r="C132" s="59"/>
      <c r="D132" s="1173"/>
      <c r="E132" s="59"/>
      <c r="F132" s="1173"/>
      <c r="G132" s="1174"/>
      <c r="H132" s="59"/>
      <c r="I132" s="59"/>
      <c r="J132" s="1173"/>
      <c r="K132" s="59"/>
      <c r="L132" s="1173"/>
      <c r="M132" s="59"/>
      <c r="N132" s="59"/>
      <c r="O132" s="59"/>
      <c r="P132" s="59"/>
      <c r="Q132" s="59"/>
      <c r="R132" s="59"/>
      <c r="S132" s="59"/>
      <c r="T132" s="59"/>
      <c r="U132" s="59"/>
      <c r="V132" s="59"/>
      <c r="W132" s="59"/>
      <c r="X132" s="59"/>
      <c r="Y132" s="59"/>
      <c r="Z132" s="59"/>
      <c r="AA132" s="59"/>
      <c r="AB132" s="59"/>
      <c r="AC132" s="59"/>
    </row>
    <row r="133" spans="1:29" ht="12.75">
      <c r="A133" s="59"/>
      <c r="B133" s="59"/>
      <c r="C133" s="59"/>
      <c r="D133" s="1173"/>
      <c r="E133" s="59"/>
      <c r="F133" s="1173"/>
      <c r="G133" s="1174"/>
      <c r="H133" s="59"/>
      <c r="I133" s="59"/>
      <c r="J133" s="1173"/>
      <c r="K133" s="59"/>
      <c r="L133" s="1173"/>
      <c r="M133" s="59"/>
      <c r="N133" s="59"/>
      <c r="O133" s="59"/>
      <c r="P133" s="59"/>
      <c r="Q133" s="59"/>
      <c r="R133" s="59"/>
      <c r="S133" s="59"/>
      <c r="T133" s="59"/>
      <c r="U133" s="59"/>
      <c r="V133" s="59"/>
      <c r="W133" s="59"/>
      <c r="X133" s="59"/>
      <c r="Y133" s="59"/>
      <c r="Z133" s="59"/>
      <c r="AA133" s="59"/>
      <c r="AB133" s="59"/>
      <c r="AC133" s="59"/>
    </row>
    <row r="134" spans="1:29" ht="12.75">
      <c r="A134" s="59"/>
      <c r="B134" s="59"/>
      <c r="C134" s="59"/>
      <c r="D134" s="1173"/>
      <c r="E134" s="59"/>
      <c r="F134" s="1173"/>
      <c r="G134" s="1174"/>
      <c r="H134" s="59"/>
      <c r="I134" s="59"/>
      <c r="J134" s="1173"/>
      <c r="K134" s="59"/>
      <c r="L134" s="1173"/>
      <c r="M134" s="59"/>
      <c r="N134" s="59"/>
      <c r="O134" s="59"/>
      <c r="P134" s="59"/>
      <c r="Q134" s="59"/>
      <c r="R134" s="59"/>
      <c r="S134" s="59"/>
      <c r="T134" s="59"/>
      <c r="U134" s="59"/>
      <c r="V134" s="59"/>
      <c r="W134" s="59"/>
      <c r="X134" s="59"/>
      <c r="Y134" s="59"/>
      <c r="Z134" s="59"/>
      <c r="AA134" s="59"/>
      <c r="AB134" s="59"/>
      <c r="AC134" s="59"/>
    </row>
    <row r="135" spans="1:29" ht="12.75">
      <c r="A135" s="59"/>
      <c r="B135" s="59"/>
      <c r="C135" s="59"/>
      <c r="D135" s="1173"/>
      <c r="E135" s="59"/>
      <c r="F135" s="1173"/>
      <c r="G135" s="1174"/>
      <c r="H135" s="59"/>
      <c r="I135" s="59"/>
      <c r="J135" s="1173"/>
      <c r="K135" s="59"/>
      <c r="L135" s="1173"/>
      <c r="M135" s="59"/>
      <c r="N135" s="59"/>
      <c r="O135" s="59"/>
      <c r="P135" s="59"/>
      <c r="Q135" s="59"/>
      <c r="R135" s="59"/>
      <c r="S135" s="59"/>
      <c r="T135" s="59"/>
      <c r="U135" s="59"/>
      <c r="V135" s="59"/>
      <c r="W135" s="59"/>
      <c r="X135" s="59"/>
      <c r="Y135" s="59"/>
      <c r="Z135" s="59"/>
      <c r="AA135" s="59"/>
      <c r="AB135" s="59"/>
      <c r="AC135" s="59"/>
    </row>
    <row r="136" spans="1:29" ht="12.75">
      <c r="A136" s="59"/>
      <c r="B136" s="59"/>
      <c r="C136" s="59"/>
      <c r="D136" s="1173"/>
      <c r="E136" s="59"/>
      <c r="F136" s="1173"/>
      <c r="G136" s="1174"/>
      <c r="H136" s="59"/>
      <c r="I136" s="59"/>
      <c r="J136" s="1173"/>
      <c r="K136" s="59"/>
      <c r="L136" s="1173"/>
      <c r="M136" s="59"/>
      <c r="N136" s="59"/>
      <c r="O136" s="59"/>
      <c r="P136" s="59"/>
      <c r="Q136" s="59"/>
      <c r="R136" s="59"/>
      <c r="S136" s="59"/>
      <c r="T136" s="59"/>
      <c r="U136" s="59"/>
      <c r="V136" s="59"/>
      <c r="W136" s="59"/>
      <c r="X136" s="59"/>
      <c r="Y136" s="59"/>
      <c r="Z136" s="59"/>
      <c r="AA136" s="59"/>
      <c r="AB136" s="59"/>
      <c r="AC136" s="59"/>
    </row>
    <row r="137" spans="1:29" ht="12.75">
      <c r="A137" s="59"/>
      <c r="B137" s="59"/>
      <c r="C137" s="59"/>
      <c r="D137" s="1173"/>
      <c r="E137" s="59"/>
      <c r="F137" s="1173"/>
      <c r="G137" s="1174"/>
      <c r="H137" s="59"/>
      <c r="I137" s="59"/>
      <c r="J137" s="1173"/>
      <c r="K137" s="59"/>
      <c r="L137" s="1173"/>
      <c r="M137" s="59"/>
      <c r="N137" s="59"/>
      <c r="O137" s="59"/>
      <c r="P137" s="59"/>
      <c r="Q137" s="59"/>
      <c r="R137" s="59"/>
      <c r="S137" s="59"/>
      <c r="T137" s="59"/>
      <c r="U137" s="59"/>
      <c r="V137" s="59"/>
      <c r="W137" s="59"/>
      <c r="X137" s="59"/>
      <c r="Y137" s="59"/>
      <c r="Z137" s="59"/>
      <c r="AA137" s="59"/>
      <c r="AB137" s="59"/>
      <c r="AC137" s="59"/>
    </row>
    <row r="138" spans="1:29" ht="12.75">
      <c r="A138" s="59"/>
      <c r="B138" s="59"/>
      <c r="C138" s="59"/>
      <c r="D138" s="1173"/>
      <c r="E138" s="59"/>
      <c r="F138" s="1173"/>
      <c r="G138" s="1174"/>
      <c r="H138" s="59"/>
      <c r="I138" s="59"/>
      <c r="J138" s="1173"/>
      <c r="K138" s="59"/>
      <c r="L138" s="1173"/>
      <c r="M138" s="59"/>
      <c r="N138" s="59"/>
      <c r="O138" s="59"/>
      <c r="P138" s="59"/>
      <c r="Q138" s="59"/>
      <c r="R138" s="59"/>
      <c r="S138" s="59"/>
      <c r="T138" s="59"/>
      <c r="U138" s="59"/>
      <c r="V138" s="59"/>
      <c r="W138" s="59"/>
      <c r="X138" s="59"/>
      <c r="Y138" s="59"/>
      <c r="Z138" s="59"/>
      <c r="AA138" s="59"/>
      <c r="AB138" s="59"/>
      <c r="AC138" s="59"/>
    </row>
    <row r="139" spans="1:29" ht="12.75">
      <c r="A139" s="59"/>
      <c r="B139" s="59"/>
      <c r="C139" s="59"/>
      <c r="D139" s="1173"/>
      <c r="E139" s="59"/>
      <c r="F139" s="1173"/>
      <c r="G139" s="1174"/>
      <c r="H139" s="59"/>
      <c r="I139" s="59"/>
      <c r="J139" s="1173"/>
      <c r="K139" s="59"/>
      <c r="L139" s="1173"/>
      <c r="M139" s="59"/>
      <c r="N139" s="59"/>
      <c r="O139" s="59"/>
      <c r="P139" s="59"/>
      <c r="Q139" s="59"/>
      <c r="R139" s="59"/>
      <c r="S139" s="59"/>
      <c r="T139" s="59"/>
      <c r="U139" s="59"/>
      <c r="V139" s="59"/>
      <c r="W139" s="59"/>
      <c r="X139" s="59"/>
      <c r="Y139" s="59"/>
      <c r="Z139" s="59"/>
      <c r="AA139" s="59"/>
      <c r="AB139" s="59"/>
      <c r="AC139" s="59"/>
    </row>
    <row r="140" spans="1:29" ht="12.75">
      <c r="A140" s="59"/>
      <c r="B140" s="59"/>
      <c r="C140" s="59"/>
      <c r="D140" s="1173"/>
      <c r="E140" s="59"/>
      <c r="F140" s="1173"/>
      <c r="G140" s="1174"/>
      <c r="H140" s="59"/>
      <c r="I140" s="59"/>
      <c r="J140" s="1173"/>
      <c r="K140" s="59"/>
      <c r="L140" s="1173"/>
      <c r="M140" s="59"/>
      <c r="N140" s="59"/>
      <c r="O140" s="59"/>
      <c r="P140" s="59"/>
      <c r="Q140" s="59"/>
      <c r="R140" s="59"/>
      <c r="S140" s="59"/>
      <c r="T140" s="59"/>
      <c r="U140" s="59"/>
      <c r="V140" s="59"/>
      <c r="W140" s="59"/>
      <c r="X140" s="59"/>
      <c r="Y140" s="59"/>
      <c r="Z140" s="59"/>
      <c r="AA140" s="59"/>
      <c r="AB140" s="59"/>
      <c r="AC140" s="59"/>
    </row>
    <row r="141" spans="1:29" ht="12.75">
      <c r="A141" s="59"/>
      <c r="B141" s="59"/>
      <c r="C141" s="59"/>
      <c r="D141" s="1173"/>
      <c r="E141" s="59"/>
      <c r="F141" s="1173"/>
      <c r="G141" s="1174"/>
      <c r="H141" s="59"/>
      <c r="I141" s="59"/>
      <c r="J141" s="1173"/>
      <c r="K141" s="59"/>
      <c r="L141" s="1173"/>
      <c r="M141" s="59"/>
      <c r="N141" s="59"/>
      <c r="O141" s="59"/>
      <c r="P141" s="59"/>
      <c r="Q141" s="59"/>
      <c r="R141" s="59"/>
      <c r="S141" s="59"/>
      <c r="T141" s="59"/>
      <c r="U141" s="59"/>
      <c r="V141" s="59"/>
      <c r="W141" s="59"/>
      <c r="X141" s="59"/>
      <c r="Y141" s="59"/>
      <c r="Z141" s="59"/>
      <c r="AA141" s="59"/>
      <c r="AB141" s="59"/>
      <c r="AC141" s="59"/>
    </row>
    <row r="142" spans="1:29" ht="12.75">
      <c r="A142" s="59"/>
      <c r="B142" s="59"/>
      <c r="C142" s="59"/>
      <c r="D142" s="1173"/>
      <c r="E142" s="59"/>
      <c r="F142" s="1173"/>
      <c r="G142" s="1174"/>
      <c r="H142" s="59"/>
      <c r="I142" s="59"/>
      <c r="J142" s="1173"/>
      <c r="K142" s="59"/>
      <c r="L142" s="1173"/>
      <c r="M142" s="59"/>
      <c r="N142" s="59"/>
      <c r="O142" s="59"/>
      <c r="P142" s="59"/>
      <c r="Q142" s="59"/>
      <c r="R142" s="59"/>
      <c r="S142" s="59"/>
      <c r="T142" s="59"/>
      <c r="U142" s="59"/>
      <c r="V142" s="59"/>
      <c r="W142" s="59"/>
      <c r="X142" s="59"/>
      <c r="Y142" s="59"/>
      <c r="Z142" s="59"/>
      <c r="AA142" s="59"/>
      <c r="AB142" s="59"/>
      <c r="AC142" s="59"/>
    </row>
    <row r="143" spans="1:29" ht="12.75">
      <c r="A143" s="59"/>
      <c r="B143" s="59"/>
      <c r="C143" s="59"/>
      <c r="D143" s="1173"/>
      <c r="E143" s="59"/>
      <c r="F143" s="1173"/>
      <c r="G143" s="1174"/>
      <c r="H143" s="59"/>
      <c r="I143" s="59"/>
      <c r="J143" s="1173"/>
      <c r="K143" s="59"/>
      <c r="L143" s="1173"/>
      <c r="M143" s="59"/>
      <c r="N143" s="59"/>
      <c r="O143" s="59"/>
      <c r="P143" s="59"/>
      <c r="Q143" s="59"/>
      <c r="R143" s="59"/>
      <c r="S143" s="59"/>
      <c r="T143" s="59"/>
      <c r="U143" s="59"/>
      <c r="V143" s="59"/>
      <c r="W143" s="59"/>
      <c r="X143" s="59"/>
      <c r="Y143" s="59"/>
      <c r="Z143" s="59"/>
      <c r="AA143" s="59"/>
      <c r="AB143" s="59"/>
      <c r="AC143" s="59"/>
    </row>
    <row r="144" spans="1:29" ht="12.75">
      <c r="A144" s="59"/>
      <c r="B144" s="59"/>
      <c r="C144" s="59"/>
      <c r="D144" s="1173"/>
      <c r="E144" s="59"/>
      <c r="F144" s="1173"/>
      <c r="G144" s="1174"/>
      <c r="H144" s="59"/>
      <c r="I144" s="59"/>
      <c r="J144" s="1173"/>
      <c r="K144" s="59"/>
      <c r="L144" s="1173"/>
      <c r="M144" s="59"/>
      <c r="N144" s="59"/>
      <c r="O144" s="59"/>
      <c r="P144" s="59"/>
      <c r="Q144" s="59"/>
      <c r="R144" s="59"/>
      <c r="S144" s="59"/>
      <c r="T144" s="59"/>
      <c r="U144" s="59"/>
      <c r="V144" s="59"/>
      <c r="W144" s="59"/>
      <c r="X144" s="59"/>
      <c r="Y144" s="59"/>
      <c r="Z144" s="59"/>
      <c r="AA144" s="59"/>
      <c r="AB144" s="59"/>
      <c r="AC144" s="59"/>
    </row>
    <row r="145" spans="1:29" ht="12.75">
      <c r="A145" s="59"/>
      <c r="B145" s="59"/>
      <c r="C145" s="59"/>
      <c r="D145" s="1173"/>
      <c r="E145" s="59"/>
      <c r="F145" s="1173"/>
      <c r="G145" s="1174"/>
      <c r="H145" s="59"/>
      <c r="I145" s="59"/>
      <c r="J145" s="1173"/>
      <c r="K145" s="59"/>
      <c r="L145" s="1173"/>
      <c r="M145" s="59"/>
      <c r="N145" s="59"/>
      <c r="O145" s="59"/>
      <c r="P145" s="59"/>
      <c r="Q145" s="59"/>
      <c r="R145" s="59"/>
      <c r="S145" s="59"/>
      <c r="T145" s="59"/>
      <c r="U145" s="59"/>
      <c r="V145" s="59"/>
      <c r="W145" s="59"/>
      <c r="X145" s="59"/>
      <c r="Y145" s="59"/>
      <c r="Z145" s="59"/>
      <c r="AA145" s="59"/>
      <c r="AB145" s="59"/>
      <c r="AC145" s="59"/>
    </row>
    <row r="146" spans="1:29" ht="12.75">
      <c r="A146" s="59"/>
      <c r="B146" s="59"/>
      <c r="C146" s="59"/>
      <c r="D146" s="1173"/>
      <c r="E146" s="59"/>
      <c r="F146" s="1173"/>
      <c r="G146" s="1174"/>
      <c r="H146" s="59"/>
      <c r="I146" s="59"/>
      <c r="J146" s="1173"/>
      <c r="K146" s="59"/>
      <c r="L146" s="1173"/>
      <c r="M146" s="59"/>
      <c r="N146" s="59"/>
      <c r="O146" s="59"/>
      <c r="P146" s="59"/>
      <c r="Q146" s="59"/>
      <c r="R146" s="59"/>
      <c r="S146" s="59"/>
      <c r="T146" s="59"/>
      <c r="U146" s="59"/>
      <c r="V146" s="59"/>
      <c r="W146" s="59"/>
      <c r="X146" s="59"/>
      <c r="Y146" s="59"/>
      <c r="Z146" s="59"/>
      <c r="AA146" s="59"/>
      <c r="AB146" s="59"/>
      <c r="AC146" s="59"/>
    </row>
    <row r="147" spans="1:29" ht="12.75">
      <c r="A147" s="59"/>
      <c r="B147" s="59"/>
      <c r="C147" s="59"/>
      <c r="D147" s="1173"/>
      <c r="E147" s="59"/>
      <c r="F147" s="1173"/>
      <c r="G147" s="1174"/>
      <c r="H147" s="59"/>
      <c r="I147" s="59"/>
      <c r="J147" s="1173"/>
      <c r="K147" s="59"/>
      <c r="L147" s="1173"/>
      <c r="M147" s="59"/>
      <c r="N147" s="59"/>
      <c r="O147" s="59"/>
      <c r="P147" s="59"/>
      <c r="Q147" s="59"/>
      <c r="R147" s="59"/>
      <c r="S147" s="59"/>
      <c r="T147" s="59"/>
      <c r="U147" s="59"/>
      <c r="V147" s="59"/>
      <c r="W147" s="59"/>
      <c r="X147" s="59"/>
      <c r="Y147" s="59"/>
      <c r="Z147" s="59"/>
      <c r="AA147" s="59"/>
      <c r="AB147" s="59"/>
      <c r="AC147" s="59"/>
    </row>
    <row r="148" spans="1:29" ht="12.75">
      <c r="A148" s="59"/>
      <c r="B148" s="59"/>
      <c r="C148" s="59"/>
      <c r="D148" s="1173"/>
      <c r="E148" s="59"/>
      <c r="F148" s="1173"/>
      <c r="G148" s="1174"/>
      <c r="H148" s="59"/>
      <c r="I148" s="59"/>
      <c r="J148" s="1173"/>
      <c r="K148" s="59"/>
      <c r="L148" s="1173"/>
      <c r="M148" s="59"/>
      <c r="N148" s="59"/>
      <c r="O148" s="59"/>
      <c r="P148" s="59"/>
      <c r="Q148" s="59"/>
      <c r="R148" s="59"/>
      <c r="S148" s="59"/>
      <c r="T148" s="59"/>
      <c r="U148" s="59"/>
      <c r="V148" s="59"/>
      <c r="W148" s="59"/>
      <c r="X148" s="59"/>
      <c r="Y148" s="59"/>
      <c r="Z148" s="59"/>
      <c r="AA148" s="59"/>
      <c r="AB148" s="59"/>
      <c r="AC148" s="59"/>
    </row>
    <row r="149" spans="1:29" ht="12.75">
      <c r="A149" s="59"/>
      <c r="B149" s="59"/>
      <c r="C149" s="59"/>
      <c r="D149" s="1173"/>
      <c r="E149" s="59"/>
      <c r="F149" s="1173"/>
      <c r="G149" s="1174"/>
      <c r="H149" s="59"/>
      <c r="I149" s="59"/>
      <c r="J149" s="1173"/>
      <c r="K149" s="59"/>
      <c r="L149" s="1173"/>
      <c r="M149" s="59"/>
      <c r="N149" s="59"/>
      <c r="O149" s="59"/>
      <c r="P149" s="59"/>
      <c r="Q149" s="59"/>
      <c r="R149" s="59"/>
      <c r="S149" s="59"/>
      <c r="T149" s="59"/>
      <c r="U149" s="59"/>
      <c r="V149" s="59"/>
      <c r="W149" s="59"/>
      <c r="X149" s="59"/>
      <c r="Y149" s="59"/>
      <c r="Z149" s="59"/>
      <c r="AA149" s="59"/>
      <c r="AB149" s="59"/>
      <c r="AC149" s="59"/>
    </row>
    <row r="150" spans="1:29" ht="12.75">
      <c r="A150" s="59"/>
      <c r="B150" s="59"/>
      <c r="C150" s="59"/>
      <c r="D150" s="1173"/>
      <c r="E150" s="59"/>
      <c r="F150" s="1173"/>
      <c r="G150" s="1174"/>
      <c r="H150" s="59"/>
      <c r="I150" s="59"/>
      <c r="J150" s="1173"/>
      <c r="K150" s="59"/>
      <c r="L150" s="1173"/>
      <c r="M150" s="59"/>
      <c r="N150" s="59"/>
      <c r="O150" s="59"/>
      <c r="P150" s="59"/>
      <c r="Q150" s="59"/>
      <c r="R150" s="59"/>
      <c r="S150" s="59"/>
      <c r="T150" s="59"/>
      <c r="U150" s="59"/>
      <c r="V150" s="59"/>
      <c r="W150" s="59"/>
      <c r="X150" s="59"/>
      <c r="Y150" s="59"/>
      <c r="Z150" s="59"/>
      <c r="AA150" s="59"/>
      <c r="AB150" s="59"/>
      <c r="AC150" s="59"/>
    </row>
    <row r="151" spans="1:29" ht="12.75">
      <c r="A151" s="59"/>
      <c r="B151" s="59"/>
      <c r="C151" s="59"/>
      <c r="D151" s="1173"/>
      <c r="E151" s="59"/>
      <c r="F151" s="1173"/>
      <c r="G151" s="1174"/>
      <c r="H151" s="59"/>
      <c r="I151" s="59"/>
      <c r="J151" s="1173"/>
      <c r="K151" s="59"/>
      <c r="L151" s="1173"/>
      <c r="M151" s="59"/>
      <c r="N151" s="59"/>
      <c r="O151" s="59"/>
      <c r="P151" s="59"/>
      <c r="Q151" s="59"/>
      <c r="R151" s="59"/>
      <c r="S151" s="59"/>
      <c r="T151" s="59"/>
      <c r="U151" s="59"/>
      <c r="V151" s="59"/>
      <c r="W151" s="59"/>
      <c r="X151" s="59"/>
      <c r="Y151" s="59"/>
      <c r="Z151" s="59"/>
      <c r="AA151" s="59"/>
      <c r="AB151" s="59"/>
      <c r="AC151" s="59"/>
    </row>
    <row r="152" spans="1:29" ht="12.75">
      <c r="A152" s="59"/>
      <c r="B152" s="59"/>
      <c r="C152" s="59"/>
      <c r="D152" s="1173"/>
      <c r="E152" s="59"/>
      <c r="F152" s="1173"/>
      <c r="G152" s="1174"/>
      <c r="H152" s="59"/>
      <c r="I152" s="59"/>
      <c r="J152" s="1173"/>
      <c r="K152" s="59"/>
      <c r="L152" s="1173"/>
      <c r="M152" s="59"/>
      <c r="N152" s="59"/>
      <c r="O152" s="59"/>
      <c r="P152" s="59"/>
      <c r="Q152" s="59"/>
      <c r="R152" s="59"/>
      <c r="S152" s="59"/>
      <c r="T152" s="59"/>
      <c r="U152" s="59"/>
      <c r="V152" s="59"/>
      <c r="W152" s="59"/>
      <c r="X152" s="59"/>
      <c r="Y152" s="59"/>
      <c r="Z152" s="59"/>
      <c r="AA152" s="59"/>
      <c r="AB152" s="59"/>
      <c r="AC152" s="59"/>
    </row>
    <row r="153" spans="1:29" ht="12.75">
      <c r="A153" s="59"/>
      <c r="B153" s="59"/>
      <c r="C153" s="59"/>
      <c r="D153" s="1173"/>
      <c r="E153" s="59"/>
      <c r="F153" s="1173"/>
      <c r="G153" s="1174"/>
      <c r="H153" s="59"/>
      <c r="I153" s="59"/>
      <c r="J153" s="1173"/>
      <c r="K153" s="59"/>
      <c r="L153" s="1173"/>
      <c r="M153" s="59"/>
      <c r="N153" s="59"/>
      <c r="O153" s="59"/>
      <c r="P153" s="59"/>
      <c r="Q153" s="59"/>
      <c r="R153" s="59"/>
      <c r="S153" s="59"/>
      <c r="T153" s="59"/>
      <c r="U153" s="59"/>
      <c r="V153" s="59"/>
      <c r="W153" s="59"/>
      <c r="X153" s="59"/>
      <c r="Y153" s="59"/>
      <c r="Z153" s="59"/>
      <c r="AA153" s="59"/>
      <c r="AB153" s="59"/>
      <c r="AC153" s="59"/>
    </row>
    <row r="154" spans="1:29" ht="12.75">
      <c r="A154" s="59"/>
      <c r="B154" s="59"/>
      <c r="C154" s="59"/>
      <c r="D154" s="1173"/>
      <c r="E154" s="59"/>
      <c r="F154" s="1173"/>
      <c r="G154" s="1174"/>
      <c r="H154" s="59"/>
      <c r="I154" s="59"/>
      <c r="J154" s="1173"/>
      <c r="K154" s="59"/>
      <c r="L154" s="1173"/>
      <c r="M154" s="59"/>
      <c r="N154" s="59"/>
      <c r="O154" s="59"/>
      <c r="P154" s="59"/>
      <c r="Q154" s="59"/>
      <c r="R154" s="59"/>
      <c r="S154" s="59"/>
      <c r="T154" s="59"/>
      <c r="U154" s="59"/>
      <c r="V154" s="59"/>
      <c r="W154" s="59"/>
      <c r="X154" s="59"/>
      <c r="Y154" s="59"/>
      <c r="Z154" s="59"/>
      <c r="AA154" s="59"/>
      <c r="AB154" s="59"/>
      <c r="AC154" s="59"/>
    </row>
    <row r="155" spans="1:29" ht="12.75">
      <c r="A155" s="59"/>
      <c r="B155" s="59"/>
      <c r="C155" s="59"/>
      <c r="D155" s="1173"/>
      <c r="E155" s="59"/>
      <c r="F155" s="1173"/>
      <c r="G155" s="1174"/>
      <c r="H155" s="59"/>
      <c r="I155" s="59"/>
      <c r="J155" s="1173"/>
      <c r="K155" s="59"/>
      <c r="L155" s="1173"/>
      <c r="M155" s="59"/>
      <c r="N155" s="59"/>
      <c r="O155" s="59"/>
      <c r="P155" s="59"/>
      <c r="Q155" s="59"/>
      <c r="R155" s="59"/>
      <c r="S155" s="59"/>
      <c r="T155" s="59"/>
      <c r="U155" s="59"/>
      <c r="V155" s="59"/>
      <c r="W155" s="59"/>
      <c r="X155" s="59"/>
      <c r="Y155" s="59"/>
      <c r="Z155" s="59"/>
      <c r="AA155" s="59"/>
      <c r="AB155" s="59"/>
      <c r="AC155" s="59"/>
    </row>
    <row r="156" spans="1:29" ht="12.75">
      <c r="A156" s="59"/>
      <c r="B156" s="59"/>
      <c r="C156" s="59"/>
      <c r="D156" s="1173"/>
      <c r="E156" s="59"/>
      <c r="F156" s="1173"/>
      <c r="G156" s="1174"/>
      <c r="H156" s="59"/>
      <c r="I156" s="59"/>
      <c r="J156" s="1173"/>
      <c r="K156" s="59"/>
      <c r="L156" s="1173"/>
      <c r="M156" s="59"/>
      <c r="N156" s="59"/>
      <c r="O156" s="59"/>
      <c r="P156" s="59"/>
      <c r="Q156" s="59"/>
      <c r="R156" s="59"/>
      <c r="S156" s="59"/>
      <c r="T156" s="59"/>
      <c r="U156" s="59"/>
      <c r="V156" s="59"/>
      <c r="W156" s="59"/>
      <c r="X156" s="59"/>
      <c r="Y156" s="59"/>
      <c r="Z156" s="59"/>
      <c r="AA156" s="59"/>
      <c r="AB156" s="59"/>
      <c r="AC156" s="59"/>
    </row>
    <row r="157" spans="1:29" ht="12.75">
      <c r="A157" s="59"/>
      <c r="B157" s="59"/>
      <c r="C157" s="59"/>
      <c r="D157" s="1173"/>
      <c r="E157" s="59"/>
      <c r="F157" s="1173"/>
      <c r="G157" s="1174"/>
      <c r="H157" s="59"/>
      <c r="I157" s="59"/>
      <c r="J157" s="1173"/>
      <c r="K157" s="59"/>
      <c r="L157" s="1173"/>
      <c r="M157" s="59"/>
      <c r="N157" s="59"/>
      <c r="O157" s="59"/>
      <c r="P157" s="59"/>
      <c r="Q157" s="59"/>
      <c r="R157" s="59"/>
      <c r="S157" s="59"/>
      <c r="T157" s="59"/>
      <c r="U157" s="59"/>
      <c r="V157" s="59"/>
      <c r="W157" s="59"/>
      <c r="X157" s="59"/>
      <c r="Y157" s="59"/>
      <c r="Z157" s="59"/>
      <c r="AA157" s="59"/>
      <c r="AB157" s="59"/>
      <c r="AC157" s="59"/>
    </row>
    <row r="158" spans="1:29" ht="12.75">
      <c r="A158" s="59"/>
      <c r="B158" s="59"/>
      <c r="C158" s="59"/>
      <c r="D158" s="1173"/>
      <c r="E158" s="59"/>
      <c r="F158" s="1173"/>
      <c r="G158" s="1174"/>
      <c r="H158" s="59"/>
      <c r="I158" s="59"/>
      <c r="J158" s="1173"/>
      <c r="K158" s="59"/>
      <c r="L158" s="1173"/>
      <c r="M158" s="59"/>
      <c r="N158" s="59"/>
      <c r="O158" s="59"/>
      <c r="P158" s="59"/>
      <c r="Q158" s="59"/>
      <c r="R158" s="59"/>
      <c r="S158" s="59"/>
      <c r="T158" s="59"/>
      <c r="U158" s="59"/>
      <c r="V158" s="59"/>
      <c r="W158" s="59"/>
      <c r="X158" s="59"/>
      <c r="Y158" s="59"/>
      <c r="Z158" s="59"/>
      <c r="AA158" s="59"/>
      <c r="AB158" s="59"/>
      <c r="AC158" s="59"/>
    </row>
    <row r="159" spans="1:29" ht="12.75">
      <c r="A159" s="59"/>
      <c r="B159" s="59"/>
      <c r="C159" s="59"/>
      <c r="D159" s="1173"/>
      <c r="E159" s="59"/>
      <c r="F159" s="1173"/>
      <c r="G159" s="1174"/>
      <c r="H159" s="59"/>
      <c r="I159" s="59"/>
      <c r="J159" s="1173"/>
      <c r="K159" s="59"/>
      <c r="L159" s="1173"/>
      <c r="M159" s="59"/>
      <c r="N159" s="59"/>
      <c r="O159" s="59"/>
      <c r="P159" s="59"/>
      <c r="Q159" s="59"/>
      <c r="R159" s="59"/>
      <c r="S159" s="59"/>
      <c r="T159" s="59"/>
      <c r="U159" s="59"/>
      <c r="V159" s="59"/>
      <c r="W159" s="59"/>
      <c r="X159" s="59"/>
      <c r="Y159" s="59"/>
      <c r="Z159" s="59"/>
      <c r="AA159" s="59"/>
      <c r="AB159" s="59"/>
      <c r="AC159" s="59"/>
    </row>
    <row r="160" spans="1:29" ht="12.75">
      <c r="A160" s="59"/>
      <c r="B160" s="59"/>
      <c r="C160" s="59"/>
      <c r="D160" s="1173"/>
      <c r="E160" s="59"/>
      <c r="F160" s="1173"/>
      <c r="G160" s="1174"/>
      <c r="H160" s="59"/>
      <c r="I160" s="59"/>
      <c r="J160" s="1173"/>
      <c r="K160" s="59"/>
      <c r="L160" s="1173"/>
      <c r="M160" s="59"/>
      <c r="N160" s="59"/>
      <c r="O160" s="59"/>
      <c r="P160" s="59"/>
      <c r="Q160" s="59"/>
      <c r="R160" s="59"/>
      <c r="S160" s="59"/>
      <c r="T160" s="59"/>
      <c r="U160" s="59"/>
      <c r="V160" s="59"/>
      <c r="W160" s="59"/>
      <c r="X160" s="59"/>
      <c r="Y160" s="59"/>
      <c r="Z160" s="59"/>
      <c r="AA160" s="59"/>
      <c r="AB160" s="59"/>
      <c r="AC160" s="59"/>
    </row>
    <row r="161" spans="1:29" ht="12.75">
      <c r="A161" s="59"/>
      <c r="B161" s="59"/>
      <c r="C161" s="59"/>
      <c r="D161" s="1173"/>
      <c r="E161" s="59"/>
      <c r="F161" s="1173"/>
      <c r="G161" s="1174"/>
      <c r="H161" s="59"/>
      <c r="I161" s="59"/>
      <c r="J161" s="1173"/>
      <c r="K161" s="59"/>
      <c r="L161" s="1173"/>
      <c r="M161" s="59"/>
      <c r="N161" s="59"/>
      <c r="O161" s="59"/>
      <c r="P161" s="59"/>
      <c r="Q161" s="59"/>
      <c r="R161" s="59"/>
      <c r="S161" s="59"/>
      <c r="T161" s="59"/>
      <c r="U161" s="59"/>
      <c r="V161" s="59"/>
      <c r="W161" s="59"/>
      <c r="X161" s="59"/>
      <c r="Y161" s="59"/>
      <c r="Z161" s="59"/>
      <c r="AA161" s="59"/>
      <c r="AB161" s="59"/>
      <c r="AC161" s="59"/>
    </row>
    <row r="162" spans="1:29" ht="12.75">
      <c r="A162" s="59"/>
      <c r="B162" s="59"/>
      <c r="C162" s="59"/>
      <c r="D162" s="1173"/>
      <c r="E162" s="59"/>
      <c r="F162" s="1173"/>
      <c r="G162" s="1174"/>
      <c r="H162" s="59"/>
      <c r="I162" s="59"/>
      <c r="J162" s="1173"/>
      <c r="K162" s="59"/>
      <c r="L162" s="1173"/>
      <c r="M162" s="59"/>
      <c r="N162" s="59"/>
      <c r="O162" s="59"/>
      <c r="P162" s="59"/>
      <c r="Q162" s="59"/>
      <c r="R162" s="59"/>
      <c r="S162" s="59"/>
      <c r="T162" s="59"/>
      <c r="U162" s="59"/>
      <c r="V162" s="59"/>
      <c r="W162" s="59"/>
      <c r="X162" s="59"/>
      <c r="Y162" s="59"/>
      <c r="Z162" s="59"/>
      <c r="AA162" s="59"/>
      <c r="AB162" s="59"/>
      <c r="AC162" s="59"/>
    </row>
    <row r="163" spans="1:29" ht="12.75">
      <c r="A163" s="59"/>
      <c r="B163" s="59"/>
      <c r="C163" s="59"/>
      <c r="D163" s="1173"/>
      <c r="E163" s="59"/>
      <c r="F163" s="1173"/>
      <c r="G163" s="1174"/>
      <c r="H163" s="59"/>
      <c r="I163" s="59"/>
      <c r="J163" s="1173"/>
      <c r="K163" s="59"/>
      <c r="L163" s="1173"/>
      <c r="M163" s="59"/>
      <c r="N163" s="59"/>
      <c r="O163" s="59"/>
      <c r="P163" s="59"/>
      <c r="Q163" s="59"/>
      <c r="R163" s="59"/>
      <c r="S163" s="59"/>
      <c r="T163" s="59"/>
      <c r="U163" s="59"/>
      <c r="V163" s="59"/>
      <c r="W163" s="59"/>
      <c r="X163" s="59"/>
      <c r="Y163" s="59"/>
      <c r="Z163" s="59"/>
      <c r="AA163" s="59"/>
      <c r="AB163" s="59"/>
      <c r="AC163" s="59"/>
    </row>
    <row r="164" spans="1:29" ht="12.75">
      <c r="A164" s="59"/>
      <c r="B164" s="59"/>
      <c r="C164" s="59"/>
      <c r="D164" s="1173"/>
      <c r="E164" s="59"/>
      <c r="F164" s="1173"/>
      <c r="G164" s="1174"/>
      <c r="H164" s="59"/>
      <c r="I164" s="59"/>
      <c r="J164" s="1173"/>
      <c r="K164" s="59"/>
      <c r="L164" s="1173"/>
      <c r="M164" s="59"/>
      <c r="N164" s="59"/>
      <c r="O164" s="59"/>
      <c r="P164" s="59"/>
      <c r="Q164" s="59"/>
      <c r="R164" s="59"/>
      <c r="S164" s="59"/>
      <c r="T164" s="59"/>
      <c r="U164" s="59"/>
      <c r="V164" s="59"/>
      <c r="W164" s="59"/>
      <c r="X164" s="59"/>
      <c r="Y164" s="59"/>
      <c r="Z164" s="59"/>
      <c r="AA164" s="59"/>
      <c r="AB164" s="59"/>
      <c r="AC164" s="59"/>
    </row>
    <row r="165" spans="1:29" ht="12.75">
      <c r="A165" s="59"/>
      <c r="B165" s="59"/>
      <c r="C165" s="59"/>
      <c r="D165" s="1173"/>
      <c r="E165" s="59"/>
      <c r="F165" s="1173"/>
      <c r="G165" s="1174"/>
      <c r="H165" s="59"/>
      <c r="I165" s="59"/>
      <c r="J165" s="1173"/>
      <c r="K165" s="59"/>
      <c r="L165" s="1173"/>
      <c r="M165" s="59"/>
      <c r="N165" s="59"/>
      <c r="O165" s="59"/>
      <c r="P165" s="59"/>
      <c r="Q165" s="59"/>
      <c r="R165" s="59"/>
      <c r="S165" s="59"/>
      <c r="T165" s="59"/>
      <c r="U165" s="59"/>
      <c r="V165" s="59"/>
      <c r="W165" s="59"/>
      <c r="X165" s="59"/>
      <c r="Y165" s="59"/>
      <c r="Z165" s="59"/>
      <c r="AA165" s="59"/>
      <c r="AB165" s="59"/>
      <c r="AC165" s="59"/>
    </row>
    <row r="166" spans="1:29" ht="12.75">
      <c r="A166" s="59"/>
      <c r="B166" s="59"/>
      <c r="C166" s="59"/>
      <c r="D166" s="1173"/>
      <c r="E166" s="59"/>
      <c r="F166" s="1173"/>
      <c r="G166" s="1174"/>
      <c r="H166" s="59"/>
      <c r="I166" s="59"/>
      <c r="J166" s="1173"/>
      <c r="K166" s="59"/>
      <c r="L166" s="1173"/>
      <c r="M166" s="59"/>
      <c r="N166" s="59"/>
      <c r="O166" s="59"/>
      <c r="P166" s="59"/>
      <c r="Q166" s="59"/>
      <c r="R166" s="59"/>
      <c r="S166" s="59"/>
      <c r="T166" s="59"/>
      <c r="U166" s="59"/>
      <c r="V166" s="59"/>
      <c r="W166" s="59"/>
      <c r="X166" s="59"/>
      <c r="Y166" s="59"/>
      <c r="Z166" s="59"/>
      <c r="AA166" s="59"/>
      <c r="AB166" s="59"/>
      <c r="AC166" s="59"/>
    </row>
    <row r="167" spans="1:29" ht="12.75">
      <c r="A167" s="59"/>
      <c r="B167" s="59"/>
      <c r="C167" s="59"/>
      <c r="D167" s="1173"/>
      <c r="E167" s="59"/>
      <c r="F167" s="1173"/>
      <c r="G167" s="1174"/>
      <c r="H167" s="59"/>
      <c r="I167" s="59"/>
      <c r="J167" s="1173"/>
      <c r="K167" s="59"/>
      <c r="L167" s="1173"/>
      <c r="M167" s="59"/>
      <c r="N167" s="59"/>
      <c r="O167" s="59"/>
      <c r="P167" s="59"/>
      <c r="Q167" s="59"/>
      <c r="R167" s="59"/>
      <c r="S167" s="59"/>
      <c r="T167" s="59"/>
      <c r="U167" s="59"/>
      <c r="V167" s="59"/>
      <c r="W167" s="59"/>
      <c r="X167" s="59"/>
      <c r="Y167" s="59"/>
      <c r="Z167" s="59"/>
      <c r="AA167" s="59"/>
      <c r="AB167" s="59"/>
      <c r="AC167" s="59"/>
    </row>
    <row r="168" spans="1:29" ht="12.75">
      <c r="A168" s="59"/>
      <c r="B168" s="59"/>
      <c r="C168" s="59"/>
      <c r="D168" s="1173"/>
      <c r="E168" s="59"/>
      <c r="F168" s="1173"/>
      <c r="G168" s="1174"/>
      <c r="H168" s="59"/>
      <c r="I168" s="59"/>
      <c r="J168" s="1173"/>
      <c r="K168" s="59"/>
      <c r="L168" s="1173"/>
      <c r="M168" s="59"/>
      <c r="N168" s="59"/>
      <c r="O168" s="59"/>
      <c r="P168" s="59"/>
      <c r="Q168" s="59"/>
      <c r="R168" s="59"/>
      <c r="S168" s="59"/>
      <c r="T168" s="59"/>
      <c r="U168" s="59"/>
      <c r="V168" s="59"/>
      <c r="W168" s="59"/>
      <c r="X168" s="59"/>
      <c r="Y168" s="59"/>
      <c r="Z168" s="59"/>
      <c r="AA168" s="59"/>
      <c r="AB168" s="59"/>
      <c r="AC168" s="59"/>
    </row>
    <row r="169" spans="1:29" ht="12.75">
      <c r="A169" s="59"/>
      <c r="B169" s="59"/>
      <c r="C169" s="59"/>
      <c r="D169" s="1173"/>
      <c r="E169" s="59"/>
      <c r="F169" s="1173"/>
      <c r="G169" s="1174"/>
      <c r="H169" s="59"/>
      <c r="I169" s="59"/>
      <c r="J169" s="1173"/>
      <c r="K169" s="59"/>
      <c r="L169" s="1173"/>
      <c r="M169" s="59"/>
      <c r="N169" s="59"/>
      <c r="O169" s="59"/>
      <c r="P169" s="59"/>
      <c r="Q169" s="59"/>
      <c r="R169" s="59"/>
      <c r="S169" s="59"/>
      <c r="T169" s="59"/>
      <c r="U169" s="59"/>
      <c r="V169" s="59"/>
      <c r="W169" s="59"/>
      <c r="X169" s="59"/>
      <c r="Y169" s="59"/>
      <c r="Z169" s="59"/>
      <c r="AA169" s="59"/>
      <c r="AB169" s="59"/>
      <c r="AC169" s="59"/>
    </row>
    <row r="170" spans="1:29" ht="12.75">
      <c r="A170" s="59"/>
      <c r="B170" s="59"/>
      <c r="C170" s="59"/>
      <c r="D170" s="1173"/>
      <c r="E170" s="59"/>
      <c r="F170" s="1173"/>
      <c r="G170" s="1174"/>
      <c r="H170" s="59"/>
      <c r="I170" s="59"/>
      <c r="J170" s="1173"/>
      <c r="K170" s="59"/>
      <c r="L170" s="1173"/>
      <c r="M170" s="59"/>
      <c r="N170" s="59"/>
      <c r="O170" s="59"/>
      <c r="P170" s="59"/>
      <c r="Q170" s="59"/>
      <c r="R170" s="59"/>
      <c r="S170" s="59"/>
      <c r="T170" s="59"/>
      <c r="U170" s="59"/>
      <c r="V170" s="59"/>
      <c r="W170" s="59"/>
      <c r="X170" s="59"/>
      <c r="Y170" s="59"/>
      <c r="Z170" s="59"/>
      <c r="AA170" s="59"/>
      <c r="AB170" s="59"/>
      <c r="AC170" s="59"/>
    </row>
    <row r="171" spans="1:29" ht="12.75">
      <c r="A171" s="59"/>
      <c r="B171" s="59"/>
      <c r="C171" s="59"/>
      <c r="D171" s="1173"/>
      <c r="E171" s="59"/>
      <c r="F171" s="1173"/>
      <c r="G171" s="1174"/>
      <c r="H171" s="59"/>
      <c r="I171" s="59"/>
      <c r="J171" s="1173"/>
      <c r="K171" s="59"/>
      <c r="L171" s="1173"/>
      <c r="M171" s="59"/>
      <c r="N171" s="59"/>
      <c r="O171" s="59"/>
      <c r="P171" s="59"/>
      <c r="Q171" s="59"/>
      <c r="R171" s="59"/>
      <c r="S171" s="59"/>
      <c r="T171" s="59"/>
      <c r="U171" s="59"/>
      <c r="V171" s="59"/>
      <c r="W171" s="59"/>
      <c r="X171" s="59"/>
      <c r="Y171" s="59"/>
      <c r="Z171" s="59"/>
      <c r="AA171" s="59"/>
      <c r="AB171" s="59"/>
      <c r="AC171" s="59"/>
    </row>
    <row r="172" spans="1:29" ht="12.75">
      <c r="A172" s="59"/>
      <c r="B172" s="59"/>
      <c r="C172" s="59"/>
      <c r="D172" s="1173"/>
      <c r="E172" s="59"/>
      <c r="F172" s="1173"/>
      <c r="G172" s="1174"/>
      <c r="H172" s="59"/>
      <c r="I172" s="59"/>
      <c r="J172" s="1173"/>
      <c r="K172" s="59"/>
      <c r="L172" s="1173"/>
      <c r="M172" s="59"/>
      <c r="N172" s="59"/>
      <c r="O172" s="59"/>
      <c r="P172" s="59"/>
      <c r="Q172" s="59"/>
      <c r="R172" s="59"/>
      <c r="S172" s="59"/>
      <c r="T172" s="59"/>
      <c r="U172" s="59"/>
      <c r="V172" s="59"/>
      <c r="W172" s="59"/>
      <c r="X172" s="59"/>
      <c r="Y172" s="59"/>
      <c r="Z172" s="59"/>
      <c r="AA172" s="59"/>
      <c r="AB172" s="59"/>
      <c r="AC172" s="59"/>
    </row>
    <row r="173" spans="1:29" ht="12.75">
      <c r="A173" s="59"/>
      <c r="B173" s="59"/>
      <c r="C173" s="59"/>
      <c r="D173" s="1173"/>
      <c r="E173" s="59"/>
      <c r="F173" s="1173"/>
      <c r="G173" s="1174"/>
      <c r="H173" s="59"/>
      <c r="I173" s="59"/>
      <c r="J173" s="1173"/>
      <c r="K173" s="59"/>
      <c r="L173" s="1173"/>
      <c r="M173" s="59"/>
      <c r="N173" s="59"/>
      <c r="O173" s="59"/>
      <c r="P173" s="59"/>
      <c r="Q173" s="59"/>
      <c r="R173" s="59"/>
      <c r="S173" s="59"/>
      <c r="T173" s="59"/>
      <c r="U173" s="59"/>
      <c r="V173" s="59"/>
      <c r="W173" s="59"/>
      <c r="X173" s="59"/>
      <c r="Y173" s="59"/>
      <c r="Z173" s="59"/>
      <c r="AA173" s="59"/>
      <c r="AB173" s="59"/>
      <c r="AC173" s="59"/>
    </row>
    <row r="174" spans="1:29" ht="12.75">
      <c r="A174" s="59"/>
      <c r="B174" s="59"/>
      <c r="C174" s="59"/>
      <c r="D174" s="1173"/>
      <c r="E174" s="59"/>
      <c r="F174" s="1173"/>
      <c r="G174" s="1174"/>
      <c r="H174" s="59"/>
      <c r="I174" s="59"/>
      <c r="J174" s="1173"/>
      <c r="K174" s="59"/>
      <c r="L174" s="1173"/>
      <c r="M174" s="59"/>
      <c r="N174" s="59"/>
      <c r="O174" s="59"/>
      <c r="P174" s="59"/>
      <c r="Q174" s="59"/>
      <c r="R174" s="59"/>
      <c r="S174" s="59"/>
      <c r="T174" s="59"/>
      <c r="U174" s="59"/>
      <c r="V174" s="59"/>
      <c r="W174" s="59"/>
      <c r="X174" s="59"/>
      <c r="Y174" s="59"/>
      <c r="Z174" s="59"/>
      <c r="AA174" s="59"/>
      <c r="AB174" s="59"/>
      <c r="AC174" s="59"/>
    </row>
    <row r="175" spans="1:29" ht="12.75">
      <c r="A175" s="59"/>
      <c r="B175" s="59"/>
      <c r="C175" s="59"/>
      <c r="D175" s="1173"/>
      <c r="E175" s="59"/>
      <c r="F175" s="1173"/>
      <c r="G175" s="1174"/>
      <c r="H175" s="59"/>
      <c r="I175" s="59"/>
      <c r="J175" s="1173"/>
      <c r="K175" s="59"/>
      <c r="L175" s="1173"/>
      <c r="M175" s="59"/>
      <c r="N175" s="59"/>
      <c r="O175" s="59"/>
      <c r="P175" s="59"/>
      <c r="Q175" s="59"/>
      <c r="R175" s="59"/>
      <c r="S175" s="59"/>
      <c r="T175" s="59"/>
      <c r="U175" s="59"/>
      <c r="V175" s="59"/>
      <c r="W175" s="59"/>
      <c r="X175" s="59"/>
      <c r="Y175" s="59"/>
      <c r="Z175" s="59"/>
      <c r="AA175" s="59"/>
      <c r="AB175" s="59"/>
      <c r="AC175" s="59"/>
    </row>
    <row r="176" spans="1:29" ht="12.75">
      <c r="A176" s="59"/>
      <c r="B176" s="59"/>
      <c r="C176" s="59"/>
      <c r="D176" s="1173"/>
      <c r="E176" s="59"/>
      <c r="F176" s="1173"/>
      <c r="G176" s="1174"/>
      <c r="H176" s="59"/>
      <c r="I176" s="59"/>
      <c r="J176" s="1173"/>
      <c r="K176" s="59"/>
      <c r="L176" s="1173"/>
      <c r="M176" s="59"/>
      <c r="N176" s="59"/>
      <c r="O176" s="59"/>
      <c r="P176" s="59"/>
      <c r="Q176" s="59"/>
      <c r="R176" s="59"/>
      <c r="S176" s="59"/>
      <c r="T176" s="59"/>
      <c r="U176" s="59"/>
      <c r="V176" s="59"/>
      <c r="W176" s="59"/>
      <c r="X176" s="59"/>
      <c r="Y176" s="59"/>
      <c r="Z176" s="59"/>
      <c r="AA176" s="59"/>
      <c r="AB176" s="59"/>
      <c r="AC176" s="59"/>
    </row>
    <row r="177" spans="1:29" ht="12.75">
      <c r="A177" s="59"/>
      <c r="B177" s="59"/>
      <c r="C177" s="59"/>
      <c r="D177" s="1173"/>
      <c r="E177" s="59"/>
      <c r="F177" s="1173"/>
      <c r="G177" s="1174"/>
      <c r="H177" s="59"/>
      <c r="I177" s="59"/>
      <c r="J177" s="1173"/>
      <c r="K177" s="59"/>
      <c r="L177" s="1173"/>
      <c r="M177" s="59"/>
      <c r="N177" s="59"/>
      <c r="O177" s="59"/>
      <c r="P177" s="59"/>
      <c r="Q177" s="59"/>
      <c r="R177" s="59"/>
      <c r="S177" s="59"/>
      <c r="T177" s="59"/>
      <c r="U177" s="59"/>
      <c r="V177" s="59"/>
      <c r="W177" s="59"/>
      <c r="X177" s="59"/>
      <c r="Y177" s="59"/>
      <c r="Z177" s="59"/>
      <c r="AA177" s="59"/>
      <c r="AB177" s="59"/>
      <c r="AC177" s="59"/>
    </row>
    <row r="178" spans="1:29" ht="12.75">
      <c r="A178" s="59"/>
      <c r="B178" s="59"/>
      <c r="C178" s="59"/>
      <c r="D178" s="1173"/>
      <c r="E178" s="59"/>
      <c r="F178" s="1173"/>
      <c r="G178" s="1174"/>
      <c r="H178" s="59"/>
      <c r="I178" s="59"/>
      <c r="J178" s="1173"/>
      <c r="K178" s="59"/>
      <c r="L178" s="1173"/>
      <c r="M178" s="59"/>
      <c r="N178" s="59"/>
      <c r="O178" s="59"/>
      <c r="P178" s="59"/>
      <c r="Q178" s="59"/>
      <c r="R178" s="59"/>
      <c r="S178" s="59"/>
      <c r="T178" s="59"/>
      <c r="U178" s="59"/>
      <c r="V178" s="59"/>
      <c r="W178" s="59"/>
      <c r="X178" s="59"/>
      <c r="Y178" s="59"/>
      <c r="Z178" s="59"/>
      <c r="AA178" s="59"/>
      <c r="AB178" s="59"/>
      <c r="AC178" s="59"/>
    </row>
    <row r="179" spans="1:29" ht="12.75">
      <c r="A179" s="59"/>
      <c r="B179" s="59"/>
      <c r="C179" s="59"/>
      <c r="D179" s="1173"/>
      <c r="E179" s="59"/>
      <c r="F179" s="1173"/>
      <c r="G179" s="1174"/>
      <c r="H179" s="59"/>
      <c r="I179" s="59"/>
      <c r="J179" s="1173"/>
      <c r="K179" s="59"/>
      <c r="L179" s="1173"/>
      <c r="M179" s="59"/>
      <c r="N179" s="59"/>
      <c r="O179" s="59"/>
      <c r="P179" s="59"/>
      <c r="Q179" s="59"/>
      <c r="R179" s="59"/>
      <c r="S179" s="59"/>
      <c r="T179" s="59"/>
      <c r="U179" s="59"/>
      <c r="V179" s="59"/>
      <c r="W179" s="59"/>
      <c r="X179" s="59"/>
      <c r="Y179" s="59"/>
      <c r="Z179" s="59"/>
      <c r="AA179" s="59"/>
      <c r="AB179" s="59"/>
      <c r="AC179" s="59"/>
    </row>
    <row r="180" spans="1:29" ht="12.75">
      <c r="A180" s="59"/>
      <c r="B180" s="59"/>
      <c r="C180" s="59"/>
      <c r="D180" s="1173"/>
      <c r="E180" s="59"/>
      <c r="F180" s="1173"/>
      <c r="G180" s="1174"/>
      <c r="H180" s="59"/>
      <c r="I180" s="59"/>
      <c r="J180" s="1173"/>
      <c r="K180" s="59"/>
      <c r="L180" s="1173"/>
      <c r="M180" s="59"/>
      <c r="N180" s="59"/>
      <c r="O180" s="59"/>
      <c r="P180" s="59"/>
      <c r="Q180" s="59"/>
      <c r="R180" s="59"/>
      <c r="S180" s="59"/>
      <c r="T180" s="59"/>
      <c r="U180" s="59"/>
      <c r="V180" s="59"/>
      <c r="W180" s="59"/>
      <c r="X180" s="59"/>
      <c r="Y180" s="59"/>
      <c r="Z180" s="59"/>
      <c r="AA180" s="59"/>
      <c r="AB180" s="59"/>
      <c r="AC180" s="59"/>
    </row>
    <row r="181" spans="1:29" ht="12.75">
      <c r="A181" s="59"/>
      <c r="B181" s="59"/>
      <c r="C181" s="59"/>
      <c r="D181" s="1173"/>
      <c r="E181" s="59"/>
      <c r="F181" s="1173"/>
      <c r="G181" s="1174"/>
      <c r="H181" s="59"/>
      <c r="I181" s="59"/>
      <c r="J181" s="1173"/>
      <c r="K181" s="59"/>
      <c r="L181" s="1173"/>
      <c r="M181" s="59"/>
      <c r="N181" s="59"/>
      <c r="O181" s="59"/>
      <c r="P181" s="59"/>
      <c r="Q181" s="59"/>
      <c r="R181" s="59"/>
      <c r="S181" s="59"/>
      <c r="T181" s="59"/>
      <c r="U181" s="59"/>
      <c r="V181" s="59"/>
      <c r="W181" s="59"/>
      <c r="X181" s="59"/>
      <c r="Y181" s="59"/>
      <c r="Z181" s="59"/>
      <c r="AA181" s="59"/>
      <c r="AB181" s="59"/>
      <c r="AC181" s="59"/>
    </row>
    <row r="182" spans="1:29" ht="12.75">
      <c r="A182" s="59"/>
      <c r="B182" s="59"/>
      <c r="C182" s="59"/>
      <c r="D182" s="1173"/>
      <c r="E182" s="59"/>
      <c r="F182" s="1173"/>
      <c r="G182" s="1174"/>
      <c r="H182" s="59"/>
      <c r="I182" s="59"/>
      <c r="J182" s="1173"/>
      <c r="K182" s="59"/>
      <c r="L182" s="1173"/>
      <c r="M182" s="59"/>
      <c r="N182" s="59"/>
      <c r="O182" s="59"/>
      <c r="P182" s="59"/>
      <c r="Q182" s="59"/>
      <c r="R182" s="59"/>
      <c r="S182" s="59"/>
      <c r="T182" s="59"/>
      <c r="U182" s="59"/>
      <c r="V182" s="59"/>
      <c r="W182" s="59"/>
      <c r="X182" s="59"/>
      <c r="Y182" s="59"/>
      <c r="Z182" s="59"/>
      <c r="AA182" s="59"/>
      <c r="AB182" s="59"/>
      <c r="AC182" s="59"/>
    </row>
    <row r="183" spans="1:29" ht="12.75">
      <c r="A183" s="59"/>
      <c r="B183" s="59"/>
      <c r="C183" s="59"/>
      <c r="D183" s="1173"/>
      <c r="E183" s="59"/>
      <c r="F183" s="1173"/>
      <c r="G183" s="1174"/>
      <c r="H183" s="59"/>
      <c r="I183" s="59"/>
      <c r="J183" s="1173"/>
      <c r="K183" s="59"/>
      <c r="L183" s="1173"/>
      <c r="M183" s="59"/>
      <c r="N183" s="59"/>
      <c r="O183" s="59"/>
      <c r="P183" s="59"/>
      <c r="Q183" s="59"/>
      <c r="R183" s="59"/>
      <c r="S183" s="59"/>
      <c r="T183" s="59"/>
      <c r="U183" s="59"/>
      <c r="V183" s="59"/>
      <c r="W183" s="59"/>
      <c r="X183" s="59"/>
      <c r="Y183" s="59"/>
      <c r="Z183" s="59"/>
      <c r="AA183" s="59"/>
      <c r="AB183" s="59"/>
      <c r="AC183" s="59"/>
    </row>
    <row r="184" spans="1:29" ht="12.75">
      <c r="A184" s="59"/>
      <c r="B184" s="59"/>
      <c r="C184" s="59"/>
      <c r="D184" s="1173"/>
      <c r="E184" s="59"/>
      <c r="F184" s="1173"/>
      <c r="G184" s="1174"/>
      <c r="H184" s="59"/>
      <c r="I184" s="59"/>
      <c r="J184" s="1173"/>
      <c r="K184" s="59"/>
      <c r="L184" s="1173"/>
      <c r="M184" s="59"/>
      <c r="N184" s="59"/>
      <c r="O184" s="59"/>
      <c r="P184" s="59"/>
      <c r="Q184" s="59"/>
      <c r="R184" s="59"/>
      <c r="S184" s="59"/>
      <c r="T184" s="59"/>
      <c r="U184" s="59"/>
      <c r="V184" s="59"/>
      <c r="W184" s="59"/>
      <c r="X184" s="59"/>
      <c r="Y184" s="59"/>
      <c r="Z184" s="59"/>
      <c r="AA184" s="59"/>
      <c r="AB184" s="59"/>
      <c r="AC184" s="59"/>
    </row>
    <row r="185" spans="1:29" ht="12.75">
      <c r="A185" s="59"/>
      <c r="B185" s="59"/>
      <c r="C185" s="59"/>
      <c r="D185" s="1173"/>
      <c r="E185" s="59"/>
      <c r="F185" s="1173"/>
      <c r="G185" s="1174"/>
      <c r="H185" s="59"/>
      <c r="I185" s="59"/>
      <c r="J185" s="1173"/>
      <c r="K185" s="59"/>
      <c r="L185" s="1173"/>
      <c r="M185" s="59"/>
      <c r="N185" s="59"/>
      <c r="O185" s="59"/>
      <c r="P185" s="59"/>
      <c r="Q185" s="59"/>
      <c r="R185" s="59"/>
      <c r="S185" s="59"/>
      <c r="T185" s="59"/>
      <c r="U185" s="59"/>
      <c r="V185" s="59"/>
      <c r="W185" s="59"/>
      <c r="X185" s="59"/>
      <c r="Y185" s="59"/>
      <c r="Z185" s="59"/>
      <c r="AA185" s="59"/>
      <c r="AB185" s="59"/>
      <c r="AC185" s="59"/>
    </row>
    <row r="186" spans="1:29" ht="12.75">
      <c r="A186" s="59"/>
      <c r="B186" s="59"/>
      <c r="C186" s="59"/>
      <c r="D186" s="1173"/>
      <c r="E186" s="59"/>
      <c r="F186" s="1173"/>
      <c r="G186" s="1174"/>
      <c r="H186" s="59"/>
      <c r="I186" s="59"/>
      <c r="J186" s="1173"/>
      <c r="K186" s="59"/>
      <c r="L186" s="1173"/>
      <c r="M186" s="59"/>
      <c r="N186" s="59"/>
      <c r="O186" s="59"/>
      <c r="P186" s="59"/>
      <c r="Q186" s="59"/>
      <c r="R186" s="59"/>
      <c r="S186" s="59"/>
      <c r="T186" s="59"/>
      <c r="U186" s="59"/>
      <c r="V186" s="59"/>
      <c r="W186" s="59"/>
      <c r="X186" s="59"/>
      <c r="Y186" s="59"/>
      <c r="Z186" s="59"/>
      <c r="AA186" s="59"/>
      <c r="AB186" s="59"/>
      <c r="AC186" s="59"/>
    </row>
    <row r="187" spans="1:29" ht="12.75">
      <c r="A187" s="59"/>
      <c r="B187" s="59"/>
      <c r="C187" s="59"/>
      <c r="D187" s="1173"/>
      <c r="E187" s="59"/>
      <c r="F187" s="1173"/>
      <c r="G187" s="1174"/>
      <c r="H187" s="59"/>
      <c r="I187" s="59"/>
      <c r="J187" s="1173"/>
      <c r="K187" s="59"/>
      <c r="L187" s="1173"/>
      <c r="M187" s="59"/>
      <c r="N187" s="59"/>
      <c r="O187" s="59"/>
      <c r="P187" s="59"/>
      <c r="Q187" s="59"/>
      <c r="R187" s="59"/>
      <c r="S187" s="59"/>
      <c r="T187" s="59"/>
      <c r="U187" s="59"/>
      <c r="V187" s="59"/>
      <c r="W187" s="59"/>
      <c r="X187" s="59"/>
      <c r="Y187" s="59"/>
      <c r="Z187" s="59"/>
      <c r="AA187" s="59"/>
      <c r="AB187" s="59"/>
      <c r="AC187" s="59"/>
    </row>
    <row r="188" spans="1:29" ht="12.75">
      <c r="A188" s="59"/>
      <c r="B188" s="59"/>
      <c r="C188" s="59"/>
      <c r="D188" s="1173"/>
      <c r="E188" s="59"/>
      <c r="F188" s="1173"/>
      <c r="G188" s="1174"/>
      <c r="H188" s="59"/>
      <c r="I188" s="59"/>
      <c r="J188" s="1173"/>
      <c r="K188" s="59"/>
      <c r="L188" s="1173"/>
      <c r="M188" s="59"/>
      <c r="N188" s="59"/>
      <c r="O188" s="59"/>
      <c r="P188" s="59"/>
      <c r="Q188" s="59"/>
      <c r="R188" s="59"/>
      <c r="S188" s="59"/>
      <c r="T188" s="59"/>
      <c r="U188" s="59"/>
      <c r="V188" s="59"/>
      <c r="W188" s="59"/>
      <c r="X188" s="59"/>
      <c r="Y188" s="59"/>
      <c r="Z188" s="59"/>
      <c r="AA188" s="59"/>
      <c r="AB188" s="59"/>
      <c r="AC188" s="59"/>
    </row>
    <row r="189" spans="1:29" ht="12.75">
      <c r="A189" s="59"/>
      <c r="B189" s="59"/>
      <c r="C189" s="59"/>
      <c r="D189" s="1173"/>
      <c r="E189" s="59"/>
      <c r="F189" s="1173"/>
      <c r="G189" s="1174"/>
      <c r="H189" s="59"/>
      <c r="I189" s="59"/>
      <c r="J189" s="1173"/>
      <c r="K189" s="59"/>
      <c r="L189" s="1173"/>
      <c r="M189" s="59"/>
      <c r="N189" s="59"/>
      <c r="O189" s="59"/>
      <c r="P189" s="59"/>
      <c r="Q189" s="59"/>
      <c r="R189" s="59"/>
      <c r="S189" s="59"/>
      <c r="T189" s="59"/>
      <c r="U189" s="59"/>
      <c r="V189" s="59"/>
      <c r="W189" s="59"/>
      <c r="X189" s="59"/>
      <c r="Y189" s="59"/>
      <c r="Z189" s="59"/>
      <c r="AA189" s="59"/>
      <c r="AB189" s="59"/>
      <c r="AC189" s="59"/>
    </row>
    <row r="190" spans="1:29" ht="12.75">
      <c r="A190" s="59"/>
      <c r="B190" s="59"/>
      <c r="C190" s="59"/>
      <c r="D190" s="1173"/>
      <c r="E190" s="59"/>
      <c r="F190" s="1173"/>
      <c r="G190" s="1174"/>
      <c r="H190" s="59"/>
      <c r="I190" s="59"/>
      <c r="J190" s="1173"/>
      <c r="K190" s="59"/>
      <c r="L190" s="1173"/>
      <c r="M190" s="59"/>
      <c r="N190" s="59"/>
      <c r="O190" s="59"/>
      <c r="P190" s="59"/>
      <c r="Q190" s="59"/>
      <c r="R190" s="59"/>
      <c r="S190" s="59"/>
      <c r="T190" s="59"/>
      <c r="U190" s="59"/>
      <c r="V190" s="59"/>
      <c r="W190" s="59"/>
      <c r="X190" s="59"/>
      <c r="Y190" s="59"/>
      <c r="Z190" s="59"/>
      <c r="AA190" s="59"/>
      <c r="AB190" s="59"/>
      <c r="AC190" s="59"/>
    </row>
    <row r="191" spans="1:29" ht="12.75">
      <c r="A191" s="59"/>
      <c r="B191" s="59"/>
      <c r="C191" s="59"/>
      <c r="D191" s="1173"/>
      <c r="E191" s="59"/>
      <c r="F191" s="1173"/>
      <c r="G191" s="1174"/>
      <c r="H191" s="59"/>
      <c r="I191" s="59"/>
      <c r="J191" s="1173"/>
      <c r="K191" s="59"/>
      <c r="L191" s="1173"/>
      <c r="M191" s="59"/>
      <c r="N191" s="59"/>
      <c r="O191" s="59"/>
      <c r="P191" s="59"/>
      <c r="Q191" s="59"/>
      <c r="R191" s="59"/>
      <c r="S191" s="59"/>
      <c r="T191" s="59"/>
      <c r="U191" s="59"/>
      <c r="V191" s="59"/>
      <c r="W191" s="59"/>
      <c r="X191" s="59"/>
      <c r="Y191" s="59"/>
      <c r="Z191" s="59"/>
      <c r="AA191" s="59"/>
      <c r="AB191" s="59"/>
      <c r="AC191" s="59"/>
    </row>
    <row r="192" spans="1:29" ht="12.75">
      <c r="A192" s="59"/>
      <c r="B192" s="59"/>
      <c r="C192" s="59"/>
      <c r="D192" s="1173"/>
      <c r="E192" s="59"/>
      <c r="F192" s="1173"/>
      <c r="G192" s="1174"/>
      <c r="H192" s="59"/>
      <c r="I192" s="59"/>
      <c r="J192" s="1173"/>
      <c r="K192" s="59"/>
      <c r="L192" s="1173"/>
      <c r="M192" s="59"/>
      <c r="N192" s="59"/>
      <c r="O192" s="59"/>
      <c r="P192" s="59"/>
      <c r="Q192" s="59"/>
      <c r="R192" s="59"/>
      <c r="S192" s="59"/>
      <c r="T192" s="59"/>
      <c r="U192" s="59"/>
      <c r="V192" s="59"/>
      <c r="W192" s="59"/>
      <c r="X192" s="59"/>
      <c r="Y192" s="59"/>
      <c r="Z192" s="59"/>
      <c r="AA192" s="59"/>
      <c r="AB192" s="59"/>
      <c r="AC192" s="59"/>
    </row>
    <row r="193" spans="1:29" ht="12.75">
      <c r="A193" s="59"/>
      <c r="B193" s="59"/>
      <c r="C193" s="59"/>
      <c r="D193" s="1173"/>
      <c r="E193" s="59"/>
      <c r="F193" s="1173"/>
      <c r="G193" s="1174"/>
      <c r="H193" s="59"/>
      <c r="I193" s="59"/>
      <c r="J193" s="1173"/>
      <c r="K193" s="59"/>
      <c r="L193" s="1173"/>
      <c r="M193" s="59"/>
      <c r="N193" s="59"/>
      <c r="O193" s="59"/>
      <c r="P193" s="59"/>
      <c r="Q193" s="59"/>
      <c r="R193" s="59"/>
      <c r="S193" s="59"/>
      <c r="T193" s="59"/>
      <c r="U193" s="59"/>
      <c r="V193" s="59"/>
      <c r="W193" s="59"/>
      <c r="X193" s="59"/>
      <c r="Y193" s="59"/>
      <c r="Z193" s="59"/>
      <c r="AA193" s="59"/>
      <c r="AB193" s="59"/>
      <c r="AC193" s="59"/>
    </row>
    <row r="194" spans="1:29" ht="12.75">
      <c r="A194" s="59"/>
      <c r="B194" s="59"/>
      <c r="C194" s="59"/>
      <c r="D194" s="1173"/>
      <c r="E194" s="59"/>
      <c r="F194" s="1173"/>
      <c r="G194" s="1174"/>
      <c r="H194" s="59"/>
      <c r="I194" s="59"/>
      <c r="J194" s="1173"/>
      <c r="K194" s="59"/>
      <c r="L194" s="1173"/>
      <c r="M194" s="59"/>
      <c r="N194" s="59"/>
      <c r="O194" s="59"/>
      <c r="P194" s="59"/>
      <c r="Q194" s="59"/>
      <c r="R194" s="59"/>
      <c r="S194" s="59"/>
      <c r="T194" s="59"/>
      <c r="U194" s="59"/>
      <c r="V194" s="59"/>
      <c r="W194" s="59"/>
      <c r="X194" s="59"/>
      <c r="Y194" s="59"/>
      <c r="Z194" s="59"/>
      <c r="AA194" s="59"/>
      <c r="AB194" s="59"/>
      <c r="AC194" s="59"/>
    </row>
    <row r="195" spans="1:29" ht="12.75">
      <c r="A195" s="59"/>
      <c r="B195" s="59"/>
      <c r="C195" s="59"/>
      <c r="D195" s="1173"/>
      <c r="E195" s="59"/>
      <c r="F195" s="1173"/>
      <c r="G195" s="1174"/>
      <c r="H195" s="59"/>
      <c r="I195" s="59"/>
      <c r="J195" s="1173"/>
      <c r="K195" s="59"/>
      <c r="L195" s="1173"/>
      <c r="M195" s="59"/>
      <c r="N195" s="59"/>
      <c r="O195" s="59"/>
      <c r="P195" s="59"/>
      <c r="Q195" s="59"/>
      <c r="R195" s="59"/>
      <c r="S195" s="59"/>
      <c r="T195" s="59"/>
      <c r="U195" s="59"/>
      <c r="V195" s="59"/>
      <c r="W195" s="59"/>
      <c r="X195" s="59"/>
      <c r="Y195" s="59"/>
      <c r="Z195" s="59"/>
      <c r="AA195" s="59"/>
      <c r="AB195" s="59"/>
      <c r="AC195" s="59"/>
    </row>
    <row r="196" spans="1:29" ht="12.75">
      <c r="A196" s="59"/>
      <c r="B196" s="59"/>
      <c r="C196" s="59"/>
      <c r="D196" s="1173"/>
      <c r="E196" s="59"/>
      <c r="F196" s="1173"/>
      <c r="G196" s="1174"/>
      <c r="H196" s="59"/>
      <c r="I196" s="59"/>
      <c r="J196" s="1173"/>
      <c r="K196" s="59"/>
      <c r="L196" s="1173"/>
      <c r="M196" s="59"/>
      <c r="N196" s="59"/>
      <c r="O196" s="59"/>
      <c r="P196" s="59"/>
      <c r="Q196" s="59"/>
      <c r="R196" s="59"/>
      <c r="S196" s="59"/>
      <c r="T196" s="59"/>
      <c r="U196" s="59"/>
      <c r="V196" s="59"/>
      <c r="W196" s="59"/>
      <c r="X196" s="59"/>
      <c r="Y196" s="59"/>
      <c r="Z196" s="59"/>
      <c r="AA196" s="59"/>
      <c r="AB196" s="59"/>
      <c r="AC196" s="59"/>
    </row>
    <row r="197" spans="1:29" ht="12.75">
      <c r="A197" s="59"/>
      <c r="B197" s="59"/>
      <c r="C197" s="59"/>
      <c r="D197" s="1173"/>
      <c r="E197" s="59"/>
      <c r="F197" s="1173"/>
      <c r="G197" s="1174"/>
      <c r="H197" s="59"/>
      <c r="I197" s="59"/>
      <c r="J197" s="1173"/>
      <c r="K197" s="59"/>
      <c r="L197" s="1173"/>
      <c r="M197" s="59"/>
      <c r="N197" s="59"/>
      <c r="O197" s="59"/>
      <c r="P197" s="59"/>
      <c r="Q197" s="59"/>
      <c r="R197" s="59"/>
      <c r="S197" s="59"/>
      <c r="T197" s="59"/>
      <c r="U197" s="59"/>
      <c r="V197" s="59"/>
      <c r="W197" s="59"/>
      <c r="X197" s="59"/>
      <c r="Y197" s="59"/>
      <c r="Z197" s="59"/>
      <c r="AA197" s="59"/>
      <c r="AB197" s="59"/>
      <c r="AC197" s="59"/>
    </row>
    <row r="198" spans="1:29" ht="12.75">
      <c r="A198" s="59"/>
      <c r="B198" s="59"/>
      <c r="C198" s="59"/>
      <c r="D198" s="1173"/>
      <c r="E198" s="59"/>
      <c r="F198" s="1173"/>
      <c r="G198" s="1174"/>
      <c r="H198" s="59"/>
      <c r="I198" s="59"/>
      <c r="J198" s="1173"/>
      <c r="K198" s="59"/>
      <c r="L198" s="1173"/>
      <c r="M198" s="59"/>
      <c r="N198" s="59"/>
      <c r="O198" s="59"/>
      <c r="P198" s="59"/>
      <c r="Q198" s="59"/>
      <c r="R198" s="59"/>
      <c r="S198" s="59"/>
      <c r="T198" s="59"/>
      <c r="U198" s="59"/>
      <c r="V198" s="59"/>
      <c r="W198" s="59"/>
      <c r="X198" s="59"/>
      <c r="Y198" s="59"/>
      <c r="Z198" s="59"/>
      <c r="AA198" s="59"/>
      <c r="AB198" s="59"/>
      <c r="AC198" s="59"/>
    </row>
    <row r="199" spans="1:29" ht="12.75">
      <c r="A199" s="59"/>
      <c r="B199" s="59"/>
      <c r="C199" s="59"/>
      <c r="D199" s="1173"/>
      <c r="E199" s="59"/>
      <c r="F199" s="1173"/>
      <c r="G199" s="1174"/>
      <c r="H199" s="59"/>
      <c r="I199" s="59"/>
      <c r="J199" s="1173"/>
      <c r="K199" s="59"/>
      <c r="L199" s="1173"/>
      <c r="M199" s="59"/>
      <c r="N199" s="59"/>
      <c r="O199" s="59"/>
      <c r="P199" s="59"/>
      <c r="Q199" s="59"/>
      <c r="R199" s="59"/>
      <c r="S199" s="59"/>
      <c r="T199" s="59"/>
      <c r="U199" s="59"/>
      <c r="V199" s="59"/>
      <c r="W199" s="59"/>
      <c r="X199" s="59"/>
      <c r="Y199" s="59"/>
      <c r="Z199" s="59"/>
      <c r="AA199" s="59"/>
      <c r="AB199" s="59"/>
      <c r="AC199" s="59"/>
    </row>
    <row r="200" spans="1:29" ht="12.75">
      <c r="A200" s="59"/>
      <c r="B200" s="59"/>
      <c r="C200" s="59"/>
      <c r="D200" s="1173"/>
      <c r="E200" s="59"/>
      <c r="F200" s="1173"/>
      <c r="G200" s="1174"/>
      <c r="H200" s="59"/>
      <c r="I200" s="59"/>
      <c r="J200" s="1173"/>
      <c r="K200" s="59"/>
      <c r="L200" s="1173"/>
      <c r="M200" s="59"/>
      <c r="N200" s="59"/>
      <c r="O200" s="59"/>
      <c r="P200" s="59"/>
      <c r="Q200" s="59"/>
      <c r="R200" s="59"/>
      <c r="S200" s="59"/>
      <c r="T200" s="59"/>
      <c r="U200" s="59"/>
      <c r="V200" s="59"/>
      <c r="W200" s="59"/>
      <c r="X200" s="59"/>
      <c r="Y200" s="59"/>
      <c r="Z200" s="59"/>
      <c r="AA200" s="59"/>
      <c r="AB200" s="59"/>
      <c r="AC200" s="59"/>
    </row>
    <row r="201" spans="1:29" ht="12.75">
      <c r="A201" s="59"/>
      <c r="B201" s="59"/>
      <c r="C201" s="59"/>
      <c r="D201" s="1173"/>
      <c r="E201" s="59"/>
      <c r="F201" s="1173"/>
      <c r="G201" s="1174"/>
      <c r="H201" s="59"/>
      <c r="I201" s="59"/>
      <c r="J201" s="1173"/>
      <c r="K201" s="59"/>
      <c r="L201" s="1173"/>
      <c r="M201" s="59"/>
      <c r="N201" s="59"/>
      <c r="O201" s="59"/>
      <c r="P201" s="59"/>
      <c r="Q201" s="59"/>
      <c r="R201" s="59"/>
      <c r="S201" s="59"/>
      <c r="T201" s="59"/>
      <c r="U201" s="59"/>
      <c r="V201" s="59"/>
      <c r="W201" s="59"/>
      <c r="X201" s="59"/>
      <c r="Y201" s="59"/>
      <c r="Z201" s="59"/>
      <c r="AA201" s="59"/>
      <c r="AB201" s="59"/>
      <c r="AC201" s="59"/>
    </row>
    <row r="202" spans="1:29" ht="12.75">
      <c r="A202" s="59"/>
      <c r="B202" s="59"/>
      <c r="C202" s="59"/>
      <c r="D202" s="1173"/>
      <c r="E202" s="59"/>
      <c r="F202" s="1173"/>
      <c r="G202" s="1174"/>
      <c r="H202" s="59"/>
      <c r="I202" s="59"/>
      <c r="J202" s="1173"/>
      <c r="K202" s="59"/>
      <c r="L202" s="1173"/>
      <c r="M202" s="59"/>
      <c r="N202" s="59"/>
      <c r="O202" s="59"/>
      <c r="P202" s="59"/>
      <c r="Q202" s="59"/>
      <c r="R202" s="59"/>
      <c r="S202" s="59"/>
      <c r="T202" s="59"/>
      <c r="U202" s="59"/>
      <c r="V202" s="59"/>
      <c r="W202" s="59"/>
      <c r="X202" s="59"/>
      <c r="Y202" s="59"/>
      <c r="Z202" s="59"/>
      <c r="AA202" s="59"/>
      <c r="AB202" s="59"/>
      <c r="AC202" s="59"/>
    </row>
    <row r="203" spans="1:29" ht="12.75">
      <c r="A203" s="59"/>
      <c r="B203" s="59"/>
      <c r="C203" s="59"/>
      <c r="D203" s="1173"/>
      <c r="E203" s="59"/>
      <c r="F203" s="1173"/>
      <c r="G203" s="1174"/>
      <c r="H203" s="59"/>
      <c r="I203" s="59"/>
      <c r="J203" s="1173"/>
      <c r="K203" s="59"/>
      <c r="L203" s="1173"/>
      <c r="M203" s="59"/>
      <c r="N203" s="59"/>
      <c r="O203" s="59"/>
      <c r="P203" s="59"/>
      <c r="Q203" s="59"/>
      <c r="R203" s="59"/>
      <c r="S203" s="59"/>
      <c r="T203" s="59"/>
      <c r="U203" s="59"/>
      <c r="V203" s="59"/>
      <c r="W203" s="59"/>
      <c r="X203" s="59"/>
      <c r="Y203" s="59"/>
      <c r="Z203" s="59"/>
      <c r="AA203" s="59"/>
      <c r="AB203" s="59"/>
      <c r="AC203" s="59"/>
    </row>
    <row r="204" spans="1:29" ht="12.75">
      <c r="A204" s="59"/>
      <c r="B204" s="59"/>
      <c r="C204" s="59"/>
      <c r="D204" s="1173"/>
      <c r="E204" s="59"/>
      <c r="F204" s="1173"/>
      <c r="G204" s="1174"/>
      <c r="H204" s="59"/>
      <c r="I204" s="59"/>
      <c r="J204" s="1173"/>
      <c r="K204" s="59"/>
      <c r="L204" s="1173"/>
      <c r="M204" s="59"/>
      <c r="N204" s="59"/>
      <c r="O204" s="59"/>
      <c r="P204" s="59"/>
      <c r="Q204" s="59"/>
      <c r="R204" s="59"/>
      <c r="S204" s="59"/>
      <c r="T204" s="59"/>
      <c r="U204" s="59"/>
      <c r="V204" s="59"/>
      <c r="W204" s="59"/>
      <c r="X204" s="59"/>
      <c r="Y204" s="59"/>
      <c r="Z204" s="59"/>
      <c r="AA204" s="59"/>
      <c r="AB204" s="59"/>
      <c r="AC204" s="59"/>
    </row>
    <row r="205" spans="1:29" ht="12.75">
      <c r="A205" s="59"/>
      <c r="B205" s="59"/>
      <c r="C205" s="59"/>
      <c r="D205" s="1173"/>
      <c r="E205" s="59"/>
      <c r="F205" s="1173"/>
      <c r="G205" s="1174"/>
      <c r="H205" s="59"/>
      <c r="I205" s="59"/>
      <c r="J205" s="1173"/>
      <c r="K205" s="59"/>
      <c r="L205" s="1173"/>
      <c r="M205" s="59"/>
      <c r="N205" s="59"/>
      <c r="O205" s="59"/>
      <c r="P205" s="59"/>
      <c r="Q205" s="59"/>
      <c r="R205" s="59"/>
      <c r="S205" s="59"/>
      <c r="T205" s="59"/>
      <c r="U205" s="59"/>
      <c r="V205" s="59"/>
      <c r="W205" s="59"/>
      <c r="X205" s="59"/>
      <c r="Y205" s="59"/>
      <c r="Z205" s="59"/>
      <c r="AA205" s="59"/>
      <c r="AB205" s="59"/>
      <c r="AC205" s="59"/>
    </row>
    <row r="206" spans="1:29" ht="12.75">
      <c r="A206" s="59"/>
      <c r="B206" s="59"/>
      <c r="C206" s="59"/>
      <c r="D206" s="1173"/>
      <c r="E206" s="59"/>
      <c r="F206" s="1173"/>
      <c r="G206" s="1174"/>
      <c r="H206" s="59"/>
      <c r="I206" s="59"/>
      <c r="J206" s="1173"/>
      <c r="K206" s="59"/>
      <c r="L206" s="1173"/>
      <c r="M206" s="59"/>
      <c r="N206" s="59"/>
      <c r="O206" s="59"/>
      <c r="P206" s="59"/>
      <c r="Q206" s="59"/>
      <c r="R206" s="59"/>
      <c r="S206" s="59"/>
      <c r="T206" s="59"/>
      <c r="U206" s="59"/>
      <c r="V206" s="59"/>
      <c r="W206" s="59"/>
      <c r="X206" s="59"/>
      <c r="Y206" s="59"/>
      <c r="Z206" s="59"/>
      <c r="AA206" s="59"/>
      <c r="AB206" s="59"/>
      <c r="AC206" s="59"/>
    </row>
    <row r="207" spans="1:29" ht="12.75">
      <c r="A207" s="59"/>
      <c r="B207" s="59"/>
      <c r="C207" s="59"/>
      <c r="D207" s="1173"/>
      <c r="E207" s="59"/>
      <c r="F207" s="1173"/>
      <c r="G207" s="1174"/>
      <c r="H207" s="59"/>
      <c r="I207" s="59"/>
      <c r="J207" s="1173"/>
      <c r="K207" s="59"/>
      <c r="L207" s="1173"/>
      <c r="M207" s="59"/>
      <c r="N207" s="59"/>
      <c r="O207" s="59"/>
      <c r="P207" s="59"/>
      <c r="Q207" s="59"/>
      <c r="R207" s="59"/>
      <c r="S207" s="59"/>
      <c r="T207" s="59"/>
      <c r="U207" s="59"/>
      <c r="V207" s="59"/>
      <c r="W207" s="59"/>
      <c r="X207" s="59"/>
      <c r="Y207" s="59"/>
      <c r="Z207" s="59"/>
      <c r="AA207" s="59"/>
      <c r="AB207" s="59"/>
      <c r="AC207" s="59"/>
    </row>
    <row r="208" spans="1:29" ht="12.75">
      <c r="A208" s="59"/>
      <c r="B208" s="59"/>
      <c r="C208" s="59"/>
      <c r="D208" s="1173"/>
      <c r="E208" s="59"/>
      <c r="F208" s="1173"/>
      <c r="G208" s="1174"/>
      <c r="H208" s="59"/>
      <c r="I208" s="59"/>
      <c r="J208" s="1173"/>
      <c r="K208" s="59"/>
      <c r="L208" s="1173"/>
      <c r="M208" s="59"/>
      <c r="N208" s="59"/>
      <c r="O208" s="59"/>
      <c r="P208" s="59"/>
      <c r="Q208" s="59"/>
      <c r="R208" s="59"/>
      <c r="S208" s="59"/>
      <c r="T208" s="59"/>
      <c r="U208" s="59"/>
      <c r="V208" s="59"/>
      <c r="W208" s="59"/>
      <c r="X208" s="59"/>
      <c r="Y208" s="59"/>
      <c r="Z208" s="59"/>
      <c r="AA208" s="59"/>
      <c r="AB208" s="59"/>
      <c r="AC208" s="59"/>
    </row>
    <row r="209" spans="1:29" ht="12.75">
      <c r="A209" s="59"/>
      <c r="B209" s="59"/>
      <c r="C209" s="59"/>
      <c r="D209" s="1173"/>
      <c r="E209" s="59"/>
      <c r="F209" s="1173"/>
      <c r="G209" s="1174"/>
      <c r="H209" s="59"/>
      <c r="I209" s="59"/>
      <c r="J209" s="1173"/>
      <c r="K209" s="59"/>
      <c r="L209" s="1173"/>
      <c r="M209" s="59"/>
      <c r="N209" s="59"/>
      <c r="O209" s="59"/>
      <c r="P209" s="59"/>
      <c r="Q209" s="59"/>
      <c r="R209" s="59"/>
      <c r="S209" s="59"/>
      <c r="T209" s="59"/>
      <c r="U209" s="59"/>
      <c r="V209" s="59"/>
      <c r="W209" s="59"/>
      <c r="X209" s="59"/>
      <c r="Y209" s="59"/>
      <c r="Z209" s="59"/>
      <c r="AA209" s="59"/>
      <c r="AB209" s="59"/>
      <c r="AC209" s="59"/>
    </row>
    <row r="210" spans="1:29" ht="12.75">
      <c r="A210" s="59"/>
      <c r="B210" s="59"/>
      <c r="C210" s="59"/>
      <c r="D210" s="1173"/>
      <c r="E210" s="59"/>
      <c r="F210" s="1173"/>
      <c r="G210" s="1174"/>
      <c r="H210" s="59"/>
      <c r="I210" s="59"/>
      <c r="J210" s="1173"/>
      <c r="K210" s="59"/>
      <c r="L210" s="1173"/>
      <c r="M210" s="59"/>
      <c r="N210" s="59"/>
      <c r="O210" s="59"/>
      <c r="P210" s="59"/>
      <c r="Q210" s="59"/>
      <c r="R210" s="59"/>
      <c r="S210" s="59"/>
      <c r="T210" s="59"/>
      <c r="U210" s="59"/>
      <c r="V210" s="59"/>
      <c r="W210" s="59"/>
      <c r="X210" s="59"/>
      <c r="Y210" s="59"/>
      <c r="Z210" s="59"/>
      <c r="AA210" s="59"/>
      <c r="AB210" s="59"/>
      <c r="AC210" s="59"/>
    </row>
    <row r="211" spans="1:29" ht="12.75">
      <c r="A211" s="59"/>
      <c r="B211" s="59"/>
      <c r="C211" s="59"/>
      <c r="D211" s="1173"/>
      <c r="E211" s="59"/>
      <c r="F211" s="1173"/>
      <c r="G211" s="1174"/>
      <c r="H211" s="59"/>
      <c r="I211" s="59"/>
      <c r="J211" s="1173"/>
      <c r="K211" s="59"/>
      <c r="L211" s="1173"/>
      <c r="M211" s="59"/>
      <c r="N211" s="59"/>
      <c r="O211" s="59"/>
      <c r="P211" s="59"/>
      <c r="Q211" s="59"/>
      <c r="R211" s="59"/>
      <c r="S211" s="59"/>
      <c r="T211" s="59"/>
      <c r="U211" s="59"/>
      <c r="V211" s="59"/>
      <c r="W211" s="59"/>
      <c r="X211" s="59"/>
      <c r="Y211" s="59"/>
      <c r="Z211" s="59"/>
      <c r="AA211" s="59"/>
      <c r="AB211" s="59"/>
      <c r="AC211" s="59"/>
    </row>
    <row r="212" spans="1:29" ht="12.75">
      <c r="A212" s="59"/>
      <c r="B212" s="59"/>
      <c r="C212" s="59"/>
      <c r="D212" s="1173"/>
      <c r="E212" s="59"/>
      <c r="F212" s="1173"/>
      <c r="G212" s="1174"/>
      <c r="H212" s="59"/>
      <c r="I212" s="59"/>
      <c r="J212" s="1173"/>
      <c r="K212" s="59"/>
      <c r="L212" s="1173"/>
      <c r="M212" s="59"/>
      <c r="N212" s="59"/>
      <c r="O212" s="59"/>
      <c r="P212" s="59"/>
      <c r="Q212" s="59"/>
      <c r="R212" s="59"/>
      <c r="S212" s="59"/>
      <c r="T212" s="59"/>
      <c r="U212" s="59"/>
      <c r="V212" s="59"/>
      <c r="W212" s="59"/>
      <c r="X212" s="59"/>
      <c r="Y212" s="59"/>
      <c r="Z212" s="59"/>
      <c r="AA212" s="59"/>
      <c r="AB212" s="59"/>
      <c r="AC212" s="59"/>
    </row>
    <row r="213" spans="1:29" ht="12.75">
      <c r="A213" s="59"/>
      <c r="B213" s="59"/>
      <c r="C213" s="59"/>
      <c r="D213" s="1173"/>
      <c r="E213" s="59"/>
      <c r="F213" s="1173"/>
      <c r="G213" s="1174"/>
      <c r="H213" s="59"/>
      <c r="I213" s="59"/>
      <c r="J213" s="1173"/>
      <c r="K213" s="59"/>
      <c r="L213" s="1173"/>
      <c r="M213" s="59"/>
      <c r="N213" s="59"/>
      <c r="O213" s="59"/>
      <c r="P213" s="59"/>
      <c r="Q213" s="59"/>
      <c r="R213" s="59"/>
      <c r="S213" s="59"/>
      <c r="T213" s="59"/>
      <c r="U213" s="59"/>
      <c r="V213" s="59"/>
      <c r="W213" s="59"/>
      <c r="X213" s="59"/>
      <c r="Y213" s="59"/>
      <c r="Z213" s="59"/>
      <c r="AA213" s="59"/>
      <c r="AB213" s="59"/>
      <c r="AC213" s="59"/>
    </row>
    <row r="214" spans="1:29" ht="12.75">
      <c r="A214" s="59"/>
      <c r="B214" s="59"/>
      <c r="C214" s="59"/>
      <c r="D214" s="1173"/>
      <c r="E214" s="59"/>
      <c r="F214" s="1173"/>
      <c r="G214" s="1174"/>
      <c r="H214" s="59"/>
      <c r="I214" s="59"/>
      <c r="J214" s="1173"/>
      <c r="K214" s="59"/>
      <c r="L214" s="1173"/>
      <c r="M214" s="59"/>
      <c r="N214" s="59"/>
      <c r="O214" s="59"/>
      <c r="P214" s="59"/>
      <c r="Q214" s="59"/>
      <c r="R214" s="59"/>
      <c r="S214" s="59"/>
      <c r="T214" s="59"/>
      <c r="U214" s="59"/>
      <c r="V214" s="59"/>
      <c r="W214" s="59"/>
      <c r="X214" s="59"/>
      <c r="Y214" s="59"/>
      <c r="Z214" s="59"/>
      <c r="AA214" s="59"/>
      <c r="AB214" s="59"/>
      <c r="AC214" s="59"/>
    </row>
    <row r="215" spans="1:29" ht="12.75">
      <c r="A215" s="59"/>
      <c r="B215" s="59"/>
      <c r="C215" s="59"/>
      <c r="D215" s="1173"/>
      <c r="E215" s="59"/>
      <c r="F215" s="1173"/>
      <c r="G215" s="1174"/>
      <c r="H215" s="59"/>
      <c r="I215" s="59"/>
      <c r="J215" s="1173"/>
      <c r="K215" s="59"/>
      <c r="L215" s="1173"/>
      <c r="M215" s="59"/>
      <c r="N215" s="59"/>
      <c r="O215" s="59"/>
      <c r="P215" s="59"/>
      <c r="Q215" s="59"/>
      <c r="R215" s="59"/>
      <c r="S215" s="59"/>
      <c r="T215" s="59"/>
      <c r="U215" s="59"/>
      <c r="V215" s="59"/>
      <c r="W215" s="59"/>
      <c r="X215" s="59"/>
      <c r="Y215" s="59"/>
      <c r="Z215" s="59"/>
      <c r="AA215" s="59"/>
      <c r="AB215" s="59"/>
      <c r="AC215" s="59"/>
    </row>
    <row r="216" spans="1:29" ht="12.75">
      <c r="A216" s="59"/>
      <c r="B216" s="59"/>
      <c r="C216" s="59"/>
      <c r="D216" s="1173"/>
      <c r="E216" s="59"/>
      <c r="F216" s="1173"/>
      <c r="G216" s="1174"/>
      <c r="H216" s="59"/>
      <c r="I216" s="59"/>
      <c r="J216" s="1173"/>
      <c r="K216" s="59"/>
      <c r="L216" s="1173"/>
      <c r="M216" s="59"/>
      <c r="N216" s="59"/>
      <c r="O216" s="59"/>
      <c r="P216" s="59"/>
      <c r="Q216" s="59"/>
      <c r="R216" s="59"/>
      <c r="S216" s="59"/>
      <c r="T216" s="59"/>
      <c r="U216" s="59"/>
      <c r="V216" s="59"/>
      <c r="W216" s="59"/>
      <c r="X216" s="59"/>
      <c r="Y216" s="59"/>
      <c r="Z216" s="59"/>
      <c r="AA216" s="59"/>
      <c r="AB216" s="59"/>
      <c r="AC216" s="59"/>
    </row>
    <row r="217" spans="1:29" ht="12.75">
      <c r="A217" s="59"/>
      <c r="B217" s="59"/>
      <c r="C217" s="59"/>
      <c r="D217" s="1173"/>
      <c r="E217" s="59"/>
      <c r="F217" s="1173"/>
      <c r="G217" s="1174"/>
      <c r="H217" s="59"/>
      <c r="I217" s="59"/>
      <c r="J217" s="1173"/>
      <c r="K217" s="59"/>
      <c r="L217" s="1173"/>
      <c r="M217" s="59"/>
      <c r="N217" s="59"/>
      <c r="O217" s="59"/>
      <c r="P217" s="59"/>
      <c r="Q217" s="59"/>
      <c r="R217" s="59"/>
      <c r="S217" s="59"/>
      <c r="T217" s="59"/>
      <c r="U217" s="59"/>
      <c r="V217" s="59"/>
      <c r="W217" s="59"/>
      <c r="X217" s="59"/>
      <c r="Y217" s="59"/>
      <c r="Z217" s="59"/>
      <c r="AA217" s="59"/>
      <c r="AB217" s="59"/>
      <c r="AC217" s="59"/>
    </row>
    <row r="218" spans="1:29" ht="12.75">
      <c r="A218" s="59"/>
      <c r="B218" s="59"/>
      <c r="C218" s="59"/>
      <c r="D218" s="1173"/>
      <c r="E218" s="59"/>
      <c r="F218" s="1173"/>
      <c r="G218" s="1174"/>
      <c r="H218" s="59"/>
      <c r="I218" s="59"/>
      <c r="J218" s="1173"/>
      <c r="K218" s="59"/>
      <c r="L218" s="1173"/>
      <c r="M218" s="59"/>
      <c r="N218" s="59"/>
      <c r="O218" s="59"/>
      <c r="P218" s="59"/>
      <c r="Q218" s="59"/>
      <c r="R218" s="59"/>
      <c r="S218" s="59"/>
      <c r="T218" s="59"/>
      <c r="U218" s="59"/>
      <c r="V218" s="59"/>
      <c r="W218" s="59"/>
      <c r="X218" s="59"/>
      <c r="Y218" s="59"/>
      <c r="Z218" s="59"/>
      <c r="AA218" s="59"/>
      <c r="AB218" s="59"/>
      <c r="AC218" s="59"/>
    </row>
    <row r="219" spans="1:29" ht="12.75">
      <c r="A219" s="59"/>
      <c r="B219" s="59"/>
      <c r="C219" s="59"/>
      <c r="D219" s="1173"/>
      <c r="E219" s="59"/>
      <c r="F219" s="1173"/>
      <c r="G219" s="1174"/>
      <c r="H219" s="59"/>
      <c r="I219" s="59"/>
      <c r="J219" s="1173"/>
      <c r="K219" s="59"/>
      <c r="L219" s="1173"/>
      <c r="M219" s="59"/>
      <c r="N219" s="59"/>
      <c r="O219" s="59"/>
      <c r="P219" s="59"/>
      <c r="Q219" s="59"/>
      <c r="R219" s="59"/>
      <c r="S219" s="59"/>
      <c r="T219" s="59"/>
      <c r="U219" s="59"/>
      <c r="V219" s="59"/>
      <c r="W219" s="59"/>
      <c r="X219" s="59"/>
      <c r="Y219" s="59"/>
      <c r="Z219" s="59"/>
      <c r="AA219" s="59"/>
      <c r="AB219" s="59"/>
      <c r="AC219" s="59"/>
    </row>
    <row r="220" spans="1:29" ht="12.75">
      <c r="A220" s="59"/>
      <c r="B220" s="59"/>
      <c r="C220" s="59"/>
      <c r="D220" s="1173"/>
      <c r="E220" s="59"/>
      <c r="F220" s="1173"/>
      <c r="G220" s="1174"/>
      <c r="H220" s="59"/>
      <c r="I220" s="59"/>
      <c r="J220" s="1173"/>
      <c r="K220" s="59"/>
      <c r="L220" s="1173"/>
      <c r="M220" s="59"/>
      <c r="N220" s="59"/>
      <c r="O220" s="59"/>
      <c r="P220" s="59"/>
      <c r="Q220" s="59"/>
      <c r="R220" s="59"/>
      <c r="S220" s="59"/>
      <c r="T220" s="59"/>
      <c r="U220" s="59"/>
      <c r="V220" s="59"/>
      <c r="W220" s="59"/>
      <c r="X220" s="59"/>
      <c r="Y220" s="59"/>
      <c r="Z220" s="59"/>
      <c r="AA220" s="59"/>
      <c r="AB220" s="59"/>
      <c r="AC220" s="59"/>
    </row>
    <row r="221" spans="1:29" ht="12.75">
      <c r="A221" s="59"/>
      <c r="B221" s="59"/>
      <c r="C221" s="59"/>
      <c r="D221" s="1173"/>
      <c r="E221" s="59"/>
      <c r="F221" s="1173"/>
      <c r="G221" s="1174"/>
      <c r="H221" s="59"/>
      <c r="I221" s="59"/>
      <c r="J221" s="1173"/>
      <c r="K221" s="59"/>
      <c r="L221" s="1173"/>
      <c r="M221" s="59"/>
      <c r="N221" s="59"/>
      <c r="O221" s="59"/>
      <c r="P221" s="59"/>
      <c r="Q221" s="59"/>
      <c r="R221" s="59"/>
      <c r="S221" s="59"/>
      <c r="T221" s="59"/>
      <c r="U221" s="59"/>
      <c r="V221" s="59"/>
      <c r="W221" s="59"/>
      <c r="X221" s="59"/>
      <c r="Y221" s="59"/>
      <c r="Z221" s="59"/>
      <c r="AA221" s="59"/>
      <c r="AB221" s="59"/>
      <c r="AC221" s="59"/>
    </row>
    <row r="222" spans="1:29" ht="12.75">
      <c r="A222" s="59"/>
      <c r="B222" s="59"/>
      <c r="C222" s="59"/>
      <c r="D222" s="1173"/>
      <c r="E222" s="59"/>
      <c r="F222" s="1173"/>
      <c r="G222" s="1174"/>
      <c r="H222" s="59"/>
      <c r="I222" s="59"/>
      <c r="J222" s="1173"/>
      <c r="K222" s="59"/>
      <c r="L222" s="1173"/>
      <c r="M222" s="59"/>
      <c r="N222" s="59"/>
      <c r="O222" s="59"/>
      <c r="P222" s="59"/>
      <c r="Q222" s="59"/>
      <c r="R222" s="59"/>
      <c r="S222" s="59"/>
      <c r="T222" s="59"/>
      <c r="U222" s="59"/>
      <c r="V222" s="59"/>
      <c r="W222" s="59"/>
      <c r="X222" s="59"/>
      <c r="Y222" s="59"/>
      <c r="Z222" s="59"/>
      <c r="AA222" s="59"/>
      <c r="AB222" s="59"/>
      <c r="AC222" s="59"/>
    </row>
    <row r="223" spans="1:29" ht="12.75">
      <c r="A223" s="59"/>
      <c r="B223" s="59"/>
      <c r="C223" s="59"/>
      <c r="D223" s="1173"/>
      <c r="E223" s="59"/>
      <c r="F223" s="1173"/>
      <c r="G223" s="1174"/>
      <c r="H223" s="59"/>
      <c r="I223" s="59"/>
      <c r="J223" s="1173"/>
      <c r="K223" s="59"/>
      <c r="L223" s="1173"/>
      <c r="M223" s="59"/>
      <c r="N223" s="59"/>
      <c r="O223" s="59"/>
      <c r="P223" s="59"/>
      <c r="Q223" s="59"/>
      <c r="R223" s="59"/>
      <c r="S223" s="59"/>
      <c r="T223" s="59"/>
      <c r="U223" s="59"/>
      <c r="V223" s="59"/>
      <c r="W223" s="59"/>
      <c r="X223" s="59"/>
      <c r="Y223" s="59"/>
      <c r="Z223" s="59"/>
      <c r="AA223" s="59"/>
      <c r="AB223" s="59"/>
      <c r="AC223" s="59"/>
    </row>
    <row r="224" spans="1:29" ht="12.75">
      <c r="A224" s="59"/>
      <c r="B224" s="59"/>
      <c r="C224" s="59"/>
      <c r="D224" s="1173"/>
      <c r="E224" s="59"/>
      <c r="F224" s="1173"/>
      <c r="G224" s="1174"/>
      <c r="H224" s="59"/>
      <c r="I224" s="59"/>
      <c r="J224" s="1173"/>
      <c r="K224" s="59"/>
      <c r="L224" s="1173"/>
      <c r="M224" s="59"/>
      <c r="N224" s="59"/>
      <c r="O224" s="59"/>
      <c r="P224" s="59"/>
      <c r="Q224" s="59"/>
      <c r="R224" s="59"/>
      <c r="S224" s="59"/>
      <c r="T224" s="59"/>
      <c r="U224" s="59"/>
      <c r="V224" s="59"/>
      <c r="W224" s="59"/>
      <c r="X224" s="59"/>
      <c r="Y224" s="59"/>
      <c r="Z224" s="59"/>
      <c r="AA224" s="59"/>
      <c r="AB224" s="59"/>
      <c r="AC224" s="59"/>
    </row>
    <row r="225" spans="1:29" ht="12.75">
      <c r="A225" s="59"/>
      <c r="B225" s="59"/>
      <c r="C225" s="59"/>
      <c r="D225" s="1173"/>
      <c r="E225" s="59"/>
      <c r="F225" s="1173"/>
      <c r="G225" s="1174"/>
      <c r="H225" s="59"/>
      <c r="I225" s="59"/>
      <c r="J225" s="1173"/>
      <c r="K225" s="59"/>
      <c r="L225" s="1173"/>
      <c r="M225" s="59"/>
      <c r="N225" s="59"/>
      <c r="O225" s="59"/>
      <c r="P225" s="59"/>
      <c r="Q225" s="59"/>
      <c r="R225" s="59"/>
      <c r="S225" s="59"/>
      <c r="T225" s="59"/>
      <c r="U225" s="59"/>
      <c r="V225" s="59"/>
      <c r="W225" s="59"/>
      <c r="X225" s="59"/>
      <c r="Y225" s="59"/>
      <c r="Z225" s="59"/>
      <c r="AA225" s="59"/>
      <c r="AB225" s="59"/>
      <c r="AC225" s="59"/>
    </row>
    <row r="226" spans="1:29" ht="12.75">
      <c r="A226" s="59"/>
      <c r="B226" s="59"/>
      <c r="C226" s="59"/>
      <c r="D226" s="1173"/>
      <c r="E226" s="59"/>
      <c r="F226" s="1173"/>
      <c r="G226" s="1174"/>
      <c r="H226" s="59"/>
      <c r="I226" s="59"/>
      <c r="J226" s="1173"/>
      <c r="K226" s="59"/>
      <c r="L226" s="1173"/>
      <c r="M226" s="59"/>
      <c r="N226" s="59"/>
      <c r="O226" s="59"/>
      <c r="P226" s="59"/>
      <c r="Q226" s="59"/>
      <c r="R226" s="59"/>
      <c r="S226" s="59"/>
      <c r="T226" s="59"/>
      <c r="U226" s="59"/>
      <c r="V226" s="59"/>
      <c r="W226" s="59"/>
      <c r="X226" s="59"/>
      <c r="Y226" s="59"/>
      <c r="Z226" s="59"/>
      <c r="AA226" s="59"/>
      <c r="AB226" s="59"/>
      <c r="AC226" s="59"/>
    </row>
    <row r="227" spans="1:29" ht="12.75">
      <c r="A227" s="59"/>
      <c r="B227" s="59"/>
      <c r="C227" s="59"/>
      <c r="D227" s="1173"/>
      <c r="E227" s="59"/>
      <c r="F227" s="1173"/>
      <c r="G227" s="1174"/>
      <c r="H227" s="59"/>
      <c r="I227" s="59"/>
      <c r="J227" s="1173"/>
      <c r="K227" s="59"/>
      <c r="L227" s="1173"/>
      <c r="M227" s="59"/>
      <c r="N227" s="59"/>
      <c r="O227" s="59"/>
      <c r="P227" s="59"/>
      <c r="Q227" s="59"/>
      <c r="R227" s="59"/>
      <c r="S227" s="59"/>
      <c r="T227" s="59"/>
      <c r="U227" s="59"/>
      <c r="V227" s="59"/>
      <c r="W227" s="59"/>
      <c r="X227" s="59"/>
      <c r="Y227" s="59"/>
      <c r="Z227" s="59"/>
      <c r="AA227" s="59"/>
      <c r="AB227" s="59"/>
      <c r="AC227" s="59"/>
    </row>
    <row r="228" spans="1:29" ht="12.75">
      <c r="A228" s="59"/>
      <c r="B228" s="59"/>
      <c r="C228" s="59"/>
      <c r="D228" s="1173"/>
      <c r="E228" s="59"/>
      <c r="F228" s="1173"/>
      <c r="G228" s="1174"/>
      <c r="H228" s="59"/>
      <c r="I228" s="59"/>
      <c r="J228" s="1173"/>
      <c r="K228" s="59"/>
      <c r="L228" s="1173"/>
      <c r="M228" s="59"/>
      <c r="N228" s="59"/>
      <c r="O228" s="59"/>
      <c r="P228" s="59"/>
      <c r="Q228" s="59"/>
      <c r="R228" s="59"/>
      <c r="S228" s="59"/>
      <c r="T228" s="59"/>
      <c r="U228" s="59"/>
      <c r="V228" s="59"/>
      <c r="W228" s="59"/>
      <c r="X228" s="59"/>
      <c r="Y228" s="59"/>
      <c r="Z228" s="59"/>
      <c r="AA228" s="59"/>
      <c r="AB228" s="59"/>
      <c r="AC228" s="59"/>
    </row>
    <row r="229" spans="1:29" ht="12.75">
      <c r="A229" s="59"/>
      <c r="B229" s="59"/>
      <c r="C229" s="59"/>
      <c r="D229" s="1173"/>
      <c r="E229" s="59"/>
      <c r="F229" s="1173"/>
      <c r="G229" s="1174"/>
      <c r="H229" s="59"/>
      <c r="I229" s="59"/>
      <c r="J229" s="1173"/>
      <c r="K229" s="59"/>
      <c r="L229" s="1173"/>
      <c r="M229" s="59"/>
      <c r="N229" s="59"/>
      <c r="O229" s="59"/>
      <c r="P229" s="59"/>
      <c r="Q229" s="59"/>
      <c r="R229" s="59"/>
      <c r="S229" s="59"/>
      <c r="T229" s="59"/>
      <c r="U229" s="59"/>
      <c r="V229" s="59"/>
      <c r="W229" s="59"/>
      <c r="X229" s="59"/>
      <c r="Y229" s="59"/>
      <c r="Z229" s="59"/>
      <c r="AA229" s="59"/>
      <c r="AB229" s="59"/>
      <c r="AC229" s="59"/>
    </row>
    <row r="230" spans="1:29" ht="12.75">
      <c r="A230" s="59"/>
      <c r="B230" s="59"/>
      <c r="C230" s="59"/>
      <c r="D230" s="1173"/>
      <c r="E230" s="59"/>
      <c r="F230" s="1173"/>
      <c r="G230" s="1174"/>
      <c r="H230" s="59"/>
      <c r="I230" s="59"/>
      <c r="J230" s="1173"/>
      <c r="K230" s="59"/>
      <c r="L230" s="1173"/>
      <c r="M230" s="59"/>
      <c r="N230" s="59"/>
      <c r="O230" s="59"/>
      <c r="P230" s="59"/>
      <c r="Q230" s="59"/>
      <c r="R230" s="59"/>
      <c r="S230" s="59"/>
      <c r="T230" s="59"/>
      <c r="U230" s="59"/>
      <c r="V230" s="59"/>
      <c r="W230" s="59"/>
      <c r="X230" s="59"/>
      <c r="Y230" s="59"/>
      <c r="Z230" s="59"/>
      <c r="AA230" s="59"/>
      <c r="AB230" s="59"/>
      <c r="AC230" s="59"/>
    </row>
    <row r="231" spans="1:29" ht="12.75">
      <c r="A231" s="59"/>
      <c r="B231" s="59"/>
      <c r="C231" s="59"/>
      <c r="D231" s="1173"/>
      <c r="E231" s="59"/>
      <c r="F231" s="1173"/>
      <c r="G231" s="1174"/>
      <c r="H231" s="59"/>
      <c r="I231" s="59"/>
      <c r="J231" s="1173"/>
      <c r="K231" s="59"/>
      <c r="L231" s="1173"/>
      <c r="M231" s="59"/>
      <c r="N231" s="59"/>
      <c r="O231" s="59"/>
      <c r="P231" s="59"/>
      <c r="Q231" s="59"/>
      <c r="R231" s="59"/>
      <c r="S231" s="59"/>
      <c r="T231" s="59"/>
      <c r="U231" s="59"/>
      <c r="V231" s="59"/>
      <c r="W231" s="59"/>
      <c r="X231" s="59"/>
      <c r="Y231" s="59"/>
      <c r="Z231" s="59"/>
      <c r="AA231" s="59"/>
      <c r="AB231" s="59"/>
      <c r="AC231" s="59"/>
    </row>
    <row r="232" spans="1:29" ht="12.75">
      <c r="A232" s="59"/>
      <c r="B232" s="59"/>
      <c r="C232" s="59"/>
      <c r="D232" s="1173"/>
      <c r="E232" s="59"/>
      <c r="F232" s="1173"/>
      <c r="G232" s="1174"/>
      <c r="H232" s="59"/>
      <c r="I232" s="59"/>
      <c r="J232" s="1173"/>
      <c r="K232" s="59"/>
      <c r="L232" s="1173"/>
      <c r="M232" s="59"/>
      <c r="N232" s="59"/>
      <c r="O232" s="59"/>
      <c r="P232" s="59"/>
      <c r="Q232" s="59"/>
      <c r="R232" s="59"/>
      <c r="S232" s="59"/>
      <c r="T232" s="59"/>
      <c r="U232" s="59"/>
      <c r="V232" s="59"/>
      <c r="W232" s="59"/>
      <c r="X232" s="59"/>
      <c r="Y232" s="59"/>
      <c r="Z232" s="59"/>
      <c r="AA232" s="59"/>
      <c r="AB232" s="59"/>
      <c r="AC232" s="59"/>
    </row>
    <row r="233" spans="1:29" ht="12.75">
      <c r="A233" s="59"/>
      <c r="B233" s="59"/>
      <c r="C233" s="59"/>
      <c r="D233" s="1173"/>
      <c r="E233" s="59"/>
      <c r="F233" s="1173"/>
      <c r="G233" s="1174"/>
      <c r="H233" s="59"/>
      <c r="I233" s="59"/>
      <c r="J233" s="1173"/>
      <c r="K233" s="59"/>
      <c r="L233" s="1173"/>
      <c r="M233" s="59"/>
      <c r="N233" s="59"/>
      <c r="O233" s="59"/>
      <c r="P233" s="59"/>
      <c r="Q233" s="59"/>
      <c r="R233" s="59"/>
      <c r="S233" s="59"/>
      <c r="T233" s="59"/>
      <c r="U233" s="59"/>
      <c r="V233" s="59"/>
      <c r="W233" s="59"/>
      <c r="X233" s="59"/>
      <c r="Y233" s="59"/>
      <c r="Z233" s="59"/>
      <c r="AA233" s="59"/>
      <c r="AB233" s="59"/>
      <c r="AC233" s="59"/>
    </row>
    <row r="234" spans="1:29" ht="12.75">
      <c r="A234" s="59"/>
      <c r="B234" s="59"/>
      <c r="C234" s="59"/>
      <c r="D234" s="1173"/>
      <c r="E234" s="59"/>
      <c r="F234" s="1173"/>
      <c r="G234" s="1174"/>
      <c r="H234" s="59"/>
      <c r="I234" s="59"/>
      <c r="J234" s="1173"/>
      <c r="K234" s="59"/>
      <c r="L234" s="1173"/>
      <c r="M234" s="59"/>
      <c r="N234" s="59"/>
      <c r="O234" s="59"/>
      <c r="P234" s="59"/>
      <c r="Q234" s="59"/>
      <c r="R234" s="59"/>
      <c r="S234" s="59"/>
      <c r="T234" s="59"/>
      <c r="U234" s="59"/>
      <c r="V234" s="59"/>
      <c r="W234" s="59"/>
      <c r="X234" s="59"/>
      <c r="Y234" s="59"/>
      <c r="Z234" s="59"/>
      <c r="AA234" s="59"/>
      <c r="AB234" s="59"/>
      <c r="AC234" s="59"/>
    </row>
    <row r="235" spans="1:29" ht="12.75">
      <c r="A235" s="59"/>
      <c r="B235" s="59"/>
      <c r="C235" s="59"/>
      <c r="D235" s="1173"/>
      <c r="E235" s="59"/>
      <c r="F235" s="1173"/>
      <c r="G235" s="1174"/>
      <c r="H235" s="59"/>
      <c r="I235" s="59"/>
      <c r="J235" s="1173"/>
      <c r="K235" s="59"/>
      <c r="L235" s="1173"/>
      <c r="M235" s="59"/>
      <c r="N235" s="59"/>
      <c r="O235" s="59"/>
      <c r="P235" s="59"/>
      <c r="Q235" s="59"/>
      <c r="R235" s="59"/>
      <c r="S235" s="59"/>
      <c r="T235" s="59"/>
      <c r="U235" s="59"/>
      <c r="V235" s="59"/>
      <c r="W235" s="59"/>
      <c r="X235" s="59"/>
      <c r="Y235" s="59"/>
      <c r="Z235" s="59"/>
      <c r="AA235" s="59"/>
      <c r="AB235" s="59"/>
      <c r="AC235" s="59"/>
    </row>
    <row r="236" spans="1:29" ht="12.75">
      <c r="A236" s="59"/>
      <c r="B236" s="59"/>
      <c r="C236" s="59"/>
      <c r="D236" s="1173"/>
      <c r="E236" s="59"/>
      <c r="F236" s="1173"/>
      <c r="G236" s="1174"/>
      <c r="H236" s="59"/>
      <c r="I236" s="59"/>
      <c r="J236" s="1173"/>
      <c r="K236" s="59"/>
      <c r="L236" s="1173"/>
      <c r="M236" s="59"/>
      <c r="N236" s="59"/>
      <c r="O236" s="59"/>
      <c r="P236" s="59"/>
      <c r="Q236" s="59"/>
      <c r="R236" s="59"/>
      <c r="S236" s="59"/>
      <c r="T236" s="59"/>
      <c r="U236" s="59"/>
      <c r="V236" s="59"/>
      <c r="W236" s="59"/>
      <c r="X236" s="59"/>
      <c r="Y236" s="59"/>
      <c r="Z236" s="59"/>
      <c r="AA236" s="59"/>
      <c r="AB236" s="59"/>
      <c r="AC236" s="59"/>
    </row>
    <row r="237" spans="1:29" ht="12.75">
      <c r="A237" s="59"/>
      <c r="B237" s="59"/>
      <c r="C237" s="59"/>
      <c r="D237" s="1173"/>
      <c r="E237" s="59"/>
      <c r="F237" s="1173"/>
      <c r="G237" s="1174"/>
      <c r="H237" s="59"/>
      <c r="I237" s="59"/>
      <c r="J237" s="1173"/>
      <c r="K237" s="59"/>
      <c r="L237" s="1173"/>
      <c r="M237" s="59"/>
      <c r="N237" s="59"/>
      <c r="O237" s="59"/>
      <c r="P237" s="59"/>
      <c r="Q237" s="59"/>
      <c r="R237" s="59"/>
      <c r="S237" s="59"/>
      <c r="T237" s="59"/>
      <c r="U237" s="59"/>
      <c r="V237" s="59"/>
      <c r="W237" s="59"/>
      <c r="X237" s="59"/>
      <c r="Y237" s="59"/>
      <c r="Z237" s="59"/>
      <c r="AA237" s="59"/>
      <c r="AB237" s="59"/>
      <c r="AC237" s="59"/>
    </row>
    <row r="238" spans="1:29" ht="12.75">
      <c r="A238" s="59"/>
      <c r="B238" s="59"/>
      <c r="C238" s="59"/>
      <c r="D238" s="1173"/>
      <c r="E238" s="59"/>
      <c r="F238" s="1173"/>
      <c r="G238" s="1174"/>
      <c r="H238" s="59"/>
      <c r="I238" s="59"/>
      <c r="J238" s="1173"/>
      <c r="K238" s="59"/>
      <c r="L238" s="1173"/>
      <c r="M238" s="59"/>
      <c r="N238" s="59"/>
      <c r="O238" s="59"/>
      <c r="P238" s="59"/>
      <c r="Q238" s="59"/>
      <c r="R238" s="59"/>
      <c r="S238" s="59"/>
      <c r="T238" s="59"/>
      <c r="U238" s="59"/>
      <c r="V238" s="59"/>
      <c r="W238" s="59"/>
      <c r="X238" s="59"/>
      <c r="Y238" s="59"/>
      <c r="Z238" s="59"/>
      <c r="AA238" s="59"/>
      <c r="AB238" s="59"/>
      <c r="AC238" s="59"/>
    </row>
    <row r="239" spans="1:29" ht="12.75">
      <c r="A239" s="59"/>
      <c r="B239" s="59"/>
      <c r="C239" s="59"/>
      <c r="D239" s="1173"/>
      <c r="E239" s="59"/>
      <c r="F239" s="1173"/>
      <c r="G239" s="1174"/>
      <c r="H239" s="59"/>
      <c r="I239" s="59"/>
      <c r="J239" s="1173"/>
      <c r="K239" s="59"/>
      <c r="L239" s="1173"/>
      <c r="M239" s="59"/>
      <c r="N239" s="59"/>
      <c r="O239" s="59"/>
      <c r="P239" s="59"/>
      <c r="Q239" s="59"/>
      <c r="R239" s="59"/>
      <c r="S239" s="59"/>
      <c r="T239" s="59"/>
      <c r="U239" s="59"/>
      <c r="V239" s="59"/>
      <c r="W239" s="59"/>
      <c r="X239" s="59"/>
      <c r="Y239" s="59"/>
      <c r="Z239" s="59"/>
      <c r="AA239" s="59"/>
      <c r="AB239" s="59"/>
      <c r="AC239" s="59"/>
    </row>
    <row r="240" spans="1:29" ht="12.75">
      <c r="A240" s="59"/>
      <c r="B240" s="59"/>
      <c r="C240" s="59"/>
      <c r="D240" s="1173"/>
      <c r="E240" s="59"/>
      <c r="F240" s="1173"/>
      <c r="G240" s="1174"/>
      <c r="H240" s="59"/>
      <c r="I240" s="59"/>
      <c r="J240" s="1173"/>
      <c r="K240" s="59"/>
      <c r="L240" s="1173"/>
      <c r="M240" s="59"/>
      <c r="N240" s="59"/>
      <c r="O240" s="59"/>
      <c r="P240" s="59"/>
      <c r="Q240" s="59"/>
      <c r="R240" s="59"/>
      <c r="S240" s="59"/>
      <c r="T240" s="59"/>
      <c r="U240" s="59"/>
      <c r="V240" s="59"/>
      <c r="W240" s="59"/>
      <c r="X240" s="59"/>
      <c r="Y240" s="59"/>
      <c r="Z240" s="59"/>
      <c r="AA240" s="59"/>
      <c r="AB240" s="59"/>
      <c r="AC240" s="59"/>
    </row>
    <row r="241" spans="1:29" ht="12.75">
      <c r="A241" s="59"/>
      <c r="B241" s="59"/>
      <c r="C241" s="59"/>
      <c r="D241" s="1173"/>
      <c r="E241" s="59"/>
      <c r="F241" s="1173"/>
      <c r="G241" s="1174"/>
      <c r="H241" s="59"/>
      <c r="I241" s="59"/>
      <c r="J241" s="1173"/>
      <c r="K241" s="59"/>
      <c r="L241" s="1173"/>
      <c r="M241" s="59"/>
      <c r="N241" s="59"/>
      <c r="O241" s="59"/>
      <c r="P241" s="59"/>
      <c r="Q241" s="59"/>
      <c r="R241" s="59"/>
      <c r="S241" s="59"/>
      <c r="T241" s="59"/>
      <c r="U241" s="59"/>
      <c r="V241" s="59"/>
      <c r="W241" s="59"/>
      <c r="X241" s="59"/>
      <c r="Y241" s="59"/>
      <c r="Z241" s="59"/>
      <c r="AA241" s="59"/>
      <c r="AB241" s="59"/>
      <c r="AC241" s="59"/>
    </row>
    <row r="242" spans="1:29" ht="12.75">
      <c r="A242" s="59"/>
      <c r="B242" s="59"/>
      <c r="C242" s="59"/>
      <c r="D242" s="1173"/>
      <c r="E242" s="59"/>
      <c r="F242" s="1173"/>
      <c r="G242" s="1174"/>
      <c r="H242" s="59"/>
      <c r="I242" s="59"/>
      <c r="J242" s="1173"/>
      <c r="K242" s="59"/>
      <c r="L242" s="1173"/>
      <c r="M242" s="59"/>
      <c r="N242" s="59"/>
      <c r="O242" s="59"/>
      <c r="P242" s="59"/>
      <c r="Q242" s="59"/>
      <c r="R242" s="59"/>
      <c r="S242" s="59"/>
      <c r="T242" s="59"/>
      <c r="U242" s="59"/>
      <c r="V242" s="59"/>
      <c r="W242" s="59"/>
      <c r="X242" s="59"/>
      <c r="Y242" s="59"/>
      <c r="Z242" s="59"/>
      <c r="AA242" s="59"/>
      <c r="AB242" s="59"/>
      <c r="AC242" s="59"/>
    </row>
    <row r="243" spans="1:29" ht="12.75">
      <c r="A243" s="59"/>
      <c r="B243" s="59"/>
      <c r="C243" s="59"/>
      <c r="D243" s="1173"/>
      <c r="E243" s="59"/>
      <c r="F243" s="1173"/>
      <c r="G243" s="1174"/>
      <c r="H243" s="59"/>
      <c r="I243" s="59"/>
      <c r="J243" s="1173"/>
      <c r="K243" s="59"/>
      <c r="L243" s="1173"/>
      <c r="M243" s="59"/>
      <c r="N243" s="59"/>
      <c r="O243" s="59"/>
      <c r="P243" s="59"/>
      <c r="Q243" s="59"/>
      <c r="R243" s="59"/>
      <c r="S243" s="59"/>
      <c r="T243" s="59"/>
      <c r="U243" s="59"/>
      <c r="V243" s="59"/>
      <c r="W243" s="59"/>
      <c r="X243" s="59"/>
      <c r="Y243" s="59"/>
      <c r="Z243" s="59"/>
      <c r="AA243" s="59"/>
      <c r="AB243" s="59"/>
      <c r="AC243" s="59"/>
    </row>
    <row r="244" spans="1:29" ht="12.75">
      <c r="A244" s="59"/>
      <c r="B244" s="59"/>
      <c r="C244" s="59"/>
      <c r="D244" s="1173"/>
      <c r="E244" s="59"/>
      <c r="F244" s="1173"/>
      <c r="G244" s="1174"/>
      <c r="H244" s="59"/>
      <c r="I244" s="59"/>
      <c r="J244" s="1173"/>
      <c r="K244" s="59"/>
      <c r="L244" s="1173"/>
      <c r="M244" s="59"/>
      <c r="N244" s="59"/>
      <c r="O244" s="59"/>
      <c r="P244" s="59"/>
      <c r="Q244" s="59"/>
      <c r="R244" s="59"/>
      <c r="S244" s="59"/>
      <c r="T244" s="59"/>
      <c r="U244" s="59"/>
      <c r="V244" s="59"/>
      <c r="W244" s="59"/>
      <c r="X244" s="59"/>
      <c r="Y244" s="59"/>
      <c r="Z244" s="59"/>
      <c r="AA244" s="59"/>
      <c r="AB244" s="59"/>
      <c r="AC244" s="59"/>
    </row>
    <row r="245" spans="1:29" ht="12.75">
      <c r="A245" s="59"/>
      <c r="B245" s="59"/>
      <c r="C245" s="59"/>
      <c r="D245" s="1173"/>
      <c r="E245" s="59"/>
      <c r="F245" s="1173"/>
      <c r="G245" s="1174"/>
      <c r="H245" s="59"/>
      <c r="I245" s="59"/>
      <c r="J245" s="1173"/>
      <c r="K245" s="59"/>
      <c r="L245" s="1173"/>
      <c r="M245" s="59"/>
      <c r="N245" s="59"/>
      <c r="O245" s="59"/>
      <c r="P245" s="59"/>
      <c r="Q245" s="59"/>
      <c r="R245" s="59"/>
      <c r="S245" s="59"/>
      <c r="T245" s="59"/>
      <c r="U245" s="59"/>
      <c r="V245" s="59"/>
      <c r="W245" s="59"/>
      <c r="X245" s="59"/>
      <c r="Y245" s="59"/>
      <c r="Z245" s="59"/>
      <c r="AA245" s="59"/>
      <c r="AB245" s="59"/>
      <c r="AC245" s="59"/>
    </row>
    <row r="246" spans="1:29" ht="12.75">
      <c r="A246" s="59"/>
      <c r="B246" s="59"/>
      <c r="C246" s="59"/>
      <c r="D246" s="1173"/>
      <c r="E246" s="59"/>
      <c r="F246" s="1173"/>
      <c r="G246" s="1174"/>
      <c r="H246" s="59"/>
      <c r="I246" s="59"/>
      <c r="J246" s="1173"/>
      <c r="K246" s="59"/>
      <c r="L246" s="1173"/>
      <c r="M246" s="59"/>
      <c r="N246" s="59"/>
      <c r="O246" s="59"/>
      <c r="P246" s="59"/>
      <c r="Q246" s="59"/>
      <c r="R246" s="59"/>
      <c r="S246" s="59"/>
      <c r="T246" s="59"/>
      <c r="U246" s="59"/>
      <c r="V246" s="59"/>
      <c r="W246" s="59"/>
      <c r="X246" s="59"/>
      <c r="Y246" s="59"/>
      <c r="Z246" s="59"/>
      <c r="AA246" s="59"/>
      <c r="AB246" s="59"/>
      <c r="AC246" s="59"/>
    </row>
    <row r="247" spans="1:29" ht="12.75">
      <c r="A247" s="59"/>
      <c r="B247" s="59"/>
      <c r="C247" s="59"/>
      <c r="D247" s="1173"/>
      <c r="E247" s="59"/>
      <c r="F247" s="1173"/>
      <c r="G247" s="1174"/>
      <c r="H247" s="59"/>
      <c r="I247" s="59"/>
      <c r="J247" s="1173"/>
      <c r="K247" s="59"/>
      <c r="L247" s="1173"/>
      <c r="M247" s="59"/>
      <c r="N247" s="59"/>
      <c r="O247" s="59"/>
      <c r="P247" s="59"/>
      <c r="Q247" s="59"/>
      <c r="R247" s="59"/>
      <c r="S247" s="59"/>
      <c r="T247" s="59"/>
      <c r="U247" s="59"/>
      <c r="V247" s="59"/>
      <c r="W247" s="59"/>
      <c r="X247" s="59"/>
      <c r="Y247" s="59"/>
      <c r="Z247" s="59"/>
      <c r="AA247" s="59"/>
      <c r="AB247" s="59"/>
      <c r="AC247" s="59"/>
    </row>
    <row r="248" spans="1:29" ht="12.75">
      <c r="A248" s="59"/>
      <c r="B248" s="59"/>
      <c r="C248" s="59"/>
      <c r="D248" s="1173"/>
      <c r="E248" s="59"/>
      <c r="F248" s="1173"/>
      <c r="G248" s="1174"/>
      <c r="H248" s="59"/>
      <c r="I248" s="59"/>
      <c r="J248" s="1173"/>
      <c r="K248" s="59"/>
      <c r="L248" s="1173"/>
      <c r="M248" s="59"/>
      <c r="N248" s="59"/>
      <c r="O248" s="59"/>
      <c r="P248" s="59"/>
      <c r="Q248" s="59"/>
      <c r="R248" s="59"/>
      <c r="S248" s="59"/>
      <c r="T248" s="59"/>
      <c r="U248" s="59"/>
      <c r="V248" s="59"/>
      <c r="W248" s="59"/>
      <c r="X248" s="59"/>
      <c r="Y248" s="59"/>
      <c r="Z248" s="59"/>
      <c r="AA248" s="59"/>
      <c r="AB248" s="59"/>
      <c r="AC248" s="59"/>
    </row>
    <row r="249" spans="1:29" ht="12.75">
      <c r="A249" s="59"/>
      <c r="B249" s="59"/>
      <c r="C249" s="59"/>
      <c r="D249" s="1173"/>
      <c r="E249" s="59"/>
      <c r="F249" s="1173"/>
      <c r="G249" s="1174"/>
      <c r="H249" s="59"/>
      <c r="I249" s="59"/>
      <c r="J249" s="1173"/>
      <c r="K249" s="59"/>
      <c r="L249" s="1173"/>
      <c r="M249" s="59"/>
      <c r="N249" s="59"/>
      <c r="O249" s="59"/>
      <c r="P249" s="59"/>
      <c r="Q249" s="59"/>
      <c r="R249" s="59"/>
      <c r="S249" s="59"/>
      <c r="T249" s="59"/>
      <c r="U249" s="59"/>
      <c r="V249" s="59"/>
      <c r="W249" s="59"/>
      <c r="X249" s="59"/>
      <c r="Y249" s="59"/>
      <c r="Z249" s="59"/>
      <c r="AA249" s="59"/>
      <c r="AB249" s="59"/>
      <c r="AC249" s="59"/>
    </row>
    <row r="250" spans="1:29" ht="12.75">
      <c r="A250" s="59"/>
      <c r="B250" s="59"/>
      <c r="C250" s="59"/>
      <c r="D250" s="1173"/>
      <c r="E250" s="59"/>
      <c r="F250" s="1173"/>
      <c r="G250" s="1174"/>
      <c r="H250" s="59"/>
      <c r="I250" s="59"/>
      <c r="J250" s="1173"/>
      <c r="K250" s="59"/>
      <c r="L250" s="1173"/>
      <c r="M250" s="59"/>
      <c r="N250" s="59"/>
      <c r="O250" s="59"/>
      <c r="P250" s="59"/>
      <c r="Q250" s="59"/>
      <c r="R250" s="59"/>
      <c r="S250" s="59"/>
      <c r="T250" s="59"/>
      <c r="U250" s="59"/>
      <c r="V250" s="59"/>
      <c r="W250" s="59"/>
      <c r="X250" s="59"/>
      <c r="Y250" s="59"/>
      <c r="Z250" s="59"/>
      <c r="AA250" s="59"/>
      <c r="AB250" s="59"/>
      <c r="AC250" s="59"/>
    </row>
    <row r="251" spans="1:29" ht="12.75">
      <c r="A251" s="59"/>
      <c r="B251" s="59"/>
      <c r="C251" s="59"/>
      <c r="D251" s="1173"/>
      <c r="E251" s="59"/>
      <c r="F251" s="1173"/>
      <c r="G251" s="1174"/>
      <c r="H251" s="59"/>
      <c r="I251" s="59"/>
      <c r="J251" s="1173"/>
      <c r="K251" s="59"/>
      <c r="L251" s="1173"/>
      <c r="M251" s="59"/>
      <c r="N251" s="59"/>
      <c r="O251" s="59"/>
      <c r="P251" s="59"/>
      <c r="Q251" s="59"/>
      <c r="R251" s="59"/>
      <c r="S251" s="59"/>
      <c r="T251" s="59"/>
      <c r="U251" s="59"/>
      <c r="V251" s="59"/>
      <c r="W251" s="59"/>
      <c r="X251" s="59"/>
      <c r="Y251" s="59"/>
      <c r="Z251" s="59"/>
      <c r="AA251" s="59"/>
      <c r="AB251" s="59"/>
      <c r="AC251" s="59"/>
    </row>
    <row r="252" spans="1:29" ht="12.75">
      <c r="A252" s="59"/>
      <c r="B252" s="59"/>
      <c r="C252" s="59"/>
      <c r="D252" s="1173"/>
      <c r="E252" s="59"/>
      <c r="F252" s="1173"/>
      <c r="G252" s="1174"/>
      <c r="H252" s="59"/>
      <c r="I252" s="59"/>
      <c r="J252" s="1173"/>
      <c r="K252" s="59"/>
      <c r="L252" s="1173"/>
      <c r="M252" s="59"/>
      <c r="N252" s="59"/>
      <c r="O252" s="59"/>
      <c r="P252" s="59"/>
      <c r="Q252" s="59"/>
      <c r="R252" s="59"/>
      <c r="S252" s="59"/>
      <c r="T252" s="59"/>
      <c r="U252" s="59"/>
      <c r="V252" s="59"/>
      <c r="W252" s="59"/>
      <c r="X252" s="59"/>
      <c r="Y252" s="59"/>
      <c r="Z252" s="59"/>
      <c r="AA252" s="59"/>
      <c r="AB252" s="59"/>
      <c r="AC252" s="59"/>
    </row>
    <row r="253" spans="1:29" ht="12.75">
      <c r="A253" s="59"/>
      <c r="B253" s="59"/>
      <c r="C253" s="59"/>
      <c r="D253" s="1173"/>
      <c r="E253" s="59"/>
      <c r="F253" s="1173"/>
      <c r="G253" s="1174"/>
      <c r="H253" s="59"/>
      <c r="I253" s="59"/>
      <c r="J253" s="1173"/>
      <c r="K253" s="59"/>
      <c r="L253" s="1173"/>
      <c r="M253" s="59"/>
      <c r="N253" s="59"/>
      <c r="O253" s="59"/>
      <c r="P253" s="59"/>
      <c r="Q253" s="59"/>
      <c r="R253" s="59"/>
      <c r="S253" s="59"/>
      <c r="T253" s="59"/>
      <c r="U253" s="59"/>
      <c r="V253" s="59"/>
      <c r="W253" s="59"/>
      <c r="X253" s="59"/>
      <c r="Y253" s="59"/>
      <c r="Z253" s="59"/>
      <c r="AA253" s="59"/>
      <c r="AB253" s="59"/>
      <c r="AC253" s="59"/>
    </row>
    <row r="254" spans="1:29" ht="12.75">
      <c r="A254" s="59"/>
      <c r="B254" s="59"/>
      <c r="C254" s="59"/>
      <c r="D254" s="1173"/>
      <c r="E254" s="59"/>
      <c r="F254" s="1173"/>
      <c r="G254" s="1174"/>
      <c r="H254" s="59"/>
      <c r="I254" s="59"/>
      <c r="J254" s="1173"/>
      <c r="K254" s="59"/>
      <c r="L254" s="1173"/>
      <c r="M254" s="59"/>
      <c r="N254" s="59"/>
      <c r="O254" s="59"/>
      <c r="P254" s="59"/>
      <c r="Q254" s="59"/>
      <c r="R254" s="59"/>
      <c r="S254" s="59"/>
      <c r="T254" s="59"/>
      <c r="U254" s="59"/>
      <c r="V254" s="59"/>
      <c r="W254" s="59"/>
      <c r="X254" s="59"/>
      <c r="Y254" s="59"/>
      <c r="Z254" s="59"/>
      <c r="AA254" s="59"/>
      <c r="AB254" s="59"/>
      <c r="AC254" s="59"/>
    </row>
    <row r="255" spans="1:29" ht="12.75">
      <c r="A255" s="59"/>
      <c r="B255" s="59"/>
      <c r="C255" s="59"/>
      <c r="D255" s="1173"/>
      <c r="E255" s="59"/>
      <c r="F255" s="1173"/>
      <c r="G255" s="1174"/>
      <c r="H255" s="59"/>
      <c r="I255" s="59"/>
      <c r="J255" s="1173"/>
      <c r="K255" s="59"/>
      <c r="L255" s="1173"/>
      <c r="M255" s="59"/>
      <c r="N255" s="59"/>
      <c r="O255" s="59"/>
      <c r="P255" s="59"/>
      <c r="Q255" s="59"/>
      <c r="R255" s="59"/>
      <c r="S255" s="59"/>
      <c r="T255" s="59"/>
      <c r="U255" s="59"/>
      <c r="V255" s="59"/>
      <c r="W255" s="59"/>
      <c r="X255" s="59"/>
      <c r="Y255" s="59"/>
      <c r="Z255" s="59"/>
      <c r="AA255" s="59"/>
      <c r="AB255" s="59"/>
      <c r="AC255" s="59"/>
    </row>
    <row r="256" spans="1:29" ht="12.75">
      <c r="A256" s="59"/>
      <c r="B256" s="59"/>
      <c r="C256" s="59"/>
      <c r="D256" s="1173"/>
      <c r="E256" s="59"/>
      <c r="F256" s="1173"/>
      <c r="G256" s="1174"/>
      <c r="H256" s="59"/>
      <c r="I256" s="59"/>
      <c r="J256" s="1173"/>
      <c r="K256" s="59"/>
      <c r="L256" s="1173"/>
      <c r="M256" s="59"/>
      <c r="N256" s="59"/>
      <c r="O256" s="59"/>
      <c r="P256" s="59"/>
      <c r="Q256" s="59"/>
      <c r="R256" s="59"/>
      <c r="S256" s="59"/>
      <c r="T256" s="59"/>
      <c r="U256" s="59"/>
      <c r="V256" s="59"/>
      <c r="W256" s="59"/>
      <c r="X256" s="59"/>
      <c r="Y256" s="59"/>
      <c r="Z256" s="59"/>
      <c r="AA256" s="59"/>
      <c r="AB256" s="59"/>
      <c r="AC256" s="59"/>
    </row>
    <row r="257" spans="1:29" ht="12.75">
      <c r="A257" s="59"/>
      <c r="B257" s="59"/>
      <c r="C257" s="59"/>
      <c r="D257" s="1173"/>
      <c r="E257" s="59"/>
      <c r="F257" s="1173"/>
      <c r="G257" s="1174"/>
      <c r="H257" s="59"/>
      <c r="I257" s="59"/>
      <c r="J257" s="1173"/>
      <c r="K257" s="59"/>
      <c r="L257" s="1173"/>
      <c r="M257" s="59"/>
      <c r="N257" s="59"/>
      <c r="O257" s="59"/>
      <c r="P257" s="59"/>
      <c r="Q257" s="59"/>
      <c r="R257" s="59"/>
      <c r="S257" s="59"/>
      <c r="T257" s="59"/>
      <c r="U257" s="59"/>
      <c r="V257" s="59"/>
      <c r="W257" s="59"/>
      <c r="X257" s="59"/>
      <c r="Y257" s="59"/>
      <c r="Z257" s="59"/>
      <c r="AA257" s="59"/>
      <c r="AB257" s="59"/>
      <c r="AC257" s="59"/>
    </row>
    <row r="258" spans="1:29" ht="12.75">
      <c r="A258" s="59"/>
      <c r="B258" s="59"/>
      <c r="C258" s="59"/>
      <c r="D258" s="1173"/>
      <c r="E258" s="59"/>
      <c r="F258" s="1173"/>
      <c r="G258" s="1174"/>
      <c r="H258" s="59"/>
      <c r="I258" s="59"/>
      <c r="J258" s="1173"/>
      <c r="K258" s="59"/>
      <c r="L258" s="1173"/>
      <c r="M258" s="59"/>
      <c r="N258" s="59"/>
      <c r="O258" s="59"/>
      <c r="P258" s="59"/>
      <c r="Q258" s="59"/>
      <c r="R258" s="59"/>
      <c r="S258" s="59"/>
      <c r="T258" s="59"/>
      <c r="U258" s="59"/>
      <c r="V258" s="59"/>
      <c r="W258" s="59"/>
      <c r="X258" s="59"/>
      <c r="Y258" s="59"/>
      <c r="Z258" s="59"/>
      <c r="AA258" s="59"/>
      <c r="AB258" s="59"/>
      <c r="AC258" s="59"/>
    </row>
    <row r="259" spans="1:29" ht="12.75">
      <c r="A259" s="59"/>
      <c r="B259" s="59"/>
      <c r="C259" s="59"/>
      <c r="D259" s="1173"/>
      <c r="E259" s="59"/>
      <c r="F259" s="1173"/>
      <c r="G259" s="1174"/>
      <c r="H259" s="59"/>
      <c r="I259" s="59"/>
      <c r="J259" s="1173"/>
      <c r="K259" s="59"/>
      <c r="L259" s="1173"/>
      <c r="M259" s="59"/>
      <c r="N259" s="59"/>
      <c r="O259" s="59"/>
      <c r="P259" s="59"/>
      <c r="Q259" s="59"/>
      <c r="R259" s="59"/>
      <c r="S259" s="59"/>
      <c r="T259" s="59"/>
      <c r="U259" s="59"/>
      <c r="V259" s="59"/>
      <c r="W259" s="59"/>
      <c r="X259" s="59"/>
      <c r="Y259" s="59"/>
      <c r="Z259" s="59"/>
      <c r="AA259" s="59"/>
      <c r="AB259" s="59"/>
      <c r="AC259" s="59"/>
    </row>
    <row r="260" spans="1:29" ht="12.75">
      <c r="A260" s="59"/>
      <c r="B260" s="59"/>
      <c r="C260" s="59"/>
      <c r="D260" s="1173"/>
      <c r="E260" s="59"/>
      <c r="F260" s="1173"/>
      <c r="G260" s="1174"/>
      <c r="H260" s="59"/>
      <c r="I260" s="59"/>
      <c r="J260" s="1173"/>
      <c r="K260" s="59"/>
      <c r="L260" s="1173"/>
      <c r="M260" s="59"/>
      <c r="N260" s="59"/>
      <c r="O260" s="59"/>
      <c r="P260" s="59"/>
      <c r="Q260" s="59"/>
      <c r="R260" s="59"/>
      <c r="S260" s="59"/>
      <c r="T260" s="59"/>
      <c r="U260" s="59"/>
      <c r="V260" s="59"/>
      <c r="W260" s="59"/>
      <c r="X260" s="59"/>
      <c r="Y260" s="59"/>
      <c r="Z260" s="59"/>
      <c r="AA260" s="59"/>
      <c r="AB260" s="59"/>
      <c r="AC260" s="59"/>
    </row>
    <row r="261" spans="1:29" ht="12.75">
      <c r="A261" s="59"/>
      <c r="B261" s="59"/>
      <c r="C261" s="59"/>
      <c r="D261" s="1173"/>
      <c r="E261" s="59"/>
      <c r="F261" s="1173"/>
      <c r="G261" s="1174"/>
      <c r="H261" s="59"/>
      <c r="I261" s="59"/>
      <c r="J261" s="1173"/>
      <c r="K261" s="59"/>
      <c r="L261" s="1173"/>
      <c r="M261" s="59"/>
      <c r="N261" s="59"/>
      <c r="O261" s="59"/>
      <c r="P261" s="59"/>
      <c r="Q261" s="59"/>
      <c r="R261" s="59"/>
      <c r="S261" s="59"/>
      <c r="T261" s="59"/>
      <c r="U261" s="59"/>
      <c r="V261" s="59"/>
      <c r="W261" s="59"/>
      <c r="X261" s="59"/>
      <c r="Y261" s="59"/>
      <c r="Z261" s="59"/>
      <c r="AA261" s="59"/>
      <c r="AB261" s="59"/>
      <c r="AC261" s="59"/>
    </row>
    <row r="262" spans="1:29" ht="12.75">
      <c r="A262" s="59"/>
      <c r="B262" s="59"/>
      <c r="C262" s="59"/>
      <c r="D262" s="1173"/>
      <c r="E262" s="59"/>
      <c r="F262" s="1173"/>
      <c r="G262" s="1174"/>
      <c r="H262" s="59"/>
      <c r="I262" s="59"/>
      <c r="J262" s="1173"/>
      <c r="K262" s="59"/>
      <c r="L262" s="1173"/>
      <c r="M262" s="59"/>
      <c r="N262" s="59"/>
      <c r="O262" s="59"/>
      <c r="P262" s="59"/>
      <c r="Q262" s="59"/>
      <c r="R262" s="59"/>
      <c r="S262" s="59"/>
      <c r="T262" s="59"/>
      <c r="U262" s="59"/>
      <c r="V262" s="59"/>
      <c r="W262" s="59"/>
      <c r="X262" s="59"/>
      <c r="Y262" s="59"/>
      <c r="Z262" s="59"/>
      <c r="AA262" s="59"/>
      <c r="AB262" s="59"/>
      <c r="AC262" s="59"/>
    </row>
    <row r="263" spans="1:29" ht="12.75">
      <c r="A263" s="59"/>
      <c r="B263" s="59"/>
      <c r="C263" s="59"/>
      <c r="D263" s="1173"/>
      <c r="E263" s="59"/>
      <c r="F263" s="1173"/>
      <c r="G263" s="1174"/>
      <c r="H263" s="59"/>
      <c r="I263" s="59"/>
      <c r="J263" s="1173"/>
      <c r="K263" s="59"/>
      <c r="L263" s="1173"/>
      <c r="M263" s="59"/>
      <c r="N263" s="59"/>
      <c r="O263" s="59"/>
      <c r="P263" s="59"/>
      <c r="Q263" s="59"/>
      <c r="R263" s="59"/>
      <c r="S263" s="59"/>
      <c r="T263" s="59"/>
      <c r="U263" s="59"/>
      <c r="V263" s="59"/>
      <c r="W263" s="59"/>
      <c r="X263" s="59"/>
      <c r="Y263" s="59"/>
      <c r="Z263" s="59"/>
      <c r="AA263" s="59"/>
      <c r="AB263" s="59"/>
      <c r="AC263" s="59"/>
    </row>
    <row r="264" spans="1:29" ht="12.75">
      <c r="A264" s="59"/>
      <c r="B264" s="59"/>
      <c r="C264" s="59"/>
      <c r="D264" s="1173"/>
      <c r="E264" s="59"/>
      <c r="F264" s="1173"/>
      <c r="G264" s="1174"/>
      <c r="H264" s="59"/>
      <c r="I264" s="59"/>
      <c r="J264" s="1173"/>
      <c r="K264" s="59"/>
      <c r="L264" s="1173"/>
      <c r="M264" s="59"/>
      <c r="N264" s="59"/>
      <c r="O264" s="59"/>
      <c r="P264" s="59"/>
      <c r="Q264" s="59"/>
      <c r="R264" s="59"/>
      <c r="S264" s="59"/>
      <c r="T264" s="59"/>
      <c r="U264" s="59"/>
      <c r="V264" s="59"/>
      <c r="W264" s="59"/>
      <c r="X264" s="59"/>
      <c r="Y264" s="59"/>
      <c r="Z264" s="59"/>
      <c r="AA264" s="59"/>
      <c r="AB264" s="59"/>
      <c r="AC264" s="59"/>
    </row>
    <row r="265" spans="1:29" ht="12.75">
      <c r="A265" s="59"/>
      <c r="B265" s="59"/>
      <c r="C265" s="59"/>
      <c r="D265" s="1173"/>
      <c r="E265" s="59"/>
      <c r="F265" s="1173"/>
      <c r="G265" s="1174"/>
      <c r="H265" s="59"/>
      <c r="I265" s="59"/>
      <c r="J265" s="1173"/>
      <c r="K265" s="59"/>
      <c r="L265" s="1173"/>
      <c r="M265" s="59"/>
      <c r="N265" s="59"/>
      <c r="O265" s="59"/>
      <c r="P265" s="59"/>
      <c r="Q265" s="59"/>
      <c r="R265" s="59"/>
      <c r="S265" s="59"/>
      <c r="T265" s="59"/>
      <c r="U265" s="59"/>
      <c r="V265" s="59"/>
      <c r="W265" s="59"/>
      <c r="X265" s="59"/>
      <c r="Y265" s="59"/>
      <c r="Z265" s="59"/>
      <c r="AA265" s="59"/>
      <c r="AB265" s="59"/>
      <c r="AC265" s="59"/>
    </row>
    <row r="266" spans="1:29" ht="12.75">
      <c r="A266" s="59"/>
      <c r="B266" s="59"/>
      <c r="C266" s="59"/>
      <c r="D266" s="1173"/>
      <c r="E266" s="59"/>
      <c r="F266" s="1173"/>
      <c r="G266" s="1174"/>
      <c r="H266" s="59"/>
      <c r="I266" s="59"/>
      <c r="J266" s="1173"/>
      <c r="K266" s="59"/>
      <c r="L266" s="1173"/>
      <c r="M266" s="59"/>
      <c r="N266" s="59"/>
      <c r="O266" s="59"/>
      <c r="P266" s="59"/>
      <c r="Q266" s="59"/>
      <c r="R266" s="59"/>
      <c r="S266" s="59"/>
      <c r="T266" s="59"/>
      <c r="U266" s="59"/>
      <c r="V266" s="59"/>
      <c r="W266" s="59"/>
      <c r="X266" s="59"/>
      <c r="Y266" s="59"/>
      <c r="Z266" s="59"/>
      <c r="AA266" s="59"/>
      <c r="AB266" s="59"/>
      <c r="AC266" s="59"/>
    </row>
    <row r="267" spans="1:29" ht="12.75">
      <c r="A267" s="59"/>
      <c r="B267" s="59"/>
      <c r="C267" s="59"/>
      <c r="D267" s="1173"/>
      <c r="E267" s="59"/>
      <c r="F267" s="1173"/>
      <c r="G267" s="1174"/>
      <c r="H267" s="59"/>
      <c r="I267" s="59"/>
      <c r="J267" s="1173"/>
      <c r="K267" s="59"/>
      <c r="L267" s="1173"/>
      <c r="M267" s="59"/>
      <c r="N267" s="59"/>
      <c r="O267" s="59"/>
      <c r="P267" s="59"/>
      <c r="Q267" s="59"/>
      <c r="R267" s="59"/>
      <c r="S267" s="59"/>
      <c r="T267" s="59"/>
      <c r="U267" s="59"/>
      <c r="V267" s="59"/>
      <c r="W267" s="59"/>
      <c r="X267" s="59"/>
      <c r="Y267" s="59"/>
      <c r="Z267" s="59"/>
      <c r="AA267" s="59"/>
      <c r="AB267" s="59"/>
      <c r="AC267" s="59"/>
    </row>
    <row r="268" spans="1:29" ht="12.75">
      <c r="A268" s="59"/>
      <c r="B268" s="59"/>
      <c r="C268" s="59"/>
      <c r="D268" s="1173"/>
      <c r="E268" s="59"/>
      <c r="F268" s="1173"/>
      <c r="G268" s="1174"/>
      <c r="H268" s="59"/>
      <c r="I268" s="59"/>
      <c r="J268" s="1173"/>
      <c r="K268" s="59"/>
      <c r="L268" s="1173"/>
      <c r="M268" s="59"/>
      <c r="N268" s="59"/>
      <c r="O268" s="59"/>
      <c r="P268" s="59"/>
      <c r="Q268" s="59"/>
      <c r="R268" s="59"/>
      <c r="S268" s="59"/>
      <c r="T268" s="59"/>
      <c r="U268" s="59"/>
      <c r="V268" s="59"/>
      <c r="W268" s="59"/>
      <c r="X268" s="59"/>
      <c r="Y268" s="59"/>
      <c r="Z268" s="59"/>
      <c r="AA268" s="59"/>
      <c r="AB268" s="59"/>
      <c r="AC268" s="59"/>
    </row>
    <row r="269" spans="1:29" ht="12.75">
      <c r="A269" s="59"/>
      <c r="B269" s="59"/>
      <c r="C269" s="59"/>
      <c r="D269" s="1173"/>
      <c r="E269" s="59"/>
      <c r="F269" s="1173"/>
      <c r="G269" s="1174"/>
      <c r="H269" s="59"/>
      <c r="I269" s="59"/>
      <c r="J269" s="1173"/>
      <c r="K269" s="59"/>
      <c r="L269" s="1173"/>
      <c r="M269" s="59"/>
      <c r="N269" s="59"/>
      <c r="O269" s="59"/>
      <c r="P269" s="59"/>
      <c r="Q269" s="59"/>
      <c r="R269" s="59"/>
      <c r="S269" s="59"/>
      <c r="T269" s="59"/>
      <c r="U269" s="59"/>
      <c r="V269" s="59"/>
      <c r="W269" s="59"/>
      <c r="X269" s="59"/>
      <c r="Y269" s="59"/>
      <c r="Z269" s="59"/>
      <c r="AA269" s="59"/>
      <c r="AB269" s="59"/>
      <c r="AC269" s="59"/>
    </row>
    <row r="270" spans="1:29" ht="12.75">
      <c r="A270" s="59"/>
      <c r="B270" s="59"/>
      <c r="C270" s="59"/>
      <c r="D270" s="1173"/>
      <c r="E270" s="59"/>
      <c r="F270" s="1173"/>
      <c r="G270" s="1174"/>
      <c r="H270" s="59"/>
      <c r="I270" s="59"/>
      <c r="J270" s="1173"/>
      <c r="K270" s="59"/>
      <c r="L270" s="1173"/>
      <c r="M270" s="59"/>
      <c r="N270" s="59"/>
      <c r="O270" s="59"/>
      <c r="P270" s="59"/>
      <c r="Q270" s="59"/>
      <c r="R270" s="59"/>
      <c r="S270" s="59"/>
      <c r="T270" s="59"/>
      <c r="U270" s="59"/>
      <c r="V270" s="59"/>
      <c r="W270" s="59"/>
      <c r="X270" s="59"/>
      <c r="Y270" s="59"/>
      <c r="Z270" s="59"/>
      <c r="AA270" s="59"/>
      <c r="AB270" s="59"/>
      <c r="AC270" s="59"/>
    </row>
    <row r="271" spans="1:29" ht="12.75">
      <c r="A271" s="59"/>
      <c r="B271" s="59"/>
      <c r="C271" s="59"/>
      <c r="D271" s="1173"/>
      <c r="E271" s="59"/>
      <c r="F271" s="1173"/>
      <c r="G271" s="1174"/>
      <c r="H271" s="59"/>
      <c r="I271" s="59"/>
      <c r="J271" s="1173"/>
      <c r="K271" s="59"/>
      <c r="L271" s="1173"/>
      <c r="M271" s="59"/>
      <c r="N271" s="59"/>
      <c r="O271" s="59"/>
      <c r="P271" s="59"/>
      <c r="Q271" s="59"/>
      <c r="R271" s="59"/>
      <c r="S271" s="59"/>
      <c r="T271" s="59"/>
      <c r="U271" s="59"/>
      <c r="V271" s="59"/>
      <c r="W271" s="59"/>
      <c r="X271" s="59"/>
      <c r="Y271" s="59"/>
      <c r="Z271" s="59"/>
      <c r="AA271" s="59"/>
      <c r="AB271" s="59"/>
      <c r="AC271" s="59"/>
    </row>
    <row r="272" spans="1:29" ht="12.75">
      <c r="A272" s="59"/>
      <c r="B272" s="59"/>
      <c r="C272" s="59"/>
      <c r="D272" s="1173"/>
      <c r="E272" s="59"/>
      <c r="F272" s="1173"/>
      <c r="G272" s="1174"/>
      <c r="H272" s="59"/>
      <c r="I272" s="59"/>
      <c r="J272" s="1173"/>
      <c r="K272" s="59"/>
      <c r="L272" s="1173"/>
      <c r="M272" s="59"/>
      <c r="N272" s="59"/>
      <c r="O272" s="59"/>
      <c r="P272" s="59"/>
      <c r="Q272" s="59"/>
      <c r="R272" s="59"/>
      <c r="S272" s="59"/>
      <c r="T272" s="59"/>
      <c r="U272" s="59"/>
      <c r="V272" s="59"/>
      <c r="W272" s="59"/>
      <c r="X272" s="59"/>
      <c r="Y272" s="59"/>
      <c r="Z272" s="59"/>
      <c r="AA272" s="59"/>
      <c r="AB272" s="59"/>
      <c r="AC272" s="59"/>
    </row>
    <row r="273" spans="1:29" ht="12.75">
      <c r="A273" s="59"/>
      <c r="B273" s="59"/>
      <c r="C273" s="59"/>
      <c r="D273" s="1173"/>
      <c r="E273" s="59"/>
      <c r="F273" s="1173"/>
      <c r="G273" s="1174"/>
      <c r="H273" s="59"/>
      <c r="I273" s="59"/>
      <c r="J273" s="1173"/>
      <c r="K273" s="59"/>
      <c r="L273" s="1173"/>
      <c r="M273" s="59"/>
      <c r="N273" s="59"/>
      <c r="O273" s="59"/>
      <c r="P273" s="59"/>
      <c r="Q273" s="59"/>
      <c r="R273" s="59"/>
      <c r="S273" s="59"/>
      <c r="T273" s="59"/>
      <c r="U273" s="59"/>
      <c r="V273" s="59"/>
      <c r="W273" s="59"/>
      <c r="X273" s="59"/>
      <c r="Y273" s="59"/>
      <c r="Z273" s="59"/>
      <c r="AA273" s="59"/>
      <c r="AB273" s="59"/>
      <c r="AC273" s="59"/>
    </row>
    <row r="274" spans="1:29" ht="12.75">
      <c r="A274" s="59"/>
      <c r="B274" s="59"/>
      <c r="C274" s="59"/>
      <c r="D274" s="1173"/>
      <c r="E274" s="59"/>
      <c r="F274" s="1173"/>
      <c r="G274" s="1174"/>
      <c r="H274" s="59"/>
      <c r="I274" s="59"/>
      <c r="J274" s="1173"/>
      <c r="K274" s="59"/>
      <c r="L274" s="1173"/>
      <c r="M274" s="59"/>
      <c r="N274" s="59"/>
      <c r="O274" s="59"/>
      <c r="P274" s="59"/>
      <c r="Q274" s="59"/>
      <c r="R274" s="59"/>
      <c r="S274" s="59"/>
      <c r="T274" s="59"/>
      <c r="U274" s="59"/>
      <c r="V274" s="59"/>
      <c r="W274" s="59"/>
      <c r="X274" s="59"/>
      <c r="Y274" s="59"/>
      <c r="Z274" s="59"/>
      <c r="AA274" s="59"/>
      <c r="AB274" s="59"/>
      <c r="AC274" s="59"/>
    </row>
    <row r="275" spans="1:29" ht="12.75">
      <c r="A275" s="59"/>
      <c r="B275" s="59"/>
      <c r="C275" s="59"/>
      <c r="D275" s="1173"/>
      <c r="E275" s="59"/>
      <c r="F275" s="1173"/>
      <c r="G275" s="1174"/>
      <c r="H275" s="59"/>
      <c r="I275" s="59"/>
      <c r="J275" s="1173"/>
      <c r="K275" s="59"/>
      <c r="L275" s="1173"/>
      <c r="M275" s="59"/>
      <c r="N275" s="59"/>
      <c r="O275" s="59"/>
      <c r="P275" s="59"/>
      <c r="Q275" s="59"/>
      <c r="R275" s="59"/>
      <c r="S275" s="59"/>
      <c r="T275" s="59"/>
      <c r="U275" s="59"/>
      <c r="V275" s="59"/>
      <c r="W275" s="59"/>
      <c r="X275" s="59"/>
      <c r="Y275" s="59"/>
      <c r="Z275" s="59"/>
      <c r="AA275" s="59"/>
      <c r="AB275" s="59"/>
      <c r="AC275" s="59"/>
    </row>
    <row r="276" spans="1:29" ht="12.75">
      <c r="A276" s="59"/>
      <c r="B276" s="59"/>
      <c r="C276" s="59"/>
      <c r="D276" s="1173"/>
      <c r="E276" s="59"/>
      <c r="F276" s="1173"/>
      <c r="G276" s="1174"/>
      <c r="H276" s="59"/>
      <c r="I276" s="59"/>
      <c r="J276" s="1173"/>
      <c r="K276" s="59"/>
      <c r="L276" s="1173"/>
      <c r="M276" s="59"/>
      <c r="N276" s="59"/>
      <c r="O276" s="59"/>
      <c r="P276" s="59"/>
      <c r="Q276" s="59"/>
      <c r="R276" s="59"/>
      <c r="S276" s="59"/>
      <c r="T276" s="59"/>
      <c r="U276" s="59"/>
      <c r="V276" s="59"/>
      <c r="W276" s="59"/>
      <c r="X276" s="59"/>
      <c r="Y276" s="59"/>
      <c r="Z276" s="59"/>
      <c r="AA276" s="59"/>
      <c r="AB276" s="59"/>
      <c r="AC276" s="59"/>
    </row>
    <row r="277" spans="1:29" ht="12.75">
      <c r="A277" s="59"/>
      <c r="B277" s="59"/>
      <c r="C277" s="59"/>
      <c r="D277" s="1173"/>
      <c r="E277" s="59"/>
      <c r="F277" s="1173"/>
      <c r="G277" s="1174"/>
      <c r="H277" s="59"/>
      <c r="I277" s="59"/>
      <c r="J277" s="1173"/>
      <c r="K277" s="59"/>
      <c r="L277" s="1173"/>
      <c r="M277" s="59"/>
      <c r="N277" s="59"/>
      <c r="O277" s="59"/>
      <c r="P277" s="59"/>
      <c r="Q277" s="59"/>
      <c r="R277" s="59"/>
      <c r="S277" s="59"/>
      <c r="T277" s="59"/>
      <c r="U277" s="59"/>
      <c r="V277" s="59"/>
      <c r="W277" s="59"/>
      <c r="X277" s="59"/>
      <c r="Y277" s="59"/>
      <c r="Z277" s="59"/>
      <c r="AA277" s="59"/>
      <c r="AB277" s="59"/>
      <c r="AC277" s="59"/>
    </row>
    <row r="278" spans="1:29" ht="12.75">
      <c r="A278" s="59"/>
      <c r="B278" s="59"/>
      <c r="C278" s="59"/>
      <c r="D278" s="1173"/>
      <c r="E278" s="59"/>
      <c r="F278" s="1173"/>
      <c r="G278" s="1174"/>
      <c r="H278" s="59"/>
      <c r="I278" s="59"/>
      <c r="J278" s="1173"/>
      <c r="K278" s="59"/>
      <c r="L278" s="1173"/>
      <c r="M278" s="59"/>
      <c r="N278" s="59"/>
      <c r="O278" s="59"/>
      <c r="P278" s="59"/>
      <c r="Q278" s="59"/>
      <c r="R278" s="59"/>
      <c r="S278" s="59"/>
      <c r="T278" s="59"/>
      <c r="U278" s="59"/>
      <c r="V278" s="59"/>
      <c r="W278" s="59"/>
      <c r="X278" s="59"/>
      <c r="Y278" s="59"/>
      <c r="Z278" s="59"/>
      <c r="AA278" s="59"/>
      <c r="AB278" s="59"/>
      <c r="AC278" s="59"/>
    </row>
    <row r="279" spans="1:29" ht="12.75">
      <c r="A279" s="59"/>
      <c r="B279" s="59"/>
      <c r="C279" s="59"/>
      <c r="D279" s="1173"/>
      <c r="E279" s="59"/>
      <c r="F279" s="1173"/>
      <c r="G279" s="1174"/>
      <c r="H279" s="59"/>
      <c r="I279" s="59"/>
      <c r="J279" s="1173"/>
      <c r="K279" s="59"/>
      <c r="L279" s="1173"/>
      <c r="M279" s="59"/>
      <c r="N279" s="59"/>
      <c r="O279" s="59"/>
      <c r="P279" s="59"/>
      <c r="Q279" s="59"/>
      <c r="R279" s="59"/>
      <c r="S279" s="59"/>
      <c r="T279" s="59"/>
      <c r="U279" s="59"/>
      <c r="V279" s="59"/>
      <c r="W279" s="59"/>
      <c r="X279" s="59"/>
      <c r="Y279" s="59"/>
      <c r="Z279" s="59"/>
      <c r="AA279" s="59"/>
      <c r="AB279" s="59"/>
      <c r="AC279" s="59"/>
    </row>
    <row r="280" spans="1:29" ht="12.75">
      <c r="A280" s="59"/>
      <c r="B280" s="59"/>
      <c r="C280" s="59"/>
      <c r="D280" s="1173"/>
      <c r="E280" s="59"/>
      <c r="F280" s="1173"/>
      <c r="G280" s="1174"/>
      <c r="H280" s="59"/>
      <c r="I280" s="59"/>
      <c r="J280" s="1173"/>
      <c r="K280" s="59"/>
      <c r="L280" s="1173"/>
      <c r="M280" s="59"/>
      <c r="N280" s="59"/>
      <c r="O280" s="59"/>
      <c r="P280" s="59"/>
      <c r="Q280" s="59"/>
      <c r="R280" s="59"/>
      <c r="S280" s="59"/>
      <c r="T280" s="59"/>
      <c r="U280" s="59"/>
      <c r="V280" s="59"/>
      <c r="W280" s="59"/>
      <c r="X280" s="59"/>
      <c r="Y280" s="59"/>
      <c r="Z280" s="59"/>
      <c r="AA280" s="59"/>
      <c r="AB280" s="59"/>
      <c r="AC280" s="59"/>
    </row>
    <row r="281" spans="1:29" ht="12.75">
      <c r="A281" s="59"/>
      <c r="B281" s="59"/>
      <c r="C281" s="59"/>
      <c r="D281" s="1173"/>
      <c r="E281" s="59"/>
      <c r="F281" s="1173"/>
      <c r="G281" s="1174"/>
      <c r="H281" s="59"/>
      <c r="I281" s="59"/>
      <c r="J281" s="1173"/>
      <c r="K281" s="59"/>
      <c r="L281" s="1173"/>
      <c r="M281" s="59"/>
      <c r="N281" s="59"/>
      <c r="O281" s="59"/>
      <c r="P281" s="59"/>
      <c r="Q281" s="59"/>
      <c r="R281" s="59"/>
      <c r="S281" s="59"/>
      <c r="T281" s="59"/>
      <c r="U281" s="59"/>
      <c r="V281" s="59"/>
      <c r="W281" s="59"/>
      <c r="X281" s="59"/>
      <c r="Y281" s="59"/>
      <c r="Z281" s="59"/>
      <c r="AA281" s="59"/>
      <c r="AB281" s="59"/>
      <c r="AC281" s="59"/>
    </row>
    <row r="282" spans="1:29" ht="12.75">
      <c r="A282" s="59"/>
      <c r="B282" s="59"/>
      <c r="C282" s="59"/>
      <c r="D282" s="1173"/>
      <c r="E282" s="59"/>
      <c r="F282" s="1173"/>
      <c r="G282" s="1174"/>
      <c r="H282" s="59"/>
      <c r="I282" s="59"/>
      <c r="J282" s="1173"/>
      <c r="K282" s="59"/>
      <c r="L282" s="1173"/>
      <c r="M282" s="59"/>
      <c r="N282" s="59"/>
      <c r="O282" s="59"/>
      <c r="P282" s="59"/>
      <c r="Q282" s="59"/>
      <c r="R282" s="59"/>
      <c r="S282" s="59"/>
      <c r="T282" s="59"/>
      <c r="U282" s="59"/>
      <c r="V282" s="59"/>
      <c r="W282" s="59"/>
      <c r="X282" s="59"/>
      <c r="Y282" s="59"/>
      <c r="Z282" s="59"/>
      <c r="AA282" s="59"/>
      <c r="AB282" s="59"/>
      <c r="AC282" s="59"/>
    </row>
    <row r="283" spans="1:29" ht="12.75">
      <c r="A283" s="59"/>
      <c r="B283" s="59"/>
      <c r="C283" s="59"/>
      <c r="D283" s="1173"/>
      <c r="E283" s="59"/>
      <c r="F283" s="1173"/>
      <c r="G283" s="1174"/>
      <c r="H283" s="59"/>
      <c r="I283" s="59"/>
      <c r="J283" s="1173"/>
      <c r="K283" s="59"/>
      <c r="L283" s="1173"/>
      <c r="M283" s="59"/>
      <c r="N283" s="59"/>
      <c r="O283" s="59"/>
      <c r="P283" s="59"/>
      <c r="Q283" s="59"/>
      <c r="R283" s="59"/>
      <c r="S283" s="59"/>
      <c r="T283" s="59"/>
      <c r="U283" s="59"/>
      <c r="V283" s="59"/>
      <c r="W283" s="59"/>
      <c r="X283" s="59"/>
      <c r="Y283" s="59"/>
      <c r="Z283" s="59"/>
      <c r="AA283" s="59"/>
      <c r="AB283" s="59"/>
      <c r="AC283" s="59"/>
    </row>
    <row r="284" spans="1:29" ht="12.75">
      <c r="A284" s="59"/>
      <c r="B284" s="59"/>
      <c r="C284" s="59"/>
      <c r="D284" s="1173"/>
      <c r="E284" s="59"/>
      <c r="F284" s="1173"/>
      <c r="G284" s="1174"/>
      <c r="H284" s="59"/>
      <c r="I284" s="59"/>
      <c r="J284" s="1173"/>
      <c r="K284" s="59"/>
      <c r="L284" s="1173"/>
      <c r="M284" s="59"/>
      <c r="N284" s="59"/>
      <c r="O284" s="59"/>
      <c r="P284" s="59"/>
      <c r="Q284" s="59"/>
      <c r="R284" s="59"/>
      <c r="S284" s="59"/>
      <c r="T284" s="59"/>
      <c r="U284" s="59"/>
      <c r="V284" s="59"/>
      <c r="W284" s="59"/>
      <c r="X284" s="59"/>
      <c r="Y284" s="59"/>
      <c r="Z284" s="59"/>
      <c r="AA284" s="59"/>
      <c r="AB284" s="59"/>
      <c r="AC284" s="59"/>
    </row>
    <row r="285" spans="1:29" ht="12.75">
      <c r="A285" s="59"/>
      <c r="B285" s="59"/>
      <c r="C285" s="59"/>
      <c r="D285" s="1173"/>
      <c r="E285" s="59"/>
      <c r="F285" s="1173"/>
      <c r="G285" s="1174"/>
      <c r="H285" s="59"/>
      <c r="I285" s="59"/>
      <c r="J285" s="1173"/>
      <c r="K285" s="59"/>
      <c r="L285" s="1173"/>
      <c r="M285" s="59"/>
      <c r="N285" s="59"/>
      <c r="O285" s="59"/>
      <c r="P285" s="59"/>
      <c r="Q285" s="59"/>
      <c r="R285" s="59"/>
      <c r="S285" s="59"/>
      <c r="T285" s="59"/>
      <c r="U285" s="59"/>
      <c r="V285" s="59"/>
      <c r="W285" s="59"/>
      <c r="X285" s="59"/>
      <c r="Y285" s="59"/>
      <c r="Z285" s="59"/>
      <c r="AA285" s="59"/>
      <c r="AB285" s="59"/>
      <c r="AC285" s="59"/>
    </row>
    <row r="286" spans="1:29" ht="12.75">
      <c r="A286" s="59"/>
      <c r="B286" s="59"/>
      <c r="C286" s="59"/>
      <c r="D286" s="1173"/>
      <c r="E286" s="59"/>
      <c r="F286" s="1173"/>
      <c r="G286" s="1174"/>
      <c r="H286" s="59"/>
      <c r="I286" s="59"/>
      <c r="J286" s="1173"/>
      <c r="K286" s="59"/>
      <c r="L286" s="1173"/>
      <c r="M286" s="59"/>
      <c r="N286" s="59"/>
      <c r="O286" s="59"/>
      <c r="P286" s="59"/>
      <c r="Q286" s="59"/>
      <c r="R286" s="59"/>
      <c r="S286" s="59"/>
      <c r="T286" s="59"/>
      <c r="U286" s="59"/>
      <c r="V286" s="59"/>
      <c r="W286" s="59"/>
      <c r="X286" s="59"/>
      <c r="Y286" s="59"/>
      <c r="Z286" s="59"/>
      <c r="AA286" s="59"/>
      <c r="AB286" s="59"/>
      <c r="AC286" s="59"/>
    </row>
    <row r="287" spans="1:29" ht="12.75">
      <c r="A287" s="59"/>
      <c r="B287" s="59"/>
      <c r="C287" s="59"/>
      <c r="D287" s="1173"/>
      <c r="E287" s="59"/>
      <c r="F287" s="1173"/>
      <c r="G287" s="1174"/>
      <c r="H287" s="59"/>
      <c r="I287" s="59"/>
      <c r="J287" s="1173"/>
      <c r="K287" s="59"/>
      <c r="L287" s="1173"/>
      <c r="M287" s="59"/>
      <c r="N287" s="59"/>
      <c r="O287" s="59"/>
      <c r="P287" s="59"/>
      <c r="Q287" s="59"/>
      <c r="R287" s="59"/>
      <c r="S287" s="59"/>
      <c r="T287" s="59"/>
      <c r="U287" s="59"/>
      <c r="V287" s="59"/>
      <c r="W287" s="59"/>
      <c r="X287" s="59"/>
      <c r="Y287" s="59"/>
      <c r="Z287" s="59"/>
      <c r="AA287" s="59"/>
      <c r="AB287" s="59"/>
      <c r="AC287" s="59"/>
    </row>
    <row r="288" spans="1:29" ht="12.75">
      <c r="A288" s="59"/>
      <c r="B288" s="59"/>
      <c r="C288" s="59"/>
      <c r="D288" s="1173"/>
      <c r="E288" s="59"/>
      <c r="F288" s="1173"/>
      <c r="G288" s="1174"/>
      <c r="H288" s="59"/>
      <c r="I288" s="59"/>
      <c r="J288" s="1173"/>
      <c r="K288" s="59"/>
      <c r="L288" s="1173"/>
      <c r="M288" s="59"/>
      <c r="N288" s="59"/>
      <c r="O288" s="59"/>
      <c r="P288" s="59"/>
      <c r="Q288" s="59"/>
      <c r="R288" s="59"/>
      <c r="S288" s="59"/>
      <c r="T288" s="59"/>
      <c r="U288" s="59"/>
      <c r="V288" s="59"/>
      <c r="W288" s="59"/>
      <c r="X288" s="59"/>
      <c r="Y288" s="59"/>
      <c r="Z288" s="59"/>
      <c r="AA288" s="59"/>
      <c r="AB288" s="59"/>
      <c r="AC288" s="59"/>
    </row>
    <row r="289" spans="1:29" ht="12.75">
      <c r="A289" s="59"/>
      <c r="B289" s="59"/>
      <c r="C289" s="59"/>
      <c r="D289" s="1173"/>
      <c r="E289" s="59"/>
      <c r="F289" s="1173"/>
      <c r="G289" s="1174"/>
      <c r="H289" s="59"/>
      <c r="I289" s="59"/>
      <c r="J289" s="1173"/>
      <c r="K289" s="59"/>
      <c r="L289" s="1173"/>
      <c r="M289" s="59"/>
      <c r="N289" s="59"/>
      <c r="O289" s="59"/>
      <c r="P289" s="59"/>
      <c r="Q289" s="59"/>
      <c r="R289" s="59"/>
      <c r="S289" s="59"/>
      <c r="T289" s="59"/>
      <c r="U289" s="59"/>
      <c r="V289" s="59"/>
      <c r="W289" s="59"/>
      <c r="X289" s="59"/>
      <c r="Y289" s="59"/>
      <c r="Z289" s="59"/>
      <c r="AA289" s="59"/>
      <c r="AB289" s="59"/>
      <c r="AC289" s="59"/>
    </row>
    <row r="290" spans="1:29" ht="12.75">
      <c r="A290" s="59"/>
      <c r="B290" s="59"/>
      <c r="C290" s="59"/>
      <c r="D290" s="1173"/>
      <c r="E290" s="59"/>
      <c r="F290" s="1173"/>
      <c r="G290" s="1174"/>
      <c r="H290" s="59"/>
      <c r="I290" s="59"/>
      <c r="J290" s="1173"/>
      <c r="K290" s="59"/>
      <c r="L290" s="1173"/>
      <c r="M290" s="59"/>
      <c r="N290" s="59"/>
      <c r="O290" s="59"/>
      <c r="P290" s="59"/>
      <c r="Q290" s="59"/>
      <c r="R290" s="59"/>
      <c r="S290" s="59"/>
      <c r="T290" s="59"/>
      <c r="U290" s="59"/>
      <c r="V290" s="59"/>
      <c r="W290" s="59"/>
      <c r="X290" s="59"/>
      <c r="Y290" s="59"/>
      <c r="Z290" s="59"/>
      <c r="AA290" s="59"/>
      <c r="AB290" s="59"/>
      <c r="AC290" s="59"/>
    </row>
    <row r="291" spans="1:29" ht="12.75">
      <c r="A291" s="59"/>
      <c r="B291" s="59"/>
      <c r="C291" s="59"/>
      <c r="D291" s="1173"/>
      <c r="E291" s="59"/>
      <c r="F291" s="1173"/>
      <c r="G291" s="1174"/>
      <c r="H291" s="59"/>
      <c r="I291" s="59"/>
      <c r="J291" s="1173"/>
      <c r="K291" s="59"/>
      <c r="L291" s="1173"/>
      <c r="M291" s="59"/>
      <c r="N291" s="59"/>
      <c r="O291" s="59"/>
      <c r="P291" s="59"/>
      <c r="Q291" s="59"/>
      <c r="R291" s="59"/>
      <c r="S291" s="59"/>
      <c r="T291" s="59"/>
      <c r="U291" s="59"/>
      <c r="V291" s="59"/>
      <c r="W291" s="59"/>
      <c r="X291" s="59"/>
      <c r="Y291" s="59"/>
      <c r="Z291" s="59"/>
      <c r="AA291" s="59"/>
      <c r="AB291" s="59"/>
      <c r="AC291" s="59"/>
    </row>
    <row r="292" spans="1:29" ht="12.75">
      <c r="A292" s="59"/>
      <c r="B292" s="59"/>
      <c r="C292" s="59"/>
      <c r="D292" s="1173"/>
      <c r="E292" s="59"/>
      <c r="F292" s="1173"/>
      <c r="G292" s="1174"/>
      <c r="H292" s="59"/>
      <c r="I292" s="59"/>
      <c r="J292" s="1173"/>
      <c r="K292" s="59"/>
      <c r="L292" s="1173"/>
      <c r="M292" s="59"/>
      <c r="N292" s="59"/>
      <c r="O292" s="59"/>
      <c r="P292" s="59"/>
      <c r="Q292" s="59"/>
      <c r="R292" s="59"/>
      <c r="S292" s="59"/>
      <c r="T292" s="59"/>
      <c r="U292" s="59"/>
      <c r="V292" s="59"/>
      <c r="W292" s="59"/>
      <c r="X292" s="59"/>
      <c r="Y292" s="59"/>
      <c r="Z292" s="59"/>
      <c r="AA292" s="59"/>
      <c r="AB292" s="59"/>
      <c r="AC292" s="59"/>
    </row>
    <row r="293" spans="1:29" ht="12.75">
      <c r="A293" s="59"/>
      <c r="B293" s="59"/>
      <c r="C293" s="59"/>
      <c r="D293" s="1173"/>
      <c r="E293" s="59"/>
      <c r="F293" s="1173"/>
      <c r="G293" s="1174"/>
      <c r="H293" s="59"/>
      <c r="I293" s="59"/>
      <c r="J293" s="1173"/>
      <c r="K293" s="59"/>
      <c r="L293" s="1173"/>
      <c r="M293" s="59"/>
      <c r="N293" s="59"/>
      <c r="O293" s="59"/>
      <c r="P293" s="59"/>
      <c r="Q293" s="59"/>
      <c r="R293" s="59"/>
      <c r="S293" s="59"/>
      <c r="T293" s="59"/>
      <c r="U293" s="59"/>
      <c r="V293" s="59"/>
      <c r="W293" s="59"/>
      <c r="X293" s="59"/>
      <c r="Y293" s="59"/>
      <c r="Z293" s="59"/>
      <c r="AA293" s="59"/>
      <c r="AB293" s="59"/>
      <c r="AC293" s="59"/>
    </row>
    <row r="294" spans="1:29" ht="12.75">
      <c r="A294" s="59"/>
      <c r="B294" s="59"/>
      <c r="C294" s="59"/>
      <c r="D294" s="1173"/>
      <c r="E294" s="59"/>
      <c r="F294" s="1173"/>
      <c r="G294" s="1174"/>
      <c r="H294" s="59"/>
      <c r="I294" s="59"/>
      <c r="J294" s="1173"/>
      <c r="K294" s="59"/>
      <c r="L294" s="1173"/>
      <c r="M294" s="59"/>
      <c r="N294" s="59"/>
      <c r="O294" s="59"/>
      <c r="P294" s="59"/>
      <c r="Q294" s="59"/>
      <c r="R294" s="59"/>
      <c r="S294" s="59"/>
      <c r="T294" s="59"/>
      <c r="U294" s="59"/>
      <c r="V294" s="59"/>
      <c r="W294" s="59"/>
      <c r="X294" s="59"/>
      <c r="Y294" s="59"/>
      <c r="Z294" s="59"/>
      <c r="AA294" s="59"/>
      <c r="AB294" s="59"/>
      <c r="AC294" s="59"/>
    </row>
    <row r="295" spans="1:29" ht="12.75">
      <c r="A295" s="59"/>
      <c r="B295" s="59"/>
      <c r="C295" s="59"/>
      <c r="D295" s="1173"/>
      <c r="E295" s="59"/>
      <c r="F295" s="1173"/>
      <c r="G295" s="1174"/>
      <c r="H295" s="59"/>
      <c r="I295" s="59"/>
      <c r="J295" s="1173"/>
      <c r="K295" s="59"/>
      <c r="L295" s="1173"/>
      <c r="M295" s="59"/>
      <c r="N295" s="59"/>
      <c r="O295" s="59"/>
      <c r="P295" s="59"/>
      <c r="Q295" s="59"/>
      <c r="R295" s="59"/>
      <c r="S295" s="59"/>
      <c r="T295" s="59"/>
      <c r="U295" s="59"/>
      <c r="V295" s="59"/>
      <c r="W295" s="59"/>
      <c r="X295" s="59"/>
      <c r="Y295" s="59"/>
      <c r="Z295" s="59"/>
      <c r="AA295" s="59"/>
      <c r="AB295" s="59"/>
      <c r="AC295" s="59"/>
    </row>
    <row r="296" spans="1:29" ht="12.75">
      <c r="A296" s="59"/>
      <c r="B296" s="59"/>
      <c r="C296" s="59"/>
      <c r="D296" s="1173"/>
      <c r="E296" s="59"/>
      <c r="F296" s="1173"/>
      <c r="G296" s="1174"/>
      <c r="H296" s="59"/>
      <c r="I296" s="59"/>
      <c r="J296" s="1173"/>
      <c r="K296" s="59"/>
      <c r="L296" s="1173"/>
      <c r="M296" s="59"/>
      <c r="N296" s="59"/>
      <c r="O296" s="59"/>
      <c r="P296" s="59"/>
      <c r="Q296" s="59"/>
      <c r="R296" s="59"/>
      <c r="S296" s="59"/>
      <c r="T296" s="59"/>
      <c r="U296" s="59"/>
      <c r="V296" s="59"/>
      <c r="W296" s="59"/>
      <c r="X296" s="59"/>
      <c r="Y296" s="59"/>
      <c r="Z296" s="59"/>
      <c r="AA296" s="59"/>
      <c r="AB296" s="59"/>
      <c r="AC296" s="59"/>
    </row>
    <row r="297" spans="1:29" ht="12.75">
      <c r="A297" s="59"/>
      <c r="B297" s="59"/>
      <c r="C297" s="59"/>
      <c r="D297" s="1173"/>
      <c r="E297" s="59"/>
      <c r="F297" s="1173"/>
      <c r="G297" s="1174"/>
      <c r="H297" s="59"/>
      <c r="I297" s="59"/>
      <c r="J297" s="1173"/>
      <c r="K297" s="59"/>
      <c r="L297" s="1173"/>
      <c r="M297" s="59"/>
      <c r="N297" s="59"/>
      <c r="O297" s="59"/>
      <c r="P297" s="59"/>
      <c r="Q297" s="59"/>
      <c r="R297" s="59"/>
      <c r="S297" s="59"/>
      <c r="T297" s="59"/>
      <c r="U297" s="59"/>
      <c r="V297" s="59"/>
      <c r="W297" s="59"/>
      <c r="X297" s="59"/>
      <c r="Y297" s="59"/>
      <c r="Z297" s="59"/>
      <c r="AA297" s="59"/>
      <c r="AB297" s="59"/>
      <c r="AC297" s="59"/>
    </row>
    <row r="298" spans="1:29" ht="12.75">
      <c r="A298" s="59"/>
      <c r="B298" s="59"/>
      <c r="C298" s="59"/>
      <c r="D298" s="1173"/>
      <c r="E298" s="59"/>
      <c r="F298" s="1173"/>
      <c r="G298" s="1174"/>
      <c r="H298" s="59"/>
      <c r="I298" s="59"/>
      <c r="J298" s="1173"/>
      <c r="K298" s="59"/>
      <c r="L298" s="1173"/>
      <c r="M298" s="59"/>
      <c r="N298" s="59"/>
      <c r="O298" s="59"/>
      <c r="P298" s="59"/>
      <c r="Q298" s="59"/>
      <c r="R298" s="59"/>
      <c r="S298" s="59"/>
      <c r="T298" s="59"/>
      <c r="U298" s="59"/>
      <c r="V298" s="59"/>
      <c r="W298" s="59"/>
      <c r="X298" s="59"/>
      <c r="Y298" s="59"/>
      <c r="Z298" s="59"/>
      <c r="AA298" s="59"/>
      <c r="AB298" s="59"/>
      <c r="AC298" s="59"/>
    </row>
    <row r="299" spans="1:29" ht="12.75">
      <c r="A299" s="59"/>
      <c r="B299" s="59"/>
      <c r="C299" s="59"/>
      <c r="D299" s="1173"/>
      <c r="E299" s="59"/>
      <c r="F299" s="1173"/>
      <c r="G299" s="1174"/>
      <c r="H299" s="59"/>
      <c r="I299" s="59"/>
      <c r="J299" s="1173"/>
      <c r="K299" s="59"/>
      <c r="L299" s="1173"/>
      <c r="M299" s="59"/>
      <c r="N299" s="59"/>
      <c r="O299" s="59"/>
      <c r="P299" s="59"/>
      <c r="Q299" s="59"/>
      <c r="R299" s="59"/>
      <c r="S299" s="59"/>
      <c r="T299" s="59"/>
      <c r="U299" s="59"/>
      <c r="V299" s="59"/>
      <c r="W299" s="59"/>
      <c r="X299" s="59"/>
      <c r="Y299" s="59"/>
      <c r="Z299" s="59"/>
      <c r="AA299" s="59"/>
      <c r="AB299" s="59"/>
      <c r="AC299" s="59"/>
    </row>
    <row r="300" spans="1:29" ht="12.75">
      <c r="A300" s="59"/>
      <c r="B300" s="59"/>
      <c r="C300" s="59"/>
      <c r="D300" s="1173"/>
      <c r="E300" s="59"/>
      <c r="F300" s="1173"/>
      <c r="G300" s="1174"/>
      <c r="H300" s="59"/>
      <c r="I300" s="59"/>
      <c r="J300" s="1173"/>
      <c r="K300" s="59"/>
      <c r="L300" s="1173"/>
      <c r="M300" s="59"/>
      <c r="N300" s="59"/>
      <c r="O300" s="59"/>
      <c r="P300" s="59"/>
      <c r="Q300" s="59"/>
      <c r="R300" s="59"/>
      <c r="S300" s="59"/>
      <c r="T300" s="59"/>
      <c r="U300" s="59"/>
      <c r="V300" s="59"/>
      <c r="W300" s="59"/>
      <c r="X300" s="59"/>
      <c r="Y300" s="59"/>
      <c r="Z300" s="59"/>
      <c r="AA300" s="59"/>
      <c r="AB300" s="59"/>
      <c r="AC300" s="59"/>
    </row>
    <row r="301" spans="1:29" ht="12.75">
      <c r="A301" s="59"/>
      <c r="B301" s="59"/>
      <c r="C301" s="59"/>
      <c r="D301" s="1173"/>
      <c r="E301" s="59"/>
      <c r="F301" s="1173"/>
      <c r="G301" s="1174"/>
      <c r="H301" s="59"/>
      <c r="I301" s="59"/>
      <c r="J301" s="1173"/>
      <c r="K301" s="59"/>
      <c r="L301" s="1173"/>
      <c r="M301" s="59"/>
      <c r="N301" s="59"/>
      <c r="O301" s="59"/>
      <c r="P301" s="59"/>
      <c r="Q301" s="59"/>
      <c r="R301" s="59"/>
      <c r="S301" s="59"/>
      <c r="T301" s="59"/>
      <c r="U301" s="59"/>
      <c r="V301" s="59"/>
      <c r="W301" s="59"/>
      <c r="X301" s="59"/>
      <c r="Y301" s="59"/>
      <c r="Z301" s="59"/>
      <c r="AA301" s="59"/>
      <c r="AB301" s="59"/>
      <c r="AC301" s="59"/>
    </row>
    <row r="302" spans="1:29" ht="12.75">
      <c r="A302" s="59"/>
      <c r="B302" s="59"/>
      <c r="C302" s="59"/>
      <c r="D302" s="1173"/>
      <c r="E302" s="59"/>
      <c r="F302" s="1173"/>
      <c r="G302" s="1174"/>
      <c r="H302" s="59"/>
      <c r="I302" s="59"/>
      <c r="J302" s="1173"/>
      <c r="K302" s="59"/>
      <c r="L302" s="1173"/>
      <c r="M302" s="59"/>
      <c r="N302" s="59"/>
      <c r="O302" s="59"/>
      <c r="P302" s="59"/>
      <c r="Q302" s="59"/>
      <c r="R302" s="59"/>
      <c r="S302" s="59"/>
      <c r="T302" s="59"/>
      <c r="U302" s="59"/>
      <c r="V302" s="59"/>
      <c r="W302" s="59"/>
      <c r="X302" s="59"/>
      <c r="Y302" s="59"/>
      <c r="Z302" s="59"/>
      <c r="AA302" s="59"/>
      <c r="AB302" s="59"/>
      <c r="AC302" s="59"/>
    </row>
    <row r="303" spans="1:29" ht="12.75">
      <c r="A303" s="59"/>
      <c r="B303" s="59"/>
      <c r="C303" s="59"/>
      <c r="D303" s="1173"/>
      <c r="E303" s="59"/>
      <c r="F303" s="1173"/>
      <c r="G303" s="1174"/>
      <c r="H303" s="59"/>
      <c r="I303" s="59"/>
      <c r="J303" s="1173"/>
      <c r="K303" s="59"/>
      <c r="L303" s="1173"/>
      <c r="M303" s="59"/>
      <c r="N303" s="59"/>
      <c r="O303" s="59"/>
      <c r="P303" s="59"/>
      <c r="Q303" s="59"/>
      <c r="R303" s="59"/>
      <c r="S303" s="59"/>
      <c r="T303" s="59"/>
      <c r="U303" s="59"/>
      <c r="V303" s="59"/>
      <c r="W303" s="59"/>
      <c r="X303" s="59"/>
      <c r="Y303" s="59"/>
      <c r="Z303" s="59"/>
      <c r="AA303" s="59"/>
      <c r="AB303" s="59"/>
      <c r="AC303" s="59"/>
    </row>
    <row r="304" spans="1:29" ht="12.75">
      <c r="A304" s="59"/>
      <c r="B304" s="59"/>
      <c r="C304" s="59"/>
      <c r="D304" s="1173"/>
      <c r="E304" s="59"/>
      <c r="F304" s="1173"/>
      <c r="G304" s="1174"/>
      <c r="H304" s="59"/>
      <c r="I304" s="59"/>
      <c r="J304" s="1173"/>
      <c r="K304" s="59"/>
      <c r="L304" s="1173"/>
      <c r="M304" s="59"/>
      <c r="N304" s="59"/>
      <c r="O304" s="59"/>
      <c r="P304" s="59"/>
      <c r="Q304" s="59"/>
      <c r="R304" s="59"/>
      <c r="S304" s="59"/>
      <c r="T304" s="59"/>
      <c r="U304" s="59"/>
      <c r="V304" s="59"/>
      <c r="W304" s="59"/>
      <c r="X304" s="59"/>
      <c r="Y304" s="59"/>
      <c r="Z304" s="59"/>
      <c r="AA304" s="59"/>
      <c r="AB304" s="59"/>
      <c r="AC304" s="59"/>
    </row>
    <row r="305" spans="1:29" ht="12.75">
      <c r="A305" s="59"/>
      <c r="B305" s="59"/>
      <c r="C305" s="59"/>
      <c r="D305" s="1173"/>
      <c r="E305" s="59"/>
      <c r="F305" s="1173"/>
      <c r="G305" s="1174"/>
      <c r="H305" s="59"/>
      <c r="I305" s="59"/>
      <c r="J305" s="1173"/>
      <c r="K305" s="59"/>
      <c r="L305" s="1173"/>
      <c r="M305" s="59"/>
      <c r="N305" s="59"/>
      <c r="O305" s="59"/>
      <c r="P305" s="59"/>
      <c r="Q305" s="59"/>
      <c r="R305" s="59"/>
      <c r="S305" s="59"/>
      <c r="T305" s="59"/>
      <c r="U305" s="59"/>
      <c r="V305" s="59"/>
      <c r="W305" s="59"/>
      <c r="X305" s="59"/>
      <c r="Y305" s="59"/>
      <c r="Z305" s="59"/>
      <c r="AA305" s="59"/>
      <c r="AB305" s="59"/>
      <c r="AC305" s="59"/>
    </row>
    <row r="306" spans="1:29" ht="12.75">
      <c r="A306" s="59"/>
      <c r="B306" s="59"/>
      <c r="C306" s="59"/>
      <c r="D306" s="1173"/>
      <c r="E306" s="59"/>
      <c r="F306" s="1173"/>
      <c r="G306" s="1174"/>
      <c r="H306" s="59"/>
      <c r="I306" s="59"/>
      <c r="J306" s="1173"/>
      <c r="K306" s="59"/>
      <c r="L306" s="1173"/>
      <c r="M306" s="59"/>
      <c r="N306" s="59"/>
      <c r="O306" s="59"/>
      <c r="P306" s="59"/>
      <c r="Q306" s="59"/>
      <c r="R306" s="59"/>
      <c r="S306" s="59"/>
      <c r="T306" s="59"/>
      <c r="U306" s="59"/>
      <c r="V306" s="59"/>
      <c r="W306" s="59"/>
      <c r="X306" s="59"/>
      <c r="Y306" s="59"/>
      <c r="Z306" s="59"/>
      <c r="AA306" s="59"/>
      <c r="AB306" s="59"/>
      <c r="AC306" s="59"/>
    </row>
    <row r="307" spans="1:29" ht="12.75">
      <c r="A307" s="59"/>
      <c r="B307" s="59"/>
      <c r="C307" s="59"/>
      <c r="D307" s="1173"/>
      <c r="E307" s="59"/>
      <c r="F307" s="1173"/>
      <c r="G307" s="1174"/>
      <c r="H307" s="59"/>
      <c r="I307" s="59"/>
      <c r="J307" s="1173"/>
      <c r="K307" s="59"/>
      <c r="L307" s="1173"/>
      <c r="M307" s="59"/>
      <c r="N307" s="59"/>
      <c r="O307" s="59"/>
      <c r="P307" s="59"/>
      <c r="Q307" s="59"/>
      <c r="R307" s="59"/>
      <c r="S307" s="59"/>
      <c r="T307" s="59"/>
      <c r="U307" s="59"/>
      <c r="V307" s="59"/>
      <c r="W307" s="59"/>
      <c r="X307" s="59"/>
      <c r="Y307" s="59"/>
      <c r="Z307" s="59"/>
      <c r="AA307" s="59"/>
      <c r="AB307" s="59"/>
      <c r="AC307" s="59"/>
    </row>
    <row r="308" spans="1:29" ht="12.75">
      <c r="A308" s="59"/>
      <c r="B308" s="59"/>
      <c r="C308" s="59"/>
      <c r="D308" s="1173"/>
      <c r="E308" s="59"/>
      <c r="F308" s="1173"/>
      <c r="G308" s="1174"/>
      <c r="H308" s="59"/>
      <c r="I308" s="59"/>
      <c r="J308" s="1173"/>
      <c r="K308" s="59"/>
      <c r="L308" s="1173"/>
      <c r="M308" s="59"/>
      <c r="N308" s="59"/>
      <c r="O308" s="59"/>
      <c r="P308" s="59"/>
      <c r="Q308" s="59"/>
      <c r="R308" s="59"/>
      <c r="S308" s="59"/>
      <c r="T308" s="59"/>
      <c r="U308" s="59"/>
      <c r="V308" s="59"/>
      <c r="W308" s="59"/>
      <c r="X308" s="59"/>
      <c r="Y308" s="59"/>
      <c r="Z308" s="59"/>
      <c r="AA308" s="59"/>
      <c r="AB308" s="59"/>
      <c r="AC308" s="59"/>
    </row>
    <row r="309" spans="1:29" ht="12.75">
      <c r="A309" s="59"/>
      <c r="B309" s="59"/>
      <c r="C309" s="59"/>
      <c r="D309" s="1173"/>
      <c r="E309" s="59"/>
      <c r="F309" s="1173"/>
      <c r="G309" s="1174"/>
      <c r="H309" s="59"/>
      <c r="I309" s="59"/>
      <c r="J309" s="1173"/>
      <c r="K309" s="59"/>
      <c r="L309" s="1173"/>
      <c r="M309" s="59"/>
      <c r="N309" s="59"/>
      <c r="O309" s="59"/>
      <c r="P309" s="59"/>
      <c r="Q309" s="59"/>
      <c r="R309" s="59"/>
      <c r="S309" s="59"/>
      <c r="T309" s="59"/>
      <c r="U309" s="59"/>
      <c r="V309" s="59"/>
      <c r="W309" s="59"/>
      <c r="X309" s="59"/>
      <c r="Y309" s="59"/>
      <c r="Z309" s="59"/>
      <c r="AA309" s="59"/>
      <c r="AB309" s="59"/>
      <c r="AC309" s="59"/>
    </row>
    <row r="310" spans="1:29" ht="12.75">
      <c r="A310" s="59"/>
      <c r="B310" s="59"/>
      <c r="C310" s="59"/>
      <c r="D310" s="1173"/>
      <c r="E310" s="59"/>
      <c r="F310" s="1173"/>
      <c r="G310" s="1174"/>
      <c r="H310" s="59"/>
      <c r="I310" s="59"/>
      <c r="J310" s="1173"/>
      <c r="K310" s="59"/>
      <c r="L310" s="1173"/>
      <c r="M310" s="59"/>
      <c r="N310" s="59"/>
      <c r="O310" s="59"/>
      <c r="P310" s="59"/>
      <c r="Q310" s="59"/>
      <c r="R310" s="59"/>
      <c r="S310" s="59"/>
      <c r="T310" s="59"/>
      <c r="U310" s="59"/>
      <c r="V310" s="59"/>
      <c r="W310" s="59"/>
      <c r="X310" s="59"/>
      <c r="Y310" s="59"/>
      <c r="Z310" s="59"/>
      <c r="AA310" s="59"/>
      <c r="AB310" s="59"/>
      <c r="AC310" s="59"/>
    </row>
    <row r="311" spans="1:29" ht="12.75">
      <c r="A311" s="59"/>
      <c r="B311" s="59"/>
      <c r="C311" s="59"/>
      <c r="D311" s="1173"/>
      <c r="E311" s="59"/>
      <c r="F311" s="1173"/>
      <c r="G311" s="1174"/>
      <c r="H311" s="59"/>
      <c r="I311" s="59"/>
      <c r="J311" s="1173"/>
      <c r="K311" s="59"/>
      <c r="L311" s="1173"/>
      <c r="M311" s="59"/>
      <c r="N311" s="59"/>
      <c r="O311" s="59"/>
      <c r="P311" s="59"/>
      <c r="Q311" s="59"/>
      <c r="R311" s="59"/>
      <c r="S311" s="59"/>
      <c r="T311" s="59"/>
      <c r="U311" s="59"/>
      <c r="V311" s="59"/>
      <c r="W311" s="59"/>
      <c r="X311" s="59"/>
      <c r="Y311" s="59"/>
      <c r="Z311" s="59"/>
      <c r="AA311" s="59"/>
      <c r="AB311" s="59"/>
      <c r="AC311" s="59"/>
    </row>
    <row r="312" spans="1:29" ht="12.75">
      <c r="A312" s="59"/>
      <c r="B312" s="59"/>
      <c r="C312" s="59"/>
      <c r="D312" s="1173"/>
      <c r="E312" s="59"/>
      <c r="F312" s="1173"/>
      <c r="G312" s="1174"/>
      <c r="H312" s="59"/>
      <c r="I312" s="59"/>
      <c r="J312" s="1173"/>
      <c r="K312" s="59"/>
      <c r="L312" s="1173"/>
      <c r="M312" s="59"/>
      <c r="N312" s="59"/>
      <c r="O312" s="59"/>
      <c r="P312" s="59"/>
      <c r="Q312" s="59"/>
      <c r="R312" s="59"/>
      <c r="S312" s="59"/>
      <c r="T312" s="59"/>
      <c r="U312" s="59"/>
      <c r="V312" s="59"/>
      <c r="W312" s="59"/>
      <c r="X312" s="59"/>
      <c r="Y312" s="59"/>
      <c r="Z312" s="59"/>
      <c r="AA312" s="59"/>
      <c r="AB312" s="59"/>
      <c r="AC312" s="59"/>
    </row>
    <row r="313" spans="1:29" ht="12.75">
      <c r="A313" s="59"/>
      <c r="B313" s="59"/>
      <c r="C313" s="59"/>
      <c r="D313" s="1173"/>
      <c r="E313" s="59"/>
      <c r="F313" s="1173"/>
      <c r="G313" s="1174"/>
      <c r="H313" s="59"/>
      <c r="I313" s="59"/>
      <c r="J313" s="1173"/>
      <c r="K313" s="59"/>
      <c r="L313" s="1173"/>
      <c r="M313" s="59"/>
      <c r="N313" s="59"/>
      <c r="O313" s="59"/>
      <c r="P313" s="59"/>
      <c r="Q313" s="59"/>
      <c r="R313" s="59"/>
      <c r="S313" s="59"/>
      <c r="T313" s="59"/>
      <c r="U313" s="59"/>
      <c r="V313" s="59"/>
      <c r="W313" s="59"/>
      <c r="X313" s="59"/>
      <c r="Y313" s="59"/>
      <c r="Z313" s="59"/>
      <c r="AA313" s="59"/>
      <c r="AB313" s="59"/>
      <c r="AC313" s="59"/>
    </row>
    <row r="314" spans="1:29" ht="12.75">
      <c r="A314" s="59"/>
      <c r="B314" s="59"/>
      <c r="C314" s="59"/>
      <c r="D314" s="1173"/>
      <c r="E314" s="59"/>
      <c r="F314" s="1173"/>
      <c r="G314" s="1174"/>
      <c r="H314" s="59"/>
      <c r="I314" s="59"/>
      <c r="J314" s="1173"/>
      <c r="K314" s="59"/>
      <c r="L314" s="1173"/>
      <c r="M314" s="59"/>
      <c r="N314" s="59"/>
      <c r="O314" s="59"/>
      <c r="P314" s="59"/>
      <c r="Q314" s="59"/>
      <c r="R314" s="59"/>
      <c r="S314" s="59"/>
      <c r="T314" s="59"/>
      <c r="U314" s="59"/>
      <c r="V314" s="59"/>
      <c r="W314" s="59"/>
      <c r="X314" s="59"/>
      <c r="Y314" s="59"/>
      <c r="Z314" s="59"/>
      <c r="AA314" s="59"/>
      <c r="AB314" s="59"/>
      <c r="AC314" s="59"/>
    </row>
    <row r="315" spans="1:29" ht="12.75">
      <c r="A315" s="59"/>
      <c r="B315" s="59"/>
      <c r="C315" s="59"/>
      <c r="D315" s="1173"/>
      <c r="E315" s="59"/>
      <c r="F315" s="1173"/>
      <c r="G315" s="1174"/>
      <c r="H315" s="59"/>
      <c r="I315" s="59"/>
      <c r="J315" s="1173"/>
      <c r="K315" s="59"/>
      <c r="L315" s="1173"/>
      <c r="M315" s="59"/>
      <c r="N315" s="59"/>
      <c r="O315" s="59"/>
      <c r="P315" s="59"/>
      <c r="Q315" s="59"/>
      <c r="R315" s="59"/>
      <c r="S315" s="59"/>
      <c r="T315" s="59"/>
      <c r="U315" s="59"/>
      <c r="V315" s="59"/>
      <c r="W315" s="59"/>
      <c r="X315" s="59"/>
      <c r="Y315" s="59"/>
      <c r="Z315" s="59"/>
      <c r="AA315" s="59"/>
      <c r="AB315" s="59"/>
      <c r="AC315" s="59"/>
    </row>
    <row r="316" spans="1:29" ht="12.75">
      <c r="A316" s="59"/>
      <c r="B316" s="59"/>
      <c r="C316" s="59"/>
      <c r="D316" s="1173"/>
      <c r="E316" s="59"/>
      <c r="F316" s="1173"/>
      <c r="G316" s="1174"/>
      <c r="H316" s="59"/>
      <c r="I316" s="59"/>
      <c r="J316" s="1173"/>
      <c r="K316" s="59"/>
      <c r="L316" s="1173"/>
      <c r="M316" s="59"/>
      <c r="N316" s="59"/>
      <c r="O316" s="59"/>
      <c r="P316" s="59"/>
      <c r="Q316" s="59"/>
      <c r="R316" s="59"/>
      <c r="S316" s="59"/>
      <c r="T316" s="59"/>
      <c r="U316" s="59"/>
      <c r="V316" s="59"/>
      <c r="W316" s="59"/>
      <c r="X316" s="59"/>
      <c r="Y316" s="59"/>
      <c r="Z316" s="59"/>
      <c r="AA316" s="59"/>
      <c r="AB316" s="59"/>
      <c r="AC316" s="59"/>
    </row>
    <row r="317" spans="1:29" ht="12.75">
      <c r="A317" s="59"/>
      <c r="B317" s="59"/>
      <c r="C317" s="59"/>
      <c r="D317" s="1173"/>
      <c r="E317" s="59"/>
      <c r="F317" s="1173"/>
      <c r="G317" s="1174"/>
      <c r="H317" s="59"/>
      <c r="I317" s="59"/>
      <c r="J317" s="1173"/>
      <c r="K317" s="59"/>
      <c r="L317" s="1173"/>
      <c r="M317" s="59"/>
      <c r="N317" s="59"/>
      <c r="O317" s="59"/>
      <c r="P317" s="59"/>
      <c r="Q317" s="59"/>
      <c r="R317" s="59"/>
      <c r="S317" s="59"/>
      <c r="T317" s="59"/>
      <c r="U317" s="59"/>
      <c r="V317" s="59"/>
      <c r="W317" s="59"/>
      <c r="X317" s="59"/>
      <c r="Y317" s="59"/>
      <c r="Z317" s="59"/>
      <c r="AA317" s="59"/>
      <c r="AB317" s="59"/>
      <c r="AC317" s="59"/>
    </row>
    <row r="318" spans="1:29" ht="12.75">
      <c r="A318" s="59"/>
      <c r="B318" s="59"/>
      <c r="C318" s="59"/>
      <c r="D318" s="1173"/>
      <c r="E318" s="59"/>
      <c r="F318" s="1173"/>
      <c r="G318" s="1174"/>
      <c r="H318" s="59"/>
      <c r="I318" s="59"/>
      <c r="J318" s="1173"/>
      <c r="K318" s="59"/>
      <c r="L318" s="1173"/>
      <c r="M318" s="59"/>
      <c r="N318" s="59"/>
      <c r="O318" s="59"/>
      <c r="P318" s="59"/>
      <c r="Q318" s="59"/>
      <c r="R318" s="59"/>
      <c r="S318" s="59"/>
      <c r="T318" s="59"/>
      <c r="U318" s="59"/>
      <c r="V318" s="59"/>
      <c r="W318" s="59"/>
      <c r="X318" s="59"/>
      <c r="Y318" s="59"/>
      <c r="Z318" s="59"/>
      <c r="AA318" s="59"/>
      <c r="AB318" s="59"/>
      <c r="AC318" s="59"/>
    </row>
    <row r="319" spans="1:29" ht="12.75">
      <c r="A319" s="59"/>
      <c r="B319" s="59"/>
      <c r="C319" s="59"/>
      <c r="D319" s="1173"/>
      <c r="E319" s="59"/>
      <c r="F319" s="1173"/>
      <c r="G319" s="1174"/>
      <c r="H319" s="59"/>
      <c r="I319" s="59"/>
      <c r="J319" s="1173"/>
      <c r="K319" s="59"/>
      <c r="L319" s="1173"/>
      <c r="M319" s="59"/>
      <c r="N319" s="59"/>
      <c r="O319" s="59"/>
      <c r="P319" s="59"/>
      <c r="Q319" s="59"/>
      <c r="R319" s="59"/>
      <c r="S319" s="59"/>
      <c r="T319" s="59"/>
      <c r="U319" s="59"/>
      <c r="V319" s="59"/>
      <c r="W319" s="59"/>
      <c r="X319" s="59"/>
      <c r="Y319" s="59"/>
      <c r="Z319" s="59"/>
      <c r="AA319" s="59"/>
      <c r="AB319" s="59"/>
      <c r="AC319" s="59"/>
    </row>
    <row r="320" spans="1:29" ht="12.75">
      <c r="A320" s="59"/>
      <c r="B320" s="59"/>
      <c r="C320" s="59"/>
      <c r="D320" s="1173"/>
      <c r="E320" s="59"/>
      <c r="F320" s="1173"/>
      <c r="G320" s="1174"/>
      <c r="H320" s="59"/>
      <c r="I320" s="59"/>
      <c r="J320" s="1173"/>
      <c r="K320" s="59"/>
      <c r="L320" s="1173"/>
      <c r="M320" s="59"/>
      <c r="N320" s="59"/>
      <c r="O320" s="59"/>
      <c r="P320" s="59"/>
      <c r="Q320" s="59"/>
      <c r="R320" s="59"/>
      <c r="S320" s="59"/>
      <c r="T320" s="59"/>
      <c r="U320" s="59"/>
      <c r="V320" s="59"/>
      <c r="W320" s="59"/>
      <c r="X320" s="59"/>
      <c r="Y320" s="59"/>
      <c r="Z320" s="59"/>
      <c r="AA320" s="59"/>
      <c r="AB320" s="59"/>
      <c r="AC320" s="59"/>
    </row>
    <row r="321" spans="1:29" ht="12.75">
      <c r="A321" s="59"/>
      <c r="B321" s="59"/>
      <c r="C321" s="59"/>
      <c r="D321" s="1173"/>
      <c r="E321" s="59"/>
      <c r="F321" s="1173"/>
      <c r="G321" s="1174"/>
      <c r="H321" s="59"/>
      <c r="I321" s="59"/>
      <c r="J321" s="1173"/>
      <c r="K321" s="59"/>
      <c r="L321" s="1173"/>
      <c r="M321" s="59"/>
      <c r="N321" s="59"/>
      <c r="O321" s="59"/>
      <c r="P321" s="59"/>
      <c r="Q321" s="59"/>
      <c r="R321" s="59"/>
      <c r="S321" s="59"/>
      <c r="T321" s="59"/>
      <c r="U321" s="59"/>
      <c r="V321" s="59"/>
      <c r="W321" s="59"/>
      <c r="X321" s="59"/>
      <c r="Y321" s="59"/>
      <c r="Z321" s="59"/>
      <c r="AA321" s="59"/>
      <c r="AB321" s="59"/>
      <c r="AC321" s="59"/>
    </row>
    <row r="322" spans="1:29" ht="12.75">
      <c r="A322" s="59"/>
      <c r="B322" s="59"/>
      <c r="C322" s="59"/>
      <c r="D322" s="1173"/>
      <c r="E322" s="59"/>
      <c r="F322" s="1173"/>
      <c r="G322" s="1174"/>
      <c r="H322" s="59"/>
      <c r="I322" s="59"/>
      <c r="J322" s="1173"/>
      <c r="K322" s="59"/>
      <c r="L322" s="1173"/>
      <c r="M322" s="59"/>
      <c r="N322" s="59"/>
      <c r="O322" s="59"/>
      <c r="P322" s="59"/>
      <c r="Q322" s="59"/>
      <c r="R322" s="59"/>
      <c r="S322" s="59"/>
      <c r="T322" s="59"/>
      <c r="U322" s="59"/>
      <c r="V322" s="59"/>
      <c r="W322" s="59"/>
      <c r="X322" s="59"/>
      <c r="Y322" s="59"/>
      <c r="Z322" s="59"/>
      <c r="AA322" s="59"/>
      <c r="AB322" s="59"/>
      <c r="AC322" s="59"/>
    </row>
    <row r="323" spans="1:29" ht="12.75">
      <c r="A323" s="59"/>
      <c r="B323" s="59"/>
      <c r="C323" s="59"/>
      <c r="D323" s="1173"/>
      <c r="E323" s="59"/>
      <c r="F323" s="1173"/>
      <c r="G323" s="1174"/>
      <c r="H323" s="59"/>
      <c r="I323" s="59"/>
      <c r="J323" s="1173"/>
      <c r="K323" s="59"/>
      <c r="L323" s="1173"/>
      <c r="M323" s="59"/>
      <c r="N323" s="59"/>
      <c r="O323" s="59"/>
      <c r="P323" s="59"/>
      <c r="Q323" s="59"/>
      <c r="R323" s="59"/>
      <c r="S323" s="59"/>
      <c r="T323" s="59"/>
      <c r="U323" s="59"/>
      <c r="V323" s="59"/>
      <c r="W323" s="59"/>
      <c r="X323" s="59"/>
      <c r="Y323" s="59"/>
      <c r="Z323" s="59"/>
      <c r="AA323" s="59"/>
      <c r="AB323" s="59"/>
      <c r="AC323" s="59"/>
    </row>
    <row r="324" spans="1:29" ht="12.75">
      <c r="A324" s="59"/>
      <c r="B324" s="59"/>
      <c r="C324" s="59"/>
      <c r="D324" s="1173"/>
      <c r="E324" s="59"/>
      <c r="F324" s="1173"/>
      <c r="G324" s="1174"/>
      <c r="H324" s="59"/>
      <c r="I324" s="59"/>
      <c r="J324" s="1173"/>
      <c r="K324" s="59"/>
      <c r="L324" s="1173"/>
      <c r="M324" s="59"/>
      <c r="N324" s="59"/>
      <c r="O324" s="59"/>
      <c r="P324" s="59"/>
      <c r="Q324" s="59"/>
      <c r="R324" s="59"/>
      <c r="S324" s="59"/>
      <c r="T324" s="59"/>
      <c r="U324" s="59"/>
      <c r="V324" s="59"/>
      <c r="W324" s="59"/>
      <c r="X324" s="59"/>
      <c r="Y324" s="59"/>
      <c r="Z324" s="59"/>
      <c r="AA324" s="59"/>
      <c r="AB324" s="59"/>
      <c r="AC324" s="59"/>
    </row>
    <row r="325" spans="1:29" ht="12.75">
      <c r="A325" s="59"/>
      <c r="B325" s="59"/>
      <c r="C325" s="59"/>
      <c r="D325" s="1173"/>
      <c r="E325" s="59"/>
      <c r="F325" s="1173"/>
      <c r="G325" s="1174"/>
      <c r="H325" s="59"/>
      <c r="I325" s="59"/>
      <c r="J325" s="1173"/>
      <c r="K325" s="59"/>
      <c r="L325" s="1173"/>
      <c r="M325" s="59"/>
      <c r="N325" s="59"/>
      <c r="O325" s="59"/>
      <c r="P325" s="59"/>
      <c r="Q325" s="59"/>
      <c r="R325" s="59"/>
      <c r="S325" s="59"/>
      <c r="T325" s="59"/>
      <c r="U325" s="59"/>
      <c r="V325" s="59"/>
      <c r="W325" s="59"/>
      <c r="X325" s="59"/>
      <c r="Y325" s="59"/>
      <c r="Z325" s="59"/>
      <c r="AA325" s="59"/>
      <c r="AB325" s="59"/>
      <c r="AC325" s="59"/>
    </row>
    <row r="326" spans="1:29" ht="12.75">
      <c r="A326" s="59"/>
      <c r="B326" s="59"/>
      <c r="C326" s="59"/>
      <c r="D326" s="1173"/>
      <c r="E326" s="59"/>
      <c r="F326" s="1173"/>
      <c r="G326" s="1174"/>
      <c r="H326" s="59"/>
      <c r="I326" s="59"/>
      <c r="J326" s="1173"/>
      <c r="K326" s="59"/>
      <c r="L326" s="1173"/>
      <c r="M326" s="59"/>
      <c r="N326" s="59"/>
      <c r="O326" s="59"/>
      <c r="P326" s="59"/>
      <c r="Q326" s="59"/>
      <c r="R326" s="59"/>
      <c r="S326" s="59"/>
      <c r="T326" s="59"/>
      <c r="U326" s="59"/>
      <c r="V326" s="59"/>
      <c r="W326" s="59"/>
      <c r="X326" s="59"/>
      <c r="Y326" s="59"/>
      <c r="Z326" s="59"/>
      <c r="AA326" s="59"/>
      <c r="AB326" s="59"/>
      <c r="AC326" s="59"/>
    </row>
    <row r="327" spans="1:29" ht="12.75">
      <c r="A327" s="59"/>
      <c r="B327" s="59"/>
      <c r="C327" s="59"/>
      <c r="D327" s="1173"/>
      <c r="E327" s="59"/>
      <c r="F327" s="1173"/>
      <c r="G327" s="1174"/>
      <c r="H327" s="59"/>
      <c r="I327" s="59"/>
      <c r="J327" s="1173"/>
      <c r="K327" s="59"/>
      <c r="L327" s="1173"/>
      <c r="M327" s="59"/>
      <c r="N327" s="59"/>
      <c r="O327" s="59"/>
      <c r="P327" s="59"/>
      <c r="Q327" s="59"/>
      <c r="R327" s="59"/>
      <c r="S327" s="59"/>
      <c r="T327" s="59"/>
      <c r="U327" s="59"/>
      <c r="V327" s="59"/>
      <c r="W327" s="59"/>
      <c r="X327" s="59"/>
      <c r="Y327" s="59"/>
      <c r="Z327" s="59"/>
      <c r="AA327" s="59"/>
      <c r="AB327" s="59"/>
      <c r="AC327" s="59"/>
    </row>
    <row r="328" spans="1:29" ht="12.75">
      <c r="A328" s="59"/>
      <c r="B328" s="59"/>
      <c r="C328" s="59"/>
      <c r="D328" s="1173"/>
      <c r="E328" s="59"/>
      <c r="F328" s="1173"/>
      <c r="G328" s="1174"/>
      <c r="H328" s="59"/>
      <c r="I328" s="59"/>
      <c r="J328" s="1173"/>
      <c r="K328" s="59"/>
      <c r="L328" s="1173"/>
      <c r="M328" s="59"/>
      <c r="N328" s="59"/>
      <c r="O328" s="59"/>
      <c r="P328" s="59"/>
      <c r="Q328" s="59"/>
      <c r="R328" s="59"/>
      <c r="S328" s="59"/>
      <c r="T328" s="59"/>
      <c r="U328" s="59"/>
      <c r="V328" s="59"/>
      <c r="W328" s="59"/>
      <c r="X328" s="59"/>
      <c r="Y328" s="59"/>
      <c r="Z328" s="59"/>
      <c r="AA328" s="59"/>
      <c r="AB328" s="59"/>
      <c r="AC328" s="59"/>
    </row>
    <row r="329" spans="1:29" ht="12.75">
      <c r="A329" s="59"/>
      <c r="B329" s="59"/>
      <c r="C329" s="59"/>
      <c r="D329" s="1173"/>
      <c r="E329" s="59"/>
      <c r="F329" s="1173"/>
      <c r="G329" s="1174"/>
      <c r="H329" s="59"/>
      <c r="I329" s="59"/>
      <c r="J329" s="1173"/>
      <c r="K329" s="59"/>
      <c r="L329" s="1173"/>
      <c r="M329" s="59"/>
      <c r="N329" s="59"/>
      <c r="O329" s="59"/>
      <c r="P329" s="59"/>
      <c r="Q329" s="59"/>
      <c r="R329" s="59"/>
      <c r="S329" s="59"/>
      <c r="T329" s="59"/>
      <c r="U329" s="59"/>
      <c r="V329" s="59"/>
      <c r="W329" s="59"/>
      <c r="X329" s="59"/>
      <c r="Y329" s="59"/>
      <c r="Z329" s="59"/>
      <c r="AA329" s="59"/>
      <c r="AB329" s="59"/>
      <c r="AC329" s="59"/>
    </row>
    <row r="330" spans="1:29" ht="12.75">
      <c r="A330" s="59"/>
      <c r="B330" s="59"/>
      <c r="C330" s="59"/>
      <c r="D330" s="1173"/>
      <c r="E330" s="59"/>
      <c r="F330" s="1173"/>
      <c r="G330" s="1174"/>
      <c r="H330" s="59"/>
      <c r="I330" s="59"/>
      <c r="J330" s="1173"/>
      <c r="K330" s="59"/>
      <c r="L330" s="1173"/>
      <c r="M330" s="59"/>
      <c r="N330" s="59"/>
      <c r="O330" s="59"/>
      <c r="P330" s="59"/>
      <c r="Q330" s="59"/>
      <c r="R330" s="59"/>
      <c r="S330" s="59"/>
      <c r="T330" s="59"/>
      <c r="U330" s="59"/>
      <c r="V330" s="59"/>
      <c r="W330" s="59"/>
      <c r="X330" s="59"/>
      <c r="Y330" s="59"/>
      <c r="Z330" s="59"/>
      <c r="AA330" s="59"/>
      <c r="AB330" s="59"/>
      <c r="AC330" s="59"/>
    </row>
    <row r="331" spans="1:29" ht="12.75">
      <c r="A331" s="59"/>
      <c r="B331" s="59"/>
      <c r="C331" s="59"/>
      <c r="D331" s="1173"/>
      <c r="E331" s="59"/>
      <c r="F331" s="1173"/>
      <c r="G331" s="1174"/>
      <c r="H331" s="59"/>
      <c r="I331" s="59"/>
      <c r="J331" s="1173"/>
      <c r="K331" s="59"/>
      <c r="L331" s="1173"/>
      <c r="M331" s="59"/>
      <c r="N331" s="59"/>
      <c r="O331" s="59"/>
      <c r="P331" s="59"/>
      <c r="Q331" s="59"/>
      <c r="R331" s="59"/>
      <c r="S331" s="59"/>
      <c r="T331" s="59"/>
      <c r="U331" s="59"/>
      <c r="V331" s="59"/>
      <c r="W331" s="59"/>
      <c r="X331" s="59"/>
      <c r="Y331" s="59"/>
      <c r="Z331" s="59"/>
      <c r="AA331" s="59"/>
      <c r="AB331" s="59"/>
      <c r="AC331" s="59"/>
    </row>
    <row r="332" spans="1:29" ht="12.75">
      <c r="A332" s="59"/>
      <c r="B332" s="59"/>
      <c r="C332" s="59"/>
      <c r="D332" s="1173"/>
      <c r="E332" s="59"/>
      <c r="F332" s="1173"/>
      <c r="G332" s="1174"/>
      <c r="H332" s="59"/>
      <c r="I332" s="59"/>
      <c r="J332" s="1173"/>
      <c r="K332" s="59"/>
      <c r="L332" s="1173"/>
      <c r="M332" s="59"/>
      <c r="N332" s="59"/>
      <c r="O332" s="59"/>
      <c r="P332" s="59"/>
      <c r="Q332" s="59"/>
      <c r="R332" s="59"/>
      <c r="S332" s="59"/>
      <c r="T332" s="59"/>
      <c r="U332" s="59"/>
      <c r="V332" s="59"/>
      <c r="W332" s="59"/>
      <c r="X332" s="59"/>
      <c r="Y332" s="59"/>
      <c r="Z332" s="59"/>
      <c r="AA332" s="59"/>
      <c r="AB332" s="59"/>
      <c r="AC332" s="59"/>
    </row>
    <row r="333" spans="1:29" ht="12.75">
      <c r="A333" s="59"/>
      <c r="B333" s="59"/>
      <c r="C333" s="59"/>
      <c r="D333" s="1173"/>
      <c r="E333" s="59"/>
      <c r="F333" s="1173"/>
      <c r="G333" s="1174"/>
      <c r="H333" s="59"/>
      <c r="I333" s="59"/>
      <c r="J333" s="1173"/>
      <c r="K333" s="59"/>
      <c r="L333" s="1173"/>
      <c r="M333" s="59"/>
      <c r="N333" s="59"/>
      <c r="O333" s="59"/>
      <c r="P333" s="59"/>
      <c r="Q333" s="59"/>
      <c r="R333" s="59"/>
      <c r="S333" s="59"/>
      <c r="T333" s="59"/>
      <c r="U333" s="59"/>
      <c r="V333" s="59"/>
      <c r="W333" s="59"/>
      <c r="X333" s="59"/>
      <c r="Y333" s="59"/>
      <c r="Z333" s="59"/>
      <c r="AA333" s="59"/>
      <c r="AB333" s="59"/>
      <c r="AC333" s="59"/>
    </row>
    <row r="334" spans="1:29" ht="12.75">
      <c r="A334" s="59"/>
      <c r="B334" s="59"/>
      <c r="C334" s="59"/>
      <c r="D334" s="1173"/>
      <c r="E334" s="59"/>
      <c r="F334" s="1173"/>
      <c r="G334" s="1174"/>
      <c r="H334" s="59"/>
      <c r="I334" s="59"/>
      <c r="J334" s="1173"/>
      <c r="K334" s="59"/>
      <c r="L334" s="1173"/>
      <c r="M334" s="59"/>
      <c r="N334" s="59"/>
      <c r="O334" s="59"/>
      <c r="P334" s="59"/>
      <c r="Q334" s="59"/>
      <c r="R334" s="59"/>
      <c r="S334" s="59"/>
      <c r="T334" s="59"/>
      <c r="U334" s="59"/>
      <c r="V334" s="59"/>
      <c r="W334" s="59"/>
      <c r="X334" s="59"/>
      <c r="Y334" s="59"/>
      <c r="Z334" s="59"/>
      <c r="AA334" s="59"/>
      <c r="AB334" s="59"/>
      <c r="AC334" s="59"/>
    </row>
    <row r="335" spans="1:29" ht="12.75">
      <c r="A335" s="59"/>
      <c r="B335" s="59"/>
      <c r="C335" s="59"/>
      <c r="D335" s="1173"/>
      <c r="E335" s="59"/>
      <c r="F335" s="1173"/>
      <c r="G335" s="1174"/>
      <c r="H335" s="59"/>
      <c r="I335" s="59"/>
      <c r="J335" s="1173"/>
      <c r="K335" s="59"/>
      <c r="L335" s="1173"/>
      <c r="M335" s="59"/>
      <c r="N335" s="59"/>
      <c r="O335" s="59"/>
      <c r="P335" s="59"/>
      <c r="Q335" s="59"/>
      <c r="R335" s="59"/>
      <c r="S335" s="59"/>
      <c r="T335" s="59"/>
      <c r="U335" s="59"/>
      <c r="V335" s="59"/>
      <c r="W335" s="59"/>
      <c r="X335" s="59"/>
      <c r="Y335" s="59"/>
      <c r="Z335" s="59"/>
      <c r="AA335" s="59"/>
      <c r="AB335" s="59"/>
      <c r="AC335" s="59"/>
    </row>
    <row r="336" spans="1:29" ht="12.75">
      <c r="A336" s="59"/>
      <c r="B336" s="59"/>
      <c r="C336" s="59"/>
      <c r="D336" s="1173"/>
      <c r="E336" s="59"/>
      <c r="F336" s="1173"/>
      <c r="G336" s="1174"/>
      <c r="H336" s="59"/>
      <c r="I336" s="59"/>
      <c r="J336" s="1173"/>
      <c r="K336" s="59"/>
      <c r="L336" s="1173"/>
      <c r="M336" s="59"/>
      <c r="N336" s="59"/>
      <c r="O336" s="59"/>
      <c r="P336" s="59"/>
      <c r="Q336" s="59"/>
      <c r="R336" s="59"/>
      <c r="S336" s="59"/>
      <c r="T336" s="59"/>
      <c r="U336" s="59"/>
      <c r="V336" s="59"/>
      <c r="W336" s="59"/>
      <c r="X336" s="59"/>
      <c r="Y336" s="59"/>
      <c r="Z336" s="59"/>
      <c r="AA336" s="59"/>
      <c r="AB336" s="59"/>
      <c r="AC336" s="59"/>
    </row>
    <row r="337" spans="1:29" ht="12.75">
      <c r="A337" s="59"/>
      <c r="B337" s="59"/>
      <c r="C337" s="59"/>
      <c r="D337" s="1173"/>
      <c r="E337" s="59"/>
      <c r="F337" s="1173"/>
      <c r="G337" s="1174"/>
      <c r="H337" s="59"/>
      <c r="I337" s="59"/>
      <c r="J337" s="1173"/>
      <c r="K337" s="59"/>
      <c r="L337" s="1173"/>
      <c r="M337" s="59"/>
      <c r="N337" s="59"/>
      <c r="O337" s="59"/>
      <c r="P337" s="59"/>
      <c r="Q337" s="59"/>
      <c r="R337" s="59"/>
      <c r="S337" s="59"/>
      <c r="T337" s="59"/>
      <c r="U337" s="59"/>
      <c r="V337" s="59"/>
      <c r="W337" s="59"/>
      <c r="X337" s="59"/>
      <c r="Y337" s="59"/>
      <c r="Z337" s="59"/>
      <c r="AA337" s="59"/>
      <c r="AB337" s="59"/>
      <c r="AC337" s="59"/>
    </row>
    <row r="338" spans="1:29" ht="12.75">
      <c r="A338" s="59"/>
      <c r="B338" s="59"/>
      <c r="C338" s="59"/>
      <c r="D338" s="1173"/>
      <c r="E338" s="59"/>
      <c r="F338" s="1173"/>
      <c r="G338" s="1174"/>
      <c r="H338" s="59"/>
      <c r="I338" s="59"/>
      <c r="J338" s="1173"/>
      <c r="K338" s="59"/>
      <c r="L338" s="1173"/>
      <c r="M338" s="59"/>
      <c r="N338" s="59"/>
      <c r="O338" s="59"/>
      <c r="P338" s="59"/>
      <c r="Q338" s="59"/>
      <c r="R338" s="59"/>
      <c r="S338" s="59"/>
      <c r="T338" s="59"/>
      <c r="U338" s="59"/>
      <c r="V338" s="59"/>
      <c r="W338" s="59"/>
      <c r="X338" s="59"/>
      <c r="Y338" s="59"/>
      <c r="Z338" s="59"/>
      <c r="AA338" s="59"/>
      <c r="AB338" s="59"/>
      <c r="AC338" s="59"/>
    </row>
    <row r="339" spans="1:29" ht="12.75">
      <c r="A339" s="59"/>
      <c r="B339" s="59"/>
      <c r="C339" s="59"/>
      <c r="D339" s="1173"/>
      <c r="E339" s="59"/>
      <c r="F339" s="1173"/>
      <c r="G339" s="1174"/>
      <c r="H339" s="59"/>
      <c r="I339" s="59"/>
      <c r="J339" s="1173"/>
      <c r="K339" s="59"/>
      <c r="L339" s="1173"/>
      <c r="M339" s="59"/>
      <c r="N339" s="59"/>
      <c r="O339" s="59"/>
      <c r="P339" s="59"/>
      <c r="Q339" s="59"/>
      <c r="R339" s="59"/>
      <c r="S339" s="59"/>
      <c r="T339" s="59"/>
      <c r="U339" s="59"/>
      <c r="V339" s="59"/>
      <c r="W339" s="59"/>
      <c r="X339" s="59"/>
      <c r="Y339" s="59"/>
      <c r="Z339" s="59"/>
      <c r="AA339" s="59"/>
      <c r="AB339" s="59"/>
      <c r="AC339" s="59"/>
    </row>
    <row r="340" spans="1:29" ht="12.75">
      <c r="A340" s="59"/>
      <c r="B340" s="59"/>
      <c r="C340" s="59"/>
      <c r="D340" s="1173"/>
      <c r="E340" s="59"/>
      <c r="F340" s="1173"/>
      <c r="G340" s="1174"/>
      <c r="H340" s="59"/>
      <c r="I340" s="59"/>
      <c r="J340" s="1173"/>
      <c r="K340" s="59"/>
      <c r="L340" s="1173"/>
      <c r="M340" s="59"/>
      <c r="N340" s="59"/>
      <c r="O340" s="59"/>
      <c r="P340" s="59"/>
      <c r="Q340" s="59"/>
      <c r="R340" s="59"/>
      <c r="S340" s="59"/>
      <c r="T340" s="59"/>
      <c r="U340" s="59"/>
      <c r="V340" s="59"/>
      <c r="W340" s="59"/>
      <c r="X340" s="59"/>
      <c r="Y340" s="59"/>
      <c r="Z340" s="59"/>
      <c r="AA340" s="59"/>
      <c r="AB340" s="59"/>
      <c r="AC340" s="59"/>
    </row>
    <row r="341" spans="1:29" ht="12.75">
      <c r="A341" s="59"/>
      <c r="B341" s="59"/>
      <c r="C341" s="59"/>
      <c r="D341" s="1173"/>
      <c r="E341" s="59"/>
      <c r="F341" s="1173"/>
      <c r="G341" s="1174"/>
      <c r="H341" s="59"/>
      <c r="I341" s="59"/>
      <c r="J341" s="1173"/>
      <c r="K341" s="59"/>
      <c r="L341" s="1173"/>
      <c r="M341" s="59"/>
      <c r="N341" s="59"/>
      <c r="O341" s="59"/>
      <c r="P341" s="59"/>
      <c r="Q341" s="59"/>
      <c r="R341" s="59"/>
      <c r="S341" s="59"/>
      <c r="T341" s="59"/>
      <c r="U341" s="59"/>
      <c r="V341" s="59"/>
      <c r="W341" s="59"/>
      <c r="X341" s="59"/>
      <c r="Y341" s="59"/>
      <c r="Z341" s="59"/>
      <c r="AA341" s="59"/>
      <c r="AB341" s="59"/>
      <c r="AC341" s="59"/>
    </row>
    <row r="342" spans="1:29" ht="12.75">
      <c r="A342" s="59"/>
      <c r="B342" s="59"/>
      <c r="C342" s="59"/>
      <c r="D342" s="1173"/>
      <c r="E342" s="59"/>
      <c r="F342" s="1173"/>
      <c r="G342" s="1174"/>
      <c r="H342" s="59"/>
      <c r="I342" s="59"/>
      <c r="J342" s="1173"/>
      <c r="K342" s="59"/>
      <c r="L342" s="1173"/>
      <c r="M342" s="59"/>
      <c r="N342" s="59"/>
      <c r="O342" s="59"/>
      <c r="P342" s="59"/>
      <c r="Q342" s="59"/>
      <c r="R342" s="59"/>
      <c r="S342" s="59"/>
      <c r="T342" s="59"/>
      <c r="U342" s="59"/>
      <c r="V342" s="59"/>
      <c r="W342" s="59"/>
      <c r="X342" s="59"/>
      <c r="Y342" s="59"/>
      <c r="Z342" s="59"/>
      <c r="AA342" s="59"/>
      <c r="AB342" s="59"/>
      <c r="AC342" s="59"/>
    </row>
    <row r="343" spans="1:29" ht="12.75">
      <c r="A343" s="59"/>
      <c r="B343" s="59"/>
      <c r="C343" s="59"/>
      <c r="D343" s="1173"/>
      <c r="E343" s="59"/>
      <c r="F343" s="1173"/>
      <c r="G343" s="1174"/>
      <c r="H343" s="59"/>
      <c r="I343" s="59"/>
      <c r="J343" s="1173"/>
      <c r="K343" s="59"/>
      <c r="L343" s="1173"/>
      <c r="M343" s="59"/>
      <c r="N343" s="59"/>
      <c r="O343" s="59"/>
      <c r="P343" s="59"/>
      <c r="Q343" s="59"/>
      <c r="R343" s="59"/>
      <c r="S343" s="59"/>
      <c r="T343" s="59"/>
      <c r="U343" s="59"/>
      <c r="V343" s="59"/>
      <c r="W343" s="59"/>
      <c r="X343" s="59"/>
      <c r="Y343" s="59"/>
      <c r="Z343" s="59"/>
      <c r="AA343" s="59"/>
      <c r="AB343" s="59"/>
      <c r="AC343" s="59"/>
    </row>
    <row r="344" spans="1:29" ht="12.75">
      <c r="A344" s="59"/>
      <c r="B344" s="59"/>
      <c r="C344" s="59"/>
      <c r="D344" s="1173"/>
      <c r="E344" s="59"/>
      <c r="F344" s="1173"/>
      <c r="G344" s="1174"/>
      <c r="H344" s="59"/>
      <c r="I344" s="59"/>
      <c r="J344" s="1173"/>
      <c r="K344" s="59"/>
      <c r="L344" s="1173"/>
      <c r="M344" s="59"/>
      <c r="N344" s="59"/>
      <c r="O344" s="59"/>
      <c r="P344" s="59"/>
      <c r="Q344" s="59"/>
      <c r="R344" s="59"/>
      <c r="S344" s="59"/>
      <c r="T344" s="59"/>
      <c r="U344" s="59"/>
      <c r="V344" s="59"/>
      <c r="W344" s="59"/>
      <c r="X344" s="59"/>
      <c r="Y344" s="59"/>
      <c r="Z344" s="59"/>
      <c r="AA344" s="59"/>
      <c r="AB344" s="59"/>
      <c r="AC344" s="59"/>
    </row>
    <row r="345" spans="1:29" ht="12.75">
      <c r="A345" s="59"/>
      <c r="B345" s="59"/>
      <c r="C345" s="59"/>
      <c r="D345" s="1173"/>
      <c r="E345" s="59"/>
      <c r="F345" s="1173"/>
      <c r="G345" s="1174"/>
      <c r="H345" s="59"/>
      <c r="I345" s="59"/>
      <c r="J345" s="1173"/>
      <c r="K345" s="59"/>
      <c r="L345" s="1173"/>
      <c r="M345" s="59"/>
      <c r="N345" s="59"/>
      <c r="O345" s="59"/>
      <c r="P345" s="59"/>
      <c r="Q345" s="59"/>
      <c r="R345" s="59"/>
      <c r="S345" s="59"/>
      <c r="T345" s="59"/>
      <c r="U345" s="59"/>
      <c r="V345" s="59"/>
      <c r="W345" s="59"/>
      <c r="X345" s="59"/>
      <c r="Y345" s="59"/>
      <c r="Z345" s="59"/>
      <c r="AA345" s="59"/>
      <c r="AB345" s="59"/>
      <c r="AC345" s="59"/>
    </row>
    <row r="346" spans="1:29" ht="12.75">
      <c r="A346" s="59"/>
      <c r="B346" s="59"/>
      <c r="C346" s="59"/>
      <c r="D346" s="1173"/>
      <c r="E346" s="59"/>
      <c r="F346" s="1173"/>
      <c r="G346" s="1174"/>
      <c r="H346" s="59"/>
      <c r="I346" s="59"/>
      <c r="J346" s="1173"/>
      <c r="K346" s="59"/>
      <c r="L346" s="1173"/>
      <c r="M346" s="59"/>
      <c r="N346" s="59"/>
      <c r="O346" s="59"/>
      <c r="P346" s="59"/>
      <c r="Q346" s="59"/>
      <c r="R346" s="59"/>
      <c r="S346" s="59"/>
      <c r="T346" s="59"/>
      <c r="U346" s="59"/>
      <c r="V346" s="59"/>
      <c r="W346" s="59"/>
      <c r="X346" s="59"/>
      <c r="Y346" s="59"/>
      <c r="Z346" s="59"/>
      <c r="AA346" s="59"/>
      <c r="AB346" s="59"/>
      <c r="AC346" s="59"/>
    </row>
    <row r="347" spans="1:29" ht="12.75">
      <c r="A347" s="59"/>
      <c r="B347" s="59"/>
      <c r="C347" s="59"/>
      <c r="D347" s="1173"/>
      <c r="E347" s="59"/>
      <c r="F347" s="1173"/>
      <c r="G347" s="1174"/>
      <c r="H347" s="59"/>
      <c r="I347" s="59"/>
      <c r="J347" s="1173"/>
      <c r="K347" s="59"/>
      <c r="L347" s="1173"/>
      <c r="M347" s="59"/>
      <c r="N347" s="59"/>
      <c r="O347" s="59"/>
      <c r="P347" s="59"/>
      <c r="Q347" s="59"/>
      <c r="R347" s="59"/>
      <c r="S347" s="59"/>
      <c r="T347" s="59"/>
      <c r="U347" s="59"/>
      <c r="V347" s="59"/>
      <c r="W347" s="59"/>
      <c r="X347" s="59"/>
      <c r="Y347" s="59"/>
      <c r="Z347" s="59"/>
      <c r="AA347" s="59"/>
      <c r="AB347" s="59"/>
      <c r="AC347" s="59"/>
    </row>
    <row r="348" spans="1:29" ht="12.75">
      <c r="A348" s="59"/>
      <c r="B348" s="59"/>
      <c r="C348" s="59"/>
      <c r="D348" s="1173"/>
      <c r="E348" s="59"/>
      <c r="F348" s="1173"/>
      <c r="G348" s="1174"/>
      <c r="H348" s="59"/>
      <c r="I348" s="59"/>
      <c r="J348" s="1173"/>
      <c r="K348" s="59"/>
      <c r="L348" s="1173"/>
      <c r="M348" s="59"/>
      <c r="N348" s="59"/>
      <c r="O348" s="59"/>
      <c r="P348" s="59"/>
      <c r="Q348" s="59"/>
      <c r="R348" s="59"/>
      <c r="S348" s="59"/>
      <c r="T348" s="59"/>
      <c r="U348" s="59"/>
      <c r="V348" s="59"/>
      <c r="W348" s="59"/>
      <c r="X348" s="59"/>
      <c r="Y348" s="59"/>
      <c r="Z348" s="59"/>
      <c r="AA348" s="59"/>
      <c r="AB348" s="59"/>
      <c r="AC348" s="59"/>
    </row>
    <row r="349" spans="1:29" ht="12.75">
      <c r="A349" s="59"/>
      <c r="B349" s="59"/>
      <c r="C349" s="59"/>
      <c r="D349" s="1173"/>
      <c r="E349" s="59"/>
      <c r="F349" s="1173"/>
      <c r="G349" s="1174"/>
      <c r="H349" s="59"/>
      <c r="I349" s="59"/>
      <c r="J349" s="1173"/>
      <c r="K349" s="59"/>
      <c r="L349" s="1173"/>
      <c r="M349" s="59"/>
      <c r="N349" s="59"/>
      <c r="O349" s="59"/>
      <c r="P349" s="59"/>
      <c r="Q349" s="59"/>
      <c r="R349" s="59"/>
      <c r="S349" s="59"/>
      <c r="T349" s="59"/>
      <c r="U349" s="59"/>
      <c r="V349" s="59"/>
      <c r="W349" s="59"/>
      <c r="X349" s="59"/>
      <c r="Y349" s="59"/>
      <c r="Z349" s="59"/>
      <c r="AA349" s="59"/>
      <c r="AB349" s="59"/>
      <c r="AC349" s="59"/>
    </row>
    <row r="350" spans="1:29" ht="12.75">
      <c r="A350" s="59"/>
      <c r="B350" s="59"/>
      <c r="C350" s="59"/>
      <c r="D350" s="1173"/>
      <c r="E350" s="59"/>
      <c r="F350" s="1173"/>
      <c r="G350" s="1174"/>
      <c r="H350" s="59"/>
      <c r="I350" s="59"/>
      <c r="J350" s="1173"/>
      <c r="K350" s="59"/>
      <c r="L350" s="1173"/>
      <c r="M350" s="59"/>
      <c r="N350" s="59"/>
      <c r="O350" s="59"/>
      <c r="P350" s="59"/>
      <c r="Q350" s="59"/>
      <c r="R350" s="59"/>
      <c r="S350" s="59"/>
      <c r="T350" s="59"/>
      <c r="U350" s="59"/>
      <c r="V350" s="59"/>
      <c r="W350" s="59"/>
      <c r="X350" s="59"/>
      <c r="Y350" s="59"/>
      <c r="Z350" s="59"/>
      <c r="AA350" s="59"/>
      <c r="AB350" s="59"/>
      <c r="AC350" s="59"/>
    </row>
    <row r="351" spans="1:29" ht="12.75">
      <c r="A351" s="59"/>
      <c r="B351" s="59"/>
      <c r="C351" s="59"/>
      <c r="D351" s="1173"/>
      <c r="E351" s="59"/>
      <c r="F351" s="1173"/>
      <c r="G351" s="1174"/>
      <c r="H351" s="59"/>
      <c r="I351" s="59"/>
      <c r="J351" s="1173"/>
      <c r="K351" s="59"/>
      <c r="L351" s="1173"/>
      <c r="M351" s="59"/>
      <c r="N351" s="59"/>
      <c r="O351" s="59"/>
      <c r="P351" s="59"/>
      <c r="Q351" s="59"/>
      <c r="R351" s="59"/>
      <c r="S351" s="59"/>
      <c r="T351" s="59"/>
      <c r="U351" s="59"/>
      <c r="V351" s="59"/>
      <c r="W351" s="59"/>
      <c r="X351" s="59"/>
      <c r="Y351" s="59"/>
      <c r="Z351" s="59"/>
      <c r="AA351" s="59"/>
      <c r="AB351" s="59"/>
      <c r="AC351" s="59"/>
    </row>
    <row r="352" spans="1:29" ht="12.75">
      <c r="A352" s="59"/>
      <c r="B352" s="59"/>
      <c r="C352" s="59"/>
      <c r="D352" s="1173"/>
      <c r="E352" s="59"/>
      <c r="F352" s="1173"/>
      <c r="G352" s="1174"/>
      <c r="H352" s="59"/>
      <c r="I352" s="59"/>
      <c r="J352" s="1173"/>
      <c r="K352" s="59"/>
      <c r="L352" s="1173"/>
      <c r="M352" s="59"/>
      <c r="N352" s="59"/>
      <c r="O352" s="59"/>
      <c r="P352" s="59"/>
      <c r="Q352" s="59"/>
      <c r="R352" s="59"/>
      <c r="S352" s="59"/>
      <c r="T352" s="59"/>
      <c r="U352" s="59"/>
      <c r="V352" s="59"/>
      <c r="W352" s="59"/>
      <c r="X352" s="59"/>
      <c r="Y352" s="59"/>
      <c r="Z352" s="59"/>
      <c r="AA352" s="59"/>
      <c r="AB352" s="59"/>
      <c r="AC352" s="59"/>
    </row>
    <row r="353" spans="1:29" ht="12.75">
      <c r="A353" s="59"/>
      <c r="B353" s="59"/>
      <c r="C353" s="59"/>
      <c r="D353" s="1173"/>
      <c r="E353" s="59"/>
      <c r="F353" s="1173"/>
      <c r="G353" s="1174"/>
      <c r="H353" s="59"/>
      <c r="I353" s="59"/>
      <c r="J353" s="1173"/>
      <c r="K353" s="59"/>
      <c r="L353" s="1173"/>
      <c r="M353" s="59"/>
      <c r="N353" s="59"/>
      <c r="O353" s="59"/>
      <c r="P353" s="59"/>
      <c r="Q353" s="59"/>
      <c r="R353" s="59"/>
      <c r="S353" s="59"/>
      <c r="T353" s="59"/>
      <c r="U353" s="59"/>
      <c r="V353" s="59"/>
      <c r="W353" s="59"/>
      <c r="X353" s="59"/>
      <c r="Y353" s="59"/>
      <c r="Z353" s="59"/>
      <c r="AA353" s="59"/>
      <c r="AB353" s="59"/>
      <c r="AC353" s="59"/>
    </row>
    <row r="354" spans="1:29" ht="12.75">
      <c r="A354" s="59"/>
      <c r="B354" s="59"/>
      <c r="C354" s="59"/>
      <c r="D354" s="1173"/>
      <c r="E354" s="59"/>
      <c r="F354" s="1173"/>
      <c r="G354" s="1174"/>
      <c r="H354" s="59"/>
      <c r="I354" s="59"/>
      <c r="J354" s="1173"/>
      <c r="K354" s="59"/>
      <c r="L354" s="1173"/>
      <c r="M354" s="59"/>
      <c r="N354" s="59"/>
      <c r="O354" s="59"/>
      <c r="P354" s="59"/>
      <c r="Q354" s="59"/>
      <c r="R354" s="59"/>
      <c r="S354" s="59"/>
      <c r="T354" s="59"/>
      <c r="U354" s="59"/>
      <c r="V354" s="59"/>
      <c r="W354" s="59"/>
      <c r="X354" s="59"/>
      <c r="Y354" s="59"/>
      <c r="Z354" s="59"/>
      <c r="AA354" s="59"/>
      <c r="AB354" s="59"/>
      <c r="AC354" s="59"/>
    </row>
    <row r="355" spans="1:29" ht="12.75">
      <c r="A355" s="59"/>
      <c r="B355" s="59"/>
      <c r="C355" s="59"/>
      <c r="D355" s="1173"/>
      <c r="E355" s="59"/>
      <c r="F355" s="1173"/>
      <c r="G355" s="1174"/>
      <c r="H355" s="59"/>
      <c r="I355" s="59"/>
      <c r="J355" s="1173"/>
      <c r="K355" s="59"/>
      <c r="L355" s="1173"/>
      <c r="M355" s="59"/>
      <c r="N355" s="59"/>
      <c r="O355" s="59"/>
      <c r="P355" s="59"/>
      <c r="Q355" s="59"/>
      <c r="R355" s="59"/>
      <c r="S355" s="59"/>
      <c r="T355" s="59"/>
      <c r="U355" s="59"/>
      <c r="V355" s="59"/>
      <c r="W355" s="59"/>
      <c r="X355" s="59"/>
      <c r="Y355" s="59"/>
      <c r="Z355" s="59"/>
      <c r="AA355" s="59"/>
      <c r="AB355" s="59"/>
      <c r="AC355" s="59"/>
    </row>
    <row r="356" spans="1:29" ht="12.75">
      <c r="A356" s="59"/>
      <c r="B356" s="59"/>
      <c r="C356" s="59"/>
      <c r="D356" s="1173"/>
      <c r="E356" s="59"/>
      <c r="F356" s="1173"/>
      <c r="G356" s="1174"/>
      <c r="H356" s="59"/>
      <c r="I356" s="59"/>
      <c r="J356" s="1173"/>
      <c r="K356" s="59"/>
      <c r="L356" s="1173"/>
      <c r="M356" s="59"/>
      <c r="N356" s="59"/>
      <c r="O356" s="59"/>
      <c r="P356" s="59"/>
      <c r="Q356" s="59"/>
      <c r="R356" s="59"/>
      <c r="S356" s="59"/>
      <c r="T356" s="59"/>
      <c r="U356" s="59"/>
      <c r="V356" s="59"/>
      <c r="W356" s="59"/>
      <c r="X356" s="59"/>
      <c r="Y356" s="59"/>
      <c r="Z356" s="59"/>
      <c r="AA356" s="59"/>
      <c r="AB356" s="59"/>
      <c r="AC356" s="59"/>
    </row>
    <row r="357" spans="1:29" ht="12.75">
      <c r="A357" s="59"/>
      <c r="B357" s="59"/>
      <c r="C357" s="59"/>
      <c r="D357" s="1173"/>
      <c r="E357" s="59"/>
      <c r="F357" s="1173"/>
      <c r="G357" s="1174"/>
      <c r="H357" s="59"/>
      <c r="I357" s="59"/>
      <c r="J357" s="1173"/>
      <c r="K357" s="59"/>
      <c r="L357" s="1173"/>
      <c r="M357" s="59"/>
      <c r="N357" s="59"/>
      <c r="O357" s="59"/>
      <c r="P357" s="59"/>
      <c r="Q357" s="59"/>
      <c r="R357" s="59"/>
      <c r="S357" s="59"/>
      <c r="T357" s="59"/>
      <c r="U357" s="59"/>
      <c r="V357" s="59"/>
      <c r="W357" s="59"/>
      <c r="X357" s="59"/>
      <c r="Y357" s="59"/>
      <c r="Z357" s="59"/>
      <c r="AA357" s="59"/>
      <c r="AB357" s="59"/>
      <c r="AC357" s="59"/>
    </row>
    <row r="358" spans="1:29" ht="12.75">
      <c r="A358" s="59"/>
      <c r="B358" s="59"/>
      <c r="C358" s="59"/>
      <c r="D358" s="1173"/>
      <c r="E358" s="59"/>
      <c r="F358" s="1173"/>
      <c r="G358" s="1174"/>
      <c r="H358" s="59"/>
      <c r="I358" s="59"/>
      <c r="J358" s="1173"/>
      <c r="K358" s="59"/>
      <c r="L358" s="1173"/>
      <c r="M358" s="59"/>
      <c r="N358" s="59"/>
      <c r="O358" s="59"/>
      <c r="P358" s="59"/>
      <c r="Q358" s="59"/>
      <c r="R358" s="59"/>
      <c r="S358" s="59"/>
      <c r="T358" s="59"/>
      <c r="U358" s="59"/>
      <c r="V358" s="59"/>
      <c r="W358" s="59"/>
      <c r="X358" s="59"/>
      <c r="Y358" s="59"/>
      <c r="Z358" s="59"/>
      <c r="AA358" s="59"/>
      <c r="AB358" s="59"/>
      <c r="AC358" s="59"/>
    </row>
    <row r="359" spans="1:29" ht="12.75">
      <c r="A359" s="59"/>
      <c r="B359" s="59"/>
      <c r="C359" s="59"/>
      <c r="D359" s="1173"/>
      <c r="E359" s="59"/>
      <c r="F359" s="1173"/>
      <c r="G359" s="1174"/>
      <c r="H359" s="59"/>
      <c r="I359" s="59"/>
      <c r="J359" s="1173"/>
      <c r="K359" s="59"/>
      <c r="L359" s="1173"/>
      <c r="M359" s="59"/>
      <c r="N359" s="59"/>
      <c r="O359" s="59"/>
      <c r="P359" s="59"/>
      <c r="Q359" s="59"/>
      <c r="R359" s="59"/>
      <c r="S359" s="59"/>
      <c r="T359" s="59"/>
      <c r="U359" s="59"/>
      <c r="V359" s="59"/>
      <c r="W359" s="59"/>
      <c r="X359" s="59"/>
      <c r="Y359" s="59"/>
      <c r="Z359" s="59"/>
      <c r="AA359" s="59"/>
      <c r="AB359" s="59"/>
      <c r="AC359" s="59"/>
    </row>
    <row r="360" spans="1:29" ht="12.75">
      <c r="A360" s="59"/>
      <c r="B360" s="59"/>
      <c r="C360" s="59"/>
      <c r="D360" s="1173"/>
      <c r="E360" s="59"/>
      <c r="F360" s="1173"/>
      <c r="G360" s="1174"/>
      <c r="H360" s="59"/>
      <c r="I360" s="59"/>
      <c r="J360" s="1173"/>
      <c r="K360" s="59"/>
      <c r="L360" s="1173"/>
      <c r="M360" s="59"/>
      <c r="N360" s="59"/>
      <c r="O360" s="59"/>
      <c r="P360" s="59"/>
      <c r="Q360" s="59"/>
      <c r="R360" s="59"/>
      <c r="S360" s="59"/>
      <c r="T360" s="59"/>
      <c r="U360" s="59"/>
      <c r="V360" s="59"/>
      <c r="W360" s="59"/>
      <c r="X360" s="59"/>
      <c r="Y360" s="59"/>
      <c r="Z360" s="59"/>
      <c r="AA360" s="59"/>
      <c r="AB360" s="59"/>
      <c r="AC360" s="59"/>
    </row>
    <row r="361" spans="1:29" ht="12.75">
      <c r="A361" s="59"/>
      <c r="B361" s="59"/>
      <c r="C361" s="59"/>
      <c r="D361" s="1173"/>
      <c r="E361" s="59"/>
      <c r="F361" s="1173"/>
      <c r="G361" s="1174"/>
      <c r="H361" s="59"/>
      <c r="I361" s="59"/>
      <c r="J361" s="1173"/>
      <c r="K361" s="59"/>
      <c r="L361" s="1173"/>
      <c r="M361" s="59"/>
      <c r="N361" s="59"/>
      <c r="O361" s="59"/>
      <c r="P361" s="59"/>
      <c r="Q361" s="59"/>
      <c r="R361" s="59"/>
      <c r="S361" s="59"/>
      <c r="T361" s="59"/>
      <c r="U361" s="59"/>
      <c r="V361" s="59"/>
      <c r="W361" s="59"/>
      <c r="X361" s="59"/>
      <c r="Y361" s="59"/>
      <c r="Z361" s="59"/>
      <c r="AA361" s="59"/>
      <c r="AB361" s="59"/>
      <c r="AC361" s="59"/>
    </row>
    <row r="362" spans="1:29" ht="12.75">
      <c r="A362" s="59"/>
      <c r="B362" s="59"/>
      <c r="C362" s="59"/>
      <c r="D362" s="1173"/>
      <c r="E362" s="59"/>
      <c r="F362" s="1173"/>
      <c r="G362" s="1174"/>
      <c r="H362" s="59"/>
      <c r="I362" s="59"/>
      <c r="J362" s="1173"/>
      <c r="K362" s="59"/>
      <c r="L362" s="1173"/>
      <c r="M362" s="59"/>
      <c r="N362" s="59"/>
      <c r="O362" s="59"/>
      <c r="P362" s="59"/>
      <c r="Q362" s="59"/>
      <c r="R362" s="59"/>
      <c r="S362" s="59"/>
      <c r="T362" s="59"/>
      <c r="U362" s="59"/>
      <c r="V362" s="59"/>
      <c r="W362" s="59"/>
      <c r="X362" s="59"/>
      <c r="Y362" s="59"/>
      <c r="Z362" s="59"/>
      <c r="AA362" s="59"/>
      <c r="AB362" s="59"/>
      <c r="AC362" s="59"/>
    </row>
    <row r="363" spans="1:29" ht="12.75">
      <c r="A363" s="59"/>
      <c r="B363" s="59"/>
      <c r="C363" s="59"/>
      <c r="D363" s="1173"/>
      <c r="E363" s="59"/>
      <c r="F363" s="1173"/>
      <c r="G363" s="1174"/>
      <c r="H363" s="59"/>
      <c r="I363" s="59"/>
      <c r="J363" s="1173"/>
      <c r="K363" s="59"/>
      <c r="L363" s="1173"/>
      <c r="M363" s="59"/>
      <c r="N363" s="59"/>
      <c r="O363" s="59"/>
      <c r="P363" s="59"/>
      <c r="Q363" s="59"/>
      <c r="R363" s="59"/>
      <c r="S363" s="59"/>
      <c r="T363" s="59"/>
      <c r="U363" s="59"/>
      <c r="V363" s="59"/>
      <c r="W363" s="59"/>
      <c r="X363" s="59"/>
      <c r="Y363" s="59"/>
      <c r="Z363" s="59"/>
      <c r="AA363" s="59"/>
      <c r="AB363" s="59"/>
      <c r="AC363" s="59"/>
    </row>
    <row r="364" spans="1:29" ht="12.75">
      <c r="A364" s="59"/>
      <c r="B364" s="59"/>
      <c r="C364" s="59"/>
      <c r="D364" s="1173"/>
      <c r="E364" s="59"/>
      <c r="F364" s="1173"/>
      <c r="G364" s="1174"/>
      <c r="H364" s="59"/>
      <c r="I364" s="59"/>
      <c r="J364" s="1173"/>
      <c r="K364" s="59"/>
      <c r="L364" s="1173"/>
      <c r="M364" s="59"/>
      <c r="N364" s="59"/>
      <c r="O364" s="59"/>
      <c r="P364" s="59"/>
      <c r="Q364" s="59"/>
      <c r="R364" s="59"/>
      <c r="S364" s="59"/>
      <c r="T364" s="59"/>
      <c r="U364" s="59"/>
      <c r="V364" s="59"/>
      <c r="W364" s="59"/>
      <c r="X364" s="59"/>
      <c r="Y364" s="59"/>
      <c r="Z364" s="59"/>
      <c r="AA364" s="59"/>
      <c r="AB364" s="59"/>
      <c r="AC364" s="59"/>
    </row>
    <row r="365" spans="1:29" ht="12.75">
      <c r="A365" s="59"/>
      <c r="B365" s="59"/>
      <c r="C365" s="59"/>
      <c r="D365" s="1173"/>
      <c r="E365" s="59"/>
      <c r="F365" s="1173"/>
      <c r="G365" s="1174"/>
      <c r="H365" s="59"/>
      <c r="I365" s="59"/>
      <c r="J365" s="1173"/>
      <c r="K365" s="59"/>
      <c r="L365" s="1173"/>
      <c r="M365" s="59"/>
      <c r="N365" s="59"/>
      <c r="O365" s="59"/>
      <c r="P365" s="59"/>
      <c r="Q365" s="59"/>
      <c r="R365" s="59"/>
      <c r="S365" s="59"/>
      <c r="T365" s="59"/>
      <c r="U365" s="59"/>
      <c r="V365" s="59"/>
      <c r="W365" s="59"/>
      <c r="X365" s="59"/>
      <c r="Y365" s="59"/>
      <c r="Z365" s="59"/>
      <c r="AA365" s="59"/>
      <c r="AB365" s="59"/>
      <c r="AC365" s="59"/>
    </row>
    <row r="366" spans="1:29" ht="12.75">
      <c r="A366" s="59"/>
      <c r="B366" s="59"/>
      <c r="C366" s="59"/>
      <c r="D366" s="1173"/>
      <c r="E366" s="59"/>
      <c r="F366" s="1173"/>
      <c r="G366" s="1174"/>
      <c r="H366" s="59"/>
      <c r="I366" s="59"/>
      <c r="J366" s="1173"/>
      <c r="K366" s="59"/>
      <c r="L366" s="1173"/>
      <c r="M366" s="59"/>
      <c r="N366" s="59"/>
      <c r="O366" s="59"/>
      <c r="P366" s="59"/>
      <c r="Q366" s="59"/>
      <c r="R366" s="59"/>
      <c r="S366" s="59"/>
      <c r="T366" s="59"/>
      <c r="U366" s="59"/>
      <c r="V366" s="59"/>
      <c r="W366" s="59"/>
      <c r="X366" s="59"/>
      <c r="Y366" s="59"/>
      <c r="Z366" s="59"/>
      <c r="AA366" s="59"/>
      <c r="AB366" s="59"/>
      <c r="AC366" s="59"/>
    </row>
    <row r="367" spans="1:29" ht="12.75">
      <c r="A367" s="59"/>
      <c r="B367" s="59"/>
      <c r="C367" s="59"/>
      <c r="D367" s="1173"/>
      <c r="E367" s="59"/>
      <c r="F367" s="1173"/>
      <c r="G367" s="1174"/>
      <c r="H367" s="59"/>
      <c r="I367" s="59"/>
      <c r="J367" s="1173"/>
      <c r="K367" s="59"/>
      <c r="L367" s="1173"/>
      <c r="M367" s="59"/>
      <c r="N367" s="59"/>
      <c r="O367" s="59"/>
      <c r="P367" s="59"/>
      <c r="Q367" s="59"/>
      <c r="R367" s="59"/>
      <c r="S367" s="59"/>
      <c r="T367" s="59"/>
      <c r="U367" s="59"/>
      <c r="V367" s="59"/>
      <c r="W367" s="59"/>
      <c r="X367" s="59"/>
      <c r="Y367" s="59"/>
      <c r="Z367" s="59"/>
      <c r="AA367" s="59"/>
      <c r="AB367" s="59"/>
      <c r="AC367" s="59"/>
    </row>
    <row r="368" spans="1:29" ht="12.75">
      <c r="A368" s="59"/>
      <c r="B368" s="59"/>
      <c r="C368" s="59"/>
      <c r="D368" s="1173"/>
      <c r="E368" s="59"/>
      <c r="F368" s="1173"/>
      <c r="G368" s="1174"/>
      <c r="H368" s="59"/>
      <c r="I368" s="59"/>
      <c r="J368" s="1173"/>
      <c r="K368" s="59"/>
      <c r="L368" s="1173"/>
      <c r="M368" s="59"/>
      <c r="N368" s="59"/>
      <c r="O368" s="59"/>
      <c r="P368" s="59"/>
      <c r="Q368" s="59"/>
      <c r="R368" s="59"/>
      <c r="S368" s="59"/>
      <c r="T368" s="59"/>
      <c r="U368" s="59"/>
      <c r="V368" s="59"/>
      <c r="W368" s="59"/>
      <c r="X368" s="59"/>
      <c r="Y368" s="59"/>
      <c r="Z368" s="59"/>
      <c r="AA368" s="59"/>
      <c r="AB368" s="59"/>
      <c r="AC368" s="59"/>
    </row>
    <row r="369" spans="1:29" ht="12.75">
      <c r="A369" s="59"/>
      <c r="B369" s="59"/>
      <c r="C369" s="59"/>
      <c r="D369" s="1173"/>
      <c r="E369" s="59"/>
      <c r="F369" s="1173"/>
      <c r="G369" s="1174"/>
      <c r="H369" s="59"/>
      <c r="I369" s="59"/>
      <c r="J369" s="1173"/>
      <c r="K369" s="59"/>
      <c r="L369" s="1173"/>
      <c r="M369" s="59"/>
      <c r="N369" s="59"/>
      <c r="O369" s="59"/>
      <c r="P369" s="59"/>
      <c r="Q369" s="59"/>
      <c r="R369" s="59"/>
      <c r="S369" s="59"/>
      <c r="T369" s="59"/>
      <c r="U369" s="59"/>
      <c r="V369" s="59"/>
      <c r="W369" s="59"/>
      <c r="X369" s="59"/>
      <c r="Y369" s="59"/>
      <c r="Z369" s="59"/>
      <c r="AA369" s="59"/>
      <c r="AB369" s="59"/>
      <c r="AC369" s="59"/>
    </row>
    <row r="370" spans="1:29" ht="12.75">
      <c r="A370" s="59"/>
      <c r="B370" s="59"/>
      <c r="C370" s="59"/>
      <c r="D370" s="1173"/>
      <c r="E370" s="59"/>
      <c r="F370" s="1173"/>
      <c r="G370" s="1174"/>
      <c r="H370" s="59"/>
      <c r="I370" s="59"/>
      <c r="J370" s="1173"/>
      <c r="K370" s="59"/>
      <c r="L370" s="1173"/>
      <c r="M370" s="59"/>
      <c r="N370" s="59"/>
      <c r="O370" s="59"/>
      <c r="P370" s="59"/>
      <c r="Q370" s="59"/>
      <c r="R370" s="59"/>
      <c r="S370" s="59"/>
      <c r="T370" s="59"/>
      <c r="U370" s="59"/>
      <c r="V370" s="59"/>
      <c r="W370" s="59"/>
      <c r="X370" s="59"/>
      <c r="Y370" s="59"/>
      <c r="Z370" s="59"/>
      <c r="AA370" s="59"/>
      <c r="AB370" s="59"/>
      <c r="AC370" s="59"/>
    </row>
    <row r="371" spans="1:29" ht="12.75">
      <c r="A371" s="59"/>
      <c r="B371" s="59"/>
      <c r="C371" s="59"/>
      <c r="D371" s="1173"/>
      <c r="E371" s="59"/>
      <c r="F371" s="1173"/>
      <c r="G371" s="1174"/>
      <c r="H371" s="59"/>
      <c r="I371" s="59"/>
      <c r="J371" s="1173"/>
      <c r="K371" s="59"/>
      <c r="L371" s="1173"/>
      <c r="M371" s="59"/>
      <c r="N371" s="59"/>
      <c r="O371" s="59"/>
      <c r="P371" s="59"/>
      <c r="Q371" s="59"/>
      <c r="R371" s="59"/>
      <c r="S371" s="59"/>
      <c r="T371" s="59"/>
      <c r="U371" s="59"/>
      <c r="V371" s="59"/>
      <c r="W371" s="59"/>
      <c r="X371" s="59"/>
      <c r="Y371" s="59"/>
      <c r="Z371" s="59"/>
      <c r="AA371" s="59"/>
      <c r="AB371" s="59"/>
      <c r="AC371" s="59"/>
    </row>
    <row r="372" spans="1:29" ht="12.75">
      <c r="A372" s="59"/>
      <c r="B372" s="59"/>
      <c r="C372" s="59"/>
      <c r="D372" s="1173"/>
      <c r="E372" s="59"/>
      <c r="F372" s="1173"/>
      <c r="G372" s="1174"/>
      <c r="H372" s="59"/>
      <c r="I372" s="59"/>
      <c r="J372" s="1173"/>
      <c r="K372" s="59"/>
      <c r="L372" s="1173"/>
      <c r="M372" s="59"/>
      <c r="N372" s="59"/>
      <c r="O372" s="59"/>
      <c r="P372" s="59"/>
      <c r="Q372" s="59"/>
      <c r="R372" s="59"/>
      <c r="S372" s="59"/>
      <c r="T372" s="59"/>
      <c r="U372" s="59"/>
      <c r="V372" s="59"/>
      <c r="W372" s="59"/>
      <c r="X372" s="59"/>
      <c r="Y372" s="59"/>
      <c r="Z372" s="59"/>
      <c r="AA372" s="59"/>
      <c r="AB372" s="59"/>
      <c r="AC372" s="59"/>
    </row>
    <row r="373" spans="1:29" ht="12.75">
      <c r="A373" s="59"/>
      <c r="B373" s="59"/>
      <c r="C373" s="59"/>
      <c r="D373" s="1173"/>
      <c r="E373" s="59"/>
      <c r="F373" s="1173"/>
      <c r="G373" s="1174"/>
      <c r="H373" s="59"/>
      <c r="I373" s="59"/>
      <c r="J373" s="1173"/>
      <c r="K373" s="59"/>
      <c r="L373" s="1173"/>
      <c r="M373" s="59"/>
      <c r="N373" s="59"/>
      <c r="O373" s="59"/>
      <c r="P373" s="59"/>
      <c r="Q373" s="59"/>
      <c r="R373" s="59"/>
      <c r="S373" s="59"/>
      <c r="T373" s="59"/>
      <c r="U373" s="59"/>
      <c r="V373" s="59"/>
      <c r="W373" s="59"/>
      <c r="X373" s="59"/>
      <c r="Y373" s="59"/>
      <c r="Z373" s="59"/>
      <c r="AA373" s="59"/>
      <c r="AB373" s="59"/>
      <c r="AC373" s="59"/>
    </row>
    <row r="374" spans="1:29" ht="12.75">
      <c r="A374" s="59"/>
      <c r="B374" s="59"/>
      <c r="C374" s="59"/>
      <c r="D374" s="1173"/>
      <c r="E374" s="59"/>
      <c r="F374" s="1173"/>
      <c r="G374" s="1174"/>
      <c r="H374" s="59"/>
      <c r="I374" s="59"/>
      <c r="J374" s="1173"/>
      <c r="K374" s="59"/>
      <c r="L374" s="1173"/>
      <c r="M374" s="59"/>
      <c r="N374" s="59"/>
      <c r="O374" s="59"/>
      <c r="P374" s="59"/>
      <c r="Q374" s="59"/>
      <c r="R374" s="59"/>
      <c r="S374" s="59"/>
      <c r="T374" s="59"/>
      <c r="U374" s="59"/>
      <c r="V374" s="59"/>
      <c r="W374" s="59"/>
      <c r="X374" s="59"/>
      <c r="Y374" s="59"/>
      <c r="Z374" s="59"/>
      <c r="AA374" s="59"/>
      <c r="AB374" s="59"/>
      <c r="AC374" s="59"/>
    </row>
    <row r="375" spans="1:29" ht="12.75">
      <c r="A375" s="59"/>
      <c r="B375" s="59"/>
      <c r="C375" s="59"/>
      <c r="D375" s="1173"/>
      <c r="E375" s="59"/>
      <c r="F375" s="1173"/>
      <c r="G375" s="1174"/>
      <c r="H375" s="59"/>
      <c r="I375" s="59"/>
      <c r="J375" s="1173"/>
      <c r="K375" s="59"/>
      <c r="L375" s="1173"/>
      <c r="M375" s="59"/>
      <c r="N375" s="59"/>
      <c r="O375" s="59"/>
      <c r="P375" s="59"/>
      <c r="Q375" s="59"/>
      <c r="R375" s="59"/>
      <c r="S375" s="59"/>
      <c r="T375" s="59"/>
      <c r="U375" s="59"/>
      <c r="V375" s="59"/>
      <c r="W375" s="59"/>
      <c r="X375" s="59"/>
      <c r="Y375" s="59"/>
      <c r="Z375" s="59"/>
      <c r="AA375" s="59"/>
      <c r="AB375" s="59"/>
      <c r="AC375" s="59"/>
    </row>
    <row r="376" spans="1:29" ht="12.75">
      <c r="A376" s="59"/>
      <c r="B376" s="59"/>
      <c r="C376" s="59"/>
      <c r="D376" s="1173"/>
      <c r="E376" s="59"/>
      <c r="F376" s="1173"/>
      <c r="G376" s="1174"/>
      <c r="H376" s="59"/>
      <c r="I376" s="59"/>
      <c r="J376" s="1173"/>
      <c r="K376" s="59"/>
      <c r="L376" s="1173"/>
      <c r="M376" s="59"/>
      <c r="N376" s="59"/>
      <c r="O376" s="59"/>
      <c r="P376" s="59"/>
      <c r="Q376" s="59"/>
      <c r="R376" s="59"/>
      <c r="S376" s="59"/>
      <c r="T376" s="59"/>
      <c r="U376" s="59"/>
      <c r="V376" s="59"/>
      <c r="W376" s="59"/>
      <c r="X376" s="59"/>
      <c r="Y376" s="59"/>
      <c r="Z376" s="59"/>
      <c r="AA376" s="59"/>
      <c r="AB376" s="59"/>
      <c r="AC376" s="59"/>
    </row>
    <row r="377" spans="1:29" ht="12.75">
      <c r="A377" s="59"/>
      <c r="B377" s="59"/>
      <c r="C377" s="59"/>
      <c r="D377" s="1173"/>
      <c r="E377" s="59"/>
      <c r="F377" s="1173"/>
      <c r="G377" s="1174"/>
      <c r="H377" s="59"/>
      <c r="I377" s="59"/>
      <c r="J377" s="1173"/>
      <c r="K377" s="59"/>
      <c r="L377" s="1173"/>
      <c r="M377" s="59"/>
      <c r="N377" s="59"/>
      <c r="O377" s="59"/>
      <c r="P377" s="59"/>
      <c r="Q377" s="59"/>
      <c r="R377" s="59"/>
      <c r="S377" s="59"/>
      <c r="T377" s="59"/>
      <c r="U377" s="59"/>
      <c r="V377" s="59"/>
      <c r="W377" s="59"/>
      <c r="X377" s="59"/>
      <c r="Y377" s="59"/>
      <c r="Z377" s="59"/>
      <c r="AA377" s="59"/>
      <c r="AB377" s="59"/>
      <c r="AC377" s="59"/>
    </row>
    <row r="378" spans="1:29" ht="12.75">
      <c r="A378" s="59"/>
      <c r="B378" s="59"/>
      <c r="C378" s="59"/>
      <c r="D378" s="1173"/>
      <c r="E378" s="59"/>
      <c r="F378" s="1173"/>
      <c r="G378" s="1174"/>
      <c r="H378" s="59"/>
      <c r="I378" s="59"/>
      <c r="J378" s="1173"/>
      <c r="K378" s="59"/>
      <c r="L378" s="1173"/>
      <c r="M378" s="59"/>
      <c r="N378" s="59"/>
      <c r="O378" s="59"/>
      <c r="P378" s="59"/>
      <c r="Q378" s="59"/>
      <c r="R378" s="59"/>
      <c r="S378" s="59"/>
      <c r="T378" s="59"/>
      <c r="U378" s="59"/>
      <c r="V378" s="59"/>
      <c r="W378" s="59"/>
      <c r="X378" s="59"/>
      <c r="Y378" s="59"/>
      <c r="Z378" s="59"/>
      <c r="AA378" s="59"/>
      <c r="AB378" s="59"/>
      <c r="AC378" s="59"/>
    </row>
    <row r="379" spans="1:29" ht="12.75">
      <c r="A379" s="59"/>
      <c r="B379" s="59"/>
      <c r="C379" s="59"/>
      <c r="D379" s="1173"/>
      <c r="E379" s="59"/>
      <c r="F379" s="1173"/>
      <c r="G379" s="1174"/>
      <c r="H379" s="59"/>
      <c r="I379" s="59"/>
      <c r="J379" s="1173"/>
      <c r="K379" s="59"/>
      <c r="L379" s="1173"/>
      <c r="M379" s="59"/>
      <c r="N379" s="59"/>
      <c r="O379" s="59"/>
      <c r="P379" s="59"/>
      <c r="Q379" s="59"/>
      <c r="R379" s="59"/>
      <c r="S379" s="59"/>
      <c r="T379" s="59"/>
      <c r="U379" s="59"/>
      <c r="V379" s="59"/>
      <c r="W379" s="59"/>
      <c r="X379" s="59"/>
      <c r="Y379" s="59"/>
      <c r="Z379" s="59"/>
      <c r="AA379" s="59"/>
      <c r="AB379" s="59"/>
      <c r="AC379" s="59"/>
    </row>
    <row r="380" spans="1:29" ht="12.75">
      <c r="A380" s="59"/>
      <c r="B380" s="59"/>
      <c r="C380" s="59"/>
      <c r="D380" s="1173"/>
      <c r="E380" s="59"/>
      <c r="F380" s="1173"/>
      <c r="G380" s="1174"/>
      <c r="H380" s="59"/>
      <c r="I380" s="59"/>
      <c r="J380" s="1173"/>
      <c r="K380" s="59"/>
      <c r="L380" s="1173"/>
      <c r="M380" s="59"/>
      <c r="N380" s="59"/>
      <c r="O380" s="59"/>
      <c r="P380" s="59"/>
      <c r="Q380" s="59"/>
      <c r="R380" s="59"/>
      <c r="S380" s="59"/>
      <c r="T380" s="59"/>
      <c r="U380" s="59"/>
      <c r="V380" s="59"/>
      <c r="W380" s="59"/>
      <c r="X380" s="59"/>
      <c r="Y380" s="59"/>
      <c r="Z380" s="59"/>
      <c r="AA380" s="59"/>
      <c r="AB380" s="59"/>
      <c r="AC380" s="59"/>
    </row>
    <row r="381" spans="1:29" ht="12.75">
      <c r="A381" s="59"/>
      <c r="B381" s="59"/>
      <c r="C381" s="59"/>
      <c r="D381" s="1173"/>
      <c r="E381" s="59"/>
      <c r="F381" s="1173"/>
      <c r="G381" s="1174"/>
      <c r="H381" s="59"/>
      <c r="I381" s="59"/>
      <c r="J381" s="1173"/>
      <c r="K381" s="59"/>
      <c r="L381" s="1173"/>
      <c r="M381" s="59"/>
      <c r="N381" s="59"/>
      <c r="O381" s="59"/>
      <c r="P381" s="59"/>
      <c r="Q381" s="59"/>
      <c r="R381" s="59"/>
      <c r="S381" s="59"/>
      <c r="T381" s="59"/>
      <c r="U381" s="59"/>
      <c r="V381" s="59"/>
      <c r="W381" s="59"/>
      <c r="X381" s="59"/>
      <c r="Y381" s="59"/>
      <c r="Z381" s="59"/>
      <c r="AA381" s="59"/>
      <c r="AB381" s="59"/>
      <c r="AC381" s="59"/>
    </row>
    <row r="382" spans="1:29" ht="12.75">
      <c r="A382" s="59"/>
      <c r="B382" s="59"/>
      <c r="C382" s="59"/>
      <c r="D382" s="1173"/>
      <c r="E382" s="59"/>
      <c r="F382" s="1173"/>
      <c r="G382" s="1174"/>
      <c r="H382" s="59"/>
      <c r="I382" s="59"/>
      <c r="J382" s="1173"/>
      <c r="K382" s="59"/>
      <c r="L382" s="1173"/>
      <c r="M382" s="59"/>
      <c r="N382" s="59"/>
      <c r="O382" s="59"/>
      <c r="P382" s="59"/>
      <c r="Q382" s="59"/>
      <c r="R382" s="59"/>
      <c r="S382" s="59"/>
      <c r="T382" s="59"/>
      <c r="U382" s="59"/>
      <c r="V382" s="59"/>
      <c r="W382" s="59"/>
      <c r="X382" s="59"/>
      <c r="Y382" s="59"/>
      <c r="Z382" s="59"/>
      <c r="AA382" s="59"/>
      <c r="AB382" s="59"/>
      <c r="AC382" s="59"/>
    </row>
    <row r="383" spans="1:29" ht="12.75">
      <c r="A383" s="59"/>
      <c r="B383" s="59"/>
      <c r="C383" s="59"/>
      <c r="D383" s="1173"/>
      <c r="E383" s="59"/>
      <c r="F383" s="1173"/>
      <c r="G383" s="1174"/>
      <c r="H383" s="59"/>
      <c r="I383" s="59"/>
      <c r="J383" s="1173"/>
      <c r="K383" s="59"/>
      <c r="L383" s="1173"/>
      <c r="M383" s="59"/>
      <c r="N383" s="59"/>
      <c r="O383" s="59"/>
      <c r="P383" s="59"/>
      <c r="Q383" s="59"/>
      <c r="R383" s="59"/>
      <c r="S383" s="59"/>
      <c r="T383" s="59"/>
      <c r="U383" s="59"/>
      <c r="V383" s="59"/>
      <c r="W383" s="59"/>
      <c r="X383" s="59"/>
      <c r="Y383" s="59"/>
      <c r="Z383" s="59"/>
      <c r="AA383" s="59"/>
      <c r="AB383" s="59"/>
      <c r="AC383" s="59"/>
    </row>
    <row r="384" spans="1:29" ht="12.75">
      <c r="A384" s="59"/>
      <c r="B384" s="59"/>
      <c r="C384" s="59"/>
      <c r="D384" s="1173"/>
      <c r="E384" s="59"/>
      <c r="F384" s="1173"/>
      <c r="G384" s="1174"/>
      <c r="H384" s="59"/>
      <c r="I384" s="59"/>
      <c r="J384" s="1173"/>
      <c r="K384" s="59"/>
      <c r="L384" s="1173"/>
      <c r="M384" s="59"/>
      <c r="N384" s="59"/>
      <c r="O384" s="59"/>
      <c r="P384" s="59"/>
      <c r="Q384" s="59"/>
      <c r="R384" s="59"/>
      <c r="S384" s="59"/>
      <c r="T384" s="59"/>
      <c r="U384" s="59"/>
      <c r="V384" s="59"/>
      <c r="W384" s="59"/>
      <c r="X384" s="59"/>
      <c r="Y384" s="59"/>
      <c r="Z384" s="59"/>
      <c r="AA384" s="59"/>
      <c r="AB384" s="59"/>
      <c r="AC384" s="59"/>
    </row>
    <row r="385" spans="1:29" ht="12.75">
      <c r="A385" s="59"/>
      <c r="B385" s="59"/>
      <c r="C385" s="59"/>
      <c r="D385" s="1173"/>
      <c r="E385" s="59"/>
      <c r="F385" s="1173"/>
      <c r="G385" s="1174"/>
      <c r="H385" s="59"/>
      <c r="I385" s="59"/>
      <c r="J385" s="1173"/>
      <c r="K385" s="59"/>
      <c r="L385" s="1173"/>
      <c r="M385" s="59"/>
      <c r="N385" s="59"/>
      <c r="O385" s="59"/>
      <c r="P385" s="59"/>
      <c r="Q385" s="59"/>
      <c r="R385" s="59"/>
      <c r="S385" s="59"/>
      <c r="T385" s="59"/>
      <c r="U385" s="59"/>
      <c r="V385" s="59"/>
      <c r="W385" s="59"/>
      <c r="X385" s="59"/>
      <c r="Y385" s="59"/>
      <c r="Z385" s="59"/>
      <c r="AA385" s="59"/>
      <c r="AB385" s="59"/>
      <c r="AC385" s="59"/>
    </row>
    <row r="386" spans="1:29" ht="12.75">
      <c r="A386" s="59"/>
      <c r="B386" s="59"/>
      <c r="C386" s="59"/>
      <c r="D386" s="1173"/>
      <c r="E386" s="59"/>
      <c r="F386" s="1173"/>
      <c r="G386" s="1174"/>
      <c r="H386" s="59"/>
      <c r="I386" s="59"/>
      <c r="J386" s="1173"/>
      <c r="K386" s="59"/>
      <c r="L386" s="1173"/>
      <c r="M386" s="59"/>
      <c r="N386" s="59"/>
      <c r="O386" s="59"/>
      <c r="P386" s="59"/>
      <c r="Q386" s="59"/>
      <c r="R386" s="59"/>
      <c r="S386" s="59"/>
      <c r="T386" s="59"/>
      <c r="U386" s="59"/>
      <c r="V386" s="59"/>
      <c r="W386" s="59"/>
      <c r="X386" s="59"/>
      <c r="Y386" s="59"/>
      <c r="Z386" s="59"/>
      <c r="AA386" s="59"/>
      <c r="AB386" s="59"/>
      <c r="AC386" s="59"/>
    </row>
    <row r="387" spans="1:29" ht="12.75">
      <c r="A387" s="59"/>
      <c r="B387" s="59"/>
      <c r="C387" s="59"/>
      <c r="D387" s="1173"/>
      <c r="E387" s="59"/>
      <c r="F387" s="1173"/>
      <c r="G387" s="1174"/>
      <c r="H387" s="59"/>
      <c r="I387" s="59"/>
      <c r="J387" s="1173"/>
      <c r="K387" s="59"/>
      <c r="L387" s="1173"/>
      <c r="M387" s="59"/>
      <c r="N387" s="59"/>
      <c r="O387" s="59"/>
      <c r="P387" s="59"/>
      <c r="Q387" s="59"/>
      <c r="R387" s="59"/>
      <c r="S387" s="59"/>
      <c r="T387" s="59"/>
      <c r="U387" s="59"/>
      <c r="V387" s="59"/>
      <c r="W387" s="59"/>
      <c r="X387" s="59"/>
      <c r="Y387" s="59"/>
      <c r="Z387" s="59"/>
      <c r="AA387" s="59"/>
      <c r="AB387" s="59"/>
      <c r="AC387" s="59"/>
    </row>
    <row r="388" spans="1:29" ht="12.75">
      <c r="A388" s="59"/>
      <c r="B388" s="59"/>
      <c r="C388" s="59"/>
      <c r="D388" s="1173"/>
      <c r="E388" s="59"/>
      <c r="F388" s="1173"/>
      <c r="G388" s="1174"/>
      <c r="H388" s="59"/>
      <c r="I388" s="59"/>
      <c r="J388" s="1173"/>
      <c r="K388" s="59"/>
      <c r="L388" s="1173"/>
      <c r="M388" s="59"/>
      <c r="N388" s="59"/>
      <c r="O388" s="59"/>
      <c r="P388" s="59"/>
      <c r="Q388" s="59"/>
      <c r="R388" s="59"/>
      <c r="S388" s="59"/>
      <c r="T388" s="59"/>
      <c r="U388" s="59"/>
      <c r="V388" s="59"/>
      <c r="W388" s="59"/>
      <c r="X388" s="59"/>
      <c r="Y388" s="59"/>
      <c r="Z388" s="59"/>
      <c r="AA388" s="59"/>
      <c r="AB388" s="59"/>
      <c r="AC388" s="59"/>
    </row>
    <row r="389" spans="1:29" ht="12.75">
      <c r="A389" s="59"/>
      <c r="B389" s="59"/>
      <c r="C389" s="59"/>
      <c r="D389" s="1173"/>
      <c r="E389" s="59"/>
      <c r="F389" s="1173"/>
      <c r="G389" s="1174"/>
      <c r="H389" s="59"/>
      <c r="I389" s="59"/>
      <c r="J389" s="1173"/>
      <c r="K389" s="59"/>
      <c r="L389" s="1173"/>
      <c r="M389" s="59"/>
      <c r="N389" s="59"/>
      <c r="O389" s="59"/>
      <c r="P389" s="59"/>
      <c r="Q389" s="59"/>
      <c r="R389" s="59"/>
      <c r="S389" s="59"/>
      <c r="T389" s="59"/>
      <c r="U389" s="59"/>
      <c r="V389" s="59"/>
      <c r="W389" s="59"/>
      <c r="X389" s="59"/>
      <c r="Y389" s="59"/>
      <c r="Z389" s="59"/>
      <c r="AA389" s="59"/>
      <c r="AB389" s="59"/>
      <c r="AC389" s="59"/>
    </row>
    <row r="390" spans="1:29" ht="12.75">
      <c r="A390" s="59"/>
      <c r="B390" s="59"/>
      <c r="C390" s="59"/>
      <c r="D390" s="1173"/>
      <c r="E390" s="59"/>
      <c r="F390" s="1173"/>
      <c r="G390" s="1174"/>
      <c r="H390" s="59"/>
      <c r="I390" s="59"/>
      <c r="J390" s="1173"/>
      <c r="K390" s="59"/>
      <c r="L390" s="1173"/>
      <c r="M390" s="59"/>
      <c r="N390" s="59"/>
      <c r="O390" s="59"/>
      <c r="P390" s="59"/>
      <c r="Q390" s="59"/>
      <c r="R390" s="59"/>
      <c r="S390" s="59"/>
      <c r="T390" s="59"/>
      <c r="U390" s="59"/>
      <c r="V390" s="59"/>
      <c r="W390" s="59"/>
      <c r="X390" s="59"/>
      <c r="Y390" s="59"/>
      <c r="Z390" s="59"/>
      <c r="AA390" s="59"/>
      <c r="AB390" s="59"/>
      <c r="AC390" s="59"/>
    </row>
    <row r="391" spans="1:29" ht="12.75">
      <c r="A391" s="59"/>
      <c r="B391" s="59"/>
      <c r="C391" s="59"/>
      <c r="D391" s="1173"/>
      <c r="E391" s="59"/>
      <c r="F391" s="1173"/>
      <c r="G391" s="1174"/>
      <c r="H391" s="59"/>
      <c r="I391" s="59"/>
      <c r="J391" s="1173"/>
      <c r="K391" s="59"/>
      <c r="L391" s="1173"/>
      <c r="M391" s="59"/>
      <c r="N391" s="59"/>
      <c r="O391" s="59"/>
      <c r="P391" s="59"/>
      <c r="Q391" s="59"/>
      <c r="R391" s="59"/>
      <c r="S391" s="59"/>
      <c r="T391" s="59"/>
      <c r="U391" s="59"/>
      <c r="V391" s="59"/>
      <c r="W391" s="59"/>
      <c r="X391" s="59"/>
      <c r="Y391" s="59"/>
      <c r="Z391" s="59"/>
      <c r="AA391" s="59"/>
      <c r="AB391" s="59"/>
      <c r="AC391" s="59"/>
    </row>
    <row r="392" spans="1:29" ht="12.75">
      <c r="A392" s="59"/>
      <c r="B392" s="59"/>
      <c r="C392" s="59"/>
      <c r="D392" s="1173"/>
      <c r="E392" s="59"/>
      <c r="F392" s="1173"/>
      <c r="G392" s="1174"/>
      <c r="H392" s="59"/>
      <c r="I392" s="59"/>
      <c r="J392" s="1173"/>
      <c r="K392" s="59"/>
      <c r="L392" s="1173"/>
      <c r="M392" s="59"/>
      <c r="N392" s="59"/>
      <c r="O392" s="59"/>
      <c r="P392" s="59"/>
      <c r="Q392" s="59"/>
      <c r="R392" s="59"/>
      <c r="S392" s="59"/>
      <c r="T392" s="59"/>
      <c r="U392" s="59"/>
      <c r="V392" s="59"/>
      <c r="W392" s="59"/>
      <c r="X392" s="59"/>
      <c r="Y392" s="59"/>
      <c r="Z392" s="59"/>
      <c r="AA392" s="59"/>
      <c r="AB392" s="59"/>
      <c r="AC392" s="59"/>
    </row>
    <row r="393" spans="1:29" ht="12.75">
      <c r="A393" s="59"/>
      <c r="B393" s="59"/>
      <c r="C393" s="59"/>
      <c r="D393" s="1173"/>
      <c r="E393" s="59"/>
      <c r="F393" s="1173"/>
      <c r="G393" s="1174"/>
      <c r="H393" s="59"/>
      <c r="I393" s="59"/>
      <c r="J393" s="1173"/>
      <c r="K393" s="59"/>
      <c r="L393" s="1173"/>
      <c r="M393" s="59"/>
      <c r="N393" s="59"/>
      <c r="O393" s="59"/>
      <c r="P393" s="59"/>
      <c r="Q393" s="59"/>
      <c r="R393" s="59"/>
      <c r="S393" s="59"/>
      <c r="T393" s="59"/>
      <c r="U393" s="59"/>
      <c r="V393" s="59"/>
      <c r="W393" s="59"/>
      <c r="X393" s="59"/>
      <c r="Y393" s="59"/>
      <c r="Z393" s="59"/>
      <c r="AA393" s="59"/>
      <c r="AB393" s="59"/>
      <c r="AC393" s="59"/>
    </row>
    <row r="394" spans="1:29" ht="12.75">
      <c r="A394" s="59"/>
      <c r="B394" s="59"/>
      <c r="C394" s="59"/>
      <c r="D394" s="1173"/>
      <c r="E394" s="59"/>
      <c r="F394" s="1173"/>
      <c r="G394" s="1174"/>
      <c r="H394" s="59"/>
      <c r="I394" s="59"/>
      <c r="J394" s="1173"/>
      <c r="K394" s="59"/>
      <c r="L394" s="1173"/>
      <c r="M394" s="59"/>
      <c r="N394" s="59"/>
      <c r="O394" s="59"/>
      <c r="P394" s="59"/>
      <c r="Q394" s="59"/>
      <c r="R394" s="59"/>
      <c r="S394" s="59"/>
      <c r="T394" s="59"/>
      <c r="U394" s="59"/>
      <c r="V394" s="59"/>
      <c r="W394" s="59"/>
      <c r="X394" s="59"/>
      <c r="Y394" s="59"/>
      <c r="Z394" s="59"/>
      <c r="AA394" s="59"/>
      <c r="AB394" s="59"/>
      <c r="AC394" s="59"/>
    </row>
    <row r="395" spans="1:29" ht="12.75">
      <c r="A395" s="59"/>
      <c r="B395" s="59"/>
      <c r="C395" s="59"/>
      <c r="D395" s="1173"/>
      <c r="E395" s="59"/>
      <c r="F395" s="1173"/>
      <c r="G395" s="1174"/>
      <c r="H395" s="59"/>
      <c r="I395" s="59"/>
      <c r="J395" s="1173"/>
      <c r="K395" s="59"/>
      <c r="L395" s="1173"/>
      <c r="M395" s="59"/>
      <c r="N395" s="59"/>
      <c r="O395" s="59"/>
      <c r="P395" s="59"/>
      <c r="Q395" s="59"/>
      <c r="R395" s="59"/>
      <c r="S395" s="59"/>
      <c r="T395" s="59"/>
      <c r="U395" s="59"/>
      <c r="V395" s="59"/>
      <c r="W395" s="59"/>
      <c r="X395" s="59"/>
      <c r="Y395" s="59"/>
      <c r="Z395" s="59"/>
      <c r="AA395" s="59"/>
      <c r="AB395" s="59"/>
      <c r="AC395" s="59"/>
    </row>
    <row r="396" spans="1:29" ht="12.75">
      <c r="A396" s="59"/>
      <c r="B396" s="59"/>
      <c r="C396" s="59"/>
      <c r="D396" s="1173"/>
      <c r="E396" s="59"/>
      <c r="F396" s="1173"/>
      <c r="G396" s="1174"/>
      <c r="H396" s="59"/>
      <c r="I396" s="59"/>
      <c r="J396" s="1173"/>
      <c r="K396" s="59"/>
      <c r="L396" s="1173"/>
      <c r="M396" s="59"/>
      <c r="N396" s="59"/>
      <c r="O396" s="59"/>
      <c r="P396" s="59"/>
      <c r="Q396" s="59"/>
      <c r="R396" s="59"/>
      <c r="S396" s="59"/>
      <c r="T396" s="59"/>
      <c r="U396" s="59"/>
      <c r="V396" s="59"/>
      <c r="W396" s="59"/>
      <c r="X396" s="59"/>
      <c r="Y396" s="59"/>
      <c r="Z396" s="59"/>
      <c r="AA396" s="59"/>
      <c r="AB396" s="59"/>
      <c r="AC396" s="59"/>
    </row>
    <row r="397" spans="1:29" ht="12.75">
      <c r="A397" s="59"/>
      <c r="B397" s="59"/>
      <c r="C397" s="59"/>
      <c r="D397" s="1173"/>
      <c r="E397" s="59"/>
      <c r="F397" s="1173"/>
      <c r="G397" s="1174"/>
      <c r="H397" s="59"/>
      <c r="I397" s="59"/>
      <c r="J397" s="1173"/>
      <c r="K397" s="59"/>
      <c r="L397" s="1173"/>
      <c r="M397" s="59"/>
      <c r="N397" s="59"/>
      <c r="O397" s="59"/>
      <c r="P397" s="59"/>
      <c r="Q397" s="59"/>
      <c r="R397" s="59"/>
      <c r="S397" s="59"/>
      <c r="T397" s="59"/>
      <c r="U397" s="59"/>
      <c r="V397" s="59"/>
      <c r="W397" s="59"/>
      <c r="X397" s="59"/>
      <c r="Y397" s="59"/>
      <c r="Z397" s="59"/>
      <c r="AA397" s="59"/>
      <c r="AB397" s="59"/>
      <c r="AC397" s="59"/>
    </row>
    <row r="398" spans="1:29" ht="12.75">
      <c r="A398" s="59"/>
      <c r="B398" s="59"/>
      <c r="C398" s="59"/>
      <c r="D398" s="1173"/>
      <c r="E398" s="59"/>
      <c r="F398" s="1173"/>
      <c r="G398" s="1174"/>
      <c r="H398" s="59"/>
      <c r="I398" s="59"/>
      <c r="J398" s="1173"/>
      <c r="K398" s="59"/>
      <c r="L398" s="1173"/>
      <c r="M398" s="59"/>
      <c r="N398" s="59"/>
      <c r="O398" s="59"/>
      <c r="P398" s="59"/>
      <c r="Q398" s="59"/>
      <c r="R398" s="59"/>
      <c r="S398" s="59"/>
      <c r="T398" s="59"/>
      <c r="U398" s="59"/>
      <c r="V398" s="59"/>
      <c r="W398" s="59"/>
      <c r="X398" s="59"/>
      <c r="Y398" s="59"/>
      <c r="Z398" s="59"/>
      <c r="AA398" s="59"/>
      <c r="AB398" s="59"/>
      <c r="AC398" s="59"/>
    </row>
    <row r="399" spans="1:29" ht="12.75">
      <c r="A399" s="59"/>
      <c r="B399" s="59"/>
      <c r="C399" s="59"/>
      <c r="D399" s="1173"/>
      <c r="E399" s="59"/>
      <c r="F399" s="1173"/>
      <c r="G399" s="1174"/>
      <c r="H399" s="59"/>
      <c r="I399" s="59"/>
      <c r="J399" s="1173"/>
      <c r="K399" s="59"/>
      <c r="L399" s="1173"/>
      <c r="M399" s="59"/>
      <c r="N399" s="59"/>
      <c r="O399" s="59"/>
      <c r="P399" s="59"/>
      <c r="Q399" s="59"/>
      <c r="R399" s="59"/>
      <c r="S399" s="59"/>
      <c r="T399" s="59"/>
      <c r="U399" s="59"/>
      <c r="V399" s="59"/>
      <c r="W399" s="59"/>
      <c r="X399" s="59"/>
      <c r="Y399" s="59"/>
      <c r="Z399" s="59"/>
      <c r="AA399" s="59"/>
      <c r="AB399" s="59"/>
      <c r="AC399" s="59"/>
    </row>
    <row r="400" spans="1:29" ht="12.75">
      <c r="A400" s="59"/>
      <c r="B400" s="59"/>
      <c r="C400" s="59"/>
      <c r="D400" s="1173"/>
      <c r="E400" s="59"/>
      <c r="F400" s="1173"/>
      <c r="G400" s="1174"/>
      <c r="H400" s="59"/>
      <c r="I400" s="59"/>
      <c r="J400" s="1173"/>
      <c r="K400" s="59"/>
      <c r="L400" s="1173"/>
      <c r="M400" s="59"/>
      <c r="N400" s="59"/>
      <c r="O400" s="59"/>
      <c r="P400" s="59"/>
      <c r="Q400" s="59"/>
      <c r="R400" s="59"/>
      <c r="S400" s="59"/>
      <c r="T400" s="59"/>
      <c r="U400" s="59"/>
      <c r="V400" s="59"/>
      <c r="W400" s="59"/>
      <c r="X400" s="59"/>
      <c r="Y400" s="59"/>
      <c r="Z400" s="59"/>
      <c r="AA400" s="59"/>
      <c r="AB400" s="59"/>
      <c r="AC400" s="59"/>
    </row>
    <row r="401" spans="1:29" ht="12.75">
      <c r="A401" s="59"/>
      <c r="B401" s="59"/>
      <c r="C401" s="59"/>
      <c r="D401" s="1173"/>
      <c r="E401" s="59"/>
      <c r="F401" s="1173"/>
      <c r="G401" s="1174"/>
      <c r="H401" s="59"/>
      <c r="I401" s="59"/>
      <c r="J401" s="1173"/>
      <c r="K401" s="59"/>
      <c r="L401" s="1173"/>
      <c r="M401" s="59"/>
      <c r="N401" s="59"/>
      <c r="O401" s="59"/>
      <c r="P401" s="59"/>
      <c r="Q401" s="59"/>
      <c r="R401" s="59"/>
      <c r="S401" s="59"/>
      <c r="T401" s="59"/>
      <c r="U401" s="59"/>
      <c r="V401" s="59"/>
      <c r="W401" s="59"/>
      <c r="X401" s="59"/>
      <c r="Y401" s="59"/>
      <c r="Z401" s="59"/>
      <c r="AA401" s="59"/>
      <c r="AB401" s="59"/>
      <c r="AC401" s="59"/>
    </row>
    <row r="402" spans="1:29" ht="12.75">
      <c r="A402" s="59"/>
      <c r="B402" s="59"/>
      <c r="C402" s="59"/>
      <c r="D402" s="1173"/>
      <c r="E402" s="59"/>
      <c r="F402" s="1173"/>
      <c r="G402" s="1174"/>
      <c r="H402" s="59"/>
      <c r="I402" s="59"/>
      <c r="J402" s="1173"/>
      <c r="K402" s="59"/>
      <c r="L402" s="1173"/>
      <c r="M402" s="59"/>
      <c r="N402" s="59"/>
      <c r="O402" s="59"/>
      <c r="P402" s="59"/>
      <c r="Q402" s="59"/>
      <c r="R402" s="59"/>
      <c r="S402" s="59"/>
      <c r="T402" s="59"/>
      <c r="U402" s="59"/>
      <c r="V402" s="59"/>
      <c r="W402" s="59"/>
      <c r="X402" s="59"/>
      <c r="Y402" s="59"/>
      <c r="Z402" s="59"/>
      <c r="AA402" s="59"/>
      <c r="AB402" s="59"/>
      <c r="AC402" s="59"/>
    </row>
    <row r="403" spans="1:29" ht="12.75">
      <c r="A403" s="59"/>
      <c r="B403" s="59"/>
      <c r="C403" s="59"/>
      <c r="D403" s="1173"/>
      <c r="E403" s="59"/>
      <c r="F403" s="1173"/>
      <c r="G403" s="1174"/>
      <c r="H403" s="59"/>
      <c r="I403" s="59"/>
      <c r="J403" s="1173"/>
      <c r="K403" s="59"/>
      <c r="L403" s="1173"/>
      <c r="M403" s="59"/>
      <c r="N403" s="59"/>
      <c r="O403" s="59"/>
      <c r="P403" s="59"/>
      <c r="Q403" s="59"/>
      <c r="R403" s="59"/>
      <c r="S403" s="59"/>
      <c r="T403" s="59"/>
      <c r="U403" s="59"/>
      <c r="V403" s="59"/>
      <c r="W403" s="59"/>
      <c r="X403" s="59"/>
      <c r="Y403" s="59"/>
      <c r="Z403" s="59"/>
      <c r="AA403" s="59"/>
      <c r="AB403" s="59"/>
      <c r="AC403" s="59"/>
    </row>
    <row r="404" spans="1:29" ht="12.75">
      <c r="A404" s="59"/>
      <c r="B404" s="59"/>
      <c r="C404" s="59"/>
      <c r="D404" s="1173"/>
      <c r="E404" s="59"/>
      <c r="F404" s="1173"/>
      <c r="G404" s="1174"/>
      <c r="H404" s="59"/>
      <c r="I404" s="59"/>
      <c r="J404" s="1173"/>
      <c r="K404" s="59"/>
      <c r="L404" s="1173"/>
      <c r="M404" s="59"/>
      <c r="N404" s="59"/>
      <c r="O404" s="59"/>
      <c r="P404" s="59"/>
      <c r="Q404" s="59"/>
      <c r="R404" s="59"/>
      <c r="S404" s="59"/>
      <c r="T404" s="59"/>
      <c r="U404" s="59"/>
      <c r="V404" s="59"/>
      <c r="W404" s="59"/>
      <c r="X404" s="59"/>
      <c r="Y404" s="59"/>
      <c r="Z404" s="59"/>
      <c r="AA404" s="59"/>
      <c r="AB404" s="59"/>
      <c r="AC404" s="59"/>
    </row>
    <row r="405" spans="1:29" ht="12.75">
      <c r="A405" s="59"/>
      <c r="B405" s="59"/>
      <c r="C405" s="59"/>
      <c r="D405" s="1173"/>
      <c r="E405" s="59"/>
      <c r="F405" s="1173"/>
      <c r="G405" s="1174"/>
      <c r="H405" s="59"/>
      <c r="I405" s="59"/>
      <c r="J405" s="1173"/>
      <c r="K405" s="59"/>
      <c r="L405" s="1173"/>
      <c r="M405" s="59"/>
      <c r="N405" s="59"/>
      <c r="O405" s="59"/>
      <c r="P405" s="59"/>
      <c r="Q405" s="59"/>
      <c r="R405" s="59"/>
      <c r="S405" s="59"/>
      <c r="T405" s="59"/>
      <c r="U405" s="59"/>
      <c r="V405" s="59"/>
      <c r="W405" s="59"/>
      <c r="X405" s="59"/>
      <c r="Y405" s="59"/>
      <c r="Z405" s="59"/>
      <c r="AA405" s="59"/>
      <c r="AB405" s="59"/>
      <c r="AC405" s="59"/>
    </row>
    <row r="406" spans="1:29" ht="12.75">
      <c r="A406" s="59"/>
      <c r="B406" s="59"/>
      <c r="C406" s="59"/>
      <c r="D406" s="1173"/>
      <c r="E406" s="59"/>
      <c r="F406" s="1173"/>
      <c r="G406" s="1174"/>
      <c r="H406" s="59"/>
      <c r="I406" s="59"/>
      <c r="J406" s="1173"/>
      <c r="K406" s="59"/>
      <c r="L406" s="1173"/>
      <c r="M406" s="59"/>
      <c r="N406" s="59"/>
      <c r="O406" s="59"/>
      <c r="P406" s="59"/>
      <c r="Q406" s="59"/>
      <c r="R406" s="59"/>
      <c r="S406" s="59"/>
      <c r="T406" s="59"/>
      <c r="U406" s="59"/>
      <c r="V406" s="59"/>
      <c r="W406" s="59"/>
      <c r="X406" s="59"/>
      <c r="Y406" s="59"/>
      <c r="Z406" s="59"/>
      <c r="AA406" s="59"/>
      <c r="AB406" s="59"/>
      <c r="AC406" s="59"/>
    </row>
    <row r="407" spans="1:29" ht="12.75">
      <c r="A407" s="59"/>
      <c r="B407" s="59"/>
      <c r="C407" s="59"/>
      <c r="D407" s="1173"/>
      <c r="E407" s="59"/>
      <c r="F407" s="1173"/>
      <c r="G407" s="1174"/>
      <c r="H407" s="59"/>
      <c r="I407" s="59"/>
      <c r="J407" s="1173"/>
      <c r="K407" s="59"/>
      <c r="L407" s="1173"/>
      <c r="M407" s="59"/>
      <c r="N407" s="59"/>
      <c r="O407" s="59"/>
      <c r="P407" s="59"/>
      <c r="Q407" s="59"/>
      <c r="R407" s="59"/>
      <c r="S407" s="59"/>
      <c r="T407" s="59"/>
      <c r="U407" s="59"/>
      <c r="V407" s="59"/>
      <c r="W407" s="59"/>
      <c r="X407" s="59"/>
      <c r="Y407" s="59"/>
      <c r="Z407" s="59"/>
      <c r="AA407" s="59"/>
      <c r="AB407" s="59"/>
      <c r="AC407" s="59"/>
    </row>
    <row r="408" spans="1:29" ht="12.75">
      <c r="A408" s="59"/>
      <c r="B408" s="59"/>
      <c r="C408" s="59"/>
      <c r="D408" s="1173"/>
      <c r="E408" s="59"/>
      <c r="F408" s="1173"/>
      <c r="G408" s="1174"/>
      <c r="H408" s="59"/>
      <c r="I408" s="59"/>
      <c r="J408" s="1173"/>
      <c r="K408" s="59"/>
      <c r="L408" s="1173"/>
      <c r="M408" s="59"/>
      <c r="N408" s="59"/>
      <c r="O408" s="59"/>
      <c r="P408" s="59"/>
      <c r="Q408" s="59"/>
      <c r="R408" s="59"/>
      <c r="S408" s="59"/>
      <c r="T408" s="59"/>
      <c r="U408" s="59"/>
      <c r="V408" s="59"/>
      <c r="W408" s="59"/>
      <c r="X408" s="59"/>
      <c r="Y408" s="59"/>
      <c r="Z408" s="59"/>
      <c r="AA408" s="59"/>
      <c r="AB408" s="59"/>
      <c r="AC408" s="59"/>
    </row>
    <row r="409" spans="1:29" ht="12.75">
      <c r="A409" s="59"/>
      <c r="B409" s="59"/>
      <c r="C409" s="59"/>
      <c r="D409" s="1173"/>
      <c r="E409" s="59"/>
      <c r="F409" s="1173"/>
      <c r="G409" s="1174"/>
      <c r="H409" s="59"/>
      <c r="I409" s="59"/>
      <c r="J409" s="1173"/>
      <c r="K409" s="59"/>
      <c r="L409" s="1173"/>
      <c r="M409" s="59"/>
      <c r="N409" s="59"/>
      <c r="O409" s="59"/>
      <c r="P409" s="59"/>
      <c r="Q409" s="59"/>
      <c r="R409" s="59"/>
      <c r="S409" s="59"/>
      <c r="T409" s="59"/>
      <c r="U409" s="59"/>
      <c r="V409" s="59"/>
      <c r="W409" s="59"/>
      <c r="X409" s="59"/>
      <c r="Y409" s="59"/>
      <c r="Z409" s="59"/>
      <c r="AA409" s="59"/>
      <c r="AB409" s="59"/>
      <c r="AC409" s="59"/>
    </row>
    <row r="410" spans="1:29" ht="12.75">
      <c r="A410" s="59"/>
      <c r="B410" s="59"/>
      <c r="C410" s="59"/>
      <c r="D410" s="1173"/>
      <c r="E410" s="59"/>
      <c r="F410" s="1173"/>
      <c r="G410" s="1174"/>
      <c r="H410" s="59"/>
      <c r="I410" s="59"/>
      <c r="J410" s="1173"/>
      <c r="K410" s="59"/>
      <c r="L410" s="1173"/>
      <c r="M410" s="59"/>
      <c r="N410" s="59"/>
      <c r="O410" s="59"/>
      <c r="P410" s="59"/>
      <c r="Q410" s="59"/>
      <c r="R410" s="59"/>
      <c r="S410" s="59"/>
      <c r="T410" s="59"/>
      <c r="U410" s="59"/>
      <c r="V410" s="59"/>
      <c r="W410" s="59"/>
      <c r="X410" s="59"/>
      <c r="Y410" s="59"/>
      <c r="Z410" s="59"/>
      <c r="AA410" s="59"/>
      <c r="AB410" s="59"/>
      <c r="AC410" s="59"/>
    </row>
    <row r="411" spans="1:29" ht="12.75">
      <c r="A411" s="59"/>
      <c r="B411" s="59"/>
      <c r="C411" s="59"/>
      <c r="D411" s="1173"/>
      <c r="E411" s="59"/>
      <c r="F411" s="1173"/>
      <c r="G411" s="1174"/>
      <c r="H411" s="59"/>
      <c r="I411" s="59"/>
      <c r="J411" s="1173"/>
      <c r="K411" s="59"/>
      <c r="L411" s="1173"/>
      <c r="M411" s="59"/>
      <c r="N411" s="59"/>
      <c r="O411" s="59"/>
      <c r="P411" s="59"/>
      <c r="Q411" s="59"/>
      <c r="R411" s="59"/>
      <c r="S411" s="59"/>
      <c r="T411" s="59"/>
      <c r="U411" s="59"/>
      <c r="V411" s="59"/>
      <c r="W411" s="59"/>
      <c r="X411" s="59"/>
      <c r="Y411" s="59"/>
      <c r="Z411" s="59"/>
      <c r="AA411" s="59"/>
      <c r="AB411" s="59"/>
      <c r="AC411" s="59"/>
    </row>
    <row r="412" spans="1:29" ht="12.75">
      <c r="A412" s="59"/>
      <c r="B412" s="59"/>
      <c r="C412" s="59"/>
      <c r="D412" s="1173"/>
      <c r="E412" s="59"/>
      <c r="F412" s="1173"/>
      <c r="G412" s="1174"/>
      <c r="H412" s="59"/>
      <c r="I412" s="59"/>
      <c r="J412" s="1173"/>
      <c r="K412" s="59"/>
      <c r="L412" s="1173"/>
      <c r="M412" s="59"/>
      <c r="N412" s="59"/>
      <c r="O412" s="59"/>
      <c r="P412" s="59"/>
      <c r="Q412" s="59"/>
      <c r="R412" s="59"/>
      <c r="S412" s="59"/>
      <c r="T412" s="59"/>
      <c r="U412" s="59"/>
      <c r="V412" s="59"/>
      <c r="W412" s="59"/>
      <c r="X412" s="59"/>
      <c r="Y412" s="59"/>
      <c r="Z412" s="59"/>
      <c r="AA412" s="59"/>
      <c r="AB412" s="59"/>
      <c r="AC412" s="59"/>
    </row>
    <row r="413" spans="1:29" ht="12.75">
      <c r="A413" s="59"/>
      <c r="B413" s="59"/>
      <c r="C413" s="59"/>
      <c r="D413" s="1173"/>
      <c r="E413" s="59"/>
      <c r="F413" s="1173"/>
      <c r="G413" s="1174"/>
      <c r="H413" s="59"/>
      <c r="I413" s="59"/>
      <c r="J413" s="1173"/>
      <c r="K413" s="59"/>
      <c r="L413" s="1173"/>
      <c r="M413" s="59"/>
      <c r="N413" s="59"/>
      <c r="O413" s="59"/>
      <c r="P413" s="59"/>
      <c r="Q413" s="59"/>
      <c r="R413" s="59"/>
      <c r="S413" s="59"/>
      <c r="T413" s="59"/>
      <c r="U413" s="59"/>
      <c r="V413" s="59"/>
      <c r="W413" s="59"/>
      <c r="X413" s="59"/>
      <c r="Y413" s="59"/>
      <c r="Z413" s="59"/>
      <c r="AA413" s="59"/>
      <c r="AB413" s="59"/>
      <c r="AC413" s="59"/>
    </row>
    <row r="414" spans="1:29" ht="12.75">
      <c r="A414" s="59"/>
      <c r="B414" s="59"/>
      <c r="C414" s="59"/>
      <c r="D414" s="1173"/>
      <c r="E414" s="59"/>
      <c r="F414" s="1173"/>
      <c r="G414" s="1174"/>
      <c r="H414" s="59"/>
      <c r="I414" s="59"/>
      <c r="J414" s="1173"/>
      <c r="K414" s="59"/>
      <c r="L414" s="1173"/>
      <c r="M414" s="59"/>
      <c r="N414" s="59"/>
      <c r="O414" s="59"/>
      <c r="P414" s="59"/>
      <c r="Q414" s="59"/>
      <c r="R414" s="59"/>
      <c r="S414" s="59"/>
      <c r="T414" s="59"/>
      <c r="U414" s="59"/>
      <c r="V414" s="59"/>
      <c r="W414" s="59"/>
      <c r="X414" s="59"/>
      <c r="Y414" s="59"/>
      <c r="Z414" s="59"/>
      <c r="AA414" s="59"/>
      <c r="AB414" s="59"/>
      <c r="AC414" s="59"/>
    </row>
    <row r="415" spans="1:29" ht="12.75">
      <c r="A415" s="59"/>
      <c r="B415" s="59"/>
      <c r="C415" s="59"/>
      <c r="D415" s="1173"/>
      <c r="E415" s="59"/>
      <c r="F415" s="1173"/>
      <c r="G415" s="1174"/>
      <c r="H415" s="59"/>
      <c r="I415" s="59"/>
      <c r="J415" s="1173"/>
      <c r="K415" s="59"/>
      <c r="L415" s="1173"/>
      <c r="M415" s="59"/>
      <c r="N415" s="59"/>
      <c r="O415" s="59"/>
      <c r="P415" s="59"/>
      <c r="Q415" s="59"/>
      <c r="R415" s="59"/>
      <c r="S415" s="59"/>
      <c r="T415" s="59"/>
      <c r="U415" s="59"/>
      <c r="V415" s="59"/>
      <c r="W415" s="59"/>
      <c r="X415" s="59"/>
      <c r="Y415" s="59"/>
      <c r="Z415" s="59"/>
      <c r="AA415" s="59"/>
      <c r="AB415" s="59"/>
      <c r="AC415" s="59"/>
    </row>
    <row r="416" spans="1:29" ht="12.75">
      <c r="A416" s="59"/>
      <c r="B416" s="59"/>
      <c r="C416" s="59"/>
      <c r="D416" s="1173"/>
      <c r="E416" s="59"/>
      <c r="F416" s="1173"/>
      <c r="G416" s="1174"/>
      <c r="H416" s="59"/>
      <c r="I416" s="59"/>
      <c r="J416" s="1173"/>
      <c r="K416" s="59"/>
      <c r="L416" s="1173"/>
      <c r="M416" s="59"/>
      <c r="N416" s="59"/>
      <c r="O416" s="59"/>
      <c r="P416" s="59"/>
      <c r="Q416" s="59"/>
      <c r="R416" s="59"/>
      <c r="S416" s="59"/>
      <c r="T416" s="59"/>
      <c r="U416" s="59"/>
      <c r="V416" s="59"/>
      <c r="W416" s="59"/>
      <c r="X416" s="59"/>
      <c r="Y416" s="59"/>
      <c r="Z416" s="59"/>
      <c r="AA416" s="59"/>
      <c r="AB416" s="59"/>
      <c r="AC416" s="59"/>
    </row>
    <row r="417" spans="1:29" ht="12.75">
      <c r="A417" s="59"/>
      <c r="B417" s="59"/>
      <c r="C417" s="59"/>
      <c r="D417" s="1173"/>
      <c r="E417" s="59"/>
      <c r="F417" s="1173"/>
      <c r="G417" s="1174"/>
      <c r="H417" s="59"/>
      <c r="I417" s="59"/>
      <c r="J417" s="1173"/>
      <c r="K417" s="59"/>
      <c r="L417" s="1173"/>
      <c r="M417" s="59"/>
      <c r="N417" s="59"/>
      <c r="O417" s="59"/>
      <c r="P417" s="59"/>
      <c r="Q417" s="59"/>
      <c r="R417" s="59"/>
      <c r="S417" s="59"/>
      <c r="T417" s="59"/>
      <c r="U417" s="59"/>
      <c r="V417" s="59"/>
      <c r="W417" s="59"/>
      <c r="X417" s="59"/>
      <c r="Y417" s="59"/>
      <c r="Z417" s="59"/>
      <c r="AA417" s="59"/>
      <c r="AB417" s="59"/>
      <c r="AC417" s="59"/>
    </row>
    <row r="418" spans="1:29" ht="12.75">
      <c r="A418" s="59"/>
      <c r="B418" s="59"/>
      <c r="C418" s="59"/>
      <c r="D418" s="1173"/>
      <c r="E418" s="59"/>
      <c r="F418" s="1173"/>
      <c r="G418" s="1174"/>
      <c r="H418" s="59"/>
      <c r="I418" s="59"/>
      <c r="J418" s="1173"/>
      <c r="K418" s="59"/>
      <c r="L418" s="1173"/>
      <c r="M418" s="59"/>
      <c r="N418" s="59"/>
      <c r="O418" s="59"/>
      <c r="P418" s="59"/>
      <c r="Q418" s="59"/>
      <c r="R418" s="59"/>
      <c r="S418" s="59"/>
      <c r="T418" s="59"/>
      <c r="U418" s="59"/>
      <c r="V418" s="59"/>
      <c r="W418" s="59"/>
      <c r="X418" s="59"/>
      <c r="Y418" s="59"/>
      <c r="Z418" s="59"/>
      <c r="AA418" s="59"/>
      <c r="AB418" s="59"/>
      <c r="AC418" s="59"/>
    </row>
    <row r="419" spans="1:29" ht="12.75">
      <c r="A419" s="59"/>
      <c r="B419" s="59"/>
      <c r="C419" s="59"/>
      <c r="D419" s="1173"/>
      <c r="E419" s="59"/>
      <c r="F419" s="1173"/>
      <c r="G419" s="1174"/>
      <c r="H419" s="59"/>
      <c r="I419" s="59"/>
      <c r="J419" s="1173"/>
      <c r="K419" s="59"/>
      <c r="L419" s="1173"/>
      <c r="M419" s="59"/>
      <c r="N419" s="59"/>
      <c r="O419" s="59"/>
      <c r="P419" s="59"/>
      <c r="Q419" s="59"/>
      <c r="R419" s="59"/>
      <c r="S419" s="59"/>
      <c r="T419" s="59"/>
      <c r="U419" s="59"/>
      <c r="V419" s="59"/>
      <c r="W419" s="59"/>
      <c r="X419" s="59"/>
      <c r="Y419" s="59"/>
      <c r="Z419" s="59"/>
      <c r="AA419" s="59"/>
      <c r="AB419" s="59"/>
      <c r="AC419" s="59"/>
    </row>
    <row r="420" spans="1:29" ht="12.75">
      <c r="A420" s="59"/>
      <c r="B420" s="59"/>
      <c r="C420" s="59"/>
      <c r="D420" s="1173"/>
      <c r="E420" s="59"/>
      <c r="F420" s="1173"/>
      <c r="G420" s="1174"/>
      <c r="H420" s="59"/>
      <c r="I420" s="59"/>
      <c r="J420" s="1173"/>
      <c r="K420" s="59"/>
      <c r="L420" s="1173"/>
      <c r="M420" s="59"/>
      <c r="N420" s="59"/>
      <c r="O420" s="59"/>
      <c r="P420" s="59"/>
      <c r="Q420" s="59"/>
      <c r="R420" s="59"/>
      <c r="S420" s="59"/>
      <c r="T420" s="59"/>
      <c r="U420" s="59"/>
      <c r="V420" s="59"/>
      <c r="W420" s="59"/>
      <c r="X420" s="59"/>
      <c r="Y420" s="59"/>
      <c r="Z420" s="59"/>
      <c r="AA420" s="59"/>
      <c r="AB420" s="59"/>
      <c r="AC420" s="59"/>
    </row>
    <row r="421" spans="1:29" ht="12.75">
      <c r="A421" s="59"/>
      <c r="B421" s="59"/>
      <c r="C421" s="59"/>
      <c r="D421" s="1173"/>
      <c r="E421" s="59"/>
      <c r="F421" s="1173"/>
      <c r="G421" s="1174"/>
      <c r="H421" s="59"/>
      <c r="I421" s="59"/>
      <c r="J421" s="1173"/>
      <c r="K421" s="59"/>
      <c r="L421" s="1173"/>
      <c r="M421" s="59"/>
      <c r="N421" s="59"/>
      <c r="O421" s="59"/>
      <c r="P421" s="59"/>
      <c r="Q421" s="59"/>
      <c r="R421" s="59"/>
      <c r="S421" s="59"/>
      <c r="T421" s="59"/>
      <c r="U421" s="59"/>
      <c r="V421" s="59"/>
      <c r="W421" s="59"/>
      <c r="X421" s="59"/>
      <c r="Y421" s="59"/>
      <c r="Z421" s="59"/>
      <c r="AA421" s="59"/>
      <c r="AB421" s="59"/>
      <c r="AC421" s="59"/>
    </row>
    <row r="422" spans="1:29" ht="12.75">
      <c r="A422" s="59"/>
      <c r="B422" s="59"/>
      <c r="C422" s="59"/>
      <c r="D422" s="1173"/>
      <c r="E422" s="59"/>
      <c r="F422" s="1173"/>
      <c r="G422" s="1174"/>
      <c r="H422" s="59"/>
      <c r="I422" s="59"/>
      <c r="J422" s="1173"/>
      <c r="K422" s="59"/>
      <c r="L422" s="1173"/>
      <c r="M422" s="59"/>
      <c r="N422" s="59"/>
      <c r="O422" s="59"/>
      <c r="P422" s="59"/>
      <c r="Q422" s="59"/>
      <c r="R422" s="59"/>
      <c r="S422" s="59"/>
      <c r="T422" s="59"/>
      <c r="U422" s="59"/>
      <c r="V422" s="59"/>
      <c r="W422" s="59"/>
      <c r="X422" s="59"/>
      <c r="Y422" s="59"/>
      <c r="Z422" s="59"/>
      <c r="AA422" s="59"/>
      <c r="AB422" s="59"/>
      <c r="AC422" s="59"/>
    </row>
    <row r="423" spans="1:29" ht="12.75">
      <c r="A423" s="59"/>
      <c r="B423" s="59"/>
      <c r="C423" s="59"/>
      <c r="D423" s="1173"/>
      <c r="E423" s="59"/>
      <c r="F423" s="1173"/>
      <c r="G423" s="1174"/>
      <c r="H423" s="59"/>
      <c r="I423" s="59"/>
      <c r="J423" s="1173"/>
      <c r="K423" s="59"/>
      <c r="L423" s="1173"/>
      <c r="M423" s="59"/>
      <c r="N423" s="59"/>
      <c r="O423" s="59"/>
      <c r="P423" s="59"/>
      <c r="Q423" s="59"/>
      <c r="R423" s="59"/>
      <c r="S423" s="59"/>
      <c r="T423" s="59"/>
      <c r="U423" s="59"/>
      <c r="V423" s="59"/>
      <c r="W423" s="59"/>
      <c r="X423" s="59"/>
      <c r="Y423" s="59"/>
      <c r="Z423" s="59"/>
      <c r="AA423" s="59"/>
      <c r="AB423" s="59"/>
      <c r="AC423" s="59"/>
    </row>
    <row r="424" spans="1:29" ht="12.75">
      <c r="A424" s="59"/>
      <c r="B424" s="59"/>
      <c r="C424" s="59"/>
      <c r="D424" s="1173"/>
      <c r="E424" s="59"/>
      <c r="F424" s="1173"/>
      <c r="G424" s="1174"/>
      <c r="H424" s="59"/>
      <c r="I424" s="59"/>
      <c r="J424" s="1173"/>
      <c r="K424" s="59"/>
      <c r="L424" s="1173"/>
      <c r="M424" s="59"/>
      <c r="N424" s="59"/>
      <c r="O424" s="59"/>
      <c r="P424" s="59"/>
      <c r="Q424" s="59"/>
      <c r="R424" s="59"/>
      <c r="S424" s="59"/>
      <c r="T424" s="59"/>
      <c r="U424" s="59"/>
      <c r="V424" s="59"/>
      <c r="W424" s="59"/>
      <c r="X424" s="59"/>
      <c r="Y424" s="59"/>
      <c r="Z424" s="59"/>
      <c r="AA424" s="59"/>
      <c r="AB424" s="59"/>
      <c r="AC424" s="59"/>
    </row>
    <row r="425" spans="1:29" ht="12.75">
      <c r="A425" s="59"/>
      <c r="B425" s="59"/>
      <c r="C425" s="59"/>
      <c r="D425" s="1173"/>
      <c r="E425" s="59"/>
      <c r="F425" s="1173"/>
      <c r="G425" s="1174"/>
      <c r="H425" s="59"/>
      <c r="I425" s="59"/>
      <c r="J425" s="1173"/>
      <c r="K425" s="59"/>
      <c r="L425" s="1173"/>
      <c r="M425" s="59"/>
      <c r="N425" s="59"/>
      <c r="O425" s="59"/>
      <c r="P425" s="59"/>
      <c r="Q425" s="59"/>
      <c r="R425" s="59"/>
      <c r="S425" s="59"/>
      <c r="T425" s="59"/>
      <c r="U425" s="59"/>
      <c r="V425" s="59"/>
      <c r="W425" s="59"/>
      <c r="X425" s="59"/>
      <c r="Y425" s="59"/>
      <c r="Z425" s="59"/>
      <c r="AA425" s="59"/>
      <c r="AB425" s="59"/>
      <c r="AC425" s="59"/>
    </row>
    <row r="426" spans="1:29" ht="12.75">
      <c r="A426" s="59"/>
      <c r="B426" s="59"/>
      <c r="C426" s="59"/>
      <c r="D426" s="1173"/>
      <c r="E426" s="59"/>
      <c r="F426" s="1173"/>
      <c r="G426" s="1174"/>
      <c r="H426" s="59"/>
      <c r="I426" s="59"/>
      <c r="J426" s="1173"/>
      <c r="K426" s="59"/>
      <c r="L426" s="1173"/>
      <c r="M426" s="59"/>
      <c r="N426" s="59"/>
      <c r="O426" s="59"/>
      <c r="P426" s="59"/>
      <c r="Q426" s="59"/>
      <c r="R426" s="59"/>
      <c r="S426" s="59"/>
      <c r="T426" s="59"/>
      <c r="U426" s="59"/>
      <c r="V426" s="59"/>
      <c r="W426" s="59"/>
      <c r="X426" s="59"/>
      <c r="Y426" s="59"/>
      <c r="Z426" s="59"/>
      <c r="AA426" s="59"/>
      <c r="AB426" s="59"/>
      <c r="AC426" s="59"/>
    </row>
    <row r="427" spans="1:29" ht="12.75">
      <c r="A427" s="59"/>
      <c r="B427" s="59"/>
      <c r="C427" s="59"/>
      <c r="D427" s="1173"/>
      <c r="E427" s="59"/>
      <c r="F427" s="1173"/>
      <c r="G427" s="1174"/>
      <c r="H427" s="59"/>
      <c r="I427" s="59"/>
      <c r="J427" s="1173"/>
      <c r="K427" s="59"/>
      <c r="L427" s="1173"/>
      <c r="M427" s="59"/>
      <c r="N427" s="59"/>
      <c r="O427" s="59"/>
      <c r="P427" s="59"/>
      <c r="Q427" s="59"/>
      <c r="R427" s="59"/>
      <c r="S427" s="59"/>
      <c r="T427" s="59"/>
      <c r="U427" s="59"/>
      <c r="V427" s="59"/>
      <c r="W427" s="59"/>
      <c r="X427" s="59"/>
      <c r="Y427" s="59"/>
      <c r="Z427" s="59"/>
      <c r="AA427" s="59"/>
      <c r="AB427" s="59"/>
      <c r="AC427" s="59"/>
    </row>
    <row r="428" spans="1:29" ht="12.75">
      <c r="A428" s="59"/>
      <c r="B428" s="59"/>
      <c r="C428" s="59"/>
      <c r="D428" s="1173"/>
      <c r="E428" s="59"/>
      <c r="F428" s="1173"/>
      <c r="G428" s="1174"/>
      <c r="H428" s="59"/>
      <c r="I428" s="59"/>
      <c r="J428" s="1173"/>
      <c r="K428" s="59"/>
      <c r="L428" s="1173"/>
      <c r="M428" s="59"/>
      <c r="N428" s="59"/>
      <c r="O428" s="59"/>
      <c r="P428" s="59"/>
      <c r="Q428" s="59"/>
      <c r="R428" s="59"/>
      <c r="S428" s="59"/>
      <c r="T428" s="59"/>
      <c r="U428" s="59"/>
      <c r="V428" s="59"/>
      <c r="W428" s="59"/>
      <c r="X428" s="59"/>
      <c r="Y428" s="59"/>
      <c r="Z428" s="59"/>
      <c r="AA428" s="59"/>
      <c r="AB428" s="59"/>
      <c r="AC428" s="59"/>
    </row>
    <row r="429" spans="1:29" ht="12.75">
      <c r="A429" s="59"/>
      <c r="B429" s="59"/>
      <c r="C429" s="59"/>
      <c r="D429" s="1173"/>
      <c r="E429" s="59"/>
      <c r="F429" s="1173"/>
      <c r="G429" s="1174"/>
      <c r="H429" s="59"/>
      <c r="I429" s="59"/>
      <c r="J429" s="1173"/>
      <c r="K429" s="59"/>
      <c r="L429" s="1173"/>
      <c r="M429" s="59"/>
      <c r="N429" s="59"/>
      <c r="O429" s="59"/>
      <c r="P429" s="59"/>
      <c r="Q429" s="59"/>
      <c r="R429" s="59"/>
      <c r="S429" s="59"/>
      <c r="T429" s="59"/>
      <c r="U429" s="59"/>
      <c r="V429" s="59"/>
      <c r="W429" s="59"/>
      <c r="X429" s="59"/>
      <c r="Y429" s="59"/>
      <c r="Z429" s="59"/>
      <c r="AA429" s="59"/>
      <c r="AB429" s="59"/>
      <c r="AC429" s="59"/>
    </row>
    <row r="430" spans="1:29" ht="12.75">
      <c r="A430" s="59"/>
      <c r="B430" s="59"/>
      <c r="C430" s="59"/>
      <c r="D430" s="1173"/>
      <c r="E430" s="59"/>
      <c r="F430" s="1173"/>
      <c r="G430" s="1174"/>
      <c r="H430" s="59"/>
      <c r="I430" s="59"/>
      <c r="J430" s="1173"/>
      <c r="K430" s="59"/>
      <c r="L430" s="1173"/>
      <c r="M430" s="59"/>
      <c r="N430" s="59"/>
      <c r="O430" s="59"/>
      <c r="P430" s="59"/>
      <c r="Q430" s="59"/>
      <c r="R430" s="59"/>
      <c r="S430" s="59"/>
      <c r="T430" s="59"/>
      <c r="U430" s="59"/>
      <c r="V430" s="59"/>
      <c r="W430" s="59"/>
      <c r="X430" s="59"/>
      <c r="Y430" s="59"/>
      <c r="Z430" s="59"/>
      <c r="AA430" s="59"/>
      <c r="AB430" s="59"/>
      <c r="AC430" s="59"/>
    </row>
    <row r="431" spans="1:29" ht="12.75">
      <c r="A431" s="59"/>
      <c r="B431" s="59"/>
      <c r="C431" s="59"/>
      <c r="D431" s="1173"/>
      <c r="E431" s="59"/>
      <c r="F431" s="1173"/>
      <c r="G431" s="1174"/>
      <c r="H431" s="59"/>
      <c r="I431" s="59"/>
      <c r="J431" s="1173"/>
      <c r="K431" s="59"/>
      <c r="L431" s="1173"/>
      <c r="M431" s="59"/>
      <c r="N431" s="59"/>
      <c r="O431" s="59"/>
      <c r="P431" s="59"/>
      <c r="Q431" s="59"/>
      <c r="R431" s="59"/>
      <c r="S431" s="59"/>
      <c r="T431" s="59"/>
      <c r="U431" s="59"/>
      <c r="V431" s="59"/>
      <c r="W431" s="59"/>
      <c r="X431" s="59"/>
      <c r="Y431" s="59"/>
      <c r="Z431" s="59"/>
      <c r="AA431" s="59"/>
      <c r="AB431" s="59"/>
      <c r="AC431" s="59"/>
    </row>
    <row r="432" spans="1:29" ht="12.75">
      <c r="A432" s="59"/>
      <c r="B432" s="59"/>
      <c r="C432" s="59"/>
      <c r="D432" s="1173"/>
      <c r="E432" s="59"/>
      <c r="F432" s="1173"/>
      <c r="G432" s="1174"/>
      <c r="H432" s="59"/>
      <c r="I432" s="59"/>
      <c r="J432" s="1173"/>
      <c r="K432" s="59"/>
      <c r="L432" s="1173"/>
      <c r="M432" s="59"/>
      <c r="N432" s="59"/>
      <c r="O432" s="59"/>
      <c r="P432" s="59"/>
      <c r="Q432" s="59"/>
      <c r="R432" s="59"/>
      <c r="S432" s="59"/>
      <c r="T432" s="59"/>
      <c r="U432" s="59"/>
      <c r="V432" s="59"/>
      <c r="W432" s="59"/>
      <c r="X432" s="59"/>
      <c r="Y432" s="59"/>
      <c r="Z432" s="59"/>
      <c r="AA432" s="59"/>
      <c r="AB432" s="59"/>
      <c r="AC432" s="59"/>
    </row>
    <row r="433" spans="1:29" ht="12.75">
      <c r="A433" s="59"/>
      <c r="B433" s="59"/>
      <c r="C433" s="59"/>
      <c r="D433" s="1173"/>
      <c r="E433" s="59"/>
      <c r="F433" s="1173"/>
      <c r="G433" s="1174"/>
      <c r="H433" s="59"/>
      <c r="I433" s="59"/>
      <c r="J433" s="1173"/>
      <c r="K433" s="59"/>
      <c r="L433" s="1173"/>
      <c r="M433" s="59"/>
      <c r="N433" s="59"/>
      <c r="O433" s="59"/>
      <c r="P433" s="59"/>
      <c r="Q433" s="59"/>
      <c r="R433" s="59"/>
      <c r="S433" s="59"/>
      <c r="T433" s="59"/>
      <c r="U433" s="59"/>
      <c r="V433" s="59"/>
      <c r="W433" s="59"/>
      <c r="X433" s="59"/>
      <c r="Y433" s="59"/>
      <c r="Z433" s="59"/>
      <c r="AA433" s="59"/>
      <c r="AB433" s="59"/>
      <c r="AC433" s="59"/>
    </row>
    <row r="434" spans="1:29" ht="12.75">
      <c r="A434" s="59"/>
      <c r="B434" s="59"/>
      <c r="C434" s="59"/>
      <c r="D434" s="1173"/>
      <c r="E434" s="59"/>
      <c r="F434" s="1173"/>
      <c r="G434" s="1174"/>
      <c r="H434" s="59"/>
      <c r="I434" s="59"/>
      <c r="J434" s="1173"/>
      <c r="K434" s="59"/>
      <c r="L434" s="1173"/>
      <c r="M434" s="59"/>
      <c r="N434" s="59"/>
      <c r="O434" s="59"/>
      <c r="P434" s="59"/>
      <c r="Q434" s="59"/>
      <c r="R434" s="59"/>
      <c r="S434" s="59"/>
      <c r="T434" s="59"/>
      <c r="U434" s="59"/>
      <c r="V434" s="59"/>
      <c r="W434" s="59"/>
      <c r="X434" s="59"/>
      <c r="Y434" s="59"/>
      <c r="Z434" s="59"/>
      <c r="AA434" s="59"/>
      <c r="AB434" s="59"/>
      <c r="AC434" s="59"/>
    </row>
    <row r="435" spans="1:29" ht="12.75">
      <c r="A435" s="59"/>
      <c r="B435" s="59"/>
      <c r="C435" s="59"/>
      <c r="D435" s="1173"/>
      <c r="E435" s="59"/>
      <c r="F435" s="1173"/>
      <c r="G435" s="1174"/>
      <c r="H435" s="59"/>
      <c r="I435" s="59"/>
      <c r="J435" s="1173"/>
      <c r="K435" s="59"/>
      <c r="L435" s="1173"/>
      <c r="M435" s="59"/>
      <c r="N435" s="59"/>
      <c r="O435" s="59"/>
      <c r="P435" s="59"/>
      <c r="Q435" s="59"/>
      <c r="R435" s="59"/>
      <c r="S435" s="59"/>
      <c r="T435" s="59"/>
      <c r="U435" s="59"/>
      <c r="V435" s="59"/>
      <c r="W435" s="59"/>
      <c r="X435" s="59"/>
      <c r="Y435" s="59"/>
      <c r="Z435" s="59"/>
      <c r="AA435" s="59"/>
      <c r="AB435" s="59"/>
      <c r="AC435" s="59"/>
    </row>
    <row r="436" spans="1:29" ht="12.75">
      <c r="A436" s="59"/>
      <c r="B436" s="59"/>
      <c r="C436" s="59"/>
      <c r="D436" s="1173"/>
      <c r="E436" s="59"/>
      <c r="F436" s="1173"/>
      <c r="G436" s="1174"/>
      <c r="H436" s="59"/>
      <c r="I436" s="59"/>
      <c r="J436" s="1173"/>
      <c r="K436" s="59"/>
      <c r="L436" s="1173"/>
      <c r="M436" s="59"/>
      <c r="N436" s="59"/>
      <c r="O436" s="59"/>
      <c r="P436" s="59"/>
      <c r="Q436" s="59"/>
      <c r="R436" s="59"/>
      <c r="S436" s="59"/>
      <c r="T436" s="59"/>
      <c r="U436" s="59"/>
      <c r="V436" s="59"/>
      <c r="W436" s="59"/>
      <c r="X436" s="59"/>
      <c r="Y436" s="59"/>
      <c r="Z436" s="59"/>
      <c r="AA436" s="59"/>
      <c r="AB436" s="59"/>
      <c r="AC436" s="59"/>
    </row>
    <row r="437" spans="1:29" ht="12.75">
      <c r="A437" s="59"/>
      <c r="B437" s="59"/>
      <c r="C437" s="59"/>
      <c r="D437" s="1173"/>
      <c r="E437" s="59"/>
      <c r="F437" s="1173"/>
      <c r="G437" s="1174"/>
      <c r="H437" s="59"/>
      <c r="I437" s="59"/>
      <c r="J437" s="1173"/>
      <c r="K437" s="59"/>
      <c r="L437" s="1173"/>
      <c r="M437" s="59"/>
      <c r="N437" s="59"/>
      <c r="O437" s="59"/>
      <c r="P437" s="59"/>
      <c r="Q437" s="59"/>
      <c r="R437" s="59"/>
      <c r="S437" s="59"/>
      <c r="T437" s="59"/>
      <c r="U437" s="59"/>
      <c r="V437" s="59"/>
      <c r="W437" s="59"/>
      <c r="X437" s="59"/>
      <c r="Y437" s="59"/>
      <c r="Z437" s="59"/>
      <c r="AA437" s="59"/>
      <c r="AB437" s="59"/>
      <c r="AC437" s="59"/>
    </row>
    <row r="438" spans="1:29" ht="12.75">
      <c r="A438" s="59"/>
      <c r="B438" s="59"/>
      <c r="C438" s="59"/>
      <c r="D438" s="1173"/>
      <c r="E438" s="59"/>
      <c r="F438" s="1173"/>
      <c r="G438" s="1174"/>
      <c r="H438" s="59"/>
      <c r="I438" s="59"/>
      <c r="J438" s="1173"/>
      <c r="K438" s="59"/>
      <c r="L438" s="1173"/>
      <c r="M438" s="59"/>
      <c r="N438" s="59"/>
      <c r="O438" s="59"/>
      <c r="P438" s="59"/>
      <c r="Q438" s="59"/>
      <c r="R438" s="59"/>
      <c r="S438" s="59"/>
      <c r="T438" s="59"/>
      <c r="U438" s="59"/>
      <c r="V438" s="59"/>
      <c r="W438" s="59"/>
      <c r="X438" s="59"/>
      <c r="Y438" s="59"/>
      <c r="Z438" s="59"/>
      <c r="AA438" s="59"/>
      <c r="AB438" s="59"/>
      <c r="AC438" s="59"/>
    </row>
    <row r="439" spans="1:29" ht="12.75">
      <c r="A439" s="59"/>
      <c r="B439" s="59"/>
      <c r="C439" s="59"/>
      <c r="D439" s="1173"/>
      <c r="E439" s="59"/>
      <c r="F439" s="1173"/>
      <c r="G439" s="1174"/>
      <c r="H439" s="59"/>
      <c r="I439" s="59"/>
      <c r="J439" s="1173"/>
      <c r="K439" s="59"/>
      <c r="L439" s="1173"/>
      <c r="M439" s="59"/>
      <c r="N439" s="59"/>
      <c r="O439" s="59"/>
      <c r="P439" s="59"/>
      <c r="Q439" s="59"/>
      <c r="R439" s="59"/>
      <c r="S439" s="59"/>
      <c r="T439" s="59"/>
      <c r="U439" s="59"/>
      <c r="V439" s="59"/>
      <c r="W439" s="59"/>
      <c r="X439" s="59"/>
      <c r="Y439" s="59"/>
      <c r="Z439" s="59"/>
      <c r="AA439" s="59"/>
      <c r="AB439" s="59"/>
      <c r="AC439" s="59"/>
    </row>
    <row r="440" spans="1:29" ht="12.75">
      <c r="A440" s="59"/>
      <c r="B440" s="59"/>
      <c r="C440" s="59"/>
      <c r="D440" s="1173"/>
      <c r="E440" s="59"/>
      <c r="F440" s="1173"/>
      <c r="G440" s="1174"/>
      <c r="H440" s="59"/>
      <c r="I440" s="59"/>
      <c r="J440" s="1173"/>
      <c r="K440" s="59"/>
      <c r="L440" s="1173"/>
      <c r="M440" s="59"/>
      <c r="N440" s="59"/>
      <c r="O440" s="59"/>
      <c r="P440" s="59"/>
      <c r="Q440" s="59"/>
      <c r="R440" s="59"/>
      <c r="S440" s="59"/>
      <c r="T440" s="59"/>
      <c r="U440" s="59"/>
      <c r="V440" s="59"/>
      <c r="W440" s="59"/>
      <c r="X440" s="59"/>
      <c r="Y440" s="59"/>
      <c r="Z440" s="59"/>
      <c r="AA440" s="59"/>
      <c r="AB440" s="59"/>
      <c r="AC440" s="59"/>
    </row>
    <row r="441" spans="1:29" ht="12.75">
      <c r="A441" s="59"/>
      <c r="B441" s="59"/>
      <c r="C441" s="59"/>
      <c r="D441" s="1173"/>
      <c r="E441" s="59"/>
      <c r="F441" s="1173"/>
      <c r="G441" s="1174"/>
      <c r="H441" s="59"/>
      <c r="I441" s="59"/>
      <c r="J441" s="1173"/>
      <c r="K441" s="59"/>
      <c r="L441" s="1173"/>
      <c r="M441" s="59"/>
      <c r="N441" s="59"/>
      <c r="O441" s="59"/>
      <c r="P441" s="59"/>
      <c r="Q441" s="59"/>
      <c r="R441" s="59"/>
      <c r="S441" s="59"/>
      <c r="T441" s="59"/>
      <c r="U441" s="59"/>
      <c r="V441" s="59"/>
      <c r="W441" s="59"/>
      <c r="X441" s="59"/>
      <c r="Y441" s="59"/>
      <c r="Z441" s="59"/>
      <c r="AA441" s="59"/>
      <c r="AB441" s="59"/>
      <c r="AC441" s="59"/>
    </row>
    <row r="442" spans="1:29" ht="12.75">
      <c r="A442" s="59"/>
      <c r="B442" s="59"/>
      <c r="C442" s="59"/>
      <c r="D442" s="1173"/>
      <c r="E442" s="59"/>
      <c r="F442" s="1173"/>
      <c r="G442" s="1174"/>
      <c r="H442" s="59"/>
      <c r="I442" s="59"/>
      <c r="J442" s="1173"/>
      <c r="K442" s="59"/>
      <c r="L442" s="1173"/>
      <c r="M442" s="59"/>
      <c r="N442" s="59"/>
      <c r="O442" s="59"/>
      <c r="P442" s="59"/>
      <c r="Q442" s="59"/>
      <c r="R442" s="59"/>
      <c r="S442" s="59"/>
      <c r="T442" s="59"/>
      <c r="U442" s="59"/>
      <c r="V442" s="59"/>
      <c r="W442" s="59"/>
      <c r="X442" s="59"/>
      <c r="Y442" s="59"/>
      <c r="Z442" s="59"/>
      <c r="AA442" s="59"/>
      <c r="AB442" s="59"/>
      <c r="AC442" s="59"/>
    </row>
    <row r="443" spans="1:29" ht="12.75">
      <c r="A443" s="59"/>
      <c r="B443" s="59"/>
      <c r="C443" s="59"/>
      <c r="D443" s="1173"/>
      <c r="E443" s="59"/>
      <c r="F443" s="1173"/>
      <c r="G443" s="1174"/>
      <c r="H443" s="59"/>
      <c r="I443" s="59"/>
      <c r="J443" s="1173"/>
      <c r="K443" s="59"/>
      <c r="L443" s="1173"/>
      <c r="M443" s="59"/>
      <c r="N443" s="59"/>
      <c r="O443" s="59"/>
      <c r="P443" s="59"/>
      <c r="Q443" s="59"/>
      <c r="R443" s="59"/>
      <c r="S443" s="59"/>
      <c r="T443" s="59"/>
      <c r="U443" s="59"/>
      <c r="V443" s="59"/>
      <c r="W443" s="59"/>
      <c r="X443" s="59"/>
      <c r="Y443" s="59"/>
      <c r="Z443" s="59"/>
      <c r="AA443" s="59"/>
      <c r="AB443" s="59"/>
      <c r="AC443" s="59"/>
    </row>
    <row r="444" spans="1:29" ht="12.75">
      <c r="A444" s="59"/>
      <c r="B444" s="59"/>
      <c r="C444" s="59"/>
      <c r="D444" s="1173"/>
      <c r="E444" s="59"/>
      <c r="F444" s="1173"/>
      <c r="G444" s="1174"/>
      <c r="H444" s="59"/>
      <c r="I444" s="59"/>
      <c r="J444" s="1173"/>
      <c r="K444" s="59"/>
      <c r="L444" s="1173"/>
      <c r="M444" s="59"/>
      <c r="N444" s="59"/>
      <c r="O444" s="59"/>
      <c r="P444" s="59"/>
      <c r="Q444" s="59"/>
      <c r="R444" s="59"/>
      <c r="S444" s="59"/>
      <c r="T444" s="59"/>
      <c r="U444" s="59"/>
      <c r="V444" s="59"/>
      <c r="W444" s="59"/>
      <c r="X444" s="59"/>
      <c r="Y444" s="59"/>
      <c r="Z444" s="59"/>
      <c r="AA444" s="59"/>
      <c r="AB444" s="59"/>
      <c r="AC444" s="59"/>
    </row>
    <row r="445" spans="1:29" ht="12.75">
      <c r="A445" s="59"/>
      <c r="B445" s="59"/>
      <c r="C445" s="59"/>
      <c r="D445" s="1173"/>
      <c r="E445" s="59"/>
      <c r="F445" s="1173"/>
      <c r="G445" s="1174"/>
      <c r="H445" s="59"/>
      <c r="I445" s="59"/>
      <c r="J445" s="1173"/>
      <c r="K445" s="59"/>
      <c r="L445" s="1173"/>
      <c r="M445" s="59"/>
      <c r="N445" s="59"/>
      <c r="O445" s="59"/>
      <c r="P445" s="59"/>
      <c r="Q445" s="59"/>
      <c r="R445" s="59"/>
      <c r="S445" s="59"/>
      <c r="T445" s="59"/>
      <c r="U445" s="59"/>
      <c r="V445" s="59"/>
      <c r="W445" s="59"/>
      <c r="X445" s="59"/>
      <c r="Y445" s="59"/>
      <c r="Z445" s="59"/>
      <c r="AA445" s="59"/>
      <c r="AB445" s="59"/>
      <c r="AC445" s="59"/>
    </row>
    <row r="446" spans="1:29" ht="12.75">
      <c r="A446" s="59"/>
      <c r="B446" s="59"/>
      <c r="C446" s="59"/>
      <c r="D446" s="1173"/>
      <c r="E446" s="59"/>
      <c r="F446" s="1173"/>
      <c r="G446" s="1174"/>
      <c r="H446" s="59"/>
      <c r="I446" s="59"/>
      <c r="J446" s="1173"/>
      <c r="K446" s="59"/>
      <c r="L446" s="1173"/>
      <c r="M446" s="59"/>
      <c r="N446" s="59"/>
      <c r="O446" s="59"/>
      <c r="P446" s="59"/>
      <c r="Q446" s="59"/>
      <c r="R446" s="59"/>
      <c r="S446" s="59"/>
      <c r="T446" s="59"/>
      <c r="U446" s="59"/>
      <c r="V446" s="59"/>
      <c r="W446" s="59"/>
      <c r="X446" s="59"/>
      <c r="Y446" s="59"/>
      <c r="Z446" s="59"/>
      <c r="AA446" s="59"/>
      <c r="AB446" s="59"/>
      <c r="AC446" s="59"/>
    </row>
    <row r="447" spans="1:29" ht="12.75">
      <c r="A447" s="59"/>
      <c r="B447" s="59"/>
      <c r="C447" s="59"/>
      <c r="D447" s="1173"/>
      <c r="E447" s="59"/>
      <c r="F447" s="1173"/>
      <c r="G447" s="1174"/>
      <c r="H447" s="59"/>
      <c r="I447" s="59"/>
      <c r="J447" s="1173"/>
      <c r="K447" s="59"/>
      <c r="L447" s="1173"/>
      <c r="M447" s="59"/>
      <c r="N447" s="59"/>
      <c r="O447" s="59"/>
      <c r="P447" s="59"/>
      <c r="Q447" s="59"/>
      <c r="R447" s="59"/>
      <c r="S447" s="59"/>
      <c r="T447" s="59"/>
      <c r="U447" s="59"/>
      <c r="V447" s="59"/>
      <c r="W447" s="59"/>
      <c r="X447" s="59"/>
      <c r="Y447" s="59"/>
      <c r="Z447" s="59"/>
      <c r="AA447" s="59"/>
      <c r="AB447" s="59"/>
      <c r="AC447" s="59"/>
    </row>
    <row r="448" spans="1:29" ht="12.75">
      <c r="A448" s="59"/>
      <c r="B448" s="59"/>
      <c r="C448" s="59"/>
      <c r="D448" s="1173"/>
      <c r="E448" s="59"/>
      <c r="F448" s="1173"/>
      <c r="G448" s="1174"/>
      <c r="H448" s="59"/>
      <c r="I448" s="59"/>
      <c r="J448" s="1173"/>
      <c r="K448" s="59"/>
      <c r="L448" s="1173"/>
      <c r="M448" s="59"/>
      <c r="N448" s="59"/>
      <c r="O448" s="59"/>
      <c r="P448" s="59"/>
      <c r="Q448" s="59"/>
      <c r="R448" s="59"/>
      <c r="S448" s="59"/>
      <c r="T448" s="59"/>
      <c r="U448" s="59"/>
      <c r="V448" s="59"/>
      <c r="W448" s="59"/>
      <c r="X448" s="59"/>
      <c r="Y448" s="59"/>
      <c r="Z448" s="59"/>
      <c r="AA448" s="59"/>
      <c r="AB448" s="59"/>
      <c r="AC448" s="59"/>
    </row>
    <row r="449" spans="1:29" ht="12.75">
      <c r="A449" s="59"/>
      <c r="B449" s="59"/>
      <c r="C449" s="59"/>
      <c r="D449" s="1173"/>
      <c r="E449" s="59"/>
      <c r="F449" s="1173"/>
      <c r="G449" s="1174"/>
      <c r="H449" s="59"/>
      <c r="I449" s="59"/>
      <c r="J449" s="1173"/>
      <c r="K449" s="59"/>
      <c r="L449" s="1173"/>
      <c r="M449" s="59"/>
      <c r="N449" s="59"/>
      <c r="O449" s="59"/>
      <c r="P449" s="59"/>
      <c r="Q449" s="59"/>
      <c r="R449" s="59"/>
      <c r="S449" s="59"/>
      <c r="T449" s="59"/>
      <c r="U449" s="59"/>
      <c r="V449" s="59"/>
      <c r="W449" s="59"/>
      <c r="X449" s="59"/>
      <c r="Y449" s="59"/>
      <c r="Z449" s="59"/>
      <c r="AA449" s="59"/>
      <c r="AB449" s="59"/>
      <c r="AC449" s="59"/>
    </row>
    <row r="450" spans="1:29" ht="12.75">
      <c r="A450" s="59"/>
      <c r="B450" s="59"/>
      <c r="C450" s="59"/>
      <c r="D450" s="1173"/>
      <c r="E450" s="59"/>
      <c r="F450" s="1173"/>
      <c r="G450" s="1174"/>
      <c r="H450" s="59"/>
      <c r="I450" s="59"/>
      <c r="J450" s="1173"/>
      <c r="K450" s="59"/>
      <c r="L450" s="1173"/>
      <c r="M450" s="59"/>
      <c r="N450" s="59"/>
      <c r="O450" s="59"/>
      <c r="P450" s="59"/>
      <c r="Q450" s="59"/>
      <c r="R450" s="59"/>
      <c r="S450" s="59"/>
      <c r="T450" s="59"/>
      <c r="U450" s="59"/>
      <c r="V450" s="59"/>
      <c r="W450" s="59"/>
      <c r="X450" s="59"/>
      <c r="Y450" s="59"/>
      <c r="Z450" s="59"/>
      <c r="AA450" s="59"/>
      <c r="AB450" s="59"/>
      <c r="AC450" s="59"/>
    </row>
    <row r="451" spans="1:29" ht="12.75">
      <c r="A451" s="59"/>
      <c r="B451" s="59"/>
      <c r="C451" s="59"/>
      <c r="D451" s="1173"/>
      <c r="E451" s="59"/>
      <c r="F451" s="1173"/>
      <c r="G451" s="1174"/>
      <c r="H451" s="59"/>
      <c r="I451" s="59"/>
      <c r="J451" s="1173"/>
      <c r="K451" s="59"/>
      <c r="L451" s="1173"/>
      <c r="M451" s="59"/>
      <c r="N451" s="59"/>
      <c r="O451" s="59"/>
      <c r="P451" s="59"/>
      <c r="Q451" s="59"/>
      <c r="R451" s="59"/>
      <c r="S451" s="59"/>
      <c r="T451" s="59"/>
      <c r="U451" s="59"/>
      <c r="V451" s="59"/>
      <c r="W451" s="59"/>
      <c r="X451" s="59"/>
      <c r="Y451" s="59"/>
      <c r="Z451" s="59"/>
      <c r="AA451" s="59"/>
      <c r="AB451" s="59"/>
      <c r="AC451" s="59"/>
    </row>
    <row r="452" spans="1:29" ht="12.75">
      <c r="A452" s="59"/>
      <c r="B452" s="59"/>
      <c r="C452" s="59"/>
      <c r="D452" s="1173"/>
      <c r="E452" s="59"/>
      <c r="F452" s="1173"/>
      <c r="G452" s="1174"/>
      <c r="H452" s="59"/>
      <c r="I452" s="59"/>
      <c r="J452" s="1173"/>
      <c r="K452" s="59"/>
      <c r="L452" s="1173"/>
      <c r="M452" s="59"/>
      <c r="N452" s="59"/>
      <c r="O452" s="59"/>
      <c r="P452" s="59"/>
      <c r="Q452" s="59"/>
      <c r="R452" s="59"/>
      <c r="S452" s="59"/>
      <c r="T452" s="59"/>
      <c r="U452" s="59"/>
      <c r="V452" s="59"/>
      <c r="W452" s="59"/>
      <c r="X452" s="59"/>
      <c r="Y452" s="59"/>
      <c r="Z452" s="59"/>
      <c r="AA452" s="59"/>
      <c r="AB452" s="59"/>
      <c r="AC452" s="59"/>
    </row>
    <row r="453" spans="1:29" ht="12.75">
      <c r="A453" s="59"/>
      <c r="B453" s="59"/>
      <c r="C453" s="59"/>
      <c r="D453" s="1173"/>
      <c r="E453" s="59"/>
      <c r="F453" s="1173"/>
      <c r="G453" s="1174"/>
      <c r="H453" s="59"/>
      <c r="I453" s="59"/>
      <c r="J453" s="1173"/>
      <c r="K453" s="59"/>
      <c r="L453" s="1173"/>
      <c r="M453" s="59"/>
      <c r="N453" s="59"/>
      <c r="O453" s="59"/>
      <c r="P453" s="59"/>
      <c r="Q453" s="59"/>
      <c r="R453" s="59"/>
      <c r="S453" s="59"/>
      <c r="T453" s="59"/>
      <c r="U453" s="59"/>
      <c r="V453" s="59"/>
      <c r="W453" s="59"/>
      <c r="X453" s="59"/>
      <c r="Y453" s="59"/>
      <c r="Z453" s="59"/>
      <c r="AA453" s="59"/>
      <c r="AB453" s="59"/>
      <c r="AC453" s="59"/>
    </row>
    <row r="454" spans="1:29" ht="12.75">
      <c r="A454" s="59"/>
      <c r="B454" s="59"/>
      <c r="C454" s="59"/>
      <c r="D454" s="1173"/>
      <c r="E454" s="59"/>
      <c r="F454" s="1173"/>
      <c r="G454" s="1174"/>
      <c r="H454" s="59"/>
      <c r="I454" s="59"/>
      <c r="J454" s="1173"/>
      <c r="K454" s="59"/>
      <c r="L454" s="1173"/>
      <c r="M454" s="59"/>
      <c r="N454" s="59"/>
      <c r="O454" s="59"/>
      <c r="P454" s="59"/>
      <c r="Q454" s="59"/>
      <c r="R454" s="59"/>
      <c r="S454" s="59"/>
      <c r="T454" s="59"/>
      <c r="U454" s="59"/>
      <c r="V454" s="59"/>
      <c r="W454" s="59"/>
      <c r="X454" s="59"/>
      <c r="Y454" s="59"/>
      <c r="Z454" s="59"/>
      <c r="AA454" s="59"/>
      <c r="AB454" s="59"/>
      <c r="AC454" s="59"/>
    </row>
    <row r="455" spans="1:29" ht="12.75">
      <c r="A455" s="59"/>
      <c r="B455" s="59"/>
      <c r="C455" s="59"/>
      <c r="D455" s="1173"/>
      <c r="E455" s="59"/>
      <c r="F455" s="1173"/>
      <c r="G455" s="1174"/>
      <c r="H455" s="59"/>
      <c r="I455" s="59"/>
      <c r="J455" s="1173"/>
      <c r="K455" s="59"/>
      <c r="L455" s="1173"/>
      <c r="M455" s="59"/>
      <c r="N455" s="59"/>
      <c r="O455" s="59"/>
      <c r="P455" s="59"/>
      <c r="Q455" s="59"/>
      <c r="R455" s="59"/>
      <c r="S455" s="59"/>
      <c r="T455" s="59"/>
      <c r="U455" s="59"/>
      <c r="V455" s="59"/>
      <c r="W455" s="59"/>
      <c r="X455" s="59"/>
      <c r="Y455" s="59"/>
      <c r="Z455" s="59"/>
      <c r="AA455" s="59"/>
      <c r="AB455" s="59"/>
      <c r="AC455" s="59"/>
    </row>
    <row r="456" spans="1:29" ht="12.75">
      <c r="A456" s="59"/>
      <c r="B456" s="59"/>
      <c r="C456" s="59"/>
      <c r="D456" s="1173"/>
      <c r="E456" s="59"/>
      <c r="F456" s="1173"/>
      <c r="G456" s="1174"/>
      <c r="H456" s="59"/>
      <c r="I456" s="59"/>
      <c r="J456" s="1173"/>
      <c r="K456" s="59"/>
      <c r="L456" s="1173"/>
      <c r="M456" s="59"/>
      <c r="N456" s="59"/>
      <c r="O456" s="59"/>
      <c r="P456" s="59"/>
      <c r="Q456" s="59"/>
      <c r="R456" s="59"/>
      <c r="S456" s="59"/>
      <c r="T456" s="59"/>
      <c r="U456" s="59"/>
      <c r="V456" s="59"/>
      <c r="W456" s="59"/>
      <c r="X456" s="59"/>
      <c r="Y456" s="59"/>
      <c r="Z456" s="59"/>
      <c r="AA456" s="59"/>
      <c r="AB456" s="59"/>
      <c r="AC456" s="59"/>
    </row>
    <row r="457" spans="1:29" ht="12.75">
      <c r="A457" s="59"/>
      <c r="B457" s="59"/>
      <c r="C457" s="59"/>
      <c r="D457" s="1173"/>
      <c r="E457" s="59"/>
      <c r="F457" s="1173"/>
      <c r="G457" s="1174"/>
      <c r="H457" s="59"/>
      <c r="I457" s="59"/>
      <c r="J457" s="1173"/>
      <c r="K457" s="59"/>
      <c r="L457" s="1173"/>
      <c r="M457" s="59"/>
      <c r="N457" s="59"/>
      <c r="O457" s="59"/>
      <c r="P457" s="59"/>
      <c r="Q457" s="59"/>
      <c r="R457" s="59"/>
      <c r="S457" s="59"/>
      <c r="T457" s="59"/>
      <c r="U457" s="59"/>
      <c r="V457" s="59"/>
      <c r="W457" s="59"/>
      <c r="X457" s="59"/>
      <c r="Y457" s="59"/>
      <c r="Z457" s="59"/>
      <c r="AA457" s="59"/>
      <c r="AB457" s="59"/>
      <c r="AC457" s="59"/>
    </row>
    <row r="458" spans="1:29" ht="12.75">
      <c r="A458" s="59"/>
      <c r="B458" s="59"/>
      <c r="C458" s="59"/>
      <c r="D458" s="1173"/>
      <c r="E458" s="59"/>
      <c r="F458" s="1173"/>
      <c r="G458" s="1174"/>
      <c r="H458" s="59"/>
      <c r="I458" s="59"/>
      <c r="J458" s="1173"/>
      <c r="K458" s="59"/>
      <c r="L458" s="1173"/>
      <c r="M458" s="59"/>
      <c r="N458" s="59"/>
      <c r="O458" s="59"/>
      <c r="P458" s="59"/>
      <c r="Q458" s="59"/>
      <c r="R458" s="59"/>
      <c r="S458" s="59"/>
      <c r="T458" s="59"/>
      <c r="U458" s="59"/>
      <c r="V458" s="59"/>
      <c r="W458" s="59"/>
      <c r="X458" s="59"/>
      <c r="Y458" s="59"/>
      <c r="Z458" s="59"/>
      <c r="AA458" s="59"/>
      <c r="AB458" s="59"/>
      <c r="AC458" s="59"/>
    </row>
    <row r="459" spans="1:29" ht="12.75">
      <c r="A459" s="59"/>
      <c r="B459" s="59"/>
      <c r="C459" s="59"/>
      <c r="D459" s="1173"/>
      <c r="E459" s="59"/>
      <c r="F459" s="1173"/>
      <c r="G459" s="1174"/>
      <c r="H459" s="59"/>
      <c r="I459" s="59"/>
      <c r="J459" s="1173"/>
      <c r="K459" s="59"/>
      <c r="L459" s="1173"/>
      <c r="M459" s="59"/>
      <c r="N459" s="59"/>
      <c r="O459" s="59"/>
      <c r="P459" s="59"/>
      <c r="Q459" s="59"/>
      <c r="R459" s="59"/>
      <c r="S459" s="59"/>
      <c r="T459" s="59"/>
      <c r="U459" s="59"/>
      <c r="V459" s="59"/>
      <c r="W459" s="59"/>
      <c r="X459" s="59"/>
      <c r="Y459" s="59"/>
      <c r="Z459" s="59"/>
      <c r="AA459" s="59"/>
      <c r="AB459" s="59"/>
      <c r="AC459" s="59"/>
    </row>
    <row r="460" spans="1:29" ht="12.75">
      <c r="A460" s="59"/>
      <c r="B460" s="59"/>
      <c r="C460" s="59"/>
      <c r="D460" s="1173"/>
      <c r="E460" s="59"/>
      <c r="F460" s="1173"/>
      <c r="G460" s="1174"/>
      <c r="H460" s="59"/>
      <c r="I460" s="59"/>
      <c r="J460" s="1173"/>
      <c r="K460" s="59"/>
      <c r="L460" s="1173"/>
      <c r="M460" s="59"/>
      <c r="N460" s="59"/>
      <c r="O460" s="59"/>
      <c r="P460" s="59"/>
      <c r="Q460" s="59"/>
      <c r="R460" s="59"/>
      <c r="S460" s="59"/>
      <c r="T460" s="59"/>
      <c r="U460" s="59"/>
      <c r="V460" s="59"/>
      <c r="W460" s="59"/>
      <c r="X460" s="59"/>
      <c r="Y460" s="59"/>
      <c r="Z460" s="59"/>
      <c r="AA460" s="59"/>
      <c r="AB460" s="59"/>
      <c r="AC460" s="59"/>
    </row>
    <row r="461" spans="1:29" ht="12.75">
      <c r="A461" s="59"/>
      <c r="B461" s="59"/>
      <c r="C461" s="59"/>
      <c r="D461" s="1173"/>
      <c r="E461" s="59"/>
      <c r="F461" s="1173"/>
      <c r="G461" s="1174"/>
      <c r="H461" s="59"/>
      <c r="I461" s="59"/>
      <c r="J461" s="1173"/>
      <c r="K461" s="59"/>
      <c r="L461" s="1173"/>
      <c r="M461" s="59"/>
      <c r="N461" s="59"/>
      <c r="O461" s="59"/>
      <c r="P461" s="59"/>
      <c r="Q461" s="59"/>
      <c r="R461" s="59"/>
      <c r="S461" s="59"/>
      <c r="T461" s="59"/>
      <c r="U461" s="59"/>
      <c r="V461" s="59"/>
      <c r="W461" s="59"/>
      <c r="X461" s="59"/>
      <c r="Y461" s="59"/>
      <c r="Z461" s="59"/>
      <c r="AA461" s="59"/>
      <c r="AB461" s="59"/>
      <c r="AC461" s="59"/>
    </row>
    <row r="462" spans="1:29" ht="12.75">
      <c r="A462" s="59"/>
      <c r="B462" s="59"/>
      <c r="C462" s="59"/>
      <c r="D462" s="1173"/>
      <c r="E462" s="59"/>
      <c r="F462" s="1173"/>
      <c r="G462" s="1174"/>
      <c r="H462" s="59"/>
      <c r="I462" s="59"/>
      <c r="J462" s="1173"/>
      <c r="K462" s="59"/>
      <c r="L462" s="1173"/>
      <c r="M462" s="59"/>
      <c r="N462" s="59"/>
      <c r="O462" s="59"/>
      <c r="P462" s="59"/>
      <c r="Q462" s="59"/>
      <c r="R462" s="59"/>
      <c r="S462" s="59"/>
      <c r="T462" s="59"/>
      <c r="U462" s="59"/>
      <c r="V462" s="59"/>
      <c r="W462" s="59"/>
      <c r="X462" s="59"/>
      <c r="Y462" s="59"/>
      <c r="Z462" s="59"/>
      <c r="AA462" s="59"/>
      <c r="AB462" s="59"/>
      <c r="AC462" s="59"/>
    </row>
    <row r="463" spans="1:29" ht="12.75">
      <c r="A463" s="59"/>
      <c r="B463" s="59"/>
      <c r="C463" s="59"/>
      <c r="D463" s="1173"/>
      <c r="E463" s="59"/>
      <c r="F463" s="1173"/>
      <c r="G463" s="1174"/>
      <c r="H463" s="59"/>
      <c r="I463" s="59"/>
      <c r="J463" s="1173"/>
      <c r="K463" s="59"/>
      <c r="L463" s="1173"/>
      <c r="M463" s="59"/>
      <c r="N463" s="59"/>
      <c r="O463" s="59"/>
      <c r="P463" s="59"/>
      <c r="Q463" s="59"/>
      <c r="R463" s="59"/>
      <c r="S463" s="59"/>
      <c r="T463" s="59"/>
      <c r="U463" s="59"/>
      <c r="V463" s="59"/>
      <c r="W463" s="59"/>
      <c r="X463" s="59"/>
      <c r="Y463" s="59"/>
      <c r="Z463" s="59"/>
      <c r="AA463" s="59"/>
      <c r="AB463" s="59"/>
      <c r="AC463" s="59"/>
    </row>
    <row r="464" spans="1:29" ht="12.75">
      <c r="A464" s="59"/>
      <c r="B464" s="59"/>
      <c r="C464" s="59"/>
      <c r="D464" s="1173"/>
      <c r="E464" s="59"/>
      <c r="F464" s="1173"/>
      <c r="G464" s="1174"/>
      <c r="H464" s="59"/>
      <c r="I464" s="59"/>
      <c r="J464" s="1173"/>
      <c r="K464" s="59"/>
      <c r="L464" s="1173"/>
      <c r="M464" s="59"/>
      <c r="N464" s="59"/>
      <c r="O464" s="59"/>
      <c r="P464" s="59"/>
      <c r="Q464" s="59"/>
      <c r="R464" s="59"/>
      <c r="S464" s="59"/>
      <c r="T464" s="59"/>
      <c r="U464" s="59"/>
      <c r="V464" s="59"/>
      <c r="W464" s="59"/>
      <c r="X464" s="59"/>
      <c r="Y464" s="59"/>
      <c r="Z464" s="59"/>
      <c r="AA464" s="59"/>
      <c r="AB464" s="59"/>
      <c r="AC464" s="59"/>
    </row>
    <row r="465" spans="1:29" ht="12.75">
      <c r="A465" s="59"/>
      <c r="B465" s="59"/>
      <c r="C465" s="59"/>
      <c r="D465" s="1173"/>
      <c r="E465" s="59"/>
      <c r="F465" s="1173"/>
      <c r="G465" s="1174"/>
      <c r="H465" s="59"/>
      <c r="I465" s="59"/>
      <c r="J465" s="1173"/>
      <c r="K465" s="59"/>
      <c r="L465" s="1173"/>
      <c r="M465" s="59"/>
      <c r="N465" s="59"/>
      <c r="O465" s="59"/>
      <c r="P465" s="59"/>
      <c r="Q465" s="59"/>
      <c r="R465" s="59"/>
      <c r="S465" s="59"/>
      <c r="T465" s="59"/>
      <c r="U465" s="59"/>
      <c r="V465" s="59"/>
      <c r="W465" s="59"/>
      <c r="X465" s="59"/>
      <c r="Y465" s="59"/>
      <c r="Z465" s="59"/>
      <c r="AA465" s="59"/>
      <c r="AB465" s="59"/>
      <c r="AC465" s="59"/>
    </row>
    <row r="466" spans="1:29" ht="12.75">
      <c r="A466" s="59"/>
      <c r="B466" s="59"/>
      <c r="C466" s="59"/>
      <c r="D466" s="1173"/>
      <c r="E466" s="59"/>
      <c r="F466" s="1173"/>
      <c r="G466" s="1174"/>
      <c r="H466" s="59"/>
      <c r="I466" s="59"/>
      <c r="J466" s="1173"/>
      <c r="K466" s="59"/>
      <c r="L466" s="1173"/>
      <c r="M466" s="59"/>
      <c r="N466" s="59"/>
      <c r="O466" s="59"/>
      <c r="P466" s="59"/>
      <c r="Q466" s="59"/>
      <c r="R466" s="59"/>
      <c r="S466" s="59"/>
      <c r="T466" s="59"/>
      <c r="U466" s="59"/>
      <c r="V466" s="59"/>
      <c r="W466" s="59"/>
      <c r="X466" s="59"/>
      <c r="Y466" s="59"/>
      <c r="Z466" s="59"/>
      <c r="AA466" s="59"/>
      <c r="AB466" s="59"/>
      <c r="AC466" s="59"/>
    </row>
    <row r="467" spans="1:29" ht="12.75">
      <c r="A467" s="59"/>
      <c r="B467" s="59"/>
      <c r="C467" s="59"/>
      <c r="D467" s="1173"/>
      <c r="E467" s="59"/>
      <c r="F467" s="1173"/>
      <c r="G467" s="1174"/>
      <c r="H467" s="59"/>
      <c r="I467" s="59"/>
      <c r="J467" s="1173"/>
      <c r="K467" s="59"/>
      <c r="L467" s="1173"/>
      <c r="M467" s="59"/>
      <c r="N467" s="59"/>
      <c r="O467" s="59"/>
      <c r="P467" s="59"/>
      <c r="Q467" s="59"/>
      <c r="R467" s="59"/>
      <c r="S467" s="59"/>
      <c r="T467" s="59"/>
      <c r="U467" s="59"/>
      <c r="V467" s="59"/>
      <c r="W467" s="59"/>
      <c r="X467" s="59"/>
      <c r="Y467" s="59"/>
      <c r="Z467" s="59"/>
      <c r="AA467" s="59"/>
      <c r="AB467" s="59"/>
      <c r="AC467" s="59"/>
    </row>
    <row r="468" spans="1:29" ht="12.75">
      <c r="A468" s="59"/>
      <c r="B468" s="59"/>
      <c r="C468" s="59"/>
      <c r="D468" s="1173"/>
      <c r="E468" s="59"/>
      <c r="F468" s="1173"/>
      <c r="G468" s="1174"/>
      <c r="H468" s="59"/>
      <c r="I468" s="59"/>
      <c r="J468" s="1173"/>
      <c r="K468" s="59"/>
      <c r="L468" s="1173"/>
      <c r="M468" s="59"/>
      <c r="N468" s="59"/>
      <c r="O468" s="59"/>
      <c r="P468" s="59"/>
      <c r="Q468" s="59"/>
      <c r="R468" s="59"/>
      <c r="S468" s="59"/>
      <c r="T468" s="59"/>
      <c r="U468" s="59"/>
      <c r="V468" s="59"/>
      <c r="W468" s="59"/>
      <c r="X468" s="59"/>
      <c r="Y468" s="59"/>
      <c r="Z468" s="59"/>
      <c r="AA468" s="59"/>
      <c r="AB468" s="59"/>
      <c r="AC468" s="59"/>
    </row>
    <row r="469" spans="1:29" ht="12.75">
      <c r="A469" s="59"/>
      <c r="B469" s="59"/>
      <c r="C469" s="59"/>
      <c r="D469" s="1173"/>
      <c r="E469" s="59"/>
      <c r="F469" s="1173"/>
      <c r="G469" s="1174"/>
      <c r="H469" s="59"/>
      <c r="I469" s="59"/>
      <c r="J469" s="1173"/>
      <c r="K469" s="59"/>
      <c r="L469" s="1173"/>
      <c r="M469" s="59"/>
      <c r="N469" s="59"/>
      <c r="O469" s="59"/>
      <c r="P469" s="59"/>
      <c r="Q469" s="59"/>
      <c r="R469" s="59"/>
      <c r="S469" s="59"/>
      <c r="T469" s="59"/>
      <c r="U469" s="59"/>
      <c r="V469" s="59"/>
      <c r="W469" s="59"/>
      <c r="X469" s="59"/>
      <c r="Y469" s="59"/>
      <c r="Z469" s="59"/>
      <c r="AA469" s="59"/>
      <c r="AB469" s="59"/>
      <c r="AC469" s="59"/>
    </row>
    <row r="470" spans="1:29" ht="12.75">
      <c r="A470" s="59"/>
      <c r="B470" s="59"/>
      <c r="C470" s="59"/>
      <c r="D470" s="1173"/>
      <c r="E470" s="59"/>
      <c r="F470" s="1173"/>
      <c r="G470" s="1174"/>
      <c r="H470" s="59"/>
      <c r="I470" s="59"/>
      <c r="J470" s="1173"/>
      <c r="K470" s="59"/>
      <c r="L470" s="1173"/>
      <c r="M470" s="59"/>
      <c r="N470" s="59"/>
      <c r="O470" s="59"/>
      <c r="P470" s="59"/>
      <c r="Q470" s="59"/>
      <c r="R470" s="59"/>
      <c r="S470" s="59"/>
      <c r="T470" s="59"/>
      <c r="U470" s="59"/>
      <c r="V470" s="59"/>
      <c r="W470" s="59"/>
      <c r="X470" s="59"/>
      <c r="Y470" s="59"/>
      <c r="Z470" s="59"/>
      <c r="AA470" s="59"/>
      <c r="AB470" s="59"/>
      <c r="AC470" s="59"/>
    </row>
    <row r="471" spans="1:29" ht="12.75">
      <c r="A471" s="59"/>
      <c r="B471" s="59"/>
      <c r="C471" s="59"/>
      <c r="D471" s="1173"/>
      <c r="E471" s="59"/>
      <c r="F471" s="1173"/>
      <c r="G471" s="1174"/>
      <c r="H471" s="59"/>
      <c r="I471" s="59"/>
      <c r="J471" s="1173"/>
      <c r="K471" s="59"/>
      <c r="L471" s="1173"/>
      <c r="M471" s="59"/>
      <c r="N471" s="59"/>
      <c r="O471" s="59"/>
      <c r="P471" s="59"/>
      <c r="Q471" s="59"/>
      <c r="R471" s="59"/>
      <c r="S471" s="59"/>
      <c r="T471" s="59"/>
      <c r="U471" s="59"/>
      <c r="V471" s="59"/>
      <c r="W471" s="59"/>
      <c r="X471" s="59"/>
      <c r="Y471" s="59"/>
      <c r="Z471" s="59"/>
      <c r="AA471" s="59"/>
      <c r="AB471" s="59"/>
      <c r="AC471" s="59"/>
    </row>
    <row r="472" spans="1:29" ht="12.75">
      <c r="A472" s="59"/>
      <c r="B472" s="59"/>
      <c r="C472" s="59"/>
      <c r="D472" s="1173"/>
      <c r="E472" s="59"/>
      <c r="F472" s="1173"/>
      <c r="G472" s="1174"/>
      <c r="H472" s="59"/>
      <c r="I472" s="59"/>
      <c r="J472" s="1173"/>
      <c r="K472" s="59"/>
      <c r="L472" s="1173"/>
      <c r="M472" s="59"/>
      <c r="N472" s="59"/>
      <c r="O472" s="59"/>
      <c r="P472" s="59"/>
      <c r="Q472" s="59"/>
      <c r="R472" s="59"/>
      <c r="S472" s="59"/>
      <c r="T472" s="59"/>
      <c r="U472" s="59"/>
      <c r="V472" s="59"/>
      <c r="W472" s="59"/>
      <c r="X472" s="59"/>
      <c r="Y472" s="59"/>
      <c r="Z472" s="59"/>
      <c r="AA472" s="59"/>
      <c r="AB472" s="59"/>
      <c r="AC472" s="59"/>
    </row>
    <row r="473" spans="1:29" ht="12.75">
      <c r="A473" s="59"/>
      <c r="B473" s="59"/>
      <c r="C473" s="59"/>
      <c r="D473" s="1173"/>
      <c r="E473" s="59"/>
      <c r="F473" s="1173"/>
      <c r="G473" s="1174"/>
      <c r="H473" s="59"/>
      <c r="I473" s="59"/>
      <c r="J473" s="1173"/>
      <c r="K473" s="59"/>
      <c r="L473" s="1173"/>
      <c r="M473" s="59"/>
      <c r="N473" s="59"/>
      <c r="O473" s="59"/>
      <c r="P473" s="59"/>
      <c r="Q473" s="59"/>
      <c r="R473" s="59"/>
      <c r="S473" s="59"/>
      <c r="T473" s="59"/>
      <c r="U473" s="59"/>
      <c r="V473" s="59"/>
      <c r="W473" s="59"/>
      <c r="X473" s="59"/>
      <c r="Y473" s="59"/>
      <c r="Z473" s="59"/>
      <c r="AA473" s="59"/>
      <c r="AB473" s="59"/>
      <c r="AC473" s="59"/>
    </row>
    <row r="474" spans="1:29" ht="12.75">
      <c r="A474" s="59"/>
      <c r="B474" s="59"/>
      <c r="C474" s="59"/>
      <c r="D474" s="1173"/>
      <c r="E474" s="59"/>
      <c r="F474" s="1173"/>
      <c r="G474" s="1174"/>
      <c r="H474" s="59"/>
      <c r="I474" s="59"/>
      <c r="J474" s="1173"/>
      <c r="K474" s="59"/>
      <c r="L474" s="1173"/>
      <c r="M474" s="59"/>
      <c r="N474" s="59"/>
      <c r="O474" s="59"/>
      <c r="P474" s="59"/>
      <c r="Q474" s="59"/>
      <c r="R474" s="59"/>
      <c r="S474" s="59"/>
      <c r="T474" s="59"/>
      <c r="U474" s="59"/>
      <c r="V474" s="59"/>
      <c r="W474" s="59"/>
      <c r="X474" s="59"/>
      <c r="Y474" s="59"/>
      <c r="Z474" s="59"/>
      <c r="AA474" s="59"/>
      <c r="AB474" s="59"/>
      <c r="AC474" s="59"/>
    </row>
    <row r="475" spans="1:29" ht="12.75">
      <c r="A475" s="59"/>
      <c r="B475" s="59"/>
      <c r="C475" s="59"/>
      <c r="D475" s="1173"/>
      <c r="E475" s="59"/>
      <c r="F475" s="1173"/>
      <c r="G475" s="1174"/>
      <c r="H475" s="59"/>
      <c r="I475" s="59"/>
      <c r="J475" s="1173"/>
      <c r="K475" s="59"/>
      <c r="L475" s="1173"/>
      <c r="M475" s="59"/>
      <c r="N475" s="59"/>
      <c r="O475" s="59"/>
      <c r="P475" s="59"/>
      <c r="Q475" s="59"/>
      <c r="R475" s="59"/>
      <c r="S475" s="59"/>
      <c r="T475" s="59"/>
      <c r="U475" s="59"/>
      <c r="V475" s="59"/>
      <c r="W475" s="59"/>
      <c r="X475" s="59"/>
      <c r="Y475" s="59"/>
      <c r="Z475" s="59"/>
      <c r="AA475" s="59"/>
      <c r="AB475" s="59"/>
      <c r="AC475" s="59"/>
    </row>
    <row r="476" spans="1:29" ht="12.75">
      <c r="A476" s="59"/>
      <c r="B476" s="59"/>
      <c r="C476" s="59"/>
      <c r="D476" s="1173"/>
      <c r="E476" s="59"/>
      <c r="F476" s="1173"/>
      <c r="G476" s="1174"/>
      <c r="H476" s="59"/>
      <c r="I476" s="59"/>
      <c r="J476" s="1173"/>
      <c r="K476" s="59"/>
      <c r="L476" s="1173"/>
      <c r="M476" s="59"/>
      <c r="N476" s="59"/>
      <c r="O476" s="59"/>
      <c r="P476" s="59"/>
      <c r="Q476" s="59"/>
      <c r="R476" s="59"/>
      <c r="S476" s="59"/>
      <c r="T476" s="59"/>
      <c r="U476" s="59"/>
      <c r="V476" s="59"/>
      <c r="W476" s="59"/>
      <c r="X476" s="59"/>
      <c r="Y476" s="59"/>
      <c r="Z476" s="59"/>
      <c r="AA476" s="59"/>
      <c r="AB476" s="59"/>
      <c r="AC476" s="59"/>
    </row>
    <row r="477" spans="1:29" ht="12.75">
      <c r="A477" s="59"/>
      <c r="B477" s="59"/>
      <c r="C477" s="59"/>
      <c r="D477" s="1173"/>
      <c r="E477" s="59"/>
      <c r="F477" s="1173"/>
      <c r="G477" s="1174"/>
      <c r="H477" s="59"/>
      <c r="I477" s="59"/>
      <c r="J477" s="1173"/>
      <c r="K477" s="59"/>
      <c r="L477" s="1173"/>
      <c r="M477" s="59"/>
      <c r="N477" s="59"/>
      <c r="O477" s="59"/>
      <c r="P477" s="59"/>
      <c r="Q477" s="59"/>
      <c r="R477" s="59"/>
      <c r="S477" s="59"/>
      <c r="T477" s="59"/>
      <c r="U477" s="59"/>
      <c r="V477" s="59"/>
      <c r="W477" s="59"/>
      <c r="X477" s="59"/>
      <c r="Y477" s="59"/>
      <c r="Z477" s="59"/>
      <c r="AA477" s="59"/>
      <c r="AB477" s="59"/>
      <c r="AC477" s="59"/>
    </row>
    <row r="478" spans="1:29" ht="12.75">
      <c r="A478" s="59"/>
      <c r="B478" s="59"/>
      <c r="C478" s="59"/>
      <c r="D478" s="1173"/>
      <c r="E478" s="59"/>
      <c r="F478" s="1173"/>
      <c r="G478" s="1174"/>
      <c r="H478" s="59"/>
      <c r="I478" s="59"/>
      <c r="J478" s="1173"/>
      <c r="K478" s="59"/>
      <c r="L478" s="1173"/>
      <c r="M478" s="59"/>
      <c r="N478" s="59"/>
      <c r="O478" s="59"/>
      <c r="P478" s="59"/>
      <c r="Q478" s="59"/>
      <c r="R478" s="59"/>
      <c r="S478" s="59"/>
      <c r="T478" s="59"/>
      <c r="U478" s="59"/>
      <c r="V478" s="59"/>
      <c r="W478" s="59"/>
      <c r="X478" s="59"/>
      <c r="Y478" s="59"/>
      <c r="Z478" s="59"/>
      <c r="AA478" s="59"/>
      <c r="AB478" s="59"/>
      <c r="AC478" s="59"/>
    </row>
    <row r="479" spans="1:29" ht="12.75">
      <c r="A479" s="59"/>
      <c r="B479" s="59"/>
      <c r="C479" s="59"/>
      <c r="D479" s="1173"/>
      <c r="E479" s="59"/>
      <c r="F479" s="1173"/>
      <c r="G479" s="1174"/>
      <c r="H479" s="59"/>
      <c r="I479" s="59"/>
      <c r="J479" s="1173"/>
      <c r="K479" s="59"/>
      <c r="L479" s="1173"/>
      <c r="M479" s="59"/>
      <c r="N479" s="59"/>
      <c r="O479" s="59"/>
      <c r="P479" s="59"/>
      <c r="Q479" s="59"/>
      <c r="R479" s="59"/>
      <c r="S479" s="59"/>
      <c r="T479" s="59"/>
      <c r="U479" s="59"/>
      <c r="V479" s="59"/>
      <c r="W479" s="59"/>
      <c r="X479" s="59"/>
      <c r="Y479" s="59"/>
      <c r="Z479" s="59"/>
      <c r="AA479" s="59"/>
      <c r="AB479" s="59"/>
      <c r="AC479" s="59"/>
    </row>
    <row r="480" spans="1:29" ht="12.75">
      <c r="A480" s="59"/>
      <c r="B480" s="59"/>
      <c r="C480" s="59"/>
      <c r="D480" s="1173"/>
      <c r="E480" s="59"/>
      <c r="F480" s="1173"/>
      <c r="G480" s="1174"/>
      <c r="H480" s="59"/>
      <c r="I480" s="59"/>
      <c r="J480" s="1173"/>
      <c r="K480" s="59"/>
      <c r="L480" s="1173"/>
      <c r="M480" s="59"/>
      <c r="N480" s="59"/>
      <c r="O480" s="59"/>
      <c r="P480" s="59"/>
      <c r="Q480" s="59"/>
      <c r="R480" s="59"/>
      <c r="S480" s="59"/>
      <c r="T480" s="59"/>
      <c r="U480" s="59"/>
      <c r="V480" s="59"/>
      <c r="W480" s="59"/>
      <c r="X480" s="59"/>
      <c r="Y480" s="59"/>
      <c r="Z480" s="59"/>
      <c r="AA480" s="59"/>
      <c r="AB480" s="59"/>
      <c r="AC480" s="59"/>
    </row>
    <row r="481" spans="1:29" ht="12.75">
      <c r="A481" s="59"/>
      <c r="B481" s="59"/>
      <c r="C481" s="59"/>
      <c r="D481" s="1173"/>
      <c r="E481" s="59"/>
      <c r="F481" s="1173"/>
      <c r="G481" s="1174"/>
      <c r="H481" s="59"/>
      <c r="I481" s="59"/>
      <c r="J481" s="1173"/>
      <c r="K481" s="59"/>
      <c r="L481" s="1173"/>
      <c r="M481" s="59"/>
      <c r="N481" s="59"/>
      <c r="O481" s="59"/>
      <c r="P481" s="59"/>
      <c r="Q481" s="59"/>
      <c r="R481" s="59"/>
      <c r="S481" s="59"/>
      <c r="T481" s="59"/>
      <c r="U481" s="59"/>
      <c r="V481" s="59"/>
      <c r="W481" s="59"/>
      <c r="X481" s="59"/>
      <c r="Y481" s="59"/>
      <c r="Z481" s="59"/>
      <c r="AA481" s="59"/>
      <c r="AB481" s="59"/>
      <c r="AC481" s="59"/>
    </row>
    <row r="482" spans="1:29" ht="12.75">
      <c r="A482" s="59"/>
      <c r="B482" s="59"/>
      <c r="C482" s="59"/>
      <c r="D482" s="1173"/>
      <c r="E482" s="59"/>
      <c r="F482" s="1173"/>
      <c r="G482" s="1174"/>
      <c r="H482" s="59"/>
      <c r="I482" s="59"/>
      <c r="J482" s="1173"/>
      <c r="K482" s="59"/>
      <c r="L482" s="1173"/>
      <c r="M482" s="59"/>
      <c r="N482" s="59"/>
      <c r="O482" s="59"/>
      <c r="P482" s="59"/>
      <c r="Q482" s="59"/>
      <c r="R482" s="59"/>
      <c r="S482" s="59"/>
      <c r="T482" s="59"/>
      <c r="U482" s="59"/>
      <c r="V482" s="59"/>
      <c r="W482" s="59"/>
      <c r="X482" s="59"/>
      <c r="Y482" s="59"/>
      <c r="Z482" s="59"/>
      <c r="AA482" s="59"/>
      <c r="AB482" s="59"/>
      <c r="AC482" s="59"/>
    </row>
    <row r="483" spans="1:29" ht="12.75">
      <c r="A483" s="59"/>
      <c r="B483" s="59"/>
      <c r="C483" s="59"/>
      <c r="D483" s="1173"/>
      <c r="E483" s="59"/>
      <c r="F483" s="1173"/>
      <c r="G483" s="1174"/>
      <c r="H483" s="59"/>
      <c r="I483" s="59"/>
      <c r="J483" s="1173"/>
      <c r="K483" s="59"/>
      <c r="L483" s="1173"/>
      <c r="M483" s="59"/>
      <c r="N483" s="59"/>
      <c r="O483" s="59"/>
      <c r="P483" s="59"/>
      <c r="Q483" s="59"/>
      <c r="R483" s="59"/>
      <c r="S483" s="59"/>
      <c r="T483" s="59"/>
      <c r="U483" s="59"/>
      <c r="V483" s="59"/>
      <c r="W483" s="59"/>
      <c r="X483" s="59"/>
      <c r="Y483" s="59"/>
      <c r="Z483" s="59"/>
      <c r="AA483" s="59"/>
      <c r="AB483" s="59"/>
      <c r="AC483" s="59"/>
    </row>
    <row r="484" spans="1:29" ht="12.75">
      <c r="A484" s="59"/>
      <c r="B484" s="59"/>
      <c r="C484" s="59"/>
      <c r="D484" s="1173"/>
      <c r="E484" s="59"/>
      <c r="F484" s="1173"/>
      <c r="G484" s="1174"/>
      <c r="H484" s="59"/>
      <c r="I484" s="59"/>
      <c r="J484" s="1173"/>
      <c r="K484" s="59"/>
      <c r="L484" s="1173"/>
      <c r="M484" s="59"/>
      <c r="N484" s="59"/>
      <c r="O484" s="59"/>
      <c r="P484" s="59"/>
      <c r="Q484" s="59"/>
      <c r="R484" s="59"/>
      <c r="S484" s="59"/>
      <c r="T484" s="59"/>
      <c r="U484" s="59"/>
      <c r="V484" s="59"/>
      <c r="W484" s="59"/>
      <c r="X484" s="59"/>
      <c r="Y484" s="59"/>
      <c r="Z484" s="59"/>
      <c r="AA484" s="59"/>
      <c r="AB484" s="59"/>
      <c r="AC484" s="59"/>
    </row>
    <row r="485" spans="1:29" ht="12.75">
      <c r="A485" s="59"/>
      <c r="B485" s="59"/>
      <c r="C485" s="59"/>
      <c r="D485" s="1173"/>
      <c r="E485" s="59"/>
      <c r="F485" s="1173"/>
      <c r="G485" s="1174"/>
      <c r="H485" s="59"/>
      <c r="I485" s="59"/>
      <c r="J485" s="1173"/>
      <c r="K485" s="59"/>
      <c r="L485" s="1173"/>
      <c r="M485" s="59"/>
      <c r="N485" s="59"/>
      <c r="O485" s="59"/>
      <c r="P485" s="59"/>
      <c r="Q485" s="59"/>
      <c r="R485" s="59"/>
      <c r="S485" s="59"/>
      <c r="T485" s="59"/>
      <c r="U485" s="59"/>
      <c r="V485" s="59"/>
      <c r="W485" s="59"/>
      <c r="X485" s="59"/>
      <c r="Y485" s="59"/>
      <c r="Z485" s="59"/>
      <c r="AA485" s="59"/>
      <c r="AB485" s="59"/>
      <c r="AC485" s="59"/>
    </row>
    <row r="486" spans="1:29" ht="12.75">
      <c r="A486" s="59"/>
      <c r="B486" s="59"/>
      <c r="C486" s="59"/>
      <c r="D486" s="1173"/>
      <c r="E486" s="59"/>
      <c r="F486" s="1173"/>
      <c r="G486" s="1174"/>
      <c r="H486" s="59"/>
      <c r="I486" s="59"/>
      <c r="J486" s="1173"/>
      <c r="K486" s="59"/>
      <c r="L486" s="1173"/>
      <c r="M486" s="59"/>
      <c r="N486" s="59"/>
      <c r="O486" s="59"/>
      <c r="P486" s="59"/>
      <c r="Q486" s="59"/>
      <c r="R486" s="59"/>
      <c r="S486" s="59"/>
      <c r="T486" s="59"/>
      <c r="U486" s="59"/>
      <c r="V486" s="59"/>
      <c r="W486" s="59"/>
      <c r="X486" s="59"/>
      <c r="Y486" s="59"/>
      <c r="Z486" s="59"/>
      <c r="AA486" s="59"/>
      <c r="AB486" s="59"/>
      <c r="AC486" s="59"/>
    </row>
    <row r="487" spans="1:29" ht="12.75">
      <c r="A487" s="59"/>
      <c r="B487" s="59"/>
      <c r="C487" s="59"/>
      <c r="D487" s="1173"/>
      <c r="E487" s="59"/>
      <c r="F487" s="1173"/>
      <c r="G487" s="1174"/>
      <c r="H487" s="59"/>
      <c r="I487" s="59"/>
      <c r="J487" s="1173"/>
      <c r="K487" s="59"/>
      <c r="L487" s="1173"/>
      <c r="M487" s="59"/>
      <c r="N487" s="59"/>
      <c r="O487" s="59"/>
      <c r="P487" s="59"/>
      <c r="Q487" s="59"/>
      <c r="R487" s="59"/>
      <c r="S487" s="59"/>
      <c r="T487" s="59"/>
      <c r="U487" s="59"/>
      <c r="V487" s="59"/>
      <c r="W487" s="59"/>
      <c r="X487" s="59"/>
      <c r="Y487" s="59"/>
      <c r="Z487" s="59"/>
      <c r="AA487" s="59"/>
      <c r="AB487" s="59"/>
      <c r="AC487" s="59"/>
    </row>
    <row r="488" spans="1:29" ht="12.75">
      <c r="A488" s="59"/>
      <c r="B488" s="59"/>
      <c r="C488" s="59"/>
      <c r="D488" s="1173"/>
      <c r="E488" s="59"/>
      <c r="F488" s="1173"/>
      <c r="G488" s="1174"/>
      <c r="H488" s="59"/>
      <c r="I488" s="59"/>
      <c r="J488" s="1173"/>
      <c r="K488" s="59"/>
      <c r="L488" s="1173"/>
      <c r="M488" s="59"/>
      <c r="N488" s="59"/>
      <c r="O488" s="59"/>
      <c r="P488" s="59"/>
      <c r="Q488" s="59"/>
      <c r="R488" s="59"/>
      <c r="S488" s="59"/>
      <c r="T488" s="59"/>
      <c r="U488" s="59"/>
      <c r="V488" s="59"/>
      <c r="W488" s="59"/>
      <c r="X488" s="59"/>
      <c r="Y488" s="59"/>
      <c r="Z488" s="59"/>
      <c r="AA488" s="59"/>
      <c r="AB488" s="59"/>
      <c r="AC488" s="59"/>
    </row>
    <row r="489" spans="1:29" ht="12.75">
      <c r="A489" s="59"/>
      <c r="B489" s="59"/>
      <c r="C489" s="59"/>
      <c r="D489" s="1173"/>
      <c r="E489" s="59"/>
      <c r="F489" s="1173"/>
      <c r="G489" s="1174"/>
      <c r="H489" s="59"/>
      <c r="I489" s="59"/>
      <c r="J489" s="1173"/>
      <c r="K489" s="59"/>
      <c r="L489" s="1173"/>
      <c r="M489" s="59"/>
      <c r="N489" s="59"/>
      <c r="O489" s="59"/>
      <c r="P489" s="59"/>
      <c r="Q489" s="59"/>
      <c r="R489" s="59"/>
      <c r="S489" s="59"/>
      <c r="T489" s="59"/>
      <c r="U489" s="59"/>
      <c r="V489" s="59"/>
      <c r="W489" s="59"/>
      <c r="X489" s="59"/>
      <c r="Y489" s="59"/>
      <c r="Z489" s="59"/>
      <c r="AA489" s="59"/>
      <c r="AB489" s="59"/>
      <c r="AC489" s="59"/>
    </row>
    <row r="490" spans="1:29" ht="12.75">
      <c r="A490" s="59"/>
      <c r="B490" s="59"/>
      <c r="C490" s="59"/>
      <c r="D490" s="1173"/>
      <c r="E490" s="59"/>
      <c r="F490" s="1173"/>
      <c r="G490" s="1174"/>
      <c r="H490" s="59"/>
      <c r="I490" s="59"/>
      <c r="J490" s="1173"/>
      <c r="K490" s="59"/>
      <c r="L490" s="1173"/>
      <c r="M490" s="59"/>
      <c r="N490" s="59"/>
      <c r="O490" s="59"/>
      <c r="P490" s="59"/>
      <c r="Q490" s="59"/>
      <c r="R490" s="59"/>
      <c r="S490" s="59"/>
      <c r="T490" s="59"/>
      <c r="U490" s="59"/>
      <c r="V490" s="59"/>
      <c r="W490" s="59"/>
      <c r="X490" s="59"/>
      <c r="Y490" s="59"/>
      <c r="Z490" s="59"/>
      <c r="AA490" s="59"/>
      <c r="AB490" s="59"/>
      <c r="AC490" s="59"/>
    </row>
    <row r="491" spans="1:29" ht="12.75">
      <c r="A491" s="59"/>
      <c r="B491" s="59"/>
      <c r="C491" s="59"/>
      <c r="D491" s="1173"/>
      <c r="E491" s="59"/>
      <c r="F491" s="1173"/>
      <c r="G491" s="1174"/>
      <c r="H491" s="59"/>
      <c r="I491" s="59"/>
      <c r="J491" s="1173"/>
      <c r="K491" s="59"/>
      <c r="L491" s="1173"/>
      <c r="M491" s="59"/>
      <c r="N491" s="59"/>
      <c r="O491" s="59"/>
      <c r="P491" s="59"/>
      <c r="Q491" s="59"/>
      <c r="R491" s="59"/>
      <c r="S491" s="59"/>
      <c r="T491" s="59"/>
      <c r="U491" s="59"/>
      <c r="V491" s="59"/>
      <c r="W491" s="59"/>
      <c r="X491" s="59"/>
      <c r="Y491" s="59"/>
      <c r="Z491" s="59"/>
      <c r="AA491" s="59"/>
      <c r="AB491" s="59"/>
      <c r="AC491" s="59"/>
    </row>
    <row r="492" spans="1:29" ht="12.75">
      <c r="A492" s="59"/>
      <c r="B492" s="59"/>
      <c r="C492" s="59"/>
      <c r="D492" s="1173"/>
      <c r="E492" s="59"/>
      <c r="F492" s="1173"/>
      <c r="G492" s="1174"/>
      <c r="H492" s="59"/>
      <c r="I492" s="59"/>
      <c r="J492" s="1173"/>
      <c r="K492" s="59"/>
      <c r="L492" s="1173"/>
      <c r="M492" s="59"/>
      <c r="N492" s="59"/>
      <c r="O492" s="59"/>
      <c r="P492" s="59"/>
      <c r="Q492" s="59"/>
      <c r="R492" s="59"/>
      <c r="S492" s="59"/>
      <c r="T492" s="59"/>
      <c r="U492" s="59"/>
      <c r="V492" s="59"/>
      <c r="W492" s="59"/>
      <c r="X492" s="59"/>
      <c r="Y492" s="59"/>
      <c r="Z492" s="59"/>
      <c r="AA492" s="59"/>
      <c r="AB492" s="59"/>
      <c r="AC492" s="59"/>
    </row>
    <row r="493" spans="1:29" ht="12.75">
      <c r="A493" s="59"/>
      <c r="B493" s="59"/>
      <c r="C493" s="59"/>
      <c r="D493" s="1173"/>
      <c r="E493" s="59"/>
      <c r="F493" s="1173"/>
      <c r="G493" s="1174"/>
      <c r="H493" s="59"/>
      <c r="I493" s="59"/>
      <c r="J493" s="1173"/>
      <c r="K493" s="59"/>
      <c r="L493" s="1173"/>
      <c r="M493" s="59"/>
      <c r="N493" s="59"/>
      <c r="O493" s="59"/>
      <c r="P493" s="59"/>
      <c r="Q493" s="59"/>
      <c r="R493" s="59"/>
      <c r="S493" s="59"/>
      <c r="T493" s="59"/>
      <c r="U493" s="59"/>
      <c r="V493" s="59"/>
      <c r="W493" s="59"/>
      <c r="X493" s="59"/>
      <c r="Y493" s="59"/>
      <c r="Z493" s="59"/>
      <c r="AA493" s="59"/>
      <c r="AB493" s="59"/>
      <c r="AC493" s="59"/>
    </row>
    <row r="494" spans="1:29" ht="12.75">
      <c r="A494" s="59"/>
      <c r="B494" s="59"/>
      <c r="C494" s="59"/>
      <c r="D494" s="1173"/>
      <c r="E494" s="59"/>
      <c r="F494" s="1173"/>
      <c r="G494" s="1174"/>
      <c r="H494" s="59"/>
      <c r="I494" s="59"/>
      <c r="J494" s="1173"/>
      <c r="K494" s="59"/>
      <c r="L494" s="1173"/>
      <c r="M494" s="59"/>
      <c r="N494" s="59"/>
      <c r="O494" s="59"/>
      <c r="P494" s="59"/>
      <c r="Q494" s="59"/>
      <c r="R494" s="59"/>
      <c r="S494" s="59"/>
      <c r="T494" s="59"/>
      <c r="U494" s="59"/>
      <c r="V494" s="59"/>
      <c r="W494" s="59"/>
      <c r="X494" s="59"/>
      <c r="Y494" s="59"/>
      <c r="Z494" s="59"/>
      <c r="AA494" s="59"/>
      <c r="AB494" s="59"/>
      <c r="AC494" s="59"/>
    </row>
    <row r="495" spans="1:29" ht="12.75">
      <c r="A495" s="59"/>
      <c r="B495" s="59"/>
      <c r="C495" s="59"/>
      <c r="D495" s="1173"/>
      <c r="E495" s="59"/>
      <c r="F495" s="1173"/>
      <c r="G495" s="1174"/>
      <c r="H495" s="59"/>
      <c r="I495" s="59"/>
      <c r="J495" s="1173"/>
      <c r="K495" s="59"/>
      <c r="L495" s="1173"/>
      <c r="M495" s="59"/>
      <c r="N495" s="59"/>
      <c r="O495" s="59"/>
      <c r="P495" s="59"/>
      <c r="Q495" s="59"/>
      <c r="R495" s="59"/>
      <c r="S495" s="59"/>
      <c r="T495" s="59"/>
      <c r="U495" s="59"/>
      <c r="V495" s="59"/>
      <c r="W495" s="59"/>
      <c r="X495" s="59"/>
      <c r="Y495" s="59"/>
      <c r="Z495" s="59"/>
      <c r="AA495" s="59"/>
      <c r="AB495" s="59"/>
      <c r="AC495" s="59"/>
    </row>
    <row r="496" spans="1:29" ht="12.75">
      <c r="A496" s="59"/>
      <c r="B496" s="59"/>
      <c r="C496" s="59"/>
      <c r="D496" s="1173"/>
      <c r="E496" s="59"/>
      <c r="F496" s="1173"/>
      <c r="G496" s="1174"/>
      <c r="H496" s="59"/>
      <c r="I496" s="59"/>
      <c r="J496" s="1173"/>
      <c r="K496" s="59"/>
      <c r="L496" s="1173"/>
      <c r="M496" s="59"/>
      <c r="N496" s="59"/>
      <c r="O496" s="59"/>
      <c r="P496" s="59"/>
      <c r="Q496" s="59"/>
      <c r="R496" s="59"/>
      <c r="S496" s="59"/>
      <c r="T496" s="59"/>
      <c r="U496" s="59"/>
      <c r="V496" s="59"/>
      <c r="W496" s="59"/>
      <c r="X496" s="59"/>
      <c r="Y496" s="59"/>
      <c r="Z496" s="59"/>
      <c r="AA496" s="59"/>
      <c r="AB496" s="59"/>
      <c r="AC496" s="59"/>
    </row>
    <row r="497" spans="1:29" ht="12.75">
      <c r="A497" s="59"/>
      <c r="B497" s="59"/>
      <c r="C497" s="59"/>
      <c r="D497" s="1173"/>
      <c r="E497" s="59"/>
      <c r="F497" s="1173"/>
      <c r="G497" s="1174"/>
      <c r="H497" s="59"/>
      <c r="I497" s="59"/>
      <c r="J497" s="1173"/>
      <c r="K497" s="59"/>
      <c r="L497" s="1173"/>
      <c r="M497" s="59"/>
      <c r="N497" s="59"/>
      <c r="O497" s="59"/>
      <c r="P497" s="59"/>
      <c r="Q497" s="59"/>
      <c r="R497" s="59"/>
      <c r="S497" s="59"/>
      <c r="T497" s="59"/>
      <c r="U497" s="59"/>
      <c r="V497" s="59"/>
      <c r="W497" s="59"/>
      <c r="X497" s="59"/>
      <c r="Y497" s="59"/>
      <c r="Z497" s="59"/>
      <c r="AA497" s="59"/>
      <c r="AB497" s="59"/>
      <c r="AC497" s="59"/>
    </row>
    <row r="498" spans="1:29" ht="12.75">
      <c r="A498" s="59"/>
      <c r="B498" s="59"/>
      <c r="C498" s="59"/>
      <c r="D498" s="1173"/>
      <c r="E498" s="59"/>
      <c r="F498" s="1173"/>
      <c r="G498" s="1174"/>
      <c r="H498" s="59"/>
      <c r="I498" s="59"/>
      <c r="J498" s="1173"/>
      <c r="K498" s="59"/>
      <c r="L498" s="1173"/>
      <c r="M498" s="59"/>
      <c r="N498" s="59"/>
      <c r="O498" s="59"/>
      <c r="P498" s="59"/>
      <c r="Q498" s="59"/>
      <c r="R498" s="59"/>
      <c r="S498" s="59"/>
      <c r="T498" s="59"/>
      <c r="U498" s="59"/>
      <c r="V498" s="59"/>
      <c r="W498" s="59"/>
      <c r="X498" s="59"/>
      <c r="Y498" s="59"/>
      <c r="Z498" s="59"/>
      <c r="AA498" s="59"/>
      <c r="AB498" s="59"/>
      <c r="AC498" s="59"/>
    </row>
    <row r="499" spans="1:29" ht="12.75">
      <c r="A499" s="59"/>
      <c r="B499" s="59"/>
      <c r="C499" s="59"/>
      <c r="D499" s="1173"/>
      <c r="E499" s="59"/>
      <c r="F499" s="1173"/>
      <c r="G499" s="1174"/>
      <c r="H499" s="59"/>
      <c r="I499" s="59"/>
      <c r="J499" s="1173"/>
      <c r="K499" s="59"/>
      <c r="L499" s="1173"/>
      <c r="M499" s="59"/>
      <c r="N499" s="59"/>
      <c r="O499" s="59"/>
      <c r="P499" s="59"/>
      <c r="Q499" s="59"/>
      <c r="R499" s="59"/>
      <c r="S499" s="59"/>
      <c r="T499" s="59"/>
      <c r="U499" s="59"/>
      <c r="V499" s="59"/>
      <c r="W499" s="59"/>
      <c r="X499" s="59"/>
      <c r="Y499" s="59"/>
      <c r="Z499" s="59"/>
      <c r="AA499" s="59"/>
      <c r="AB499" s="59"/>
      <c r="AC499" s="59"/>
    </row>
    <row r="500" spans="1:29" ht="12.75">
      <c r="A500" s="59"/>
      <c r="B500" s="59"/>
      <c r="C500" s="59"/>
      <c r="D500" s="1173"/>
      <c r="E500" s="59"/>
      <c r="F500" s="1173"/>
      <c r="G500" s="1174"/>
      <c r="H500" s="59"/>
      <c r="I500" s="59"/>
      <c r="J500" s="1173"/>
      <c r="K500" s="59"/>
      <c r="L500" s="1173"/>
      <c r="M500" s="59"/>
      <c r="N500" s="59"/>
      <c r="O500" s="59"/>
      <c r="P500" s="59"/>
      <c r="Q500" s="59"/>
      <c r="R500" s="59"/>
      <c r="S500" s="59"/>
      <c r="T500" s="59"/>
      <c r="U500" s="59"/>
      <c r="V500" s="59"/>
      <c r="W500" s="59"/>
      <c r="X500" s="59"/>
      <c r="Y500" s="59"/>
      <c r="Z500" s="59"/>
      <c r="AA500" s="59"/>
      <c r="AB500" s="59"/>
      <c r="AC500" s="59"/>
    </row>
    <row r="501" spans="1:29" ht="12.75">
      <c r="A501" s="59"/>
      <c r="B501" s="59"/>
      <c r="C501" s="59"/>
      <c r="D501" s="1173"/>
      <c r="E501" s="59"/>
      <c r="F501" s="1173"/>
      <c r="G501" s="1174"/>
      <c r="H501" s="59"/>
      <c r="I501" s="59"/>
      <c r="J501" s="1173"/>
      <c r="K501" s="59"/>
      <c r="L501" s="1173"/>
      <c r="M501" s="59"/>
      <c r="N501" s="59"/>
      <c r="O501" s="59"/>
      <c r="P501" s="59"/>
      <c r="Q501" s="59"/>
      <c r="R501" s="59"/>
      <c r="S501" s="59"/>
      <c r="T501" s="59"/>
      <c r="U501" s="59"/>
      <c r="V501" s="59"/>
      <c r="W501" s="59"/>
      <c r="X501" s="59"/>
      <c r="Y501" s="59"/>
      <c r="Z501" s="59"/>
      <c r="AA501" s="59"/>
      <c r="AB501" s="59"/>
      <c r="AC501" s="59"/>
    </row>
    <row r="502" spans="1:29" ht="12.75">
      <c r="A502" s="59"/>
      <c r="B502" s="59"/>
      <c r="C502" s="59"/>
      <c r="D502" s="1173"/>
      <c r="E502" s="59"/>
      <c r="F502" s="1173"/>
      <c r="G502" s="1174"/>
      <c r="H502" s="59"/>
      <c r="I502" s="59"/>
      <c r="J502" s="1173"/>
      <c r="K502" s="59"/>
      <c r="L502" s="1173"/>
      <c r="M502" s="59"/>
      <c r="N502" s="59"/>
      <c r="O502" s="59"/>
      <c r="P502" s="59"/>
      <c r="Q502" s="59"/>
      <c r="R502" s="59"/>
      <c r="S502" s="59"/>
      <c r="T502" s="59"/>
      <c r="U502" s="59"/>
      <c r="V502" s="59"/>
      <c r="W502" s="59"/>
      <c r="X502" s="59"/>
      <c r="Y502" s="59"/>
      <c r="Z502" s="59"/>
      <c r="AA502" s="59"/>
      <c r="AB502" s="59"/>
      <c r="AC502" s="59"/>
    </row>
    <row r="503" spans="1:29" ht="12.75">
      <c r="A503" s="59"/>
      <c r="B503" s="59"/>
      <c r="C503" s="59"/>
      <c r="D503" s="1173"/>
      <c r="E503" s="59"/>
      <c r="F503" s="1173"/>
      <c r="G503" s="1174"/>
      <c r="H503" s="59"/>
      <c r="I503" s="59"/>
      <c r="J503" s="1173"/>
      <c r="K503" s="59"/>
      <c r="L503" s="1173"/>
      <c r="M503" s="59"/>
      <c r="N503" s="59"/>
      <c r="O503" s="59"/>
      <c r="P503" s="59"/>
      <c r="Q503" s="59"/>
      <c r="R503" s="59"/>
      <c r="S503" s="59"/>
      <c r="T503" s="59"/>
      <c r="U503" s="59"/>
      <c r="V503" s="59"/>
      <c r="W503" s="59"/>
      <c r="X503" s="59"/>
      <c r="Y503" s="59"/>
      <c r="Z503" s="59"/>
      <c r="AA503" s="59"/>
      <c r="AB503" s="59"/>
      <c r="AC503" s="59"/>
    </row>
    <row r="504" spans="1:29" ht="12.75">
      <c r="A504" s="59"/>
      <c r="B504" s="59"/>
      <c r="C504" s="59"/>
      <c r="D504" s="1173"/>
      <c r="E504" s="59"/>
      <c r="F504" s="1173"/>
      <c r="G504" s="1174"/>
      <c r="H504" s="59"/>
      <c r="I504" s="59"/>
      <c r="J504" s="1173"/>
      <c r="K504" s="59"/>
      <c r="L504" s="1173"/>
      <c r="M504" s="59"/>
      <c r="N504" s="59"/>
      <c r="O504" s="59"/>
      <c r="P504" s="59"/>
      <c r="Q504" s="59"/>
      <c r="R504" s="59"/>
      <c r="S504" s="59"/>
      <c r="T504" s="59"/>
      <c r="U504" s="59"/>
      <c r="V504" s="59"/>
      <c r="W504" s="59"/>
      <c r="X504" s="59"/>
      <c r="Y504" s="59"/>
      <c r="Z504" s="59"/>
      <c r="AA504" s="59"/>
      <c r="AB504" s="59"/>
      <c r="AC504" s="59"/>
    </row>
    <row r="505" spans="1:29" ht="12.75">
      <c r="A505" s="59"/>
      <c r="B505" s="59"/>
      <c r="C505" s="59"/>
      <c r="D505" s="1173"/>
      <c r="E505" s="59"/>
      <c r="F505" s="1173"/>
      <c r="G505" s="1174"/>
      <c r="H505" s="59"/>
      <c r="I505" s="59"/>
      <c r="J505" s="1173"/>
      <c r="K505" s="59"/>
      <c r="L505" s="1173"/>
      <c r="M505" s="59"/>
      <c r="N505" s="59"/>
      <c r="O505" s="59"/>
      <c r="P505" s="59"/>
      <c r="Q505" s="59"/>
      <c r="R505" s="59"/>
      <c r="S505" s="59"/>
      <c r="T505" s="59"/>
      <c r="U505" s="59"/>
      <c r="V505" s="59"/>
      <c r="W505" s="59"/>
      <c r="X505" s="59"/>
      <c r="Y505" s="59"/>
      <c r="Z505" s="59"/>
      <c r="AA505" s="59"/>
      <c r="AB505" s="59"/>
      <c r="AC505" s="59"/>
    </row>
    <row r="506" spans="1:29" ht="12.75">
      <c r="A506" s="59"/>
      <c r="B506" s="59"/>
      <c r="C506" s="59"/>
      <c r="D506" s="1173"/>
      <c r="E506" s="59"/>
      <c r="F506" s="1173"/>
      <c r="G506" s="1174"/>
      <c r="H506" s="59"/>
      <c r="I506" s="59"/>
      <c r="J506" s="1173"/>
      <c r="K506" s="59"/>
      <c r="L506" s="1173"/>
      <c r="M506" s="59"/>
      <c r="N506" s="59"/>
      <c r="O506" s="59"/>
      <c r="P506" s="59"/>
      <c r="Q506" s="59"/>
      <c r="R506" s="59"/>
      <c r="S506" s="59"/>
      <c r="T506" s="59"/>
      <c r="U506" s="59"/>
      <c r="V506" s="59"/>
      <c r="W506" s="59"/>
      <c r="X506" s="59"/>
      <c r="Y506" s="59"/>
      <c r="Z506" s="59"/>
      <c r="AA506" s="59"/>
      <c r="AB506" s="59"/>
      <c r="AC506" s="59"/>
    </row>
    <row r="507" spans="1:29" ht="12.75">
      <c r="A507" s="59"/>
      <c r="B507" s="59"/>
      <c r="C507" s="59"/>
      <c r="D507" s="1173"/>
      <c r="E507" s="59"/>
      <c r="F507" s="1173"/>
      <c r="G507" s="1174"/>
      <c r="H507" s="59"/>
      <c r="I507" s="59"/>
      <c r="J507" s="1173"/>
      <c r="K507" s="59"/>
      <c r="L507" s="1173"/>
      <c r="M507" s="59"/>
      <c r="N507" s="59"/>
      <c r="O507" s="59"/>
      <c r="P507" s="59"/>
      <c r="Q507" s="59"/>
      <c r="R507" s="59"/>
      <c r="S507" s="59"/>
      <c r="T507" s="59"/>
      <c r="U507" s="59"/>
      <c r="V507" s="59"/>
      <c r="W507" s="59"/>
      <c r="X507" s="59"/>
      <c r="Y507" s="59"/>
      <c r="Z507" s="59"/>
      <c r="AA507" s="59"/>
      <c r="AB507" s="59"/>
      <c r="AC507" s="59"/>
    </row>
    <row r="508" spans="1:29" ht="12.75">
      <c r="A508" s="59"/>
      <c r="B508" s="59"/>
      <c r="C508" s="59"/>
      <c r="D508" s="1173"/>
      <c r="E508" s="59"/>
      <c r="F508" s="1173"/>
      <c r="G508" s="1174"/>
      <c r="H508" s="59"/>
      <c r="I508" s="59"/>
      <c r="J508" s="1173"/>
      <c r="K508" s="59"/>
      <c r="L508" s="1173"/>
      <c r="M508" s="59"/>
      <c r="N508" s="59"/>
      <c r="O508" s="59"/>
      <c r="P508" s="59"/>
      <c r="Q508" s="59"/>
      <c r="R508" s="59"/>
      <c r="S508" s="59"/>
      <c r="T508" s="59"/>
      <c r="U508" s="59"/>
      <c r="V508" s="59"/>
      <c r="W508" s="59"/>
      <c r="X508" s="59"/>
      <c r="Y508" s="59"/>
      <c r="Z508" s="59"/>
      <c r="AA508" s="59"/>
      <c r="AB508" s="59"/>
      <c r="AC508" s="59"/>
    </row>
    <row r="509" spans="1:29" ht="12.75">
      <c r="A509" s="59"/>
      <c r="B509" s="59"/>
      <c r="C509" s="59"/>
      <c r="D509" s="1173"/>
      <c r="E509" s="59"/>
      <c r="F509" s="1173"/>
      <c r="G509" s="1174"/>
      <c r="H509" s="59"/>
      <c r="I509" s="59"/>
      <c r="J509" s="1173"/>
      <c r="K509" s="59"/>
      <c r="L509" s="1173"/>
      <c r="M509" s="59"/>
      <c r="N509" s="59"/>
      <c r="O509" s="59"/>
      <c r="P509" s="59"/>
      <c r="Q509" s="59"/>
      <c r="R509" s="59"/>
      <c r="S509" s="59"/>
      <c r="T509" s="59"/>
      <c r="U509" s="59"/>
      <c r="V509" s="59"/>
      <c r="W509" s="59"/>
      <c r="X509" s="59"/>
      <c r="Y509" s="59"/>
      <c r="Z509" s="59"/>
      <c r="AA509" s="59"/>
      <c r="AB509" s="59"/>
      <c r="AC509" s="59"/>
    </row>
    <row r="510" spans="1:29" ht="12.75">
      <c r="A510" s="59"/>
      <c r="B510" s="59"/>
      <c r="C510" s="59"/>
      <c r="D510" s="1173"/>
      <c r="E510" s="59"/>
      <c r="F510" s="1173"/>
      <c r="G510" s="1174"/>
      <c r="H510" s="59"/>
      <c r="I510" s="59"/>
      <c r="J510" s="1173"/>
      <c r="K510" s="59"/>
      <c r="L510" s="1173"/>
      <c r="M510" s="59"/>
      <c r="N510" s="59"/>
      <c r="O510" s="59"/>
      <c r="P510" s="59"/>
      <c r="Q510" s="59"/>
      <c r="R510" s="59"/>
      <c r="S510" s="59"/>
      <c r="T510" s="59"/>
      <c r="U510" s="59"/>
      <c r="V510" s="59"/>
      <c r="W510" s="59"/>
      <c r="X510" s="59"/>
      <c r="Y510" s="59"/>
      <c r="Z510" s="59"/>
      <c r="AA510" s="59"/>
      <c r="AB510" s="59"/>
      <c r="AC510" s="59"/>
    </row>
    <row r="511" spans="1:29" ht="12.75">
      <c r="A511" s="59"/>
      <c r="B511" s="59"/>
      <c r="C511" s="59"/>
      <c r="D511" s="1173"/>
      <c r="E511" s="59"/>
      <c r="F511" s="1173"/>
      <c r="G511" s="1174"/>
      <c r="H511" s="59"/>
      <c r="I511" s="59"/>
      <c r="J511" s="1173"/>
      <c r="K511" s="59"/>
      <c r="L511" s="1173"/>
      <c r="M511" s="59"/>
      <c r="N511" s="59"/>
      <c r="O511" s="59"/>
      <c r="P511" s="59"/>
      <c r="Q511" s="59"/>
      <c r="R511" s="59"/>
      <c r="S511" s="59"/>
      <c r="T511" s="59"/>
      <c r="U511" s="59"/>
      <c r="V511" s="59"/>
      <c r="W511" s="59"/>
      <c r="X511" s="59"/>
      <c r="Y511" s="59"/>
      <c r="Z511" s="59"/>
      <c r="AA511" s="59"/>
      <c r="AB511" s="59"/>
      <c r="AC511" s="59"/>
    </row>
    <row r="512" spans="1:29" ht="12.75">
      <c r="A512" s="59"/>
      <c r="B512" s="59"/>
      <c r="C512" s="59"/>
      <c r="D512" s="1173"/>
      <c r="E512" s="59"/>
      <c r="F512" s="1173"/>
      <c r="G512" s="1174"/>
      <c r="H512" s="59"/>
      <c r="I512" s="59"/>
      <c r="J512" s="1173"/>
      <c r="K512" s="59"/>
      <c r="L512" s="1173"/>
      <c r="M512" s="59"/>
      <c r="N512" s="59"/>
      <c r="O512" s="59"/>
      <c r="P512" s="59"/>
      <c r="Q512" s="59"/>
      <c r="R512" s="59"/>
      <c r="S512" s="59"/>
      <c r="T512" s="59"/>
      <c r="U512" s="59"/>
      <c r="V512" s="59"/>
      <c r="W512" s="59"/>
      <c r="X512" s="59"/>
      <c r="Y512" s="59"/>
      <c r="Z512" s="59"/>
      <c r="AA512" s="59"/>
      <c r="AB512" s="59"/>
      <c r="AC512" s="59"/>
    </row>
    <row r="513" spans="1:29" ht="12.75">
      <c r="A513" s="59"/>
      <c r="B513" s="59"/>
      <c r="C513" s="59"/>
      <c r="D513" s="1173"/>
      <c r="E513" s="59"/>
      <c r="F513" s="1173"/>
      <c r="G513" s="1174"/>
      <c r="H513" s="59"/>
      <c r="I513" s="59"/>
      <c r="J513" s="1173"/>
      <c r="K513" s="59"/>
      <c r="L513" s="1173"/>
      <c r="M513" s="59"/>
      <c r="N513" s="59"/>
      <c r="O513" s="59"/>
      <c r="P513" s="59"/>
      <c r="Q513" s="59"/>
      <c r="R513" s="59"/>
      <c r="S513" s="59"/>
      <c r="T513" s="59"/>
      <c r="U513" s="59"/>
      <c r="V513" s="59"/>
      <c r="W513" s="59"/>
      <c r="X513" s="59"/>
      <c r="Y513" s="59"/>
      <c r="Z513" s="59"/>
      <c r="AA513" s="59"/>
      <c r="AB513" s="59"/>
      <c r="AC513" s="59"/>
    </row>
    <row r="514" spans="1:29" ht="12.75">
      <c r="A514" s="59"/>
      <c r="B514" s="59"/>
      <c r="C514" s="59"/>
      <c r="D514" s="1173"/>
      <c r="E514" s="59"/>
      <c r="F514" s="1173"/>
      <c r="G514" s="1174"/>
      <c r="H514" s="59"/>
      <c r="I514" s="59"/>
      <c r="J514" s="1173"/>
      <c r="K514" s="59"/>
      <c r="L514" s="1173"/>
      <c r="M514" s="59"/>
      <c r="N514" s="59"/>
      <c r="O514" s="59"/>
      <c r="P514" s="59"/>
      <c r="Q514" s="59"/>
      <c r="R514" s="59"/>
      <c r="S514" s="59"/>
      <c r="T514" s="59"/>
      <c r="U514" s="59"/>
      <c r="V514" s="59"/>
      <c r="W514" s="59"/>
      <c r="X514" s="59"/>
      <c r="Y514" s="59"/>
      <c r="Z514" s="59"/>
      <c r="AA514" s="59"/>
      <c r="AB514" s="59"/>
      <c r="AC514" s="59"/>
    </row>
    <row r="515" spans="1:29" ht="12.75">
      <c r="A515" s="59"/>
      <c r="B515" s="59"/>
      <c r="C515" s="59"/>
      <c r="D515" s="1173"/>
      <c r="E515" s="59"/>
      <c r="F515" s="1173"/>
      <c r="G515" s="1174"/>
      <c r="H515" s="59"/>
      <c r="I515" s="59"/>
      <c r="J515" s="1173"/>
      <c r="K515" s="59"/>
      <c r="L515" s="1173"/>
      <c r="M515" s="59"/>
      <c r="N515" s="59"/>
      <c r="O515" s="59"/>
      <c r="P515" s="59"/>
      <c r="Q515" s="59"/>
      <c r="R515" s="59"/>
      <c r="S515" s="59"/>
      <c r="T515" s="59"/>
      <c r="U515" s="59"/>
      <c r="V515" s="59"/>
      <c r="W515" s="59"/>
      <c r="X515" s="59"/>
      <c r="Y515" s="59"/>
      <c r="Z515" s="59"/>
      <c r="AA515" s="59"/>
      <c r="AB515" s="59"/>
      <c r="AC515" s="59"/>
    </row>
    <row r="516" spans="1:29" ht="12.75">
      <c r="A516" s="59"/>
      <c r="B516" s="59"/>
      <c r="C516" s="59"/>
      <c r="D516" s="1173"/>
      <c r="E516" s="59"/>
      <c r="F516" s="1173"/>
      <c r="G516" s="1174"/>
      <c r="H516" s="59"/>
      <c r="I516" s="59"/>
      <c r="J516" s="1173"/>
      <c r="K516" s="59"/>
      <c r="L516" s="1173"/>
      <c r="M516" s="59"/>
      <c r="N516" s="59"/>
      <c r="O516" s="59"/>
      <c r="P516" s="59"/>
      <c r="Q516" s="59"/>
      <c r="R516" s="59"/>
      <c r="S516" s="59"/>
      <c r="T516" s="59"/>
      <c r="U516" s="59"/>
      <c r="V516" s="59"/>
      <c r="W516" s="59"/>
      <c r="X516" s="59"/>
      <c r="Y516" s="59"/>
      <c r="Z516" s="59"/>
      <c r="AA516" s="59"/>
      <c r="AB516" s="59"/>
      <c r="AC516" s="59"/>
    </row>
    <row r="517" spans="1:29" ht="12.75">
      <c r="A517" s="59"/>
      <c r="B517" s="59"/>
      <c r="C517" s="59"/>
      <c r="D517" s="1173"/>
      <c r="E517" s="59"/>
      <c r="F517" s="1173"/>
      <c r="G517" s="1174"/>
      <c r="H517" s="59"/>
      <c r="I517" s="59"/>
      <c r="J517" s="1173"/>
      <c r="K517" s="59"/>
      <c r="L517" s="1173"/>
      <c r="M517" s="59"/>
      <c r="N517" s="59"/>
      <c r="O517" s="59"/>
      <c r="P517" s="59"/>
      <c r="Q517" s="59"/>
      <c r="R517" s="59"/>
      <c r="S517" s="59"/>
      <c r="T517" s="59"/>
      <c r="U517" s="59"/>
      <c r="V517" s="59"/>
      <c r="W517" s="59"/>
      <c r="X517" s="59"/>
      <c r="Y517" s="59"/>
      <c r="Z517" s="59"/>
      <c r="AA517" s="59"/>
      <c r="AB517" s="59"/>
      <c r="AC517" s="59"/>
    </row>
    <row r="518" spans="1:29" ht="12.75">
      <c r="A518" s="59"/>
      <c r="B518" s="59"/>
      <c r="C518" s="59"/>
      <c r="D518" s="1173"/>
      <c r="E518" s="59"/>
      <c r="F518" s="1173"/>
      <c r="G518" s="1174"/>
      <c r="H518" s="59"/>
      <c r="I518" s="59"/>
      <c r="J518" s="1173"/>
      <c r="K518" s="59"/>
      <c r="L518" s="1173"/>
      <c r="M518" s="59"/>
      <c r="N518" s="59"/>
      <c r="O518" s="59"/>
      <c r="P518" s="59"/>
      <c r="Q518" s="59"/>
      <c r="R518" s="59"/>
      <c r="S518" s="59"/>
      <c r="T518" s="59"/>
      <c r="U518" s="59"/>
      <c r="V518" s="59"/>
      <c r="W518" s="59"/>
      <c r="X518" s="59"/>
      <c r="Y518" s="59"/>
      <c r="Z518" s="59"/>
      <c r="AA518" s="59"/>
      <c r="AB518" s="59"/>
      <c r="AC518" s="59"/>
    </row>
    <row r="519" spans="1:29" ht="12.75">
      <c r="A519" s="59"/>
      <c r="B519" s="59"/>
      <c r="C519" s="59"/>
      <c r="D519" s="1173"/>
      <c r="E519" s="59"/>
      <c r="F519" s="1173"/>
      <c r="G519" s="1174"/>
      <c r="H519" s="59"/>
      <c r="I519" s="59"/>
      <c r="J519" s="1173"/>
      <c r="K519" s="59"/>
      <c r="L519" s="1173"/>
      <c r="M519" s="59"/>
      <c r="N519" s="59"/>
      <c r="O519" s="59"/>
      <c r="P519" s="59"/>
      <c r="Q519" s="59"/>
      <c r="R519" s="59"/>
      <c r="S519" s="59"/>
      <c r="T519" s="59"/>
      <c r="U519" s="59"/>
      <c r="V519" s="59"/>
      <c r="W519" s="59"/>
      <c r="X519" s="59"/>
      <c r="Y519" s="59"/>
      <c r="Z519" s="59"/>
      <c r="AA519" s="59"/>
      <c r="AB519" s="59"/>
      <c r="AC519" s="59"/>
    </row>
    <row r="520" spans="1:29" ht="12.75">
      <c r="A520" s="59"/>
      <c r="B520" s="59"/>
      <c r="C520" s="59"/>
      <c r="D520" s="1173"/>
      <c r="E520" s="59"/>
      <c r="F520" s="1173"/>
      <c r="G520" s="1174"/>
      <c r="H520" s="59"/>
      <c r="I520" s="59"/>
      <c r="J520" s="1173"/>
      <c r="K520" s="59"/>
      <c r="L520" s="1173"/>
      <c r="M520" s="59"/>
      <c r="N520" s="59"/>
      <c r="O520" s="59"/>
      <c r="P520" s="59"/>
      <c r="Q520" s="59"/>
      <c r="R520" s="59"/>
      <c r="S520" s="59"/>
      <c r="T520" s="59"/>
      <c r="U520" s="59"/>
      <c r="V520" s="59"/>
      <c r="W520" s="59"/>
      <c r="X520" s="59"/>
      <c r="Y520" s="59"/>
      <c r="Z520" s="59"/>
      <c r="AA520" s="59"/>
      <c r="AB520" s="59"/>
      <c r="AC520" s="59"/>
    </row>
    <row r="521" spans="1:29" ht="12.75">
      <c r="A521" s="59"/>
      <c r="B521" s="59"/>
      <c r="C521" s="59"/>
      <c r="D521" s="1173"/>
      <c r="E521" s="59"/>
      <c r="F521" s="1173"/>
      <c r="G521" s="1174"/>
      <c r="H521" s="59"/>
      <c r="I521" s="59"/>
      <c r="J521" s="1173"/>
      <c r="K521" s="59"/>
      <c r="L521" s="1173"/>
      <c r="M521" s="59"/>
      <c r="N521" s="59"/>
      <c r="O521" s="59"/>
      <c r="P521" s="59"/>
      <c r="Q521" s="59"/>
      <c r="R521" s="59"/>
      <c r="S521" s="59"/>
      <c r="T521" s="59"/>
      <c r="U521" s="59"/>
      <c r="V521" s="59"/>
      <c r="W521" s="59"/>
      <c r="X521" s="59"/>
      <c r="Y521" s="59"/>
      <c r="Z521" s="59"/>
      <c r="AA521" s="59"/>
      <c r="AB521" s="59"/>
      <c r="AC521" s="59"/>
    </row>
    <row r="522" spans="1:29" ht="12.75">
      <c r="A522" s="59"/>
      <c r="B522" s="59"/>
      <c r="C522" s="59"/>
      <c r="D522" s="1173"/>
      <c r="E522" s="59"/>
      <c r="F522" s="1173"/>
      <c r="G522" s="1174"/>
      <c r="H522" s="59"/>
      <c r="I522" s="59"/>
      <c r="J522" s="1173"/>
      <c r="K522" s="59"/>
      <c r="L522" s="1173"/>
      <c r="M522" s="59"/>
      <c r="N522" s="59"/>
      <c r="O522" s="59"/>
      <c r="P522" s="59"/>
      <c r="Q522" s="59"/>
      <c r="R522" s="59"/>
      <c r="S522" s="59"/>
      <c r="T522" s="59"/>
      <c r="U522" s="59"/>
      <c r="V522" s="59"/>
      <c r="W522" s="59"/>
      <c r="X522" s="59"/>
      <c r="Y522" s="59"/>
      <c r="Z522" s="59"/>
      <c r="AA522" s="59"/>
      <c r="AB522" s="59"/>
      <c r="AC522" s="59"/>
    </row>
    <row r="523" spans="1:29" ht="12.75">
      <c r="A523" s="59"/>
      <c r="B523" s="59"/>
      <c r="C523" s="59"/>
      <c r="D523" s="1173"/>
      <c r="E523" s="59"/>
      <c r="F523" s="1173"/>
      <c r="G523" s="1174"/>
      <c r="H523" s="59"/>
      <c r="I523" s="59"/>
      <c r="J523" s="1173"/>
      <c r="K523" s="59"/>
      <c r="L523" s="1173"/>
      <c r="M523" s="59"/>
      <c r="N523" s="59"/>
      <c r="O523" s="59"/>
      <c r="P523" s="59"/>
      <c r="Q523" s="59"/>
      <c r="R523" s="59"/>
      <c r="S523" s="59"/>
      <c r="T523" s="59"/>
      <c r="U523" s="59"/>
      <c r="V523" s="59"/>
      <c r="W523" s="59"/>
      <c r="X523" s="59"/>
      <c r="Y523" s="59"/>
      <c r="Z523" s="59"/>
      <c r="AA523" s="59"/>
      <c r="AB523" s="59"/>
      <c r="AC523" s="59"/>
    </row>
    <row r="524" spans="1:29" ht="12.75">
      <c r="A524" s="59"/>
      <c r="B524" s="59"/>
      <c r="C524" s="59"/>
      <c r="D524" s="1173"/>
      <c r="E524" s="59"/>
      <c r="F524" s="1173"/>
      <c r="G524" s="1174"/>
      <c r="H524" s="59"/>
      <c r="I524" s="59"/>
      <c r="J524" s="1173"/>
      <c r="K524" s="59"/>
      <c r="L524" s="1173"/>
      <c r="M524" s="59"/>
      <c r="N524" s="59"/>
      <c r="O524" s="59"/>
      <c r="P524" s="59"/>
      <c r="Q524" s="59"/>
      <c r="R524" s="59"/>
      <c r="S524" s="59"/>
      <c r="T524" s="59"/>
      <c r="U524" s="59"/>
      <c r="V524" s="59"/>
      <c r="W524" s="59"/>
      <c r="X524" s="59"/>
      <c r="Y524" s="59"/>
      <c r="Z524" s="59"/>
      <c r="AA524" s="59"/>
      <c r="AB524" s="59"/>
      <c r="AC524" s="59"/>
    </row>
    <row r="525" spans="1:29" ht="12.75">
      <c r="A525" s="59"/>
      <c r="B525" s="59"/>
      <c r="C525" s="59"/>
      <c r="D525" s="1173"/>
      <c r="E525" s="59"/>
      <c r="F525" s="1173"/>
      <c r="G525" s="1174"/>
      <c r="H525" s="59"/>
      <c r="I525" s="59"/>
      <c r="J525" s="1173"/>
      <c r="K525" s="59"/>
      <c r="L525" s="1173"/>
      <c r="M525" s="59"/>
      <c r="N525" s="59"/>
      <c r="O525" s="59"/>
      <c r="P525" s="59"/>
      <c r="Q525" s="59"/>
      <c r="R525" s="59"/>
      <c r="S525" s="59"/>
      <c r="T525" s="59"/>
      <c r="U525" s="59"/>
      <c r="V525" s="59"/>
      <c r="W525" s="59"/>
      <c r="X525" s="59"/>
      <c r="Y525" s="59"/>
      <c r="Z525" s="59"/>
      <c r="AA525" s="59"/>
      <c r="AB525" s="59"/>
      <c r="AC525" s="59"/>
    </row>
    <row r="526" spans="1:29" ht="12.75">
      <c r="A526" s="59"/>
      <c r="B526" s="59"/>
      <c r="C526" s="59"/>
      <c r="D526" s="1173"/>
      <c r="E526" s="59"/>
      <c r="F526" s="1173"/>
      <c r="G526" s="1174"/>
      <c r="H526" s="59"/>
      <c r="I526" s="59"/>
      <c r="J526" s="1173"/>
      <c r="K526" s="59"/>
      <c r="L526" s="1173"/>
      <c r="M526" s="59"/>
      <c r="N526" s="59"/>
      <c r="O526" s="59"/>
      <c r="P526" s="59"/>
      <c r="Q526" s="59"/>
      <c r="R526" s="59"/>
      <c r="S526" s="59"/>
      <c r="T526" s="59"/>
      <c r="U526" s="59"/>
      <c r="V526" s="59"/>
      <c r="W526" s="59"/>
      <c r="X526" s="59"/>
      <c r="Y526" s="59"/>
      <c r="Z526" s="59"/>
      <c r="AA526" s="59"/>
      <c r="AB526" s="59"/>
      <c r="AC526" s="59"/>
    </row>
    <row r="527" spans="1:29" ht="12.75">
      <c r="A527" s="59"/>
      <c r="B527" s="59"/>
      <c r="C527" s="59"/>
      <c r="D527" s="1173"/>
      <c r="E527" s="59"/>
      <c r="F527" s="1173"/>
      <c r="G527" s="1174"/>
      <c r="H527" s="59"/>
      <c r="I527" s="59"/>
      <c r="J527" s="1173"/>
      <c r="K527" s="59"/>
      <c r="L527" s="1173"/>
      <c r="M527" s="59"/>
      <c r="N527" s="59"/>
      <c r="O527" s="59"/>
      <c r="P527" s="59"/>
      <c r="Q527" s="59"/>
      <c r="R527" s="59"/>
      <c r="S527" s="59"/>
      <c r="T527" s="59"/>
      <c r="U527" s="59"/>
      <c r="V527" s="59"/>
      <c r="W527" s="59"/>
      <c r="X527" s="59"/>
      <c r="Y527" s="59"/>
      <c r="Z527" s="59"/>
      <c r="AA527" s="59"/>
      <c r="AB527" s="59"/>
      <c r="AC527" s="59"/>
    </row>
    <row r="528" spans="1:29" ht="12.75">
      <c r="A528" s="59"/>
      <c r="B528" s="59"/>
      <c r="C528" s="59"/>
      <c r="D528" s="1173"/>
      <c r="E528" s="59"/>
      <c r="F528" s="1173"/>
      <c r="G528" s="1174"/>
      <c r="H528" s="59"/>
      <c r="I528" s="59"/>
      <c r="J528" s="1173"/>
      <c r="K528" s="59"/>
      <c r="L528" s="1173"/>
      <c r="M528" s="59"/>
      <c r="N528" s="59"/>
      <c r="O528" s="59"/>
      <c r="P528" s="59"/>
      <c r="Q528" s="59"/>
      <c r="R528" s="59"/>
      <c r="S528" s="59"/>
      <c r="T528" s="59"/>
      <c r="U528" s="59"/>
      <c r="V528" s="59"/>
      <c r="W528" s="59"/>
      <c r="X528" s="59"/>
      <c r="Y528" s="59"/>
      <c r="Z528" s="59"/>
      <c r="AA528" s="59"/>
      <c r="AB528" s="59"/>
      <c r="AC528" s="59"/>
    </row>
    <row r="529" spans="1:29" ht="12.75">
      <c r="A529" s="59"/>
      <c r="B529" s="59"/>
      <c r="C529" s="59"/>
      <c r="D529" s="1173"/>
      <c r="E529" s="59"/>
      <c r="F529" s="1173"/>
      <c r="G529" s="1174"/>
      <c r="H529" s="59"/>
      <c r="I529" s="59"/>
      <c r="J529" s="1173"/>
      <c r="K529" s="59"/>
      <c r="L529" s="1173"/>
      <c r="M529" s="59"/>
      <c r="N529" s="59"/>
      <c r="O529" s="59"/>
      <c r="P529" s="59"/>
      <c r="Q529" s="59"/>
      <c r="R529" s="59"/>
      <c r="S529" s="59"/>
      <c r="T529" s="59"/>
      <c r="U529" s="59"/>
      <c r="V529" s="59"/>
      <c r="W529" s="59"/>
      <c r="X529" s="59"/>
      <c r="Y529" s="59"/>
      <c r="Z529" s="59"/>
      <c r="AA529" s="59"/>
      <c r="AB529" s="59"/>
      <c r="AC529" s="59"/>
    </row>
    <row r="530" spans="1:29" ht="12.75">
      <c r="A530" s="59"/>
      <c r="B530" s="59"/>
      <c r="C530" s="59"/>
      <c r="D530" s="1173"/>
      <c r="E530" s="59"/>
      <c r="F530" s="1173"/>
      <c r="G530" s="1174"/>
      <c r="H530" s="59"/>
      <c r="I530" s="59"/>
      <c r="J530" s="1173"/>
      <c r="K530" s="59"/>
      <c r="L530" s="1173"/>
      <c r="M530" s="59"/>
      <c r="N530" s="59"/>
      <c r="O530" s="59"/>
      <c r="P530" s="59"/>
      <c r="Q530" s="59"/>
      <c r="R530" s="59"/>
      <c r="S530" s="59"/>
      <c r="T530" s="59"/>
      <c r="U530" s="59"/>
      <c r="V530" s="59"/>
      <c r="W530" s="59"/>
      <c r="X530" s="59"/>
      <c r="Y530" s="59"/>
      <c r="Z530" s="59"/>
      <c r="AA530" s="59"/>
      <c r="AB530" s="59"/>
      <c r="AC530" s="59"/>
    </row>
    <row r="531" spans="1:29" ht="12.75">
      <c r="A531" s="59"/>
      <c r="B531" s="59"/>
      <c r="C531" s="59"/>
      <c r="D531" s="1173"/>
      <c r="E531" s="59"/>
      <c r="F531" s="1173"/>
      <c r="G531" s="1174"/>
      <c r="H531" s="59"/>
      <c r="I531" s="59"/>
      <c r="J531" s="1173"/>
      <c r="K531" s="59"/>
      <c r="L531" s="1173"/>
      <c r="M531" s="59"/>
      <c r="N531" s="59"/>
      <c r="O531" s="59"/>
      <c r="P531" s="59"/>
      <c r="Q531" s="59"/>
      <c r="R531" s="59"/>
      <c r="S531" s="59"/>
      <c r="T531" s="59"/>
      <c r="U531" s="59"/>
      <c r="V531" s="59"/>
      <c r="W531" s="59"/>
      <c r="X531" s="59"/>
      <c r="Y531" s="59"/>
      <c r="Z531" s="59"/>
      <c r="AA531" s="59"/>
      <c r="AB531" s="59"/>
      <c r="AC531" s="59"/>
    </row>
    <row r="532" spans="1:29" ht="12.75">
      <c r="A532" s="59"/>
      <c r="B532" s="59"/>
      <c r="C532" s="59"/>
      <c r="D532" s="1173"/>
      <c r="E532" s="59"/>
      <c r="F532" s="1173"/>
      <c r="G532" s="1174"/>
      <c r="H532" s="59"/>
      <c r="I532" s="59"/>
      <c r="J532" s="1173"/>
      <c r="K532" s="59"/>
      <c r="L532" s="1173"/>
      <c r="M532" s="59"/>
      <c r="N532" s="59"/>
      <c r="O532" s="59"/>
      <c r="P532" s="59"/>
      <c r="Q532" s="59"/>
      <c r="R532" s="59"/>
      <c r="S532" s="59"/>
      <c r="T532" s="59"/>
      <c r="U532" s="59"/>
      <c r="V532" s="59"/>
      <c r="W532" s="59"/>
      <c r="X532" s="59"/>
      <c r="Y532" s="59"/>
      <c r="Z532" s="59"/>
      <c r="AA532" s="59"/>
      <c r="AB532" s="59"/>
      <c r="AC532" s="59"/>
    </row>
    <row r="533" spans="1:29" ht="12.75">
      <c r="A533" s="59"/>
      <c r="B533" s="59"/>
      <c r="C533" s="59"/>
      <c r="D533" s="1173"/>
      <c r="E533" s="59"/>
      <c r="F533" s="1173"/>
      <c r="G533" s="1174"/>
      <c r="H533" s="59"/>
      <c r="I533" s="59"/>
      <c r="J533" s="1173"/>
      <c r="K533" s="59"/>
      <c r="L533" s="1173"/>
      <c r="M533" s="59"/>
      <c r="N533" s="59"/>
      <c r="O533" s="59"/>
      <c r="P533" s="59"/>
      <c r="Q533" s="59"/>
      <c r="R533" s="59"/>
      <c r="S533" s="59"/>
      <c r="T533" s="59"/>
      <c r="U533" s="59"/>
      <c r="V533" s="59"/>
      <c r="W533" s="59"/>
      <c r="X533" s="59"/>
      <c r="Y533" s="59"/>
      <c r="Z533" s="59"/>
      <c r="AA533" s="59"/>
      <c r="AB533" s="59"/>
      <c r="AC533" s="59"/>
    </row>
    <row r="534" spans="1:29" ht="12.75">
      <c r="A534" s="59"/>
      <c r="B534" s="59"/>
      <c r="C534" s="59"/>
      <c r="D534" s="1173"/>
      <c r="E534" s="59"/>
      <c r="F534" s="1173"/>
      <c r="G534" s="1174"/>
      <c r="H534" s="59"/>
      <c r="I534" s="59"/>
      <c r="J534" s="1173"/>
      <c r="K534" s="59"/>
      <c r="L534" s="1173"/>
      <c r="M534" s="59"/>
      <c r="N534" s="59"/>
      <c r="O534" s="59"/>
      <c r="P534" s="59"/>
      <c r="Q534" s="59"/>
      <c r="R534" s="59"/>
      <c r="S534" s="59"/>
      <c r="T534" s="59"/>
      <c r="U534" s="59"/>
      <c r="V534" s="59"/>
      <c r="W534" s="59"/>
      <c r="X534" s="59"/>
      <c r="Y534" s="59"/>
      <c r="Z534" s="59"/>
      <c r="AA534" s="59"/>
      <c r="AB534" s="59"/>
      <c r="AC534" s="59"/>
    </row>
    <row r="535" spans="1:29" ht="12.75">
      <c r="A535" s="59"/>
      <c r="B535" s="59"/>
      <c r="C535" s="59"/>
      <c r="D535" s="1173"/>
      <c r="E535" s="59"/>
      <c r="F535" s="1173"/>
      <c r="G535" s="1174"/>
      <c r="H535" s="59"/>
      <c r="I535" s="59"/>
      <c r="J535" s="1173"/>
      <c r="K535" s="59"/>
      <c r="L535" s="1173"/>
      <c r="M535" s="59"/>
      <c r="N535" s="59"/>
      <c r="O535" s="59"/>
      <c r="P535" s="59"/>
      <c r="Q535" s="59"/>
      <c r="R535" s="59"/>
      <c r="S535" s="59"/>
      <c r="T535" s="59"/>
      <c r="U535" s="59"/>
      <c r="V535" s="59"/>
      <c r="W535" s="59"/>
      <c r="X535" s="59"/>
      <c r="Y535" s="59"/>
      <c r="Z535" s="59"/>
      <c r="AA535" s="59"/>
      <c r="AB535" s="59"/>
      <c r="AC535" s="59"/>
    </row>
    <row r="536" spans="1:29" ht="12.75">
      <c r="A536" s="59"/>
      <c r="B536" s="59"/>
      <c r="C536" s="59"/>
      <c r="D536" s="1173"/>
      <c r="E536" s="59"/>
      <c r="F536" s="1173"/>
      <c r="G536" s="1174"/>
      <c r="H536" s="59"/>
      <c r="I536" s="59"/>
      <c r="J536" s="1173"/>
      <c r="K536" s="59"/>
      <c r="L536" s="1173"/>
      <c r="M536" s="59"/>
      <c r="N536" s="59"/>
      <c r="O536" s="59"/>
      <c r="P536" s="59"/>
      <c r="Q536" s="59"/>
      <c r="R536" s="59"/>
      <c r="S536" s="59"/>
      <c r="T536" s="59"/>
      <c r="U536" s="59"/>
      <c r="V536" s="59"/>
      <c r="W536" s="59"/>
      <c r="X536" s="59"/>
      <c r="Y536" s="59"/>
      <c r="Z536" s="59"/>
      <c r="AA536" s="59"/>
      <c r="AB536" s="59"/>
      <c r="AC536" s="59"/>
    </row>
    <row r="537" spans="1:29" ht="12.75">
      <c r="A537" s="59"/>
      <c r="B537" s="59"/>
      <c r="C537" s="59"/>
      <c r="D537" s="1173"/>
      <c r="E537" s="59"/>
      <c r="F537" s="1173"/>
      <c r="G537" s="1174"/>
      <c r="H537" s="59"/>
      <c r="I537" s="59"/>
      <c r="J537" s="1173"/>
      <c r="K537" s="59"/>
      <c r="L537" s="1173"/>
      <c r="M537" s="59"/>
      <c r="N537" s="59"/>
      <c r="O537" s="59"/>
      <c r="P537" s="59"/>
      <c r="Q537" s="59"/>
      <c r="R537" s="59"/>
      <c r="S537" s="59"/>
      <c r="T537" s="59"/>
      <c r="U537" s="59"/>
      <c r="V537" s="59"/>
      <c r="W537" s="59"/>
      <c r="X537" s="59"/>
      <c r="Y537" s="59"/>
      <c r="Z537" s="59"/>
      <c r="AA537" s="59"/>
      <c r="AB537" s="59"/>
      <c r="AC537" s="59"/>
    </row>
    <row r="538" spans="1:29" ht="12.75">
      <c r="A538" s="59"/>
      <c r="B538" s="59"/>
      <c r="C538" s="59"/>
      <c r="D538" s="1173"/>
      <c r="E538" s="59"/>
      <c r="F538" s="1173"/>
      <c r="G538" s="1174"/>
      <c r="H538" s="59"/>
      <c r="I538" s="59"/>
      <c r="J538" s="1173"/>
      <c r="K538" s="59"/>
      <c r="L538" s="1173"/>
      <c r="M538" s="59"/>
      <c r="N538" s="59"/>
      <c r="O538" s="59"/>
      <c r="P538" s="59"/>
      <c r="Q538" s="59"/>
      <c r="R538" s="59"/>
      <c r="S538" s="59"/>
      <c r="T538" s="59"/>
      <c r="U538" s="59"/>
      <c r="V538" s="59"/>
      <c r="W538" s="59"/>
      <c r="X538" s="59"/>
      <c r="Y538" s="59"/>
      <c r="Z538" s="59"/>
      <c r="AA538" s="59"/>
      <c r="AB538" s="59"/>
      <c r="AC538" s="59"/>
    </row>
    <row r="539" spans="1:29" ht="12.75">
      <c r="A539" s="59"/>
      <c r="B539" s="59"/>
      <c r="C539" s="59"/>
      <c r="D539" s="1173"/>
      <c r="E539" s="59"/>
      <c r="F539" s="1173"/>
      <c r="G539" s="1174"/>
      <c r="H539" s="59"/>
      <c r="I539" s="59"/>
      <c r="J539" s="1173"/>
      <c r="K539" s="59"/>
      <c r="L539" s="1173"/>
      <c r="M539" s="59"/>
      <c r="N539" s="59"/>
      <c r="O539" s="59"/>
      <c r="P539" s="59"/>
      <c r="Q539" s="59"/>
      <c r="R539" s="59"/>
      <c r="S539" s="59"/>
      <c r="T539" s="59"/>
      <c r="U539" s="59"/>
      <c r="V539" s="59"/>
      <c r="W539" s="59"/>
      <c r="X539" s="59"/>
      <c r="Y539" s="59"/>
      <c r="Z539" s="59"/>
      <c r="AA539" s="59"/>
      <c r="AB539" s="59"/>
      <c r="AC539" s="59"/>
    </row>
    <row r="540" spans="1:29" ht="12.75">
      <c r="A540" s="59"/>
      <c r="B540" s="59"/>
      <c r="C540" s="59"/>
      <c r="D540" s="1173"/>
      <c r="E540" s="59"/>
      <c r="F540" s="1173"/>
      <c r="G540" s="1174"/>
      <c r="H540" s="59"/>
      <c r="I540" s="59"/>
      <c r="J540" s="1173"/>
      <c r="K540" s="59"/>
      <c r="L540" s="1173"/>
      <c r="M540" s="59"/>
      <c r="N540" s="59"/>
      <c r="O540" s="59"/>
      <c r="P540" s="59"/>
      <c r="Q540" s="59"/>
      <c r="R540" s="59"/>
      <c r="S540" s="59"/>
      <c r="T540" s="59"/>
      <c r="U540" s="59"/>
      <c r="V540" s="59"/>
      <c r="W540" s="59"/>
      <c r="X540" s="59"/>
      <c r="Y540" s="59"/>
      <c r="Z540" s="59"/>
      <c r="AA540" s="59"/>
      <c r="AB540" s="59"/>
      <c r="AC540" s="59"/>
    </row>
    <row r="541" spans="1:29" ht="12.75">
      <c r="A541" s="59"/>
      <c r="B541" s="59"/>
      <c r="C541" s="59"/>
      <c r="D541" s="1173"/>
      <c r="E541" s="59"/>
      <c r="F541" s="1173"/>
      <c r="G541" s="1174"/>
      <c r="H541" s="59"/>
      <c r="I541" s="59"/>
      <c r="J541" s="1173"/>
      <c r="K541" s="59"/>
      <c r="L541" s="1173"/>
      <c r="M541" s="59"/>
      <c r="N541" s="59"/>
      <c r="O541" s="59"/>
      <c r="P541" s="59"/>
      <c r="Q541" s="59"/>
      <c r="R541" s="59"/>
      <c r="S541" s="59"/>
      <c r="T541" s="59"/>
      <c r="U541" s="59"/>
      <c r="V541" s="59"/>
      <c r="W541" s="59"/>
      <c r="X541" s="59"/>
      <c r="Y541" s="59"/>
      <c r="Z541" s="59"/>
      <c r="AA541" s="59"/>
      <c r="AB541" s="59"/>
      <c r="AC541" s="59"/>
    </row>
    <row r="542" spans="1:29" ht="12.75">
      <c r="A542" s="59"/>
      <c r="B542" s="59"/>
      <c r="C542" s="59"/>
      <c r="D542" s="1173"/>
      <c r="E542" s="59"/>
      <c r="F542" s="1173"/>
      <c r="G542" s="1174"/>
      <c r="H542" s="59"/>
      <c r="I542" s="59"/>
      <c r="J542" s="1173"/>
      <c r="K542" s="59"/>
      <c r="L542" s="1173"/>
      <c r="M542" s="59"/>
      <c r="N542" s="59"/>
      <c r="O542" s="59"/>
      <c r="P542" s="59"/>
      <c r="Q542" s="59"/>
      <c r="R542" s="59"/>
      <c r="S542" s="59"/>
      <c r="T542" s="59"/>
      <c r="U542" s="59"/>
      <c r="V542" s="59"/>
      <c r="W542" s="59"/>
      <c r="X542" s="59"/>
      <c r="Y542" s="59"/>
      <c r="Z542" s="59"/>
      <c r="AA542" s="59"/>
      <c r="AB542" s="59"/>
      <c r="AC542" s="59"/>
    </row>
    <row r="543" spans="1:29" ht="12.75">
      <c r="A543" s="59"/>
      <c r="B543" s="59"/>
      <c r="C543" s="59"/>
      <c r="D543" s="1173"/>
      <c r="E543" s="59"/>
      <c r="F543" s="1173"/>
      <c r="G543" s="1174"/>
      <c r="H543" s="59"/>
      <c r="I543" s="59"/>
      <c r="J543" s="1173"/>
      <c r="K543" s="59"/>
      <c r="L543" s="1173"/>
      <c r="M543" s="59"/>
      <c r="N543" s="59"/>
      <c r="O543" s="59"/>
      <c r="P543" s="59"/>
      <c r="Q543" s="59"/>
      <c r="R543" s="59"/>
      <c r="S543" s="59"/>
      <c r="T543" s="59"/>
      <c r="U543" s="59"/>
      <c r="V543" s="59"/>
      <c r="W543" s="59"/>
      <c r="X543" s="59"/>
      <c r="Y543" s="59"/>
      <c r="Z543" s="59"/>
      <c r="AA543" s="59"/>
      <c r="AB543" s="59"/>
      <c r="AC543" s="59"/>
    </row>
    <row r="544" spans="1:29" ht="12.75">
      <c r="A544" s="59"/>
      <c r="B544" s="59"/>
      <c r="C544" s="59"/>
      <c r="D544" s="1173"/>
      <c r="E544" s="59"/>
      <c r="F544" s="1173"/>
      <c r="G544" s="1174"/>
      <c r="H544" s="59"/>
      <c r="I544" s="59"/>
      <c r="J544" s="1173"/>
      <c r="K544" s="59"/>
      <c r="L544" s="1173"/>
      <c r="M544" s="59"/>
      <c r="N544" s="59"/>
      <c r="O544" s="59"/>
      <c r="P544" s="59"/>
      <c r="Q544" s="59"/>
      <c r="R544" s="59"/>
      <c r="S544" s="59"/>
      <c r="T544" s="59"/>
      <c r="U544" s="59"/>
      <c r="V544" s="59"/>
      <c r="W544" s="59"/>
      <c r="X544" s="59"/>
      <c r="Y544" s="59"/>
      <c r="Z544" s="59"/>
      <c r="AA544" s="59"/>
      <c r="AB544" s="59"/>
      <c r="AC544" s="59"/>
    </row>
    <row r="545" spans="1:29" ht="12.75">
      <c r="A545" s="59"/>
      <c r="B545" s="59"/>
      <c r="C545" s="59"/>
      <c r="D545" s="1173"/>
      <c r="E545" s="59"/>
      <c r="F545" s="1173"/>
      <c r="G545" s="1174"/>
      <c r="H545" s="59"/>
      <c r="I545" s="59"/>
      <c r="J545" s="1173"/>
      <c r="K545" s="59"/>
      <c r="L545" s="1173"/>
      <c r="M545" s="59"/>
      <c r="N545" s="59"/>
      <c r="O545" s="59"/>
      <c r="P545" s="59"/>
      <c r="Q545" s="59"/>
      <c r="R545" s="59"/>
      <c r="S545" s="59"/>
      <c r="T545" s="59"/>
      <c r="U545" s="59"/>
      <c r="V545" s="59"/>
      <c r="W545" s="59"/>
      <c r="X545" s="59"/>
      <c r="Y545" s="59"/>
      <c r="Z545" s="59"/>
      <c r="AA545" s="59"/>
      <c r="AB545" s="59"/>
      <c r="AC545" s="59"/>
    </row>
    <row r="546" spans="1:29" ht="12.75">
      <c r="A546" s="59"/>
      <c r="B546" s="59"/>
      <c r="C546" s="59"/>
      <c r="D546" s="1173"/>
      <c r="E546" s="59"/>
      <c r="F546" s="1173"/>
      <c r="G546" s="1174"/>
      <c r="H546" s="59"/>
      <c r="I546" s="59"/>
      <c r="J546" s="1173"/>
      <c r="K546" s="59"/>
      <c r="L546" s="1173"/>
      <c r="M546" s="59"/>
      <c r="N546" s="59"/>
      <c r="O546" s="59"/>
      <c r="P546" s="59"/>
      <c r="Q546" s="59"/>
      <c r="R546" s="59"/>
      <c r="S546" s="59"/>
      <c r="T546" s="59"/>
      <c r="U546" s="59"/>
      <c r="V546" s="59"/>
      <c r="W546" s="59"/>
      <c r="X546" s="59"/>
      <c r="Y546" s="59"/>
      <c r="Z546" s="59"/>
      <c r="AA546" s="59"/>
      <c r="AB546" s="59"/>
      <c r="AC546" s="59"/>
    </row>
    <row r="547" spans="1:29" ht="12.75">
      <c r="A547" s="59"/>
      <c r="B547" s="59"/>
      <c r="C547" s="59"/>
      <c r="D547" s="1173"/>
      <c r="E547" s="59"/>
      <c r="F547" s="1173"/>
      <c r="G547" s="1174"/>
      <c r="H547" s="59"/>
      <c r="I547" s="59"/>
      <c r="J547" s="1173"/>
      <c r="K547" s="59"/>
      <c r="L547" s="1173"/>
      <c r="M547" s="59"/>
      <c r="N547" s="59"/>
      <c r="O547" s="59"/>
      <c r="P547" s="59"/>
      <c r="Q547" s="59"/>
      <c r="R547" s="59"/>
      <c r="S547" s="59"/>
      <c r="T547" s="59"/>
      <c r="U547" s="59"/>
      <c r="V547" s="59"/>
      <c r="W547" s="59"/>
      <c r="X547" s="59"/>
      <c r="Y547" s="59"/>
      <c r="Z547" s="59"/>
      <c r="AA547" s="59"/>
      <c r="AB547" s="59"/>
      <c r="AC547" s="59"/>
    </row>
    <row r="548" spans="1:29" ht="12.75">
      <c r="A548" s="59"/>
      <c r="B548" s="59"/>
      <c r="C548" s="59"/>
      <c r="D548" s="1173"/>
      <c r="E548" s="59"/>
      <c r="F548" s="1173"/>
      <c r="G548" s="1174"/>
      <c r="H548" s="59"/>
      <c r="I548" s="59"/>
      <c r="J548" s="1173"/>
      <c r="K548" s="59"/>
      <c r="L548" s="1173"/>
      <c r="M548" s="59"/>
      <c r="N548" s="59"/>
      <c r="O548" s="59"/>
      <c r="P548" s="59"/>
      <c r="Q548" s="59"/>
      <c r="R548" s="59"/>
      <c r="S548" s="59"/>
      <c r="T548" s="59"/>
      <c r="U548" s="59"/>
      <c r="V548" s="59"/>
      <c r="W548" s="59"/>
      <c r="X548" s="59"/>
      <c r="Y548" s="59"/>
      <c r="Z548" s="59"/>
      <c r="AA548" s="59"/>
      <c r="AB548" s="59"/>
      <c r="AC548" s="59"/>
    </row>
    <row r="549" spans="1:29" ht="12.75">
      <c r="A549" s="59"/>
      <c r="B549" s="59"/>
      <c r="C549" s="59"/>
      <c r="D549" s="1173"/>
      <c r="E549" s="59"/>
      <c r="F549" s="1173"/>
      <c r="G549" s="1174"/>
      <c r="H549" s="59"/>
      <c r="I549" s="59"/>
      <c r="J549" s="1173"/>
      <c r="K549" s="59"/>
      <c r="L549" s="1173"/>
      <c r="M549" s="59"/>
      <c r="N549" s="59"/>
      <c r="O549" s="59"/>
      <c r="P549" s="59"/>
      <c r="Q549" s="59"/>
      <c r="R549" s="59"/>
      <c r="S549" s="59"/>
      <c r="T549" s="59"/>
      <c r="U549" s="59"/>
      <c r="V549" s="59"/>
      <c r="W549" s="59"/>
      <c r="X549" s="59"/>
      <c r="Y549" s="59"/>
      <c r="Z549" s="59"/>
      <c r="AA549" s="59"/>
      <c r="AB549" s="59"/>
      <c r="AC549" s="59"/>
    </row>
    <row r="550" spans="1:29" ht="12.75">
      <c r="A550" s="59"/>
      <c r="B550" s="59"/>
      <c r="C550" s="59"/>
      <c r="D550" s="1173"/>
      <c r="E550" s="59"/>
      <c r="F550" s="1173"/>
      <c r="G550" s="1174"/>
      <c r="H550" s="59"/>
      <c r="I550" s="59"/>
      <c r="J550" s="1173"/>
      <c r="K550" s="59"/>
      <c r="L550" s="1173"/>
      <c r="M550" s="59"/>
      <c r="N550" s="59"/>
      <c r="O550" s="59"/>
      <c r="P550" s="59"/>
      <c r="Q550" s="59"/>
      <c r="R550" s="59"/>
      <c r="S550" s="59"/>
      <c r="T550" s="59"/>
      <c r="U550" s="59"/>
      <c r="V550" s="59"/>
      <c r="W550" s="59"/>
      <c r="X550" s="59"/>
      <c r="Y550" s="59"/>
      <c r="Z550" s="59"/>
      <c r="AA550" s="59"/>
      <c r="AB550" s="59"/>
      <c r="AC550" s="59"/>
    </row>
    <row r="551" spans="1:29" ht="12.75">
      <c r="A551" s="59"/>
      <c r="B551" s="59"/>
      <c r="C551" s="59"/>
      <c r="D551" s="1173"/>
      <c r="E551" s="59"/>
      <c r="F551" s="1173"/>
      <c r="G551" s="1174"/>
      <c r="H551" s="59"/>
      <c r="I551" s="59"/>
      <c r="J551" s="1173"/>
      <c r="K551" s="59"/>
      <c r="L551" s="1173"/>
      <c r="M551" s="59"/>
      <c r="N551" s="59"/>
      <c r="O551" s="59"/>
      <c r="P551" s="59"/>
      <c r="Q551" s="59"/>
      <c r="R551" s="59"/>
      <c r="S551" s="59"/>
      <c r="T551" s="59"/>
      <c r="U551" s="59"/>
      <c r="V551" s="59"/>
      <c r="W551" s="59"/>
      <c r="X551" s="59"/>
      <c r="Y551" s="59"/>
      <c r="Z551" s="59"/>
      <c r="AA551" s="59"/>
      <c r="AB551" s="59"/>
      <c r="AC551" s="59"/>
    </row>
    <row r="552" spans="1:29" ht="12.75">
      <c r="A552" s="59"/>
      <c r="B552" s="59"/>
      <c r="C552" s="59"/>
      <c r="D552" s="1173"/>
      <c r="E552" s="59"/>
      <c r="F552" s="1173"/>
      <c r="G552" s="1174"/>
      <c r="H552" s="59"/>
      <c r="I552" s="59"/>
      <c r="J552" s="1173"/>
      <c r="K552" s="59"/>
      <c r="L552" s="1173"/>
      <c r="M552" s="59"/>
      <c r="N552" s="59"/>
      <c r="O552" s="59"/>
      <c r="P552" s="59"/>
      <c r="Q552" s="59"/>
      <c r="R552" s="59"/>
      <c r="S552" s="59"/>
      <c r="T552" s="59"/>
      <c r="U552" s="59"/>
      <c r="V552" s="59"/>
      <c r="W552" s="59"/>
      <c r="X552" s="59"/>
      <c r="Y552" s="59"/>
      <c r="Z552" s="59"/>
      <c r="AA552" s="59"/>
      <c r="AB552" s="59"/>
      <c r="AC552" s="59"/>
    </row>
    <row r="553" spans="1:29" ht="12.75">
      <c r="A553" s="59"/>
      <c r="B553" s="59"/>
      <c r="C553" s="59"/>
      <c r="D553" s="1173"/>
      <c r="E553" s="59"/>
      <c r="F553" s="1173"/>
      <c r="G553" s="1174"/>
      <c r="H553" s="59"/>
      <c r="I553" s="59"/>
      <c r="J553" s="1173"/>
      <c r="K553" s="59"/>
      <c r="L553" s="1173"/>
      <c r="M553" s="59"/>
      <c r="N553" s="59"/>
      <c r="O553" s="59"/>
      <c r="P553" s="59"/>
      <c r="Q553" s="59"/>
      <c r="R553" s="59"/>
      <c r="S553" s="59"/>
      <c r="T553" s="59"/>
      <c r="U553" s="59"/>
      <c r="V553" s="59"/>
      <c r="W553" s="59"/>
      <c r="X553" s="59"/>
      <c r="Y553" s="59"/>
      <c r="Z553" s="59"/>
      <c r="AA553" s="59"/>
      <c r="AB553" s="59"/>
      <c r="AC553" s="59"/>
    </row>
    <row r="554" spans="1:29" ht="12.75">
      <c r="A554" s="59"/>
      <c r="B554" s="59"/>
      <c r="C554" s="59"/>
      <c r="D554" s="1173"/>
      <c r="E554" s="59"/>
      <c r="F554" s="1173"/>
      <c r="G554" s="1174"/>
      <c r="H554" s="59"/>
      <c r="I554" s="59"/>
      <c r="J554" s="1173"/>
      <c r="K554" s="59"/>
      <c r="L554" s="1173"/>
      <c r="M554" s="59"/>
      <c r="N554" s="59"/>
      <c r="O554" s="59"/>
      <c r="P554" s="59"/>
      <c r="Q554" s="59"/>
      <c r="R554" s="59"/>
      <c r="S554" s="59"/>
      <c r="T554" s="59"/>
      <c r="U554" s="59"/>
      <c r="V554" s="59"/>
      <c r="W554" s="59"/>
      <c r="X554" s="59"/>
      <c r="Y554" s="59"/>
      <c r="Z554" s="59"/>
      <c r="AA554" s="59"/>
      <c r="AB554" s="59"/>
      <c r="AC554" s="59"/>
    </row>
    <row r="555" spans="1:29" ht="12.75">
      <c r="A555" s="59"/>
      <c r="B555" s="59"/>
      <c r="C555" s="59"/>
      <c r="D555" s="1173"/>
      <c r="E555" s="59"/>
      <c r="F555" s="1173"/>
      <c r="G555" s="1174"/>
      <c r="H555" s="59"/>
      <c r="I555" s="59"/>
      <c r="J555" s="1173"/>
      <c r="K555" s="59"/>
      <c r="L555" s="1173"/>
      <c r="M555" s="59"/>
      <c r="N555" s="59"/>
      <c r="O555" s="59"/>
      <c r="P555" s="59"/>
      <c r="Q555" s="59"/>
      <c r="R555" s="59"/>
      <c r="S555" s="59"/>
      <c r="T555" s="59"/>
      <c r="U555" s="59"/>
      <c r="V555" s="59"/>
      <c r="W555" s="59"/>
      <c r="X555" s="59"/>
      <c r="Y555" s="59"/>
      <c r="Z555" s="59"/>
      <c r="AA555" s="59"/>
      <c r="AB555" s="59"/>
      <c r="AC555" s="59"/>
    </row>
    <row r="556" spans="1:29" ht="12.75">
      <c r="A556" s="59"/>
      <c r="B556" s="59"/>
      <c r="C556" s="59"/>
      <c r="D556" s="1173"/>
      <c r="E556" s="59"/>
      <c r="F556" s="1173"/>
      <c r="G556" s="1174"/>
      <c r="H556" s="59"/>
      <c r="I556" s="59"/>
      <c r="J556" s="1173"/>
      <c r="K556" s="59"/>
      <c r="L556" s="1173"/>
      <c r="M556" s="59"/>
      <c r="N556" s="59"/>
      <c r="O556" s="59"/>
      <c r="P556" s="59"/>
      <c r="Q556" s="59"/>
      <c r="R556" s="59"/>
      <c r="S556" s="59"/>
      <c r="T556" s="59"/>
      <c r="U556" s="59"/>
      <c r="V556" s="59"/>
      <c r="W556" s="59"/>
      <c r="X556" s="59"/>
      <c r="Y556" s="59"/>
      <c r="Z556" s="59"/>
      <c r="AA556" s="59"/>
      <c r="AB556" s="59"/>
      <c r="AC556" s="59"/>
    </row>
    <row r="557" spans="1:29" ht="12.75">
      <c r="A557" s="59"/>
      <c r="B557" s="59"/>
      <c r="C557" s="59"/>
      <c r="D557" s="1173"/>
      <c r="E557" s="59"/>
      <c r="F557" s="1173"/>
      <c r="G557" s="1174"/>
      <c r="H557" s="59"/>
      <c r="I557" s="59"/>
      <c r="J557" s="1173"/>
      <c r="K557" s="59"/>
      <c r="L557" s="1173"/>
      <c r="M557" s="59"/>
      <c r="N557" s="59"/>
      <c r="O557" s="59"/>
      <c r="P557" s="59"/>
      <c r="Q557" s="59"/>
      <c r="R557" s="59"/>
      <c r="S557" s="59"/>
      <c r="T557" s="59"/>
      <c r="U557" s="59"/>
      <c r="V557" s="59"/>
      <c r="W557" s="59"/>
      <c r="X557" s="59"/>
      <c r="Y557" s="59"/>
      <c r="Z557" s="59"/>
      <c r="AA557" s="59"/>
      <c r="AB557" s="59"/>
      <c r="AC557" s="59"/>
    </row>
    <row r="558" spans="1:29" ht="12.75">
      <c r="A558" s="59"/>
      <c r="B558" s="59"/>
      <c r="C558" s="59"/>
      <c r="D558" s="1173"/>
      <c r="E558" s="59"/>
      <c r="F558" s="1173"/>
      <c r="G558" s="1174"/>
      <c r="H558" s="59"/>
      <c r="I558" s="59"/>
      <c r="J558" s="1173"/>
      <c r="K558" s="59"/>
      <c r="L558" s="1173"/>
      <c r="M558" s="59"/>
      <c r="N558" s="59"/>
      <c r="O558" s="59"/>
      <c r="P558" s="59"/>
      <c r="Q558" s="59"/>
      <c r="R558" s="59"/>
      <c r="S558" s="59"/>
      <c r="T558" s="59"/>
      <c r="U558" s="59"/>
      <c r="V558" s="59"/>
      <c r="W558" s="59"/>
      <c r="X558" s="59"/>
      <c r="Y558" s="59"/>
      <c r="Z558" s="59"/>
      <c r="AA558" s="59"/>
      <c r="AB558" s="59"/>
      <c r="AC558" s="59"/>
    </row>
    <row r="559" spans="1:29" ht="12.75">
      <c r="A559" s="59"/>
      <c r="B559" s="59"/>
      <c r="C559" s="59"/>
      <c r="D559" s="1173"/>
      <c r="E559" s="59"/>
      <c r="F559" s="1173"/>
      <c r="G559" s="1174"/>
      <c r="H559" s="59"/>
      <c r="I559" s="59"/>
      <c r="J559" s="1173"/>
      <c r="K559" s="59"/>
      <c r="L559" s="1173"/>
      <c r="M559" s="59"/>
      <c r="N559" s="59"/>
      <c r="O559" s="59"/>
      <c r="P559" s="59"/>
      <c r="Q559" s="59"/>
      <c r="R559" s="59"/>
      <c r="S559" s="59"/>
      <c r="T559" s="59"/>
      <c r="U559" s="59"/>
      <c r="V559" s="59"/>
      <c r="W559" s="59"/>
      <c r="X559" s="59"/>
      <c r="Y559" s="59"/>
      <c r="Z559" s="59"/>
      <c r="AA559" s="59"/>
      <c r="AB559" s="59"/>
      <c r="AC559" s="59"/>
    </row>
    <row r="560" spans="1:29" ht="12.75">
      <c r="A560" s="59"/>
      <c r="B560" s="59"/>
      <c r="C560" s="59"/>
      <c r="D560" s="1173"/>
      <c r="E560" s="59"/>
      <c r="F560" s="1173"/>
      <c r="G560" s="1174"/>
      <c r="H560" s="59"/>
      <c r="I560" s="59"/>
      <c r="J560" s="1173"/>
      <c r="K560" s="59"/>
      <c r="L560" s="1173"/>
      <c r="M560" s="59"/>
      <c r="N560" s="59"/>
      <c r="O560" s="59"/>
      <c r="P560" s="59"/>
      <c r="Q560" s="59"/>
      <c r="R560" s="59"/>
      <c r="S560" s="59"/>
      <c r="T560" s="59"/>
      <c r="U560" s="59"/>
      <c r="V560" s="59"/>
      <c r="W560" s="59"/>
      <c r="X560" s="59"/>
      <c r="Y560" s="59"/>
      <c r="Z560" s="59"/>
      <c r="AA560" s="59"/>
      <c r="AB560" s="59"/>
      <c r="AC560" s="59"/>
    </row>
    <row r="561" spans="1:29" ht="12.75">
      <c r="A561" s="59"/>
      <c r="B561" s="59"/>
      <c r="C561" s="59"/>
      <c r="D561" s="1173"/>
      <c r="E561" s="59"/>
      <c r="F561" s="1173"/>
      <c r="G561" s="1174"/>
      <c r="H561" s="59"/>
      <c r="I561" s="59"/>
      <c r="J561" s="1173"/>
      <c r="K561" s="59"/>
      <c r="L561" s="1173"/>
      <c r="M561" s="59"/>
      <c r="N561" s="59"/>
      <c r="O561" s="59"/>
      <c r="P561" s="59"/>
      <c r="Q561" s="59"/>
      <c r="R561" s="59"/>
      <c r="S561" s="59"/>
      <c r="T561" s="59"/>
      <c r="U561" s="59"/>
      <c r="V561" s="59"/>
      <c r="W561" s="59"/>
      <c r="X561" s="59"/>
      <c r="Y561" s="59"/>
      <c r="Z561" s="59"/>
      <c r="AA561" s="59"/>
      <c r="AB561" s="59"/>
      <c r="AC561" s="59"/>
    </row>
    <row r="562" spans="1:29" ht="12.75">
      <c r="A562" s="59"/>
      <c r="B562" s="59"/>
      <c r="C562" s="59"/>
      <c r="D562" s="1173"/>
      <c r="E562" s="59"/>
      <c r="F562" s="1173"/>
      <c r="G562" s="1174"/>
      <c r="H562" s="59"/>
      <c r="I562" s="59"/>
      <c r="J562" s="1173"/>
      <c r="K562" s="59"/>
      <c r="L562" s="1173"/>
      <c r="M562" s="59"/>
      <c r="N562" s="59"/>
      <c r="O562" s="59"/>
      <c r="P562" s="59"/>
      <c r="Q562" s="59"/>
      <c r="R562" s="59"/>
      <c r="S562" s="59"/>
      <c r="T562" s="59"/>
      <c r="U562" s="59"/>
      <c r="V562" s="59"/>
      <c r="W562" s="59"/>
      <c r="X562" s="59"/>
      <c r="Y562" s="59"/>
      <c r="Z562" s="59"/>
      <c r="AA562" s="59"/>
      <c r="AB562" s="59"/>
      <c r="AC562" s="59"/>
    </row>
    <row r="563" spans="1:29" ht="12.75">
      <c r="A563" s="59"/>
      <c r="B563" s="59"/>
      <c r="C563" s="59"/>
      <c r="D563" s="1173"/>
      <c r="E563" s="59"/>
      <c r="F563" s="1173"/>
      <c r="G563" s="1174"/>
      <c r="H563" s="59"/>
      <c r="I563" s="59"/>
      <c r="J563" s="1173"/>
      <c r="K563" s="59"/>
      <c r="L563" s="1173"/>
      <c r="M563" s="59"/>
      <c r="N563" s="59"/>
      <c r="O563" s="59"/>
      <c r="P563" s="59"/>
      <c r="Q563" s="59"/>
      <c r="R563" s="59"/>
      <c r="S563" s="59"/>
      <c r="T563" s="59"/>
      <c r="U563" s="59"/>
      <c r="V563" s="59"/>
      <c r="W563" s="59"/>
      <c r="X563" s="59"/>
      <c r="Y563" s="59"/>
      <c r="Z563" s="59"/>
      <c r="AA563" s="59"/>
      <c r="AB563" s="59"/>
      <c r="AC563" s="59"/>
    </row>
    <row r="564" spans="1:29" ht="12.75">
      <c r="A564" s="59"/>
      <c r="B564" s="59"/>
      <c r="C564" s="59"/>
      <c r="D564" s="1173"/>
      <c r="E564" s="59"/>
      <c r="F564" s="1173"/>
      <c r="G564" s="1174"/>
      <c r="H564" s="59"/>
      <c r="I564" s="59"/>
      <c r="J564" s="1173"/>
      <c r="K564" s="59"/>
      <c r="L564" s="1173"/>
      <c r="M564" s="59"/>
      <c r="N564" s="59"/>
      <c r="O564" s="59"/>
      <c r="P564" s="59"/>
      <c r="Q564" s="59"/>
      <c r="R564" s="59"/>
      <c r="S564" s="59"/>
      <c r="T564" s="59"/>
      <c r="U564" s="59"/>
      <c r="V564" s="59"/>
      <c r="W564" s="59"/>
      <c r="X564" s="59"/>
      <c r="Y564" s="59"/>
      <c r="Z564" s="59"/>
      <c r="AA564" s="59"/>
      <c r="AB564" s="59"/>
      <c r="AC564" s="59"/>
    </row>
    <row r="565" spans="1:29" ht="12.75">
      <c r="A565" s="59"/>
      <c r="B565" s="59"/>
      <c r="C565" s="59"/>
      <c r="D565" s="1173"/>
      <c r="E565" s="59"/>
      <c r="F565" s="1173"/>
      <c r="G565" s="1174"/>
      <c r="H565" s="59"/>
      <c r="I565" s="59"/>
      <c r="J565" s="1173"/>
      <c r="K565" s="59"/>
      <c r="L565" s="1173"/>
      <c r="M565" s="59"/>
      <c r="N565" s="59"/>
      <c r="O565" s="59"/>
      <c r="P565" s="59"/>
      <c r="Q565" s="59"/>
      <c r="R565" s="59"/>
      <c r="S565" s="59"/>
      <c r="T565" s="59"/>
      <c r="U565" s="59"/>
      <c r="V565" s="59"/>
      <c r="W565" s="59"/>
      <c r="X565" s="59"/>
      <c r="Y565" s="59"/>
      <c r="Z565" s="59"/>
      <c r="AA565" s="59"/>
      <c r="AB565" s="59"/>
      <c r="AC565" s="59"/>
    </row>
    <row r="566" spans="1:29" ht="12.75">
      <c r="A566" s="59"/>
      <c r="B566" s="59"/>
      <c r="C566" s="59"/>
      <c r="D566" s="1173"/>
      <c r="E566" s="59"/>
      <c r="F566" s="1173"/>
      <c r="G566" s="1174"/>
      <c r="H566" s="59"/>
      <c r="I566" s="59"/>
      <c r="J566" s="1173"/>
      <c r="K566" s="59"/>
      <c r="L566" s="1173"/>
      <c r="M566" s="59"/>
      <c r="N566" s="59"/>
      <c r="O566" s="59"/>
      <c r="P566" s="59"/>
      <c r="Q566" s="59"/>
      <c r="R566" s="59"/>
      <c r="S566" s="59"/>
      <c r="T566" s="59"/>
      <c r="U566" s="59"/>
      <c r="V566" s="59"/>
      <c r="W566" s="59"/>
      <c r="X566" s="59"/>
      <c r="Y566" s="59"/>
      <c r="Z566" s="59"/>
      <c r="AA566" s="59"/>
      <c r="AB566" s="59"/>
      <c r="AC566" s="59"/>
    </row>
    <row r="567" spans="1:29" ht="12.75">
      <c r="A567" s="59"/>
      <c r="B567" s="59"/>
      <c r="C567" s="59"/>
      <c r="D567" s="1173"/>
      <c r="E567" s="59"/>
      <c r="F567" s="1173"/>
      <c r="G567" s="1174"/>
      <c r="H567" s="59"/>
      <c r="I567" s="59"/>
      <c r="J567" s="1173"/>
      <c r="K567" s="59"/>
      <c r="L567" s="1173"/>
      <c r="M567" s="59"/>
      <c r="N567" s="59"/>
      <c r="O567" s="59"/>
      <c r="P567" s="59"/>
      <c r="Q567" s="59"/>
      <c r="R567" s="59"/>
      <c r="S567" s="59"/>
      <c r="T567" s="59"/>
      <c r="U567" s="59"/>
      <c r="V567" s="59"/>
      <c r="W567" s="59"/>
      <c r="X567" s="59"/>
      <c r="Y567" s="59"/>
      <c r="Z567" s="59"/>
      <c r="AA567" s="59"/>
      <c r="AB567" s="59"/>
      <c r="AC567" s="59"/>
    </row>
    <row r="568" spans="1:29" ht="12.75">
      <c r="A568" s="59"/>
      <c r="B568" s="59"/>
      <c r="C568" s="59"/>
      <c r="D568" s="1173"/>
      <c r="E568" s="59"/>
      <c r="F568" s="1173"/>
      <c r="G568" s="1174"/>
      <c r="H568" s="59"/>
      <c r="I568" s="59"/>
      <c r="J568" s="1173"/>
      <c r="K568" s="59"/>
      <c r="L568" s="1173"/>
      <c r="M568" s="59"/>
      <c r="N568" s="59"/>
      <c r="O568" s="59"/>
      <c r="P568" s="59"/>
      <c r="Q568" s="59"/>
      <c r="R568" s="59"/>
      <c r="S568" s="59"/>
      <c r="T568" s="59"/>
      <c r="U568" s="59"/>
      <c r="V568" s="59"/>
      <c r="W568" s="59"/>
      <c r="X568" s="59"/>
      <c r="Y568" s="59"/>
      <c r="Z568" s="59"/>
      <c r="AA568" s="59"/>
      <c r="AB568" s="59"/>
      <c r="AC568" s="59"/>
    </row>
    <row r="569" spans="1:29" ht="12.75">
      <c r="A569" s="59"/>
      <c r="B569" s="59"/>
      <c r="C569" s="59"/>
      <c r="D569" s="1173"/>
      <c r="E569" s="59"/>
      <c r="F569" s="1173"/>
      <c r="G569" s="1174"/>
      <c r="H569" s="59"/>
      <c r="I569" s="59"/>
      <c r="J569" s="1173"/>
      <c r="K569" s="59"/>
      <c r="L569" s="1173"/>
      <c r="M569" s="59"/>
      <c r="N569" s="59"/>
      <c r="O569" s="59"/>
      <c r="P569" s="59"/>
      <c r="Q569" s="59"/>
      <c r="R569" s="59"/>
      <c r="S569" s="59"/>
      <c r="T569" s="59"/>
      <c r="U569" s="59"/>
      <c r="V569" s="59"/>
      <c r="W569" s="59"/>
      <c r="X569" s="59"/>
      <c r="Y569" s="59"/>
      <c r="Z569" s="59"/>
      <c r="AA569" s="59"/>
      <c r="AB569" s="59"/>
      <c r="AC569" s="59"/>
    </row>
    <row r="570" spans="1:29" ht="12.75">
      <c r="A570" s="59"/>
      <c r="B570" s="59"/>
      <c r="C570" s="59"/>
      <c r="D570" s="1173"/>
      <c r="E570" s="59"/>
      <c r="F570" s="1173"/>
      <c r="G570" s="1174"/>
      <c r="H570" s="59"/>
      <c r="I570" s="59"/>
      <c r="J570" s="1173"/>
      <c r="K570" s="59"/>
      <c r="L570" s="1173"/>
      <c r="M570" s="59"/>
      <c r="N570" s="59"/>
      <c r="O570" s="59"/>
      <c r="P570" s="59"/>
      <c r="Q570" s="59"/>
      <c r="R570" s="59"/>
      <c r="S570" s="59"/>
      <c r="T570" s="59"/>
      <c r="U570" s="59"/>
      <c r="V570" s="59"/>
      <c r="W570" s="59"/>
      <c r="X570" s="59"/>
      <c r="Y570" s="59"/>
      <c r="Z570" s="59"/>
      <c r="AA570" s="59"/>
      <c r="AB570" s="59"/>
      <c r="AC570" s="59"/>
    </row>
    <row r="571" spans="1:29" ht="12.75">
      <c r="A571" s="59"/>
      <c r="B571" s="59"/>
      <c r="C571" s="59"/>
      <c r="D571" s="1173"/>
      <c r="E571" s="59"/>
      <c r="F571" s="1173"/>
      <c r="G571" s="1174"/>
      <c r="H571" s="59"/>
      <c r="I571" s="59"/>
      <c r="J571" s="1173"/>
      <c r="K571" s="59"/>
      <c r="L571" s="1173"/>
      <c r="M571" s="59"/>
      <c r="N571" s="59"/>
      <c r="O571" s="59"/>
      <c r="P571" s="59"/>
      <c r="Q571" s="59"/>
      <c r="R571" s="59"/>
      <c r="S571" s="59"/>
      <c r="T571" s="59"/>
      <c r="U571" s="59"/>
      <c r="V571" s="59"/>
      <c r="W571" s="59"/>
      <c r="X571" s="59"/>
      <c r="Y571" s="59"/>
      <c r="Z571" s="59"/>
      <c r="AA571" s="59"/>
      <c r="AB571" s="59"/>
      <c r="AC571" s="59"/>
    </row>
    <row r="572" spans="1:29" ht="12.75">
      <c r="A572" s="59"/>
      <c r="B572" s="59"/>
      <c r="C572" s="59"/>
      <c r="D572" s="1173"/>
      <c r="E572" s="59"/>
      <c r="F572" s="1173"/>
      <c r="G572" s="1174"/>
      <c r="H572" s="59"/>
      <c r="I572" s="59"/>
      <c r="J572" s="1173"/>
      <c r="K572" s="59"/>
      <c r="L572" s="1173"/>
      <c r="M572" s="59"/>
      <c r="N572" s="59"/>
      <c r="O572" s="59"/>
      <c r="P572" s="59"/>
      <c r="Q572" s="59"/>
      <c r="R572" s="59"/>
      <c r="S572" s="59"/>
      <c r="T572" s="59"/>
      <c r="U572" s="59"/>
      <c r="V572" s="59"/>
      <c r="W572" s="59"/>
      <c r="X572" s="59"/>
      <c r="Y572" s="59"/>
      <c r="Z572" s="59"/>
      <c r="AA572" s="59"/>
      <c r="AB572" s="59"/>
      <c r="AC572" s="59"/>
    </row>
    <row r="573" spans="1:29" ht="12.75">
      <c r="A573" s="59"/>
      <c r="B573" s="59"/>
      <c r="C573" s="59"/>
      <c r="D573" s="1173"/>
      <c r="E573" s="59"/>
      <c r="F573" s="1173"/>
      <c r="G573" s="1174"/>
      <c r="H573" s="59"/>
      <c r="I573" s="59"/>
      <c r="J573" s="1173"/>
      <c r="K573" s="59"/>
      <c r="L573" s="1173"/>
      <c r="M573" s="59"/>
      <c r="N573" s="59"/>
      <c r="O573" s="59"/>
      <c r="P573" s="59"/>
      <c r="Q573" s="59"/>
      <c r="R573" s="59"/>
      <c r="S573" s="59"/>
      <c r="T573" s="59"/>
      <c r="U573" s="59"/>
      <c r="V573" s="59"/>
      <c r="W573" s="59"/>
      <c r="X573" s="59"/>
      <c r="Y573" s="59"/>
      <c r="Z573" s="59"/>
      <c r="AA573" s="59"/>
      <c r="AB573" s="59"/>
      <c r="AC573" s="59"/>
    </row>
    <row r="574" spans="1:29" ht="12.75">
      <c r="A574" s="59"/>
      <c r="B574" s="59"/>
      <c r="C574" s="59"/>
      <c r="D574" s="1173"/>
      <c r="E574" s="59"/>
      <c r="F574" s="1173"/>
      <c r="G574" s="1174"/>
      <c r="H574" s="59"/>
      <c r="I574" s="59"/>
      <c r="J574" s="1173"/>
      <c r="K574" s="59"/>
      <c r="L574" s="1173"/>
      <c r="M574" s="59"/>
      <c r="N574" s="59"/>
      <c r="O574" s="59"/>
      <c r="P574" s="59"/>
      <c r="Q574" s="59"/>
      <c r="R574" s="59"/>
      <c r="S574" s="59"/>
      <c r="T574" s="59"/>
      <c r="U574" s="59"/>
      <c r="V574" s="59"/>
      <c r="W574" s="59"/>
      <c r="X574" s="59"/>
      <c r="Y574" s="59"/>
      <c r="Z574" s="59"/>
      <c r="AA574" s="59"/>
      <c r="AB574" s="59"/>
      <c r="AC574" s="59"/>
    </row>
    <row r="575" spans="1:29" ht="12.75">
      <c r="A575" s="59"/>
      <c r="B575" s="59"/>
      <c r="C575" s="59"/>
      <c r="D575" s="1173"/>
      <c r="E575" s="59"/>
      <c r="F575" s="1173"/>
      <c r="G575" s="1174"/>
      <c r="H575" s="59"/>
      <c r="I575" s="59"/>
      <c r="J575" s="1173"/>
      <c r="K575" s="59"/>
      <c r="L575" s="1173"/>
      <c r="M575" s="59"/>
      <c r="N575" s="59"/>
      <c r="O575" s="59"/>
      <c r="P575" s="59"/>
      <c r="Q575" s="59"/>
      <c r="R575" s="59"/>
      <c r="S575" s="59"/>
      <c r="T575" s="59"/>
      <c r="U575" s="59"/>
      <c r="V575" s="59"/>
      <c r="W575" s="59"/>
      <c r="X575" s="59"/>
      <c r="Y575" s="59"/>
      <c r="Z575" s="59"/>
      <c r="AA575" s="59"/>
      <c r="AB575" s="59"/>
      <c r="AC575" s="59"/>
    </row>
    <row r="576" spans="1:29" ht="12.75">
      <c r="A576" s="59"/>
      <c r="B576" s="59"/>
      <c r="C576" s="59"/>
      <c r="D576" s="1173"/>
      <c r="E576" s="59"/>
      <c r="F576" s="1173"/>
      <c r="G576" s="1174"/>
      <c r="H576" s="59"/>
      <c r="I576" s="59"/>
      <c r="J576" s="1173"/>
      <c r="K576" s="59"/>
      <c r="L576" s="1173"/>
      <c r="M576" s="59"/>
      <c r="N576" s="59"/>
      <c r="O576" s="59"/>
      <c r="P576" s="59"/>
      <c r="Q576" s="59"/>
      <c r="R576" s="59"/>
      <c r="S576" s="59"/>
      <c r="T576" s="59"/>
      <c r="U576" s="59"/>
      <c r="V576" s="59"/>
      <c r="W576" s="59"/>
      <c r="X576" s="59"/>
      <c r="Y576" s="59"/>
      <c r="Z576" s="59"/>
      <c r="AA576" s="59"/>
      <c r="AB576" s="59"/>
      <c r="AC576" s="59"/>
    </row>
    <row r="577" spans="1:29" ht="12.75">
      <c r="A577" s="59"/>
      <c r="B577" s="59"/>
      <c r="C577" s="59"/>
      <c r="D577" s="1173"/>
      <c r="E577" s="59"/>
      <c r="F577" s="1173"/>
      <c r="G577" s="1174"/>
      <c r="H577" s="59"/>
      <c r="I577" s="59"/>
      <c r="J577" s="1173"/>
      <c r="K577" s="59"/>
      <c r="L577" s="1173"/>
      <c r="M577" s="59"/>
      <c r="N577" s="59"/>
      <c r="O577" s="59"/>
      <c r="P577" s="59"/>
      <c r="Q577" s="59"/>
      <c r="R577" s="59"/>
      <c r="S577" s="59"/>
      <c r="T577" s="59"/>
      <c r="U577" s="59"/>
      <c r="V577" s="59"/>
      <c r="W577" s="59"/>
      <c r="X577" s="59"/>
      <c r="Y577" s="59"/>
      <c r="Z577" s="59"/>
      <c r="AA577" s="59"/>
      <c r="AB577" s="59"/>
      <c r="AC577" s="59"/>
    </row>
    <row r="578" spans="1:29" ht="12.75">
      <c r="A578" s="59"/>
      <c r="B578" s="59"/>
      <c r="C578" s="59"/>
      <c r="D578" s="1173"/>
      <c r="E578" s="59"/>
      <c r="F578" s="1173"/>
      <c r="G578" s="1174"/>
      <c r="H578" s="59"/>
      <c r="I578" s="59"/>
      <c r="J578" s="1173"/>
      <c r="K578" s="59"/>
      <c r="L578" s="1173"/>
      <c r="M578" s="59"/>
      <c r="N578" s="59"/>
      <c r="O578" s="59"/>
      <c r="P578" s="59"/>
      <c r="Q578" s="59"/>
      <c r="R578" s="59"/>
      <c r="S578" s="59"/>
      <c r="T578" s="59"/>
      <c r="U578" s="59"/>
      <c r="V578" s="59"/>
      <c r="W578" s="59"/>
      <c r="X578" s="59"/>
      <c r="Y578" s="59"/>
      <c r="Z578" s="59"/>
      <c r="AA578" s="59"/>
      <c r="AB578" s="59"/>
      <c r="AC578" s="59"/>
    </row>
    <row r="579" spans="1:29" ht="12.75">
      <c r="A579" s="59"/>
      <c r="B579" s="59"/>
      <c r="C579" s="59"/>
      <c r="D579" s="1173"/>
      <c r="E579" s="59"/>
      <c r="F579" s="1173"/>
      <c r="G579" s="1174"/>
      <c r="H579" s="59"/>
      <c r="I579" s="59"/>
      <c r="J579" s="1173"/>
      <c r="K579" s="59"/>
      <c r="L579" s="1173"/>
      <c r="M579" s="59"/>
      <c r="N579" s="59"/>
      <c r="O579" s="59"/>
      <c r="P579" s="59"/>
      <c r="Q579" s="59"/>
      <c r="R579" s="59"/>
      <c r="S579" s="59"/>
      <c r="T579" s="59"/>
      <c r="U579" s="59"/>
      <c r="V579" s="59"/>
      <c r="W579" s="59"/>
      <c r="X579" s="59"/>
      <c r="Y579" s="59"/>
      <c r="Z579" s="59"/>
      <c r="AA579" s="59"/>
      <c r="AB579" s="59"/>
      <c r="AC579" s="59"/>
    </row>
    <row r="580" spans="1:29" ht="12.75">
      <c r="A580" s="59"/>
      <c r="B580" s="59"/>
      <c r="C580" s="59"/>
      <c r="D580" s="1173"/>
      <c r="E580" s="59"/>
      <c r="F580" s="1173"/>
      <c r="G580" s="1174"/>
      <c r="H580" s="59"/>
      <c r="I580" s="59"/>
      <c r="J580" s="1173"/>
      <c r="K580" s="59"/>
      <c r="L580" s="1173"/>
      <c r="M580" s="59"/>
      <c r="N580" s="59"/>
      <c r="O580" s="59"/>
      <c r="P580" s="59"/>
      <c r="Q580" s="59"/>
      <c r="R580" s="59"/>
      <c r="S580" s="59"/>
      <c r="T580" s="59"/>
      <c r="U580" s="59"/>
      <c r="V580" s="59"/>
      <c r="W580" s="59"/>
      <c r="X580" s="59"/>
      <c r="Y580" s="59"/>
      <c r="Z580" s="59"/>
      <c r="AA580" s="59"/>
      <c r="AB580" s="59"/>
      <c r="AC580" s="59"/>
    </row>
    <row r="581" spans="1:29" ht="12.75">
      <c r="A581" s="59"/>
      <c r="B581" s="59"/>
      <c r="C581" s="59"/>
      <c r="D581" s="1173"/>
      <c r="E581" s="59"/>
      <c r="F581" s="1173"/>
      <c r="G581" s="1174"/>
      <c r="H581" s="59"/>
      <c r="I581" s="59"/>
      <c r="J581" s="1173"/>
      <c r="K581" s="59"/>
      <c r="L581" s="1173"/>
      <c r="M581" s="59"/>
      <c r="N581" s="59"/>
      <c r="O581" s="59"/>
      <c r="P581" s="59"/>
      <c r="Q581" s="59"/>
      <c r="R581" s="59"/>
      <c r="S581" s="59"/>
      <c r="T581" s="59"/>
      <c r="U581" s="59"/>
      <c r="V581" s="59"/>
      <c r="W581" s="59"/>
      <c r="X581" s="59"/>
      <c r="Y581" s="59"/>
      <c r="Z581" s="59"/>
      <c r="AA581" s="59"/>
      <c r="AB581" s="59"/>
      <c r="AC581" s="59"/>
    </row>
    <row r="582" spans="1:29" ht="12.75">
      <c r="A582" s="59"/>
      <c r="B582" s="59"/>
      <c r="C582" s="59"/>
      <c r="D582" s="1173"/>
      <c r="E582" s="59"/>
      <c r="F582" s="1173"/>
      <c r="G582" s="1174"/>
      <c r="H582" s="59"/>
      <c r="I582" s="59"/>
      <c r="J582" s="1173"/>
      <c r="K582" s="59"/>
      <c r="L582" s="1173"/>
      <c r="M582" s="59"/>
      <c r="N582" s="59"/>
      <c r="O582" s="59"/>
      <c r="P582" s="59"/>
      <c r="Q582" s="59"/>
      <c r="R582" s="59"/>
      <c r="S582" s="59"/>
      <c r="T582" s="59"/>
      <c r="U582" s="59"/>
      <c r="V582" s="59"/>
      <c r="W582" s="59"/>
      <c r="X582" s="59"/>
      <c r="Y582" s="59"/>
      <c r="Z582" s="59"/>
      <c r="AA582" s="59"/>
      <c r="AB582" s="59"/>
      <c r="AC582" s="59"/>
    </row>
    <row r="583" spans="1:29" ht="12.75">
      <c r="A583" s="59"/>
      <c r="B583" s="59"/>
      <c r="C583" s="59"/>
      <c r="D583" s="1173"/>
      <c r="E583" s="59"/>
      <c r="F583" s="1173"/>
      <c r="G583" s="1174"/>
      <c r="H583" s="59"/>
      <c r="I583" s="59"/>
      <c r="J583" s="1173"/>
      <c r="K583" s="59"/>
      <c r="L583" s="1173"/>
      <c r="M583" s="59"/>
      <c r="N583" s="59"/>
      <c r="O583" s="59"/>
      <c r="P583" s="59"/>
      <c r="Q583" s="59"/>
      <c r="R583" s="59"/>
      <c r="S583" s="59"/>
      <c r="T583" s="59"/>
      <c r="U583" s="59"/>
      <c r="V583" s="59"/>
      <c r="W583" s="59"/>
      <c r="X583" s="59"/>
      <c r="Y583" s="59"/>
      <c r="Z583" s="59"/>
      <c r="AA583" s="59"/>
      <c r="AB583" s="59"/>
      <c r="AC583" s="59"/>
    </row>
    <row r="584" spans="1:29" ht="12.75">
      <c r="A584" s="59"/>
      <c r="B584" s="59"/>
      <c r="C584" s="59"/>
      <c r="D584" s="1173"/>
      <c r="E584" s="59"/>
      <c r="F584" s="1173"/>
      <c r="G584" s="1174"/>
      <c r="H584" s="59"/>
      <c r="I584" s="59"/>
      <c r="J584" s="1173"/>
      <c r="K584" s="59"/>
      <c r="L584" s="1173"/>
      <c r="M584" s="59"/>
      <c r="N584" s="59"/>
      <c r="O584" s="59"/>
      <c r="P584" s="59"/>
      <c r="Q584" s="59"/>
      <c r="R584" s="59"/>
      <c r="S584" s="59"/>
      <c r="T584" s="59"/>
      <c r="U584" s="59"/>
      <c r="V584" s="59"/>
      <c r="W584" s="59"/>
      <c r="X584" s="59"/>
      <c r="Y584" s="59"/>
      <c r="Z584" s="59"/>
      <c r="AA584" s="59"/>
      <c r="AB584" s="59"/>
      <c r="AC584" s="59"/>
    </row>
    <row r="585" spans="1:29" ht="12.75">
      <c r="A585" s="59"/>
      <c r="B585" s="59"/>
      <c r="C585" s="59"/>
      <c r="D585" s="1173"/>
      <c r="E585" s="59"/>
      <c r="F585" s="1173"/>
      <c r="G585" s="1174"/>
      <c r="H585" s="59"/>
      <c r="I585" s="59"/>
      <c r="J585" s="1173"/>
      <c r="K585" s="59"/>
      <c r="L585" s="1173"/>
      <c r="M585" s="59"/>
      <c r="N585" s="59"/>
      <c r="O585" s="59"/>
      <c r="P585" s="59"/>
      <c r="Q585" s="59"/>
      <c r="R585" s="59"/>
      <c r="S585" s="59"/>
      <c r="T585" s="59"/>
      <c r="U585" s="59"/>
      <c r="V585" s="59"/>
      <c r="W585" s="59"/>
      <c r="X585" s="59"/>
      <c r="Y585" s="59"/>
      <c r="Z585" s="59"/>
      <c r="AA585" s="59"/>
      <c r="AB585" s="59"/>
      <c r="AC585" s="59"/>
    </row>
    <row r="586" spans="1:29" ht="12.75">
      <c r="A586" s="59"/>
      <c r="B586" s="59"/>
      <c r="C586" s="59"/>
      <c r="D586" s="1173"/>
      <c r="E586" s="59"/>
      <c r="F586" s="1173"/>
      <c r="G586" s="1174"/>
      <c r="H586" s="59"/>
      <c r="I586" s="59"/>
      <c r="J586" s="1173"/>
      <c r="K586" s="59"/>
      <c r="L586" s="1173"/>
      <c r="M586" s="59"/>
      <c r="N586" s="59"/>
      <c r="O586" s="59"/>
      <c r="P586" s="59"/>
      <c r="Q586" s="59"/>
      <c r="R586" s="59"/>
      <c r="S586" s="59"/>
      <c r="T586" s="59"/>
      <c r="U586" s="59"/>
      <c r="V586" s="59"/>
      <c r="W586" s="59"/>
      <c r="X586" s="59"/>
      <c r="Y586" s="59"/>
      <c r="Z586" s="59"/>
      <c r="AA586" s="59"/>
      <c r="AB586" s="59"/>
      <c r="AC586" s="59"/>
    </row>
    <row r="587" spans="1:29" ht="12.75">
      <c r="A587" s="59"/>
      <c r="B587" s="59"/>
      <c r="C587" s="59"/>
      <c r="D587" s="1173"/>
      <c r="E587" s="59"/>
      <c r="F587" s="1173"/>
      <c r="G587" s="1174"/>
      <c r="H587" s="59"/>
      <c r="I587" s="59"/>
      <c r="J587" s="1173"/>
      <c r="K587" s="59"/>
      <c r="L587" s="1173"/>
      <c r="M587" s="59"/>
      <c r="N587" s="59"/>
      <c r="O587" s="59"/>
      <c r="P587" s="59"/>
      <c r="Q587" s="59"/>
      <c r="R587" s="59"/>
      <c r="S587" s="59"/>
      <c r="T587" s="59"/>
      <c r="U587" s="59"/>
      <c r="V587" s="59"/>
      <c r="W587" s="59"/>
      <c r="X587" s="59"/>
      <c r="Y587" s="59"/>
      <c r="Z587" s="59"/>
      <c r="AA587" s="59"/>
      <c r="AB587" s="59"/>
      <c r="AC587" s="59"/>
    </row>
    <row r="588" spans="1:29" ht="12.75">
      <c r="A588" s="59"/>
      <c r="B588" s="59"/>
      <c r="C588" s="59"/>
      <c r="D588" s="1173"/>
      <c r="E588" s="59"/>
      <c r="F588" s="1173"/>
      <c r="G588" s="1174"/>
      <c r="H588" s="59"/>
      <c r="I588" s="59"/>
      <c r="J588" s="1173"/>
      <c r="K588" s="59"/>
      <c r="L588" s="1173"/>
      <c r="M588" s="59"/>
      <c r="N588" s="59"/>
      <c r="O588" s="59"/>
      <c r="P588" s="59"/>
      <c r="Q588" s="59"/>
      <c r="R588" s="59"/>
      <c r="S588" s="59"/>
      <c r="T588" s="59"/>
      <c r="U588" s="59"/>
      <c r="V588" s="59"/>
      <c r="W588" s="59"/>
      <c r="X588" s="59"/>
      <c r="Y588" s="59"/>
      <c r="Z588" s="59"/>
      <c r="AA588" s="59"/>
      <c r="AB588" s="59"/>
      <c r="AC588" s="59"/>
    </row>
    <row r="589" spans="1:29" ht="12.75">
      <c r="A589" s="59"/>
      <c r="B589" s="59"/>
      <c r="C589" s="59"/>
      <c r="D589" s="1173"/>
      <c r="E589" s="59"/>
      <c r="F589" s="1173"/>
      <c r="G589" s="1174"/>
      <c r="H589" s="59"/>
      <c r="I589" s="59"/>
      <c r="J589" s="1173"/>
      <c r="K589" s="59"/>
      <c r="L589" s="1173"/>
      <c r="M589" s="59"/>
      <c r="N589" s="59"/>
      <c r="O589" s="59"/>
      <c r="P589" s="59"/>
      <c r="Q589" s="59"/>
      <c r="R589" s="59"/>
      <c r="S589" s="59"/>
      <c r="T589" s="59"/>
      <c r="U589" s="59"/>
      <c r="V589" s="59"/>
      <c r="W589" s="59"/>
      <c r="X589" s="59"/>
      <c r="Y589" s="59"/>
      <c r="Z589" s="59"/>
      <c r="AA589" s="59"/>
      <c r="AB589" s="59"/>
      <c r="AC589" s="59"/>
    </row>
    <row r="590" spans="1:29" ht="12.75">
      <c r="A590" s="59"/>
      <c r="B590" s="59"/>
      <c r="C590" s="59"/>
      <c r="D590" s="1173"/>
      <c r="E590" s="59"/>
      <c r="F590" s="1173"/>
      <c r="G590" s="1174"/>
      <c r="H590" s="59"/>
      <c r="I590" s="59"/>
      <c r="J590" s="1173"/>
      <c r="K590" s="59"/>
      <c r="L590" s="1173"/>
      <c r="M590" s="59"/>
      <c r="N590" s="59"/>
      <c r="O590" s="59"/>
      <c r="P590" s="59"/>
      <c r="Q590" s="59"/>
      <c r="R590" s="59"/>
      <c r="S590" s="59"/>
      <c r="T590" s="59"/>
      <c r="U590" s="59"/>
      <c r="V590" s="59"/>
      <c r="W590" s="59"/>
      <c r="X590" s="59"/>
      <c r="Y590" s="59"/>
      <c r="Z590" s="59"/>
      <c r="AA590" s="59"/>
      <c r="AB590" s="59"/>
      <c r="AC590" s="59"/>
    </row>
    <row r="591" spans="1:29" ht="12.75">
      <c r="A591" s="59"/>
      <c r="B591" s="59"/>
      <c r="C591" s="59"/>
      <c r="D591" s="1173"/>
      <c r="E591" s="59"/>
      <c r="F591" s="1173"/>
      <c r="G591" s="1174"/>
      <c r="H591" s="59"/>
      <c r="I591" s="59"/>
      <c r="J591" s="1173"/>
      <c r="K591" s="59"/>
      <c r="L591" s="1173"/>
      <c r="M591" s="59"/>
      <c r="N591" s="59"/>
      <c r="O591" s="59"/>
      <c r="P591" s="59"/>
      <c r="Q591" s="59"/>
      <c r="R591" s="59"/>
      <c r="S591" s="59"/>
      <c r="T591" s="59"/>
      <c r="U591" s="59"/>
      <c r="V591" s="59"/>
      <c r="W591" s="59"/>
      <c r="X591" s="59"/>
      <c r="Y591" s="59"/>
      <c r="Z591" s="59"/>
      <c r="AA591" s="59"/>
      <c r="AB591" s="59"/>
      <c r="AC591" s="59"/>
    </row>
    <row r="592" spans="1:29" ht="12.75">
      <c r="A592" s="59"/>
      <c r="B592" s="59"/>
      <c r="C592" s="59"/>
      <c r="D592" s="1173"/>
      <c r="E592" s="59"/>
      <c r="F592" s="1173"/>
      <c r="G592" s="1174"/>
      <c r="H592" s="59"/>
      <c r="I592" s="59"/>
      <c r="J592" s="1173"/>
      <c r="K592" s="59"/>
      <c r="L592" s="1173"/>
      <c r="M592" s="59"/>
      <c r="N592" s="59"/>
      <c r="O592" s="59"/>
      <c r="P592" s="59"/>
      <c r="Q592" s="59"/>
      <c r="R592" s="59"/>
      <c r="S592" s="59"/>
      <c r="T592" s="59"/>
      <c r="U592" s="59"/>
      <c r="V592" s="59"/>
      <c r="W592" s="59"/>
      <c r="X592" s="59"/>
      <c r="Y592" s="59"/>
      <c r="Z592" s="59"/>
      <c r="AA592" s="59"/>
      <c r="AB592" s="59"/>
      <c r="AC592" s="59"/>
    </row>
    <row r="593" spans="1:29" ht="12.75">
      <c r="A593" s="59"/>
      <c r="B593" s="59"/>
      <c r="C593" s="59"/>
      <c r="D593" s="1173"/>
      <c r="E593" s="59"/>
      <c r="F593" s="1173"/>
      <c r="G593" s="1174"/>
      <c r="H593" s="59"/>
      <c r="I593" s="59"/>
      <c r="J593" s="1173"/>
      <c r="K593" s="59"/>
      <c r="L593" s="1173"/>
      <c r="M593" s="59"/>
      <c r="N593" s="59"/>
      <c r="O593" s="59"/>
      <c r="P593" s="59"/>
      <c r="Q593" s="59"/>
      <c r="R593" s="59"/>
      <c r="S593" s="59"/>
      <c r="T593" s="59"/>
      <c r="U593" s="59"/>
      <c r="V593" s="59"/>
      <c r="W593" s="59"/>
      <c r="X593" s="59"/>
      <c r="Y593" s="59"/>
      <c r="Z593" s="59"/>
      <c r="AA593" s="59"/>
      <c r="AB593" s="59"/>
      <c r="AC593" s="59"/>
    </row>
    <row r="594" spans="1:29" ht="12.75">
      <c r="A594" s="59"/>
      <c r="B594" s="59"/>
      <c r="C594" s="59"/>
      <c r="D594" s="1173"/>
      <c r="E594" s="59"/>
      <c r="F594" s="1173"/>
      <c r="G594" s="1174"/>
      <c r="H594" s="59"/>
      <c r="I594" s="59"/>
      <c r="J594" s="1173"/>
      <c r="K594" s="59"/>
      <c r="L594" s="1173"/>
      <c r="M594" s="59"/>
      <c r="N594" s="59"/>
      <c r="O594" s="59"/>
      <c r="P594" s="59"/>
      <c r="Q594" s="59"/>
      <c r="R594" s="59"/>
      <c r="S594" s="59"/>
      <c r="T594" s="59"/>
      <c r="U594" s="59"/>
      <c r="V594" s="59"/>
      <c r="W594" s="59"/>
      <c r="X594" s="59"/>
      <c r="Y594" s="59"/>
      <c r="Z594" s="59"/>
      <c r="AA594" s="59"/>
      <c r="AB594" s="59"/>
      <c r="AC594" s="59"/>
    </row>
    <row r="595" spans="1:29" ht="12.75">
      <c r="A595" s="59"/>
      <c r="B595" s="59"/>
      <c r="C595" s="59"/>
      <c r="D595" s="1173"/>
      <c r="E595" s="59"/>
      <c r="F595" s="1173"/>
      <c r="G595" s="1174"/>
      <c r="H595" s="59"/>
      <c r="I595" s="59"/>
      <c r="J595" s="1173"/>
      <c r="K595" s="59"/>
      <c r="L595" s="1173"/>
      <c r="M595" s="59"/>
      <c r="N595" s="59"/>
      <c r="O595" s="59"/>
      <c r="P595" s="59"/>
      <c r="Q595" s="59"/>
      <c r="R595" s="59"/>
      <c r="S595" s="59"/>
      <c r="T595" s="59"/>
      <c r="U595" s="59"/>
      <c r="V595" s="59"/>
      <c r="W595" s="59"/>
      <c r="X595" s="59"/>
      <c r="Y595" s="59"/>
      <c r="Z595" s="59"/>
      <c r="AA595" s="59"/>
      <c r="AB595" s="59"/>
      <c r="AC595" s="59"/>
    </row>
    <row r="596" spans="1:29" ht="12.75">
      <c r="A596" s="59"/>
      <c r="B596" s="59"/>
      <c r="C596" s="59"/>
      <c r="D596" s="1173"/>
      <c r="E596" s="59"/>
      <c r="F596" s="1173"/>
      <c r="G596" s="1174"/>
      <c r="H596" s="59"/>
      <c r="I596" s="59"/>
      <c r="J596" s="1173"/>
      <c r="K596" s="59"/>
      <c r="L596" s="1173"/>
      <c r="M596" s="59"/>
      <c r="N596" s="59"/>
      <c r="O596" s="59"/>
      <c r="P596" s="59"/>
      <c r="Q596" s="59"/>
      <c r="R596" s="59"/>
      <c r="S596" s="59"/>
      <c r="T596" s="59"/>
      <c r="U596" s="59"/>
      <c r="V596" s="59"/>
      <c r="W596" s="59"/>
      <c r="X596" s="59"/>
      <c r="Y596" s="59"/>
      <c r="Z596" s="59"/>
      <c r="AA596" s="59"/>
      <c r="AB596" s="59"/>
      <c r="AC596" s="59"/>
    </row>
    <row r="597" spans="1:29" ht="12.75">
      <c r="A597" s="59"/>
      <c r="B597" s="59"/>
      <c r="C597" s="59"/>
      <c r="D597" s="1173"/>
      <c r="E597" s="59"/>
      <c r="F597" s="1173"/>
      <c r="G597" s="1174"/>
      <c r="H597" s="59"/>
      <c r="I597" s="59"/>
      <c r="J597" s="1173"/>
      <c r="K597" s="59"/>
      <c r="L597" s="1173"/>
      <c r="M597" s="59"/>
      <c r="N597" s="59"/>
      <c r="O597" s="59"/>
      <c r="P597" s="59"/>
      <c r="Q597" s="59"/>
      <c r="R597" s="59"/>
      <c r="S597" s="59"/>
      <c r="T597" s="59"/>
      <c r="U597" s="59"/>
      <c r="V597" s="59"/>
      <c r="W597" s="59"/>
      <c r="X597" s="59"/>
      <c r="Y597" s="59"/>
      <c r="Z597" s="59"/>
      <c r="AA597" s="59"/>
      <c r="AB597" s="59"/>
      <c r="AC597" s="59"/>
    </row>
    <row r="598" spans="1:29" ht="12.75">
      <c r="A598" s="59"/>
      <c r="B598" s="59"/>
      <c r="C598" s="59"/>
      <c r="D598" s="1173"/>
      <c r="E598" s="59"/>
      <c r="F598" s="1173"/>
      <c r="G598" s="1174"/>
      <c r="H598" s="59"/>
      <c r="I598" s="59"/>
      <c r="J598" s="1173"/>
      <c r="K598" s="59"/>
      <c r="L598" s="1173"/>
      <c r="M598" s="59"/>
      <c r="N598" s="59"/>
      <c r="O598" s="59"/>
      <c r="P598" s="59"/>
      <c r="Q598" s="59"/>
      <c r="R598" s="59"/>
      <c r="S598" s="59"/>
      <c r="T598" s="59"/>
      <c r="U598" s="59"/>
      <c r="V598" s="59"/>
      <c r="W598" s="59"/>
      <c r="X598" s="59"/>
      <c r="Y598" s="59"/>
      <c r="Z598" s="59"/>
      <c r="AA598" s="59"/>
      <c r="AB598" s="59"/>
      <c r="AC598" s="59"/>
    </row>
    <row r="599" spans="1:29" ht="12.75">
      <c r="A599" s="59"/>
      <c r="B599" s="59"/>
      <c r="C599" s="59"/>
      <c r="D599" s="1173"/>
      <c r="E599" s="59"/>
      <c r="F599" s="1173"/>
      <c r="G599" s="1174"/>
      <c r="H599" s="59"/>
      <c r="I599" s="59"/>
      <c r="J599" s="1173"/>
      <c r="K599" s="59"/>
      <c r="L599" s="1173"/>
      <c r="M599" s="59"/>
      <c r="N599" s="59"/>
      <c r="O599" s="59"/>
      <c r="P599" s="59"/>
      <c r="Q599" s="59"/>
      <c r="R599" s="59"/>
      <c r="S599" s="59"/>
      <c r="T599" s="59"/>
      <c r="U599" s="59"/>
      <c r="V599" s="59"/>
      <c r="W599" s="59"/>
      <c r="X599" s="59"/>
      <c r="Y599" s="59"/>
      <c r="Z599" s="59"/>
      <c r="AA599" s="59"/>
      <c r="AB599" s="59"/>
      <c r="AC599" s="59"/>
    </row>
    <row r="600" spans="1:29" ht="12.75">
      <c r="A600" s="59"/>
      <c r="B600" s="59"/>
      <c r="C600" s="59"/>
      <c r="D600" s="1173"/>
      <c r="E600" s="59"/>
      <c r="F600" s="1173"/>
      <c r="G600" s="1174"/>
      <c r="H600" s="59"/>
      <c r="I600" s="59"/>
      <c r="J600" s="1173"/>
      <c r="K600" s="59"/>
      <c r="L600" s="1173"/>
      <c r="M600" s="59"/>
      <c r="N600" s="59"/>
      <c r="O600" s="59"/>
      <c r="P600" s="59"/>
      <c r="Q600" s="59"/>
      <c r="R600" s="59"/>
      <c r="S600" s="59"/>
      <c r="T600" s="59"/>
      <c r="U600" s="59"/>
      <c r="V600" s="59"/>
      <c r="W600" s="59"/>
      <c r="X600" s="59"/>
      <c r="Y600" s="59"/>
      <c r="Z600" s="59"/>
      <c r="AA600" s="59"/>
      <c r="AB600" s="59"/>
      <c r="AC600" s="59"/>
    </row>
    <row r="601" spans="1:29" ht="12.75">
      <c r="A601" s="59"/>
      <c r="B601" s="59"/>
      <c r="C601" s="59"/>
      <c r="D601" s="1173"/>
      <c r="E601" s="59"/>
      <c r="F601" s="1173"/>
      <c r="G601" s="1174"/>
      <c r="H601" s="59"/>
      <c r="I601" s="59"/>
      <c r="J601" s="1173"/>
      <c r="K601" s="59"/>
      <c r="L601" s="1173"/>
      <c r="M601" s="59"/>
      <c r="N601" s="59"/>
      <c r="O601" s="59"/>
      <c r="P601" s="59"/>
      <c r="Q601" s="59"/>
      <c r="R601" s="59"/>
      <c r="S601" s="59"/>
      <c r="T601" s="59"/>
      <c r="U601" s="59"/>
      <c r="V601" s="59"/>
      <c r="W601" s="59"/>
      <c r="X601" s="59"/>
      <c r="Y601" s="59"/>
      <c r="Z601" s="59"/>
      <c r="AA601" s="59"/>
      <c r="AB601" s="59"/>
      <c r="AC601" s="59"/>
    </row>
    <row r="602" spans="1:29" ht="12.75">
      <c r="A602" s="59"/>
      <c r="B602" s="59"/>
      <c r="C602" s="59"/>
      <c r="D602" s="1173"/>
      <c r="E602" s="59"/>
      <c r="F602" s="1173"/>
      <c r="G602" s="1174"/>
      <c r="H602" s="59"/>
      <c r="I602" s="59"/>
      <c r="J602" s="1173"/>
      <c r="K602" s="59"/>
      <c r="L602" s="1173"/>
      <c r="M602" s="59"/>
      <c r="N602" s="59"/>
      <c r="O602" s="59"/>
      <c r="P602" s="59"/>
      <c r="Q602" s="59"/>
      <c r="R602" s="59"/>
      <c r="S602" s="59"/>
      <c r="T602" s="59"/>
      <c r="U602" s="59"/>
      <c r="V602" s="59"/>
      <c r="W602" s="59"/>
      <c r="X602" s="59"/>
      <c r="Y602" s="59"/>
      <c r="Z602" s="59"/>
      <c r="AA602" s="59"/>
      <c r="AB602" s="59"/>
      <c r="AC602" s="59"/>
    </row>
    <row r="603" spans="1:29" ht="12.75">
      <c r="A603" s="59"/>
      <c r="B603" s="59"/>
      <c r="C603" s="59"/>
      <c r="D603" s="1173"/>
      <c r="E603" s="59"/>
      <c r="F603" s="1173"/>
      <c r="G603" s="1174"/>
      <c r="H603" s="59"/>
      <c r="I603" s="59"/>
      <c r="J603" s="1173"/>
      <c r="K603" s="59"/>
      <c r="L603" s="1173"/>
      <c r="M603" s="59"/>
      <c r="N603" s="59"/>
      <c r="O603" s="59"/>
      <c r="P603" s="59"/>
      <c r="Q603" s="59"/>
      <c r="R603" s="59"/>
      <c r="S603" s="59"/>
      <c r="T603" s="59"/>
      <c r="U603" s="59"/>
      <c r="V603" s="59"/>
      <c r="W603" s="59"/>
      <c r="X603" s="59"/>
      <c r="Y603" s="59"/>
      <c r="Z603" s="59"/>
      <c r="AA603" s="59"/>
      <c r="AB603" s="59"/>
      <c r="AC603" s="59"/>
    </row>
    <row r="604" spans="1:29" ht="12.75">
      <c r="A604" s="59"/>
      <c r="B604" s="59"/>
      <c r="C604" s="59"/>
      <c r="D604" s="1173"/>
      <c r="E604" s="59"/>
      <c r="F604" s="1173"/>
      <c r="G604" s="1174"/>
      <c r="H604" s="59"/>
      <c r="I604" s="59"/>
      <c r="J604" s="1173"/>
      <c r="K604" s="59"/>
      <c r="L604" s="1173"/>
      <c r="M604" s="59"/>
      <c r="N604" s="59"/>
      <c r="O604" s="59"/>
      <c r="P604" s="59"/>
      <c r="Q604" s="59"/>
      <c r="R604" s="59"/>
      <c r="S604" s="59"/>
      <c r="T604" s="59"/>
      <c r="U604" s="59"/>
      <c r="V604" s="59"/>
      <c r="W604" s="59"/>
      <c r="X604" s="59"/>
      <c r="Y604" s="59"/>
      <c r="Z604" s="59"/>
      <c r="AA604" s="59"/>
      <c r="AB604" s="59"/>
      <c r="AC604" s="59"/>
    </row>
    <row r="605" spans="1:29" ht="12.75">
      <c r="A605" s="59"/>
      <c r="B605" s="59"/>
      <c r="C605" s="59"/>
      <c r="D605" s="1173"/>
      <c r="E605" s="59"/>
      <c r="F605" s="1173"/>
      <c r="G605" s="1174"/>
      <c r="H605" s="59"/>
      <c r="I605" s="59"/>
      <c r="J605" s="1173"/>
      <c r="K605" s="59"/>
      <c r="L605" s="1173"/>
      <c r="M605" s="59"/>
      <c r="N605" s="59"/>
      <c r="O605" s="59"/>
      <c r="P605" s="59"/>
      <c r="Q605" s="59"/>
      <c r="R605" s="59"/>
      <c r="S605" s="59"/>
      <c r="T605" s="59"/>
      <c r="U605" s="59"/>
      <c r="V605" s="59"/>
      <c r="W605" s="59"/>
      <c r="X605" s="59"/>
      <c r="Y605" s="59"/>
      <c r="Z605" s="59"/>
      <c r="AA605" s="59"/>
      <c r="AB605" s="59"/>
      <c r="AC605" s="59"/>
    </row>
    <row r="606" spans="1:29" ht="12.75">
      <c r="A606" s="59"/>
      <c r="B606" s="59"/>
      <c r="C606" s="59"/>
      <c r="D606" s="1173"/>
      <c r="E606" s="59"/>
      <c r="F606" s="1173"/>
      <c r="G606" s="1174"/>
      <c r="H606" s="59"/>
      <c r="I606" s="59"/>
      <c r="J606" s="1173"/>
      <c r="K606" s="59"/>
      <c r="L606" s="1173"/>
      <c r="M606" s="59"/>
      <c r="N606" s="59"/>
      <c r="O606" s="59"/>
      <c r="P606" s="59"/>
      <c r="Q606" s="59"/>
      <c r="R606" s="59"/>
      <c r="S606" s="59"/>
      <c r="T606" s="59"/>
      <c r="U606" s="59"/>
      <c r="V606" s="59"/>
      <c r="W606" s="59"/>
      <c r="X606" s="59"/>
      <c r="Y606" s="59"/>
      <c r="Z606" s="59"/>
      <c r="AA606" s="59"/>
      <c r="AB606" s="59"/>
      <c r="AC606" s="59"/>
    </row>
    <row r="607" spans="1:29" ht="12.75">
      <c r="A607" s="59"/>
      <c r="B607" s="59"/>
      <c r="C607" s="59"/>
      <c r="D607" s="1173"/>
      <c r="E607" s="59"/>
      <c r="F607" s="1173"/>
      <c r="G607" s="1174"/>
      <c r="H607" s="59"/>
      <c r="I607" s="59"/>
      <c r="J607" s="1173"/>
      <c r="K607" s="59"/>
      <c r="L607" s="1173"/>
      <c r="M607" s="59"/>
      <c r="N607" s="59"/>
      <c r="O607" s="59"/>
      <c r="P607" s="59"/>
      <c r="Q607" s="59"/>
      <c r="R607" s="59"/>
      <c r="S607" s="59"/>
      <c r="T607" s="59"/>
      <c r="U607" s="59"/>
      <c r="V607" s="59"/>
      <c r="W607" s="59"/>
      <c r="X607" s="59"/>
      <c r="Y607" s="59"/>
      <c r="Z607" s="59"/>
      <c r="AA607" s="59"/>
      <c r="AB607" s="59"/>
      <c r="AC607" s="59"/>
    </row>
    <row r="608" spans="1:29" ht="12.75">
      <c r="A608" s="59"/>
      <c r="B608" s="59"/>
      <c r="C608" s="59"/>
      <c r="D608" s="1173"/>
      <c r="E608" s="59"/>
      <c r="F608" s="1173"/>
      <c r="G608" s="1174"/>
      <c r="H608" s="59"/>
      <c r="I608" s="59"/>
      <c r="J608" s="1173"/>
      <c r="K608" s="59"/>
      <c r="L608" s="1173"/>
      <c r="M608" s="59"/>
      <c r="N608" s="59"/>
      <c r="O608" s="59"/>
      <c r="P608" s="59"/>
      <c r="Q608" s="59"/>
      <c r="R608" s="59"/>
      <c r="S608" s="59"/>
      <c r="T608" s="59"/>
      <c r="U608" s="59"/>
      <c r="V608" s="59"/>
      <c r="W608" s="59"/>
      <c r="X608" s="59"/>
      <c r="Y608" s="59"/>
      <c r="Z608" s="59"/>
      <c r="AA608" s="59"/>
      <c r="AB608" s="59"/>
      <c r="AC608" s="59"/>
    </row>
    <row r="609" spans="1:29" ht="12.75">
      <c r="A609" s="59"/>
      <c r="B609" s="59"/>
      <c r="C609" s="59"/>
      <c r="D609" s="1173"/>
      <c r="E609" s="59"/>
      <c r="F609" s="1173"/>
      <c r="G609" s="1174"/>
      <c r="H609" s="59"/>
      <c r="I609" s="59"/>
      <c r="J609" s="1173"/>
      <c r="K609" s="59"/>
      <c r="L609" s="1173"/>
      <c r="M609" s="59"/>
      <c r="N609" s="59"/>
      <c r="O609" s="59"/>
      <c r="P609" s="59"/>
      <c r="Q609" s="59"/>
      <c r="R609" s="59"/>
      <c r="S609" s="59"/>
      <c r="T609" s="59"/>
      <c r="U609" s="59"/>
      <c r="V609" s="59"/>
      <c r="W609" s="59"/>
      <c r="X609" s="59"/>
      <c r="Y609" s="59"/>
      <c r="Z609" s="59"/>
      <c r="AA609" s="59"/>
      <c r="AB609" s="59"/>
      <c r="AC609" s="59"/>
    </row>
    <row r="610" spans="1:29" ht="12.75">
      <c r="A610" s="59"/>
      <c r="B610" s="59"/>
      <c r="C610" s="59"/>
      <c r="D610" s="1173"/>
      <c r="E610" s="59"/>
      <c r="F610" s="1173"/>
      <c r="G610" s="1174"/>
      <c r="H610" s="59"/>
      <c r="I610" s="59"/>
      <c r="J610" s="1173"/>
      <c r="K610" s="59"/>
      <c r="L610" s="1173"/>
      <c r="M610" s="59"/>
      <c r="N610" s="59"/>
      <c r="O610" s="59"/>
      <c r="P610" s="59"/>
      <c r="Q610" s="59"/>
      <c r="R610" s="59"/>
      <c r="S610" s="59"/>
      <c r="T610" s="59"/>
      <c r="U610" s="59"/>
      <c r="V610" s="59"/>
      <c r="W610" s="59"/>
      <c r="X610" s="59"/>
      <c r="Y610" s="59"/>
      <c r="Z610" s="59"/>
      <c r="AA610" s="59"/>
      <c r="AB610" s="59"/>
      <c r="AC610" s="59"/>
    </row>
    <row r="611" spans="1:29" ht="12.75">
      <c r="A611" s="59"/>
      <c r="B611" s="59"/>
      <c r="C611" s="59"/>
      <c r="D611" s="1173"/>
      <c r="E611" s="59"/>
      <c r="F611" s="1173"/>
      <c r="G611" s="1174"/>
      <c r="H611" s="59"/>
      <c r="I611" s="59"/>
      <c r="J611" s="1173"/>
      <c r="K611" s="59"/>
      <c r="L611" s="1173"/>
      <c r="M611" s="59"/>
      <c r="N611" s="59"/>
      <c r="O611" s="59"/>
      <c r="P611" s="59"/>
      <c r="Q611" s="59"/>
      <c r="R611" s="59"/>
      <c r="S611" s="59"/>
      <c r="T611" s="59"/>
      <c r="U611" s="59"/>
      <c r="V611" s="59"/>
      <c r="W611" s="59"/>
      <c r="X611" s="59"/>
      <c r="Y611" s="59"/>
      <c r="Z611" s="59"/>
      <c r="AA611" s="59"/>
      <c r="AB611" s="59"/>
      <c r="AC611" s="59"/>
    </row>
    <row r="612" spans="1:29" ht="12.75">
      <c r="A612" s="59"/>
      <c r="B612" s="59"/>
      <c r="C612" s="59"/>
      <c r="D612" s="1173"/>
      <c r="E612" s="59"/>
      <c r="F612" s="1173"/>
      <c r="G612" s="1174"/>
      <c r="H612" s="59"/>
      <c r="I612" s="59"/>
      <c r="J612" s="1173"/>
      <c r="K612" s="59"/>
      <c r="L612" s="1173"/>
      <c r="M612" s="59"/>
      <c r="N612" s="59"/>
      <c r="O612" s="59"/>
      <c r="P612" s="59"/>
      <c r="Q612" s="59"/>
      <c r="R612" s="59"/>
      <c r="S612" s="59"/>
      <c r="T612" s="59"/>
      <c r="U612" s="59"/>
      <c r="V612" s="59"/>
      <c r="W612" s="59"/>
      <c r="X612" s="59"/>
      <c r="Y612" s="59"/>
      <c r="Z612" s="59"/>
      <c r="AA612" s="59"/>
      <c r="AB612" s="59"/>
      <c r="AC612" s="59"/>
    </row>
    <row r="613" spans="1:29" ht="12.75">
      <c r="A613" s="59"/>
      <c r="B613" s="59"/>
      <c r="C613" s="59"/>
      <c r="D613" s="1173"/>
      <c r="E613" s="59"/>
      <c r="F613" s="1173"/>
      <c r="G613" s="1174"/>
      <c r="H613" s="59"/>
      <c r="I613" s="59"/>
      <c r="J613" s="1173"/>
      <c r="K613" s="59"/>
      <c r="L613" s="1173"/>
      <c r="M613" s="59"/>
      <c r="N613" s="59"/>
      <c r="O613" s="59"/>
      <c r="P613" s="59"/>
      <c r="Q613" s="59"/>
      <c r="R613" s="59"/>
      <c r="S613" s="59"/>
      <c r="T613" s="59"/>
      <c r="U613" s="59"/>
      <c r="V613" s="59"/>
      <c r="W613" s="59"/>
      <c r="X613" s="59"/>
      <c r="Y613" s="59"/>
      <c r="Z613" s="59"/>
      <c r="AA613" s="59"/>
      <c r="AB613" s="59"/>
      <c r="AC613" s="59"/>
    </row>
    <row r="614" spans="1:29" ht="12.75">
      <c r="A614" s="59"/>
      <c r="B614" s="59"/>
      <c r="C614" s="59"/>
      <c r="D614" s="1173"/>
      <c r="E614" s="59"/>
      <c r="F614" s="1173"/>
      <c r="G614" s="1174"/>
      <c r="H614" s="59"/>
      <c r="I614" s="59"/>
      <c r="J614" s="1173"/>
      <c r="K614" s="59"/>
      <c r="L614" s="1173"/>
      <c r="M614" s="59"/>
      <c r="N614" s="59"/>
      <c r="O614" s="59"/>
      <c r="P614" s="59"/>
      <c r="Q614" s="59"/>
      <c r="R614" s="59"/>
      <c r="S614" s="59"/>
      <c r="T614" s="59"/>
      <c r="U614" s="59"/>
      <c r="V614" s="59"/>
      <c r="W614" s="59"/>
      <c r="X614" s="59"/>
      <c r="Y614" s="59"/>
      <c r="Z614" s="59"/>
      <c r="AA614" s="59"/>
      <c r="AB614" s="59"/>
      <c r="AC614" s="59"/>
    </row>
    <row r="615" spans="1:29" ht="12.75">
      <c r="A615" s="59"/>
      <c r="B615" s="59"/>
      <c r="C615" s="59"/>
      <c r="D615" s="1173"/>
      <c r="E615" s="59"/>
      <c r="F615" s="1173"/>
      <c r="G615" s="1174"/>
      <c r="H615" s="59"/>
      <c r="I615" s="59"/>
      <c r="J615" s="1173"/>
      <c r="K615" s="59"/>
      <c r="L615" s="1173"/>
      <c r="M615" s="59"/>
      <c r="N615" s="59"/>
      <c r="O615" s="59"/>
      <c r="P615" s="59"/>
      <c r="Q615" s="59"/>
      <c r="R615" s="59"/>
      <c r="S615" s="59"/>
      <c r="T615" s="59"/>
      <c r="U615" s="59"/>
      <c r="V615" s="59"/>
      <c r="W615" s="59"/>
      <c r="X615" s="59"/>
      <c r="Y615" s="59"/>
      <c r="Z615" s="59"/>
      <c r="AA615" s="59"/>
      <c r="AB615" s="59"/>
      <c r="AC615" s="59"/>
    </row>
    <row r="616" spans="1:29" ht="12.75">
      <c r="A616" s="59"/>
      <c r="B616" s="59"/>
      <c r="C616" s="59"/>
      <c r="D616" s="1173"/>
      <c r="E616" s="59"/>
      <c r="F616" s="1173"/>
      <c r="G616" s="1174"/>
      <c r="H616" s="59"/>
      <c r="I616" s="59"/>
      <c r="J616" s="1173"/>
      <c r="K616" s="59"/>
      <c r="L616" s="1173"/>
      <c r="M616" s="59"/>
      <c r="N616" s="59"/>
      <c r="O616" s="59"/>
      <c r="P616" s="59"/>
      <c r="Q616" s="59"/>
      <c r="R616" s="59"/>
      <c r="S616" s="59"/>
      <c r="T616" s="59"/>
      <c r="U616" s="59"/>
      <c r="V616" s="59"/>
      <c r="W616" s="59"/>
      <c r="X616" s="59"/>
      <c r="Y616" s="59"/>
      <c r="Z616" s="59"/>
      <c r="AA616" s="59"/>
      <c r="AB616" s="59"/>
      <c r="AC616" s="59"/>
    </row>
    <row r="617" spans="1:29" ht="12.75">
      <c r="A617" s="59"/>
      <c r="B617" s="59"/>
      <c r="C617" s="59"/>
      <c r="D617" s="1173"/>
      <c r="E617" s="59"/>
      <c r="F617" s="1173"/>
      <c r="G617" s="1174"/>
      <c r="H617" s="59"/>
      <c r="I617" s="59"/>
      <c r="J617" s="1173"/>
      <c r="K617" s="59"/>
      <c r="L617" s="1173"/>
      <c r="M617" s="59"/>
      <c r="N617" s="59"/>
      <c r="O617" s="59"/>
      <c r="P617" s="59"/>
      <c r="Q617" s="59"/>
      <c r="R617" s="59"/>
      <c r="S617" s="59"/>
      <c r="T617" s="59"/>
      <c r="U617" s="59"/>
      <c r="V617" s="59"/>
      <c r="W617" s="59"/>
      <c r="X617" s="59"/>
      <c r="Y617" s="59"/>
      <c r="Z617" s="59"/>
      <c r="AA617" s="59"/>
      <c r="AB617" s="59"/>
      <c r="AC617" s="59"/>
    </row>
    <row r="618" spans="1:29" ht="12.75">
      <c r="A618" s="59"/>
      <c r="B618" s="59"/>
      <c r="C618" s="59"/>
      <c r="D618" s="1173"/>
      <c r="E618" s="59"/>
      <c r="F618" s="1173"/>
      <c r="G618" s="1174"/>
      <c r="H618" s="59"/>
      <c r="I618" s="59"/>
      <c r="J618" s="1173"/>
      <c r="K618" s="59"/>
      <c r="L618" s="1173"/>
      <c r="M618" s="59"/>
      <c r="N618" s="59"/>
      <c r="O618" s="59"/>
      <c r="P618" s="59"/>
      <c r="Q618" s="59"/>
      <c r="R618" s="59"/>
      <c r="S618" s="59"/>
      <c r="T618" s="59"/>
      <c r="U618" s="59"/>
      <c r="V618" s="59"/>
      <c r="W618" s="59"/>
      <c r="X618" s="59"/>
      <c r="Y618" s="59"/>
      <c r="Z618" s="59"/>
      <c r="AA618" s="59"/>
      <c r="AB618" s="59"/>
      <c r="AC618" s="59"/>
    </row>
    <row r="619" spans="1:29" ht="12.75">
      <c r="A619" s="59"/>
      <c r="B619" s="59"/>
      <c r="C619" s="59"/>
      <c r="D619" s="1173"/>
      <c r="E619" s="59"/>
      <c r="F619" s="1173"/>
      <c r="G619" s="1174"/>
      <c r="H619" s="59"/>
      <c r="I619" s="59"/>
      <c r="J619" s="1173"/>
      <c r="K619" s="59"/>
      <c r="L619" s="1173"/>
      <c r="M619" s="59"/>
      <c r="N619" s="59"/>
      <c r="O619" s="59"/>
      <c r="P619" s="59"/>
      <c r="Q619" s="59"/>
      <c r="R619" s="59"/>
      <c r="S619" s="59"/>
      <c r="T619" s="59"/>
      <c r="U619" s="59"/>
      <c r="V619" s="59"/>
      <c r="W619" s="59"/>
      <c r="X619" s="59"/>
      <c r="Y619" s="59"/>
      <c r="Z619" s="59"/>
      <c r="AA619" s="59"/>
      <c r="AB619" s="59"/>
      <c r="AC619" s="59"/>
    </row>
    <row r="620" spans="1:29" ht="12.75">
      <c r="A620" s="59"/>
      <c r="B620" s="59"/>
      <c r="C620" s="59"/>
      <c r="D620" s="1173"/>
      <c r="E620" s="59"/>
      <c r="F620" s="1173"/>
      <c r="G620" s="1174"/>
      <c r="H620" s="59"/>
      <c r="I620" s="59"/>
      <c r="J620" s="1173"/>
      <c r="K620" s="59"/>
      <c r="L620" s="1173"/>
      <c r="M620" s="59"/>
      <c r="N620" s="59"/>
      <c r="O620" s="59"/>
      <c r="P620" s="59"/>
      <c r="Q620" s="59"/>
      <c r="R620" s="59"/>
      <c r="S620" s="59"/>
      <c r="T620" s="59"/>
      <c r="U620" s="59"/>
      <c r="V620" s="59"/>
      <c r="W620" s="59"/>
      <c r="X620" s="59"/>
      <c r="Y620" s="59"/>
      <c r="Z620" s="59"/>
      <c r="AA620" s="59"/>
      <c r="AB620" s="59"/>
      <c r="AC620" s="59"/>
    </row>
    <row r="621" spans="1:29" ht="12.75">
      <c r="A621" s="59"/>
      <c r="B621" s="59"/>
      <c r="C621" s="59"/>
      <c r="D621" s="1173"/>
      <c r="E621" s="59"/>
      <c r="F621" s="1173"/>
      <c r="G621" s="1174"/>
      <c r="H621" s="59"/>
      <c r="I621" s="59"/>
      <c r="J621" s="1173"/>
      <c r="K621" s="59"/>
      <c r="L621" s="1173"/>
      <c r="M621" s="59"/>
      <c r="N621" s="59"/>
      <c r="O621" s="59"/>
      <c r="P621" s="59"/>
      <c r="Q621" s="59"/>
      <c r="R621" s="59"/>
      <c r="S621" s="59"/>
      <c r="T621" s="59"/>
      <c r="U621" s="59"/>
      <c r="V621" s="59"/>
      <c r="W621" s="59"/>
      <c r="X621" s="59"/>
      <c r="Y621" s="59"/>
      <c r="Z621" s="59"/>
      <c r="AA621" s="59"/>
      <c r="AB621" s="59"/>
      <c r="AC621" s="59"/>
    </row>
    <row r="622" spans="1:29" ht="12.75">
      <c r="A622" s="59"/>
      <c r="B622" s="59"/>
      <c r="C622" s="59"/>
      <c r="D622" s="1173"/>
      <c r="E622" s="59"/>
      <c r="F622" s="1173"/>
      <c r="G622" s="1174"/>
      <c r="H622" s="59"/>
      <c r="I622" s="59"/>
      <c r="J622" s="1173"/>
      <c r="K622" s="59"/>
      <c r="L622" s="1173"/>
      <c r="M622" s="59"/>
      <c r="N622" s="59"/>
      <c r="O622" s="59"/>
      <c r="P622" s="59"/>
      <c r="Q622" s="59"/>
      <c r="R622" s="59"/>
      <c r="S622" s="59"/>
      <c r="T622" s="59"/>
      <c r="U622" s="59"/>
      <c r="V622" s="59"/>
      <c r="W622" s="59"/>
      <c r="X622" s="59"/>
      <c r="Y622" s="59"/>
      <c r="Z622" s="59"/>
      <c r="AA622" s="59"/>
      <c r="AB622" s="59"/>
      <c r="AC622" s="59"/>
    </row>
    <row r="623" spans="1:29" ht="12.75">
      <c r="A623" s="59"/>
      <c r="B623" s="59"/>
      <c r="C623" s="59"/>
      <c r="D623" s="1173"/>
      <c r="E623" s="59"/>
      <c r="F623" s="1173"/>
      <c r="G623" s="1174"/>
      <c r="H623" s="59"/>
      <c r="I623" s="59"/>
      <c r="J623" s="1173"/>
      <c r="K623" s="59"/>
      <c r="L623" s="1173"/>
      <c r="M623" s="59"/>
      <c r="N623" s="59"/>
      <c r="O623" s="59"/>
      <c r="P623" s="59"/>
      <c r="Q623" s="59"/>
      <c r="R623" s="59"/>
      <c r="S623" s="59"/>
      <c r="T623" s="59"/>
      <c r="U623" s="59"/>
      <c r="V623" s="59"/>
      <c r="W623" s="59"/>
      <c r="X623" s="59"/>
      <c r="Y623" s="59"/>
      <c r="Z623" s="59"/>
      <c r="AA623" s="59"/>
      <c r="AB623" s="59"/>
      <c r="AC623" s="59"/>
    </row>
    <row r="624" spans="1:29" ht="12.75">
      <c r="A624" s="59"/>
      <c r="B624" s="59"/>
      <c r="C624" s="59"/>
      <c r="D624" s="1173"/>
      <c r="E624" s="59"/>
      <c r="F624" s="1173"/>
      <c r="G624" s="1174"/>
      <c r="H624" s="59"/>
      <c r="I624" s="59"/>
      <c r="J624" s="1173"/>
      <c r="K624" s="59"/>
      <c r="L624" s="1173"/>
      <c r="M624" s="59"/>
      <c r="N624" s="59"/>
      <c r="O624" s="59"/>
      <c r="P624" s="59"/>
      <c r="Q624" s="59"/>
      <c r="R624" s="59"/>
      <c r="S624" s="59"/>
      <c r="T624" s="59"/>
      <c r="U624" s="59"/>
      <c r="V624" s="59"/>
      <c r="W624" s="59"/>
      <c r="X624" s="59"/>
      <c r="Y624" s="59"/>
      <c r="Z624" s="59"/>
      <c r="AA624" s="59"/>
      <c r="AB624" s="59"/>
      <c r="AC624" s="59"/>
    </row>
    <row r="625" spans="1:29" ht="12.75">
      <c r="A625" s="59"/>
      <c r="B625" s="59"/>
      <c r="C625" s="59"/>
      <c r="D625" s="1173"/>
      <c r="E625" s="59"/>
      <c r="F625" s="1173"/>
      <c r="G625" s="1174"/>
      <c r="H625" s="59"/>
      <c r="I625" s="59"/>
      <c r="J625" s="1173"/>
      <c r="K625" s="59"/>
      <c r="L625" s="1173"/>
      <c r="M625" s="59"/>
      <c r="N625" s="59"/>
      <c r="O625" s="59"/>
      <c r="P625" s="59"/>
      <c r="Q625" s="59"/>
      <c r="R625" s="59"/>
      <c r="S625" s="59"/>
      <c r="T625" s="59"/>
      <c r="U625" s="59"/>
      <c r="V625" s="59"/>
      <c r="W625" s="59"/>
      <c r="X625" s="59"/>
      <c r="Y625" s="59"/>
      <c r="Z625" s="59"/>
      <c r="AA625" s="59"/>
      <c r="AB625" s="59"/>
      <c r="AC625" s="59"/>
    </row>
    <row r="626" spans="1:29" ht="12.75">
      <c r="A626" s="59"/>
      <c r="B626" s="59"/>
      <c r="C626" s="59"/>
      <c r="D626" s="1173"/>
      <c r="E626" s="59"/>
      <c r="F626" s="1173"/>
      <c r="G626" s="1174"/>
      <c r="H626" s="59"/>
      <c r="I626" s="59"/>
      <c r="J626" s="1173"/>
      <c r="K626" s="59"/>
      <c r="L626" s="1173"/>
      <c r="M626" s="59"/>
      <c r="N626" s="59"/>
      <c r="O626" s="59"/>
      <c r="P626" s="59"/>
      <c r="Q626" s="59"/>
      <c r="R626" s="59"/>
      <c r="S626" s="59"/>
      <c r="T626" s="59"/>
      <c r="U626" s="59"/>
      <c r="V626" s="59"/>
      <c r="W626" s="59"/>
      <c r="X626" s="59"/>
      <c r="Y626" s="59"/>
      <c r="Z626" s="59"/>
      <c r="AA626" s="59"/>
      <c r="AB626" s="59"/>
      <c r="AC626" s="59"/>
    </row>
    <row r="627" spans="1:29" ht="12.75">
      <c r="A627" s="59"/>
      <c r="B627" s="59"/>
      <c r="C627" s="59"/>
      <c r="D627" s="1173"/>
      <c r="E627" s="59"/>
      <c r="F627" s="1173"/>
      <c r="G627" s="1174"/>
      <c r="H627" s="59"/>
      <c r="I627" s="59"/>
      <c r="J627" s="1173"/>
      <c r="K627" s="59"/>
      <c r="L627" s="1173"/>
      <c r="M627" s="59"/>
      <c r="N627" s="59"/>
      <c r="O627" s="59"/>
      <c r="P627" s="59"/>
      <c r="Q627" s="59"/>
      <c r="R627" s="59"/>
      <c r="S627" s="59"/>
      <c r="T627" s="59"/>
      <c r="U627" s="59"/>
      <c r="V627" s="59"/>
      <c r="W627" s="59"/>
      <c r="X627" s="59"/>
      <c r="Y627" s="59"/>
      <c r="Z627" s="59"/>
      <c r="AA627" s="59"/>
      <c r="AB627" s="59"/>
      <c r="AC627" s="59"/>
    </row>
    <row r="628" spans="1:29" ht="12.75">
      <c r="A628" s="59"/>
      <c r="B628" s="59"/>
      <c r="C628" s="59"/>
      <c r="D628" s="1173"/>
      <c r="E628" s="59"/>
      <c r="F628" s="1173"/>
      <c r="G628" s="1174"/>
      <c r="H628" s="59"/>
      <c r="I628" s="59"/>
      <c r="J628" s="1173"/>
      <c r="K628" s="59"/>
      <c r="L628" s="1173"/>
      <c r="M628" s="59"/>
      <c r="N628" s="59"/>
      <c r="O628" s="59"/>
      <c r="P628" s="59"/>
      <c r="Q628" s="59"/>
      <c r="R628" s="59"/>
      <c r="S628" s="59"/>
      <c r="T628" s="59"/>
      <c r="U628" s="59"/>
      <c r="V628" s="59"/>
      <c r="W628" s="59"/>
      <c r="X628" s="59"/>
      <c r="Y628" s="59"/>
      <c r="Z628" s="59"/>
      <c r="AA628" s="59"/>
      <c r="AB628" s="59"/>
      <c r="AC628" s="59"/>
    </row>
    <row r="629" spans="1:29" ht="12.75">
      <c r="A629" s="59"/>
      <c r="B629" s="59"/>
      <c r="C629" s="59"/>
      <c r="D629" s="1173"/>
      <c r="E629" s="59"/>
      <c r="F629" s="1173"/>
      <c r="G629" s="1174"/>
      <c r="H629" s="59"/>
      <c r="I629" s="59"/>
      <c r="J629" s="1173"/>
      <c r="K629" s="59"/>
      <c r="L629" s="1173"/>
      <c r="M629" s="59"/>
      <c r="N629" s="59"/>
      <c r="O629" s="59"/>
      <c r="P629" s="59"/>
      <c r="Q629" s="59"/>
      <c r="R629" s="59"/>
      <c r="S629" s="59"/>
      <c r="T629" s="59"/>
      <c r="U629" s="59"/>
      <c r="V629" s="59"/>
      <c r="W629" s="59"/>
      <c r="X629" s="59"/>
      <c r="Y629" s="59"/>
      <c r="Z629" s="59"/>
      <c r="AA629" s="59"/>
      <c r="AB629" s="59"/>
      <c r="AC629" s="59"/>
    </row>
    <row r="630" spans="1:29" ht="12.75">
      <c r="A630" s="59"/>
      <c r="B630" s="59"/>
      <c r="C630" s="59"/>
      <c r="D630" s="1173"/>
      <c r="E630" s="59"/>
      <c r="F630" s="1173"/>
      <c r="G630" s="1174"/>
      <c r="H630" s="59"/>
      <c r="I630" s="59"/>
      <c r="J630" s="1173"/>
      <c r="K630" s="59"/>
      <c r="L630" s="1173"/>
      <c r="M630" s="59"/>
      <c r="N630" s="59"/>
      <c r="O630" s="59"/>
      <c r="P630" s="59"/>
      <c r="Q630" s="59"/>
      <c r="R630" s="59"/>
      <c r="S630" s="59"/>
      <c r="T630" s="59"/>
      <c r="U630" s="59"/>
      <c r="V630" s="59"/>
      <c r="W630" s="59"/>
      <c r="X630" s="59"/>
      <c r="Y630" s="59"/>
      <c r="Z630" s="59"/>
      <c r="AA630" s="59"/>
      <c r="AB630" s="59"/>
      <c r="AC630" s="59"/>
    </row>
    <row r="631" spans="1:29" ht="12.75">
      <c r="A631" s="59"/>
      <c r="B631" s="59"/>
      <c r="C631" s="59"/>
      <c r="D631" s="1173"/>
      <c r="E631" s="59"/>
      <c r="F631" s="1173"/>
      <c r="G631" s="1174"/>
      <c r="H631" s="59"/>
      <c r="I631" s="59"/>
      <c r="J631" s="1173"/>
      <c r="K631" s="59"/>
      <c r="L631" s="1173"/>
      <c r="M631" s="59"/>
      <c r="N631" s="59"/>
      <c r="O631" s="59"/>
      <c r="P631" s="59"/>
      <c r="Q631" s="59"/>
      <c r="R631" s="59"/>
      <c r="S631" s="59"/>
      <c r="T631" s="59"/>
      <c r="U631" s="59"/>
      <c r="V631" s="59"/>
      <c r="W631" s="59"/>
      <c r="X631" s="59"/>
      <c r="Y631" s="59"/>
      <c r="Z631" s="59"/>
      <c r="AA631" s="59"/>
      <c r="AB631" s="59"/>
      <c r="AC631" s="59"/>
    </row>
    <row r="632" spans="1:29" ht="12.75">
      <c r="A632" s="59"/>
      <c r="B632" s="59"/>
      <c r="C632" s="59"/>
      <c r="D632" s="1173"/>
      <c r="E632" s="59"/>
      <c r="F632" s="1173"/>
      <c r="G632" s="1174"/>
      <c r="H632" s="59"/>
      <c r="I632" s="59"/>
      <c r="J632" s="1173"/>
      <c r="K632" s="59"/>
      <c r="L632" s="1173"/>
      <c r="M632" s="59"/>
      <c r="N632" s="59"/>
      <c r="O632" s="59"/>
      <c r="P632" s="59"/>
      <c r="Q632" s="59"/>
      <c r="R632" s="59"/>
      <c r="S632" s="59"/>
      <c r="T632" s="59"/>
      <c r="U632" s="59"/>
      <c r="V632" s="59"/>
      <c r="W632" s="59"/>
      <c r="X632" s="59"/>
      <c r="Y632" s="59"/>
      <c r="Z632" s="59"/>
      <c r="AA632" s="59"/>
      <c r="AB632" s="59"/>
      <c r="AC632" s="59"/>
    </row>
    <row r="633" spans="1:29" ht="12.75">
      <c r="A633" s="59"/>
      <c r="B633" s="59"/>
      <c r="C633" s="59"/>
      <c r="D633" s="1173"/>
      <c r="E633" s="59"/>
      <c r="F633" s="1173"/>
      <c r="G633" s="1174"/>
      <c r="H633" s="59"/>
      <c r="I633" s="59"/>
      <c r="J633" s="1173"/>
      <c r="K633" s="59"/>
      <c r="L633" s="1173"/>
      <c r="M633" s="59"/>
      <c r="N633" s="59"/>
      <c r="O633" s="59"/>
      <c r="P633" s="59"/>
      <c r="Q633" s="59"/>
      <c r="R633" s="59"/>
      <c r="S633" s="59"/>
      <c r="T633" s="59"/>
      <c r="U633" s="59"/>
      <c r="V633" s="59"/>
      <c r="W633" s="59"/>
      <c r="X633" s="59"/>
      <c r="Y633" s="59"/>
      <c r="Z633" s="59"/>
      <c r="AA633" s="59"/>
      <c r="AB633" s="59"/>
      <c r="AC633" s="59"/>
    </row>
    <row r="634" spans="1:29" ht="12.75">
      <c r="A634" s="59"/>
      <c r="B634" s="59"/>
      <c r="C634" s="59"/>
      <c r="D634" s="1173"/>
      <c r="E634" s="59"/>
      <c r="F634" s="1173"/>
      <c r="G634" s="1174"/>
      <c r="H634" s="59"/>
      <c r="I634" s="59"/>
      <c r="J634" s="1173"/>
      <c r="K634" s="59"/>
      <c r="L634" s="1173"/>
      <c r="M634" s="59"/>
      <c r="N634" s="59"/>
      <c r="O634" s="59"/>
      <c r="P634" s="59"/>
      <c r="Q634" s="59"/>
      <c r="R634" s="59"/>
      <c r="S634" s="59"/>
      <c r="T634" s="59"/>
      <c r="U634" s="59"/>
      <c r="V634" s="59"/>
      <c r="W634" s="59"/>
      <c r="X634" s="59"/>
      <c r="Y634" s="59"/>
      <c r="Z634" s="59"/>
      <c r="AA634" s="59"/>
      <c r="AB634" s="59"/>
      <c r="AC634" s="59"/>
    </row>
    <row r="635" spans="1:29" ht="12.75">
      <c r="A635" s="59"/>
      <c r="B635" s="59"/>
      <c r="C635" s="59"/>
      <c r="D635" s="1173"/>
      <c r="E635" s="59"/>
      <c r="F635" s="1173"/>
      <c r="G635" s="1174"/>
      <c r="H635" s="59"/>
      <c r="I635" s="59"/>
      <c r="J635" s="1173"/>
      <c r="K635" s="59"/>
      <c r="L635" s="1173"/>
      <c r="M635" s="59"/>
      <c r="N635" s="59"/>
      <c r="O635" s="59"/>
      <c r="P635" s="59"/>
      <c r="Q635" s="59"/>
      <c r="R635" s="59"/>
      <c r="S635" s="59"/>
      <c r="T635" s="59"/>
      <c r="U635" s="59"/>
      <c r="V635" s="59"/>
      <c r="W635" s="59"/>
      <c r="X635" s="59"/>
      <c r="Y635" s="59"/>
      <c r="Z635" s="59"/>
      <c r="AA635" s="59"/>
      <c r="AB635" s="59"/>
      <c r="AC635" s="59"/>
    </row>
    <row r="636" spans="1:29" ht="12.75">
      <c r="A636" s="59"/>
      <c r="B636" s="59"/>
      <c r="C636" s="59"/>
      <c r="D636" s="1173"/>
      <c r="E636" s="59"/>
      <c r="F636" s="1173"/>
      <c r="G636" s="1174"/>
      <c r="H636" s="59"/>
      <c r="I636" s="59"/>
      <c r="J636" s="1173"/>
      <c r="K636" s="59"/>
      <c r="L636" s="1173"/>
      <c r="M636" s="59"/>
      <c r="N636" s="59"/>
      <c r="O636" s="59"/>
      <c r="P636" s="59"/>
      <c r="Q636" s="59"/>
      <c r="R636" s="59"/>
      <c r="S636" s="59"/>
      <c r="T636" s="59"/>
      <c r="U636" s="59"/>
      <c r="V636" s="59"/>
      <c r="W636" s="59"/>
      <c r="X636" s="59"/>
      <c r="Y636" s="59"/>
      <c r="Z636" s="59"/>
      <c r="AA636" s="59"/>
      <c r="AB636" s="59"/>
      <c r="AC636" s="59"/>
    </row>
    <row r="637" spans="1:29" ht="12.75">
      <c r="A637" s="59"/>
      <c r="B637" s="59"/>
      <c r="C637" s="59"/>
      <c r="D637" s="1173"/>
      <c r="E637" s="59"/>
      <c r="F637" s="1173"/>
      <c r="G637" s="1174"/>
      <c r="H637" s="59"/>
      <c r="I637" s="59"/>
      <c r="J637" s="1173"/>
      <c r="K637" s="59"/>
      <c r="L637" s="1173"/>
      <c r="M637" s="59"/>
      <c r="N637" s="59"/>
      <c r="O637" s="59"/>
      <c r="P637" s="59"/>
      <c r="Q637" s="59"/>
      <c r="R637" s="59"/>
      <c r="S637" s="59"/>
      <c r="T637" s="59"/>
      <c r="U637" s="59"/>
      <c r="V637" s="59"/>
      <c r="W637" s="59"/>
      <c r="X637" s="59"/>
      <c r="Y637" s="59"/>
      <c r="Z637" s="59"/>
      <c r="AA637" s="59"/>
      <c r="AB637" s="59"/>
      <c r="AC637" s="59"/>
    </row>
    <row r="638" spans="1:29" ht="12.75">
      <c r="A638" s="59"/>
      <c r="B638" s="59"/>
      <c r="C638" s="59"/>
      <c r="D638" s="1173"/>
      <c r="E638" s="59"/>
      <c r="F638" s="1173"/>
      <c r="G638" s="1174"/>
      <c r="H638" s="59"/>
      <c r="I638" s="59"/>
      <c r="J638" s="1173"/>
      <c r="K638" s="59"/>
      <c r="L638" s="1173"/>
      <c r="M638" s="59"/>
      <c r="N638" s="59"/>
      <c r="O638" s="59"/>
      <c r="P638" s="59"/>
      <c r="Q638" s="59"/>
      <c r="R638" s="59"/>
      <c r="S638" s="59"/>
      <c r="T638" s="59"/>
      <c r="U638" s="59"/>
      <c r="V638" s="59"/>
      <c r="W638" s="59"/>
      <c r="X638" s="59"/>
      <c r="Y638" s="59"/>
      <c r="Z638" s="59"/>
      <c r="AA638" s="59"/>
      <c r="AB638" s="59"/>
      <c r="AC638" s="59"/>
    </row>
    <row r="639" spans="1:29" ht="12.75">
      <c r="A639" s="59"/>
      <c r="B639" s="59"/>
      <c r="C639" s="59"/>
      <c r="D639" s="1173"/>
      <c r="E639" s="59"/>
      <c r="F639" s="1173"/>
      <c r="G639" s="1174"/>
      <c r="H639" s="59"/>
      <c r="I639" s="59"/>
      <c r="J639" s="1173"/>
      <c r="K639" s="59"/>
      <c r="L639" s="1173"/>
      <c r="M639" s="59"/>
      <c r="N639" s="59"/>
      <c r="O639" s="59"/>
      <c r="P639" s="59"/>
      <c r="Q639" s="59"/>
      <c r="R639" s="59"/>
      <c r="S639" s="59"/>
      <c r="T639" s="59"/>
      <c r="U639" s="59"/>
      <c r="V639" s="59"/>
      <c r="W639" s="59"/>
      <c r="X639" s="59"/>
      <c r="Y639" s="59"/>
      <c r="Z639" s="59"/>
      <c r="AA639" s="59"/>
      <c r="AB639" s="59"/>
      <c r="AC639" s="59"/>
    </row>
    <row r="640" spans="1:29" ht="12.75">
      <c r="A640" s="59"/>
      <c r="B640" s="59"/>
      <c r="C640" s="59"/>
      <c r="D640" s="1173"/>
      <c r="E640" s="59"/>
      <c r="F640" s="1173"/>
      <c r="G640" s="1174"/>
      <c r="H640" s="59"/>
      <c r="I640" s="59"/>
      <c r="J640" s="1173"/>
      <c r="K640" s="59"/>
      <c r="L640" s="1173"/>
      <c r="M640" s="59"/>
      <c r="N640" s="59"/>
      <c r="O640" s="59"/>
      <c r="P640" s="59"/>
      <c r="Q640" s="59"/>
      <c r="R640" s="59"/>
      <c r="S640" s="59"/>
      <c r="T640" s="59"/>
      <c r="U640" s="59"/>
      <c r="V640" s="59"/>
      <c r="W640" s="59"/>
      <c r="X640" s="59"/>
      <c r="Y640" s="59"/>
      <c r="Z640" s="59"/>
      <c r="AA640" s="59"/>
      <c r="AB640" s="59"/>
      <c r="AC640" s="59"/>
    </row>
    <row r="641" spans="1:29" ht="12.75">
      <c r="A641" s="59"/>
      <c r="B641" s="59"/>
      <c r="C641" s="59"/>
      <c r="D641" s="1173"/>
      <c r="E641" s="59"/>
      <c r="F641" s="1173"/>
      <c r="G641" s="1174"/>
      <c r="H641" s="59"/>
      <c r="I641" s="59"/>
      <c r="J641" s="1173"/>
      <c r="K641" s="59"/>
      <c r="L641" s="1173"/>
      <c r="M641" s="59"/>
      <c r="N641" s="59"/>
      <c r="O641" s="59"/>
      <c r="P641" s="59"/>
      <c r="Q641" s="59"/>
      <c r="R641" s="59"/>
      <c r="S641" s="59"/>
      <c r="T641" s="59"/>
      <c r="U641" s="59"/>
      <c r="V641" s="59"/>
      <c r="W641" s="59"/>
      <c r="X641" s="59"/>
      <c r="Y641" s="59"/>
      <c r="Z641" s="59"/>
      <c r="AA641" s="59"/>
      <c r="AB641" s="59"/>
      <c r="AC641" s="59"/>
    </row>
    <row r="642" spans="1:29" ht="12.75">
      <c r="A642" s="59"/>
      <c r="B642" s="59"/>
      <c r="C642" s="59"/>
      <c r="D642" s="1173"/>
      <c r="E642" s="59"/>
      <c r="F642" s="1173"/>
      <c r="G642" s="1174"/>
      <c r="H642" s="59"/>
      <c r="I642" s="59"/>
      <c r="J642" s="1173"/>
      <c r="K642" s="59"/>
      <c r="L642" s="1173"/>
      <c r="M642" s="59"/>
      <c r="N642" s="59"/>
      <c r="O642" s="59"/>
      <c r="P642" s="59"/>
      <c r="Q642" s="59"/>
      <c r="R642" s="59"/>
      <c r="S642" s="59"/>
      <c r="T642" s="59"/>
      <c r="U642" s="59"/>
      <c r="V642" s="59"/>
      <c r="W642" s="59"/>
      <c r="X642" s="59"/>
      <c r="Y642" s="59"/>
      <c r="Z642" s="59"/>
      <c r="AA642" s="59"/>
      <c r="AB642" s="59"/>
      <c r="AC642" s="59"/>
    </row>
    <row r="643" spans="1:29" ht="12.75">
      <c r="A643" s="59"/>
      <c r="B643" s="59"/>
      <c r="C643" s="59"/>
      <c r="D643" s="1173"/>
      <c r="E643" s="59"/>
      <c r="F643" s="1173"/>
      <c r="G643" s="1174"/>
      <c r="H643" s="59"/>
      <c r="I643" s="59"/>
      <c r="J643" s="1173"/>
      <c r="K643" s="59"/>
      <c r="L643" s="1173"/>
      <c r="M643" s="59"/>
      <c r="N643" s="59"/>
      <c r="O643" s="59"/>
      <c r="P643" s="59"/>
      <c r="Q643" s="59"/>
      <c r="R643" s="59"/>
      <c r="S643" s="59"/>
      <c r="T643" s="59"/>
      <c r="U643" s="59"/>
      <c r="V643" s="59"/>
      <c r="W643" s="59"/>
      <c r="X643" s="59"/>
      <c r="Y643" s="59"/>
      <c r="Z643" s="59"/>
      <c r="AA643" s="59"/>
      <c r="AB643" s="59"/>
      <c r="AC643" s="59"/>
    </row>
    <row r="644" spans="1:29" ht="12.75">
      <c r="A644" s="59"/>
      <c r="B644" s="59"/>
      <c r="C644" s="59"/>
      <c r="D644" s="1173"/>
      <c r="E644" s="59"/>
      <c r="F644" s="1173"/>
      <c r="G644" s="1174"/>
      <c r="H644" s="59"/>
      <c r="I644" s="59"/>
      <c r="J644" s="1173"/>
      <c r="K644" s="59"/>
      <c r="L644" s="1173"/>
      <c r="M644" s="59"/>
      <c r="N644" s="59"/>
      <c r="O644" s="59"/>
      <c r="P644" s="59"/>
      <c r="Q644" s="59"/>
      <c r="R644" s="59"/>
      <c r="S644" s="59"/>
      <c r="T644" s="59"/>
      <c r="U644" s="59"/>
      <c r="V644" s="59"/>
      <c r="W644" s="59"/>
      <c r="X644" s="59"/>
      <c r="Y644" s="59"/>
      <c r="Z644" s="59"/>
      <c r="AA644" s="59"/>
      <c r="AB644" s="59"/>
      <c r="AC644" s="59"/>
    </row>
    <row r="645" spans="1:29" ht="12.75">
      <c r="A645" s="59"/>
      <c r="B645" s="59"/>
      <c r="C645" s="59"/>
      <c r="D645" s="1173"/>
      <c r="E645" s="59"/>
      <c r="F645" s="1173"/>
      <c r="G645" s="1174"/>
      <c r="H645" s="59"/>
      <c r="I645" s="59"/>
      <c r="J645" s="1173"/>
      <c r="K645" s="59"/>
      <c r="L645" s="1173"/>
      <c r="M645" s="59"/>
      <c r="N645" s="59"/>
      <c r="O645" s="59"/>
      <c r="P645" s="59"/>
      <c r="Q645" s="59"/>
      <c r="R645" s="59"/>
      <c r="S645" s="59"/>
      <c r="T645" s="59"/>
      <c r="U645" s="59"/>
      <c r="V645" s="59"/>
      <c r="W645" s="59"/>
      <c r="X645" s="59"/>
      <c r="Y645" s="59"/>
      <c r="Z645" s="59"/>
      <c r="AA645" s="59"/>
      <c r="AB645" s="59"/>
      <c r="AC645" s="59"/>
    </row>
    <row r="646" spans="1:29" ht="12.75">
      <c r="A646" s="59"/>
      <c r="B646" s="59"/>
      <c r="C646" s="59"/>
      <c r="D646" s="1173"/>
      <c r="E646" s="59"/>
      <c r="F646" s="1173"/>
      <c r="G646" s="1174"/>
      <c r="H646" s="59"/>
      <c r="I646" s="59"/>
      <c r="J646" s="1173"/>
      <c r="K646" s="59"/>
      <c r="L646" s="1173"/>
      <c r="M646" s="59"/>
      <c r="N646" s="59"/>
      <c r="O646" s="59"/>
      <c r="P646" s="59"/>
      <c r="Q646" s="59"/>
      <c r="R646" s="59"/>
      <c r="S646" s="59"/>
      <c r="T646" s="59"/>
      <c r="U646" s="59"/>
      <c r="V646" s="59"/>
      <c r="W646" s="59"/>
      <c r="X646" s="59"/>
      <c r="Y646" s="59"/>
      <c r="Z646" s="59"/>
      <c r="AA646" s="59"/>
      <c r="AB646" s="59"/>
      <c r="AC646" s="59"/>
    </row>
    <row r="647" spans="1:29" ht="12.75">
      <c r="A647" s="59"/>
      <c r="B647" s="59"/>
      <c r="C647" s="59"/>
      <c r="D647" s="1173"/>
      <c r="E647" s="59"/>
      <c r="F647" s="1173"/>
      <c r="G647" s="1174"/>
      <c r="H647" s="59"/>
      <c r="I647" s="59"/>
      <c r="J647" s="1173"/>
      <c r="K647" s="59"/>
      <c r="L647" s="1173"/>
      <c r="M647" s="59"/>
      <c r="N647" s="59"/>
      <c r="O647" s="59"/>
      <c r="P647" s="59"/>
      <c r="Q647" s="59"/>
      <c r="R647" s="59"/>
      <c r="S647" s="59"/>
      <c r="T647" s="59"/>
      <c r="U647" s="59"/>
      <c r="V647" s="59"/>
      <c r="W647" s="59"/>
      <c r="X647" s="59"/>
      <c r="Y647" s="59"/>
      <c r="Z647" s="59"/>
      <c r="AA647" s="59"/>
      <c r="AB647" s="59"/>
      <c r="AC647" s="59"/>
    </row>
    <row r="648" spans="1:29" ht="12.75">
      <c r="A648" s="59"/>
      <c r="B648" s="59"/>
      <c r="C648" s="59"/>
      <c r="D648" s="1173"/>
      <c r="E648" s="59"/>
      <c r="F648" s="1173"/>
      <c r="G648" s="1174"/>
      <c r="H648" s="59"/>
      <c r="I648" s="59"/>
      <c r="J648" s="1173"/>
      <c r="K648" s="59"/>
      <c r="L648" s="1173"/>
      <c r="M648" s="59"/>
      <c r="N648" s="59"/>
      <c r="O648" s="59"/>
      <c r="P648" s="59"/>
      <c r="Q648" s="59"/>
      <c r="R648" s="59"/>
      <c r="S648" s="59"/>
      <c r="T648" s="59"/>
      <c r="U648" s="59"/>
      <c r="V648" s="59"/>
      <c r="W648" s="59"/>
      <c r="X648" s="59"/>
      <c r="Y648" s="59"/>
      <c r="Z648" s="59"/>
      <c r="AA648" s="59"/>
      <c r="AB648" s="59"/>
      <c r="AC648" s="59"/>
    </row>
    <row r="649" spans="1:29" ht="12.75">
      <c r="A649" s="59"/>
      <c r="B649" s="59"/>
      <c r="C649" s="59"/>
      <c r="D649" s="1173"/>
      <c r="E649" s="59"/>
      <c r="F649" s="1173"/>
      <c r="G649" s="1174"/>
      <c r="H649" s="59"/>
      <c r="I649" s="59"/>
      <c r="J649" s="1173"/>
      <c r="K649" s="59"/>
      <c r="L649" s="1173"/>
      <c r="M649" s="59"/>
      <c r="N649" s="59"/>
      <c r="O649" s="59"/>
      <c r="P649" s="59"/>
      <c r="Q649" s="59"/>
      <c r="R649" s="59"/>
      <c r="S649" s="59"/>
      <c r="T649" s="59"/>
      <c r="U649" s="59"/>
      <c r="V649" s="59"/>
      <c r="W649" s="59"/>
      <c r="X649" s="59"/>
      <c r="Y649" s="59"/>
      <c r="Z649" s="59"/>
      <c r="AA649" s="59"/>
      <c r="AB649" s="59"/>
      <c r="AC649" s="59"/>
    </row>
    <row r="650" spans="1:29" ht="12.75">
      <c r="A650" s="59"/>
      <c r="B650" s="59"/>
      <c r="C650" s="59"/>
      <c r="D650" s="1173"/>
      <c r="E650" s="59"/>
      <c r="F650" s="1173"/>
      <c r="G650" s="1174"/>
      <c r="H650" s="59"/>
      <c r="I650" s="59"/>
      <c r="J650" s="1173"/>
      <c r="K650" s="59"/>
      <c r="L650" s="1173"/>
      <c r="M650" s="59"/>
      <c r="N650" s="59"/>
      <c r="O650" s="59"/>
      <c r="P650" s="59"/>
      <c r="Q650" s="59"/>
      <c r="R650" s="59"/>
      <c r="S650" s="59"/>
      <c r="T650" s="59"/>
      <c r="U650" s="59"/>
      <c r="V650" s="59"/>
      <c r="W650" s="59"/>
      <c r="X650" s="59"/>
      <c r="Y650" s="59"/>
      <c r="Z650" s="59"/>
      <c r="AA650" s="59"/>
      <c r="AB650" s="59"/>
      <c r="AC650" s="59"/>
    </row>
    <row r="651" spans="1:29" ht="12.75">
      <c r="A651" s="59"/>
      <c r="B651" s="59"/>
      <c r="C651" s="59"/>
      <c r="D651" s="1173"/>
      <c r="E651" s="59"/>
      <c r="F651" s="1173"/>
      <c r="G651" s="1174"/>
      <c r="H651" s="59"/>
      <c r="I651" s="59"/>
      <c r="J651" s="1173"/>
      <c r="K651" s="59"/>
      <c r="L651" s="1173"/>
      <c r="M651" s="59"/>
      <c r="N651" s="59"/>
      <c r="O651" s="59"/>
      <c r="P651" s="59"/>
      <c r="Q651" s="59"/>
      <c r="R651" s="59"/>
      <c r="S651" s="59"/>
      <c r="T651" s="59"/>
      <c r="U651" s="59"/>
      <c r="V651" s="59"/>
      <c r="W651" s="59"/>
      <c r="X651" s="59"/>
      <c r="Y651" s="59"/>
      <c r="Z651" s="59"/>
      <c r="AA651" s="59"/>
      <c r="AB651" s="59"/>
      <c r="AC651" s="59"/>
    </row>
    <row r="652" spans="1:29" ht="12.75">
      <c r="A652" s="59"/>
      <c r="B652" s="59"/>
      <c r="C652" s="59"/>
      <c r="D652" s="1173"/>
      <c r="E652" s="59"/>
      <c r="F652" s="1173"/>
      <c r="G652" s="1174"/>
      <c r="H652" s="59"/>
      <c r="I652" s="59"/>
      <c r="J652" s="1173"/>
      <c r="K652" s="59"/>
      <c r="L652" s="1173"/>
      <c r="M652" s="59"/>
      <c r="N652" s="59"/>
      <c r="O652" s="59"/>
      <c r="P652" s="59"/>
      <c r="Q652" s="59"/>
      <c r="R652" s="59"/>
      <c r="S652" s="59"/>
      <c r="T652" s="59"/>
      <c r="U652" s="59"/>
      <c r="V652" s="59"/>
      <c r="W652" s="59"/>
      <c r="X652" s="59"/>
      <c r="Y652" s="59"/>
      <c r="Z652" s="59"/>
      <c r="AA652" s="59"/>
      <c r="AB652" s="59"/>
      <c r="AC652" s="59"/>
    </row>
    <row r="653" spans="1:29" ht="12.75">
      <c r="A653" s="59"/>
      <c r="B653" s="59"/>
      <c r="C653" s="59"/>
      <c r="D653" s="1173"/>
      <c r="E653" s="59"/>
      <c r="F653" s="1173"/>
      <c r="G653" s="1174"/>
      <c r="H653" s="59"/>
      <c r="I653" s="59"/>
      <c r="J653" s="1173"/>
      <c r="K653" s="59"/>
      <c r="L653" s="1173"/>
      <c r="M653" s="59"/>
      <c r="N653" s="59"/>
      <c r="O653" s="59"/>
      <c r="P653" s="59"/>
      <c r="Q653" s="59"/>
      <c r="R653" s="59"/>
      <c r="S653" s="59"/>
      <c r="T653" s="59"/>
      <c r="U653" s="59"/>
      <c r="V653" s="59"/>
      <c r="W653" s="59"/>
      <c r="X653" s="59"/>
      <c r="Y653" s="59"/>
      <c r="Z653" s="59"/>
      <c r="AA653" s="59"/>
      <c r="AB653" s="59"/>
      <c r="AC653" s="59"/>
    </row>
    <row r="654" spans="1:29" ht="12.75">
      <c r="A654" s="59"/>
      <c r="B654" s="59"/>
      <c r="C654" s="59"/>
      <c r="D654" s="1173"/>
      <c r="E654" s="59"/>
      <c r="F654" s="1173"/>
      <c r="G654" s="1174"/>
      <c r="H654" s="59"/>
      <c r="I654" s="59"/>
      <c r="J654" s="1173"/>
      <c r="K654" s="59"/>
      <c r="L654" s="1173"/>
      <c r="M654" s="59"/>
      <c r="N654" s="59"/>
      <c r="O654" s="59"/>
      <c r="P654" s="59"/>
      <c r="Q654" s="59"/>
      <c r="R654" s="59"/>
      <c r="S654" s="59"/>
      <c r="T654" s="59"/>
      <c r="U654" s="59"/>
      <c r="V654" s="59"/>
      <c r="W654" s="59"/>
      <c r="X654" s="59"/>
      <c r="Y654" s="59"/>
      <c r="Z654" s="59"/>
      <c r="AA654" s="59"/>
      <c r="AB654" s="59"/>
      <c r="AC654" s="59"/>
    </row>
    <row r="655" spans="1:29" ht="12.75">
      <c r="A655" s="59"/>
      <c r="B655" s="59"/>
      <c r="C655" s="59"/>
      <c r="D655" s="1173"/>
      <c r="E655" s="59"/>
      <c r="F655" s="1173"/>
      <c r="G655" s="1174"/>
      <c r="H655" s="59"/>
      <c r="I655" s="59"/>
      <c r="J655" s="1173"/>
      <c r="K655" s="59"/>
      <c r="L655" s="1173"/>
      <c r="M655" s="59"/>
      <c r="N655" s="59"/>
      <c r="O655" s="59"/>
      <c r="P655" s="59"/>
      <c r="Q655" s="59"/>
      <c r="R655" s="59"/>
      <c r="S655" s="59"/>
      <c r="T655" s="59"/>
      <c r="U655" s="59"/>
      <c r="V655" s="59"/>
      <c r="W655" s="59"/>
      <c r="X655" s="59"/>
      <c r="Y655" s="59"/>
      <c r="Z655" s="59"/>
      <c r="AA655" s="59"/>
      <c r="AB655" s="59"/>
      <c r="AC655" s="59"/>
    </row>
    <row r="656" spans="1:29" ht="12.75">
      <c r="A656" s="59"/>
      <c r="B656" s="59"/>
      <c r="C656" s="59"/>
      <c r="D656" s="1173"/>
      <c r="E656" s="59"/>
      <c r="F656" s="1173"/>
      <c r="G656" s="1174"/>
      <c r="H656" s="59"/>
      <c r="I656" s="59"/>
      <c r="J656" s="1173"/>
      <c r="K656" s="59"/>
      <c r="L656" s="1173"/>
      <c r="M656" s="59"/>
      <c r="N656" s="59"/>
      <c r="O656" s="59"/>
      <c r="P656" s="59"/>
      <c r="Q656" s="59"/>
      <c r="R656" s="59"/>
      <c r="S656" s="59"/>
      <c r="T656" s="59"/>
      <c r="U656" s="59"/>
      <c r="V656" s="59"/>
      <c r="W656" s="59"/>
      <c r="X656" s="59"/>
      <c r="Y656" s="59"/>
      <c r="Z656" s="59"/>
      <c r="AA656" s="59"/>
      <c r="AB656" s="59"/>
      <c r="AC656" s="59"/>
    </row>
    <row r="657" spans="1:29" ht="12.75">
      <c r="A657" s="59"/>
      <c r="B657" s="59"/>
      <c r="C657" s="59"/>
      <c r="D657" s="1173"/>
      <c r="E657" s="59"/>
      <c r="F657" s="1173"/>
      <c r="G657" s="1174"/>
      <c r="H657" s="59"/>
      <c r="I657" s="59"/>
      <c r="J657" s="1173"/>
      <c r="K657" s="59"/>
      <c r="L657" s="1173"/>
      <c r="M657" s="59"/>
      <c r="N657" s="59"/>
      <c r="O657" s="59"/>
      <c r="P657" s="59"/>
      <c r="Q657" s="59"/>
      <c r="R657" s="59"/>
      <c r="S657" s="59"/>
      <c r="T657" s="59"/>
      <c r="U657" s="59"/>
      <c r="V657" s="59"/>
      <c r="W657" s="59"/>
      <c r="X657" s="59"/>
      <c r="Y657" s="59"/>
      <c r="Z657" s="59"/>
      <c r="AA657" s="59"/>
      <c r="AB657" s="59"/>
      <c r="AC657" s="59"/>
    </row>
    <row r="658" spans="1:29" ht="12.75">
      <c r="A658" s="59"/>
      <c r="B658" s="59"/>
      <c r="C658" s="59"/>
      <c r="D658" s="1173"/>
      <c r="E658" s="59"/>
      <c r="F658" s="1173"/>
      <c r="G658" s="1174"/>
      <c r="H658" s="59"/>
      <c r="I658" s="59"/>
      <c r="J658" s="1173"/>
      <c r="K658" s="59"/>
      <c r="L658" s="1173"/>
      <c r="M658" s="59"/>
      <c r="N658" s="59"/>
      <c r="O658" s="59"/>
      <c r="P658" s="59"/>
      <c r="Q658" s="59"/>
      <c r="R658" s="59"/>
      <c r="S658" s="59"/>
      <c r="T658" s="59"/>
      <c r="U658" s="59"/>
      <c r="V658" s="59"/>
      <c r="W658" s="59"/>
      <c r="X658" s="59"/>
      <c r="Y658" s="59"/>
      <c r="Z658" s="59"/>
      <c r="AA658" s="59"/>
      <c r="AB658" s="59"/>
      <c r="AC658" s="59"/>
    </row>
    <row r="659" spans="1:29" ht="12.75">
      <c r="A659" s="59"/>
      <c r="B659" s="59"/>
      <c r="C659" s="59"/>
      <c r="D659" s="1173"/>
      <c r="E659" s="59"/>
      <c r="F659" s="1173"/>
      <c r="G659" s="1174"/>
      <c r="H659" s="59"/>
      <c r="I659" s="59"/>
      <c r="J659" s="1173"/>
      <c r="K659" s="59"/>
      <c r="L659" s="1173"/>
      <c r="M659" s="59"/>
      <c r="N659" s="59"/>
      <c r="O659" s="59"/>
      <c r="P659" s="59"/>
      <c r="Q659" s="59"/>
      <c r="R659" s="59"/>
      <c r="S659" s="59"/>
      <c r="T659" s="59"/>
      <c r="U659" s="59"/>
      <c r="V659" s="59"/>
      <c r="W659" s="59"/>
      <c r="X659" s="59"/>
      <c r="Y659" s="59"/>
      <c r="Z659" s="59"/>
      <c r="AA659" s="59"/>
      <c r="AB659" s="59"/>
      <c r="AC659" s="59"/>
    </row>
    <row r="660" spans="1:29" ht="12.75">
      <c r="A660" s="59"/>
      <c r="B660" s="59"/>
      <c r="C660" s="59"/>
      <c r="D660" s="1173"/>
      <c r="E660" s="59"/>
      <c r="F660" s="1173"/>
      <c r="G660" s="1174"/>
      <c r="H660" s="59"/>
      <c r="I660" s="59"/>
      <c r="J660" s="1173"/>
      <c r="K660" s="59"/>
      <c r="L660" s="1173"/>
      <c r="M660" s="59"/>
      <c r="N660" s="59"/>
      <c r="O660" s="59"/>
      <c r="P660" s="59"/>
      <c r="Q660" s="59"/>
      <c r="R660" s="59"/>
      <c r="S660" s="59"/>
      <c r="T660" s="59"/>
      <c r="U660" s="59"/>
      <c r="V660" s="59"/>
      <c r="W660" s="59"/>
      <c r="X660" s="59"/>
      <c r="Y660" s="59"/>
      <c r="Z660" s="59"/>
      <c r="AA660" s="59"/>
      <c r="AB660" s="59"/>
      <c r="AC660" s="59"/>
    </row>
    <row r="661" spans="1:29" ht="12.75">
      <c r="A661" s="59"/>
      <c r="B661" s="59"/>
      <c r="C661" s="59"/>
      <c r="D661" s="1173"/>
      <c r="E661" s="59"/>
      <c r="F661" s="1173"/>
      <c r="G661" s="1174"/>
      <c r="H661" s="59"/>
      <c r="I661" s="59"/>
      <c r="J661" s="1173"/>
      <c r="K661" s="59"/>
      <c r="L661" s="1173"/>
      <c r="M661" s="59"/>
      <c r="N661" s="59"/>
      <c r="O661" s="59"/>
      <c r="P661" s="59"/>
      <c r="Q661" s="59"/>
      <c r="R661" s="59"/>
      <c r="S661" s="59"/>
      <c r="T661" s="59"/>
      <c r="U661" s="59"/>
      <c r="V661" s="59"/>
      <c r="W661" s="59"/>
      <c r="X661" s="59"/>
      <c r="Y661" s="59"/>
      <c r="Z661" s="59"/>
      <c r="AA661" s="59"/>
      <c r="AB661" s="59"/>
      <c r="AC661" s="59"/>
    </row>
    <row r="662" spans="1:29" ht="12.75">
      <c r="A662" s="59"/>
      <c r="B662" s="59"/>
      <c r="C662" s="59"/>
      <c r="D662" s="1173"/>
      <c r="E662" s="59"/>
      <c r="F662" s="1173"/>
      <c r="G662" s="1174"/>
      <c r="H662" s="59"/>
      <c r="I662" s="59"/>
      <c r="J662" s="1173"/>
      <c r="K662" s="59"/>
      <c r="L662" s="1173"/>
      <c r="M662" s="59"/>
      <c r="N662" s="59"/>
      <c r="O662" s="59"/>
      <c r="P662" s="59"/>
      <c r="Q662" s="59"/>
      <c r="R662" s="59"/>
      <c r="S662" s="59"/>
      <c r="T662" s="59"/>
      <c r="U662" s="59"/>
      <c r="V662" s="59"/>
      <c r="W662" s="59"/>
      <c r="X662" s="59"/>
      <c r="Y662" s="59"/>
      <c r="Z662" s="59"/>
      <c r="AA662" s="59"/>
      <c r="AB662" s="59"/>
      <c r="AC662" s="59"/>
    </row>
    <row r="663" spans="1:29" ht="12.75">
      <c r="A663" s="59"/>
      <c r="B663" s="59"/>
      <c r="C663" s="59"/>
      <c r="D663" s="1173"/>
      <c r="E663" s="59"/>
      <c r="F663" s="1173"/>
      <c r="G663" s="1174"/>
      <c r="H663" s="59"/>
      <c r="I663" s="59"/>
      <c r="J663" s="1173"/>
      <c r="K663" s="59"/>
      <c r="L663" s="1173"/>
      <c r="M663" s="59"/>
      <c r="N663" s="59"/>
      <c r="O663" s="59"/>
      <c r="P663" s="59"/>
      <c r="Q663" s="59"/>
      <c r="R663" s="59"/>
      <c r="S663" s="59"/>
      <c r="T663" s="59"/>
      <c r="U663" s="59"/>
      <c r="V663" s="59"/>
      <c r="W663" s="59"/>
      <c r="X663" s="59"/>
      <c r="Y663" s="59"/>
      <c r="Z663" s="59"/>
      <c r="AA663" s="59"/>
      <c r="AB663" s="59"/>
      <c r="AC663" s="59"/>
    </row>
    <row r="664" spans="1:29" ht="12.75">
      <c r="A664" s="59"/>
      <c r="B664" s="59"/>
      <c r="C664" s="59"/>
      <c r="D664" s="1173"/>
      <c r="E664" s="59"/>
      <c r="F664" s="1173"/>
      <c r="G664" s="1174"/>
      <c r="H664" s="59"/>
      <c r="I664" s="59"/>
      <c r="J664" s="1173"/>
      <c r="K664" s="59"/>
      <c r="L664" s="1173"/>
      <c r="M664" s="59"/>
      <c r="N664" s="59"/>
      <c r="O664" s="59"/>
      <c r="P664" s="59"/>
      <c r="Q664" s="59"/>
      <c r="R664" s="59"/>
      <c r="S664" s="59"/>
      <c r="T664" s="59"/>
      <c r="U664" s="59"/>
      <c r="V664" s="59"/>
      <c r="W664" s="59"/>
      <c r="X664" s="59"/>
      <c r="Y664" s="59"/>
      <c r="Z664" s="59"/>
      <c r="AA664" s="59"/>
      <c r="AB664" s="59"/>
      <c r="AC664" s="59"/>
    </row>
    <row r="665" spans="1:29" ht="12.75">
      <c r="A665" s="59"/>
      <c r="B665" s="59"/>
      <c r="C665" s="59"/>
      <c r="D665" s="1173"/>
      <c r="E665" s="59"/>
      <c r="F665" s="1173"/>
      <c r="G665" s="1174"/>
      <c r="H665" s="59"/>
      <c r="I665" s="59"/>
      <c r="J665" s="1173"/>
      <c r="K665" s="59"/>
      <c r="L665" s="1173"/>
      <c r="M665" s="59"/>
      <c r="N665" s="59"/>
      <c r="O665" s="59"/>
      <c r="P665" s="59"/>
      <c r="Q665" s="59"/>
      <c r="R665" s="59"/>
      <c r="S665" s="59"/>
      <c r="T665" s="59"/>
      <c r="U665" s="59"/>
      <c r="V665" s="59"/>
      <c r="W665" s="59"/>
      <c r="X665" s="59"/>
      <c r="Y665" s="59"/>
      <c r="Z665" s="59"/>
      <c r="AA665" s="59"/>
      <c r="AB665" s="59"/>
      <c r="AC665" s="59"/>
    </row>
    <row r="666" spans="1:29" ht="12.75">
      <c r="A666" s="59"/>
      <c r="B666" s="59"/>
      <c r="C666" s="59"/>
      <c r="D666" s="1173"/>
      <c r="E666" s="59"/>
      <c r="F666" s="1173"/>
      <c r="G666" s="1174"/>
      <c r="H666" s="59"/>
      <c r="I666" s="59"/>
      <c r="J666" s="1173"/>
      <c r="K666" s="59"/>
      <c r="L666" s="1173"/>
      <c r="M666" s="59"/>
      <c r="N666" s="59"/>
      <c r="O666" s="59"/>
      <c r="P666" s="59"/>
      <c r="Q666" s="59"/>
      <c r="R666" s="59"/>
      <c r="S666" s="59"/>
      <c r="T666" s="59"/>
      <c r="U666" s="59"/>
      <c r="V666" s="59"/>
      <c r="W666" s="59"/>
      <c r="X666" s="59"/>
      <c r="Y666" s="59"/>
      <c r="Z666" s="59"/>
      <c r="AA666" s="59"/>
      <c r="AB666" s="59"/>
      <c r="AC666" s="59"/>
    </row>
    <row r="667" spans="1:29" ht="12.75">
      <c r="A667" s="59"/>
      <c r="B667" s="59"/>
      <c r="C667" s="59"/>
      <c r="D667" s="1173"/>
      <c r="E667" s="59"/>
      <c r="F667" s="1173"/>
      <c r="G667" s="1174"/>
      <c r="H667" s="59"/>
      <c r="I667" s="59"/>
      <c r="J667" s="1173"/>
      <c r="K667" s="59"/>
      <c r="L667" s="1173"/>
      <c r="M667" s="59"/>
      <c r="N667" s="59"/>
      <c r="O667" s="59"/>
      <c r="P667" s="59"/>
      <c r="Q667" s="59"/>
      <c r="R667" s="59"/>
      <c r="S667" s="59"/>
      <c r="T667" s="59"/>
      <c r="U667" s="59"/>
      <c r="V667" s="59"/>
      <c r="W667" s="59"/>
      <c r="X667" s="59"/>
      <c r="Y667" s="59"/>
      <c r="Z667" s="59"/>
      <c r="AA667" s="59"/>
      <c r="AB667" s="59"/>
      <c r="AC667" s="59"/>
    </row>
    <row r="668" spans="1:29" ht="12.75">
      <c r="A668" s="59"/>
      <c r="B668" s="59"/>
      <c r="C668" s="59"/>
      <c r="D668" s="1173"/>
      <c r="E668" s="59"/>
      <c r="F668" s="1173"/>
      <c r="G668" s="1174"/>
      <c r="H668" s="59"/>
      <c r="I668" s="59"/>
      <c r="J668" s="1173"/>
      <c r="K668" s="59"/>
      <c r="L668" s="1173"/>
      <c r="M668" s="59"/>
      <c r="N668" s="59"/>
      <c r="O668" s="59"/>
      <c r="P668" s="59"/>
      <c r="Q668" s="59"/>
      <c r="R668" s="59"/>
      <c r="S668" s="59"/>
      <c r="T668" s="59"/>
      <c r="U668" s="59"/>
      <c r="V668" s="59"/>
      <c r="W668" s="59"/>
      <c r="X668" s="59"/>
      <c r="Y668" s="59"/>
      <c r="Z668" s="59"/>
      <c r="AA668" s="59"/>
      <c r="AB668" s="59"/>
      <c r="AC668" s="59"/>
    </row>
    <row r="669" spans="1:29" ht="12.75">
      <c r="A669" s="59"/>
      <c r="B669" s="59"/>
      <c r="C669" s="59"/>
      <c r="D669" s="1173"/>
      <c r="E669" s="59"/>
      <c r="F669" s="1173"/>
      <c r="G669" s="1174"/>
      <c r="H669" s="59"/>
      <c r="I669" s="59"/>
      <c r="J669" s="1173"/>
      <c r="K669" s="59"/>
      <c r="L669" s="1173"/>
      <c r="M669" s="59"/>
      <c r="N669" s="59"/>
      <c r="O669" s="59"/>
      <c r="P669" s="59"/>
      <c r="Q669" s="59"/>
      <c r="R669" s="59"/>
      <c r="S669" s="59"/>
      <c r="T669" s="59"/>
      <c r="U669" s="59"/>
      <c r="V669" s="59"/>
      <c r="W669" s="59"/>
      <c r="X669" s="59"/>
      <c r="Y669" s="59"/>
      <c r="Z669" s="59"/>
      <c r="AA669" s="59"/>
      <c r="AB669" s="59"/>
      <c r="AC669" s="59"/>
    </row>
    <row r="670" spans="1:29" ht="12.75">
      <c r="A670" s="59"/>
      <c r="B670" s="59"/>
      <c r="C670" s="59"/>
      <c r="D670" s="1173"/>
      <c r="E670" s="59"/>
      <c r="F670" s="1173"/>
      <c r="G670" s="1174"/>
      <c r="H670" s="59"/>
      <c r="I670" s="59"/>
      <c r="J670" s="1173"/>
      <c r="K670" s="59"/>
      <c r="L670" s="1173"/>
      <c r="M670" s="59"/>
      <c r="N670" s="59"/>
      <c r="O670" s="59"/>
      <c r="P670" s="59"/>
      <c r="Q670" s="59"/>
      <c r="R670" s="59"/>
      <c r="S670" s="59"/>
      <c r="T670" s="59"/>
      <c r="U670" s="59"/>
      <c r="V670" s="59"/>
      <c r="W670" s="59"/>
      <c r="X670" s="59"/>
      <c r="Y670" s="59"/>
      <c r="Z670" s="59"/>
      <c r="AA670" s="59"/>
      <c r="AB670" s="59"/>
      <c r="AC670" s="59"/>
    </row>
    <row r="671" spans="1:29" ht="12.75">
      <c r="A671" s="59"/>
      <c r="B671" s="59"/>
      <c r="C671" s="59"/>
      <c r="D671" s="1173"/>
      <c r="E671" s="59"/>
      <c r="F671" s="1173"/>
      <c r="G671" s="1174"/>
      <c r="H671" s="59"/>
      <c r="I671" s="59"/>
      <c r="J671" s="1173"/>
      <c r="K671" s="59"/>
      <c r="L671" s="1173"/>
      <c r="M671" s="59"/>
      <c r="N671" s="59"/>
      <c r="O671" s="59"/>
      <c r="P671" s="59"/>
      <c r="Q671" s="59"/>
      <c r="R671" s="59"/>
      <c r="S671" s="59"/>
      <c r="T671" s="59"/>
      <c r="U671" s="59"/>
      <c r="V671" s="59"/>
      <c r="W671" s="59"/>
      <c r="X671" s="59"/>
      <c r="Y671" s="59"/>
      <c r="Z671" s="59"/>
      <c r="AA671" s="59"/>
      <c r="AB671" s="59"/>
      <c r="AC671" s="59"/>
    </row>
    <row r="672" spans="1:29" ht="12.75">
      <c r="A672" s="59"/>
      <c r="B672" s="59"/>
      <c r="C672" s="59"/>
      <c r="D672" s="1173"/>
      <c r="E672" s="59"/>
      <c r="F672" s="1173"/>
      <c r="G672" s="1174"/>
      <c r="H672" s="59"/>
      <c r="I672" s="59"/>
      <c r="J672" s="1173"/>
      <c r="K672" s="59"/>
      <c r="L672" s="1173"/>
      <c r="M672" s="59"/>
      <c r="N672" s="59"/>
      <c r="O672" s="59"/>
      <c r="P672" s="59"/>
      <c r="Q672" s="59"/>
      <c r="R672" s="59"/>
      <c r="S672" s="59"/>
      <c r="T672" s="59"/>
      <c r="U672" s="59"/>
      <c r="V672" s="59"/>
      <c r="W672" s="59"/>
      <c r="X672" s="59"/>
      <c r="Y672" s="59"/>
      <c r="Z672" s="59"/>
      <c r="AA672" s="59"/>
      <c r="AB672" s="59"/>
      <c r="AC672" s="59"/>
    </row>
    <row r="673" spans="1:29" ht="12.75">
      <c r="A673" s="59"/>
      <c r="B673" s="59"/>
      <c r="C673" s="59"/>
      <c r="D673" s="1173"/>
      <c r="E673" s="59"/>
      <c r="F673" s="1173"/>
      <c r="G673" s="1174"/>
      <c r="H673" s="59"/>
      <c r="I673" s="59"/>
      <c r="J673" s="1173"/>
      <c r="K673" s="59"/>
      <c r="L673" s="1173"/>
      <c r="M673" s="59"/>
      <c r="N673" s="59"/>
      <c r="O673" s="59"/>
      <c r="P673" s="59"/>
      <c r="Q673" s="59"/>
      <c r="R673" s="59"/>
      <c r="S673" s="59"/>
      <c r="T673" s="59"/>
      <c r="U673" s="59"/>
      <c r="V673" s="59"/>
      <c r="W673" s="59"/>
      <c r="X673" s="59"/>
      <c r="Y673" s="59"/>
      <c r="Z673" s="59"/>
      <c r="AA673" s="59"/>
      <c r="AB673" s="59"/>
      <c r="AC673" s="59"/>
    </row>
    <row r="674" spans="1:29" ht="12.75">
      <c r="A674" s="59"/>
      <c r="B674" s="59"/>
      <c r="C674" s="59"/>
      <c r="D674" s="1173"/>
      <c r="E674" s="59"/>
      <c r="F674" s="1173"/>
      <c r="G674" s="1174"/>
      <c r="H674" s="59"/>
      <c r="I674" s="59"/>
      <c r="J674" s="1173"/>
      <c r="K674" s="59"/>
      <c r="L674" s="1173"/>
      <c r="M674" s="59"/>
      <c r="N674" s="59"/>
      <c r="O674" s="59"/>
      <c r="P674" s="59"/>
      <c r="Q674" s="59"/>
      <c r="R674" s="59"/>
      <c r="S674" s="59"/>
      <c r="T674" s="59"/>
      <c r="U674" s="59"/>
      <c r="V674" s="59"/>
      <c r="W674" s="59"/>
      <c r="X674" s="59"/>
      <c r="Y674" s="59"/>
      <c r="Z674" s="59"/>
      <c r="AA674" s="59"/>
      <c r="AB674" s="59"/>
      <c r="AC674" s="59"/>
    </row>
    <row r="675" spans="1:29" ht="12.75">
      <c r="A675" s="59"/>
      <c r="B675" s="59"/>
      <c r="C675" s="59"/>
      <c r="D675" s="1173"/>
      <c r="E675" s="59"/>
      <c r="F675" s="1173"/>
      <c r="G675" s="1174"/>
      <c r="H675" s="59"/>
      <c r="I675" s="59"/>
      <c r="J675" s="1173"/>
      <c r="K675" s="59"/>
      <c r="L675" s="1173"/>
      <c r="M675" s="59"/>
      <c r="N675" s="59"/>
      <c r="O675" s="59"/>
      <c r="P675" s="59"/>
      <c r="Q675" s="59"/>
      <c r="R675" s="59"/>
      <c r="S675" s="59"/>
      <c r="T675" s="59"/>
      <c r="U675" s="59"/>
      <c r="V675" s="59"/>
      <c r="W675" s="59"/>
      <c r="X675" s="59"/>
      <c r="Y675" s="59"/>
      <c r="Z675" s="59"/>
      <c r="AA675" s="59"/>
      <c r="AB675" s="59"/>
      <c r="AC675" s="59"/>
    </row>
    <row r="676" spans="1:29" ht="12.75">
      <c r="A676" s="59"/>
      <c r="B676" s="59"/>
      <c r="C676" s="59"/>
      <c r="D676" s="1173"/>
      <c r="E676" s="59"/>
      <c r="F676" s="1173"/>
      <c r="G676" s="1174"/>
      <c r="H676" s="59"/>
      <c r="I676" s="59"/>
      <c r="J676" s="1173"/>
      <c r="K676" s="59"/>
      <c r="L676" s="1173"/>
      <c r="M676" s="59"/>
      <c r="N676" s="59"/>
      <c r="O676" s="59"/>
      <c r="P676" s="59"/>
      <c r="Q676" s="59"/>
      <c r="R676" s="59"/>
      <c r="S676" s="59"/>
      <c r="T676" s="59"/>
      <c r="U676" s="59"/>
      <c r="V676" s="59"/>
      <c r="W676" s="59"/>
      <c r="X676" s="59"/>
      <c r="Y676" s="59"/>
      <c r="Z676" s="59"/>
      <c r="AA676" s="59"/>
      <c r="AB676" s="59"/>
      <c r="AC676" s="59"/>
    </row>
    <row r="677" spans="1:29" ht="12.75">
      <c r="A677" s="59"/>
      <c r="B677" s="59"/>
      <c r="C677" s="59"/>
      <c r="D677" s="1173"/>
      <c r="E677" s="59"/>
      <c r="F677" s="1173"/>
      <c r="G677" s="1174"/>
      <c r="H677" s="59"/>
      <c r="I677" s="59"/>
      <c r="J677" s="1173"/>
      <c r="K677" s="59"/>
      <c r="L677" s="1173"/>
      <c r="M677" s="59"/>
      <c r="N677" s="59"/>
      <c r="O677" s="59"/>
      <c r="P677" s="59"/>
      <c r="Q677" s="59"/>
      <c r="R677" s="59"/>
      <c r="S677" s="59"/>
      <c r="T677" s="59"/>
      <c r="U677" s="59"/>
      <c r="V677" s="59"/>
      <c r="W677" s="59"/>
      <c r="X677" s="59"/>
      <c r="Y677" s="59"/>
      <c r="Z677" s="59"/>
      <c r="AA677" s="59"/>
      <c r="AB677" s="59"/>
      <c r="AC677" s="59"/>
    </row>
    <row r="678" spans="1:29" ht="12.75">
      <c r="A678" s="59"/>
      <c r="B678" s="59"/>
      <c r="C678" s="59"/>
      <c r="D678" s="1173"/>
      <c r="E678" s="59"/>
      <c r="F678" s="1173"/>
      <c r="G678" s="1174"/>
      <c r="H678" s="59"/>
      <c r="I678" s="59"/>
      <c r="J678" s="1173"/>
      <c r="K678" s="59"/>
      <c r="L678" s="1173"/>
      <c r="M678" s="59"/>
      <c r="N678" s="59"/>
      <c r="O678" s="59"/>
      <c r="P678" s="59"/>
      <c r="Q678" s="59"/>
      <c r="R678" s="59"/>
      <c r="S678" s="59"/>
      <c r="T678" s="59"/>
      <c r="U678" s="59"/>
      <c r="V678" s="59"/>
      <c r="W678" s="59"/>
      <c r="X678" s="59"/>
      <c r="Y678" s="59"/>
      <c r="Z678" s="59"/>
      <c r="AA678" s="59"/>
      <c r="AB678" s="59"/>
      <c r="AC678" s="59"/>
    </row>
    <row r="679" spans="1:29" ht="12.75">
      <c r="A679" s="59"/>
      <c r="B679" s="59"/>
      <c r="C679" s="59"/>
      <c r="D679" s="1173"/>
      <c r="E679" s="59"/>
      <c r="F679" s="1173"/>
      <c r="G679" s="1174"/>
      <c r="H679" s="59"/>
      <c r="I679" s="59"/>
      <c r="J679" s="1173"/>
      <c r="K679" s="59"/>
      <c r="L679" s="1173"/>
      <c r="M679" s="59"/>
      <c r="N679" s="59"/>
      <c r="O679" s="59"/>
      <c r="P679" s="59"/>
      <c r="Q679" s="59"/>
      <c r="R679" s="59"/>
      <c r="S679" s="59"/>
      <c r="T679" s="59"/>
      <c r="U679" s="59"/>
      <c r="V679" s="59"/>
      <c r="W679" s="59"/>
      <c r="X679" s="59"/>
      <c r="Y679" s="59"/>
      <c r="Z679" s="59"/>
      <c r="AA679" s="59"/>
      <c r="AB679" s="59"/>
      <c r="AC679" s="59"/>
    </row>
    <row r="680" spans="1:29" ht="12.75">
      <c r="A680" s="59"/>
      <c r="B680" s="59"/>
      <c r="C680" s="59"/>
      <c r="D680" s="1173"/>
      <c r="E680" s="59"/>
      <c r="F680" s="1173"/>
      <c r="G680" s="1174"/>
      <c r="H680" s="59"/>
      <c r="I680" s="59"/>
      <c r="J680" s="1173"/>
      <c r="K680" s="59"/>
      <c r="L680" s="1173"/>
      <c r="M680" s="59"/>
      <c r="N680" s="59"/>
      <c r="O680" s="59"/>
      <c r="P680" s="59"/>
      <c r="Q680" s="59"/>
      <c r="R680" s="59"/>
      <c r="S680" s="59"/>
      <c r="T680" s="59"/>
      <c r="U680" s="59"/>
      <c r="V680" s="59"/>
      <c r="W680" s="59"/>
      <c r="X680" s="59"/>
      <c r="Y680" s="59"/>
      <c r="Z680" s="59"/>
      <c r="AA680" s="59"/>
      <c r="AB680" s="59"/>
      <c r="AC680" s="59"/>
    </row>
    <row r="681" spans="1:29" ht="12.75">
      <c r="A681" s="59"/>
      <c r="B681" s="59"/>
      <c r="C681" s="59"/>
      <c r="D681" s="1173"/>
      <c r="E681" s="59"/>
      <c r="F681" s="1173"/>
      <c r="G681" s="1174"/>
      <c r="H681" s="59"/>
      <c r="I681" s="59"/>
      <c r="J681" s="1173"/>
      <c r="K681" s="59"/>
      <c r="L681" s="1173"/>
      <c r="M681" s="59"/>
      <c r="N681" s="59"/>
      <c r="O681" s="59"/>
      <c r="P681" s="59"/>
      <c r="Q681" s="59"/>
      <c r="R681" s="59"/>
      <c r="S681" s="59"/>
      <c r="T681" s="59"/>
      <c r="U681" s="59"/>
      <c r="V681" s="59"/>
      <c r="W681" s="59"/>
      <c r="X681" s="59"/>
      <c r="Y681" s="59"/>
      <c r="Z681" s="59"/>
      <c r="AA681" s="59"/>
      <c r="AB681" s="59"/>
      <c r="AC681" s="59"/>
    </row>
    <row r="682" spans="1:29" ht="12.75">
      <c r="A682" s="59"/>
      <c r="B682" s="59"/>
      <c r="C682" s="59"/>
      <c r="D682" s="1173"/>
      <c r="E682" s="59"/>
      <c r="F682" s="1173"/>
      <c r="G682" s="1174"/>
      <c r="H682" s="59"/>
      <c r="I682" s="59"/>
      <c r="J682" s="1173"/>
      <c r="K682" s="59"/>
      <c r="L682" s="1173"/>
      <c r="M682" s="59"/>
      <c r="N682" s="59"/>
      <c r="O682" s="59"/>
      <c r="P682" s="59"/>
      <c r="Q682" s="59"/>
      <c r="R682" s="59"/>
      <c r="S682" s="59"/>
      <c r="T682" s="59"/>
      <c r="U682" s="59"/>
      <c r="V682" s="59"/>
      <c r="W682" s="59"/>
      <c r="X682" s="59"/>
      <c r="Y682" s="59"/>
      <c r="Z682" s="59"/>
      <c r="AA682" s="59"/>
      <c r="AB682" s="59"/>
      <c r="AC682" s="59"/>
    </row>
    <row r="683" spans="1:29" ht="12.75">
      <c r="A683" s="59"/>
      <c r="B683" s="59"/>
      <c r="C683" s="59"/>
      <c r="D683" s="1173"/>
      <c r="E683" s="59"/>
      <c r="F683" s="1173"/>
      <c r="G683" s="1174"/>
      <c r="H683" s="59"/>
      <c r="I683" s="59"/>
      <c r="J683" s="1173"/>
      <c r="K683" s="59"/>
      <c r="L683" s="1173"/>
      <c r="M683" s="59"/>
      <c r="N683" s="59"/>
      <c r="O683" s="59"/>
      <c r="P683" s="59"/>
      <c r="Q683" s="59"/>
      <c r="R683" s="59"/>
      <c r="S683" s="59"/>
      <c r="T683" s="59"/>
      <c r="U683" s="59"/>
      <c r="V683" s="59"/>
      <c r="W683" s="59"/>
      <c r="X683" s="59"/>
      <c r="Y683" s="59"/>
      <c r="Z683" s="59"/>
      <c r="AA683" s="59"/>
      <c r="AB683" s="59"/>
      <c r="AC683" s="59"/>
    </row>
    <row r="684" spans="1:29" ht="12.75">
      <c r="A684" s="59"/>
      <c r="B684" s="59"/>
      <c r="C684" s="59"/>
      <c r="D684" s="1173"/>
      <c r="E684" s="59"/>
      <c r="F684" s="1173"/>
      <c r="G684" s="1174"/>
      <c r="H684" s="59"/>
      <c r="I684" s="59"/>
      <c r="J684" s="1173"/>
      <c r="K684" s="59"/>
      <c r="L684" s="1173"/>
      <c r="M684" s="59"/>
      <c r="N684" s="59"/>
      <c r="O684" s="59"/>
      <c r="P684" s="59"/>
      <c r="Q684" s="59"/>
      <c r="R684" s="59"/>
      <c r="S684" s="59"/>
      <c r="T684" s="59"/>
      <c r="U684" s="59"/>
      <c r="V684" s="59"/>
      <c r="W684" s="59"/>
      <c r="X684" s="59"/>
      <c r="Y684" s="59"/>
      <c r="Z684" s="59"/>
      <c r="AA684" s="59"/>
      <c r="AB684" s="59"/>
      <c r="AC684" s="59"/>
    </row>
    <row r="685" spans="1:29" ht="12.75">
      <c r="A685" s="59"/>
      <c r="B685" s="59"/>
      <c r="C685" s="59"/>
      <c r="D685" s="1173"/>
      <c r="E685" s="59"/>
      <c r="F685" s="1173"/>
      <c r="G685" s="1174"/>
      <c r="H685" s="59"/>
      <c r="I685" s="59"/>
      <c r="J685" s="1173"/>
      <c r="K685" s="59"/>
      <c r="L685" s="1173"/>
      <c r="M685" s="59"/>
      <c r="N685" s="59"/>
      <c r="O685" s="59"/>
      <c r="P685" s="59"/>
      <c r="Q685" s="59"/>
      <c r="R685" s="59"/>
      <c r="S685" s="59"/>
      <c r="T685" s="59"/>
      <c r="U685" s="59"/>
      <c r="V685" s="59"/>
      <c r="W685" s="59"/>
      <c r="X685" s="59"/>
      <c r="Y685" s="59"/>
      <c r="Z685" s="59"/>
      <c r="AA685" s="59"/>
      <c r="AB685" s="59"/>
      <c r="AC685" s="59"/>
    </row>
    <row r="686" spans="1:29" ht="12.75">
      <c r="A686" s="59"/>
      <c r="B686" s="59"/>
      <c r="C686" s="59"/>
      <c r="D686" s="1173"/>
      <c r="E686" s="59"/>
      <c r="F686" s="1173"/>
      <c r="G686" s="1174"/>
      <c r="H686" s="59"/>
      <c r="I686" s="59"/>
      <c r="J686" s="1173"/>
      <c r="K686" s="59"/>
      <c r="L686" s="1173"/>
      <c r="M686" s="59"/>
      <c r="N686" s="59"/>
      <c r="O686" s="59"/>
      <c r="P686" s="59"/>
      <c r="Q686" s="59"/>
      <c r="R686" s="59"/>
      <c r="S686" s="59"/>
      <c r="T686" s="59"/>
      <c r="U686" s="59"/>
      <c r="V686" s="59"/>
      <c r="W686" s="59"/>
      <c r="X686" s="59"/>
      <c r="Y686" s="59"/>
      <c r="Z686" s="59"/>
      <c r="AA686" s="59"/>
      <c r="AB686" s="59"/>
      <c r="AC686" s="59"/>
    </row>
    <row r="687" spans="1:29" ht="12.75">
      <c r="A687" s="59"/>
      <c r="B687" s="59"/>
      <c r="C687" s="59"/>
      <c r="D687" s="1173"/>
      <c r="E687" s="59"/>
      <c r="F687" s="1173"/>
      <c r="G687" s="1174"/>
      <c r="H687" s="59"/>
      <c r="I687" s="59"/>
      <c r="J687" s="1173"/>
      <c r="K687" s="59"/>
      <c r="L687" s="1173"/>
      <c r="M687" s="59"/>
      <c r="N687" s="59"/>
      <c r="O687" s="59"/>
      <c r="P687" s="59"/>
      <c r="Q687" s="59"/>
      <c r="R687" s="59"/>
      <c r="S687" s="59"/>
      <c r="T687" s="59"/>
      <c r="U687" s="59"/>
      <c r="V687" s="59"/>
      <c r="W687" s="59"/>
      <c r="X687" s="59"/>
      <c r="Y687" s="59"/>
      <c r="Z687" s="59"/>
      <c r="AA687" s="59"/>
      <c r="AB687" s="59"/>
      <c r="AC687" s="59"/>
    </row>
    <row r="688" spans="1:29" ht="12.75">
      <c r="A688" s="59"/>
      <c r="B688" s="59"/>
      <c r="C688" s="59"/>
      <c r="D688" s="1173"/>
      <c r="E688" s="59"/>
      <c r="F688" s="1173"/>
      <c r="G688" s="1174"/>
      <c r="H688" s="59"/>
      <c r="I688" s="59"/>
      <c r="J688" s="1173"/>
      <c r="K688" s="59"/>
      <c r="L688" s="1173"/>
      <c r="M688" s="59"/>
      <c r="N688" s="59"/>
      <c r="O688" s="59"/>
      <c r="P688" s="59"/>
      <c r="Q688" s="59"/>
      <c r="R688" s="59"/>
      <c r="S688" s="59"/>
      <c r="T688" s="59"/>
      <c r="U688" s="59"/>
      <c r="V688" s="59"/>
      <c r="W688" s="59"/>
      <c r="X688" s="59"/>
      <c r="Y688" s="59"/>
      <c r="Z688" s="59"/>
      <c r="AA688" s="59"/>
      <c r="AB688" s="59"/>
      <c r="AC688" s="59"/>
    </row>
    <row r="689" spans="1:29" ht="12.75">
      <c r="A689" s="59"/>
      <c r="B689" s="59"/>
      <c r="C689" s="59"/>
      <c r="D689" s="1173"/>
      <c r="E689" s="59"/>
      <c r="F689" s="1173"/>
      <c r="G689" s="1174"/>
      <c r="H689" s="59"/>
      <c r="I689" s="59"/>
      <c r="J689" s="1173"/>
      <c r="K689" s="59"/>
      <c r="L689" s="1173"/>
      <c r="M689" s="59"/>
      <c r="N689" s="59"/>
      <c r="O689" s="59"/>
      <c r="P689" s="59"/>
      <c r="Q689" s="59"/>
      <c r="R689" s="59"/>
      <c r="S689" s="59"/>
      <c r="T689" s="59"/>
      <c r="U689" s="59"/>
      <c r="V689" s="59"/>
      <c r="W689" s="59"/>
      <c r="X689" s="59"/>
      <c r="Y689" s="59"/>
      <c r="Z689" s="59"/>
      <c r="AA689" s="59"/>
      <c r="AB689" s="59"/>
      <c r="AC689" s="59"/>
    </row>
    <row r="690" spans="1:29" ht="12.75">
      <c r="A690" s="59"/>
      <c r="B690" s="59"/>
      <c r="C690" s="59"/>
      <c r="D690" s="1173"/>
      <c r="E690" s="59"/>
      <c r="F690" s="1173"/>
      <c r="G690" s="1174"/>
      <c r="H690" s="59"/>
      <c r="I690" s="59"/>
      <c r="J690" s="1173"/>
      <c r="K690" s="59"/>
      <c r="L690" s="1173"/>
      <c r="M690" s="59"/>
      <c r="N690" s="59"/>
      <c r="O690" s="59"/>
      <c r="P690" s="59"/>
      <c r="Q690" s="59"/>
      <c r="R690" s="59"/>
      <c r="S690" s="59"/>
      <c r="T690" s="59"/>
      <c r="U690" s="59"/>
      <c r="V690" s="59"/>
      <c r="W690" s="59"/>
      <c r="X690" s="59"/>
      <c r="Y690" s="59"/>
      <c r="Z690" s="59"/>
      <c r="AA690" s="59"/>
      <c r="AB690" s="59"/>
      <c r="AC690" s="59"/>
    </row>
    <row r="691" spans="1:29" ht="12.75">
      <c r="A691" s="59"/>
      <c r="B691" s="59"/>
      <c r="C691" s="59"/>
      <c r="D691" s="1173"/>
      <c r="E691" s="59"/>
      <c r="F691" s="1173"/>
      <c r="G691" s="1174"/>
      <c r="H691" s="59"/>
      <c r="I691" s="59"/>
      <c r="J691" s="1173"/>
      <c r="K691" s="59"/>
      <c r="L691" s="1173"/>
      <c r="M691" s="59"/>
      <c r="N691" s="59"/>
      <c r="O691" s="59"/>
      <c r="P691" s="59"/>
      <c r="Q691" s="59"/>
      <c r="R691" s="59"/>
      <c r="S691" s="59"/>
      <c r="T691" s="59"/>
      <c r="U691" s="59"/>
      <c r="V691" s="59"/>
      <c r="W691" s="59"/>
      <c r="X691" s="59"/>
      <c r="Y691" s="59"/>
      <c r="Z691" s="59"/>
      <c r="AA691" s="59"/>
      <c r="AB691" s="59"/>
      <c r="AC691" s="59"/>
    </row>
    <row r="692" spans="1:29" ht="12.75">
      <c r="A692" s="59"/>
      <c r="B692" s="59"/>
      <c r="C692" s="59"/>
      <c r="D692" s="1173"/>
      <c r="E692" s="59"/>
      <c r="F692" s="1173"/>
      <c r="G692" s="1174"/>
      <c r="H692" s="59"/>
      <c r="I692" s="59"/>
      <c r="J692" s="1173"/>
      <c r="K692" s="59"/>
      <c r="L692" s="1173"/>
      <c r="M692" s="59"/>
      <c r="N692" s="59"/>
      <c r="O692" s="59"/>
      <c r="P692" s="59"/>
      <c r="Q692" s="59"/>
      <c r="R692" s="59"/>
      <c r="S692" s="59"/>
      <c r="T692" s="59"/>
      <c r="U692" s="59"/>
      <c r="V692" s="59"/>
      <c r="W692" s="59"/>
      <c r="X692" s="59"/>
      <c r="Y692" s="59"/>
      <c r="Z692" s="59"/>
      <c r="AA692" s="59"/>
      <c r="AB692" s="59"/>
      <c r="AC692" s="59"/>
    </row>
    <row r="693" spans="1:29" ht="12.75">
      <c r="A693" s="59"/>
      <c r="B693" s="59"/>
      <c r="C693" s="59"/>
      <c r="D693" s="1173"/>
      <c r="E693" s="59"/>
      <c r="F693" s="1173"/>
      <c r="G693" s="1174"/>
      <c r="H693" s="59"/>
      <c r="I693" s="59"/>
      <c r="J693" s="1173"/>
      <c r="K693" s="59"/>
      <c r="L693" s="1173"/>
      <c r="M693" s="59"/>
      <c r="N693" s="59"/>
      <c r="O693" s="59"/>
      <c r="P693" s="59"/>
      <c r="Q693" s="59"/>
      <c r="R693" s="59"/>
      <c r="S693" s="59"/>
      <c r="T693" s="59"/>
      <c r="U693" s="59"/>
      <c r="V693" s="59"/>
      <c r="W693" s="59"/>
      <c r="X693" s="59"/>
      <c r="Y693" s="59"/>
      <c r="Z693" s="59"/>
      <c r="AA693" s="59"/>
      <c r="AB693" s="59"/>
      <c r="AC693" s="59"/>
    </row>
    <row r="694" spans="1:29" ht="12.75">
      <c r="A694" s="59"/>
      <c r="B694" s="59"/>
      <c r="C694" s="59"/>
      <c r="D694" s="1173"/>
      <c r="E694" s="59"/>
      <c r="F694" s="1173"/>
      <c r="G694" s="1174"/>
      <c r="H694" s="59"/>
      <c r="I694" s="59"/>
      <c r="J694" s="1173"/>
      <c r="K694" s="59"/>
      <c r="L694" s="1173"/>
      <c r="M694" s="59"/>
      <c r="N694" s="59"/>
      <c r="O694" s="59"/>
      <c r="P694" s="59"/>
      <c r="Q694" s="59"/>
      <c r="R694" s="59"/>
      <c r="S694" s="59"/>
      <c r="T694" s="59"/>
      <c r="U694" s="59"/>
      <c r="V694" s="59"/>
      <c r="W694" s="59"/>
      <c r="X694" s="59"/>
      <c r="Y694" s="59"/>
      <c r="Z694" s="59"/>
      <c r="AA694" s="59"/>
      <c r="AB694" s="59"/>
      <c r="AC694" s="59"/>
    </row>
    <row r="695" spans="1:29" ht="12.75">
      <c r="A695" s="59"/>
      <c r="B695" s="59"/>
      <c r="C695" s="59"/>
      <c r="D695" s="1173"/>
      <c r="E695" s="59"/>
      <c r="F695" s="1173"/>
      <c r="G695" s="1174"/>
      <c r="H695" s="59"/>
      <c r="I695" s="59"/>
      <c r="J695" s="1173"/>
      <c r="K695" s="59"/>
      <c r="L695" s="1173"/>
      <c r="M695" s="59"/>
      <c r="N695" s="59"/>
      <c r="O695" s="59"/>
      <c r="P695" s="59"/>
      <c r="Q695" s="59"/>
      <c r="R695" s="59"/>
      <c r="S695" s="59"/>
      <c r="T695" s="59"/>
      <c r="U695" s="59"/>
      <c r="V695" s="59"/>
      <c r="W695" s="59"/>
      <c r="X695" s="59"/>
      <c r="Y695" s="59"/>
      <c r="Z695" s="59"/>
      <c r="AA695" s="59"/>
      <c r="AB695" s="59"/>
      <c r="AC695" s="59"/>
    </row>
    <row r="696" spans="1:29" ht="12.75">
      <c r="A696" s="59"/>
      <c r="B696" s="59"/>
      <c r="C696" s="59"/>
      <c r="D696" s="1173"/>
      <c r="E696" s="59"/>
      <c r="F696" s="1173"/>
      <c r="G696" s="1174"/>
      <c r="H696" s="59"/>
      <c r="I696" s="59"/>
      <c r="J696" s="1173"/>
      <c r="K696" s="59"/>
      <c r="L696" s="1173"/>
      <c r="M696" s="59"/>
      <c r="N696" s="59"/>
      <c r="O696" s="59"/>
      <c r="P696" s="59"/>
      <c r="Q696" s="59"/>
      <c r="R696" s="59"/>
      <c r="S696" s="59"/>
      <c r="T696" s="59"/>
      <c r="U696" s="59"/>
      <c r="V696" s="59"/>
      <c r="W696" s="59"/>
      <c r="X696" s="59"/>
      <c r="Y696" s="59"/>
      <c r="Z696" s="59"/>
      <c r="AA696" s="59"/>
      <c r="AB696" s="59"/>
      <c r="AC696" s="59"/>
    </row>
    <row r="697" spans="1:29" ht="12.75">
      <c r="A697" s="59"/>
      <c r="B697" s="59"/>
      <c r="C697" s="59"/>
      <c r="D697" s="1173"/>
      <c r="E697" s="59"/>
      <c r="F697" s="1173"/>
      <c r="G697" s="1174"/>
      <c r="H697" s="59"/>
      <c r="I697" s="59"/>
      <c r="J697" s="1173"/>
      <c r="K697" s="59"/>
      <c r="L697" s="1173"/>
      <c r="M697" s="59"/>
      <c r="N697" s="59"/>
      <c r="O697" s="59"/>
      <c r="P697" s="59"/>
      <c r="Q697" s="59"/>
      <c r="R697" s="59"/>
      <c r="S697" s="59"/>
      <c r="T697" s="59"/>
      <c r="U697" s="59"/>
      <c r="V697" s="59"/>
      <c r="W697" s="59"/>
      <c r="X697" s="59"/>
      <c r="Y697" s="59"/>
      <c r="Z697" s="59"/>
      <c r="AA697" s="59"/>
      <c r="AB697" s="59"/>
      <c r="AC697" s="59"/>
    </row>
    <row r="698" spans="1:29" ht="12.75">
      <c r="A698" s="59"/>
      <c r="B698" s="59"/>
      <c r="C698" s="59"/>
      <c r="D698" s="1173"/>
      <c r="E698" s="59"/>
      <c r="F698" s="1173"/>
      <c r="G698" s="1174"/>
      <c r="H698" s="59"/>
      <c r="I698" s="59"/>
      <c r="J698" s="1173"/>
      <c r="K698" s="59"/>
      <c r="L698" s="1173"/>
      <c r="M698" s="59"/>
      <c r="N698" s="59"/>
      <c r="O698" s="59"/>
      <c r="P698" s="59"/>
      <c r="Q698" s="59"/>
      <c r="R698" s="59"/>
      <c r="S698" s="59"/>
      <c r="T698" s="59"/>
      <c r="U698" s="59"/>
      <c r="V698" s="59"/>
      <c r="W698" s="59"/>
      <c r="X698" s="59"/>
      <c r="Y698" s="59"/>
      <c r="Z698" s="59"/>
      <c r="AA698" s="59"/>
      <c r="AB698" s="59"/>
      <c r="AC698" s="59"/>
    </row>
    <row r="699" spans="1:29" ht="12.75">
      <c r="A699" s="59"/>
      <c r="B699" s="59"/>
      <c r="C699" s="59"/>
      <c r="D699" s="1173"/>
      <c r="E699" s="59"/>
      <c r="F699" s="1173"/>
      <c r="G699" s="1174"/>
      <c r="H699" s="59"/>
      <c r="I699" s="59"/>
      <c r="J699" s="1173"/>
      <c r="K699" s="59"/>
      <c r="L699" s="1173"/>
      <c r="M699" s="59"/>
      <c r="N699" s="59"/>
      <c r="O699" s="59"/>
      <c r="P699" s="59"/>
      <c r="Q699" s="59"/>
      <c r="R699" s="59"/>
      <c r="S699" s="59"/>
      <c r="T699" s="59"/>
      <c r="U699" s="59"/>
      <c r="V699" s="59"/>
      <c r="W699" s="59"/>
      <c r="X699" s="59"/>
      <c r="Y699" s="59"/>
      <c r="Z699" s="59"/>
      <c r="AA699" s="59"/>
      <c r="AB699" s="59"/>
      <c r="AC699" s="59"/>
    </row>
    <row r="700" spans="1:29" ht="12.75">
      <c r="A700" s="59"/>
      <c r="B700" s="59"/>
      <c r="C700" s="59"/>
      <c r="D700" s="1173"/>
      <c r="E700" s="59"/>
      <c r="F700" s="1173"/>
      <c r="G700" s="1174"/>
      <c r="H700" s="59"/>
      <c r="I700" s="59"/>
      <c r="J700" s="1173"/>
      <c r="K700" s="59"/>
      <c r="L700" s="1173"/>
      <c r="M700" s="59"/>
      <c r="N700" s="59"/>
      <c r="O700" s="59"/>
      <c r="P700" s="59"/>
      <c r="Q700" s="59"/>
      <c r="R700" s="59"/>
      <c r="S700" s="59"/>
      <c r="T700" s="59"/>
      <c r="U700" s="59"/>
      <c r="V700" s="59"/>
      <c r="W700" s="59"/>
      <c r="X700" s="59"/>
      <c r="Y700" s="59"/>
      <c r="Z700" s="59"/>
      <c r="AA700" s="59"/>
      <c r="AB700" s="59"/>
      <c r="AC700" s="59"/>
    </row>
    <row r="701" spans="1:29" ht="12.75">
      <c r="A701" s="59"/>
      <c r="B701" s="59"/>
      <c r="C701" s="59"/>
      <c r="D701" s="1173"/>
      <c r="E701" s="59"/>
      <c r="F701" s="1173"/>
      <c r="G701" s="1174"/>
      <c r="H701" s="59"/>
      <c r="I701" s="59"/>
      <c r="J701" s="1173"/>
      <c r="K701" s="59"/>
      <c r="L701" s="1173"/>
      <c r="M701" s="59"/>
      <c r="N701" s="59"/>
      <c r="O701" s="59"/>
      <c r="P701" s="59"/>
      <c r="Q701" s="59"/>
      <c r="R701" s="59"/>
      <c r="S701" s="59"/>
      <c r="T701" s="59"/>
      <c r="U701" s="59"/>
      <c r="V701" s="59"/>
      <c r="W701" s="59"/>
      <c r="X701" s="59"/>
      <c r="Y701" s="59"/>
      <c r="Z701" s="59"/>
      <c r="AA701" s="59"/>
      <c r="AB701" s="59"/>
      <c r="AC701" s="59"/>
    </row>
    <row r="702" spans="1:29" ht="12.75">
      <c r="A702" s="59"/>
      <c r="B702" s="59"/>
      <c r="C702" s="59"/>
      <c r="D702" s="1173"/>
      <c r="E702" s="59"/>
      <c r="F702" s="1173"/>
      <c r="G702" s="1174"/>
      <c r="H702" s="59"/>
      <c r="I702" s="59"/>
      <c r="J702" s="1173"/>
      <c r="K702" s="59"/>
      <c r="L702" s="1173"/>
      <c r="M702" s="59"/>
      <c r="N702" s="59"/>
      <c r="O702" s="59"/>
      <c r="P702" s="59"/>
      <c r="Q702" s="59"/>
      <c r="R702" s="59"/>
      <c r="S702" s="59"/>
      <c r="T702" s="59"/>
      <c r="U702" s="59"/>
      <c r="V702" s="59"/>
      <c r="W702" s="59"/>
      <c r="X702" s="59"/>
      <c r="Y702" s="59"/>
      <c r="Z702" s="59"/>
      <c r="AA702" s="59"/>
      <c r="AB702" s="59"/>
      <c r="AC702" s="59"/>
    </row>
    <row r="703" spans="1:29" ht="12.75">
      <c r="A703" s="59"/>
      <c r="B703" s="59"/>
      <c r="C703" s="59"/>
      <c r="D703" s="1173"/>
      <c r="E703" s="59"/>
      <c r="F703" s="1173"/>
      <c r="G703" s="1174"/>
      <c r="H703" s="59"/>
      <c r="I703" s="59"/>
      <c r="J703" s="1173"/>
      <c r="K703" s="59"/>
      <c r="L703" s="1173"/>
      <c r="M703" s="59"/>
      <c r="N703" s="59"/>
      <c r="O703" s="59"/>
      <c r="P703" s="59"/>
      <c r="Q703" s="59"/>
      <c r="R703" s="59"/>
      <c r="S703" s="59"/>
      <c r="T703" s="59"/>
      <c r="U703" s="59"/>
      <c r="V703" s="59"/>
      <c r="W703" s="59"/>
      <c r="X703" s="59"/>
      <c r="Y703" s="59"/>
      <c r="Z703" s="59"/>
      <c r="AA703" s="59"/>
      <c r="AB703" s="59"/>
      <c r="AC703" s="59"/>
    </row>
    <row r="704" spans="1:29" ht="12.75">
      <c r="A704" s="59"/>
      <c r="B704" s="59"/>
      <c r="C704" s="59"/>
      <c r="D704" s="1173"/>
      <c r="E704" s="59"/>
      <c r="F704" s="1173"/>
      <c r="G704" s="1174"/>
      <c r="H704" s="59"/>
      <c r="I704" s="59"/>
      <c r="J704" s="1173"/>
      <c r="K704" s="59"/>
      <c r="L704" s="1173"/>
      <c r="M704" s="59"/>
      <c r="N704" s="59"/>
      <c r="O704" s="59"/>
      <c r="P704" s="59"/>
      <c r="Q704" s="59"/>
      <c r="R704" s="59"/>
      <c r="S704" s="59"/>
      <c r="T704" s="59"/>
      <c r="U704" s="59"/>
      <c r="V704" s="59"/>
      <c r="W704" s="59"/>
      <c r="X704" s="59"/>
      <c r="Y704" s="59"/>
      <c r="Z704" s="59"/>
      <c r="AA704" s="59"/>
      <c r="AB704" s="59"/>
      <c r="AC704" s="59"/>
    </row>
    <row r="705" spans="1:29" ht="12.75">
      <c r="A705" s="59"/>
      <c r="B705" s="59"/>
      <c r="C705" s="59"/>
      <c r="D705" s="1173"/>
      <c r="E705" s="59"/>
      <c r="F705" s="1173"/>
      <c r="G705" s="1174"/>
      <c r="H705" s="59"/>
      <c r="I705" s="59"/>
      <c r="J705" s="1173"/>
      <c r="K705" s="59"/>
      <c r="L705" s="1173"/>
      <c r="M705" s="59"/>
      <c r="N705" s="59"/>
      <c r="O705" s="59"/>
      <c r="P705" s="59"/>
      <c r="Q705" s="59"/>
      <c r="R705" s="59"/>
      <c r="S705" s="59"/>
      <c r="T705" s="59"/>
      <c r="U705" s="59"/>
      <c r="V705" s="59"/>
      <c r="W705" s="59"/>
      <c r="X705" s="59"/>
      <c r="Y705" s="59"/>
      <c r="Z705" s="59"/>
      <c r="AA705" s="59"/>
      <c r="AB705" s="59"/>
      <c r="AC705" s="59"/>
    </row>
    <row r="706" spans="1:29" ht="12.75">
      <c r="A706" s="59"/>
      <c r="B706" s="59"/>
      <c r="C706" s="59"/>
      <c r="D706" s="1173"/>
      <c r="E706" s="59"/>
      <c r="F706" s="1173"/>
      <c r="G706" s="1174"/>
      <c r="H706" s="59"/>
      <c r="I706" s="59"/>
      <c r="J706" s="1173"/>
      <c r="K706" s="59"/>
      <c r="L706" s="1173"/>
      <c r="M706" s="59"/>
      <c r="N706" s="59"/>
      <c r="O706" s="59"/>
      <c r="P706" s="59"/>
      <c r="Q706" s="59"/>
      <c r="R706" s="59"/>
      <c r="S706" s="59"/>
      <c r="T706" s="59"/>
      <c r="U706" s="59"/>
      <c r="V706" s="59"/>
      <c r="W706" s="59"/>
      <c r="X706" s="59"/>
      <c r="Y706" s="59"/>
      <c r="Z706" s="59"/>
      <c r="AA706" s="59"/>
      <c r="AB706" s="59"/>
      <c r="AC706" s="59"/>
    </row>
    <row r="707" spans="1:29" ht="12.75">
      <c r="A707" s="59"/>
      <c r="B707" s="59"/>
      <c r="C707" s="59"/>
      <c r="D707" s="1173"/>
      <c r="E707" s="59"/>
      <c r="F707" s="1173"/>
      <c r="G707" s="1174"/>
      <c r="H707" s="59"/>
      <c r="I707" s="59"/>
      <c r="J707" s="1173"/>
      <c r="K707" s="59"/>
      <c r="L707" s="1173"/>
      <c r="M707" s="59"/>
      <c r="N707" s="59"/>
      <c r="O707" s="59"/>
      <c r="P707" s="59"/>
      <c r="Q707" s="59"/>
      <c r="R707" s="59"/>
      <c r="S707" s="59"/>
      <c r="T707" s="59"/>
      <c r="U707" s="59"/>
      <c r="V707" s="59"/>
      <c r="W707" s="59"/>
      <c r="X707" s="59"/>
      <c r="Y707" s="59"/>
      <c r="Z707" s="59"/>
      <c r="AA707" s="59"/>
      <c r="AB707" s="59"/>
      <c r="AC707" s="59"/>
    </row>
    <row r="708" spans="1:29" ht="12.75">
      <c r="A708" s="59"/>
      <c r="B708" s="59"/>
      <c r="C708" s="59"/>
      <c r="D708" s="1173"/>
      <c r="E708" s="59"/>
      <c r="F708" s="1173"/>
      <c r="G708" s="1174"/>
      <c r="H708" s="59"/>
      <c r="I708" s="59"/>
      <c r="J708" s="1173"/>
      <c r="K708" s="59"/>
      <c r="L708" s="1173"/>
      <c r="M708" s="59"/>
      <c r="N708" s="59"/>
      <c r="O708" s="59"/>
      <c r="P708" s="59"/>
      <c r="Q708" s="59"/>
      <c r="R708" s="59"/>
      <c r="S708" s="59"/>
      <c r="T708" s="59"/>
      <c r="U708" s="59"/>
      <c r="V708" s="59"/>
      <c r="W708" s="59"/>
      <c r="X708" s="59"/>
      <c r="Y708" s="59"/>
      <c r="Z708" s="59"/>
      <c r="AA708" s="59"/>
      <c r="AB708" s="59"/>
      <c r="AC708" s="59"/>
    </row>
    <row r="709" spans="1:29" ht="12.75">
      <c r="A709" s="59"/>
      <c r="B709" s="59"/>
      <c r="C709" s="59"/>
      <c r="D709" s="1173"/>
      <c r="E709" s="59"/>
      <c r="F709" s="1173"/>
      <c r="G709" s="1174"/>
      <c r="H709" s="59"/>
      <c r="I709" s="59"/>
      <c r="J709" s="1173"/>
      <c r="K709" s="59"/>
      <c r="L709" s="1173"/>
      <c r="M709" s="59"/>
      <c r="N709" s="59"/>
      <c r="O709" s="59"/>
      <c r="P709" s="59"/>
      <c r="Q709" s="59"/>
      <c r="R709" s="59"/>
      <c r="S709" s="59"/>
      <c r="T709" s="59"/>
      <c r="U709" s="59"/>
      <c r="V709" s="59"/>
      <c r="W709" s="59"/>
      <c r="X709" s="59"/>
      <c r="Y709" s="59"/>
      <c r="Z709" s="59"/>
      <c r="AA709" s="59"/>
      <c r="AB709" s="59"/>
      <c r="AC709" s="59"/>
    </row>
    <row r="710" spans="1:29" ht="12.75">
      <c r="A710" s="59"/>
      <c r="B710" s="59"/>
      <c r="C710" s="59"/>
      <c r="D710" s="1173"/>
      <c r="E710" s="59"/>
      <c r="F710" s="1173"/>
      <c r="G710" s="1174"/>
      <c r="H710" s="59"/>
      <c r="I710" s="59"/>
      <c r="J710" s="1173"/>
      <c r="K710" s="59"/>
      <c r="L710" s="1173"/>
      <c r="M710" s="59"/>
      <c r="N710" s="59"/>
      <c r="O710" s="59"/>
      <c r="P710" s="59"/>
      <c r="Q710" s="59"/>
      <c r="R710" s="59"/>
      <c r="S710" s="59"/>
      <c r="T710" s="59"/>
      <c r="U710" s="59"/>
      <c r="V710" s="59"/>
      <c r="W710" s="59"/>
      <c r="X710" s="59"/>
      <c r="Y710" s="59"/>
      <c r="Z710" s="59"/>
      <c r="AA710" s="59"/>
      <c r="AB710" s="59"/>
      <c r="AC710" s="59"/>
    </row>
    <row r="711" spans="1:29" ht="12.75">
      <c r="A711" s="59"/>
      <c r="B711" s="59"/>
      <c r="C711" s="59"/>
      <c r="D711" s="1173"/>
      <c r="E711" s="59"/>
      <c r="F711" s="1173"/>
      <c r="G711" s="1174"/>
      <c r="H711" s="59"/>
      <c r="I711" s="59"/>
      <c r="J711" s="1173"/>
      <c r="K711" s="59"/>
      <c r="L711" s="1173"/>
      <c r="M711" s="59"/>
      <c r="N711" s="59"/>
      <c r="O711" s="59"/>
      <c r="P711" s="59"/>
      <c r="Q711" s="59"/>
      <c r="R711" s="59"/>
      <c r="S711" s="59"/>
      <c r="T711" s="59"/>
      <c r="U711" s="59"/>
      <c r="V711" s="59"/>
      <c r="W711" s="59"/>
      <c r="X711" s="59"/>
      <c r="Y711" s="59"/>
      <c r="Z711" s="59"/>
      <c r="AA711" s="59"/>
      <c r="AB711" s="59"/>
      <c r="AC711" s="59"/>
    </row>
    <row r="712" spans="1:29" ht="12.75">
      <c r="A712" s="59"/>
      <c r="B712" s="59"/>
      <c r="C712" s="59"/>
      <c r="D712" s="1173"/>
      <c r="E712" s="59"/>
      <c r="F712" s="1173"/>
      <c r="G712" s="1174"/>
      <c r="H712" s="59"/>
      <c r="I712" s="59"/>
      <c r="J712" s="1173"/>
      <c r="K712" s="59"/>
      <c r="L712" s="1173"/>
      <c r="M712" s="59"/>
      <c r="N712" s="59"/>
      <c r="O712" s="59"/>
      <c r="P712" s="59"/>
      <c r="Q712" s="59"/>
      <c r="R712" s="59"/>
      <c r="S712" s="59"/>
      <c r="T712" s="59"/>
      <c r="U712" s="59"/>
      <c r="V712" s="59"/>
      <c r="W712" s="59"/>
      <c r="X712" s="59"/>
      <c r="Y712" s="59"/>
      <c r="Z712" s="59"/>
      <c r="AA712" s="59"/>
      <c r="AB712" s="59"/>
      <c r="AC712" s="59"/>
    </row>
    <row r="713" spans="1:29" ht="12.75">
      <c r="A713" s="59"/>
      <c r="B713" s="59"/>
      <c r="C713" s="59"/>
      <c r="D713" s="1173"/>
      <c r="E713" s="59"/>
      <c r="F713" s="1173"/>
      <c r="G713" s="1174"/>
      <c r="H713" s="59"/>
      <c r="I713" s="59"/>
      <c r="J713" s="1173"/>
      <c r="K713" s="59"/>
      <c r="L713" s="1173"/>
      <c r="M713" s="59"/>
      <c r="N713" s="59"/>
      <c r="O713" s="59"/>
      <c r="P713" s="59"/>
      <c r="Q713" s="59"/>
      <c r="R713" s="59"/>
      <c r="S713" s="59"/>
      <c r="T713" s="59"/>
      <c r="U713" s="59"/>
      <c r="V713" s="59"/>
      <c r="W713" s="59"/>
      <c r="X713" s="59"/>
      <c r="Y713" s="59"/>
      <c r="Z713" s="59"/>
      <c r="AA713" s="59"/>
      <c r="AB713" s="59"/>
      <c r="AC713" s="59"/>
    </row>
    <row r="714" spans="1:29" ht="12.75">
      <c r="A714" s="59"/>
      <c r="B714" s="59"/>
      <c r="C714" s="59"/>
      <c r="D714" s="1173"/>
      <c r="E714" s="59"/>
      <c r="F714" s="1173"/>
      <c r="G714" s="1174"/>
      <c r="H714" s="59"/>
      <c r="I714" s="59"/>
      <c r="J714" s="1173"/>
      <c r="K714" s="59"/>
      <c r="L714" s="1173"/>
      <c r="M714" s="59"/>
      <c r="N714" s="59"/>
      <c r="O714" s="59"/>
      <c r="P714" s="59"/>
      <c r="Q714" s="59"/>
      <c r="R714" s="59"/>
      <c r="S714" s="59"/>
      <c r="T714" s="59"/>
      <c r="U714" s="59"/>
      <c r="V714" s="59"/>
      <c r="W714" s="59"/>
      <c r="X714" s="59"/>
      <c r="Y714" s="59"/>
      <c r="Z714" s="59"/>
      <c r="AA714" s="59"/>
      <c r="AB714" s="59"/>
      <c r="AC714" s="59"/>
    </row>
    <row r="715" spans="1:29" ht="12.75">
      <c r="A715" s="59"/>
      <c r="B715" s="59"/>
      <c r="C715" s="59"/>
      <c r="D715" s="1173"/>
      <c r="E715" s="59"/>
      <c r="F715" s="1173"/>
      <c r="G715" s="1174"/>
      <c r="H715" s="59"/>
      <c r="I715" s="59"/>
      <c r="J715" s="1173"/>
      <c r="K715" s="59"/>
      <c r="L715" s="1173"/>
      <c r="M715" s="59"/>
      <c r="N715" s="59"/>
      <c r="O715" s="59"/>
      <c r="P715" s="59"/>
      <c r="Q715" s="59"/>
      <c r="R715" s="59"/>
      <c r="S715" s="59"/>
      <c r="T715" s="59"/>
      <c r="U715" s="59"/>
      <c r="V715" s="59"/>
      <c r="W715" s="59"/>
      <c r="X715" s="59"/>
      <c r="Y715" s="59"/>
      <c r="Z715" s="59"/>
      <c r="AA715" s="59"/>
      <c r="AB715" s="59"/>
      <c r="AC715" s="59"/>
    </row>
    <row r="716" spans="1:29" ht="12.75">
      <c r="A716" s="59"/>
      <c r="B716" s="59"/>
      <c r="C716" s="59"/>
      <c r="D716" s="1173"/>
      <c r="E716" s="59"/>
      <c r="F716" s="1173"/>
      <c r="G716" s="1174"/>
      <c r="H716" s="59"/>
      <c r="I716" s="59"/>
      <c r="J716" s="1173"/>
      <c r="K716" s="59"/>
      <c r="L716" s="1173"/>
      <c r="M716" s="59"/>
      <c r="N716" s="59"/>
      <c r="O716" s="59"/>
      <c r="P716" s="59"/>
      <c r="Q716" s="59"/>
      <c r="R716" s="59"/>
      <c r="S716" s="59"/>
      <c r="T716" s="59"/>
      <c r="U716" s="59"/>
      <c r="V716" s="59"/>
      <c r="W716" s="59"/>
      <c r="X716" s="59"/>
      <c r="Y716" s="59"/>
      <c r="Z716" s="59"/>
      <c r="AA716" s="59"/>
      <c r="AB716" s="59"/>
      <c r="AC716" s="59"/>
    </row>
    <row r="717" spans="1:29" ht="12.75">
      <c r="A717" s="59"/>
      <c r="B717" s="59"/>
      <c r="C717" s="59"/>
      <c r="D717" s="1173"/>
      <c r="E717" s="59"/>
      <c r="F717" s="1173"/>
      <c r="G717" s="1174"/>
      <c r="H717" s="59"/>
      <c r="I717" s="59"/>
      <c r="J717" s="1173"/>
      <c r="K717" s="59"/>
      <c r="L717" s="1173"/>
      <c r="M717" s="59"/>
      <c r="N717" s="59"/>
      <c r="O717" s="59"/>
      <c r="P717" s="59"/>
      <c r="Q717" s="59"/>
      <c r="R717" s="59"/>
      <c r="S717" s="59"/>
      <c r="T717" s="59"/>
      <c r="U717" s="59"/>
      <c r="V717" s="59"/>
      <c r="W717" s="59"/>
      <c r="X717" s="59"/>
      <c r="Y717" s="59"/>
      <c r="Z717" s="59"/>
      <c r="AA717" s="59"/>
      <c r="AB717" s="59"/>
      <c r="AC717" s="59"/>
    </row>
    <row r="718" spans="1:29" ht="12.75">
      <c r="A718" s="59"/>
      <c r="B718" s="59"/>
      <c r="C718" s="59"/>
      <c r="D718" s="1173"/>
      <c r="E718" s="59"/>
      <c r="F718" s="1173"/>
      <c r="G718" s="1174"/>
      <c r="H718" s="59"/>
      <c r="I718" s="59"/>
      <c r="J718" s="1173"/>
      <c r="K718" s="59"/>
      <c r="L718" s="1173"/>
      <c r="M718" s="59"/>
      <c r="N718" s="59"/>
      <c r="O718" s="59"/>
      <c r="P718" s="59"/>
      <c r="Q718" s="59"/>
      <c r="R718" s="59"/>
      <c r="S718" s="59"/>
      <c r="T718" s="59"/>
      <c r="U718" s="59"/>
      <c r="V718" s="59"/>
      <c r="W718" s="59"/>
      <c r="X718" s="59"/>
      <c r="Y718" s="59"/>
      <c r="Z718" s="59"/>
      <c r="AA718" s="59"/>
      <c r="AB718" s="59"/>
      <c r="AC718" s="59"/>
    </row>
    <row r="719" spans="1:29" ht="12.75">
      <c r="A719" s="59"/>
      <c r="B719" s="59"/>
      <c r="C719" s="59"/>
      <c r="D719" s="1173"/>
      <c r="E719" s="59"/>
      <c r="F719" s="1173"/>
      <c r="G719" s="1174"/>
      <c r="H719" s="59"/>
      <c r="I719" s="59"/>
      <c r="J719" s="1173"/>
      <c r="K719" s="59"/>
      <c r="L719" s="1173"/>
      <c r="M719" s="59"/>
      <c r="N719" s="59"/>
      <c r="O719" s="59"/>
      <c r="P719" s="59"/>
      <c r="Q719" s="59"/>
      <c r="R719" s="59"/>
      <c r="S719" s="59"/>
      <c r="T719" s="59"/>
      <c r="U719" s="59"/>
      <c r="V719" s="59"/>
      <c r="W719" s="59"/>
      <c r="X719" s="59"/>
      <c r="Y719" s="59"/>
      <c r="Z719" s="59"/>
      <c r="AA719" s="59"/>
      <c r="AB719" s="59"/>
      <c r="AC719" s="59"/>
    </row>
    <row r="720" spans="1:29" ht="12.75">
      <c r="A720" s="59"/>
      <c r="B720" s="59"/>
      <c r="C720" s="59"/>
      <c r="D720" s="1173"/>
      <c r="E720" s="59"/>
      <c r="F720" s="1173"/>
      <c r="G720" s="1174"/>
      <c r="H720" s="59"/>
      <c r="I720" s="59"/>
      <c r="J720" s="1173"/>
      <c r="K720" s="59"/>
      <c r="L720" s="1173"/>
      <c r="M720" s="59"/>
      <c r="N720" s="59"/>
      <c r="O720" s="59"/>
      <c r="P720" s="59"/>
      <c r="Q720" s="59"/>
      <c r="R720" s="59"/>
      <c r="S720" s="59"/>
      <c r="T720" s="59"/>
      <c r="U720" s="59"/>
      <c r="V720" s="59"/>
      <c r="W720" s="59"/>
      <c r="X720" s="59"/>
      <c r="Y720" s="59"/>
      <c r="Z720" s="59"/>
      <c r="AA720" s="59"/>
      <c r="AB720" s="59"/>
      <c r="AC720" s="59"/>
    </row>
    <row r="721" spans="1:29" ht="12.75">
      <c r="A721" s="59"/>
      <c r="B721" s="59"/>
      <c r="C721" s="59"/>
      <c r="D721" s="1173"/>
      <c r="E721" s="59"/>
      <c r="F721" s="1173"/>
      <c r="G721" s="1174"/>
      <c r="H721" s="59"/>
      <c r="I721" s="59"/>
      <c r="J721" s="1173"/>
      <c r="K721" s="59"/>
      <c r="L721" s="1173"/>
      <c r="M721" s="59"/>
      <c r="N721" s="59"/>
      <c r="O721" s="59"/>
      <c r="P721" s="59"/>
      <c r="Q721" s="59"/>
      <c r="R721" s="59"/>
      <c r="S721" s="59"/>
      <c r="T721" s="59"/>
      <c r="U721" s="59"/>
      <c r="V721" s="59"/>
      <c r="W721" s="59"/>
      <c r="X721" s="59"/>
      <c r="Y721" s="59"/>
      <c r="Z721" s="59"/>
      <c r="AA721" s="59"/>
      <c r="AB721" s="59"/>
      <c r="AC721" s="59"/>
    </row>
    <row r="722" spans="1:29" ht="12.75">
      <c r="A722" s="59"/>
      <c r="B722" s="59"/>
      <c r="C722" s="59"/>
      <c r="D722" s="1173"/>
      <c r="E722" s="59"/>
      <c r="F722" s="1173"/>
      <c r="G722" s="1174"/>
      <c r="H722" s="59"/>
      <c r="I722" s="59"/>
      <c r="J722" s="1173"/>
      <c r="K722" s="59"/>
      <c r="L722" s="1173"/>
      <c r="M722" s="59"/>
      <c r="N722" s="59"/>
      <c r="O722" s="59"/>
      <c r="P722" s="59"/>
      <c r="Q722" s="59"/>
      <c r="R722" s="59"/>
      <c r="S722" s="59"/>
      <c r="T722" s="59"/>
      <c r="U722" s="59"/>
      <c r="V722" s="59"/>
      <c r="W722" s="59"/>
      <c r="X722" s="59"/>
      <c r="Y722" s="59"/>
      <c r="Z722" s="59"/>
      <c r="AA722" s="59"/>
      <c r="AB722" s="59"/>
      <c r="AC722" s="59"/>
    </row>
    <row r="723" spans="1:29" ht="12.75">
      <c r="A723" s="59"/>
      <c r="B723" s="59"/>
      <c r="C723" s="59"/>
      <c r="D723" s="1173"/>
      <c r="E723" s="59"/>
      <c r="F723" s="1173"/>
      <c r="G723" s="1174"/>
      <c r="H723" s="59"/>
      <c r="I723" s="59"/>
      <c r="J723" s="1173"/>
      <c r="K723" s="59"/>
      <c r="L723" s="1173"/>
      <c r="M723" s="59"/>
      <c r="N723" s="59"/>
      <c r="O723" s="59"/>
      <c r="P723" s="59"/>
      <c r="Q723" s="59"/>
      <c r="R723" s="59"/>
      <c r="S723" s="59"/>
      <c r="T723" s="59"/>
      <c r="U723" s="59"/>
      <c r="V723" s="59"/>
      <c r="W723" s="59"/>
      <c r="X723" s="59"/>
      <c r="Y723" s="59"/>
      <c r="Z723" s="59"/>
      <c r="AA723" s="59"/>
      <c r="AB723" s="59"/>
      <c r="AC723" s="59"/>
    </row>
    <row r="724" spans="1:29" ht="12.75">
      <c r="A724" s="59"/>
      <c r="B724" s="59"/>
      <c r="C724" s="59"/>
      <c r="D724" s="1173"/>
      <c r="E724" s="59"/>
      <c r="F724" s="1173"/>
      <c r="G724" s="1174"/>
      <c r="H724" s="59"/>
      <c r="I724" s="59"/>
      <c r="J724" s="1173"/>
      <c r="K724" s="59"/>
      <c r="L724" s="1173"/>
      <c r="M724" s="59"/>
      <c r="N724" s="59"/>
      <c r="O724" s="59"/>
      <c r="P724" s="59"/>
      <c r="Q724" s="59"/>
      <c r="R724" s="59"/>
      <c r="S724" s="59"/>
      <c r="T724" s="59"/>
      <c r="U724" s="59"/>
      <c r="V724" s="59"/>
      <c r="W724" s="59"/>
      <c r="X724" s="59"/>
      <c r="Y724" s="59"/>
      <c r="Z724" s="59"/>
      <c r="AA724" s="59"/>
      <c r="AB724" s="59"/>
      <c r="AC724" s="59"/>
    </row>
    <row r="725" spans="1:29" ht="12.75">
      <c r="A725" s="59"/>
      <c r="B725" s="59"/>
      <c r="C725" s="59"/>
      <c r="D725" s="1173"/>
      <c r="E725" s="59"/>
      <c r="F725" s="1173"/>
      <c r="G725" s="1174"/>
      <c r="H725" s="59"/>
      <c r="I725" s="59"/>
      <c r="J725" s="1173"/>
      <c r="K725" s="59"/>
      <c r="L725" s="1173"/>
      <c r="M725" s="59"/>
      <c r="N725" s="59"/>
      <c r="O725" s="59"/>
      <c r="P725" s="59"/>
      <c r="Q725" s="59"/>
      <c r="R725" s="59"/>
      <c r="S725" s="59"/>
      <c r="T725" s="59"/>
      <c r="U725" s="59"/>
      <c r="V725" s="59"/>
      <c r="W725" s="59"/>
      <c r="X725" s="59"/>
      <c r="Y725" s="59"/>
      <c r="Z725" s="59"/>
      <c r="AA725" s="59"/>
      <c r="AB725" s="59"/>
      <c r="AC725" s="59"/>
    </row>
    <row r="726" spans="1:29" ht="12.75">
      <c r="A726" s="59"/>
      <c r="B726" s="59"/>
      <c r="C726" s="59"/>
      <c r="D726" s="1173"/>
      <c r="E726" s="59"/>
      <c r="F726" s="1173"/>
      <c r="G726" s="1174"/>
      <c r="H726" s="59"/>
      <c r="I726" s="59"/>
      <c r="J726" s="1173"/>
      <c r="K726" s="59"/>
      <c r="L726" s="1173"/>
      <c r="M726" s="59"/>
      <c r="N726" s="59"/>
      <c r="O726" s="59"/>
      <c r="P726" s="59"/>
      <c r="Q726" s="59"/>
      <c r="R726" s="59"/>
      <c r="S726" s="59"/>
      <c r="T726" s="59"/>
      <c r="U726" s="59"/>
      <c r="V726" s="59"/>
      <c r="W726" s="59"/>
      <c r="X726" s="59"/>
      <c r="Y726" s="59"/>
      <c r="Z726" s="59"/>
      <c r="AA726" s="59"/>
      <c r="AB726" s="59"/>
      <c r="AC726" s="59"/>
    </row>
    <row r="727" spans="1:29" ht="12.75">
      <c r="A727" s="59"/>
      <c r="B727" s="59"/>
      <c r="C727" s="59"/>
      <c r="D727" s="1173"/>
      <c r="E727" s="59"/>
      <c r="F727" s="1173"/>
      <c r="G727" s="1174"/>
      <c r="H727" s="59"/>
      <c r="I727" s="59"/>
      <c r="J727" s="1173"/>
      <c r="K727" s="59"/>
      <c r="L727" s="1173"/>
      <c r="M727" s="59"/>
      <c r="N727" s="59"/>
      <c r="O727" s="59"/>
      <c r="P727" s="59"/>
      <c r="Q727" s="59"/>
      <c r="R727" s="59"/>
      <c r="S727" s="59"/>
      <c r="T727" s="59"/>
      <c r="U727" s="59"/>
      <c r="V727" s="59"/>
      <c r="W727" s="59"/>
      <c r="X727" s="59"/>
      <c r="Y727" s="59"/>
      <c r="Z727" s="59"/>
      <c r="AA727" s="59"/>
      <c r="AB727" s="59"/>
      <c r="AC727" s="59"/>
    </row>
    <row r="728" spans="1:29" ht="12.75">
      <c r="A728" s="59"/>
      <c r="B728" s="59"/>
      <c r="C728" s="59"/>
      <c r="D728" s="1173"/>
      <c r="E728" s="59"/>
      <c r="F728" s="1173"/>
      <c r="G728" s="1174"/>
      <c r="H728" s="59"/>
      <c r="I728" s="59"/>
      <c r="J728" s="1173"/>
      <c r="K728" s="59"/>
      <c r="L728" s="1173"/>
      <c r="M728" s="59"/>
      <c r="N728" s="59"/>
      <c r="O728" s="59"/>
      <c r="P728" s="59"/>
      <c r="Q728" s="59"/>
      <c r="R728" s="59"/>
      <c r="S728" s="59"/>
      <c r="T728" s="59"/>
      <c r="U728" s="59"/>
      <c r="V728" s="59"/>
      <c r="W728" s="59"/>
      <c r="X728" s="59"/>
      <c r="Y728" s="59"/>
      <c r="Z728" s="59"/>
      <c r="AA728" s="59"/>
      <c r="AB728" s="59"/>
      <c r="AC728" s="59"/>
    </row>
    <row r="729" spans="1:29" ht="12.75">
      <c r="A729" s="59"/>
      <c r="B729" s="59"/>
      <c r="C729" s="59"/>
      <c r="D729" s="1173"/>
      <c r="E729" s="59"/>
      <c r="F729" s="1173"/>
      <c r="G729" s="1174"/>
      <c r="H729" s="59"/>
      <c r="I729" s="59"/>
      <c r="J729" s="1173"/>
      <c r="K729" s="59"/>
      <c r="L729" s="1173"/>
      <c r="M729" s="59"/>
      <c r="N729" s="59"/>
      <c r="O729" s="59"/>
      <c r="P729" s="59"/>
      <c r="Q729" s="59"/>
      <c r="R729" s="59"/>
      <c r="S729" s="59"/>
      <c r="T729" s="59"/>
      <c r="U729" s="59"/>
      <c r="V729" s="59"/>
      <c r="W729" s="59"/>
      <c r="X729" s="59"/>
      <c r="Y729" s="59"/>
      <c r="Z729" s="59"/>
      <c r="AA729" s="59"/>
      <c r="AB729" s="59"/>
      <c r="AC729" s="59"/>
    </row>
    <row r="730" spans="1:29" ht="12.75">
      <c r="A730" s="59"/>
      <c r="B730" s="59"/>
      <c r="C730" s="59"/>
      <c r="D730" s="1173"/>
      <c r="E730" s="59"/>
      <c r="F730" s="1173"/>
      <c r="G730" s="1174"/>
      <c r="H730" s="59"/>
      <c r="I730" s="59"/>
      <c r="J730" s="1173"/>
      <c r="K730" s="59"/>
      <c r="L730" s="1173"/>
      <c r="M730" s="59"/>
      <c r="N730" s="59"/>
      <c r="O730" s="59"/>
      <c r="P730" s="59"/>
      <c r="Q730" s="59"/>
      <c r="R730" s="59"/>
      <c r="S730" s="59"/>
      <c r="T730" s="59"/>
      <c r="U730" s="59"/>
      <c r="V730" s="59"/>
      <c r="W730" s="59"/>
      <c r="X730" s="59"/>
      <c r="Y730" s="59"/>
      <c r="Z730" s="59"/>
      <c r="AA730" s="59"/>
      <c r="AB730" s="59"/>
      <c r="AC730" s="59"/>
    </row>
    <row r="731" spans="1:29" ht="12.75">
      <c r="A731" s="59"/>
      <c r="B731" s="59"/>
      <c r="C731" s="59"/>
      <c r="D731" s="1173"/>
      <c r="E731" s="59"/>
      <c r="F731" s="1173"/>
      <c r="G731" s="1174"/>
      <c r="H731" s="59"/>
      <c r="I731" s="59"/>
      <c r="J731" s="1173"/>
      <c r="K731" s="59"/>
      <c r="L731" s="1173"/>
      <c r="M731" s="59"/>
      <c r="N731" s="59"/>
      <c r="O731" s="59"/>
      <c r="P731" s="59"/>
      <c r="Q731" s="59"/>
      <c r="R731" s="59"/>
      <c r="S731" s="59"/>
      <c r="T731" s="59"/>
      <c r="U731" s="59"/>
      <c r="V731" s="59"/>
      <c r="W731" s="59"/>
      <c r="X731" s="59"/>
      <c r="Y731" s="59"/>
      <c r="Z731" s="59"/>
      <c r="AA731" s="59"/>
      <c r="AB731" s="59"/>
      <c r="AC731" s="59"/>
    </row>
    <row r="732" spans="1:29" ht="12.75">
      <c r="A732" s="59"/>
      <c r="B732" s="59"/>
      <c r="C732" s="59"/>
      <c r="D732" s="1173"/>
      <c r="E732" s="59"/>
      <c r="F732" s="1173"/>
      <c r="G732" s="1174"/>
      <c r="H732" s="59"/>
      <c r="I732" s="59"/>
      <c r="J732" s="1173"/>
      <c r="K732" s="59"/>
      <c r="L732" s="1173"/>
      <c r="M732" s="59"/>
      <c r="N732" s="59"/>
      <c r="O732" s="59"/>
      <c r="P732" s="59"/>
      <c r="Q732" s="59"/>
      <c r="R732" s="59"/>
      <c r="S732" s="59"/>
      <c r="T732" s="59"/>
      <c r="U732" s="59"/>
      <c r="V732" s="59"/>
      <c r="W732" s="59"/>
      <c r="X732" s="59"/>
      <c r="Y732" s="59"/>
      <c r="Z732" s="59"/>
      <c r="AA732" s="59"/>
      <c r="AB732" s="59"/>
      <c r="AC732" s="59"/>
    </row>
    <row r="733" spans="1:29" ht="12.75">
      <c r="A733" s="59"/>
      <c r="B733" s="59"/>
      <c r="C733" s="59"/>
      <c r="D733" s="1173"/>
      <c r="E733" s="59"/>
      <c r="F733" s="1173"/>
      <c r="G733" s="1174"/>
      <c r="H733" s="59"/>
      <c r="I733" s="59"/>
      <c r="J733" s="1173"/>
      <c r="K733" s="59"/>
      <c r="L733" s="1173"/>
      <c r="M733" s="59"/>
      <c r="N733" s="59"/>
      <c r="O733" s="59"/>
      <c r="P733" s="59"/>
      <c r="Q733" s="59"/>
      <c r="R733" s="59"/>
      <c r="S733" s="59"/>
      <c r="T733" s="59"/>
      <c r="U733" s="59"/>
      <c r="V733" s="59"/>
      <c r="W733" s="59"/>
      <c r="X733" s="59"/>
      <c r="Y733" s="59"/>
      <c r="Z733" s="59"/>
      <c r="AA733" s="59"/>
      <c r="AB733" s="59"/>
      <c r="AC733" s="59"/>
    </row>
    <row r="734" spans="1:29" ht="12.75">
      <c r="A734" s="59"/>
      <c r="B734" s="59"/>
      <c r="C734" s="59"/>
      <c r="D734" s="1173"/>
      <c r="E734" s="59"/>
      <c r="F734" s="1173"/>
      <c r="G734" s="1174"/>
      <c r="H734" s="59"/>
      <c r="I734" s="59"/>
      <c r="J734" s="1173"/>
      <c r="K734" s="59"/>
      <c r="L734" s="1173"/>
      <c r="M734" s="59"/>
      <c r="N734" s="59"/>
      <c r="O734" s="59"/>
      <c r="P734" s="59"/>
      <c r="Q734" s="59"/>
      <c r="R734" s="59"/>
      <c r="S734" s="59"/>
      <c r="T734" s="59"/>
      <c r="U734" s="59"/>
      <c r="V734" s="59"/>
      <c r="W734" s="59"/>
      <c r="X734" s="59"/>
      <c r="Y734" s="59"/>
      <c r="Z734" s="59"/>
      <c r="AA734" s="59"/>
      <c r="AB734" s="59"/>
      <c r="AC734" s="59"/>
    </row>
    <row r="735" spans="1:29" ht="12.75">
      <c r="A735" s="59"/>
      <c r="B735" s="59"/>
      <c r="C735" s="59"/>
      <c r="D735" s="1173"/>
      <c r="E735" s="59"/>
      <c r="F735" s="1173"/>
      <c r="G735" s="1174"/>
      <c r="H735" s="59"/>
      <c r="I735" s="59"/>
      <c r="J735" s="1173"/>
      <c r="K735" s="59"/>
      <c r="L735" s="1173"/>
      <c r="M735" s="59"/>
      <c r="N735" s="59"/>
      <c r="O735" s="59"/>
      <c r="P735" s="59"/>
      <c r="Q735" s="59"/>
      <c r="R735" s="59"/>
      <c r="S735" s="59"/>
      <c r="T735" s="59"/>
      <c r="U735" s="59"/>
      <c r="V735" s="59"/>
      <c r="W735" s="59"/>
      <c r="X735" s="59"/>
      <c r="Y735" s="59"/>
      <c r="Z735" s="59"/>
      <c r="AA735" s="59"/>
      <c r="AB735" s="59"/>
      <c r="AC735" s="59"/>
    </row>
    <row r="736" spans="1:29" ht="12.75">
      <c r="A736" s="59"/>
      <c r="B736" s="59"/>
      <c r="C736" s="59"/>
      <c r="D736" s="1173"/>
      <c r="E736" s="59"/>
      <c r="F736" s="1173"/>
      <c r="G736" s="1174"/>
      <c r="H736" s="59"/>
      <c r="I736" s="59"/>
      <c r="J736" s="1173"/>
      <c r="K736" s="59"/>
      <c r="L736" s="1173"/>
      <c r="M736" s="59"/>
      <c r="N736" s="59"/>
      <c r="O736" s="59"/>
      <c r="P736" s="59"/>
      <c r="Q736" s="59"/>
      <c r="R736" s="59"/>
      <c r="S736" s="59"/>
      <c r="T736" s="59"/>
      <c r="U736" s="59"/>
      <c r="V736" s="59"/>
      <c r="W736" s="59"/>
      <c r="X736" s="59"/>
      <c r="Y736" s="59"/>
      <c r="Z736" s="59"/>
      <c r="AA736" s="59"/>
      <c r="AB736" s="59"/>
      <c r="AC736" s="59"/>
    </row>
    <row r="737" spans="1:29" ht="12.75">
      <c r="A737" s="59"/>
      <c r="B737" s="59"/>
      <c r="C737" s="59"/>
      <c r="D737" s="1173"/>
      <c r="E737" s="59"/>
      <c r="F737" s="1173"/>
      <c r="G737" s="1174"/>
      <c r="H737" s="59"/>
      <c r="I737" s="59"/>
      <c r="J737" s="1173"/>
      <c r="K737" s="59"/>
      <c r="L737" s="1173"/>
      <c r="M737" s="59"/>
      <c r="N737" s="59"/>
      <c r="O737" s="59"/>
      <c r="P737" s="59"/>
      <c r="Q737" s="59"/>
      <c r="R737" s="59"/>
      <c r="S737" s="59"/>
      <c r="T737" s="59"/>
      <c r="U737" s="59"/>
      <c r="V737" s="59"/>
      <c r="W737" s="59"/>
      <c r="X737" s="59"/>
      <c r="Y737" s="59"/>
      <c r="Z737" s="59"/>
      <c r="AA737" s="59"/>
      <c r="AB737" s="59"/>
      <c r="AC737" s="59"/>
    </row>
    <row r="738" spans="1:29" ht="12.75">
      <c r="A738" s="59"/>
      <c r="B738" s="59"/>
      <c r="C738" s="59"/>
      <c r="D738" s="1173"/>
      <c r="E738" s="59"/>
      <c r="F738" s="1173"/>
      <c r="G738" s="1174"/>
      <c r="H738" s="59"/>
      <c r="I738" s="59"/>
      <c r="J738" s="1173"/>
      <c r="K738" s="59"/>
      <c r="L738" s="1173"/>
      <c r="M738" s="59"/>
      <c r="N738" s="59"/>
      <c r="O738" s="59"/>
      <c r="P738" s="59"/>
      <c r="Q738" s="59"/>
      <c r="R738" s="59"/>
      <c r="S738" s="59"/>
      <c r="T738" s="59"/>
      <c r="U738" s="59"/>
      <c r="V738" s="59"/>
      <c r="W738" s="59"/>
      <c r="X738" s="59"/>
      <c r="Y738" s="59"/>
      <c r="Z738" s="59"/>
      <c r="AA738" s="59"/>
      <c r="AB738" s="59"/>
      <c r="AC738" s="59"/>
    </row>
    <row r="739" spans="1:29" ht="12.75">
      <c r="A739" s="59"/>
      <c r="B739" s="59"/>
      <c r="C739" s="59"/>
      <c r="D739" s="1173"/>
      <c r="E739" s="59"/>
      <c r="F739" s="1173"/>
      <c r="G739" s="1174"/>
      <c r="H739" s="59"/>
      <c r="I739" s="59"/>
      <c r="J739" s="1173"/>
      <c r="K739" s="59"/>
      <c r="L739" s="1173"/>
      <c r="M739" s="59"/>
      <c r="N739" s="59"/>
      <c r="O739" s="59"/>
      <c r="P739" s="59"/>
      <c r="Q739" s="59"/>
      <c r="R739" s="59"/>
      <c r="S739" s="59"/>
      <c r="T739" s="59"/>
      <c r="U739" s="59"/>
      <c r="V739" s="59"/>
      <c r="W739" s="59"/>
      <c r="X739" s="59"/>
      <c r="Y739" s="59"/>
      <c r="Z739" s="59"/>
      <c r="AA739" s="59"/>
      <c r="AB739" s="59"/>
      <c r="AC739" s="59"/>
    </row>
    <row r="740" spans="1:29" ht="12.75">
      <c r="A740" s="59"/>
      <c r="B740" s="59"/>
      <c r="C740" s="59"/>
      <c r="D740" s="1173"/>
      <c r="E740" s="59"/>
      <c r="F740" s="1173"/>
      <c r="G740" s="1174"/>
      <c r="H740" s="59"/>
      <c r="I740" s="59"/>
      <c r="J740" s="1173"/>
      <c r="K740" s="59"/>
      <c r="L740" s="1173"/>
      <c r="M740" s="59"/>
      <c r="N740" s="59"/>
      <c r="O740" s="59"/>
      <c r="P740" s="59"/>
      <c r="Q740" s="59"/>
      <c r="R740" s="59"/>
      <c r="S740" s="59"/>
      <c r="T740" s="59"/>
      <c r="U740" s="59"/>
      <c r="V740" s="59"/>
      <c r="W740" s="59"/>
      <c r="X740" s="59"/>
      <c r="Y740" s="59"/>
      <c r="Z740" s="59"/>
      <c r="AA740" s="59"/>
      <c r="AB740" s="59"/>
      <c r="AC740" s="59"/>
    </row>
    <row r="741" spans="1:29" ht="12.75">
      <c r="A741" s="59"/>
      <c r="B741" s="59"/>
      <c r="C741" s="59"/>
      <c r="D741" s="1173"/>
      <c r="E741" s="59"/>
      <c r="F741" s="1173"/>
      <c r="G741" s="1174"/>
      <c r="H741" s="59"/>
      <c r="I741" s="59"/>
      <c r="J741" s="1173"/>
      <c r="K741" s="59"/>
      <c r="L741" s="1173"/>
      <c r="M741" s="59"/>
      <c r="N741" s="59"/>
      <c r="O741" s="59"/>
      <c r="P741" s="59"/>
      <c r="Q741" s="59"/>
      <c r="R741" s="59"/>
      <c r="S741" s="59"/>
      <c r="T741" s="59"/>
      <c r="U741" s="59"/>
      <c r="V741" s="59"/>
      <c r="W741" s="59"/>
      <c r="X741" s="59"/>
      <c r="Y741" s="59"/>
      <c r="Z741" s="59"/>
      <c r="AA741" s="59"/>
      <c r="AB741" s="59"/>
      <c r="AC741" s="59"/>
    </row>
    <row r="742" spans="1:29" ht="12.75">
      <c r="A742" s="59"/>
      <c r="B742" s="59"/>
      <c r="C742" s="59"/>
      <c r="D742" s="1173"/>
      <c r="E742" s="59"/>
      <c r="F742" s="1173"/>
      <c r="G742" s="1174"/>
      <c r="H742" s="59"/>
      <c r="I742" s="59"/>
      <c r="J742" s="1173"/>
      <c r="K742" s="59"/>
      <c r="L742" s="1173"/>
      <c r="M742" s="59"/>
      <c r="N742" s="59"/>
      <c r="O742" s="59"/>
      <c r="P742" s="59"/>
      <c r="Q742" s="59"/>
      <c r="R742" s="59"/>
      <c r="S742" s="59"/>
      <c r="T742" s="59"/>
      <c r="U742" s="59"/>
      <c r="V742" s="59"/>
      <c r="W742" s="59"/>
      <c r="X742" s="59"/>
      <c r="Y742" s="59"/>
      <c r="Z742" s="59"/>
      <c r="AA742" s="59"/>
      <c r="AB742" s="59"/>
      <c r="AC742" s="59"/>
    </row>
    <row r="743" spans="1:29" ht="12.75">
      <c r="A743" s="59"/>
      <c r="B743" s="59"/>
      <c r="C743" s="59"/>
      <c r="D743" s="1173"/>
      <c r="E743" s="59"/>
      <c r="F743" s="1173"/>
      <c r="G743" s="1174"/>
      <c r="H743" s="59"/>
      <c r="I743" s="59"/>
      <c r="J743" s="1173"/>
      <c r="K743" s="59"/>
      <c r="L743" s="1173"/>
      <c r="M743" s="59"/>
      <c r="N743" s="59"/>
      <c r="O743" s="59"/>
      <c r="P743" s="59"/>
      <c r="Q743" s="59"/>
      <c r="R743" s="59"/>
      <c r="S743" s="59"/>
      <c r="T743" s="59"/>
      <c r="U743" s="59"/>
      <c r="V743" s="59"/>
      <c r="W743" s="59"/>
      <c r="X743" s="59"/>
      <c r="Y743" s="59"/>
      <c r="Z743" s="59"/>
      <c r="AA743" s="59"/>
      <c r="AB743" s="59"/>
      <c r="AC743" s="59"/>
    </row>
    <row r="744" spans="1:29" ht="12.75">
      <c r="A744" s="59"/>
      <c r="B744" s="59"/>
      <c r="C744" s="59"/>
      <c r="D744" s="1173"/>
      <c r="E744" s="59"/>
      <c r="F744" s="1173"/>
      <c r="G744" s="1174"/>
      <c r="H744" s="59"/>
      <c r="I744" s="59"/>
      <c r="J744" s="1173"/>
      <c r="K744" s="59"/>
      <c r="L744" s="1173"/>
      <c r="M744" s="59"/>
      <c r="N744" s="59"/>
      <c r="O744" s="59"/>
      <c r="P744" s="59"/>
      <c r="Q744" s="59"/>
      <c r="R744" s="59"/>
      <c r="S744" s="59"/>
      <c r="T744" s="59"/>
      <c r="U744" s="59"/>
      <c r="V744" s="59"/>
      <c r="W744" s="59"/>
      <c r="X744" s="59"/>
      <c r="Y744" s="59"/>
      <c r="Z744" s="59"/>
      <c r="AA744" s="59"/>
      <c r="AB744" s="59"/>
      <c r="AC744" s="59"/>
    </row>
    <row r="745" spans="1:29" ht="12.75">
      <c r="A745" s="59"/>
      <c r="B745" s="59"/>
      <c r="C745" s="59"/>
      <c r="D745" s="1173"/>
      <c r="E745" s="59"/>
      <c r="F745" s="1173"/>
      <c r="G745" s="1174"/>
      <c r="H745" s="59"/>
      <c r="I745" s="59"/>
      <c r="J745" s="1173"/>
      <c r="K745" s="59"/>
      <c r="L745" s="1173"/>
      <c r="M745" s="59"/>
      <c r="N745" s="59"/>
      <c r="O745" s="59"/>
      <c r="P745" s="59"/>
      <c r="Q745" s="59"/>
      <c r="R745" s="59"/>
      <c r="S745" s="59"/>
      <c r="T745" s="59"/>
      <c r="U745" s="59"/>
      <c r="V745" s="59"/>
      <c r="W745" s="59"/>
      <c r="X745" s="59"/>
      <c r="Y745" s="59"/>
      <c r="Z745" s="59"/>
      <c r="AA745" s="59"/>
      <c r="AB745" s="59"/>
      <c r="AC745" s="59"/>
    </row>
    <row r="746" spans="1:29" ht="12.75">
      <c r="A746" s="59"/>
      <c r="B746" s="59"/>
      <c r="C746" s="59"/>
      <c r="D746" s="1173"/>
      <c r="E746" s="59"/>
      <c r="F746" s="1173"/>
      <c r="G746" s="1174"/>
      <c r="H746" s="59"/>
      <c r="I746" s="59"/>
      <c r="J746" s="1173"/>
      <c r="K746" s="59"/>
      <c r="L746" s="1173"/>
      <c r="M746" s="59"/>
      <c r="N746" s="59"/>
      <c r="O746" s="59"/>
      <c r="P746" s="59"/>
      <c r="Q746" s="59"/>
      <c r="R746" s="59"/>
      <c r="S746" s="59"/>
      <c r="T746" s="59"/>
      <c r="U746" s="59"/>
      <c r="V746" s="59"/>
      <c r="W746" s="59"/>
      <c r="X746" s="59"/>
      <c r="Y746" s="59"/>
      <c r="Z746" s="59"/>
      <c r="AA746" s="59"/>
      <c r="AB746" s="59"/>
      <c r="AC746" s="59"/>
    </row>
    <row r="747" spans="1:29" ht="12.75">
      <c r="A747" s="59"/>
      <c r="B747" s="59"/>
      <c r="C747" s="59"/>
      <c r="D747" s="1173"/>
      <c r="E747" s="59"/>
      <c r="F747" s="1173"/>
      <c r="G747" s="1174"/>
      <c r="H747" s="59"/>
      <c r="I747" s="59"/>
      <c r="J747" s="1173"/>
      <c r="K747" s="59"/>
      <c r="L747" s="1173"/>
      <c r="M747" s="59"/>
      <c r="N747" s="59"/>
      <c r="O747" s="59"/>
      <c r="P747" s="59"/>
      <c r="Q747" s="59"/>
      <c r="R747" s="59"/>
      <c r="S747" s="59"/>
      <c r="T747" s="59"/>
      <c r="U747" s="59"/>
      <c r="V747" s="59"/>
      <c r="W747" s="59"/>
      <c r="X747" s="59"/>
      <c r="Y747" s="59"/>
      <c r="Z747" s="59"/>
      <c r="AA747" s="59"/>
      <c r="AB747" s="59"/>
      <c r="AC747" s="59"/>
    </row>
    <row r="748" spans="1:29" ht="12.75">
      <c r="A748" s="59"/>
      <c r="B748" s="59"/>
      <c r="C748" s="59"/>
      <c r="D748" s="1173"/>
      <c r="E748" s="59"/>
      <c r="F748" s="1173"/>
      <c r="G748" s="1174"/>
      <c r="H748" s="59"/>
      <c r="I748" s="59"/>
      <c r="J748" s="1173"/>
      <c r="K748" s="59"/>
      <c r="L748" s="1173"/>
      <c r="M748" s="59"/>
      <c r="N748" s="59"/>
      <c r="O748" s="59"/>
      <c r="P748" s="59"/>
      <c r="Q748" s="59"/>
      <c r="R748" s="59"/>
      <c r="S748" s="59"/>
      <c r="T748" s="59"/>
      <c r="U748" s="59"/>
      <c r="V748" s="59"/>
      <c r="W748" s="59"/>
      <c r="X748" s="59"/>
      <c r="Y748" s="59"/>
      <c r="Z748" s="59"/>
      <c r="AA748" s="59"/>
      <c r="AB748" s="59"/>
      <c r="AC748" s="59"/>
    </row>
    <row r="749" spans="1:29" ht="12.75">
      <c r="A749" s="59"/>
      <c r="B749" s="59"/>
      <c r="C749" s="59"/>
      <c r="D749" s="1173"/>
      <c r="E749" s="59"/>
      <c r="F749" s="1173"/>
      <c r="G749" s="1174"/>
      <c r="H749" s="59"/>
      <c r="I749" s="59"/>
      <c r="J749" s="1173"/>
      <c r="K749" s="59"/>
      <c r="L749" s="1173"/>
      <c r="M749" s="59"/>
      <c r="N749" s="59"/>
      <c r="O749" s="59"/>
      <c r="P749" s="59"/>
      <c r="Q749" s="59"/>
      <c r="R749" s="59"/>
      <c r="S749" s="59"/>
      <c r="T749" s="59"/>
      <c r="U749" s="59"/>
      <c r="V749" s="59"/>
      <c r="W749" s="59"/>
      <c r="X749" s="59"/>
      <c r="Y749" s="59"/>
      <c r="Z749" s="59"/>
      <c r="AA749" s="59"/>
      <c r="AB749" s="59"/>
      <c r="AC749" s="59"/>
    </row>
    <row r="750" spans="1:29" ht="12.75">
      <c r="A750" s="59"/>
      <c r="B750" s="59"/>
      <c r="C750" s="59"/>
      <c r="D750" s="1173"/>
      <c r="E750" s="59"/>
      <c r="F750" s="1173"/>
      <c r="G750" s="1174"/>
      <c r="H750" s="59"/>
      <c r="I750" s="59"/>
      <c r="J750" s="1173"/>
      <c r="K750" s="59"/>
      <c r="L750" s="1173"/>
      <c r="M750" s="59"/>
      <c r="N750" s="59"/>
      <c r="O750" s="59"/>
      <c r="P750" s="59"/>
      <c r="Q750" s="59"/>
      <c r="R750" s="59"/>
      <c r="S750" s="59"/>
      <c r="T750" s="59"/>
      <c r="U750" s="59"/>
      <c r="V750" s="59"/>
      <c r="W750" s="59"/>
      <c r="X750" s="59"/>
      <c r="Y750" s="59"/>
      <c r="Z750" s="59"/>
      <c r="AA750" s="59"/>
      <c r="AB750" s="59"/>
      <c r="AC750" s="59"/>
    </row>
    <row r="751" spans="1:29" ht="12.75">
      <c r="A751" s="59"/>
      <c r="B751" s="59"/>
      <c r="C751" s="59"/>
      <c r="D751" s="1173"/>
      <c r="E751" s="59"/>
      <c r="F751" s="1173"/>
      <c r="G751" s="1174"/>
      <c r="H751" s="59"/>
      <c r="I751" s="59"/>
      <c r="J751" s="1173"/>
      <c r="K751" s="59"/>
      <c r="L751" s="1173"/>
      <c r="M751" s="59"/>
      <c r="N751" s="59"/>
      <c r="O751" s="59"/>
      <c r="P751" s="59"/>
      <c r="Q751" s="59"/>
      <c r="R751" s="59"/>
      <c r="S751" s="59"/>
      <c r="T751" s="59"/>
      <c r="U751" s="59"/>
      <c r="V751" s="59"/>
      <c r="W751" s="59"/>
      <c r="X751" s="59"/>
      <c r="Y751" s="59"/>
      <c r="Z751" s="59"/>
      <c r="AA751" s="59"/>
      <c r="AB751" s="59"/>
      <c r="AC751" s="59"/>
    </row>
    <row r="752" spans="1:29" ht="12.75">
      <c r="A752" s="59"/>
      <c r="B752" s="59"/>
      <c r="C752" s="59"/>
      <c r="D752" s="1173"/>
      <c r="E752" s="59"/>
      <c r="F752" s="1173"/>
      <c r="G752" s="1174"/>
      <c r="H752" s="59"/>
      <c r="I752" s="59"/>
      <c r="J752" s="1173"/>
      <c r="K752" s="59"/>
      <c r="L752" s="1173"/>
      <c r="M752" s="59"/>
      <c r="N752" s="59"/>
      <c r="O752" s="59"/>
      <c r="P752" s="59"/>
      <c r="Q752" s="59"/>
      <c r="R752" s="59"/>
      <c r="S752" s="59"/>
      <c r="T752" s="59"/>
      <c r="U752" s="59"/>
      <c r="V752" s="59"/>
      <c r="W752" s="59"/>
      <c r="X752" s="59"/>
      <c r="Y752" s="59"/>
      <c r="Z752" s="59"/>
      <c r="AA752" s="59"/>
      <c r="AB752" s="59"/>
      <c r="AC752" s="59"/>
    </row>
    <row r="753" spans="1:29" ht="12.75">
      <c r="A753" s="59"/>
      <c r="B753" s="59"/>
      <c r="C753" s="59"/>
      <c r="D753" s="1173"/>
      <c r="E753" s="59"/>
      <c r="F753" s="1173"/>
      <c r="G753" s="1174"/>
      <c r="H753" s="59"/>
      <c r="I753" s="59"/>
      <c r="J753" s="1173"/>
      <c r="K753" s="59"/>
      <c r="L753" s="1173"/>
      <c r="M753" s="59"/>
      <c r="N753" s="59"/>
      <c r="O753" s="59"/>
      <c r="P753" s="59"/>
      <c r="Q753" s="59"/>
      <c r="R753" s="59"/>
      <c r="S753" s="59"/>
      <c r="T753" s="59"/>
      <c r="U753" s="59"/>
      <c r="V753" s="59"/>
      <c r="W753" s="59"/>
      <c r="X753" s="59"/>
      <c r="Y753" s="59"/>
      <c r="Z753" s="59"/>
      <c r="AA753" s="59"/>
      <c r="AB753" s="59"/>
      <c r="AC753" s="59"/>
    </row>
    <row r="754" spans="1:29" ht="12.75">
      <c r="A754" s="59"/>
      <c r="B754" s="59"/>
      <c r="C754" s="59"/>
      <c r="D754" s="1173"/>
      <c r="E754" s="59"/>
      <c r="F754" s="1173"/>
      <c r="G754" s="1174"/>
      <c r="H754" s="59"/>
      <c r="I754" s="59"/>
      <c r="J754" s="1173"/>
      <c r="K754" s="59"/>
      <c r="L754" s="1173"/>
      <c r="M754" s="59"/>
      <c r="N754" s="59"/>
      <c r="O754" s="59"/>
      <c r="P754" s="59"/>
      <c r="Q754" s="59"/>
      <c r="R754" s="59"/>
      <c r="S754" s="59"/>
      <c r="T754" s="59"/>
      <c r="U754" s="59"/>
      <c r="V754" s="59"/>
      <c r="W754" s="59"/>
      <c r="X754" s="59"/>
      <c r="Y754" s="59"/>
      <c r="Z754" s="59"/>
      <c r="AA754" s="59"/>
      <c r="AB754" s="59"/>
      <c r="AC754" s="59"/>
    </row>
    <row r="755" spans="1:29" ht="12.75">
      <c r="A755" s="59"/>
      <c r="B755" s="59"/>
      <c r="C755" s="59"/>
      <c r="D755" s="1173"/>
      <c r="E755" s="59"/>
      <c r="F755" s="1173"/>
      <c r="G755" s="1174"/>
      <c r="H755" s="59"/>
      <c r="I755" s="59"/>
      <c r="J755" s="1173"/>
      <c r="K755" s="59"/>
      <c r="L755" s="1173"/>
      <c r="M755" s="59"/>
      <c r="N755" s="59"/>
      <c r="O755" s="59"/>
      <c r="P755" s="59"/>
      <c r="Q755" s="59"/>
      <c r="R755" s="59"/>
      <c r="S755" s="59"/>
      <c r="T755" s="59"/>
      <c r="U755" s="59"/>
      <c r="V755" s="59"/>
      <c r="W755" s="59"/>
      <c r="X755" s="59"/>
      <c r="Y755" s="59"/>
      <c r="Z755" s="59"/>
      <c r="AA755" s="59"/>
      <c r="AB755" s="59"/>
      <c r="AC755" s="59"/>
    </row>
    <row r="756" spans="1:29" ht="12.75">
      <c r="A756" s="59"/>
      <c r="B756" s="59"/>
      <c r="C756" s="59"/>
      <c r="D756" s="1173"/>
      <c r="E756" s="59"/>
      <c r="F756" s="1173"/>
      <c r="G756" s="1174"/>
      <c r="H756" s="59"/>
      <c r="I756" s="59"/>
      <c r="J756" s="1173"/>
      <c r="K756" s="59"/>
      <c r="L756" s="1173"/>
      <c r="M756" s="59"/>
      <c r="N756" s="59"/>
      <c r="O756" s="59"/>
      <c r="P756" s="59"/>
      <c r="Q756" s="59"/>
      <c r="R756" s="59"/>
      <c r="S756" s="59"/>
      <c r="T756" s="59"/>
      <c r="U756" s="59"/>
      <c r="V756" s="59"/>
      <c r="W756" s="59"/>
      <c r="X756" s="59"/>
      <c r="Y756" s="59"/>
      <c r="Z756" s="59"/>
      <c r="AA756" s="59"/>
      <c r="AB756" s="59"/>
      <c r="AC756" s="59"/>
    </row>
    <row r="757" spans="1:29" ht="12.75">
      <c r="A757" s="59"/>
      <c r="B757" s="59"/>
      <c r="C757" s="59"/>
      <c r="D757" s="1173"/>
      <c r="E757" s="59"/>
      <c r="F757" s="1173"/>
      <c r="G757" s="1174"/>
      <c r="H757" s="59"/>
      <c r="I757" s="59"/>
      <c r="J757" s="1173"/>
      <c r="K757" s="59"/>
      <c r="L757" s="1173"/>
      <c r="M757" s="59"/>
      <c r="N757" s="59"/>
      <c r="O757" s="59"/>
      <c r="P757" s="59"/>
      <c r="Q757" s="59"/>
      <c r="R757" s="59"/>
      <c r="S757" s="59"/>
      <c r="T757" s="59"/>
      <c r="U757" s="59"/>
      <c r="V757" s="59"/>
      <c r="W757" s="59"/>
      <c r="X757" s="59"/>
      <c r="Y757" s="59"/>
      <c r="Z757" s="59"/>
      <c r="AA757" s="59"/>
      <c r="AB757" s="59"/>
      <c r="AC757" s="59"/>
    </row>
    <row r="758" spans="1:29" ht="12.75">
      <c r="A758" s="59"/>
      <c r="B758" s="59"/>
      <c r="C758" s="59"/>
      <c r="D758" s="1173"/>
      <c r="E758" s="59"/>
      <c r="F758" s="1173"/>
      <c r="G758" s="1174"/>
      <c r="H758" s="59"/>
      <c r="I758" s="59"/>
      <c r="J758" s="1173"/>
      <c r="K758" s="59"/>
      <c r="L758" s="1173"/>
      <c r="M758" s="59"/>
      <c r="N758" s="59"/>
      <c r="O758" s="59"/>
      <c r="P758" s="59"/>
      <c r="Q758" s="59"/>
      <c r="R758" s="59"/>
      <c r="S758" s="59"/>
      <c r="T758" s="59"/>
      <c r="U758" s="59"/>
      <c r="V758" s="59"/>
      <c r="W758" s="59"/>
      <c r="X758" s="59"/>
      <c r="Y758" s="59"/>
      <c r="Z758" s="59"/>
      <c r="AA758" s="59"/>
      <c r="AB758" s="59"/>
      <c r="AC758" s="59"/>
    </row>
    <row r="759" spans="1:29" ht="12.75">
      <c r="A759" s="59"/>
      <c r="B759" s="59"/>
      <c r="C759" s="59"/>
      <c r="D759" s="1173"/>
      <c r="E759" s="59"/>
      <c r="F759" s="1173"/>
      <c r="G759" s="1174"/>
      <c r="H759" s="59"/>
      <c r="I759" s="59"/>
      <c r="J759" s="1173"/>
      <c r="K759" s="59"/>
      <c r="L759" s="1173"/>
      <c r="M759" s="59"/>
      <c r="N759" s="59"/>
      <c r="O759" s="59"/>
      <c r="P759" s="59"/>
      <c r="Q759" s="59"/>
      <c r="R759" s="59"/>
      <c r="S759" s="59"/>
      <c r="T759" s="59"/>
      <c r="U759" s="59"/>
      <c r="V759" s="59"/>
      <c r="W759" s="59"/>
      <c r="X759" s="59"/>
      <c r="Y759" s="59"/>
      <c r="Z759" s="59"/>
      <c r="AA759" s="59"/>
      <c r="AB759" s="59"/>
      <c r="AC759" s="59"/>
    </row>
    <row r="760" spans="1:29" ht="12.75">
      <c r="A760" s="59"/>
      <c r="B760" s="59"/>
      <c r="C760" s="59"/>
      <c r="D760" s="1173"/>
      <c r="E760" s="59"/>
      <c r="F760" s="1173"/>
      <c r="G760" s="1174"/>
      <c r="H760" s="59"/>
      <c r="I760" s="59"/>
      <c r="J760" s="1173"/>
      <c r="K760" s="59"/>
      <c r="L760" s="1173"/>
      <c r="M760" s="59"/>
      <c r="N760" s="59"/>
      <c r="O760" s="59"/>
      <c r="P760" s="59"/>
      <c r="Q760" s="59"/>
      <c r="R760" s="59"/>
      <c r="S760" s="59"/>
      <c r="T760" s="59"/>
      <c r="U760" s="59"/>
      <c r="V760" s="59"/>
      <c r="W760" s="59"/>
      <c r="X760" s="59"/>
      <c r="Y760" s="59"/>
      <c r="Z760" s="59"/>
      <c r="AA760" s="59"/>
      <c r="AB760" s="59"/>
      <c r="AC760" s="59"/>
    </row>
    <row r="761" spans="1:29" ht="12.75">
      <c r="A761" s="59"/>
      <c r="B761" s="59"/>
      <c r="C761" s="59"/>
      <c r="D761" s="1173"/>
      <c r="E761" s="59"/>
      <c r="F761" s="1173"/>
      <c r="G761" s="1174"/>
      <c r="H761" s="59"/>
      <c r="I761" s="59"/>
      <c r="J761" s="1173"/>
      <c r="K761" s="59"/>
      <c r="L761" s="1173"/>
      <c r="M761" s="59"/>
      <c r="N761" s="59"/>
      <c r="O761" s="59"/>
      <c r="P761" s="59"/>
      <c r="Q761" s="59"/>
      <c r="R761" s="59"/>
      <c r="S761" s="59"/>
      <c r="T761" s="59"/>
      <c r="U761" s="59"/>
      <c r="V761" s="59"/>
      <c r="W761" s="59"/>
      <c r="X761" s="59"/>
      <c r="Y761" s="59"/>
      <c r="Z761" s="59"/>
      <c r="AA761" s="59"/>
      <c r="AB761" s="59"/>
      <c r="AC761" s="59"/>
    </row>
    <row r="762" spans="1:29" ht="12.75">
      <c r="A762" s="59"/>
      <c r="B762" s="59"/>
      <c r="C762" s="59"/>
      <c r="D762" s="1173"/>
      <c r="E762" s="59"/>
      <c r="F762" s="1173"/>
      <c r="G762" s="1174"/>
      <c r="H762" s="59"/>
      <c r="I762" s="59"/>
      <c r="J762" s="1173"/>
      <c r="K762" s="59"/>
      <c r="L762" s="1173"/>
      <c r="M762" s="59"/>
      <c r="N762" s="59"/>
      <c r="O762" s="59"/>
      <c r="P762" s="59"/>
      <c r="Q762" s="59"/>
      <c r="R762" s="59"/>
      <c r="S762" s="59"/>
      <c r="T762" s="59"/>
      <c r="U762" s="59"/>
      <c r="V762" s="59"/>
      <c r="W762" s="59"/>
      <c r="X762" s="59"/>
      <c r="Y762" s="59"/>
      <c r="Z762" s="59"/>
      <c r="AA762" s="59"/>
      <c r="AB762" s="59"/>
      <c r="AC762" s="59"/>
    </row>
    <row r="763" spans="1:29" ht="12.75">
      <c r="A763" s="59"/>
      <c r="B763" s="59"/>
      <c r="C763" s="59"/>
      <c r="D763" s="1173"/>
      <c r="E763" s="59"/>
      <c r="F763" s="1173"/>
      <c r="G763" s="1174"/>
      <c r="H763" s="59"/>
      <c r="I763" s="59"/>
      <c r="J763" s="1173"/>
      <c r="K763" s="59"/>
      <c r="L763" s="1173"/>
      <c r="M763" s="59"/>
      <c r="N763" s="59"/>
      <c r="O763" s="59"/>
      <c r="P763" s="59"/>
      <c r="Q763" s="59"/>
      <c r="R763" s="59"/>
      <c r="S763" s="59"/>
      <c r="T763" s="59"/>
      <c r="U763" s="59"/>
      <c r="V763" s="59"/>
      <c r="W763" s="59"/>
      <c r="X763" s="59"/>
      <c r="Y763" s="59"/>
      <c r="Z763" s="59"/>
      <c r="AA763" s="59"/>
      <c r="AB763" s="59"/>
      <c r="AC763" s="59"/>
    </row>
    <row r="764" spans="1:29" ht="12.75">
      <c r="A764" s="59"/>
      <c r="B764" s="59"/>
      <c r="C764" s="59"/>
      <c r="D764" s="1173"/>
      <c r="E764" s="59"/>
      <c r="F764" s="1173"/>
      <c r="G764" s="1174"/>
      <c r="H764" s="59"/>
      <c r="I764" s="59"/>
      <c r="J764" s="1173"/>
      <c r="K764" s="59"/>
      <c r="L764" s="1173"/>
      <c r="M764" s="59"/>
      <c r="N764" s="59"/>
      <c r="O764" s="59"/>
      <c r="P764" s="59"/>
      <c r="Q764" s="59"/>
      <c r="R764" s="59"/>
      <c r="S764" s="59"/>
      <c r="T764" s="59"/>
      <c r="U764" s="59"/>
      <c r="V764" s="59"/>
      <c r="W764" s="59"/>
      <c r="X764" s="59"/>
      <c r="Y764" s="59"/>
      <c r="Z764" s="59"/>
      <c r="AA764" s="59"/>
      <c r="AB764" s="59"/>
      <c r="AC764" s="59"/>
    </row>
    <row r="765" spans="1:29" ht="12.75">
      <c r="A765" s="59"/>
      <c r="B765" s="59"/>
      <c r="C765" s="59"/>
      <c r="D765" s="1173"/>
      <c r="E765" s="59"/>
      <c r="F765" s="1173"/>
      <c r="G765" s="1174"/>
      <c r="H765" s="59"/>
      <c r="I765" s="59"/>
      <c r="J765" s="1173"/>
      <c r="K765" s="59"/>
      <c r="L765" s="1173"/>
      <c r="M765" s="59"/>
      <c r="N765" s="59"/>
      <c r="O765" s="59"/>
      <c r="P765" s="59"/>
      <c r="Q765" s="59"/>
      <c r="R765" s="59"/>
      <c r="S765" s="59"/>
      <c r="T765" s="59"/>
      <c r="U765" s="59"/>
      <c r="V765" s="59"/>
      <c r="W765" s="59"/>
      <c r="X765" s="59"/>
      <c r="Y765" s="59"/>
      <c r="Z765" s="59"/>
      <c r="AA765" s="59"/>
      <c r="AB765" s="59"/>
      <c r="AC765" s="59"/>
    </row>
    <row r="766" spans="1:29" ht="12.75">
      <c r="A766" s="59"/>
      <c r="B766" s="59"/>
      <c r="C766" s="59"/>
      <c r="D766" s="1173"/>
      <c r="E766" s="59"/>
      <c r="F766" s="1173"/>
      <c r="G766" s="1174"/>
      <c r="H766" s="59"/>
      <c r="I766" s="59"/>
      <c r="J766" s="1173"/>
      <c r="K766" s="59"/>
      <c r="L766" s="1173"/>
      <c r="M766" s="59"/>
      <c r="N766" s="59"/>
      <c r="O766" s="59"/>
      <c r="P766" s="59"/>
      <c r="Q766" s="59"/>
      <c r="R766" s="59"/>
      <c r="S766" s="59"/>
      <c r="T766" s="59"/>
      <c r="U766" s="59"/>
      <c r="V766" s="59"/>
      <c r="W766" s="59"/>
      <c r="X766" s="59"/>
      <c r="Y766" s="59"/>
      <c r="Z766" s="59"/>
      <c r="AA766" s="59"/>
      <c r="AB766" s="59"/>
      <c r="AC766" s="59"/>
    </row>
    <row r="767" spans="1:29" ht="12.75">
      <c r="A767" s="59"/>
      <c r="B767" s="59"/>
      <c r="C767" s="59"/>
      <c r="D767" s="1173"/>
      <c r="E767" s="59"/>
      <c r="F767" s="1173"/>
      <c r="G767" s="1174"/>
      <c r="H767" s="59"/>
      <c r="I767" s="59"/>
      <c r="J767" s="1173"/>
      <c r="K767" s="59"/>
      <c r="L767" s="1173"/>
      <c r="M767" s="59"/>
      <c r="N767" s="59"/>
      <c r="O767" s="59"/>
      <c r="P767" s="59"/>
      <c r="Q767" s="59"/>
      <c r="R767" s="59"/>
      <c r="S767" s="59"/>
      <c r="T767" s="59"/>
      <c r="U767" s="59"/>
      <c r="V767" s="59"/>
      <c r="W767" s="59"/>
      <c r="X767" s="59"/>
      <c r="Y767" s="59"/>
      <c r="Z767" s="59"/>
      <c r="AA767" s="59"/>
      <c r="AB767" s="59"/>
      <c r="AC767" s="59"/>
    </row>
    <row r="768" spans="1:29" ht="12.75">
      <c r="A768" s="59"/>
      <c r="B768" s="59"/>
      <c r="C768" s="59"/>
      <c r="D768" s="1173"/>
      <c r="E768" s="59"/>
      <c r="F768" s="1173"/>
      <c r="G768" s="1174"/>
      <c r="H768" s="59"/>
      <c r="I768" s="59"/>
      <c r="J768" s="1173"/>
      <c r="K768" s="59"/>
      <c r="L768" s="1173"/>
      <c r="M768" s="59"/>
      <c r="N768" s="59"/>
      <c r="O768" s="59"/>
      <c r="P768" s="59"/>
      <c r="Q768" s="59"/>
      <c r="R768" s="59"/>
      <c r="S768" s="59"/>
      <c r="T768" s="59"/>
      <c r="U768" s="59"/>
      <c r="V768" s="59"/>
      <c r="W768" s="59"/>
      <c r="X768" s="59"/>
      <c r="Y768" s="59"/>
      <c r="Z768" s="59"/>
      <c r="AA768" s="59"/>
      <c r="AB768" s="59"/>
      <c r="AC768" s="59"/>
    </row>
    <row r="769" spans="1:29" ht="12.75">
      <c r="A769" s="59"/>
      <c r="B769" s="59"/>
      <c r="C769" s="59"/>
      <c r="D769" s="1173"/>
      <c r="E769" s="59"/>
      <c r="F769" s="1173"/>
      <c r="G769" s="1174"/>
      <c r="H769" s="59"/>
      <c r="I769" s="59"/>
      <c r="J769" s="1173"/>
      <c r="K769" s="59"/>
      <c r="L769" s="1173"/>
      <c r="M769" s="59"/>
      <c r="N769" s="59"/>
      <c r="O769" s="59"/>
      <c r="P769" s="59"/>
      <c r="Q769" s="59"/>
      <c r="R769" s="59"/>
      <c r="S769" s="59"/>
      <c r="T769" s="59"/>
      <c r="U769" s="59"/>
      <c r="V769" s="59"/>
      <c r="W769" s="59"/>
      <c r="X769" s="59"/>
      <c r="Y769" s="59"/>
      <c r="Z769" s="59"/>
      <c r="AA769" s="59"/>
      <c r="AB769" s="59"/>
      <c r="AC769" s="59"/>
    </row>
    <row r="770" spans="1:29" ht="12.75">
      <c r="A770" s="59"/>
      <c r="B770" s="59"/>
      <c r="C770" s="59"/>
      <c r="D770" s="1173"/>
      <c r="E770" s="59"/>
      <c r="F770" s="1173"/>
      <c r="G770" s="1174"/>
      <c r="H770" s="59"/>
      <c r="I770" s="59"/>
      <c r="J770" s="1173"/>
      <c r="K770" s="59"/>
      <c r="L770" s="1173"/>
      <c r="M770" s="59"/>
      <c r="N770" s="59"/>
      <c r="O770" s="59"/>
      <c r="P770" s="59"/>
      <c r="Q770" s="59"/>
      <c r="R770" s="59"/>
      <c r="S770" s="59"/>
      <c r="T770" s="59"/>
      <c r="U770" s="59"/>
      <c r="V770" s="59"/>
      <c r="W770" s="59"/>
      <c r="X770" s="59"/>
      <c r="Y770" s="59"/>
      <c r="Z770" s="59"/>
      <c r="AA770" s="59"/>
      <c r="AB770" s="59"/>
      <c r="AC770" s="59"/>
    </row>
    <row r="771" spans="1:29" ht="12.75">
      <c r="A771" s="59"/>
      <c r="B771" s="59"/>
      <c r="C771" s="59"/>
      <c r="D771" s="1173"/>
      <c r="E771" s="59"/>
      <c r="F771" s="1173"/>
      <c r="G771" s="1174"/>
      <c r="H771" s="59"/>
      <c r="I771" s="59"/>
      <c r="J771" s="1173"/>
      <c r="K771" s="59"/>
      <c r="L771" s="1173"/>
      <c r="M771" s="59"/>
      <c r="N771" s="59"/>
      <c r="O771" s="59"/>
      <c r="P771" s="59"/>
      <c r="Q771" s="59"/>
      <c r="R771" s="59"/>
      <c r="S771" s="59"/>
      <c r="T771" s="59"/>
      <c r="U771" s="59"/>
      <c r="V771" s="59"/>
      <c r="W771" s="59"/>
      <c r="X771" s="59"/>
      <c r="Y771" s="59"/>
      <c r="Z771" s="59"/>
      <c r="AA771" s="59"/>
      <c r="AB771" s="59"/>
      <c r="AC771" s="59"/>
    </row>
    <row r="772" spans="1:29" ht="12.75">
      <c r="A772" s="59"/>
      <c r="B772" s="59"/>
      <c r="C772" s="59"/>
      <c r="D772" s="1173"/>
      <c r="E772" s="59"/>
      <c r="F772" s="1173"/>
      <c r="G772" s="1174"/>
      <c r="H772" s="59"/>
      <c r="I772" s="59"/>
      <c r="J772" s="1173"/>
      <c r="K772" s="59"/>
      <c r="L772" s="1173"/>
      <c r="M772" s="59"/>
      <c r="N772" s="59"/>
      <c r="O772" s="59"/>
      <c r="P772" s="59"/>
      <c r="Q772" s="59"/>
      <c r="R772" s="59"/>
      <c r="S772" s="59"/>
      <c r="T772" s="59"/>
      <c r="U772" s="59"/>
      <c r="V772" s="59"/>
      <c r="W772" s="59"/>
      <c r="X772" s="59"/>
      <c r="Y772" s="59"/>
      <c r="Z772" s="59"/>
      <c r="AA772" s="59"/>
      <c r="AB772" s="59"/>
      <c r="AC772" s="59"/>
    </row>
    <row r="773" spans="1:29" ht="12.75">
      <c r="A773" s="59"/>
      <c r="B773" s="59"/>
      <c r="C773" s="59"/>
      <c r="D773" s="1173"/>
      <c r="E773" s="59"/>
      <c r="F773" s="1173"/>
      <c r="G773" s="1174"/>
      <c r="H773" s="59"/>
      <c r="I773" s="59"/>
      <c r="J773" s="1173"/>
      <c r="K773" s="59"/>
      <c r="L773" s="1173"/>
      <c r="M773" s="59"/>
      <c r="N773" s="59"/>
      <c r="O773" s="59"/>
      <c r="P773" s="59"/>
      <c r="Q773" s="59"/>
      <c r="R773" s="59"/>
      <c r="S773" s="59"/>
      <c r="T773" s="59"/>
      <c r="U773" s="59"/>
      <c r="V773" s="59"/>
      <c r="W773" s="59"/>
      <c r="X773" s="59"/>
      <c r="Y773" s="59"/>
      <c r="Z773" s="59"/>
      <c r="AA773" s="59"/>
      <c r="AB773" s="59"/>
      <c r="AC773" s="59"/>
    </row>
    <row r="774" spans="1:29" ht="12.75">
      <c r="A774" s="59"/>
      <c r="B774" s="59"/>
      <c r="C774" s="59"/>
      <c r="D774" s="1173"/>
      <c r="E774" s="59"/>
      <c r="F774" s="1173"/>
      <c r="G774" s="1174"/>
      <c r="H774" s="59"/>
      <c r="I774" s="59"/>
      <c r="J774" s="1173"/>
      <c r="K774" s="59"/>
      <c r="L774" s="1173"/>
      <c r="M774" s="59"/>
      <c r="N774" s="59"/>
      <c r="O774" s="59"/>
      <c r="P774" s="59"/>
      <c r="Q774" s="59"/>
      <c r="R774" s="59"/>
      <c r="S774" s="59"/>
      <c r="T774" s="59"/>
      <c r="U774" s="59"/>
      <c r="V774" s="59"/>
      <c r="W774" s="59"/>
      <c r="X774" s="59"/>
      <c r="Y774" s="59"/>
      <c r="Z774" s="59"/>
      <c r="AA774" s="59"/>
      <c r="AB774" s="59"/>
      <c r="AC774" s="59"/>
    </row>
    <row r="775" spans="1:29" ht="12.75">
      <c r="A775" s="59"/>
      <c r="B775" s="59"/>
      <c r="C775" s="59"/>
      <c r="D775" s="1173"/>
      <c r="E775" s="59"/>
      <c r="F775" s="1173"/>
      <c r="G775" s="1174"/>
      <c r="H775" s="59"/>
      <c r="I775" s="59"/>
      <c r="J775" s="1173"/>
      <c r="K775" s="59"/>
      <c r="L775" s="1173"/>
      <c r="M775" s="59"/>
      <c r="N775" s="59"/>
      <c r="O775" s="59"/>
      <c r="P775" s="59"/>
      <c r="Q775" s="59"/>
      <c r="R775" s="59"/>
      <c r="S775" s="59"/>
      <c r="T775" s="59"/>
      <c r="U775" s="59"/>
      <c r="V775" s="59"/>
      <c r="W775" s="59"/>
      <c r="X775" s="59"/>
      <c r="Y775" s="59"/>
      <c r="Z775" s="59"/>
      <c r="AA775" s="59"/>
      <c r="AB775" s="59"/>
      <c r="AC775" s="59"/>
    </row>
    <row r="776" spans="1:29" ht="12.75">
      <c r="A776" s="59"/>
      <c r="B776" s="59"/>
      <c r="C776" s="59"/>
      <c r="D776" s="1173"/>
      <c r="E776" s="59"/>
      <c r="F776" s="1173"/>
      <c r="G776" s="1174"/>
      <c r="H776" s="59"/>
      <c r="I776" s="59"/>
      <c r="J776" s="1173"/>
      <c r="K776" s="59"/>
      <c r="L776" s="1173"/>
      <c r="M776" s="59"/>
      <c r="N776" s="59"/>
      <c r="O776" s="59"/>
      <c r="P776" s="59"/>
      <c r="Q776" s="59"/>
      <c r="R776" s="59"/>
      <c r="S776" s="59"/>
      <c r="T776" s="59"/>
      <c r="U776" s="59"/>
      <c r="V776" s="59"/>
      <c r="W776" s="59"/>
      <c r="X776" s="59"/>
      <c r="Y776" s="59"/>
      <c r="Z776" s="59"/>
      <c r="AA776" s="59"/>
      <c r="AB776" s="59"/>
      <c r="AC776" s="59"/>
    </row>
    <row r="777" spans="1:29" ht="12.75">
      <c r="A777" s="59"/>
      <c r="B777" s="59"/>
      <c r="C777" s="59"/>
      <c r="D777" s="1173"/>
      <c r="E777" s="59"/>
      <c r="F777" s="1173"/>
      <c r="G777" s="1174"/>
      <c r="H777" s="59"/>
      <c r="I777" s="59"/>
      <c r="J777" s="1173"/>
      <c r="K777" s="59"/>
      <c r="L777" s="1173"/>
      <c r="M777" s="59"/>
      <c r="N777" s="59"/>
      <c r="O777" s="59"/>
      <c r="P777" s="59"/>
      <c r="Q777" s="59"/>
      <c r="R777" s="59"/>
      <c r="S777" s="59"/>
      <c r="T777" s="59"/>
      <c r="U777" s="59"/>
      <c r="V777" s="59"/>
      <c r="W777" s="59"/>
      <c r="X777" s="59"/>
      <c r="Y777" s="59"/>
      <c r="Z777" s="59"/>
      <c r="AA777" s="59"/>
      <c r="AB777" s="59"/>
      <c r="AC777" s="59"/>
    </row>
    <row r="778" spans="1:29" ht="12.75">
      <c r="A778" s="59"/>
      <c r="B778" s="59"/>
      <c r="C778" s="59"/>
      <c r="D778" s="1173"/>
      <c r="E778" s="59"/>
      <c r="F778" s="1173"/>
      <c r="G778" s="1174"/>
      <c r="H778" s="59"/>
      <c r="I778" s="59"/>
      <c r="J778" s="1173"/>
      <c r="K778" s="59"/>
      <c r="L778" s="1173"/>
      <c r="M778" s="59"/>
      <c r="N778" s="59"/>
      <c r="O778" s="59"/>
      <c r="P778" s="59"/>
      <c r="Q778" s="59"/>
      <c r="R778" s="59"/>
      <c r="S778" s="59"/>
      <c r="T778" s="59"/>
      <c r="U778" s="59"/>
      <c r="V778" s="59"/>
      <c r="W778" s="59"/>
      <c r="X778" s="59"/>
      <c r="Y778" s="59"/>
      <c r="Z778" s="59"/>
      <c r="AA778" s="59"/>
      <c r="AB778" s="59"/>
      <c r="AC778" s="59"/>
    </row>
    <row r="779" spans="1:29" ht="12.75">
      <c r="A779" s="59"/>
      <c r="B779" s="59"/>
      <c r="C779" s="59"/>
      <c r="D779" s="1173"/>
      <c r="E779" s="59"/>
      <c r="F779" s="1173"/>
      <c r="G779" s="1174"/>
      <c r="H779" s="59"/>
      <c r="I779" s="59"/>
      <c r="J779" s="1173"/>
      <c r="K779" s="59"/>
      <c r="L779" s="1173"/>
      <c r="M779" s="59"/>
      <c r="N779" s="59"/>
      <c r="O779" s="59"/>
      <c r="P779" s="59"/>
      <c r="Q779" s="59"/>
      <c r="R779" s="59"/>
      <c r="S779" s="59"/>
      <c r="T779" s="59"/>
      <c r="U779" s="59"/>
      <c r="V779" s="59"/>
      <c r="W779" s="59"/>
      <c r="X779" s="59"/>
      <c r="Y779" s="59"/>
      <c r="Z779" s="59"/>
      <c r="AA779" s="59"/>
      <c r="AB779" s="59"/>
      <c r="AC779" s="59"/>
    </row>
    <row r="780" spans="1:29" ht="12.75">
      <c r="A780" s="59"/>
      <c r="B780" s="59"/>
      <c r="C780" s="59"/>
      <c r="D780" s="1173"/>
      <c r="E780" s="59"/>
      <c r="F780" s="1173"/>
      <c r="G780" s="1174"/>
      <c r="H780" s="59"/>
      <c r="I780" s="59"/>
      <c r="J780" s="1173"/>
      <c r="K780" s="59"/>
      <c r="L780" s="1173"/>
      <c r="M780" s="59"/>
      <c r="N780" s="59"/>
      <c r="O780" s="59"/>
      <c r="P780" s="59"/>
      <c r="Q780" s="59"/>
      <c r="R780" s="59"/>
      <c r="S780" s="59"/>
      <c r="T780" s="59"/>
      <c r="U780" s="59"/>
      <c r="V780" s="59"/>
      <c r="W780" s="59"/>
      <c r="X780" s="59"/>
      <c r="Y780" s="59"/>
      <c r="Z780" s="59"/>
      <c r="AA780" s="59"/>
      <c r="AB780" s="59"/>
      <c r="AC780" s="59"/>
    </row>
    <row r="781" spans="1:29" ht="12.75">
      <c r="A781" s="59"/>
      <c r="B781" s="59"/>
      <c r="C781" s="59"/>
      <c r="D781" s="1173"/>
      <c r="E781" s="59"/>
      <c r="F781" s="1173"/>
      <c r="G781" s="1174"/>
      <c r="H781" s="59"/>
      <c r="I781" s="59"/>
      <c r="J781" s="1173"/>
      <c r="K781" s="59"/>
      <c r="L781" s="1173"/>
      <c r="M781" s="59"/>
      <c r="N781" s="59"/>
      <c r="O781" s="59"/>
      <c r="P781" s="59"/>
      <c r="Q781" s="59"/>
      <c r="R781" s="59"/>
      <c r="S781" s="59"/>
      <c r="T781" s="59"/>
      <c r="U781" s="59"/>
      <c r="V781" s="59"/>
      <c r="W781" s="59"/>
      <c r="X781" s="59"/>
      <c r="Y781" s="59"/>
      <c r="Z781" s="59"/>
      <c r="AA781" s="59"/>
      <c r="AB781" s="59"/>
      <c r="AC781" s="59"/>
    </row>
    <row r="782" spans="1:29" ht="12.75">
      <c r="A782" s="59"/>
      <c r="B782" s="59"/>
      <c r="C782" s="59"/>
      <c r="D782" s="1173"/>
      <c r="E782" s="59"/>
      <c r="F782" s="1173"/>
      <c r="G782" s="1174"/>
      <c r="H782" s="59"/>
      <c r="I782" s="59"/>
      <c r="J782" s="1173"/>
      <c r="K782" s="59"/>
      <c r="L782" s="1173"/>
      <c r="M782" s="59"/>
      <c r="N782" s="59"/>
      <c r="O782" s="59"/>
      <c r="P782" s="59"/>
      <c r="Q782" s="59"/>
      <c r="R782" s="59"/>
      <c r="S782" s="59"/>
      <c r="T782" s="59"/>
      <c r="U782" s="59"/>
      <c r="V782" s="59"/>
      <c r="W782" s="59"/>
      <c r="X782" s="59"/>
      <c r="Y782" s="59"/>
      <c r="Z782" s="59"/>
      <c r="AA782" s="59"/>
      <c r="AB782" s="59"/>
      <c r="AC782" s="59"/>
    </row>
    <row r="783" spans="1:29" ht="12.75">
      <c r="A783" s="59"/>
      <c r="B783" s="59"/>
      <c r="C783" s="59"/>
      <c r="D783" s="1173"/>
      <c r="E783" s="59"/>
      <c r="F783" s="1173"/>
      <c r="G783" s="1174"/>
      <c r="H783" s="59"/>
      <c r="I783" s="59"/>
      <c r="J783" s="1173"/>
      <c r="K783" s="59"/>
      <c r="L783" s="1173"/>
      <c r="M783" s="59"/>
      <c r="N783" s="59"/>
      <c r="O783" s="59"/>
      <c r="P783" s="59"/>
      <c r="Q783" s="59"/>
      <c r="R783" s="59"/>
      <c r="S783" s="59"/>
      <c r="T783" s="59"/>
      <c r="U783" s="59"/>
      <c r="V783" s="59"/>
      <c r="W783" s="59"/>
      <c r="X783" s="59"/>
      <c r="Y783" s="59"/>
      <c r="Z783" s="59"/>
      <c r="AA783" s="59"/>
      <c r="AB783" s="59"/>
      <c r="AC783" s="59"/>
    </row>
    <row r="784" spans="1:29" ht="12.75">
      <c r="A784" s="59"/>
      <c r="B784" s="59"/>
      <c r="C784" s="59"/>
      <c r="D784" s="1173"/>
      <c r="E784" s="59"/>
      <c r="F784" s="1173"/>
      <c r="G784" s="1174"/>
      <c r="H784" s="59"/>
      <c r="I784" s="59"/>
      <c r="J784" s="1173"/>
      <c r="K784" s="59"/>
      <c r="L784" s="1173"/>
      <c r="M784" s="59"/>
      <c r="N784" s="59"/>
      <c r="O784" s="59"/>
      <c r="P784" s="59"/>
      <c r="Q784" s="59"/>
      <c r="R784" s="59"/>
      <c r="S784" s="59"/>
      <c r="T784" s="59"/>
      <c r="U784" s="59"/>
      <c r="V784" s="59"/>
      <c r="W784" s="59"/>
      <c r="X784" s="59"/>
      <c r="Y784" s="59"/>
      <c r="Z784" s="59"/>
      <c r="AA784" s="59"/>
      <c r="AB784" s="59"/>
      <c r="AC784" s="59"/>
    </row>
    <row r="785" spans="1:29" ht="12.75">
      <c r="A785" s="59"/>
      <c r="B785" s="59"/>
      <c r="C785" s="59"/>
      <c r="D785" s="1173"/>
      <c r="E785" s="59"/>
      <c r="F785" s="1173"/>
      <c r="G785" s="1174"/>
      <c r="H785" s="59"/>
      <c r="I785" s="59"/>
      <c r="J785" s="1173"/>
      <c r="K785" s="59"/>
      <c r="L785" s="1173"/>
      <c r="M785" s="59"/>
      <c r="N785" s="59"/>
      <c r="O785" s="59"/>
      <c r="P785" s="59"/>
      <c r="Q785" s="59"/>
      <c r="R785" s="59"/>
      <c r="S785" s="59"/>
      <c r="T785" s="59"/>
      <c r="U785" s="59"/>
      <c r="V785" s="59"/>
      <c r="W785" s="59"/>
      <c r="X785" s="59"/>
      <c r="Y785" s="59"/>
      <c r="Z785" s="59"/>
      <c r="AA785" s="59"/>
      <c r="AB785" s="59"/>
      <c r="AC785" s="59"/>
    </row>
    <row r="786" spans="1:29" ht="12.75">
      <c r="A786" s="59"/>
      <c r="B786" s="59"/>
      <c r="C786" s="59"/>
      <c r="D786" s="1173"/>
      <c r="E786" s="59"/>
      <c r="F786" s="1173"/>
      <c r="G786" s="1174"/>
      <c r="H786" s="59"/>
      <c r="I786" s="59"/>
      <c r="J786" s="1173"/>
      <c r="K786" s="59"/>
      <c r="L786" s="1173"/>
      <c r="M786" s="59"/>
      <c r="N786" s="59"/>
      <c r="O786" s="59"/>
      <c r="P786" s="59"/>
      <c r="Q786" s="59"/>
      <c r="R786" s="59"/>
      <c r="S786" s="59"/>
      <c r="T786" s="59"/>
      <c r="U786" s="59"/>
      <c r="V786" s="59"/>
      <c r="W786" s="59"/>
      <c r="X786" s="59"/>
      <c r="Y786" s="59"/>
      <c r="Z786" s="59"/>
      <c r="AA786" s="59"/>
      <c r="AB786" s="59"/>
      <c r="AC786" s="59"/>
    </row>
    <row r="787" spans="1:29" ht="12.75">
      <c r="A787" s="59"/>
      <c r="B787" s="59"/>
      <c r="C787" s="59"/>
      <c r="D787" s="1173"/>
      <c r="E787" s="59"/>
      <c r="F787" s="1173"/>
      <c r="G787" s="1174"/>
      <c r="H787" s="59"/>
      <c r="I787" s="59"/>
      <c r="J787" s="1173"/>
      <c r="K787" s="59"/>
      <c r="L787" s="1173"/>
      <c r="M787" s="59"/>
      <c r="N787" s="59"/>
      <c r="O787" s="59"/>
      <c r="P787" s="59"/>
      <c r="Q787" s="59"/>
      <c r="R787" s="59"/>
      <c r="S787" s="59"/>
      <c r="T787" s="59"/>
      <c r="U787" s="59"/>
      <c r="V787" s="59"/>
      <c r="W787" s="59"/>
      <c r="X787" s="59"/>
      <c r="Y787" s="59"/>
      <c r="Z787" s="59"/>
      <c r="AA787" s="59"/>
      <c r="AB787" s="59"/>
      <c r="AC787" s="59"/>
    </row>
    <row r="788" spans="1:29" ht="12.75">
      <c r="A788" s="59"/>
      <c r="B788" s="59"/>
      <c r="C788" s="59"/>
      <c r="D788" s="1173"/>
      <c r="E788" s="59"/>
      <c r="F788" s="1173"/>
      <c r="G788" s="1174"/>
      <c r="H788" s="59"/>
      <c r="I788" s="59"/>
      <c r="J788" s="1173"/>
      <c r="K788" s="59"/>
      <c r="L788" s="1173"/>
      <c r="M788" s="59"/>
      <c r="N788" s="59"/>
      <c r="O788" s="59"/>
      <c r="P788" s="59"/>
      <c r="Q788" s="59"/>
      <c r="R788" s="59"/>
      <c r="S788" s="59"/>
      <c r="T788" s="59"/>
      <c r="U788" s="59"/>
      <c r="V788" s="59"/>
      <c r="W788" s="59"/>
      <c r="X788" s="59"/>
      <c r="Y788" s="59"/>
      <c r="Z788" s="59"/>
      <c r="AA788" s="59"/>
      <c r="AB788" s="59"/>
      <c r="AC788" s="59"/>
    </row>
    <row r="789" spans="1:29" ht="12.75">
      <c r="A789" s="59"/>
      <c r="B789" s="59"/>
      <c r="C789" s="59"/>
      <c r="D789" s="1173"/>
      <c r="E789" s="59"/>
      <c r="F789" s="1173"/>
      <c r="G789" s="1174"/>
      <c r="H789" s="59"/>
      <c r="I789" s="59"/>
      <c r="J789" s="1173"/>
      <c r="K789" s="59"/>
      <c r="L789" s="1173"/>
      <c r="M789" s="59"/>
      <c r="N789" s="59"/>
      <c r="O789" s="59"/>
      <c r="P789" s="59"/>
      <c r="Q789" s="59"/>
      <c r="R789" s="59"/>
      <c r="S789" s="59"/>
      <c r="T789" s="59"/>
      <c r="U789" s="59"/>
      <c r="V789" s="59"/>
      <c r="W789" s="59"/>
      <c r="X789" s="59"/>
      <c r="Y789" s="59"/>
      <c r="Z789" s="59"/>
      <c r="AA789" s="59"/>
      <c r="AB789" s="59"/>
      <c r="AC789" s="59"/>
    </row>
    <row r="790" spans="1:29" ht="12.75">
      <c r="A790" s="59"/>
      <c r="B790" s="59"/>
      <c r="C790" s="59"/>
      <c r="D790" s="1173"/>
      <c r="E790" s="59"/>
      <c r="F790" s="1173"/>
      <c r="G790" s="1174"/>
      <c r="H790" s="59"/>
      <c r="I790" s="59"/>
      <c r="J790" s="1173"/>
      <c r="K790" s="59"/>
      <c r="L790" s="1173"/>
      <c r="M790" s="59"/>
      <c r="N790" s="59"/>
      <c r="O790" s="59"/>
      <c r="P790" s="59"/>
      <c r="Q790" s="59"/>
      <c r="R790" s="59"/>
      <c r="S790" s="59"/>
      <c r="T790" s="59"/>
      <c r="U790" s="59"/>
      <c r="V790" s="59"/>
      <c r="W790" s="59"/>
      <c r="X790" s="59"/>
      <c r="Y790" s="59"/>
      <c r="Z790" s="59"/>
      <c r="AA790" s="59"/>
      <c r="AB790" s="59"/>
      <c r="AC790" s="59"/>
    </row>
    <row r="791" spans="1:29" ht="12.75">
      <c r="A791" s="59"/>
      <c r="B791" s="59"/>
      <c r="C791" s="59"/>
      <c r="D791" s="1173"/>
      <c r="E791" s="59"/>
      <c r="F791" s="1173"/>
      <c r="G791" s="1174"/>
      <c r="H791" s="59"/>
      <c r="I791" s="59"/>
      <c r="J791" s="1173"/>
      <c r="K791" s="59"/>
      <c r="L791" s="1173"/>
      <c r="M791" s="59"/>
      <c r="N791" s="59"/>
      <c r="O791" s="59"/>
      <c r="P791" s="59"/>
      <c r="Q791" s="59"/>
      <c r="R791" s="59"/>
      <c r="S791" s="59"/>
      <c r="T791" s="59"/>
      <c r="U791" s="59"/>
      <c r="V791" s="59"/>
      <c r="W791" s="59"/>
      <c r="X791" s="59"/>
      <c r="Y791" s="59"/>
      <c r="Z791" s="59"/>
      <c r="AA791" s="59"/>
      <c r="AB791" s="59"/>
      <c r="AC791" s="59"/>
    </row>
    <row r="792" spans="1:29" ht="12.75">
      <c r="A792" s="59"/>
      <c r="B792" s="59"/>
      <c r="C792" s="59"/>
      <c r="D792" s="1173"/>
      <c r="E792" s="59"/>
      <c r="F792" s="1173"/>
      <c r="G792" s="1174"/>
      <c r="H792" s="59"/>
      <c r="I792" s="59"/>
      <c r="J792" s="1173"/>
      <c r="K792" s="59"/>
      <c r="L792" s="1173"/>
      <c r="M792" s="59"/>
      <c r="N792" s="59"/>
      <c r="O792" s="59"/>
      <c r="P792" s="59"/>
      <c r="Q792" s="59"/>
      <c r="R792" s="59"/>
      <c r="S792" s="59"/>
      <c r="T792" s="59"/>
      <c r="U792" s="59"/>
      <c r="V792" s="59"/>
      <c r="W792" s="59"/>
      <c r="X792" s="59"/>
      <c r="Y792" s="59"/>
      <c r="Z792" s="59"/>
      <c r="AA792" s="59"/>
      <c r="AB792" s="59"/>
      <c r="AC792" s="59"/>
    </row>
    <row r="793" spans="1:29" ht="12.75">
      <c r="A793" s="59"/>
      <c r="B793" s="59"/>
      <c r="C793" s="59"/>
      <c r="D793" s="1173"/>
      <c r="E793" s="59"/>
      <c r="F793" s="1173"/>
      <c r="G793" s="1174"/>
      <c r="H793" s="59"/>
      <c r="I793" s="59"/>
      <c r="J793" s="1173"/>
      <c r="K793" s="59"/>
      <c r="L793" s="1173"/>
      <c r="M793" s="59"/>
      <c r="N793" s="59"/>
      <c r="O793" s="59"/>
      <c r="P793" s="59"/>
      <c r="Q793" s="59"/>
      <c r="R793" s="59"/>
      <c r="S793" s="59"/>
      <c r="T793" s="59"/>
      <c r="U793" s="59"/>
      <c r="V793" s="59"/>
      <c r="W793" s="59"/>
      <c r="X793" s="59"/>
      <c r="Y793" s="59"/>
      <c r="Z793" s="59"/>
      <c r="AA793" s="59"/>
      <c r="AB793" s="59"/>
      <c r="AC793" s="59"/>
    </row>
    <row r="794" spans="1:29" ht="12.75">
      <c r="A794" s="59"/>
      <c r="B794" s="59"/>
      <c r="C794" s="59"/>
      <c r="D794" s="1173"/>
      <c r="E794" s="59"/>
      <c r="F794" s="1173"/>
      <c r="G794" s="1174"/>
      <c r="H794" s="59"/>
      <c r="I794" s="59"/>
      <c r="J794" s="1173"/>
      <c r="K794" s="59"/>
      <c r="L794" s="1173"/>
      <c r="M794" s="59"/>
      <c r="N794" s="59"/>
      <c r="O794" s="59"/>
      <c r="P794" s="59"/>
      <c r="Q794" s="59"/>
      <c r="R794" s="59"/>
      <c r="S794" s="59"/>
      <c r="T794" s="59"/>
      <c r="U794" s="59"/>
      <c r="V794" s="59"/>
      <c r="W794" s="59"/>
      <c r="X794" s="59"/>
      <c r="Y794" s="59"/>
      <c r="Z794" s="59"/>
      <c r="AA794" s="59"/>
      <c r="AB794" s="59"/>
      <c r="AC794" s="59"/>
    </row>
    <row r="795" spans="1:29" ht="12.75">
      <c r="A795" s="59"/>
      <c r="B795" s="59"/>
      <c r="C795" s="59"/>
      <c r="D795" s="1173"/>
      <c r="E795" s="59"/>
      <c r="F795" s="1173"/>
      <c r="G795" s="1174"/>
      <c r="H795" s="59"/>
      <c r="I795" s="59"/>
      <c r="J795" s="1173"/>
      <c r="K795" s="59"/>
      <c r="L795" s="1173"/>
      <c r="M795" s="59"/>
      <c r="N795" s="59"/>
      <c r="O795" s="59"/>
      <c r="P795" s="59"/>
      <c r="Q795" s="59"/>
      <c r="R795" s="59"/>
      <c r="S795" s="59"/>
      <c r="T795" s="59"/>
      <c r="U795" s="59"/>
      <c r="V795" s="59"/>
      <c r="W795" s="59"/>
      <c r="X795" s="59"/>
      <c r="Y795" s="59"/>
      <c r="Z795" s="59"/>
      <c r="AA795" s="59"/>
      <c r="AB795" s="59"/>
      <c r="AC795" s="59"/>
    </row>
    <row r="796" spans="1:29" ht="12.75">
      <c r="A796" s="59"/>
      <c r="B796" s="59"/>
      <c r="C796" s="59"/>
      <c r="D796" s="1173"/>
      <c r="E796" s="59"/>
      <c r="F796" s="1173"/>
      <c r="G796" s="1174"/>
      <c r="H796" s="59"/>
      <c r="I796" s="59"/>
      <c r="J796" s="1173"/>
      <c r="K796" s="59"/>
      <c r="L796" s="1173"/>
      <c r="M796" s="59"/>
      <c r="N796" s="59"/>
      <c r="O796" s="59"/>
      <c r="P796" s="59"/>
      <c r="Q796" s="59"/>
      <c r="R796" s="59"/>
      <c r="S796" s="59"/>
      <c r="T796" s="59"/>
      <c r="U796" s="59"/>
      <c r="V796" s="59"/>
      <c r="W796" s="59"/>
      <c r="X796" s="59"/>
      <c r="Y796" s="59"/>
      <c r="Z796" s="59"/>
      <c r="AA796" s="59"/>
      <c r="AB796" s="59"/>
      <c r="AC796" s="59"/>
    </row>
    <row r="797" spans="1:29" ht="12.75">
      <c r="A797" s="59"/>
      <c r="B797" s="59"/>
      <c r="C797" s="59"/>
      <c r="D797" s="1173"/>
      <c r="E797" s="59"/>
      <c r="F797" s="1173"/>
      <c r="G797" s="1174"/>
      <c r="H797" s="59"/>
      <c r="I797" s="59"/>
      <c r="J797" s="1173"/>
      <c r="K797" s="59"/>
      <c r="L797" s="1173"/>
      <c r="M797" s="59"/>
      <c r="N797" s="59"/>
      <c r="O797" s="59"/>
      <c r="P797" s="59"/>
      <c r="Q797" s="59"/>
      <c r="R797" s="59"/>
      <c r="S797" s="59"/>
      <c r="T797" s="59"/>
      <c r="U797" s="59"/>
      <c r="V797" s="59"/>
      <c r="W797" s="59"/>
      <c r="X797" s="59"/>
      <c r="Y797" s="59"/>
      <c r="Z797" s="59"/>
      <c r="AA797" s="59"/>
      <c r="AB797" s="59"/>
      <c r="AC797" s="59"/>
    </row>
    <row r="798" spans="1:29" ht="12.75">
      <c r="A798" s="59"/>
      <c r="B798" s="59"/>
      <c r="C798" s="59"/>
      <c r="D798" s="1173"/>
      <c r="E798" s="59"/>
      <c r="F798" s="1173"/>
      <c r="G798" s="1174"/>
      <c r="H798" s="59"/>
      <c r="I798" s="59"/>
      <c r="J798" s="1173"/>
      <c r="K798" s="59"/>
      <c r="L798" s="1173"/>
      <c r="M798" s="59"/>
      <c r="N798" s="59"/>
      <c r="O798" s="59"/>
      <c r="P798" s="59"/>
      <c r="Q798" s="59"/>
      <c r="R798" s="59"/>
      <c r="S798" s="59"/>
      <c r="T798" s="59"/>
      <c r="U798" s="59"/>
      <c r="V798" s="59"/>
      <c r="W798" s="59"/>
      <c r="X798" s="59"/>
      <c r="Y798" s="59"/>
      <c r="Z798" s="59"/>
      <c r="AA798" s="59"/>
      <c r="AB798" s="59"/>
      <c r="AC798" s="59"/>
    </row>
    <row r="799" spans="1:29" ht="12.75">
      <c r="A799" s="59"/>
      <c r="B799" s="59"/>
      <c r="C799" s="59"/>
      <c r="D799" s="1173"/>
      <c r="E799" s="59"/>
      <c r="F799" s="1173"/>
      <c r="G799" s="1174"/>
      <c r="H799" s="59"/>
      <c r="I799" s="59"/>
      <c r="J799" s="1173"/>
      <c r="K799" s="59"/>
      <c r="L799" s="1173"/>
      <c r="M799" s="59"/>
      <c r="N799" s="59"/>
      <c r="O799" s="59"/>
      <c r="P799" s="59"/>
      <c r="Q799" s="59"/>
      <c r="R799" s="59"/>
      <c r="S799" s="59"/>
      <c r="T799" s="59"/>
      <c r="U799" s="59"/>
      <c r="V799" s="59"/>
      <c r="W799" s="59"/>
      <c r="X799" s="59"/>
      <c r="Y799" s="59"/>
      <c r="Z799" s="59"/>
      <c r="AA799" s="59"/>
      <c r="AB799" s="59"/>
      <c r="AC799" s="59"/>
    </row>
    <row r="800" spans="1:29" ht="12.75">
      <c r="A800" s="59"/>
      <c r="B800" s="59"/>
      <c r="C800" s="59"/>
      <c r="D800" s="1173"/>
      <c r="E800" s="59"/>
      <c r="F800" s="1173"/>
      <c r="G800" s="1174"/>
      <c r="H800" s="59"/>
      <c r="I800" s="59"/>
      <c r="J800" s="1173"/>
      <c r="K800" s="59"/>
      <c r="L800" s="1173"/>
      <c r="M800" s="59"/>
      <c r="N800" s="59"/>
      <c r="O800" s="59"/>
      <c r="P800" s="59"/>
      <c r="Q800" s="59"/>
      <c r="R800" s="59"/>
      <c r="S800" s="59"/>
      <c r="T800" s="59"/>
      <c r="U800" s="59"/>
      <c r="V800" s="59"/>
      <c r="W800" s="59"/>
      <c r="X800" s="59"/>
      <c r="Y800" s="59"/>
      <c r="Z800" s="59"/>
      <c r="AA800" s="59"/>
      <c r="AB800" s="59"/>
      <c r="AC800" s="59"/>
    </row>
    <row r="801" spans="1:29" ht="12.75">
      <c r="A801" s="59"/>
      <c r="B801" s="59"/>
      <c r="C801" s="59"/>
      <c r="D801" s="1173"/>
      <c r="E801" s="59"/>
      <c r="F801" s="1173"/>
      <c r="G801" s="1174"/>
      <c r="H801" s="59"/>
      <c r="I801" s="59"/>
      <c r="J801" s="1173"/>
      <c r="K801" s="59"/>
      <c r="L801" s="1173"/>
      <c r="M801" s="59"/>
      <c r="N801" s="59"/>
      <c r="O801" s="59"/>
      <c r="P801" s="59"/>
      <c r="Q801" s="59"/>
      <c r="R801" s="59"/>
      <c r="S801" s="59"/>
      <c r="T801" s="59"/>
      <c r="U801" s="59"/>
      <c r="V801" s="59"/>
      <c r="W801" s="59"/>
      <c r="X801" s="59"/>
      <c r="Y801" s="59"/>
      <c r="Z801" s="59"/>
      <c r="AA801" s="59"/>
      <c r="AB801" s="59"/>
      <c r="AC801" s="59"/>
    </row>
    <row r="802" spans="1:29" ht="12.75">
      <c r="A802" s="59"/>
      <c r="B802" s="59"/>
      <c r="C802" s="59"/>
      <c r="D802" s="1173"/>
      <c r="E802" s="59"/>
      <c r="F802" s="1173"/>
      <c r="G802" s="1174"/>
      <c r="H802" s="59"/>
      <c r="I802" s="59"/>
      <c r="J802" s="1173"/>
      <c r="K802" s="59"/>
      <c r="L802" s="1173"/>
      <c r="M802" s="59"/>
      <c r="N802" s="59"/>
      <c r="O802" s="59"/>
      <c r="P802" s="59"/>
      <c r="Q802" s="59"/>
      <c r="R802" s="59"/>
      <c r="S802" s="59"/>
      <c r="T802" s="59"/>
      <c r="U802" s="59"/>
      <c r="V802" s="59"/>
      <c r="W802" s="59"/>
      <c r="X802" s="59"/>
      <c r="Y802" s="59"/>
      <c r="Z802" s="59"/>
      <c r="AA802" s="59"/>
      <c r="AB802" s="59"/>
      <c r="AC802" s="59"/>
    </row>
    <row r="803" spans="1:29" ht="12.75">
      <c r="A803" s="59"/>
      <c r="B803" s="59"/>
      <c r="C803" s="59"/>
      <c r="D803" s="1173"/>
      <c r="E803" s="59"/>
      <c r="F803" s="1173"/>
      <c r="G803" s="1174"/>
      <c r="H803" s="59"/>
      <c r="I803" s="59"/>
      <c r="J803" s="1173"/>
      <c r="K803" s="59"/>
      <c r="L803" s="1173"/>
      <c r="M803" s="59"/>
      <c r="N803" s="59"/>
      <c r="O803" s="59"/>
      <c r="P803" s="59"/>
      <c r="Q803" s="59"/>
      <c r="R803" s="59"/>
      <c r="S803" s="59"/>
      <c r="T803" s="59"/>
      <c r="U803" s="59"/>
      <c r="V803" s="59"/>
      <c r="W803" s="59"/>
      <c r="X803" s="59"/>
      <c r="Y803" s="59"/>
      <c r="Z803" s="59"/>
      <c r="AA803" s="59"/>
      <c r="AB803" s="59"/>
      <c r="AC803" s="59"/>
    </row>
    <row r="804" spans="1:29" ht="12.75">
      <c r="A804" s="59"/>
      <c r="B804" s="59"/>
      <c r="C804" s="59"/>
      <c r="D804" s="1173"/>
      <c r="E804" s="59"/>
      <c r="F804" s="1173"/>
      <c r="G804" s="1174"/>
      <c r="H804" s="59"/>
      <c r="I804" s="59"/>
      <c r="J804" s="1173"/>
      <c r="K804" s="59"/>
      <c r="L804" s="1173"/>
      <c r="M804" s="59"/>
      <c r="N804" s="59"/>
      <c r="O804" s="59"/>
      <c r="P804" s="59"/>
      <c r="Q804" s="59"/>
      <c r="R804" s="59"/>
      <c r="S804" s="59"/>
      <c r="T804" s="59"/>
      <c r="U804" s="59"/>
      <c r="V804" s="59"/>
      <c r="W804" s="59"/>
      <c r="X804" s="59"/>
      <c r="Y804" s="59"/>
      <c r="Z804" s="59"/>
      <c r="AA804" s="59"/>
      <c r="AB804" s="59"/>
      <c r="AC804" s="59"/>
    </row>
    <row r="805" spans="1:29" ht="12.75">
      <c r="A805" s="59"/>
      <c r="B805" s="59"/>
      <c r="C805" s="59"/>
      <c r="D805" s="1173"/>
      <c r="E805" s="59"/>
      <c r="F805" s="1173"/>
      <c r="G805" s="1174"/>
      <c r="H805" s="59"/>
      <c r="I805" s="59"/>
      <c r="J805" s="1173"/>
      <c r="K805" s="59"/>
      <c r="L805" s="1173"/>
      <c r="M805" s="59"/>
      <c r="N805" s="59"/>
      <c r="O805" s="59"/>
      <c r="P805" s="59"/>
      <c r="Q805" s="59"/>
      <c r="R805" s="59"/>
      <c r="S805" s="59"/>
      <c r="T805" s="59"/>
      <c r="U805" s="59"/>
      <c r="V805" s="59"/>
      <c r="W805" s="59"/>
      <c r="X805" s="59"/>
      <c r="Y805" s="59"/>
      <c r="Z805" s="59"/>
      <c r="AA805" s="59"/>
      <c r="AB805" s="59"/>
      <c r="AC805" s="59"/>
    </row>
    <row r="806" spans="1:29" ht="12.75">
      <c r="A806" s="59"/>
      <c r="B806" s="59"/>
      <c r="C806" s="59"/>
      <c r="D806" s="1173"/>
      <c r="E806" s="59"/>
      <c r="F806" s="1173"/>
      <c r="G806" s="1174"/>
      <c r="H806" s="59"/>
      <c r="I806" s="59"/>
      <c r="J806" s="1173"/>
      <c r="K806" s="59"/>
      <c r="L806" s="1173"/>
      <c r="M806" s="59"/>
      <c r="N806" s="59"/>
      <c r="O806" s="59"/>
      <c r="P806" s="59"/>
      <c r="Q806" s="59"/>
      <c r="R806" s="59"/>
      <c r="S806" s="59"/>
      <c r="T806" s="59"/>
      <c r="U806" s="59"/>
      <c r="V806" s="59"/>
      <c r="W806" s="59"/>
      <c r="X806" s="59"/>
      <c r="Y806" s="59"/>
      <c r="Z806" s="59"/>
      <c r="AA806" s="59"/>
      <c r="AB806" s="59"/>
      <c r="AC806" s="59"/>
    </row>
    <row r="807" spans="1:29" ht="12.75">
      <c r="A807" s="59"/>
      <c r="B807" s="59"/>
      <c r="C807" s="59"/>
      <c r="D807" s="1173"/>
      <c r="E807" s="59"/>
      <c r="F807" s="1173"/>
      <c r="G807" s="1174"/>
      <c r="H807" s="59"/>
      <c r="I807" s="59"/>
      <c r="J807" s="1173"/>
      <c r="K807" s="59"/>
      <c r="L807" s="1173"/>
      <c r="M807" s="59"/>
      <c r="N807" s="59"/>
      <c r="O807" s="59"/>
      <c r="P807" s="59"/>
      <c r="Q807" s="59"/>
      <c r="R807" s="59"/>
      <c r="S807" s="59"/>
      <c r="T807" s="59"/>
      <c r="U807" s="59"/>
      <c r="V807" s="59"/>
      <c r="W807" s="59"/>
      <c r="X807" s="59"/>
      <c r="Y807" s="59"/>
      <c r="Z807" s="59"/>
      <c r="AA807" s="59"/>
      <c r="AB807" s="59"/>
      <c r="AC807" s="59"/>
    </row>
    <row r="808" spans="1:29" ht="12.75">
      <c r="A808" s="59"/>
      <c r="B808" s="59"/>
      <c r="C808" s="59"/>
      <c r="D808" s="1173"/>
      <c r="E808" s="59"/>
      <c r="F808" s="1173"/>
      <c r="G808" s="1174"/>
      <c r="H808" s="59"/>
      <c r="I808" s="59"/>
      <c r="J808" s="1173"/>
      <c r="K808" s="59"/>
      <c r="L808" s="1173"/>
      <c r="M808" s="59"/>
      <c r="N808" s="59"/>
      <c r="O808" s="59"/>
      <c r="P808" s="59"/>
      <c r="Q808" s="59"/>
      <c r="R808" s="59"/>
      <c r="S808" s="59"/>
      <c r="T808" s="59"/>
      <c r="U808" s="59"/>
      <c r="V808" s="59"/>
      <c r="W808" s="59"/>
      <c r="X808" s="59"/>
      <c r="Y808" s="59"/>
      <c r="Z808" s="59"/>
      <c r="AA808" s="59"/>
      <c r="AB808" s="59"/>
      <c r="AC808" s="59"/>
    </row>
    <row r="809" spans="1:29" ht="12.75">
      <c r="A809" s="59"/>
      <c r="B809" s="59"/>
      <c r="C809" s="59"/>
      <c r="D809" s="1173"/>
      <c r="E809" s="59"/>
      <c r="F809" s="1173"/>
      <c r="G809" s="1174"/>
      <c r="H809" s="59"/>
      <c r="I809" s="59"/>
      <c r="J809" s="1173"/>
      <c r="K809" s="59"/>
      <c r="L809" s="1173"/>
      <c r="M809" s="59"/>
      <c r="N809" s="59"/>
      <c r="O809" s="59"/>
      <c r="P809" s="59"/>
      <c r="Q809" s="59"/>
      <c r="R809" s="59"/>
      <c r="S809" s="59"/>
      <c r="T809" s="59"/>
      <c r="U809" s="59"/>
      <c r="V809" s="59"/>
      <c r="W809" s="59"/>
      <c r="X809" s="59"/>
      <c r="Y809" s="59"/>
      <c r="Z809" s="59"/>
      <c r="AA809" s="59"/>
      <c r="AB809" s="59"/>
      <c r="AC809" s="59"/>
    </row>
    <row r="810" spans="1:29" ht="12.75">
      <c r="A810" s="59"/>
      <c r="B810" s="59"/>
      <c r="C810" s="59"/>
      <c r="D810" s="1173"/>
      <c r="E810" s="59"/>
      <c r="F810" s="1173"/>
      <c r="G810" s="1174"/>
      <c r="H810" s="59"/>
      <c r="I810" s="59"/>
      <c r="J810" s="1173"/>
      <c r="K810" s="59"/>
      <c r="L810" s="1173"/>
      <c r="M810" s="59"/>
      <c r="N810" s="59"/>
      <c r="O810" s="59"/>
      <c r="P810" s="59"/>
      <c r="Q810" s="59"/>
      <c r="R810" s="59"/>
      <c r="S810" s="59"/>
      <c r="T810" s="59"/>
      <c r="U810" s="59"/>
      <c r="V810" s="59"/>
      <c r="W810" s="59"/>
      <c r="X810" s="59"/>
      <c r="Y810" s="59"/>
      <c r="Z810" s="59"/>
      <c r="AA810" s="59"/>
      <c r="AB810" s="59"/>
      <c r="AC810" s="59"/>
    </row>
    <row r="811" spans="1:29" ht="12.75">
      <c r="A811" s="59"/>
      <c r="B811" s="59"/>
      <c r="C811" s="59"/>
      <c r="D811" s="1173"/>
      <c r="E811" s="59"/>
      <c r="F811" s="1173"/>
      <c r="G811" s="1174"/>
      <c r="H811" s="59"/>
      <c r="I811" s="59"/>
      <c r="J811" s="1173"/>
      <c r="K811" s="59"/>
      <c r="L811" s="1173"/>
      <c r="M811" s="59"/>
      <c r="N811" s="59"/>
      <c r="O811" s="59"/>
      <c r="P811" s="59"/>
      <c r="Q811" s="59"/>
      <c r="R811" s="59"/>
      <c r="S811" s="59"/>
      <c r="T811" s="59"/>
      <c r="U811" s="59"/>
      <c r="V811" s="59"/>
      <c r="W811" s="59"/>
      <c r="X811" s="59"/>
      <c r="Y811" s="59"/>
      <c r="Z811" s="59"/>
      <c r="AA811" s="59"/>
      <c r="AB811" s="59"/>
      <c r="AC811" s="59"/>
    </row>
    <row r="812" spans="1:29" ht="12.75">
      <c r="A812" s="59"/>
      <c r="B812" s="59"/>
      <c r="C812" s="59"/>
      <c r="D812" s="1173"/>
      <c r="E812" s="59"/>
      <c r="F812" s="1173"/>
      <c r="G812" s="1174"/>
      <c r="H812" s="59"/>
      <c r="I812" s="59"/>
      <c r="J812" s="1173"/>
      <c r="K812" s="59"/>
      <c r="L812" s="1173"/>
      <c r="M812" s="59"/>
      <c r="N812" s="59"/>
      <c r="O812" s="59"/>
      <c r="P812" s="59"/>
      <c r="Q812" s="59"/>
      <c r="R812" s="59"/>
      <c r="S812" s="59"/>
      <c r="T812" s="59"/>
      <c r="U812" s="59"/>
      <c r="V812" s="59"/>
      <c r="W812" s="59"/>
      <c r="X812" s="59"/>
      <c r="Y812" s="59"/>
      <c r="Z812" s="59"/>
      <c r="AA812" s="59"/>
      <c r="AB812" s="59"/>
      <c r="AC812" s="59"/>
    </row>
    <row r="813" spans="1:29" ht="12.75">
      <c r="A813" s="59"/>
      <c r="B813" s="59"/>
      <c r="C813" s="59"/>
      <c r="D813" s="1173"/>
      <c r="E813" s="59"/>
      <c r="F813" s="1173"/>
      <c r="G813" s="1174"/>
      <c r="H813" s="59"/>
      <c r="I813" s="59"/>
      <c r="J813" s="1173"/>
      <c r="K813" s="59"/>
      <c r="L813" s="1173"/>
      <c r="M813" s="59"/>
      <c r="N813" s="59"/>
      <c r="O813" s="59"/>
      <c r="P813" s="59"/>
      <c r="Q813" s="59"/>
      <c r="R813" s="59"/>
      <c r="S813" s="59"/>
      <c r="T813" s="59"/>
      <c r="U813" s="59"/>
      <c r="V813" s="59"/>
      <c r="W813" s="59"/>
      <c r="X813" s="59"/>
      <c r="Y813" s="59"/>
      <c r="Z813" s="59"/>
      <c r="AA813" s="59"/>
      <c r="AB813" s="59"/>
      <c r="AC813" s="59"/>
    </row>
    <row r="814" spans="1:29" ht="12.75">
      <c r="A814" s="59"/>
      <c r="B814" s="59"/>
      <c r="C814" s="59"/>
      <c r="D814" s="1173"/>
      <c r="E814" s="59"/>
      <c r="F814" s="1173"/>
      <c r="G814" s="1174"/>
      <c r="H814" s="59"/>
      <c r="I814" s="59"/>
      <c r="J814" s="1173"/>
      <c r="K814" s="59"/>
      <c r="L814" s="1173"/>
      <c r="M814" s="59"/>
      <c r="N814" s="59"/>
      <c r="O814" s="59"/>
      <c r="P814" s="59"/>
      <c r="Q814" s="59"/>
      <c r="R814" s="59"/>
      <c r="S814" s="59"/>
      <c r="T814" s="59"/>
      <c r="U814" s="59"/>
      <c r="V814" s="59"/>
      <c r="W814" s="59"/>
      <c r="X814" s="59"/>
      <c r="Y814" s="59"/>
      <c r="Z814" s="59"/>
      <c r="AA814" s="59"/>
      <c r="AB814" s="59"/>
      <c r="AC814" s="59"/>
    </row>
    <row r="815" spans="1:29" ht="12.75">
      <c r="A815" s="59"/>
      <c r="B815" s="59"/>
      <c r="C815" s="59"/>
      <c r="D815" s="1173"/>
      <c r="E815" s="59"/>
      <c r="F815" s="1173"/>
      <c r="G815" s="1174"/>
      <c r="H815" s="59"/>
      <c r="I815" s="59"/>
      <c r="J815" s="1173"/>
      <c r="K815" s="59"/>
      <c r="L815" s="1173"/>
      <c r="M815" s="59"/>
      <c r="N815" s="59"/>
      <c r="O815" s="59"/>
      <c r="P815" s="59"/>
      <c r="Q815" s="59"/>
      <c r="R815" s="59"/>
      <c r="S815" s="59"/>
      <c r="T815" s="59"/>
      <c r="U815" s="59"/>
      <c r="V815" s="59"/>
      <c r="W815" s="59"/>
      <c r="X815" s="59"/>
      <c r="Y815" s="59"/>
      <c r="Z815" s="59"/>
      <c r="AA815" s="59"/>
      <c r="AB815" s="59"/>
      <c r="AC815" s="59"/>
    </row>
    <row r="816" spans="1:29" ht="12.75">
      <c r="A816" s="59"/>
      <c r="B816" s="59"/>
      <c r="C816" s="59"/>
      <c r="D816" s="1173"/>
      <c r="E816" s="59"/>
      <c r="F816" s="1173"/>
      <c r="G816" s="1174"/>
      <c r="H816" s="59"/>
      <c r="I816" s="59"/>
      <c r="J816" s="1173"/>
      <c r="K816" s="59"/>
      <c r="L816" s="1173"/>
      <c r="M816" s="59"/>
      <c r="N816" s="59"/>
      <c r="O816" s="59"/>
      <c r="P816" s="59"/>
      <c r="Q816" s="59"/>
      <c r="R816" s="59"/>
      <c r="S816" s="59"/>
      <c r="T816" s="59"/>
      <c r="U816" s="59"/>
      <c r="V816" s="59"/>
      <c r="W816" s="59"/>
      <c r="X816" s="59"/>
      <c r="Y816" s="59"/>
      <c r="Z816" s="59"/>
      <c r="AA816" s="59"/>
      <c r="AB816" s="59"/>
      <c r="AC816" s="59"/>
    </row>
    <row r="817" spans="1:29" ht="12.75">
      <c r="A817" s="59"/>
      <c r="B817" s="59"/>
      <c r="C817" s="59"/>
      <c r="D817" s="1173"/>
      <c r="E817" s="59"/>
      <c r="F817" s="1173"/>
      <c r="G817" s="1174"/>
      <c r="H817" s="59"/>
      <c r="I817" s="59"/>
      <c r="J817" s="1173"/>
      <c r="K817" s="59"/>
      <c r="L817" s="1173"/>
      <c r="M817" s="59"/>
      <c r="N817" s="59"/>
      <c r="O817" s="59"/>
      <c r="P817" s="59"/>
      <c r="Q817" s="59"/>
      <c r="R817" s="59"/>
      <c r="S817" s="59"/>
      <c r="T817" s="59"/>
      <c r="U817" s="59"/>
      <c r="V817" s="59"/>
      <c r="W817" s="59"/>
      <c r="X817" s="59"/>
      <c r="Y817" s="59"/>
      <c r="Z817" s="59"/>
      <c r="AA817" s="59"/>
      <c r="AB817" s="59"/>
      <c r="AC817" s="59"/>
    </row>
    <row r="818" spans="1:29" ht="12.75">
      <c r="A818" s="59"/>
      <c r="B818" s="59"/>
      <c r="C818" s="59"/>
      <c r="D818" s="1173"/>
      <c r="E818" s="59"/>
      <c r="F818" s="1173"/>
      <c r="G818" s="1174"/>
      <c r="H818" s="59"/>
      <c r="I818" s="59"/>
      <c r="J818" s="1173"/>
      <c r="K818" s="59"/>
      <c r="L818" s="1173"/>
      <c r="M818" s="59"/>
      <c r="N818" s="59"/>
      <c r="O818" s="59"/>
      <c r="P818" s="59"/>
      <c r="Q818" s="59"/>
      <c r="R818" s="59"/>
      <c r="S818" s="59"/>
      <c r="T818" s="59"/>
      <c r="U818" s="59"/>
      <c r="V818" s="59"/>
      <c r="W818" s="59"/>
      <c r="X818" s="59"/>
      <c r="Y818" s="59"/>
      <c r="Z818" s="59"/>
      <c r="AA818" s="59"/>
      <c r="AB818" s="59"/>
      <c r="AC818" s="59"/>
    </row>
    <row r="819" spans="1:29" ht="12.75">
      <c r="A819" s="59"/>
      <c r="B819" s="59"/>
      <c r="C819" s="59"/>
      <c r="D819" s="1173"/>
      <c r="E819" s="59"/>
      <c r="F819" s="1173"/>
      <c r="G819" s="1174"/>
      <c r="H819" s="59"/>
      <c r="I819" s="59"/>
      <c r="J819" s="1173"/>
      <c r="K819" s="59"/>
      <c r="L819" s="1173"/>
      <c r="M819" s="59"/>
      <c r="N819" s="59"/>
      <c r="O819" s="59"/>
      <c r="P819" s="59"/>
      <c r="Q819" s="59"/>
      <c r="R819" s="59"/>
      <c r="S819" s="59"/>
      <c r="T819" s="59"/>
      <c r="U819" s="59"/>
      <c r="V819" s="59"/>
      <c r="W819" s="59"/>
      <c r="X819" s="59"/>
      <c r="Y819" s="59"/>
      <c r="Z819" s="59"/>
      <c r="AA819" s="59"/>
      <c r="AB819" s="59"/>
      <c r="AC819" s="59"/>
    </row>
    <row r="820" spans="1:29" ht="12.75">
      <c r="A820" s="59"/>
      <c r="B820" s="59"/>
      <c r="C820" s="59"/>
      <c r="D820" s="1173"/>
      <c r="E820" s="59"/>
      <c r="F820" s="1173"/>
      <c r="G820" s="1174"/>
      <c r="H820" s="59"/>
      <c r="I820" s="59"/>
      <c r="J820" s="1173"/>
      <c r="K820" s="59"/>
      <c r="L820" s="1173"/>
      <c r="M820" s="59"/>
      <c r="N820" s="59"/>
      <c r="O820" s="59"/>
      <c r="P820" s="59"/>
      <c r="Q820" s="59"/>
      <c r="R820" s="59"/>
      <c r="S820" s="59"/>
      <c r="T820" s="59"/>
      <c r="U820" s="59"/>
      <c r="V820" s="59"/>
      <c r="W820" s="59"/>
      <c r="X820" s="59"/>
      <c r="Y820" s="59"/>
      <c r="Z820" s="59"/>
      <c r="AA820" s="59"/>
      <c r="AB820" s="59"/>
      <c r="AC820" s="59"/>
    </row>
    <row r="821" spans="1:29" ht="12.75">
      <c r="A821" s="59"/>
      <c r="B821" s="59"/>
      <c r="C821" s="59"/>
      <c r="D821" s="1173"/>
      <c r="E821" s="59"/>
      <c r="F821" s="1173"/>
      <c r="G821" s="1174"/>
      <c r="H821" s="59"/>
      <c r="I821" s="59"/>
      <c r="J821" s="1173"/>
      <c r="K821" s="59"/>
      <c r="L821" s="1173"/>
      <c r="M821" s="59"/>
      <c r="N821" s="59"/>
      <c r="O821" s="59"/>
      <c r="P821" s="59"/>
      <c r="Q821" s="59"/>
      <c r="R821" s="59"/>
      <c r="S821" s="59"/>
      <c r="T821" s="59"/>
      <c r="U821" s="59"/>
      <c r="V821" s="59"/>
      <c r="W821" s="59"/>
      <c r="X821" s="59"/>
      <c r="Y821" s="59"/>
      <c r="Z821" s="59"/>
      <c r="AA821" s="59"/>
      <c r="AB821" s="59"/>
      <c r="AC821" s="59"/>
    </row>
    <row r="822" spans="1:29" ht="12.75">
      <c r="A822" s="59"/>
      <c r="B822" s="59"/>
      <c r="C822" s="59"/>
      <c r="D822" s="1173"/>
      <c r="E822" s="59"/>
      <c r="F822" s="1173"/>
      <c r="G822" s="1174"/>
      <c r="H822" s="59"/>
      <c r="I822" s="59"/>
      <c r="J822" s="1173"/>
      <c r="K822" s="59"/>
      <c r="L822" s="1173"/>
      <c r="M822" s="59"/>
      <c r="N822" s="59"/>
      <c r="O822" s="59"/>
      <c r="P822" s="59"/>
      <c r="Q822" s="59"/>
      <c r="R822" s="59"/>
      <c r="S822" s="59"/>
      <c r="T822" s="59"/>
      <c r="U822" s="59"/>
      <c r="V822" s="59"/>
      <c r="W822" s="59"/>
      <c r="X822" s="59"/>
      <c r="Y822" s="59"/>
      <c r="Z822" s="59"/>
      <c r="AA822" s="59"/>
      <c r="AB822" s="59"/>
      <c r="AC822" s="59"/>
    </row>
    <row r="823" spans="1:29" ht="12.75">
      <c r="A823" s="59"/>
      <c r="B823" s="59"/>
      <c r="C823" s="59"/>
      <c r="D823" s="1173"/>
      <c r="E823" s="59"/>
      <c r="F823" s="1173"/>
      <c r="G823" s="1174"/>
      <c r="H823" s="59"/>
      <c r="I823" s="59"/>
      <c r="J823" s="1173"/>
      <c r="K823" s="59"/>
      <c r="L823" s="1173"/>
      <c r="M823" s="59"/>
      <c r="N823" s="59"/>
      <c r="O823" s="59"/>
      <c r="P823" s="59"/>
      <c r="Q823" s="59"/>
      <c r="R823" s="59"/>
      <c r="S823" s="59"/>
      <c r="T823" s="59"/>
      <c r="U823" s="59"/>
      <c r="V823" s="59"/>
      <c r="W823" s="59"/>
      <c r="X823" s="59"/>
      <c r="Y823" s="59"/>
      <c r="Z823" s="59"/>
      <c r="AA823" s="59"/>
      <c r="AB823" s="59"/>
      <c r="AC823" s="59"/>
    </row>
    <row r="824" spans="1:29" ht="12.75">
      <c r="A824" s="59"/>
      <c r="B824" s="59"/>
      <c r="C824" s="59"/>
      <c r="D824" s="1173"/>
      <c r="E824" s="59"/>
      <c r="F824" s="1173"/>
      <c r="G824" s="1174"/>
      <c r="H824" s="59"/>
      <c r="I824" s="59"/>
      <c r="J824" s="1173"/>
      <c r="K824" s="59"/>
      <c r="L824" s="1173"/>
      <c r="M824" s="59"/>
      <c r="N824" s="59"/>
      <c r="O824" s="59"/>
      <c r="P824" s="59"/>
      <c r="Q824" s="59"/>
      <c r="R824" s="59"/>
      <c r="S824" s="59"/>
      <c r="T824" s="59"/>
      <c r="U824" s="59"/>
      <c r="V824" s="59"/>
      <c r="W824" s="59"/>
      <c r="X824" s="59"/>
      <c r="Y824" s="59"/>
      <c r="Z824" s="59"/>
      <c r="AA824" s="59"/>
      <c r="AB824" s="59"/>
      <c r="AC824" s="59"/>
    </row>
    <row r="825" spans="1:29" ht="12.75">
      <c r="A825" s="59"/>
      <c r="B825" s="59"/>
      <c r="C825" s="59"/>
      <c r="D825" s="1173"/>
      <c r="E825" s="59"/>
      <c r="F825" s="1173"/>
      <c r="G825" s="1174"/>
      <c r="H825" s="59"/>
      <c r="I825" s="59"/>
      <c r="J825" s="1173"/>
      <c r="K825" s="59"/>
      <c r="L825" s="1173"/>
      <c r="M825" s="59"/>
      <c r="N825" s="59"/>
      <c r="O825" s="59"/>
      <c r="P825" s="59"/>
      <c r="Q825" s="59"/>
      <c r="R825" s="59"/>
      <c r="S825" s="59"/>
      <c r="T825" s="59"/>
      <c r="U825" s="59"/>
      <c r="V825" s="59"/>
      <c r="W825" s="59"/>
      <c r="X825" s="59"/>
      <c r="Y825" s="59"/>
      <c r="Z825" s="59"/>
      <c r="AA825" s="59"/>
      <c r="AB825" s="59"/>
      <c r="AC825" s="59"/>
    </row>
    <row r="826" spans="1:29" ht="12.75">
      <c r="A826" s="59"/>
      <c r="B826" s="59"/>
      <c r="C826" s="59"/>
      <c r="D826" s="1173"/>
      <c r="E826" s="59"/>
      <c r="F826" s="1173"/>
      <c r="G826" s="1174"/>
      <c r="H826" s="59"/>
      <c r="I826" s="59"/>
      <c r="J826" s="1173"/>
      <c r="K826" s="59"/>
      <c r="L826" s="1173"/>
      <c r="M826" s="59"/>
      <c r="N826" s="59"/>
      <c r="O826" s="59"/>
      <c r="P826" s="59"/>
      <c r="Q826" s="59"/>
      <c r="R826" s="59"/>
      <c r="S826" s="59"/>
      <c r="T826" s="59"/>
      <c r="U826" s="59"/>
      <c r="V826" s="59"/>
      <c r="W826" s="59"/>
      <c r="X826" s="59"/>
      <c r="Y826" s="59"/>
      <c r="Z826" s="59"/>
      <c r="AA826" s="59"/>
      <c r="AB826" s="59"/>
      <c r="AC826" s="59"/>
    </row>
    <row r="827" spans="1:29" ht="12.75">
      <c r="A827" s="59"/>
      <c r="B827" s="59"/>
      <c r="C827" s="59"/>
      <c r="D827" s="1173"/>
      <c r="E827" s="59"/>
      <c r="F827" s="1173"/>
      <c r="G827" s="1174"/>
      <c r="H827" s="59"/>
      <c r="I827" s="59"/>
      <c r="J827" s="1173"/>
      <c r="K827" s="59"/>
      <c r="L827" s="1173"/>
      <c r="M827" s="59"/>
      <c r="N827" s="59"/>
      <c r="O827" s="59"/>
      <c r="P827" s="59"/>
      <c r="Q827" s="59"/>
      <c r="R827" s="59"/>
      <c r="S827" s="59"/>
      <c r="T827" s="59"/>
      <c r="U827" s="59"/>
      <c r="V827" s="59"/>
      <c r="W827" s="59"/>
      <c r="X827" s="59"/>
      <c r="Y827" s="59"/>
      <c r="Z827" s="59"/>
      <c r="AA827" s="59"/>
      <c r="AB827" s="59"/>
      <c r="AC827" s="59"/>
    </row>
    <row r="828" spans="1:29" ht="12.75">
      <c r="A828" s="59"/>
      <c r="B828" s="59"/>
      <c r="C828" s="59"/>
      <c r="D828" s="1173"/>
      <c r="E828" s="59"/>
      <c r="F828" s="1173"/>
      <c r="G828" s="1174"/>
      <c r="H828" s="59"/>
      <c r="I828" s="59"/>
      <c r="J828" s="1173"/>
      <c r="K828" s="59"/>
      <c r="L828" s="1173"/>
      <c r="M828" s="59"/>
      <c r="N828" s="59"/>
      <c r="O828" s="59"/>
      <c r="P828" s="59"/>
      <c r="Q828" s="59"/>
      <c r="R828" s="59"/>
      <c r="S828" s="59"/>
      <c r="T828" s="59"/>
      <c r="U828" s="59"/>
      <c r="V828" s="59"/>
      <c r="W828" s="59"/>
      <c r="X828" s="59"/>
      <c r="Y828" s="59"/>
      <c r="Z828" s="59"/>
      <c r="AA828" s="59"/>
      <c r="AB828" s="59"/>
      <c r="AC828" s="59"/>
    </row>
    <row r="829" spans="1:29" ht="12.75">
      <c r="A829" s="59"/>
      <c r="B829" s="59"/>
      <c r="C829" s="59"/>
      <c r="D829" s="1173"/>
      <c r="E829" s="59"/>
      <c r="F829" s="1173"/>
      <c r="G829" s="1174"/>
      <c r="H829" s="59"/>
      <c r="I829" s="59"/>
      <c r="J829" s="1173"/>
      <c r="K829" s="59"/>
      <c r="L829" s="1173"/>
      <c r="M829" s="59"/>
      <c r="N829" s="59"/>
      <c r="O829" s="59"/>
      <c r="P829" s="59"/>
      <c r="Q829" s="59"/>
      <c r="R829" s="59"/>
      <c r="S829" s="59"/>
      <c r="T829" s="59"/>
      <c r="U829" s="59"/>
      <c r="V829" s="59"/>
      <c r="W829" s="59"/>
      <c r="X829" s="59"/>
      <c r="Y829" s="59"/>
      <c r="Z829" s="59"/>
      <c r="AA829" s="59"/>
      <c r="AB829" s="59"/>
      <c r="AC829" s="59"/>
    </row>
    <row r="830" spans="1:29" ht="12.75">
      <c r="A830" s="59"/>
      <c r="B830" s="59"/>
      <c r="C830" s="59"/>
      <c r="D830" s="1173"/>
      <c r="E830" s="59"/>
      <c r="F830" s="1173"/>
      <c r="G830" s="1174"/>
      <c r="H830" s="59"/>
      <c r="I830" s="59"/>
      <c r="J830" s="1173"/>
      <c r="K830" s="59"/>
      <c r="L830" s="1173"/>
      <c r="M830" s="59"/>
      <c r="N830" s="59"/>
      <c r="O830" s="59"/>
      <c r="P830" s="59"/>
      <c r="Q830" s="59"/>
      <c r="R830" s="59"/>
      <c r="S830" s="59"/>
      <c r="T830" s="59"/>
      <c r="U830" s="59"/>
      <c r="V830" s="59"/>
      <c r="W830" s="59"/>
      <c r="X830" s="59"/>
      <c r="Y830" s="59"/>
      <c r="Z830" s="59"/>
      <c r="AA830" s="59"/>
      <c r="AB830" s="59"/>
      <c r="AC830" s="59"/>
    </row>
    <row r="831" spans="1:29" ht="12.75">
      <c r="A831" s="59"/>
      <c r="B831" s="59"/>
      <c r="C831" s="59"/>
      <c r="D831" s="1173"/>
      <c r="E831" s="59"/>
      <c r="F831" s="1173"/>
      <c r="G831" s="1174"/>
      <c r="H831" s="59"/>
      <c r="I831" s="59"/>
      <c r="J831" s="1173"/>
      <c r="K831" s="59"/>
      <c r="L831" s="1173"/>
      <c r="M831" s="59"/>
      <c r="N831" s="59"/>
      <c r="O831" s="59"/>
      <c r="P831" s="59"/>
      <c r="Q831" s="59"/>
      <c r="R831" s="59"/>
      <c r="S831" s="59"/>
      <c r="T831" s="59"/>
      <c r="U831" s="59"/>
      <c r="V831" s="59"/>
      <c r="W831" s="59"/>
      <c r="X831" s="59"/>
      <c r="Y831" s="59"/>
      <c r="Z831" s="59"/>
      <c r="AA831" s="59"/>
      <c r="AB831" s="59"/>
      <c r="AC831" s="59"/>
    </row>
    <row r="832" spans="1:29" ht="12.75">
      <c r="A832" s="59"/>
      <c r="B832" s="59"/>
      <c r="C832" s="59"/>
      <c r="D832" s="1173"/>
      <c r="E832" s="59"/>
      <c r="F832" s="1173"/>
      <c r="G832" s="1174"/>
      <c r="H832" s="59"/>
      <c r="I832" s="59"/>
      <c r="J832" s="1173"/>
      <c r="K832" s="59"/>
      <c r="L832" s="1173"/>
      <c r="M832" s="59"/>
      <c r="N832" s="59"/>
      <c r="O832" s="59"/>
      <c r="P832" s="59"/>
      <c r="Q832" s="59"/>
      <c r="R832" s="59"/>
      <c r="S832" s="59"/>
      <c r="T832" s="59"/>
      <c r="U832" s="59"/>
      <c r="V832" s="59"/>
      <c r="W832" s="59"/>
      <c r="X832" s="59"/>
      <c r="Y832" s="59"/>
      <c r="Z832" s="59"/>
      <c r="AA832" s="59"/>
      <c r="AB832" s="59"/>
      <c r="AC832" s="59"/>
    </row>
    <row r="833" spans="1:29" ht="12.75">
      <c r="A833" s="59"/>
      <c r="B833" s="59"/>
      <c r="C833" s="59"/>
      <c r="D833" s="1173"/>
      <c r="E833" s="59"/>
      <c r="F833" s="1173"/>
      <c r="G833" s="1174"/>
      <c r="H833" s="59"/>
      <c r="I833" s="59"/>
      <c r="J833" s="1173"/>
      <c r="K833" s="59"/>
      <c r="L833" s="1173"/>
      <c r="M833" s="59"/>
      <c r="N833" s="59"/>
      <c r="O833" s="59"/>
      <c r="P833" s="59"/>
      <c r="Q833" s="59"/>
      <c r="R833" s="59"/>
      <c r="S833" s="59"/>
      <c r="T833" s="59"/>
      <c r="U833" s="59"/>
      <c r="V833" s="59"/>
      <c r="W833" s="59"/>
      <c r="X833" s="59"/>
      <c r="Y833" s="59"/>
      <c r="Z833" s="59"/>
      <c r="AA833" s="59"/>
      <c r="AB833" s="59"/>
      <c r="AC833" s="59"/>
    </row>
    <row r="834" spans="1:29" ht="12.75">
      <c r="A834" s="59"/>
      <c r="B834" s="59"/>
      <c r="C834" s="59"/>
      <c r="D834" s="1173"/>
      <c r="E834" s="59"/>
      <c r="F834" s="1173"/>
      <c r="G834" s="1174"/>
      <c r="H834" s="59"/>
      <c r="I834" s="59"/>
      <c r="J834" s="1173"/>
      <c r="K834" s="59"/>
      <c r="L834" s="1173"/>
      <c r="M834" s="59"/>
      <c r="N834" s="59"/>
      <c r="O834" s="59"/>
      <c r="P834" s="59"/>
      <c r="Q834" s="59"/>
      <c r="R834" s="59"/>
      <c r="S834" s="59"/>
      <c r="T834" s="59"/>
      <c r="U834" s="59"/>
      <c r="V834" s="59"/>
      <c r="W834" s="59"/>
      <c r="X834" s="59"/>
      <c r="Y834" s="59"/>
      <c r="Z834" s="59"/>
      <c r="AA834" s="59"/>
      <c r="AB834" s="59"/>
      <c r="AC834" s="59"/>
    </row>
    <row r="835" spans="1:29" ht="12.75">
      <c r="A835" s="59"/>
      <c r="B835" s="59"/>
      <c r="C835" s="59"/>
      <c r="D835" s="1173"/>
      <c r="E835" s="59"/>
      <c r="F835" s="1173"/>
      <c r="G835" s="1174"/>
      <c r="H835" s="59"/>
      <c r="I835" s="59"/>
      <c r="J835" s="1173"/>
      <c r="K835" s="59"/>
      <c r="L835" s="1173"/>
      <c r="M835" s="59"/>
      <c r="N835" s="59"/>
      <c r="O835" s="59"/>
      <c r="P835" s="59"/>
      <c r="Q835" s="59"/>
      <c r="R835" s="59"/>
      <c r="S835" s="59"/>
      <c r="T835" s="59"/>
      <c r="U835" s="59"/>
      <c r="V835" s="59"/>
      <c r="W835" s="59"/>
      <c r="X835" s="59"/>
      <c r="Y835" s="59"/>
      <c r="Z835" s="59"/>
      <c r="AA835" s="59"/>
      <c r="AB835" s="59"/>
      <c r="AC835" s="59"/>
    </row>
    <row r="836" spans="1:29" ht="12.75">
      <c r="A836" s="59"/>
      <c r="B836" s="59"/>
      <c r="C836" s="59"/>
      <c r="D836" s="1173"/>
      <c r="E836" s="59"/>
      <c r="F836" s="1173"/>
      <c r="G836" s="1174"/>
      <c r="H836" s="59"/>
      <c r="I836" s="59"/>
      <c r="J836" s="1173"/>
      <c r="K836" s="59"/>
      <c r="L836" s="1173"/>
      <c r="M836" s="59"/>
      <c r="N836" s="59"/>
      <c r="O836" s="59"/>
      <c r="P836" s="59"/>
      <c r="Q836" s="59"/>
      <c r="R836" s="59"/>
      <c r="S836" s="59"/>
      <c r="T836" s="59"/>
      <c r="U836" s="59"/>
      <c r="V836" s="59"/>
      <c r="W836" s="59"/>
      <c r="X836" s="59"/>
      <c r="Y836" s="59"/>
      <c r="Z836" s="59"/>
      <c r="AA836" s="59"/>
      <c r="AB836" s="59"/>
      <c r="AC836" s="59"/>
    </row>
    <row r="837" spans="1:29" ht="12.75">
      <c r="A837" s="59"/>
      <c r="B837" s="59"/>
      <c r="C837" s="59"/>
      <c r="D837" s="1173"/>
      <c r="E837" s="59"/>
      <c r="F837" s="1173"/>
      <c r="G837" s="1174"/>
      <c r="H837" s="59"/>
      <c r="I837" s="59"/>
      <c r="J837" s="1173"/>
      <c r="K837" s="59"/>
      <c r="L837" s="1173"/>
      <c r="M837" s="59"/>
      <c r="N837" s="59"/>
      <c r="O837" s="59"/>
      <c r="P837" s="59"/>
      <c r="Q837" s="59"/>
      <c r="R837" s="59"/>
      <c r="S837" s="59"/>
      <c r="T837" s="59"/>
      <c r="U837" s="59"/>
      <c r="V837" s="59"/>
      <c r="W837" s="59"/>
      <c r="X837" s="59"/>
      <c r="Y837" s="59"/>
      <c r="Z837" s="59"/>
      <c r="AA837" s="59"/>
      <c r="AB837" s="59"/>
      <c r="AC837" s="59"/>
    </row>
    <row r="838" spans="1:29" ht="12.75">
      <c r="A838" s="59"/>
      <c r="B838" s="59"/>
      <c r="C838" s="59"/>
      <c r="D838" s="1173"/>
      <c r="E838" s="59"/>
      <c r="F838" s="1173"/>
      <c r="G838" s="1174"/>
      <c r="H838" s="59"/>
      <c r="I838" s="59"/>
      <c r="J838" s="1173"/>
      <c r="K838" s="59"/>
      <c r="L838" s="1173"/>
      <c r="M838" s="59"/>
      <c r="N838" s="59"/>
      <c r="O838" s="59"/>
      <c r="P838" s="59"/>
      <c r="Q838" s="59"/>
      <c r="R838" s="59"/>
      <c r="S838" s="59"/>
      <c r="T838" s="59"/>
      <c r="U838" s="59"/>
      <c r="V838" s="59"/>
      <c r="W838" s="59"/>
      <c r="X838" s="59"/>
      <c r="Y838" s="59"/>
      <c r="Z838" s="59"/>
      <c r="AA838" s="59"/>
      <c r="AB838" s="59"/>
      <c r="AC838" s="59"/>
    </row>
    <row r="839" spans="1:29" ht="12.75">
      <c r="A839" s="59"/>
      <c r="B839" s="59"/>
      <c r="C839" s="59"/>
      <c r="D839" s="1173"/>
      <c r="E839" s="59"/>
      <c r="F839" s="1173"/>
      <c r="G839" s="1174"/>
      <c r="H839" s="59"/>
      <c r="I839" s="59"/>
      <c r="J839" s="1173"/>
      <c r="K839" s="59"/>
      <c r="L839" s="1173"/>
      <c r="M839" s="59"/>
      <c r="N839" s="59"/>
      <c r="O839" s="59"/>
      <c r="P839" s="59"/>
      <c r="Q839" s="59"/>
      <c r="R839" s="59"/>
      <c r="S839" s="59"/>
      <c r="T839" s="59"/>
      <c r="U839" s="59"/>
      <c r="V839" s="59"/>
      <c r="W839" s="59"/>
      <c r="X839" s="59"/>
      <c r="Y839" s="59"/>
      <c r="Z839" s="59"/>
      <c r="AA839" s="59"/>
      <c r="AB839" s="59"/>
      <c r="AC839" s="59"/>
    </row>
    <row r="840" spans="1:29" ht="12.75">
      <c r="A840" s="59"/>
      <c r="B840" s="59"/>
      <c r="C840" s="59"/>
      <c r="D840" s="1173"/>
      <c r="E840" s="59"/>
      <c r="F840" s="1173"/>
      <c r="G840" s="1174"/>
      <c r="H840" s="59"/>
      <c r="I840" s="59"/>
      <c r="J840" s="1173"/>
      <c r="K840" s="59"/>
      <c r="L840" s="1173"/>
      <c r="M840" s="59"/>
      <c r="N840" s="59"/>
      <c r="O840" s="59"/>
      <c r="P840" s="59"/>
      <c r="Q840" s="59"/>
      <c r="R840" s="59"/>
      <c r="S840" s="59"/>
      <c r="T840" s="59"/>
      <c r="U840" s="59"/>
      <c r="V840" s="59"/>
      <c r="W840" s="59"/>
      <c r="X840" s="59"/>
      <c r="Y840" s="59"/>
      <c r="Z840" s="59"/>
      <c r="AA840" s="59"/>
      <c r="AB840" s="59"/>
      <c r="AC840" s="59"/>
    </row>
    <row r="841" spans="1:29" ht="12.75">
      <c r="A841" s="59"/>
      <c r="B841" s="59"/>
      <c r="C841" s="59"/>
      <c r="D841" s="1173"/>
      <c r="E841" s="59"/>
      <c r="F841" s="1173"/>
      <c r="G841" s="1174"/>
      <c r="H841" s="59"/>
      <c r="I841" s="59"/>
      <c r="J841" s="1173"/>
      <c r="K841" s="59"/>
      <c r="L841" s="1173"/>
      <c r="M841" s="59"/>
      <c r="N841" s="59"/>
      <c r="O841" s="59"/>
      <c r="P841" s="59"/>
      <c r="Q841" s="59"/>
      <c r="R841" s="59"/>
      <c r="S841" s="59"/>
      <c r="T841" s="59"/>
      <c r="U841" s="59"/>
      <c r="V841" s="59"/>
      <c r="W841" s="59"/>
      <c r="X841" s="59"/>
      <c r="Y841" s="59"/>
      <c r="Z841" s="59"/>
      <c r="AA841" s="59"/>
      <c r="AB841" s="59"/>
      <c r="AC841" s="59"/>
    </row>
    <row r="842" spans="1:29" ht="12.75">
      <c r="A842" s="59"/>
      <c r="B842" s="59"/>
      <c r="C842" s="59"/>
      <c r="D842" s="1173"/>
      <c r="E842" s="59"/>
      <c r="F842" s="1173"/>
      <c r="G842" s="1174"/>
      <c r="H842" s="59"/>
      <c r="I842" s="59"/>
      <c r="J842" s="1173"/>
      <c r="K842" s="59"/>
      <c r="L842" s="1173"/>
      <c r="M842" s="59"/>
      <c r="N842" s="59"/>
      <c r="O842" s="59"/>
      <c r="P842" s="59"/>
      <c r="Q842" s="59"/>
      <c r="R842" s="59"/>
      <c r="S842" s="59"/>
      <c r="T842" s="59"/>
      <c r="U842" s="59"/>
      <c r="V842" s="59"/>
      <c r="W842" s="59"/>
      <c r="X842" s="59"/>
      <c r="Y842" s="59"/>
      <c r="Z842" s="59"/>
      <c r="AA842" s="59"/>
      <c r="AB842" s="59"/>
      <c r="AC842" s="59"/>
    </row>
    <row r="843" spans="1:29" ht="12.75">
      <c r="A843" s="59"/>
      <c r="B843" s="59"/>
      <c r="C843" s="59"/>
      <c r="D843" s="1173"/>
      <c r="E843" s="59"/>
      <c r="F843" s="1173"/>
      <c r="G843" s="1174"/>
      <c r="H843" s="59"/>
      <c r="I843" s="59"/>
      <c r="J843" s="1173"/>
      <c r="K843" s="59"/>
      <c r="L843" s="1173"/>
      <c r="M843" s="59"/>
      <c r="N843" s="59"/>
      <c r="O843" s="59"/>
      <c r="P843" s="59"/>
      <c r="Q843" s="59"/>
      <c r="R843" s="59"/>
      <c r="S843" s="59"/>
      <c r="T843" s="59"/>
      <c r="U843" s="59"/>
      <c r="V843" s="59"/>
      <c r="W843" s="59"/>
      <c r="X843" s="59"/>
      <c r="Y843" s="59"/>
      <c r="Z843" s="59"/>
      <c r="AA843" s="59"/>
      <c r="AB843" s="59"/>
      <c r="AC843" s="59"/>
    </row>
    <row r="844" spans="1:29" ht="12.75">
      <c r="A844" s="59"/>
      <c r="B844" s="59"/>
      <c r="C844" s="59"/>
      <c r="D844" s="1173"/>
      <c r="E844" s="59"/>
      <c r="F844" s="1173"/>
      <c r="G844" s="1174"/>
      <c r="H844" s="59"/>
      <c r="I844" s="59"/>
      <c r="J844" s="1173"/>
      <c r="K844" s="59"/>
      <c r="L844" s="1173"/>
      <c r="M844" s="59"/>
      <c r="N844" s="59"/>
      <c r="O844" s="59"/>
      <c r="P844" s="59"/>
      <c r="Q844" s="59"/>
      <c r="R844" s="59"/>
      <c r="S844" s="59"/>
      <c r="T844" s="59"/>
      <c r="U844" s="59"/>
      <c r="V844" s="59"/>
      <c r="W844" s="59"/>
      <c r="X844" s="59"/>
      <c r="Y844" s="59"/>
      <c r="Z844" s="59"/>
      <c r="AA844" s="59"/>
      <c r="AB844" s="59"/>
      <c r="AC844" s="59"/>
    </row>
    <row r="845" spans="1:29" ht="12.75">
      <c r="A845" s="59"/>
      <c r="B845" s="59"/>
      <c r="C845" s="59"/>
      <c r="D845" s="1173"/>
      <c r="E845" s="59"/>
      <c r="F845" s="1173"/>
      <c r="G845" s="1174"/>
      <c r="H845" s="59"/>
      <c r="I845" s="59"/>
      <c r="J845" s="1173"/>
      <c r="K845" s="59"/>
      <c r="L845" s="1173"/>
      <c r="M845" s="59"/>
      <c r="N845" s="59"/>
      <c r="O845" s="59"/>
      <c r="P845" s="59"/>
      <c r="Q845" s="59"/>
      <c r="R845" s="59"/>
      <c r="S845" s="59"/>
      <c r="T845" s="59"/>
      <c r="U845" s="59"/>
      <c r="V845" s="59"/>
      <c r="W845" s="59"/>
      <c r="X845" s="59"/>
      <c r="Y845" s="59"/>
      <c r="Z845" s="59"/>
      <c r="AA845" s="59"/>
      <c r="AB845" s="59"/>
      <c r="AC845" s="59"/>
    </row>
    <row r="846" spans="1:29" ht="12.75">
      <c r="A846" s="59"/>
      <c r="B846" s="59"/>
      <c r="C846" s="59"/>
      <c r="D846" s="1173"/>
      <c r="E846" s="59"/>
      <c r="F846" s="1173"/>
      <c r="G846" s="1174"/>
      <c r="H846" s="59"/>
      <c r="I846" s="59"/>
      <c r="J846" s="1173"/>
      <c r="K846" s="59"/>
      <c r="L846" s="1173"/>
      <c r="M846" s="59"/>
      <c r="N846" s="59"/>
      <c r="O846" s="59"/>
      <c r="P846" s="59"/>
      <c r="Q846" s="59"/>
      <c r="R846" s="59"/>
      <c r="S846" s="59"/>
      <c r="T846" s="59"/>
      <c r="U846" s="59"/>
      <c r="V846" s="59"/>
      <c r="W846" s="59"/>
      <c r="X846" s="59"/>
      <c r="Y846" s="59"/>
      <c r="Z846" s="59"/>
      <c r="AA846" s="59"/>
      <c r="AB846" s="59"/>
      <c r="AC846" s="59"/>
    </row>
    <row r="847" spans="1:29" ht="12.75">
      <c r="A847" s="59"/>
      <c r="B847" s="59"/>
      <c r="C847" s="59"/>
      <c r="D847" s="1173"/>
      <c r="E847" s="59"/>
      <c r="F847" s="1173"/>
      <c r="G847" s="1174"/>
      <c r="H847" s="59"/>
      <c r="I847" s="59"/>
      <c r="J847" s="1173"/>
      <c r="K847" s="59"/>
      <c r="L847" s="1173"/>
      <c r="M847" s="59"/>
      <c r="N847" s="59"/>
      <c r="O847" s="59"/>
      <c r="P847" s="59"/>
      <c r="Q847" s="59"/>
      <c r="R847" s="59"/>
      <c r="S847" s="59"/>
      <c r="T847" s="59"/>
      <c r="U847" s="59"/>
      <c r="V847" s="59"/>
      <c r="W847" s="59"/>
      <c r="X847" s="59"/>
      <c r="Y847" s="59"/>
      <c r="Z847" s="59"/>
      <c r="AA847" s="59"/>
      <c r="AB847" s="59"/>
      <c r="AC847" s="59"/>
    </row>
    <row r="848" spans="1:29" ht="12.75">
      <c r="A848" s="59"/>
      <c r="B848" s="59"/>
      <c r="C848" s="59"/>
      <c r="D848" s="1173"/>
      <c r="E848" s="59"/>
      <c r="F848" s="1173"/>
      <c r="G848" s="1174"/>
      <c r="H848" s="59"/>
      <c r="I848" s="59"/>
      <c r="J848" s="1173"/>
      <c r="K848" s="59"/>
      <c r="L848" s="1173"/>
      <c r="M848" s="59"/>
      <c r="N848" s="59"/>
      <c r="O848" s="59"/>
      <c r="P848" s="59"/>
      <c r="Q848" s="59"/>
      <c r="R848" s="59"/>
      <c r="S848" s="59"/>
      <c r="T848" s="59"/>
      <c r="U848" s="59"/>
      <c r="V848" s="59"/>
      <c r="W848" s="59"/>
      <c r="X848" s="59"/>
      <c r="Y848" s="59"/>
      <c r="Z848" s="59"/>
      <c r="AA848" s="59"/>
      <c r="AB848" s="59"/>
      <c r="AC848" s="59"/>
    </row>
    <row r="849" spans="1:29" ht="12.75">
      <c r="A849" s="59"/>
      <c r="B849" s="59"/>
      <c r="C849" s="59"/>
      <c r="D849" s="1173"/>
      <c r="E849" s="59"/>
      <c r="F849" s="1173"/>
      <c r="G849" s="1174"/>
      <c r="H849" s="59"/>
      <c r="I849" s="59"/>
      <c r="J849" s="1173"/>
      <c r="K849" s="59"/>
      <c r="L849" s="1173"/>
      <c r="M849" s="59"/>
      <c r="N849" s="59"/>
      <c r="O849" s="59"/>
      <c r="P849" s="59"/>
      <c r="Q849" s="59"/>
      <c r="R849" s="59"/>
      <c r="S849" s="59"/>
      <c r="T849" s="59"/>
      <c r="U849" s="59"/>
      <c r="V849" s="59"/>
      <c r="W849" s="59"/>
      <c r="X849" s="59"/>
      <c r="Y849" s="59"/>
      <c r="Z849" s="59"/>
      <c r="AA849" s="59"/>
      <c r="AB849" s="59"/>
      <c r="AC849" s="59"/>
    </row>
    <row r="850" spans="1:29" ht="12.75">
      <c r="A850" s="59"/>
      <c r="B850" s="59"/>
      <c r="C850" s="59"/>
      <c r="D850" s="1173"/>
      <c r="E850" s="59"/>
      <c r="F850" s="1173"/>
      <c r="G850" s="1174"/>
      <c r="H850" s="59"/>
      <c r="I850" s="59"/>
      <c r="J850" s="1173"/>
      <c r="K850" s="59"/>
      <c r="L850" s="1173"/>
      <c r="M850" s="59"/>
      <c r="N850" s="59"/>
      <c r="O850" s="59"/>
      <c r="P850" s="59"/>
      <c r="Q850" s="59"/>
      <c r="R850" s="59"/>
      <c r="S850" s="59"/>
      <c r="T850" s="59"/>
      <c r="U850" s="59"/>
      <c r="V850" s="59"/>
      <c r="W850" s="59"/>
      <c r="X850" s="59"/>
      <c r="Y850" s="59"/>
      <c r="Z850" s="59"/>
      <c r="AA850" s="59"/>
      <c r="AB850" s="59"/>
      <c r="AC850" s="59"/>
    </row>
    <row r="851" spans="1:29" ht="12.75">
      <c r="A851" s="59"/>
      <c r="B851" s="59"/>
      <c r="C851" s="59"/>
      <c r="D851" s="1173"/>
      <c r="E851" s="59"/>
      <c r="F851" s="1173"/>
      <c r="G851" s="1174"/>
      <c r="H851" s="59"/>
      <c r="I851" s="59"/>
      <c r="J851" s="1173"/>
      <c r="K851" s="59"/>
      <c r="L851" s="1173"/>
      <c r="M851" s="59"/>
      <c r="N851" s="59"/>
      <c r="O851" s="59"/>
      <c r="P851" s="59"/>
      <c r="Q851" s="59"/>
      <c r="R851" s="59"/>
      <c r="S851" s="59"/>
      <c r="T851" s="59"/>
      <c r="U851" s="59"/>
      <c r="V851" s="59"/>
      <c r="W851" s="59"/>
      <c r="X851" s="59"/>
      <c r="Y851" s="59"/>
      <c r="Z851" s="59"/>
      <c r="AA851" s="59"/>
      <c r="AB851" s="59"/>
      <c r="AC851" s="59"/>
    </row>
    <row r="852" spans="1:29" ht="12.75">
      <c r="A852" s="59"/>
      <c r="B852" s="59"/>
      <c r="C852" s="59"/>
      <c r="D852" s="1173"/>
      <c r="E852" s="59"/>
      <c r="F852" s="1173"/>
      <c r="G852" s="1174"/>
      <c r="H852" s="59"/>
      <c r="I852" s="59"/>
      <c r="J852" s="1173"/>
      <c r="K852" s="59"/>
      <c r="L852" s="1173"/>
      <c r="M852" s="59"/>
      <c r="N852" s="59"/>
      <c r="O852" s="59"/>
      <c r="P852" s="59"/>
      <c r="Q852" s="59"/>
      <c r="R852" s="59"/>
      <c r="S852" s="59"/>
      <c r="T852" s="59"/>
      <c r="U852" s="59"/>
      <c r="V852" s="59"/>
      <c r="W852" s="59"/>
      <c r="X852" s="59"/>
      <c r="Y852" s="59"/>
      <c r="Z852" s="59"/>
      <c r="AA852" s="59"/>
      <c r="AB852" s="59"/>
      <c r="AC852" s="59"/>
    </row>
    <row r="853" spans="1:29" ht="12.75">
      <c r="A853" s="59"/>
      <c r="B853" s="59"/>
      <c r="C853" s="59"/>
      <c r="D853" s="1173"/>
      <c r="E853" s="59"/>
      <c r="F853" s="1173"/>
      <c r="G853" s="1174"/>
      <c r="H853" s="59"/>
      <c r="I853" s="59"/>
      <c r="J853" s="1173"/>
      <c r="K853" s="59"/>
      <c r="L853" s="1173"/>
      <c r="M853" s="59"/>
      <c r="N853" s="59"/>
      <c r="O853" s="59"/>
      <c r="P853" s="59"/>
      <c r="Q853" s="59"/>
      <c r="R853" s="59"/>
      <c r="S853" s="59"/>
      <c r="T853" s="59"/>
      <c r="U853" s="59"/>
      <c r="V853" s="59"/>
      <c r="W853" s="59"/>
      <c r="X853" s="59"/>
      <c r="Y853" s="59"/>
      <c r="Z853" s="59"/>
      <c r="AA853" s="59"/>
      <c r="AB853" s="59"/>
      <c r="AC853" s="59"/>
    </row>
    <row r="854" spans="1:29" ht="12.75">
      <c r="A854" s="59"/>
      <c r="B854" s="59"/>
      <c r="C854" s="59"/>
      <c r="D854" s="1173"/>
      <c r="E854" s="59"/>
      <c r="F854" s="1173"/>
      <c r="G854" s="1174"/>
      <c r="H854" s="59"/>
      <c r="I854" s="59"/>
      <c r="J854" s="1173"/>
      <c r="K854" s="59"/>
      <c r="L854" s="1173"/>
      <c r="M854" s="59"/>
      <c r="N854" s="59"/>
      <c r="O854" s="59"/>
      <c r="P854" s="59"/>
      <c r="Q854" s="59"/>
      <c r="R854" s="59"/>
      <c r="S854" s="59"/>
      <c r="T854" s="59"/>
      <c r="U854" s="59"/>
      <c r="V854" s="59"/>
      <c r="W854" s="59"/>
      <c r="X854" s="59"/>
      <c r="Y854" s="59"/>
      <c r="Z854" s="59"/>
      <c r="AA854" s="59"/>
      <c r="AB854" s="59"/>
      <c r="AC854" s="59"/>
    </row>
    <row r="855" spans="1:29" ht="12.75">
      <c r="A855" s="59"/>
      <c r="B855" s="59"/>
      <c r="C855" s="59"/>
      <c r="D855" s="1173"/>
      <c r="E855" s="59"/>
      <c r="F855" s="1173"/>
      <c r="G855" s="1174"/>
      <c r="H855" s="59"/>
      <c r="I855" s="59"/>
      <c r="J855" s="1173"/>
      <c r="K855" s="59"/>
      <c r="L855" s="1173"/>
      <c r="M855" s="59"/>
      <c r="N855" s="59"/>
      <c r="O855" s="59"/>
      <c r="P855" s="59"/>
      <c r="Q855" s="59"/>
      <c r="R855" s="59"/>
      <c r="S855" s="59"/>
      <c r="T855" s="59"/>
      <c r="U855" s="59"/>
      <c r="V855" s="59"/>
      <c r="W855" s="59"/>
      <c r="X855" s="59"/>
      <c r="Y855" s="59"/>
      <c r="Z855" s="59"/>
      <c r="AA855" s="59"/>
      <c r="AB855" s="59"/>
      <c r="AC855" s="59"/>
    </row>
    <row r="856" spans="1:29" ht="12.75">
      <c r="A856" s="59"/>
      <c r="B856" s="59"/>
      <c r="C856" s="59"/>
      <c r="D856" s="1173"/>
      <c r="E856" s="59"/>
      <c r="F856" s="1173"/>
      <c r="G856" s="1174"/>
      <c r="H856" s="59"/>
      <c r="I856" s="59"/>
      <c r="J856" s="1173"/>
      <c r="K856" s="59"/>
      <c r="L856" s="1173"/>
      <c r="M856" s="59"/>
      <c r="N856" s="59"/>
      <c r="O856" s="59"/>
      <c r="P856" s="59"/>
      <c r="Q856" s="59"/>
      <c r="R856" s="59"/>
      <c r="S856" s="59"/>
      <c r="T856" s="59"/>
      <c r="U856" s="59"/>
      <c r="V856" s="59"/>
      <c r="W856" s="59"/>
      <c r="X856" s="59"/>
      <c r="Y856" s="59"/>
      <c r="Z856" s="59"/>
      <c r="AA856" s="59"/>
      <c r="AB856" s="59"/>
      <c r="AC856" s="59"/>
    </row>
    <row r="857" spans="1:29" ht="12.75">
      <c r="A857" s="59"/>
      <c r="B857" s="59"/>
      <c r="C857" s="59"/>
      <c r="D857" s="1173"/>
      <c r="E857" s="59"/>
      <c r="F857" s="1173"/>
      <c r="G857" s="1174"/>
      <c r="H857" s="59"/>
      <c r="I857" s="59"/>
      <c r="J857" s="1173"/>
      <c r="K857" s="59"/>
      <c r="L857" s="1173"/>
      <c r="M857" s="59"/>
      <c r="N857" s="59"/>
      <c r="O857" s="59"/>
      <c r="P857" s="59"/>
      <c r="Q857" s="59"/>
      <c r="R857" s="59"/>
      <c r="S857" s="59"/>
      <c r="T857" s="59"/>
      <c r="U857" s="59"/>
      <c r="V857" s="59"/>
      <c r="W857" s="59"/>
      <c r="X857" s="59"/>
      <c r="Y857" s="59"/>
      <c r="Z857" s="59"/>
      <c r="AA857" s="59"/>
      <c r="AB857" s="59"/>
      <c r="AC857" s="59"/>
    </row>
    <row r="858" spans="1:29" ht="12.75">
      <c r="A858" s="59"/>
      <c r="B858" s="59"/>
      <c r="C858" s="59"/>
      <c r="D858" s="1173"/>
      <c r="E858" s="59"/>
      <c r="F858" s="1173"/>
      <c r="G858" s="1174"/>
      <c r="H858" s="59"/>
      <c r="I858" s="59"/>
      <c r="J858" s="1173"/>
      <c r="K858" s="59"/>
      <c r="L858" s="1173"/>
      <c r="M858" s="59"/>
      <c r="N858" s="59"/>
      <c r="O858" s="59"/>
      <c r="P858" s="59"/>
      <c r="Q858" s="59"/>
      <c r="R858" s="59"/>
      <c r="S858" s="59"/>
      <c r="T858" s="59"/>
      <c r="U858" s="59"/>
      <c r="V858" s="59"/>
      <c r="W858" s="59"/>
      <c r="X858" s="59"/>
      <c r="Y858" s="59"/>
      <c r="Z858" s="59"/>
      <c r="AA858" s="59"/>
      <c r="AB858" s="59"/>
      <c r="AC858" s="59"/>
    </row>
    <row r="859" spans="1:29" ht="12.75">
      <c r="A859" s="59"/>
      <c r="B859" s="59"/>
      <c r="C859" s="59"/>
      <c r="D859" s="1173"/>
      <c r="E859" s="59"/>
      <c r="F859" s="1173"/>
      <c r="G859" s="1174"/>
      <c r="H859" s="59"/>
      <c r="I859" s="59"/>
      <c r="J859" s="1173"/>
      <c r="K859" s="59"/>
      <c r="L859" s="1173"/>
      <c r="M859" s="59"/>
      <c r="N859" s="59"/>
      <c r="O859" s="59"/>
      <c r="P859" s="59"/>
      <c r="Q859" s="59"/>
      <c r="R859" s="59"/>
      <c r="S859" s="59"/>
      <c r="T859" s="59"/>
      <c r="U859" s="59"/>
      <c r="V859" s="59"/>
      <c r="W859" s="59"/>
      <c r="X859" s="59"/>
      <c r="Y859" s="59"/>
      <c r="Z859" s="59"/>
      <c r="AA859" s="59"/>
      <c r="AB859" s="59"/>
      <c r="AC859" s="59"/>
    </row>
    <row r="860" spans="1:29" ht="12.75">
      <c r="A860" s="59"/>
      <c r="B860" s="59"/>
      <c r="C860" s="59"/>
      <c r="D860" s="1173"/>
      <c r="E860" s="59"/>
      <c r="F860" s="1173"/>
      <c r="G860" s="1174"/>
      <c r="H860" s="59"/>
      <c r="I860" s="59"/>
      <c r="J860" s="1173"/>
      <c r="K860" s="59"/>
      <c r="L860" s="1173"/>
      <c r="M860" s="59"/>
      <c r="N860" s="59"/>
      <c r="O860" s="59"/>
      <c r="P860" s="59"/>
      <c r="Q860" s="59"/>
      <c r="R860" s="59"/>
      <c r="S860" s="59"/>
      <c r="T860" s="59"/>
      <c r="U860" s="59"/>
      <c r="V860" s="59"/>
      <c r="W860" s="59"/>
      <c r="X860" s="59"/>
      <c r="Y860" s="59"/>
      <c r="Z860" s="59"/>
      <c r="AA860" s="59"/>
      <c r="AB860" s="59"/>
      <c r="AC860" s="59"/>
    </row>
    <row r="861" spans="1:29" ht="12.75">
      <c r="A861" s="59"/>
      <c r="B861" s="59"/>
      <c r="C861" s="59"/>
      <c r="D861" s="1173"/>
      <c r="E861" s="59"/>
      <c r="F861" s="1173"/>
      <c r="G861" s="1174"/>
      <c r="H861" s="59"/>
      <c r="I861" s="59"/>
      <c r="J861" s="1173"/>
      <c r="K861" s="59"/>
      <c r="L861" s="1173"/>
      <c r="M861" s="59"/>
      <c r="N861" s="59"/>
      <c r="O861" s="59"/>
      <c r="P861" s="59"/>
      <c r="Q861" s="59"/>
      <c r="R861" s="59"/>
      <c r="S861" s="59"/>
      <c r="T861" s="59"/>
      <c r="U861" s="59"/>
      <c r="V861" s="59"/>
      <c r="W861" s="59"/>
      <c r="X861" s="59"/>
      <c r="Y861" s="59"/>
      <c r="Z861" s="59"/>
      <c r="AA861" s="59"/>
      <c r="AB861" s="59"/>
      <c r="AC861" s="59"/>
    </row>
    <row r="862" spans="1:29" ht="12.75">
      <c r="A862" s="59"/>
      <c r="B862" s="59"/>
      <c r="C862" s="59"/>
      <c r="D862" s="1173"/>
      <c r="E862" s="59"/>
      <c r="F862" s="1173"/>
      <c r="G862" s="1174"/>
      <c r="H862" s="59"/>
      <c r="I862" s="59"/>
      <c r="J862" s="1173"/>
      <c r="K862" s="59"/>
      <c r="L862" s="1173"/>
      <c r="M862" s="59"/>
      <c r="N862" s="59"/>
      <c r="O862" s="59"/>
      <c r="P862" s="59"/>
      <c r="Q862" s="59"/>
      <c r="R862" s="59"/>
      <c r="S862" s="59"/>
      <c r="T862" s="59"/>
      <c r="U862" s="59"/>
      <c r="V862" s="59"/>
      <c r="W862" s="59"/>
      <c r="X862" s="59"/>
      <c r="Y862" s="59"/>
      <c r="Z862" s="59"/>
      <c r="AA862" s="59"/>
      <c r="AB862" s="59"/>
      <c r="AC862" s="59"/>
    </row>
    <row r="863" spans="1:29" ht="12.75">
      <c r="A863" s="59"/>
      <c r="B863" s="59"/>
      <c r="C863" s="59"/>
      <c r="D863" s="1173"/>
      <c r="E863" s="59"/>
      <c r="F863" s="1173"/>
      <c r="G863" s="1174"/>
      <c r="H863" s="59"/>
      <c r="I863" s="59"/>
      <c r="J863" s="1173"/>
      <c r="K863" s="59"/>
      <c r="L863" s="1173"/>
      <c r="M863" s="59"/>
      <c r="N863" s="59"/>
      <c r="O863" s="59"/>
      <c r="P863" s="59"/>
      <c r="Q863" s="59"/>
      <c r="R863" s="59"/>
      <c r="S863" s="59"/>
      <c r="T863" s="59"/>
      <c r="U863" s="59"/>
      <c r="V863" s="59"/>
      <c r="W863" s="59"/>
      <c r="X863" s="59"/>
      <c r="Y863" s="59"/>
      <c r="Z863" s="59"/>
      <c r="AA863" s="59"/>
      <c r="AB863" s="59"/>
      <c r="AC863" s="59"/>
    </row>
    <row r="864" spans="1:29" ht="12.75">
      <c r="A864" s="59"/>
      <c r="B864" s="59"/>
      <c r="C864" s="59"/>
      <c r="D864" s="1173"/>
      <c r="E864" s="59"/>
      <c r="F864" s="1173"/>
      <c r="G864" s="1174"/>
      <c r="H864" s="59"/>
      <c r="I864" s="59"/>
      <c r="J864" s="1173"/>
      <c r="K864" s="59"/>
      <c r="L864" s="1173"/>
      <c r="M864" s="59"/>
      <c r="N864" s="59"/>
      <c r="O864" s="59"/>
      <c r="P864" s="59"/>
      <c r="Q864" s="59"/>
      <c r="R864" s="59"/>
      <c r="S864" s="59"/>
      <c r="T864" s="59"/>
      <c r="U864" s="59"/>
      <c r="V864" s="59"/>
      <c r="W864" s="59"/>
      <c r="X864" s="59"/>
      <c r="Y864" s="59"/>
      <c r="Z864" s="59"/>
      <c r="AA864" s="59"/>
      <c r="AB864" s="59"/>
      <c r="AC864" s="59"/>
    </row>
    <row r="865" spans="1:29" ht="12.75">
      <c r="A865" s="59"/>
      <c r="B865" s="59"/>
      <c r="C865" s="59"/>
      <c r="D865" s="1173"/>
      <c r="E865" s="59"/>
      <c r="F865" s="1173"/>
      <c r="G865" s="1174"/>
      <c r="H865" s="59"/>
      <c r="I865" s="59"/>
      <c r="J865" s="1173"/>
      <c r="K865" s="59"/>
      <c r="L865" s="1173"/>
      <c r="M865" s="59"/>
      <c r="N865" s="59"/>
      <c r="O865" s="59"/>
      <c r="P865" s="59"/>
      <c r="Q865" s="59"/>
      <c r="R865" s="59"/>
      <c r="S865" s="59"/>
      <c r="T865" s="59"/>
      <c r="U865" s="59"/>
      <c r="V865" s="59"/>
      <c r="W865" s="59"/>
      <c r="X865" s="59"/>
      <c r="Y865" s="59"/>
      <c r="Z865" s="59"/>
      <c r="AA865" s="59"/>
      <c r="AB865" s="59"/>
      <c r="AC865" s="59"/>
    </row>
    <row r="866" spans="1:29" ht="12.75">
      <c r="A866" s="59"/>
      <c r="B866" s="59"/>
      <c r="C866" s="59"/>
      <c r="D866" s="1173"/>
      <c r="E866" s="59"/>
      <c r="F866" s="1173"/>
      <c r="G866" s="1174"/>
      <c r="H866" s="59"/>
      <c r="I866" s="59"/>
      <c r="J866" s="1173"/>
      <c r="K866" s="59"/>
      <c r="L866" s="1173"/>
      <c r="M866" s="59"/>
      <c r="N866" s="59"/>
      <c r="O866" s="59"/>
      <c r="P866" s="59"/>
      <c r="Q866" s="59"/>
      <c r="R866" s="59"/>
      <c r="S866" s="59"/>
      <c r="T866" s="59"/>
      <c r="U866" s="59"/>
      <c r="V866" s="59"/>
      <c r="W866" s="59"/>
      <c r="X866" s="59"/>
      <c r="Y866" s="59"/>
      <c r="Z866" s="59"/>
      <c r="AA866" s="59"/>
      <c r="AB866" s="59"/>
      <c r="AC866" s="59"/>
    </row>
    <row r="867" spans="1:29" ht="12.75">
      <c r="A867" s="59"/>
      <c r="B867" s="59"/>
      <c r="C867" s="59"/>
      <c r="D867" s="1173"/>
      <c r="E867" s="59"/>
      <c r="F867" s="1173"/>
      <c r="G867" s="1174"/>
      <c r="H867" s="59"/>
      <c r="I867" s="59"/>
      <c r="J867" s="1173"/>
      <c r="K867" s="59"/>
      <c r="L867" s="1173"/>
      <c r="M867" s="59"/>
      <c r="N867" s="59"/>
      <c r="O867" s="59"/>
      <c r="P867" s="59"/>
      <c r="Q867" s="59"/>
      <c r="R867" s="59"/>
      <c r="S867" s="59"/>
      <c r="T867" s="59"/>
      <c r="U867" s="59"/>
      <c r="V867" s="59"/>
      <c r="W867" s="59"/>
      <c r="X867" s="59"/>
      <c r="Y867" s="59"/>
      <c r="Z867" s="59"/>
      <c r="AA867" s="59"/>
      <c r="AB867" s="59"/>
      <c r="AC867" s="59"/>
    </row>
    <row r="868" spans="1:29" ht="12.75">
      <c r="A868" s="59"/>
      <c r="B868" s="59"/>
      <c r="C868" s="59"/>
      <c r="D868" s="1173"/>
      <c r="E868" s="59"/>
      <c r="F868" s="1173"/>
      <c r="G868" s="1174"/>
      <c r="H868" s="59"/>
      <c r="I868" s="59"/>
      <c r="J868" s="1173"/>
      <c r="K868" s="59"/>
      <c r="L868" s="1173"/>
      <c r="M868" s="59"/>
      <c r="N868" s="59"/>
      <c r="O868" s="59"/>
      <c r="P868" s="59"/>
      <c r="Q868" s="59"/>
      <c r="R868" s="59"/>
      <c r="S868" s="59"/>
      <c r="T868" s="59"/>
      <c r="U868" s="59"/>
      <c r="V868" s="59"/>
      <c r="W868" s="59"/>
      <c r="X868" s="59"/>
      <c r="Y868" s="59"/>
      <c r="Z868" s="59"/>
      <c r="AA868" s="59"/>
      <c r="AB868" s="59"/>
      <c r="AC868" s="59"/>
    </row>
    <row r="869" spans="1:29" ht="12.75">
      <c r="A869" s="59"/>
      <c r="B869" s="59"/>
      <c r="C869" s="59"/>
      <c r="D869" s="1173"/>
      <c r="E869" s="59"/>
      <c r="F869" s="1173"/>
      <c r="G869" s="1174"/>
      <c r="H869" s="59"/>
      <c r="I869" s="59"/>
      <c r="J869" s="1173"/>
      <c r="K869" s="59"/>
      <c r="L869" s="1173"/>
      <c r="M869" s="59"/>
      <c r="N869" s="59"/>
      <c r="O869" s="59"/>
      <c r="P869" s="59"/>
      <c r="Q869" s="59"/>
      <c r="R869" s="59"/>
      <c r="S869" s="59"/>
      <c r="T869" s="59"/>
      <c r="U869" s="59"/>
      <c r="V869" s="59"/>
      <c r="W869" s="59"/>
      <c r="X869" s="59"/>
      <c r="Y869" s="59"/>
      <c r="Z869" s="59"/>
      <c r="AA869" s="59"/>
      <c r="AB869" s="59"/>
      <c r="AC869" s="59"/>
    </row>
    <row r="870" spans="1:29" ht="12.75">
      <c r="A870" s="59"/>
      <c r="B870" s="59"/>
      <c r="C870" s="59"/>
      <c r="D870" s="1173"/>
      <c r="E870" s="59"/>
      <c r="F870" s="1173"/>
      <c r="G870" s="1174"/>
      <c r="H870" s="59"/>
      <c r="I870" s="59"/>
      <c r="J870" s="1173"/>
      <c r="K870" s="59"/>
      <c r="L870" s="1173"/>
      <c r="M870" s="59"/>
      <c r="N870" s="59"/>
      <c r="O870" s="59"/>
      <c r="P870" s="59"/>
      <c r="Q870" s="59"/>
      <c r="R870" s="59"/>
      <c r="S870" s="59"/>
      <c r="T870" s="59"/>
      <c r="U870" s="59"/>
      <c r="V870" s="59"/>
      <c r="W870" s="59"/>
      <c r="X870" s="59"/>
      <c r="Y870" s="59"/>
      <c r="Z870" s="59"/>
      <c r="AA870" s="59"/>
      <c r="AB870" s="59"/>
      <c r="AC870" s="59"/>
    </row>
    <row r="871" spans="1:29" ht="12.75">
      <c r="A871" s="59"/>
      <c r="B871" s="59"/>
      <c r="C871" s="59"/>
      <c r="D871" s="1173"/>
      <c r="E871" s="59"/>
      <c r="F871" s="1173"/>
      <c r="G871" s="1174"/>
      <c r="H871" s="59"/>
      <c r="I871" s="59"/>
      <c r="J871" s="1173"/>
      <c r="K871" s="59"/>
      <c r="L871" s="1173"/>
      <c r="M871" s="59"/>
      <c r="N871" s="59"/>
      <c r="O871" s="59"/>
      <c r="P871" s="59"/>
      <c r="Q871" s="59"/>
      <c r="R871" s="59"/>
      <c r="S871" s="59"/>
      <c r="T871" s="59"/>
      <c r="U871" s="59"/>
      <c r="V871" s="59"/>
      <c r="W871" s="59"/>
      <c r="X871" s="59"/>
      <c r="Y871" s="59"/>
      <c r="Z871" s="59"/>
      <c r="AA871" s="59"/>
      <c r="AB871" s="59"/>
      <c r="AC871" s="59"/>
    </row>
    <row r="872" spans="1:29" ht="12.75">
      <c r="A872" s="59"/>
      <c r="B872" s="59"/>
      <c r="C872" s="59"/>
      <c r="D872" s="1173"/>
      <c r="E872" s="59"/>
      <c r="F872" s="1173"/>
      <c r="G872" s="1174"/>
      <c r="H872" s="59"/>
      <c r="I872" s="59"/>
      <c r="J872" s="1173"/>
      <c r="K872" s="59"/>
      <c r="L872" s="1173"/>
      <c r="M872" s="59"/>
      <c r="N872" s="59"/>
      <c r="O872" s="59"/>
      <c r="P872" s="59"/>
      <c r="Q872" s="59"/>
      <c r="R872" s="59"/>
      <c r="S872" s="59"/>
      <c r="T872" s="59"/>
      <c r="U872" s="59"/>
      <c r="V872" s="59"/>
      <c r="W872" s="59"/>
      <c r="X872" s="59"/>
      <c r="Y872" s="59"/>
      <c r="Z872" s="59"/>
      <c r="AA872" s="59"/>
      <c r="AB872" s="59"/>
      <c r="AC872" s="59"/>
    </row>
    <row r="873" spans="1:29" ht="12.75">
      <c r="A873" s="59"/>
      <c r="B873" s="59"/>
      <c r="C873" s="59"/>
      <c r="D873" s="1173"/>
      <c r="E873" s="59"/>
      <c r="F873" s="1173"/>
      <c r="G873" s="1174"/>
      <c r="H873" s="59"/>
      <c r="I873" s="59"/>
      <c r="J873" s="1173"/>
      <c r="K873" s="59"/>
      <c r="L873" s="1173"/>
      <c r="M873" s="59"/>
      <c r="N873" s="59"/>
      <c r="O873" s="59"/>
      <c r="P873" s="59"/>
      <c r="Q873" s="59"/>
      <c r="R873" s="59"/>
      <c r="S873" s="59"/>
      <c r="T873" s="59"/>
      <c r="U873" s="59"/>
      <c r="V873" s="59"/>
      <c r="W873" s="59"/>
      <c r="X873" s="59"/>
      <c r="Y873" s="59"/>
      <c r="Z873" s="59"/>
      <c r="AA873" s="59"/>
      <c r="AB873" s="59"/>
      <c r="AC873" s="59"/>
    </row>
    <row r="874" spans="1:29" ht="12.75">
      <c r="A874" s="59"/>
      <c r="B874" s="59"/>
      <c r="C874" s="59"/>
      <c r="D874" s="1173"/>
      <c r="E874" s="59"/>
      <c r="F874" s="1173"/>
      <c r="G874" s="1174"/>
      <c r="H874" s="59"/>
      <c r="I874" s="59"/>
      <c r="J874" s="1173"/>
      <c r="K874" s="59"/>
      <c r="L874" s="1173"/>
      <c r="M874" s="59"/>
      <c r="N874" s="59"/>
      <c r="O874" s="59"/>
      <c r="P874" s="59"/>
      <c r="Q874" s="59"/>
      <c r="R874" s="59"/>
      <c r="S874" s="59"/>
      <c r="T874" s="59"/>
      <c r="U874" s="59"/>
      <c r="V874" s="59"/>
      <c r="W874" s="59"/>
      <c r="X874" s="59"/>
      <c r="Y874" s="59"/>
      <c r="Z874" s="59"/>
      <c r="AA874" s="59"/>
      <c r="AB874" s="59"/>
      <c r="AC874" s="59"/>
    </row>
    <row r="875" spans="1:29" ht="12.75">
      <c r="A875" s="59"/>
      <c r="B875" s="59"/>
      <c r="C875" s="59"/>
      <c r="D875" s="1173"/>
      <c r="E875" s="59"/>
      <c r="F875" s="1173"/>
      <c r="G875" s="1174"/>
      <c r="H875" s="59"/>
      <c r="I875" s="59"/>
      <c r="J875" s="1173"/>
      <c r="K875" s="59"/>
      <c r="L875" s="1173"/>
      <c r="M875" s="59"/>
      <c r="N875" s="59"/>
      <c r="O875" s="59"/>
      <c r="P875" s="59"/>
      <c r="Q875" s="59"/>
      <c r="R875" s="59"/>
      <c r="S875" s="59"/>
      <c r="T875" s="59"/>
      <c r="U875" s="59"/>
      <c r="V875" s="59"/>
      <c r="W875" s="59"/>
      <c r="X875" s="59"/>
      <c r="Y875" s="59"/>
      <c r="Z875" s="59"/>
      <c r="AA875" s="59"/>
      <c r="AB875" s="59"/>
      <c r="AC875" s="59"/>
    </row>
    <row r="876" spans="1:29" ht="12.75">
      <c r="A876" s="59"/>
      <c r="B876" s="59"/>
      <c r="C876" s="59"/>
      <c r="D876" s="1173"/>
      <c r="E876" s="59"/>
      <c r="F876" s="1173"/>
      <c r="G876" s="1174"/>
      <c r="H876" s="59"/>
      <c r="I876" s="59"/>
      <c r="J876" s="1173"/>
      <c r="K876" s="59"/>
      <c r="L876" s="1173"/>
      <c r="M876" s="59"/>
      <c r="N876" s="59"/>
      <c r="O876" s="59"/>
      <c r="P876" s="59"/>
      <c r="Q876" s="59"/>
      <c r="R876" s="59"/>
      <c r="S876" s="59"/>
      <c r="T876" s="59"/>
      <c r="U876" s="59"/>
      <c r="V876" s="59"/>
      <c r="W876" s="59"/>
      <c r="X876" s="59"/>
      <c r="Y876" s="59"/>
      <c r="Z876" s="59"/>
      <c r="AA876" s="59"/>
      <c r="AB876" s="59"/>
      <c r="AC876" s="59"/>
    </row>
    <row r="877" spans="1:29" ht="12.75">
      <c r="A877" s="59"/>
      <c r="B877" s="59"/>
      <c r="C877" s="59"/>
      <c r="D877" s="1173"/>
      <c r="E877" s="59"/>
      <c r="F877" s="1173"/>
      <c r="G877" s="1174"/>
      <c r="H877" s="59"/>
      <c r="I877" s="59"/>
      <c r="J877" s="1173"/>
      <c r="K877" s="59"/>
      <c r="L877" s="1173"/>
      <c r="M877" s="59"/>
      <c r="N877" s="59"/>
      <c r="O877" s="59"/>
      <c r="P877" s="59"/>
      <c r="Q877" s="59"/>
      <c r="R877" s="59"/>
      <c r="S877" s="59"/>
      <c r="T877" s="59"/>
      <c r="U877" s="59"/>
      <c r="V877" s="59"/>
      <c r="W877" s="59"/>
      <c r="X877" s="59"/>
      <c r="Y877" s="59"/>
      <c r="Z877" s="59"/>
      <c r="AA877" s="59"/>
      <c r="AB877" s="59"/>
      <c r="AC877" s="59"/>
    </row>
    <row r="878" spans="1:29" ht="12.75">
      <c r="A878" s="59"/>
      <c r="B878" s="59"/>
      <c r="C878" s="59"/>
      <c r="D878" s="1173"/>
      <c r="E878" s="59"/>
      <c r="F878" s="1173"/>
      <c r="G878" s="1174"/>
      <c r="H878" s="59"/>
      <c r="I878" s="59"/>
      <c r="J878" s="1173"/>
      <c r="K878" s="59"/>
      <c r="L878" s="1173"/>
      <c r="M878" s="59"/>
      <c r="N878" s="59"/>
      <c r="O878" s="59"/>
      <c r="P878" s="59"/>
      <c r="Q878" s="59"/>
      <c r="R878" s="59"/>
      <c r="S878" s="59"/>
      <c r="T878" s="59"/>
      <c r="U878" s="59"/>
      <c r="V878" s="59"/>
      <c r="W878" s="59"/>
      <c r="X878" s="59"/>
      <c r="Y878" s="59"/>
      <c r="Z878" s="59"/>
      <c r="AA878" s="59"/>
      <c r="AB878" s="59"/>
      <c r="AC878" s="59"/>
    </row>
    <row r="879" spans="1:29" ht="12.75">
      <c r="A879" s="59"/>
      <c r="B879" s="59"/>
      <c r="C879" s="59"/>
      <c r="D879" s="1173"/>
      <c r="E879" s="59"/>
      <c r="F879" s="1173"/>
      <c r="G879" s="1174"/>
      <c r="H879" s="59"/>
      <c r="I879" s="59"/>
      <c r="J879" s="1173"/>
      <c r="K879" s="59"/>
      <c r="L879" s="1173"/>
      <c r="M879" s="59"/>
      <c r="N879" s="59"/>
      <c r="O879" s="59"/>
      <c r="P879" s="59"/>
      <c r="Q879" s="59"/>
      <c r="R879" s="59"/>
      <c r="S879" s="59"/>
      <c r="T879" s="59"/>
      <c r="U879" s="59"/>
      <c r="V879" s="59"/>
      <c r="W879" s="59"/>
      <c r="X879" s="59"/>
      <c r="Y879" s="59"/>
      <c r="Z879" s="59"/>
      <c r="AA879" s="59"/>
      <c r="AB879" s="59"/>
      <c r="AC879" s="59"/>
    </row>
    <row r="880" spans="1:29" ht="12.75">
      <c r="A880" s="59"/>
      <c r="B880" s="59"/>
      <c r="C880" s="59"/>
      <c r="D880" s="1173"/>
      <c r="E880" s="59"/>
      <c r="F880" s="1173"/>
      <c r="G880" s="1174"/>
      <c r="H880" s="59"/>
      <c r="I880" s="59"/>
      <c r="J880" s="1173"/>
      <c r="K880" s="59"/>
      <c r="L880" s="1173"/>
      <c r="M880" s="59"/>
      <c r="N880" s="59"/>
      <c r="O880" s="59"/>
      <c r="P880" s="59"/>
      <c r="Q880" s="59"/>
      <c r="R880" s="59"/>
      <c r="S880" s="59"/>
      <c r="T880" s="59"/>
      <c r="U880" s="59"/>
      <c r="V880" s="59"/>
      <c r="W880" s="59"/>
      <c r="X880" s="59"/>
      <c r="Y880" s="59"/>
      <c r="Z880" s="59"/>
      <c r="AA880" s="59"/>
      <c r="AB880" s="59"/>
      <c r="AC880" s="59"/>
    </row>
    <row r="881" spans="1:29" ht="12.75">
      <c r="A881" s="59"/>
      <c r="B881" s="59"/>
      <c r="C881" s="59"/>
      <c r="D881" s="1173"/>
      <c r="E881" s="59"/>
      <c r="F881" s="1173"/>
      <c r="G881" s="1174"/>
      <c r="H881" s="59"/>
      <c r="I881" s="59"/>
      <c r="J881" s="1173"/>
      <c r="K881" s="59"/>
      <c r="L881" s="1173"/>
      <c r="M881" s="59"/>
      <c r="N881" s="59"/>
      <c r="O881" s="59"/>
      <c r="P881" s="59"/>
      <c r="Q881" s="59"/>
      <c r="R881" s="59"/>
      <c r="S881" s="59"/>
      <c r="T881" s="59"/>
      <c r="U881" s="59"/>
      <c r="V881" s="59"/>
      <c r="W881" s="59"/>
      <c r="X881" s="59"/>
      <c r="Y881" s="59"/>
      <c r="Z881" s="59"/>
      <c r="AA881" s="59"/>
      <c r="AB881" s="59"/>
      <c r="AC881" s="59"/>
    </row>
    <row r="882" spans="1:29" ht="12.75">
      <c r="A882" s="59"/>
      <c r="B882" s="59"/>
      <c r="C882" s="59"/>
      <c r="D882" s="1173"/>
      <c r="E882" s="59"/>
      <c r="F882" s="1173"/>
      <c r="G882" s="1174"/>
      <c r="H882" s="59"/>
      <c r="I882" s="59"/>
      <c r="J882" s="1173"/>
      <c r="K882" s="59"/>
      <c r="L882" s="1173"/>
      <c r="M882" s="59"/>
      <c r="N882" s="59"/>
      <c r="O882" s="59"/>
      <c r="P882" s="59"/>
      <c r="Q882" s="59"/>
      <c r="R882" s="59"/>
      <c r="S882" s="59"/>
      <c r="T882" s="59"/>
      <c r="U882" s="59"/>
      <c r="V882" s="59"/>
      <c r="W882" s="59"/>
      <c r="X882" s="59"/>
      <c r="Y882" s="59"/>
      <c r="Z882" s="59"/>
      <c r="AA882" s="59"/>
      <c r="AB882" s="59"/>
      <c r="AC882" s="59"/>
    </row>
    <row r="883" spans="1:29" ht="12.75">
      <c r="A883" s="59"/>
      <c r="B883" s="59"/>
      <c r="C883" s="59"/>
      <c r="D883" s="1173"/>
      <c r="E883" s="59"/>
      <c r="F883" s="1173"/>
      <c r="G883" s="1174"/>
      <c r="H883" s="59"/>
      <c r="I883" s="59"/>
      <c r="J883" s="1173"/>
      <c r="K883" s="59"/>
      <c r="L883" s="1173"/>
      <c r="M883" s="59"/>
      <c r="N883" s="59"/>
      <c r="O883" s="59"/>
      <c r="P883" s="59"/>
      <c r="Q883" s="59"/>
      <c r="R883" s="59"/>
      <c r="S883" s="59"/>
      <c r="T883" s="59"/>
      <c r="U883" s="59"/>
      <c r="V883" s="59"/>
      <c r="W883" s="59"/>
      <c r="X883" s="59"/>
      <c r="Y883" s="59"/>
      <c r="Z883" s="59"/>
      <c r="AA883" s="59"/>
      <c r="AB883" s="59"/>
      <c r="AC883" s="59"/>
    </row>
    <row r="884" spans="1:29" ht="12.75">
      <c r="A884" s="59"/>
      <c r="B884" s="59"/>
      <c r="C884" s="59"/>
      <c r="D884" s="1173"/>
      <c r="E884" s="59"/>
      <c r="F884" s="1173"/>
      <c r="G884" s="1174"/>
      <c r="H884" s="59"/>
      <c r="I884" s="59"/>
      <c r="J884" s="1173"/>
      <c r="K884" s="59"/>
      <c r="L884" s="1173"/>
      <c r="M884" s="59"/>
      <c r="N884" s="59"/>
      <c r="O884" s="59"/>
      <c r="P884" s="59"/>
      <c r="Q884" s="59"/>
      <c r="R884" s="59"/>
      <c r="S884" s="59"/>
      <c r="T884" s="59"/>
      <c r="U884" s="59"/>
      <c r="V884" s="59"/>
      <c r="W884" s="59"/>
      <c r="X884" s="59"/>
      <c r="Y884" s="59"/>
      <c r="Z884" s="59"/>
      <c r="AA884" s="59"/>
      <c r="AB884" s="59"/>
      <c r="AC884" s="59"/>
    </row>
    <row r="885" spans="1:29" ht="12.75">
      <c r="A885" s="59"/>
      <c r="B885" s="59"/>
      <c r="C885" s="59"/>
      <c r="D885" s="1173"/>
      <c r="E885" s="59"/>
      <c r="F885" s="1173"/>
      <c r="G885" s="1174"/>
      <c r="H885" s="59"/>
      <c r="I885" s="59"/>
      <c r="J885" s="1173"/>
      <c r="K885" s="59"/>
      <c r="L885" s="1173"/>
      <c r="M885" s="59"/>
      <c r="N885" s="59"/>
      <c r="O885" s="59"/>
      <c r="P885" s="59"/>
      <c r="Q885" s="59"/>
      <c r="R885" s="59"/>
      <c r="S885" s="59"/>
      <c r="T885" s="59"/>
      <c r="U885" s="59"/>
      <c r="V885" s="59"/>
      <c r="W885" s="59"/>
      <c r="X885" s="59"/>
      <c r="Y885" s="59"/>
      <c r="Z885" s="59"/>
      <c r="AA885" s="59"/>
      <c r="AB885" s="59"/>
      <c r="AC885" s="59"/>
    </row>
    <row r="886" spans="1:29" ht="12.75">
      <c r="A886" s="59"/>
      <c r="B886" s="59"/>
      <c r="C886" s="59"/>
      <c r="D886" s="1173"/>
      <c r="E886" s="59"/>
      <c r="F886" s="1173"/>
      <c r="G886" s="1174"/>
      <c r="H886" s="59"/>
      <c r="I886" s="59"/>
      <c r="J886" s="1173"/>
      <c r="K886" s="59"/>
      <c r="L886" s="1173"/>
      <c r="M886" s="59"/>
      <c r="N886" s="59"/>
      <c r="O886" s="59"/>
      <c r="P886" s="59"/>
      <c r="Q886" s="59"/>
      <c r="R886" s="59"/>
      <c r="S886" s="59"/>
      <c r="T886" s="59"/>
      <c r="U886" s="59"/>
      <c r="V886" s="59"/>
      <c r="W886" s="59"/>
      <c r="X886" s="59"/>
      <c r="Y886" s="59"/>
      <c r="Z886" s="59"/>
      <c r="AA886" s="59"/>
      <c r="AB886" s="59"/>
      <c r="AC886" s="59"/>
    </row>
    <row r="887" spans="1:29" ht="12.75">
      <c r="A887" s="59"/>
      <c r="B887" s="59"/>
      <c r="C887" s="59"/>
      <c r="D887" s="1173"/>
      <c r="E887" s="59"/>
      <c r="F887" s="1173"/>
      <c r="G887" s="1174"/>
      <c r="H887" s="59"/>
      <c r="I887" s="59"/>
      <c r="J887" s="1173"/>
      <c r="K887" s="59"/>
      <c r="L887" s="1173"/>
      <c r="M887" s="59"/>
      <c r="N887" s="59"/>
      <c r="O887" s="59"/>
      <c r="P887" s="59"/>
      <c r="Q887" s="59"/>
      <c r="R887" s="59"/>
      <c r="S887" s="59"/>
      <c r="T887" s="59"/>
      <c r="U887" s="59"/>
      <c r="V887" s="59"/>
      <c r="W887" s="59"/>
      <c r="X887" s="59"/>
      <c r="Y887" s="59"/>
      <c r="Z887" s="59"/>
      <c r="AA887" s="59"/>
      <c r="AB887" s="59"/>
      <c r="AC887" s="59"/>
    </row>
    <row r="888" spans="1:29" ht="12.75">
      <c r="A888" s="59"/>
      <c r="B888" s="59"/>
      <c r="C888" s="59"/>
      <c r="D888" s="1173"/>
      <c r="E888" s="59"/>
      <c r="F888" s="1173"/>
      <c r="G888" s="1174"/>
      <c r="H888" s="59"/>
      <c r="I888" s="59"/>
      <c r="J888" s="1173"/>
      <c r="K888" s="59"/>
      <c r="L888" s="1173"/>
      <c r="M888" s="59"/>
      <c r="N888" s="59"/>
      <c r="O888" s="59"/>
      <c r="P888" s="59"/>
      <c r="Q888" s="59"/>
      <c r="R888" s="59"/>
      <c r="S888" s="59"/>
      <c r="T888" s="59"/>
      <c r="U888" s="59"/>
      <c r="V888" s="59"/>
      <c r="W888" s="59"/>
      <c r="X888" s="59"/>
      <c r="Y888" s="59"/>
      <c r="Z888" s="59"/>
      <c r="AA888" s="59"/>
      <c r="AB888" s="59"/>
      <c r="AC888" s="59"/>
    </row>
    <row r="889" spans="1:29" ht="12.75">
      <c r="A889" s="59"/>
      <c r="B889" s="59"/>
      <c r="C889" s="59"/>
      <c r="D889" s="1173"/>
      <c r="E889" s="59"/>
      <c r="F889" s="1173"/>
      <c r="G889" s="1174"/>
      <c r="H889" s="59"/>
      <c r="I889" s="59"/>
      <c r="J889" s="1173"/>
      <c r="K889" s="59"/>
      <c r="L889" s="1173"/>
      <c r="M889" s="59"/>
      <c r="N889" s="59"/>
      <c r="O889" s="59"/>
      <c r="P889" s="59"/>
      <c r="Q889" s="59"/>
      <c r="R889" s="59"/>
      <c r="S889" s="59"/>
      <c r="T889" s="59"/>
      <c r="U889" s="59"/>
      <c r="V889" s="59"/>
      <c r="W889" s="59"/>
      <c r="X889" s="59"/>
      <c r="Y889" s="59"/>
      <c r="Z889" s="59"/>
      <c r="AA889" s="59"/>
      <c r="AB889" s="59"/>
      <c r="AC889" s="59"/>
    </row>
    <row r="890" spans="1:29" ht="12.75">
      <c r="A890" s="59"/>
      <c r="B890" s="59"/>
      <c r="C890" s="59"/>
      <c r="D890" s="1173"/>
      <c r="E890" s="59"/>
      <c r="F890" s="1173"/>
      <c r="G890" s="1174"/>
      <c r="H890" s="59"/>
      <c r="I890" s="59"/>
      <c r="J890" s="1173"/>
      <c r="K890" s="59"/>
      <c r="L890" s="1173"/>
      <c r="M890" s="59"/>
      <c r="N890" s="59"/>
      <c r="O890" s="59"/>
      <c r="P890" s="59"/>
      <c r="Q890" s="59"/>
      <c r="R890" s="59"/>
      <c r="S890" s="59"/>
      <c r="T890" s="59"/>
      <c r="U890" s="59"/>
      <c r="V890" s="59"/>
      <c r="W890" s="59"/>
      <c r="X890" s="59"/>
      <c r="Y890" s="59"/>
      <c r="Z890" s="59"/>
      <c r="AA890" s="59"/>
      <c r="AB890" s="59"/>
      <c r="AC890" s="59"/>
    </row>
    <row r="891" spans="1:29" ht="12.75">
      <c r="A891" s="59"/>
      <c r="B891" s="59"/>
      <c r="C891" s="59"/>
      <c r="D891" s="1173"/>
      <c r="E891" s="59"/>
      <c r="F891" s="1173"/>
      <c r="G891" s="1174"/>
      <c r="H891" s="59"/>
      <c r="I891" s="59"/>
      <c r="J891" s="1173"/>
      <c r="K891" s="59"/>
      <c r="L891" s="1173"/>
      <c r="M891" s="59"/>
      <c r="N891" s="59"/>
      <c r="O891" s="59"/>
      <c r="P891" s="59"/>
      <c r="Q891" s="59"/>
      <c r="R891" s="59"/>
      <c r="S891" s="59"/>
      <c r="T891" s="59"/>
      <c r="U891" s="59"/>
      <c r="V891" s="59"/>
      <c r="W891" s="59"/>
      <c r="X891" s="59"/>
      <c r="Y891" s="59"/>
      <c r="Z891" s="59"/>
      <c r="AA891" s="59"/>
      <c r="AB891" s="59"/>
      <c r="AC891" s="59"/>
    </row>
    <row r="892" spans="1:29" ht="12.75">
      <c r="A892" s="59"/>
      <c r="B892" s="59"/>
      <c r="C892" s="59"/>
      <c r="D892" s="1173"/>
      <c r="E892" s="59"/>
      <c r="F892" s="1173"/>
      <c r="G892" s="1174"/>
      <c r="H892" s="59"/>
      <c r="I892" s="59"/>
      <c r="J892" s="1173"/>
      <c r="K892" s="59"/>
      <c r="L892" s="1173"/>
      <c r="M892" s="59"/>
      <c r="N892" s="59"/>
      <c r="O892" s="59"/>
      <c r="P892" s="59"/>
      <c r="Q892" s="59"/>
      <c r="R892" s="59"/>
      <c r="S892" s="59"/>
      <c r="T892" s="59"/>
      <c r="U892" s="59"/>
      <c r="V892" s="59"/>
      <c r="W892" s="59"/>
      <c r="X892" s="59"/>
      <c r="Y892" s="59"/>
      <c r="Z892" s="59"/>
      <c r="AA892" s="59"/>
      <c r="AB892" s="59"/>
      <c r="AC892" s="59"/>
    </row>
    <row r="893" spans="1:29" ht="12.75">
      <c r="A893" s="59"/>
      <c r="B893" s="59"/>
      <c r="C893" s="59"/>
      <c r="D893" s="1173"/>
      <c r="E893" s="59"/>
      <c r="F893" s="1173"/>
      <c r="G893" s="1174"/>
      <c r="H893" s="59"/>
      <c r="I893" s="59"/>
      <c r="J893" s="1173"/>
      <c r="K893" s="59"/>
      <c r="L893" s="1173"/>
      <c r="M893" s="59"/>
      <c r="N893" s="59"/>
      <c r="O893" s="59"/>
      <c r="P893" s="59"/>
      <c r="Q893" s="59"/>
      <c r="R893" s="59"/>
      <c r="S893" s="59"/>
      <c r="T893" s="59"/>
      <c r="U893" s="59"/>
      <c r="V893" s="59"/>
      <c r="W893" s="59"/>
      <c r="X893" s="59"/>
      <c r="Y893" s="59"/>
      <c r="Z893" s="59"/>
      <c r="AA893" s="59"/>
      <c r="AB893" s="59"/>
      <c r="AC893" s="59"/>
    </row>
    <row r="894" spans="1:29" ht="12.75">
      <c r="A894" s="59"/>
      <c r="B894" s="59"/>
      <c r="C894" s="59"/>
      <c r="D894" s="1173"/>
      <c r="E894" s="59"/>
      <c r="F894" s="1173"/>
      <c r="G894" s="1174"/>
      <c r="H894" s="59"/>
      <c r="I894" s="59"/>
      <c r="J894" s="1173"/>
      <c r="K894" s="59"/>
      <c r="L894" s="1173"/>
      <c r="M894" s="59"/>
      <c r="N894" s="59"/>
      <c r="O894" s="59"/>
      <c r="P894" s="59"/>
      <c r="Q894" s="59"/>
      <c r="R894" s="59"/>
      <c r="S894" s="59"/>
      <c r="T894" s="59"/>
      <c r="U894" s="59"/>
      <c r="V894" s="59"/>
      <c r="W894" s="59"/>
      <c r="X894" s="59"/>
      <c r="Y894" s="59"/>
      <c r="Z894" s="59"/>
      <c r="AA894" s="59"/>
      <c r="AB894" s="59"/>
      <c r="AC894" s="59"/>
    </row>
    <row r="895" spans="1:29" ht="12.75">
      <c r="A895" s="59"/>
      <c r="B895" s="59"/>
      <c r="C895" s="59"/>
      <c r="D895" s="1173"/>
      <c r="E895" s="59"/>
      <c r="F895" s="1173"/>
      <c r="G895" s="1174"/>
      <c r="H895" s="59"/>
      <c r="I895" s="59"/>
      <c r="J895" s="1173"/>
      <c r="K895" s="59"/>
      <c r="L895" s="1173"/>
      <c r="M895" s="59"/>
      <c r="N895" s="59"/>
      <c r="O895" s="59"/>
      <c r="P895" s="59"/>
      <c r="Q895" s="59"/>
      <c r="R895" s="59"/>
      <c r="S895" s="59"/>
      <c r="T895" s="59"/>
      <c r="U895" s="59"/>
      <c r="V895" s="59"/>
      <c r="W895" s="59"/>
      <c r="X895" s="59"/>
      <c r="Y895" s="59"/>
      <c r="Z895" s="59"/>
      <c r="AA895" s="59"/>
      <c r="AB895" s="59"/>
      <c r="AC895" s="59"/>
    </row>
    <row r="896" spans="1:29" ht="12.75">
      <c r="A896" s="59"/>
      <c r="B896" s="59"/>
      <c r="C896" s="59"/>
      <c r="D896" s="1173"/>
      <c r="E896" s="59"/>
      <c r="F896" s="1173"/>
      <c r="G896" s="1174"/>
      <c r="H896" s="59"/>
      <c r="I896" s="59"/>
      <c r="J896" s="1173"/>
      <c r="K896" s="59"/>
      <c r="L896" s="1173"/>
      <c r="M896" s="59"/>
      <c r="N896" s="59"/>
      <c r="O896" s="59"/>
      <c r="P896" s="59"/>
      <c r="Q896" s="59"/>
      <c r="R896" s="59"/>
      <c r="S896" s="59"/>
      <c r="T896" s="59"/>
      <c r="U896" s="59"/>
      <c r="V896" s="59"/>
      <c r="W896" s="59"/>
      <c r="X896" s="59"/>
      <c r="Y896" s="59"/>
      <c r="Z896" s="59"/>
      <c r="AA896" s="59"/>
      <c r="AB896" s="59"/>
      <c r="AC896" s="59"/>
    </row>
    <row r="897" spans="1:29" ht="12.75">
      <c r="A897" s="59"/>
      <c r="B897" s="59"/>
      <c r="C897" s="59"/>
      <c r="D897" s="1173"/>
      <c r="E897" s="59"/>
      <c r="F897" s="1173"/>
      <c r="G897" s="1174"/>
      <c r="H897" s="59"/>
      <c r="I897" s="59"/>
      <c r="J897" s="1173"/>
      <c r="K897" s="59"/>
      <c r="L897" s="1173"/>
      <c r="M897" s="59"/>
      <c r="N897" s="59"/>
      <c r="O897" s="59"/>
      <c r="P897" s="59"/>
      <c r="Q897" s="59"/>
      <c r="R897" s="59"/>
      <c r="S897" s="59"/>
      <c r="T897" s="59"/>
      <c r="U897" s="59"/>
      <c r="V897" s="59"/>
      <c r="W897" s="59"/>
      <c r="X897" s="59"/>
      <c r="Y897" s="59"/>
      <c r="Z897" s="59"/>
      <c r="AA897" s="59"/>
      <c r="AB897" s="59"/>
      <c r="AC897" s="59"/>
    </row>
    <row r="898" spans="1:29" ht="12.75">
      <c r="A898" s="59"/>
      <c r="B898" s="59"/>
      <c r="C898" s="59"/>
      <c r="D898" s="1173"/>
      <c r="E898" s="59"/>
      <c r="F898" s="1173"/>
      <c r="G898" s="1174"/>
      <c r="H898" s="59"/>
      <c r="I898" s="59"/>
      <c r="J898" s="1173"/>
      <c r="K898" s="59"/>
      <c r="L898" s="1173"/>
      <c r="M898" s="59"/>
      <c r="N898" s="59"/>
      <c r="O898" s="59"/>
      <c r="P898" s="59"/>
      <c r="Q898" s="59"/>
      <c r="R898" s="59"/>
      <c r="S898" s="59"/>
      <c r="T898" s="59"/>
      <c r="U898" s="59"/>
      <c r="V898" s="59"/>
      <c r="W898" s="59"/>
      <c r="X898" s="59"/>
      <c r="Y898" s="59"/>
      <c r="Z898" s="59"/>
      <c r="AA898" s="59"/>
      <c r="AB898" s="59"/>
      <c r="AC898" s="59"/>
    </row>
    <row r="899" spans="1:29" ht="12.75">
      <c r="A899" s="59"/>
      <c r="B899" s="59"/>
      <c r="C899" s="59"/>
      <c r="D899" s="1173"/>
      <c r="E899" s="59"/>
      <c r="F899" s="1173"/>
      <c r="G899" s="1174"/>
      <c r="H899" s="59"/>
      <c r="I899" s="59"/>
      <c r="J899" s="1173"/>
      <c r="K899" s="59"/>
      <c r="L899" s="1173"/>
      <c r="M899" s="59"/>
      <c r="N899" s="59"/>
      <c r="O899" s="59"/>
      <c r="P899" s="59"/>
      <c r="Q899" s="59"/>
      <c r="R899" s="59"/>
      <c r="S899" s="59"/>
      <c r="T899" s="59"/>
      <c r="U899" s="59"/>
      <c r="V899" s="59"/>
      <c r="W899" s="59"/>
      <c r="X899" s="59"/>
      <c r="Y899" s="59"/>
      <c r="Z899" s="59"/>
      <c r="AA899" s="59"/>
      <c r="AB899" s="59"/>
      <c r="AC899" s="59"/>
    </row>
    <row r="900" spans="1:29" ht="12.75">
      <c r="A900" s="59"/>
      <c r="B900" s="59"/>
      <c r="C900" s="59"/>
      <c r="D900" s="1173"/>
      <c r="E900" s="59"/>
      <c r="F900" s="1173"/>
      <c r="G900" s="1174"/>
      <c r="H900" s="59"/>
      <c r="I900" s="59"/>
      <c r="J900" s="1173"/>
      <c r="K900" s="59"/>
      <c r="L900" s="1173"/>
      <c r="M900" s="59"/>
      <c r="N900" s="59"/>
      <c r="O900" s="59"/>
      <c r="P900" s="59"/>
      <c r="Q900" s="59"/>
      <c r="R900" s="59"/>
      <c r="S900" s="59"/>
      <c r="T900" s="59"/>
      <c r="U900" s="59"/>
      <c r="V900" s="59"/>
      <c r="W900" s="59"/>
      <c r="X900" s="59"/>
      <c r="Y900" s="59"/>
      <c r="Z900" s="59"/>
      <c r="AA900" s="59"/>
      <c r="AB900" s="59"/>
      <c r="AC900" s="59"/>
    </row>
    <row r="901" spans="1:29" ht="12.75">
      <c r="A901" s="59"/>
      <c r="B901" s="59"/>
      <c r="C901" s="59"/>
      <c r="D901" s="1173"/>
      <c r="E901" s="59"/>
      <c r="F901" s="1173"/>
      <c r="G901" s="1174"/>
      <c r="H901" s="59"/>
      <c r="I901" s="59"/>
      <c r="J901" s="1173"/>
      <c r="K901" s="59"/>
      <c r="L901" s="1173"/>
      <c r="M901" s="59"/>
      <c r="N901" s="59"/>
      <c r="O901" s="59"/>
      <c r="P901" s="59"/>
      <c r="Q901" s="59"/>
      <c r="R901" s="59"/>
      <c r="S901" s="59"/>
      <c r="T901" s="59"/>
      <c r="U901" s="59"/>
      <c r="V901" s="59"/>
      <c r="W901" s="59"/>
      <c r="X901" s="59"/>
      <c r="Y901" s="59"/>
      <c r="Z901" s="59"/>
      <c r="AA901" s="59"/>
      <c r="AB901" s="59"/>
      <c r="AC901" s="59"/>
    </row>
    <row r="902" spans="1:29" ht="12.75">
      <c r="A902" s="59"/>
      <c r="B902" s="59"/>
      <c r="C902" s="59"/>
      <c r="D902" s="1173"/>
      <c r="E902" s="59"/>
      <c r="F902" s="1173"/>
      <c r="G902" s="1174"/>
      <c r="H902" s="59"/>
      <c r="I902" s="59"/>
      <c r="J902" s="1173"/>
      <c r="K902" s="59"/>
      <c r="L902" s="1173"/>
      <c r="M902" s="59"/>
      <c r="N902" s="59"/>
      <c r="O902" s="59"/>
      <c r="P902" s="59"/>
      <c r="Q902" s="59"/>
      <c r="R902" s="59"/>
      <c r="S902" s="59"/>
      <c r="T902" s="59"/>
      <c r="U902" s="59"/>
      <c r="V902" s="59"/>
      <c r="W902" s="59"/>
      <c r="X902" s="59"/>
      <c r="Y902" s="59"/>
      <c r="Z902" s="59"/>
      <c r="AA902" s="59"/>
      <c r="AB902" s="59"/>
      <c r="AC902" s="59"/>
    </row>
    <row r="903" spans="1:29" ht="12.75">
      <c r="A903" s="59"/>
      <c r="B903" s="59"/>
      <c r="C903" s="59"/>
      <c r="D903" s="1173"/>
      <c r="E903" s="59"/>
      <c r="F903" s="1173"/>
      <c r="G903" s="1174"/>
      <c r="H903" s="59"/>
      <c r="I903" s="59"/>
      <c r="J903" s="1173"/>
      <c r="K903" s="59"/>
      <c r="L903" s="1173"/>
      <c r="M903" s="59"/>
      <c r="N903" s="59"/>
      <c r="O903" s="59"/>
      <c r="P903" s="59"/>
      <c r="Q903" s="59"/>
      <c r="R903" s="59"/>
      <c r="S903" s="59"/>
      <c r="T903" s="59"/>
      <c r="U903" s="59"/>
      <c r="V903" s="59"/>
      <c r="W903" s="59"/>
      <c r="X903" s="59"/>
      <c r="Y903" s="59"/>
      <c r="Z903" s="59"/>
      <c r="AA903" s="59"/>
      <c r="AB903" s="59"/>
      <c r="AC903" s="59"/>
    </row>
    <row r="904" spans="1:29" ht="12.75">
      <c r="A904" s="59"/>
      <c r="B904" s="59"/>
      <c r="C904" s="59"/>
      <c r="D904" s="1173"/>
      <c r="E904" s="59"/>
      <c r="F904" s="1173"/>
      <c r="G904" s="1174"/>
      <c r="H904" s="59"/>
      <c r="I904" s="59"/>
      <c r="J904" s="1173"/>
      <c r="K904" s="59"/>
      <c r="L904" s="1173"/>
      <c r="M904" s="59"/>
      <c r="N904" s="59"/>
      <c r="O904" s="59"/>
      <c r="P904" s="59"/>
      <c r="Q904" s="59"/>
      <c r="R904" s="59"/>
      <c r="S904" s="59"/>
      <c r="T904" s="59"/>
      <c r="U904" s="59"/>
      <c r="V904" s="59"/>
      <c r="W904" s="59"/>
      <c r="X904" s="59"/>
      <c r="Y904" s="59"/>
      <c r="Z904" s="59"/>
      <c r="AA904" s="59"/>
      <c r="AB904" s="59"/>
      <c r="AC904" s="59"/>
    </row>
    <row r="905" spans="1:29" ht="12.75">
      <c r="A905" s="59"/>
      <c r="B905" s="59"/>
      <c r="C905" s="59"/>
      <c r="D905" s="1173"/>
      <c r="E905" s="59"/>
      <c r="F905" s="1173"/>
      <c r="G905" s="1174"/>
      <c r="H905" s="59"/>
      <c r="I905" s="59"/>
      <c r="J905" s="1173"/>
      <c r="K905" s="59"/>
      <c r="L905" s="1173"/>
      <c r="M905" s="59"/>
      <c r="N905" s="59"/>
      <c r="O905" s="59"/>
      <c r="P905" s="59"/>
      <c r="Q905" s="59"/>
      <c r="R905" s="59"/>
      <c r="S905" s="59"/>
      <c r="T905" s="59"/>
      <c r="U905" s="59"/>
      <c r="V905" s="59"/>
      <c r="W905" s="59"/>
      <c r="X905" s="59"/>
      <c r="Y905" s="59"/>
      <c r="Z905" s="59"/>
      <c r="AA905" s="59"/>
      <c r="AB905" s="59"/>
      <c r="AC905" s="59"/>
    </row>
    <row r="906" spans="1:29" ht="12.75">
      <c r="A906" s="59"/>
      <c r="B906" s="59"/>
      <c r="C906" s="59"/>
      <c r="D906" s="1173"/>
      <c r="E906" s="59"/>
      <c r="F906" s="1173"/>
      <c r="G906" s="1174"/>
      <c r="H906" s="59"/>
      <c r="I906" s="59"/>
      <c r="J906" s="1173"/>
      <c r="K906" s="59"/>
      <c r="L906" s="1173"/>
      <c r="M906" s="59"/>
      <c r="N906" s="59"/>
      <c r="O906" s="59"/>
      <c r="P906" s="59"/>
      <c r="Q906" s="59"/>
      <c r="R906" s="59"/>
      <c r="S906" s="59"/>
      <c r="T906" s="59"/>
      <c r="U906" s="59"/>
      <c r="V906" s="59"/>
      <c r="W906" s="59"/>
      <c r="X906" s="59"/>
      <c r="Y906" s="59"/>
      <c r="Z906" s="59"/>
      <c r="AA906" s="59"/>
      <c r="AB906" s="59"/>
      <c r="AC906" s="59"/>
    </row>
    <row r="907" spans="1:29" ht="12.75">
      <c r="A907" s="59"/>
      <c r="B907" s="59"/>
      <c r="C907" s="59"/>
      <c r="D907" s="1173"/>
      <c r="E907" s="59"/>
      <c r="F907" s="1173"/>
      <c r="G907" s="1174"/>
      <c r="H907" s="59"/>
      <c r="I907" s="59"/>
      <c r="J907" s="1173"/>
      <c r="K907" s="59"/>
      <c r="L907" s="1173"/>
      <c r="M907" s="59"/>
      <c r="N907" s="59"/>
      <c r="O907" s="59"/>
      <c r="P907" s="59"/>
      <c r="Q907" s="59"/>
      <c r="R907" s="59"/>
      <c r="S907" s="59"/>
      <c r="T907" s="59"/>
      <c r="U907" s="59"/>
      <c r="V907" s="59"/>
      <c r="W907" s="59"/>
      <c r="X907" s="59"/>
      <c r="Y907" s="59"/>
      <c r="Z907" s="59"/>
      <c r="AA907" s="59"/>
      <c r="AB907" s="59"/>
      <c r="AC907" s="59"/>
    </row>
    <row r="908" spans="1:29" ht="12.75">
      <c r="A908" s="59"/>
      <c r="B908" s="59"/>
      <c r="C908" s="59"/>
      <c r="D908" s="1173"/>
      <c r="E908" s="59"/>
      <c r="F908" s="1173"/>
      <c r="G908" s="1174"/>
      <c r="H908" s="59"/>
      <c r="I908" s="59"/>
      <c r="J908" s="1173"/>
      <c r="K908" s="59"/>
      <c r="L908" s="1173"/>
      <c r="M908" s="59"/>
      <c r="N908" s="59"/>
      <c r="O908" s="59"/>
      <c r="P908" s="59"/>
      <c r="Q908" s="59"/>
      <c r="R908" s="59"/>
      <c r="S908" s="59"/>
      <c r="T908" s="59"/>
      <c r="U908" s="59"/>
      <c r="V908" s="59"/>
      <c r="W908" s="59"/>
      <c r="X908" s="59"/>
      <c r="Y908" s="59"/>
      <c r="Z908" s="59"/>
      <c r="AA908" s="59"/>
      <c r="AB908" s="59"/>
      <c r="AC908" s="59"/>
    </row>
    <row r="909" spans="1:29" ht="12.75">
      <c r="A909" s="59"/>
      <c r="B909" s="59"/>
      <c r="C909" s="59"/>
      <c r="D909" s="1173"/>
      <c r="E909" s="59"/>
      <c r="F909" s="1173"/>
      <c r="G909" s="1174"/>
      <c r="H909" s="59"/>
      <c r="I909" s="59"/>
      <c r="J909" s="1173"/>
      <c r="K909" s="59"/>
      <c r="L909" s="1173"/>
      <c r="M909" s="59"/>
      <c r="N909" s="59"/>
      <c r="O909" s="59"/>
      <c r="P909" s="59"/>
      <c r="Q909" s="59"/>
      <c r="R909" s="59"/>
      <c r="S909" s="59"/>
      <c r="T909" s="59"/>
      <c r="U909" s="59"/>
      <c r="V909" s="59"/>
      <c r="W909" s="59"/>
      <c r="X909" s="59"/>
      <c r="Y909" s="59"/>
      <c r="Z909" s="59"/>
      <c r="AA909" s="59"/>
      <c r="AB909" s="59"/>
      <c r="AC909" s="59"/>
    </row>
    <row r="910" spans="1:29" ht="12.75">
      <c r="A910" s="59"/>
      <c r="B910" s="59"/>
      <c r="C910" s="59"/>
      <c r="D910" s="1173"/>
      <c r="E910" s="59"/>
      <c r="F910" s="1173"/>
      <c r="G910" s="1174"/>
      <c r="H910" s="59"/>
      <c r="I910" s="59"/>
      <c r="J910" s="1173"/>
      <c r="K910" s="59"/>
      <c r="L910" s="1173"/>
      <c r="M910" s="59"/>
      <c r="N910" s="59"/>
      <c r="O910" s="59"/>
      <c r="P910" s="59"/>
      <c r="Q910" s="59"/>
      <c r="R910" s="59"/>
      <c r="S910" s="59"/>
      <c r="T910" s="59"/>
      <c r="U910" s="59"/>
      <c r="V910" s="59"/>
      <c r="W910" s="59"/>
      <c r="X910" s="59"/>
      <c r="Y910" s="59"/>
      <c r="Z910" s="59"/>
      <c r="AA910" s="59"/>
      <c r="AB910" s="59"/>
      <c r="AC910" s="59"/>
    </row>
    <row r="911" spans="1:29" ht="12.75">
      <c r="A911" s="59"/>
      <c r="B911" s="59"/>
      <c r="C911" s="59"/>
      <c r="D911" s="1173"/>
      <c r="E911" s="59"/>
      <c r="F911" s="1173"/>
      <c r="G911" s="1174"/>
      <c r="H911" s="59"/>
      <c r="I911" s="59"/>
      <c r="J911" s="1173"/>
      <c r="K911" s="59"/>
      <c r="L911" s="1173"/>
      <c r="M911" s="59"/>
      <c r="N911" s="59"/>
      <c r="O911" s="59"/>
      <c r="P911" s="59"/>
      <c r="Q911" s="59"/>
      <c r="R911" s="59"/>
      <c r="S911" s="59"/>
      <c r="T911" s="59"/>
      <c r="U911" s="59"/>
      <c r="V911" s="59"/>
      <c r="W911" s="59"/>
      <c r="X911" s="59"/>
      <c r="Y911" s="59"/>
      <c r="Z911" s="59"/>
      <c r="AA911" s="59"/>
      <c r="AB911" s="59"/>
      <c r="AC911" s="59"/>
    </row>
    <row r="912" spans="1:29" ht="12.75">
      <c r="A912" s="59"/>
      <c r="B912" s="59"/>
      <c r="C912" s="59"/>
      <c r="D912" s="1173"/>
      <c r="E912" s="59"/>
      <c r="F912" s="1173"/>
      <c r="G912" s="1174"/>
      <c r="H912" s="59"/>
      <c r="I912" s="59"/>
      <c r="J912" s="1173"/>
      <c r="K912" s="59"/>
      <c r="L912" s="1173"/>
      <c r="M912" s="59"/>
      <c r="N912" s="59"/>
      <c r="O912" s="59"/>
      <c r="P912" s="59"/>
      <c r="Q912" s="59"/>
      <c r="R912" s="59"/>
      <c r="S912" s="59"/>
      <c r="T912" s="59"/>
      <c r="U912" s="59"/>
      <c r="V912" s="59"/>
      <c r="W912" s="59"/>
      <c r="X912" s="59"/>
      <c r="Y912" s="59"/>
      <c r="Z912" s="59"/>
      <c r="AA912" s="59"/>
      <c r="AB912" s="59"/>
      <c r="AC912" s="59"/>
    </row>
    <row r="913" spans="1:29" ht="12.75">
      <c r="A913" s="59"/>
      <c r="B913" s="59"/>
      <c r="C913" s="59"/>
      <c r="D913" s="1173"/>
      <c r="E913" s="59"/>
      <c r="F913" s="1173"/>
      <c r="G913" s="1174"/>
      <c r="H913" s="59"/>
      <c r="I913" s="59"/>
      <c r="J913" s="1173"/>
      <c r="K913" s="59"/>
      <c r="L913" s="1173"/>
      <c r="M913" s="59"/>
      <c r="N913" s="59"/>
      <c r="O913" s="59"/>
      <c r="P913" s="59"/>
      <c r="Q913" s="59"/>
      <c r="R913" s="59"/>
      <c r="S913" s="59"/>
      <c r="T913" s="59"/>
      <c r="U913" s="59"/>
      <c r="V913" s="59"/>
      <c r="W913" s="59"/>
      <c r="X913" s="59"/>
      <c r="Y913" s="59"/>
      <c r="Z913" s="59"/>
      <c r="AA913" s="59"/>
      <c r="AB913" s="59"/>
      <c r="AC913" s="59"/>
    </row>
    <row r="914" spans="1:29" ht="12.75">
      <c r="A914" s="59"/>
      <c r="B914" s="59"/>
      <c r="C914" s="59"/>
      <c r="D914" s="1173"/>
      <c r="E914" s="59"/>
      <c r="F914" s="1173"/>
      <c r="G914" s="1174"/>
      <c r="H914" s="59"/>
      <c r="I914" s="59"/>
      <c r="J914" s="1173"/>
      <c r="K914" s="59"/>
      <c r="L914" s="1173"/>
      <c r="M914" s="59"/>
      <c r="N914" s="59"/>
      <c r="O914" s="59"/>
      <c r="P914" s="59"/>
      <c r="Q914" s="59"/>
      <c r="R914" s="59"/>
      <c r="S914" s="59"/>
      <c r="T914" s="59"/>
      <c r="U914" s="59"/>
      <c r="V914" s="59"/>
      <c r="W914" s="59"/>
      <c r="X914" s="59"/>
      <c r="Y914" s="59"/>
      <c r="Z914" s="59"/>
      <c r="AA914" s="59"/>
      <c r="AB914" s="59"/>
      <c r="AC914" s="59"/>
    </row>
    <row r="915" spans="1:29" ht="12.75">
      <c r="A915" s="59"/>
      <c r="B915" s="59"/>
      <c r="C915" s="59"/>
      <c r="D915" s="1173"/>
      <c r="E915" s="59"/>
      <c r="F915" s="1173"/>
      <c r="G915" s="1174"/>
      <c r="H915" s="59"/>
      <c r="I915" s="59"/>
      <c r="J915" s="1173"/>
      <c r="K915" s="59"/>
      <c r="L915" s="1173"/>
      <c r="M915" s="59"/>
      <c r="N915" s="59"/>
      <c r="O915" s="59"/>
      <c r="P915" s="59"/>
      <c r="Q915" s="59"/>
      <c r="R915" s="59"/>
      <c r="S915" s="59"/>
      <c r="T915" s="59"/>
      <c r="U915" s="59"/>
      <c r="V915" s="59"/>
      <c r="W915" s="59"/>
      <c r="X915" s="59"/>
      <c r="Y915" s="59"/>
      <c r="Z915" s="59"/>
      <c r="AA915" s="59"/>
      <c r="AB915" s="59"/>
      <c r="AC915" s="59"/>
    </row>
    <row r="916" spans="1:29" ht="12.75">
      <c r="A916" s="59"/>
      <c r="B916" s="59"/>
      <c r="C916" s="59"/>
      <c r="D916" s="1173"/>
      <c r="E916" s="59"/>
      <c r="F916" s="1173"/>
      <c r="G916" s="1174"/>
      <c r="H916" s="59"/>
      <c r="I916" s="59"/>
      <c r="J916" s="1173"/>
      <c r="K916" s="59"/>
      <c r="L916" s="1173"/>
      <c r="M916" s="59"/>
      <c r="N916" s="59"/>
      <c r="O916" s="59"/>
      <c r="P916" s="59"/>
      <c r="Q916" s="59"/>
      <c r="R916" s="59"/>
      <c r="S916" s="59"/>
      <c r="T916" s="59"/>
      <c r="U916" s="59"/>
      <c r="V916" s="59"/>
      <c r="W916" s="59"/>
      <c r="X916" s="59"/>
      <c r="Y916" s="59"/>
      <c r="Z916" s="59"/>
      <c r="AA916" s="59"/>
      <c r="AB916" s="59"/>
      <c r="AC916" s="59"/>
    </row>
    <row r="917" spans="1:29" ht="12.75">
      <c r="A917" s="59"/>
      <c r="B917" s="59"/>
      <c r="C917" s="59"/>
      <c r="D917" s="1173"/>
      <c r="E917" s="59"/>
      <c r="F917" s="1173"/>
      <c r="G917" s="1174"/>
      <c r="H917" s="59"/>
      <c r="I917" s="59"/>
      <c r="J917" s="1173"/>
      <c r="K917" s="59"/>
      <c r="L917" s="1173"/>
      <c r="M917" s="59"/>
      <c r="N917" s="59"/>
      <c r="O917" s="59"/>
      <c r="P917" s="59"/>
      <c r="Q917" s="59"/>
      <c r="R917" s="59"/>
      <c r="S917" s="59"/>
      <c r="T917" s="59"/>
      <c r="U917" s="59"/>
      <c r="V917" s="59"/>
      <c r="W917" s="59"/>
      <c r="X917" s="59"/>
      <c r="Y917" s="59"/>
      <c r="Z917" s="59"/>
      <c r="AA917" s="59"/>
      <c r="AB917" s="59"/>
      <c r="AC917" s="59"/>
    </row>
    <row r="918" spans="1:29" ht="12.75">
      <c r="A918" s="59"/>
      <c r="B918" s="59"/>
      <c r="C918" s="59"/>
      <c r="D918" s="1173"/>
      <c r="E918" s="59"/>
      <c r="F918" s="1173"/>
      <c r="G918" s="1174"/>
      <c r="H918" s="59"/>
      <c r="I918" s="59"/>
      <c r="J918" s="1173"/>
      <c r="K918" s="59"/>
      <c r="L918" s="1173"/>
      <c r="M918" s="59"/>
      <c r="N918" s="59"/>
      <c r="O918" s="59"/>
      <c r="P918" s="59"/>
      <c r="Q918" s="59"/>
      <c r="R918" s="59"/>
      <c r="S918" s="59"/>
      <c r="T918" s="59"/>
      <c r="U918" s="59"/>
      <c r="V918" s="59"/>
      <c r="W918" s="59"/>
      <c r="X918" s="59"/>
      <c r="Y918" s="59"/>
      <c r="Z918" s="59"/>
      <c r="AA918" s="59"/>
      <c r="AB918" s="59"/>
      <c r="AC918" s="59"/>
    </row>
    <row r="919" spans="1:29" ht="12.75">
      <c r="A919" s="59"/>
      <c r="B919" s="59"/>
      <c r="C919" s="59"/>
      <c r="D919" s="1173"/>
      <c r="E919" s="59"/>
      <c r="F919" s="1173"/>
      <c r="G919" s="1174"/>
      <c r="H919" s="59"/>
      <c r="I919" s="59"/>
      <c r="J919" s="1173"/>
      <c r="K919" s="59"/>
      <c r="L919" s="1173"/>
      <c r="M919" s="59"/>
      <c r="N919" s="59"/>
      <c r="O919" s="59"/>
      <c r="P919" s="59"/>
      <c r="Q919" s="59"/>
      <c r="R919" s="59"/>
      <c r="S919" s="59"/>
      <c r="T919" s="59"/>
      <c r="U919" s="59"/>
      <c r="V919" s="59"/>
      <c r="W919" s="59"/>
      <c r="X919" s="59"/>
      <c r="Y919" s="59"/>
      <c r="Z919" s="59"/>
      <c r="AA919" s="59"/>
      <c r="AB919" s="59"/>
      <c r="AC919" s="59"/>
    </row>
    <row r="920" spans="1:29" ht="12.75">
      <c r="A920" s="59"/>
      <c r="B920" s="59"/>
      <c r="C920" s="59"/>
      <c r="D920" s="1173"/>
      <c r="E920" s="59"/>
      <c r="F920" s="1173"/>
      <c r="G920" s="1174"/>
      <c r="H920" s="59"/>
      <c r="I920" s="59"/>
      <c r="J920" s="1173"/>
      <c r="K920" s="59"/>
      <c r="L920" s="1173"/>
      <c r="M920" s="59"/>
      <c r="N920" s="59"/>
      <c r="O920" s="59"/>
      <c r="P920" s="59"/>
      <c r="Q920" s="59"/>
      <c r="R920" s="59"/>
      <c r="S920" s="59"/>
      <c r="T920" s="59"/>
      <c r="U920" s="59"/>
      <c r="V920" s="59"/>
      <c r="W920" s="59"/>
      <c r="X920" s="59"/>
      <c r="Y920" s="59"/>
      <c r="Z920" s="59"/>
      <c r="AA920" s="59"/>
      <c r="AB920" s="59"/>
      <c r="AC920" s="59"/>
    </row>
    <row r="921" spans="1:29" ht="12.75">
      <c r="A921" s="59"/>
      <c r="B921" s="59"/>
      <c r="C921" s="59"/>
      <c r="D921" s="1173"/>
      <c r="E921" s="59"/>
      <c r="F921" s="1173"/>
      <c r="G921" s="1174"/>
      <c r="H921" s="59"/>
      <c r="I921" s="59"/>
      <c r="J921" s="1173"/>
      <c r="K921" s="59"/>
      <c r="L921" s="1173"/>
      <c r="M921" s="59"/>
      <c r="N921" s="59"/>
      <c r="O921" s="59"/>
      <c r="P921" s="59"/>
      <c r="Q921" s="59"/>
      <c r="R921" s="59"/>
      <c r="S921" s="59"/>
      <c r="T921" s="59"/>
      <c r="U921" s="59"/>
      <c r="V921" s="59"/>
      <c r="W921" s="59"/>
      <c r="X921" s="59"/>
      <c r="Y921" s="59"/>
      <c r="Z921" s="59"/>
      <c r="AA921" s="59"/>
      <c r="AB921" s="59"/>
      <c r="AC921" s="59"/>
    </row>
    <row r="922" spans="1:29" ht="12.75">
      <c r="A922" s="59"/>
      <c r="B922" s="59"/>
      <c r="C922" s="59"/>
      <c r="D922" s="1173"/>
      <c r="E922" s="59"/>
      <c r="F922" s="1173"/>
      <c r="G922" s="1174"/>
      <c r="H922" s="59"/>
      <c r="I922" s="59"/>
      <c r="J922" s="1173"/>
      <c r="K922" s="59"/>
      <c r="L922" s="1173"/>
      <c r="M922" s="59"/>
      <c r="N922" s="59"/>
      <c r="O922" s="59"/>
      <c r="P922" s="59"/>
      <c r="Q922" s="59"/>
      <c r="R922" s="59"/>
      <c r="S922" s="59"/>
      <c r="T922" s="59"/>
      <c r="U922" s="59"/>
      <c r="V922" s="59"/>
      <c r="W922" s="59"/>
      <c r="X922" s="59"/>
      <c r="Y922" s="59"/>
      <c r="Z922" s="59"/>
      <c r="AA922" s="59"/>
      <c r="AB922" s="59"/>
      <c r="AC922" s="59"/>
    </row>
    <row r="923" spans="1:29" ht="12.75">
      <c r="A923" s="59"/>
      <c r="B923" s="59"/>
      <c r="C923" s="59"/>
      <c r="D923" s="1173"/>
      <c r="E923" s="59"/>
      <c r="F923" s="1173"/>
      <c r="G923" s="1174"/>
      <c r="H923" s="59"/>
      <c r="I923" s="59"/>
      <c r="J923" s="1173"/>
      <c r="K923" s="59"/>
      <c r="L923" s="1173"/>
      <c r="M923" s="59"/>
      <c r="N923" s="59"/>
      <c r="O923" s="59"/>
      <c r="P923" s="59"/>
      <c r="Q923" s="59"/>
      <c r="R923" s="59"/>
      <c r="S923" s="59"/>
      <c r="T923" s="59"/>
      <c r="U923" s="59"/>
      <c r="V923" s="59"/>
      <c r="W923" s="59"/>
      <c r="X923" s="59"/>
      <c r="Y923" s="59"/>
      <c r="Z923" s="59"/>
      <c r="AA923" s="59"/>
      <c r="AB923" s="59"/>
      <c r="AC923" s="59"/>
    </row>
    <row r="924" spans="1:29" ht="12.75">
      <c r="A924" s="59"/>
      <c r="B924" s="59"/>
      <c r="C924" s="59"/>
      <c r="D924" s="1173"/>
      <c r="E924" s="59"/>
      <c r="F924" s="1173"/>
      <c r="G924" s="1174"/>
      <c r="H924" s="59"/>
      <c r="I924" s="59"/>
      <c r="J924" s="1173"/>
      <c r="K924" s="59"/>
      <c r="L924" s="1173"/>
      <c r="M924" s="59"/>
      <c r="N924" s="59"/>
      <c r="O924" s="59"/>
      <c r="P924" s="59"/>
      <c r="Q924" s="59"/>
      <c r="R924" s="59"/>
      <c r="S924" s="59"/>
      <c r="T924" s="59"/>
      <c r="U924" s="59"/>
      <c r="V924" s="59"/>
      <c r="W924" s="59"/>
      <c r="X924" s="59"/>
      <c r="Y924" s="59"/>
      <c r="Z924" s="59"/>
      <c r="AA924" s="59"/>
      <c r="AB924" s="59"/>
      <c r="AC924" s="59"/>
    </row>
    <row r="925" spans="1:29" ht="12.75">
      <c r="A925" s="59"/>
      <c r="B925" s="59"/>
      <c r="C925" s="59"/>
      <c r="D925" s="1173"/>
      <c r="E925" s="59"/>
      <c r="F925" s="1173"/>
      <c r="G925" s="1174"/>
      <c r="H925" s="59"/>
      <c r="I925" s="59"/>
      <c r="J925" s="1173"/>
      <c r="K925" s="59"/>
      <c r="L925" s="1173"/>
      <c r="M925" s="59"/>
      <c r="N925" s="59"/>
      <c r="O925" s="59"/>
      <c r="P925" s="59"/>
      <c r="Q925" s="59"/>
      <c r="R925" s="59"/>
      <c r="S925" s="59"/>
      <c r="T925" s="59"/>
      <c r="U925" s="59"/>
      <c r="V925" s="59"/>
      <c r="W925" s="59"/>
      <c r="X925" s="59"/>
      <c r="Y925" s="59"/>
      <c r="Z925" s="59"/>
      <c r="AA925" s="59"/>
      <c r="AB925" s="59"/>
      <c r="AC925" s="59"/>
    </row>
    <row r="926" spans="1:29" ht="12.75">
      <c r="A926" s="59"/>
      <c r="B926" s="59"/>
      <c r="C926" s="59"/>
      <c r="D926" s="1173"/>
      <c r="E926" s="59"/>
      <c r="F926" s="1173"/>
      <c r="G926" s="1174"/>
      <c r="H926" s="59"/>
      <c r="I926" s="59"/>
      <c r="J926" s="1173"/>
      <c r="K926" s="59"/>
      <c r="L926" s="1173"/>
      <c r="M926" s="59"/>
      <c r="N926" s="59"/>
      <c r="O926" s="59"/>
      <c r="P926" s="59"/>
      <c r="Q926" s="59"/>
      <c r="R926" s="59"/>
      <c r="S926" s="59"/>
      <c r="T926" s="59"/>
      <c r="U926" s="59"/>
      <c r="V926" s="59"/>
      <c r="W926" s="59"/>
      <c r="X926" s="59"/>
      <c r="Y926" s="59"/>
      <c r="Z926" s="59"/>
      <c r="AA926" s="59"/>
      <c r="AB926" s="59"/>
      <c r="AC926" s="59"/>
    </row>
    <row r="927" spans="1:29" ht="12.75">
      <c r="A927" s="59"/>
      <c r="B927" s="59"/>
      <c r="C927" s="59"/>
      <c r="D927" s="1173"/>
      <c r="E927" s="59"/>
      <c r="F927" s="1173"/>
      <c r="G927" s="1174"/>
      <c r="H927" s="59"/>
      <c r="I927" s="59"/>
      <c r="J927" s="1173"/>
      <c r="K927" s="59"/>
      <c r="L927" s="1173"/>
      <c r="M927" s="59"/>
      <c r="N927" s="59"/>
      <c r="O927" s="59"/>
      <c r="P927" s="59"/>
      <c r="Q927" s="59"/>
      <c r="R927" s="59"/>
      <c r="S927" s="59"/>
      <c r="T927" s="59"/>
      <c r="U927" s="59"/>
      <c r="V927" s="59"/>
      <c r="W927" s="59"/>
      <c r="X927" s="59"/>
      <c r="Y927" s="59"/>
      <c r="Z927" s="59"/>
      <c r="AA927" s="59"/>
      <c r="AB927" s="59"/>
      <c r="AC927" s="59"/>
    </row>
    <row r="928" spans="1:29" ht="12.75">
      <c r="A928" s="59"/>
      <c r="B928" s="59"/>
      <c r="C928" s="59"/>
      <c r="D928" s="1173"/>
      <c r="E928" s="59"/>
      <c r="F928" s="1173"/>
      <c r="G928" s="1174"/>
      <c r="H928" s="59"/>
      <c r="I928" s="59"/>
      <c r="J928" s="1173"/>
      <c r="K928" s="59"/>
      <c r="L928" s="1173"/>
      <c r="M928" s="59"/>
      <c r="N928" s="59"/>
      <c r="O928" s="59"/>
      <c r="P928" s="59"/>
      <c r="Q928" s="59"/>
      <c r="R928" s="59"/>
      <c r="S928" s="59"/>
      <c r="T928" s="59"/>
      <c r="U928" s="59"/>
      <c r="V928" s="59"/>
      <c r="W928" s="59"/>
      <c r="X928" s="59"/>
      <c r="Y928" s="59"/>
      <c r="Z928" s="59"/>
      <c r="AA928" s="59"/>
      <c r="AB928" s="59"/>
      <c r="AC928" s="59"/>
    </row>
    <row r="929" spans="1:29" ht="12.75">
      <c r="A929" s="59"/>
      <c r="B929" s="59"/>
      <c r="C929" s="59"/>
      <c r="D929" s="1173"/>
      <c r="E929" s="59"/>
      <c r="F929" s="1173"/>
      <c r="G929" s="1174"/>
      <c r="H929" s="59"/>
      <c r="I929" s="59"/>
      <c r="J929" s="1173"/>
      <c r="K929" s="59"/>
      <c r="L929" s="1173"/>
      <c r="M929" s="59"/>
      <c r="N929" s="59"/>
      <c r="O929" s="59"/>
      <c r="P929" s="59"/>
      <c r="Q929" s="59"/>
      <c r="R929" s="59"/>
      <c r="S929" s="59"/>
      <c r="T929" s="59"/>
      <c r="U929" s="59"/>
      <c r="V929" s="59"/>
      <c r="W929" s="59"/>
      <c r="X929" s="59"/>
      <c r="Y929" s="59"/>
      <c r="Z929" s="59"/>
      <c r="AA929" s="59"/>
      <c r="AB929" s="59"/>
      <c r="AC929" s="59"/>
    </row>
    <row r="930" spans="1:29" ht="12.75">
      <c r="A930" s="59"/>
      <c r="B930" s="59"/>
      <c r="C930" s="59"/>
      <c r="D930" s="1173"/>
      <c r="E930" s="59"/>
      <c r="F930" s="1173"/>
      <c r="G930" s="1174"/>
      <c r="H930" s="59"/>
      <c r="I930" s="59"/>
      <c r="J930" s="1173"/>
      <c r="K930" s="59"/>
      <c r="L930" s="1173"/>
      <c r="M930" s="59"/>
      <c r="N930" s="59"/>
      <c r="O930" s="59"/>
      <c r="P930" s="59"/>
      <c r="Q930" s="59"/>
      <c r="R930" s="59"/>
      <c r="S930" s="59"/>
      <c r="T930" s="59"/>
      <c r="U930" s="59"/>
      <c r="V930" s="59"/>
      <c r="W930" s="59"/>
      <c r="X930" s="59"/>
      <c r="Y930" s="59"/>
      <c r="Z930" s="59"/>
      <c r="AA930" s="59"/>
      <c r="AB930" s="59"/>
      <c r="AC930" s="59"/>
    </row>
    <row r="931" spans="1:29" ht="12.75">
      <c r="A931" s="59"/>
      <c r="B931" s="59"/>
      <c r="C931" s="59"/>
      <c r="D931" s="1173"/>
      <c r="E931" s="59"/>
      <c r="F931" s="1173"/>
      <c r="G931" s="1174"/>
      <c r="H931" s="59"/>
      <c r="I931" s="59"/>
      <c r="J931" s="1173"/>
      <c r="K931" s="59"/>
      <c r="L931" s="1173"/>
      <c r="M931" s="59"/>
      <c r="N931" s="59"/>
      <c r="O931" s="59"/>
      <c r="P931" s="59"/>
      <c r="Q931" s="59"/>
      <c r="R931" s="59"/>
      <c r="S931" s="59"/>
      <c r="T931" s="59"/>
      <c r="U931" s="59"/>
      <c r="V931" s="59"/>
      <c r="W931" s="59"/>
      <c r="X931" s="59"/>
      <c r="Y931" s="59"/>
      <c r="Z931" s="59"/>
      <c r="AA931" s="59"/>
      <c r="AB931" s="59"/>
      <c r="AC931" s="59"/>
    </row>
    <row r="932" spans="1:29" ht="12.75">
      <c r="A932" s="59"/>
      <c r="B932" s="59"/>
      <c r="C932" s="59"/>
      <c r="D932" s="1173"/>
      <c r="E932" s="59"/>
      <c r="F932" s="1173"/>
      <c r="G932" s="1174"/>
      <c r="H932" s="59"/>
      <c r="I932" s="59"/>
      <c r="J932" s="1173"/>
      <c r="K932" s="59"/>
      <c r="L932" s="1173"/>
      <c r="M932" s="59"/>
      <c r="N932" s="59"/>
      <c r="O932" s="59"/>
      <c r="P932" s="59"/>
      <c r="Q932" s="59"/>
      <c r="R932" s="59"/>
      <c r="S932" s="59"/>
      <c r="T932" s="59"/>
      <c r="U932" s="59"/>
      <c r="V932" s="59"/>
      <c r="W932" s="59"/>
      <c r="X932" s="59"/>
      <c r="Y932" s="59"/>
      <c r="Z932" s="59"/>
      <c r="AA932" s="59"/>
      <c r="AB932" s="59"/>
      <c r="AC932" s="59"/>
    </row>
    <row r="933" spans="1:29" ht="12.75">
      <c r="A933" s="59"/>
      <c r="B933" s="59"/>
      <c r="C933" s="59"/>
      <c r="D933" s="1173"/>
      <c r="E933" s="59"/>
      <c r="F933" s="1173"/>
      <c r="G933" s="1174"/>
      <c r="H933" s="59"/>
      <c r="I933" s="59"/>
      <c r="J933" s="1173"/>
      <c r="K933" s="59"/>
      <c r="L933" s="1173"/>
      <c r="M933" s="59"/>
      <c r="N933" s="59"/>
      <c r="O933" s="59"/>
      <c r="P933" s="59"/>
      <c r="Q933" s="59"/>
      <c r="R933" s="59"/>
      <c r="S933" s="59"/>
      <c r="T933" s="59"/>
      <c r="U933" s="59"/>
      <c r="V933" s="59"/>
      <c r="W933" s="59"/>
      <c r="X933" s="59"/>
      <c r="Y933" s="59"/>
      <c r="Z933" s="59"/>
      <c r="AA933" s="59"/>
      <c r="AB933" s="59"/>
      <c r="AC933" s="59"/>
    </row>
    <row r="934" spans="1:29" ht="12.75">
      <c r="A934" s="59"/>
      <c r="B934" s="59"/>
      <c r="C934" s="59"/>
      <c r="D934" s="1173"/>
      <c r="E934" s="59"/>
      <c r="F934" s="1173"/>
      <c r="G934" s="1174"/>
      <c r="H934" s="59"/>
      <c r="I934" s="59"/>
      <c r="J934" s="1173"/>
      <c r="K934" s="59"/>
      <c r="L934" s="1173"/>
      <c r="M934" s="59"/>
      <c r="N934" s="59"/>
      <c r="O934" s="59"/>
      <c r="P934" s="59"/>
      <c r="Q934" s="59"/>
      <c r="R934" s="59"/>
      <c r="S934" s="59"/>
      <c r="T934" s="59"/>
      <c r="U934" s="59"/>
      <c r="V934" s="59"/>
      <c r="W934" s="59"/>
      <c r="X934" s="59"/>
      <c r="Y934" s="59"/>
      <c r="Z934" s="59"/>
      <c r="AA934" s="59"/>
      <c r="AB934" s="59"/>
      <c r="AC934" s="59"/>
    </row>
    <row r="935" spans="1:29" ht="12.75">
      <c r="A935" s="59"/>
      <c r="B935" s="59"/>
      <c r="C935" s="59"/>
      <c r="D935" s="1173"/>
      <c r="E935" s="59"/>
      <c r="F935" s="1173"/>
      <c r="G935" s="1174"/>
      <c r="H935" s="59"/>
      <c r="I935" s="59"/>
      <c r="J935" s="1173"/>
      <c r="K935" s="59"/>
      <c r="L935" s="1173"/>
      <c r="M935" s="59"/>
      <c r="N935" s="59"/>
      <c r="O935" s="59"/>
      <c r="P935" s="59"/>
      <c r="Q935" s="59"/>
      <c r="R935" s="59"/>
      <c r="S935" s="59"/>
      <c r="T935" s="59"/>
      <c r="U935" s="59"/>
      <c r="V935" s="59"/>
      <c r="W935" s="59"/>
      <c r="X935" s="59"/>
      <c r="Y935" s="59"/>
      <c r="Z935" s="59"/>
      <c r="AA935" s="59"/>
      <c r="AB935" s="59"/>
      <c r="AC935" s="59"/>
    </row>
    <row r="936" spans="1:29" ht="12.75">
      <c r="A936" s="59"/>
      <c r="B936" s="59"/>
      <c r="C936" s="59"/>
      <c r="D936" s="1173"/>
      <c r="E936" s="59"/>
      <c r="F936" s="1173"/>
      <c r="G936" s="1174"/>
      <c r="H936" s="59"/>
      <c r="I936" s="59"/>
      <c r="J936" s="1173"/>
      <c r="K936" s="59"/>
      <c r="L936" s="1173"/>
      <c r="M936" s="59"/>
      <c r="N936" s="59"/>
      <c r="O936" s="59"/>
      <c r="P936" s="59"/>
      <c r="Q936" s="59"/>
      <c r="R936" s="59"/>
      <c r="S936" s="59"/>
      <c r="T936" s="59"/>
      <c r="U936" s="59"/>
      <c r="V936" s="59"/>
      <c r="W936" s="59"/>
      <c r="X936" s="59"/>
      <c r="Y936" s="59"/>
      <c r="Z936" s="59"/>
      <c r="AA936" s="59"/>
      <c r="AB936" s="59"/>
      <c r="AC936" s="59"/>
    </row>
    <row r="937" spans="1:29" ht="12.75">
      <c r="A937" s="59"/>
      <c r="B937" s="59"/>
      <c r="C937" s="59"/>
      <c r="D937" s="1173"/>
      <c r="E937" s="59"/>
      <c r="F937" s="1173"/>
      <c r="G937" s="1174"/>
      <c r="H937" s="59"/>
      <c r="I937" s="59"/>
      <c r="J937" s="1173"/>
      <c r="K937" s="59"/>
      <c r="L937" s="1173"/>
      <c r="M937" s="59"/>
      <c r="N937" s="59"/>
      <c r="O937" s="59"/>
      <c r="P937" s="59"/>
      <c r="Q937" s="59"/>
      <c r="R937" s="59"/>
      <c r="S937" s="59"/>
      <c r="T937" s="59"/>
      <c r="U937" s="59"/>
      <c r="V937" s="59"/>
      <c r="W937" s="59"/>
      <c r="X937" s="59"/>
      <c r="Y937" s="59"/>
      <c r="Z937" s="59"/>
      <c r="AA937" s="59"/>
      <c r="AB937" s="59"/>
      <c r="AC937" s="59"/>
    </row>
    <row r="938" spans="1:29" ht="12.75">
      <c r="A938" s="59"/>
      <c r="B938" s="59"/>
      <c r="C938" s="59"/>
      <c r="D938" s="1173"/>
      <c r="E938" s="59"/>
      <c r="F938" s="1173"/>
      <c r="G938" s="1174"/>
      <c r="H938" s="59"/>
      <c r="I938" s="59"/>
      <c r="J938" s="1173"/>
      <c r="K938" s="59"/>
      <c r="L938" s="1173"/>
      <c r="M938" s="59"/>
      <c r="N938" s="59"/>
      <c r="O938" s="59"/>
      <c r="P938" s="59"/>
      <c r="Q938" s="59"/>
      <c r="R938" s="59"/>
      <c r="S938" s="59"/>
      <c r="T938" s="59"/>
      <c r="U938" s="59"/>
      <c r="V938" s="59"/>
      <c r="W938" s="59"/>
      <c r="X938" s="59"/>
      <c r="Y938" s="59"/>
      <c r="Z938" s="59"/>
      <c r="AA938" s="59"/>
      <c r="AB938" s="59"/>
      <c r="AC938" s="59"/>
    </row>
    <row r="939" spans="1:29" ht="12.75">
      <c r="A939" s="59"/>
      <c r="B939" s="59"/>
      <c r="C939" s="59"/>
      <c r="D939" s="1173"/>
      <c r="E939" s="59"/>
      <c r="F939" s="1173"/>
      <c r="G939" s="1174"/>
      <c r="H939" s="59"/>
      <c r="I939" s="59"/>
      <c r="J939" s="1173"/>
      <c r="K939" s="59"/>
      <c r="L939" s="1173"/>
      <c r="M939" s="59"/>
      <c r="N939" s="59"/>
      <c r="O939" s="59"/>
      <c r="P939" s="59"/>
      <c r="Q939" s="59"/>
      <c r="R939" s="59"/>
      <c r="S939" s="59"/>
      <c r="T939" s="59"/>
      <c r="U939" s="59"/>
      <c r="V939" s="59"/>
      <c r="W939" s="59"/>
      <c r="X939" s="59"/>
      <c r="Y939" s="59"/>
      <c r="Z939" s="59"/>
      <c r="AA939" s="59"/>
      <c r="AB939" s="59"/>
      <c r="AC939" s="59"/>
    </row>
    <row r="940" spans="1:29" ht="12.75">
      <c r="A940" s="59"/>
      <c r="B940" s="59"/>
      <c r="C940" s="59"/>
      <c r="D940" s="1173"/>
      <c r="E940" s="59"/>
      <c r="F940" s="1173"/>
      <c r="G940" s="1174"/>
      <c r="H940" s="59"/>
      <c r="I940" s="59"/>
      <c r="J940" s="1173"/>
      <c r="K940" s="59"/>
      <c r="L940" s="1173"/>
      <c r="M940" s="59"/>
      <c r="N940" s="59"/>
      <c r="O940" s="59"/>
      <c r="P940" s="59"/>
      <c r="Q940" s="59"/>
      <c r="R940" s="59"/>
      <c r="S940" s="59"/>
      <c r="T940" s="59"/>
      <c r="U940" s="59"/>
      <c r="V940" s="59"/>
      <c r="W940" s="59"/>
      <c r="X940" s="59"/>
      <c r="Y940" s="59"/>
      <c r="Z940" s="59"/>
      <c r="AA940" s="59"/>
      <c r="AB940" s="59"/>
      <c r="AC940" s="59"/>
    </row>
    <row r="941" spans="1:29" ht="12.75">
      <c r="A941" s="59"/>
      <c r="B941" s="59"/>
      <c r="C941" s="59"/>
      <c r="D941" s="1173"/>
      <c r="E941" s="59"/>
      <c r="F941" s="1173"/>
      <c r="G941" s="1174"/>
      <c r="H941" s="59"/>
      <c r="I941" s="59"/>
      <c r="J941" s="1173"/>
      <c r="K941" s="59"/>
      <c r="L941" s="1173"/>
      <c r="M941" s="59"/>
      <c r="N941" s="59"/>
      <c r="O941" s="59"/>
      <c r="P941" s="59"/>
      <c r="Q941" s="59"/>
      <c r="R941" s="59"/>
      <c r="S941" s="59"/>
      <c r="T941" s="59"/>
      <c r="U941" s="59"/>
      <c r="V941" s="59"/>
      <c r="W941" s="59"/>
      <c r="X941" s="59"/>
      <c r="Y941" s="59"/>
      <c r="Z941" s="59"/>
      <c r="AA941" s="59"/>
      <c r="AB941" s="59"/>
      <c r="AC941" s="59"/>
    </row>
    <row r="942" spans="1:29" ht="12.75">
      <c r="A942" s="59"/>
      <c r="B942" s="59"/>
      <c r="C942" s="59"/>
      <c r="D942" s="1173"/>
      <c r="E942" s="59"/>
      <c r="F942" s="1173"/>
      <c r="G942" s="1174"/>
      <c r="H942" s="59"/>
      <c r="I942" s="59"/>
      <c r="J942" s="1173"/>
      <c r="K942" s="59"/>
      <c r="L942" s="1173"/>
      <c r="M942" s="59"/>
      <c r="N942" s="59"/>
      <c r="O942" s="59"/>
      <c r="P942" s="59"/>
      <c r="Q942" s="59"/>
      <c r="R942" s="59"/>
      <c r="S942" s="59"/>
      <c r="T942" s="59"/>
      <c r="U942" s="59"/>
      <c r="V942" s="59"/>
      <c r="W942" s="59"/>
      <c r="X942" s="59"/>
      <c r="Y942" s="59"/>
      <c r="Z942" s="59"/>
      <c r="AA942" s="59"/>
      <c r="AB942" s="59"/>
      <c r="AC942" s="59"/>
    </row>
    <row r="943" spans="1:29" ht="12.75">
      <c r="A943" s="59"/>
      <c r="B943" s="59"/>
      <c r="C943" s="59"/>
      <c r="D943" s="1173"/>
      <c r="E943" s="59"/>
      <c r="F943" s="1173"/>
      <c r="G943" s="1174"/>
      <c r="H943" s="59"/>
      <c r="I943" s="59"/>
      <c r="J943" s="1173"/>
      <c r="K943" s="59"/>
      <c r="L943" s="1173"/>
      <c r="M943" s="59"/>
      <c r="N943" s="59"/>
      <c r="O943" s="59"/>
      <c r="P943" s="59"/>
      <c r="Q943" s="59"/>
      <c r="R943" s="59"/>
      <c r="S943" s="59"/>
      <c r="T943" s="59"/>
      <c r="U943" s="59"/>
      <c r="V943" s="59"/>
      <c r="W943" s="59"/>
      <c r="X943" s="59"/>
      <c r="Y943" s="59"/>
      <c r="Z943" s="59"/>
      <c r="AA943" s="59"/>
      <c r="AB943" s="59"/>
      <c r="AC943" s="59"/>
    </row>
    <row r="944" spans="1:29" ht="12.75">
      <c r="A944" s="59"/>
      <c r="B944" s="59"/>
      <c r="C944" s="59"/>
      <c r="D944" s="1173"/>
      <c r="E944" s="59"/>
      <c r="F944" s="1173"/>
      <c r="G944" s="1174"/>
      <c r="H944" s="59"/>
      <c r="I944" s="59"/>
      <c r="J944" s="1173"/>
      <c r="K944" s="59"/>
      <c r="L944" s="1173"/>
      <c r="M944" s="59"/>
      <c r="N944" s="59"/>
      <c r="O944" s="59"/>
      <c r="P944" s="59"/>
      <c r="Q944" s="59"/>
      <c r="R944" s="59"/>
      <c r="S944" s="59"/>
      <c r="T944" s="59"/>
      <c r="U944" s="59"/>
      <c r="V944" s="59"/>
      <c r="W944" s="59"/>
      <c r="X944" s="59"/>
      <c r="Y944" s="59"/>
      <c r="Z944" s="59"/>
      <c r="AA944" s="59"/>
      <c r="AB944" s="59"/>
      <c r="AC944" s="59"/>
    </row>
    <row r="945" spans="1:29" ht="12.75">
      <c r="A945" s="59"/>
      <c r="B945" s="59"/>
      <c r="C945" s="59"/>
      <c r="D945" s="1173"/>
      <c r="E945" s="59"/>
      <c r="F945" s="1173"/>
      <c r="G945" s="1174"/>
      <c r="H945" s="59"/>
      <c r="I945" s="59"/>
      <c r="J945" s="1173"/>
      <c r="K945" s="59"/>
      <c r="L945" s="1173"/>
      <c r="M945" s="59"/>
      <c r="N945" s="59"/>
      <c r="O945" s="59"/>
      <c r="P945" s="59"/>
      <c r="Q945" s="59"/>
      <c r="R945" s="59"/>
      <c r="S945" s="59"/>
      <c r="T945" s="59"/>
      <c r="U945" s="59"/>
      <c r="V945" s="59"/>
      <c r="W945" s="59"/>
      <c r="X945" s="59"/>
      <c r="Y945" s="59"/>
      <c r="Z945" s="59"/>
      <c r="AA945" s="59"/>
      <c r="AB945" s="59"/>
      <c r="AC945" s="59"/>
    </row>
    <row r="946" spans="1:29" ht="12.75">
      <c r="A946" s="59"/>
      <c r="B946" s="59"/>
      <c r="C946" s="59"/>
      <c r="D946" s="1173"/>
      <c r="E946" s="59"/>
      <c r="F946" s="1173"/>
      <c r="G946" s="1174"/>
      <c r="H946" s="59"/>
      <c r="I946" s="59"/>
      <c r="J946" s="1173"/>
      <c r="K946" s="59"/>
      <c r="L946" s="1173"/>
      <c r="M946" s="59"/>
      <c r="N946" s="59"/>
      <c r="O946" s="59"/>
      <c r="P946" s="59"/>
      <c r="Q946" s="59"/>
      <c r="R946" s="59"/>
      <c r="S946" s="59"/>
      <c r="T946" s="59"/>
      <c r="U946" s="59"/>
      <c r="V946" s="59"/>
      <c r="W946" s="59"/>
      <c r="X946" s="59"/>
      <c r="Y946" s="59"/>
      <c r="Z946" s="59"/>
      <c r="AA946" s="59"/>
      <c r="AB946" s="59"/>
      <c r="AC946" s="59"/>
    </row>
    <row r="947" spans="1:29" ht="12.75">
      <c r="A947" s="59"/>
      <c r="B947" s="59"/>
      <c r="C947" s="59"/>
      <c r="D947" s="1173"/>
      <c r="E947" s="59"/>
      <c r="F947" s="1173"/>
      <c r="G947" s="1174"/>
      <c r="H947" s="59"/>
      <c r="I947" s="59"/>
      <c r="J947" s="1173"/>
      <c r="K947" s="59"/>
      <c r="L947" s="1173"/>
      <c r="M947" s="59"/>
      <c r="N947" s="59"/>
      <c r="O947" s="59"/>
      <c r="P947" s="59"/>
      <c r="Q947" s="59"/>
      <c r="R947" s="59"/>
      <c r="S947" s="59"/>
      <c r="T947" s="59"/>
      <c r="U947" s="59"/>
      <c r="V947" s="59"/>
      <c r="W947" s="59"/>
      <c r="X947" s="59"/>
      <c r="Y947" s="59"/>
      <c r="Z947" s="59"/>
      <c r="AA947" s="59"/>
      <c r="AB947" s="59"/>
      <c r="AC947" s="59"/>
    </row>
    <row r="948" spans="1:29" ht="12.75">
      <c r="A948" s="59"/>
      <c r="B948" s="59"/>
      <c r="C948" s="59"/>
      <c r="D948" s="1173"/>
      <c r="E948" s="59"/>
      <c r="F948" s="1173"/>
      <c r="G948" s="1174"/>
      <c r="H948" s="59"/>
      <c r="I948" s="59"/>
      <c r="J948" s="1173"/>
      <c r="K948" s="59"/>
      <c r="L948" s="1173"/>
      <c r="M948" s="59"/>
      <c r="N948" s="59"/>
      <c r="O948" s="59"/>
      <c r="P948" s="59"/>
      <c r="Q948" s="59"/>
      <c r="R948" s="59"/>
      <c r="S948" s="59"/>
      <c r="T948" s="59"/>
      <c r="U948" s="59"/>
      <c r="V948" s="59"/>
      <c r="W948" s="59"/>
      <c r="X948" s="59"/>
      <c r="Y948" s="59"/>
      <c r="Z948" s="59"/>
      <c r="AA948" s="59"/>
      <c r="AB948" s="59"/>
      <c r="AC948" s="59"/>
    </row>
    <row r="949" spans="1:29" ht="12.75">
      <c r="A949" s="59"/>
      <c r="B949" s="59"/>
      <c r="C949" s="59"/>
      <c r="D949" s="1173"/>
      <c r="E949" s="59"/>
      <c r="F949" s="1173"/>
      <c r="G949" s="1174"/>
      <c r="H949" s="59"/>
      <c r="I949" s="59"/>
      <c r="J949" s="1173"/>
      <c r="K949" s="59"/>
      <c r="L949" s="1173"/>
      <c r="M949" s="59"/>
      <c r="N949" s="59"/>
      <c r="O949" s="59"/>
      <c r="P949" s="59"/>
      <c r="Q949" s="59"/>
      <c r="R949" s="59"/>
      <c r="S949" s="59"/>
      <c r="T949" s="59"/>
      <c r="U949" s="59"/>
      <c r="V949" s="59"/>
      <c r="W949" s="59"/>
      <c r="X949" s="59"/>
      <c r="Y949" s="59"/>
      <c r="Z949" s="59"/>
      <c r="AA949" s="59"/>
      <c r="AB949" s="59"/>
      <c r="AC949" s="59"/>
    </row>
    <row r="950" spans="1:29" ht="12.75">
      <c r="A950" s="59"/>
      <c r="B950" s="59"/>
      <c r="C950" s="59"/>
      <c r="D950" s="1173"/>
      <c r="E950" s="59"/>
      <c r="F950" s="1173"/>
      <c r="G950" s="1174"/>
      <c r="H950" s="59"/>
      <c r="I950" s="59"/>
      <c r="J950" s="1173"/>
      <c r="K950" s="59"/>
      <c r="L950" s="1173"/>
      <c r="M950" s="59"/>
      <c r="N950" s="59"/>
      <c r="O950" s="59"/>
      <c r="P950" s="59"/>
      <c r="Q950" s="59"/>
      <c r="R950" s="59"/>
      <c r="S950" s="59"/>
      <c r="T950" s="59"/>
      <c r="U950" s="59"/>
      <c r="V950" s="59"/>
      <c r="W950" s="59"/>
      <c r="X950" s="59"/>
      <c r="Y950" s="59"/>
      <c r="Z950" s="59"/>
      <c r="AA950" s="59"/>
      <c r="AB950" s="59"/>
      <c r="AC950" s="59"/>
    </row>
    <row r="951" spans="1:29" ht="12.75">
      <c r="A951" s="59"/>
      <c r="B951" s="59"/>
      <c r="C951" s="59"/>
      <c r="D951" s="1173"/>
      <c r="E951" s="59"/>
      <c r="F951" s="1173"/>
      <c r="G951" s="1174"/>
      <c r="H951" s="59"/>
      <c r="I951" s="59"/>
      <c r="J951" s="1173"/>
      <c r="K951" s="59"/>
      <c r="L951" s="1173"/>
      <c r="M951" s="59"/>
      <c r="N951" s="59"/>
      <c r="O951" s="59"/>
      <c r="P951" s="59"/>
      <c r="Q951" s="59"/>
      <c r="R951" s="59"/>
      <c r="S951" s="59"/>
      <c r="T951" s="59"/>
      <c r="U951" s="59"/>
      <c r="V951" s="59"/>
      <c r="W951" s="59"/>
      <c r="X951" s="59"/>
      <c r="Y951" s="59"/>
      <c r="Z951" s="59"/>
      <c r="AA951" s="59"/>
      <c r="AB951" s="59"/>
      <c r="AC951" s="59"/>
    </row>
    <row r="952" spans="1:29" ht="12.75">
      <c r="A952" s="59"/>
      <c r="B952" s="59"/>
      <c r="C952" s="59"/>
      <c r="D952" s="1173"/>
      <c r="E952" s="59"/>
      <c r="F952" s="1173"/>
      <c r="G952" s="1174"/>
      <c r="H952" s="59"/>
      <c r="I952" s="59"/>
      <c r="J952" s="1173"/>
      <c r="K952" s="59"/>
      <c r="L952" s="1173"/>
      <c r="M952" s="59"/>
      <c r="N952" s="59"/>
      <c r="O952" s="59"/>
      <c r="P952" s="59"/>
      <c r="Q952" s="59"/>
      <c r="R952" s="59"/>
      <c r="S952" s="59"/>
      <c r="T952" s="59"/>
      <c r="U952" s="59"/>
      <c r="V952" s="59"/>
      <c r="W952" s="59"/>
      <c r="X952" s="59"/>
      <c r="Y952" s="59"/>
      <c r="Z952" s="59"/>
      <c r="AA952" s="59"/>
      <c r="AB952" s="59"/>
      <c r="AC952" s="59"/>
    </row>
    <row r="953" spans="1:29" ht="12.75">
      <c r="A953" s="59"/>
      <c r="B953" s="59"/>
      <c r="C953" s="59"/>
      <c r="D953" s="1173"/>
      <c r="E953" s="59"/>
      <c r="F953" s="1173"/>
      <c r="G953" s="1174"/>
      <c r="H953" s="59"/>
      <c r="I953" s="59"/>
      <c r="J953" s="1173"/>
      <c r="K953" s="59"/>
      <c r="L953" s="1173"/>
      <c r="M953" s="59"/>
      <c r="N953" s="59"/>
      <c r="O953" s="59"/>
      <c r="P953" s="59"/>
      <c r="Q953" s="59"/>
      <c r="R953" s="59"/>
      <c r="S953" s="59"/>
      <c r="T953" s="59"/>
      <c r="U953" s="59"/>
      <c r="V953" s="59"/>
      <c r="W953" s="59"/>
      <c r="X953" s="59"/>
      <c r="Y953" s="59"/>
      <c r="Z953" s="59"/>
      <c r="AA953" s="59"/>
      <c r="AB953" s="59"/>
      <c r="AC953" s="59"/>
    </row>
    <row r="954" spans="1:29" ht="12.75">
      <c r="A954" s="59"/>
      <c r="B954" s="59"/>
      <c r="C954" s="59"/>
      <c r="D954" s="1173"/>
      <c r="E954" s="59"/>
      <c r="F954" s="1173"/>
      <c r="G954" s="1174"/>
      <c r="H954" s="59"/>
      <c r="I954" s="59"/>
      <c r="J954" s="1173"/>
      <c r="K954" s="59"/>
      <c r="L954" s="1173"/>
      <c r="M954" s="59"/>
      <c r="N954" s="59"/>
      <c r="O954" s="59"/>
      <c r="P954" s="59"/>
      <c r="Q954" s="59"/>
      <c r="R954" s="59"/>
      <c r="S954" s="59"/>
      <c r="T954" s="59"/>
      <c r="U954" s="59"/>
      <c r="V954" s="59"/>
      <c r="W954" s="59"/>
      <c r="X954" s="59"/>
      <c r="Y954" s="59"/>
      <c r="Z954" s="59"/>
      <c r="AA954" s="59"/>
      <c r="AB954" s="59"/>
      <c r="AC954" s="59"/>
    </row>
    <row r="955" spans="1:29" ht="12.75">
      <c r="A955" s="59"/>
      <c r="B955" s="59"/>
      <c r="C955" s="59"/>
      <c r="D955" s="1173"/>
      <c r="E955" s="59"/>
      <c r="F955" s="1173"/>
      <c r="G955" s="1174"/>
      <c r="H955" s="59"/>
      <c r="I955" s="59"/>
      <c r="J955" s="1173"/>
      <c r="K955" s="59"/>
      <c r="L955" s="1173"/>
      <c r="M955" s="59"/>
      <c r="N955" s="59"/>
      <c r="O955" s="59"/>
      <c r="P955" s="59"/>
      <c r="Q955" s="59"/>
      <c r="R955" s="59"/>
      <c r="S955" s="59"/>
      <c r="T955" s="59"/>
      <c r="U955" s="59"/>
      <c r="V955" s="59"/>
      <c r="W955" s="59"/>
      <c r="X955" s="59"/>
      <c r="Y955" s="59"/>
      <c r="Z955" s="59"/>
      <c r="AA955" s="59"/>
      <c r="AB955" s="59"/>
      <c r="AC955" s="59"/>
    </row>
    <row r="956" spans="1:29" ht="12.75">
      <c r="A956" s="59"/>
      <c r="B956" s="59"/>
      <c r="C956" s="59"/>
      <c r="D956" s="1173"/>
      <c r="E956" s="59"/>
      <c r="F956" s="1173"/>
      <c r="G956" s="1174"/>
      <c r="H956" s="59"/>
      <c r="I956" s="59"/>
      <c r="J956" s="1173"/>
      <c r="K956" s="59"/>
      <c r="L956" s="1173"/>
      <c r="M956" s="59"/>
      <c r="N956" s="59"/>
      <c r="O956" s="59"/>
      <c r="P956" s="59"/>
      <c r="Q956" s="59"/>
      <c r="R956" s="59"/>
      <c r="S956" s="59"/>
      <c r="T956" s="59"/>
      <c r="U956" s="59"/>
      <c r="V956" s="59"/>
      <c r="W956" s="59"/>
      <c r="X956" s="59"/>
      <c r="Y956" s="59"/>
      <c r="Z956" s="59"/>
      <c r="AA956" s="59"/>
      <c r="AB956" s="59"/>
      <c r="AC956" s="59"/>
    </row>
    <row r="957" spans="1:29" ht="12.75">
      <c r="A957" s="59"/>
      <c r="B957" s="59"/>
      <c r="C957" s="59"/>
      <c r="D957" s="1173"/>
      <c r="E957" s="59"/>
      <c r="F957" s="1173"/>
      <c r="G957" s="1174"/>
      <c r="H957" s="59"/>
      <c r="I957" s="59"/>
      <c r="J957" s="1173"/>
      <c r="K957" s="59"/>
      <c r="L957" s="1173"/>
      <c r="M957" s="59"/>
      <c r="N957" s="59"/>
      <c r="O957" s="59"/>
      <c r="P957" s="59"/>
      <c r="Q957" s="59"/>
      <c r="R957" s="59"/>
      <c r="S957" s="59"/>
      <c r="T957" s="59"/>
      <c r="U957" s="59"/>
      <c r="V957" s="59"/>
      <c r="W957" s="59"/>
      <c r="X957" s="59"/>
      <c r="Y957" s="59"/>
      <c r="Z957" s="59"/>
      <c r="AA957" s="59"/>
      <c r="AB957" s="59"/>
      <c r="AC957" s="59"/>
    </row>
    <row r="958" spans="1:29" ht="12.75">
      <c r="A958" s="59"/>
      <c r="B958" s="59"/>
      <c r="C958" s="59"/>
      <c r="D958" s="1173"/>
      <c r="E958" s="59"/>
      <c r="F958" s="1173"/>
      <c r="G958" s="1174"/>
      <c r="H958" s="59"/>
      <c r="I958" s="59"/>
      <c r="J958" s="1173"/>
      <c r="K958" s="59"/>
      <c r="L958" s="1173"/>
      <c r="M958" s="59"/>
      <c r="N958" s="59"/>
      <c r="O958" s="59"/>
      <c r="P958" s="59"/>
      <c r="Q958" s="59"/>
      <c r="R958" s="59"/>
      <c r="S958" s="59"/>
      <c r="T958" s="59"/>
      <c r="U958" s="59"/>
      <c r="V958" s="59"/>
      <c r="W958" s="59"/>
      <c r="X958" s="59"/>
      <c r="Y958" s="59"/>
      <c r="Z958" s="59"/>
      <c r="AA958" s="59"/>
      <c r="AB958" s="59"/>
      <c r="AC958" s="59"/>
    </row>
    <row r="959" spans="1:29" ht="12.75">
      <c r="A959" s="59"/>
      <c r="B959" s="59"/>
      <c r="C959" s="59"/>
      <c r="D959" s="1173"/>
      <c r="E959" s="59"/>
      <c r="F959" s="1173"/>
      <c r="G959" s="1174"/>
      <c r="H959" s="59"/>
      <c r="I959" s="59"/>
      <c r="J959" s="1173"/>
      <c r="K959" s="59"/>
      <c r="L959" s="1173"/>
      <c r="M959" s="59"/>
      <c r="N959" s="59"/>
      <c r="O959" s="59"/>
      <c r="P959" s="59"/>
      <c r="Q959" s="59"/>
      <c r="R959" s="59"/>
      <c r="S959" s="59"/>
      <c r="T959" s="59"/>
      <c r="U959" s="59"/>
      <c r="V959" s="59"/>
      <c r="W959" s="59"/>
      <c r="X959" s="59"/>
      <c r="Y959" s="59"/>
      <c r="Z959" s="59"/>
      <c r="AA959" s="59"/>
      <c r="AB959" s="59"/>
      <c r="AC959" s="59"/>
    </row>
    <row r="960" spans="1:29" ht="12.75">
      <c r="A960" s="59"/>
      <c r="B960" s="59"/>
      <c r="C960" s="59"/>
      <c r="D960" s="1173"/>
      <c r="E960" s="59"/>
      <c r="F960" s="1173"/>
      <c r="G960" s="1174"/>
      <c r="H960" s="59"/>
      <c r="I960" s="59"/>
      <c r="J960" s="1173"/>
      <c r="K960" s="59"/>
      <c r="L960" s="1173"/>
      <c r="M960" s="59"/>
      <c r="N960" s="59"/>
      <c r="O960" s="59"/>
      <c r="P960" s="59"/>
      <c r="Q960" s="59"/>
      <c r="R960" s="59"/>
      <c r="S960" s="59"/>
      <c r="T960" s="59"/>
      <c r="U960" s="59"/>
      <c r="V960" s="59"/>
      <c r="W960" s="59"/>
      <c r="X960" s="59"/>
      <c r="Y960" s="59"/>
      <c r="Z960" s="59"/>
      <c r="AA960" s="59"/>
      <c r="AB960" s="59"/>
      <c r="AC960" s="59"/>
    </row>
    <row r="961" spans="1:29" ht="12.75">
      <c r="A961" s="59"/>
      <c r="B961" s="59"/>
      <c r="C961" s="59"/>
      <c r="D961" s="1173"/>
      <c r="E961" s="59"/>
      <c r="F961" s="1173"/>
      <c r="G961" s="1174"/>
      <c r="H961" s="59"/>
      <c r="I961" s="59"/>
      <c r="J961" s="1173"/>
      <c r="K961" s="59"/>
      <c r="L961" s="1173"/>
      <c r="M961" s="59"/>
      <c r="N961" s="59"/>
      <c r="O961" s="59"/>
      <c r="P961" s="59"/>
      <c r="Q961" s="59"/>
      <c r="R961" s="59"/>
      <c r="S961" s="59"/>
      <c r="T961" s="59"/>
      <c r="U961" s="59"/>
      <c r="V961" s="59"/>
      <c r="W961" s="59"/>
      <c r="X961" s="59"/>
      <c r="Y961" s="59"/>
      <c r="Z961" s="59"/>
      <c r="AA961" s="59"/>
      <c r="AB961" s="59"/>
      <c r="AC961" s="59"/>
    </row>
    <row r="962" spans="1:29" ht="12.75">
      <c r="A962" s="59"/>
      <c r="B962" s="59"/>
      <c r="C962" s="59"/>
      <c r="D962" s="1173"/>
      <c r="E962" s="59"/>
      <c r="F962" s="1173"/>
      <c r="G962" s="1174"/>
      <c r="H962" s="59"/>
      <c r="I962" s="59"/>
      <c r="J962" s="1173"/>
      <c r="K962" s="59"/>
      <c r="L962" s="1173"/>
      <c r="M962" s="59"/>
      <c r="N962" s="59"/>
      <c r="O962" s="59"/>
      <c r="P962" s="59"/>
      <c r="Q962" s="59"/>
      <c r="R962" s="59"/>
      <c r="S962" s="59"/>
      <c r="T962" s="59"/>
      <c r="U962" s="59"/>
      <c r="V962" s="59"/>
      <c r="W962" s="59"/>
      <c r="X962" s="59"/>
      <c r="Y962" s="59"/>
      <c r="Z962" s="59"/>
      <c r="AA962" s="59"/>
      <c r="AB962" s="59"/>
      <c r="AC962" s="59"/>
    </row>
    <row r="963" spans="1:29" ht="12.75">
      <c r="A963" s="59"/>
      <c r="B963" s="59"/>
      <c r="C963" s="59"/>
      <c r="D963" s="1173"/>
      <c r="E963" s="59"/>
      <c r="F963" s="1173"/>
      <c r="G963" s="1174"/>
      <c r="H963" s="59"/>
      <c r="I963" s="59"/>
      <c r="J963" s="1173"/>
      <c r="K963" s="59"/>
      <c r="L963" s="1173"/>
      <c r="M963" s="59"/>
      <c r="N963" s="59"/>
      <c r="O963" s="59"/>
      <c r="P963" s="59"/>
      <c r="Q963" s="59"/>
      <c r="R963" s="59"/>
      <c r="S963" s="59"/>
      <c r="T963" s="59"/>
      <c r="U963" s="59"/>
      <c r="V963" s="59"/>
      <c r="W963" s="59"/>
      <c r="X963" s="59"/>
      <c r="Y963" s="59"/>
      <c r="Z963" s="59"/>
      <c r="AA963" s="59"/>
      <c r="AB963" s="59"/>
      <c r="AC963" s="59"/>
    </row>
    <row r="964" spans="1:29" ht="12.75">
      <c r="A964" s="59"/>
      <c r="B964" s="59"/>
      <c r="C964" s="59"/>
      <c r="D964" s="1173"/>
      <c r="E964" s="59"/>
      <c r="F964" s="1173"/>
      <c r="G964" s="1174"/>
      <c r="H964" s="59"/>
      <c r="I964" s="59"/>
      <c r="J964" s="1173"/>
      <c r="K964" s="59"/>
      <c r="L964" s="1173"/>
      <c r="M964" s="59"/>
      <c r="N964" s="59"/>
      <c r="O964" s="59"/>
      <c r="P964" s="59"/>
      <c r="Q964" s="59"/>
      <c r="R964" s="59"/>
      <c r="S964" s="59"/>
      <c r="T964" s="59"/>
      <c r="U964" s="59"/>
      <c r="V964" s="59"/>
      <c r="W964" s="59"/>
      <c r="X964" s="59"/>
      <c r="Y964" s="59"/>
      <c r="Z964" s="59"/>
      <c r="AA964" s="59"/>
      <c r="AB964" s="59"/>
      <c r="AC964" s="59"/>
    </row>
    <row r="965" spans="1:29" ht="12.75">
      <c r="A965" s="59"/>
      <c r="B965" s="59"/>
      <c r="C965" s="59"/>
      <c r="D965" s="1173"/>
      <c r="E965" s="59"/>
      <c r="F965" s="1173"/>
      <c r="G965" s="1174"/>
      <c r="H965" s="59"/>
      <c r="I965" s="59"/>
      <c r="J965" s="1173"/>
      <c r="K965" s="59"/>
      <c r="L965" s="1173"/>
      <c r="M965" s="59"/>
      <c r="N965" s="59"/>
      <c r="O965" s="59"/>
      <c r="P965" s="59"/>
      <c r="Q965" s="59"/>
      <c r="R965" s="59"/>
      <c r="S965" s="59"/>
      <c r="T965" s="59"/>
      <c r="U965" s="59"/>
      <c r="V965" s="59"/>
      <c r="W965" s="59"/>
      <c r="X965" s="59"/>
      <c r="Y965" s="59"/>
      <c r="Z965" s="59"/>
      <c r="AA965" s="59"/>
      <c r="AB965" s="59"/>
      <c r="AC965" s="59"/>
    </row>
    <row r="966" spans="1:29" ht="12.75">
      <c r="A966" s="59"/>
      <c r="B966" s="59"/>
      <c r="C966" s="59"/>
      <c r="D966" s="1173"/>
      <c r="E966" s="59"/>
      <c r="F966" s="1173"/>
      <c r="G966" s="1174"/>
      <c r="H966" s="59"/>
      <c r="I966" s="59"/>
      <c r="J966" s="1173"/>
      <c r="K966" s="59"/>
      <c r="L966" s="1173"/>
      <c r="M966" s="59"/>
      <c r="N966" s="59"/>
      <c r="O966" s="59"/>
      <c r="P966" s="59"/>
      <c r="Q966" s="59"/>
      <c r="R966" s="59"/>
      <c r="S966" s="59"/>
      <c r="T966" s="59"/>
      <c r="U966" s="59"/>
      <c r="V966" s="59"/>
      <c r="W966" s="59"/>
      <c r="X966" s="59"/>
      <c r="Y966" s="59"/>
      <c r="Z966" s="59"/>
      <c r="AA966" s="59"/>
      <c r="AB966" s="59"/>
      <c r="AC966" s="59"/>
    </row>
    <row r="967" spans="1:29" ht="12.75">
      <c r="A967" s="59"/>
      <c r="B967" s="59"/>
      <c r="C967" s="59"/>
      <c r="D967" s="1173"/>
      <c r="E967" s="59"/>
      <c r="F967" s="1173"/>
      <c r="G967" s="1174"/>
      <c r="H967" s="59"/>
      <c r="I967" s="59"/>
      <c r="J967" s="1173"/>
      <c r="K967" s="59"/>
      <c r="L967" s="1173"/>
      <c r="M967" s="59"/>
      <c r="N967" s="59"/>
      <c r="O967" s="59"/>
      <c r="P967" s="59"/>
      <c r="Q967" s="59"/>
      <c r="R967" s="59"/>
      <c r="S967" s="59"/>
      <c r="T967" s="59"/>
      <c r="U967" s="59"/>
      <c r="V967" s="59"/>
      <c r="W967" s="59"/>
      <c r="X967" s="59"/>
      <c r="Y967" s="59"/>
      <c r="Z967" s="59"/>
      <c r="AA967" s="59"/>
      <c r="AB967" s="59"/>
      <c r="AC967" s="59"/>
    </row>
    <row r="968" spans="1:29" ht="12.75">
      <c r="A968" s="59"/>
      <c r="B968" s="59"/>
      <c r="C968" s="59"/>
      <c r="D968" s="1173"/>
      <c r="E968" s="59"/>
      <c r="F968" s="1173"/>
      <c r="G968" s="1174"/>
      <c r="H968" s="59"/>
      <c r="I968" s="59"/>
      <c r="J968" s="1173"/>
      <c r="K968" s="59"/>
      <c r="L968" s="1173"/>
      <c r="M968" s="59"/>
      <c r="N968" s="59"/>
      <c r="O968" s="59"/>
      <c r="P968" s="59"/>
      <c r="Q968" s="59"/>
      <c r="R968" s="59"/>
      <c r="S968" s="59"/>
      <c r="T968" s="59"/>
      <c r="U968" s="59"/>
      <c r="V968" s="59"/>
      <c r="W968" s="59"/>
      <c r="X968" s="59"/>
      <c r="Y968" s="59"/>
      <c r="Z968" s="59"/>
      <c r="AA968" s="59"/>
      <c r="AB968" s="59"/>
      <c r="AC968" s="59"/>
    </row>
    <row r="969" spans="1:29" ht="12.75">
      <c r="A969" s="59"/>
      <c r="B969" s="59"/>
      <c r="C969" s="59"/>
      <c r="D969" s="1173"/>
      <c r="E969" s="59"/>
      <c r="F969" s="1173"/>
      <c r="G969" s="1174"/>
      <c r="H969" s="59"/>
      <c r="I969" s="59"/>
      <c r="J969" s="1173"/>
      <c r="K969" s="59"/>
      <c r="L969" s="1173"/>
      <c r="M969" s="59"/>
      <c r="N969" s="59"/>
      <c r="O969" s="59"/>
      <c r="P969" s="59"/>
      <c r="Q969" s="59"/>
      <c r="R969" s="59"/>
      <c r="S969" s="59"/>
      <c r="T969" s="59"/>
      <c r="U969" s="59"/>
      <c r="V969" s="59"/>
      <c r="W969" s="59"/>
      <c r="X969" s="59"/>
      <c r="Y969" s="59"/>
      <c r="Z969" s="59"/>
      <c r="AA969" s="59"/>
      <c r="AB969" s="59"/>
      <c r="AC969" s="59"/>
    </row>
    <row r="970" spans="1:29" ht="12.75">
      <c r="A970" s="59"/>
      <c r="B970" s="59"/>
      <c r="C970" s="59"/>
      <c r="D970" s="1173"/>
      <c r="E970" s="59"/>
      <c r="F970" s="1173"/>
      <c r="G970" s="1174"/>
      <c r="H970" s="59"/>
      <c r="I970" s="59"/>
      <c r="J970" s="1173"/>
      <c r="K970" s="59"/>
      <c r="L970" s="1173"/>
      <c r="M970" s="59"/>
      <c r="N970" s="59"/>
      <c r="O970" s="59"/>
      <c r="P970" s="59"/>
      <c r="Q970" s="59"/>
      <c r="R970" s="59"/>
      <c r="S970" s="59"/>
      <c r="T970" s="59"/>
      <c r="U970" s="59"/>
      <c r="V970" s="59"/>
      <c r="W970" s="59"/>
      <c r="X970" s="59"/>
      <c r="Y970" s="59"/>
      <c r="Z970" s="59"/>
      <c r="AA970" s="59"/>
      <c r="AB970" s="59"/>
      <c r="AC970" s="59"/>
    </row>
    <row r="971" spans="1:29" ht="12.75">
      <c r="A971" s="59"/>
      <c r="B971" s="59"/>
      <c r="C971" s="59"/>
      <c r="D971" s="1173"/>
      <c r="E971" s="59"/>
      <c r="F971" s="1173"/>
      <c r="G971" s="1174"/>
      <c r="H971" s="59"/>
      <c r="I971" s="59"/>
      <c r="J971" s="1173"/>
      <c r="K971" s="59"/>
      <c r="L971" s="1173"/>
      <c r="M971" s="59"/>
      <c r="N971" s="59"/>
      <c r="O971" s="59"/>
      <c r="P971" s="59"/>
      <c r="Q971" s="59"/>
      <c r="R971" s="59"/>
      <c r="S971" s="59"/>
      <c r="T971" s="59"/>
      <c r="U971" s="59"/>
      <c r="V971" s="59"/>
      <c r="W971" s="59"/>
      <c r="X971" s="59"/>
      <c r="Y971" s="59"/>
      <c r="Z971" s="59"/>
      <c r="AA971" s="59"/>
      <c r="AB971" s="59"/>
      <c r="AC971" s="59"/>
    </row>
    <row r="972" spans="1:29" ht="12.75">
      <c r="A972" s="59"/>
      <c r="B972" s="59"/>
      <c r="C972" s="59"/>
      <c r="D972" s="1173"/>
      <c r="E972" s="59"/>
      <c r="F972" s="1173"/>
      <c r="G972" s="1174"/>
      <c r="H972" s="59"/>
      <c r="I972" s="59"/>
      <c r="J972" s="1173"/>
      <c r="K972" s="59"/>
      <c r="L972" s="1173"/>
      <c r="M972" s="59"/>
      <c r="N972" s="59"/>
      <c r="O972" s="59"/>
      <c r="P972" s="59"/>
      <c r="Q972" s="59"/>
      <c r="R972" s="59"/>
      <c r="S972" s="59"/>
      <c r="T972" s="59"/>
      <c r="U972" s="59"/>
      <c r="V972" s="59"/>
      <c r="W972" s="59"/>
      <c r="X972" s="59"/>
      <c r="Y972" s="59"/>
      <c r="Z972" s="59"/>
      <c r="AA972" s="59"/>
      <c r="AB972" s="59"/>
      <c r="AC972" s="59"/>
    </row>
    <row r="973" spans="1:29" ht="12.75">
      <c r="A973" s="59"/>
      <c r="B973" s="59"/>
      <c r="C973" s="59"/>
      <c r="D973" s="1173"/>
      <c r="E973" s="59"/>
      <c r="F973" s="1173"/>
      <c r="G973" s="1174"/>
      <c r="H973" s="59"/>
      <c r="I973" s="59"/>
      <c r="J973" s="1173"/>
      <c r="K973" s="59"/>
      <c r="L973" s="1173"/>
      <c r="M973" s="59"/>
      <c r="N973" s="59"/>
      <c r="O973" s="59"/>
      <c r="P973" s="59"/>
      <c r="Q973" s="59"/>
      <c r="R973" s="59"/>
      <c r="S973" s="59"/>
      <c r="T973" s="59"/>
      <c r="U973" s="59"/>
      <c r="V973" s="59"/>
      <c r="W973" s="59"/>
      <c r="X973" s="59"/>
      <c r="Y973" s="59"/>
      <c r="Z973" s="59"/>
      <c r="AA973" s="59"/>
      <c r="AB973" s="59"/>
      <c r="AC973" s="59"/>
    </row>
    <row r="974" spans="1:29" ht="12.75">
      <c r="A974" s="59"/>
      <c r="B974" s="59"/>
      <c r="C974" s="59"/>
      <c r="D974" s="1173"/>
      <c r="E974" s="59"/>
      <c r="F974" s="1173"/>
      <c r="G974" s="1174"/>
      <c r="H974" s="59"/>
      <c r="I974" s="59"/>
      <c r="J974" s="1173"/>
      <c r="K974" s="59"/>
      <c r="L974" s="1173"/>
      <c r="M974" s="59"/>
      <c r="N974" s="59"/>
      <c r="O974" s="59"/>
      <c r="P974" s="59"/>
      <c r="Q974" s="59"/>
      <c r="R974" s="59"/>
      <c r="S974" s="59"/>
      <c r="T974" s="59"/>
      <c r="U974" s="59"/>
      <c r="V974" s="59"/>
      <c r="W974" s="59"/>
      <c r="X974" s="59"/>
      <c r="Y974" s="59"/>
      <c r="Z974" s="59"/>
      <c r="AA974" s="59"/>
      <c r="AB974" s="59"/>
      <c r="AC974" s="59"/>
    </row>
    <row r="975" spans="1:29" ht="12.75">
      <c r="A975" s="59"/>
      <c r="B975" s="59"/>
      <c r="C975" s="59"/>
      <c r="D975" s="1173"/>
      <c r="E975" s="59"/>
      <c r="F975" s="1173"/>
      <c r="G975" s="1174"/>
      <c r="H975" s="59"/>
      <c r="I975" s="59"/>
      <c r="J975" s="1173"/>
      <c r="K975" s="59"/>
      <c r="L975" s="1173"/>
      <c r="M975" s="59"/>
      <c r="N975" s="59"/>
      <c r="O975" s="59"/>
      <c r="P975" s="59"/>
      <c r="Q975" s="59"/>
      <c r="R975" s="59"/>
      <c r="S975" s="59"/>
      <c r="T975" s="59"/>
      <c r="U975" s="59"/>
      <c r="V975" s="59"/>
      <c r="W975" s="59"/>
      <c r="X975" s="59"/>
      <c r="Y975" s="59"/>
      <c r="Z975" s="59"/>
      <c r="AA975" s="59"/>
      <c r="AB975" s="59"/>
      <c r="AC975" s="59"/>
    </row>
    <row r="976" spans="1:29" ht="12.75">
      <c r="A976" s="59"/>
      <c r="B976" s="59"/>
      <c r="C976" s="59"/>
      <c r="D976" s="1173"/>
      <c r="E976" s="59"/>
      <c r="F976" s="1173"/>
      <c r="G976" s="1174"/>
      <c r="H976" s="59"/>
      <c r="I976" s="59"/>
      <c r="J976" s="1173"/>
      <c r="K976" s="59"/>
      <c r="L976" s="1173"/>
      <c r="M976" s="59"/>
      <c r="N976" s="59"/>
      <c r="O976" s="59"/>
      <c r="P976" s="59"/>
      <c r="Q976" s="59"/>
      <c r="R976" s="59"/>
      <c r="S976" s="59"/>
      <c r="T976" s="59"/>
      <c r="U976" s="59"/>
      <c r="V976" s="59"/>
      <c r="W976" s="59"/>
      <c r="X976" s="59"/>
      <c r="Y976" s="59"/>
      <c r="Z976" s="59"/>
      <c r="AA976" s="59"/>
      <c r="AB976" s="59"/>
      <c r="AC976" s="59"/>
    </row>
    <row r="977" spans="1:29" ht="12.75">
      <c r="A977" s="59"/>
      <c r="B977" s="59"/>
      <c r="C977" s="59"/>
      <c r="D977" s="1173"/>
      <c r="E977" s="59"/>
      <c r="F977" s="1173"/>
      <c r="G977" s="1174"/>
      <c r="H977" s="59"/>
      <c r="I977" s="59"/>
      <c r="J977" s="1173"/>
      <c r="K977" s="59"/>
      <c r="L977" s="1173"/>
      <c r="M977" s="59"/>
      <c r="N977" s="59"/>
      <c r="O977" s="59"/>
      <c r="P977" s="59"/>
      <c r="Q977" s="59"/>
      <c r="R977" s="59"/>
      <c r="S977" s="59"/>
      <c r="T977" s="59"/>
      <c r="U977" s="59"/>
      <c r="V977" s="59"/>
      <c r="W977" s="59"/>
      <c r="X977" s="59"/>
      <c r="Y977" s="59"/>
      <c r="Z977" s="59"/>
      <c r="AA977" s="59"/>
      <c r="AB977" s="59"/>
      <c r="AC977" s="59"/>
    </row>
    <row r="978" spans="1:29" ht="12.75">
      <c r="A978" s="59"/>
      <c r="B978" s="59"/>
      <c r="C978" s="59"/>
      <c r="D978" s="1173"/>
      <c r="E978" s="59"/>
      <c r="F978" s="1173"/>
      <c r="G978" s="1174"/>
      <c r="H978" s="59"/>
      <c r="I978" s="59"/>
      <c r="J978" s="1173"/>
      <c r="K978" s="59"/>
      <c r="L978" s="1173"/>
      <c r="M978" s="59"/>
      <c r="N978" s="59"/>
      <c r="O978" s="59"/>
      <c r="P978" s="59"/>
      <c r="Q978" s="59"/>
      <c r="R978" s="59"/>
      <c r="S978" s="59"/>
      <c r="T978" s="59"/>
      <c r="U978" s="59"/>
      <c r="V978" s="59"/>
      <c r="W978" s="59"/>
      <c r="X978" s="59"/>
      <c r="Y978" s="59"/>
      <c r="Z978" s="59"/>
      <c r="AA978" s="59"/>
      <c r="AB978" s="59"/>
      <c r="AC978" s="59"/>
    </row>
    <row r="979" spans="1:29" ht="12.75">
      <c r="A979" s="59"/>
      <c r="B979" s="59"/>
      <c r="C979" s="59"/>
      <c r="D979" s="1173"/>
      <c r="E979" s="59"/>
      <c r="F979" s="1173"/>
      <c r="G979" s="1174"/>
      <c r="H979" s="59"/>
      <c r="I979" s="59"/>
      <c r="J979" s="1173"/>
      <c r="K979" s="59"/>
      <c r="L979" s="1173"/>
      <c r="M979" s="59"/>
      <c r="N979" s="59"/>
      <c r="O979" s="59"/>
      <c r="P979" s="59"/>
      <c r="Q979" s="59"/>
      <c r="R979" s="59"/>
      <c r="S979" s="59"/>
      <c r="T979" s="59"/>
      <c r="U979" s="59"/>
      <c r="V979" s="59"/>
      <c r="W979" s="59"/>
      <c r="X979" s="59"/>
      <c r="Y979" s="59"/>
      <c r="Z979" s="59"/>
      <c r="AA979" s="59"/>
      <c r="AB979" s="59"/>
      <c r="AC979" s="59"/>
    </row>
    <row r="980" spans="1:29" ht="12.75">
      <c r="A980" s="59"/>
      <c r="B980" s="59"/>
      <c r="C980" s="59"/>
      <c r="D980" s="1173"/>
      <c r="E980" s="59"/>
      <c r="F980" s="1173"/>
      <c r="G980" s="1174"/>
      <c r="H980" s="59"/>
      <c r="I980" s="59"/>
      <c r="J980" s="1173"/>
      <c r="K980" s="59"/>
      <c r="L980" s="1173"/>
      <c r="M980" s="59"/>
      <c r="N980" s="59"/>
      <c r="O980" s="59"/>
      <c r="P980" s="59"/>
      <c r="Q980" s="59"/>
      <c r="R980" s="59"/>
      <c r="S980" s="59"/>
      <c r="T980" s="59"/>
      <c r="U980" s="59"/>
      <c r="V980" s="59"/>
      <c r="W980" s="59"/>
      <c r="X980" s="59"/>
      <c r="Y980" s="59"/>
      <c r="Z980" s="59"/>
      <c r="AA980" s="59"/>
      <c r="AB980" s="59"/>
      <c r="AC980" s="59"/>
    </row>
    <row r="981" spans="1:29" ht="12.75">
      <c r="A981" s="59"/>
      <c r="B981" s="59"/>
      <c r="C981" s="59"/>
      <c r="D981" s="1173"/>
      <c r="E981" s="59"/>
      <c r="F981" s="1173"/>
      <c r="G981" s="1174"/>
      <c r="H981" s="59"/>
      <c r="I981" s="59"/>
      <c r="J981" s="1173"/>
      <c r="K981" s="59"/>
      <c r="L981" s="1173"/>
      <c r="M981" s="59"/>
      <c r="N981" s="59"/>
      <c r="O981" s="59"/>
      <c r="P981" s="59"/>
      <c r="Q981" s="59"/>
      <c r="R981" s="59"/>
      <c r="S981" s="59"/>
      <c r="T981" s="59"/>
      <c r="U981" s="59"/>
      <c r="V981" s="59"/>
      <c r="W981" s="59"/>
      <c r="X981" s="59"/>
      <c r="Y981" s="59"/>
      <c r="Z981" s="59"/>
      <c r="AA981" s="59"/>
      <c r="AB981" s="59"/>
      <c r="AC981" s="59"/>
    </row>
    <row r="982" spans="1:29" ht="12.75">
      <c r="A982" s="59"/>
      <c r="B982" s="59"/>
      <c r="C982" s="59"/>
      <c r="D982" s="1173"/>
      <c r="E982" s="59"/>
      <c r="F982" s="1173"/>
      <c r="G982" s="1174"/>
      <c r="H982" s="59"/>
      <c r="I982" s="59"/>
      <c r="J982" s="1173"/>
      <c r="K982" s="59"/>
      <c r="L982" s="1173"/>
      <c r="M982" s="59"/>
      <c r="N982" s="59"/>
      <c r="O982" s="59"/>
      <c r="P982" s="59"/>
      <c r="Q982" s="59"/>
      <c r="R982" s="59"/>
      <c r="S982" s="59"/>
      <c r="T982" s="59"/>
      <c r="U982" s="59"/>
      <c r="V982" s="59"/>
      <c r="W982" s="59"/>
      <c r="X982" s="59"/>
      <c r="Y982" s="59"/>
      <c r="Z982" s="59"/>
      <c r="AA982" s="59"/>
      <c r="AB982" s="59"/>
      <c r="AC982" s="59"/>
    </row>
    <row r="983" spans="1:29" ht="12.75">
      <c r="A983" s="59"/>
      <c r="B983" s="59"/>
      <c r="C983" s="59"/>
      <c r="D983" s="1173"/>
      <c r="E983" s="59"/>
      <c r="F983" s="1173"/>
      <c r="G983" s="1174"/>
      <c r="H983" s="59"/>
      <c r="I983" s="59"/>
      <c r="J983" s="1173"/>
      <c r="K983" s="59"/>
      <c r="L983" s="1173"/>
      <c r="M983" s="59"/>
      <c r="N983" s="59"/>
      <c r="O983" s="59"/>
      <c r="P983" s="59"/>
      <c r="Q983" s="59"/>
      <c r="R983" s="59"/>
      <c r="S983" s="59"/>
      <c r="T983" s="59"/>
      <c r="U983" s="59"/>
      <c r="V983" s="59"/>
      <c r="W983" s="59"/>
      <c r="X983" s="59"/>
      <c r="Y983" s="59"/>
      <c r="Z983" s="59"/>
      <c r="AA983" s="59"/>
      <c r="AB983" s="59"/>
      <c r="AC983" s="59"/>
    </row>
    <row r="984" spans="1:29" ht="12.75">
      <c r="A984" s="59"/>
      <c r="B984" s="59"/>
      <c r="C984" s="59"/>
      <c r="D984" s="1173"/>
      <c r="E984" s="59"/>
      <c r="F984" s="1173"/>
      <c r="G984" s="1174"/>
      <c r="H984" s="59"/>
      <c r="I984" s="59"/>
      <c r="J984" s="1173"/>
      <c r="K984" s="59"/>
      <c r="L984" s="1173"/>
      <c r="M984" s="59"/>
      <c r="N984" s="59"/>
      <c r="O984" s="59"/>
      <c r="P984" s="59"/>
      <c r="Q984" s="59"/>
      <c r="R984" s="59"/>
      <c r="S984" s="59"/>
      <c r="T984" s="59"/>
      <c r="U984" s="59"/>
      <c r="V984" s="59"/>
      <c r="W984" s="59"/>
      <c r="X984" s="59"/>
      <c r="Y984" s="59"/>
      <c r="Z984" s="59"/>
      <c r="AA984" s="59"/>
      <c r="AB984" s="59"/>
      <c r="AC984" s="59"/>
    </row>
    <row r="985" spans="1:29" ht="12.75">
      <c r="A985" s="59"/>
      <c r="B985" s="59"/>
      <c r="C985" s="59"/>
      <c r="D985" s="1173"/>
      <c r="E985" s="59"/>
      <c r="F985" s="1173"/>
      <c r="G985" s="1174"/>
      <c r="H985" s="59"/>
      <c r="I985" s="59"/>
      <c r="J985" s="1173"/>
      <c r="K985" s="59"/>
      <c r="L985" s="1173"/>
      <c r="M985" s="59"/>
      <c r="N985" s="59"/>
      <c r="O985" s="59"/>
      <c r="P985" s="59"/>
      <c r="Q985" s="59"/>
      <c r="R985" s="59"/>
      <c r="S985" s="59"/>
      <c r="T985" s="59"/>
      <c r="U985" s="59"/>
      <c r="V985" s="59"/>
      <c r="W985" s="59"/>
      <c r="X985" s="59"/>
      <c r="Y985" s="59"/>
      <c r="Z985" s="59"/>
      <c r="AA985" s="59"/>
      <c r="AB985" s="59"/>
      <c r="AC985" s="59"/>
    </row>
    <row r="986" spans="1:29" ht="12.75">
      <c r="A986" s="59"/>
      <c r="B986" s="59"/>
      <c r="C986" s="59"/>
      <c r="D986" s="1173"/>
      <c r="E986" s="59"/>
      <c r="F986" s="1173"/>
      <c r="G986" s="1174"/>
      <c r="H986" s="59"/>
      <c r="I986" s="59"/>
      <c r="J986" s="1173"/>
      <c r="K986" s="59"/>
      <c r="L986" s="1173"/>
      <c r="M986" s="59"/>
      <c r="N986" s="59"/>
      <c r="O986" s="59"/>
      <c r="P986" s="59"/>
      <c r="Q986" s="59"/>
      <c r="R986" s="59"/>
      <c r="S986" s="59"/>
      <c r="T986" s="59"/>
      <c r="U986" s="59"/>
      <c r="V986" s="59"/>
      <c r="W986" s="59"/>
      <c r="X986" s="59"/>
      <c r="Y986" s="59"/>
      <c r="Z986" s="59"/>
      <c r="AA986" s="59"/>
      <c r="AB986" s="59"/>
      <c r="AC986" s="59"/>
    </row>
    <row r="987" spans="1:29" ht="12.75">
      <c r="A987" s="59"/>
      <c r="B987" s="59"/>
      <c r="C987" s="59"/>
      <c r="D987" s="1173"/>
      <c r="E987" s="59"/>
      <c r="F987" s="1173"/>
      <c r="G987" s="1174"/>
      <c r="H987" s="59"/>
      <c r="I987" s="59"/>
      <c r="J987" s="1173"/>
      <c r="K987" s="59"/>
      <c r="L987" s="1173"/>
      <c r="M987" s="59"/>
      <c r="N987" s="59"/>
      <c r="O987" s="59"/>
      <c r="P987" s="59"/>
      <c r="Q987" s="59"/>
      <c r="R987" s="59"/>
      <c r="S987" s="59"/>
      <c r="T987" s="59"/>
      <c r="U987" s="59"/>
      <c r="V987" s="59"/>
      <c r="W987" s="59"/>
      <c r="X987" s="59"/>
      <c r="Y987" s="59"/>
      <c r="Z987" s="59"/>
      <c r="AA987" s="59"/>
      <c r="AB987" s="59"/>
      <c r="AC987" s="59"/>
    </row>
    <row r="988" spans="1:29" ht="12.75">
      <c r="A988" s="59"/>
      <c r="B988" s="59"/>
      <c r="C988" s="59"/>
      <c r="D988" s="1173"/>
      <c r="E988" s="59"/>
      <c r="F988" s="1173"/>
      <c r="G988" s="1174"/>
      <c r="H988" s="59"/>
      <c r="I988" s="59"/>
      <c r="J988" s="1173"/>
      <c r="K988" s="59"/>
      <c r="L988" s="1173"/>
      <c r="M988" s="59"/>
      <c r="N988" s="59"/>
      <c r="O988" s="59"/>
      <c r="P988" s="59"/>
      <c r="Q988" s="59"/>
      <c r="R988" s="59"/>
      <c r="S988" s="59"/>
      <c r="T988" s="59"/>
      <c r="U988" s="59"/>
      <c r="V988" s="59"/>
      <c r="W988" s="59"/>
      <c r="X988" s="59"/>
      <c r="Y988" s="59"/>
      <c r="Z988" s="59"/>
      <c r="AA988" s="59"/>
      <c r="AB988" s="59"/>
      <c r="AC988" s="59"/>
    </row>
    <row r="989" spans="1:29" ht="12.75">
      <c r="A989" s="59"/>
      <c r="B989" s="59"/>
      <c r="C989" s="59"/>
      <c r="D989" s="1173"/>
      <c r="E989" s="59"/>
      <c r="F989" s="1173"/>
      <c r="G989" s="1174"/>
      <c r="H989" s="59"/>
      <c r="I989" s="59"/>
      <c r="J989" s="1173"/>
      <c r="K989" s="59"/>
      <c r="L989" s="1173"/>
      <c r="M989" s="59"/>
      <c r="N989" s="59"/>
      <c r="O989" s="59"/>
      <c r="P989" s="59"/>
      <c r="Q989" s="59"/>
      <c r="R989" s="59"/>
      <c r="S989" s="59"/>
      <c r="T989" s="59"/>
      <c r="U989" s="59"/>
      <c r="V989" s="59"/>
      <c r="W989" s="59"/>
      <c r="X989" s="59"/>
      <c r="Y989" s="59"/>
      <c r="Z989" s="59"/>
      <c r="AA989" s="59"/>
      <c r="AB989" s="59"/>
      <c r="AC989" s="59"/>
    </row>
    <row r="990" spans="1:29" ht="12.75">
      <c r="A990" s="59"/>
      <c r="B990" s="59"/>
      <c r="C990" s="59"/>
      <c r="D990" s="1173"/>
      <c r="E990" s="59"/>
      <c r="F990" s="1173"/>
      <c r="G990" s="1174"/>
      <c r="H990" s="59"/>
      <c r="I990" s="59"/>
      <c r="J990" s="1173"/>
      <c r="K990" s="59"/>
      <c r="L990" s="1173"/>
      <c r="M990" s="59"/>
      <c r="N990" s="59"/>
      <c r="O990" s="59"/>
      <c r="P990" s="59"/>
      <c r="Q990" s="59"/>
      <c r="R990" s="59"/>
      <c r="S990" s="59"/>
      <c r="T990" s="59"/>
      <c r="U990" s="59"/>
      <c r="V990" s="59"/>
      <c r="W990" s="59"/>
      <c r="X990" s="59"/>
      <c r="Y990" s="59"/>
      <c r="Z990" s="59"/>
      <c r="AA990" s="59"/>
      <c r="AB990" s="59"/>
      <c r="AC990" s="59"/>
    </row>
    <row r="991" spans="1:29" ht="12.75">
      <c r="A991" s="59"/>
      <c r="B991" s="59"/>
      <c r="C991" s="59"/>
      <c r="D991" s="1173"/>
      <c r="E991" s="59"/>
      <c r="F991" s="1173"/>
      <c r="G991" s="1174"/>
      <c r="H991" s="59"/>
      <c r="I991" s="59"/>
      <c r="J991" s="1173"/>
      <c r="K991" s="59"/>
      <c r="L991" s="1173"/>
      <c r="M991" s="59"/>
      <c r="N991" s="59"/>
      <c r="O991" s="59"/>
      <c r="P991" s="59"/>
      <c r="Q991" s="59"/>
      <c r="R991" s="59"/>
      <c r="S991" s="59"/>
      <c r="T991" s="59"/>
      <c r="U991" s="59"/>
      <c r="V991" s="59"/>
      <c r="W991" s="59"/>
      <c r="X991" s="59"/>
      <c r="Y991" s="59"/>
      <c r="Z991" s="59"/>
      <c r="AA991" s="59"/>
      <c r="AB991" s="59"/>
      <c r="AC991" s="59"/>
    </row>
    <row r="992" spans="1:29" ht="12.75">
      <c r="A992" s="59"/>
      <c r="B992" s="59"/>
      <c r="C992" s="59"/>
      <c r="D992" s="1173"/>
      <c r="E992" s="59"/>
      <c r="F992" s="1173"/>
      <c r="G992" s="1174"/>
      <c r="H992" s="59"/>
      <c r="I992" s="59"/>
      <c r="J992" s="1173"/>
      <c r="K992" s="59"/>
      <c r="L992" s="1173"/>
      <c r="M992" s="59"/>
      <c r="N992" s="59"/>
      <c r="O992" s="59"/>
      <c r="P992" s="59"/>
      <c r="Q992" s="59"/>
      <c r="R992" s="59"/>
      <c r="S992" s="59"/>
      <c r="T992" s="59"/>
      <c r="U992" s="59"/>
      <c r="V992" s="59"/>
      <c r="W992" s="59"/>
      <c r="X992" s="59"/>
      <c r="Y992" s="59"/>
      <c r="Z992" s="59"/>
      <c r="AA992" s="59"/>
      <c r="AB992" s="59"/>
      <c r="AC992" s="59"/>
    </row>
    <row r="993" spans="1:29" ht="12.75">
      <c r="A993" s="59"/>
      <c r="B993" s="59"/>
      <c r="C993" s="59"/>
      <c r="D993" s="1173"/>
      <c r="E993" s="59"/>
      <c r="F993" s="1173"/>
      <c r="G993" s="1174"/>
      <c r="H993" s="59"/>
      <c r="I993" s="59"/>
      <c r="J993" s="1173"/>
      <c r="K993" s="59"/>
      <c r="L993" s="1173"/>
      <c r="M993" s="59"/>
      <c r="N993" s="59"/>
      <c r="O993" s="59"/>
      <c r="P993" s="59"/>
      <c r="Q993" s="59"/>
      <c r="R993" s="59"/>
      <c r="S993" s="59"/>
      <c r="T993" s="59"/>
      <c r="U993" s="59"/>
      <c r="V993" s="59"/>
      <c r="W993" s="59"/>
      <c r="X993" s="59"/>
      <c r="Y993" s="59"/>
      <c r="Z993" s="59"/>
      <c r="AA993" s="59"/>
      <c r="AB993" s="59"/>
      <c r="AC993" s="59"/>
    </row>
    <row r="994" spans="1:29" ht="12.75">
      <c r="A994" s="59"/>
      <c r="B994" s="59"/>
      <c r="C994" s="59"/>
      <c r="D994" s="1173"/>
      <c r="E994" s="59"/>
      <c r="F994" s="1173"/>
      <c r="G994" s="1174"/>
      <c r="H994" s="59"/>
      <c r="I994" s="59"/>
      <c r="J994" s="1173"/>
      <c r="K994" s="59"/>
      <c r="L994" s="1173"/>
      <c r="M994" s="59"/>
      <c r="N994" s="59"/>
      <c r="O994" s="59"/>
      <c r="P994" s="59"/>
      <c r="Q994" s="59"/>
      <c r="R994" s="59"/>
      <c r="S994" s="59"/>
      <c r="T994" s="59"/>
      <c r="U994" s="59"/>
      <c r="V994" s="59"/>
      <c r="W994" s="59"/>
      <c r="X994" s="59"/>
      <c r="Y994" s="59"/>
      <c r="Z994" s="59"/>
      <c r="AA994" s="59"/>
      <c r="AB994" s="59"/>
      <c r="AC994" s="59"/>
    </row>
    <row r="995" spans="1:29" ht="12.75">
      <c r="A995" s="59"/>
      <c r="B995" s="59"/>
      <c r="C995" s="59"/>
      <c r="D995" s="1173"/>
      <c r="E995" s="59"/>
      <c r="F995" s="1173"/>
      <c r="G995" s="1174"/>
      <c r="H995" s="59"/>
      <c r="I995" s="59"/>
      <c r="J995" s="1173"/>
      <c r="K995" s="59"/>
      <c r="L995" s="1173"/>
      <c r="M995" s="59"/>
      <c r="N995" s="59"/>
      <c r="O995" s="59"/>
      <c r="P995" s="59"/>
      <c r="Q995" s="59"/>
      <c r="R995" s="59"/>
      <c r="S995" s="59"/>
      <c r="T995" s="59"/>
      <c r="U995" s="59"/>
      <c r="V995" s="59"/>
      <c r="W995" s="59"/>
      <c r="X995" s="59"/>
      <c r="Y995" s="59"/>
      <c r="Z995" s="59"/>
      <c r="AA995" s="59"/>
      <c r="AB995" s="59"/>
      <c r="AC995" s="59"/>
    </row>
    <row r="996" spans="1:29" ht="12.75">
      <c r="A996" s="59"/>
      <c r="B996" s="59"/>
      <c r="C996" s="59"/>
      <c r="D996" s="1173"/>
      <c r="E996" s="59"/>
      <c r="F996" s="1173"/>
      <c r="G996" s="1174"/>
      <c r="H996" s="59"/>
      <c r="I996" s="59"/>
      <c r="J996" s="1173"/>
      <c r="K996" s="59"/>
      <c r="L996" s="1173"/>
      <c r="M996" s="59"/>
      <c r="N996" s="59"/>
      <c r="O996" s="59"/>
      <c r="P996" s="59"/>
      <c r="Q996" s="59"/>
      <c r="R996" s="59"/>
      <c r="S996" s="59"/>
      <c r="T996" s="59"/>
      <c r="U996" s="59"/>
      <c r="V996" s="59"/>
      <c r="W996" s="59"/>
      <c r="X996" s="59"/>
      <c r="Y996" s="59"/>
      <c r="Z996" s="59"/>
      <c r="AA996" s="59"/>
      <c r="AB996" s="59"/>
      <c r="AC996" s="59"/>
    </row>
    <row r="997" spans="1:29" ht="12.75">
      <c r="A997" s="59"/>
      <c r="B997" s="59"/>
      <c r="C997" s="59"/>
      <c r="D997" s="1173"/>
      <c r="E997" s="59"/>
      <c r="F997" s="1173"/>
      <c r="G997" s="1174"/>
      <c r="H997" s="59"/>
      <c r="I997" s="59"/>
      <c r="J997" s="1173"/>
      <c r="K997" s="59"/>
      <c r="L997" s="1173"/>
      <c r="M997" s="59"/>
      <c r="N997" s="59"/>
      <c r="O997" s="59"/>
      <c r="P997" s="59"/>
      <c r="Q997" s="59"/>
      <c r="R997" s="59"/>
      <c r="S997" s="59"/>
      <c r="T997" s="59"/>
      <c r="U997" s="59"/>
      <c r="V997" s="59"/>
      <c r="W997" s="59"/>
      <c r="X997" s="59"/>
      <c r="Y997" s="59"/>
      <c r="Z997" s="59"/>
      <c r="AA997" s="59"/>
      <c r="AB997" s="59"/>
      <c r="AC997" s="59"/>
    </row>
    <row r="998" spans="1:29" ht="12.75">
      <c r="A998" s="59"/>
      <c r="B998" s="59"/>
      <c r="C998" s="59"/>
      <c r="D998" s="1173"/>
      <c r="E998" s="59"/>
      <c r="F998" s="1173"/>
      <c r="G998" s="1174"/>
      <c r="H998" s="59"/>
      <c r="I998" s="59"/>
      <c r="J998" s="1173"/>
      <c r="K998" s="59"/>
      <c r="L998" s="1173"/>
      <c r="M998" s="59"/>
      <c r="N998" s="59"/>
      <c r="O998" s="59"/>
      <c r="P998" s="59"/>
      <c r="Q998" s="59"/>
      <c r="R998" s="59"/>
      <c r="S998" s="59"/>
      <c r="T998" s="59"/>
      <c r="U998" s="59"/>
      <c r="V998" s="59"/>
      <c r="W998" s="59"/>
      <c r="X998" s="59"/>
      <c r="Y998" s="59"/>
      <c r="Z998" s="59"/>
      <c r="AA998" s="59"/>
      <c r="AB998" s="59"/>
      <c r="AC998" s="59"/>
    </row>
    <row r="999" spans="1:29" ht="12.75">
      <c r="A999" s="59"/>
      <c r="B999" s="59"/>
      <c r="C999" s="59"/>
      <c r="D999" s="1173"/>
      <c r="E999" s="59"/>
      <c r="F999" s="1173"/>
      <c r="G999" s="1174"/>
      <c r="H999" s="59"/>
      <c r="I999" s="59"/>
      <c r="J999" s="1173"/>
      <c r="K999" s="59"/>
      <c r="L999" s="1173"/>
      <c r="M999" s="59"/>
      <c r="N999" s="59"/>
      <c r="O999" s="59"/>
      <c r="P999" s="59"/>
      <c r="Q999" s="59"/>
      <c r="R999" s="59"/>
      <c r="S999" s="59"/>
      <c r="T999" s="59"/>
      <c r="U999" s="59"/>
      <c r="V999" s="59"/>
      <c r="W999" s="59"/>
      <c r="X999" s="59"/>
      <c r="Y999" s="59"/>
      <c r="Z999" s="59"/>
      <c r="AA999" s="59"/>
      <c r="AB999" s="59"/>
      <c r="AC999" s="59"/>
    </row>
    <row r="1000" spans="1:29" ht="12.75">
      <c r="A1000" s="59"/>
      <c r="B1000" s="59"/>
      <c r="C1000" s="59"/>
      <c r="D1000" s="1173"/>
      <c r="E1000" s="59"/>
      <c r="F1000" s="1173"/>
      <c r="G1000" s="1174"/>
      <c r="H1000" s="59"/>
      <c r="I1000" s="59"/>
      <c r="J1000" s="1173"/>
      <c r="K1000" s="59"/>
      <c r="L1000" s="1173"/>
      <c r="M1000" s="59"/>
      <c r="N1000" s="59"/>
      <c r="O1000" s="59"/>
      <c r="P1000" s="59"/>
      <c r="Q1000" s="59"/>
      <c r="R1000" s="59"/>
      <c r="S1000" s="59"/>
      <c r="T1000" s="59"/>
      <c r="U1000" s="59"/>
      <c r="V1000" s="59"/>
      <c r="W1000" s="59"/>
      <c r="X1000" s="59"/>
      <c r="Y1000" s="59"/>
      <c r="Z1000" s="59"/>
      <c r="AA1000" s="59"/>
      <c r="AB1000" s="59"/>
      <c r="AC1000" s="59"/>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X987"/>
  <sheetViews>
    <sheetView workbookViewId="0"/>
  </sheetViews>
  <sheetFormatPr defaultColWidth="12.5703125" defaultRowHeight="15.75" customHeight="1"/>
  <cols>
    <col min="1" max="1" width="5.5703125" customWidth="1"/>
    <col min="2" max="2" width="29" customWidth="1"/>
  </cols>
  <sheetData>
    <row r="1" spans="1:24" ht="15.75" customHeight="1">
      <c r="A1" s="1046"/>
      <c r="B1" s="1178"/>
      <c r="C1" s="1178"/>
      <c r="D1" s="1178"/>
      <c r="E1" s="1178"/>
      <c r="F1" s="1178"/>
      <c r="G1" s="1178"/>
      <c r="H1" s="991"/>
      <c r="I1" s="991"/>
      <c r="J1" s="991"/>
      <c r="K1" s="991"/>
      <c r="L1" s="991"/>
      <c r="M1" s="991"/>
      <c r="N1" s="991"/>
      <c r="O1" s="991"/>
      <c r="P1" s="991"/>
      <c r="Q1" s="991"/>
      <c r="R1" s="991"/>
      <c r="S1" s="991"/>
      <c r="T1" s="991"/>
      <c r="U1" s="991"/>
      <c r="V1" s="991"/>
      <c r="W1" s="991"/>
      <c r="X1" s="991"/>
    </row>
    <row r="2" spans="1:24" ht="15.75" customHeight="1">
      <c r="A2" s="1046"/>
      <c r="B2" s="1178"/>
      <c r="C2" s="1178"/>
      <c r="D2" s="1178"/>
      <c r="E2" s="1571"/>
      <c r="F2" s="1451"/>
      <c r="G2" s="1451"/>
      <c r="H2" s="1451"/>
      <c r="I2" s="1451"/>
      <c r="J2" s="1451"/>
      <c r="K2" s="1451"/>
      <c r="L2" s="1451"/>
      <c r="M2" s="1451"/>
      <c r="N2" s="1451"/>
      <c r="O2" s="1451"/>
      <c r="P2" s="991"/>
      <c r="Q2" s="991"/>
      <c r="R2" s="991"/>
      <c r="S2" s="991"/>
      <c r="T2" s="991"/>
      <c r="U2" s="991"/>
      <c r="V2" s="991"/>
      <c r="W2" s="991"/>
      <c r="X2" s="991"/>
    </row>
    <row r="3" spans="1:24" ht="15.75" customHeight="1">
      <c r="A3" s="1046"/>
      <c r="B3" s="1178"/>
      <c r="C3" s="1178"/>
      <c r="D3" s="1178"/>
      <c r="E3" s="1451"/>
      <c r="F3" s="1451"/>
      <c r="G3" s="1451"/>
      <c r="H3" s="1451"/>
      <c r="I3" s="1451"/>
      <c r="J3" s="1451"/>
      <c r="K3" s="1451"/>
      <c r="L3" s="1451"/>
      <c r="M3" s="1451"/>
      <c r="N3" s="1451"/>
      <c r="O3" s="1451"/>
      <c r="P3" s="991"/>
      <c r="Q3" s="991"/>
      <c r="R3" s="991"/>
      <c r="S3" s="991"/>
      <c r="T3" s="991"/>
      <c r="U3" s="991"/>
      <c r="V3" s="991"/>
      <c r="W3" s="991"/>
      <c r="X3" s="991"/>
    </row>
    <row r="4" spans="1:24" ht="15.75" customHeight="1">
      <c r="A4" s="1046"/>
      <c r="B4" s="1178"/>
      <c r="C4" s="1178"/>
      <c r="D4" s="1178"/>
      <c r="E4" s="1451"/>
      <c r="F4" s="1451"/>
      <c r="G4" s="1451"/>
      <c r="H4" s="1451"/>
      <c r="I4" s="1451"/>
      <c r="J4" s="1451"/>
      <c r="K4" s="1451"/>
      <c r="L4" s="1451"/>
      <c r="M4" s="1451"/>
      <c r="N4" s="1451"/>
      <c r="O4" s="1451"/>
      <c r="P4" s="991"/>
      <c r="Q4" s="991"/>
      <c r="R4" s="991"/>
      <c r="S4" s="991"/>
      <c r="T4" s="991"/>
      <c r="U4" s="991"/>
      <c r="V4" s="991"/>
      <c r="W4" s="991"/>
      <c r="X4" s="991"/>
    </row>
    <row r="5" spans="1:24" ht="15.75" customHeight="1">
      <c r="A5" s="1046"/>
      <c r="B5" s="1178"/>
      <c r="C5" s="1178"/>
      <c r="D5" s="1178"/>
      <c r="E5" s="1451"/>
      <c r="F5" s="1451"/>
      <c r="G5" s="1451"/>
      <c r="H5" s="1451"/>
      <c r="I5" s="1451"/>
      <c r="J5" s="1451"/>
      <c r="K5" s="1451"/>
      <c r="L5" s="1451"/>
      <c r="M5" s="1451"/>
      <c r="N5" s="1451"/>
      <c r="O5" s="1451"/>
      <c r="P5" s="991"/>
      <c r="Q5" s="991"/>
      <c r="R5" s="991"/>
      <c r="S5" s="991"/>
      <c r="T5" s="991"/>
      <c r="U5" s="991"/>
      <c r="V5" s="991"/>
      <c r="W5" s="991"/>
      <c r="X5" s="991"/>
    </row>
    <row r="6" spans="1:24" ht="15.75" customHeight="1">
      <c r="A6" s="1046"/>
      <c r="B6" s="1178"/>
      <c r="C6" s="1178"/>
      <c r="D6" s="1178"/>
      <c r="E6" s="1451"/>
      <c r="F6" s="1451"/>
      <c r="G6" s="1451"/>
      <c r="H6" s="1451"/>
      <c r="I6" s="1451"/>
      <c r="J6" s="1451"/>
      <c r="K6" s="1451"/>
      <c r="L6" s="1451"/>
      <c r="M6" s="1451"/>
      <c r="N6" s="1451"/>
      <c r="O6" s="1451"/>
      <c r="P6" s="991"/>
      <c r="Q6" s="991"/>
      <c r="R6" s="991"/>
      <c r="S6" s="991"/>
      <c r="T6" s="991"/>
      <c r="U6" s="991"/>
      <c r="V6" s="991"/>
      <c r="W6" s="991"/>
      <c r="X6" s="991"/>
    </row>
    <row r="7" spans="1:24" ht="15.75" customHeight="1">
      <c r="A7" s="1046"/>
      <c r="B7" s="1178"/>
      <c r="C7" s="1178"/>
      <c r="D7" s="1178"/>
      <c r="E7" s="1451"/>
      <c r="F7" s="1451"/>
      <c r="G7" s="1451"/>
      <c r="H7" s="1451"/>
      <c r="I7" s="1451"/>
      <c r="J7" s="1451"/>
      <c r="K7" s="1451"/>
      <c r="L7" s="1451"/>
      <c r="M7" s="1451"/>
      <c r="N7" s="1451"/>
      <c r="O7" s="1451"/>
      <c r="P7" s="991"/>
      <c r="Q7" s="991"/>
      <c r="R7" s="991"/>
      <c r="S7" s="991"/>
      <c r="T7" s="991"/>
      <c r="U7" s="991"/>
      <c r="V7" s="991"/>
      <c r="W7" s="991"/>
      <c r="X7" s="991"/>
    </row>
    <row r="8" spans="1:24" ht="15.75" customHeight="1">
      <c r="A8" s="1564" t="s">
        <v>4015</v>
      </c>
      <c r="B8" s="1451"/>
      <c r="C8" s="1451"/>
      <c r="D8" s="1451"/>
      <c r="E8" s="1451"/>
      <c r="F8" s="1451"/>
      <c r="G8" s="1451"/>
      <c r="H8" s="1451"/>
      <c r="I8" s="1451"/>
      <c r="J8" s="1451"/>
      <c r="K8" s="1451"/>
      <c r="L8" s="1451"/>
      <c r="M8" s="1451"/>
      <c r="N8" s="1451"/>
      <c r="O8" s="1451"/>
      <c r="P8" s="1451"/>
      <c r="Q8" s="1451"/>
      <c r="R8" s="1451"/>
      <c r="S8" s="1451"/>
      <c r="T8" s="1451"/>
      <c r="U8" s="1451"/>
      <c r="V8" s="1451"/>
      <c r="W8" s="1451"/>
      <c r="X8" s="991"/>
    </row>
    <row r="9" spans="1:24" ht="15.75" customHeight="1">
      <c r="A9" s="1046"/>
      <c r="B9" s="1178"/>
      <c r="C9" s="1178"/>
      <c r="D9" s="1178"/>
      <c r="E9" s="1178"/>
      <c r="F9" s="1178"/>
      <c r="G9" s="1178"/>
      <c r="H9" s="991"/>
      <c r="I9" s="991"/>
      <c r="J9" s="991"/>
      <c r="K9" s="991"/>
      <c r="L9" s="991"/>
      <c r="M9" s="991"/>
      <c r="N9" s="991"/>
      <c r="O9" s="991"/>
      <c r="P9" s="991"/>
      <c r="Q9" s="991"/>
      <c r="R9" s="991"/>
      <c r="S9" s="991"/>
      <c r="T9" s="991"/>
      <c r="U9" s="991"/>
      <c r="V9" s="991"/>
      <c r="W9" s="991"/>
      <c r="X9" s="991"/>
    </row>
    <row r="10" spans="1:24" ht="15.75" customHeight="1">
      <c r="A10" s="1564" t="s">
        <v>4221</v>
      </c>
      <c r="B10" s="1451"/>
      <c r="C10" s="1178"/>
      <c r="D10" s="1178"/>
      <c r="E10" s="1178"/>
      <c r="F10" s="1178"/>
      <c r="G10" s="1178"/>
      <c r="H10" s="991"/>
      <c r="I10" s="991"/>
      <c r="J10" s="991"/>
      <c r="K10" s="991"/>
      <c r="L10" s="991"/>
      <c r="M10" s="991"/>
      <c r="N10" s="991"/>
      <c r="O10" s="991"/>
      <c r="P10" s="991"/>
      <c r="Q10" s="991"/>
      <c r="R10" s="991"/>
      <c r="S10" s="991"/>
      <c r="T10" s="991"/>
      <c r="U10" s="991"/>
      <c r="V10" s="991"/>
      <c r="W10" s="991"/>
      <c r="X10" s="991"/>
    </row>
    <row r="11" spans="1:24" ht="15.75" customHeight="1">
      <c r="A11" s="1564" t="s">
        <v>318</v>
      </c>
      <c r="B11" s="1451"/>
      <c r="C11" s="1178"/>
      <c r="D11" s="1178"/>
      <c r="E11" s="1178"/>
      <c r="F11" s="1178"/>
      <c r="G11" s="1178"/>
      <c r="H11" s="991"/>
      <c r="I11" s="991"/>
      <c r="J11" s="991"/>
      <c r="K11" s="991"/>
      <c r="L11" s="991"/>
      <c r="M11" s="991"/>
      <c r="N11" s="991"/>
      <c r="O11" s="991"/>
      <c r="P11" s="991"/>
      <c r="Q11" s="991"/>
      <c r="R11" s="991"/>
      <c r="S11" s="991"/>
      <c r="T11" s="991"/>
      <c r="U11" s="991"/>
      <c r="V11" s="991"/>
      <c r="W11" s="991"/>
      <c r="X11" s="991"/>
    </row>
    <row r="12" spans="1:24" ht="15.75" customHeight="1">
      <c r="A12" s="1564" t="s">
        <v>319</v>
      </c>
      <c r="B12" s="1451"/>
      <c r="C12" s="1178"/>
      <c r="D12" s="1178"/>
      <c r="E12" s="1178"/>
      <c r="F12" s="1178"/>
      <c r="G12" s="1178"/>
      <c r="H12" s="991"/>
      <c r="I12" s="991"/>
      <c r="J12" s="991"/>
      <c r="K12" s="991"/>
      <c r="L12" s="991"/>
      <c r="M12" s="991"/>
      <c r="N12" s="991"/>
      <c r="O12" s="991"/>
      <c r="P12" s="991"/>
      <c r="Q12" s="991"/>
      <c r="R12" s="991"/>
      <c r="S12" s="991"/>
      <c r="T12" s="991"/>
      <c r="U12" s="991"/>
      <c r="V12" s="991"/>
      <c r="W12" s="991"/>
      <c r="X12" s="991"/>
    </row>
    <row r="13" spans="1:24" ht="15.75" customHeight="1">
      <c r="A13" s="1046"/>
      <c r="B13" s="1178"/>
      <c r="C13" s="1178"/>
      <c r="D13" s="1178"/>
      <c r="E13" s="1178"/>
      <c r="F13" s="1178"/>
      <c r="G13" s="1178"/>
      <c r="H13" s="991"/>
      <c r="I13" s="991"/>
      <c r="J13" s="991"/>
      <c r="K13" s="991"/>
      <c r="L13" s="991"/>
      <c r="M13" s="991"/>
      <c r="N13" s="991"/>
      <c r="O13" s="991"/>
      <c r="P13" s="991"/>
      <c r="Q13" s="991"/>
      <c r="R13" s="991"/>
      <c r="S13" s="991"/>
      <c r="T13" s="991"/>
      <c r="U13" s="991"/>
      <c r="V13" s="991"/>
      <c r="W13" s="991"/>
      <c r="X13" s="991"/>
    </row>
    <row r="14" spans="1:24" ht="15.75" customHeight="1">
      <c r="A14" s="1046"/>
      <c r="B14" s="1178"/>
      <c r="C14" s="1178"/>
      <c r="D14" s="1178"/>
      <c r="E14" s="1178"/>
      <c r="F14" s="1178"/>
      <c r="G14" s="1178"/>
      <c r="H14" s="991"/>
      <c r="I14" s="991"/>
      <c r="J14" s="991"/>
      <c r="K14" s="991"/>
      <c r="L14" s="991"/>
      <c r="M14" s="991"/>
      <c r="N14" s="991"/>
      <c r="O14" s="991"/>
      <c r="P14" s="991"/>
      <c r="Q14" s="991"/>
      <c r="R14" s="991"/>
      <c r="S14" s="991"/>
      <c r="T14" s="991"/>
      <c r="U14" s="991"/>
      <c r="V14" s="991"/>
      <c r="W14" s="991"/>
      <c r="X14" s="991"/>
    </row>
    <row r="15" spans="1:24" ht="15.75" customHeight="1">
      <c r="A15" s="1180" t="s">
        <v>320</v>
      </c>
      <c r="B15" s="1567" t="s">
        <v>321</v>
      </c>
      <c r="C15" s="1565" t="s">
        <v>85</v>
      </c>
      <c r="D15" s="1565" t="s">
        <v>92</v>
      </c>
      <c r="E15" s="1565" t="s">
        <v>93</v>
      </c>
      <c r="F15" s="1565" t="s">
        <v>322</v>
      </c>
      <c r="G15" s="1565" t="s">
        <v>323</v>
      </c>
      <c r="H15" s="1568" t="s">
        <v>324</v>
      </c>
      <c r="I15" s="1442"/>
      <c r="J15" s="1442"/>
      <c r="K15" s="1442"/>
      <c r="L15" s="1442"/>
      <c r="M15" s="1442"/>
      <c r="N15" s="1442"/>
      <c r="O15" s="1442"/>
      <c r="P15" s="1442"/>
      <c r="Q15" s="1442"/>
      <c r="R15" s="1442"/>
      <c r="S15" s="1442"/>
      <c r="T15" s="1442"/>
      <c r="U15" s="1442"/>
      <c r="V15" s="1442"/>
      <c r="W15" s="1443"/>
      <c r="X15" s="991"/>
    </row>
    <row r="16" spans="1:24" ht="15.75" customHeight="1">
      <c r="A16" s="1181"/>
      <c r="B16" s="1448"/>
      <c r="C16" s="1448"/>
      <c r="D16" s="1448"/>
      <c r="E16" s="1448"/>
      <c r="F16" s="1448"/>
      <c r="G16" s="1448"/>
      <c r="H16" s="845" t="s">
        <v>325</v>
      </c>
      <c r="I16" s="845" t="s">
        <v>326</v>
      </c>
      <c r="J16" s="845" t="s">
        <v>327</v>
      </c>
      <c r="K16" s="845" t="s">
        <v>328</v>
      </c>
      <c r="L16" s="845" t="s">
        <v>329</v>
      </c>
      <c r="M16" s="845" t="s">
        <v>330</v>
      </c>
      <c r="N16" s="845" t="s">
        <v>331</v>
      </c>
      <c r="O16" s="845" t="s">
        <v>332</v>
      </c>
      <c r="P16" s="845" t="s">
        <v>333</v>
      </c>
      <c r="Q16" s="845" t="s">
        <v>334</v>
      </c>
      <c r="R16" s="845" t="s">
        <v>335</v>
      </c>
      <c r="S16" s="845" t="s">
        <v>336</v>
      </c>
      <c r="T16" s="845" t="s">
        <v>337</v>
      </c>
      <c r="U16" s="845" t="s">
        <v>338</v>
      </c>
      <c r="V16" s="845" t="s">
        <v>339</v>
      </c>
      <c r="W16" s="845" t="s">
        <v>340</v>
      </c>
      <c r="X16" s="991"/>
    </row>
    <row r="17" spans="1:24" ht="15.75" customHeight="1">
      <c r="A17" s="1569" t="s">
        <v>4222</v>
      </c>
      <c r="B17" s="1443"/>
      <c r="C17" s="1125"/>
      <c r="D17" s="1125"/>
      <c r="E17" s="1125"/>
      <c r="F17" s="1125"/>
      <c r="G17" s="1125"/>
      <c r="H17" s="953"/>
      <c r="I17" s="953"/>
      <c r="J17" s="953"/>
      <c r="K17" s="953"/>
      <c r="L17" s="953"/>
      <c r="M17" s="953"/>
      <c r="N17" s="953"/>
      <c r="O17" s="953"/>
      <c r="P17" s="953"/>
      <c r="Q17" s="953"/>
      <c r="R17" s="953"/>
      <c r="S17" s="953"/>
      <c r="T17" s="953"/>
      <c r="U17" s="953"/>
      <c r="V17" s="953"/>
      <c r="W17" s="953"/>
      <c r="X17" s="991"/>
    </row>
    <row r="18" spans="1:24" ht="15.75" customHeight="1">
      <c r="A18" s="1181">
        <v>1</v>
      </c>
      <c r="B18" s="1182" t="s">
        <v>4223</v>
      </c>
      <c r="C18" s="1183">
        <v>80</v>
      </c>
      <c r="D18" s="1180" t="s">
        <v>902</v>
      </c>
      <c r="E18" s="1125">
        <f>VLOOKUP(B18,'Conso Others'!B4:E302,4,0)</f>
        <v>10</v>
      </c>
      <c r="F18" s="1184">
        <f t="shared" ref="F18:F58" si="0">E18*C18</f>
        <v>800</v>
      </c>
      <c r="G18" s="1125"/>
      <c r="H18" s="1185">
        <f t="shared" ref="H18:H58" si="1">SUM(I18:K18)</f>
        <v>40</v>
      </c>
      <c r="I18" s="953"/>
      <c r="J18" s="1185">
        <f t="shared" ref="J18:J58" si="2">C18/2</f>
        <v>40</v>
      </c>
      <c r="K18" s="953"/>
      <c r="L18" s="847">
        <f t="shared" ref="L18:L58" si="3">SUM(M18:O18)</f>
        <v>40</v>
      </c>
      <c r="M18" s="953"/>
      <c r="N18" s="1185">
        <f t="shared" ref="N18:N58" si="4">J18</f>
        <v>40</v>
      </c>
      <c r="O18" s="953"/>
      <c r="P18" s="847">
        <f t="shared" ref="P18:P58" si="5">SUM(Q18:S18)</f>
        <v>0</v>
      </c>
      <c r="Q18" s="953"/>
      <c r="R18" s="953"/>
      <c r="S18" s="953"/>
      <c r="T18" s="847">
        <f t="shared" ref="T18:T58" si="6">SUM(U18:W18)</f>
        <v>0</v>
      </c>
      <c r="U18" s="953"/>
      <c r="V18" s="953"/>
      <c r="W18" s="953"/>
      <c r="X18" s="991"/>
    </row>
    <row r="19" spans="1:24" ht="15.75" customHeight="1">
      <c r="A19" s="1181">
        <v>2</v>
      </c>
      <c r="B19" s="1186" t="s">
        <v>4224</v>
      </c>
      <c r="C19" s="1183">
        <v>40</v>
      </c>
      <c r="D19" s="1180" t="s">
        <v>902</v>
      </c>
      <c r="E19" s="1125">
        <f>VLOOKUP(B19,'Conso Others'!B5:E303,4,0)</f>
        <v>10</v>
      </c>
      <c r="F19" s="1184">
        <f t="shared" si="0"/>
        <v>400</v>
      </c>
      <c r="G19" s="1125"/>
      <c r="H19" s="847">
        <f t="shared" si="1"/>
        <v>20</v>
      </c>
      <c r="I19" s="953"/>
      <c r="J19" s="1185">
        <f t="shared" si="2"/>
        <v>20</v>
      </c>
      <c r="K19" s="953"/>
      <c r="L19" s="847">
        <f t="shared" si="3"/>
        <v>20</v>
      </c>
      <c r="M19" s="953"/>
      <c r="N19" s="1185">
        <f t="shared" si="4"/>
        <v>20</v>
      </c>
      <c r="O19" s="953"/>
      <c r="P19" s="847">
        <f t="shared" si="5"/>
        <v>0</v>
      </c>
      <c r="Q19" s="953"/>
      <c r="R19" s="953"/>
      <c r="S19" s="953"/>
      <c r="T19" s="847">
        <f t="shared" si="6"/>
        <v>0</v>
      </c>
      <c r="U19" s="953"/>
      <c r="V19" s="953"/>
      <c r="W19" s="953"/>
      <c r="X19" s="991"/>
    </row>
    <row r="20" spans="1:24" ht="15.75" customHeight="1">
      <c r="A20" s="1181">
        <v>3</v>
      </c>
      <c r="B20" s="1186" t="s">
        <v>4225</v>
      </c>
      <c r="C20" s="1183">
        <v>12</v>
      </c>
      <c r="D20" s="1180" t="s">
        <v>902</v>
      </c>
      <c r="E20" s="1125">
        <f>VLOOKUP(B20,'Conso Others'!B6:E304,4,0)</f>
        <v>77.2</v>
      </c>
      <c r="F20" s="1184">
        <f t="shared" si="0"/>
        <v>926.40000000000009</v>
      </c>
      <c r="G20" s="1125"/>
      <c r="H20" s="847">
        <f t="shared" si="1"/>
        <v>6</v>
      </c>
      <c r="I20" s="953"/>
      <c r="J20" s="1185">
        <f t="shared" si="2"/>
        <v>6</v>
      </c>
      <c r="K20" s="953"/>
      <c r="L20" s="847">
        <f t="shared" si="3"/>
        <v>6</v>
      </c>
      <c r="M20" s="953"/>
      <c r="N20" s="1185">
        <f t="shared" si="4"/>
        <v>6</v>
      </c>
      <c r="O20" s="953"/>
      <c r="P20" s="847">
        <f t="shared" si="5"/>
        <v>0</v>
      </c>
      <c r="Q20" s="953"/>
      <c r="R20" s="953"/>
      <c r="S20" s="953"/>
      <c r="T20" s="847">
        <f t="shared" si="6"/>
        <v>0</v>
      </c>
      <c r="U20" s="953"/>
      <c r="V20" s="953"/>
      <c r="W20" s="953"/>
      <c r="X20" s="991"/>
    </row>
    <row r="21" spans="1:24" ht="15.75" customHeight="1">
      <c r="A21" s="1181">
        <v>4</v>
      </c>
      <c r="B21" s="1186" t="s">
        <v>3375</v>
      </c>
      <c r="C21" s="1183">
        <v>30</v>
      </c>
      <c r="D21" s="1180" t="s">
        <v>902</v>
      </c>
      <c r="E21" s="1125">
        <f>VLOOKUP(B21,'Conso Others'!B7:E305,4,0)</f>
        <v>68.64</v>
      </c>
      <c r="F21" s="1184">
        <f t="shared" si="0"/>
        <v>2059.1999999999998</v>
      </c>
      <c r="G21" s="1125"/>
      <c r="H21" s="847">
        <f t="shared" si="1"/>
        <v>15</v>
      </c>
      <c r="I21" s="953"/>
      <c r="J21" s="1185">
        <f t="shared" si="2"/>
        <v>15</v>
      </c>
      <c r="K21" s="953"/>
      <c r="L21" s="847">
        <f t="shared" si="3"/>
        <v>15</v>
      </c>
      <c r="M21" s="953"/>
      <c r="N21" s="1185">
        <f t="shared" si="4"/>
        <v>15</v>
      </c>
      <c r="O21" s="953"/>
      <c r="P21" s="847">
        <f t="shared" si="5"/>
        <v>0</v>
      </c>
      <c r="Q21" s="953"/>
      <c r="R21" s="953"/>
      <c r="S21" s="953"/>
      <c r="T21" s="847">
        <f t="shared" si="6"/>
        <v>0</v>
      </c>
      <c r="U21" s="953"/>
      <c r="V21" s="953"/>
      <c r="W21" s="953"/>
      <c r="X21" s="991"/>
    </row>
    <row r="22" spans="1:24" ht="15.75" customHeight="1">
      <c r="A22" s="1181">
        <v>5</v>
      </c>
      <c r="B22" s="1186" t="s">
        <v>3408</v>
      </c>
      <c r="C22" s="1183">
        <v>2</v>
      </c>
      <c r="D22" s="1180" t="s">
        <v>189</v>
      </c>
      <c r="E22" s="1125">
        <f>VLOOKUP(B22,'Conso Others'!B8:E306,4,0)</f>
        <v>980.72</v>
      </c>
      <c r="F22" s="1184">
        <f t="shared" si="0"/>
        <v>1961.44</v>
      </c>
      <c r="G22" s="1125"/>
      <c r="H22" s="847">
        <f t="shared" si="1"/>
        <v>1</v>
      </c>
      <c r="I22" s="953"/>
      <c r="J22" s="1185">
        <f t="shared" si="2"/>
        <v>1</v>
      </c>
      <c r="K22" s="953"/>
      <c r="L22" s="847">
        <f t="shared" si="3"/>
        <v>1</v>
      </c>
      <c r="M22" s="953"/>
      <c r="N22" s="1185">
        <f t="shared" si="4"/>
        <v>1</v>
      </c>
      <c r="O22" s="953"/>
      <c r="P22" s="847">
        <f t="shared" si="5"/>
        <v>0</v>
      </c>
      <c r="Q22" s="953"/>
      <c r="R22" s="953"/>
      <c r="S22" s="953"/>
      <c r="T22" s="847">
        <f t="shared" si="6"/>
        <v>0</v>
      </c>
      <c r="U22" s="953"/>
      <c r="V22" s="953"/>
      <c r="W22" s="953"/>
      <c r="X22" s="991"/>
    </row>
    <row r="23" spans="1:24" ht="15.75" customHeight="1">
      <c r="A23" s="1181">
        <v>6</v>
      </c>
      <c r="B23" s="1186" t="s">
        <v>3421</v>
      </c>
      <c r="C23" s="1183">
        <v>6</v>
      </c>
      <c r="D23" s="1180" t="s">
        <v>902</v>
      </c>
      <c r="E23" s="1125">
        <f>VLOOKUP(B23,'Conso Others'!B9:E307,4,0)</f>
        <v>4.47</v>
      </c>
      <c r="F23" s="1184">
        <f t="shared" si="0"/>
        <v>26.82</v>
      </c>
      <c r="G23" s="1125"/>
      <c r="H23" s="847">
        <f t="shared" si="1"/>
        <v>3</v>
      </c>
      <c r="I23" s="953"/>
      <c r="J23" s="1185">
        <f t="shared" si="2"/>
        <v>3</v>
      </c>
      <c r="K23" s="953"/>
      <c r="L23" s="847">
        <f t="shared" si="3"/>
        <v>3</v>
      </c>
      <c r="M23" s="953"/>
      <c r="N23" s="1185">
        <f t="shared" si="4"/>
        <v>3</v>
      </c>
      <c r="O23" s="953"/>
      <c r="P23" s="847">
        <f t="shared" si="5"/>
        <v>0</v>
      </c>
      <c r="Q23" s="953"/>
      <c r="R23" s="953"/>
      <c r="S23" s="953"/>
      <c r="T23" s="847">
        <f t="shared" si="6"/>
        <v>0</v>
      </c>
      <c r="U23" s="953"/>
      <c r="V23" s="953"/>
      <c r="W23" s="953"/>
      <c r="X23" s="991"/>
    </row>
    <row r="24" spans="1:24" ht="15.75" customHeight="1">
      <c r="A24" s="1181">
        <v>7</v>
      </c>
      <c r="B24" s="1186" t="s">
        <v>3450</v>
      </c>
      <c r="C24" s="1183">
        <v>2</v>
      </c>
      <c r="D24" s="1180" t="s">
        <v>155</v>
      </c>
      <c r="E24" s="1125">
        <f>VLOOKUP(B24,'Conso Others'!B10:E308,4,0)</f>
        <v>333.26</v>
      </c>
      <c r="F24" s="1184">
        <f t="shared" si="0"/>
        <v>666.52</v>
      </c>
      <c r="G24" s="1125"/>
      <c r="H24" s="847">
        <f t="shared" si="1"/>
        <v>1</v>
      </c>
      <c r="I24" s="953"/>
      <c r="J24" s="1185">
        <f t="shared" si="2"/>
        <v>1</v>
      </c>
      <c r="K24" s="953"/>
      <c r="L24" s="847">
        <f t="shared" si="3"/>
        <v>1</v>
      </c>
      <c r="M24" s="953"/>
      <c r="N24" s="1185">
        <f t="shared" si="4"/>
        <v>1</v>
      </c>
      <c r="O24" s="953"/>
      <c r="P24" s="847">
        <f t="shared" si="5"/>
        <v>0</v>
      </c>
      <c r="Q24" s="953"/>
      <c r="R24" s="953"/>
      <c r="S24" s="953"/>
      <c r="T24" s="847">
        <f t="shared" si="6"/>
        <v>0</v>
      </c>
      <c r="U24" s="953"/>
      <c r="V24" s="953"/>
      <c r="W24" s="953"/>
      <c r="X24" s="991"/>
    </row>
    <row r="25" spans="1:24" ht="15.75" customHeight="1">
      <c r="A25" s="1181">
        <v>8</v>
      </c>
      <c r="B25" s="1186" t="s">
        <v>3461</v>
      </c>
      <c r="C25" s="1183">
        <v>2</v>
      </c>
      <c r="D25" s="1180" t="s">
        <v>4226</v>
      </c>
      <c r="E25" s="1125">
        <f>VLOOKUP(B25,'Conso Others'!B11:E309,4,0)</f>
        <v>70.72</v>
      </c>
      <c r="F25" s="1184">
        <f t="shared" si="0"/>
        <v>141.44</v>
      </c>
      <c r="G25" s="1125"/>
      <c r="H25" s="847">
        <f t="shared" si="1"/>
        <v>1</v>
      </c>
      <c r="I25" s="953"/>
      <c r="J25" s="1185">
        <f t="shared" si="2"/>
        <v>1</v>
      </c>
      <c r="K25" s="953"/>
      <c r="L25" s="847">
        <f t="shared" si="3"/>
        <v>1</v>
      </c>
      <c r="M25" s="953"/>
      <c r="N25" s="1185">
        <f t="shared" si="4"/>
        <v>1</v>
      </c>
      <c r="O25" s="953"/>
      <c r="P25" s="847">
        <f t="shared" si="5"/>
        <v>0</v>
      </c>
      <c r="Q25" s="953"/>
      <c r="R25" s="953"/>
      <c r="S25" s="953"/>
      <c r="T25" s="847">
        <f t="shared" si="6"/>
        <v>0</v>
      </c>
      <c r="U25" s="953"/>
      <c r="V25" s="953"/>
      <c r="W25" s="953"/>
      <c r="X25" s="991"/>
    </row>
    <row r="26" spans="1:24" ht="15.75" customHeight="1">
      <c r="A26" s="1181">
        <v>9</v>
      </c>
      <c r="B26" s="1186" t="s">
        <v>3587</v>
      </c>
      <c r="C26" s="1183">
        <v>2</v>
      </c>
      <c r="D26" s="1180" t="s">
        <v>118</v>
      </c>
      <c r="E26" s="1125">
        <f>VLOOKUP(B26,'Conso Others'!B12:E310,4,0)</f>
        <v>36.659999999999997</v>
      </c>
      <c r="F26" s="1184">
        <f t="shared" si="0"/>
        <v>73.319999999999993</v>
      </c>
      <c r="G26" s="1125"/>
      <c r="H26" s="847">
        <f t="shared" si="1"/>
        <v>1</v>
      </c>
      <c r="I26" s="953"/>
      <c r="J26" s="1185">
        <f t="shared" si="2"/>
        <v>1</v>
      </c>
      <c r="K26" s="953"/>
      <c r="L26" s="847">
        <f t="shared" si="3"/>
        <v>1</v>
      </c>
      <c r="M26" s="953"/>
      <c r="N26" s="1185">
        <f t="shared" si="4"/>
        <v>1</v>
      </c>
      <c r="O26" s="953"/>
      <c r="P26" s="847">
        <f t="shared" si="5"/>
        <v>0</v>
      </c>
      <c r="Q26" s="953"/>
      <c r="R26" s="953"/>
      <c r="S26" s="953"/>
      <c r="T26" s="847">
        <f t="shared" si="6"/>
        <v>0</v>
      </c>
      <c r="U26" s="953"/>
      <c r="V26" s="953"/>
      <c r="W26" s="953"/>
      <c r="X26" s="991"/>
    </row>
    <row r="27" spans="1:24" ht="15.75" customHeight="1">
      <c r="A27" s="1181">
        <v>10</v>
      </c>
      <c r="B27" s="1186" t="s">
        <v>4227</v>
      </c>
      <c r="C27" s="1183">
        <v>20</v>
      </c>
      <c r="D27" s="1180" t="s">
        <v>902</v>
      </c>
      <c r="E27" s="1125">
        <f>VLOOKUP(B27,'Conso Others'!B13:E311,4,0)</f>
        <v>7.47</v>
      </c>
      <c r="F27" s="1184">
        <f t="shared" si="0"/>
        <v>149.4</v>
      </c>
      <c r="G27" s="1125"/>
      <c r="H27" s="847">
        <f t="shared" si="1"/>
        <v>10</v>
      </c>
      <c r="I27" s="953"/>
      <c r="J27" s="1185">
        <f t="shared" si="2"/>
        <v>10</v>
      </c>
      <c r="K27" s="953"/>
      <c r="L27" s="847">
        <f t="shared" si="3"/>
        <v>10</v>
      </c>
      <c r="M27" s="953"/>
      <c r="N27" s="1185">
        <f t="shared" si="4"/>
        <v>10</v>
      </c>
      <c r="O27" s="953"/>
      <c r="P27" s="847">
        <f t="shared" si="5"/>
        <v>0</v>
      </c>
      <c r="Q27" s="953"/>
      <c r="R27" s="953"/>
      <c r="S27" s="953"/>
      <c r="T27" s="847">
        <f t="shared" si="6"/>
        <v>0</v>
      </c>
      <c r="U27" s="953"/>
      <c r="V27" s="953"/>
      <c r="W27" s="953"/>
      <c r="X27" s="991"/>
    </row>
    <row r="28" spans="1:24" ht="15.75" customHeight="1">
      <c r="A28" s="1181">
        <v>11</v>
      </c>
      <c r="B28" s="1186" t="s">
        <v>4228</v>
      </c>
      <c r="C28" s="1183">
        <v>20</v>
      </c>
      <c r="D28" s="1180" t="s">
        <v>902</v>
      </c>
      <c r="E28" s="1125">
        <f>VLOOKUP(B28,'Conso Others'!B14:E312,4,0)</f>
        <v>9.65</v>
      </c>
      <c r="F28" s="1184">
        <f t="shared" si="0"/>
        <v>193</v>
      </c>
      <c r="G28" s="1125"/>
      <c r="H28" s="847">
        <f t="shared" si="1"/>
        <v>10</v>
      </c>
      <c r="I28" s="953"/>
      <c r="J28" s="1185">
        <f t="shared" si="2"/>
        <v>10</v>
      </c>
      <c r="K28" s="953"/>
      <c r="L28" s="847">
        <f t="shared" si="3"/>
        <v>10</v>
      </c>
      <c r="M28" s="953"/>
      <c r="N28" s="1185">
        <f t="shared" si="4"/>
        <v>10</v>
      </c>
      <c r="O28" s="953"/>
      <c r="P28" s="847">
        <f t="shared" si="5"/>
        <v>0</v>
      </c>
      <c r="Q28" s="953"/>
      <c r="R28" s="953"/>
      <c r="S28" s="953"/>
      <c r="T28" s="847">
        <f t="shared" si="6"/>
        <v>0</v>
      </c>
      <c r="U28" s="953"/>
      <c r="V28" s="953"/>
      <c r="W28" s="953"/>
      <c r="X28" s="991"/>
    </row>
    <row r="29" spans="1:24" ht="15.75" customHeight="1">
      <c r="A29" s="1181">
        <v>12</v>
      </c>
      <c r="B29" s="1186" t="s">
        <v>3619</v>
      </c>
      <c r="C29" s="1183">
        <v>6</v>
      </c>
      <c r="D29" s="1180" t="s">
        <v>4229</v>
      </c>
      <c r="E29" s="1125">
        <f>VLOOKUP(B29,'Conso Others'!B15:E313,4,0)</f>
        <v>52</v>
      </c>
      <c r="F29" s="1184">
        <f t="shared" si="0"/>
        <v>312</v>
      </c>
      <c r="G29" s="1125"/>
      <c r="H29" s="847">
        <f t="shared" si="1"/>
        <v>3</v>
      </c>
      <c r="I29" s="953"/>
      <c r="J29" s="1185">
        <f t="shared" si="2"/>
        <v>3</v>
      </c>
      <c r="K29" s="953"/>
      <c r="L29" s="847">
        <f t="shared" si="3"/>
        <v>3</v>
      </c>
      <c r="M29" s="953"/>
      <c r="N29" s="1185">
        <f t="shared" si="4"/>
        <v>3</v>
      </c>
      <c r="O29" s="953"/>
      <c r="P29" s="847">
        <f t="shared" si="5"/>
        <v>0</v>
      </c>
      <c r="Q29" s="953"/>
      <c r="R29" s="953"/>
      <c r="S29" s="953"/>
      <c r="T29" s="847">
        <f t="shared" si="6"/>
        <v>0</v>
      </c>
      <c r="U29" s="953"/>
      <c r="V29" s="953"/>
      <c r="W29" s="953"/>
      <c r="X29" s="991"/>
    </row>
    <row r="30" spans="1:24" ht="15.75" customHeight="1">
      <c r="A30" s="1181">
        <v>13</v>
      </c>
      <c r="B30" s="1186" t="s">
        <v>3630</v>
      </c>
      <c r="C30" s="1183">
        <v>2</v>
      </c>
      <c r="D30" s="1180" t="s">
        <v>189</v>
      </c>
      <c r="E30" s="1125">
        <f>VLOOKUP(B30,'Conso Others'!B16:E314,4,0)</f>
        <v>8.82</v>
      </c>
      <c r="F30" s="1184">
        <f t="shared" si="0"/>
        <v>17.64</v>
      </c>
      <c r="G30" s="1125"/>
      <c r="H30" s="847">
        <f t="shared" si="1"/>
        <v>1</v>
      </c>
      <c r="I30" s="953"/>
      <c r="J30" s="1185">
        <f t="shared" si="2"/>
        <v>1</v>
      </c>
      <c r="K30" s="953"/>
      <c r="L30" s="847">
        <f t="shared" si="3"/>
        <v>1</v>
      </c>
      <c r="M30" s="953"/>
      <c r="N30" s="1185">
        <f t="shared" si="4"/>
        <v>1</v>
      </c>
      <c r="O30" s="953"/>
      <c r="P30" s="847">
        <f t="shared" si="5"/>
        <v>0</v>
      </c>
      <c r="Q30" s="953"/>
      <c r="R30" s="953"/>
      <c r="S30" s="953"/>
      <c r="T30" s="847">
        <f t="shared" si="6"/>
        <v>0</v>
      </c>
      <c r="U30" s="953"/>
      <c r="V30" s="953"/>
      <c r="W30" s="953"/>
      <c r="X30" s="991"/>
    </row>
    <row r="31" spans="1:24" ht="15.75" customHeight="1">
      <c r="A31" s="1181">
        <v>14</v>
      </c>
      <c r="B31" s="1186" t="s">
        <v>4230</v>
      </c>
      <c r="C31" s="1183">
        <v>2</v>
      </c>
      <c r="D31" s="1180" t="s">
        <v>189</v>
      </c>
      <c r="E31" s="1125">
        <f>VLOOKUP(B31,'Conso Others'!B17:E315,4,0)</f>
        <v>13.78</v>
      </c>
      <c r="F31" s="1184">
        <f t="shared" si="0"/>
        <v>27.56</v>
      </c>
      <c r="G31" s="1125"/>
      <c r="H31" s="847">
        <f t="shared" si="1"/>
        <v>1</v>
      </c>
      <c r="I31" s="953"/>
      <c r="J31" s="1185">
        <f t="shared" si="2"/>
        <v>1</v>
      </c>
      <c r="K31" s="953"/>
      <c r="L31" s="847">
        <f t="shared" si="3"/>
        <v>1</v>
      </c>
      <c r="M31" s="953"/>
      <c r="N31" s="1185">
        <f t="shared" si="4"/>
        <v>1</v>
      </c>
      <c r="O31" s="953"/>
      <c r="P31" s="847">
        <f t="shared" si="5"/>
        <v>0</v>
      </c>
      <c r="Q31" s="953"/>
      <c r="R31" s="953"/>
      <c r="S31" s="953"/>
      <c r="T31" s="847">
        <f t="shared" si="6"/>
        <v>0</v>
      </c>
      <c r="U31" s="953"/>
      <c r="V31" s="953"/>
      <c r="W31" s="953"/>
      <c r="X31" s="991"/>
    </row>
    <row r="32" spans="1:24" ht="15.75" customHeight="1">
      <c r="A32" s="1181">
        <v>15</v>
      </c>
      <c r="B32" s="1186" t="s">
        <v>3641</v>
      </c>
      <c r="C32" s="1183">
        <v>24</v>
      </c>
      <c r="D32" s="1180" t="s">
        <v>3912</v>
      </c>
      <c r="E32" s="1125">
        <f>VLOOKUP(B32,'Conso Others'!B19:E317,4,0)</f>
        <v>137.74</v>
      </c>
      <c r="F32" s="1184">
        <f t="shared" si="0"/>
        <v>3305.76</v>
      </c>
      <c r="G32" s="1125"/>
      <c r="H32" s="847">
        <f t="shared" si="1"/>
        <v>12</v>
      </c>
      <c r="I32" s="953"/>
      <c r="J32" s="1185">
        <f t="shared" si="2"/>
        <v>12</v>
      </c>
      <c r="K32" s="953"/>
      <c r="L32" s="847">
        <f t="shared" si="3"/>
        <v>12</v>
      </c>
      <c r="M32" s="953"/>
      <c r="N32" s="1185">
        <f t="shared" si="4"/>
        <v>12</v>
      </c>
      <c r="O32" s="953"/>
      <c r="P32" s="847">
        <f t="shared" si="5"/>
        <v>0</v>
      </c>
      <c r="Q32" s="953"/>
      <c r="R32" s="953"/>
      <c r="S32" s="953"/>
      <c r="T32" s="847">
        <f t="shared" si="6"/>
        <v>0</v>
      </c>
      <c r="U32" s="953"/>
      <c r="V32" s="953"/>
      <c r="W32" s="953"/>
      <c r="X32" s="991"/>
    </row>
    <row r="33" spans="1:24" ht="15.75" customHeight="1">
      <c r="A33" s="1181">
        <v>16</v>
      </c>
      <c r="B33" s="1186" t="s">
        <v>3638</v>
      </c>
      <c r="C33" s="1183">
        <v>24</v>
      </c>
      <c r="D33" s="1180" t="s">
        <v>3912</v>
      </c>
      <c r="E33" s="1125">
        <f>VLOOKUP(B33,'Conso Others'!B20:E318,4,0)</f>
        <v>158.91</v>
      </c>
      <c r="F33" s="1184">
        <f t="shared" si="0"/>
        <v>3813.84</v>
      </c>
      <c r="G33" s="1125"/>
      <c r="H33" s="847">
        <f t="shared" si="1"/>
        <v>12</v>
      </c>
      <c r="I33" s="953"/>
      <c r="J33" s="1185">
        <f t="shared" si="2"/>
        <v>12</v>
      </c>
      <c r="K33" s="953"/>
      <c r="L33" s="847">
        <f t="shared" si="3"/>
        <v>12</v>
      </c>
      <c r="M33" s="953"/>
      <c r="N33" s="1185">
        <f t="shared" si="4"/>
        <v>12</v>
      </c>
      <c r="O33" s="953"/>
      <c r="P33" s="847">
        <f t="shared" si="5"/>
        <v>0</v>
      </c>
      <c r="Q33" s="953"/>
      <c r="R33" s="953"/>
      <c r="S33" s="953"/>
      <c r="T33" s="847">
        <f t="shared" si="6"/>
        <v>0</v>
      </c>
      <c r="U33" s="953"/>
      <c r="V33" s="953"/>
      <c r="W33" s="953"/>
      <c r="X33" s="991"/>
    </row>
    <row r="34" spans="1:24" ht="15.75" customHeight="1">
      <c r="A34" s="1181">
        <v>17</v>
      </c>
      <c r="B34" s="1186" t="s">
        <v>3650</v>
      </c>
      <c r="C34" s="1183">
        <v>2</v>
      </c>
      <c r="D34" s="1180" t="s">
        <v>902</v>
      </c>
      <c r="E34" s="1125">
        <f>VLOOKUP(B34,'Conso Others'!B23:E321,4,0)</f>
        <v>212.87</v>
      </c>
      <c r="F34" s="1184">
        <f t="shared" si="0"/>
        <v>425.74</v>
      </c>
      <c r="G34" s="1125"/>
      <c r="H34" s="847">
        <f t="shared" si="1"/>
        <v>1</v>
      </c>
      <c r="I34" s="953"/>
      <c r="J34" s="1185">
        <f t="shared" si="2"/>
        <v>1</v>
      </c>
      <c r="K34" s="953"/>
      <c r="L34" s="847">
        <f t="shared" si="3"/>
        <v>1</v>
      </c>
      <c r="M34" s="953"/>
      <c r="N34" s="1185">
        <f t="shared" si="4"/>
        <v>1</v>
      </c>
      <c r="O34" s="953"/>
      <c r="P34" s="847">
        <f t="shared" si="5"/>
        <v>0</v>
      </c>
      <c r="Q34" s="953"/>
      <c r="R34" s="953"/>
      <c r="S34" s="953"/>
      <c r="T34" s="847">
        <f t="shared" si="6"/>
        <v>0</v>
      </c>
      <c r="U34" s="953"/>
      <c r="V34" s="953"/>
      <c r="W34" s="953"/>
      <c r="X34" s="991"/>
    </row>
    <row r="35" spans="1:24" ht="15.75" customHeight="1">
      <c r="A35" s="1181">
        <v>18</v>
      </c>
      <c r="B35" s="1186" t="s">
        <v>3652</v>
      </c>
      <c r="C35" s="1183">
        <v>4</v>
      </c>
      <c r="D35" s="1180" t="s">
        <v>189</v>
      </c>
      <c r="E35" s="1125">
        <f>VLOOKUP(B35,'Conso Others'!B24:E322,4,0)</f>
        <v>20.79</v>
      </c>
      <c r="F35" s="1184">
        <f t="shared" si="0"/>
        <v>83.16</v>
      </c>
      <c r="G35" s="1125"/>
      <c r="H35" s="847">
        <f t="shared" si="1"/>
        <v>2</v>
      </c>
      <c r="I35" s="953"/>
      <c r="J35" s="1185">
        <f t="shared" si="2"/>
        <v>2</v>
      </c>
      <c r="K35" s="953"/>
      <c r="L35" s="847">
        <f t="shared" si="3"/>
        <v>2</v>
      </c>
      <c r="M35" s="953"/>
      <c r="N35" s="1185">
        <f t="shared" si="4"/>
        <v>2</v>
      </c>
      <c r="O35" s="953"/>
      <c r="P35" s="847">
        <f t="shared" si="5"/>
        <v>0</v>
      </c>
      <c r="Q35" s="953"/>
      <c r="R35" s="953"/>
      <c r="S35" s="953"/>
      <c r="T35" s="847">
        <f t="shared" si="6"/>
        <v>0</v>
      </c>
      <c r="U35" s="953"/>
      <c r="V35" s="953"/>
      <c r="W35" s="953"/>
      <c r="X35" s="991"/>
    </row>
    <row r="36" spans="1:24" ht="15.75" customHeight="1">
      <c r="A36" s="1181">
        <v>19</v>
      </c>
      <c r="B36" s="1186" t="s">
        <v>3671</v>
      </c>
      <c r="C36" s="1183">
        <v>4</v>
      </c>
      <c r="D36" s="1180" t="s">
        <v>4231</v>
      </c>
      <c r="E36" s="1125">
        <f>VLOOKUP(B36,'Conso Others'!B25:E323,4,0)</f>
        <v>104</v>
      </c>
      <c r="F36" s="1184">
        <f t="shared" si="0"/>
        <v>416</v>
      </c>
      <c r="G36" s="1125"/>
      <c r="H36" s="847">
        <f t="shared" si="1"/>
        <v>2</v>
      </c>
      <c r="I36" s="953"/>
      <c r="J36" s="1185">
        <f t="shared" si="2"/>
        <v>2</v>
      </c>
      <c r="K36" s="953"/>
      <c r="L36" s="847">
        <f t="shared" si="3"/>
        <v>2</v>
      </c>
      <c r="M36" s="953"/>
      <c r="N36" s="1185">
        <f t="shared" si="4"/>
        <v>2</v>
      </c>
      <c r="O36" s="953"/>
      <c r="P36" s="847">
        <f t="shared" si="5"/>
        <v>0</v>
      </c>
      <c r="Q36" s="953"/>
      <c r="R36" s="953"/>
      <c r="S36" s="953"/>
      <c r="T36" s="847">
        <f t="shared" si="6"/>
        <v>0</v>
      </c>
      <c r="U36" s="953"/>
      <c r="V36" s="953"/>
      <c r="W36" s="953"/>
      <c r="X36" s="991"/>
    </row>
    <row r="37" spans="1:24" ht="15.75" customHeight="1">
      <c r="A37" s="1181">
        <v>20</v>
      </c>
      <c r="B37" s="1186" t="s">
        <v>3681</v>
      </c>
      <c r="C37" s="1183">
        <v>4</v>
      </c>
      <c r="D37" s="1180" t="s">
        <v>902</v>
      </c>
      <c r="E37" s="1125">
        <f>VLOOKUP(B37,'Conso Others'!B27:E325,4,0)</f>
        <v>16.64</v>
      </c>
      <c r="F37" s="1184">
        <f t="shared" si="0"/>
        <v>66.56</v>
      </c>
      <c r="G37" s="1125"/>
      <c r="H37" s="847">
        <f t="shared" si="1"/>
        <v>2</v>
      </c>
      <c r="I37" s="953"/>
      <c r="J37" s="1185">
        <f t="shared" si="2"/>
        <v>2</v>
      </c>
      <c r="K37" s="953"/>
      <c r="L37" s="847">
        <f t="shared" si="3"/>
        <v>2</v>
      </c>
      <c r="M37" s="953"/>
      <c r="N37" s="1185">
        <f t="shared" si="4"/>
        <v>2</v>
      </c>
      <c r="O37" s="953"/>
      <c r="P37" s="847">
        <f t="shared" si="5"/>
        <v>0</v>
      </c>
      <c r="Q37" s="953"/>
      <c r="R37" s="953"/>
      <c r="S37" s="953"/>
      <c r="T37" s="847">
        <f t="shared" si="6"/>
        <v>0</v>
      </c>
      <c r="U37" s="953"/>
      <c r="V37" s="953"/>
      <c r="W37" s="953"/>
      <c r="X37" s="991"/>
    </row>
    <row r="38" spans="1:24" ht="15.75" customHeight="1">
      <c r="A38" s="1181">
        <v>21</v>
      </c>
      <c r="B38" s="1186" t="s">
        <v>3683</v>
      </c>
      <c r="C38" s="1183">
        <v>4</v>
      </c>
      <c r="D38" s="1180" t="s">
        <v>3027</v>
      </c>
      <c r="E38" s="1125">
        <f>VLOOKUP(B38,'Conso Others'!B28:E326,4,0)</f>
        <v>33.369999999999997</v>
      </c>
      <c r="F38" s="1184">
        <f t="shared" si="0"/>
        <v>133.47999999999999</v>
      </c>
      <c r="G38" s="1125"/>
      <c r="H38" s="847">
        <f t="shared" si="1"/>
        <v>2</v>
      </c>
      <c r="I38" s="953"/>
      <c r="J38" s="1185">
        <f t="shared" si="2"/>
        <v>2</v>
      </c>
      <c r="K38" s="953"/>
      <c r="L38" s="847">
        <f t="shared" si="3"/>
        <v>2</v>
      </c>
      <c r="M38" s="953"/>
      <c r="N38" s="1185">
        <f t="shared" si="4"/>
        <v>2</v>
      </c>
      <c r="O38" s="953"/>
      <c r="P38" s="847">
        <f t="shared" si="5"/>
        <v>0</v>
      </c>
      <c r="Q38" s="953"/>
      <c r="R38" s="953"/>
      <c r="S38" s="953"/>
      <c r="T38" s="847">
        <f t="shared" si="6"/>
        <v>0</v>
      </c>
      <c r="U38" s="953"/>
      <c r="V38" s="953"/>
      <c r="W38" s="953"/>
      <c r="X38" s="991"/>
    </row>
    <row r="39" spans="1:24" ht="15.75" customHeight="1">
      <c r="A39" s="1181">
        <v>22</v>
      </c>
      <c r="B39" s="1186" t="s">
        <v>3695</v>
      </c>
      <c r="C39" s="1183">
        <v>2</v>
      </c>
      <c r="D39" s="1180" t="s">
        <v>638</v>
      </c>
      <c r="E39" s="1125">
        <f>VLOOKUP(B39,'Conso Others'!B30:E328,4,0)</f>
        <v>28.9</v>
      </c>
      <c r="F39" s="1184">
        <f t="shared" si="0"/>
        <v>57.8</v>
      </c>
      <c r="G39" s="1125"/>
      <c r="H39" s="847">
        <f t="shared" si="1"/>
        <v>1</v>
      </c>
      <c r="I39" s="953"/>
      <c r="J39" s="1185">
        <f t="shared" si="2"/>
        <v>1</v>
      </c>
      <c r="K39" s="953"/>
      <c r="L39" s="847">
        <f t="shared" si="3"/>
        <v>1</v>
      </c>
      <c r="M39" s="953"/>
      <c r="N39" s="1185">
        <f t="shared" si="4"/>
        <v>1</v>
      </c>
      <c r="O39" s="953"/>
      <c r="P39" s="847">
        <f t="shared" si="5"/>
        <v>0</v>
      </c>
      <c r="Q39" s="953"/>
      <c r="R39" s="953"/>
      <c r="S39" s="953"/>
      <c r="T39" s="847">
        <f t="shared" si="6"/>
        <v>0</v>
      </c>
      <c r="U39" s="953"/>
      <c r="V39" s="953"/>
      <c r="W39" s="953"/>
      <c r="X39" s="991"/>
    </row>
    <row r="40" spans="1:24" ht="15.75" customHeight="1">
      <c r="A40" s="1181">
        <v>23</v>
      </c>
      <c r="B40" s="1186" t="s">
        <v>3697</v>
      </c>
      <c r="C40" s="1183">
        <v>2</v>
      </c>
      <c r="D40" s="1180" t="s">
        <v>902</v>
      </c>
      <c r="E40" s="1125">
        <f>VLOOKUP(B40,'Conso Others'!B31:E329,4,0)</f>
        <v>39.92</v>
      </c>
      <c r="F40" s="1184">
        <f t="shared" si="0"/>
        <v>79.84</v>
      </c>
      <c r="G40" s="1125"/>
      <c r="H40" s="847">
        <f t="shared" si="1"/>
        <v>1</v>
      </c>
      <c r="I40" s="953"/>
      <c r="J40" s="1185">
        <f t="shared" si="2"/>
        <v>1</v>
      </c>
      <c r="K40" s="953"/>
      <c r="L40" s="847">
        <f t="shared" si="3"/>
        <v>1</v>
      </c>
      <c r="M40" s="953"/>
      <c r="N40" s="1185">
        <f t="shared" si="4"/>
        <v>1</v>
      </c>
      <c r="O40" s="953"/>
      <c r="P40" s="847">
        <f t="shared" si="5"/>
        <v>0</v>
      </c>
      <c r="Q40" s="953"/>
      <c r="R40" s="953"/>
      <c r="S40" s="953"/>
      <c r="T40" s="847">
        <f t="shared" si="6"/>
        <v>0</v>
      </c>
      <c r="U40" s="953"/>
      <c r="V40" s="953"/>
      <c r="W40" s="953"/>
      <c r="X40" s="991"/>
    </row>
    <row r="41" spans="1:24" ht="15.75" customHeight="1">
      <c r="A41" s="1181">
        <v>24</v>
      </c>
      <c r="B41" s="1186" t="s">
        <v>4232</v>
      </c>
      <c r="C41" s="1183">
        <v>2</v>
      </c>
      <c r="D41" s="1180" t="s">
        <v>189</v>
      </c>
      <c r="E41" s="1125">
        <f>VLOOKUP(B41,'Conso Others'!B32:E330,4,0)</f>
        <v>22.55</v>
      </c>
      <c r="F41" s="1184">
        <f t="shared" si="0"/>
        <v>45.1</v>
      </c>
      <c r="G41" s="1125"/>
      <c r="H41" s="847">
        <f t="shared" si="1"/>
        <v>1</v>
      </c>
      <c r="I41" s="953"/>
      <c r="J41" s="1185">
        <f t="shared" si="2"/>
        <v>1</v>
      </c>
      <c r="K41" s="953"/>
      <c r="L41" s="847">
        <f t="shared" si="3"/>
        <v>1</v>
      </c>
      <c r="M41" s="953"/>
      <c r="N41" s="1185">
        <f t="shared" si="4"/>
        <v>1</v>
      </c>
      <c r="O41" s="953"/>
      <c r="P41" s="847">
        <f t="shared" si="5"/>
        <v>0</v>
      </c>
      <c r="Q41" s="953"/>
      <c r="R41" s="953"/>
      <c r="S41" s="953"/>
      <c r="T41" s="847">
        <f t="shared" si="6"/>
        <v>0</v>
      </c>
      <c r="U41" s="953"/>
      <c r="V41" s="953"/>
      <c r="W41" s="953"/>
      <c r="X41" s="991"/>
    </row>
    <row r="42" spans="1:24" ht="15.75" customHeight="1">
      <c r="A42" s="1181">
        <v>25</v>
      </c>
      <c r="B42" s="1186" t="s">
        <v>3703</v>
      </c>
      <c r="C42" s="1183">
        <v>20</v>
      </c>
      <c r="D42" s="1180" t="s">
        <v>189</v>
      </c>
      <c r="E42" s="1125">
        <f>VLOOKUP(B42,'Conso Others'!B33:E331,4,0)</f>
        <v>23.76</v>
      </c>
      <c r="F42" s="1184">
        <f t="shared" si="0"/>
        <v>475.20000000000005</v>
      </c>
      <c r="G42" s="1125"/>
      <c r="H42" s="847">
        <f t="shared" si="1"/>
        <v>10</v>
      </c>
      <c r="I42" s="953"/>
      <c r="J42" s="1185">
        <f t="shared" si="2"/>
        <v>10</v>
      </c>
      <c r="K42" s="953"/>
      <c r="L42" s="847">
        <f t="shared" si="3"/>
        <v>10</v>
      </c>
      <c r="M42" s="953"/>
      <c r="N42" s="1185">
        <f t="shared" si="4"/>
        <v>10</v>
      </c>
      <c r="O42" s="953"/>
      <c r="P42" s="847">
        <f t="shared" si="5"/>
        <v>0</v>
      </c>
      <c r="Q42" s="953"/>
      <c r="R42" s="953"/>
      <c r="S42" s="953"/>
      <c r="T42" s="847">
        <f t="shared" si="6"/>
        <v>0</v>
      </c>
      <c r="U42" s="953"/>
      <c r="V42" s="953"/>
      <c r="W42" s="953"/>
      <c r="X42" s="991"/>
    </row>
    <row r="43" spans="1:24" ht="15.75" customHeight="1">
      <c r="A43" s="1181">
        <v>26</v>
      </c>
      <c r="B43" s="1186" t="s">
        <v>3705</v>
      </c>
      <c r="C43" s="1183">
        <v>2</v>
      </c>
      <c r="D43" s="1180" t="s">
        <v>466</v>
      </c>
      <c r="E43" s="1125">
        <f>VLOOKUP(B43,'Conso Others'!B34:E332,4,0)</f>
        <v>888.16</v>
      </c>
      <c r="F43" s="1184">
        <f t="shared" si="0"/>
        <v>1776.32</v>
      </c>
      <c r="G43" s="1125"/>
      <c r="H43" s="847">
        <f t="shared" si="1"/>
        <v>1</v>
      </c>
      <c r="I43" s="953"/>
      <c r="J43" s="1185">
        <f t="shared" si="2"/>
        <v>1</v>
      </c>
      <c r="K43" s="953"/>
      <c r="L43" s="847">
        <f t="shared" si="3"/>
        <v>1</v>
      </c>
      <c r="M43" s="953"/>
      <c r="N43" s="1185">
        <f t="shared" si="4"/>
        <v>1</v>
      </c>
      <c r="O43" s="953"/>
      <c r="P43" s="847">
        <f t="shared" si="5"/>
        <v>0</v>
      </c>
      <c r="Q43" s="953"/>
      <c r="R43" s="953"/>
      <c r="S43" s="953"/>
      <c r="T43" s="847">
        <f t="shared" si="6"/>
        <v>0</v>
      </c>
      <c r="U43" s="953"/>
      <c r="V43" s="953"/>
      <c r="W43" s="953"/>
      <c r="X43" s="991"/>
    </row>
    <row r="44" spans="1:24" ht="15.75" customHeight="1">
      <c r="A44" s="1181">
        <v>27</v>
      </c>
      <c r="B44" s="1186" t="s">
        <v>3707</v>
      </c>
      <c r="C44" s="1183">
        <v>2</v>
      </c>
      <c r="D44" s="1180" t="s">
        <v>902</v>
      </c>
      <c r="E44" s="1125">
        <f>VLOOKUP(B44,'Conso Others'!B35:E333,4,0)</f>
        <v>145.6</v>
      </c>
      <c r="F44" s="1184">
        <f t="shared" si="0"/>
        <v>291.2</v>
      </c>
      <c r="G44" s="1125"/>
      <c r="H44" s="847">
        <f t="shared" si="1"/>
        <v>1</v>
      </c>
      <c r="I44" s="953"/>
      <c r="J44" s="1185">
        <f t="shared" si="2"/>
        <v>1</v>
      </c>
      <c r="K44" s="953"/>
      <c r="L44" s="847">
        <f t="shared" si="3"/>
        <v>1</v>
      </c>
      <c r="M44" s="953"/>
      <c r="N44" s="1185">
        <f t="shared" si="4"/>
        <v>1</v>
      </c>
      <c r="O44" s="953"/>
      <c r="P44" s="847">
        <f t="shared" si="5"/>
        <v>0</v>
      </c>
      <c r="Q44" s="953"/>
      <c r="R44" s="953"/>
      <c r="S44" s="953"/>
      <c r="T44" s="847">
        <f t="shared" si="6"/>
        <v>0</v>
      </c>
      <c r="U44" s="953"/>
      <c r="V44" s="953"/>
      <c r="W44" s="953"/>
      <c r="X44" s="991"/>
    </row>
    <row r="45" spans="1:24" ht="15.75" customHeight="1">
      <c r="A45" s="1181">
        <v>28</v>
      </c>
      <c r="B45" s="1186" t="s">
        <v>4233</v>
      </c>
      <c r="C45" s="1183">
        <v>10</v>
      </c>
      <c r="D45" s="1180" t="s">
        <v>4229</v>
      </c>
      <c r="E45" s="1125">
        <f>VLOOKUP(B45,'Conso Others'!B36:E334,4,0)</f>
        <v>10</v>
      </c>
      <c r="F45" s="1184">
        <f t="shared" si="0"/>
        <v>100</v>
      </c>
      <c r="G45" s="1125"/>
      <c r="H45" s="847">
        <f t="shared" si="1"/>
        <v>5</v>
      </c>
      <c r="I45" s="953"/>
      <c r="J45" s="1185">
        <f t="shared" si="2"/>
        <v>5</v>
      </c>
      <c r="K45" s="953"/>
      <c r="L45" s="847">
        <f t="shared" si="3"/>
        <v>5</v>
      </c>
      <c r="M45" s="953"/>
      <c r="N45" s="1185">
        <f t="shared" si="4"/>
        <v>5</v>
      </c>
      <c r="O45" s="953"/>
      <c r="P45" s="847">
        <f t="shared" si="5"/>
        <v>0</v>
      </c>
      <c r="Q45" s="953"/>
      <c r="R45" s="953"/>
      <c r="S45" s="953"/>
      <c r="T45" s="847">
        <f t="shared" si="6"/>
        <v>0</v>
      </c>
      <c r="U45" s="953"/>
      <c r="V45" s="953"/>
      <c r="W45" s="953"/>
      <c r="X45" s="991"/>
    </row>
    <row r="46" spans="1:24" ht="15.75" customHeight="1">
      <c r="A46" s="1181">
        <v>29</v>
      </c>
      <c r="B46" s="1186" t="s">
        <v>3723</v>
      </c>
      <c r="C46" s="1183">
        <v>20</v>
      </c>
      <c r="D46" s="1180" t="s">
        <v>263</v>
      </c>
      <c r="E46" s="1125">
        <f>VLOOKUP(B46,'Conso Others'!B37:E335,4,0)</f>
        <v>11.18</v>
      </c>
      <c r="F46" s="1184">
        <f t="shared" si="0"/>
        <v>223.6</v>
      </c>
      <c r="G46" s="1125"/>
      <c r="H46" s="847">
        <f t="shared" si="1"/>
        <v>10</v>
      </c>
      <c r="I46" s="953"/>
      <c r="J46" s="1185">
        <f t="shared" si="2"/>
        <v>10</v>
      </c>
      <c r="K46" s="953"/>
      <c r="L46" s="847">
        <f t="shared" si="3"/>
        <v>10</v>
      </c>
      <c r="M46" s="953"/>
      <c r="N46" s="1185">
        <f t="shared" si="4"/>
        <v>10</v>
      </c>
      <c r="O46" s="953"/>
      <c r="P46" s="847">
        <f t="shared" si="5"/>
        <v>0</v>
      </c>
      <c r="Q46" s="953"/>
      <c r="R46" s="953"/>
      <c r="S46" s="953"/>
      <c r="T46" s="847">
        <f t="shared" si="6"/>
        <v>0</v>
      </c>
      <c r="U46" s="953"/>
      <c r="V46" s="953"/>
      <c r="W46" s="953"/>
      <c r="X46" s="991"/>
    </row>
    <row r="47" spans="1:24" ht="15.75" customHeight="1">
      <c r="A47" s="1181">
        <v>30</v>
      </c>
      <c r="B47" s="1186" t="s">
        <v>4234</v>
      </c>
      <c r="C47" s="1183">
        <v>2</v>
      </c>
      <c r="D47" s="1180" t="s">
        <v>466</v>
      </c>
      <c r="E47" s="1125">
        <f>VLOOKUP(B47,'Conso Others'!B38:E336,4,0)</f>
        <v>72.8</v>
      </c>
      <c r="F47" s="1184">
        <f t="shared" si="0"/>
        <v>145.6</v>
      </c>
      <c r="G47" s="1125"/>
      <c r="H47" s="847">
        <f t="shared" si="1"/>
        <v>1</v>
      </c>
      <c r="I47" s="953"/>
      <c r="J47" s="1185">
        <f t="shared" si="2"/>
        <v>1</v>
      </c>
      <c r="K47" s="953"/>
      <c r="L47" s="847">
        <f t="shared" si="3"/>
        <v>1</v>
      </c>
      <c r="M47" s="953"/>
      <c r="N47" s="1185">
        <f t="shared" si="4"/>
        <v>1</v>
      </c>
      <c r="O47" s="953"/>
      <c r="P47" s="847">
        <f t="shared" si="5"/>
        <v>0</v>
      </c>
      <c r="Q47" s="953"/>
      <c r="R47" s="953"/>
      <c r="S47" s="953"/>
      <c r="T47" s="847">
        <f t="shared" si="6"/>
        <v>0</v>
      </c>
      <c r="U47" s="953"/>
      <c r="V47" s="953"/>
      <c r="W47" s="953"/>
      <c r="X47" s="991"/>
    </row>
    <row r="48" spans="1:24" ht="15.75" customHeight="1">
      <c r="A48" s="1181">
        <v>31</v>
      </c>
      <c r="B48" s="1186" t="s">
        <v>3305</v>
      </c>
      <c r="C48" s="1183">
        <v>120</v>
      </c>
      <c r="D48" s="1180" t="s">
        <v>4235</v>
      </c>
      <c r="E48" s="1125">
        <f>VLOOKUP(B48,'Conso Others'!B39:E337,4,0)</f>
        <v>18.34</v>
      </c>
      <c r="F48" s="1184">
        <f t="shared" si="0"/>
        <v>2200.8000000000002</v>
      </c>
      <c r="G48" s="1125"/>
      <c r="H48" s="847">
        <f t="shared" si="1"/>
        <v>60</v>
      </c>
      <c r="I48" s="953"/>
      <c r="J48" s="1185">
        <f t="shared" si="2"/>
        <v>60</v>
      </c>
      <c r="K48" s="953"/>
      <c r="L48" s="847">
        <f t="shared" si="3"/>
        <v>60</v>
      </c>
      <c r="M48" s="953"/>
      <c r="N48" s="1185">
        <f t="shared" si="4"/>
        <v>60</v>
      </c>
      <c r="O48" s="953"/>
      <c r="P48" s="847">
        <f t="shared" si="5"/>
        <v>0</v>
      </c>
      <c r="Q48" s="953"/>
      <c r="R48" s="953"/>
      <c r="S48" s="953"/>
      <c r="T48" s="847">
        <f t="shared" si="6"/>
        <v>0</v>
      </c>
      <c r="U48" s="953"/>
      <c r="V48" s="953"/>
      <c r="W48" s="953"/>
      <c r="X48" s="991"/>
    </row>
    <row r="49" spans="1:24" ht="15.75" customHeight="1">
      <c r="A49" s="1181">
        <v>32</v>
      </c>
      <c r="B49" s="1186" t="s">
        <v>3308</v>
      </c>
      <c r="C49" s="1183">
        <v>120</v>
      </c>
      <c r="D49" s="1180" t="s">
        <v>4235</v>
      </c>
      <c r="E49" s="1125">
        <f>VLOOKUP(B49,'Conso Others'!B40:E338,4,0)</f>
        <v>20.49</v>
      </c>
      <c r="F49" s="1184">
        <f t="shared" si="0"/>
        <v>2458.7999999999997</v>
      </c>
      <c r="G49" s="1125"/>
      <c r="H49" s="847">
        <f t="shared" si="1"/>
        <v>60</v>
      </c>
      <c r="I49" s="953"/>
      <c r="J49" s="1185">
        <f t="shared" si="2"/>
        <v>60</v>
      </c>
      <c r="K49" s="953"/>
      <c r="L49" s="847">
        <f t="shared" si="3"/>
        <v>60</v>
      </c>
      <c r="M49" s="953"/>
      <c r="N49" s="1185">
        <f t="shared" si="4"/>
        <v>60</v>
      </c>
      <c r="O49" s="953"/>
      <c r="P49" s="847">
        <f t="shared" si="5"/>
        <v>0</v>
      </c>
      <c r="Q49" s="953"/>
      <c r="R49" s="953"/>
      <c r="S49" s="953"/>
      <c r="T49" s="847">
        <f t="shared" si="6"/>
        <v>0</v>
      </c>
      <c r="U49" s="953"/>
      <c r="V49" s="953"/>
      <c r="W49" s="953"/>
      <c r="X49" s="991"/>
    </row>
    <row r="50" spans="1:24" ht="15.75" customHeight="1">
      <c r="A50" s="1181">
        <v>33</v>
      </c>
      <c r="B50" s="1186" t="s">
        <v>3369</v>
      </c>
      <c r="C50" s="1183">
        <v>10</v>
      </c>
      <c r="D50" s="1180" t="s">
        <v>2993</v>
      </c>
      <c r="E50" s="1125">
        <f>VLOOKUP(B50,'Conso Others'!B41:E339,4,0)</f>
        <v>11.53</v>
      </c>
      <c r="F50" s="1184">
        <f t="shared" si="0"/>
        <v>115.3</v>
      </c>
      <c r="G50" s="1125"/>
      <c r="H50" s="847">
        <f t="shared" si="1"/>
        <v>5</v>
      </c>
      <c r="I50" s="953"/>
      <c r="J50" s="1185">
        <f t="shared" si="2"/>
        <v>5</v>
      </c>
      <c r="K50" s="953"/>
      <c r="L50" s="847">
        <f t="shared" si="3"/>
        <v>5</v>
      </c>
      <c r="M50" s="953"/>
      <c r="N50" s="1185">
        <f t="shared" si="4"/>
        <v>5</v>
      </c>
      <c r="O50" s="953"/>
      <c r="P50" s="847">
        <f t="shared" si="5"/>
        <v>0</v>
      </c>
      <c r="Q50" s="953"/>
      <c r="R50" s="953"/>
      <c r="S50" s="953"/>
      <c r="T50" s="847">
        <f t="shared" si="6"/>
        <v>0</v>
      </c>
      <c r="U50" s="953"/>
      <c r="V50" s="953"/>
      <c r="W50" s="953"/>
      <c r="X50" s="991"/>
    </row>
    <row r="51" spans="1:24" ht="15.75" customHeight="1">
      <c r="A51" s="1181">
        <v>34</v>
      </c>
      <c r="B51" s="1186" t="s">
        <v>3717</v>
      </c>
      <c r="C51" s="1183">
        <v>30</v>
      </c>
      <c r="D51" s="1180" t="s">
        <v>3295</v>
      </c>
      <c r="E51" s="1125">
        <f>VLOOKUP(B51,'Conso Others'!B43:E341,4,0)</f>
        <v>61.88</v>
      </c>
      <c r="F51" s="1184">
        <f t="shared" si="0"/>
        <v>1856.4</v>
      </c>
      <c r="G51" s="1125"/>
      <c r="H51" s="847">
        <f t="shared" si="1"/>
        <v>15</v>
      </c>
      <c r="I51" s="953"/>
      <c r="J51" s="1185">
        <f t="shared" si="2"/>
        <v>15</v>
      </c>
      <c r="K51" s="953"/>
      <c r="L51" s="847">
        <f t="shared" si="3"/>
        <v>15</v>
      </c>
      <c r="M51" s="953"/>
      <c r="N51" s="1185">
        <f t="shared" si="4"/>
        <v>15</v>
      </c>
      <c r="O51" s="953"/>
      <c r="P51" s="847">
        <f t="shared" si="5"/>
        <v>0</v>
      </c>
      <c r="Q51" s="953"/>
      <c r="R51" s="953"/>
      <c r="S51" s="953"/>
      <c r="T51" s="847">
        <f t="shared" si="6"/>
        <v>0</v>
      </c>
      <c r="U51" s="953"/>
      <c r="V51" s="953"/>
      <c r="W51" s="953"/>
      <c r="X51" s="991"/>
    </row>
    <row r="52" spans="1:24" ht="15.75" customHeight="1">
      <c r="A52" s="1181">
        <v>35</v>
      </c>
      <c r="B52" s="1186" t="s">
        <v>3721</v>
      </c>
      <c r="C52" s="1183">
        <v>10</v>
      </c>
      <c r="D52" s="1180" t="s">
        <v>3295</v>
      </c>
      <c r="E52" s="1125">
        <f>VLOOKUP(B52,'Conso Others'!B44:E342,4,0)</f>
        <v>22.36</v>
      </c>
      <c r="F52" s="1184">
        <f t="shared" si="0"/>
        <v>223.6</v>
      </c>
      <c r="G52" s="1125"/>
      <c r="H52" s="847">
        <f t="shared" si="1"/>
        <v>5</v>
      </c>
      <c r="I52" s="953"/>
      <c r="J52" s="1185">
        <f t="shared" si="2"/>
        <v>5</v>
      </c>
      <c r="K52" s="953"/>
      <c r="L52" s="847">
        <f t="shared" si="3"/>
        <v>5</v>
      </c>
      <c r="M52" s="953"/>
      <c r="N52" s="1185">
        <f t="shared" si="4"/>
        <v>5</v>
      </c>
      <c r="O52" s="953"/>
      <c r="P52" s="847">
        <f t="shared" si="5"/>
        <v>0</v>
      </c>
      <c r="Q52" s="953"/>
      <c r="R52" s="953"/>
      <c r="S52" s="953"/>
      <c r="T52" s="847">
        <f t="shared" si="6"/>
        <v>0</v>
      </c>
      <c r="U52" s="953"/>
      <c r="V52" s="953"/>
      <c r="W52" s="953"/>
      <c r="X52" s="991"/>
    </row>
    <row r="53" spans="1:24" ht="15.75" customHeight="1">
      <c r="A53" s="1181">
        <v>36</v>
      </c>
      <c r="B53" s="1186" t="s">
        <v>4236</v>
      </c>
      <c r="C53" s="1183">
        <v>20</v>
      </c>
      <c r="D53" s="1180" t="s">
        <v>3295</v>
      </c>
      <c r="E53" s="1125">
        <v>121.16</v>
      </c>
      <c r="F53" s="1184">
        <f t="shared" si="0"/>
        <v>2423.1999999999998</v>
      </c>
      <c r="G53" s="1125"/>
      <c r="H53" s="847">
        <f t="shared" si="1"/>
        <v>10</v>
      </c>
      <c r="I53" s="953"/>
      <c r="J53" s="1185">
        <f t="shared" si="2"/>
        <v>10</v>
      </c>
      <c r="K53" s="953"/>
      <c r="L53" s="847">
        <f t="shared" si="3"/>
        <v>10</v>
      </c>
      <c r="M53" s="953"/>
      <c r="N53" s="1185">
        <f t="shared" si="4"/>
        <v>10</v>
      </c>
      <c r="O53" s="953"/>
      <c r="P53" s="847">
        <f t="shared" si="5"/>
        <v>0</v>
      </c>
      <c r="Q53" s="953"/>
      <c r="R53" s="953"/>
      <c r="S53" s="953"/>
      <c r="T53" s="847">
        <f t="shared" si="6"/>
        <v>0</v>
      </c>
      <c r="U53" s="953"/>
      <c r="V53" s="953"/>
      <c r="W53" s="953"/>
      <c r="X53" s="991"/>
    </row>
    <row r="54" spans="1:24" ht="15.75" customHeight="1">
      <c r="A54" s="1181">
        <v>37</v>
      </c>
      <c r="B54" s="1186" t="s">
        <v>4237</v>
      </c>
      <c r="C54" s="1183">
        <v>20</v>
      </c>
      <c r="D54" s="1180" t="s">
        <v>4238</v>
      </c>
      <c r="E54" s="1125">
        <f>VLOOKUP(B54,'Conso Others'!B46:E344,4,0)</f>
        <v>300</v>
      </c>
      <c r="F54" s="1184">
        <f t="shared" si="0"/>
        <v>6000</v>
      </c>
      <c r="G54" s="1125"/>
      <c r="H54" s="847">
        <f t="shared" si="1"/>
        <v>10</v>
      </c>
      <c r="I54" s="953"/>
      <c r="J54" s="1185">
        <f t="shared" si="2"/>
        <v>10</v>
      </c>
      <c r="K54" s="953"/>
      <c r="L54" s="847">
        <f t="shared" si="3"/>
        <v>10</v>
      </c>
      <c r="M54" s="953"/>
      <c r="N54" s="1185">
        <f t="shared" si="4"/>
        <v>10</v>
      </c>
      <c r="O54" s="953"/>
      <c r="P54" s="847">
        <f t="shared" si="5"/>
        <v>0</v>
      </c>
      <c r="Q54" s="953"/>
      <c r="R54" s="953"/>
      <c r="S54" s="953"/>
      <c r="T54" s="847">
        <f t="shared" si="6"/>
        <v>0</v>
      </c>
      <c r="U54" s="953"/>
      <c r="V54" s="953"/>
      <c r="W54" s="953"/>
      <c r="X54" s="991"/>
    </row>
    <row r="55" spans="1:24" ht="15.75" customHeight="1">
      <c r="A55" s="1181">
        <v>38</v>
      </c>
      <c r="B55" s="1186" t="s">
        <v>3604</v>
      </c>
      <c r="C55" s="1183">
        <v>4</v>
      </c>
      <c r="D55" s="1180" t="s">
        <v>103</v>
      </c>
      <c r="E55" s="1125">
        <f>VLOOKUP(B55,'Conso Others'!B47:E345,4,0)</f>
        <v>344.92</v>
      </c>
      <c r="F55" s="1184">
        <f t="shared" si="0"/>
        <v>1379.68</v>
      </c>
      <c r="G55" s="1125"/>
      <c r="H55" s="847">
        <f t="shared" si="1"/>
        <v>2</v>
      </c>
      <c r="I55" s="953"/>
      <c r="J55" s="1185">
        <f t="shared" si="2"/>
        <v>2</v>
      </c>
      <c r="K55" s="953"/>
      <c r="L55" s="847">
        <f t="shared" si="3"/>
        <v>2</v>
      </c>
      <c r="M55" s="953"/>
      <c r="N55" s="1185">
        <f t="shared" si="4"/>
        <v>2</v>
      </c>
      <c r="O55" s="953"/>
      <c r="P55" s="847">
        <f t="shared" si="5"/>
        <v>0</v>
      </c>
      <c r="Q55" s="953"/>
      <c r="R55" s="953"/>
      <c r="S55" s="953"/>
      <c r="T55" s="847">
        <f t="shared" si="6"/>
        <v>0</v>
      </c>
      <c r="U55" s="953"/>
      <c r="V55" s="953"/>
      <c r="W55" s="953"/>
      <c r="X55" s="991"/>
    </row>
    <row r="56" spans="1:24" ht="15.75" customHeight="1">
      <c r="A56" s="1181">
        <v>39</v>
      </c>
      <c r="B56" s="1186" t="s">
        <v>4239</v>
      </c>
      <c r="C56" s="1183">
        <v>10</v>
      </c>
      <c r="D56" s="1180" t="s">
        <v>103</v>
      </c>
      <c r="E56" s="1125">
        <f>VLOOKUP(B56,'Conso Others'!B48:E346,4,0)</f>
        <v>32.450000000000003</v>
      </c>
      <c r="F56" s="1184">
        <f t="shared" si="0"/>
        <v>324.5</v>
      </c>
      <c r="G56" s="1125"/>
      <c r="H56" s="847">
        <f t="shared" si="1"/>
        <v>5</v>
      </c>
      <c r="I56" s="953"/>
      <c r="J56" s="1185">
        <f t="shared" si="2"/>
        <v>5</v>
      </c>
      <c r="K56" s="953"/>
      <c r="L56" s="847">
        <f t="shared" si="3"/>
        <v>5</v>
      </c>
      <c r="M56" s="953"/>
      <c r="N56" s="1185">
        <f t="shared" si="4"/>
        <v>5</v>
      </c>
      <c r="O56" s="953"/>
      <c r="P56" s="847">
        <f t="shared" si="5"/>
        <v>0</v>
      </c>
      <c r="Q56" s="953"/>
      <c r="R56" s="953"/>
      <c r="S56" s="953"/>
      <c r="T56" s="847">
        <f t="shared" si="6"/>
        <v>0</v>
      </c>
      <c r="U56" s="953"/>
      <c r="V56" s="953"/>
      <c r="W56" s="953"/>
      <c r="X56" s="991"/>
    </row>
    <row r="57" spans="1:24" ht="15.75" customHeight="1">
      <c r="A57" s="1181">
        <v>40</v>
      </c>
      <c r="B57" s="1186" t="s">
        <v>4240</v>
      </c>
      <c r="C57" s="1183">
        <v>20</v>
      </c>
      <c r="D57" s="1180" t="s">
        <v>103</v>
      </c>
      <c r="E57" s="1125">
        <f>VLOOKUP(B57,'Conso Others'!B49:E347,4,0)</f>
        <v>65</v>
      </c>
      <c r="F57" s="1184">
        <f t="shared" si="0"/>
        <v>1300</v>
      </c>
      <c r="G57" s="1125"/>
      <c r="H57" s="847">
        <f t="shared" si="1"/>
        <v>10</v>
      </c>
      <c r="I57" s="953"/>
      <c r="J57" s="1185">
        <f t="shared" si="2"/>
        <v>10</v>
      </c>
      <c r="K57" s="953"/>
      <c r="L57" s="847">
        <f t="shared" si="3"/>
        <v>10</v>
      </c>
      <c r="M57" s="953"/>
      <c r="N57" s="1185">
        <f t="shared" si="4"/>
        <v>10</v>
      </c>
      <c r="O57" s="953"/>
      <c r="P57" s="847">
        <f t="shared" si="5"/>
        <v>0</v>
      </c>
      <c r="Q57" s="953"/>
      <c r="R57" s="953"/>
      <c r="S57" s="953"/>
      <c r="T57" s="847">
        <f t="shared" si="6"/>
        <v>0</v>
      </c>
      <c r="U57" s="953"/>
      <c r="V57" s="953"/>
      <c r="W57" s="953"/>
      <c r="X57" s="991"/>
    </row>
    <row r="58" spans="1:24" ht="15.75" customHeight="1">
      <c r="A58" s="1181">
        <v>41</v>
      </c>
      <c r="B58" s="1186" t="s">
        <v>3725</v>
      </c>
      <c r="C58" s="1183">
        <v>10</v>
      </c>
      <c r="D58" s="1180" t="s">
        <v>263</v>
      </c>
      <c r="E58" s="1125">
        <v>22.57</v>
      </c>
      <c r="F58" s="1184">
        <f t="shared" si="0"/>
        <v>225.7</v>
      </c>
      <c r="G58" s="1125"/>
      <c r="H58" s="847">
        <f t="shared" si="1"/>
        <v>5</v>
      </c>
      <c r="I58" s="953"/>
      <c r="J58" s="1185">
        <f t="shared" si="2"/>
        <v>5</v>
      </c>
      <c r="K58" s="953"/>
      <c r="L58" s="847">
        <f t="shared" si="3"/>
        <v>5</v>
      </c>
      <c r="M58" s="953"/>
      <c r="N58" s="1185">
        <f t="shared" si="4"/>
        <v>5</v>
      </c>
      <c r="O58" s="953"/>
      <c r="P58" s="847">
        <f t="shared" si="5"/>
        <v>0</v>
      </c>
      <c r="Q58" s="953"/>
      <c r="R58" s="953"/>
      <c r="S58" s="953"/>
      <c r="T58" s="847">
        <f t="shared" si="6"/>
        <v>0</v>
      </c>
      <c r="U58" s="953"/>
      <c r="V58" s="953"/>
      <c r="W58" s="953"/>
      <c r="X58" s="991"/>
    </row>
    <row r="59" spans="1:24" ht="15.75" customHeight="1">
      <c r="A59" s="1181"/>
      <c r="B59" s="1125" t="s">
        <v>343</v>
      </c>
      <c r="C59" s="1125"/>
      <c r="D59" s="1125"/>
      <c r="E59" s="1125"/>
      <c r="F59" s="1184">
        <f>SUM(F17:F58)</f>
        <v>37701.919999999991</v>
      </c>
      <c r="G59" s="1125"/>
      <c r="H59" s="847"/>
      <c r="I59" s="953"/>
      <c r="J59" s="953"/>
      <c r="K59" s="953"/>
      <c r="L59" s="953"/>
      <c r="M59" s="953"/>
      <c r="N59" s="953"/>
      <c r="O59" s="953"/>
      <c r="P59" s="953"/>
      <c r="Q59" s="953"/>
      <c r="R59" s="953"/>
      <c r="S59" s="953"/>
      <c r="T59" s="953"/>
      <c r="U59" s="953"/>
      <c r="V59" s="953"/>
      <c r="W59" s="953"/>
      <c r="X59" s="991"/>
    </row>
    <row r="60" spans="1:24" ht="15.75" customHeight="1">
      <c r="A60" s="1046"/>
      <c r="B60" s="1178"/>
      <c r="C60" s="1178"/>
      <c r="D60" s="1178"/>
      <c r="E60" s="1178"/>
      <c r="F60" s="1178"/>
      <c r="G60" s="1178"/>
      <c r="H60" s="991"/>
      <c r="I60" s="991"/>
      <c r="J60" s="991"/>
      <c r="K60" s="991"/>
      <c r="L60" s="991"/>
      <c r="M60" s="991"/>
      <c r="N60" s="991"/>
      <c r="O60" s="991"/>
      <c r="P60" s="991"/>
      <c r="Q60" s="991"/>
      <c r="R60" s="991"/>
      <c r="S60" s="991"/>
      <c r="T60" s="991"/>
      <c r="U60" s="991"/>
      <c r="V60" s="991"/>
      <c r="W60" s="991"/>
      <c r="X60" s="991"/>
    </row>
    <row r="61" spans="1:24" ht="15">
      <c r="A61" s="1046"/>
      <c r="B61" s="1178" t="s">
        <v>345</v>
      </c>
      <c r="C61" s="1178"/>
      <c r="D61" s="1178"/>
      <c r="E61" s="1178"/>
      <c r="F61" s="1187">
        <f>SUM(F17:F58)</f>
        <v>37701.919999999991</v>
      </c>
      <c r="G61" s="1178"/>
      <c r="H61" s="991"/>
      <c r="I61" s="991"/>
      <c r="J61" s="991"/>
      <c r="K61" s="991"/>
      <c r="L61" s="991"/>
      <c r="M61" s="991"/>
      <c r="N61" s="991"/>
      <c r="O61" s="991"/>
      <c r="P61" s="991"/>
      <c r="Q61" s="991"/>
      <c r="R61" s="991"/>
      <c r="S61" s="991"/>
      <c r="T61" s="991"/>
      <c r="U61" s="991"/>
      <c r="V61" s="991"/>
      <c r="W61" s="991"/>
      <c r="X61" s="991"/>
    </row>
    <row r="62" spans="1:24" ht="15">
      <c r="A62" s="1046"/>
      <c r="B62" s="1178"/>
      <c r="C62" s="1178"/>
      <c r="D62" s="1178"/>
      <c r="E62" s="1178"/>
      <c r="F62" s="1178"/>
      <c r="G62" s="1178"/>
      <c r="H62" s="991"/>
      <c r="I62" s="991"/>
      <c r="J62" s="991"/>
      <c r="K62" s="991"/>
      <c r="L62" s="991"/>
      <c r="M62" s="991"/>
      <c r="N62" s="991"/>
      <c r="O62" s="991"/>
      <c r="P62" s="991"/>
      <c r="Q62" s="991"/>
      <c r="R62" s="991"/>
      <c r="S62" s="991"/>
      <c r="T62" s="991"/>
      <c r="U62" s="991"/>
      <c r="V62" s="991"/>
      <c r="W62" s="991"/>
      <c r="X62" s="991"/>
    </row>
    <row r="63" spans="1:24" ht="15">
      <c r="A63" s="1046"/>
      <c r="B63" s="1178"/>
      <c r="C63" s="1178"/>
      <c r="D63" s="1178"/>
      <c r="E63" s="1178"/>
      <c r="F63" s="1178"/>
      <c r="G63" s="1178"/>
      <c r="H63" s="991"/>
      <c r="I63" s="991"/>
      <c r="J63" s="991"/>
      <c r="K63" s="991"/>
      <c r="L63" s="991"/>
      <c r="M63" s="991"/>
      <c r="N63" s="991"/>
      <c r="O63" s="991"/>
      <c r="P63" s="991"/>
      <c r="Q63" s="991"/>
      <c r="R63" s="991"/>
      <c r="S63" s="991"/>
      <c r="T63" s="991"/>
      <c r="U63" s="991"/>
      <c r="V63" s="991"/>
      <c r="W63" s="991"/>
      <c r="X63" s="991"/>
    </row>
    <row r="64" spans="1:24" ht="15">
      <c r="A64" s="1564" t="s">
        <v>346</v>
      </c>
      <c r="B64" s="1451"/>
      <c r="C64" s="1178"/>
      <c r="D64" s="1178"/>
      <c r="E64" s="1178"/>
      <c r="F64" s="1566" t="s">
        <v>347</v>
      </c>
      <c r="G64" s="1451"/>
      <c r="H64" s="991"/>
      <c r="I64" s="991"/>
      <c r="J64" s="991"/>
      <c r="K64" s="991"/>
      <c r="L64" s="991"/>
      <c r="M64" s="991"/>
      <c r="N64" s="991"/>
      <c r="O64" s="1495" t="s">
        <v>348</v>
      </c>
      <c r="P64" s="1451"/>
      <c r="Q64" s="991"/>
      <c r="R64" s="991"/>
      <c r="S64" s="991"/>
      <c r="T64" s="991"/>
      <c r="U64" s="991"/>
      <c r="V64" s="991"/>
      <c r="W64" s="991"/>
      <c r="X64" s="991"/>
    </row>
    <row r="65" spans="1:24" ht="15">
      <c r="A65" s="1046"/>
      <c r="B65" s="1178"/>
      <c r="C65" s="1178"/>
      <c r="D65" s="1178"/>
      <c r="E65" s="1178"/>
      <c r="F65" s="1178"/>
      <c r="G65" s="1178"/>
      <c r="H65" s="991"/>
      <c r="I65" s="991"/>
      <c r="J65" s="991"/>
      <c r="K65" s="991"/>
      <c r="L65" s="991"/>
      <c r="M65" s="991"/>
      <c r="N65" s="991"/>
      <c r="O65" s="991"/>
      <c r="P65" s="991"/>
      <c r="Q65" s="991"/>
      <c r="R65" s="991"/>
      <c r="S65" s="991"/>
      <c r="T65" s="991"/>
      <c r="U65" s="991"/>
      <c r="V65" s="991"/>
      <c r="W65" s="991"/>
      <c r="X65" s="991"/>
    </row>
    <row r="66" spans="1:24" ht="15">
      <c r="A66" s="1046"/>
      <c r="B66" s="1178"/>
      <c r="C66" s="1178"/>
      <c r="D66" s="1178"/>
      <c r="E66" s="1178"/>
      <c r="F66" s="1178"/>
      <c r="G66" s="1178"/>
      <c r="H66" s="991"/>
      <c r="I66" s="991"/>
      <c r="J66" s="991"/>
      <c r="K66" s="991"/>
      <c r="L66" s="991"/>
      <c r="M66" s="991"/>
      <c r="N66" s="991"/>
      <c r="O66" s="991"/>
      <c r="P66" s="991"/>
      <c r="Q66" s="991"/>
      <c r="R66" s="991"/>
      <c r="S66" s="991"/>
      <c r="T66" s="991"/>
      <c r="U66" s="991"/>
      <c r="V66" s="991"/>
      <c r="W66" s="991"/>
      <c r="X66" s="991"/>
    </row>
    <row r="67" spans="1:24">
      <c r="A67" s="1570" t="s">
        <v>4241</v>
      </c>
      <c r="B67" s="1451"/>
      <c r="C67" s="1178"/>
      <c r="D67" s="1178"/>
      <c r="E67" s="1178"/>
      <c r="F67" s="1188" t="s">
        <v>4242</v>
      </c>
      <c r="G67" s="1188"/>
      <c r="H67" s="991"/>
      <c r="I67" s="991"/>
      <c r="J67" s="991"/>
      <c r="K67" s="991"/>
      <c r="L67" s="991"/>
      <c r="M67" s="991"/>
      <c r="N67" s="991"/>
      <c r="O67" s="1499" t="s">
        <v>350</v>
      </c>
      <c r="P67" s="1451"/>
      <c r="Q67" s="1451"/>
      <c r="R67" s="1451"/>
      <c r="S67" s="1451"/>
      <c r="T67" s="991"/>
      <c r="U67" s="991"/>
      <c r="V67" s="991"/>
      <c r="W67" s="991"/>
      <c r="X67" s="991"/>
    </row>
    <row r="68" spans="1:24" ht="15">
      <c r="A68" s="1564" t="s">
        <v>4243</v>
      </c>
      <c r="B68" s="1451"/>
      <c r="C68" s="1178"/>
      <c r="D68" s="1178"/>
      <c r="E68" s="1178"/>
      <c r="F68" s="991" t="s">
        <v>4244</v>
      </c>
      <c r="G68" s="1178"/>
      <c r="H68" s="991"/>
      <c r="I68" s="991"/>
      <c r="J68" s="991"/>
      <c r="K68" s="991"/>
      <c r="L68" s="991"/>
      <c r="M68" s="991"/>
      <c r="N68" s="991"/>
      <c r="O68" s="1495" t="s">
        <v>353</v>
      </c>
      <c r="P68" s="1451"/>
      <c r="Q68" s="1451"/>
      <c r="R68" s="1451"/>
      <c r="S68" s="991"/>
      <c r="T68" s="991"/>
      <c r="U68" s="991"/>
      <c r="V68" s="991"/>
      <c r="W68" s="991"/>
      <c r="X68" s="991"/>
    </row>
    <row r="69" spans="1:24" ht="14.25">
      <c r="A69" s="1189"/>
      <c r="B69" s="1179"/>
      <c r="C69" s="1179"/>
      <c r="D69" s="1179"/>
      <c r="E69" s="1179"/>
      <c r="F69" s="1179"/>
      <c r="G69" s="1179"/>
    </row>
    <row r="70" spans="1:24" ht="14.25">
      <c r="A70" s="1189"/>
      <c r="B70" s="1179"/>
      <c r="C70" s="1179"/>
      <c r="D70" s="1179"/>
      <c r="E70" s="1179"/>
      <c r="F70" s="1179"/>
      <c r="G70" s="1179"/>
    </row>
    <row r="71" spans="1:24" ht="14.25">
      <c r="A71" s="1189"/>
      <c r="B71" s="1179"/>
      <c r="C71" s="1179"/>
      <c r="D71" s="1179"/>
      <c r="E71" s="1179"/>
      <c r="F71" s="1179"/>
      <c r="G71" s="1179"/>
    </row>
    <row r="72" spans="1:24" ht="14.25">
      <c r="A72" s="1189"/>
      <c r="B72" s="1179"/>
      <c r="C72" s="1179"/>
      <c r="D72" s="1179"/>
      <c r="E72" s="1179"/>
      <c r="F72" s="1179"/>
      <c r="G72" s="1179"/>
    </row>
    <row r="73" spans="1:24" ht="14.25">
      <c r="A73" s="1189"/>
      <c r="B73" s="1179"/>
      <c r="C73" s="1179"/>
      <c r="D73" s="1179"/>
      <c r="E73" s="1179"/>
      <c r="F73" s="1179"/>
      <c r="G73" s="1179"/>
    </row>
    <row r="74" spans="1:24" ht="14.25">
      <c r="A74" s="1189"/>
      <c r="B74" s="1179"/>
      <c r="C74" s="1179"/>
      <c r="D74" s="1179"/>
      <c r="E74" s="1179"/>
      <c r="F74" s="1179"/>
      <c r="G74" s="1179"/>
    </row>
    <row r="75" spans="1:24" ht="14.25">
      <c r="A75" s="1189"/>
      <c r="B75" s="1179"/>
      <c r="C75" s="1179"/>
      <c r="D75" s="1179"/>
      <c r="E75" s="1179"/>
      <c r="F75" s="1179"/>
      <c r="G75" s="1179"/>
    </row>
    <row r="76" spans="1:24" ht="14.25">
      <c r="A76" s="1189"/>
      <c r="B76" s="1179"/>
      <c r="C76" s="1179"/>
      <c r="D76" s="1179"/>
      <c r="E76" s="1179"/>
      <c r="F76" s="1179"/>
      <c r="G76" s="1179"/>
    </row>
    <row r="77" spans="1:24" ht="14.25">
      <c r="A77" s="1189"/>
      <c r="B77" s="1179"/>
      <c r="C77" s="1179"/>
      <c r="D77" s="1179"/>
      <c r="E77" s="1179"/>
      <c r="F77" s="1179"/>
      <c r="G77" s="1179"/>
    </row>
    <row r="78" spans="1:24" ht="14.25">
      <c r="A78" s="1189"/>
      <c r="B78" s="1179"/>
      <c r="C78" s="1179"/>
      <c r="D78" s="1179"/>
      <c r="E78" s="1179"/>
      <c r="F78" s="1179"/>
      <c r="G78" s="1179"/>
    </row>
    <row r="79" spans="1:24" ht="14.25">
      <c r="A79" s="1189"/>
      <c r="B79" s="1179"/>
      <c r="C79" s="1179"/>
      <c r="D79" s="1179"/>
      <c r="E79" s="1179"/>
      <c r="F79" s="1179"/>
      <c r="G79" s="1179"/>
    </row>
    <row r="80" spans="1:24" ht="14.25">
      <c r="A80" s="1189"/>
      <c r="B80" s="1179"/>
      <c r="C80" s="1179"/>
      <c r="D80" s="1179"/>
      <c r="E80" s="1179"/>
      <c r="F80" s="1179"/>
      <c r="G80" s="1179"/>
    </row>
    <row r="81" spans="1:7" ht="14.25">
      <c r="A81" s="1189"/>
      <c r="B81" s="1179"/>
      <c r="C81" s="1179"/>
      <c r="D81" s="1179"/>
      <c r="E81" s="1179"/>
      <c r="F81" s="1179"/>
      <c r="G81" s="1179"/>
    </row>
    <row r="82" spans="1:7" ht="14.25">
      <c r="A82" s="1189"/>
      <c r="B82" s="1179"/>
      <c r="C82" s="1179"/>
      <c r="D82" s="1179"/>
      <c r="E82" s="1179"/>
      <c r="F82" s="1179"/>
      <c r="G82" s="1179"/>
    </row>
    <row r="83" spans="1:7" ht="14.25">
      <c r="A83" s="1189"/>
      <c r="B83" s="1179"/>
      <c r="C83" s="1179"/>
      <c r="D83" s="1179"/>
      <c r="E83" s="1179"/>
      <c r="F83" s="1179"/>
      <c r="G83" s="1179"/>
    </row>
    <row r="84" spans="1:7" ht="14.25">
      <c r="A84" s="1189"/>
      <c r="B84" s="1179"/>
      <c r="C84" s="1179"/>
      <c r="D84" s="1179"/>
      <c r="E84" s="1179"/>
      <c r="F84" s="1179"/>
      <c r="G84" s="1179"/>
    </row>
    <row r="85" spans="1:7" ht="14.25">
      <c r="A85" s="1189"/>
      <c r="B85" s="1179"/>
      <c r="C85" s="1179"/>
      <c r="D85" s="1179"/>
      <c r="E85" s="1179"/>
      <c r="F85" s="1179"/>
      <c r="G85" s="1179"/>
    </row>
    <row r="86" spans="1:7" ht="14.25">
      <c r="A86" s="1189"/>
      <c r="B86" s="1179"/>
      <c r="C86" s="1179"/>
      <c r="D86" s="1179"/>
      <c r="E86" s="1179"/>
      <c r="F86" s="1179"/>
      <c r="G86" s="1179"/>
    </row>
    <row r="87" spans="1:7" ht="14.25">
      <c r="A87" s="1189"/>
      <c r="B87" s="1179"/>
      <c r="C87" s="1179"/>
      <c r="D87" s="1179"/>
      <c r="E87" s="1179"/>
      <c r="F87" s="1179"/>
      <c r="G87" s="1179"/>
    </row>
    <row r="88" spans="1:7" ht="14.25">
      <c r="A88" s="1189"/>
      <c r="B88" s="1179"/>
      <c r="C88" s="1179"/>
      <c r="D88" s="1179"/>
      <c r="E88" s="1179"/>
      <c r="F88" s="1179"/>
      <c r="G88" s="1179"/>
    </row>
    <row r="89" spans="1:7" ht="14.25">
      <c r="A89" s="1189"/>
      <c r="B89" s="1179"/>
      <c r="C89" s="1179"/>
      <c r="D89" s="1179"/>
      <c r="E89" s="1179"/>
      <c r="F89" s="1179"/>
      <c r="G89" s="1179"/>
    </row>
    <row r="90" spans="1:7" ht="14.25">
      <c r="A90" s="1189"/>
      <c r="B90" s="1179"/>
      <c r="C90" s="1179"/>
      <c r="D90" s="1179"/>
      <c r="E90" s="1179"/>
      <c r="F90" s="1179"/>
      <c r="G90" s="1179"/>
    </row>
    <row r="91" spans="1:7" ht="14.25">
      <c r="A91" s="1189"/>
      <c r="B91" s="1179"/>
      <c r="C91" s="1179"/>
      <c r="D91" s="1179"/>
      <c r="E91" s="1179"/>
      <c r="F91" s="1179"/>
      <c r="G91" s="1179"/>
    </row>
    <row r="92" spans="1:7" ht="14.25">
      <c r="A92" s="1189"/>
      <c r="B92" s="1179"/>
      <c r="C92" s="1179"/>
      <c r="D92" s="1179"/>
      <c r="E92" s="1179"/>
      <c r="F92" s="1179"/>
      <c r="G92" s="1179"/>
    </row>
    <row r="93" spans="1:7" ht="14.25">
      <c r="A93" s="1189"/>
      <c r="B93" s="1179"/>
      <c r="C93" s="1179"/>
      <c r="D93" s="1179"/>
      <c r="E93" s="1179"/>
      <c r="F93" s="1179"/>
      <c r="G93" s="1179"/>
    </row>
    <row r="94" spans="1:7" ht="14.25">
      <c r="A94" s="1189"/>
      <c r="B94" s="1179"/>
      <c r="C94" s="1179"/>
      <c r="D94" s="1179"/>
      <c r="E94" s="1179"/>
      <c r="F94" s="1179"/>
      <c r="G94" s="1179"/>
    </row>
    <row r="95" spans="1:7" ht="14.25">
      <c r="A95" s="1189"/>
      <c r="B95" s="1179"/>
      <c r="C95" s="1179"/>
      <c r="D95" s="1179"/>
      <c r="E95" s="1179"/>
      <c r="F95" s="1179"/>
      <c r="G95" s="1179"/>
    </row>
    <row r="96" spans="1:7" ht="14.25">
      <c r="A96" s="1189"/>
      <c r="B96" s="1179"/>
      <c r="C96" s="1179"/>
      <c r="D96" s="1179"/>
      <c r="E96" s="1179"/>
      <c r="F96" s="1179"/>
      <c r="G96" s="1179"/>
    </row>
    <row r="97" spans="1:7" ht="14.25">
      <c r="A97" s="1189"/>
      <c r="B97" s="1179"/>
      <c r="C97" s="1179"/>
      <c r="D97" s="1179"/>
      <c r="E97" s="1179"/>
      <c r="F97" s="1179"/>
      <c r="G97" s="1179"/>
    </row>
    <row r="98" spans="1:7" ht="14.25">
      <c r="A98" s="1189"/>
      <c r="B98" s="1179"/>
      <c r="C98" s="1179"/>
      <c r="D98" s="1179"/>
      <c r="E98" s="1179"/>
      <c r="F98" s="1179"/>
      <c r="G98" s="1179"/>
    </row>
    <row r="99" spans="1:7" ht="14.25">
      <c r="A99" s="1189"/>
      <c r="B99" s="1179"/>
      <c r="C99" s="1179"/>
      <c r="D99" s="1179"/>
      <c r="E99" s="1179"/>
      <c r="F99" s="1179"/>
      <c r="G99" s="1179"/>
    </row>
    <row r="100" spans="1:7" ht="14.25">
      <c r="A100" s="1189"/>
      <c r="B100" s="1179"/>
      <c r="C100" s="1179"/>
      <c r="D100" s="1179"/>
      <c r="E100" s="1179"/>
      <c r="F100" s="1179"/>
      <c r="G100" s="1179"/>
    </row>
    <row r="101" spans="1:7" ht="14.25">
      <c r="A101" s="1189"/>
      <c r="B101" s="1179"/>
      <c r="C101" s="1179"/>
      <c r="D101" s="1179"/>
      <c r="E101" s="1179"/>
      <c r="F101" s="1179"/>
      <c r="G101" s="1179"/>
    </row>
    <row r="102" spans="1:7" ht="14.25">
      <c r="A102" s="1189"/>
      <c r="B102" s="1179"/>
      <c r="C102" s="1179"/>
      <c r="D102" s="1179"/>
      <c r="E102" s="1179"/>
      <c r="F102" s="1179"/>
      <c r="G102" s="1179"/>
    </row>
    <row r="103" spans="1:7" ht="14.25">
      <c r="A103" s="1189"/>
      <c r="B103" s="1179"/>
      <c r="C103" s="1179"/>
      <c r="D103" s="1179"/>
      <c r="E103" s="1179"/>
      <c r="F103" s="1179"/>
      <c r="G103" s="1179"/>
    </row>
    <row r="104" spans="1:7" ht="14.25">
      <c r="A104" s="1189"/>
      <c r="B104" s="1179"/>
      <c r="C104" s="1179"/>
      <c r="D104" s="1179"/>
      <c r="E104" s="1179"/>
      <c r="F104" s="1179"/>
      <c r="G104" s="1179"/>
    </row>
    <row r="105" spans="1:7" ht="14.25">
      <c r="A105" s="1189"/>
      <c r="B105" s="1179"/>
      <c r="C105" s="1179"/>
      <c r="D105" s="1179"/>
      <c r="E105" s="1179"/>
      <c r="F105" s="1179"/>
      <c r="G105" s="1179"/>
    </row>
    <row r="106" spans="1:7" ht="14.25">
      <c r="A106" s="1189"/>
      <c r="B106" s="1179"/>
      <c r="C106" s="1179"/>
      <c r="D106" s="1179"/>
      <c r="E106" s="1179"/>
      <c r="F106" s="1179"/>
      <c r="G106" s="1179"/>
    </row>
    <row r="107" spans="1:7" ht="14.25">
      <c r="A107" s="1189"/>
      <c r="B107" s="1179"/>
      <c r="C107" s="1179"/>
      <c r="D107" s="1179"/>
      <c r="E107" s="1179"/>
      <c r="F107" s="1179"/>
      <c r="G107" s="1179"/>
    </row>
    <row r="108" spans="1:7" ht="14.25">
      <c r="A108" s="1189"/>
      <c r="B108" s="1179"/>
      <c r="C108" s="1179"/>
      <c r="D108" s="1179"/>
      <c r="E108" s="1179"/>
      <c r="F108" s="1179"/>
      <c r="G108" s="1179"/>
    </row>
    <row r="109" spans="1:7" ht="14.25">
      <c r="A109" s="1189"/>
      <c r="B109" s="1179"/>
      <c r="C109" s="1179"/>
      <c r="D109" s="1179"/>
      <c r="E109" s="1179"/>
      <c r="F109" s="1179"/>
      <c r="G109" s="1179"/>
    </row>
    <row r="110" spans="1:7" ht="14.25">
      <c r="A110" s="1189"/>
      <c r="B110" s="1179"/>
      <c r="C110" s="1179"/>
      <c r="D110" s="1179"/>
      <c r="E110" s="1179"/>
      <c r="F110" s="1179"/>
      <c r="G110" s="1179"/>
    </row>
    <row r="111" spans="1:7" ht="14.25">
      <c r="A111" s="1189"/>
      <c r="B111" s="1179"/>
      <c r="C111" s="1179"/>
      <c r="D111" s="1179"/>
      <c r="E111" s="1179"/>
      <c r="F111" s="1179"/>
      <c r="G111" s="1179"/>
    </row>
    <row r="112" spans="1:7" ht="14.25">
      <c r="A112" s="1189"/>
      <c r="B112" s="1179"/>
      <c r="C112" s="1179"/>
      <c r="D112" s="1179"/>
      <c r="E112" s="1179"/>
      <c r="F112" s="1179"/>
      <c r="G112" s="1179"/>
    </row>
    <row r="113" spans="1:7" ht="14.25">
      <c r="A113" s="1189"/>
      <c r="B113" s="1179"/>
      <c r="C113" s="1179"/>
      <c r="D113" s="1179"/>
      <c r="E113" s="1179"/>
      <c r="F113" s="1179"/>
      <c r="G113" s="1179"/>
    </row>
    <row r="114" spans="1:7" ht="14.25">
      <c r="A114" s="1189"/>
      <c r="B114" s="1179"/>
      <c r="C114" s="1179"/>
      <c r="D114" s="1179"/>
      <c r="E114" s="1179"/>
      <c r="F114" s="1179"/>
      <c r="G114" s="1179"/>
    </row>
    <row r="115" spans="1:7" ht="14.25">
      <c r="A115" s="1189"/>
      <c r="B115" s="1179"/>
      <c r="C115" s="1179"/>
      <c r="D115" s="1179"/>
      <c r="E115" s="1179"/>
      <c r="F115" s="1179"/>
      <c r="G115" s="1179"/>
    </row>
    <row r="116" spans="1:7" ht="14.25">
      <c r="A116" s="1189"/>
      <c r="B116" s="1179"/>
      <c r="C116" s="1179"/>
      <c r="D116" s="1179"/>
      <c r="E116" s="1179"/>
      <c r="F116" s="1179"/>
      <c r="G116" s="1179"/>
    </row>
    <row r="117" spans="1:7" ht="14.25">
      <c r="A117" s="1189"/>
      <c r="B117" s="1179"/>
      <c r="C117" s="1179"/>
      <c r="D117" s="1179"/>
      <c r="E117" s="1179"/>
      <c r="F117" s="1179"/>
      <c r="G117" s="1179"/>
    </row>
    <row r="118" spans="1:7" ht="14.25">
      <c r="A118" s="1189"/>
      <c r="B118" s="1179"/>
      <c r="C118" s="1179"/>
      <c r="D118" s="1179"/>
      <c r="E118" s="1179"/>
      <c r="F118" s="1179"/>
      <c r="G118" s="1179"/>
    </row>
    <row r="119" spans="1:7" ht="14.25">
      <c r="A119" s="1189"/>
      <c r="B119" s="1179"/>
      <c r="C119" s="1179"/>
      <c r="D119" s="1179"/>
      <c r="E119" s="1179"/>
      <c r="F119" s="1179"/>
      <c r="G119" s="1179"/>
    </row>
    <row r="120" spans="1:7" ht="14.25">
      <c r="A120" s="1189"/>
      <c r="B120" s="1179"/>
      <c r="C120" s="1179"/>
      <c r="D120" s="1179"/>
      <c r="E120" s="1179"/>
      <c r="F120" s="1179"/>
      <c r="G120" s="1179"/>
    </row>
    <row r="121" spans="1:7" ht="14.25">
      <c r="A121" s="1189"/>
      <c r="B121" s="1179"/>
      <c r="C121" s="1179"/>
      <c r="D121" s="1179"/>
      <c r="E121" s="1179"/>
      <c r="F121" s="1179"/>
      <c r="G121" s="1179"/>
    </row>
    <row r="122" spans="1:7" ht="14.25">
      <c r="A122" s="1189"/>
      <c r="B122" s="1179"/>
      <c r="C122" s="1179"/>
      <c r="D122" s="1179"/>
      <c r="E122" s="1179"/>
      <c r="F122" s="1179"/>
      <c r="G122" s="1179"/>
    </row>
    <row r="123" spans="1:7" ht="14.25">
      <c r="A123" s="1189"/>
      <c r="B123" s="1179"/>
      <c r="C123" s="1179"/>
      <c r="D123" s="1179"/>
      <c r="E123" s="1179"/>
      <c r="F123" s="1179"/>
      <c r="G123" s="1179"/>
    </row>
    <row r="124" spans="1:7" ht="14.25">
      <c r="A124" s="1189"/>
      <c r="B124" s="1179"/>
      <c r="C124" s="1179"/>
      <c r="D124" s="1179"/>
      <c r="E124" s="1179"/>
      <c r="F124" s="1179"/>
      <c r="G124" s="1179"/>
    </row>
    <row r="125" spans="1:7" ht="14.25">
      <c r="A125" s="1189"/>
      <c r="B125" s="1179"/>
      <c r="C125" s="1179"/>
      <c r="D125" s="1179"/>
      <c r="E125" s="1179"/>
      <c r="F125" s="1179"/>
      <c r="G125" s="1179"/>
    </row>
    <row r="126" spans="1:7" ht="14.25">
      <c r="A126" s="1189"/>
      <c r="B126" s="1179"/>
      <c r="C126" s="1179"/>
      <c r="D126" s="1179"/>
      <c r="E126" s="1179"/>
      <c r="F126" s="1179"/>
      <c r="G126" s="1179"/>
    </row>
    <row r="127" spans="1:7" ht="14.25">
      <c r="A127" s="1189"/>
      <c r="B127" s="1179"/>
      <c r="C127" s="1179"/>
      <c r="D127" s="1179"/>
      <c r="E127" s="1179"/>
      <c r="F127" s="1179"/>
      <c r="G127" s="1179"/>
    </row>
    <row r="128" spans="1:7" ht="14.25">
      <c r="A128" s="1189"/>
      <c r="B128" s="1179"/>
      <c r="C128" s="1179"/>
      <c r="D128" s="1179"/>
      <c r="E128" s="1179"/>
      <c r="F128" s="1179"/>
      <c r="G128" s="1179"/>
    </row>
    <row r="129" spans="1:7" ht="14.25">
      <c r="A129" s="1189"/>
      <c r="B129" s="1179"/>
      <c r="C129" s="1179"/>
      <c r="D129" s="1179"/>
      <c r="E129" s="1179"/>
      <c r="F129" s="1179"/>
      <c r="G129" s="1179"/>
    </row>
    <row r="130" spans="1:7" ht="14.25">
      <c r="A130" s="1189"/>
      <c r="B130" s="1179"/>
      <c r="C130" s="1179"/>
      <c r="D130" s="1179"/>
      <c r="E130" s="1179"/>
      <c r="F130" s="1179"/>
      <c r="G130" s="1179"/>
    </row>
    <row r="131" spans="1:7" ht="14.25">
      <c r="A131" s="1189"/>
      <c r="B131" s="1179"/>
      <c r="C131" s="1179"/>
      <c r="D131" s="1179"/>
      <c r="E131" s="1179"/>
      <c r="F131" s="1179"/>
      <c r="G131" s="1179"/>
    </row>
    <row r="132" spans="1:7" ht="14.25">
      <c r="A132" s="1189"/>
      <c r="B132" s="1179"/>
      <c r="C132" s="1179"/>
      <c r="D132" s="1179"/>
      <c r="E132" s="1179"/>
      <c r="F132" s="1179"/>
      <c r="G132" s="1179"/>
    </row>
    <row r="133" spans="1:7" ht="14.25">
      <c r="A133" s="1189"/>
      <c r="B133" s="1179"/>
      <c r="C133" s="1179"/>
      <c r="D133" s="1179"/>
      <c r="E133" s="1179"/>
      <c r="F133" s="1179"/>
      <c r="G133" s="1179"/>
    </row>
    <row r="134" spans="1:7" ht="14.25">
      <c r="A134" s="1189"/>
      <c r="B134" s="1179"/>
      <c r="C134" s="1179"/>
      <c r="D134" s="1179"/>
      <c r="E134" s="1179"/>
      <c r="F134" s="1179"/>
      <c r="G134" s="1179"/>
    </row>
    <row r="135" spans="1:7" ht="14.25">
      <c r="A135" s="1189"/>
      <c r="B135" s="1179"/>
      <c r="C135" s="1179"/>
      <c r="D135" s="1179"/>
      <c r="E135" s="1179"/>
      <c r="F135" s="1179"/>
      <c r="G135" s="1179"/>
    </row>
    <row r="136" spans="1:7" ht="14.25">
      <c r="A136" s="1189"/>
      <c r="B136" s="1179"/>
      <c r="C136" s="1179"/>
      <c r="D136" s="1179"/>
      <c r="E136" s="1179"/>
      <c r="F136" s="1179"/>
      <c r="G136" s="1179"/>
    </row>
    <row r="137" spans="1:7" ht="14.25">
      <c r="A137" s="1189"/>
      <c r="B137" s="1179"/>
      <c r="C137" s="1179"/>
      <c r="D137" s="1179"/>
      <c r="E137" s="1179"/>
      <c r="F137" s="1179"/>
      <c r="G137" s="1179"/>
    </row>
    <row r="138" spans="1:7" ht="14.25">
      <c r="A138" s="1189"/>
      <c r="B138" s="1179"/>
      <c r="C138" s="1179"/>
      <c r="D138" s="1179"/>
      <c r="E138" s="1179"/>
      <c r="F138" s="1179"/>
      <c r="G138" s="1179"/>
    </row>
    <row r="139" spans="1:7" ht="14.25">
      <c r="A139" s="1189"/>
      <c r="B139" s="1179"/>
      <c r="C139" s="1179"/>
      <c r="D139" s="1179"/>
      <c r="E139" s="1179"/>
      <c r="F139" s="1179"/>
      <c r="G139" s="1179"/>
    </row>
    <row r="140" spans="1:7" ht="14.25">
      <c r="A140" s="1189"/>
      <c r="B140" s="1179"/>
      <c r="C140" s="1179"/>
      <c r="D140" s="1179"/>
      <c r="E140" s="1179"/>
      <c r="F140" s="1179"/>
      <c r="G140" s="1179"/>
    </row>
    <row r="141" spans="1:7" ht="14.25">
      <c r="A141" s="1189"/>
      <c r="B141" s="1179"/>
      <c r="C141" s="1179"/>
      <c r="D141" s="1179"/>
      <c r="E141" s="1179"/>
      <c r="F141" s="1179"/>
      <c r="G141" s="1179"/>
    </row>
    <row r="142" spans="1:7" ht="14.25">
      <c r="A142" s="1189"/>
      <c r="B142" s="1179"/>
      <c r="C142" s="1179"/>
      <c r="D142" s="1179"/>
      <c r="E142" s="1179"/>
      <c r="F142" s="1179"/>
      <c r="G142" s="1179"/>
    </row>
    <row r="143" spans="1:7" ht="14.25">
      <c r="A143" s="1189"/>
      <c r="B143" s="1179"/>
      <c r="C143" s="1179"/>
      <c r="D143" s="1179"/>
      <c r="E143" s="1179"/>
      <c r="F143" s="1179"/>
      <c r="G143" s="1179"/>
    </row>
    <row r="144" spans="1:7" ht="14.25">
      <c r="A144" s="1189"/>
      <c r="B144" s="1179"/>
      <c r="C144" s="1179"/>
      <c r="D144" s="1179"/>
      <c r="E144" s="1179"/>
      <c r="F144" s="1179"/>
      <c r="G144" s="1179"/>
    </row>
    <row r="145" spans="1:7" ht="14.25">
      <c r="A145" s="1189"/>
      <c r="B145" s="1179"/>
      <c r="C145" s="1179"/>
      <c r="D145" s="1179"/>
      <c r="E145" s="1179"/>
      <c r="F145" s="1179"/>
      <c r="G145" s="1179"/>
    </row>
    <row r="146" spans="1:7" ht="14.25">
      <c r="A146" s="1189"/>
      <c r="B146" s="1179"/>
      <c r="C146" s="1179"/>
      <c r="D146" s="1179"/>
      <c r="E146" s="1179"/>
      <c r="F146" s="1179"/>
      <c r="G146" s="1179"/>
    </row>
    <row r="147" spans="1:7" ht="14.25">
      <c r="A147" s="1189"/>
      <c r="B147" s="1179"/>
      <c r="C147" s="1179"/>
      <c r="D147" s="1179"/>
      <c r="E147" s="1179"/>
      <c r="F147" s="1179"/>
      <c r="G147" s="1179"/>
    </row>
    <row r="148" spans="1:7" ht="14.25">
      <c r="A148" s="1189"/>
      <c r="B148" s="1179"/>
      <c r="C148" s="1179"/>
      <c r="D148" s="1179"/>
      <c r="E148" s="1179"/>
      <c r="F148" s="1179"/>
      <c r="G148" s="1179"/>
    </row>
    <row r="149" spans="1:7" ht="14.25">
      <c r="A149" s="1189"/>
      <c r="B149" s="1179"/>
      <c r="C149" s="1179"/>
      <c r="D149" s="1179"/>
      <c r="E149" s="1179"/>
      <c r="F149" s="1179"/>
      <c r="G149" s="1179"/>
    </row>
    <row r="150" spans="1:7" ht="14.25">
      <c r="A150" s="1189"/>
      <c r="B150" s="1179"/>
      <c r="C150" s="1179"/>
      <c r="D150" s="1179"/>
      <c r="E150" s="1179"/>
      <c r="F150" s="1179"/>
      <c r="G150" s="1179"/>
    </row>
    <row r="151" spans="1:7" ht="14.25">
      <c r="A151" s="1189"/>
      <c r="B151" s="1179"/>
      <c r="C151" s="1179"/>
      <c r="D151" s="1179"/>
      <c r="E151" s="1179"/>
      <c r="F151" s="1179"/>
      <c r="G151" s="1179"/>
    </row>
    <row r="152" spans="1:7" ht="14.25">
      <c r="A152" s="1189"/>
      <c r="B152" s="1179"/>
      <c r="C152" s="1179"/>
      <c r="D152" s="1179"/>
      <c r="E152" s="1179"/>
      <c r="F152" s="1179"/>
      <c r="G152" s="1179"/>
    </row>
    <row r="153" spans="1:7" ht="14.25">
      <c r="A153" s="1189"/>
      <c r="B153" s="1179"/>
      <c r="C153" s="1179"/>
      <c r="D153" s="1179"/>
      <c r="E153" s="1179"/>
      <c r="F153" s="1179"/>
      <c r="G153" s="1179"/>
    </row>
    <row r="154" spans="1:7" ht="14.25">
      <c r="A154" s="1189"/>
      <c r="B154" s="1179"/>
      <c r="C154" s="1179"/>
      <c r="D154" s="1179"/>
      <c r="E154" s="1179"/>
      <c r="F154" s="1179"/>
      <c r="G154" s="1179"/>
    </row>
    <row r="155" spans="1:7" ht="14.25">
      <c r="A155" s="1189"/>
      <c r="B155" s="1179"/>
      <c r="C155" s="1179"/>
      <c r="D155" s="1179"/>
      <c r="E155" s="1179"/>
      <c r="F155" s="1179"/>
      <c r="G155" s="1179"/>
    </row>
    <row r="156" spans="1:7" ht="14.25">
      <c r="A156" s="1189"/>
      <c r="B156" s="1179"/>
      <c r="C156" s="1179"/>
      <c r="D156" s="1179"/>
      <c r="E156" s="1179"/>
      <c r="F156" s="1179"/>
      <c r="G156" s="1179"/>
    </row>
    <row r="157" spans="1:7" ht="14.25">
      <c r="A157" s="1189"/>
      <c r="B157" s="1179"/>
      <c r="C157" s="1179"/>
      <c r="D157" s="1179"/>
      <c r="E157" s="1179"/>
      <c r="F157" s="1179"/>
      <c r="G157" s="1179"/>
    </row>
    <row r="158" spans="1:7" ht="14.25">
      <c r="A158" s="1189"/>
      <c r="B158" s="1179"/>
      <c r="C158" s="1179"/>
      <c r="D158" s="1179"/>
      <c r="E158" s="1179"/>
      <c r="F158" s="1179"/>
      <c r="G158" s="1179"/>
    </row>
    <row r="159" spans="1:7" ht="14.25">
      <c r="A159" s="1189"/>
      <c r="B159" s="1179"/>
      <c r="C159" s="1179"/>
      <c r="D159" s="1179"/>
      <c r="E159" s="1179"/>
      <c r="F159" s="1179"/>
      <c r="G159" s="1179"/>
    </row>
    <row r="160" spans="1:7" ht="14.25">
      <c r="A160" s="1189"/>
      <c r="B160" s="1179"/>
      <c r="C160" s="1179"/>
      <c r="D160" s="1179"/>
      <c r="E160" s="1179"/>
      <c r="F160" s="1179"/>
      <c r="G160" s="1179"/>
    </row>
    <row r="161" spans="1:7" ht="14.25">
      <c r="A161" s="1189"/>
      <c r="B161" s="1179"/>
      <c r="C161" s="1179"/>
      <c r="D161" s="1179"/>
      <c r="E161" s="1179"/>
      <c r="F161" s="1179"/>
      <c r="G161" s="1179"/>
    </row>
    <row r="162" spans="1:7" ht="14.25">
      <c r="A162" s="1189"/>
      <c r="B162" s="1179"/>
      <c r="C162" s="1179"/>
      <c r="D162" s="1179"/>
      <c r="E162" s="1179"/>
      <c r="F162" s="1179"/>
      <c r="G162" s="1179"/>
    </row>
    <row r="163" spans="1:7" ht="14.25">
      <c r="A163" s="1189"/>
      <c r="B163" s="1179"/>
      <c r="C163" s="1179"/>
      <c r="D163" s="1179"/>
      <c r="E163" s="1179"/>
      <c r="F163" s="1179"/>
      <c r="G163" s="1179"/>
    </row>
    <row r="164" spans="1:7" ht="14.25">
      <c r="A164" s="1189"/>
      <c r="B164" s="1179"/>
      <c r="C164" s="1179"/>
      <c r="D164" s="1179"/>
      <c r="E164" s="1179"/>
      <c r="F164" s="1179"/>
      <c r="G164" s="1179"/>
    </row>
    <row r="165" spans="1:7" ht="14.25">
      <c r="A165" s="1189"/>
      <c r="B165" s="1179"/>
      <c r="C165" s="1179"/>
      <c r="D165" s="1179"/>
      <c r="E165" s="1179"/>
      <c r="F165" s="1179"/>
      <c r="G165" s="1179"/>
    </row>
    <row r="166" spans="1:7" ht="14.25">
      <c r="A166" s="1189"/>
      <c r="B166" s="1179"/>
      <c r="C166" s="1179"/>
      <c r="D166" s="1179"/>
      <c r="E166" s="1179"/>
      <c r="F166" s="1179"/>
      <c r="G166" s="1179"/>
    </row>
    <row r="167" spans="1:7" ht="14.25">
      <c r="A167" s="1189"/>
      <c r="B167" s="1179"/>
      <c r="C167" s="1179"/>
      <c r="D167" s="1179"/>
      <c r="E167" s="1179"/>
      <c r="F167" s="1179"/>
      <c r="G167" s="1179"/>
    </row>
    <row r="168" spans="1:7" ht="14.25">
      <c r="A168" s="1189"/>
      <c r="B168" s="1179"/>
      <c r="C168" s="1179"/>
      <c r="D168" s="1179"/>
      <c r="E168" s="1179"/>
      <c r="F168" s="1179"/>
      <c r="G168" s="1179"/>
    </row>
    <row r="169" spans="1:7" ht="14.25">
      <c r="A169" s="1189"/>
      <c r="B169" s="1179"/>
      <c r="C169" s="1179"/>
      <c r="D169" s="1179"/>
      <c r="E169" s="1179"/>
      <c r="F169" s="1179"/>
      <c r="G169" s="1179"/>
    </row>
    <row r="170" spans="1:7" ht="14.25">
      <c r="A170" s="1189"/>
      <c r="B170" s="1179"/>
      <c r="C170" s="1179"/>
      <c r="D170" s="1179"/>
      <c r="E170" s="1179"/>
      <c r="F170" s="1179"/>
      <c r="G170" s="1179"/>
    </row>
    <row r="171" spans="1:7" ht="14.25">
      <c r="A171" s="1189"/>
      <c r="B171" s="1179"/>
      <c r="C171" s="1179"/>
      <c r="D171" s="1179"/>
      <c r="E171" s="1179"/>
      <c r="F171" s="1179"/>
      <c r="G171" s="1179"/>
    </row>
    <row r="172" spans="1:7" ht="14.25">
      <c r="A172" s="1189"/>
      <c r="B172" s="1179"/>
      <c r="C172" s="1179"/>
      <c r="D172" s="1179"/>
      <c r="E172" s="1179"/>
      <c r="F172" s="1179"/>
      <c r="G172" s="1179"/>
    </row>
    <row r="173" spans="1:7" ht="14.25">
      <c r="A173" s="1189"/>
      <c r="B173" s="1179"/>
      <c r="C173" s="1179"/>
      <c r="D173" s="1179"/>
      <c r="E173" s="1179"/>
      <c r="F173" s="1179"/>
      <c r="G173" s="1179"/>
    </row>
    <row r="174" spans="1:7" ht="14.25">
      <c r="A174" s="1189"/>
      <c r="B174" s="1179"/>
      <c r="C174" s="1179"/>
      <c r="D174" s="1179"/>
      <c r="E174" s="1179"/>
      <c r="F174" s="1179"/>
      <c r="G174" s="1179"/>
    </row>
    <row r="175" spans="1:7" ht="14.25">
      <c r="A175" s="1189"/>
      <c r="B175" s="1179"/>
      <c r="C175" s="1179"/>
      <c r="D175" s="1179"/>
      <c r="E175" s="1179"/>
      <c r="F175" s="1179"/>
      <c r="G175" s="1179"/>
    </row>
    <row r="176" spans="1:7" ht="14.25">
      <c r="A176" s="1189"/>
      <c r="B176" s="1179"/>
      <c r="C176" s="1179"/>
      <c r="D176" s="1179"/>
      <c r="E176" s="1179"/>
      <c r="F176" s="1179"/>
      <c r="G176" s="1179"/>
    </row>
    <row r="177" spans="1:7" ht="14.25">
      <c r="A177" s="1189"/>
      <c r="B177" s="1179"/>
      <c r="C177" s="1179"/>
      <c r="D177" s="1179"/>
      <c r="E177" s="1179"/>
      <c r="F177" s="1179"/>
      <c r="G177" s="1179"/>
    </row>
    <row r="178" spans="1:7" ht="14.25">
      <c r="A178" s="1189"/>
      <c r="B178" s="1179"/>
      <c r="C178" s="1179"/>
      <c r="D178" s="1179"/>
      <c r="E178" s="1179"/>
      <c r="F178" s="1179"/>
      <c r="G178" s="1179"/>
    </row>
    <row r="179" spans="1:7" ht="14.25">
      <c r="A179" s="1189"/>
      <c r="B179" s="1179"/>
      <c r="C179" s="1179"/>
      <c r="D179" s="1179"/>
      <c r="E179" s="1179"/>
      <c r="F179" s="1179"/>
      <c r="G179" s="1179"/>
    </row>
    <row r="180" spans="1:7" ht="14.25">
      <c r="A180" s="1189"/>
      <c r="B180" s="1179"/>
      <c r="C180" s="1179"/>
      <c r="D180" s="1179"/>
      <c r="E180" s="1179"/>
      <c r="F180" s="1179"/>
      <c r="G180" s="1179"/>
    </row>
    <row r="181" spans="1:7" ht="14.25">
      <c r="A181" s="1189"/>
      <c r="B181" s="1179"/>
      <c r="C181" s="1179"/>
      <c r="D181" s="1179"/>
      <c r="E181" s="1179"/>
      <c r="F181" s="1179"/>
      <c r="G181" s="1179"/>
    </row>
    <row r="182" spans="1:7" ht="14.25">
      <c r="A182" s="1189"/>
      <c r="B182" s="1179"/>
      <c r="C182" s="1179"/>
      <c r="D182" s="1179"/>
      <c r="E182" s="1179"/>
      <c r="F182" s="1179"/>
      <c r="G182" s="1179"/>
    </row>
    <row r="183" spans="1:7" ht="14.25">
      <c r="A183" s="1189"/>
      <c r="B183" s="1179"/>
      <c r="C183" s="1179"/>
      <c r="D183" s="1179"/>
      <c r="E183" s="1179"/>
      <c r="F183" s="1179"/>
      <c r="G183" s="1179"/>
    </row>
    <row r="184" spans="1:7" ht="14.25">
      <c r="A184" s="1189"/>
      <c r="B184" s="1179"/>
      <c r="C184" s="1179"/>
      <c r="D184" s="1179"/>
      <c r="E184" s="1179"/>
      <c r="F184" s="1179"/>
      <c r="G184" s="1179"/>
    </row>
    <row r="185" spans="1:7" ht="14.25">
      <c r="A185" s="1189"/>
      <c r="B185" s="1179"/>
      <c r="C185" s="1179"/>
      <c r="D185" s="1179"/>
      <c r="E185" s="1179"/>
      <c r="F185" s="1179"/>
      <c r="G185" s="1179"/>
    </row>
    <row r="186" spans="1:7" ht="14.25">
      <c r="A186" s="1189"/>
      <c r="B186" s="1179"/>
      <c r="C186" s="1179"/>
      <c r="D186" s="1179"/>
      <c r="E186" s="1179"/>
      <c r="F186" s="1179"/>
      <c r="G186" s="1179"/>
    </row>
    <row r="187" spans="1:7" ht="14.25">
      <c r="A187" s="1189"/>
      <c r="B187" s="1179"/>
      <c r="C187" s="1179"/>
      <c r="D187" s="1179"/>
      <c r="E187" s="1179"/>
      <c r="F187" s="1179"/>
      <c r="G187" s="1179"/>
    </row>
    <row r="188" spans="1:7" ht="14.25">
      <c r="A188" s="1189"/>
      <c r="B188" s="1179"/>
      <c r="C188" s="1179"/>
      <c r="D188" s="1179"/>
      <c r="E188" s="1179"/>
      <c r="F188" s="1179"/>
      <c r="G188" s="1179"/>
    </row>
    <row r="189" spans="1:7" ht="14.25">
      <c r="A189" s="1189"/>
      <c r="B189" s="1179"/>
      <c r="C189" s="1179"/>
      <c r="D189" s="1179"/>
      <c r="E189" s="1179"/>
      <c r="F189" s="1179"/>
      <c r="G189" s="1179"/>
    </row>
    <row r="190" spans="1:7" ht="14.25">
      <c r="A190" s="1189"/>
      <c r="B190" s="1179"/>
      <c r="C190" s="1179"/>
      <c r="D190" s="1179"/>
      <c r="E190" s="1179"/>
      <c r="F190" s="1179"/>
      <c r="G190" s="1179"/>
    </row>
    <row r="191" spans="1:7" ht="14.25">
      <c r="A191" s="1189"/>
      <c r="B191" s="1179"/>
      <c r="C191" s="1179"/>
      <c r="D191" s="1179"/>
      <c r="E191" s="1179"/>
      <c r="F191" s="1179"/>
      <c r="G191" s="1179"/>
    </row>
    <row r="192" spans="1:7" ht="14.25">
      <c r="A192" s="1189"/>
      <c r="B192" s="1179"/>
      <c r="C192" s="1179"/>
      <c r="D192" s="1179"/>
      <c r="E192" s="1179"/>
      <c r="F192" s="1179"/>
      <c r="G192" s="1179"/>
    </row>
    <row r="193" spans="1:7" ht="14.25">
      <c r="A193" s="1189"/>
      <c r="B193" s="1179"/>
      <c r="C193" s="1179"/>
      <c r="D193" s="1179"/>
      <c r="E193" s="1179"/>
      <c r="F193" s="1179"/>
      <c r="G193" s="1179"/>
    </row>
    <row r="194" spans="1:7" ht="14.25">
      <c r="A194" s="1189"/>
      <c r="B194" s="1179"/>
      <c r="C194" s="1179"/>
      <c r="D194" s="1179"/>
      <c r="E194" s="1179"/>
      <c r="F194" s="1179"/>
      <c r="G194" s="1179"/>
    </row>
    <row r="195" spans="1:7" ht="14.25">
      <c r="A195" s="1189"/>
      <c r="B195" s="1179"/>
      <c r="C195" s="1179"/>
      <c r="D195" s="1179"/>
      <c r="E195" s="1179"/>
      <c r="F195" s="1179"/>
      <c r="G195" s="1179"/>
    </row>
    <row r="196" spans="1:7" ht="14.25">
      <c r="A196" s="1189"/>
      <c r="B196" s="1179"/>
      <c r="C196" s="1179"/>
      <c r="D196" s="1179"/>
      <c r="E196" s="1179"/>
      <c r="F196" s="1179"/>
      <c r="G196" s="1179"/>
    </row>
    <row r="197" spans="1:7" ht="14.25">
      <c r="A197" s="1189"/>
      <c r="B197" s="1179"/>
      <c r="C197" s="1179"/>
      <c r="D197" s="1179"/>
      <c r="E197" s="1179"/>
      <c r="F197" s="1179"/>
      <c r="G197" s="1179"/>
    </row>
    <row r="198" spans="1:7" ht="14.25">
      <c r="A198" s="1189"/>
      <c r="B198" s="1179"/>
      <c r="C198" s="1179"/>
      <c r="D198" s="1179"/>
      <c r="E198" s="1179"/>
      <c r="F198" s="1179"/>
      <c r="G198" s="1179"/>
    </row>
    <row r="199" spans="1:7" ht="14.25">
      <c r="A199" s="1189"/>
      <c r="B199" s="1179"/>
      <c r="C199" s="1179"/>
      <c r="D199" s="1179"/>
      <c r="E199" s="1179"/>
      <c r="F199" s="1179"/>
      <c r="G199" s="1179"/>
    </row>
    <row r="200" spans="1:7" ht="14.25">
      <c r="A200" s="1189"/>
      <c r="B200" s="1179"/>
      <c r="C200" s="1179"/>
      <c r="D200" s="1179"/>
      <c r="E200" s="1179"/>
      <c r="F200" s="1179"/>
      <c r="G200" s="1179"/>
    </row>
    <row r="201" spans="1:7" ht="14.25">
      <c r="A201" s="1189"/>
      <c r="B201" s="1179"/>
      <c r="C201" s="1179"/>
      <c r="D201" s="1179"/>
      <c r="E201" s="1179"/>
      <c r="F201" s="1179"/>
      <c r="G201" s="1179"/>
    </row>
    <row r="202" spans="1:7" ht="14.25">
      <c r="A202" s="1189"/>
      <c r="B202" s="1179"/>
      <c r="C202" s="1179"/>
      <c r="D202" s="1179"/>
      <c r="E202" s="1179"/>
      <c r="F202" s="1179"/>
      <c r="G202" s="1179"/>
    </row>
    <row r="203" spans="1:7" ht="14.25">
      <c r="A203" s="1189"/>
      <c r="B203" s="1179"/>
      <c r="C203" s="1179"/>
      <c r="D203" s="1179"/>
      <c r="E203" s="1179"/>
      <c r="F203" s="1179"/>
      <c r="G203" s="1179"/>
    </row>
    <row r="204" spans="1:7" ht="14.25">
      <c r="A204" s="1189"/>
      <c r="B204" s="1179"/>
      <c r="C204" s="1179"/>
      <c r="D204" s="1179"/>
      <c r="E204" s="1179"/>
      <c r="F204" s="1179"/>
      <c r="G204" s="1179"/>
    </row>
    <row r="205" spans="1:7" ht="14.25">
      <c r="A205" s="1189"/>
      <c r="B205" s="1179"/>
      <c r="C205" s="1179"/>
      <c r="D205" s="1179"/>
      <c r="E205" s="1179"/>
      <c r="F205" s="1179"/>
      <c r="G205" s="1179"/>
    </row>
    <row r="206" spans="1:7" ht="14.25">
      <c r="A206" s="1189"/>
      <c r="B206" s="1179"/>
      <c r="C206" s="1179"/>
      <c r="D206" s="1179"/>
      <c r="E206" s="1179"/>
      <c r="F206" s="1179"/>
      <c r="G206" s="1179"/>
    </row>
    <row r="207" spans="1:7" ht="14.25">
      <c r="A207" s="1189"/>
      <c r="B207" s="1179"/>
      <c r="C207" s="1179"/>
      <c r="D207" s="1179"/>
      <c r="E207" s="1179"/>
      <c r="F207" s="1179"/>
      <c r="G207" s="1179"/>
    </row>
    <row r="208" spans="1:7" ht="14.25">
      <c r="A208" s="1189"/>
      <c r="B208" s="1179"/>
      <c r="C208" s="1179"/>
      <c r="D208" s="1179"/>
      <c r="E208" s="1179"/>
      <c r="F208" s="1179"/>
      <c r="G208" s="1179"/>
    </row>
    <row r="209" spans="1:7" ht="14.25">
      <c r="A209" s="1189"/>
      <c r="B209" s="1179"/>
      <c r="C209" s="1179"/>
      <c r="D209" s="1179"/>
      <c r="E209" s="1179"/>
      <c r="F209" s="1179"/>
      <c r="G209" s="1179"/>
    </row>
    <row r="210" spans="1:7" ht="14.25">
      <c r="A210" s="1189"/>
      <c r="B210" s="1179"/>
      <c r="C210" s="1179"/>
      <c r="D210" s="1179"/>
      <c r="E210" s="1179"/>
      <c r="F210" s="1179"/>
      <c r="G210" s="1179"/>
    </row>
    <row r="211" spans="1:7" ht="14.25">
      <c r="A211" s="1189"/>
      <c r="B211" s="1179"/>
      <c r="C211" s="1179"/>
      <c r="D211" s="1179"/>
      <c r="E211" s="1179"/>
      <c r="F211" s="1179"/>
      <c r="G211" s="1179"/>
    </row>
    <row r="212" spans="1:7" ht="14.25">
      <c r="A212" s="1189"/>
      <c r="B212" s="1179"/>
      <c r="C212" s="1179"/>
      <c r="D212" s="1179"/>
      <c r="E212" s="1179"/>
      <c r="F212" s="1179"/>
      <c r="G212" s="1179"/>
    </row>
    <row r="213" spans="1:7" ht="14.25">
      <c r="A213" s="1189"/>
      <c r="B213" s="1179"/>
      <c r="C213" s="1179"/>
      <c r="D213" s="1179"/>
      <c r="E213" s="1179"/>
      <c r="F213" s="1179"/>
      <c r="G213" s="1179"/>
    </row>
    <row r="214" spans="1:7" ht="14.25">
      <c r="A214" s="1189"/>
      <c r="B214" s="1179"/>
      <c r="C214" s="1179"/>
      <c r="D214" s="1179"/>
      <c r="E214" s="1179"/>
      <c r="F214" s="1179"/>
      <c r="G214" s="1179"/>
    </row>
    <row r="215" spans="1:7" ht="14.25">
      <c r="A215" s="1189"/>
      <c r="B215" s="1179"/>
      <c r="C215" s="1179"/>
      <c r="D215" s="1179"/>
      <c r="E215" s="1179"/>
      <c r="F215" s="1179"/>
      <c r="G215" s="1179"/>
    </row>
    <row r="216" spans="1:7" ht="14.25">
      <c r="A216" s="1189"/>
      <c r="B216" s="1179"/>
      <c r="C216" s="1179"/>
      <c r="D216" s="1179"/>
      <c r="E216" s="1179"/>
      <c r="F216" s="1179"/>
      <c r="G216" s="1179"/>
    </row>
    <row r="217" spans="1:7" ht="14.25">
      <c r="A217" s="1189"/>
      <c r="B217" s="1179"/>
      <c r="C217" s="1179"/>
      <c r="D217" s="1179"/>
      <c r="E217" s="1179"/>
      <c r="F217" s="1179"/>
      <c r="G217" s="1179"/>
    </row>
    <row r="218" spans="1:7" ht="14.25">
      <c r="A218" s="1189"/>
      <c r="B218" s="1179"/>
      <c r="C218" s="1179"/>
      <c r="D218" s="1179"/>
      <c r="E218" s="1179"/>
      <c r="F218" s="1179"/>
      <c r="G218" s="1179"/>
    </row>
    <row r="219" spans="1:7" ht="14.25">
      <c r="A219" s="1189"/>
      <c r="B219" s="1179"/>
      <c r="C219" s="1179"/>
      <c r="D219" s="1179"/>
      <c r="E219" s="1179"/>
      <c r="F219" s="1179"/>
      <c r="G219" s="1179"/>
    </row>
    <row r="220" spans="1:7" ht="14.25">
      <c r="A220" s="1189"/>
      <c r="B220" s="1179"/>
      <c r="C220" s="1179"/>
      <c r="D220" s="1179"/>
      <c r="E220" s="1179"/>
      <c r="F220" s="1179"/>
      <c r="G220" s="1179"/>
    </row>
    <row r="221" spans="1:7" ht="14.25">
      <c r="A221" s="1189"/>
      <c r="B221" s="1179"/>
      <c r="C221" s="1179"/>
      <c r="D221" s="1179"/>
      <c r="E221" s="1179"/>
      <c r="F221" s="1179"/>
      <c r="G221" s="1179"/>
    </row>
    <row r="222" spans="1:7" ht="14.25">
      <c r="A222" s="1189"/>
      <c r="B222" s="1179"/>
      <c r="C222" s="1179"/>
      <c r="D222" s="1179"/>
      <c r="E222" s="1179"/>
      <c r="F222" s="1179"/>
      <c r="G222" s="1179"/>
    </row>
    <row r="223" spans="1:7" ht="14.25">
      <c r="A223" s="1189"/>
      <c r="B223" s="1179"/>
      <c r="C223" s="1179"/>
      <c r="D223" s="1179"/>
      <c r="E223" s="1179"/>
      <c r="F223" s="1179"/>
      <c r="G223" s="1179"/>
    </row>
    <row r="224" spans="1:7" ht="14.25">
      <c r="A224" s="1189"/>
      <c r="B224" s="1179"/>
      <c r="C224" s="1179"/>
      <c r="D224" s="1179"/>
      <c r="E224" s="1179"/>
      <c r="F224" s="1179"/>
      <c r="G224" s="1179"/>
    </row>
    <row r="225" spans="1:7" ht="14.25">
      <c r="A225" s="1189"/>
      <c r="B225" s="1179"/>
      <c r="C225" s="1179"/>
      <c r="D225" s="1179"/>
      <c r="E225" s="1179"/>
      <c r="F225" s="1179"/>
      <c r="G225" s="1179"/>
    </row>
    <row r="226" spans="1:7" ht="14.25">
      <c r="A226" s="1189"/>
      <c r="B226" s="1179"/>
      <c r="C226" s="1179"/>
      <c r="D226" s="1179"/>
      <c r="E226" s="1179"/>
      <c r="F226" s="1179"/>
      <c r="G226" s="1179"/>
    </row>
    <row r="227" spans="1:7" ht="14.25">
      <c r="A227" s="1189"/>
      <c r="B227" s="1179"/>
      <c r="C227" s="1179"/>
      <c r="D227" s="1179"/>
      <c r="E227" s="1179"/>
      <c r="F227" s="1179"/>
      <c r="G227" s="1179"/>
    </row>
    <row r="228" spans="1:7" ht="14.25">
      <c r="A228" s="1189"/>
      <c r="B228" s="1179"/>
      <c r="C228" s="1179"/>
      <c r="D228" s="1179"/>
      <c r="E228" s="1179"/>
      <c r="F228" s="1179"/>
      <c r="G228" s="1179"/>
    </row>
    <row r="229" spans="1:7" ht="14.25">
      <c r="A229" s="1189"/>
      <c r="B229" s="1179"/>
      <c r="C229" s="1179"/>
      <c r="D229" s="1179"/>
      <c r="E229" s="1179"/>
      <c r="F229" s="1179"/>
      <c r="G229" s="1179"/>
    </row>
    <row r="230" spans="1:7" ht="14.25">
      <c r="A230" s="1189"/>
      <c r="B230" s="1179"/>
      <c r="C230" s="1179"/>
      <c r="D230" s="1179"/>
      <c r="E230" s="1179"/>
      <c r="F230" s="1179"/>
      <c r="G230" s="1179"/>
    </row>
    <row r="231" spans="1:7" ht="14.25">
      <c r="A231" s="1189"/>
      <c r="B231" s="1179"/>
      <c r="C231" s="1179"/>
      <c r="D231" s="1179"/>
      <c r="E231" s="1179"/>
      <c r="F231" s="1179"/>
      <c r="G231" s="1179"/>
    </row>
    <row r="232" spans="1:7" ht="14.25">
      <c r="A232" s="1189"/>
      <c r="B232" s="1179"/>
      <c r="C232" s="1179"/>
      <c r="D232" s="1179"/>
      <c r="E232" s="1179"/>
      <c r="F232" s="1179"/>
      <c r="G232" s="1179"/>
    </row>
    <row r="233" spans="1:7" ht="14.25">
      <c r="A233" s="1189"/>
      <c r="B233" s="1179"/>
      <c r="C233" s="1179"/>
      <c r="D233" s="1179"/>
      <c r="E233" s="1179"/>
      <c r="F233" s="1179"/>
      <c r="G233" s="1179"/>
    </row>
    <row r="234" spans="1:7" ht="14.25">
      <c r="A234" s="1189"/>
      <c r="B234" s="1179"/>
      <c r="C234" s="1179"/>
      <c r="D234" s="1179"/>
      <c r="E234" s="1179"/>
      <c r="F234" s="1179"/>
      <c r="G234" s="1179"/>
    </row>
    <row r="235" spans="1:7" ht="14.25">
      <c r="A235" s="1189"/>
      <c r="B235" s="1179"/>
      <c r="C235" s="1179"/>
      <c r="D235" s="1179"/>
      <c r="E235" s="1179"/>
      <c r="F235" s="1179"/>
      <c r="G235" s="1179"/>
    </row>
    <row r="236" spans="1:7" ht="14.25">
      <c r="A236" s="1189"/>
      <c r="B236" s="1179"/>
      <c r="C236" s="1179"/>
      <c r="D236" s="1179"/>
      <c r="E236" s="1179"/>
      <c r="F236" s="1179"/>
      <c r="G236" s="1179"/>
    </row>
    <row r="237" spans="1:7" ht="14.25">
      <c r="A237" s="1189"/>
      <c r="B237" s="1179"/>
      <c r="C237" s="1179"/>
      <c r="D237" s="1179"/>
      <c r="E237" s="1179"/>
      <c r="F237" s="1179"/>
      <c r="G237" s="1179"/>
    </row>
    <row r="238" spans="1:7" ht="14.25">
      <c r="A238" s="1189"/>
      <c r="B238" s="1179"/>
      <c r="C238" s="1179"/>
      <c r="D238" s="1179"/>
      <c r="E238" s="1179"/>
      <c r="F238" s="1179"/>
      <c r="G238" s="1179"/>
    </row>
    <row r="239" spans="1:7" ht="14.25">
      <c r="A239" s="1189"/>
      <c r="B239" s="1179"/>
      <c r="C239" s="1179"/>
      <c r="D239" s="1179"/>
      <c r="E239" s="1179"/>
      <c r="F239" s="1179"/>
      <c r="G239" s="1179"/>
    </row>
    <row r="240" spans="1:7" ht="14.25">
      <c r="A240" s="1189"/>
      <c r="B240" s="1179"/>
      <c r="C240" s="1179"/>
      <c r="D240" s="1179"/>
      <c r="E240" s="1179"/>
      <c r="F240" s="1179"/>
      <c r="G240" s="1179"/>
    </row>
    <row r="241" spans="1:7" ht="14.25">
      <c r="A241" s="1189"/>
      <c r="B241" s="1179"/>
      <c r="C241" s="1179"/>
      <c r="D241" s="1179"/>
      <c r="E241" s="1179"/>
      <c r="F241" s="1179"/>
      <c r="G241" s="1179"/>
    </row>
    <row r="242" spans="1:7" ht="14.25">
      <c r="A242" s="1189"/>
      <c r="B242" s="1179"/>
      <c r="C242" s="1179"/>
      <c r="D242" s="1179"/>
      <c r="E242" s="1179"/>
      <c r="F242" s="1179"/>
      <c r="G242" s="1179"/>
    </row>
    <row r="243" spans="1:7" ht="14.25">
      <c r="A243" s="1189"/>
      <c r="B243" s="1179"/>
      <c r="C243" s="1179"/>
      <c r="D243" s="1179"/>
      <c r="E243" s="1179"/>
      <c r="F243" s="1179"/>
      <c r="G243" s="1179"/>
    </row>
    <row r="244" spans="1:7" ht="14.25">
      <c r="A244" s="1189"/>
      <c r="B244" s="1179"/>
      <c r="C244" s="1179"/>
      <c r="D244" s="1179"/>
      <c r="E244" s="1179"/>
      <c r="F244" s="1179"/>
      <c r="G244" s="1179"/>
    </row>
    <row r="245" spans="1:7" ht="14.25">
      <c r="A245" s="1189"/>
      <c r="B245" s="1179"/>
      <c r="C245" s="1179"/>
      <c r="D245" s="1179"/>
      <c r="E245" s="1179"/>
      <c r="F245" s="1179"/>
      <c r="G245" s="1179"/>
    </row>
    <row r="246" spans="1:7" ht="14.25">
      <c r="A246" s="1189"/>
      <c r="B246" s="1179"/>
      <c r="C246" s="1179"/>
      <c r="D246" s="1179"/>
      <c r="E246" s="1179"/>
      <c r="F246" s="1179"/>
      <c r="G246" s="1179"/>
    </row>
    <row r="247" spans="1:7" ht="14.25">
      <c r="A247" s="1189"/>
      <c r="B247" s="1179"/>
      <c r="C247" s="1179"/>
      <c r="D247" s="1179"/>
      <c r="E247" s="1179"/>
      <c r="F247" s="1179"/>
      <c r="G247" s="1179"/>
    </row>
    <row r="248" spans="1:7" ht="14.25">
      <c r="A248" s="1189"/>
      <c r="B248" s="1179"/>
      <c r="C248" s="1179"/>
      <c r="D248" s="1179"/>
      <c r="E248" s="1179"/>
      <c r="F248" s="1179"/>
      <c r="G248" s="1179"/>
    </row>
    <row r="249" spans="1:7" ht="14.25">
      <c r="A249" s="1189"/>
      <c r="B249" s="1179"/>
      <c r="C249" s="1179"/>
      <c r="D249" s="1179"/>
      <c r="E249" s="1179"/>
      <c r="F249" s="1179"/>
      <c r="G249" s="1179"/>
    </row>
    <row r="250" spans="1:7" ht="14.25">
      <c r="A250" s="1189"/>
      <c r="B250" s="1179"/>
      <c r="C250" s="1179"/>
      <c r="D250" s="1179"/>
      <c r="E250" s="1179"/>
      <c r="F250" s="1179"/>
      <c r="G250" s="1179"/>
    </row>
    <row r="251" spans="1:7" ht="14.25">
      <c r="A251" s="1189"/>
      <c r="B251" s="1179"/>
      <c r="C251" s="1179"/>
      <c r="D251" s="1179"/>
      <c r="E251" s="1179"/>
      <c r="F251" s="1179"/>
      <c r="G251" s="1179"/>
    </row>
    <row r="252" spans="1:7" ht="14.25">
      <c r="A252" s="1189"/>
      <c r="B252" s="1179"/>
      <c r="C252" s="1179"/>
      <c r="D252" s="1179"/>
      <c r="E252" s="1179"/>
      <c r="F252" s="1179"/>
      <c r="G252" s="1179"/>
    </row>
    <row r="253" spans="1:7" ht="14.25">
      <c r="A253" s="1189"/>
      <c r="B253" s="1179"/>
      <c r="C253" s="1179"/>
      <c r="D253" s="1179"/>
      <c r="E253" s="1179"/>
      <c r="F253" s="1179"/>
      <c r="G253" s="1179"/>
    </row>
    <row r="254" spans="1:7" ht="14.25">
      <c r="A254" s="1189"/>
      <c r="B254" s="1179"/>
      <c r="C254" s="1179"/>
      <c r="D254" s="1179"/>
      <c r="E254" s="1179"/>
      <c r="F254" s="1179"/>
      <c r="G254" s="1179"/>
    </row>
    <row r="255" spans="1:7" ht="14.25">
      <c r="A255" s="1189"/>
      <c r="B255" s="1179"/>
      <c r="C255" s="1179"/>
      <c r="D255" s="1179"/>
      <c r="E255" s="1179"/>
      <c r="F255" s="1179"/>
      <c r="G255" s="1179"/>
    </row>
    <row r="256" spans="1:7" ht="14.25">
      <c r="A256" s="1189"/>
      <c r="B256" s="1179"/>
      <c r="C256" s="1179"/>
      <c r="D256" s="1179"/>
      <c r="E256" s="1179"/>
      <c r="F256" s="1179"/>
      <c r="G256" s="1179"/>
    </row>
    <row r="257" spans="1:7" ht="14.25">
      <c r="A257" s="1189"/>
      <c r="B257" s="1179"/>
      <c r="C257" s="1179"/>
      <c r="D257" s="1179"/>
      <c r="E257" s="1179"/>
      <c r="F257" s="1179"/>
      <c r="G257" s="1179"/>
    </row>
    <row r="258" spans="1:7" ht="14.25">
      <c r="A258" s="1189"/>
      <c r="B258" s="1179"/>
      <c r="C258" s="1179"/>
      <c r="D258" s="1179"/>
      <c r="E258" s="1179"/>
      <c r="F258" s="1179"/>
      <c r="G258" s="1179"/>
    </row>
    <row r="259" spans="1:7" ht="14.25">
      <c r="A259" s="1189"/>
      <c r="B259" s="1179"/>
      <c r="C259" s="1179"/>
      <c r="D259" s="1179"/>
      <c r="E259" s="1179"/>
      <c r="F259" s="1179"/>
      <c r="G259" s="1179"/>
    </row>
    <row r="260" spans="1:7" ht="14.25">
      <c r="A260" s="1189"/>
      <c r="B260" s="1179"/>
      <c r="C260" s="1179"/>
      <c r="D260" s="1179"/>
      <c r="E260" s="1179"/>
      <c r="F260" s="1179"/>
      <c r="G260" s="1179"/>
    </row>
    <row r="261" spans="1:7" ht="14.25">
      <c r="A261" s="1189"/>
      <c r="B261" s="1179"/>
      <c r="C261" s="1179"/>
      <c r="D261" s="1179"/>
      <c r="E261" s="1179"/>
      <c r="F261" s="1179"/>
      <c r="G261" s="1179"/>
    </row>
    <row r="262" spans="1:7" ht="14.25">
      <c r="A262" s="1189"/>
      <c r="B262" s="1179"/>
      <c r="C262" s="1179"/>
      <c r="D262" s="1179"/>
      <c r="E262" s="1179"/>
      <c r="F262" s="1179"/>
      <c r="G262" s="1179"/>
    </row>
    <row r="263" spans="1:7" ht="14.25">
      <c r="A263" s="1189"/>
      <c r="B263" s="1179"/>
      <c r="C263" s="1179"/>
      <c r="D263" s="1179"/>
      <c r="E263" s="1179"/>
      <c r="F263" s="1179"/>
      <c r="G263" s="1179"/>
    </row>
    <row r="264" spans="1:7" ht="14.25">
      <c r="A264" s="1189"/>
      <c r="B264" s="1179"/>
      <c r="C264" s="1179"/>
      <c r="D264" s="1179"/>
      <c r="E264" s="1179"/>
      <c r="F264" s="1179"/>
      <c r="G264" s="1179"/>
    </row>
    <row r="265" spans="1:7" ht="14.25">
      <c r="A265" s="1189"/>
      <c r="B265" s="1179"/>
      <c r="C265" s="1179"/>
      <c r="D265" s="1179"/>
      <c r="E265" s="1179"/>
      <c r="F265" s="1179"/>
      <c r="G265" s="1179"/>
    </row>
    <row r="266" spans="1:7" ht="14.25">
      <c r="A266" s="1189"/>
      <c r="B266" s="1179"/>
      <c r="C266" s="1179"/>
      <c r="D266" s="1179"/>
      <c r="E266" s="1179"/>
      <c r="F266" s="1179"/>
      <c r="G266" s="1179"/>
    </row>
    <row r="267" spans="1:7" ht="14.25">
      <c r="A267" s="1189"/>
      <c r="B267" s="1179"/>
      <c r="C267" s="1179"/>
      <c r="D267" s="1179"/>
      <c r="E267" s="1179"/>
      <c r="F267" s="1179"/>
      <c r="G267" s="1179"/>
    </row>
    <row r="268" spans="1:7" ht="14.25">
      <c r="A268" s="1189"/>
      <c r="B268" s="1179"/>
      <c r="C268" s="1179"/>
      <c r="D268" s="1179"/>
      <c r="E268" s="1179"/>
      <c r="F268" s="1179"/>
      <c r="G268" s="1179"/>
    </row>
    <row r="269" spans="1:7" ht="14.25">
      <c r="A269" s="1189"/>
      <c r="B269" s="1179"/>
      <c r="C269" s="1179"/>
      <c r="D269" s="1179"/>
      <c r="E269" s="1179"/>
      <c r="F269" s="1179"/>
      <c r="G269" s="1179"/>
    </row>
    <row r="270" spans="1:7" ht="14.25">
      <c r="A270" s="1189"/>
      <c r="B270" s="1179"/>
      <c r="C270" s="1179"/>
      <c r="D270" s="1179"/>
      <c r="E270" s="1179"/>
      <c r="F270" s="1179"/>
      <c r="G270" s="1179"/>
    </row>
    <row r="271" spans="1:7" ht="14.25">
      <c r="A271" s="1189"/>
      <c r="B271" s="1179"/>
      <c r="C271" s="1179"/>
      <c r="D271" s="1179"/>
      <c r="E271" s="1179"/>
      <c r="F271" s="1179"/>
      <c r="G271" s="1179"/>
    </row>
    <row r="272" spans="1:7" ht="14.25">
      <c r="A272" s="1189"/>
      <c r="B272" s="1179"/>
      <c r="C272" s="1179"/>
      <c r="D272" s="1179"/>
      <c r="E272" s="1179"/>
      <c r="F272" s="1179"/>
      <c r="G272" s="1179"/>
    </row>
    <row r="273" spans="1:7" ht="14.25">
      <c r="A273" s="1189"/>
      <c r="B273" s="1179"/>
      <c r="C273" s="1179"/>
      <c r="D273" s="1179"/>
      <c r="E273" s="1179"/>
      <c r="F273" s="1179"/>
      <c r="G273" s="1179"/>
    </row>
    <row r="274" spans="1:7" ht="14.25">
      <c r="A274" s="1189"/>
      <c r="B274" s="1179"/>
      <c r="C274" s="1179"/>
      <c r="D274" s="1179"/>
      <c r="E274" s="1179"/>
      <c r="F274" s="1179"/>
      <c r="G274" s="1179"/>
    </row>
    <row r="275" spans="1:7" ht="14.25">
      <c r="A275" s="1189"/>
      <c r="B275" s="1179"/>
      <c r="C275" s="1179"/>
      <c r="D275" s="1179"/>
      <c r="E275" s="1179"/>
      <c r="F275" s="1179"/>
      <c r="G275" s="1179"/>
    </row>
    <row r="276" spans="1:7" ht="14.25">
      <c r="A276" s="1189"/>
      <c r="B276" s="1179"/>
      <c r="C276" s="1179"/>
      <c r="D276" s="1179"/>
      <c r="E276" s="1179"/>
      <c r="F276" s="1179"/>
      <c r="G276" s="1179"/>
    </row>
    <row r="277" spans="1:7" ht="14.25">
      <c r="A277" s="1189"/>
      <c r="B277" s="1179"/>
      <c r="C277" s="1179"/>
      <c r="D277" s="1179"/>
      <c r="E277" s="1179"/>
      <c r="F277" s="1179"/>
      <c r="G277" s="1179"/>
    </row>
    <row r="278" spans="1:7" ht="14.25">
      <c r="A278" s="1189"/>
      <c r="B278" s="1179"/>
      <c r="C278" s="1179"/>
      <c r="D278" s="1179"/>
      <c r="E278" s="1179"/>
      <c r="F278" s="1179"/>
      <c r="G278" s="1179"/>
    </row>
    <row r="279" spans="1:7" ht="14.25">
      <c r="A279" s="1189"/>
      <c r="B279" s="1179"/>
      <c r="C279" s="1179"/>
      <c r="D279" s="1179"/>
      <c r="E279" s="1179"/>
      <c r="F279" s="1179"/>
      <c r="G279" s="1179"/>
    </row>
    <row r="280" spans="1:7" ht="14.25">
      <c r="A280" s="1189"/>
      <c r="B280" s="1179"/>
      <c r="C280" s="1179"/>
      <c r="D280" s="1179"/>
      <c r="E280" s="1179"/>
      <c r="F280" s="1179"/>
      <c r="G280" s="1179"/>
    </row>
    <row r="281" spans="1:7" ht="14.25">
      <c r="A281" s="1189"/>
      <c r="B281" s="1179"/>
      <c r="C281" s="1179"/>
      <c r="D281" s="1179"/>
      <c r="E281" s="1179"/>
      <c r="F281" s="1179"/>
      <c r="G281" s="1179"/>
    </row>
    <row r="282" spans="1:7" ht="14.25">
      <c r="A282" s="1189"/>
      <c r="B282" s="1179"/>
      <c r="C282" s="1179"/>
      <c r="D282" s="1179"/>
      <c r="E282" s="1179"/>
      <c r="F282" s="1179"/>
      <c r="G282" s="1179"/>
    </row>
    <row r="283" spans="1:7" ht="14.25">
      <c r="A283" s="1189"/>
      <c r="B283" s="1179"/>
      <c r="C283" s="1179"/>
      <c r="D283" s="1179"/>
      <c r="E283" s="1179"/>
      <c r="F283" s="1179"/>
      <c r="G283" s="1179"/>
    </row>
    <row r="284" spans="1:7" ht="14.25">
      <c r="A284" s="1189"/>
      <c r="B284" s="1179"/>
      <c r="C284" s="1179"/>
      <c r="D284" s="1179"/>
      <c r="E284" s="1179"/>
      <c r="F284" s="1179"/>
      <c r="G284" s="1179"/>
    </row>
    <row r="285" spans="1:7" ht="14.25">
      <c r="A285" s="1189"/>
      <c r="B285" s="1179"/>
      <c r="C285" s="1179"/>
      <c r="D285" s="1179"/>
      <c r="E285" s="1179"/>
      <c r="F285" s="1179"/>
      <c r="G285" s="1179"/>
    </row>
    <row r="286" spans="1:7" ht="14.25">
      <c r="A286" s="1189"/>
      <c r="B286" s="1179"/>
      <c r="C286" s="1179"/>
      <c r="D286" s="1179"/>
      <c r="E286" s="1179"/>
      <c r="F286" s="1179"/>
      <c r="G286" s="1179"/>
    </row>
    <row r="287" spans="1:7" ht="14.25">
      <c r="A287" s="1189"/>
      <c r="B287" s="1179"/>
      <c r="C287" s="1179"/>
      <c r="D287" s="1179"/>
      <c r="E287" s="1179"/>
      <c r="F287" s="1179"/>
      <c r="G287" s="1179"/>
    </row>
    <row r="288" spans="1:7" ht="14.25">
      <c r="A288" s="1189"/>
      <c r="B288" s="1179"/>
      <c r="C288" s="1179"/>
      <c r="D288" s="1179"/>
      <c r="E288" s="1179"/>
      <c r="F288" s="1179"/>
      <c r="G288" s="1179"/>
    </row>
    <row r="289" spans="1:7" ht="14.25">
      <c r="A289" s="1189"/>
      <c r="B289" s="1179"/>
      <c r="C289" s="1179"/>
      <c r="D289" s="1179"/>
      <c r="E289" s="1179"/>
      <c r="F289" s="1179"/>
      <c r="G289" s="1179"/>
    </row>
    <row r="290" spans="1:7" ht="14.25">
      <c r="A290" s="1189"/>
      <c r="B290" s="1179"/>
      <c r="C290" s="1179"/>
      <c r="D290" s="1179"/>
      <c r="E290" s="1179"/>
      <c r="F290" s="1179"/>
      <c r="G290" s="1179"/>
    </row>
    <row r="291" spans="1:7" ht="14.25">
      <c r="A291" s="1189"/>
      <c r="B291" s="1179"/>
      <c r="C291" s="1179"/>
      <c r="D291" s="1179"/>
      <c r="E291" s="1179"/>
      <c r="F291" s="1179"/>
      <c r="G291" s="1179"/>
    </row>
    <row r="292" spans="1:7" ht="14.25">
      <c r="A292" s="1189"/>
      <c r="B292" s="1179"/>
      <c r="C292" s="1179"/>
      <c r="D292" s="1179"/>
      <c r="E292" s="1179"/>
      <c r="F292" s="1179"/>
      <c r="G292" s="1179"/>
    </row>
    <row r="293" spans="1:7" ht="14.25">
      <c r="A293" s="1189"/>
      <c r="B293" s="1179"/>
      <c r="C293" s="1179"/>
      <c r="D293" s="1179"/>
      <c r="E293" s="1179"/>
      <c r="F293" s="1179"/>
      <c r="G293" s="1179"/>
    </row>
    <row r="294" spans="1:7" ht="14.25">
      <c r="A294" s="1189"/>
      <c r="B294" s="1179"/>
      <c r="C294" s="1179"/>
      <c r="D294" s="1179"/>
      <c r="E294" s="1179"/>
      <c r="F294" s="1179"/>
      <c r="G294" s="1179"/>
    </row>
    <row r="295" spans="1:7" ht="14.25">
      <c r="A295" s="1189"/>
      <c r="B295" s="1179"/>
      <c r="C295" s="1179"/>
      <c r="D295" s="1179"/>
      <c r="E295" s="1179"/>
      <c r="F295" s="1179"/>
      <c r="G295" s="1179"/>
    </row>
    <row r="296" spans="1:7" ht="14.25">
      <c r="A296" s="1189"/>
      <c r="B296" s="1179"/>
      <c r="C296" s="1179"/>
      <c r="D296" s="1179"/>
      <c r="E296" s="1179"/>
      <c r="F296" s="1179"/>
      <c r="G296" s="1179"/>
    </row>
    <row r="297" spans="1:7" ht="14.25">
      <c r="A297" s="1189"/>
      <c r="B297" s="1179"/>
      <c r="C297" s="1179"/>
      <c r="D297" s="1179"/>
      <c r="E297" s="1179"/>
      <c r="F297" s="1179"/>
      <c r="G297" s="1179"/>
    </row>
    <row r="298" spans="1:7" ht="14.25">
      <c r="A298" s="1189"/>
      <c r="B298" s="1179"/>
      <c r="C298" s="1179"/>
      <c r="D298" s="1179"/>
      <c r="E298" s="1179"/>
      <c r="F298" s="1179"/>
      <c r="G298" s="1179"/>
    </row>
    <row r="299" spans="1:7" ht="14.25">
      <c r="A299" s="1189"/>
      <c r="B299" s="1179"/>
      <c r="C299" s="1179"/>
      <c r="D299" s="1179"/>
      <c r="E299" s="1179"/>
      <c r="F299" s="1179"/>
      <c r="G299" s="1179"/>
    </row>
    <row r="300" spans="1:7" ht="14.25">
      <c r="A300" s="1189"/>
      <c r="B300" s="1179"/>
      <c r="C300" s="1179"/>
      <c r="D300" s="1179"/>
      <c r="E300" s="1179"/>
      <c r="F300" s="1179"/>
      <c r="G300" s="1179"/>
    </row>
    <row r="301" spans="1:7" ht="14.25">
      <c r="A301" s="1189"/>
      <c r="B301" s="1179"/>
      <c r="C301" s="1179"/>
      <c r="D301" s="1179"/>
      <c r="E301" s="1179"/>
      <c r="F301" s="1179"/>
      <c r="G301" s="1179"/>
    </row>
    <row r="302" spans="1:7" ht="14.25">
      <c r="A302" s="1189"/>
      <c r="B302" s="1179"/>
      <c r="C302" s="1179"/>
      <c r="D302" s="1179"/>
      <c r="E302" s="1179"/>
      <c r="F302" s="1179"/>
      <c r="G302" s="1179"/>
    </row>
    <row r="303" spans="1:7" ht="14.25">
      <c r="A303" s="1189"/>
      <c r="B303" s="1179"/>
      <c r="C303" s="1179"/>
      <c r="D303" s="1179"/>
      <c r="E303" s="1179"/>
      <c r="F303" s="1179"/>
      <c r="G303" s="1179"/>
    </row>
    <row r="304" spans="1:7" ht="14.25">
      <c r="A304" s="1189"/>
      <c r="B304" s="1179"/>
      <c r="C304" s="1179"/>
      <c r="D304" s="1179"/>
      <c r="E304" s="1179"/>
      <c r="F304" s="1179"/>
      <c r="G304" s="1179"/>
    </row>
    <row r="305" spans="1:7" ht="14.25">
      <c r="A305" s="1189"/>
      <c r="B305" s="1179"/>
      <c r="C305" s="1179"/>
      <c r="D305" s="1179"/>
      <c r="E305" s="1179"/>
      <c r="F305" s="1179"/>
      <c r="G305" s="1179"/>
    </row>
    <row r="306" spans="1:7" ht="14.25">
      <c r="A306" s="1189"/>
      <c r="B306" s="1179"/>
      <c r="C306" s="1179"/>
      <c r="D306" s="1179"/>
      <c r="E306" s="1179"/>
      <c r="F306" s="1179"/>
      <c r="G306" s="1179"/>
    </row>
    <row r="307" spans="1:7" ht="14.25">
      <c r="A307" s="1189"/>
      <c r="B307" s="1179"/>
      <c r="C307" s="1179"/>
      <c r="D307" s="1179"/>
      <c r="E307" s="1179"/>
      <c r="F307" s="1179"/>
      <c r="G307" s="1179"/>
    </row>
    <row r="308" spans="1:7" ht="14.25">
      <c r="A308" s="1189"/>
      <c r="B308" s="1179"/>
      <c r="C308" s="1179"/>
      <c r="D308" s="1179"/>
      <c r="E308" s="1179"/>
      <c r="F308" s="1179"/>
      <c r="G308" s="1179"/>
    </row>
    <row r="309" spans="1:7" ht="14.25">
      <c r="A309" s="1189"/>
      <c r="B309" s="1179"/>
      <c r="C309" s="1179"/>
      <c r="D309" s="1179"/>
      <c r="E309" s="1179"/>
      <c r="F309" s="1179"/>
      <c r="G309" s="1179"/>
    </row>
    <row r="310" spans="1:7" ht="14.25">
      <c r="A310" s="1189"/>
      <c r="B310" s="1179"/>
      <c r="C310" s="1179"/>
      <c r="D310" s="1179"/>
      <c r="E310" s="1179"/>
      <c r="F310" s="1179"/>
      <c r="G310" s="1179"/>
    </row>
    <row r="311" spans="1:7" ht="14.25">
      <c r="A311" s="1189"/>
      <c r="B311" s="1179"/>
      <c r="C311" s="1179"/>
      <c r="D311" s="1179"/>
      <c r="E311" s="1179"/>
      <c r="F311" s="1179"/>
      <c r="G311" s="1179"/>
    </row>
    <row r="312" spans="1:7" ht="14.25">
      <c r="A312" s="1189"/>
      <c r="B312" s="1179"/>
      <c r="C312" s="1179"/>
      <c r="D312" s="1179"/>
      <c r="E312" s="1179"/>
      <c r="F312" s="1179"/>
      <c r="G312" s="1179"/>
    </row>
    <row r="313" spans="1:7" ht="14.25">
      <c r="A313" s="1189"/>
      <c r="B313" s="1179"/>
      <c r="C313" s="1179"/>
      <c r="D313" s="1179"/>
      <c r="E313" s="1179"/>
      <c r="F313" s="1179"/>
      <c r="G313" s="1179"/>
    </row>
    <row r="314" spans="1:7" ht="14.25">
      <c r="A314" s="1189"/>
      <c r="B314" s="1179"/>
      <c r="C314" s="1179"/>
      <c r="D314" s="1179"/>
      <c r="E314" s="1179"/>
      <c r="F314" s="1179"/>
      <c r="G314" s="1179"/>
    </row>
    <row r="315" spans="1:7" ht="14.25">
      <c r="A315" s="1189"/>
      <c r="B315" s="1179"/>
      <c r="C315" s="1179"/>
      <c r="D315" s="1179"/>
      <c r="E315" s="1179"/>
      <c r="F315" s="1179"/>
      <c r="G315" s="1179"/>
    </row>
    <row r="316" spans="1:7" ht="14.25">
      <c r="A316" s="1189"/>
      <c r="B316" s="1179"/>
      <c r="C316" s="1179"/>
      <c r="D316" s="1179"/>
      <c r="E316" s="1179"/>
      <c r="F316" s="1179"/>
      <c r="G316" s="1179"/>
    </row>
    <row r="317" spans="1:7" ht="14.25">
      <c r="A317" s="1189"/>
      <c r="B317" s="1179"/>
      <c r="C317" s="1179"/>
      <c r="D317" s="1179"/>
      <c r="E317" s="1179"/>
      <c r="F317" s="1179"/>
      <c r="G317" s="1179"/>
    </row>
    <row r="318" spans="1:7" ht="14.25">
      <c r="A318" s="1189"/>
      <c r="B318" s="1179"/>
      <c r="C318" s="1179"/>
      <c r="D318" s="1179"/>
      <c r="E318" s="1179"/>
      <c r="F318" s="1179"/>
      <c r="G318" s="1179"/>
    </row>
    <row r="319" spans="1:7" ht="14.25">
      <c r="A319" s="1189"/>
      <c r="B319" s="1179"/>
      <c r="C319" s="1179"/>
      <c r="D319" s="1179"/>
      <c r="E319" s="1179"/>
      <c r="F319" s="1179"/>
      <c r="G319" s="1179"/>
    </row>
    <row r="320" spans="1:7" ht="14.25">
      <c r="A320" s="1189"/>
      <c r="B320" s="1179"/>
      <c r="C320" s="1179"/>
      <c r="D320" s="1179"/>
      <c r="E320" s="1179"/>
      <c r="F320" s="1179"/>
      <c r="G320" s="1179"/>
    </row>
    <row r="321" spans="1:7" ht="14.25">
      <c r="A321" s="1189"/>
      <c r="B321" s="1179"/>
      <c r="C321" s="1179"/>
      <c r="D321" s="1179"/>
      <c r="E321" s="1179"/>
      <c r="F321" s="1179"/>
      <c r="G321" s="1179"/>
    </row>
    <row r="322" spans="1:7" ht="14.25">
      <c r="A322" s="1189"/>
      <c r="B322" s="1179"/>
      <c r="C322" s="1179"/>
      <c r="D322" s="1179"/>
      <c r="E322" s="1179"/>
      <c r="F322" s="1179"/>
      <c r="G322" s="1179"/>
    </row>
    <row r="323" spans="1:7" ht="14.25">
      <c r="A323" s="1189"/>
      <c r="B323" s="1179"/>
      <c r="C323" s="1179"/>
      <c r="D323" s="1179"/>
      <c r="E323" s="1179"/>
      <c r="F323" s="1179"/>
      <c r="G323" s="1179"/>
    </row>
    <row r="324" spans="1:7" ht="14.25">
      <c r="A324" s="1189"/>
      <c r="B324" s="1179"/>
      <c r="C324" s="1179"/>
      <c r="D324" s="1179"/>
      <c r="E324" s="1179"/>
      <c r="F324" s="1179"/>
      <c r="G324" s="1179"/>
    </row>
    <row r="325" spans="1:7" ht="14.25">
      <c r="A325" s="1189"/>
      <c r="B325" s="1179"/>
      <c r="C325" s="1179"/>
      <c r="D325" s="1179"/>
      <c r="E325" s="1179"/>
      <c r="F325" s="1179"/>
      <c r="G325" s="1179"/>
    </row>
    <row r="326" spans="1:7" ht="14.25">
      <c r="A326" s="1189"/>
      <c r="B326" s="1179"/>
      <c r="C326" s="1179"/>
      <c r="D326" s="1179"/>
      <c r="E326" s="1179"/>
      <c r="F326" s="1179"/>
      <c r="G326" s="1179"/>
    </row>
    <row r="327" spans="1:7" ht="14.25">
      <c r="A327" s="1189"/>
      <c r="B327" s="1179"/>
      <c r="C327" s="1179"/>
      <c r="D327" s="1179"/>
      <c r="E327" s="1179"/>
      <c r="F327" s="1179"/>
      <c r="G327" s="1179"/>
    </row>
    <row r="328" spans="1:7" ht="14.25">
      <c r="A328" s="1189"/>
      <c r="B328" s="1179"/>
      <c r="C328" s="1179"/>
      <c r="D328" s="1179"/>
      <c r="E328" s="1179"/>
      <c r="F328" s="1179"/>
      <c r="G328" s="1179"/>
    </row>
    <row r="329" spans="1:7" ht="14.25">
      <c r="A329" s="1189"/>
      <c r="B329" s="1179"/>
      <c r="C329" s="1179"/>
      <c r="D329" s="1179"/>
      <c r="E329" s="1179"/>
      <c r="F329" s="1179"/>
      <c r="G329" s="1179"/>
    </row>
    <row r="330" spans="1:7" ht="14.25">
      <c r="A330" s="1189"/>
      <c r="B330" s="1179"/>
      <c r="C330" s="1179"/>
      <c r="D330" s="1179"/>
      <c r="E330" s="1179"/>
      <c r="F330" s="1179"/>
      <c r="G330" s="1179"/>
    </row>
    <row r="331" spans="1:7" ht="14.25">
      <c r="A331" s="1189"/>
      <c r="B331" s="1179"/>
      <c r="C331" s="1179"/>
      <c r="D331" s="1179"/>
      <c r="E331" s="1179"/>
      <c r="F331" s="1179"/>
      <c r="G331" s="1179"/>
    </row>
    <row r="332" spans="1:7" ht="14.25">
      <c r="A332" s="1189"/>
      <c r="B332" s="1179"/>
      <c r="C332" s="1179"/>
      <c r="D332" s="1179"/>
      <c r="E332" s="1179"/>
      <c r="F332" s="1179"/>
      <c r="G332" s="1179"/>
    </row>
    <row r="333" spans="1:7" ht="14.25">
      <c r="A333" s="1189"/>
      <c r="B333" s="1179"/>
      <c r="C333" s="1179"/>
      <c r="D333" s="1179"/>
      <c r="E333" s="1179"/>
      <c r="F333" s="1179"/>
      <c r="G333" s="1179"/>
    </row>
    <row r="334" spans="1:7" ht="14.25">
      <c r="A334" s="1189"/>
      <c r="B334" s="1179"/>
      <c r="C334" s="1179"/>
      <c r="D334" s="1179"/>
      <c r="E334" s="1179"/>
      <c r="F334" s="1179"/>
      <c r="G334" s="1179"/>
    </row>
    <row r="335" spans="1:7" ht="14.25">
      <c r="A335" s="1189"/>
      <c r="B335" s="1179"/>
      <c r="C335" s="1179"/>
      <c r="D335" s="1179"/>
      <c r="E335" s="1179"/>
      <c r="F335" s="1179"/>
      <c r="G335" s="1179"/>
    </row>
    <row r="336" spans="1:7" ht="14.25">
      <c r="A336" s="1189"/>
      <c r="B336" s="1179"/>
      <c r="C336" s="1179"/>
      <c r="D336" s="1179"/>
      <c r="E336" s="1179"/>
      <c r="F336" s="1179"/>
      <c r="G336" s="1179"/>
    </row>
    <row r="337" spans="1:7" ht="14.25">
      <c r="A337" s="1189"/>
      <c r="B337" s="1179"/>
      <c r="C337" s="1179"/>
      <c r="D337" s="1179"/>
      <c r="E337" s="1179"/>
      <c r="F337" s="1179"/>
      <c r="G337" s="1179"/>
    </row>
    <row r="338" spans="1:7" ht="14.25">
      <c r="A338" s="1189"/>
      <c r="B338" s="1179"/>
      <c r="C338" s="1179"/>
      <c r="D338" s="1179"/>
      <c r="E338" s="1179"/>
      <c r="F338" s="1179"/>
      <c r="G338" s="1179"/>
    </row>
    <row r="339" spans="1:7" ht="14.25">
      <c r="A339" s="1189"/>
      <c r="B339" s="1179"/>
      <c r="C339" s="1179"/>
      <c r="D339" s="1179"/>
      <c r="E339" s="1179"/>
      <c r="F339" s="1179"/>
      <c r="G339" s="1179"/>
    </row>
    <row r="340" spans="1:7" ht="14.25">
      <c r="A340" s="1189"/>
      <c r="B340" s="1179"/>
      <c r="C340" s="1179"/>
      <c r="D340" s="1179"/>
      <c r="E340" s="1179"/>
      <c r="F340" s="1179"/>
      <c r="G340" s="1179"/>
    </row>
    <row r="341" spans="1:7" ht="14.25">
      <c r="A341" s="1189"/>
      <c r="B341" s="1179"/>
      <c r="C341" s="1179"/>
      <c r="D341" s="1179"/>
      <c r="E341" s="1179"/>
      <c r="F341" s="1179"/>
      <c r="G341" s="1179"/>
    </row>
    <row r="342" spans="1:7" ht="14.25">
      <c r="A342" s="1189"/>
      <c r="B342" s="1179"/>
      <c r="C342" s="1179"/>
      <c r="D342" s="1179"/>
      <c r="E342" s="1179"/>
      <c r="F342" s="1179"/>
      <c r="G342" s="1179"/>
    </row>
    <row r="343" spans="1:7" ht="14.25">
      <c r="A343" s="1189"/>
      <c r="B343" s="1179"/>
      <c r="C343" s="1179"/>
      <c r="D343" s="1179"/>
      <c r="E343" s="1179"/>
      <c r="F343" s="1179"/>
      <c r="G343" s="1179"/>
    </row>
    <row r="344" spans="1:7" ht="14.25">
      <c r="A344" s="1189"/>
      <c r="B344" s="1179"/>
      <c r="C344" s="1179"/>
      <c r="D344" s="1179"/>
      <c r="E344" s="1179"/>
      <c r="F344" s="1179"/>
      <c r="G344" s="1179"/>
    </row>
    <row r="345" spans="1:7" ht="14.25">
      <c r="A345" s="1189"/>
      <c r="B345" s="1179"/>
      <c r="C345" s="1179"/>
      <c r="D345" s="1179"/>
      <c r="E345" s="1179"/>
      <c r="F345" s="1179"/>
      <c r="G345" s="1179"/>
    </row>
    <row r="346" spans="1:7" ht="14.25">
      <c r="A346" s="1189"/>
      <c r="B346" s="1179"/>
      <c r="C346" s="1179"/>
      <c r="D346" s="1179"/>
      <c r="E346" s="1179"/>
      <c r="F346" s="1179"/>
      <c r="G346" s="1179"/>
    </row>
    <row r="347" spans="1:7" ht="14.25">
      <c r="A347" s="1189"/>
      <c r="B347" s="1179"/>
      <c r="C347" s="1179"/>
      <c r="D347" s="1179"/>
      <c r="E347" s="1179"/>
      <c r="F347" s="1179"/>
      <c r="G347" s="1179"/>
    </row>
    <row r="348" spans="1:7" ht="14.25">
      <c r="A348" s="1189"/>
      <c r="B348" s="1179"/>
      <c r="C348" s="1179"/>
      <c r="D348" s="1179"/>
      <c r="E348" s="1179"/>
      <c r="F348" s="1179"/>
      <c r="G348" s="1179"/>
    </row>
    <row r="349" spans="1:7" ht="14.25">
      <c r="A349" s="1189"/>
      <c r="B349" s="1179"/>
      <c r="C349" s="1179"/>
      <c r="D349" s="1179"/>
      <c r="E349" s="1179"/>
      <c r="F349" s="1179"/>
      <c r="G349" s="1179"/>
    </row>
    <row r="350" spans="1:7" ht="14.25">
      <c r="A350" s="1189"/>
      <c r="B350" s="1179"/>
      <c r="C350" s="1179"/>
      <c r="D350" s="1179"/>
      <c r="E350" s="1179"/>
      <c r="F350" s="1179"/>
      <c r="G350" s="1179"/>
    </row>
    <row r="351" spans="1:7" ht="14.25">
      <c r="A351" s="1189"/>
      <c r="B351" s="1179"/>
      <c r="C351" s="1179"/>
      <c r="D351" s="1179"/>
      <c r="E351" s="1179"/>
      <c r="F351" s="1179"/>
      <c r="G351" s="1179"/>
    </row>
    <row r="352" spans="1:7" ht="14.25">
      <c r="A352" s="1189"/>
      <c r="B352" s="1179"/>
      <c r="C352" s="1179"/>
      <c r="D352" s="1179"/>
      <c r="E352" s="1179"/>
      <c r="F352" s="1179"/>
      <c r="G352" s="1179"/>
    </row>
    <row r="353" spans="1:7" ht="14.25">
      <c r="A353" s="1189"/>
      <c r="B353" s="1179"/>
      <c r="C353" s="1179"/>
      <c r="D353" s="1179"/>
      <c r="E353" s="1179"/>
      <c r="F353" s="1179"/>
      <c r="G353" s="1179"/>
    </row>
    <row r="354" spans="1:7" ht="14.25">
      <c r="A354" s="1189"/>
      <c r="B354" s="1179"/>
      <c r="C354" s="1179"/>
      <c r="D354" s="1179"/>
      <c r="E354" s="1179"/>
      <c r="F354" s="1179"/>
      <c r="G354" s="1179"/>
    </row>
    <row r="355" spans="1:7" ht="14.25">
      <c r="A355" s="1189"/>
      <c r="B355" s="1179"/>
      <c r="C355" s="1179"/>
      <c r="D355" s="1179"/>
      <c r="E355" s="1179"/>
      <c r="F355" s="1179"/>
      <c r="G355" s="1179"/>
    </row>
    <row r="356" spans="1:7" ht="14.25">
      <c r="A356" s="1189"/>
      <c r="B356" s="1179"/>
      <c r="C356" s="1179"/>
      <c r="D356" s="1179"/>
      <c r="E356" s="1179"/>
      <c r="F356" s="1179"/>
      <c r="G356" s="1179"/>
    </row>
    <row r="357" spans="1:7" ht="14.25">
      <c r="A357" s="1189"/>
      <c r="B357" s="1179"/>
      <c r="C357" s="1179"/>
      <c r="D357" s="1179"/>
      <c r="E357" s="1179"/>
      <c r="F357" s="1179"/>
      <c r="G357" s="1179"/>
    </row>
    <row r="358" spans="1:7" ht="14.25">
      <c r="A358" s="1189"/>
      <c r="B358" s="1179"/>
      <c r="C358" s="1179"/>
      <c r="D358" s="1179"/>
      <c r="E358" s="1179"/>
      <c r="F358" s="1179"/>
      <c r="G358" s="1179"/>
    </row>
    <row r="359" spans="1:7" ht="14.25">
      <c r="A359" s="1189"/>
      <c r="B359" s="1179"/>
      <c r="C359" s="1179"/>
      <c r="D359" s="1179"/>
      <c r="E359" s="1179"/>
      <c r="F359" s="1179"/>
      <c r="G359" s="1179"/>
    </row>
    <row r="360" spans="1:7" ht="14.25">
      <c r="A360" s="1189"/>
      <c r="B360" s="1179"/>
      <c r="C360" s="1179"/>
      <c r="D360" s="1179"/>
      <c r="E360" s="1179"/>
      <c r="F360" s="1179"/>
      <c r="G360" s="1179"/>
    </row>
    <row r="361" spans="1:7" ht="14.25">
      <c r="A361" s="1189"/>
      <c r="B361" s="1179"/>
      <c r="C361" s="1179"/>
      <c r="D361" s="1179"/>
      <c r="E361" s="1179"/>
      <c r="F361" s="1179"/>
      <c r="G361" s="1179"/>
    </row>
    <row r="362" spans="1:7" ht="14.25">
      <c r="A362" s="1189"/>
      <c r="B362" s="1179"/>
      <c r="C362" s="1179"/>
      <c r="D362" s="1179"/>
      <c r="E362" s="1179"/>
      <c r="F362" s="1179"/>
      <c r="G362" s="1179"/>
    </row>
    <row r="363" spans="1:7" ht="14.25">
      <c r="A363" s="1189"/>
      <c r="B363" s="1179"/>
      <c r="C363" s="1179"/>
      <c r="D363" s="1179"/>
      <c r="E363" s="1179"/>
      <c r="F363" s="1179"/>
      <c r="G363" s="1179"/>
    </row>
    <row r="364" spans="1:7" ht="14.25">
      <c r="A364" s="1189"/>
      <c r="B364" s="1179"/>
      <c r="C364" s="1179"/>
      <c r="D364" s="1179"/>
      <c r="E364" s="1179"/>
      <c r="F364" s="1179"/>
      <c r="G364" s="1179"/>
    </row>
    <row r="365" spans="1:7" ht="14.25">
      <c r="A365" s="1189"/>
      <c r="B365" s="1179"/>
      <c r="C365" s="1179"/>
      <c r="D365" s="1179"/>
      <c r="E365" s="1179"/>
      <c r="F365" s="1179"/>
      <c r="G365" s="1179"/>
    </row>
    <row r="366" spans="1:7" ht="14.25">
      <c r="A366" s="1189"/>
      <c r="B366" s="1179"/>
      <c r="C366" s="1179"/>
      <c r="D366" s="1179"/>
      <c r="E366" s="1179"/>
      <c r="F366" s="1179"/>
      <c r="G366" s="1179"/>
    </row>
    <row r="367" spans="1:7" ht="14.25">
      <c r="A367" s="1189"/>
      <c r="B367" s="1179"/>
      <c r="C367" s="1179"/>
      <c r="D367" s="1179"/>
      <c r="E367" s="1179"/>
      <c r="F367" s="1179"/>
      <c r="G367" s="1179"/>
    </row>
    <row r="368" spans="1:7" ht="14.25">
      <c r="A368" s="1189"/>
      <c r="B368" s="1179"/>
      <c r="C368" s="1179"/>
      <c r="D368" s="1179"/>
      <c r="E368" s="1179"/>
      <c r="F368" s="1179"/>
      <c r="G368" s="1179"/>
    </row>
    <row r="369" spans="1:7" ht="14.25">
      <c r="A369" s="1189"/>
      <c r="B369" s="1179"/>
      <c r="C369" s="1179"/>
      <c r="D369" s="1179"/>
      <c r="E369" s="1179"/>
      <c r="F369" s="1179"/>
      <c r="G369" s="1179"/>
    </row>
    <row r="370" spans="1:7" ht="14.25">
      <c r="A370" s="1189"/>
      <c r="B370" s="1179"/>
      <c r="C370" s="1179"/>
      <c r="D370" s="1179"/>
      <c r="E370" s="1179"/>
      <c r="F370" s="1179"/>
      <c r="G370" s="1179"/>
    </row>
    <row r="371" spans="1:7" ht="14.25">
      <c r="A371" s="1189"/>
      <c r="B371" s="1179"/>
      <c r="C371" s="1179"/>
      <c r="D371" s="1179"/>
      <c r="E371" s="1179"/>
      <c r="F371" s="1179"/>
      <c r="G371" s="1179"/>
    </row>
    <row r="372" spans="1:7" ht="14.25">
      <c r="A372" s="1189"/>
      <c r="B372" s="1179"/>
      <c r="C372" s="1179"/>
      <c r="D372" s="1179"/>
      <c r="E372" s="1179"/>
      <c r="F372" s="1179"/>
      <c r="G372" s="1179"/>
    </row>
    <row r="373" spans="1:7" ht="14.25">
      <c r="A373" s="1189"/>
      <c r="B373" s="1179"/>
      <c r="C373" s="1179"/>
      <c r="D373" s="1179"/>
      <c r="E373" s="1179"/>
      <c r="F373" s="1179"/>
      <c r="G373" s="1179"/>
    </row>
    <row r="374" spans="1:7" ht="14.25">
      <c r="A374" s="1189"/>
      <c r="B374" s="1179"/>
      <c r="C374" s="1179"/>
      <c r="D374" s="1179"/>
      <c r="E374" s="1179"/>
      <c r="F374" s="1179"/>
      <c r="G374" s="1179"/>
    </row>
    <row r="375" spans="1:7" ht="14.25">
      <c r="A375" s="1189"/>
      <c r="B375" s="1179"/>
      <c r="C375" s="1179"/>
      <c r="D375" s="1179"/>
      <c r="E375" s="1179"/>
      <c r="F375" s="1179"/>
      <c r="G375" s="1179"/>
    </row>
    <row r="376" spans="1:7" ht="14.25">
      <c r="A376" s="1189"/>
      <c r="B376" s="1179"/>
      <c r="C376" s="1179"/>
      <c r="D376" s="1179"/>
      <c r="E376" s="1179"/>
      <c r="F376" s="1179"/>
      <c r="G376" s="1179"/>
    </row>
    <row r="377" spans="1:7" ht="14.25">
      <c r="A377" s="1189"/>
      <c r="B377" s="1179"/>
      <c r="C377" s="1179"/>
      <c r="D377" s="1179"/>
      <c r="E377" s="1179"/>
      <c r="F377" s="1179"/>
      <c r="G377" s="1179"/>
    </row>
    <row r="378" spans="1:7" ht="14.25">
      <c r="A378" s="1189"/>
      <c r="B378" s="1179"/>
      <c r="C378" s="1179"/>
      <c r="D378" s="1179"/>
      <c r="E378" s="1179"/>
      <c r="F378" s="1179"/>
      <c r="G378" s="1179"/>
    </row>
    <row r="379" spans="1:7" ht="14.25">
      <c r="A379" s="1189"/>
      <c r="B379" s="1179"/>
      <c r="C379" s="1179"/>
      <c r="D379" s="1179"/>
      <c r="E379" s="1179"/>
      <c r="F379" s="1179"/>
      <c r="G379" s="1179"/>
    </row>
    <row r="380" spans="1:7" ht="14.25">
      <c r="A380" s="1189"/>
      <c r="B380" s="1179"/>
      <c r="C380" s="1179"/>
      <c r="D380" s="1179"/>
      <c r="E380" s="1179"/>
      <c r="F380" s="1179"/>
      <c r="G380" s="1179"/>
    </row>
    <row r="381" spans="1:7" ht="14.25">
      <c r="A381" s="1189"/>
      <c r="B381" s="1179"/>
      <c r="C381" s="1179"/>
      <c r="D381" s="1179"/>
      <c r="E381" s="1179"/>
      <c r="F381" s="1179"/>
      <c r="G381" s="1179"/>
    </row>
    <row r="382" spans="1:7" ht="14.25">
      <c r="A382" s="1189"/>
      <c r="B382" s="1179"/>
      <c r="C382" s="1179"/>
      <c r="D382" s="1179"/>
      <c r="E382" s="1179"/>
      <c r="F382" s="1179"/>
      <c r="G382" s="1179"/>
    </row>
    <row r="383" spans="1:7" ht="14.25">
      <c r="A383" s="1189"/>
      <c r="B383" s="1179"/>
      <c r="C383" s="1179"/>
      <c r="D383" s="1179"/>
      <c r="E383" s="1179"/>
      <c r="F383" s="1179"/>
      <c r="G383" s="1179"/>
    </row>
    <row r="384" spans="1:7" ht="14.25">
      <c r="A384" s="1189"/>
      <c r="B384" s="1179"/>
      <c r="C384" s="1179"/>
      <c r="D384" s="1179"/>
      <c r="E384" s="1179"/>
      <c r="F384" s="1179"/>
      <c r="G384" s="1179"/>
    </row>
    <row r="385" spans="1:7" ht="14.25">
      <c r="A385" s="1189"/>
      <c r="B385" s="1179"/>
      <c r="C385" s="1179"/>
      <c r="D385" s="1179"/>
      <c r="E385" s="1179"/>
      <c r="F385" s="1179"/>
      <c r="G385" s="1179"/>
    </row>
    <row r="386" spans="1:7" ht="14.25">
      <c r="A386" s="1189"/>
      <c r="B386" s="1179"/>
      <c r="C386" s="1179"/>
      <c r="D386" s="1179"/>
      <c r="E386" s="1179"/>
      <c r="F386" s="1179"/>
      <c r="G386" s="1179"/>
    </row>
    <row r="387" spans="1:7" ht="14.25">
      <c r="A387" s="1189"/>
      <c r="B387" s="1179"/>
      <c r="C387" s="1179"/>
      <c r="D387" s="1179"/>
      <c r="E387" s="1179"/>
      <c r="F387" s="1179"/>
      <c r="G387" s="1179"/>
    </row>
    <row r="388" spans="1:7" ht="14.25">
      <c r="A388" s="1189"/>
      <c r="B388" s="1179"/>
      <c r="C388" s="1179"/>
      <c r="D388" s="1179"/>
      <c r="E388" s="1179"/>
      <c r="F388" s="1179"/>
      <c r="G388" s="1179"/>
    </row>
    <row r="389" spans="1:7" ht="14.25">
      <c r="A389" s="1189"/>
      <c r="B389" s="1179"/>
      <c r="C389" s="1179"/>
      <c r="D389" s="1179"/>
      <c r="E389" s="1179"/>
      <c r="F389" s="1179"/>
      <c r="G389" s="1179"/>
    </row>
    <row r="390" spans="1:7" ht="14.25">
      <c r="A390" s="1189"/>
      <c r="B390" s="1179"/>
      <c r="C390" s="1179"/>
      <c r="D390" s="1179"/>
      <c r="E390" s="1179"/>
      <c r="F390" s="1179"/>
      <c r="G390" s="1179"/>
    </row>
    <row r="391" spans="1:7" ht="14.25">
      <c r="A391" s="1189"/>
      <c r="B391" s="1179"/>
      <c r="C391" s="1179"/>
      <c r="D391" s="1179"/>
      <c r="E391" s="1179"/>
      <c r="F391" s="1179"/>
      <c r="G391" s="1179"/>
    </row>
    <row r="392" spans="1:7" ht="14.25">
      <c r="A392" s="1189"/>
      <c r="B392" s="1179"/>
      <c r="C392" s="1179"/>
      <c r="D392" s="1179"/>
      <c r="E392" s="1179"/>
      <c r="F392" s="1179"/>
      <c r="G392" s="1179"/>
    </row>
    <row r="393" spans="1:7" ht="14.25">
      <c r="A393" s="1189"/>
      <c r="B393" s="1179"/>
      <c r="C393" s="1179"/>
      <c r="D393" s="1179"/>
      <c r="E393" s="1179"/>
      <c r="F393" s="1179"/>
      <c r="G393" s="1179"/>
    </row>
    <row r="394" spans="1:7" ht="14.25">
      <c r="A394" s="1189"/>
      <c r="B394" s="1179"/>
      <c r="C394" s="1179"/>
      <c r="D394" s="1179"/>
      <c r="E394" s="1179"/>
      <c r="F394" s="1179"/>
      <c r="G394" s="1179"/>
    </row>
    <row r="395" spans="1:7" ht="14.25">
      <c r="A395" s="1189"/>
      <c r="B395" s="1179"/>
      <c r="C395" s="1179"/>
      <c r="D395" s="1179"/>
      <c r="E395" s="1179"/>
      <c r="F395" s="1179"/>
      <c r="G395" s="1179"/>
    </row>
    <row r="396" spans="1:7" ht="14.25">
      <c r="A396" s="1189"/>
      <c r="B396" s="1179"/>
      <c r="C396" s="1179"/>
      <c r="D396" s="1179"/>
      <c r="E396" s="1179"/>
      <c r="F396" s="1179"/>
      <c r="G396" s="1179"/>
    </row>
    <row r="397" spans="1:7" ht="14.25">
      <c r="A397" s="1189"/>
      <c r="B397" s="1179"/>
      <c r="C397" s="1179"/>
      <c r="D397" s="1179"/>
      <c r="E397" s="1179"/>
      <c r="F397" s="1179"/>
      <c r="G397" s="1179"/>
    </row>
    <row r="398" spans="1:7" ht="14.25">
      <c r="A398" s="1189"/>
      <c r="B398" s="1179"/>
      <c r="C398" s="1179"/>
      <c r="D398" s="1179"/>
      <c r="E398" s="1179"/>
      <c r="F398" s="1179"/>
      <c r="G398" s="1179"/>
    </row>
    <row r="399" spans="1:7" ht="14.25">
      <c r="A399" s="1189"/>
      <c r="B399" s="1179"/>
      <c r="C399" s="1179"/>
      <c r="D399" s="1179"/>
      <c r="E399" s="1179"/>
      <c r="F399" s="1179"/>
      <c r="G399" s="1179"/>
    </row>
    <row r="400" spans="1:7" ht="14.25">
      <c r="A400" s="1189"/>
      <c r="B400" s="1179"/>
      <c r="C400" s="1179"/>
      <c r="D400" s="1179"/>
      <c r="E400" s="1179"/>
      <c r="F400" s="1179"/>
      <c r="G400" s="1179"/>
    </row>
    <row r="401" spans="1:7" ht="14.25">
      <c r="A401" s="1189"/>
      <c r="B401" s="1179"/>
      <c r="C401" s="1179"/>
      <c r="D401" s="1179"/>
      <c r="E401" s="1179"/>
      <c r="F401" s="1179"/>
      <c r="G401" s="1179"/>
    </row>
    <row r="402" spans="1:7" ht="14.25">
      <c r="A402" s="1189"/>
      <c r="B402" s="1179"/>
      <c r="C402" s="1179"/>
      <c r="D402" s="1179"/>
      <c r="E402" s="1179"/>
      <c r="F402" s="1179"/>
      <c r="G402" s="1179"/>
    </row>
    <row r="403" spans="1:7" ht="14.25">
      <c r="A403" s="1189"/>
      <c r="B403" s="1179"/>
      <c r="C403" s="1179"/>
      <c r="D403" s="1179"/>
      <c r="E403" s="1179"/>
      <c r="F403" s="1179"/>
      <c r="G403" s="1179"/>
    </row>
    <row r="404" spans="1:7" ht="14.25">
      <c r="A404" s="1189"/>
      <c r="B404" s="1179"/>
      <c r="C404" s="1179"/>
      <c r="D404" s="1179"/>
      <c r="E404" s="1179"/>
      <c r="F404" s="1179"/>
      <c r="G404" s="1179"/>
    </row>
    <row r="405" spans="1:7" ht="14.25">
      <c r="A405" s="1189"/>
      <c r="B405" s="1179"/>
      <c r="C405" s="1179"/>
      <c r="D405" s="1179"/>
      <c r="E405" s="1179"/>
      <c r="F405" s="1179"/>
      <c r="G405" s="1179"/>
    </row>
    <row r="406" spans="1:7" ht="14.25">
      <c r="A406" s="1189"/>
      <c r="B406" s="1179"/>
      <c r="C406" s="1179"/>
      <c r="D406" s="1179"/>
      <c r="E406" s="1179"/>
      <c r="F406" s="1179"/>
      <c r="G406" s="1179"/>
    </row>
    <row r="407" spans="1:7" ht="14.25">
      <c r="A407" s="1189"/>
      <c r="B407" s="1179"/>
      <c r="C407" s="1179"/>
      <c r="D407" s="1179"/>
      <c r="E407" s="1179"/>
      <c r="F407" s="1179"/>
      <c r="G407" s="1179"/>
    </row>
    <row r="408" spans="1:7" ht="14.25">
      <c r="A408" s="1189"/>
      <c r="B408" s="1179"/>
      <c r="C408" s="1179"/>
      <c r="D408" s="1179"/>
      <c r="E408" s="1179"/>
      <c r="F408" s="1179"/>
      <c r="G408" s="1179"/>
    </row>
    <row r="409" spans="1:7" ht="14.25">
      <c r="A409" s="1189"/>
      <c r="B409" s="1179"/>
      <c r="C409" s="1179"/>
      <c r="D409" s="1179"/>
      <c r="E409" s="1179"/>
      <c r="F409" s="1179"/>
      <c r="G409" s="1179"/>
    </row>
    <row r="410" spans="1:7" ht="14.25">
      <c r="A410" s="1189"/>
      <c r="B410" s="1179"/>
      <c r="C410" s="1179"/>
      <c r="D410" s="1179"/>
      <c r="E410" s="1179"/>
      <c r="F410" s="1179"/>
      <c r="G410" s="1179"/>
    </row>
    <row r="411" spans="1:7" ht="14.25">
      <c r="A411" s="1189"/>
      <c r="B411" s="1179"/>
      <c r="C411" s="1179"/>
      <c r="D411" s="1179"/>
      <c r="E411" s="1179"/>
      <c r="F411" s="1179"/>
      <c r="G411" s="1179"/>
    </row>
    <row r="412" spans="1:7" ht="14.25">
      <c r="A412" s="1189"/>
      <c r="B412" s="1179"/>
      <c r="C412" s="1179"/>
      <c r="D412" s="1179"/>
      <c r="E412" s="1179"/>
      <c r="F412" s="1179"/>
      <c r="G412" s="1179"/>
    </row>
    <row r="413" spans="1:7" ht="14.25">
      <c r="A413" s="1189"/>
      <c r="B413" s="1179"/>
      <c r="C413" s="1179"/>
      <c r="D413" s="1179"/>
      <c r="E413" s="1179"/>
      <c r="F413" s="1179"/>
      <c r="G413" s="1179"/>
    </row>
    <row r="414" spans="1:7" ht="14.25">
      <c r="A414" s="1189"/>
      <c r="B414" s="1179"/>
      <c r="C414" s="1179"/>
      <c r="D414" s="1179"/>
      <c r="E414" s="1179"/>
      <c r="F414" s="1179"/>
      <c r="G414" s="1179"/>
    </row>
    <row r="415" spans="1:7" ht="14.25">
      <c r="A415" s="1189"/>
      <c r="B415" s="1179"/>
      <c r="C415" s="1179"/>
      <c r="D415" s="1179"/>
      <c r="E415" s="1179"/>
      <c r="F415" s="1179"/>
      <c r="G415" s="1179"/>
    </row>
    <row r="416" spans="1:7" ht="14.25">
      <c r="A416" s="1189"/>
      <c r="B416" s="1179"/>
      <c r="C416" s="1179"/>
      <c r="D416" s="1179"/>
      <c r="E416" s="1179"/>
      <c r="F416" s="1179"/>
      <c r="G416" s="1179"/>
    </row>
    <row r="417" spans="1:7" ht="14.25">
      <c r="A417" s="1189"/>
      <c r="B417" s="1179"/>
      <c r="C417" s="1179"/>
      <c r="D417" s="1179"/>
      <c r="E417" s="1179"/>
      <c r="F417" s="1179"/>
      <c r="G417" s="1179"/>
    </row>
    <row r="418" spans="1:7" ht="14.25">
      <c r="A418" s="1189"/>
      <c r="B418" s="1179"/>
      <c r="C418" s="1179"/>
      <c r="D418" s="1179"/>
      <c r="E418" s="1179"/>
      <c r="F418" s="1179"/>
      <c r="G418" s="1179"/>
    </row>
    <row r="419" spans="1:7" ht="14.25">
      <c r="A419" s="1189"/>
      <c r="B419" s="1179"/>
      <c r="C419" s="1179"/>
      <c r="D419" s="1179"/>
      <c r="E419" s="1179"/>
      <c r="F419" s="1179"/>
      <c r="G419" s="1179"/>
    </row>
    <row r="420" spans="1:7" ht="14.25">
      <c r="A420" s="1189"/>
      <c r="B420" s="1179"/>
      <c r="C420" s="1179"/>
      <c r="D420" s="1179"/>
      <c r="E420" s="1179"/>
      <c r="F420" s="1179"/>
      <c r="G420" s="1179"/>
    </row>
    <row r="421" spans="1:7" ht="14.25">
      <c r="A421" s="1189"/>
      <c r="B421" s="1179"/>
      <c r="C421" s="1179"/>
      <c r="D421" s="1179"/>
      <c r="E421" s="1179"/>
      <c r="F421" s="1179"/>
      <c r="G421" s="1179"/>
    </row>
    <row r="422" spans="1:7" ht="14.25">
      <c r="A422" s="1189"/>
      <c r="B422" s="1179"/>
      <c r="C422" s="1179"/>
      <c r="D422" s="1179"/>
      <c r="E422" s="1179"/>
      <c r="F422" s="1179"/>
      <c r="G422" s="1179"/>
    </row>
    <row r="423" spans="1:7" ht="14.25">
      <c r="A423" s="1189"/>
      <c r="B423" s="1179"/>
      <c r="C423" s="1179"/>
      <c r="D423" s="1179"/>
      <c r="E423" s="1179"/>
      <c r="F423" s="1179"/>
      <c r="G423" s="1179"/>
    </row>
    <row r="424" spans="1:7" ht="14.25">
      <c r="A424" s="1189"/>
      <c r="B424" s="1179"/>
      <c r="C424" s="1179"/>
      <c r="D424" s="1179"/>
      <c r="E424" s="1179"/>
      <c r="F424" s="1179"/>
      <c r="G424" s="1179"/>
    </row>
    <row r="425" spans="1:7" ht="14.25">
      <c r="A425" s="1189"/>
      <c r="B425" s="1179"/>
      <c r="C425" s="1179"/>
      <c r="D425" s="1179"/>
      <c r="E425" s="1179"/>
      <c r="F425" s="1179"/>
      <c r="G425" s="1179"/>
    </row>
    <row r="426" spans="1:7" ht="14.25">
      <c r="A426" s="1189"/>
      <c r="B426" s="1179"/>
      <c r="C426" s="1179"/>
      <c r="D426" s="1179"/>
      <c r="E426" s="1179"/>
      <c r="F426" s="1179"/>
      <c r="G426" s="1179"/>
    </row>
    <row r="427" spans="1:7" ht="14.25">
      <c r="A427" s="1189"/>
      <c r="B427" s="1179"/>
      <c r="C427" s="1179"/>
      <c r="D427" s="1179"/>
      <c r="E427" s="1179"/>
      <c r="F427" s="1179"/>
      <c r="G427" s="1179"/>
    </row>
    <row r="428" spans="1:7" ht="14.25">
      <c r="A428" s="1189"/>
      <c r="B428" s="1179"/>
      <c r="C428" s="1179"/>
      <c r="D428" s="1179"/>
      <c r="E428" s="1179"/>
      <c r="F428" s="1179"/>
      <c r="G428" s="1179"/>
    </row>
    <row r="429" spans="1:7" ht="14.25">
      <c r="A429" s="1189"/>
      <c r="B429" s="1179"/>
      <c r="C429" s="1179"/>
      <c r="D429" s="1179"/>
      <c r="E429" s="1179"/>
      <c r="F429" s="1179"/>
      <c r="G429" s="1179"/>
    </row>
    <row r="430" spans="1:7" ht="14.25">
      <c r="A430" s="1189"/>
      <c r="B430" s="1179"/>
      <c r="C430" s="1179"/>
      <c r="D430" s="1179"/>
      <c r="E430" s="1179"/>
      <c r="F430" s="1179"/>
      <c r="G430" s="1179"/>
    </row>
    <row r="431" spans="1:7" ht="14.25">
      <c r="A431" s="1189"/>
      <c r="B431" s="1179"/>
      <c r="C431" s="1179"/>
      <c r="D431" s="1179"/>
      <c r="E431" s="1179"/>
      <c r="F431" s="1179"/>
      <c r="G431" s="1179"/>
    </row>
    <row r="432" spans="1:7" ht="14.25">
      <c r="A432" s="1189"/>
      <c r="B432" s="1179"/>
      <c r="C432" s="1179"/>
      <c r="D432" s="1179"/>
      <c r="E432" s="1179"/>
      <c r="F432" s="1179"/>
      <c r="G432" s="1179"/>
    </row>
    <row r="433" spans="1:7" ht="14.25">
      <c r="A433" s="1189"/>
      <c r="B433" s="1179"/>
      <c r="C433" s="1179"/>
      <c r="D433" s="1179"/>
      <c r="E433" s="1179"/>
      <c r="F433" s="1179"/>
      <c r="G433" s="1179"/>
    </row>
    <row r="434" spans="1:7" ht="14.25">
      <c r="A434" s="1189"/>
      <c r="B434" s="1179"/>
      <c r="C434" s="1179"/>
      <c r="D434" s="1179"/>
      <c r="E434" s="1179"/>
      <c r="F434" s="1179"/>
      <c r="G434" s="1179"/>
    </row>
    <row r="435" spans="1:7" ht="14.25">
      <c r="A435" s="1189"/>
      <c r="B435" s="1179"/>
      <c r="C435" s="1179"/>
      <c r="D435" s="1179"/>
      <c r="E435" s="1179"/>
      <c r="F435" s="1179"/>
      <c r="G435" s="1179"/>
    </row>
    <row r="436" spans="1:7" ht="14.25">
      <c r="A436" s="1189"/>
      <c r="B436" s="1179"/>
      <c r="C436" s="1179"/>
      <c r="D436" s="1179"/>
      <c r="E436" s="1179"/>
      <c r="F436" s="1179"/>
      <c r="G436" s="1179"/>
    </row>
    <row r="437" spans="1:7" ht="14.25">
      <c r="A437" s="1189"/>
      <c r="B437" s="1179"/>
      <c r="C437" s="1179"/>
      <c r="D437" s="1179"/>
      <c r="E437" s="1179"/>
      <c r="F437" s="1179"/>
      <c r="G437" s="1179"/>
    </row>
    <row r="438" spans="1:7" ht="14.25">
      <c r="A438" s="1189"/>
      <c r="B438" s="1179"/>
      <c r="C438" s="1179"/>
      <c r="D438" s="1179"/>
      <c r="E438" s="1179"/>
      <c r="F438" s="1179"/>
      <c r="G438" s="1179"/>
    </row>
    <row r="439" spans="1:7" ht="14.25">
      <c r="A439" s="1189"/>
      <c r="B439" s="1179"/>
      <c r="C439" s="1179"/>
      <c r="D439" s="1179"/>
      <c r="E439" s="1179"/>
      <c r="F439" s="1179"/>
      <c r="G439" s="1179"/>
    </row>
    <row r="440" spans="1:7" ht="14.25">
      <c r="A440" s="1189"/>
      <c r="B440" s="1179"/>
      <c r="C440" s="1179"/>
      <c r="D440" s="1179"/>
      <c r="E440" s="1179"/>
      <c r="F440" s="1179"/>
      <c r="G440" s="1179"/>
    </row>
    <row r="441" spans="1:7" ht="14.25">
      <c r="A441" s="1189"/>
      <c r="B441" s="1179"/>
      <c r="C441" s="1179"/>
      <c r="D441" s="1179"/>
      <c r="E441" s="1179"/>
      <c r="F441" s="1179"/>
      <c r="G441" s="1179"/>
    </row>
    <row r="442" spans="1:7" ht="14.25">
      <c r="A442" s="1189"/>
      <c r="B442" s="1179"/>
      <c r="C442" s="1179"/>
      <c r="D442" s="1179"/>
      <c r="E442" s="1179"/>
      <c r="F442" s="1179"/>
      <c r="G442" s="1179"/>
    </row>
    <row r="443" spans="1:7" ht="14.25">
      <c r="A443" s="1189"/>
      <c r="B443" s="1179"/>
      <c r="C443" s="1179"/>
      <c r="D443" s="1179"/>
      <c r="E443" s="1179"/>
      <c r="F443" s="1179"/>
      <c r="G443" s="1179"/>
    </row>
    <row r="444" spans="1:7" ht="14.25">
      <c r="A444" s="1189"/>
      <c r="B444" s="1179"/>
      <c r="C444" s="1179"/>
      <c r="D444" s="1179"/>
      <c r="E444" s="1179"/>
      <c r="F444" s="1179"/>
      <c r="G444" s="1179"/>
    </row>
    <row r="445" spans="1:7" ht="14.25">
      <c r="A445" s="1189"/>
      <c r="B445" s="1179"/>
      <c r="C445" s="1179"/>
      <c r="D445" s="1179"/>
      <c r="E445" s="1179"/>
      <c r="F445" s="1179"/>
      <c r="G445" s="1179"/>
    </row>
    <row r="446" spans="1:7" ht="14.25">
      <c r="A446" s="1189"/>
      <c r="B446" s="1179"/>
      <c r="C446" s="1179"/>
      <c r="D446" s="1179"/>
      <c r="E446" s="1179"/>
      <c r="F446" s="1179"/>
      <c r="G446" s="1179"/>
    </row>
    <row r="447" spans="1:7" ht="14.25">
      <c r="A447" s="1189"/>
      <c r="B447" s="1179"/>
      <c r="C447" s="1179"/>
      <c r="D447" s="1179"/>
      <c r="E447" s="1179"/>
      <c r="F447" s="1179"/>
      <c r="G447" s="1179"/>
    </row>
    <row r="448" spans="1:7" ht="14.25">
      <c r="A448" s="1189"/>
      <c r="B448" s="1179"/>
      <c r="C448" s="1179"/>
      <c r="D448" s="1179"/>
      <c r="E448" s="1179"/>
      <c r="F448" s="1179"/>
      <c r="G448" s="1179"/>
    </row>
    <row r="449" spans="1:7" ht="14.25">
      <c r="A449" s="1189"/>
      <c r="B449" s="1179"/>
      <c r="C449" s="1179"/>
      <c r="D449" s="1179"/>
      <c r="E449" s="1179"/>
      <c r="F449" s="1179"/>
      <c r="G449" s="1179"/>
    </row>
    <row r="450" spans="1:7" ht="14.25">
      <c r="A450" s="1189"/>
      <c r="B450" s="1179"/>
      <c r="C450" s="1179"/>
      <c r="D450" s="1179"/>
      <c r="E450" s="1179"/>
      <c r="F450" s="1179"/>
      <c r="G450" s="1179"/>
    </row>
    <row r="451" spans="1:7" ht="14.25">
      <c r="A451" s="1189"/>
      <c r="B451" s="1179"/>
      <c r="C451" s="1179"/>
      <c r="D451" s="1179"/>
      <c r="E451" s="1179"/>
      <c r="F451" s="1179"/>
      <c r="G451" s="1179"/>
    </row>
    <row r="452" spans="1:7" ht="14.25">
      <c r="A452" s="1189"/>
      <c r="B452" s="1179"/>
      <c r="C452" s="1179"/>
      <c r="D452" s="1179"/>
      <c r="E452" s="1179"/>
      <c r="F452" s="1179"/>
      <c r="G452" s="1179"/>
    </row>
    <row r="453" spans="1:7" ht="14.25">
      <c r="A453" s="1189"/>
      <c r="B453" s="1179"/>
      <c r="C453" s="1179"/>
      <c r="D453" s="1179"/>
      <c r="E453" s="1179"/>
      <c r="F453" s="1179"/>
      <c r="G453" s="1179"/>
    </row>
    <row r="454" spans="1:7" ht="14.25">
      <c r="A454" s="1189"/>
      <c r="B454" s="1179"/>
      <c r="C454" s="1179"/>
      <c r="D454" s="1179"/>
      <c r="E454" s="1179"/>
      <c r="F454" s="1179"/>
      <c r="G454" s="1179"/>
    </row>
    <row r="455" spans="1:7" ht="14.25">
      <c r="A455" s="1189"/>
      <c r="B455" s="1179"/>
      <c r="C455" s="1179"/>
      <c r="D455" s="1179"/>
      <c r="E455" s="1179"/>
      <c r="F455" s="1179"/>
      <c r="G455" s="1179"/>
    </row>
    <row r="456" spans="1:7" ht="14.25">
      <c r="A456" s="1189"/>
      <c r="B456" s="1179"/>
      <c r="C456" s="1179"/>
      <c r="D456" s="1179"/>
      <c r="E456" s="1179"/>
      <c r="F456" s="1179"/>
      <c r="G456" s="1179"/>
    </row>
    <row r="457" spans="1:7" ht="14.25">
      <c r="A457" s="1189"/>
      <c r="B457" s="1179"/>
      <c r="C457" s="1179"/>
      <c r="D457" s="1179"/>
      <c r="E457" s="1179"/>
      <c r="F457" s="1179"/>
      <c r="G457" s="1179"/>
    </row>
    <row r="458" spans="1:7" ht="14.25">
      <c r="A458" s="1189"/>
      <c r="B458" s="1179"/>
      <c r="C458" s="1179"/>
      <c r="D458" s="1179"/>
      <c r="E458" s="1179"/>
      <c r="F458" s="1179"/>
      <c r="G458" s="1179"/>
    </row>
    <row r="459" spans="1:7" ht="14.25">
      <c r="A459" s="1189"/>
      <c r="B459" s="1179"/>
      <c r="C459" s="1179"/>
      <c r="D459" s="1179"/>
      <c r="E459" s="1179"/>
      <c r="F459" s="1179"/>
      <c r="G459" s="1179"/>
    </row>
    <row r="460" spans="1:7" ht="14.25">
      <c r="A460" s="1189"/>
      <c r="B460" s="1179"/>
      <c r="C460" s="1179"/>
      <c r="D460" s="1179"/>
      <c r="E460" s="1179"/>
      <c r="F460" s="1179"/>
      <c r="G460" s="1179"/>
    </row>
    <row r="461" spans="1:7" ht="14.25">
      <c r="A461" s="1189"/>
      <c r="B461" s="1179"/>
      <c r="C461" s="1179"/>
      <c r="D461" s="1179"/>
      <c r="E461" s="1179"/>
      <c r="F461" s="1179"/>
      <c r="G461" s="1179"/>
    </row>
    <row r="462" spans="1:7" ht="14.25">
      <c r="A462" s="1189"/>
      <c r="B462" s="1179"/>
      <c r="C462" s="1179"/>
      <c r="D462" s="1179"/>
      <c r="E462" s="1179"/>
      <c r="F462" s="1179"/>
      <c r="G462" s="1179"/>
    </row>
    <row r="463" spans="1:7" ht="14.25">
      <c r="A463" s="1189"/>
      <c r="B463" s="1179"/>
      <c r="C463" s="1179"/>
      <c r="D463" s="1179"/>
      <c r="E463" s="1179"/>
      <c r="F463" s="1179"/>
      <c r="G463" s="1179"/>
    </row>
    <row r="464" spans="1:7" ht="14.25">
      <c r="A464" s="1189"/>
      <c r="B464" s="1179"/>
      <c r="C464" s="1179"/>
      <c r="D464" s="1179"/>
      <c r="E464" s="1179"/>
      <c r="F464" s="1179"/>
      <c r="G464" s="1179"/>
    </row>
    <row r="465" spans="1:7" ht="14.25">
      <c r="A465" s="1189"/>
      <c r="B465" s="1179"/>
      <c r="C465" s="1179"/>
      <c r="D465" s="1179"/>
      <c r="E465" s="1179"/>
      <c r="F465" s="1179"/>
      <c r="G465" s="1179"/>
    </row>
    <row r="466" spans="1:7" ht="14.25">
      <c r="A466" s="1189"/>
      <c r="B466" s="1179"/>
      <c r="C466" s="1179"/>
      <c r="D466" s="1179"/>
      <c r="E466" s="1179"/>
      <c r="F466" s="1179"/>
      <c r="G466" s="1179"/>
    </row>
    <row r="467" spans="1:7" ht="14.25">
      <c r="A467" s="1189"/>
      <c r="B467" s="1179"/>
      <c r="C467" s="1179"/>
      <c r="D467" s="1179"/>
      <c r="E467" s="1179"/>
      <c r="F467" s="1179"/>
      <c r="G467" s="1179"/>
    </row>
    <row r="468" spans="1:7" ht="14.25">
      <c r="A468" s="1189"/>
      <c r="B468" s="1179"/>
      <c r="C468" s="1179"/>
      <c r="D468" s="1179"/>
      <c r="E468" s="1179"/>
      <c r="F468" s="1179"/>
      <c r="G468" s="1179"/>
    </row>
    <row r="469" spans="1:7" ht="14.25">
      <c r="A469" s="1189"/>
      <c r="B469" s="1179"/>
      <c r="C469" s="1179"/>
      <c r="D469" s="1179"/>
      <c r="E469" s="1179"/>
      <c r="F469" s="1179"/>
      <c r="G469" s="1179"/>
    </row>
    <row r="470" spans="1:7" ht="14.25">
      <c r="A470" s="1189"/>
      <c r="B470" s="1179"/>
      <c r="C470" s="1179"/>
      <c r="D470" s="1179"/>
      <c r="E470" s="1179"/>
      <c r="F470" s="1179"/>
      <c r="G470" s="1179"/>
    </row>
    <row r="471" spans="1:7" ht="14.25">
      <c r="A471" s="1189"/>
      <c r="B471" s="1179"/>
      <c r="C471" s="1179"/>
      <c r="D471" s="1179"/>
      <c r="E471" s="1179"/>
      <c r="F471" s="1179"/>
      <c r="G471" s="1179"/>
    </row>
    <row r="472" spans="1:7" ht="14.25">
      <c r="A472" s="1189"/>
      <c r="B472" s="1179"/>
      <c r="C472" s="1179"/>
      <c r="D472" s="1179"/>
      <c r="E472" s="1179"/>
      <c r="F472" s="1179"/>
      <c r="G472" s="1179"/>
    </row>
    <row r="473" spans="1:7" ht="14.25">
      <c r="A473" s="1189"/>
      <c r="B473" s="1179"/>
      <c r="C473" s="1179"/>
      <c r="D473" s="1179"/>
      <c r="E473" s="1179"/>
      <c r="F473" s="1179"/>
      <c r="G473" s="1179"/>
    </row>
    <row r="474" spans="1:7" ht="14.25">
      <c r="A474" s="1189"/>
      <c r="B474" s="1179"/>
      <c r="C474" s="1179"/>
      <c r="D474" s="1179"/>
      <c r="E474" s="1179"/>
      <c r="F474" s="1179"/>
      <c r="G474" s="1179"/>
    </row>
    <row r="475" spans="1:7" ht="14.25">
      <c r="A475" s="1189"/>
      <c r="B475" s="1179"/>
      <c r="C475" s="1179"/>
      <c r="D475" s="1179"/>
      <c r="E475" s="1179"/>
      <c r="F475" s="1179"/>
      <c r="G475" s="1179"/>
    </row>
    <row r="476" spans="1:7" ht="14.25">
      <c r="A476" s="1189"/>
      <c r="B476" s="1179"/>
      <c r="C476" s="1179"/>
      <c r="D476" s="1179"/>
      <c r="E476" s="1179"/>
      <c r="F476" s="1179"/>
      <c r="G476" s="1179"/>
    </row>
    <row r="477" spans="1:7" ht="14.25">
      <c r="A477" s="1189"/>
      <c r="B477" s="1179"/>
      <c r="C477" s="1179"/>
      <c r="D477" s="1179"/>
      <c r="E477" s="1179"/>
      <c r="F477" s="1179"/>
      <c r="G477" s="1179"/>
    </row>
    <row r="478" spans="1:7" ht="14.25">
      <c r="A478" s="1189"/>
      <c r="B478" s="1179"/>
      <c r="C478" s="1179"/>
      <c r="D478" s="1179"/>
      <c r="E478" s="1179"/>
      <c r="F478" s="1179"/>
      <c r="G478" s="1179"/>
    </row>
    <row r="479" spans="1:7" ht="14.25">
      <c r="A479" s="1189"/>
      <c r="B479" s="1179"/>
      <c r="C479" s="1179"/>
      <c r="D479" s="1179"/>
      <c r="E479" s="1179"/>
      <c r="F479" s="1179"/>
      <c r="G479" s="1179"/>
    </row>
    <row r="480" spans="1:7" ht="14.25">
      <c r="A480" s="1189"/>
      <c r="B480" s="1179"/>
      <c r="C480" s="1179"/>
      <c r="D480" s="1179"/>
      <c r="E480" s="1179"/>
      <c r="F480" s="1179"/>
      <c r="G480" s="1179"/>
    </row>
    <row r="481" spans="1:7" ht="14.25">
      <c r="A481" s="1189"/>
      <c r="B481" s="1179"/>
      <c r="C481" s="1179"/>
      <c r="D481" s="1179"/>
      <c r="E481" s="1179"/>
      <c r="F481" s="1179"/>
      <c r="G481" s="1179"/>
    </row>
    <row r="482" spans="1:7" ht="14.25">
      <c r="A482" s="1189"/>
      <c r="B482" s="1179"/>
      <c r="C482" s="1179"/>
      <c r="D482" s="1179"/>
      <c r="E482" s="1179"/>
      <c r="F482" s="1179"/>
      <c r="G482" s="1179"/>
    </row>
    <row r="483" spans="1:7" ht="14.25">
      <c r="A483" s="1189"/>
      <c r="B483" s="1179"/>
      <c r="C483" s="1179"/>
      <c r="D483" s="1179"/>
      <c r="E483" s="1179"/>
      <c r="F483" s="1179"/>
      <c r="G483" s="1179"/>
    </row>
    <row r="484" spans="1:7" ht="14.25">
      <c r="A484" s="1189"/>
      <c r="B484" s="1179"/>
      <c r="C484" s="1179"/>
      <c r="D484" s="1179"/>
      <c r="E484" s="1179"/>
      <c r="F484" s="1179"/>
      <c r="G484" s="1179"/>
    </row>
    <row r="485" spans="1:7" ht="14.25">
      <c r="A485" s="1189"/>
      <c r="B485" s="1179"/>
      <c r="C485" s="1179"/>
      <c r="D485" s="1179"/>
      <c r="E485" s="1179"/>
      <c r="F485" s="1179"/>
      <c r="G485" s="1179"/>
    </row>
    <row r="486" spans="1:7" ht="14.25">
      <c r="A486" s="1189"/>
      <c r="B486" s="1179"/>
      <c r="C486" s="1179"/>
      <c r="D486" s="1179"/>
      <c r="E486" s="1179"/>
      <c r="F486" s="1179"/>
      <c r="G486" s="1179"/>
    </row>
    <row r="487" spans="1:7" ht="14.25">
      <c r="A487" s="1189"/>
      <c r="B487" s="1179"/>
      <c r="C487" s="1179"/>
      <c r="D487" s="1179"/>
      <c r="E487" s="1179"/>
      <c r="F487" s="1179"/>
      <c r="G487" s="1179"/>
    </row>
    <row r="488" spans="1:7" ht="14.25">
      <c r="A488" s="1189"/>
      <c r="B488" s="1179"/>
      <c r="C488" s="1179"/>
      <c r="D488" s="1179"/>
      <c r="E488" s="1179"/>
      <c r="F488" s="1179"/>
      <c r="G488" s="1179"/>
    </row>
    <row r="489" spans="1:7" ht="14.25">
      <c r="A489" s="1189"/>
      <c r="B489" s="1179"/>
      <c r="C489" s="1179"/>
      <c r="D489" s="1179"/>
      <c r="E489" s="1179"/>
      <c r="F489" s="1179"/>
      <c r="G489" s="1179"/>
    </row>
    <row r="490" spans="1:7" ht="14.25">
      <c r="A490" s="1189"/>
      <c r="B490" s="1179"/>
      <c r="C490" s="1179"/>
      <c r="D490" s="1179"/>
      <c r="E490" s="1179"/>
      <c r="F490" s="1179"/>
      <c r="G490" s="1179"/>
    </row>
    <row r="491" spans="1:7" ht="14.25">
      <c r="A491" s="1189"/>
      <c r="B491" s="1179"/>
      <c r="C491" s="1179"/>
      <c r="D491" s="1179"/>
      <c r="E491" s="1179"/>
      <c r="F491" s="1179"/>
      <c r="G491" s="1179"/>
    </row>
    <row r="492" spans="1:7" ht="14.25">
      <c r="A492" s="1189"/>
      <c r="B492" s="1179"/>
      <c r="C492" s="1179"/>
      <c r="D492" s="1179"/>
      <c r="E492" s="1179"/>
      <c r="F492" s="1179"/>
      <c r="G492" s="1179"/>
    </row>
    <row r="493" spans="1:7" ht="14.25">
      <c r="A493" s="1189"/>
      <c r="B493" s="1179"/>
      <c r="C493" s="1179"/>
      <c r="D493" s="1179"/>
      <c r="E493" s="1179"/>
      <c r="F493" s="1179"/>
      <c r="G493" s="1179"/>
    </row>
    <row r="494" spans="1:7" ht="14.25">
      <c r="A494" s="1189"/>
      <c r="B494" s="1179"/>
      <c r="C494" s="1179"/>
      <c r="D494" s="1179"/>
      <c r="E494" s="1179"/>
      <c r="F494" s="1179"/>
      <c r="G494" s="1179"/>
    </row>
    <row r="495" spans="1:7" ht="14.25">
      <c r="A495" s="1189"/>
      <c r="B495" s="1179"/>
      <c r="C495" s="1179"/>
      <c r="D495" s="1179"/>
      <c r="E495" s="1179"/>
      <c r="F495" s="1179"/>
      <c r="G495" s="1179"/>
    </row>
    <row r="496" spans="1:7" ht="14.25">
      <c r="A496" s="1189"/>
      <c r="B496" s="1179"/>
      <c r="C496" s="1179"/>
      <c r="D496" s="1179"/>
      <c r="E496" s="1179"/>
      <c r="F496" s="1179"/>
      <c r="G496" s="1179"/>
    </row>
    <row r="497" spans="1:7" ht="14.25">
      <c r="A497" s="1189"/>
      <c r="B497" s="1179"/>
      <c r="C497" s="1179"/>
      <c r="D497" s="1179"/>
      <c r="E497" s="1179"/>
      <c r="F497" s="1179"/>
      <c r="G497" s="1179"/>
    </row>
    <row r="498" spans="1:7" ht="14.25">
      <c r="A498" s="1189"/>
      <c r="B498" s="1179"/>
      <c r="C498" s="1179"/>
      <c r="D498" s="1179"/>
      <c r="E498" s="1179"/>
      <c r="F498" s="1179"/>
      <c r="G498" s="1179"/>
    </row>
    <row r="499" spans="1:7" ht="14.25">
      <c r="A499" s="1189"/>
      <c r="B499" s="1179"/>
      <c r="C499" s="1179"/>
      <c r="D499" s="1179"/>
      <c r="E499" s="1179"/>
      <c r="F499" s="1179"/>
      <c r="G499" s="1179"/>
    </row>
    <row r="500" spans="1:7" ht="14.25">
      <c r="A500" s="1189"/>
      <c r="B500" s="1179"/>
      <c r="C500" s="1179"/>
      <c r="D500" s="1179"/>
      <c r="E500" s="1179"/>
      <c r="F500" s="1179"/>
      <c r="G500" s="1179"/>
    </row>
    <row r="501" spans="1:7" ht="14.25">
      <c r="A501" s="1189"/>
      <c r="B501" s="1179"/>
      <c r="C501" s="1179"/>
      <c r="D501" s="1179"/>
      <c r="E501" s="1179"/>
      <c r="F501" s="1179"/>
      <c r="G501" s="1179"/>
    </row>
    <row r="502" spans="1:7" ht="14.25">
      <c r="A502" s="1189"/>
      <c r="B502" s="1179"/>
      <c r="C502" s="1179"/>
      <c r="D502" s="1179"/>
      <c r="E502" s="1179"/>
      <c r="F502" s="1179"/>
      <c r="G502" s="1179"/>
    </row>
    <row r="503" spans="1:7" ht="14.25">
      <c r="A503" s="1189"/>
      <c r="B503" s="1179"/>
      <c r="C503" s="1179"/>
      <c r="D503" s="1179"/>
      <c r="E503" s="1179"/>
      <c r="F503" s="1179"/>
      <c r="G503" s="1179"/>
    </row>
    <row r="504" spans="1:7" ht="14.25">
      <c r="A504" s="1189"/>
      <c r="B504" s="1179"/>
      <c r="C504" s="1179"/>
      <c r="D504" s="1179"/>
      <c r="E504" s="1179"/>
      <c r="F504" s="1179"/>
      <c r="G504" s="1179"/>
    </row>
    <row r="505" spans="1:7" ht="14.25">
      <c r="A505" s="1189"/>
      <c r="B505" s="1179"/>
      <c r="C505" s="1179"/>
      <c r="D505" s="1179"/>
      <c r="E505" s="1179"/>
      <c r="F505" s="1179"/>
      <c r="G505" s="1179"/>
    </row>
    <row r="506" spans="1:7" ht="14.25">
      <c r="A506" s="1189"/>
      <c r="B506" s="1179"/>
      <c r="C506" s="1179"/>
      <c r="D506" s="1179"/>
      <c r="E506" s="1179"/>
      <c r="F506" s="1179"/>
      <c r="G506" s="1179"/>
    </row>
    <row r="507" spans="1:7" ht="14.25">
      <c r="A507" s="1189"/>
      <c r="B507" s="1179"/>
      <c r="C507" s="1179"/>
      <c r="D507" s="1179"/>
      <c r="E507" s="1179"/>
      <c r="F507" s="1179"/>
      <c r="G507" s="1179"/>
    </row>
    <row r="508" spans="1:7" ht="14.25">
      <c r="A508" s="1189"/>
      <c r="B508" s="1179"/>
      <c r="C508" s="1179"/>
      <c r="D508" s="1179"/>
      <c r="E508" s="1179"/>
      <c r="F508" s="1179"/>
      <c r="G508" s="1179"/>
    </row>
    <row r="509" spans="1:7" ht="14.25">
      <c r="A509" s="1189"/>
      <c r="B509" s="1179"/>
      <c r="C509" s="1179"/>
      <c r="D509" s="1179"/>
      <c r="E509" s="1179"/>
      <c r="F509" s="1179"/>
      <c r="G509" s="1179"/>
    </row>
    <row r="510" spans="1:7" ht="14.25">
      <c r="A510" s="1189"/>
      <c r="B510" s="1179"/>
      <c r="C510" s="1179"/>
      <c r="D510" s="1179"/>
      <c r="E510" s="1179"/>
      <c r="F510" s="1179"/>
      <c r="G510" s="1179"/>
    </row>
    <row r="511" spans="1:7" ht="14.25">
      <c r="A511" s="1189"/>
      <c r="B511" s="1179"/>
      <c r="C511" s="1179"/>
      <c r="D511" s="1179"/>
      <c r="E511" s="1179"/>
      <c r="F511" s="1179"/>
      <c r="G511" s="1179"/>
    </row>
    <row r="512" spans="1:7" ht="14.25">
      <c r="A512" s="1189"/>
      <c r="B512" s="1179"/>
      <c r="C512" s="1179"/>
      <c r="D512" s="1179"/>
      <c r="E512" s="1179"/>
      <c r="F512" s="1179"/>
      <c r="G512" s="1179"/>
    </row>
    <row r="513" spans="1:7" ht="14.25">
      <c r="A513" s="1189"/>
      <c r="B513" s="1179"/>
      <c r="C513" s="1179"/>
      <c r="D513" s="1179"/>
      <c r="E513" s="1179"/>
      <c r="F513" s="1179"/>
      <c r="G513" s="1179"/>
    </row>
    <row r="514" spans="1:7" ht="14.25">
      <c r="A514" s="1189"/>
      <c r="B514" s="1179"/>
      <c r="C514" s="1179"/>
      <c r="D514" s="1179"/>
      <c r="E514" s="1179"/>
      <c r="F514" s="1179"/>
      <c r="G514" s="1179"/>
    </row>
    <row r="515" spans="1:7" ht="14.25">
      <c r="A515" s="1189"/>
      <c r="B515" s="1179"/>
      <c r="C515" s="1179"/>
      <c r="D515" s="1179"/>
      <c r="E515" s="1179"/>
      <c r="F515" s="1179"/>
      <c r="G515" s="1179"/>
    </row>
    <row r="516" spans="1:7" ht="14.25">
      <c r="A516" s="1189"/>
      <c r="B516" s="1179"/>
      <c r="C516" s="1179"/>
      <c r="D516" s="1179"/>
      <c r="E516" s="1179"/>
      <c r="F516" s="1179"/>
      <c r="G516" s="1179"/>
    </row>
    <row r="517" spans="1:7" ht="14.25">
      <c r="A517" s="1189"/>
      <c r="B517" s="1179"/>
      <c r="C517" s="1179"/>
      <c r="D517" s="1179"/>
      <c r="E517" s="1179"/>
      <c r="F517" s="1179"/>
      <c r="G517" s="1179"/>
    </row>
    <row r="518" spans="1:7" ht="14.25">
      <c r="A518" s="1189"/>
      <c r="B518" s="1179"/>
      <c r="C518" s="1179"/>
      <c r="D518" s="1179"/>
      <c r="E518" s="1179"/>
      <c r="F518" s="1179"/>
      <c r="G518" s="1179"/>
    </row>
    <row r="519" spans="1:7" ht="14.25">
      <c r="A519" s="1189"/>
      <c r="B519" s="1179"/>
      <c r="C519" s="1179"/>
      <c r="D519" s="1179"/>
      <c r="E519" s="1179"/>
      <c r="F519" s="1179"/>
      <c r="G519" s="1179"/>
    </row>
    <row r="520" spans="1:7" ht="14.25">
      <c r="A520" s="1189"/>
      <c r="B520" s="1179"/>
      <c r="C520" s="1179"/>
      <c r="D520" s="1179"/>
      <c r="E520" s="1179"/>
      <c r="F520" s="1179"/>
      <c r="G520" s="1179"/>
    </row>
    <row r="521" spans="1:7" ht="14.25">
      <c r="A521" s="1189"/>
      <c r="B521" s="1179"/>
      <c r="C521" s="1179"/>
      <c r="D521" s="1179"/>
      <c r="E521" s="1179"/>
      <c r="F521" s="1179"/>
      <c r="G521" s="1179"/>
    </row>
    <row r="522" spans="1:7" ht="14.25">
      <c r="A522" s="1189"/>
      <c r="B522" s="1179"/>
      <c r="C522" s="1179"/>
      <c r="D522" s="1179"/>
      <c r="E522" s="1179"/>
      <c r="F522" s="1179"/>
      <c r="G522" s="1179"/>
    </row>
    <row r="523" spans="1:7" ht="14.25">
      <c r="A523" s="1189"/>
      <c r="B523" s="1179"/>
      <c r="C523" s="1179"/>
      <c r="D523" s="1179"/>
      <c r="E523" s="1179"/>
      <c r="F523" s="1179"/>
      <c r="G523" s="1179"/>
    </row>
    <row r="524" spans="1:7" ht="14.25">
      <c r="A524" s="1189"/>
      <c r="B524" s="1179"/>
      <c r="C524" s="1179"/>
      <c r="D524" s="1179"/>
      <c r="E524" s="1179"/>
      <c r="F524" s="1179"/>
      <c r="G524" s="1179"/>
    </row>
    <row r="525" spans="1:7" ht="14.25">
      <c r="A525" s="1189"/>
      <c r="B525" s="1179"/>
      <c r="C525" s="1179"/>
      <c r="D525" s="1179"/>
      <c r="E525" s="1179"/>
      <c r="F525" s="1179"/>
      <c r="G525" s="1179"/>
    </row>
    <row r="526" spans="1:7" ht="14.25">
      <c r="A526" s="1189"/>
      <c r="B526" s="1179"/>
      <c r="C526" s="1179"/>
      <c r="D526" s="1179"/>
      <c r="E526" s="1179"/>
      <c r="F526" s="1179"/>
      <c r="G526" s="1179"/>
    </row>
    <row r="527" spans="1:7" ht="14.25">
      <c r="A527" s="1189"/>
      <c r="B527" s="1179"/>
      <c r="C527" s="1179"/>
      <c r="D527" s="1179"/>
      <c r="E527" s="1179"/>
      <c r="F527" s="1179"/>
      <c r="G527" s="1179"/>
    </row>
    <row r="528" spans="1:7" ht="14.25">
      <c r="A528" s="1189"/>
      <c r="B528" s="1179"/>
      <c r="C528" s="1179"/>
      <c r="D528" s="1179"/>
      <c r="E528" s="1179"/>
      <c r="F528" s="1179"/>
      <c r="G528" s="1179"/>
    </row>
    <row r="529" spans="1:7" ht="14.25">
      <c r="A529" s="1189"/>
      <c r="B529" s="1179"/>
      <c r="C529" s="1179"/>
      <c r="D529" s="1179"/>
      <c r="E529" s="1179"/>
      <c r="F529" s="1179"/>
      <c r="G529" s="1179"/>
    </row>
    <row r="530" spans="1:7" ht="14.25">
      <c r="A530" s="1189"/>
      <c r="B530" s="1179"/>
      <c r="C530" s="1179"/>
      <c r="D530" s="1179"/>
      <c r="E530" s="1179"/>
      <c r="F530" s="1179"/>
      <c r="G530" s="1179"/>
    </row>
    <row r="531" spans="1:7" ht="14.25">
      <c r="A531" s="1189"/>
      <c r="B531" s="1179"/>
      <c r="C531" s="1179"/>
      <c r="D531" s="1179"/>
      <c r="E531" s="1179"/>
      <c r="F531" s="1179"/>
      <c r="G531" s="1179"/>
    </row>
    <row r="532" spans="1:7" ht="14.25">
      <c r="A532" s="1189"/>
      <c r="B532" s="1179"/>
      <c r="C532" s="1179"/>
      <c r="D532" s="1179"/>
      <c r="E532" s="1179"/>
      <c r="F532" s="1179"/>
      <c r="G532" s="1179"/>
    </row>
    <row r="533" spans="1:7" ht="14.25">
      <c r="A533" s="1189"/>
      <c r="B533" s="1179"/>
      <c r="C533" s="1179"/>
      <c r="D533" s="1179"/>
      <c r="E533" s="1179"/>
      <c r="F533" s="1179"/>
      <c r="G533" s="1179"/>
    </row>
    <row r="534" spans="1:7" ht="14.25">
      <c r="A534" s="1189"/>
      <c r="B534" s="1179"/>
      <c r="C534" s="1179"/>
      <c r="D534" s="1179"/>
      <c r="E534" s="1179"/>
      <c r="F534" s="1179"/>
      <c r="G534" s="1179"/>
    </row>
    <row r="535" spans="1:7" ht="14.25">
      <c r="A535" s="1189"/>
      <c r="B535" s="1179"/>
      <c r="C535" s="1179"/>
      <c r="D535" s="1179"/>
      <c r="E535" s="1179"/>
      <c r="F535" s="1179"/>
      <c r="G535" s="1179"/>
    </row>
    <row r="536" spans="1:7" ht="14.25">
      <c r="A536" s="1189"/>
      <c r="B536" s="1179"/>
      <c r="C536" s="1179"/>
      <c r="D536" s="1179"/>
      <c r="E536" s="1179"/>
      <c r="F536" s="1179"/>
      <c r="G536" s="1179"/>
    </row>
    <row r="537" spans="1:7" ht="14.25">
      <c r="A537" s="1189"/>
      <c r="B537" s="1179"/>
      <c r="C537" s="1179"/>
      <c r="D537" s="1179"/>
      <c r="E537" s="1179"/>
      <c r="F537" s="1179"/>
      <c r="G537" s="1179"/>
    </row>
    <row r="538" spans="1:7" ht="14.25">
      <c r="A538" s="1189"/>
      <c r="B538" s="1179"/>
      <c r="C538" s="1179"/>
      <c r="D538" s="1179"/>
      <c r="E538" s="1179"/>
      <c r="F538" s="1179"/>
      <c r="G538" s="1179"/>
    </row>
    <row r="539" spans="1:7" ht="14.25">
      <c r="A539" s="1189"/>
      <c r="B539" s="1179"/>
      <c r="C539" s="1179"/>
      <c r="D539" s="1179"/>
      <c r="E539" s="1179"/>
      <c r="F539" s="1179"/>
      <c r="G539" s="1179"/>
    </row>
    <row r="540" spans="1:7" ht="14.25">
      <c r="A540" s="1189"/>
      <c r="B540" s="1179"/>
      <c r="C540" s="1179"/>
      <c r="D540" s="1179"/>
      <c r="E540" s="1179"/>
      <c r="F540" s="1179"/>
      <c r="G540" s="1179"/>
    </row>
    <row r="541" spans="1:7" ht="14.25">
      <c r="A541" s="1189"/>
      <c r="B541" s="1179"/>
      <c r="C541" s="1179"/>
      <c r="D541" s="1179"/>
      <c r="E541" s="1179"/>
      <c r="F541" s="1179"/>
      <c r="G541" s="1179"/>
    </row>
    <row r="542" spans="1:7" ht="14.25">
      <c r="A542" s="1189"/>
      <c r="B542" s="1179"/>
      <c r="C542" s="1179"/>
      <c r="D542" s="1179"/>
      <c r="E542" s="1179"/>
      <c r="F542" s="1179"/>
      <c r="G542" s="1179"/>
    </row>
    <row r="543" spans="1:7" ht="14.25">
      <c r="A543" s="1189"/>
      <c r="B543" s="1179"/>
      <c r="C543" s="1179"/>
      <c r="D543" s="1179"/>
      <c r="E543" s="1179"/>
      <c r="F543" s="1179"/>
      <c r="G543" s="1179"/>
    </row>
    <row r="544" spans="1:7" ht="14.25">
      <c r="A544" s="1189"/>
      <c r="B544" s="1179"/>
      <c r="C544" s="1179"/>
      <c r="D544" s="1179"/>
      <c r="E544" s="1179"/>
      <c r="F544" s="1179"/>
      <c r="G544" s="1179"/>
    </row>
    <row r="545" spans="1:7" ht="14.25">
      <c r="A545" s="1189"/>
      <c r="B545" s="1179"/>
      <c r="C545" s="1179"/>
      <c r="D545" s="1179"/>
      <c r="E545" s="1179"/>
      <c r="F545" s="1179"/>
      <c r="G545" s="1179"/>
    </row>
    <row r="546" spans="1:7" ht="14.25">
      <c r="A546" s="1189"/>
      <c r="B546" s="1179"/>
      <c r="C546" s="1179"/>
      <c r="D546" s="1179"/>
      <c r="E546" s="1179"/>
      <c r="F546" s="1179"/>
      <c r="G546" s="1179"/>
    </row>
    <row r="547" spans="1:7" ht="14.25">
      <c r="A547" s="1189"/>
      <c r="B547" s="1179"/>
      <c r="C547" s="1179"/>
      <c r="D547" s="1179"/>
      <c r="E547" s="1179"/>
      <c r="F547" s="1179"/>
      <c r="G547" s="1179"/>
    </row>
    <row r="548" spans="1:7" ht="14.25">
      <c r="A548" s="1189"/>
      <c r="B548" s="1179"/>
      <c r="C548" s="1179"/>
      <c r="D548" s="1179"/>
      <c r="E548" s="1179"/>
      <c r="F548" s="1179"/>
      <c r="G548" s="1179"/>
    </row>
    <row r="549" spans="1:7" ht="14.25">
      <c r="A549" s="1189"/>
      <c r="B549" s="1179"/>
      <c r="C549" s="1179"/>
      <c r="D549" s="1179"/>
      <c r="E549" s="1179"/>
      <c r="F549" s="1179"/>
      <c r="G549" s="1179"/>
    </row>
    <row r="550" spans="1:7" ht="14.25">
      <c r="A550" s="1189"/>
      <c r="B550" s="1179"/>
      <c r="C550" s="1179"/>
      <c r="D550" s="1179"/>
      <c r="E550" s="1179"/>
      <c r="F550" s="1179"/>
      <c r="G550" s="1179"/>
    </row>
    <row r="551" spans="1:7" ht="14.25">
      <c r="A551" s="1189"/>
      <c r="B551" s="1179"/>
      <c r="C551" s="1179"/>
      <c r="D551" s="1179"/>
      <c r="E551" s="1179"/>
      <c r="F551" s="1179"/>
      <c r="G551" s="1179"/>
    </row>
    <row r="552" spans="1:7" ht="14.25">
      <c r="A552" s="1189"/>
      <c r="B552" s="1179"/>
      <c r="C552" s="1179"/>
      <c r="D552" s="1179"/>
      <c r="E552" s="1179"/>
      <c r="F552" s="1179"/>
      <c r="G552" s="1179"/>
    </row>
    <row r="553" spans="1:7" ht="14.25">
      <c r="A553" s="1189"/>
      <c r="B553" s="1179"/>
      <c r="C553" s="1179"/>
      <c r="D553" s="1179"/>
      <c r="E553" s="1179"/>
      <c r="F553" s="1179"/>
      <c r="G553" s="1179"/>
    </row>
    <row r="554" spans="1:7" ht="14.25">
      <c r="A554" s="1189"/>
      <c r="B554" s="1179"/>
      <c r="C554" s="1179"/>
      <c r="D554" s="1179"/>
      <c r="E554" s="1179"/>
      <c r="F554" s="1179"/>
      <c r="G554" s="1179"/>
    </row>
    <row r="555" spans="1:7" ht="14.25">
      <c r="A555" s="1189"/>
      <c r="B555" s="1179"/>
      <c r="C555" s="1179"/>
      <c r="D555" s="1179"/>
      <c r="E555" s="1179"/>
      <c r="F555" s="1179"/>
      <c r="G555" s="1179"/>
    </row>
    <row r="556" spans="1:7" ht="14.25">
      <c r="A556" s="1189"/>
      <c r="B556" s="1179"/>
      <c r="C556" s="1179"/>
      <c r="D556" s="1179"/>
      <c r="E556" s="1179"/>
      <c r="F556" s="1179"/>
      <c r="G556" s="1179"/>
    </row>
    <row r="557" spans="1:7" ht="14.25">
      <c r="A557" s="1189"/>
      <c r="B557" s="1179"/>
      <c r="C557" s="1179"/>
      <c r="D557" s="1179"/>
      <c r="E557" s="1179"/>
      <c r="F557" s="1179"/>
      <c r="G557" s="1179"/>
    </row>
    <row r="558" spans="1:7" ht="14.25">
      <c r="A558" s="1189"/>
      <c r="B558" s="1179"/>
      <c r="C558" s="1179"/>
      <c r="D558" s="1179"/>
      <c r="E558" s="1179"/>
      <c r="F558" s="1179"/>
      <c r="G558" s="1179"/>
    </row>
    <row r="559" spans="1:7" ht="14.25">
      <c r="A559" s="1189"/>
      <c r="B559" s="1179"/>
      <c r="C559" s="1179"/>
      <c r="D559" s="1179"/>
      <c r="E559" s="1179"/>
      <c r="F559" s="1179"/>
      <c r="G559" s="1179"/>
    </row>
    <row r="560" spans="1:7" ht="14.25">
      <c r="A560" s="1189"/>
      <c r="B560" s="1179"/>
      <c r="C560" s="1179"/>
      <c r="D560" s="1179"/>
      <c r="E560" s="1179"/>
      <c r="F560" s="1179"/>
      <c r="G560" s="1179"/>
    </row>
    <row r="561" spans="1:7" ht="14.25">
      <c r="A561" s="1189"/>
      <c r="B561" s="1179"/>
      <c r="C561" s="1179"/>
      <c r="D561" s="1179"/>
      <c r="E561" s="1179"/>
      <c r="F561" s="1179"/>
      <c r="G561" s="1179"/>
    </row>
    <row r="562" spans="1:7" ht="14.25">
      <c r="A562" s="1189"/>
      <c r="B562" s="1179"/>
      <c r="C562" s="1179"/>
      <c r="D562" s="1179"/>
      <c r="E562" s="1179"/>
      <c r="F562" s="1179"/>
      <c r="G562" s="1179"/>
    </row>
    <row r="563" spans="1:7" ht="14.25">
      <c r="A563" s="1189"/>
      <c r="B563" s="1179"/>
      <c r="C563" s="1179"/>
      <c r="D563" s="1179"/>
      <c r="E563" s="1179"/>
      <c r="F563" s="1179"/>
      <c r="G563" s="1179"/>
    </row>
    <row r="564" spans="1:7" ht="14.25">
      <c r="A564" s="1189"/>
      <c r="B564" s="1179"/>
      <c r="C564" s="1179"/>
      <c r="D564" s="1179"/>
      <c r="E564" s="1179"/>
      <c r="F564" s="1179"/>
      <c r="G564" s="1179"/>
    </row>
    <row r="565" spans="1:7" ht="14.25">
      <c r="A565" s="1189"/>
      <c r="B565" s="1179"/>
      <c r="C565" s="1179"/>
      <c r="D565" s="1179"/>
      <c r="E565" s="1179"/>
      <c r="F565" s="1179"/>
      <c r="G565" s="1179"/>
    </row>
    <row r="566" spans="1:7" ht="14.25">
      <c r="A566" s="1189"/>
      <c r="B566" s="1179"/>
      <c r="C566" s="1179"/>
      <c r="D566" s="1179"/>
      <c r="E566" s="1179"/>
      <c r="F566" s="1179"/>
      <c r="G566" s="1179"/>
    </row>
    <row r="567" spans="1:7" ht="14.25">
      <c r="A567" s="1189"/>
      <c r="B567" s="1179"/>
      <c r="C567" s="1179"/>
      <c r="D567" s="1179"/>
      <c r="E567" s="1179"/>
      <c r="F567" s="1179"/>
      <c r="G567" s="1179"/>
    </row>
    <row r="568" spans="1:7" ht="14.25">
      <c r="A568" s="1189"/>
      <c r="B568" s="1179"/>
      <c r="C568" s="1179"/>
      <c r="D568" s="1179"/>
      <c r="E568" s="1179"/>
      <c r="F568" s="1179"/>
      <c r="G568" s="1179"/>
    </row>
    <row r="569" spans="1:7" ht="14.25">
      <c r="A569" s="1189"/>
      <c r="B569" s="1179"/>
      <c r="C569" s="1179"/>
      <c r="D569" s="1179"/>
      <c r="E569" s="1179"/>
      <c r="F569" s="1179"/>
      <c r="G569" s="1179"/>
    </row>
    <row r="570" spans="1:7" ht="14.25">
      <c r="A570" s="1189"/>
      <c r="B570" s="1179"/>
      <c r="C570" s="1179"/>
      <c r="D570" s="1179"/>
      <c r="E570" s="1179"/>
      <c r="F570" s="1179"/>
      <c r="G570" s="1179"/>
    </row>
    <row r="571" spans="1:7" ht="14.25">
      <c r="A571" s="1189"/>
      <c r="B571" s="1179"/>
      <c r="C571" s="1179"/>
      <c r="D571" s="1179"/>
      <c r="E571" s="1179"/>
      <c r="F571" s="1179"/>
      <c r="G571" s="1179"/>
    </row>
    <row r="572" spans="1:7" ht="14.25">
      <c r="A572" s="1189"/>
      <c r="B572" s="1179"/>
      <c r="C572" s="1179"/>
      <c r="D572" s="1179"/>
      <c r="E572" s="1179"/>
      <c r="F572" s="1179"/>
      <c r="G572" s="1179"/>
    </row>
    <row r="573" spans="1:7" ht="14.25">
      <c r="A573" s="1189"/>
      <c r="B573" s="1179"/>
      <c r="C573" s="1179"/>
      <c r="D573" s="1179"/>
      <c r="E573" s="1179"/>
      <c r="F573" s="1179"/>
      <c r="G573" s="1179"/>
    </row>
    <row r="574" spans="1:7" ht="14.25">
      <c r="A574" s="1189"/>
      <c r="B574" s="1179"/>
      <c r="C574" s="1179"/>
      <c r="D574" s="1179"/>
      <c r="E574" s="1179"/>
      <c r="F574" s="1179"/>
      <c r="G574" s="1179"/>
    </row>
    <row r="575" spans="1:7" ht="14.25">
      <c r="A575" s="1189"/>
      <c r="B575" s="1179"/>
      <c r="C575" s="1179"/>
      <c r="D575" s="1179"/>
      <c r="E575" s="1179"/>
      <c r="F575" s="1179"/>
      <c r="G575" s="1179"/>
    </row>
    <row r="576" spans="1:7" ht="14.25">
      <c r="A576" s="1189"/>
      <c r="B576" s="1179"/>
      <c r="C576" s="1179"/>
      <c r="D576" s="1179"/>
      <c r="E576" s="1179"/>
      <c r="F576" s="1179"/>
      <c r="G576" s="1179"/>
    </row>
    <row r="577" spans="1:7" ht="14.25">
      <c r="A577" s="1189"/>
      <c r="B577" s="1179"/>
      <c r="C577" s="1179"/>
      <c r="D577" s="1179"/>
      <c r="E577" s="1179"/>
      <c r="F577" s="1179"/>
      <c r="G577" s="1179"/>
    </row>
    <row r="578" spans="1:7" ht="14.25">
      <c r="A578" s="1189"/>
      <c r="B578" s="1179"/>
      <c r="C578" s="1179"/>
      <c r="D578" s="1179"/>
      <c r="E578" s="1179"/>
      <c r="F578" s="1179"/>
      <c r="G578" s="1179"/>
    </row>
    <row r="579" spans="1:7" ht="14.25">
      <c r="A579" s="1189"/>
      <c r="B579" s="1179"/>
      <c r="C579" s="1179"/>
      <c r="D579" s="1179"/>
      <c r="E579" s="1179"/>
      <c r="F579" s="1179"/>
      <c r="G579" s="1179"/>
    </row>
    <row r="580" spans="1:7" ht="14.25">
      <c r="A580" s="1189"/>
      <c r="B580" s="1179"/>
      <c r="C580" s="1179"/>
      <c r="D580" s="1179"/>
      <c r="E580" s="1179"/>
      <c r="F580" s="1179"/>
      <c r="G580" s="1179"/>
    </row>
    <row r="581" spans="1:7" ht="14.25">
      <c r="A581" s="1189"/>
      <c r="B581" s="1179"/>
      <c r="C581" s="1179"/>
      <c r="D581" s="1179"/>
      <c r="E581" s="1179"/>
      <c r="F581" s="1179"/>
      <c r="G581" s="1179"/>
    </row>
    <row r="582" spans="1:7" ht="14.25">
      <c r="A582" s="1189"/>
      <c r="B582" s="1179"/>
      <c r="C582" s="1179"/>
      <c r="D582" s="1179"/>
      <c r="E582" s="1179"/>
      <c r="F582" s="1179"/>
      <c r="G582" s="1179"/>
    </row>
    <row r="583" spans="1:7" ht="14.25">
      <c r="A583" s="1189"/>
      <c r="B583" s="1179"/>
      <c r="C583" s="1179"/>
      <c r="D583" s="1179"/>
      <c r="E583" s="1179"/>
      <c r="F583" s="1179"/>
      <c r="G583" s="1179"/>
    </row>
    <row r="584" spans="1:7" ht="14.25">
      <c r="A584" s="1189"/>
      <c r="B584" s="1179"/>
      <c r="C584" s="1179"/>
      <c r="D584" s="1179"/>
      <c r="E584" s="1179"/>
      <c r="F584" s="1179"/>
      <c r="G584" s="1179"/>
    </row>
    <row r="585" spans="1:7" ht="14.25">
      <c r="A585" s="1189"/>
      <c r="B585" s="1179"/>
      <c r="C585" s="1179"/>
      <c r="D585" s="1179"/>
      <c r="E585" s="1179"/>
      <c r="F585" s="1179"/>
      <c r="G585" s="1179"/>
    </row>
    <row r="586" spans="1:7" ht="14.25">
      <c r="A586" s="1189"/>
      <c r="B586" s="1179"/>
      <c r="C586" s="1179"/>
      <c r="D586" s="1179"/>
      <c r="E586" s="1179"/>
      <c r="F586" s="1179"/>
      <c r="G586" s="1179"/>
    </row>
    <row r="587" spans="1:7" ht="14.25">
      <c r="A587" s="1189"/>
      <c r="B587" s="1179"/>
      <c r="C587" s="1179"/>
      <c r="D587" s="1179"/>
      <c r="E587" s="1179"/>
      <c r="F587" s="1179"/>
      <c r="G587" s="1179"/>
    </row>
    <row r="588" spans="1:7" ht="14.25">
      <c r="A588" s="1189"/>
      <c r="B588" s="1179"/>
      <c r="C588" s="1179"/>
      <c r="D588" s="1179"/>
      <c r="E588" s="1179"/>
      <c r="F588" s="1179"/>
      <c r="G588" s="1179"/>
    </row>
    <row r="589" spans="1:7" ht="14.25">
      <c r="A589" s="1189"/>
      <c r="B589" s="1179"/>
      <c r="C589" s="1179"/>
      <c r="D589" s="1179"/>
      <c r="E589" s="1179"/>
      <c r="F589" s="1179"/>
      <c r="G589" s="1179"/>
    </row>
    <row r="590" spans="1:7" ht="14.25">
      <c r="A590" s="1189"/>
      <c r="B590" s="1179"/>
      <c r="C590" s="1179"/>
      <c r="D590" s="1179"/>
      <c r="E590" s="1179"/>
      <c r="F590" s="1179"/>
      <c r="G590" s="1179"/>
    </row>
    <row r="591" spans="1:7" ht="14.25">
      <c r="A591" s="1189"/>
      <c r="B591" s="1179"/>
      <c r="C591" s="1179"/>
      <c r="D591" s="1179"/>
      <c r="E591" s="1179"/>
      <c r="F591" s="1179"/>
      <c r="G591" s="1179"/>
    </row>
    <row r="592" spans="1:7" ht="14.25">
      <c r="A592" s="1189"/>
      <c r="B592" s="1179"/>
      <c r="C592" s="1179"/>
      <c r="D592" s="1179"/>
      <c r="E592" s="1179"/>
      <c r="F592" s="1179"/>
      <c r="G592" s="1179"/>
    </row>
    <row r="593" spans="1:7" ht="14.25">
      <c r="A593" s="1189"/>
      <c r="B593" s="1179"/>
      <c r="C593" s="1179"/>
      <c r="D593" s="1179"/>
      <c r="E593" s="1179"/>
      <c r="F593" s="1179"/>
      <c r="G593" s="1179"/>
    </row>
    <row r="594" spans="1:7" ht="14.25">
      <c r="A594" s="1189"/>
      <c r="B594" s="1179"/>
      <c r="C594" s="1179"/>
      <c r="D594" s="1179"/>
      <c r="E594" s="1179"/>
      <c r="F594" s="1179"/>
      <c r="G594" s="1179"/>
    </row>
    <row r="595" spans="1:7" ht="14.25">
      <c r="A595" s="1189"/>
      <c r="B595" s="1179"/>
      <c r="C595" s="1179"/>
      <c r="D595" s="1179"/>
      <c r="E595" s="1179"/>
      <c r="F595" s="1179"/>
      <c r="G595" s="1179"/>
    </row>
    <row r="596" spans="1:7" ht="14.25">
      <c r="A596" s="1189"/>
      <c r="B596" s="1179"/>
      <c r="C596" s="1179"/>
      <c r="D596" s="1179"/>
      <c r="E596" s="1179"/>
      <c r="F596" s="1179"/>
      <c r="G596" s="1179"/>
    </row>
    <row r="597" spans="1:7" ht="14.25">
      <c r="A597" s="1189"/>
      <c r="B597" s="1179"/>
      <c r="C597" s="1179"/>
      <c r="D597" s="1179"/>
      <c r="E597" s="1179"/>
      <c r="F597" s="1179"/>
      <c r="G597" s="1179"/>
    </row>
    <row r="598" spans="1:7" ht="14.25">
      <c r="A598" s="1189"/>
      <c r="B598" s="1179"/>
      <c r="C598" s="1179"/>
      <c r="D598" s="1179"/>
      <c r="E598" s="1179"/>
      <c r="F598" s="1179"/>
      <c r="G598" s="1179"/>
    </row>
    <row r="599" spans="1:7" ht="14.25">
      <c r="A599" s="1189"/>
      <c r="B599" s="1179"/>
      <c r="C599" s="1179"/>
      <c r="D599" s="1179"/>
      <c r="E599" s="1179"/>
      <c r="F599" s="1179"/>
      <c r="G599" s="1179"/>
    </row>
    <row r="600" spans="1:7" ht="14.25">
      <c r="A600" s="1189"/>
      <c r="B600" s="1179"/>
      <c r="C600" s="1179"/>
      <c r="D600" s="1179"/>
      <c r="E600" s="1179"/>
      <c r="F600" s="1179"/>
      <c r="G600" s="1179"/>
    </row>
    <row r="601" spans="1:7" ht="14.25">
      <c r="A601" s="1189"/>
      <c r="B601" s="1179"/>
      <c r="C601" s="1179"/>
      <c r="D601" s="1179"/>
      <c r="E601" s="1179"/>
      <c r="F601" s="1179"/>
      <c r="G601" s="1179"/>
    </row>
    <row r="602" spans="1:7" ht="14.25">
      <c r="A602" s="1189"/>
      <c r="B602" s="1179"/>
      <c r="C602" s="1179"/>
      <c r="D602" s="1179"/>
      <c r="E602" s="1179"/>
      <c r="F602" s="1179"/>
      <c r="G602" s="1179"/>
    </row>
    <row r="603" spans="1:7" ht="14.25">
      <c r="A603" s="1189"/>
      <c r="B603" s="1179"/>
      <c r="C603" s="1179"/>
      <c r="D603" s="1179"/>
      <c r="E603" s="1179"/>
      <c r="F603" s="1179"/>
      <c r="G603" s="1179"/>
    </row>
    <row r="604" spans="1:7" ht="14.25">
      <c r="A604" s="1189"/>
      <c r="B604" s="1179"/>
      <c r="C604" s="1179"/>
      <c r="D604" s="1179"/>
      <c r="E604" s="1179"/>
      <c r="F604" s="1179"/>
      <c r="G604" s="1179"/>
    </row>
    <row r="605" spans="1:7" ht="14.25">
      <c r="A605" s="1189"/>
      <c r="B605" s="1179"/>
      <c r="C605" s="1179"/>
      <c r="D605" s="1179"/>
      <c r="E605" s="1179"/>
      <c r="F605" s="1179"/>
      <c r="G605" s="1179"/>
    </row>
    <row r="606" spans="1:7" ht="14.25">
      <c r="A606" s="1189"/>
      <c r="B606" s="1179"/>
      <c r="C606" s="1179"/>
      <c r="D606" s="1179"/>
      <c r="E606" s="1179"/>
      <c r="F606" s="1179"/>
      <c r="G606" s="1179"/>
    </row>
    <row r="607" spans="1:7" ht="14.25">
      <c r="A607" s="1189"/>
      <c r="B607" s="1179"/>
      <c r="C607" s="1179"/>
      <c r="D607" s="1179"/>
      <c r="E607" s="1179"/>
      <c r="F607" s="1179"/>
      <c r="G607" s="1179"/>
    </row>
    <row r="608" spans="1:7" ht="14.25">
      <c r="A608" s="1189"/>
      <c r="B608" s="1179"/>
      <c r="C608" s="1179"/>
      <c r="D608" s="1179"/>
      <c r="E608" s="1179"/>
      <c r="F608" s="1179"/>
      <c r="G608" s="1179"/>
    </row>
    <row r="609" spans="1:7" ht="14.25">
      <c r="A609" s="1189"/>
      <c r="B609" s="1179"/>
      <c r="C609" s="1179"/>
      <c r="D609" s="1179"/>
      <c r="E609" s="1179"/>
      <c r="F609" s="1179"/>
      <c r="G609" s="1179"/>
    </row>
    <row r="610" spans="1:7" ht="14.25">
      <c r="A610" s="1189"/>
      <c r="B610" s="1179"/>
      <c r="C610" s="1179"/>
      <c r="D610" s="1179"/>
      <c r="E610" s="1179"/>
      <c r="F610" s="1179"/>
      <c r="G610" s="1179"/>
    </row>
    <row r="611" spans="1:7" ht="14.25">
      <c r="A611" s="1189"/>
      <c r="B611" s="1179"/>
      <c r="C611" s="1179"/>
      <c r="D611" s="1179"/>
      <c r="E611" s="1179"/>
      <c r="F611" s="1179"/>
      <c r="G611" s="1179"/>
    </row>
    <row r="612" spans="1:7" ht="14.25">
      <c r="A612" s="1189"/>
      <c r="B612" s="1179"/>
      <c r="C612" s="1179"/>
      <c r="D612" s="1179"/>
      <c r="E612" s="1179"/>
      <c r="F612" s="1179"/>
      <c r="G612" s="1179"/>
    </row>
    <row r="613" spans="1:7" ht="14.25">
      <c r="A613" s="1189"/>
      <c r="B613" s="1179"/>
      <c r="C613" s="1179"/>
      <c r="D613" s="1179"/>
      <c r="E613" s="1179"/>
      <c r="F613" s="1179"/>
      <c r="G613" s="1179"/>
    </row>
    <row r="614" spans="1:7" ht="14.25">
      <c r="A614" s="1189"/>
      <c r="B614" s="1179"/>
      <c r="C614" s="1179"/>
      <c r="D614" s="1179"/>
      <c r="E614" s="1179"/>
      <c r="F614" s="1179"/>
      <c r="G614" s="1179"/>
    </row>
    <row r="615" spans="1:7" ht="14.25">
      <c r="A615" s="1189"/>
      <c r="B615" s="1179"/>
      <c r="C615" s="1179"/>
      <c r="D615" s="1179"/>
      <c r="E615" s="1179"/>
      <c r="F615" s="1179"/>
      <c r="G615" s="1179"/>
    </row>
    <row r="616" spans="1:7" ht="14.25">
      <c r="A616" s="1189"/>
      <c r="B616" s="1179"/>
      <c r="C616" s="1179"/>
      <c r="D616" s="1179"/>
      <c r="E616" s="1179"/>
      <c r="F616" s="1179"/>
      <c r="G616" s="1179"/>
    </row>
    <row r="617" spans="1:7" ht="14.25">
      <c r="A617" s="1189"/>
      <c r="B617" s="1179"/>
      <c r="C617" s="1179"/>
      <c r="D617" s="1179"/>
      <c r="E617" s="1179"/>
      <c r="F617" s="1179"/>
      <c r="G617" s="1179"/>
    </row>
    <row r="618" spans="1:7" ht="14.25">
      <c r="A618" s="1189"/>
      <c r="B618" s="1179"/>
      <c r="C618" s="1179"/>
      <c r="D618" s="1179"/>
      <c r="E618" s="1179"/>
      <c r="F618" s="1179"/>
      <c r="G618" s="1179"/>
    </row>
    <row r="619" spans="1:7" ht="14.25">
      <c r="A619" s="1189"/>
      <c r="B619" s="1179"/>
      <c r="C619" s="1179"/>
      <c r="D619" s="1179"/>
      <c r="E619" s="1179"/>
      <c r="F619" s="1179"/>
      <c r="G619" s="1179"/>
    </row>
    <row r="620" spans="1:7" ht="14.25">
      <c r="A620" s="1189"/>
      <c r="B620" s="1179"/>
      <c r="C620" s="1179"/>
      <c r="D620" s="1179"/>
      <c r="E620" s="1179"/>
      <c r="F620" s="1179"/>
      <c r="G620" s="1179"/>
    </row>
    <row r="621" spans="1:7" ht="14.25">
      <c r="A621" s="1189"/>
      <c r="B621" s="1179"/>
      <c r="C621" s="1179"/>
      <c r="D621" s="1179"/>
      <c r="E621" s="1179"/>
      <c r="F621" s="1179"/>
      <c r="G621" s="1179"/>
    </row>
    <row r="622" spans="1:7" ht="14.25">
      <c r="A622" s="1189"/>
      <c r="B622" s="1179"/>
      <c r="C622" s="1179"/>
      <c r="D622" s="1179"/>
      <c r="E622" s="1179"/>
      <c r="F622" s="1179"/>
      <c r="G622" s="1179"/>
    </row>
    <row r="623" spans="1:7" ht="14.25">
      <c r="A623" s="1189"/>
      <c r="B623" s="1179"/>
      <c r="C623" s="1179"/>
      <c r="D623" s="1179"/>
      <c r="E623" s="1179"/>
      <c r="F623" s="1179"/>
      <c r="G623" s="1179"/>
    </row>
    <row r="624" spans="1:7" ht="14.25">
      <c r="A624" s="1189"/>
      <c r="B624" s="1179"/>
      <c r="C624" s="1179"/>
      <c r="D624" s="1179"/>
      <c r="E624" s="1179"/>
      <c r="F624" s="1179"/>
      <c r="G624" s="1179"/>
    </row>
    <row r="625" spans="1:7" ht="14.25">
      <c r="A625" s="1189"/>
      <c r="B625" s="1179"/>
      <c r="C625" s="1179"/>
      <c r="D625" s="1179"/>
      <c r="E625" s="1179"/>
      <c r="F625" s="1179"/>
      <c r="G625" s="1179"/>
    </row>
    <row r="626" spans="1:7" ht="14.25">
      <c r="A626" s="1189"/>
      <c r="B626" s="1179"/>
      <c r="C626" s="1179"/>
      <c r="D626" s="1179"/>
      <c r="E626" s="1179"/>
      <c r="F626" s="1179"/>
      <c r="G626" s="1179"/>
    </row>
    <row r="627" spans="1:7" ht="14.25">
      <c r="A627" s="1189"/>
      <c r="B627" s="1179"/>
      <c r="C627" s="1179"/>
      <c r="D627" s="1179"/>
      <c r="E627" s="1179"/>
      <c r="F627" s="1179"/>
      <c r="G627" s="1179"/>
    </row>
    <row r="628" spans="1:7" ht="14.25">
      <c r="A628" s="1189"/>
      <c r="B628" s="1179"/>
      <c r="C628" s="1179"/>
      <c r="D628" s="1179"/>
      <c r="E628" s="1179"/>
      <c r="F628" s="1179"/>
      <c r="G628" s="1179"/>
    </row>
    <row r="629" spans="1:7" ht="14.25">
      <c r="A629" s="1189"/>
      <c r="B629" s="1179"/>
      <c r="C629" s="1179"/>
      <c r="D629" s="1179"/>
      <c r="E629" s="1179"/>
      <c r="F629" s="1179"/>
      <c r="G629" s="1179"/>
    </row>
    <row r="630" spans="1:7" ht="14.25">
      <c r="A630" s="1189"/>
      <c r="B630" s="1179"/>
      <c r="C630" s="1179"/>
      <c r="D630" s="1179"/>
      <c r="E630" s="1179"/>
      <c r="F630" s="1179"/>
      <c r="G630" s="1179"/>
    </row>
    <row r="631" spans="1:7" ht="14.25">
      <c r="A631" s="1189"/>
      <c r="B631" s="1179"/>
      <c r="C631" s="1179"/>
      <c r="D631" s="1179"/>
      <c r="E631" s="1179"/>
      <c r="F631" s="1179"/>
      <c r="G631" s="1179"/>
    </row>
    <row r="632" spans="1:7" ht="14.25">
      <c r="A632" s="1189"/>
      <c r="B632" s="1179"/>
      <c r="C632" s="1179"/>
      <c r="D632" s="1179"/>
      <c r="E632" s="1179"/>
      <c r="F632" s="1179"/>
      <c r="G632" s="1179"/>
    </row>
    <row r="633" spans="1:7" ht="14.25">
      <c r="A633" s="1189"/>
      <c r="B633" s="1179"/>
      <c r="C633" s="1179"/>
      <c r="D633" s="1179"/>
      <c r="E633" s="1179"/>
      <c r="F633" s="1179"/>
      <c r="G633" s="1179"/>
    </row>
    <row r="634" spans="1:7" ht="14.25">
      <c r="A634" s="1189"/>
      <c r="B634" s="1179"/>
      <c r="C634" s="1179"/>
      <c r="D634" s="1179"/>
      <c r="E634" s="1179"/>
      <c r="F634" s="1179"/>
      <c r="G634" s="1179"/>
    </row>
    <row r="635" spans="1:7" ht="14.25">
      <c r="A635" s="1189"/>
      <c r="B635" s="1179"/>
      <c r="C635" s="1179"/>
      <c r="D635" s="1179"/>
      <c r="E635" s="1179"/>
      <c r="F635" s="1179"/>
      <c r="G635" s="1179"/>
    </row>
    <row r="636" spans="1:7" ht="14.25">
      <c r="A636" s="1189"/>
      <c r="B636" s="1179"/>
      <c r="C636" s="1179"/>
      <c r="D636" s="1179"/>
      <c r="E636" s="1179"/>
      <c r="F636" s="1179"/>
      <c r="G636" s="1179"/>
    </row>
    <row r="637" spans="1:7" ht="14.25">
      <c r="A637" s="1189"/>
      <c r="B637" s="1179"/>
      <c r="C637" s="1179"/>
      <c r="D637" s="1179"/>
      <c r="E637" s="1179"/>
      <c r="F637" s="1179"/>
      <c r="G637" s="1179"/>
    </row>
    <row r="638" spans="1:7" ht="14.25">
      <c r="A638" s="1189"/>
      <c r="B638" s="1179"/>
      <c r="C638" s="1179"/>
      <c r="D638" s="1179"/>
      <c r="E638" s="1179"/>
      <c r="F638" s="1179"/>
      <c r="G638" s="1179"/>
    </row>
    <row r="639" spans="1:7" ht="14.25">
      <c r="A639" s="1189"/>
      <c r="B639" s="1179"/>
      <c r="C639" s="1179"/>
      <c r="D639" s="1179"/>
      <c r="E639" s="1179"/>
      <c r="F639" s="1179"/>
      <c r="G639" s="1179"/>
    </row>
    <row r="640" spans="1:7" ht="14.25">
      <c r="A640" s="1189"/>
      <c r="B640" s="1179"/>
      <c r="C640" s="1179"/>
      <c r="D640" s="1179"/>
      <c r="E640" s="1179"/>
      <c r="F640" s="1179"/>
      <c r="G640" s="1179"/>
    </row>
    <row r="641" spans="1:7" ht="14.25">
      <c r="A641" s="1189"/>
      <c r="B641" s="1179"/>
      <c r="C641" s="1179"/>
      <c r="D641" s="1179"/>
      <c r="E641" s="1179"/>
      <c r="F641" s="1179"/>
      <c r="G641" s="1179"/>
    </row>
    <row r="642" spans="1:7" ht="14.25">
      <c r="A642" s="1189"/>
      <c r="B642" s="1179"/>
      <c r="C642" s="1179"/>
      <c r="D642" s="1179"/>
      <c r="E642" s="1179"/>
      <c r="F642" s="1179"/>
      <c r="G642" s="1179"/>
    </row>
    <row r="643" spans="1:7" ht="14.25">
      <c r="A643" s="1189"/>
      <c r="B643" s="1179"/>
      <c r="C643" s="1179"/>
      <c r="D643" s="1179"/>
      <c r="E643" s="1179"/>
      <c r="F643" s="1179"/>
      <c r="G643" s="1179"/>
    </row>
    <row r="644" spans="1:7" ht="14.25">
      <c r="A644" s="1189"/>
      <c r="B644" s="1179"/>
      <c r="C644" s="1179"/>
      <c r="D644" s="1179"/>
      <c r="E644" s="1179"/>
      <c r="F644" s="1179"/>
      <c r="G644" s="1179"/>
    </row>
    <row r="645" spans="1:7" ht="14.25">
      <c r="A645" s="1189"/>
      <c r="B645" s="1179"/>
      <c r="C645" s="1179"/>
      <c r="D645" s="1179"/>
      <c r="E645" s="1179"/>
      <c r="F645" s="1179"/>
      <c r="G645" s="1179"/>
    </row>
    <row r="646" spans="1:7" ht="14.25">
      <c r="A646" s="1189"/>
      <c r="B646" s="1179"/>
      <c r="C646" s="1179"/>
      <c r="D646" s="1179"/>
      <c r="E646" s="1179"/>
      <c r="F646" s="1179"/>
      <c r="G646" s="1179"/>
    </row>
    <row r="647" spans="1:7" ht="14.25">
      <c r="A647" s="1189"/>
      <c r="B647" s="1179"/>
      <c r="C647" s="1179"/>
      <c r="D647" s="1179"/>
      <c r="E647" s="1179"/>
      <c r="F647" s="1179"/>
      <c r="G647" s="1179"/>
    </row>
    <row r="648" spans="1:7" ht="14.25">
      <c r="A648" s="1189"/>
      <c r="B648" s="1179"/>
      <c r="C648" s="1179"/>
      <c r="D648" s="1179"/>
      <c r="E648" s="1179"/>
      <c r="F648" s="1179"/>
      <c r="G648" s="1179"/>
    </row>
    <row r="649" spans="1:7" ht="14.25">
      <c r="A649" s="1189"/>
      <c r="B649" s="1179"/>
      <c r="C649" s="1179"/>
      <c r="D649" s="1179"/>
      <c r="E649" s="1179"/>
      <c r="F649" s="1179"/>
      <c r="G649" s="1179"/>
    </row>
    <row r="650" spans="1:7" ht="14.25">
      <c r="A650" s="1189"/>
      <c r="B650" s="1179"/>
      <c r="C650" s="1179"/>
      <c r="D650" s="1179"/>
      <c r="E650" s="1179"/>
      <c r="F650" s="1179"/>
      <c r="G650" s="1179"/>
    </row>
    <row r="651" spans="1:7" ht="14.25">
      <c r="A651" s="1189"/>
      <c r="B651" s="1179"/>
      <c r="C651" s="1179"/>
      <c r="D651" s="1179"/>
      <c r="E651" s="1179"/>
      <c r="F651" s="1179"/>
      <c r="G651" s="1179"/>
    </row>
    <row r="652" spans="1:7" ht="14.25">
      <c r="A652" s="1189"/>
      <c r="B652" s="1179"/>
      <c r="C652" s="1179"/>
      <c r="D652" s="1179"/>
      <c r="E652" s="1179"/>
      <c r="F652" s="1179"/>
      <c r="G652" s="1179"/>
    </row>
    <row r="653" spans="1:7" ht="14.25">
      <c r="A653" s="1189"/>
      <c r="B653" s="1179"/>
      <c r="C653" s="1179"/>
      <c r="D653" s="1179"/>
      <c r="E653" s="1179"/>
      <c r="F653" s="1179"/>
      <c r="G653" s="1179"/>
    </row>
    <row r="654" spans="1:7" ht="14.25">
      <c r="A654" s="1189"/>
      <c r="B654" s="1179"/>
      <c r="C654" s="1179"/>
      <c r="D654" s="1179"/>
      <c r="E654" s="1179"/>
      <c r="F654" s="1179"/>
      <c r="G654" s="1179"/>
    </row>
    <row r="655" spans="1:7" ht="14.25">
      <c r="A655" s="1189"/>
      <c r="B655" s="1179"/>
      <c r="C655" s="1179"/>
      <c r="D655" s="1179"/>
      <c r="E655" s="1179"/>
      <c r="F655" s="1179"/>
      <c r="G655" s="1179"/>
    </row>
    <row r="656" spans="1:7" ht="14.25">
      <c r="A656" s="1189"/>
      <c r="B656" s="1179"/>
      <c r="C656" s="1179"/>
      <c r="D656" s="1179"/>
      <c r="E656" s="1179"/>
      <c r="F656" s="1179"/>
      <c r="G656" s="1179"/>
    </row>
    <row r="657" spans="1:7" ht="14.25">
      <c r="A657" s="1189"/>
      <c r="B657" s="1179"/>
      <c r="C657" s="1179"/>
      <c r="D657" s="1179"/>
      <c r="E657" s="1179"/>
      <c r="F657" s="1179"/>
      <c r="G657" s="1179"/>
    </row>
    <row r="658" spans="1:7" ht="14.25">
      <c r="A658" s="1189"/>
      <c r="B658" s="1179"/>
      <c r="C658" s="1179"/>
      <c r="D658" s="1179"/>
      <c r="E658" s="1179"/>
      <c r="F658" s="1179"/>
      <c r="G658" s="1179"/>
    </row>
    <row r="659" spans="1:7" ht="14.25">
      <c r="A659" s="1189"/>
      <c r="B659" s="1179"/>
      <c r="C659" s="1179"/>
      <c r="D659" s="1179"/>
      <c r="E659" s="1179"/>
      <c r="F659" s="1179"/>
      <c r="G659" s="1179"/>
    </row>
    <row r="660" spans="1:7" ht="14.25">
      <c r="A660" s="1189"/>
      <c r="B660" s="1179"/>
      <c r="C660" s="1179"/>
      <c r="D660" s="1179"/>
      <c r="E660" s="1179"/>
      <c r="F660" s="1179"/>
      <c r="G660" s="1179"/>
    </row>
    <row r="661" spans="1:7" ht="14.25">
      <c r="A661" s="1189"/>
      <c r="B661" s="1179"/>
      <c r="C661" s="1179"/>
      <c r="D661" s="1179"/>
      <c r="E661" s="1179"/>
      <c r="F661" s="1179"/>
      <c r="G661" s="1179"/>
    </row>
    <row r="662" spans="1:7" ht="14.25">
      <c r="A662" s="1189"/>
      <c r="B662" s="1179"/>
      <c r="C662" s="1179"/>
      <c r="D662" s="1179"/>
      <c r="E662" s="1179"/>
      <c r="F662" s="1179"/>
      <c r="G662" s="1179"/>
    </row>
    <row r="663" spans="1:7" ht="14.25">
      <c r="A663" s="1189"/>
      <c r="B663" s="1179"/>
      <c r="C663" s="1179"/>
      <c r="D663" s="1179"/>
      <c r="E663" s="1179"/>
      <c r="F663" s="1179"/>
      <c r="G663" s="1179"/>
    </row>
    <row r="664" spans="1:7" ht="14.25">
      <c r="A664" s="1189"/>
      <c r="B664" s="1179"/>
      <c r="C664" s="1179"/>
      <c r="D664" s="1179"/>
      <c r="E664" s="1179"/>
      <c r="F664" s="1179"/>
      <c r="G664" s="1179"/>
    </row>
    <row r="665" spans="1:7" ht="14.25">
      <c r="A665" s="1189"/>
      <c r="B665" s="1179"/>
      <c r="C665" s="1179"/>
      <c r="D665" s="1179"/>
      <c r="E665" s="1179"/>
      <c r="F665" s="1179"/>
      <c r="G665" s="1179"/>
    </row>
    <row r="666" spans="1:7" ht="14.25">
      <c r="A666" s="1189"/>
      <c r="B666" s="1179"/>
      <c r="C666" s="1179"/>
      <c r="D666" s="1179"/>
      <c r="E666" s="1179"/>
      <c r="F666" s="1179"/>
      <c r="G666" s="1179"/>
    </row>
    <row r="667" spans="1:7" ht="14.25">
      <c r="A667" s="1189"/>
      <c r="B667" s="1179"/>
      <c r="C667" s="1179"/>
      <c r="D667" s="1179"/>
      <c r="E667" s="1179"/>
      <c r="F667" s="1179"/>
      <c r="G667" s="1179"/>
    </row>
    <row r="668" spans="1:7" ht="14.25">
      <c r="A668" s="1189"/>
      <c r="B668" s="1179"/>
      <c r="C668" s="1179"/>
      <c r="D668" s="1179"/>
      <c r="E668" s="1179"/>
      <c r="F668" s="1179"/>
      <c r="G668" s="1179"/>
    </row>
    <row r="669" spans="1:7" ht="14.25">
      <c r="A669" s="1189"/>
      <c r="B669" s="1179"/>
      <c r="C669" s="1179"/>
      <c r="D669" s="1179"/>
      <c r="E669" s="1179"/>
      <c r="F669" s="1179"/>
      <c r="G669" s="1179"/>
    </row>
    <row r="670" spans="1:7" ht="14.25">
      <c r="A670" s="1189"/>
      <c r="B670" s="1179"/>
      <c r="C670" s="1179"/>
      <c r="D670" s="1179"/>
      <c r="E670" s="1179"/>
      <c r="F670" s="1179"/>
      <c r="G670" s="1179"/>
    </row>
    <row r="671" spans="1:7" ht="14.25">
      <c r="A671" s="1189"/>
      <c r="B671" s="1179"/>
      <c r="C671" s="1179"/>
      <c r="D671" s="1179"/>
      <c r="E671" s="1179"/>
      <c r="F671" s="1179"/>
      <c r="G671" s="1179"/>
    </row>
    <row r="672" spans="1:7" ht="14.25">
      <c r="A672" s="1189"/>
      <c r="B672" s="1179"/>
      <c r="C672" s="1179"/>
      <c r="D672" s="1179"/>
      <c r="E672" s="1179"/>
      <c r="F672" s="1179"/>
      <c r="G672" s="1179"/>
    </row>
    <row r="673" spans="1:7" ht="14.25">
      <c r="A673" s="1189"/>
      <c r="B673" s="1179"/>
      <c r="C673" s="1179"/>
      <c r="D673" s="1179"/>
      <c r="E673" s="1179"/>
      <c r="F673" s="1179"/>
      <c r="G673" s="1179"/>
    </row>
    <row r="674" spans="1:7" ht="14.25">
      <c r="A674" s="1189"/>
      <c r="B674" s="1179"/>
      <c r="C674" s="1179"/>
      <c r="D674" s="1179"/>
      <c r="E674" s="1179"/>
      <c r="F674" s="1179"/>
      <c r="G674" s="1179"/>
    </row>
    <row r="675" spans="1:7" ht="14.25">
      <c r="A675" s="1189"/>
      <c r="B675" s="1179"/>
      <c r="C675" s="1179"/>
      <c r="D675" s="1179"/>
      <c r="E675" s="1179"/>
      <c r="F675" s="1179"/>
      <c r="G675" s="1179"/>
    </row>
    <row r="676" spans="1:7" ht="14.25">
      <c r="A676" s="1189"/>
      <c r="B676" s="1179"/>
      <c r="C676" s="1179"/>
      <c r="D676" s="1179"/>
      <c r="E676" s="1179"/>
      <c r="F676" s="1179"/>
      <c r="G676" s="1179"/>
    </row>
    <row r="677" spans="1:7" ht="14.25">
      <c r="A677" s="1189"/>
      <c r="B677" s="1179"/>
      <c r="C677" s="1179"/>
      <c r="D677" s="1179"/>
      <c r="E677" s="1179"/>
      <c r="F677" s="1179"/>
      <c r="G677" s="1179"/>
    </row>
    <row r="678" spans="1:7" ht="14.25">
      <c r="A678" s="1189"/>
      <c r="B678" s="1179"/>
      <c r="C678" s="1179"/>
      <c r="D678" s="1179"/>
      <c r="E678" s="1179"/>
      <c r="F678" s="1179"/>
      <c r="G678" s="1179"/>
    </row>
    <row r="679" spans="1:7" ht="14.25">
      <c r="A679" s="1189"/>
      <c r="B679" s="1179"/>
      <c r="C679" s="1179"/>
      <c r="D679" s="1179"/>
      <c r="E679" s="1179"/>
      <c r="F679" s="1179"/>
      <c r="G679" s="1179"/>
    </row>
    <row r="680" spans="1:7" ht="14.25">
      <c r="A680" s="1189"/>
      <c r="B680" s="1179"/>
      <c r="C680" s="1179"/>
      <c r="D680" s="1179"/>
      <c r="E680" s="1179"/>
      <c r="F680" s="1179"/>
      <c r="G680" s="1179"/>
    </row>
    <row r="681" spans="1:7" ht="14.25">
      <c r="A681" s="1189"/>
      <c r="B681" s="1179"/>
      <c r="C681" s="1179"/>
      <c r="D681" s="1179"/>
      <c r="E681" s="1179"/>
      <c r="F681" s="1179"/>
      <c r="G681" s="1179"/>
    </row>
    <row r="682" spans="1:7" ht="14.25">
      <c r="A682" s="1189"/>
      <c r="B682" s="1179"/>
      <c r="C682" s="1179"/>
      <c r="D682" s="1179"/>
      <c r="E682" s="1179"/>
      <c r="F682" s="1179"/>
      <c r="G682" s="1179"/>
    </row>
    <row r="683" spans="1:7" ht="14.25">
      <c r="A683" s="1189"/>
      <c r="B683" s="1179"/>
      <c r="C683" s="1179"/>
      <c r="D683" s="1179"/>
      <c r="E683" s="1179"/>
      <c r="F683" s="1179"/>
      <c r="G683" s="1179"/>
    </row>
    <row r="684" spans="1:7" ht="14.25">
      <c r="A684" s="1189"/>
      <c r="B684" s="1179"/>
      <c r="C684" s="1179"/>
      <c r="D684" s="1179"/>
      <c r="E684" s="1179"/>
      <c r="F684" s="1179"/>
      <c r="G684" s="1179"/>
    </row>
    <row r="685" spans="1:7" ht="14.25">
      <c r="A685" s="1189"/>
      <c r="B685" s="1179"/>
      <c r="C685" s="1179"/>
      <c r="D685" s="1179"/>
      <c r="E685" s="1179"/>
      <c r="F685" s="1179"/>
      <c r="G685" s="1179"/>
    </row>
    <row r="686" spans="1:7" ht="14.25">
      <c r="A686" s="1189"/>
      <c r="B686" s="1179"/>
      <c r="C686" s="1179"/>
      <c r="D686" s="1179"/>
      <c r="E686" s="1179"/>
      <c r="F686" s="1179"/>
      <c r="G686" s="1179"/>
    </row>
    <row r="687" spans="1:7" ht="14.25">
      <c r="A687" s="1189"/>
      <c r="B687" s="1179"/>
      <c r="C687" s="1179"/>
      <c r="D687" s="1179"/>
      <c r="E687" s="1179"/>
      <c r="F687" s="1179"/>
      <c r="G687" s="1179"/>
    </row>
    <row r="688" spans="1:7" ht="14.25">
      <c r="A688" s="1189"/>
      <c r="B688" s="1179"/>
      <c r="C688" s="1179"/>
      <c r="D688" s="1179"/>
      <c r="E688" s="1179"/>
      <c r="F688" s="1179"/>
      <c r="G688" s="1179"/>
    </row>
    <row r="689" spans="1:7" ht="14.25">
      <c r="A689" s="1189"/>
      <c r="B689" s="1179"/>
      <c r="C689" s="1179"/>
      <c r="D689" s="1179"/>
      <c r="E689" s="1179"/>
      <c r="F689" s="1179"/>
      <c r="G689" s="1179"/>
    </row>
    <row r="690" spans="1:7" ht="14.25">
      <c r="A690" s="1189"/>
      <c r="B690" s="1179"/>
      <c r="C690" s="1179"/>
      <c r="D690" s="1179"/>
      <c r="E690" s="1179"/>
      <c r="F690" s="1179"/>
      <c r="G690" s="1179"/>
    </row>
    <row r="691" spans="1:7" ht="14.25">
      <c r="A691" s="1189"/>
      <c r="B691" s="1179"/>
      <c r="C691" s="1179"/>
      <c r="D691" s="1179"/>
      <c r="E691" s="1179"/>
      <c r="F691" s="1179"/>
      <c r="G691" s="1179"/>
    </row>
    <row r="692" spans="1:7" ht="14.25">
      <c r="A692" s="1189"/>
      <c r="B692" s="1179"/>
      <c r="C692" s="1179"/>
      <c r="D692" s="1179"/>
      <c r="E692" s="1179"/>
      <c r="F692" s="1179"/>
      <c r="G692" s="1179"/>
    </row>
    <row r="693" spans="1:7" ht="14.25">
      <c r="A693" s="1189"/>
      <c r="B693" s="1179"/>
      <c r="C693" s="1179"/>
      <c r="D693" s="1179"/>
      <c r="E693" s="1179"/>
      <c r="F693" s="1179"/>
      <c r="G693" s="1179"/>
    </row>
    <row r="694" spans="1:7" ht="14.25">
      <c r="A694" s="1189"/>
      <c r="B694" s="1179"/>
      <c r="C694" s="1179"/>
      <c r="D694" s="1179"/>
      <c r="E694" s="1179"/>
      <c r="F694" s="1179"/>
      <c r="G694" s="1179"/>
    </row>
    <row r="695" spans="1:7" ht="14.25">
      <c r="A695" s="1189"/>
      <c r="B695" s="1179"/>
      <c r="C695" s="1179"/>
      <c r="D695" s="1179"/>
      <c r="E695" s="1179"/>
      <c r="F695" s="1179"/>
      <c r="G695" s="1179"/>
    </row>
    <row r="696" spans="1:7" ht="14.25">
      <c r="A696" s="1189"/>
      <c r="B696" s="1179"/>
      <c r="C696" s="1179"/>
      <c r="D696" s="1179"/>
      <c r="E696" s="1179"/>
      <c r="F696" s="1179"/>
      <c r="G696" s="1179"/>
    </row>
    <row r="697" spans="1:7" ht="14.25">
      <c r="A697" s="1189"/>
      <c r="B697" s="1179"/>
      <c r="C697" s="1179"/>
      <c r="D697" s="1179"/>
      <c r="E697" s="1179"/>
      <c r="F697" s="1179"/>
      <c r="G697" s="1179"/>
    </row>
    <row r="698" spans="1:7" ht="14.25">
      <c r="A698" s="1189"/>
      <c r="B698" s="1179"/>
      <c r="C698" s="1179"/>
      <c r="D698" s="1179"/>
      <c r="E698" s="1179"/>
      <c r="F698" s="1179"/>
      <c r="G698" s="1179"/>
    </row>
    <row r="699" spans="1:7" ht="14.25">
      <c r="A699" s="1189"/>
      <c r="B699" s="1179"/>
      <c r="C699" s="1179"/>
      <c r="D699" s="1179"/>
      <c r="E699" s="1179"/>
      <c r="F699" s="1179"/>
      <c r="G699" s="1179"/>
    </row>
    <row r="700" spans="1:7" ht="14.25">
      <c r="A700" s="1189"/>
      <c r="B700" s="1179"/>
      <c r="C700" s="1179"/>
      <c r="D700" s="1179"/>
      <c r="E700" s="1179"/>
      <c r="F700" s="1179"/>
      <c r="G700" s="1179"/>
    </row>
    <row r="701" spans="1:7" ht="14.25">
      <c r="A701" s="1189"/>
      <c r="B701" s="1179"/>
      <c r="C701" s="1179"/>
      <c r="D701" s="1179"/>
      <c r="E701" s="1179"/>
      <c r="F701" s="1179"/>
      <c r="G701" s="1179"/>
    </row>
    <row r="702" spans="1:7" ht="14.25">
      <c r="A702" s="1189"/>
      <c r="B702" s="1179"/>
      <c r="C702" s="1179"/>
      <c r="D702" s="1179"/>
      <c r="E702" s="1179"/>
      <c r="F702" s="1179"/>
      <c r="G702" s="1179"/>
    </row>
    <row r="703" spans="1:7" ht="14.25">
      <c r="A703" s="1189"/>
      <c r="B703" s="1179"/>
      <c r="C703" s="1179"/>
      <c r="D703" s="1179"/>
      <c r="E703" s="1179"/>
      <c r="F703" s="1179"/>
      <c r="G703" s="1179"/>
    </row>
    <row r="704" spans="1:7" ht="14.25">
      <c r="A704" s="1189"/>
      <c r="B704" s="1179"/>
      <c r="C704" s="1179"/>
      <c r="D704" s="1179"/>
      <c r="E704" s="1179"/>
      <c r="F704" s="1179"/>
      <c r="G704" s="1179"/>
    </row>
    <row r="705" spans="1:7" ht="14.25">
      <c r="A705" s="1189"/>
      <c r="B705" s="1179"/>
      <c r="C705" s="1179"/>
      <c r="D705" s="1179"/>
      <c r="E705" s="1179"/>
      <c r="F705" s="1179"/>
      <c r="G705" s="1179"/>
    </row>
    <row r="706" spans="1:7" ht="14.25">
      <c r="A706" s="1189"/>
      <c r="B706" s="1179"/>
      <c r="C706" s="1179"/>
      <c r="D706" s="1179"/>
      <c r="E706" s="1179"/>
      <c r="F706" s="1179"/>
      <c r="G706" s="1179"/>
    </row>
    <row r="707" spans="1:7" ht="14.25">
      <c r="A707" s="1189"/>
      <c r="B707" s="1179"/>
      <c r="C707" s="1179"/>
      <c r="D707" s="1179"/>
      <c r="E707" s="1179"/>
      <c r="F707" s="1179"/>
      <c r="G707" s="1179"/>
    </row>
    <row r="708" spans="1:7" ht="14.25">
      <c r="A708" s="1189"/>
      <c r="B708" s="1179"/>
      <c r="C708" s="1179"/>
      <c r="D708" s="1179"/>
      <c r="E708" s="1179"/>
      <c r="F708" s="1179"/>
      <c r="G708" s="1179"/>
    </row>
    <row r="709" spans="1:7" ht="14.25">
      <c r="A709" s="1189"/>
      <c r="B709" s="1179"/>
      <c r="C709" s="1179"/>
      <c r="D709" s="1179"/>
      <c r="E709" s="1179"/>
      <c r="F709" s="1179"/>
      <c r="G709" s="1179"/>
    </row>
    <row r="710" spans="1:7" ht="14.25">
      <c r="A710" s="1189"/>
      <c r="B710" s="1179"/>
      <c r="C710" s="1179"/>
      <c r="D710" s="1179"/>
      <c r="E710" s="1179"/>
      <c r="F710" s="1179"/>
      <c r="G710" s="1179"/>
    </row>
    <row r="711" spans="1:7" ht="14.25">
      <c r="A711" s="1189"/>
      <c r="B711" s="1179"/>
      <c r="C711" s="1179"/>
      <c r="D711" s="1179"/>
      <c r="E711" s="1179"/>
      <c r="F711" s="1179"/>
      <c r="G711" s="1179"/>
    </row>
    <row r="712" spans="1:7" ht="14.25">
      <c r="A712" s="1189"/>
      <c r="B712" s="1179"/>
      <c r="C712" s="1179"/>
      <c r="D712" s="1179"/>
      <c r="E712" s="1179"/>
      <c r="F712" s="1179"/>
      <c r="G712" s="1179"/>
    </row>
    <row r="713" spans="1:7" ht="14.25">
      <c r="A713" s="1189"/>
      <c r="B713" s="1179"/>
      <c r="C713" s="1179"/>
      <c r="D713" s="1179"/>
      <c r="E713" s="1179"/>
      <c r="F713" s="1179"/>
      <c r="G713" s="1179"/>
    </row>
    <row r="714" spans="1:7" ht="14.25">
      <c r="A714" s="1189"/>
      <c r="B714" s="1179"/>
      <c r="C714" s="1179"/>
      <c r="D714" s="1179"/>
      <c r="E714" s="1179"/>
      <c r="F714" s="1179"/>
      <c r="G714" s="1179"/>
    </row>
    <row r="715" spans="1:7" ht="14.25">
      <c r="A715" s="1189"/>
      <c r="B715" s="1179"/>
      <c r="C715" s="1179"/>
      <c r="D715" s="1179"/>
      <c r="E715" s="1179"/>
      <c r="F715" s="1179"/>
      <c r="G715" s="1179"/>
    </row>
    <row r="716" spans="1:7" ht="14.25">
      <c r="A716" s="1189"/>
      <c r="B716" s="1179"/>
      <c r="C716" s="1179"/>
      <c r="D716" s="1179"/>
      <c r="E716" s="1179"/>
      <c r="F716" s="1179"/>
      <c r="G716" s="1179"/>
    </row>
    <row r="717" spans="1:7" ht="14.25">
      <c r="A717" s="1189"/>
      <c r="B717" s="1179"/>
      <c r="C717" s="1179"/>
      <c r="D717" s="1179"/>
      <c r="E717" s="1179"/>
      <c r="F717" s="1179"/>
      <c r="G717" s="1179"/>
    </row>
    <row r="718" spans="1:7" ht="14.25">
      <c r="A718" s="1189"/>
      <c r="B718" s="1179"/>
      <c r="C718" s="1179"/>
      <c r="D718" s="1179"/>
      <c r="E718" s="1179"/>
      <c r="F718" s="1179"/>
      <c r="G718" s="1179"/>
    </row>
    <row r="719" spans="1:7" ht="14.25">
      <c r="A719" s="1189"/>
      <c r="B719" s="1179"/>
      <c r="C719" s="1179"/>
      <c r="D719" s="1179"/>
      <c r="E719" s="1179"/>
      <c r="F719" s="1179"/>
      <c r="G719" s="1179"/>
    </row>
    <row r="720" spans="1:7" ht="14.25">
      <c r="A720" s="1189"/>
      <c r="B720" s="1179"/>
      <c r="C720" s="1179"/>
      <c r="D720" s="1179"/>
      <c r="E720" s="1179"/>
      <c r="F720" s="1179"/>
      <c r="G720" s="1179"/>
    </row>
    <row r="721" spans="1:7" ht="14.25">
      <c r="A721" s="1189"/>
      <c r="B721" s="1179"/>
      <c r="C721" s="1179"/>
      <c r="D721" s="1179"/>
      <c r="E721" s="1179"/>
      <c r="F721" s="1179"/>
      <c r="G721" s="1179"/>
    </row>
    <row r="722" spans="1:7" ht="14.25">
      <c r="A722" s="1189"/>
      <c r="B722" s="1179"/>
      <c r="C722" s="1179"/>
      <c r="D722" s="1179"/>
      <c r="E722" s="1179"/>
      <c r="F722" s="1179"/>
      <c r="G722" s="1179"/>
    </row>
    <row r="723" spans="1:7" ht="14.25">
      <c r="A723" s="1189"/>
      <c r="B723" s="1179"/>
      <c r="C723" s="1179"/>
      <c r="D723" s="1179"/>
      <c r="E723" s="1179"/>
      <c r="F723" s="1179"/>
      <c r="G723" s="1179"/>
    </row>
    <row r="724" spans="1:7" ht="14.25">
      <c r="A724" s="1189"/>
      <c r="B724" s="1179"/>
      <c r="C724" s="1179"/>
      <c r="D724" s="1179"/>
      <c r="E724" s="1179"/>
      <c r="F724" s="1179"/>
      <c r="G724" s="1179"/>
    </row>
    <row r="725" spans="1:7" ht="14.25">
      <c r="A725" s="1189"/>
      <c r="B725" s="1179"/>
      <c r="C725" s="1179"/>
      <c r="D725" s="1179"/>
      <c r="E725" s="1179"/>
      <c r="F725" s="1179"/>
      <c r="G725" s="1179"/>
    </row>
    <row r="726" spans="1:7" ht="14.25">
      <c r="A726" s="1189"/>
      <c r="B726" s="1179"/>
      <c r="C726" s="1179"/>
      <c r="D726" s="1179"/>
      <c r="E726" s="1179"/>
      <c r="F726" s="1179"/>
      <c r="G726" s="1179"/>
    </row>
    <row r="727" spans="1:7" ht="14.25">
      <c r="A727" s="1189"/>
      <c r="B727" s="1179"/>
      <c r="C727" s="1179"/>
      <c r="D727" s="1179"/>
      <c r="E727" s="1179"/>
      <c r="F727" s="1179"/>
      <c r="G727" s="1179"/>
    </row>
    <row r="728" spans="1:7" ht="14.25">
      <c r="A728" s="1189"/>
      <c r="B728" s="1179"/>
      <c r="C728" s="1179"/>
      <c r="D728" s="1179"/>
      <c r="E728" s="1179"/>
      <c r="F728" s="1179"/>
      <c r="G728" s="1179"/>
    </row>
    <row r="729" spans="1:7" ht="14.25">
      <c r="A729" s="1189"/>
      <c r="B729" s="1179"/>
      <c r="C729" s="1179"/>
      <c r="D729" s="1179"/>
      <c r="E729" s="1179"/>
      <c r="F729" s="1179"/>
      <c r="G729" s="1179"/>
    </row>
    <row r="730" spans="1:7" ht="14.25">
      <c r="A730" s="1189"/>
      <c r="B730" s="1179"/>
      <c r="C730" s="1179"/>
      <c r="D730" s="1179"/>
      <c r="E730" s="1179"/>
      <c r="F730" s="1179"/>
      <c r="G730" s="1179"/>
    </row>
    <row r="731" spans="1:7" ht="14.25">
      <c r="A731" s="1189"/>
      <c r="B731" s="1179"/>
      <c r="C731" s="1179"/>
      <c r="D731" s="1179"/>
      <c r="E731" s="1179"/>
      <c r="F731" s="1179"/>
      <c r="G731" s="1179"/>
    </row>
    <row r="732" spans="1:7" ht="14.25">
      <c r="A732" s="1189"/>
      <c r="B732" s="1179"/>
      <c r="C732" s="1179"/>
      <c r="D732" s="1179"/>
      <c r="E732" s="1179"/>
      <c r="F732" s="1179"/>
      <c r="G732" s="1179"/>
    </row>
    <row r="733" spans="1:7" ht="14.25">
      <c r="A733" s="1189"/>
      <c r="B733" s="1179"/>
      <c r="C733" s="1179"/>
      <c r="D733" s="1179"/>
      <c r="E733" s="1179"/>
      <c r="F733" s="1179"/>
      <c r="G733" s="1179"/>
    </row>
    <row r="734" spans="1:7" ht="14.25">
      <c r="A734" s="1189"/>
      <c r="B734" s="1179"/>
      <c r="C734" s="1179"/>
      <c r="D734" s="1179"/>
      <c r="E734" s="1179"/>
      <c r="F734" s="1179"/>
      <c r="G734" s="1179"/>
    </row>
    <row r="735" spans="1:7" ht="14.25">
      <c r="A735" s="1189"/>
      <c r="B735" s="1179"/>
      <c r="C735" s="1179"/>
      <c r="D735" s="1179"/>
      <c r="E735" s="1179"/>
      <c r="F735" s="1179"/>
      <c r="G735" s="1179"/>
    </row>
    <row r="736" spans="1:7" ht="14.25">
      <c r="A736" s="1189"/>
      <c r="B736" s="1179"/>
      <c r="C736" s="1179"/>
      <c r="D736" s="1179"/>
      <c r="E736" s="1179"/>
      <c r="F736" s="1179"/>
      <c r="G736" s="1179"/>
    </row>
    <row r="737" spans="1:7" ht="14.25">
      <c r="A737" s="1189"/>
      <c r="B737" s="1179"/>
      <c r="C737" s="1179"/>
      <c r="D737" s="1179"/>
      <c r="E737" s="1179"/>
      <c r="F737" s="1179"/>
      <c r="G737" s="1179"/>
    </row>
    <row r="738" spans="1:7" ht="14.25">
      <c r="A738" s="1189"/>
      <c r="B738" s="1179"/>
      <c r="C738" s="1179"/>
      <c r="D738" s="1179"/>
      <c r="E738" s="1179"/>
      <c r="F738" s="1179"/>
      <c r="G738" s="1179"/>
    </row>
    <row r="739" spans="1:7" ht="14.25">
      <c r="A739" s="1189"/>
      <c r="B739" s="1179"/>
      <c r="C739" s="1179"/>
      <c r="D739" s="1179"/>
      <c r="E739" s="1179"/>
      <c r="F739" s="1179"/>
      <c r="G739" s="1179"/>
    </row>
    <row r="740" spans="1:7" ht="14.25">
      <c r="A740" s="1189"/>
      <c r="B740" s="1179"/>
      <c r="C740" s="1179"/>
      <c r="D740" s="1179"/>
      <c r="E740" s="1179"/>
      <c r="F740" s="1179"/>
      <c r="G740" s="1179"/>
    </row>
    <row r="741" spans="1:7" ht="14.25">
      <c r="A741" s="1189"/>
      <c r="B741" s="1179"/>
      <c r="C741" s="1179"/>
      <c r="D741" s="1179"/>
      <c r="E741" s="1179"/>
      <c r="F741" s="1179"/>
      <c r="G741" s="1179"/>
    </row>
    <row r="742" spans="1:7" ht="14.25">
      <c r="A742" s="1189"/>
      <c r="B742" s="1179"/>
      <c r="C742" s="1179"/>
      <c r="D742" s="1179"/>
      <c r="E742" s="1179"/>
      <c r="F742" s="1179"/>
      <c r="G742" s="1179"/>
    </row>
    <row r="743" spans="1:7" ht="14.25">
      <c r="A743" s="1189"/>
      <c r="B743" s="1179"/>
      <c r="C743" s="1179"/>
      <c r="D743" s="1179"/>
      <c r="E743" s="1179"/>
      <c r="F743" s="1179"/>
      <c r="G743" s="1179"/>
    </row>
    <row r="744" spans="1:7" ht="14.25">
      <c r="A744" s="1189"/>
      <c r="B744" s="1179"/>
      <c r="C744" s="1179"/>
      <c r="D744" s="1179"/>
      <c r="E744" s="1179"/>
      <c r="F744" s="1179"/>
      <c r="G744" s="1179"/>
    </row>
    <row r="745" spans="1:7" ht="14.25">
      <c r="A745" s="1189"/>
      <c r="B745" s="1179"/>
      <c r="C745" s="1179"/>
      <c r="D745" s="1179"/>
      <c r="E745" s="1179"/>
      <c r="F745" s="1179"/>
      <c r="G745" s="1179"/>
    </row>
    <row r="746" spans="1:7" ht="14.25">
      <c r="A746" s="1189"/>
      <c r="B746" s="1179"/>
      <c r="C746" s="1179"/>
      <c r="D746" s="1179"/>
      <c r="E746" s="1179"/>
      <c r="F746" s="1179"/>
      <c r="G746" s="1179"/>
    </row>
    <row r="747" spans="1:7" ht="14.25">
      <c r="A747" s="1189"/>
      <c r="B747" s="1179"/>
      <c r="C747" s="1179"/>
      <c r="D747" s="1179"/>
      <c r="E747" s="1179"/>
      <c r="F747" s="1179"/>
      <c r="G747" s="1179"/>
    </row>
    <row r="748" spans="1:7" ht="14.25">
      <c r="A748" s="1189"/>
      <c r="B748" s="1179"/>
      <c r="C748" s="1179"/>
      <c r="D748" s="1179"/>
      <c r="E748" s="1179"/>
      <c r="F748" s="1179"/>
      <c r="G748" s="1179"/>
    </row>
    <row r="749" spans="1:7" ht="14.25">
      <c r="A749" s="1189"/>
      <c r="B749" s="1179"/>
      <c r="C749" s="1179"/>
      <c r="D749" s="1179"/>
      <c r="E749" s="1179"/>
      <c r="F749" s="1179"/>
      <c r="G749" s="1179"/>
    </row>
    <row r="750" spans="1:7" ht="14.25">
      <c r="A750" s="1189"/>
      <c r="B750" s="1179"/>
      <c r="C750" s="1179"/>
      <c r="D750" s="1179"/>
      <c r="E750" s="1179"/>
      <c r="F750" s="1179"/>
      <c r="G750" s="1179"/>
    </row>
    <row r="751" spans="1:7" ht="14.25">
      <c r="A751" s="1189"/>
      <c r="B751" s="1179"/>
      <c r="C751" s="1179"/>
      <c r="D751" s="1179"/>
      <c r="E751" s="1179"/>
      <c r="F751" s="1179"/>
      <c r="G751" s="1179"/>
    </row>
    <row r="752" spans="1:7" ht="14.25">
      <c r="A752" s="1189"/>
      <c r="B752" s="1179"/>
      <c r="C752" s="1179"/>
      <c r="D752" s="1179"/>
      <c r="E752" s="1179"/>
      <c r="F752" s="1179"/>
      <c r="G752" s="1179"/>
    </row>
    <row r="753" spans="1:7" ht="14.25">
      <c r="A753" s="1189"/>
      <c r="B753" s="1179"/>
      <c r="C753" s="1179"/>
      <c r="D753" s="1179"/>
      <c r="E753" s="1179"/>
      <c r="F753" s="1179"/>
      <c r="G753" s="1179"/>
    </row>
    <row r="754" spans="1:7" ht="14.25">
      <c r="A754" s="1189"/>
      <c r="B754" s="1179"/>
      <c r="C754" s="1179"/>
      <c r="D754" s="1179"/>
      <c r="E754" s="1179"/>
      <c r="F754" s="1179"/>
      <c r="G754" s="1179"/>
    </row>
    <row r="755" spans="1:7" ht="14.25">
      <c r="A755" s="1189"/>
      <c r="B755" s="1179"/>
      <c r="C755" s="1179"/>
      <c r="D755" s="1179"/>
      <c r="E755" s="1179"/>
      <c r="F755" s="1179"/>
      <c r="G755" s="1179"/>
    </row>
    <row r="756" spans="1:7" ht="14.25">
      <c r="A756" s="1189"/>
      <c r="B756" s="1179"/>
      <c r="C756" s="1179"/>
      <c r="D756" s="1179"/>
      <c r="E756" s="1179"/>
      <c r="F756" s="1179"/>
      <c r="G756" s="1179"/>
    </row>
    <row r="757" spans="1:7" ht="14.25">
      <c r="A757" s="1189"/>
      <c r="B757" s="1179"/>
      <c r="C757" s="1179"/>
      <c r="D757" s="1179"/>
      <c r="E757" s="1179"/>
      <c r="F757" s="1179"/>
      <c r="G757" s="1179"/>
    </row>
    <row r="758" spans="1:7" ht="14.25">
      <c r="A758" s="1189"/>
      <c r="B758" s="1179"/>
      <c r="C758" s="1179"/>
      <c r="D758" s="1179"/>
      <c r="E758" s="1179"/>
      <c r="F758" s="1179"/>
      <c r="G758" s="1179"/>
    </row>
    <row r="759" spans="1:7" ht="14.25">
      <c r="A759" s="1189"/>
      <c r="B759" s="1179"/>
      <c r="C759" s="1179"/>
      <c r="D759" s="1179"/>
      <c r="E759" s="1179"/>
      <c r="F759" s="1179"/>
      <c r="G759" s="1179"/>
    </row>
    <row r="760" spans="1:7" ht="14.25">
      <c r="A760" s="1189"/>
      <c r="B760" s="1179"/>
      <c r="C760" s="1179"/>
      <c r="D760" s="1179"/>
      <c r="E760" s="1179"/>
      <c r="F760" s="1179"/>
      <c r="G760" s="1179"/>
    </row>
    <row r="761" spans="1:7" ht="14.25">
      <c r="A761" s="1189"/>
      <c r="B761" s="1179"/>
      <c r="C761" s="1179"/>
      <c r="D761" s="1179"/>
      <c r="E761" s="1179"/>
      <c r="F761" s="1179"/>
      <c r="G761" s="1179"/>
    </row>
    <row r="762" spans="1:7" ht="14.25">
      <c r="A762" s="1189"/>
      <c r="B762" s="1179"/>
      <c r="C762" s="1179"/>
      <c r="D762" s="1179"/>
      <c r="E762" s="1179"/>
      <c r="F762" s="1179"/>
      <c r="G762" s="1179"/>
    </row>
    <row r="763" spans="1:7" ht="14.25">
      <c r="A763" s="1189"/>
      <c r="B763" s="1179"/>
      <c r="C763" s="1179"/>
      <c r="D763" s="1179"/>
      <c r="E763" s="1179"/>
      <c r="F763" s="1179"/>
      <c r="G763" s="1179"/>
    </row>
    <row r="764" spans="1:7" ht="14.25">
      <c r="A764" s="1189"/>
      <c r="B764" s="1179"/>
      <c r="C764" s="1179"/>
      <c r="D764" s="1179"/>
      <c r="E764" s="1179"/>
      <c r="F764" s="1179"/>
      <c r="G764" s="1179"/>
    </row>
    <row r="765" spans="1:7" ht="14.25">
      <c r="A765" s="1189"/>
      <c r="B765" s="1179"/>
      <c r="C765" s="1179"/>
      <c r="D765" s="1179"/>
      <c r="E765" s="1179"/>
      <c r="F765" s="1179"/>
      <c r="G765" s="1179"/>
    </row>
    <row r="766" spans="1:7" ht="14.25">
      <c r="A766" s="1189"/>
      <c r="B766" s="1179"/>
      <c r="C766" s="1179"/>
      <c r="D766" s="1179"/>
      <c r="E766" s="1179"/>
      <c r="F766" s="1179"/>
      <c r="G766" s="1179"/>
    </row>
    <row r="767" spans="1:7" ht="14.25">
      <c r="A767" s="1189"/>
      <c r="B767" s="1179"/>
      <c r="C767" s="1179"/>
      <c r="D767" s="1179"/>
      <c r="E767" s="1179"/>
      <c r="F767" s="1179"/>
      <c r="G767" s="1179"/>
    </row>
    <row r="768" spans="1:7" ht="14.25">
      <c r="A768" s="1189"/>
      <c r="B768" s="1179"/>
      <c r="C768" s="1179"/>
      <c r="D768" s="1179"/>
      <c r="E768" s="1179"/>
      <c r="F768" s="1179"/>
      <c r="G768" s="1179"/>
    </row>
    <row r="769" spans="1:7" ht="14.25">
      <c r="A769" s="1189"/>
      <c r="B769" s="1179"/>
      <c r="C769" s="1179"/>
      <c r="D769" s="1179"/>
      <c r="E769" s="1179"/>
      <c r="F769" s="1179"/>
      <c r="G769" s="1179"/>
    </row>
    <row r="770" spans="1:7" ht="14.25">
      <c r="A770" s="1189"/>
      <c r="B770" s="1179"/>
      <c r="C770" s="1179"/>
      <c r="D770" s="1179"/>
      <c r="E770" s="1179"/>
      <c r="F770" s="1179"/>
      <c r="G770" s="1179"/>
    </row>
    <row r="771" spans="1:7" ht="14.25">
      <c r="A771" s="1189"/>
      <c r="B771" s="1179"/>
      <c r="C771" s="1179"/>
      <c r="D771" s="1179"/>
      <c r="E771" s="1179"/>
      <c r="F771" s="1179"/>
      <c r="G771" s="1179"/>
    </row>
    <row r="772" spans="1:7" ht="14.25">
      <c r="A772" s="1189"/>
      <c r="B772" s="1179"/>
      <c r="C772" s="1179"/>
      <c r="D772" s="1179"/>
      <c r="E772" s="1179"/>
      <c r="F772" s="1179"/>
      <c r="G772" s="1179"/>
    </row>
    <row r="773" spans="1:7" ht="14.25">
      <c r="A773" s="1189"/>
      <c r="B773" s="1179"/>
      <c r="C773" s="1179"/>
      <c r="D773" s="1179"/>
      <c r="E773" s="1179"/>
      <c r="F773" s="1179"/>
      <c r="G773" s="1179"/>
    </row>
    <row r="774" spans="1:7" ht="14.25">
      <c r="A774" s="1189"/>
      <c r="B774" s="1179"/>
      <c r="C774" s="1179"/>
      <c r="D774" s="1179"/>
      <c r="E774" s="1179"/>
      <c r="F774" s="1179"/>
      <c r="G774" s="1179"/>
    </row>
    <row r="775" spans="1:7" ht="14.25">
      <c r="A775" s="1189"/>
      <c r="B775" s="1179"/>
      <c r="C775" s="1179"/>
      <c r="D775" s="1179"/>
      <c r="E775" s="1179"/>
      <c r="F775" s="1179"/>
      <c r="G775" s="1179"/>
    </row>
    <row r="776" spans="1:7" ht="14.25">
      <c r="A776" s="1189"/>
      <c r="B776" s="1179"/>
      <c r="C776" s="1179"/>
      <c r="D776" s="1179"/>
      <c r="E776" s="1179"/>
      <c r="F776" s="1179"/>
      <c r="G776" s="1179"/>
    </row>
    <row r="777" spans="1:7" ht="14.25">
      <c r="A777" s="1189"/>
      <c r="B777" s="1179"/>
      <c r="C777" s="1179"/>
      <c r="D777" s="1179"/>
      <c r="E777" s="1179"/>
      <c r="F777" s="1179"/>
      <c r="G777" s="1179"/>
    </row>
    <row r="778" spans="1:7" ht="14.25">
      <c r="A778" s="1189"/>
      <c r="B778" s="1179"/>
      <c r="C778" s="1179"/>
      <c r="D778" s="1179"/>
      <c r="E778" s="1179"/>
      <c r="F778" s="1179"/>
      <c r="G778" s="1179"/>
    </row>
    <row r="779" spans="1:7" ht="14.25">
      <c r="A779" s="1189"/>
      <c r="B779" s="1179"/>
      <c r="C779" s="1179"/>
      <c r="D779" s="1179"/>
      <c r="E779" s="1179"/>
      <c r="F779" s="1179"/>
      <c r="G779" s="1179"/>
    </row>
    <row r="780" spans="1:7" ht="14.25">
      <c r="A780" s="1189"/>
      <c r="B780" s="1179"/>
      <c r="C780" s="1179"/>
      <c r="D780" s="1179"/>
      <c r="E780" s="1179"/>
      <c r="F780" s="1179"/>
      <c r="G780" s="1179"/>
    </row>
    <row r="781" spans="1:7" ht="14.25">
      <c r="A781" s="1189"/>
      <c r="B781" s="1179"/>
      <c r="C781" s="1179"/>
      <c r="D781" s="1179"/>
      <c r="E781" s="1179"/>
      <c r="F781" s="1179"/>
      <c r="G781" s="1179"/>
    </row>
    <row r="782" spans="1:7" ht="14.25">
      <c r="A782" s="1189"/>
      <c r="B782" s="1179"/>
      <c r="C782" s="1179"/>
      <c r="D782" s="1179"/>
      <c r="E782" s="1179"/>
      <c r="F782" s="1179"/>
      <c r="G782" s="1179"/>
    </row>
    <row r="783" spans="1:7" ht="14.25">
      <c r="A783" s="1189"/>
      <c r="B783" s="1179"/>
      <c r="C783" s="1179"/>
      <c r="D783" s="1179"/>
      <c r="E783" s="1179"/>
      <c r="F783" s="1179"/>
      <c r="G783" s="1179"/>
    </row>
    <row r="784" spans="1:7" ht="14.25">
      <c r="A784" s="1189"/>
      <c r="B784" s="1179"/>
      <c r="C784" s="1179"/>
      <c r="D784" s="1179"/>
      <c r="E784" s="1179"/>
      <c r="F784" s="1179"/>
      <c r="G784" s="1179"/>
    </row>
    <row r="785" spans="1:7" ht="14.25">
      <c r="A785" s="1189"/>
      <c r="B785" s="1179"/>
      <c r="C785" s="1179"/>
      <c r="D785" s="1179"/>
      <c r="E785" s="1179"/>
      <c r="F785" s="1179"/>
      <c r="G785" s="1179"/>
    </row>
    <row r="786" spans="1:7" ht="14.25">
      <c r="A786" s="1189"/>
      <c r="B786" s="1179"/>
      <c r="C786" s="1179"/>
      <c r="D786" s="1179"/>
      <c r="E786" s="1179"/>
      <c r="F786" s="1179"/>
      <c r="G786" s="1179"/>
    </row>
    <row r="787" spans="1:7" ht="14.25">
      <c r="A787" s="1189"/>
      <c r="B787" s="1179"/>
      <c r="C787" s="1179"/>
      <c r="D787" s="1179"/>
      <c r="E787" s="1179"/>
      <c r="F787" s="1179"/>
      <c r="G787" s="1179"/>
    </row>
    <row r="788" spans="1:7" ht="14.25">
      <c r="A788" s="1189"/>
      <c r="B788" s="1179"/>
      <c r="C788" s="1179"/>
      <c r="D788" s="1179"/>
      <c r="E788" s="1179"/>
      <c r="F788" s="1179"/>
      <c r="G788" s="1179"/>
    </row>
    <row r="789" spans="1:7" ht="14.25">
      <c r="A789" s="1189"/>
      <c r="B789" s="1179"/>
      <c r="C789" s="1179"/>
      <c r="D789" s="1179"/>
      <c r="E789" s="1179"/>
      <c r="F789" s="1179"/>
      <c r="G789" s="1179"/>
    </row>
    <row r="790" spans="1:7" ht="14.25">
      <c r="A790" s="1189"/>
      <c r="B790" s="1179"/>
      <c r="C790" s="1179"/>
      <c r="D790" s="1179"/>
      <c r="E790" s="1179"/>
      <c r="F790" s="1179"/>
      <c r="G790" s="1179"/>
    </row>
    <row r="791" spans="1:7" ht="14.25">
      <c r="A791" s="1189"/>
      <c r="B791" s="1179"/>
      <c r="C791" s="1179"/>
      <c r="D791" s="1179"/>
      <c r="E791" s="1179"/>
      <c r="F791" s="1179"/>
      <c r="G791" s="1179"/>
    </row>
    <row r="792" spans="1:7" ht="14.25">
      <c r="A792" s="1189"/>
      <c r="B792" s="1179"/>
      <c r="C792" s="1179"/>
      <c r="D792" s="1179"/>
      <c r="E792" s="1179"/>
      <c r="F792" s="1179"/>
      <c r="G792" s="1179"/>
    </row>
    <row r="793" spans="1:7" ht="14.25">
      <c r="A793" s="1189"/>
      <c r="B793" s="1179"/>
      <c r="C793" s="1179"/>
      <c r="D793" s="1179"/>
      <c r="E793" s="1179"/>
      <c r="F793" s="1179"/>
      <c r="G793" s="1179"/>
    </row>
    <row r="794" spans="1:7" ht="14.25">
      <c r="A794" s="1189"/>
      <c r="B794" s="1179"/>
      <c r="C794" s="1179"/>
      <c r="D794" s="1179"/>
      <c r="E794" s="1179"/>
      <c r="F794" s="1179"/>
      <c r="G794" s="1179"/>
    </row>
    <row r="795" spans="1:7" ht="14.25">
      <c r="A795" s="1189"/>
      <c r="B795" s="1179"/>
      <c r="C795" s="1179"/>
      <c r="D795" s="1179"/>
      <c r="E795" s="1179"/>
      <c r="F795" s="1179"/>
      <c r="G795" s="1179"/>
    </row>
    <row r="796" spans="1:7" ht="14.25">
      <c r="A796" s="1189"/>
      <c r="B796" s="1179"/>
      <c r="C796" s="1179"/>
      <c r="D796" s="1179"/>
      <c r="E796" s="1179"/>
      <c r="F796" s="1179"/>
      <c r="G796" s="1179"/>
    </row>
    <row r="797" spans="1:7" ht="14.25">
      <c r="A797" s="1189"/>
      <c r="B797" s="1179"/>
      <c r="C797" s="1179"/>
      <c r="D797" s="1179"/>
      <c r="E797" s="1179"/>
      <c r="F797" s="1179"/>
      <c r="G797" s="1179"/>
    </row>
    <row r="798" spans="1:7" ht="14.25">
      <c r="A798" s="1189"/>
      <c r="B798" s="1179"/>
      <c r="C798" s="1179"/>
      <c r="D798" s="1179"/>
      <c r="E798" s="1179"/>
      <c r="F798" s="1179"/>
      <c r="G798" s="1179"/>
    </row>
    <row r="799" spans="1:7" ht="14.25">
      <c r="A799" s="1189"/>
      <c r="B799" s="1179"/>
      <c r="C799" s="1179"/>
      <c r="D799" s="1179"/>
      <c r="E799" s="1179"/>
      <c r="F799" s="1179"/>
      <c r="G799" s="1179"/>
    </row>
    <row r="800" spans="1:7" ht="14.25">
      <c r="A800" s="1189"/>
      <c r="B800" s="1179"/>
      <c r="C800" s="1179"/>
      <c r="D800" s="1179"/>
      <c r="E800" s="1179"/>
      <c r="F800" s="1179"/>
      <c r="G800" s="1179"/>
    </row>
    <row r="801" spans="1:7" ht="14.25">
      <c r="A801" s="1189"/>
      <c r="B801" s="1179"/>
      <c r="C801" s="1179"/>
      <c r="D801" s="1179"/>
      <c r="E801" s="1179"/>
      <c r="F801" s="1179"/>
      <c r="G801" s="1179"/>
    </row>
    <row r="802" spans="1:7" ht="14.25">
      <c r="A802" s="1189"/>
      <c r="B802" s="1179"/>
      <c r="C802" s="1179"/>
      <c r="D802" s="1179"/>
      <c r="E802" s="1179"/>
      <c r="F802" s="1179"/>
      <c r="G802" s="1179"/>
    </row>
    <row r="803" spans="1:7" ht="14.25">
      <c r="A803" s="1189"/>
      <c r="B803" s="1179"/>
      <c r="C803" s="1179"/>
      <c r="D803" s="1179"/>
      <c r="E803" s="1179"/>
      <c r="F803" s="1179"/>
      <c r="G803" s="1179"/>
    </row>
    <row r="804" spans="1:7" ht="14.25">
      <c r="A804" s="1189"/>
      <c r="B804" s="1179"/>
      <c r="C804" s="1179"/>
      <c r="D804" s="1179"/>
      <c r="E804" s="1179"/>
      <c r="F804" s="1179"/>
      <c r="G804" s="1179"/>
    </row>
    <row r="805" spans="1:7" ht="14.25">
      <c r="A805" s="1189"/>
      <c r="B805" s="1179"/>
      <c r="C805" s="1179"/>
      <c r="D805" s="1179"/>
      <c r="E805" s="1179"/>
      <c r="F805" s="1179"/>
      <c r="G805" s="1179"/>
    </row>
    <row r="806" spans="1:7" ht="14.25">
      <c r="A806" s="1189"/>
      <c r="B806" s="1179"/>
      <c r="C806" s="1179"/>
      <c r="D806" s="1179"/>
      <c r="E806" s="1179"/>
      <c r="F806" s="1179"/>
      <c r="G806" s="1179"/>
    </row>
    <row r="807" spans="1:7" ht="14.25">
      <c r="A807" s="1189"/>
      <c r="B807" s="1179"/>
      <c r="C807" s="1179"/>
      <c r="D807" s="1179"/>
      <c r="E807" s="1179"/>
      <c r="F807" s="1179"/>
      <c r="G807" s="1179"/>
    </row>
    <row r="808" spans="1:7" ht="14.25">
      <c r="A808" s="1189"/>
      <c r="B808" s="1179"/>
      <c r="C808" s="1179"/>
      <c r="D808" s="1179"/>
      <c r="E808" s="1179"/>
      <c r="F808" s="1179"/>
      <c r="G808" s="1179"/>
    </row>
    <row r="809" spans="1:7" ht="14.25">
      <c r="A809" s="1189"/>
      <c r="B809" s="1179"/>
      <c r="C809" s="1179"/>
      <c r="D809" s="1179"/>
      <c r="E809" s="1179"/>
      <c r="F809" s="1179"/>
      <c r="G809" s="1179"/>
    </row>
    <row r="810" spans="1:7" ht="14.25">
      <c r="A810" s="1189"/>
      <c r="B810" s="1179"/>
      <c r="C810" s="1179"/>
      <c r="D810" s="1179"/>
      <c r="E810" s="1179"/>
      <c r="F810" s="1179"/>
      <c r="G810" s="1179"/>
    </row>
    <row r="811" spans="1:7" ht="14.25">
      <c r="A811" s="1189"/>
      <c r="B811" s="1179"/>
      <c r="C811" s="1179"/>
      <c r="D811" s="1179"/>
      <c r="E811" s="1179"/>
      <c r="F811" s="1179"/>
      <c r="G811" s="1179"/>
    </row>
    <row r="812" spans="1:7" ht="14.25">
      <c r="A812" s="1189"/>
      <c r="B812" s="1179"/>
      <c r="C812" s="1179"/>
      <c r="D812" s="1179"/>
      <c r="E812" s="1179"/>
      <c r="F812" s="1179"/>
      <c r="G812" s="1179"/>
    </row>
    <row r="813" spans="1:7" ht="14.25">
      <c r="A813" s="1189"/>
      <c r="B813" s="1179"/>
      <c r="C813" s="1179"/>
      <c r="D813" s="1179"/>
      <c r="E813" s="1179"/>
      <c r="F813" s="1179"/>
      <c r="G813" s="1179"/>
    </row>
    <row r="814" spans="1:7" ht="14.25">
      <c r="A814" s="1189"/>
      <c r="B814" s="1179"/>
      <c r="C814" s="1179"/>
      <c r="D814" s="1179"/>
      <c r="E814" s="1179"/>
      <c r="F814" s="1179"/>
      <c r="G814" s="1179"/>
    </row>
    <row r="815" spans="1:7" ht="14.25">
      <c r="A815" s="1189"/>
      <c r="B815" s="1179"/>
      <c r="C815" s="1179"/>
      <c r="D815" s="1179"/>
      <c r="E815" s="1179"/>
      <c r="F815" s="1179"/>
      <c r="G815" s="1179"/>
    </row>
    <row r="816" spans="1:7" ht="14.25">
      <c r="A816" s="1189"/>
      <c r="B816" s="1179"/>
      <c r="C816" s="1179"/>
      <c r="D816" s="1179"/>
      <c r="E816" s="1179"/>
      <c r="F816" s="1179"/>
      <c r="G816" s="1179"/>
    </row>
    <row r="817" spans="1:7" ht="14.25">
      <c r="A817" s="1189"/>
      <c r="B817" s="1179"/>
      <c r="C817" s="1179"/>
      <c r="D817" s="1179"/>
      <c r="E817" s="1179"/>
      <c r="F817" s="1179"/>
      <c r="G817" s="1179"/>
    </row>
    <row r="818" spans="1:7" ht="14.25">
      <c r="A818" s="1189"/>
      <c r="B818" s="1179"/>
      <c r="C818" s="1179"/>
      <c r="D818" s="1179"/>
      <c r="E818" s="1179"/>
      <c r="F818" s="1179"/>
      <c r="G818" s="1179"/>
    </row>
    <row r="819" spans="1:7" ht="14.25">
      <c r="A819" s="1189"/>
      <c r="B819" s="1179"/>
      <c r="C819" s="1179"/>
      <c r="D819" s="1179"/>
      <c r="E819" s="1179"/>
      <c r="F819" s="1179"/>
      <c r="G819" s="1179"/>
    </row>
    <row r="820" spans="1:7" ht="14.25">
      <c r="A820" s="1189"/>
      <c r="B820" s="1179"/>
      <c r="C820" s="1179"/>
      <c r="D820" s="1179"/>
      <c r="E820" s="1179"/>
      <c r="F820" s="1179"/>
      <c r="G820" s="1179"/>
    </row>
    <row r="821" spans="1:7" ht="14.25">
      <c r="A821" s="1189"/>
      <c r="B821" s="1179"/>
      <c r="C821" s="1179"/>
      <c r="D821" s="1179"/>
      <c r="E821" s="1179"/>
      <c r="F821" s="1179"/>
      <c r="G821" s="1179"/>
    </row>
    <row r="822" spans="1:7" ht="14.25">
      <c r="A822" s="1189"/>
      <c r="B822" s="1179"/>
      <c r="C822" s="1179"/>
      <c r="D822" s="1179"/>
      <c r="E822" s="1179"/>
      <c r="F822" s="1179"/>
      <c r="G822" s="1179"/>
    </row>
    <row r="823" spans="1:7" ht="14.25">
      <c r="A823" s="1189"/>
      <c r="B823" s="1179"/>
      <c r="C823" s="1179"/>
      <c r="D823" s="1179"/>
      <c r="E823" s="1179"/>
      <c r="F823" s="1179"/>
      <c r="G823" s="1179"/>
    </row>
    <row r="824" spans="1:7" ht="14.25">
      <c r="A824" s="1189"/>
      <c r="B824" s="1179"/>
      <c r="C824" s="1179"/>
      <c r="D824" s="1179"/>
      <c r="E824" s="1179"/>
      <c r="F824" s="1179"/>
      <c r="G824" s="1179"/>
    </row>
    <row r="825" spans="1:7" ht="14.25">
      <c r="A825" s="1189"/>
      <c r="B825" s="1179"/>
      <c r="C825" s="1179"/>
      <c r="D825" s="1179"/>
      <c r="E825" s="1179"/>
      <c r="F825" s="1179"/>
      <c r="G825" s="1179"/>
    </row>
    <row r="826" spans="1:7" ht="14.25">
      <c r="A826" s="1189"/>
      <c r="B826" s="1179"/>
      <c r="C826" s="1179"/>
      <c r="D826" s="1179"/>
      <c r="E826" s="1179"/>
      <c r="F826" s="1179"/>
      <c r="G826" s="1179"/>
    </row>
    <row r="827" spans="1:7" ht="14.25">
      <c r="A827" s="1189"/>
      <c r="B827" s="1179"/>
      <c r="C827" s="1179"/>
      <c r="D827" s="1179"/>
      <c r="E827" s="1179"/>
      <c r="F827" s="1179"/>
      <c r="G827" s="1179"/>
    </row>
    <row r="828" spans="1:7" ht="14.25">
      <c r="A828" s="1189"/>
      <c r="B828" s="1179"/>
      <c r="C828" s="1179"/>
      <c r="D828" s="1179"/>
      <c r="E828" s="1179"/>
      <c r="F828" s="1179"/>
      <c r="G828" s="1179"/>
    </row>
    <row r="829" spans="1:7" ht="14.25">
      <c r="A829" s="1189"/>
      <c r="B829" s="1179"/>
      <c r="C829" s="1179"/>
      <c r="D829" s="1179"/>
      <c r="E829" s="1179"/>
      <c r="F829" s="1179"/>
      <c r="G829" s="1179"/>
    </row>
    <row r="830" spans="1:7" ht="14.25">
      <c r="A830" s="1189"/>
      <c r="B830" s="1179"/>
      <c r="C830" s="1179"/>
      <c r="D830" s="1179"/>
      <c r="E830" s="1179"/>
      <c r="F830" s="1179"/>
      <c r="G830" s="1179"/>
    </row>
    <row r="831" spans="1:7" ht="14.25">
      <c r="A831" s="1189"/>
      <c r="B831" s="1179"/>
      <c r="C831" s="1179"/>
      <c r="D831" s="1179"/>
      <c r="E831" s="1179"/>
      <c r="F831" s="1179"/>
      <c r="G831" s="1179"/>
    </row>
    <row r="832" spans="1:7" ht="14.25">
      <c r="A832" s="1189"/>
      <c r="B832" s="1179"/>
      <c r="C832" s="1179"/>
      <c r="D832" s="1179"/>
      <c r="E832" s="1179"/>
      <c r="F832" s="1179"/>
      <c r="G832" s="1179"/>
    </row>
    <row r="833" spans="1:7" ht="14.25">
      <c r="A833" s="1189"/>
      <c r="B833" s="1179"/>
      <c r="C833" s="1179"/>
      <c r="D833" s="1179"/>
      <c r="E833" s="1179"/>
      <c r="F833" s="1179"/>
      <c r="G833" s="1179"/>
    </row>
    <row r="834" spans="1:7" ht="14.25">
      <c r="A834" s="1189"/>
      <c r="B834" s="1179"/>
      <c r="C834" s="1179"/>
      <c r="D834" s="1179"/>
      <c r="E834" s="1179"/>
      <c r="F834" s="1179"/>
      <c r="G834" s="1179"/>
    </row>
    <row r="835" spans="1:7" ht="14.25">
      <c r="A835" s="1189"/>
      <c r="B835" s="1179"/>
      <c r="C835" s="1179"/>
      <c r="D835" s="1179"/>
      <c r="E835" s="1179"/>
      <c r="F835" s="1179"/>
      <c r="G835" s="1179"/>
    </row>
    <row r="836" spans="1:7" ht="14.25">
      <c r="A836" s="1189"/>
      <c r="B836" s="1179"/>
      <c r="C836" s="1179"/>
      <c r="D836" s="1179"/>
      <c r="E836" s="1179"/>
      <c r="F836" s="1179"/>
      <c r="G836" s="1179"/>
    </row>
    <row r="837" spans="1:7" ht="14.25">
      <c r="A837" s="1189"/>
      <c r="B837" s="1179"/>
      <c r="C837" s="1179"/>
      <c r="D837" s="1179"/>
      <c r="E837" s="1179"/>
      <c r="F837" s="1179"/>
      <c r="G837" s="1179"/>
    </row>
    <row r="838" spans="1:7" ht="14.25">
      <c r="A838" s="1189"/>
      <c r="B838" s="1179"/>
      <c r="C838" s="1179"/>
      <c r="D838" s="1179"/>
      <c r="E838" s="1179"/>
      <c r="F838" s="1179"/>
      <c r="G838" s="1179"/>
    </row>
    <row r="839" spans="1:7" ht="14.25">
      <c r="A839" s="1189"/>
      <c r="B839" s="1179"/>
      <c r="C839" s="1179"/>
      <c r="D839" s="1179"/>
      <c r="E839" s="1179"/>
      <c r="F839" s="1179"/>
      <c r="G839" s="1179"/>
    </row>
    <row r="840" spans="1:7" ht="14.25">
      <c r="A840" s="1189"/>
      <c r="B840" s="1179"/>
      <c r="C840" s="1179"/>
      <c r="D840" s="1179"/>
      <c r="E840" s="1179"/>
      <c r="F840" s="1179"/>
      <c r="G840" s="1179"/>
    </row>
    <row r="841" spans="1:7" ht="14.25">
      <c r="A841" s="1189"/>
      <c r="B841" s="1179"/>
      <c r="C841" s="1179"/>
      <c r="D841" s="1179"/>
      <c r="E841" s="1179"/>
      <c r="F841" s="1179"/>
      <c r="G841" s="1179"/>
    </row>
    <row r="842" spans="1:7" ht="14.25">
      <c r="A842" s="1189"/>
      <c r="B842" s="1179"/>
      <c r="C842" s="1179"/>
      <c r="D842" s="1179"/>
      <c r="E842" s="1179"/>
      <c r="F842" s="1179"/>
      <c r="G842" s="1179"/>
    </row>
    <row r="843" spans="1:7" ht="14.25">
      <c r="A843" s="1189"/>
      <c r="B843" s="1179"/>
      <c r="C843" s="1179"/>
      <c r="D843" s="1179"/>
      <c r="E843" s="1179"/>
      <c r="F843" s="1179"/>
      <c r="G843" s="1179"/>
    </row>
    <row r="844" spans="1:7" ht="14.25">
      <c r="A844" s="1189"/>
      <c r="B844" s="1179"/>
      <c r="C844" s="1179"/>
      <c r="D844" s="1179"/>
      <c r="E844" s="1179"/>
      <c r="F844" s="1179"/>
      <c r="G844" s="1179"/>
    </row>
    <row r="845" spans="1:7" ht="14.25">
      <c r="A845" s="1189"/>
      <c r="B845" s="1179"/>
      <c r="C845" s="1179"/>
      <c r="D845" s="1179"/>
      <c r="E845" s="1179"/>
      <c r="F845" s="1179"/>
      <c r="G845" s="1179"/>
    </row>
    <row r="846" spans="1:7" ht="14.25">
      <c r="A846" s="1189"/>
      <c r="B846" s="1179"/>
      <c r="C846" s="1179"/>
      <c r="D846" s="1179"/>
      <c r="E846" s="1179"/>
      <c r="F846" s="1179"/>
      <c r="G846" s="1179"/>
    </row>
    <row r="847" spans="1:7" ht="14.25">
      <c r="A847" s="1189"/>
      <c r="B847" s="1179"/>
      <c r="C847" s="1179"/>
      <c r="D847" s="1179"/>
      <c r="E847" s="1179"/>
      <c r="F847" s="1179"/>
      <c r="G847" s="1179"/>
    </row>
    <row r="848" spans="1:7" ht="14.25">
      <c r="A848" s="1189"/>
      <c r="B848" s="1179"/>
      <c r="C848" s="1179"/>
      <c r="D848" s="1179"/>
      <c r="E848" s="1179"/>
      <c r="F848" s="1179"/>
      <c r="G848" s="1179"/>
    </row>
    <row r="849" spans="1:7" ht="14.25">
      <c r="A849" s="1189"/>
      <c r="B849" s="1179"/>
      <c r="C849" s="1179"/>
      <c r="D849" s="1179"/>
      <c r="E849" s="1179"/>
      <c r="F849" s="1179"/>
      <c r="G849" s="1179"/>
    </row>
    <row r="850" spans="1:7" ht="14.25">
      <c r="A850" s="1189"/>
      <c r="B850" s="1179"/>
      <c r="C850" s="1179"/>
      <c r="D850" s="1179"/>
      <c r="E850" s="1179"/>
      <c r="F850" s="1179"/>
      <c r="G850" s="1179"/>
    </row>
    <row r="851" spans="1:7" ht="14.25">
      <c r="A851" s="1189"/>
      <c r="B851" s="1179"/>
      <c r="C851" s="1179"/>
      <c r="D851" s="1179"/>
      <c r="E851" s="1179"/>
      <c r="F851" s="1179"/>
      <c r="G851" s="1179"/>
    </row>
    <row r="852" spans="1:7" ht="14.25">
      <c r="A852" s="1189"/>
      <c r="B852" s="1179"/>
      <c r="C852" s="1179"/>
      <c r="D852" s="1179"/>
      <c r="E852" s="1179"/>
      <c r="F852" s="1179"/>
      <c r="G852" s="1179"/>
    </row>
    <row r="853" spans="1:7" ht="14.25">
      <c r="A853" s="1189"/>
      <c r="B853" s="1179"/>
      <c r="C853" s="1179"/>
      <c r="D853" s="1179"/>
      <c r="E853" s="1179"/>
      <c r="F853" s="1179"/>
      <c r="G853" s="1179"/>
    </row>
    <row r="854" spans="1:7" ht="14.25">
      <c r="A854" s="1189"/>
      <c r="B854" s="1179"/>
      <c r="C854" s="1179"/>
      <c r="D854" s="1179"/>
      <c r="E854" s="1179"/>
      <c r="F854" s="1179"/>
      <c r="G854" s="1179"/>
    </row>
    <row r="855" spans="1:7" ht="14.25">
      <c r="A855" s="1189"/>
      <c r="B855" s="1179"/>
      <c r="C855" s="1179"/>
      <c r="D855" s="1179"/>
      <c r="E855" s="1179"/>
      <c r="F855" s="1179"/>
      <c r="G855" s="1179"/>
    </row>
    <row r="856" spans="1:7" ht="14.25">
      <c r="A856" s="1189"/>
      <c r="B856" s="1179"/>
      <c r="C856" s="1179"/>
      <c r="D856" s="1179"/>
      <c r="E856" s="1179"/>
      <c r="F856" s="1179"/>
      <c r="G856" s="1179"/>
    </row>
    <row r="857" spans="1:7" ht="14.25">
      <c r="A857" s="1189"/>
      <c r="B857" s="1179"/>
      <c r="C857" s="1179"/>
      <c r="D857" s="1179"/>
      <c r="E857" s="1179"/>
      <c r="F857" s="1179"/>
      <c r="G857" s="1179"/>
    </row>
    <row r="858" spans="1:7" ht="14.25">
      <c r="A858" s="1189"/>
      <c r="B858" s="1179"/>
      <c r="C858" s="1179"/>
      <c r="D858" s="1179"/>
      <c r="E858" s="1179"/>
      <c r="F858" s="1179"/>
      <c r="G858" s="1179"/>
    </row>
    <row r="859" spans="1:7" ht="14.25">
      <c r="A859" s="1189"/>
      <c r="B859" s="1179"/>
      <c r="C859" s="1179"/>
      <c r="D859" s="1179"/>
      <c r="E859" s="1179"/>
      <c r="F859" s="1179"/>
      <c r="G859" s="1179"/>
    </row>
    <row r="860" spans="1:7" ht="14.25">
      <c r="A860" s="1189"/>
      <c r="B860" s="1179"/>
      <c r="C860" s="1179"/>
      <c r="D860" s="1179"/>
      <c r="E860" s="1179"/>
      <c r="F860" s="1179"/>
      <c r="G860" s="1179"/>
    </row>
    <row r="861" spans="1:7" ht="14.25">
      <c r="A861" s="1189"/>
      <c r="B861" s="1179"/>
      <c r="C861" s="1179"/>
      <c r="D861" s="1179"/>
      <c r="E861" s="1179"/>
      <c r="F861" s="1179"/>
      <c r="G861" s="1179"/>
    </row>
    <row r="862" spans="1:7" ht="14.25">
      <c r="A862" s="1189"/>
      <c r="B862" s="1179"/>
      <c r="C862" s="1179"/>
      <c r="D862" s="1179"/>
      <c r="E862" s="1179"/>
      <c r="F862" s="1179"/>
      <c r="G862" s="1179"/>
    </row>
    <row r="863" spans="1:7" ht="14.25">
      <c r="A863" s="1189"/>
      <c r="B863" s="1179"/>
      <c r="C863" s="1179"/>
      <c r="D863" s="1179"/>
      <c r="E863" s="1179"/>
      <c r="F863" s="1179"/>
      <c r="G863" s="1179"/>
    </row>
    <row r="864" spans="1:7" ht="14.25">
      <c r="A864" s="1189"/>
      <c r="B864" s="1179"/>
      <c r="C864" s="1179"/>
      <c r="D864" s="1179"/>
      <c r="E864" s="1179"/>
      <c r="F864" s="1179"/>
      <c r="G864" s="1179"/>
    </row>
    <row r="865" spans="1:7" ht="14.25">
      <c r="A865" s="1189"/>
      <c r="B865" s="1179"/>
      <c r="C865" s="1179"/>
      <c r="D865" s="1179"/>
      <c r="E865" s="1179"/>
      <c r="F865" s="1179"/>
      <c r="G865" s="1179"/>
    </row>
    <row r="866" spans="1:7" ht="14.25">
      <c r="A866" s="1189"/>
      <c r="B866" s="1179"/>
      <c r="C866" s="1179"/>
      <c r="D866" s="1179"/>
      <c r="E866" s="1179"/>
      <c r="F866" s="1179"/>
      <c r="G866" s="1179"/>
    </row>
    <row r="867" spans="1:7" ht="14.25">
      <c r="A867" s="1189"/>
      <c r="B867" s="1179"/>
      <c r="C867" s="1179"/>
      <c r="D867" s="1179"/>
      <c r="E867" s="1179"/>
      <c r="F867" s="1179"/>
      <c r="G867" s="1179"/>
    </row>
    <row r="868" spans="1:7" ht="14.25">
      <c r="A868" s="1189"/>
      <c r="B868" s="1179"/>
      <c r="C868" s="1179"/>
      <c r="D868" s="1179"/>
      <c r="E868" s="1179"/>
      <c r="F868" s="1179"/>
      <c r="G868" s="1179"/>
    </row>
    <row r="869" spans="1:7" ht="14.25">
      <c r="A869" s="1189"/>
      <c r="B869" s="1179"/>
      <c r="C869" s="1179"/>
      <c r="D869" s="1179"/>
      <c r="E869" s="1179"/>
      <c r="F869" s="1179"/>
      <c r="G869" s="1179"/>
    </row>
    <row r="870" spans="1:7" ht="14.25">
      <c r="A870" s="1189"/>
      <c r="B870" s="1179"/>
      <c r="C870" s="1179"/>
      <c r="D870" s="1179"/>
      <c r="E870" s="1179"/>
      <c r="F870" s="1179"/>
      <c r="G870" s="1179"/>
    </row>
    <row r="871" spans="1:7" ht="14.25">
      <c r="A871" s="1189"/>
      <c r="B871" s="1179"/>
      <c r="C871" s="1179"/>
      <c r="D871" s="1179"/>
      <c r="E871" s="1179"/>
      <c r="F871" s="1179"/>
      <c r="G871" s="1179"/>
    </row>
    <row r="872" spans="1:7" ht="14.25">
      <c r="A872" s="1189"/>
      <c r="B872" s="1179"/>
      <c r="C872" s="1179"/>
      <c r="D872" s="1179"/>
      <c r="E872" s="1179"/>
      <c r="F872" s="1179"/>
      <c r="G872" s="1179"/>
    </row>
    <row r="873" spans="1:7" ht="14.25">
      <c r="A873" s="1189"/>
      <c r="B873" s="1179"/>
      <c r="C873" s="1179"/>
      <c r="D873" s="1179"/>
      <c r="E873" s="1179"/>
      <c r="F873" s="1179"/>
      <c r="G873" s="1179"/>
    </row>
    <row r="874" spans="1:7" ht="14.25">
      <c r="A874" s="1189"/>
      <c r="B874" s="1179"/>
      <c r="C874" s="1179"/>
      <c r="D874" s="1179"/>
      <c r="E874" s="1179"/>
      <c r="F874" s="1179"/>
      <c r="G874" s="1179"/>
    </row>
    <row r="875" spans="1:7" ht="14.25">
      <c r="A875" s="1189"/>
      <c r="B875" s="1179"/>
      <c r="C875" s="1179"/>
      <c r="D875" s="1179"/>
      <c r="E875" s="1179"/>
      <c r="F875" s="1179"/>
      <c r="G875" s="1179"/>
    </row>
    <row r="876" spans="1:7" ht="14.25">
      <c r="A876" s="1189"/>
      <c r="B876" s="1179"/>
      <c r="C876" s="1179"/>
      <c r="D876" s="1179"/>
      <c r="E876" s="1179"/>
      <c r="F876" s="1179"/>
      <c r="G876" s="1179"/>
    </row>
    <row r="877" spans="1:7" ht="14.25">
      <c r="A877" s="1189"/>
      <c r="B877" s="1179"/>
      <c r="C877" s="1179"/>
      <c r="D877" s="1179"/>
      <c r="E877" s="1179"/>
      <c r="F877" s="1179"/>
      <c r="G877" s="1179"/>
    </row>
    <row r="878" spans="1:7" ht="14.25">
      <c r="A878" s="1189"/>
      <c r="B878" s="1179"/>
      <c r="C878" s="1179"/>
      <c r="D878" s="1179"/>
      <c r="E878" s="1179"/>
      <c r="F878" s="1179"/>
      <c r="G878" s="1179"/>
    </row>
    <row r="879" spans="1:7" ht="14.25">
      <c r="A879" s="1189"/>
      <c r="B879" s="1179"/>
      <c r="C879" s="1179"/>
      <c r="D879" s="1179"/>
      <c r="E879" s="1179"/>
      <c r="F879" s="1179"/>
      <c r="G879" s="1179"/>
    </row>
    <row r="880" spans="1:7" ht="14.25">
      <c r="A880" s="1189"/>
      <c r="B880" s="1179"/>
      <c r="C880" s="1179"/>
      <c r="D880" s="1179"/>
      <c r="E880" s="1179"/>
      <c r="F880" s="1179"/>
      <c r="G880" s="1179"/>
    </row>
    <row r="881" spans="1:7" ht="14.25">
      <c r="A881" s="1189"/>
      <c r="B881" s="1179"/>
      <c r="C881" s="1179"/>
      <c r="D881" s="1179"/>
      <c r="E881" s="1179"/>
      <c r="F881" s="1179"/>
      <c r="G881" s="1179"/>
    </row>
    <row r="882" spans="1:7" ht="14.25">
      <c r="A882" s="1189"/>
      <c r="B882" s="1179"/>
      <c r="C882" s="1179"/>
      <c r="D882" s="1179"/>
      <c r="E882" s="1179"/>
      <c r="F882" s="1179"/>
      <c r="G882" s="1179"/>
    </row>
    <row r="883" spans="1:7" ht="14.25">
      <c r="A883" s="1189"/>
      <c r="B883" s="1179"/>
      <c r="C883" s="1179"/>
      <c r="D883" s="1179"/>
      <c r="E883" s="1179"/>
      <c r="F883" s="1179"/>
      <c r="G883" s="1179"/>
    </row>
    <row r="884" spans="1:7" ht="14.25">
      <c r="A884" s="1189"/>
      <c r="B884" s="1179"/>
      <c r="C884" s="1179"/>
      <c r="D884" s="1179"/>
      <c r="E884" s="1179"/>
      <c r="F884" s="1179"/>
      <c r="G884" s="1179"/>
    </row>
    <row r="885" spans="1:7" ht="14.25">
      <c r="A885" s="1189"/>
      <c r="B885" s="1179"/>
      <c r="C885" s="1179"/>
      <c r="D885" s="1179"/>
      <c r="E885" s="1179"/>
      <c r="F885" s="1179"/>
      <c r="G885" s="1179"/>
    </row>
    <row r="886" spans="1:7" ht="14.25">
      <c r="A886" s="1189"/>
      <c r="B886" s="1179"/>
      <c r="C886" s="1179"/>
      <c r="D886" s="1179"/>
      <c r="E886" s="1179"/>
      <c r="F886" s="1179"/>
      <c r="G886" s="1179"/>
    </row>
    <row r="887" spans="1:7" ht="14.25">
      <c r="A887" s="1189"/>
      <c r="B887" s="1179"/>
      <c r="C887" s="1179"/>
      <c r="D887" s="1179"/>
      <c r="E887" s="1179"/>
      <c r="F887" s="1179"/>
      <c r="G887" s="1179"/>
    </row>
    <row r="888" spans="1:7" ht="14.25">
      <c r="A888" s="1189"/>
      <c r="B888" s="1179"/>
      <c r="C888" s="1179"/>
      <c r="D888" s="1179"/>
      <c r="E888" s="1179"/>
      <c r="F888" s="1179"/>
      <c r="G888" s="1179"/>
    </row>
    <row r="889" spans="1:7" ht="14.25">
      <c r="A889" s="1189"/>
      <c r="B889" s="1179"/>
      <c r="C889" s="1179"/>
      <c r="D889" s="1179"/>
      <c r="E889" s="1179"/>
      <c r="F889" s="1179"/>
      <c r="G889" s="1179"/>
    </row>
    <row r="890" spans="1:7" ht="14.25">
      <c r="A890" s="1189"/>
      <c r="B890" s="1179"/>
      <c r="C890" s="1179"/>
      <c r="D890" s="1179"/>
      <c r="E890" s="1179"/>
      <c r="F890" s="1179"/>
      <c r="G890" s="1179"/>
    </row>
    <row r="891" spans="1:7" ht="14.25">
      <c r="A891" s="1189"/>
      <c r="B891" s="1179"/>
      <c r="C891" s="1179"/>
      <c r="D891" s="1179"/>
      <c r="E891" s="1179"/>
      <c r="F891" s="1179"/>
      <c r="G891" s="1179"/>
    </row>
    <row r="892" spans="1:7" ht="14.25">
      <c r="A892" s="1189"/>
      <c r="B892" s="1179"/>
      <c r="C892" s="1179"/>
      <c r="D892" s="1179"/>
      <c r="E892" s="1179"/>
      <c r="F892" s="1179"/>
      <c r="G892" s="1179"/>
    </row>
    <row r="893" spans="1:7" ht="14.25">
      <c r="A893" s="1189"/>
      <c r="B893" s="1179"/>
      <c r="C893" s="1179"/>
      <c r="D893" s="1179"/>
      <c r="E893" s="1179"/>
      <c r="F893" s="1179"/>
      <c r="G893" s="1179"/>
    </row>
    <row r="894" spans="1:7" ht="14.25">
      <c r="A894" s="1189"/>
      <c r="B894" s="1179"/>
      <c r="C894" s="1179"/>
      <c r="D894" s="1179"/>
      <c r="E894" s="1179"/>
      <c r="F894" s="1179"/>
      <c r="G894" s="1179"/>
    </row>
    <row r="895" spans="1:7" ht="14.25">
      <c r="A895" s="1189"/>
      <c r="B895" s="1179"/>
      <c r="C895" s="1179"/>
      <c r="D895" s="1179"/>
      <c r="E895" s="1179"/>
      <c r="F895" s="1179"/>
      <c r="G895" s="1179"/>
    </row>
    <row r="896" spans="1:7" ht="14.25">
      <c r="A896" s="1189"/>
      <c r="B896" s="1179"/>
      <c r="C896" s="1179"/>
      <c r="D896" s="1179"/>
      <c r="E896" s="1179"/>
      <c r="F896" s="1179"/>
      <c r="G896" s="1179"/>
    </row>
    <row r="897" spans="1:7" ht="14.25">
      <c r="A897" s="1189"/>
      <c r="B897" s="1179"/>
      <c r="C897" s="1179"/>
      <c r="D897" s="1179"/>
      <c r="E897" s="1179"/>
      <c r="F897" s="1179"/>
      <c r="G897" s="1179"/>
    </row>
    <row r="898" spans="1:7" ht="14.25">
      <c r="A898" s="1189"/>
      <c r="B898" s="1179"/>
      <c r="C898" s="1179"/>
      <c r="D898" s="1179"/>
      <c r="E898" s="1179"/>
      <c r="F898" s="1179"/>
      <c r="G898" s="1179"/>
    </row>
    <row r="899" spans="1:7" ht="14.25">
      <c r="A899" s="1189"/>
      <c r="B899" s="1179"/>
      <c r="C899" s="1179"/>
      <c r="D899" s="1179"/>
      <c r="E899" s="1179"/>
      <c r="F899" s="1179"/>
      <c r="G899" s="1179"/>
    </row>
    <row r="900" spans="1:7" ht="14.25">
      <c r="A900" s="1189"/>
      <c r="B900" s="1179"/>
      <c r="C900" s="1179"/>
      <c r="D900" s="1179"/>
      <c r="E900" s="1179"/>
      <c r="F900" s="1179"/>
      <c r="G900" s="1179"/>
    </row>
    <row r="901" spans="1:7" ht="14.25">
      <c r="A901" s="1189"/>
      <c r="B901" s="1179"/>
      <c r="C901" s="1179"/>
      <c r="D901" s="1179"/>
      <c r="E901" s="1179"/>
      <c r="F901" s="1179"/>
      <c r="G901" s="1179"/>
    </row>
    <row r="902" spans="1:7" ht="14.25">
      <c r="A902" s="1189"/>
      <c r="B902" s="1179"/>
      <c r="C902" s="1179"/>
      <c r="D902" s="1179"/>
      <c r="E902" s="1179"/>
      <c r="F902" s="1179"/>
      <c r="G902" s="1179"/>
    </row>
    <row r="903" spans="1:7" ht="14.25">
      <c r="A903" s="1189"/>
      <c r="B903" s="1179"/>
      <c r="C903" s="1179"/>
      <c r="D903" s="1179"/>
      <c r="E903" s="1179"/>
      <c r="F903" s="1179"/>
      <c r="G903" s="1179"/>
    </row>
    <row r="904" spans="1:7" ht="14.25">
      <c r="A904" s="1189"/>
      <c r="B904" s="1179"/>
      <c r="C904" s="1179"/>
      <c r="D904" s="1179"/>
      <c r="E904" s="1179"/>
      <c r="F904" s="1179"/>
      <c r="G904" s="1179"/>
    </row>
    <row r="905" spans="1:7" ht="14.25">
      <c r="A905" s="1189"/>
      <c r="B905" s="1179"/>
      <c r="C905" s="1179"/>
      <c r="D905" s="1179"/>
      <c r="E905" s="1179"/>
      <c r="F905" s="1179"/>
      <c r="G905" s="1179"/>
    </row>
    <row r="906" spans="1:7" ht="14.25">
      <c r="A906" s="1189"/>
      <c r="B906" s="1179"/>
      <c r="C906" s="1179"/>
      <c r="D906" s="1179"/>
      <c r="E906" s="1179"/>
      <c r="F906" s="1179"/>
      <c r="G906" s="1179"/>
    </row>
    <row r="907" spans="1:7" ht="14.25">
      <c r="A907" s="1189"/>
      <c r="B907" s="1179"/>
      <c r="C907" s="1179"/>
      <c r="D907" s="1179"/>
      <c r="E907" s="1179"/>
      <c r="F907" s="1179"/>
      <c r="G907" s="1179"/>
    </row>
    <row r="908" spans="1:7" ht="14.25">
      <c r="A908" s="1189"/>
      <c r="B908" s="1179"/>
      <c r="C908" s="1179"/>
      <c r="D908" s="1179"/>
      <c r="E908" s="1179"/>
      <c r="F908" s="1179"/>
      <c r="G908" s="1179"/>
    </row>
    <row r="909" spans="1:7" ht="14.25">
      <c r="A909" s="1189"/>
      <c r="B909" s="1179"/>
      <c r="C909" s="1179"/>
      <c r="D909" s="1179"/>
      <c r="E909" s="1179"/>
      <c r="F909" s="1179"/>
      <c r="G909" s="1179"/>
    </row>
    <row r="910" spans="1:7" ht="14.25">
      <c r="A910" s="1189"/>
      <c r="B910" s="1179"/>
      <c r="C910" s="1179"/>
      <c r="D910" s="1179"/>
      <c r="E910" s="1179"/>
      <c r="F910" s="1179"/>
      <c r="G910" s="1179"/>
    </row>
    <row r="911" spans="1:7" ht="14.25">
      <c r="A911" s="1189"/>
      <c r="B911" s="1179"/>
      <c r="C911" s="1179"/>
      <c r="D911" s="1179"/>
      <c r="E911" s="1179"/>
      <c r="F911" s="1179"/>
      <c r="G911" s="1179"/>
    </row>
    <row r="912" spans="1:7" ht="14.25">
      <c r="A912" s="1189"/>
      <c r="B912" s="1179"/>
      <c r="C912" s="1179"/>
      <c r="D912" s="1179"/>
      <c r="E912" s="1179"/>
      <c r="F912" s="1179"/>
      <c r="G912" s="1179"/>
    </row>
    <row r="913" spans="1:7" ht="14.25">
      <c r="A913" s="1189"/>
      <c r="B913" s="1179"/>
      <c r="C913" s="1179"/>
      <c r="D913" s="1179"/>
      <c r="E913" s="1179"/>
      <c r="F913" s="1179"/>
      <c r="G913" s="1179"/>
    </row>
    <row r="914" spans="1:7" ht="14.25">
      <c r="A914" s="1189"/>
      <c r="B914" s="1179"/>
      <c r="C914" s="1179"/>
      <c r="D914" s="1179"/>
      <c r="E914" s="1179"/>
      <c r="F914" s="1179"/>
      <c r="G914" s="1179"/>
    </row>
    <row r="915" spans="1:7" ht="14.25">
      <c r="A915" s="1189"/>
      <c r="B915" s="1179"/>
      <c r="C915" s="1179"/>
      <c r="D915" s="1179"/>
      <c r="E915" s="1179"/>
      <c r="F915" s="1179"/>
      <c r="G915" s="1179"/>
    </row>
    <row r="916" spans="1:7" ht="14.25">
      <c r="A916" s="1189"/>
      <c r="B916" s="1179"/>
      <c r="C916" s="1179"/>
      <c r="D916" s="1179"/>
      <c r="E916" s="1179"/>
      <c r="F916" s="1179"/>
      <c r="G916" s="1179"/>
    </row>
    <row r="917" spans="1:7" ht="14.25">
      <c r="A917" s="1189"/>
      <c r="B917" s="1179"/>
      <c r="C917" s="1179"/>
      <c r="D917" s="1179"/>
      <c r="E917" s="1179"/>
      <c r="F917" s="1179"/>
      <c r="G917" s="1179"/>
    </row>
    <row r="918" spans="1:7" ht="14.25">
      <c r="A918" s="1189"/>
      <c r="B918" s="1179"/>
      <c r="C918" s="1179"/>
      <c r="D918" s="1179"/>
      <c r="E918" s="1179"/>
      <c r="F918" s="1179"/>
      <c r="G918" s="1179"/>
    </row>
    <row r="919" spans="1:7" ht="14.25">
      <c r="A919" s="1189"/>
      <c r="B919" s="1179"/>
      <c r="C919" s="1179"/>
      <c r="D919" s="1179"/>
      <c r="E919" s="1179"/>
      <c r="F919" s="1179"/>
      <c r="G919" s="1179"/>
    </row>
    <row r="920" spans="1:7" ht="14.25">
      <c r="A920" s="1189"/>
      <c r="B920" s="1179"/>
      <c r="C920" s="1179"/>
      <c r="D920" s="1179"/>
      <c r="E920" s="1179"/>
      <c r="F920" s="1179"/>
      <c r="G920" s="1179"/>
    </row>
    <row r="921" spans="1:7" ht="14.25">
      <c r="A921" s="1189"/>
      <c r="B921" s="1179"/>
      <c r="C921" s="1179"/>
      <c r="D921" s="1179"/>
      <c r="E921" s="1179"/>
      <c r="F921" s="1179"/>
      <c r="G921" s="1179"/>
    </row>
    <row r="922" spans="1:7" ht="14.25">
      <c r="A922" s="1189"/>
      <c r="B922" s="1179"/>
      <c r="C922" s="1179"/>
      <c r="D922" s="1179"/>
      <c r="E922" s="1179"/>
      <c r="F922" s="1179"/>
      <c r="G922" s="1179"/>
    </row>
    <row r="923" spans="1:7" ht="14.25">
      <c r="A923" s="1189"/>
      <c r="B923" s="1179"/>
      <c r="C923" s="1179"/>
      <c r="D923" s="1179"/>
      <c r="E923" s="1179"/>
      <c r="F923" s="1179"/>
      <c r="G923" s="1179"/>
    </row>
    <row r="924" spans="1:7" ht="14.25">
      <c r="A924" s="1189"/>
      <c r="B924" s="1179"/>
      <c r="C924" s="1179"/>
      <c r="D924" s="1179"/>
      <c r="E924" s="1179"/>
      <c r="F924" s="1179"/>
      <c r="G924" s="1179"/>
    </row>
    <row r="925" spans="1:7" ht="14.25">
      <c r="A925" s="1189"/>
      <c r="B925" s="1179"/>
      <c r="C925" s="1179"/>
      <c r="D925" s="1179"/>
      <c r="E925" s="1179"/>
      <c r="F925" s="1179"/>
      <c r="G925" s="1179"/>
    </row>
    <row r="926" spans="1:7" ht="14.25">
      <c r="A926" s="1189"/>
      <c r="B926" s="1179"/>
      <c r="C926" s="1179"/>
      <c r="D926" s="1179"/>
      <c r="E926" s="1179"/>
      <c r="F926" s="1179"/>
      <c r="G926" s="1179"/>
    </row>
    <row r="927" spans="1:7" ht="14.25">
      <c r="A927" s="1189"/>
      <c r="B927" s="1179"/>
      <c r="C927" s="1179"/>
      <c r="D927" s="1179"/>
      <c r="E927" s="1179"/>
      <c r="F927" s="1179"/>
      <c r="G927" s="1179"/>
    </row>
    <row r="928" spans="1:7" ht="14.25">
      <c r="A928" s="1189"/>
      <c r="B928" s="1179"/>
      <c r="C928" s="1179"/>
      <c r="D928" s="1179"/>
      <c r="E928" s="1179"/>
      <c r="F928" s="1179"/>
      <c r="G928" s="1179"/>
    </row>
    <row r="929" spans="1:7" ht="14.25">
      <c r="A929" s="1189"/>
      <c r="B929" s="1179"/>
      <c r="C929" s="1179"/>
      <c r="D929" s="1179"/>
      <c r="E929" s="1179"/>
      <c r="F929" s="1179"/>
      <c r="G929" s="1179"/>
    </row>
    <row r="930" spans="1:7" ht="14.25">
      <c r="A930" s="1189"/>
      <c r="B930" s="1179"/>
      <c r="C930" s="1179"/>
      <c r="D930" s="1179"/>
      <c r="E930" s="1179"/>
      <c r="F930" s="1179"/>
      <c r="G930" s="1179"/>
    </row>
    <row r="931" spans="1:7" ht="14.25">
      <c r="A931" s="1189"/>
      <c r="B931" s="1179"/>
      <c r="C931" s="1179"/>
      <c r="D931" s="1179"/>
      <c r="E931" s="1179"/>
      <c r="F931" s="1179"/>
      <c r="G931" s="1179"/>
    </row>
    <row r="932" spans="1:7" ht="14.25">
      <c r="A932" s="1189"/>
      <c r="B932" s="1179"/>
      <c r="C932" s="1179"/>
      <c r="D932" s="1179"/>
      <c r="E932" s="1179"/>
      <c r="F932" s="1179"/>
      <c r="G932" s="1179"/>
    </row>
    <row r="933" spans="1:7" ht="14.25">
      <c r="A933" s="1189"/>
      <c r="B933" s="1179"/>
      <c r="C933" s="1179"/>
      <c r="D933" s="1179"/>
      <c r="E933" s="1179"/>
      <c r="F933" s="1179"/>
      <c r="G933" s="1179"/>
    </row>
    <row r="934" spans="1:7" ht="14.25">
      <c r="A934" s="1189"/>
      <c r="B934" s="1179"/>
      <c r="C934" s="1179"/>
      <c r="D934" s="1179"/>
      <c r="E934" s="1179"/>
      <c r="F934" s="1179"/>
      <c r="G934" s="1179"/>
    </row>
    <row r="935" spans="1:7" ht="14.25">
      <c r="A935" s="1189"/>
      <c r="B935" s="1179"/>
      <c r="C935" s="1179"/>
      <c r="D935" s="1179"/>
      <c r="E935" s="1179"/>
      <c r="F935" s="1179"/>
      <c r="G935" s="1179"/>
    </row>
    <row r="936" spans="1:7" ht="14.25">
      <c r="A936" s="1189"/>
      <c r="B936" s="1179"/>
      <c r="C936" s="1179"/>
      <c r="D936" s="1179"/>
      <c r="E936" s="1179"/>
      <c r="F936" s="1179"/>
      <c r="G936" s="1179"/>
    </row>
    <row r="937" spans="1:7" ht="14.25">
      <c r="A937" s="1189"/>
      <c r="B937" s="1179"/>
      <c r="C937" s="1179"/>
      <c r="D937" s="1179"/>
      <c r="E937" s="1179"/>
      <c r="F937" s="1179"/>
      <c r="G937" s="1179"/>
    </row>
    <row r="938" spans="1:7" ht="14.25">
      <c r="A938" s="1189"/>
      <c r="B938" s="1179"/>
      <c r="C938" s="1179"/>
      <c r="D938" s="1179"/>
      <c r="E938" s="1179"/>
      <c r="F938" s="1179"/>
      <c r="G938" s="1179"/>
    </row>
    <row r="939" spans="1:7" ht="14.25">
      <c r="A939" s="1189"/>
      <c r="B939" s="1179"/>
      <c r="C939" s="1179"/>
      <c r="D939" s="1179"/>
      <c r="E939" s="1179"/>
      <c r="F939" s="1179"/>
      <c r="G939" s="1179"/>
    </row>
    <row r="940" spans="1:7" ht="14.25">
      <c r="A940" s="1189"/>
      <c r="B940" s="1179"/>
      <c r="C940" s="1179"/>
      <c r="D940" s="1179"/>
      <c r="E940" s="1179"/>
      <c r="F940" s="1179"/>
      <c r="G940" s="1179"/>
    </row>
    <row r="941" spans="1:7" ht="14.25">
      <c r="A941" s="1189"/>
      <c r="B941" s="1179"/>
      <c r="C941" s="1179"/>
      <c r="D941" s="1179"/>
      <c r="E941" s="1179"/>
      <c r="F941" s="1179"/>
      <c r="G941" s="1179"/>
    </row>
    <row r="942" spans="1:7" ht="14.25">
      <c r="A942" s="1189"/>
      <c r="B942" s="1179"/>
      <c r="C942" s="1179"/>
      <c r="D942" s="1179"/>
      <c r="E942" s="1179"/>
      <c r="F942" s="1179"/>
      <c r="G942" s="1179"/>
    </row>
    <row r="943" spans="1:7" ht="14.25">
      <c r="A943" s="1189"/>
      <c r="B943" s="1179"/>
      <c r="C943" s="1179"/>
      <c r="D943" s="1179"/>
      <c r="E943" s="1179"/>
      <c r="F943" s="1179"/>
      <c r="G943" s="1179"/>
    </row>
    <row r="944" spans="1:7" ht="14.25">
      <c r="A944" s="1189"/>
      <c r="B944" s="1179"/>
      <c r="C944" s="1179"/>
      <c r="D944" s="1179"/>
      <c r="E944" s="1179"/>
      <c r="F944" s="1179"/>
      <c r="G944" s="1179"/>
    </row>
    <row r="945" spans="1:7" ht="14.25">
      <c r="A945" s="1189"/>
      <c r="B945" s="1179"/>
      <c r="C945" s="1179"/>
      <c r="D945" s="1179"/>
      <c r="E945" s="1179"/>
      <c r="F945" s="1179"/>
      <c r="G945" s="1179"/>
    </row>
    <row r="946" spans="1:7" ht="14.25">
      <c r="A946" s="1189"/>
      <c r="B946" s="1179"/>
      <c r="C946" s="1179"/>
      <c r="D946" s="1179"/>
      <c r="E946" s="1179"/>
      <c r="F946" s="1179"/>
      <c r="G946" s="1179"/>
    </row>
    <row r="947" spans="1:7" ht="14.25">
      <c r="A947" s="1189"/>
      <c r="B947" s="1179"/>
      <c r="C947" s="1179"/>
      <c r="D947" s="1179"/>
      <c r="E947" s="1179"/>
      <c r="F947" s="1179"/>
      <c r="G947" s="1179"/>
    </row>
    <row r="948" spans="1:7" ht="14.25">
      <c r="A948" s="1189"/>
      <c r="B948" s="1179"/>
      <c r="C948" s="1179"/>
      <c r="D948" s="1179"/>
      <c r="E948" s="1179"/>
      <c r="F948" s="1179"/>
      <c r="G948" s="1179"/>
    </row>
    <row r="949" spans="1:7" ht="14.25">
      <c r="A949" s="1189"/>
      <c r="B949" s="1179"/>
      <c r="C949" s="1179"/>
      <c r="D949" s="1179"/>
      <c r="E949" s="1179"/>
      <c r="F949" s="1179"/>
      <c r="G949" s="1179"/>
    </row>
    <row r="950" spans="1:7" ht="14.25">
      <c r="A950" s="1189"/>
      <c r="B950" s="1179"/>
      <c r="C950" s="1179"/>
      <c r="D950" s="1179"/>
      <c r="E950" s="1179"/>
      <c r="F950" s="1179"/>
      <c r="G950" s="1179"/>
    </row>
    <row r="951" spans="1:7" ht="14.25">
      <c r="A951" s="1189"/>
      <c r="B951" s="1179"/>
      <c r="C951" s="1179"/>
      <c r="D951" s="1179"/>
      <c r="E951" s="1179"/>
      <c r="F951" s="1179"/>
      <c r="G951" s="1179"/>
    </row>
    <row r="952" spans="1:7" ht="14.25">
      <c r="A952" s="1189"/>
      <c r="B952" s="1179"/>
      <c r="C952" s="1179"/>
      <c r="D952" s="1179"/>
      <c r="E952" s="1179"/>
      <c r="F952" s="1179"/>
      <c r="G952" s="1179"/>
    </row>
    <row r="953" spans="1:7" ht="14.25">
      <c r="A953" s="1189"/>
      <c r="B953" s="1179"/>
      <c r="C953" s="1179"/>
      <c r="D953" s="1179"/>
      <c r="E953" s="1179"/>
      <c r="F953" s="1179"/>
      <c r="G953" s="1179"/>
    </row>
    <row r="954" spans="1:7" ht="14.25">
      <c r="A954" s="1189"/>
      <c r="B954" s="1179"/>
      <c r="C954" s="1179"/>
      <c r="D954" s="1179"/>
      <c r="E954" s="1179"/>
      <c r="F954" s="1179"/>
      <c r="G954" s="1179"/>
    </row>
    <row r="955" spans="1:7" ht="14.25">
      <c r="A955" s="1189"/>
      <c r="B955" s="1179"/>
      <c r="C955" s="1179"/>
      <c r="D955" s="1179"/>
      <c r="E955" s="1179"/>
      <c r="F955" s="1179"/>
      <c r="G955" s="1179"/>
    </row>
    <row r="956" spans="1:7" ht="14.25">
      <c r="A956" s="1189"/>
      <c r="B956" s="1179"/>
      <c r="C956" s="1179"/>
      <c r="D956" s="1179"/>
      <c r="E956" s="1179"/>
      <c r="F956" s="1179"/>
      <c r="G956" s="1179"/>
    </row>
    <row r="957" spans="1:7" ht="14.25">
      <c r="A957" s="1189"/>
      <c r="B957" s="1179"/>
      <c r="C957" s="1179"/>
      <c r="D957" s="1179"/>
      <c r="E957" s="1179"/>
      <c r="F957" s="1179"/>
      <c r="G957" s="1179"/>
    </row>
    <row r="958" spans="1:7" ht="14.25">
      <c r="A958" s="1189"/>
      <c r="B958" s="1179"/>
      <c r="C958" s="1179"/>
      <c r="D958" s="1179"/>
      <c r="E958" s="1179"/>
      <c r="F958" s="1179"/>
      <c r="G958" s="1179"/>
    </row>
    <row r="959" spans="1:7" ht="14.25">
      <c r="A959" s="1189"/>
      <c r="B959" s="1179"/>
      <c r="C959" s="1179"/>
      <c r="D959" s="1179"/>
      <c r="E959" s="1179"/>
      <c r="F959" s="1179"/>
      <c r="G959" s="1179"/>
    </row>
    <row r="960" spans="1:7" ht="14.25">
      <c r="A960" s="1189"/>
      <c r="B960" s="1179"/>
      <c r="C960" s="1179"/>
      <c r="D960" s="1179"/>
      <c r="E960" s="1179"/>
      <c r="F960" s="1179"/>
      <c r="G960" s="1179"/>
    </row>
    <row r="961" spans="1:7" ht="14.25">
      <c r="A961" s="1189"/>
      <c r="B961" s="1179"/>
      <c r="C961" s="1179"/>
      <c r="D961" s="1179"/>
      <c r="E961" s="1179"/>
      <c r="F961" s="1179"/>
      <c r="G961" s="1179"/>
    </row>
    <row r="962" spans="1:7" ht="14.25">
      <c r="A962" s="1189"/>
      <c r="B962" s="1179"/>
      <c r="C962" s="1179"/>
      <c r="D962" s="1179"/>
      <c r="E962" s="1179"/>
      <c r="F962" s="1179"/>
      <c r="G962" s="1179"/>
    </row>
    <row r="963" spans="1:7" ht="14.25">
      <c r="A963" s="1189"/>
      <c r="B963" s="1179"/>
      <c r="C963" s="1179"/>
      <c r="D963" s="1179"/>
      <c r="E963" s="1179"/>
      <c r="F963" s="1179"/>
      <c r="G963" s="1179"/>
    </row>
    <row r="964" spans="1:7" ht="14.25">
      <c r="A964" s="1189"/>
      <c r="B964" s="1179"/>
      <c r="C964" s="1179"/>
      <c r="D964" s="1179"/>
      <c r="E964" s="1179"/>
      <c r="F964" s="1179"/>
      <c r="G964" s="1179"/>
    </row>
    <row r="965" spans="1:7" ht="14.25">
      <c r="A965" s="1189"/>
      <c r="B965" s="1179"/>
      <c r="C965" s="1179"/>
      <c r="D965" s="1179"/>
      <c r="E965" s="1179"/>
      <c r="F965" s="1179"/>
      <c r="G965" s="1179"/>
    </row>
    <row r="966" spans="1:7" ht="14.25">
      <c r="A966" s="1189"/>
      <c r="B966" s="1179"/>
      <c r="C966" s="1179"/>
      <c r="D966" s="1179"/>
      <c r="E966" s="1179"/>
      <c r="F966" s="1179"/>
      <c r="G966" s="1179"/>
    </row>
    <row r="967" spans="1:7" ht="14.25">
      <c r="A967" s="1189"/>
      <c r="B967" s="1179"/>
      <c r="C967" s="1179"/>
      <c r="D967" s="1179"/>
      <c r="E967" s="1179"/>
      <c r="F967" s="1179"/>
      <c r="G967" s="1179"/>
    </row>
    <row r="968" spans="1:7" ht="14.25">
      <c r="A968" s="1189"/>
      <c r="B968" s="1179"/>
      <c r="C968" s="1179"/>
      <c r="D968" s="1179"/>
      <c r="E968" s="1179"/>
      <c r="F968" s="1179"/>
      <c r="G968" s="1179"/>
    </row>
    <row r="969" spans="1:7" ht="14.25">
      <c r="A969" s="1189"/>
      <c r="B969" s="1179"/>
      <c r="C969" s="1179"/>
      <c r="D969" s="1179"/>
      <c r="E969" s="1179"/>
      <c r="F969" s="1179"/>
      <c r="G969" s="1179"/>
    </row>
    <row r="970" spans="1:7" ht="14.25">
      <c r="A970" s="1189"/>
      <c r="B970" s="1179"/>
      <c r="C970" s="1179"/>
      <c r="D970" s="1179"/>
      <c r="E970" s="1179"/>
      <c r="F970" s="1179"/>
      <c r="G970" s="1179"/>
    </row>
    <row r="971" spans="1:7" ht="14.25">
      <c r="A971" s="1189"/>
      <c r="B971" s="1179"/>
      <c r="C971" s="1179"/>
      <c r="D971" s="1179"/>
      <c r="E971" s="1179"/>
      <c r="F971" s="1179"/>
      <c r="G971" s="1179"/>
    </row>
    <row r="972" spans="1:7" ht="14.25">
      <c r="A972" s="1189"/>
      <c r="B972" s="1179"/>
      <c r="C972" s="1179"/>
      <c r="D972" s="1179"/>
      <c r="E972" s="1179"/>
      <c r="F972" s="1179"/>
      <c r="G972" s="1179"/>
    </row>
    <row r="973" spans="1:7" ht="14.25">
      <c r="A973" s="1189"/>
      <c r="B973" s="1179"/>
      <c r="C973" s="1179"/>
      <c r="D973" s="1179"/>
      <c r="E973" s="1179"/>
      <c r="F973" s="1179"/>
      <c r="G973" s="1179"/>
    </row>
    <row r="974" spans="1:7" ht="14.25">
      <c r="A974" s="1189"/>
      <c r="B974" s="1179"/>
      <c r="C974" s="1179"/>
      <c r="D974" s="1179"/>
      <c r="E974" s="1179"/>
      <c r="F974" s="1179"/>
      <c r="G974" s="1179"/>
    </row>
    <row r="975" spans="1:7" ht="14.25">
      <c r="A975" s="1189"/>
      <c r="B975" s="1179"/>
      <c r="C975" s="1179"/>
      <c r="D975" s="1179"/>
      <c r="E975" s="1179"/>
      <c r="F975" s="1179"/>
      <c r="G975" s="1179"/>
    </row>
    <row r="976" spans="1:7" ht="14.25">
      <c r="A976" s="1189"/>
      <c r="B976" s="1179"/>
      <c r="C976" s="1179"/>
      <c r="D976" s="1179"/>
      <c r="E976" s="1179"/>
      <c r="F976" s="1179"/>
      <c r="G976" s="1179"/>
    </row>
    <row r="977" spans="1:7" ht="14.25">
      <c r="A977" s="1189"/>
      <c r="B977" s="1179"/>
      <c r="C977" s="1179"/>
      <c r="D977" s="1179"/>
      <c r="E977" s="1179"/>
      <c r="F977" s="1179"/>
      <c r="G977" s="1179"/>
    </row>
    <row r="978" spans="1:7" ht="14.25">
      <c r="A978" s="1189"/>
      <c r="B978" s="1179"/>
      <c r="C978" s="1179"/>
      <c r="D978" s="1179"/>
      <c r="E978" s="1179"/>
      <c r="F978" s="1179"/>
      <c r="G978" s="1179"/>
    </row>
    <row r="979" spans="1:7" ht="14.25">
      <c r="A979" s="1189"/>
      <c r="B979" s="1179"/>
      <c r="C979" s="1179"/>
      <c r="D979" s="1179"/>
      <c r="E979" s="1179"/>
      <c r="F979" s="1179"/>
      <c r="G979" s="1179"/>
    </row>
    <row r="980" spans="1:7" ht="14.25">
      <c r="A980" s="1189"/>
      <c r="B980" s="1179"/>
      <c r="C980" s="1179"/>
      <c r="D980" s="1179"/>
      <c r="E980" s="1179"/>
      <c r="F980" s="1179"/>
      <c r="G980" s="1179"/>
    </row>
    <row r="981" spans="1:7" ht="14.25">
      <c r="A981" s="1189"/>
      <c r="B981" s="1179"/>
      <c r="C981" s="1179"/>
      <c r="D981" s="1179"/>
      <c r="E981" s="1179"/>
      <c r="F981" s="1179"/>
      <c r="G981" s="1179"/>
    </row>
    <row r="982" spans="1:7" ht="14.25">
      <c r="A982" s="1189"/>
      <c r="B982" s="1179"/>
      <c r="C982" s="1179"/>
      <c r="D982" s="1179"/>
      <c r="E982" s="1179"/>
      <c r="F982" s="1179"/>
      <c r="G982" s="1179"/>
    </row>
    <row r="983" spans="1:7" ht="14.25">
      <c r="A983" s="1189"/>
      <c r="B983" s="1179"/>
      <c r="C983" s="1179"/>
      <c r="D983" s="1179"/>
      <c r="E983" s="1179"/>
      <c r="F983" s="1179"/>
      <c r="G983" s="1179"/>
    </row>
    <row r="984" spans="1:7" ht="14.25">
      <c r="A984" s="1189"/>
      <c r="B984" s="1179"/>
      <c r="C984" s="1179"/>
      <c r="D984" s="1179"/>
      <c r="E984" s="1179"/>
      <c r="F984" s="1179"/>
      <c r="G984" s="1179"/>
    </row>
    <row r="985" spans="1:7" ht="14.25">
      <c r="A985" s="1189"/>
      <c r="B985" s="1179"/>
      <c r="C985" s="1179"/>
      <c r="D985" s="1179"/>
      <c r="E985" s="1179"/>
      <c r="F985" s="1179"/>
      <c r="G985" s="1179"/>
    </row>
    <row r="986" spans="1:7" ht="14.25">
      <c r="A986" s="1189"/>
      <c r="B986" s="1179"/>
      <c r="C986" s="1179"/>
      <c r="D986" s="1179"/>
      <c r="E986" s="1179"/>
      <c r="F986" s="1179"/>
      <c r="G986" s="1179"/>
    </row>
    <row r="987" spans="1:7" ht="14.25">
      <c r="A987" s="1189"/>
      <c r="B987" s="1179"/>
      <c r="C987" s="1179"/>
      <c r="D987" s="1179"/>
      <c r="E987" s="1179"/>
      <c r="F987" s="1179"/>
      <c r="G987" s="1179"/>
    </row>
  </sheetData>
  <mergeCells count="20">
    <mergeCell ref="E2:O7"/>
    <mergeCell ref="A8:W8"/>
    <mergeCell ref="A10:B10"/>
    <mergeCell ref="A11:B11"/>
    <mergeCell ref="A12:B12"/>
    <mergeCell ref="A68:B68"/>
    <mergeCell ref="F15:F16"/>
    <mergeCell ref="G15:G16"/>
    <mergeCell ref="F64:G64"/>
    <mergeCell ref="O64:P64"/>
    <mergeCell ref="O67:S67"/>
    <mergeCell ref="O68:R68"/>
    <mergeCell ref="B15:B16"/>
    <mergeCell ref="C15:C16"/>
    <mergeCell ref="H15:W15"/>
    <mergeCell ref="D15:D16"/>
    <mergeCell ref="E15:E16"/>
    <mergeCell ref="A17:B17"/>
    <mergeCell ref="A64:B64"/>
    <mergeCell ref="A67:B67"/>
  </mergeCells>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X965"/>
  <sheetViews>
    <sheetView workbookViewId="0"/>
  </sheetViews>
  <sheetFormatPr defaultColWidth="12.5703125" defaultRowHeight="15.75" customHeight="1"/>
  <cols>
    <col min="1" max="1" width="6.140625" customWidth="1"/>
    <col min="2" max="2" width="30.140625" customWidth="1"/>
  </cols>
  <sheetData>
    <row r="1" spans="1:24" ht="15.75" customHeight="1">
      <c r="A1" s="1046"/>
      <c r="B1" s="1178"/>
      <c r="C1" s="1178"/>
      <c r="D1" s="1178"/>
      <c r="E1" s="1178"/>
      <c r="F1" s="1178"/>
      <c r="G1" s="1178"/>
      <c r="H1" s="991"/>
      <c r="I1" s="991"/>
      <c r="J1" s="991"/>
      <c r="K1" s="991"/>
      <c r="L1" s="991"/>
      <c r="M1" s="991"/>
      <c r="N1" s="991"/>
      <c r="O1" s="991"/>
      <c r="P1" s="991"/>
      <c r="Q1" s="991"/>
      <c r="R1" s="991"/>
      <c r="S1" s="991"/>
      <c r="T1" s="991"/>
      <c r="U1" s="991"/>
      <c r="V1" s="991"/>
      <c r="W1" s="991"/>
      <c r="X1" s="991"/>
    </row>
    <row r="2" spans="1:24" ht="15.75" customHeight="1">
      <c r="A2" s="1046"/>
      <c r="B2" s="1178"/>
      <c r="C2" s="1178"/>
      <c r="D2" s="1178"/>
      <c r="E2" s="1571"/>
      <c r="F2" s="1451"/>
      <c r="G2" s="1451"/>
      <c r="H2" s="1451"/>
      <c r="I2" s="1451"/>
      <c r="J2" s="1451"/>
      <c r="K2" s="1451"/>
      <c r="L2" s="1451"/>
      <c r="M2" s="1451"/>
      <c r="N2" s="1451"/>
      <c r="O2" s="1451"/>
      <c r="P2" s="991"/>
      <c r="Q2" s="991"/>
      <c r="R2" s="991"/>
      <c r="S2" s="991"/>
      <c r="T2" s="991"/>
      <c r="U2" s="991"/>
      <c r="V2" s="991"/>
      <c r="W2" s="991"/>
      <c r="X2" s="991"/>
    </row>
    <row r="3" spans="1:24" ht="15.75" customHeight="1">
      <c r="A3" s="1046"/>
      <c r="B3" s="1178"/>
      <c r="C3" s="1178"/>
      <c r="D3" s="1178"/>
      <c r="E3" s="1451"/>
      <c r="F3" s="1451"/>
      <c r="G3" s="1451"/>
      <c r="H3" s="1451"/>
      <c r="I3" s="1451"/>
      <c r="J3" s="1451"/>
      <c r="K3" s="1451"/>
      <c r="L3" s="1451"/>
      <c r="M3" s="1451"/>
      <c r="N3" s="1451"/>
      <c r="O3" s="1451"/>
      <c r="P3" s="991"/>
      <c r="Q3" s="991"/>
      <c r="R3" s="991"/>
      <c r="S3" s="991"/>
      <c r="T3" s="991"/>
      <c r="U3" s="991"/>
      <c r="V3" s="991"/>
      <c r="W3" s="991"/>
      <c r="X3" s="991"/>
    </row>
    <row r="4" spans="1:24" ht="15.75" customHeight="1">
      <c r="A4" s="1046"/>
      <c r="B4" s="1178"/>
      <c r="C4" s="1178"/>
      <c r="D4" s="1178"/>
      <c r="E4" s="1451"/>
      <c r="F4" s="1451"/>
      <c r="G4" s="1451"/>
      <c r="H4" s="1451"/>
      <c r="I4" s="1451"/>
      <c r="J4" s="1451"/>
      <c r="K4" s="1451"/>
      <c r="L4" s="1451"/>
      <c r="M4" s="1451"/>
      <c r="N4" s="1451"/>
      <c r="O4" s="1451"/>
      <c r="P4" s="991"/>
      <c r="Q4" s="991"/>
      <c r="R4" s="991"/>
      <c r="S4" s="991"/>
      <c r="T4" s="991"/>
      <c r="U4" s="991"/>
      <c r="V4" s="991"/>
      <c r="W4" s="991"/>
      <c r="X4" s="991"/>
    </row>
    <row r="5" spans="1:24" ht="15.75" customHeight="1">
      <c r="A5" s="1046"/>
      <c r="B5" s="1178"/>
      <c r="C5" s="1178"/>
      <c r="D5" s="1178"/>
      <c r="E5" s="1451"/>
      <c r="F5" s="1451"/>
      <c r="G5" s="1451"/>
      <c r="H5" s="1451"/>
      <c r="I5" s="1451"/>
      <c r="J5" s="1451"/>
      <c r="K5" s="1451"/>
      <c r="L5" s="1451"/>
      <c r="M5" s="1451"/>
      <c r="N5" s="1451"/>
      <c r="O5" s="1451"/>
      <c r="P5" s="991"/>
      <c r="Q5" s="991"/>
      <c r="R5" s="991"/>
      <c r="S5" s="991"/>
      <c r="T5" s="991"/>
      <c r="U5" s="991"/>
      <c r="V5" s="991"/>
      <c r="W5" s="991"/>
      <c r="X5" s="991"/>
    </row>
    <row r="6" spans="1:24" ht="15.75" customHeight="1">
      <c r="A6" s="1046"/>
      <c r="B6" s="1178"/>
      <c r="C6" s="1178"/>
      <c r="D6" s="1178"/>
      <c r="E6" s="1451"/>
      <c r="F6" s="1451"/>
      <c r="G6" s="1451"/>
      <c r="H6" s="1451"/>
      <c r="I6" s="1451"/>
      <c r="J6" s="1451"/>
      <c r="K6" s="1451"/>
      <c r="L6" s="1451"/>
      <c r="M6" s="1451"/>
      <c r="N6" s="1451"/>
      <c r="O6" s="1451"/>
      <c r="P6" s="991"/>
      <c r="Q6" s="991"/>
      <c r="R6" s="991"/>
      <c r="S6" s="991"/>
      <c r="T6" s="991"/>
      <c r="U6" s="991"/>
      <c r="V6" s="991"/>
      <c r="W6" s="991"/>
      <c r="X6" s="991"/>
    </row>
    <row r="7" spans="1:24" ht="15.75" customHeight="1">
      <c r="A7" s="1046"/>
      <c r="B7" s="1178"/>
      <c r="C7" s="1178"/>
      <c r="D7" s="1178"/>
      <c r="E7" s="1451"/>
      <c r="F7" s="1451"/>
      <c r="G7" s="1451"/>
      <c r="H7" s="1451"/>
      <c r="I7" s="1451"/>
      <c r="J7" s="1451"/>
      <c r="K7" s="1451"/>
      <c r="L7" s="1451"/>
      <c r="M7" s="1451"/>
      <c r="N7" s="1451"/>
      <c r="O7" s="1451"/>
      <c r="P7" s="991"/>
      <c r="Q7" s="991"/>
      <c r="R7" s="991"/>
      <c r="S7" s="991"/>
      <c r="T7" s="991"/>
      <c r="U7" s="991"/>
      <c r="V7" s="991"/>
      <c r="W7" s="991"/>
      <c r="X7" s="991"/>
    </row>
    <row r="8" spans="1:24" ht="15.75" customHeight="1">
      <c r="A8" s="1564" t="s">
        <v>4015</v>
      </c>
      <c r="B8" s="1451"/>
      <c r="C8" s="1451"/>
      <c r="D8" s="1451"/>
      <c r="E8" s="1451"/>
      <c r="F8" s="1451"/>
      <c r="G8" s="1451"/>
      <c r="H8" s="1451"/>
      <c r="I8" s="1451"/>
      <c r="J8" s="1451"/>
      <c r="K8" s="1451"/>
      <c r="L8" s="1451"/>
      <c r="M8" s="1451"/>
      <c r="N8" s="1451"/>
      <c r="O8" s="1451"/>
      <c r="P8" s="1451"/>
      <c r="Q8" s="1451"/>
      <c r="R8" s="1451"/>
      <c r="S8" s="1451"/>
      <c r="T8" s="1451"/>
      <c r="U8" s="1451"/>
      <c r="V8" s="1451"/>
      <c r="W8" s="1451"/>
      <c r="X8" s="991"/>
    </row>
    <row r="9" spans="1:24" ht="15.75" customHeight="1">
      <c r="A9" s="1046"/>
      <c r="B9" s="1178"/>
      <c r="C9" s="1178"/>
      <c r="D9" s="1178"/>
      <c r="E9" s="1178"/>
      <c r="F9" s="1178"/>
      <c r="G9" s="1178"/>
      <c r="H9" s="991"/>
      <c r="I9" s="991"/>
      <c r="J9" s="991"/>
      <c r="K9" s="991"/>
      <c r="L9" s="991"/>
      <c r="M9" s="991"/>
      <c r="N9" s="991"/>
      <c r="O9" s="991"/>
      <c r="P9" s="991"/>
      <c r="Q9" s="991"/>
      <c r="R9" s="991"/>
      <c r="S9" s="991"/>
      <c r="T9" s="991"/>
      <c r="U9" s="991"/>
      <c r="V9" s="991"/>
      <c r="W9" s="991"/>
      <c r="X9" s="991"/>
    </row>
    <row r="10" spans="1:24" ht="15.75" customHeight="1">
      <c r="A10" s="1564" t="s">
        <v>4245</v>
      </c>
      <c r="B10" s="1451"/>
      <c r="C10" s="1178"/>
      <c r="D10" s="1178"/>
      <c r="E10" s="1178"/>
      <c r="F10" s="1178"/>
      <c r="G10" s="1178"/>
      <c r="H10" s="991"/>
      <c r="I10" s="991"/>
      <c r="J10" s="991"/>
      <c r="K10" s="991"/>
      <c r="L10" s="991"/>
      <c r="M10" s="991"/>
      <c r="N10" s="991"/>
      <c r="O10" s="991"/>
      <c r="P10" s="991"/>
      <c r="Q10" s="991"/>
      <c r="R10" s="991"/>
      <c r="S10" s="991"/>
      <c r="T10" s="991"/>
      <c r="U10" s="991"/>
      <c r="V10" s="991"/>
      <c r="W10" s="991"/>
      <c r="X10" s="991"/>
    </row>
    <row r="11" spans="1:24" ht="15.75" customHeight="1">
      <c r="A11" s="1564" t="s">
        <v>318</v>
      </c>
      <c r="B11" s="1451"/>
      <c r="C11" s="1178"/>
      <c r="D11" s="1178"/>
      <c r="E11" s="1178"/>
      <c r="F11" s="1178"/>
      <c r="G11" s="1178"/>
      <c r="H11" s="991"/>
      <c r="I11" s="991"/>
      <c r="J11" s="991"/>
      <c r="K11" s="991"/>
      <c r="L11" s="991"/>
      <c r="M11" s="991"/>
      <c r="N11" s="991"/>
      <c r="O11" s="991"/>
      <c r="P11" s="991"/>
      <c r="Q11" s="991"/>
      <c r="R11" s="991"/>
      <c r="S11" s="991"/>
      <c r="T11" s="991"/>
      <c r="U11" s="991"/>
      <c r="V11" s="991"/>
      <c r="W11" s="991"/>
      <c r="X11" s="991"/>
    </row>
    <row r="12" spans="1:24" ht="15.75" customHeight="1">
      <c r="A12" s="1564" t="s">
        <v>319</v>
      </c>
      <c r="B12" s="1451"/>
      <c r="C12" s="1178"/>
      <c r="D12" s="1178"/>
      <c r="E12" s="1178"/>
      <c r="F12" s="1178"/>
      <c r="G12" s="1178"/>
      <c r="H12" s="991"/>
      <c r="I12" s="991"/>
      <c r="J12" s="991"/>
      <c r="K12" s="991"/>
      <c r="L12" s="991"/>
      <c r="M12" s="991"/>
      <c r="N12" s="991"/>
      <c r="O12" s="991"/>
      <c r="P12" s="991"/>
      <c r="Q12" s="991"/>
      <c r="R12" s="991"/>
      <c r="S12" s="991"/>
      <c r="T12" s="991"/>
      <c r="U12" s="991"/>
      <c r="V12" s="991"/>
      <c r="W12" s="991"/>
      <c r="X12" s="991"/>
    </row>
    <row r="13" spans="1:24" ht="15.75" customHeight="1">
      <c r="A13" s="1046"/>
      <c r="B13" s="1178"/>
      <c r="C13" s="1178"/>
      <c r="D13" s="1178"/>
      <c r="E13" s="1178"/>
      <c r="F13" s="1178"/>
      <c r="G13" s="1178"/>
      <c r="H13" s="991"/>
      <c r="I13" s="991"/>
      <c r="J13" s="991"/>
      <c r="K13" s="991"/>
      <c r="L13" s="991"/>
      <c r="M13" s="991"/>
      <c r="N13" s="991"/>
      <c r="O13" s="991"/>
      <c r="P13" s="991"/>
      <c r="Q13" s="991"/>
      <c r="R13" s="991"/>
      <c r="S13" s="991"/>
      <c r="T13" s="991"/>
      <c r="U13" s="991"/>
      <c r="V13" s="991"/>
      <c r="W13" s="991"/>
      <c r="X13" s="991"/>
    </row>
    <row r="14" spans="1:24" ht="15.75" customHeight="1">
      <c r="A14" s="1046"/>
      <c r="B14" s="1178"/>
      <c r="C14" s="1178"/>
      <c r="D14" s="1178"/>
      <c r="E14" s="1178"/>
      <c r="F14" s="1178"/>
      <c r="G14" s="1178"/>
      <c r="H14" s="991"/>
      <c r="I14" s="991"/>
      <c r="J14" s="991"/>
      <c r="K14" s="991"/>
      <c r="L14" s="991"/>
      <c r="M14" s="991"/>
      <c r="N14" s="991"/>
      <c r="O14" s="991"/>
      <c r="P14" s="991"/>
      <c r="Q14" s="991"/>
      <c r="R14" s="991"/>
      <c r="S14" s="991"/>
      <c r="T14" s="991"/>
      <c r="U14" s="991"/>
      <c r="V14" s="991"/>
      <c r="W14" s="991"/>
      <c r="X14" s="991"/>
    </row>
    <row r="15" spans="1:24" ht="15.75" customHeight="1">
      <c r="A15" s="1180" t="s">
        <v>320</v>
      </c>
      <c r="B15" s="1567" t="s">
        <v>321</v>
      </c>
      <c r="C15" s="1565" t="s">
        <v>85</v>
      </c>
      <c r="D15" s="1565" t="s">
        <v>92</v>
      </c>
      <c r="E15" s="1565" t="s">
        <v>93</v>
      </c>
      <c r="F15" s="1565" t="s">
        <v>322</v>
      </c>
      <c r="G15" s="1565" t="s">
        <v>323</v>
      </c>
      <c r="H15" s="1568" t="s">
        <v>324</v>
      </c>
      <c r="I15" s="1442"/>
      <c r="J15" s="1442"/>
      <c r="K15" s="1442"/>
      <c r="L15" s="1442"/>
      <c r="M15" s="1442"/>
      <c r="N15" s="1442"/>
      <c r="O15" s="1442"/>
      <c r="P15" s="1442"/>
      <c r="Q15" s="1442"/>
      <c r="R15" s="1442"/>
      <c r="S15" s="1442"/>
      <c r="T15" s="1442"/>
      <c r="U15" s="1442"/>
      <c r="V15" s="1442"/>
      <c r="W15" s="1443"/>
      <c r="X15" s="991"/>
    </row>
    <row r="16" spans="1:24" ht="15.75" customHeight="1">
      <c r="A16" s="1181"/>
      <c r="B16" s="1448"/>
      <c r="C16" s="1448"/>
      <c r="D16" s="1448"/>
      <c r="E16" s="1448"/>
      <c r="F16" s="1448"/>
      <c r="G16" s="1448"/>
      <c r="H16" s="845" t="s">
        <v>325</v>
      </c>
      <c r="I16" s="845" t="s">
        <v>326</v>
      </c>
      <c r="J16" s="845" t="s">
        <v>327</v>
      </c>
      <c r="K16" s="845" t="s">
        <v>328</v>
      </c>
      <c r="L16" s="845" t="s">
        <v>329</v>
      </c>
      <c r="M16" s="845" t="s">
        <v>330</v>
      </c>
      <c r="N16" s="845" t="s">
        <v>331</v>
      </c>
      <c r="O16" s="845" t="s">
        <v>332</v>
      </c>
      <c r="P16" s="845" t="s">
        <v>333</v>
      </c>
      <c r="Q16" s="845" t="s">
        <v>334</v>
      </c>
      <c r="R16" s="845" t="s">
        <v>335</v>
      </c>
      <c r="S16" s="845" t="s">
        <v>336</v>
      </c>
      <c r="T16" s="845" t="s">
        <v>337</v>
      </c>
      <c r="U16" s="845" t="s">
        <v>338</v>
      </c>
      <c r="V16" s="845" t="s">
        <v>339</v>
      </c>
      <c r="W16" s="845" t="s">
        <v>340</v>
      </c>
      <c r="X16" s="991"/>
    </row>
    <row r="17" spans="1:24" ht="15.75" customHeight="1">
      <c r="A17" s="1572" t="s">
        <v>4246</v>
      </c>
      <c r="B17" s="1443"/>
      <c r="C17" s="1125"/>
      <c r="D17" s="1125"/>
      <c r="E17" s="1125"/>
      <c r="F17" s="1125"/>
      <c r="G17" s="1125"/>
      <c r="H17" s="953"/>
      <c r="I17" s="953"/>
      <c r="J17" s="953"/>
      <c r="K17" s="953"/>
      <c r="L17" s="953"/>
      <c r="M17" s="953"/>
      <c r="N17" s="953"/>
      <c r="O17" s="953"/>
      <c r="P17" s="953"/>
      <c r="Q17" s="953"/>
      <c r="R17" s="953"/>
      <c r="S17" s="953"/>
      <c r="T17" s="953"/>
      <c r="U17" s="953"/>
      <c r="V17" s="953"/>
      <c r="W17" s="953"/>
      <c r="X17" s="991"/>
    </row>
    <row r="18" spans="1:24" ht="15.75" customHeight="1">
      <c r="A18" s="1181">
        <v>1</v>
      </c>
      <c r="B18" s="1186" t="s">
        <v>3297</v>
      </c>
      <c r="C18" s="1190">
        <v>24</v>
      </c>
      <c r="D18" s="1191" t="s">
        <v>4247</v>
      </c>
      <c r="E18" s="1190">
        <v>81.64</v>
      </c>
      <c r="F18" s="1183">
        <f t="shared" ref="F18:F36" si="0">C18*E18</f>
        <v>1959.3600000000001</v>
      </c>
      <c r="G18" s="1125"/>
      <c r="H18" s="847">
        <f t="shared" ref="H18:H36" si="1">SUM(I18:K18)</f>
        <v>0</v>
      </c>
      <c r="I18" s="953"/>
      <c r="J18" s="953"/>
      <c r="K18" s="953"/>
      <c r="L18" s="847">
        <f t="shared" ref="L18:L36" si="2">SUM(M18:O18)</f>
        <v>0</v>
      </c>
      <c r="M18" s="953"/>
      <c r="N18" s="953"/>
      <c r="O18" s="953"/>
      <c r="P18" s="847">
        <f t="shared" ref="P18:P36" si="3">SUM(Q18:S18)</f>
        <v>0</v>
      </c>
      <c r="Q18" s="953"/>
      <c r="R18" s="953"/>
      <c r="S18" s="953"/>
      <c r="T18" s="847">
        <f t="shared" ref="T18:T36" si="4">SUM(U18:W18)</f>
        <v>0</v>
      </c>
      <c r="U18" s="953"/>
      <c r="V18" s="953"/>
      <c r="W18" s="953"/>
      <c r="X18" s="991"/>
    </row>
    <row r="19" spans="1:24" ht="15.75" customHeight="1">
      <c r="A19" s="1181">
        <v>2</v>
      </c>
      <c r="B19" s="1186" t="s">
        <v>4248</v>
      </c>
      <c r="C19" s="1190">
        <v>4</v>
      </c>
      <c r="D19" s="1191" t="s">
        <v>902</v>
      </c>
      <c r="E19" s="1190">
        <v>136.24</v>
      </c>
      <c r="F19" s="1183">
        <f t="shared" si="0"/>
        <v>544.96</v>
      </c>
      <c r="G19" s="1125"/>
      <c r="H19" s="847">
        <f t="shared" si="1"/>
        <v>0</v>
      </c>
      <c r="I19" s="953"/>
      <c r="J19" s="953"/>
      <c r="K19" s="953"/>
      <c r="L19" s="847">
        <f t="shared" si="2"/>
        <v>0</v>
      </c>
      <c r="M19" s="953"/>
      <c r="N19" s="953"/>
      <c r="O19" s="953"/>
      <c r="P19" s="847">
        <f t="shared" si="3"/>
        <v>0</v>
      </c>
      <c r="Q19" s="953"/>
      <c r="R19" s="953"/>
      <c r="S19" s="953"/>
      <c r="T19" s="847">
        <f t="shared" si="4"/>
        <v>0</v>
      </c>
      <c r="U19" s="953"/>
      <c r="V19" s="953"/>
      <c r="W19" s="953"/>
      <c r="X19" s="991"/>
    </row>
    <row r="20" spans="1:24" ht="15.75" customHeight="1">
      <c r="A20" s="1181">
        <v>3</v>
      </c>
      <c r="B20" s="1186" t="s">
        <v>3340</v>
      </c>
      <c r="C20" s="1190">
        <v>24</v>
      </c>
      <c r="D20" s="1191" t="s">
        <v>638</v>
      </c>
      <c r="E20" s="1190">
        <v>41.6</v>
      </c>
      <c r="F20" s="1183">
        <f t="shared" si="0"/>
        <v>998.40000000000009</v>
      </c>
      <c r="G20" s="1125"/>
      <c r="H20" s="847">
        <f t="shared" si="1"/>
        <v>0</v>
      </c>
      <c r="I20" s="953"/>
      <c r="J20" s="953"/>
      <c r="K20" s="953"/>
      <c r="L20" s="847">
        <f t="shared" si="2"/>
        <v>0</v>
      </c>
      <c r="M20" s="953"/>
      <c r="N20" s="953"/>
      <c r="O20" s="953"/>
      <c r="P20" s="847">
        <f t="shared" si="3"/>
        <v>0</v>
      </c>
      <c r="Q20" s="953"/>
      <c r="R20" s="953"/>
      <c r="S20" s="953"/>
      <c r="T20" s="847">
        <f t="shared" si="4"/>
        <v>0</v>
      </c>
      <c r="U20" s="953"/>
      <c r="V20" s="953"/>
      <c r="W20" s="953"/>
      <c r="X20" s="991"/>
    </row>
    <row r="21" spans="1:24" ht="15.75" customHeight="1">
      <c r="A21" s="1181">
        <v>4</v>
      </c>
      <c r="B21" s="1186" t="s">
        <v>4249</v>
      </c>
      <c r="C21" s="1190">
        <v>12</v>
      </c>
      <c r="D21" s="1191" t="s">
        <v>4250</v>
      </c>
      <c r="E21" s="1190">
        <v>54.08</v>
      </c>
      <c r="F21" s="1183">
        <f t="shared" si="0"/>
        <v>648.96</v>
      </c>
      <c r="G21" s="1125"/>
      <c r="H21" s="847">
        <f t="shared" si="1"/>
        <v>0</v>
      </c>
      <c r="I21" s="953"/>
      <c r="J21" s="953"/>
      <c r="K21" s="953"/>
      <c r="L21" s="847">
        <f t="shared" si="2"/>
        <v>0</v>
      </c>
      <c r="M21" s="953"/>
      <c r="N21" s="953"/>
      <c r="O21" s="953"/>
      <c r="P21" s="847">
        <f t="shared" si="3"/>
        <v>0</v>
      </c>
      <c r="Q21" s="953"/>
      <c r="R21" s="953"/>
      <c r="S21" s="953"/>
      <c r="T21" s="847">
        <f t="shared" si="4"/>
        <v>0</v>
      </c>
      <c r="U21" s="953"/>
      <c r="V21" s="953"/>
      <c r="W21" s="953"/>
      <c r="X21" s="991"/>
    </row>
    <row r="22" spans="1:24" ht="15.75" customHeight="1">
      <c r="A22" s="1181">
        <v>5</v>
      </c>
      <c r="B22" s="1186" t="s">
        <v>3389</v>
      </c>
      <c r="C22" s="1190">
        <v>24</v>
      </c>
      <c r="D22" s="1191" t="s">
        <v>4247</v>
      </c>
      <c r="E22" s="1190">
        <v>139.88999999999999</v>
      </c>
      <c r="F22" s="1183">
        <f t="shared" si="0"/>
        <v>3357.3599999999997</v>
      </c>
      <c r="G22" s="1125"/>
      <c r="H22" s="847">
        <f t="shared" si="1"/>
        <v>0</v>
      </c>
      <c r="I22" s="953"/>
      <c r="J22" s="953"/>
      <c r="K22" s="953"/>
      <c r="L22" s="847">
        <f t="shared" si="2"/>
        <v>0</v>
      </c>
      <c r="M22" s="953"/>
      <c r="N22" s="953"/>
      <c r="O22" s="953"/>
      <c r="P22" s="847">
        <f t="shared" si="3"/>
        <v>0</v>
      </c>
      <c r="Q22" s="953"/>
      <c r="R22" s="953"/>
      <c r="S22" s="953"/>
      <c r="T22" s="847">
        <f t="shared" si="4"/>
        <v>0</v>
      </c>
      <c r="U22" s="953"/>
      <c r="V22" s="953"/>
      <c r="W22" s="953"/>
      <c r="X22" s="991"/>
    </row>
    <row r="23" spans="1:24" ht="15.75" customHeight="1">
      <c r="A23" s="1181">
        <v>6</v>
      </c>
      <c r="B23" s="1186" t="s">
        <v>4251</v>
      </c>
      <c r="C23" s="1190">
        <v>24</v>
      </c>
      <c r="D23" s="1191" t="s">
        <v>902</v>
      </c>
      <c r="E23" s="1190">
        <v>30</v>
      </c>
      <c r="F23" s="1183">
        <f t="shared" si="0"/>
        <v>720</v>
      </c>
      <c r="G23" s="1125"/>
      <c r="H23" s="847">
        <f t="shared" si="1"/>
        <v>0</v>
      </c>
      <c r="I23" s="953"/>
      <c r="J23" s="953"/>
      <c r="K23" s="953"/>
      <c r="L23" s="847">
        <f t="shared" si="2"/>
        <v>0</v>
      </c>
      <c r="M23" s="953"/>
      <c r="N23" s="953"/>
      <c r="O23" s="953"/>
      <c r="P23" s="847">
        <f t="shared" si="3"/>
        <v>0</v>
      </c>
      <c r="Q23" s="953"/>
      <c r="R23" s="953"/>
      <c r="S23" s="953"/>
      <c r="T23" s="847">
        <f t="shared" si="4"/>
        <v>0</v>
      </c>
      <c r="U23" s="953"/>
      <c r="V23" s="953"/>
      <c r="W23" s="953"/>
      <c r="X23" s="991"/>
    </row>
    <row r="24" spans="1:24" ht="15.75" customHeight="1">
      <c r="A24" s="1181">
        <v>7</v>
      </c>
      <c r="B24" s="1186" t="s">
        <v>4252</v>
      </c>
      <c r="C24" s="1190">
        <v>4</v>
      </c>
      <c r="D24" s="1191" t="s">
        <v>902</v>
      </c>
      <c r="E24" s="1190">
        <v>27.64</v>
      </c>
      <c r="F24" s="1183">
        <f t="shared" si="0"/>
        <v>110.56</v>
      </c>
      <c r="G24" s="1125"/>
      <c r="H24" s="847">
        <f t="shared" si="1"/>
        <v>0</v>
      </c>
      <c r="I24" s="953"/>
      <c r="J24" s="953"/>
      <c r="K24" s="953"/>
      <c r="L24" s="847">
        <f t="shared" si="2"/>
        <v>0</v>
      </c>
      <c r="M24" s="953"/>
      <c r="N24" s="953"/>
      <c r="O24" s="953"/>
      <c r="P24" s="847">
        <f t="shared" si="3"/>
        <v>0</v>
      </c>
      <c r="Q24" s="953"/>
      <c r="R24" s="953"/>
      <c r="S24" s="953"/>
      <c r="T24" s="847">
        <f t="shared" si="4"/>
        <v>0</v>
      </c>
      <c r="U24" s="953"/>
      <c r="V24" s="953"/>
      <c r="W24" s="953"/>
      <c r="X24" s="991"/>
    </row>
    <row r="25" spans="1:24" ht="15.75" customHeight="1">
      <c r="A25" s="1181">
        <v>8</v>
      </c>
      <c r="B25" s="1186" t="s">
        <v>3574</v>
      </c>
      <c r="C25" s="1190">
        <v>12</v>
      </c>
      <c r="D25" s="1191" t="s">
        <v>4247</v>
      </c>
      <c r="E25" s="1190">
        <v>139.36000000000001</v>
      </c>
      <c r="F25" s="1183">
        <f t="shared" si="0"/>
        <v>1672.3200000000002</v>
      </c>
      <c r="G25" s="1125"/>
      <c r="H25" s="847">
        <f t="shared" si="1"/>
        <v>0</v>
      </c>
      <c r="I25" s="953"/>
      <c r="J25" s="953"/>
      <c r="K25" s="953"/>
      <c r="L25" s="847">
        <f t="shared" si="2"/>
        <v>0</v>
      </c>
      <c r="M25" s="953"/>
      <c r="N25" s="953"/>
      <c r="O25" s="953"/>
      <c r="P25" s="847">
        <f t="shared" si="3"/>
        <v>0</v>
      </c>
      <c r="Q25" s="953"/>
      <c r="R25" s="953"/>
      <c r="S25" s="953"/>
      <c r="T25" s="847">
        <f t="shared" si="4"/>
        <v>0</v>
      </c>
      <c r="U25" s="953"/>
      <c r="V25" s="953"/>
      <c r="W25" s="953"/>
      <c r="X25" s="991"/>
    </row>
    <row r="26" spans="1:24" ht="15.75" customHeight="1">
      <c r="A26" s="1181">
        <v>9</v>
      </c>
      <c r="B26" s="1186" t="s">
        <v>4253</v>
      </c>
      <c r="C26" s="1190">
        <v>12</v>
      </c>
      <c r="D26" s="1191" t="s">
        <v>638</v>
      </c>
      <c r="E26" s="1190">
        <v>80.849999999999994</v>
      </c>
      <c r="F26" s="1183">
        <f t="shared" si="0"/>
        <v>970.19999999999993</v>
      </c>
      <c r="G26" s="1125"/>
      <c r="H26" s="847">
        <f t="shared" si="1"/>
        <v>0</v>
      </c>
      <c r="I26" s="953"/>
      <c r="J26" s="953"/>
      <c r="K26" s="953"/>
      <c r="L26" s="847">
        <f t="shared" si="2"/>
        <v>0</v>
      </c>
      <c r="M26" s="953"/>
      <c r="N26" s="953"/>
      <c r="O26" s="953"/>
      <c r="P26" s="847">
        <f t="shared" si="3"/>
        <v>0</v>
      </c>
      <c r="Q26" s="953"/>
      <c r="R26" s="953"/>
      <c r="S26" s="953"/>
      <c r="T26" s="847">
        <f t="shared" si="4"/>
        <v>0</v>
      </c>
      <c r="U26" s="953"/>
      <c r="V26" s="953"/>
      <c r="W26" s="953"/>
      <c r="X26" s="991"/>
    </row>
    <row r="27" spans="1:24" ht="15.75" customHeight="1">
      <c r="A27" s="1181">
        <v>10</v>
      </c>
      <c r="B27" s="1186" t="s">
        <v>4254</v>
      </c>
      <c r="C27" s="1190">
        <v>12</v>
      </c>
      <c r="D27" s="1191" t="s">
        <v>638</v>
      </c>
      <c r="E27" s="1190">
        <v>42.95</v>
      </c>
      <c r="F27" s="1183">
        <f t="shared" si="0"/>
        <v>515.40000000000009</v>
      </c>
      <c r="G27" s="1125"/>
      <c r="H27" s="847">
        <f t="shared" si="1"/>
        <v>0</v>
      </c>
      <c r="I27" s="953"/>
      <c r="J27" s="953"/>
      <c r="K27" s="953"/>
      <c r="L27" s="847">
        <f t="shared" si="2"/>
        <v>0</v>
      </c>
      <c r="M27" s="953"/>
      <c r="N27" s="953"/>
      <c r="O27" s="953"/>
      <c r="P27" s="847">
        <f t="shared" si="3"/>
        <v>0</v>
      </c>
      <c r="Q27" s="953"/>
      <c r="R27" s="953"/>
      <c r="S27" s="953"/>
      <c r="T27" s="847">
        <f t="shared" si="4"/>
        <v>0</v>
      </c>
      <c r="U27" s="953"/>
      <c r="V27" s="953"/>
      <c r="W27" s="953"/>
      <c r="X27" s="991"/>
    </row>
    <row r="28" spans="1:24" ht="15.75" customHeight="1">
      <c r="A28" s="1181">
        <v>11</v>
      </c>
      <c r="B28" s="1186" t="s">
        <v>4255</v>
      </c>
      <c r="C28" s="1190">
        <v>12</v>
      </c>
      <c r="D28" s="1191" t="s">
        <v>155</v>
      </c>
      <c r="E28" s="1190">
        <v>144.04</v>
      </c>
      <c r="F28" s="1183">
        <f t="shared" si="0"/>
        <v>1728.48</v>
      </c>
      <c r="G28" s="1125"/>
      <c r="H28" s="847">
        <f t="shared" si="1"/>
        <v>0</v>
      </c>
      <c r="I28" s="953"/>
      <c r="J28" s="953"/>
      <c r="K28" s="953"/>
      <c r="L28" s="847">
        <f t="shared" si="2"/>
        <v>0</v>
      </c>
      <c r="M28" s="953"/>
      <c r="N28" s="953"/>
      <c r="O28" s="953"/>
      <c r="P28" s="847">
        <f t="shared" si="3"/>
        <v>0</v>
      </c>
      <c r="Q28" s="953"/>
      <c r="R28" s="953"/>
      <c r="S28" s="953"/>
      <c r="T28" s="847">
        <f t="shared" si="4"/>
        <v>0</v>
      </c>
      <c r="U28" s="953"/>
      <c r="V28" s="953"/>
      <c r="W28" s="953"/>
      <c r="X28" s="991"/>
    </row>
    <row r="29" spans="1:24" ht="15.75" customHeight="1">
      <c r="A29" s="1181">
        <v>12</v>
      </c>
      <c r="B29" s="1186" t="s">
        <v>4256</v>
      </c>
      <c r="C29" s="1190">
        <v>12</v>
      </c>
      <c r="D29" s="1191" t="s">
        <v>103</v>
      </c>
      <c r="E29" s="1190">
        <v>45</v>
      </c>
      <c r="F29" s="1183">
        <f t="shared" si="0"/>
        <v>540</v>
      </c>
      <c r="G29" s="1125"/>
      <c r="H29" s="847">
        <f t="shared" si="1"/>
        <v>0</v>
      </c>
      <c r="I29" s="953"/>
      <c r="J29" s="953"/>
      <c r="K29" s="953"/>
      <c r="L29" s="847">
        <f t="shared" si="2"/>
        <v>0</v>
      </c>
      <c r="M29" s="953"/>
      <c r="N29" s="953"/>
      <c r="O29" s="953"/>
      <c r="P29" s="847">
        <f t="shared" si="3"/>
        <v>0</v>
      </c>
      <c r="Q29" s="953"/>
      <c r="R29" s="953"/>
      <c r="S29" s="953"/>
      <c r="T29" s="847">
        <f t="shared" si="4"/>
        <v>0</v>
      </c>
      <c r="U29" s="953"/>
      <c r="V29" s="953"/>
      <c r="W29" s="953"/>
      <c r="X29" s="991"/>
    </row>
    <row r="30" spans="1:24" ht="15.75" customHeight="1">
      <c r="A30" s="1181">
        <v>13</v>
      </c>
      <c r="B30" s="1186" t="s">
        <v>4257</v>
      </c>
      <c r="C30" s="1190">
        <v>12</v>
      </c>
      <c r="D30" s="1191" t="s">
        <v>4258</v>
      </c>
      <c r="E30" s="1190">
        <v>50</v>
      </c>
      <c r="F30" s="1183">
        <f t="shared" si="0"/>
        <v>600</v>
      </c>
      <c r="G30" s="1125"/>
      <c r="H30" s="847">
        <f t="shared" si="1"/>
        <v>0</v>
      </c>
      <c r="I30" s="953"/>
      <c r="J30" s="953"/>
      <c r="K30" s="953"/>
      <c r="L30" s="847">
        <f t="shared" si="2"/>
        <v>0</v>
      </c>
      <c r="M30" s="953"/>
      <c r="N30" s="953"/>
      <c r="O30" s="953"/>
      <c r="P30" s="847">
        <f t="shared" si="3"/>
        <v>0</v>
      </c>
      <c r="Q30" s="953"/>
      <c r="R30" s="953"/>
      <c r="S30" s="953"/>
      <c r="T30" s="847">
        <f t="shared" si="4"/>
        <v>0</v>
      </c>
      <c r="U30" s="953"/>
      <c r="V30" s="953"/>
      <c r="W30" s="953"/>
      <c r="X30" s="991"/>
    </row>
    <row r="31" spans="1:24" ht="15.75" customHeight="1">
      <c r="A31" s="1181">
        <v>14</v>
      </c>
      <c r="B31" s="1186" t="s">
        <v>4259</v>
      </c>
      <c r="C31" s="1190">
        <v>12</v>
      </c>
      <c r="D31" s="1191" t="s">
        <v>103</v>
      </c>
      <c r="E31" s="1190">
        <v>20</v>
      </c>
      <c r="F31" s="1183">
        <f t="shared" si="0"/>
        <v>240</v>
      </c>
      <c r="G31" s="1125"/>
      <c r="H31" s="847">
        <f t="shared" si="1"/>
        <v>0</v>
      </c>
      <c r="I31" s="953"/>
      <c r="J31" s="953"/>
      <c r="K31" s="953"/>
      <c r="L31" s="847">
        <f t="shared" si="2"/>
        <v>0</v>
      </c>
      <c r="M31" s="953"/>
      <c r="N31" s="953"/>
      <c r="O31" s="953"/>
      <c r="P31" s="847">
        <f t="shared" si="3"/>
        <v>0</v>
      </c>
      <c r="Q31" s="953"/>
      <c r="R31" s="953"/>
      <c r="S31" s="953"/>
      <c r="T31" s="847">
        <f t="shared" si="4"/>
        <v>0</v>
      </c>
      <c r="U31" s="953"/>
      <c r="V31" s="953"/>
      <c r="W31" s="953"/>
      <c r="X31" s="991"/>
    </row>
    <row r="32" spans="1:24" ht="15.75" customHeight="1">
      <c r="A32" s="1181">
        <v>15</v>
      </c>
      <c r="B32" s="1186" t="s">
        <v>4260</v>
      </c>
      <c r="C32" s="1190">
        <v>12</v>
      </c>
      <c r="D32" s="1191" t="s">
        <v>4258</v>
      </c>
      <c r="E32" s="1190">
        <v>33</v>
      </c>
      <c r="F32" s="1183">
        <f t="shared" si="0"/>
        <v>396</v>
      </c>
      <c r="G32" s="1125"/>
      <c r="H32" s="847">
        <f t="shared" si="1"/>
        <v>0</v>
      </c>
      <c r="I32" s="953"/>
      <c r="J32" s="953"/>
      <c r="K32" s="953"/>
      <c r="L32" s="847">
        <f t="shared" si="2"/>
        <v>0</v>
      </c>
      <c r="M32" s="953"/>
      <c r="N32" s="953"/>
      <c r="O32" s="953"/>
      <c r="P32" s="847">
        <f t="shared" si="3"/>
        <v>0</v>
      </c>
      <c r="Q32" s="953"/>
      <c r="R32" s="953"/>
      <c r="S32" s="953"/>
      <c r="T32" s="847">
        <f t="shared" si="4"/>
        <v>0</v>
      </c>
      <c r="U32" s="953"/>
      <c r="V32" s="953"/>
      <c r="W32" s="953"/>
      <c r="X32" s="991"/>
    </row>
    <row r="33" spans="1:24" ht="15.75" customHeight="1">
      <c r="A33" s="1181">
        <v>16</v>
      </c>
      <c r="B33" s="1186" t="s">
        <v>4261</v>
      </c>
      <c r="C33" s="1190">
        <v>1</v>
      </c>
      <c r="D33" s="1191" t="s">
        <v>103</v>
      </c>
      <c r="E33" s="1190">
        <v>40</v>
      </c>
      <c r="F33" s="1183">
        <f t="shared" si="0"/>
        <v>40</v>
      </c>
      <c r="G33" s="1125"/>
      <c r="H33" s="847">
        <f t="shared" si="1"/>
        <v>0</v>
      </c>
      <c r="I33" s="953"/>
      <c r="J33" s="953"/>
      <c r="K33" s="953"/>
      <c r="L33" s="847">
        <f t="shared" si="2"/>
        <v>0</v>
      </c>
      <c r="M33" s="953"/>
      <c r="N33" s="953"/>
      <c r="O33" s="953"/>
      <c r="P33" s="847">
        <f t="shared" si="3"/>
        <v>0</v>
      </c>
      <c r="Q33" s="953"/>
      <c r="R33" s="953"/>
      <c r="S33" s="953"/>
      <c r="T33" s="847">
        <f t="shared" si="4"/>
        <v>0</v>
      </c>
      <c r="U33" s="953"/>
      <c r="V33" s="953"/>
      <c r="W33" s="953"/>
      <c r="X33" s="991"/>
    </row>
    <row r="34" spans="1:24" ht="15.75" customHeight="1">
      <c r="A34" s="1181">
        <v>17</v>
      </c>
      <c r="B34" s="1186" t="s">
        <v>4262</v>
      </c>
      <c r="C34" s="1190">
        <v>2</v>
      </c>
      <c r="D34" s="1191" t="s">
        <v>103</v>
      </c>
      <c r="E34" s="1192">
        <v>1680</v>
      </c>
      <c r="F34" s="1183">
        <f t="shared" si="0"/>
        <v>3360</v>
      </c>
      <c r="G34" s="1125"/>
      <c r="H34" s="847">
        <f t="shared" si="1"/>
        <v>0</v>
      </c>
      <c r="I34" s="953"/>
      <c r="J34" s="953"/>
      <c r="K34" s="953"/>
      <c r="L34" s="847">
        <f t="shared" si="2"/>
        <v>0</v>
      </c>
      <c r="M34" s="953"/>
      <c r="N34" s="953"/>
      <c r="O34" s="953"/>
      <c r="P34" s="847">
        <f t="shared" si="3"/>
        <v>0</v>
      </c>
      <c r="Q34" s="953"/>
      <c r="R34" s="953"/>
      <c r="S34" s="953"/>
      <c r="T34" s="847">
        <f t="shared" si="4"/>
        <v>0</v>
      </c>
      <c r="U34" s="953"/>
      <c r="V34" s="953"/>
      <c r="W34" s="953"/>
      <c r="X34" s="991"/>
    </row>
    <row r="35" spans="1:24" ht="15.75" customHeight="1">
      <c r="A35" s="1181">
        <v>18</v>
      </c>
      <c r="B35" s="1186" t="s">
        <v>4263</v>
      </c>
      <c r="C35" s="1190">
        <v>1</v>
      </c>
      <c r="D35" s="1191" t="s">
        <v>118</v>
      </c>
      <c r="E35" s="1192">
        <v>2500</v>
      </c>
      <c r="F35" s="1183">
        <f t="shared" si="0"/>
        <v>2500</v>
      </c>
      <c r="G35" s="1125"/>
      <c r="H35" s="847">
        <f t="shared" si="1"/>
        <v>0</v>
      </c>
      <c r="I35" s="953"/>
      <c r="J35" s="953"/>
      <c r="K35" s="953"/>
      <c r="L35" s="847">
        <f t="shared" si="2"/>
        <v>0</v>
      </c>
      <c r="M35" s="953"/>
      <c r="N35" s="953"/>
      <c r="O35" s="953"/>
      <c r="P35" s="847">
        <f t="shared" si="3"/>
        <v>0</v>
      </c>
      <c r="Q35" s="953"/>
      <c r="R35" s="953"/>
      <c r="S35" s="953"/>
      <c r="T35" s="847">
        <f t="shared" si="4"/>
        <v>0</v>
      </c>
      <c r="U35" s="953"/>
      <c r="V35" s="953"/>
      <c r="W35" s="953"/>
      <c r="X35" s="991"/>
    </row>
    <row r="36" spans="1:24" ht="15.75" customHeight="1">
      <c r="A36" s="1181">
        <v>19</v>
      </c>
      <c r="B36" s="1186" t="s">
        <v>4264</v>
      </c>
      <c r="C36" s="1190">
        <v>1</v>
      </c>
      <c r="D36" s="1191" t="s">
        <v>103</v>
      </c>
      <c r="E36" s="1190">
        <v>175</v>
      </c>
      <c r="F36" s="1183">
        <f t="shared" si="0"/>
        <v>175</v>
      </c>
      <c r="G36" s="1125"/>
      <c r="H36" s="847">
        <f t="shared" si="1"/>
        <v>0</v>
      </c>
      <c r="I36" s="953"/>
      <c r="J36" s="953"/>
      <c r="K36" s="953"/>
      <c r="L36" s="847">
        <f t="shared" si="2"/>
        <v>0</v>
      </c>
      <c r="M36" s="953"/>
      <c r="N36" s="953"/>
      <c r="O36" s="953"/>
      <c r="P36" s="847">
        <f t="shared" si="3"/>
        <v>0</v>
      </c>
      <c r="Q36" s="953"/>
      <c r="R36" s="953"/>
      <c r="S36" s="953"/>
      <c r="T36" s="847">
        <f t="shared" si="4"/>
        <v>0</v>
      </c>
      <c r="U36" s="953"/>
      <c r="V36" s="953"/>
      <c r="W36" s="953"/>
      <c r="X36" s="991"/>
    </row>
    <row r="37" spans="1:24" ht="15.75" customHeight="1">
      <c r="A37" s="1181"/>
      <c r="B37" s="1125" t="s">
        <v>343</v>
      </c>
      <c r="C37" s="1125"/>
      <c r="D37" s="1125"/>
      <c r="E37" s="1125"/>
      <c r="F37" s="1184">
        <f>SUM(F17:F36)</f>
        <v>21077</v>
      </c>
      <c r="G37" s="1125"/>
      <c r="H37" s="847"/>
      <c r="I37" s="953"/>
      <c r="J37" s="953"/>
      <c r="K37" s="953"/>
      <c r="L37" s="847"/>
      <c r="M37" s="953"/>
      <c r="N37" s="953"/>
      <c r="O37" s="953"/>
      <c r="P37" s="847"/>
      <c r="Q37" s="953"/>
      <c r="R37" s="953"/>
      <c r="S37" s="953"/>
      <c r="T37" s="847"/>
      <c r="U37" s="953"/>
      <c r="V37" s="953"/>
      <c r="W37" s="953"/>
      <c r="X37" s="991"/>
    </row>
    <row r="38" spans="1:24" ht="15.75" customHeight="1">
      <c r="A38" s="1046"/>
      <c r="B38" s="1178"/>
      <c r="C38" s="1178"/>
      <c r="D38" s="1178"/>
      <c r="E38" s="1178"/>
      <c r="F38" s="1178"/>
      <c r="G38" s="1178"/>
      <c r="H38" s="991"/>
      <c r="I38" s="991"/>
      <c r="J38" s="991"/>
      <c r="K38" s="991"/>
      <c r="L38" s="991"/>
      <c r="M38" s="991"/>
      <c r="N38" s="991"/>
      <c r="O38" s="991"/>
      <c r="P38" s="991"/>
      <c r="Q38" s="991"/>
      <c r="R38" s="991"/>
      <c r="S38" s="991"/>
      <c r="T38" s="991"/>
      <c r="U38" s="991"/>
      <c r="V38" s="991"/>
      <c r="W38" s="991"/>
      <c r="X38" s="991"/>
    </row>
    <row r="39" spans="1:24" ht="15.75" customHeight="1">
      <c r="A39" s="1046"/>
      <c r="B39" s="1178" t="s">
        <v>345</v>
      </c>
      <c r="C39" s="1178"/>
      <c r="D39" s="1178"/>
      <c r="E39" s="1178"/>
      <c r="F39" s="1187">
        <f>SUM(F17:F36)</f>
        <v>21077</v>
      </c>
      <c r="G39" s="1178"/>
      <c r="H39" s="991"/>
      <c r="I39" s="991"/>
      <c r="J39" s="991"/>
      <c r="K39" s="991"/>
      <c r="L39" s="991"/>
      <c r="M39" s="991"/>
      <c r="N39" s="991"/>
      <c r="O39" s="991"/>
      <c r="P39" s="991"/>
      <c r="Q39" s="991"/>
      <c r="R39" s="991"/>
      <c r="S39" s="991"/>
      <c r="T39" s="991"/>
      <c r="U39" s="991"/>
      <c r="V39" s="991"/>
      <c r="W39" s="991"/>
      <c r="X39" s="991"/>
    </row>
    <row r="40" spans="1:24" ht="15.75" customHeight="1">
      <c r="A40" s="1046"/>
      <c r="B40" s="1178"/>
      <c r="C40" s="1178"/>
      <c r="D40" s="1178"/>
      <c r="E40" s="1178"/>
      <c r="F40" s="1178"/>
      <c r="G40" s="1178"/>
      <c r="H40" s="991"/>
      <c r="I40" s="991"/>
      <c r="J40" s="991"/>
      <c r="K40" s="991"/>
      <c r="L40" s="991"/>
      <c r="M40" s="991"/>
      <c r="N40" s="991"/>
      <c r="O40" s="991"/>
      <c r="P40" s="991"/>
      <c r="Q40" s="991"/>
      <c r="R40" s="991"/>
      <c r="S40" s="991"/>
      <c r="T40" s="991"/>
      <c r="U40" s="991"/>
      <c r="V40" s="991"/>
      <c r="W40" s="991"/>
      <c r="X40" s="991"/>
    </row>
    <row r="41" spans="1:24" ht="15.75" customHeight="1">
      <c r="A41" s="1046"/>
      <c r="B41" s="1178"/>
      <c r="C41" s="1178"/>
      <c r="D41" s="1178"/>
      <c r="E41" s="1178"/>
      <c r="F41" s="1178"/>
      <c r="G41" s="1178"/>
      <c r="H41" s="991"/>
      <c r="I41" s="991"/>
      <c r="J41" s="991"/>
      <c r="K41" s="991"/>
      <c r="L41" s="991"/>
      <c r="M41" s="991"/>
      <c r="N41" s="991"/>
      <c r="O41" s="991"/>
      <c r="P41" s="991"/>
      <c r="Q41" s="991"/>
      <c r="R41" s="991"/>
      <c r="S41" s="991"/>
      <c r="T41" s="991"/>
      <c r="U41" s="991"/>
      <c r="V41" s="991"/>
      <c r="W41" s="991"/>
      <c r="X41" s="991"/>
    </row>
    <row r="42" spans="1:24" ht="15.75" customHeight="1">
      <c r="A42" s="1564" t="s">
        <v>346</v>
      </c>
      <c r="B42" s="1451"/>
      <c r="C42" s="1178"/>
      <c r="D42" s="1178"/>
      <c r="E42" s="1178"/>
      <c r="F42" s="1566" t="s">
        <v>347</v>
      </c>
      <c r="G42" s="1451"/>
      <c r="H42" s="991"/>
      <c r="I42" s="991"/>
      <c r="J42" s="991"/>
      <c r="K42" s="991"/>
      <c r="L42" s="991"/>
      <c r="M42" s="991"/>
      <c r="N42" s="991"/>
      <c r="O42" s="1495" t="s">
        <v>348</v>
      </c>
      <c r="P42" s="1451"/>
      <c r="Q42" s="991"/>
      <c r="R42" s="991"/>
      <c r="S42" s="991"/>
      <c r="T42" s="991"/>
      <c r="U42" s="991"/>
      <c r="V42" s="991"/>
      <c r="W42" s="991"/>
      <c r="X42" s="991"/>
    </row>
    <row r="43" spans="1:24" ht="15.75" customHeight="1">
      <c r="A43" s="1046"/>
      <c r="B43" s="1178"/>
      <c r="C43" s="1178"/>
      <c r="D43" s="1178"/>
      <c r="E43" s="1178"/>
      <c r="F43" s="1178"/>
      <c r="G43" s="1178"/>
      <c r="H43" s="991"/>
      <c r="I43" s="991"/>
      <c r="J43" s="991"/>
      <c r="K43" s="991"/>
      <c r="L43" s="991"/>
      <c r="M43" s="991"/>
      <c r="N43" s="991"/>
      <c r="O43" s="991"/>
      <c r="P43" s="991"/>
      <c r="Q43" s="991"/>
      <c r="R43" s="991"/>
      <c r="S43" s="991"/>
      <c r="T43" s="991"/>
      <c r="U43" s="991"/>
      <c r="V43" s="991"/>
      <c r="W43" s="991"/>
      <c r="X43" s="991"/>
    </row>
    <row r="44" spans="1:24" ht="15.75" customHeight="1">
      <c r="A44" s="1046"/>
      <c r="B44" s="1178"/>
      <c r="C44" s="1178"/>
      <c r="D44" s="1178"/>
      <c r="E44" s="1178"/>
      <c r="F44" s="1178"/>
      <c r="G44" s="1178"/>
      <c r="H44" s="991"/>
      <c r="I44" s="991"/>
      <c r="J44" s="991"/>
      <c r="K44" s="991"/>
      <c r="L44" s="991"/>
      <c r="M44" s="991"/>
      <c r="N44" s="991"/>
      <c r="O44" s="991"/>
      <c r="P44" s="991"/>
      <c r="Q44" s="991"/>
      <c r="R44" s="991"/>
      <c r="S44" s="991"/>
      <c r="T44" s="991"/>
      <c r="U44" s="991"/>
      <c r="V44" s="991"/>
      <c r="W44" s="991"/>
      <c r="X44" s="991"/>
    </row>
    <row r="45" spans="1:24" ht="15.75" customHeight="1">
      <c r="A45" s="1570" t="s">
        <v>4241</v>
      </c>
      <c r="B45" s="1451"/>
      <c r="C45" s="1178"/>
      <c r="D45" s="1178"/>
      <c r="E45" s="1178"/>
      <c r="F45" s="1188" t="s">
        <v>4242</v>
      </c>
      <c r="G45" s="1188"/>
      <c r="H45" s="991"/>
      <c r="I45" s="991"/>
      <c r="J45" s="991"/>
      <c r="K45" s="991"/>
      <c r="L45" s="991"/>
      <c r="M45" s="991"/>
      <c r="N45" s="991"/>
      <c r="O45" s="1499" t="s">
        <v>350</v>
      </c>
      <c r="P45" s="1451"/>
      <c r="Q45" s="1451"/>
      <c r="R45" s="1451"/>
      <c r="S45" s="1451"/>
      <c r="T45" s="991"/>
      <c r="U45" s="991"/>
      <c r="V45" s="991"/>
      <c r="W45" s="991"/>
      <c r="X45" s="991"/>
    </row>
    <row r="46" spans="1:24" ht="15.75" customHeight="1">
      <c r="A46" s="1564" t="s">
        <v>4243</v>
      </c>
      <c r="B46" s="1451"/>
      <c r="C46" s="1178"/>
      <c r="D46" s="1178"/>
      <c r="E46" s="1178"/>
      <c r="F46" s="991" t="s">
        <v>4244</v>
      </c>
      <c r="G46" s="1178"/>
      <c r="H46" s="991"/>
      <c r="I46" s="991"/>
      <c r="J46" s="991"/>
      <c r="K46" s="991"/>
      <c r="L46" s="991"/>
      <c r="M46" s="991"/>
      <c r="N46" s="991"/>
      <c r="O46" s="1495" t="s">
        <v>353</v>
      </c>
      <c r="P46" s="1451"/>
      <c r="Q46" s="1451"/>
      <c r="R46" s="1451"/>
      <c r="S46" s="991"/>
      <c r="T46" s="991"/>
      <c r="U46" s="991"/>
      <c r="V46" s="991"/>
      <c r="W46" s="991"/>
      <c r="X46" s="991"/>
    </row>
    <row r="47" spans="1:24" ht="14.25">
      <c r="A47" s="1189"/>
      <c r="B47" s="1179"/>
      <c r="C47" s="1179"/>
      <c r="D47" s="1179"/>
      <c r="E47" s="1179"/>
      <c r="F47" s="1179"/>
      <c r="G47" s="279"/>
    </row>
    <row r="48" spans="1:24" ht="14.25">
      <c r="A48" s="1189"/>
      <c r="B48" s="1179"/>
      <c r="C48" s="1179"/>
      <c r="D48" s="1179"/>
      <c r="E48" s="1179"/>
      <c r="F48" s="1179"/>
      <c r="G48" s="279"/>
    </row>
    <row r="49" spans="1:7" ht="14.25">
      <c r="A49" s="1189"/>
      <c r="B49" s="1179"/>
      <c r="C49" s="1179"/>
      <c r="D49" s="1179"/>
      <c r="E49" s="1179"/>
      <c r="F49" s="1179"/>
      <c r="G49" s="279"/>
    </row>
    <row r="50" spans="1:7" ht="14.25">
      <c r="A50" s="1189"/>
      <c r="B50" s="1179"/>
      <c r="C50" s="1179"/>
      <c r="D50" s="1179"/>
      <c r="E50" s="1179"/>
      <c r="F50" s="1179"/>
      <c r="G50" s="279"/>
    </row>
    <row r="51" spans="1:7" ht="14.25">
      <c r="A51" s="1189"/>
      <c r="B51" s="1179"/>
      <c r="C51" s="1179"/>
      <c r="D51" s="1179"/>
      <c r="E51" s="1179"/>
      <c r="F51" s="1179"/>
      <c r="G51" s="279"/>
    </row>
    <row r="52" spans="1:7" ht="14.25">
      <c r="A52" s="1189"/>
      <c r="B52" s="1179"/>
      <c r="C52" s="1179"/>
      <c r="D52" s="1179"/>
      <c r="E52" s="1179"/>
      <c r="F52" s="1179"/>
      <c r="G52" s="279"/>
    </row>
    <row r="53" spans="1:7" ht="14.25">
      <c r="A53" s="1189"/>
      <c r="B53" s="1179"/>
      <c r="C53" s="1179"/>
      <c r="D53" s="1179"/>
      <c r="E53" s="1179"/>
      <c r="F53" s="1179"/>
      <c r="G53" s="279"/>
    </row>
    <row r="54" spans="1:7" ht="14.25">
      <c r="A54" s="1189"/>
      <c r="B54" s="1179"/>
      <c r="C54" s="1179"/>
      <c r="D54" s="1179"/>
      <c r="E54" s="1179"/>
      <c r="F54" s="1179"/>
      <c r="G54" s="279"/>
    </row>
    <row r="55" spans="1:7" ht="14.25">
      <c r="A55" s="1189"/>
      <c r="B55" s="1179"/>
      <c r="C55" s="1179"/>
      <c r="D55" s="1179"/>
      <c r="E55" s="1179"/>
      <c r="F55" s="1179"/>
      <c r="G55" s="279"/>
    </row>
    <row r="56" spans="1:7" ht="14.25">
      <c r="A56" s="1189"/>
      <c r="B56" s="1179"/>
      <c r="C56" s="1179"/>
      <c r="D56" s="1179"/>
      <c r="E56" s="1179"/>
      <c r="F56" s="1179"/>
      <c r="G56" s="279"/>
    </row>
    <row r="57" spans="1:7" ht="14.25">
      <c r="A57" s="1189"/>
      <c r="B57" s="1179"/>
      <c r="C57" s="1179"/>
      <c r="D57" s="1179"/>
      <c r="E57" s="1179"/>
      <c r="F57" s="1179"/>
      <c r="G57" s="279"/>
    </row>
    <row r="58" spans="1:7" ht="14.25">
      <c r="A58" s="1189"/>
      <c r="B58" s="1179"/>
      <c r="C58" s="1179"/>
      <c r="D58" s="1179"/>
      <c r="E58" s="1179"/>
      <c r="F58" s="1179"/>
      <c r="G58" s="279"/>
    </row>
    <row r="59" spans="1:7" ht="14.25">
      <c r="A59" s="1189"/>
      <c r="B59" s="1179"/>
      <c r="C59" s="1179"/>
      <c r="D59" s="1179"/>
      <c r="E59" s="1179"/>
      <c r="F59" s="1179"/>
      <c r="G59" s="279"/>
    </row>
    <row r="60" spans="1:7" ht="14.25">
      <c r="A60" s="1189"/>
      <c r="B60" s="1179"/>
      <c r="C60" s="1179"/>
      <c r="D60" s="1179"/>
      <c r="E60" s="1179"/>
      <c r="F60" s="1179"/>
      <c r="G60" s="279"/>
    </row>
    <row r="61" spans="1:7" ht="14.25">
      <c r="A61" s="1189"/>
      <c r="B61" s="1179"/>
      <c r="C61" s="1179"/>
      <c r="D61" s="1179"/>
      <c r="E61" s="1179"/>
      <c r="F61" s="1179"/>
      <c r="G61" s="279"/>
    </row>
    <row r="62" spans="1:7" ht="14.25">
      <c r="A62" s="1189"/>
      <c r="B62" s="1179"/>
      <c r="C62" s="1179"/>
      <c r="D62" s="1179"/>
      <c r="E62" s="1179"/>
      <c r="F62" s="1179"/>
      <c r="G62" s="279"/>
    </row>
    <row r="63" spans="1:7" ht="14.25">
      <c r="A63" s="1189"/>
      <c r="B63" s="1179"/>
      <c r="C63" s="1179"/>
      <c r="D63" s="1179"/>
      <c r="E63" s="1179"/>
      <c r="F63" s="1179"/>
      <c r="G63" s="279"/>
    </row>
    <row r="64" spans="1:7" ht="14.25">
      <c r="A64" s="1189"/>
      <c r="B64" s="1179"/>
      <c r="C64" s="1179"/>
      <c r="D64" s="1179"/>
      <c r="E64" s="1179"/>
      <c r="F64" s="1179"/>
      <c r="G64" s="279"/>
    </row>
    <row r="65" spans="1:7" ht="14.25">
      <c r="A65" s="1189"/>
      <c r="B65" s="1179"/>
      <c r="C65" s="1179"/>
      <c r="D65" s="1179"/>
      <c r="E65" s="1179"/>
      <c r="F65" s="1179"/>
      <c r="G65" s="279"/>
    </row>
    <row r="66" spans="1:7" ht="14.25">
      <c r="A66" s="1189"/>
      <c r="B66" s="1179"/>
      <c r="C66" s="1179"/>
      <c r="D66" s="1179"/>
      <c r="E66" s="1179"/>
      <c r="F66" s="1179"/>
      <c r="G66" s="279"/>
    </row>
    <row r="67" spans="1:7" ht="14.25">
      <c r="A67" s="1189"/>
      <c r="B67" s="1179"/>
      <c r="C67" s="1179"/>
      <c r="D67" s="1179"/>
      <c r="E67" s="1179"/>
      <c r="F67" s="1179"/>
      <c r="G67" s="279"/>
    </row>
    <row r="68" spans="1:7" ht="14.25">
      <c r="A68" s="1189"/>
      <c r="B68" s="1179"/>
      <c r="C68" s="1179"/>
      <c r="D68" s="1179"/>
      <c r="E68" s="1179"/>
      <c r="F68" s="1179"/>
      <c r="G68" s="279"/>
    </row>
    <row r="69" spans="1:7" ht="14.25">
      <c r="A69" s="1189"/>
      <c r="B69" s="1179"/>
      <c r="C69" s="1179"/>
      <c r="D69" s="1179"/>
      <c r="E69" s="1179"/>
      <c r="F69" s="1179"/>
      <c r="G69" s="279"/>
    </row>
    <row r="70" spans="1:7" ht="14.25">
      <c r="A70" s="1189"/>
      <c r="B70" s="1179"/>
      <c r="C70" s="1179"/>
      <c r="D70" s="1179"/>
      <c r="E70" s="1179"/>
      <c r="F70" s="1179"/>
      <c r="G70" s="279"/>
    </row>
    <row r="71" spans="1:7" ht="14.25">
      <c r="A71" s="1189"/>
      <c r="B71" s="1179"/>
      <c r="C71" s="1179"/>
      <c r="D71" s="1179"/>
      <c r="E71" s="1179"/>
      <c r="F71" s="1179"/>
      <c r="G71" s="279"/>
    </row>
    <row r="72" spans="1:7" ht="14.25">
      <c r="A72" s="1189"/>
      <c r="B72" s="1179"/>
      <c r="C72" s="1179"/>
      <c r="D72" s="1179"/>
      <c r="E72" s="1179"/>
      <c r="F72" s="1179"/>
      <c r="G72" s="279"/>
    </row>
    <row r="73" spans="1:7" ht="14.25">
      <c r="A73" s="1189"/>
      <c r="B73" s="1179"/>
      <c r="C73" s="1179"/>
      <c r="D73" s="1179"/>
      <c r="E73" s="1179"/>
      <c r="F73" s="1179"/>
      <c r="G73" s="279"/>
    </row>
    <row r="74" spans="1:7" ht="14.25">
      <c r="A74" s="1189"/>
      <c r="B74" s="1179"/>
      <c r="C74" s="1179"/>
      <c r="D74" s="1179"/>
      <c r="E74" s="1179"/>
      <c r="F74" s="1179"/>
      <c r="G74" s="279"/>
    </row>
    <row r="75" spans="1:7" ht="14.25">
      <c r="A75" s="1189"/>
      <c r="B75" s="1179"/>
      <c r="C75" s="1179"/>
      <c r="D75" s="1179"/>
      <c r="E75" s="1179"/>
      <c r="F75" s="1179"/>
      <c r="G75" s="279"/>
    </row>
    <row r="76" spans="1:7" ht="14.25">
      <c r="A76" s="1189"/>
      <c r="B76" s="1179"/>
      <c r="C76" s="1179"/>
      <c r="D76" s="1179"/>
      <c r="E76" s="1179"/>
      <c r="F76" s="1179"/>
      <c r="G76" s="279"/>
    </row>
    <row r="77" spans="1:7" ht="14.25">
      <c r="A77" s="1189"/>
      <c r="B77" s="1179"/>
      <c r="C77" s="1179"/>
      <c r="D77" s="1179"/>
      <c r="E77" s="1179"/>
      <c r="F77" s="1179"/>
      <c r="G77" s="279"/>
    </row>
    <row r="78" spans="1:7" ht="14.25">
      <c r="A78" s="1189"/>
      <c r="B78" s="1179"/>
      <c r="C78" s="1179"/>
      <c r="D78" s="1179"/>
      <c r="E78" s="1179"/>
      <c r="F78" s="1179"/>
      <c r="G78" s="279"/>
    </row>
    <row r="79" spans="1:7" ht="14.25">
      <c r="A79" s="1189"/>
      <c r="B79" s="1179"/>
      <c r="C79" s="1179"/>
      <c r="D79" s="1179"/>
      <c r="E79" s="1179"/>
      <c r="F79" s="1179"/>
      <c r="G79" s="279"/>
    </row>
    <row r="80" spans="1:7" ht="14.25">
      <c r="A80" s="1189"/>
      <c r="B80" s="1179"/>
      <c r="C80" s="1179"/>
      <c r="D80" s="1179"/>
      <c r="E80" s="1179"/>
      <c r="F80" s="1179"/>
      <c r="G80" s="279"/>
    </row>
    <row r="81" spans="1:7" ht="14.25">
      <c r="A81" s="1189"/>
      <c r="B81" s="1179"/>
      <c r="C81" s="1179"/>
      <c r="D81" s="1179"/>
      <c r="E81" s="1179"/>
      <c r="F81" s="1179"/>
      <c r="G81" s="279"/>
    </row>
    <row r="82" spans="1:7" ht="14.25">
      <c r="A82" s="1189"/>
      <c r="B82" s="1179"/>
      <c r="C82" s="1179"/>
      <c r="D82" s="1179"/>
      <c r="E82" s="1179"/>
      <c r="F82" s="1179"/>
      <c r="G82" s="279"/>
    </row>
    <row r="83" spans="1:7" ht="14.25">
      <c r="A83" s="1189"/>
      <c r="B83" s="1179"/>
      <c r="C83" s="1179"/>
      <c r="D83" s="1179"/>
      <c r="E83" s="1179"/>
      <c r="F83" s="1179"/>
      <c r="G83" s="279"/>
    </row>
    <row r="84" spans="1:7" ht="14.25">
      <c r="A84" s="1189"/>
      <c r="B84" s="1179"/>
      <c r="C84" s="1179"/>
      <c r="D84" s="1179"/>
      <c r="E84" s="1179"/>
      <c r="F84" s="1179"/>
      <c r="G84" s="279"/>
    </row>
    <row r="85" spans="1:7" ht="14.25">
      <c r="A85" s="1189"/>
      <c r="B85" s="1179"/>
      <c r="C85" s="1179"/>
      <c r="D85" s="1179"/>
      <c r="E85" s="1179"/>
      <c r="F85" s="1179"/>
      <c r="G85" s="279"/>
    </row>
    <row r="86" spans="1:7" ht="14.25">
      <c r="A86" s="1189"/>
      <c r="B86" s="1179"/>
      <c r="C86" s="1179"/>
      <c r="D86" s="1179"/>
      <c r="E86" s="1179"/>
      <c r="F86" s="1179"/>
      <c r="G86" s="279"/>
    </row>
    <row r="87" spans="1:7" ht="14.25">
      <c r="A87" s="1189"/>
      <c r="B87" s="1179"/>
      <c r="C87" s="1179"/>
      <c r="D87" s="1179"/>
      <c r="E87" s="1179"/>
      <c r="F87" s="1179"/>
      <c r="G87" s="279"/>
    </row>
    <row r="88" spans="1:7" ht="14.25">
      <c r="A88" s="1189"/>
      <c r="B88" s="1179"/>
      <c r="C88" s="1179"/>
      <c r="D88" s="1179"/>
      <c r="E88" s="1179"/>
      <c r="F88" s="1179"/>
      <c r="G88" s="279"/>
    </row>
    <row r="89" spans="1:7" ht="14.25">
      <c r="A89" s="1189"/>
      <c r="B89" s="1179"/>
      <c r="C89" s="1179"/>
      <c r="D89" s="1179"/>
      <c r="E89" s="1179"/>
      <c r="F89" s="1179"/>
      <c r="G89" s="279"/>
    </row>
    <row r="90" spans="1:7" ht="14.25">
      <c r="A90" s="1189"/>
      <c r="B90" s="1179"/>
      <c r="C90" s="1179"/>
      <c r="D90" s="1179"/>
      <c r="E90" s="1179"/>
      <c r="F90" s="1179"/>
      <c r="G90" s="279"/>
    </row>
    <row r="91" spans="1:7" ht="14.25">
      <c r="A91" s="1189"/>
      <c r="B91" s="1179"/>
      <c r="C91" s="1179"/>
      <c r="D91" s="1179"/>
      <c r="E91" s="1179"/>
      <c r="F91" s="1179"/>
      <c r="G91" s="279"/>
    </row>
    <row r="92" spans="1:7" ht="14.25">
      <c r="A92" s="1189"/>
      <c r="B92" s="1179"/>
      <c r="C92" s="1179"/>
      <c r="D92" s="1179"/>
      <c r="E92" s="1179"/>
      <c r="F92" s="1179"/>
      <c r="G92" s="279"/>
    </row>
    <row r="93" spans="1:7" ht="14.25">
      <c r="A93" s="1189"/>
      <c r="B93" s="1179"/>
      <c r="C93" s="1179"/>
      <c r="D93" s="1179"/>
      <c r="E93" s="1179"/>
      <c r="F93" s="1179"/>
      <c r="G93" s="279"/>
    </row>
    <row r="94" spans="1:7" ht="14.25">
      <c r="A94" s="1189"/>
      <c r="B94" s="1179"/>
      <c r="C94" s="1179"/>
      <c r="D94" s="1179"/>
      <c r="E94" s="1179"/>
      <c r="F94" s="1179"/>
      <c r="G94" s="279"/>
    </row>
    <row r="95" spans="1:7" ht="14.25">
      <c r="A95" s="1189"/>
      <c r="B95" s="1179"/>
      <c r="C95" s="1179"/>
      <c r="D95" s="1179"/>
      <c r="E95" s="1179"/>
      <c r="F95" s="1179"/>
      <c r="G95" s="279"/>
    </row>
    <row r="96" spans="1:7" ht="14.25">
      <c r="A96" s="1189"/>
      <c r="B96" s="1179"/>
      <c r="C96" s="1179"/>
      <c r="D96" s="1179"/>
      <c r="E96" s="1179"/>
      <c r="F96" s="1179"/>
      <c r="G96" s="279"/>
    </row>
    <row r="97" spans="1:7" ht="14.25">
      <c r="A97" s="1189"/>
      <c r="B97" s="1179"/>
      <c r="C97" s="1179"/>
      <c r="D97" s="1179"/>
      <c r="E97" s="1179"/>
      <c r="F97" s="1179"/>
      <c r="G97" s="279"/>
    </row>
    <row r="98" spans="1:7" ht="14.25">
      <c r="A98" s="1189"/>
      <c r="B98" s="1179"/>
      <c r="C98" s="1179"/>
      <c r="D98" s="1179"/>
      <c r="E98" s="1179"/>
      <c r="F98" s="1179"/>
      <c r="G98" s="279"/>
    </row>
    <row r="99" spans="1:7" ht="14.25">
      <c r="A99" s="1189"/>
      <c r="B99" s="1179"/>
      <c r="C99" s="1179"/>
      <c r="D99" s="1179"/>
      <c r="E99" s="1179"/>
      <c r="F99" s="1179"/>
      <c r="G99" s="279"/>
    </row>
    <row r="100" spans="1:7" ht="14.25">
      <c r="A100" s="1189"/>
      <c r="B100" s="1179"/>
      <c r="C100" s="1179"/>
      <c r="D100" s="1179"/>
      <c r="E100" s="1179"/>
      <c r="F100" s="1179"/>
      <c r="G100" s="279"/>
    </row>
    <row r="101" spans="1:7" ht="14.25">
      <c r="A101" s="1189"/>
      <c r="B101" s="1179"/>
      <c r="C101" s="1179"/>
      <c r="D101" s="1179"/>
      <c r="E101" s="1179"/>
      <c r="F101" s="1179"/>
      <c r="G101" s="279"/>
    </row>
    <row r="102" spans="1:7" ht="14.25">
      <c r="A102" s="1189"/>
      <c r="B102" s="1179"/>
      <c r="C102" s="1179"/>
      <c r="D102" s="1179"/>
      <c r="E102" s="1179"/>
      <c r="F102" s="1179"/>
      <c r="G102" s="279"/>
    </row>
    <row r="103" spans="1:7" ht="14.25">
      <c r="A103" s="1189"/>
      <c r="B103" s="1179"/>
      <c r="C103" s="1179"/>
      <c r="D103" s="1179"/>
      <c r="E103" s="1179"/>
      <c r="F103" s="1179"/>
      <c r="G103" s="279"/>
    </row>
    <row r="104" spans="1:7" ht="14.25">
      <c r="A104" s="1189"/>
      <c r="B104" s="1179"/>
      <c r="C104" s="1179"/>
      <c r="D104" s="1179"/>
      <c r="E104" s="1179"/>
      <c r="F104" s="1179"/>
      <c r="G104" s="279"/>
    </row>
    <row r="105" spans="1:7" ht="14.25">
      <c r="A105" s="1189"/>
      <c r="B105" s="1179"/>
      <c r="C105" s="1179"/>
      <c r="D105" s="1179"/>
      <c r="E105" s="1179"/>
      <c r="F105" s="1179"/>
      <c r="G105" s="279"/>
    </row>
    <row r="106" spans="1:7" ht="14.25">
      <c r="A106" s="1189"/>
      <c r="B106" s="1179"/>
      <c r="C106" s="1179"/>
      <c r="D106" s="1179"/>
      <c r="E106" s="1179"/>
      <c r="F106" s="1179"/>
      <c r="G106" s="279"/>
    </row>
    <row r="107" spans="1:7" ht="14.25">
      <c r="A107" s="1189"/>
      <c r="B107" s="1179"/>
      <c r="C107" s="1179"/>
      <c r="D107" s="1179"/>
      <c r="E107" s="1179"/>
      <c r="F107" s="1179"/>
      <c r="G107" s="279"/>
    </row>
    <row r="108" spans="1:7" ht="14.25">
      <c r="A108" s="1189"/>
      <c r="B108" s="1179"/>
      <c r="C108" s="1179"/>
      <c r="D108" s="1179"/>
      <c r="E108" s="1179"/>
      <c r="F108" s="1179"/>
      <c r="G108" s="279"/>
    </row>
    <row r="109" spans="1:7" ht="14.25">
      <c r="A109" s="1189"/>
      <c r="B109" s="1179"/>
      <c r="C109" s="1179"/>
      <c r="D109" s="1179"/>
      <c r="E109" s="1179"/>
      <c r="F109" s="1179"/>
      <c r="G109" s="279"/>
    </row>
    <row r="110" spans="1:7" ht="14.25">
      <c r="A110" s="1189"/>
      <c r="B110" s="1179"/>
      <c r="C110" s="1179"/>
      <c r="D110" s="1179"/>
      <c r="E110" s="1179"/>
      <c r="F110" s="1179"/>
      <c r="G110" s="279"/>
    </row>
    <row r="111" spans="1:7" ht="14.25">
      <c r="A111" s="1189"/>
      <c r="B111" s="1179"/>
      <c r="C111" s="1179"/>
      <c r="D111" s="1179"/>
      <c r="E111" s="1179"/>
      <c r="F111" s="1179"/>
      <c r="G111" s="279"/>
    </row>
    <row r="112" spans="1:7" ht="14.25">
      <c r="A112" s="1189"/>
      <c r="B112" s="1179"/>
      <c r="C112" s="1179"/>
      <c r="D112" s="1179"/>
      <c r="E112" s="1179"/>
      <c r="F112" s="1179"/>
      <c r="G112" s="279"/>
    </row>
    <row r="113" spans="1:7" ht="14.25">
      <c r="A113" s="1189"/>
      <c r="B113" s="1179"/>
      <c r="C113" s="1179"/>
      <c r="D113" s="1179"/>
      <c r="E113" s="1179"/>
      <c r="F113" s="1179"/>
      <c r="G113" s="279"/>
    </row>
    <row r="114" spans="1:7" ht="14.25">
      <c r="A114" s="1189"/>
      <c r="B114" s="1179"/>
      <c r="C114" s="1179"/>
      <c r="D114" s="1179"/>
      <c r="E114" s="1179"/>
      <c r="F114" s="1179"/>
      <c r="G114" s="279"/>
    </row>
    <row r="115" spans="1:7" ht="14.25">
      <c r="A115" s="1189"/>
      <c r="B115" s="1179"/>
      <c r="C115" s="1179"/>
      <c r="D115" s="1179"/>
      <c r="E115" s="1179"/>
      <c r="F115" s="1179"/>
      <c r="G115" s="279"/>
    </row>
    <row r="116" spans="1:7" ht="14.25">
      <c r="A116" s="1189"/>
      <c r="B116" s="1179"/>
      <c r="C116" s="1179"/>
      <c r="D116" s="1179"/>
      <c r="E116" s="1179"/>
      <c r="F116" s="1179"/>
      <c r="G116" s="279"/>
    </row>
    <row r="117" spans="1:7" ht="14.25">
      <c r="A117" s="1189"/>
      <c r="B117" s="1179"/>
      <c r="C117" s="1179"/>
      <c r="D117" s="1179"/>
      <c r="E117" s="1179"/>
      <c r="F117" s="1179"/>
      <c r="G117" s="279"/>
    </row>
    <row r="118" spans="1:7" ht="14.25">
      <c r="A118" s="1189"/>
      <c r="B118" s="1179"/>
      <c r="C118" s="1179"/>
      <c r="D118" s="1179"/>
      <c r="E118" s="1179"/>
      <c r="F118" s="1179"/>
      <c r="G118" s="279"/>
    </row>
    <row r="119" spans="1:7" ht="14.25">
      <c r="A119" s="1189"/>
      <c r="B119" s="1179"/>
      <c r="C119" s="1179"/>
      <c r="D119" s="1179"/>
      <c r="E119" s="1179"/>
      <c r="F119" s="1179"/>
      <c r="G119" s="279"/>
    </row>
    <row r="120" spans="1:7" ht="14.25">
      <c r="A120" s="1189"/>
      <c r="B120" s="1179"/>
      <c r="C120" s="1179"/>
      <c r="D120" s="1179"/>
      <c r="E120" s="1179"/>
      <c r="F120" s="1179"/>
      <c r="G120" s="279"/>
    </row>
    <row r="121" spans="1:7" ht="14.25">
      <c r="A121" s="1189"/>
      <c r="B121" s="1179"/>
      <c r="C121" s="1179"/>
      <c r="D121" s="1179"/>
      <c r="E121" s="1179"/>
      <c r="F121" s="1179"/>
      <c r="G121" s="279"/>
    </row>
    <row r="122" spans="1:7" ht="14.25">
      <c r="A122" s="1189"/>
      <c r="B122" s="1179"/>
      <c r="C122" s="1179"/>
      <c r="D122" s="1179"/>
      <c r="E122" s="1179"/>
      <c r="F122" s="1179"/>
      <c r="G122" s="279"/>
    </row>
    <row r="123" spans="1:7" ht="14.25">
      <c r="A123" s="1189"/>
      <c r="B123" s="1179"/>
      <c r="C123" s="1179"/>
      <c r="D123" s="1179"/>
      <c r="E123" s="1179"/>
      <c r="F123" s="1179"/>
      <c r="G123" s="279"/>
    </row>
    <row r="124" spans="1:7" ht="14.25">
      <c r="A124" s="1189"/>
      <c r="B124" s="1179"/>
      <c r="C124" s="1179"/>
      <c r="D124" s="1179"/>
      <c r="E124" s="1179"/>
      <c r="F124" s="1179"/>
      <c r="G124" s="279"/>
    </row>
    <row r="125" spans="1:7" ht="14.25">
      <c r="A125" s="1189"/>
      <c r="B125" s="1179"/>
      <c r="C125" s="1179"/>
      <c r="D125" s="1179"/>
      <c r="E125" s="1179"/>
      <c r="F125" s="1179"/>
      <c r="G125" s="279"/>
    </row>
    <row r="126" spans="1:7" ht="14.25">
      <c r="A126" s="1189"/>
      <c r="B126" s="1179"/>
      <c r="C126" s="1179"/>
      <c r="D126" s="1179"/>
      <c r="E126" s="1179"/>
      <c r="F126" s="1179"/>
      <c r="G126" s="279"/>
    </row>
    <row r="127" spans="1:7" ht="14.25">
      <c r="A127" s="1189"/>
      <c r="B127" s="1179"/>
      <c r="C127" s="1179"/>
      <c r="D127" s="1179"/>
      <c r="E127" s="1179"/>
      <c r="F127" s="1179"/>
      <c r="G127" s="279"/>
    </row>
    <row r="128" spans="1:7" ht="14.25">
      <c r="A128" s="1189"/>
      <c r="B128" s="1179"/>
      <c r="C128" s="1179"/>
      <c r="D128" s="1179"/>
      <c r="E128" s="1179"/>
      <c r="F128" s="1179"/>
      <c r="G128" s="279"/>
    </row>
    <row r="129" spans="1:7" ht="14.25">
      <c r="A129" s="1189"/>
      <c r="B129" s="1179"/>
      <c r="C129" s="1179"/>
      <c r="D129" s="1179"/>
      <c r="E129" s="1179"/>
      <c r="F129" s="1179"/>
      <c r="G129" s="279"/>
    </row>
    <row r="130" spans="1:7" ht="14.25">
      <c r="A130" s="1189"/>
      <c r="B130" s="1179"/>
      <c r="C130" s="1179"/>
      <c r="D130" s="1179"/>
      <c r="E130" s="1179"/>
      <c r="F130" s="1179"/>
      <c r="G130" s="279"/>
    </row>
    <row r="131" spans="1:7" ht="14.25">
      <c r="A131" s="1189"/>
      <c r="B131" s="1179"/>
      <c r="C131" s="1179"/>
      <c r="D131" s="1179"/>
      <c r="E131" s="1179"/>
      <c r="F131" s="1179"/>
      <c r="G131" s="279"/>
    </row>
    <row r="132" spans="1:7" ht="14.25">
      <c r="A132" s="1189"/>
      <c r="B132" s="1179"/>
      <c r="C132" s="1179"/>
      <c r="D132" s="1179"/>
      <c r="E132" s="1179"/>
      <c r="F132" s="1179"/>
      <c r="G132" s="279"/>
    </row>
    <row r="133" spans="1:7" ht="14.25">
      <c r="A133" s="1189"/>
      <c r="B133" s="1179"/>
      <c r="C133" s="1179"/>
      <c r="D133" s="1179"/>
      <c r="E133" s="1179"/>
      <c r="F133" s="1179"/>
      <c r="G133" s="279"/>
    </row>
    <row r="134" spans="1:7" ht="14.25">
      <c r="A134" s="1189"/>
      <c r="B134" s="1179"/>
      <c r="C134" s="1179"/>
      <c r="D134" s="1179"/>
      <c r="E134" s="1179"/>
      <c r="F134" s="1179"/>
      <c r="G134" s="279"/>
    </row>
    <row r="135" spans="1:7" ht="14.25">
      <c r="A135" s="1189"/>
      <c r="B135" s="1179"/>
      <c r="C135" s="1179"/>
      <c r="D135" s="1179"/>
      <c r="E135" s="1179"/>
      <c r="F135" s="1179"/>
      <c r="G135" s="279"/>
    </row>
    <row r="136" spans="1:7" ht="14.25">
      <c r="A136" s="1189"/>
      <c r="B136" s="1179"/>
      <c r="C136" s="1179"/>
      <c r="D136" s="1179"/>
      <c r="E136" s="1179"/>
      <c r="F136" s="1179"/>
      <c r="G136" s="279"/>
    </row>
    <row r="137" spans="1:7" ht="14.25">
      <c r="A137" s="1189"/>
      <c r="B137" s="1179"/>
      <c r="C137" s="1179"/>
      <c r="D137" s="1179"/>
      <c r="E137" s="1179"/>
      <c r="F137" s="1179"/>
      <c r="G137" s="279"/>
    </row>
    <row r="138" spans="1:7" ht="14.25">
      <c r="A138" s="1189"/>
      <c r="B138" s="1179"/>
      <c r="C138" s="1179"/>
      <c r="D138" s="1179"/>
      <c r="E138" s="1179"/>
      <c r="F138" s="1179"/>
      <c r="G138" s="279"/>
    </row>
    <row r="139" spans="1:7" ht="14.25">
      <c r="A139" s="1189"/>
      <c r="B139" s="1179"/>
      <c r="C139" s="1179"/>
      <c r="D139" s="1179"/>
      <c r="E139" s="1179"/>
      <c r="F139" s="1179"/>
      <c r="G139" s="279"/>
    </row>
    <row r="140" spans="1:7" ht="14.25">
      <c r="A140" s="1189"/>
      <c r="B140" s="1179"/>
      <c r="C140" s="1179"/>
      <c r="D140" s="1179"/>
      <c r="E140" s="1179"/>
      <c r="F140" s="1179"/>
      <c r="G140" s="279"/>
    </row>
    <row r="141" spans="1:7" ht="14.25">
      <c r="A141" s="1189"/>
      <c r="B141" s="1179"/>
      <c r="C141" s="1179"/>
      <c r="D141" s="1179"/>
      <c r="E141" s="1179"/>
      <c r="F141" s="1179"/>
      <c r="G141" s="279"/>
    </row>
    <row r="142" spans="1:7" ht="14.25">
      <c r="A142" s="1189"/>
      <c r="B142" s="1179"/>
      <c r="C142" s="1179"/>
      <c r="D142" s="1179"/>
      <c r="E142" s="1179"/>
      <c r="F142" s="1179"/>
      <c r="G142" s="279"/>
    </row>
    <row r="143" spans="1:7" ht="14.25">
      <c r="A143" s="1189"/>
      <c r="B143" s="1179"/>
      <c r="C143" s="1179"/>
      <c r="D143" s="1179"/>
      <c r="E143" s="1179"/>
      <c r="F143" s="1179"/>
      <c r="G143" s="279"/>
    </row>
    <row r="144" spans="1:7" ht="14.25">
      <c r="A144" s="1189"/>
      <c r="B144" s="1179"/>
      <c r="C144" s="1179"/>
      <c r="D144" s="1179"/>
      <c r="E144" s="1179"/>
      <c r="F144" s="1179"/>
      <c r="G144" s="279"/>
    </row>
    <row r="145" spans="1:7" ht="14.25">
      <c r="A145" s="1189"/>
      <c r="B145" s="1179"/>
      <c r="C145" s="1179"/>
      <c r="D145" s="1179"/>
      <c r="E145" s="1179"/>
      <c r="F145" s="1179"/>
      <c r="G145" s="279"/>
    </row>
    <row r="146" spans="1:7" ht="14.25">
      <c r="A146" s="1189"/>
      <c r="B146" s="1179"/>
      <c r="C146" s="1179"/>
      <c r="D146" s="1179"/>
      <c r="E146" s="1179"/>
      <c r="F146" s="1179"/>
      <c r="G146" s="279"/>
    </row>
    <row r="147" spans="1:7" ht="14.25">
      <c r="A147" s="1189"/>
      <c r="B147" s="1179"/>
      <c r="C147" s="1179"/>
      <c r="D147" s="1179"/>
      <c r="E147" s="1179"/>
      <c r="F147" s="1179"/>
      <c r="G147" s="279"/>
    </row>
    <row r="148" spans="1:7" ht="14.25">
      <c r="A148" s="1189"/>
      <c r="B148" s="1179"/>
      <c r="C148" s="1179"/>
      <c r="D148" s="1179"/>
      <c r="E148" s="1179"/>
      <c r="F148" s="1179"/>
      <c r="G148" s="279"/>
    </row>
    <row r="149" spans="1:7" ht="14.25">
      <c r="A149" s="1189"/>
      <c r="B149" s="1179"/>
      <c r="C149" s="1179"/>
      <c r="D149" s="1179"/>
      <c r="E149" s="1179"/>
      <c r="F149" s="1179"/>
      <c r="G149" s="279"/>
    </row>
    <row r="150" spans="1:7" ht="14.25">
      <c r="A150" s="1189"/>
      <c r="B150" s="1179"/>
      <c r="C150" s="1179"/>
      <c r="D150" s="1179"/>
      <c r="E150" s="1179"/>
      <c r="F150" s="1179"/>
      <c r="G150" s="279"/>
    </row>
    <row r="151" spans="1:7" ht="14.25">
      <c r="A151" s="1189"/>
      <c r="B151" s="1179"/>
      <c r="C151" s="1179"/>
      <c r="D151" s="1179"/>
      <c r="E151" s="1179"/>
      <c r="F151" s="1179"/>
      <c r="G151" s="279"/>
    </row>
    <row r="152" spans="1:7" ht="14.25">
      <c r="A152" s="1189"/>
      <c r="B152" s="1179"/>
      <c r="C152" s="1179"/>
      <c r="D152" s="1179"/>
      <c r="E152" s="1179"/>
      <c r="F152" s="1179"/>
      <c r="G152" s="279"/>
    </row>
    <row r="153" spans="1:7" ht="14.25">
      <c r="A153" s="1189"/>
      <c r="B153" s="1179"/>
      <c r="C153" s="1179"/>
      <c r="D153" s="1179"/>
      <c r="E153" s="1179"/>
      <c r="F153" s="1179"/>
      <c r="G153" s="279"/>
    </row>
    <row r="154" spans="1:7" ht="14.25">
      <c r="A154" s="1189"/>
      <c r="B154" s="1179"/>
      <c r="C154" s="1179"/>
      <c r="D154" s="1179"/>
      <c r="E154" s="1179"/>
      <c r="F154" s="1179"/>
      <c r="G154" s="279"/>
    </row>
    <row r="155" spans="1:7" ht="14.25">
      <c r="A155" s="1189"/>
      <c r="B155" s="1179"/>
      <c r="C155" s="1179"/>
      <c r="D155" s="1179"/>
      <c r="E155" s="1179"/>
      <c r="F155" s="1179"/>
      <c r="G155" s="279"/>
    </row>
    <row r="156" spans="1:7" ht="14.25">
      <c r="A156" s="1189"/>
      <c r="B156" s="1179"/>
      <c r="C156" s="1179"/>
      <c r="D156" s="1179"/>
      <c r="E156" s="1179"/>
      <c r="F156" s="1179"/>
      <c r="G156" s="279"/>
    </row>
    <row r="157" spans="1:7" ht="14.25">
      <c r="A157" s="1189"/>
      <c r="B157" s="1179"/>
      <c r="C157" s="1179"/>
      <c r="D157" s="1179"/>
      <c r="E157" s="1179"/>
      <c r="F157" s="1179"/>
      <c r="G157" s="279"/>
    </row>
    <row r="158" spans="1:7" ht="14.25">
      <c r="A158" s="1189"/>
      <c r="B158" s="1179"/>
      <c r="C158" s="1179"/>
      <c r="D158" s="1179"/>
      <c r="E158" s="1179"/>
      <c r="F158" s="1179"/>
      <c r="G158" s="279"/>
    </row>
    <row r="159" spans="1:7" ht="14.25">
      <c r="A159" s="1189"/>
      <c r="B159" s="1179"/>
      <c r="C159" s="1179"/>
      <c r="D159" s="1179"/>
      <c r="E159" s="1179"/>
      <c r="F159" s="1179"/>
      <c r="G159" s="279"/>
    </row>
    <row r="160" spans="1:7" ht="14.25">
      <c r="A160" s="1189"/>
      <c r="B160" s="1179"/>
      <c r="C160" s="1179"/>
      <c r="D160" s="1179"/>
      <c r="E160" s="1179"/>
      <c r="F160" s="1179"/>
      <c r="G160" s="279"/>
    </row>
    <row r="161" spans="1:7" ht="14.25">
      <c r="A161" s="1189"/>
      <c r="B161" s="1179"/>
      <c r="C161" s="1179"/>
      <c r="D161" s="1179"/>
      <c r="E161" s="1179"/>
      <c r="F161" s="1179"/>
      <c r="G161" s="279"/>
    </row>
    <row r="162" spans="1:7" ht="14.25">
      <c r="A162" s="1189"/>
      <c r="B162" s="1179"/>
      <c r="C162" s="1179"/>
      <c r="D162" s="1179"/>
      <c r="E162" s="1179"/>
      <c r="F162" s="1179"/>
      <c r="G162" s="279"/>
    </row>
    <row r="163" spans="1:7" ht="14.25">
      <c r="A163" s="1189"/>
      <c r="B163" s="1179"/>
      <c r="C163" s="1179"/>
      <c r="D163" s="1179"/>
      <c r="E163" s="1179"/>
      <c r="F163" s="1179"/>
      <c r="G163" s="279"/>
    </row>
    <row r="164" spans="1:7" ht="14.25">
      <c r="A164" s="1189"/>
      <c r="B164" s="1179"/>
      <c r="C164" s="1179"/>
      <c r="D164" s="1179"/>
      <c r="E164" s="1179"/>
      <c r="F164" s="1179"/>
      <c r="G164" s="279"/>
    </row>
    <row r="165" spans="1:7" ht="14.25">
      <c r="A165" s="1189"/>
      <c r="B165" s="1179"/>
      <c r="C165" s="1179"/>
      <c r="D165" s="1179"/>
      <c r="E165" s="1179"/>
      <c r="F165" s="1179"/>
      <c r="G165" s="279"/>
    </row>
    <row r="166" spans="1:7" ht="14.25">
      <c r="A166" s="1189"/>
      <c r="B166" s="1179"/>
      <c r="C166" s="1179"/>
      <c r="D166" s="1179"/>
      <c r="E166" s="1179"/>
      <c r="F166" s="1179"/>
      <c r="G166" s="279"/>
    </row>
    <row r="167" spans="1:7" ht="14.25">
      <c r="A167" s="1189"/>
      <c r="B167" s="1179"/>
      <c r="C167" s="1179"/>
      <c r="D167" s="1179"/>
      <c r="E167" s="1179"/>
      <c r="F167" s="1179"/>
      <c r="G167" s="279"/>
    </row>
    <row r="168" spans="1:7" ht="14.25">
      <c r="A168" s="1189"/>
      <c r="B168" s="1179"/>
      <c r="C168" s="1179"/>
      <c r="D168" s="1179"/>
      <c r="E168" s="1179"/>
      <c r="F168" s="1179"/>
      <c r="G168" s="279"/>
    </row>
    <row r="169" spans="1:7" ht="14.25">
      <c r="A169" s="1189"/>
      <c r="B169" s="1179"/>
      <c r="C169" s="1179"/>
      <c r="D169" s="1179"/>
      <c r="E169" s="1179"/>
      <c r="F169" s="1179"/>
      <c r="G169" s="279"/>
    </row>
    <row r="170" spans="1:7" ht="14.25">
      <c r="A170" s="1189"/>
      <c r="B170" s="1179"/>
      <c r="C170" s="1179"/>
      <c r="D170" s="1179"/>
      <c r="E170" s="1179"/>
      <c r="F170" s="1179"/>
      <c r="G170" s="279"/>
    </row>
    <row r="171" spans="1:7" ht="14.25">
      <c r="A171" s="1189"/>
      <c r="B171" s="1179"/>
      <c r="C171" s="1179"/>
      <c r="D171" s="1179"/>
      <c r="E171" s="1179"/>
      <c r="F171" s="1179"/>
      <c r="G171" s="279"/>
    </row>
    <row r="172" spans="1:7" ht="14.25">
      <c r="A172" s="1189"/>
      <c r="B172" s="1179"/>
      <c r="C172" s="1179"/>
      <c r="D172" s="1179"/>
      <c r="E172" s="1179"/>
      <c r="F172" s="1179"/>
      <c r="G172" s="279"/>
    </row>
    <row r="173" spans="1:7" ht="14.25">
      <c r="A173" s="1189"/>
      <c r="B173" s="1179"/>
      <c r="C173" s="1179"/>
      <c r="D173" s="1179"/>
      <c r="E173" s="1179"/>
      <c r="F173" s="1179"/>
      <c r="G173" s="279"/>
    </row>
    <row r="174" spans="1:7" ht="14.25">
      <c r="A174" s="1189"/>
      <c r="B174" s="1179"/>
      <c r="C174" s="1179"/>
      <c r="D174" s="1179"/>
      <c r="E174" s="1179"/>
      <c r="F174" s="1179"/>
      <c r="G174" s="279"/>
    </row>
    <row r="175" spans="1:7" ht="14.25">
      <c r="A175" s="1189"/>
      <c r="B175" s="1179"/>
      <c r="C175" s="1179"/>
      <c r="D175" s="1179"/>
      <c r="E175" s="1179"/>
      <c r="F175" s="1179"/>
      <c r="G175" s="279"/>
    </row>
    <row r="176" spans="1:7" ht="14.25">
      <c r="A176" s="1189"/>
      <c r="B176" s="1179"/>
      <c r="C176" s="1179"/>
      <c r="D176" s="1179"/>
      <c r="E176" s="1179"/>
      <c r="F176" s="1179"/>
      <c r="G176" s="279"/>
    </row>
    <row r="177" spans="1:7" ht="14.25">
      <c r="A177" s="1189"/>
      <c r="B177" s="1179"/>
      <c r="C177" s="1179"/>
      <c r="D177" s="1179"/>
      <c r="E177" s="1179"/>
      <c r="F177" s="1179"/>
      <c r="G177" s="279"/>
    </row>
    <row r="178" spans="1:7" ht="14.25">
      <c r="A178" s="1189"/>
      <c r="B178" s="1179"/>
      <c r="C178" s="1179"/>
      <c r="D178" s="1179"/>
      <c r="E178" s="1179"/>
      <c r="F178" s="1179"/>
      <c r="G178" s="279"/>
    </row>
    <row r="179" spans="1:7" ht="14.25">
      <c r="A179" s="1189"/>
      <c r="B179" s="1179"/>
      <c r="C179" s="1179"/>
      <c r="D179" s="1179"/>
      <c r="E179" s="1179"/>
      <c r="F179" s="1179"/>
      <c r="G179" s="279"/>
    </row>
    <row r="180" spans="1:7" ht="14.25">
      <c r="A180" s="1189"/>
      <c r="B180" s="1179"/>
      <c r="C180" s="1179"/>
      <c r="D180" s="1179"/>
      <c r="E180" s="1179"/>
      <c r="F180" s="1179"/>
      <c r="G180" s="279"/>
    </row>
    <row r="181" spans="1:7" ht="14.25">
      <c r="A181" s="1189"/>
      <c r="B181" s="1179"/>
      <c r="C181" s="1179"/>
      <c r="D181" s="1179"/>
      <c r="E181" s="1179"/>
      <c r="F181" s="1179"/>
      <c r="G181" s="279"/>
    </row>
    <row r="182" spans="1:7" ht="14.25">
      <c r="A182" s="1189"/>
      <c r="B182" s="1179"/>
      <c r="C182" s="1179"/>
      <c r="D182" s="1179"/>
      <c r="E182" s="1179"/>
      <c r="F182" s="1179"/>
      <c r="G182" s="279"/>
    </row>
    <row r="183" spans="1:7" ht="14.25">
      <c r="A183" s="1189"/>
      <c r="B183" s="1179"/>
      <c r="C183" s="1179"/>
      <c r="D183" s="1179"/>
      <c r="E183" s="1179"/>
      <c r="F183" s="1179"/>
      <c r="G183" s="279"/>
    </row>
    <row r="184" spans="1:7" ht="14.25">
      <c r="A184" s="1189"/>
      <c r="B184" s="1179"/>
      <c r="C184" s="1179"/>
      <c r="D184" s="1179"/>
      <c r="E184" s="1179"/>
      <c r="F184" s="1179"/>
      <c r="G184" s="279"/>
    </row>
    <row r="185" spans="1:7" ht="14.25">
      <c r="A185" s="1189"/>
      <c r="B185" s="1179"/>
      <c r="C185" s="1179"/>
      <c r="D185" s="1179"/>
      <c r="E185" s="1179"/>
      <c r="F185" s="1179"/>
      <c r="G185" s="279"/>
    </row>
    <row r="186" spans="1:7" ht="14.25">
      <c r="A186" s="1189"/>
      <c r="B186" s="1179"/>
      <c r="C186" s="1179"/>
      <c r="D186" s="1179"/>
      <c r="E186" s="1179"/>
      <c r="F186" s="1179"/>
      <c r="G186" s="279"/>
    </row>
    <row r="187" spans="1:7" ht="14.25">
      <c r="A187" s="1189"/>
      <c r="B187" s="1179"/>
      <c r="C187" s="1179"/>
      <c r="D187" s="1179"/>
      <c r="E187" s="1179"/>
      <c r="F187" s="1179"/>
      <c r="G187" s="279"/>
    </row>
    <row r="188" spans="1:7" ht="14.25">
      <c r="A188" s="1189"/>
      <c r="B188" s="1179"/>
      <c r="C188" s="1179"/>
      <c r="D188" s="1179"/>
      <c r="E188" s="1179"/>
      <c r="F188" s="1179"/>
      <c r="G188" s="279"/>
    </row>
    <row r="189" spans="1:7" ht="14.25">
      <c r="A189" s="1189"/>
      <c r="B189" s="1179"/>
      <c r="C189" s="1179"/>
      <c r="D189" s="1179"/>
      <c r="E189" s="1179"/>
      <c r="F189" s="1179"/>
      <c r="G189" s="279"/>
    </row>
    <row r="190" spans="1:7" ht="14.25">
      <c r="A190" s="1189"/>
      <c r="B190" s="1179"/>
      <c r="C190" s="1179"/>
      <c r="D190" s="1179"/>
      <c r="E190" s="1179"/>
      <c r="F190" s="1179"/>
      <c r="G190" s="279"/>
    </row>
    <row r="191" spans="1:7" ht="14.25">
      <c r="A191" s="1189"/>
      <c r="B191" s="1179"/>
      <c r="C191" s="1179"/>
      <c r="D191" s="1179"/>
      <c r="E191" s="1179"/>
      <c r="F191" s="1179"/>
      <c r="G191" s="279"/>
    </row>
    <row r="192" spans="1:7" ht="14.25">
      <c r="A192" s="1189"/>
      <c r="B192" s="1179"/>
      <c r="C192" s="1179"/>
      <c r="D192" s="1179"/>
      <c r="E192" s="1179"/>
      <c r="F192" s="1179"/>
      <c r="G192" s="279"/>
    </row>
    <row r="193" spans="1:7" ht="14.25">
      <c r="A193" s="1189"/>
      <c r="B193" s="1179"/>
      <c r="C193" s="1179"/>
      <c r="D193" s="1179"/>
      <c r="E193" s="1179"/>
      <c r="F193" s="1179"/>
      <c r="G193" s="279"/>
    </row>
    <row r="194" spans="1:7" ht="14.25">
      <c r="A194" s="1189"/>
      <c r="B194" s="1179"/>
      <c r="C194" s="1179"/>
      <c r="D194" s="1179"/>
      <c r="E194" s="1179"/>
      <c r="F194" s="1179"/>
      <c r="G194" s="279"/>
    </row>
    <row r="195" spans="1:7" ht="14.25">
      <c r="A195" s="1189"/>
      <c r="B195" s="1179"/>
      <c r="C195" s="1179"/>
      <c r="D195" s="1179"/>
      <c r="E195" s="1179"/>
      <c r="F195" s="1179"/>
      <c r="G195" s="279"/>
    </row>
    <row r="196" spans="1:7" ht="14.25">
      <c r="A196" s="1189"/>
      <c r="B196" s="1179"/>
      <c r="C196" s="1179"/>
      <c r="D196" s="1179"/>
      <c r="E196" s="1179"/>
      <c r="F196" s="1179"/>
      <c r="G196" s="279"/>
    </row>
    <row r="197" spans="1:7" ht="14.25">
      <c r="A197" s="1189"/>
      <c r="B197" s="1179"/>
      <c r="C197" s="1179"/>
      <c r="D197" s="1179"/>
      <c r="E197" s="1179"/>
      <c r="F197" s="1179"/>
      <c r="G197" s="279"/>
    </row>
    <row r="198" spans="1:7" ht="14.25">
      <c r="A198" s="1189"/>
      <c r="B198" s="1179"/>
      <c r="C198" s="1179"/>
      <c r="D198" s="1179"/>
      <c r="E198" s="1179"/>
      <c r="F198" s="1179"/>
      <c r="G198" s="279"/>
    </row>
    <row r="199" spans="1:7" ht="14.25">
      <c r="A199" s="1189"/>
      <c r="B199" s="1179"/>
      <c r="C199" s="1179"/>
      <c r="D199" s="1179"/>
      <c r="E199" s="1179"/>
      <c r="F199" s="1179"/>
      <c r="G199" s="279"/>
    </row>
    <row r="200" spans="1:7" ht="14.25">
      <c r="A200" s="1189"/>
      <c r="B200" s="1179"/>
      <c r="C200" s="1179"/>
      <c r="D200" s="1179"/>
      <c r="E200" s="1179"/>
      <c r="F200" s="1179"/>
      <c r="G200" s="279"/>
    </row>
    <row r="201" spans="1:7" ht="14.25">
      <c r="A201" s="1189"/>
      <c r="B201" s="1179"/>
      <c r="C201" s="1179"/>
      <c r="D201" s="1179"/>
      <c r="E201" s="1179"/>
      <c r="F201" s="1179"/>
      <c r="G201" s="279"/>
    </row>
    <row r="202" spans="1:7" ht="14.25">
      <c r="A202" s="1189"/>
      <c r="B202" s="1179"/>
      <c r="C202" s="1179"/>
      <c r="D202" s="1179"/>
      <c r="E202" s="1179"/>
      <c r="F202" s="1179"/>
      <c r="G202" s="279"/>
    </row>
    <row r="203" spans="1:7" ht="14.25">
      <c r="A203" s="1189"/>
      <c r="B203" s="1179"/>
      <c r="C203" s="1179"/>
      <c r="D203" s="1179"/>
      <c r="E203" s="1179"/>
      <c r="F203" s="1179"/>
      <c r="G203" s="279"/>
    </row>
    <row r="204" spans="1:7" ht="14.25">
      <c r="A204" s="1189"/>
      <c r="B204" s="1179"/>
      <c r="C204" s="1179"/>
      <c r="D204" s="1179"/>
      <c r="E204" s="1179"/>
      <c r="F204" s="1179"/>
      <c r="G204" s="279"/>
    </row>
    <row r="205" spans="1:7" ht="14.25">
      <c r="A205" s="1189"/>
      <c r="B205" s="1179"/>
      <c r="C205" s="1179"/>
      <c r="D205" s="1179"/>
      <c r="E205" s="1179"/>
      <c r="F205" s="1179"/>
      <c r="G205" s="279"/>
    </row>
    <row r="206" spans="1:7" ht="14.25">
      <c r="A206" s="1189"/>
      <c r="B206" s="1179"/>
      <c r="C206" s="1179"/>
      <c r="D206" s="1179"/>
      <c r="E206" s="1179"/>
      <c r="F206" s="1179"/>
      <c r="G206" s="279"/>
    </row>
    <row r="207" spans="1:7" ht="14.25">
      <c r="A207" s="1189"/>
      <c r="B207" s="1179"/>
      <c r="C207" s="1179"/>
      <c r="D207" s="1179"/>
      <c r="E207" s="1179"/>
      <c r="F207" s="1179"/>
      <c r="G207" s="279"/>
    </row>
    <row r="208" spans="1:7" ht="14.25">
      <c r="A208" s="1189"/>
      <c r="B208" s="1179"/>
      <c r="C208" s="1179"/>
      <c r="D208" s="1179"/>
      <c r="E208" s="1179"/>
      <c r="F208" s="1179"/>
      <c r="G208" s="279"/>
    </row>
    <row r="209" spans="1:7" ht="14.25">
      <c r="A209" s="1189"/>
      <c r="B209" s="1179"/>
      <c r="C209" s="1179"/>
      <c r="D209" s="1179"/>
      <c r="E209" s="1179"/>
      <c r="F209" s="1179"/>
      <c r="G209" s="279"/>
    </row>
    <row r="210" spans="1:7" ht="14.25">
      <c r="A210" s="1189"/>
      <c r="B210" s="1179"/>
      <c r="C210" s="1179"/>
      <c r="D210" s="1179"/>
      <c r="E210" s="1179"/>
      <c r="F210" s="1179"/>
      <c r="G210" s="279"/>
    </row>
    <row r="211" spans="1:7" ht="14.25">
      <c r="A211" s="1189"/>
      <c r="B211" s="1179"/>
      <c r="C211" s="1179"/>
      <c r="D211" s="1179"/>
      <c r="E211" s="1179"/>
      <c r="F211" s="1179"/>
      <c r="G211" s="279"/>
    </row>
    <row r="212" spans="1:7" ht="14.25">
      <c r="A212" s="1189"/>
      <c r="B212" s="1179"/>
      <c r="C212" s="1179"/>
      <c r="D212" s="1179"/>
      <c r="E212" s="1179"/>
      <c r="F212" s="1179"/>
      <c r="G212" s="279"/>
    </row>
    <row r="213" spans="1:7" ht="14.25">
      <c r="A213" s="1189"/>
      <c r="B213" s="1179"/>
      <c r="C213" s="1179"/>
      <c r="D213" s="1179"/>
      <c r="E213" s="1179"/>
      <c r="F213" s="1179"/>
      <c r="G213" s="279"/>
    </row>
    <row r="214" spans="1:7" ht="14.25">
      <c r="A214" s="1189"/>
      <c r="B214" s="1179"/>
      <c r="C214" s="1179"/>
      <c r="D214" s="1179"/>
      <c r="E214" s="1179"/>
      <c r="F214" s="1179"/>
      <c r="G214" s="279"/>
    </row>
    <row r="215" spans="1:7" ht="14.25">
      <c r="A215" s="1189"/>
      <c r="B215" s="1179"/>
      <c r="C215" s="1179"/>
      <c r="D215" s="1179"/>
      <c r="E215" s="1179"/>
      <c r="F215" s="1179"/>
      <c r="G215" s="279"/>
    </row>
    <row r="216" spans="1:7" ht="14.25">
      <c r="A216" s="1189"/>
      <c r="B216" s="1179"/>
      <c r="C216" s="1179"/>
      <c r="D216" s="1179"/>
      <c r="E216" s="1179"/>
      <c r="F216" s="1179"/>
      <c r="G216" s="279"/>
    </row>
    <row r="217" spans="1:7" ht="14.25">
      <c r="A217" s="1189"/>
      <c r="B217" s="1179"/>
      <c r="C217" s="1179"/>
      <c r="D217" s="1179"/>
      <c r="E217" s="1179"/>
      <c r="F217" s="1179"/>
      <c r="G217" s="279"/>
    </row>
    <row r="218" spans="1:7" ht="14.25">
      <c r="A218" s="1189"/>
      <c r="B218" s="1179"/>
      <c r="C218" s="1179"/>
      <c r="D218" s="1179"/>
      <c r="E218" s="1179"/>
      <c r="F218" s="1179"/>
      <c r="G218" s="279"/>
    </row>
    <row r="219" spans="1:7" ht="14.25">
      <c r="A219" s="1189"/>
      <c r="B219" s="1179"/>
      <c r="C219" s="1179"/>
      <c r="D219" s="1179"/>
      <c r="E219" s="1179"/>
      <c r="F219" s="1179"/>
      <c r="G219" s="279"/>
    </row>
    <row r="220" spans="1:7" ht="14.25">
      <c r="A220" s="1189"/>
      <c r="B220" s="1179"/>
      <c r="C220" s="1179"/>
      <c r="D220" s="1179"/>
      <c r="E220" s="1179"/>
      <c r="F220" s="1179"/>
      <c r="G220" s="279"/>
    </row>
    <row r="221" spans="1:7" ht="14.25">
      <c r="A221" s="1189"/>
      <c r="B221" s="1179"/>
      <c r="C221" s="1179"/>
      <c r="D221" s="1179"/>
      <c r="E221" s="1179"/>
      <c r="F221" s="1179"/>
      <c r="G221" s="279"/>
    </row>
    <row r="222" spans="1:7" ht="14.25">
      <c r="A222" s="1189"/>
      <c r="B222" s="1179"/>
      <c r="C222" s="1179"/>
      <c r="D222" s="1179"/>
      <c r="E222" s="1179"/>
      <c r="F222" s="1179"/>
      <c r="G222" s="279"/>
    </row>
    <row r="223" spans="1:7" ht="14.25">
      <c r="A223" s="1189"/>
      <c r="B223" s="1179"/>
      <c r="C223" s="1179"/>
      <c r="D223" s="1179"/>
      <c r="E223" s="1179"/>
      <c r="F223" s="1179"/>
      <c r="G223" s="279"/>
    </row>
    <row r="224" spans="1:7" ht="14.25">
      <c r="A224" s="1189"/>
      <c r="B224" s="1179"/>
      <c r="C224" s="1179"/>
      <c r="D224" s="1179"/>
      <c r="E224" s="1179"/>
      <c r="F224" s="1179"/>
      <c r="G224" s="279"/>
    </row>
    <row r="225" spans="1:7" ht="14.25">
      <c r="A225" s="1189"/>
      <c r="B225" s="1179"/>
      <c r="C225" s="1179"/>
      <c r="D225" s="1179"/>
      <c r="E225" s="1179"/>
      <c r="F225" s="1179"/>
      <c r="G225" s="279"/>
    </row>
    <row r="226" spans="1:7" ht="14.25">
      <c r="A226" s="1189"/>
      <c r="B226" s="1179"/>
      <c r="C226" s="1179"/>
      <c r="D226" s="1179"/>
      <c r="E226" s="1179"/>
      <c r="F226" s="1179"/>
      <c r="G226" s="279"/>
    </row>
    <row r="227" spans="1:7" ht="14.25">
      <c r="A227" s="1189"/>
      <c r="B227" s="1179"/>
      <c r="C227" s="1179"/>
      <c r="D227" s="1179"/>
      <c r="E227" s="1179"/>
      <c r="F227" s="1179"/>
      <c r="G227" s="279"/>
    </row>
    <row r="228" spans="1:7" ht="14.25">
      <c r="A228" s="1189"/>
      <c r="B228" s="1179"/>
      <c r="C228" s="1179"/>
      <c r="D228" s="1179"/>
      <c r="E228" s="1179"/>
      <c r="F228" s="1179"/>
      <c r="G228" s="279"/>
    </row>
    <row r="229" spans="1:7" ht="14.25">
      <c r="A229" s="1189"/>
      <c r="B229" s="1179"/>
      <c r="C229" s="1179"/>
      <c r="D229" s="1179"/>
      <c r="E229" s="1179"/>
      <c r="F229" s="1179"/>
      <c r="G229" s="279"/>
    </row>
    <row r="230" spans="1:7" ht="14.25">
      <c r="A230" s="1189"/>
      <c r="B230" s="1179"/>
      <c r="C230" s="1179"/>
      <c r="D230" s="1179"/>
      <c r="E230" s="1179"/>
      <c r="F230" s="1179"/>
      <c r="G230" s="279"/>
    </row>
    <row r="231" spans="1:7" ht="14.25">
      <c r="A231" s="1189"/>
      <c r="B231" s="1179"/>
      <c r="C231" s="1179"/>
      <c r="D231" s="1179"/>
      <c r="E231" s="1179"/>
      <c r="F231" s="1179"/>
      <c r="G231" s="279"/>
    </row>
    <row r="232" spans="1:7" ht="14.25">
      <c r="A232" s="1189"/>
      <c r="B232" s="1179"/>
      <c r="C232" s="1179"/>
      <c r="D232" s="1179"/>
      <c r="E232" s="1179"/>
      <c r="F232" s="1179"/>
      <c r="G232" s="279"/>
    </row>
    <row r="233" spans="1:7" ht="14.25">
      <c r="A233" s="1189"/>
      <c r="B233" s="1179"/>
      <c r="C233" s="1179"/>
      <c r="D233" s="1179"/>
      <c r="E233" s="1179"/>
      <c r="F233" s="1179"/>
      <c r="G233" s="279"/>
    </row>
    <row r="234" spans="1:7" ht="14.25">
      <c r="A234" s="1189"/>
      <c r="B234" s="1179"/>
      <c r="C234" s="1179"/>
      <c r="D234" s="1179"/>
      <c r="E234" s="1179"/>
      <c r="F234" s="1179"/>
      <c r="G234" s="279"/>
    </row>
    <row r="235" spans="1:7" ht="14.25">
      <c r="A235" s="1189"/>
      <c r="B235" s="1179"/>
      <c r="C235" s="1179"/>
      <c r="D235" s="1179"/>
      <c r="E235" s="1179"/>
      <c r="F235" s="1179"/>
      <c r="G235" s="279"/>
    </row>
    <row r="236" spans="1:7" ht="14.25">
      <c r="A236" s="1189"/>
      <c r="B236" s="1179"/>
      <c r="C236" s="1179"/>
      <c r="D236" s="1179"/>
      <c r="E236" s="1179"/>
      <c r="F236" s="1179"/>
      <c r="G236" s="279"/>
    </row>
    <row r="237" spans="1:7" ht="14.25">
      <c r="A237" s="1189"/>
      <c r="B237" s="1179"/>
      <c r="C237" s="1179"/>
      <c r="D237" s="1179"/>
      <c r="E237" s="1179"/>
      <c r="F237" s="1179"/>
      <c r="G237" s="279"/>
    </row>
    <row r="238" spans="1:7" ht="14.25">
      <c r="A238" s="1189"/>
      <c r="B238" s="1179"/>
      <c r="C238" s="1179"/>
      <c r="D238" s="1179"/>
      <c r="E238" s="1179"/>
      <c r="F238" s="1179"/>
      <c r="G238" s="279"/>
    </row>
    <row r="239" spans="1:7" ht="14.25">
      <c r="A239" s="1189"/>
      <c r="B239" s="1179"/>
      <c r="C239" s="1179"/>
      <c r="D239" s="1179"/>
      <c r="E239" s="1179"/>
      <c r="F239" s="1179"/>
      <c r="G239" s="279"/>
    </row>
    <row r="240" spans="1:7" ht="14.25">
      <c r="A240" s="1189"/>
      <c r="B240" s="1179"/>
      <c r="C240" s="1179"/>
      <c r="D240" s="1179"/>
      <c r="E240" s="1179"/>
      <c r="F240" s="1179"/>
      <c r="G240" s="279"/>
    </row>
    <row r="241" spans="1:7" ht="14.25">
      <c r="A241" s="1189"/>
      <c r="B241" s="1179"/>
      <c r="C241" s="1179"/>
      <c r="D241" s="1179"/>
      <c r="E241" s="1179"/>
      <c r="F241" s="1179"/>
      <c r="G241" s="279"/>
    </row>
    <row r="242" spans="1:7" ht="14.25">
      <c r="A242" s="1189"/>
      <c r="B242" s="1179"/>
      <c r="C242" s="1179"/>
      <c r="D242" s="1179"/>
      <c r="E242" s="1179"/>
      <c r="F242" s="1179"/>
      <c r="G242" s="279"/>
    </row>
    <row r="243" spans="1:7" ht="14.25">
      <c r="A243" s="1189"/>
      <c r="B243" s="1179"/>
      <c r="C243" s="1179"/>
      <c r="D243" s="1179"/>
      <c r="E243" s="1179"/>
      <c r="F243" s="1179"/>
      <c r="G243" s="279"/>
    </row>
    <row r="244" spans="1:7" ht="14.25">
      <c r="A244" s="1189"/>
      <c r="B244" s="1179"/>
      <c r="C244" s="1179"/>
      <c r="D244" s="1179"/>
      <c r="E244" s="1179"/>
      <c r="F244" s="1179"/>
      <c r="G244" s="279"/>
    </row>
    <row r="245" spans="1:7" ht="14.25">
      <c r="A245" s="1189"/>
      <c r="B245" s="1179"/>
      <c r="C245" s="1179"/>
      <c r="D245" s="1179"/>
      <c r="E245" s="1179"/>
      <c r="F245" s="1179"/>
      <c r="G245" s="279"/>
    </row>
    <row r="246" spans="1:7" ht="14.25">
      <c r="A246" s="1189"/>
      <c r="B246" s="1179"/>
      <c r="C246" s="1179"/>
      <c r="D246" s="1179"/>
      <c r="E246" s="1179"/>
      <c r="F246" s="1179"/>
      <c r="G246" s="279"/>
    </row>
    <row r="247" spans="1:7" ht="14.25">
      <c r="A247" s="1189"/>
      <c r="B247" s="1179"/>
      <c r="C247" s="1179"/>
      <c r="D247" s="1179"/>
      <c r="E247" s="1179"/>
      <c r="F247" s="1179"/>
      <c r="G247" s="279"/>
    </row>
    <row r="248" spans="1:7" ht="14.25">
      <c r="A248" s="1189"/>
      <c r="B248" s="1179"/>
      <c r="C248" s="1179"/>
      <c r="D248" s="1179"/>
      <c r="E248" s="1179"/>
      <c r="F248" s="1179"/>
      <c r="G248" s="279"/>
    </row>
    <row r="249" spans="1:7" ht="14.25">
      <c r="A249" s="1189"/>
      <c r="B249" s="1179"/>
      <c r="C249" s="1179"/>
      <c r="D249" s="1179"/>
      <c r="E249" s="1179"/>
      <c r="F249" s="1179"/>
      <c r="G249" s="279"/>
    </row>
    <row r="250" spans="1:7" ht="14.25">
      <c r="A250" s="1189"/>
      <c r="B250" s="1179"/>
      <c r="C250" s="1179"/>
      <c r="D250" s="1179"/>
      <c r="E250" s="1179"/>
      <c r="F250" s="1179"/>
      <c r="G250" s="279"/>
    </row>
    <row r="251" spans="1:7" ht="14.25">
      <c r="A251" s="1189"/>
      <c r="B251" s="1179"/>
      <c r="C251" s="1179"/>
      <c r="D251" s="1179"/>
      <c r="E251" s="1179"/>
      <c r="F251" s="1179"/>
      <c r="G251" s="279"/>
    </row>
    <row r="252" spans="1:7" ht="14.25">
      <c r="A252" s="1189"/>
      <c r="B252" s="1179"/>
      <c r="C252" s="1179"/>
      <c r="D252" s="1179"/>
      <c r="E252" s="1179"/>
      <c r="F252" s="1179"/>
      <c r="G252" s="279"/>
    </row>
    <row r="253" spans="1:7" ht="14.25">
      <c r="A253" s="1189"/>
      <c r="B253" s="1179"/>
      <c r="C253" s="1179"/>
      <c r="D253" s="1179"/>
      <c r="E253" s="1179"/>
      <c r="F253" s="1179"/>
      <c r="G253" s="279"/>
    </row>
    <row r="254" spans="1:7" ht="14.25">
      <c r="A254" s="1189"/>
      <c r="B254" s="1179"/>
      <c r="C254" s="1179"/>
      <c r="D254" s="1179"/>
      <c r="E254" s="1179"/>
      <c r="F254" s="1179"/>
      <c r="G254" s="279"/>
    </row>
    <row r="255" spans="1:7" ht="14.25">
      <c r="A255" s="1189"/>
      <c r="B255" s="1179"/>
      <c r="C255" s="1179"/>
      <c r="D255" s="1179"/>
      <c r="E255" s="1179"/>
      <c r="F255" s="1179"/>
      <c r="G255" s="279"/>
    </row>
    <row r="256" spans="1:7" ht="14.25">
      <c r="A256" s="1189"/>
      <c r="B256" s="1179"/>
      <c r="C256" s="1179"/>
      <c r="D256" s="1179"/>
      <c r="E256" s="1179"/>
      <c r="F256" s="1179"/>
      <c r="G256" s="279"/>
    </row>
    <row r="257" spans="1:7" ht="14.25">
      <c r="A257" s="1189"/>
      <c r="B257" s="1179"/>
      <c r="C257" s="1179"/>
      <c r="D257" s="1179"/>
      <c r="E257" s="1179"/>
      <c r="F257" s="1179"/>
      <c r="G257" s="279"/>
    </row>
    <row r="258" spans="1:7" ht="14.25">
      <c r="A258" s="1189"/>
      <c r="B258" s="1179"/>
      <c r="C258" s="1179"/>
      <c r="D258" s="1179"/>
      <c r="E258" s="1179"/>
      <c r="F258" s="1179"/>
      <c r="G258" s="279"/>
    </row>
    <row r="259" spans="1:7" ht="14.25">
      <c r="A259" s="1189"/>
      <c r="B259" s="1179"/>
      <c r="C259" s="1179"/>
      <c r="D259" s="1179"/>
      <c r="E259" s="1179"/>
      <c r="F259" s="1179"/>
      <c r="G259" s="279"/>
    </row>
    <row r="260" spans="1:7" ht="14.25">
      <c r="A260" s="1189"/>
      <c r="B260" s="1179"/>
      <c r="C260" s="1179"/>
      <c r="D260" s="1179"/>
      <c r="E260" s="1179"/>
      <c r="F260" s="1179"/>
      <c r="G260" s="279"/>
    </row>
    <row r="261" spans="1:7" ht="14.25">
      <c r="A261" s="1189"/>
      <c r="B261" s="1179"/>
      <c r="C261" s="1179"/>
      <c r="D261" s="1179"/>
      <c r="E261" s="1179"/>
      <c r="F261" s="1179"/>
      <c r="G261" s="279"/>
    </row>
    <row r="262" spans="1:7" ht="14.25">
      <c r="A262" s="1189"/>
      <c r="B262" s="1179"/>
      <c r="C262" s="1179"/>
      <c r="D262" s="1179"/>
      <c r="E262" s="1179"/>
      <c r="F262" s="1179"/>
      <c r="G262" s="279"/>
    </row>
    <row r="263" spans="1:7" ht="14.25">
      <c r="A263" s="1189"/>
      <c r="B263" s="1179"/>
      <c r="C263" s="1179"/>
      <c r="D263" s="1179"/>
      <c r="E263" s="1179"/>
      <c r="F263" s="1179"/>
      <c r="G263" s="279"/>
    </row>
    <row r="264" spans="1:7" ht="14.25">
      <c r="A264" s="1189"/>
      <c r="B264" s="1179"/>
      <c r="C264" s="1179"/>
      <c r="D264" s="1179"/>
      <c r="E264" s="1179"/>
      <c r="F264" s="1179"/>
      <c r="G264" s="279"/>
    </row>
    <row r="265" spans="1:7" ht="14.25">
      <c r="A265" s="1189"/>
      <c r="B265" s="1179"/>
      <c r="C265" s="1179"/>
      <c r="D265" s="1179"/>
      <c r="E265" s="1179"/>
      <c r="F265" s="1179"/>
      <c r="G265" s="279"/>
    </row>
    <row r="266" spans="1:7" ht="14.25">
      <c r="A266" s="1189"/>
      <c r="B266" s="1179"/>
      <c r="C266" s="1179"/>
      <c r="D266" s="1179"/>
      <c r="E266" s="1179"/>
      <c r="F266" s="1179"/>
      <c r="G266" s="279"/>
    </row>
    <row r="267" spans="1:7" ht="14.25">
      <c r="A267" s="1189"/>
      <c r="B267" s="1179"/>
      <c r="C267" s="1179"/>
      <c r="D267" s="1179"/>
      <c r="E267" s="1179"/>
      <c r="F267" s="1179"/>
      <c r="G267" s="279"/>
    </row>
    <row r="268" spans="1:7" ht="14.25">
      <c r="A268" s="1189"/>
      <c r="B268" s="1179"/>
      <c r="C268" s="1179"/>
      <c r="D268" s="1179"/>
      <c r="E268" s="1179"/>
      <c r="F268" s="1179"/>
      <c r="G268" s="279"/>
    </row>
    <row r="269" spans="1:7" ht="14.25">
      <c r="A269" s="1189"/>
      <c r="B269" s="1179"/>
      <c r="C269" s="1179"/>
      <c r="D269" s="1179"/>
      <c r="E269" s="1179"/>
      <c r="F269" s="1179"/>
      <c r="G269" s="279"/>
    </row>
    <row r="270" spans="1:7" ht="14.25">
      <c r="A270" s="1189"/>
      <c r="B270" s="1179"/>
      <c r="C270" s="1179"/>
      <c r="D270" s="1179"/>
      <c r="E270" s="1179"/>
      <c r="F270" s="1179"/>
      <c r="G270" s="279"/>
    </row>
    <row r="271" spans="1:7" ht="14.25">
      <c r="A271" s="1189"/>
      <c r="B271" s="1179"/>
      <c r="C271" s="1179"/>
      <c r="D271" s="1179"/>
      <c r="E271" s="1179"/>
      <c r="F271" s="1179"/>
      <c r="G271" s="279"/>
    </row>
    <row r="272" spans="1:7" ht="14.25">
      <c r="A272" s="1189"/>
      <c r="B272" s="1179"/>
      <c r="C272" s="1179"/>
      <c r="D272" s="1179"/>
      <c r="E272" s="1179"/>
      <c r="F272" s="1179"/>
      <c r="G272" s="279"/>
    </row>
    <row r="273" spans="1:7" ht="14.25">
      <c r="A273" s="1189"/>
      <c r="B273" s="1179"/>
      <c r="C273" s="1179"/>
      <c r="D273" s="1179"/>
      <c r="E273" s="1179"/>
      <c r="F273" s="1179"/>
      <c r="G273" s="279"/>
    </row>
    <row r="274" spans="1:7" ht="14.25">
      <c r="A274" s="1189"/>
      <c r="B274" s="1179"/>
      <c r="C274" s="1179"/>
      <c r="D274" s="1179"/>
      <c r="E274" s="1179"/>
      <c r="F274" s="1179"/>
      <c r="G274" s="279"/>
    </row>
    <row r="275" spans="1:7" ht="14.25">
      <c r="A275" s="1189"/>
      <c r="B275" s="1179"/>
      <c r="C275" s="1179"/>
      <c r="D275" s="1179"/>
      <c r="E275" s="1179"/>
      <c r="F275" s="1179"/>
      <c r="G275" s="279"/>
    </row>
    <row r="276" spans="1:7" ht="14.25">
      <c r="A276" s="1189"/>
      <c r="B276" s="1179"/>
      <c r="C276" s="1179"/>
      <c r="D276" s="1179"/>
      <c r="E276" s="1179"/>
      <c r="F276" s="1179"/>
      <c r="G276" s="279"/>
    </row>
    <row r="277" spans="1:7" ht="14.25">
      <c r="A277" s="1189"/>
      <c r="B277" s="1179"/>
      <c r="C277" s="1179"/>
      <c r="D277" s="1179"/>
      <c r="E277" s="1179"/>
      <c r="F277" s="1179"/>
      <c r="G277" s="279"/>
    </row>
    <row r="278" spans="1:7" ht="14.25">
      <c r="A278" s="1189"/>
      <c r="B278" s="1179"/>
      <c r="C278" s="1179"/>
      <c r="D278" s="1179"/>
      <c r="E278" s="1179"/>
      <c r="F278" s="1179"/>
      <c r="G278" s="279"/>
    </row>
    <row r="279" spans="1:7" ht="14.25">
      <c r="A279" s="1189"/>
      <c r="B279" s="1179"/>
      <c r="C279" s="1179"/>
      <c r="D279" s="1179"/>
      <c r="E279" s="1179"/>
      <c r="F279" s="1179"/>
      <c r="G279" s="279"/>
    </row>
    <row r="280" spans="1:7" ht="14.25">
      <c r="A280" s="1189"/>
      <c r="B280" s="1179"/>
      <c r="C280" s="1179"/>
      <c r="D280" s="1179"/>
      <c r="E280" s="1179"/>
      <c r="F280" s="1179"/>
      <c r="G280" s="279"/>
    </row>
    <row r="281" spans="1:7" ht="14.25">
      <c r="A281" s="1189"/>
      <c r="B281" s="1179"/>
      <c r="C281" s="1179"/>
      <c r="D281" s="1179"/>
      <c r="E281" s="1179"/>
      <c r="F281" s="1179"/>
      <c r="G281" s="279"/>
    </row>
    <row r="282" spans="1:7" ht="14.25">
      <c r="A282" s="1189"/>
      <c r="B282" s="1179"/>
      <c r="C282" s="1179"/>
      <c r="D282" s="1179"/>
      <c r="E282" s="1179"/>
      <c r="F282" s="1179"/>
      <c r="G282" s="279"/>
    </row>
    <row r="283" spans="1:7" ht="14.25">
      <c r="A283" s="1189"/>
      <c r="B283" s="1179"/>
      <c r="C283" s="1179"/>
      <c r="D283" s="1179"/>
      <c r="E283" s="1179"/>
      <c r="F283" s="1179"/>
      <c r="G283" s="279"/>
    </row>
    <row r="284" spans="1:7" ht="14.25">
      <c r="A284" s="1189"/>
      <c r="B284" s="1179"/>
      <c r="C284" s="1179"/>
      <c r="D284" s="1179"/>
      <c r="E284" s="1179"/>
      <c r="F284" s="1179"/>
      <c r="G284" s="279"/>
    </row>
    <row r="285" spans="1:7" ht="14.25">
      <c r="A285" s="1189"/>
      <c r="B285" s="1179"/>
      <c r="C285" s="1179"/>
      <c r="D285" s="1179"/>
      <c r="E285" s="1179"/>
      <c r="F285" s="1179"/>
      <c r="G285" s="279"/>
    </row>
    <row r="286" spans="1:7" ht="14.25">
      <c r="A286" s="1189"/>
      <c r="B286" s="1179"/>
      <c r="C286" s="1179"/>
      <c r="D286" s="1179"/>
      <c r="E286" s="1179"/>
      <c r="F286" s="1179"/>
      <c r="G286" s="279"/>
    </row>
    <row r="287" spans="1:7" ht="14.25">
      <c r="A287" s="1189"/>
      <c r="B287" s="1179"/>
      <c r="C287" s="1179"/>
      <c r="D287" s="1179"/>
      <c r="E287" s="1179"/>
      <c r="F287" s="1179"/>
      <c r="G287" s="279"/>
    </row>
    <row r="288" spans="1:7" ht="14.25">
      <c r="A288" s="1189"/>
      <c r="B288" s="1179"/>
      <c r="C288" s="1179"/>
      <c r="D288" s="1179"/>
      <c r="E288" s="1179"/>
      <c r="F288" s="1179"/>
      <c r="G288" s="279"/>
    </row>
    <row r="289" spans="1:7" ht="14.25">
      <c r="A289" s="1189"/>
      <c r="B289" s="1179"/>
      <c r="C289" s="1179"/>
      <c r="D289" s="1179"/>
      <c r="E289" s="1179"/>
      <c r="F289" s="1179"/>
      <c r="G289" s="279"/>
    </row>
    <row r="290" spans="1:7" ht="14.25">
      <c r="A290" s="1189"/>
      <c r="B290" s="1179"/>
      <c r="C290" s="1179"/>
      <c r="D290" s="1179"/>
      <c r="E290" s="1179"/>
      <c r="F290" s="1179"/>
      <c r="G290" s="279"/>
    </row>
    <row r="291" spans="1:7" ht="14.25">
      <c r="A291" s="1189"/>
      <c r="B291" s="1179"/>
      <c r="C291" s="1179"/>
      <c r="D291" s="1179"/>
      <c r="E291" s="1179"/>
      <c r="F291" s="1179"/>
      <c r="G291" s="279"/>
    </row>
    <row r="292" spans="1:7" ht="14.25">
      <c r="A292" s="1189"/>
      <c r="B292" s="1179"/>
      <c r="C292" s="1179"/>
      <c r="D292" s="1179"/>
      <c r="E292" s="1179"/>
      <c r="F292" s="1179"/>
      <c r="G292" s="279"/>
    </row>
    <row r="293" spans="1:7" ht="14.25">
      <c r="A293" s="1189"/>
      <c r="B293" s="1179"/>
      <c r="C293" s="1179"/>
      <c r="D293" s="1179"/>
      <c r="E293" s="1179"/>
      <c r="F293" s="1179"/>
      <c r="G293" s="279"/>
    </row>
    <row r="294" spans="1:7" ht="14.25">
      <c r="A294" s="1189"/>
      <c r="B294" s="1179"/>
      <c r="C294" s="1179"/>
      <c r="D294" s="1179"/>
      <c r="E294" s="1179"/>
      <c r="F294" s="1179"/>
      <c r="G294" s="279"/>
    </row>
    <row r="295" spans="1:7" ht="14.25">
      <c r="A295" s="1189"/>
      <c r="B295" s="1179"/>
      <c r="C295" s="1179"/>
      <c r="D295" s="1179"/>
      <c r="E295" s="1179"/>
      <c r="F295" s="1179"/>
      <c r="G295" s="279"/>
    </row>
    <row r="296" spans="1:7" ht="14.25">
      <c r="A296" s="1189"/>
      <c r="B296" s="1179"/>
      <c r="C296" s="1179"/>
      <c r="D296" s="1179"/>
      <c r="E296" s="1179"/>
      <c r="F296" s="1179"/>
      <c r="G296" s="279"/>
    </row>
    <row r="297" spans="1:7" ht="14.25">
      <c r="A297" s="1189"/>
      <c r="B297" s="1179"/>
      <c r="C297" s="1179"/>
      <c r="D297" s="1179"/>
      <c r="E297" s="1179"/>
      <c r="F297" s="1179"/>
      <c r="G297" s="279"/>
    </row>
    <row r="298" spans="1:7" ht="14.25">
      <c r="A298" s="1189"/>
      <c r="B298" s="1179"/>
      <c r="C298" s="1179"/>
      <c r="D298" s="1179"/>
      <c r="E298" s="1179"/>
      <c r="F298" s="1179"/>
      <c r="G298" s="279"/>
    </row>
    <row r="299" spans="1:7" ht="14.25">
      <c r="A299" s="1189"/>
      <c r="B299" s="1179"/>
      <c r="C299" s="1179"/>
      <c r="D299" s="1179"/>
      <c r="E299" s="1179"/>
      <c r="F299" s="1179"/>
      <c r="G299" s="279"/>
    </row>
    <row r="300" spans="1:7" ht="14.25">
      <c r="A300" s="1189"/>
      <c r="B300" s="1179"/>
      <c r="C300" s="1179"/>
      <c r="D300" s="1179"/>
      <c r="E300" s="1179"/>
      <c r="F300" s="1179"/>
      <c r="G300" s="279"/>
    </row>
    <row r="301" spans="1:7" ht="14.25">
      <c r="A301" s="1189"/>
      <c r="B301" s="1179"/>
      <c r="C301" s="1179"/>
      <c r="D301" s="1179"/>
      <c r="E301" s="1179"/>
      <c r="F301" s="1179"/>
      <c r="G301" s="279"/>
    </row>
    <row r="302" spans="1:7" ht="14.25">
      <c r="A302" s="1189"/>
      <c r="B302" s="1179"/>
      <c r="C302" s="1179"/>
      <c r="D302" s="1179"/>
      <c r="E302" s="1179"/>
      <c r="F302" s="1179"/>
      <c r="G302" s="279"/>
    </row>
    <row r="303" spans="1:7" ht="14.25">
      <c r="A303" s="1189"/>
      <c r="B303" s="1179"/>
      <c r="C303" s="1179"/>
      <c r="D303" s="1179"/>
      <c r="E303" s="1179"/>
      <c r="F303" s="1179"/>
      <c r="G303" s="279"/>
    </row>
    <row r="304" spans="1:7" ht="14.25">
      <c r="A304" s="1189"/>
      <c r="B304" s="1179"/>
      <c r="C304" s="1179"/>
      <c r="D304" s="1179"/>
      <c r="E304" s="1179"/>
      <c r="F304" s="1179"/>
      <c r="G304" s="279"/>
    </row>
    <row r="305" spans="1:7" ht="14.25">
      <c r="A305" s="1189"/>
      <c r="B305" s="1179"/>
      <c r="C305" s="1179"/>
      <c r="D305" s="1179"/>
      <c r="E305" s="1179"/>
      <c r="F305" s="1179"/>
      <c r="G305" s="279"/>
    </row>
    <row r="306" spans="1:7" ht="14.25">
      <c r="A306" s="1189"/>
      <c r="B306" s="1179"/>
      <c r="C306" s="1179"/>
      <c r="D306" s="1179"/>
      <c r="E306" s="1179"/>
      <c r="F306" s="1179"/>
      <c r="G306" s="279"/>
    </row>
    <row r="307" spans="1:7" ht="14.25">
      <c r="A307" s="1189"/>
      <c r="B307" s="1179"/>
      <c r="C307" s="1179"/>
      <c r="D307" s="1179"/>
      <c r="E307" s="1179"/>
      <c r="F307" s="1179"/>
      <c r="G307" s="279"/>
    </row>
    <row r="308" spans="1:7" ht="14.25">
      <c r="A308" s="1189"/>
      <c r="B308" s="1179"/>
      <c r="C308" s="1179"/>
      <c r="D308" s="1179"/>
      <c r="E308" s="1179"/>
      <c r="F308" s="1179"/>
      <c r="G308" s="279"/>
    </row>
    <row r="309" spans="1:7" ht="14.25">
      <c r="A309" s="1189"/>
      <c r="B309" s="1179"/>
      <c r="C309" s="1179"/>
      <c r="D309" s="1179"/>
      <c r="E309" s="1179"/>
      <c r="F309" s="1179"/>
      <c r="G309" s="279"/>
    </row>
    <row r="310" spans="1:7" ht="14.25">
      <c r="A310" s="1189"/>
      <c r="B310" s="1179"/>
      <c r="C310" s="1179"/>
      <c r="D310" s="1179"/>
      <c r="E310" s="1179"/>
      <c r="F310" s="1179"/>
      <c r="G310" s="279"/>
    </row>
    <row r="311" spans="1:7" ht="14.25">
      <c r="A311" s="1189"/>
      <c r="B311" s="1179"/>
      <c r="C311" s="1179"/>
      <c r="D311" s="1179"/>
      <c r="E311" s="1179"/>
      <c r="F311" s="1179"/>
      <c r="G311" s="279"/>
    </row>
    <row r="312" spans="1:7" ht="14.25">
      <c r="A312" s="1189"/>
      <c r="B312" s="1179"/>
      <c r="C312" s="1179"/>
      <c r="D312" s="1179"/>
      <c r="E312" s="1179"/>
      <c r="F312" s="1179"/>
      <c r="G312" s="279"/>
    </row>
    <row r="313" spans="1:7" ht="14.25">
      <c r="A313" s="1189"/>
      <c r="B313" s="1179"/>
      <c r="C313" s="1179"/>
      <c r="D313" s="1179"/>
      <c r="E313" s="1179"/>
      <c r="F313" s="1179"/>
      <c r="G313" s="279"/>
    </row>
    <row r="314" spans="1:7" ht="14.25">
      <c r="A314" s="1189"/>
      <c r="B314" s="1179"/>
      <c r="C314" s="1179"/>
      <c r="D314" s="1179"/>
      <c r="E314" s="1179"/>
      <c r="F314" s="1179"/>
      <c r="G314" s="279"/>
    </row>
    <row r="315" spans="1:7" ht="14.25">
      <c r="A315" s="1189"/>
      <c r="B315" s="1179"/>
      <c r="C315" s="1179"/>
      <c r="D315" s="1179"/>
      <c r="E315" s="1179"/>
      <c r="F315" s="1179"/>
      <c r="G315" s="279"/>
    </row>
    <row r="316" spans="1:7" ht="14.25">
      <c r="A316" s="1189"/>
      <c r="B316" s="1179"/>
      <c r="C316" s="1179"/>
      <c r="D316" s="1179"/>
      <c r="E316" s="1179"/>
      <c r="F316" s="1179"/>
      <c r="G316" s="279"/>
    </row>
    <row r="317" spans="1:7" ht="14.25">
      <c r="A317" s="1189"/>
      <c r="B317" s="1179"/>
      <c r="C317" s="1179"/>
      <c r="D317" s="1179"/>
      <c r="E317" s="1179"/>
      <c r="F317" s="1179"/>
      <c r="G317" s="279"/>
    </row>
    <row r="318" spans="1:7" ht="14.25">
      <c r="A318" s="1189"/>
      <c r="B318" s="1179"/>
      <c r="C318" s="1179"/>
      <c r="D318" s="1179"/>
      <c r="E318" s="1179"/>
      <c r="F318" s="1179"/>
      <c r="G318" s="279"/>
    </row>
    <row r="319" spans="1:7" ht="14.25">
      <c r="A319" s="1189"/>
      <c r="B319" s="1179"/>
      <c r="C319" s="1179"/>
      <c r="D319" s="1179"/>
      <c r="E319" s="1179"/>
      <c r="F319" s="1179"/>
      <c r="G319" s="279"/>
    </row>
    <row r="320" spans="1:7" ht="14.25">
      <c r="A320" s="1189"/>
      <c r="B320" s="1179"/>
      <c r="C320" s="1179"/>
      <c r="D320" s="1179"/>
      <c r="E320" s="1179"/>
      <c r="F320" s="1179"/>
      <c r="G320" s="279"/>
    </row>
    <row r="321" spans="1:7" ht="14.25">
      <c r="A321" s="1189"/>
      <c r="B321" s="1179"/>
      <c r="C321" s="1179"/>
      <c r="D321" s="1179"/>
      <c r="E321" s="1179"/>
      <c r="F321" s="1179"/>
      <c r="G321" s="279"/>
    </row>
    <row r="322" spans="1:7" ht="14.25">
      <c r="A322" s="1189"/>
      <c r="B322" s="1179"/>
      <c r="C322" s="1179"/>
      <c r="D322" s="1179"/>
      <c r="E322" s="1179"/>
      <c r="F322" s="1179"/>
      <c r="G322" s="279"/>
    </row>
    <row r="323" spans="1:7" ht="14.25">
      <c r="A323" s="1189"/>
      <c r="B323" s="1179"/>
      <c r="C323" s="1179"/>
      <c r="D323" s="1179"/>
      <c r="E323" s="1179"/>
      <c r="F323" s="1179"/>
      <c r="G323" s="279"/>
    </row>
    <row r="324" spans="1:7" ht="14.25">
      <c r="A324" s="1189"/>
      <c r="B324" s="1179"/>
      <c r="C324" s="1179"/>
      <c r="D324" s="1179"/>
      <c r="E324" s="1179"/>
      <c r="F324" s="1179"/>
      <c r="G324" s="279"/>
    </row>
    <row r="325" spans="1:7" ht="14.25">
      <c r="A325" s="1189"/>
      <c r="B325" s="1179"/>
      <c r="C325" s="1179"/>
      <c r="D325" s="1179"/>
      <c r="E325" s="1179"/>
      <c r="F325" s="1179"/>
      <c r="G325" s="279"/>
    </row>
    <row r="326" spans="1:7" ht="14.25">
      <c r="A326" s="1189"/>
      <c r="B326" s="1179"/>
      <c r="C326" s="1179"/>
      <c r="D326" s="1179"/>
      <c r="E326" s="1179"/>
      <c r="F326" s="1179"/>
      <c r="G326" s="279"/>
    </row>
    <row r="327" spans="1:7" ht="14.25">
      <c r="A327" s="1189"/>
      <c r="B327" s="1179"/>
      <c r="C327" s="1179"/>
      <c r="D327" s="1179"/>
      <c r="E327" s="1179"/>
      <c r="F327" s="1179"/>
      <c r="G327" s="279"/>
    </row>
    <row r="328" spans="1:7" ht="14.25">
      <c r="A328" s="1189"/>
      <c r="B328" s="1179"/>
      <c r="C328" s="1179"/>
      <c r="D328" s="1179"/>
      <c r="E328" s="1179"/>
      <c r="F328" s="1179"/>
      <c r="G328" s="279"/>
    </row>
    <row r="329" spans="1:7" ht="14.25">
      <c r="A329" s="1189"/>
      <c r="B329" s="1179"/>
      <c r="C329" s="1179"/>
      <c r="D329" s="1179"/>
      <c r="E329" s="1179"/>
      <c r="F329" s="1179"/>
      <c r="G329" s="279"/>
    </row>
    <row r="330" spans="1:7" ht="14.25">
      <c r="A330" s="1189"/>
      <c r="B330" s="1179"/>
      <c r="C330" s="1179"/>
      <c r="D330" s="1179"/>
      <c r="E330" s="1179"/>
      <c r="F330" s="1179"/>
      <c r="G330" s="279"/>
    </row>
    <row r="331" spans="1:7" ht="14.25">
      <c r="A331" s="1189"/>
      <c r="B331" s="1179"/>
      <c r="C331" s="1179"/>
      <c r="D331" s="1179"/>
      <c r="E331" s="1179"/>
      <c r="F331" s="1179"/>
      <c r="G331" s="279"/>
    </row>
    <row r="332" spans="1:7" ht="14.25">
      <c r="A332" s="1189"/>
      <c r="B332" s="1179"/>
      <c r="C332" s="1179"/>
      <c r="D332" s="1179"/>
      <c r="E332" s="1179"/>
      <c r="F332" s="1179"/>
      <c r="G332" s="279"/>
    </row>
    <row r="333" spans="1:7" ht="14.25">
      <c r="A333" s="1189"/>
      <c r="B333" s="1179"/>
      <c r="C333" s="1179"/>
      <c r="D333" s="1179"/>
      <c r="E333" s="1179"/>
      <c r="F333" s="1179"/>
      <c r="G333" s="279"/>
    </row>
    <row r="334" spans="1:7" ht="14.25">
      <c r="A334" s="1189"/>
      <c r="B334" s="1179"/>
      <c r="C334" s="1179"/>
      <c r="D334" s="1179"/>
      <c r="E334" s="1179"/>
      <c r="F334" s="1179"/>
      <c r="G334" s="279"/>
    </row>
    <row r="335" spans="1:7" ht="14.25">
      <c r="A335" s="1189"/>
      <c r="B335" s="1179"/>
      <c r="C335" s="1179"/>
      <c r="D335" s="1179"/>
      <c r="E335" s="1179"/>
      <c r="F335" s="1179"/>
      <c r="G335" s="279"/>
    </row>
    <row r="336" spans="1:7" ht="14.25">
      <c r="A336" s="1189"/>
      <c r="B336" s="1179"/>
      <c r="C336" s="1179"/>
      <c r="D336" s="1179"/>
      <c r="E336" s="1179"/>
      <c r="F336" s="1179"/>
      <c r="G336" s="279"/>
    </row>
    <row r="337" spans="1:7" ht="14.25">
      <c r="A337" s="1189"/>
      <c r="B337" s="1179"/>
      <c r="C337" s="1179"/>
      <c r="D337" s="1179"/>
      <c r="E337" s="1179"/>
      <c r="F337" s="1179"/>
      <c r="G337" s="279"/>
    </row>
    <row r="338" spans="1:7" ht="14.25">
      <c r="A338" s="1189"/>
      <c r="B338" s="1179"/>
      <c r="C338" s="1179"/>
      <c r="D338" s="1179"/>
      <c r="E338" s="1179"/>
      <c r="F338" s="1179"/>
      <c r="G338" s="279"/>
    </row>
    <row r="339" spans="1:7" ht="14.25">
      <c r="A339" s="1189"/>
      <c r="B339" s="1179"/>
      <c r="C339" s="1179"/>
      <c r="D339" s="1179"/>
      <c r="E339" s="1179"/>
      <c r="F339" s="1179"/>
      <c r="G339" s="279"/>
    </row>
    <row r="340" spans="1:7" ht="14.25">
      <c r="A340" s="1189"/>
      <c r="B340" s="1179"/>
      <c r="C340" s="1179"/>
      <c r="D340" s="1179"/>
      <c r="E340" s="1179"/>
      <c r="F340" s="1179"/>
      <c r="G340" s="279"/>
    </row>
    <row r="341" spans="1:7" ht="14.25">
      <c r="A341" s="1189"/>
      <c r="B341" s="1179"/>
      <c r="C341" s="1179"/>
      <c r="D341" s="1179"/>
      <c r="E341" s="1179"/>
      <c r="F341" s="1179"/>
      <c r="G341" s="279"/>
    </row>
    <row r="342" spans="1:7" ht="14.25">
      <c r="A342" s="1189"/>
      <c r="B342" s="1179"/>
      <c r="C342" s="1179"/>
      <c r="D342" s="1179"/>
      <c r="E342" s="1179"/>
      <c r="F342" s="1179"/>
      <c r="G342" s="279"/>
    </row>
    <row r="343" spans="1:7" ht="14.25">
      <c r="A343" s="1189"/>
      <c r="B343" s="1179"/>
      <c r="C343" s="1179"/>
      <c r="D343" s="1179"/>
      <c r="E343" s="1179"/>
      <c r="F343" s="1179"/>
      <c r="G343" s="279"/>
    </row>
    <row r="344" spans="1:7" ht="14.25">
      <c r="A344" s="1189"/>
      <c r="B344" s="1179"/>
      <c r="C344" s="1179"/>
      <c r="D344" s="1179"/>
      <c r="E344" s="1179"/>
      <c r="F344" s="1179"/>
      <c r="G344" s="279"/>
    </row>
    <row r="345" spans="1:7" ht="14.25">
      <c r="A345" s="1189"/>
      <c r="B345" s="1179"/>
      <c r="C345" s="1179"/>
      <c r="D345" s="1179"/>
      <c r="E345" s="1179"/>
      <c r="F345" s="1179"/>
      <c r="G345" s="279"/>
    </row>
    <row r="346" spans="1:7" ht="14.25">
      <c r="A346" s="1189"/>
      <c r="B346" s="1179"/>
      <c r="C346" s="1179"/>
      <c r="D346" s="1179"/>
      <c r="E346" s="1179"/>
      <c r="F346" s="1179"/>
      <c r="G346" s="279"/>
    </row>
    <row r="347" spans="1:7" ht="14.25">
      <c r="A347" s="1189"/>
      <c r="B347" s="1179"/>
      <c r="C347" s="1179"/>
      <c r="D347" s="1179"/>
      <c r="E347" s="1179"/>
      <c r="F347" s="1179"/>
      <c r="G347" s="279"/>
    </row>
    <row r="348" spans="1:7" ht="14.25">
      <c r="A348" s="1189"/>
      <c r="B348" s="1179"/>
      <c r="C348" s="1179"/>
      <c r="D348" s="1179"/>
      <c r="E348" s="1179"/>
      <c r="F348" s="1179"/>
      <c r="G348" s="279"/>
    </row>
    <row r="349" spans="1:7" ht="14.25">
      <c r="A349" s="1189"/>
      <c r="B349" s="1179"/>
      <c r="C349" s="1179"/>
      <c r="D349" s="1179"/>
      <c r="E349" s="1179"/>
      <c r="F349" s="1179"/>
      <c r="G349" s="279"/>
    </row>
    <row r="350" spans="1:7" ht="14.25">
      <c r="A350" s="1189"/>
      <c r="B350" s="1179"/>
      <c r="C350" s="1179"/>
      <c r="D350" s="1179"/>
      <c r="E350" s="1179"/>
      <c r="F350" s="1179"/>
      <c r="G350" s="279"/>
    </row>
    <row r="351" spans="1:7" ht="14.25">
      <c r="A351" s="1189"/>
      <c r="B351" s="1179"/>
      <c r="C351" s="1179"/>
      <c r="D351" s="1179"/>
      <c r="E351" s="1179"/>
      <c r="F351" s="1179"/>
      <c r="G351" s="279"/>
    </row>
    <row r="352" spans="1:7" ht="14.25">
      <c r="A352" s="1189"/>
      <c r="B352" s="1179"/>
      <c r="C352" s="1179"/>
      <c r="D352" s="1179"/>
      <c r="E352" s="1179"/>
      <c r="F352" s="1179"/>
      <c r="G352" s="279"/>
    </row>
    <row r="353" spans="1:7" ht="14.25">
      <c r="A353" s="1189"/>
      <c r="B353" s="1179"/>
      <c r="C353" s="1179"/>
      <c r="D353" s="1179"/>
      <c r="E353" s="1179"/>
      <c r="F353" s="1179"/>
      <c r="G353" s="279"/>
    </row>
    <row r="354" spans="1:7" ht="14.25">
      <c r="A354" s="1189"/>
      <c r="B354" s="1179"/>
      <c r="C354" s="1179"/>
      <c r="D354" s="1179"/>
      <c r="E354" s="1179"/>
      <c r="F354" s="1179"/>
      <c r="G354" s="279"/>
    </row>
    <row r="355" spans="1:7" ht="14.25">
      <c r="A355" s="1189"/>
      <c r="B355" s="1179"/>
      <c r="C355" s="1179"/>
      <c r="D355" s="1179"/>
      <c r="E355" s="1179"/>
      <c r="F355" s="1179"/>
      <c r="G355" s="279"/>
    </row>
    <row r="356" spans="1:7" ht="14.25">
      <c r="A356" s="1189"/>
      <c r="B356" s="1179"/>
      <c r="C356" s="1179"/>
      <c r="D356" s="1179"/>
      <c r="E356" s="1179"/>
      <c r="F356" s="1179"/>
      <c r="G356" s="279"/>
    </row>
    <row r="357" spans="1:7" ht="14.25">
      <c r="A357" s="1189"/>
      <c r="B357" s="1179"/>
      <c r="C357" s="1179"/>
      <c r="D357" s="1179"/>
      <c r="E357" s="1179"/>
      <c r="F357" s="1179"/>
      <c r="G357" s="279"/>
    </row>
    <row r="358" spans="1:7" ht="14.25">
      <c r="A358" s="1189"/>
      <c r="B358" s="1179"/>
      <c r="C358" s="1179"/>
      <c r="D358" s="1179"/>
      <c r="E358" s="1179"/>
      <c r="F358" s="1179"/>
      <c r="G358" s="279"/>
    </row>
    <row r="359" spans="1:7" ht="14.25">
      <c r="A359" s="1189"/>
      <c r="B359" s="1179"/>
      <c r="C359" s="1179"/>
      <c r="D359" s="1179"/>
      <c r="E359" s="1179"/>
      <c r="F359" s="1179"/>
      <c r="G359" s="279"/>
    </row>
    <row r="360" spans="1:7" ht="14.25">
      <c r="A360" s="1189"/>
      <c r="B360" s="1179"/>
      <c r="C360" s="1179"/>
      <c r="D360" s="1179"/>
      <c r="E360" s="1179"/>
      <c r="F360" s="1179"/>
      <c r="G360" s="279"/>
    </row>
    <row r="361" spans="1:7" ht="14.25">
      <c r="A361" s="1189"/>
      <c r="B361" s="1179"/>
      <c r="C361" s="1179"/>
      <c r="D361" s="1179"/>
      <c r="E361" s="1179"/>
      <c r="F361" s="1179"/>
      <c r="G361" s="279"/>
    </row>
    <row r="362" spans="1:7" ht="14.25">
      <c r="A362" s="1189"/>
      <c r="B362" s="1179"/>
      <c r="C362" s="1179"/>
      <c r="D362" s="1179"/>
      <c r="E362" s="1179"/>
      <c r="F362" s="1179"/>
      <c r="G362" s="279"/>
    </row>
    <row r="363" spans="1:7" ht="14.25">
      <c r="A363" s="1189"/>
      <c r="B363" s="1179"/>
      <c r="C363" s="1179"/>
      <c r="D363" s="1179"/>
      <c r="E363" s="1179"/>
      <c r="F363" s="1179"/>
      <c r="G363" s="279"/>
    </row>
    <row r="364" spans="1:7" ht="14.25">
      <c r="A364" s="1189"/>
      <c r="B364" s="1179"/>
      <c r="C364" s="1179"/>
      <c r="D364" s="1179"/>
      <c r="E364" s="1179"/>
      <c r="F364" s="1179"/>
      <c r="G364" s="279"/>
    </row>
    <row r="365" spans="1:7" ht="14.25">
      <c r="A365" s="1189"/>
      <c r="B365" s="1179"/>
      <c r="C365" s="1179"/>
      <c r="D365" s="1179"/>
      <c r="E365" s="1179"/>
      <c r="F365" s="1179"/>
      <c r="G365" s="279"/>
    </row>
    <row r="366" spans="1:7" ht="14.25">
      <c r="A366" s="1189"/>
      <c r="B366" s="1179"/>
      <c r="C366" s="1179"/>
      <c r="D366" s="1179"/>
      <c r="E366" s="1179"/>
      <c r="F366" s="1179"/>
      <c r="G366" s="279"/>
    </row>
    <row r="367" spans="1:7" ht="14.25">
      <c r="A367" s="1189"/>
      <c r="B367" s="1179"/>
      <c r="C367" s="1179"/>
      <c r="D367" s="1179"/>
      <c r="E367" s="1179"/>
      <c r="F367" s="1179"/>
      <c r="G367" s="279"/>
    </row>
    <row r="368" spans="1:7" ht="14.25">
      <c r="A368" s="1189"/>
      <c r="B368" s="1179"/>
      <c r="C368" s="1179"/>
      <c r="D368" s="1179"/>
      <c r="E368" s="1179"/>
      <c r="F368" s="1179"/>
      <c r="G368" s="279"/>
    </row>
    <row r="369" spans="1:7" ht="14.25">
      <c r="A369" s="1189"/>
      <c r="B369" s="1179"/>
      <c r="C369" s="1179"/>
      <c r="D369" s="1179"/>
      <c r="E369" s="1179"/>
      <c r="F369" s="1179"/>
      <c r="G369" s="279"/>
    </row>
    <row r="370" spans="1:7" ht="14.25">
      <c r="A370" s="1189"/>
      <c r="B370" s="1179"/>
      <c r="C370" s="1179"/>
      <c r="D370" s="1179"/>
      <c r="E370" s="1179"/>
      <c r="F370" s="1179"/>
      <c r="G370" s="279"/>
    </row>
    <row r="371" spans="1:7" ht="14.25">
      <c r="A371" s="1189"/>
      <c r="B371" s="1179"/>
      <c r="C371" s="1179"/>
      <c r="D371" s="1179"/>
      <c r="E371" s="1179"/>
      <c r="F371" s="1179"/>
      <c r="G371" s="279"/>
    </row>
    <row r="372" spans="1:7" ht="14.25">
      <c r="A372" s="1189"/>
      <c r="B372" s="1179"/>
      <c r="C372" s="1179"/>
      <c r="D372" s="1179"/>
      <c r="E372" s="1179"/>
      <c r="F372" s="1179"/>
      <c r="G372" s="279"/>
    </row>
    <row r="373" spans="1:7" ht="14.25">
      <c r="A373" s="1189"/>
      <c r="B373" s="1179"/>
      <c r="C373" s="1179"/>
      <c r="D373" s="1179"/>
      <c r="E373" s="1179"/>
      <c r="F373" s="1179"/>
      <c r="G373" s="279"/>
    </row>
    <row r="374" spans="1:7" ht="14.25">
      <c r="A374" s="1189"/>
      <c r="B374" s="1179"/>
      <c r="C374" s="1179"/>
      <c r="D374" s="1179"/>
      <c r="E374" s="1179"/>
      <c r="F374" s="1179"/>
      <c r="G374" s="279"/>
    </row>
    <row r="375" spans="1:7" ht="14.25">
      <c r="A375" s="1189"/>
      <c r="B375" s="1179"/>
      <c r="C375" s="1179"/>
      <c r="D375" s="1179"/>
      <c r="E375" s="1179"/>
      <c r="F375" s="1179"/>
      <c r="G375" s="279"/>
    </row>
    <row r="376" spans="1:7" ht="14.25">
      <c r="A376" s="1189"/>
      <c r="B376" s="1179"/>
      <c r="C376" s="1179"/>
      <c r="D376" s="1179"/>
      <c r="E376" s="1179"/>
      <c r="F376" s="1179"/>
      <c r="G376" s="279"/>
    </row>
    <row r="377" spans="1:7" ht="14.25">
      <c r="A377" s="1189"/>
      <c r="B377" s="1179"/>
      <c r="C377" s="1179"/>
      <c r="D377" s="1179"/>
      <c r="E377" s="1179"/>
      <c r="F377" s="1179"/>
      <c r="G377" s="279"/>
    </row>
    <row r="378" spans="1:7" ht="14.25">
      <c r="A378" s="1189"/>
      <c r="B378" s="1179"/>
      <c r="C378" s="1179"/>
      <c r="D378" s="1179"/>
      <c r="E378" s="1179"/>
      <c r="F378" s="1179"/>
      <c r="G378" s="279"/>
    </row>
    <row r="379" spans="1:7" ht="14.25">
      <c r="A379" s="1189"/>
      <c r="B379" s="1179"/>
      <c r="C379" s="1179"/>
      <c r="D379" s="1179"/>
      <c r="E379" s="1179"/>
      <c r="F379" s="1179"/>
      <c r="G379" s="279"/>
    </row>
    <row r="380" spans="1:7" ht="14.25">
      <c r="A380" s="1189"/>
      <c r="B380" s="1179"/>
      <c r="C380" s="1179"/>
      <c r="D380" s="1179"/>
      <c r="E380" s="1179"/>
      <c r="F380" s="1179"/>
      <c r="G380" s="279"/>
    </row>
    <row r="381" spans="1:7" ht="14.25">
      <c r="A381" s="1189"/>
      <c r="B381" s="1179"/>
      <c r="C381" s="1179"/>
      <c r="D381" s="1179"/>
      <c r="E381" s="1179"/>
      <c r="F381" s="1179"/>
      <c r="G381" s="279"/>
    </row>
    <row r="382" spans="1:7" ht="14.25">
      <c r="A382" s="1189"/>
      <c r="B382" s="1179"/>
      <c r="C382" s="1179"/>
      <c r="D382" s="1179"/>
      <c r="E382" s="1179"/>
      <c r="F382" s="1179"/>
      <c r="G382" s="279"/>
    </row>
    <row r="383" spans="1:7" ht="14.25">
      <c r="A383" s="1189"/>
      <c r="B383" s="1179"/>
      <c r="C383" s="1179"/>
      <c r="D383" s="1179"/>
      <c r="E383" s="1179"/>
      <c r="F383" s="1179"/>
      <c r="G383" s="279"/>
    </row>
    <row r="384" spans="1:7" ht="14.25">
      <c r="A384" s="1189"/>
      <c r="B384" s="1179"/>
      <c r="C384" s="1179"/>
      <c r="D384" s="1179"/>
      <c r="E384" s="1179"/>
      <c r="F384" s="1179"/>
      <c r="G384" s="279"/>
    </row>
    <row r="385" spans="1:7" ht="14.25">
      <c r="A385" s="1189"/>
      <c r="B385" s="1179"/>
      <c r="C385" s="1179"/>
      <c r="D385" s="1179"/>
      <c r="E385" s="1179"/>
      <c r="F385" s="1179"/>
      <c r="G385" s="279"/>
    </row>
    <row r="386" spans="1:7" ht="14.25">
      <c r="A386" s="1189"/>
      <c r="B386" s="1179"/>
      <c r="C386" s="1179"/>
      <c r="D386" s="1179"/>
      <c r="E386" s="1179"/>
      <c r="F386" s="1179"/>
      <c r="G386" s="279"/>
    </row>
    <row r="387" spans="1:7" ht="14.25">
      <c r="A387" s="1189"/>
      <c r="B387" s="1179"/>
      <c r="C387" s="1179"/>
      <c r="D387" s="1179"/>
      <c r="E387" s="1179"/>
      <c r="F387" s="1179"/>
      <c r="G387" s="279"/>
    </row>
    <row r="388" spans="1:7" ht="14.25">
      <c r="A388" s="1189"/>
      <c r="B388" s="1179"/>
      <c r="C388" s="1179"/>
      <c r="D388" s="1179"/>
      <c r="E388" s="1179"/>
      <c r="F388" s="1179"/>
      <c r="G388" s="279"/>
    </row>
    <row r="389" spans="1:7" ht="14.25">
      <c r="A389" s="1189"/>
      <c r="B389" s="1179"/>
      <c r="C389" s="1179"/>
      <c r="D389" s="1179"/>
      <c r="E389" s="1179"/>
      <c r="F389" s="1179"/>
      <c r="G389" s="279"/>
    </row>
    <row r="390" spans="1:7" ht="14.25">
      <c r="A390" s="1189"/>
      <c r="B390" s="1179"/>
      <c r="C390" s="1179"/>
      <c r="D390" s="1179"/>
      <c r="E390" s="1179"/>
      <c r="F390" s="1179"/>
      <c r="G390" s="279"/>
    </row>
    <row r="391" spans="1:7" ht="14.25">
      <c r="A391" s="1189"/>
      <c r="B391" s="1179"/>
      <c r="C391" s="1179"/>
      <c r="D391" s="1179"/>
      <c r="E391" s="1179"/>
      <c r="F391" s="1179"/>
      <c r="G391" s="279"/>
    </row>
    <row r="392" spans="1:7" ht="14.25">
      <c r="A392" s="1189"/>
      <c r="B392" s="1179"/>
      <c r="C392" s="1179"/>
      <c r="D392" s="1179"/>
      <c r="E392" s="1179"/>
      <c r="F392" s="1179"/>
      <c r="G392" s="279"/>
    </row>
    <row r="393" spans="1:7" ht="14.25">
      <c r="A393" s="1189"/>
      <c r="B393" s="1179"/>
      <c r="C393" s="1179"/>
      <c r="D393" s="1179"/>
      <c r="E393" s="1179"/>
      <c r="F393" s="1179"/>
      <c r="G393" s="279"/>
    </row>
    <row r="394" spans="1:7" ht="14.25">
      <c r="A394" s="1189"/>
      <c r="B394" s="1179"/>
      <c r="C394" s="1179"/>
      <c r="D394" s="1179"/>
      <c r="E394" s="1179"/>
      <c r="F394" s="1179"/>
      <c r="G394" s="279"/>
    </row>
    <row r="395" spans="1:7" ht="14.25">
      <c r="A395" s="1189"/>
      <c r="B395" s="1179"/>
      <c r="C395" s="1179"/>
      <c r="D395" s="1179"/>
      <c r="E395" s="1179"/>
      <c r="F395" s="1179"/>
      <c r="G395" s="279"/>
    </row>
    <row r="396" spans="1:7" ht="14.25">
      <c r="A396" s="1189"/>
      <c r="B396" s="1179"/>
      <c r="C396" s="1179"/>
      <c r="D396" s="1179"/>
      <c r="E396" s="1179"/>
      <c r="F396" s="1179"/>
      <c r="G396" s="279"/>
    </row>
    <row r="397" spans="1:7" ht="14.25">
      <c r="A397" s="1189"/>
      <c r="B397" s="1179"/>
      <c r="C397" s="1179"/>
      <c r="D397" s="1179"/>
      <c r="E397" s="1179"/>
      <c r="F397" s="1179"/>
      <c r="G397" s="279"/>
    </row>
    <row r="398" spans="1:7" ht="14.25">
      <c r="A398" s="1189"/>
      <c r="B398" s="1179"/>
      <c r="C398" s="1179"/>
      <c r="D398" s="1179"/>
      <c r="E398" s="1179"/>
      <c r="F398" s="1179"/>
      <c r="G398" s="279"/>
    </row>
    <row r="399" spans="1:7" ht="14.25">
      <c r="A399" s="1189"/>
      <c r="B399" s="1179"/>
      <c r="C399" s="1179"/>
      <c r="D399" s="1179"/>
      <c r="E399" s="1179"/>
      <c r="F399" s="1179"/>
      <c r="G399" s="279"/>
    </row>
    <row r="400" spans="1:7" ht="14.25">
      <c r="A400" s="1189"/>
      <c r="B400" s="1179"/>
      <c r="C400" s="1179"/>
      <c r="D400" s="1179"/>
      <c r="E400" s="1179"/>
      <c r="F400" s="1179"/>
      <c r="G400" s="279"/>
    </row>
    <row r="401" spans="1:7" ht="14.25">
      <c r="A401" s="1189"/>
      <c r="B401" s="1179"/>
      <c r="C401" s="1179"/>
      <c r="D401" s="1179"/>
      <c r="E401" s="1179"/>
      <c r="F401" s="1179"/>
      <c r="G401" s="279"/>
    </row>
    <row r="402" spans="1:7" ht="14.25">
      <c r="A402" s="1189"/>
      <c r="B402" s="1179"/>
      <c r="C402" s="1179"/>
      <c r="D402" s="1179"/>
      <c r="E402" s="1179"/>
      <c r="F402" s="1179"/>
      <c r="G402" s="279"/>
    </row>
    <row r="403" spans="1:7" ht="14.25">
      <c r="A403" s="1189"/>
      <c r="B403" s="1179"/>
      <c r="C403" s="1179"/>
      <c r="D403" s="1179"/>
      <c r="E403" s="1179"/>
      <c r="F403" s="1179"/>
      <c r="G403" s="279"/>
    </row>
    <row r="404" spans="1:7" ht="14.25">
      <c r="A404" s="1189"/>
      <c r="B404" s="1179"/>
      <c r="C404" s="1179"/>
      <c r="D404" s="1179"/>
      <c r="E404" s="1179"/>
      <c r="F404" s="1179"/>
      <c r="G404" s="279"/>
    </row>
    <row r="405" spans="1:7" ht="14.25">
      <c r="A405" s="1189"/>
      <c r="B405" s="1179"/>
      <c r="C405" s="1179"/>
      <c r="D405" s="1179"/>
      <c r="E405" s="1179"/>
      <c r="F405" s="1179"/>
      <c r="G405" s="279"/>
    </row>
    <row r="406" spans="1:7" ht="14.25">
      <c r="A406" s="1189"/>
      <c r="B406" s="1179"/>
      <c r="C406" s="1179"/>
      <c r="D406" s="1179"/>
      <c r="E406" s="1179"/>
      <c r="F406" s="1179"/>
      <c r="G406" s="279"/>
    </row>
    <row r="407" spans="1:7" ht="14.25">
      <c r="A407" s="1189"/>
      <c r="B407" s="1179"/>
      <c r="C407" s="1179"/>
      <c r="D407" s="1179"/>
      <c r="E407" s="1179"/>
      <c r="F407" s="1179"/>
      <c r="G407" s="279"/>
    </row>
    <row r="408" spans="1:7" ht="14.25">
      <c r="A408" s="1189"/>
      <c r="B408" s="1179"/>
      <c r="C408" s="1179"/>
      <c r="D408" s="1179"/>
      <c r="E408" s="1179"/>
      <c r="F408" s="1179"/>
      <c r="G408" s="279"/>
    </row>
    <row r="409" spans="1:7" ht="14.25">
      <c r="A409" s="1189"/>
      <c r="B409" s="1179"/>
      <c r="C409" s="1179"/>
      <c r="D409" s="1179"/>
      <c r="E409" s="1179"/>
      <c r="F409" s="1179"/>
      <c r="G409" s="279"/>
    </row>
    <row r="410" spans="1:7" ht="14.25">
      <c r="A410" s="1189"/>
      <c r="B410" s="1179"/>
      <c r="C410" s="1179"/>
      <c r="D410" s="1179"/>
      <c r="E410" s="1179"/>
      <c r="F410" s="1179"/>
      <c r="G410" s="279"/>
    </row>
    <row r="411" spans="1:7" ht="14.25">
      <c r="A411" s="1189"/>
      <c r="B411" s="1179"/>
      <c r="C411" s="1179"/>
      <c r="D411" s="1179"/>
      <c r="E411" s="1179"/>
      <c r="F411" s="1179"/>
      <c r="G411" s="279"/>
    </row>
    <row r="412" spans="1:7" ht="14.25">
      <c r="A412" s="1189"/>
      <c r="B412" s="1179"/>
      <c r="C412" s="1179"/>
      <c r="D412" s="1179"/>
      <c r="E412" s="1179"/>
      <c r="F412" s="1179"/>
      <c r="G412" s="279"/>
    </row>
    <row r="413" spans="1:7" ht="14.25">
      <c r="A413" s="1189"/>
      <c r="B413" s="1179"/>
      <c r="C413" s="1179"/>
      <c r="D413" s="1179"/>
      <c r="E413" s="1179"/>
      <c r="F413" s="1179"/>
      <c r="G413" s="279"/>
    </row>
    <row r="414" spans="1:7" ht="14.25">
      <c r="A414" s="1189"/>
      <c r="B414" s="1179"/>
      <c r="C414" s="1179"/>
      <c r="D414" s="1179"/>
      <c r="E414" s="1179"/>
      <c r="F414" s="1179"/>
      <c r="G414" s="279"/>
    </row>
    <row r="415" spans="1:7" ht="14.25">
      <c r="A415" s="1189"/>
      <c r="B415" s="1179"/>
      <c r="C415" s="1179"/>
      <c r="D415" s="1179"/>
      <c r="E415" s="1179"/>
      <c r="F415" s="1179"/>
      <c r="G415" s="279"/>
    </row>
    <row r="416" spans="1:7" ht="14.25">
      <c r="A416" s="1189"/>
      <c r="B416" s="1179"/>
      <c r="C416" s="1179"/>
      <c r="D416" s="1179"/>
      <c r="E416" s="1179"/>
      <c r="F416" s="1179"/>
      <c r="G416" s="279"/>
    </row>
    <row r="417" spans="1:7" ht="14.25">
      <c r="A417" s="1189"/>
      <c r="B417" s="1179"/>
      <c r="C417" s="1179"/>
      <c r="D417" s="1179"/>
      <c r="E417" s="1179"/>
      <c r="F417" s="1179"/>
      <c r="G417" s="279"/>
    </row>
    <row r="418" spans="1:7" ht="14.25">
      <c r="A418" s="1189"/>
      <c r="B418" s="1179"/>
      <c r="C418" s="1179"/>
      <c r="D418" s="1179"/>
      <c r="E418" s="1179"/>
      <c r="F418" s="1179"/>
      <c r="G418" s="279"/>
    </row>
    <row r="419" spans="1:7" ht="14.25">
      <c r="A419" s="1189"/>
      <c r="B419" s="1179"/>
      <c r="C419" s="1179"/>
      <c r="D419" s="1179"/>
      <c r="E419" s="1179"/>
      <c r="F419" s="1179"/>
      <c r="G419" s="279"/>
    </row>
    <row r="420" spans="1:7" ht="14.25">
      <c r="A420" s="1189"/>
      <c r="B420" s="1179"/>
      <c r="C420" s="1179"/>
      <c r="D420" s="1179"/>
      <c r="E420" s="1179"/>
      <c r="F420" s="1179"/>
      <c r="G420" s="279"/>
    </row>
    <row r="421" spans="1:7" ht="14.25">
      <c r="A421" s="1189"/>
      <c r="B421" s="1179"/>
      <c r="C421" s="1179"/>
      <c r="D421" s="1179"/>
      <c r="E421" s="1179"/>
      <c r="F421" s="1179"/>
      <c r="G421" s="279"/>
    </row>
    <row r="422" spans="1:7" ht="14.25">
      <c r="A422" s="1189"/>
      <c r="B422" s="1179"/>
      <c r="C422" s="1179"/>
      <c r="D422" s="1179"/>
      <c r="E422" s="1179"/>
      <c r="F422" s="1179"/>
      <c r="G422" s="279"/>
    </row>
    <row r="423" spans="1:7" ht="14.25">
      <c r="A423" s="1189"/>
      <c r="B423" s="1179"/>
      <c r="C423" s="1179"/>
      <c r="D423" s="1179"/>
      <c r="E423" s="1179"/>
      <c r="F423" s="1179"/>
      <c r="G423" s="279"/>
    </row>
    <row r="424" spans="1:7" ht="14.25">
      <c r="A424" s="1189"/>
      <c r="B424" s="1179"/>
      <c r="C424" s="1179"/>
      <c r="D424" s="1179"/>
      <c r="E424" s="1179"/>
      <c r="F424" s="1179"/>
      <c r="G424" s="279"/>
    </row>
    <row r="425" spans="1:7" ht="14.25">
      <c r="A425" s="1189"/>
      <c r="B425" s="1179"/>
      <c r="C425" s="1179"/>
      <c r="D425" s="1179"/>
      <c r="E425" s="1179"/>
      <c r="F425" s="1179"/>
      <c r="G425" s="279"/>
    </row>
    <row r="426" spans="1:7" ht="14.25">
      <c r="A426" s="1189"/>
      <c r="B426" s="1179"/>
      <c r="C426" s="1179"/>
      <c r="D426" s="1179"/>
      <c r="E426" s="1179"/>
      <c r="F426" s="1179"/>
      <c r="G426" s="279"/>
    </row>
    <row r="427" spans="1:7" ht="14.25">
      <c r="A427" s="1189"/>
      <c r="B427" s="1179"/>
      <c r="C427" s="1179"/>
      <c r="D427" s="1179"/>
      <c r="E427" s="1179"/>
      <c r="F427" s="1179"/>
      <c r="G427" s="279"/>
    </row>
    <row r="428" spans="1:7" ht="14.25">
      <c r="A428" s="1189"/>
      <c r="B428" s="1179"/>
      <c r="C428" s="1179"/>
      <c r="D428" s="1179"/>
      <c r="E428" s="1179"/>
      <c r="F428" s="1179"/>
      <c r="G428" s="279"/>
    </row>
    <row r="429" spans="1:7" ht="14.25">
      <c r="A429" s="1189"/>
      <c r="B429" s="1179"/>
      <c r="C429" s="1179"/>
      <c r="D429" s="1179"/>
      <c r="E429" s="1179"/>
      <c r="F429" s="1179"/>
      <c r="G429" s="279"/>
    </row>
    <row r="430" spans="1:7" ht="14.25">
      <c r="A430" s="1189"/>
      <c r="B430" s="1179"/>
      <c r="C430" s="1179"/>
      <c r="D430" s="1179"/>
      <c r="E430" s="1179"/>
      <c r="F430" s="1179"/>
      <c r="G430" s="279"/>
    </row>
    <row r="431" spans="1:7" ht="14.25">
      <c r="A431" s="1189"/>
      <c r="B431" s="1179"/>
      <c r="C431" s="1179"/>
      <c r="D431" s="1179"/>
      <c r="E431" s="1179"/>
      <c r="F431" s="1179"/>
      <c r="G431" s="279"/>
    </row>
    <row r="432" spans="1:7" ht="14.25">
      <c r="A432" s="1189"/>
      <c r="B432" s="1179"/>
      <c r="C432" s="1179"/>
      <c r="D432" s="1179"/>
      <c r="E432" s="1179"/>
      <c r="F432" s="1179"/>
      <c r="G432" s="279"/>
    </row>
    <row r="433" spans="1:7" ht="14.25">
      <c r="A433" s="1189"/>
      <c r="B433" s="1179"/>
      <c r="C433" s="1179"/>
      <c r="D433" s="1179"/>
      <c r="E433" s="1179"/>
      <c r="F433" s="1179"/>
      <c r="G433" s="279"/>
    </row>
    <row r="434" spans="1:7" ht="14.25">
      <c r="A434" s="1189"/>
      <c r="B434" s="1179"/>
      <c r="C434" s="1179"/>
      <c r="D434" s="1179"/>
      <c r="E434" s="1179"/>
      <c r="F434" s="1179"/>
      <c r="G434" s="279"/>
    </row>
    <row r="435" spans="1:7" ht="14.25">
      <c r="A435" s="1189"/>
      <c r="B435" s="1179"/>
      <c r="C435" s="1179"/>
      <c r="D435" s="1179"/>
      <c r="E435" s="1179"/>
      <c r="F435" s="1179"/>
      <c r="G435" s="279"/>
    </row>
    <row r="436" spans="1:7" ht="14.25">
      <c r="A436" s="1189"/>
      <c r="B436" s="1179"/>
      <c r="C436" s="1179"/>
      <c r="D436" s="1179"/>
      <c r="E436" s="1179"/>
      <c r="F436" s="1179"/>
      <c r="G436" s="279"/>
    </row>
    <row r="437" spans="1:7" ht="14.25">
      <c r="A437" s="1189"/>
      <c r="B437" s="1179"/>
      <c r="C437" s="1179"/>
      <c r="D437" s="1179"/>
      <c r="E437" s="1179"/>
      <c r="F437" s="1179"/>
      <c r="G437" s="279"/>
    </row>
    <row r="438" spans="1:7" ht="14.25">
      <c r="A438" s="1189"/>
      <c r="B438" s="1179"/>
      <c r="C438" s="1179"/>
      <c r="D438" s="1179"/>
      <c r="E438" s="1179"/>
      <c r="F438" s="1179"/>
      <c r="G438" s="279"/>
    </row>
    <row r="439" spans="1:7" ht="14.25">
      <c r="A439" s="1189"/>
      <c r="B439" s="1179"/>
      <c r="C439" s="1179"/>
      <c r="D439" s="1179"/>
      <c r="E439" s="1179"/>
      <c r="F439" s="1179"/>
      <c r="G439" s="279"/>
    </row>
    <row r="440" spans="1:7" ht="14.25">
      <c r="A440" s="1189"/>
      <c r="B440" s="1179"/>
      <c r="C440" s="1179"/>
      <c r="D440" s="1179"/>
      <c r="E440" s="1179"/>
      <c r="F440" s="1179"/>
      <c r="G440" s="279"/>
    </row>
    <row r="441" spans="1:7" ht="14.25">
      <c r="A441" s="1189"/>
      <c r="B441" s="1179"/>
      <c r="C441" s="1179"/>
      <c r="D441" s="1179"/>
      <c r="E441" s="1179"/>
      <c r="F441" s="1179"/>
      <c r="G441" s="279"/>
    </row>
    <row r="442" spans="1:7" ht="14.25">
      <c r="A442" s="1189"/>
      <c r="B442" s="1179"/>
      <c r="C442" s="1179"/>
      <c r="D442" s="1179"/>
      <c r="E442" s="1179"/>
      <c r="F442" s="1179"/>
      <c r="G442" s="279"/>
    </row>
    <row r="443" spans="1:7" ht="14.25">
      <c r="A443" s="1189"/>
      <c r="B443" s="1179"/>
      <c r="C443" s="1179"/>
      <c r="D443" s="1179"/>
      <c r="E443" s="1179"/>
      <c r="F443" s="1179"/>
      <c r="G443" s="279"/>
    </row>
    <row r="444" spans="1:7" ht="14.25">
      <c r="A444" s="1189"/>
      <c r="B444" s="1179"/>
      <c r="C444" s="1179"/>
      <c r="D444" s="1179"/>
      <c r="E444" s="1179"/>
      <c r="F444" s="1179"/>
      <c r="G444" s="279"/>
    </row>
    <row r="445" spans="1:7" ht="14.25">
      <c r="A445" s="1189"/>
      <c r="B445" s="1179"/>
      <c r="C445" s="1179"/>
      <c r="D445" s="1179"/>
      <c r="E445" s="1179"/>
      <c r="F445" s="1179"/>
      <c r="G445" s="279"/>
    </row>
    <row r="446" spans="1:7" ht="14.25">
      <c r="A446" s="1189"/>
      <c r="B446" s="1179"/>
      <c r="C446" s="1179"/>
      <c r="D446" s="1179"/>
      <c r="E446" s="1179"/>
      <c r="F446" s="1179"/>
      <c r="G446" s="279"/>
    </row>
    <row r="447" spans="1:7" ht="14.25">
      <c r="A447" s="1189"/>
      <c r="B447" s="1179"/>
      <c r="C447" s="1179"/>
      <c r="D447" s="1179"/>
      <c r="E447" s="1179"/>
      <c r="F447" s="1179"/>
      <c r="G447" s="279"/>
    </row>
    <row r="448" spans="1:7" ht="14.25">
      <c r="A448" s="1189"/>
      <c r="B448" s="1179"/>
      <c r="C448" s="1179"/>
      <c r="D448" s="1179"/>
      <c r="E448" s="1179"/>
      <c r="F448" s="1179"/>
      <c r="G448" s="279"/>
    </row>
    <row r="449" spans="1:7" ht="14.25">
      <c r="A449" s="1189"/>
      <c r="B449" s="1179"/>
      <c r="C449" s="1179"/>
      <c r="D449" s="1179"/>
      <c r="E449" s="1179"/>
      <c r="F449" s="1179"/>
      <c r="G449" s="279"/>
    </row>
    <row r="450" spans="1:7" ht="14.25">
      <c r="A450" s="1189"/>
      <c r="B450" s="1179"/>
      <c r="C450" s="1179"/>
      <c r="D450" s="1179"/>
      <c r="E450" s="1179"/>
      <c r="F450" s="1179"/>
      <c r="G450" s="279"/>
    </row>
    <row r="451" spans="1:7" ht="14.25">
      <c r="A451" s="1189"/>
      <c r="B451" s="1179"/>
      <c r="C451" s="1179"/>
      <c r="D451" s="1179"/>
      <c r="E451" s="1179"/>
      <c r="F451" s="1179"/>
      <c r="G451" s="279"/>
    </row>
    <row r="452" spans="1:7" ht="14.25">
      <c r="A452" s="1189"/>
      <c r="B452" s="1179"/>
      <c r="C452" s="1179"/>
      <c r="D452" s="1179"/>
      <c r="E452" s="1179"/>
      <c r="F452" s="1179"/>
      <c r="G452" s="279"/>
    </row>
    <row r="453" spans="1:7" ht="14.25">
      <c r="A453" s="1189"/>
      <c r="B453" s="1179"/>
      <c r="C453" s="1179"/>
      <c r="D453" s="1179"/>
      <c r="E453" s="1179"/>
      <c r="F453" s="1179"/>
      <c r="G453" s="279"/>
    </row>
    <row r="454" spans="1:7" ht="14.25">
      <c r="A454" s="1189"/>
      <c r="B454" s="1179"/>
      <c r="C454" s="1179"/>
      <c r="D454" s="1179"/>
      <c r="E454" s="1179"/>
      <c r="F454" s="1179"/>
      <c r="G454" s="279"/>
    </row>
    <row r="455" spans="1:7" ht="14.25">
      <c r="A455" s="1189"/>
      <c r="B455" s="1179"/>
      <c r="C455" s="1179"/>
      <c r="D455" s="1179"/>
      <c r="E455" s="1179"/>
      <c r="F455" s="1179"/>
      <c r="G455" s="279"/>
    </row>
    <row r="456" spans="1:7" ht="14.25">
      <c r="A456" s="1189"/>
      <c r="B456" s="1179"/>
      <c r="C456" s="1179"/>
      <c r="D456" s="1179"/>
      <c r="E456" s="1179"/>
      <c r="F456" s="1179"/>
      <c r="G456" s="279"/>
    </row>
    <row r="457" spans="1:7" ht="14.25">
      <c r="A457" s="1189"/>
      <c r="B457" s="1179"/>
      <c r="C457" s="1179"/>
      <c r="D457" s="1179"/>
      <c r="E457" s="1179"/>
      <c r="F457" s="1179"/>
      <c r="G457" s="279"/>
    </row>
    <row r="458" spans="1:7" ht="14.25">
      <c r="A458" s="1189"/>
      <c r="B458" s="1179"/>
      <c r="C458" s="1179"/>
      <c r="D458" s="1179"/>
      <c r="E458" s="1179"/>
      <c r="F458" s="1179"/>
      <c r="G458" s="279"/>
    </row>
    <row r="459" spans="1:7" ht="14.25">
      <c r="A459" s="1189"/>
      <c r="B459" s="1179"/>
      <c r="C459" s="1179"/>
      <c r="D459" s="1179"/>
      <c r="E459" s="1179"/>
      <c r="F459" s="1179"/>
      <c r="G459" s="279"/>
    </row>
    <row r="460" spans="1:7" ht="14.25">
      <c r="A460" s="1189"/>
      <c r="B460" s="1179"/>
      <c r="C460" s="1179"/>
      <c r="D460" s="1179"/>
      <c r="E460" s="1179"/>
      <c r="F460" s="1179"/>
      <c r="G460" s="279"/>
    </row>
    <row r="461" spans="1:7" ht="14.25">
      <c r="A461" s="1189"/>
      <c r="B461" s="1179"/>
      <c r="C461" s="1179"/>
      <c r="D461" s="1179"/>
      <c r="E461" s="1179"/>
      <c r="F461" s="1179"/>
      <c r="G461" s="279"/>
    </row>
    <row r="462" spans="1:7" ht="14.25">
      <c r="A462" s="1189"/>
      <c r="B462" s="1179"/>
      <c r="C462" s="1179"/>
      <c r="D462" s="1179"/>
      <c r="E462" s="1179"/>
      <c r="F462" s="1179"/>
      <c r="G462" s="279"/>
    </row>
    <row r="463" spans="1:7" ht="14.25">
      <c r="A463" s="1189"/>
      <c r="B463" s="1179"/>
      <c r="C463" s="1179"/>
      <c r="D463" s="1179"/>
      <c r="E463" s="1179"/>
      <c r="F463" s="1179"/>
      <c r="G463" s="279"/>
    </row>
    <row r="464" spans="1:7" ht="14.25">
      <c r="A464" s="1189"/>
      <c r="B464" s="1179"/>
      <c r="C464" s="1179"/>
      <c r="D464" s="1179"/>
      <c r="E464" s="1179"/>
      <c r="F464" s="1179"/>
      <c r="G464" s="279"/>
    </row>
    <row r="465" spans="1:7" ht="14.25">
      <c r="A465" s="1189"/>
      <c r="B465" s="1179"/>
      <c r="C465" s="1179"/>
      <c r="D465" s="1179"/>
      <c r="E465" s="1179"/>
      <c r="F465" s="1179"/>
      <c r="G465" s="279"/>
    </row>
    <row r="466" spans="1:7" ht="14.25">
      <c r="A466" s="1189"/>
      <c r="B466" s="1179"/>
      <c r="C466" s="1179"/>
      <c r="D466" s="1179"/>
      <c r="E466" s="1179"/>
      <c r="F466" s="1179"/>
      <c r="G466" s="279"/>
    </row>
    <row r="467" spans="1:7" ht="14.25">
      <c r="A467" s="1189"/>
      <c r="B467" s="1179"/>
      <c r="C467" s="1179"/>
      <c r="D467" s="1179"/>
      <c r="E467" s="1179"/>
      <c r="F467" s="1179"/>
      <c r="G467" s="279"/>
    </row>
    <row r="468" spans="1:7" ht="14.25">
      <c r="A468" s="1189"/>
      <c r="B468" s="1179"/>
      <c r="C468" s="1179"/>
      <c r="D468" s="1179"/>
      <c r="E468" s="1179"/>
      <c r="F468" s="1179"/>
      <c r="G468" s="279"/>
    </row>
    <row r="469" spans="1:7" ht="14.25">
      <c r="A469" s="1189"/>
      <c r="B469" s="1179"/>
      <c r="C469" s="1179"/>
      <c r="D469" s="1179"/>
      <c r="E469" s="1179"/>
      <c r="F469" s="1179"/>
      <c r="G469" s="279"/>
    </row>
    <row r="470" spans="1:7" ht="14.25">
      <c r="A470" s="1189"/>
      <c r="B470" s="1179"/>
      <c r="C470" s="1179"/>
      <c r="D470" s="1179"/>
      <c r="E470" s="1179"/>
      <c r="F470" s="1179"/>
      <c r="G470" s="279"/>
    </row>
    <row r="471" spans="1:7" ht="14.25">
      <c r="A471" s="1189"/>
      <c r="B471" s="1179"/>
      <c r="C471" s="1179"/>
      <c r="D471" s="1179"/>
      <c r="E471" s="1179"/>
      <c r="F471" s="1179"/>
      <c r="G471" s="279"/>
    </row>
    <row r="472" spans="1:7" ht="14.25">
      <c r="A472" s="1189"/>
      <c r="B472" s="1179"/>
      <c r="C472" s="1179"/>
      <c r="D472" s="1179"/>
      <c r="E472" s="1179"/>
      <c r="F472" s="1179"/>
      <c r="G472" s="279"/>
    </row>
    <row r="473" spans="1:7" ht="14.25">
      <c r="A473" s="1189"/>
      <c r="B473" s="1179"/>
      <c r="C473" s="1179"/>
      <c r="D473" s="1179"/>
      <c r="E473" s="1179"/>
      <c r="F473" s="1179"/>
      <c r="G473" s="279"/>
    </row>
    <row r="474" spans="1:7" ht="14.25">
      <c r="A474" s="1189"/>
      <c r="B474" s="1179"/>
      <c r="C474" s="1179"/>
      <c r="D474" s="1179"/>
      <c r="E474" s="1179"/>
      <c r="F474" s="1179"/>
      <c r="G474" s="279"/>
    </row>
    <row r="475" spans="1:7" ht="14.25">
      <c r="A475" s="1189"/>
      <c r="B475" s="1179"/>
      <c r="C475" s="1179"/>
      <c r="D475" s="1179"/>
      <c r="E475" s="1179"/>
      <c r="F475" s="1179"/>
      <c r="G475" s="279"/>
    </row>
    <row r="476" spans="1:7" ht="14.25">
      <c r="A476" s="1189"/>
      <c r="B476" s="1179"/>
      <c r="C476" s="1179"/>
      <c r="D476" s="1179"/>
      <c r="E476" s="1179"/>
      <c r="F476" s="1179"/>
      <c r="G476" s="279"/>
    </row>
    <row r="477" spans="1:7" ht="14.25">
      <c r="A477" s="1189"/>
      <c r="B477" s="1179"/>
      <c r="C477" s="1179"/>
      <c r="D477" s="1179"/>
      <c r="E477" s="1179"/>
      <c r="F477" s="1179"/>
      <c r="G477" s="279"/>
    </row>
    <row r="478" spans="1:7" ht="14.25">
      <c r="A478" s="1189"/>
      <c r="B478" s="1179"/>
      <c r="C478" s="1179"/>
      <c r="D478" s="1179"/>
      <c r="E478" s="1179"/>
      <c r="F478" s="1179"/>
      <c r="G478" s="279"/>
    </row>
    <row r="479" spans="1:7" ht="14.25">
      <c r="A479" s="1189"/>
      <c r="B479" s="1179"/>
      <c r="C479" s="1179"/>
      <c r="D479" s="1179"/>
      <c r="E479" s="1179"/>
      <c r="F479" s="1179"/>
      <c r="G479" s="279"/>
    </row>
    <row r="480" spans="1:7" ht="14.25">
      <c r="A480" s="1189"/>
      <c r="B480" s="1179"/>
      <c r="C480" s="1179"/>
      <c r="D480" s="1179"/>
      <c r="E480" s="1179"/>
      <c r="F480" s="1179"/>
      <c r="G480" s="279"/>
    </row>
    <row r="481" spans="1:7" ht="14.25">
      <c r="A481" s="1189"/>
      <c r="B481" s="1179"/>
      <c r="C481" s="1179"/>
      <c r="D481" s="1179"/>
      <c r="E481" s="1179"/>
      <c r="F481" s="1179"/>
      <c r="G481" s="279"/>
    </row>
    <row r="482" spans="1:7" ht="14.25">
      <c r="A482" s="1189"/>
      <c r="B482" s="1179"/>
      <c r="C482" s="1179"/>
      <c r="D482" s="1179"/>
      <c r="E482" s="1179"/>
      <c r="F482" s="1179"/>
      <c r="G482" s="279"/>
    </row>
    <row r="483" spans="1:7" ht="14.25">
      <c r="A483" s="1189"/>
      <c r="B483" s="1179"/>
      <c r="C483" s="1179"/>
      <c r="D483" s="1179"/>
      <c r="E483" s="1179"/>
      <c r="F483" s="1179"/>
      <c r="G483" s="279"/>
    </row>
    <row r="484" spans="1:7" ht="14.25">
      <c r="A484" s="1189"/>
      <c r="B484" s="1179"/>
      <c r="C484" s="1179"/>
      <c r="D484" s="1179"/>
      <c r="E484" s="1179"/>
      <c r="F484" s="1179"/>
      <c r="G484" s="279"/>
    </row>
    <row r="485" spans="1:7" ht="14.25">
      <c r="A485" s="1189"/>
      <c r="B485" s="1179"/>
      <c r="C485" s="1179"/>
      <c r="D485" s="1179"/>
      <c r="E485" s="1179"/>
      <c r="F485" s="1179"/>
      <c r="G485" s="279"/>
    </row>
    <row r="486" spans="1:7" ht="14.25">
      <c r="A486" s="1189"/>
      <c r="B486" s="1179"/>
      <c r="C486" s="1179"/>
      <c r="D486" s="1179"/>
      <c r="E486" s="1179"/>
      <c r="F486" s="1179"/>
      <c r="G486" s="279"/>
    </row>
    <row r="487" spans="1:7" ht="14.25">
      <c r="A487" s="1189"/>
      <c r="B487" s="1179"/>
      <c r="C487" s="1179"/>
      <c r="D487" s="1179"/>
      <c r="E487" s="1179"/>
      <c r="F487" s="1179"/>
      <c r="G487" s="279"/>
    </row>
    <row r="488" spans="1:7" ht="14.25">
      <c r="A488" s="1189"/>
      <c r="B488" s="1179"/>
      <c r="C488" s="1179"/>
      <c r="D488" s="1179"/>
      <c r="E488" s="1179"/>
      <c r="F488" s="1179"/>
      <c r="G488" s="279"/>
    </row>
    <row r="489" spans="1:7" ht="14.25">
      <c r="A489" s="1189"/>
      <c r="B489" s="1179"/>
      <c r="C489" s="1179"/>
      <c r="D489" s="1179"/>
      <c r="E489" s="1179"/>
      <c r="F489" s="1179"/>
      <c r="G489" s="279"/>
    </row>
    <row r="490" spans="1:7" ht="14.25">
      <c r="A490" s="1189"/>
      <c r="B490" s="1179"/>
      <c r="C490" s="1179"/>
      <c r="D490" s="1179"/>
      <c r="E490" s="1179"/>
      <c r="F490" s="1179"/>
      <c r="G490" s="279"/>
    </row>
    <row r="491" spans="1:7" ht="14.25">
      <c r="A491" s="1189"/>
      <c r="B491" s="1179"/>
      <c r="C491" s="1179"/>
      <c r="D491" s="1179"/>
      <c r="E491" s="1179"/>
      <c r="F491" s="1179"/>
      <c r="G491" s="279"/>
    </row>
    <row r="492" spans="1:7" ht="14.25">
      <c r="A492" s="1189"/>
      <c r="B492" s="1179"/>
      <c r="C492" s="1179"/>
      <c r="D492" s="1179"/>
      <c r="E492" s="1179"/>
      <c r="F492" s="1179"/>
      <c r="G492" s="279"/>
    </row>
    <row r="493" spans="1:7" ht="14.25">
      <c r="A493" s="1189"/>
      <c r="B493" s="1179"/>
      <c r="C493" s="1179"/>
      <c r="D493" s="1179"/>
      <c r="E493" s="1179"/>
      <c r="F493" s="1179"/>
      <c r="G493" s="279"/>
    </row>
    <row r="494" spans="1:7" ht="14.25">
      <c r="A494" s="1189"/>
      <c r="B494" s="1179"/>
      <c r="C494" s="1179"/>
      <c r="D494" s="1179"/>
      <c r="E494" s="1179"/>
      <c r="F494" s="1179"/>
      <c r="G494" s="279"/>
    </row>
    <row r="495" spans="1:7" ht="14.25">
      <c r="A495" s="1189"/>
      <c r="B495" s="1179"/>
      <c r="C495" s="1179"/>
      <c r="D495" s="1179"/>
      <c r="E495" s="1179"/>
      <c r="F495" s="1179"/>
      <c r="G495" s="279"/>
    </row>
    <row r="496" spans="1:7" ht="14.25">
      <c r="A496" s="1189"/>
      <c r="B496" s="1179"/>
      <c r="C496" s="1179"/>
      <c r="D496" s="1179"/>
      <c r="E496" s="1179"/>
      <c r="F496" s="1179"/>
      <c r="G496" s="279"/>
    </row>
    <row r="497" spans="1:7" ht="14.25">
      <c r="A497" s="1189"/>
      <c r="B497" s="1179"/>
      <c r="C497" s="1179"/>
      <c r="D497" s="1179"/>
      <c r="E497" s="1179"/>
      <c r="F497" s="1179"/>
      <c r="G497" s="279"/>
    </row>
    <row r="498" spans="1:7" ht="14.25">
      <c r="A498" s="1189"/>
      <c r="B498" s="1179"/>
      <c r="C498" s="1179"/>
      <c r="D498" s="1179"/>
      <c r="E498" s="1179"/>
      <c r="F498" s="1179"/>
      <c r="G498" s="279"/>
    </row>
    <row r="499" spans="1:7" ht="14.25">
      <c r="A499" s="1189"/>
      <c r="B499" s="1179"/>
      <c r="C499" s="1179"/>
      <c r="D499" s="1179"/>
      <c r="E499" s="1179"/>
      <c r="F499" s="1179"/>
      <c r="G499" s="279"/>
    </row>
    <row r="500" spans="1:7" ht="14.25">
      <c r="A500" s="1189"/>
      <c r="B500" s="1179"/>
      <c r="C500" s="1179"/>
      <c r="D500" s="1179"/>
      <c r="E500" s="1179"/>
      <c r="F500" s="1179"/>
      <c r="G500" s="279"/>
    </row>
    <row r="501" spans="1:7" ht="14.25">
      <c r="A501" s="1189"/>
      <c r="B501" s="1179"/>
      <c r="C501" s="1179"/>
      <c r="D501" s="1179"/>
      <c r="E501" s="1179"/>
      <c r="F501" s="1179"/>
      <c r="G501" s="279"/>
    </row>
    <row r="502" spans="1:7" ht="14.25">
      <c r="A502" s="1189"/>
      <c r="B502" s="1179"/>
      <c r="C502" s="1179"/>
      <c r="D502" s="1179"/>
      <c r="E502" s="1179"/>
      <c r="F502" s="1179"/>
      <c r="G502" s="279"/>
    </row>
    <row r="503" spans="1:7" ht="14.25">
      <c r="A503" s="1189"/>
      <c r="B503" s="1179"/>
      <c r="C503" s="1179"/>
      <c r="D503" s="1179"/>
      <c r="E503" s="1179"/>
      <c r="F503" s="1179"/>
      <c r="G503" s="279"/>
    </row>
    <row r="504" spans="1:7" ht="14.25">
      <c r="A504" s="1189"/>
      <c r="B504" s="1179"/>
      <c r="C504" s="1179"/>
      <c r="D504" s="1179"/>
      <c r="E504" s="1179"/>
      <c r="F504" s="1179"/>
      <c r="G504" s="279"/>
    </row>
    <row r="505" spans="1:7" ht="14.25">
      <c r="A505" s="1189"/>
      <c r="B505" s="1179"/>
      <c r="C505" s="1179"/>
      <c r="D505" s="1179"/>
      <c r="E505" s="1179"/>
      <c r="F505" s="1179"/>
      <c r="G505" s="279"/>
    </row>
    <row r="506" spans="1:7" ht="14.25">
      <c r="A506" s="1189"/>
      <c r="B506" s="1179"/>
      <c r="C506" s="1179"/>
      <c r="D506" s="1179"/>
      <c r="E506" s="1179"/>
      <c r="F506" s="1179"/>
      <c r="G506" s="279"/>
    </row>
    <row r="507" spans="1:7" ht="14.25">
      <c r="A507" s="1189"/>
      <c r="B507" s="1179"/>
      <c r="C507" s="1179"/>
      <c r="D507" s="1179"/>
      <c r="E507" s="1179"/>
      <c r="F507" s="1179"/>
      <c r="G507" s="279"/>
    </row>
    <row r="508" spans="1:7" ht="14.25">
      <c r="A508" s="1189"/>
      <c r="B508" s="1179"/>
      <c r="C508" s="1179"/>
      <c r="D508" s="1179"/>
      <c r="E508" s="1179"/>
      <c r="F508" s="1179"/>
      <c r="G508" s="279"/>
    </row>
    <row r="509" spans="1:7" ht="14.25">
      <c r="A509" s="1189"/>
      <c r="B509" s="1179"/>
      <c r="C509" s="1179"/>
      <c r="D509" s="1179"/>
      <c r="E509" s="1179"/>
      <c r="F509" s="1179"/>
      <c r="G509" s="279"/>
    </row>
    <row r="510" spans="1:7" ht="14.25">
      <c r="A510" s="1189"/>
      <c r="B510" s="1179"/>
      <c r="C510" s="1179"/>
      <c r="D510" s="1179"/>
      <c r="E510" s="1179"/>
      <c r="F510" s="1179"/>
      <c r="G510" s="279"/>
    </row>
    <row r="511" spans="1:7" ht="14.25">
      <c r="A511" s="1189"/>
      <c r="B511" s="1179"/>
      <c r="C511" s="1179"/>
      <c r="D511" s="1179"/>
      <c r="E511" s="1179"/>
      <c r="F511" s="1179"/>
      <c r="G511" s="279"/>
    </row>
    <row r="512" spans="1:7" ht="14.25">
      <c r="A512" s="1189"/>
      <c r="B512" s="1179"/>
      <c r="C512" s="1179"/>
      <c r="D512" s="1179"/>
      <c r="E512" s="1179"/>
      <c r="F512" s="1179"/>
      <c r="G512" s="279"/>
    </row>
    <row r="513" spans="1:7" ht="14.25">
      <c r="A513" s="1189"/>
      <c r="B513" s="1179"/>
      <c r="C513" s="1179"/>
      <c r="D513" s="1179"/>
      <c r="E513" s="1179"/>
      <c r="F513" s="1179"/>
      <c r="G513" s="279"/>
    </row>
    <row r="514" spans="1:7" ht="14.25">
      <c r="A514" s="1189"/>
      <c r="B514" s="1179"/>
      <c r="C514" s="1179"/>
      <c r="D514" s="1179"/>
      <c r="E514" s="1179"/>
      <c r="F514" s="1179"/>
      <c r="G514" s="279"/>
    </row>
    <row r="515" spans="1:7" ht="14.25">
      <c r="A515" s="1189"/>
      <c r="B515" s="1179"/>
      <c r="C515" s="1179"/>
      <c r="D515" s="1179"/>
      <c r="E515" s="1179"/>
      <c r="F515" s="1179"/>
      <c r="G515" s="279"/>
    </row>
    <row r="516" spans="1:7" ht="14.25">
      <c r="A516" s="1189"/>
      <c r="B516" s="1179"/>
      <c r="C516" s="1179"/>
      <c r="D516" s="1179"/>
      <c r="E516" s="1179"/>
      <c r="F516" s="1179"/>
      <c r="G516" s="279"/>
    </row>
    <row r="517" spans="1:7" ht="14.25">
      <c r="A517" s="1189"/>
      <c r="B517" s="1179"/>
      <c r="C517" s="1179"/>
      <c r="D517" s="1179"/>
      <c r="E517" s="1179"/>
      <c r="F517" s="1179"/>
      <c r="G517" s="279"/>
    </row>
    <row r="518" spans="1:7" ht="14.25">
      <c r="A518" s="1189"/>
      <c r="B518" s="1179"/>
      <c r="C518" s="1179"/>
      <c r="D518" s="1179"/>
      <c r="E518" s="1179"/>
      <c r="F518" s="1179"/>
      <c r="G518" s="279"/>
    </row>
    <row r="519" spans="1:7" ht="14.25">
      <c r="A519" s="1189"/>
      <c r="B519" s="1179"/>
      <c r="C519" s="1179"/>
      <c r="D519" s="1179"/>
      <c r="E519" s="1179"/>
      <c r="F519" s="1179"/>
      <c r="G519" s="279"/>
    </row>
    <row r="520" spans="1:7" ht="14.25">
      <c r="A520" s="1189"/>
      <c r="B520" s="1179"/>
      <c r="C520" s="1179"/>
      <c r="D520" s="1179"/>
      <c r="E520" s="1179"/>
      <c r="F520" s="1179"/>
      <c r="G520" s="279"/>
    </row>
    <row r="521" spans="1:7" ht="14.25">
      <c r="A521" s="1189"/>
      <c r="B521" s="1179"/>
      <c r="C521" s="1179"/>
      <c r="D521" s="1179"/>
      <c r="E521" s="1179"/>
      <c r="F521" s="1179"/>
      <c r="G521" s="279"/>
    </row>
    <row r="522" spans="1:7" ht="14.25">
      <c r="A522" s="1189"/>
      <c r="B522" s="1179"/>
      <c r="C522" s="1179"/>
      <c r="D522" s="1179"/>
      <c r="E522" s="1179"/>
      <c r="F522" s="1179"/>
      <c r="G522" s="279"/>
    </row>
    <row r="523" spans="1:7" ht="14.25">
      <c r="A523" s="1189"/>
      <c r="B523" s="1179"/>
      <c r="C523" s="1179"/>
      <c r="D523" s="1179"/>
      <c r="E523" s="1179"/>
      <c r="F523" s="1179"/>
      <c r="G523" s="279"/>
    </row>
    <row r="524" spans="1:7" ht="14.25">
      <c r="A524" s="1189"/>
      <c r="B524" s="1179"/>
      <c r="C524" s="1179"/>
      <c r="D524" s="1179"/>
      <c r="E524" s="1179"/>
      <c r="F524" s="1179"/>
      <c r="G524" s="279"/>
    </row>
    <row r="525" spans="1:7" ht="14.25">
      <c r="A525" s="1189"/>
      <c r="B525" s="1179"/>
      <c r="C525" s="1179"/>
      <c r="D525" s="1179"/>
      <c r="E525" s="1179"/>
      <c r="F525" s="1179"/>
      <c r="G525" s="279"/>
    </row>
    <row r="526" spans="1:7" ht="14.25">
      <c r="A526" s="1189"/>
      <c r="B526" s="1179"/>
      <c r="C526" s="1179"/>
      <c r="D526" s="1179"/>
      <c r="E526" s="1179"/>
      <c r="F526" s="1179"/>
      <c r="G526" s="279"/>
    </row>
    <row r="527" spans="1:7" ht="14.25">
      <c r="A527" s="1189"/>
      <c r="B527" s="1179"/>
      <c r="C527" s="1179"/>
      <c r="D527" s="1179"/>
      <c r="E527" s="1179"/>
      <c r="F527" s="1179"/>
      <c r="G527" s="279"/>
    </row>
    <row r="528" spans="1:7" ht="14.25">
      <c r="A528" s="1189"/>
      <c r="B528" s="1179"/>
      <c r="C528" s="1179"/>
      <c r="D528" s="1179"/>
      <c r="E528" s="1179"/>
      <c r="F528" s="1179"/>
      <c r="G528" s="279"/>
    </row>
    <row r="529" spans="1:7" ht="14.25">
      <c r="A529" s="1189"/>
      <c r="B529" s="1179"/>
      <c r="C529" s="1179"/>
      <c r="D529" s="1179"/>
      <c r="E529" s="1179"/>
      <c r="F529" s="1179"/>
      <c r="G529" s="279"/>
    </row>
    <row r="530" spans="1:7" ht="14.25">
      <c r="A530" s="1189"/>
      <c r="B530" s="1179"/>
      <c r="C530" s="1179"/>
      <c r="D530" s="1179"/>
      <c r="E530" s="1179"/>
      <c r="F530" s="1179"/>
      <c r="G530" s="279"/>
    </row>
    <row r="531" spans="1:7" ht="14.25">
      <c r="A531" s="1189"/>
      <c r="B531" s="1179"/>
      <c r="C531" s="1179"/>
      <c r="D531" s="1179"/>
      <c r="E531" s="1179"/>
      <c r="F531" s="1179"/>
      <c r="G531" s="279"/>
    </row>
    <row r="532" spans="1:7" ht="14.25">
      <c r="A532" s="1189"/>
      <c r="B532" s="1179"/>
      <c r="C532" s="1179"/>
      <c r="D532" s="1179"/>
      <c r="E532" s="1179"/>
      <c r="F532" s="1179"/>
      <c r="G532" s="279"/>
    </row>
    <row r="533" spans="1:7" ht="14.25">
      <c r="A533" s="1189"/>
      <c r="B533" s="1179"/>
      <c r="C533" s="1179"/>
      <c r="D533" s="1179"/>
      <c r="E533" s="1179"/>
      <c r="F533" s="1179"/>
      <c r="G533" s="279"/>
    </row>
    <row r="534" spans="1:7" ht="14.25">
      <c r="A534" s="1189"/>
      <c r="B534" s="1179"/>
      <c r="C534" s="1179"/>
      <c r="D534" s="1179"/>
      <c r="E534" s="1179"/>
      <c r="F534" s="1179"/>
      <c r="G534" s="279"/>
    </row>
    <row r="535" spans="1:7" ht="14.25">
      <c r="A535" s="1189"/>
      <c r="B535" s="1179"/>
      <c r="C535" s="1179"/>
      <c r="D535" s="1179"/>
      <c r="E535" s="1179"/>
      <c r="F535" s="1179"/>
      <c r="G535" s="279"/>
    </row>
    <row r="536" spans="1:7" ht="14.25">
      <c r="A536" s="1189"/>
      <c r="B536" s="1179"/>
      <c r="C536" s="1179"/>
      <c r="D536" s="1179"/>
      <c r="E536" s="1179"/>
      <c r="F536" s="1179"/>
      <c r="G536" s="279"/>
    </row>
    <row r="537" spans="1:7" ht="14.25">
      <c r="A537" s="1189"/>
      <c r="B537" s="1179"/>
      <c r="C537" s="1179"/>
      <c r="D537" s="1179"/>
      <c r="E537" s="1179"/>
      <c r="F537" s="1179"/>
      <c r="G537" s="279"/>
    </row>
    <row r="538" spans="1:7" ht="14.25">
      <c r="A538" s="1189"/>
      <c r="B538" s="1179"/>
      <c r="C538" s="1179"/>
      <c r="D538" s="1179"/>
      <c r="E538" s="1179"/>
      <c r="F538" s="1179"/>
      <c r="G538" s="279"/>
    </row>
    <row r="539" spans="1:7" ht="14.25">
      <c r="A539" s="1189"/>
      <c r="B539" s="1179"/>
      <c r="C539" s="1179"/>
      <c r="D539" s="1179"/>
      <c r="E539" s="1179"/>
      <c r="F539" s="1179"/>
      <c r="G539" s="279"/>
    </row>
    <row r="540" spans="1:7" ht="14.25">
      <c r="A540" s="1189"/>
      <c r="B540" s="1179"/>
      <c r="C540" s="1179"/>
      <c r="D540" s="1179"/>
      <c r="E540" s="1179"/>
      <c r="F540" s="1179"/>
      <c r="G540" s="279"/>
    </row>
    <row r="541" spans="1:7" ht="14.25">
      <c r="A541" s="1189"/>
      <c r="B541" s="1179"/>
      <c r="C541" s="1179"/>
      <c r="D541" s="1179"/>
      <c r="E541" s="1179"/>
      <c r="F541" s="1179"/>
      <c r="G541" s="279"/>
    </row>
    <row r="542" spans="1:7" ht="14.25">
      <c r="A542" s="1189"/>
      <c r="B542" s="1179"/>
      <c r="C542" s="1179"/>
      <c r="D542" s="1179"/>
      <c r="E542" s="1179"/>
      <c r="F542" s="1179"/>
      <c r="G542" s="279"/>
    </row>
    <row r="543" spans="1:7" ht="14.25">
      <c r="A543" s="1189"/>
      <c r="B543" s="1179"/>
      <c r="C543" s="1179"/>
      <c r="D543" s="1179"/>
      <c r="E543" s="1179"/>
      <c r="F543" s="1179"/>
      <c r="G543" s="279"/>
    </row>
    <row r="544" spans="1:7" ht="14.25">
      <c r="A544" s="1189"/>
      <c r="B544" s="1179"/>
      <c r="C544" s="1179"/>
      <c r="D544" s="1179"/>
      <c r="E544" s="1179"/>
      <c r="F544" s="1179"/>
      <c r="G544" s="279"/>
    </row>
    <row r="545" spans="1:7" ht="14.25">
      <c r="A545" s="1189"/>
      <c r="B545" s="1179"/>
      <c r="C545" s="1179"/>
      <c r="D545" s="1179"/>
      <c r="E545" s="1179"/>
      <c r="F545" s="1179"/>
      <c r="G545" s="279"/>
    </row>
    <row r="546" spans="1:7" ht="14.25">
      <c r="A546" s="1189"/>
      <c r="B546" s="1179"/>
      <c r="C546" s="1179"/>
      <c r="D546" s="1179"/>
      <c r="E546" s="1179"/>
      <c r="F546" s="1179"/>
      <c r="G546" s="279"/>
    </row>
    <row r="547" spans="1:7" ht="14.25">
      <c r="A547" s="1189"/>
      <c r="B547" s="1179"/>
      <c r="C547" s="1179"/>
      <c r="D547" s="1179"/>
      <c r="E547" s="1179"/>
      <c r="F547" s="1179"/>
      <c r="G547" s="279"/>
    </row>
    <row r="548" spans="1:7" ht="14.25">
      <c r="A548" s="1189"/>
      <c r="B548" s="1179"/>
      <c r="C548" s="1179"/>
      <c r="D548" s="1179"/>
      <c r="E548" s="1179"/>
      <c r="F548" s="1179"/>
      <c r="G548" s="279"/>
    </row>
    <row r="549" spans="1:7" ht="14.25">
      <c r="A549" s="1189"/>
      <c r="B549" s="1179"/>
      <c r="C549" s="1179"/>
      <c r="D549" s="1179"/>
      <c r="E549" s="1179"/>
      <c r="F549" s="1179"/>
      <c r="G549" s="279"/>
    </row>
    <row r="550" spans="1:7" ht="14.25">
      <c r="A550" s="1189"/>
      <c r="B550" s="1179"/>
      <c r="C550" s="1179"/>
      <c r="D550" s="1179"/>
      <c r="E550" s="1179"/>
      <c r="F550" s="1179"/>
      <c r="G550" s="279"/>
    </row>
    <row r="551" spans="1:7" ht="14.25">
      <c r="A551" s="1189"/>
      <c r="B551" s="1179"/>
      <c r="C551" s="1179"/>
      <c r="D551" s="1179"/>
      <c r="E551" s="1179"/>
      <c r="F551" s="1179"/>
      <c r="G551" s="279"/>
    </row>
    <row r="552" spans="1:7" ht="14.25">
      <c r="A552" s="1189"/>
      <c r="B552" s="1179"/>
      <c r="C552" s="1179"/>
      <c r="D552" s="1179"/>
      <c r="E552" s="1179"/>
      <c r="F552" s="1179"/>
      <c r="G552" s="279"/>
    </row>
    <row r="553" spans="1:7" ht="14.25">
      <c r="A553" s="1189"/>
      <c r="B553" s="1179"/>
      <c r="C553" s="1179"/>
      <c r="D553" s="1179"/>
      <c r="E553" s="1179"/>
      <c r="F553" s="1179"/>
      <c r="G553" s="279"/>
    </row>
    <row r="554" spans="1:7" ht="14.25">
      <c r="A554" s="1189"/>
      <c r="B554" s="1179"/>
      <c r="C554" s="1179"/>
      <c r="D554" s="1179"/>
      <c r="E554" s="1179"/>
      <c r="F554" s="1179"/>
      <c r="G554" s="279"/>
    </row>
    <row r="555" spans="1:7" ht="14.25">
      <c r="A555" s="1189"/>
      <c r="B555" s="1179"/>
      <c r="C555" s="1179"/>
      <c r="D555" s="1179"/>
      <c r="E555" s="1179"/>
      <c r="F555" s="1179"/>
      <c r="G555" s="279"/>
    </row>
    <row r="556" spans="1:7" ht="14.25">
      <c r="A556" s="1189"/>
      <c r="B556" s="1179"/>
      <c r="C556" s="1179"/>
      <c r="D556" s="1179"/>
      <c r="E556" s="1179"/>
      <c r="F556" s="1179"/>
      <c r="G556" s="279"/>
    </row>
    <row r="557" spans="1:7" ht="14.25">
      <c r="A557" s="1189"/>
      <c r="B557" s="1179"/>
      <c r="C557" s="1179"/>
      <c r="D557" s="1179"/>
      <c r="E557" s="1179"/>
      <c r="F557" s="1179"/>
      <c r="G557" s="279"/>
    </row>
    <row r="558" spans="1:7" ht="14.25">
      <c r="A558" s="1189"/>
      <c r="B558" s="1179"/>
      <c r="C558" s="1179"/>
      <c r="D558" s="1179"/>
      <c r="E558" s="1179"/>
      <c r="F558" s="1179"/>
      <c r="G558" s="279"/>
    </row>
    <row r="559" spans="1:7" ht="14.25">
      <c r="A559" s="1189"/>
      <c r="B559" s="1179"/>
      <c r="C559" s="1179"/>
      <c r="D559" s="1179"/>
      <c r="E559" s="1179"/>
      <c r="F559" s="1179"/>
      <c r="G559" s="279"/>
    </row>
    <row r="560" spans="1:7" ht="14.25">
      <c r="A560" s="1189"/>
      <c r="B560" s="1179"/>
      <c r="C560" s="1179"/>
      <c r="D560" s="1179"/>
      <c r="E560" s="1179"/>
      <c r="F560" s="1179"/>
      <c r="G560" s="279"/>
    </row>
    <row r="561" spans="1:7" ht="14.25">
      <c r="A561" s="1189"/>
      <c r="B561" s="1179"/>
      <c r="C561" s="1179"/>
      <c r="D561" s="1179"/>
      <c r="E561" s="1179"/>
      <c r="F561" s="1179"/>
      <c r="G561" s="279"/>
    </row>
    <row r="562" spans="1:7" ht="14.25">
      <c r="A562" s="1189"/>
      <c r="B562" s="1179"/>
      <c r="C562" s="1179"/>
      <c r="D562" s="1179"/>
      <c r="E562" s="1179"/>
      <c r="F562" s="1179"/>
      <c r="G562" s="279"/>
    </row>
    <row r="563" spans="1:7" ht="14.25">
      <c r="A563" s="1189"/>
      <c r="B563" s="1179"/>
      <c r="C563" s="1179"/>
      <c r="D563" s="1179"/>
      <c r="E563" s="1179"/>
      <c r="F563" s="1179"/>
      <c r="G563" s="279"/>
    </row>
    <row r="564" spans="1:7" ht="14.25">
      <c r="A564" s="1189"/>
      <c r="B564" s="1179"/>
      <c r="C564" s="1179"/>
      <c r="D564" s="1179"/>
      <c r="E564" s="1179"/>
      <c r="F564" s="1179"/>
      <c r="G564" s="279"/>
    </row>
    <row r="565" spans="1:7" ht="14.25">
      <c r="A565" s="1189"/>
      <c r="B565" s="1179"/>
      <c r="C565" s="1179"/>
      <c r="D565" s="1179"/>
      <c r="E565" s="1179"/>
      <c r="F565" s="1179"/>
      <c r="G565" s="279"/>
    </row>
    <row r="566" spans="1:7" ht="14.25">
      <c r="A566" s="1189"/>
      <c r="B566" s="1179"/>
      <c r="C566" s="1179"/>
      <c r="D566" s="1179"/>
      <c r="E566" s="1179"/>
      <c r="F566" s="1179"/>
      <c r="G566" s="279"/>
    </row>
    <row r="567" spans="1:7" ht="14.25">
      <c r="A567" s="1189"/>
      <c r="B567" s="1179"/>
      <c r="C567" s="1179"/>
      <c r="D567" s="1179"/>
      <c r="E567" s="1179"/>
      <c r="F567" s="1179"/>
      <c r="G567" s="279"/>
    </row>
    <row r="568" spans="1:7" ht="14.25">
      <c r="A568" s="1189"/>
      <c r="B568" s="1179"/>
      <c r="C568" s="1179"/>
      <c r="D568" s="1179"/>
      <c r="E568" s="1179"/>
      <c r="F568" s="1179"/>
      <c r="G568" s="279"/>
    </row>
    <row r="569" spans="1:7" ht="14.25">
      <c r="A569" s="1189"/>
      <c r="B569" s="1179"/>
      <c r="C569" s="1179"/>
      <c r="D569" s="1179"/>
      <c r="E569" s="1179"/>
      <c r="F569" s="1179"/>
      <c r="G569" s="279"/>
    </row>
    <row r="570" spans="1:7" ht="14.25">
      <c r="A570" s="1189"/>
      <c r="B570" s="1179"/>
      <c r="C570" s="1179"/>
      <c r="D570" s="1179"/>
      <c r="E570" s="1179"/>
      <c r="F570" s="1179"/>
      <c r="G570" s="279"/>
    </row>
    <row r="571" spans="1:7" ht="14.25">
      <c r="A571" s="1189"/>
      <c r="B571" s="1179"/>
      <c r="C571" s="1179"/>
      <c r="D571" s="1179"/>
      <c r="E571" s="1179"/>
      <c r="F571" s="1179"/>
      <c r="G571" s="279"/>
    </row>
    <row r="572" spans="1:7" ht="14.25">
      <c r="A572" s="1189"/>
      <c r="B572" s="1179"/>
      <c r="C572" s="1179"/>
      <c r="D572" s="1179"/>
      <c r="E572" s="1179"/>
      <c r="F572" s="1179"/>
      <c r="G572" s="279"/>
    </row>
    <row r="573" spans="1:7" ht="14.25">
      <c r="A573" s="1189"/>
      <c r="B573" s="1179"/>
      <c r="C573" s="1179"/>
      <c r="D573" s="1179"/>
      <c r="E573" s="1179"/>
      <c r="F573" s="1179"/>
      <c r="G573" s="279"/>
    </row>
    <row r="574" spans="1:7" ht="14.25">
      <c r="A574" s="1189"/>
      <c r="B574" s="1179"/>
      <c r="C574" s="1179"/>
      <c r="D574" s="1179"/>
      <c r="E574" s="1179"/>
      <c r="F574" s="1179"/>
      <c r="G574" s="279"/>
    </row>
    <row r="575" spans="1:7" ht="14.25">
      <c r="A575" s="1189"/>
      <c r="B575" s="1179"/>
      <c r="C575" s="1179"/>
      <c r="D575" s="1179"/>
      <c r="E575" s="1179"/>
      <c r="F575" s="1179"/>
      <c r="G575" s="279"/>
    </row>
    <row r="576" spans="1:7" ht="14.25">
      <c r="A576" s="1189"/>
      <c r="B576" s="1179"/>
      <c r="C576" s="1179"/>
      <c r="D576" s="1179"/>
      <c r="E576" s="1179"/>
      <c r="F576" s="1179"/>
      <c r="G576" s="279"/>
    </row>
    <row r="577" spans="1:7" ht="14.25">
      <c r="A577" s="1189"/>
      <c r="B577" s="1179"/>
      <c r="C577" s="1179"/>
      <c r="D577" s="1179"/>
      <c r="E577" s="1179"/>
      <c r="F577" s="1179"/>
      <c r="G577" s="279"/>
    </row>
    <row r="578" spans="1:7" ht="14.25">
      <c r="A578" s="1189"/>
      <c r="B578" s="1179"/>
      <c r="C578" s="1179"/>
      <c r="D578" s="1179"/>
      <c r="E578" s="1179"/>
      <c r="F578" s="1179"/>
      <c r="G578" s="279"/>
    </row>
    <row r="579" spans="1:7" ht="14.25">
      <c r="A579" s="1189"/>
      <c r="B579" s="1179"/>
      <c r="C579" s="1179"/>
      <c r="D579" s="1179"/>
      <c r="E579" s="1179"/>
      <c r="F579" s="1179"/>
      <c r="G579" s="279"/>
    </row>
    <row r="580" spans="1:7" ht="14.25">
      <c r="A580" s="1189"/>
      <c r="B580" s="1179"/>
      <c r="C580" s="1179"/>
      <c r="D580" s="1179"/>
      <c r="E580" s="1179"/>
      <c r="F580" s="1179"/>
      <c r="G580" s="279"/>
    </row>
    <row r="581" spans="1:7" ht="14.25">
      <c r="A581" s="1189"/>
      <c r="B581" s="1179"/>
      <c r="C581" s="1179"/>
      <c r="D581" s="1179"/>
      <c r="E581" s="1179"/>
      <c r="F581" s="1179"/>
      <c r="G581" s="279"/>
    </row>
    <row r="582" spans="1:7" ht="14.25">
      <c r="A582" s="1189"/>
      <c r="B582" s="1179"/>
      <c r="C582" s="1179"/>
      <c r="D582" s="1179"/>
      <c r="E582" s="1179"/>
      <c r="F582" s="1179"/>
      <c r="G582" s="279"/>
    </row>
    <row r="583" spans="1:7" ht="14.25">
      <c r="A583" s="1189"/>
      <c r="B583" s="1179"/>
      <c r="C583" s="1179"/>
      <c r="D583" s="1179"/>
      <c r="E583" s="1179"/>
      <c r="F583" s="1179"/>
      <c r="G583" s="279"/>
    </row>
    <row r="584" spans="1:7" ht="14.25">
      <c r="A584" s="1189"/>
      <c r="B584" s="1179"/>
      <c r="C584" s="1179"/>
      <c r="D584" s="1179"/>
      <c r="E584" s="1179"/>
      <c r="F584" s="1179"/>
      <c r="G584" s="279"/>
    </row>
    <row r="585" spans="1:7" ht="14.25">
      <c r="A585" s="1189"/>
      <c r="B585" s="1179"/>
      <c r="C585" s="1179"/>
      <c r="D585" s="1179"/>
      <c r="E585" s="1179"/>
      <c r="F585" s="1179"/>
      <c r="G585" s="279"/>
    </row>
    <row r="586" spans="1:7" ht="14.25">
      <c r="A586" s="1189"/>
      <c r="B586" s="1179"/>
      <c r="C586" s="1179"/>
      <c r="D586" s="1179"/>
      <c r="E586" s="1179"/>
      <c r="F586" s="1179"/>
      <c r="G586" s="279"/>
    </row>
    <row r="587" spans="1:7" ht="14.25">
      <c r="A587" s="1189"/>
      <c r="B587" s="1179"/>
      <c r="C587" s="1179"/>
      <c r="D587" s="1179"/>
      <c r="E587" s="1179"/>
      <c r="F587" s="1179"/>
      <c r="G587" s="279"/>
    </row>
    <row r="588" spans="1:7" ht="14.25">
      <c r="A588" s="1189"/>
      <c r="B588" s="1179"/>
      <c r="C588" s="1179"/>
      <c r="D588" s="1179"/>
      <c r="E588" s="1179"/>
      <c r="F588" s="1179"/>
      <c r="G588" s="279"/>
    </row>
    <row r="589" spans="1:7" ht="14.25">
      <c r="A589" s="1189"/>
      <c r="B589" s="1179"/>
      <c r="C589" s="1179"/>
      <c r="D589" s="1179"/>
      <c r="E589" s="1179"/>
      <c r="F589" s="1179"/>
      <c r="G589" s="279"/>
    </row>
    <row r="590" spans="1:7" ht="14.25">
      <c r="A590" s="1189"/>
      <c r="B590" s="1179"/>
      <c r="C590" s="1179"/>
      <c r="D590" s="1179"/>
      <c r="E590" s="1179"/>
      <c r="F590" s="1179"/>
      <c r="G590" s="279"/>
    </row>
    <row r="591" spans="1:7" ht="14.25">
      <c r="A591" s="1189"/>
      <c r="B591" s="1179"/>
      <c r="C591" s="1179"/>
      <c r="D591" s="1179"/>
      <c r="E591" s="1179"/>
      <c r="F591" s="1179"/>
      <c r="G591" s="279"/>
    </row>
    <row r="592" spans="1:7" ht="14.25">
      <c r="A592" s="1189"/>
      <c r="B592" s="1179"/>
      <c r="C592" s="1179"/>
      <c r="D592" s="1179"/>
      <c r="E592" s="1179"/>
      <c r="F592" s="1179"/>
      <c r="G592" s="279"/>
    </row>
    <row r="593" spans="1:7" ht="14.25">
      <c r="A593" s="1189"/>
      <c r="B593" s="1179"/>
      <c r="C593" s="1179"/>
      <c r="D593" s="1179"/>
      <c r="E593" s="1179"/>
      <c r="F593" s="1179"/>
      <c r="G593" s="279"/>
    </row>
    <row r="594" spans="1:7" ht="14.25">
      <c r="A594" s="1189"/>
      <c r="B594" s="1179"/>
      <c r="C594" s="1179"/>
      <c r="D594" s="1179"/>
      <c r="E594" s="1179"/>
      <c r="F594" s="1179"/>
      <c r="G594" s="279"/>
    </row>
    <row r="595" spans="1:7" ht="14.25">
      <c r="A595" s="1189"/>
      <c r="B595" s="1179"/>
      <c r="C595" s="1179"/>
      <c r="D595" s="1179"/>
      <c r="E595" s="1179"/>
      <c r="F595" s="1179"/>
      <c r="G595" s="279"/>
    </row>
    <row r="596" spans="1:7" ht="14.25">
      <c r="A596" s="1189"/>
      <c r="B596" s="1179"/>
      <c r="C596" s="1179"/>
      <c r="D596" s="1179"/>
      <c r="E596" s="1179"/>
      <c r="F596" s="1179"/>
      <c r="G596" s="279"/>
    </row>
    <row r="597" spans="1:7" ht="14.25">
      <c r="A597" s="1189"/>
      <c r="B597" s="1179"/>
      <c r="C597" s="1179"/>
      <c r="D597" s="1179"/>
      <c r="E597" s="1179"/>
      <c r="F597" s="1179"/>
      <c r="G597" s="279"/>
    </row>
    <row r="598" spans="1:7" ht="14.25">
      <c r="A598" s="1189"/>
      <c r="B598" s="1179"/>
      <c r="C598" s="1179"/>
      <c r="D598" s="1179"/>
      <c r="E598" s="1179"/>
      <c r="F598" s="1179"/>
      <c r="G598" s="279"/>
    </row>
    <row r="599" spans="1:7" ht="14.25">
      <c r="A599" s="1189"/>
      <c r="B599" s="1179"/>
      <c r="C599" s="1179"/>
      <c r="D599" s="1179"/>
      <c r="E599" s="1179"/>
      <c r="F599" s="1179"/>
      <c r="G599" s="279"/>
    </row>
    <row r="600" spans="1:7" ht="14.25">
      <c r="A600" s="1189"/>
      <c r="B600" s="1179"/>
      <c r="C600" s="1179"/>
      <c r="D600" s="1179"/>
      <c r="E600" s="1179"/>
      <c r="F600" s="1179"/>
      <c r="G600" s="279"/>
    </row>
    <row r="601" spans="1:7" ht="14.25">
      <c r="A601" s="1189"/>
      <c r="B601" s="1179"/>
      <c r="C601" s="1179"/>
      <c r="D601" s="1179"/>
      <c r="E601" s="1179"/>
      <c r="F601" s="1179"/>
      <c r="G601" s="279"/>
    </row>
    <row r="602" spans="1:7" ht="14.25">
      <c r="A602" s="1189"/>
      <c r="B602" s="1179"/>
      <c r="C602" s="1179"/>
      <c r="D602" s="1179"/>
      <c r="E602" s="1179"/>
      <c r="F602" s="1179"/>
      <c r="G602" s="279"/>
    </row>
    <row r="603" spans="1:7" ht="14.25">
      <c r="A603" s="1189"/>
      <c r="B603" s="1179"/>
      <c r="C603" s="1179"/>
      <c r="D603" s="1179"/>
      <c r="E603" s="1179"/>
      <c r="F603" s="1179"/>
      <c r="G603" s="279"/>
    </row>
    <row r="604" spans="1:7" ht="14.25">
      <c r="A604" s="1189"/>
      <c r="B604" s="1179"/>
      <c r="C604" s="1179"/>
      <c r="D604" s="1179"/>
      <c r="E604" s="1179"/>
      <c r="F604" s="1179"/>
      <c r="G604" s="279"/>
    </row>
    <row r="605" spans="1:7" ht="14.25">
      <c r="A605" s="1189"/>
      <c r="B605" s="1179"/>
      <c r="C605" s="1179"/>
      <c r="D605" s="1179"/>
      <c r="E605" s="1179"/>
      <c r="F605" s="1179"/>
      <c r="G605" s="279"/>
    </row>
    <row r="606" spans="1:7" ht="14.25">
      <c r="A606" s="1189"/>
      <c r="B606" s="1179"/>
      <c r="C606" s="1179"/>
      <c r="D606" s="1179"/>
      <c r="E606" s="1179"/>
      <c r="F606" s="1179"/>
      <c r="G606" s="279"/>
    </row>
    <row r="607" spans="1:7" ht="14.25">
      <c r="A607" s="1189"/>
      <c r="B607" s="1179"/>
      <c r="C607" s="1179"/>
      <c r="D607" s="1179"/>
      <c r="E607" s="1179"/>
      <c r="F607" s="1179"/>
      <c r="G607" s="279"/>
    </row>
    <row r="608" spans="1:7" ht="14.25">
      <c r="A608" s="1189"/>
      <c r="B608" s="1179"/>
      <c r="C608" s="1179"/>
      <c r="D608" s="1179"/>
      <c r="E608" s="1179"/>
      <c r="F608" s="1179"/>
      <c r="G608" s="279"/>
    </row>
    <row r="609" spans="1:7" ht="14.25">
      <c r="A609" s="1189"/>
      <c r="B609" s="1179"/>
      <c r="C609" s="1179"/>
      <c r="D609" s="1179"/>
      <c r="E609" s="1179"/>
      <c r="F609" s="1179"/>
      <c r="G609" s="279"/>
    </row>
    <row r="610" spans="1:7" ht="14.25">
      <c r="A610" s="1189"/>
      <c r="B610" s="1179"/>
      <c r="C610" s="1179"/>
      <c r="D610" s="1179"/>
      <c r="E610" s="1179"/>
      <c r="F610" s="1179"/>
      <c r="G610" s="279"/>
    </row>
    <row r="611" spans="1:7" ht="14.25">
      <c r="A611" s="1189"/>
      <c r="B611" s="1179"/>
      <c r="C611" s="1179"/>
      <c r="D611" s="1179"/>
      <c r="E611" s="1179"/>
      <c r="F611" s="1179"/>
      <c r="G611" s="279"/>
    </row>
    <row r="612" spans="1:7" ht="14.25">
      <c r="A612" s="1189"/>
      <c r="B612" s="1179"/>
      <c r="C612" s="1179"/>
      <c r="D612" s="1179"/>
      <c r="E612" s="1179"/>
      <c r="F612" s="1179"/>
      <c r="G612" s="279"/>
    </row>
    <row r="613" spans="1:7" ht="14.25">
      <c r="A613" s="1189"/>
      <c r="B613" s="1179"/>
      <c r="C613" s="1179"/>
      <c r="D613" s="1179"/>
      <c r="E613" s="1179"/>
      <c r="F613" s="1179"/>
      <c r="G613" s="279"/>
    </row>
    <row r="614" spans="1:7" ht="14.25">
      <c r="A614" s="1189"/>
      <c r="B614" s="1179"/>
      <c r="C614" s="1179"/>
      <c r="D614" s="1179"/>
      <c r="E614" s="1179"/>
      <c r="F614" s="1179"/>
      <c r="G614" s="279"/>
    </row>
    <row r="615" spans="1:7" ht="14.25">
      <c r="A615" s="1189"/>
      <c r="B615" s="1179"/>
      <c r="C615" s="1179"/>
      <c r="D615" s="1179"/>
      <c r="E615" s="1179"/>
      <c r="F615" s="1179"/>
      <c r="G615" s="279"/>
    </row>
    <row r="616" spans="1:7" ht="14.25">
      <c r="A616" s="1189"/>
      <c r="B616" s="1179"/>
      <c r="C616" s="1179"/>
      <c r="D616" s="1179"/>
      <c r="E616" s="1179"/>
      <c r="F616" s="1179"/>
      <c r="G616" s="279"/>
    </row>
    <row r="617" spans="1:7" ht="14.25">
      <c r="A617" s="1189"/>
      <c r="B617" s="1179"/>
      <c r="C617" s="1179"/>
      <c r="D617" s="1179"/>
      <c r="E617" s="1179"/>
      <c r="F617" s="1179"/>
      <c r="G617" s="279"/>
    </row>
    <row r="618" spans="1:7" ht="14.25">
      <c r="A618" s="1189"/>
      <c r="B618" s="1179"/>
      <c r="C618" s="1179"/>
      <c r="D618" s="1179"/>
      <c r="E618" s="1179"/>
      <c r="F618" s="1179"/>
      <c r="G618" s="279"/>
    </row>
    <row r="619" spans="1:7" ht="14.25">
      <c r="A619" s="1189"/>
      <c r="B619" s="1179"/>
      <c r="C619" s="1179"/>
      <c r="D619" s="1179"/>
      <c r="E619" s="1179"/>
      <c r="F619" s="1179"/>
      <c r="G619" s="279"/>
    </row>
    <row r="620" spans="1:7" ht="14.25">
      <c r="A620" s="1189"/>
      <c r="B620" s="1179"/>
      <c r="C620" s="1179"/>
      <c r="D620" s="1179"/>
      <c r="E620" s="1179"/>
      <c r="F620" s="1179"/>
      <c r="G620" s="279"/>
    </row>
    <row r="621" spans="1:7" ht="14.25">
      <c r="A621" s="1189"/>
      <c r="B621" s="1179"/>
      <c r="C621" s="1179"/>
      <c r="D621" s="1179"/>
      <c r="E621" s="1179"/>
      <c r="F621" s="1179"/>
      <c r="G621" s="279"/>
    </row>
    <row r="622" spans="1:7" ht="14.25">
      <c r="A622" s="1189"/>
      <c r="B622" s="1179"/>
      <c r="C622" s="1179"/>
      <c r="D622" s="1179"/>
      <c r="E622" s="1179"/>
      <c r="F622" s="1179"/>
      <c r="G622" s="279"/>
    </row>
    <row r="623" spans="1:7" ht="14.25">
      <c r="A623" s="1189"/>
      <c r="B623" s="1179"/>
      <c r="C623" s="1179"/>
      <c r="D623" s="1179"/>
      <c r="E623" s="1179"/>
      <c r="F623" s="1179"/>
      <c r="G623" s="279"/>
    </row>
    <row r="624" spans="1:7" ht="14.25">
      <c r="A624" s="1189"/>
      <c r="B624" s="1179"/>
      <c r="C624" s="1179"/>
      <c r="D624" s="1179"/>
      <c r="E624" s="1179"/>
      <c r="F624" s="1179"/>
      <c r="G624" s="279"/>
    </row>
    <row r="625" spans="1:7" ht="14.25">
      <c r="A625" s="1189"/>
      <c r="B625" s="1179"/>
      <c r="C625" s="1179"/>
      <c r="D625" s="1179"/>
      <c r="E625" s="1179"/>
      <c r="F625" s="1179"/>
      <c r="G625" s="279"/>
    </row>
    <row r="626" spans="1:7" ht="14.25">
      <c r="A626" s="1189"/>
      <c r="B626" s="1179"/>
      <c r="C626" s="1179"/>
      <c r="D626" s="1179"/>
      <c r="E626" s="1179"/>
      <c r="F626" s="1179"/>
      <c r="G626" s="279"/>
    </row>
    <row r="627" spans="1:7" ht="14.25">
      <c r="A627" s="1189"/>
      <c r="B627" s="1179"/>
      <c r="C627" s="1179"/>
      <c r="D627" s="1179"/>
      <c r="E627" s="1179"/>
      <c r="F627" s="1179"/>
      <c r="G627" s="279"/>
    </row>
    <row r="628" spans="1:7" ht="14.25">
      <c r="A628" s="1189"/>
      <c r="B628" s="1179"/>
      <c r="C628" s="1179"/>
      <c r="D628" s="1179"/>
      <c r="E628" s="1179"/>
      <c r="F628" s="1179"/>
      <c r="G628" s="279"/>
    </row>
    <row r="629" spans="1:7" ht="14.25">
      <c r="A629" s="1189"/>
      <c r="B629" s="1179"/>
      <c r="C629" s="1179"/>
      <c r="D629" s="1179"/>
      <c r="E629" s="1179"/>
      <c r="F629" s="1179"/>
      <c r="G629" s="279"/>
    </row>
    <row r="630" spans="1:7" ht="14.25">
      <c r="A630" s="1189"/>
      <c r="B630" s="1179"/>
      <c r="C630" s="1179"/>
      <c r="D630" s="1179"/>
      <c r="E630" s="1179"/>
      <c r="F630" s="1179"/>
      <c r="G630" s="279"/>
    </row>
    <row r="631" spans="1:7" ht="14.25">
      <c r="A631" s="1189"/>
      <c r="B631" s="1179"/>
      <c r="C631" s="1179"/>
      <c r="D631" s="1179"/>
      <c r="E631" s="1179"/>
      <c r="F631" s="1179"/>
      <c r="G631" s="279"/>
    </row>
    <row r="632" spans="1:7" ht="14.25">
      <c r="A632" s="1189"/>
      <c r="B632" s="1179"/>
      <c r="C632" s="1179"/>
      <c r="D632" s="1179"/>
      <c r="E632" s="1179"/>
      <c r="F632" s="1179"/>
      <c r="G632" s="279"/>
    </row>
    <row r="633" spans="1:7" ht="14.25">
      <c r="A633" s="1189"/>
      <c r="B633" s="1179"/>
      <c r="C633" s="1179"/>
      <c r="D633" s="1179"/>
      <c r="E633" s="1179"/>
      <c r="F633" s="1179"/>
      <c r="G633" s="279"/>
    </row>
    <row r="634" spans="1:7" ht="14.25">
      <c r="A634" s="1189"/>
      <c r="B634" s="1179"/>
      <c r="C634" s="1179"/>
      <c r="D634" s="1179"/>
      <c r="E634" s="1179"/>
      <c r="F634" s="1179"/>
      <c r="G634" s="279"/>
    </row>
    <row r="635" spans="1:7" ht="14.25">
      <c r="A635" s="1189"/>
      <c r="B635" s="1179"/>
      <c r="C635" s="1179"/>
      <c r="D635" s="1179"/>
      <c r="E635" s="1179"/>
      <c r="F635" s="1179"/>
      <c r="G635" s="279"/>
    </row>
    <row r="636" spans="1:7" ht="14.25">
      <c r="A636" s="1189"/>
      <c r="B636" s="1179"/>
      <c r="C636" s="1179"/>
      <c r="D636" s="1179"/>
      <c r="E636" s="1179"/>
      <c r="F636" s="1179"/>
      <c r="G636" s="279"/>
    </row>
    <row r="637" spans="1:7" ht="14.25">
      <c r="A637" s="1189"/>
      <c r="B637" s="1179"/>
      <c r="C637" s="1179"/>
      <c r="D637" s="1179"/>
      <c r="E637" s="1179"/>
      <c r="F637" s="1179"/>
      <c r="G637" s="279"/>
    </row>
    <row r="638" spans="1:7" ht="14.25">
      <c r="A638" s="1189"/>
      <c r="B638" s="1179"/>
      <c r="C638" s="1179"/>
      <c r="D638" s="1179"/>
      <c r="E638" s="1179"/>
      <c r="F638" s="1179"/>
      <c r="G638" s="279"/>
    </row>
    <row r="639" spans="1:7" ht="14.25">
      <c r="A639" s="1189"/>
      <c r="B639" s="1179"/>
      <c r="C639" s="1179"/>
      <c r="D639" s="1179"/>
      <c r="E639" s="1179"/>
      <c r="F639" s="1179"/>
      <c r="G639" s="279"/>
    </row>
    <row r="640" spans="1:7" ht="14.25">
      <c r="A640" s="1189"/>
      <c r="B640" s="1179"/>
      <c r="C640" s="1179"/>
      <c r="D640" s="1179"/>
      <c r="E640" s="1179"/>
      <c r="F640" s="1179"/>
      <c r="G640" s="279"/>
    </row>
    <row r="641" spans="1:7" ht="14.25">
      <c r="A641" s="1189"/>
      <c r="B641" s="1179"/>
      <c r="C641" s="1179"/>
      <c r="D641" s="1179"/>
      <c r="E641" s="1179"/>
      <c r="F641" s="1179"/>
      <c r="G641" s="279"/>
    </row>
    <row r="642" spans="1:7" ht="14.25">
      <c r="A642" s="1189"/>
      <c r="B642" s="1179"/>
      <c r="C642" s="1179"/>
      <c r="D642" s="1179"/>
      <c r="E642" s="1179"/>
      <c r="F642" s="1179"/>
      <c r="G642" s="279"/>
    </row>
    <row r="643" spans="1:7" ht="14.25">
      <c r="A643" s="1189"/>
      <c r="B643" s="1179"/>
      <c r="C643" s="1179"/>
      <c r="D643" s="1179"/>
      <c r="E643" s="1179"/>
      <c r="F643" s="1179"/>
      <c r="G643" s="279"/>
    </row>
    <row r="644" spans="1:7" ht="14.25">
      <c r="A644" s="1189"/>
      <c r="B644" s="1179"/>
      <c r="C644" s="1179"/>
      <c r="D644" s="1179"/>
      <c r="E644" s="1179"/>
      <c r="F644" s="1179"/>
      <c r="G644" s="279"/>
    </row>
    <row r="645" spans="1:7" ht="14.25">
      <c r="A645" s="1189"/>
      <c r="B645" s="1179"/>
      <c r="C645" s="1179"/>
      <c r="D645" s="1179"/>
      <c r="E645" s="1179"/>
      <c r="F645" s="1179"/>
      <c r="G645" s="279"/>
    </row>
    <row r="646" spans="1:7" ht="14.25">
      <c r="A646" s="1189"/>
      <c r="B646" s="1179"/>
      <c r="C646" s="1179"/>
      <c r="D646" s="1179"/>
      <c r="E646" s="1179"/>
      <c r="F646" s="1179"/>
      <c r="G646" s="279"/>
    </row>
    <row r="647" spans="1:7" ht="14.25">
      <c r="A647" s="1189"/>
      <c r="B647" s="1179"/>
      <c r="C647" s="1179"/>
      <c r="D647" s="1179"/>
      <c r="E647" s="1179"/>
      <c r="F647" s="1179"/>
      <c r="G647" s="279"/>
    </row>
    <row r="648" spans="1:7" ht="14.25">
      <c r="A648" s="1189"/>
      <c r="B648" s="1179"/>
      <c r="C648" s="1179"/>
      <c r="D648" s="1179"/>
      <c r="E648" s="1179"/>
      <c r="F648" s="1179"/>
      <c r="G648" s="279"/>
    </row>
    <row r="649" spans="1:7" ht="14.25">
      <c r="A649" s="1189"/>
      <c r="B649" s="1179"/>
      <c r="C649" s="1179"/>
      <c r="D649" s="1179"/>
      <c r="E649" s="1179"/>
      <c r="F649" s="1179"/>
      <c r="G649" s="279"/>
    </row>
    <row r="650" spans="1:7" ht="14.25">
      <c r="A650" s="1189"/>
      <c r="B650" s="1179"/>
      <c r="C650" s="1179"/>
      <c r="D650" s="1179"/>
      <c r="E650" s="1179"/>
      <c r="F650" s="1179"/>
      <c r="G650" s="279"/>
    </row>
    <row r="651" spans="1:7" ht="14.25">
      <c r="A651" s="1189"/>
      <c r="B651" s="1179"/>
      <c r="C651" s="1179"/>
      <c r="D651" s="1179"/>
      <c r="E651" s="1179"/>
      <c r="F651" s="1179"/>
      <c r="G651" s="279"/>
    </row>
    <row r="652" spans="1:7" ht="14.25">
      <c r="A652" s="1189"/>
      <c r="B652" s="1179"/>
      <c r="C652" s="1179"/>
      <c r="D652" s="1179"/>
      <c r="E652" s="1179"/>
      <c r="F652" s="1179"/>
      <c r="G652" s="279"/>
    </row>
    <row r="653" spans="1:7" ht="14.25">
      <c r="A653" s="1189"/>
      <c r="B653" s="1179"/>
      <c r="C653" s="1179"/>
      <c r="D653" s="1179"/>
      <c r="E653" s="1179"/>
      <c r="F653" s="1179"/>
      <c r="G653" s="279"/>
    </row>
    <row r="654" spans="1:7" ht="14.25">
      <c r="A654" s="1189"/>
      <c r="B654" s="1179"/>
      <c r="C654" s="1179"/>
      <c r="D654" s="1179"/>
      <c r="E654" s="1179"/>
      <c r="F654" s="1179"/>
      <c r="G654" s="279"/>
    </row>
    <row r="655" spans="1:7" ht="14.25">
      <c r="A655" s="1189"/>
      <c r="B655" s="1179"/>
      <c r="C655" s="1179"/>
      <c r="D655" s="1179"/>
      <c r="E655" s="1179"/>
      <c r="F655" s="1179"/>
      <c r="G655" s="279"/>
    </row>
    <row r="656" spans="1:7" ht="14.25">
      <c r="A656" s="1189"/>
      <c r="B656" s="1179"/>
      <c r="C656" s="1179"/>
      <c r="D656" s="1179"/>
      <c r="E656" s="1179"/>
      <c r="F656" s="1179"/>
      <c r="G656" s="279"/>
    </row>
    <row r="657" spans="1:7" ht="14.25">
      <c r="A657" s="1189"/>
      <c r="B657" s="1179"/>
      <c r="C657" s="1179"/>
      <c r="D657" s="1179"/>
      <c r="E657" s="1179"/>
      <c r="F657" s="1179"/>
      <c r="G657" s="279"/>
    </row>
    <row r="658" spans="1:7" ht="14.25">
      <c r="A658" s="1189"/>
      <c r="B658" s="1179"/>
      <c r="C658" s="1179"/>
      <c r="D658" s="1179"/>
      <c r="E658" s="1179"/>
      <c r="F658" s="1179"/>
      <c r="G658" s="279"/>
    </row>
    <row r="659" spans="1:7" ht="14.25">
      <c r="A659" s="1189"/>
      <c r="B659" s="1179"/>
      <c r="C659" s="1179"/>
      <c r="D659" s="1179"/>
      <c r="E659" s="1179"/>
      <c r="F659" s="1179"/>
      <c r="G659" s="279"/>
    </row>
    <row r="660" spans="1:7" ht="14.25">
      <c r="A660" s="1189"/>
      <c r="B660" s="1179"/>
      <c r="C660" s="1179"/>
      <c r="D660" s="1179"/>
      <c r="E660" s="1179"/>
      <c r="F660" s="1179"/>
      <c r="G660" s="279"/>
    </row>
    <row r="661" spans="1:7" ht="14.25">
      <c r="A661" s="1189"/>
      <c r="B661" s="1179"/>
      <c r="C661" s="1179"/>
      <c r="D661" s="1179"/>
      <c r="E661" s="1179"/>
      <c r="F661" s="1179"/>
      <c r="G661" s="279"/>
    </row>
    <row r="662" spans="1:7" ht="14.25">
      <c r="A662" s="1189"/>
      <c r="B662" s="1179"/>
      <c r="C662" s="1179"/>
      <c r="D662" s="1179"/>
      <c r="E662" s="1179"/>
      <c r="F662" s="1179"/>
      <c r="G662" s="279"/>
    </row>
    <row r="663" spans="1:7" ht="14.25">
      <c r="A663" s="1189"/>
      <c r="B663" s="1179"/>
      <c r="C663" s="1179"/>
      <c r="D663" s="1179"/>
      <c r="E663" s="1179"/>
      <c r="F663" s="1179"/>
      <c r="G663" s="279"/>
    </row>
    <row r="664" spans="1:7" ht="14.25">
      <c r="A664" s="1189"/>
      <c r="B664" s="1179"/>
      <c r="C664" s="1179"/>
      <c r="D664" s="1179"/>
      <c r="E664" s="1179"/>
      <c r="F664" s="1179"/>
      <c r="G664" s="279"/>
    </row>
    <row r="665" spans="1:7" ht="14.25">
      <c r="A665" s="1189"/>
      <c r="B665" s="1179"/>
      <c r="C665" s="1179"/>
      <c r="D665" s="1179"/>
      <c r="E665" s="1179"/>
      <c r="F665" s="1179"/>
      <c r="G665" s="279"/>
    </row>
    <row r="666" spans="1:7" ht="14.25">
      <c r="A666" s="1189"/>
      <c r="B666" s="1179"/>
      <c r="C666" s="1179"/>
      <c r="D666" s="1179"/>
      <c r="E666" s="1179"/>
      <c r="F666" s="1179"/>
      <c r="G666" s="279"/>
    </row>
    <row r="667" spans="1:7" ht="14.25">
      <c r="A667" s="1189"/>
      <c r="B667" s="1179"/>
      <c r="C667" s="1179"/>
      <c r="D667" s="1179"/>
      <c r="E667" s="1179"/>
      <c r="F667" s="1179"/>
      <c r="G667" s="279"/>
    </row>
    <row r="668" spans="1:7" ht="14.25">
      <c r="A668" s="1189"/>
      <c r="B668" s="1179"/>
      <c r="C668" s="1179"/>
      <c r="D668" s="1179"/>
      <c r="E668" s="1179"/>
      <c r="F668" s="1179"/>
      <c r="G668" s="279"/>
    </row>
    <row r="669" spans="1:7" ht="14.25">
      <c r="A669" s="1189"/>
      <c r="B669" s="1179"/>
      <c r="C669" s="1179"/>
      <c r="D669" s="1179"/>
      <c r="E669" s="1179"/>
      <c r="F669" s="1179"/>
      <c r="G669" s="279"/>
    </row>
    <row r="670" spans="1:7" ht="14.25">
      <c r="A670" s="1189"/>
      <c r="B670" s="1179"/>
      <c r="C670" s="1179"/>
      <c r="D670" s="1179"/>
      <c r="E670" s="1179"/>
      <c r="F670" s="1179"/>
      <c r="G670" s="279"/>
    </row>
    <row r="671" spans="1:7" ht="14.25">
      <c r="A671" s="1189"/>
      <c r="B671" s="1179"/>
      <c r="C671" s="1179"/>
      <c r="D671" s="1179"/>
      <c r="E671" s="1179"/>
      <c r="F671" s="1179"/>
      <c r="G671" s="279"/>
    </row>
    <row r="672" spans="1:7" ht="14.25">
      <c r="A672" s="1189"/>
      <c r="B672" s="1179"/>
      <c r="C672" s="1179"/>
      <c r="D672" s="1179"/>
      <c r="E672" s="1179"/>
      <c r="F672" s="1179"/>
      <c r="G672" s="279"/>
    </row>
    <row r="673" spans="1:7" ht="14.25">
      <c r="A673" s="1189"/>
      <c r="B673" s="1179"/>
      <c r="C673" s="1179"/>
      <c r="D673" s="1179"/>
      <c r="E673" s="1179"/>
      <c r="F673" s="1179"/>
      <c r="G673" s="279"/>
    </row>
    <row r="674" spans="1:7" ht="14.25">
      <c r="A674" s="1189"/>
      <c r="B674" s="1179"/>
      <c r="C674" s="1179"/>
      <c r="D674" s="1179"/>
      <c r="E674" s="1179"/>
      <c r="F674" s="1179"/>
      <c r="G674" s="279"/>
    </row>
    <row r="675" spans="1:7" ht="14.25">
      <c r="A675" s="1189"/>
      <c r="B675" s="1179"/>
      <c r="C675" s="1179"/>
      <c r="D675" s="1179"/>
      <c r="E675" s="1179"/>
      <c r="F675" s="1179"/>
      <c r="G675" s="279"/>
    </row>
    <row r="676" spans="1:7" ht="14.25">
      <c r="A676" s="1189"/>
      <c r="B676" s="1179"/>
      <c r="C676" s="1179"/>
      <c r="D676" s="1179"/>
      <c r="E676" s="1179"/>
      <c r="F676" s="1179"/>
      <c r="G676" s="279"/>
    </row>
    <row r="677" spans="1:7" ht="14.25">
      <c r="A677" s="1189"/>
      <c r="B677" s="1179"/>
      <c r="C677" s="1179"/>
      <c r="D677" s="1179"/>
      <c r="E677" s="1179"/>
      <c r="F677" s="1179"/>
      <c r="G677" s="279"/>
    </row>
    <row r="678" spans="1:7" ht="14.25">
      <c r="A678" s="1189"/>
      <c r="B678" s="1179"/>
      <c r="C678" s="1179"/>
      <c r="D678" s="1179"/>
      <c r="E678" s="1179"/>
      <c r="F678" s="1179"/>
      <c r="G678" s="279"/>
    </row>
    <row r="679" spans="1:7" ht="14.25">
      <c r="A679" s="1189"/>
      <c r="B679" s="1179"/>
      <c r="C679" s="1179"/>
      <c r="D679" s="1179"/>
      <c r="E679" s="1179"/>
      <c r="F679" s="1179"/>
      <c r="G679" s="279"/>
    </row>
    <row r="680" spans="1:7" ht="14.25">
      <c r="A680" s="1189"/>
      <c r="B680" s="1179"/>
      <c r="C680" s="1179"/>
      <c r="D680" s="1179"/>
      <c r="E680" s="1179"/>
      <c r="F680" s="1179"/>
      <c r="G680" s="279"/>
    </row>
    <row r="681" spans="1:7" ht="14.25">
      <c r="A681" s="1189"/>
      <c r="B681" s="1179"/>
      <c r="C681" s="1179"/>
      <c r="D681" s="1179"/>
      <c r="E681" s="1179"/>
      <c r="F681" s="1179"/>
      <c r="G681" s="279"/>
    </row>
    <row r="682" spans="1:7" ht="14.25">
      <c r="A682" s="1189"/>
      <c r="B682" s="1179"/>
      <c r="C682" s="1179"/>
      <c r="D682" s="1179"/>
      <c r="E682" s="1179"/>
      <c r="F682" s="1179"/>
      <c r="G682" s="279"/>
    </row>
    <row r="683" spans="1:7" ht="14.25">
      <c r="A683" s="1189"/>
      <c r="B683" s="1179"/>
      <c r="C683" s="1179"/>
      <c r="D683" s="1179"/>
      <c r="E683" s="1179"/>
      <c r="F683" s="1179"/>
      <c r="G683" s="279"/>
    </row>
    <row r="684" spans="1:7" ht="14.25">
      <c r="A684" s="1189"/>
      <c r="B684" s="1179"/>
      <c r="C684" s="1179"/>
      <c r="D684" s="1179"/>
      <c r="E684" s="1179"/>
      <c r="F684" s="1179"/>
      <c r="G684" s="279"/>
    </row>
    <row r="685" spans="1:7" ht="14.25">
      <c r="A685" s="1189"/>
      <c r="B685" s="1179"/>
      <c r="C685" s="1179"/>
      <c r="D685" s="1179"/>
      <c r="E685" s="1179"/>
      <c r="F685" s="1179"/>
      <c r="G685" s="279"/>
    </row>
    <row r="686" spans="1:7" ht="14.25">
      <c r="A686" s="1189"/>
      <c r="B686" s="1179"/>
      <c r="C686" s="1179"/>
      <c r="D686" s="1179"/>
      <c r="E686" s="1179"/>
      <c r="F686" s="1179"/>
      <c r="G686" s="279"/>
    </row>
    <row r="687" spans="1:7" ht="14.25">
      <c r="A687" s="1189"/>
      <c r="B687" s="1179"/>
      <c r="C687" s="1179"/>
      <c r="D687" s="1179"/>
      <c r="E687" s="1179"/>
      <c r="F687" s="1179"/>
      <c r="G687" s="279"/>
    </row>
    <row r="688" spans="1:7" ht="14.25">
      <c r="A688" s="1189"/>
      <c r="B688" s="1179"/>
      <c r="C688" s="1179"/>
      <c r="D688" s="1179"/>
      <c r="E688" s="1179"/>
      <c r="F688" s="1179"/>
      <c r="G688" s="279"/>
    </row>
    <row r="689" spans="1:7" ht="14.25">
      <c r="A689" s="1189"/>
      <c r="B689" s="1179"/>
      <c r="C689" s="1179"/>
      <c r="D689" s="1179"/>
      <c r="E689" s="1179"/>
      <c r="F689" s="1179"/>
      <c r="G689" s="279"/>
    </row>
    <row r="690" spans="1:7" ht="14.25">
      <c r="A690" s="1189"/>
      <c r="B690" s="1179"/>
      <c r="C690" s="1179"/>
      <c r="D690" s="1179"/>
      <c r="E690" s="1179"/>
      <c r="F690" s="1179"/>
      <c r="G690" s="279"/>
    </row>
    <row r="691" spans="1:7" ht="14.25">
      <c r="A691" s="1189"/>
      <c r="B691" s="1179"/>
      <c r="C691" s="1179"/>
      <c r="D691" s="1179"/>
      <c r="E691" s="1179"/>
      <c r="F691" s="1179"/>
      <c r="G691" s="279"/>
    </row>
    <row r="692" spans="1:7" ht="14.25">
      <c r="A692" s="1189"/>
      <c r="B692" s="1179"/>
      <c r="C692" s="1179"/>
      <c r="D692" s="1179"/>
      <c r="E692" s="1179"/>
      <c r="F692" s="1179"/>
      <c r="G692" s="279"/>
    </row>
    <row r="693" spans="1:7" ht="14.25">
      <c r="A693" s="1189"/>
      <c r="B693" s="1179"/>
      <c r="C693" s="1179"/>
      <c r="D693" s="1179"/>
      <c r="E693" s="1179"/>
      <c r="F693" s="1179"/>
      <c r="G693" s="279"/>
    </row>
    <row r="694" spans="1:7" ht="14.25">
      <c r="A694" s="1189"/>
      <c r="B694" s="1179"/>
      <c r="C694" s="1179"/>
      <c r="D694" s="1179"/>
      <c r="E694" s="1179"/>
      <c r="F694" s="1179"/>
      <c r="G694" s="279"/>
    </row>
    <row r="695" spans="1:7" ht="14.25">
      <c r="A695" s="1189"/>
      <c r="B695" s="1179"/>
      <c r="C695" s="1179"/>
      <c r="D695" s="1179"/>
      <c r="E695" s="1179"/>
      <c r="F695" s="1179"/>
      <c r="G695" s="279"/>
    </row>
    <row r="696" spans="1:7" ht="14.25">
      <c r="A696" s="1189"/>
      <c r="B696" s="1179"/>
      <c r="C696" s="1179"/>
      <c r="D696" s="1179"/>
      <c r="E696" s="1179"/>
      <c r="F696" s="1179"/>
      <c r="G696" s="279"/>
    </row>
    <row r="697" spans="1:7" ht="14.25">
      <c r="A697" s="1189"/>
      <c r="B697" s="1179"/>
      <c r="C697" s="1179"/>
      <c r="D697" s="1179"/>
      <c r="E697" s="1179"/>
      <c r="F697" s="1179"/>
      <c r="G697" s="279"/>
    </row>
    <row r="698" spans="1:7" ht="14.25">
      <c r="A698" s="1189"/>
      <c r="B698" s="1179"/>
      <c r="C698" s="1179"/>
      <c r="D698" s="1179"/>
      <c r="E698" s="1179"/>
      <c r="F698" s="1179"/>
      <c r="G698" s="279"/>
    </row>
    <row r="699" spans="1:7" ht="14.25">
      <c r="A699" s="1189"/>
      <c r="B699" s="1179"/>
      <c r="C699" s="1179"/>
      <c r="D699" s="1179"/>
      <c r="E699" s="1179"/>
      <c r="F699" s="1179"/>
      <c r="G699" s="279"/>
    </row>
    <row r="700" spans="1:7" ht="14.25">
      <c r="A700" s="1189"/>
      <c r="B700" s="1179"/>
      <c r="C700" s="1179"/>
      <c r="D700" s="1179"/>
      <c r="E700" s="1179"/>
      <c r="F700" s="1179"/>
      <c r="G700" s="279"/>
    </row>
    <row r="701" spans="1:7" ht="14.25">
      <c r="A701" s="1189"/>
      <c r="B701" s="1179"/>
      <c r="C701" s="1179"/>
      <c r="D701" s="1179"/>
      <c r="E701" s="1179"/>
      <c r="F701" s="1179"/>
      <c r="G701" s="279"/>
    </row>
    <row r="702" spans="1:7" ht="14.25">
      <c r="A702" s="1189"/>
      <c r="B702" s="1179"/>
      <c r="C702" s="1179"/>
      <c r="D702" s="1179"/>
      <c r="E702" s="1179"/>
      <c r="F702" s="1179"/>
      <c r="G702" s="279"/>
    </row>
    <row r="703" spans="1:7" ht="14.25">
      <c r="A703" s="1189"/>
      <c r="B703" s="1179"/>
      <c r="C703" s="1179"/>
      <c r="D703" s="1179"/>
      <c r="E703" s="1179"/>
      <c r="F703" s="1179"/>
      <c r="G703" s="279"/>
    </row>
    <row r="704" spans="1:7" ht="14.25">
      <c r="A704" s="1189"/>
      <c r="B704" s="1179"/>
      <c r="C704" s="1179"/>
      <c r="D704" s="1179"/>
      <c r="E704" s="1179"/>
      <c r="F704" s="1179"/>
      <c r="G704" s="279"/>
    </row>
    <row r="705" spans="1:7" ht="14.25">
      <c r="A705" s="1189"/>
      <c r="B705" s="1179"/>
      <c r="C705" s="1179"/>
      <c r="D705" s="1179"/>
      <c r="E705" s="1179"/>
      <c r="F705" s="1179"/>
      <c r="G705" s="279"/>
    </row>
    <row r="706" spans="1:7" ht="14.25">
      <c r="A706" s="1189"/>
      <c r="B706" s="1179"/>
      <c r="C706" s="1179"/>
      <c r="D706" s="1179"/>
      <c r="E706" s="1179"/>
      <c r="F706" s="1179"/>
      <c r="G706" s="279"/>
    </row>
    <row r="707" spans="1:7" ht="14.25">
      <c r="A707" s="1189"/>
      <c r="B707" s="1179"/>
      <c r="C707" s="1179"/>
      <c r="D707" s="1179"/>
      <c r="E707" s="1179"/>
      <c r="F707" s="1179"/>
      <c r="G707" s="279"/>
    </row>
    <row r="708" spans="1:7" ht="14.25">
      <c r="A708" s="1189"/>
      <c r="B708" s="1179"/>
      <c r="C708" s="1179"/>
      <c r="D708" s="1179"/>
      <c r="E708" s="1179"/>
      <c r="F708" s="1179"/>
      <c r="G708" s="279"/>
    </row>
    <row r="709" spans="1:7" ht="14.25">
      <c r="A709" s="1189"/>
      <c r="B709" s="1179"/>
      <c r="C709" s="1179"/>
      <c r="D709" s="1179"/>
      <c r="E709" s="1179"/>
      <c r="F709" s="1179"/>
      <c r="G709" s="279"/>
    </row>
    <row r="710" spans="1:7" ht="14.25">
      <c r="A710" s="1189"/>
      <c r="B710" s="1179"/>
      <c r="C710" s="1179"/>
      <c r="D710" s="1179"/>
      <c r="E710" s="1179"/>
      <c r="F710" s="1179"/>
      <c r="G710" s="279"/>
    </row>
    <row r="711" spans="1:7" ht="14.25">
      <c r="A711" s="1189"/>
      <c r="B711" s="1179"/>
      <c r="C711" s="1179"/>
      <c r="D711" s="1179"/>
      <c r="E711" s="1179"/>
      <c r="F711" s="1179"/>
      <c r="G711" s="279"/>
    </row>
    <row r="712" spans="1:7" ht="14.25">
      <c r="A712" s="1189"/>
      <c r="B712" s="1179"/>
      <c r="C712" s="1179"/>
      <c r="D712" s="1179"/>
      <c r="E712" s="1179"/>
      <c r="F712" s="1179"/>
      <c r="G712" s="279"/>
    </row>
    <row r="713" spans="1:7" ht="14.25">
      <c r="A713" s="1189"/>
      <c r="B713" s="1179"/>
      <c r="C713" s="1179"/>
      <c r="D713" s="1179"/>
      <c r="E713" s="1179"/>
      <c r="F713" s="1179"/>
      <c r="G713" s="279"/>
    </row>
    <row r="714" spans="1:7" ht="14.25">
      <c r="A714" s="1189"/>
      <c r="B714" s="1179"/>
      <c r="C714" s="1179"/>
      <c r="D714" s="1179"/>
      <c r="E714" s="1179"/>
      <c r="F714" s="1179"/>
      <c r="G714" s="279"/>
    </row>
    <row r="715" spans="1:7" ht="14.25">
      <c r="A715" s="1189"/>
      <c r="B715" s="1179"/>
      <c r="C715" s="1179"/>
      <c r="D715" s="1179"/>
      <c r="E715" s="1179"/>
      <c r="F715" s="1179"/>
      <c r="G715" s="279"/>
    </row>
    <row r="716" spans="1:7" ht="14.25">
      <c r="A716" s="1189"/>
      <c r="B716" s="1179"/>
      <c r="C716" s="1179"/>
      <c r="D716" s="1179"/>
      <c r="E716" s="1179"/>
      <c r="F716" s="1179"/>
      <c r="G716" s="279"/>
    </row>
    <row r="717" spans="1:7" ht="14.25">
      <c r="A717" s="1189"/>
      <c r="B717" s="1179"/>
      <c r="C717" s="1179"/>
      <c r="D717" s="1179"/>
      <c r="E717" s="1179"/>
      <c r="F717" s="1179"/>
      <c r="G717" s="279"/>
    </row>
    <row r="718" spans="1:7" ht="14.25">
      <c r="A718" s="1189"/>
      <c r="B718" s="1179"/>
      <c r="C718" s="1179"/>
      <c r="D718" s="1179"/>
      <c r="E718" s="1179"/>
      <c r="F718" s="1179"/>
      <c r="G718" s="279"/>
    </row>
    <row r="719" spans="1:7" ht="14.25">
      <c r="A719" s="1189"/>
      <c r="B719" s="1179"/>
      <c r="C719" s="1179"/>
      <c r="D719" s="1179"/>
      <c r="E719" s="1179"/>
      <c r="F719" s="1179"/>
      <c r="G719" s="279"/>
    </row>
    <row r="720" spans="1:7" ht="14.25">
      <c r="A720" s="1189"/>
      <c r="B720" s="1179"/>
      <c r="C720" s="1179"/>
      <c r="D720" s="1179"/>
      <c r="E720" s="1179"/>
      <c r="F720" s="1179"/>
      <c r="G720" s="279"/>
    </row>
    <row r="721" spans="1:7" ht="14.25">
      <c r="A721" s="1189"/>
      <c r="B721" s="1179"/>
      <c r="C721" s="1179"/>
      <c r="D721" s="1179"/>
      <c r="E721" s="1179"/>
      <c r="F721" s="1179"/>
      <c r="G721" s="279"/>
    </row>
    <row r="722" spans="1:7" ht="14.25">
      <c r="A722" s="1189"/>
      <c r="B722" s="1179"/>
      <c r="C722" s="1179"/>
      <c r="D722" s="1179"/>
      <c r="E722" s="1179"/>
      <c r="F722" s="1179"/>
      <c r="G722" s="279"/>
    </row>
    <row r="723" spans="1:7" ht="14.25">
      <c r="A723" s="1189"/>
      <c r="B723" s="1179"/>
      <c r="C723" s="1179"/>
      <c r="D723" s="1179"/>
      <c r="E723" s="1179"/>
      <c r="F723" s="1179"/>
      <c r="G723" s="279"/>
    </row>
    <row r="724" spans="1:7" ht="14.25">
      <c r="A724" s="1189"/>
      <c r="B724" s="1179"/>
      <c r="C724" s="1179"/>
      <c r="D724" s="1179"/>
      <c r="E724" s="1179"/>
      <c r="F724" s="1179"/>
      <c r="G724" s="279"/>
    </row>
    <row r="725" spans="1:7" ht="14.25">
      <c r="A725" s="1189"/>
      <c r="B725" s="1179"/>
      <c r="C725" s="1179"/>
      <c r="D725" s="1179"/>
      <c r="E725" s="1179"/>
      <c r="F725" s="1179"/>
      <c r="G725" s="279"/>
    </row>
    <row r="726" spans="1:7" ht="14.25">
      <c r="A726" s="1189"/>
      <c r="B726" s="1179"/>
      <c r="C726" s="1179"/>
      <c r="D726" s="1179"/>
      <c r="E726" s="1179"/>
      <c r="F726" s="1179"/>
      <c r="G726" s="279"/>
    </row>
    <row r="727" spans="1:7" ht="14.25">
      <c r="A727" s="1189"/>
      <c r="B727" s="1179"/>
      <c r="C727" s="1179"/>
      <c r="D727" s="1179"/>
      <c r="E727" s="1179"/>
      <c r="F727" s="1179"/>
      <c r="G727" s="279"/>
    </row>
    <row r="728" spans="1:7" ht="14.25">
      <c r="A728" s="1189"/>
      <c r="B728" s="1179"/>
      <c r="C728" s="1179"/>
      <c r="D728" s="1179"/>
      <c r="E728" s="1179"/>
      <c r="F728" s="1179"/>
      <c r="G728" s="279"/>
    </row>
    <row r="729" spans="1:7" ht="14.25">
      <c r="A729" s="1189"/>
      <c r="B729" s="1179"/>
      <c r="C729" s="1179"/>
      <c r="D729" s="1179"/>
      <c r="E729" s="1179"/>
      <c r="F729" s="1179"/>
      <c r="G729" s="279"/>
    </row>
    <row r="730" spans="1:7" ht="14.25">
      <c r="A730" s="1189"/>
      <c r="B730" s="1179"/>
      <c r="C730" s="1179"/>
      <c r="D730" s="1179"/>
      <c r="E730" s="1179"/>
      <c r="F730" s="1179"/>
      <c r="G730" s="279"/>
    </row>
    <row r="731" spans="1:7" ht="14.25">
      <c r="A731" s="1189"/>
      <c r="B731" s="1179"/>
      <c r="C731" s="1179"/>
      <c r="D731" s="1179"/>
      <c r="E731" s="1179"/>
      <c r="F731" s="1179"/>
      <c r="G731" s="279"/>
    </row>
    <row r="732" spans="1:7" ht="14.25">
      <c r="A732" s="1189"/>
      <c r="B732" s="1179"/>
      <c r="C732" s="1179"/>
      <c r="D732" s="1179"/>
      <c r="E732" s="1179"/>
      <c r="F732" s="1179"/>
      <c r="G732" s="279"/>
    </row>
    <row r="733" spans="1:7" ht="14.25">
      <c r="A733" s="1189"/>
      <c r="B733" s="1179"/>
      <c r="C733" s="1179"/>
      <c r="D733" s="1179"/>
      <c r="E733" s="1179"/>
      <c r="F733" s="1179"/>
      <c r="G733" s="279"/>
    </row>
    <row r="734" spans="1:7" ht="14.25">
      <c r="A734" s="1189"/>
      <c r="B734" s="1179"/>
      <c r="C734" s="1179"/>
      <c r="D734" s="1179"/>
      <c r="E734" s="1179"/>
      <c r="F734" s="1179"/>
      <c r="G734" s="279"/>
    </row>
    <row r="735" spans="1:7" ht="14.25">
      <c r="A735" s="1189"/>
      <c r="B735" s="1179"/>
      <c r="C735" s="1179"/>
      <c r="D735" s="1179"/>
      <c r="E735" s="1179"/>
      <c r="F735" s="1179"/>
      <c r="G735" s="279"/>
    </row>
    <row r="736" spans="1:7" ht="14.25">
      <c r="A736" s="1189"/>
      <c r="B736" s="1179"/>
      <c r="C736" s="1179"/>
      <c r="D736" s="1179"/>
      <c r="E736" s="1179"/>
      <c r="F736" s="1179"/>
      <c r="G736" s="279"/>
    </row>
    <row r="737" spans="1:7" ht="14.25">
      <c r="A737" s="1189"/>
      <c r="B737" s="1179"/>
      <c r="C737" s="1179"/>
      <c r="D737" s="1179"/>
      <c r="E737" s="1179"/>
      <c r="F737" s="1179"/>
      <c r="G737" s="279"/>
    </row>
    <row r="738" spans="1:7" ht="14.25">
      <c r="A738" s="1189"/>
      <c r="B738" s="1179"/>
      <c r="C738" s="1179"/>
      <c r="D738" s="1179"/>
      <c r="E738" s="1179"/>
      <c r="F738" s="1179"/>
      <c r="G738" s="279"/>
    </row>
    <row r="739" spans="1:7" ht="14.25">
      <c r="A739" s="1189"/>
      <c r="B739" s="1179"/>
      <c r="C739" s="1179"/>
      <c r="D739" s="1179"/>
      <c r="E739" s="1179"/>
      <c r="F739" s="1179"/>
      <c r="G739" s="279"/>
    </row>
    <row r="740" spans="1:7" ht="14.25">
      <c r="A740" s="1189"/>
      <c r="B740" s="1179"/>
      <c r="C740" s="1179"/>
      <c r="D740" s="1179"/>
      <c r="E740" s="1179"/>
      <c r="F740" s="1179"/>
      <c r="G740" s="279"/>
    </row>
    <row r="741" spans="1:7" ht="14.25">
      <c r="A741" s="1189"/>
      <c r="B741" s="1179"/>
      <c r="C741" s="1179"/>
      <c r="D741" s="1179"/>
      <c r="E741" s="1179"/>
      <c r="F741" s="1179"/>
      <c r="G741" s="279"/>
    </row>
    <row r="742" spans="1:7" ht="14.25">
      <c r="A742" s="1189"/>
      <c r="B742" s="1179"/>
      <c r="C742" s="1179"/>
      <c r="D742" s="1179"/>
      <c r="E742" s="1179"/>
      <c r="F742" s="1179"/>
      <c r="G742" s="279"/>
    </row>
    <row r="743" spans="1:7" ht="14.25">
      <c r="A743" s="1189"/>
      <c r="B743" s="1179"/>
      <c r="C743" s="1179"/>
      <c r="D743" s="1179"/>
      <c r="E743" s="1179"/>
      <c r="F743" s="1179"/>
      <c r="G743" s="279"/>
    </row>
    <row r="744" spans="1:7" ht="14.25">
      <c r="A744" s="1189"/>
      <c r="B744" s="1179"/>
      <c r="C744" s="1179"/>
      <c r="D744" s="1179"/>
      <c r="E744" s="1179"/>
      <c r="F744" s="1179"/>
      <c r="G744" s="279"/>
    </row>
    <row r="745" spans="1:7" ht="14.25">
      <c r="A745" s="1189"/>
      <c r="B745" s="1179"/>
      <c r="C745" s="1179"/>
      <c r="D745" s="1179"/>
      <c r="E745" s="1179"/>
      <c r="F745" s="1179"/>
      <c r="G745" s="279"/>
    </row>
    <row r="746" spans="1:7" ht="14.25">
      <c r="A746" s="1189"/>
      <c r="B746" s="1179"/>
      <c r="C746" s="1179"/>
      <c r="D746" s="1179"/>
      <c r="E746" s="1179"/>
      <c r="F746" s="1179"/>
      <c r="G746" s="279"/>
    </row>
    <row r="747" spans="1:7" ht="14.25">
      <c r="A747" s="1189"/>
      <c r="B747" s="1179"/>
      <c r="C747" s="1179"/>
      <c r="D747" s="1179"/>
      <c r="E747" s="1179"/>
      <c r="F747" s="1179"/>
      <c r="G747" s="279"/>
    </row>
    <row r="748" spans="1:7" ht="14.25">
      <c r="A748" s="1189"/>
      <c r="B748" s="1179"/>
      <c r="C748" s="1179"/>
      <c r="D748" s="1179"/>
      <c r="E748" s="1179"/>
      <c r="F748" s="1179"/>
      <c r="G748" s="279"/>
    </row>
    <row r="749" spans="1:7" ht="14.25">
      <c r="A749" s="1189"/>
      <c r="B749" s="1179"/>
      <c r="C749" s="1179"/>
      <c r="D749" s="1179"/>
      <c r="E749" s="1179"/>
      <c r="F749" s="1179"/>
      <c r="G749" s="279"/>
    </row>
    <row r="750" spans="1:7" ht="14.25">
      <c r="A750" s="1189"/>
      <c r="B750" s="1179"/>
      <c r="C750" s="1179"/>
      <c r="D750" s="1179"/>
      <c r="E750" s="1179"/>
      <c r="F750" s="1179"/>
      <c r="G750" s="279"/>
    </row>
    <row r="751" spans="1:7" ht="14.25">
      <c r="A751" s="1189"/>
      <c r="B751" s="1179"/>
      <c r="C751" s="1179"/>
      <c r="D751" s="1179"/>
      <c r="E751" s="1179"/>
      <c r="F751" s="1179"/>
      <c r="G751" s="279"/>
    </row>
    <row r="752" spans="1:7" ht="14.25">
      <c r="A752" s="1189"/>
      <c r="B752" s="1179"/>
      <c r="C752" s="1179"/>
      <c r="D752" s="1179"/>
      <c r="E752" s="1179"/>
      <c r="F752" s="1179"/>
      <c r="G752" s="279"/>
    </row>
    <row r="753" spans="1:7" ht="14.25">
      <c r="A753" s="1189"/>
      <c r="B753" s="1179"/>
      <c r="C753" s="1179"/>
      <c r="D753" s="1179"/>
      <c r="E753" s="1179"/>
      <c r="F753" s="1179"/>
      <c r="G753" s="279"/>
    </row>
    <row r="754" spans="1:7" ht="14.25">
      <c r="A754" s="1189"/>
      <c r="B754" s="1179"/>
      <c r="C754" s="1179"/>
      <c r="D754" s="1179"/>
      <c r="E754" s="1179"/>
      <c r="F754" s="1179"/>
      <c r="G754" s="279"/>
    </row>
    <row r="755" spans="1:7" ht="14.25">
      <c r="A755" s="1189"/>
      <c r="B755" s="1179"/>
      <c r="C755" s="1179"/>
      <c r="D755" s="1179"/>
      <c r="E755" s="1179"/>
      <c r="F755" s="1179"/>
      <c r="G755" s="279"/>
    </row>
    <row r="756" spans="1:7" ht="14.25">
      <c r="A756" s="1189"/>
      <c r="B756" s="1179"/>
      <c r="C756" s="1179"/>
      <c r="D756" s="1179"/>
      <c r="E756" s="1179"/>
      <c r="F756" s="1179"/>
      <c r="G756" s="279"/>
    </row>
    <row r="757" spans="1:7" ht="14.25">
      <c r="A757" s="1189"/>
      <c r="B757" s="1179"/>
      <c r="C757" s="1179"/>
      <c r="D757" s="1179"/>
      <c r="E757" s="1179"/>
      <c r="F757" s="1179"/>
      <c r="G757" s="279"/>
    </row>
    <row r="758" spans="1:7" ht="14.25">
      <c r="A758" s="1189"/>
      <c r="B758" s="1179"/>
      <c r="C758" s="1179"/>
      <c r="D758" s="1179"/>
      <c r="E758" s="1179"/>
      <c r="F758" s="1179"/>
      <c r="G758" s="279"/>
    </row>
    <row r="759" spans="1:7" ht="14.25">
      <c r="A759" s="1189"/>
      <c r="B759" s="1179"/>
      <c r="C759" s="1179"/>
      <c r="D759" s="1179"/>
      <c r="E759" s="1179"/>
      <c r="F759" s="1179"/>
      <c r="G759" s="279"/>
    </row>
    <row r="760" spans="1:7" ht="14.25">
      <c r="A760" s="1189"/>
      <c r="B760" s="1179"/>
      <c r="C760" s="1179"/>
      <c r="D760" s="1179"/>
      <c r="E760" s="1179"/>
      <c r="F760" s="1179"/>
      <c r="G760" s="279"/>
    </row>
    <row r="761" spans="1:7" ht="14.25">
      <c r="A761" s="1189"/>
      <c r="B761" s="1179"/>
      <c r="C761" s="1179"/>
      <c r="D761" s="1179"/>
      <c r="E761" s="1179"/>
      <c r="F761" s="1179"/>
      <c r="G761" s="279"/>
    </row>
    <row r="762" spans="1:7" ht="14.25">
      <c r="A762" s="1189"/>
      <c r="B762" s="1179"/>
      <c r="C762" s="1179"/>
      <c r="D762" s="1179"/>
      <c r="E762" s="1179"/>
      <c r="F762" s="1179"/>
      <c r="G762" s="279"/>
    </row>
    <row r="763" spans="1:7" ht="14.25">
      <c r="A763" s="1189"/>
      <c r="B763" s="1179"/>
      <c r="C763" s="1179"/>
      <c r="D763" s="1179"/>
      <c r="E763" s="1179"/>
      <c r="F763" s="1179"/>
      <c r="G763" s="279"/>
    </row>
    <row r="764" spans="1:7" ht="14.25">
      <c r="A764" s="1189"/>
      <c r="B764" s="1179"/>
      <c r="C764" s="1179"/>
      <c r="D764" s="1179"/>
      <c r="E764" s="1179"/>
      <c r="F764" s="1179"/>
      <c r="G764" s="279"/>
    </row>
    <row r="765" spans="1:7" ht="14.25">
      <c r="A765" s="1189"/>
      <c r="B765" s="1179"/>
      <c r="C765" s="1179"/>
      <c r="D765" s="1179"/>
      <c r="E765" s="1179"/>
      <c r="F765" s="1179"/>
      <c r="G765" s="279"/>
    </row>
    <row r="766" spans="1:7" ht="14.25">
      <c r="A766" s="1189"/>
      <c r="B766" s="1179"/>
      <c r="C766" s="1179"/>
      <c r="D766" s="1179"/>
      <c r="E766" s="1179"/>
      <c r="F766" s="1179"/>
      <c r="G766" s="279"/>
    </row>
    <row r="767" spans="1:7" ht="14.25">
      <c r="A767" s="1189"/>
      <c r="B767" s="1179"/>
      <c r="C767" s="1179"/>
      <c r="D767" s="1179"/>
      <c r="E767" s="1179"/>
      <c r="F767" s="1179"/>
      <c r="G767" s="279"/>
    </row>
    <row r="768" spans="1:7" ht="14.25">
      <c r="A768" s="1189"/>
      <c r="B768" s="1179"/>
      <c r="C768" s="1179"/>
      <c r="D768" s="1179"/>
      <c r="E768" s="1179"/>
      <c r="F768" s="1179"/>
      <c r="G768" s="279"/>
    </row>
    <row r="769" spans="1:7" ht="14.25">
      <c r="A769" s="1189"/>
      <c r="B769" s="1179"/>
      <c r="C769" s="1179"/>
      <c r="D769" s="1179"/>
      <c r="E769" s="1179"/>
      <c r="F769" s="1179"/>
      <c r="G769" s="279"/>
    </row>
    <row r="770" spans="1:7" ht="14.25">
      <c r="A770" s="1189"/>
      <c r="B770" s="1179"/>
      <c r="C770" s="1179"/>
      <c r="D770" s="1179"/>
      <c r="E770" s="1179"/>
      <c r="F770" s="1179"/>
      <c r="G770" s="279"/>
    </row>
    <row r="771" spans="1:7" ht="14.25">
      <c r="A771" s="1189"/>
      <c r="B771" s="1179"/>
      <c r="C771" s="1179"/>
      <c r="D771" s="1179"/>
      <c r="E771" s="1179"/>
      <c r="F771" s="1179"/>
      <c r="G771" s="279"/>
    </row>
    <row r="772" spans="1:7" ht="14.25">
      <c r="A772" s="1189"/>
      <c r="B772" s="1179"/>
      <c r="C772" s="1179"/>
      <c r="D772" s="1179"/>
      <c r="E772" s="1179"/>
      <c r="F772" s="1179"/>
      <c r="G772" s="279"/>
    </row>
    <row r="773" spans="1:7" ht="14.25">
      <c r="A773" s="1189"/>
      <c r="B773" s="1179"/>
      <c r="C773" s="1179"/>
      <c r="D773" s="1179"/>
      <c r="E773" s="1179"/>
      <c r="F773" s="1179"/>
      <c r="G773" s="279"/>
    </row>
    <row r="774" spans="1:7" ht="14.25">
      <c r="A774" s="1189"/>
      <c r="B774" s="1179"/>
      <c r="C774" s="1179"/>
      <c r="D774" s="1179"/>
      <c r="E774" s="1179"/>
      <c r="F774" s="1179"/>
      <c r="G774" s="279"/>
    </row>
    <row r="775" spans="1:7" ht="14.25">
      <c r="A775" s="1189"/>
      <c r="B775" s="1179"/>
      <c r="C775" s="1179"/>
      <c r="D775" s="1179"/>
      <c r="E775" s="1179"/>
      <c r="F775" s="1179"/>
      <c r="G775" s="279"/>
    </row>
    <row r="776" spans="1:7" ht="14.25">
      <c r="A776" s="1189"/>
      <c r="B776" s="1179"/>
      <c r="C776" s="1179"/>
      <c r="D776" s="1179"/>
      <c r="E776" s="1179"/>
      <c r="F776" s="1179"/>
      <c r="G776" s="279"/>
    </row>
    <row r="777" spans="1:7" ht="14.25">
      <c r="A777" s="1189"/>
      <c r="B777" s="1179"/>
      <c r="C777" s="1179"/>
      <c r="D777" s="1179"/>
      <c r="E777" s="1179"/>
      <c r="F777" s="1179"/>
      <c r="G777" s="279"/>
    </row>
    <row r="778" spans="1:7" ht="14.25">
      <c r="A778" s="1189"/>
      <c r="B778" s="1179"/>
      <c r="C778" s="1179"/>
      <c r="D778" s="1179"/>
      <c r="E778" s="1179"/>
      <c r="F778" s="1179"/>
      <c r="G778" s="279"/>
    </row>
    <row r="779" spans="1:7" ht="14.25">
      <c r="A779" s="1189"/>
      <c r="B779" s="1179"/>
      <c r="C779" s="1179"/>
      <c r="D779" s="1179"/>
      <c r="E779" s="1179"/>
      <c r="F779" s="1179"/>
      <c r="G779" s="279"/>
    </row>
    <row r="780" spans="1:7" ht="14.25">
      <c r="A780" s="1189"/>
      <c r="B780" s="1179"/>
      <c r="C780" s="1179"/>
      <c r="D780" s="1179"/>
      <c r="E780" s="1179"/>
      <c r="F780" s="1179"/>
      <c r="G780" s="279"/>
    </row>
    <row r="781" spans="1:7" ht="14.25">
      <c r="A781" s="1189"/>
      <c r="B781" s="1179"/>
      <c r="C781" s="1179"/>
      <c r="D781" s="1179"/>
      <c r="E781" s="1179"/>
      <c r="F781" s="1179"/>
      <c r="G781" s="279"/>
    </row>
    <row r="782" spans="1:7" ht="14.25">
      <c r="A782" s="1189"/>
      <c r="B782" s="1179"/>
      <c r="C782" s="1179"/>
      <c r="D782" s="1179"/>
      <c r="E782" s="1179"/>
      <c r="F782" s="1179"/>
      <c r="G782" s="279"/>
    </row>
    <row r="783" spans="1:7" ht="14.25">
      <c r="A783" s="1189"/>
      <c r="B783" s="1179"/>
      <c r="C783" s="1179"/>
      <c r="D783" s="1179"/>
      <c r="E783" s="1179"/>
      <c r="F783" s="1179"/>
      <c r="G783" s="279"/>
    </row>
    <row r="784" spans="1:7" ht="14.25">
      <c r="A784" s="1189"/>
      <c r="B784" s="1179"/>
      <c r="C784" s="1179"/>
      <c r="D784" s="1179"/>
      <c r="E784" s="1179"/>
      <c r="F784" s="1179"/>
      <c r="G784" s="279"/>
    </row>
    <row r="785" spans="1:7" ht="14.25">
      <c r="A785" s="1189"/>
      <c r="B785" s="1179"/>
      <c r="C785" s="1179"/>
      <c r="D785" s="1179"/>
      <c r="E785" s="1179"/>
      <c r="F785" s="1179"/>
      <c r="G785" s="279"/>
    </row>
    <row r="786" spans="1:7" ht="14.25">
      <c r="A786" s="1189"/>
      <c r="B786" s="1179"/>
      <c r="C786" s="1179"/>
      <c r="D786" s="1179"/>
      <c r="E786" s="1179"/>
      <c r="F786" s="1179"/>
      <c r="G786" s="279"/>
    </row>
    <row r="787" spans="1:7" ht="14.25">
      <c r="A787" s="1189"/>
      <c r="B787" s="1179"/>
      <c r="C787" s="1179"/>
      <c r="D787" s="1179"/>
      <c r="E787" s="1179"/>
      <c r="F787" s="1179"/>
      <c r="G787" s="279"/>
    </row>
    <row r="788" spans="1:7" ht="14.25">
      <c r="A788" s="1189"/>
      <c r="B788" s="1179"/>
      <c r="C788" s="1179"/>
      <c r="D788" s="1179"/>
      <c r="E788" s="1179"/>
      <c r="F788" s="1179"/>
      <c r="G788" s="279"/>
    </row>
    <row r="789" spans="1:7" ht="14.25">
      <c r="A789" s="1189"/>
      <c r="B789" s="1179"/>
      <c r="C789" s="1179"/>
      <c r="D789" s="1179"/>
      <c r="E789" s="1179"/>
      <c r="F789" s="1179"/>
      <c r="G789" s="279"/>
    </row>
    <row r="790" spans="1:7" ht="14.25">
      <c r="A790" s="1189"/>
      <c r="B790" s="1179"/>
      <c r="C790" s="1179"/>
      <c r="D790" s="1179"/>
      <c r="E790" s="1179"/>
      <c r="F790" s="1179"/>
      <c r="G790" s="279"/>
    </row>
    <row r="791" spans="1:7" ht="14.25">
      <c r="A791" s="1189"/>
      <c r="B791" s="1179"/>
      <c r="C791" s="1179"/>
      <c r="D791" s="1179"/>
      <c r="E791" s="1179"/>
      <c r="F791" s="1179"/>
      <c r="G791" s="279"/>
    </row>
    <row r="792" spans="1:7" ht="14.25">
      <c r="A792" s="1189"/>
      <c r="B792" s="1179"/>
      <c r="C792" s="1179"/>
      <c r="D792" s="1179"/>
      <c r="E792" s="1179"/>
      <c r="F792" s="1179"/>
      <c r="G792" s="279"/>
    </row>
    <row r="793" spans="1:7" ht="14.25">
      <c r="A793" s="1189"/>
      <c r="B793" s="1179"/>
      <c r="C793" s="1179"/>
      <c r="D793" s="1179"/>
      <c r="E793" s="1179"/>
      <c r="F793" s="1179"/>
      <c r="G793" s="279"/>
    </row>
    <row r="794" spans="1:7" ht="14.25">
      <c r="A794" s="1189"/>
      <c r="B794" s="1179"/>
      <c r="C794" s="1179"/>
      <c r="D794" s="1179"/>
      <c r="E794" s="1179"/>
      <c r="F794" s="1179"/>
      <c r="G794" s="279"/>
    </row>
    <row r="795" spans="1:7" ht="14.25">
      <c r="A795" s="1189"/>
      <c r="B795" s="1179"/>
      <c r="C795" s="1179"/>
      <c r="D795" s="1179"/>
      <c r="E795" s="1179"/>
      <c r="F795" s="1179"/>
      <c r="G795" s="279"/>
    </row>
    <row r="796" spans="1:7" ht="14.25">
      <c r="A796" s="1189"/>
      <c r="B796" s="1179"/>
      <c r="C796" s="1179"/>
      <c r="D796" s="1179"/>
      <c r="E796" s="1179"/>
      <c r="F796" s="1179"/>
      <c r="G796" s="279"/>
    </row>
    <row r="797" spans="1:7" ht="14.25">
      <c r="A797" s="1189"/>
      <c r="B797" s="1179"/>
      <c r="C797" s="1179"/>
      <c r="D797" s="1179"/>
      <c r="E797" s="1179"/>
      <c r="F797" s="1179"/>
      <c r="G797" s="279"/>
    </row>
    <row r="798" spans="1:7" ht="14.25">
      <c r="A798" s="1189"/>
      <c r="B798" s="1179"/>
      <c r="C798" s="1179"/>
      <c r="D798" s="1179"/>
      <c r="E798" s="1179"/>
      <c r="F798" s="1179"/>
      <c r="G798" s="279"/>
    </row>
    <row r="799" spans="1:7" ht="14.25">
      <c r="A799" s="1189"/>
      <c r="B799" s="1179"/>
      <c r="C799" s="1179"/>
      <c r="D799" s="1179"/>
      <c r="E799" s="1179"/>
      <c r="F799" s="1179"/>
      <c r="G799" s="279"/>
    </row>
    <row r="800" spans="1:7" ht="14.25">
      <c r="A800" s="1189"/>
      <c r="B800" s="1179"/>
      <c r="C800" s="1179"/>
      <c r="D800" s="1179"/>
      <c r="E800" s="1179"/>
      <c r="F800" s="1179"/>
      <c r="G800" s="279"/>
    </row>
    <row r="801" spans="1:7" ht="14.25">
      <c r="A801" s="1189"/>
      <c r="B801" s="1179"/>
      <c r="C801" s="1179"/>
      <c r="D801" s="1179"/>
      <c r="E801" s="1179"/>
      <c r="F801" s="1179"/>
      <c r="G801" s="279"/>
    </row>
    <row r="802" spans="1:7" ht="14.25">
      <c r="A802" s="1189"/>
      <c r="B802" s="1179"/>
      <c r="C802" s="1179"/>
      <c r="D802" s="1179"/>
      <c r="E802" s="1179"/>
      <c r="F802" s="1179"/>
      <c r="G802" s="279"/>
    </row>
    <row r="803" spans="1:7" ht="14.25">
      <c r="A803" s="1189"/>
      <c r="B803" s="1179"/>
      <c r="C803" s="1179"/>
      <c r="D803" s="1179"/>
      <c r="E803" s="1179"/>
      <c r="F803" s="1179"/>
      <c r="G803" s="279"/>
    </row>
    <row r="804" spans="1:7" ht="14.25">
      <c r="A804" s="1189"/>
      <c r="B804" s="1179"/>
      <c r="C804" s="1179"/>
      <c r="D804" s="1179"/>
      <c r="E804" s="1179"/>
      <c r="F804" s="1179"/>
      <c r="G804" s="279"/>
    </row>
    <row r="805" spans="1:7" ht="14.25">
      <c r="A805" s="1189"/>
      <c r="B805" s="1179"/>
      <c r="C805" s="1179"/>
      <c r="D805" s="1179"/>
      <c r="E805" s="1179"/>
      <c r="F805" s="1179"/>
      <c r="G805" s="279"/>
    </row>
    <row r="806" spans="1:7" ht="14.25">
      <c r="A806" s="1189"/>
      <c r="B806" s="1179"/>
      <c r="C806" s="1179"/>
      <c r="D806" s="1179"/>
      <c r="E806" s="1179"/>
      <c r="F806" s="1179"/>
      <c r="G806" s="279"/>
    </row>
    <row r="807" spans="1:7" ht="14.25">
      <c r="A807" s="1189"/>
      <c r="B807" s="1179"/>
      <c r="C807" s="1179"/>
      <c r="D807" s="1179"/>
      <c r="E807" s="1179"/>
      <c r="F807" s="1179"/>
      <c r="G807" s="279"/>
    </row>
    <row r="808" spans="1:7" ht="14.25">
      <c r="A808" s="1189"/>
      <c r="B808" s="1179"/>
      <c r="C808" s="1179"/>
      <c r="D808" s="1179"/>
      <c r="E808" s="1179"/>
      <c r="F808" s="1179"/>
      <c r="G808" s="279"/>
    </row>
    <row r="809" spans="1:7" ht="14.25">
      <c r="A809" s="1189"/>
      <c r="B809" s="1179"/>
      <c r="C809" s="1179"/>
      <c r="D809" s="1179"/>
      <c r="E809" s="1179"/>
      <c r="F809" s="1179"/>
      <c r="G809" s="279"/>
    </row>
    <row r="810" spans="1:7" ht="14.25">
      <c r="A810" s="1189"/>
      <c r="B810" s="1179"/>
      <c r="C810" s="1179"/>
      <c r="D810" s="1179"/>
      <c r="E810" s="1179"/>
      <c r="F810" s="1179"/>
      <c r="G810" s="279"/>
    </row>
    <row r="811" spans="1:7" ht="14.25">
      <c r="A811" s="1189"/>
      <c r="B811" s="1179"/>
      <c r="C811" s="1179"/>
      <c r="D811" s="1179"/>
      <c r="E811" s="1179"/>
      <c r="F811" s="1179"/>
      <c r="G811" s="279"/>
    </row>
    <row r="812" spans="1:7" ht="14.25">
      <c r="A812" s="1189"/>
      <c r="B812" s="1179"/>
      <c r="C812" s="1179"/>
      <c r="D812" s="1179"/>
      <c r="E812" s="1179"/>
      <c r="F812" s="1179"/>
      <c r="G812" s="279"/>
    </row>
    <row r="813" spans="1:7" ht="14.25">
      <c r="A813" s="1189"/>
      <c r="B813" s="1179"/>
      <c r="C813" s="1179"/>
      <c r="D813" s="1179"/>
      <c r="E813" s="1179"/>
      <c r="F813" s="1179"/>
      <c r="G813" s="279"/>
    </row>
    <row r="814" spans="1:7" ht="14.25">
      <c r="A814" s="1189"/>
      <c r="B814" s="1179"/>
      <c r="C814" s="1179"/>
      <c r="D814" s="1179"/>
      <c r="E814" s="1179"/>
      <c r="F814" s="1179"/>
      <c r="G814" s="279"/>
    </row>
    <row r="815" spans="1:7" ht="14.25">
      <c r="A815" s="1189"/>
      <c r="B815" s="1179"/>
      <c r="C815" s="1179"/>
      <c r="D815" s="1179"/>
      <c r="E815" s="1179"/>
      <c r="F815" s="1179"/>
      <c r="G815" s="279"/>
    </row>
    <row r="816" spans="1:7" ht="14.25">
      <c r="A816" s="1189"/>
      <c r="B816" s="1179"/>
      <c r="C816" s="1179"/>
      <c r="D816" s="1179"/>
      <c r="E816" s="1179"/>
      <c r="F816" s="1179"/>
      <c r="G816" s="279"/>
    </row>
    <row r="817" spans="1:7" ht="14.25">
      <c r="A817" s="1189"/>
      <c r="B817" s="1179"/>
      <c r="C817" s="1179"/>
      <c r="D817" s="1179"/>
      <c r="E817" s="1179"/>
      <c r="F817" s="1179"/>
      <c r="G817" s="279"/>
    </row>
    <row r="818" spans="1:7" ht="14.25">
      <c r="A818" s="1189"/>
      <c r="B818" s="1179"/>
      <c r="C818" s="1179"/>
      <c r="D818" s="1179"/>
      <c r="E818" s="1179"/>
      <c r="F818" s="1179"/>
      <c r="G818" s="279"/>
    </row>
    <row r="819" spans="1:7" ht="14.25">
      <c r="A819" s="1189"/>
      <c r="B819" s="1179"/>
      <c r="C819" s="1179"/>
      <c r="D819" s="1179"/>
      <c r="E819" s="1179"/>
      <c r="F819" s="1179"/>
      <c r="G819" s="279"/>
    </row>
    <row r="820" spans="1:7" ht="14.25">
      <c r="A820" s="1189"/>
      <c r="B820" s="1179"/>
      <c r="C820" s="1179"/>
      <c r="D820" s="1179"/>
      <c r="E820" s="1179"/>
      <c r="F820" s="1179"/>
      <c r="G820" s="279"/>
    </row>
    <row r="821" spans="1:7" ht="14.25">
      <c r="A821" s="1189"/>
      <c r="B821" s="1179"/>
      <c r="C821" s="1179"/>
      <c r="D821" s="1179"/>
      <c r="E821" s="1179"/>
      <c r="F821" s="1179"/>
      <c r="G821" s="279"/>
    </row>
    <row r="822" spans="1:7" ht="14.25">
      <c r="A822" s="1189"/>
      <c r="B822" s="1179"/>
      <c r="C822" s="1179"/>
      <c r="D822" s="1179"/>
      <c r="E822" s="1179"/>
      <c r="F822" s="1179"/>
      <c r="G822" s="279"/>
    </row>
    <row r="823" spans="1:7" ht="14.25">
      <c r="A823" s="1189"/>
      <c r="B823" s="1179"/>
      <c r="C823" s="1179"/>
      <c r="D823" s="1179"/>
      <c r="E823" s="1179"/>
      <c r="F823" s="1179"/>
      <c r="G823" s="279"/>
    </row>
    <row r="824" spans="1:7" ht="14.25">
      <c r="A824" s="1189"/>
      <c r="B824" s="1179"/>
      <c r="C824" s="1179"/>
      <c r="D824" s="1179"/>
      <c r="E824" s="1179"/>
      <c r="F824" s="1179"/>
      <c r="G824" s="279"/>
    </row>
    <row r="825" spans="1:7" ht="14.25">
      <c r="A825" s="1189"/>
      <c r="B825" s="1179"/>
      <c r="C825" s="1179"/>
      <c r="D825" s="1179"/>
      <c r="E825" s="1179"/>
      <c r="F825" s="1179"/>
      <c r="G825" s="279"/>
    </row>
    <row r="826" spans="1:7" ht="14.25">
      <c r="A826" s="1189"/>
      <c r="B826" s="1179"/>
      <c r="C826" s="1179"/>
      <c r="D826" s="1179"/>
      <c r="E826" s="1179"/>
      <c r="F826" s="1179"/>
      <c r="G826" s="279"/>
    </row>
    <row r="827" spans="1:7" ht="14.25">
      <c r="A827" s="1189"/>
      <c r="B827" s="1179"/>
      <c r="C827" s="1179"/>
      <c r="D827" s="1179"/>
      <c r="E827" s="1179"/>
      <c r="F827" s="1179"/>
      <c r="G827" s="279"/>
    </row>
    <row r="828" spans="1:7" ht="14.25">
      <c r="A828" s="1189"/>
      <c r="B828" s="1179"/>
      <c r="C828" s="1179"/>
      <c r="D828" s="1179"/>
      <c r="E828" s="1179"/>
      <c r="F828" s="1179"/>
      <c r="G828" s="279"/>
    </row>
    <row r="829" spans="1:7" ht="14.25">
      <c r="A829" s="1189"/>
      <c r="B829" s="1179"/>
      <c r="C829" s="1179"/>
      <c r="D829" s="1179"/>
      <c r="E829" s="1179"/>
      <c r="F829" s="1179"/>
      <c r="G829" s="279"/>
    </row>
    <row r="830" spans="1:7" ht="14.25">
      <c r="A830" s="1189"/>
      <c r="B830" s="1179"/>
      <c r="C830" s="1179"/>
      <c r="D830" s="1179"/>
      <c r="E830" s="1179"/>
      <c r="F830" s="1179"/>
      <c r="G830" s="279"/>
    </row>
    <row r="831" spans="1:7" ht="14.25">
      <c r="A831" s="1189"/>
      <c r="B831" s="1179"/>
      <c r="C831" s="1179"/>
      <c r="D831" s="1179"/>
      <c r="E831" s="1179"/>
      <c r="F831" s="1179"/>
      <c r="G831" s="279"/>
    </row>
    <row r="832" spans="1:7" ht="14.25">
      <c r="A832" s="1189"/>
      <c r="B832" s="1179"/>
      <c r="C832" s="1179"/>
      <c r="D832" s="1179"/>
      <c r="E832" s="1179"/>
      <c r="F832" s="1179"/>
      <c r="G832" s="279"/>
    </row>
    <row r="833" spans="1:7" ht="14.25">
      <c r="A833" s="1189"/>
      <c r="B833" s="1179"/>
      <c r="C833" s="1179"/>
      <c r="D833" s="1179"/>
      <c r="E833" s="1179"/>
      <c r="F833" s="1179"/>
      <c r="G833" s="279"/>
    </row>
    <row r="834" spans="1:7" ht="14.25">
      <c r="A834" s="1189"/>
      <c r="B834" s="1179"/>
      <c r="C834" s="1179"/>
      <c r="D834" s="1179"/>
      <c r="E834" s="1179"/>
      <c r="F834" s="1179"/>
      <c r="G834" s="279"/>
    </row>
    <row r="835" spans="1:7" ht="14.25">
      <c r="A835" s="1189"/>
      <c r="B835" s="1179"/>
      <c r="C835" s="1179"/>
      <c r="D835" s="1179"/>
      <c r="E835" s="1179"/>
      <c r="F835" s="1179"/>
      <c r="G835" s="279"/>
    </row>
    <row r="836" spans="1:7" ht="14.25">
      <c r="A836" s="1189"/>
      <c r="B836" s="1179"/>
      <c r="C836" s="1179"/>
      <c r="D836" s="1179"/>
      <c r="E836" s="1179"/>
      <c r="F836" s="1179"/>
      <c r="G836" s="279"/>
    </row>
    <row r="837" spans="1:7" ht="14.25">
      <c r="A837" s="1189"/>
      <c r="B837" s="1179"/>
      <c r="C837" s="1179"/>
      <c r="D837" s="1179"/>
      <c r="E837" s="1179"/>
      <c r="F837" s="1179"/>
      <c r="G837" s="279"/>
    </row>
    <row r="838" spans="1:7" ht="14.25">
      <c r="A838" s="1189"/>
      <c r="B838" s="1179"/>
      <c r="C838" s="1179"/>
      <c r="D838" s="1179"/>
      <c r="E838" s="1179"/>
      <c r="F838" s="1179"/>
      <c r="G838" s="279"/>
    </row>
    <row r="839" spans="1:7" ht="14.25">
      <c r="A839" s="1189"/>
      <c r="B839" s="1179"/>
      <c r="C839" s="1179"/>
      <c r="D839" s="1179"/>
      <c r="E839" s="1179"/>
      <c r="F839" s="1179"/>
      <c r="G839" s="279"/>
    </row>
    <row r="840" spans="1:7" ht="14.25">
      <c r="A840" s="1189"/>
      <c r="B840" s="1179"/>
      <c r="C840" s="1179"/>
      <c r="D840" s="1179"/>
      <c r="E840" s="1179"/>
      <c r="F840" s="1179"/>
      <c r="G840" s="279"/>
    </row>
    <row r="841" spans="1:7" ht="14.25">
      <c r="A841" s="1189"/>
      <c r="B841" s="1179"/>
      <c r="C841" s="1179"/>
      <c r="D841" s="1179"/>
      <c r="E841" s="1179"/>
      <c r="F841" s="1179"/>
      <c r="G841" s="279"/>
    </row>
    <row r="842" spans="1:7" ht="14.25">
      <c r="A842" s="1189"/>
      <c r="B842" s="1179"/>
      <c r="C842" s="1179"/>
      <c r="D842" s="1179"/>
      <c r="E842" s="1179"/>
      <c r="F842" s="1179"/>
      <c r="G842" s="279"/>
    </row>
    <row r="843" spans="1:7" ht="14.25">
      <c r="A843" s="1189"/>
      <c r="B843" s="1179"/>
      <c r="C843" s="1179"/>
      <c r="D843" s="1179"/>
      <c r="E843" s="1179"/>
      <c r="F843" s="1179"/>
      <c r="G843" s="279"/>
    </row>
    <row r="844" spans="1:7" ht="14.25">
      <c r="A844" s="1189"/>
      <c r="B844" s="1179"/>
      <c r="C844" s="1179"/>
      <c r="D844" s="1179"/>
      <c r="E844" s="1179"/>
      <c r="F844" s="1179"/>
      <c r="G844" s="279"/>
    </row>
    <row r="845" spans="1:7" ht="14.25">
      <c r="A845" s="1189"/>
      <c r="B845" s="1179"/>
      <c r="C845" s="1179"/>
      <c r="D845" s="1179"/>
      <c r="E845" s="1179"/>
      <c r="F845" s="1179"/>
      <c r="G845" s="279"/>
    </row>
    <row r="846" spans="1:7" ht="14.25">
      <c r="A846" s="1189"/>
      <c r="B846" s="1179"/>
      <c r="C846" s="1179"/>
      <c r="D846" s="1179"/>
      <c r="E846" s="1179"/>
      <c r="F846" s="1179"/>
      <c r="G846" s="279"/>
    </row>
    <row r="847" spans="1:7" ht="14.25">
      <c r="A847" s="1189"/>
      <c r="B847" s="1179"/>
      <c r="C847" s="1179"/>
      <c r="D847" s="1179"/>
      <c r="E847" s="1179"/>
      <c r="F847" s="1179"/>
      <c r="G847" s="279"/>
    </row>
    <row r="848" spans="1:7" ht="14.25">
      <c r="A848" s="1189"/>
      <c r="B848" s="1179"/>
      <c r="C848" s="1179"/>
      <c r="D848" s="1179"/>
      <c r="E848" s="1179"/>
      <c r="F848" s="1179"/>
      <c r="G848" s="279"/>
    </row>
    <row r="849" spans="1:7" ht="14.25">
      <c r="A849" s="1189"/>
      <c r="B849" s="1179"/>
      <c r="C849" s="1179"/>
      <c r="D849" s="1179"/>
      <c r="E849" s="1179"/>
      <c r="F849" s="1179"/>
      <c r="G849" s="279"/>
    </row>
    <row r="850" spans="1:7" ht="14.25">
      <c r="A850" s="1189"/>
      <c r="B850" s="1179"/>
      <c r="C850" s="1179"/>
      <c r="D850" s="1179"/>
      <c r="E850" s="1179"/>
      <c r="F850" s="1179"/>
      <c r="G850" s="279"/>
    </row>
    <row r="851" spans="1:7" ht="14.25">
      <c r="A851" s="1189"/>
      <c r="B851" s="1179"/>
      <c r="C851" s="1179"/>
      <c r="D851" s="1179"/>
      <c r="E851" s="1179"/>
      <c r="F851" s="1179"/>
      <c r="G851" s="279"/>
    </row>
    <row r="852" spans="1:7" ht="14.25">
      <c r="A852" s="1189"/>
      <c r="B852" s="1179"/>
      <c r="C852" s="1179"/>
      <c r="D852" s="1179"/>
      <c r="E852" s="1179"/>
      <c r="F852" s="1179"/>
      <c r="G852" s="279"/>
    </row>
    <row r="853" spans="1:7" ht="14.25">
      <c r="A853" s="1189"/>
      <c r="B853" s="1179"/>
      <c r="C853" s="1179"/>
      <c r="D853" s="1179"/>
      <c r="E853" s="1179"/>
      <c r="F853" s="1179"/>
      <c r="G853" s="279"/>
    </row>
    <row r="854" spans="1:7" ht="14.25">
      <c r="A854" s="1189"/>
      <c r="B854" s="1179"/>
      <c r="C854" s="1179"/>
      <c r="D854" s="1179"/>
      <c r="E854" s="1179"/>
      <c r="F854" s="1179"/>
      <c r="G854" s="279"/>
    </row>
    <row r="855" spans="1:7" ht="14.25">
      <c r="A855" s="1189"/>
      <c r="B855" s="1179"/>
      <c r="C855" s="1179"/>
      <c r="D855" s="1179"/>
      <c r="E855" s="1179"/>
      <c r="F855" s="1179"/>
      <c r="G855" s="279"/>
    </row>
    <row r="856" spans="1:7" ht="14.25">
      <c r="A856" s="1189"/>
      <c r="B856" s="1179"/>
      <c r="C856" s="1179"/>
      <c r="D856" s="1179"/>
      <c r="E856" s="1179"/>
      <c r="F856" s="1179"/>
      <c r="G856" s="279"/>
    </row>
    <row r="857" spans="1:7" ht="14.25">
      <c r="A857" s="1189"/>
      <c r="B857" s="1179"/>
      <c r="C857" s="1179"/>
      <c r="D857" s="1179"/>
      <c r="E857" s="1179"/>
      <c r="F857" s="1179"/>
      <c r="G857" s="279"/>
    </row>
    <row r="858" spans="1:7" ht="14.25">
      <c r="A858" s="1189"/>
      <c r="B858" s="1179"/>
      <c r="C858" s="1179"/>
      <c r="D858" s="1179"/>
      <c r="E858" s="1179"/>
      <c r="F858" s="1179"/>
      <c r="G858" s="279"/>
    </row>
    <row r="859" spans="1:7" ht="14.25">
      <c r="A859" s="1189"/>
      <c r="B859" s="1179"/>
      <c r="C859" s="1179"/>
      <c r="D859" s="1179"/>
      <c r="E859" s="1179"/>
      <c r="F859" s="1179"/>
      <c r="G859" s="279"/>
    </row>
    <row r="860" spans="1:7" ht="14.25">
      <c r="A860" s="1189"/>
      <c r="B860" s="1179"/>
      <c r="C860" s="1179"/>
      <c r="D860" s="1179"/>
      <c r="E860" s="1179"/>
      <c r="F860" s="1179"/>
      <c r="G860" s="279"/>
    </row>
    <row r="861" spans="1:7" ht="14.25">
      <c r="A861" s="1189"/>
      <c r="B861" s="1179"/>
      <c r="C861" s="1179"/>
      <c r="D861" s="1179"/>
      <c r="E861" s="1179"/>
      <c r="F861" s="1179"/>
      <c r="G861" s="279"/>
    </row>
    <row r="862" spans="1:7" ht="14.25">
      <c r="A862" s="1189"/>
      <c r="B862" s="1179"/>
      <c r="C862" s="1179"/>
      <c r="D862" s="1179"/>
      <c r="E862" s="1179"/>
      <c r="F862" s="1179"/>
      <c r="G862" s="279"/>
    </row>
    <row r="863" spans="1:7" ht="14.25">
      <c r="A863" s="1189"/>
      <c r="B863" s="1179"/>
      <c r="C863" s="1179"/>
      <c r="D863" s="1179"/>
      <c r="E863" s="1179"/>
      <c r="F863" s="1179"/>
      <c r="G863" s="279"/>
    </row>
    <row r="864" spans="1:7" ht="14.25">
      <c r="A864" s="1189"/>
      <c r="B864" s="1179"/>
      <c r="C864" s="1179"/>
      <c r="D864" s="1179"/>
      <c r="E864" s="1179"/>
      <c r="F864" s="1179"/>
      <c r="G864" s="279"/>
    </row>
    <row r="865" spans="1:7" ht="14.25">
      <c r="A865" s="1189"/>
      <c r="B865" s="1179"/>
      <c r="C865" s="1179"/>
      <c r="D865" s="1179"/>
      <c r="E865" s="1179"/>
      <c r="F865" s="1179"/>
      <c r="G865" s="279"/>
    </row>
    <row r="866" spans="1:7" ht="14.25">
      <c r="A866" s="1189"/>
      <c r="B866" s="1179"/>
      <c r="C866" s="1179"/>
      <c r="D866" s="1179"/>
      <c r="E866" s="1179"/>
      <c r="F866" s="1179"/>
      <c r="G866" s="279"/>
    </row>
    <row r="867" spans="1:7" ht="14.25">
      <c r="A867" s="1189"/>
      <c r="B867" s="1179"/>
      <c r="C867" s="1179"/>
      <c r="D867" s="1179"/>
      <c r="E867" s="1179"/>
      <c r="F867" s="1179"/>
      <c r="G867" s="279"/>
    </row>
    <row r="868" spans="1:7" ht="14.25">
      <c r="A868" s="1189"/>
      <c r="B868" s="1179"/>
      <c r="C868" s="1179"/>
      <c r="D868" s="1179"/>
      <c r="E868" s="1179"/>
      <c r="F868" s="1179"/>
      <c r="G868" s="279"/>
    </row>
    <row r="869" spans="1:7" ht="14.25">
      <c r="A869" s="1189"/>
      <c r="B869" s="1179"/>
      <c r="C869" s="1179"/>
      <c r="D869" s="1179"/>
      <c r="E869" s="1179"/>
      <c r="F869" s="1179"/>
      <c r="G869" s="279"/>
    </row>
    <row r="870" spans="1:7" ht="14.25">
      <c r="A870" s="1189"/>
      <c r="B870" s="1179"/>
      <c r="C870" s="1179"/>
      <c r="D870" s="1179"/>
      <c r="E870" s="1179"/>
      <c r="F870" s="1179"/>
      <c r="G870" s="279"/>
    </row>
    <row r="871" spans="1:7" ht="14.25">
      <c r="A871" s="1189"/>
      <c r="B871" s="1179"/>
      <c r="C871" s="1179"/>
      <c r="D871" s="1179"/>
      <c r="E871" s="1179"/>
      <c r="F871" s="1179"/>
      <c r="G871" s="279"/>
    </row>
    <row r="872" spans="1:7" ht="14.25">
      <c r="A872" s="1189"/>
      <c r="B872" s="1179"/>
      <c r="C872" s="1179"/>
      <c r="D872" s="1179"/>
      <c r="E872" s="1179"/>
      <c r="F872" s="1179"/>
      <c r="G872" s="279"/>
    </row>
    <row r="873" spans="1:7" ht="14.25">
      <c r="A873" s="1189"/>
      <c r="B873" s="1179"/>
      <c r="C873" s="1179"/>
      <c r="D873" s="1179"/>
      <c r="E873" s="1179"/>
      <c r="F873" s="1179"/>
      <c r="G873" s="279"/>
    </row>
    <row r="874" spans="1:7" ht="14.25">
      <c r="A874" s="1189"/>
      <c r="B874" s="1179"/>
      <c r="C874" s="1179"/>
      <c r="D874" s="1179"/>
      <c r="E874" s="1179"/>
      <c r="F874" s="1179"/>
      <c r="G874" s="279"/>
    </row>
    <row r="875" spans="1:7" ht="14.25">
      <c r="A875" s="1189"/>
      <c r="B875" s="1179"/>
      <c r="C875" s="1179"/>
      <c r="D875" s="1179"/>
      <c r="E875" s="1179"/>
      <c r="F875" s="1179"/>
      <c r="G875" s="279"/>
    </row>
    <row r="876" spans="1:7" ht="14.25">
      <c r="A876" s="1189"/>
      <c r="B876" s="1179"/>
      <c r="C876" s="1179"/>
      <c r="D876" s="1179"/>
      <c r="E876" s="1179"/>
      <c r="F876" s="1179"/>
      <c r="G876" s="279"/>
    </row>
    <row r="877" spans="1:7" ht="14.25">
      <c r="A877" s="1189"/>
      <c r="B877" s="1179"/>
      <c r="C877" s="1179"/>
      <c r="D877" s="1179"/>
      <c r="E877" s="1179"/>
      <c r="F877" s="1179"/>
      <c r="G877" s="279"/>
    </row>
    <row r="878" spans="1:7" ht="14.25">
      <c r="A878" s="1189"/>
      <c r="B878" s="1179"/>
      <c r="C878" s="1179"/>
      <c r="D878" s="1179"/>
      <c r="E878" s="1179"/>
      <c r="F878" s="1179"/>
      <c r="G878" s="279"/>
    </row>
    <row r="879" spans="1:7" ht="14.25">
      <c r="A879" s="1189"/>
      <c r="B879" s="1179"/>
      <c r="C879" s="1179"/>
      <c r="D879" s="1179"/>
      <c r="E879" s="1179"/>
      <c r="F879" s="1179"/>
      <c r="G879" s="279"/>
    </row>
    <row r="880" spans="1:7" ht="14.25">
      <c r="A880" s="1189"/>
      <c r="B880" s="1179"/>
      <c r="C880" s="1179"/>
      <c r="D880" s="1179"/>
      <c r="E880" s="1179"/>
      <c r="F880" s="1179"/>
      <c r="G880" s="279"/>
    </row>
    <row r="881" spans="1:7" ht="14.25">
      <c r="A881" s="1189"/>
      <c r="B881" s="1179"/>
      <c r="C881" s="1179"/>
      <c r="D881" s="1179"/>
      <c r="E881" s="1179"/>
      <c r="F881" s="1179"/>
      <c r="G881" s="279"/>
    </row>
    <row r="882" spans="1:7" ht="14.25">
      <c r="A882" s="1189"/>
      <c r="B882" s="1179"/>
      <c r="C882" s="1179"/>
      <c r="D882" s="1179"/>
      <c r="E882" s="1179"/>
      <c r="F882" s="1179"/>
      <c r="G882" s="279"/>
    </row>
    <row r="883" spans="1:7" ht="14.25">
      <c r="A883" s="1189"/>
      <c r="B883" s="1179"/>
      <c r="C883" s="1179"/>
      <c r="D883" s="1179"/>
      <c r="E883" s="1179"/>
      <c r="F883" s="1179"/>
      <c r="G883" s="279"/>
    </row>
    <row r="884" spans="1:7" ht="14.25">
      <c r="A884" s="1189"/>
      <c r="B884" s="1179"/>
      <c r="C884" s="1179"/>
      <c r="D884" s="1179"/>
      <c r="E884" s="1179"/>
      <c r="F884" s="1179"/>
      <c r="G884" s="279"/>
    </row>
    <row r="885" spans="1:7" ht="14.25">
      <c r="A885" s="1189"/>
      <c r="B885" s="1179"/>
      <c r="C885" s="1179"/>
      <c r="D885" s="1179"/>
      <c r="E885" s="1179"/>
      <c r="F885" s="1179"/>
      <c r="G885" s="279"/>
    </row>
    <row r="886" spans="1:7" ht="14.25">
      <c r="A886" s="1189"/>
      <c r="B886" s="1179"/>
      <c r="C886" s="1179"/>
      <c r="D886" s="1179"/>
      <c r="E886" s="1179"/>
      <c r="F886" s="1179"/>
      <c r="G886" s="279"/>
    </row>
    <row r="887" spans="1:7" ht="14.25">
      <c r="A887" s="1189"/>
      <c r="B887" s="1179"/>
      <c r="C887" s="1179"/>
      <c r="D887" s="1179"/>
      <c r="E887" s="1179"/>
      <c r="F887" s="1179"/>
      <c r="G887" s="279"/>
    </row>
    <row r="888" spans="1:7" ht="14.25">
      <c r="A888" s="1189"/>
      <c r="B888" s="1179"/>
      <c r="C888" s="1179"/>
      <c r="D888" s="1179"/>
      <c r="E888" s="1179"/>
      <c r="F888" s="1179"/>
      <c r="G888" s="279"/>
    </row>
    <row r="889" spans="1:7" ht="14.25">
      <c r="A889" s="1189"/>
      <c r="B889" s="1179"/>
      <c r="C889" s="1179"/>
      <c r="D889" s="1179"/>
      <c r="E889" s="1179"/>
      <c r="F889" s="1179"/>
      <c r="G889" s="279"/>
    </row>
    <row r="890" spans="1:7" ht="14.25">
      <c r="A890" s="1189"/>
      <c r="B890" s="1179"/>
      <c r="C890" s="1179"/>
      <c r="D890" s="1179"/>
      <c r="E890" s="1179"/>
      <c r="F890" s="1179"/>
      <c r="G890" s="279"/>
    </row>
    <row r="891" spans="1:7" ht="14.25">
      <c r="A891" s="1189"/>
      <c r="B891" s="1179"/>
      <c r="C891" s="1179"/>
      <c r="D891" s="1179"/>
      <c r="E891" s="1179"/>
      <c r="F891" s="1179"/>
      <c r="G891" s="279"/>
    </row>
    <row r="892" spans="1:7" ht="14.25">
      <c r="A892" s="1189"/>
      <c r="B892" s="1179"/>
      <c r="C892" s="1179"/>
      <c r="D892" s="1179"/>
      <c r="E892" s="1179"/>
      <c r="F892" s="1179"/>
      <c r="G892" s="279"/>
    </row>
    <row r="893" spans="1:7" ht="14.25">
      <c r="A893" s="1189"/>
      <c r="B893" s="1179"/>
      <c r="C893" s="1179"/>
      <c r="D893" s="1179"/>
      <c r="E893" s="1179"/>
      <c r="F893" s="1179"/>
      <c r="G893" s="279"/>
    </row>
    <row r="894" spans="1:7" ht="14.25">
      <c r="A894" s="1189"/>
      <c r="B894" s="1179"/>
      <c r="C894" s="1179"/>
      <c r="D894" s="1179"/>
      <c r="E894" s="1179"/>
      <c r="F894" s="1179"/>
      <c r="G894" s="279"/>
    </row>
    <row r="895" spans="1:7" ht="14.25">
      <c r="A895" s="1189"/>
      <c r="B895" s="1179"/>
      <c r="C895" s="1179"/>
      <c r="D895" s="1179"/>
      <c r="E895" s="1179"/>
      <c r="F895" s="1179"/>
      <c r="G895" s="279"/>
    </row>
    <row r="896" spans="1:7" ht="14.25">
      <c r="A896" s="1189"/>
      <c r="B896" s="1179"/>
      <c r="C896" s="1179"/>
      <c r="D896" s="1179"/>
      <c r="E896" s="1179"/>
      <c r="F896" s="1179"/>
      <c r="G896" s="279"/>
    </row>
    <row r="897" spans="1:7" ht="14.25">
      <c r="A897" s="1189"/>
      <c r="B897" s="1179"/>
      <c r="C897" s="1179"/>
      <c r="D897" s="1179"/>
      <c r="E897" s="1179"/>
      <c r="F897" s="1179"/>
      <c r="G897" s="279"/>
    </row>
    <row r="898" spans="1:7" ht="14.25">
      <c r="A898" s="1189"/>
      <c r="B898" s="1179"/>
      <c r="C898" s="1179"/>
      <c r="D898" s="1179"/>
      <c r="E898" s="1179"/>
      <c r="F898" s="1179"/>
      <c r="G898" s="279"/>
    </row>
    <row r="899" spans="1:7" ht="14.25">
      <c r="A899" s="1189"/>
      <c r="B899" s="1179"/>
      <c r="C899" s="1179"/>
      <c r="D899" s="1179"/>
      <c r="E899" s="1179"/>
      <c r="F899" s="1179"/>
      <c r="G899" s="279"/>
    </row>
    <row r="900" spans="1:7" ht="14.25">
      <c r="A900" s="1189"/>
      <c r="B900" s="1179"/>
      <c r="C900" s="1179"/>
      <c r="D900" s="1179"/>
      <c r="E900" s="1179"/>
      <c r="F900" s="1179"/>
      <c r="G900" s="279"/>
    </row>
    <row r="901" spans="1:7" ht="14.25">
      <c r="A901" s="1189"/>
      <c r="B901" s="1179"/>
      <c r="C901" s="1179"/>
      <c r="D901" s="1179"/>
      <c r="E901" s="1179"/>
      <c r="F901" s="1179"/>
      <c r="G901" s="279"/>
    </row>
    <row r="902" spans="1:7" ht="14.25">
      <c r="A902" s="1189"/>
      <c r="B902" s="1179"/>
      <c r="C902" s="1179"/>
      <c r="D902" s="1179"/>
      <c r="E902" s="1179"/>
      <c r="F902" s="1179"/>
      <c r="G902" s="279"/>
    </row>
    <row r="903" spans="1:7" ht="14.25">
      <c r="A903" s="1189"/>
      <c r="B903" s="1179"/>
      <c r="C903" s="1179"/>
      <c r="D903" s="1179"/>
      <c r="E903" s="1179"/>
      <c r="F903" s="1179"/>
      <c r="G903" s="279"/>
    </row>
    <row r="904" spans="1:7" ht="14.25">
      <c r="A904" s="1189"/>
      <c r="B904" s="1179"/>
      <c r="C904" s="1179"/>
      <c r="D904" s="1179"/>
      <c r="E904" s="1179"/>
      <c r="F904" s="1179"/>
      <c r="G904" s="279"/>
    </row>
    <row r="905" spans="1:7" ht="14.25">
      <c r="A905" s="1189"/>
      <c r="B905" s="1179"/>
      <c r="C905" s="1179"/>
      <c r="D905" s="1179"/>
      <c r="E905" s="1179"/>
      <c r="F905" s="1179"/>
      <c r="G905" s="279"/>
    </row>
    <row r="906" spans="1:7" ht="14.25">
      <c r="A906" s="1189"/>
      <c r="B906" s="1179"/>
      <c r="C906" s="1179"/>
      <c r="D906" s="1179"/>
      <c r="E906" s="1179"/>
      <c r="F906" s="1179"/>
      <c r="G906" s="279"/>
    </row>
    <row r="907" spans="1:7" ht="14.25">
      <c r="A907" s="1189"/>
      <c r="B907" s="1179"/>
      <c r="C907" s="1179"/>
      <c r="D907" s="1179"/>
      <c r="E907" s="1179"/>
      <c r="F907" s="1179"/>
      <c r="G907" s="279"/>
    </row>
    <row r="908" spans="1:7" ht="14.25">
      <c r="A908" s="1189"/>
      <c r="B908" s="1179"/>
      <c r="C908" s="1179"/>
      <c r="D908" s="1179"/>
      <c r="E908" s="1179"/>
      <c r="F908" s="1179"/>
      <c r="G908" s="279"/>
    </row>
    <row r="909" spans="1:7" ht="14.25">
      <c r="A909" s="1189"/>
      <c r="B909" s="1179"/>
      <c r="C909" s="1179"/>
      <c r="D909" s="1179"/>
      <c r="E909" s="1179"/>
      <c r="F909" s="1179"/>
      <c r="G909" s="279"/>
    </row>
    <row r="910" spans="1:7" ht="14.25">
      <c r="A910" s="1189"/>
      <c r="B910" s="1179"/>
      <c r="C910" s="1179"/>
      <c r="D910" s="1179"/>
      <c r="E910" s="1179"/>
      <c r="F910" s="1179"/>
      <c r="G910" s="279"/>
    </row>
    <row r="911" spans="1:7" ht="14.25">
      <c r="A911" s="1189"/>
      <c r="B911" s="1179"/>
      <c r="C911" s="1179"/>
      <c r="D911" s="1179"/>
      <c r="E911" s="1179"/>
      <c r="F911" s="1179"/>
      <c r="G911" s="279"/>
    </row>
    <row r="912" spans="1:7" ht="14.25">
      <c r="A912" s="1189"/>
      <c r="B912" s="1179"/>
      <c r="C912" s="1179"/>
      <c r="D912" s="1179"/>
      <c r="E912" s="1179"/>
      <c r="F912" s="1179"/>
      <c r="G912" s="279"/>
    </row>
    <row r="913" spans="1:7" ht="14.25">
      <c r="A913" s="1189"/>
      <c r="B913" s="1179"/>
      <c r="C913" s="1179"/>
      <c r="D913" s="1179"/>
      <c r="E913" s="1179"/>
      <c r="F913" s="1179"/>
      <c r="G913" s="279"/>
    </row>
    <row r="914" spans="1:7" ht="14.25">
      <c r="A914" s="1189"/>
      <c r="B914" s="1179"/>
      <c r="C914" s="1179"/>
      <c r="D914" s="1179"/>
      <c r="E914" s="1179"/>
      <c r="F914" s="1179"/>
      <c r="G914" s="279"/>
    </row>
    <row r="915" spans="1:7" ht="14.25">
      <c r="A915" s="1189"/>
      <c r="B915" s="1179"/>
      <c r="C915" s="1179"/>
      <c r="D915" s="1179"/>
      <c r="E915" s="1179"/>
      <c r="F915" s="1179"/>
      <c r="G915" s="279"/>
    </row>
    <row r="916" spans="1:7" ht="14.25">
      <c r="A916" s="1189"/>
      <c r="B916" s="1179"/>
      <c r="C916" s="1179"/>
      <c r="D916" s="1179"/>
      <c r="E916" s="1179"/>
      <c r="F916" s="1179"/>
      <c r="G916" s="279"/>
    </row>
    <row r="917" spans="1:7" ht="14.25">
      <c r="A917" s="1189"/>
      <c r="B917" s="1179"/>
      <c r="C917" s="1179"/>
      <c r="D917" s="1179"/>
      <c r="E917" s="1179"/>
      <c r="F917" s="1179"/>
      <c r="G917" s="279"/>
    </row>
    <row r="918" spans="1:7" ht="14.25">
      <c r="A918" s="1189"/>
      <c r="B918" s="1179"/>
      <c r="C918" s="1179"/>
      <c r="D918" s="1179"/>
      <c r="E918" s="1179"/>
      <c r="F918" s="1179"/>
      <c r="G918" s="279"/>
    </row>
    <row r="919" spans="1:7" ht="14.25">
      <c r="A919" s="1189"/>
      <c r="B919" s="1179"/>
      <c r="C919" s="1179"/>
      <c r="D919" s="1179"/>
      <c r="E919" s="1179"/>
      <c r="F919" s="1179"/>
      <c r="G919" s="279"/>
    </row>
    <row r="920" spans="1:7" ht="14.25">
      <c r="A920" s="1189"/>
      <c r="B920" s="1179"/>
      <c r="C920" s="1179"/>
      <c r="D920" s="1179"/>
      <c r="E920" s="1179"/>
      <c r="F920" s="1179"/>
      <c r="G920" s="279"/>
    </row>
    <row r="921" spans="1:7" ht="14.25">
      <c r="A921" s="1189"/>
      <c r="B921" s="1179"/>
      <c r="C921" s="1179"/>
      <c r="D921" s="1179"/>
      <c r="E921" s="1179"/>
      <c r="F921" s="1179"/>
      <c r="G921" s="279"/>
    </row>
    <row r="922" spans="1:7" ht="14.25">
      <c r="A922" s="1189"/>
      <c r="B922" s="1179"/>
      <c r="C922" s="1179"/>
      <c r="D922" s="1179"/>
      <c r="E922" s="1179"/>
      <c r="F922" s="1179"/>
      <c r="G922" s="279"/>
    </row>
    <row r="923" spans="1:7" ht="14.25">
      <c r="A923" s="1189"/>
      <c r="B923" s="1179"/>
      <c r="C923" s="1179"/>
      <c r="D923" s="1179"/>
      <c r="E923" s="1179"/>
      <c r="F923" s="1179"/>
      <c r="G923" s="279"/>
    </row>
    <row r="924" spans="1:7" ht="14.25">
      <c r="A924" s="1189"/>
      <c r="B924" s="1179"/>
      <c r="C924" s="1179"/>
      <c r="D924" s="1179"/>
      <c r="E924" s="1179"/>
      <c r="F924" s="1179"/>
      <c r="G924" s="279"/>
    </row>
    <row r="925" spans="1:7" ht="14.25">
      <c r="A925" s="1189"/>
      <c r="B925" s="1179"/>
      <c r="C925" s="1179"/>
      <c r="D925" s="1179"/>
      <c r="E925" s="1179"/>
      <c r="F925" s="1179"/>
      <c r="G925" s="279"/>
    </row>
    <row r="926" spans="1:7" ht="14.25">
      <c r="A926" s="1189"/>
      <c r="B926" s="1179"/>
      <c r="C926" s="1179"/>
      <c r="D926" s="1179"/>
      <c r="E926" s="1179"/>
      <c r="F926" s="1179"/>
      <c r="G926" s="279"/>
    </row>
    <row r="927" spans="1:7" ht="14.25">
      <c r="A927" s="1189"/>
      <c r="B927" s="1179"/>
      <c r="C927" s="1179"/>
      <c r="D927" s="1179"/>
      <c r="E927" s="1179"/>
      <c r="F927" s="1179"/>
      <c r="G927" s="279"/>
    </row>
    <row r="928" spans="1:7" ht="14.25">
      <c r="A928" s="1189"/>
      <c r="B928" s="1179"/>
      <c r="C928" s="1179"/>
      <c r="D928" s="1179"/>
      <c r="E928" s="1179"/>
      <c r="F928" s="1179"/>
      <c r="G928" s="279"/>
    </row>
    <row r="929" spans="1:7" ht="14.25">
      <c r="A929" s="1189"/>
      <c r="B929" s="1179"/>
      <c r="C929" s="1179"/>
      <c r="D929" s="1179"/>
      <c r="E929" s="1179"/>
      <c r="F929" s="1179"/>
      <c r="G929" s="279"/>
    </row>
    <row r="930" spans="1:7" ht="14.25">
      <c r="A930" s="1189"/>
      <c r="B930" s="1179"/>
      <c r="C930" s="1179"/>
      <c r="D930" s="1179"/>
      <c r="E930" s="1179"/>
      <c r="F930" s="1179"/>
      <c r="G930" s="279"/>
    </row>
    <row r="931" spans="1:7" ht="14.25">
      <c r="A931" s="1189"/>
      <c r="B931" s="1179"/>
      <c r="C931" s="1179"/>
      <c r="D931" s="1179"/>
      <c r="E931" s="1179"/>
      <c r="F931" s="1179"/>
      <c r="G931" s="279"/>
    </row>
    <row r="932" spans="1:7" ht="14.25">
      <c r="A932" s="1189"/>
      <c r="B932" s="1179"/>
      <c r="C932" s="1179"/>
      <c r="D932" s="1179"/>
      <c r="E932" s="1179"/>
      <c r="F932" s="1179"/>
      <c r="G932" s="279"/>
    </row>
    <row r="933" spans="1:7" ht="14.25">
      <c r="A933" s="1189"/>
      <c r="B933" s="1179"/>
      <c r="C933" s="1179"/>
      <c r="D933" s="1179"/>
      <c r="E933" s="1179"/>
      <c r="F933" s="1179"/>
      <c r="G933" s="279"/>
    </row>
    <row r="934" spans="1:7" ht="14.25">
      <c r="A934" s="1189"/>
      <c r="B934" s="1179"/>
      <c r="C934" s="1179"/>
      <c r="D934" s="1179"/>
      <c r="E934" s="1179"/>
      <c r="F934" s="1179"/>
      <c r="G934" s="279"/>
    </row>
    <row r="935" spans="1:7" ht="14.25">
      <c r="A935" s="1189"/>
      <c r="B935" s="1179"/>
      <c r="C935" s="1179"/>
      <c r="D935" s="1179"/>
      <c r="E935" s="1179"/>
      <c r="F935" s="1179"/>
      <c r="G935" s="279"/>
    </row>
    <row r="936" spans="1:7" ht="14.25">
      <c r="A936" s="1189"/>
      <c r="B936" s="1179"/>
      <c r="C936" s="1179"/>
      <c r="D936" s="1179"/>
      <c r="E936" s="1179"/>
      <c r="F936" s="1179"/>
      <c r="G936" s="279"/>
    </row>
    <row r="937" spans="1:7" ht="14.25">
      <c r="A937" s="1189"/>
      <c r="B937" s="1179"/>
      <c r="C937" s="1179"/>
      <c r="D937" s="1179"/>
      <c r="E937" s="1179"/>
      <c r="F937" s="1179"/>
      <c r="G937" s="279"/>
    </row>
    <row r="938" spans="1:7" ht="14.25">
      <c r="A938" s="1189"/>
      <c r="B938" s="1179"/>
      <c r="C938" s="1179"/>
      <c r="D938" s="1179"/>
      <c r="E938" s="1179"/>
      <c r="F938" s="1179"/>
      <c r="G938" s="279"/>
    </row>
    <row r="939" spans="1:7" ht="14.25">
      <c r="A939" s="1189"/>
      <c r="B939" s="1179"/>
      <c r="C939" s="1179"/>
      <c r="D939" s="1179"/>
      <c r="E939" s="1179"/>
      <c r="F939" s="1179"/>
      <c r="G939" s="279"/>
    </row>
    <row r="940" spans="1:7" ht="14.25">
      <c r="A940" s="1189"/>
      <c r="B940" s="1179"/>
      <c r="C940" s="1179"/>
      <c r="D940" s="1179"/>
      <c r="E940" s="1179"/>
      <c r="F940" s="1179"/>
      <c r="G940" s="279"/>
    </row>
    <row r="941" spans="1:7" ht="14.25">
      <c r="A941" s="1189"/>
      <c r="B941" s="1179"/>
      <c r="C941" s="1179"/>
      <c r="D941" s="1179"/>
      <c r="E941" s="1179"/>
      <c r="F941" s="1179"/>
      <c r="G941" s="279"/>
    </row>
    <row r="942" spans="1:7" ht="14.25">
      <c r="A942" s="1189"/>
      <c r="B942" s="1179"/>
      <c r="C942" s="1179"/>
      <c r="D942" s="1179"/>
      <c r="E942" s="1179"/>
      <c r="F942" s="1179"/>
      <c r="G942" s="279"/>
    </row>
    <row r="943" spans="1:7" ht="14.25">
      <c r="A943" s="1189"/>
      <c r="B943" s="1179"/>
      <c r="C943" s="1179"/>
      <c r="D943" s="1179"/>
      <c r="E943" s="1179"/>
      <c r="F943" s="1179"/>
      <c r="G943" s="279"/>
    </row>
    <row r="944" spans="1:7" ht="14.25">
      <c r="A944" s="1189"/>
      <c r="B944" s="1179"/>
      <c r="C944" s="1179"/>
      <c r="D944" s="1179"/>
      <c r="E944" s="1179"/>
      <c r="F944" s="1179"/>
      <c r="G944" s="279"/>
    </row>
    <row r="945" spans="1:7" ht="14.25">
      <c r="A945" s="1189"/>
      <c r="B945" s="1179"/>
      <c r="C945" s="1179"/>
      <c r="D945" s="1179"/>
      <c r="E945" s="1179"/>
      <c r="F945" s="1179"/>
      <c r="G945" s="279"/>
    </row>
    <row r="946" spans="1:7" ht="14.25">
      <c r="A946" s="1189"/>
      <c r="B946" s="1179"/>
      <c r="C946" s="1179"/>
      <c r="D946" s="1179"/>
      <c r="E946" s="1179"/>
      <c r="F946" s="1179"/>
      <c r="G946" s="279"/>
    </row>
    <row r="947" spans="1:7" ht="14.25">
      <c r="A947" s="1189"/>
      <c r="B947" s="1179"/>
      <c r="C947" s="1179"/>
      <c r="D947" s="1179"/>
      <c r="E947" s="1179"/>
      <c r="F947" s="1179"/>
      <c r="G947" s="279"/>
    </row>
    <row r="948" spans="1:7" ht="14.25">
      <c r="A948" s="1189"/>
      <c r="B948" s="1179"/>
      <c r="C948" s="1179"/>
      <c r="D948" s="1179"/>
      <c r="E948" s="1179"/>
      <c r="F948" s="1179"/>
      <c r="G948" s="279"/>
    </row>
    <row r="949" spans="1:7" ht="14.25">
      <c r="A949" s="1189"/>
      <c r="B949" s="1179"/>
      <c r="C949" s="1179"/>
      <c r="D949" s="1179"/>
      <c r="E949" s="1179"/>
      <c r="F949" s="1179"/>
      <c r="G949" s="279"/>
    </row>
    <row r="950" spans="1:7" ht="14.25">
      <c r="A950" s="1189"/>
      <c r="B950" s="1179"/>
      <c r="C950" s="1179"/>
      <c r="D950" s="1179"/>
      <c r="E950" s="1179"/>
      <c r="F950" s="1179"/>
      <c r="G950" s="279"/>
    </row>
    <row r="951" spans="1:7" ht="14.25">
      <c r="A951" s="1189"/>
      <c r="B951" s="1179"/>
      <c r="C951" s="1179"/>
      <c r="D951" s="1179"/>
      <c r="E951" s="1179"/>
      <c r="F951" s="1179"/>
      <c r="G951" s="279"/>
    </row>
    <row r="952" spans="1:7" ht="14.25">
      <c r="A952" s="1189"/>
      <c r="B952" s="1179"/>
      <c r="C952" s="1179"/>
      <c r="D952" s="1179"/>
      <c r="E952" s="1179"/>
      <c r="F952" s="1179"/>
      <c r="G952" s="279"/>
    </row>
    <row r="953" spans="1:7" ht="14.25">
      <c r="A953" s="1189"/>
      <c r="B953" s="1179"/>
      <c r="C953" s="1179"/>
      <c r="D953" s="1179"/>
      <c r="E953" s="1179"/>
      <c r="F953" s="1179"/>
      <c r="G953" s="279"/>
    </row>
    <row r="954" spans="1:7" ht="14.25">
      <c r="A954" s="1189"/>
      <c r="B954" s="1179"/>
      <c r="C954" s="1179"/>
      <c r="D954" s="1179"/>
      <c r="E954" s="1179"/>
      <c r="F954" s="1179"/>
      <c r="G954" s="279"/>
    </row>
    <row r="955" spans="1:7" ht="14.25">
      <c r="A955" s="1189"/>
      <c r="B955" s="1179"/>
      <c r="C955" s="1179"/>
      <c r="D955" s="1179"/>
      <c r="E955" s="1179"/>
      <c r="F955" s="1179"/>
      <c r="G955" s="279"/>
    </row>
    <row r="956" spans="1:7" ht="14.25">
      <c r="A956" s="1189"/>
      <c r="B956" s="1179"/>
      <c r="C956" s="1179"/>
      <c r="D956" s="1179"/>
      <c r="E956" s="1179"/>
      <c r="F956" s="1179"/>
      <c r="G956" s="279"/>
    </row>
    <row r="957" spans="1:7" ht="14.25">
      <c r="A957" s="1189"/>
      <c r="B957" s="1179"/>
      <c r="C957" s="1179"/>
      <c r="D957" s="1179"/>
      <c r="E957" s="1179"/>
      <c r="F957" s="1179"/>
      <c r="G957" s="279"/>
    </row>
    <row r="958" spans="1:7" ht="14.25">
      <c r="A958" s="1189"/>
      <c r="B958" s="1179"/>
      <c r="C958" s="1179"/>
      <c r="D958" s="1179"/>
      <c r="E958" s="1179"/>
      <c r="F958" s="1179"/>
      <c r="G958" s="279"/>
    </row>
    <row r="959" spans="1:7" ht="14.25">
      <c r="A959" s="1189"/>
      <c r="B959" s="1179"/>
      <c r="C959" s="1179"/>
      <c r="D959" s="1179"/>
      <c r="E959" s="1179"/>
      <c r="F959" s="1179"/>
      <c r="G959" s="279"/>
    </row>
    <row r="960" spans="1:7" ht="14.25">
      <c r="A960" s="1189"/>
      <c r="B960" s="1179"/>
      <c r="C960" s="1179"/>
      <c r="D960" s="1179"/>
      <c r="E960" s="1179"/>
      <c r="F960" s="1179"/>
      <c r="G960" s="279"/>
    </row>
    <row r="961" spans="1:7" ht="14.25">
      <c r="A961" s="1189"/>
      <c r="B961" s="1179"/>
      <c r="C961" s="1179"/>
      <c r="D961" s="1179"/>
      <c r="E961" s="1179"/>
      <c r="F961" s="1179"/>
      <c r="G961" s="279"/>
    </row>
    <row r="962" spans="1:7" ht="14.25">
      <c r="A962" s="1189"/>
      <c r="B962" s="1179"/>
      <c r="C962" s="1179"/>
      <c r="D962" s="1179"/>
      <c r="E962" s="1179"/>
      <c r="F962" s="1179"/>
      <c r="G962" s="279"/>
    </row>
    <row r="963" spans="1:7" ht="14.25">
      <c r="A963" s="1189"/>
      <c r="B963" s="1179"/>
      <c r="C963" s="1179"/>
      <c r="D963" s="1179"/>
      <c r="E963" s="1179"/>
      <c r="F963" s="1179"/>
      <c r="G963" s="279"/>
    </row>
    <row r="964" spans="1:7" ht="14.25">
      <c r="A964" s="1189"/>
      <c r="B964" s="1179"/>
      <c r="C964" s="1179"/>
      <c r="D964" s="1179"/>
      <c r="E964" s="1179"/>
      <c r="F964" s="1179"/>
      <c r="G964" s="279"/>
    </row>
    <row r="965" spans="1:7" ht="14.25">
      <c r="A965" s="1189"/>
      <c r="B965" s="1179"/>
      <c r="C965" s="1179"/>
      <c r="D965" s="1179"/>
      <c r="E965" s="1179"/>
      <c r="F965" s="1179"/>
      <c r="G965" s="279"/>
    </row>
  </sheetData>
  <mergeCells count="20">
    <mergeCell ref="E2:O7"/>
    <mergeCell ref="A8:W8"/>
    <mergeCell ref="A10:B10"/>
    <mergeCell ref="A11:B11"/>
    <mergeCell ref="A12:B12"/>
    <mergeCell ref="A46:B46"/>
    <mergeCell ref="F15:F16"/>
    <mergeCell ref="G15:G16"/>
    <mergeCell ref="F42:G42"/>
    <mergeCell ref="O42:P42"/>
    <mergeCell ref="O45:S45"/>
    <mergeCell ref="O46:R46"/>
    <mergeCell ref="B15:B16"/>
    <mergeCell ref="C15:C16"/>
    <mergeCell ref="H15:W15"/>
    <mergeCell ref="D15:D16"/>
    <mergeCell ref="E15:E16"/>
    <mergeCell ref="A17:B17"/>
    <mergeCell ref="A42:B42"/>
    <mergeCell ref="A45:B45"/>
  </mergeCells>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H305"/>
  <sheetViews>
    <sheetView workbookViewId="0"/>
  </sheetViews>
  <sheetFormatPr defaultColWidth="12.5703125" defaultRowHeight="15.75" customHeight="1"/>
  <cols>
    <col min="1" max="1" width="29" customWidth="1"/>
    <col min="2" max="2" width="38.85546875" customWidth="1"/>
    <col min="3" max="3" width="5.85546875" customWidth="1"/>
    <col min="4" max="4" width="6.85546875" customWidth="1"/>
    <col min="5" max="5" width="7.140625" customWidth="1"/>
    <col min="6" max="6" width="27.140625" customWidth="1"/>
  </cols>
  <sheetData>
    <row r="1" spans="1:8" ht="15.75" customHeight="1">
      <c r="A1" s="1" t="s">
        <v>4265</v>
      </c>
    </row>
    <row r="2" spans="1:8" ht="15.75" customHeight="1">
      <c r="A2" s="1573" t="s">
        <v>4266</v>
      </c>
      <c r="B2" s="1451"/>
      <c r="C2" s="1451"/>
      <c r="D2" s="1451"/>
      <c r="E2" s="1451"/>
      <c r="F2" s="1451"/>
      <c r="G2" s="1451"/>
      <c r="H2" s="1193"/>
    </row>
    <row r="3" spans="1:8" ht="15.75" customHeight="1">
      <c r="A3" s="1574" t="s">
        <v>4265</v>
      </c>
      <c r="B3" s="1451"/>
      <c r="C3" s="1451"/>
      <c r="D3" s="1451"/>
      <c r="E3" s="1451"/>
      <c r="F3" s="1451"/>
      <c r="G3" s="1451"/>
      <c r="H3" s="1193"/>
    </row>
    <row r="4" spans="1:8" ht="15.75" customHeight="1">
      <c r="A4" s="1575" t="s">
        <v>4267</v>
      </c>
      <c r="B4" s="1451"/>
      <c r="C4" s="1451"/>
      <c r="D4" s="1451"/>
      <c r="E4" s="1451"/>
      <c r="F4" s="1451"/>
      <c r="G4" s="1451"/>
      <c r="H4" s="1193"/>
    </row>
    <row r="5" spans="1:8" ht="15.75" customHeight="1">
      <c r="A5" s="1576" t="s">
        <v>4268</v>
      </c>
      <c r="B5" s="1451"/>
      <c r="C5" s="1451"/>
      <c r="D5" s="1451"/>
      <c r="E5" s="1451"/>
      <c r="F5" s="1451"/>
      <c r="G5" s="1451"/>
      <c r="H5" s="1193"/>
    </row>
    <row r="6" spans="1:8" ht="15.75" customHeight="1">
      <c r="A6" s="1194" t="s">
        <v>3290</v>
      </c>
      <c r="B6" s="1195" t="s">
        <v>3291</v>
      </c>
      <c r="C6" s="1195" t="s">
        <v>3292</v>
      </c>
      <c r="D6" s="1195" t="s">
        <v>429</v>
      </c>
      <c r="E6" s="1195" t="s">
        <v>278</v>
      </c>
      <c r="F6" s="1195" t="s">
        <v>280</v>
      </c>
      <c r="G6" s="1193"/>
      <c r="H6" s="1193"/>
    </row>
    <row r="7" spans="1:8" ht="15.75" customHeight="1">
      <c r="A7" s="1196" t="s">
        <v>3293</v>
      </c>
      <c r="B7" s="1197" t="s">
        <v>3294</v>
      </c>
      <c r="C7" s="1198" t="s">
        <v>3295</v>
      </c>
      <c r="D7" s="994">
        <v>969.88</v>
      </c>
      <c r="E7" s="994">
        <v>101</v>
      </c>
      <c r="F7" s="1199"/>
      <c r="G7" s="1193"/>
      <c r="H7" s="1193"/>
    </row>
    <row r="8" spans="1:8" ht="15.75" customHeight="1">
      <c r="A8" s="1200" t="s">
        <v>3296</v>
      </c>
      <c r="B8" s="1201" t="s">
        <v>3297</v>
      </c>
      <c r="C8" s="1202" t="s">
        <v>3298</v>
      </c>
      <c r="D8" s="998">
        <v>81.64</v>
      </c>
      <c r="E8" s="998">
        <v>16</v>
      </c>
      <c r="F8" s="1203"/>
      <c r="G8" s="1193"/>
      <c r="H8" s="1193"/>
    </row>
    <row r="9" spans="1:8" ht="15.75" customHeight="1">
      <c r="A9" s="1196" t="s">
        <v>3299</v>
      </c>
      <c r="B9" s="1197" t="s">
        <v>3300</v>
      </c>
      <c r="C9" s="1198" t="s">
        <v>638</v>
      </c>
      <c r="D9" s="994">
        <v>47.85</v>
      </c>
      <c r="E9" s="1000">
        <v>44402</v>
      </c>
      <c r="F9" s="1199"/>
      <c r="G9" s="1193"/>
      <c r="H9" s="1193"/>
    </row>
    <row r="10" spans="1:8" ht="15.75" customHeight="1">
      <c r="A10" s="1200" t="s">
        <v>3301</v>
      </c>
      <c r="B10" s="1201" t="s">
        <v>3302</v>
      </c>
      <c r="C10" s="1202" t="s">
        <v>3303</v>
      </c>
      <c r="D10" s="998">
        <v>330.55</v>
      </c>
      <c r="E10" s="998">
        <v>936</v>
      </c>
      <c r="F10" s="1203"/>
      <c r="G10" s="1193"/>
      <c r="H10" s="1193"/>
    </row>
    <row r="11" spans="1:8" ht="15.75" customHeight="1">
      <c r="A11" s="1196" t="s">
        <v>3304</v>
      </c>
      <c r="B11" s="1197" t="s">
        <v>3305</v>
      </c>
      <c r="C11" s="1198" t="s">
        <v>895</v>
      </c>
      <c r="D11" s="994">
        <v>18.34</v>
      </c>
      <c r="E11" s="994">
        <v>0</v>
      </c>
      <c r="F11" s="1198" t="s">
        <v>3306</v>
      </c>
      <c r="G11" s="1193"/>
      <c r="H11" s="1193"/>
    </row>
    <row r="12" spans="1:8" ht="15.75" customHeight="1">
      <c r="A12" s="1200" t="s">
        <v>3307</v>
      </c>
      <c r="B12" s="1201" t="s">
        <v>3308</v>
      </c>
      <c r="C12" s="1202" t="s">
        <v>895</v>
      </c>
      <c r="D12" s="998">
        <v>20.49</v>
      </c>
      <c r="E12" s="998">
        <v>0</v>
      </c>
      <c r="F12" s="1202" t="s">
        <v>3306</v>
      </c>
      <c r="G12" s="1193"/>
      <c r="H12" s="1193"/>
    </row>
    <row r="13" spans="1:8" ht="15.75" customHeight="1">
      <c r="A13" s="1196" t="s">
        <v>3309</v>
      </c>
      <c r="B13" s="1197" t="s">
        <v>3310</v>
      </c>
      <c r="C13" s="1198" t="s">
        <v>895</v>
      </c>
      <c r="D13" s="994">
        <v>96.2</v>
      </c>
      <c r="E13" s="994">
        <v>0</v>
      </c>
      <c r="F13" s="1198" t="s">
        <v>3306</v>
      </c>
      <c r="G13" s="1193"/>
      <c r="H13" s="1193"/>
    </row>
    <row r="14" spans="1:8" ht="15.75" customHeight="1">
      <c r="A14" s="1200" t="s">
        <v>3311</v>
      </c>
      <c r="B14" s="1201" t="s">
        <v>3312</v>
      </c>
      <c r="C14" s="1202" t="s">
        <v>92</v>
      </c>
      <c r="D14" s="1204">
        <v>9534.7199999999993</v>
      </c>
      <c r="E14" s="998">
        <v>0</v>
      </c>
      <c r="F14" s="1203"/>
      <c r="G14" s="1193"/>
      <c r="H14" s="1193"/>
    </row>
    <row r="15" spans="1:8" ht="15.75" customHeight="1">
      <c r="A15" s="1196" t="s">
        <v>3317</v>
      </c>
      <c r="B15" s="1197" t="s">
        <v>3318</v>
      </c>
      <c r="C15" s="1198" t="s">
        <v>3319</v>
      </c>
      <c r="D15" s="994">
        <v>14.82</v>
      </c>
      <c r="E15" s="994">
        <v>0</v>
      </c>
      <c r="F15" s="1198" t="s">
        <v>3320</v>
      </c>
      <c r="G15" s="1193"/>
      <c r="H15" s="1193"/>
    </row>
    <row r="16" spans="1:8" ht="15.75" customHeight="1">
      <c r="A16" s="1200" t="s">
        <v>3321</v>
      </c>
      <c r="B16" s="1201" t="s">
        <v>4248</v>
      </c>
      <c r="C16" s="1202" t="s">
        <v>601</v>
      </c>
      <c r="D16" s="998">
        <v>136.24</v>
      </c>
      <c r="E16" s="998">
        <v>0</v>
      </c>
      <c r="F16" s="1203"/>
      <c r="G16" s="1193"/>
      <c r="H16" s="1193"/>
    </row>
    <row r="17" spans="1:8" ht="15.75" customHeight="1">
      <c r="A17" s="1196" t="s">
        <v>3323</v>
      </c>
      <c r="B17" s="1197" t="s">
        <v>4269</v>
      </c>
      <c r="C17" s="1198" t="s">
        <v>601</v>
      </c>
      <c r="D17" s="994">
        <v>22.78</v>
      </c>
      <c r="E17" s="994">
        <v>0</v>
      </c>
      <c r="F17" s="1199"/>
      <c r="G17" s="1193"/>
      <c r="H17" s="1193"/>
    </row>
    <row r="18" spans="1:8" ht="15.75" customHeight="1">
      <c r="A18" s="1200" t="s">
        <v>3325</v>
      </c>
      <c r="B18" s="1201" t="s">
        <v>3326</v>
      </c>
      <c r="C18" s="1202" t="s">
        <v>92</v>
      </c>
      <c r="D18" s="998">
        <v>266.24</v>
      </c>
      <c r="E18" s="998">
        <v>0</v>
      </c>
      <c r="F18" s="1203"/>
      <c r="G18" s="1193"/>
      <c r="H18" s="1193"/>
    </row>
    <row r="19" spans="1:8" ht="15.75" customHeight="1">
      <c r="A19" s="1196" t="s">
        <v>3327</v>
      </c>
      <c r="B19" s="1197" t="s">
        <v>3328</v>
      </c>
      <c r="C19" s="1198" t="s">
        <v>3047</v>
      </c>
      <c r="D19" s="994">
        <v>221</v>
      </c>
      <c r="E19" s="994">
        <v>369</v>
      </c>
      <c r="F19" s="1198" t="s">
        <v>3329</v>
      </c>
      <c r="G19" s="1193"/>
      <c r="H19" s="1193"/>
    </row>
    <row r="20" spans="1:8" ht="15.75" customHeight="1">
      <c r="A20" s="1200" t="s">
        <v>3330</v>
      </c>
      <c r="B20" s="1201" t="s">
        <v>3331</v>
      </c>
      <c r="C20" s="1202" t="s">
        <v>3047</v>
      </c>
      <c r="D20" s="998">
        <v>238.54</v>
      </c>
      <c r="E20" s="1205">
        <v>2788</v>
      </c>
      <c r="F20" s="1202" t="s">
        <v>3329</v>
      </c>
      <c r="G20" s="1193"/>
      <c r="H20" s="1193"/>
    </row>
    <row r="21" spans="1:8" ht="15.75" customHeight="1">
      <c r="A21" s="1196" t="s">
        <v>3332</v>
      </c>
      <c r="B21" s="1197" t="s">
        <v>3333</v>
      </c>
      <c r="C21" s="1198" t="s">
        <v>895</v>
      </c>
      <c r="D21" s="994">
        <v>83.72</v>
      </c>
      <c r="E21" s="1000">
        <v>1349</v>
      </c>
      <c r="F21" s="1198" t="s">
        <v>3334</v>
      </c>
      <c r="G21" s="1193"/>
      <c r="H21" s="1193"/>
    </row>
    <row r="22" spans="1:8" ht="15.75" customHeight="1">
      <c r="A22" s="1200" t="s">
        <v>3335</v>
      </c>
      <c r="B22" s="1201" t="s">
        <v>4270</v>
      </c>
      <c r="C22" s="1202" t="s">
        <v>3047</v>
      </c>
      <c r="D22" s="998">
        <v>32.97</v>
      </c>
      <c r="E22" s="1205">
        <v>1901</v>
      </c>
      <c r="F22" s="1202" t="s">
        <v>3337</v>
      </c>
      <c r="G22" s="1193"/>
      <c r="H22" s="1193"/>
    </row>
    <row r="23" spans="1:8" ht="15.75" customHeight="1">
      <c r="A23" s="1196" t="s">
        <v>3339</v>
      </c>
      <c r="B23" s="1197" t="s">
        <v>3340</v>
      </c>
      <c r="C23" s="1198" t="s">
        <v>486</v>
      </c>
      <c r="D23" s="994">
        <v>41.6</v>
      </c>
      <c r="E23" s="994">
        <v>0</v>
      </c>
      <c r="F23" s="1199"/>
      <c r="G23" s="1193"/>
      <c r="H23" s="1193"/>
    </row>
    <row r="24" spans="1:8" ht="15.75" customHeight="1">
      <c r="A24" s="1200" t="s">
        <v>3341</v>
      </c>
      <c r="B24" s="1201" t="s">
        <v>3342</v>
      </c>
      <c r="C24" s="1202" t="s">
        <v>3298</v>
      </c>
      <c r="D24" s="998">
        <v>23.92</v>
      </c>
      <c r="E24" s="998">
        <v>0</v>
      </c>
      <c r="F24" s="1203"/>
      <c r="G24" s="1193"/>
      <c r="H24" s="1193"/>
    </row>
    <row r="25" spans="1:8" ht="15.75" customHeight="1">
      <c r="A25" s="1196" t="s">
        <v>3343</v>
      </c>
      <c r="B25" s="1197" t="s">
        <v>4271</v>
      </c>
      <c r="C25" s="1198" t="s">
        <v>601</v>
      </c>
      <c r="D25" s="994">
        <v>32.909999999999997</v>
      </c>
      <c r="E25" s="994">
        <v>0</v>
      </c>
      <c r="F25" s="1199"/>
      <c r="G25" s="1193"/>
      <c r="H25" s="1193"/>
    </row>
    <row r="26" spans="1:8" ht="15.75" customHeight="1">
      <c r="A26" s="1200" t="s">
        <v>3345</v>
      </c>
      <c r="B26" s="1201" t="s">
        <v>4272</v>
      </c>
      <c r="C26" s="1202" t="s">
        <v>601</v>
      </c>
      <c r="D26" s="998">
        <v>36.36</v>
      </c>
      <c r="E26" s="1205">
        <v>1048</v>
      </c>
      <c r="F26" s="1203"/>
      <c r="G26" s="1193"/>
      <c r="H26" s="1193"/>
    </row>
    <row r="27" spans="1:8" ht="15.75" customHeight="1">
      <c r="A27" s="1196" t="s">
        <v>3347</v>
      </c>
      <c r="B27" s="1197" t="s">
        <v>3348</v>
      </c>
      <c r="C27" s="1198" t="s">
        <v>3047</v>
      </c>
      <c r="D27" s="994">
        <v>8.7200000000000006</v>
      </c>
      <c r="E27" s="994">
        <v>0</v>
      </c>
      <c r="F27" s="1198" t="s">
        <v>3349</v>
      </c>
      <c r="G27" s="1193"/>
      <c r="H27" s="1193"/>
    </row>
    <row r="28" spans="1:8" ht="15.75" customHeight="1">
      <c r="A28" s="1200" t="s">
        <v>3350</v>
      </c>
      <c r="B28" s="1201" t="s">
        <v>3351</v>
      </c>
      <c r="C28" s="1202" t="s">
        <v>3047</v>
      </c>
      <c r="D28" s="998">
        <v>14.75</v>
      </c>
      <c r="E28" s="998">
        <v>0</v>
      </c>
      <c r="F28" s="1202" t="s">
        <v>3349</v>
      </c>
      <c r="G28" s="1193"/>
      <c r="H28" s="1193"/>
    </row>
    <row r="29" spans="1:8" ht="15.75" customHeight="1">
      <c r="A29" s="1196" t="s">
        <v>3352</v>
      </c>
      <c r="B29" s="1197" t="s">
        <v>3353</v>
      </c>
      <c r="C29" s="1198" t="s">
        <v>3047</v>
      </c>
      <c r="D29" s="994">
        <v>25.56</v>
      </c>
      <c r="E29" s="994">
        <v>0</v>
      </c>
      <c r="F29" s="1198" t="s">
        <v>3349</v>
      </c>
      <c r="G29" s="1193"/>
      <c r="H29" s="1193"/>
    </row>
    <row r="30" spans="1:8" ht="15.75" customHeight="1">
      <c r="A30" s="1200" t="s">
        <v>3354</v>
      </c>
      <c r="B30" s="1201" t="s">
        <v>3355</v>
      </c>
      <c r="C30" s="1202" t="s">
        <v>3047</v>
      </c>
      <c r="D30" s="998">
        <v>56.04</v>
      </c>
      <c r="E30" s="998">
        <v>0</v>
      </c>
      <c r="F30" s="1202" t="s">
        <v>3349</v>
      </c>
      <c r="G30" s="1193"/>
      <c r="H30" s="1193"/>
    </row>
    <row r="31" spans="1:8" ht="15.75" customHeight="1">
      <c r="A31" s="1196" t="s">
        <v>3356</v>
      </c>
      <c r="B31" s="1197" t="s">
        <v>4273</v>
      </c>
      <c r="C31" s="1198" t="s">
        <v>3047</v>
      </c>
      <c r="D31" s="994">
        <v>882.55</v>
      </c>
      <c r="E31" s="994">
        <v>0</v>
      </c>
      <c r="F31" s="1199"/>
      <c r="G31" s="1193"/>
      <c r="H31" s="1193"/>
    </row>
    <row r="32" spans="1:8" ht="15.75" customHeight="1">
      <c r="A32" s="1200" t="s">
        <v>3358</v>
      </c>
      <c r="B32" s="1201" t="s">
        <v>3359</v>
      </c>
      <c r="C32" s="1202" t="s">
        <v>3047</v>
      </c>
      <c r="D32" s="1204">
        <v>1166.8800000000001</v>
      </c>
      <c r="E32" s="998">
        <v>16</v>
      </c>
      <c r="F32" s="1203"/>
      <c r="G32" s="1193"/>
      <c r="H32" s="1193"/>
    </row>
    <row r="33" spans="1:8" ht="15.75" customHeight="1">
      <c r="A33" s="1196" t="s">
        <v>3360</v>
      </c>
      <c r="B33" s="1197" t="s">
        <v>3361</v>
      </c>
      <c r="C33" s="1198" t="s">
        <v>3047</v>
      </c>
      <c r="D33" s="1008">
        <v>1528.8</v>
      </c>
      <c r="E33" s="994">
        <v>0</v>
      </c>
      <c r="F33" s="1199"/>
      <c r="G33" s="1193"/>
      <c r="H33" s="1193"/>
    </row>
    <row r="34" spans="1:8" ht="15.75" customHeight="1">
      <c r="A34" s="1200" t="s">
        <v>3362</v>
      </c>
      <c r="B34" s="1201" t="s">
        <v>3363</v>
      </c>
      <c r="C34" s="1202" t="s">
        <v>3047</v>
      </c>
      <c r="D34" s="1204">
        <v>1026.48</v>
      </c>
      <c r="E34" s="998">
        <v>3</v>
      </c>
      <c r="F34" s="1203"/>
      <c r="G34" s="1193"/>
      <c r="H34" s="1193"/>
    </row>
    <row r="35" spans="1:8" ht="15.75" customHeight="1">
      <c r="A35" s="1196" t="s">
        <v>3364</v>
      </c>
      <c r="B35" s="1197" t="s">
        <v>3365</v>
      </c>
      <c r="C35" s="1198" t="s">
        <v>3047</v>
      </c>
      <c r="D35" s="994">
        <v>790.4</v>
      </c>
      <c r="E35" s="994">
        <v>0</v>
      </c>
      <c r="F35" s="1199"/>
      <c r="G35" s="1193"/>
      <c r="H35" s="1193"/>
    </row>
    <row r="36" spans="1:8" ht="15.75" customHeight="1">
      <c r="A36" s="1200" t="s">
        <v>3366</v>
      </c>
      <c r="B36" s="1201" t="s">
        <v>3367</v>
      </c>
      <c r="C36" s="1202" t="s">
        <v>3047</v>
      </c>
      <c r="D36" s="1204">
        <v>1508</v>
      </c>
      <c r="E36" s="998">
        <v>0</v>
      </c>
      <c r="F36" s="1203"/>
      <c r="G36" s="1193"/>
      <c r="H36" s="1193"/>
    </row>
    <row r="37" spans="1:8" ht="15.75" customHeight="1">
      <c r="A37" s="1196" t="s">
        <v>3368</v>
      </c>
      <c r="B37" s="1197" t="s">
        <v>3369</v>
      </c>
      <c r="C37" s="1198" t="s">
        <v>601</v>
      </c>
      <c r="D37" s="994">
        <v>11.53</v>
      </c>
      <c r="E37" s="1000">
        <v>14579</v>
      </c>
      <c r="F37" s="1199"/>
      <c r="G37" s="1193"/>
      <c r="H37" s="1193"/>
    </row>
    <row r="38" spans="1:8" ht="15.75" customHeight="1">
      <c r="A38" s="1200" t="s">
        <v>3370</v>
      </c>
      <c r="B38" s="1201" t="s">
        <v>3371</v>
      </c>
      <c r="C38" s="1202" t="s">
        <v>601</v>
      </c>
      <c r="D38" s="998">
        <v>33.43</v>
      </c>
      <c r="E38" s="998">
        <v>0</v>
      </c>
      <c r="F38" s="1203"/>
      <c r="G38" s="1193"/>
      <c r="H38" s="1193"/>
    </row>
    <row r="39" spans="1:8" ht="15.75" customHeight="1">
      <c r="A39" s="1196" t="s">
        <v>3372</v>
      </c>
      <c r="B39" s="1197" t="s">
        <v>3373</v>
      </c>
      <c r="C39" s="1198" t="s">
        <v>601</v>
      </c>
      <c r="D39" s="994">
        <v>77.2</v>
      </c>
      <c r="E39" s="994">
        <v>0</v>
      </c>
      <c r="F39" s="1199"/>
      <c r="G39" s="1193"/>
      <c r="H39" s="1193"/>
    </row>
    <row r="40" spans="1:8" ht="15.75" customHeight="1">
      <c r="A40" s="1200" t="s">
        <v>3374</v>
      </c>
      <c r="B40" s="1201" t="s">
        <v>3375</v>
      </c>
      <c r="C40" s="1202" t="s">
        <v>601</v>
      </c>
      <c r="D40" s="998">
        <v>68.64</v>
      </c>
      <c r="E40" s="998">
        <v>0</v>
      </c>
      <c r="F40" s="1203"/>
      <c r="G40" s="1193"/>
      <c r="H40" s="1193"/>
    </row>
    <row r="41" spans="1:8" ht="15.75" customHeight="1">
      <c r="A41" s="1196" t="s">
        <v>3376</v>
      </c>
      <c r="B41" s="1197" t="s">
        <v>4274</v>
      </c>
      <c r="C41" s="1198" t="s">
        <v>601</v>
      </c>
      <c r="D41" s="994">
        <v>453.96</v>
      </c>
      <c r="E41" s="994">
        <v>0</v>
      </c>
      <c r="F41" s="1199"/>
      <c r="G41" s="1193"/>
      <c r="H41" s="1193"/>
    </row>
    <row r="42" spans="1:8" ht="15.75" customHeight="1">
      <c r="A42" s="1200" t="s">
        <v>3378</v>
      </c>
      <c r="B42" s="1201" t="s">
        <v>3379</v>
      </c>
      <c r="C42" s="1202" t="s">
        <v>92</v>
      </c>
      <c r="D42" s="1204">
        <v>24793.599999999999</v>
      </c>
      <c r="E42" s="998">
        <v>0</v>
      </c>
      <c r="F42" s="1202" t="s">
        <v>3380</v>
      </c>
      <c r="G42" s="1193"/>
      <c r="H42" s="1193"/>
    </row>
    <row r="43" spans="1:8" ht="15.75" customHeight="1">
      <c r="A43" s="1196" t="s">
        <v>3381</v>
      </c>
      <c r="B43" s="1197" t="s">
        <v>654</v>
      </c>
      <c r="C43" s="1198" t="s">
        <v>92</v>
      </c>
      <c r="D43" s="1008">
        <v>42390.400000000001</v>
      </c>
      <c r="E43" s="994">
        <v>0</v>
      </c>
      <c r="F43" s="1199"/>
      <c r="G43" s="1193"/>
      <c r="H43" s="1193"/>
    </row>
    <row r="44" spans="1:8" ht="15.75" customHeight="1">
      <c r="A44" s="1200" t="s">
        <v>3382</v>
      </c>
      <c r="B44" s="1201" t="s">
        <v>3383</v>
      </c>
      <c r="C44" s="1202" t="s">
        <v>2993</v>
      </c>
      <c r="D44" s="998">
        <v>8.3000000000000007</v>
      </c>
      <c r="E44" s="1205">
        <v>22728</v>
      </c>
      <c r="F44" s="1203"/>
      <c r="G44" s="1193"/>
      <c r="H44" s="1193"/>
    </row>
    <row r="45" spans="1:8" ht="15.75" customHeight="1">
      <c r="A45" s="1196" t="s">
        <v>3384</v>
      </c>
      <c r="B45" s="1197" t="s">
        <v>4249</v>
      </c>
      <c r="C45" s="1198" t="s">
        <v>3386</v>
      </c>
      <c r="D45" s="994">
        <v>54.08</v>
      </c>
      <c r="E45" s="994">
        <v>0</v>
      </c>
      <c r="F45" s="1199"/>
      <c r="G45" s="1193"/>
      <c r="H45" s="1193"/>
    </row>
    <row r="46" spans="1:8" ht="15.75" customHeight="1">
      <c r="A46" s="1200" t="s">
        <v>3387</v>
      </c>
      <c r="B46" s="1201" t="s">
        <v>655</v>
      </c>
      <c r="C46" s="1202" t="s">
        <v>92</v>
      </c>
      <c r="D46" s="1204">
        <v>7339.16</v>
      </c>
      <c r="E46" s="998">
        <v>33</v>
      </c>
      <c r="F46" s="1203"/>
      <c r="G46" s="1193"/>
      <c r="H46" s="1193"/>
    </row>
    <row r="47" spans="1:8" ht="15.75" customHeight="1">
      <c r="A47" s="1196" t="s">
        <v>3388</v>
      </c>
      <c r="B47" s="1197" t="s">
        <v>3389</v>
      </c>
      <c r="C47" s="1198" t="s">
        <v>3298</v>
      </c>
      <c r="D47" s="994">
        <v>139.88999999999999</v>
      </c>
      <c r="E47" s="994">
        <v>0</v>
      </c>
      <c r="F47" s="1199"/>
      <c r="G47" s="1193"/>
      <c r="H47" s="1193"/>
    </row>
    <row r="48" spans="1:8" ht="15.75" customHeight="1">
      <c r="A48" s="1200" t="s">
        <v>3390</v>
      </c>
      <c r="B48" s="1201" t="s">
        <v>3391</v>
      </c>
      <c r="C48" s="1202" t="s">
        <v>92</v>
      </c>
      <c r="D48" s="1204">
        <v>23623.599999999999</v>
      </c>
      <c r="E48" s="998">
        <v>318</v>
      </c>
      <c r="F48" s="1203"/>
      <c r="G48" s="1193"/>
      <c r="H48" s="1193"/>
    </row>
    <row r="49" spans="1:8" ht="15.75" customHeight="1">
      <c r="A49" s="1196" t="s">
        <v>3392</v>
      </c>
      <c r="B49" s="1197" t="s">
        <v>3393</v>
      </c>
      <c r="C49" s="1198" t="s">
        <v>657</v>
      </c>
      <c r="D49" s="1008">
        <v>6947.2</v>
      </c>
      <c r="E49" s="994">
        <v>23</v>
      </c>
      <c r="F49" s="1199"/>
      <c r="G49" s="1193"/>
      <c r="H49" s="1193"/>
    </row>
    <row r="50" spans="1:8" ht="15.75" customHeight="1">
      <c r="A50" s="1206" t="s">
        <v>3394</v>
      </c>
      <c r="B50" s="1201" t="s">
        <v>4252</v>
      </c>
      <c r="C50" s="1202" t="s">
        <v>601</v>
      </c>
      <c r="D50" s="998">
        <v>27.64</v>
      </c>
      <c r="E50" s="1207">
        <v>2342</v>
      </c>
      <c r="F50" s="1203"/>
      <c r="G50" s="1193"/>
      <c r="H50" s="1193"/>
    </row>
    <row r="51" spans="1:8" ht="15.75" customHeight="1">
      <c r="A51" s="1208" t="s">
        <v>3396</v>
      </c>
      <c r="B51" s="1197" t="s">
        <v>3397</v>
      </c>
      <c r="C51" s="1198" t="s">
        <v>92</v>
      </c>
      <c r="D51" s="1008">
        <v>1222</v>
      </c>
      <c r="E51" s="994">
        <v>0</v>
      </c>
      <c r="F51" s="1199"/>
      <c r="G51" s="1193"/>
      <c r="H51" s="1193"/>
    </row>
    <row r="52" spans="1:8" ht="15.75" customHeight="1">
      <c r="A52" s="1206" t="s">
        <v>3398</v>
      </c>
      <c r="B52" s="1201" t="s">
        <v>3399</v>
      </c>
      <c r="C52" s="1202" t="s">
        <v>92</v>
      </c>
      <c r="D52" s="1204">
        <v>1109.68</v>
      </c>
      <c r="E52" s="998">
        <v>0</v>
      </c>
      <c r="F52" s="1203"/>
      <c r="G52" s="1193"/>
      <c r="H52" s="1193"/>
    </row>
    <row r="53" spans="1:8" ht="15.75" customHeight="1">
      <c r="A53" s="1208" t="s">
        <v>3400</v>
      </c>
      <c r="B53" s="1197" t="s">
        <v>3401</v>
      </c>
      <c r="C53" s="1198" t="s">
        <v>92</v>
      </c>
      <c r="D53" s="994">
        <v>856.86</v>
      </c>
      <c r="E53" s="994">
        <v>17</v>
      </c>
      <c r="F53" s="1199"/>
      <c r="G53" s="1193"/>
      <c r="H53" s="1193"/>
    </row>
    <row r="54" spans="1:8" ht="15.75" customHeight="1">
      <c r="A54" s="1206" t="s">
        <v>3402</v>
      </c>
      <c r="B54" s="1201" t="s">
        <v>3403</v>
      </c>
      <c r="C54" s="1202" t="s">
        <v>92</v>
      </c>
      <c r="D54" s="998">
        <v>768.56</v>
      </c>
      <c r="E54" s="998">
        <v>0</v>
      </c>
      <c r="F54" s="1203"/>
      <c r="G54" s="1193"/>
      <c r="H54" s="1193"/>
    </row>
    <row r="55" spans="1:8" ht="15.75" customHeight="1">
      <c r="A55" s="1208" t="s">
        <v>3404</v>
      </c>
      <c r="B55" s="1197" t="s">
        <v>3405</v>
      </c>
      <c r="C55" s="1198" t="s">
        <v>3047</v>
      </c>
      <c r="D55" s="994">
        <v>764.4</v>
      </c>
      <c r="E55" s="1209">
        <v>367</v>
      </c>
      <c r="F55" s="1197" t="s">
        <v>3406</v>
      </c>
      <c r="G55" s="1193"/>
      <c r="H55" s="1193"/>
    </row>
    <row r="56" spans="1:8" ht="15.75" customHeight="1">
      <c r="A56" s="1206" t="s">
        <v>3407</v>
      </c>
      <c r="B56" s="1201" t="s">
        <v>3408</v>
      </c>
      <c r="C56" s="1202" t="s">
        <v>3409</v>
      </c>
      <c r="D56" s="998">
        <v>980.72</v>
      </c>
      <c r="E56" s="998">
        <v>0</v>
      </c>
      <c r="F56" s="1201" t="s">
        <v>3406</v>
      </c>
      <c r="G56" s="1193"/>
      <c r="H56" s="1193"/>
    </row>
    <row r="57" spans="1:8" ht="15.75" customHeight="1">
      <c r="A57" s="1208" t="s">
        <v>3410</v>
      </c>
      <c r="B57" s="1197" t="s">
        <v>4275</v>
      </c>
      <c r="C57" s="1198" t="s">
        <v>3047</v>
      </c>
      <c r="D57" s="994">
        <v>738.4</v>
      </c>
      <c r="E57" s="994">
        <v>0</v>
      </c>
      <c r="F57" s="1197" t="s">
        <v>3337</v>
      </c>
      <c r="G57" s="1193"/>
      <c r="H57" s="1193"/>
    </row>
    <row r="58" spans="1:8" ht="15.75" customHeight="1">
      <c r="A58" s="1206" t="s">
        <v>3412</v>
      </c>
      <c r="B58" s="1201" t="s">
        <v>3413</v>
      </c>
      <c r="C58" s="1202" t="s">
        <v>601</v>
      </c>
      <c r="D58" s="998">
        <v>30.49</v>
      </c>
      <c r="E58" s="998">
        <v>0</v>
      </c>
      <c r="F58" s="1203"/>
      <c r="G58" s="1193"/>
      <c r="H58" s="1193"/>
    </row>
    <row r="59" spans="1:8" ht="15.75" customHeight="1">
      <c r="A59" s="1208" t="s">
        <v>3414</v>
      </c>
      <c r="B59" s="1197" t="s">
        <v>4276</v>
      </c>
      <c r="C59" s="1198" t="s">
        <v>3047</v>
      </c>
      <c r="D59" s="994">
        <v>432.52</v>
      </c>
      <c r="E59" s="994">
        <v>0</v>
      </c>
      <c r="F59" s="1197" t="s">
        <v>3406</v>
      </c>
      <c r="G59" s="1193"/>
      <c r="H59" s="1193"/>
    </row>
    <row r="60" spans="1:8" ht="15.75" customHeight="1">
      <c r="A60" s="1206" t="s">
        <v>3416</v>
      </c>
      <c r="B60" s="1201" t="s">
        <v>3417</v>
      </c>
      <c r="C60" s="1202" t="s">
        <v>3047</v>
      </c>
      <c r="D60" s="998">
        <v>488.8</v>
      </c>
      <c r="E60" s="998">
        <v>0</v>
      </c>
      <c r="F60" s="1201" t="s">
        <v>3406</v>
      </c>
      <c r="G60" s="1193"/>
      <c r="H60" s="1193"/>
    </row>
    <row r="61" spans="1:8" ht="12.75">
      <c r="A61" s="1208" t="s">
        <v>3418</v>
      </c>
      <c r="B61" s="1197" t="s">
        <v>3419</v>
      </c>
      <c r="C61" s="1198" t="s">
        <v>2993</v>
      </c>
      <c r="D61" s="994">
        <v>11.41</v>
      </c>
      <c r="E61" s="1210">
        <v>3172</v>
      </c>
      <c r="F61" s="1199"/>
      <c r="G61" s="1193"/>
      <c r="H61" s="1193"/>
    </row>
    <row r="62" spans="1:8" ht="12.75">
      <c r="A62" s="1206" t="s">
        <v>3420</v>
      </c>
      <c r="B62" s="1201" t="s">
        <v>3421</v>
      </c>
      <c r="C62" s="1202" t="s">
        <v>601</v>
      </c>
      <c r="D62" s="998">
        <v>4.47</v>
      </c>
      <c r="E62" s="1207">
        <v>3231</v>
      </c>
      <c r="F62" s="1203"/>
      <c r="G62" s="1193"/>
      <c r="H62" s="1193"/>
    </row>
    <row r="63" spans="1:8" ht="12.75">
      <c r="A63" s="1208" t="s">
        <v>3422</v>
      </c>
      <c r="B63" s="1197" t="s">
        <v>731</v>
      </c>
      <c r="C63" s="1198" t="s">
        <v>92</v>
      </c>
      <c r="D63" s="1008">
        <v>2792.4</v>
      </c>
      <c r="E63" s="1209">
        <v>705</v>
      </c>
      <c r="F63" s="1199"/>
      <c r="G63" s="1193"/>
      <c r="H63" s="1193"/>
    </row>
    <row r="64" spans="1:8" ht="12.75">
      <c r="A64" s="1206" t="s">
        <v>4277</v>
      </c>
      <c r="B64" s="1201" t="s">
        <v>4278</v>
      </c>
      <c r="C64" s="1202" t="s">
        <v>92</v>
      </c>
      <c r="D64" s="1204">
        <v>5642</v>
      </c>
      <c r="E64" s="998">
        <v>0</v>
      </c>
      <c r="F64" s="1203"/>
      <c r="G64" s="1193"/>
      <c r="H64" s="1193"/>
    </row>
    <row r="65" spans="1:8" ht="12.75">
      <c r="A65" s="1208" t="s">
        <v>3423</v>
      </c>
      <c r="B65" s="1197" t="s">
        <v>3424</v>
      </c>
      <c r="C65" s="1198" t="s">
        <v>3047</v>
      </c>
      <c r="D65" s="994">
        <v>94.64</v>
      </c>
      <c r="E65" s="1210">
        <v>16864</v>
      </c>
      <c r="F65" s="1197" t="s">
        <v>3425</v>
      </c>
      <c r="G65" s="1193"/>
      <c r="H65" s="1193"/>
    </row>
    <row r="66" spans="1:8" ht="12.75">
      <c r="A66" s="1206" t="s">
        <v>3426</v>
      </c>
      <c r="B66" s="1201" t="s">
        <v>4279</v>
      </c>
      <c r="C66" s="1202" t="s">
        <v>601</v>
      </c>
      <c r="D66" s="998">
        <v>85.2</v>
      </c>
      <c r="E66" s="1211">
        <v>177</v>
      </c>
      <c r="F66" s="1203"/>
      <c r="G66" s="1193"/>
      <c r="H66" s="1193"/>
    </row>
    <row r="67" spans="1:8" ht="12.75">
      <c r="A67" s="1208" t="s">
        <v>3428</v>
      </c>
      <c r="B67" s="1197" t="s">
        <v>4280</v>
      </c>
      <c r="C67" s="1198" t="s">
        <v>776</v>
      </c>
      <c r="D67" s="994">
        <v>11.13</v>
      </c>
      <c r="E67" s="994">
        <v>0</v>
      </c>
      <c r="F67" s="1197" t="s">
        <v>3430</v>
      </c>
      <c r="G67" s="1193"/>
      <c r="H67" s="1193"/>
    </row>
    <row r="68" spans="1:8" ht="12.75">
      <c r="A68" s="1206" t="s">
        <v>3431</v>
      </c>
      <c r="B68" s="1201" t="s">
        <v>3432</v>
      </c>
      <c r="C68" s="1202" t="s">
        <v>3433</v>
      </c>
      <c r="D68" s="998">
        <v>14.23</v>
      </c>
      <c r="E68" s="998">
        <v>0</v>
      </c>
      <c r="F68" s="1201" t="s">
        <v>3430</v>
      </c>
      <c r="G68" s="1193"/>
      <c r="H68" s="1193"/>
    </row>
    <row r="69" spans="1:8" ht="12.75">
      <c r="A69" s="1208" t="s">
        <v>3434</v>
      </c>
      <c r="B69" s="1197" t="s">
        <v>3435</v>
      </c>
      <c r="C69" s="1198" t="s">
        <v>92</v>
      </c>
      <c r="D69" s="1008">
        <v>1144</v>
      </c>
      <c r="E69" s="994">
        <v>60</v>
      </c>
      <c r="F69" s="1199"/>
      <c r="G69" s="1193"/>
      <c r="H69" s="1193"/>
    </row>
    <row r="70" spans="1:8" ht="12.75">
      <c r="A70" s="1206" t="s">
        <v>3436</v>
      </c>
      <c r="B70" s="1201" t="s">
        <v>3437</v>
      </c>
      <c r="C70" s="1202" t="s">
        <v>92</v>
      </c>
      <c r="D70" s="1204">
        <v>5613.25</v>
      </c>
      <c r="E70" s="998">
        <v>0</v>
      </c>
      <c r="F70" s="1203"/>
      <c r="G70" s="1193"/>
      <c r="H70" s="1193"/>
    </row>
    <row r="71" spans="1:8" ht="12.75">
      <c r="A71" s="1208" t="s">
        <v>3438</v>
      </c>
      <c r="B71" s="1197" t="s">
        <v>3014</v>
      </c>
      <c r="C71" s="1198" t="s">
        <v>601</v>
      </c>
      <c r="D71" s="994">
        <v>166.4</v>
      </c>
      <c r="E71" s="1210">
        <v>1851</v>
      </c>
      <c r="F71" s="1199"/>
      <c r="G71" s="1193"/>
      <c r="H71" s="1193"/>
    </row>
    <row r="72" spans="1:8" ht="12.75">
      <c r="A72" s="1206" t="s">
        <v>3439</v>
      </c>
      <c r="B72" s="1201" t="s">
        <v>3440</v>
      </c>
      <c r="C72" s="1202" t="s">
        <v>3298</v>
      </c>
      <c r="D72" s="998">
        <v>309.76</v>
      </c>
      <c r="E72" s="998">
        <v>0</v>
      </c>
      <c r="F72" s="1203"/>
      <c r="G72" s="1193"/>
      <c r="H72" s="1193"/>
    </row>
    <row r="73" spans="1:8" ht="12.75">
      <c r="A73" s="1208" t="s">
        <v>3446</v>
      </c>
      <c r="B73" s="1197" t="s">
        <v>3447</v>
      </c>
      <c r="C73" s="1198" t="s">
        <v>895</v>
      </c>
      <c r="D73" s="994">
        <v>289.12</v>
      </c>
      <c r="E73" s="994">
        <v>0</v>
      </c>
      <c r="F73" s="1197" t="s">
        <v>3448</v>
      </c>
      <c r="G73" s="1193"/>
      <c r="H73" s="1193"/>
    </row>
    <row r="74" spans="1:8" ht="12.75">
      <c r="A74" s="1206" t="s">
        <v>3449</v>
      </c>
      <c r="B74" s="1201" t="s">
        <v>3450</v>
      </c>
      <c r="C74" s="1202" t="s">
        <v>895</v>
      </c>
      <c r="D74" s="998">
        <v>333.26</v>
      </c>
      <c r="E74" s="1207">
        <v>1465</v>
      </c>
      <c r="F74" s="1201" t="s">
        <v>3448</v>
      </c>
      <c r="G74" s="1193"/>
      <c r="H74" s="1193"/>
    </row>
    <row r="75" spans="1:8" ht="12.75">
      <c r="A75" s="1196" t="s">
        <v>3441</v>
      </c>
      <c r="B75" s="1197" t="s">
        <v>4281</v>
      </c>
      <c r="C75" s="1198" t="s">
        <v>3315</v>
      </c>
      <c r="D75" s="994">
        <v>270.39999999999998</v>
      </c>
      <c r="E75" s="1209">
        <v>233</v>
      </c>
      <c r="F75" s="1198" t="s">
        <v>3443</v>
      </c>
      <c r="G75" s="1193"/>
      <c r="H75" s="1193"/>
    </row>
    <row r="76" spans="1:8" ht="12.75">
      <c r="A76" s="1200" t="s">
        <v>3444</v>
      </c>
      <c r="B76" s="1201" t="s">
        <v>4282</v>
      </c>
      <c r="C76" s="1202" t="s">
        <v>3315</v>
      </c>
      <c r="D76" s="998">
        <v>286.52</v>
      </c>
      <c r="E76" s="998">
        <v>0</v>
      </c>
      <c r="F76" s="1202" t="s">
        <v>3443</v>
      </c>
      <c r="G76" s="1193"/>
      <c r="H76" s="1193"/>
    </row>
    <row r="77" spans="1:8" ht="12.75">
      <c r="A77" s="1196" t="s">
        <v>3451</v>
      </c>
      <c r="B77" s="1197" t="s">
        <v>3452</v>
      </c>
      <c r="C77" s="1198" t="s">
        <v>895</v>
      </c>
      <c r="D77" s="994">
        <v>187.54</v>
      </c>
      <c r="E77" s="1209">
        <v>471</v>
      </c>
      <c r="F77" s="1198" t="s">
        <v>3453</v>
      </c>
      <c r="G77" s="1193"/>
      <c r="H77" s="1193"/>
    </row>
    <row r="78" spans="1:8" ht="12.75">
      <c r="A78" s="1200" t="s">
        <v>3454</v>
      </c>
      <c r="B78" s="1201" t="s">
        <v>4283</v>
      </c>
      <c r="C78" s="1202" t="s">
        <v>895</v>
      </c>
      <c r="D78" s="998">
        <v>238.57</v>
      </c>
      <c r="E78" s="998">
        <v>0</v>
      </c>
      <c r="F78" s="1202" t="s">
        <v>3453</v>
      </c>
      <c r="G78" s="1193"/>
      <c r="H78" s="1193"/>
    </row>
    <row r="79" spans="1:8" ht="12.75">
      <c r="A79" s="1196" t="s">
        <v>3456</v>
      </c>
      <c r="B79" s="1197" t="s">
        <v>3457</v>
      </c>
      <c r="C79" s="1198" t="s">
        <v>3047</v>
      </c>
      <c r="D79" s="994">
        <v>952.64</v>
      </c>
      <c r="E79" s="994">
        <v>0</v>
      </c>
      <c r="F79" s="1198" t="s">
        <v>3337</v>
      </c>
      <c r="G79" s="1193"/>
      <c r="H79" s="1193"/>
    </row>
    <row r="80" spans="1:8" ht="12.75">
      <c r="A80" s="1200" t="s">
        <v>3458</v>
      </c>
      <c r="B80" s="1201" t="s">
        <v>4284</v>
      </c>
      <c r="C80" s="1202" t="s">
        <v>3298</v>
      </c>
      <c r="D80" s="998">
        <v>120.12</v>
      </c>
      <c r="E80" s="1211">
        <v>346</v>
      </c>
      <c r="F80" s="1203"/>
      <c r="G80" s="1193"/>
      <c r="H80" s="1193"/>
    </row>
    <row r="81" spans="1:8" ht="12.75">
      <c r="A81" s="1196" t="s">
        <v>3460</v>
      </c>
      <c r="B81" s="1197" t="s">
        <v>3461</v>
      </c>
      <c r="C81" s="1198" t="s">
        <v>3462</v>
      </c>
      <c r="D81" s="994">
        <v>70.72</v>
      </c>
      <c r="E81" s="1210">
        <v>1776</v>
      </c>
      <c r="F81" s="1199"/>
      <c r="G81" s="1193"/>
      <c r="H81" s="1193"/>
    </row>
    <row r="82" spans="1:8" ht="12.75">
      <c r="A82" s="1200" t="s">
        <v>3467</v>
      </c>
      <c r="B82" s="1201" t="s">
        <v>3468</v>
      </c>
      <c r="C82" s="1202" t="s">
        <v>3469</v>
      </c>
      <c r="D82" s="998">
        <v>37.21</v>
      </c>
      <c r="E82" s="1211">
        <v>963</v>
      </c>
      <c r="F82" s="1203"/>
      <c r="G82" s="1193"/>
      <c r="H82" s="1193"/>
    </row>
    <row r="83" spans="1:8" ht="12.75">
      <c r="A83" s="1196" t="s">
        <v>3470</v>
      </c>
      <c r="B83" s="1197" t="s">
        <v>740</v>
      </c>
      <c r="C83" s="1198" t="s">
        <v>657</v>
      </c>
      <c r="D83" s="1008">
        <v>8359.52</v>
      </c>
      <c r="E83" s="994">
        <v>0</v>
      </c>
      <c r="F83" s="1199"/>
      <c r="G83" s="1193"/>
      <c r="H83" s="1193"/>
    </row>
    <row r="84" spans="1:8" ht="12.75">
      <c r="A84" s="1200" t="s">
        <v>3471</v>
      </c>
      <c r="B84" s="1201" t="s">
        <v>3472</v>
      </c>
      <c r="C84" s="1202" t="s">
        <v>3047</v>
      </c>
      <c r="D84" s="998">
        <v>63.11</v>
      </c>
      <c r="E84" s="998">
        <v>0</v>
      </c>
      <c r="F84" s="1203"/>
      <c r="G84" s="1193"/>
      <c r="H84" s="1193"/>
    </row>
    <row r="85" spans="1:8" ht="12.75">
      <c r="A85" s="1196" t="s">
        <v>4285</v>
      </c>
      <c r="B85" s="1197" t="s">
        <v>4286</v>
      </c>
      <c r="C85" s="1198" t="s">
        <v>657</v>
      </c>
      <c r="D85" s="994">
        <v>910</v>
      </c>
      <c r="E85" s="994">
        <v>0</v>
      </c>
      <c r="F85" s="1199"/>
      <c r="G85" s="1193"/>
      <c r="H85" s="1193"/>
    </row>
    <row r="86" spans="1:8" ht="12.75">
      <c r="A86" s="1200" t="s">
        <v>4287</v>
      </c>
      <c r="B86" s="1201" t="s">
        <v>4288</v>
      </c>
      <c r="C86" s="1202" t="s">
        <v>657</v>
      </c>
      <c r="D86" s="1204">
        <v>1601.6</v>
      </c>
      <c r="E86" s="998">
        <v>0</v>
      </c>
      <c r="F86" s="1203"/>
      <c r="G86" s="1193"/>
      <c r="H86" s="1193"/>
    </row>
    <row r="87" spans="1:8" ht="12.75">
      <c r="A87" s="1196" t="s">
        <v>3489</v>
      </c>
      <c r="B87" s="1197" t="s">
        <v>528</v>
      </c>
      <c r="C87" s="1198" t="s">
        <v>657</v>
      </c>
      <c r="D87" s="994">
        <v>249.6</v>
      </c>
      <c r="E87" s="994">
        <v>0</v>
      </c>
      <c r="F87" s="1199"/>
      <c r="G87" s="1193"/>
      <c r="H87" s="1193"/>
    </row>
    <row r="88" spans="1:8" ht="12.75">
      <c r="A88" s="1200" t="s">
        <v>3491</v>
      </c>
      <c r="B88" s="1201" t="s">
        <v>529</v>
      </c>
      <c r="C88" s="1202" t="s">
        <v>657</v>
      </c>
      <c r="D88" s="998">
        <v>249.6</v>
      </c>
      <c r="E88" s="998">
        <v>0</v>
      </c>
      <c r="F88" s="1203"/>
      <c r="G88" s="1193"/>
      <c r="H88" s="1193"/>
    </row>
    <row r="89" spans="1:8" ht="12.75">
      <c r="A89" s="1196" t="s">
        <v>3493</v>
      </c>
      <c r="B89" s="1197" t="s">
        <v>530</v>
      </c>
      <c r="C89" s="1198" t="s">
        <v>657</v>
      </c>
      <c r="D89" s="994">
        <v>249.6</v>
      </c>
      <c r="E89" s="994">
        <v>0</v>
      </c>
      <c r="F89" s="1199"/>
      <c r="G89" s="1193"/>
      <c r="H89" s="1193"/>
    </row>
    <row r="90" spans="1:8" ht="12.75">
      <c r="A90" s="1200" t="s">
        <v>3495</v>
      </c>
      <c r="B90" s="1201" t="s">
        <v>531</v>
      </c>
      <c r="C90" s="1202" t="s">
        <v>657</v>
      </c>
      <c r="D90" s="998">
        <v>249.6</v>
      </c>
      <c r="E90" s="998">
        <v>0</v>
      </c>
      <c r="F90" s="1203"/>
      <c r="G90" s="1193"/>
      <c r="H90" s="1193"/>
    </row>
    <row r="91" spans="1:8" ht="12.75">
      <c r="A91" s="1196" t="s">
        <v>3473</v>
      </c>
      <c r="B91" s="1197" t="s">
        <v>3474</v>
      </c>
      <c r="C91" s="1198" t="s">
        <v>657</v>
      </c>
      <c r="D91" s="994">
        <v>312</v>
      </c>
      <c r="E91" s="994">
        <v>0</v>
      </c>
      <c r="F91" s="1199"/>
      <c r="G91" s="1193"/>
      <c r="H91" s="1193"/>
    </row>
    <row r="92" spans="1:8" ht="12.75">
      <c r="A92" s="1200" t="s">
        <v>3475</v>
      </c>
      <c r="B92" s="1201" t="s">
        <v>3476</v>
      </c>
      <c r="C92" s="1202" t="s">
        <v>657</v>
      </c>
      <c r="D92" s="998">
        <v>256.88</v>
      </c>
      <c r="E92" s="998">
        <v>0</v>
      </c>
      <c r="F92" s="1203"/>
      <c r="G92" s="1193"/>
      <c r="H92" s="1193"/>
    </row>
    <row r="93" spans="1:8" ht="12.75">
      <c r="A93" s="1196" t="s">
        <v>3477</v>
      </c>
      <c r="B93" s="1197" t="s">
        <v>3478</v>
      </c>
      <c r="C93" s="1198" t="s">
        <v>657</v>
      </c>
      <c r="D93" s="994">
        <v>256.88</v>
      </c>
      <c r="E93" s="994">
        <v>0</v>
      </c>
      <c r="F93" s="1199"/>
      <c r="G93" s="1193"/>
      <c r="H93" s="1193"/>
    </row>
    <row r="94" spans="1:8" ht="12.75">
      <c r="A94" s="1200" t="s">
        <v>3479</v>
      </c>
      <c r="B94" s="1201" t="s">
        <v>3480</v>
      </c>
      <c r="C94" s="1202" t="s">
        <v>657</v>
      </c>
      <c r="D94" s="998">
        <v>256.88</v>
      </c>
      <c r="E94" s="998">
        <v>0</v>
      </c>
      <c r="F94" s="1203"/>
      <c r="G94" s="1193"/>
      <c r="H94" s="1193"/>
    </row>
    <row r="95" spans="1:8" ht="12.75">
      <c r="A95" s="1196" t="s">
        <v>3481</v>
      </c>
      <c r="B95" s="1197" t="s">
        <v>3482</v>
      </c>
      <c r="C95" s="1198" t="s">
        <v>657</v>
      </c>
      <c r="D95" s="1008">
        <v>1126.32</v>
      </c>
      <c r="E95" s="1209">
        <v>180</v>
      </c>
      <c r="F95" s="1199"/>
      <c r="G95" s="1193"/>
      <c r="H95" s="1193"/>
    </row>
    <row r="96" spans="1:8" ht="12.75">
      <c r="A96" s="1200" t="s">
        <v>3483</v>
      </c>
      <c r="B96" s="1201" t="s">
        <v>3484</v>
      </c>
      <c r="C96" s="1202" t="s">
        <v>657</v>
      </c>
      <c r="D96" s="1204">
        <v>1178.32</v>
      </c>
      <c r="E96" s="998">
        <v>80</v>
      </c>
      <c r="F96" s="1203"/>
      <c r="G96" s="1193"/>
      <c r="H96" s="1193"/>
    </row>
    <row r="97" spans="1:8" ht="12.75">
      <c r="A97" s="1196" t="s">
        <v>3485</v>
      </c>
      <c r="B97" s="1197" t="s">
        <v>3486</v>
      </c>
      <c r="C97" s="1198" t="s">
        <v>657</v>
      </c>
      <c r="D97" s="994">
        <v>861.12</v>
      </c>
      <c r="E97" s="1209">
        <v>175</v>
      </c>
      <c r="F97" s="1199"/>
      <c r="G97" s="1193"/>
      <c r="H97" s="1193"/>
    </row>
    <row r="98" spans="1:8" ht="12.75">
      <c r="A98" s="1200" t="s">
        <v>3487</v>
      </c>
      <c r="B98" s="1201" t="s">
        <v>3488</v>
      </c>
      <c r="C98" s="1202" t="s">
        <v>657</v>
      </c>
      <c r="D98" s="998">
        <v>892.32</v>
      </c>
      <c r="E98" s="1211">
        <v>177</v>
      </c>
      <c r="F98" s="1203"/>
      <c r="G98" s="1193"/>
      <c r="H98" s="1193"/>
    </row>
    <row r="99" spans="1:8" ht="12.75">
      <c r="A99" s="1196" t="s">
        <v>3497</v>
      </c>
      <c r="B99" s="1197" t="s">
        <v>3498</v>
      </c>
      <c r="C99" s="1198" t="s">
        <v>657</v>
      </c>
      <c r="D99" s="994">
        <v>852.8</v>
      </c>
      <c r="E99" s="1209">
        <v>278</v>
      </c>
      <c r="F99" s="1199"/>
      <c r="G99" s="1193"/>
      <c r="H99" s="1193"/>
    </row>
    <row r="100" spans="1:8" ht="12.75">
      <c r="A100" s="1200" t="s">
        <v>3499</v>
      </c>
      <c r="B100" s="1201" t="s">
        <v>3500</v>
      </c>
      <c r="C100" s="1201" t="s">
        <v>657</v>
      </c>
      <c r="D100" s="1204">
        <v>1048.32</v>
      </c>
      <c r="E100" s="1211">
        <v>290</v>
      </c>
      <c r="F100" s="1203"/>
      <c r="G100" s="1193"/>
      <c r="H100" s="1193"/>
    </row>
    <row r="101" spans="1:8" ht="12.75">
      <c r="A101" s="1196" t="s">
        <v>3501</v>
      </c>
      <c r="B101" s="1197" t="s">
        <v>3502</v>
      </c>
      <c r="C101" s="1197" t="s">
        <v>657</v>
      </c>
      <c r="D101" s="994">
        <v>910</v>
      </c>
      <c r="E101" s="1210">
        <v>2594</v>
      </c>
      <c r="F101" s="1199"/>
      <c r="G101" s="1193"/>
      <c r="H101" s="1193"/>
    </row>
    <row r="102" spans="1:8" ht="12.75">
      <c r="A102" s="1200" t="s">
        <v>3503</v>
      </c>
      <c r="B102" s="1201" t="s">
        <v>3504</v>
      </c>
      <c r="C102" s="1201" t="s">
        <v>657</v>
      </c>
      <c r="D102" s="1204">
        <v>1053.52</v>
      </c>
      <c r="E102" s="1211">
        <v>114</v>
      </c>
      <c r="F102" s="1203"/>
      <c r="G102" s="1193"/>
      <c r="H102" s="1193"/>
    </row>
    <row r="103" spans="1:8" ht="12.75">
      <c r="A103" s="1196" t="s">
        <v>4289</v>
      </c>
      <c r="B103" s="1197" t="s">
        <v>4290</v>
      </c>
      <c r="C103" s="1197" t="s">
        <v>657</v>
      </c>
      <c r="D103" s="1008">
        <v>1996.8</v>
      </c>
      <c r="E103" s="994">
        <v>0</v>
      </c>
      <c r="F103" s="1199"/>
      <c r="G103" s="1193"/>
      <c r="H103" s="1193"/>
    </row>
    <row r="104" spans="1:8" ht="12.75">
      <c r="A104" s="1200" t="s">
        <v>4291</v>
      </c>
      <c r="B104" s="1201" t="s">
        <v>4292</v>
      </c>
      <c r="C104" s="1201" t="s">
        <v>657</v>
      </c>
      <c r="D104" s="1204">
        <v>1996.8</v>
      </c>
      <c r="E104" s="998">
        <v>0</v>
      </c>
      <c r="F104" s="1203"/>
      <c r="G104" s="1193"/>
      <c r="H104" s="1193"/>
    </row>
    <row r="105" spans="1:8" ht="12.75">
      <c r="A105" s="1196" t="s">
        <v>4293</v>
      </c>
      <c r="B105" s="1197" t="s">
        <v>4294</v>
      </c>
      <c r="C105" s="1197" t="s">
        <v>657</v>
      </c>
      <c r="D105" s="1008">
        <v>1996.8</v>
      </c>
      <c r="E105" s="994">
        <v>0</v>
      </c>
      <c r="F105" s="1199"/>
      <c r="G105" s="1193"/>
      <c r="H105" s="1193"/>
    </row>
    <row r="106" spans="1:8" ht="12.75">
      <c r="A106" s="1200" t="s">
        <v>4295</v>
      </c>
      <c r="B106" s="1201" t="s">
        <v>4296</v>
      </c>
      <c r="C106" s="1201" t="s">
        <v>657</v>
      </c>
      <c r="D106" s="1204">
        <v>1996.8</v>
      </c>
      <c r="E106" s="998">
        <v>0</v>
      </c>
      <c r="F106" s="1203"/>
      <c r="G106" s="1193"/>
      <c r="H106" s="1193"/>
    </row>
    <row r="107" spans="1:8" ht="12.75">
      <c r="A107" s="1196" t="s">
        <v>4297</v>
      </c>
      <c r="B107" s="1197" t="s">
        <v>4298</v>
      </c>
      <c r="C107" s="1197" t="s">
        <v>657</v>
      </c>
      <c r="D107" s="1008">
        <v>1996.8</v>
      </c>
      <c r="E107" s="994">
        <v>0</v>
      </c>
      <c r="F107" s="1199"/>
      <c r="G107" s="1193"/>
      <c r="H107" s="1193"/>
    </row>
    <row r="108" spans="1:8" ht="12.75">
      <c r="A108" s="1200" t="s">
        <v>4299</v>
      </c>
      <c r="B108" s="1201" t="s">
        <v>4300</v>
      </c>
      <c r="C108" s="1201" t="s">
        <v>657</v>
      </c>
      <c r="D108" s="1204">
        <v>3016</v>
      </c>
      <c r="E108" s="998">
        <v>0</v>
      </c>
      <c r="F108" s="1203"/>
      <c r="G108" s="1193"/>
      <c r="H108" s="1193"/>
    </row>
    <row r="109" spans="1:8" ht="12.75">
      <c r="A109" s="1196" t="s">
        <v>3505</v>
      </c>
      <c r="B109" s="1197" t="s">
        <v>3506</v>
      </c>
      <c r="C109" s="1197" t="s">
        <v>657</v>
      </c>
      <c r="D109" s="994">
        <v>880.88</v>
      </c>
      <c r="E109" s="1210">
        <v>2689</v>
      </c>
      <c r="F109" s="1199"/>
      <c r="G109" s="1193"/>
      <c r="H109" s="1193"/>
    </row>
    <row r="110" spans="1:8" ht="12.75">
      <c r="A110" s="1200" t="s">
        <v>3507</v>
      </c>
      <c r="B110" s="1201" t="s">
        <v>3508</v>
      </c>
      <c r="C110" s="1201" t="s">
        <v>657</v>
      </c>
      <c r="D110" s="1204">
        <v>1047.28</v>
      </c>
      <c r="E110" s="1207">
        <v>2198</v>
      </c>
      <c r="F110" s="1203"/>
      <c r="G110" s="1193"/>
      <c r="H110" s="1193"/>
    </row>
    <row r="111" spans="1:8" ht="12.75">
      <c r="A111" s="1196" t="s">
        <v>3509</v>
      </c>
      <c r="B111" s="1197" t="s">
        <v>3510</v>
      </c>
      <c r="C111" s="1197" t="s">
        <v>657</v>
      </c>
      <c r="D111" s="994">
        <v>419.12</v>
      </c>
      <c r="E111" s="1210">
        <v>1176</v>
      </c>
      <c r="F111" s="1199"/>
      <c r="G111" s="1193"/>
      <c r="H111" s="1193"/>
    </row>
    <row r="112" spans="1:8" ht="12.75">
      <c r="A112" s="1200" t="s">
        <v>3511</v>
      </c>
      <c r="B112" s="1201" t="s">
        <v>3512</v>
      </c>
      <c r="C112" s="1201" t="s">
        <v>657</v>
      </c>
      <c r="D112" s="998">
        <v>419.12</v>
      </c>
      <c r="E112" s="998">
        <v>1</v>
      </c>
      <c r="F112" s="1203"/>
      <c r="G112" s="1193"/>
      <c r="H112" s="1193"/>
    </row>
    <row r="113" spans="1:8" ht="12.75">
      <c r="A113" s="1196" t="s">
        <v>3513</v>
      </c>
      <c r="B113" s="1197" t="s">
        <v>3514</v>
      </c>
      <c r="C113" s="1197" t="s">
        <v>657</v>
      </c>
      <c r="D113" s="994">
        <v>823.68</v>
      </c>
      <c r="E113" s="1209">
        <v>195</v>
      </c>
      <c r="F113" s="1199"/>
      <c r="G113" s="1193"/>
      <c r="H113" s="1193"/>
    </row>
    <row r="114" spans="1:8" ht="12.75">
      <c r="A114" s="1200" t="s">
        <v>3515</v>
      </c>
      <c r="B114" s="1201" t="s">
        <v>3516</v>
      </c>
      <c r="C114" s="1201" t="s">
        <v>657</v>
      </c>
      <c r="D114" s="998">
        <v>823.68</v>
      </c>
      <c r="E114" s="1211">
        <v>233</v>
      </c>
      <c r="F114" s="1203"/>
      <c r="G114" s="1193"/>
      <c r="H114" s="1193"/>
    </row>
    <row r="115" spans="1:8" ht="12.75">
      <c r="A115" s="1196" t="s">
        <v>3517</v>
      </c>
      <c r="B115" s="1197" t="s">
        <v>3518</v>
      </c>
      <c r="C115" s="1197" t="s">
        <v>657</v>
      </c>
      <c r="D115" s="994">
        <v>823.68</v>
      </c>
      <c r="E115" s="1209">
        <v>161</v>
      </c>
      <c r="F115" s="1199"/>
      <c r="G115" s="1193"/>
      <c r="H115" s="1193"/>
    </row>
    <row r="116" spans="1:8" ht="12.75">
      <c r="A116" s="1200" t="s">
        <v>3519</v>
      </c>
      <c r="B116" s="1201" t="s">
        <v>3520</v>
      </c>
      <c r="C116" s="1201" t="s">
        <v>657</v>
      </c>
      <c r="D116" s="1204">
        <v>1541.28</v>
      </c>
      <c r="E116" s="1211">
        <v>175</v>
      </c>
      <c r="F116" s="1203"/>
      <c r="G116" s="1193"/>
      <c r="H116" s="1193"/>
    </row>
    <row r="117" spans="1:8" ht="12.75">
      <c r="A117" s="1196" t="s">
        <v>3521</v>
      </c>
      <c r="B117" s="1197" t="s">
        <v>3522</v>
      </c>
      <c r="C117" s="1197" t="s">
        <v>657</v>
      </c>
      <c r="D117" s="994">
        <v>865.28</v>
      </c>
      <c r="E117" s="1209">
        <v>178</v>
      </c>
      <c r="F117" s="1199"/>
      <c r="G117" s="1193"/>
      <c r="H117" s="1193"/>
    </row>
    <row r="118" spans="1:8" ht="12.75">
      <c r="A118" s="1200" t="s">
        <v>3523</v>
      </c>
      <c r="B118" s="1201" t="s">
        <v>3524</v>
      </c>
      <c r="C118" s="1201" t="s">
        <v>657</v>
      </c>
      <c r="D118" s="1204">
        <v>1066</v>
      </c>
      <c r="E118" s="998">
        <v>38</v>
      </c>
      <c r="F118" s="1203"/>
      <c r="G118" s="1193"/>
      <c r="H118" s="1193"/>
    </row>
    <row r="119" spans="1:8" ht="12.75">
      <c r="A119" s="1196" t="s">
        <v>3525</v>
      </c>
      <c r="B119" s="1197" t="s">
        <v>3526</v>
      </c>
      <c r="C119" s="1197" t="s">
        <v>657</v>
      </c>
      <c r="D119" s="994">
        <v>935</v>
      </c>
      <c r="E119" s="994">
        <v>0</v>
      </c>
      <c r="F119" s="1199"/>
      <c r="G119" s="1193"/>
      <c r="H119" s="1193"/>
    </row>
    <row r="120" spans="1:8" ht="12.75">
      <c r="A120" s="1200" t="s">
        <v>3527</v>
      </c>
      <c r="B120" s="1201" t="s">
        <v>3528</v>
      </c>
      <c r="C120" s="1201" t="s">
        <v>657</v>
      </c>
      <c r="D120" s="998">
        <v>740</v>
      </c>
      <c r="E120" s="998">
        <v>0</v>
      </c>
      <c r="F120" s="1203"/>
      <c r="G120" s="1193"/>
      <c r="H120" s="1193"/>
    </row>
    <row r="121" spans="1:8" ht="12.75">
      <c r="A121" s="1196" t="s">
        <v>4301</v>
      </c>
      <c r="B121" s="1197" t="s">
        <v>4302</v>
      </c>
      <c r="C121" s="1197" t="s">
        <v>657</v>
      </c>
      <c r="D121" s="994">
        <v>740</v>
      </c>
      <c r="E121" s="994">
        <v>0</v>
      </c>
      <c r="F121" s="1199"/>
      <c r="G121" s="1193"/>
      <c r="H121" s="1193"/>
    </row>
    <row r="122" spans="1:8" ht="12.75">
      <c r="A122" s="1200" t="s">
        <v>4303</v>
      </c>
      <c r="B122" s="1201" t="s">
        <v>4304</v>
      </c>
      <c r="C122" s="1201" t="s">
        <v>657</v>
      </c>
      <c r="D122" s="998">
        <v>740</v>
      </c>
      <c r="E122" s="998">
        <v>0</v>
      </c>
      <c r="F122" s="1203"/>
      <c r="G122" s="1193"/>
      <c r="H122" s="1193"/>
    </row>
    <row r="123" spans="1:8" ht="12.75">
      <c r="A123" s="1196" t="s">
        <v>3529</v>
      </c>
      <c r="B123" s="1197" t="s">
        <v>3530</v>
      </c>
      <c r="C123" s="1197" t="s">
        <v>657</v>
      </c>
      <c r="D123" s="1008">
        <v>1970.8</v>
      </c>
      <c r="E123" s="994">
        <v>48</v>
      </c>
      <c r="F123" s="1199"/>
      <c r="G123" s="1193"/>
      <c r="H123" s="1193"/>
    </row>
    <row r="124" spans="1:8" ht="12.75">
      <c r="A124" s="1200" t="s">
        <v>3531</v>
      </c>
      <c r="B124" s="1201" t="s">
        <v>3532</v>
      </c>
      <c r="C124" s="1201" t="s">
        <v>657</v>
      </c>
      <c r="D124" s="1204">
        <v>1517.36</v>
      </c>
      <c r="E124" s="998">
        <v>0</v>
      </c>
      <c r="F124" s="1203"/>
      <c r="G124" s="1193"/>
      <c r="H124" s="1193"/>
    </row>
    <row r="125" spans="1:8" ht="12.75">
      <c r="A125" s="1196" t="s">
        <v>3533</v>
      </c>
      <c r="B125" s="1197" t="s">
        <v>3534</v>
      </c>
      <c r="C125" s="1198" t="s">
        <v>657</v>
      </c>
      <c r="D125" s="1008">
        <v>1517.36</v>
      </c>
      <c r="E125" s="994">
        <v>58</v>
      </c>
      <c r="F125" s="1199"/>
      <c r="G125" s="1193"/>
      <c r="H125" s="1193"/>
    </row>
    <row r="126" spans="1:8" ht="12.75">
      <c r="A126" s="1200" t="s">
        <v>3535</v>
      </c>
      <c r="B126" s="1201" t="s">
        <v>3536</v>
      </c>
      <c r="C126" s="1202" t="s">
        <v>657</v>
      </c>
      <c r="D126" s="1204">
        <v>1517.36</v>
      </c>
      <c r="E126" s="998">
        <v>0</v>
      </c>
      <c r="F126" s="1203"/>
      <c r="G126" s="1193"/>
      <c r="H126" s="1193"/>
    </row>
    <row r="127" spans="1:8" ht="12.75">
      <c r="A127" s="1196" t="s">
        <v>3537</v>
      </c>
      <c r="B127" s="1197" t="s">
        <v>3538</v>
      </c>
      <c r="C127" s="1198" t="s">
        <v>657</v>
      </c>
      <c r="D127" s="994">
        <v>419.12</v>
      </c>
      <c r="E127" s="1210">
        <v>3021</v>
      </c>
      <c r="F127" s="1199"/>
      <c r="G127" s="1193"/>
      <c r="H127" s="1193"/>
    </row>
    <row r="128" spans="1:8" ht="12.75">
      <c r="A128" s="1200" t="s">
        <v>3539</v>
      </c>
      <c r="B128" s="1201" t="s">
        <v>3540</v>
      </c>
      <c r="C128" s="1202" t="s">
        <v>657</v>
      </c>
      <c r="D128" s="998">
        <v>419.12</v>
      </c>
      <c r="E128" s="1207">
        <v>2695</v>
      </c>
      <c r="F128" s="1203"/>
      <c r="G128" s="1193"/>
      <c r="H128" s="1193"/>
    </row>
    <row r="129" spans="1:8" ht="12.75">
      <c r="A129" s="1196" t="s">
        <v>3541</v>
      </c>
      <c r="B129" s="1197" t="s">
        <v>3542</v>
      </c>
      <c r="C129" s="1198" t="s">
        <v>657</v>
      </c>
      <c r="D129" s="994">
        <v>404.56</v>
      </c>
      <c r="E129" s="1210">
        <v>1326</v>
      </c>
      <c r="F129" s="1199"/>
      <c r="G129" s="1193"/>
      <c r="H129" s="1193"/>
    </row>
    <row r="130" spans="1:8" ht="12.75">
      <c r="A130" s="1200" t="s">
        <v>3543</v>
      </c>
      <c r="B130" s="1201" t="s">
        <v>3544</v>
      </c>
      <c r="C130" s="1202" t="s">
        <v>657</v>
      </c>
      <c r="D130" s="998">
        <v>404.56</v>
      </c>
      <c r="E130" s="1207">
        <v>1168</v>
      </c>
      <c r="F130" s="1203"/>
      <c r="G130" s="1193"/>
      <c r="H130" s="1193"/>
    </row>
    <row r="131" spans="1:8" ht="12.75">
      <c r="A131" s="1196" t="s">
        <v>3545</v>
      </c>
      <c r="B131" s="1197" t="s">
        <v>3546</v>
      </c>
      <c r="C131" s="1198" t="s">
        <v>657</v>
      </c>
      <c r="D131" s="994">
        <v>424.32</v>
      </c>
      <c r="E131" s="994">
        <v>0</v>
      </c>
      <c r="F131" s="1199"/>
      <c r="G131" s="1193"/>
      <c r="H131" s="1193"/>
    </row>
    <row r="132" spans="1:8" ht="12.75">
      <c r="A132" s="1200" t="s">
        <v>3547</v>
      </c>
      <c r="B132" s="1201" t="s">
        <v>3548</v>
      </c>
      <c r="C132" s="1202" t="s">
        <v>657</v>
      </c>
      <c r="D132" s="998">
        <v>424.32</v>
      </c>
      <c r="E132" s="998">
        <v>0</v>
      </c>
      <c r="F132" s="1203"/>
      <c r="G132" s="1193"/>
      <c r="H132" s="1193"/>
    </row>
    <row r="133" spans="1:8" ht="12.75">
      <c r="A133" s="1196" t="s">
        <v>3549</v>
      </c>
      <c r="B133" s="1197" t="s">
        <v>3550</v>
      </c>
      <c r="C133" s="1198" t="s">
        <v>657</v>
      </c>
      <c r="D133" s="994">
        <v>982.8</v>
      </c>
      <c r="E133" s="1209">
        <v>234</v>
      </c>
      <c r="F133" s="1199"/>
      <c r="G133" s="1193"/>
      <c r="H133" s="1193"/>
    </row>
    <row r="134" spans="1:8" ht="12.75">
      <c r="A134" s="1200" t="s">
        <v>3551</v>
      </c>
      <c r="B134" s="1201" t="s">
        <v>3552</v>
      </c>
      <c r="C134" s="1202" t="s">
        <v>657</v>
      </c>
      <c r="D134" s="998">
        <v>982.8</v>
      </c>
      <c r="E134" s="1211">
        <v>234</v>
      </c>
      <c r="F134" s="1203"/>
      <c r="G134" s="1193"/>
      <c r="H134" s="1193"/>
    </row>
    <row r="135" spans="1:8" ht="12.75">
      <c r="A135" s="1196" t="s">
        <v>3553</v>
      </c>
      <c r="B135" s="1197" t="s">
        <v>3554</v>
      </c>
      <c r="C135" s="1198" t="s">
        <v>657</v>
      </c>
      <c r="D135" s="994">
        <v>982.8</v>
      </c>
      <c r="E135" s="1209">
        <v>229</v>
      </c>
      <c r="F135" s="1199"/>
      <c r="G135" s="1193"/>
      <c r="H135" s="1193"/>
    </row>
    <row r="136" spans="1:8" ht="12.75">
      <c r="A136" s="1200" t="s">
        <v>3555</v>
      </c>
      <c r="B136" s="1201" t="s">
        <v>3556</v>
      </c>
      <c r="C136" s="1202" t="s">
        <v>657</v>
      </c>
      <c r="D136" s="1204">
        <v>1294.8</v>
      </c>
      <c r="E136" s="1211">
        <v>245</v>
      </c>
      <c r="F136" s="1203"/>
      <c r="G136" s="1193"/>
      <c r="H136" s="1193"/>
    </row>
    <row r="137" spans="1:8" ht="12.75">
      <c r="A137" s="1196" t="s">
        <v>3557</v>
      </c>
      <c r="B137" s="1197" t="s">
        <v>3558</v>
      </c>
      <c r="C137" s="1198" t="s">
        <v>657</v>
      </c>
      <c r="D137" s="1008">
        <v>1339.52</v>
      </c>
      <c r="E137" s="1209">
        <v>197</v>
      </c>
      <c r="F137" s="1199"/>
      <c r="G137" s="1193"/>
      <c r="H137" s="1193"/>
    </row>
    <row r="138" spans="1:8" ht="12.75">
      <c r="A138" s="1200" t="s">
        <v>3559</v>
      </c>
      <c r="B138" s="1201" t="s">
        <v>3560</v>
      </c>
      <c r="C138" s="1202" t="s">
        <v>657</v>
      </c>
      <c r="D138" s="1204">
        <v>1339.52</v>
      </c>
      <c r="E138" s="1211">
        <v>195</v>
      </c>
      <c r="F138" s="1203"/>
      <c r="G138" s="1193"/>
      <c r="H138" s="1193"/>
    </row>
    <row r="139" spans="1:8" ht="12.75">
      <c r="A139" s="1196" t="s">
        <v>3561</v>
      </c>
      <c r="B139" s="1197" t="s">
        <v>3562</v>
      </c>
      <c r="C139" s="1198" t="s">
        <v>657</v>
      </c>
      <c r="D139" s="1008">
        <v>1339.52</v>
      </c>
      <c r="E139" s="1209">
        <v>213</v>
      </c>
      <c r="F139" s="1199"/>
      <c r="G139" s="1193"/>
      <c r="H139" s="1193"/>
    </row>
    <row r="140" spans="1:8" ht="12.75">
      <c r="A140" s="1200" t="s">
        <v>3563</v>
      </c>
      <c r="B140" s="1201" t="s">
        <v>3564</v>
      </c>
      <c r="C140" s="1202" t="s">
        <v>657</v>
      </c>
      <c r="D140" s="1204">
        <v>1817.92</v>
      </c>
      <c r="E140" s="998">
        <v>0</v>
      </c>
      <c r="F140" s="1203"/>
      <c r="G140" s="1193"/>
      <c r="H140" s="1193"/>
    </row>
    <row r="141" spans="1:8" ht="12.75">
      <c r="A141" s="1196" t="s">
        <v>3565</v>
      </c>
      <c r="B141" s="1197" t="s">
        <v>3566</v>
      </c>
      <c r="C141" s="1198" t="s">
        <v>657</v>
      </c>
      <c r="D141" s="994">
        <v>468</v>
      </c>
      <c r="E141" s="1209">
        <v>278</v>
      </c>
      <c r="F141" s="1199"/>
      <c r="G141" s="1193"/>
      <c r="H141" s="1193"/>
    </row>
    <row r="142" spans="1:8" ht="12.75">
      <c r="A142" s="1200" t="s">
        <v>3567</v>
      </c>
      <c r="B142" s="1201" t="s">
        <v>3568</v>
      </c>
      <c r="C142" s="1202" t="s">
        <v>657</v>
      </c>
      <c r="D142" s="998">
        <v>468</v>
      </c>
      <c r="E142" s="1211">
        <v>278</v>
      </c>
      <c r="F142" s="1203"/>
      <c r="G142" s="1193"/>
      <c r="H142" s="1193"/>
    </row>
    <row r="143" spans="1:8" ht="12.75">
      <c r="A143" s="1196" t="s">
        <v>3569</v>
      </c>
      <c r="B143" s="1197" t="s">
        <v>3570</v>
      </c>
      <c r="C143" s="1198" t="s">
        <v>657</v>
      </c>
      <c r="D143" s="994">
        <v>468</v>
      </c>
      <c r="E143" s="1209">
        <v>280</v>
      </c>
      <c r="F143" s="1199"/>
      <c r="G143" s="1193"/>
      <c r="H143" s="1193"/>
    </row>
    <row r="144" spans="1:8" ht="12.75">
      <c r="A144" s="1200" t="s">
        <v>3571</v>
      </c>
      <c r="B144" s="1201" t="s">
        <v>3572</v>
      </c>
      <c r="C144" s="1202" t="s">
        <v>657</v>
      </c>
      <c r="D144" s="998">
        <v>774.8</v>
      </c>
      <c r="E144" s="1211">
        <v>253</v>
      </c>
      <c r="F144" s="1203"/>
      <c r="G144" s="1193"/>
      <c r="H144" s="1193"/>
    </row>
    <row r="145" spans="1:8" ht="12.75">
      <c r="A145" s="1196" t="s">
        <v>3573</v>
      </c>
      <c r="B145" s="1197" t="s">
        <v>3574</v>
      </c>
      <c r="C145" s="1198" t="s">
        <v>3298</v>
      </c>
      <c r="D145" s="994">
        <v>139.36000000000001</v>
      </c>
      <c r="E145" s="994">
        <v>0</v>
      </c>
      <c r="F145" s="1199"/>
      <c r="G145" s="1193"/>
      <c r="H145" s="1193"/>
    </row>
    <row r="146" spans="1:8" ht="12.75">
      <c r="A146" s="1200" t="s">
        <v>3575</v>
      </c>
      <c r="B146" s="1201" t="s">
        <v>668</v>
      </c>
      <c r="C146" s="1202" t="s">
        <v>466</v>
      </c>
      <c r="D146" s="1204">
        <v>46800</v>
      </c>
      <c r="E146" s="998">
        <v>0</v>
      </c>
      <c r="F146" s="1202" t="s">
        <v>3380</v>
      </c>
      <c r="G146" s="1193"/>
      <c r="H146" s="1193"/>
    </row>
    <row r="147" spans="1:8" ht="12.75">
      <c r="A147" s="1196" t="s">
        <v>3576</v>
      </c>
      <c r="B147" s="1197" t="s">
        <v>669</v>
      </c>
      <c r="C147" s="1198" t="s">
        <v>466</v>
      </c>
      <c r="D147" s="1008">
        <v>42380</v>
      </c>
      <c r="E147" s="994">
        <v>0</v>
      </c>
      <c r="F147" s="1198" t="s">
        <v>3380</v>
      </c>
      <c r="G147" s="1193"/>
      <c r="H147" s="1193"/>
    </row>
    <row r="148" spans="1:8" ht="12.75">
      <c r="A148" s="1200" t="s">
        <v>3577</v>
      </c>
      <c r="B148" s="1201" t="s">
        <v>3578</v>
      </c>
      <c r="C148" s="1202" t="s">
        <v>601</v>
      </c>
      <c r="D148" s="998">
        <v>75.61</v>
      </c>
      <c r="E148" s="998">
        <v>0</v>
      </c>
      <c r="F148" s="1203"/>
      <c r="G148" s="1193"/>
      <c r="H148" s="1193"/>
    </row>
    <row r="149" spans="1:8" ht="12.75">
      <c r="A149" s="1196" t="s">
        <v>3579</v>
      </c>
      <c r="B149" s="1197" t="s">
        <v>3580</v>
      </c>
      <c r="C149" s="1198" t="s">
        <v>601</v>
      </c>
      <c r="D149" s="994">
        <v>205.82</v>
      </c>
      <c r="E149" s="994">
        <v>0</v>
      </c>
      <c r="F149" s="1199"/>
      <c r="G149" s="1193"/>
      <c r="H149" s="1193"/>
    </row>
    <row r="150" spans="1:8" ht="12.75">
      <c r="A150" s="1206" t="s">
        <v>3463</v>
      </c>
      <c r="B150" s="1201" t="s">
        <v>4253</v>
      </c>
      <c r="C150" s="1202" t="s">
        <v>486</v>
      </c>
      <c r="D150" s="998">
        <v>80.849999999999994</v>
      </c>
      <c r="E150" s="998">
        <v>0</v>
      </c>
      <c r="F150" s="1203"/>
      <c r="G150" s="1193"/>
      <c r="H150" s="1193"/>
    </row>
    <row r="151" spans="1:8" ht="12.75">
      <c r="A151" s="1208" t="s">
        <v>3465</v>
      </c>
      <c r="B151" s="1197" t="s">
        <v>4254</v>
      </c>
      <c r="C151" s="1198" t="s">
        <v>486</v>
      </c>
      <c r="D151" s="994">
        <v>42.95</v>
      </c>
      <c r="E151" s="994">
        <v>0</v>
      </c>
      <c r="F151" s="1199"/>
      <c r="G151" s="1193"/>
      <c r="H151" s="1193"/>
    </row>
    <row r="152" spans="1:8" ht="12.75">
      <c r="A152" s="1206" t="s">
        <v>3581</v>
      </c>
      <c r="B152" s="1201" t="s">
        <v>3582</v>
      </c>
      <c r="C152" s="1202" t="s">
        <v>3315</v>
      </c>
      <c r="D152" s="998">
        <v>794.96</v>
      </c>
      <c r="E152" s="998">
        <v>0</v>
      </c>
      <c r="F152" s="1202" t="s">
        <v>3583</v>
      </c>
      <c r="G152" s="1193"/>
      <c r="H152" s="1193"/>
    </row>
    <row r="153" spans="1:8" ht="12.75">
      <c r="A153" s="1208" t="s">
        <v>3584</v>
      </c>
      <c r="B153" s="1197" t="s">
        <v>3585</v>
      </c>
      <c r="C153" s="1198" t="s">
        <v>601</v>
      </c>
      <c r="D153" s="994">
        <v>41.6</v>
      </c>
      <c r="E153" s="994">
        <v>0</v>
      </c>
      <c r="F153" s="1199"/>
      <c r="G153" s="1193"/>
      <c r="H153" s="1193"/>
    </row>
    <row r="154" spans="1:8" ht="12.75">
      <c r="A154" s="1206" t="s">
        <v>3586</v>
      </c>
      <c r="B154" s="1201" t="s">
        <v>3587</v>
      </c>
      <c r="C154" s="1202" t="s">
        <v>3433</v>
      </c>
      <c r="D154" s="998">
        <v>36.659999999999997</v>
      </c>
      <c r="E154" s="998">
        <v>0</v>
      </c>
      <c r="F154" s="1202" t="s">
        <v>3588</v>
      </c>
      <c r="G154" s="1193"/>
      <c r="H154" s="1193"/>
    </row>
    <row r="155" spans="1:8" ht="12.75">
      <c r="A155" s="1208" t="s">
        <v>3589</v>
      </c>
      <c r="B155" s="1197" t="s">
        <v>4227</v>
      </c>
      <c r="C155" s="1198" t="s">
        <v>601</v>
      </c>
      <c r="D155" s="994">
        <v>7.47</v>
      </c>
      <c r="E155" s="1000">
        <v>60220</v>
      </c>
      <c r="F155" s="1199"/>
      <c r="G155" s="1193"/>
      <c r="H155" s="1193"/>
    </row>
    <row r="156" spans="1:8" ht="12.75">
      <c r="A156" s="1206" t="s">
        <v>3591</v>
      </c>
      <c r="B156" s="1201" t="s">
        <v>4305</v>
      </c>
      <c r="C156" s="1202" t="s">
        <v>601</v>
      </c>
      <c r="D156" s="998">
        <v>7.47</v>
      </c>
      <c r="E156" s="1205">
        <v>30556</v>
      </c>
      <c r="F156" s="1203"/>
      <c r="G156" s="1193"/>
      <c r="H156" s="1193"/>
    </row>
    <row r="157" spans="1:8" ht="12.75">
      <c r="A157" s="1208" t="s">
        <v>3593</v>
      </c>
      <c r="B157" s="1197" t="s">
        <v>4306</v>
      </c>
      <c r="C157" s="1198" t="s">
        <v>601</v>
      </c>
      <c r="D157" s="994">
        <v>7.47</v>
      </c>
      <c r="E157" s="994">
        <v>0</v>
      </c>
      <c r="F157" s="1199"/>
      <c r="G157" s="1193"/>
      <c r="H157" s="1193"/>
    </row>
    <row r="158" spans="1:8" ht="12.75">
      <c r="A158" s="1206" t="s">
        <v>3595</v>
      </c>
      <c r="B158" s="1201" t="s">
        <v>4228</v>
      </c>
      <c r="C158" s="1202" t="s">
        <v>601</v>
      </c>
      <c r="D158" s="998">
        <v>9.65</v>
      </c>
      <c r="E158" s="1205">
        <v>5243</v>
      </c>
      <c r="F158" s="1203"/>
      <c r="G158" s="1193"/>
      <c r="H158" s="1193"/>
    </row>
    <row r="159" spans="1:8" ht="12.75">
      <c r="A159" s="1208" t="s">
        <v>3597</v>
      </c>
      <c r="B159" s="1197" t="s">
        <v>4307</v>
      </c>
      <c r="C159" s="1198" t="s">
        <v>601</v>
      </c>
      <c r="D159" s="994">
        <v>9.65</v>
      </c>
      <c r="E159" s="994">
        <v>1</v>
      </c>
      <c r="F159" s="1199"/>
      <c r="G159" s="1193"/>
      <c r="H159" s="1193"/>
    </row>
    <row r="160" spans="1:8" ht="12.75">
      <c r="A160" s="1206" t="s">
        <v>3599</v>
      </c>
      <c r="B160" s="1201" t="s">
        <v>4308</v>
      </c>
      <c r="C160" s="1202" t="s">
        <v>601</v>
      </c>
      <c r="D160" s="998">
        <v>9.65</v>
      </c>
      <c r="E160" s="998">
        <v>0</v>
      </c>
      <c r="F160" s="1203"/>
      <c r="G160" s="1193"/>
      <c r="H160" s="1193"/>
    </row>
    <row r="161" spans="1:8" ht="12.75">
      <c r="A161" s="1208" t="s">
        <v>3601</v>
      </c>
      <c r="B161" s="1197" t="s">
        <v>3602</v>
      </c>
      <c r="C161" s="1198" t="s">
        <v>601</v>
      </c>
      <c r="D161" s="994">
        <v>347.41</v>
      </c>
      <c r="E161" s="1000">
        <v>1470</v>
      </c>
      <c r="F161" s="1199"/>
      <c r="G161" s="1193"/>
      <c r="H161" s="1193"/>
    </row>
    <row r="162" spans="1:8" ht="12.75">
      <c r="A162" s="1206" t="s">
        <v>3603</v>
      </c>
      <c r="B162" s="1201" t="s">
        <v>3604</v>
      </c>
      <c r="C162" s="1202" t="s">
        <v>601</v>
      </c>
      <c r="D162" s="998">
        <v>344.92</v>
      </c>
      <c r="E162" s="1205">
        <v>1469</v>
      </c>
      <c r="F162" s="1203"/>
      <c r="G162" s="1193"/>
      <c r="H162" s="1193"/>
    </row>
    <row r="163" spans="1:8" ht="12.75">
      <c r="A163" s="1208" t="s">
        <v>3605</v>
      </c>
      <c r="B163" s="1197" t="s">
        <v>3606</v>
      </c>
      <c r="C163" s="1198" t="s">
        <v>92</v>
      </c>
      <c r="D163" s="1008">
        <v>1248</v>
      </c>
      <c r="E163" s="994">
        <v>0</v>
      </c>
      <c r="F163" s="1199"/>
      <c r="G163" s="1193"/>
      <c r="H163" s="1193"/>
    </row>
    <row r="164" spans="1:8" ht="12.75">
      <c r="A164" s="1206" t="s">
        <v>3607</v>
      </c>
      <c r="B164" s="1201" t="s">
        <v>3608</v>
      </c>
      <c r="C164" s="1202" t="s">
        <v>92</v>
      </c>
      <c r="D164" s="1204">
        <v>1248</v>
      </c>
      <c r="E164" s="998">
        <v>3</v>
      </c>
      <c r="F164" s="1203"/>
      <c r="G164" s="1193"/>
      <c r="H164" s="1193"/>
    </row>
    <row r="165" spans="1:8" ht="12.75">
      <c r="A165" s="1208" t="s">
        <v>3609</v>
      </c>
      <c r="B165" s="1197" t="s">
        <v>3610</v>
      </c>
      <c r="C165" s="1198" t="s">
        <v>92</v>
      </c>
      <c r="D165" s="1008">
        <v>2288</v>
      </c>
      <c r="E165" s="994">
        <v>0</v>
      </c>
      <c r="F165" s="1199"/>
      <c r="G165" s="1193"/>
      <c r="H165" s="1193"/>
    </row>
    <row r="166" spans="1:8" ht="12.75">
      <c r="A166" s="1206" t="s">
        <v>3611</v>
      </c>
      <c r="B166" s="1201" t="s">
        <v>3612</v>
      </c>
      <c r="C166" s="1202" t="s">
        <v>601</v>
      </c>
      <c r="D166" s="998">
        <v>124.8</v>
      </c>
      <c r="E166" s="998">
        <v>0</v>
      </c>
      <c r="F166" s="1203"/>
      <c r="G166" s="1193"/>
      <c r="H166" s="1193"/>
    </row>
    <row r="167" spans="1:8" ht="12.75">
      <c r="A167" s="1208" t="s">
        <v>3613</v>
      </c>
      <c r="B167" s="1197" t="s">
        <v>3614</v>
      </c>
      <c r="C167" s="1198" t="s">
        <v>601</v>
      </c>
      <c r="D167" s="994">
        <v>122.51</v>
      </c>
      <c r="E167" s="1000">
        <v>3649</v>
      </c>
      <c r="F167" s="1199"/>
      <c r="G167" s="1193"/>
      <c r="H167" s="1193"/>
    </row>
    <row r="168" spans="1:8" ht="12.75">
      <c r="A168" s="1206" t="s">
        <v>3615</v>
      </c>
      <c r="B168" s="1201" t="s">
        <v>671</v>
      </c>
      <c r="C168" s="1202" t="s">
        <v>92</v>
      </c>
      <c r="D168" s="998">
        <v>149.76</v>
      </c>
      <c r="E168" s="1205">
        <v>2244</v>
      </c>
      <c r="F168" s="1203"/>
      <c r="G168" s="1193"/>
      <c r="H168" s="1193"/>
    </row>
    <row r="169" spans="1:8" ht="12.75">
      <c r="A169" s="1208" t="s">
        <v>3616</v>
      </c>
      <c r="B169" s="1197" t="s">
        <v>3617</v>
      </c>
      <c r="C169" s="1198" t="s">
        <v>92</v>
      </c>
      <c r="D169" s="1008">
        <v>16588</v>
      </c>
      <c r="E169" s="994">
        <v>29</v>
      </c>
      <c r="F169" s="1199"/>
      <c r="G169" s="1193"/>
      <c r="H169" s="1193"/>
    </row>
    <row r="170" spans="1:8" ht="12.75">
      <c r="A170" s="1206" t="s">
        <v>3618</v>
      </c>
      <c r="B170" s="1201" t="s">
        <v>3619</v>
      </c>
      <c r="C170" s="1202" t="s">
        <v>3620</v>
      </c>
      <c r="D170" s="998">
        <v>52</v>
      </c>
      <c r="E170" s="998">
        <v>0</v>
      </c>
      <c r="F170" s="1203"/>
      <c r="G170" s="1193"/>
      <c r="H170" s="1193"/>
    </row>
    <row r="171" spans="1:8" ht="12.75">
      <c r="A171" s="1208" t="s">
        <v>3621</v>
      </c>
      <c r="B171" s="1197" t="s">
        <v>3622</v>
      </c>
      <c r="C171" s="1198" t="s">
        <v>3620</v>
      </c>
      <c r="D171" s="994">
        <v>37.06</v>
      </c>
      <c r="E171" s="994">
        <v>0</v>
      </c>
      <c r="F171" s="1199"/>
      <c r="G171" s="1193"/>
      <c r="H171" s="1193"/>
    </row>
    <row r="172" spans="1:8" ht="12.75">
      <c r="A172" s="1206" t="s">
        <v>3623</v>
      </c>
      <c r="B172" s="1201" t="s">
        <v>3624</v>
      </c>
      <c r="C172" s="1202" t="s">
        <v>3620</v>
      </c>
      <c r="D172" s="998">
        <v>59.28</v>
      </c>
      <c r="E172" s="998">
        <v>0</v>
      </c>
      <c r="F172" s="1203"/>
      <c r="G172" s="1193"/>
      <c r="H172" s="1193"/>
    </row>
    <row r="173" spans="1:8" ht="12.75">
      <c r="A173" s="1208" t="s">
        <v>3625</v>
      </c>
      <c r="B173" s="1197" t="s">
        <v>3626</v>
      </c>
      <c r="C173" s="1198" t="s">
        <v>601</v>
      </c>
      <c r="D173" s="994">
        <v>12.04</v>
      </c>
      <c r="E173" s="994">
        <v>0</v>
      </c>
      <c r="F173" s="1199"/>
      <c r="G173" s="1193"/>
      <c r="H173" s="1193"/>
    </row>
    <row r="174" spans="1:8" ht="12.75">
      <c r="A174" s="1206" t="s">
        <v>3627</v>
      </c>
      <c r="B174" s="1201" t="s">
        <v>3628</v>
      </c>
      <c r="C174" s="1202" t="s">
        <v>3620</v>
      </c>
      <c r="D174" s="998">
        <v>21.53</v>
      </c>
      <c r="E174" s="1205">
        <v>17571</v>
      </c>
      <c r="F174" s="1203"/>
      <c r="G174" s="1193"/>
      <c r="H174" s="1193"/>
    </row>
    <row r="175" spans="1:8" ht="12.75">
      <c r="A175" s="1208" t="s">
        <v>3629</v>
      </c>
      <c r="B175" s="1197" t="s">
        <v>3630</v>
      </c>
      <c r="C175" s="1198" t="s">
        <v>3047</v>
      </c>
      <c r="D175" s="994">
        <v>8.82</v>
      </c>
      <c r="E175" s="994">
        <v>0</v>
      </c>
      <c r="F175" s="1199"/>
      <c r="G175" s="1193"/>
      <c r="H175" s="1193"/>
    </row>
    <row r="176" spans="1:8" ht="12.75">
      <c r="A176" s="1206" t="s">
        <v>3631</v>
      </c>
      <c r="B176" s="1201" t="s">
        <v>4230</v>
      </c>
      <c r="C176" s="1202" t="s">
        <v>3047</v>
      </c>
      <c r="D176" s="998">
        <v>13.78</v>
      </c>
      <c r="E176" s="998">
        <v>0</v>
      </c>
      <c r="F176" s="1203"/>
      <c r="G176" s="1193"/>
      <c r="H176" s="1193"/>
    </row>
    <row r="177" spans="1:8" ht="12.75">
      <c r="A177" s="1208" t="s">
        <v>3633</v>
      </c>
      <c r="B177" s="1197" t="s">
        <v>3634</v>
      </c>
      <c r="C177" s="1198" t="s">
        <v>92</v>
      </c>
      <c r="D177" s="1008">
        <v>5699.2</v>
      </c>
      <c r="E177" s="994">
        <v>0</v>
      </c>
      <c r="F177" s="1199"/>
      <c r="G177" s="1193"/>
      <c r="H177" s="1193"/>
    </row>
    <row r="178" spans="1:8" ht="12.75">
      <c r="A178" s="1206" t="s">
        <v>3635</v>
      </c>
      <c r="B178" s="1201" t="s">
        <v>3636</v>
      </c>
      <c r="C178" s="1202" t="s">
        <v>92</v>
      </c>
      <c r="D178" s="1204">
        <v>9297.6</v>
      </c>
      <c r="E178" s="998">
        <v>0</v>
      </c>
      <c r="F178" s="1203"/>
      <c r="G178" s="1193"/>
      <c r="H178" s="1193"/>
    </row>
    <row r="179" spans="1:8" ht="12.75">
      <c r="A179" s="1208" t="s">
        <v>3637</v>
      </c>
      <c r="B179" s="1197" t="s">
        <v>3638</v>
      </c>
      <c r="C179" s="1212" t="s">
        <v>3639</v>
      </c>
      <c r="D179" s="994">
        <v>158.91</v>
      </c>
      <c r="E179" s="1000">
        <v>105645</v>
      </c>
      <c r="F179" s="1199"/>
      <c r="G179" s="1193"/>
      <c r="H179" s="1193"/>
    </row>
    <row r="180" spans="1:8" ht="12.75">
      <c r="A180" s="1206" t="s">
        <v>3640</v>
      </c>
      <c r="B180" s="1201" t="s">
        <v>3641</v>
      </c>
      <c r="C180" s="1213" t="s">
        <v>3642</v>
      </c>
      <c r="D180" s="998">
        <v>137.74</v>
      </c>
      <c r="E180" s="1205">
        <v>76976</v>
      </c>
      <c r="F180" s="1203"/>
      <c r="G180" s="1193"/>
      <c r="H180" s="1193"/>
    </row>
    <row r="181" spans="1:8" ht="12.75">
      <c r="A181" s="1208" t="s">
        <v>3643</v>
      </c>
      <c r="B181" s="1197" t="s">
        <v>4309</v>
      </c>
      <c r="C181" s="1212" t="s">
        <v>3642</v>
      </c>
      <c r="D181" s="994">
        <v>165.65</v>
      </c>
      <c r="E181" s="1000">
        <v>69106</v>
      </c>
      <c r="F181" s="1199"/>
      <c r="G181" s="1193"/>
      <c r="H181" s="1193"/>
    </row>
    <row r="182" spans="1:8" ht="12.75">
      <c r="A182" s="1206" t="s">
        <v>3645</v>
      </c>
      <c r="B182" s="1201" t="s">
        <v>4310</v>
      </c>
      <c r="C182" s="1213" t="s">
        <v>3642</v>
      </c>
      <c r="D182" s="998">
        <v>189.18</v>
      </c>
      <c r="E182" s="1205">
        <v>100683</v>
      </c>
      <c r="F182" s="1203"/>
      <c r="G182" s="1193"/>
      <c r="H182" s="1193"/>
    </row>
    <row r="183" spans="1:8" ht="12.75">
      <c r="A183" s="1208" t="s">
        <v>3647</v>
      </c>
      <c r="B183" s="1197" t="s">
        <v>3648</v>
      </c>
      <c r="C183" s="1198" t="s">
        <v>3047</v>
      </c>
      <c r="D183" s="994">
        <v>98.05</v>
      </c>
      <c r="E183" s="994">
        <v>0</v>
      </c>
      <c r="F183" s="1198" t="s">
        <v>3329</v>
      </c>
      <c r="G183" s="1193"/>
      <c r="H183" s="1193"/>
    </row>
    <row r="184" spans="1:8" ht="12.75">
      <c r="A184" s="1206" t="s">
        <v>3649</v>
      </c>
      <c r="B184" s="1201" t="s">
        <v>3650</v>
      </c>
      <c r="C184" s="1213" t="s">
        <v>902</v>
      </c>
      <c r="D184" s="998">
        <v>212.87</v>
      </c>
      <c r="E184" s="998">
        <v>960</v>
      </c>
      <c r="F184" s="1203"/>
      <c r="G184" s="1193"/>
      <c r="H184" s="1193"/>
    </row>
    <row r="185" spans="1:8" ht="12.75">
      <c r="A185" s="1208" t="s">
        <v>3651</v>
      </c>
      <c r="B185" s="1197" t="s">
        <v>3652</v>
      </c>
      <c r="C185" s="1198" t="s">
        <v>3047</v>
      </c>
      <c r="D185" s="994">
        <v>20.79</v>
      </c>
      <c r="E185" s="994">
        <v>0</v>
      </c>
      <c r="F185" s="1198" t="s">
        <v>3349</v>
      </c>
      <c r="G185" s="1193"/>
      <c r="H185" s="1193"/>
    </row>
    <row r="186" spans="1:8" ht="12.75">
      <c r="A186" s="1206" t="s">
        <v>3653</v>
      </c>
      <c r="B186" s="1201" t="s">
        <v>3654</v>
      </c>
      <c r="C186" s="1213" t="s">
        <v>601</v>
      </c>
      <c r="D186" s="998">
        <v>284.83999999999997</v>
      </c>
      <c r="E186" s="998">
        <v>0</v>
      </c>
      <c r="F186" s="1203"/>
      <c r="G186" s="1193"/>
      <c r="H186" s="1193"/>
    </row>
    <row r="187" spans="1:8" ht="12.75">
      <c r="A187" s="1208" t="s">
        <v>3655</v>
      </c>
      <c r="B187" s="1197" t="s">
        <v>825</v>
      </c>
      <c r="C187" s="1198" t="s">
        <v>92</v>
      </c>
      <c r="D187" s="1008">
        <v>38100.97</v>
      </c>
      <c r="E187" s="994">
        <v>250</v>
      </c>
      <c r="F187" s="1199"/>
      <c r="G187" s="1193"/>
      <c r="H187" s="1193"/>
    </row>
    <row r="188" spans="1:8" ht="12.75">
      <c r="A188" s="1206" t="s">
        <v>3656</v>
      </c>
      <c r="B188" s="1201" t="s">
        <v>3657</v>
      </c>
      <c r="C188" s="1202" t="s">
        <v>92</v>
      </c>
      <c r="D188" s="1204">
        <v>10189.92</v>
      </c>
      <c r="E188" s="998">
        <v>157</v>
      </c>
      <c r="F188" s="1203"/>
      <c r="G188" s="1193"/>
      <c r="H188" s="1193"/>
    </row>
    <row r="189" spans="1:8" ht="12.75">
      <c r="A189" s="1208" t="s">
        <v>3658</v>
      </c>
      <c r="B189" s="1197" t="s">
        <v>3659</v>
      </c>
      <c r="C189" s="1198" t="s">
        <v>92</v>
      </c>
      <c r="D189" s="1008">
        <v>2636.89</v>
      </c>
      <c r="E189" s="994">
        <v>0</v>
      </c>
      <c r="F189" s="1199"/>
      <c r="G189" s="1193"/>
      <c r="H189" s="1193"/>
    </row>
    <row r="190" spans="1:8" ht="12.75">
      <c r="A190" s="1206" t="s">
        <v>3660</v>
      </c>
      <c r="B190" s="1201" t="s">
        <v>3661</v>
      </c>
      <c r="C190" s="1201" t="s">
        <v>601</v>
      </c>
      <c r="D190" s="998">
        <v>156</v>
      </c>
      <c r="E190" s="998">
        <v>102</v>
      </c>
      <c r="F190" s="1203"/>
      <c r="G190" s="1193"/>
      <c r="H190" s="1193"/>
    </row>
    <row r="191" spans="1:8" ht="12.75">
      <c r="A191" s="1208" t="s">
        <v>3662</v>
      </c>
      <c r="B191" s="1197" t="s">
        <v>3663</v>
      </c>
      <c r="C191" s="1212" t="s">
        <v>601</v>
      </c>
      <c r="D191" s="994">
        <v>150.80000000000001</v>
      </c>
      <c r="E191" s="994">
        <v>0</v>
      </c>
      <c r="F191" s="1199"/>
      <c r="G191" s="1193"/>
      <c r="H191" s="1193"/>
    </row>
    <row r="192" spans="1:8" ht="12.75">
      <c r="A192" s="1206" t="s">
        <v>3664</v>
      </c>
      <c r="B192" s="1201" t="s">
        <v>4311</v>
      </c>
      <c r="C192" s="1213" t="s">
        <v>3315</v>
      </c>
      <c r="D192" s="998">
        <v>53.14</v>
      </c>
      <c r="E192" s="998">
        <v>0</v>
      </c>
      <c r="F192" s="1202" t="s">
        <v>3666</v>
      </c>
      <c r="G192" s="1193"/>
      <c r="H192" s="1193"/>
    </row>
    <row r="193" spans="1:8" ht="12.75">
      <c r="A193" s="1208" t="s">
        <v>3667</v>
      </c>
      <c r="B193" s="1197" t="s">
        <v>3668</v>
      </c>
      <c r="C193" s="1212" t="s">
        <v>3669</v>
      </c>
      <c r="D193" s="994">
        <v>62.4</v>
      </c>
      <c r="E193" s="1000">
        <v>3985</v>
      </c>
      <c r="F193" s="1199"/>
      <c r="G193" s="1193"/>
      <c r="H193" s="1193"/>
    </row>
    <row r="194" spans="1:8" ht="12.75">
      <c r="A194" s="1206" t="s">
        <v>3670</v>
      </c>
      <c r="B194" s="1201" t="s">
        <v>3671</v>
      </c>
      <c r="C194" s="1213" t="s">
        <v>3669</v>
      </c>
      <c r="D194" s="998">
        <v>104</v>
      </c>
      <c r="E194" s="998">
        <v>0</v>
      </c>
      <c r="F194" s="1203"/>
      <c r="G194" s="1193"/>
      <c r="H194" s="1193"/>
    </row>
    <row r="195" spans="1:8" ht="12.75">
      <c r="A195" s="1208" t="s">
        <v>3672</v>
      </c>
      <c r="B195" s="1197" t="s">
        <v>3673</v>
      </c>
      <c r="C195" s="1198" t="s">
        <v>657</v>
      </c>
      <c r="D195" s="994">
        <v>77.430000000000007</v>
      </c>
      <c r="E195" s="994">
        <v>0</v>
      </c>
      <c r="F195" s="1199"/>
      <c r="G195" s="1193"/>
      <c r="H195" s="1193"/>
    </row>
    <row r="196" spans="1:8" ht="12.75">
      <c r="A196" s="1206" t="s">
        <v>3674</v>
      </c>
      <c r="B196" s="1201" t="s">
        <v>3675</v>
      </c>
      <c r="C196" s="1202" t="s">
        <v>657</v>
      </c>
      <c r="D196" s="998">
        <v>77.94</v>
      </c>
      <c r="E196" s="998">
        <v>0</v>
      </c>
      <c r="F196" s="1203"/>
      <c r="G196" s="1193"/>
      <c r="H196" s="1193"/>
    </row>
    <row r="197" spans="1:8" ht="12.75">
      <c r="A197" s="1208" t="s">
        <v>3676</v>
      </c>
      <c r="B197" s="1197" t="s">
        <v>3677</v>
      </c>
      <c r="C197" s="1198" t="s">
        <v>657</v>
      </c>
      <c r="D197" s="994">
        <v>818.48</v>
      </c>
      <c r="E197" s="994">
        <v>235</v>
      </c>
      <c r="F197" s="1199"/>
      <c r="G197" s="1193"/>
      <c r="H197" s="1193"/>
    </row>
    <row r="198" spans="1:8" ht="12.75">
      <c r="A198" s="1206" t="s">
        <v>3313</v>
      </c>
      <c r="B198" s="1201" t="s">
        <v>4312</v>
      </c>
      <c r="C198" s="1213" t="s">
        <v>3315</v>
      </c>
      <c r="D198" s="998">
        <v>274.23</v>
      </c>
      <c r="E198" s="998">
        <v>463</v>
      </c>
      <c r="F198" s="1202" t="s">
        <v>3316</v>
      </c>
      <c r="G198" s="1193"/>
      <c r="H198" s="1193"/>
    </row>
    <row r="199" spans="1:8" ht="12.75">
      <c r="A199" s="1208" t="s">
        <v>3678</v>
      </c>
      <c r="B199" s="1197" t="s">
        <v>3679</v>
      </c>
      <c r="C199" s="1198" t="s">
        <v>3047</v>
      </c>
      <c r="D199" s="994">
        <v>135.19999999999999</v>
      </c>
      <c r="E199" s="994">
        <v>0</v>
      </c>
      <c r="F199" s="1199"/>
      <c r="G199" s="1193"/>
      <c r="H199" s="1193"/>
    </row>
    <row r="200" spans="1:8" ht="12.75">
      <c r="A200" s="1214" t="s">
        <v>3680</v>
      </c>
      <c r="B200" s="1201" t="s">
        <v>3681</v>
      </c>
      <c r="C200" s="1202" t="s">
        <v>601</v>
      </c>
      <c r="D200" s="998">
        <v>16.64</v>
      </c>
      <c r="E200" s="1207">
        <v>6686</v>
      </c>
      <c r="F200" s="1203"/>
      <c r="G200" s="1193"/>
      <c r="H200" s="1193"/>
    </row>
    <row r="201" spans="1:8" ht="12.75">
      <c r="A201" s="1215" t="s">
        <v>3682</v>
      </c>
      <c r="B201" s="1197" t="s">
        <v>3683</v>
      </c>
      <c r="C201" s="1198" t="s">
        <v>3684</v>
      </c>
      <c r="D201" s="994">
        <v>33.369999999999997</v>
      </c>
      <c r="E201" s="994">
        <v>0</v>
      </c>
      <c r="F201" s="1199"/>
      <c r="G201" s="1193"/>
      <c r="H201" s="1193"/>
    </row>
    <row r="202" spans="1:8" ht="12.75">
      <c r="A202" s="1214" t="s">
        <v>3685</v>
      </c>
      <c r="B202" s="1201" t="s">
        <v>3686</v>
      </c>
      <c r="C202" s="1202" t="s">
        <v>895</v>
      </c>
      <c r="D202" s="998">
        <v>57.93</v>
      </c>
      <c r="E202" s="1211">
        <v>306</v>
      </c>
      <c r="F202" s="1202" t="s">
        <v>3687</v>
      </c>
      <c r="G202" s="1193"/>
      <c r="H202" s="1193"/>
    </row>
    <row r="203" spans="1:8" ht="12.75">
      <c r="A203" s="1215" t="s">
        <v>3688</v>
      </c>
      <c r="B203" s="1197" t="s">
        <v>4313</v>
      </c>
      <c r="C203" s="1198" t="s">
        <v>601</v>
      </c>
      <c r="D203" s="994">
        <v>22.2</v>
      </c>
      <c r="E203" s="994">
        <v>0</v>
      </c>
      <c r="F203" s="1199"/>
      <c r="G203" s="1193"/>
      <c r="H203" s="1193"/>
    </row>
    <row r="204" spans="1:8" ht="12.75">
      <c r="A204" s="1214" t="s">
        <v>3690</v>
      </c>
      <c r="B204" s="1201" t="s">
        <v>4314</v>
      </c>
      <c r="C204" s="1202" t="s">
        <v>601</v>
      </c>
      <c r="D204" s="998">
        <v>22.2</v>
      </c>
      <c r="E204" s="1211">
        <v>536</v>
      </c>
      <c r="F204" s="1203"/>
      <c r="G204" s="1193"/>
      <c r="H204" s="1193"/>
    </row>
    <row r="205" spans="1:8" ht="12.75">
      <c r="A205" s="1215" t="s">
        <v>3692</v>
      </c>
      <c r="B205" s="1197" t="s">
        <v>4315</v>
      </c>
      <c r="C205" s="1198" t="s">
        <v>601</v>
      </c>
      <c r="D205" s="994">
        <v>22.2</v>
      </c>
      <c r="E205" s="994">
        <v>0</v>
      </c>
      <c r="F205" s="1199"/>
      <c r="G205" s="1193"/>
      <c r="H205" s="1193"/>
    </row>
    <row r="206" spans="1:8" ht="12.75">
      <c r="A206" s="1214" t="s">
        <v>3694</v>
      </c>
      <c r="B206" s="1201" t="s">
        <v>3695</v>
      </c>
      <c r="C206" s="1202" t="s">
        <v>486</v>
      </c>
      <c r="D206" s="998">
        <v>28.91</v>
      </c>
      <c r="E206" s="1207">
        <v>2688</v>
      </c>
      <c r="F206" s="1203"/>
      <c r="G206" s="1193"/>
      <c r="H206" s="1193"/>
    </row>
    <row r="207" spans="1:8" ht="12.75">
      <c r="A207" s="1215" t="s">
        <v>3696</v>
      </c>
      <c r="B207" s="1197" t="s">
        <v>3697</v>
      </c>
      <c r="C207" s="1198" t="s">
        <v>601</v>
      </c>
      <c r="D207" s="994">
        <v>39.92</v>
      </c>
      <c r="E207" s="1209">
        <v>509</v>
      </c>
      <c r="F207" s="1199"/>
      <c r="G207" s="1193"/>
      <c r="H207" s="1193"/>
    </row>
    <row r="208" spans="1:8" ht="12.75">
      <c r="A208" s="1214" t="s">
        <v>3698</v>
      </c>
      <c r="B208" s="1201" t="s">
        <v>3699</v>
      </c>
      <c r="C208" s="1202" t="s">
        <v>601</v>
      </c>
      <c r="D208" s="998">
        <v>27.87</v>
      </c>
      <c r="E208" s="998">
        <v>9</v>
      </c>
      <c r="F208" s="1203"/>
      <c r="G208" s="1193"/>
      <c r="H208" s="1193"/>
    </row>
    <row r="209" spans="1:8" ht="12.75">
      <c r="A209" s="1215" t="s">
        <v>3700</v>
      </c>
      <c r="B209" s="1197" t="s">
        <v>4232</v>
      </c>
      <c r="C209" s="1198" t="s">
        <v>3047</v>
      </c>
      <c r="D209" s="994">
        <v>22.55</v>
      </c>
      <c r="E209" s="994">
        <v>0</v>
      </c>
      <c r="F209" s="1199"/>
      <c r="G209" s="1193"/>
      <c r="H209" s="1193"/>
    </row>
    <row r="210" spans="1:8" ht="12.75">
      <c r="A210" s="1214" t="s">
        <v>3702</v>
      </c>
      <c r="B210" s="1201" t="s">
        <v>3703</v>
      </c>
      <c r="C210" s="1202" t="s">
        <v>3047</v>
      </c>
      <c r="D210" s="998">
        <v>23.76</v>
      </c>
      <c r="E210" s="998">
        <v>0</v>
      </c>
      <c r="F210" s="1203"/>
      <c r="G210" s="1193"/>
      <c r="H210" s="1193"/>
    </row>
    <row r="211" spans="1:8" ht="12.75">
      <c r="A211" s="1215" t="s">
        <v>3704</v>
      </c>
      <c r="B211" s="1197" t="s">
        <v>3705</v>
      </c>
      <c r="C211" s="1198" t="s">
        <v>92</v>
      </c>
      <c r="D211" s="994">
        <v>888.16</v>
      </c>
      <c r="E211" s="994">
        <v>0</v>
      </c>
      <c r="F211" s="1199"/>
      <c r="G211" s="1193"/>
      <c r="H211" s="1193"/>
    </row>
    <row r="212" spans="1:8" ht="12.75">
      <c r="A212" s="1214" t="s">
        <v>3706</v>
      </c>
      <c r="B212" s="1201" t="s">
        <v>3707</v>
      </c>
      <c r="C212" s="1202" t="s">
        <v>601</v>
      </c>
      <c r="D212" s="998">
        <v>145.6</v>
      </c>
      <c r="E212" s="998">
        <v>0</v>
      </c>
      <c r="F212" s="1203"/>
      <c r="G212" s="1193"/>
      <c r="H212" s="1193"/>
    </row>
    <row r="213" spans="1:8" ht="12.75">
      <c r="A213" s="1215" t="s">
        <v>3708</v>
      </c>
      <c r="B213" s="1197" t="s">
        <v>3709</v>
      </c>
      <c r="C213" s="1198" t="s">
        <v>601</v>
      </c>
      <c r="D213" s="994">
        <v>1.55</v>
      </c>
      <c r="E213" s="994">
        <v>0</v>
      </c>
      <c r="F213" s="1198" t="s">
        <v>3710</v>
      </c>
      <c r="G213" s="1193"/>
      <c r="H213" s="1193"/>
    </row>
    <row r="214" spans="1:8" ht="12.75">
      <c r="A214" s="1214" t="s">
        <v>3711</v>
      </c>
      <c r="B214" s="1201" t="s">
        <v>4234</v>
      </c>
      <c r="C214" s="1202" t="s">
        <v>92</v>
      </c>
      <c r="D214" s="998">
        <v>72.8</v>
      </c>
      <c r="E214" s="998">
        <v>0</v>
      </c>
      <c r="F214" s="1203"/>
      <c r="G214" s="1193"/>
      <c r="H214" s="1193"/>
    </row>
    <row r="215" spans="1:8" ht="12.75">
      <c r="A215" s="1215" t="s">
        <v>3713</v>
      </c>
      <c r="B215" s="1197" t="s">
        <v>3714</v>
      </c>
      <c r="C215" s="1198" t="s">
        <v>3715</v>
      </c>
      <c r="D215" s="994">
        <v>19.45</v>
      </c>
      <c r="E215" s="994">
        <v>0</v>
      </c>
      <c r="F215" s="1199"/>
      <c r="G215" s="1193"/>
      <c r="H215" s="1193"/>
    </row>
    <row r="216" spans="1:8" ht="12.75">
      <c r="A216" s="1214" t="s">
        <v>3716</v>
      </c>
      <c r="B216" s="1201" t="s">
        <v>3717</v>
      </c>
      <c r="C216" s="1202" t="s">
        <v>3715</v>
      </c>
      <c r="D216" s="998">
        <v>61.88</v>
      </c>
      <c r="E216" s="998">
        <v>0</v>
      </c>
      <c r="F216" s="1203"/>
      <c r="G216" s="1193"/>
      <c r="H216" s="1193"/>
    </row>
    <row r="217" spans="1:8" ht="12.75">
      <c r="A217" s="1215" t="s">
        <v>3718</v>
      </c>
      <c r="B217" s="1197" t="s">
        <v>3719</v>
      </c>
      <c r="C217" s="1198" t="s">
        <v>3715</v>
      </c>
      <c r="D217" s="994">
        <v>121.16</v>
      </c>
      <c r="E217" s="994">
        <v>0</v>
      </c>
      <c r="F217" s="1199"/>
      <c r="G217" s="1193"/>
      <c r="H217" s="1193"/>
    </row>
    <row r="218" spans="1:8" ht="12.75">
      <c r="A218" s="1214" t="s">
        <v>3720</v>
      </c>
      <c r="B218" s="1201" t="s">
        <v>3721</v>
      </c>
      <c r="C218" s="1202" t="s">
        <v>3715</v>
      </c>
      <c r="D218" s="998">
        <v>22.36</v>
      </c>
      <c r="E218" s="998">
        <v>0</v>
      </c>
      <c r="F218" s="1203"/>
      <c r="G218" s="1193"/>
      <c r="H218" s="1193"/>
    </row>
    <row r="219" spans="1:8" ht="12.75">
      <c r="A219" s="1215" t="s">
        <v>3722</v>
      </c>
      <c r="B219" s="1197" t="s">
        <v>3723</v>
      </c>
      <c r="C219" s="1198" t="s">
        <v>3715</v>
      </c>
      <c r="D219" s="994">
        <v>11.18</v>
      </c>
      <c r="E219" s="994">
        <v>0</v>
      </c>
      <c r="F219" s="1199"/>
      <c r="G219" s="1193"/>
      <c r="H219" s="1193"/>
    </row>
    <row r="220" spans="1:8" ht="12.75">
      <c r="A220" s="1214" t="s">
        <v>3724</v>
      </c>
      <c r="B220" s="1201" t="s">
        <v>3725</v>
      </c>
      <c r="C220" s="1202" t="s">
        <v>3715</v>
      </c>
      <c r="D220" s="998">
        <v>22.57</v>
      </c>
      <c r="E220" s="1207">
        <v>5191</v>
      </c>
      <c r="F220" s="1203"/>
      <c r="G220" s="1193"/>
      <c r="H220" s="1193"/>
    </row>
    <row r="221" spans="1:8" ht="12.75">
      <c r="A221" s="1215" t="s">
        <v>3726</v>
      </c>
      <c r="B221" s="1197" t="s">
        <v>3727</v>
      </c>
      <c r="C221" s="1198" t="s">
        <v>3715</v>
      </c>
      <c r="D221" s="994">
        <v>55.64</v>
      </c>
      <c r="E221" s="1210">
        <v>1160</v>
      </c>
      <c r="F221" s="1199"/>
      <c r="G221" s="1193"/>
      <c r="H221" s="1193"/>
    </row>
    <row r="222" spans="1:8" ht="12.75">
      <c r="A222" s="1214" t="s">
        <v>3730</v>
      </c>
      <c r="B222" s="1201" t="s">
        <v>4316</v>
      </c>
      <c r="C222" s="1202" t="s">
        <v>895</v>
      </c>
      <c r="D222" s="998">
        <v>86.32</v>
      </c>
      <c r="E222" s="1207">
        <v>8984</v>
      </c>
      <c r="F222" s="1202" t="s">
        <v>3732</v>
      </c>
      <c r="G222" s="1193"/>
      <c r="H222" s="1193"/>
    </row>
    <row r="223" spans="1:8" ht="12.75">
      <c r="A223" s="1215" t="s">
        <v>3728</v>
      </c>
      <c r="B223" s="1197" t="s">
        <v>4317</v>
      </c>
      <c r="C223" s="1198" t="s">
        <v>895</v>
      </c>
      <c r="D223" s="994">
        <v>33.799999999999997</v>
      </c>
      <c r="E223" s="994">
        <v>0</v>
      </c>
      <c r="F223" s="1199"/>
      <c r="G223" s="1193"/>
      <c r="H223" s="1193"/>
    </row>
    <row r="224" spans="1:8" ht="12.75">
      <c r="A224" s="1214" t="s">
        <v>4318</v>
      </c>
      <c r="B224" s="1201" t="s">
        <v>4319</v>
      </c>
      <c r="C224" s="1202" t="s">
        <v>657</v>
      </c>
      <c r="D224" s="1204">
        <v>2685.28</v>
      </c>
      <c r="E224" s="998">
        <v>1</v>
      </c>
      <c r="F224" s="1203"/>
      <c r="G224" s="1193"/>
      <c r="H224" s="1193"/>
    </row>
    <row r="225" spans="1:8" ht="12.75">
      <c r="A225" s="1196" t="s">
        <v>3733</v>
      </c>
      <c r="B225" s="1197" t="s">
        <v>3734</v>
      </c>
      <c r="C225" s="1197" t="s">
        <v>657</v>
      </c>
      <c r="D225" s="1007">
        <v>1892.8</v>
      </c>
      <c r="E225" s="1209">
        <v>68</v>
      </c>
      <c r="F225" s="1199"/>
      <c r="G225" s="1193"/>
      <c r="H225" s="1193"/>
    </row>
    <row r="226" spans="1:8" ht="12.75">
      <c r="A226" s="1200" t="s">
        <v>4320</v>
      </c>
      <c r="B226" s="1201" t="s">
        <v>4321</v>
      </c>
      <c r="C226" s="1201" t="s">
        <v>657</v>
      </c>
      <c r="D226" s="1002">
        <v>2685.28</v>
      </c>
      <c r="E226" s="998">
        <v>0</v>
      </c>
      <c r="F226" s="1203"/>
      <c r="G226" s="1193"/>
      <c r="H226" s="1193"/>
    </row>
    <row r="227" spans="1:8" ht="12.75">
      <c r="A227" s="1196" t="s">
        <v>3735</v>
      </c>
      <c r="B227" s="1197" t="s">
        <v>3736</v>
      </c>
      <c r="C227" s="1197" t="s">
        <v>657</v>
      </c>
      <c r="D227" s="1007">
        <v>3567.2</v>
      </c>
      <c r="E227" s="994">
        <v>0</v>
      </c>
      <c r="F227" s="1199"/>
      <c r="G227" s="1193"/>
      <c r="H227" s="1193"/>
    </row>
    <row r="228" spans="1:8" ht="12.75">
      <c r="A228" s="1200" t="s">
        <v>3737</v>
      </c>
      <c r="B228" s="1201" t="s">
        <v>3738</v>
      </c>
      <c r="C228" s="1201" t="s">
        <v>657</v>
      </c>
      <c r="D228" s="1002">
        <v>5002.3999999999996</v>
      </c>
      <c r="E228" s="998">
        <v>0</v>
      </c>
      <c r="F228" s="1203"/>
      <c r="G228" s="1193"/>
      <c r="H228" s="1193"/>
    </row>
    <row r="229" spans="1:8" ht="12.75">
      <c r="A229" s="1196" t="s">
        <v>3739</v>
      </c>
      <c r="B229" s="1197" t="s">
        <v>3740</v>
      </c>
      <c r="C229" s="1197" t="s">
        <v>657</v>
      </c>
      <c r="D229" s="1007">
        <v>5575.44</v>
      </c>
      <c r="E229" s="1209">
        <v>146</v>
      </c>
      <c r="F229" s="1199"/>
      <c r="G229" s="1193"/>
      <c r="H229" s="1193"/>
    </row>
    <row r="230" spans="1:8" ht="12.75">
      <c r="A230" s="1200" t="s">
        <v>3741</v>
      </c>
      <c r="B230" s="1201" t="s">
        <v>3742</v>
      </c>
      <c r="C230" s="1201" t="s">
        <v>657</v>
      </c>
      <c r="D230" s="1002">
        <v>3099.2</v>
      </c>
      <c r="E230" s="1211">
        <v>335</v>
      </c>
      <c r="F230" s="1203"/>
      <c r="G230" s="1193"/>
      <c r="H230" s="1193"/>
    </row>
    <row r="231" spans="1:8" ht="12.75">
      <c r="A231" s="1196" t="s">
        <v>3743</v>
      </c>
      <c r="B231" s="1197" t="s">
        <v>3744</v>
      </c>
      <c r="C231" s="1197" t="s">
        <v>657</v>
      </c>
      <c r="D231" s="1007">
        <v>3603.6</v>
      </c>
      <c r="E231" s="1209">
        <v>13</v>
      </c>
      <c r="F231" s="1199"/>
      <c r="G231" s="1193"/>
      <c r="H231" s="1193"/>
    </row>
    <row r="232" spans="1:8" ht="12.75">
      <c r="A232" s="1200" t="s">
        <v>3745</v>
      </c>
      <c r="B232" s="1201" t="s">
        <v>3746</v>
      </c>
      <c r="C232" s="1201" t="s">
        <v>657</v>
      </c>
      <c r="D232" s="1002">
        <v>6942</v>
      </c>
      <c r="E232" s="998">
        <v>0</v>
      </c>
      <c r="F232" s="1203"/>
      <c r="G232" s="1193"/>
      <c r="H232" s="1193"/>
    </row>
    <row r="233" spans="1:8" ht="12.75">
      <c r="A233" s="1196" t="s">
        <v>3747</v>
      </c>
      <c r="B233" s="1197" t="s">
        <v>3748</v>
      </c>
      <c r="C233" s="1197" t="s">
        <v>657</v>
      </c>
      <c r="D233" s="1007">
        <v>3741.92</v>
      </c>
      <c r="E233" s="1209">
        <v>105</v>
      </c>
      <c r="F233" s="1199"/>
      <c r="G233" s="1193"/>
      <c r="H233" s="1193"/>
    </row>
    <row r="234" spans="1:8" ht="12.75">
      <c r="A234" s="1200" t="s">
        <v>3749</v>
      </c>
      <c r="B234" s="1201" t="s">
        <v>3750</v>
      </c>
      <c r="C234" s="1201" t="s">
        <v>657</v>
      </c>
      <c r="D234" s="1002">
        <v>3242.72</v>
      </c>
      <c r="E234" s="998">
        <v>0</v>
      </c>
      <c r="F234" s="1203"/>
      <c r="G234" s="1193"/>
      <c r="H234" s="1193"/>
    </row>
    <row r="235" spans="1:8" ht="12.75">
      <c r="A235" s="1196" t="s">
        <v>3751</v>
      </c>
      <c r="B235" s="1197" t="s">
        <v>3752</v>
      </c>
      <c r="C235" s="1197" t="s">
        <v>657</v>
      </c>
      <c r="D235" s="1007">
        <v>2350.4</v>
      </c>
      <c r="E235" s="1209">
        <v>139</v>
      </c>
      <c r="F235" s="1199"/>
      <c r="G235" s="1193"/>
      <c r="H235" s="1193"/>
    </row>
    <row r="236" spans="1:8" ht="12.75">
      <c r="A236" s="1200" t="s">
        <v>3753</v>
      </c>
      <c r="B236" s="1201" t="s">
        <v>3754</v>
      </c>
      <c r="C236" s="1201" t="s">
        <v>657</v>
      </c>
      <c r="D236" s="1002">
        <v>2610.4</v>
      </c>
      <c r="E236" s="998">
        <v>8</v>
      </c>
      <c r="F236" s="1203"/>
      <c r="G236" s="1193"/>
      <c r="H236" s="1193"/>
    </row>
    <row r="237" spans="1:8" ht="12.75">
      <c r="A237" s="1196" t="s">
        <v>3755</v>
      </c>
      <c r="B237" s="1197" t="s">
        <v>3756</v>
      </c>
      <c r="C237" s="1197" t="s">
        <v>657</v>
      </c>
      <c r="D237" s="1007">
        <v>2610.4</v>
      </c>
      <c r="E237" s="1209">
        <v>15</v>
      </c>
      <c r="F237" s="1199"/>
      <c r="G237" s="1193"/>
      <c r="H237" s="1193"/>
    </row>
    <row r="238" spans="1:8" ht="12.75">
      <c r="A238" s="1200" t="s">
        <v>3757</v>
      </c>
      <c r="B238" s="1201" t="s">
        <v>3758</v>
      </c>
      <c r="C238" s="1201" t="s">
        <v>657</v>
      </c>
      <c r="D238" s="1002">
        <v>2610.4</v>
      </c>
      <c r="E238" s="1211">
        <v>45</v>
      </c>
      <c r="F238" s="1203"/>
      <c r="G238" s="1193"/>
      <c r="H238" s="1193"/>
    </row>
    <row r="239" spans="1:8" ht="12.75">
      <c r="A239" s="1196" t="s">
        <v>3759</v>
      </c>
      <c r="B239" s="1197" t="s">
        <v>3760</v>
      </c>
      <c r="C239" s="1197" t="s">
        <v>657</v>
      </c>
      <c r="D239" s="1007">
        <v>3192.8</v>
      </c>
      <c r="E239" s="1209">
        <v>21</v>
      </c>
      <c r="F239" s="1199"/>
      <c r="G239" s="1193"/>
      <c r="H239" s="1193"/>
    </row>
    <row r="240" spans="1:8" ht="12.75">
      <c r="A240" s="1200" t="s">
        <v>3761</v>
      </c>
      <c r="B240" s="1201" t="s">
        <v>3762</v>
      </c>
      <c r="C240" s="1201" t="s">
        <v>657</v>
      </c>
      <c r="D240" s="1002">
        <v>3083.6</v>
      </c>
      <c r="E240" s="998">
        <v>0</v>
      </c>
      <c r="F240" s="1203"/>
      <c r="G240" s="1193"/>
      <c r="H240" s="1193"/>
    </row>
    <row r="241" spans="1:8" ht="12.75">
      <c r="A241" s="1196" t="s">
        <v>3763</v>
      </c>
      <c r="B241" s="1197" t="s">
        <v>3764</v>
      </c>
      <c r="C241" s="1197" t="s">
        <v>657</v>
      </c>
      <c r="D241" s="1007">
        <v>3083.6</v>
      </c>
      <c r="E241" s="1209">
        <v>27</v>
      </c>
      <c r="F241" s="1199"/>
      <c r="G241" s="1193"/>
      <c r="H241" s="1193"/>
    </row>
    <row r="242" spans="1:8" ht="12.75">
      <c r="A242" s="1200" t="s">
        <v>3765</v>
      </c>
      <c r="B242" s="1201" t="s">
        <v>3766</v>
      </c>
      <c r="C242" s="1201" t="s">
        <v>657</v>
      </c>
      <c r="D242" s="1002">
        <v>3083.6</v>
      </c>
      <c r="E242" s="1211">
        <v>27</v>
      </c>
      <c r="F242" s="1203"/>
      <c r="G242" s="1193"/>
      <c r="H242" s="1193"/>
    </row>
    <row r="243" spans="1:8" ht="12.75">
      <c r="A243" s="1196" t="s">
        <v>3767</v>
      </c>
      <c r="B243" s="1197" t="s">
        <v>3768</v>
      </c>
      <c r="C243" s="1197" t="s">
        <v>657</v>
      </c>
      <c r="D243" s="1007">
        <v>7872.8</v>
      </c>
      <c r="E243" s="1209">
        <v>14</v>
      </c>
      <c r="F243" s="1199"/>
      <c r="G243" s="1193"/>
      <c r="H243" s="1193"/>
    </row>
    <row r="244" spans="1:8" ht="12.75">
      <c r="A244" s="1200" t="s">
        <v>3769</v>
      </c>
      <c r="B244" s="1201" t="s">
        <v>3770</v>
      </c>
      <c r="C244" s="1201" t="s">
        <v>657</v>
      </c>
      <c r="D244" s="1002">
        <v>6786</v>
      </c>
      <c r="E244" s="1211">
        <v>25</v>
      </c>
      <c r="F244" s="1203"/>
      <c r="G244" s="1193"/>
      <c r="H244" s="1193"/>
    </row>
    <row r="245" spans="1:8" ht="12.75">
      <c r="A245" s="1196" t="s">
        <v>3771</v>
      </c>
      <c r="B245" s="1197" t="s">
        <v>3772</v>
      </c>
      <c r="C245" s="1197" t="s">
        <v>657</v>
      </c>
      <c r="D245" s="1007">
        <v>10103.6</v>
      </c>
      <c r="E245" s="1209">
        <v>19</v>
      </c>
      <c r="F245" s="1199"/>
      <c r="G245" s="1193"/>
      <c r="H245" s="1193"/>
    </row>
    <row r="246" spans="1:8" ht="12.75">
      <c r="A246" s="1200" t="s">
        <v>3773</v>
      </c>
      <c r="B246" s="1201" t="s">
        <v>3774</v>
      </c>
      <c r="C246" s="1201" t="s">
        <v>657</v>
      </c>
      <c r="D246" s="1002">
        <v>10193.040000000001</v>
      </c>
      <c r="E246" s="1211">
        <v>71</v>
      </c>
      <c r="F246" s="1203"/>
      <c r="G246" s="1193"/>
      <c r="H246" s="1193"/>
    </row>
    <row r="247" spans="1:8" ht="12.75">
      <c r="A247" s="1196" t="s">
        <v>3775</v>
      </c>
      <c r="B247" s="1197" t="s">
        <v>3776</v>
      </c>
      <c r="C247" s="1197" t="s">
        <v>657</v>
      </c>
      <c r="D247" s="1007">
        <v>10103.6</v>
      </c>
      <c r="E247" s="1209">
        <v>68</v>
      </c>
      <c r="F247" s="1199"/>
      <c r="G247" s="1193"/>
      <c r="H247" s="1193"/>
    </row>
    <row r="248" spans="1:8" ht="12.75">
      <c r="A248" s="1200" t="s">
        <v>3777</v>
      </c>
      <c r="B248" s="1201" t="s">
        <v>3778</v>
      </c>
      <c r="C248" s="1201" t="s">
        <v>657</v>
      </c>
      <c r="D248" s="1002">
        <v>3837.6</v>
      </c>
      <c r="E248" s="1211">
        <v>25</v>
      </c>
      <c r="F248" s="1203"/>
      <c r="G248" s="1193"/>
      <c r="H248" s="1193"/>
    </row>
    <row r="249" spans="1:8" ht="12.75">
      <c r="A249" s="1196" t="s">
        <v>3779</v>
      </c>
      <c r="B249" s="1197" t="s">
        <v>3780</v>
      </c>
      <c r="C249" s="1197" t="s">
        <v>657</v>
      </c>
      <c r="D249" s="1007">
        <v>6011.2</v>
      </c>
      <c r="E249" s="994">
        <v>1</v>
      </c>
      <c r="F249" s="1199"/>
      <c r="G249" s="1193"/>
      <c r="H249" s="1193"/>
    </row>
    <row r="250" spans="1:8" ht="12.75">
      <c r="A250" s="1200" t="s">
        <v>3781</v>
      </c>
      <c r="B250" s="1201" t="s">
        <v>3782</v>
      </c>
      <c r="C250" s="1202" t="s">
        <v>657</v>
      </c>
      <c r="D250" s="1002">
        <v>5460</v>
      </c>
      <c r="E250" s="1211">
        <v>16</v>
      </c>
      <c r="F250" s="1203"/>
      <c r="G250" s="1193"/>
      <c r="H250" s="1193"/>
    </row>
    <row r="251" spans="1:8" ht="12.75">
      <c r="A251" s="1196" t="s">
        <v>3783</v>
      </c>
      <c r="B251" s="1197" t="s">
        <v>3784</v>
      </c>
      <c r="C251" s="1198" t="s">
        <v>657</v>
      </c>
      <c r="D251" s="1007">
        <v>6011.2</v>
      </c>
      <c r="E251" s="994">
        <v>0</v>
      </c>
      <c r="F251" s="1199"/>
      <c r="G251" s="1193"/>
      <c r="H251" s="1193"/>
    </row>
    <row r="252" spans="1:8" ht="12.75">
      <c r="A252" s="1200" t="s">
        <v>3785</v>
      </c>
      <c r="B252" s="1201" t="s">
        <v>3786</v>
      </c>
      <c r="C252" s="1202" t="s">
        <v>657</v>
      </c>
      <c r="D252" s="1002">
        <v>4050.8</v>
      </c>
      <c r="E252" s="1211">
        <v>126</v>
      </c>
      <c r="F252" s="1203"/>
      <c r="G252" s="1193"/>
      <c r="H252" s="1193"/>
    </row>
    <row r="253" spans="1:8" ht="12.75">
      <c r="A253" s="1196" t="s">
        <v>3787</v>
      </c>
      <c r="B253" s="1197" t="s">
        <v>3788</v>
      </c>
      <c r="C253" s="1198" t="s">
        <v>657</v>
      </c>
      <c r="D253" s="1007">
        <v>7332</v>
      </c>
      <c r="E253" s="1209">
        <v>59</v>
      </c>
      <c r="F253" s="1199"/>
      <c r="G253" s="1193"/>
      <c r="H253" s="1193"/>
    </row>
    <row r="254" spans="1:8" ht="12.75">
      <c r="A254" s="1200" t="s">
        <v>3789</v>
      </c>
      <c r="B254" s="1201" t="s">
        <v>3790</v>
      </c>
      <c r="C254" s="1202" t="s">
        <v>657</v>
      </c>
      <c r="D254" s="1002">
        <v>3744</v>
      </c>
      <c r="E254" s="1211">
        <v>167</v>
      </c>
      <c r="F254" s="1203"/>
      <c r="G254" s="1193"/>
      <c r="H254" s="1193"/>
    </row>
    <row r="255" spans="1:8" ht="12.75">
      <c r="A255" s="1196" t="s">
        <v>3791</v>
      </c>
      <c r="B255" s="1197" t="s">
        <v>3792</v>
      </c>
      <c r="C255" s="1198" t="s">
        <v>657</v>
      </c>
      <c r="D255" s="1007">
        <v>4680</v>
      </c>
      <c r="E255" s="1209">
        <v>217</v>
      </c>
      <c r="F255" s="1199"/>
      <c r="G255" s="1193"/>
      <c r="H255" s="1193"/>
    </row>
    <row r="256" spans="1:8" ht="12.75">
      <c r="A256" s="1200" t="s">
        <v>3793</v>
      </c>
      <c r="B256" s="1201" t="s">
        <v>3794</v>
      </c>
      <c r="C256" s="1202" t="s">
        <v>657</v>
      </c>
      <c r="D256" s="1002">
        <v>5116.8</v>
      </c>
      <c r="E256" s="1211">
        <v>59</v>
      </c>
      <c r="F256" s="1203"/>
      <c r="G256" s="1193"/>
      <c r="H256" s="1193"/>
    </row>
    <row r="257" spans="1:8" ht="12.75">
      <c r="A257" s="1196" t="s">
        <v>3795</v>
      </c>
      <c r="B257" s="1197" t="s">
        <v>3796</v>
      </c>
      <c r="C257" s="1198" t="s">
        <v>657</v>
      </c>
      <c r="D257" s="1007">
        <v>3484</v>
      </c>
      <c r="E257" s="1209">
        <v>46</v>
      </c>
      <c r="F257" s="1199"/>
      <c r="G257" s="1193"/>
      <c r="H257" s="1193"/>
    </row>
    <row r="258" spans="1:8" ht="12.75">
      <c r="A258" s="1200" t="s">
        <v>3797</v>
      </c>
      <c r="B258" s="1201" t="s">
        <v>3798</v>
      </c>
      <c r="C258" s="1202" t="s">
        <v>657</v>
      </c>
      <c r="D258" s="1002">
        <v>2689.44</v>
      </c>
      <c r="E258" s="998">
        <v>1</v>
      </c>
      <c r="F258" s="1203"/>
      <c r="G258" s="1193"/>
      <c r="H258" s="1193"/>
    </row>
    <row r="259" spans="1:8" ht="12.75">
      <c r="A259" s="1196" t="s">
        <v>3799</v>
      </c>
      <c r="B259" s="1197" t="s">
        <v>3800</v>
      </c>
      <c r="C259" s="1198" t="s">
        <v>657</v>
      </c>
      <c r="D259" s="1007">
        <v>2454.4</v>
      </c>
      <c r="E259" s="1209">
        <v>395</v>
      </c>
      <c r="F259" s="1199"/>
      <c r="G259" s="1193"/>
      <c r="H259" s="1193"/>
    </row>
    <row r="260" spans="1:8" ht="12.75">
      <c r="A260" s="1200" t="s">
        <v>3801</v>
      </c>
      <c r="B260" s="1201" t="s">
        <v>3802</v>
      </c>
      <c r="C260" s="1202" t="s">
        <v>657</v>
      </c>
      <c r="D260" s="1002">
        <v>3380</v>
      </c>
      <c r="E260" s="998">
        <v>4</v>
      </c>
      <c r="F260" s="1203"/>
      <c r="G260" s="1193"/>
      <c r="H260" s="1193"/>
    </row>
    <row r="261" spans="1:8" ht="12.75">
      <c r="A261" s="1196" t="s">
        <v>3803</v>
      </c>
      <c r="B261" s="1197" t="s">
        <v>3804</v>
      </c>
      <c r="C261" s="1198" t="s">
        <v>657</v>
      </c>
      <c r="D261" s="1007">
        <v>3289.52</v>
      </c>
      <c r="E261" s="1209">
        <v>24</v>
      </c>
      <c r="F261" s="1199"/>
      <c r="G261" s="1193"/>
      <c r="H261" s="1193"/>
    </row>
    <row r="262" spans="1:8" ht="12.75">
      <c r="A262" s="1200" t="s">
        <v>4322</v>
      </c>
      <c r="B262" s="1201" t="s">
        <v>4323</v>
      </c>
      <c r="C262" s="1202" t="s">
        <v>657</v>
      </c>
      <c r="D262" s="1002">
        <v>8304.4</v>
      </c>
      <c r="E262" s="998">
        <v>0</v>
      </c>
      <c r="F262" s="1203"/>
      <c r="G262" s="1193"/>
      <c r="H262" s="1193"/>
    </row>
    <row r="263" spans="1:8" ht="12.75">
      <c r="A263" s="1196" t="s">
        <v>4324</v>
      </c>
      <c r="B263" s="1197" t="s">
        <v>4325</v>
      </c>
      <c r="C263" s="1198" t="s">
        <v>657</v>
      </c>
      <c r="D263" s="1007">
        <v>3956.16</v>
      </c>
      <c r="E263" s="1209">
        <v>169</v>
      </c>
      <c r="F263" s="1199"/>
      <c r="G263" s="1193"/>
      <c r="H263" s="1193"/>
    </row>
    <row r="264" spans="1:8" ht="12.75">
      <c r="A264" s="1200" t="s">
        <v>3805</v>
      </c>
      <c r="B264" s="1201" t="s">
        <v>3806</v>
      </c>
      <c r="C264" s="1202" t="s">
        <v>657</v>
      </c>
      <c r="D264" s="1002">
        <v>6442.8</v>
      </c>
      <c r="E264" s="998">
        <v>1</v>
      </c>
      <c r="F264" s="1203"/>
      <c r="G264" s="1193"/>
      <c r="H264" s="1193"/>
    </row>
    <row r="265" spans="1:8" ht="12.75">
      <c r="A265" s="1196" t="s">
        <v>4326</v>
      </c>
      <c r="B265" s="1197" t="s">
        <v>4327</v>
      </c>
      <c r="C265" s="1198" t="s">
        <v>657</v>
      </c>
      <c r="D265" s="1007">
        <v>7321.14</v>
      </c>
      <c r="E265" s="994">
        <v>8</v>
      </c>
      <c r="F265" s="1199"/>
      <c r="G265" s="1193"/>
      <c r="H265" s="1193"/>
    </row>
    <row r="266" spans="1:8" ht="12.75">
      <c r="A266" s="1200" t="s">
        <v>3807</v>
      </c>
      <c r="B266" s="1201" t="s">
        <v>3808</v>
      </c>
      <c r="C266" s="1202" t="s">
        <v>657</v>
      </c>
      <c r="D266" s="1002">
        <v>4533.3599999999997</v>
      </c>
      <c r="E266" s="1211">
        <v>55</v>
      </c>
      <c r="F266" s="1203"/>
      <c r="G266" s="1193"/>
      <c r="H266" s="1193"/>
    </row>
    <row r="267" spans="1:8" ht="12.75">
      <c r="A267" s="1196" t="s">
        <v>3809</v>
      </c>
      <c r="B267" s="1197" t="s">
        <v>3810</v>
      </c>
      <c r="C267" s="1198" t="s">
        <v>657</v>
      </c>
      <c r="D267" s="1007">
        <v>4066.4</v>
      </c>
      <c r="E267" s="994">
        <v>5</v>
      </c>
      <c r="F267" s="1199"/>
      <c r="G267" s="1193"/>
      <c r="H267" s="1193"/>
    </row>
    <row r="268" spans="1:8" ht="12.75">
      <c r="A268" s="1200" t="s">
        <v>3811</v>
      </c>
      <c r="B268" s="1201" t="s">
        <v>3812</v>
      </c>
      <c r="C268" s="1202" t="s">
        <v>657</v>
      </c>
      <c r="D268" s="1002">
        <v>6760</v>
      </c>
      <c r="E268" s="1211">
        <v>14</v>
      </c>
      <c r="F268" s="1203"/>
      <c r="G268" s="1193"/>
      <c r="H268" s="1193"/>
    </row>
    <row r="269" spans="1:8" ht="12.75">
      <c r="A269" s="1196" t="s">
        <v>3813</v>
      </c>
      <c r="B269" s="1197" t="s">
        <v>3814</v>
      </c>
      <c r="C269" s="1198" t="s">
        <v>657</v>
      </c>
      <c r="D269" s="1007">
        <v>4564.5600000000004</v>
      </c>
      <c r="E269" s="1209">
        <v>67</v>
      </c>
      <c r="F269" s="1199"/>
      <c r="G269" s="1193"/>
      <c r="H269" s="1193"/>
    </row>
    <row r="270" spans="1:8" ht="12.75">
      <c r="A270" s="1200" t="s">
        <v>3815</v>
      </c>
      <c r="B270" s="1201" t="s">
        <v>3816</v>
      </c>
      <c r="C270" s="1202" t="s">
        <v>657</v>
      </c>
      <c r="D270" s="1002">
        <v>7716.8</v>
      </c>
      <c r="E270" s="1211">
        <v>106</v>
      </c>
      <c r="F270" s="1203"/>
      <c r="G270" s="1193"/>
      <c r="H270" s="1193"/>
    </row>
    <row r="271" spans="1:8" ht="12.75">
      <c r="A271" s="1196" t="s">
        <v>3817</v>
      </c>
      <c r="B271" s="1197" t="s">
        <v>3818</v>
      </c>
      <c r="C271" s="1198" t="s">
        <v>657</v>
      </c>
      <c r="D271" s="1007">
        <v>7716.8</v>
      </c>
      <c r="E271" s="1209">
        <v>93</v>
      </c>
      <c r="F271" s="1199"/>
      <c r="G271" s="1193"/>
      <c r="H271" s="1193"/>
    </row>
    <row r="272" spans="1:8" ht="12.75">
      <c r="A272" s="1200" t="s">
        <v>3819</v>
      </c>
      <c r="B272" s="1201" t="s">
        <v>3820</v>
      </c>
      <c r="C272" s="1202" t="s">
        <v>657</v>
      </c>
      <c r="D272" s="1002">
        <v>7716.8</v>
      </c>
      <c r="E272" s="1211">
        <v>92</v>
      </c>
      <c r="F272" s="1203"/>
      <c r="G272" s="1193"/>
      <c r="H272" s="1193"/>
    </row>
    <row r="273" spans="1:8" ht="12.75">
      <c r="A273" s="1196" t="s">
        <v>3821</v>
      </c>
      <c r="B273" s="1197" t="s">
        <v>3822</v>
      </c>
      <c r="C273" s="1198" t="s">
        <v>657</v>
      </c>
      <c r="D273" s="1007">
        <v>13399.36</v>
      </c>
      <c r="E273" s="994">
        <v>8</v>
      </c>
      <c r="F273" s="1199"/>
      <c r="G273" s="1193"/>
      <c r="H273" s="1193"/>
    </row>
    <row r="274" spans="1:8" ht="12.75">
      <c r="A274" s="1200" t="s">
        <v>3823</v>
      </c>
      <c r="B274" s="1201" t="s">
        <v>3824</v>
      </c>
      <c r="C274" s="1202" t="s">
        <v>657</v>
      </c>
      <c r="D274" s="1002">
        <v>2878.72</v>
      </c>
      <c r="E274" s="1211">
        <v>104</v>
      </c>
      <c r="F274" s="1203"/>
      <c r="G274" s="1193"/>
      <c r="H274" s="1193"/>
    </row>
    <row r="275" spans="1:8" ht="12.75">
      <c r="A275" s="1196" t="s">
        <v>3825</v>
      </c>
      <c r="B275" s="1197" t="s">
        <v>3826</v>
      </c>
      <c r="C275" s="1197" t="s">
        <v>657</v>
      </c>
      <c r="D275" s="1007">
        <v>5246.8</v>
      </c>
      <c r="E275" s="994">
        <v>0</v>
      </c>
      <c r="F275" s="1199"/>
      <c r="G275" s="1193"/>
      <c r="H275" s="1193"/>
    </row>
    <row r="276" spans="1:8" ht="12.75">
      <c r="A276" s="1200" t="s">
        <v>3827</v>
      </c>
      <c r="B276" s="1201" t="s">
        <v>3828</v>
      </c>
      <c r="C276" s="1201" t="s">
        <v>657</v>
      </c>
      <c r="D276" s="1002">
        <v>4690.3999999999996</v>
      </c>
      <c r="E276" s="998">
        <v>0</v>
      </c>
      <c r="F276" s="1203"/>
      <c r="G276" s="1193"/>
      <c r="H276" s="1193"/>
    </row>
    <row r="277" spans="1:8" ht="12.75">
      <c r="A277" s="1196" t="s">
        <v>3829</v>
      </c>
      <c r="B277" s="1197" t="s">
        <v>3830</v>
      </c>
      <c r="C277" s="1197" t="s">
        <v>657</v>
      </c>
      <c r="D277" s="1007">
        <v>7800</v>
      </c>
      <c r="E277" s="1209">
        <v>32</v>
      </c>
      <c r="F277" s="1199"/>
      <c r="G277" s="1193"/>
      <c r="H277" s="1193"/>
    </row>
    <row r="278" spans="1:8" ht="12.75">
      <c r="A278" s="1200" t="s">
        <v>3831</v>
      </c>
      <c r="B278" s="1201" t="s">
        <v>3832</v>
      </c>
      <c r="C278" s="1201" t="s">
        <v>657</v>
      </c>
      <c r="D278" s="1002">
        <v>3034.72</v>
      </c>
      <c r="E278" s="1211">
        <v>114</v>
      </c>
      <c r="F278" s="1203"/>
      <c r="G278" s="1193"/>
      <c r="H278" s="1193"/>
    </row>
    <row r="279" spans="1:8" ht="12.75">
      <c r="A279" s="1196" t="s">
        <v>3833</v>
      </c>
      <c r="B279" s="1197" t="s">
        <v>3834</v>
      </c>
      <c r="C279" s="1197" t="s">
        <v>657</v>
      </c>
      <c r="D279" s="1007">
        <v>3796</v>
      </c>
      <c r="E279" s="1209">
        <v>48</v>
      </c>
      <c r="F279" s="1199"/>
      <c r="G279" s="1193"/>
      <c r="H279" s="1193"/>
    </row>
    <row r="280" spans="1:8" ht="12.75">
      <c r="A280" s="1200" t="s">
        <v>3835</v>
      </c>
      <c r="B280" s="1201" t="s">
        <v>3836</v>
      </c>
      <c r="C280" s="1201" t="s">
        <v>657</v>
      </c>
      <c r="D280" s="1002">
        <v>9828</v>
      </c>
      <c r="E280" s="998">
        <v>0</v>
      </c>
      <c r="F280" s="1203"/>
      <c r="G280" s="1193"/>
      <c r="H280" s="1193"/>
    </row>
    <row r="281" spans="1:8" ht="12.75">
      <c r="A281" s="1196" t="s">
        <v>3837</v>
      </c>
      <c r="B281" s="1197" t="s">
        <v>3838</v>
      </c>
      <c r="C281" s="1197" t="s">
        <v>657</v>
      </c>
      <c r="D281" s="1007">
        <v>13728</v>
      </c>
      <c r="E281" s="1209">
        <v>19</v>
      </c>
      <c r="F281" s="1199"/>
      <c r="G281" s="1193"/>
      <c r="H281" s="1193"/>
    </row>
    <row r="282" spans="1:8" ht="12.75">
      <c r="A282" s="1200" t="s">
        <v>3839</v>
      </c>
      <c r="B282" s="1201" t="s">
        <v>3840</v>
      </c>
      <c r="C282" s="1201" t="s">
        <v>657</v>
      </c>
      <c r="D282" s="1002">
        <v>2574</v>
      </c>
      <c r="E282" s="1211">
        <v>160</v>
      </c>
      <c r="F282" s="1203"/>
      <c r="G282" s="1193"/>
      <c r="H282" s="1193"/>
    </row>
    <row r="283" spans="1:8" ht="12.75">
      <c r="A283" s="1196" t="s">
        <v>3841</v>
      </c>
      <c r="B283" s="1197" t="s">
        <v>3842</v>
      </c>
      <c r="C283" s="1197" t="s">
        <v>657</v>
      </c>
      <c r="D283" s="1007">
        <v>2652</v>
      </c>
      <c r="E283" s="1209">
        <v>193</v>
      </c>
      <c r="F283" s="1199"/>
      <c r="G283" s="1193"/>
      <c r="H283" s="1193"/>
    </row>
    <row r="284" spans="1:8" ht="12.75">
      <c r="A284" s="1200" t="s">
        <v>3843</v>
      </c>
      <c r="B284" s="1201" t="s">
        <v>3844</v>
      </c>
      <c r="C284" s="1201" t="s">
        <v>657</v>
      </c>
      <c r="D284" s="1002">
        <v>2652</v>
      </c>
      <c r="E284" s="1211">
        <v>196</v>
      </c>
      <c r="F284" s="1203"/>
      <c r="G284" s="1193"/>
      <c r="H284" s="1193"/>
    </row>
    <row r="285" spans="1:8" ht="12.75">
      <c r="A285" s="1196" t="s">
        <v>3845</v>
      </c>
      <c r="B285" s="1197" t="s">
        <v>3846</v>
      </c>
      <c r="C285" s="1197" t="s">
        <v>657</v>
      </c>
      <c r="D285" s="1007">
        <v>2652</v>
      </c>
      <c r="E285" s="1209">
        <v>209</v>
      </c>
      <c r="F285" s="1199"/>
      <c r="G285" s="1193"/>
      <c r="H285" s="1193"/>
    </row>
    <row r="286" spans="1:8" ht="12.75">
      <c r="A286" s="1200" t="s">
        <v>3847</v>
      </c>
      <c r="B286" s="1201" t="s">
        <v>3848</v>
      </c>
      <c r="C286" s="1201" t="s">
        <v>657</v>
      </c>
      <c r="D286" s="1002">
        <v>7030.4</v>
      </c>
      <c r="E286" s="1211">
        <v>95</v>
      </c>
      <c r="F286" s="1203"/>
      <c r="G286" s="1193"/>
      <c r="H286" s="1193"/>
    </row>
    <row r="287" spans="1:8" ht="12.75">
      <c r="A287" s="1196" t="s">
        <v>3849</v>
      </c>
      <c r="B287" s="1197" t="s">
        <v>3850</v>
      </c>
      <c r="C287" s="1197" t="s">
        <v>657</v>
      </c>
      <c r="D287" s="1007">
        <v>8814</v>
      </c>
      <c r="E287" s="1209">
        <v>49</v>
      </c>
      <c r="F287" s="1199"/>
      <c r="G287" s="1193"/>
      <c r="H287" s="1193"/>
    </row>
    <row r="288" spans="1:8" ht="12.75">
      <c r="A288" s="1200" t="s">
        <v>3851</v>
      </c>
      <c r="B288" s="1201" t="s">
        <v>3852</v>
      </c>
      <c r="C288" s="1201" t="s">
        <v>657</v>
      </c>
      <c r="D288" s="1002">
        <v>8814</v>
      </c>
      <c r="E288" s="1211">
        <v>49</v>
      </c>
      <c r="F288" s="1203"/>
      <c r="G288" s="1193"/>
      <c r="H288" s="1193"/>
    </row>
    <row r="289" spans="1:8" ht="12.75">
      <c r="A289" s="1196" t="s">
        <v>3853</v>
      </c>
      <c r="B289" s="1197" t="s">
        <v>3854</v>
      </c>
      <c r="C289" s="1197" t="s">
        <v>657</v>
      </c>
      <c r="D289" s="1007">
        <v>8814</v>
      </c>
      <c r="E289" s="1209">
        <v>49</v>
      </c>
      <c r="F289" s="1199"/>
      <c r="G289" s="1193"/>
      <c r="H289" s="1193"/>
    </row>
    <row r="290" spans="1:8" ht="12.75">
      <c r="A290" s="1200" t="s">
        <v>3855</v>
      </c>
      <c r="B290" s="1201" t="s">
        <v>3856</v>
      </c>
      <c r="C290" s="1201" t="s">
        <v>657</v>
      </c>
      <c r="D290" s="1002">
        <v>3099.2</v>
      </c>
      <c r="E290" s="1211">
        <v>178</v>
      </c>
      <c r="F290" s="1203"/>
      <c r="G290" s="1193"/>
      <c r="H290" s="1193"/>
    </row>
    <row r="291" spans="1:8" ht="12.75">
      <c r="A291" s="1196" t="s">
        <v>3857</v>
      </c>
      <c r="B291" s="1197" t="s">
        <v>3858</v>
      </c>
      <c r="C291" s="1197" t="s">
        <v>657</v>
      </c>
      <c r="D291" s="1007">
        <v>3660.8</v>
      </c>
      <c r="E291" s="1209">
        <v>188</v>
      </c>
      <c r="F291" s="1199"/>
      <c r="G291" s="1193"/>
      <c r="H291" s="1193"/>
    </row>
    <row r="292" spans="1:8" ht="12.75">
      <c r="A292" s="1200" t="s">
        <v>3859</v>
      </c>
      <c r="B292" s="1201" t="s">
        <v>3860</v>
      </c>
      <c r="C292" s="1201" t="s">
        <v>657</v>
      </c>
      <c r="D292" s="1002">
        <v>3660.8</v>
      </c>
      <c r="E292" s="1211">
        <v>188</v>
      </c>
      <c r="F292" s="1203"/>
      <c r="G292" s="1193"/>
      <c r="H292" s="1193"/>
    </row>
    <row r="293" spans="1:8" ht="12.75">
      <c r="A293" s="1196" t="s">
        <v>3861</v>
      </c>
      <c r="B293" s="1197" t="s">
        <v>3862</v>
      </c>
      <c r="C293" s="1197" t="s">
        <v>657</v>
      </c>
      <c r="D293" s="1007">
        <v>3660.8</v>
      </c>
      <c r="E293" s="1209">
        <v>188</v>
      </c>
      <c r="F293" s="1199"/>
      <c r="G293" s="1193"/>
      <c r="H293" s="1193"/>
    </row>
    <row r="294" spans="1:8" ht="12.75">
      <c r="A294" s="1200" t="s">
        <v>3863</v>
      </c>
      <c r="B294" s="1201" t="s">
        <v>3864</v>
      </c>
      <c r="C294" s="1201" t="s">
        <v>657</v>
      </c>
      <c r="D294" s="1002">
        <v>3900</v>
      </c>
      <c r="E294" s="998">
        <v>0</v>
      </c>
      <c r="F294" s="1203"/>
      <c r="G294" s="1193"/>
      <c r="H294" s="1193"/>
    </row>
    <row r="295" spans="1:8" ht="12.75">
      <c r="A295" s="1196" t="s">
        <v>3865</v>
      </c>
      <c r="B295" s="1197" t="s">
        <v>3866</v>
      </c>
      <c r="C295" s="1197" t="s">
        <v>657</v>
      </c>
      <c r="D295" s="1007">
        <v>6848.4</v>
      </c>
      <c r="E295" s="994">
        <v>1</v>
      </c>
      <c r="F295" s="1199"/>
      <c r="G295" s="1193"/>
      <c r="H295" s="1193"/>
    </row>
    <row r="296" spans="1:8" ht="12.75">
      <c r="A296" s="1200" t="s">
        <v>3867</v>
      </c>
      <c r="B296" s="1201" t="s">
        <v>3868</v>
      </c>
      <c r="C296" s="1201" t="s">
        <v>657</v>
      </c>
      <c r="D296" s="1002">
        <v>5038.8</v>
      </c>
      <c r="E296" s="998">
        <v>0</v>
      </c>
      <c r="F296" s="1203"/>
      <c r="G296" s="1193"/>
      <c r="H296" s="1193"/>
    </row>
    <row r="297" spans="1:8" ht="12.75">
      <c r="A297" s="1196" t="s">
        <v>3869</v>
      </c>
      <c r="B297" s="1197" t="s">
        <v>3870</v>
      </c>
      <c r="C297" s="1197" t="s">
        <v>657</v>
      </c>
      <c r="D297" s="1007">
        <v>8522</v>
      </c>
      <c r="E297" s="994">
        <v>4</v>
      </c>
      <c r="F297" s="1199"/>
      <c r="G297" s="1193"/>
      <c r="H297" s="1193"/>
    </row>
    <row r="298" spans="1:8" ht="12.75">
      <c r="A298" s="1200" t="s">
        <v>3871</v>
      </c>
      <c r="B298" s="1201" t="s">
        <v>3872</v>
      </c>
      <c r="C298" s="1201" t="s">
        <v>657</v>
      </c>
      <c r="D298" s="1002">
        <v>5460</v>
      </c>
      <c r="E298" s="998">
        <v>0</v>
      </c>
      <c r="F298" s="1203"/>
      <c r="G298" s="1193"/>
      <c r="H298" s="1193"/>
    </row>
    <row r="299" spans="1:8" ht="12.75">
      <c r="A299" s="1196" t="s">
        <v>3873</v>
      </c>
      <c r="B299" s="1197" t="s">
        <v>3874</v>
      </c>
      <c r="C299" s="1197" t="s">
        <v>657</v>
      </c>
      <c r="D299" s="1007">
        <v>8522.7999999999993</v>
      </c>
      <c r="E299" s="994">
        <v>5</v>
      </c>
      <c r="F299" s="1199"/>
      <c r="G299" s="1193"/>
      <c r="H299" s="1193"/>
    </row>
    <row r="300" spans="1:8" ht="12.75">
      <c r="A300" s="1206" t="s">
        <v>3875</v>
      </c>
      <c r="B300" s="1201" t="s">
        <v>3876</v>
      </c>
      <c r="C300" s="1201" t="s">
        <v>657</v>
      </c>
      <c r="D300" s="1204">
        <v>5038.8</v>
      </c>
      <c r="E300" s="998">
        <v>0</v>
      </c>
      <c r="F300" s="1203"/>
      <c r="G300" s="1193"/>
      <c r="H300" s="1193"/>
    </row>
    <row r="301" spans="1:8" ht="12.75">
      <c r="A301" s="1208" t="s">
        <v>3877</v>
      </c>
      <c r="B301" s="1197" t="s">
        <v>3878</v>
      </c>
      <c r="C301" s="1197" t="s">
        <v>657</v>
      </c>
      <c r="D301" s="1008">
        <v>8522.7999999999993</v>
      </c>
      <c r="E301" s="994">
        <v>10</v>
      </c>
      <c r="F301" s="1199"/>
      <c r="G301" s="1193"/>
      <c r="H301" s="1193"/>
    </row>
    <row r="302" spans="1:8" ht="12.75">
      <c r="A302" s="1206" t="s">
        <v>3879</v>
      </c>
      <c r="B302" s="1201" t="s">
        <v>4255</v>
      </c>
      <c r="C302" s="1201" t="s">
        <v>895</v>
      </c>
      <c r="D302" s="998">
        <v>144.04</v>
      </c>
      <c r="E302" s="1207">
        <v>3804</v>
      </c>
      <c r="F302" s="1202" t="s">
        <v>3881</v>
      </c>
      <c r="G302" s="1193"/>
      <c r="H302" s="1193"/>
    </row>
    <row r="303" spans="1:8" ht="12.75">
      <c r="A303" s="1208" t="s">
        <v>3882</v>
      </c>
      <c r="B303" s="1197" t="s">
        <v>3883</v>
      </c>
      <c r="C303" s="1197" t="s">
        <v>3715</v>
      </c>
      <c r="D303" s="994">
        <v>66.62</v>
      </c>
      <c r="E303" s="994">
        <v>0</v>
      </c>
      <c r="F303" s="1199"/>
      <c r="G303" s="1193"/>
      <c r="H303" s="1193"/>
    </row>
    <row r="304" spans="1:8" ht="12.75">
      <c r="A304" s="1206" t="s">
        <v>3884</v>
      </c>
      <c r="B304" s="1201" t="s">
        <v>4328</v>
      </c>
      <c r="C304" s="1201" t="s">
        <v>601</v>
      </c>
      <c r="D304" s="998">
        <v>31.91</v>
      </c>
      <c r="E304" s="1207">
        <v>1213</v>
      </c>
      <c r="F304" s="1203"/>
      <c r="G304" s="1193"/>
      <c r="H304" s="1193"/>
    </row>
    <row r="305" spans="1:8" ht="12.75">
      <c r="A305" s="1208" t="s">
        <v>3886</v>
      </c>
      <c r="B305" s="1197" t="s">
        <v>3887</v>
      </c>
      <c r="C305" s="1197" t="s">
        <v>895</v>
      </c>
      <c r="D305" s="994">
        <v>161.19999999999999</v>
      </c>
      <c r="E305" s="1209">
        <v>242</v>
      </c>
      <c r="F305" s="1198" t="s">
        <v>3888</v>
      </c>
      <c r="G305" s="1193"/>
      <c r="H305" s="1193"/>
    </row>
  </sheetData>
  <mergeCells count="4">
    <mergeCell ref="A2:G2"/>
    <mergeCell ref="A3:G3"/>
    <mergeCell ref="A4:G4"/>
    <mergeCell ref="A5:G5"/>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X47"/>
  <sheetViews>
    <sheetView showGridLines="0" workbookViewId="0"/>
  </sheetViews>
  <sheetFormatPr defaultColWidth="12.5703125" defaultRowHeight="15.75" customHeight="1"/>
  <cols>
    <col min="1" max="1" width="8.42578125" customWidth="1"/>
    <col min="2" max="2" width="6.42578125" customWidth="1"/>
    <col min="3" max="3" width="19" customWidth="1"/>
    <col min="4" max="4" width="10.85546875" customWidth="1"/>
    <col min="5" max="5" width="11.140625" customWidth="1"/>
    <col min="6" max="6" width="9.42578125" customWidth="1"/>
    <col min="7" max="7" width="10.42578125" customWidth="1"/>
    <col min="8" max="8" width="8.140625" customWidth="1"/>
    <col min="9" max="9" width="10" customWidth="1"/>
    <col min="10" max="10" width="14.5703125" customWidth="1"/>
  </cols>
  <sheetData>
    <row r="1" spans="1:24" ht="14.25">
      <c r="A1" s="1216"/>
      <c r="B1" s="1217"/>
      <c r="C1" s="1216"/>
      <c r="D1" s="1216"/>
      <c r="E1" s="1216"/>
      <c r="F1" s="1216"/>
      <c r="G1" s="1216"/>
      <c r="H1" s="1216"/>
      <c r="I1" s="1216"/>
      <c r="J1" s="1216"/>
      <c r="K1" s="1216"/>
    </row>
    <row r="2" spans="1:24" ht="14.25">
      <c r="A2" s="1216"/>
      <c r="B2" s="1216"/>
      <c r="C2" s="1216"/>
      <c r="D2" s="1216"/>
      <c r="E2" s="1216"/>
      <c r="F2" s="1216"/>
      <c r="G2" s="1216"/>
      <c r="H2" s="1216"/>
      <c r="I2" s="1216"/>
      <c r="J2" s="1216"/>
      <c r="K2" s="1216"/>
    </row>
    <row r="3" spans="1:24" ht="14.25">
      <c r="A3" s="1216"/>
      <c r="B3" s="1216"/>
      <c r="C3" s="1216"/>
      <c r="D3" s="1216"/>
      <c r="E3" s="1216"/>
      <c r="F3" s="1216"/>
      <c r="G3" s="1216"/>
      <c r="H3" s="1216"/>
      <c r="I3" s="1216"/>
      <c r="J3" s="1216"/>
      <c r="K3" s="1216"/>
    </row>
    <row r="4" spans="1:24" ht="14.25">
      <c r="A4" s="1216"/>
      <c r="B4" s="1216"/>
      <c r="C4" s="1216"/>
      <c r="D4" s="1216"/>
      <c r="E4" s="1216"/>
      <c r="F4" s="1216"/>
      <c r="G4" s="1216"/>
      <c r="H4" s="1216"/>
      <c r="I4" s="1216"/>
      <c r="J4" s="1216"/>
      <c r="K4" s="1216"/>
    </row>
    <row r="5" spans="1:24" ht="14.25">
      <c r="A5" s="1216"/>
      <c r="B5" s="1216"/>
      <c r="C5" s="1216"/>
      <c r="D5" s="1216"/>
      <c r="E5" s="1216"/>
      <c r="F5" s="1216"/>
      <c r="G5" s="1216"/>
      <c r="H5" s="1216"/>
      <c r="I5" s="1216"/>
      <c r="J5" s="1216"/>
      <c r="K5" s="1216"/>
    </row>
    <row r="6" spans="1:24" ht="15.75" customHeight="1">
      <c r="A6" s="1581" t="s">
        <v>4329</v>
      </c>
      <c r="B6" s="1451"/>
      <c r="C6" s="1451"/>
      <c r="D6" s="1451"/>
      <c r="E6" s="1451"/>
      <c r="F6" s="1451"/>
      <c r="G6" s="1451"/>
      <c r="H6" s="1451"/>
      <c r="I6" s="1451"/>
      <c r="J6" s="1451"/>
      <c r="K6" s="1216"/>
    </row>
    <row r="7" spans="1:24" ht="14.25">
      <c r="A7" s="1216"/>
      <c r="B7" s="1216"/>
      <c r="C7" s="1216"/>
      <c r="D7" s="1216"/>
      <c r="E7" s="1216"/>
      <c r="F7" s="1216"/>
      <c r="G7" s="1216"/>
      <c r="H7" s="1216"/>
      <c r="I7" s="1216"/>
      <c r="J7" s="1216"/>
      <c r="K7" s="1216"/>
    </row>
    <row r="8" spans="1:24" ht="14.25">
      <c r="A8" s="1216"/>
      <c r="B8" s="1216"/>
      <c r="C8" s="1216"/>
      <c r="D8" s="1216"/>
      <c r="E8" s="1216"/>
      <c r="F8" s="1216"/>
      <c r="G8" s="1216"/>
      <c r="H8" s="1216"/>
      <c r="I8" s="1216"/>
      <c r="J8" s="1216"/>
      <c r="K8" s="1216"/>
    </row>
    <row r="9" spans="1:24" ht="15">
      <c r="A9" s="1582" t="s">
        <v>4330</v>
      </c>
      <c r="B9" s="1507"/>
      <c r="C9" s="1507"/>
      <c r="D9" s="1507"/>
      <c r="E9" s="1507"/>
      <c r="F9" s="1216"/>
      <c r="G9" s="1582" t="s">
        <v>4331</v>
      </c>
      <c r="H9" s="1507"/>
      <c r="I9" s="1507"/>
      <c r="J9" s="1507"/>
      <c r="K9" s="1216"/>
    </row>
    <row r="10" spans="1:24" ht="15">
      <c r="A10" s="1218" t="s">
        <v>4332</v>
      </c>
      <c r="B10" s="1583" t="s">
        <v>4333</v>
      </c>
      <c r="C10" s="1442"/>
      <c r="D10" s="1442"/>
      <c r="E10" s="1442"/>
      <c r="F10" s="1219"/>
      <c r="G10" s="1584" t="s">
        <v>4334</v>
      </c>
      <c r="H10" s="1479"/>
      <c r="I10" s="1479"/>
      <c r="J10" s="1438"/>
      <c r="K10" s="1216"/>
    </row>
    <row r="11" spans="1:24" ht="15">
      <c r="A11" s="1220" t="s">
        <v>4335</v>
      </c>
      <c r="B11" s="1583" t="s">
        <v>2642</v>
      </c>
      <c r="C11" s="1442"/>
      <c r="D11" s="1442"/>
      <c r="E11" s="1442"/>
      <c r="F11" s="1221"/>
      <c r="G11" s="1582" t="s">
        <v>4336</v>
      </c>
      <c r="H11" s="1507"/>
      <c r="I11" s="1507"/>
      <c r="J11" s="1440"/>
      <c r="K11" s="1216"/>
    </row>
    <row r="12" spans="1:24" ht="14.25">
      <c r="A12" s="1585" t="s">
        <v>4337</v>
      </c>
      <c r="B12" s="1442"/>
      <c r="C12" s="1442"/>
      <c r="D12" s="1442"/>
      <c r="E12" s="1442"/>
      <c r="F12" s="1443"/>
      <c r="G12" s="1586" t="s">
        <v>4338</v>
      </c>
      <c r="H12" s="1443"/>
      <c r="I12" s="1586" t="s">
        <v>4339</v>
      </c>
      <c r="J12" s="1443"/>
      <c r="K12" s="1216"/>
    </row>
    <row r="13" spans="1:24" ht="15">
      <c r="A13" s="1222" t="s">
        <v>4340</v>
      </c>
      <c r="B13" s="1223" t="s">
        <v>92</v>
      </c>
      <c r="C13" s="1587" t="s">
        <v>2</v>
      </c>
      <c r="D13" s="1442"/>
      <c r="E13" s="1443"/>
      <c r="F13" s="1224" t="s">
        <v>278</v>
      </c>
      <c r="G13" s="1224" t="s">
        <v>4341</v>
      </c>
      <c r="H13" s="1225" t="s">
        <v>4342</v>
      </c>
      <c r="I13" s="1223" t="s">
        <v>278</v>
      </c>
      <c r="J13" s="1223" t="s">
        <v>280</v>
      </c>
      <c r="K13" s="1216"/>
    </row>
    <row r="14" spans="1:24" ht="15.75" customHeight="1">
      <c r="A14" s="1226">
        <v>1</v>
      </c>
      <c r="B14" s="1227" t="s">
        <v>103</v>
      </c>
      <c r="C14" s="1588" t="s">
        <v>4343</v>
      </c>
      <c r="D14" s="1442"/>
      <c r="E14" s="1443"/>
      <c r="F14" s="1228">
        <v>5</v>
      </c>
      <c r="G14" s="1229"/>
      <c r="H14" s="1230"/>
      <c r="I14" s="1229"/>
      <c r="J14" s="1231"/>
      <c r="K14" s="1232"/>
      <c r="L14" s="8"/>
      <c r="M14" s="8"/>
      <c r="N14" s="8"/>
      <c r="O14" s="8"/>
      <c r="P14" s="8"/>
      <c r="Q14" s="8"/>
      <c r="R14" s="8"/>
      <c r="S14" s="8"/>
      <c r="T14" s="8"/>
      <c r="U14" s="8"/>
      <c r="V14" s="8"/>
      <c r="W14" s="8"/>
      <c r="X14" s="8"/>
    </row>
    <row r="15" spans="1:24" ht="15.75" customHeight="1">
      <c r="A15" s="1226">
        <v>2</v>
      </c>
      <c r="B15" s="1227" t="s">
        <v>103</v>
      </c>
      <c r="C15" s="1588" t="s">
        <v>4344</v>
      </c>
      <c r="D15" s="1442"/>
      <c r="E15" s="1443"/>
      <c r="F15" s="1233">
        <v>3</v>
      </c>
      <c r="G15" s="1231"/>
      <c r="H15" s="1230"/>
      <c r="I15" s="1229"/>
      <c r="J15" s="1231"/>
      <c r="K15" s="1232"/>
      <c r="L15" s="8"/>
      <c r="M15" s="8"/>
      <c r="N15" s="8"/>
      <c r="O15" s="8"/>
      <c r="P15" s="8"/>
      <c r="Q15" s="8"/>
      <c r="R15" s="8"/>
      <c r="S15" s="8"/>
      <c r="T15" s="8"/>
      <c r="U15" s="8"/>
      <c r="V15" s="8"/>
      <c r="W15" s="8"/>
      <c r="X15" s="8"/>
    </row>
    <row r="16" spans="1:24" ht="15.75" customHeight="1">
      <c r="A16" s="1226">
        <v>3</v>
      </c>
      <c r="B16" s="1227" t="s">
        <v>103</v>
      </c>
      <c r="C16" s="1588" t="s">
        <v>4345</v>
      </c>
      <c r="D16" s="1442"/>
      <c r="E16" s="1443"/>
      <c r="F16" s="1233">
        <v>3</v>
      </c>
      <c r="G16" s="1231"/>
      <c r="H16" s="1230"/>
      <c r="I16" s="1229"/>
      <c r="J16" s="1231"/>
      <c r="K16" s="1232"/>
      <c r="L16" s="8"/>
      <c r="M16" s="8"/>
      <c r="N16" s="8"/>
      <c r="O16" s="8"/>
      <c r="P16" s="8"/>
      <c r="Q16" s="8"/>
      <c r="R16" s="8"/>
      <c r="S16" s="8"/>
      <c r="T16" s="8"/>
      <c r="U16" s="8"/>
      <c r="V16" s="8"/>
      <c r="W16" s="8"/>
      <c r="X16" s="8"/>
    </row>
    <row r="17" spans="1:24" ht="15.75" customHeight="1">
      <c r="A17" s="1226">
        <v>4</v>
      </c>
      <c r="B17" s="1227" t="s">
        <v>103</v>
      </c>
      <c r="C17" s="1588" t="s">
        <v>4346</v>
      </c>
      <c r="D17" s="1442"/>
      <c r="E17" s="1443"/>
      <c r="F17" s="1233">
        <v>10</v>
      </c>
      <c r="G17" s="1231"/>
      <c r="H17" s="1230"/>
      <c r="I17" s="1229"/>
      <c r="J17" s="1231"/>
      <c r="K17" s="1232"/>
      <c r="L17" s="8"/>
      <c r="M17" s="8"/>
      <c r="N17" s="8"/>
      <c r="O17" s="8"/>
      <c r="P17" s="8"/>
      <c r="Q17" s="8"/>
      <c r="R17" s="8"/>
      <c r="S17" s="8"/>
      <c r="T17" s="8"/>
      <c r="U17" s="8"/>
      <c r="V17" s="8"/>
      <c r="W17" s="8"/>
      <c r="X17" s="8"/>
    </row>
    <row r="18" spans="1:24" ht="15.75" customHeight="1">
      <c r="A18" s="1226">
        <v>5</v>
      </c>
      <c r="B18" s="1227" t="s">
        <v>103</v>
      </c>
      <c r="C18" s="1588" t="s">
        <v>4347</v>
      </c>
      <c r="D18" s="1442"/>
      <c r="E18" s="1443"/>
      <c r="F18" s="1233">
        <v>1</v>
      </c>
      <c r="G18" s="1231"/>
      <c r="H18" s="1230"/>
      <c r="I18" s="1229"/>
      <c r="J18" s="1231"/>
      <c r="K18" s="1232"/>
      <c r="L18" s="8"/>
      <c r="M18" s="8"/>
      <c r="N18" s="8"/>
      <c r="O18" s="8"/>
      <c r="P18" s="8"/>
      <c r="Q18" s="8"/>
      <c r="R18" s="8"/>
      <c r="S18" s="8"/>
      <c r="T18" s="8"/>
      <c r="U18" s="8"/>
      <c r="V18" s="8"/>
      <c r="W18" s="8"/>
      <c r="X18" s="8"/>
    </row>
    <row r="19" spans="1:24" ht="15.75" customHeight="1">
      <c r="A19" s="1226"/>
      <c r="B19" s="1227"/>
      <c r="C19" s="1589" t="s">
        <v>4348</v>
      </c>
      <c r="D19" s="1507"/>
      <c r="E19" s="1440"/>
      <c r="F19" s="1234"/>
      <c r="G19" s="1231"/>
      <c r="H19" s="1230"/>
      <c r="I19" s="1229"/>
      <c r="J19" s="1231"/>
      <c r="K19" s="1232"/>
      <c r="L19" s="8"/>
      <c r="M19" s="8"/>
      <c r="N19" s="8"/>
      <c r="O19" s="8"/>
      <c r="P19" s="8"/>
      <c r="Q19" s="8"/>
      <c r="R19" s="8"/>
      <c r="S19" s="8"/>
      <c r="T19" s="8"/>
      <c r="U19" s="8"/>
      <c r="V19" s="8"/>
      <c r="W19" s="8"/>
      <c r="X19" s="8"/>
    </row>
    <row r="20" spans="1:24" ht="15.75" customHeight="1">
      <c r="A20" s="1226"/>
      <c r="B20" s="1227"/>
      <c r="C20" s="1589"/>
      <c r="D20" s="1507"/>
      <c r="E20" s="1440"/>
      <c r="F20" s="1234"/>
      <c r="G20" s="1231"/>
      <c r="H20" s="1230"/>
      <c r="I20" s="1229"/>
      <c r="J20" s="1231"/>
      <c r="K20" s="1232"/>
      <c r="L20" s="8"/>
      <c r="M20" s="8"/>
      <c r="N20" s="8"/>
      <c r="O20" s="8"/>
      <c r="P20" s="8"/>
      <c r="Q20" s="8"/>
      <c r="R20" s="8"/>
      <c r="S20" s="8"/>
      <c r="T20" s="8"/>
      <c r="U20" s="8"/>
      <c r="V20" s="8"/>
      <c r="W20" s="8"/>
      <c r="X20" s="8"/>
    </row>
    <row r="21" spans="1:24" ht="15.75" customHeight="1">
      <c r="A21" s="1226"/>
      <c r="B21" s="1227"/>
      <c r="C21" s="1590"/>
      <c r="D21" s="1507"/>
      <c r="E21" s="1440"/>
      <c r="F21" s="1234"/>
      <c r="G21" s="1231"/>
      <c r="H21" s="1230"/>
      <c r="I21" s="1229"/>
      <c r="J21" s="1231"/>
      <c r="K21" s="1232"/>
      <c r="L21" s="8"/>
      <c r="M21" s="8"/>
      <c r="N21" s="8"/>
      <c r="O21" s="8"/>
      <c r="P21" s="8"/>
      <c r="Q21" s="8"/>
      <c r="R21" s="8"/>
      <c r="S21" s="8"/>
      <c r="T21" s="8"/>
      <c r="U21" s="8"/>
      <c r="V21" s="8"/>
      <c r="W21" s="8"/>
      <c r="X21" s="8"/>
    </row>
    <row r="22" spans="1:24" ht="15.75" customHeight="1">
      <c r="A22" s="1226"/>
      <c r="B22" s="1227"/>
      <c r="C22" s="1590"/>
      <c r="D22" s="1507"/>
      <c r="E22" s="1440"/>
      <c r="F22" s="1234"/>
      <c r="G22" s="1231"/>
      <c r="H22" s="1230"/>
      <c r="I22" s="1229"/>
      <c r="J22" s="1231"/>
      <c r="K22" s="1232"/>
      <c r="L22" s="8"/>
      <c r="M22" s="8"/>
      <c r="N22" s="8"/>
      <c r="O22" s="8"/>
      <c r="P22" s="8"/>
      <c r="Q22" s="8"/>
      <c r="R22" s="8"/>
      <c r="S22" s="8"/>
      <c r="T22" s="8"/>
      <c r="U22" s="8"/>
      <c r="V22" s="8"/>
      <c r="W22" s="8"/>
      <c r="X22" s="8"/>
    </row>
    <row r="23" spans="1:24" ht="15.75" customHeight="1">
      <c r="A23" s="1226"/>
      <c r="B23" s="1227"/>
      <c r="C23" s="1590"/>
      <c r="D23" s="1507"/>
      <c r="E23" s="1440"/>
      <c r="F23" s="1234"/>
      <c r="G23" s="1231"/>
      <c r="H23" s="1230"/>
      <c r="I23" s="1229"/>
      <c r="J23" s="1231"/>
      <c r="K23" s="1232"/>
      <c r="L23" s="8"/>
      <c r="M23" s="8"/>
      <c r="N23" s="8"/>
      <c r="O23" s="8"/>
      <c r="P23" s="8"/>
      <c r="Q23" s="8"/>
      <c r="R23" s="8"/>
      <c r="S23" s="8"/>
      <c r="T23" s="8"/>
      <c r="U23" s="8"/>
      <c r="V23" s="8"/>
      <c r="W23" s="8"/>
      <c r="X23" s="8"/>
    </row>
    <row r="24" spans="1:24" ht="15.75" customHeight="1">
      <c r="A24" s="1226"/>
      <c r="B24" s="1227"/>
      <c r="C24" s="1590"/>
      <c r="D24" s="1507"/>
      <c r="E24" s="1440"/>
      <c r="F24" s="1234"/>
      <c r="G24" s="1231"/>
      <c r="H24" s="1230"/>
      <c r="I24" s="1229"/>
      <c r="J24" s="1231"/>
      <c r="K24" s="1232"/>
      <c r="L24" s="8"/>
      <c r="M24" s="8"/>
      <c r="N24" s="8"/>
      <c r="O24" s="8"/>
      <c r="P24" s="8"/>
      <c r="Q24" s="8"/>
      <c r="R24" s="8"/>
      <c r="S24" s="8"/>
      <c r="T24" s="8"/>
      <c r="U24" s="8"/>
      <c r="V24" s="8"/>
      <c r="W24" s="8"/>
      <c r="X24" s="8"/>
    </row>
    <row r="25" spans="1:24" ht="15.75" customHeight="1">
      <c r="A25" s="1226"/>
      <c r="B25" s="1227"/>
      <c r="C25" s="1590"/>
      <c r="D25" s="1507"/>
      <c r="E25" s="1440"/>
      <c r="F25" s="1234"/>
      <c r="G25" s="1231"/>
      <c r="H25" s="1230"/>
      <c r="I25" s="1229"/>
      <c r="J25" s="1231"/>
      <c r="K25" s="1232"/>
      <c r="L25" s="8"/>
      <c r="M25" s="8"/>
      <c r="N25" s="8"/>
      <c r="O25" s="8"/>
      <c r="P25" s="8"/>
      <c r="Q25" s="8"/>
      <c r="R25" s="8"/>
      <c r="S25" s="8"/>
      <c r="T25" s="8"/>
      <c r="U25" s="8"/>
      <c r="V25" s="8"/>
      <c r="W25" s="8"/>
      <c r="X25" s="8"/>
    </row>
    <row r="26" spans="1:24" ht="15.75" customHeight="1">
      <c r="A26" s="1226"/>
      <c r="B26" s="1227"/>
      <c r="C26" s="1590"/>
      <c r="D26" s="1507"/>
      <c r="E26" s="1440"/>
      <c r="F26" s="1234"/>
      <c r="G26" s="1231"/>
      <c r="H26" s="1230"/>
      <c r="I26" s="1229"/>
      <c r="J26" s="1231"/>
      <c r="K26" s="1232"/>
      <c r="L26" s="8"/>
      <c r="M26" s="8"/>
      <c r="N26" s="8"/>
      <c r="O26" s="8"/>
      <c r="P26" s="8"/>
      <c r="Q26" s="8"/>
      <c r="R26" s="8"/>
      <c r="S26" s="8"/>
      <c r="T26" s="8"/>
      <c r="U26" s="8"/>
      <c r="V26" s="8"/>
      <c r="W26" s="8"/>
      <c r="X26" s="8"/>
    </row>
    <row r="27" spans="1:24" ht="15.75" customHeight="1">
      <c r="A27" s="1226"/>
      <c r="B27" s="1227"/>
      <c r="C27" s="1590"/>
      <c r="D27" s="1507"/>
      <c r="E27" s="1440"/>
      <c r="F27" s="1234"/>
      <c r="G27" s="1231"/>
      <c r="H27" s="1230"/>
      <c r="I27" s="1229"/>
      <c r="J27" s="1231"/>
      <c r="K27" s="1232"/>
      <c r="L27" s="8"/>
      <c r="M27" s="8"/>
      <c r="N27" s="8"/>
      <c r="O27" s="8"/>
      <c r="P27" s="8"/>
      <c r="Q27" s="8"/>
      <c r="R27" s="8"/>
      <c r="S27" s="8"/>
      <c r="T27" s="8"/>
      <c r="U27" s="8"/>
      <c r="V27" s="8"/>
      <c r="W27" s="8"/>
      <c r="X27" s="8"/>
    </row>
    <row r="28" spans="1:24" ht="15.75" customHeight="1">
      <c r="A28" s="1226"/>
      <c r="B28" s="1227"/>
      <c r="C28" s="1590"/>
      <c r="D28" s="1507"/>
      <c r="E28" s="1440"/>
      <c r="F28" s="1234"/>
      <c r="G28" s="1231"/>
      <c r="H28" s="1230"/>
      <c r="I28" s="1229"/>
      <c r="J28" s="1231"/>
      <c r="K28" s="1232"/>
      <c r="L28" s="8"/>
      <c r="M28" s="8"/>
      <c r="N28" s="8"/>
      <c r="O28" s="8"/>
      <c r="P28" s="8"/>
      <c r="Q28" s="8"/>
      <c r="R28" s="8"/>
      <c r="S28" s="8"/>
      <c r="T28" s="8"/>
      <c r="U28" s="8"/>
      <c r="V28" s="8"/>
      <c r="W28" s="8"/>
      <c r="X28" s="8"/>
    </row>
    <row r="29" spans="1:24" ht="15.75" customHeight="1">
      <c r="A29" s="1226"/>
      <c r="B29" s="1227"/>
      <c r="C29" s="1590"/>
      <c r="D29" s="1507"/>
      <c r="E29" s="1440"/>
      <c r="F29" s="1234"/>
      <c r="G29" s="1231"/>
      <c r="H29" s="1230"/>
      <c r="I29" s="1229"/>
      <c r="J29" s="1231"/>
      <c r="K29" s="1232"/>
      <c r="L29" s="8"/>
      <c r="M29" s="8"/>
      <c r="N29" s="8"/>
      <c r="O29" s="8"/>
      <c r="P29" s="8"/>
      <c r="Q29" s="8"/>
      <c r="R29" s="8"/>
      <c r="S29" s="8"/>
      <c r="T29" s="8"/>
      <c r="U29" s="8"/>
      <c r="V29" s="8"/>
      <c r="W29" s="8"/>
      <c r="X29" s="8"/>
    </row>
    <row r="30" spans="1:24" ht="15.75" customHeight="1">
      <c r="A30" s="1226"/>
      <c r="B30" s="1227"/>
      <c r="C30" s="1590"/>
      <c r="D30" s="1507"/>
      <c r="E30" s="1440"/>
      <c r="F30" s="1234"/>
      <c r="G30" s="1231"/>
      <c r="H30" s="1230"/>
      <c r="I30" s="1229"/>
      <c r="J30" s="1231"/>
      <c r="K30" s="1232"/>
      <c r="L30" s="8"/>
      <c r="M30" s="8"/>
      <c r="N30" s="8"/>
      <c r="O30" s="8"/>
      <c r="P30" s="8"/>
      <c r="Q30" s="8"/>
      <c r="R30" s="8"/>
      <c r="S30" s="8"/>
      <c r="T30" s="8"/>
      <c r="U30" s="8"/>
      <c r="V30" s="8"/>
      <c r="W30" s="8"/>
      <c r="X30" s="8"/>
    </row>
    <row r="31" spans="1:24" ht="15.75" customHeight="1">
      <c r="A31" s="1226"/>
      <c r="B31" s="1227"/>
      <c r="C31" s="1590"/>
      <c r="D31" s="1507"/>
      <c r="E31" s="1440"/>
      <c r="F31" s="1234"/>
      <c r="G31" s="1231"/>
      <c r="H31" s="1230"/>
      <c r="I31" s="1229"/>
      <c r="J31" s="1231"/>
      <c r="K31" s="1232"/>
      <c r="L31" s="8"/>
      <c r="M31" s="8"/>
      <c r="N31" s="8"/>
      <c r="O31" s="8"/>
      <c r="P31" s="8"/>
      <c r="Q31" s="8"/>
      <c r="R31" s="8"/>
      <c r="S31" s="8"/>
      <c r="T31" s="8"/>
      <c r="U31" s="8"/>
      <c r="V31" s="8"/>
      <c r="W31" s="8"/>
      <c r="X31" s="8"/>
    </row>
    <row r="32" spans="1:24" ht="15.75" customHeight="1">
      <c r="A32" s="1226"/>
      <c r="B32" s="1227"/>
      <c r="C32" s="1590"/>
      <c r="D32" s="1507"/>
      <c r="E32" s="1440"/>
      <c r="F32" s="1234"/>
      <c r="G32" s="1231"/>
      <c r="H32" s="1230"/>
      <c r="I32" s="1229"/>
      <c r="J32" s="1231"/>
      <c r="K32" s="1232"/>
      <c r="L32" s="8"/>
      <c r="M32" s="8"/>
      <c r="N32" s="8"/>
      <c r="O32" s="8"/>
      <c r="P32" s="8"/>
      <c r="Q32" s="8"/>
      <c r="R32" s="8"/>
      <c r="S32" s="8"/>
      <c r="T32" s="8"/>
      <c r="U32" s="8"/>
      <c r="V32" s="8"/>
      <c r="W32" s="8"/>
      <c r="X32" s="8"/>
    </row>
    <row r="33" spans="1:24" ht="15.75" customHeight="1">
      <c r="A33" s="1226"/>
      <c r="B33" s="1227"/>
      <c r="C33" s="1590"/>
      <c r="D33" s="1507"/>
      <c r="E33" s="1440"/>
      <c r="F33" s="1234"/>
      <c r="G33" s="1231"/>
      <c r="H33" s="1230"/>
      <c r="I33" s="1229"/>
      <c r="J33" s="1231"/>
      <c r="K33" s="1232"/>
      <c r="L33" s="8"/>
      <c r="M33" s="8"/>
      <c r="N33" s="8"/>
      <c r="O33" s="8"/>
      <c r="P33" s="8"/>
      <c r="Q33" s="8"/>
      <c r="R33" s="8"/>
      <c r="S33" s="8"/>
      <c r="T33" s="8"/>
      <c r="U33" s="8"/>
      <c r="V33" s="8"/>
      <c r="W33" s="8"/>
      <c r="X33" s="8"/>
    </row>
    <row r="34" spans="1:24" ht="15.75" customHeight="1">
      <c r="A34" s="1226"/>
      <c r="B34" s="1227"/>
      <c r="C34" s="1590"/>
      <c r="D34" s="1507"/>
      <c r="E34" s="1440"/>
      <c r="F34" s="1234"/>
      <c r="G34" s="1231"/>
      <c r="H34" s="1230"/>
      <c r="I34" s="1229"/>
      <c r="J34" s="1231"/>
      <c r="K34" s="1232"/>
      <c r="L34" s="8"/>
      <c r="M34" s="8"/>
      <c r="N34" s="8"/>
      <c r="O34" s="8"/>
      <c r="P34" s="8"/>
      <c r="Q34" s="8"/>
      <c r="R34" s="8"/>
      <c r="S34" s="8"/>
      <c r="T34" s="8"/>
      <c r="U34" s="8"/>
      <c r="V34" s="8"/>
      <c r="W34" s="8"/>
      <c r="X34" s="8"/>
    </row>
    <row r="35" spans="1:24" ht="15.75" customHeight="1">
      <c r="A35" s="1226"/>
      <c r="B35" s="1227"/>
      <c r="C35" s="1590"/>
      <c r="D35" s="1507"/>
      <c r="E35" s="1440"/>
      <c r="F35" s="1234"/>
      <c r="G35" s="1231"/>
      <c r="H35" s="1230"/>
      <c r="I35" s="1229"/>
      <c r="J35" s="1231"/>
      <c r="K35" s="1232"/>
      <c r="L35" s="8"/>
      <c r="M35" s="8"/>
      <c r="N35" s="8"/>
      <c r="O35" s="8"/>
      <c r="P35" s="8"/>
      <c r="Q35" s="8"/>
      <c r="R35" s="8"/>
      <c r="S35" s="8"/>
      <c r="T35" s="8"/>
      <c r="U35" s="8"/>
      <c r="V35" s="8"/>
      <c r="W35" s="8"/>
      <c r="X35" s="8"/>
    </row>
    <row r="36" spans="1:24" ht="15.75" customHeight="1">
      <c r="A36" s="1226"/>
      <c r="B36" s="1227"/>
      <c r="C36" s="1590"/>
      <c r="D36" s="1507"/>
      <c r="E36" s="1440"/>
      <c r="F36" s="1234"/>
      <c r="G36" s="1231"/>
      <c r="H36" s="1230"/>
      <c r="I36" s="1229"/>
      <c r="J36" s="1231"/>
      <c r="K36" s="1232"/>
      <c r="L36" s="8"/>
      <c r="M36" s="8"/>
      <c r="N36" s="8"/>
      <c r="O36" s="8"/>
      <c r="P36" s="8"/>
      <c r="Q36" s="8"/>
      <c r="R36" s="8"/>
      <c r="S36" s="8"/>
      <c r="T36" s="8"/>
      <c r="U36" s="8"/>
      <c r="V36" s="8"/>
      <c r="W36" s="8"/>
      <c r="X36" s="8"/>
    </row>
    <row r="37" spans="1:24" ht="15.75" customHeight="1">
      <c r="A37" s="1226"/>
      <c r="B37" s="1227"/>
      <c r="C37" s="1590"/>
      <c r="D37" s="1507"/>
      <c r="E37" s="1440"/>
      <c r="F37" s="1234"/>
      <c r="G37" s="1231"/>
      <c r="H37" s="1230"/>
      <c r="I37" s="1229"/>
      <c r="J37" s="1231"/>
      <c r="K37" s="1232"/>
      <c r="L37" s="8"/>
      <c r="M37" s="8"/>
      <c r="N37" s="8"/>
      <c r="O37" s="8"/>
      <c r="P37" s="8"/>
      <c r="Q37" s="8"/>
      <c r="R37" s="8"/>
      <c r="S37" s="8"/>
      <c r="T37" s="8"/>
      <c r="U37" s="8"/>
      <c r="V37" s="8"/>
      <c r="W37" s="8"/>
      <c r="X37" s="8"/>
    </row>
    <row r="38" spans="1:24" ht="15.75" customHeight="1">
      <c r="A38" s="1226"/>
      <c r="B38" s="1227"/>
      <c r="C38" s="1590"/>
      <c r="D38" s="1507"/>
      <c r="E38" s="1440"/>
      <c r="F38" s="1234"/>
      <c r="G38" s="1231"/>
      <c r="H38" s="1230"/>
      <c r="I38" s="1229"/>
      <c r="J38" s="1231"/>
      <c r="K38" s="1232"/>
      <c r="L38" s="8"/>
      <c r="M38" s="8"/>
      <c r="N38" s="8"/>
      <c r="O38" s="8"/>
      <c r="P38" s="8"/>
      <c r="Q38" s="8"/>
      <c r="R38" s="8"/>
      <c r="S38" s="8"/>
      <c r="T38" s="8"/>
      <c r="U38" s="8"/>
      <c r="V38" s="8"/>
      <c r="W38" s="8"/>
      <c r="X38" s="8"/>
    </row>
    <row r="39" spans="1:24" ht="15">
      <c r="A39" s="1218" t="s">
        <v>4349</v>
      </c>
      <c r="B39" s="1594" t="s">
        <v>4350</v>
      </c>
      <c r="C39" s="1479"/>
      <c r="D39" s="1216"/>
      <c r="E39" s="1216"/>
      <c r="F39" s="1216"/>
      <c r="G39" s="1216"/>
      <c r="H39" s="1216"/>
      <c r="I39" s="1216"/>
      <c r="J39" s="1235"/>
      <c r="K39" s="1216"/>
    </row>
    <row r="40" spans="1:24" ht="14.25">
      <c r="A40" s="1218"/>
      <c r="B40" s="1506"/>
      <c r="C40" s="1507"/>
      <c r="D40" s="1507"/>
      <c r="E40" s="1507"/>
      <c r="F40" s="1507"/>
      <c r="G40" s="1507"/>
      <c r="H40" s="1507"/>
      <c r="I40" s="1507"/>
      <c r="J40" s="1235"/>
      <c r="K40" s="1216"/>
    </row>
    <row r="41" spans="1:24" ht="14.25">
      <c r="A41" s="1220"/>
      <c r="B41" s="1236"/>
      <c r="C41" s="1236"/>
      <c r="D41" s="1236"/>
      <c r="E41" s="1236"/>
      <c r="F41" s="1236"/>
      <c r="G41" s="1236"/>
      <c r="H41" s="1236"/>
      <c r="I41" s="1236"/>
      <c r="J41" s="1237"/>
      <c r="K41" s="1216"/>
    </row>
    <row r="42" spans="1:24" ht="14.25">
      <c r="A42" s="1591" t="s">
        <v>4351</v>
      </c>
      <c r="B42" s="1438"/>
      <c r="C42" s="1235" t="s">
        <v>4352</v>
      </c>
      <c r="D42" s="1584" t="s">
        <v>348</v>
      </c>
      <c r="E42" s="1438"/>
      <c r="F42" s="1595" t="s">
        <v>4353</v>
      </c>
      <c r="G42" s="1479"/>
      <c r="H42" s="1479"/>
      <c r="I42" s="1596" t="s">
        <v>4354</v>
      </c>
      <c r="J42" s="1518"/>
      <c r="K42" s="1216"/>
    </row>
    <row r="43" spans="1:24" ht="14.25">
      <c r="A43" s="1521"/>
      <c r="B43" s="1518"/>
      <c r="C43" s="1237"/>
      <c r="D43" s="1236"/>
      <c r="E43" s="1238"/>
      <c r="F43" s="1221"/>
      <c r="G43" s="1221"/>
      <c r="H43" s="1221"/>
      <c r="I43" s="1510"/>
      <c r="J43" s="1440"/>
      <c r="K43" s="1216"/>
    </row>
    <row r="44" spans="1:24" ht="14.25">
      <c r="A44" s="1592" t="s">
        <v>4355</v>
      </c>
      <c r="B44" s="1451"/>
      <c r="C44" s="1239" t="s">
        <v>4356</v>
      </c>
      <c r="D44" s="1578" t="s">
        <v>4357</v>
      </c>
      <c r="E44" s="1443"/>
      <c r="F44" s="1506"/>
      <c r="G44" s="1507"/>
      <c r="H44" s="1440"/>
      <c r="I44" s="1510"/>
      <c r="J44" s="1440"/>
      <c r="K44" s="1216"/>
    </row>
    <row r="45" spans="1:24" ht="14.25">
      <c r="A45" s="1592" t="s">
        <v>4358</v>
      </c>
      <c r="B45" s="1451"/>
      <c r="C45" s="1240" t="s">
        <v>4359</v>
      </c>
      <c r="D45" s="1579" t="s">
        <v>4360</v>
      </c>
      <c r="E45" s="1443"/>
      <c r="F45" s="1506"/>
      <c r="G45" s="1507"/>
      <c r="H45" s="1440"/>
      <c r="I45" s="1510"/>
      <c r="J45" s="1440"/>
      <c r="K45" s="1216"/>
    </row>
    <row r="46" spans="1:24" ht="14.25">
      <c r="A46" s="1593" t="s">
        <v>76</v>
      </c>
      <c r="B46" s="1507"/>
      <c r="C46" s="1241">
        <v>44797</v>
      </c>
      <c r="D46" s="1580">
        <v>44797</v>
      </c>
      <c r="E46" s="1440"/>
      <c r="F46" s="1506"/>
      <c r="G46" s="1507"/>
      <c r="H46" s="1440"/>
      <c r="I46" s="1510"/>
      <c r="J46" s="1440"/>
      <c r="K46" s="1216"/>
    </row>
    <row r="47" spans="1:24" ht="14.25">
      <c r="A47" s="1216"/>
      <c r="B47" s="1216"/>
      <c r="C47" s="1216"/>
      <c r="D47" s="1216"/>
      <c r="E47" s="1216"/>
      <c r="F47" s="1216"/>
      <c r="G47" s="1216"/>
      <c r="H47" s="1216"/>
      <c r="I47" s="1577" t="s">
        <v>4361</v>
      </c>
      <c r="J47" s="1479"/>
      <c r="K47" s="1216"/>
    </row>
  </sheetData>
  <mergeCells count="56">
    <mergeCell ref="A42:B43"/>
    <mergeCell ref="A44:B44"/>
    <mergeCell ref="A45:B45"/>
    <mergeCell ref="A46:B46"/>
    <mergeCell ref="C38:E38"/>
    <mergeCell ref="B39:C39"/>
    <mergeCell ref="B40:I40"/>
    <mergeCell ref="D42:E42"/>
    <mergeCell ref="F42:H42"/>
    <mergeCell ref="I42:J42"/>
    <mergeCell ref="I43:J43"/>
    <mergeCell ref="F46:H46"/>
    <mergeCell ref="I46:J46"/>
    <mergeCell ref="C33:E33"/>
    <mergeCell ref="C34:E34"/>
    <mergeCell ref="C35:E35"/>
    <mergeCell ref="C36:E36"/>
    <mergeCell ref="C37:E37"/>
    <mergeCell ref="C28:E28"/>
    <mergeCell ref="C29:E29"/>
    <mergeCell ref="C30:E30"/>
    <mergeCell ref="C31:E31"/>
    <mergeCell ref="C32:E32"/>
    <mergeCell ref="C23:E23"/>
    <mergeCell ref="C24:E24"/>
    <mergeCell ref="C25:E25"/>
    <mergeCell ref="C26:E26"/>
    <mergeCell ref="C27:E27"/>
    <mergeCell ref="C18:E18"/>
    <mergeCell ref="C19:E19"/>
    <mergeCell ref="C20:E20"/>
    <mergeCell ref="C21:E21"/>
    <mergeCell ref="C22:E22"/>
    <mergeCell ref="C13:E13"/>
    <mergeCell ref="C14:E14"/>
    <mergeCell ref="C15:E15"/>
    <mergeCell ref="C16:E16"/>
    <mergeCell ref="C17:E17"/>
    <mergeCell ref="B11:E11"/>
    <mergeCell ref="G11:J11"/>
    <mergeCell ref="A12:F12"/>
    <mergeCell ref="G12:H12"/>
    <mergeCell ref="I12:J12"/>
    <mergeCell ref="A6:J6"/>
    <mergeCell ref="A9:E9"/>
    <mergeCell ref="G9:J9"/>
    <mergeCell ref="B10:E10"/>
    <mergeCell ref="G10:J10"/>
    <mergeCell ref="I47:J47"/>
    <mergeCell ref="D44:E44"/>
    <mergeCell ref="F44:H44"/>
    <mergeCell ref="I44:J44"/>
    <mergeCell ref="D45:E45"/>
    <mergeCell ref="F45:H45"/>
    <mergeCell ref="I45:J45"/>
    <mergeCell ref="D46:E46"/>
  </mergeCells>
  <printOptions horizontalCentered="1" gridLines="1"/>
  <pageMargins left="0.7" right="0.7" top="0.75" bottom="0.75" header="0" footer="0"/>
  <pageSetup paperSize="14" fitToHeight="0" pageOrder="overThenDown" orientation="portrait" cellComments="atEnd"/>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X1005"/>
  <sheetViews>
    <sheetView workbookViewId="0">
      <pane ySplit="2" topLeftCell="A3" activePane="bottomLeft" state="frozen"/>
      <selection pane="bottomLeft" activeCell="B4" sqref="B4"/>
    </sheetView>
  </sheetViews>
  <sheetFormatPr defaultColWidth="12.5703125" defaultRowHeight="15.75" customHeight="1"/>
  <cols>
    <col min="1" max="1" width="21.85546875" customWidth="1"/>
    <col min="2" max="2" width="34.140625" customWidth="1"/>
    <col min="3" max="3" width="7.5703125" customWidth="1"/>
    <col min="4" max="4" width="7" customWidth="1"/>
    <col min="5" max="5" width="10.42578125" customWidth="1"/>
    <col min="6" max="6" width="9.140625" customWidth="1"/>
    <col min="7" max="7" width="11.140625" customWidth="1"/>
    <col min="8" max="8" width="4.140625" customWidth="1"/>
    <col min="9" max="9" width="3.42578125" customWidth="1"/>
    <col min="10" max="10" width="3.85546875" customWidth="1"/>
    <col min="11" max="11" width="4.140625" customWidth="1"/>
    <col min="12" max="12" width="3.140625" customWidth="1"/>
    <col min="13" max="13" width="3.5703125" customWidth="1"/>
    <col min="14" max="14" width="4.140625" customWidth="1"/>
    <col min="15" max="15" width="4.42578125" customWidth="1"/>
    <col min="16" max="16" width="3.140625" customWidth="1"/>
    <col min="17" max="18" width="3.85546875" customWidth="1"/>
    <col min="19" max="19" width="4.42578125" customWidth="1"/>
    <col min="20" max="20" width="3.140625" customWidth="1"/>
    <col min="21" max="21" width="3.5703125" customWidth="1"/>
    <col min="22" max="22" width="4" customWidth="1"/>
    <col min="23" max="23" width="3.85546875" customWidth="1"/>
    <col min="24" max="24" width="20.5703125" customWidth="1"/>
  </cols>
  <sheetData>
    <row r="1" spans="1:24" ht="15.75" customHeight="1">
      <c r="A1" s="1186" t="s">
        <v>320</v>
      </c>
      <c r="B1" s="1567" t="s">
        <v>321</v>
      </c>
      <c r="C1" s="1565" t="s">
        <v>85</v>
      </c>
      <c r="D1" s="1565" t="s">
        <v>92</v>
      </c>
      <c r="E1" s="1565" t="s">
        <v>93</v>
      </c>
      <c r="F1" s="1565" t="s">
        <v>322</v>
      </c>
      <c r="G1" s="1565" t="s">
        <v>323</v>
      </c>
      <c r="H1" s="1597" t="s">
        <v>324</v>
      </c>
      <c r="I1" s="1442"/>
      <c r="J1" s="1442"/>
      <c r="K1" s="1442"/>
      <c r="L1" s="1442"/>
      <c r="M1" s="1442"/>
      <c r="N1" s="1442"/>
      <c r="O1" s="1442"/>
      <c r="P1" s="1442"/>
      <c r="Q1" s="1442"/>
      <c r="R1" s="1442"/>
      <c r="S1" s="1442"/>
      <c r="T1" s="1442"/>
      <c r="U1" s="1442"/>
      <c r="V1" s="1442"/>
      <c r="W1" s="1443"/>
      <c r="X1" s="1046"/>
    </row>
    <row r="2" spans="1:24" ht="15.75" customHeight="1">
      <c r="A2" s="1124"/>
      <c r="B2" s="1448"/>
      <c r="C2" s="1448"/>
      <c r="D2" s="1448"/>
      <c r="E2" s="1448"/>
      <c r="F2" s="1448"/>
      <c r="G2" s="1448"/>
      <c r="H2" s="1242" t="s">
        <v>325</v>
      </c>
      <c r="I2" s="1242" t="s">
        <v>326</v>
      </c>
      <c r="J2" s="1242" t="s">
        <v>327</v>
      </c>
      <c r="K2" s="1242" t="s">
        <v>328</v>
      </c>
      <c r="L2" s="1242" t="s">
        <v>329</v>
      </c>
      <c r="M2" s="1242" t="s">
        <v>330</v>
      </c>
      <c r="N2" s="1242" t="s">
        <v>331</v>
      </c>
      <c r="O2" s="1242" t="s">
        <v>332</v>
      </c>
      <c r="P2" s="1242" t="s">
        <v>333</v>
      </c>
      <c r="Q2" s="1242" t="s">
        <v>334</v>
      </c>
      <c r="R2" s="1242" t="s">
        <v>335</v>
      </c>
      <c r="S2" s="1242" t="s">
        <v>336</v>
      </c>
      <c r="T2" s="1242" t="s">
        <v>337</v>
      </c>
      <c r="U2" s="1242" t="s">
        <v>338</v>
      </c>
      <c r="V2" s="1242" t="s">
        <v>339</v>
      </c>
      <c r="W2" s="1242" t="s">
        <v>340</v>
      </c>
      <c r="X2" s="1046" t="s">
        <v>354</v>
      </c>
    </row>
    <row r="3" spans="1:24" ht="15.75" customHeight="1">
      <c r="A3" s="1598" t="s">
        <v>4362</v>
      </c>
      <c r="B3" s="1443"/>
      <c r="C3" s="953"/>
      <c r="D3" s="953"/>
      <c r="E3" s="953"/>
      <c r="F3" s="953"/>
      <c r="G3" s="953"/>
      <c r="H3" s="953"/>
      <c r="I3" s="953"/>
      <c r="J3" s="953"/>
      <c r="K3" s="953"/>
      <c r="L3" s="953"/>
      <c r="M3" s="953"/>
      <c r="N3" s="953"/>
      <c r="O3" s="953"/>
      <c r="P3" s="953"/>
      <c r="Q3" s="953"/>
      <c r="R3" s="953"/>
      <c r="S3" s="953"/>
      <c r="T3" s="953"/>
      <c r="U3" s="953"/>
      <c r="V3" s="953"/>
      <c r="W3" s="953"/>
      <c r="X3" s="1042"/>
    </row>
    <row r="4" spans="1:24" ht="15.75" customHeight="1">
      <c r="A4" s="1243" t="s">
        <v>4363</v>
      </c>
      <c r="B4" s="1244" t="s">
        <v>4223</v>
      </c>
      <c r="C4" s="1245">
        <v>200</v>
      </c>
      <c r="D4" s="1246" t="s">
        <v>902</v>
      </c>
      <c r="E4" s="1245">
        <v>10</v>
      </c>
      <c r="F4" s="1247">
        <v>2000</v>
      </c>
      <c r="G4" s="953"/>
      <c r="H4" s="847">
        <v>50</v>
      </c>
      <c r="I4" s="953">
        <v>50</v>
      </c>
      <c r="J4" s="953"/>
      <c r="K4" s="953"/>
      <c r="L4" s="847">
        <v>50</v>
      </c>
      <c r="M4" s="953">
        <v>50</v>
      </c>
      <c r="N4" s="953"/>
      <c r="O4" s="847"/>
      <c r="P4" s="847">
        <v>50</v>
      </c>
      <c r="Q4" s="953">
        <v>50</v>
      </c>
      <c r="R4" s="953"/>
      <c r="S4" s="953"/>
      <c r="T4" s="847">
        <v>50</v>
      </c>
      <c r="U4" s="953">
        <v>50</v>
      </c>
      <c r="V4" s="953"/>
      <c r="W4" s="953"/>
      <c r="X4" s="1042" t="s">
        <v>116</v>
      </c>
    </row>
    <row r="5" spans="1:24" ht="15.75" customHeight="1">
      <c r="A5" s="1243" t="s">
        <v>4363</v>
      </c>
      <c r="B5" s="1248" t="s">
        <v>4224</v>
      </c>
      <c r="C5" s="1245">
        <v>50</v>
      </c>
      <c r="D5" s="1246" t="s">
        <v>902</v>
      </c>
      <c r="E5" s="1245">
        <v>10</v>
      </c>
      <c r="F5" s="1247">
        <v>500</v>
      </c>
      <c r="G5" s="953"/>
      <c r="H5" s="847">
        <v>13</v>
      </c>
      <c r="I5" s="847">
        <v>13</v>
      </c>
      <c r="J5" s="953"/>
      <c r="K5" s="953"/>
      <c r="L5" s="847">
        <v>13</v>
      </c>
      <c r="M5" s="953">
        <v>13</v>
      </c>
      <c r="N5" s="953"/>
      <c r="O5" s="953"/>
      <c r="P5" s="847">
        <v>12</v>
      </c>
      <c r="Q5" s="953">
        <v>12</v>
      </c>
      <c r="R5" s="953"/>
      <c r="S5" s="953"/>
      <c r="T5" s="847">
        <v>12</v>
      </c>
      <c r="U5" s="953">
        <v>12</v>
      </c>
      <c r="V5" s="953"/>
      <c r="W5" s="953"/>
      <c r="X5" s="1042" t="s">
        <v>116</v>
      </c>
    </row>
    <row r="6" spans="1:24" ht="15.75" customHeight="1">
      <c r="A6" s="1243" t="s">
        <v>4363</v>
      </c>
      <c r="B6" s="1249" t="s">
        <v>4364</v>
      </c>
      <c r="C6" s="1250">
        <v>50</v>
      </c>
      <c r="D6" s="1251" t="s">
        <v>902</v>
      </c>
      <c r="E6" s="1250">
        <v>50</v>
      </c>
      <c r="F6" s="1252">
        <v>2500</v>
      </c>
      <c r="G6" s="991"/>
      <c r="H6" s="1045">
        <v>13</v>
      </c>
      <c r="I6" s="1045">
        <v>13</v>
      </c>
      <c r="J6" s="991"/>
      <c r="K6" s="991"/>
      <c r="L6" s="1045">
        <v>13</v>
      </c>
      <c r="M6" s="991">
        <v>13</v>
      </c>
      <c r="N6" s="991"/>
      <c r="O6" s="991"/>
      <c r="P6" s="1045">
        <v>12</v>
      </c>
      <c r="Q6" s="991">
        <v>12</v>
      </c>
      <c r="R6" s="991"/>
      <c r="S6" s="991"/>
      <c r="T6" s="1045">
        <v>12</v>
      </c>
      <c r="U6" s="991">
        <v>12</v>
      </c>
      <c r="V6" s="991"/>
      <c r="W6" s="991"/>
      <c r="X6" s="1042" t="s">
        <v>116</v>
      </c>
    </row>
    <row r="7" spans="1:24" ht="15.75" customHeight="1">
      <c r="A7" s="1243" t="s">
        <v>4363</v>
      </c>
      <c r="B7" s="1249" t="s">
        <v>4365</v>
      </c>
      <c r="C7" s="1250">
        <v>50</v>
      </c>
      <c r="D7" s="1251" t="s">
        <v>902</v>
      </c>
      <c r="E7" s="1250">
        <v>7.51</v>
      </c>
      <c r="F7" s="1252">
        <v>375.5</v>
      </c>
      <c r="G7" s="991"/>
      <c r="H7" s="1045">
        <v>13</v>
      </c>
      <c r="I7" s="1045">
        <v>13</v>
      </c>
      <c r="J7" s="991"/>
      <c r="K7" s="991"/>
      <c r="L7" s="1045">
        <v>13</v>
      </c>
      <c r="M7" s="991">
        <v>13</v>
      </c>
      <c r="N7" s="991"/>
      <c r="O7" s="991"/>
      <c r="P7" s="1045">
        <v>12</v>
      </c>
      <c r="Q7" s="991">
        <v>12</v>
      </c>
      <c r="R7" s="991"/>
      <c r="S7" s="991"/>
      <c r="T7" s="1045">
        <v>12</v>
      </c>
      <c r="U7" s="991">
        <v>12</v>
      </c>
      <c r="V7" s="991"/>
      <c r="W7" s="991"/>
      <c r="X7" s="1042" t="s">
        <v>116</v>
      </c>
    </row>
    <row r="8" spans="1:24" ht="15.75" customHeight="1">
      <c r="A8" s="1243" t="s">
        <v>4363</v>
      </c>
      <c r="B8" s="1249" t="s">
        <v>3326</v>
      </c>
      <c r="C8" s="1250">
        <v>5</v>
      </c>
      <c r="D8" s="1251" t="s">
        <v>466</v>
      </c>
      <c r="E8" s="1250">
        <v>266.24</v>
      </c>
      <c r="F8" s="1252">
        <v>1331.2</v>
      </c>
      <c r="G8" s="991"/>
      <c r="H8" s="1045">
        <v>2</v>
      </c>
      <c r="I8" s="1045">
        <v>2</v>
      </c>
      <c r="J8" s="991"/>
      <c r="K8" s="991"/>
      <c r="L8" s="1045">
        <v>1</v>
      </c>
      <c r="M8" s="991">
        <v>1</v>
      </c>
      <c r="N8" s="991"/>
      <c r="O8" s="991"/>
      <c r="P8" s="1045">
        <v>1</v>
      </c>
      <c r="Q8" s="991">
        <v>1</v>
      </c>
      <c r="R8" s="991"/>
      <c r="S8" s="991"/>
      <c r="T8" s="1045">
        <v>1</v>
      </c>
      <c r="U8" s="991">
        <v>1</v>
      </c>
      <c r="V8" s="991"/>
      <c r="W8" s="991"/>
      <c r="X8" s="1042" t="s">
        <v>116</v>
      </c>
    </row>
    <row r="9" spans="1:24" ht="15.75" customHeight="1">
      <c r="A9" s="1243" t="s">
        <v>4363</v>
      </c>
      <c r="B9" s="1249" t="s">
        <v>3331</v>
      </c>
      <c r="C9" s="1250">
        <v>10</v>
      </c>
      <c r="D9" s="1251" t="s">
        <v>189</v>
      </c>
      <c r="E9" s="1250">
        <v>238.54</v>
      </c>
      <c r="F9" s="1252">
        <v>2385.4</v>
      </c>
      <c r="G9" s="991"/>
      <c r="H9" s="1045">
        <v>3</v>
      </c>
      <c r="I9" s="1045">
        <v>3</v>
      </c>
      <c r="J9" s="991"/>
      <c r="K9" s="991"/>
      <c r="L9" s="1045">
        <v>3</v>
      </c>
      <c r="M9" s="991">
        <v>3</v>
      </c>
      <c r="N9" s="991"/>
      <c r="O9" s="991"/>
      <c r="P9" s="1045">
        <v>2</v>
      </c>
      <c r="Q9" s="991">
        <v>2</v>
      </c>
      <c r="R9" s="991"/>
      <c r="S9" s="991"/>
      <c r="T9" s="1045">
        <v>2</v>
      </c>
      <c r="U9" s="991">
        <v>2</v>
      </c>
      <c r="V9" s="991"/>
      <c r="W9" s="991"/>
      <c r="X9" s="1042" t="s">
        <v>116</v>
      </c>
    </row>
    <row r="10" spans="1:24" ht="15.75" customHeight="1">
      <c r="A10" s="1243" t="s">
        <v>4363</v>
      </c>
      <c r="B10" s="1249" t="s">
        <v>4272</v>
      </c>
      <c r="C10" s="1250">
        <v>20</v>
      </c>
      <c r="D10" s="1251" t="s">
        <v>902</v>
      </c>
      <c r="E10" s="1250">
        <v>36.36</v>
      </c>
      <c r="F10" s="1252">
        <v>727.2</v>
      </c>
      <c r="G10" s="991"/>
      <c r="H10" s="1045">
        <v>5</v>
      </c>
      <c r="I10" s="1045">
        <v>5</v>
      </c>
      <c r="J10" s="991"/>
      <c r="K10" s="991"/>
      <c r="L10" s="1045">
        <v>5</v>
      </c>
      <c r="M10" s="991">
        <v>5</v>
      </c>
      <c r="N10" s="991"/>
      <c r="O10" s="991"/>
      <c r="P10" s="1045">
        <v>5</v>
      </c>
      <c r="Q10" s="991">
        <v>5</v>
      </c>
      <c r="R10" s="991"/>
      <c r="S10" s="991"/>
      <c r="T10" s="1045">
        <v>5</v>
      </c>
      <c r="U10" s="991">
        <v>5</v>
      </c>
      <c r="V10" s="991"/>
      <c r="W10" s="991"/>
      <c r="X10" s="1042" t="s">
        <v>116</v>
      </c>
    </row>
    <row r="11" spans="1:24" ht="15.75" customHeight="1">
      <c r="A11" s="1243" t="s">
        <v>4363</v>
      </c>
      <c r="B11" s="1249" t="s">
        <v>4225</v>
      </c>
      <c r="C11" s="1250">
        <v>300</v>
      </c>
      <c r="D11" s="1251" t="s">
        <v>902</v>
      </c>
      <c r="E11" s="1250">
        <v>77.2</v>
      </c>
      <c r="F11" s="1252">
        <v>23160</v>
      </c>
      <c r="G11" s="991"/>
      <c r="H11" s="1045">
        <v>75</v>
      </c>
      <c r="I11" s="1045">
        <v>25</v>
      </c>
      <c r="J11" s="991">
        <v>25</v>
      </c>
      <c r="K11" s="991">
        <v>25</v>
      </c>
      <c r="L11" s="1045">
        <v>75</v>
      </c>
      <c r="M11" s="991">
        <v>25</v>
      </c>
      <c r="N11" s="991">
        <v>25</v>
      </c>
      <c r="O11" s="991">
        <v>25</v>
      </c>
      <c r="P11" s="1045">
        <v>75</v>
      </c>
      <c r="Q11" s="991">
        <v>25</v>
      </c>
      <c r="R11" s="991">
        <v>25</v>
      </c>
      <c r="S11" s="991">
        <v>25</v>
      </c>
      <c r="T11" s="1045">
        <v>75</v>
      </c>
      <c r="U11" s="991">
        <v>25</v>
      </c>
      <c r="V11" s="991">
        <v>25</v>
      </c>
      <c r="W11" s="991">
        <v>25</v>
      </c>
      <c r="X11" s="1042" t="s">
        <v>116</v>
      </c>
    </row>
    <row r="12" spans="1:24" ht="15.75" customHeight="1">
      <c r="A12" s="1243" t="s">
        <v>4363</v>
      </c>
      <c r="B12" s="1249" t="s">
        <v>3375</v>
      </c>
      <c r="C12" s="1250">
        <v>300</v>
      </c>
      <c r="D12" s="1251" t="s">
        <v>902</v>
      </c>
      <c r="E12" s="1250">
        <v>68.64</v>
      </c>
      <c r="F12" s="1252">
        <v>20592</v>
      </c>
      <c r="G12" s="991"/>
      <c r="H12" s="1045">
        <v>75</v>
      </c>
      <c r="I12" s="1045">
        <v>25</v>
      </c>
      <c r="J12" s="991">
        <v>25</v>
      </c>
      <c r="K12" s="991">
        <v>25</v>
      </c>
      <c r="L12" s="1045">
        <v>75</v>
      </c>
      <c r="M12" s="991">
        <v>25</v>
      </c>
      <c r="N12" s="991">
        <v>25</v>
      </c>
      <c r="O12" s="991">
        <v>25</v>
      </c>
      <c r="P12" s="1045">
        <v>75</v>
      </c>
      <c r="Q12" s="991">
        <v>25</v>
      </c>
      <c r="R12" s="991">
        <v>25</v>
      </c>
      <c r="S12" s="991">
        <v>25</v>
      </c>
      <c r="T12" s="1045">
        <v>75</v>
      </c>
      <c r="U12" s="991">
        <v>25</v>
      </c>
      <c r="V12" s="991">
        <v>25</v>
      </c>
      <c r="W12" s="991">
        <v>25</v>
      </c>
      <c r="X12" s="1042" t="s">
        <v>116</v>
      </c>
    </row>
    <row r="13" spans="1:24" ht="15.75" customHeight="1">
      <c r="A13" s="1243" t="s">
        <v>4363</v>
      </c>
      <c r="B13" s="1249" t="s">
        <v>4274</v>
      </c>
      <c r="C13" s="1250">
        <v>2</v>
      </c>
      <c r="D13" s="1251" t="s">
        <v>902</v>
      </c>
      <c r="E13" s="1250">
        <v>453.96</v>
      </c>
      <c r="F13" s="1252">
        <v>907.92</v>
      </c>
      <c r="G13" s="991"/>
      <c r="H13" s="1045">
        <v>1</v>
      </c>
      <c r="I13" s="1045">
        <v>1</v>
      </c>
      <c r="J13" s="991"/>
      <c r="K13" s="991"/>
      <c r="L13" s="1045">
        <v>1</v>
      </c>
      <c r="M13" s="991">
        <v>1</v>
      </c>
      <c r="N13" s="991"/>
      <c r="O13" s="991"/>
      <c r="P13" s="1045">
        <v>0</v>
      </c>
      <c r="Q13" s="991"/>
      <c r="R13" s="991"/>
      <c r="S13" s="991"/>
      <c r="T13" s="1045">
        <v>0</v>
      </c>
      <c r="U13" s="991"/>
      <c r="V13" s="991"/>
      <c r="W13" s="991"/>
      <c r="X13" s="1042" t="s">
        <v>116</v>
      </c>
    </row>
    <row r="14" spans="1:24" ht="15.75" customHeight="1">
      <c r="A14" s="1243" t="s">
        <v>4363</v>
      </c>
      <c r="B14" s="1249" t="s">
        <v>4276</v>
      </c>
      <c r="C14" s="1250">
        <v>2</v>
      </c>
      <c r="D14" s="1251" t="s">
        <v>189</v>
      </c>
      <c r="E14" s="1250">
        <v>432.52</v>
      </c>
      <c r="F14" s="1252">
        <v>865.04</v>
      </c>
      <c r="G14" s="991"/>
      <c r="H14" s="1045">
        <v>1</v>
      </c>
      <c r="I14" s="1045">
        <v>1</v>
      </c>
      <c r="J14" s="991"/>
      <c r="K14" s="991"/>
      <c r="L14" s="1045">
        <v>1</v>
      </c>
      <c r="M14" s="991">
        <v>1</v>
      </c>
      <c r="N14" s="991"/>
      <c r="O14" s="991"/>
      <c r="P14" s="1045">
        <v>0</v>
      </c>
      <c r="Q14" s="991"/>
      <c r="R14" s="991"/>
      <c r="S14" s="991"/>
      <c r="T14" s="1045">
        <v>0</v>
      </c>
      <c r="U14" s="991"/>
      <c r="V14" s="991"/>
      <c r="W14" s="991"/>
      <c r="X14" s="1042" t="s">
        <v>116</v>
      </c>
    </row>
    <row r="15" spans="1:24" ht="15.75" customHeight="1">
      <c r="A15" s="1243" t="s">
        <v>4363</v>
      </c>
      <c r="B15" s="1249" t="s">
        <v>3408</v>
      </c>
      <c r="C15" s="1250">
        <v>4</v>
      </c>
      <c r="D15" s="1251" t="s">
        <v>189</v>
      </c>
      <c r="E15" s="1250">
        <v>980.72</v>
      </c>
      <c r="F15" s="1252">
        <v>3922.88</v>
      </c>
      <c r="G15" s="991"/>
      <c r="H15" s="1045">
        <v>1</v>
      </c>
      <c r="I15" s="1045">
        <v>1</v>
      </c>
      <c r="J15" s="991"/>
      <c r="K15" s="991"/>
      <c r="L15" s="1045">
        <v>1</v>
      </c>
      <c r="M15" s="991">
        <v>1</v>
      </c>
      <c r="N15" s="991"/>
      <c r="O15" s="991"/>
      <c r="P15" s="1045">
        <v>1</v>
      </c>
      <c r="Q15" s="991">
        <v>1</v>
      </c>
      <c r="R15" s="991"/>
      <c r="S15" s="991"/>
      <c r="T15" s="1045">
        <v>1</v>
      </c>
      <c r="U15" s="991">
        <v>1</v>
      </c>
      <c r="V15" s="991"/>
      <c r="W15" s="991"/>
      <c r="X15" s="1042" t="s">
        <v>116</v>
      </c>
    </row>
    <row r="16" spans="1:24" ht="15.75" customHeight="1">
      <c r="A16" s="1243" t="s">
        <v>4363</v>
      </c>
      <c r="B16" s="1249" t="s">
        <v>4275</v>
      </c>
      <c r="C16" s="1250">
        <v>2</v>
      </c>
      <c r="D16" s="1251" t="s">
        <v>189</v>
      </c>
      <c r="E16" s="1250">
        <v>738.4</v>
      </c>
      <c r="F16" s="1252">
        <v>1476.8</v>
      </c>
      <c r="G16" s="991"/>
      <c r="H16" s="1045">
        <v>1</v>
      </c>
      <c r="I16" s="1045">
        <v>1</v>
      </c>
      <c r="J16" s="991"/>
      <c r="K16" s="991"/>
      <c r="L16" s="1045">
        <v>1</v>
      </c>
      <c r="M16" s="991">
        <v>1</v>
      </c>
      <c r="N16" s="991"/>
      <c r="O16" s="991"/>
      <c r="P16" s="1045">
        <v>0</v>
      </c>
      <c r="Q16" s="991"/>
      <c r="R16" s="991"/>
      <c r="S16" s="991"/>
      <c r="T16" s="1045">
        <v>0</v>
      </c>
      <c r="U16" s="991"/>
      <c r="V16" s="991"/>
      <c r="W16" s="991"/>
      <c r="X16" s="1042" t="s">
        <v>116</v>
      </c>
    </row>
    <row r="17" spans="1:24" ht="15.75" customHeight="1">
      <c r="A17" s="1243" t="s">
        <v>4363</v>
      </c>
      <c r="B17" s="1249" t="s">
        <v>4366</v>
      </c>
      <c r="C17" s="1250">
        <v>600</v>
      </c>
      <c r="D17" s="1251" t="s">
        <v>902</v>
      </c>
      <c r="E17" s="1250">
        <v>15</v>
      </c>
      <c r="F17" s="1252">
        <v>9000</v>
      </c>
      <c r="G17" s="991"/>
      <c r="H17" s="1045">
        <v>150</v>
      </c>
      <c r="I17" s="1045">
        <v>50</v>
      </c>
      <c r="J17" s="991">
        <v>50</v>
      </c>
      <c r="K17" s="991">
        <v>50</v>
      </c>
      <c r="L17" s="1045">
        <v>150</v>
      </c>
      <c r="M17" s="991">
        <v>50</v>
      </c>
      <c r="N17" s="991">
        <v>50</v>
      </c>
      <c r="O17" s="991">
        <v>50</v>
      </c>
      <c r="P17" s="1045">
        <v>150</v>
      </c>
      <c r="Q17" s="991">
        <v>50</v>
      </c>
      <c r="R17" s="991">
        <v>50</v>
      </c>
      <c r="S17" s="991">
        <v>50</v>
      </c>
      <c r="T17" s="1045">
        <v>150</v>
      </c>
      <c r="U17" s="991">
        <v>50</v>
      </c>
      <c r="V17" s="991">
        <v>50</v>
      </c>
      <c r="W17" s="991">
        <v>50</v>
      </c>
      <c r="X17" s="1042" t="s">
        <v>116</v>
      </c>
    </row>
    <row r="18" spans="1:24" ht="15.75" customHeight="1">
      <c r="A18" s="1243" t="s">
        <v>4363</v>
      </c>
      <c r="B18" s="1249" t="s">
        <v>3421</v>
      </c>
      <c r="C18" s="1250">
        <v>24</v>
      </c>
      <c r="D18" s="1251" t="s">
        <v>902</v>
      </c>
      <c r="E18" s="1250">
        <v>4.47</v>
      </c>
      <c r="F18" s="1252">
        <v>107.28</v>
      </c>
      <c r="G18" s="991"/>
      <c r="H18" s="1045">
        <v>6</v>
      </c>
      <c r="I18" s="1045">
        <v>2</v>
      </c>
      <c r="J18" s="991">
        <v>2</v>
      </c>
      <c r="K18" s="991">
        <v>2</v>
      </c>
      <c r="L18" s="1045">
        <v>6</v>
      </c>
      <c r="M18" s="991">
        <v>2</v>
      </c>
      <c r="N18" s="991">
        <v>2</v>
      </c>
      <c r="O18" s="991">
        <v>2</v>
      </c>
      <c r="P18" s="1045">
        <v>6</v>
      </c>
      <c r="Q18" s="991">
        <v>2</v>
      </c>
      <c r="R18" s="991">
        <v>2</v>
      </c>
      <c r="S18" s="991">
        <v>2</v>
      </c>
      <c r="T18" s="1045">
        <v>6</v>
      </c>
      <c r="U18" s="991">
        <v>2</v>
      </c>
      <c r="V18" s="991">
        <v>2</v>
      </c>
      <c r="W18" s="991">
        <v>2</v>
      </c>
      <c r="X18" s="1042" t="s">
        <v>116</v>
      </c>
    </row>
    <row r="19" spans="1:24" ht="15.75" customHeight="1">
      <c r="A19" s="1243" t="s">
        <v>4363</v>
      </c>
      <c r="B19" s="1249" t="s">
        <v>3450</v>
      </c>
      <c r="C19" s="1250">
        <v>4</v>
      </c>
      <c r="D19" s="1251" t="s">
        <v>155</v>
      </c>
      <c r="E19" s="1250">
        <v>333.26</v>
      </c>
      <c r="F19" s="1252">
        <v>1333.04</v>
      </c>
      <c r="G19" s="991"/>
      <c r="H19" s="1045">
        <v>1</v>
      </c>
      <c r="I19" s="1045">
        <v>1</v>
      </c>
      <c r="J19" s="991"/>
      <c r="K19" s="991"/>
      <c r="L19" s="1045">
        <v>1</v>
      </c>
      <c r="M19" s="991">
        <v>1</v>
      </c>
      <c r="N19" s="991"/>
      <c r="O19" s="991"/>
      <c r="P19" s="1045">
        <v>1</v>
      </c>
      <c r="Q19" s="991">
        <v>1</v>
      </c>
      <c r="R19" s="991"/>
      <c r="S19" s="991"/>
      <c r="T19" s="1045">
        <v>1</v>
      </c>
      <c r="U19" s="991">
        <v>1</v>
      </c>
      <c r="V19" s="991"/>
      <c r="W19" s="991"/>
      <c r="X19" s="1042" t="s">
        <v>116</v>
      </c>
    </row>
    <row r="20" spans="1:24" ht="15.75" customHeight="1">
      <c r="A20" s="1243" t="s">
        <v>4363</v>
      </c>
      <c r="B20" s="1249" t="s">
        <v>3461</v>
      </c>
      <c r="C20" s="1250">
        <v>8</v>
      </c>
      <c r="D20" s="1251" t="s">
        <v>4226</v>
      </c>
      <c r="E20" s="1250">
        <v>70.72</v>
      </c>
      <c r="F20" s="1252">
        <v>565.76</v>
      </c>
      <c r="G20" s="991"/>
      <c r="H20" s="1045">
        <v>2</v>
      </c>
      <c r="I20" s="1045">
        <v>2</v>
      </c>
      <c r="J20" s="991"/>
      <c r="K20" s="991"/>
      <c r="L20" s="1045">
        <v>2</v>
      </c>
      <c r="M20" s="991">
        <v>2</v>
      </c>
      <c r="N20" s="991"/>
      <c r="O20" s="991"/>
      <c r="P20" s="1045">
        <v>2</v>
      </c>
      <c r="Q20" s="991">
        <v>2</v>
      </c>
      <c r="R20" s="991"/>
      <c r="S20" s="991"/>
      <c r="T20" s="1045">
        <v>2</v>
      </c>
      <c r="U20" s="991">
        <v>2</v>
      </c>
      <c r="V20" s="991"/>
      <c r="W20" s="991"/>
      <c r="X20" s="1042" t="s">
        <v>116</v>
      </c>
    </row>
    <row r="21" spans="1:24" ht="15.75" customHeight="1">
      <c r="A21" s="1243" t="s">
        <v>4363</v>
      </c>
      <c r="B21" s="1249" t="s">
        <v>3472</v>
      </c>
      <c r="C21" s="1250">
        <v>20</v>
      </c>
      <c r="D21" s="1251" t="s">
        <v>189</v>
      </c>
      <c r="E21" s="1250">
        <v>63.11</v>
      </c>
      <c r="F21" s="1252">
        <v>1262.2</v>
      </c>
      <c r="G21" s="991"/>
      <c r="H21" s="1045">
        <v>5</v>
      </c>
      <c r="I21" s="1045">
        <v>5</v>
      </c>
      <c r="J21" s="991"/>
      <c r="K21" s="991"/>
      <c r="L21" s="1045">
        <v>5</v>
      </c>
      <c r="M21" s="991">
        <v>5</v>
      </c>
      <c r="N21" s="991"/>
      <c r="O21" s="991"/>
      <c r="P21" s="1045">
        <v>5</v>
      </c>
      <c r="Q21" s="991">
        <v>5</v>
      </c>
      <c r="R21" s="991"/>
      <c r="S21" s="991"/>
      <c r="T21" s="1045">
        <v>5</v>
      </c>
      <c r="U21" s="991">
        <v>5</v>
      </c>
      <c r="V21" s="991"/>
      <c r="W21" s="991"/>
      <c r="X21" s="1042" t="s">
        <v>116</v>
      </c>
    </row>
    <row r="22" spans="1:24" ht="15.75" customHeight="1">
      <c r="A22" s="1243" t="s">
        <v>4363</v>
      </c>
      <c r="B22" s="1249" t="s">
        <v>4367</v>
      </c>
      <c r="C22" s="1250">
        <v>12</v>
      </c>
      <c r="D22" s="1251" t="s">
        <v>189</v>
      </c>
      <c r="E22" s="1250">
        <v>500</v>
      </c>
      <c r="F22" s="1252">
        <v>6000</v>
      </c>
      <c r="G22" s="991"/>
      <c r="H22" s="1045">
        <v>3</v>
      </c>
      <c r="I22" s="1045">
        <v>1</v>
      </c>
      <c r="J22" s="991">
        <v>1</v>
      </c>
      <c r="K22" s="991">
        <v>1</v>
      </c>
      <c r="L22" s="1045">
        <v>3</v>
      </c>
      <c r="M22" s="991">
        <v>1</v>
      </c>
      <c r="N22" s="991">
        <v>1</v>
      </c>
      <c r="O22" s="991">
        <v>1</v>
      </c>
      <c r="P22" s="1045">
        <v>3</v>
      </c>
      <c r="Q22" s="991">
        <v>1</v>
      </c>
      <c r="R22" s="991">
        <v>1</v>
      </c>
      <c r="S22" s="991">
        <v>1</v>
      </c>
      <c r="T22" s="1045">
        <v>3</v>
      </c>
      <c r="U22" s="991">
        <v>1</v>
      </c>
      <c r="V22" s="991">
        <v>1</v>
      </c>
      <c r="W22" s="991">
        <v>1</v>
      </c>
      <c r="X22" s="1042" t="s">
        <v>116</v>
      </c>
    </row>
    <row r="23" spans="1:24" ht="15.75" customHeight="1">
      <c r="A23" s="1243" t="s">
        <v>4363</v>
      </c>
      <c r="B23" s="1249" t="s">
        <v>4368</v>
      </c>
      <c r="C23" s="1250">
        <v>12</v>
      </c>
      <c r="D23" s="1251" t="s">
        <v>189</v>
      </c>
      <c r="E23" s="1250">
        <v>600</v>
      </c>
      <c r="F23" s="1252">
        <v>7200</v>
      </c>
      <c r="G23" s="991"/>
      <c r="H23" s="1045">
        <v>3</v>
      </c>
      <c r="I23" s="1045">
        <v>1</v>
      </c>
      <c r="J23" s="991">
        <v>1</v>
      </c>
      <c r="K23" s="991">
        <v>1</v>
      </c>
      <c r="L23" s="1045">
        <v>3</v>
      </c>
      <c r="M23" s="991">
        <v>1</v>
      </c>
      <c r="N23" s="991">
        <v>1</v>
      </c>
      <c r="O23" s="991">
        <v>1</v>
      </c>
      <c r="P23" s="1045">
        <v>3</v>
      </c>
      <c r="Q23" s="991">
        <v>1</v>
      </c>
      <c r="R23" s="991">
        <v>1</v>
      </c>
      <c r="S23" s="991">
        <v>1</v>
      </c>
      <c r="T23" s="1045">
        <v>3</v>
      </c>
      <c r="U23" s="991">
        <v>1</v>
      </c>
      <c r="V23" s="991">
        <v>1</v>
      </c>
      <c r="W23" s="991">
        <v>1</v>
      </c>
      <c r="X23" s="1042" t="s">
        <v>116</v>
      </c>
    </row>
    <row r="24" spans="1:24" ht="15.75" customHeight="1">
      <c r="A24" s="1243" t="s">
        <v>4363</v>
      </c>
      <c r="B24" s="1249" t="s">
        <v>3587</v>
      </c>
      <c r="C24" s="1250">
        <v>24</v>
      </c>
      <c r="D24" s="1251" t="s">
        <v>118</v>
      </c>
      <c r="E24" s="1250">
        <v>36.659999999999997</v>
      </c>
      <c r="F24" s="1252">
        <v>879.84</v>
      </c>
      <c r="G24" s="991"/>
      <c r="H24" s="1045">
        <v>6</v>
      </c>
      <c r="I24" s="1045">
        <v>2</v>
      </c>
      <c r="J24" s="991">
        <v>2</v>
      </c>
      <c r="K24" s="991">
        <v>2</v>
      </c>
      <c r="L24" s="1045">
        <v>6</v>
      </c>
      <c r="M24" s="991">
        <v>2</v>
      </c>
      <c r="N24" s="991">
        <v>2</v>
      </c>
      <c r="O24" s="991">
        <v>2</v>
      </c>
      <c r="P24" s="1045">
        <v>6</v>
      </c>
      <c r="Q24" s="991">
        <v>2</v>
      </c>
      <c r="R24" s="991">
        <v>2</v>
      </c>
      <c r="S24" s="991">
        <v>2</v>
      </c>
      <c r="T24" s="1045">
        <v>6</v>
      </c>
      <c r="U24" s="991">
        <v>2</v>
      </c>
      <c r="V24" s="991">
        <v>2</v>
      </c>
      <c r="W24" s="991">
        <v>2</v>
      </c>
      <c r="X24" s="1042" t="s">
        <v>116</v>
      </c>
    </row>
    <row r="25" spans="1:24" ht="15.75" customHeight="1">
      <c r="A25" s="1243" t="s">
        <v>4363</v>
      </c>
      <c r="B25" s="1249" t="s">
        <v>4227</v>
      </c>
      <c r="C25" s="1250">
        <v>4</v>
      </c>
      <c r="D25" s="1251" t="s">
        <v>902</v>
      </c>
      <c r="E25" s="1250">
        <v>7.47</v>
      </c>
      <c r="F25" s="1252">
        <v>29.88</v>
      </c>
      <c r="G25" s="991"/>
      <c r="H25" s="1045">
        <v>1</v>
      </c>
      <c r="I25" s="1045">
        <v>1</v>
      </c>
      <c r="J25" s="991"/>
      <c r="K25" s="991"/>
      <c r="L25" s="1045">
        <v>1</v>
      </c>
      <c r="M25" s="991">
        <v>1</v>
      </c>
      <c r="N25" s="991"/>
      <c r="O25" s="991"/>
      <c r="P25" s="1045">
        <v>1</v>
      </c>
      <c r="Q25" s="991">
        <v>1</v>
      </c>
      <c r="R25" s="991"/>
      <c r="S25" s="991"/>
      <c r="T25" s="1045">
        <v>1</v>
      </c>
      <c r="U25" s="991">
        <v>1</v>
      </c>
      <c r="V25" s="991"/>
      <c r="W25" s="991"/>
      <c r="X25" s="1042" t="s">
        <v>116</v>
      </c>
    </row>
    <row r="26" spans="1:24" ht="15.75" customHeight="1">
      <c r="A26" s="1243" t="s">
        <v>4363</v>
      </c>
      <c r="B26" s="1249" t="s">
        <v>4228</v>
      </c>
      <c r="C26" s="1250">
        <v>12</v>
      </c>
      <c r="D26" s="1251" t="s">
        <v>902</v>
      </c>
      <c r="E26" s="1250">
        <v>9.65</v>
      </c>
      <c r="F26" s="1252">
        <v>115.8</v>
      </c>
      <c r="G26" s="991"/>
      <c r="H26" s="1045">
        <v>3</v>
      </c>
      <c r="I26" s="1045">
        <v>1</v>
      </c>
      <c r="J26" s="991">
        <v>1</v>
      </c>
      <c r="K26" s="991">
        <v>1</v>
      </c>
      <c r="L26" s="1045">
        <v>3</v>
      </c>
      <c r="M26" s="991">
        <v>1</v>
      </c>
      <c r="N26" s="991">
        <v>1</v>
      </c>
      <c r="O26" s="991">
        <v>1</v>
      </c>
      <c r="P26" s="1045">
        <v>3</v>
      </c>
      <c r="Q26" s="991">
        <v>1</v>
      </c>
      <c r="R26" s="991">
        <v>1</v>
      </c>
      <c r="S26" s="991">
        <v>1</v>
      </c>
      <c r="T26" s="1045">
        <v>3</v>
      </c>
      <c r="U26" s="991">
        <v>1</v>
      </c>
      <c r="V26" s="991">
        <v>1</v>
      </c>
      <c r="W26" s="991">
        <v>1</v>
      </c>
      <c r="X26" s="1042" t="s">
        <v>116</v>
      </c>
    </row>
    <row r="27" spans="1:24" ht="15.75" customHeight="1">
      <c r="A27" s="1243" t="s">
        <v>4363</v>
      </c>
      <c r="B27" s="1249" t="s">
        <v>3619</v>
      </c>
      <c r="C27" s="1250">
        <v>24</v>
      </c>
      <c r="D27" s="1251" t="s">
        <v>4229</v>
      </c>
      <c r="E27" s="1250">
        <v>52</v>
      </c>
      <c r="F27" s="1252">
        <v>1248</v>
      </c>
      <c r="G27" s="991"/>
      <c r="H27" s="1045">
        <v>6</v>
      </c>
      <c r="I27" s="1045">
        <v>6</v>
      </c>
      <c r="J27" s="991"/>
      <c r="K27" s="991"/>
      <c r="L27" s="1045">
        <v>6</v>
      </c>
      <c r="M27" s="991">
        <v>6</v>
      </c>
      <c r="N27" s="991"/>
      <c r="O27" s="991"/>
      <c r="P27" s="1045">
        <v>6</v>
      </c>
      <c r="Q27" s="991">
        <v>6</v>
      </c>
      <c r="R27" s="991"/>
      <c r="S27" s="991"/>
      <c r="T27" s="1045">
        <v>6</v>
      </c>
      <c r="U27" s="991">
        <v>6</v>
      </c>
      <c r="V27" s="991"/>
      <c r="W27" s="991"/>
      <c r="X27" s="1042" t="s">
        <v>116</v>
      </c>
    </row>
    <row r="28" spans="1:24" ht="15.75" customHeight="1">
      <c r="A28" s="1243" t="s">
        <v>4363</v>
      </c>
      <c r="B28" s="1249" t="s">
        <v>3630</v>
      </c>
      <c r="C28" s="1250">
        <v>12</v>
      </c>
      <c r="D28" s="1251" t="s">
        <v>189</v>
      </c>
      <c r="E28" s="1250">
        <v>8.82</v>
      </c>
      <c r="F28" s="1252">
        <v>105.84</v>
      </c>
      <c r="G28" s="991"/>
      <c r="H28" s="1045">
        <v>3</v>
      </c>
      <c r="I28" s="1045">
        <v>1</v>
      </c>
      <c r="J28" s="991">
        <v>1</v>
      </c>
      <c r="K28" s="991">
        <v>1</v>
      </c>
      <c r="L28" s="1045">
        <v>3</v>
      </c>
      <c r="M28" s="991">
        <v>1</v>
      </c>
      <c r="N28" s="991">
        <v>1</v>
      </c>
      <c r="O28" s="991">
        <v>1</v>
      </c>
      <c r="P28" s="1045">
        <v>3</v>
      </c>
      <c r="Q28" s="991">
        <v>1</v>
      </c>
      <c r="R28" s="991">
        <v>1</v>
      </c>
      <c r="S28" s="991">
        <v>1</v>
      </c>
      <c r="T28" s="1045">
        <v>3</v>
      </c>
      <c r="U28" s="991">
        <v>1</v>
      </c>
      <c r="V28" s="991">
        <v>1</v>
      </c>
      <c r="W28" s="991">
        <v>1</v>
      </c>
      <c r="X28" s="1042" t="s">
        <v>116</v>
      </c>
    </row>
    <row r="29" spans="1:24" ht="15.75" customHeight="1">
      <c r="A29" s="1243" t="s">
        <v>4363</v>
      </c>
      <c r="B29" s="1249" t="s">
        <v>4230</v>
      </c>
      <c r="C29" s="1250">
        <v>12</v>
      </c>
      <c r="D29" s="1251" t="s">
        <v>189</v>
      </c>
      <c r="E29" s="1250">
        <v>13.78</v>
      </c>
      <c r="F29" s="1252">
        <v>165.36</v>
      </c>
      <c r="G29" s="991"/>
      <c r="H29" s="1045">
        <v>3</v>
      </c>
      <c r="I29" s="1045">
        <v>1</v>
      </c>
      <c r="J29" s="991">
        <v>1</v>
      </c>
      <c r="K29" s="991">
        <v>1</v>
      </c>
      <c r="L29" s="1045">
        <v>3</v>
      </c>
      <c r="M29" s="991">
        <v>1</v>
      </c>
      <c r="N29" s="991">
        <v>1</v>
      </c>
      <c r="O29" s="991">
        <v>1</v>
      </c>
      <c r="P29" s="1045">
        <v>3</v>
      </c>
      <c r="Q29" s="991">
        <v>1</v>
      </c>
      <c r="R29" s="991">
        <v>1</v>
      </c>
      <c r="S29" s="991">
        <v>1</v>
      </c>
      <c r="T29" s="1045">
        <v>3</v>
      </c>
      <c r="U29" s="991">
        <v>1</v>
      </c>
      <c r="V29" s="991">
        <v>1</v>
      </c>
      <c r="W29" s="991">
        <v>1</v>
      </c>
      <c r="X29" s="1042" t="s">
        <v>116</v>
      </c>
    </row>
    <row r="30" spans="1:24" ht="15.75" customHeight="1">
      <c r="A30" s="1243" t="s">
        <v>4363</v>
      </c>
      <c r="B30" s="1249" t="s">
        <v>4369</v>
      </c>
      <c r="C30" s="1250">
        <v>24</v>
      </c>
      <c r="D30" s="1251" t="s">
        <v>189</v>
      </c>
      <c r="E30" s="1250">
        <v>94.64</v>
      </c>
      <c r="F30" s="1252">
        <v>2271.36</v>
      </c>
      <c r="G30" s="991"/>
      <c r="H30" s="1045">
        <v>6</v>
      </c>
      <c r="I30" s="1045">
        <v>2</v>
      </c>
      <c r="J30" s="991">
        <v>2</v>
      </c>
      <c r="K30" s="991">
        <v>2</v>
      </c>
      <c r="L30" s="1045">
        <v>6</v>
      </c>
      <c r="M30" s="991">
        <v>2</v>
      </c>
      <c r="N30" s="991">
        <v>2</v>
      </c>
      <c r="O30" s="991">
        <v>2</v>
      </c>
      <c r="P30" s="1045">
        <v>6</v>
      </c>
      <c r="Q30" s="991">
        <v>2</v>
      </c>
      <c r="R30" s="991">
        <v>2</v>
      </c>
      <c r="S30" s="991">
        <v>2</v>
      </c>
      <c r="T30" s="1045">
        <v>6</v>
      </c>
      <c r="U30" s="991">
        <v>2</v>
      </c>
      <c r="V30" s="991">
        <v>2</v>
      </c>
      <c r="W30" s="991">
        <v>2</v>
      </c>
      <c r="X30" s="1042" t="s">
        <v>116</v>
      </c>
    </row>
    <row r="31" spans="1:24" ht="15.75" customHeight="1">
      <c r="A31" s="1243" t="s">
        <v>4363</v>
      </c>
      <c r="B31" s="1249" t="s">
        <v>3638</v>
      </c>
      <c r="C31" s="1250">
        <v>300</v>
      </c>
      <c r="D31" s="1251" t="s">
        <v>3912</v>
      </c>
      <c r="E31" s="1250">
        <v>158.91</v>
      </c>
      <c r="F31" s="1252">
        <v>47673</v>
      </c>
      <c r="G31" s="991"/>
      <c r="H31" s="1045">
        <v>75</v>
      </c>
      <c r="I31" s="1045">
        <v>25</v>
      </c>
      <c r="J31" s="991">
        <v>25</v>
      </c>
      <c r="K31" s="991">
        <v>25</v>
      </c>
      <c r="L31" s="1045">
        <v>75</v>
      </c>
      <c r="M31" s="991">
        <v>25</v>
      </c>
      <c r="N31" s="991">
        <v>25</v>
      </c>
      <c r="O31" s="991">
        <v>25</v>
      </c>
      <c r="P31" s="1045">
        <v>75</v>
      </c>
      <c r="Q31" s="991">
        <v>25</v>
      </c>
      <c r="R31" s="991">
        <v>25</v>
      </c>
      <c r="S31" s="991">
        <v>25</v>
      </c>
      <c r="T31" s="1045">
        <v>75</v>
      </c>
      <c r="U31" s="991">
        <v>25</v>
      </c>
      <c r="V31" s="991">
        <v>25</v>
      </c>
      <c r="W31" s="991">
        <v>25</v>
      </c>
      <c r="X31" s="1042" t="s">
        <v>116</v>
      </c>
    </row>
    <row r="32" spans="1:24" ht="15.75" customHeight="1">
      <c r="A32" s="1243" t="s">
        <v>4363</v>
      </c>
      <c r="B32" s="1249" t="s">
        <v>3641</v>
      </c>
      <c r="C32" s="1250">
        <v>300</v>
      </c>
      <c r="D32" s="1251" t="s">
        <v>3912</v>
      </c>
      <c r="E32" s="1250">
        <v>137.74</v>
      </c>
      <c r="F32" s="1252">
        <v>41322</v>
      </c>
      <c r="G32" s="991"/>
      <c r="H32" s="1045">
        <v>75</v>
      </c>
      <c r="I32" s="1045">
        <v>25</v>
      </c>
      <c r="J32" s="991">
        <v>25</v>
      </c>
      <c r="K32" s="991">
        <v>25</v>
      </c>
      <c r="L32" s="1045">
        <v>75</v>
      </c>
      <c r="M32" s="991">
        <v>25</v>
      </c>
      <c r="N32" s="991">
        <v>25</v>
      </c>
      <c r="O32" s="991">
        <v>25</v>
      </c>
      <c r="P32" s="1045">
        <v>75</v>
      </c>
      <c r="Q32" s="991">
        <v>25</v>
      </c>
      <c r="R32" s="991">
        <v>25</v>
      </c>
      <c r="S32" s="991">
        <v>25</v>
      </c>
      <c r="T32" s="1045">
        <v>75</v>
      </c>
      <c r="U32" s="991">
        <v>25</v>
      </c>
      <c r="V32" s="991">
        <v>25</v>
      </c>
      <c r="W32" s="991">
        <v>25</v>
      </c>
      <c r="X32" s="1042" t="s">
        <v>116</v>
      </c>
    </row>
    <row r="33" spans="1:24" ht="15.75" customHeight="1">
      <c r="A33" s="1243" t="s">
        <v>4363</v>
      </c>
      <c r="B33" s="1249" t="s">
        <v>4370</v>
      </c>
      <c r="C33" s="1250">
        <v>16</v>
      </c>
      <c r="D33" s="1251" t="s">
        <v>3912</v>
      </c>
      <c r="E33" s="1250">
        <v>300</v>
      </c>
      <c r="F33" s="1252">
        <v>4800</v>
      </c>
      <c r="G33" s="991"/>
      <c r="H33" s="1045">
        <v>4</v>
      </c>
      <c r="I33" s="1045">
        <v>2</v>
      </c>
      <c r="J33" s="991">
        <v>1</v>
      </c>
      <c r="K33" s="991">
        <v>1</v>
      </c>
      <c r="L33" s="1045">
        <v>4</v>
      </c>
      <c r="M33" s="991">
        <v>2</v>
      </c>
      <c r="N33" s="991">
        <v>1</v>
      </c>
      <c r="O33" s="991">
        <v>1</v>
      </c>
      <c r="P33" s="1045">
        <v>4</v>
      </c>
      <c r="Q33" s="991">
        <v>2</v>
      </c>
      <c r="R33" s="991">
        <v>1</v>
      </c>
      <c r="S33" s="991">
        <v>1</v>
      </c>
      <c r="T33" s="1045">
        <v>4</v>
      </c>
      <c r="U33" s="991">
        <v>2</v>
      </c>
      <c r="V33" s="991">
        <v>1</v>
      </c>
      <c r="W33" s="991">
        <v>1</v>
      </c>
      <c r="X33" s="1042" t="s">
        <v>116</v>
      </c>
    </row>
    <row r="34" spans="1:24" ht="15.75" customHeight="1">
      <c r="A34" s="1243" t="s">
        <v>4363</v>
      </c>
      <c r="B34" s="1249" t="s">
        <v>3650</v>
      </c>
      <c r="C34" s="1250">
        <v>2</v>
      </c>
      <c r="D34" s="1251" t="s">
        <v>902</v>
      </c>
      <c r="E34" s="1250">
        <v>212.87</v>
      </c>
      <c r="F34" s="1252">
        <v>425.74</v>
      </c>
      <c r="G34" s="991"/>
      <c r="H34" s="1045">
        <v>1</v>
      </c>
      <c r="I34" s="1045">
        <v>1</v>
      </c>
      <c r="J34" s="991"/>
      <c r="K34" s="991"/>
      <c r="L34" s="1045">
        <v>1</v>
      </c>
      <c r="M34" s="991">
        <v>1</v>
      </c>
      <c r="N34" s="991"/>
      <c r="O34" s="991"/>
      <c r="P34" s="1045">
        <v>0</v>
      </c>
      <c r="Q34" s="991"/>
      <c r="R34" s="991"/>
      <c r="S34" s="991"/>
      <c r="T34" s="1045">
        <v>0</v>
      </c>
      <c r="U34" s="991"/>
      <c r="V34" s="991"/>
      <c r="W34" s="991"/>
      <c r="X34" s="1042" t="s">
        <v>116</v>
      </c>
    </row>
    <row r="35" spans="1:24" ht="15.75" customHeight="1">
      <c r="A35" s="1243" t="s">
        <v>4363</v>
      </c>
      <c r="B35" s="1249" t="s">
        <v>3652</v>
      </c>
      <c r="C35" s="1250">
        <v>40</v>
      </c>
      <c r="D35" s="1251" t="s">
        <v>189</v>
      </c>
      <c r="E35" s="1250">
        <v>20.79</v>
      </c>
      <c r="F35" s="1252">
        <v>831.6</v>
      </c>
      <c r="G35" s="991"/>
      <c r="H35" s="1045">
        <v>10</v>
      </c>
      <c r="I35" s="1045">
        <v>5</v>
      </c>
      <c r="J35" s="991">
        <v>5</v>
      </c>
      <c r="K35" s="991"/>
      <c r="L35" s="1045">
        <v>10</v>
      </c>
      <c r="M35" s="991">
        <v>5</v>
      </c>
      <c r="N35" s="991">
        <v>5</v>
      </c>
      <c r="O35" s="991"/>
      <c r="P35" s="1045">
        <v>10</v>
      </c>
      <c r="Q35" s="991">
        <v>5</v>
      </c>
      <c r="R35" s="991">
        <v>5</v>
      </c>
      <c r="S35" s="991"/>
      <c r="T35" s="1045">
        <v>10</v>
      </c>
      <c r="U35" s="991">
        <v>5</v>
      </c>
      <c r="V35" s="991">
        <v>5</v>
      </c>
      <c r="W35" s="991"/>
      <c r="X35" s="1042" t="s">
        <v>116</v>
      </c>
    </row>
    <row r="36" spans="1:24" ht="15.75" customHeight="1">
      <c r="A36" s="1243" t="s">
        <v>4363</v>
      </c>
      <c r="B36" s="1249" t="s">
        <v>4371</v>
      </c>
      <c r="C36" s="1250">
        <v>6</v>
      </c>
      <c r="D36" s="1251" t="s">
        <v>155</v>
      </c>
      <c r="E36" s="1250">
        <v>65</v>
      </c>
      <c r="F36" s="1252">
        <v>390</v>
      </c>
      <c r="G36" s="991"/>
      <c r="H36" s="1045">
        <v>2</v>
      </c>
      <c r="I36" s="1045">
        <v>1</v>
      </c>
      <c r="J36" s="991">
        <v>1</v>
      </c>
      <c r="K36" s="991"/>
      <c r="L36" s="1045">
        <v>2</v>
      </c>
      <c r="M36" s="991">
        <v>1</v>
      </c>
      <c r="N36" s="991">
        <v>1</v>
      </c>
      <c r="O36" s="991"/>
      <c r="P36" s="1045">
        <v>1</v>
      </c>
      <c r="Q36" s="991">
        <v>1</v>
      </c>
      <c r="R36" s="991"/>
      <c r="S36" s="991"/>
      <c r="T36" s="1045">
        <v>1</v>
      </c>
      <c r="U36" s="991">
        <v>1</v>
      </c>
      <c r="V36" s="991"/>
      <c r="W36" s="991"/>
      <c r="X36" s="1042" t="s">
        <v>116</v>
      </c>
    </row>
    <row r="37" spans="1:24" ht="15.75" customHeight="1">
      <c r="A37" s="1243" t="s">
        <v>4363</v>
      </c>
      <c r="B37" s="1249" t="s">
        <v>4372</v>
      </c>
      <c r="C37" s="1250">
        <v>6</v>
      </c>
      <c r="D37" s="1251" t="s">
        <v>902</v>
      </c>
      <c r="E37" s="1250">
        <v>200</v>
      </c>
      <c r="F37" s="1252">
        <v>1200</v>
      </c>
      <c r="G37" s="991"/>
      <c r="H37" s="1045">
        <v>6</v>
      </c>
      <c r="I37" s="1045">
        <v>6</v>
      </c>
      <c r="J37" s="991"/>
      <c r="K37" s="991"/>
      <c r="L37" s="1045">
        <v>0</v>
      </c>
      <c r="M37" s="991"/>
      <c r="N37" s="991"/>
      <c r="O37" s="991"/>
      <c r="P37" s="1045">
        <v>0</v>
      </c>
      <c r="Q37" s="991"/>
      <c r="R37" s="991"/>
      <c r="S37" s="991"/>
      <c r="T37" s="1045">
        <v>0</v>
      </c>
      <c r="U37" s="991"/>
      <c r="V37" s="991"/>
      <c r="W37" s="991"/>
      <c r="X37" s="1042" t="s">
        <v>116</v>
      </c>
    </row>
    <row r="38" spans="1:24" ht="15.75" customHeight="1">
      <c r="A38" s="1243" t="s">
        <v>4363</v>
      </c>
      <c r="B38" s="1249" t="s">
        <v>3671</v>
      </c>
      <c r="C38" s="1250">
        <v>20</v>
      </c>
      <c r="D38" s="1251" t="s">
        <v>4231</v>
      </c>
      <c r="E38" s="1250">
        <v>104</v>
      </c>
      <c r="F38" s="1252">
        <v>2080</v>
      </c>
      <c r="G38" s="991"/>
      <c r="H38" s="1045">
        <v>5</v>
      </c>
      <c r="I38" s="1045">
        <v>5</v>
      </c>
      <c r="J38" s="991"/>
      <c r="K38" s="991"/>
      <c r="L38" s="1045">
        <v>5</v>
      </c>
      <c r="M38" s="991">
        <v>5</v>
      </c>
      <c r="N38" s="991"/>
      <c r="O38" s="991"/>
      <c r="P38" s="1045">
        <v>5</v>
      </c>
      <c r="Q38" s="991">
        <v>5</v>
      </c>
      <c r="R38" s="991"/>
      <c r="S38" s="991"/>
      <c r="T38" s="1045">
        <v>5</v>
      </c>
      <c r="U38" s="991">
        <v>5</v>
      </c>
      <c r="V38" s="991"/>
      <c r="W38" s="991"/>
      <c r="X38" s="1042" t="s">
        <v>116</v>
      </c>
    </row>
    <row r="39" spans="1:24" ht="15.75" customHeight="1">
      <c r="A39" s="1243" t="s">
        <v>4363</v>
      </c>
      <c r="B39" s="1249" t="s">
        <v>3679</v>
      </c>
      <c r="C39" s="1250">
        <v>4</v>
      </c>
      <c r="D39" s="1251" t="s">
        <v>189</v>
      </c>
      <c r="E39" s="1250">
        <v>135.19999999999999</v>
      </c>
      <c r="F39" s="1252">
        <v>540.79999999999995</v>
      </c>
      <c r="G39" s="991"/>
      <c r="H39" s="1045">
        <v>1</v>
      </c>
      <c r="I39" s="1045">
        <v>1</v>
      </c>
      <c r="J39" s="991"/>
      <c r="K39" s="991"/>
      <c r="L39" s="1045">
        <v>1</v>
      </c>
      <c r="M39" s="991">
        <v>1</v>
      </c>
      <c r="N39" s="991"/>
      <c r="O39" s="991"/>
      <c r="P39" s="1045">
        <v>1</v>
      </c>
      <c r="Q39" s="991">
        <v>1</v>
      </c>
      <c r="R39" s="991"/>
      <c r="S39" s="991"/>
      <c r="T39" s="1045">
        <v>1</v>
      </c>
      <c r="U39" s="991">
        <v>1</v>
      </c>
      <c r="V39" s="991"/>
      <c r="W39" s="991"/>
      <c r="X39" s="1042" t="s">
        <v>116</v>
      </c>
    </row>
    <row r="40" spans="1:24" ht="15.75" customHeight="1">
      <c r="A40" s="1243" t="s">
        <v>4363</v>
      </c>
      <c r="B40" s="1249" t="s">
        <v>3681</v>
      </c>
      <c r="C40" s="1250">
        <v>4</v>
      </c>
      <c r="D40" s="1251" t="s">
        <v>902</v>
      </c>
      <c r="E40" s="1250">
        <v>16.64</v>
      </c>
      <c r="F40" s="1252">
        <v>66.56</v>
      </c>
      <c r="G40" s="991"/>
      <c r="H40" s="1045">
        <v>1</v>
      </c>
      <c r="I40" s="1045">
        <v>1</v>
      </c>
      <c r="J40" s="991"/>
      <c r="K40" s="991"/>
      <c r="L40" s="1045">
        <v>1</v>
      </c>
      <c r="M40" s="991">
        <v>1</v>
      </c>
      <c r="N40" s="991"/>
      <c r="O40" s="991"/>
      <c r="P40" s="1045">
        <v>1</v>
      </c>
      <c r="Q40" s="991">
        <v>1</v>
      </c>
      <c r="R40" s="991"/>
      <c r="S40" s="991"/>
      <c r="T40" s="1045">
        <v>1</v>
      </c>
      <c r="U40" s="991">
        <v>1</v>
      </c>
      <c r="V40" s="991"/>
      <c r="W40" s="991"/>
      <c r="X40" s="1042" t="s">
        <v>116</v>
      </c>
    </row>
    <row r="41" spans="1:24" ht="15.75" customHeight="1">
      <c r="A41" s="1243" t="s">
        <v>4363</v>
      </c>
      <c r="B41" s="1249" t="s">
        <v>3683</v>
      </c>
      <c r="C41" s="1250">
        <v>4</v>
      </c>
      <c r="D41" s="1251" t="s">
        <v>3027</v>
      </c>
      <c r="E41" s="1250">
        <v>33.369999999999997</v>
      </c>
      <c r="F41" s="1252">
        <v>133.47999999999999</v>
      </c>
      <c r="G41" s="991"/>
      <c r="H41" s="1045">
        <v>1</v>
      </c>
      <c r="I41" s="1045">
        <v>1</v>
      </c>
      <c r="J41" s="991"/>
      <c r="K41" s="991"/>
      <c r="L41" s="1045">
        <v>1</v>
      </c>
      <c r="M41" s="991">
        <v>1</v>
      </c>
      <c r="N41" s="991"/>
      <c r="O41" s="991"/>
      <c r="P41" s="1045">
        <v>1</v>
      </c>
      <c r="Q41" s="991">
        <v>1</v>
      </c>
      <c r="R41" s="991"/>
      <c r="S41" s="991"/>
      <c r="T41" s="1045">
        <v>1</v>
      </c>
      <c r="U41" s="991">
        <v>1</v>
      </c>
      <c r="V41" s="991"/>
      <c r="W41" s="991"/>
      <c r="X41" s="1042" t="s">
        <v>116</v>
      </c>
    </row>
    <row r="42" spans="1:24" ht="15.75" customHeight="1">
      <c r="A42" s="1243" t="s">
        <v>4363</v>
      </c>
      <c r="B42" s="1249" t="s">
        <v>4313</v>
      </c>
      <c r="C42" s="1250">
        <v>200</v>
      </c>
      <c r="D42" s="1251" t="s">
        <v>902</v>
      </c>
      <c r="E42" s="1250">
        <v>22.2</v>
      </c>
      <c r="F42" s="1252">
        <v>4440</v>
      </c>
      <c r="G42" s="991"/>
      <c r="H42" s="1045">
        <v>50</v>
      </c>
      <c r="I42" s="1045">
        <v>50</v>
      </c>
      <c r="J42" s="991"/>
      <c r="K42" s="991"/>
      <c r="L42" s="1045">
        <v>50</v>
      </c>
      <c r="M42" s="991">
        <v>50</v>
      </c>
      <c r="N42" s="991"/>
      <c r="O42" s="991"/>
      <c r="P42" s="1045">
        <v>50</v>
      </c>
      <c r="Q42" s="991">
        <v>50</v>
      </c>
      <c r="R42" s="991"/>
      <c r="S42" s="991"/>
      <c r="T42" s="1045">
        <v>50</v>
      </c>
      <c r="U42" s="991">
        <v>50</v>
      </c>
      <c r="V42" s="991"/>
      <c r="W42" s="991"/>
      <c r="X42" s="1042" t="s">
        <v>116</v>
      </c>
    </row>
    <row r="43" spans="1:24" ht="15.75" customHeight="1">
      <c r="A43" s="1243" t="s">
        <v>4363</v>
      </c>
      <c r="B43" s="1249" t="s">
        <v>3695</v>
      </c>
      <c r="C43" s="1250">
        <v>4</v>
      </c>
      <c r="D43" s="1251" t="s">
        <v>638</v>
      </c>
      <c r="E43" s="1250">
        <v>28.9</v>
      </c>
      <c r="F43" s="1252">
        <v>115.6</v>
      </c>
      <c r="G43" s="991"/>
      <c r="H43" s="1045">
        <v>1</v>
      </c>
      <c r="I43" s="1045">
        <v>1</v>
      </c>
      <c r="J43" s="991"/>
      <c r="K43" s="991"/>
      <c r="L43" s="1045">
        <v>1</v>
      </c>
      <c r="M43" s="991">
        <v>1</v>
      </c>
      <c r="N43" s="991"/>
      <c r="O43" s="991"/>
      <c r="P43" s="1045">
        <v>1</v>
      </c>
      <c r="Q43" s="991">
        <v>1</v>
      </c>
      <c r="R43" s="991"/>
      <c r="S43" s="991"/>
      <c r="T43" s="1045">
        <v>1</v>
      </c>
      <c r="U43" s="991">
        <v>1</v>
      </c>
      <c r="V43" s="991"/>
      <c r="W43" s="991"/>
      <c r="X43" s="1042" t="s">
        <v>116</v>
      </c>
    </row>
    <row r="44" spans="1:24" ht="15.75" customHeight="1">
      <c r="A44" s="1243" t="s">
        <v>4363</v>
      </c>
      <c r="B44" s="1249" t="s">
        <v>3697</v>
      </c>
      <c r="C44" s="1250">
        <v>8</v>
      </c>
      <c r="D44" s="1251" t="s">
        <v>902</v>
      </c>
      <c r="E44" s="1250">
        <v>39.92</v>
      </c>
      <c r="F44" s="1252">
        <v>319.36</v>
      </c>
      <c r="G44" s="991"/>
      <c r="H44" s="1045">
        <v>2</v>
      </c>
      <c r="I44" s="1045">
        <v>2</v>
      </c>
      <c r="J44" s="991"/>
      <c r="K44" s="991"/>
      <c r="L44" s="1045">
        <v>2</v>
      </c>
      <c r="M44" s="991">
        <v>2</v>
      </c>
      <c r="N44" s="991"/>
      <c r="O44" s="991"/>
      <c r="P44" s="1045">
        <v>2</v>
      </c>
      <c r="Q44" s="991">
        <v>2</v>
      </c>
      <c r="R44" s="991"/>
      <c r="S44" s="991"/>
      <c r="T44" s="1045">
        <v>2</v>
      </c>
      <c r="U44" s="991">
        <v>2</v>
      </c>
      <c r="V44" s="991"/>
      <c r="W44" s="991"/>
      <c r="X44" s="1042" t="s">
        <v>116</v>
      </c>
    </row>
    <row r="45" spans="1:24" ht="15.75" customHeight="1">
      <c r="A45" s="1243" t="s">
        <v>4363</v>
      </c>
      <c r="B45" s="1249" t="s">
        <v>4232</v>
      </c>
      <c r="C45" s="1250">
        <v>4</v>
      </c>
      <c r="D45" s="1251" t="s">
        <v>189</v>
      </c>
      <c r="E45" s="1250">
        <v>22.55</v>
      </c>
      <c r="F45" s="1252">
        <v>90.2</v>
      </c>
      <c r="G45" s="991"/>
      <c r="H45" s="1045">
        <v>1</v>
      </c>
      <c r="I45" s="1045">
        <v>1</v>
      </c>
      <c r="J45" s="991"/>
      <c r="K45" s="991"/>
      <c r="L45" s="1045">
        <v>1</v>
      </c>
      <c r="M45" s="991">
        <v>1</v>
      </c>
      <c r="N45" s="991"/>
      <c r="O45" s="991"/>
      <c r="P45" s="1045">
        <v>1</v>
      </c>
      <c r="Q45" s="991">
        <v>1</v>
      </c>
      <c r="R45" s="991"/>
      <c r="S45" s="991"/>
      <c r="T45" s="1045">
        <v>1</v>
      </c>
      <c r="U45" s="991">
        <v>1</v>
      </c>
      <c r="V45" s="991"/>
      <c r="W45" s="991"/>
      <c r="X45" s="1042" t="s">
        <v>116</v>
      </c>
    </row>
    <row r="46" spans="1:24" ht="15.75" customHeight="1">
      <c r="A46" s="1243" t="s">
        <v>4363</v>
      </c>
      <c r="B46" s="1249" t="s">
        <v>3703</v>
      </c>
      <c r="C46" s="1250">
        <v>84</v>
      </c>
      <c r="D46" s="1251" t="s">
        <v>189</v>
      </c>
      <c r="E46" s="1250">
        <v>23.76</v>
      </c>
      <c r="F46" s="1252">
        <v>1995.84</v>
      </c>
      <c r="G46" s="991"/>
      <c r="H46" s="1045">
        <v>21</v>
      </c>
      <c r="I46" s="1045">
        <v>7</v>
      </c>
      <c r="J46" s="991">
        <v>7</v>
      </c>
      <c r="K46" s="991">
        <v>7</v>
      </c>
      <c r="L46" s="1045">
        <v>21</v>
      </c>
      <c r="M46" s="991">
        <v>7</v>
      </c>
      <c r="N46" s="991">
        <v>7</v>
      </c>
      <c r="O46" s="991">
        <v>7</v>
      </c>
      <c r="P46" s="1045">
        <v>21</v>
      </c>
      <c r="Q46" s="991">
        <v>7</v>
      </c>
      <c r="R46" s="991">
        <v>7</v>
      </c>
      <c r="S46" s="991">
        <v>7</v>
      </c>
      <c r="T46" s="1045">
        <v>21</v>
      </c>
      <c r="U46" s="991">
        <v>7</v>
      </c>
      <c r="V46" s="991">
        <v>7</v>
      </c>
      <c r="W46" s="991">
        <v>7</v>
      </c>
      <c r="X46" s="1042" t="s">
        <v>116</v>
      </c>
    </row>
    <row r="47" spans="1:24" ht="15.75" customHeight="1">
      <c r="A47" s="1243" t="s">
        <v>4363</v>
      </c>
      <c r="B47" s="1249" t="s">
        <v>3705</v>
      </c>
      <c r="C47" s="1250">
        <v>2</v>
      </c>
      <c r="D47" s="1251" t="s">
        <v>466</v>
      </c>
      <c r="E47" s="1250">
        <v>888.16</v>
      </c>
      <c r="F47" s="1252">
        <v>1776.32</v>
      </c>
      <c r="G47" s="991"/>
      <c r="H47" s="1045">
        <v>2</v>
      </c>
      <c r="I47" s="1045">
        <v>2</v>
      </c>
      <c r="J47" s="991"/>
      <c r="K47" s="991"/>
      <c r="L47" s="1045">
        <v>0</v>
      </c>
      <c r="M47" s="991"/>
      <c r="N47" s="991"/>
      <c r="O47" s="991"/>
      <c r="P47" s="1045">
        <v>0</v>
      </c>
      <c r="Q47" s="991"/>
      <c r="R47" s="991"/>
      <c r="S47" s="991"/>
      <c r="T47" s="1045">
        <v>0</v>
      </c>
      <c r="U47" s="991"/>
      <c r="V47" s="991"/>
      <c r="W47" s="991"/>
      <c r="X47" s="1042" t="s">
        <v>116</v>
      </c>
    </row>
    <row r="48" spans="1:24" ht="15.75" customHeight="1">
      <c r="A48" s="1243" t="s">
        <v>4363</v>
      </c>
      <c r="B48" s="1249" t="s">
        <v>3707</v>
      </c>
      <c r="C48" s="1250">
        <v>3</v>
      </c>
      <c r="D48" s="1251" t="s">
        <v>902</v>
      </c>
      <c r="E48" s="1250">
        <v>145.6</v>
      </c>
      <c r="F48" s="1252">
        <v>436.8</v>
      </c>
      <c r="G48" s="991"/>
      <c r="H48" s="1045">
        <v>3</v>
      </c>
      <c r="I48" s="1045">
        <v>3</v>
      </c>
      <c r="J48" s="991"/>
      <c r="K48" s="991"/>
      <c r="L48" s="1045">
        <v>0</v>
      </c>
      <c r="M48" s="991"/>
      <c r="N48" s="991"/>
      <c r="O48" s="991"/>
      <c r="P48" s="1045">
        <v>0</v>
      </c>
      <c r="Q48" s="991"/>
      <c r="R48" s="991"/>
      <c r="S48" s="991"/>
      <c r="T48" s="1045">
        <v>0</v>
      </c>
      <c r="U48" s="991"/>
      <c r="V48" s="991"/>
      <c r="W48" s="991"/>
      <c r="X48" s="1042" t="s">
        <v>116</v>
      </c>
    </row>
    <row r="49" spans="1:24" ht="15.75" customHeight="1">
      <c r="A49" s="1243" t="s">
        <v>4363</v>
      </c>
      <c r="B49" s="1249" t="s">
        <v>4373</v>
      </c>
      <c r="C49" s="1250">
        <v>3</v>
      </c>
      <c r="D49" s="1251" t="s">
        <v>902</v>
      </c>
      <c r="E49" s="1253">
        <v>8000</v>
      </c>
      <c r="F49" s="1252">
        <v>24000</v>
      </c>
      <c r="G49" s="991"/>
      <c r="H49" s="1045">
        <v>3</v>
      </c>
      <c r="I49" s="1045">
        <v>3</v>
      </c>
      <c r="J49" s="991"/>
      <c r="K49" s="991"/>
      <c r="L49" s="1045">
        <v>0</v>
      </c>
      <c r="M49" s="991"/>
      <c r="N49" s="991"/>
      <c r="O49" s="991"/>
      <c r="P49" s="1045">
        <v>0</v>
      </c>
      <c r="Q49" s="991"/>
      <c r="R49" s="991"/>
      <c r="S49" s="991"/>
      <c r="T49" s="1045">
        <v>0</v>
      </c>
      <c r="U49" s="991"/>
      <c r="V49" s="991"/>
      <c r="W49" s="991"/>
      <c r="X49" s="1042" t="s">
        <v>116</v>
      </c>
    </row>
    <row r="50" spans="1:24" ht="15.75" customHeight="1">
      <c r="A50" s="1243" t="s">
        <v>4363</v>
      </c>
      <c r="B50" s="1249" t="s">
        <v>4233</v>
      </c>
      <c r="C50" s="1250">
        <v>24</v>
      </c>
      <c r="D50" s="1251" t="s">
        <v>4229</v>
      </c>
      <c r="E50" s="1250">
        <v>10</v>
      </c>
      <c r="F50" s="1252">
        <v>240</v>
      </c>
      <c r="G50" s="991"/>
      <c r="H50" s="1045">
        <v>6</v>
      </c>
      <c r="I50" s="1045">
        <v>6</v>
      </c>
      <c r="J50" s="991"/>
      <c r="K50" s="991"/>
      <c r="L50" s="1045">
        <v>6</v>
      </c>
      <c r="M50" s="991">
        <v>6</v>
      </c>
      <c r="N50" s="991"/>
      <c r="O50" s="991"/>
      <c r="P50" s="1045">
        <v>6</v>
      </c>
      <c r="Q50" s="991">
        <v>6</v>
      </c>
      <c r="R50" s="991"/>
      <c r="S50" s="991"/>
      <c r="T50" s="1045">
        <v>6</v>
      </c>
      <c r="U50" s="991">
        <v>6</v>
      </c>
      <c r="V50" s="991"/>
      <c r="W50" s="991"/>
      <c r="X50" s="1042" t="s">
        <v>116</v>
      </c>
    </row>
    <row r="51" spans="1:24" ht="15.75" customHeight="1">
      <c r="A51" s="1243" t="s">
        <v>4363</v>
      </c>
      <c r="B51" s="1249" t="s">
        <v>3723</v>
      </c>
      <c r="C51" s="1250">
        <v>12</v>
      </c>
      <c r="D51" s="1251" t="s">
        <v>263</v>
      </c>
      <c r="E51" s="1250">
        <v>11.18</v>
      </c>
      <c r="F51" s="1252">
        <v>134.16</v>
      </c>
      <c r="G51" s="991"/>
      <c r="H51" s="1045">
        <v>3</v>
      </c>
      <c r="I51" s="1045">
        <v>1</v>
      </c>
      <c r="J51" s="991">
        <v>1</v>
      </c>
      <c r="K51" s="991">
        <v>1</v>
      </c>
      <c r="L51" s="1045">
        <v>3</v>
      </c>
      <c r="M51" s="991">
        <v>1</v>
      </c>
      <c r="N51" s="991">
        <v>1</v>
      </c>
      <c r="O51" s="991">
        <v>1</v>
      </c>
      <c r="P51" s="1045">
        <v>3</v>
      </c>
      <c r="Q51" s="991">
        <v>1</v>
      </c>
      <c r="R51" s="991">
        <v>1</v>
      </c>
      <c r="S51" s="991">
        <v>1</v>
      </c>
      <c r="T51" s="1045">
        <v>3</v>
      </c>
      <c r="U51" s="991">
        <v>1</v>
      </c>
      <c r="V51" s="991">
        <v>1</v>
      </c>
      <c r="W51" s="991">
        <v>1</v>
      </c>
      <c r="X51" s="1042" t="s">
        <v>116</v>
      </c>
    </row>
    <row r="52" spans="1:24" ht="15.75" customHeight="1">
      <c r="A52" s="1243" t="s">
        <v>4363</v>
      </c>
      <c r="B52" s="1249" t="s">
        <v>4234</v>
      </c>
      <c r="C52" s="1250">
        <v>3</v>
      </c>
      <c r="D52" s="1251" t="s">
        <v>466</v>
      </c>
      <c r="E52" s="1250">
        <v>72.8</v>
      </c>
      <c r="F52" s="1252">
        <v>218.4</v>
      </c>
      <c r="G52" s="991"/>
      <c r="H52" s="1045">
        <v>3</v>
      </c>
      <c r="I52" s="1045">
        <v>3</v>
      </c>
      <c r="J52" s="991"/>
      <c r="K52" s="991"/>
      <c r="L52" s="1045">
        <v>0</v>
      </c>
      <c r="M52" s="991"/>
      <c r="N52" s="991"/>
      <c r="O52" s="991"/>
      <c r="P52" s="1045">
        <v>0</v>
      </c>
      <c r="Q52" s="991"/>
      <c r="R52" s="991"/>
      <c r="S52" s="991"/>
      <c r="T52" s="1045">
        <v>0</v>
      </c>
      <c r="U52" s="991"/>
      <c r="V52" s="991"/>
      <c r="W52" s="991"/>
      <c r="X52" s="1042" t="s">
        <v>116</v>
      </c>
    </row>
    <row r="53" spans="1:24" ht="15.75" customHeight="1">
      <c r="A53" s="991" t="s">
        <v>4374</v>
      </c>
      <c r="B53" s="1249" t="s">
        <v>3297</v>
      </c>
      <c r="C53" s="1250">
        <v>8</v>
      </c>
      <c r="D53" s="1251" t="s">
        <v>4247</v>
      </c>
      <c r="E53" s="1250">
        <v>81.64</v>
      </c>
      <c r="F53" s="1252">
        <v>653.12</v>
      </c>
      <c r="G53" s="991"/>
      <c r="H53" s="1045">
        <v>2</v>
      </c>
      <c r="I53" s="1045">
        <v>1</v>
      </c>
      <c r="J53" s="991">
        <v>1</v>
      </c>
      <c r="K53" s="991"/>
      <c r="L53" s="1045">
        <v>2</v>
      </c>
      <c r="M53" s="991">
        <v>1</v>
      </c>
      <c r="N53" s="991">
        <v>1</v>
      </c>
      <c r="O53" s="991"/>
      <c r="P53" s="1045">
        <v>2</v>
      </c>
      <c r="Q53" s="991">
        <v>1</v>
      </c>
      <c r="R53" s="991">
        <v>1</v>
      </c>
      <c r="S53" s="991"/>
      <c r="T53" s="1045">
        <v>2</v>
      </c>
      <c r="U53" s="991">
        <v>1</v>
      </c>
      <c r="V53" s="991">
        <v>1</v>
      </c>
      <c r="W53" s="991"/>
      <c r="X53" s="1042" t="s">
        <v>116</v>
      </c>
    </row>
    <row r="54" spans="1:24" ht="15.75" customHeight="1">
      <c r="A54" s="991" t="s">
        <v>4374</v>
      </c>
      <c r="B54" s="1249" t="s">
        <v>3302</v>
      </c>
      <c r="C54" s="1250">
        <v>4</v>
      </c>
      <c r="D54" s="1251" t="s">
        <v>4375</v>
      </c>
      <c r="E54" s="1250">
        <v>330.55</v>
      </c>
      <c r="F54" s="1252">
        <v>1322.2</v>
      </c>
      <c r="G54" s="991"/>
      <c r="H54" s="1045">
        <v>1</v>
      </c>
      <c r="I54" s="1045">
        <v>1</v>
      </c>
      <c r="J54" s="991"/>
      <c r="K54" s="991"/>
      <c r="L54" s="1045">
        <v>1</v>
      </c>
      <c r="M54" s="991">
        <v>1</v>
      </c>
      <c r="N54" s="991"/>
      <c r="O54" s="991"/>
      <c r="P54" s="1045">
        <v>1</v>
      </c>
      <c r="Q54" s="991">
        <v>1</v>
      </c>
      <c r="R54" s="991"/>
      <c r="S54" s="991"/>
      <c r="T54" s="1045">
        <v>1</v>
      </c>
      <c r="U54" s="991">
        <v>1</v>
      </c>
      <c r="V54" s="991"/>
      <c r="W54" s="991"/>
      <c r="X54" s="1042" t="s">
        <v>116</v>
      </c>
    </row>
    <row r="55" spans="1:24" ht="15.75" customHeight="1">
      <c r="A55" s="991" t="s">
        <v>4374</v>
      </c>
      <c r="B55" s="1249" t="s">
        <v>4248</v>
      </c>
      <c r="C55" s="1250">
        <v>4</v>
      </c>
      <c r="D55" s="1251" t="s">
        <v>902</v>
      </c>
      <c r="E55" s="1250">
        <v>136.24</v>
      </c>
      <c r="F55" s="1252">
        <v>544.96</v>
      </c>
      <c r="G55" s="991"/>
      <c r="H55" s="1045">
        <v>1</v>
      </c>
      <c r="I55" s="1045">
        <v>1</v>
      </c>
      <c r="J55" s="991"/>
      <c r="K55" s="991"/>
      <c r="L55" s="1045">
        <v>1</v>
      </c>
      <c r="M55" s="991">
        <v>1</v>
      </c>
      <c r="N55" s="991"/>
      <c r="O55" s="991"/>
      <c r="P55" s="1045">
        <v>1</v>
      </c>
      <c r="Q55" s="991">
        <v>1</v>
      </c>
      <c r="R55" s="991"/>
      <c r="S55" s="991"/>
      <c r="T55" s="1045">
        <v>1</v>
      </c>
      <c r="U55" s="991">
        <v>1</v>
      </c>
      <c r="V55" s="991"/>
      <c r="W55" s="991"/>
      <c r="X55" s="1042" t="s">
        <v>116</v>
      </c>
    </row>
    <row r="56" spans="1:24" ht="15.75" customHeight="1">
      <c r="A56" s="991" t="s">
        <v>4374</v>
      </c>
      <c r="B56" s="1249" t="s">
        <v>3340</v>
      </c>
      <c r="C56" s="1250">
        <v>4</v>
      </c>
      <c r="D56" s="1251" t="s">
        <v>638</v>
      </c>
      <c r="E56" s="1250">
        <v>41.6</v>
      </c>
      <c r="F56" s="1252">
        <v>166.4</v>
      </c>
      <c r="G56" s="991"/>
      <c r="H56" s="1045">
        <v>1</v>
      </c>
      <c r="I56" s="1045">
        <v>1</v>
      </c>
      <c r="J56" s="991"/>
      <c r="K56" s="991"/>
      <c r="L56" s="1045">
        <v>1</v>
      </c>
      <c r="M56" s="991">
        <v>1</v>
      </c>
      <c r="N56" s="991"/>
      <c r="O56" s="991"/>
      <c r="P56" s="1045">
        <v>1</v>
      </c>
      <c r="Q56" s="991">
        <v>1</v>
      </c>
      <c r="R56" s="991"/>
      <c r="S56" s="991"/>
      <c r="T56" s="1045">
        <v>1</v>
      </c>
      <c r="U56" s="991">
        <v>1</v>
      </c>
      <c r="V56" s="991"/>
      <c r="W56" s="991"/>
      <c r="X56" s="1042" t="s">
        <v>116</v>
      </c>
    </row>
    <row r="57" spans="1:24" ht="15.75" customHeight="1">
      <c r="A57" s="991" t="s">
        <v>4374</v>
      </c>
      <c r="B57" s="1249" t="s">
        <v>4249</v>
      </c>
      <c r="C57" s="1250">
        <v>12</v>
      </c>
      <c r="D57" s="1251" t="s">
        <v>4250</v>
      </c>
      <c r="E57" s="1250">
        <v>54.08</v>
      </c>
      <c r="F57" s="1252">
        <v>648.96</v>
      </c>
      <c r="G57" s="991"/>
      <c r="H57" s="1045">
        <v>3</v>
      </c>
      <c r="I57" s="1045">
        <v>1</v>
      </c>
      <c r="J57" s="991">
        <v>1</v>
      </c>
      <c r="K57" s="991">
        <v>1</v>
      </c>
      <c r="L57" s="1045">
        <v>3</v>
      </c>
      <c r="M57" s="991">
        <v>1</v>
      </c>
      <c r="N57" s="991">
        <v>1</v>
      </c>
      <c r="O57" s="991">
        <v>1</v>
      </c>
      <c r="P57" s="1045">
        <v>3</v>
      </c>
      <c r="Q57" s="991">
        <v>1</v>
      </c>
      <c r="R57" s="991">
        <v>1</v>
      </c>
      <c r="S57" s="991">
        <v>1</v>
      </c>
      <c r="T57" s="1045">
        <v>3</v>
      </c>
      <c r="U57" s="991">
        <v>1</v>
      </c>
      <c r="V57" s="991">
        <v>1</v>
      </c>
      <c r="W57" s="991">
        <v>1</v>
      </c>
      <c r="X57" s="1042" t="s">
        <v>116</v>
      </c>
    </row>
    <row r="58" spans="1:24" ht="15.75" customHeight="1">
      <c r="A58" s="991" t="s">
        <v>4374</v>
      </c>
      <c r="B58" s="1249" t="s">
        <v>3389</v>
      </c>
      <c r="C58" s="1250">
        <v>4</v>
      </c>
      <c r="D58" s="1251" t="s">
        <v>4247</v>
      </c>
      <c r="E58" s="1250">
        <v>139.88999999999999</v>
      </c>
      <c r="F58" s="1252">
        <v>559.55999999999995</v>
      </c>
      <c r="G58" s="991"/>
      <c r="H58" s="1045">
        <v>1</v>
      </c>
      <c r="I58" s="1045">
        <v>1</v>
      </c>
      <c r="J58" s="991"/>
      <c r="K58" s="991"/>
      <c r="L58" s="1045">
        <v>1</v>
      </c>
      <c r="M58" s="991">
        <v>1</v>
      </c>
      <c r="N58" s="991"/>
      <c r="O58" s="991"/>
      <c r="P58" s="1045">
        <v>1</v>
      </c>
      <c r="Q58" s="991">
        <v>1</v>
      </c>
      <c r="R58" s="991"/>
      <c r="S58" s="991"/>
      <c r="T58" s="1045">
        <v>1</v>
      </c>
      <c r="U58" s="991">
        <v>1</v>
      </c>
      <c r="V58" s="991"/>
      <c r="W58" s="991"/>
      <c r="X58" s="1042" t="s">
        <v>116</v>
      </c>
    </row>
    <row r="59" spans="1:24" ht="15.75" customHeight="1">
      <c r="A59" s="991" t="s">
        <v>4374</v>
      </c>
      <c r="B59" s="1249" t="s">
        <v>4251</v>
      </c>
      <c r="C59" s="1250">
        <v>8</v>
      </c>
      <c r="D59" s="1251" t="s">
        <v>902</v>
      </c>
      <c r="E59" s="1250">
        <v>30</v>
      </c>
      <c r="F59" s="1252">
        <v>240</v>
      </c>
      <c r="G59" s="991"/>
      <c r="H59" s="1045">
        <v>2</v>
      </c>
      <c r="I59" s="1045">
        <v>1</v>
      </c>
      <c r="J59" s="991">
        <v>1</v>
      </c>
      <c r="K59" s="991"/>
      <c r="L59" s="1045">
        <v>2</v>
      </c>
      <c r="M59" s="991">
        <v>1</v>
      </c>
      <c r="N59" s="991">
        <v>1</v>
      </c>
      <c r="O59" s="991"/>
      <c r="P59" s="1045">
        <v>2</v>
      </c>
      <c r="Q59" s="991">
        <v>1</v>
      </c>
      <c r="R59" s="991">
        <v>1</v>
      </c>
      <c r="S59" s="991"/>
      <c r="T59" s="1045">
        <v>2</v>
      </c>
      <c r="U59" s="991">
        <v>1</v>
      </c>
      <c r="V59" s="991">
        <v>1</v>
      </c>
      <c r="W59" s="991"/>
      <c r="X59" s="1042" t="s">
        <v>116</v>
      </c>
    </row>
    <row r="60" spans="1:24" ht="15.75" customHeight="1">
      <c r="A60" s="991" t="s">
        <v>4374</v>
      </c>
      <c r="B60" s="1249" t="s">
        <v>4252</v>
      </c>
      <c r="C60" s="1250">
        <v>2</v>
      </c>
      <c r="D60" s="1251" t="s">
        <v>902</v>
      </c>
      <c r="E60" s="1250">
        <v>27.64</v>
      </c>
      <c r="F60" s="1252">
        <v>55.28</v>
      </c>
      <c r="G60" s="991"/>
      <c r="H60" s="1045">
        <v>1</v>
      </c>
      <c r="I60" s="1045">
        <v>1</v>
      </c>
      <c r="J60" s="991"/>
      <c r="K60" s="991"/>
      <c r="L60" s="1045">
        <v>1</v>
      </c>
      <c r="M60" s="991">
        <v>1</v>
      </c>
      <c r="N60" s="991"/>
      <c r="O60" s="991"/>
      <c r="P60" s="1045">
        <v>0</v>
      </c>
      <c r="Q60" s="991"/>
      <c r="R60" s="991"/>
      <c r="S60" s="991"/>
      <c r="T60" s="1045">
        <v>0</v>
      </c>
      <c r="U60" s="991"/>
      <c r="V60" s="991"/>
      <c r="W60" s="991"/>
      <c r="X60" s="1042" t="s">
        <v>116</v>
      </c>
    </row>
    <row r="61" spans="1:24" ht="15.75" customHeight="1">
      <c r="A61" s="991" t="s">
        <v>4374</v>
      </c>
      <c r="B61" s="1249" t="s">
        <v>3574</v>
      </c>
      <c r="C61" s="1250">
        <v>4</v>
      </c>
      <c r="D61" s="1251" t="s">
        <v>4247</v>
      </c>
      <c r="E61" s="1250">
        <v>139.36000000000001</v>
      </c>
      <c r="F61" s="1252">
        <v>557.44000000000005</v>
      </c>
      <c r="G61" s="991"/>
      <c r="H61" s="1045">
        <v>1</v>
      </c>
      <c r="I61" s="1045">
        <v>1</v>
      </c>
      <c r="J61" s="991"/>
      <c r="K61" s="991"/>
      <c r="L61" s="1045">
        <v>1</v>
      </c>
      <c r="M61" s="991">
        <v>1</v>
      </c>
      <c r="N61" s="991"/>
      <c r="O61" s="991"/>
      <c r="P61" s="1045">
        <v>1</v>
      </c>
      <c r="Q61" s="991">
        <v>1</v>
      </c>
      <c r="R61" s="991"/>
      <c r="S61" s="991"/>
      <c r="T61" s="1045">
        <v>1</v>
      </c>
      <c r="U61" s="991">
        <v>1</v>
      </c>
      <c r="V61" s="991"/>
      <c r="W61" s="991"/>
      <c r="X61" s="1042" t="s">
        <v>116</v>
      </c>
    </row>
    <row r="62" spans="1:24" ht="15.75" customHeight="1">
      <c r="A62" s="991" t="s">
        <v>4374</v>
      </c>
      <c r="B62" s="1249" t="s">
        <v>4253</v>
      </c>
      <c r="C62" s="1250">
        <v>4</v>
      </c>
      <c r="D62" s="1251" t="s">
        <v>638</v>
      </c>
      <c r="E62" s="1250">
        <v>80.849999999999994</v>
      </c>
      <c r="F62" s="1252">
        <v>323.39999999999998</v>
      </c>
      <c r="G62" s="991"/>
      <c r="H62" s="1045">
        <v>1</v>
      </c>
      <c r="I62" s="1045">
        <v>1</v>
      </c>
      <c r="J62" s="991"/>
      <c r="K62" s="991"/>
      <c r="L62" s="1045">
        <v>1</v>
      </c>
      <c r="M62" s="991">
        <v>1</v>
      </c>
      <c r="N62" s="991"/>
      <c r="O62" s="991"/>
      <c r="P62" s="1045">
        <v>1</v>
      </c>
      <c r="Q62" s="991">
        <v>1</v>
      </c>
      <c r="R62" s="991"/>
      <c r="S62" s="991"/>
      <c r="T62" s="1045">
        <v>1</v>
      </c>
      <c r="U62" s="991">
        <v>1</v>
      </c>
      <c r="V62" s="991"/>
      <c r="W62" s="991"/>
      <c r="X62" s="1042" t="s">
        <v>116</v>
      </c>
    </row>
    <row r="63" spans="1:24" ht="15">
      <c r="A63" s="991" t="s">
        <v>4374</v>
      </c>
      <c r="B63" s="1249" t="s">
        <v>4254</v>
      </c>
      <c r="C63" s="1250">
        <v>4</v>
      </c>
      <c r="D63" s="1251" t="s">
        <v>638</v>
      </c>
      <c r="E63" s="1250">
        <v>42.95</v>
      </c>
      <c r="F63" s="1252">
        <v>171.8</v>
      </c>
      <c r="G63" s="991"/>
      <c r="H63" s="1045">
        <v>1</v>
      </c>
      <c r="I63" s="1045">
        <v>1</v>
      </c>
      <c r="J63" s="991"/>
      <c r="K63" s="991"/>
      <c r="L63" s="1045">
        <v>1</v>
      </c>
      <c r="M63" s="991">
        <v>1</v>
      </c>
      <c r="N63" s="991"/>
      <c r="O63" s="991"/>
      <c r="P63" s="1045">
        <v>1</v>
      </c>
      <c r="Q63" s="991">
        <v>1</v>
      </c>
      <c r="R63" s="991"/>
      <c r="S63" s="991"/>
      <c r="T63" s="1045">
        <v>1</v>
      </c>
      <c r="U63" s="991">
        <v>1</v>
      </c>
      <c r="V63" s="991"/>
      <c r="W63" s="991"/>
      <c r="X63" s="1042" t="s">
        <v>116</v>
      </c>
    </row>
    <row r="64" spans="1:24" ht="15">
      <c r="A64" s="991" t="s">
        <v>4374</v>
      </c>
      <c r="B64" s="1249" t="s">
        <v>4255</v>
      </c>
      <c r="C64" s="1250">
        <v>8</v>
      </c>
      <c r="D64" s="1251" t="s">
        <v>155</v>
      </c>
      <c r="E64" s="1250">
        <v>144.04</v>
      </c>
      <c r="F64" s="1252">
        <v>1152.32</v>
      </c>
      <c r="G64" s="991"/>
      <c r="H64" s="1045">
        <v>2</v>
      </c>
      <c r="I64" s="1045">
        <v>2</v>
      </c>
      <c r="J64" s="991"/>
      <c r="K64" s="991"/>
      <c r="L64" s="1045">
        <v>2</v>
      </c>
      <c r="M64" s="991">
        <v>2</v>
      </c>
      <c r="N64" s="991"/>
      <c r="O64" s="991"/>
      <c r="P64" s="1045">
        <v>2</v>
      </c>
      <c r="Q64" s="991">
        <v>2</v>
      </c>
      <c r="R64" s="991"/>
      <c r="S64" s="991"/>
      <c r="T64" s="1045">
        <v>2</v>
      </c>
      <c r="U64" s="991">
        <v>2</v>
      </c>
      <c r="V64" s="991"/>
      <c r="W64" s="991"/>
      <c r="X64" s="1042" t="s">
        <v>116</v>
      </c>
    </row>
    <row r="65" spans="1:24" ht="15">
      <c r="A65" s="991" t="s">
        <v>4363</v>
      </c>
      <c r="B65" s="1249" t="s">
        <v>4223</v>
      </c>
      <c r="C65" s="1250">
        <v>120</v>
      </c>
      <c r="D65" s="1251" t="s">
        <v>2993</v>
      </c>
      <c r="E65" s="1250">
        <v>4.51</v>
      </c>
      <c r="F65" s="1252">
        <v>541.20000000000005</v>
      </c>
      <c r="G65" s="991" t="s">
        <v>513</v>
      </c>
      <c r="H65" s="1045">
        <v>30</v>
      </c>
      <c r="I65" s="1045">
        <v>10</v>
      </c>
      <c r="J65" s="991">
        <v>10</v>
      </c>
      <c r="K65" s="991">
        <v>10</v>
      </c>
      <c r="L65" s="1045">
        <v>30</v>
      </c>
      <c r="M65" s="991">
        <v>10</v>
      </c>
      <c r="N65" s="991">
        <v>10</v>
      </c>
      <c r="O65" s="991">
        <v>10</v>
      </c>
      <c r="P65" s="1045">
        <v>30</v>
      </c>
      <c r="Q65" s="991">
        <v>10</v>
      </c>
      <c r="R65" s="991">
        <v>10</v>
      </c>
      <c r="S65" s="991">
        <v>10</v>
      </c>
      <c r="T65" s="1045">
        <v>30</v>
      </c>
      <c r="U65" s="991">
        <v>10</v>
      </c>
      <c r="V65" s="991">
        <v>10</v>
      </c>
      <c r="W65" s="991">
        <v>10</v>
      </c>
      <c r="X65" s="1042" t="s">
        <v>137</v>
      </c>
    </row>
    <row r="66" spans="1:24" ht="15">
      <c r="A66" s="991" t="s">
        <v>4363</v>
      </c>
      <c r="B66" s="1249" t="s">
        <v>4224</v>
      </c>
      <c r="C66" s="1250">
        <v>24</v>
      </c>
      <c r="D66" s="1251" t="s">
        <v>2993</v>
      </c>
      <c r="E66" s="1250">
        <v>4.51</v>
      </c>
      <c r="F66" s="1252">
        <v>108.24</v>
      </c>
      <c r="G66" s="991" t="s">
        <v>513</v>
      </c>
      <c r="H66" s="1045">
        <v>6</v>
      </c>
      <c r="I66" s="1045">
        <v>2</v>
      </c>
      <c r="J66" s="991">
        <v>2</v>
      </c>
      <c r="K66" s="991">
        <v>2</v>
      </c>
      <c r="L66" s="1045">
        <v>6</v>
      </c>
      <c r="M66" s="991">
        <v>2</v>
      </c>
      <c r="N66" s="991">
        <v>2</v>
      </c>
      <c r="O66" s="991">
        <v>2</v>
      </c>
      <c r="P66" s="1045">
        <v>6</v>
      </c>
      <c r="Q66" s="991">
        <v>2</v>
      </c>
      <c r="R66" s="991">
        <v>2</v>
      </c>
      <c r="S66" s="991">
        <v>2</v>
      </c>
      <c r="T66" s="1045">
        <v>6</v>
      </c>
      <c r="U66" s="991">
        <v>2</v>
      </c>
      <c r="V66" s="991">
        <v>2</v>
      </c>
      <c r="W66" s="991">
        <v>2</v>
      </c>
      <c r="X66" s="1042" t="s">
        <v>137</v>
      </c>
    </row>
    <row r="67" spans="1:24" ht="15">
      <c r="A67" s="991" t="s">
        <v>4363</v>
      </c>
      <c r="B67" s="1249" t="s">
        <v>4376</v>
      </c>
      <c r="C67" s="1250">
        <v>16</v>
      </c>
      <c r="D67" s="1251" t="s">
        <v>2993</v>
      </c>
      <c r="E67" s="1250">
        <v>4.51</v>
      </c>
      <c r="F67" s="1252">
        <v>72.16</v>
      </c>
      <c r="G67" s="991" t="s">
        <v>513</v>
      </c>
      <c r="H67" s="1045">
        <v>4</v>
      </c>
      <c r="I67" s="1045">
        <v>2</v>
      </c>
      <c r="J67" s="991">
        <v>1</v>
      </c>
      <c r="K67" s="991">
        <v>1</v>
      </c>
      <c r="L67" s="1045">
        <v>4</v>
      </c>
      <c r="M67" s="991">
        <v>2</v>
      </c>
      <c r="N67" s="991">
        <v>1</v>
      </c>
      <c r="O67" s="991">
        <v>1</v>
      </c>
      <c r="P67" s="1045">
        <v>4</v>
      </c>
      <c r="Q67" s="991">
        <v>2</v>
      </c>
      <c r="R67" s="991">
        <v>1</v>
      </c>
      <c r="S67" s="991">
        <v>1</v>
      </c>
      <c r="T67" s="1045">
        <v>4</v>
      </c>
      <c r="U67" s="991">
        <v>2</v>
      </c>
      <c r="V67" s="991">
        <v>1</v>
      </c>
      <c r="W67" s="991">
        <v>1</v>
      </c>
      <c r="X67" s="1042" t="s">
        <v>137</v>
      </c>
    </row>
    <row r="68" spans="1:24" ht="15">
      <c r="A68" s="991" t="s">
        <v>4363</v>
      </c>
      <c r="B68" s="1249" t="s">
        <v>3305</v>
      </c>
      <c r="C68" s="1250">
        <v>12</v>
      </c>
      <c r="D68" s="1251" t="s">
        <v>4235</v>
      </c>
      <c r="E68" s="1250">
        <v>18.34</v>
      </c>
      <c r="F68" s="1252">
        <v>220.08</v>
      </c>
      <c r="G68" s="991" t="s">
        <v>513</v>
      </c>
      <c r="H68" s="1045">
        <v>3</v>
      </c>
      <c r="I68" s="1045">
        <v>1</v>
      </c>
      <c r="J68" s="991">
        <v>1</v>
      </c>
      <c r="K68" s="991">
        <v>1</v>
      </c>
      <c r="L68" s="1045">
        <v>3</v>
      </c>
      <c r="M68" s="991">
        <v>1</v>
      </c>
      <c r="N68" s="991">
        <v>1</v>
      </c>
      <c r="O68" s="991">
        <v>1</v>
      </c>
      <c r="P68" s="1045">
        <v>3</v>
      </c>
      <c r="Q68" s="991">
        <v>1</v>
      </c>
      <c r="R68" s="991">
        <v>1</v>
      </c>
      <c r="S68" s="991">
        <v>1</v>
      </c>
      <c r="T68" s="1045">
        <v>3</v>
      </c>
      <c r="U68" s="991">
        <v>1</v>
      </c>
      <c r="V68" s="991">
        <v>1</v>
      </c>
      <c r="W68" s="991">
        <v>1</v>
      </c>
      <c r="X68" s="1042" t="s">
        <v>137</v>
      </c>
    </row>
    <row r="69" spans="1:24" ht="15">
      <c r="A69" s="991" t="s">
        <v>4363</v>
      </c>
      <c r="B69" s="1249" t="s">
        <v>3308</v>
      </c>
      <c r="C69" s="1250">
        <v>12</v>
      </c>
      <c r="D69" s="1251" t="s">
        <v>4235</v>
      </c>
      <c r="E69" s="1250">
        <v>20.49</v>
      </c>
      <c r="F69" s="1252">
        <v>245.88</v>
      </c>
      <c r="G69" s="991" t="s">
        <v>513</v>
      </c>
      <c r="H69" s="1045">
        <v>3</v>
      </c>
      <c r="I69" s="1045">
        <v>1</v>
      </c>
      <c r="J69" s="991">
        <v>1</v>
      </c>
      <c r="K69" s="991">
        <v>1</v>
      </c>
      <c r="L69" s="1045">
        <v>3</v>
      </c>
      <c r="M69" s="991">
        <v>1</v>
      </c>
      <c r="N69" s="991">
        <v>1</v>
      </c>
      <c r="O69" s="991">
        <v>1</v>
      </c>
      <c r="P69" s="1045">
        <v>3</v>
      </c>
      <c r="Q69" s="991">
        <v>1</v>
      </c>
      <c r="R69" s="991">
        <v>1</v>
      </c>
      <c r="S69" s="991">
        <v>1</v>
      </c>
      <c r="T69" s="1045">
        <v>3</v>
      </c>
      <c r="U69" s="991">
        <v>1</v>
      </c>
      <c r="V69" s="991">
        <v>1</v>
      </c>
      <c r="W69" s="991">
        <v>1</v>
      </c>
      <c r="X69" s="1042" t="s">
        <v>137</v>
      </c>
    </row>
    <row r="70" spans="1:24" ht="15">
      <c r="A70" s="991" t="s">
        <v>4363</v>
      </c>
      <c r="B70" s="1249" t="s">
        <v>4377</v>
      </c>
      <c r="C70" s="1250">
        <v>6</v>
      </c>
      <c r="D70" s="1251" t="s">
        <v>3409</v>
      </c>
      <c r="E70" s="1250">
        <v>56.04</v>
      </c>
      <c r="F70" s="1252">
        <v>336.24</v>
      </c>
      <c r="G70" s="991" t="s">
        <v>513</v>
      </c>
      <c r="H70" s="1045">
        <v>2</v>
      </c>
      <c r="I70" s="1045">
        <v>1</v>
      </c>
      <c r="J70" s="991">
        <v>0</v>
      </c>
      <c r="K70" s="991">
        <v>1</v>
      </c>
      <c r="L70" s="1045">
        <v>1</v>
      </c>
      <c r="M70" s="991">
        <v>1</v>
      </c>
      <c r="N70" s="991">
        <v>0</v>
      </c>
      <c r="O70" s="991">
        <v>0</v>
      </c>
      <c r="P70" s="1045">
        <v>2</v>
      </c>
      <c r="Q70" s="991">
        <v>1</v>
      </c>
      <c r="R70" s="991">
        <v>0</v>
      </c>
      <c r="S70" s="991">
        <v>1</v>
      </c>
      <c r="T70" s="1045">
        <v>1</v>
      </c>
      <c r="U70" s="991">
        <v>0</v>
      </c>
      <c r="V70" s="991">
        <v>1</v>
      </c>
      <c r="W70" s="991">
        <v>0</v>
      </c>
      <c r="X70" s="1042" t="s">
        <v>137</v>
      </c>
    </row>
    <row r="71" spans="1:24" ht="15">
      <c r="A71" s="991" t="s">
        <v>4363</v>
      </c>
      <c r="B71" s="1249" t="s">
        <v>3405</v>
      </c>
      <c r="C71" s="1250">
        <v>1</v>
      </c>
      <c r="D71" s="1251" t="s">
        <v>3409</v>
      </c>
      <c r="E71" s="1250">
        <v>764.4</v>
      </c>
      <c r="F71" s="1252">
        <v>764.4</v>
      </c>
      <c r="G71" s="991" t="s">
        <v>513</v>
      </c>
      <c r="H71" s="1045">
        <v>1</v>
      </c>
      <c r="I71" s="1045">
        <v>1</v>
      </c>
      <c r="J71" s="991">
        <v>0</v>
      </c>
      <c r="K71" s="991">
        <v>0</v>
      </c>
      <c r="L71" s="1045">
        <v>0</v>
      </c>
      <c r="M71" s="991">
        <v>0</v>
      </c>
      <c r="N71" s="991">
        <v>0</v>
      </c>
      <c r="O71" s="991">
        <v>0</v>
      </c>
      <c r="P71" s="1045">
        <v>0</v>
      </c>
      <c r="Q71" s="991">
        <v>0</v>
      </c>
      <c r="R71" s="991">
        <v>0</v>
      </c>
      <c r="S71" s="991">
        <v>0</v>
      </c>
      <c r="T71" s="1045">
        <v>0</v>
      </c>
      <c r="U71" s="991">
        <v>0</v>
      </c>
      <c r="V71" s="991">
        <v>0</v>
      </c>
      <c r="W71" s="991">
        <v>0</v>
      </c>
      <c r="X71" s="1042" t="s">
        <v>137</v>
      </c>
    </row>
    <row r="72" spans="1:24" ht="15">
      <c r="A72" s="991" t="s">
        <v>4363</v>
      </c>
      <c r="B72" s="1249" t="s">
        <v>3408</v>
      </c>
      <c r="C72" s="1250">
        <v>1</v>
      </c>
      <c r="D72" s="1251" t="s">
        <v>3409</v>
      </c>
      <c r="E72" s="1250">
        <v>980.72</v>
      </c>
      <c r="F72" s="1252">
        <v>980.72</v>
      </c>
      <c r="G72" s="991" t="s">
        <v>513</v>
      </c>
      <c r="H72" s="1045">
        <v>1</v>
      </c>
      <c r="I72" s="1045">
        <v>1</v>
      </c>
      <c r="J72" s="991">
        <v>0</v>
      </c>
      <c r="K72" s="991">
        <v>0</v>
      </c>
      <c r="L72" s="1045">
        <v>0</v>
      </c>
      <c r="M72" s="991">
        <v>0</v>
      </c>
      <c r="N72" s="991">
        <v>0</v>
      </c>
      <c r="O72" s="991">
        <v>0</v>
      </c>
      <c r="P72" s="1045">
        <v>0</v>
      </c>
      <c r="Q72" s="991">
        <v>0</v>
      </c>
      <c r="R72" s="991">
        <v>0</v>
      </c>
      <c r="S72" s="991">
        <v>0</v>
      </c>
      <c r="T72" s="1045">
        <v>0</v>
      </c>
      <c r="U72" s="991">
        <v>0</v>
      </c>
      <c r="V72" s="991">
        <v>0</v>
      </c>
      <c r="W72" s="991">
        <v>0</v>
      </c>
      <c r="X72" s="1042" t="s">
        <v>137</v>
      </c>
    </row>
    <row r="73" spans="1:24" ht="15">
      <c r="A73" s="991" t="s">
        <v>4363</v>
      </c>
      <c r="B73" s="1249" t="s">
        <v>3326</v>
      </c>
      <c r="C73" s="1250">
        <v>6</v>
      </c>
      <c r="D73" s="1251" t="s">
        <v>446</v>
      </c>
      <c r="E73" s="1250">
        <v>266.24</v>
      </c>
      <c r="F73" s="1252">
        <v>1597.44</v>
      </c>
      <c r="G73" s="991" t="s">
        <v>513</v>
      </c>
      <c r="H73" s="1045">
        <v>2</v>
      </c>
      <c r="I73" s="1045">
        <v>1</v>
      </c>
      <c r="J73" s="991">
        <v>0</v>
      </c>
      <c r="K73" s="991">
        <v>1</v>
      </c>
      <c r="L73" s="1045">
        <v>1</v>
      </c>
      <c r="M73" s="991">
        <v>0</v>
      </c>
      <c r="N73" s="991">
        <v>1</v>
      </c>
      <c r="O73" s="991">
        <v>0</v>
      </c>
      <c r="P73" s="1045">
        <v>2</v>
      </c>
      <c r="Q73" s="991">
        <v>1</v>
      </c>
      <c r="R73" s="991">
        <v>0</v>
      </c>
      <c r="S73" s="991">
        <v>1</v>
      </c>
      <c r="T73" s="1045">
        <v>1</v>
      </c>
      <c r="U73" s="991">
        <v>0</v>
      </c>
      <c r="V73" s="991">
        <v>1</v>
      </c>
      <c r="W73" s="991">
        <v>0</v>
      </c>
      <c r="X73" s="1042" t="s">
        <v>137</v>
      </c>
    </row>
    <row r="74" spans="1:24" ht="15">
      <c r="A74" s="991" t="s">
        <v>4363</v>
      </c>
      <c r="B74" s="1249" t="s">
        <v>3331</v>
      </c>
      <c r="C74" s="1250">
        <v>4</v>
      </c>
      <c r="D74" s="1251" t="s">
        <v>3409</v>
      </c>
      <c r="E74" s="1250">
        <v>238.54</v>
      </c>
      <c r="F74" s="1252">
        <v>954.16</v>
      </c>
      <c r="G74" s="991" t="s">
        <v>513</v>
      </c>
      <c r="H74" s="1045">
        <v>1</v>
      </c>
      <c r="I74" s="1045">
        <v>1</v>
      </c>
      <c r="J74" s="991">
        <v>0</v>
      </c>
      <c r="K74" s="991">
        <v>0</v>
      </c>
      <c r="L74" s="1045">
        <v>1</v>
      </c>
      <c r="M74" s="991">
        <v>1</v>
      </c>
      <c r="N74" s="991">
        <v>0</v>
      </c>
      <c r="O74" s="991">
        <v>0</v>
      </c>
      <c r="P74" s="1045">
        <v>1</v>
      </c>
      <c r="Q74" s="991">
        <v>1</v>
      </c>
      <c r="R74" s="991">
        <v>0</v>
      </c>
      <c r="S74" s="991">
        <v>0</v>
      </c>
      <c r="T74" s="1045">
        <v>1</v>
      </c>
      <c r="U74" s="991">
        <v>1</v>
      </c>
      <c r="V74" s="991">
        <v>0</v>
      </c>
      <c r="W74" s="991">
        <v>0</v>
      </c>
      <c r="X74" s="1042" t="s">
        <v>137</v>
      </c>
    </row>
    <row r="75" spans="1:24" ht="15">
      <c r="A75" s="991" t="s">
        <v>4363</v>
      </c>
      <c r="B75" s="1249" t="s">
        <v>4271</v>
      </c>
      <c r="C75" s="1250">
        <v>2</v>
      </c>
      <c r="D75" s="1251" t="s">
        <v>2993</v>
      </c>
      <c r="E75" s="1250">
        <v>32.909999999999997</v>
      </c>
      <c r="F75" s="1252">
        <v>65.819999999999993</v>
      </c>
      <c r="G75" s="991" t="s">
        <v>513</v>
      </c>
      <c r="H75" s="1045">
        <v>2</v>
      </c>
      <c r="I75" s="1045">
        <v>2</v>
      </c>
      <c r="J75" s="991">
        <v>0</v>
      </c>
      <c r="K75" s="991">
        <v>0</v>
      </c>
      <c r="L75" s="1045">
        <v>0</v>
      </c>
      <c r="M75" s="991">
        <v>0</v>
      </c>
      <c r="N75" s="991">
        <v>0</v>
      </c>
      <c r="O75" s="991">
        <v>0</v>
      </c>
      <c r="P75" s="1045">
        <v>0</v>
      </c>
      <c r="Q75" s="991">
        <v>0</v>
      </c>
      <c r="R75" s="991">
        <v>0</v>
      </c>
      <c r="S75" s="991">
        <v>0</v>
      </c>
      <c r="T75" s="1045">
        <v>0</v>
      </c>
      <c r="U75" s="991">
        <v>0</v>
      </c>
      <c r="V75" s="991">
        <v>0</v>
      </c>
      <c r="W75" s="991">
        <v>0</v>
      </c>
      <c r="X75" s="1042" t="s">
        <v>137</v>
      </c>
    </row>
    <row r="76" spans="1:24" ht="15">
      <c r="A76" s="991" t="s">
        <v>4363</v>
      </c>
      <c r="B76" s="1249" t="s">
        <v>4272</v>
      </c>
      <c r="C76" s="1250">
        <v>2</v>
      </c>
      <c r="D76" s="1251" t="s">
        <v>2993</v>
      </c>
      <c r="E76" s="1250">
        <v>36.36</v>
      </c>
      <c r="F76" s="1252">
        <v>72.72</v>
      </c>
      <c r="G76" s="991" t="s">
        <v>513</v>
      </c>
      <c r="H76" s="1045">
        <v>2</v>
      </c>
      <c r="I76" s="1045">
        <v>2</v>
      </c>
      <c r="J76" s="991">
        <v>0</v>
      </c>
      <c r="K76" s="991">
        <v>0</v>
      </c>
      <c r="L76" s="1045">
        <v>0</v>
      </c>
      <c r="M76" s="991">
        <v>0</v>
      </c>
      <c r="N76" s="991">
        <v>0</v>
      </c>
      <c r="O76" s="991">
        <v>0</v>
      </c>
      <c r="P76" s="1045">
        <v>0</v>
      </c>
      <c r="Q76" s="991">
        <v>0</v>
      </c>
      <c r="R76" s="991">
        <v>0</v>
      </c>
      <c r="S76" s="991">
        <v>0</v>
      </c>
      <c r="T76" s="1045">
        <v>0</v>
      </c>
      <c r="U76" s="991">
        <v>0</v>
      </c>
      <c r="V76" s="991">
        <v>0</v>
      </c>
      <c r="W76" s="991">
        <v>0</v>
      </c>
      <c r="X76" s="1042" t="s">
        <v>137</v>
      </c>
    </row>
    <row r="77" spans="1:24" ht="15">
      <c r="A77" s="991" t="s">
        <v>4363</v>
      </c>
      <c r="B77" s="1249" t="s">
        <v>3369</v>
      </c>
      <c r="C77" s="1250">
        <v>20</v>
      </c>
      <c r="D77" s="1251" t="s">
        <v>2993</v>
      </c>
      <c r="E77" s="1250">
        <v>11.53</v>
      </c>
      <c r="F77" s="1252">
        <v>230.6</v>
      </c>
      <c r="G77" s="991" t="s">
        <v>513</v>
      </c>
      <c r="H77" s="1045">
        <v>5</v>
      </c>
      <c r="I77" s="1045">
        <v>5</v>
      </c>
      <c r="J77" s="991">
        <v>0</v>
      </c>
      <c r="K77" s="991">
        <v>0</v>
      </c>
      <c r="L77" s="1045">
        <v>5</v>
      </c>
      <c r="M77" s="991">
        <v>5</v>
      </c>
      <c r="N77" s="991">
        <v>0</v>
      </c>
      <c r="O77" s="991">
        <v>0</v>
      </c>
      <c r="P77" s="1045">
        <v>5</v>
      </c>
      <c r="Q77" s="991">
        <v>5</v>
      </c>
      <c r="R77" s="991">
        <v>0</v>
      </c>
      <c r="S77" s="991">
        <v>0</v>
      </c>
      <c r="T77" s="1045">
        <v>5</v>
      </c>
      <c r="U77" s="991">
        <v>5</v>
      </c>
      <c r="V77" s="991">
        <v>0</v>
      </c>
      <c r="W77" s="991">
        <v>0</v>
      </c>
      <c r="X77" s="1042" t="s">
        <v>137</v>
      </c>
    </row>
    <row r="78" spans="1:24" ht="15">
      <c r="A78" s="991" t="s">
        <v>4363</v>
      </c>
      <c r="B78" s="1249" t="s">
        <v>3373</v>
      </c>
      <c r="C78" s="1250">
        <v>240</v>
      </c>
      <c r="D78" s="1251" t="s">
        <v>2993</v>
      </c>
      <c r="E78" s="1250">
        <v>77.2</v>
      </c>
      <c r="F78" s="1252">
        <v>18528</v>
      </c>
      <c r="G78" s="991" t="s">
        <v>513</v>
      </c>
      <c r="H78" s="1045">
        <v>60</v>
      </c>
      <c r="I78" s="1045">
        <v>20</v>
      </c>
      <c r="J78" s="991">
        <v>20</v>
      </c>
      <c r="K78" s="991">
        <v>20</v>
      </c>
      <c r="L78" s="1045">
        <v>60</v>
      </c>
      <c r="M78" s="991">
        <v>20</v>
      </c>
      <c r="N78" s="991">
        <v>20</v>
      </c>
      <c r="O78" s="991">
        <v>20</v>
      </c>
      <c r="P78" s="1045">
        <v>60</v>
      </c>
      <c r="Q78" s="991">
        <v>20</v>
      </c>
      <c r="R78" s="991">
        <v>20</v>
      </c>
      <c r="S78" s="991">
        <v>20</v>
      </c>
      <c r="T78" s="1045">
        <v>60</v>
      </c>
      <c r="U78" s="991">
        <v>20</v>
      </c>
      <c r="V78" s="991">
        <v>20</v>
      </c>
      <c r="W78" s="991">
        <v>20</v>
      </c>
      <c r="X78" s="1042" t="s">
        <v>137</v>
      </c>
    </row>
    <row r="79" spans="1:24" ht="15">
      <c r="A79" s="991" t="s">
        <v>4363</v>
      </c>
      <c r="B79" s="1249" t="s">
        <v>3926</v>
      </c>
      <c r="C79" s="1250">
        <v>6</v>
      </c>
      <c r="D79" s="1251" t="s">
        <v>2993</v>
      </c>
      <c r="E79" s="1250">
        <v>32.450000000000003</v>
      </c>
      <c r="F79" s="1252">
        <v>194.7</v>
      </c>
      <c r="G79" s="991" t="s">
        <v>513</v>
      </c>
      <c r="H79" s="1045">
        <v>2</v>
      </c>
      <c r="I79" s="1045">
        <v>1</v>
      </c>
      <c r="J79" s="991">
        <v>0</v>
      </c>
      <c r="K79" s="991">
        <v>1</v>
      </c>
      <c r="L79" s="1045">
        <v>1</v>
      </c>
      <c r="M79" s="991">
        <v>0</v>
      </c>
      <c r="N79" s="991">
        <v>1</v>
      </c>
      <c r="O79" s="991">
        <v>0</v>
      </c>
      <c r="P79" s="1045">
        <v>2</v>
      </c>
      <c r="Q79" s="991">
        <v>1</v>
      </c>
      <c r="R79" s="991">
        <v>0</v>
      </c>
      <c r="S79" s="991">
        <v>1</v>
      </c>
      <c r="T79" s="1045">
        <v>1</v>
      </c>
      <c r="U79" s="991">
        <v>0</v>
      </c>
      <c r="V79" s="991">
        <v>1</v>
      </c>
      <c r="W79" s="991">
        <v>0</v>
      </c>
      <c r="X79" s="1042" t="s">
        <v>137</v>
      </c>
    </row>
    <row r="80" spans="1:24" ht="15">
      <c r="A80" s="991" t="s">
        <v>4363</v>
      </c>
      <c r="B80" s="1249" t="s">
        <v>3413</v>
      </c>
      <c r="C80" s="1250">
        <v>4</v>
      </c>
      <c r="D80" s="1251" t="s">
        <v>2993</v>
      </c>
      <c r="E80" s="1250">
        <v>30.49</v>
      </c>
      <c r="F80" s="1252">
        <v>121.96</v>
      </c>
      <c r="G80" s="991" t="s">
        <v>513</v>
      </c>
      <c r="H80" s="1045">
        <v>1</v>
      </c>
      <c r="I80" s="1045">
        <v>1</v>
      </c>
      <c r="J80" s="991">
        <v>0</v>
      </c>
      <c r="K80" s="991">
        <v>0</v>
      </c>
      <c r="L80" s="1045">
        <v>1</v>
      </c>
      <c r="M80" s="991">
        <v>1</v>
      </c>
      <c r="N80" s="991">
        <v>0</v>
      </c>
      <c r="O80" s="991">
        <v>0</v>
      </c>
      <c r="P80" s="1045">
        <v>1</v>
      </c>
      <c r="Q80" s="991">
        <v>1</v>
      </c>
      <c r="R80" s="991">
        <v>0</v>
      </c>
      <c r="S80" s="991">
        <v>0</v>
      </c>
      <c r="T80" s="1045">
        <v>1</v>
      </c>
      <c r="U80" s="991">
        <v>1</v>
      </c>
      <c r="V80" s="991">
        <v>0</v>
      </c>
      <c r="W80" s="991">
        <v>0</v>
      </c>
      <c r="X80" s="1042" t="s">
        <v>137</v>
      </c>
    </row>
    <row r="81" spans="1:24" ht="15">
      <c r="A81" s="991" t="s">
        <v>4363</v>
      </c>
      <c r="B81" s="1249" t="s">
        <v>4276</v>
      </c>
      <c r="C81" s="1250">
        <v>1</v>
      </c>
      <c r="D81" s="1251" t="s">
        <v>3409</v>
      </c>
      <c r="E81" s="1250">
        <v>432.52</v>
      </c>
      <c r="F81" s="1252">
        <v>432.52</v>
      </c>
      <c r="G81" s="991" t="s">
        <v>513</v>
      </c>
      <c r="H81" s="1045">
        <v>1</v>
      </c>
      <c r="I81" s="1045">
        <v>1</v>
      </c>
      <c r="J81" s="991">
        <v>0</v>
      </c>
      <c r="K81" s="991">
        <v>0</v>
      </c>
      <c r="L81" s="1045">
        <v>0</v>
      </c>
      <c r="M81" s="991">
        <v>0</v>
      </c>
      <c r="N81" s="991">
        <v>0</v>
      </c>
      <c r="O81" s="991">
        <v>0</v>
      </c>
      <c r="P81" s="1045">
        <v>0</v>
      </c>
      <c r="Q81" s="991">
        <v>0</v>
      </c>
      <c r="R81" s="991">
        <v>0</v>
      </c>
      <c r="S81" s="991">
        <v>0</v>
      </c>
      <c r="T81" s="1045">
        <v>0</v>
      </c>
      <c r="U81" s="991">
        <v>0</v>
      </c>
      <c r="V81" s="991">
        <v>0</v>
      </c>
      <c r="W81" s="991">
        <v>0</v>
      </c>
      <c r="X81" s="1042" t="s">
        <v>137</v>
      </c>
    </row>
    <row r="82" spans="1:24" ht="15">
      <c r="A82" s="991" t="s">
        <v>4363</v>
      </c>
      <c r="B82" s="1249" t="s">
        <v>3421</v>
      </c>
      <c r="C82" s="1250">
        <v>40</v>
      </c>
      <c r="D82" s="1251" t="s">
        <v>2993</v>
      </c>
      <c r="E82" s="1250">
        <v>4.47</v>
      </c>
      <c r="F82" s="1252">
        <v>178.8</v>
      </c>
      <c r="G82" s="991" t="s">
        <v>513</v>
      </c>
      <c r="H82" s="1045">
        <v>10</v>
      </c>
      <c r="I82" s="1045">
        <v>3</v>
      </c>
      <c r="J82" s="991">
        <v>4</v>
      </c>
      <c r="K82" s="991">
        <v>3</v>
      </c>
      <c r="L82" s="1045">
        <v>10</v>
      </c>
      <c r="M82" s="991">
        <v>3</v>
      </c>
      <c r="N82" s="991">
        <v>4</v>
      </c>
      <c r="O82" s="991">
        <v>3</v>
      </c>
      <c r="P82" s="1045">
        <v>10</v>
      </c>
      <c r="Q82" s="991">
        <v>3</v>
      </c>
      <c r="R82" s="991">
        <v>4</v>
      </c>
      <c r="S82" s="991">
        <v>3</v>
      </c>
      <c r="T82" s="1045">
        <v>10</v>
      </c>
      <c r="U82" s="991">
        <v>3</v>
      </c>
      <c r="V82" s="991">
        <v>4</v>
      </c>
      <c r="W82" s="991">
        <v>3</v>
      </c>
      <c r="X82" s="1042" t="s">
        <v>137</v>
      </c>
    </row>
    <row r="83" spans="1:24" ht="15">
      <c r="A83" s="991" t="s">
        <v>4363</v>
      </c>
      <c r="B83" s="1249" t="s">
        <v>4378</v>
      </c>
      <c r="C83" s="1250">
        <v>80</v>
      </c>
      <c r="D83" s="1251" t="s">
        <v>3409</v>
      </c>
      <c r="E83" s="1250">
        <v>30.8</v>
      </c>
      <c r="F83" s="1252">
        <v>2464</v>
      </c>
      <c r="G83" s="991" t="s">
        <v>513</v>
      </c>
      <c r="H83" s="1045">
        <v>20</v>
      </c>
      <c r="I83" s="1045">
        <v>10</v>
      </c>
      <c r="J83" s="991">
        <v>5</v>
      </c>
      <c r="K83" s="991">
        <v>5</v>
      </c>
      <c r="L83" s="1045">
        <v>20</v>
      </c>
      <c r="M83" s="991">
        <v>10</v>
      </c>
      <c r="N83" s="991">
        <v>5</v>
      </c>
      <c r="O83" s="991">
        <v>5</v>
      </c>
      <c r="P83" s="1045">
        <v>20</v>
      </c>
      <c r="Q83" s="991">
        <v>10</v>
      </c>
      <c r="R83" s="991">
        <v>5</v>
      </c>
      <c r="S83" s="991">
        <v>5</v>
      </c>
      <c r="T83" s="1045">
        <v>20</v>
      </c>
      <c r="U83" s="991">
        <v>10</v>
      </c>
      <c r="V83" s="991">
        <v>5</v>
      </c>
      <c r="W83" s="991">
        <v>5</v>
      </c>
      <c r="X83" s="1042" t="s">
        <v>137</v>
      </c>
    </row>
    <row r="84" spans="1:24" ht="23.25">
      <c r="A84" s="991" t="s">
        <v>4363</v>
      </c>
      <c r="B84" s="1249" t="s">
        <v>3933</v>
      </c>
      <c r="C84" s="1250">
        <v>50</v>
      </c>
      <c r="D84" s="1251" t="s">
        <v>103</v>
      </c>
      <c r="E84" s="1250">
        <v>34.1</v>
      </c>
      <c r="F84" s="1252">
        <v>1705</v>
      </c>
      <c r="G84" s="991" t="s">
        <v>513</v>
      </c>
      <c r="H84" s="1045">
        <v>10</v>
      </c>
      <c r="I84" s="1045">
        <v>0</v>
      </c>
      <c r="J84" s="991">
        <v>10</v>
      </c>
      <c r="K84" s="991">
        <v>0</v>
      </c>
      <c r="L84" s="1045">
        <v>15</v>
      </c>
      <c r="M84" s="991">
        <v>0</v>
      </c>
      <c r="N84" s="991">
        <v>5</v>
      </c>
      <c r="O84" s="991">
        <v>10</v>
      </c>
      <c r="P84" s="1045">
        <v>10</v>
      </c>
      <c r="Q84" s="991">
        <v>0</v>
      </c>
      <c r="R84" s="991">
        <v>10</v>
      </c>
      <c r="S84" s="991">
        <v>0</v>
      </c>
      <c r="T84" s="1045">
        <v>15</v>
      </c>
      <c r="U84" s="991">
        <v>0</v>
      </c>
      <c r="V84" s="991">
        <v>10</v>
      </c>
      <c r="W84" s="991">
        <v>5</v>
      </c>
      <c r="X84" s="1042" t="s">
        <v>137</v>
      </c>
    </row>
    <row r="85" spans="1:24" ht="15">
      <c r="A85" s="991" t="s">
        <v>4363</v>
      </c>
      <c r="B85" s="1249" t="s">
        <v>3447</v>
      </c>
      <c r="C85" s="1250">
        <v>4</v>
      </c>
      <c r="D85" s="1251" t="s">
        <v>4235</v>
      </c>
      <c r="E85" s="1250">
        <v>289.12</v>
      </c>
      <c r="F85" s="1252">
        <v>1156.48</v>
      </c>
      <c r="G85" s="991" t="s">
        <v>513</v>
      </c>
      <c r="H85" s="1045">
        <v>1</v>
      </c>
      <c r="I85" s="1045">
        <v>1</v>
      </c>
      <c r="J85" s="991">
        <v>0</v>
      </c>
      <c r="K85" s="991">
        <v>0</v>
      </c>
      <c r="L85" s="1045">
        <v>1</v>
      </c>
      <c r="M85" s="991">
        <v>1</v>
      </c>
      <c r="N85" s="991">
        <v>0</v>
      </c>
      <c r="O85" s="991">
        <v>0</v>
      </c>
      <c r="P85" s="1045">
        <v>1</v>
      </c>
      <c r="Q85" s="991">
        <v>1</v>
      </c>
      <c r="R85" s="991">
        <v>0</v>
      </c>
      <c r="S85" s="991">
        <v>0</v>
      </c>
      <c r="T85" s="1045">
        <v>1</v>
      </c>
      <c r="U85" s="991">
        <v>1</v>
      </c>
      <c r="V85" s="991">
        <v>0</v>
      </c>
      <c r="W85" s="991">
        <v>0</v>
      </c>
      <c r="X85" s="1042" t="s">
        <v>137</v>
      </c>
    </row>
    <row r="86" spans="1:24" ht="15">
      <c r="A86" s="991" t="s">
        <v>4363</v>
      </c>
      <c r="B86" s="1249" t="s">
        <v>3450</v>
      </c>
      <c r="C86" s="1250">
        <v>12</v>
      </c>
      <c r="D86" s="1251" t="s">
        <v>4235</v>
      </c>
      <c r="E86" s="1250">
        <v>333.26</v>
      </c>
      <c r="F86" s="1252">
        <v>3999.12</v>
      </c>
      <c r="G86" s="991" t="s">
        <v>513</v>
      </c>
      <c r="H86" s="1045">
        <v>3</v>
      </c>
      <c r="I86" s="1045">
        <v>1</v>
      </c>
      <c r="J86" s="991">
        <v>1</v>
      </c>
      <c r="K86" s="991">
        <v>1</v>
      </c>
      <c r="L86" s="1045">
        <v>3</v>
      </c>
      <c r="M86" s="991">
        <v>1</v>
      </c>
      <c r="N86" s="991">
        <v>1</v>
      </c>
      <c r="O86" s="991">
        <v>1</v>
      </c>
      <c r="P86" s="1045">
        <v>3</v>
      </c>
      <c r="Q86" s="991">
        <v>1</v>
      </c>
      <c r="R86" s="991">
        <v>1</v>
      </c>
      <c r="S86" s="991">
        <v>1</v>
      </c>
      <c r="T86" s="1045">
        <v>3</v>
      </c>
      <c r="U86" s="991">
        <v>1</v>
      </c>
      <c r="V86" s="991">
        <v>1</v>
      </c>
      <c r="W86" s="991">
        <v>1</v>
      </c>
      <c r="X86" s="1042" t="s">
        <v>137</v>
      </c>
    </row>
    <row r="87" spans="1:24" ht="15">
      <c r="A87" s="991" t="s">
        <v>4363</v>
      </c>
      <c r="B87" s="1249" t="s">
        <v>3461</v>
      </c>
      <c r="C87" s="1250">
        <v>1</v>
      </c>
      <c r="D87" s="1251" t="s">
        <v>4379</v>
      </c>
      <c r="E87" s="1250">
        <v>70.72</v>
      </c>
      <c r="F87" s="1252">
        <v>70.72</v>
      </c>
      <c r="G87" s="991" t="s">
        <v>513</v>
      </c>
      <c r="H87" s="1045">
        <v>1</v>
      </c>
      <c r="I87" s="1045">
        <v>0</v>
      </c>
      <c r="J87" s="991">
        <v>1</v>
      </c>
      <c r="K87" s="991">
        <v>0</v>
      </c>
      <c r="L87" s="1045">
        <v>0</v>
      </c>
      <c r="M87" s="991">
        <v>0</v>
      </c>
      <c r="N87" s="991">
        <v>0</v>
      </c>
      <c r="O87" s="991">
        <v>0</v>
      </c>
      <c r="P87" s="1045">
        <v>0</v>
      </c>
      <c r="Q87" s="991">
        <v>0</v>
      </c>
      <c r="R87" s="991">
        <v>0</v>
      </c>
      <c r="S87" s="991">
        <v>0</v>
      </c>
      <c r="T87" s="1045">
        <v>0</v>
      </c>
      <c r="U87" s="991">
        <v>0</v>
      </c>
      <c r="V87" s="991">
        <v>0</v>
      </c>
      <c r="W87" s="991">
        <v>0</v>
      </c>
      <c r="X87" s="1042" t="s">
        <v>137</v>
      </c>
    </row>
    <row r="88" spans="1:24" ht="15">
      <c r="A88" s="991" t="s">
        <v>4363</v>
      </c>
      <c r="B88" s="1249" t="s">
        <v>4227</v>
      </c>
      <c r="C88" s="1250">
        <v>12</v>
      </c>
      <c r="D88" s="1251" t="s">
        <v>2993</v>
      </c>
      <c r="E88" s="1250">
        <v>7.47</v>
      </c>
      <c r="F88" s="1252">
        <v>89.64</v>
      </c>
      <c r="G88" s="991" t="s">
        <v>513</v>
      </c>
      <c r="H88" s="1045">
        <v>3</v>
      </c>
      <c r="I88" s="1045">
        <v>1</v>
      </c>
      <c r="J88" s="991">
        <v>1</v>
      </c>
      <c r="K88" s="991">
        <v>1</v>
      </c>
      <c r="L88" s="1045">
        <v>3</v>
      </c>
      <c r="M88" s="991">
        <v>1</v>
      </c>
      <c r="N88" s="991">
        <v>1</v>
      </c>
      <c r="O88" s="991">
        <v>1</v>
      </c>
      <c r="P88" s="1045">
        <v>3</v>
      </c>
      <c r="Q88" s="991">
        <v>1</v>
      </c>
      <c r="R88" s="991">
        <v>1</v>
      </c>
      <c r="S88" s="991">
        <v>1</v>
      </c>
      <c r="T88" s="1045">
        <v>3</v>
      </c>
      <c r="U88" s="991">
        <v>1</v>
      </c>
      <c r="V88" s="991">
        <v>1</v>
      </c>
      <c r="W88" s="991">
        <v>1</v>
      </c>
      <c r="X88" s="1042" t="s">
        <v>137</v>
      </c>
    </row>
    <row r="89" spans="1:24" ht="15">
      <c r="A89" s="991" t="s">
        <v>4363</v>
      </c>
      <c r="B89" s="1249" t="s">
        <v>4380</v>
      </c>
      <c r="C89" s="1250">
        <v>40</v>
      </c>
      <c r="D89" s="1251" t="s">
        <v>776</v>
      </c>
      <c r="E89" s="1250">
        <v>36.659999999999997</v>
      </c>
      <c r="F89" s="1252">
        <v>1466.4</v>
      </c>
      <c r="G89" s="991" t="s">
        <v>513</v>
      </c>
      <c r="H89" s="1045">
        <v>10</v>
      </c>
      <c r="I89" s="1045">
        <v>3</v>
      </c>
      <c r="J89" s="991">
        <v>4</v>
      </c>
      <c r="K89" s="991">
        <v>3</v>
      </c>
      <c r="L89" s="1045">
        <v>10</v>
      </c>
      <c r="M89" s="991">
        <v>3</v>
      </c>
      <c r="N89" s="991">
        <v>4</v>
      </c>
      <c r="O89" s="991">
        <v>3</v>
      </c>
      <c r="P89" s="1045">
        <v>10</v>
      </c>
      <c r="Q89" s="991">
        <v>3</v>
      </c>
      <c r="R89" s="991">
        <v>4</v>
      </c>
      <c r="S89" s="991">
        <v>3</v>
      </c>
      <c r="T89" s="1045">
        <v>10</v>
      </c>
      <c r="U89" s="991">
        <v>3</v>
      </c>
      <c r="V89" s="991">
        <v>4</v>
      </c>
      <c r="W89" s="991">
        <v>3</v>
      </c>
      <c r="X89" s="1042" t="s">
        <v>137</v>
      </c>
    </row>
    <row r="90" spans="1:24" ht="15">
      <c r="A90" s="991" t="s">
        <v>4363</v>
      </c>
      <c r="B90" s="1249" t="s">
        <v>3619</v>
      </c>
      <c r="C90" s="1250">
        <v>24</v>
      </c>
      <c r="D90" s="1251" t="s">
        <v>3620</v>
      </c>
      <c r="E90" s="1250">
        <v>52</v>
      </c>
      <c r="F90" s="1252">
        <v>1248</v>
      </c>
      <c r="G90" s="991" t="s">
        <v>513</v>
      </c>
      <c r="H90" s="1045">
        <v>6</v>
      </c>
      <c r="I90" s="1045">
        <v>2</v>
      </c>
      <c r="J90" s="991">
        <v>2</v>
      </c>
      <c r="K90" s="991">
        <v>2</v>
      </c>
      <c r="L90" s="1045">
        <v>6</v>
      </c>
      <c r="M90" s="991">
        <v>2</v>
      </c>
      <c r="N90" s="991">
        <v>2</v>
      </c>
      <c r="O90" s="991">
        <v>2</v>
      </c>
      <c r="P90" s="1045">
        <v>6</v>
      </c>
      <c r="Q90" s="991">
        <v>2</v>
      </c>
      <c r="R90" s="991">
        <v>2</v>
      </c>
      <c r="S90" s="991">
        <v>2</v>
      </c>
      <c r="T90" s="1045">
        <v>6</v>
      </c>
      <c r="U90" s="991">
        <v>2</v>
      </c>
      <c r="V90" s="991">
        <v>2</v>
      </c>
      <c r="W90" s="991">
        <v>2</v>
      </c>
      <c r="X90" s="1042" t="s">
        <v>137</v>
      </c>
    </row>
    <row r="91" spans="1:24" ht="15">
      <c r="A91" s="991" t="s">
        <v>4363</v>
      </c>
      <c r="B91" s="1249" t="s">
        <v>3630</v>
      </c>
      <c r="C91" s="1250">
        <v>24</v>
      </c>
      <c r="D91" s="1251" t="s">
        <v>3409</v>
      </c>
      <c r="E91" s="1250">
        <v>8.82</v>
      </c>
      <c r="F91" s="1252">
        <v>211.68</v>
      </c>
      <c r="G91" s="991" t="s">
        <v>513</v>
      </c>
      <c r="H91" s="1045">
        <v>6</v>
      </c>
      <c r="I91" s="1045">
        <v>2</v>
      </c>
      <c r="J91" s="991">
        <v>2</v>
      </c>
      <c r="K91" s="991">
        <v>2</v>
      </c>
      <c r="L91" s="1045">
        <v>6</v>
      </c>
      <c r="M91" s="991">
        <v>2</v>
      </c>
      <c r="N91" s="991">
        <v>2</v>
      </c>
      <c r="O91" s="991">
        <v>2</v>
      </c>
      <c r="P91" s="1045">
        <v>6</v>
      </c>
      <c r="Q91" s="991">
        <v>2</v>
      </c>
      <c r="R91" s="991">
        <v>2</v>
      </c>
      <c r="S91" s="991">
        <v>2</v>
      </c>
      <c r="T91" s="1045">
        <v>6</v>
      </c>
      <c r="U91" s="991">
        <v>2</v>
      </c>
      <c r="V91" s="991">
        <v>2</v>
      </c>
      <c r="W91" s="991">
        <v>2</v>
      </c>
      <c r="X91" s="1042" t="s">
        <v>137</v>
      </c>
    </row>
    <row r="92" spans="1:24" ht="15">
      <c r="A92" s="991" t="s">
        <v>4363</v>
      </c>
      <c r="B92" s="1249" t="s">
        <v>4230</v>
      </c>
      <c r="C92" s="1250">
        <v>24</v>
      </c>
      <c r="D92" s="1251" t="s">
        <v>3409</v>
      </c>
      <c r="E92" s="1250">
        <v>13.78</v>
      </c>
      <c r="F92" s="1252">
        <v>330.72</v>
      </c>
      <c r="G92" s="991" t="s">
        <v>513</v>
      </c>
      <c r="H92" s="1045">
        <v>6</v>
      </c>
      <c r="I92" s="1045">
        <v>2</v>
      </c>
      <c r="J92" s="991">
        <v>2</v>
      </c>
      <c r="K92" s="991">
        <v>2</v>
      </c>
      <c r="L92" s="1045">
        <v>6</v>
      </c>
      <c r="M92" s="991">
        <v>2</v>
      </c>
      <c r="N92" s="991">
        <v>2</v>
      </c>
      <c r="O92" s="991">
        <v>2</v>
      </c>
      <c r="P92" s="1045">
        <v>6</v>
      </c>
      <c r="Q92" s="991">
        <v>2</v>
      </c>
      <c r="R92" s="991">
        <v>2</v>
      </c>
      <c r="S92" s="991">
        <v>2</v>
      </c>
      <c r="T92" s="1045">
        <v>6</v>
      </c>
      <c r="U92" s="991">
        <v>2</v>
      </c>
      <c r="V92" s="991">
        <v>2</v>
      </c>
      <c r="W92" s="991">
        <v>2</v>
      </c>
      <c r="X92" s="1042" t="s">
        <v>137</v>
      </c>
    </row>
    <row r="93" spans="1:24" ht="23.25">
      <c r="A93" s="991" t="s">
        <v>4363</v>
      </c>
      <c r="B93" s="1249" t="s">
        <v>4309</v>
      </c>
      <c r="C93" s="1250">
        <v>240</v>
      </c>
      <c r="D93" s="1251" t="s">
        <v>3912</v>
      </c>
      <c r="E93" s="1250">
        <v>189.18</v>
      </c>
      <c r="F93" s="1252">
        <v>45403.199999999997</v>
      </c>
      <c r="G93" s="991" t="s">
        <v>513</v>
      </c>
      <c r="H93" s="1045">
        <v>60</v>
      </c>
      <c r="I93" s="1045">
        <v>20</v>
      </c>
      <c r="J93" s="991">
        <v>20</v>
      </c>
      <c r="K93" s="991">
        <v>20</v>
      </c>
      <c r="L93" s="1045">
        <v>60</v>
      </c>
      <c r="M93" s="991">
        <v>20</v>
      </c>
      <c r="N93" s="991">
        <v>20</v>
      </c>
      <c r="O93" s="991">
        <v>20</v>
      </c>
      <c r="P93" s="1045">
        <v>60</v>
      </c>
      <c r="Q93" s="991">
        <v>20</v>
      </c>
      <c r="R93" s="991">
        <v>20</v>
      </c>
      <c r="S93" s="991">
        <v>20</v>
      </c>
      <c r="T93" s="1045">
        <v>60</v>
      </c>
      <c r="U93" s="991">
        <v>20</v>
      </c>
      <c r="V93" s="991">
        <v>20</v>
      </c>
      <c r="W93" s="991">
        <v>20</v>
      </c>
      <c r="X93" s="1042" t="s">
        <v>137</v>
      </c>
    </row>
    <row r="94" spans="1:24" ht="23.25">
      <c r="A94" s="991" t="s">
        <v>4363</v>
      </c>
      <c r="B94" s="1249" t="s">
        <v>4310</v>
      </c>
      <c r="C94" s="1250">
        <v>420</v>
      </c>
      <c r="D94" s="1251" t="s">
        <v>3912</v>
      </c>
      <c r="E94" s="1250">
        <v>165.65</v>
      </c>
      <c r="F94" s="1252">
        <v>69573</v>
      </c>
      <c r="G94" s="991" t="s">
        <v>513</v>
      </c>
      <c r="H94" s="1045">
        <v>105</v>
      </c>
      <c r="I94" s="1045">
        <v>35</v>
      </c>
      <c r="J94" s="991">
        <v>35</v>
      </c>
      <c r="K94" s="991">
        <v>35</v>
      </c>
      <c r="L94" s="1045">
        <v>105</v>
      </c>
      <c r="M94" s="991">
        <v>35</v>
      </c>
      <c r="N94" s="991">
        <v>35</v>
      </c>
      <c r="O94" s="991">
        <v>35</v>
      </c>
      <c r="P94" s="1045">
        <v>105</v>
      </c>
      <c r="Q94" s="991">
        <v>35</v>
      </c>
      <c r="R94" s="991">
        <v>35</v>
      </c>
      <c r="S94" s="991">
        <v>35</v>
      </c>
      <c r="T94" s="1045">
        <v>105</v>
      </c>
      <c r="U94" s="991">
        <v>35</v>
      </c>
      <c r="V94" s="991">
        <v>35</v>
      </c>
      <c r="W94" s="991">
        <v>35</v>
      </c>
      <c r="X94" s="1042" t="s">
        <v>137</v>
      </c>
    </row>
    <row r="95" spans="1:24" ht="15">
      <c r="A95" s="991" t="s">
        <v>4363</v>
      </c>
      <c r="B95" s="1249" t="s">
        <v>3650</v>
      </c>
      <c r="C95" s="1250">
        <v>1</v>
      </c>
      <c r="D95" s="1251" t="s">
        <v>2993</v>
      </c>
      <c r="E95" s="1250">
        <v>212.87</v>
      </c>
      <c r="F95" s="1252">
        <v>212.87</v>
      </c>
      <c r="G95" s="991" t="s">
        <v>513</v>
      </c>
      <c r="H95" s="1045">
        <v>1</v>
      </c>
      <c r="I95" s="1045">
        <v>1</v>
      </c>
      <c r="J95" s="991">
        <v>0</v>
      </c>
      <c r="K95" s="991">
        <v>0</v>
      </c>
      <c r="L95" s="1045">
        <v>0</v>
      </c>
      <c r="M95" s="991">
        <v>0</v>
      </c>
      <c r="N95" s="991">
        <v>0</v>
      </c>
      <c r="O95" s="991">
        <v>0</v>
      </c>
      <c r="P95" s="1045">
        <v>0</v>
      </c>
      <c r="Q95" s="991">
        <v>0</v>
      </c>
      <c r="R95" s="991">
        <v>0</v>
      </c>
      <c r="S95" s="991">
        <v>0</v>
      </c>
      <c r="T95" s="1045">
        <v>0</v>
      </c>
      <c r="U95" s="991">
        <v>0</v>
      </c>
      <c r="V95" s="991">
        <v>0</v>
      </c>
      <c r="W95" s="991">
        <v>0</v>
      </c>
      <c r="X95" s="1042" t="s">
        <v>137</v>
      </c>
    </row>
    <row r="96" spans="1:24" ht="15">
      <c r="A96" s="991" t="s">
        <v>4363</v>
      </c>
      <c r="B96" s="1249" t="s">
        <v>3652</v>
      </c>
      <c r="C96" s="1250">
        <v>24</v>
      </c>
      <c r="D96" s="1251" t="s">
        <v>3409</v>
      </c>
      <c r="E96" s="1250">
        <v>20.79</v>
      </c>
      <c r="F96" s="1252">
        <v>498.96</v>
      </c>
      <c r="G96" s="991" t="s">
        <v>513</v>
      </c>
      <c r="H96" s="1045">
        <v>6</v>
      </c>
      <c r="I96" s="1045">
        <v>2</v>
      </c>
      <c r="J96" s="991">
        <v>2</v>
      </c>
      <c r="K96" s="991">
        <v>2</v>
      </c>
      <c r="L96" s="1045">
        <v>6</v>
      </c>
      <c r="M96" s="991">
        <v>2</v>
      </c>
      <c r="N96" s="991">
        <v>2</v>
      </c>
      <c r="O96" s="991">
        <v>2</v>
      </c>
      <c r="P96" s="1045">
        <v>6</v>
      </c>
      <c r="Q96" s="991">
        <v>2</v>
      </c>
      <c r="R96" s="991">
        <v>2</v>
      </c>
      <c r="S96" s="991">
        <v>2</v>
      </c>
      <c r="T96" s="1045">
        <v>6</v>
      </c>
      <c r="U96" s="991">
        <v>2</v>
      </c>
      <c r="V96" s="991">
        <v>2</v>
      </c>
      <c r="W96" s="991">
        <v>2</v>
      </c>
      <c r="X96" s="1042" t="s">
        <v>137</v>
      </c>
    </row>
    <row r="97" spans="1:24" ht="15">
      <c r="A97" s="991" t="s">
        <v>4363</v>
      </c>
      <c r="B97" s="1249" t="s">
        <v>3663</v>
      </c>
      <c r="C97" s="1250">
        <v>4</v>
      </c>
      <c r="D97" s="1251" t="s">
        <v>2993</v>
      </c>
      <c r="E97" s="1250">
        <v>150.80000000000001</v>
      </c>
      <c r="F97" s="1252">
        <v>603.20000000000005</v>
      </c>
      <c r="G97" s="991" t="s">
        <v>513</v>
      </c>
      <c r="H97" s="1045">
        <v>1</v>
      </c>
      <c r="I97" s="1045">
        <v>1</v>
      </c>
      <c r="J97" s="991">
        <v>0</v>
      </c>
      <c r="K97" s="991">
        <v>0</v>
      </c>
      <c r="L97" s="1045">
        <v>1</v>
      </c>
      <c r="M97" s="991">
        <v>1</v>
      </c>
      <c r="N97" s="991">
        <v>0</v>
      </c>
      <c r="O97" s="991">
        <v>0</v>
      </c>
      <c r="P97" s="1045">
        <v>1</v>
      </c>
      <c r="Q97" s="991">
        <v>1</v>
      </c>
      <c r="R97" s="991">
        <v>0</v>
      </c>
      <c r="S97" s="991">
        <v>0</v>
      </c>
      <c r="T97" s="1045">
        <v>1</v>
      </c>
      <c r="U97" s="991">
        <v>1</v>
      </c>
      <c r="V97" s="991">
        <v>0</v>
      </c>
      <c r="W97" s="991">
        <v>0</v>
      </c>
      <c r="X97" s="1042" t="s">
        <v>137</v>
      </c>
    </row>
    <row r="98" spans="1:24" ht="15">
      <c r="A98" s="991" t="s">
        <v>4363</v>
      </c>
      <c r="B98" s="1249" t="s">
        <v>3668</v>
      </c>
      <c r="C98" s="1250">
        <v>4</v>
      </c>
      <c r="D98" s="1251" t="s">
        <v>3669</v>
      </c>
      <c r="E98" s="1250">
        <v>62.4</v>
      </c>
      <c r="F98" s="1252">
        <v>249.6</v>
      </c>
      <c r="G98" s="991" t="s">
        <v>513</v>
      </c>
      <c r="H98" s="1045">
        <v>1</v>
      </c>
      <c r="I98" s="1045">
        <v>1</v>
      </c>
      <c r="J98" s="991">
        <v>0</v>
      </c>
      <c r="K98" s="991">
        <v>0</v>
      </c>
      <c r="L98" s="1045">
        <v>1</v>
      </c>
      <c r="M98" s="991">
        <v>1</v>
      </c>
      <c r="N98" s="991">
        <v>0</v>
      </c>
      <c r="O98" s="991">
        <v>0</v>
      </c>
      <c r="P98" s="1045">
        <v>1</v>
      </c>
      <c r="Q98" s="991">
        <v>1</v>
      </c>
      <c r="R98" s="991">
        <v>0</v>
      </c>
      <c r="S98" s="991">
        <v>0</v>
      </c>
      <c r="T98" s="1045">
        <v>1</v>
      </c>
      <c r="U98" s="991">
        <v>1</v>
      </c>
      <c r="V98" s="991">
        <v>0</v>
      </c>
      <c r="W98" s="991">
        <v>0</v>
      </c>
      <c r="X98" s="1042" t="s">
        <v>137</v>
      </c>
    </row>
    <row r="99" spans="1:24" ht="15">
      <c r="A99" s="991" t="s">
        <v>4363</v>
      </c>
      <c r="B99" s="1249" t="s">
        <v>3671</v>
      </c>
      <c r="C99" s="1250">
        <v>20</v>
      </c>
      <c r="D99" s="1251" t="s">
        <v>3669</v>
      </c>
      <c r="E99" s="1250">
        <v>104</v>
      </c>
      <c r="F99" s="1252">
        <v>2080</v>
      </c>
      <c r="G99" s="991" t="s">
        <v>513</v>
      </c>
      <c r="H99" s="1045">
        <v>20</v>
      </c>
      <c r="I99" s="1045">
        <v>20</v>
      </c>
      <c r="J99" s="991">
        <v>0</v>
      </c>
      <c r="K99" s="991">
        <v>0</v>
      </c>
      <c r="L99" s="1045">
        <v>0</v>
      </c>
      <c r="M99" s="991">
        <v>0</v>
      </c>
      <c r="N99" s="991">
        <v>0</v>
      </c>
      <c r="O99" s="991">
        <v>0</v>
      </c>
      <c r="P99" s="1045">
        <v>0</v>
      </c>
      <c r="Q99" s="991">
        <v>0</v>
      </c>
      <c r="R99" s="991">
        <v>0</v>
      </c>
      <c r="S99" s="991">
        <v>0</v>
      </c>
      <c r="T99" s="1045">
        <v>0</v>
      </c>
      <c r="U99" s="991">
        <v>0</v>
      </c>
      <c r="V99" s="991">
        <v>0</v>
      </c>
      <c r="W99" s="991">
        <v>0</v>
      </c>
      <c r="X99" s="1042" t="s">
        <v>137</v>
      </c>
    </row>
    <row r="100" spans="1:24" ht="23.25">
      <c r="A100" s="991" t="s">
        <v>4363</v>
      </c>
      <c r="B100" s="1249" t="s">
        <v>4381</v>
      </c>
      <c r="C100" s="1250">
        <v>12</v>
      </c>
      <c r="D100" s="1251" t="s">
        <v>3409</v>
      </c>
      <c r="E100" s="1250">
        <v>176</v>
      </c>
      <c r="F100" s="1252">
        <v>2112</v>
      </c>
      <c r="G100" s="991" t="s">
        <v>513</v>
      </c>
      <c r="H100" s="1045">
        <v>3</v>
      </c>
      <c r="I100" s="1045">
        <v>1</v>
      </c>
      <c r="J100" s="991">
        <v>1</v>
      </c>
      <c r="K100" s="991">
        <v>1</v>
      </c>
      <c r="L100" s="1045">
        <v>3</v>
      </c>
      <c r="M100" s="991">
        <v>1</v>
      </c>
      <c r="N100" s="991">
        <v>1</v>
      </c>
      <c r="O100" s="991">
        <v>1</v>
      </c>
      <c r="P100" s="1045">
        <v>3</v>
      </c>
      <c r="Q100" s="991">
        <v>1</v>
      </c>
      <c r="R100" s="991">
        <v>1</v>
      </c>
      <c r="S100" s="991">
        <v>1</v>
      </c>
      <c r="T100" s="1045">
        <v>3</v>
      </c>
      <c r="U100" s="991">
        <v>1</v>
      </c>
      <c r="V100" s="991">
        <v>1</v>
      </c>
      <c r="W100" s="991">
        <v>1</v>
      </c>
      <c r="X100" s="1042" t="s">
        <v>137</v>
      </c>
    </row>
    <row r="101" spans="1:24" ht="15">
      <c r="A101" s="991" t="s">
        <v>4363</v>
      </c>
      <c r="B101" s="1249" t="s">
        <v>3679</v>
      </c>
      <c r="C101" s="1250">
        <v>12</v>
      </c>
      <c r="D101" s="1251" t="s">
        <v>3409</v>
      </c>
      <c r="E101" s="1250">
        <v>135.19999999999999</v>
      </c>
      <c r="F101" s="1252">
        <v>1622.4</v>
      </c>
      <c r="G101" s="991" t="s">
        <v>513</v>
      </c>
      <c r="H101" s="1045">
        <v>3</v>
      </c>
      <c r="I101" s="1045">
        <v>1</v>
      </c>
      <c r="J101" s="991">
        <v>1</v>
      </c>
      <c r="K101" s="991">
        <v>1</v>
      </c>
      <c r="L101" s="1045">
        <v>3</v>
      </c>
      <c r="M101" s="991">
        <v>1</v>
      </c>
      <c r="N101" s="991">
        <v>1</v>
      </c>
      <c r="O101" s="991">
        <v>1</v>
      </c>
      <c r="P101" s="1045">
        <v>3</v>
      </c>
      <c r="Q101" s="991">
        <v>1</v>
      </c>
      <c r="R101" s="991">
        <v>1</v>
      </c>
      <c r="S101" s="991">
        <v>1</v>
      </c>
      <c r="T101" s="1045">
        <v>3</v>
      </c>
      <c r="U101" s="991">
        <v>1</v>
      </c>
      <c r="V101" s="991">
        <v>1</v>
      </c>
      <c r="W101" s="991">
        <v>1</v>
      </c>
      <c r="X101" s="1042" t="s">
        <v>137</v>
      </c>
    </row>
    <row r="102" spans="1:24" ht="15">
      <c r="A102" s="991" t="s">
        <v>4363</v>
      </c>
      <c r="B102" s="1249" t="s">
        <v>3681</v>
      </c>
      <c r="C102" s="1250">
        <v>4</v>
      </c>
      <c r="D102" s="1251" t="s">
        <v>2993</v>
      </c>
      <c r="E102" s="1250">
        <v>16.64</v>
      </c>
      <c r="F102" s="1252">
        <v>66.56</v>
      </c>
      <c r="G102" s="991" t="s">
        <v>513</v>
      </c>
      <c r="H102" s="1045">
        <v>1</v>
      </c>
      <c r="I102" s="1045">
        <v>1</v>
      </c>
      <c r="J102" s="991">
        <v>0</v>
      </c>
      <c r="K102" s="991">
        <v>0</v>
      </c>
      <c r="L102" s="1045">
        <v>1</v>
      </c>
      <c r="M102" s="991">
        <v>1</v>
      </c>
      <c r="N102" s="991">
        <v>0</v>
      </c>
      <c r="O102" s="991">
        <v>0</v>
      </c>
      <c r="P102" s="1045">
        <v>1</v>
      </c>
      <c r="Q102" s="991">
        <v>1</v>
      </c>
      <c r="R102" s="991">
        <v>0</v>
      </c>
      <c r="S102" s="991">
        <v>0</v>
      </c>
      <c r="T102" s="1045">
        <v>1</v>
      </c>
      <c r="U102" s="991">
        <v>1</v>
      </c>
      <c r="V102" s="991">
        <v>0</v>
      </c>
      <c r="W102" s="991">
        <v>0</v>
      </c>
      <c r="X102" s="1042" t="s">
        <v>137</v>
      </c>
    </row>
    <row r="103" spans="1:24" ht="15">
      <c r="A103" s="991" t="s">
        <v>4363</v>
      </c>
      <c r="B103" s="1249" t="s">
        <v>4382</v>
      </c>
      <c r="C103" s="1250">
        <v>2</v>
      </c>
      <c r="D103" s="1251" t="s">
        <v>2993</v>
      </c>
      <c r="E103" s="1250">
        <v>49.5</v>
      </c>
      <c r="F103" s="1252">
        <v>99</v>
      </c>
      <c r="G103" s="991" t="s">
        <v>513</v>
      </c>
      <c r="H103" s="1045">
        <v>2</v>
      </c>
      <c r="I103" s="1045">
        <v>2</v>
      </c>
      <c r="J103" s="991">
        <v>0</v>
      </c>
      <c r="K103" s="991">
        <v>0</v>
      </c>
      <c r="L103" s="1045">
        <v>0</v>
      </c>
      <c r="M103" s="991">
        <v>0</v>
      </c>
      <c r="N103" s="991">
        <v>0</v>
      </c>
      <c r="O103" s="991">
        <v>0</v>
      </c>
      <c r="P103" s="1045">
        <v>0</v>
      </c>
      <c r="Q103" s="991">
        <v>0</v>
      </c>
      <c r="R103" s="991">
        <v>0</v>
      </c>
      <c r="S103" s="991">
        <v>0</v>
      </c>
      <c r="T103" s="1045">
        <v>0</v>
      </c>
      <c r="U103" s="991">
        <v>0</v>
      </c>
      <c r="V103" s="991">
        <v>0</v>
      </c>
      <c r="W103" s="991">
        <v>0</v>
      </c>
      <c r="X103" s="1042" t="s">
        <v>137</v>
      </c>
    </row>
    <row r="104" spans="1:24" ht="15">
      <c r="A104" s="991" t="s">
        <v>4363</v>
      </c>
      <c r="B104" s="1249" t="s">
        <v>4313</v>
      </c>
      <c r="C104" s="1250">
        <v>180</v>
      </c>
      <c r="D104" s="1251" t="s">
        <v>2993</v>
      </c>
      <c r="E104" s="1250">
        <v>22.2</v>
      </c>
      <c r="F104" s="1252">
        <v>3996</v>
      </c>
      <c r="G104" s="991" t="s">
        <v>513</v>
      </c>
      <c r="H104" s="1045">
        <v>45</v>
      </c>
      <c r="I104" s="1045">
        <v>15</v>
      </c>
      <c r="J104" s="991">
        <v>15</v>
      </c>
      <c r="K104" s="991">
        <v>15</v>
      </c>
      <c r="L104" s="1045">
        <v>45</v>
      </c>
      <c r="M104" s="991">
        <v>15</v>
      </c>
      <c r="N104" s="991">
        <v>15</v>
      </c>
      <c r="O104" s="991">
        <v>15</v>
      </c>
      <c r="P104" s="1045">
        <v>45</v>
      </c>
      <c r="Q104" s="991">
        <v>15</v>
      </c>
      <c r="R104" s="991">
        <v>15</v>
      </c>
      <c r="S104" s="991">
        <v>15</v>
      </c>
      <c r="T104" s="1045">
        <v>45</v>
      </c>
      <c r="U104" s="991">
        <v>15</v>
      </c>
      <c r="V104" s="991">
        <v>15</v>
      </c>
      <c r="W104" s="991">
        <v>15</v>
      </c>
      <c r="X104" s="1042" t="s">
        <v>137</v>
      </c>
    </row>
    <row r="105" spans="1:24" ht="15">
      <c r="A105" s="991" t="s">
        <v>4363</v>
      </c>
      <c r="B105" s="1249" t="s">
        <v>3703</v>
      </c>
      <c r="C105" s="1250">
        <v>60</v>
      </c>
      <c r="D105" s="1251" t="s">
        <v>2993</v>
      </c>
      <c r="E105" s="1250">
        <v>23.76</v>
      </c>
      <c r="F105" s="1252">
        <v>1425.6</v>
      </c>
      <c r="G105" s="991" t="s">
        <v>513</v>
      </c>
      <c r="H105" s="1045">
        <v>15</v>
      </c>
      <c r="I105" s="1045">
        <v>5</v>
      </c>
      <c r="J105" s="991">
        <v>5</v>
      </c>
      <c r="K105" s="991">
        <v>5</v>
      </c>
      <c r="L105" s="1045">
        <v>15</v>
      </c>
      <c r="M105" s="991">
        <v>5</v>
      </c>
      <c r="N105" s="991">
        <v>5</v>
      </c>
      <c r="O105" s="991">
        <v>5</v>
      </c>
      <c r="P105" s="1045">
        <v>15</v>
      </c>
      <c r="Q105" s="991">
        <v>5</v>
      </c>
      <c r="R105" s="991">
        <v>5</v>
      </c>
      <c r="S105" s="991">
        <v>5</v>
      </c>
      <c r="T105" s="1045">
        <v>15</v>
      </c>
      <c r="U105" s="991">
        <v>5</v>
      </c>
      <c r="V105" s="991">
        <v>5</v>
      </c>
      <c r="W105" s="991">
        <v>5</v>
      </c>
      <c r="X105" s="1042" t="s">
        <v>137</v>
      </c>
    </row>
    <row r="106" spans="1:24" ht="15">
      <c r="A106" s="991" t="s">
        <v>4363</v>
      </c>
      <c r="B106" s="1249" t="s">
        <v>3707</v>
      </c>
      <c r="C106" s="1250">
        <v>12</v>
      </c>
      <c r="D106" s="1251" t="s">
        <v>2993</v>
      </c>
      <c r="E106" s="1250">
        <v>145.6</v>
      </c>
      <c r="F106" s="1252">
        <v>1747.2</v>
      </c>
      <c r="G106" s="991" t="s">
        <v>513</v>
      </c>
      <c r="H106" s="1045">
        <v>3</v>
      </c>
      <c r="I106" s="1045">
        <v>1</v>
      </c>
      <c r="J106" s="991">
        <v>1</v>
      </c>
      <c r="K106" s="991">
        <v>1</v>
      </c>
      <c r="L106" s="1045">
        <v>3</v>
      </c>
      <c r="M106" s="991">
        <v>1</v>
      </c>
      <c r="N106" s="991">
        <v>1</v>
      </c>
      <c r="O106" s="991">
        <v>1</v>
      </c>
      <c r="P106" s="1045">
        <v>3</v>
      </c>
      <c r="Q106" s="991">
        <v>1</v>
      </c>
      <c r="R106" s="991">
        <v>1</v>
      </c>
      <c r="S106" s="991">
        <v>1</v>
      </c>
      <c r="T106" s="1045">
        <v>3</v>
      </c>
      <c r="U106" s="991">
        <v>1</v>
      </c>
      <c r="V106" s="991">
        <v>1</v>
      </c>
      <c r="W106" s="991">
        <v>1</v>
      </c>
      <c r="X106" s="1042" t="s">
        <v>137</v>
      </c>
    </row>
    <row r="107" spans="1:24" ht="15">
      <c r="A107" s="991" t="s">
        <v>4363</v>
      </c>
      <c r="B107" s="1249" t="s">
        <v>4234</v>
      </c>
      <c r="C107" s="1250">
        <v>2</v>
      </c>
      <c r="D107" s="1251" t="s">
        <v>2993</v>
      </c>
      <c r="E107" s="1250">
        <v>72.8</v>
      </c>
      <c r="F107" s="1252">
        <v>145.6</v>
      </c>
      <c r="G107" s="991" t="s">
        <v>513</v>
      </c>
      <c r="H107" s="1045">
        <v>1</v>
      </c>
      <c r="I107" s="1045">
        <v>1</v>
      </c>
      <c r="J107" s="991">
        <v>0</v>
      </c>
      <c r="K107" s="991">
        <v>0</v>
      </c>
      <c r="L107" s="1045">
        <v>0</v>
      </c>
      <c r="M107" s="991">
        <v>0</v>
      </c>
      <c r="N107" s="991">
        <v>0</v>
      </c>
      <c r="O107" s="991">
        <v>0</v>
      </c>
      <c r="P107" s="1045">
        <v>1</v>
      </c>
      <c r="Q107" s="991">
        <v>1</v>
      </c>
      <c r="R107" s="991">
        <v>0</v>
      </c>
      <c r="S107" s="991">
        <v>0</v>
      </c>
      <c r="T107" s="1045">
        <v>0</v>
      </c>
      <c r="U107" s="991">
        <v>0</v>
      </c>
      <c r="V107" s="991">
        <v>0</v>
      </c>
      <c r="W107" s="991">
        <v>0</v>
      </c>
      <c r="X107" s="1042" t="s">
        <v>137</v>
      </c>
    </row>
    <row r="108" spans="1:24" ht="15">
      <c r="A108" s="991" t="s">
        <v>4363</v>
      </c>
      <c r="B108" s="1249" t="s">
        <v>3717</v>
      </c>
      <c r="C108" s="1250">
        <v>6</v>
      </c>
      <c r="D108" s="1251" t="s">
        <v>3295</v>
      </c>
      <c r="E108" s="1250">
        <v>61.88</v>
      </c>
      <c r="F108" s="1252">
        <v>371.28</v>
      </c>
      <c r="G108" s="991" t="s">
        <v>513</v>
      </c>
      <c r="H108" s="1045">
        <v>2</v>
      </c>
      <c r="I108" s="1045">
        <v>2</v>
      </c>
      <c r="J108" s="991">
        <v>0</v>
      </c>
      <c r="K108" s="991">
        <v>0</v>
      </c>
      <c r="L108" s="1045">
        <v>1</v>
      </c>
      <c r="M108" s="991">
        <v>1</v>
      </c>
      <c r="N108" s="991">
        <v>0</v>
      </c>
      <c r="O108" s="991">
        <v>0</v>
      </c>
      <c r="P108" s="1045">
        <v>2</v>
      </c>
      <c r="Q108" s="991">
        <v>2</v>
      </c>
      <c r="R108" s="991">
        <v>0</v>
      </c>
      <c r="S108" s="991">
        <v>0</v>
      </c>
      <c r="T108" s="1045">
        <v>1</v>
      </c>
      <c r="U108" s="991">
        <v>1</v>
      </c>
      <c r="V108" s="991">
        <v>0</v>
      </c>
      <c r="W108" s="991">
        <v>0</v>
      </c>
      <c r="X108" s="1042" t="s">
        <v>137</v>
      </c>
    </row>
    <row r="109" spans="1:24" ht="15">
      <c r="A109" s="991" t="s">
        <v>4363</v>
      </c>
      <c r="B109" s="1249" t="s">
        <v>3721</v>
      </c>
      <c r="C109" s="1250">
        <v>4</v>
      </c>
      <c r="D109" s="1251" t="s">
        <v>3295</v>
      </c>
      <c r="E109" s="1250">
        <v>22.36</v>
      </c>
      <c r="F109" s="1252">
        <v>89.44</v>
      </c>
      <c r="G109" s="991" t="s">
        <v>513</v>
      </c>
      <c r="H109" s="1045">
        <v>1</v>
      </c>
      <c r="I109" s="1045">
        <v>1</v>
      </c>
      <c r="J109" s="991">
        <v>0</v>
      </c>
      <c r="K109" s="991">
        <v>0</v>
      </c>
      <c r="L109" s="1045">
        <v>1</v>
      </c>
      <c r="M109" s="991">
        <v>1</v>
      </c>
      <c r="N109" s="991">
        <v>0</v>
      </c>
      <c r="O109" s="991">
        <v>0</v>
      </c>
      <c r="P109" s="1045">
        <v>1</v>
      </c>
      <c r="Q109" s="991">
        <v>1</v>
      </c>
      <c r="R109" s="991">
        <v>0</v>
      </c>
      <c r="S109" s="991">
        <v>0</v>
      </c>
      <c r="T109" s="1045">
        <v>1</v>
      </c>
      <c r="U109" s="991">
        <v>1</v>
      </c>
      <c r="V109" s="991">
        <v>0</v>
      </c>
      <c r="W109" s="991">
        <v>0</v>
      </c>
      <c r="X109" s="1042" t="s">
        <v>137</v>
      </c>
    </row>
    <row r="110" spans="1:24" ht="15">
      <c r="A110" s="991" t="s">
        <v>4363</v>
      </c>
      <c r="B110" s="1249" t="s">
        <v>3723</v>
      </c>
      <c r="C110" s="1250">
        <v>48</v>
      </c>
      <c r="D110" s="1251" t="s">
        <v>3295</v>
      </c>
      <c r="E110" s="1250">
        <v>11.18</v>
      </c>
      <c r="F110" s="1252">
        <v>536.64</v>
      </c>
      <c r="G110" s="991" t="s">
        <v>513</v>
      </c>
      <c r="H110" s="1045">
        <v>12</v>
      </c>
      <c r="I110" s="1045">
        <v>4</v>
      </c>
      <c r="J110" s="991">
        <v>4</v>
      </c>
      <c r="K110" s="991">
        <v>4</v>
      </c>
      <c r="L110" s="1045">
        <v>12</v>
      </c>
      <c r="M110" s="991">
        <v>4</v>
      </c>
      <c r="N110" s="991">
        <v>4</v>
      </c>
      <c r="O110" s="991">
        <v>4</v>
      </c>
      <c r="P110" s="1045">
        <v>12</v>
      </c>
      <c r="Q110" s="991">
        <v>4</v>
      </c>
      <c r="R110" s="991">
        <v>4</v>
      </c>
      <c r="S110" s="991">
        <v>4</v>
      </c>
      <c r="T110" s="1045">
        <v>12</v>
      </c>
      <c r="U110" s="991">
        <v>4</v>
      </c>
      <c r="V110" s="991">
        <v>4</v>
      </c>
      <c r="W110" s="991">
        <v>4</v>
      </c>
      <c r="X110" s="1042" t="s">
        <v>137</v>
      </c>
    </row>
    <row r="111" spans="1:24" ht="15">
      <c r="A111" s="991" t="s">
        <v>4363</v>
      </c>
      <c r="B111" s="1249" t="s">
        <v>4383</v>
      </c>
      <c r="C111" s="1250">
        <v>2</v>
      </c>
      <c r="D111" s="1251" t="s">
        <v>3295</v>
      </c>
      <c r="E111" s="1250">
        <v>33</v>
      </c>
      <c r="F111" s="1252">
        <v>66</v>
      </c>
      <c r="G111" s="991" t="s">
        <v>513</v>
      </c>
      <c r="H111" s="1045">
        <v>1</v>
      </c>
      <c r="I111" s="1045">
        <v>1</v>
      </c>
      <c r="J111" s="991">
        <v>0</v>
      </c>
      <c r="K111" s="991">
        <v>0</v>
      </c>
      <c r="L111" s="1045">
        <v>0</v>
      </c>
      <c r="M111" s="991">
        <v>0</v>
      </c>
      <c r="N111" s="991">
        <v>0</v>
      </c>
      <c r="O111" s="991">
        <v>0</v>
      </c>
      <c r="P111" s="1045">
        <v>1</v>
      </c>
      <c r="Q111" s="991">
        <v>1</v>
      </c>
      <c r="R111" s="991">
        <v>0</v>
      </c>
      <c r="S111" s="991">
        <v>0</v>
      </c>
      <c r="T111" s="1045">
        <v>0</v>
      </c>
      <c r="U111" s="991">
        <v>0</v>
      </c>
      <c r="V111" s="991">
        <v>0</v>
      </c>
      <c r="W111" s="991">
        <v>0</v>
      </c>
      <c r="X111" s="1042" t="s">
        <v>137</v>
      </c>
    </row>
    <row r="112" spans="1:24" ht="23.25">
      <c r="A112" s="991" t="s">
        <v>4363</v>
      </c>
      <c r="B112" s="1249" t="s">
        <v>4384</v>
      </c>
      <c r="C112" s="1250">
        <v>120</v>
      </c>
      <c r="D112" s="1251" t="s">
        <v>2993</v>
      </c>
      <c r="E112" s="1250">
        <v>643.5</v>
      </c>
      <c r="F112" s="1252">
        <v>77220</v>
      </c>
      <c r="G112" s="991" t="s">
        <v>513</v>
      </c>
      <c r="H112" s="1045">
        <v>30</v>
      </c>
      <c r="I112" s="1045">
        <v>10</v>
      </c>
      <c r="J112" s="991">
        <v>10</v>
      </c>
      <c r="K112" s="991">
        <v>10</v>
      </c>
      <c r="L112" s="1045">
        <v>30</v>
      </c>
      <c r="M112" s="991">
        <v>10</v>
      </c>
      <c r="N112" s="991">
        <v>10</v>
      </c>
      <c r="O112" s="991">
        <v>10</v>
      </c>
      <c r="P112" s="1045">
        <v>30</v>
      </c>
      <c r="Q112" s="991">
        <v>10</v>
      </c>
      <c r="R112" s="991">
        <v>10</v>
      </c>
      <c r="S112" s="991">
        <v>10</v>
      </c>
      <c r="T112" s="1045">
        <v>30</v>
      </c>
      <c r="U112" s="991">
        <v>10</v>
      </c>
      <c r="V112" s="991">
        <v>10</v>
      </c>
      <c r="W112" s="991">
        <v>10</v>
      </c>
      <c r="X112" s="1042" t="s">
        <v>137</v>
      </c>
    </row>
    <row r="113" spans="1:24" ht="15">
      <c r="A113" s="991" t="s">
        <v>4374</v>
      </c>
      <c r="B113" s="1249" t="s">
        <v>3297</v>
      </c>
      <c r="C113" s="1250">
        <v>24</v>
      </c>
      <c r="D113" s="1251" t="s">
        <v>4385</v>
      </c>
      <c r="E113" s="1250">
        <v>81.64</v>
      </c>
      <c r="F113" s="1252">
        <v>1959.36</v>
      </c>
      <c r="G113" s="991" t="s">
        <v>513</v>
      </c>
      <c r="H113" s="1045">
        <v>6</v>
      </c>
      <c r="I113" s="1045">
        <v>2</v>
      </c>
      <c r="J113" s="991">
        <v>2</v>
      </c>
      <c r="K113" s="991">
        <v>2</v>
      </c>
      <c r="L113" s="1045">
        <v>6</v>
      </c>
      <c r="M113" s="991">
        <v>2</v>
      </c>
      <c r="N113" s="991">
        <v>2</v>
      </c>
      <c r="O113" s="991">
        <v>2</v>
      </c>
      <c r="P113" s="1045">
        <v>6</v>
      </c>
      <c r="Q113" s="991">
        <v>2</v>
      </c>
      <c r="R113" s="991">
        <v>2</v>
      </c>
      <c r="S113" s="991">
        <v>2</v>
      </c>
      <c r="T113" s="1045">
        <v>6</v>
      </c>
      <c r="U113" s="991">
        <v>2</v>
      </c>
      <c r="V113" s="991">
        <v>2</v>
      </c>
      <c r="W113" s="991">
        <v>2</v>
      </c>
      <c r="X113" s="1042" t="s">
        <v>137</v>
      </c>
    </row>
    <row r="114" spans="1:24" ht="15">
      <c r="A114" s="991" t="s">
        <v>4374</v>
      </c>
      <c r="B114" s="1249" t="s">
        <v>3302</v>
      </c>
      <c r="C114" s="1250">
        <v>12</v>
      </c>
      <c r="D114" s="1251" t="s">
        <v>4386</v>
      </c>
      <c r="E114" s="1250">
        <v>330.55</v>
      </c>
      <c r="F114" s="1252">
        <v>3966.6</v>
      </c>
      <c r="G114" s="991" t="s">
        <v>513</v>
      </c>
      <c r="H114" s="1045">
        <v>3</v>
      </c>
      <c r="I114" s="1045">
        <v>1</v>
      </c>
      <c r="J114" s="991">
        <v>1</v>
      </c>
      <c r="K114" s="991">
        <v>1</v>
      </c>
      <c r="L114" s="1045">
        <v>3</v>
      </c>
      <c r="M114" s="991">
        <v>1</v>
      </c>
      <c r="N114" s="991">
        <v>1</v>
      </c>
      <c r="O114" s="991">
        <v>1</v>
      </c>
      <c r="P114" s="1045">
        <v>3</v>
      </c>
      <c r="Q114" s="991">
        <v>1</v>
      </c>
      <c r="R114" s="991">
        <v>1</v>
      </c>
      <c r="S114" s="991">
        <v>1</v>
      </c>
      <c r="T114" s="1045">
        <v>3</v>
      </c>
      <c r="U114" s="991">
        <v>1</v>
      </c>
      <c r="V114" s="991">
        <v>1</v>
      </c>
      <c r="W114" s="991">
        <v>1</v>
      </c>
      <c r="X114" s="1042" t="s">
        <v>137</v>
      </c>
    </row>
    <row r="115" spans="1:24" ht="15">
      <c r="A115" s="991" t="s">
        <v>4374</v>
      </c>
      <c r="B115" s="1249" t="s">
        <v>4248</v>
      </c>
      <c r="C115" s="1250">
        <v>4</v>
      </c>
      <c r="D115" s="1251" t="s">
        <v>2993</v>
      </c>
      <c r="E115" s="1250">
        <v>136.24</v>
      </c>
      <c r="F115" s="1252">
        <v>544.96</v>
      </c>
      <c r="G115" s="991" t="s">
        <v>513</v>
      </c>
      <c r="H115" s="1045">
        <v>1</v>
      </c>
      <c r="I115" s="1045">
        <v>1</v>
      </c>
      <c r="J115" s="991">
        <v>0</v>
      </c>
      <c r="K115" s="991">
        <v>0</v>
      </c>
      <c r="L115" s="1045">
        <v>1</v>
      </c>
      <c r="M115" s="991">
        <v>1</v>
      </c>
      <c r="N115" s="991">
        <v>0</v>
      </c>
      <c r="O115" s="991">
        <v>0</v>
      </c>
      <c r="P115" s="1045">
        <v>1</v>
      </c>
      <c r="Q115" s="991">
        <v>1</v>
      </c>
      <c r="R115" s="991">
        <v>0</v>
      </c>
      <c r="S115" s="991">
        <v>0</v>
      </c>
      <c r="T115" s="1045">
        <v>1</v>
      </c>
      <c r="U115" s="991">
        <v>1</v>
      </c>
      <c r="V115" s="991">
        <v>0</v>
      </c>
      <c r="W115" s="991">
        <v>0</v>
      </c>
      <c r="X115" s="1042" t="s">
        <v>137</v>
      </c>
    </row>
    <row r="116" spans="1:24" ht="15">
      <c r="A116" s="991" t="s">
        <v>4374</v>
      </c>
      <c r="B116" s="1249" t="s">
        <v>4249</v>
      </c>
      <c r="C116" s="1250">
        <v>12</v>
      </c>
      <c r="D116" s="1251" t="s">
        <v>3386</v>
      </c>
      <c r="E116" s="1250">
        <v>54.08</v>
      </c>
      <c r="F116" s="1252">
        <v>648.96</v>
      </c>
      <c r="G116" s="991" t="s">
        <v>513</v>
      </c>
      <c r="H116" s="1045">
        <v>3</v>
      </c>
      <c r="I116" s="1045">
        <v>1</v>
      </c>
      <c r="J116" s="991">
        <v>1</v>
      </c>
      <c r="K116" s="991">
        <v>1</v>
      </c>
      <c r="L116" s="1045">
        <v>3</v>
      </c>
      <c r="M116" s="991">
        <v>1</v>
      </c>
      <c r="N116" s="991">
        <v>1</v>
      </c>
      <c r="O116" s="991">
        <v>1</v>
      </c>
      <c r="P116" s="1045">
        <v>3</v>
      </c>
      <c r="Q116" s="991">
        <v>1</v>
      </c>
      <c r="R116" s="991">
        <v>1</v>
      </c>
      <c r="S116" s="991">
        <v>1</v>
      </c>
      <c r="T116" s="1045">
        <v>3</v>
      </c>
      <c r="U116" s="991">
        <v>1</v>
      </c>
      <c r="V116" s="991">
        <v>1</v>
      </c>
      <c r="W116" s="991">
        <v>1</v>
      </c>
      <c r="X116" s="1042" t="s">
        <v>137</v>
      </c>
    </row>
    <row r="117" spans="1:24" ht="15">
      <c r="A117" s="991" t="s">
        <v>4374</v>
      </c>
      <c r="B117" s="1249" t="s">
        <v>3389</v>
      </c>
      <c r="C117" s="1250">
        <v>12</v>
      </c>
      <c r="D117" s="1251" t="s">
        <v>4385</v>
      </c>
      <c r="E117" s="1250">
        <v>139.88999999999999</v>
      </c>
      <c r="F117" s="1252">
        <v>1678.68</v>
      </c>
      <c r="G117" s="991" t="s">
        <v>513</v>
      </c>
      <c r="H117" s="1045">
        <v>3</v>
      </c>
      <c r="I117" s="1045">
        <v>1</v>
      </c>
      <c r="J117" s="991">
        <v>1</v>
      </c>
      <c r="K117" s="991">
        <v>1</v>
      </c>
      <c r="L117" s="1045">
        <v>3</v>
      </c>
      <c r="M117" s="991">
        <v>1</v>
      </c>
      <c r="N117" s="991">
        <v>1</v>
      </c>
      <c r="O117" s="991">
        <v>1</v>
      </c>
      <c r="P117" s="1045">
        <v>3</v>
      </c>
      <c r="Q117" s="991">
        <v>1</v>
      </c>
      <c r="R117" s="991">
        <v>1</v>
      </c>
      <c r="S117" s="991">
        <v>1</v>
      </c>
      <c r="T117" s="1045">
        <v>3</v>
      </c>
      <c r="U117" s="991">
        <v>1</v>
      </c>
      <c r="V117" s="991">
        <v>1</v>
      </c>
      <c r="W117" s="991">
        <v>1</v>
      </c>
      <c r="X117" s="1042" t="s">
        <v>137</v>
      </c>
    </row>
    <row r="118" spans="1:24" ht="15">
      <c r="A118" s="991" t="s">
        <v>4374</v>
      </c>
      <c r="B118" s="1249" t="s">
        <v>4252</v>
      </c>
      <c r="C118" s="1250">
        <v>2</v>
      </c>
      <c r="D118" s="1251" t="s">
        <v>2993</v>
      </c>
      <c r="E118" s="1250">
        <v>27.64</v>
      </c>
      <c r="F118" s="1252">
        <v>55.28</v>
      </c>
      <c r="G118" s="991" t="s">
        <v>513</v>
      </c>
      <c r="H118" s="1045">
        <v>1</v>
      </c>
      <c r="I118" s="1045">
        <v>1</v>
      </c>
      <c r="J118" s="991">
        <v>0</v>
      </c>
      <c r="K118" s="991">
        <v>0</v>
      </c>
      <c r="L118" s="1045">
        <v>0</v>
      </c>
      <c r="M118" s="991">
        <v>0</v>
      </c>
      <c r="N118" s="991">
        <v>0</v>
      </c>
      <c r="O118" s="991">
        <v>0</v>
      </c>
      <c r="P118" s="1045">
        <v>1</v>
      </c>
      <c r="Q118" s="991">
        <v>1</v>
      </c>
      <c r="R118" s="991">
        <v>0</v>
      </c>
      <c r="S118" s="991">
        <v>0</v>
      </c>
      <c r="T118" s="1045">
        <v>0</v>
      </c>
      <c r="U118" s="991">
        <v>0</v>
      </c>
      <c r="V118" s="991">
        <v>0</v>
      </c>
      <c r="W118" s="991">
        <v>0</v>
      </c>
      <c r="X118" s="1042" t="s">
        <v>137</v>
      </c>
    </row>
    <row r="119" spans="1:24" ht="15">
      <c r="A119" s="991" t="s">
        <v>4374</v>
      </c>
      <c r="B119" s="1249" t="s">
        <v>4254</v>
      </c>
      <c r="C119" s="1250">
        <v>12</v>
      </c>
      <c r="D119" s="1251" t="s">
        <v>486</v>
      </c>
      <c r="E119" s="1250">
        <v>42.95</v>
      </c>
      <c r="F119" s="1252">
        <v>515.4</v>
      </c>
      <c r="G119" s="991" t="s">
        <v>513</v>
      </c>
      <c r="H119" s="1045">
        <v>3</v>
      </c>
      <c r="I119" s="1045">
        <v>1</v>
      </c>
      <c r="J119" s="991">
        <v>1</v>
      </c>
      <c r="K119" s="991">
        <v>1</v>
      </c>
      <c r="L119" s="1045">
        <v>3</v>
      </c>
      <c r="M119" s="991">
        <v>1</v>
      </c>
      <c r="N119" s="991">
        <v>1</v>
      </c>
      <c r="O119" s="991">
        <v>1</v>
      </c>
      <c r="P119" s="1045">
        <v>3</v>
      </c>
      <c r="Q119" s="991">
        <v>1</v>
      </c>
      <c r="R119" s="991">
        <v>1</v>
      </c>
      <c r="S119" s="991">
        <v>1</v>
      </c>
      <c r="T119" s="1045">
        <v>3</v>
      </c>
      <c r="U119" s="991">
        <v>1</v>
      </c>
      <c r="V119" s="991">
        <v>1</v>
      </c>
      <c r="W119" s="991">
        <v>1</v>
      </c>
      <c r="X119" s="1042" t="s">
        <v>137</v>
      </c>
    </row>
    <row r="120" spans="1:24" ht="15">
      <c r="A120" s="991" t="s">
        <v>4374</v>
      </c>
      <c r="B120" s="1249" t="s">
        <v>3612</v>
      </c>
      <c r="C120" s="1250">
        <v>1</v>
      </c>
      <c r="D120" s="1251" t="s">
        <v>601</v>
      </c>
      <c r="E120" s="1250">
        <v>124.8</v>
      </c>
      <c r="F120" s="1252">
        <v>124.8</v>
      </c>
      <c r="G120" s="991" t="s">
        <v>513</v>
      </c>
      <c r="H120" s="1045">
        <v>1</v>
      </c>
      <c r="I120" s="1045">
        <v>1</v>
      </c>
      <c r="J120" s="991">
        <v>0</v>
      </c>
      <c r="K120" s="991">
        <v>0</v>
      </c>
      <c r="L120" s="1045">
        <v>0</v>
      </c>
      <c r="M120" s="991">
        <v>0</v>
      </c>
      <c r="N120" s="991">
        <v>0</v>
      </c>
      <c r="O120" s="991">
        <v>0</v>
      </c>
      <c r="P120" s="1045">
        <v>0</v>
      </c>
      <c r="Q120" s="991">
        <v>0</v>
      </c>
      <c r="R120" s="991">
        <v>0</v>
      </c>
      <c r="S120" s="991">
        <v>0</v>
      </c>
      <c r="T120" s="1045">
        <v>0</v>
      </c>
      <c r="U120" s="991">
        <v>0</v>
      </c>
      <c r="V120" s="991">
        <v>0</v>
      </c>
      <c r="W120" s="991">
        <v>0</v>
      </c>
      <c r="X120" s="1042" t="s">
        <v>137</v>
      </c>
    </row>
    <row r="121" spans="1:24" ht="15">
      <c r="A121" s="991" t="s">
        <v>4374</v>
      </c>
      <c r="B121" s="1249" t="s">
        <v>3614</v>
      </c>
      <c r="C121" s="1250">
        <v>2</v>
      </c>
      <c r="D121" s="1251" t="s">
        <v>601</v>
      </c>
      <c r="E121" s="1250">
        <v>122.51</v>
      </c>
      <c r="F121" s="1252">
        <v>245.02</v>
      </c>
      <c r="G121" s="991" t="s">
        <v>513</v>
      </c>
      <c r="H121" s="1045">
        <v>1</v>
      </c>
      <c r="I121" s="1045">
        <v>1</v>
      </c>
      <c r="J121" s="991">
        <v>0</v>
      </c>
      <c r="K121" s="991">
        <v>0</v>
      </c>
      <c r="L121" s="1045">
        <v>0</v>
      </c>
      <c r="M121" s="991">
        <v>0</v>
      </c>
      <c r="N121" s="991">
        <v>0</v>
      </c>
      <c r="O121" s="991">
        <v>0</v>
      </c>
      <c r="P121" s="1045">
        <v>1</v>
      </c>
      <c r="Q121" s="991">
        <v>1</v>
      </c>
      <c r="R121" s="991">
        <v>0</v>
      </c>
      <c r="S121" s="991">
        <v>0</v>
      </c>
      <c r="T121" s="1045">
        <v>0</v>
      </c>
      <c r="U121" s="991">
        <v>0</v>
      </c>
      <c r="V121" s="991">
        <v>0</v>
      </c>
      <c r="W121" s="991">
        <v>0</v>
      </c>
      <c r="X121" s="1042" t="s">
        <v>137</v>
      </c>
    </row>
    <row r="122" spans="1:24" ht="15">
      <c r="A122" s="991" t="s">
        <v>4387</v>
      </c>
      <c r="B122" s="1249" t="s">
        <v>521</v>
      </c>
      <c r="C122" s="1250">
        <v>2</v>
      </c>
      <c r="D122" s="1251" t="s">
        <v>92</v>
      </c>
      <c r="E122" s="1253">
        <v>3839</v>
      </c>
      <c r="F122" s="1252">
        <v>7678</v>
      </c>
      <c r="G122" s="991" t="s">
        <v>513</v>
      </c>
      <c r="H122" s="1045">
        <v>2</v>
      </c>
      <c r="I122" s="1045">
        <v>2</v>
      </c>
      <c r="J122" s="991">
        <v>0</v>
      </c>
      <c r="K122" s="991">
        <v>0</v>
      </c>
      <c r="L122" s="1045">
        <v>0</v>
      </c>
      <c r="M122" s="991">
        <v>0</v>
      </c>
      <c r="N122" s="991">
        <v>0</v>
      </c>
      <c r="O122" s="991">
        <v>0</v>
      </c>
      <c r="P122" s="1045">
        <v>0</v>
      </c>
      <c r="Q122" s="991">
        <v>0</v>
      </c>
      <c r="R122" s="991">
        <v>0</v>
      </c>
      <c r="S122" s="991">
        <v>0</v>
      </c>
      <c r="T122" s="1045">
        <v>0</v>
      </c>
      <c r="U122" s="991">
        <v>0</v>
      </c>
      <c r="V122" s="991">
        <v>0</v>
      </c>
      <c r="W122" s="991">
        <v>0</v>
      </c>
      <c r="X122" s="1042" t="s">
        <v>137</v>
      </c>
    </row>
    <row r="123" spans="1:24" ht="15">
      <c r="A123" s="991" t="s">
        <v>4387</v>
      </c>
      <c r="B123" s="1249" t="s">
        <v>731</v>
      </c>
      <c r="C123" s="1250">
        <v>2</v>
      </c>
      <c r="D123" s="1251" t="s">
        <v>92</v>
      </c>
      <c r="E123" s="1253">
        <v>2792.4</v>
      </c>
      <c r="F123" s="1252">
        <v>5584.8</v>
      </c>
      <c r="G123" s="991" t="s">
        <v>513</v>
      </c>
      <c r="H123" s="1045">
        <v>2</v>
      </c>
      <c r="I123" s="1045">
        <v>2</v>
      </c>
      <c r="J123" s="991">
        <v>0</v>
      </c>
      <c r="K123" s="991">
        <v>0</v>
      </c>
      <c r="L123" s="1045">
        <v>0</v>
      </c>
      <c r="M123" s="991">
        <v>0</v>
      </c>
      <c r="N123" s="991">
        <v>0</v>
      </c>
      <c r="O123" s="991">
        <v>0</v>
      </c>
      <c r="P123" s="1045">
        <v>0</v>
      </c>
      <c r="Q123" s="991">
        <v>0</v>
      </c>
      <c r="R123" s="991">
        <v>0</v>
      </c>
      <c r="S123" s="991">
        <v>0</v>
      </c>
      <c r="T123" s="1045">
        <v>0</v>
      </c>
      <c r="U123" s="991">
        <v>0</v>
      </c>
      <c r="V123" s="991">
        <v>0</v>
      </c>
      <c r="W123" s="991">
        <v>0</v>
      </c>
      <c r="X123" s="1042" t="s">
        <v>137</v>
      </c>
    </row>
    <row r="124" spans="1:24" ht="15">
      <c r="A124" s="991" t="s">
        <v>4387</v>
      </c>
      <c r="B124" s="1249" t="s">
        <v>2992</v>
      </c>
      <c r="C124" s="1250">
        <v>1</v>
      </c>
      <c r="D124" s="1251" t="s">
        <v>2993</v>
      </c>
      <c r="E124" s="1253">
        <v>23568.6</v>
      </c>
      <c r="F124" s="1252">
        <v>23568.6</v>
      </c>
      <c r="G124" s="991" t="s">
        <v>513</v>
      </c>
      <c r="H124" s="1045">
        <v>1</v>
      </c>
      <c r="I124" s="1045">
        <v>1</v>
      </c>
      <c r="J124" s="991">
        <v>0</v>
      </c>
      <c r="K124" s="991">
        <v>0</v>
      </c>
      <c r="L124" s="1045">
        <v>0</v>
      </c>
      <c r="M124" s="991">
        <v>0</v>
      </c>
      <c r="N124" s="991">
        <v>0</v>
      </c>
      <c r="O124" s="991">
        <v>0</v>
      </c>
      <c r="P124" s="1045">
        <v>0</v>
      </c>
      <c r="Q124" s="991">
        <v>0</v>
      </c>
      <c r="R124" s="991">
        <v>0</v>
      </c>
      <c r="S124" s="991">
        <v>0</v>
      </c>
      <c r="T124" s="1045">
        <v>0</v>
      </c>
      <c r="U124" s="991">
        <v>0</v>
      </c>
      <c r="V124" s="991">
        <v>0</v>
      </c>
      <c r="W124" s="991">
        <v>0</v>
      </c>
      <c r="X124" s="1042" t="s">
        <v>137</v>
      </c>
    </row>
    <row r="125" spans="1:24" ht="15">
      <c r="A125" s="991" t="s">
        <v>4374</v>
      </c>
      <c r="B125" s="1249" t="s">
        <v>4388</v>
      </c>
      <c r="C125" s="1250">
        <v>10</v>
      </c>
      <c r="D125" s="1251" t="s">
        <v>4247</v>
      </c>
      <c r="E125" s="1250">
        <v>216</v>
      </c>
      <c r="F125" s="1252">
        <v>2160</v>
      </c>
      <c r="G125" s="991"/>
      <c r="H125" s="1045">
        <v>3</v>
      </c>
      <c r="I125" s="1045">
        <v>3</v>
      </c>
      <c r="J125" s="991"/>
      <c r="K125" s="991"/>
      <c r="L125" s="1045">
        <v>2</v>
      </c>
      <c r="M125" s="991">
        <v>2</v>
      </c>
      <c r="N125" s="991"/>
      <c r="O125" s="991"/>
      <c r="P125" s="1045">
        <v>3</v>
      </c>
      <c r="Q125" s="991">
        <v>3</v>
      </c>
      <c r="R125" s="991"/>
      <c r="S125" s="991"/>
      <c r="T125" s="1045">
        <v>2</v>
      </c>
      <c r="U125" s="991">
        <v>2</v>
      </c>
      <c r="V125" s="991"/>
      <c r="W125" s="991"/>
      <c r="X125" s="1042" t="s">
        <v>200</v>
      </c>
    </row>
    <row r="126" spans="1:24" ht="15">
      <c r="A126" s="991" t="s">
        <v>4374</v>
      </c>
      <c r="B126" s="1249" t="s">
        <v>4389</v>
      </c>
      <c r="C126" s="1250">
        <v>1</v>
      </c>
      <c r="D126" s="1251" t="s">
        <v>103</v>
      </c>
      <c r="E126" s="1250">
        <v>141.12</v>
      </c>
      <c r="F126" s="1252">
        <v>141.12</v>
      </c>
      <c r="G126" s="991"/>
      <c r="H126" s="1045">
        <v>1</v>
      </c>
      <c r="I126" s="1045">
        <v>1</v>
      </c>
      <c r="J126" s="991"/>
      <c r="K126" s="991"/>
      <c r="L126" s="1045">
        <v>0</v>
      </c>
      <c r="M126" s="991"/>
      <c r="N126" s="991"/>
      <c r="O126" s="991"/>
      <c r="P126" s="1045">
        <v>0</v>
      </c>
      <c r="Q126" s="991"/>
      <c r="R126" s="991"/>
      <c r="S126" s="991"/>
      <c r="T126" s="1045">
        <v>0</v>
      </c>
      <c r="U126" s="991"/>
      <c r="V126" s="991"/>
      <c r="W126" s="991"/>
      <c r="X126" s="1042" t="s">
        <v>200</v>
      </c>
    </row>
    <row r="127" spans="1:24" ht="15">
      <c r="A127" s="991" t="s">
        <v>4374</v>
      </c>
      <c r="B127" s="1249" t="s">
        <v>4390</v>
      </c>
      <c r="C127" s="1250">
        <v>20</v>
      </c>
      <c r="D127" s="1251" t="s">
        <v>4247</v>
      </c>
      <c r="E127" s="1250">
        <v>402.48</v>
      </c>
      <c r="F127" s="1252">
        <v>8049.6</v>
      </c>
      <c r="G127" s="991"/>
      <c r="H127" s="1045">
        <v>5</v>
      </c>
      <c r="I127" s="1045">
        <v>5</v>
      </c>
      <c r="J127" s="991"/>
      <c r="K127" s="991"/>
      <c r="L127" s="1045">
        <v>5</v>
      </c>
      <c r="M127" s="991">
        <v>5</v>
      </c>
      <c r="N127" s="991"/>
      <c r="O127" s="991"/>
      <c r="P127" s="1045">
        <v>5</v>
      </c>
      <c r="Q127" s="991">
        <v>5</v>
      </c>
      <c r="R127" s="991"/>
      <c r="S127" s="991"/>
      <c r="T127" s="1045">
        <v>5</v>
      </c>
      <c r="U127" s="991">
        <v>5</v>
      </c>
      <c r="V127" s="991"/>
      <c r="W127" s="991"/>
      <c r="X127" s="1042" t="s">
        <v>200</v>
      </c>
    </row>
    <row r="128" spans="1:24" ht="23.25">
      <c r="A128" s="991" t="s">
        <v>4374</v>
      </c>
      <c r="B128" s="1249" t="s">
        <v>4391</v>
      </c>
      <c r="C128" s="1250">
        <v>2</v>
      </c>
      <c r="D128" s="1251" t="s">
        <v>155</v>
      </c>
      <c r="E128" s="1250">
        <v>156</v>
      </c>
      <c r="F128" s="1252">
        <v>312</v>
      </c>
      <c r="G128" s="991"/>
      <c r="H128" s="1045">
        <v>1</v>
      </c>
      <c r="I128" s="1045"/>
      <c r="J128" s="991">
        <v>1</v>
      </c>
      <c r="K128" s="991"/>
      <c r="L128" s="1045">
        <v>0</v>
      </c>
      <c r="M128" s="991"/>
      <c r="N128" s="991"/>
      <c r="O128" s="991"/>
      <c r="P128" s="1045">
        <v>1</v>
      </c>
      <c r="Q128" s="991"/>
      <c r="R128" s="991">
        <v>1</v>
      </c>
      <c r="S128" s="991"/>
      <c r="T128" s="1045">
        <v>0</v>
      </c>
      <c r="U128" s="991"/>
      <c r="V128" s="991"/>
      <c r="W128" s="991"/>
      <c r="X128" s="1042" t="s">
        <v>200</v>
      </c>
    </row>
    <row r="129" spans="1:24" ht="15">
      <c r="A129" s="991" t="s">
        <v>147</v>
      </c>
      <c r="B129" s="1249" t="s">
        <v>4392</v>
      </c>
      <c r="C129" s="1250">
        <v>1</v>
      </c>
      <c r="D129" s="1251" t="s">
        <v>103</v>
      </c>
      <c r="E129" s="1250"/>
      <c r="F129" s="1252" t="s">
        <v>488</v>
      </c>
      <c r="G129" s="991"/>
      <c r="H129" s="1045">
        <v>0</v>
      </c>
      <c r="I129" s="1045"/>
      <c r="J129" s="991"/>
      <c r="K129" s="991"/>
      <c r="L129" s="1045">
        <v>1</v>
      </c>
      <c r="M129" s="991">
        <v>1</v>
      </c>
      <c r="N129" s="991"/>
      <c r="O129" s="991"/>
      <c r="P129" s="1045">
        <v>0</v>
      </c>
      <c r="Q129" s="991"/>
      <c r="R129" s="991"/>
      <c r="S129" s="991"/>
      <c r="T129" s="1045">
        <v>0</v>
      </c>
      <c r="U129" s="991"/>
      <c r="V129" s="991"/>
      <c r="W129" s="991"/>
      <c r="X129" s="1042" t="s">
        <v>200</v>
      </c>
    </row>
    <row r="130" spans="1:24" ht="15">
      <c r="A130" s="991" t="s">
        <v>147</v>
      </c>
      <c r="B130" s="1249" t="s">
        <v>4393</v>
      </c>
      <c r="C130" s="1250">
        <v>4</v>
      </c>
      <c r="D130" s="1251" t="s">
        <v>103</v>
      </c>
      <c r="E130" s="1250"/>
      <c r="F130" s="1252" t="s">
        <v>488</v>
      </c>
      <c r="G130" s="991"/>
      <c r="H130" s="1045">
        <v>1</v>
      </c>
      <c r="I130" s="1045">
        <v>1</v>
      </c>
      <c r="J130" s="991"/>
      <c r="K130" s="991"/>
      <c r="L130" s="1045">
        <v>1</v>
      </c>
      <c r="M130" s="991">
        <v>1</v>
      </c>
      <c r="N130" s="991"/>
      <c r="O130" s="991"/>
      <c r="P130" s="1045">
        <v>1</v>
      </c>
      <c r="Q130" s="991">
        <v>1</v>
      </c>
      <c r="R130" s="991"/>
      <c r="S130" s="991"/>
      <c r="T130" s="1045">
        <v>1</v>
      </c>
      <c r="U130" s="991">
        <v>1</v>
      </c>
      <c r="V130" s="991"/>
      <c r="W130" s="991"/>
      <c r="X130" s="1042" t="s">
        <v>200</v>
      </c>
    </row>
    <row r="131" spans="1:24" ht="15">
      <c r="A131" s="991" t="s">
        <v>4363</v>
      </c>
      <c r="B131" s="1249" t="s">
        <v>4394</v>
      </c>
      <c r="C131" s="1250">
        <v>10</v>
      </c>
      <c r="D131" s="1251" t="s">
        <v>155</v>
      </c>
      <c r="E131" s="1250">
        <v>18.34</v>
      </c>
      <c r="F131" s="1252">
        <v>183.4</v>
      </c>
      <c r="G131" s="991"/>
      <c r="H131" s="1045">
        <v>3</v>
      </c>
      <c r="I131" s="1045">
        <v>1</v>
      </c>
      <c r="J131" s="991">
        <v>1</v>
      </c>
      <c r="K131" s="991">
        <v>1</v>
      </c>
      <c r="L131" s="1045">
        <v>3</v>
      </c>
      <c r="M131" s="991">
        <v>1</v>
      </c>
      <c r="N131" s="991">
        <v>1</v>
      </c>
      <c r="O131" s="991">
        <v>1</v>
      </c>
      <c r="P131" s="1045">
        <v>3</v>
      </c>
      <c r="Q131" s="991">
        <v>1</v>
      </c>
      <c r="R131" s="991">
        <v>1</v>
      </c>
      <c r="S131" s="991">
        <v>1</v>
      </c>
      <c r="T131" s="1045">
        <v>1</v>
      </c>
      <c r="U131" s="991">
        <v>1</v>
      </c>
      <c r="V131" s="991"/>
      <c r="W131" s="991"/>
      <c r="X131" s="1042" t="s">
        <v>200</v>
      </c>
    </row>
    <row r="132" spans="1:24" ht="15">
      <c r="A132" s="991" t="s">
        <v>4363</v>
      </c>
      <c r="B132" s="1249" t="s">
        <v>4395</v>
      </c>
      <c r="C132" s="1250">
        <v>10</v>
      </c>
      <c r="D132" s="1251" t="s">
        <v>155</v>
      </c>
      <c r="E132" s="1250">
        <v>20.49</v>
      </c>
      <c r="F132" s="1252">
        <v>204.9</v>
      </c>
      <c r="G132" s="991"/>
      <c r="H132" s="1045">
        <v>3</v>
      </c>
      <c r="I132" s="1045">
        <v>1</v>
      </c>
      <c r="J132" s="991">
        <v>1</v>
      </c>
      <c r="K132" s="991">
        <v>1</v>
      </c>
      <c r="L132" s="1045">
        <v>3</v>
      </c>
      <c r="M132" s="991">
        <v>1</v>
      </c>
      <c r="N132" s="991">
        <v>1</v>
      </c>
      <c r="O132" s="991">
        <v>1</v>
      </c>
      <c r="P132" s="1045">
        <v>3</v>
      </c>
      <c r="Q132" s="991">
        <v>1</v>
      </c>
      <c r="R132" s="991">
        <v>1</v>
      </c>
      <c r="S132" s="991">
        <v>1</v>
      </c>
      <c r="T132" s="1045">
        <v>1</v>
      </c>
      <c r="U132" s="991">
        <v>1</v>
      </c>
      <c r="V132" s="991"/>
      <c r="W132" s="991"/>
      <c r="X132" s="1042" t="s">
        <v>200</v>
      </c>
    </row>
    <row r="133" spans="1:24" ht="23.25">
      <c r="A133" s="991" t="s">
        <v>4363</v>
      </c>
      <c r="B133" s="1249" t="s">
        <v>4396</v>
      </c>
      <c r="C133" s="1250">
        <v>50</v>
      </c>
      <c r="D133" s="1251" t="s">
        <v>103</v>
      </c>
      <c r="E133" s="1250">
        <v>32.909999999999997</v>
      </c>
      <c r="F133" s="1252">
        <v>1645.5</v>
      </c>
      <c r="G133" s="991"/>
      <c r="H133" s="1045">
        <v>25</v>
      </c>
      <c r="I133" s="1045">
        <v>25</v>
      </c>
      <c r="J133" s="991"/>
      <c r="K133" s="991"/>
      <c r="L133" s="1045">
        <v>25</v>
      </c>
      <c r="M133" s="991">
        <v>25</v>
      </c>
      <c r="N133" s="991"/>
      <c r="O133" s="991"/>
      <c r="P133" s="1045">
        <v>0</v>
      </c>
      <c r="Q133" s="991"/>
      <c r="R133" s="991"/>
      <c r="S133" s="991"/>
      <c r="T133" s="1045">
        <v>0</v>
      </c>
      <c r="U133" s="991"/>
      <c r="V133" s="991"/>
      <c r="W133" s="991"/>
      <c r="X133" s="1042" t="s">
        <v>200</v>
      </c>
    </row>
    <row r="134" spans="1:24" ht="15">
      <c r="A134" s="991" t="s">
        <v>4363</v>
      </c>
      <c r="B134" s="1249" t="s">
        <v>4397</v>
      </c>
      <c r="C134" s="1250">
        <v>50</v>
      </c>
      <c r="D134" s="1251" t="s">
        <v>103</v>
      </c>
      <c r="E134" s="1250">
        <v>77.2</v>
      </c>
      <c r="F134" s="1252">
        <v>3860</v>
      </c>
      <c r="G134" s="991"/>
      <c r="H134" s="1045">
        <v>15</v>
      </c>
      <c r="I134" s="1045">
        <v>5</v>
      </c>
      <c r="J134" s="991">
        <v>5</v>
      </c>
      <c r="K134" s="991">
        <v>5</v>
      </c>
      <c r="L134" s="1045">
        <v>15</v>
      </c>
      <c r="M134" s="991">
        <v>5</v>
      </c>
      <c r="N134" s="991">
        <v>5</v>
      </c>
      <c r="O134" s="991">
        <v>5</v>
      </c>
      <c r="P134" s="1045">
        <v>15</v>
      </c>
      <c r="Q134" s="991">
        <v>5</v>
      </c>
      <c r="R134" s="991">
        <v>5</v>
      </c>
      <c r="S134" s="991">
        <v>5</v>
      </c>
      <c r="T134" s="1045">
        <v>5</v>
      </c>
      <c r="U134" s="991">
        <v>5</v>
      </c>
      <c r="V134" s="991"/>
      <c r="W134" s="991"/>
      <c r="X134" s="1042" t="s">
        <v>200</v>
      </c>
    </row>
    <row r="135" spans="1:24" ht="15">
      <c r="A135" s="991" t="s">
        <v>4363</v>
      </c>
      <c r="B135" s="1249" t="s">
        <v>4398</v>
      </c>
      <c r="C135" s="1250">
        <v>50</v>
      </c>
      <c r="D135" s="1251" t="s">
        <v>103</v>
      </c>
      <c r="E135" s="1250">
        <v>77.2</v>
      </c>
      <c r="F135" s="1252">
        <v>3860</v>
      </c>
      <c r="G135" s="991"/>
      <c r="H135" s="1045">
        <v>15</v>
      </c>
      <c r="I135" s="1045">
        <v>5</v>
      </c>
      <c r="J135" s="991">
        <v>5</v>
      </c>
      <c r="K135" s="991">
        <v>5</v>
      </c>
      <c r="L135" s="1045">
        <v>15</v>
      </c>
      <c r="M135" s="991">
        <v>5</v>
      </c>
      <c r="N135" s="991">
        <v>5</v>
      </c>
      <c r="O135" s="991">
        <v>5</v>
      </c>
      <c r="P135" s="1045">
        <v>15</v>
      </c>
      <c r="Q135" s="991">
        <v>5</v>
      </c>
      <c r="R135" s="991">
        <v>5</v>
      </c>
      <c r="S135" s="991">
        <v>5</v>
      </c>
      <c r="T135" s="1045">
        <v>5</v>
      </c>
      <c r="U135" s="991">
        <v>5</v>
      </c>
      <c r="V135" s="991"/>
      <c r="W135" s="991"/>
      <c r="X135" s="1042" t="s">
        <v>200</v>
      </c>
    </row>
    <row r="136" spans="1:24" ht="15">
      <c r="A136" s="991" t="s">
        <v>4363</v>
      </c>
      <c r="B136" s="1249" t="s">
        <v>4399</v>
      </c>
      <c r="C136" s="1250">
        <v>5</v>
      </c>
      <c r="D136" s="1251" t="s">
        <v>263</v>
      </c>
      <c r="E136" s="1250">
        <v>45</v>
      </c>
      <c r="F136" s="1252">
        <v>225</v>
      </c>
      <c r="G136" s="991"/>
      <c r="H136" s="1045">
        <v>1</v>
      </c>
      <c r="I136" s="1045">
        <v>1</v>
      </c>
      <c r="J136" s="991"/>
      <c r="K136" s="991"/>
      <c r="L136" s="1045">
        <v>2</v>
      </c>
      <c r="M136" s="991">
        <v>2</v>
      </c>
      <c r="N136" s="991"/>
      <c r="O136" s="991"/>
      <c r="P136" s="1045">
        <v>1</v>
      </c>
      <c r="Q136" s="991">
        <v>1</v>
      </c>
      <c r="R136" s="991"/>
      <c r="S136" s="991"/>
      <c r="T136" s="1045">
        <v>1</v>
      </c>
      <c r="U136" s="991">
        <v>1</v>
      </c>
      <c r="V136" s="991"/>
      <c r="W136" s="991"/>
      <c r="X136" s="1042" t="s">
        <v>200</v>
      </c>
    </row>
    <row r="137" spans="1:24" ht="15">
      <c r="A137" s="991" t="s">
        <v>4363</v>
      </c>
      <c r="B137" s="1249" t="s">
        <v>3461</v>
      </c>
      <c r="C137" s="1250">
        <v>2</v>
      </c>
      <c r="D137" s="1251" t="s">
        <v>4226</v>
      </c>
      <c r="E137" s="1250">
        <v>70.72</v>
      </c>
      <c r="F137" s="1252">
        <v>141.44</v>
      </c>
      <c r="G137" s="991"/>
      <c r="H137" s="1045">
        <v>1</v>
      </c>
      <c r="I137" s="1045">
        <v>1</v>
      </c>
      <c r="J137" s="991"/>
      <c r="K137" s="991"/>
      <c r="L137" s="1045">
        <v>0</v>
      </c>
      <c r="M137" s="991"/>
      <c r="N137" s="991"/>
      <c r="O137" s="991"/>
      <c r="P137" s="1045">
        <v>0</v>
      </c>
      <c r="Q137" s="991"/>
      <c r="R137" s="991"/>
      <c r="S137" s="991"/>
      <c r="T137" s="1045">
        <v>0</v>
      </c>
      <c r="U137" s="991"/>
      <c r="V137" s="991"/>
      <c r="W137" s="991"/>
      <c r="X137" s="1042" t="s">
        <v>200</v>
      </c>
    </row>
    <row r="138" spans="1:24" ht="15">
      <c r="A138" s="991" t="s">
        <v>4363</v>
      </c>
      <c r="B138" s="1249" t="s">
        <v>528</v>
      </c>
      <c r="C138" s="1250">
        <v>50</v>
      </c>
      <c r="D138" s="1251" t="s">
        <v>633</v>
      </c>
      <c r="E138" s="1250">
        <v>249.6</v>
      </c>
      <c r="F138" s="1252">
        <v>12480</v>
      </c>
      <c r="G138" s="991"/>
      <c r="H138" s="1045">
        <v>15</v>
      </c>
      <c r="I138" s="1045">
        <v>5</v>
      </c>
      <c r="J138" s="991">
        <v>5</v>
      </c>
      <c r="K138" s="991">
        <v>5</v>
      </c>
      <c r="L138" s="1045">
        <v>15</v>
      </c>
      <c r="M138" s="991">
        <v>5</v>
      </c>
      <c r="N138" s="991">
        <v>5</v>
      </c>
      <c r="O138" s="991">
        <v>5</v>
      </c>
      <c r="P138" s="1045">
        <v>15</v>
      </c>
      <c r="Q138" s="991">
        <v>5</v>
      </c>
      <c r="R138" s="991">
        <v>5</v>
      </c>
      <c r="S138" s="991">
        <v>5</v>
      </c>
      <c r="T138" s="1045">
        <v>5</v>
      </c>
      <c r="U138" s="991">
        <v>5</v>
      </c>
      <c r="V138" s="991"/>
      <c r="W138" s="991"/>
      <c r="X138" s="1042" t="s">
        <v>200</v>
      </c>
    </row>
    <row r="139" spans="1:24" ht="15">
      <c r="A139" s="991" t="s">
        <v>4363</v>
      </c>
      <c r="B139" s="1249" t="s">
        <v>529</v>
      </c>
      <c r="C139" s="1250">
        <v>50</v>
      </c>
      <c r="D139" s="1251" t="s">
        <v>633</v>
      </c>
      <c r="E139" s="1250">
        <v>249.6</v>
      </c>
      <c r="F139" s="1252">
        <v>12480</v>
      </c>
      <c r="G139" s="991"/>
      <c r="H139" s="1045">
        <v>15</v>
      </c>
      <c r="I139" s="1045">
        <v>5</v>
      </c>
      <c r="J139" s="991">
        <v>5</v>
      </c>
      <c r="K139" s="991">
        <v>5</v>
      </c>
      <c r="L139" s="1045">
        <v>15</v>
      </c>
      <c r="M139" s="991">
        <v>5</v>
      </c>
      <c r="N139" s="991">
        <v>5</v>
      </c>
      <c r="O139" s="991">
        <v>5</v>
      </c>
      <c r="P139" s="1045">
        <v>15</v>
      </c>
      <c r="Q139" s="991">
        <v>5</v>
      </c>
      <c r="R139" s="991">
        <v>5</v>
      </c>
      <c r="S139" s="991">
        <v>5</v>
      </c>
      <c r="T139" s="1045">
        <v>5</v>
      </c>
      <c r="U139" s="991">
        <v>5</v>
      </c>
      <c r="V139" s="991"/>
      <c r="W139" s="991"/>
      <c r="X139" s="1042" t="s">
        <v>200</v>
      </c>
    </row>
    <row r="140" spans="1:24" ht="15">
      <c r="A140" s="991" t="s">
        <v>4363</v>
      </c>
      <c r="B140" s="1249" t="s">
        <v>530</v>
      </c>
      <c r="C140" s="1250">
        <v>50</v>
      </c>
      <c r="D140" s="1251" t="s">
        <v>633</v>
      </c>
      <c r="E140" s="1250">
        <v>249.6</v>
      </c>
      <c r="F140" s="1252">
        <v>12480</v>
      </c>
      <c r="G140" s="991"/>
      <c r="H140" s="1045">
        <v>15</v>
      </c>
      <c r="I140" s="1045">
        <v>5</v>
      </c>
      <c r="J140" s="991">
        <v>5</v>
      </c>
      <c r="K140" s="991">
        <v>5</v>
      </c>
      <c r="L140" s="1045">
        <v>15</v>
      </c>
      <c r="M140" s="991">
        <v>5</v>
      </c>
      <c r="N140" s="991">
        <v>5</v>
      </c>
      <c r="O140" s="991">
        <v>5</v>
      </c>
      <c r="P140" s="1045">
        <v>15</v>
      </c>
      <c r="Q140" s="991">
        <v>5</v>
      </c>
      <c r="R140" s="991">
        <v>5</v>
      </c>
      <c r="S140" s="991">
        <v>5</v>
      </c>
      <c r="T140" s="1045">
        <v>5</v>
      </c>
      <c r="U140" s="991">
        <v>5</v>
      </c>
      <c r="V140" s="991"/>
      <c r="W140" s="991"/>
      <c r="X140" s="1042" t="s">
        <v>200</v>
      </c>
    </row>
    <row r="141" spans="1:24" ht="15">
      <c r="A141" s="991" t="s">
        <v>4363</v>
      </c>
      <c r="B141" s="1249" t="s">
        <v>531</v>
      </c>
      <c r="C141" s="1250">
        <v>50</v>
      </c>
      <c r="D141" s="1251" t="s">
        <v>633</v>
      </c>
      <c r="E141" s="1250">
        <v>249.6</v>
      </c>
      <c r="F141" s="1252">
        <v>12480</v>
      </c>
      <c r="G141" s="991"/>
      <c r="H141" s="1045">
        <v>15</v>
      </c>
      <c r="I141" s="1045">
        <v>5</v>
      </c>
      <c r="J141" s="991">
        <v>5</v>
      </c>
      <c r="K141" s="991">
        <v>5</v>
      </c>
      <c r="L141" s="1045">
        <v>15</v>
      </c>
      <c r="M141" s="991">
        <v>5</v>
      </c>
      <c r="N141" s="991">
        <v>5</v>
      </c>
      <c r="O141" s="991">
        <v>5</v>
      </c>
      <c r="P141" s="1045">
        <v>15</v>
      </c>
      <c r="Q141" s="991">
        <v>5</v>
      </c>
      <c r="R141" s="991">
        <v>5</v>
      </c>
      <c r="S141" s="991">
        <v>5</v>
      </c>
      <c r="T141" s="1045">
        <v>5</v>
      </c>
      <c r="U141" s="991">
        <v>5</v>
      </c>
      <c r="V141" s="991"/>
      <c r="W141" s="991"/>
      <c r="X141" s="1042" t="s">
        <v>200</v>
      </c>
    </row>
    <row r="142" spans="1:24" ht="15">
      <c r="A142" s="991" t="s">
        <v>4363</v>
      </c>
      <c r="B142" s="1249" t="s">
        <v>3630</v>
      </c>
      <c r="C142" s="1250">
        <v>5</v>
      </c>
      <c r="D142" s="1251" t="s">
        <v>189</v>
      </c>
      <c r="E142" s="1250">
        <v>8.82</v>
      </c>
      <c r="F142" s="1252">
        <v>44.1</v>
      </c>
      <c r="G142" s="991"/>
      <c r="H142" s="1045">
        <v>0</v>
      </c>
      <c r="I142" s="1045"/>
      <c r="J142" s="991"/>
      <c r="K142" s="991"/>
      <c r="L142" s="1045">
        <v>5</v>
      </c>
      <c r="M142" s="991">
        <v>5</v>
      </c>
      <c r="N142" s="991"/>
      <c r="O142" s="991"/>
      <c r="P142" s="1045">
        <v>0</v>
      </c>
      <c r="Q142" s="991"/>
      <c r="R142" s="991"/>
      <c r="S142" s="991"/>
      <c r="T142" s="1045">
        <v>0</v>
      </c>
      <c r="U142" s="991"/>
      <c r="V142" s="991"/>
      <c r="W142" s="991"/>
      <c r="X142" s="1042" t="s">
        <v>200</v>
      </c>
    </row>
    <row r="143" spans="1:24" ht="15">
      <c r="A143" s="991" t="s">
        <v>4363</v>
      </c>
      <c r="B143" s="1249" t="s">
        <v>4230</v>
      </c>
      <c r="C143" s="1250">
        <v>5</v>
      </c>
      <c r="D143" s="1251" t="s">
        <v>189</v>
      </c>
      <c r="E143" s="1250">
        <v>13.78</v>
      </c>
      <c r="F143" s="1252">
        <v>68.900000000000006</v>
      </c>
      <c r="G143" s="991"/>
      <c r="H143" s="1045">
        <v>0</v>
      </c>
      <c r="I143" s="1045"/>
      <c r="J143" s="991"/>
      <c r="K143" s="991"/>
      <c r="L143" s="1045">
        <v>5</v>
      </c>
      <c r="M143" s="991">
        <v>5</v>
      </c>
      <c r="N143" s="991"/>
      <c r="O143" s="991"/>
      <c r="P143" s="1045">
        <v>0</v>
      </c>
      <c r="Q143" s="991"/>
      <c r="R143" s="991"/>
      <c r="S143" s="991"/>
      <c r="T143" s="1045">
        <v>0</v>
      </c>
      <c r="U143" s="991"/>
      <c r="V143" s="991"/>
      <c r="W143" s="991"/>
      <c r="X143" s="1042" t="s">
        <v>200</v>
      </c>
    </row>
    <row r="144" spans="1:24" ht="23.25">
      <c r="A144" s="991" t="s">
        <v>4363</v>
      </c>
      <c r="B144" s="1249" t="s">
        <v>4309</v>
      </c>
      <c r="C144" s="1250">
        <v>100</v>
      </c>
      <c r="D144" s="1251" t="s">
        <v>3912</v>
      </c>
      <c r="E144" s="1250">
        <v>165.65</v>
      </c>
      <c r="F144" s="1252">
        <v>16565</v>
      </c>
      <c r="G144" s="991"/>
      <c r="H144" s="1045">
        <v>25</v>
      </c>
      <c r="I144" s="1045">
        <v>25</v>
      </c>
      <c r="J144" s="991"/>
      <c r="K144" s="991"/>
      <c r="L144" s="1045">
        <v>25</v>
      </c>
      <c r="M144" s="991">
        <v>25</v>
      </c>
      <c r="N144" s="991"/>
      <c r="O144" s="991"/>
      <c r="P144" s="1045">
        <v>25</v>
      </c>
      <c r="Q144" s="991">
        <v>25</v>
      </c>
      <c r="R144" s="991"/>
      <c r="S144" s="991"/>
      <c r="T144" s="1045">
        <v>25</v>
      </c>
      <c r="U144" s="991">
        <v>25</v>
      </c>
      <c r="V144" s="991"/>
      <c r="W144" s="991"/>
      <c r="X144" s="1042" t="s">
        <v>200</v>
      </c>
    </row>
    <row r="145" spans="1:24" ht="23.25">
      <c r="A145" s="991" t="s">
        <v>4363</v>
      </c>
      <c r="B145" s="1249" t="s">
        <v>4310</v>
      </c>
      <c r="C145" s="1250">
        <v>100</v>
      </c>
      <c r="D145" s="1251" t="s">
        <v>3912</v>
      </c>
      <c r="E145" s="1250">
        <v>189.18</v>
      </c>
      <c r="F145" s="1252">
        <v>18918</v>
      </c>
      <c r="G145" s="991"/>
      <c r="H145" s="1045">
        <v>25</v>
      </c>
      <c r="I145" s="1045">
        <v>25</v>
      </c>
      <c r="J145" s="991"/>
      <c r="K145" s="991"/>
      <c r="L145" s="1045">
        <v>25</v>
      </c>
      <c r="M145" s="991">
        <v>25</v>
      </c>
      <c r="N145" s="991"/>
      <c r="O145" s="991"/>
      <c r="P145" s="1045">
        <v>25</v>
      </c>
      <c r="Q145" s="991">
        <v>25</v>
      </c>
      <c r="R145" s="991"/>
      <c r="S145" s="991"/>
      <c r="T145" s="1045">
        <v>25</v>
      </c>
      <c r="U145" s="991">
        <v>25</v>
      </c>
      <c r="V145" s="991"/>
      <c r="W145" s="991"/>
      <c r="X145" s="1042" t="s">
        <v>200</v>
      </c>
    </row>
    <row r="146" spans="1:24" ht="15">
      <c r="A146" s="991" t="s">
        <v>4363</v>
      </c>
      <c r="B146" s="1249" t="s">
        <v>3671</v>
      </c>
      <c r="C146" s="1250">
        <v>2</v>
      </c>
      <c r="D146" s="1251" t="s">
        <v>4231</v>
      </c>
      <c r="E146" s="1250">
        <v>104</v>
      </c>
      <c r="F146" s="1252">
        <v>208</v>
      </c>
      <c r="G146" s="991"/>
      <c r="H146" s="1045">
        <v>0</v>
      </c>
      <c r="I146" s="1045"/>
      <c r="J146" s="991"/>
      <c r="K146" s="991"/>
      <c r="L146" s="1045">
        <v>1</v>
      </c>
      <c r="M146" s="991">
        <v>1</v>
      </c>
      <c r="N146" s="991"/>
      <c r="O146" s="991"/>
      <c r="P146" s="1045">
        <v>0</v>
      </c>
      <c r="Q146" s="991"/>
      <c r="R146" s="991"/>
      <c r="S146" s="991"/>
      <c r="T146" s="1045">
        <v>1</v>
      </c>
      <c r="U146" s="991">
        <v>1</v>
      </c>
      <c r="V146" s="991"/>
      <c r="W146" s="991"/>
      <c r="X146" s="1042" t="s">
        <v>200</v>
      </c>
    </row>
    <row r="147" spans="1:24" ht="15">
      <c r="A147" s="991" t="s">
        <v>4363</v>
      </c>
      <c r="B147" s="1249" t="s">
        <v>4313</v>
      </c>
      <c r="C147" s="1250">
        <v>50</v>
      </c>
      <c r="D147" s="1251" t="s">
        <v>103</v>
      </c>
      <c r="E147" s="1250">
        <v>22.2</v>
      </c>
      <c r="F147" s="1252">
        <v>1110</v>
      </c>
      <c r="G147" s="991"/>
      <c r="H147" s="1045">
        <v>25</v>
      </c>
      <c r="I147" s="1045">
        <v>25</v>
      </c>
      <c r="J147" s="991"/>
      <c r="K147" s="991"/>
      <c r="L147" s="1045">
        <v>0</v>
      </c>
      <c r="M147" s="991"/>
      <c r="N147" s="991"/>
      <c r="O147" s="991"/>
      <c r="P147" s="1045">
        <v>25</v>
      </c>
      <c r="Q147" s="991">
        <v>25</v>
      </c>
      <c r="R147" s="991"/>
      <c r="S147" s="991"/>
      <c r="T147" s="1045">
        <v>0</v>
      </c>
      <c r="U147" s="991"/>
      <c r="V147" s="991"/>
      <c r="W147" s="991"/>
      <c r="X147" s="1042" t="s">
        <v>200</v>
      </c>
    </row>
    <row r="148" spans="1:24" ht="15">
      <c r="A148" s="991" t="s">
        <v>4363</v>
      </c>
      <c r="B148" s="1249" t="s">
        <v>4314</v>
      </c>
      <c r="C148" s="1250">
        <v>20</v>
      </c>
      <c r="D148" s="1251" t="s">
        <v>103</v>
      </c>
      <c r="E148" s="1250">
        <v>22.2</v>
      </c>
      <c r="F148" s="1252">
        <v>444</v>
      </c>
      <c r="G148" s="991"/>
      <c r="H148" s="1045">
        <v>25</v>
      </c>
      <c r="I148" s="1045">
        <v>25</v>
      </c>
      <c r="J148" s="991"/>
      <c r="K148" s="991"/>
      <c r="L148" s="1045">
        <v>0</v>
      </c>
      <c r="M148" s="991"/>
      <c r="N148" s="991"/>
      <c r="O148" s="991"/>
      <c r="P148" s="1045">
        <v>25</v>
      </c>
      <c r="Q148" s="991">
        <v>25</v>
      </c>
      <c r="R148" s="991"/>
      <c r="S148" s="991"/>
      <c r="T148" s="1045">
        <v>0</v>
      </c>
      <c r="U148" s="991"/>
      <c r="V148" s="991"/>
      <c r="W148" s="991"/>
      <c r="X148" s="1042" t="s">
        <v>200</v>
      </c>
    </row>
    <row r="149" spans="1:24" ht="15">
      <c r="A149" s="991" t="s">
        <v>4363</v>
      </c>
      <c r="B149" s="1249" t="s">
        <v>4315</v>
      </c>
      <c r="C149" s="1250">
        <v>20</v>
      </c>
      <c r="D149" s="1251" t="s">
        <v>103</v>
      </c>
      <c r="E149" s="1250">
        <v>22.2</v>
      </c>
      <c r="F149" s="1252">
        <v>444</v>
      </c>
      <c r="G149" s="991"/>
      <c r="H149" s="1045">
        <v>25</v>
      </c>
      <c r="I149" s="1045">
        <v>25</v>
      </c>
      <c r="J149" s="991"/>
      <c r="K149" s="991"/>
      <c r="L149" s="1045">
        <v>0</v>
      </c>
      <c r="M149" s="991"/>
      <c r="N149" s="991"/>
      <c r="O149" s="991"/>
      <c r="P149" s="1045">
        <v>25</v>
      </c>
      <c r="Q149" s="991">
        <v>25</v>
      </c>
      <c r="R149" s="991"/>
      <c r="S149" s="991"/>
      <c r="T149" s="1045">
        <v>0</v>
      </c>
      <c r="U149" s="991"/>
      <c r="V149" s="991"/>
      <c r="W149" s="991"/>
      <c r="X149" s="1042" t="s">
        <v>200</v>
      </c>
    </row>
    <row r="150" spans="1:24" ht="23.25">
      <c r="A150" s="991" t="s">
        <v>4363</v>
      </c>
      <c r="B150" s="1249" t="s">
        <v>4400</v>
      </c>
      <c r="C150" s="1250">
        <v>4</v>
      </c>
      <c r="D150" s="1251" t="s">
        <v>103</v>
      </c>
      <c r="E150" s="1250">
        <v>550</v>
      </c>
      <c r="F150" s="1252">
        <v>2200</v>
      </c>
      <c r="G150" s="991"/>
      <c r="H150" s="1045">
        <v>1</v>
      </c>
      <c r="I150" s="1045">
        <v>1</v>
      </c>
      <c r="J150" s="991"/>
      <c r="K150" s="991"/>
      <c r="L150" s="1045">
        <v>1</v>
      </c>
      <c r="M150" s="991">
        <v>1</v>
      </c>
      <c r="N150" s="991"/>
      <c r="O150" s="991"/>
      <c r="P150" s="1045">
        <v>1</v>
      </c>
      <c r="Q150" s="991">
        <v>1</v>
      </c>
      <c r="R150" s="991"/>
      <c r="S150" s="991"/>
      <c r="T150" s="1045">
        <v>1</v>
      </c>
      <c r="U150" s="991">
        <v>1</v>
      </c>
      <c r="V150" s="991"/>
      <c r="W150" s="991"/>
      <c r="X150" s="1042" t="s">
        <v>200</v>
      </c>
    </row>
    <row r="151" spans="1:24" ht="23.25">
      <c r="A151" s="991" t="s">
        <v>4363</v>
      </c>
      <c r="B151" s="1249" t="s">
        <v>4401</v>
      </c>
      <c r="C151" s="1250">
        <v>4</v>
      </c>
      <c r="D151" s="1251" t="s">
        <v>103</v>
      </c>
      <c r="E151" s="1250">
        <v>550</v>
      </c>
      <c r="F151" s="1252">
        <v>2200</v>
      </c>
      <c r="G151" s="991"/>
      <c r="H151" s="1045">
        <v>1</v>
      </c>
      <c r="I151" s="1045">
        <v>1</v>
      </c>
      <c r="J151" s="991"/>
      <c r="K151" s="991"/>
      <c r="L151" s="1045">
        <v>1</v>
      </c>
      <c r="M151" s="991">
        <v>1</v>
      </c>
      <c r="N151" s="991"/>
      <c r="O151" s="991"/>
      <c r="P151" s="1045">
        <v>1</v>
      </c>
      <c r="Q151" s="991">
        <v>1</v>
      </c>
      <c r="R151" s="991"/>
      <c r="S151" s="991"/>
      <c r="T151" s="1045">
        <v>1</v>
      </c>
      <c r="U151" s="991">
        <v>1</v>
      </c>
      <c r="V151" s="991"/>
      <c r="W151" s="991"/>
      <c r="X151" s="1042" t="s">
        <v>200</v>
      </c>
    </row>
    <row r="152" spans="1:24" ht="23.25">
      <c r="A152" s="991" t="s">
        <v>4363</v>
      </c>
      <c r="B152" s="1249" t="s">
        <v>4402</v>
      </c>
      <c r="C152" s="1250">
        <v>4</v>
      </c>
      <c r="D152" s="1251" t="s">
        <v>103</v>
      </c>
      <c r="E152" s="1250">
        <v>550</v>
      </c>
      <c r="F152" s="1252">
        <v>2200</v>
      </c>
      <c r="G152" s="991"/>
      <c r="H152" s="1045">
        <v>1</v>
      </c>
      <c r="I152" s="1045">
        <v>1</v>
      </c>
      <c r="J152" s="991"/>
      <c r="K152" s="991"/>
      <c r="L152" s="1045">
        <v>1</v>
      </c>
      <c r="M152" s="991">
        <v>1</v>
      </c>
      <c r="N152" s="991"/>
      <c r="O152" s="991"/>
      <c r="P152" s="1045">
        <v>1</v>
      </c>
      <c r="Q152" s="991">
        <v>1</v>
      </c>
      <c r="R152" s="991"/>
      <c r="S152" s="991"/>
      <c r="T152" s="1045">
        <v>1</v>
      </c>
      <c r="U152" s="991">
        <v>1</v>
      </c>
      <c r="V152" s="991"/>
      <c r="W152" s="991"/>
      <c r="X152" s="1042" t="s">
        <v>200</v>
      </c>
    </row>
    <row r="153" spans="1:24" ht="15">
      <c r="A153" s="991" t="s">
        <v>4363</v>
      </c>
      <c r="B153" s="1249" t="s">
        <v>4403</v>
      </c>
      <c r="C153" s="1250"/>
      <c r="D153" s="1251"/>
      <c r="E153" s="1250"/>
      <c r="F153" s="1252"/>
      <c r="G153" s="991"/>
      <c r="H153" s="1045"/>
      <c r="I153" s="1045"/>
      <c r="J153" s="991"/>
      <c r="K153" s="991"/>
      <c r="L153" s="1045"/>
      <c r="M153" s="991"/>
      <c r="N153" s="991"/>
      <c r="O153" s="991"/>
      <c r="P153" s="1045"/>
      <c r="Q153" s="991"/>
      <c r="R153" s="991"/>
      <c r="S153" s="991"/>
      <c r="T153" s="1045"/>
      <c r="U153" s="991"/>
      <c r="V153" s="991"/>
      <c r="W153" s="991"/>
      <c r="X153" s="1042" t="s">
        <v>200</v>
      </c>
    </row>
    <row r="154" spans="1:24" ht="15">
      <c r="A154" s="991" t="s">
        <v>4363</v>
      </c>
      <c r="B154" s="1249" t="s">
        <v>4404</v>
      </c>
      <c r="C154" s="1250">
        <v>4</v>
      </c>
      <c r="D154" s="1251" t="s">
        <v>103</v>
      </c>
      <c r="E154" s="1250">
        <v>550</v>
      </c>
      <c r="F154" s="1252">
        <v>2200</v>
      </c>
      <c r="G154" s="991"/>
      <c r="H154" s="1045">
        <v>1</v>
      </c>
      <c r="I154" s="1045">
        <v>1</v>
      </c>
      <c r="J154" s="991"/>
      <c r="K154" s="991"/>
      <c r="L154" s="1045">
        <v>1</v>
      </c>
      <c r="M154" s="991">
        <v>1</v>
      </c>
      <c r="N154" s="991"/>
      <c r="O154" s="991"/>
      <c r="P154" s="1045">
        <v>1</v>
      </c>
      <c r="Q154" s="991">
        <v>1</v>
      </c>
      <c r="R154" s="991"/>
      <c r="S154" s="991"/>
      <c r="T154" s="1045">
        <v>1</v>
      </c>
      <c r="U154" s="991">
        <v>1</v>
      </c>
      <c r="V154" s="991"/>
      <c r="W154" s="991"/>
      <c r="X154" s="1042" t="s">
        <v>200</v>
      </c>
    </row>
    <row r="155" spans="1:24" ht="23.25">
      <c r="A155" s="991" t="s">
        <v>4363</v>
      </c>
      <c r="B155" s="1249" t="s">
        <v>4405</v>
      </c>
      <c r="C155" s="1250">
        <v>4</v>
      </c>
      <c r="D155" s="1251" t="s">
        <v>103</v>
      </c>
      <c r="E155" s="1250">
        <v>550</v>
      </c>
      <c r="F155" s="1252">
        <v>2200</v>
      </c>
      <c r="G155" s="991"/>
      <c r="H155" s="1045">
        <v>1</v>
      </c>
      <c r="I155" s="1045">
        <v>1</v>
      </c>
      <c r="J155" s="991"/>
      <c r="K155" s="991"/>
      <c r="L155" s="1045">
        <v>1</v>
      </c>
      <c r="M155" s="991">
        <v>1</v>
      </c>
      <c r="N155" s="991"/>
      <c r="O155" s="991"/>
      <c r="P155" s="1045">
        <v>1</v>
      </c>
      <c r="Q155" s="991">
        <v>1</v>
      </c>
      <c r="R155" s="991"/>
      <c r="S155" s="991"/>
      <c r="T155" s="1045">
        <v>1</v>
      </c>
      <c r="U155" s="991">
        <v>1</v>
      </c>
      <c r="V155" s="991"/>
      <c r="W155" s="991"/>
      <c r="X155" s="1042" t="s">
        <v>200</v>
      </c>
    </row>
    <row r="156" spans="1:24" ht="23.25">
      <c r="A156" s="991" t="s">
        <v>4363</v>
      </c>
      <c r="B156" s="1249" t="s">
        <v>4406</v>
      </c>
      <c r="C156" s="1250">
        <v>4</v>
      </c>
      <c r="D156" s="1251" t="s">
        <v>103</v>
      </c>
      <c r="E156" s="1250">
        <v>550</v>
      </c>
      <c r="F156" s="1252">
        <v>2200</v>
      </c>
      <c r="G156" s="991"/>
      <c r="H156" s="1045">
        <v>1</v>
      </c>
      <c r="I156" s="1045">
        <v>1</v>
      </c>
      <c r="J156" s="991"/>
      <c r="K156" s="991"/>
      <c r="L156" s="1045">
        <v>1</v>
      </c>
      <c r="M156" s="991">
        <v>1</v>
      </c>
      <c r="N156" s="991"/>
      <c r="O156" s="991"/>
      <c r="P156" s="1045">
        <v>1</v>
      </c>
      <c r="Q156" s="991">
        <v>1</v>
      </c>
      <c r="R156" s="991"/>
      <c r="S156" s="991"/>
      <c r="T156" s="1045">
        <v>1</v>
      </c>
      <c r="U156" s="991">
        <v>1</v>
      </c>
      <c r="V156" s="991"/>
      <c r="W156" s="991"/>
      <c r="X156" s="1042" t="s">
        <v>200</v>
      </c>
    </row>
    <row r="157" spans="1:24" ht="15">
      <c r="A157" s="991" t="s">
        <v>4363</v>
      </c>
      <c r="B157" s="1249" t="s">
        <v>3695</v>
      </c>
      <c r="C157" s="1250">
        <v>5</v>
      </c>
      <c r="D157" s="1251" t="s">
        <v>638</v>
      </c>
      <c r="E157" s="1250">
        <v>28.91</v>
      </c>
      <c r="F157" s="1252">
        <v>144.55000000000001</v>
      </c>
      <c r="G157" s="991"/>
      <c r="H157" s="1045">
        <v>5</v>
      </c>
      <c r="I157" s="1045">
        <v>5</v>
      </c>
      <c r="J157" s="991"/>
      <c r="K157" s="991"/>
      <c r="L157" s="1045">
        <v>0</v>
      </c>
      <c r="M157" s="991"/>
      <c r="N157" s="991"/>
      <c r="O157" s="991"/>
      <c r="P157" s="1045">
        <v>0</v>
      </c>
      <c r="Q157" s="991"/>
      <c r="R157" s="991"/>
      <c r="S157" s="991"/>
      <c r="T157" s="1045">
        <v>0</v>
      </c>
      <c r="U157" s="991"/>
      <c r="V157" s="991"/>
      <c r="W157" s="991"/>
      <c r="X157" s="1042" t="s">
        <v>200</v>
      </c>
    </row>
    <row r="158" spans="1:24" ht="15">
      <c r="A158" s="991" t="s">
        <v>4363</v>
      </c>
      <c r="B158" s="1249" t="s">
        <v>4407</v>
      </c>
      <c r="C158" s="1250">
        <v>10</v>
      </c>
      <c r="D158" s="1251" t="s">
        <v>638</v>
      </c>
      <c r="E158" s="1250">
        <v>28.91</v>
      </c>
      <c r="F158" s="1252">
        <v>289.10000000000002</v>
      </c>
      <c r="G158" s="991"/>
      <c r="H158" s="1045">
        <v>5</v>
      </c>
      <c r="I158" s="1045">
        <v>5</v>
      </c>
      <c r="J158" s="991"/>
      <c r="K158" s="991"/>
      <c r="L158" s="1045">
        <v>0</v>
      </c>
      <c r="M158" s="991"/>
      <c r="N158" s="991"/>
      <c r="O158" s="991"/>
      <c r="P158" s="1045">
        <v>5</v>
      </c>
      <c r="Q158" s="991">
        <v>5</v>
      </c>
      <c r="R158" s="991"/>
      <c r="S158" s="991"/>
      <c r="T158" s="1045">
        <v>0</v>
      </c>
      <c r="U158" s="991"/>
      <c r="V158" s="991"/>
      <c r="W158" s="991"/>
      <c r="X158" s="1042" t="s">
        <v>200</v>
      </c>
    </row>
    <row r="159" spans="1:24" ht="15">
      <c r="A159" s="991" t="s">
        <v>4363</v>
      </c>
      <c r="B159" s="1249" t="s">
        <v>4408</v>
      </c>
      <c r="C159" s="1250">
        <v>10</v>
      </c>
      <c r="D159" s="1251" t="s">
        <v>638</v>
      </c>
      <c r="E159" s="1250">
        <v>28.91</v>
      </c>
      <c r="F159" s="1252">
        <v>289.10000000000002</v>
      </c>
      <c r="G159" s="991"/>
      <c r="H159" s="1045">
        <v>5</v>
      </c>
      <c r="I159" s="1045">
        <v>5</v>
      </c>
      <c r="J159" s="991"/>
      <c r="K159" s="991"/>
      <c r="L159" s="1045">
        <v>0</v>
      </c>
      <c r="M159" s="991"/>
      <c r="N159" s="991"/>
      <c r="O159" s="991"/>
      <c r="P159" s="1045">
        <v>5</v>
      </c>
      <c r="Q159" s="991">
        <v>5</v>
      </c>
      <c r="R159" s="991"/>
      <c r="S159" s="991"/>
      <c r="T159" s="1045">
        <v>0</v>
      </c>
      <c r="U159" s="991"/>
      <c r="V159" s="991"/>
      <c r="W159" s="991"/>
      <c r="X159" s="1042" t="s">
        <v>200</v>
      </c>
    </row>
    <row r="160" spans="1:24" ht="15">
      <c r="A160" s="991" t="s">
        <v>4363</v>
      </c>
      <c r="B160" s="1249" t="s">
        <v>4409</v>
      </c>
      <c r="C160" s="1250">
        <v>5</v>
      </c>
      <c r="D160" s="1251" t="s">
        <v>638</v>
      </c>
      <c r="E160" s="1250">
        <v>28.91</v>
      </c>
      <c r="F160" s="1252">
        <v>144.55000000000001</v>
      </c>
      <c r="G160" s="991"/>
      <c r="H160" s="1045">
        <v>5</v>
      </c>
      <c r="I160" s="1045">
        <v>5</v>
      </c>
      <c r="J160" s="991"/>
      <c r="K160" s="991"/>
      <c r="L160" s="1045">
        <v>0</v>
      </c>
      <c r="M160" s="991"/>
      <c r="N160" s="991"/>
      <c r="O160" s="991"/>
      <c r="P160" s="1045">
        <v>0</v>
      </c>
      <c r="Q160" s="991"/>
      <c r="R160" s="991"/>
      <c r="S160" s="991"/>
      <c r="T160" s="1045">
        <v>0</v>
      </c>
      <c r="U160" s="991"/>
      <c r="V160" s="991"/>
      <c r="W160" s="991"/>
      <c r="X160" s="1042" t="s">
        <v>200</v>
      </c>
    </row>
    <row r="161" spans="1:24" ht="15">
      <c r="A161" s="991" t="s">
        <v>4363</v>
      </c>
      <c r="B161" s="1249" t="s">
        <v>3697</v>
      </c>
      <c r="C161" s="1250">
        <v>10</v>
      </c>
      <c r="D161" s="1251" t="s">
        <v>103</v>
      </c>
      <c r="E161" s="1250">
        <v>39.92</v>
      </c>
      <c r="F161" s="1252">
        <v>399.2</v>
      </c>
      <c r="G161" s="991"/>
      <c r="H161" s="1045">
        <v>5</v>
      </c>
      <c r="I161" s="1045">
        <v>5</v>
      </c>
      <c r="J161" s="991"/>
      <c r="K161" s="991"/>
      <c r="L161" s="1045">
        <v>0</v>
      </c>
      <c r="M161" s="991"/>
      <c r="N161" s="991"/>
      <c r="O161" s="991"/>
      <c r="P161" s="1045">
        <v>5</v>
      </c>
      <c r="Q161" s="991">
        <v>5</v>
      </c>
      <c r="R161" s="991"/>
      <c r="S161" s="991"/>
      <c r="T161" s="1045">
        <v>0</v>
      </c>
      <c r="U161" s="991"/>
      <c r="V161" s="991"/>
      <c r="W161" s="991"/>
      <c r="X161" s="1042" t="s">
        <v>200</v>
      </c>
    </row>
    <row r="162" spans="1:24" ht="15">
      <c r="A162" s="991" t="s">
        <v>4363</v>
      </c>
      <c r="B162" s="1249" t="s">
        <v>3699</v>
      </c>
      <c r="C162" s="1250">
        <v>2</v>
      </c>
      <c r="D162" s="1251" t="s">
        <v>103</v>
      </c>
      <c r="E162" s="1250">
        <v>27.87</v>
      </c>
      <c r="F162" s="1252">
        <v>55.74</v>
      </c>
      <c r="G162" s="991"/>
      <c r="H162" s="1045">
        <v>1</v>
      </c>
      <c r="I162" s="1045">
        <v>1</v>
      </c>
      <c r="J162" s="991"/>
      <c r="K162" s="991"/>
      <c r="L162" s="1045">
        <v>0</v>
      </c>
      <c r="M162" s="991"/>
      <c r="N162" s="991"/>
      <c r="O162" s="991"/>
      <c r="P162" s="1045">
        <v>0</v>
      </c>
      <c r="Q162" s="991"/>
      <c r="R162" s="991"/>
      <c r="S162" s="991"/>
      <c r="T162" s="1045">
        <v>1</v>
      </c>
      <c r="U162" s="991">
        <v>1</v>
      </c>
      <c r="V162" s="991"/>
      <c r="W162" s="991"/>
      <c r="X162" s="1042" t="s">
        <v>200</v>
      </c>
    </row>
    <row r="163" spans="1:24" ht="15">
      <c r="A163" s="991" t="s">
        <v>4363</v>
      </c>
      <c r="B163" s="1249" t="s">
        <v>3703</v>
      </c>
      <c r="C163" s="1250">
        <v>10</v>
      </c>
      <c r="D163" s="1251" t="s">
        <v>189</v>
      </c>
      <c r="E163" s="1250">
        <v>23.76</v>
      </c>
      <c r="F163" s="1252">
        <v>237.6</v>
      </c>
      <c r="G163" s="991"/>
      <c r="H163" s="1045">
        <v>5</v>
      </c>
      <c r="I163" s="1045">
        <v>5</v>
      </c>
      <c r="J163" s="991"/>
      <c r="K163" s="991"/>
      <c r="L163" s="1045">
        <v>0</v>
      </c>
      <c r="M163" s="991"/>
      <c r="N163" s="991"/>
      <c r="O163" s="991"/>
      <c r="P163" s="1045">
        <v>0</v>
      </c>
      <c r="Q163" s="991"/>
      <c r="R163" s="991"/>
      <c r="S163" s="991"/>
      <c r="T163" s="1045">
        <v>5</v>
      </c>
      <c r="U163" s="991">
        <v>5</v>
      </c>
      <c r="V163" s="991"/>
      <c r="W163" s="991"/>
      <c r="X163" s="1042" t="s">
        <v>200</v>
      </c>
    </row>
    <row r="164" spans="1:24" ht="15">
      <c r="A164" s="991" t="s">
        <v>4363</v>
      </c>
      <c r="B164" s="1249" t="s">
        <v>4317</v>
      </c>
      <c r="C164" s="1250">
        <v>10</v>
      </c>
      <c r="D164" s="1251" t="s">
        <v>155</v>
      </c>
      <c r="E164" s="1250">
        <v>33.799999999999997</v>
      </c>
      <c r="F164" s="1252">
        <v>338</v>
      </c>
      <c r="G164" s="991"/>
      <c r="H164" s="1045">
        <v>2</v>
      </c>
      <c r="I164" s="1045">
        <v>2</v>
      </c>
      <c r="J164" s="991"/>
      <c r="K164" s="991"/>
      <c r="L164" s="1045">
        <v>3</v>
      </c>
      <c r="M164" s="991">
        <v>3</v>
      </c>
      <c r="N164" s="991"/>
      <c r="O164" s="991"/>
      <c r="P164" s="1045">
        <v>2</v>
      </c>
      <c r="Q164" s="991">
        <v>2</v>
      </c>
      <c r="R164" s="991"/>
      <c r="S164" s="991"/>
      <c r="T164" s="1045">
        <v>3</v>
      </c>
      <c r="U164" s="991">
        <v>3</v>
      </c>
      <c r="V164" s="991"/>
      <c r="W164" s="991"/>
      <c r="X164" s="1042" t="s">
        <v>200</v>
      </c>
    </row>
    <row r="165" spans="1:24" ht="15">
      <c r="A165" s="991" t="s">
        <v>4363</v>
      </c>
      <c r="B165" s="1249" t="s">
        <v>3707</v>
      </c>
      <c r="C165" s="1250">
        <v>1</v>
      </c>
      <c r="D165" s="1251" t="s">
        <v>103</v>
      </c>
      <c r="E165" s="1250">
        <v>145.6</v>
      </c>
      <c r="F165" s="1252">
        <v>145.6</v>
      </c>
      <c r="G165" s="991"/>
      <c r="H165" s="1045">
        <v>1</v>
      </c>
      <c r="I165" s="1045">
        <v>1</v>
      </c>
      <c r="J165" s="991"/>
      <c r="K165" s="991"/>
      <c r="L165" s="1045">
        <v>0</v>
      </c>
      <c r="M165" s="991"/>
      <c r="N165" s="991"/>
      <c r="O165" s="991"/>
      <c r="P165" s="1045">
        <v>0</v>
      </c>
      <c r="Q165" s="991"/>
      <c r="R165" s="991"/>
      <c r="S165" s="991"/>
      <c r="T165" s="1045">
        <v>0</v>
      </c>
      <c r="U165" s="991"/>
      <c r="V165" s="991"/>
      <c r="W165" s="991"/>
      <c r="X165" s="1042" t="s">
        <v>200</v>
      </c>
    </row>
    <row r="166" spans="1:24" ht="15">
      <c r="A166" s="991" t="s">
        <v>4363</v>
      </c>
      <c r="B166" s="1249" t="s">
        <v>4367</v>
      </c>
      <c r="C166" s="1250">
        <v>5</v>
      </c>
      <c r="D166" s="1251" t="s">
        <v>189</v>
      </c>
      <c r="E166" s="1250">
        <v>1250</v>
      </c>
      <c r="F166" s="1252">
        <v>6250</v>
      </c>
      <c r="G166" s="991"/>
      <c r="H166" s="1045">
        <v>3</v>
      </c>
      <c r="I166" s="1045">
        <v>3</v>
      </c>
      <c r="J166" s="991"/>
      <c r="K166" s="991"/>
      <c r="L166" s="1045">
        <v>0</v>
      </c>
      <c r="M166" s="991"/>
      <c r="N166" s="991"/>
      <c r="O166" s="991"/>
      <c r="P166" s="1045">
        <v>2</v>
      </c>
      <c r="Q166" s="991">
        <v>2</v>
      </c>
      <c r="R166" s="991"/>
      <c r="S166" s="991"/>
      <c r="T166" s="1045">
        <v>0</v>
      </c>
      <c r="U166" s="991"/>
      <c r="V166" s="991"/>
      <c r="W166" s="991"/>
      <c r="X166" s="1042" t="s">
        <v>200</v>
      </c>
    </row>
    <row r="167" spans="1:24" ht="15">
      <c r="A167" s="991" t="s">
        <v>4363</v>
      </c>
      <c r="B167" s="1249" t="s">
        <v>4410</v>
      </c>
      <c r="C167" s="1250">
        <v>1</v>
      </c>
      <c r="D167" s="1251" t="s">
        <v>189</v>
      </c>
      <c r="E167" s="1250">
        <v>1800</v>
      </c>
      <c r="F167" s="1252">
        <v>1800</v>
      </c>
      <c r="G167" s="991"/>
      <c r="H167" s="1045">
        <v>1</v>
      </c>
      <c r="I167" s="1045">
        <v>1</v>
      </c>
      <c r="J167" s="991"/>
      <c r="K167" s="991"/>
      <c r="L167" s="1045">
        <v>0</v>
      </c>
      <c r="M167" s="991"/>
      <c r="N167" s="991"/>
      <c r="O167" s="991"/>
      <c r="P167" s="1045">
        <v>0</v>
      </c>
      <c r="Q167" s="991"/>
      <c r="R167" s="991"/>
      <c r="S167" s="991"/>
      <c r="T167" s="1045">
        <v>0</v>
      </c>
      <c r="U167" s="991"/>
      <c r="V167" s="991"/>
      <c r="W167" s="991"/>
      <c r="X167" s="1042" t="s">
        <v>200</v>
      </c>
    </row>
    <row r="168" spans="1:24" ht="15">
      <c r="A168" s="991" t="s">
        <v>4363</v>
      </c>
      <c r="B168" s="1249" t="s">
        <v>4411</v>
      </c>
      <c r="C168" s="1250">
        <v>1</v>
      </c>
      <c r="D168" s="1251" t="s">
        <v>189</v>
      </c>
      <c r="E168" s="1250">
        <v>2200</v>
      </c>
      <c r="F168" s="1252">
        <v>2200</v>
      </c>
      <c r="G168" s="991"/>
      <c r="H168" s="1045">
        <v>1</v>
      </c>
      <c r="I168" s="1045">
        <v>1</v>
      </c>
      <c r="J168" s="991"/>
      <c r="K168" s="991"/>
      <c r="L168" s="1045">
        <v>0</v>
      </c>
      <c r="M168" s="991"/>
      <c r="N168" s="991"/>
      <c r="O168" s="991"/>
      <c r="P168" s="1045">
        <v>0</v>
      </c>
      <c r="Q168" s="991"/>
      <c r="R168" s="991"/>
      <c r="S168" s="991"/>
      <c r="T168" s="1045">
        <v>0</v>
      </c>
      <c r="U168" s="991"/>
      <c r="V168" s="991"/>
      <c r="W168" s="991"/>
      <c r="X168" s="1042" t="s">
        <v>200</v>
      </c>
    </row>
    <row r="169" spans="1:24" ht="15">
      <c r="A169" s="991" t="s">
        <v>4363</v>
      </c>
      <c r="B169" s="1249" t="s">
        <v>4412</v>
      </c>
      <c r="C169" s="1250">
        <v>2</v>
      </c>
      <c r="D169" s="1251" t="s">
        <v>3912</v>
      </c>
      <c r="E169" s="1250">
        <v>550</v>
      </c>
      <c r="F169" s="1252">
        <v>1100</v>
      </c>
      <c r="G169" s="991"/>
      <c r="H169" s="1045">
        <v>2</v>
      </c>
      <c r="I169" s="1045">
        <v>2</v>
      </c>
      <c r="J169" s="991"/>
      <c r="K169" s="991"/>
      <c r="L169" s="1045">
        <v>0</v>
      </c>
      <c r="M169" s="991"/>
      <c r="N169" s="991"/>
      <c r="O169" s="991"/>
      <c r="P169" s="1045">
        <v>0</v>
      </c>
      <c r="Q169" s="991"/>
      <c r="R169" s="991"/>
      <c r="S169" s="991"/>
      <c r="T169" s="1045">
        <v>0</v>
      </c>
      <c r="U169" s="991"/>
      <c r="V169" s="991"/>
      <c r="W169" s="991"/>
      <c r="X169" s="1042" t="s">
        <v>200</v>
      </c>
    </row>
    <row r="170" spans="1:24" ht="15">
      <c r="A170" s="991" t="s">
        <v>4363</v>
      </c>
      <c r="B170" s="1249" t="s">
        <v>4413</v>
      </c>
      <c r="C170" s="1250">
        <v>1</v>
      </c>
      <c r="D170" s="1251" t="s">
        <v>103</v>
      </c>
      <c r="E170" s="1250">
        <v>40</v>
      </c>
      <c r="F170" s="1252">
        <v>40</v>
      </c>
      <c r="G170" s="991"/>
      <c r="H170" s="1045">
        <v>1</v>
      </c>
      <c r="I170" s="1045">
        <v>1</v>
      </c>
      <c r="J170" s="991"/>
      <c r="K170" s="991"/>
      <c r="L170" s="1045">
        <v>0</v>
      </c>
      <c r="M170" s="991"/>
      <c r="N170" s="991"/>
      <c r="O170" s="991"/>
      <c r="P170" s="1045">
        <v>0</v>
      </c>
      <c r="Q170" s="991"/>
      <c r="R170" s="991"/>
      <c r="S170" s="991"/>
      <c r="T170" s="1045">
        <v>0</v>
      </c>
      <c r="U170" s="991"/>
      <c r="V170" s="991"/>
      <c r="W170" s="991"/>
      <c r="X170" s="1042" t="s">
        <v>200</v>
      </c>
    </row>
    <row r="171" spans="1:24" ht="15">
      <c r="A171" s="991" t="s">
        <v>4363</v>
      </c>
      <c r="B171" s="1249" t="s">
        <v>4414</v>
      </c>
      <c r="C171" s="1250">
        <v>5</v>
      </c>
      <c r="D171" s="1251" t="s">
        <v>103</v>
      </c>
      <c r="E171" s="1250">
        <v>3</v>
      </c>
      <c r="F171" s="1252">
        <v>15</v>
      </c>
      <c r="G171" s="991"/>
      <c r="H171" s="1045">
        <v>5</v>
      </c>
      <c r="I171" s="1045">
        <v>5</v>
      </c>
      <c r="J171" s="991"/>
      <c r="K171" s="991"/>
      <c r="L171" s="1045">
        <v>0</v>
      </c>
      <c r="M171" s="991"/>
      <c r="N171" s="991"/>
      <c r="O171" s="991"/>
      <c r="P171" s="1045">
        <v>0</v>
      </c>
      <c r="Q171" s="991"/>
      <c r="R171" s="991"/>
      <c r="S171" s="991"/>
      <c r="T171" s="1045">
        <v>0</v>
      </c>
      <c r="U171" s="991"/>
      <c r="V171" s="991"/>
      <c r="W171" s="991"/>
      <c r="X171" s="1042" t="s">
        <v>200</v>
      </c>
    </row>
    <row r="172" spans="1:24" ht="15">
      <c r="A172" s="991" t="s">
        <v>4363</v>
      </c>
      <c r="B172" s="1249" t="s">
        <v>4237</v>
      </c>
      <c r="C172" s="1250">
        <v>50</v>
      </c>
      <c r="D172" s="1251" t="s">
        <v>4238</v>
      </c>
      <c r="E172" s="1250">
        <v>300</v>
      </c>
      <c r="F172" s="1252">
        <v>15000</v>
      </c>
      <c r="G172" s="991"/>
      <c r="H172" s="1045">
        <v>50</v>
      </c>
      <c r="I172" s="1045">
        <v>50</v>
      </c>
      <c r="J172" s="991"/>
      <c r="K172" s="991"/>
      <c r="L172" s="1045">
        <v>0</v>
      </c>
      <c r="M172" s="991"/>
      <c r="N172" s="991"/>
      <c r="O172" s="991"/>
      <c r="P172" s="1045">
        <v>0</v>
      </c>
      <c r="Q172" s="991"/>
      <c r="R172" s="991"/>
      <c r="S172" s="991"/>
      <c r="T172" s="1045">
        <v>0</v>
      </c>
      <c r="U172" s="991"/>
      <c r="V172" s="991"/>
      <c r="W172" s="991"/>
      <c r="X172" s="1042" t="s">
        <v>200</v>
      </c>
    </row>
    <row r="173" spans="1:24" ht="15">
      <c r="A173" s="991" t="s">
        <v>4363</v>
      </c>
      <c r="B173" s="1249" t="s">
        <v>4415</v>
      </c>
      <c r="C173" s="1250">
        <v>500</v>
      </c>
      <c r="D173" s="1251" t="s">
        <v>103</v>
      </c>
      <c r="E173" s="1250">
        <v>20</v>
      </c>
      <c r="F173" s="1252">
        <v>10000</v>
      </c>
      <c r="G173" s="991"/>
      <c r="H173" s="1045">
        <v>250</v>
      </c>
      <c r="I173" s="1045">
        <v>250</v>
      </c>
      <c r="J173" s="991"/>
      <c r="K173" s="991"/>
      <c r="L173" s="1045">
        <v>0</v>
      </c>
      <c r="M173" s="991"/>
      <c r="N173" s="991"/>
      <c r="O173" s="991"/>
      <c r="P173" s="1045">
        <v>250</v>
      </c>
      <c r="Q173" s="991">
        <v>250</v>
      </c>
      <c r="R173" s="991"/>
      <c r="S173" s="991"/>
      <c r="T173" s="1045">
        <v>0</v>
      </c>
      <c r="U173" s="991"/>
      <c r="V173" s="991"/>
      <c r="W173" s="991"/>
      <c r="X173" s="1042" t="s">
        <v>200</v>
      </c>
    </row>
    <row r="174" spans="1:24" ht="15">
      <c r="A174" s="991" t="s">
        <v>4363</v>
      </c>
      <c r="B174" s="1249" t="s">
        <v>4416</v>
      </c>
      <c r="C174" s="1250">
        <v>10</v>
      </c>
      <c r="D174" s="1251" t="s">
        <v>638</v>
      </c>
      <c r="E174" s="1250">
        <v>350</v>
      </c>
      <c r="F174" s="1252">
        <v>3500</v>
      </c>
      <c r="G174" s="991"/>
      <c r="H174" s="1045">
        <v>5</v>
      </c>
      <c r="I174" s="1045">
        <v>5</v>
      </c>
      <c r="J174" s="991"/>
      <c r="K174" s="991"/>
      <c r="L174" s="1045">
        <v>0</v>
      </c>
      <c r="M174" s="991"/>
      <c r="N174" s="991"/>
      <c r="O174" s="991"/>
      <c r="P174" s="1045">
        <v>5</v>
      </c>
      <c r="Q174" s="991">
        <v>5</v>
      </c>
      <c r="R174" s="991"/>
      <c r="S174" s="991"/>
      <c r="T174" s="1045">
        <v>0</v>
      </c>
      <c r="U174" s="991"/>
      <c r="V174" s="991"/>
      <c r="W174" s="991"/>
      <c r="X174" s="1042" t="s">
        <v>200</v>
      </c>
    </row>
    <row r="175" spans="1:24" ht="15">
      <c r="A175" s="991" t="s">
        <v>4363</v>
      </c>
      <c r="B175" s="1249" t="s">
        <v>4417</v>
      </c>
      <c r="C175" s="1250">
        <v>10</v>
      </c>
      <c r="D175" s="1251" t="s">
        <v>638</v>
      </c>
      <c r="E175" s="1250">
        <v>350</v>
      </c>
      <c r="F175" s="1252">
        <v>3500</v>
      </c>
      <c r="G175" s="991"/>
      <c r="H175" s="1045">
        <v>5</v>
      </c>
      <c r="I175" s="1045">
        <v>5</v>
      </c>
      <c r="J175" s="991"/>
      <c r="K175" s="991"/>
      <c r="L175" s="1045">
        <v>0</v>
      </c>
      <c r="M175" s="991"/>
      <c r="N175" s="991"/>
      <c r="O175" s="991"/>
      <c r="P175" s="1045">
        <v>5</v>
      </c>
      <c r="Q175" s="991">
        <v>5</v>
      </c>
      <c r="R175" s="991"/>
      <c r="S175" s="991"/>
      <c r="T175" s="1045">
        <v>0</v>
      </c>
      <c r="U175" s="991"/>
      <c r="V175" s="991"/>
      <c r="W175" s="991"/>
      <c r="X175" s="1042" t="s">
        <v>200</v>
      </c>
    </row>
    <row r="176" spans="1:24" ht="15">
      <c r="A176" s="991" t="s">
        <v>4363</v>
      </c>
      <c r="B176" s="1249" t="s">
        <v>4418</v>
      </c>
      <c r="C176" s="1250">
        <v>10</v>
      </c>
      <c r="D176" s="1251" t="s">
        <v>638</v>
      </c>
      <c r="E176" s="1250">
        <v>350</v>
      </c>
      <c r="F176" s="1252">
        <v>3500</v>
      </c>
      <c r="G176" s="991"/>
      <c r="H176" s="1045">
        <v>5</v>
      </c>
      <c r="I176" s="1045">
        <v>5</v>
      </c>
      <c r="J176" s="991"/>
      <c r="K176" s="991"/>
      <c r="L176" s="1045">
        <v>0</v>
      </c>
      <c r="M176" s="991"/>
      <c r="N176" s="991"/>
      <c r="O176" s="991"/>
      <c r="P176" s="1045">
        <v>5</v>
      </c>
      <c r="Q176" s="991">
        <v>5</v>
      </c>
      <c r="R176" s="991"/>
      <c r="S176" s="991"/>
      <c r="T176" s="1045">
        <v>0</v>
      </c>
      <c r="U176" s="991"/>
      <c r="V176" s="991"/>
      <c r="W176" s="991"/>
      <c r="X176" s="1042" t="s">
        <v>200</v>
      </c>
    </row>
    <row r="177" spans="1:24" ht="15">
      <c r="A177" s="991" t="s">
        <v>4363</v>
      </c>
      <c r="B177" s="1249" t="s">
        <v>4419</v>
      </c>
      <c r="C177" s="1250">
        <v>10</v>
      </c>
      <c r="D177" s="1251" t="s">
        <v>638</v>
      </c>
      <c r="E177" s="1250">
        <v>350</v>
      </c>
      <c r="F177" s="1252">
        <v>3500</v>
      </c>
      <c r="G177" s="991"/>
      <c r="H177" s="1045">
        <v>5</v>
      </c>
      <c r="I177" s="1045">
        <v>5</v>
      </c>
      <c r="J177" s="991"/>
      <c r="K177" s="991"/>
      <c r="L177" s="1045">
        <v>0</v>
      </c>
      <c r="M177" s="991"/>
      <c r="N177" s="991"/>
      <c r="O177" s="991"/>
      <c r="P177" s="1045">
        <v>5</v>
      </c>
      <c r="Q177" s="991">
        <v>5</v>
      </c>
      <c r="R177" s="991"/>
      <c r="S177" s="991"/>
      <c r="T177" s="1045">
        <v>0</v>
      </c>
      <c r="U177" s="991"/>
      <c r="V177" s="991"/>
      <c r="W177" s="991"/>
      <c r="X177" s="1042" t="s">
        <v>200</v>
      </c>
    </row>
    <row r="178" spans="1:24" ht="15">
      <c r="A178" s="991" t="s">
        <v>4363</v>
      </c>
      <c r="B178" s="1254" t="s">
        <v>3308</v>
      </c>
      <c r="C178" s="1250">
        <v>6</v>
      </c>
      <c r="D178" s="1251" t="s">
        <v>155</v>
      </c>
      <c r="E178" s="1250">
        <v>20.49</v>
      </c>
      <c r="F178" s="1252">
        <v>122.94</v>
      </c>
      <c r="G178" s="991" t="s">
        <v>495</v>
      </c>
      <c r="H178" s="1045">
        <v>2</v>
      </c>
      <c r="I178" s="1045">
        <v>1</v>
      </c>
      <c r="J178" s="991">
        <v>0</v>
      </c>
      <c r="K178" s="991">
        <v>1</v>
      </c>
      <c r="L178" s="1045">
        <v>1</v>
      </c>
      <c r="M178" s="991">
        <v>0</v>
      </c>
      <c r="N178" s="991">
        <v>1</v>
      </c>
      <c r="O178" s="991">
        <v>0</v>
      </c>
      <c r="P178" s="1045">
        <v>2</v>
      </c>
      <c r="Q178" s="991">
        <v>1</v>
      </c>
      <c r="R178" s="991">
        <v>0</v>
      </c>
      <c r="S178" s="991">
        <v>1</v>
      </c>
      <c r="T178" s="1045">
        <v>1</v>
      </c>
      <c r="U178" s="991">
        <v>0</v>
      </c>
      <c r="V178" s="991">
        <v>1</v>
      </c>
      <c r="W178" s="991">
        <v>0</v>
      </c>
      <c r="X178" s="1042" t="s">
        <v>113</v>
      </c>
    </row>
    <row r="179" spans="1:24" ht="15">
      <c r="A179" s="991" t="s">
        <v>4363</v>
      </c>
      <c r="B179" s="1249" t="s">
        <v>3408</v>
      </c>
      <c r="C179" s="1250">
        <v>1</v>
      </c>
      <c r="D179" s="1251" t="s">
        <v>189</v>
      </c>
      <c r="E179" s="1250">
        <v>980.72</v>
      </c>
      <c r="F179" s="1252">
        <v>980.72</v>
      </c>
      <c r="G179" s="991" t="s">
        <v>495</v>
      </c>
      <c r="H179" s="1045">
        <v>1</v>
      </c>
      <c r="I179" s="1045">
        <v>1</v>
      </c>
      <c r="J179" s="991">
        <v>0</v>
      </c>
      <c r="K179" s="991">
        <v>0</v>
      </c>
      <c r="L179" s="1045">
        <v>0</v>
      </c>
      <c r="M179" s="991">
        <v>0</v>
      </c>
      <c r="N179" s="991">
        <v>0</v>
      </c>
      <c r="O179" s="991">
        <v>0</v>
      </c>
      <c r="P179" s="1045">
        <v>0</v>
      </c>
      <c r="Q179" s="991">
        <v>0</v>
      </c>
      <c r="R179" s="991">
        <v>0</v>
      </c>
      <c r="S179" s="991">
        <v>0</v>
      </c>
      <c r="T179" s="1045">
        <v>0</v>
      </c>
      <c r="U179" s="991">
        <v>0</v>
      </c>
      <c r="V179" s="991">
        <v>0</v>
      </c>
      <c r="W179" s="991">
        <v>0</v>
      </c>
      <c r="X179" s="1042" t="s">
        <v>113</v>
      </c>
    </row>
    <row r="180" spans="1:24" ht="15">
      <c r="A180" s="991" t="s">
        <v>4363</v>
      </c>
      <c r="B180" s="1249" t="s">
        <v>3351</v>
      </c>
      <c r="C180" s="1250">
        <v>2</v>
      </c>
      <c r="D180" s="1251" t="s">
        <v>189</v>
      </c>
      <c r="E180" s="1250">
        <v>14.75</v>
      </c>
      <c r="F180" s="1252">
        <v>29.5</v>
      </c>
      <c r="G180" s="991" t="s">
        <v>495</v>
      </c>
      <c r="H180" s="1045">
        <v>2</v>
      </c>
      <c r="I180" s="1045">
        <v>2</v>
      </c>
      <c r="J180" s="991">
        <v>0</v>
      </c>
      <c r="K180" s="991">
        <v>0</v>
      </c>
      <c r="L180" s="1045">
        <v>0</v>
      </c>
      <c r="M180" s="991">
        <v>0</v>
      </c>
      <c r="N180" s="991">
        <v>0</v>
      </c>
      <c r="O180" s="991">
        <v>0</v>
      </c>
      <c r="P180" s="1045">
        <v>0</v>
      </c>
      <c r="Q180" s="991">
        <v>0</v>
      </c>
      <c r="R180" s="991">
        <v>0</v>
      </c>
      <c r="S180" s="991">
        <v>0</v>
      </c>
      <c r="T180" s="1045">
        <v>0</v>
      </c>
      <c r="U180" s="991">
        <v>0</v>
      </c>
      <c r="V180" s="991">
        <v>0</v>
      </c>
      <c r="W180" s="991">
        <v>0</v>
      </c>
      <c r="X180" s="1042" t="s">
        <v>113</v>
      </c>
    </row>
    <row r="181" spans="1:24" ht="15">
      <c r="A181" s="991" t="s">
        <v>4363</v>
      </c>
      <c r="B181" s="1249" t="s">
        <v>3355</v>
      </c>
      <c r="C181" s="1250">
        <v>2</v>
      </c>
      <c r="D181" s="1251" t="s">
        <v>189</v>
      </c>
      <c r="E181" s="1250">
        <v>56.04</v>
      </c>
      <c r="F181" s="1252">
        <v>112.08</v>
      </c>
      <c r="G181" s="991" t="s">
        <v>495</v>
      </c>
      <c r="H181" s="1045">
        <v>2</v>
      </c>
      <c r="I181" s="1045">
        <v>2</v>
      </c>
      <c r="J181" s="991">
        <v>0</v>
      </c>
      <c r="K181" s="991">
        <v>0</v>
      </c>
      <c r="L181" s="1045">
        <v>0</v>
      </c>
      <c r="M181" s="991">
        <v>0</v>
      </c>
      <c r="N181" s="991">
        <v>0</v>
      </c>
      <c r="O181" s="991">
        <v>0</v>
      </c>
      <c r="P181" s="1045">
        <v>0</v>
      </c>
      <c r="Q181" s="991">
        <v>0</v>
      </c>
      <c r="R181" s="991">
        <v>0</v>
      </c>
      <c r="S181" s="991">
        <v>0</v>
      </c>
      <c r="T181" s="1045">
        <v>0</v>
      </c>
      <c r="U181" s="991">
        <v>0</v>
      </c>
      <c r="V181" s="991">
        <v>0</v>
      </c>
      <c r="W181" s="991">
        <v>0</v>
      </c>
      <c r="X181" s="1042" t="s">
        <v>113</v>
      </c>
    </row>
    <row r="182" spans="1:24" ht="15">
      <c r="A182" s="991" t="s">
        <v>4363</v>
      </c>
      <c r="B182" s="1249" t="s">
        <v>3326</v>
      </c>
      <c r="C182" s="1250">
        <v>5</v>
      </c>
      <c r="D182" s="1251" t="s">
        <v>466</v>
      </c>
      <c r="E182" s="1250">
        <v>266.24</v>
      </c>
      <c r="F182" s="1252">
        <v>1331.2</v>
      </c>
      <c r="G182" s="991" t="s">
        <v>495</v>
      </c>
      <c r="H182" s="1045">
        <v>5</v>
      </c>
      <c r="I182" s="1045">
        <v>5</v>
      </c>
      <c r="J182" s="991">
        <v>0</v>
      </c>
      <c r="K182" s="991">
        <v>0</v>
      </c>
      <c r="L182" s="1045">
        <v>0</v>
      </c>
      <c r="M182" s="991">
        <v>0</v>
      </c>
      <c r="N182" s="991">
        <v>0</v>
      </c>
      <c r="O182" s="991">
        <v>0</v>
      </c>
      <c r="P182" s="1045">
        <v>0</v>
      </c>
      <c r="Q182" s="991">
        <v>0</v>
      </c>
      <c r="R182" s="991">
        <v>0</v>
      </c>
      <c r="S182" s="991">
        <v>0</v>
      </c>
      <c r="T182" s="1045">
        <v>0</v>
      </c>
      <c r="U182" s="991">
        <v>0</v>
      </c>
      <c r="V182" s="991">
        <v>0</v>
      </c>
      <c r="W182" s="991">
        <v>0</v>
      </c>
      <c r="X182" s="1042" t="s">
        <v>113</v>
      </c>
    </row>
    <row r="183" spans="1:24" ht="15">
      <c r="A183" s="991" t="s">
        <v>4363</v>
      </c>
      <c r="B183" s="1249" t="s">
        <v>3328</v>
      </c>
      <c r="C183" s="1250">
        <v>4</v>
      </c>
      <c r="D183" s="1251" t="s">
        <v>189</v>
      </c>
      <c r="E183" s="1250">
        <v>221</v>
      </c>
      <c r="F183" s="1252">
        <v>884</v>
      </c>
      <c r="G183" s="991" t="s">
        <v>495</v>
      </c>
      <c r="H183" s="1045">
        <v>1</v>
      </c>
      <c r="I183" s="1045">
        <v>1</v>
      </c>
      <c r="J183" s="991">
        <v>0</v>
      </c>
      <c r="K183" s="991">
        <v>0</v>
      </c>
      <c r="L183" s="1045">
        <v>1</v>
      </c>
      <c r="M183" s="991">
        <v>1</v>
      </c>
      <c r="N183" s="991">
        <v>0</v>
      </c>
      <c r="O183" s="991">
        <v>0</v>
      </c>
      <c r="P183" s="1045">
        <v>1</v>
      </c>
      <c r="Q183" s="991">
        <v>1</v>
      </c>
      <c r="R183" s="991">
        <v>0</v>
      </c>
      <c r="S183" s="991">
        <v>0</v>
      </c>
      <c r="T183" s="1045">
        <v>1</v>
      </c>
      <c r="U183" s="991">
        <v>1</v>
      </c>
      <c r="V183" s="991">
        <v>0</v>
      </c>
      <c r="W183" s="991">
        <v>0</v>
      </c>
      <c r="X183" s="1042" t="s">
        <v>113</v>
      </c>
    </row>
    <row r="184" spans="1:24" ht="15">
      <c r="A184" s="991" t="s">
        <v>4363</v>
      </c>
      <c r="B184" s="1249" t="s">
        <v>3604</v>
      </c>
      <c r="C184" s="1250">
        <v>2</v>
      </c>
      <c r="D184" s="1251" t="s">
        <v>103</v>
      </c>
      <c r="E184" s="1250">
        <v>344.92</v>
      </c>
      <c r="F184" s="1252">
        <v>689.84</v>
      </c>
      <c r="G184" s="991" t="s">
        <v>495</v>
      </c>
      <c r="H184" s="1045">
        <v>2</v>
      </c>
      <c r="I184" s="1045">
        <v>2</v>
      </c>
      <c r="J184" s="991">
        <v>0</v>
      </c>
      <c r="K184" s="991">
        <v>0</v>
      </c>
      <c r="L184" s="1045">
        <v>0</v>
      </c>
      <c r="M184" s="991">
        <v>0</v>
      </c>
      <c r="N184" s="991">
        <v>0</v>
      </c>
      <c r="O184" s="991">
        <v>0</v>
      </c>
      <c r="P184" s="1045">
        <v>0</v>
      </c>
      <c r="Q184" s="991">
        <v>0</v>
      </c>
      <c r="R184" s="991">
        <v>0</v>
      </c>
      <c r="S184" s="991">
        <v>0</v>
      </c>
      <c r="T184" s="1045">
        <v>0</v>
      </c>
      <c r="U184" s="991">
        <v>0</v>
      </c>
      <c r="V184" s="991">
        <v>0</v>
      </c>
      <c r="W184" s="991">
        <v>0</v>
      </c>
      <c r="X184" s="1042" t="s">
        <v>113</v>
      </c>
    </row>
    <row r="185" spans="1:24" ht="23.25">
      <c r="A185" s="991" t="s">
        <v>4363</v>
      </c>
      <c r="B185" s="1249" t="s">
        <v>4420</v>
      </c>
      <c r="C185" s="1250">
        <v>2</v>
      </c>
      <c r="D185" s="1251" t="s">
        <v>103</v>
      </c>
      <c r="E185" s="1250">
        <v>32.909999999999997</v>
      </c>
      <c r="F185" s="1252">
        <v>65.819999999999993</v>
      </c>
      <c r="G185" s="991" t="s">
        <v>495</v>
      </c>
      <c r="H185" s="1045">
        <v>1</v>
      </c>
      <c r="I185" s="1045">
        <v>1</v>
      </c>
      <c r="J185" s="991">
        <v>0</v>
      </c>
      <c r="K185" s="991">
        <v>0</v>
      </c>
      <c r="L185" s="1045">
        <v>0</v>
      </c>
      <c r="M185" s="991">
        <v>0</v>
      </c>
      <c r="N185" s="991">
        <v>0</v>
      </c>
      <c r="O185" s="991">
        <v>0</v>
      </c>
      <c r="P185" s="1045">
        <v>1</v>
      </c>
      <c r="Q185" s="991">
        <v>1</v>
      </c>
      <c r="R185" s="991">
        <v>0</v>
      </c>
      <c r="S185" s="991">
        <v>0</v>
      </c>
      <c r="T185" s="1045">
        <v>0</v>
      </c>
      <c r="U185" s="991">
        <v>0</v>
      </c>
      <c r="V185" s="991">
        <v>0</v>
      </c>
      <c r="W185" s="991">
        <v>0</v>
      </c>
      <c r="X185" s="1042" t="s">
        <v>113</v>
      </c>
    </row>
    <row r="186" spans="1:24" ht="23.25">
      <c r="A186" s="991" t="s">
        <v>4363</v>
      </c>
      <c r="B186" s="1249" t="s">
        <v>4421</v>
      </c>
      <c r="C186" s="1250">
        <v>2</v>
      </c>
      <c r="D186" s="1251" t="s">
        <v>103</v>
      </c>
      <c r="E186" s="1250">
        <v>36.36</v>
      </c>
      <c r="F186" s="1252">
        <v>72.72</v>
      </c>
      <c r="G186" s="991" t="s">
        <v>495</v>
      </c>
      <c r="H186" s="1045">
        <v>1</v>
      </c>
      <c r="I186" s="1045">
        <v>1</v>
      </c>
      <c r="J186" s="991">
        <v>0</v>
      </c>
      <c r="K186" s="991">
        <v>0</v>
      </c>
      <c r="L186" s="1045">
        <v>0</v>
      </c>
      <c r="M186" s="991">
        <v>0</v>
      </c>
      <c r="N186" s="991">
        <v>0</v>
      </c>
      <c r="O186" s="991">
        <v>0</v>
      </c>
      <c r="P186" s="1045">
        <v>1</v>
      </c>
      <c r="Q186" s="991">
        <v>1</v>
      </c>
      <c r="R186" s="991">
        <v>0</v>
      </c>
      <c r="S186" s="991">
        <v>0</v>
      </c>
      <c r="T186" s="1045">
        <v>0</v>
      </c>
      <c r="U186" s="991">
        <v>0</v>
      </c>
      <c r="V186" s="991">
        <v>0</v>
      </c>
      <c r="W186" s="991">
        <v>0</v>
      </c>
      <c r="X186" s="1042" t="s">
        <v>113</v>
      </c>
    </row>
    <row r="187" spans="1:24" ht="15">
      <c r="A187" s="991" t="s">
        <v>4363</v>
      </c>
      <c r="B187" s="1249" t="s">
        <v>3369</v>
      </c>
      <c r="C187" s="1250">
        <v>5</v>
      </c>
      <c r="D187" s="1251" t="s">
        <v>103</v>
      </c>
      <c r="E187" s="1250">
        <v>11.53</v>
      </c>
      <c r="F187" s="1252">
        <v>57.65</v>
      </c>
      <c r="G187" s="991" t="s">
        <v>495</v>
      </c>
      <c r="H187" s="1045">
        <v>5</v>
      </c>
      <c r="I187" s="1045">
        <v>5</v>
      </c>
      <c r="J187" s="991">
        <v>0</v>
      </c>
      <c r="K187" s="991">
        <v>0</v>
      </c>
      <c r="L187" s="1045">
        <v>0</v>
      </c>
      <c r="M187" s="991">
        <v>0</v>
      </c>
      <c r="N187" s="991">
        <v>0</v>
      </c>
      <c r="O187" s="991">
        <v>0</v>
      </c>
      <c r="P187" s="1045">
        <v>0</v>
      </c>
      <c r="Q187" s="991">
        <v>0</v>
      </c>
      <c r="R187" s="991">
        <v>0</v>
      </c>
      <c r="S187" s="991">
        <v>0</v>
      </c>
      <c r="T187" s="1045">
        <v>0</v>
      </c>
      <c r="U187" s="991">
        <v>0</v>
      </c>
      <c r="V187" s="991">
        <v>0</v>
      </c>
      <c r="W187" s="991">
        <v>0</v>
      </c>
      <c r="X187" s="1042" t="s">
        <v>113</v>
      </c>
    </row>
    <row r="188" spans="1:24" ht="15">
      <c r="A188" s="991" t="s">
        <v>4363</v>
      </c>
      <c r="B188" s="1249" t="s">
        <v>4422</v>
      </c>
      <c r="C188" s="1250">
        <v>20</v>
      </c>
      <c r="D188" s="1251" t="s">
        <v>103</v>
      </c>
      <c r="E188" s="1250">
        <v>77.2</v>
      </c>
      <c r="F188" s="1252">
        <v>1544</v>
      </c>
      <c r="G188" s="991" t="s">
        <v>495</v>
      </c>
      <c r="H188" s="1045">
        <v>20</v>
      </c>
      <c r="I188" s="1045">
        <v>20</v>
      </c>
      <c r="J188" s="991">
        <v>0</v>
      </c>
      <c r="K188" s="991">
        <v>0</v>
      </c>
      <c r="L188" s="1045">
        <v>0</v>
      </c>
      <c r="M188" s="991">
        <v>0</v>
      </c>
      <c r="N188" s="991">
        <v>0</v>
      </c>
      <c r="O188" s="991">
        <v>0</v>
      </c>
      <c r="P188" s="1045">
        <v>0</v>
      </c>
      <c r="Q188" s="991">
        <v>0</v>
      </c>
      <c r="R188" s="991">
        <v>0</v>
      </c>
      <c r="S188" s="991">
        <v>0</v>
      </c>
      <c r="T188" s="1045">
        <v>0</v>
      </c>
      <c r="U188" s="991">
        <v>0</v>
      </c>
      <c r="V188" s="991">
        <v>0</v>
      </c>
      <c r="W188" s="991">
        <v>0</v>
      </c>
      <c r="X188" s="1042" t="s">
        <v>113</v>
      </c>
    </row>
    <row r="189" spans="1:24" ht="15">
      <c r="A189" s="991" t="s">
        <v>4363</v>
      </c>
      <c r="B189" s="1249" t="s">
        <v>4239</v>
      </c>
      <c r="C189" s="1250">
        <v>8</v>
      </c>
      <c r="D189" s="1251" t="s">
        <v>103</v>
      </c>
      <c r="E189" s="1250">
        <v>32.450000000000003</v>
      </c>
      <c r="F189" s="1252">
        <v>259.60000000000002</v>
      </c>
      <c r="G189" s="991" t="s">
        <v>495</v>
      </c>
      <c r="H189" s="1045">
        <v>4</v>
      </c>
      <c r="I189" s="1045">
        <v>2</v>
      </c>
      <c r="J189" s="991">
        <v>0</v>
      </c>
      <c r="K189" s="991">
        <v>2</v>
      </c>
      <c r="L189" s="1045">
        <v>0</v>
      </c>
      <c r="M189" s="991">
        <v>0</v>
      </c>
      <c r="N189" s="991">
        <v>0</v>
      </c>
      <c r="O189" s="991">
        <v>0</v>
      </c>
      <c r="P189" s="1045">
        <v>4</v>
      </c>
      <c r="Q189" s="991">
        <v>2</v>
      </c>
      <c r="R189" s="991">
        <v>0</v>
      </c>
      <c r="S189" s="991">
        <v>2</v>
      </c>
      <c r="T189" s="1045">
        <v>0</v>
      </c>
      <c r="U189" s="991">
        <v>0</v>
      </c>
      <c r="V189" s="991">
        <v>0</v>
      </c>
      <c r="W189" s="991">
        <v>0</v>
      </c>
      <c r="X189" s="1042" t="s">
        <v>113</v>
      </c>
    </row>
    <row r="190" spans="1:24" ht="15">
      <c r="A190" s="991" t="s">
        <v>4363</v>
      </c>
      <c r="B190" s="1249" t="s">
        <v>4240</v>
      </c>
      <c r="C190" s="1250">
        <v>4</v>
      </c>
      <c r="D190" s="1251" t="s">
        <v>103</v>
      </c>
      <c r="E190" s="1250">
        <v>65</v>
      </c>
      <c r="F190" s="1252">
        <v>260</v>
      </c>
      <c r="G190" s="991" t="s">
        <v>495</v>
      </c>
      <c r="H190" s="1045">
        <v>1</v>
      </c>
      <c r="I190" s="1045">
        <v>1</v>
      </c>
      <c r="J190" s="991">
        <v>0</v>
      </c>
      <c r="K190" s="991">
        <v>0</v>
      </c>
      <c r="L190" s="1045">
        <v>1</v>
      </c>
      <c r="M190" s="991">
        <v>1</v>
      </c>
      <c r="N190" s="991">
        <v>0</v>
      </c>
      <c r="O190" s="991">
        <v>0</v>
      </c>
      <c r="P190" s="1045">
        <v>1</v>
      </c>
      <c r="Q190" s="991">
        <v>1</v>
      </c>
      <c r="R190" s="991">
        <v>0</v>
      </c>
      <c r="S190" s="991">
        <v>0</v>
      </c>
      <c r="T190" s="1045">
        <v>1</v>
      </c>
      <c r="U190" s="991">
        <v>1</v>
      </c>
      <c r="V190" s="991">
        <v>0</v>
      </c>
      <c r="W190" s="991">
        <v>0</v>
      </c>
      <c r="X190" s="1042" t="s">
        <v>113</v>
      </c>
    </row>
    <row r="191" spans="1:24" ht="15">
      <c r="A191" s="991" t="s">
        <v>4363</v>
      </c>
      <c r="B191" s="1249" t="s">
        <v>3421</v>
      </c>
      <c r="C191" s="1250">
        <v>20</v>
      </c>
      <c r="D191" s="1251" t="s">
        <v>103</v>
      </c>
      <c r="E191" s="1250">
        <v>4.47</v>
      </c>
      <c r="F191" s="1252">
        <v>89.4</v>
      </c>
      <c r="G191" s="991" t="s">
        <v>495</v>
      </c>
      <c r="H191" s="1045">
        <v>5</v>
      </c>
      <c r="I191" s="1045">
        <v>5</v>
      </c>
      <c r="J191" s="991">
        <v>0</v>
      </c>
      <c r="K191" s="991">
        <v>0</v>
      </c>
      <c r="L191" s="1045">
        <v>5</v>
      </c>
      <c r="M191" s="991">
        <v>5</v>
      </c>
      <c r="N191" s="991">
        <v>0</v>
      </c>
      <c r="O191" s="991">
        <v>0</v>
      </c>
      <c r="P191" s="1045">
        <v>5</v>
      </c>
      <c r="Q191" s="991">
        <v>5</v>
      </c>
      <c r="R191" s="991">
        <v>0</v>
      </c>
      <c r="S191" s="991">
        <v>0</v>
      </c>
      <c r="T191" s="1045">
        <v>5</v>
      </c>
      <c r="U191" s="991">
        <v>5</v>
      </c>
      <c r="V191" s="991">
        <v>0</v>
      </c>
      <c r="W191" s="991">
        <v>0</v>
      </c>
      <c r="X191" s="1042" t="s">
        <v>113</v>
      </c>
    </row>
    <row r="192" spans="1:24" ht="15">
      <c r="A192" s="991" t="s">
        <v>4363</v>
      </c>
      <c r="B192" s="1249" t="s">
        <v>4275</v>
      </c>
      <c r="C192" s="1250">
        <v>1</v>
      </c>
      <c r="D192" s="1251" t="s">
        <v>189</v>
      </c>
      <c r="E192" s="1250">
        <v>738.4</v>
      </c>
      <c r="F192" s="1252">
        <v>738.4</v>
      </c>
      <c r="G192" s="991" t="s">
        <v>495</v>
      </c>
      <c r="H192" s="1045">
        <v>1</v>
      </c>
      <c r="I192" s="1045">
        <v>1</v>
      </c>
      <c r="J192" s="991">
        <v>0</v>
      </c>
      <c r="K192" s="991">
        <v>0</v>
      </c>
      <c r="L192" s="1045">
        <v>0</v>
      </c>
      <c r="M192" s="991">
        <v>0</v>
      </c>
      <c r="N192" s="991">
        <v>0</v>
      </c>
      <c r="O192" s="991">
        <v>0</v>
      </c>
      <c r="P192" s="1045">
        <v>0</v>
      </c>
      <c r="Q192" s="991">
        <v>0</v>
      </c>
      <c r="R192" s="991">
        <v>0</v>
      </c>
      <c r="S192" s="991">
        <v>0</v>
      </c>
      <c r="T192" s="1045">
        <v>0</v>
      </c>
      <c r="U192" s="991">
        <v>0</v>
      </c>
      <c r="V192" s="991">
        <v>0</v>
      </c>
      <c r="W192" s="991">
        <v>0</v>
      </c>
      <c r="X192" s="1042" t="s">
        <v>113</v>
      </c>
    </row>
    <row r="193" spans="1:24" ht="15">
      <c r="A193" s="991" t="s">
        <v>4363</v>
      </c>
      <c r="B193" s="1249" t="s">
        <v>3450</v>
      </c>
      <c r="C193" s="1250">
        <v>4</v>
      </c>
      <c r="D193" s="1251" t="s">
        <v>155</v>
      </c>
      <c r="E193" s="1250">
        <v>333.26</v>
      </c>
      <c r="F193" s="1252">
        <v>1333.04</v>
      </c>
      <c r="G193" s="991" t="s">
        <v>495</v>
      </c>
      <c r="H193" s="1045">
        <v>1</v>
      </c>
      <c r="I193" s="1045">
        <v>1</v>
      </c>
      <c r="J193" s="991">
        <v>0</v>
      </c>
      <c r="K193" s="991">
        <v>0</v>
      </c>
      <c r="L193" s="1045">
        <v>1</v>
      </c>
      <c r="M193" s="991">
        <v>1</v>
      </c>
      <c r="N193" s="991">
        <v>0</v>
      </c>
      <c r="O193" s="991">
        <v>0</v>
      </c>
      <c r="P193" s="1045">
        <v>1</v>
      </c>
      <c r="Q193" s="991">
        <v>1</v>
      </c>
      <c r="R193" s="991">
        <v>0</v>
      </c>
      <c r="S193" s="991">
        <v>0</v>
      </c>
      <c r="T193" s="1045">
        <v>1</v>
      </c>
      <c r="U193" s="991">
        <v>1</v>
      </c>
      <c r="V193" s="991">
        <v>0</v>
      </c>
      <c r="W193" s="991">
        <v>0</v>
      </c>
      <c r="X193" s="1042" t="s">
        <v>113</v>
      </c>
    </row>
    <row r="194" spans="1:24" ht="15">
      <c r="A194" s="991" t="s">
        <v>4363</v>
      </c>
      <c r="B194" s="1249" t="s">
        <v>3447</v>
      </c>
      <c r="C194" s="1250">
        <v>1</v>
      </c>
      <c r="D194" s="1251" t="s">
        <v>155</v>
      </c>
      <c r="E194" s="1250">
        <v>289.12</v>
      </c>
      <c r="F194" s="1252">
        <v>289.12</v>
      </c>
      <c r="G194" s="991" t="s">
        <v>495</v>
      </c>
      <c r="H194" s="1045">
        <v>1</v>
      </c>
      <c r="I194" s="1045">
        <v>1</v>
      </c>
      <c r="J194" s="991">
        <v>0</v>
      </c>
      <c r="K194" s="991">
        <v>0</v>
      </c>
      <c r="L194" s="1045">
        <v>0</v>
      </c>
      <c r="M194" s="991">
        <v>0</v>
      </c>
      <c r="N194" s="991">
        <v>0</v>
      </c>
      <c r="O194" s="991">
        <v>0</v>
      </c>
      <c r="P194" s="1045">
        <v>0</v>
      </c>
      <c r="Q194" s="991">
        <v>0</v>
      </c>
      <c r="R194" s="991">
        <v>0</v>
      </c>
      <c r="S194" s="991">
        <v>0</v>
      </c>
      <c r="T194" s="1045">
        <v>0</v>
      </c>
      <c r="U194" s="991">
        <v>0</v>
      </c>
      <c r="V194" s="991">
        <v>0</v>
      </c>
      <c r="W194" s="991">
        <v>0</v>
      </c>
      <c r="X194" s="1042" t="s">
        <v>113</v>
      </c>
    </row>
    <row r="195" spans="1:24" ht="15">
      <c r="A195" s="991" t="s">
        <v>4363</v>
      </c>
      <c r="B195" s="1249" t="s">
        <v>3461</v>
      </c>
      <c r="C195" s="1250">
        <v>2</v>
      </c>
      <c r="D195" s="1251" t="s">
        <v>103</v>
      </c>
      <c r="E195" s="1250">
        <v>50</v>
      </c>
      <c r="F195" s="1252">
        <v>100</v>
      </c>
      <c r="G195" s="991" t="s">
        <v>495</v>
      </c>
      <c r="H195" s="1045">
        <v>1</v>
      </c>
      <c r="I195" s="1045">
        <v>1</v>
      </c>
      <c r="J195" s="991">
        <v>0</v>
      </c>
      <c r="K195" s="991">
        <v>0</v>
      </c>
      <c r="L195" s="1045">
        <v>0</v>
      </c>
      <c r="M195" s="991">
        <v>0</v>
      </c>
      <c r="N195" s="991">
        <v>0</v>
      </c>
      <c r="O195" s="991">
        <v>0</v>
      </c>
      <c r="P195" s="1045">
        <v>1</v>
      </c>
      <c r="Q195" s="991">
        <v>1</v>
      </c>
      <c r="R195" s="991">
        <v>0</v>
      </c>
      <c r="S195" s="991">
        <v>0</v>
      </c>
      <c r="T195" s="1045">
        <v>0</v>
      </c>
      <c r="U195" s="991">
        <v>0</v>
      </c>
      <c r="V195" s="991">
        <v>0</v>
      </c>
      <c r="W195" s="991">
        <v>0</v>
      </c>
      <c r="X195" s="1042" t="s">
        <v>113</v>
      </c>
    </row>
    <row r="196" spans="1:24" ht="15">
      <c r="A196" s="991" t="s">
        <v>4363</v>
      </c>
      <c r="B196" s="1249" t="s">
        <v>4227</v>
      </c>
      <c r="C196" s="1250">
        <v>4</v>
      </c>
      <c r="D196" s="1251" t="s">
        <v>103</v>
      </c>
      <c r="E196" s="1250">
        <v>7.47</v>
      </c>
      <c r="F196" s="1252">
        <v>29.88</v>
      </c>
      <c r="G196" s="991" t="s">
        <v>495</v>
      </c>
      <c r="H196" s="1045">
        <v>1</v>
      </c>
      <c r="I196" s="1045">
        <v>1</v>
      </c>
      <c r="J196" s="991">
        <v>0</v>
      </c>
      <c r="K196" s="991">
        <v>0</v>
      </c>
      <c r="L196" s="1045">
        <v>1</v>
      </c>
      <c r="M196" s="991">
        <v>1</v>
      </c>
      <c r="N196" s="991">
        <v>0</v>
      </c>
      <c r="O196" s="991">
        <v>0</v>
      </c>
      <c r="P196" s="1045">
        <v>1</v>
      </c>
      <c r="Q196" s="991">
        <v>1</v>
      </c>
      <c r="R196" s="991">
        <v>0</v>
      </c>
      <c r="S196" s="991">
        <v>0</v>
      </c>
      <c r="T196" s="1045">
        <v>1</v>
      </c>
      <c r="U196" s="991">
        <v>1</v>
      </c>
      <c r="V196" s="991">
        <v>0</v>
      </c>
      <c r="W196" s="991">
        <v>0</v>
      </c>
      <c r="X196" s="1042" t="s">
        <v>113</v>
      </c>
    </row>
    <row r="197" spans="1:24" ht="15">
      <c r="A197" s="991" t="s">
        <v>4363</v>
      </c>
      <c r="B197" s="1249" t="s">
        <v>3587</v>
      </c>
      <c r="C197" s="1250">
        <v>12</v>
      </c>
      <c r="D197" s="1251" t="s">
        <v>118</v>
      </c>
      <c r="E197" s="1250">
        <v>36.659999999999997</v>
      </c>
      <c r="F197" s="1252">
        <v>439.92</v>
      </c>
      <c r="G197" s="991" t="s">
        <v>495</v>
      </c>
      <c r="H197" s="1045">
        <v>3</v>
      </c>
      <c r="I197" s="1045">
        <v>1</v>
      </c>
      <c r="J197" s="991">
        <v>1</v>
      </c>
      <c r="K197" s="991">
        <v>1</v>
      </c>
      <c r="L197" s="1045">
        <v>3</v>
      </c>
      <c r="M197" s="991">
        <v>1</v>
      </c>
      <c r="N197" s="991">
        <v>1</v>
      </c>
      <c r="O197" s="991">
        <v>1</v>
      </c>
      <c r="P197" s="1045">
        <v>3</v>
      </c>
      <c r="Q197" s="991">
        <v>1</v>
      </c>
      <c r="R197" s="991">
        <v>1</v>
      </c>
      <c r="S197" s="991">
        <v>1</v>
      </c>
      <c r="T197" s="1045">
        <v>3</v>
      </c>
      <c r="U197" s="991">
        <v>1</v>
      </c>
      <c r="V197" s="991">
        <v>1</v>
      </c>
      <c r="W197" s="991">
        <v>1</v>
      </c>
      <c r="X197" s="1042" t="s">
        <v>113</v>
      </c>
    </row>
    <row r="198" spans="1:24" ht="15">
      <c r="A198" s="991" t="s">
        <v>4363</v>
      </c>
      <c r="B198" s="1249" t="s">
        <v>4228</v>
      </c>
      <c r="C198" s="1250">
        <v>2</v>
      </c>
      <c r="D198" s="1251" t="s">
        <v>103</v>
      </c>
      <c r="E198" s="1250">
        <v>9.65</v>
      </c>
      <c r="F198" s="1252">
        <v>19.3</v>
      </c>
      <c r="G198" s="991" t="s">
        <v>495</v>
      </c>
      <c r="H198" s="1045">
        <v>1</v>
      </c>
      <c r="I198" s="1045">
        <v>1</v>
      </c>
      <c r="J198" s="991">
        <v>0</v>
      </c>
      <c r="K198" s="991">
        <v>0</v>
      </c>
      <c r="L198" s="1045">
        <v>0</v>
      </c>
      <c r="M198" s="991">
        <v>0</v>
      </c>
      <c r="N198" s="991">
        <v>0</v>
      </c>
      <c r="O198" s="991">
        <v>0</v>
      </c>
      <c r="P198" s="1045">
        <v>1</v>
      </c>
      <c r="Q198" s="991">
        <v>1</v>
      </c>
      <c r="R198" s="991">
        <v>0</v>
      </c>
      <c r="S198" s="991">
        <v>0</v>
      </c>
      <c r="T198" s="1045">
        <v>0</v>
      </c>
      <c r="U198" s="991">
        <v>0</v>
      </c>
      <c r="V198" s="991">
        <v>0</v>
      </c>
      <c r="W198" s="991">
        <v>0</v>
      </c>
      <c r="X198" s="1042" t="s">
        <v>113</v>
      </c>
    </row>
    <row r="199" spans="1:24" ht="15">
      <c r="A199" s="991" t="s">
        <v>4363</v>
      </c>
      <c r="B199" s="1249" t="s">
        <v>4308</v>
      </c>
      <c r="C199" s="1250">
        <v>2</v>
      </c>
      <c r="D199" s="1251" t="s">
        <v>103</v>
      </c>
      <c r="E199" s="1250">
        <v>9.65</v>
      </c>
      <c r="F199" s="1252">
        <v>19.3</v>
      </c>
      <c r="G199" s="991" t="s">
        <v>495</v>
      </c>
      <c r="H199" s="1045">
        <v>1</v>
      </c>
      <c r="I199" s="1045">
        <v>1</v>
      </c>
      <c r="J199" s="991">
        <v>0</v>
      </c>
      <c r="K199" s="991">
        <v>0</v>
      </c>
      <c r="L199" s="1045">
        <v>0</v>
      </c>
      <c r="M199" s="991">
        <v>0</v>
      </c>
      <c r="N199" s="991">
        <v>0</v>
      </c>
      <c r="O199" s="991">
        <v>0</v>
      </c>
      <c r="P199" s="1045">
        <v>1</v>
      </c>
      <c r="Q199" s="991">
        <v>1</v>
      </c>
      <c r="R199" s="991">
        <v>0</v>
      </c>
      <c r="S199" s="991">
        <v>0</v>
      </c>
      <c r="T199" s="1045">
        <v>0</v>
      </c>
      <c r="U199" s="991">
        <v>0</v>
      </c>
      <c r="V199" s="991">
        <v>0</v>
      </c>
      <c r="W199" s="991">
        <v>0</v>
      </c>
      <c r="X199" s="1042" t="s">
        <v>113</v>
      </c>
    </row>
    <row r="200" spans="1:24" ht="15">
      <c r="A200" s="991" t="s">
        <v>4363</v>
      </c>
      <c r="B200" s="1249" t="s">
        <v>3721</v>
      </c>
      <c r="C200" s="1250">
        <v>2</v>
      </c>
      <c r="D200" s="1251" t="s">
        <v>263</v>
      </c>
      <c r="E200" s="1250">
        <v>22.36</v>
      </c>
      <c r="F200" s="1252">
        <v>44.72</v>
      </c>
      <c r="G200" s="991" t="s">
        <v>495</v>
      </c>
      <c r="H200" s="1045">
        <v>1</v>
      </c>
      <c r="I200" s="1045">
        <v>1</v>
      </c>
      <c r="J200" s="991">
        <v>0</v>
      </c>
      <c r="K200" s="991">
        <v>0</v>
      </c>
      <c r="L200" s="1045">
        <v>0</v>
      </c>
      <c r="M200" s="991">
        <v>0</v>
      </c>
      <c r="N200" s="991">
        <v>0</v>
      </c>
      <c r="O200" s="991">
        <v>0</v>
      </c>
      <c r="P200" s="1045">
        <v>1</v>
      </c>
      <c r="Q200" s="991">
        <v>1</v>
      </c>
      <c r="R200" s="991">
        <v>0</v>
      </c>
      <c r="S200" s="991">
        <v>0</v>
      </c>
      <c r="T200" s="1045">
        <v>0</v>
      </c>
      <c r="U200" s="991">
        <v>0</v>
      </c>
      <c r="V200" s="991">
        <v>0</v>
      </c>
      <c r="W200" s="991">
        <v>0</v>
      </c>
      <c r="X200" s="1042" t="s">
        <v>113</v>
      </c>
    </row>
    <row r="201" spans="1:24" ht="15">
      <c r="A201" s="991" t="s">
        <v>4363</v>
      </c>
      <c r="B201" s="1249" t="s">
        <v>3719</v>
      </c>
      <c r="C201" s="1250">
        <v>2</v>
      </c>
      <c r="D201" s="1251" t="s">
        <v>263</v>
      </c>
      <c r="E201" s="1250">
        <v>121.16</v>
      </c>
      <c r="F201" s="1252">
        <v>242.32</v>
      </c>
      <c r="G201" s="991" t="s">
        <v>495</v>
      </c>
      <c r="H201" s="1045">
        <v>1</v>
      </c>
      <c r="I201" s="1045">
        <v>1</v>
      </c>
      <c r="J201" s="991">
        <v>0</v>
      </c>
      <c r="K201" s="991">
        <v>0</v>
      </c>
      <c r="L201" s="1045">
        <v>0</v>
      </c>
      <c r="M201" s="991">
        <v>0</v>
      </c>
      <c r="N201" s="991">
        <v>0</v>
      </c>
      <c r="O201" s="991">
        <v>0</v>
      </c>
      <c r="P201" s="1045">
        <v>1</v>
      </c>
      <c r="Q201" s="991">
        <v>1</v>
      </c>
      <c r="R201" s="991">
        <v>0</v>
      </c>
      <c r="S201" s="991">
        <v>0</v>
      </c>
      <c r="T201" s="1045">
        <v>0</v>
      </c>
      <c r="U201" s="991">
        <v>0</v>
      </c>
      <c r="V201" s="991">
        <v>0</v>
      </c>
      <c r="W201" s="991">
        <v>0</v>
      </c>
      <c r="X201" s="1042" t="s">
        <v>113</v>
      </c>
    </row>
    <row r="202" spans="1:24" ht="15">
      <c r="A202" s="991" t="s">
        <v>4363</v>
      </c>
      <c r="B202" s="1249" t="s">
        <v>3723</v>
      </c>
      <c r="C202" s="1250">
        <v>4</v>
      </c>
      <c r="D202" s="1251" t="s">
        <v>263</v>
      </c>
      <c r="E202" s="1250">
        <v>11.18</v>
      </c>
      <c r="F202" s="1252">
        <v>44.72</v>
      </c>
      <c r="G202" s="991" t="s">
        <v>495</v>
      </c>
      <c r="H202" s="1045">
        <v>1</v>
      </c>
      <c r="I202" s="1045">
        <v>1</v>
      </c>
      <c r="J202" s="991">
        <v>0</v>
      </c>
      <c r="K202" s="991">
        <v>0</v>
      </c>
      <c r="L202" s="1045">
        <v>1</v>
      </c>
      <c r="M202" s="991">
        <v>1</v>
      </c>
      <c r="N202" s="991">
        <v>0</v>
      </c>
      <c r="O202" s="991">
        <v>0</v>
      </c>
      <c r="P202" s="1045">
        <v>1</v>
      </c>
      <c r="Q202" s="991">
        <v>1</v>
      </c>
      <c r="R202" s="991">
        <v>0</v>
      </c>
      <c r="S202" s="991">
        <v>0</v>
      </c>
      <c r="T202" s="1045">
        <v>1</v>
      </c>
      <c r="U202" s="991">
        <v>1</v>
      </c>
      <c r="V202" s="991">
        <v>0</v>
      </c>
      <c r="W202" s="991">
        <v>0</v>
      </c>
      <c r="X202" s="1042" t="s">
        <v>113</v>
      </c>
    </row>
    <row r="203" spans="1:24" ht="15">
      <c r="A203" s="991" t="s">
        <v>4363</v>
      </c>
      <c r="B203" s="1249" t="s">
        <v>3630</v>
      </c>
      <c r="C203" s="1250">
        <v>4</v>
      </c>
      <c r="D203" s="1251" t="s">
        <v>189</v>
      </c>
      <c r="E203" s="1250">
        <v>8.82</v>
      </c>
      <c r="F203" s="1252">
        <v>35.28</v>
      </c>
      <c r="G203" s="991" t="s">
        <v>495</v>
      </c>
      <c r="H203" s="1045">
        <v>1</v>
      </c>
      <c r="I203" s="1045">
        <v>1</v>
      </c>
      <c r="J203" s="991">
        <v>0</v>
      </c>
      <c r="K203" s="991">
        <v>0</v>
      </c>
      <c r="L203" s="1045">
        <v>1</v>
      </c>
      <c r="M203" s="991">
        <v>1</v>
      </c>
      <c r="N203" s="991">
        <v>0</v>
      </c>
      <c r="O203" s="991">
        <v>0</v>
      </c>
      <c r="P203" s="1045">
        <v>1</v>
      </c>
      <c r="Q203" s="991">
        <v>1</v>
      </c>
      <c r="R203" s="991">
        <v>0</v>
      </c>
      <c r="S203" s="991">
        <v>0</v>
      </c>
      <c r="T203" s="1045">
        <v>1</v>
      </c>
      <c r="U203" s="991">
        <v>1</v>
      </c>
      <c r="V203" s="991">
        <v>0</v>
      </c>
      <c r="W203" s="991">
        <v>0</v>
      </c>
      <c r="X203" s="1042" t="s">
        <v>113</v>
      </c>
    </row>
    <row r="204" spans="1:24" ht="15">
      <c r="A204" s="991" t="s">
        <v>4363</v>
      </c>
      <c r="B204" s="1249" t="s">
        <v>4230</v>
      </c>
      <c r="C204" s="1250">
        <v>4</v>
      </c>
      <c r="D204" s="1251" t="s">
        <v>189</v>
      </c>
      <c r="E204" s="1250">
        <v>13.78</v>
      </c>
      <c r="F204" s="1252">
        <v>55.12</v>
      </c>
      <c r="G204" s="991" t="s">
        <v>495</v>
      </c>
      <c r="H204" s="1045">
        <v>1</v>
      </c>
      <c r="I204" s="1045">
        <v>1</v>
      </c>
      <c r="J204" s="991">
        <v>0</v>
      </c>
      <c r="K204" s="991">
        <v>0</v>
      </c>
      <c r="L204" s="1045">
        <v>1</v>
      </c>
      <c r="M204" s="991">
        <v>1</v>
      </c>
      <c r="N204" s="991">
        <v>0</v>
      </c>
      <c r="O204" s="991">
        <v>0</v>
      </c>
      <c r="P204" s="1045">
        <v>1</v>
      </c>
      <c r="Q204" s="991">
        <v>1</v>
      </c>
      <c r="R204" s="991">
        <v>0</v>
      </c>
      <c r="S204" s="991">
        <v>0</v>
      </c>
      <c r="T204" s="1045">
        <v>1</v>
      </c>
      <c r="U204" s="991">
        <v>1</v>
      </c>
      <c r="V204" s="991">
        <v>0</v>
      </c>
      <c r="W204" s="991">
        <v>0</v>
      </c>
      <c r="X204" s="1042" t="s">
        <v>113</v>
      </c>
    </row>
    <row r="205" spans="1:24" ht="15">
      <c r="A205" s="991" t="s">
        <v>4363</v>
      </c>
      <c r="B205" s="1249" t="s">
        <v>3638</v>
      </c>
      <c r="C205" s="1250">
        <v>60</v>
      </c>
      <c r="D205" s="1251" t="s">
        <v>3912</v>
      </c>
      <c r="E205" s="1250">
        <v>158.91</v>
      </c>
      <c r="F205" s="1252">
        <v>9534.6</v>
      </c>
      <c r="G205" s="991" t="s">
        <v>495</v>
      </c>
      <c r="H205" s="1045">
        <v>15</v>
      </c>
      <c r="I205" s="1045">
        <v>5</v>
      </c>
      <c r="J205" s="991">
        <v>5</v>
      </c>
      <c r="K205" s="991">
        <v>5</v>
      </c>
      <c r="L205" s="1045">
        <v>15</v>
      </c>
      <c r="M205" s="991">
        <v>5</v>
      </c>
      <c r="N205" s="991">
        <v>5</v>
      </c>
      <c r="O205" s="991">
        <v>5</v>
      </c>
      <c r="P205" s="1045">
        <v>15</v>
      </c>
      <c r="Q205" s="991">
        <v>5</v>
      </c>
      <c r="R205" s="991">
        <v>5</v>
      </c>
      <c r="S205" s="991">
        <v>5</v>
      </c>
      <c r="T205" s="1045">
        <v>15</v>
      </c>
      <c r="U205" s="991">
        <v>5</v>
      </c>
      <c r="V205" s="991">
        <v>5</v>
      </c>
      <c r="W205" s="991">
        <v>5</v>
      </c>
      <c r="X205" s="1042" t="s">
        <v>113</v>
      </c>
    </row>
    <row r="206" spans="1:24" ht="15">
      <c r="A206" s="991" t="s">
        <v>4363</v>
      </c>
      <c r="B206" s="1249" t="s">
        <v>3641</v>
      </c>
      <c r="C206" s="1250">
        <v>60</v>
      </c>
      <c r="D206" s="1251" t="s">
        <v>3912</v>
      </c>
      <c r="E206" s="1250">
        <v>137.74</v>
      </c>
      <c r="F206" s="1252">
        <v>8264.4</v>
      </c>
      <c r="G206" s="991" t="s">
        <v>495</v>
      </c>
      <c r="H206" s="1045">
        <v>15</v>
      </c>
      <c r="I206" s="1045">
        <v>5</v>
      </c>
      <c r="J206" s="991">
        <v>5</v>
      </c>
      <c r="K206" s="991">
        <v>5</v>
      </c>
      <c r="L206" s="1045">
        <v>15</v>
      </c>
      <c r="M206" s="991">
        <v>5</v>
      </c>
      <c r="N206" s="991">
        <v>5</v>
      </c>
      <c r="O206" s="991">
        <v>5</v>
      </c>
      <c r="P206" s="1045">
        <v>15</v>
      </c>
      <c r="Q206" s="991">
        <v>5</v>
      </c>
      <c r="R206" s="991">
        <v>5</v>
      </c>
      <c r="S206" s="991">
        <v>5</v>
      </c>
      <c r="T206" s="1045">
        <v>15</v>
      </c>
      <c r="U206" s="991">
        <v>5</v>
      </c>
      <c r="V206" s="991">
        <v>5</v>
      </c>
      <c r="W206" s="991">
        <v>5</v>
      </c>
      <c r="X206" s="1042" t="s">
        <v>113</v>
      </c>
    </row>
    <row r="207" spans="1:24" ht="15">
      <c r="A207" s="991" t="s">
        <v>4363</v>
      </c>
      <c r="B207" s="1249" t="s">
        <v>3424</v>
      </c>
      <c r="C207" s="1250">
        <v>12</v>
      </c>
      <c r="D207" s="1251" t="s">
        <v>189</v>
      </c>
      <c r="E207" s="1250">
        <v>94.64</v>
      </c>
      <c r="F207" s="1252">
        <v>1135.68</v>
      </c>
      <c r="G207" s="991" t="s">
        <v>495</v>
      </c>
      <c r="H207" s="1045">
        <v>3</v>
      </c>
      <c r="I207" s="1045">
        <v>1</v>
      </c>
      <c r="J207" s="991">
        <v>1</v>
      </c>
      <c r="K207" s="991">
        <v>1</v>
      </c>
      <c r="L207" s="1045">
        <v>3</v>
      </c>
      <c r="M207" s="991">
        <v>1</v>
      </c>
      <c r="N207" s="991">
        <v>1</v>
      </c>
      <c r="O207" s="991">
        <v>1</v>
      </c>
      <c r="P207" s="1045">
        <v>3</v>
      </c>
      <c r="Q207" s="991">
        <v>1</v>
      </c>
      <c r="R207" s="991">
        <v>1</v>
      </c>
      <c r="S207" s="991">
        <v>1</v>
      </c>
      <c r="T207" s="1045">
        <v>3</v>
      </c>
      <c r="U207" s="991">
        <v>1</v>
      </c>
      <c r="V207" s="991">
        <v>1</v>
      </c>
      <c r="W207" s="991">
        <v>1</v>
      </c>
      <c r="X207" s="1042" t="s">
        <v>113</v>
      </c>
    </row>
    <row r="208" spans="1:24" ht="15">
      <c r="A208" s="991" t="s">
        <v>4363</v>
      </c>
      <c r="B208" s="1249" t="s">
        <v>3652</v>
      </c>
      <c r="C208" s="1250">
        <v>5</v>
      </c>
      <c r="D208" s="1251" t="s">
        <v>189</v>
      </c>
      <c r="E208" s="1250">
        <v>20.79</v>
      </c>
      <c r="F208" s="1252">
        <v>103.95</v>
      </c>
      <c r="G208" s="991" t="s">
        <v>495</v>
      </c>
      <c r="H208" s="1045">
        <v>5</v>
      </c>
      <c r="I208" s="1045">
        <v>5</v>
      </c>
      <c r="J208" s="991">
        <v>0</v>
      </c>
      <c r="K208" s="991">
        <v>0</v>
      </c>
      <c r="L208" s="1045">
        <v>0</v>
      </c>
      <c r="M208" s="991">
        <v>0</v>
      </c>
      <c r="N208" s="991">
        <v>0</v>
      </c>
      <c r="O208" s="991">
        <v>0</v>
      </c>
      <c r="P208" s="1045">
        <v>0</v>
      </c>
      <c r="Q208" s="991">
        <v>0</v>
      </c>
      <c r="R208" s="991">
        <v>0</v>
      </c>
      <c r="S208" s="991">
        <v>0</v>
      </c>
      <c r="T208" s="1045">
        <v>0</v>
      </c>
      <c r="U208" s="991">
        <v>0</v>
      </c>
      <c r="V208" s="991">
        <v>0</v>
      </c>
      <c r="W208" s="991">
        <v>0</v>
      </c>
      <c r="X208" s="1042" t="s">
        <v>113</v>
      </c>
    </row>
    <row r="209" spans="1:24" ht="23.25">
      <c r="A209" s="991" t="s">
        <v>4363</v>
      </c>
      <c r="B209" s="1249" t="s">
        <v>3964</v>
      </c>
      <c r="C209" s="1250">
        <v>1</v>
      </c>
      <c r="D209" s="1251" t="s">
        <v>263</v>
      </c>
      <c r="E209" s="1250">
        <v>957</v>
      </c>
      <c r="F209" s="1252">
        <v>957</v>
      </c>
      <c r="G209" s="991" t="s">
        <v>495</v>
      </c>
      <c r="H209" s="1045">
        <v>1</v>
      </c>
      <c r="I209" s="1045">
        <v>1</v>
      </c>
      <c r="J209" s="991">
        <v>0</v>
      </c>
      <c r="K209" s="991">
        <v>0</v>
      </c>
      <c r="L209" s="1045">
        <v>0</v>
      </c>
      <c r="M209" s="991">
        <v>0</v>
      </c>
      <c r="N209" s="991">
        <v>0</v>
      </c>
      <c r="O209" s="991">
        <v>0</v>
      </c>
      <c r="P209" s="1045">
        <v>0</v>
      </c>
      <c r="Q209" s="991">
        <v>0</v>
      </c>
      <c r="R209" s="991">
        <v>0</v>
      </c>
      <c r="S209" s="991">
        <v>0</v>
      </c>
      <c r="T209" s="1045">
        <v>0</v>
      </c>
      <c r="U209" s="991">
        <v>0</v>
      </c>
      <c r="V209" s="991">
        <v>0</v>
      </c>
      <c r="W209" s="991">
        <v>0</v>
      </c>
      <c r="X209" s="1042" t="s">
        <v>113</v>
      </c>
    </row>
    <row r="210" spans="1:24" ht="15">
      <c r="A210" s="991" t="s">
        <v>4363</v>
      </c>
      <c r="B210" s="1249" t="s">
        <v>3663</v>
      </c>
      <c r="C210" s="1250">
        <v>2</v>
      </c>
      <c r="D210" s="1251" t="s">
        <v>103</v>
      </c>
      <c r="E210" s="1250">
        <v>150.80000000000001</v>
      </c>
      <c r="F210" s="1252">
        <v>301.60000000000002</v>
      </c>
      <c r="G210" s="991" t="s">
        <v>495</v>
      </c>
      <c r="H210" s="1045">
        <v>1</v>
      </c>
      <c r="I210" s="1045">
        <v>1</v>
      </c>
      <c r="J210" s="991">
        <v>0</v>
      </c>
      <c r="K210" s="991">
        <v>0</v>
      </c>
      <c r="L210" s="1045">
        <v>0</v>
      </c>
      <c r="M210" s="991">
        <v>0</v>
      </c>
      <c r="N210" s="991">
        <v>0</v>
      </c>
      <c r="O210" s="991">
        <v>0</v>
      </c>
      <c r="P210" s="1045">
        <v>1</v>
      </c>
      <c r="Q210" s="991">
        <v>1</v>
      </c>
      <c r="R210" s="991">
        <v>0</v>
      </c>
      <c r="S210" s="991">
        <v>0</v>
      </c>
      <c r="T210" s="1045">
        <v>0</v>
      </c>
      <c r="U210" s="991">
        <v>0</v>
      </c>
      <c r="V210" s="991">
        <v>0</v>
      </c>
      <c r="W210" s="991">
        <v>0</v>
      </c>
      <c r="X210" s="1042" t="s">
        <v>113</v>
      </c>
    </row>
    <row r="211" spans="1:24" ht="15">
      <c r="A211" s="991" t="s">
        <v>4363</v>
      </c>
      <c r="B211" s="1249" t="s">
        <v>3668</v>
      </c>
      <c r="C211" s="1250">
        <v>5</v>
      </c>
      <c r="D211" s="1251" t="s">
        <v>4231</v>
      </c>
      <c r="E211" s="1250">
        <v>62.4</v>
      </c>
      <c r="F211" s="1252">
        <v>312</v>
      </c>
      <c r="G211" s="991" t="s">
        <v>495</v>
      </c>
      <c r="H211" s="1045">
        <v>5</v>
      </c>
      <c r="I211" s="1045">
        <v>5</v>
      </c>
      <c r="J211" s="991">
        <v>0</v>
      </c>
      <c r="K211" s="991">
        <v>0</v>
      </c>
      <c r="L211" s="1045">
        <v>0</v>
      </c>
      <c r="M211" s="991">
        <v>0</v>
      </c>
      <c r="N211" s="991">
        <v>0</v>
      </c>
      <c r="O211" s="991">
        <v>0</v>
      </c>
      <c r="P211" s="1045">
        <v>0</v>
      </c>
      <c r="Q211" s="991">
        <v>0</v>
      </c>
      <c r="R211" s="991">
        <v>0</v>
      </c>
      <c r="S211" s="991">
        <v>0</v>
      </c>
      <c r="T211" s="1045">
        <v>0</v>
      </c>
      <c r="U211" s="991">
        <v>0</v>
      </c>
      <c r="V211" s="991">
        <v>0</v>
      </c>
      <c r="W211" s="991">
        <v>0</v>
      </c>
      <c r="X211" s="1042" t="s">
        <v>113</v>
      </c>
    </row>
    <row r="212" spans="1:24" ht="15">
      <c r="A212" s="991" t="s">
        <v>4363</v>
      </c>
      <c r="B212" s="1249" t="s">
        <v>3671</v>
      </c>
      <c r="C212" s="1250">
        <v>6</v>
      </c>
      <c r="D212" s="1251" t="s">
        <v>4231</v>
      </c>
      <c r="E212" s="1250">
        <v>104</v>
      </c>
      <c r="F212" s="1252">
        <v>624</v>
      </c>
      <c r="G212" s="991" t="s">
        <v>495</v>
      </c>
      <c r="H212" s="1045">
        <v>6</v>
      </c>
      <c r="I212" s="1045">
        <v>6</v>
      </c>
      <c r="J212" s="991">
        <v>0</v>
      </c>
      <c r="K212" s="991">
        <v>0</v>
      </c>
      <c r="L212" s="1045">
        <v>0</v>
      </c>
      <c r="M212" s="991">
        <v>0</v>
      </c>
      <c r="N212" s="991">
        <v>0</v>
      </c>
      <c r="O212" s="991">
        <v>0</v>
      </c>
      <c r="P212" s="1045">
        <v>0</v>
      </c>
      <c r="Q212" s="991">
        <v>0</v>
      </c>
      <c r="R212" s="991">
        <v>0</v>
      </c>
      <c r="S212" s="991">
        <v>0</v>
      </c>
      <c r="T212" s="1045">
        <v>0</v>
      </c>
      <c r="U212" s="991">
        <v>0</v>
      </c>
      <c r="V212" s="991">
        <v>0</v>
      </c>
      <c r="W212" s="991">
        <v>0</v>
      </c>
      <c r="X212" s="1042" t="s">
        <v>113</v>
      </c>
    </row>
    <row r="213" spans="1:24" ht="15">
      <c r="A213" s="991" t="s">
        <v>4363</v>
      </c>
      <c r="B213" s="1249" t="s">
        <v>3679</v>
      </c>
      <c r="C213" s="1250">
        <v>2</v>
      </c>
      <c r="D213" s="1251" t="s">
        <v>189</v>
      </c>
      <c r="E213" s="1250">
        <v>135.19999999999999</v>
      </c>
      <c r="F213" s="1252">
        <v>270.39999999999998</v>
      </c>
      <c r="G213" s="991" t="s">
        <v>495</v>
      </c>
      <c r="H213" s="1045">
        <v>1</v>
      </c>
      <c r="I213" s="1045">
        <v>1</v>
      </c>
      <c r="J213" s="991">
        <v>0</v>
      </c>
      <c r="K213" s="991">
        <v>0</v>
      </c>
      <c r="L213" s="1045">
        <v>0</v>
      </c>
      <c r="M213" s="991">
        <v>0</v>
      </c>
      <c r="N213" s="991">
        <v>0</v>
      </c>
      <c r="O213" s="991">
        <v>0</v>
      </c>
      <c r="P213" s="1045">
        <v>1</v>
      </c>
      <c r="Q213" s="991">
        <v>1</v>
      </c>
      <c r="R213" s="991">
        <v>0</v>
      </c>
      <c r="S213" s="991">
        <v>0</v>
      </c>
      <c r="T213" s="1045">
        <v>0</v>
      </c>
      <c r="U213" s="991">
        <v>0</v>
      </c>
      <c r="V213" s="991">
        <v>0</v>
      </c>
      <c r="W213" s="991">
        <v>0</v>
      </c>
      <c r="X213" s="1042" t="s">
        <v>113</v>
      </c>
    </row>
    <row r="214" spans="1:24" ht="15">
      <c r="A214" s="991" t="s">
        <v>4363</v>
      </c>
      <c r="B214" s="1249" t="s">
        <v>3681</v>
      </c>
      <c r="C214" s="1250">
        <v>5</v>
      </c>
      <c r="D214" s="1251" t="s">
        <v>103</v>
      </c>
      <c r="E214" s="1250">
        <v>16.64</v>
      </c>
      <c r="F214" s="1252">
        <v>83.2</v>
      </c>
      <c r="G214" s="991" t="s">
        <v>495</v>
      </c>
      <c r="H214" s="1045">
        <v>5</v>
      </c>
      <c r="I214" s="1045">
        <v>5</v>
      </c>
      <c r="J214" s="991">
        <v>0</v>
      </c>
      <c r="K214" s="991">
        <v>0</v>
      </c>
      <c r="L214" s="1045">
        <v>0</v>
      </c>
      <c r="M214" s="991">
        <v>0</v>
      </c>
      <c r="N214" s="991">
        <v>0</v>
      </c>
      <c r="O214" s="991">
        <v>0</v>
      </c>
      <c r="P214" s="1045">
        <v>0</v>
      </c>
      <c r="Q214" s="991">
        <v>0</v>
      </c>
      <c r="R214" s="991">
        <v>0</v>
      </c>
      <c r="S214" s="991">
        <v>0</v>
      </c>
      <c r="T214" s="1045">
        <v>0</v>
      </c>
      <c r="U214" s="991">
        <v>0</v>
      </c>
      <c r="V214" s="991">
        <v>0</v>
      </c>
      <c r="W214" s="991">
        <v>0</v>
      </c>
      <c r="X214" s="1042" t="s">
        <v>113</v>
      </c>
    </row>
    <row r="215" spans="1:24" ht="15">
      <c r="A215" s="991" t="s">
        <v>4363</v>
      </c>
      <c r="B215" s="1249" t="s">
        <v>3683</v>
      </c>
      <c r="C215" s="1250">
        <v>2</v>
      </c>
      <c r="D215" s="1251" t="s">
        <v>103</v>
      </c>
      <c r="E215" s="1250">
        <v>30</v>
      </c>
      <c r="F215" s="1252">
        <v>60</v>
      </c>
      <c r="G215" s="991" t="s">
        <v>495</v>
      </c>
      <c r="H215" s="1045">
        <v>2</v>
      </c>
      <c r="I215" s="1045">
        <v>2</v>
      </c>
      <c r="J215" s="991">
        <v>0</v>
      </c>
      <c r="K215" s="991">
        <v>0</v>
      </c>
      <c r="L215" s="1045">
        <v>0</v>
      </c>
      <c r="M215" s="991">
        <v>0</v>
      </c>
      <c r="N215" s="991">
        <v>0</v>
      </c>
      <c r="O215" s="991">
        <v>0</v>
      </c>
      <c r="P215" s="1045">
        <v>0</v>
      </c>
      <c r="Q215" s="991">
        <v>0</v>
      </c>
      <c r="R215" s="991">
        <v>0</v>
      </c>
      <c r="S215" s="991">
        <v>0</v>
      </c>
      <c r="T215" s="1045">
        <v>0</v>
      </c>
      <c r="U215" s="991">
        <v>0</v>
      </c>
      <c r="V215" s="991">
        <v>0</v>
      </c>
      <c r="W215" s="991">
        <v>0</v>
      </c>
      <c r="X215" s="1042" t="s">
        <v>113</v>
      </c>
    </row>
    <row r="216" spans="1:24" ht="15">
      <c r="A216" s="991" t="s">
        <v>4363</v>
      </c>
      <c r="B216" s="1249" t="s">
        <v>3650</v>
      </c>
      <c r="C216" s="1250">
        <v>1</v>
      </c>
      <c r="D216" s="1251" t="s">
        <v>103</v>
      </c>
      <c r="E216" s="1250">
        <v>212.87</v>
      </c>
      <c r="F216" s="1252">
        <v>212.87</v>
      </c>
      <c r="G216" s="991" t="s">
        <v>495</v>
      </c>
      <c r="H216" s="1045">
        <v>1</v>
      </c>
      <c r="I216" s="1045">
        <v>1</v>
      </c>
      <c r="J216" s="991">
        <v>0</v>
      </c>
      <c r="K216" s="991">
        <v>0</v>
      </c>
      <c r="L216" s="1045">
        <v>0</v>
      </c>
      <c r="M216" s="991">
        <v>0</v>
      </c>
      <c r="N216" s="991">
        <v>0</v>
      </c>
      <c r="O216" s="991">
        <v>0</v>
      </c>
      <c r="P216" s="1045">
        <v>0</v>
      </c>
      <c r="Q216" s="991">
        <v>0</v>
      </c>
      <c r="R216" s="991">
        <v>0</v>
      </c>
      <c r="S216" s="991">
        <v>0</v>
      </c>
      <c r="T216" s="1045">
        <v>0</v>
      </c>
      <c r="U216" s="991">
        <v>0</v>
      </c>
      <c r="V216" s="991">
        <v>0</v>
      </c>
      <c r="W216" s="991">
        <v>0</v>
      </c>
      <c r="X216" s="1042" t="s">
        <v>113</v>
      </c>
    </row>
    <row r="217" spans="1:24" ht="15">
      <c r="A217" s="991" t="s">
        <v>4363</v>
      </c>
      <c r="B217" s="1249" t="s">
        <v>4313</v>
      </c>
      <c r="C217" s="1250">
        <v>60</v>
      </c>
      <c r="D217" s="1251" t="s">
        <v>103</v>
      </c>
      <c r="E217" s="1250">
        <v>22.2</v>
      </c>
      <c r="F217" s="1252">
        <v>1332</v>
      </c>
      <c r="G217" s="991" t="s">
        <v>495</v>
      </c>
      <c r="H217" s="1045">
        <v>15</v>
      </c>
      <c r="I217" s="1045">
        <v>5</v>
      </c>
      <c r="J217" s="991">
        <v>5</v>
      </c>
      <c r="K217" s="991">
        <v>5</v>
      </c>
      <c r="L217" s="1045">
        <v>15</v>
      </c>
      <c r="M217" s="991">
        <v>5</v>
      </c>
      <c r="N217" s="991">
        <v>5</v>
      </c>
      <c r="O217" s="991">
        <v>5</v>
      </c>
      <c r="P217" s="1045">
        <v>15</v>
      </c>
      <c r="Q217" s="991">
        <v>5</v>
      </c>
      <c r="R217" s="991">
        <v>5</v>
      </c>
      <c r="S217" s="991">
        <v>5</v>
      </c>
      <c r="T217" s="1045">
        <v>15</v>
      </c>
      <c r="U217" s="991">
        <v>5</v>
      </c>
      <c r="V217" s="991">
        <v>5</v>
      </c>
      <c r="W217" s="991">
        <v>5</v>
      </c>
      <c r="X217" s="1042" t="s">
        <v>113</v>
      </c>
    </row>
    <row r="218" spans="1:24" ht="15">
      <c r="A218" s="991" t="s">
        <v>4363</v>
      </c>
      <c r="B218" s="1249" t="s">
        <v>3695</v>
      </c>
      <c r="C218" s="1250">
        <v>1</v>
      </c>
      <c r="D218" s="1251" t="s">
        <v>571</v>
      </c>
      <c r="E218" s="1250">
        <v>28.91</v>
      </c>
      <c r="F218" s="1252">
        <v>28.91</v>
      </c>
      <c r="G218" s="991" t="s">
        <v>495</v>
      </c>
      <c r="H218" s="1045">
        <v>1</v>
      </c>
      <c r="I218" s="1045">
        <v>1</v>
      </c>
      <c r="J218" s="991">
        <v>0</v>
      </c>
      <c r="K218" s="991">
        <v>0</v>
      </c>
      <c r="L218" s="1045">
        <v>0</v>
      </c>
      <c r="M218" s="991">
        <v>0</v>
      </c>
      <c r="N218" s="991">
        <v>0</v>
      </c>
      <c r="O218" s="991">
        <v>0</v>
      </c>
      <c r="P218" s="1045">
        <v>0</v>
      </c>
      <c r="Q218" s="991">
        <v>0</v>
      </c>
      <c r="R218" s="991">
        <v>0</v>
      </c>
      <c r="S218" s="991">
        <v>0</v>
      </c>
      <c r="T218" s="1045">
        <v>0</v>
      </c>
      <c r="U218" s="991">
        <v>0</v>
      </c>
      <c r="V218" s="991">
        <v>0</v>
      </c>
      <c r="W218" s="991">
        <v>0</v>
      </c>
      <c r="X218" s="1042" t="s">
        <v>113</v>
      </c>
    </row>
    <row r="219" spans="1:24" ht="15">
      <c r="A219" s="991" t="s">
        <v>4363</v>
      </c>
      <c r="B219" s="1249" t="s">
        <v>3697</v>
      </c>
      <c r="C219" s="1250">
        <v>1</v>
      </c>
      <c r="D219" s="1251" t="s">
        <v>103</v>
      </c>
      <c r="E219" s="1250">
        <v>39.92</v>
      </c>
      <c r="F219" s="1252">
        <v>39.92</v>
      </c>
      <c r="G219" s="991" t="s">
        <v>495</v>
      </c>
      <c r="H219" s="1045">
        <v>1</v>
      </c>
      <c r="I219" s="1045">
        <v>1</v>
      </c>
      <c r="J219" s="991">
        <v>0</v>
      </c>
      <c r="K219" s="991">
        <v>0</v>
      </c>
      <c r="L219" s="1045">
        <v>0</v>
      </c>
      <c r="M219" s="991">
        <v>0</v>
      </c>
      <c r="N219" s="991">
        <v>0</v>
      </c>
      <c r="O219" s="991">
        <v>0</v>
      </c>
      <c r="P219" s="1045">
        <v>0</v>
      </c>
      <c r="Q219" s="991">
        <v>0</v>
      </c>
      <c r="R219" s="991">
        <v>0</v>
      </c>
      <c r="S219" s="991">
        <v>0</v>
      </c>
      <c r="T219" s="1045">
        <v>0</v>
      </c>
      <c r="U219" s="991">
        <v>0</v>
      </c>
      <c r="V219" s="991">
        <v>0</v>
      </c>
      <c r="W219" s="991">
        <v>0</v>
      </c>
      <c r="X219" s="1042" t="s">
        <v>113</v>
      </c>
    </row>
    <row r="220" spans="1:24" ht="15">
      <c r="A220" s="991" t="s">
        <v>4363</v>
      </c>
      <c r="B220" s="1249" t="s">
        <v>3703</v>
      </c>
      <c r="C220" s="1250">
        <v>20</v>
      </c>
      <c r="D220" s="1251" t="s">
        <v>189</v>
      </c>
      <c r="E220" s="1250">
        <v>23.76</v>
      </c>
      <c r="F220" s="1252">
        <v>475.2</v>
      </c>
      <c r="G220" s="991" t="s">
        <v>495</v>
      </c>
      <c r="H220" s="1045">
        <v>5</v>
      </c>
      <c r="I220" s="1045">
        <v>5</v>
      </c>
      <c r="J220" s="991">
        <v>0</v>
      </c>
      <c r="K220" s="991">
        <v>0</v>
      </c>
      <c r="L220" s="1045">
        <v>5</v>
      </c>
      <c r="M220" s="991">
        <v>5</v>
      </c>
      <c r="N220" s="991">
        <v>0</v>
      </c>
      <c r="O220" s="991">
        <v>0</v>
      </c>
      <c r="P220" s="1045">
        <v>5</v>
      </c>
      <c r="Q220" s="991">
        <v>5</v>
      </c>
      <c r="R220" s="991">
        <v>0</v>
      </c>
      <c r="S220" s="991">
        <v>0</v>
      </c>
      <c r="T220" s="1045">
        <v>5</v>
      </c>
      <c r="U220" s="991">
        <v>5</v>
      </c>
      <c r="V220" s="991">
        <v>0</v>
      </c>
      <c r="W220" s="991">
        <v>0</v>
      </c>
      <c r="X220" s="1042" t="s">
        <v>113</v>
      </c>
    </row>
    <row r="221" spans="1:24" ht="15">
      <c r="A221" s="991" t="s">
        <v>4363</v>
      </c>
      <c r="B221" s="1249" t="s">
        <v>3699</v>
      </c>
      <c r="C221" s="1250">
        <v>2</v>
      </c>
      <c r="D221" s="1251" t="s">
        <v>103</v>
      </c>
      <c r="E221" s="1250">
        <v>27.87</v>
      </c>
      <c r="F221" s="1252">
        <v>55.74</v>
      </c>
      <c r="G221" s="991" t="s">
        <v>495</v>
      </c>
      <c r="H221" s="1045">
        <v>2</v>
      </c>
      <c r="I221" s="1045">
        <v>2</v>
      </c>
      <c r="J221" s="991">
        <v>0</v>
      </c>
      <c r="K221" s="991">
        <v>0</v>
      </c>
      <c r="L221" s="1045">
        <v>0</v>
      </c>
      <c r="M221" s="991">
        <v>0</v>
      </c>
      <c r="N221" s="991">
        <v>0</v>
      </c>
      <c r="O221" s="991">
        <v>0</v>
      </c>
      <c r="P221" s="1045">
        <v>0</v>
      </c>
      <c r="Q221" s="991">
        <v>0</v>
      </c>
      <c r="R221" s="991">
        <v>0</v>
      </c>
      <c r="S221" s="991">
        <v>0</v>
      </c>
      <c r="T221" s="1045">
        <v>0</v>
      </c>
      <c r="U221" s="991">
        <v>0</v>
      </c>
      <c r="V221" s="991">
        <v>0</v>
      </c>
      <c r="W221" s="991">
        <v>0</v>
      </c>
      <c r="X221" s="1042" t="s">
        <v>113</v>
      </c>
    </row>
    <row r="222" spans="1:24" ht="15">
      <c r="A222" s="991" t="s">
        <v>4363</v>
      </c>
      <c r="B222" s="1249" t="s">
        <v>3705</v>
      </c>
      <c r="C222" s="1250">
        <v>1</v>
      </c>
      <c r="D222" s="1251" t="s">
        <v>466</v>
      </c>
      <c r="E222" s="1250">
        <v>888.16</v>
      </c>
      <c r="F222" s="1252">
        <v>888.16</v>
      </c>
      <c r="G222" s="991" t="s">
        <v>495</v>
      </c>
      <c r="H222" s="1045">
        <v>1</v>
      </c>
      <c r="I222" s="1045">
        <v>1</v>
      </c>
      <c r="J222" s="991">
        <v>0</v>
      </c>
      <c r="K222" s="991">
        <v>0</v>
      </c>
      <c r="L222" s="1045">
        <v>0</v>
      </c>
      <c r="M222" s="991">
        <v>0</v>
      </c>
      <c r="N222" s="991">
        <v>0</v>
      </c>
      <c r="O222" s="991">
        <v>0</v>
      </c>
      <c r="P222" s="1045">
        <v>0</v>
      </c>
      <c r="Q222" s="991">
        <v>0</v>
      </c>
      <c r="R222" s="991">
        <v>0</v>
      </c>
      <c r="S222" s="991">
        <v>0</v>
      </c>
      <c r="T222" s="1045">
        <v>0</v>
      </c>
      <c r="U222" s="991">
        <v>0</v>
      </c>
      <c r="V222" s="991">
        <v>0</v>
      </c>
      <c r="W222" s="991">
        <v>0</v>
      </c>
      <c r="X222" s="1042" t="s">
        <v>113</v>
      </c>
    </row>
    <row r="223" spans="1:24" ht="15">
      <c r="A223" s="991" t="s">
        <v>4363</v>
      </c>
      <c r="B223" s="1249" t="s">
        <v>3619</v>
      </c>
      <c r="C223" s="1250">
        <v>10</v>
      </c>
      <c r="D223" s="1251" t="s">
        <v>4229</v>
      </c>
      <c r="E223" s="1250">
        <v>52</v>
      </c>
      <c r="F223" s="1252">
        <v>520</v>
      </c>
      <c r="G223" s="991" t="s">
        <v>495</v>
      </c>
      <c r="H223" s="1045">
        <v>5</v>
      </c>
      <c r="I223" s="1045">
        <v>5</v>
      </c>
      <c r="J223" s="991">
        <v>0</v>
      </c>
      <c r="K223" s="991">
        <v>0</v>
      </c>
      <c r="L223" s="1045">
        <v>0</v>
      </c>
      <c r="M223" s="991">
        <v>0</v>
      </c>
      <c r="N223" s="991">
        <v>0</v>
      </c>
      <c r="O223" s="991">
        <v>0</v>
      </c>
      <c r="P223" s="1045">
        <v>5</v>
      </c>
      <c r="Q223" s="991">
        <v>5</v>
      </c>
      <c r="R223" s="991">
        <v>0</v>
      </c>
      <c r="S223" s="991">
        <v>0</v>
      </c>
      <c r="T223" s="1045">
        <v>0</v>
      </c>
      <c r="U223" s="991">
        <v>0</v>
      </c>
      <c r="V223" s="991">
        <v>0</v>
      </c>
      <c r="W223" s="991">
        <v>0</v>
      </c>
      <c r="X223" s="1042" t="s">
        <v>113</v>
      </c>
    </row>
    <row r="224" spans="1:24" ht="15">
      <c r="A224" s="991" t="s">
        <v>4363</v>
      </c>
      <c r="B224" s="1249" t="s">
        <v>3622</v>
      </c>
      <c r="C224" s="1250">
        <v>20</v>
      </c>
      <c r="D224" s="1251" t="s">
        <v>4229</v>
      </c>
      <c r="E224" s="1250">
        <v>37.06</v>
      </c>
      <c r="F224" s="1252">
        <v>741.2</v>
      </c>
      <c r="G224" s="991" t="s">
        <v>495</v>
      </c>
      <c r="H224" s="1045">
        <v>5</v>
      </c>
      <c r="I224" s="1045">
        <v>5</v>
      </c>
      <c r="J224" s="991">
        <v>0</v>
      </c>
      <c r="K224" s="991">
        <v>0</v>
      </c>
      <c r="L224" s="1045">
        <v>5</v>
      </c>
      <c r="M224" s="991">
        <v>5</v>
      </c>
      <c r="N224" s="991">
        <v>0</v>
      </c>
      <c r="O224" s="991">
        <v>0</v>
      </c>
      <c r="P224" s="1045">
        <v>5</v>
      </c>
      <c r="Q224" s="991">
        <v>5</v>
      </c>
      <c r="R224" s="991">
        <v>0</v>
      </c>
      <c r="S224" s="991">
        <v>0</v>
      </c>
      <c r="T224" s="1045">
        <v>5</v>
      </c>
      <c r="U224" s="991">
        <v>5</v>
      </c>
      <c r="V224" s="991">
        <v>0</v>
      </c>
      <c r="W224" s="991">
        <v>0</v>
      </c>
      <c r="X224" s="1042" t="s">
        <v>113</v>
      </c>
    </row>
    <row r="225" spans="1:24" ht="15">
      <c r="A225" s="991" t="s">
        <v>4363</v>
      </c>
      <c r="B225" s="1249" t="s">
        <v>3472</v>
      </c>
      <c r="C225" s="1250">
        <v>20</v>
      </c>
      <c r="D225" s="1251" t="s">
        <v>189</v>
      </c>
      <c r="E225" s="1250">
        <v>63.11</v>
      </c>
      <c r="F225" s="1252">
        <v>1262.2</v>
      </c>
      <c r="G225" s="991" t="s">
        <v>495</v>
      </c>
      <c r="H225" s="1045">
        <v>5</v>
      </c>
      <c r="I225" s="1045">
        <v>5</v>
      </c>
      <c r="J225" s="991">
        <v>0</v>
      </c>
      <c r="K225" s="991">
        <v>0</v>
      </c>
      <c r="L225" s="1045">
        <v>5</v>
      </c>
      <c r="M225" s="991">
        <v>5</v>
      </c>
      <c r="N225" s="991">
        <v>0</v>
      </c>
      <c r="O225" s="991">
        <v>0</v>
      </c>
      <c r="P225" s="1045">
        <v>5</v>
      </c>
      <c r="Q225" s="991">
        <v>5</v>
      </c>
      <c r="R225" s="991">
        <v>0</v>
      </c>
      <c r="S225" s="991">
        <v>0</v>
      </c>
      <c r="T225" s="1045">
        <v>5</v>
      </c>
      <c r="U225" s="991">
        <v>5</v>
      </c>
      <c r="V225" s="991">
        <v>0</v>
      </c>
      <c r="W225" s="991">
        <v>0</v>
      </c>
      <c r="X225" s="1042" t="s">
        <v>113</v>
      </c>
    </row>
    <row r="226" spans="1:24" ht="15">
      <c r="A226" s="991" t="s">
        <v>4363</v>
      </c>
      <c r="B226" s="1249" t="s">
        <v>4234</v>
      </c>
      <c r="C226" s="1250">
        <v>1</v>
      </c>
      <c r="D226" s="1251" t="s">
        <v>466</v>
      </c>
      <c r="E226" s="1250">
        <v>72.8</v>
      </c>
      <c r="F226" s="1252">
        <v>72.8</v>
      </c>
      <c r="G226" s="991" t="s">
        <v>495</v>
      </c>
      <c r="H226" s="1045">
        <v>1</v>
      </c>
      <c r="I226" s="1045">
        <v>1</v>
      </c>
      <c r="J226" s="991">
        <v>0</v>
      </c>
      <c r="K226" s="991">
        <v>0</v>
      </c>
      <c r="L226" s="1045">
        <v>0</v>
      </c>
      <c r="M226" s="991">
        <v>0</v>
      </c>
      <c r="N226" s="991">
        <v>0</v>
      </c>
      <c r="O226" s="991">
        <v>0</v>
      </c>
      <c r="P226" s="1045">
        <v>0</v>
      </c>
      <c r="Q226" s="991">
        <v>0</v>
      </c>
      <c r="R226" s="991">
        <v>0</v>
      </c>
      <c r="S226" s="991">
        <v>0</v>
      </c>
      <c r="T226" s="1045">
        <v>0</v>
      </c>
      <c r="U226" s="991">
        <v>0</v>
      </c>
      <c r="V226" s="991">
        <v>0</v>
      </c>
      <c r="W226" s="991">
        <v>0</v>
      </c>
      <c r="X226" s="1042" t="s">
        <v>113</v>
      </c>
    </row>
    <row r="227" spans="1:24" ht="23.25">
      <c r="A227" s="991" t="s">
        <v>4363</v>
      </c>
      <c r="B227" s="1249" t="s">
        <v>4384</v>
      </c>
      <c r="C227" s="1250">
        <v>16</v>
      </c>
      <c r="D227" s="1251" t="s">
        <v>103</v>
      </c>
      <c r="E227" s="1250">
        <v>643.5</v>
      </c>
      <c r="F227" s="1252">
        <v>10296</v>
      </c>
      <c r="G227" s="991" t="s">
        <v>495</v>
      </c>
      <c r="H227" s="1045">
        <v>4</v>
      </c>
      <c r="I227" s="1045">
        <v>4</v>
      </c>
      <c r="J227" s="991">
        <v>0</v>
      </c>
      <c r="K227" s="991">
        <v>0</v>
      </c>
      <c r="L227" s="1045">
        <v>4</v>
      </c>
      <c r="M227" s="991">
        <v>4</v>
      </c>
      <c r="N227" s="991">
        <v>0</v>
      </c>
      <c r="O227" s="991">
        <v>0</v>
      </c>
      <c r="P227" s="1045">
        <v>4</v>
      </c>
      <c r="Q227" s="991">
        <v>4</v>
      </c>
      <c r="R227" s="991">
        <v>0</v>
      </c>
      <c r="S227" s="991">
        <v>0</v>
      </c>
      <c r="T227" s="1045">
        <v>4</v>
      </c>
      <c r="U227" s="991">
        <v>4</v>
      </c>
      <c r="V227" s="991">
        <v>0</v>
      </c>
      <c r="W227" s="991">
        <v>0</v>
      </c>
      <c r="X227" s="1042" t="s">
        <v>113</v>
      </c>
    </row>
    <row r="228" spans="1:24" ht="15">
      <c r="A228" s="991" t="s">
        <v>4374</v>
      </c>
      <c r="B228" s="1249" t="s">
        <v>4248</v>
      </c>
      <c r="C228" s="1250">
        <v>1</v>
      </c>
      <c r="D228" s="1251" t="s">
        <v>103</v>
      </c>
      <c r="E228" s="1250">
        <v>136.24</v>
      </c>
      <c r="F228" s="1252">
        <v>136.24</v>
      </c>
      <c r="G228" s="991" t="s">
        <v>495</v>
      </c>
      <c r="H228" s="1045">
        <v>1</v>
      </c>
      <c r="I228" s="1045">
        <v>1</v>
      </c>
      <c r="J228" s="991">
        <v>0</v>
      </c>
      <c r="K228" s="991">
        <v>0</v>
      </c>
      <c r="L228" s="1045">
        <v>0</v>
      </c>
      <c r="M228" s="991">
        <v>0</v>
      </c>
      <c r="N228" s="991">
        <v>0</v>
      </c>
      <c r="O228" s="991">
        <v>0</v>
      </c>
      <c r="P228" s="1045">
        <v>0</v>
      </c>
      <c r="Q228" s="991">
        <v>0</v>
      </c>
      <c r="R228" s="991">
        <v>0</v>
      </c>
      <c r="S228" s="991">
        <v>0</v>
      </c>
      <c r="T228" s="1045">
        <v>0</v>
      </c>
      <c r="U228" s="991">
        <v>0</v>
      </c>
      <c r="V228" s="991">
        <v>0</v>
      </c>
      <c r="W228" s="991">
        <v>0</v>
      </c>
      <c r="X228" s="1042" t="s">
        <v>113</v>
      </c>
    </row>
    <row r="229" spans="1:24" ht="15">
      <c r="A229" s="991" t="s">
        <v>4374</v>
      </c>
      <c r="B229" s="1249" t="s">
        <v>4249</v>
      </c>
      <c r="C229" s="1250">
        <v>12</v>
      </c>
      <c r="D229" s="1251" t="s">
        <v>4250</v>
      </c>
      <c r="E229" s="1250">
        <v>54.08</v>
      </c>
      <c r="F229" s="1252">
        <v>648.96</v>
      </c>
      <c r="G229" s="991" t="s">
        <v>495</v>
      </c>
      <c r="H229" s="1045">
        <v>3</v>
      </c>
      <c r="I229" s="1045">
        <v>1</v>
      </c>
      <c r="J229" s="991">
        <v>1</v>
      </c>
      <c r="K229" s="991">
        <v>1</v>
      </c>
      <c r="L229" s="1045">
        <v>3</v>
      </c>
      <c r="M229" s="991">
        <v>1</v>
      </c>
      <c r="N229" s="991">
        <v>1</v>
      </c>
      <c r="O229" s="991">
        <v>1</v>
      </c>
      <c r="P229" s="1045">
        <v>3</v>
      </c>
      <c r="Q229" s="991">
        <v>1</v>
      </c>
      <c r="R229" s="991">
        <v>1</v>
      </c>
      <c r="S229" s="991">
        <v>1</v>
      </c>
      <c r="T229" s="1045">
        <v>3</v>
      </c>
      <c r="U229" s="991">
        <v>1</v>
      </c>
      <c r="V229" s="991">
        <v>1</v>
      </c>
      <c r="W229" s="991">
        <v>1</v>
      </c>
      <c r="X229" s="1042" t="s">
        <v>113</v>
      </c>
    </row>
    <row r="230" spans="1:24" ht="15">
      <c r="A230" s="991" t="s">
        <v>4374</v>
      </c>
      <c r="B230" s="1249" t="s">
        <v>3389</v>
      </c>
      <c r="C230" s="1250">
        <v>4</v>
      </c>
      <c r="D230" s="1251" t="s">
        <v>4247</v>
      </c>
      <c r="E230" s="1250">
        <v>139.88999999999999</v>
      </c>
      <c r="F230" s="1252">
        <v>559.55999999999995</v>
      </c>
      <c r="G230" s="991" t="s">
        <v>495</v>
      </c>
      <c r="H230" s="1045">
        <v>1</v>
      </c>
      <c r="I230" s="1045">
        <v>1</v>
      </c>
      <c r="J230" s="991">
        <v>0</v>
      </c>
      <c r="K230" s="991">
        <v>0</v>
      </c>
      <c r="L230" s="1045">
        <v>1</v>
      </c>
      <c r="M230" s="991">
        <v>1</v>
      </c>
      <c r="N230" s="991">
        <v>0</v>
      </c>
      <c r="O230" s="991">
        <v>0</v>
      </c>
      <c r="P230" s="1045">
        <v>1</v>
      </c>
      <c r="Q230" s="991">
        <v>1</v>
      </c>
      <c r="R230" s="991">
        <v>0</v>
      </c>
      <c r="S230" s="991">
        <v>0</v>
      </c>
      <c r="T230" s="1045">
        <v>1</v>
      </c>
      <c r="U230" s="991">
        <v>1</v>
      </c>
      <c r="V230" s="991">
        <v>0</v>
      </c>
      <c r="W230" s="991">
        <v>0</v>
      </c>
      <c r="X230" s="1042" t="s">
        <v>113</v>
      </c>
    </row>
    <row r="231" spans="1:24" ht="15">
      <c r="A231" s="991" t="s">
        <v>4374</v>
      </c>
      <c r="B231" s="1249" t="s">
        <v>4423</v>
      </c>
      <c r="C231" s="1250">
        <v>12</v>
      </c>
      <c r="D231" s="1251" t="s">
        <v>103</v>
      </c>
      <c r="E231" s="1250">
        <v>102</v>
      </c>
      <c r="F231" s="1252">
        <v>1224</v>
      </c>
      <c r="G231" s="991" t="s">
        <v>495</v>
      </c>
      <c r="H231" s="1045">
        <v>3</v>
      </c>
      <c r="I231" s="1045">
        <v>1</v>
      </c>
      <c r="J231" s="991">
        <v>1</v>
      </c>
      <c r="K231" s="991">
        <v>1</v>
      </c>
      <c r="L231" s="1045">
        <v>3</v>
      </c>
      <c r="M231" s="991">
        <v>1</v>
      </c>
      <c r="N231" s="991">
        <v>1</v>
      </c>
      <c r="O231" s="991">
        <v>1</v>
      </c>
      <c r="P231" s="1045">
        <v>3</v>
      </c>
      <c r="Q231" s="991">
        <v>1</v>
      </c>
      <c r="R231" s="991">
        <v>1</v>
      </c>
      <c r="S231" s="991">
        <v>1</v>
      </c>
      <c r="T231" s="1045">
        <v>3</v>
      </c>
      <c r="U231" s="991">
        <v>1</v>
      </c>
      <c r="V231" s="991">
        <v>1</v>
      </c>
      <c r="W231" s="991">
        <v>1</v>
      </c>
      <c r="X231" s="1042" t="s">
        <v>113</v>
      </c>
    </row>
    <row r="232" spans="1:24" ht="15">
      <c r="A232" s="991" t="s">
        <v>4374</v>
      </c>
      <c r="B232" s="1249" t="s">
        <v>4252</v>
      </c>
      <c r="C232" s="1250">
        <v>1</v>
      </c>
      <c r="D232" s="1251" t="s">
        <v>103</v>
      </c>
      <c r="E232" s="1250">
        <v>27.64</v>
      </c>
      <c r="F232" s="1252">
        <v>27.64</v>
      </c>
      <c r="G232" s="991" t="s">
        <v>495</v>
      </c>
      <c r="H232" s="1045">
        <v>1</v>
      </c>
      <c r="I232" s="1045">
        <v>1</v>
      </c>
      <c r="J232" s="991">
        <v>0</v>
      </c>
      <c r="K232" s="991">
        <v>0</v>
      </c>
      <c r="L232" s="1045">
        <v>0</v>
      </c>
      <c r="M232" s="991">
        <v>0</v>
      </c>
      <c r="N232" s="991">
        <v>0</v>
      </c>
      <c r="O232" s="991">
        <v>0</v>
      </c>
      <c r="P232" s="1045">
        <v>0</v>
      </c>
      <c r="Q232" s="991">
        <v>0</v>
      </c>
      <c r="R232" s="991">
        <v>0</v>
      </c>
      <c r="S232" s="991">
        <v>0</v>
      </c>
      <c r="T232" s="1045">
        <v>0</v>
      </c>
      <c r="U232" s="991">
        <v>0</v>
      </c>
      <c r="V232" s="991">
        <v>0</v>
      </c>
      <c r="W232" s="991">
        <v>0</v>
      </c>
      <c r="X232" s="1042" t="s">
        <v>113</v>
      </c>
    </row>
    <row r="233" spans="1:24" ht="15">
      <c r="A233" s="991" t="s">
        <v>4374</v>
      </c>
      <c r="B233" s="1249" t="s">
        <v>3612</v>
      </c>
      <c r="C233" s="1250">
        <v>1</v>
      </c>
      <c r="D233" s="1251" t="s">
        <v>103</v>
      </c>
      <c r="E233" s="1250">
        <v>124.8</v>
      </c>
      <c r="F233" s="1252">
        <v>124.8</v>
      </c>
      <c r="G233" s="991" t="s">
        <v>495</v>
      </c>
      <c r="H233" s="1045">
        <v>1</v>
      </c>
      <c r="I233" s="1045">
        <v>1</v>
      </c>
      <c r="J233" s="991">
        <v>0</v>
      </c>
      <c r="K233" s="991">
        <v>0</v>
      </c>
      <c r="L233" s="1045">
        <v>0</v>
      </c>
      <c r="M233" s="991">
        <v>0</v>
      </c>
      <c r="N233" s="991">
        <v>0</v>
      </c>
      <c r="O233" s="991">
        <v>0</v>
      </c>
      <c r="P233" s="1045">
        <v>0</v>
      </c>
      <c r="Q233" s="991">
        <v>0</v>
      </c>
      <c r="R233" s="991">
        <v>0</v>
      </c>
      <c r="S233" s="991">
        <v>0</v>
      </c>
      <c r="T233" s="1045">
        <v>0</v>
      </c>
      <c r="U233" s="991">
        <v>0</v>
      </c>
      <c r="V233" s="991">
        <v>0</v>
      </c>
      <c r="W233" s="991">
        <v>0</v>
      </c>
      <c r="X233" s="1042" t="s">
        <v>113</v>
      </c>
    </row>
    <row r="234" spans="1:24" ht="15">
      <c r="A234" s="991" t="s">
        <v>4374</v>
      </c>
      <c r="B234" s="1249" t="s">
        <v>3614</v>
      </c>
      <c r="C234" s="1250">
        <v>1</v>
      </c>
      <c r="D234" s="1251" t="s">
        <v>103</v>
      </c>
      <c r="E234" s="1250">
        <v>122.51</v>
      </c>
      <c r="F234" s="1252">
        <v>122.51</v>
      </c>
      <c r="G234" s="991" t="s">
        <v>495</v>
      </c>
      <c r="H234" s="1045">
        <v>1</v>
      </c>
      <c r="I234" s="1045">
        <v>1</v>
      </c>
      <c r="J234" s="991">
        <v>0</v>
      </c>
      <c r="K234" s="991">
        <v>0</v>
      </c>
      <c r="L234" s="1045">
        <v>0</v>
      </c>
      <c r="M234" s="991">
        <v>0</v>
      </c>
      <c r="N234" s="991">
        <v>0</v>
      </c>
      <c r="O234" s="991">
        <v>0</v>
      </c>
      <c r="P234" s="1045">
        <v>0</v>
      </c>
      <c r="Q234" s="991">
        <v>0</v>
      </c>
      <c r="R234" s="991">
        <v>0</v>
      </c>
      <c r="S234" s="991">
        <v>0</v>
      </c>
      <c r="T234" s="1045">
        <v>0</v>
      </c>
      <c r="U234" s="991">
        <v>0</v>
      </c>
      <c r="V234" s="991">
        <v>0</v>
      </c>
      <c r="W234" s="991">
        <v>0</v>
      </c>
      <c r="X234" s="1042" t="s">
        <v>113</v>
      </c>
    </row>
    <row r="235" spans="1:24" ht="15">
      <c r="A235" s="991" t="s">
        <v>4374</v>
      </c>
      <c r="B235" s="1249" t="s">
        <v>3340</v>
      </c>
      <c r="C235" s="1250">
        <v>8</v>
      </c>
      <c r="D235" s="1251" t="s">
        <v>571</v>
      </c>
      <c r="E235" s="1250">
        <v>41.6</v>
      </c>
      <c r="F235" s="1252">
        <v>332.8</v>
      </c>
      <c r="G235" s="991" t="s">
        <v>495</v>
      </c>
      <c r="H235" s="1045">
        <v>2</v>
      </c>
      <c r="I235" s="1045">
        <v>2</v>
      </c>
      <c r="J235" s="991">
        <v>0</v>
      </c>
      <c r="K235" s="991">
        <v>0</v>
      </c>
      <c r="L235" s="1045">
        <v>2</v>
      </c>
      <c r="M235" s="991">
        <v>2</v>
      </c>
      <c r="N235" s="991">
        <v>0</v>
      </c>
      <c r="O235" s="991">
        <v>0</v>
      </c>
      <c r="P235" s="1045">
        <v>2</v>
      </c>
      <c r="Q235" s="991">
        <v>2</v>
      </c>
      <c r="R235" s="991">
        <v>0</v>
      </c>
      <c r="S235" s="991">
        <v>0</v>
      </c>
      <c r="T235" s="1045">
        <v>2</v>
      </c>
      <c r="U235" s="991">
        <v>2</v>
      </c>
      <c r="V235" s="991">
        <v>0</v>
      </c>
      <c r="W235" s="991">
        <v>0</v>
      </c>
      <c r="X235" s="1042" t="s">
        <v>113</v>
      </c>
    </row>
    <row r="236" spans="1:24" ht="15">
      <c r="A236" s="991" t="s">
        <v>4374</v>
      </c>
      <c r="B236" s="1249" t="s">
        <v>4255</v>
      </c>
      <c r="C236" s="1250">
        <v>12</v>
      </c>
      <c r="D236" s="1251" t="s">
        <v>895</v>
      </c>
      <c r="E236" s="1250">
        <v>144.04</v>
      </c>
      <c r="F236" s="1252">
        <v>1728.48</v>
      </c>
      <c r="G236" s="991" t="s">
        <v>495</v>
      </c>
      <c r="H236" s="1045">
        <v>3</v>
      </c>
      <c r="I236" s="1045">
        <v>1</v>
      </c>
      <c r="J236" s="991">
        <v>1</v>
      </c>
      <c r="K236" s="991">
        <v>1</v>
      </c>
      <c r="L236" s="1045">
        <v>3</v>
      </c>
      <c r="M236" s="991">
        <v>1</v>
      </c>
      <c r="N236" s="991">
        <v>1</v>
      </c>
      <c r="O236" s="991">
        <v>1</v>
      </c>
      <c r="P236" s="1045">
        <v>3</v>
      </c>
      <c r="Q236" s="991">
        <v>1</v>
      </c>
      <c r="R236" s="991">
        <v>1</v>
      </c>
      <c r="S236" s="991">
        <v>1</v>
      </c>
      <c r="T236" s="1045">
        <v>3</v>
      </c>
      <c r="U236" s="991">
        <v>1</v>
      </c>
      <c r="V236" s="991">
        <v>1</v>
      </c>
      <c r="W236" s="991">
        <v>1</v>
      </c>
      <c r="X236" s="1042" t="s">
        <v>113</v>
      </c>
    </row>
    <row r="237" spans="1:24" ht="15">
      <c r="A237" s="991" t="s">
        <v>170</v>
      </c>
      <c r="B237" s="1249" t="s">
        <v>3300</v>
      </c>
      <c r="C237" s="1250">
        <v>12</v>
      </c>
      <c r="D237" s="1251" t="s">
        <v>571</v>
      </c>
      <c r="E237" s="1250">
        <v>47.85</v>
      </c>
      <c r="F237" s="1252">
        <v>574.20000000000005</v>
      </c>
      <c r="G237" s="991" t="s">
        <v>495</v>
      </c>
      <c r="H237" s="1045">
        <v>3</v>
      </c>
      <c r="I237" s="1045">
        <v>1</v>
      </c>
      <c r="J237" s="991">
        <v>1</v>
      </c>
      <c r="K237" s="991">
        <v>1</v>
      </c>
      <c r="L237" s="1045">
        <v>3</v>
      </c>
      <c r="M237" s="991">
        <v>1</v>
      </c>
      <c r="N237" s="991">
        <v>1</v>
      </c>
      <c r="O237" s="991">
        <v>1</v>
      </c>
      <c r="P237" s="1045">
        <v>3</v>
      </c>
      <c r="Q237" s="991">
        <v>1</v>
      </c>
      <c r="R237" s="991">
        <v>1</v>
      </c>
      <c r="S237" s="991">
        <v>1</v>
      </c>
      <c r="T237" s="1045">
        <v>3</v>
      </c>
      <c r="U237" s="991">
        <v>1</v>
      </c>
      <c r="V237" s="991">
        <v>1</v>
      </c>
      <c r="W237" s="991">
        <v>1</v>
      </c>
      <c r="X237" s="1042" t="s">
        <v>113</v>
      </c>
    </row>
    <row r="238" spans="1:24" ht="15">
      <c r="A238" s="991" t="s">
        <v>170</v>
      </c>
      <c r="B238" s="1249" t="s">
        <v>4254</v>
      </c>
      <c r="C238" s="1250">
        <v>12</v>
      </c>
      <c r="D238" s="1251" t="s">
        <v>571</v>
      </c>
      <c r="E238" s="1250">
        <v>42.95</v>
      </c>
      <c r="F238" s="1252">
        <v>515.4</v>
      </c>
      <c r="G238" s="991" t="s">
        <v>495</v>
      </c>
      <c r="H238" s="1045">
        <v>3</v>
      </c>
      <c r="I238" s="1045">
        <v>1</v>
      </c>
      <c r="J238" s="991">
        <v>1</v>
      </c>
      <c r="K238" s="991">
        <v>1</v>
      </c>
      <c r="L238" s="1045">
        <v>3</v>
      </c>
      <c r="M238" s="991">
        <v>1</v>
      </c>
      <c r="N238" s="991">
        <v>1</v>
      </c>
      <c r="O238" s="991">
        <v>1</v>
      </c>
      <c r="P238" s="1045">
        <v>3</v>
      </c>
      <c r="Q238" s="991">
        <v>1</v>
      </c>
      <c r="R238" s="991">
        <v>1</v>
      </c>
      <c r="S238" s="991">
        <v>1</v>
      </c>
      <c r="T238" s="1045">
        <v>3</v>
      </c>
      <c r="U238" s="991">
        <v>1</v>
      </c>
      <c r="V238" s="991">
        <v>1</v>
      </c>
      <c r="W238" s="991">
        <v>1</v>
      </c>
      <c r="X238" s="1042" t="s">
        <v>113</v>
      </c>
    </row>
    <row r="239" spans="1:24" ht="15">
      <c r="A239" s="991" t="s">
        <v>4363</v>
      </c>
      <c r="B239" s="1249" t="s">
        <v>4223</v>
      </c>
      <c r="C239" s="1250">
        <v>360</v>
      </c>
      <c r="D239" s="1251" t="s">
        <v>103</v>
      </c>
      <c r="E239" s="1250">
        <v>5</v>
      </c>
      <c r="F239" s="1252">
        <v>1800</v>
      </c>
      <c r="G239" s="991" t="s">
        <v>342</v>
      </c>
      <c r="H239" s="1045">
        <v>90</v>
      </c>
      <c r="I239" s="1045">
        <v>30</v>
      </c>
      <c r="J239" s="991">
        <v>30</v>
      </c>
      <c r="K239" s="991">
        <v>30</v>
      </c>
      <c r="L239" s="1045">
        <v>90</v>
      </c>
      <c r="M239" s="991">
        <v>30</v>
      </c>
      <c r="N239" s="991">
        <v>30</v>
      </c>
      <c r="O239" s="991">
        <v>30</v>
      </c>
      <c r="P239" s="1045">
        <v>90</v>
      </c>
      <c r="Q239" s="991">
        <v>30</v>
      </c>
      <c r="R239" s="991">
        <v>30</v>
      </c>
      <c r="S239" s="991">
        <v>30</v>
      </c>
      <c r="T239" s="1045">
        <v>90</v>
      </c>
      <c r="U239" s="991">
        <v>30</v>
      </c>
      <c r="V239" s="991">
        <v>30</v>
      </c>
      <c r="W239" s="991">
        <v>30</v>
      </c>
      <c r="X239" s="1042" t="s">
        <v>2945</v>
      </c>
    </row>
    <row r="240" spans="1:24" ht="15">
      <c r="A240" s="991" t="s">
        <v>4363</v>
      </c>
      <c r="B240" s="1249" t="s">
        <v>4376</v>
      </c>
      <c r="C240" s="1250">
        <v>40</v>
      </c>
      <c r="D240" s="1251" t="s">
        <v>103</v>
      </c>
      <c r="E240" s="1250">
        <v>5</v>
      </c>
      <c r="F240" s="1252">
        <v>200</v>
      </c>
      <c r="G240" s="991" t="s">
        <v>342</v>
      </c>
      <c r="H240" s="1045">
        <v>10</v>
      </c>
      <c r="I240" s="1045">
        <v>10</v>
      </c>
      <c r="J240" s="991"/>
      <c r="K240" s="991"/>
      <c r="L240" s="1045">
        <v>10</v>
      </c>
      <c r="M240" s="991">
        <v>10</v>
      </c>
      <c r="N240" s="991"/>
      <c r="O240" s="991"/>
      <c r="P240" s="1045">
        <v>10</v>
      </c>
      <c r="Q240" s="991">
        <v>10</v>
      </c>
      <c r="R240" s="991"/>
      <c r="S240" s="991"/>
      <c r="T240" s="1045">
        <v>10</v>
      </c>
      <c r="U240" s="991">
        <v>10</v>
      </c>
      <c r="V240" s="991"/>
      <c r="W240" s="991"/>
      <c r="X240" s="1042" t="s">
        <v>2945</v>
      </c>
    </row>
    <row r="241" spans="1:24" ht="15">
      <c r="A241" s="991" t="s">
        <v>4363</v>
      </c>
      <c r="B241" s="1249" t="s">
        <v>4424</v>
      </c>
      <c r="C241" s="1250">
        <v>40</v>
      </c>
      <c r="D241" s="1251" t="s">
        <v>155</v>
      </c>
      <c r="E241" s="1250">
        <v>18.34</v>
      </c>
      <c r="F241" s="1252">
        <v>733.6</v>
      </c>
      <c r="G241" s="991" t="s">
        <v>2949</v>
      </c>
      <c r="H241" s="1045">
        <v>10</v>
      </c>
      <c r="I241" s="1045">
        <v>10</v>
      </c>
      <c r="J241" s="991"/>
      <c r="K241" s="991"/>
      <c r="L241" s="1045">
        <v>10</v>
      </c>
      <c r="M241" s="991">
        <v>10</v>
      </c>
      <c r="N241" s="991"/>
      <c r="O241" s="991"/>
      <c r="P241" s="1045">
        <v>10</v>
      </c>
      <c r="Q241" s="991">
        <v>10</v>
      </c>
      <c r="R241" s="991"/>
      <c r="S241" s="991"/>
      <c r="T241" s="1045">
        <v>10</v>
      </c>
      <c r="U241" s="991">
        <v>10</v>
      </c>
      <c r="V241" s="991"/>
      <c r="W241" s="991"/>
      <c r="X241" s="1042" t="s">
        <v>2945</v>
      </c>
    </row>
    <row r="242" spans="1:24" ht="15">
      <c r="A242" s="991" t="s">
        <v>4363</v>
      </c>
      <c r="B242" s="1249" t="s">
        <v>4425</v>
      </c>
      <c r="C242" s="1250">
        <v>80</v>
      </c>
      <c r="D242" s="1251" t="s">
        <v>103</v>
      </c>
      <c r="E242" s="1250">
        <v>56.04</v>
      </c>
      <c r="F242" s="1252">
        <v>4483.2</v>
      </c>
      <c r="G242" s="991" t="s">
        <v>2949</v>
      </c>
      <c r="H242" s="1045">
        <v>20</v>
      </c>
      <c r="I242" s="1045">
        <v>20</v>
      </c>
      <c r="J242" s="991"/>
      <c r="K242" s="991"/>
      <c r="L242" s="1045">
        <v>20</v>
      </c>
      <c r="M242" s="991">
        <v>20</v>
      </c>
      <c r="N242" s="991"/>
      <c r="O242" s="991"/>
      <c r="P242" s="1045">
        <v>20</v>
      </c>
      <c r="Q242" s="991">
        <v>20</v>
      </c>
      <c r="R242" s="991"/>
      <c r="S242" s="991"/>
      <c r="T242" s="1045">
        <v>20</v>
      </c>
      <c r="U242" s="991">
        <v>20</v>
      </c>
      <c r="V242" s="991"/>
      <c r="W242" s="991"/>
      <c r="X242" s="1042" t="s">
        <v>2945</v>
      </c>
    </row>
    <row r="243" spans="1:24" ht="15">
      <c r="A243" s="991" t="s">
        <v>4363</v>
      </c>
      <c r="B243" s="1249" t="s">
        <v>4365</v>
      </c>
      <c r="C243" s="1250">
        <v>80</v>
      </c>
      <c r="D243" s="1251" t="s">
        <v>103</v>
      </c>
      <c r="E243" s="1250">
        <v>15</v>
      </c>
      <c r="F243" s="1252">
        <v>1200</v>
      </c>
      <c r="G243" s="991" t="s">
        <v>342</v>
      </c>
      <c r="H243" s="1045">
        <v>20</v>
      </c>
      <c r="I243" s="1045">
        <v>20</v>
      </c>
      <c r="J243" s="991"/>
      <c r="K243" s="991"/>
      <c r="L243" s="1045">
        <v>20</v>
      </c>
      <c r="M243" s="991">
        <v>20</v>
      </c>
      <c r="N243" s="991"/>
      <c r="O243" s="991"/>
      <c r="P243" s="1045">
        <v>20</v>
      </c>
      <c r="Q243" s="991">
        <v>20</v>
      </c>
      <c r="R243" s="991"/>
      <c r="S243" s="991"/>
      <c r="T243" s="1045">
        <v>20</v>
      </c>
      <c r="U243" s="991">
        <v>20</v>
      </c>
      <c r="V243" s="991"/>
      <c r="W243" s="991"/>
      <c r="X243" s="1042" t="s">
        <v>2945</v>
      </c>
    </row>
    <row r="244" spans="1:24" ht="23.25">
      <c r="A244" s="991" t="s">
        <v>4363</v>
      </c>
      <c r="B244" s="1249" t="s">
        <v>4426</v>
      </c>
      <c r="C244" s="1250">
        <v>12</v>
      </c>
      <c r="D244" s="1251" t="s">
        <v>155</v>
      </c>
      <c r="E244" s="1250">
        <v>750</v>
      </c>
      <c r="F244" s="1252">
        <v>9000</v>
      </c>
      <c r="G244" s="991" t="s">
        <v>342</v>
      </c>
      <c r="H244" s="1045">
        <v>3</v>
      </c>
      <c r="I244" s="1045">
        <v>1</v>
      </c>
      <c r="J244" s="991">
        <v>1</v>
      </c>
      <c r="K244" s="991">
        <v>1</v>
      </c>
      <c r="L244" s="1045">
        <v>3</v>
      </c>
      <c r="M244" s="991">
        <v>1</v>
      </c>
      <c r="N244" s="991">
        <v>1</v>
      </c>
      <c r="O244" s="991">
        <v>1</v>
      </c>
      <c r="P244" s="1045">
        <v>3</v>
      </c>
      <c r="Q244" s="991">
        <v>1</v>
      </c>
      <c r="R244" s="991">
        <v>1</v>
      </c>
      <c r="S244" s="991">
        <v>1</v>
      </c>
      <c r="T244" s="1045">
        <v>3</v>
      </c>
      <c r="U244" s="991">
        <v>1</v>
      </c>
      <c r="V244" s="991">
        <v>1</v>
      </c>
      <c r="W244" s="991">
        <v>1</v>
      </c>
      <c r="X244" s="1042" t="s">
        <v>2945</v>
      </c>
    </row>
    <row r="245" spans="1:24" ht="15">
      <c r="A245" s="991" t="s">
        <v>4363</v>
      </c>
      <c r="B245" s="1249" t="s">
        <v>3373</v>
      </c>
      <c r="C245" s="1250">
        <v>200</v>
      </c>
      <c r="D245" s="1251" t="s">
        <v>103</v>
      </c>
      <c r="E245" s="1250">
        <v>77.2</v>
      </c>
      <c r="F245" s="1252">
        <v>15440</v>
      </c>
      <c r="G245" s="991" t="s">
        <v>2949</v>
      </c>
      <c r="H245" s="1045">
        <v>50</v>
      </c>
      <c r="I245" s="1045">
        <v>50</v>
      </c>
      <c r="J245" s="991"/>
      <c r="K245" s="991"/>
      <c r="L245" s="1045">
        <v>50</v>
      </c>
      <c r="M245" s="991">
        <v>50</v>
      </c>
      <c r="N245" s="991"/>
      <c r="O245" s="991"/>
      <c r="P245" s="1045">
        <v>50</v>
      </c>
      <c r="Q245" s="991">
        <v>50</v>
      </c>
      <c r="R245" s="991"/>
      <c r="S245" s="991"/>
      <c r="T245" s="1045">
        <v>50</v>
      </c>
      <c r="U245" s="991">
        <v>50</v>
      </c>
      <c r="V245" s="991"/>
      <c r="W245" s="991"/>
      <c r="X245" s="1042" t="s">
        <v>2945</v>
      </c>
    </row>
    <row r="246" spans="1:24" ht="15">
      <c r="A246" s="991" t="s">
        <v>4363</v>
      </c>
      <c r="B246" s="1249" t="s">
        <v>3926</v>
      </c>
      <c r="C246" s="1250">
        <v>40</v>
      </c>
      <c r="D246" s="1251" t="s">
        <v>263</v>
      </c>
      <c r="E246" s="1250">
        <v>40</v>
      </c>
      <c r="F246" s="1252">
        <v>1600</v>
      </c>
      <c r="G246" s="991" t="s">
        <v>342</v>
      </c>
      <c r="H246" s="1045">
        <v>20</v>
      </c>
      <c r="I246" s="1045">
        <v>20</v>
      </c>
      <c r="J246" s="991"/>
      <c r="K246" s="991"/>
      <c r="L246" s="1045">
        <v>0</v>
      </c>
      <c r="M246" s="991"/>
      <c r="N246" s="991"/>
      <c r="O246" s="991"/>
      <c r="P246" s="1045">
        <v>20</v>
      </c>
      <c r="Q246" s="991">
        <v>20</v>
      </c>
      <c r="R246" s="991"/>
      <c r="S246" s="991"/>
      <c r="T246" s="1045">
        <v>0</v>
      </c>
      <c r="U246" s="991"/>
      <c r="V246" s="991"/>
      <c r="W246" s="991"/>
      <c r="X246" s="1042" t="s">
        <v>2945</v>
      </c>
    </row>
    <row r="247" spans="1:24" ht="15">
      <c r="A247" s="991" t="s">
        <v>4363</v>
      </c>
      <c r="B247" s="1249" t="s">
        <v>4427</v>
      </c>
      <c r="C247" s="1250">
        <v>80</v>
      </c>
      <c r="D247" s="1251" t="s">
        <v>189</v>
      </c>
      <c r="E247" s="1250">
        <v>30</v>
      </c>
      <c r="F247" s="1252">
        <v>2400</v>
      </c>
      <c r="G247" s="991" t="s">
        <v>342</v>
      </c>
      <c r="H247" s="1045">
        <v>20</v>
      </c>
      <c r="I247" s="1045">
        <v>20</v>
      </c>
      <c r="J247" s="991"/>
      <c r="K247" s="991"/>
      <c r="L247" s="1045">
        <v>20</v>
      </c>
      <c r="M247" s="991">
        <v>20</v>
      </c>
      <c r="N247" s="991"/>
      <c r="O247" s="991"/>
      <c r="P247" s="1045">
        <v>20</v>
      </c>
      <c r="Q247" s="991">
        <v>20</v>
      </c>
      <c r="R247" s="991"/>
      <c r="S247" s="991"/>
      <c r="T247" s="1045">
        <v>20</v>
      </c>
      <c r="U247" s="991">
        <v>20</v>
      </c>
      <c r="V247" s="991"/>
      <c r="W247" s="991"/>
      <c r="X247" s="1042" t="s">
        <v>2945</v>
      </c>
    </row>
    <row r="248" spans="1:24" ht="23.25">
      <c r="A248" s="991" t="s">
        <v>4363</v>
      </c>
      <c r="B248" s="1249" t="s">
        <v>3933</v>
      </c>
      <c r="C248" s="1250">
        <v>120</v>
      </c>
      <c r="D248" s="1251" t="s">
        <v>155</v>
      </c>
      <c r="E248" s="1250">
        <v>40</v>
      </c>
      <c r="F248" s="1252">
        <v>4800</v>
      </c>
      <c r="G248" s="991" t="s">
        <v>342</v>
      </c>
      <c r="H248" s="1045">
        <v>30</v>
      </c>
      <c r="I248" s="1045">
        <v>30</v>
      </c>
      <c r="J248" s="991"/>
      <c r="K248" s="991"/>
      <c r="L248" s="1045">
        <v>30</v>
      </c>
      <c r="M248" s="991">
        <v>30</v>
      </c>
      <c r="N248" s="991"/>
      <c r="O248" s="991"/>
      <c r="P248" s="1045">
        <v>30</v>
      </c>
      <c r="Q248" s="991">
        <v>30</v>
      </c>
      <c r="R248" s="991"/>
      <c r="S248" s="991"/>
      <c r="T248" s="1045">
        <v>30</v>
      </c>
      <c r="U248" s="991">
        <v>30</v>
      </c>
      <c r="V248" s="991"/>
      <c r="W248" s="991"/>
      <c r="X248" s="1042" t="s">
        <v>2945</v>
      </c>
    </row>
    <row r="249" spans="1:24" ht="15">
      <c r="A249" s="991" t="s">
        <v>4363</v>
      </c>
      <c r="B249" s="1249" t="s">
        <v>4428</v>
      </c>
      <c r="C249" s="1250">
        <v>600</v>
      </c>
      <c r="D249" s="1251" t="s">
        <v>103</v>
      </c>
      <c r="E249" s="1250">
        <v>15</v>
      </c>
      <c r="F249" s="1252">
        <v>9000</v>
      </c>
      <c r="G249" s="991" t="s">
        <v>342</v>
      </c>
      <c r="H249" s="1045">
        <v>200</v>
      </c>
      <c r="I249" s="1045">
        <v>200</v>
      </c>
      <c r="J249" s="991"/>
      <c r="K249" s="991"/>
      <c r="L249" s="1045">
        <v>200</v>
      </c>
      <c r="M249" s="991">
        <v>200</v>
      </c>
      <c r="N249" s="991"/>
      <c r="O249" s="991"/>
      <c r="P249" s="1045">
        <v>200</v>
      </c>
      <c r="Q249" s="991">
        <v>200</v>
      </c>
      <c r="R249" s="991"/>
      <c r="S249" s="991"/>
      <c r="T249" s="1045">
        <v>200</v>
      </c>
      <c r="U249" s="991">
        <v>200</v>
      </c>
      <c r="V249" s="991"/>
      <c r="W249" s="991"/>
      <c r="X249" s="1042" t="s">
        <v>2945</v>
      </c>
    </row>
    <row r="250" spans="1:24" ht="15">
      <c r="A250" s="991" t="s">
        <v>4363</v>
      </c>
      <c r="B250" s="1249" t="s">
        <v>4429</v>
      </c>
      <c r="C250" s="1250">
        <v>400</v>
      </c>
      <c r="D250" s="1251" t="s">
        <v>103</v>
      </c>
      <c r="E250" s="1250">
        <v>10</v>
      </c>
      <c r="F250" s="1252">
        <v>4000</v>
      </c>
      <c r="G250" s="991" t="s">
        <v>342</v>
      </c>
      <c r="H250" s="1045">
        <v>100</v>
      </c>
      <c r="I250" s="1045">
        <v>100</v>
      </c>
      <c r="J250" s="991"/>
      <c r="K250" s="991"/>
      <c r="L250" s="1045">
        <v>100</v>
      </c>
      <c r="M250" s="991">
        <v>100</v>
      </c>
      <c r="N250" s="991"/>
      <c r="O250" s="991"/>
      <c r="P250" s="1045">
        <v>100</v>
      </c>
      <c r="Q250" s="991">
        <v>100</v>
      </c>
      <c r="R250" s="991"/>
      <c r="S250" s="991"/>
      <c r="T250" s="1045">
        <v>100</v>
      </c>
      <c r="U250" s="991">
        <v>100</v>
      </c>
      <c r="V250" s="991"/>
      <c r="W250" s="991"/>
      <c r="X250" s="1042" t="s">
        <v>2945</v>
      </c>
    </row>
    <row r="251" spans="1:24" ht="15">
      <c r="A251" s="991" t="s">
        <v>4363</v>
      </c>
      <c r="B251" s="1249" t="s">
        <v>4430</v>
      </c>
      <c r="C251" s="1250">
        <v>300</v>
      </c>
      <c r="D251" s="1251" t="s">
        <v>118</v>
      </c>
      <c r="E251" s="1250">
        <v>36.659999999999997</v>
      </c>
      <c r="F251" s="1252">
        <v>10998</v>
      </c>
      <c r="G251" s="991" t="s">
        <v>2949</v>
      </c>
      <c r="H251" s="1045">
        <v>75</v>
      </c>
      <c r="I251" s="1045">
        <v>75</v>
      </c>
      <c r="J251" s="991"/>
      <c r="K251" s="991"/>
      <c r="L251" s="1045">
        <v>75</v>
      </c>
      <c r="M251" s="991">
        <v>75</v>
      </c>
      <c r="N251" s="991"/>
      <c r="O251" s="991"/>
      <c r="P251" s="1045">
        <v>75</v>
      </c>
      <c r="Q251" s="991">
        <v>75</v>
      </c>
      <c r="R251" s="991"/>
      <c r="S251" s="991"/>
      <c r="T251" s="1045">
        <v>75</v>
      </c>
      <c r="U251" s="991">
        <v>75</v>
      </c>
      <c r="V251" s="991"/>
      <c r="W251" s="991"/>
      <c r="X251" s="1042" t="s">
        <v>2945</v>
      </c>
    </row>
    <row r="252" spans="1:24" ht="15">
      <c r="A252" s="991" t="s">
        <v>4363</v>
      </c>
      <c r="B252" s="1249" t="s">
        <v>4227</v>
      </c>
      <c r="C252" s="1250">
        <v>20</v>
      </c>
      <c r="D252" s="1251" t="s">
        <v>103</v>
      </c>
      <c r="E252" s="1250">
        <v>7.47</v>
      </c>
      <c r="F252" s="1252">
        <v>149.4</v>
      </c>
      <c r="G252" s="991" t="s">
        <v>2949</v>
      </c>
      <c r="H252" s="1045">
        <v>5</v>
      </c>
      <c r="I252" s="1045">
        <v>5</v>
      </c>
      <c r="J252" s="991"/>
      <c r="K252" s="991"/>
      <c r="L252" s="1045">
        <v>5</v>
      </c>
      <c r="M252" s="991">
        <v>5</v>
      </c>
      <c r="N252" s="991"/>
      <c r="O252" s="991"/>
      <c r="P252" s="1045">
        <v>5</v>
      </c>
      <c r="Q252" s="991">
        <v>5</v>
      </c>
      <c r="R252" s="991"/>
      <c r="S252" s="991"/>
      <c r="T252" s="1045">
        <v>5</v>
      </c>
      <c r="U252" s="991">
        <v>5</v>
      </c>
      <c r="V252" s="991"/>
      <c r="W252" s="991"/>
      <c r="X252" s="1042" t="s">
        <v>2945</v>
      </c>
    </row>
    <row r="253" spans="1:24" ht="15">
      <c r="A253" s="991" t="s">
        <v>4363</v>
      </c>
      <c r="B253" s="1249" t="s">
        <v>4306</v>
      </c>
      <c r="C253" s="1250">
        <v>20</v>
      </c>
      <c r="D253" s="1251" t="s">
        <v>103</v>
      </c>
      <c r="E253" s="1250">
        <v>7.47</v>
      </c>
      <c r="F253" s="1252">
        <v>149.4</v>
      </c>
      <c r="G253" s="991" t="s">
        <v>2949</v>
      </c>
      <c r="H253" s="1045">
        <v>5</v>
      </c>
      <c r="I253" s="1045">
        <v>5</v>
      </c>
      <c r="J253" s="991"/>
      <c r="K253" s="991"/>
      <c r="L253" s="1045">
        <v>5</v>
      </c>
      <c r="M253" s="991">
        <v>5</v>
      </c>
      <c r="N253" s="991"/>
      <c r="O253" s="991"/>
      <c r="P253" s="1045">
        <v>5</v>
      </c>
      <c r="Q253" s="991">
        <v>5</v>
      </c>
      <c r="R253" s="991"/>
      <c r="S253" s="991"/>
      <c r="T253" s="1045">
        <v>5</v>
      </c>
      <c r="U253" s="991">
        <v>5</v>
      </c>
      <c r="V253" s="991"/>
      <c r="W253" s="991"/>
      <c r="X253" s="1042" t="s">
        <v>2945</v>
      </c>
    </row>
    <row r="254" spans="1:24" ht="15">
      <c r="A254" s="991" t="s">
        <v>4363</v>
      </c>
      <c r="B254" s="1249" t="s">
        <v>4230</v>
      </c>
      <c r="C254" s="1250">
        <v>20</v>
      </c>
      <c r="D254" s="1251" t="s">
        <v>189</v>
      </c>
      <c r="E254" s="1250">
        <v>13.78</v>
      </c>
      <c r="F254" s="1252">
        <v>275.60000000000002</v>
      </c>
      <c r="G254" s="991" t="s">
        <v>2949</v>
      </c>
      <c r="H254" s="1045">
        <v>10</v>
      </c>
      <c r="I254" s="1045">
        <v>10</v>
      </c>
      <c r="J254" s="991"/>
      <c r="K254" s="991"/>
      <c r="L254" s="1045">
        <v>0</v>
      </c>
      <c r="M254" s="991"/>
      <c r="N254" s="991"/>
      <c r="O254" s="991"/>
      <c r="P254" s="1045">
        <v>10</v>
      </c>
      <c r="Q254" s="991">
        <v>10</v>
      </c>
      <c r="R254" s="991"/>
      <c r="S254" s="991"/>
      <c r="T254" s="1045">
        <v>0</v>
      </c>
      <c r="U254" s="991"/>
      <c r="V254" s="991"/>
      <c r="W254" s="991"/>
      <c r="X254" s="1042" t="s">
        <v>2945</v>
      </c>
    </row>
    <row r="255" spans="1:24" ht="23.25">
      <c r="A255" s="991" t="s">
        <v>4363</v>
      </c>
      <c r="B255" s="1249" t="s">
        <v>4309</v>
      </c>
      <c r="C255" s="1250">
        <v>40</v>
      </c>
      <c r="D255" s="1251" t="s">
        <v>3912</v>
      </c>
      <c r="E255" s="1250">
        <v>165.65</v>
      </c>
      <c r="F255" s="1252">
        <v>6626</v>
      </c>
      <c r="G255" s="991" t="s">
        <v>2949</v>
      </c>
      <c r="H255" s="1045">
        <v>10</v>
      </c>
      <c r="I255" s="1045">
        <v>10</v>
      </c>
      <c r="J255" s="991"/>
      <c r="K255" s="991"/>
      <c r="L255" s="1045">
        <v>10</v>
      </c>
      <c r="M255" s="991">
        <v>10</v>
      </c>
      <c r="N255" s="991"/>
      <c r="O255" s="991"/>
      <c r="P255" s="1045">
        <v>10</v>
      </c>
      <c r="Q255" s="991">
        <v>10</v>
      </c>
      <c r="R255" s="991"/>
      <c r="S255" s="991"/>
      <c r="T255" s="1045">
        <v>10</v>
      </c>
      <c r="U255" s="991">
        <v>10</v>
      </c>
      <c r="V255" s="991"/>
      <c r="W255" s="991"/>
      <c r="X255" s="1042" t="s">
        <v>2945</v>
      </c>
    </row>
    <row r="256" spans="1:24" ht="23.25">
      <c r="A256" s="991" t="s">
        <v>4363</v>
      </c>
      <c r="B256" s="1249" t="s">
        <v>4310</v>
      </c>
      <c r="C256" s="1250">
        <v>360</v>
      </c>
      <c r="D256" s="1251" t="s">
        <v>3912</v>
      </c>
      <c r="E256" s="1250">
        <v>189.18</v>
      </c>
      <c r="F256" s="1252">
        <v>68104.800000000003</v>
      </c>
      <c r="G256" s="991" t="s">
        <v>2949</v>
      </c>
      <c r="H256" s="1045">
        <v>90</v>
      </c>
      <c r="I256" s="1045">
        <v>30</v>
      </c>
      <c r="J256" s="991">
        <v>30</v>
      </c>
      <c r="K256" s="991">
        <v>30</v>
      </c>
      <c r="L256" s="1045">
        <v>90</v>
      </c>
      <c r="M256" s="991">
        <v>30</v>
      </c>
      <c r="N256" s="991">
        <v>30</v>
      </c>
      <c r="O256" s="991">
        <v>30</v>
      </c>
      <c r="P256" s="1045">
        <v>90</v>
      </c>
      <c r="Q256" s="991">
        <v>30</v>
      </c>
      <c r="R256" s="991">
        <v>30</v>
      </c>
      <c r="S256" s="991">
        <v>30</v>
      </c>
      <c r="T256" s="1045">
        <v>90</v>
      </c>
      <c r="U256" s="991">
        <v>30</v>
      </c>
      <c r="V256" s="991">
        <v>30</v>
      </c>
      <c r="W256" s="991">
        <v>30</v>
      </c>
      <c r="X256" s="1042" t="s">
        <v>2945</v>
      </c>
    </row>
    <row r="257" spans="1:24" ht="15">
      <c r="A257" s="991" t="s">
        <v>4363</v>
      </c>
      <c r="B257" s="1249" t="s">
        <v>3652</v>
      </c>
      <c r="C257" s="1250">
        <v>24</v>
      </c>
      <c r="D257" s="1251" t="s">
        <v>189</v>
      </c>
      <c r="E257" s="1250">
        <v>20.79</v>
      </c>
      <c r="F257" s="1252">
        <v>498.96</v>
      </c>
      <c r="G257" s="991" t="s">
        <v>342</v>
      </c>
      <c r="H257" s="1045">
        <v>6</v>
      </c>
      <c r="I257" s="1045">
        <v>2</v>
      </c>
      <c r="J257" s="991">
        <v>2</v>
      </c>
      <c r="K257" s="991">
        <v>2</v>
      </c>
      <c r="L257" s="1045">
        <v>6</v>
      </c>
      <c r="M257" s="991">
        <v>2</v>
      </c>
      <c r="N257" s="991">
        <v>2</v>
      </c>
      <c r="O257" s="991">
        <v>2</v>
      </c>
      <c r="P257" s="1045">
        <v>6</v>
      </c>
      <c r="Q257" s="991">
        <v>2</v>
      </c>
      <c r="R257" s="991">
        <v>2</v>
      </c>
      <c r="S257" s="991">
        <v>2</v>
      </c>
      <c r="T257" s="1045">
        <v>6</v>
      </c>
      <c r="U257" s="991">
        <v>2</v>
      </c>
      <c r="V257" s="991">
        <v>2</v>
      </c>
      <c r="W257" s="991">
        <v>2</v>
      </c>
      <c r="X257" s="1042" t="s">
        <v>2945</v>
      </c>
    </row>
    <row r="258" spans="1:24" ht="15">
      <c r="A258" s="991" t="s">
        <v>4363</v>
      </c>
      <c r="B258" s="1249" t="s">
        <v>4431</v>
      </c>
      <c r="C258" s="1250">
        <v>20</v>
      </c>
      <c r="D258" s="1251" t="s">
        <v>155</v>
      </c>
      <c r="E258" s="1250">
        <v>90</v>
      </c>
      <c r="F258" s="1252">
        <v>1800</v>
      </c>
      <c r="G258" s="991" t="s">
        <v>342</v>
      </c>
      <c r="H258" s="1045">
        <v>10</v>
      </c>
      <c r="I258" s="1045">
        <v>10</v>
      </c>
      <c r="J258" s="991"/>
      <c r="K258" s="991"/>
      <c r="L258" s="1045">
        <v>0</v>
      </c>
      <c r="M258" s="991">
        <v>0</v>
      </c>
      <c r="N258" s="991"/>
      <c r="O258" s="991"/>
      <c r="P258" s="1045">
        <v>10</v>
      </c>
      <c r="Q258" s="991">
        <v>10</v>
      </c>
      <c r="R258" s="991"/>
      <c r="S258" s="991"/>
      <c r="T258" s="1045">
        <v>0</v>
      </c>
      <c r="U258" s="991"/>
      <c r="V258" s="991"/>
      <c r="W258" s="991"/>
      <c r="X258" s="1042" t="s">
        <v>2945</v>
      </c>
    </row>
    <row r="259" spans="1:24" ht="15">
      <c r="A259" s="991" t="s">
        <v>4363</v>
      </c>
      <c r="B259" s="1249" t="s">
        <v>3668</v>
      </c>
      <c r="C259" s="1250">
        <v>20</v>
      </c>
      <c r="D259" s="1251" t="s">
        <v>4231</v>
      </c>
      <c r="E259" s="1250">
        <v>62.4</v>
      </c>
      <c r="F259" s="1252">
        <v>1248</v>
      </c>
      <c r="G259" s="991" t="s">
        <v>2949</v>
      </c>
      <c r="H259" s="1045">
        <v>10</v>
      </c>
      <c r="I259" s="1045">
        <v>10</v>
      </c>
      <c r="J259" s="991"/>
      <c r="K259" s="991"/>
      <c r="L259" s="1045">
        <v>0</v>
      </c>
      <c r="M259" s="991"/>
      <c r="N259" s="991"/>
      <c r="O259" s="991"/>
      <c r="P259" s="1045">
        <v>0</v>
      </c>
      <c r="Q259" s="991">
        <v>0</v>
      </c>
      <c r="R259" s="991"/>
      <c r="S259" s="991"/>
      <c r="T259" s="1045">
        <v>10</v>
      </c>
      <c r="U259" s="991">
        <v>10</v>
      </c>
      <c r="V259" s="991"/>
      <c r="W259" s="991"/>
      <c r="X259" s="1042" t="s">
        <v>2945</v>
      </c>
    </row>
    <row r="260" spans="1:24" ht="15">
      <c r="A260" s="991" t="s">
        <v>4363</v>
      </c>
      <c r="B260" s="1249" t="s">
        <v>3671</v>
      </c>
      <c r="C260" s="1250">
        <v>10</v>
      </c>
      <c r="D260" s="1251" t="s">
        <v>4231</v>
      </c>
      <c r="E260" s="1250">
        <v>104</v>
      </c>
      <c r="F260" s="1252">
        <v>1040</v>
      </c>
      <c r="G260" s="991" t="s">
        <v>2949</v>
      </c>
      <c r="H260" s="1045">
        <v>5</v>
      </c>
      <c r="I260" s="1045">
        <v>5</v>
      </c>
      <c r="J260" s="991"/>
      <c r="K260" s="991"/>
      <c r="L260" s="1045">
        <v>0</v>
      </c>
      <c r="M260" s="991"/>
      <c r="N260" s="991"/>
      <c r="O260" s="991"/>
      <c r="P260" s="1045">
        <v>0</v>
      </c>
      <c r="Q260" s="991">
        <v>0</v>
      </c>
      <c r="R260" s="991"/>
      <c r="S260" s="991"/>
      <c r="T260" s="1045">
        <v>5</v>
      </c>
      <c r="U260" s="991">
        <v>5</v>
      </c>
      <c r="V260" s="991"/>
      <c r="W260" s="991"/>
      <c r="X260" s="1042" t="s">
        <v>2945</v>
      </c>
    </row>
    <row r="261" spans="1:24" ht="23.25">
      <c r="A261" s="991" t="s">
        <v>4363</v>
      </c>
      <c r="B261" s="1249" t="s">
        <v>4432</v>
      </c>
      <c r="C261" s="1250">
        <v>25</v>
      </c>
      <c r="D261" s="1251" t="s">
        <v>103</v>
      </c>
      <c r="E261" s="1250">
        <v>50</v>
      </c>
      <c r="F261" s="1252">
        <v>1250</v>
      </c>
      <c r="G261" s="991" t="s">
        <v>342</v>
      </c>
      <c r="H261" s="1045">
        <v>5</v>
      </c>
      <c r="I261" s="1045">
        <v>5</v>
      </c>
      <c r="J261" s="991"/>
      <c r="K261" s="991"/>
      <c r="L261" s="1045">
        <v>10</v>
      </c>
      <c r="M261" s="991">
        <v>10</v>
      </c>
      <c r="N261" s="991"/>
      <c r="O261" s="991"/>
      <c r="P261" s="1045">
        <v>0</v>
      </c>
      <c r="Q261" s="991">
        <v>0</v>
      </c>
      <c r="R261" s="991"/>
      <c r="S261" s="991"/>
      <c r="T261" s="1045">
        <v>10</v>
      </c>
      <c r="U261" s="991">
        <v>10</v>
      </c>
      <c r="V261" s="991"/>
      <c r="W261" s="991"/>
      <c r="X261" s="1042" t="s">
        <v>2945</v>
      </c>
    </row>
    <row r="262" spans="1:24" ht="23.25">
      <c r="A262" s="991" t="s">
        <v>4363</v>
      </c>
      <c r="B262" s="1249" t="s">
        <v>4433</v>
      </c>
      <c r="C262" s="1250">
        <v>25</v>
      </c>
      <c r="D262" s="1251" t="s">
        <v>103</v>
      </c>
      <c r="E262" s="1250">
        <v>70</v>
      </c>
      <c r="F262" s="1252">
        <v>1750</v>
      </c>
      <c r="G262" s="991" t="s">
        <v>342</v>
      </c>
      <c r="H262" s="1045">
        <v>5</v>
      </c>
      <c r="I262" s="1045">
        <v>5</v>
      </c>
      <c r="J262" s="991"/>
      <c r="K262" s="991"/>
      <c r="L262" s="1045">
        <v>10</v>
      </c>
      <c r="M262" s="991">
        <v>10</v>
      </c>
      <c r="N262" s="991"/>
      <c r="O262" s="991"/>
      <c r="P262" s="1045">
        <v>0</v>
      </c>
      <c r="Q262" s="991">
        <v>0</v>
      </c>
      <c r="R262" s="991"/>
      <c r="S262" s="991"/>
      <c r="T262" s="1045">
        <v>10</v>
      </c>
      <c r="U262" s="991">
        <v>10</v>
      </c>
      <c r="V262" s="991"/>
      <c r="W262" s="991"/>
      <c r="X262" s="1042" t="s">
        <v>2945</v>
      </c>
    </row>
    <row r="263" spans="1:24" ht="15">
      <c r="A263" s="991" t="s">
        <v>4363</v>
      </c>
      <c r="B263" s="1249" t="s">
        <v>3679</v>
      </c>
      <c r="C263" s="1250">
        <v>12</v>
      </c>
      <c r="D263" s="1251" t="s">
        <v>189</v>
      </c>
      <c r="E263" s="1250">
        <v>135.19999999999999</v>
      </c>
      <c r="F263" s="1252">
        <v>1622.4</v>
      </c>
      <c r="G263" s="991" t="s">
        <v>2949</v>
      </c>
      <c r="H263" s="1045">
        <v>3</v>
      </c>
      <c r="I263" s="1045">
        <v>3</v>
      </c>
      <c r="J263" s="991"/>
      <c r="K263" s="991"/>
      <c r="L263" s="1045">
        <v>3</v>
      </c>
      <c r="M263" s="991">
        <v>3</v>
      </c>
      <c r="N263" s="991"/>
      <c r="O263" s="991"/>
      <c r="P263" s="1045">
        <v>3</v>
      </c>
      <c r="Q263" s="991">
        <v>3</v>
      </c>
      <c r="R263" s="991"/>
      <c r="S263" s="991"/>
      <c r="T263" s="1045">
        <v>3</v>
      </c>
      <c r="U263" s="991">
        <v>3</v>
      </c>
      <c r="V263" s="991"/>
      <c r="W263" s="991"/>
      <c r="X263" s="1042" t="s">
        <v>2945</v>
      </c>
    </row>
    <row r="264" spans="1:24" ht="15">
      <c r="A264" s="991" t="s">
        <v>4363</v>
      </c>
      <c r="B264" s="1249" t="s">
        <v>4434</v>
      </c>
      <c r="C264" s="1250">
        <v>10</v>
      </c>
      <c r="D264" s="1251" t="s">
        <v>103</v>
      </c>
      <c r="E264" s="1250">
        <v>40</v>
      </c>
      <c r="F264" s="1252">
        <v>400</v>
      </c>
      <c r="G264" s="991" t="s">
        <v>342</v>
      </c>
      <c r="H264" s="1045">
        <v>5</v>
      </c>
      <c r="I264" s="1045">
        <v>5</v>
      </c>
      <c r="J264" s="991"/>
      <c r="K264" s="991"/>
      <c r="L264" s="1045">
        <v>0</v>
      </c>
      <c r="M264" s="991">
        <v>0</v>
      </c>
      <c r="N264" s="991"/>
      <c r="O264" s="991"/>
      <c r="P264" s="1045">
        <v>5</v>
      </c>
      <c r="Q264" s="991">
        <v>5</v>
      </c>
      <c r="R264" s="991"/>
      <c r="S264" s="991"/>
      <c r="T264" s="1045">
        <v>0</v>
      </c>
      <c r="U264" s="991">
        <v>0</v>
      </c>
      <c r="V264" s="991"/>
      <c r="W264" s="991"/>
      <c r="X264" s="1042" t="s">
        <v>2945</v>
      </c>
    </row>
    <row r="265" spans="1:24" ht="15">
      <c r="A265" s="991" t="s">
        <v>4363</v>
      </c>
      <c r="B265" s="1249" t="s">
        <v>3650</v>
      </c>
      <c r="C265" s="1250">
        <v>1</v>
      </c>
      <c r="D265" s="1251" t="s">
        <v>103</v>
      </c>
      <c r="E265" s="1250">
        <v>212.87</v>
      </c>
      <c r="F265" s="1252">
        <v>212.87</v>
      </c>
      <c r="G265" s="991" t="s">
        <v>2949</v>
      </c>
      <c r="H265" s="1045">
        <v>1</v>
      </c>
      <c r="I265" s="1045">
        <v>1</v>
      </c>
      <c r="J265" s="991"/>
      <c r="K265" s="991"/>
      <c r="L265" s="1045">
        <v>0</v>
      </c>
      <c r="M265" s="991">
        <v>0</v>
      </c>
      <c r="N265" s="991"/>
      <c r="O265" s="991"/>
      <c r="P265" s="1045">
        <v>0</v>
      </c>
      <c r="Q265" s="991">
        <v>0</v>
      </c>
      <c r="R265" s="991"/>
      <c r="S265" s="991"/>
      <c r="T265" s="1045">
        <v>0</v>
      </c>
      <c r="U265" s="991">
        <v>0</v>
      </c>
      <c r="V265" s="991"/>
      <c r="W265" s="991"/>
      <c r="X265" s="1042" t="s">
        <v>2945</v>
      </c>
    </row>
    <row r="266" spans="1:24" ht="15">
      <c r="A266" s="991" t="s">
        <v>4363</v>
      </c>
      <c r="B266" s="1249" t="s">
        <v>4313</v>
      </c>
      <c r="C266" s="1250">
        <v>360</v>
      </c>
      <c r="D266" s="1251" t="s">
        <v>103</v>
      </c>
      <c r="E266" s="1250">
        <v>22.2</v>
      </c>
      <c r="F266" s="1252">
        <v>7992</v>
      </c>
      <c r="G266" s="991" t="s">
        <v>2949</v>
      </c>
      <c r="H266" s="1045">
        <v>90</v>
      </c>
      <c r="I266" s="1045">
        <v>30</v>
      </c>
      <c r="J266" s="991">
        <v>30</v>
      </c>
      <c r="K266" s="991">
        <v>30</v>
      </c>
      <c r="L266" s="1045">
        <v>90</v>
      </c>
      <c r="M266" s="991">
        <v>30</v>
      </c>
      <c r="N266" s="991">
        <v>30</v>
      </c>
      <c r="O266" s="991">
        <v>30</v>
      </c>
      <c r="P266" s="1045">
        <v>90</v>
      </c>
      <c r="Q266" s="991">
        <v>30</v>
      </c>
      <c r="R266" s="991">
        <v>30</v>
      </c>
      <c r="S266" s="991">
        <v>30</v>
      </c>
      <c r="T266" s="1045">
        <v>90</v>
      </c>
      <c r="U266" s="991">
        <v>30</v>
      </c>
      <c r="V266" s="991">
        <v>30</v>
      </c>
      <c r="W266" s="991">
        <v>30</v>
      </c>
      <c r="X266" s="1042" t="s">
        <v>2945</v>
      </c>
    </row>
    <row r="267" spans="1:24" ht="15">
      <c r="A267" s="991" t="s">
        <v>4363</v>
      </c>
      <c r="B267" s="1249" t="s">
        <v>3703</v>
      </c>
      <c r="C267" s="1250">
        <v>120</v>
      </c>
      <c r="D267" s="1251" t="s">
        <v>189</v>
      </c>
      <c r="E267" s="1250">
        <v>23.76</v>
      </c>
      <c r="F267" s="1252">
        <v>2851.2</v>
      </c>
      <c r="G267" s="991" t="s">
        <v>2949</v>
      </c>
      <c r="H267" s="1045">
        <v>30</v>
      </c>
      <c r="I267" s="1045">
        <v>10</v>
      </c>
      <c r="J267" s="991">
        <v>10</v>
      </c>
      <c r="K267" s="991">
        <v>10</v>
      </c>
      <c r="L267" s="1045">
        <v>30</v>
      </c>
      <c r="M267" s="991">
        <v>10</v>
      </c>
      <c r="N267" s="991">
        <v>10</v>
      </c>
      <c r="O267" s="991">
        <v>10</v>
      </c>
      <c r="P267" s="1045">
        <v>30</v>
      </c>
      <c r="Q267" s="991">
        <v>10</v>
      </c>
      <c r="R267" s="991">
        <v>10</v>
      </c>
      <c r="S267" s="991">
        <v>10</v>
      </c>
      <c r="T267" s="1045">
        <v>30</v>
      </c>
      <c r="U267" s="991">
        <v>10</v>
      </c>
      <c r="V267" s="991">
        <v>10</v>
      </c>
      <c r="W267" s="991">
        <v>10</v>
      </c>
      <c r="X267" s="1042" t="s">
        <v>2945</v>
      </c>
    </row>
    <row r="268" spans="1:24" ht="15">
      <c r="A268" s="991" t="s">
        <v>4363</v>
      </c>
      <c r="B268" s="1249" t="s">
        <v>3707</v>
      </c>
      <c r="C268" s="1250">
        <v>5</v>
      </c>
      <c r="D268" s="1251" t="s">
        <v>103</v>
      </c>
      <c r="E268" s="1250">
        <v>145.6</v>
      </c>
      <c r="F268" s="1252">
        <v>728</v>
      </c>
      <c r="G268" s="991" t="s">
        <v>2949</v>
      </c>
      <c r="H268" s="1045">
        <v>5</v>
      </c>
      <c r="I268" s="1045">
        <v>5</v>
      </c>
      <c r="J268" s="991"/>
      <c r="K268" s="991"/>
      <c r="L268" s="1045">
        <v>0</v>
      </c>
      <c r="M268" s="991">
        <v>0</v>
      </c>
      <c r="N268" s="991"/>
      <c r="O268" s="991"/>
      <c r="P268" s="1045">
        <v>0</v>
      </c>
      <c r="Q268" s="991">
        <v>0</v>
      </c>
      <c r="R268" s="991"/>
      <c r="S268" s="991"/>
      <c r="T268" s="1045">
        <v>0</v>
      </c>
      <c r="U268" s="991">
        <v>0</v>
      </c>
      <c r="V268" s="991"/>
      <c r="W268" s="991"/>
      <c r="X268" s="1042" t="s">
        <v>2945</v>
      </c>
    </row>
    <row r="269" spans="1:24" ht="15">
      <c r="A269" s="991" t="s">
        <v>4363</v>
      </c>
      <c r="B269" s="1249" t="s">
        <v>3619</v>
      </c>
      <c r="C269" s="1250">
        <v>120</v>
      </c>
      <c r="D269" s="1251" t="s">
        <v>4229</v>
      </c>
      <c r="E269" s="1250">
        <v>52</v>
      </c>
      <c r="F269" s="1252">
        <v>6240</v>
      </c>
      <c r="G269" s="991" t="s">
        <v>2949</v>
      </c>
      <c r="H269" s="1045">
        <v>30</v>
      </c>
      <c r="I269" s="1045">
        <v>10</v>
      </c>
      <c r="J269" s="991">
        <v>10</v>
      </c>
      <c r="K269" s="991">
        <v>10</v>
      </c>
      <c r="L269" s="1045">
        <v>30</v>
      </c>
      <c r="M269" s="991">
        <v>10</v>
      </c>
      <c r="N269" s="991">
        <v>10</v>
      </c>
      <c r="O269" s="991">
        <v>10</v>
      </c>
      <c r="P269" s="1045">
        <v>30</v>
      </c>
      <c r="Q269" s="991">
        <v>10</v>
      </c>
      <c r="R269" s="991">
        <v>10</v>
      </c>
      <c r="S269" s="991">
        <v>10</v>
      </c>
      <c r="T269" s="1045">
        <v>30</v>
      </c>
      <c r="U269" s="991">
        <v>10</v>
      </c>
      <c r="V269" s="991">
        <v>10</v>
      </c>
      <c r="W269" s="991">
        <v>10</v>
      </c>
      <c r="X269" s="1042" t="s">
        <v>2945</v>
      </c>
    </row>
    <row r="270" spans="1:24" ht="15">
      <c r="A270" s="991" t="s">
        <v>4363</v>
      </c>
      <c r="B270" s="1249" t="s">
        <v>4234</v>
      </c>
      <c r="C270" s="1250">
        <v>2</v>
      </c>
      <c r="D270" s="1251" t="s">
        <v>92</v>
      </c>
      <c r="E270" s="1250">
        <v>72.8</v>
      </c>
      <c r="F270" s="1252">
        <v>145.6</v>
      </c>
      <c r="G270" s="991" t="s">
        <v>2949</v>
      </c>
      <c r="H270" s="1045">
        <v>2</v>
      </c>
      <c r="I270" s="1045">
        <v>2</v>
      </c>
      <c r="J270" s="991"/>
      <c r="K270" s="991"/>
      <c r="L270" s="1045">
        <v>0</v>
      </c>
      <c r="M270" s="991">
        <v>0</v>
      </c>
      <c r="N270" s="991"/>
      <c r="O270" s="991"/>
      <c r="P270" s="1045">
        <v>0</v>
      </c>
      <c r="Q270" s="991">
        <v>0</v>
      </c>
      <c r="R270" s="991"/>
      <c r="S270" s="991"/>
      <c r="T270" s="1045">
        <v>0</v>
      </c>
      <c r="U270" s="991">
        <v>0</v>
      </c>
      <c r="V270" s="991"/>
      <c r="W270" s="991"/>
      <c r="X270" s="1042" t="s">
        <v>2945</v>
      </c>
    </row>
    <row r="271" spans="1:24" ht="15">
      <c r="A271" s="991" t="s">
        <v>4363</v>
      </c>
      <c r="B271" s="1249" t="s">
        <v>3723</v>
      </c>
      <c r="C271" s="1250">
        <v>144</v>
      </c>
      <c r="D271" s="1251" t="s">
        <v>263</v>
      </c>
      <c r="E271" s="1250">
        <v>11.18</v>
      </c>
      <c r="F271" s="1252">
        <v>1609.92</v>
      </c>
      <c r="G271" s="991" t="s">
        <v>2949</v>
      </c>
      <c r="H271" s="1045">
        <v>36</v>
      </c>
      <c r="I271" s="1045">
        <v>12</v>
      </c>
      <c r="J271" s="991">
        <v>12</v>
      </c>
      <c r="K271" s="991">
        <v>12</v>
      </c>
      <c r="L271" s="1045">
        <v>36</v>
      </c>
      <c r="M271" s="991">
        <v>12</v>
      </c>
      <c r="N271" s="991">
        <v>12</v>
      </c>
      <c r="O271" s="991">
        <v>12</v>
      </c>
      <c r="P271" s="1045">
        <v>36</v>
      </c>
      <c r="Q271" s="991">
        <v>12</v>
      </c>
      <c r="R271" s="991">
        <v>12</v>
      </c>
      <c r="S271" s="991">
        <v>12</v>
      </c>
      <c r="T271" s="1045">
        <v>36</v>
      </c>
      <c r="U271" s="991">
        <v>12</v>
      </c>
      <c r="V271" s="991">
        <v>12</v>
      </c>
      <c r="W271" s="991">
        <v>12</v>
      </c>
      <c r="X271" s="1042" t="s">
        <v>2945</v>
      </c>
    </row>
    <row r="272" spans="1:24" ht="15">
      <c r="A272" s="991" t="s">
        <v>4363</v>
      </c>
      <c r="B272" s="1249" t="s">
        <v>3717</v>
      </c>
      <c r="C272" s="1250">
        <v>20</v>
      </c>
      <c r="D272" s="1251" t="s">
        <v>263</v>
      </c>
      <c r="E272" s="1250">
        <v>61.88</v>
      </c>
      <c r="F272" s="1252">
        <v>1237.5999999999999</v>
      </c>
      <c r="G272" s="991" t="s">
        <v>2949</v>
      </c>
      <c r="H272" s="1045">
        <v>10</v>
      </c>
      <c r="I272" s="1045">
        <v>10</v>
      </c>
      <c r="J272" s="991"/>
      <c r="K272" s="991"/>
      <c r="L272" s="1045">
        <v>0</v>
      </c>
      <c r="M272" s="991"/>
      <c r="N272" s="991"/>
      <c r="O272" s="991"/>
      <c r="P272" s="1045">
        <v>10</v>
      </c>
      <c r="Q272" s="991">
        <v>10</v>
      </c>
      <c r="R272" s="991"/>
      <c r="S272" s="991"/>
      <c r="T272" s="1045">
        <v>0</v>
      </c>
      <c r="U272" s="991">
        <v>0</v>
      </c>
      <c r="V272" s="991"/>
      <c r="W272" s="991"/>
      <c r="X272" s="1042" t="s">
        <v>2945</v>
      </c>
    </row>
    <row r="273" spans="1:24" ht="23.25">
      <c r="A273" s="991" t="s">
        <v>4363</v>
      </c>
      <c r="B273" s="1249" t="s">
        <v>4384</v>
      </c>
      <c r="C273" s="1250">
        <v>80</v>
      </c>
      <c r="D273" s="1251" t="s">
        <v>103</v>
      </c>
      <c r="E273" s="1250">
        <v>600</v>
      </c>
      <c r="F273" s="1252">
        <v>48000</v>
      </c>
      <c r="G273" s="991" t="s">
        <v>342</v>
      </c>
      <c r="H273" s="1045">
        <v>20</v>
      </c>
      <c r="I273" s="1045">
        <v>20</v>
      </c>
      <c r="J273" s="991"/>
      <c r="K273" s="991"/>
      <c r="L273" s="1045">
        <v>20</v>
      </c>
      <c r="M273" s="991">
        <v>20</v>
      </c>
      <c r="N273" s="991"/>
      <c r="O273" s="991"/>
      <c r="P273" s="1045">
        <v>20</v>
      </c>
      <c r="Q273" s="991">
        <v>20</v>
      </c>
      <c r="R273" s="991"/>
      <c r="S273" s="991"/>
      <c r="T273" s="1045">
        <v>20</v>
      </c>
      <c r="U273" s="991">
        <v>20</v>
      </c>
      <c r="V273" s="991"/>
      <c r="W273" s="991"/>
      <c r="X273" s="1042" t="s">
        <v>2945</v>
      </c>
    </row>
    <row r="274" spans="1:24" ht="15">
      <c r="A274" s="991" t="s">
        <v>4435</v>
      </c>
      <c r="B274" s="1249" t="s">
        <v>528</v>
      </c>
      <c r="C274" s="1250">
        <v>12</v>
      </c>
      <c r="D274" s="1251" t="s">
        <v>633</v>
      </c>
      <c r="E274" s="1250">
        <v>249.6</v>
      </c>
      <c r="F274" s="1252">
        <v>2995.2</v>
      </c>
      <c r="G274" s="991" t="s">
        <v>2949</v>
      </c>
      <c r="H274" s="1045">
        <v>3</v>
      </c>
      <c r="I274" s="1045">
        <v>1</v>
      </c>
      <c r="J274" s="991">
        <v>1</v>
      </c>
      <c r="K274" s="991">
        <v>1</v>
      </c>
      <c r="L274" s="1045">
        <v>3</v>
      </c>
      <c r="M274" s="991">
        <v>1</v>
      </c>
      <c r="N274" s="991">
        <v>1</v>
      </c>
      <c r="O274" s="991">
        <v>1</v>
      </c>
      <c r="P274" s="1045">
        <v>3</v>
      </c>
      <c r="Q274" s="991">
        <v>1</v>
      </c>
      <c r="R274" s="991">
        <v>1</v>
      </c>
      <c r="S274" s="991">
        <v>1</v>
      </c>
      <c r="T274" s="1045">
        <v>3</v>
      </c>
      <c r="U274" s="991">
        <v>1</v>
      </c>
      <c r="V274" s="991">
        <v>1</v>
      </c>
      <c r="W274" s="991">
        <v>1</v>
      </c>
      <c r="X274" s="1042" t="s">
        <v>2945</v>
      </c>
    </row>
    <row r="275" spans="1:24" ht="15">
      <c r="A275" s="991" t="s">
        <v>4435</v>
      </c>
      <c r="B275" s="1249" t="s">
        <v>529</v>
      </c>
      <c r="C275" s="1250">
        <v>12</v>
      </c>
      <c r="D275" s="1251" t="s">
        <v>633</v>
      </c>
      <c r="E275" s="1250">
        <v>249.6</v>
      </c>
      <c r="F275" s="1252">
        <v>2995.2</v>
      </c>
      <c r="G275" s="991" t="s">
        <v>2949</v>
      </c>
      <c r="H275" s="1045">
        <v>3</v>
      </c>
      <c r="I275" s="1045">
        <v>1</v>
      </c>
      <c r="J275" s="991">
        <v>1</v>
      </c>
      <c r="K275" s="991">
        <v>1</v>
      </c>
      <c r="L275" s="1045">
        <v>3</v>
      </c>
      <c r="M275" s="991">
        <v>1</v>
      </c>
      <c r="N275" s="991">
        <v>1</v>
      </c>
      <c r="O275" s="991">
        <v>1</v>
      </c>
      <c r="P275" s="1045">
        <v>3</v>
      </c>
      <c r="Q275" s="991">
        <v>1</v>
      </c>
      <c r="R275" s="991">
        <v>1</v>
      </c>
      <c r="S275" s="991">
        <v>1</v>
      </c>
      <c r="T275" s="1045">
        <v>3</v>
      </c>
      <c r="U275" s="991">
        <v>1</v>
      </c>
      <c r="V275" s="991">
        <v>1</v>
      </c>
      <c r="W275" s="991">
        <v>1</v>
      </c>
      <c r="X275" s="1042" t="s">
        <v>2945</v>
      </c>
    </row>
    <row r="276" spans="1:24" ht="15">
      <c r="A276" s="991" t="s">
        <v>4435</v>
      </c>
      <c r="B276" s="1249" t="s">
        <v>530</v>
      </c>
      <c r="C276" s="1250">
        <v>12</v>
      </c>
      <c r="D276" s="1251" t="s">
        <v>633</v>
      </c>
      <c r="E276" s="1250">
        <v>249.6</v>
      </c>
      <c r="F276" s="1252">
        <v>2995.2</v>
      </c>
      <c r="G276" s="991" t="s">
        <v>2949</v>
      </c>
      <c r="H276" s="1045">
        <v>3</v>
      </c>
      <c r="I276" s="1045">
        <v>1</v>
      </c>
      <c r="J276" s="991">
        <v>1</v>
      </c>
      <c r="K276" s="991">
        <v>1</v>
      </c>
      <c r="L276" s="1045">
        <v>3</v>
      </c>
      <c r="M276" s="991">
        <v>1</v>
      </c>
      <c r="N276" s="991">
        <v>1</v>
      </c>
      <c r="O276" s="991">
        <v>1</v>
      </c>
      <c r="P276" s="1045">
        <v>3</v>
      </c>
      <c r="Q276" s="991">
        <v>1</v>
      </c>
      <c r="R276" s="991">
        <v>1</v>
      </c>
      <c r="S276" s="991">
        <v>1</v>
      </c>
      <c r="T276" s="1045">
        <v>3</v>
      </c>
      <c r="U276" s="991">
        <v>1</v>
      </c>
      <c r="V276" s="991">
        <v>1</v>
      </c>
      <c r="W276" s="991">
        <v>1</v>
      </c>
      <c r="X276" s="1042" t="s">
        <v>2945</v>
      </c>
    </row>
    <row r="277" spans="1:24" ht="15">
      <c r="A277" s="991" t="s">
        <v>4435</v>
      </c>
      <c r="B277" s="1249" t="s">
        <v>531</v>
      </c>
      <c r="C277" s="1250">
        <v>12</v>
      </c>
      <c r="D277" s="1251" t="s">
        <v>633</v>
      </c>
      <c r="E277" s="1250">
        <v>249.6</v>
      </c>
      <c r="F277" s="1252">
        <v>2995.2</v>
      </c>
      <c r="G277" s="991" t="s">
        <v>2949</v>
      </c>
      <c r="H277" s="1045">
        <v>3</v>
      </c>
      <c r="I277" s="1045">
        <v>1</v>
      </c>
      <c r="J277" s="991">
        <v>1</v>
      </c>
      <c r="K277" s="991">
        <v>1</v>
      </c>
      <c r="L277" s="1045">
        <v>3</v>
      </c>
      <c r="M277" s="991">
        <v>1</v>
      </c>
      <c r="N277" s="991">
        <v>1</v>
      </c>
      <c r="O277" s="991">
        <v>1</v>
      </c>
      <c r="P277" s="1045">
        <v>3</v>
      </c>
      <c r="Q277" s="991">
        <v>1</v>
      </c>
      <c r="R277" s="991">
        <v>1</v>
      </c>
      <c r="S277" s="991">
        <v>1</v>
      </c>
      <c r="T277" s="1045">
        <v>3</v>
      </c>
      <c r="U277" s="991">
        <v>1</v>
      </c>
      <c r="V277" s="991">
        <v>1</v>
      </c>
      <c r="W277" s="991">
        <v>1</v>
      </c>
      <c r="X277" s="1042" t="s">
        <v>2945</v>
      </c>
    </row>
    <row r="278" spans="1:24" ht="23.25">
      <c r="A278" s="991" t="s">
        <v>4435</v>
      </c>
      <c r="B278" s="1249" t="s">
        <v>547</v>
      </c>
      <c r="C278" s="1250">
        <v>36</v>
      </c>
      <c r="D278" s="1251" t="s">
        <v>103</v>
      </c>
      <c r="E278" s="1250">
        <v>380</v>
      </c>
      <c r="F278" s="1252">
        <v>13680</v>
      </c>
      <c r="G278" s="991" t="s">
        <v>342</v>
      </c>
      <c r="H278" s="1045">
        <v>9</v>
      </c>
      <c r="I278" s="1045">
        <v>3</v>
      </c>
      <c r="J278" s="991">
        <v>3</v>
      </c>
      <c r="K278" s="991">
        <v>3</v>
      </c>
      <c r="L278" s="1045">
        <v>9</v>
      </c>
      <c r="M278" s="991">
        <v>3</v>
      </c>
      <c r="N278" s="991">
        <v>3</v>
      </c>
      <c r="O278" s="991">
        <v>3</v>
      </c>
      <c r="P278" s="1045">
        <v>9</v>
      </c>
      <c r="Q278" s="991">
        <v>3</v>
      </c>
      <c r="R278" s="991">
        <v>3</v>
      </c>
      <c r="S278" s="991">
        <v>3</v>
      </c>
      <c r="T278" s="1045">
        <v>9</v>
      </c>
      <c r="U278" s="991">
        <v>3</v>
      </c>
      <c r="V278" s="991">
        <v>3</v>
      </c>
      <c r="W278" s="991">
        <v>3</v>
      </c>
      <c r="X278" s="1042" t="s">
        <v>2945</v>
      </c>
    </row>
    <row r="279" spans="1:24" ht="23.25">
      <c r="A279" s="991" t="s">
        <v>4435</v>
      </c>
      <c r="B279" s="1249" t="s">
        <v>548</v>
      </c>
      <c r="C279" s="1250">
        <v>36</v>
      </c>
      <c r="D279" s="1251" t="s">
        <v>103</v>
      </c>
      <c r="E279" s="1250">
        <v>380</v>
      </c>
      <c r="F279" s="1252">
        <v>13680</v>
      </c>
      <c r="G279" s="991" t="s">
        <v>342</v>
      </c>
      <c r="H279" s="1045">
        <v>9</v>
      </c>
      <c r="I279" s="1045">
        <v>3</v>
      </c>
      <c r="J279" s="991">
        <v>3</v>
      </c>
      <c r="K279" s="991">
        <v>3</v>
      </c>
      <c r="L279" s="1045">
        <v>9</v>
      </c>
      <c r="M279" s="991">
        <v>3</v>
      </c>
      <c r="N279" s="991">
        <v>3</v>
      </c>
      <c r="O279" s="991">
        <v>3</v>
      </c>
      <c r="P279" s="1045">
        <v>9</v>
      </c>
      <c r="Q279" s="991">
        <v>3</v>
      </c>
      <c r="R279" s="991">
        <v>3</v>
      </c>
      <c r="S279" s="991">
        <v>3</v>
      </c>
      <c r="T279" s="1045">
        <v>9</v>
      </c>
      <c r="U279" s="991">
        <v>3</v>
      </c>
      <c r="V279" s="991">
        <v>3</v>
      </c>
      <c r="W279" s="991">
        <v>3</v>
      </c>
      <c r="X279" s="1042" t="s">
        <v>2945</v>
      </c>
    </row>
    <row r="280" spans="1:24" ht="23.25">
      <c r="A280" s="991" t="s">
        <v>4435</v>
      </c>
      <c r="B280" s="1249" t="s">
        <v>549</v>
      </c>
      <c r="C280" s="1250">
        <v>36</v>
      </c>
      <c r="D280" s="1251" t="s">
        <v>103</v>
      </c>
      <c r="E280" s="1250">
        <v>380</v>
      </c>
      <c r="F280" s="1252">
        <v>13680</v>
      </c>
      <c r="G280" s="991" t="s">
        <v>342</v>
      </c>
      <c r="H280" s="1045">
        <v>9</v>
      </c>
      <c r="I280" s="1045">
        <v>3</v>
      </c>
      <c r="J280" s="991">
        <v>3</v>
      </c>
      <c r="K280" s="991">
        <v>3</v>
      </c>
      <c r="L280" s="1045">
        <v>9</v>
      </c>
      <c r="M280" s="991">
        <v>3</v>
      </c>
      <c r="N280" s="991">
        <v>3</v>
      </c>
      <c r="O280" s="991">
        <v>3</v>
      </c>
      <c r="P280" s="1045">
        <v>9</v>
      </c>
      <c r="Q280" s="991">
        <v>3</v>
      </c>
      <c r="R280" s="991">
        <v>3</v>
      </c>
      <c r="S280" s="991">
        <v>3</v>
      </c>
      <c r="T280" s="1045">
        <v>9</v>
      </c>
      <c r="U280" s="991">
        <v>3</v>
      </c>
      <c r="V280" s="991">
        <v>3</v>
      </c>
      <c r="W280" s="991">
        <v>3</v>
      </c>
      <c r="X280" s="1042" t="s">
        <v>2945</v>
      </c>
    </row>
    <row r="281" spans="1:24" ht="23.25">
      <c r="A281" s="991" t="s">
        <v>4435</v>
      </c>
      <c r="B281" s="1249" t="s">
        <v>550</v>
      </c>
      <c r="C281" s="1250">
        <v>36</v>
      </c>
      <c r="D281" s="1251" t="s">
        <v>103</v>
      </c>
      <c r="E281" s="1250">
        <v>380</v>
      </c>
      <c r="F281" s="1252">
        <v>13680</v>
      </c>
      <c r="G281" s="991" t="s">
        <v>342</v>
      </c>
      <c r="H281" s="1045">
        <v>9</v>
      </c>
      <c r="I281" s="1045">
        <v>3</v>
      </c>
      <c r="J281" s="991">
        <v>3</v>
      </c>
      <c r="K281" s="991">
        <v>3</v>
      </c>
      <c r="L281" s="1045">
        <v>9</v>
      </c>
      <c r="M281" s="991">
        <v>3</v>
      </c>
      <c r="N281" s="991">
        <v>3</v>
      </c>
      <c r="O281" s="991">
        <v>3</v>
      </c>
      <c r="P281" s="1045">
        <v>9</v>
      </c>
      <c r="Q281" s="991">
        <v>3</v>
      </c>
      <c r="R281" s="991">
        <v>3</v>
      </c>
      <c r="S281" s="991">
        <v>3</v>
      </c>
      <c r="T281" s="1045">
        <v>9</v>
      </c>
      <c r="U281" s="991">
        <v>3</v>
      </c>
      <c r="V281" s="991">
        <v>3</v>
      </c>
      <c r="W281" s="991">
        <v>3</v>
      </c>
      <c r="X281" s="1042" t="s">
        <v>2945</v>
      </c>
    </row>
    <row r="282" spans="1:24" ht="15">
      <c r="A282" s="991" t="s">
        <v>4435</v>
      </c>
      <c r="B282" s="1249" t="s">
        <v>3168</v>
      </c>
      <c r="C282" s="1250">
        <v>1</v>
      </c>
      <c r="D282" s="1251" t="s">
        <v>103</v>
      </c>
      <c r="E282" s="1253">
        <v>14500</v>
      </c>
      <c r="F282" s="1252">
        <v>14500</v>
      </c>
      <c r="G282" s="991" t="s">
        <v>342</v>
      </c>
      <c r="H282" s="1045">
        <v>1</v>
      </c>
      <c r="I282" s="1045">
        <v>1</v>
      </c>
      <c r="J282" s="991"/>
      <c r="K282" s="991"/>
      <c r="L282" s="1045">
        <v>0</v>
      </c>
      <c r="M282" s="991">
        <v>0</v>
      </c>
      <c r="N282" s="991"/>
      <c r="O282" s="991"/>
      <c r="P282" s="1045">
        <v>0</v>
      </c>
      <c r="Q282" s="991">
        <v>0</v>
      </c>
      <c r="R282" s="991"/>
      <c r="S282" s="991"/>
      <c r="T282" s="1045">
        <v>0</v>
      </c>
      <c r="U282" s="991">
        <v>0</v>
      </c>
      <c r="V282" s="991"/>
      <c r="W282" s="991"/>
      <c r="X282" s="1042" t="s">
        <v>2945</v>
      </c>
    </row>
    <row r="283" spans="1:24" ht="15">
      <c r="A283" s="991" t="s">
        <v>4435</v>
      </c>
      <c r="B283" s="1249" t="s">
        <v>2953</v>
      </c>
      <c r="C283" s="1250">
        <v>24</v>
      </c>
      <c r="D283" s="1251" t="s">
        <v>103</v>
      </c>
      <c r="E283" s="1253">
        <v>8800</v>
      </c>
      <c r="F283" s="1252">
        <v>211200</v>
      </c>
      <c r="G283" s="991" t="s">
        <v>342</v>
      </c>
      <c r="H283" s="1045">
        <v>6</v>
      </c>
      <c r="I283" s="1045">
        <v>2</v>
      </c>
      <c r="J283" s="991">
        <v>2</v>
      </c>
      <c r="K283" s="991">
        <v>2</v>
      </c>
      <c r="L283" s="1045">
        <v>6</v>
      </c>
      <c r="M283" s="991">
        <v>2</v>
      </c>
      <c r="N283" s="991">
        <v>2</v>
      </c>
      <c r="O283" s="991">
        <v>2</v>
      </c>
      <c r="P283" s="1045">
        <v>6</v>
      </c>
      <c r="Q283" s="991">
        <v>2</v>
      </c>
      <c r="R283" s="991">
        <v>2</v>
      </c>
      <c r="S283" s="991">
        <v>2</v>
      </c>
      <c r="T283" s="1045">
        <v>6</v>
      </c>
      <c r="U283" s="991">
        <v>2</v>
      </c>
      <c r="V283" s="991">
        <v>2</v>
      </c>
      <c r="W283" s="991">
        <v>2</v>
      </c>
      <c r="X283" s="1042" t="s">
        <v>2945</v>
      </c>
    </row>
    <row r="284" spans="1:24" ht="15">
      <c r="A284" s="991" t="s">
        <v>4435</v>
      </c>
      <c r="B284" s="1249" t="s">
        <v>2955</v>
      </c>
      <c r="C284" s="1250">
        <v>12</v>
      </c>
      <c r="D284" s="1251" t="s">
        <v>103</v>
      </c>
      <c r="E284" s="1253">
        <v>7800</v>
      </c>
      <c r="F284" s="1252">
        <v>93600</v>
      </c>
      <c r="G284" s="991" t="s">
        <v>342</v>
      </c>
      <c r="H284" s="1045">
        <v>3</v>
      </c>
      <c r="I284" s="1045">
        <v>1</v>
      </c>
      <c r="J284" s="991">
        <v>1</v>
      </c>
      <c r="K284" s="991">
        <v>1</v>
      </c>
      <c r="L284" s="1045">
        <v>3</v>
      </c>
      <c r="M284" s="991">
        <v>1</v>
      </c>
      <c r="N284" s="991">
        <v>1</v>
      </c>
      <c r="O284" s="991">
        <v>1</v>
      </c>
      <c r="P284" s="1045">
        <v>3</v>
      </c>
      <c r="Q284" s="991">
        <v>1</v>
      </c>
      <c r="R284" s="991">
        <v>1</v>
      </c>
      <c r="S284" s="991">
        <v>1</v>
      </c>
      <c r="T284" s="1045">
        <v>3</v>
      </c>
      <c r="U284" s="991">
        <v>1</v>
      </c>
      <c r="V284" s="991">
        <v>1</v>
      </c>
      <c r="W284" s="991">
        <v>1</v>
      </c>
      <c r="X284" s="1042" t="s">
        <v>2945</v>
      </c>
    </row>
    <row r="285" spans="1:24" ht="15">
      <c r="A285" s="991" t="s">
        <v>4374</v>
      </c>
      <c r="B285" s="1249" t="s">
        <v>4256</v>
      </c>
      <c r="C285" s="1250">
        <v>12</v>
      </c>
      <c r="D285" s="1251" t="s">
        <v>103</v>
      </c>
      <c r="E285" s="1250">
        <v>45</v>
      </c>
      <c r="F285" s="1252">
        <v>540</v>
      </c>
      <c r="G285" s="991" t="s">
        <v>342</v>
      </c>
      <c r="H285" s="1045">
        <v>3</v>
      </c>
      <c r="I285" s="1045">
        <v>1</v>
      </c>
      <c r="J285" s="991">
        <v>1</v>
      </c>
      <c r="K285" s="991">
        <v>1</v>
      </c>
      <c r="L285" s="1045">
        <v>3</v>
      </c>
      <c r="M285" s="991">
        <v>1</v>
      </c>
      <c r="N285" s="991">
        <v>1</v>
      </c>
      <c r="O285" s="991">
        <v>1</v>
      </c>
      <c r="P285" s="1045">
        <v>3</v>
      </c>
      <c r="Q285" s="991">
        <v>1</v>
      </c>
      <c r="R285" s="991">
        <v>1</v>
      </c>
      <c r="S285" s="991">
        <v>1</v>
      </c>
      <c r="T285" s="1045">
        <v>3</v>
      </c>
      <c r="U285" s="991">
        <v>1</v>
      </c>
      <c r="V285" s="991">
        <v>1</v>
      </c>
      <c r="W285" s="991">
        <v>1</v>
      </c>
      <c r="X285" s="1042" t="s">
        <v>2945</v>
      </c>
    </row>
    <row r="286" spans="1:24" ht="15">
      <c r="A286" s="991" t="s">
        <v>4374</v>
      </c>
      <c r="B286" s="1249" t="s">
        <v>4389</v>
      </c>
      <c r="C286" s="1250">
        <v>2</v>
      </c>
      <c r="D286" s="1251" t="s">
        <v>103</v>
      </c>
      <c r="E286" s="1250">
        <v>141.12</v>
      </c>
      <c r="F286" s="1252">
        <v>282.24</v>
      </c>
      <c r="G286" s="991" t="s">
        <v>342</v>
      </c>
      <c r="H286" s="1045">
        <v>1</v>
      </c>
      <c r="I286" s="1045">
        <v>1</v>
      </c>
      <c r="J286" s="991"/>
      <c r="K286" s="991"/>
      <c r="L286" s="1045">
        <v>0</v>
      </c>
      <c r="M286" s="991"/>
      <c r="N286" s="991"/>
      <c r="O286" s="991"/>
      <c r="P286" s="1045">
        <v>0</v>
      </c>
      <c r="Q286" s="991"/>
      <c r="R286" s="991"/>
      <c r="S286" s="991"/>
      <c r="T286" s="1045">
        <v>1</v>
      </c>
      <c r="U286" s="991">
        <v>1</v>
      </c>
      <c r="V286" s="991"/>
      <c r="W286" s="991"/>
      <c r="X286" s="1042" t="s">
        <v>2945</v>
      </c>
    </row>
    <row r="287" spans="1:24" ht="15">
      <c r="A287" s="991" t="s">
        <v>4374</v>
      </c>
      <c r="B287" s="1249" t="s">
        <v>4436</v>
      </c>
      <c r="C287" s="1250">
        <v>2</v>
      </c>
      <c r="D287" s="1251" t="s">
        <v>103</v>
      </c>
      <c r="E287" s="1250">
        <v>23.76</v>
      </c>
      <c r="F287" s="1252">
        <v>47.52</v>
      </c>
      <c r="G287" s="991" t="s">
        <v>342</v>
      </c>
      <c r="H287" s="1045">
        <v>1</v>
      </c>
      <c r="I287" s="1045">
        <v>1</v>
      </c>
      <c r="J287" s="991"/>
      <c r="K287" s="991"/>
      <c r="L287" s="1045">
        <v>0</v>
      </c>
      <c r="M287" s="991"/>
      <c r="N287" s="991"/>
      <c r="O287" s="991"/>
      <c r="P287" s="1045">
        <v>0</v>
      </c>
      <c r="Q287" s="991"/>
      <c r="R287" s="991"/>
      <c r="S287" s="991"/>
      <c r="T287" s="1045">
        <v>1</v>
      </c>
      <c r="U287" s="991">
        <v>1</v>
      </c>
      <c r="V287" s="991"/>
      <c r="W287" s="991"/>
      <c r="X287" s="1042" t="s">
        <v>2945</v>
      </c>
    </row>
    <row r="288" spans="1:24" ht="15">
      <c r="A288" s="991" t="s">
        <v>4374</v>
      </c>
      <c r="B288" s="1249" t="s">
        <v>4437</v>
      </c>
      <c r="C288" s="1250">
        <v>12</v>
      </c>
      <c r="D288" s="1251" t="s">
        <v>4258</v>
      </c>
      <c r="E288" s="1250">
        <v>70</v>
      </c>
      <c r="F288" s="1252">
        <v>840</v>
      </c>
      <c r="G288" s="991" t="s">
        <v>342</v>
      </c>
      <c r="H288" s="1045">
        <v>3</v>
      </c>
      <c r="I288" s="1045">
        <v>1</v>
      </c>
      <c r="J288" s="991">
        <v>1</v>
      </c>
      <c r="K288" s="991">
        <v>1</v>
      </c>
      <c r="L288" s="1045">
        <v>3</v>
      </c>
      <c r="M288" s="991">
        <v>1</v>
      </c>
      <c r="N288" s="991">
        <v>1</v>
      </c>
      <c r="O288" s="991">
        <v>1</v>
      </c>
      <c r="P288" s="1045">
        <v>3</v>
      </c>
      <c r="Q288" s="991">
        <v>1</v>
      </c>
      <c r="R288" s="991">
        <v>1</v>
      </c>
      <c r="S288" s="991">
        <v>1</v>
      </c>
      <c r="T288" s="1045">
        <v>3</v>
      </c>
      <c r="U288" s="991">
        <v>1</v>
      </c>
      <c r="V288" s="991">
        <v>1</v>
      </c>
      <c r="W288" s="991">
        <v>1</v>
      </c>
      <c r="X288" s="1042" t="s">
        <v>2945</v>
      </c>
    </row>
    <row r="289" spans="1:24" ht="15">
      <c r="A289" s="991" t="s">
        <v>4374</v>
      </c>
      <c r="B289" s="1249" t="s">
        <v>4257</v>
      </c>
      <c r="C289" s="1250">
        <v>12</v>
      </c>
      <c r="D289" s="1251" t="s">
        <v>4258</v>
      </c>
      <c r="E289" s="1250">
        <v>50</v>
      </c>
      <c r="F289" s="1252">
        <v>600</v>
      </c>
      <c r="G289" s="991" t="s">
        <v>342</v>
      </c>
      <c r="H289" s="1045">
        <v>3</v>
      </c>
      <c r="I289" s="1045">
        <v>1</v>
      </c>
      <c r="J289" s="991">
        <v>1</v>
      </c>
      <c r="K289" s="991">
        <v>1</v>
      </c>
      <c r="L289" s="1045">
        <v>3</v>
      </c>
      <c r="M289" s="991">
        <v>1</v>
      </c>
      <c r="N289" s="991">
        <v>1</v>
      </c>
      <c r="O289" s="991">
        <v>1</v>
      </c>
      <c r="P289" s="1045">
        <v>3</v>
      </c>
      <c r="Q289" s="991">
        <v>1</v>
      </c>
      <c r="R289" s="991">
        <v>1</v>
      </c>
      <c r="S289" s="991">
        <v>1</v>
      </c>
      <c r="T289" s="1045">
        <v>3</v>
      </c>
      <c r="U289" s="991">
        <v>1</v>
      </c>
      <c r="V289" s="991">
        <v>1</v>
      </c>
      <c r="W289" s="991">
        <v>1</v>
      </c>
      <c r="X289" s="1042" t="s">
        <v>2945</v>
      </c>
    </row>
    <row r="290" spans="1:24" ht="15">
      <c r="A290" s="991" t="s">
        <v>4374</v>
      </c>
      <c r="B290" s="1249" t="s">
        <v>4438</v>
      </c>
      <c r="C290" s="1250">
        <v>36</v>
      </c>
      <c r="D290" s="1251" t="s">
        <v>103</v>
      </c>
      <c r="E290" s="1250">
        <v>20</v>
      </c>
      <c r="F290" s="1252">
        <v>720</v>
      </c>
      <c r="G290" s="991" t="s">
        <v>342</v>
      </c>
      <c r="H290" s="1045">
        <v>9</v>
      </c>
      <c r="I290" s="1045">
        <v>3</v>
      </c>
      <c r="J290" s="991">
        <v>3</v>
      </c>
      <c r="K290" s="991">
        <v>3</v>
      </c>
      <c r="L290" s="1045">
        <v>9</v>
      </c>
      <c r="M290" s="991">
        <v>3</v>
      </c>
      <c r="N290" s="991">
        <v>3</v>
      </c>
      <c r="O290" s="991">
        <v>3</v>
      </c>
      <c r="P290" s="1045">
        <v>9</v>
      </c>
      <c r="Q290" s="991">
        <v>3</v>
      </c>
      <c r="R290" s="991">
        <v>3</v>
      </c>
      <c r="S290" s="991">
        <v>3</v>
      </c>
      <c r="T290" s="1045">
        <v>9</v>
      </c>
      <c r="U290" s="991">
        <v>3</v>
      </c>
      <c r="V290" s="991">
        <v>3</v>
      </c>
      <c r="W290" s="991">
        <v>3</v>
      </c>
      <c r="X290" s="1042" t="s">
        <v>2945</v>
      </c>
    </row>
    <row r="291" spans="1:24" ht="15">
      <c r="A291" s="991" t="s">
        <v>4374</v>
      </c>
      <c r="B291" s="1249" t="s">
        <v>4261</v>
      </c>
      <c r="C291" s="1250">
        <v>1</v>
      </c>
      <c r="D291" s="1251" t="s">
        <v>103</v>
      </c>
      <c r="E291" s="1250">
        <v>40</v>
      </c>
      <c r="F291" s="1252">
        <v>40</v>
      </c>
      <c r="G291" s="991" t="s">
        <v>342</v>
      </c>
      <c r="H291" s="1045">
        <v>1</v>
      </c>
      <c r="I291" s="1045">
        <v>1</v>
      </c>
      <c r="J291" s="991"/>
      <c r="K291" s="991"/>
      <c r="L291" s="1045">
        <v>0</v>
      </c>
      <c r="M291" s="991"/>
      <c r="N291" s="991"/>
      <c r="O291" s="991"/>
      <c r="P291" s="1045">
        <v>0</v>
      </c>
      <c r="Q291" s="991"/>
      <c r="R291" s="991"/>
      <c r="S291" s="991"/>
      <c r="T291" s="1045">
        <v>0</v>
      </c>
      <c r="U291" s="991"/>
      <c r="V291" s="991"/>
      <c r="W291" s="991"/>
      <c r="X291" s="1042" t="s">
        <v>2945</v>
      </c>
    </row>
    <row r="292" spans="1:24" ht="23.25">
      <c r="A292" s="991" t="s">
        <v>4374</v>
      </c>
      <c r="B292" s="1249" t="s">
        <v>4259</v>
      </c>
      <c r="C292" s="1250">
        <v>12</v>
      </c>
      <c r="D292" s="1251" t="s">
        <v>103</v>
      </c>
      <c r="E292" s="1250">
        <v>20</v>
      </c>
      <c r="F292" s="1252">
        <v>240</v>
      </c>
      <c r="G292" s="991" t="s">
        <v>342</v>
      </c>
      <c r="H292" s="1045">
        <v>3</v>
      </c>
      <c r="I292" s="1045">
        <v>1</v>
      </c>
      <c r="J292" s="991">
        <v>1</v>
      </c>
      <c r="K292" s="991">
        <v>1</v>
      </c>
      <c r="L292" s="1045">
        <v>3</v>
      </c>
      <c r="M292" s="991">
        <v>1</v>
      </c>
      <c r="N292" s="991">
        <v>1</v>
      </c>
      <c r="O292" s="991">
        <v>1</v>
      </c>
      <c r="P292" s="1045">
        <v>3</v>
      </c>
      <c r="Q292" s="991">
        <v>1</v>
      </c>
      <c r="R292" s="991">
        <v>1</v>
      </c>
      <c r="S292" s="991">
        <v>1</v>
      </c>
      <c r="T292" s="1045">
        <v>3</v>
      </c>
      <c r="U292" s="991">
        <v>1</v>
      </c>
      <c r="V292" s="991">
        <v>1</v>
      </c>
      <c r="W292" s="991">
        <v>1</v>
      </c>
      <c r="X292" s="1042" t="s">
        <v>2945</v>
      </c>
    </row>
    <row r="293" spans="1:24" ht="15">
      <c r="A293" s="991" t="s">
        <v>4374</v>
      </c>
      <c r="B293" s="1249" t="s">
        <v>4260</v>
      </c>
      <c r="C293" s="1250">
        <v>12</v>
      </c>
      <c r="D293" s="1251" t="s">
        <v>4258</v>
      </c>
      <c r="E293" s="1250">
        <v>33</v>
      </c>
      <c r="F293" s="1252">
        <v>396</v>
      </c>
      <c r="G293" s="991" t="s">
        <v>342</v>
      </c>
      <c r="H293" s="1045">
        <v>3</v>
      </c>
      <c r="I293" s="1045">
        <v>1</v>
      </c>
      <c r="J293" s="991">
        <v>1</v>
      </c>
      <c r="K293" s="991">
        <v>1</v>
      </c>
      <c r="L293" s="1045">
        <v>3</v>
      </c>
      <c r="M293" s="991">
        <v>1</v>
      </c>
      <c r="N293" s="991">
        <v>1</v>
      </c>
      <c r="O293" s="991">
        <v>1</v>
      </c>
      <c r="P293" s="1045">
        <v>3</v>
      </c>
      <c r="Q293" s="991">
        <v>1</v>
      </c>
      <c r="R293" s="991">
        <v>1</v>
      </c>
      <c r="S293" s="991">
        <v>1</v>
      </c>
      <c r="T293" s="1045">
        <v>3</v>
      </c>
      <c r="U293" s="991">
        <v>1</v>
      </c>
      <c r="V293" s="991">
        <v>1</v>
      </c>
      <c r="W293" s="991">
        <v>1</v>
      </c>
      <c r="X293" s="1042" t="s">
        <v>2945</v>
      </c>
    </row>
    <row r="294" spans="1:24" ht="15">
      <c r="A294" s="991" t="s">
        <v>4374</v>
      </c>
      <c r="B294" s="1249" t="s">
        <v>4390</v>
      </c>
      <c r="C294" s="1250">
        <v>12</v>
      </c>
      <c r="D294" s="1251" t="s">
        <v>4247</v>
      </c>
      <c r="E294" s="1250">
        <v>402.48</v>
      </c>
      <c r="F294" s="1252">
        <v>4829.76</v>
      </c>
      <c r="G294" s="991" t="s">
        <v>342</v>
      </c>
      <c r="H294" s="1045">
        <v>3</v>
      </c>
      <c r="I294" s="1045">
        <v>1</v>
      </c>
      <c r="J294" s="991">
        <v>1</v>
      </c>
      <c r="K294" s="991">
        <v>1</v>
      </c>
      <c r="L294" s="1045">
        <v>3</v>
      </c>
      <c r="M294" s="991">
        <v>1</v>
      </c>
      <c r="N294" s="991">
        <v>1</v>
      </c>
      <c r="O294" s="991">
        <v>1</v>
      </c>
      <c r="P294" s="1045">
        <v>3</v>
      </c>
      <c r="Q294" s="991">
        <v>1</v>
      </c>
      <c r="R294" s="991">
        <v>1</v>
      </c>
      <c r="S294" s="991">
        <v>1</v>
      </c>
      <c r="T294" s="1045">
        <v>3</v>
      </c>
      <c r="U294" s="991">
        <v>1</v>
      </c>
      <c r="V294" s="991">
        <v>1</v>
      </c>
      <c r="W294" s="991">
        <v>1</v>
      </c>
      <c r="X294" s="1042" t="s">
        <v>2945</v>
      </c>
    </row>
    <row r="295" spans="1:24" ht="15">
      <c r="A295" s="991" t="s">
        <v>4374</v>
      </c>
      <c r="B295" s="1249" t="s">
        <v>4439</v>
      </c>
      <c r="C295" s="1250">
        <v>24</v>
      </c>
      <c r="D295" s="1251" t="s">
        <v>103</v>
      </c>
      <c r="E295" s="1250">
        <v>38.4</v>
      </c>
      <c r="F295" s="1252">
        <v>921.6</v>
      </c>
      <c r="G295" s="991" t="s">
        <v>342</v>
      </c>
      <c r="H295" s="1045">
        <v>6</v>
      </c>
      <c r="I295" s="1045">
        <v>2</v>
      </c>
      <c r="J295" s="991">
        <v>2</v>
      </c>
      <c r="K295" s="991">
        <v>2</v>
      </c>
      <c r="L295" s="1045">
        <v>6</v>
      </c>
      <c r="M295" s="991">
        <v>2</v>
      </c>
      <c r="N295" s="991">
        <v>2</v>
      </c>
      <c r="O295" s="991">
        <v>2</v>
      </c>
      <c r="P295" s="1045">
        <v>6</v>
      </c>
      <c r="Q295" s="991">
        <v>2</v>
      </c>
      <c r="R295" s="991">
        <v>2</v>
      </c>
      <c r="S295" s="991">
        <v>2</v>
      </c>
      <c r="T295" s="1045">
        <v>6</v>
      </c>
      <c r="U295" s="991">
        <v>2</v>
      </c>
      <c r="V295" s="991">
        <v>2</v>
      </c>
      <c r="W295" s="991">
        <v>2</v>
      </c>
      <c r="X295" s="1042" t="s">
        <v>2945</v>
      </c>
    </row>
    <row r="296" spans="1:24" ht="23.25">
      <c r="A296" s="991" t="s">
        <v>4374</v>
      </c>
      <c r="B296" s="1249" t="s">
        <v>4440</v>
      </c>
      <c r="C296" s="1250">
        <v>1</v>
      </c>
      <c r="D296" s="1251" t="s">
        <v>103</v>
      </c>
      <c r="E296" s="1250">
        <v>37.200000000000003</v>
      </c>
      <c r="F296" s="1252">
        <v>37.200000000000003</v>
      </c>
      <c r="G296" s="991" t="s">
        <v>342</v>
      </c>
      <c r="H296" s="1045">
        <v>1</v>
      </c>
      <c r="I296" s="1045">
        <v>1</v>
      </c>
      <c r="J296" s="991"/>
      <c r="K296" s="991"/>
      <c r="L296" s="1045">
        <v>0</v>
      </c>
      <c r="M296" s="991"/>
      <c r="N296" s="991"/>
      <c r="O296" s="991"/>
      <c r="P296" s="1045">
        <v>0</v>
      </c>
      <c r="Q296" s="991"/>
      <c r="R296" s="991"/>
      <c r="S296" s="991"/>
      <c r="T296" s="1045">
        <v>0</v>
      </c>
      <c r="U296" s="991"/>
      <c r="V296" s="991"/>
      <c r="W296" s="991"/>
      <c r="X296" s="1042" t="s">
        <v>2945</v>
      </c>
    </row>
    <row r="297" spans="1:24" ht="23.25">
      <c r="A297" s="991" t="s">
        <v>4374</v>
      </c>
      <c r="B297" s="1249" t="s">
        <v>4262</v>
      </c>
      <c r="C297" s="1250">
        <v>2</v>
      </c>
      <c r="D297" s="1251" t="s">
        <v>103</v>
      </c>
      <c r="E297" s="1253">
        <v>1680</v>
      </c>
      <c r="F297" s="1252">
        <v>3360</v>
      </c>
      <c r="G297" s="991" t="s">
        <v>342</v>
      </c>
      <c r="H297" s="1045">
        <v>1</v>
      </c>
      <c r="I297" s="1045">
        <v>1</v>
      </c>
      <c r="J297" s="991"/>
      <c r="K297" s="991"/>
      <c r="L297" s="1045">
        <v>0</v>
      </c>
      <c r="M297" s="991"/>
      <c r="N297" s="991"/>
      <c r="O297" s="991"/>
      <c r="P297" s="1045">
        <v>1</v>
      </c>
      <c r="Q297" s="991">
        <v>1</v>
      </c>
      <c r="R297" s="991"/>
      <c r="S297" s="991"/>
      <c r="T297" s="1045">
        <v>0</v>
      </c>
      <c r="U297" s="991"/>
      <c r="V297" s="991"/>
      <c r="W297" s="991"/>
      <c r="X297" s="1042" t="s">
        <v>2945</v>
      </c>
    </row>
    <row r="298" spans="1:24" ht="15">
      <c r="A298" s="991" t="s">
        <v>4374</v>
      </c>
      <c r="B298" s="1249" t="s">
        <v>4263</v>
      </c>
      <c r="C298" s="1250">
        <v>1</v>
      </c>
      <c r="D298" s="1251" t="s">
        <v>118</v>
      </c>
      <c r="E298" s="1253">
        <v>2500</v>
      </c>
      <c r="F298" s="1252">
        <v>2500</v>
      </c>
      <c r="G298" s="991" t="s">
        <v>342</v>
      </c>
      <c r="H298" s="1045">
        <v>1</v>
      </c>
      <c r="I298" s="1045">
        <v>1</v>
      </c>
      <c r="J298" s="991"/>
      <c r="K298" s="991"/>
      <c r="L298" s="1045">
        <v>0</v>
      </c>
      <c r="M298" s="991"/>
      <c r="N298" s="991"/>
      <c r="O298" s="991"/>
      <c r="P298" s="1045">
        <v>0</v>
      </c>
      <c r="Q298" s="991"/>
      <c r="R298" s="991"/>
      <c r="S298" s="991"/>
      <c r="T298" s="1045">
        <v>0</v>
      </c>
      <c r="U298" s="991"/>
      <c r="V298" s="991"/>
      <c r="W298" s="991"/>
      <c r="X298" s="1042" t="s">
        <v>2945</v>
      </c>
    </row>
    <row r="299" spans="1:24" ht="15">
      <c r="A299" s="991" t="s">
        <v>4374</v>
      </c>
      <c r="B299" s="1249" t="s">
        <v>4441</v>
      </c>
      <c r="C299" s="1250">
        <v>24</v>
      </c>
      <c r="D299" s="1251" t="s">
        <v>155</v>
      </c>
      <c r="E299" s="1250">
        <v>156</v>
      </c>
      <c r="F299" s="1252">
        <v>3744</v>
      </c>
      <c r="G299" s="991" t="s">
        <v>342</v>
      </c>
      <c r="H299" s="1045">
        <v>6</v>
      </c>
      <c r="I299" s="1045">
        <v>2</v>
      </c>
      <c r="J299" s="991">
        <v>2</v>
      </c>
      <c r="K299" s="991">
        <v>2</v>
      </c>
      <c r="L299" s="1045">
        <v>6</v>
      </c>
      <c r="M299" s="991">
        <v>2</v>
      </c>
      <c r="N299" s="991">
        <v>2</v>
      </c>
      <c r="O299" s="991">
        <v>2</v>
      </c>
      <c r="P299" s="1045">
        <v>6</v>
      </c>
      <c r="Q299" s="991">
        <v>2</v>
      </c>
      <c r="R299" s="991">
        <v>2</v>
      </c>
      <c r="S299" s="991">
        <v>2</v>
      </c>
      <c r="T299" s="1045">
        <v>6</v>
      </c>
      <c r="U299" s="991">
        <v>2</v>
      </c>
      <c r="V299" s="991">
        <v>2</v>
      </c>
      <c r="W299" s="991">
        <v>2</v>
      </c>
      <c r="X299" s="1042" t="s">
        <v>2945</v>
      </c>
    </row>
    <row r="300" spans="1:24" ht="15">
      <c r="A300" s="991" t="s">
        <v>4374</v>
      </c>
      <c r="B300" s="1249" t="s">
        <v>4264</v>
      </c>
      <c r="C300" s="1250">
        <v>1</v>
      </c>
      <c r="D300" s="1251" t="s">
        <v>103</v>
      </c>
      <c r="E300" s="1250">
        <v>175</v>
      </c>
      <c r="F300" s="1252">
        <v>175</v>
      </c>
      <c r="G300" s="991" t="s">
        <v>342</v>
      </c>
      <c r="H300" s="1045">
        <v>1</v>
      </c>
      <c r="I300" s="1045">
        <v>1</v>
      </c>
      <c r="J300" s="991"/>
      <c r="K300" s="991"/>
      <c r="L300" s="1045">
        <v>0</v>
      </c>
      <c r="M300" s="991"/>
      <c r="N300" s="991"/>
      <c r="O300" s="991"/>
      <c r="P300" s="1045">
        <v>0</v>
      </c>
      <c r="Q300" s="991"/>
      <c r="R300" s="991"/>
      <c r="S300" s="991"/>
      <c r="T300" s="1045">
        <v>0</v>
      </c>
      <c r="U300" s="991"/>
      <c r="V300" s="991"/>
      <c r="W300" s="991"/>
      <c r="X300" s="1042" t="s">
        <v>2945</v>
      </c>
    </row>
    <row r="301" spans="1:24" ht="15">
      <c r="A301" s="991" t="s">
        <v>4374</v>
      </c>
      <c r="B301" s="1249" t="s">
        <v>4442</v>
      </c>
      <c r="C301" s="1250">
        <v>1</v>
      </c>
      <c r="D301" s="1251" t="s">
        <v>103</v>
      </c>
      <c r="E301" s="1250">
        <v>90</v>
      </c>
      <c r="F301" s="1252">
        <v>90</v>
      </c>
      <c r="G301" s="991" t="s">
        <v>342</v>
      </c>
      <c r="H301" s="1045">
        <v>1</v>
      </c>
      <c r="I301" s="1045">
        <v>1</v>
      </c>
      <c r="J301" s="991"/>
      <c r="K301" s="991"/>
      <c r="L301" s="1045">
        <v>0</v>
      </c>
      <c r="M301" s="991"/>
      <c r="N301" s="991"/>
      <c r="O301" s="991"/>
      <c r="P301" s="1045">
        <v>0</v>
      </c>
      <c r="Q301" s="991"/>
      <c r="R301" s="991"/>
      <c r="S301" s="991"/>
      <c r="T301" s="1045">
        <v>0</v>
      </c>
      <c r="U301" s="991"/>
      <c r="V301" s="991"/>
      <c r="W301" s="991"/>
      <c r="X301" s="1042" t="s">
        <v>2945</v>
      </c>
    </row>
    <row r="302" spans="1:24" ht="23.25">
      <c r="A302" s="991" t="s">
        <v>4374</v>
      </c>
      <c r="B302" s="1249" t="s">
        <v>4443</v>
      </c>
      <c r="C302" s="1250">
        <v>360</v>
      </c>
      <c r="D302" s="1251" t="s">
        <v>263</v>
      </c>
      <c r="E302" s="1250">
        <v>30</v>
      </c>
      <c r="F302" s="1252">
        <v>10800</v>
      </c>
      <c r="G302" s="991" t="s">
        <v>342</v>
      </c>
      <c r="H302" s="1045">
        <v>90</v>
      </c>
      <c r="I302" s="1045">
        <v>30</v>
      </c>
      <c r="J302" s="991">
        <v>30</v>
      </c>
      <c r="K302" s="991">
        <v>30</v>
      </c>
      <c r="L302" s="1045">
        <v>90</v>
      </c>
      <c r="M302" s="991">
        <v>30</v>
      </c>
      <c r="N302" s="991">
        <v>30</v>
      </c>
      <c r="O302" s="991">
        <v>30</v>
      </c>
      <c r="P302" s="1045">
        <v>90</v>
      </c>
      <c r="Q302" s="991">
        <v>30</v>
      </c>
      <c r="R302" s="991">
        <v>30</v>
      </c>
      <c r="S302" s="991">
        <v>30</v>
      </c>
      <c r="T302" s="1045">
        <v>90</v>
      </c>
      <c r="U302" s="991">
        <v>30</v>
      </c>
      <c r="V302" s="991">
        <v>30</v>
      </c>
      <c r="W302" s="991">
        <v>30</v>
      </c>
      <c r="X302" s="1042" t="s">
        <v>2945</v>
      </c>
    </row>
    <row r="303" spans="1:24" ht="15">
      <c r="A303" s="991"/>
      <c r="B303" s="1249"/>
      <c r="C303" s="1250"/>
      <c r="D303" s="1251"/>
      <c r="E303" s="1250"/>
      <c r="F303" s="1252"/>
      <c r="G303" s="991"/>
      <c r="H303" s="1045"/>
      <c r="I303" s="1045"/>
      <c r="J303" s="991"/>
      <c r="K303" s="991"/>
      <c r="L303" s="1045"/>
      <c r="M303" s="991"/>
      <c r="N303" s="991"/>
      <c r="O303" s="991"/>
      <c r="P303" s="1045"/>
      <c r="Q303" s="991"/>
      <c r="R303" s="991"/>
      <c r="S303" s="991"/>
      <c r="T303" s="1045"/>
      <c r="U303" s="991"/>
      <c r="V303" s="991"/>
      <c r="W303" s="991"/>
      <c r="X303" s="1042"/>
    </row>
    <row r="304" spans="1:24" ht="15">
      <c r="A304" s="991"/>
      <c r="B304" s="1249"/>
      <c r="C304" s="1250"/>
      <c r="D304" s="1251"/>
      <c r="E304" s="1250"/>
      <c r="F304" s="1252"/>
      <c r="G304" s="991"/>
      <c r="H304" s="1045"/>
      <c r="I304" s="1045"/>
      <c r="J304" s="991"/>
      <c r="K304" s="991"/>
      <c r="L304" s="1045"/>
      <c r="M304" s="991"/>
      <c r="N304" s="991"/>
      <c r="O304" s="991"/>
      <c r="P304" s="1045"/>
      <c r="Q304" s="991"/>
      <c r="R304" s="991"/>
      <c r="S304" s="991"/>
      <c r="T304" s="1045"/>
      <c r="U304" s="991"/>
      <c r="V304" s="991"/>
      <c r="W304" s="991"/>
      <c r="X304" s="1042"/>
    </row>
    <row r="305" spans="1:24" ht="15">
      <c r="A305" s="991"/>
      <c r="B305" s="1249"/>
      <c r="C305" s="1250"/>
      <c r="D305" s="1251"/>
      <c r="E305" s="1250"/>
      <c r="F305" s="1252"/>
      <c r="G305" s="991"/>
      <c r="H305" s="1045"/>
      <c r="I305" s="1045"/>
      <c r="J305" s="991"/>
      <c r="K305" s="991"/>
      <c r="L305" s="1045"/>
      <c r="M305" s="991"/>
      <c r="N305" s="991"/>
      <c r="O305" s="991"/>
      <c r="P305" s="1045"/>
      <c r="Q305" s="991"/>
      <c r="R305" s="991"/>
      <c r="S305" s="991"/>
      <c r="T305" s="1045"/>
      <c r="U305" s="991"/>
      <c r="V305" s="991"/>
      <c r="W305" s="991"/>
      <c r="X305" s="1042"/>
    </row>
    <row r="306" spans="1:24" ht="15">
      <c r="A306" s="991"/>
      <c r="B306" s="1249"/>
      <c r="C306" s="1250"/>
      <c r="D306" s="1251"/>
      <c r="E306" s="1250"/>
      <c r="F306" s="1252"/>
      <c r="G306" s="991"/>
      <c r="H306" s="1045"/>
      <c r="I306" s="1045"/>
      <c r="J306" s="991"/>
      <c r="K306" s="991"/>
      <c r="L306" s="1045"/>
      <c r="M306" s="991"/>
      <c r="N306" s="991"/>
      <c r="O306" s="991"/>
      <c r="P306" s="1045"/>
      <c r="Q306" s="991"/>
      <c r="R306" s="991"/>
      <c r="S306" s="991"/>
      <c r="T306" s="1045"/>
      <c r="U306" s="991"/>
      <c r="V306" s="991"/>
      <c r="W306" s="991"/>
      <c r="X306" s="1042"/>
    </row>
    <row r="307" spans="1:24" ht="15">
      <c r="A307" s="991"/>
      <c r="B307" s="1249"/>
      <c r="C307" s="1250"/>
      <c r="D307" s="1251"/>
      <c r="E307" s="1250"/>
      <c r="F307" s="1252"/>
      <c r="G307" s="991"/>
      <c r="H307" s="1045"/>
      <c r="I307" s="1045"/>
      <c r="J307" s="991"/>
      <c r="K307" s="991"/>
      <c r="L307" s="1045"/>
      <c r="M307" s="991"/>
      <c r="N307" s="991"/>
      <c r="O307" s="991"/>
      <c r="P307" s="1045"/>
      <c r="Q307" s="991"/>
      <c r="R307" s="991"/>
      <c r="S307" s="991"/>
      <c r="T307" s="1045"/>
      <c r="U307" s="991"/>
      <c r="V307" s="991"/>
      <c r="W307" s="991"/>
      <c r="X307" s="1042"/>
    </row>
    <row r="308" spans="1:24" ht="15">
      <c r="A308" s="991"/>
      <c r="B308" s="1249"/>
      <c r="C308" s="1250"/>
      <c r="D308" s="1251"/>
      <c r="E308" s="1250"/>
      <c r="F308" s="1252"/>
      <c r="G308" s="991"/>
      <c r="H308" s="1045"/>
      <c r="I308" s="1045"/>
      <c r="J308" s="991"/>
      <c r="K308" s="991"/>
      <c r="L308" s="1045"/>
      <c r="M308" s="991"/>
      <c r="N308" s="991"/>
      <c r="O308" s="991"/>
      <c r="P308" s="1045"/>
      <c r="Q308" s="991"/>
      <c r="R308" s="991"/>
      <c r="S308" s="991"/>
      <c r="T308" s="1045"/>
      <c r="U308" s="991"/>
      <c r="V308" s="991"/>
      <c r="W308" s="991"/>
      <c r="X308" s="1042"/>
    </row>
    <row r="309" spans="1:24" ht="15">
      <c r="A309" s="991"/>
      <c r="B309" s="1249"/>
      <c r="C309" s="1250"/>
      <c r="D309" s="1251"/>
      <c r="E309" s="1250"/>
      <c r="F309" s="1252"/>
      <c r="G309" s="991"/>
      <c r="H309" s="1045"/>
      <c r="I309" s="1045"/>
      <c r="J309" s="991"/>
      <c r="K309" s="991"/>
      <c r="L309" s="1045"/>
      <c r="M309" s="991"/>
      <c r="N309" s="991"/>
      <c r="O309" s="991"/>
      <c r="P309" s="1045"/>
      <c r="Q309" s="991"/>
      <c r="R309" s="991"/>
      <c r="S309" s="991"/>
      <c r="T309" s="1045"/>
      <c r="U309" s="991"/>
      <c r="V309" s="991"/>
      <c r="W309" s="991"/>
      <c r="X309" s="1042"/>
    </row>
    <row r="310" spans="1:24" ht="15">
      <c r="A310" s="991"/>
      <c r="B310" s="1249"/>
      <c r="C310" s="1250"/>
      <c r="D310" s="1251"/>
      <c r="E310" s="1250"/>
      <c r="F310" s="1252"/>
      <c r="G310" s="991"/>
      <c r="H310" s="1045"/>
      <c r="I310" s="1045"/>
      <c r="J310" s="991"/>
      <c r="K310" s="991"/>
      <c r="L310" s="1045"/>
      <c r="M310" s="991"/>
      <c r="N310" s="991"/>
      <c r="O310" s="991"/>
      <c r="P310" s="1045"/>
      <c r="Q310" s="991"/>
      <c r="R310" s="991"/>
      <c r="S310" s="991"/>
      <c r="T310" s="1045"/>
      <c r="U310" s="991"/>
      <c r="V310" s="991"/>
      <c r="W310" s="991"/>
      <c r="X310" s="1042"/>
    </row>
    <row r="311" spans="1:24" ht="15">
      <c r="A311" s="991"/>
      <c r="B311" s="1249"/>
      <c r="C311" s="1250"/>
      <c r="D311" s="1251"/>
      <c r="E311" s="1250"/>
      <c r="F311" s="1252"/>
      <c r="G311" s="991"/>
      <c r="H311" s="1045"/>
      <c r="I311" s="1045"/>
      <c r="J311" s="991"/>
      <c r="K311" s="991"/>
      <c r="L311" s="1045"/>
      <c r="M311" s="991"/>
      <c r="N311" s="991"/>
      <c r="O311" s="991"/>
      <c r="P311" s="1045"/>
      <c r="Q311" s="991"/>
      <c r="R311" s="991"/>
      <c r="S311" s="991"/>
      <c r="T311" s="1045"/>
      <c r="U311" s="991"/>
      <c r="V311" s="991"/>
      <c r="W311" s="991"/>
      <c r="X311" s="1042"/>
    </row>
    <row r="312" spans="1:24" ht="15">
      <c r="A312" s="991"/>
      <c r="B312" s="1249"/>
      <c r="C312" s="1250"/>
      <c r="D312" s="1251"/>
      <c r="E312" s="1250"/>
      <c r="F312" s="1252"/>
      <c r="G312" s="991"/>
      <c r="H312" s="1045"/>
      <c r="I312" s="1045"/>
      <c r="J312" s="991"/>
      <c r="K312" s="991"/>
      <c r="L312" s="1045"/>
      <c r="M312" s="991"/>
      <c r="N312" s="991"/>
      <c r="O312" s="991"/>
      <c r="P312" s="1045"/>
      <c r="Q312" s="991"/>
      <c r="R312" s="991"/>
      <c r="S312" s="991"/>
      <c r="T312" s="1045"/>
      <c r="U312" s="991"/>
      <c r="V312" s="991"/>
      <c r="W312" s="991"/>
      <c r="X312" s="1042"/>
    </row>
    <row r="313" spans="1:24" ht="15">
      <c r="A313" s="991"/>
      <c r="B313" s="1249"/>
      <c r="C313" s="1250"/>
      <c r="D313" s="1251"/>
      <c r="E313" s="1250"/>
      <c r="F313" s="1252"/>
      <c r="G313" s="991"/>
      <c r="H313" s="1045"/>
      <c r="I313" s="1045"/>
      <c r="J313" s="991"/>
      <c r="K313" s="991"/>
      <c r="L313" s="1045"/>
      <c r="M313" s="991"/>
      <c r="N313" s="991"/>
      <c r="O313" s="991"/>
      <c r="P313" s="1045"/>
      <c r="Q313" s="991"/>
      <c r="R313" s="991"/>
      <c r="S313" s="991"/>
      <c r="T313" s="1045"/>
      <c r="U313" s="991"/>
      <c r="V313" s="991"/>
      <c r="W313" s="991"/>
      <c r="X313" s="1042"/>
    </row>
    <row r="314" spans="1:24" ht="15">
      <c r="A314" s="991"/>
      <c r="B314" s="1249"/>
      <c r="C314" s="1250"/>
      <c r="D314" s="1251"/>
      <c r="E314" s="1250"/>
      <c r="F314" s="1252"/>
      <c r="G314" s="991"/>
      <c r="H314" s="1045"/>
      <c r="I314" s="1045"/>
      <c r="J314" s="991"/>
      <c r="K314" s="991"/>
      <c r="L314" s="1045"/>
      <c r="M314" s="991"/>
      <c r="N314" s="991"/>
      <c r="O314" s="991"/>
      <c r="P314" s="1045"/>
      <c r="Q314" s="991"/>
      <c r="R314" s="991"/>
      <c r="S314" s="991"/>
      <c r="T314" s="1045"/>
      <c r="U314" s="991"/>
      <c r="V314" s="991"/>
      <c r="W314" s="991"/>
      <c r="X314" s="1042"/>
    </row>
    <row r="315" spans="1:24" ht="15">
      <c r="A315" s="991"/>
      <c r="B315" s="1249"/>
      <c r="C315" s="1250"/>
      <c r="D315" s="1251"/>
      <c r="E315" s="1250"/>
      <c r="F315" s="1252"/>
      <c r="G315" s="991"/>
      <c r="H315" s="1045"/>
      <c r="I315" s="1045"/>
      <c r="J315" s="991"/>
      <c r="K315" s="991"/>
      <c r="L315" s="1045"/>
      <c r="M315" s="991"/>
      <c r="N315" s="991"/>
      <c r="O315" s="991"/>
      <c r="P315" s="1045"/>
      <c r="Q315" s="991"/>
      <c r="R315" s="991"/>
      <c r="S315" s="991"/>
      <c r="T315" s="1045"/>
      <c r="U315" s="991"/>
      <c r="V315" s="991"/>
      <c r="W315" s="991"/>
      <c r="X315" s="1042"/>
    </row>
    <row r="316" spans="1:24" ht="15">
      <c r="A316" s="991"/>
      <c r="B316" s="1249"/>
      <c r="C316" s="1250"/>
      <c r="D316" s="1251"/>
      <c r="E316" s="1250"/>
      <c r="F316" s="1252"/>
      <c r="G316" s="991"/>
      <c r="H316" s="1045"/>
      <c r="I316" s="1045"/>
      <c r="J316" s="991"/>
      <c r="K316" s="991"/>
      <c r="L316" s="1045"/>
      <c r="M316" s="991"/>
      <c r="N316" s="991"/>
      <c r="O316" s="991"/>
      <c r="P316" s="1045"/>
      <c r="Q316" s="991"/>
      <c r="R316" s="991"/>
      <c r="S316" s="991"/>
      <c r="T316" s="1045"/>
      <c r="U316" s="991"/>
      <c r="V316" s="991"/>
      <c r="W316" s="991"/>
      <c r="X316" s="1042"/>
    </row>
    <row r="317" spans="1:24" ht="15">
      <c r="A317" s="991"/>
      <c r="B317" s="1249"/>
      <c r="C317" s="1250"/>
      <c r="D317" s="1251"/>
      <c r="E317" s="1250"/>
      <c r="F317" s="1252"/>
      <c r="G317" s="991"/>
      <c r="H317" s="1045"/>
      <c r="I317" s="1045"/>
      <c r="J317" s="991"/>
      <c r="K317" s="991"/>
      <c r="L317" s="1045"/>
      <c r="M317" s="991"/>
      <c r="N317" s="991"/>
      <c r="O317" s="991"/>
      <c r="P317" s="1045"/>
      <c r="Q317" s="991"/>
      <c r="R317" s="991"/>
      <c r="S317" s="991"/>
      <c r="T317" s="1045"/>
      <c r="U317" s="991"/>
      <c r="V317" s="991"/>
      <c r="W317" s="991"/>
      <c r="X317" s="1042"/>
    </row>
    <row r="318" spans="1:24" ht="15">
      <c r="A318" s="991"/>
      <c r="B318" s="1249"/>
      <c r="C318" s="1250"/>
      <c r="D318" s="1251"/>
      <c r="E318" s="1250"/>
      <c r="F318" s="1252"/>
      <c r="G318" s="991"/>
      <c r="H318" s="1045"/>
      <c r="I318" s="1045"/>
      <c r="J318" s="991"/>
      <c r="K318" s="991"/>
      <c r="L318" s="1045"/>
      <c r="M318" s="991"/>
      <c r="N318" s="991"/>
      <c r="O318" s="991"/>
      <c r="P318" s="1045"/>
      <c r="Q318" s="991"/>
      <c r="R318" s="991"/>
      <c r="S318" s="991"/>
      <c r="T318" s="1045"/>
      <c r="U318" s="991"/>
      <c r="V318" s="991"/>
      <c r="W318" s="991"/>
      <c r="X318" s="1042"/>
    </row>
    <row r="319" spans="1:24" ht="15">
      <c r="A319" s="991"/>
      <c r="B319" s="1249"/>
      <c r="C319" s="1250"/>
      <c r="D319" s="1251"/>
      <c r="E319" s="1250"/>
      <c r="F319" s="1252"/>
      <c r="G319" s="991"/>
      <c r="H319" s="1045"/>
      <c r="I319" s="1045"/>
      <c r="J319" s="991"/>
      <c r="K319" s="991"/>
      <c r="L319" s="1045"/>
      <c r="M319" s="991"/>
      <c r="N319" s="991"/>
      <c r="O319" s="991"/>
      <c r="P319" s="1045"/>
      <c r="Q319" s="991"/>
      <c r="R319" s="991"/>
      <c r="S319" s="991"/>
      <c r="T319" s="1045"/>
      <c r="U319" s="991"/>
      <c r="V319" s="991"/>
      <c r="W319" s="991"/>
      <c r="X319" s="1042"/>
    </row>
    <row r="320" spans="1:24" ht="15">
      <c r="A320" s="991"/>
      <c r="B320" s="1249"/>
      <c r="C320" s="1250"/>
      <c r="D320" s="1251"/>
      <c r="E320" s="1250"/>
      <c r="F320" s="1252"/>
      <c r="G320" s="991"/>
      <c r="H320" s="1045"/>
      <c r="I320" s="1045"/>
      <c r="J320" s="991"/>
      <c r="K320" s="991"/>
      <c r="L320" s="1045"/>
      <c r="M320" s="991"/>
      <c r="N320" s="991"/>
      <c r="O320" s="991"/>
      <c r="P320" s="1045"/>
      <c r="Q320" s="991"/>
      <c r="R320" s="991"/>
      <c r="S320" s="991"/>
      <c r="T320" s="1045"/>
      <c r="U320" s="991"/>
      <c r="V320" s="991"/>
      <c r="W320" s="991"/>
      <c r="X320" s="1042"/>
    </row>
    <row r="321" spans="1:24" ht="15">
      <c r="A321" s="991"/>
      <c r="B321" s="1249"/>
      <c r="C321" s="1250"/>
      <c r="D321" s="1251"/>
      <c r="E321" s="1250"/>
      <c r="F321" s="1252"/>
      <c r="G321" s="991"/>
      <c r="H321" s="1045"/>
      <c r="I321" s="1045"/>
      <c r="J321" s="991"/>
      <c r="K321" s="991"/>
      <c r="L321" s="1045"/>
      <c r="M321" s="991"/>
      <c r="N321" s="991"/>
      <c r="O321" s="991"/>
      <c r="P321" s="1045"/>
      <c r="Q321" s="991"/>
      <c r="R321" s="991"/>
      <c r="S321" s="991"/>
      <c r="T321" s="1045"/>
      <c r="U321" s="991"/>
      <c r="V321" s="991"/>
      <c r="W321" s="991"/>
      <c r="X321" s="1042"/>
    </row>
    <row r="322" spans="1:24" ht="15">
      <c r="A322" s="991"/>
      <c r="B322" s="1249"/>
      <c r="C322" s="1250"/>
      <c r="D322" s="1251"/>
      <c r="E322" s="1250"/>
      <c r="F322" s="1252"/>
      <c r="G322" s="991"/>
      <c r="H322" s="1045"/>
      <c r="I322" s="1045"/>
      <c r="J322" s="991"/>
      <c r="K322" s="991"/>
      <c r="L322" s="1045"/>
      <c r="M322" s="991"/>
      <c r="N322" s="991"/>
      <c r="O322" s="991"/>
      <c r="P322" s="1045"/>
      <c r="Q322" s="991"/>
      <c r="R322" s="991"/>
      <c r="S322" s="991"/>
      <c r="T322" s="1045"/>
      <c r="U322" s="991"/>
      <c r="V322" s="991"/>
      <c r="W322" s="991"/>
      <c r="X322" s="1042"/>
    </row>
    <row r="323" spans="1:24" ht="15">
      <c r="A323" s="991"/>
      <c r="B323" s="1249"/>
      <c r="C323" s="1250"/>
      <c r="D323" s="1251"/>
      <c r="E323" s="1250"/>
      <c r="F323" s="1252"/>
      <c r="G323" s="991"/>
      <c r="H323" s="1045"/>
      <c r="I323" s="1045"/>
      <c r="J323" s="991"/>
      <c r="K323" s="991"/>
      <c r="L323" s="1045"/>
      <c r="M323" s="991"/>
      <c r="N323" s="991"/>
      <c r="O323" s="991"/>
      <c r="P323" s="1045"/>
      <c r="Q323" s="991"/>
      <c r="R323" s="991"/>
      <c r="S323" s="991"/>
      <c r="T323" s="1045"/>
      <c r="U323" s="991"/>
      <c r="V323" s="991"/>
      <c r="W323" s="991"/>
      <c r="X323" s="1042"/>
    </row>
    <row r="324" spans="1:24" ht="15">
      <c r="A324" s="991"/>
      <c r="B324" s="1249"/>
      <c r="C324" s="1250"/>
      <c r="D324" s="1251"/>
      <c r="E324" s="1250"/>
      <c r="F324" s="1252"/>
      <c r="G324" s="991"/>
      <c r="H324" s="1045"/>
      <c r="I324" s="1045"/>
      <c r="J324" s="991"/>
      <c r="K324" s="991"/>
      <c r="L324" s="1045"/>
      <c r="M324" s="991"/>
      <c r="N324" s="991"/>
      <c r="O324" s="991"/>
      <c r="P324" s="1045"/>
      <c r="Q324" s="991"/>
      <c r="R324" s="991"/>
      <c r="S324" s="991"/>
      <c r="T324" s="1045"/>
      <c r="U324" s="991"/>
      <c r="V324" s="991"/>
      <c r="W324" s="991"/>
      <c r="X324" s="1042"/>
    </row>
    <row r="325" spans="1:24" ht="15">
      <c r="A325" s="991"/>
      <c r="B325" s="1249"/>
      <c r="C325" s="1250"/>
      <c r="D325" s="1251"/>
      <c r="E325" s="1250"/>
      <c r="F325" s="1252"/>
      <c r="G325" s="991"/>
      <c r="H325" s="1045"/>
      <c r="I325" s="1045"/>
      <c r="J325" s="991"/>
      <c r="K325" s="991"/>
      <c r="L325" s="1045"/>
      <c r="M325" s="991"/>
      <c r="N325" s="991"/>
      <c r="O325" s="991"/>
      <c r="P325" s="1045"/>
      <c r="Q325" s="991"/>
      <c r="R325" s="991"/>
      <c r="S325" s="991"/>
      <c r="T325" s="1045"/>
      <c r="U325" s="991"/>
      <c r="V325" s="991"/>
      <c r="W325" s="991"/>
      <c r="X325" s="1042"/>
    </row>
    <row r="326" spans="1:24" ht="15">
      <c r="A326" s="991"/>
      <c r="B326" s="1249"/>
      <c r="C326" s="1250"/>
      <c r="D326" s="1251"/>
      <c r="E326" s="1250"/>
      <c r="F326" s="1252"/>
      <c r="G326" s="991"/>
      <c r="H326" s="1045"/>
      <c r="I326" s="1045"/>
      <c r="J326" s="991"/>
      <c r="K326" s="991"/>
      <c r="L326" s="1045"/>
      <c r="M326" s="991"/>
      <c r="N326" s="991"/>
      <c r="O326" s="991"/>
      <c r="P326" s="1045"/>
      <c r="Q326" s="991"/>
      <c r="R326" s="991"/>
      <c r="S326" s="991"/>
      <c r="T326" s="1045"/>
      <c r="U326" s="991"/>
      <c r="V326" s="991"/>
      <c r="W326" s="991"/>
      <c r="X326" s="1042"/>
    </row>
    <row r="327" spans="1:24" ht="15">
      <c r="A327" s="991"/>
      <c r="B327" s="1249"/>
      <c r="C327" s="1250"/>
      <c r="D327" s="1251"/>
      <c r="E327" s="1250"/>
      <c r="F327" s="1252"/>
      <c r="G327" s="991"/>
      <c r="H327" s="1045"/>
      <c r="I327" s="1045"/>
      <c r="J327" s="991"/>
      <c r="K327" s="991"/>
      <c r="L327" s="1045"/>
      <c r="M327" s="991"/>
      <c r="N327" s="991"/>
      <c r="O327" s="991"/>
      <c r="P327" s="1045"/>
      <c r="Q327" s="991"/>
      <c r="R327" s="991"/>
      <c r="S327" s="991"/>
      <c r="T327" s="1045"/>
      <c r="U327" s="991"/>
      <c r="V327" s="991"/>
      <c r="W327" s="991"/>
      <c r="X327" s="1042"/>
    </row>
    <row r="328" spans="1:24" ht="15">
      <c r="A328" s="991"/>
      <c r="B328" s="1249"/>
      <c r="C328" s="1250"/>
      <c r="D328" s="1251"/>
      <c r="E328" s="1250"/>
      <c r="F328" s="1252"/>
      <c r="G328" s="991"/>
      <c r="H328" s="1045"/>
      <c r="I328" s="1045"/>
      <c r="J328" s="991"/>
      <c r="K328" s="991"/>
      <c r="L328" s="1045"/>
      <c r="M328" s="991"/>
      <c r="N328" s="991"/>
      <c r="O328" s="991"/>
      <c r="P328" s="1045"/>
      <c r="Q328" s="991"/>
      <c r="R328" s="991"/>
      <c r="S328" s="991"/>
      <c r="T328" s="1045"/>
      <c r="U328" s="991"/>
      <c r="V328" s="991"/>
      <c r="W328" s="991"/>
      <c r="X328" s="1042"/>
    </row>
    <row r="329" spans="1:24" ht="15">
      <c r="A329" s="991"/>
      <c r="B329" s="1249"/>
      <c r="C329" s="1250"/>
      <c r="D329" s="1251"/>
      <c r="E329" s="1250"/>
      <c r="F329" s="1252"/>
      <c r="G329" s="991"/>
      <c r="H329" s="1045"/>
      <c r="I329" s="1045"/>
      <c r="J329" s="991"/>
      <c r="K329" s="991"/>
      <c r="L329" s="1045"/>
      <c r="M329" s="991"/>
      <c r="N329" s="991"/>
      <c r="O329" s="991"/>
      <c r="P329" s="1045"/>
      <c r="Q329" s="991"/>
      <c r="R329" s="991"/>
      <c r="S329" s="991"/>
      <c r="T329" s="1045"/>
      <c r="U329" s="991"/>
      <c r="V329" s="991"/>
      <c r="W329" s="991"/>
      <c r="X329" s="1042"/>
    </row>
    <row r="330" spans="1:24" ht="15">
      <c r="A330" s="991"/>
      <c r="B330" s="1249"/>
      <c r="C330" s="1250"/>
      <c r="D330" s="1251"/>
      <c r="E330" s="1250"/>
      <c r="F330" s="1252"/>
      <c r="G330" s="991"/>
      <c r="H330" s="1045"/>
      <c r="I330" s="1045"/>
      <c r="J330" s="991"/>
      <c r="K330" s="991"/>
      <c r="L330" s="1045"/>
      <c r="M330" s="991"/>
      <c r="N330" s="991"/>
      <c r="O330" s="991"/>
      <c r="P330" s="1045"/>
      <c r="Q330" s="991"/>
      <c r="R330" s="991"/>
      <c r="S330" s="991"/>
      <c r="T330" s="1045"/>
      <c r="U330" s="991"/>
      <c r="V330" s="991"/>
      <c r="W330" s="991"/>
      <c r="X330" s="1042"/>
    </row>
    <row r="331" spans="1:24" ht="15">
      <c r="A331" s="991"/>
      <c r="B331" s="1249"/>
      <c r="C331" s="1250"/>
      <c r="D331" s="1251"/>
      <c r="E331" s="1250"/>
      <c r="F331" s="1252"/>
      <c r="G331" s="991"/>
      <c r="H331" s="1045"/>
      <c r="I331" s="1045"/>
      <c r="J331" s="991"/>
      <c r="K331" s="991"/>
      <c r="L331" s="1045"/>
      <c r="M331" s="991"/>
      <c r="N331" s="991"/>
      <c r="O331" s="991"/>
      <c r="P331" s="1045"/>
      <c r="Q331" s="991"/>
      <c r="R331" s="991"/>
      <c r="S331" s="991"/>
      <c r="T331" s="1045"/>
      <c r="U331" s="991"/>
      <c r="V331" s="991"/>
      <c r="W331" s="991"/>
      <c r="X331" s="1042"/>
    </row>
    <row r="332" spans="1:24" ht="15">
      <c r="A332" s="991"/>
      <c r="B332" s="1249"/>
      <c r="C332" s="1250"/>
      <c r="D332" s="1251"/>
      <c r="E332" s="1250"/>
      <c r="F332" s="1252"/>
      <c r="G332" s="991"/>
      <c r="H332" s="1045"/>
      <c r="I332" s="1045"/>
      <c r="J332" s="991"/>
      <c r="K332" s="991"/>
      <c r="L332" s="1045"/>
      <c r="M332" s="991"/>
      <c r="N332" s="991"/>
      <c r="O332" s="991"/>
      <c r="P332" s="1045"/>
      <c r="Q332" s="991"/>
      <c r="R332" s="991"/>
      <c r="S332" s="991"/>
      <c r="T332" s="1045"/>
      <c r="U332" s="991"/>
      <c r="V332" s="991"/>
      <c r="W332" s="991"/>
      <c r="X332" s="1042"/>
    </row>
    <row r="333" spans="1:24" ht="15">
      <c r="A333" s="991"/>
      <c r="B333" s="1249"/>
      <c r="C333" s="1250"/>
      <c r="D333" s="1251"/>
      <c r="E333" s="1250"/>
      <c r="F333" s="1252"/>
      <c r="G333" s="991"/>
      <c r="H333" s="1045"/>
      <c r="I333" s="1045"/>
      <c r="J333" s="991"/>
      <c r="K333" s="991"/>
      <c r="L333" s="1045"/>
      <c r="M333" s="991"/>
      <c r="N333" s="991"/>
      <c r="O333" s="991"/>
      <c r="P333" s="1045"/>
      <c r="Q333" s="991"/>
      <c r="R333" s="991"/>
      <c r="S333" s="991"/>
      <c r="T333" s="1045"/>
      <c r="U333" s="991"/>
      <c r="V333" s="991"/>
      <c r="W333" s="991"/>
      <c r="X333" s="1042"/>
    </row>
    <row r="334" spans="1:24" ht="15">
      <c r="A334" s="991"/>
      <c r="B334" s="1249"/>
      <c r="C334" s="1250"/>
      <c r="D334" s="1251"/>
      <c r="E334" s="1250"/>
      <c r="F334" s="1252"/>
      <c r="G334" s="991"/>
      <c r="H334" s="1045"/>
      <c r="I334" s="1045"/>
      <c r="J334" s="991"/>
      <c r="K334" s="991"/>
      <c r="L334" s="1045"/>
      <c r="M334" s="991"/>
      <c r="N334" s="991"/>
      <c r="O334" s="991"/>
      <c r="P334" s="1045"/>
      <c r="Q334" s="991"/>
      <c r="R334" s="991"/>
      <c r="S334" s="991"/>
      <c r="T334" s="1045"/>
      <c r="U334" s="991"/>
      <c r="V334" s="991"/>
      <c r="W334" s="991"/>
      <c r="X334" s="1042"/>
    </row>
    <row r="335" spans="1:24" ht="15">
      <c r="A335" s="991"/>
      <c r="B335" s="1249"/>
      <c r="C335" s="1250"/>
      <c r="D335" s="1251"/>
      <c r="E335" s="1250"/>
      <c r="F335" s="1252"/>
      <c r="G335" s="991"/>
      <c r="H335" s="1045"/>
      <c r="I335" s="1045"/>
      <c r="J335" s="991"/>
      <c r="K335" s="991"/>
      <c r="L335" s="1045"/>
      <c r="M335" s="991"/>
      <c r="N335" s="991"/>
      <c r="O335" s="991"/>
      <c r="P335" s="1045"/>
      <c r="Q335" s="991"/>
      <c r="R335" s="991"/>
      <c r="S335" s="991"/>
      <c r="T335" s="1045"/>
      <c r="U335" s="991"/>
      <c r="V335" s="991"/>
      <c r="W335" s="991"/>
      <c r="X335" s="1042"/>
    </row>
    <row r="336" spans="1:24" ht="15">
      <c r="A336" s="991"/>
      <c r="B336" s="1249"/>
      <c r="C336" s="1250"/>
      <c r="D336" s="1251"/>
      <c r="E336" s="1250"/>
      <c r="F336" s="1252"/>
      <c r="G336" s="991"/>
      <c r="H336" s="1045"/>
      <c r="I336" s="1045"/>
      <c r="J336" s="991"/>
      <c r="K336" s="991"/>
      <c r="L336" s="1045"/>
      <c r="M336" s="991"/>
      <c r="N336" s="991"/>
      <c r="O336" s="991"/>
      <c r="P336" s="1045"/>
      <c r="Q336" s="991"/>
      <c r="R336" s="991"/>
      <c r="S336" s="991"/>
      <c r="T336" s="1045"/>
      <c r="U336" s="991"/>
      <c r="V336" s="991"/>
      <c r="W336" s="991"/>
      <c r="X336" s="1042"/>
    </row>
    <row r="337" spans="1:24" ht="15">
      <c r="A337" s="991"/>
      <c r="B337" s="1249"/>
      <c r="C337" s="1250"/>
      <c r="D337" s="1251"/>
      <c r="E337" s="1250"/>
      <c r="F337" s="1252"/>
      <c r="G337" s="991"/>
      <c r="H337" s="1045"/>
      <c r="I337" s="1045"/>
      <c r="J337" s="991"/>
      <c r="K337" s="991"/>
      <c r="L337" s="1045"/>
      <c r="M337" s="991"/>
      <c r="N337" s="991"/>
      <c r="O337" s="991"/>
      <c r="P337" s="1045"/>
      <c r="Q337" s="991"/>
      <c r="R337" s="991"/>
      <c r="S337" s="991"/>
      <c r="T337" s="1045"/>
      <c r="U337" s="991"/>
      <c r="V337" s="991"/>
      <c r="W337" s="991"/>
      <c r="X337" s="1042"/>
    </row>
    <row r="338" spans="1:24" ht="15">
      <c r="A338" s="991"/>
      <c r="B338" s="1249"/>
      <c r="C338" s="1250"/>
      <c r="D338" s="1251"/>
      <c r="E338" s="1250"/>
      <c r="F338" s="1252"/>
      <c r="G338" s="991"/>
      <c r="H338" s="1045"/>
      <c r="I338" s="1045"/>
      <c r="J338" s="991"/>
      <c r="K338" s="991"/>
      <c r="L338" s="1045"/>
      <c r="M338" s="991"/>
      <c r="N338" s="991"/>
      <c r="O338" s="991"/>
      <c r="P338" s="1045"/>
      <c r="Q338" s="991"/>
      <c r="R338" s="991"/>
      <c r="S338" s="991"/>
      <c r="T338" s="1045"/>
      <c r="U338" s="991"/>
      <c r="V338" s="991"/>
      <c r="W338" s="991"/>
      <c r="X338" s="1042"/>
    </row>
    <row r="339" spans="1:24" ht="15">
      <c r="A339" s="991"/>
      <c r="B339" s="1249"/>
      <c r="C339" s="1250"/>
      <c r="D339" s="1251"/>
      <c r="E339" s="1250"/>
      <c r="F339" s="1252"/>
      <c r="G339" s="991"/>
      <c r="H339" s="1045"/>
      <c r="I339" s="1045"/>
      <c r="J339" s="991"/>
      <c r="K339" s="991"/>
      <c r="L339" s="1045"/>
      <c r="M339" s="991"/>
      <c r="N339" s="991"/>
      <c r="O339" s="991"/>
      <c r="P339" s="1045"/>
      <c r="Q339" s="991"/>
      <c r="R339" s="991"/>
      <c r="S339" s="991"/>
      <c r="T339" s="1045"/>
      <c r="U339" s="991"/>
      <c r="V339" s="991"/>
      <c r="W339" s="991"/>
      <c r="X339" s="1042"/>
    </row>
    <row r="340" spans="1:24" ht="15">
      <c r="A340" s="991"/>
      <c r="B340" s="1249"/>
      <c r="C340" s="1250"/>
      <c r="D340" s="1251"/>
      <c r="E340" s="1250"/>
      <c r="F340" s="1252"/>
      <c r="G340" s="991"/>
      <c r="H340" s="1045"/>
      <c r="I340" s="1045"/>
      <c r="J340" s="991"/>
      <c r="K340" s="991"/>
      <c r="L340" s="1045"/>
      <c r="M340" s="991"/>
      <c r="N340" s="991"/>
      <c r="O340" s="991"/>
      <c r="P340" s="1045"/>
      <c r="Q340" s="991"/>
      <c r="R340" s="991"/>
      <c r="S340" s="991"/>
      <c r="T340" s="1045"/>
      <c r="U340" s="991"/>
      <c r="V340" s="991"/>
      <c r="W340" s="991"/>
      <c r="X340" s="1042"/>
    </row>
    <row r="341" spans="1:24" ht="15">
      <c r="A341" s="991"/>
      <c r="B341" s="1249"/>
      <c r="C341" s="1250"/>
      <c r="D341" s="1251"/>
      <c r="E341" s="1250"/>
      <c r="F341" s="1252"/>
      <c r="G341" s="991"/>
      <c r="H341" s="1045"/>
      <c r="I341" s="1045"/>
      <c r="J341" s="991"/>
      <c r="K341" s="991"/>
      <c r="L341" s="1045"/>
      <c r="M341" s="991"/>
      <c r="N341" s="991"/>
      <c r="O341" s="991"/>
      <c r="P341" s="1045"/>
      <c r="Q341" s="991"/>
      <c r="R341" s="991"/>
      <c r="S341" s="991"/>
      <c r="T341" s="1045"/>
      <c r="U341" s="991"/>
      <c r="V341" s="991"/>
      <c r="W341" s="991"/>
      <c r="X341" s="1042"/>
    </row>
    <row r="342" spans="1:24" ht="15">
      <c r="A342" s="991"/>
      <c r="B342" s="1249"/>
      <c r="C342" s="1250"/>
      <c r="D342" s="1251"/>
      <c r="E342" s="1250"/>
      <c r="F342" s="1252"/>
      <c r="G342" s="991"/>
      <c r="H342" s="1045"/>
      <c r="I342" s="1045"/>
      <c r="J342" s="991"/>
      <c r="K342" s="991"/>
      <c r="L342" s="1045"/>
      <c r="M342" s="991"/>
      <c r="N342" s="991"/>
      <c r="O342" s="991"/>
      <c r="P342" s="1045"/>
      <c r="Q342" s="991"/>
      <c r="R342" s="991"/>
      <c r="S342" s="991"/>
      <c r="T342" s="1045"/>
      <c r="U342" s="991"/>
      <c r="V342" s="991"/>
      <c r="W342" s="991"/>
      <c r="X342" s="1042"/>
    </row>
    <row r="343" spans="1:24" ht="15">
      <c r="A343" s="991"/>
      <c r="B343" s="1249"/>
      <c r="C343" s="1250"/>
      <c r="D343" s="1251"/>
      <c r="E343" s="1250"/>
      <c r="F343" s="1252"/>
      <c r="G343" s="991"/>
      <c r="H343" s="1045"/>
      <c r="I343" s="1045"/>
      <c r="J343" s="991"/>
      <c r="K343" s="991"/>
      <c r="L343" s="1045"/>
      <c r="M343" s="991"/>
      <c r="N343" s="991"/>
      <c r="O343" s="991"/>
      <c r="P343" s="1045"/>
      <c r="Q343" s="991"/>
      <c r="R343" s="991"/>
      <c r="S343" s="991"/>
      <c r="T343" s="1045"/>
      <c r="U343" s="991"/>
      <c r="V343" s="991"/>
      <c r="W343" s="991"/>
      <c r="X343" s="1042"/>
    </row>
    <row r="344" spans="1:24" ht="15">
      <c r="A344" s="991"/>
      <c r="B344" s="1249"/>
      <c r="C344" s="1250"/>
      <c r="D344" s="1251"/>
      <c r="E344" s="1250"/>
      <c r="F344" s="1252"/>
      <c r="G344" s="991"/>
      <c r="H344" s="1045"/>
      <c r="I344" s="1045"/>
      <c r="J344" s="991"/>
      <c r="K344" s="991"/>
      <c r="L344" s="1045"/>
      <c r="M344" s="991"/>
      <c r="N344" s="991"/>
      <c r="O344" s="991"/>
      <c r="P344" s="1045"/>
      <c r="Q344" s="991"/>
      <c r="R344" s="991"/>
      <c r="S344" s="991"/>
      <c r="T344" s="1045"/>
      <c r="U344" s="991"/>
      <c r="V344" s="991"/>
      <c r="W344" s="991"/>
      <c r="X344" s="1042"/>
    </row>
    <row r="345" spans="1:24" ht="15">
      <c r="A345" s="991"/>
      <c r="B345" s="1249"/>
      <c r="C345" s="1250"/>
      <c r="D345" s="1251"/>
      <c r="E345" s="1250"/>
      <c r="F345" s="1252"/>
      <c r="G345" s="991"/>
      <c r="H345" s="1045"/>
      <c r="I345" s="1045"/>
      <c r="J345" s="991"/>
      <c r="K345" s="991"/>
      <c r="L345" s="1045"/>
      <c r="M345" s="991"/>
      <c r="N345" s="991"/>
      <c r="O345" s="991"/>
      <c r="P345" s="1045"/>
      <c r="Q345" s="991"/>
      <c r="R345" s="991"/>
      <c r="S345" s="991"/>
      <c r="T345" s="1045"/>
      <c r="U345" s="991"/>
      <c r="V345" s="991"/>
      <c r="W345" s="991"/>
      <c r="X345" s="1042"/>
    </row>
    <row r="346" spans="1:24" ht="15">
      <c r="A346" s="991"/>
      <c r="B346" s="1249"/>
      <c r="C346" s="1250"/>
      <c r="D346" s="1251"/>
      <c r="E346" s="1250"/>
      <c r="F346" s="1252"/>
      <c r="G346" s="991"/>
      <c r="H346" s="1045"/>
      <c r="I346" s="1045"/>
      <c r="J346" s="991"/>
      <c r="K346" s="991"/>
      <c r="L346" s="1045"/>
      <c r="M346" s="991"/>
      <c r="N346" s="991"/>
      <c r="O346" s="991"/>
      <c r="P346" s="1045"/>
      <c r="Q346" s="991"/>
      <c r="R346" s="991"/>
      <c r="S346" s="991"/>
      <c r="T346" s="1045"/>
      <c r="U346" s="991"/>
      <c r="V346" s="991"/>
      <c r="W346" s="991"/>
      <c r="X346" s="1042"/>
    </row>
    <row r="347" spans="1:24" ht="15">
      <c r="A347" s="991"/>
      <c r="B347" s="1249"/>
      <c r="C347" s="1250"/>
      <c r="D347" s="1251"/>
      <c r="E347" s="1250"/>
      <c r="F347" s="1252"/>
      <c r="G347" s="991"/>
      <c r="H347" s="1045"/>
      <c r="I347" s="1045"/>
      <c r="J347" s="991"/>
      <c r="K347" s="991"/>
      <c r="L347" s="1045"/>
      <c r="M347" s="991"/>
      <c r="N347" s="991"/>
      <c r="O347" s="991"/>
      <c r="P347" s="1045"/>
      <c r="Q347" s="991"/>
      <c r="R347" s="991"/>
      <c r="S347" s="991"/>
      <c r="T347" s="1045"/>
      <c r="U347" s="991"/>
      <c r="V347" s="991"/>
      <c r="W347" s="991"/>
      <c r="X347" s="1042"/>
    </row>
    <row r="348" spans="1:24" ht="15">
      <c r="A348" s="991"/>
      <c r="B348" s="1249"/>
      <c r="C348" s="1250"/>
      <c r="D348" s="1251"/>
      <c r="E348" s="1250"/>
      <c r="F348" s="1252"/>
      <c r="G348" s="991"/>
      <c r="H348" s="1045"/>
      <c r="I348" s="1045"/>
      <c r="J348" s="991"/>
      <c r="K348" s="991"/>
      <c r="L348" s="1045"/>
      <c r="M348" s="991"/>
      <c r="N348" s="991"/>
      <c r="O348" s="991"/>
      <c r="P348" s="1045"/>
      <c r="Q348" s="991"/>
      <c r="R348" s="991"/>
      <c r="S348" s="991"/>
      <c r="T348" s="1045"/>
      <c r="U348" s="991"/>
      <c r="V348" s="991"/>
      <c r="W348" s="991"/>
      <c r="X348" s="1042"/>
    </row>
    <row r="349" spans="1:24" ht="15">
      <c r="A349" s="991"/>
      <c r="B349" s="1249"/>
      <c r="C349" s="1250"/>
      <c r="D349" s="1251"/>
      <c r="E349" s="1250"/>
      <c r="F349" s="1252"/>
      <c r="G349" s="991"/>
      <c r="H349" s="1045"/>
      <c r="I349" s="1045"/>
      <c r="J349" s="991"/>
      <c r="K349" s="991"/>
      <c r="L349" s="1045"/>
      <c r="M349" s="991"/>
      <c r="N349" s="991"/>
      <c r="O349" s="991"/>
      <c r="P349" s="1045"/>
      <c r="Q349" s="991"/>
      <c r="R349" s="991"/>
      <c r="S349" s="991"/>
      <c r="T349" s="1045"/>
      <c r="U349" s="991"/>
      <c r="V349" s="991"/>
      <c r="W349" s="991"/>
      <c r="X349" s="1042"/>
    </row>
    <row r="350" spans="1:24" ht="15">
      <c r="A350" s="991"/>
      <c r="B350" s="1249"/>
      <c r="C350" s="1250"/>
      <c r="D350" s="1251"/>
      <c r="E350" s="1250"/>
      <c r="F350" s="1252"/>
      <c r="G350" s="991"/>
      <c r="H350" s="1045"/>
      <c r="I350" s="1045"/>
      <c r="J350" s="991"/>
      <c r="K350" s="991"/>
      <c r="L350" s="1045"/>
      <c r="M350" s="991"/>
      <c r="N350" s="991"/>
      <c r="O350" s="991"/>
      <c r="P350" s="1045"/>
      <c r="Q350" s="991"/>
      <c r="R350" s="991"/>
      <c r="S350" s="991"/>
      <c r="T350" s="1045"/>
      <c r="U350" s="991"/>
      <c r="V350" s="991"/>
      <c r="W350" s="991"/>
      <c r="X350" s="1042"/>
    </row>
    <row r="351" spans="1:24" ht="15">
      <c r="A351" s="991"/>
      <c r="B351" s="1249"/>
      <c r="C351" s="1250"/>
      <c r="D351" s="1251"/>
      <c r="E351" s="1250"/>
      <c r="F351" s="1252"/>
      <c r="G351" s="991"/>
      <c r="H351" s="1045"/>
      <c r="I351" s="1045"/>
      <c r="J351" s="991"/>
      <c r="K351" s="991"/>
      <c r="L351" s="1045"/>
      <c r="M351" s="991"/>
      <c r="N351" s="991"/>
      <c r="O351" s="991"/>
      <c r="P351" s="1045"/>
      <c r="Q351" s="991"/>
      <c r="R351" s="991"/>
      <c r="S351" s="991"/>
      <c r="T351" s="1045"/>
      <c r="U351" s="991"/>
      <c r="V351" s="991"/>
      <c r="W351" s="991"/>
      <c r="X351" s="1042"/>
    </row>
    <row r="352" spans="1:24" ht="15">
      <c r="A352" s="991"/>
      <c r="B352" s="1249"/>
      <c r="C352" s="1250"/>
      <c r="D352" s="1251"/>
      <c r="E352" s="1250"/>
      <c r="F352" s="1252"/>
      <c r="G352" s="991"/>
      <c r="H352" s="1045"/>
      <c r="I352" s="1045"/>
      <c r="J352" s="991"/>
      <c r="K352" s="991"/>
      <c r="L352" s="1045"/>
      <c r="M352" s="991"/>
      <c r="N352" s="991"/>
      <c r="O352" s="991"/>
      <c r="P352" s="1045"/>
      <c r="Q352" s="991"/>
      <c r="R352" s="991"/>
      <c r="S352" s="991"/>
      <c r="T352" s="1045"/>
      <c r="U352" s="991"/>
      <c r="V352" s="991"/>
      <c r="W352" s="991"/>
      <c r="X352" s="1042"/>
    </row>
    <row r="353" spans="1:24" ht="15">
      <c r="A353" s="991"/>
      <c r="B353" s="1249"/>
      <c r="C353" s="1250"/>
      <c r="D353" s="1251"/>
      <c r="E353" s="1250"/>
      <c r="F353" s="1252"/>
      <c r="G353" s="991"/>
      <c r="H353" s="1045"/>
      <c r="I353" s="1045"/>
      <c r="J353" s="991"/>
      <c r="K353" s="991"/>
      <c r="L353" s="1045"/>
      <c r="M353" s="991"/>
      <c r="N353" s="991"/>
      <c r="O353" s="991"/>
      <c r="P353" s="1045"/>
      <c r="Q353" s="991"/>
      <c r="R353" s="991"/>
      <c r="S353" s="991"/>
      <c r="T353" s="1045"/>
      <c r="U353" s="991"/>
      <c r="V353" s="991"/>
      <c r="W353" s="991"/>
      <c r="X353" s="1042"/>
    </row>
    <row r="354" spans="1:24" ht="15">
      <c r="A354" s="991"/>
      <c r="B354" s="1249"/>
      <c r="C354" s="1250"/>
      <c r="D354" s="1251"/>
      <c r="E354" s="1250"/>
      <c r="F354" s="1252"/>
      <c r="G354" s="991"/>
      <c r="H354" s="1045"/>
      <c r="I354" s="1045"/>
      <c r="J354" s="991"/>
      <c r="K354" s="991"/>
      <c r="L354" s="1045"/>
      <c r="M354" s="991"/>
      <c r="N354" s="991"/>
      <c r="O354" s="991"/>
      <c r="P354" s="1045"/>
      <c r="Q354" s="991"/>
      <c r="R354" s="991"/>
      <c r="S354" s="991"/>
      <c r="T354" s="1045"/>
      <c r="U354" s="991"/>
      <c r="V354" s="991"/>
      <c r="W354" s="991"/>
      <c r="X354" s="1042"/>
    </row>
    <row r="355" spans="1:24" ht="15">
      <c r="A355" s="991"/>
      <c r="B355" s="1249"/>
      <c r="C355" s="1250"/>
      <c r="D355" s="1251"/>
      <c r="E355" s="1250"/>
      <c r="F355" s="1252"/>
      <c r="G355" s="991"/>
      <c r="H355" s="1045"/>
      <c r="I355" s="1045"/>
      <c r="J355" s="991"/>
      <c r="K355" s="991"/>
      <c r="L355" s="1045"/>
      <c r="M355" s="991"/>
      <c r="N355" s="991"/>
      <c r="O355" s="991"/>
      <c r="P355" s="1045"/>
      <c r="Q355" s="991"/>
      <c r="R355" s="991"/>
      <c r="S355" s="991"/>
      <c r="T355" s="1045"/>
      <c r="U355" s="991"/>
      <c r="V355" s="991"/>
      <c r="W355" s="991"/>
      <c r="X355" s="1042"/>
    </row>
    <row r="356" spans="1:24" ht="15">
      <c r="A356" s="991"/>
      <c r="B356" s="1249"/>
      <c r="C356" s="1250"/>
      <c r="D356" s="1251"/>
      <c r="E356" s="1250"/>
      <c r="F356" s="1252"/>
      <c r="G356" s="991"/>
      <c r="H356" s="1045"/>
      <c r="I356" s="1045"/>
      <c r="J356" s="991"/>
      <c r="K356" s="991"/>
      <c r="L356" s="1045"/>
      <c r="M356" s="991"/>
      <c r="N356" s="991"/>
      <c r="O356" s="991"/>
      <c r="P356" s="1045"/>
      <c r="Q356" s="991"/>
      <c r="R356" s="991"/>
      <c r="S356" s="991"/>
      <c r="T356" s="1045"/>
      <c r="U356" s="991"/>
      <c r="V356" s="991"/>
      <c r="W356" s="991"/>
      <c r="X356" s="1042"/>
    </row>
    <row r="357" spans="1:24" ht="15">
      <c r="A357" s="991"/>
      <c r="B357" s="1249"/>
      <c r="C357" s="1250"/>
      <c r="D357" s="1251"/>
      <c r="E357" s="1250"/>
      <c r="F357" s="1252"/>
      <c r="G357" s="991"/>
      <c r="H357" s="1045"/>
      <c r="I357" s="1045"/>
      <c r="J357" s="991"/>
      <c r="K357" s="991"/>
      <c r="L357" s="1045"/>
      <c r="M357" s="991"/>
      <c r="N357" s="991"/>
      <c r="O357" s="991"/>
      <c r="P357" s="1045"/>
      <c r="Q357" s="991"/>
      <c r="R357" s="991"/>
      <c r="S357" s="991"/>
      <c r="T357" s="1045"/>
      <c r="U357" s="991"/>
      <c r="V357" s="991"/>
      <c r="W357" s="991"/>
      <c r="X357" s="1042"/>
    </row>
    <row r="358" spans="1:24" ht="15">
      <c r="A358" s="991"/>
      <c r="B358" s="1249"/>
      <c r="C358" s="1250"/>
      <c r="D358" s="1251"/>
      <c r="E358" s="1250"/>
      <c r="F358" s="1252"/>
      <c r="G358" s="991"/>
      <c r="H358" s="1045"/>
      <c r="I358" s="1045"/>
      <c r="J358" s="991"/>
      <c r="K358" s="991"/>
      <c r="L358" s="1045"/>
      <c r="M358" s="991"/>
      <c r="N358" s="991"/>
      <c r="O358" s="991"/>
      <c r="P358" s="1045"/>
      <c r="Q358" s="991"/>
      <c r="R358" s="991"/>
      <c r="S358" s="991"/>
      <c r="T358" s="1045"/>
      <c r="U358" s="991"/>
      <c r="V358" s="991"/>
      <c r="W358" s="991"/>
      <c r="X358" s="1042"/>
    </row>
    <row r="359" spans="1:24" ht="15">
      <c r="A359" s="991"/>
      <c r="B359" s="1249"/>
      <c r="C359" s="1250"/>
      <c r="D359" s="1251"/>
      <c r="E359" s="1250"/>
      <c r="F359" s="1252"/>
      <c r="G359" s="991"/>
      <c r="H359" s="1045"/>
      <c r="I359" s="1045"/>
      <c r="J359" s="991"/>
      <c r="K359" s="991"/>
      <c r="L359" s="1045"/>
      <c r="M359" s="991"/>
      <c r="N359" s="991"/>
      <c r="O359" s="991"/>
      <c r="P359" s="1045"/>
      <c r="Q359" s="991"/>
      <c r="R359" s="991"/>
      <c r="S359" s="991"/>
      <c r="T359" s="1045"/>
      <c r="U359" s="991"/>
      <c r="V359" s="991"/>
      <c r="W359" s="991"/>
      <c r="X359" s="1042"/>
    </row>
    <row r="360" spans="1:24" ht="15">
      <c r="A360" s="991"/>
      <c r="B360" s="1249"/>
      <c r="C360" s="1250"/>
      <c r="D360" s="1251"/>
      <c r="E360" s="1250"/>
      <c r="F360" s="1252"/>
      <c r="G360" s="991"/>
      <c r="H360" s="1045"/>
      <c r="I360" s="1045"/>
      <c r="J360" s="991"/>
      <c r="K360" s="991"/>
      <c r="L360" s="1045"/>
      <c r="M360" s="991"/>
      <c r="N360" s="991"/>
      <c r="O360" s="991"/>
      <c r="P360" s="1045"/>
      <c r="Q360" s="991"/>
      <c r="R360" s="991"/>
      <c r="S360" s="991"/>
      <c r="T360" s="1045"/>
      <c r="U360" s="991"/>
      <c r="V360" s="991"/>
      <c r="W360" s="991"/>
      <c r="X360" s="1042"/>
    </row>
    <row r="361" spans="1:24" ht="15">
      <c r="A361" s="991"/>
      <c r="B361" s="1249"/>
      <c r="C361" s="1250"/>
      <c r="D361" s="1251"/>
      <c r="E361" s="1250"/>
      <c r="F361" s="1252"/>
      <c r="G361" s="991"/>
      <c r="H361" s="1045"/>
      <c r="I361" s="1045"/>
      <c r="J361" s="991"/>
      <c r="K361" s="991"/>
      <c r="L361" s="1045"/>
      <c r="M361" s="991"/>
      <c r="N361" s="991"/>
      <c r="O361" s="991"/>
      <c r="P361" s="1045"/>
      <c r="Q361" s="991"/>
      <c r="R361" s="991"/>
      <c r="S361" s="991"/>
      <c r="T361" s="1045"/>
      <c r="U361" s="991"/>
      <c r="V361" s="991"/>
      <c r="W361" s="991"/>
      <c r="X361" s="1042"/>
    </row>
    <row r="362" spans="1:24" ht="15">
      <c r="A362" s="991"/>
      <c r="B362" s="1249"/>
      <c r="C362" s="1250"/>
      <c r="D362" s="1251"/>
      <c r="E362" s="1250"/>
      <c r="F362" s="1252"/>
      <c r="G362" s="991"/>
      <c r="H362" s="1045"/>
      <c r="I362" s="1045"/>
      <c r="J362" s="991"/>
      <c r="K362" s="991"/>
      <c r="L362" s="1045"/>
      <c r="M362" s="991"/>
      <c r="N362" s="991"/>
      <c r="O362" s="991"/>
      <c r="P362" s="1045"/>
      <c r="Q362" s="991"/>
      <c r="R362" s="991"/>
      <c r="S362" s="991"/>
      <c r="T362" s="1045"/>
      <c r="U362" s="991"/>
      <c r="V362" s="991"/>
      <c r="W362" s="991"/>
      <c r="X362" s="1042"/>
    </row>
    <row r="363" spans="1:24" ht="15">
      <c r="A363" s="991"/>
      <c r="B363" s="1249"/>
      <c r="C363" s="1250"/>
      <c r="D363" s="1251"/>
      <c r="E363" s="1250"/>
      <c r="F363" s="1252"/>
      <c r="G363" s="991"/>
      <c r="H363" s="1045"/>
      <c r="I363" s="1045"/>
      <c r="J363" s="991"/>
      <c r="K363" s="991"/>
      <c r="L363" s="1045"/>
      <c r="M363" s="991"/>
      <c r="N363" s="991"/>
      <c r="O363" s="991"/>
      <c r="P363" s="1045"/>
      <c r="Q363" s="991"/>
      <c r="R363" s="991"/>
      <c r="S363" s="991"/>
      <c r="T363" s="1045"/>
      <c r="U363" s="991"/>
      <c r="V363" s="991"/>
      <c r="W363" s="991"/>
      <c r="X363" s="1042"/>
    </row>
    <row r="364" spans="1:24" ht="15">
      <c r="A364" s="991"/>
      <c r="B364" s="1249"/>
      <c r="C364" s="1250"/>
      <c r="D364" s="1251"/>
      <c r="E364" s="1250"/>
      <c r="F364" s="1252"/>
      <c r="G364" s="991"/>
      <c r="H364" s="1045"/>
      <c r="I364" s="1045"/>
      <c r="J364" s="991"/>
      <c r="K364" s="991"/>
      <c r="L364" s="1045"/>
      <c r="M364" s="991"/>
      <c r="N364" s="991"/>
      <c r="O364" s="991"/>
      <c r="P364" s="1045"/>
      <c r="Q364" s="991"/>
      <c r="R364" s="991"/>
      <c r="S364" s="991"/>
      <c r="T364" s="1045"/>
      <c r="U364" s="991"/>
      <c r="V364" s="991"/>
      <c r="W364" s="991"/>
      <c r="X364" s="1042"/>
    </row>
    <row r="365" spans="1:24" ht="15">
      <c r="A365" s="991"/>
      <c r="B365" s="1249"/>
      <c r="C365" s="1250"/>
      <c r="D365" s="1251"/>
      <c r="E365" s="1250"/>
      <c r="F365" s="1252"/>
      <c r="G365" s="991"/>
      <c r="H365" s="1045"/>
      <c r="I365" s="1045"/>
      <c r="J365" s="991"/>
      <c r="K365" s="991"/>
      <c r="L365" s="1045"/>
      <c r="M365" s="991"/>
      <c r="N365" s="991"/>
      <c r="O365" s="991"/>
      <c r="P365" s="1045"/>
      <c r="Q365" s="991"/>
      <c r="R365" s="991"/>
      <c r="S365" s="991"/>
      <c r="T365" s="1045"/>
      <c r="U365" s="991"/>
      <c r="V365" s="991"/>
      <c r="W365" s="991"/>
      <c r="X365" s="1042"/>
    </row>
    <row r="366" spans="1:24" ht="15">
      <c r="A366" s="991"/>
      <c r="B366" s="1249"/>
      <c r="C366" s="1250"/>
      <c r="D366" s="1251"/>
      <c r="E366" s="1250"/>
      <c r="F366" s="1252"/>
      <c r="G366" s="991"/>
      <c r="H366" s="1045"/>
      <c r="I366" s="1045"/>
      <c r="J366" s="991"/>
      <c r="K366" s="991"/>
      <c r="L366" s="1045"/>
      <c r="M366" s="991"/>
      <c r="N366" s="991"/>
      <c r="O366" s="991"/>
      <c r="P366" s="1045"/>
      <c r="Q366" s="991"/>
      <c r="R366" s="991"/>
      <c r="S366" s="991"/>
      <c r="T366" s="1045"/>
      <c r="U366" s="991"/>
      <c r="V366" s="991"/>
      <c r="W366" s="991"/>
      <c r="X366" s="1042"/>
    </row>
    <row r="367" spans="1:24" ht="15">
      <c r="A367" s="991"/>
      <c r="B367" s="1249"/>
      <c r="C367" s="1250"/>
      <c r="D367" s="1251"/>
      <c r="E367" s="1250"/>
      <c r="F367" s="1252"/>
      <c r="G367" s="991"/>
      <c r="H367" s="1045"/>
      <c r="I367" s="1045"/>
      <c r="J367" s="991"/>
      <c r="K367" s="991"/>
      <c r="L367" s="1045"/>
      <c r="M367" s="991"/>
      <c r="N367" s="991"/>
      <c r="O367" s="991"/>
      <c r="P367" s="1045"/>
      <c r="Q367" s="991"/>
      <c r="R367" s="991"/>
      <c r="S367" s="991"/>
      <c r="T367" s="1045"/>
      <c r="U367" s="991"/>
      <c r="V367" s="991"/>
      <c r="W367" s="991"/>
      <c r="X367" s="1042"/>
    </row>
    <row r="368" spans="1:24" ht="15">
      <c r="A368" s="991"/>
      <c r="B368" s="1249"/>
      <c r="C368" s="1250"/>
      <c r="D368" s="1251"/>
      <c r="E368" s="1250"/>
      <c r="F368" s="1252"/>
      <c r="G368" s="991"/>
      <c r="H368" s="1045"/>
      <c r="I368" s="1045"/>
      <c r="J368" s="991"/>
      <c r="K368" s="991"/>
      <c r="L368" s="1045"/>
      <c r="M368" s="991"/>
      <c r="N368" s="991"/>
      <c r="O368" s="991"/>
      <c r="P368" s="1045"/>
      <c r="Q368" s="991"/>
      <c r="R368" s="991"/>
      <c r="S368" s="991"/>
      <c r="T368" s="1045"/>
      <c r="U368" s="991"/>
      <c r="V368" s="991"/>
      <c r="W368" s="991"/>
      <c r="X368" s="1042"/>
    </row>
    <row r="369" spans="1:24" ht="15">
      <c r="A369" s="991"/>
      <c r="B369" s="1249"/>
      <c r="C369" s="1250"/>
      <c r="D369" s="1251"/>
      <c r="E369" s="1250"/>
      <c r="F369" s="1252"/>
      <c r="G369" s="991"/>
      <c r="H369" s="1045"/>
      <c r="I369" s="1045"/>
      <c r="J369" s="991"/>
      <c r="K369" s="991"/>
      <c r="L369" s="1045"/>
      <c r="M369" s="991"/>
      <c r="N369" s="991"/>
      <c r="O369" s="991"/>
      <c r="P369" s="1045"/>
      <c r="Q369" s="991"/>
      <c r="R369" s="991"/>
      <c r="S369" s="991"/>
      <c r="T369" s="1045"/>
      <c r="U369" s="991"/>
      <c r="V369" s="991"/>
      <c r="W369" s="991"/>
      <c r="X369" s="1042"/>
    </row>
    <row r="370" spans="1:24" ht="15">
      <c r="A370" s="991"/>
      <c r="B370" s="1249"/>
      <c r="C370" s="1250"/>
      <c r="D370" s="1251"/>
      <c r="E370" s="1250"/>
      <c r="F370" s="1252"/>
      <c r="G370" s="991"/>
      <c r="H370" s="1045"/>
      <c r="I370" s="1045"/>
      <c r="J370" s="991"/>
      <c r="K370" s="991"/>
      <c r="L370" s="1045"/>
      <c r="M370" s="991"/>
      <c r="N370" s="991"/>
      <c r="O370" s="991"/>
      <c r="P370" s="1045"/>
      <c r="Q370" s="991"/>
      <c r="R370" s="991"/>
      <c r="S370" s="991"/>
      <c r="T370" s="1045"/>
      <c r="U370" s="991"/>
      <c r="V370" s="991"/>
      <c r="W370" s="991"/>
      <c r="X370" s="1042"/>
    </row>
    <row r="371" spans="1:24" ht="15">
      <c r="A371" s="991"/>
      <c r="B371" s="1249"/>
      <c r="C371" s="1250"/>
      <c r="D371" s="1251"/>
      <c r="E371" s="1250"/>
      <c r="F371" s="1252"/>
      <c r="G371" s="991"/>
      <c r="H371" s="1045"/>
      <c r="I371" s="1045"/>
      <c r="J371" s="991"/>
      <c r="K371" s="991"/>
      <c r="L371" s="1045"/>
      <c r="M371" s="991"/>
      <c r="N371" s="991"/>
      <c r="O371" s="991"/>
      <c r="P371" s="1045"/>
      <c r="Q371" s="991"/>
      <c r="R371" s="991"/>
      <c r="S371" s="991"/>
      <c r="T371" s="1045"/>
      <c r="U371" s="991"/>
      <c r="V371" s="991"/>
      <c r="W371" s="991"/>
      <c r="X371" s="1042"/>
    </row>
    <row r="372" spans="1:24" ht="15">
      <c r="A372" s="991"/>
      <c r="B372" s="1249"/>
      <c r="C372" s="1250"/>
      <c r="D372" s="1251"/>
      <c r="E372" s="1250"/>
      <c r="F372" s="1252"/>
      <c r="G372" s="991"/>
      <c r="H372" s="1045"/>
      <c r="I372" s="1045"/>
      <c r="J372" s="991"/>
      <c r="K372" s="991"/>
      <c r="L372" s="1045"/>
      <c r="M372" s="991"/>
      <c r="N372" s="991"/>
      <c r="O372" s="991"/>
      <c r="P372" s="1045"/>
      <c r="Q372" s="991"/>
      <c r="R372" s="991"/>
      <c r="S372" s="991"/>
      <c r="T372" s="1045"/>
      <c r="U372" s="991"/>
      <c r="V372" s="991"/>
      <c r="W372" s="991"/>
      <c r="X372" s="1042"/>
    </row>
    <row r="373" spans="1:24" ht="15">
      <c r="A373" s="991"/>
      <c r="B373" s="1249"/>
      <c r="C373" s="1250"/>
      <c r="D373" s="1251"/>
      <c r="E373" s="1250"/>
      <c r="F373" s="1252"/>
      <c r="G373" s="991"/>
      <c r="H373" s="1045"/>
      <c r="I373" s="1045"/>
      <c r="J373" s="991"/>
      <c r="K373" s="991"/>
      <c r="L373" s="1045"/>
      <c r="M373" s="991"/>
      <c r="N373" s="991"/>
      <c r="O373" s="991"/>
      <c r="P373" s="1045"/>
      <c r="Q373" s="991"/>
      <c r="R373" s="991"/>
      <c r="S373" s="991"/>
      <c r="T373" s="1045"/>
      <c r="U373" s="991"/>
      <c r="V373" s="991"/>
      <c r="W373" s="991"/>
      <c r="X373" s="1042"/>
    </row>
    <row r="374" spans="1:24" ht="15">
      <c r="A374" s="991"/>
      <c r="B374" s="1249"/>
      <c r="C374" s="1250"/>
      <c r="D374" s="1251"/>
      <c r="E374" s="1250"/>
      <c r="F374" s="1252"/>
      <c r="G374" s="991"/>
      <c r="H374" s="1045"/>
      <c r="I374" s="1045"/>
      <c r="J374" s="991"/>
      <c r="K374" s="991"/>
      <c r="L374" s="1045"/>
      <c r="M374" s="991"/>
      <c r="N374" s="991"/>
      <c r="O374" s="991"/>
      <c r="P374" s="1045"/>
      <c r="Q374" s="991"/>
      <c r="R374" s="991"/>
      <c r="S374" s="991"/>
      <c r="T374" s="1045"/>
      <c r="U374" s="991"/>
      <c r="V374" s="991"/>
      <c r="W374" s="991"/>
      <c r="X374" s="1042"/>
    </row>
    <row r="375" spans="1:24" ht="15">
      <c r="A375" s="991"/>
      <c r="B375" s="1249"/>
      <c r="C375" s="1250"/>
      <c r="D375" s="1251"/>
      <c r="E375" s="1250"/>
      <c r="F375" s="1252"/>
      <c r="G375" s="991"/>
      <c r="H375" s="1045"/>
      <c r="I375" s="1045"/>
      <c r="J375" s="991"/>
      <c r="K375" s="991"/>
      <c r="L375" s="1045"/>
      <c r="M375" s="991"/>
      <c r="N375" s="991"/>
      <c r="O375" s="991"/>
      <c r="P375" s="1045"/>
      <c r="Q375" s="991"/>
      <c r="R375" s="991"/>
      <c r="S375" s="991"/>
      <c r="T375" s="1045"/>
      <c r="U375" s="991"/>
      <c r="V375" s="991"/>
      <c r="W375" s="991"/>
      <c r="X375" s="1042"/>
    </row>
    <row r="376" spans="1:24" ht="15">
      <c r="A376" s="991"/>
      <c r="B376" s="1249"/>
      <c r="C376" s="1250"/>
      <c r="D376" s="1251"/>
      <c r="E376" s="1250"/>
      <c r="F376" s="1252"/>
      <c r="G376" s="991"/>
      <c r="H376" s="1045"/>
      <c r="I376" s="1045"/>
      <c r="J376" s="991"/>
      <c r="K376" s="991"/>
      <c r="L376" s="1045"/>
      <c r="M376" s="991"/>
      <c r="N376" s="991"/>
      <c r="O376" s="991"/>
      <c r="P376" s="1045"/>
      <c r="Q376" s="991"/>
      <c r="R376" s="991"/>
      <c r="S376" s="991"/>
      <c r="T376" s="1045"/>
      <c r="U376" s="991"/>
      <c r="V376" s="991"/>
      <c r="W376" s="991"/>
      <c r="X376" s="1042"/>
    </row>
    <row r="377" spans="1:24" ht="15">
      <c r="A377" s="991"/>
      <c r="B377" s="1249"/>
      <c r="C377" s="1250"/>
      <c r="D377" s="1251"/>
      <c r="E377" s="1250"/>
      <c r="F377" s="1252"/>
      <c r="G377" s="991"/>
      <c r="H377" s="1045"/>
      <c r="I377" s="1045"/>
      <c r="J377" s="991"/>
      <c r="K377" s="991"/>
      <c r="L377" s="1045"/>
      <c r="M377" s="991"/>
      <c r="N377" s="991"/>
      <c r="O377" s="991"/>
      <c r="P377" s="1045"/>
      <c r="Q377" s="991"/>
      <c r="R377" s="991"/>
      <c r="S377" s="991"/>
      <c r="T377" s="1045"/>
      <c r="U377" s="991"/>
      <c r="V377" s="991"/>
      <c r="W377" s="991"/>
      <c r="X377" s="1042"/>
    </row>
    <row r="378" spans="1:24" ht="15">
      <c r="A378" s="991"/>
      <c r="B378" s="1249"/>
      <c r="C378" s="1250"/>
      <c r="D378" s="1251"/>
      <c r="E378" s="1250"/>
      <c r="F378" s="1252"/>
      <c r="G378" s="991"/>
      <c r="H378" s="1045"/>
      <c r="I378" s="1045"/>
      <c r="J378" s="991"/>
      <c r="K378" s="991"/>
      <c r="L378" s="1045"/>
      <c r="M378" s="991"/>
      <c r="N378" s="991"/>
      <c r="O378" s="991"/>
      <c r="P378" s="1045"/>
      <c r="Q378" s="991"/>
      <c r="R378" s="991"/>
      <c r="S378" s="991"/>
      <c r="T378" s="1045"/>
      <c r="U378" s="991"/>
      <c r="V378" s="991"/>
      <c r="W378" s="991"/>
      <c r="X378" s="1042"/>
    </row>
    <row r="379" spans="1:24" ht="15">
      <c r="A379" s="991"/>
      <c r="B379" s="1249"/>
      <c r="C379" s="1250"/>
      <c r="D379" s="1251"/>
      <c r="E379" s="1250"/>
      <c r="F379" s="1252"/>
      <c r="G379" s="991"/>
      <c r="H379" s="1045"/>
      <c r="I379" s="1045"/>
      <c r="J379" s="991"/>
      <c r="K379" s="991"/>
      <c r="L379" s="1045"/>
      <c r="M379" s="991"/>
      <c r="N379" s="991"/>
      <c r="O379" s="991"/>
      <c r="P379" s="1045"/>
      <c r="Q379" s="991"/>
      <c r="R379" s="991"/>
      <c r="S379" s="991"/>
      <c r="T379" s="1045"/>
      <c r="U379" s="991"/>
      <c r="V379" s="991"/>
      <c r="W379" s="991"/>
      <c r="X379" s="1042"/>
    </row>
    <row r="380" spans="1:24" ht="15">
      <c r="A380" s="991"/>
      <c r="B380" s="1249"/>
      <c r="C380" s="1250"/>
      <c r="D380" s="1251"/>
      <c r="E380" s="1250"/>
      <c r="F380" s="1252"/>
      <c r="G380" s="991"/>
      <c r="H380" s="1045"/>
      <c r="I380" s="1045"/>
      <c r="J380" s="991"/>
      <c r="K380" s="991"/>
      <c r="L380" s="1045"/>
      <c r="M380" s="991"/>
      <c r="N380" s="991"/>
      <c r="O380" s="991"/>
      <c r="P380" s="1045"/>
      <c r="Q380" s="991"/>
      <c r="R380" s="991"/>
      <c r="S380" s="991"/>
      <c r="T380" s="1045"/>
      <c r="U380" s="991"/>
      <c r="V380" s="991"/>
      <c r="W380" s="991"/>
      <c r="X380" s="1042"/>
    </row>
    <row r="381" spans="1:24" ht="15">
      <c r="A381" s="991"/>
      <c r="B381" s="1249"/>
      <c r="C381" s="1250"/>
      <c r="D381" s="1251"/>
      <c r="E381" s="1250"/>
      <c r="F381" s="1252"/>
      <c r="G381" s="991"/>
      <c r="H381" s="1045"/>
      <c r="I381" s="1045"/>
      <c r="J381" s="991"/>
      <c r="K381" s="991"/>
      <c r="L381" s="1045"/>
      <c r="M381" s="991"/>
      <c r="N381" s="991"/>
      <c r="O381" s="991"/>
      <c r="P381" s="1045"/>
      <c r="Q381" s="991"/>
      <c r="R381" s="991"/>
      <c r="S381" s="991"/>
      <c r="T381" s="1045"/>
      <c r="U381" s="991"/>
      <c r="V381" s="991"/>
      <c r="W381" s="991"/>
      <c r="X381" s="1042"/>
    </row>
    <row r="382" spans="1:24" ht="15">
      <c r="A382" s="991"/>
      <c r="B382" s="1249"/>
      <c r="C382" s="1250"/>
      <c r="D382" s="1251"/>
      <c r="E382" s="1250"/>
      <c r="F382" s="1252"/>
      <c r="G382" s="991"/>
      <c r="H382" s="1045"/>
      <c r="I382" s="1045"/>
      <c r="J382" s="991"/>
      <c r="K382" s="991"/>
      <c r="L382" s="1045"/>
      <c r="M382" s="991"/>
      <c r="N382" s="991"/>
      <c r="O382" s="991"/>
      <c r="P382" s="1045"/>
      <c r="Q382" s="991"/>
      <c r="R382" s="991"/>
      <c r="S382" s="991"/>
      <c r="T382" s="1045"/>
      <c r="U382" s="991"/>
      <c r="V382" s="991"/>
      <c r="W382" s="991"/>
      <c r="X382" s="1042"/>
    </row>
    <row r="383" spans="1:24" ht="15">
      <c r="A383" s="991"/>
      <c r="B383" s="1249"/>
      <c r="C383" s="1250"/>
      <c r="D383" s="1251"/>
      <c r="E383" s="1250"/>
      <c r="F383" s="1252"/>
      <c r="G383" s="991"/>
      <c r="H383" s="1045"/>
      <c r="I383" s="1045"/>
      <c r="J383" s="991"/>
      <c r="K383" s="991"/>
      <c r="L383" s="1045"/>
      <c r="M383" s="991"/>
      <c r="N383" s="991"/>
      <c r="O383" s="991"/>
      <c r="P383" s="1045"/>
      <c r="Q383" s="991"/>
      <c r="R383" s="991"/>
      <c r="S383" s="991"/>
      <c r="T383" s="1045"/>
      <c r="U383" s="991"/>
      <c r="V383" s="991"/>
      <c r="W383" s="991"/>
      <c r="X383" s="1042"/>
    </row>
    <row r="384" spans="1:24" ht="15">
      <c r="A384" s="991"/>
      <c r="B384" s="1249"/>
      <c r="C384" s="1250"/>
      <c r="D384" s="1251"/>
      <c r="E384" s="1250"/>
      <c r="F384" s="1252"/>
      <c r="G384" s="991"/>
      <c r="H384" s="1045"/>
      <c r="I384" s="1045"/>
      <c r="J384" s="991"/>
      <c r="K384" s="991"/>
      <c r="L384" s="1045"/>
      <c r="M384" s="991"/>
      <c r="N384" s="991"/>
      <c r="O384" s="991"/>
      <c r="P384" s="1045"/>
      <c r="Q384" s="991"/>
      <c r="R384" s="991"/>
      <c r="S384" s="991"/>
      <c r="T384" s="1045"/>
      <c r="U384" s="991"/>
      <c r="V384" s="991"/>
      <c r="W384" s="991"/>
      <c r="X384" s="1042"/>
    </row>
    <row r="385" spans="1:24" ht="15">
      <c r="A385" s="991"/>
      <c r="B385" s="1249"/>
      <c r="C385" s="1250"/>
      <c r="D385" s="1251"/>
      <c r="E385" s="1250"/>
      <c r="F385" s="1252"/>
      <c r="G385" s="991"/>
      <c r="H385" s="1045"/>
      <c r="I385" s="1045"/>
      <c r="J385" s="991"/>
      <c r="K385" s="991"/>
      <c r="L385" s="1045"/>
      <c r="M385" s="991"/>
      <c r="N385" s="991"/>
      <c r="O385" s="991"/>
      <c r="P385" s="1045"/>
      <c r="Q385" s="991"/>
      <c r="R385" s="991"/>
      <c r="S385" s="991"/>
      <c r="T385" s="1045"/>
      <c r="U385" s="991"/>
      <c r="V385" s="991"/>
      <c r="W385" s="991"/>
      <c r="X385" s="1042"/>
    </row>
    <row r="386" spans="1:24" ht="15">
      <c r="A386" s="991"/>
      <c r="B386" s="1249"/>
      <c r="C386" s="1250"/>
      <c r="D386" s="1251"/>
      <c r="E386" s="1250"/>
      <c r="F386" s="1252"/>
      <c r="G386" s="991"/>
      <c r="H386" s="1045"/>
      <c r="I386" s="1045"/>
      <c r="J386" s="991"/>
      <c r="K386" s="991"/>
      <c r="L386" s="1045"/>
      <c r="M386" s="991"/>
      <c r="N386" s="991"/>
      <c r="O386" s="991"/>
      <c r="P386" s="1045"/>
      <c r="Q386" s="991"/>
      <c r="R386" s="991"/>
      <c r="S386" s="991"/>
      <c r="T386" s="1045"/>
      <c r="U386" s="991"/>
      <c r="V386" s="991"/>
      <c r="W386" s="991"/>
      <c r="X386" s="1042"/>
    </row>
    <row r="387" spans="1:24" ht="15">
      <c r="A387" s="991"/>
      <c r="B387" s="1249"/>
      <c r="C387" s="1250"/>
      <c r="D387" s="1251"/>
      <c r="E387" s="1250"/>
      <c r="F387" s="1252"/>
      <c r="G387" s="991"/>
      <c r="H387" s="1045"/>
      <c r="I387" s="1045"/>
      <c r="J387" s="991"/>
      <c r="K387" s="991"/>
      <c r="L387" s="1045"/>
      <c r="M387" s="991"/>
      <c r="N387" s="991"/>
      <c r="O387" s="991"/>
      <c r="P387" s="1045"/>
      <c r="Q387" s="991"/>
      <c r="R387" s="991"/>
      <c r="S387" s="991"/>
      <c r="T387" s="1045"/>
      <c r="U387" s="991"/>
      <c r="V387" s="991"/>
      <c r="W387" s="991"/>
      <c r="X387" s="1042"/>
    </row>
    <row r="388" spans="1:24" ht="15">
      <c r="A388" s="991"/>
      <c r="B388" s="1249"/>
      <c r="C388" s="1250"/>
      <c r="D388" s="1251"/>
      <c r="E388" s="1250"/>
      <c r="F388" s="1252"/>
      <c r="G388" s="991"/>
      <c r="H388" s="1045"/>
      <c r="I388" s="1045"/>
      <c r="J388" s="991"/>
      <c r="K388" s="991"/>
      <c r="L388" s="1045"/>
      <c r="M388" s="991"/>
      <c r="N388" s="991"/>
      <c r="O388" s="991"/>
      <c r="P388" s="1045"/>
      <c r="Q388" s="991"/>
      <c r="R388" s="991"/>
      <c r="S388" s="991"/>
      <c r="T388" s="1045"/>
      <c r="U388" s="991"/>
      <c r="V388" s="991"/>
      <c r="W388" s="991"/>
      <c r="X388" s="1042"/>
    </row>
    <row r="389" spans="1:24" ht="15">
      <c r="A389" s="991"/>
      <c r="B389" s="1249"/>
      <c r="C389" s="1250"/>
      <c r="D389" s="1251"/>
      <c r="E389" s="1250"/>
      <c r="F389" s="1252"/>
      <c r="G389" s="991"/>
      <c r="H389" s="1045"/>
      <c r="I389" s="1045"/>
      <c r="J389" s="991"/>
      <c r="K389" s="991"/>
      <c r="L389" s="1045"/>
      <c r="M389" s="991"/>
      <c r="N389" s="991"/>
      <c r="O389" s="991"/>
      <c r="P389" s="1045"/>
      <c r="Q389" s="991"/>
      <c r="R389" s="991"/>
      <c r="S389" s="991"/>
      <c r="T389" s="1045"/>
      <c r="U389" s="991"/>
      <c r="V389" s="991"/>
      <c r="W389" s="991"/>
      <c r="X389" s="1042"/>
    </row>
    <row r="390" spans="1:24" ht="15">
      <c r="A390" s="991"/>
      <c r="B390" s="1249"/>
      <c r="C390" s="1250"/>
      <c r="D390" s="1251"/>
      <c r="E390" s="1250"/>
      <c r="F390" s="1252"/>
      <c r="G390" s="991"/>
      <c r="H390" s="1045"/>
      <c r="I390" s="1045"/>
      <c r="J390" s="991"/>
      <c r="K390" s="991"/>
      <c r="L390" s="1045"/>
      <c r="M390" s="991"/>
      <c r="N390" s="991"/>
      <c r="O390" s="991"/>
      <c r="P390" s="1045"/>
      <c r="Q390" s="991"/>
      <c r="R390" s="991"/>
      <c r="S390" s="991"/>
      <c r="T390" s="1045"/>
      <c r="U390" s="991"/>
      <c r="V390" s="991"/>
      <c r="W390" s="991"/>
      <c r="X390" s="1042"/>
    </row>
    <row r="391" spans="1:24" ht="15">
      <c r="A391" s="991"/>
      <c r="B391" s="1249"/>
      <c r="C391" s="1250"/>
      <c r="D391" s="1251"/>
      <c r="E391" s="1250"/>
      <c r="F391" s="1252"/>
      <c r="G391" s="991"/>
      <c r="H391" s="1045"/>
      <c r="I391" s="1045"/>
      <c r="J391" s="991"/>
      <c r="K391" s="991"/>
      <c r="L391" s="1045"/>
      <c r="M391" s="991"/>
      <c r="N391" s="991"/>
      <c r="O391" s="991"/>
      <c r="P391" s="1045"/>
      <c r="Q391" s="991"/>
      <c r="R391" s="991"/>
      <c r="S391" s="991"/>
      <c r="T391" s="1045"/>
      <c r="U391" s="991"/>
      <c r="V391" s="991"/>
      <c r="W391" s="991"/>
      <c r="X391" s="1042"/>
    </row>
    <row r="392" spans="1:24" ht="15">
      <c r="A392" s="991"/>
      <c r="B392" s="1249"/>
      <c r="C392" s="1250"/>
      <c r="D392" s="1251"/>
      <c r="E392" s="1250"/>
      <c r="F392" s="1252"/>
      <c r="G392" s="991"/>
      <c r="H392" s="1045"/>
      <c r="I392" s="1045"/>
      <c r="J392" s="991"/>
      <c r="K392" s="991"/>
      <c r="L392" s="1045"/>
      <c r="M392" s="991"/>
      <c r="N392" s="991"/>
      <c r="O392" s="991"/>
      <c r="P392" s="1045"/>
      <c r="Q392" s="991"/>
      <c r="R392" s="991"/>
      <c r="S392" s="991"/>
      <c r="T392" s="1045"/>
      <c r="U392" s="991"/>
      <c r="V392" s="991"/>
      <c r="W392" s="991"/>
      <c r="X392" s="1042"/>
    </row>
    <row r="393" spans="1:24" ht="15">
      <c r="A393" s="991"/>
      <c r="B393" s="1249"/>
      <c r="C393" s="1250"/>
      <c r="D393" s="1251"/>
      <c r="E393" s="1250"/>
      <c r="F393" s="1252"/>
      <c r="G393" s="991"/>
      <c r="H393" s="1045"/>
      <c r="I393" s="1045"/>
      <c r="J393" s="991"/>
      <c r="K393" s="991"/>
      <c r="L393" s="1045"/>
      <c r="M393" s="991"/>
      <c r="N393" s="991"/>
      <c r="O393" s="991"/>
      <c r="P393" s="1045"/>
      <c r="Q393" s="991"/>
      <c r="R393" s="991"/>
      <c r="S393" s="991"/>
      <c r="T393" s="1045"/>
      <c r="U393" s="991"/>
      <c r="V393" s="991"/>
      <c r="W393" s="991"/>
      <c r="X393" s="1042"/>
    </row>
    <row r="394" spans="1:24" ht="15">
      <c r="A394" s="991"/>
      <c r="B394" s="1249"/>
      <c r="C394" s="1250"/>
      <c r="D394" s="1251"/>
      <c r="E394" s="1250"/>
      <c r="F394" s="1252"/>
      <c r="G394" s="991"/>
      <c r="H394" s="1045"/>
      <c r="I394" s="1045"/>
      <c r="J394" s="991"/>
      <c r="K394" s="991"/>
      <c r="L394" s="1045"/>
      <c r="M394" s="991"/>
      <c r="N394" s="991"/>
      <c r="O394" s="991"/>
      <c r="P394" s="1045"/>
      <c r="Q394" s="991"/>
      <c r="R394" s="991"/>
      <c r="S394" s="991"/>
      <c r="T394" s="1045"/>
      <c r="U394" s="991"/>
      <c r="V394" s="991"/>
      <c r="W394" s="991"/>
      <c r="X394" s="1042"/>
    </row>
    <row r="395" spans="1:24" ht="15">
      <c r="A395" s="991"/>
      <c r="B395" s="1249"/>
      <c r="C395" s="1250"/>
      <c r="D395" s="1251"/>
      <c r="E395" s="1250"/>
      <c r="F395" s="1252"/>
      <c r="G395" s="991"/>
      <c r="H395" s="1045"/>
      <c r="I395" s="1045"/>
      <c r="J395" s="991"/>
      <c r="K395" s="991"/>
      <c r="L395" s="1045"/>
      <c r="M395" s="991"/>
      <c r="N395" s="991"/>
      <c r="O395" s="991"/>
      <c r="P395" s="1045"/>
      <c r="Q395" s="991"/>
      <c r="R395" s="991"/>
      <c r="S395" s="991"/>
      <c r="T395" s="1045"/>
      <c r="U395" s="991"/>
      <c r="V395" s="991"/>
      <c r="W395" s="991"/>
      <c r="X395" s="1042"/>
    </row>
    <row r="396" spans="1:24" ht="15">
      <c r="A396" s="991"/>
      <c r="B396" s="1249"/>
      <c r="C396" s="1250"/>
      <c r="D396" s="1251"/>
      <c r="E396" s="1250"/>
      <c r="F396" s="1252"/>
      <c r="G396" s="991"/>
      <c r="H396" s="1045"/>
      <c r="I396" s="1045"/>
      <c r="J396" s="991"/>
      <c r="K396" s="991"/>
      <c r="L396" s="1045"/>
      <c r="M396" s="991"/>
      <c r="N396" s="991"/>
      <c r="O396" s="991"/>
      <c r="P396" s="1045"/>
      <c r="Q396" s="991"/>
      <c r="R396" s="991"/>
      <c r="S396" s="991"/>
      <c r="T396" s="1045"/>
      <c r="U396" s="991"/>
      <c r="V396" s="991"/>
      <c r="W396" s="991"/>
      <c r="X396" s="1042"/>
    </row>
    <row r="397" spans="1:24" ht="15">
      <c r="A397" s="991"/>
      <c r="B397" s="1249"/>
      <c r="C397" s="1250"/>
      <c r="D397" s="1251"/>
      <c r="E397" s="1250"/>
      <c r="F397" s="1252"/>
      <c r="G397" s="991"/>
      <c r="H397" s="1045"/>
      <c r="I397" s="1045"/>
      <c r="J397" s="991"/>
      <c r="K397" s="991"/>
      <c r="L397" s="1045"/>
      <c r="M397" s="991"/>
      <c r="N397" s="991"/>
      <c r="O397" s="991"/>
      <c r="P397" s="1045"/>
      <c r="Q397" s="991"/>
      <c r="R397" s="991"/>
      <c r="S397" s="991"/>
      <c r="T397" s="1045"/>
      <c r="U397" s="991"/>
      <c r="V397" s="991"/>
      <c r="W397" s="991"/>
      <c r="X397" s="1042"/>
    </row>
    <row r="398" spans="1:24" ht="15">
      <c r="A398" s="991"/>
      <c r="B398" s="1249"/>
      <c r="C398" s="1250"/>
      <c r="D398" s="1251"/>
      <c r="E398" s="1250"/>
      <c r="F398" s="1252"/>
      <c r="G398" s="991"/>
      <c r="H398" s="1045"/>
      <c r="I398" s="1045"/>
      <c r="J398" s="991"/>
      <c r="K398" s="991"/>
      <c r="L398" s="1045"/>
      <c r="M398" s="991"/>
      <c r="N398" s="991"/>
      <c r="O398" s="991"/>
      <c r="P398" s="1045"/>
      <c r="Q398" s="991"/>
      <c r="R398" s="991"/>
      <c r="S398" s="991"/>
      <c r="T398" s="1045"/>
      <c r="U398" s="991"/>
      <c r="V398" s="991"/>
      <c r="W398" s="991"/>
      <c r="X398" s="1042"/>
    </row>
    <row r="399" spans="1:24" ht="15">
      <c r="A399" s="991"/>
      <c r="B399" s="1249"/>
      <c r="C399" s="1250"/>
      <c r="D399" s="1251"/>
      <c r="E399" s="1250"/>
      <c r="F399" s="1252"/>
      <c r="G399" s="991"/>
      <c r="H399" s="1045"/>
      <c r="I399" s="1045"/>
      <c r="J399" s="991"/>
      <c r="K399" s="991"/>
      <c r="L399" s="1045"/>
      <c r="M399" s="991"/>
      <c r="N399" s="991"/>
      <c r="O399" s="991"/>
      <c r="P399" s="1045"/>
      <c r="Q399" s="991"/>
      <c r="R399" s="991"/>
      <c r="S399" s="991"/>
      <c r="T399" s="1045"/>
      <c r="U399" s="991"/>
      <c r="V399" s="991"/>
      <c r="W399" s="991"/>
      <c r="X399" s="1042"/>
    </row>
    <row r="400" spans="1:24" ht="15">
      <c r="A400" s="991"/>
      <c r="B400" s="1249"/>
      <c r="C400" s="1250"/>
      <c r="D400" s="1251"/>
      <c r="E400" s="1250"/>
      <c r="F400" s="1252"/>
      <c r="G400" s="991"/>
      <c r="H400" s="1045"/>
      <c r="I400" s="1045"/>
      <c r="J400" s="991"/>
      <c r="K400" s="991"/>
      <c r="L400" s="1045"/>
      <c r="M400" s="991"/>
      <c r="N400" s="991"/>
      <c r="O400" s="991"/>
      <c r="P400" s="1045"/>
      <c r="Q400" s="991"/>
      <c r="R400" s="991"/>
      <c r="S400" s="991"/>
      <c r="T400" s="1045"/>
      <c r="U400" s="991"/>
      <c r="V400" s="991"/>
      <c r="W400" s="991"/>
      <c r="X400" s="1042"/>
    </row>
    <row r="401" spans="1:24" ht="15">
      <c r="A401" s="991"/>
      <c r="B401" s="1249"/>
      <c r="C401" s="1250"/>
      <c r="D401" s="1251"/>
      <c r="E401" s="1250"/>
      <c r="F401" s="1252"/>
      <c r="G401" s="991"/>
      <c r="H401" s="1045"/>
      <c r="I401" s="1045"/>
      <c r="J401" s="991"/>
      <c r="K401" s="991"/>
      <c r="L401" s="1045"/>
      <c r="M401" s="991"/>
      <c r="N401" s="991"/>
      <c r="O401" s="991"/>
      <c r="P401" s="1045"/>
      <c r="Q401" s="991"/>
      <c r="R401" s="991"/>
      <c r="S401" s="991"/>
      <c r="T401" s="1045"/>
      <c r="U401" s="991"/>
      <c r="V401" s="991"/>
      <c r="W401" s="991"/>
      <c r="X401" s="1042"/>
    </row>
    <row r="402" spans="1:24" ht="15">
      <c r="A402" s="991"/>
      <c r="B402" s="1249"/>
      <c r="C402" s="1250"/>
      <c r="D402" s="1251"/>
      <c r="E402" s="1250"/>
      <c r="F402" s="1252"/>
      <c r="G402" s="991"/>
      <c r="H402" s="1045"/>
      <c r="I402" s="1045"/>
      <c r="J402" s="991"/>
      <c r="K402" s="991"/>
      <c r="L402" s="1045"/>
      <c r="M402" s="991"/>
      <c r="N402" s="991"/>
      <c r="O402" s="991"/>
      <c r="P402" s="1045"/>
      <c r="Q402" s="991"/>
      <c r="R402" s="991"/>
      <c r="S402" s="991"/>
      <c r="T402" s="1045"/>
      <c r="U402" s="991"/>
      <c r="V402" s="991"/>
      <c r="W402" s="991"/>
      <c r="X402" s="1042"/>
    </row>
    <row r="403" spans="1:24" ht="15">
      <c r="A403" s="991"/>
      <c r="B403" s="1249"/>
      <c r="C403" s="1250"/>
      <c r="D403" s="1251"/>
      <c r="E403" s="1250"/>
      <c r="F403" s="1252"/>
      <c r="G403" s="991"/>
      <c r="H403" s="1045"/>
      <c r="I403" s="1045"/>
      <c r="J403" s="991"/>
      <c r="K403" s="991"/>
      <c r="L403" s="1045"/>
      <c r="M403" s="991"/>
      <c r="N403" s="991"/>
      <c r="O403" s="991"/>
      <c r="P403" s="1045"/>
      <c r="Q403" s="991"/>
      <c r="R403" s="991"/>
      <c r="S403" s="991"/>
      <c r="T403" s="1045"/>
      <c r="U403" s="991"/>
      <c r="V403" s="991"/>
      <c r="W403" s="991"/>
      <c r="X403" s="1042"/>
    </row>
    <row r="404" spans="1:24" ht="15">
      <c r="A404" s="991"/>
      <c r="B404" s="1249"/>
      <c r="C404" s="1250"/>
      <c r="D404" s="1251"/>
      <c r="E404" s="1250"/>
      <c r="F404" s="1252"/>
      <c r="G404" s="991"/>
      <c r="H404" s="1045"/>
      <c r="I404" s="1045"/>
      <c r="J404" s="991"/>
      <c r="K404" s="991"/>
      <c r="L404" s="1045"/>
      <c r="M404" s="991"/>
      <c r="N404" s="991"/>
      <c r="O404" s="991"/>
      <c r="P404" s="1045"/>
      <c r="Q404" s="991"/>
      <c r="R404" s="991"/>
      <c r="S404" s="991"/>
      <c r="T404" s="1045"/>
      <c r="U404" s="991"/>
      <c r="V404" s="991"/>
      <c r="W404" s="991"/>
      <c r="X404" s="1042"/>
    </row>
    <row r="405" spans="1:24" ht="15">
      <c r="A405" s="991"/>
      <c r="B405" s="1249"/>
      <c r="C405" s="1250"/>
      <c r="D405" s="1251"/>
      <c r="E405" s="1250"/>
      <c r="F405" s="1252"/>
      <c r="G405" s="991"/>
      <c r="H405" s="1045"/>
      <c r="I405" s="1045"/>
      <c r="J405" s="991"/>
      <c r="K405" s="991"/>
      <c r="L405" s="1045"/>
      <c r="M405" s="991"/>
      <c r="N405" s="991"/>
      <c r="O405" s="991"/>
      <c r="P405" s="1045"/>
      <c r="Q405" s="991"/>
      <c r="R405" s="991"/>
      <c r="S405" s="991"/>
      <c r="T405" s="1045"/>
      <c r="U405" s="991"/>
      <c r="V405" s="991"/>
      <c r="W405" s="991"/>
      <c r="X405" s="1042"/>
    </row>
    <row r="406" spans="1:24" ht="15">
      <c r="A406" s="991"/>
      <c r="B406" s="1249"/>
      <c r="C406" s="1250"/>
      <c r="D406" s="1251"/>
      <c r="E406" s="1250"/>
      <c r="F406" s="1252"/>
      <c r="G406" s="991"/>
      <c r="H406" s="1045"/>
      <c r="I406" s="1045"/>
      <c r="J406" s="991"/>
      <c r="K406" s="991"/>
      <c r="L406" s="1045"/>
      <c r="M406" s="991"/>
      <c r="N406" s="991"/>
      <c r="O406" s="991"/>
      <c r="P406" s="1045"/>
      <c r="Q406" s="991"/>
      <c r="R406" s="991"/>
      <c r="S406" s="991"/>
      <c r="T406" s="1045"/>
      <c r="U406" s="991"/>
      <c r="V406" s="991"/>
      <c r="W406" s="991"/>
      <c r="X406" s="1042"/>
    </row>
    <row r="407" spans="1:24" ht="15">
      <c r="A407" s="991"/>
      <c r="B407" s="1249"/>
      <c r="C407" s="1250"/>
      <c r="D407" s="1251"/>
      <c r="E407" s="1250"/>
      <c r="F407" s="1252"/>
      <c r="G407" s="991"/>
      <c r="H407" s="1045"/>
      <c r="I407" s="1045"/>
      <c r="J407" s="991"/>
      <c r="K407" s="991"/>
      <c r="L407" s="1045"/>
      <c r="M407" s="991"/>
      <c r="N407" s="991"/>
      <c r="O407" s="991"/>
      <c r="P407" s="1045"/>
      <c r="Q407" s="991"/>
      <c r="R407" s="991"/>
      <c r="S407" s="991"/>
      <c r="T407" s="1045"/>
      <c r="U407" s="991"/>
      <c r="V407" s="991"/>
      <c r="W407" s="991"/>
      <c r="X407" s="1042"/>
    </row>
    <row r="408" spans="1:24" ht="15">
      <c r="A408" s="991"/>
      <c r="B408" s="1249"/>
      <c r="C408" s="1250"/>
      <c r="D408" s="1251"/>
      <c r="E408" s="1250"/>
      <c r="F408" s="1252"/>
      <c r="G408" s="991"/>
      <c r="H408" s="1045"/>
      <c r="I408" s="1045"/>
      <c r="J408" s="991"/>
      <c r="K408" s="991"/>
      <c r="L408" s="1045"/>
      <c r="M408" s="991"/>
      <c r="N408" s="991"/>
      <c r="O408" s="991"/>
      <c r="P408" s="1045"/>
      <c r="Q408" s="991"/>
      <c r="R408" s="991"/>
      <c r="S408" s="991"/>
      <c r="T408" s="1045"/>
      <c r="U408" s="991"/>
      <c r="V408" s="991"/>
      <c r="W408" s="991"/>
      <c r="X408" s="1042"/>
    </row>
    <row r="409" spans="1:24" ht="15">
      <c r="A409" s="991"/>
      <c r="B409" s="1249"/>
      <c r="C409" s="1250"/>
      <c r="D409" s="1251"/>
      <c r="E409" s="1250"/>
      <c r="F409" s="1252"/>
      <c r="G409" s="991"/>
      <c r="H409" s="1045"/>
      <c r="I409" s="1045"/>
      <c r="J409" s="991"/>
      <c r="K409" s="991"/>
      <c r="L409" s="1045"/>
      <c r="M409" s="991"/>
      <c r="N409" s="991"/>
      <c r="O409" s="991"/>
      <c r="P409" s="1045"/>
      <c r="Q409" s="991"/>
      <c r="R409" s="991"/>
      <c r="S409" s="991"/>
      <c r="T409" s="1045"/>
      <c r="U409" s="991"/>
      <c r="V409" s="991"/>
      <c r="W409" s="991"/>
      <c r="X409" s="1042"/>
    </row>
    <row r="410" spans="1:24" ht="15">
      <c r="A410" s="991"/>
      <c r="B410" s="1249"/>
      <c r="C410" s="1250"/>
      <c r="D410" s="1251"/>
      <c r="E410" s="1250"/>
      <c r="F410" s="1252"/>
      <c r="G410" s="991"/>
      <c r="H410" s="1045"/>
      <c r="I410" s="1045"/>
      <c r="J410" s="991"/>
      <c r="K410" s="991"/>
      <c r="L410" s="1045"/>
      <c r="M410" s="991"/>
      <c r="N410" s="991"/>
      <c r="O410" s="991"/>
      <c r="P410" s="1045"/>
      <c r="Q410" s="991"/>
      <c r="R410" s="991"/>
      <c r="S410" s="991"/>
      <c r="T410" s="1045"/>
      <c r="U410" s="991"/>
      <c r="V410" s="991"/>
      <c r="W410" s="991"/>
      <c r="X410" s="1042"/>
    </row>
    <row r="411" spans="1:24" ht="15">
      <c r="A411" s="991"/>
      <c r="B411" s="1249"/>
      <c r="C411" s="1250"/>
      <c r="D411" s="1251"/>
      <c r="E411" s="1250"/>
      <c r="F411" s="1252"/>
      <c r="G411" s="991"/>
      <c r="H411" s="1045"/>
      <c r="I411" s="1045"/>
      <c r="J411" s="991"/>
      <c r="K411" s="991"/>
      <c r="L411" s="1045"/>
      <c r="M411" s="991"/>
      <c r="N411" s="991"/>
      <c r="O411" s="991"/>
      <c r="P411" s="1045"/>
      <c r="Q411" s="991"/>
      <c r="R411" s="991"/>
      <c r="S411" s="991"/>
      <c r="T411" s="1045"/>
      <c r="U411" s="991"/>
      <c r="V411" s="991"/>
      <c r="W411" s="991"/>
      <c r="X411" s="1042"/>
    </row>
    <row r="412" spans="1:24" ht="15">
      <c r="A412" s="991"/>
      <c r="B412" s="1249"/>
      <c r="C412" s="1250"/>
      <c r="D412" s="1251"/>
      <c r="E412" s="1250"/>
      <c r="F412" s="1252"/>
      <c r="G412" s="991"/>
      <c r="H412" s="1045"/>
      <c r="I412" s="1045"/>
      <c r="J412" s="991"/>
      <c r="K412" s="991"/>
      <c r="L412" s="1045"/>
      <c r="M412" s="991"/>
      <c r="N412" s="991"/>
      <c r="O412" s="991"/>
      <c r="P412" s="1045"/>
      <c r="Q412" s="991"/>
      <c r="R412" s="991"/>
      <c r="S412" s="991"/>
      <c r="T412" s="1045"/>
      <c r="U412" s="991"/>
      <c r="V412" s="991"/>
      <c r="W412" s="991"/>
      <c r="X412" s="1042"/>
    </row>
    <row r="413" spans="1:24" ht="15">
      <c r="A413" s="991"/>
      <c r="B413" s="1249"/>
      <c r="C413" s="1250"/>
      <c r="D413" s="1251"/>
      <c r="E413" s="1250"/>
      <c r="F413" s="1252"/>
      <c r="G413" s="991"/>
      <c r="H413" s="1045"/>
      <c r="I413" s="1045"/>
      <c r="J413" s="991"/>
      <c r="K413" s="991"/>
      <c r="L413" s="1045"/>
      <c r="M413" s="991"/>
      <c r="N413" s="991"/>
      <c r="O413" s="991"/>
      <c r="P413" s="1045"/>
      <c r="Q413" s="991"/>
      <c r="R413" s="991"/>
      <c r="S413" s="991"/>
      <c r="T413" s="1045"/>
      <c r="U413" s="991"/>
      <c r="V413" s="991"/>
      <c r="W413" s="991"/>
      <c r="X413" s="1042"/>
    </row>
    <row r="414" spans="1:24" ht="15">
      <c r="A414" s="991"/>
      <c r="B414" s="1249"/>
      <c r="C414" s="1250"/>
      <c r="D414" s="1251"/>
      <c r="E414" s="1250"/>
      <c r="F414" s="1252"/>
      <c r="G414" s="991"/>
      <c r="H414" s="1045"/>
      <c r="I414" s="1045"/>
      <c r="J414" s="991"/>
      <c r="K414" s="991"/>
      <c r="L414" s="1045"/>
      <c r="M414" s="991"/>
      <c r="N414" s="991"/>
      <c r="O414" s="991"/>
      <c r="P414" s="1045"/>
      <c r="Q414" s="991"/>
      <c r="R414" s="991"/>
      <c r="S414" s="991"/>
      <c r="T414" s="1045"/>
      <c r="U414" s="991"/>
      <c r="V414" s="991"/>
      <c r="W414" s="991"/>
      <c r="X414" s="1042"/>
    </row>
    <row r="415" spans="1:24" ht="15">
      <c r="A415" s="991"/>
      <c r="B415" s="1249"/>
      <c r="C415" s="1250"/>
      <c r="D415" s="1251"/>
      <c r="E415" s="1250"/>
      <c r="F415" s="1252"/>
      <c r="G415" s="991"/>
      <c r="H415" s="1045"/>
      <c r="I415" s="1045"/>
      <c r="J415" s="991"/>
      <c r="K415" s="991"/>
      <c r="L415" s="1045"/>
      <c r="M415" s="991"/>
      <c r="N415" s="991"/>
      <c r="O415" s="991"/>
      <c r="P415" s="1045"/>
      <c r="Q415" s="991"/>
      <c r="R415" s="991"/>
      <c r="S415" s="991"/>
      <c r="T415" s="1045"/>
      <c r="U415" s="991"/>
      <c r="V415" s="991"/>
      <c r="W415" s="991"/>
      <c r="X415" s="1042"/>
    </row>
    <row r="416" spans="1:24" ht="15">
      <c r="A416" s="991"/>
      <c r="B416" s="1249"/>
      <c r="C416" s="1250"/>
      <c r="D416" s="1251"/>
      <c r="E416" s="1250"/>
      <c r="F416" s="1252"/>
      <c r="G416" s="991"/>
      <c r="H416" s="1045"/>
      <c r="I416" s="1045"/>
      <c r="J416" s="991"/>
      <c r="K416" s="991"/>
      <c r="L416" s="1045"/>
      <c r="M416" s="991"/>
      <c r="N416" s="991"/>
      <c r="O416" s="991"/>
      <c r="P416" s="1045"/>
      <c r="Q416" s="991"/>
      <c r="R416" s="991"/>
      <c r="S416" s="991"/>
      <c r="T416" s="1045"/>
      <c r="U416" s="991"/>
      <c r="V416" s="991"/>
      <c r="W416" s="991"/>
      <c r="X416" s="1042"/>
    </row>
    <row r="417" spans="1:24" ht="15">
      <c r="A417" s="991"/>
      <c r="B417" s="1249"/>
      <c r="C417" s="1250"/>
      <c r="D417" s="1251"/>
      <c r="E417" s="1250"/>
      <c r="F417" s="1252"/>
      <c r="G417" s="991"/>
      <c r="H417" s="1045"/>
      <c r="I417" s="1045"/>
      <c r="J417" s="991"/>
      <c r="K417" s="991"/>
      <c r="L417" s="1045"/>
      <c r="M417" s="991"/>
      <c r="N417" s="991"/>
      <c r="O417" s="991"/>
      <c r="P417" s="1045"/>
      <c r="Q417" s="991"/>
      <c r="R417" s="991"/>
      <c r="S417" s="991"/>
      <c r="T417" s="1045"/>
      <c r="U417" s="991"/>
      <c r="V417" s="991"/>
      <c r="W417" s="991"/>
      <c r="X417" s="1042"/>
    </row>
    <row r="418" spans="1:24" ht="15">
      <c r="A418" s="991"/>
      <c r="B418" s="1249"/>
      <c r="C418" s="1250"/>
      <c r="D418" s="1251"/>
      <c r="E418" s="1250"/>
      <c r="F418" s="1252"/>
      <c r="G418" s="991"/>
      <c r="H418" s="1045"/>
      <c r="I418" s="1045"/>
      <c r="J418" s="991"/>
      <c r="K418" s="991"/>
      <c r="L418" s="1045"/>
      <c r="M418" s="991"/>
      <c r="N418" s="991"/>
      <c r="O418" s="991"/>
      <c r="P418" s="1045"/>
      <c r="Q418" s="991"/>
      <c r="R418" s="991"/>
      <c r="S418" s="991"/>
      <c r="T418" s="1045"/>
      <c r="U418" s="991"/>
      <c r="V418" s="991"/>
      <c r="W418" s="991"/>
      <c r="X418" s="1042"/>
    </row>
    <row r="419" spans="1:24" ht="15">
      <c r="A419" s="991"/>
      <c r="B419" s="1249"/>
      <c r="C419" s="1250"/>
      <c r="D419" s="1251"/>
      <c r="E419" s="1250"/>
      <c r="F419" s="1252"/>
      <c r="G419" s="991"/>
      <c r="H419" s="1045"/>
      <c r="I419" s="1045"/>
      <c r="J419" s="991"/>
      <c r="K419" s="991"/>
      <c r="L419" s="1045"/>
      <c r="M419" s="991"/>
      <c r="N419" s="991"/>
      <c r="O419" s="991"/>
      <c r="P419" s="1045"/>
      <c r="Q419" s="991"/>
      <c r="R419" s="991"/>
      <c r="S419" s="991"/>
      <c r="T419" s="1045"/>
      <c r="U419" s="991"/>
      <c r="V419" s="991"/>
      <c r="W419" s="991"/>
      <c r="X419" s="1042"/>
    </row>
    <row r="420" spans="1:24" ht="15">
      <c r="A420" s="991"/>
      <c r="B420" s="1249"/>
      <c r="C420" s="1250"/>
      <c r="D420" s="1251"/>
      <c r="E420" s="1250"/>
      <c r="F420" s="1252"/>
      <c r="G420" s="991"/>
      <c r="H420" s="1045"/>
      <c r="I420" s="1045"/>
      <c r="J420" s="991"/>
      <c r="K420" s="991"/>
      <c r="L420" s="1045"/>
      <c r="M420" s="991"/>
      <c r="N420" s="991"/>
      <c r="O420" s="991"/>
      <c r="P420" s="1045"/>
      <c r="Q420" s="991"/>
      <c r="R420" s="991"/>
      <c r="S420" s="991"/>
      <c r="T420" s="1045"/>
      <c r="U420" s="991"/>
      <c r="V420" s="991"/>
      <c r="W420" s="991"/>
      <c r="X420" s="1042"/>
    </row>
    <row r="421" spans="1:24" ht="15">
      <c r="A421" s="991"/>
      <c r="B421" s="1249"/>
      <c r="C421" s="1250"/>
      <c r="D421" s="1251"/>
      <c r="E421" s="1250"/>
      <c r="F421" s="1252"/>
      <c r="G421" s="991"/>
      <c r="H421" s="1045"/>
      <c r="I421" s="1045"/>
      <c r="J421" s="991"/>
      <c r="K421" s="991"/>
      <c r="L421" s="1045"/>
      <c r="M421" s="991"/>
      <c r="N421" s="991"/>
      <c r="O421" s="991"/>
      <c r="P421" s="1045"/>
      <c r="Q421" s="991"/>
      <c r="R421" s="991"/>
      <c r="S421" s="991"/>
      <c r="T421" s="1045"/>
      <c r="U421" s="991"/>
      <c r="V421" s="991"/>
      <c r="W421" s="991"/>
      <c r="X421" s="1042"/>
    </row>
    <row r="422" spans="1:24" ht="15">
      <c r="A422" s="991"/>
      <c r="B422" s="1249"/>
      <c r="C422" s="1250"/>
      <c r="D422" s="1251"/>
      <c r="E422" s="1250"/>
      <c r="F422" s="1252"/>
      <c r="G422" s="991"/>
      <c r="H422" s="1045"/>
      <c r="I422" s="1045"/>
      <c r="J422" s="991"/>
      <c r="K422" s="991"/>
      <c r="L422" s="1045"/>
      <c r="M422" s="991"/>
      <c r="N422" s="991"/>
      <c r="O422" s="991"/>
      <c r="P422" s="1045"/>
      <c r="Q422" s="991"/>
      <c r="R422" s="991"/>
      <c r="S422" s="991"/>
      <c r="T422" s="1045"/>
      <c r="U422" s="991"/>
      <c r="V422" s="991"/>
      <c r="W422" s="991"/>
      <c r="X422" s="1042"/>
    </row>
    <row r="423" spans="1:24" ht="15">
      <c r="A423" s="991"/>
      <c r="B423" s="1249"/>
      <c r="C423" s="1250"/>
      <c r="D423" s="1251"/>
      <c r="E423" s="1250"/>
      <c r="F423" s="1252"/>
      <c r="G423" s="991"/>
      <c r="H423" s="1045"/>
      <c r="I423" s="1045"/>
      <c r="J423" s="991"/>
      <c r="K423" s="991"/>
      <c r="L423" s="1045"/>
      <c r="M423" s="991"/>
      <c r="N423" s="991"/>
      <c r="O423" s="991"/>
      <c r="P423" s="1045"/>
      <c r="Q423" s="991"/>
      <c r="R423" s="991"/>
      <c r="S423" s="991"/>
      <c r="T423" s="1045"/>
      <c r="U423" s="991"/>
      <c r="V423" s="991"/>
      <c r="W423" s="991"/>
      <c r="X423" s="1042"/>
    </row>
    <row r="424" spans="1:24" ht="15">
      <c r="A424" s="991"/>
      <c r="B424" s="1249"/>
      <c r="C424" s="1250"/>
      <c r="D424" s="1251"/>
      <c r="E424" s="1250"/>
      <c r="F424" s="1252"/>
      <c r="G424" s="991"/>
      <c r="H424" s="1045"/>
      <c r="I424" s="1045"/>
      <c r="J424" s="991"/>
      <c r="K424" s="991"/>
      <c r="L424" s="1045"/>
      <c r="M424" s="991"/>
      <c r="N424" s="991"/>
      <c r="O424" s="991"/>
      <c r="P424" s="1045"/>
      <c r="Q424" s="991"/>
      <c r="R424" s="991"/>
      <c r="S424" s="991"/>
      <c r="T424" s="1045"/>
      <c r="U424" s="991"/>
      <c r="V424" s="991"/>
      <c r="W424" s="991"/>
      <c r="X424" s="1042"/>
    </row>
    <row r="425" spans="1:24" ht="15">
      <c r="A425" s="991"/>
      <c r="B425" s="1249"/>
      <c r="C425" s="1250"/>
      <c r="D425" s="1251"/>
      <c r="E425" s="1250"/>
      <c r="F425" s="1252"/>
      <c r="G425" s="991"/>
      <c r="H425" s="1045"/>
      <c r="I425" s="1045"/>
      <c r="J425" s="991"/>
      <c r="K425" s="991"/>
      <c r="L425" s="1045"/>
      <c r="M425" s="991"/>
      <c r="N425" s="991"/>
      <c r="O425" s="991"/>
      <c r="P425" s="1045"/>
      <c r="Q425" s="991"/>
      <c r="R425" s="991"/>
      <c r="S425" s="991"/>
      <c r="T425" s="1045"/>
      <c r="U425" s="991"/>
      <c r="V425" s="991"/>
      <c r="W425" s="991"/>
      <c r="X425" s="1042"/>
    </row>
    <row r="426" spans="1:24" ht="15">
      <c r="A426" s="991"/>
      <c r="B426" s="1249"/>
      <c r="C426" s="1250"/>
      <c r="D426" s="1251"/>
      <c r="E426" s="1250"/>
      <c r="F426" s="1252"/>
      <c r="G426" s="991"/>
      <c r="H426" s="1045"/>
      <c r="I426" s="1045"/>
      <c r="J426" s="991"/>
      <c r="K426" s="991"/>
      <c r="L426" s="1045"/>
      <c r="M426" s="991"/>
      <c r="N426" s="991"/>
      <c r="O426" s="991"/>
      <c r="P426" s="1045"/>
      <c r="Q426" s="991"/>
      <c r="R426" s="991"/>
      <c r="S426" s="991"/>
      <c r="T426" s="1045"/>
      <c r="U426" s="991"/>
      <c r="V426" s="991"/>
      <c r="W426" s="991"/>
      <c r="X426" s="1042"/>
    </row>
    <row r="427" spans="1:24" ht="15">
      <c r="A427" s="991"/>
      <c r="B427" s="1249"/>
      <c r="C427" s="1250"/>
      <c r="D427" s="1251"/>
      <c r="E427" s="1250"/>
      <c r="F427" s="1252"/>
      <c r="G427" s="991"/>
      <c r="H427" s="1045"/>
      <c r="I427" s="1045"/>
      <c r="J427" s="991"/>
      <c r="K427" s="991"/>
      <c r="L427" s="1045"/>
      <c r="M427" s="991"/>
      <c r="N427" s="991"/>
      <c r="O427" s="991"/>
      <c r="P427" s="1045"/>
      <c r="Q427" s="991"/>
      <c r="R427" s="991"/>
      <c r="S427" s="991"/>
      <c r="T427" s="1045"/>
      <c r="U427" s="991"/>
      <c r="V427" s="991"/>
      <c r="W427" s="991"/>
      <c r="X427" s="1042"/>
    </row>
    <row r="428" spans="1:24" ht="15">
      <c r="A428" s="991"/>
      <c r="B428" s="1249"/>
      <c r="C428" s="1250"/>
      <c r="D428" s="1251"/>
      <c r="E428" s="1250"/>
      <c r="F428" s="1252"/>
      <c r="G428" s="991"/>
      <c r="H428" s="1045"/>
      <c r="I428" s="1045"/>
      <c r="J428" s="991"/>
      <c r="K428" s="991"/>
      <c r="L428" s="1045"/>
      <c r="M428" s="991"/>
      <c r="N428" s="991"/>
      <c r="O428" s="991"/>
      <c r="P428" s="1045"/>
      <c r="Q428" s="991"/>
      <c r="R428" s="991"/>
      <c r="S428" s="991"/>
      <c r="T428" s="1045"/>
      <c r="U428" s="991"/>
      <c r="V428" s="991"/>
      <c r="W428" s="991"/>
      <c r="X428" s="1042"/>
    </row>
    <row r="429" spans="1:24" ht="15">
      <c r="A429" s="991"/>
      <c r="B429" s="1249"/>
      <c r="C429" s="1250"/>
      <c r="D429" s="1251"/>
      <c r="E429" s="1250"/>
      <c r="F429" s="1252"/>
      <c r="G429" s="991"/>
      <c r="H429" s="1045"/>
      <c r="I429" s="1045"/>
      <c r="J429" s="991"/>
      <c r="K429" s="991"/>
      <c r="L429" s="1045"/>
      <c r="M429" s="991"/>
      <c r="N429" s="991"/>
      <c r="O429" s="991"/>
      <c r="P429" s="1045"/>
      <c r="Q429" s="991"/>
      <c r="R429" s="991"/>
      <c r="S429" s="991"/>
      <c r="T429" s="1045"/>
      <c r="U429" s="991"/>
      <c r="V429" s="991"/>
      <c r="W429" s="991"/>
      <c r="X429" s="1042"/>
    </row>
    <row r="430" spans="1:24" ht="15">
      <c r="A430" s="991"/>
      <c r="B430" s="1249"/>
      <c r="C430" s="1250"/>
      <c r="D430" s="1251"/>
      <c r="E430" s="1250"/>
      <c r="F430" s="1252"/>
      <c r="G430" s="991"/>
      <c r="H430" s="1045"/>
      <c r="I430" s="1045"/>
      <c r="J430" s="991"/>
      <c r="K430" s="991"/>
      <c r="L430" s="1045"/>
      <c r="M430" s="991"/>
      <c r="N430" s="991"/>
      <c r="O430" s="991"/>
      <c r="P430" s="1045"/>
      <c r="Q430" s="991"/>
      <c r="R430" s="991"/>
      <c r="S430" s="991"/>
      <c r="T430" s="1045"/>
      <c r="U430" s="991"/>
      <c r="V430" s="991"/>
      <c r="W430" s="991"/>
      <c r="X430" s="1042"/>
    </row>
    <row r="431" spans="1:24" ht="15">
      <c r="A431" s="991"/>
      <c r="B431" s="1249"/>
      <c r="C431" s="1250"/>
      <c r="D431" s="1251"/>
      <c r="E431" s="1250"/>
      <c r="F431" s="1252"/>
      <c r="G431" s="991"/>
      <c r="H431" s="1045"/>
      <c r="I431" s="1045"/>
      <c r="J431" s="991"/>
      <c r="K431" s="991"/>
      <c r="L431" s="1045"/>
      <c r="M431" s="991"/>
      <c r="N431" s="991"/>
      <c r="O431" s="991"/>
      <c r="P431" s="1045"/>
      <c r="Q431" s="991"/>
      <c r="R431" s="991"/>
      <c r="S431" s="991"/>
      <c r="T431" s="1045"/>
      <c r="U431" s="991"/>
      <c r="V431" s="991"/>
      <c r="W431" s="991"/>
      <c r="X431" s="1042"/>
    </row>
    <row r="432" spans="1:24" ht="15">
      <c r="A432" s="991"/>
      <c r="B432" s="1249"/>
      <c r="C432" s="1250"/>
      <c r="D432" s="1251"/>
      <c r="E432" s="1250"/>
      <c r="F432" s="1252"/>
      <c r="G432" s="991"/>
      <c r="H432" s="1045"/>
      <c r="I432" s="1045"/>
      <c r="J432" s="991"/>
      <c r="K432" s="991"/>
      <c r="L432" s="1045"/>
      <c r="M432" s="991"/>
      <c r="N432" s="991"/>
      <c r="O432" s="991"/>
      <c r="P432" s="1045"/>
      <c r="Q432" s="991"/>
      <c r="R432" s="991"/>
      <c r="S432" s="991"/>
      <c r="T432" s="1045"/>
      <c r="U432" s="991"/>
      <c r="V432" s="991"/>
      <c r="W432" s="991"/>
      <c r="X432" s="1042"/>
    </row>
    <row r="433" spans="1:24" ht="15">
      <c r="A433" s="991"/>
      <c r="B433" s="1249"/>
      <c r="C433" s="1250"/>
      <c r="D433" s="1251"/>
      <c r="E433" s="1250"/>
      <c r="F433" s="1252"/>
      <c r="G433" s="991"/>
      <c r="H433" s="1045"/>
      <c r="I433" s="1045"/>
      <c r="J433" s="991"/>
      <c r="K433" s="991"/>
      <c r="L433" s="1045"/>
      <c r="M433" s="991"/>
      <c r="N433" s="991"/>
      <c r="O433" s="991"/>
      <c r="P433" s="1045"/>
      <c r="Q433" s="991"/>
      <c r="R433" s="991"/>
      <c r="S433" s="991"/>
      <c r="T433" s="1045"/>
      <c r="U433" s="991"/>
      <c r="V433" s="991"/>
      <c r="W433" s="991"/>
      <c r="X433" s="1042"/>
    </row>
    <row r="434" spans="1:24" ht="15">
      <c r="A434" s="991"/>
      <c r="B434" s="1249"/>
      <c r="C434" s="1250"/>
      <c r="D434" s="1251"/>
      <c r="E434" s="1250"/>
      <c r="F434" s="1252"/>
      <c r="G434" s="991"/>
      <c r="H434" s="1045"/>
      <c r="I434" s="1045"/>
      <c r="J434" s="991"/>
      <c r="K434" s="991"/>
      <c r="L434" s="1045"/>
      <c r="M434" s="991"/>
      <c r="N434" s="991"/>
      <c r="O434" s="991"/>
      <c r="P434" s="1045"/>
      <c r="Q434" s="991"/>
      <c r="R434" s="991"/>
      <c r="S434" s="991"/>
      <c r="T434" s="1045"/>
      <c r="U434" s="991"/>
      <c r="V434" s="991"/>
      <c r="W434" s="991"/>
      <c r="X434" s="1042"/>
    </row>
    <row r="435" spans="1:24" ht="15">
      <c r="A435" s="991"/>
      <c r="B435" s="1249"/>
      <c r="C435" s="1250"/>
      <c r="D435" s="1251"/>
      <c r="E435" s="1250"/>
      <c r="F435" s="1252"/>
      <c r="G435" s="991"/>
      <c r="H435" s="1045"/>
      <c r="I435" s="1045"/>
      <c r="J435" s="991"/>
      <c r="K435" s="991"/>
      <c r="L435" s="1045"/>
      <c r="M435" s="991"/>
      <c r="N435" s="991"/>
      <c r="O435" s="991"/>
      <c r="P435" s="1045"/>
      <c r="Q435" s="991"/>
      <c r="R435" s="991"/>
      <c r="S435" s="991"/>
      <c r="T435" s="1045"/>
      <c r="U435" s="991"/>
      <c r="V435" s="991"/>
      <c r="W435" s="991"/>
      <c r="X435" s="1042"/>
    </row>
    <row r="436" spans="1:24" ht="15">
      <c r="A436" s="991"/>
      <c r="B436" s="1249"/>
      <c r="C436" s="1250"/>
      <c r="D436" s="1251"/>
      <c r="E436" s="1250"/>
      <c r="F436" s="1252"/>
      <c r="G436" s="991"/>
      <c r="H436" s="1045"/>
      <c r="I436" s="1045"/>
      <c r="J436" s="991"/>
      <c r="K436" s="991"/>
      <c r="L436" s="1045"/>
      <c r="M436" s="991"/>
      <c r="N436" s="991"/>
      <c r="O436" s="991"/>
      <c r="P436" s="1045"/>
      <c r="Q436" s="991"/>
      <c r="R436" s="991"/>
      <c r="S436" s="991"/>
      <c r="T436" s="1045"/>
      <c r="U436" s="991"/>
      <c r="V436" s="991"/>
      <c r="W436" s="991"/>
      <c r="X436" s="1042"/>
    </row>
    <row r="437" spans="1:24" ht="15">
      <c r="A437" s="991"/>
      <c r="B437" s="1249"/>
      <c r="C437" s="1250"/>
      <c r="D437" s="1251"/>
      <c r="E437" s="1250"/>
      <c r="F437" s="1252"/>
      <c r="G437" s="991"/>
      <c r="H437" s="1045"/>
      <c r="I437" s="1045"/>
      <c r="J437" s="991"/>
      <c r="K437" s="991"/>
      <c r="L437" s="1045"/>
      <c r="M437" s="991"/>
      <c r="N437" s="991"/>
      <c r="O437" s="991"/>
      <c r="P437" s="1045"/>
      <c r="Q437" s="991"/>
      <c r="R437" s="991"/>
      <c r="S437" s="991"/>
      <c r="T437" s="1045"/>
      <c r="U437" s="991"/>
      <c r="V437" s="991"/>
      <c r="W437" s="991"/>
      <c r="X437" s="1042"/>
    </row>
    <row r="438" spans="1:24" ht="15">
      <c r="A438" s="991"/>
      <c r="B438" s="1249"/>
      <c r="C438" s="1250"/>
      <c r="D438" s="1251"/>
      <c r="E438" s="1250"/>
      <c r="F438" s="1252"/>
      <c r="G438" s="991"/>
      <c r="H438" s="1045"/>
      <c r="I438" s="1045"/>
      <c r="J438" s="991"/>
      <c r="K438" s="991"/>
      <c r="L438" s="1045"/>
      <c r="M438" s="991"/>
      <c r="N438" s="991"/>
      <c r="O438" s="991"/>
      <c r="P438" s="1045"/>
      <c r="Q438" s="991"/>
      <c r="R438" s="991"/>
      <c r="S438" s="991"/>
      <c r="T438" s="1045"/>
      <c r="U438" s="991"/>
      <c r="V438" s="991"/>
      <c r="W438" s="991"/>
      <c r="X438" s="1042"/>
    </row>
    <row r="439" spans="1:24" ht="15">
      <c r="A439" s="991"/>
      <c r="B439" s="1249"/>
      <c r="C439" s="1250"/>
      <c r="D439" s="1251"/>
      <c r="E439" s="1250"/>
      <c r="F439" s="1252"/>
      <c r="G439" s="991"/>
      <c r="H439" s="1045"/>
      <c r="I439" s="1045"/>
      <c r="J439" s="991"/>
      <c r="K439" s="991"/>
      <c r="L439" s="1045"/>
      <c r="M439" s="991"/>
      <c r="N439" s="991"/>
      <c r="O439" s="991"/>
      <c r="P439" s="1045"/>
      <c r="Q439" s="991"/>
      <c r="R439" s="991"/>
      <c r="S439" s="991"/>
      <c r="T439" s="1045"/>
      <c r="U439" s="991"/>
      <c r="V439" s="991"/>
      <c r="W439" s="991"/>
      <c r="X439" s="1042"/>
    </row>
    <row r="440" spans="1:24" ht="15">
      <c r="A440" s="991"/>
      <c r="B440" s="1249"/>
      <c r="C440" s="1250"/>
      <c r="D440" s="1251"/>
      <c r="E440" s="1250"/>
      <c r="F440" s="1252"/>
      <c r="G440" s="991"/>
      <c r="H440" s="1045"/>
      <c r="I440" s="1045"/>
      <c r="J440" s="991"/>
      <c r="K440" s="991"/>
      <c r="L440" s="1045"/>
      <c r="M440" s="991"/>
      <c r="N440" s="991"/>
      <c r="O440" s="991"/>
      <c r="P440" s="1045"/>
      <c r="Q440" s="991"/>
      <c r="R440" s="991"/>
      <c r="S440" s="991"/>
      <c r="T440" s="1045"/>
      <c r="U440" s="991"/>
      <c r="V440" s="991"/>
      <c r="W440" s="991"/>
      <c r="X440" s="1042"/>
    </row>
    <row r="441" spans="1:24" ht="15">
      <c r="A441" s="991"/>
      <c r="B441" s="1249"/>
      <c r="C441" s="1250"/>
      <c r="D441" s="1251"/>
      <c r="E441" s="1250"/>
      <c r="F441" s="1252"/>
      <c r="G441" s="991"/>
      <c r="H441" s="1045"/>
      <c r="I441" s="1045"/>
      <c r="J441" s="991"/>
      <c r="K441" s="991"/>
      <c r="L441" s="1045"/>
      <c r="M441" s="991"/>
      <c r="N441" s="991"/>
      <c r="O441" s="991"/>
      <c r="P441" s="1045"/>
      <c r="Q441" s="991"/>
      <c r="R441" s="991"/>
      <c r="S441" s="991"/>
      <c r="T441" s="1045"/>
      <c r="U441" s="991"/>
      <c r="V441" s="991"/>
      <c r="W441" s="991"/>
      <c r="X441" s="1042"/>
    </row>
    <row r="442" spans="1:24" ht="15">
      <c r="A442" s="991"/>
      <c r="B442" s="1249"/>
      <c r="C442" s="1250"/>
      <c r="D442" s="1251"/>
      <c r="E442" s="1250"/>
      <c r="F442" s="1252"/>
      <c r="G442" s="991"/>
      <c r="H442" s="1045"/>
      <c r="I442" s="1045"/>
      <c r="J442" s="991"/>
      <c r="K442" s="991"/>
      <c r="L442" s="1045"/>
      <c r="M442" s="991"/>
      <c r="N442" s="991"/>
      <c r="O442" s="991"/>
      <c r="P442" s="1045"/>
      <c r="Q442" s="991"/>
      <c r="R442" s="991"/>
      <c r="S442" s="991"/>
      <c r="T442" s="1045"/>
      <c r="U442" s="991"/>
      <c r="V442" s="991"/>
      <c r="W442" s="991"/>
      <c r="X442" s="1042"/>
    </row>
    <row r="443" spans="1:24" ht="15">
      <c r="A443" s="991"/>
      <c r="B443" s="1249"/>
      <c r="C443" s="1250"/>
      <c r="D443" s="1251"/>
      <c r="E443" s="1250"/>
      <c r="F443" s="1252"/>
      <c r="G443" s="991"/>
      <c r="H443" s="1045"/>
      <c r="I443" s="1045"/>
      <c r="J443" s="991"/>
      <c r="K443" s="991"/>
      <c r="L443" s="1045"/>
      <c r="M443" s="991"/>
      <c r="N443" s="991"/>
      <c r="O443" s="991"/>
      <c r="P443" s="1045"/>
      <c r="Q443" s="991"/>
      <c r="R443" s="991"/>
      <c r="S443" s="991"/>
      <c r="T443" s="1045"/>
      <c r="U443" s="991"/>
      <c r="V443" s="991"/>
      <c r="W443" s="991"/>
      <c r="X443" s="1042"/>
    </row>
    <row r="444" spans="1:24" ht="15">
      <c r="A444" s="991"/>
      <c r="B444" s="1249"/>
      <c r="C444" s="1250"/>
      <c r="D444" s="1251"/>
      <c r="E444" s="1250"/>
      <c r="F444" s="1252"/>
      <c r="G444" s="991"/>
      <c r="H444" s="1045"/>
      <c r="I444" s="1045"/>
      <c r="J444" s="991"/>
      <c r="K444" s="991"/>
      <c r="L444" s="1045"/>
      <c r="M444" s="991"/>
      <c r="N444" s="991"/>
      <c r="O444" s="991"/>
      <c r="P444" s="1045"/>
      <c r="Q444" s="991"/>
      <c r="R444" s="991"/>
      <c r="S444" s="991"/>
      <c r="T444" s="1045"/>
      <c r="U444" s="991"/>
      <c r="V444" s="991"/>
      <c r="W444" s="991"/>
      <c r="X444" s="1042"/>
    </row>
    <row r="445" spans="1:24" ht="15">
      <c r="A445" s="991"/>
      <c r="B445" s="1249"/>
      <c r="C445" s="1250"/>
      <c r="D445" s="1251"/>
      <c r="E445" s="1250"/>
      <c r="F445" s="1252"/>
      <c r="G445" s="991"/>
      <c r="H445" s="1045"/>
      <c r="I445" s="1045"/>
      <c r="J445" s="991"/>
      <c r="K445" s="991"/>
      <c r="L445" s="1045"/>
      <c r="M445" s="991"/>
      <c r="N445" s="991"/>
      <c r="O445" s="991"/>
      <c r="P445" s="1045"/>
      <c r="Q445" s="991"/>
      <c r="R445" s="991"/>
      <c r="S445" s="991"/>
      <c r="T445" s="1045"/>
      <c r="U445" s="991"/>
      <c r="V445" s="991"/>
      <c r="W445" s="991"/>
      <c r="X445" s="1042"/>
    </row>
    <row r="446" spans="1:24" ht="15">
      <c r="A446" s="991"/>
      <c r="B446" s="1249"/>
      <c r="C446" s="1250"/>
      <c r="D446" s="1251"/>
      <c r="E446" s="1250"/>
      <c r="F446" s="1252"/>
      <c r="G446" s="991"/>
      <c r="H446" s="1045"/>
      <c r="I446" s="1045"/>
      <c r="J446" s="991"/>
      <c r="K446" s="991"/>
      <c r="L446" s="1045"/>
      <c r="M446" s="991"/>
      <c r="N446" s="991"/>
      <c r="O446" s="991"/>
      <c r="P446" s="1045"/>
      <c r="Q446" s="991"/>
      <c r="R446" s="991"/>
      <c r="S446" s="991"/>
      <c r="T446" s="1045"/>
      <c r="U446" s="991"/>
      <c r="V446" s="991"/>
      <c r="W446" s="991"/>
      <c r="X446" s="1042"/>
    </row>
    <row r="447" spans="1:24" ht="15">
      <c r="A447" s="991"/>
      <c r="B447" s="1249"/>
      <c r="C447" s="1250"/>
      <c r="D447" s="1251"/>
      <c r="E447" s="1250"/>
      <c r="F447" s="1252"/>
      <c r="G447" s="991"/>
      <c r="H447" s="1045"/>
      <c r="I447" s="1045"/>
      <c r="J447" s="991"/>
      <c r="K447" s="991"/>
      <c r="L447" s="1045"/>
      <c r="M447" s="991"/>
      <c r="N447" s="991"/>
      <c r="O447" s="991"/>
      <c r="P447" s="1045"/>
      <c r="Q447" s="991"/>
      <c r="R447" s="991"/>
      <c r="S447" s="991"/>
      <c r="T447" s="1045"/>
      <c r="U447" s="991"/>
      <c r="V447" s="991"/>
      <c r="W447" s="991"/>
      <c r="X447" s="1042"/>
    </row>
    <row r="448" spans="1:24" ht="15">
      <c r="A448" s="991"/>
      <c r="B448" s="1249"/>
      <c r="C448" s="1250"/>
      <c r="D448" s="1251"/>
      <c r="E448" s="1250"/>
      <c r="F448" s="1252"/>
      <c r="G448" s="991"/>
      <c r="H448" s="1045"/>
      <c r="I448" s="1045"/>
      <c r="J448" s="991"/>
      <c r="K448" s="991"/>
      <c r="L448" s="1045"/>
      <c r="M448" s="991"/>
      <c r="N448" s="991"/>
      <c r="O448" s="991"/>
      <c r="P448" s="1045"/>
      <c r="Q448" s="991"/>
      <c r="R448" s="991"/>
      <c r="S448" s="991"/>
      <c r="T448" s="1045"/>
      <c r="U448" s="991"/>
      <c r="V448" s="991"/>
      <c r="W448" s="991"/>
      <c r="X448" s="1042"/>
    </row>
    <row r="449" spans="1:24" ht="15">
      <c r="A449" s="991"/>
      <c r="B449" s="1249"/>
      <c r="C449" s="1250"/>
      <c r="D449" s="1251"/>
      <c r="E449" s="1250"/>
      <c r="F449" s="1252"/>
      <c r="G449" s="991"/>
      <c r="H449" s="1045"/>
      <c r="I449" s="1045"/>
      <c r="J449" s="991"/>
      <c r="K449" s="991"/>
      <c r="L449" s="1045"/>
      <c r="M449" s="991"/>
      <c r="N449" s="991"/>
      <c r="O449" s="991"/>
      <c r="P449" s="1045"/>
      <c r="Q449" s="991"/>
      <c r="R449" s="991"/>
      <c r="S449" s="991"/>
      <c r="T449" s="1045"/>
      <c r="U449" s="991"/>
      <c r="V449" s="991"/>
      <c r="W449" s="991"/>
      <c r="X449" s="1042"/>
    </row>
    <row r="450" spans="1:24" ht="15">
      <c r="A450" s="991"/>
      <c r="B450" s="1249"/>
      <c r="C450" s="1250"/>
      <c r="D450" s="1251"/>
      <c r="E450" s="1250"/>
      <c r="F450" s="1252"/>
      <c r="G450" s="991"/>
      <c r="H450" s="1045"/>
      <c r="I450" s="1045"/>
      <c r="J450" s="991"/>
      <c r="K450" s="991"/>
      <c r="L450" s="1045"/>
      <c r="M450" s="991"/>
      <c r="N450" s="991"/>
      <c r="O450" s="991"/>
      <c r="P450" s="1045"/>
      <c r="Q450" s="991"/>
      <c r="R450" s="991"/>
      <c r="S450" s="991"/>
      <c r="T450" s="1045"/>
      <c r="U450" s="991"/>
      <c r="V450" s="991"/>
      <c r="W450" s="991"/>
      <c r="X450" s="1042"/>
    </row>
    <row r="451" spans="1:24" ht="15">
      <c r="A451" s="991"/>
      <c r="B451" s="1249"/>
      <c r="C451" s="1250"/>
      <c r="D451" s="1251"/>
      <c r="E451" s="1250"/>
      <c r="F451" s="1252"/>
      <c r="G451" s="991"/>
      <c r="H451" s="1045"/>
      <c r="I451" s="1045"/>
      <c r="J451" s="991"/>
      <c r="K451" s="991"/>
      <c r="L451" s="1045"/>
      <c r="M451" s="991"/>
      <c r="N451" s="991"/>
      <c r="O451" s="991"/>
      <c r="P451" s="1045"/>
      <c r="Q451" s="991"/>
      <c r="R451" s="991"/>
      <c r="S451" s="991"/>
      <c r="T451" s="1045"/>
      <c r="U451" s="991"/>
      <c r="V451" s="991"/>
      <c r="W451" s="991"/>
      <c r="X451" s="1042"/>
    </row>
    <row r="452" spans="1:24" ht="15">
      <c r="A452" s="991"/>
      <c r="B452" s="1249"/>
      <c r="C452" s="1250"/>
      <c r="D452" s="1251"/>
      <c r="E452" s="1250"/>
      <c r="F452" s="1252"/>
      <c r="G452" s="991"/>
      <c r="H452" s="1045"/>
      <c r="I452" s="1045"/>
      <c r="J452" s="991"/>
      <c r="K452" s="991"/>
      <c r="L452" s="1045"/>
      <c r="M452" s="991"/>
      <c r="N452" s="991"/>
      <c r="O452" s="991"/>
      <c r="P452" s="1045"/>
      <c r="Q452" s="991"/>
      <c r="R452" s="991"/>
      <c r="S452" s="991"/>
      <c r="T452" s="1045"/>
      <c r="U452" s="991"/>
      <c r="V452" s="991"/>
      <c r="W452" s="991"/>
      <c r="X452" s="1042"/>
    </row>
    <row r="453" spans="1:24" ht="15">
      <c r="A453" s="991"/>
      <c r="B453" s="1249"/>
      <c r="C453" s="1250"/>
      <c r="D453" s="1251"/>
      <c r="E453" s="1250"/>
      <c r="F453" s="1252"/>
      <c r="G453" s="991"/>
      <c r="H453" s="1045"/>
      <c r="I453" s="1045"/>
      <c r="J453" s="991"/>
      <c r="K453" s="991"/>
      <c r="L453" s="1045"/>
      <c r="M453" s="991"/>
      <c r="N453" s="991"/>
      <c r="O453" s="991"/>
      <c r="P453" s="1045"/>
      <c r="Q453" s="991"/>
      <c r="R453" s="991"/>
      <c r="S453" s="991"/>
      <c r="T453" s="1045"/>
      <c r="U453" s="991"/>
      <c r="V453" s="991"/>
      <c r="W453" s="991"/>
      <c r="X453" s="1042"/>
    </row>
    <row r="454" spans="1:24" ht="15">
      <c r="A454" s="991"/>
      <c r="B454" s="1249"/>
      <c r="C454" s="1250"/>
      <c r="D454" s="1251"/>
      <c r="E454" s="1250"/>
      <c r="F454" s="1252"/>
      <c r="G454" s="991"/>
      <c r="H454" s="1045"/>
      <c r="I454" s="1045"/>
      <c r="J454" s="991"/>
      <c r="K454" s="991"/>
      <c r="L454" s="1045"/>
      <c r="M454" s="991"/>
      <c r="N454" s="991"/>
      <c r="O454" s="991"/>
      <c r="P454" s="1045"/>
      <c r="Q454" s="991"/>
      <c r="R454" s="991"/>
      <c r="S454" s="991"/>
      <c r="T454" s="1045"/>
      <c r="U454" s="991"/>
      <c r="V454" s="991"/>
      <c r="W454" s="991"/>
      <c r="X454" s="1042"/>
    </row>
    <row r="455" spans="1:24" ht="15">
      <c r="A455" s="991"/>
      <c r="B455" s="1249"/>
      <c r="C455" s="1250"/>
      <c r="D455" s="1251"/>
      <c r="E455" s="1250"/>
      <c r="F455" s="1252"/>
      <c r="G455" s="991"/>
      <c r="H455" s="1045"/>
      <c r="I455" s="1045"/>
      <c r="J455" s="991"/>
      <c r="K455" s="991"/>
      <c r="L455" s="1045"/>
      <c r="M455" s="991"/>
      <c r="N455" s="991"/>
      <c r="O455" s="991"/>
      <c r="P455" s="1045"/>
      <c r="Q455" s="991"/>
      <c r="R455" s="991"/>
      <c r="S455" s="991"/>
      <c r="T455" s="1045"/>
      <c r="U455" s="991"/>
      <c r="V455" s="991"/>
      <c r="W455" s="991"/>
      <c r="X455" s="1042"/>
    </row>
    <row r="456" spans="1:24" ht="15">
      <c r="A456" s="991"/>
      <c r="B456" s="1249"/>
      <c r="C456" s="1250"/>
      <c r="D456" s="1251"/>
      <c r="E456" s="1250"/>
      <c r="F456" s="1252"/>
      <c r="G456" s="991"/>
      <c r="H456" s="1045"/>
      <c r="I456" s="1045"/>
      <c r="J456" s="991"/>
      <c r="K456" s="991"/>
      <c r="L456" s="1045"/>
      <c r="M456" s="991"/>
      <c r="N456" s="991"/>
      <c r="O456" s="991"/>
      <c r="P456" s="1045"/>
      <c r="Q456" s="991"/>
      <c r="R456" s="991"/>
      <c r="S456" s="991"/>
      <c r="T456" s="1045"/>
      <c r="U456" s="991"/>
      <c r="V456" s="991"/>
      <c r="W456" s="991"/>
      <c r="X456" s="1042"/>
    </row>
    <row r="457" spans="1:24" ht="15">
      <c r="A457" s="991"/>
      <c r="B457" s="1249"/>
      <c r="C457" s="1250"/>
      <c r="D457" s="1251"/>
      <c r="E457" s="1250"/>
      <c r="F457" s="1252"/>
      <c r="G457" s="991"/>
      <c r="H457" s="1045"/>
      <c r="I457" s="1045"/>
      <c r="J457" s="991"/>
      <c r="K457" s="991"/>
      <c r="L457" s="1045"/>
      <c r="M457" s="991"/>
      <c r="N457" s="991"/>
      <c r="O457" s="991"/>
      <c r="P457" s="1045"/>
      <c r="Q457" s="991"/>
      <c r="R457" s="991"/>
      <c r="S457" s="991"/>
      <c r="T457" s="1045"/>
      <c r="U457" s="991"/>
      <c r="V457" s="991"/>
      <c r="W457" s="991"/>
      <c r="X457" s="1042"/>
    </row>
    <row r="458" spans="1:24" ht="15">
      <c r="A458" s="991"/>
      <c r="B458" s="1249"/>
      <c r="C458" s="1250"/>
      <c r="D458" s="1251"/>
      <c r="E458" s="1250"/>
      <c r="F458" s="1252"/>
      <c r="G458" s="991"/>
      <c r="H458" s="1045"/>
      <c r="I458" s="1045"/>
      <c r="J458" s="991"/>
      <c r="K458" s="991"/>
      <c r="L458" s="1045"/>
      <c r="M458" s="991"/>
      <c r="N458" s="991"/>
      <c r="O458" s="991"/>
      <c r="P458" s="1045"/>
      <c r="Q458" s="991"/>
      <c r="R458" s="991"/>
      <c r="S458" s="991"/>
      <c r="T458" s="1045"/>
      <c r="U458" s="991"/>
      <c r="V458" s="991"/>
      <c r="W458" s="991"/>
      <c r="X458" s="1042"/>
    </row>
    <row r="459" spans="1:24" ht="15">
      <c r="A459" s="991"/>
      <c r="B459" s="1249"/>
      <c r="C459" s="1250"/>
      <c r="D459" s="1251"/>
      <c r="E459" s="1250"/>
      <c r="F459" s="1252"/>
      <c r="G459" s="991"/>
      <c r="H459" s="1045"/>
      <c r="I459" s="1045"/>
      <c r="J459" s="991"/>
      <c r="K459" s="991"/>
      <c r="L459" s="1045"/>
      <c r="M459" s="991"/>
      <c r="N459" s="991"/>
      <c r="O459" s="991"/>
      <c r="P459" s="1045"/>
      <c r="Q459" s="991"/>
      <c r="R459" s="991"/>
      <c r="S459" s="991"/>
      <c r="T459" s="1045"/>
      <c r="U459" s="991"/>
      <c r="V459" s="991"/>
      <c r="W459" s="991"/>
      <c r="X459" s="1042"/>
    </row>
    <row r="460" spans="1:24" ht="15">
      <c r="A460" s="991"/>
      <c r="B460" s="1249"/>
      <c r="C460" s="1250"/>
      <c r="D460" s="1251"/>
      <c r="E460" s="1250"/>
      <c r="F460" s="1252"/>
      <c r="G460" s="991"/>
      <c r="H460" s="1045"/>
      <c r="I460" s="1045"/>
      <c r="J460" s="991"/>
      <c r="K460" s="991"/>
      <c r="L460" s="1045"/>
      <c r="M460" s="991"/>
      <c r="N460" s="991"/>
      <c r="O460" s="991"/>
      <c r="P460" s="1045"/>
      <c r="Q460" s="991"/>
      <c r="R460" s="991"/>
      <c r="S460" s="991"/>
      <c r="T460" s="1045"/>
      <c r="U460" s="991"/>
      <c r="V460" s="991"/>
      <c r="W460" s="991"/>
      <c r="X460" s="1042"/>
    </row>
    <row r="461" spans="1:24" ht="15">
      <c r="A461" s="991"/>
      <c r="B461" s="1249"/>
      <c r="C461" s="1250"/>
      <c r="D461" s="1251"/>
      <c r="E461" s="1250"/>
      <c r="F461" s="1252"/>
      <c r="G461" s="991"/>
      <c r="H461" s="1045"/>
      <c r="I461" s="1045"/>
      <c r="J461" s="991"/>
      <c r="K461" s="991"/>
      <c r="L461" s="1045"/>
      <c r="M461" s="991"/>
      <c r="N461" s="991"/>
      <c r="O461" s="991"/>
      <c r="P461" s="1045"/>
      <c r="Q461" s="991"/>
      <c r="R461" s="991"/>
      <c r="S461" s="991"/>
      <c r="T461" s="1045"/>
      <c r="U461" s="991"/>
      <c r="V461" s="991"/>
      <c r="W461" s="991"/>
      <c r="X461" s="1042"/>
    </row>
    <row r="462" spans="1:24" ht="15">
      <c r="A462" s="991"/>
      <c r="B462" s="1249"/>
      <c r="C462" s="1250"/>
      <c r="D462" s="1251"/>
      <c r="E462" s="1250"/>
      <c r="F462" s="1252"/>
      <c r="G462" s="991"/>
      <c r="H462" s="1045"/>
      <c r="I462" s="1045"/>
      <c r="J462" s="991"/>
      <c r="K462" s="991"/>
      <c r="L462" s="1045"/>
      <c r="M462" s="991"/>
      <c r="N462" s="991"/>
      <c r="O462" s="991"/>
      <c r="P462" s="1045"/>
      <c r="Q462" s="991"/>
      <c r="R462" s="991"/>
      <c r="S462" s="991"/>
      <c r="T462" s="1045"/>
      <c r="U462" s="991"/>
      <c r="V462" s="991"/>
      <c r="W462" s="991"/>
      <c r="X462" s="1042"/>
    </row>
    <row r="463" spans="1:24" ht="15">
      <c r="A463" s="991"/>
      <c r="B463" s="1249"/>
      <c r="C463" s="1250"/>
      <c r="D463" s="1251"/>
      <c r="E463" s="1250"/>
      <c r="F463" s="1252"/>
      <c r="G463" s="991"/>
      <c r="H463" s="1045"/>
      <c r="I463" s="1045"/>
      <c r="J463" s="991"/>
      <c r="K463" s="991"/>
      <c r="L463" s="1045"/>
      <c r="M463" s="991"/>
      <c r="N463" s="991"/>
      <c r="O463" s="991"/>
      <c r="P463" s="1045"/>
      <c r="Q463" s="991"/>
      <c r="R463" s="991"/>
      <c r="S463" s="991"/>
      <c r="T463" s="1045"/>
      <c r="U463" s="991"/>
      <c r="V463" s="991"/>
      <c r="W463" s="991"/>
      <c r="X463" s="1042"/>
    </row>
    <row r="464" spans="1:24" ht="15">
      <c r="A464" s="991"/>
      <c r="B464" s="1249"/>
      <c r="C464" s="1250"/>
      <c r="D464" s="1251"/>
      <c r="E464" s="1250"/>
      <c r="F464" s="1252"/>
      <c r="G464" s="991"/>
      <c r="H464" s="1045"/>
      <c r="I464" s="1045"/>
      <c r="J464" s="991"/>
      <c r="K464" s="991"/>
      <c r="L464" s="1045"/>
      <c r="M464" s="991"/>
      <c r="N464" s="991"/>
      <c r="O464" s="991"/>
      <c r="P464" s="1045"/>
      <c r="Q464" s="991"/>
      <c r="R464" s="991"/>
      <c r="S464" s="991"/>
      <c r="T464" s="1045"/>
      <c r="U464" s="991"/>
      <c r="V464" s="991"/>
      <c r="W464" s="991"/>
      <c r="X464" s="1042"/>
    </row>
    <row r="465" spans="1:24" ht="15">
      <c r="A465" s="991"/>
      <c r="B465" s="1249"/>
      <c r="C465" s="1250"/>
      <c r="D465" s="1251"/>
      <c r="E465" s="1250"/>
      <c r="F465" s="1252"/>
      <c r="G465" s="991"/>
      <c r="H465" s="1045"/>
      <c r="I465" s="1045"/>
      <c r="J465" s="991"/>
      <c r="K465" s="991"/>
      <c r="L465" s="1045"/>
      <c r="M465" s="991"/>
      <c r="N465" s="991"/>
      <c r="O465" s="991"/>
      <c r="P465" s="1045"/>
      <c r="Q465" s="991"/>
      <c r="R465" s="991"/>
      <c r="S465" s="991"/>
      <c r="T465" s="1045"/>
      <c r="U465" s="991"/>
      <c r="V465" s="991"/>
      <c r="W465" s="991"/>
      <c r="X465" s="1042"/>
    </row>
    <row r="466" spans="1:24" ht="15">
      <c r="A466" s="991"/>
      <c r="B466" s="1249"/>
      <c r="C466" s="1250"/>
      <c r="D466" s="1251"/>
      <c r="E466" s="1250"/>
      <c r="F466" s="1252"/>
      <c r="G466" s="991"/>
      <c r="H466" s="1045"/>
      <c r="I466" s="1045"/>
      <c r="J466" s="991"/>
      <c r="K466" s="991"/>
      <c r="L466" s="1045"/>
      <c r="M466" s="991"/>
      <c r="N466" s="991"/>
      <c r="O466" s="991"/>
      <c r="P466" s="1045"/>
      <c r="Q466" s="991"/>
      <c r="R466" s="991"/>
      <c r="S466" s="991"/>
      <c r="T466" s="1045"/>
      <c r="U466" s="991"/>
      <c r="V466" s="991"/>
      <c r="W466" s="991"/>
      <c r="X466" s="1042"/>
    </row>
    <row r="467" spans="1:24" ht="15">
      <c r="A467" s="991"/>
      <c r="B467" s="1249"/>
      <c r="C467" s="1250"/>
      <c r="D467" s="1251"/>
      <c r="E467" s="1250"/>
      <c r="F467" s="1252"/>
      <c r="G467" s="991"/>
      <c r="H467" s="1045"/>
      <c r="I467" s="1045"/>
      <c r="J467" s="991"/>
      <c r="K467" s="991"/>
      <c r="L467" s="1045"/>
      <c r="M467" s="991"/>
      <c r="N467" s="991"/>
      <c r="O467" s="991"/>
      <c r="P467" s="1045"/>
      <c r="Q467" s="991"/>
      <c r="R467" s="991"/>
      <c r="S467" s="991"/>
      <c r="T467" s="1045"/>
      <c r="U467" s="991"/>
      <c r="V467" s="991"/>
      <c r="W467" s="991"/>
      <c r="X467" s="1042"/>
    </row>
    <row r="468" spans="1:24" ht="15">
      <c r="A468" s="991"/>
      <c r="B468" s="1249"/>
      <c r="C468" s="1250"/>
      <c r="D468" s="1251"/>
      <c r="E468" s="1250"/>
      <c r="F468" s="1252"/>
      <c r="G468" s="991"/>
      <c r="H468" s="1045"/>
      <c r="I468" s="1045"/>
      <c r="J468" s="991"/>
      <c r="K468" s="991"/>
      <c r="L468" s="1045"/>
      <c r="M468" s="991"/>
      <c r="N468" s="991"/>
      <c r="O468" s="991"/>
      <c r="P468" s="1045"/>
      <c r="Q468" s="991"/>
      <c r="R468" s="991"/>
      <c r="S468" s="991"/>
      <c r="T468" s="1045"/>
      <c r="U468" s="991"/>
      <c r="V468" s="991"/>
      <c r="W468" s="991"/>
      <c r="X468" s="1042"/>
    </row>
    <row r="469" spans="1:24" ht="15">
      <c r="A469" s="991"/>
      <c r="B469" s="1249"/>
      <c r="C469" s="1250"/>
      <c r="D469" s="1251"/>
      <c r="E469" s="1250"/>
      <c r="F469" s="1252"/>
      <c r="G469" s="991"/>
      <c r="H469" s="1045"/>
      <c r="I469" s="1045"/>
      <c r="J469" s="991"/>
      <c r="K469" s="991"/>
      <c r="L469" s="1045"/>
      <c r="M469" s="991"/>
      <c r="N469" s="991"/>
      <c r="O469" s="991"/>
      <c r="P469" s="1045"/>
      <c r="Q469" s="991"/>
      <c r="R469" s="991"/>
      <c r="S469" s="991"/>
      <c r="T469" s="1045"/>
      <c r="U469" s="991"/>
      <c r="V469" s="991"/>
      <c r="W469" s="991"/>
      <c r="X469" s="1042"/>
    </row>
    <row r="470" spans="1:24" ht="15">
      <c r="A470" s="991"/>
      <c r="B470" s="1249"/>
      <c r="C470" s="1250"/>
      <c r="D470" s="1251"/>
      <c r="E470" s="1250"/>
      <c r="F470" s="1252"/>
      <c r="G470" s="991"/>
      <c r="H470" s="1045"/>
      <c r="I470" s="1045"/>
      <c r="J470" s="991"/>
      <c r="K470" s="991"/>
      <c r="L470" s="1045"/>
      <c r="M470" s="991"/>
      <c r="N470" s="991"/>
      <c r="O470" s="991"/>
      <c r="P470" s="1045"/>
      <c r="Q470" s="991"/>
      <c r="R470" s="991"/>
      <c r="S470" s="991"/>
      <c r="T470" s="1045"/>
      <c r="U470" s="991"/>
      <c r="V470" s="991"/>
      <c r="W470" s="991"/>
      <c r="X470" s="1042"/>
    </row>
    <row r="471" spans="1:24" ht="15">
      <c r="A471" s="991"/>
      <c r="B471" s="1249"/>
      <c r="C471" s="1250"/>
      <c r="D471" s="1251"/>
      <c r="E471" s="1250"/>
      <c r="F471" s="1252"/>
      <c r="G471" s="991"/>
      <c r="H471" s="1045"/>
      <c r="I471" s="1045"/>
      <c r="J471" s="991"/>
      <c r="K471" s="991"/>
      <c r="L471" s="1045"/>
      <c r="M471" s="991"/>
      <c r="N471" s="991"/>
      <c r="O471" s="991"/>
      <c r="P471" s="1045"/>
      <c r="Q471" s="991"/>
      <c r="R471" s="991"/>
      <c r="S471" s="991"/>
      <c r="T471" s="1045"/>
      <c r="U471" s="991"/>
      <c r="V471" s="991"/>
      <c r="W471" s="991"/>
      <c r="X471" s="1042"/>
    </row>
    <row r="472" spans="1:24" ht="15">
      <c r="A472" s="991"/>
      <c r="B472" s="1249"/>
      <c r="C472" s="1250"/>
      <c r="D472" s="1251"/>
      <c r="E472" s="1250"/>
      <c r="F472" s="1252"/>
      <c r="G472" s="991"/>
      <c r="H472" s="1045"/>
      <c r="I472" s="1045"/>
      <c r="J472" s="991"/>
      <c r="K472" s="991"/>
      <c r="L472" s="1045"/>
      <c r="M472" s="991"/>
      <c r="N472" s="991"/>
      <c r="O472" s="991"/>
      <c r="P472" s="1045"/>
      <c r="Q472" s="991"/>
      <c r="R472" s="991"/>
      <c r="S472" s="991"/>
      <c r="T472" s="1045"/>
      <c r="U472" s="991"/>
      <c r="V472" s="991"/>
      <c r="W472" s="991"/>
      <c r="X472" s="1042"/>
    </row>
    <row r="473" spans="1:24" ht="15">
      <c r="A473" s="991"/>
      <c r="B473" s="1249"/>
      <c r="C473" s="1250"/>
      <c r="D473" s="1251"/>
      <c r="E473" s="1250"/>
      <c r="F473" s="1252"/>
      <c r="G473" s="991"/>
      <c r="H473" s="1045"/>
      <c r="I473" s="1045"/>
      <c r="J473" s="991"/>
      <c r="K473" s="991"/>
      <c r="L473" s="1045"/>
      <c r="M473" s="991"/>
      <c r="N473" s="991"/>
      <c r="O473" s="991"/>
      <c r="P473" s="1045"/>
      <c r="Q473" s="991"/>
      <c r="R473" s="991"/>
      <c r="S473" s="991"/>
      <c r="T473" s="1045"/>
      <c r="U473" s="991"/>
      <c r="V473" s="991"/>
      <c r="W473" s="991"/>
      <c r="X473" s="1042"/>
    </row>
    <row r="474" spans="1:24" ht="15">
      <c r="A474" s="991"/>
      <c r="B474" s="1249"/>
      <c r="C474" s="1250"/>
      <c r="D474" s="1251"/>
      <c r="E474" s="1250"/>
      <c r="F474" s="1252"/>
      <c r="G474" s="991"/>
      <c r="H474" s="1045"/>
      <c r="I474" s="1045"/>
      <c r="J474" s="991"/>
      <c r="K474" s="991"/>
      <c r="L474" s="1045"/>
      <c r="M474" s="991"/>
      <c r="N474" s="991"/>
      <c r="O474" s="991"/>
      <c r="P474" s="1045"/>
      <c r="Q474" s="991"/>
      <c r="R474" s="991"/>
      <c r="S474" s="991"/>
      <c r="T474" s="1045"/>
      <c r="U474" s="991"/>
      <c r="V474" s="991"/>
      <c r="W474" s="991"/>
      <c r="X474" s="1042"/>
    </row>
    <row r="475" spans="1:24" ht="15">
      <c r="A475" s="991"/>
      <c r="B475" s="1249"/>
      <c r="C475" s="1250"/>
      <c r="D475" s="1251"/>
      <c r="E475" s="1250"/>
      <c r="F475" s="1252"/>
      <c r="G475" s="991"/>
      <c r="H475" s="1045"/>
      <c r="I475" s="1045"/>
      <c r="J475" s="991"/>
      <c r="K475" s="991"/>
      <c r="L475" s="1045"/>
      <c r="M475" s="991"/>
      <c r="N475" s="991"/>
      <c r="O475" s="991"/>
      <c r="P475" s="1045"/>
      <c r="Q475" s="991"/>
      <c r="R475" s="991"/>
      <c r="S475" s="991"/>
      <c r="T475" s="1045"/>
      <c r="U475" s="991"/>
      <c r="V475" s="991"/>
      <c r="W475" s="991"/>
      <c r="X475" s="1042"/>
    </row>
    <row r="476" spans="1:24" ht="15">
      <c r="A476" s="991"/>
      <c r="B476" s="1249"/>
      <c r="C476" s="1250"/>
      <c r="D476" s="1251"/>
      <c r="E476" s="1250"/>
      <c r="F476" s="1252"/>
      <c r="G476" s="991"/>
      <c r="H476" s="1045"/>
      <c r="I476" s="1045"/>
      <c r="J476" s="991"/>
      <c r="K476" s="991"/>
      <c r="L476" s="1045"/>
      <c r="M476" s="991"/>
      <c r="N476" s="991"/>
      <c r="O476" s="991"/>
      <c r="P476" s="1045"/>
      <c r="Q476" s="991"/>
      <c r="R476" s="991"/>
      <c r="S476" s="991"/>
      <c r="T476" s="1045"/>
      <c r="U476" s="991"/>
      <c r="V476" s="991"/>
      <c r="W476" s="991"/>
      <c r="X476" s="1042"/>
    </row>
    <row r="477" spans="1:24" ht="15">
      <c r="A477" s="991"/>
      <c r="B477" s="1249"/>
      <c r="C477" s="1250"/>
      <c r="D477" s="1251"/>
      <c r="E477" s="1250"/>
      <c r="F477" s="1252"/>
      <c r="G477" s="991"/>
      <c r="H477" s="1045"/>
      <c r="I477" s="1045"/>
      <c r="J477" s="991"/>
      <c r="K477" s="991"/>
      <c r="L477" s="1045"/>
      <c r="M477" s="991"/>
      <c r="N477" s="991"/>
      <c r="O477" s="991"/>
      <c r="P477" s="1045"/>
      <c r="Q477" s="991"/>
      <c r="R477" s="991"/>
      <c r="S477" s="991"/>
      <c r="T477" s="1045"/>
      <c r="U477" s="991"/>
      <c r="V477" s="991"/>
      <c r="W477" s="991"/>
      <c r="X477" s="1042"/>
    </row>
    <row r="478" spans="1:24" ht="15">
      <c r="A478" s="991"/>
      <c r="B478" s="1249"/>
      <c r="C478" s="1250"/>
      <c r="D478" s="1251"/>
      <c r="E478" s="1250"/>
      <c r="F478" s="1252"/>
      <c r="G478" s="991"/>
      <c r="H478" s="1045"/>
      <c r="I478" s="1045"/>
      <c r="J478" s="991"/>
      <c r="K478" s="991"/>
      <c r="L478" s="1045"/>
      <c r="M478" s="991"/>
      <c r="N478" s="991"/>
      <c r="O478" s="991"/>
      <c r="P478" s="1045"/>
      <c r="Q478" s="991"/>
      <c r="R478" s="991"/>
      <c r="S478" s="991"/>
      <c r="T478" s="1045"/>
      <c r="U478" s="991"/>
      <c r="V478" s="991"/>
      <c r="W478" s="991"/>
      <c r="X478" s="1042"/>
    </row>
    <row r="479" spans="1:24" ht="15">
      <c r="A479" s="991"/>
      <c r="B479" s="1249"/>
      <c r="C479" s="1250"/>
      <c r="D479" s="1251"/>
      <c r="E479" s="1250"/>
      <c r="F479" s="1252"/>
      <c r="G479" s="991"/>
      <c r="H479" s="1045"/>
      <c r="I479" s="1045"/>
      <c r="J479" s="991"/>
      <c r="K479" s="991"/>
      <c r="L479" s="1045"/>
      <c r="M479" s="991"/>
      <c r="N479" s="991"/>
      <c r="O479" s="991"/>
      <c r="P479" s="1045"/>
      <c r="Q479" s="991"/>
      <c r="R479" s="991"/>
      <c r="S479" s="991"/>
      <c r="T479" s="1045"/>
      <c r="U479" s="991"/>
      <c r="V479" s="991"/>
      <c r="W479" s="991"/>
      <c r="X479" s="1042"/>
    </row>
    <row r="480" spans="1:24" ht="15">
      <c r="A480" s="991"/>
      <c r="B480" s="1249"/>
      <c r="C480" s="1250"/>
      <c r="D480" s="1251"/>
      <c r="E480" s="1250"/>
      <c r="F480" s="1252"/>
      <c r="G480" s="991"/>
      <c r="H480" s="1045"/>
      <c r="I480" s="1045"/>
      <c r="J480" s="991"/>
      <c r="K480" s="991"/>
      <c r="L480" s="1045"/>
      <c r="M480" s="991"/>
      <c r="N480" s="991"/>
      <c r="O480" s="991"/>
      <c r="P480" s="1045"/>
      <c r="Q480" s="991"/>
      <c r="R480" s="991"/>
      <c r="S480" s="991"/>
      <c r="T480" s="1045"/>
      <c r="U480" s="991"/>
      <c r="V480" s="991"/>
      <c r="W480" s="991"/>
      <c r="X480" s="1042"/>
    </row>
    <row r="481" spans="1:24" ht="15">
      <c r="A481" s="991"/>
      <c r="B481" s="1249"/>
      <c r="C481" s="1250"/>
      <c r="D481" s="1251"/>
      <c r="E481" s="1250"/>
      <c r="F481" s="1252"/>
      <c r="G481" s="991"/>
      <c r="H481" s="1045"/>
      <c r="I481" s="1045"/>
      <c r="J481" s="991"/>
      <c r="K481" s="991"/>
      <c r="L481" s="1045"/>
      <c r="M481" s="991"/>
      <c r="N481" s="991"/>
      <c r="O481" s="991"/>
      <c r="P481" s="1045"/>
      <c r="Q481" s="991"/>
      <c r="R481" s="991"/>
      <c r="S481" s="991"/>
      <c r="T481" s="1045"/>
      <c r="U481" s="991"/>
      <c r="V481" s="991"/>
      <c r="W481" s="991"/>
      <c r="X481" s="1042"/>
    </row>
    <row r="482" spans="1:24" ht="15">
      <c r="A482" s="991"/>
      <c r="B482" s="1249"/>
      <c r="C482" s="1250"/>
      <c r="D482" s="1251"/>
      <c r="E482" s="1250"/>
      <c r="F482" s="1252"/>
      <c r="G482" s="991"/>
      <c r="H482" s="1045"/>
      <c r="I482" s="1045"/>
      <c r="J482" s="991"/>
      <c r="K482" s="991"/>
      <c r="L482" s="1045"/>
      <c r="M482" s="991"/>
      <c r="N482" s="991"/>
      <c r="O482" s="991"/>
      <c r="P482" s="1045"/>
      <c r="Q482" s="991"/>
      <c r="R482" s="991"/>
      <c r="S482" s="991"/>
      <c r="T482" s="1045"/>
      <c r="U482" s="991"/>
      <c r="V482" s="991"/>
      <c r="W482" s="991"/>
      <c r="X482" s="1042"/>
    </row>
    <row r="483" spans="1:24" ht="15">
      <c r="A483" s="991"/>
      <c r="B483" s="1249"/>
      <c r="C483" s="1250"/>
      <c r="D483" s="1251"/>
      <c r="E483" s="1250"/>
      <c r="F483" s="1252"/>
      <c r="G483" s="991"/>
      <c r="H483" s="1045"/>
      <c r="I483" s="1045"/>
      <c r="J483" s="991"/>
      <c r="K483" s="991"/>
      <c r="L483" s="1045"/>
      <c r="M483" s="991"/>
      <c r="N483" s="991"/>
      <c r="O483" s="991"/>
      <c r="P483" s="1045"/>
      <c r="Q483" s="991"/>
      <c r="R483" s="991"/>
      <c r="S483" s="991"/>
      <c r="T483" s="1045"/>
      <c r="U483" s="991"/>
      <c r="V483" s="991"/>
      <c r="W483" s="991"/>
      <c r="X483" s="1042"/>
    </row>
    <row r="484" spans="1:24" ht="15">
      <c r="A484" s="991"/>
      <c r="B484" s="1249"/>
      <c r="C484" s="1250"/>
      <c r="D484" s="1251"/>
      <c r="E484" s="1250"/>
      <c r="F484" s="1252"/>
      <c r="G484" s="991"/>
      <c r="H484" s="1045"/>
      <c r="I484" s="1045"/>
      <c r="J484" s="991"/>
      <c r="K484" s="991"/>
      <c r="L484" s="1045"/>
      <c r="M484" s="991"/>
      <c r="N484" s="991"/>
      <c r="O484" s="991"/>
      <c r="P484" s="1045"/>
      <c r="Q484" s="991"/>
      <c r="R484" s="991"/>
      <c r="S484" s="991"/>
      <c r="T484" s="1045"/>
      <c r="U484" s="991"/>
      <c r="V484" s="991"/>
      <c r="W484" s="991"/>
      <c r="X484" s="1042"/>
    </row>
    <row r="485" spans="1:24" ht="15">
      <c r="A485" s="991"/>
      <c r="B485" s="1249"/>
      <c r="C485" s="1250"/>
      <c r="D485" s="1251"/>
      <c r="E485" s="1250"/>
      <c r="F485" s="1252"/>
      <c r="G485" s="991"/>
      <c r="H485" s="1045"/>
      <c r="I485" s="1045"/>
      <c r="J485" s="991"/>
      <c r="K485" s="991"/>
      <c r="L485" s="1045"/>
      <c r="M485" s="991"/>
      <c r="N485" s="991"/>
      <c r="O485" s="991"/>
      <c r="P485" s="1045"/>
      <c r="Q485" s="991"/>
      <c r="R485" s="991"/>
      <c r="S485" s="991"/>
      <c r="T485" s="1045"/>
      <c r="U485" s="991"/>
      <c r="V485" s="991"/>
      <c r="W485" s="991"/>
      <c r="X485" s="1042"/>
    </row>
    <row r="486" spans="1:24" ht="15">
      <c r="A486" s="991"/>
      <c r="B486" s="1249"/>
      <c r="C486" s="1250"/>
      <c r="D486" s="1251"/>
      <c r="E486" s="1250"/>
      <c r="F486" s="1252"/>
      <c r="G486" s="991"/>
      <c r="H486" s="1045"/>
      <c r="I486" s="1045"/>
      <c r="J486" s="991"/>
      <c r="K486" s="991"/>
      <c r="L486" s="1045"/>
      <c r="M486" s="991"/>
      <c r="N486" s="991"/>
      <c r="O486" s="991"/>
      <c r="P486" s="1045"/>
      <c r="Q486" s="991"/>
      <c r="R486" s="991"/>
      <c r="S486" s="991"/>
      <c r="T486" s="1045"/>
      <c r="U486" s="991"/>
      <c r="V486" s="991"/>
      <c r="W486" s="991"/>
      <c r="X486" s="1042"/>
    </row>
    <row r="487" spans="1:24" ht="15">
      <c r="A487" s="991"/>
      <c r="B487" s="1249"/>
      <c r="C487" s="1250"/>
      <c r="D487" s="1251"/>
      <c r="E487" s="1250"/>
      <c r="F487" s="1252"/>
      <c r="G487" s="991"/>
      <c r="H487" s="1045"/>
      <c r="I487" s="1045"/>
      <c r="J487" s="991"/>
      <c r="K487" s="991"/>
      <c r="L487" s="1045"/>
      <c r="M487" s="991"/>
      <c r="N487" s="991"/>
      <c r="O487" s="991"/>
      <c r="P487" s="1045"/>
      <c r="Q487" s="991"/>
      <c r="R487" s="991"/>
      <c r="S487" s="991"/>
      <c r="T487" s="1045"/>
      <c r="U487" s="991"/>
      <c r="V487" s="991"/>
      <c r="W487" s="991"/>
      <c r="X487" s="1042"/>
    </row>
    <row r="488" spans="1:24" ht="15">
      <c r="A488" s="991"/>
      <c r="B488" s="1249"/>
      <c r="C488" s="1250"/>
      <c r="D488" s="1251"/>
      <c r="E488" s="1250"/>
      <c r="F488" s="1252"/>
      <c r="G488" s="991"/>
      <c r="H488" s="1045"/>
      <c r="I488" s="1045"/>
      <c r="J488" s="991"/>
      <c r="K488" s="991"/>
      <c r="L488" s="1045"/>
      <c r="M488" s="991"/>
      <c r="N488" s="991"/>
      <c r="O488" s="991"/>
      <c r="P488" s="1045"/>
      <c r="Q488" s="991"/>
      <c r="R488" s="991"/>
      <c r="S488" s="991"/>
      <c r="T488" s="1045"/>
      <c r="U488" s="991"/>
      <c r="V488" s="991"/>
      <c r="W488" s="991"/>
      <c r="X488" s="1042"/>
    </row>
    <row r="489" spans="1:24" ht="15">
      <c r="A489" s="991"/>
      <c r="B489" s="1249"/>
      <c r="C489" s="1250"/>
      <c r="D489" s="1251"/>
      <c r="E489" s="1250"/>
      <c r="F489" s="1252"/>
      <c r="G489" s="991"/>
      <c r="H489" s="1045"/>
      <c r="I489" s="1045"/>
      <c r="J489" s="991"/>
      <c r="K489" s="991"/>
      <c r="L489" s="1045"/>
      <c r="M489" s="991"/>
      <c r="N489" s="991"/>
      <c r="O489" s="991"/>
      <c r="P489" s="1045"/>
      <c r="Q489" s="991"/>
      <c r="R489" s="991"/>
      <c r="S489" s="991"/>
      <c r="T489" s="1045"/>
      <c r="U489" s="991"/>
      <c r="V489" s="991"/>
      <c r="W489" s="991"/>
      <c r="X489" s="1042"/>
    </row>
    <row r="490" spans="1:24" ht="15">
      <c r="A490" s="991"/>
      <c r="B490" s="1249"/>
      <c r="C490" s="1250"/>
      <c r="D490" s="1251"/>
      <c r="E490" s="1250"/>
      <c r="F490" s="1252"/>
      <c r="G490" s="991"/>
      <c r="H490" s="1045"/>
      <c r="I490" s="1045"/>
      <c r="J490" s="991"/>
      <c r="K490" s="991"/>
      <c r="L490" s="1045"/>
      <c r="M490" s="991"/>
      <c r="N490" s="991"/>
      <c r="O490" s="991"/>
      <c r="P490" s="1045"/>
      <c r="Q490" s="991"/>
      <c r="R490" s="991"/>
      <c r="S490" s="991"/>
      <c r="T490" s="1045"/>
      <c r="U490" s="991"/>
      <c r="V490" s="991"/>
      <c r="W490" s="991"/>
      <c r="X490" s="1042"/>
    </row>
    <row r="491" spans="1:24" ht="15">
      <c r="A491" s="991"/>
      <c r="B491" s="1249"/>
      <c r="C491" s="1250"/>
      <c r="D491" s="1251"/>
      <c r="E491" s="1250"/>
      <c r="F491" s="1252"/>
      <c r="G491" s="991"/>
      <c r="H491" s="1045"/>
      <c r="I491" s="1045"/>
      <c r="J491" s="991"/>
      <c r="K491" s="991"/>
      <c r="L491" s="1045"/>
      <c r="M491" s="991"/>
      <c r="N491" s="991"/>
      <c r="O491" s="991"/>
      <c r="P491" s="1045"/>
      <c r="Q491" s="991"/>
      <c r="R491" s="991"/>
      <c r="S491" s="991"/>
      <c r="T491" s="1045"/>
      <c r="U491" s="991"/>
      <c r="V491" s="991"/>
      <c r="W491" s="991"/>
      <c r="X491" s="1042"/>
    </row>
    <row r="492" spans="1:24" ht="15">
      <c r="A492" s="991"/>
      <c r="B492" s="1249"/>
      <c r="C492" s="1250"/>
      <c r="D492" s="1251"/>
      <c r="E492" s="1250"/>
      <c r="F492" s="1252"/>
      <c r="G492" s="991"/>
      <c r="H492" s="1045"/>
      <c r="I492" s="1045"/>
      <c r="J492" s="991"/>
      <c r="K492" s="991"/>
      <c r="L492" s="1045"/>
      <c r="M492" s="991"/>
      <c r="N492" s="991"/>
      <c r="O492" s="991"/>
      <c r="P492" s="1045"/>
      <c r="Q492" s="991"/>
      <c r="R492" s="991"/>
      <c r="S492" s="991"/>
      <c r="T492" s="1045"/>
      <c r="U492" s="991"/>
      <c r="V492" s="991"/>
      <c r="W492" s="991"/>
      <c r="X492" s="1042"/>
    </row>
    <row r="493" spans="1:24" ht="15">
      <c r="A493" s="991"/>
      <c r="B493" s="1249"/>
      <c r="C493" s="1250"/>
      <c r="D493" s="1251"/>
      <c r="E493" s="1250"/>
      <c r="F493" s="1252"/>
      <c r="G493" s="991"/>
      <c r="H493" s="1045"/>
      <c r="I493" s="1045"/>
      <c r="J493" s="991"/>
      <c r="K493" s="991"/>
      <c r="L493" s="1045"/>
      <c r="M493" s="991"/>
      <c r="N493" s="991"/>
      <c r="O493" s="991"/>
      <c r="P493" s="1045"/>
      <c r="Q493" s="991"/>
      <c r="R493" s="991"/>
      <c r="S493" s="991"/>
      <c r="T493" s="1045"/>
      <c r="U493" s="991"/>
      <c r="V493" s="991"/>
      <c r="W493" s="991"/>
      <c r="X493" s="1042"/>
    </row>
    <row r="494" spans="1:24" ht="15">
      <c r="A494" s="991"/>
      <c r="B494" s="1249"/>
      <c r="C494" s="1250"/>
      <c r="D494" s="1251"/>
      <c r="E494" s="1250"/>
      <c r="F494" s="1252"/>
      <c r="G494" s="991"/>
      <c r="H494" s="1045"/>
      <c r="I494" s="1045"/>
      <c r="J494" s="991"/>
      <c r="K494" s="991"/>
      <c r="L494" s="1045"/>
      <c r="M494" s="991"/>
      <c r="N494" s="991"/>
      <c r="O494" s="991"/>
      <c r="P494" s="1045"/>
      <c r="Q494" s="991"/>
      <c r="R494" s="991"/>
      <c r="S494" s="991"/>
      <c r="T494" s="1045"/>
      <c r="U494" s="991"/>
      <c r="V494" s="991"/>
      <c r="W494" s="991"/>
      <c r="X494" s="1042"/>
    </row>
    <row r="495" spans="1:24" ht="15">
      <c r="A495" s="991"/>
      <c r="B495" s="1249"/>
      <c r="C495" s="1250"/>
      <c r="D495" s="1251"/>
      <c r="E495" s="1250"/>
      <c r="F495" s="1252"/>
      <c r="G495" s="991"/>
      <c r="H495" s="1045"/>
      <c r="I495" s="1045"/>
      <c r="J495" s="991"/>
      <c r="K495" s="991"/>
      <c r="L495" s="1045"/>
      <c r="M495" s="991"/>
      <c r="N495" s="991"/>
      <c r="O495" s="991"/>
      <c r="P495" s="1045"/>
      <c r="Q495" s="991"/>
      <c r="R495" s="991"/>
      <c r="S495" s="991"/>
      <c r="T495" s="1045"/>
      <c r="U495" s="991"/>
      <c r="V495" s="991"/>
      <c r="W495" s="991"/>
      <c r="X495" s="1042"/>
    </row>
    <row r="496" spans="1:24" ht="15">
      <c r="A496" s="991"/>
      <c r="B496" s="1249"/>
      <c r="C496" s="1250"/>
      <c r="D496" s="1251"/>
      <c r="E496" s="1250"/>
      <c r="F496" s="1252"/>
      <c r="G496" s="991"/>
      <c r="H496" s="1045"/>
      <c r="I496" s="1045"/>
      <c r="J496" s="991"/>
      <c r="K496" s="991"/>
      <c r="L496" s="1045"/>
      <c r="M496" s="991"/>
      <c r="N496" s="991"/>
      <c r="O496" s="991"/>
      <c r="P496" s="1045"/>
      <c r="Q496" s="991"/>
      <c r="R496" s="991"/>
      <c r="S496" s="991"/>
      <c r="T496" s="1045"/>
      <c r="U496" s="991"/>
      <c r="V496" s="991"/>
      <c r="W496" s="991"/>
      <c r="X496" s="1042"/>
    </row>
    <row r="497" spans="1:24" ht="15">
      <c r="A497" s="991"/>
      <c r="B497" s="1249"/>
      <c r="C497" s="1250"/>
      <c r="D497" s="1251"/>
      <c r="E497" s="1250"/>
      <c r="F497" s="1252"/>
      <c r="G497" s="991"/>
      <c r="H497" s="1045"/>
      <c r="I497" s="1045"/>
      <c r="J497" s="991"/>
      <c r="K497" s="991"/>
      <c r="L497" s="1045"/>
      <c r="M497" s="991"/>
      <c r="N497" s="991"/>
      <c r="O497" s="991"/>
      <c r="P497" s="1045"/>
      <c r="Q497" s="991"/>
      <c r="R497" s="991"/>
      <c r="S497" s="991"/>
      <c r="T497" s="1045"/>
      <c r="U497" s="991"/>
      <c r="V497" s="991"/>
      <c r="W497" s="991"/>
      <c r="X497" s="1042"/>
    </row>
    <row r="498" spans="1:24" ht="15">
      <c r="A498" s="991"/>
      <c r="B498" s="1249"/>
      <c r="C498" s="1250"/>
      <c r="D498" s="1251"/>
      <c r="E498" s="1250"/>
      <c r="F498" s="1252"/>
      <c r="G498" s="991"/>
      <c r="H498" s="1045"/>
      <c r="I498" s="1045"/>
      <c r="J498" s="991"/>
      <c r="K498" s="991"/>
      <c r="L498" s="1045"/>
      <c r="M498" s="991"/>
      <c r="N498" s="991"/>
      <c r="O498" s="991"/>
      <c r="P498" s="1045"/>
      <c r="Q498" s="991"/>
      <c r="R498" s="991"/>
      <c r="S498" s="991"/>
      <c r="T498" s="1045"/>
      <c r="U498" s="991"/>
      <c r="V498" s="991"/>
      <c r="W498" s="991"/>
      <c r="X498" s="1042"/>
    </row>
    <row r="499" spans="1:24" ht="15">
      <c r="A499" s="991"/>
      <c r="B499" s="1249"/>
      <c r="C499" s="1250"/>
      <c r="D499" s="1251"/>
      <c r="E499" s="1250"/>
      <c r="F499" s="1252"/>
      <c r="G499" s="991"/>
      <c r="H499" s="1045"/>
      <c r="I499" s="1045"/>
      <c r="J499" s="991"/>
      <c r="K499" s="991"/>
      <c r="L499" s="1045"/>
      <c r="M499" s="991"/>
      <c r="N499" s="991"/>
      <c r="O499" s="991"/>
      <c r="P499" s="1045"/>
      <c r="Q499" s="991"/>
      <c r="R499" s="991"/>
      <c r="S499" s="991"/>
      <c r="T499" s="1045"/>
      <c r="U499" s="991"/>
      <c r="V499" s="991"/>
      <c r="W499" s="991"/>
      <c r="X499" s="1042"/>
    </row>
    <row r="500" spans="1:24" ht="15">
      <c r="A500" s="991"/>
      <c r="B500" s="1249"/>
      <c r="C500" s="1250"/>
      <c r="D500" s="1251"/>
      <c r="E500" s="1250"/>
      <c r="F500" s="1252"/>
      <c r="G500" s="991"/>
      <c r="H500" s="1045"/>
      <c r="I500" s="1045"/>
      <c r="J500" s="991"/>
      <c r="K500" s="991"/>
      <c r="L500" s="1045"/>
      <c r="M500" s="991"/>
      <c r="N500" s="991"/>
      <c r="O500" s="991"/>
      <c r="P500" s="1045"/>
      <c r="Q500" s="991"/>
      <c r="R500" s="991"/>
      <c r="S500" s="991"/>
      <c r="T500" s="1045"/>
      <c r="U500" s="991"/>
      <c r="V500" s="991"/>
      <c r="W500" s="991"/>
      <c r="X500" s="1042"/>
    </row>
    <row r="501" spans="1:24" ht="15">
      <c r="A501" s="991"/>
      <c r="B501" s="1249"/>
      <c r="C501" s="1250"/>
      <c r="D501" s="1251"/>
      <c r="E501" s="1250"/>
      <c r="F501" s="1252"/>
      <c r="G501" s="991"/>
      <c r="H501" s="1045"/>
      <c r="I501" s="1045"/>
      <c r="J501" s="991"/>
      <c r="K501" s="991"/>
      <c r="L501" s="1045"/>
      <c r="M501" s="991"/>
      <c r="N501" s="991"/>
      <c r="O501" s="991"/>
      <c r="P501" s="1045"/>
      <c r="Q501" s="991"/>
      <c r="R501" s="991"/>
      <c r="S501" s="991"/>
      <c r="T501" s="1045"/>
      <c r="U501" s="991"/>
      <c r="V501" s="991"/>
      <c r="W501" s="991"/>
      <c r="X501" s="1042"/>
    </row>
    <row r="502" spans="1:24" ht="15">
      <c r="A502" s="991"/>
      <c r="B502" s="1249"/>
      <c r="C502" s="1250"/>
      <c r="D502" s="1251"/>
      <c r="E502" s="1250"/>
      <c r="F502" s="1252"/>
      <c r="G502" s="991"/>
      <c r="H502" s="1045"/>
      <c r="I502" s="1045"/>
      <c r="J502" s="991"/>
      <c r="K502" s="991"/>
      <c r="L502" s="1045"/>
      <c r="M502" s="991"/>
      <c r="N502" s="991"/>
      <c r="O502" s="991"/>
      <c r="P502" s="1045"/>
      <c r="Q502" s="991"/>
      <c r="R502" s="991"/>
      <c r="S502" s="991"/>
      <c r="T502" s="1045"/>
      <c r="U502" s="991"/>
      <c r="V502" s="991"/>
      <c r="W502" s="991"/>
      <c r="X502" s="1042"/>
    </row>
    <row r="503" spans="1:24" ht="15">
      <c r="A503" s="991"/>
      <c r="B503" s="1249"/>
      <c r="C503" s="1250"/>
      <c r="D503" s="1251"/>
      <c r="E503" s="1250"/>
      <c r="F503" s="1252"/>
      <c r="G503" s="991"/>
      <c r="H503" s="1045"/>
      <c r="I503" s="1045"/>
      <c r="J503" s="991"/>
      <c r="K503" s="991"/>
      <c r="L503" s="1045"/>
      <c r="M503" s="991"/>
      <c r="N503" s="991"/>
      <c r="O503" s="991"/>
      <c r="P503" s="1045"/>
      <c r="Q503" s="991"/>
      <c r="R503" s="991"/>
      <c r="S503" s="991"/>
      <c r="T503" s="1045"/>
      <c r="U503" s="991"/>
      <c r="V503" s="991"/>
      <c r="W503" s="991"/>
      <c r="X503" s="1042"/>
    </row>
    <row r="504" spans="1:24" ht="15">
      <c r="A504" s="991"/>
      <c r="B504" s="1249"/>
      <c r="C504" s="1250"/>
      <c r="D504" s="1251"/>
      <c r="E504" s="1250"/>
      <c r="F504" s="1252"/>
      <c r="G504" s="991"/>
      <c r="H504" s="1045"/>
      <c r="I504" s="1045"/>
      <c r="J504" s="991"/>
      <c r="K504" s="991"/>
      <c r="L504" s="1045"/>
      <c r="M504" s="991"/>
      <c r="N504" s="991"/>
      <c r="O504" s="991"/>
      <c r="P504" s="1045"/>
      <c r="Q504" s="991"/>
      <c r="R504" s="991"/>
      <c r="S504" s="991"/>
      <c r="T504" s="1045"/>
      <c r="U504" s="991"/>
      <c r="V504" s="991"/>
      <c r="W504" s="991"/>
      <c r="X504" s="1042"/>
    </row>
    <row r="505" spans="1:24" ht="15">
      <c r="A505" s="991"/>
      <c r="B505" s="1249"/>
      <c r="C505" s="1250"/>
      <c r="D505" s="1251"/>
      <c r="E505" s="1250"/>
      <c r="F505" s="1252"/>
      <c r="G505" s="991"/>
      <c r="H505" s="1045"/>
      <c r="I505" s="1045"/>
      <c r="J505" s="991"/>
      <c r="K505" s="991"/>
      <c r="L505" s="1045"/>
      <c r="M505" s="991"/>
      <c r="N505" s="991"/>
      <c r="O505" s="991"/>
      <c r="P505" s="1045"/>
      <c r="Q505" s="991"/>
      <c r="R505" s="991"/>
      <c r="S505" s="991"/>
      <c r="T505" s="1045"/>
      <c r="U505" s="991"/>
      <c r="V505" s="991"/>
      <c r="W505" s="991"/>
      <c r="X505" s="1042"/>
    </row>
    <row r="506" spans="1:24" ht="15">
      <c r="A506" s="991"/>
      <c r="B506" s="1249"/>
      <c r="C506" s="1250"/>
      <c r="D506" s="1251"/>
      <c r="E506" s="1250"/>
      <c r="F506" s="1252"/>
      <c r="G506" s="991"/>
      <c r="H506" s="1045"/>
      <c r="I506" s="1045"/>
      <c r="J506" s="991"/>
      <c r="K506" s="991"/>
      <c r="L506" s="1045"/>
      <c r="M506" s="991"/>
      <c r="N506" s="991"/>
      <c r="O506" s="991"/>
      <c r="P506" s="1045"/>
      <c r="Q506" s="991"/>
      <c r="R506" s="991"/>
      <c r="S506" s="991"/>
      <c r="T506" s="1045"/>
      <c r="U506" s="991"/>
      <c r="V506" s="991"/>
      <c r="W506" s="991"/>
      <c r="X506" s="1042"/>
    </row>
    <row r="507" spans="1:24" ht="15">
      <c r="A507" s="991"/>
      <c r="B507" s="1249"/>
      <c r="C507" s="1250"/>
      <c r="D507" s="1251"/>
      <c r="E507" s="1250"/>
      <c r="F507" s="1252"/>
      <c r="G507" s="991"/>
      <c r="H507" s="1045"/>
      <c r="I507" s="1045"/>
      <c r="J507" s="991"/>
      <c r="K507" s="991"/>
      <c r="L507" s="1045"/>
      <c r="M507" s="991"/>
      <c r="N507" s="991"/>
      <c r="O507" s="991"/>
      <c r="P507" s="1045"/>
      <c r="Q507" s="991"/>
      <c r="R507" s="991"/>
      <c r="S507" s="991"/>
      <c r="T507" s="1045"/>
      <c r="U507" s="991"/>
      <c r="V507" s="991"/>
      <c r="W507" s="991"/>
      <c r="X507" s="1042"/>
    </row>
    <row r="508" spans="1:24" ht="15">
      <c r="A508" s="991"/>
      <c r="B508" s="1249"/>
      <c r="C508" s="1250"/>
      <c r="D508" s="1251"/>
      <c r="E508" s="1250"/>
      <c r="F508" s="1252"/>
      <c r="G508" s="991"/>
      <c r="H508" s="1045"/>
      <c r="I508" s="1045"/>
      <c r="J508" s="991"/>
      <c r="K508" s="991"/>
      <c r="L508" s="1045"/>
      <c r="M508" s="991"/>
      <c r="N508" s="991"/>
      <c r="O508" s="991"/>
      <c r="P508" s="1045"/>
      <c r="Q508" s="991"/>
      <c r="R508" s="991"/>
      <c r="S508" s="991"/>
      <c r="T508" s="1045"/>
      <c r="U508" s="991"/>
      <c r="V508" s="991"/>
      <c r="W508" s="991"/>
      <c r="X508" s="1042"/>
    </row>
    <row r="509" spans="1:24" ht="15">
      <c r="A509" s="991"/>
      <c r="B509" s="1249"/>
      <c r="C509" s="1250"/>
      <c r="D509" s="1251"/>
      <c r="E509" s="1250"/>
      <c r="F509" s="1252"/>
      <c r="G509" s="991"/>
      <c r="H509" s="1045"/>
      <c r="I509" s="1045"/>
      <c r="J509" s="991"/>
      <c r="K509" s="991"/>
      <c r="L509" s="1045"/>
      <c r="M509" s="991"/>
      <c r="N509" s="991"/>
      <c r="O509" s="991"/>
      <c r="P509" s="1045"/>
      <c r="Q509" s="991"/>
      <c r="R509" s="991"/>
      <c r="S509" s="991"/>
      <c r="T509" s="1045"/>
      <c r="U509" s="991"/>
      <c r="V509" s="991"/>
      <c r="W509" s="991"/>
      <c r="X509" s="1042"/>
    </row>
    <row r="510" spans="1:24" ht="15">
      <c r="A510" s="991"/>
      <c r="B510" s="1249"/>
      <c r="C510" s="1250"/>
      <c r="D510" s="1251"/>
      <c r="E510" s="1250"/>
      <c r="F510" s="1252"/>
      <c r="G510" s="991"/>
      <c r="H510" s="1045"/>
      <c r="I510" s="1045"/>
      <c r="J510" s="991"/>
      <c r="K510" s="991"/>
      <c r="L510" s="1045"/>
      <c r="M510" s="991"/>
      <c r="N510" s="991"/>
      <c r="O510" s="991"/>
      <c r="P510" s="1045"/>
      <c r="Q510" s="991"/>
      <c r="R510" s="991"/>
      <c r="S510" s="991"/>
      <c r="T510" s="1045"/>
      <c r="U510" s="991"/>
      <c r="V510" s="991"/>
      <c r="W510" s="991"/>
      <c r="X510" s="1042"/>
    </row>
    <row r="511" spans="1:24" ht="15">
      <c r="A511" s="991"/>
      <c r="B511" s="1249"/>
      <c r="C511" s="1250"/>
      <c r="D511" s="1251"/>
      <c r="E511" s="1250"/>
      <c r="F511" s="1252"/>
      <c r="G511" s="991"/>
      <c r="H511" s="1045"/>
      <c r="I511" s="1045"/>
      <c r="J511" s="991"/>
      <c r="K511" s="991"/>
      <c r="L511" s="1045"/>
      <c r="M511" s="991"/>
      <c r="N511" s="991"/>
      <c r="O511" s="991"/>
      <c r="P511" s="1045"/>
      <c r="Q511" s="991"/>
      <c r="R511" s="991"/>
      <c r="S511" s="991"/>
      <c r="T511" s="1045"/>
      <c r="U511" s="991"/>
      <c r="V511" s="991"/>
      <c r="W511" s="991"/>
      <c r="X511" s="1042"/>
    </row>
    <row r="512" spans="1:24" ht="15">
      <c r="A512" s="991"/>
      <c r="B512" s="1249"/>
      <c r="C512" s="1250"/>
      <c r="D512" s="1251"/>
      <c r="E512" s="1250"/>
      <c r="F512" s="1252"/>
      <c r="G512" s="991"/>
      <c r="H512" s="1045"/>
      <c r="I512" s="1045"/>
      <c r="J512" s="991"/>
      <c r="K512" s="991"/>
      <c r="L512" s="1045"/>
      <c r="M512" s="991"/>
      <c r="N512" s="991"/>
      <c r="O512" s="991"/>
      <c r="P512" s="1045"/>
      <c r="Q512" s="991"/>
      <c r="R512" s="991"/>
      <c r="S512" s="991"/>
      <c r="T512" s="1045"/>
      <c r="U512" s="991"/>
      <c r="V512" s="991"/>
      <c r="W512" s="991"/>
      <c r="X512" s="1042"/>
    </row>
    <row r="513" spans="1:24" ht="15">
      <c r="A513" s="991"/>
      <c r="B513" s="1249"/>
      <c r="C513" s="1250"/>
      <c r="D513" s="1251"/>
      <c r="E513" s="1250"/>
      <c r="F513" s="1252"/>
      <c r="G513" s="991"/>
      <c r="H513" s="1045"/>
      <c r="I513" s="1045"/>
      <c r="J513" s="991"/>
      <c r="K513" s="991"/>
      <c r="L513" s="1045"/>
      <c r="M513" s="991"/>
      <c r="N513" s="991"/>
      <c r="O513" s="991"/>
      <c r="P513" s="1045"/>
      <c r="Q513" s="991"/>
      <c r="R513" s="991"/>
      <c r="S513" s="991"/>
      <c r="T513" s="1045"/>
      <c r="U513" s="991"/>
      <c r="V513" s="991"/>
      <c r="W513" s="991"/>
      <c r="X513" s="1042"/>
    </row>
    <row r="514" spans="1:24" ht="15">
      <c r="A514" s="991"/>
      <c r="B514" s="1249"/>
      <c r="C514" s="1250"/>
      <c r="D514" s="1251"/>
      <c r="E514" s="1250"/>
      <c r="F514" s="1252"/>
      <c r="G514" s="991"/>
      <c r="H514" s="1045"/>
      <c r="I514" s="1045"/>
      <c r="J514" s="991"/>
      <c r="K514" s="991"/>
      <c r="L514" s="1045"/>
      <c r="M514" s="991"/>
      <c r="N514" s="991"/>
      <c r="O514" s="991"/>
      <c r="P514" s="1045"/>
      <c r="Q514" s="991"/>
      <c r="R514" s="991"/>
      <c r="S514" s="991"/>
      <c r="T514" s="1045"/>
      <c r="U514" s="991"/>
      <c r="V514" s="991"/>
      <c r="W514" s="991"/>
      <c r="X514" s="1042"/>
    </row>
    <row r="515" spans="1:24" ht="15">
      <c r="A515" s="991"/>
      <c r="B515" s="1249"/>
      <c r="C515" s="1250"/>
      <c r="D515" s="1251"/>
      <c r="E515" s="1250"/>
      <c r="F515" s="1252"/>
      <c r="G515" s="991"/>
      <c r="H515" s="1045"/>
      <c r="I515" s="1045"/>
      <c r="J515" s="991"/>
      <c r="K515" s="991"/>
      <c r="L515" s="1045"/>
      <c r="M515" s="991"/>
      <c r="N515" s="991"/>
      <c r="O515" s="991"/>
      <c r="P515" s="1045"/>
      <c r="Q515" s="991"/>
      <c r="R515" s="991"/>
      <c r="S515" s="991"/>
      <c r="T515" s="1045"/>
      <c r="U515" s="991"/>
      <c r="V515" s="991"/>
      <c r="W515" s="991"/>
      <c r="X515" s="1042"/>
    </row>
    <row r="516" spans="1:24" ht="15">
      <c r="A516" s="991"/>
      <c r="B516" s="1249"/>
      <c r="C516" s="1250"/>
      <c r="D516" s="1251"/>
      <c r="E516" s="1250"/>
      <c r="F516" s="1252"/>
      <c r="G516" s="991"/>
      <c r="H516" s="1045"/>
      <c r="I516" s="1045"/>
      <c r="J516" s="991"/>
      <c r="K516" s="991"/>
      <c r="L516" s="1045"/>
      <c r="M516" s="991"/>
      <c r="N516" s="991"/>
      <c r="O516" s="991"/>
      <c r="P516" s="1045"/>
      <c r="Q516" s="991"/>
      <c r="R516" s="991"/>
      <c r="S516" s="991"/>
      <c r="T516" s="1045"/>
      <c r="U516" s="991"/>
      <c r="V516" s="991"/>
      <c r="W516" s="991"/>
      <c r="X516" s="1042"/>
    </row>
    <row r="517" spans="1:24" ht="15">
      <c r="A517" s="991"/>
      <c r="B517" s="1249"/>
      <c r="C517" s="1250"/>
      <c r="D517" s="1251"/>
      <c r="E517" s="1250"/>
      <c r="F517" s="1252"/>
      <c r="G517" s="991"/>
      <c r="H517" s="1045"/>
      <c r="I517" s="1045"/>
      <c r="J517" s="991"/>
      <c r="K517" s="991"/>
      <c r="L517" s="1045"/>
      <c r="M517" s="991"/>
      <c r="N517" s="991"/>
      <c r="O517" s="991"/>
      <c r="P517" s="1045"/>
      <c r="Q517" s="991"/>
      <c r="R517" s="991"/>
      <c r="S517" s="991"/>
      <c r="T517" s="1045"/>
      <c r="U517" s="991"/>
      <c r="V517" s="991"/>
      <c r="W517" s="991"/>
      <c r="X517" s="1042"/>
    </row>
    <row r="518" spans="1:24" ht="15">
      <c r="A518" s="991"/>
      <c r="B518" s="1249"/>
      <c r="C518" s="1250"/>
      <c r="D518" s="1251"/>
      <c r="E518" s="1250"/>
      <c r="F518" s="1252"/>
      <c r="G518" s="991"/>
      <c r="H518" s="1045"/>
      <c r="I518" s="1045"/>
      <c r="J518" s="991"/>
      <c r="K518" s="991"/>
      <c r="L518" s="1045"/>
      <c r="M518" s="991"/>
      <c r="N518" s="991"/>
      <c r="O518" s="991"/>
      <c r="P518" s="1045"/>
      <c r="Q518" s="991"/>
      <c r="R518" s="991"/>
      <c r="S518" s="991"/>
      <c r="T518" s="1045"/>
      <c r="U518" s="991"/>
      <c r="V518" s="991"/>
      <c r="W518" s="991"/>
      <c r="X518" s="1042"/>
    </row>
    <row r="519" spans="1:24" ht="15">
      <c r="A519" s="991"/>
      <c r="B519" s="1249"/>
      <c r="C519" s="1250"/>
      <c r="D519" s="1251"/>
      <c r="E519" s="1250"/>
      <c r="F519" s="1252"/>
      <c r="G519" s="991"/>
      <c r="H519" s="1045"/>
      <c r="I519" s="1045"/>
      <c r="J519" s="991"/>
      <c r="K519" s="991"/>
      <c r="L519" s="1045"/>
      <c r="M519" s="991"/>
      <c r="N519" s="991"/>
      <c r="O519" s="991"/>
      <c r="P519" s="1045"/>
      <c r="Q519" s="991"/>
      <c r="R519" s="991"/>
      <c r="S519" s="991"/>
      <c r="T519" s="1045"/>
      <c r="U519" s="991"/>
      <c r="V519" s="991"/>
      <c r="W519" s="991"/>
      <c r="X519" s="1042"/>
    </row>
    <row r="520" spans="1:24" ht="15">
      <c r="A520" s="991"/>
      <c r="B520" s="1249"/>
      <c r="C520" s="1250"/>
      <c r="D520" s="1251"/>
      <c r="E520" s="1250"/>
      <c r="F520" s="1252"/>
      <c r="G520" s="991"/>
      <c r="H520" s="1045"/>
      <c r="I520" s="1045"/>
      <c r="J520" s="991"/>
      <c r="K520" s="991"/>
      <c r="L520" s="1045"/>
      <c r="M520" s="991"/>
      <c r="N520" s="991"/>
      <c r="O520" s="991"/>
      <c r="P520" s="1045"/>
      <c r="Q520" s="991"/>
      <c r="R520" s="991"/>
      <c r="S520" s="991"/>
      <c r="T520" s="1045"/>
      <c r="U520" s="991"/>
      <c r="V520" s="991"/>
      <c r="W520" s="991"/>
      <c r="X520" s="1042"/>
    </row>
    <row r="521" spans="1:24" ht="15">
      <c r="A521" s="991"/>
      <c r="B521" s="1249"/>
      <c r="C521" s="1250"/>
      <c r="D521" s="1251"/>
      <c r="E521" s="1250"/>
      <c r="F521" s="1252"/>
      <c r="G521" s="991"/>
      <c r="H521" s="1045"/>
      <c r="I521" s="1045"/>
      <c r="J521" s="991"/>
      <c r="K521" s="991"/>
      <c r="L521" s="1045"/>
      <c r="M521" s="991"/>
      <c r="N521" s="991"/>
      <c r="O521" s="991"/>
      <c r="P521" s="1045"/>
      <c r="Q521" s="991"/>
      <c r="R521" s="991"/>
      <c r="S521" s="991"/>
      <c r="T521" s="1045"/>
      <c r="U521" s="991"/>
      <c r="V521" s="991"/>
      <c r="W521" s="991"/>
      <c r="X521" s="1042"/>
    </row>
    <row r="522" spans="1:24" ht="15">
      <c r="A522" s="991"/>
      <c r="B522" s="1249"/>
      <c r="C522" s="1250"/>
      <c r="D522" s="1251"/>
      <c r="E522" s="1250"/>
      <c r="F522" s="1252"/>
      <c r="G522" s="991"/>
      <c r="H522" s="1045"/>
      <c r="I522" s="1045"/>
      <c r="J522" s="991"/>
      <c r="K522" s="991"/>
      <c r="L522" s="1045"/>
      <c r="M522" s="991"/>
      <c r="N522" s="991"/>
      <c r="O522" s="991"/>
      <c r="P522" s="1045"/>
      <c r="Q522" s="991"/>
      <c r="R522" s="991"/>
      <c r="S522" s="991"/>
      <c r="T522" s="1045"/>
      <c r="U522" s="991"/>
      <c r="V522" s="991"/>
      <c r="W522" s="991"/>
      <c r="X522" s="1042"/>
    </row>
    <row r="523" spans="1:24" ht="15">
      <c r="A523" s="991"/>
      <c r="B523" s="1249"/>
      <c r="C523" s="1250"/>
      <c r="D523" s="1251"/>
      <c r="E523" s="1250"/>
      <c r="F523" s="1252"/>
      <c r="G523" s="991"/>
      <c r="H523" s="1045"/>
      <c r="I523" s="1045"/>
      <c r="J523" s="991"/>
      <c r="K523" s="991"/>
      <c r="L523" s="1045"/>
      <c r="M523" s="991"/>
      <c r="N523" s="991"/>
      <c r="O523" s="991"/>
      <c r="P523" s="1045"/>
      <c r="Q523" s="991"/>
      <c r="R523" s="991"/>
      <c r="S523" s="991"/>
      <c r="T523" s="1045"/>
      <c r="U523" s="991"/>
      <c r="V523" s="991"/>
      <c r="W523" s="991"/>
      <c r="X523" s="1042"/>
    </row>
    <row r="524" spans="1:24" ht="15">
      <c r="A524" s="991"/>
      <c r="B524" s="1249"/>
      <c r="C524" s="1250"/>
      <c r="D524" s="1251"/>
      <c r="E524" s="1250"/>
      <c r="F524" s="1252"/>
      <c r="G524" s="991"/>
      <c r="H524" s="1045"/>
      <c r="I524" s="1045"/>
      <c r="J524" s="991"/>
      <c r="K524" s="991"/>
      <c r="L524" s="1045"/>
      <c r="M524" s="991"/>
      <c r="N524" s="991"/>
      <c r="O524" s="991"/>
      <c r="P524" s="1045"/>
      <c r="Q524" s="991"/>
      <c r="R524" s="991"/>
      <c r="S524" s="991"/>
      <c r="T524" s="1045"/>
      <c r="U524" s="991"/>
      <c r="V524" s="991"/>
      <c r="W524" s="991"/>
      <c r="X524" s="1042"/>
    </row>
    <row r="525" spans="1:24" ht="15">
      <c r="A525" s="991"/>
      <c r="B525" s="1249"/>
      <c r="C525" s="1250"/>
      <c r="D525" s="1251"/>
      <c r="E525" s="1250"/>
      <c r="F525" s="1252"/>
      <c r="G525" s="991"/>
      <c r="H525" s="1045"/>
      <c r="I525" s="1045"/>
      <c r="J525" s="991"/>
      <c r="K525" s="991"/>
      <c r="L525" s="1045"/>
      <c r="M525" s="991"/>
      <c r="N525" s="991"/>
      <c r="O525" s="991"/>
      <c r="P525" s="1045"/>
      <c r="Q525" s="991"/>
      <c r="R525" s="991"/>
      <c r="S525" s="991"/>
      <c r="T525" s="1045"/>
      <c r="U525" s="991"/>
      <c r="V525" s="991"/>
      <c r="W525" s="991"/>
      <c r="X525" s="1042"/>
    </row>
    <row r="526" spans="1:24" ht="15">
      <c r="A526" s="991"/>
      <c r="B526" s="1249"/>
      <c r="C526" s="1250"/>
      <c r="D526" s="1251"/>
      <c r="E526" s="1250"/>
      <c r="F526" s="1252"/>
      <c r="G526" s="991"/>
      <c r="H526" s="1045"/>
      <c r="I526" s="1045"/>
      <c r="J526" s="991"/>
      <c r="K526" s="991"/>
      <c r="L526" s="1045"/>
      <c r="M526" s="991"/>
      <c r="N526" s="991"/>
      <c r="O526" s="991"/>
      <c r="P526" s="1045"/>
      <c r="Q526" s="991"/>
      <c r="R526" s="991"/>
      <c r="S526" s="991"/>
      <c r="T526" s="1045"/>
      <c r="U526" s="991"/>
      <c r="V526" s="991"/>
      <c r="W526" s="991"/>
      <c r="X526" s="1042"/>
    </row>
    <row r="527" spans="1:24" ht="15">
      <c r="A527" s="991"/>
      <c r="B527" s="1249"/>
      <c r="C527" s="1250"/>
      <c r="D527" s="1251"/>
      <c r="E527" s="1250"/>
      <c r="F527" s="1252"/>
      <c r="G527" s="991"/>
      <c r="H527" s="1045"/>
      <c r="I527" s="1045"/>
      <c r="J527" s="991"/>
      <c r="K527" s="991"/>
      <c r="L527" s="1045"/>
      <c r="M527" s="991"/>
      <c r="N527" s="991"/>
      <c r="O527" s="991"/>
      <c r="P527" s="1045"/>
      <c r="Q527" s="991"/>
      <c r="R527" s="991"/>
      <c r="S527" s="991"/>
      <c r="T527" s="1045"/>
      <c r="U527" s="991"/>
      <c r="V527" s="991"/>
      <c r="W527" s="991"/>
      <c r="X527" s="1042"/>
    </row>
    <row r="528" spans="1:24" ht="15">
      <c r="A528" s="991"/>
      <c r="B528" s="1249"/>
      <c r="C528" s="1250"/>
      <c r="D528" s="1251"/>
      <c r="E528" s="1250"/>
      <c r="F528" s="1252"/>
      <c r="G528" s="991"/>
      <c r="H528" s="1045"/>
      <c r="I528" s="1045"/>
      <c r="J528" s="991"/>
      <c r="K528" s="991"/>
      <c r="L528" s="1045"/>
      <c r="M528" s="991"/>
      <c r="N528" s="991"/>
      <c r="O528" s="991"/>
      <c r="P528" s="1045"/>
      <c r="Q528" s="991"/>
      <c r="R528" s="991"/>
      <c r="S528" s="991"/>
      <c r="T528" s="1045"/>
      <c r="U528" s="991"/>
      <c r="V528" s="991"/>
      <c r="W528" s="991"/>
      <c r="X528" s="1042"/>
    </row>
    <row r="529" spans="1:24" ht="15">
      <c r="A529" s="991"/>
      <c r="B529" s="1249"/>
      <c r="C529" s="1250"/>
      <c r="D529" s="1251"/>
      <c r="E529" s="1250"/>
      <c r="F529" s="1252"/>
      <c r="G529" s="991"/>
      <c r="H529" s="1045"/>
      <c r="I529" s="1045"/>
      <c r="J529" s="991"/>
      <c r="K529" s="991"/>
      <c r="L529" s="1045"/>
      <c r="M529" s="991"/>
      <c r="N529" s="991"/>
      <c r="O529" s="991"/>
      <c r="P529" s="1045"/>
      <c r="Q529" s="991"/>
      <c r="R529" s="991"/>
      <c r="S529" s="991"/>
      <c r="T529" s="1045"/>
      <c r="U529" s="991"/>
      <c r="V529" s="991"/>
      <c r="W529" s="991"/>
      <c r="X529" s="1042"/>
    </row>
    <row r="530" spans="1:24" ht="15">
      <c r="A530" s="991"/>
      <c r="B530" s="1249"/>
      <c r="C530" s="1250"/>
      <c r="D530" s="1251"/>
      <c r="E530" s="1250"/>
      <c r="F530" s="1252"/>
      <c r="G530" s="991"/>
      <c r="H530" s="1045"/>
      <c r="I530" s="1045"/>
      <c r="J530" s="991"/>
      <c r="K530" s="991"/>
      <c r="L530" s="1045"/>
      <c r="M530" s="991"/>
      <c r="N530" s="991"/>
      <c r="O530" s="991"/>
      <c r="P530" s="1045"/>
      <c r="Q530" s="991"/>
      <c r="R530" s="991"/>
      <c r="S530" s="991"/>
      <c r="T530" s="1045"/>
      <c r="U530" s="991"/>
      <c r="V530" s="991"/>
      <c r="W530" s="991"/>
      <c r="X530" s="1042"/>
    </row>
    <row r="531" spans="1:24" ht="15">
      <c r="A531" s="991"/>
      <c r="B531" s="1249"/>
      <c r="C531" s="1250"/>
      <c r="D531" s="1251"/>
      <c r="E531" s="1250"/>
      <c r="F531" s="1252"/>
      <c r="G531" s="991"/>
      <c r="H531" s="1045"/>
      <c r="I531" s="1045"/>
      <c r="J531" s="991"/>
      <c r="K531" s="991"/>
      <c r="L531" s="1045"/>
      <c r="M531" s="991"/>
      <c r="N531" s="991"/>
      <c r="O531" s="991"/>
      <c r="P531" s="1045"/>
      <c r="Q531" s="991"/>
      <c r="R531" s="991"/>
      <c r="S531" s="991"/>
      <c r="T531" s="1045"/>
      <c r="U531" s="991"/>
      <c r="V531" s="991"/>
      <c r="W531" s="991"/>
      <c r="X531" s="1042"/>
    </row>
    <row r="532" spans="1:24" ht="15">
      <c r="A532" s="991"/>
      <c r="B532" s="1249"/>
      <c r="C532" s="1250"/>
      <c r="D532" s="1251"/>
      <c r="E532" s="1250"/>
      <c r="F532" s="1252"/>
      <c r="G532" s="991"/>
      <c r="H532" s="1045"/>
      <c r="I532" s="1045"/>
      <c r="J532" s="991"/>
      <c r="K532" s="991"/>
      <c r="L532" s="1045"/>
      <c r="M532" s="991"/>
      <c r="N532" s="991"/>
      <c r="O532" s="991"/>
      <c r="P532" s="1045"/>
      <c r="Q532" s="991"/>
      <c r="R532" s="991"/>
      <c r="S532" s="991"/>
      <c r="T532" s="1045"/>
      <c r="U532" s="991"/>
      <c r="V532" s="991"/>
      <c r="W532" s="991"/>
      <c r="X532" s="1042"/>
    </row>
    <row r="533" spans="1:24" ht="15">
      <c r="A533" s="991"/>
      <c r="B533" s="1249"/>
      <c r="C533" s="1250"/>
      <c r="D533" s="1251"/>
      <c r="E533" s="1250"/>
      <c r="F533" s="1252"/>
      <c r="G533" s="991"/>
      <c r="H533" s="1045"/>
      <c r="I533" s="1045"/>
      <c r="J533" s="991"/>
      <c r="K533" s="991"/>
      <c r="L533" s="1045"/>
      <c r="M533" s="991"/>
      <c r="N533" s="991"/>
      <c r="O533" s="991"/>
      <c r="P533" s="1045"/>
      <c r="Q533" s="991"/>
      <c r="R533" s="991"/>
      <c r="S533" s="991"/>
      <c r="T533" s="1045"/>
      <c r="U533" s="991"/>
      <c r="V533" s="991"/>
      <c r="W533" s="991"/>
      <c r="X533" s="1042"/>
    </row>
    <row r="534" spans="1:24" ht="15">
      <c r="A534" s="991"/>
      <c r="B534" s="1249"/>
      <c r="C534" s="1250"/>
      <c r="D534" s="1251"/>
      <c r="E534" s="1250"/>
      <c r="F534" s="1252"/>
      <c r="G534" s="991"/>
      <c r="H534" s="1045"/>
      <c r="I534" s="1045"/>
      <c r="J534" s="991"/>
      <c r="K534" s="991"/>
      <c r="L534" s="1045"/>
      <c r="M534" s="991"/>
      <c r="N534" s="991"/>
      <c r="O534" s="991"/>
      <c r="P534" s="1045"/>
      <c r="Q534" s="991"/>
      <c r="R534" s="991"/>
      <c r="S534" s="991"/>
      <c r="T534" s="1045"/>
      <c r="U534" s="991"/>
      <c r="V534" s="991"/>
      <c r="W534" s="991"/>
      <c r="X534" s="1042"/>
    </row>
    <row r="535" spans="1:24" ht="15">
      <c r="A535" s="991"/>
      <c r="B535" s="1249"/>
      <c r="C535" s="1250"/>
      <c r="D535" s="1251"/>
      <c r="E535" s="1250"/>
      <c r="F535" s="1252"/>
      <c r="G535" s="991"/>
      <c r="H535" s="1045"/>
      <c r="I535" s="1045"/>
      <c r="J535" s="991"/>
      <c r="K535" s="991"/>
      <c r="L535" s="1045"/>
      <c r="M535" s="991"/>
      <c r="N535" s="991"/>
      <c r="O535" s="991"/>
      <c r="P535" s="1045"/>
      <c r="Q535" s="991"/>
      <c r="R535" s="991"/>
      <c r="S535" s="991"/>
      <c r="T535" s="1045"/>
      <c r="U535" s="991"/>
      <c r="V535" s="991"/>
      <c r="W535" s="991"/>
      <c r="X535" s="1042"/>
    </row>
    <row r="536" spans="1:24" ht="15">
      <c r="A536" s="991"/>
      <c r="B536" s="1249"/>
      <c r="C536" s="1250"/>
      <c r="D536" s="1251"/>
      <c r="E536" s="1250"/>
      <c r="F536" s="1252"/>
      <c r="G536" s="991"/>
      <c r="H536" s="1045"/>
      <c r="I536" s="1045"/>
      <c r="J536" s="991"/>
      <c r="K536" s="991"/>
      <c r="L536" s="1045"/>
      <c r="M536" s="991"/>
      <c r="N536" s="991"/>
      <c r="O536" s="991"/>
      <c r="P536" s="1045"/>
      <c r="Q536" s="991"/>
      <c r="R536" s="991"/>
      <c r="S536" s="991"/>
      <c r="T536" s="1045"/>
      <c r="U536" s="991"/>
      <c r="V536" s="991"/>
      <c r="W536" s="991"/>
      <c r="X536" s="1042"/>
    </row>
    <row r="537" spans="1:24" ht="15">
      <c r="A537" s="991"/>
      <c r="B537" s="1249"/>
      <c r="C537" s="1250"/>
      <c r="D537" s="1251"/>
      <c r="E537" s="1250"/>
      <c r="F537" s="1252"/>
      <c r="G537" s="991"/>
      <c r="H537" s="1045"/>
      <c r="I537" s="1045"/>
      <c r="J537" s="991"/>
      <c r="K537" s="991"/>
      <c r="L537" s="1045"/>
      <c r="M537" s="991"/>
      <c r="N537" s="991"/>
      <c r="O537" s="991"/>
      <c r="P537" s="1045"/>
      <c r="Q537" s="991"/>
      <c r="R537" s="991"/>
      <c r="S537" s="991"/>
      <c r="T537" s="1045"/>
      <c r="U537" s="991"/>
      <c r="V537" s="991"/>
      <c r="W537" s="991"/>
      <c r="X537" s="1042"/>
    </row>
    <row r="538" spans="1:24" ht="15">
      <c r="A538" s="991"/>
      <c r="B538" s="1249"/>
      <c r="C538" s="1250"/>
      <c r="D538" s="1251"/>
      <c r="E538" s="1250"/>
      <c r="F538" s="1252"/>
      <c r="G538" s="991"/>
      <c r="H538" s="1045"/>
      <c r="I538" s="1045"/>
      <c r="J538" s="991"/>
      <c r="K538" s="991"/>
      <c r="L538" s="1045"/>
      <c r="M538" s="991"/>
      <c r="N538" s="991"/>
      <c r="O538" s="991"/>
      <c r="P538" s="1045"/>
      <c r="Q538" s="991"/>
      <c r="R538" s="991"/>
      <c r="S538" s="991"/>
      <c r="T538" s="1045"/>
      <c r="U538" s="991"/>
      <c r="V538" s="991"/>
      <c r="W538" s="991"/>
      <c r="X538" s="1042"/>
    </row>
    <row r="539" spans="1:24" ht="15">
      <c r="A539" s="991"/>
      <c r="B539" s="1249"/>
      <c r="C539" s="1250"/>
      <c r="D539" s="1251"/>
      <c r="E539" s="1250"/>
      <c r="F539" s="1252"/>
      <c r="G539" s="991"/>
      <c r="H539" s="1045"/>
      <c r="I539" s="1045"/>
      <c r="J539" s="991"/>
      <c r="K539" s="991"/>
      <c r="L539" s="1045"/>
      <c r="M539" s="991"/>
      <c r="N539" s="991"/>
      <c r="O539" s="991"/>
      <c r="P539" s="1045"/>
      <c r="Q539" s="991"/>
      <c r="R539" s="991"/>
      <c r="S539" s="991"/>
      <c r="T539" s="1045"/>
      <c r="U539" s="991"/>
      <c r="V539" s="991"/>
      <c r="W539" s="991"/>
      <c r="X539" s="1042"/>
    </row>
    <row r="540" spans="1:24" ht="15">
      <c r="A540" s="991"/>
      <c r="B540" s="1249"/>
      <c r="C540" s="1250"/>
      <c r="D540" s="1251"/>
      <c r="E540" s="1250"/>
      <c r="F540" s="1252"/>
      <c r="G540" s="991"/>
      <c r="H540" s="1045"/>
      <c r="I540" s="1045"/>
      <c r="J540" s="991"/>
      <c r="K540" s="991"/>
      <c r="L540" s="1045"/>
      <c r="M540" s="991"/>
      <c r="N540" s="991"/>
      <c r="O540" s="991"/>
      <c r="P540" s="1045"/>
      <c r="Q540" s="991"/>
      <c r="R540" s="991"/>
      <c r="S540" s="991"/>
      <c r="T540" s="1045"/>
      <c r="U540" s="991"/>
      <c r="V540" s="991"/>
      <c r="W540" s="991"/>
      <c r="X540" s="1042"/>
    </row>
    <row r="541" spans="1:24" ht="15">
      <c r="A541" s="991"/>
      <c r="B541" s="1249"/>
      <c r="C541" s="1250"/>
      <c r="D541" s="1251"/>
      <c r="E541" s="1250"/>
      <c r="F541" s="1252"/>
      <c r="G541" s="991"/>
      <c r="H541" s="1045"/>
      <c r="I541" s="1045"/>
      <c r="J541" s="991"/>
      <c r="K541" s="991"/>
      <c r="L541" s="1045"/>
      <c r="M541" s="991"/>
      <c r="N541" s="991"/>
      <c r="O541" s="991"/>
      <c r="P541" s="1045"/>
      <c r="Q541" s="991"/>
      <c r="R541" s="991"/>
      <c r="S541" s="991"/>
      <c r="T541" s="1045"/>
      <c r="U541" s="991"/>
      <c r="V541" s="991"/>
      <c r="W541" s="991"/>
      <c r="X541" s="1042"/>
    </row>
    <row r="542" spans="1:24" ht="15">
      <c r="A542" s="991"/>
      <c r="B542" s="1249"/>
      <c r="C542" s="1250"/>
      <c r="D542" s="1251"/>
      <c r="E542" s="1250"/>
      <c r="F542" s="1252"/>
      <c r="G542" s="991"/>
      <c r="H542" s="1045"/>
      <c r="I542" s="1045"/>
      <c r="J542" s="991"/>
      <c r="K542" s="991"/>
      <c r="L542" s="1045"/>
      <c r="M542" s="991"/>
      <c r="N542" s="991"/>
      <c r="O542" s="991"/>
      <c r="P542" s="1045"/>
      <c r="Q542" s="991"/>
      <c r="R542" s="991"/>
      <c r="S542" s="991"/>
      <c r="T542" s="1045"/>
      <c r="U542" s="991"/>
      <c r="V542" s="991"/>
      <c r="W542" s="991"/>
      <c r="X542" s="1042"/>
    </row>
    <row r="543" spans="1:24" ht="15">
      <c r="A543" s="991"/>
      <c r="B543" s="1249"/>
      <c r="C543" s="1250"/>
      <c r="D543" s="1251"/>
      <c r="E543" s="1250"/>
      <c r="F543" s="1252"/>
      <c r="G543" s="991"/>
      <c r="H543" s="1045"/>
      <c r="I543" s="1045"/>
      <c r="J543" s="991"/>
      <c r="K543" s="991"/>
      <c r="L543" s="1045"/>
      <c r="M543" s="991"/>
      <c r="N543" s="991"/>
      <c r="O543" s="991"/>
      <c r="P543" s="1045"/>
      <c r="Q543" s="991"/>
      <c r="R543" s="991"/>
      <c r="S543" s="991"/>
      <c r="T543" s="1045"/>
      <c r="U543" s="991"/>
      <c r="V543" s="991"/>
      <c r="W543" s="991"/>
      <c r="X543" s="1042"/>
    </row>
    <row r="544" spans="1:24" ht="15">
      <c r="A544" s="991"/>
      <c r="B544" s="1249"/>
      <c r="C544" s="1250"/>
      <c r="D544" s="1251"/>
      <c r="E544" s="1250"/>
      <c r="F544" s="1252"/>
      <c r="G544" s="991"/>
      <c r="H544" s="1045"/>
      <c r="I544" s="1045"/>
      <c r="J544" s="991"/>
      <c r="K544" s="991"/>
      <c r="L544" s="1045"/>
      <c r="M544" s="991"/>
      <c r="N544" s="991"/>
      <c r="O544" s="991"/>
      <c r="P544" s="1045"/>
      <c r="Q544" s="991"/>
      <c r="R544" s="991"/>
      <c r="S544" s="991"/>
      <c r="T544" s="1045"/>
      <c r="U544" s="991"/>
      <c r="V544" s="991"/>
      <c r="W544" s="991"/>
      <c r="X544" s="1042"/>
    </row>
    <row r="545" spans="1:24" ht="15">
      <c r="A545" s="991"/>
      <c r="B545" s="1249"/>
      <c r="C545" s="1250"/>
      <c r="D545" s="1251"/>
      <c r="E545" s="1250"/>
      <c r="F545" s="1252"/>
      <c r="G545" s="991"/>
      <c r="H545" s="1045"/>
      <c r="I545" s="1045"/>
      <c r="J545" s="991"/>
      <c r="K545" s="991"/>
      <c r="L545" s="1045"/>
      <c r="M545" s="991"/>
      <c r="N545" s="991"/>
      <c r="O545" s="991"/>
      <c r="P545" s="1045"/>
      <c r="Q545" s="991"/>
      <c r="R545" s="991"/>
      <c r="S545" s="991"/>
      <c r="T545" s="1045"/>
      <c r="U545" s="991"/>
      <c r="V545" s="991"/>
      <c r="W545" s="991"/>
      <c r="X545" s="1042"/>
    </row>
    <row r="546" spans="1:24" ht="15">
      <c r="A546" s="991"/>
      <c r="B546" s="1249"/>
      <c r="C546" s="1250"/>
      <c r="D546" s="1251"/>
      <c r="E546" s="1250"/>
      <c r="F546" s="1252"/>
      <c r="G546" s="991"/>
      <c r="H546" s="1045"/>
      <c r="I546" s="1045"/>
      <c r="J546" s="991"/>
      <c r="K546" s="991"/>
      <c r="L546" s="1045"/>
      <c r="M546" s="991"/>
      <c r="N546" s="991"/>
      <c r="O546" s="991"/>
      <c r="P546" s="1045"/>
      <c r="Q546" s="991"/>
      <c r="R546" s="991"/>
      <c r="S546" s="991"/>
      <c r="T546" s="1045"/>
      <c r="U546" s="991"/>
      <c r="V546" s="991"/>
      <c r="W546" s="991"/>
      <c r="X546" s="1042"/>
    </row>
    <row r="547" spans="1:24" ht="15">
      <c r="A547" s="991"/>
      <c r="B547" s="1249"/>
      <c r="C547" s="1250"/>
      <c r="D547" s="1251"/>
      <c r="E547" s="1250"/>
      <c r="F547" s="1252"/>
      <c r="G547" s="991"/>
      <c r="H547" s="1045"/>
      <c r="I547" s="1045"/>
      <c r="J547" s="991"/>
      <c r="K547" s="991"/>
      <c r="L547" s="1045"/>
      <c r="M547" s="991"/>
      <c r="N547" s="991"/>
      <c r="O547" s="991"/>
      <c r="P547" s="1045"/>
      <c r="Q547" s="991"/>
      <c r="R547" s="991"/>
      <c r="S547" s="991"/>
      <c r="T547" s="1045"/>
      <c r="U547" s="991"/>
      <c r="V547" s="991"/>
      <c r="W547" s="991"/>
      <c r="X547" s="1042"/>
    </row>
    <row r="548" spans="1:24" ht="15">
      <c r="A548" s="991"/>
      <c r="B548" s="1249"/>
      <c r="C548" s="1250"/>
      <c r="D548" s="1251"/>
      <c r="E548" s="1250"/>
      <c r="F548" s="1252"/>
      <c r="G548" s="991"/>
      <c r="H548" s="1045"/>
      <c r="I548" s="1045"/>
      <c r="J548" s="991"/>
      <c r="K548" s="991"/>
      <c r="L548" s="1045"/>
      <c r="M548" s="991"/>
      <c r="N548" s="991"/>
      <c r="O548" s="991"/>
      <c r="P548" s="1045"/>
      <c r="Q548" s="991"/>
      <c r="R548" s="991"/>
      <c r="S548" s="991"/>
      <c r="T548" s="1045"/>
      <c r="U548" s="991"/>
      <c r="V548" s="991"/>
      <c r="W548" s="991"/>
      <c r="X548" s="1042"/>
    </row>
    <row r="549" spans="1:24" ht="15">
      <c r="A549" s="991"/>
      <c r="B549" s="1249"/>
      <c r="C549" s="1250"/>
      <c r="D549" s="1251"/>
      <c r="E549" s="1250"/>
      <c r="F549" s="1252"/>
      <c r="G549" s="991"/>
      <c r="H549" s="1045"/>
      <c r="I549" s="1045"/>
      <c r="J549" s="991"/>
      <c r="K549" s="991"/>
      <c r="L549" s="1045"/>
      <c r="M549" s="991"/>
      <c r="N549" s="991"/>
      <c r="O549" s="991"/>
      <c r="P549" s="1045"/>
      <c r="Q549" s="991"/>
      <c r="R549" s="991"/>
      <c r="S549" s="991"/>
      <c r="T549" s="1045"/>
      <c r="U549" s="991"/>
      <c r="V549" s="991"/>
      <c r="W549" s="991"/>
      <c r="X549" s="1042"/>
    </row>
    <row r="550" spans="1:24" ht="15">
      <c r="A550" s="991"/>
      <c r="B550" s="1249"/>
      <c r="C550" s="1250"/>
      <c r="D550" s="1251"/>
      <c r="E550" s="1250"/>
      <c r="F550" s="1252"/>
      <c r="G550" s="991"/>
      <c r="H550" s="1045"/>
      <c r="I550" s="1045"/>
      <c r="J550" s="991"/>
      <c r="K550" s="991"/>
      <c r="L550" s="1045"/>
      <c r="M550" s="991"/>
      <c r="N550" s="991"/>
      <c r="O550" s="991"/>
      <c r="P550" s="1045"/>
      <c r="Q550" s="991"/>
      <c r="R550" s="991"/>
      <c r="S550" s="991"/>
      <c r="T550" s="1045"/>
      <c r="U550" s="991"/>
      <c r="V550" s="991"/>
      <c r="W550" s="991"/>
      <c r="X550" s="1042"/>
    </row>
    <row r="551" spans="1:24" ht="15">
      <c r="A551" s="991"/>
      <c r="B551" s="1249"/>
      <c r="C551" s="1250"/>
      <c r="D551" s="1251"/>
      <c r="E551" s="1250"/>
      <c r="F551" s="1252"/>
      <c r="G551" s="991"/>
      <c r="H551" s="1045"/>
      <c r="I551" s="1045"/>
      <c r="J551" s="991"/>
      <c r="K551" s="991"/>
      <c r="L551" s="1045"/>
      <c r="M551" s="991"/>
      <c r="N551" s="991"/>
      <c r="O551" s="991"/>
      <c r="P551" s="1045"/>
      <c r="Q551" s="991"/>
      <c r="R551" s="991"/>
      <c r="S551" s="991"/>
      <c r="T551" s="1045"/>
      <c r="U551" s="991"/>
      <c r="V551" s="991"/>
      <c r="W551" s="991"/>
      <c r="X551" s="1042"/>
    </row>
    <row r="552" spans="1:24" ht="15">
      <c r="A552" s="991"/>
      <c r="B552" s="1249"/>
      <c r="C552" s="1250"/>
      <c r="D552" s="1251"/>
      <c r="E552" s="1250"/>
      <c r="F552" s="1252"/>
      <c r="G552" s="991"/>
      <c r="H552" s="1045"/>
      <c r="I552" s="1045"/>
      <c r="J552" s="991"/>
      <c r="K552" s="991"/>
      <c r="L552" s="1045"/>
      <c r="M552" s="991"/>
      <c r="N552" s="991"/>
      <c r="O552" s="991"/>
      <c r="P552" s="1045"/>
      <c r="Q552" s="991"/>
      <c r="R552" s="991"/>
      <c r="S552" s="991"/>
      <c r="T552" s="1045"/>
      <c r="U552" s="991"/>
      <c r="V552" s="991"/>
      <c r="W552" s="991"/>
      <c r="X552" s="1042"/>
    </row>
    <row r="553" spans="1:24" ht="15">
      <c r="A553" s="991"/>
      <c r="B553" s="1249"/>
      <c r="C553" s="1250"/>
      <c r="D553" s="1251"/>
      <c r="E553" s="1250"/>
      <c r="F553" s="1252"/>
      <c r="G553" s="991"/>
      <c r="H553" s="1045"/>
      <c r="I553" s="1045"/>
      <c r="J553" s="991"/>
      <c r="K553" s="991"/>
      <c r="L553" s="1045"/>
      <c r="M553" s="991"/>
      <c r="N553" s="991"/>
      <c r="O553" s="991"/>
      <c r="P553" s="1045"/>
      <c r="Q553" s="991"/>
      <c r="R553" s="991"/>
      <c r="S553" s="991"/>
      <c r="T553" s="1045"/>
      <c r="U553" s="991"/>
      <c r="V553" s="991"/>
      <c r="W553" s="991"/>
      <c r="X553" s="1042"/>
    </row>
    <row r="554" spans="1:24" ht="15">
      <c r="A554" s="991"/>
      <c r="B554" s="1249"/>
      <c r="C554" s="1250"/>
      <c r="D554" s="1251"/>
      <c r="E554" s="1250"/>
      <c r="F554" s="1252"/>
      <c r="G554" s="991"/>
      <c r="H554" s="1045"/>
      <c r="I554" s="1045"/>
      <c r="J554" s="991"/>
      <c r="K554" s="991"/>
      <c r="L554" s="1045"/>
      <c r="M554" s="991"/>
      <c r="N554" s="991"/>
      <c r="O554" s="991"/>
      <c r="P554" s="1045"/>
      <c r="Q554" s="991"/>
      <c r="R554" s="991"/>
      <c r="S554" s="991"/>
      <c r="T554" s="1045"/>
      <c r="U554" s="991"/>
      <c r="V554" s="991"/>
      <c r="W554" s="991"/>
      <c r="X554" s="1042"/>
    </row>
    <row r="555" spans="1:24" ht="15">
      <c r="A555" s="991"/>
      <c r="B555" s="1249"/>
      <c r="C555" s="1250"/>
      <c r="D555" s="1251"/>
      <c r="E555" s="1250"/>
      <c r="F555" s="1252"/>
      <c r="G555" s="991"/>
      <c r="H555" s="1045"/>
      <c r="I555" s="1045"/>
      <c r="J555" s="991"/>
      <c r="K555" s="991"/>
      <c r="L555" s="1045"/>
      <c r="M555" s="991"/>
      <c r="N555" s="991"/>
      <c r="O555" s="991"/>
      <c r="P555" s="1045"/>
      <c r="Q555" s="991"/>
      <c r="R555" s="991"/>
      <c r="S555" s="991"/>
      <c r="T555" s="1045"/>
      <c r="U555" s="991"/>
      <c r="V555" s="991"/>
      <c r="W555" s="991"/>
      <c r="X555" s="1042"/>
    </row>
    <row r="556" spans="1:24" ht="15">
      <c r="A556" s="991"/>
      <c r="B556" s="1249"/>
      <c r="C556" s="1250"/>
      <c r="D556" s="1251"/>
      <c r="E556" s="1250"/>
      <c r="F556" s="1252"/>
      <c r="G556" s="991"/>
      <c r="H556" s="1045"/>
      <c r="I556" s="1045"/>
      <c r="J556" s="991"/>
      <c r="K556" s="991"/>
      <c r="L556" s="1045"/>
      <c r="M556" s="991"/>
      <c r="N556" s="991"/>
      <c r="O556" s="991"/>
      <c r="P556" s="1045"/>
      <c r="Q556" s="991"/>
      <c r="R556" s="991"/>
      <c r="S556" s="991"/>
      <c r="T556" s="1045"/>
      <c r="U556" s="991"/>
      <c r="V556" s="991"/>
      <c r="W556" s="991"/>
      <c r="X556" s="1042"/>
    </row>
    <row r="557" spans="1:24" ht="15">
      <c r="A557" s="991"/>
      <c r="B557" s="1249"/>
      <c r="C557" s="1250"/>
      <c r="D557" s="1251"/>
      <c r="E557" s="1250"/>
      <c r="F557" s="1252"/>
      <c r="G557" s="991"/>
      <c r="H557" s="1045"/>
      <c r="I557" s="1045"/>
      <c r="J557" s="991"/>
      <c r="K557" s="991"/>
      <c r="L557" s="1045"/>
      <c r="M557" s="991"/>
      <c r="N557" s="991"/>
      <c r="O557" s="991"/>
      <c r="P557" s="1045"/>
      <c r="Q557" s="991"/>
      <c r="R557" s="991"/>
      <c r="S557" s="991"/>
      <c r="T557" s="1045"/>
      <c r="U557" s="991"/>
      <c r="V557" s="991"/>
      <c r="W557" s="991"/>
      <c r="X557" s="1042"/>
    </row>
    <row r="558" spans="1:24" ht="15">
      <c r="A558" s="991"/>
      <c r="B558" s="1249"/>
      <c r="C558" s="1250"/>
      <c r="D558" s="1251"/>
      <c r="E558" s="1250"/>
      <c r="F558" s="1252"/>
      <c r="G558" s="991"/>
      <c r="H558" s="1045"/>
      <c r="I558" s="1045"/>
      <c r="J558" s="991"/>
      <c r="K558" s="991"/>
      <c r="L558" s="1045"/>
      <c r="M558" s="991"/>
      <c r="N558" s="991"/>
      <c r="O558" s="991"/>
      <c r="P558" s="1045"/>
      <c r="Q558" s="991"/>
      <c r="R558" s="991"/>
      <c r="S558" s="991"/>
      <c r="T558" s="1045"/>
      <c r="U558" s="991"/>
      <c r="V558" s="991"/>
      <c r="W558" s="991"/>
      <c r="X558" s="1042"/>
    </row>
    <row r="559" spans="1:24" ht="15">
      <c r="A559" s="991"/>
      <c r="B559" s="1249"/>
      <c r="C559" s="1250"/>
      <c r="D559" s="1251"/>
      <c r="E559" s="1250"/>
      <c r="F559" s="1252"/>
      <c r="G559" s="991"/>
      <c r="H559" s="1045"/>
      <c r="I559" s="1045"/>
      <c r="J559" s="991"/>
      <c r="K559" s="991"/>
      <c r="L559" s="1045"/>
      <c r="M559" s="991"/>
      <c r="N559" s="991"/>
      <c r="O559" s="991"/>
      <c r="P559" s="1045"/>
      <c r="Q559" s="991"/>
      <c r="R559" s="991"/>
      <c r="S559" s="991"/>
      <c r="T559" s="1045"/>
      <c r="U559" s="991"/>
      <c r="V559" s="991"/>
      <c r="W559" s="991"/>
      <c r="X559" s="1042"/>
    </row>
    <row r="560" spans="1:24" ht="15">
      <c r="A560" s="991"/>
      <c r="B560" s="1249"/>
      <c r="C560" s="1250"/>
      <c r="D560" s="1251"/>
      <c r="E560" s="1250"/>
      <c r="F560" s="1252"/>
      <c r="G560" s="991"/>
      <c r="H560" s="1045"/>
      <c r="I560" s="1045"/>
      <c r="J560" s="991"/>
      <c r="K560" s="991"/>
      <c r="L560" s="1045"/>
      <c r="M560" s="991"/>
      <c r="N560" s="991"/>
      <c r="O560" s="991"/>
      <c r="P560" s="1045"/>
      <c r="Q560" s="991"/>
      <c r="R560" s="991"/>
      <c r="S560" s="991"/>
      <c r="T560" s="1045"/>
      <c r="U560" s="991"/>
      <c r="V560" s="991"/>
      <c r="W560" s="991"/>
      <c r="X560" s="1042"/>
    </row>
    <row r="561" spans="1:24" ht="15">
      <c r="A561" s="991"/>
      <c r="B561" s="1249"/>
      <c r="C561" s="1250"/>
      <c r="D561" s="1251"/>
      <c r="E561" s="1250"/>
      <c r="F561" s="1252"/>
      <c r="G561" s="991"/>
      <c r="H561" s="1045"/>
      <c r="I561" s="1045"/>
      <c r="J561" s="991"/>
      <c r="K561" s="991"/>
      <c r="L561" s="1045"/>
      <c r="M561" s="991"/>
      <c r="N561" s="991"/>
      <c r="O561" s="991"/>
      <c r="P561" s="1045"/>
      <c r="Q561" s="991"/>
      <c r="R561" s="991"/>
      <c r="S561" s="991"/>
      <c r="T561" s="1045"/>
      <c r="U561" s="991"/>
      <c r="V561" s="991"/>
      <c r="W561" s="991"/>
      <c r="X561" s="1042"/>
    </row>
    <row r="562" spans="1:24" ht="15">
      <c r="A562" s="991"/>
      <c r="B562" s="1249"/>
      <c r="C562" s="1250"/>
      <c r="D562" s="1251"/>
      <c r="E562" s="1250"/>
      <c r="F562" s="1252"/>
      <c r="G562" s="991"/>
      <c r="H562" s="1045"/>
      <c r="I562" s="1045"/>
      <c r="J562" s="991"/>
      <c r="K562" s="991"/>
      <c r="L562" s="1045"/>
      <c r="M562" s="991"/>
      <c r="N562" s="991"/>
      <c r="O562" s="991"/>
      <c r="P562" s="1045"/>
      <c r="Q562" s="991"/>
      <c r="R562" s="991"/>
      <c r="S562" s="991"/>
      <c r="T562" s="1045"/>
      <c r="U562" s="991"/>
      <c r="V562" s="991"/>
      <c r="W562" s="991"/>
      <c r="X562" s="1042"/>
    </row>
    <row r="563" spans="1:24" ht="15">
      <c r="A563" s="991"/>
      <c r="B563" s="1249"/>
      <c r="C563" s="1250"/>
      <c r="D563" s="1251"/>
      <c r="E563" s="1250"/>
      <c r="F563" s="1252"/>
      <c r="G563" s="991"/>
      <c r="H563" s="1045"/>
      <c r="I563" s="1045"/>
      <c r="J563" s="991"/>
      <c r="K563" s="991"/>
      <c r="L563" s="1045"/>
      <c r="M563" s="991"/>
      <c r="N563" s="991"/>
      <c r="O563" s="991"/>
      <c r="P563" s="1045"/>
      <c r="Q563" s="991"/>
      <c r="R563" s="991"/>
      <c r="S563" s="991"/>
      <c r="T563" s="1045"/>
      <c r="U563" s="991"/>
      <c r="V563" s="991"/>
      <c r="W563" s="991"/>
      <c r="X563" s="1042"/>
    </row>
    <row r="564" spans="1:24" ht="15">
      <c r="A564" s="991"/>
      <c r="B564" s="1249"/>
      <c r="C564" s="1250"/>
      <c r="D564" s="1251"/>
      <c r="E564" s="1250"/>
      <c r="F564" s="1252"/>
      <c r="G564" s="991"/>
      <c r="H564" s="1045"/>
      <c r="I564" s="1045"/>
      <c r="J564" s="991"/>
      <c r="K564" s="991"/>
      <c r="L564" s="1045"/>
      <c r="M564" s="991"/>
      <c r="N564" s="991"/>
      <c r="O564" s="991"/>
      <c r="P564" s="1045"/>
      <c r="Q564" s="991"/>
      <c r="R564" s="991"/>
      <c r="S564" s="991"/>
      <c r="T564" s="1045"/>
      <c r="U564" s="991"/>
      <c r="V564" s="991"/>
      <c r="W564" s="991"/>
      <c r="X564" s="1042"/>
    </row>
    <row r="565" spans="1:24" ht="15">
      <c r="A565" s="991"/>
      <c r="B565" s="1249"/>
      <c r="C565" s="1250"/>
      <c r="D565" s="1251"/>
      <c r="E565" s="1250"/>
      <c r="F565" s="1252"/>
      <c r="G565" s="991"/>
      <c r="H565" s="1045"/>
      <c r="I565" s="1045"/>
      <c r="J565" s="991"/>
      <c r="K565" s="991"/>
      <c r="L565" s="1045"/>
      <c r="M565" s="991"/>
      <c r="N565" s="991"/>
      <c r="O565" s="991"/>
      <c r="P565" s="1045"/>
      <c r="Q565" s="991"/>
      <c r="R565" s="991"/>
      <c r="S565" s="991"/>
      <c r="T565" s="1045"/>
      <c r="U565" s="991"/>
      <c r="V565" s="991"/>
      <c r="W565" s="991"/>
      <c r="X565" s="1042"/>
    </row>
    <row r="566" spans="1:24" ht="15">
      <c r="A566" s="991"/>
      <c r="B566" s="1249"/>
      <c r="C566" s="1250"/>
      <c r="D566" s="1251"/>
      <c r="E566" s="1250"/>
      <c r="F566" s="1252"/>
      <c r="G566" s="991"/>
      <c r="H566" s="1045"/>
      <c r="I566" s="1045"/>
      <c r="J566" s="991"/>
      <c r="K566" s="991"/>
      <c r="L566" s="1045"/>
      <c r="M566" s="991"/>
      <c r="N566" s="991"/>
      <c r="O566" s="991"/>
      <c r="P566" s="1045"/>
      <c r="Q566" s="991"/>
      <c r="R566" s="991"/>
      <c r="S566" s="991"/>
      <c r="T566" s="1045"/>
      <c r="U566" s="991"/>
      <c r="V566" s="991"/>
      <c r="W566" s="991"/>
      <c r="X566" s="1042"/>
    </row>
    <row r="567" spans="1:24" ht="15">
      <c r="A567" s="991"/>
      <c r="B567" s="1249"/>
      <c r="C567" s="1250"/>
      <c r="D567" s="1251"/>
      <c r="E567" s="1250"/>
      <c r="F567" s="1252"/>
      <c r="G567" s="991"/>
      <c r="H567" s="1045"/>
      <c r="I567" s="1045"/>
      <c r="J567" s="991"/>
      <c r="K567" s="991"/>
      <c r="L567" s="1045"/>
      <c r="M567" s="991"/>
      <c r="N567" s="991"/>
      <c r="O567" s="991"/>
      <c r="P567" s="1045"/>
      <c r="Q567" s="991"/>
      <c r="R567" s="991"/>
      <c r="S567" s="991"/>
      <c r="T567" s="1045"/>
      <c r="U567" s="991"/>
      <c r="V567" s="991"/>
      <c r="W567" s="991"/>
      <c r="X567" s="1042"/>
    </row>
    <row r="568" spans="1:24" ht="15">
      <c r="A568" s="991"/>
      <c r="B568" s="1249"/>
      <c r="C568" s="1250"/>
      <c r="D568" s="1251"/>
      <c r="E568" s="1250"/>
      <c r="F568" s="1252"/>
      <c r="G568" s="991"/>
      <c r="H568" s="1045"/>
      <c r="I568" s="1045"/>
      <c r="J568" s="991"/>
      <c r="K568" s="991"/>
      <c r="L568" s="1045"/>
      <c r="M568" s="991"/>
      <c r="N568" s="991"/>
      <c r="O568" s="991"/>
      <c r="P568" s="1045"/>
      <c r="Q568" s="991"/>
      <c r="R568" s="991"/>
      <c r="S568" s="991"/>
      <c r="T568" s="1045"/>
      <c r="U568" s="991"/>
      <c r="V568" s="991"/>
      <c r="W568" s="991"/>
      <c r="X568" s="1042"/>
    </row>
    <row r="569" spans="1:24" ht="15">
      <c r="A569" s="991"/>
      <c r="B569" s="1249"/>
      <c r="C569" s="1250"/>
      <c r="D569" s="1251"/>
      <c r="E569" s="1250"/>
      <c r="F569" s="1252"/>
      <c r="G569" s="991"/>
      <c r="H569" s="1045"/>
      <c r="I569" s="1045"/>
      <c r="J569" s="991"/>
      <c r="K569" s="991"/>
      <c r="L569" s="1045"/>
      <c r="M569" s="991"/>
      <c r="N569" s="991"/>
      <c r="O569" s="991"/>
      <c r="P569" s="1045"/>
      <c r="Q569" s="991"/>
      <c r="R569" s="991"/>
      <c r="S569" s="991"/>
      <c r="T569" s="1045"/>
      <c r="U569" s="991"/>
      <c r="V569" s="991"/>
      <c r="W569" s="991"/>
      <c r="X569" s="1042"/>
    </row>
    <row r="570" spans="1:24" ht="15">
      <c r="A570" s="991"/>
      <c r="B570" s="1249"/>
      <c r="C570" s="1250"/>
      <c r="D570" s="1251"/>
      <c r="E570" s="1250"/>
      <c r="F570" s="1252"/>
      <c r="G570" s="991"/>
      <c r="H570" s="1045"/>
      <c r="I570" s="1045"/>
      <c r="J570" s="991"/>
      <c r="K570" s="991"/>
      <c r="L570" s="1045"/>
      <c r="M570" s="991"/>
      <c r="N570" s="991"/>
      <c r="O570" s="991"/>
      <c r="P570" s="1045"/>
      <c r="Q570" s="991"/>
      <c r="R570" s="991"/>
      <c r="S570" s="991"/>
      <c r="T570" s="1045"/>
      <c r="U570" s="991"/>
      <c r="V570" s="991"/>
      <c r="W570" s="991"/>
      <c r="X570" s="1042"/>
    </row>
    <row r="571" spans="1:24" ht="15">
      <c r="A571" s="991"/>
      <c r="B571" s="1249"/>
      <c r="C571" s="1250"/>
      <c r="D571" s="1251"/>
      <c r="E571" s="1250"/>
      <c r="F571" s="1252"/>
      <c r="G571" s="991"/>
      <c r="H571" s="1045"/>
      <c r="I571" s="1045"/>
      <c r="J571" s="991"/>
      <c r="K571" s="991"/>
      <c r="L571" s="1045"/>
      <c r="M571" s="991"/>
      <c r="N571" s="991"/>
      <c r="O571" s="991"/>
      <c r="P571" s="1045"/>
      <c r="Q571" s="991"/>
      <c r="R571" s="991"/>
      <c r="S571" s="991"/>
      <c r="T571" s="1045"/>
      <c r="U571" s="991"/>
      <c r="V571" s="991"/>
      <c r="W571" s="991"/>
      <c r="X571" s="1042"/>
    </row>
    <row r="572" spans="1:24" ht="15">
      <c r="A572" s="991"/>
      <c r="B572" s="1249"/>
      <c r="C572" s="1250"/>
      <c r="D572" s="1251"/>
      <c r="E572" s="1250"/>
      <c r="F572" s="1252"/>
      <c r="G572" s="991"/>
      <c r="H572" s="1045"/>
      <c r="I572" s="1045"/>
      <c r="J572" s="991"/>
      <c r="K572" s="991"/>
      <c r="L572" s="1045"/>
      <c r="M572" s="991"/>
      <c r="N572" s="991"/>
      <c r="O572" s="991"/>
      <c r="P572" s="1045"/>
      <c r="Q572" s="991"/>
      <c r="R572" s="991"/>
      <c r="S572" s="991"/>
      <c r="T572" s="1045"/>
      <c r="U572" s="991"/>
      <c r="V572" s="991"/>
      <c r="W572" s="991"/>
      <c r="X572" s="1042"/>
    </row>
    <row r="573" spans="1:24" ht="15">
      <c r="A573" s="991"/>
      <c r="B573" s="1249"/>
      <c r="C573" s="1250"/>
      <c r="D573" s="1251"/>
      <c r="E573" s="1250"/>
      <c r="F573" s="1252"/>
      <c r="G573" s="991"/>
      <c r="H573" s="1045"/>
      <c r="I573" s="1045"/>
      <c r="J573" s="991"/>
      <c r="K573" s="991"/>
      <c r="L573" s="1045"/>
      <c r="M573" s="991"/>
      <c r="N573" s="991"/>
      <c r="O573" s="991"/>
      <c r="P573" s="1045"/>
      <c r="Q573" s="991"/>
      <c r="R573" s="991"/>
      <c r="S573" s="991"/>
      <c r="T573" s="1045"/>
      <c r="U573" s="991"/>
      <c r="V573" s="991"/>
      <c r="W573" s="991"/>
      <c r="X573" s="1042"/>
    </row>
    <row r="574" spans="1:24" ht="15">
      <c r="A574" s="991"/>
      <c r="B574" s="1249"/>
      <c r="C574" s="1250"/>
      <c r="D574" s="1251"/>
      <c r="E574" s="1250"/>
      <c r="F574" s="1252"/>
      <c r="G574" s="991"/>
      <c r="H574" s="1045"/>
      <c r="I574" s="1045"/>
      <c r="J574" s="991"/>
      <c r="K574" s="991"/>
      <c r="L574" s="1045"/>
      <c r="M574" s="991"/>
      <c r="N574" s="991"/>
      <c r="O574" s="991"/>
      <c r="P574" s="1045"/>
      <c r="Q574" s="991"/>
      <c r="R574" s="991"/>
      <c r="S574" s="991"/>
      <c r="T574" s="1045"/>
      <c r="U574" s="991"/>
      <c r="V574" s="991"/>
      <c r="W574" s="991"/>
      <c r="X574" s="1042"/>
    </row>
    <row r="575" spans="1:24" ht="15">
      <c r="A575" s="991"/>
      <c r="B575" s="1249"/>
      <c r="C575" s="1250"/>
      <c r="D575" s="1251"/>
      <c r="E575" s="1250"/>
      <c r="F575" s="1252"/>
      <c r="G575" s="991"/>
      <c r="H575" s="1045"/>
      <c r="I575" s="1045"/>
      <c r="J575" s="991"/>
      <c r="K575" s="991"/>
      <c r="L575" s="1045"/>
      <c r="M575" s="991"/>
      <c r="N575" s="991"/>
      <c r="O575" s="991"/>
      <c r="P575" s="1045"/>
      <c r="Q575" s="991"/>
      <c r="R575" s="991"/>
      <c r="S575" s="991"/>
      <c r="T575" s="1045"/>
      <c r="U575" s="991"/>
      <c r="V575" s="991"/>
      <c r="W575" s="991"/>
      <c r="X575" s="1042"/>
    </row>
    <row r="576" spans="1:24" ht="15">
      <c r="A576" s="991"/>
      <c r="B576" s="1249"/>
      <c r="C576" s="1250"/>
      <c r="D576" s="1251"/>
      <c r="E576" s="1250"/>
      <c r="F576" s="1252"/>
      <c r="G576" s="991"/>
      <c r="H576" s="1045"/>
      <c r="I576" s="1045"/>
      <c r="J576" s="991"/>
      <c r="K576" s="991"/>
      <c r="L576" s="1045"/>
      <c r="M576" s="991"/>
      <c r="N576" s="991"/>
      <c r="O576" s="991"/>
      <c r="P576" s="1045"/>
      <c r="Q576" s="991"/>
      <c r="R576" s="991"/>
      <c r="S576" s="991"/>
      <c r="T576" s="1045"/>
      <c r="U576" s="991"/>
      <c r="V576" s="991"/>
      <c r="W576" s="991"/>
      <c r="X576" s="1042"/>
    </row>
    <row r="577" spans="1:24" ht="15">
      <c r="A577" s="991"/>
      <c r="B577" s="1249"/>
      <c r="C577" s="1250"/>
      <c r="D577" s="1251"/>
      <c r="E577" s="1250"/>
      <c r="F577" s="1252"/>
      <c r="G577" s="991"/>
      <c r="H577" s="1045"/>
      <c r="I577" s="1045"/>
      <c r="J577" s="991"/>
      <c r="K577" s="991"/>
      <c r="L577" s="1045"/>
      <c r="M577" s="991"/>
      <c r="N577" s="991"/>
      <c r="O577" s="991"/>
      <c r="P577" s="1045"/>
      <c r="Q577" s="991"/>
      <c r="R577" s="991"/>
      <c r="S577" s="991"/>
      <c r="T577" s="1045"/>
      <c r="U577" s="991"/>
      <c r="V577" s="991"/>
      <c r="W577" s="991"/>
      <c r="X577" s="1042"/>
    </row>
    <row r="578" spans="1:24" ht="15">
      <c r="A578" s="991"/>
      <c r="B578" s="1249"/>
      <c r="C578" s="1250"/>
      <c r="D578" s="1251"/>
      <c r="E578" s="1250"/>
      <c r="F578" s="1252"/>
      <c r="G578" s="991"/>
      <c r="H578" s="1045"/>
      <c r="I578" s="1045"/>
      <c r="J578" s="991"/>
      <c r="K578" s="991"/>
      <c r="L578" s="1045"/>
      <c r="M578" s="991"/>
      <c r="N578" s="991"/>
      <c r="O578" s="991"/>
      <c r="P578" s="1045"/>
      <c r="Q578" s="991"/>
      <c r="R578" s="991"/>
      <c r="S578" s="991"/>
      <c r="T578" s="1045"/>
      <c r="U578" s="991"/>
      <c r="V578" s="991"/>
      <c r="W578" s="991"/>
      <c r="X578" s="1042"/>
    </row>
    <row r="579" spans="1:24" ht="15">
      <c r="A579" s="991"/>
      <c r="B579" s="1249"/>
      <c r="C579" s="1250"/>
      <c r="D579" s="1251"/>
      <c r="E579" s="1250"/>
      <c r="F579" s="1252"/>
      <c r="G579" s="991"/>
      <c r="H579" s="1045"/>
      <c r="I579" s="1045"/>
      <c r="J579" s="991"/>
      <c r="K579" s="991"/>
      <c r="L579" s="1045"/>
      <c r="M579" s="991"/>
      <c r="N579" s="991"/>
      <c r="O579" s="991"/>
      <c r="P579" s="1045"/>
      <c r="Q579" s="991"/>
      <c r="R579" s="991"/>
      <c r="S579" s="991"/>
      <c r="T579" s="1045"/>
      <c r="U579" s="991"/>
      <c r="V579" s="991"/>
      <c r="W579" s="991"/>
      <c r="X579" s="1042"/>
    </row>
    <row r="580" spans="1:24" ht="15">
      <c r="A580" s="991"/>
      <c r="B580" s="1249"/>
      <c r="C580" s="1250"/>
      <c r="D580" s="1251"/>
      <c r="E580" s="1250"/>
      <c r="F580" s="1252"/>
      <c r="G580" s="991"/>
      <c r="H580" s="1045"/>
      <c r="I580" s="1045"/>
      <c r="J580" s="991"/>
      <c r="K580" s="991"/>
      <c r="L580" s="1045"/>
      <c r="M580" s="991"/>
      <c r="N580" s="991"/>
      <c r="O580" s="991"/>
      <c r="P580" s="1045"/>
      <c r="Q580" s="991"/>
      <c r="R580" s="991"/>
      <c r="S580" s="991"/>
      <c r="T580" s="1045"/>
      <c r="U580" s="991"/>
      <c r="V580" s="991"/>
      <c r="W580" s="991"/>
      <c r="X580" s="1042"/>
    </row>
    <row r="581" spans="1:24" ht="15">
      <c r="A581" s="991"/>
      <c r="B581" s="1249"/>
      <c r="C581" s="1250"/>
      <c r="D581" s="1251"/>
      <c r="E581" s="1250"/>
      <c r="F581" s="1252"/>
      <c r="G581" s="991"/>
      <c r="H581" s="1045"/>
      <c r="I581" s="1045"/>
      <c r="J581" s="991"/>
      <c r="K581" s="991"/>
      <c r="L581" s="1045"/>
      <c r="M581" s="991"/>
      <c r="N581" s="991"/>
      <c r="O581" s="991"/>
      <c r="P581" s="1045"/>
      <c r="Q581" s="991"/>
      <c r="R581" s="991"/>
      <c r="S581" s="991"/>
      <c r="T581" s="1045"/>
      <c r="U581" s="991"/>
      <c r="V581" s="991"/>
      <c r="W581" s="991"/>
      <c r="X581" s="1042"/>
    </row>
    <row r="582" spans="1:24" ht="15">
      <c r="A582" s="991"/>
      <c r="B582" s="1249"/>
      <c r="C582" s="1250"/>
      <c r="D582" s="1251"/>
      <c r="E582" s="1250"/>
      <c r="F582" s="1252"/>
      <c r="G582" s="991"/>
      <c r="H582" s="1045"/>
      <c r="I582" s="1045"/>
      <c r="J582" s="991"/>
      <c r="K582" s="991"/>
      <c r="L582" s="1045"/>
      <c r="M582" s="991"/>
      <c r="N582" s="991"/>
      <c r="O582" s="991"/>
      <c r="P582" s="1045"/>
      <c r="Q582" s="991"/>
      <c r="R582" s="991"/>
      <c r="S582" s="991"/>
      <c r="T582" s="1045"/>
      <c r="U582" s="991"/>
      <c r="V582" s="991"/>
      <c r="W582" s="991"/>
      <c r="X582" s="1042"/>
    </row>
    <row r="583" spans="1:24" ht="15">
      <c r="A583" s="991"/>
      <c r="B583" s="1249"/>
      <c r="C583" s="1250"/>
      <c r="D583" s="1251"/>
      <c r="E583" s="1250"/>
      <c r="F583" s="1252"/>
      <c r="G583" s="991"/>
      <c r="H583" s="1045"/>
      <c r="I583" s="1045"/>
      <c r="J583" s="991"/>
      <c r="K583" s="991"/>
      <c r="L583" s="1045"/>
      <c r="M583" s="991"/>
      <c r="N583" s="991"/>
      <c r="O583" s="991"/>
      <c r="P583" s="1045"/>
      <c r="Q583" s="991"/>
      <c r="R583" s="991"/>
      <c r="S583" s="991"/>
      <c r="T583" s="1045"/>
      <c r="U583" s="991"/>
      <c r="V583" s="991"/>
      <c r="W583" s="991"/>
      <c r="X583" s="1042"/>
    </row>
    <row r="584" spans="1:24" ht="15">
      <c r="A584" s="991"/>
      <c r="B584" s="1249"/>
      <c r="C584" s="1250"/>
      <c r="D584" s="1251"/>
      <c r="E584" s="1250"/>
      <c r="F584" s="1252"/>
      <c r="G584" s="991"/>
      <c r="H584" s="1045"/>
      <c r="I584" s="1045"/>
      <c r="J584" s="991"/>
      <c r="K584" s="991"/>
      <c r="L584" s="1045"/>
      <c r="M584" s="991"/>
      <c r="N584" s="991"/>
      <c r="O584" s="991"/>
      <c r="P584" s="1045"/>
      <c r="Q584" s="991"/>
      <c r="R584" s="991"/>
      <c r="S584" s="991"/>
      <c r="T584" s="1045"/>
      <c r="U584" s="991"/>
      <c r="V584" s="991"/>
      <c r="W584" s="991"/>
      <c r="X584" s="1042"/>
    </row>
    <row r="585" spans="1:24" ht="15">
      <c r="A585" s="991"/>
      <c r="B585" s="1249"/>
      <c r="C585" s="1250"/>
      <c r="D585" s="1251"/>
      <c r="E585" s="1250"/>
      <c r="F585" s="1252"/>
      <c r="G585" s="991"/>
      <c r="H585" s="1045"/>
      <c r="I585" s="1045"/>
      <c r="J585" s="991"/>
      <c r="K585" s="991"/>
      <c r="L585" s="1045"/>
      <c r="M585" s="991"/>
      <c r="N585" s="991"/>
      <c r="O585" s="991"/>
      <c r="P585" s="1045"/>
      <c r="Q585" s="991"/>
      <c r="R585" s="991"/>
      <c r="S585" s="991"/>
      <c r="T585" s="1045"/>
      <c r="U585" s="991"/>
      <c r="V585" s="991"/>
      <c r="W585" s="991"/>
      <c r="X585" s="1042"/>
    </row>
    <row r="586" spans="1:24" ht="15">
      <c r="A586" s="991"/>
      <c r="B586" s="1249"/>
      <c r="C586" s="1250"/>
      <c r="D586" s="1251"/>
      <c r="E586" s="1250"/>
      <c r="F586" s="1252"/>
      <c r="G586" s="991"/>
      <c r="H586" s="1045"/>
      <c r="I586" s="1045"/>
      <c r="J586" s="991"/>
      <c r="K586" s="991"/>
      <c r="L586" s="1045"/>
      <c r="M586" s="991"/>
      <c r="N586" s="991"/>
      <c r="O586" s="991"/>
      <c r="P586" s="1045"/>
      <c r="Q586" s="991"/>
      <c r="R586" s="991"/>
      <c r="S586" s="991"/>
      <c r="T586" s="1045"/>
      <c r="U586" s="991"/>
      <c r="V586" s="991"/>
      <c r="W586" s="991"/>
      <c r="X586" s="1042"/>
    </row>
    <row r="587" spans="1:24" ht="15">
      <c r="A587" s="991"/>
      <c r="B587" s="1249"/>
      <c r="C587" s="1250"/>
      <c r="D587" s="1251"/>
      <c r="E587" s="1250"/>
      <c r="F587" s="1252"/>
      <c r="G587" s="991"/>
      <c r="H587" s="1045"/>
      <c r="I587" s="1045"/>
      <c r="J587" s="991"/>
      <c r="K587" s="991"/>
      <c r="L587" s="1045"/>
      <c r="M587" s="991"/>
      <c r="N587" s="991"/>
      <c r="O587" s="991"/>
      <c r="P587" s="1045"/>
      <c r="Q587" s="991"/>
      <c r="R587" s="991"/>
      <c r="S587" s="991"/>
      <c r="T587" s="1045"/>
      <c r="U587" s="991"/>
      <c r="V587" s="991"/>
      <c r="W587" s="991"/>
      <c r="X587" s="1042"/>
    </row>
    <row r="588" spans="1:24" ht="15">
      <c r="A588" s="991"/>
      <c r="B588" s="1249"/>
      <c r="C588" s="1250"/>
      <c r="D588" s="1251"/>
      <c r="E588" s="1250"/>
      <c r="F588" s="1252"/>
      <c r="G588" s="991"/>
      <c r="H588" s="1045"/>
      <c r="I588" s="1045"/>
      <c r="J588" s="991"/>
      <c r="K588" s="991"/>
      <c r="L588" s="1045"/>
      <c r="M588" s="991"/>
      <c r="N588" s="991"/>
      <c r="O588" s="991"/>
      <c r="P588" s="1045"/>
      <c r="Q588" s="991"/>
      <c r="R588" s="991"/>
      <c r="S588" s="991"/>
      <c r="T588" s="1045"/>
      <c r="U588" s="991"/>
      <c r="V588" s="991"/>
      <c r="W588" s="991"/>
      <c r="X588" s="1042"/>
    </row>
    <row r="589" spans="1:24" ht="15">
      <c r="A589" s="991"/>
      <c r="B589" s="1249"/>
      <c r="C589" s="1250"/>
      <c r="D589" s="1251"/>
      <c r="E589" s="1250"/>
      <c r="F589" s="1252"/>
      <c r="G589" s="991"/>
      <c r="H589" s="1045"/>
      <c r="I589" s="1045"/>
      <c r="J589" s="991"/>
      <c r="K589" s="991"/>
      <c r="L589" s="1045"/>
      <c r="M589" s="991"/>
      <c r="N589" s="991"/>
      <c r="O589" s="991"/>
      <c r="P589" s="1045"/>
      <c r="Q589" s="991"/>
      <c r="R589" s="991"/>
      <c r="S589" s="991"/>
      <c r="T589" s="1045"/>
      <c r="U589" s="991"/>
      <c r="V589" s="991"/>
      <c r="W589" s="991"/>
      <c r="X589" s="1042"/>
    </row>
    <row r="590" spans="1:24" ht="15">
      <c r="A590" s="991"/>
      <c r="B590" s="1249"/>
      <c r="C590" s="1250"/>
      <c r="D590" s="1251"/>
      <c r="E590" s="1250"/>
      <c r="F590" s="1252"/>
      <c r="G590" s="991"/>
      <c r="H590" s="1045"/>
      <c r="I590" s="1045"/>
      <c r="J590" s="991"/>
      <c r="K590" s="991"/>
      <c r="L590" s="1045"/>
      <c r="M590" s="991"/>
      <c r="N590" s="991"/>
      <c r="O590" s="991"/>
      <c r="P590" s="1045"/>
      <c r="Q590" s="991"/>
      <c r="R590" s="991"/>
      <c r="S590" s="991"/>
      <c r="T590" s="1045"/>
      <c r="U590" s="991"/>
      <c r="V590" s="991"/>
      <c r="W590" s="991"/>
      <c r="X590" s="1042"/>
    </row>
    <row r="591" spans="1:24" ht="15">
      <c r="A591" s="991"/>
      <c r="B591" s="1249"/>
      <c r="C591" s="1250"/>
      <c r="D591" s="1251"/>
      <c r="E591" s="1250"/>
      <c r="F591" s="1252"/>
      <c r="G591" s="991"/>
      <c r="H591" s="1045"/>
      <c r="I591" s="1045"/>
      <c r="J591" s="991"/>
      <c r="K591" s="991"/>
      <c r="L591" s="1045"/>
      <c r="M591" s="991"/>
      <c r="N591" s="991"/>
      <c r="O591" s="991"/>
      <c r="P591" s="1045"/>
      <c r="Q591" s="991"/>
      <c r="R591" s="991"/>
      <c r="S591" s="991"/>
      <c r="T591" s="1045"/>
      <c r="U591" s="991"/>
      <c r="V591" s="991"/>
      <c r="W591" s="991"/>
      <c r="X591" s="1042"/>
    </row>
    <row r="592" spans="1:24" ht="15">
      <c r="A592" s="991"/>
      <c r="B592" s="1249"/>
      <c r="C592" s="1250"/>
      <c r="D592" s="1251"/>
      <c r="E592" s="1250"/>
      <c r="F592" s="1252"/>
      <c r="G592" s="991"/>
      <c r="H592" s="1045"/>
      <c r="I592" s="1045"/>
      <c r="J592" s="991"/>
      <c r="K592" s="991"/>
      <c r="L592" s="1045"/>
      <c r="M592" s="991"/>
      <c r="N592" s="991"/>
      <c r="O592" s="991"/>
      <c r="P592" s="1045"/>
      <c r="Q592" s="991"/>
      <c r="R592" s="991"/>
      <c r="S592" s="991"/>
      <c r="T592" s="1045"/>
      <c r="U592" s="991"/>
      <c r="V592" s="991"/>
      <c r="W592" s="991"/>
      <c r="X592" s="1042"/>
    </row>
    <row r="593" spans="1:24" ht="15">
      <c r="A593" s="991"/>
      <c r="B593" s="1249"/>
      <c r="C593" s="1250"/>
      <c r="D593" s="1251"/>
      <c r="E593" s="1250"/>
      <c r="F593" s="1252"/>
      <c r="G593" s="991"/>
      <c r="H593" s="1045"/>
      <c r="I593" s="1045"/>
      <c r="J593" s="991"/>
      <c r="K593" s="991"/>
      <c r="L593" s="1045"/>
      <c r="M593" s="991"/>
      <c r="N593" s="991"/>
      <c r="O593" s="991"/>
      <c r="P593" s="1045"/>
      <c r="Q593" s="991"/>
      <c r="R593" s="991"/>
      <c r="S593" s="991"/>
      <c r="T593" s="1045"/>
      <c r="U593" s="991"/>
      <c r="V593" s="991"/>
      <c r="W593" s="991"/>
      <c r="X593" s="1042"/>
    </row>
    <row r="594" spans="1:24" ht="15">
      <c r="A594" s="991"/>
      <c r="B594" s="1249"/>
      <c r="C594" s="1250"/>
      <c r="D594" s="1251"/>
      <c r="E594" s="1250"/>
      <c r="F594" s="1252"/>
      <c r="G594" s="991"/>
      <c r="H594" s="1045"/>
      <c r="I594" s="1045"/>
      <c r="J594" s="991"/>
      <c r="K594" s="991"/>
      <c r="L594" s="1045"/>
      <c r="M594" s="991"/>
      <c r="N594" s="991"/>
      <c r="O594" s="991"/>
      <c r="P594" s="1045"/>
      <c r="Q594" s="991"/>
      <c r="R594" s="991"/>
      <c r="S594" s="991"/>
      <c r="T594" s="1045"/>
      <c r="U594" s="991"/>
      <c r="V594" s="991"/>
      <c r="W594" s="991"/>
      <c r="X594" s="1042"/>
    </row>
    <row r="595" spans="1:24" ht="15">
      <c r="A595" s="991"/>
      <c r="B595" s="1249"/>
      <c r="C595" s="1250"/>
      <c r="D595" s="1251"/>
      <c r="E595" s="1250"/>
      <c r="F595" s="1252"/>
      <c r="G595" s="991"/>
      <c r="H595" s="1045"/>
      <c r="I595" s="1045"/>
      <c r="J595" s="991"/>
      <c r="K595" s="991"/>
      <c r="L595" s="1045"/>
      <c r="M595" s="991"/>
      <c r="N595" s="991"/>
      <c r="O595" s="991"/>
      <c r="P595" s="1045"/>
      <c r="Q595" s="991"/>
      <c r="R595" s="991"/>
      <c r="S595" s="991"/>
      <c r="T595" s="1045"/>
      <c r="U595" s="991"/>
      <c r="V595" s="991"/>
      <c r="W595" s="991"/>
      <c r="X595" s="1042"/>
    </row>
    <row r="596" spans="1:24" ht="15">
      <c r="A596" s="991"/>
      <c r="B596" s="1249"/>
      <c r="C596" s="1250"/>
      <c r="D596" s="1251"/>
      <c r="E596" s="1250"/>
      <c r="F596" s="1252"/>
      <c r="G596" s="991"/>
      <c r="H596" s="1045"/>
      <c r="I596" s="1045"/>
      <c r="J596" s="991"/>
      <c r="K596" s="991"/>
      <c r="L596" s="1045"/>
      <c r="M596" s="991"/>
      <c r="N596" s="991"/>
      <c r="O596" s="991"/>
      <c r="P596" s="1045"/>
      <c r="Q596" s="991"/>
      <c r="R596" s="991"/>
      <c r="S596" s="991"/>
      <c r="T596" s="1045"/>
      <c r="U596" s="991"/>
      <c r="V596" s="991"/>
      <c r="W596" s="991"/>
      <c r="X596" s="1042"/>
    </row>
    <row r="597" spans="1:24" ht="15">
      <c r="A597" s="991"/>
      <c r="B597" s="1249"/>
      <c r="C597" s="1250"/>
      <c r="D597" s="1251"/>
      <c r="E597" s="1250"/>
      <c r="F597" s="1252"/>
      <c r="G597" s="991"/>
      <c r="H597" s="1045"/>
      <c r="I597" s="1045"/>
      <c r="J597" s="991"/>
      <c r="K597" s="991"/>
      <c r="L597" s="1045"/>
      <c r="M597" s="991"/>
      <c r="N597" s="991"/>
      <c r="O597" s="991"/>
      <c r="P597" s="1045"/>
      <c r="Q597" s="991"/>
      <c r="R597" s="991"/>
      <c r="S597" s="991"/>
      <c r="T597" s="1045"/>
      <c r="U597" s="991"/>
      <c r="V597" s="991"/>
      <c r="W597" s="991"/>
      <c r="X597" s="1042"/>
    </row>
    <row r="598" spans="1:24" ht="15">
      <c r="A598" s="991"/>
      <c r="B598" s="1249"/>
      <c r="C598" s="1250"/>
      <c r="D598" s="1251"/>
      <c r="E598" s="1250"/>
      <c r="F598" s="1252"/>
      <c r="G598" s="991"/>
      <c r="H598" s="1045"/>
      <c r="I598" s="1045"/>
      <c r="J598" s="991"/>
      <c r="K598" s="991"/>
      <c r="L598" s="1045"/>
      <c r="M598" s="991"/>
      <c r="N598" s="991"/>
      <c r="O598" s="991"/>
      <c r="P598" s="1045"/>
      <c r="Q598" s="991"/>
      <c r="R598" s="991"/>
      <c r="S598" s="991"/>
      <c r="T598" s="1045"/>
      <c r="U598" s="991"/>
      <c r="V598" s="991"/>
      <c r="W598" s="991"/>
      <c r="X598" s="1042"/>
    </row>
    <row r="599" spans="1:24" ht="15">
      <c r="A599" s="991"/>
      <c r="B599" s="1249"/>
      <c r="C599" s="1250"/>
      <c r="D599" s="1251"/>
      <c r="E599" s="1250"/>
      <c r="F599" s="1252"/>
      <c r="G599" s="991"/>
      <c r="H599" s="1045"/>
      <c r="I599" s="1045"/>
      <c r="J599" s="991"/>
      <c r="K599" s="991"/>
      <c r="L599" s="1045"/>
      <c r="M599" s="991"/>
      <c r="N599" s="991"/>
      <c r="O599" s="991"/>
      <c r="P599" s="1045"/>
      <c r="Q599" s="991"/>
      <c r="R599" s="991"/>
      <c r="S599" s="991"/>
      <c r="T599" s="1045"/>
      <c r="U599" s="991"/>
      <c r="V599" s="991"/>
      <c r="W599" s="991"/>
      <c r="X599" s="1042"/>
    </row>
    <row r="600" spans="1:24" ht="15">
      <c r="A600" s="991"/>
      <c r="B600" s="1249"/>
      <c r="C600" s="1250"/>
      <c r="D600" s="1251"/>
      <c r="E600" s="1250"/>
      <c r="F600" s="1252"/>
      <c r="G600" s="991"/>
      <c r="H600" s="1045"/>
      <c r="I600" s="1045"/>
      <c r="J600" s="991"/>
      <c r="K600" s="991"/>
      <c r="L600" s="1045"/>
      <c r="M600" s="991"/>
      <c r="N600" s="991"/>
      <c r="O600" s="991"/>
      <c r="P600" s="1045"/>
      <c r="Q600" s="991"/>
      <c r="R600" s="991"/>
      <c r="S600" s="991"/>
      <c r="T600" s="1045"/>
      <c r="U600" s="991"/>
      <c r="V600" s="991"/>
      <c r="W600" s="991"/>
      <c r="X600" s="1042"/>
    </row>
    <row r="601" spans="1:24" ht="15">
      <c r="A601" s="991"/>
      <c r="B601" s="1249"/>
      <c r="C601" s="1250"/>
      <c r="D601" s="1251"/>
      <c r="E601" s="1250"/>
      <c r="F601" s="1252"/>
      <c r="G601" s="991"/>
      <c r="H601" s="1045"/>
      <c r="I601" s="1045"/>
      <c r="J601" s="991"/>
      <c r="K601" s="991"/>
      <c r="L601" s="1045"/>
      <c r="M601" s="991"/>
      <c r="N601" s="991"/>
      <c r="O601" s="991"/>
      <c r="P601" s="1045"/>
      <c r="Q601" s="991"/>
      <c r="R601" s="991"/>
      <c r="S601" s="991"/>
      <c r="T601" s="1045"/>
      <c r="U601" s="991"/>
      <c r="V601" s="991"/>
      <c r="W601" s="991"/>
      <c r="X601" s="1042"/>
    </row>
    <row r="602" spans="1:24" ht="15">
      <c r="A602" s="991"/>
      <c r="B602" s="1249"/>
      <c r="C602" s="1250"/>
      <c r="D602" s="1251"/>
      <c r="E602" s="1250"/>
      <c r="F602" s="1252"/>
      <c r="G602" s="991"/>
      <c r="H602" s="1045"/>
      <c r="I602" s="1045"/>
      <c r="J602" s="991"/>
      <c r="K602" s="991"/>
      <c r="L602" s="1045"/>
      <c r="M602" s="991"/>
      <c r="N602" s="991"/>
      <c r="O602" s="991"/>
      <c r="P602" s="1045"/>
      <c r="Q602" s="991"/>
      <c r="R602" s="991"/>
      <c r="S602" s="991"/>
      <c r="T602" s="1045"/>
      <c r="U602" s="991"/>
      <c r="V602" s="991"/>
      <c r="W602" s="991"/>
      <c r="X602" s="1042"/>
    </row>
    <row r="603" spans="1:24" ht="15">
      <c r="A603" s="991"/>
      <c r="B603" s="1249"/>
      <c r="C603" s="1250"/>
      <c r="D603" s="1251"/>
      <c r="E603" s="1250"/>
      <c r="F603" s="1252"/>
      <c r="G603" s="991"/>
      <c r="H603" s="1045"/>
      <c r="I603" s="1045"/>
      <c r="J603" s="991"/>
      <c r="K603" s="991"/>
      <c r="L603" s="1045"/>
      <c r="M603" s="991"/>
      <c r="N603" s="991"/>
      <c r="O603" s="991"/>
      <c r="P603" s="1045"/>
      <c r="Q603" s="991"/>
      <c r="R603" s="991"/>
      <c r="S603" s="991"/>
      <c r="T603" s="1045"/>
      <c r="U603" s="991"/>
      <c r="V603" s="991"/>
      <c r="W603" s="991"/>
      <c r="X603" s="1042"/>
    </row>
    <row r="604" spans="1:24" ht="15">
      <c r="A604" s="991"/>
      <c r="B604" s="1249"/>
      <c r="C604" s="1250"/>
      <c r="D604" s="1251"/>
      <c r="E604" s="1250"/>
      <c r="F604" s="1252"/>
      <c r="G604" s="991"/>
      <c r="H604" s="1045"/>
      <c r="I604" s="1045"/>
      <c r="J604" s="991"/>
      <c r="K604" s="991"/>
      <c r="L604" s="1045"/>
      <c r="M604" s="991"/>
      <c r="N604" s="991"/>
      <c r="O604" s="991"/>
      <c r="P604" s="1045"/>
      <c r="Q604" s="991"/>
      <c r="R604" s="991"/>
      <c r="S604" s="991"/>
      <c r="T604" s="1045"/>
      <c r="U604" s="991"/>
      <c r="V604" s="991"/>
      <c r="W604" s="991"/>
      <c r="X604" s="1042"/>
    </row>
    <row r="605" spans="1:24" ht="15">
      <c r="A605" s="991"/>
      <c r="B605" s="1249"/>
      <c r="C605" s="1250"/>
      <c r="D605" s="1251"/>
      <c r="E605" s="1250"/>
      <c r="F605" s="1252"/>
      <c r="G605" s="991"/>
      <c r="H605" s="1045"/>
      <c r="I605" s="1045"/>
      <c r="J605" s="991"/>
      <c r="K605" s="991"/>
      <c r="L605" s="1045"/>
      <c r="M605" s="991"/>
      <c r="N605" s="991"/>
      <c r="O605" s="991"/>
      <c r="P605" s="1045"/>
      <c r="Q605" s="991"/>
      <c r="R605" s="991"/>
      <c r="S605" s="991"/>
      <c r="T605" s="1045"/>
      <c r="U605" s="991"/>
      <c r="V605" s="991"/>
      <c r="W605" s="991"/>
      <c r="X605" s="1042"/>
    </row>
    <row r="606" spans="1:24" ht="15">
      <c r="A606" s="991"/>
      <c r="B606" s="1249"/>
      <c r="C606" s="1250"/>
      <c r="D606" s="1251"/>
      <c r="E606" s="1250"/>
      <c r="F606" s="1252"/>
      <c r="G606" s="991"/>
      <c r="H606" s="1045"/>
      <c r="I606" s="1045"/>
      <c r="J606" s="991"/>
      <c r="K606" s="991"/>
      <c r="L606" s="1045"/>
      <c r="M606" s="991"/>
      <c r="N606" s="991"/>
      <c r="O606" s="991"/>
      <c r="P606" s="1045"/>
      <c r="Q606" s="991"/>
      <c r="R606" s="991"/>
      <c r="S606" s="991"/>
      <c r="T606" s="1045"/>
      <c r="U606" s="991"/>
      <c r="V606" s="991"/>
      <c r="W606" s="991"/>
      <c r="X606" s="1042"/>
    </row>
    <row r="607" spans="1:24" ht="15">
      <c r="A607" s="991"/>
      <c r="B607" s="1249"/>
      <c r="C607" s="1250"/>
      <c r="D607" s="1251"/>
      <c r="E607" s="1250"/>
      <c r="F607" s="1252"/>
      <c r="G607" s="991"/>
      <c r="H607" s="1045"/>
      <c r="I607" s="1045"/>
      <c r="J607" s="991"/>
      <c r="K607" s="991"/>
      <c r="L607" s="1045"/>
      <c r="M607" s="991"/>
      <c r="N607" s="991"/>
      <c r="O607" s="991"/>
      <c r="P607" s="1045"/>
      <c r="Q607" s="991"/>
      <c r="R607" s="991"/>
      <c r="S607" s="991"/>
      <c r="T607" s="1045"/>
      <c r="U607" s="991"/>
      <c r="V607" s="991"/>
      <c r="W607" s="991"/>
      <c r="X607" s="1042"/>
    </row>
    <row r="608" spans="1:24" ht="15">
      <c r="A608" s="991"/>
      <c r="B608" s="1249"/>
      <c r="C608" s="1250"/>
      <c r="D608" s="1251"/>
      <c r="E608" s="1250"/>
      <c r="F608" s="1252"/>
      <c r="G608" s="991"/>
      <c r="H608" s="1045"/>
      <c r="I608" s="1045"/>
      <c r="J608" s="991"/>
      <c r="K608" s="991"/>
      <c r="L608" s="1045"/>
      <c r="M608" s="991"/>
      <c r="N608" s="991"/>
      <c r="O608" s="991"/>
      <c r="P608" s="1045"/>
      <c r="Q608" s="991"/>
      <c r="R608" s="991"/>
      <c r="S608" s="991"/>
      <c r="T608" s="1045"/>
      <c r="U608" s="991"/>
      <c r="V608" s="991"/>
      <c r="W608" s="991"/>
      <c r="X608" s="1042"/>
    </row>
    <row r="609" spans="1:24" ht="15">
      <c r="A609" s="991"/>
      <c r="B609" s="1249"/>
      <c r="C609" s="1250"/>
      <c r="D609" s="1251"/>
      <c r="E609" s="1250"/>
      <c r="F609" s="1252"/>
      <c r="G609" s="991"/>
      <c r="H609" s="1045"/>
      <c r="I609" s="1045"/>
      <c r="J609" s="991"/>
      <c r="K609" s="991"/>
      <c r="L609" s="1045"/>
      <c r="M609" s="991"/>
      <c r="N609" s="991"/>
      <c r="O609" s="991"/>
      <c r="P609" s="1045"/>
      <c r="Q609" s="991"/>
      <c r="R609" s="991"/>
      <c r="S609" s="991"/>
      <c r="T609" s="1045"/>
      <c r="U609" s="991"/>
      <c r="V609" s="991"/>
      <c r="W609" s="991"/>
      <c r="X609" s="1042"/>
    </row>
    <row r="610" spans="1:24" ht="15">
      <c r="A610" s="991"/>
      <c r="B610" s="1249"/>
      <c r="C610" s="1250"/>
      <c r="D610" s="1251"/>
      <c r="E610" s="1250"/>
      <c r="F610" s="1252"/>
      <c r="G610" s="991"/>
      <c r="H610" s="1045"/>
      <c r="I610" s="1045"/>
      <c r="J610" s="991"/>
      <c r="K610" s="991"/>
      <c r="L610" s="1045"/>
      <c r="M610" s="991"/>
      <c r="N610" s="991"/>
      <c r="O610" s="991"/>
      <c r="P610" s="1045"/>
      <c r="Q610" s="991"/>
      <c r="R610" s="991"/>
      <c r="S610" s="991"/>
      <c r="T610" s="1045"/>
      <c r="U610" s="991"/>
      <c r="V610" s="991"/>
      <c r="W610" s="991"/>
      <c r="X610" s="1042"/>
    </row>
    <row r="611" spans="1:24" ht="15">
      <c r="A611" s="991"/>
      <c r="B611" s="1249"/>
      <c r="C611" s="1250"/>
      <c r="D611" s="1251"/>
      <c r="E611" s="1250"/>
      <c r="F611" s="1252"/>
      <c r="G611" s="991"/>
      <c r="H611" s="1045"/>
      <c r="I611" s="1045"/>
      <c r="J611" s="991"/>
      <c r="K611" s="991"/>
      <c r="L611" s="1045"/>
      <c r="M611" s="991"/>
      <c r="N611" s="991"/>
      <c r="O611" s="991"/>
      <c r="P611" s="1045"/>
      <c r="Q611" s="991"/>
      <c r="R611" s="991"/>
      <c r="S611" s="991"/>
      <c r="T611" s="1045"/>
      <c r="U611" s="991"/>
      <c r="V611" s="991"/>
      <c r="W611" s="991"/>
      <c r="X611" s="1042"/>
    </row>
    <row r="612" spans="1:24" ht="15">
      <c r="A612" s="991"/>
      <c r="B612" s="1249"/>
      <c r="C612" s="1250"/>
      <c r="D612" s="1251"/>
      <c r="E612" s="1250"/>
      <c r="F612" s="1252"/>
      <c r="G612" s="991"/>
      <c r="H612" s="1045"/>
      <c r="I612" s="1045"/>
      <c r="J612" s="991"/>
      <c r="K612" s="991"/>
      <c r="L612" s="1045"/>
      <c r="M612" s="991"/>
      <c r="N612" s="991"/>
      <c r="O612" s="991"/>
      <c r="P612" s="1045"/>
      <c r="Q612" s="991"/>
      <c r="R612" s="991"/>
      <c r="S612" s="991"/>
      <c r="T612" s="1045"/>
      <c r="U612" s="991"/>
      <c r="V612" s="991"/>
      <c r="W612" s="991"/>
      <c r="X612" s="1042"/>
    </row>
    <row r="613" spans="1:24" ht="15">
      <c r="A613" s="991"/>
      <c r="B613" s="1249"/>
      <c r="C613" s="1250"/>
      <c r="D613" s="1251"/>
      <c r="E613" s="1250"/>
      <c r="F613" s="1252"/>
      <c r="G613" s="991"/>
      <c r="H613" s="1045"/>
      <c r="I613" s="1045"/>
      <c r="J613" s="991"/>
      <c r="K613" s="991"/>
      <c r="L613" s="1045"/>
      <c r="M613" s="991"/>
      <c r="N613" s="991"/>
      <c r="O613" s="991"/>
      <c r="P613" s="1045"/>
      <c r="Q613" s="991"/>
      <c r="R613" s="991"/>
      <c r="S613" s="991"/>
      <c r="T613" s="1045"/>
      <c r="U613" s="991"/>
      <c r="V613" s="991"/>
      <c r="W613" s="991"/>
      <c r="X613" s="1042"/>
    </row>
    <row r="614" spans="1:24" ht="15">
      <c r="A614" s="991"/>
      <c r="B614" s="1249"/>
      <c r="C614" s="1250"/>
      <c r="D614" s="1251"/>
      <c r="E614" s="1250"/>
      <c r="F614" s="1252"/>
      <c r="G614" s="991"/>
      <c r="H614" s="1045"/>
      <c r="I614" s="1045"/>
      <c r="J614" s="991"/>
      <c r="K614" s="991"/>
      <c r="L614" s="1045"/>
      <c r="M614" s="991"/>
      <c r="N614" s="991"/>
      <c r="O614" s="991"/>
      <c r="P614" s="1045"/>
      <c r="Q614" s="991"/>
      <c r="R614" s="991"/>
      <c r="S614" s="991"/>
      <c r="T614" s="1045"/>
      <c r="U614" s="991"/>
      <c r="V614" s="991"/>
      <c r="W614" s="991"/>
      <c r="X614" s="1042"/>
    </row>
    <row r="615" spans="1:24" ht="15">
      <c r="A615" s="991"/>
      <c r="B615" s="1249"/>
      <c r="C615" s="1250"/>
      <c r="D615" s="1251"/>
      <c r="E615" s="1250"/>
      <c r="F615" s="1252"/>
      <c r="G615" s="991"/>
      <c r="H615" s="1045"/>
      <c r="I615" s="1045"/>
      <c r="J615" s="991"/>
      <c r="K615" s="991"/>
      <c r="L615" s="1045"/>
      <c r="M615" s="991"/>
      <c r="N615" s="991"/>
      <c r="O615" s="991"/>
      <c r="P615" s="1045"/>
      <c r="Q615" s="991"/>
      <c r="R615" s="991"/>
      <c r="S615" s="991"/>
      <c r="T615" s="1045"/>
      <c r="U615" s="991"/>
      <c r="V615" s="991"/>
      <c r="W615" s="991"/>
      <c r="X615" s="1042"/>
    </row>
    <row r="616" spans="1:24" ht="15">
      <c r="A616" s="991"/>
      <c r="B616" s="1249"/>
      <c r="C616" s="1250"/>
      <c r="D616" s="1251"/>
      <c r="E616" s="1250"/>
      <c r="F616" s="1252"/>
      <c r="G616" s="991"/>
      <c r="H616" s="1045"/>
      <c r="I616" s="1045"/>
      <c r="J616" s="991"/>
      <c r="K616" s="991"/>
      <c r="L616" s="1045"/>
      <c r="M616" s="991"/>
      <c r="N616" s="991"/>
      <c r="O616" s="991"/>
      <c r="P616" s="1045"/>
      <c r="Q616" s="991"/>
      <c r="R616" s="991"/>
      <c r="S616" s="991"/>
      <c r="T616" s="1045"/>
      <c r="U616" s="991"/>
      <c r="V616" s="991"/>
      <c r="W616" s="991"/>
      <c r="X616" s="1042"/>
    </row>
    <row r="617" spans="1:24" ht="15">
      <c r="A617" s="991"/>
      <c r="B617" s="1249"/>
      <c r="C617" s="1250"/>
      <c r="D617" s="1251"/>
      <c r="E617" s="1250"/>
      <c r="F617" s="1252"/>
      <c r="G617" s="991"/>
      <c r="H617" s="1045"/>
      <c r="I617" s="1045"/>
      <c r="J617" s="991"/>
      <c r="K617" s="991"/>
      <c r="L617" s="1045"/>
      <c r="M617" s="991"/>
      <c r="N617" s="991"/>
      <c r="O617" s="991"/>
      <c r="P617" s="1045"/>
      <c r="Q617" s="991"/>
      <c r="R617" s="991"/>
      <c r="S617" s="991"/>
      <c r="T617" s="1045"/>
      <c r="U617" s="991"/>
      <c r="V617" s="991"/>
      <c r="W617" s="991"/>
      <c r="X617" s="1042"/>
    </row>
    <row r="618" spans="1:24" ht="15">
      <c r="A618" s="991"/>
      <c r="B618" s="1249"/>
      <c r="C618" s="1250"/>
      <c r="D618" s="1251"/>
      <c r="E618" s="1250"/>
      <c r="F618" s="1252"/>
      <c r="G618" s="991"/>
      <c r="H618" s="1045"/>
      <c r="I618" s="1045"/>
      <c r="J618" s="991"/>
      <c r="K618" s="991"/>
      <c r="L618" s="1045"/>
      <c r="M618" s="991"/>
      <c r="N618" s="991"/>
      <c r="O618" s="991"/>
      <c r="P618" s="1045"/>
      <c r="Q618" s="991"/>
      <c r="R618" s="991"/>
      <c r="S618" s="991"/>
      <c r="T618" s="1045"/>
      <c r="U618" s="991"/>
      <c r="V618" s="991"/>
      <c r="W618" s="991"/>
      <c r="X618" s="1042"/>
    </row>
    <row r="619" spans="1:24" ht="15">
      <c r="A619" s="991"/>
      <c r="B619" s="1249"/>
      <c r="C619" s="1250"/>
      <c r="D619" s="1251"/>
      <c r="E619" s="1250"/>
      <c r="F619" s="1252"/>
      <c r="G619" s="991"/>
      <c r="H619" s="1045"/>
      <c r="I619" s="1045"/>
      <c r="J619" s="991"/>
      <c r="K619" s="991"/>
      <c r="L619" s="1045"/>
      <c r="M619" s="991"/>
      <c r="N619" s="991"/>
      <c r="O619" s="991"/>
      <c r="P619" s="1045"/>
      <c r="Q619" s="991"/>
      <c r="R619" s="991"/>
      <c r="S619" s="991"/>
      <c r="T619" s="1045"/>
      <c r="U619" s="991"/>
      <c r="V619" s="991"/>
      <c r="W619" s="991"/>
      <c r="X619" s="1042"/>
    </row>
    <row r="620" spans="1:24" ht="15">
      <c r="A620" s="991"/>
      <c r="B620" s="1249"/>
      <c r="C620" s="1250"/>
      <c r="D620" s="1251"/>
      <c r="E620" s="1250"/>
      <c r="F620" s="1252"/>
      <c r="G620" s="991"/>
      <c r="H620" s="1045"/>
      <c r="I620" s="1045"/>
      <c r="J620" s="991"/>
      <c r="K620" s="991"/>
      <c r="L620" s="1045"/>
      <c r="M620" s="991"/>
      <c r="N620" s="991"/>
      <c r="O620" s="991"/>
      <c r="P620" s="1045"/>
      <c r="Q620" s="991"/>
      <c r="R620" s="991"/>
      <c r="S620" s="991"/>
      <c r="T620" s="1045"/>
      <c r="U620" s="991"/>
      <c r="V620" s="991"/>
      <c r="W620" s="991"/>
      <c r="X620" s="1042"/>
    </row>
    <row r="621" spans="1:24" ht="15">
      <c r="A621" s="991"/>
      <c r="B621" s="1249"/>
      <c r="C621" s="1250"/>
      <c r="D621" s="1251"/>
      <c r="E621" s="1250"/>
      <c r="F621" s="1252"/>
      <c r="G621" s="991"/>
      <c r="H621" s="1045"/>
      <c r="I621" s="1045"/>
      <c r="J621" s="991"/>
      <c r="K621" s="991"/>
      <c r="L621" s="1045"/>
      <c r="M621" s="991"/>
      <c r="N621" s="991"/>
      <c r="O621" s="991"/>
      <c r="P621" s="1045"/>
      <c r="Q621" s="991"/>
      <c r="R621" s="991"/>
      <c r="S621" s="991"/>
      <c r="T621" s="1045"/>
      <c r="U621" s="991"/>
      <c r="V621" s="991"/>
      <c r="W621" s="991"/>
      <c r="X621" s="1042"/>
    </row>
    <row r="622" spans="1:24" ht="15">
      <c r="A622" s="991"/>
      <c r="B622" s="1249"/>
      <c r="C622" s="1250"/>
      <c r="D622" s="1251"/>
      <c r="E622" s="1250"/>
      <c r="F622" s="1252"/>
      <c r="G622" s="991"/>
      <c r="H622" s="1045"/>
      <c r="I622" s="1045"/>
      <c r="J622" s="991"/>
      <c r="K622" s="991"/>
      <c r="L622" s="1045"/>
      <c r="M622" s="991"/>
      <c r="N622" s="991"/>
      <c r="O622" s="991"/>
      <c r="P622" s="1045"/>
      <c r="Q622" s="991"/>
      <c r="R622" s="991"/>
      <c r="S622" s="991"/>
      <c r="T622" s="1045"/>
      <c r="U622" s="991"/>
      <c r="V622" s="991"/>
      <c r="W622" s="991"/>
      <c r="X622" s="1042"/>
    </row>
    <row r="623" spans="1:24" ht="15">
      <c r="A623" s="991"/>
      <c r="B623" s="1249"/>
      <c r="C623" s="1250"/>
      <c r="D623" s="1251"/>
      <c r="E623" s="1250"/>
      <c r="F623" s="1252"/>
      <c r="G623" s="991"/>
      <c r="H623" s="1045"/>
      <c r="I623" s="1045"/>
      <c r="J623" s="991"/>
      <c r="K623" s="991"/>
      <c r="L623" s="1045"/>
      <c r="M623" s="991"/>
      <c r="N623" s="991"/>
      <c r="O623" s="991"/>
      <c r="P623" s="1045"/>
      <c r="Q623" s="991"/>
      <c r="R623" s="991"/>
      <c r="S623" s="991"/>
      <c r="T623" s="1045"/>
      <c r="U623" s="991"/>
      <c r="V623" s="991"/>
      <c r="W623" s="991"/>
      <c r="X623" s="1042"/>
    </row>
    <row r="624" spans="1:24" ht="15">
      <c r="A624" s="991"/>
      <c r="B624" s="1249"/>
      <c r="C624" s="1250"/>
      <c r="D624" s="1251"/>
      <c r="E624" s="1250"/>
      <c r="F624" s="1252"/>
      <c r="G624" s="991"/>
      <c r="H624" s="1045"/>
      <c r="I624" s="1045"/>
      <c r="J624" s="991"/>
      <c r="K624" s="991"/>
      <c r="L624" s="1045"/>
      <c r="M624" s="991"/>
      <c r="N624" s="991"/>
      <c r="O624" s="991"/>
      <c r="P624" s="1045"/>
      <c r="Q624" s="991"/>
      <c r="R624" s="991"/>
      <c r="S624" s="991"/>
      <c r="T624" s="1045"/>
      <c r="U624" s="991"/>
      <c r="V624" s="991"/>
      <c r="W624" s="991"/>
      <c r="X624" s="1042"/>
    </row>
    <row r="625" spans="1:24" ht="15">
      <c r="A625" s="991"/>
      <c r="B625" s="1249"/>
      <c r="C625" s="1250"/>
      <c r="D625" s="1251"/>
      <c r="E625" s="1250"/>
      <c r="F625" s="1252"/>
      <c r="G625" s="991"/>
      <c r="H625" s="1045"/>
      <c r="I625" s="1045"/>
      <c r="J625" s="991"/>
      <c r="K625" s="991"/>
      <c r="L625" s="1045"/>
      <c r="M625" s="991"/>
      <c r="N625" s="991"/>
      <c r="O625" s="991"/>
      <c r="P625" s="1045"/>
      <c r="Q625" s="991"/>
      <c r="R625" s="991"/>
      <c r="S625" s="991"/>
      <c r="T625" s="1045"/>
      <c r="U625" s="991"/>
      <c r="V625" s="991"/>
      <c r="W625" s="991"/>
      <c r="X625" s="1042"/>
    </row>
    <row r="626" spans="1:24" ht="15">
      <c r="A626" s="991"/>
      <c r="B626" s="1249"/>
      <c r="C626" s="1250"/>
      <c r="D626" s="1251"/>
      <c r="E626" s="1250"/>
      <c r="F626" s="1252"/>
      <c r="G626" s="991"/>
      <c r="H626" s="1045"/>
      <c r="I626" s="1045"/>
      <c r="J626" s="991"/>
      <c r="K626" s="991"/>
      <c r="L626" s="1045"/>
      <c r="M626" s="991"/>
      <c r="N626" s="991"/>
      <c r="O626" s="991"/>
      <c r="P626" s="1045"/>
      <c r="Q626" s="991"/>
      <c r="R626" s="991"/>
      <c r="S626" s="991"/>
      <c r="T626" s="1045"/>
      <c r="U626" s="991"/>
      <c r="V626" s="991"/>
      <c r="W626" s="991"/>
      <c r="X626" s="1042"/>
    </row>
    <row r="627" spans="1:24" ht="15">
      <c r="A627" s="991"/>
      <c r="B627" s="1249"/>
      <c r="C627" s="1250"/>
      <c r="D627" s="1251"/>
      <c r="E627" s="1250"/>
      <c r="F627" s="1252"/>
      <c r="G627" s="991"/>
      <c r="H627" s="1045"/>
      <c r="I627" s="1045"/>
      <c r="J627" s="991"/>
      <c r="K627" s="991"/>
      <c r="L627" s="1045"/>
      <c r="M627" s="991"/>
      <c r="N627" s="991"/>
      <c r="O627" s="991"/>
      <c r="P627" s="1045"/>
      <c r="Q627" s="991"/>
      <c r="R627" s="991"/>
      <c r="S627" s="991"/>
      <c r="T627" s="1045"/>
      <c r="U627" s="991"/>
      <c r="V627" s="991"/>
      <c r="W627" s="991"/>
      <c r="X627" s="1042"/>
    </row>
    <row r="628" spans="1:24" ht="15">
      <c r="A628" s="991"/>
      <c r="B628" s="1249"/>
      <c r="C628" s="1250"/>
      <c r="D628" s="1251"/>
      <c r="E628" s="1250"/>
      <c r="F628" s="1252"/>
      <c r="G628" s="991"/>
      <c r="H628" s="1045"/>
      <c r="I628" s="1045"/>
      <c r="J628" s="991"/>
      <c r="K628" s="991"/>
      <c r="L628" s="1045"/>
      <c r="M628" s="991"/>
      <c r="N628" s="991"/>
      <c r="O628" s="991"/>
      <c r="P628" s="1045"/>
      <c r="Q628" s="991"/>
      <c r="R628" s="991"/>
      <c r="S628" s="991"/>
      <c r="T628" s="1045"/>
      <c r="U628" s="991"/>
      <c r="V628" s="991"/>
      <c r="W628" s="991"/>
      <c r="X628" s="1042"/>
    </row>
    <row r="629" spans="1:24" ht="15">
      <c r="A629" s="991"/>
      <c r="B629" s="1249"/>
      <c r="C629" s="1250"/>
      <c r="D629" s="1251"/>
      <c r="E629" s="1250"/>
      <c r="F629" s="1252"/>
      <c r="G629" s="991"/>
      <c r="H629" s="1045"/>
      <c r="I629" s="1045"/>
      <c r="J629" s="991"/>
      <c r="K629" s="991"/>
      <c r="L629" s="1045"/>
      <c r="M629" s="991"/>
      <c r="N629" s="991"/>
      <c r="O629" s="991"/>
      <c r="P629" s="1045"/>
      <c r="Q629" s="991"/>
      <c r="R629" s="991"/>
      <c r="S629" s="991"/>
      <c r="T629" s="1045"/>
      <c r="U629" s="991"/>
      <c r="V629" s="991"/>
      <c r="W629" s="991"/>
      <c r="X629" s="1042"/>
    </row>
    <row r="630" spans="1:24" ht="15">
      <c r="A630" s="991"/>
      <c r="B630" s="1249"/>
      <c r="C630" s="1250"/>
      <c r="D630" s="1251"/>
      <c r="E630" s="1250"/>
      <c r="F630" s="1252"/>
      <c r="G630" s="991"/>
      <c r="H630" s="1045"/>
      <c r="I630" s="1045"/>
      <c r="J630" s="991"/>
      <c r="K630" s="991"/>
      <c r="L630" s="1045"/>
      <c r="M630" s="991"/>
      <c r="N630" s="991"/>
      <c r="O630" s="991"/>
      <c r="P630" s="1045"/>
      <c r="Q630" s="991"/>
      <c r="R630" s="991"/>
      <c r="S630" s="991"/>
      <c r="T630" s="1045"/>
      <c r="U630" s="991"/>
      <c r="V630" s="991"/>
      <c r="W630" s="991"/>
      <c r="X630" s="1042"/>
    </row>
    <row r="631" spans="1:24" ht="15">
      <c r="A631" s="991"/>
      <c r="B631" s="1249"/>
      <c r="C631" s="1250"/>
      <c r="D631" s="1251"/>
      <c r="E631" s="1250"/>
      <c r="F631" s="1252"/>
      <c r="G631" s="991"/>
      <c r="H631" s="1045"/>
      <c r="I631" s="1045"/>
      <c r="J631" s="991"/>
      <c r="K631" s="991"/>
      <c r="L631" s="1045"/>
      <c r="M631" s="991"/>
      <c r="N631" s="991"/>
      <c r="O631" s="991"/>
      <c r="P631" s="1045"/>
      <c r="Q631" s="991"/>
      <c r="R631" s="991"/>
      <c r="S631" s="991"/>
      <c r="T631" s="1045"/>
      <c r="U631" s="991"/>
      <c r="V631" s="991"/>
      <c r="W631" s="991"/>
      <c r="X631" s="1042"/>
    </row>
    <row r="632" spans="1:24" ht="15">
      <c r="A632" s="991"/>
      <c r="B632" s="1249"/>
      <c r="C632" s="1250"/>
      <c r="D632" s="1251"/>
      <c r="E632" s="1250"/>
      <c r="F632" s="1252"/>
      <c r="G632" s="991"/>
      <c r="H632" s="1045"/>
      <c r="I632" s="1045"/>
      <c r="J632" s="991"/>
      <c r="K632" s="991"/>
      <c r="L632" s="1045"/>
      <c r="M632" s="991"/>
      <c r="N632" s="991"/>
      <c r="O632" s="991"/>
      <c r="P632" s="1045"/>
      <c r="Q632" s="991"/>
      <c r="R632" s="991"/>
      <c r="S632" s="991"/>
      <c r="T632" s="1045"/>
      <c r="U632" s="991"/>
      <c r="V632" s="991"/>
      <c r="W632" s="991"/>
      <c r="X632" s="1042"/>
    </row>
    <row r="633" spans="1:24" ht="15">
      <c r="A633" s="991"/>
      <c r="B633" s="1249"/>
      <c r="C633" s="1250"/>
      <c r="D633" s="1251"/>
      <c r="E633" s="1250"/>
      <c r="F633" s="1252"/>
      <c r="G633" s="991"/>
      <c r="H633" s="1045"/>
      <c r="I633" s="1045"/>
      <c r="J633" s="991"/>
      <c r="K633" s="991"/>
      <c r="L633" s="1045"/>
      <c r="M633" s="991"/>
      <c r="N633" s="991"/>
      <c r="O633" s="991"/>
      <c r="P633" s="1045"/>
      <c r="Q633" s="991"/>
      <c r="R633" s="991"/>
      <c r="S633" s="991"/>
      <c r="T633" s="1045"/>
      <c r="U633" s="991"/>
      <c r="V633" s="991"/>
      <c r="W633" s="991"/>
      <c r="X633" s="1042"/>
    </row>
    <row r="634" spans="1:24" ht="15">
      <c r="A634" s="991"/>
      <c r="B634" s="1249"/>
      <c r="C634" s="1250"/>
      <c r="D634" s="1251"/>
      <c r="E634" s="1250"/>
      <c r="F634" s="1252"/>
      <c r="G634" s="991"/>
      <c r="H634" s="1045"/>
      <c r="I634" s="1045"/>
      <c r="J634" s="991"/>
      <c r="K634" s="991"/>
      <c r="L634" s="1045"/>
      <c r="M634" s="991"/>
      <c r="N634" s="991"/>
      <c r="O634" s="991"/>
      <c r="P634" s="1045"/>
      <c r="Q634" s="991"/>
      <c r="R634" s="991"/>
      <c r="S634" s="991"/>
      <c r="T634" s="1045"/>
      <c r="U634" s="991"/>
      <c r="V634" s="991"/>
      <c r="W634" s="991"/>
      <c r="X634" s="1042"/>
    </row>
    <row r="635" spans="1:24" ht="15">
      <c r="A635" s="991"/>
      <c r="B635" s="1249"/>
      <c r="C635" s="1250"/>
      <c r="D635" s="1251"/>
      <c r="E635" s="1250"/>
      <c r="F635" s="1252"/>
      <c r="G635" s="991"/>
      <c r="H635" s="1045"/>
      <c r="I635" s="1045"/>
      <c r="J635" s="991"/>
      <c r="K635" s="991"/>
      <c r="L635" s="1045"/>
      <c r="M635" s="991"/>
      <c r="N635" s="991"/>
      <c r="O635" s="991"/>
      <c r="P635" s="1045"/>
      <c r="Q635" s="991"/>
      <c r="R635" s="991"/>
      <c r="S635" s="991"/>
      <c r="T635" s="1045"/>
      <c r="U635" s="991"/>
      <c r="V635" s="991"/>
      <c r="W635" s="991"/>
      <c r="X635" s="1042"/>
    </row>
    <row r="636" spans="1:24" ht="15">
      <c r="A636" s="991"/>
      <c r="B636" s="1249"/>
      <c r="C636" s="1250"/>
      <c r="D636" s="1251"/>
      <c r="E636" s="1250"/>
      <c r="F636" s="1252"/>
      <c r="G636" s="991"/>
      <c r="H636" s="1045"/>
      <c r="I636" s="1045"/>
      <c r="J636" s="991"/>
      <c r="K636" s="991"/>
      <c r="L636" s="1045"/>
      <c r="M636" s="991"/>
      <c r="N636" s="991"/>
      <c r="O636" s="991"/>
      <c r="P636" s="1045"/>
      <c r="Q636" s="991"/>
      <c r="R636" s="991"/>
      <c r="S636" s="991"/>
      <c r="T636" s="1045"/>
      <c r="U636" s="991"/>
      <c r="V636" s="991"/>
      <c r="W636" s="991"/>
      <c r="X636" s="1042"/>
    </row>
    <row r="637" spans="1:24" ht="15">
      <c r="A637" s="991"/>
      <c r="B637" s="1249"/>
      <c r="C637" s="1250"/>
      <c r="D637" s="1251"/>
      <c r="E637" s="1250"/>
      <c r="F637" s="1252"/>
      <c r="G637" s="991"/>
      <c r="H637" s="1045"/>
      <c r="I637" s="1045"/>
      <c r="J637" s="991"/>
      <c r="K637" s="991"/>
      <c r="L637" s="1045"/>
      <c r="M637" s="991"/>
      <c r="N637" s="991"/>
      <c r="O637" s="991"/>
      <c r="P637" s="1045"/>
      <c r="Q637" s="991"/>
      <c r="R637" s="991"/>
      <c r="S637" s="991"/>
      <c r="T637" s="1045"/>
      <c r="U637" s="991"/>
      <c r="V637" s="991"/>
      <c r="W637" s="991"/>
      <c r="X637" s="1042"/>
    </row>
    <row r="638" spans="1:24" ht="15">
      <c r="A638" s="991"/>
      <c r="B638" s="1249"/>
      <c r="C638" s="1250"/>
      <c r="D638" s="1251"/>
      <c r="E638" s="1250"/>
      <c r="F638" s="1252"/>
      <c r="G638" s="991"/>
      <c r="H638" s="1045"/>
      <c r="I638" s="1045"/>
      <c r="J638" s="991"/>
      <c r="K638" s="991"/>
      <c r="L638" s="1045"/>
      <c r="M638" s="991"/>
      <c r="N638" s="991"/>
      <c r="O638" s="991"/>
      <c r="P638" s="1045"/>
      <c r="Q638" s="991"/>
      <c r="R638" s="991"/>
      <c r="S638" s="991"/>
      <c r="T638" s="1045"/>
      <c r="U638" s="991"/>
      <c r="V638" s="991"/>
      <c r="W638" s="991"/>
      <c r="X638" s="1042"/>
    </row>
    <row r="639" spans="1:24" ht="15">
      <c r="A639" s="991"/>
      <c r="B639" s="1249"/>
      <c r="C639" s="1250"/>
      <c r="D639" s="1251"/>
      <c r="E639" s="1250"/>
      <c r="F639" s="1252"/>
      <c r="G639" s="991"/>
      <c r="H639" s="1045"/>
      <c r="I639" s="1045"/>
      <c r="J639" s="991"/>
      <c r="K639" s="991"/>
      <c r="L639" s="1045"/>
      <c r="M639" s="991"/>
      <c r="N639" s="991"/>
      <c r="O639" s="991"/>
      <c r="P639" s="1045"/>
      <c r="Q639" s="991"/>
      <c r="R639" s="991"/>
      <c r="S639" s="991"/>
      <c r="T639" s="1045"/>
      <c r="U639" s="991"/>
      <c r="V639" s="991"/>
      <c r="W639" s="991"/>
      <c r="X639" s="1042"/>
    </row>
    <row r="640" spans="1:24" ht="15">
      <c r="A640" s="991"/>
      <c r="B640" s="1249"/>
      <c r="C640" s="1250"/>
      <c r="D640" s="1251"/>
      <c r="E640" s="1250"/>
      <c r="F640" s="1252"/>
      <c r="G640" s="991"/>
      <c r="H640" s="1045"/>
      <c r="I640" s="1045"/>
      <c r="J640" s="991"/>
      <c r="K640" s="991"/>
      <c r="L640" s="1045"/>
      <c r="M640" s="991"/>
      <c r="N640" s="991"/>
      <c r="O640" s="991"/>
      <c r="P640" s="1045"/>
      <c r="Q640" s="991"/>
      <c r="R640" s="991"/>
      <c r="S640" s="991"/>
      <c r="T640" s="1045"/>
      <c r="U640" s="991"/>
      <c r="V640" s="991"/>
      <c r="W640" s="991"/>
      <c r="X640" s="1042"/>
    </row>
    <row r="641" spans="1:24" ht="15">
      <c r="A641" s="991"/>
      <c r="B641" s="1249"/>
      <c r="C641" s="1250"/>
      <c r="D641" s="1251"/>
      <c r="E641" s="1250"/>
      <c r="F641" s="1252"/>
      <c r="G641" s="991"/>
      <c r="H641" s="1045"/>
      <c r="I641" s="1045"/>
      <c r="J641" s="991"/>
      <c r="K641" s="991"/>
      <c r="L641" s="1045"/>
      <c r="M641" s="991"/>
      <c r="N641" s="991"/>
      <c r="O641" s="991"/>
      <c r="P641" s="1045"/>
      <c r="Q641" s="991"/>
      <c r="R641" s="991"/>
      <c r="S641" s="991"/>
      <c r="T641" s="1045"/>
      <c r="U641" s="991"/>
      <c r="V641" s="991"/>
      <c r="W641" s="991"/>
      <c r="X641" s="1042"/>
    </row>
    <row r="642" spans="1:24" ht="15">
      <c r="A642" s="991"/>
      <c r="B642" s="1249"/>
      <c r="C642" s="1250"/>
      <c r="D642" s="1251"/>
      <c r="E642" s="1250"/>
      <c r="F642" s="1252"/>
      <c r="G642" s="991"/>
      <c r="H642" s="1045"/>
      <c r="I642" s="1045"/>
      <c r="J642" s="991"/>
      <c r="K642" s="991"/>
      <c r="L642" s="1045"/>
      <c r="M642" s="991"/>
      <c r="N642" s="991"/>
      <c r="O642" s="991"/>
      <c r="P642" s="1045"/>
      <c r="Q642" s="991"/>
      <c r="R642" s="991"/>
      <c r="S642" s="991"/>
      <c r="T642" s="1045"/>
      <c r="U642" s="991"/>
      <c r="V642" s="991"/>
      <c r="W642" s="991"/>
      <c r="X642" s="1042"/>
    </row>
    <row r="643" spans="1:24" ht="15">
      <c r="A643" s="991"/>
      <c r="B643" s="1249"/>
      <c r="C643" s="1250"/>
      <c r="D643" s="1251"/>
      <c r="E643" s="1250"/>
      <c r="F643" s="1252"/>
      <c r="G643" s="991"/>
      <c r="H643" s="1045"/>
      <c r="I643" s="1045"/>
      <c r="J643" s="991"/>
      <c r="K643" s="991"/>
      <c r="L643" s="1045"/>
      <c r="M643" s="991"/>
      <c r="N643" s="991"/>
      <c r="O643" s="991"/>
      <c r="P643" s="1045"/>
      <c r="Q643" s="991"/>
      <c r="R643" s="991"/>
      <c r="S643" s="991"/>
      <c r="T643" s="1045"/>
      <c r="U643" s="991"/>
      <c r="V643" s="991"/>
      <c r="W643" s="991"/>
      <c r="X643" s="1042"/>
    </row>
    <row r="644" spans="1:24" ht="15">
      <c r="A644" s="991"/>
      <c r="B644" s="1249"/>
      <c r="C644" s="1250"/>
      <c r="D644" s="1251"/>
      <c r="E644" s="1250"/>
      <c r="F644" s="1252"/>
      <c r="G644" s="991"/>
      <c r="H644" s="1045"/>
      <c r="I644" s="1045"/>
      <c r="J644" s="991"/>
      <c r="K644" s="991"/>
      <c r="L644" s="1045"/>
      <c r="M644" s="991"/>
      <c r="N644" s="991"/>
      <c r="O644" s="991"/>
      <c r="P644" s="1045"/>
      <c r="Q644" s="991"/>
      <c r="R644" s="991"/>
      <c r="S644" s="991"/>
      <c r="T644" s="1045"/>
      <c r="U644" s="991"/>
      <c r="V644" s="991"/>
      <c r="W644" s="991"/>
      <c r="X644" s="1042"/>
    </row>
    <row r="645" spans="1:24" ht="15">
      <c r="A645" s="991"/>
      <c r="B645" s="1249"/>
      <c r="C645" s="1250"/>
      <c r="D645" s="1251"/>
      <c r="E645" s="1250"/>
      <c r="F645" s="1252"/>
      <c r="G645" s="991"/>
      <c r="H645" s="1045"/>
      <c r="I645" s="1045"/>
      <c r="J645" s="991"/>
      <c r="K645" s="991"/>
      <c r="L645" s="1045"/>
      <c r="M645" s="991"/>
      <c r="N645" s="991"/>
      <c r="O645" s="991"/>
      <c r="P645" s="1045"/>
      <c r="Q645" s="991"/>
      <c r="R645" s="991"/>
      <c r="S645" s="991"/>
      <c r="T645" s="1045"/>
      <c r="U645" s="991"/>
      <c r="V645" s="991"/>
      <c r="W645" s="991"/>
      <c r="X645" s="1042"/>
    </row>
    <row r="646" spans="1:24" ht="15">
      <c r="A646" s="991"/>
      <c r="B646" s="1249"/>
      <c r="C646" s="1250"/>
      <c r="D646" s="1251"/>
      <c r="E646" s="1250"/>
      <c r="F646" s="1252"/>
      <c r="G646" s="991"/>
      <c r="H646" s="1045"/>
      <c r="I646" s="1045"/>
      <c r="J646" s="991"/>
      <c r="K646" s="991"/>
      <c r="L646" s="1045"/>
      <c r="M646" s="991"/>
      <c r="N646" s="991"/>
      <c r="O646" s="991"/>
      <c r="P646" s="1045"/>
      <c r="Q646" s="991"/>
      <c r="R646" s="991"/>
      <c r="S646" s="991"/>
      <c r="T646" s="1045"/>
      <c r="U646" s="991"/>
      <c r="V646" s="991"/>
      <c r="W646" s="991"/>
      <c r="X646" s="1042"/>
    </row>
    <row r="647" spans="1:24" ht="15">
      <c r="A647" s="991"/>
      <c r="B647" s="1249"/>
      <c r="C647" s="1250"/>
      <c r="D647" s="1251"/>
      <c r="E647" s="1250"/>
      <c r="F647" s="1252"/>
      <c r="G647" s="991"/>
      <c r="H647" s="1045"/>
      <c r="I647" s="1045"/>
      <c r="J647" s="991"/>
      <c r="K647" s="991"/>
      <c r="L647" s="1045"/>
      <c r="M647" s="991"/>
      <c r="N647" s="991"/>
      <c r="O647" s="991"/>
      <c r="P647" s="1045"/>
      <c r="Q647" s="991"/>
      <c r="R647" s="991"/>
      <c r="S647" s="991"/>
      <c r="T647" s="1045"/>
      <c r="U647" s="991"/>
      <c r="V647" s="991"/>
      <c r="W647" s="991"/>
      <c r="X647" s="1042"/>
    </row>
    <row r="648" spans="1:24" ht="15">
      <c r="A648" s="991"/>
      <c r="B648" s="1249"/>
      <c r="C648" s="1250"/>
      <c r="D648" s="1251"/>
      <c r="E648" s="1250"/>
      <c r="F648" s="1252"/>
      <c r="G648" s="991"/>
      <c r="H648" s="1045"/>
      <c r="I648" s="1045"/>
      <c r="J648" s="991"/>
      <c r="K648" s="991"/>
      <c r="L648" s="1045"/>
      <c r="M648" s="991"/>
      <c r="N648" s="991"/>
      <c r="O648" s="991"/>
      <c r="P648" s="1045"/>
      <c r="Q648" s="991"/>
      <c r="R648" s="991"/>
      <c r="S648" s="991"/>
      <c r="T648" s="1045"/>
      <c r="U648" s="991"/>
      <c r="V648" s="991"/>
      <c r="W648" s="991"/>
      <c r="X648" s="1042"/>
    </row>
    <row r="649" spans="1:24" ht="15">
      <c r="A649" s="991"/>
      <c r="B649" s="1249"/>
      <c r="C649" s="1250"/>
      <c r="D649" s="1251"/>
      <c r="E649" s="1250"/>
      <c r="F649" s="1252"/>
      <c r="G649" s="991"/>
      <c r="H649" s="1045"/>
      <c r="I649" s="1045"/>
      <c r="J649" s="991"/>
      <c r="K649" s="991"/>
      <c r="L649" s="1045"/>
      <c r="M649" s="991"/>
      <c r="N649" s="991"/>
      <c r="O649" s="991"/>
      <c r="P649" s="1045"/>
      <c r="Q649" s="991"/>
      <c r="R649" s="991"/>
      <c r="S649" s="991"/>
      <c r="T649" s="1045"/>
      <c r="U649" s="991"/>
      <c r="V649" s="991"/>
      <c r="W649" s="991"/>
      <c r="X649" s="1042"/>
    </row>
    <row r="650" spans="1:24" ht="15">
      <c r="A650" s="991"/>
      <c r="B650" s="1249"/>
      <c r="C650" s="1250"/>
      <c r="D650" s="1251"/>
      <c r="E650" s="1250"/>
      <c r="F650" s="1252"/>
      <c r="G650" s="991"/>
      <c r="H650" s="1045"/>
      <c r="I650" s="1045"/>
      <c r="J650" s="991"/>
      <c r="K650" s="991"/>
      <c r="L650" s="1045"/>
      <c r="M650" s="991"/>
      <c r="N650" s="991"/>
      <c r="O650" s="991"/>
      <c r="P650" s="1045"/>
      <c r="Q650" s="991"/>
      <c r="R650" s="991"/>
      <c r="S650" s="991"/>
      <c r="T650" s="1045"/>
      <c r="U650" s="991"/>
      <c r="V650" s="991"/>
      <c r="W650" s="991"/>
      <c r="X650" s="1042"/>
    </row>
    <row r="651" spans="1:24" ht="15">
      <c r="A651" s="991"/>
      <c r="B651" s="1249"/>
      <c r="C651" s="1250"/>
      <c r="D651" s="1251"/>
      <c r="E651" s="1250"/>
      <c r="F651" s="1252"/>
      <c r="G651" s="991"/>
      <c r="H651" s="1045"/>
      <c r="I651" s="1045"/>
      <c r="J651" s="991"/>
      <c r="K651" s="991"/>
      <c r="L651" s="1045"/>
      <c r="M651" s="991"/>
      <c r="N651" s="991"/>
      <c r="O651" s="991"/>
      <c r="P651" s="1045"/>
      <c r="Q651" s="991"/>
      <c r="R651" s="991"/>
      <c r="S651" s="991"/>
      <c r="T651" s="1045"/>
      <c r="U651" s="991"/>
      <c r="V651" s="991"/>
      <c r="W651" s="991"/>
      <c r="X651" s="1042"/>
    </row>
    <row r="652" spans="1:24" ht="15">
      <c r="A652" s="991"/>
      <c r="B652" s="1249"/>
      <c r="C652" s="1250"/>
      <c r="D652" s="1251"/>
      <c r="E652" s="1250"/>
      <c r="F652" s="1252"/>
      <c r="G652" s="991"/>
      <c r="H652" s="1045"/>
      <c r="I652" s="1045"/>
      <c r="J652" s="991"/>
      <c r="K652" s="991"/>
      <c r="L652" s="1045"/>
      <c r="M652" s="991"/>
      <c r="N652" s="991"/>
      <c r="O652" s="991"/>
      <c r="P652" s="1045"/>
      <c r="Q652" s="991"/>
      <c r="R652" s="991"/>
      <c r="S652" s="991"/>
      <c r="T652" s="1045"/>
      <c r="U652" s="991"/>
      <c r="V652" s="991"/>
      <c r="W652" s="991"/>
      <c r="X652" s="1042"/>
    </row>
    <row r="653" spans="1:24" ht="15">
      <c r="A653" s="991"/>
      <c r="B653" s="1249"/>
      <c r="C653" s="1250"/>
      <c r="D653" s="1251"/>
      <c r="E653" s="1250"/>
      <c r="F653" s="1252"/>
      <c r="G653" s="991"/>
      <c r="H653" s="1045"/>
      <c r="I653" s="1045"/>
      <c r="J653" s="991"/>
      <c r="K653" s="991"/>
      <c r="L653" s="1045"/>
      <c r="M653" s="991"/>
      <c r="N653" s="991"/>
      <c r="O653" s="991"/>
      <c r="P653" s="1045"/>
      <c r="Q653" s="991"/>
      <c r="R653" s="991"/>
      <c r="S653" s="991"/>
      <c r="T653" s="1045"/>
      <c r="U653" s="991"/>
      <c r="V653" s="991"/>
      <c r="W653" s="991"/>
      <c r="X653" s="1042"/>
    </row>
    <row r="654" spans="1:24" ht="15">
      <c r="A654" s="991"/>
      <c r="B654" s="1249"/>
      <c r="C654" s="1250"/>
      <c r="D654" s="1251"/>
      <c r="E654" s="1250"/>
      <c r="F654" s="1252"/>
      <c r="G654" s="991"/>
      <c r="H654" s="1045"/>
      <c r="I654" s="1045"/>
      <c r="J654" s="991"/>
      <c r="K654" s="991"/>
      <c r="L654" s="1045"/>
      <c r="M654" s="991"/>
      <c r="N654" s="991"/>
      <c r="O654" s="991"/>
      <c r="P654" s="1045"/>
      <c r="Q654" s="991"/>
      <c r="R654" s="991"/>
      <c r="S654" s="991"/>
      <c r="T654" s="1045"/>
      <c r="U654" s="991"/>
      <c r="V654" s="991"/>
      <c r="W654" s="991"/>
      <c r="X654" s="1042"/>
    </row>
    <row r="655" spans="1:24" ht="15">
      <c r="A655" s="991"/>
      <c r="B655" s="1249"/>
      <c r="C655" s="1250"/>
      <c r="D655" s="1251"/>
      <c r="E655" s="1250"/>
      <c r="F655" s="1252"/>
      <c r="G655" s="991"/>
      <c r="H655" s="1045"/>
      <c r="I655" s="1045"/>
      <c r="J655" s="991"/>
      <c r="K655" s="991"/>
      <c r="L655" s="1045"/>
      <c r="M655" s="991"/>
      <c r="N655" s="991"/>
      <c r="O655" s="991"/>
      <c r="P655" s="1045"/>
      <c r="Q655" s="991"/>
      <c r="R655" s="991"/>
      <c r="S655" s="991"/>
      <c r="T655" s="1045"/>
      <c r="U655" s="991"/>
      <c r="V655" s="991"/>
      <c r="W655" s="991"/>
      <c r="X655" s="1042"/>
    </row>
    <row r="656" spans="1:24" ht="15">
      <c r="A656" s="991"/>
      <c r="B656" s="1249"/>
      <c r="C656" s="1250"/>
      <c r="D656" s="1251"/>
      <c r="E656" s="1250"/>
      <c r="F656" s="1252"/>
      <c r="G656" s="991"/>
      <c r="H656" s="1045"/>
      <c r="I656" s="1045"/>
      <c r="J656" s="991"/>
      <c r="K656" s="991"/>
      <c r="L656" s="1045"/>
      <c r="M656" s="991"/>
      <c r="N656" s="991"/>
      <c r="O656" s="991"/>
      <c r="P656" s="1045"/>
      <c r="Q656" s="991"/>
      <c r="R656" s="991"/>
      <c r="S656" s="991"/>
      <c r="T656" s="1045"/>
      <c r="U656" s="991"/>
      <c r="V656" s="991"/>
      <c r="W656" s="991"/>
      <c r="X656" s="1042"/>
    </row>
    <row r="657" spans="1:24" ht="15">
      <c r="A657" s="991"/>
      <c r="B657" s="1249"/>
      <c r="C657" s="1250"/>
      <c r="D657" s="1251"/>
      <c r="E657" s="1250"/>
      <c r="F657" s="1252"/>
      <c r="G657" s="991"/>
      <c r="H657" s="1045"/>
      <c r="I657" s="1045"/>
      <c r="J657" s="991"/>
      <c r="K657" s="991"/>
      <c r="L657" s="1045"/>
      <c r="M657" s="991"/>
      <c r="N657" s="991"/>
      <c r="O657" s="991"/>
      <c r="P657" s="1045"/>
      <c r="Q657" s="991"/>
      <c r="R657" s="991"/>
      <c r="S657" s="991"/>
      <c r="T657" s="1045"/>
      <c r="U657" s="991"/>
      <c r="V657" s="991"/>
      <c r="W657" s="991"/>
      <c r="X657" s="1042"/>
    </row>
    <row r="658" spans="1:24" ht="15">
      <c r="A658" s="991"/>
      <c r="B658" s="1249"/>
      <c r="C658" s="1250"/>
      <c r="D658" s="1251"/>
      <c r="E658" s="1250"/>
      <c r="F658" s="1252"/>
      <c r="G658" s="991"/>
      <c r="H658" s="1045"/>
      <c r="I658" s="1045"/>
      <c r="J658" s="991"/>
      <c r="K658" s="991"/>
      <c r="L658" s="1045"/>
      <c r="M658" s="991"/>
      <c r="N658" s="991"/>
      <c r="O658" s="991"/>
      <c r="P658" s="1045"/>
      <c r="Q658" s="991"/>
      <c r="R658" s="991"/>
      <c r="S658" s="991"/>
      <c r="T658" s="1045"/>
      <c r="U658" s="991"/>
      <c r="V658" s="991"/>
      <c r="W658" s="991"/>
      <c r="X658" s="1042"/>
    </row>
    <row r="659" spans="1:24" ht="15">
      <c r="A659" s="991"/>
      <c r="B659" s="1249"/>
      <c r="C659" s="1250"/>
      <c r="D659" s="1251"/>
      <c r="E659" s="1250"/>
      <c r="F659" s="1252"/>
      <c r="G659" s="991"/>
      <c r="H659" s="1045"/>
      <c r="I659" s="1045"/>
      <c r="J659" s="991"/>
      <c r="K659" s="991"/>
      <c r="L659" s="1045"/>
      <c r="M659" s="991"/>
      <c r="N659" s="991"/>
      <c r="O659" s="991"/>
      <c r="P659" s="1045"/>
      <c r="Q659" s="991"/>
      <c r="R659" s="991"/>
      <c r="S659" s="991"/>
      <c r="T659" s="1045"/>
      <c r="U659" s="991"/>
      <c r="V659" s="991"/>
      <c r="W659" s="991"/>
      <c r="X659" s="1042"/>
    </row>
    <row r="660" spans="1:24" ht="15">
      <c r="A660" s="991"/>
      <c r="B660" s="1249"/>
      <c r="C660" s="1250"/>
      <c r="D660" s="1251"/>
      <c r="E660" s="1250"/>
      <c r="F660" s="1252"/>
      <c r="G660" s="991"/>
      <c r="H660" s="1045"/>
      <c r="I660" s="1045"/>
      <c r="J660" s="991"/>
      <c r="K660" s="991"/>
      <c r="L660" s="1045"/>
      <c r="M660" s="991"/>
      <c r="N660" s="991"/>
      <c r="O660" s="991"/>
      <c r="P660" s="1045"/>
      <c r="Q660" s="991"/>
      <c r="R660" s="991"/>
      <c r="S660" s="991"/>
      <c r="T660" s="1045"/>
      <c r="U660" s="991"/>
      <c r="V660" s="991"/>
      <c r="W660" s="991"/>
      <c r="X660" s="1042"/>
    </row>
    <row r="661" spans="1:24" ht="15">
      <c r="A661" s="991"/>
      <c r="B661" s="1249"/>
      <c r="C661" s="1250"/>
      <c r="D661" s="1251"/>
      <c r="E661" s="1250"/>
      <c r="F661" s="1252"/>
      <c r="G661" s="991"/>
      <c r="H661" s="1045"/>
      <c r="I661" s="1045"/>
      <c r="J661" s="991"/>
      <c r="K661" s="991"/>
      <c r="L661" s="1045"/>
      <c r="M661" s="991"/>
      <c r="N661" s="991"/>
      <c r="O661" s="991"/>
      <c r="P661" s="1045"/>
      <c r="Q661" s="991"/>
      <c r="R661" s="991"/>
      <c r="S661" s="991"/>
      <c r="T661" s="1045"/>
      <c r="U661" s="991"/>
      <c r="V661" s="991"/>
      <c r="W661" s="991"/>
      <c r="X661" s="1042"/>
    </row>
    <row r="662" spans="1:24" ht="15">
      <c r="A662" s="991"/>
      <c r="B662" s="1249"/>
      <c r="C662" s="1250"/>
      <c r="D662" s="1251"/>
      <c r="E662" s="1250"/>
      <c r="F662" s="1252"/>
      <c r="G662" s="991"/>
      <c r="H662" s="1045"/>
      <c r="I662" s="1045"/>
      <c r="J662" s="991"/>
      <c r="K662" s="991"/>
      <c r="L662" s="1045"/>
      <c r="M662" s="991"/>
      <c r="N662" s="991"/>
      <c r="O662" s="991"/>
      <c r="P662" s="1045"/>
      <c r="Q662" s="991"/>
      <c r="R662" s="991"/>
      <c r="S662" s="991"/>
      <c r="T662" s="1045"/>
      <c r="U662" s="991"/>
      <c r="V662" s="991"/>
      <c r="W662" s="991"/>
      <c r="X662" s="1042"/>
    </row>
    <row r="663" spans="1:24" ht="15">
      <c r="A663" s="991"/>
      <c r="B663" s="1249"/>
      <c r="C663" s="1250"/>
      <c r="D663" s="1251"/>
      <c r="E663" s="1250"/>
      <c r="F663" s="1252"/>
      <c r="G663" s="991"/>
      <c r="H663" s="1045"/>
      <c r="I663" s="1045"/>
      <c r="J663" s="991"/>
      <c r="K663" s="991"/>
      <c r="L663" s="1045"/>
      <c r="M663" s="991"/>
      <c r="N663" s="991"/>
      <c r="O663" s="991"/>
      <c r="P663" s="1045"/>
      <c r="Q663" s="991"/>
      <c r="R663" s="991"/>
      <c r="S663" s="991"/>
      <c r="T663" s="1045"/>
      <c r="U663" s="991"/>
      <c r="V663" s="991"/>
      <c r="W663" s="991"/>
      <c r="X663" s="1042"/>
    </row>
    <row r="664" spans="1:24" ht="15">
      <c r="A664" s="991"/>
      <c r="B664" s="1249"/>
      <c r="C664" s="1250"/>
      <c r="D664" s="1251"/>
      <c r="E664" s="1250"/>
      <c r="F664" s="1252"/>
      <c r="G664" s="991"/>
      <c r="H664" s="1045"/>
      <c r="I664" s="1045"/>
      <c r="J664" s="991"/>
      <c r="K664" s="991"/>
      <c r="L664" s="1045"/>
      <c r="M664" s="991"/>
      <c r="N664" s="991"/>
      <c r="O664" s="991"/>
      <c r="P664" s="1045"/>
      <c r="Q664" s="991"/>
      <c r="R664" s="991"/>
      <c r="S664" s="991"/>
      <c r="T664" s="1045"/>
      <c r="U664" s="991"/>
      <c r="V664" s="991"/>
      <c r="W664" s="991"/>
      <c r="X664" s="1042"/>
    </row>
    <row r="665" spans="1:24" ht="15">
      <c r="A665" s="991"/>
      <c r="B665" s="1249"/>
      <c r="C665" s="1250"/>
      <c r="D665" s="1251"/>
      <c r="E665" s="1250"/>
      <c r="F665" s="1252"/>
      <c r="G665" s="991"/>
      <c r="H665" s="1045"/>
      <c r="I665" s="1045"/>
      <c r="J665" s="991"/>
      <c r="K665" s="991"/>
      <c r="L665" s="1045"/>
      <c r="M665" s="991"/>
      <c r="N665" s="991"/>
      <c r="O665" s="991"/>
      <c r="P665" s="1045"/>
      <c r="Q665" s="991"/>
      <c r="R665" s="991"/>
      <c r="S665" s="991"/>
      <c r="T665" s="1045"/>
      <c r="U665" s="991"/>
      <c r="V665" s="991"/>
      <c r="W665" s="991"/>
      <c r="X665" s="1042"/>
    </row>
    <row r="666" spans="1:24" ht="15">
      <c r="A666" s="991"/>
      <c r="B666" s="1249"/>
      <c r="C666" s="1250"/>
      <c r="D666" s="1251"/>
      <c r="E666" s="1250"/>
      <c r="F666" s="1252"/>
      <c r="G666" s="991"/>
      <c r="H666" s="1045"/>
      <c r="I666" s="1045"/>
      <c r="J666" s="991"/>
      <c r="K666" s="991"/>
      <c r="L666" s="1045"/>
      <c r="M666" s="991"/>
      <c r="N666" s="991"/>
      <c r="O666" s="991"/>
      <c r="P666" s="1045"/>
      <c r="Q666" s="991"/>
      <c r="R666" s="991"/>
      <c r="S666" s="991"/>
      <c r="T666" s="1045"/>
      <c r="U666" s="991"/>
      <c r="V666" s="991"/>
      <c r="W666" s="991"/>
      <c r="X666" s="1042"/>
    </row>
    <row r="667" spans="1:24" ht="15">
      <c r="A667" s="991"/>
      <c r="B667" s="1249"/>
      <c r="C667" s="1250"/>
      <c r="D667" s="1251"/>
      <c r="E667" s="1250"/>
      <c r="F667" s="1252"/>
      <c r="G667" s="991"/>
      <c r="H667" s="1045"/>
      <c r="I667" s="1045"/>
      <c r="J667" s="991"/>
      <c r="K667" s="991"/>
      <c r="L667" s="1045"/>
      <c r="M667" s="991"/>
      <c r="N667" s="991"/>
      <c r="O667" s="991"/>
      <c r="P667" s="1045"/>
      <c r="Q667" s="991"/>
      <c r="R667" s="991"/>
      <c r="S667" s="991"/>
      <c r="T667" s="1045"/>
      <c r="U667" s="991"/>
      <c r="V667" s="991"/>
      <c r="W667" s="991"/>
      <c r="X667" s="1042"/>
    </row>
    <row r="668" spans="1:24" ht="15">
      <c r="A668" s="991"/>
      <c r="B668" s="1249"/>
      <c r="C668" s="1250"/>
      <c r="D668" s="1251"/>
      <c r="E668" s="1250"/>
      <c r="F668" s="1252"/>
      <c r="G668" s="991"/>
      <c r="H668" s="1045"/>
      <c r="I668" s="1045"/>
      <c r="J668" s="991"/>
      <c r="K668" s="991"/>
      <c r="L668" s="1045"/>
      <c r="M668" s="991"/>
      <c r="N668" s="991"/>
      <c r="O668" s="991"/>
      <c r="P668" s="1045"/>
      <c r="Q668" s="991"/>
      <c r="R668" s="991"/>
      <c r="S668" s="991"/>
      <c r="T668" s="1045"/>
      <c r="U668" s="991"/>
      <c r="V668" s="991"/>
      <c r="W668" s="991"/>
      <c r="X668" s="1042"/>
    </row>
    <row r="669" spans="1:24" ht="15">
      <c r="A669" s="991"/>
      <c r="B669" s="1249"/>
      <c r="C669" s="1250"/>
      <c r="D669" s="1251"/>
      <c r="E669" s="1250"/>
      <c r="F669" s="1252"/>
      <c r="G669" s="991"/>
      <c r="H669" s="1045"/>
      <c r="I669" s="1045"/>
      <c r="J669" s="991"/>
      <c r="K669" s="991"/>
      <c r="L669" s="1045"/>
      <c r="M669" s="991"/>
      <c r="N669" s="991"/>
      <c r="O669" s="991"/>
      <c r="P669" s="1045"/>
      <c r="Q669" s="991"/>
      <c r="R669" s="991"/>
      <c r="S669" s="991"/>
      <c r="T669" s="1045"/>
      <c r="U669" s="991"/>
      <c r="V669" s="991"/>
      <c r="W669" s="991"/>
      <c r="X669" s="1042"/>
    </row>
    <row r="670" spans="1:24" ht="15">
      <c r="A670" s="991"/>
      <c r="B670" s="1249"/>
      <c r="C670" s="1250"/>
      <c r="D670" s="1251"/>
      <c r="E670" s="1250"/>
      <c r="F670" s="1252"/>
      <c r="G670" s="991"/>
      <c r="H670" s="1045"/>
      <c r="I670" s="1045"/>
      <c r="J670" s="991"/>
      <c r="K670" s="991"/>
      <c r="L670" s="1045"/>
      <c r="M670" s="991"/>
      <c r="N670" s="991"/>
      <c r="O670" s="991"/>
      <c r="P670" s="1045"/>
      <c r="Q670" s="991"/>
      <c r="R670" s="991"/>
      <c r="S670" s="991"/>
      <c r="T670" s="1045"/>
      <c r="U670" s="991"/>
      <c r="V670" s="991"/>
      <c r="W670" s="991"/>
      <c r="X670" s="1042"/>
    </row>
    <row r="671" spans="1:24" ht="15">
      <c r="A671" s="991"/>
      <c r="B671" s="1249"/>
      <c r="C671" s="1250"/>
      <c r="D671" s="1251"/>
      <c r="E671" s="1250"/>
      <c r="F671" s="1252"/>
      <c r="G671" s="991"/>
      <c r="H671" s="1045"/>
      <c r="I671" s="1045"/>
      <c r="J671" s="991"/>
      <c r="K671" s="991"/>
      <c r="L671" s="1045"/>
      <c r="M671" s="991"/>
      <c r="N671" s="991"/>
      <c r="O671" s="991"/>
      <c r="P671" s="1045"/>
      <c r="Q671" s="991"/>
      <c r="R671" s="991"/>
      <c r="S671" s="991"/>
      <c r="T671" s="1045"/>
      <c r="U671" s="991"/>
      <c r="V671" s="991"/>
      <c r="W671" s="991"/>
      <c r="X671" s="1042"/>
    </row>
    <row r="672" spans="1:24" ht="15">
      <c r="A672" s="991"/>
      <c r="B672" s="1249"/>
      <c r="C672" s="1250"/>
      <c r="D672" s="1251"/>
      <c r="E672" s="1250"/>
      <c r="F672" s="1252"/>
      <c r="G672" s="991"/>
      <c r="H672" s="1045"/>
      <c r="I672" s="1045"/>
      <c r="J672" s="991"/>
      <c r="K672" s="991"/>
      <c r="L672" s="1045"/>
      <c r="M672" s="991"/>
      <c r="N672" s="991"/>
      <c r="O672" s="991"/>
      <c r="P672" s="1045"/>
      <c r="Q672" s="991"/>
      <c r="R672" s="991"/>
      <c r="S672" s="991"/>
      <c r="T672" s="1045"/>
      <c r="U672" s="991"/>
      <c r="V672" s="991"/>
      <c r="W672" s="991"/>
      <c r="X672" s="1042"/>
    </row>
    <row r="673" spans="1:24" ht="15">
      <c r="A673" s="991"/>
      <c r="B673" s="1249"/>
      <c r="C673" s="1250"/>
      <c r="D673" s="1251"/>
      <c r="E673" s="1250"/>
      <c r="F673" s="1252"/>
      <c r="G673" s="991"/>
      <c r="H673" s="1045"/>
      <c r="I673" s="1045"/>
      <c r="J673" s="991"/>
      <c r="K673" s="991"/>
      <c r="L673" s="1045"/>
      <c r="M673" s="991"/>
      <c r="N673" s="991"/>
      <c r="O673" s="991"/>
      <c r="P673" s="1045"/>
      <c r="Q673" s="991"/>
      <c r="R673" s="991"/>
      <c r="S673" s="991"/>
      <c r="T673" s="1045"/>
      <c r="U673" s="991"/>
      <c r="V673" s="991"/>
      <c r="W673" s="991"/>
      <c r="X673" s="1042"/>
    </row>
    <row r="674" spans="1:24" ht="15">
      <c r="A674" s="991"/>
      <c r="B674" s="1249"/>
      <c r="C674" s="1250"/>
      <c r="D674" s="1251"/>
      <c r="E674" s="1250"/>
      <c r="F674" s="1252"/>
      <c r="G674" s="991"/>
      <c r="H674" s="1045"/>
      <c r="I674" s="1045"/>
      <c r="J674" s="991"/>
      <c r="K674" s="991"/>
      <c r="L674" s="1045"/>
      <c r="M674" s="991"/>
      <c r="N674" s="991"/>
      <c r="O674" s="991"/>
      <c r="P674" s="1045"/>
      <c r="Q674" s="991"/>
      <c r="R674" s="991"/>
      <c r="S674" s="991"/>
      <c r="T674" s="1045"/>
      <c r="U674" s="991"/>
      <c r="V674" s="991"/>
      <c r="W674" s="991"/>
      <c r="X674" s="1042"/>
    </row>
    <row r="675" spans="1:24" ht="15">
      <c r="A675" s="991"/>
      <c r="B675" s="1249"/>
      <c r="C675" s="1250"/>
      <c r="D675" s="1251"/>
      <c r="E675" s="1250"/>
      <c r="F675" s="1252"/>
      <c r="G675" s="991"/>
      <c r="H675" s="1045"/>
      <c r="I675" s="1045"/>
      <c r="J675" s="991"/>
      <c r="K675" s="991"/>
      <c r="L675" s="1045"/>
      <c r="M675" s="991"/>
      <c r="N675" s="991"/>
      <c r="O675" s="991"/>
      <c r="P675" s="1045"/>
      <c r="Q675" s="991"/>
      <c r="R675" s="991"/>
      <c r="S675" s="991"/>
      <c r="T675" s="1045"/>
      <c r="U675" s="991"/>
      <c r="V675" s="991"/>
      <c r="W675" s="991"/>
      <c r="X675" s="1042"/>
    </row>
    <row r="676" spans="1:24" ht="15">
      <c r="A676" s="991"/>
      <c r="B676" s="1249"/>
      <c r="C676" s="1250"/>
      <c r="D676" s="1251"/>
      <c r="E676" s="1250"/>
      <c r="F676" s="1252"/>
      <c r="G676" s="991"/>
      <c r="H676" s="1045"/>
      <c r="I676" s="1045"/>
      <c r="J676" s="991"/>
      <c r="K676" s="991"/>
      <c r="L676" s="1045"/>
      <c r="M676" s="991"/>
      <c r="N676" s="991"/>
      <c r="O676" s="991"/>
      <c r="P676" s="1045"/>
      <c r="Q676" s="991"/>
      <c r="R676" s="991"/>
      <c r="S676" s="991"/>
      <c r="T676" s="1045"/>
      <c r="U676" s="991"/>
      <c r="V676" s="991"/>
      <c r="W676" s="991"/>
      <c r="X676" s="1042"/>
    </row>
    <row r="677" spans="1:24" ht="15">
      <c r="A677" s="991"/>
      <c r="B677" s="1249"/>
      <c r="C677" s="1250"/>
      <c r="D677" s="1251"/>
      <c r="E677" s="1250"/>
      <c r="F677" s="1252"/>
      <c r="G677" s="991"/>
      <c r="H677" s="1045"/>
      <c r="I677" s="1045"/>
      <c r="J677" s="991"/>
      <c r="K677" s="991"/>
      <c r="L677" s="1045"/>
      <c r="M677" s="991"/>
      <c r="N677" s="991"/>
      <c r="O677" s="991"/>
      <c r="P677" s="1045"/>
      <c r="Q677" s="991"/>
      <c r="R677" s="991"/>
      <c r="S677" s="991"/>
      <c r="T677" s="1045"/>
      <c r="U677" s="991"/>
      <c r="V677" s="991"/>
      <c r="W677" s="991"/>
      <c r="X677" s="1042"/>
    </row>
    <row r="678" spans="1:24" ht="15">
      <c r="A678" s="991"/>
      <c r="B678" s="1249"/>
      <c r="C678" s="1250"/>
      <c r="D678" s="1251"/>
      <c r="E678" s="1250"/>
      <c r="F678" s="1252"/>
      <c r="G678" s="991"/>
      <c r="H678" s="1045"/>
      <c r="I678" s="1045"/>
      <c r="J678" s="991"/>
      <c r="K678" s="991"/>
      <c r="L678" s="1045"/>
      <c r="M678" s="991"/>
      <c r="N678" s="991"/>
      <c r="O678" s="991"/>
      <c r="P678" s="1045"/>
      <c r="Q678" s="991"/>
      <c r="R678" s="991"/>
      <c r="S678" s="991"/>
      <c r="T678" s="1045"/>
      <c r="U678" s="991"/>
      <c r="V678" s="991"/>
      <c r="W678" s="991"/>
      <c r="X678" s="1042"/>
    </row>
    <row r="679" spans="1:24" ht="15">
      <c r="A679" s="991"/>
      <c r="B679" s="1249"/>
      <c r="C679" s="1250"/>
      <c r="D679" s="1251"/>
      <c r="E679" s="1250"/>
      <c r="F679" s="1252"/>
      <c r="G679" s="991"/>
      <c r="H679" s="1045"/>
      <c r="I679" s="1045"/>
      <c r="J679" s="991"/>
      <c r="K679" s="991"/>
      <c r="L679" s="1045"/>
      <c r="M679" s="991"/>
      <c r="N679" s="991"/>
      <c r="O679" s="991"/>
      <c r="P679" s="1045"/>
      <c r="Q679" s="991"/>
      <c r="R679" s="991"/>
      <c r="S679" s="991"/>
      <c r="T679" s="1045"/>
      <c r="U679" s="991"/>
      <c r="V679" s="991"/>
      <c r="W679" s="991"/>
      <c r="X679" s="1042"/>
    </row>
    <row r="680" spans="1:24" ht="15">
      <c r="A680" s="991"/>
      <c r="B680" s="1249"/>
      <c r="C680" s="1250"/>
      <c r="D680" s="1251"/>
      <c r="E680" s="1250"/>
      <c r="F680" s="1252"/>
      <c r="G680" s="991"/>
      <c r="H680" s="1045"/>
      <c r="I680" s="1045"/>
      <c r="J680" s="991"/>
      <c r="K680" s="991"/>
      <c r="L680" s="1045"/>
      <c r="M680" s="991"/>
      <c r="N680" s="991"/>
      <c r="O680" s="991"/>
      <c r="P680" s="1045"/>
      <c r="Q680" s="991"/>
      <c r="R680" s="991"/>
      <c r="S680" s="991"/>
      <c r="T680" s="1045"/>
      <c r="U680" s="991"/>
      <c r="V680" s="991"/>
      <c r="W680" s="991"/>
      <c r="X680" s="1042"/>
    </row>
    <row r="681" spans="1:24" ht="15">
      <c r="A681" s="991"/>
      <c r="B681" s="1249"/>
      <c r="C681" s="1250"/>
      <c r="D681" s="1251"/>
      <c r="E681" s="1250"/>
      <c r="F681" s="1252"/>
      <c r="G681" s="991"/>
      <c r="H681" s="1045"/>
      <c r="I681" s="1045"/>
      <c r="J681" s="991"/>
      <c r="K681" s="991"/>
      <c r="L681" s="1045"/>
      <c r="M681" s="991"/>
      <c r="N681" s="991"/>
      <c r="O681" s="991"/>
      <c r="P681" s="1045"/>
      <c r="Q681" s="991"/>
      <c r="R681" s="991"/>
      <c r="S681" s="991"/>
      <c r="T681" s="1045"/>
      <c r="U681" s="991"/>
      <c r="V681" s="991"/>
      <c r="W681" s="991"/>
      <c r="X681" s="1042"/>
    </row>
    <row r="682" spans="1:24" ht="15">
      <c r="A682" s="991"/>
      <c r="B682" s="1249"/>
      <c r="C682" s="1250"/>
      <c r="D682" s="1251"/>
      <c r="E682" s="1250"/>
      <c r="F682" s="1252"/>
      <c r="G682" s="991"/>
      <c r="H682" s="1045"/>
      <c r="I682" s="1045"/>
      <c r="J682" s="991"/>
      <c r="K682" s="991"/>
      <c r="L682" s="1045"/>
      <c r="M682" s="991"/>
      <c r="N682" s="991"/>
      <c r="O682" s="991"/>
      <c r="P682" s="1045"/>
      <c r="Q682" s="991"/>
      <c r="R682" s="991"/>
      <c r="S682" s="991"/>
      <c r="T682" s="1045"/>
      <c r="U682" s="991"/>
      <c r="V682" s="991"/>
      <c r="W682" s="991"/>
      <c r="X682" s="1042"/>
    </row>
    <row r="683" spans="1:24" ht="15">
      <c r="A683" s="991"/>
      <c r="B683" s="1249"/>
      <c r="C683" s="1250"/>
      <c r="D683" s="1251"/>
      <c r="E683" s="1250"/>
      <c r="F683" s="1252"/>
      <c r="G683" s="991"/>
      <c r="H683" s="1045"/>
      <c r="I683" s="1045"/>
      <c r="J683" s="991"/>
      <c r="K683" s="991"/>
      <c r="L683" s="1045"/>
      <c r="M683" s="991"/>
      <c r="N683" s="991"/>
      <c r="O683" s="991"/>
      <c r="P683" s="1045"/>
      <c r="Q683" s="991"/>
      <c r="R683" s="991"/>
      <c r="S683" s="991"/>
      <c r="T683" s="1045"/>
      <c r="U683" s="991"/>
      <c r="V683" s="991"/>
      <c r="W683" s="991"/>
      <c r="X683" s="1042"/>
    </row>
    <row r="684" spans="1:24" ht="15">
      <c r="A684" s="991"/>
      <c r="B684" s="1249"/>
      <c r="C684" s="1250"/>
      <c r="D684" s="1251"/>
      <c r="E684" s="1250"/>
      <c r="F684" s="1252"/>
      <c r="G684" s="991"/>
      <c r="H684" s="1045"/>
      <c r="I684" s="1045"/>
      <c r="J684" s="991"/>
      <c r="K684" s="991"/>
      <c r="L684" s="1045"/>
      <c r="M684" s="991"/>
      <c r="N684" s="991"/>
      <c r="O684" s="991"/>
      <c r="P684" s="1045"/>
      <c r="Q684" s="991"/>
      <c r="R684" s="991"/>
      <c r="S684" s="991"/>
      <c r="T684" s="1045"/>
      <c r="U684" s="991"/>
      <c r="V684" s="991"/>
      <c r="W684" s="991"/>
      <c r="X684" s="1042"/>
    </row>
    <row r="685" spans="1:24" ht="15">
      <c r="A685" s="991"/>
      <c r="B685" s="1249"/>
      <c r="C685" s="1250"/>
      <c r="D685" s="1251"/>
      <c r="E685" s="1250"/>
      <c r="F685" s="1252"/>
      <c r="G685" s="991"/>
      <c r="H685" s="1045"/>
      <c r="I685" s="1045"/>
      <c r="J685" s="991"/>
      <c r="K685" s="991"/>
      <c r="L685" s="1045"/>
      <c r="M685" s="991"/>
      <c r="N685" s="991"/>
      <c r="O685" s="991"/>
      <c r="P685" s="1045"/>
      <c r="Q685" s="991"/>
      <c r="R685" s="991"/>
      <c r="S685" s="991"/>
      <c r="T685" s="1045"/>
      <c r="U685" s="991"/>
      <c r="V685" s="991"/>
      <c r="W685" s="991"/>
      <c r="X685" s="1042"/>
    </row>
    <row r="686" spans="1:24" ht="15">
      <c r="A686" s="991"/>
      <c r="B686" s="1249"/>
      <c r="C686" s="1250"/>
      <c r="D686" s="1251"/>
      <c r="E686" s="1250"/>
      <c r="F686" s="1252"/>
      <c r="G686" s="991"/>
      <c r="H686" s="1045"/>
      <c r="I686" s="1045"/>
      <c r="J686" s="991"/>
      <c r="K686" s="991"/>
      <c r="L686" s="1045"/>
      <c r="M686" s="991"/>
      <c r="N686" s="991"/>
      <c r="O686" s="991"/>
      <c r="P686" s="1045"/>
      <c r="Q686" s="991"/>
      <c r="R686" s="991"/>
      <c r="S686" s="991"/>
      <c r="T686" s="1045"/>
      <c r="U686" s="991"/>
      <c r="V686" s="991"/>
      <c r="W686" s="991"/>
      <c r="X686" s="1042"/>
    </row>
    <row r="687" spans="1:24" ht="15">
      <c r="A687" s="991"/>
      <c r="B687" s="1249"/>
      <c r="C687" s="1250"/>
      <c r="D687" s="1251"/>
      <c r="E687" s="1250"/>
      <c r="F687" s="1252"/>
      <c r="G687" s="991"/>
      <c r="H687" s="1045"/>
      <c r="I687" s="1045"/>
      <c r="J687" s="991"/>
      <c r="K687" s="991"/>
      <c r="L687" s="1045"/>
      <c r="M687" s="991"/>
      <c r="N687" s="991"/>
      <c r="O687" s="991"/>
      <c r="P687" s="1045"/>
      <c r="Q687" s="991"/>
      <c r="R687" s="991"/>
      <c r="S687" s="991"/>
      <c r="T687" s="1045"/>
      <c r="U687" s="991"/>
      <c r="V687" s="991"/>
      <c r="W687" s="991"/>
      <c r="X687" s="1042"/>
    </row>
    <row r="688" spans="1:24" ht="15">
      <c r="A688" s="991"/>
      <c r="B688" s="1249"/>
      <c r="C688" s="1250"/>
      <c r="D688" s="1251"/>
      <c r="E688" s="1250"/>
      <c r="F688" s="1252"/>
      <c r="G688" s="991"/>
      <c r="H688" s="1045"/>
      <c r="I688" s="1045"/>
      <c r="J688" s="991"/>
      <c r="K688" s="991"/>
      <c r="L688" s="1045"/>
      <c r="M688" s="991"/>
      <c r="N688" s="991"/>
      <c r="O688" s="991"/>
      <c r="P688" s="1045"/>
      <c r="Q688" s="991"/>
      <c r="R688" s="991"/>
      <c r="S688" s="991"/>
      <c r="T688" s="1045"/>
      <c r="U688" s="991"/>
      <c r="V688" s="991"/>
      <c r="W688" s="991"/>
      <c r="X688" s="1042"/>
    </row>
    <row r="689" spans="1:24" ht="15">
      <c r="A689" s="991"/>
      <c r="B689" s="1249"/>
      <c r="C689" s="1250"/>
      <c r="D689" s="1251"/>
      <c r="E689" s="1250"/>
      <c r="F689" s="1252"/>
      <c r="G689" s="991"/>
      <c r="H689" s="1045"/>
      <c r="I689" s="1045"/>
      <c r="J689" s="991"/>
      <c r="K689" s="991"/>
      <c r="L689" s="1045"/>
      <c r="M689" s="991"/>
      <c r="N689" s="991"/>
      <c r="O689" s="991"/>
      <c r="P689" s="1045"/>
      <c r="Q689" s="991"/>
      <c r="R689" s="991"/>
      <c r="S689" s="991"/>
      <c r="T689" s="1045"/>
      <c r="U689" s="991"/>
      <c r="V689" s="991"/>
      <c r="W689" s="991"/>
      <c r="X689" s="1042"/>
    </row>
    <row r="690" spans="1:24" ht="15">
      <c r="A690" s="991"/>
      <c r="B690" s="1249"/>
      <c r="C690" s="1250"/>
      <c r="D690" s="1251"/>
      <c r="E690" s="1250"/>
      <c r="F690" s="1252"/>
      <c r="G690" s="991"/>
      <c r="H690" s="1045"/>
      <c r="I690" s="1045"/>
      <c r="J690" s="991"/>
      <c r="K690" s="991"/>
      <c r="L690" s="1045"/>
      <c r="M690" s="991"/>
      <c r="N690" s="991"/>
      <c r="O690" s="991"/>
      <c r="P690" s="1045"/>
      <c r="Q690" s="991"/>
      <c r="R690" s="991"/>
      <c r="S690" s="991"/>
      <c r="T690" s="1045"/>
      <c r="U690" s="991"/>
      <c r="V690" s="991"/>
      <c r="W690" s="991"/>
      <c r="X690" s="1042"/>
    </row>
    <row r="691" spans="1:24" ht="15">
      <c r="A691" s="991"/>
      <c r="B691" s="1249"/>
      <c r="C691" s="1250"/>
      <c r="D691" s="1251"/>
      <c r="E691" s="1250"/>
      <c r="F691" s="1252"/>
      <c r="G691" s="991"/>
      <c r="H691" s="1045"/>
      <c r="I691" s="1045"/>
      <c r="J691" s="991"/>
      <c r="K691" s="991"/>
      <c r="L691" s="1045"/>
      <c r="M691" s="991"/>
      <c r="N691" s="991"/>
      <c r="O691" s="991"/>
      <c r="P691" s="1045"/>
      <c r="Q691" s="991"/>
      <c r="R691" s="991"/>
      <c r="S691" s="991"/>
      <c r="T691" s="1045"/>
      <c r="U691" s="991"/>
      <c r="V691" s="991"/>
      <c r="W691" s="991"/>
      <c r="X691" s="1042"/>
    </row>
    <row r="692" spans="1:24" ht="15">
      <c r="A692" s="991"/>
      <c r="B692" s="1249"/>
      <c r="C692" s="1250"/>
      <c r="D692" s="1251"/>
      <c r="E692" s="1250"/>
      <c r="F692" s="1252"/>
      <c r="G692" s="991"/>
      <c r="H692" s="1045"/>
      <c r="I692" s="1045"/>
      <c r="J692" s="991"/>
      <c r="K692" s="991"/>
      <c r="L692" s="1045"/>
      <c r="M692" s="991"/>
      <c r="N692" s="991"/>
      <c r="O692" s="991"/>
      <c r="P692" s="1045"/>
      <c r="Q692" s="991"/>
      <c r="R692" s="991"/>
      <c r="S692" s="991"/>
      <c r="T692" s="1045"/>
      <c r="U692" s="991"/>
      <c r="V692" s="991"/>
      <c r="W692" s="991"/>
      <c r="X692" s="1042"/>
    </row>
    <row r="693" spans="1:24" ht="15">
      <c r="A693" s="991"/>
      <c r="B693" s="1249"/>
      <c r="C693" s="1250"/>
      <c r="D693" s="1251"/>
      <c r="E693" s="1250"/>
      <c r="F693" s="1252"/>
      <c r="G693" s="991"/>
      <c r="H693" s="1045"/>
      <c r="I693" s="1045"/>
      <c r="J693" s="991"/>
      <c r="K693" s="991"/>
      <c r="L693" s="1045"/>
      <c r="M693" s="991"/>
      <c r="N693" s="991"/>
      <c r="O693" s="991"/>
      <c r="P693" s="1045"/>
      <c r="Q693" s="991"/>
      <c r="R693" s="991"/>
      <c r="S693" s="991"/>
      <c r="T693" s="1045"/>
      <c r="U693" s="991"/>
      <c r="V693" s="991"/>
      <c r="W693" s="991"/>
      <c r="X693" s="1042"/>
    </row>
    <row r="694" spans="1:24" ht="15">
      <c r="A694" s="991"/>
      <c r="B694" s="1249"/>
      <c r="C694" s="1250"/>
      <c r="D694" s="1251"/>
      <c r="E694" s="1250"/>
      <c r="F694" s="1252"/>
      <c r="G694" s="991"/>
      <c r="H694" s="1045"/>
      <c r="I694" s="1045"/>
      <c r="J694" s="991"/>
      <c r="K694" s="991"/>
      <c r="L694" s="1045"/>
      <c r="M694" s="991"/>
      <c r="N694" s="991"/>
      <c r="O694" s="991"/>
      <c r="P694" s="1045"/>
      <c r="Q694" s="991"/>
      <c r="R694" s="991"/>
      <c r="S694" s="991"/>
      <c r="T694" s="1045"/>
      <c r="U694" s="991"/>
      <c r="V694" s="991"/>
      <c r="W694" s="991"/>
      <c r="X694" s="1042"/>
    </row>
    <row r="695" spans="1:24" ht="15">
      <c r="A695" s="991"/>
      <c r="B695" s="1249"/>
      <c r="C695" s="1250"/>
      <c r="D695" s="1251"/>
      <c r="E695" s="1250"/>
      <c r="F695" s="1252"/>
      <c r="G695" s="991"/>
      <c r="H695" s="1045"/>
      <c r="I695" s="1045"/>
      <c r="J695" s="991"/>
      <c r="K695" s="991"/>
      <c r="L695" s="1045"/>
      <c r="M695" s="991"/>
      <c r="N695" s="991"/>
      <c r="O695" s="991"/>
      <c r="P695" s="1045"/>
      <c r="Q695" s="991"/>
      <c r="R695" s="991"/>
      <c r="S695" s="991"/>
      <c r="T695" s="1045"/>
      <c r="U695" s="991"/>
      <c r="V695" s="991"/>
      <c r="W695" s="991"/>
      <c r="X695" s="1042"/>
    </row>
    <row r="696" spans="1:24" ht="15">
      <c r="A696" s="991"/>
      <c r="B696" s="1249"/>
      <c r="C696" s="1250"/>
      <c r="D696" s="1251"/>
      <c r="E696" s="1250"/>
      <c r="F696" s="1252"/>
      <c r="G696" s="991"/>
      <c r="H696" s="1045"/>
      <c r="I696" s="1045"/>
      <c r="J696" s="991"/>
      <c r="K696" s="991"/>
      <c r="L696" s="1045"/>
      <c r="M696" s="991"/>
      <c r="N696" s="991"/>
      <c r="O696" s="991"/>
      <c r="P696" s="1045"/>
      <c r="Q696" s="991"/>
      <c r="R696" s="991"/>
      <c r="S696" s="991"/>
      <c r="T696" s="1045"/>
      <c r="U696" s="991"/>
      <c r="V696" s="991"/>
      <c r="W696" s="991"/>
      <c r="X696" s="1042"/>
    </row>
    <row r="697" spans="1:24" ht="15">
      <c r="A697" s="991"/>
      <c r="B697" s="1249"/>
      <c r="C697" s="1250"/>
      <c r="D697" s="1251"/>
      <c r="E697" s="1250"/>
      <c r="F697" s="1252"/>
      <c r="G697" s="991"/>
      <c r="H697" s="1045"/>
      <c r="I697" s="1045"/>
      <c r="J697" s="991"/>
      <c r="K697" s="991"/>
      <c r="L697" s="1045"/>
      <c r="M697" s="991"/>
      <c r="N697" s="991"/>
      <c r="O697" s="991"/>
      <c r="P697" s="1045"/>
      <c r="Q697" s="991"/>
      <c r="R697" s="991"/>
      <c r="S697" s="991"/>
      <c r="T697" s="1045"/>
      <c r="U697" s="991"/>
      <c r="V697" s="991"/>
      <c r="W697" s="991"/>
      <c r="X697" s="1042"/>
    </row>
    <row r="698" spans="1:24" ht="15">
      <c r="A698" s="991"/>
      <c r="B698" s="1249"/>
      <c r="C698" s="1250"/>
      <c r="D698" s="1251"/>
      <c r="E698" s="1250"/>
      <c r="F698" s="1252"/>
      <c r="G698" s="991"/>
      <c r="H698" s="1045"/>
      <c r="I698" s="1045"/>
      <c r="J698" s="991"/>
      <c r="K698" s="991"/>
      <c r="L698" s="1045"/>
      <c r="M698" s="991"/>
      <c r="N698" s="991"/>
      <c r="O698" s="991"/>
      <c r="P698" s="1045"/>
      <c r="Q698" s="991"/>
      <c r="R698" s="991"/>
      <c r="S698" s="991"/>
      <c r="T698" s="1045"/>
      <c r="U698" s="991"/>
      <c r="V698" s="991"/>
      <c r="W698" s="991"/>
      <c r="X698" s="1042"/>
    </row>
    <row r="699" spans="1:24" ht="15">
      <c r="A699" s="991"/>
      <c r="B699" s="1249"/>
      <c r="C699" s="1250"/>
      <c r="D699" s="1251"/>
      <c r="E699" s="1250"/>
      <c r="F699" s="1252"/>
      <c r="G699" s="991"/>
      <c r="H699" s="1045"/>
      <c r="I699" s="1045"/>
      <c r="J699" s="991"/>
      <c r="K699" s="991"/>
      <c r="L699" s="1045"/>
      <c r="M699" s="991"/>
      <c r="N699" s="991"/>
      <c r="O699" s="991"/>
      <c r="P699" s="1045"/>
      <c r="Q699" s="991"/>
      <c r="R699" s="991"/>
      <c r="S699" s="991"/>
      <c r="T699" s="1045"/>
      <c r="U699" s="991"/>
      <c r="V699" s="991"/>
      <c r="W699" s="991"/>
      <c r="X699" s="1042"/>
    </row>
    <row r="700" spans="1:24" ht="15">
      <c r="A700" s="991"/>
      <c r="B700" s="1249"/>
      <c r="C700" s="1250"/>
      <c r="D700" s="1251"/>
      <c r="E700" s="1250"/>
      <c r="F700" s="1252"/>
      <c r="G700" s="991"/>
      <c r="H700" s="1045"/>
      <c r="I700" s="1045"/>
      <c r="J700" s="991"/>
      <c r="K700" s="991"/>
      <c r="L700" s="1045"/>
      <c r="M700" s="991"/>
      <c r="N700" s="991"/>
      <c r="O700" s="991"/>
      <c r="P700" s="1045"/>
      <c r="Q700" s="991"/>
      <c r="R700" s="991"/>
      <c r="S700" s="991"/>
      <c r="T700" s="1045"/>
      <c r="U700" s="991"/>
      <c r="V700" s="991"/>
      <c r="W700" s="991"/>
      <c r="X700" s="1042"/>
    </row>
    <row r="701" spans="1:24" ht="15">
      <c r="A701" s="991"/>
      <c r="B701" s="1249"/>
      <c r="C701" s="1250"/>
      <c r="D701" s="1251"/>
      <c r="E701" s="1250"/>
      <c r="F701" s="1252"/>
      <c r="G701" s="991"/>
      <c r="H701" s="1045"/>
      <c r="I701" s="1045"/>
      <c r="J701" s="991"/>
      <c r="K701" s="991"/>
      <c r="L701" s="1045"/>
      <c r="M701" s="991"/>
      <c r="N701" s="991"/>
      <c r="O701" s="991"/>
      <c r="P701" s="1045"/>
      <c r="Q701" s="991"/>
      <c r="R701" s="991"/>
      <c r="S701" s="991"/>
      <c r="T701" s="1045"/>
      <c r="U701" s="991"/>
      <c r="V701" s="991"/>
      <c r="W701" s="991"/>
      <c r="X701" s="1042"/>
    </row>
    <row r="702" spans="1:24" ht="15">
      <c r="A702" s="991"/>
      <c r="B702" s="1249"/>
      <c r="C702" s="1250"/>
      <c r="D702" s="1251"/>
      <c r="E702" s="1250"/>
      <c r="F702" s="1252"/>
      <c r="G702" s="991"/>
      <c r="H702" s="1045"/>
      <c r="I702" s="1045"/>
      <c r="J702" s="991"/>
      <c r="K702" s="991"/>
      <c r="L702" s="1045"/>
      <c r="M702" s="991"/>
      <c r="N702" s="991"/>
      <c r="O702" s="991"/>
      <c r="P702" s="1045"/>
      <c r="Q702" s="991"/>
      <c r="R702" s="991"/>
      <c r="S702" s="991"/>
      <c r="T702" s="1045"/>
      <c r="U702" s="991"/>
      <c r="V702" s="991"/>
      <c r="W702" s="991"/>
      <c r="X702" s="1042"/>
    </row>
    <row r="703" spans="1:24" ht="15">
      <c r="A703" s="991"/>
      <c r="B703" s="1249"/>
      <c r="C703" s="1250"/>
      <c r="D703" s="1251"/>
      <c r="E703" s="1250"/>
      <c r="F703" s="1252"/>
      <c r="G703" s="991"/>
      <c r="H703" s="1045"/>
      <c r="I703" s="1045"/>
      <c r="J703" s="991"/>
      <c r="K703" s="991"/>
      <c r="L703" s="1045"/>
      <c r="M703" s="991"/>
      <c r="N703" s="991"/>
      <c r="O703" s="991"/>
      <c r="P703" s="1045"/>
      <c r="Q703" s="991"/>
      <c r="R703" s="991"/>
      <c r="S703" s="991"/>
      <c r="T703" s="1045"/>
      <c r="U703" s="991"/>
      <c r="V703" s="991"/>
      <c r="W703" s="991"/>
      <c r="X703" s="1042"/>
    </row>
    <row r="704" spans="1:24" ht="15">
      <c r="A704" s="991"/>
      <c r="B704" s="1249"/>
      <c r="C704" s="1250"/>
      <c r="D704" s="1251"/>
      <c r="E704" s="1250"/>
      <c r="F704" s="1252"/>
      <c r="G704" s="991"/>
      <c r="H704" s="1045"/>
      <c r="I704" s="1045"/>
      <c r="J704" s="991"/>
      <c r="K704" s="991"/>
      <c r="L704" s="1045"/>
      <c r="M704" s="991"/>
      <c r="N704" s="991"/>
      <c r="O704" s="991"/>
      <c r="P704" s="1045"/>
      <c r="Q704" s="991"/>
      <c r="R704" s="991"/>
      <c r="S704" s="991"/>
      <c r="T704" s="1045"/>
      <c r="U704" s="991"/>
      <c r="V704" s="991"/>
      <c r="W704" s="991"/>
      <c r="X704" s="1042"/>
    </row>
    <row r="705" spans="1:24" ht="15">
      <c r="A705" s="991"/>
      <c r="B705" s="1249"/>
      <c r="C705" s="1250"/>
      <c r="D705" s="1251"/>
      <c r="E705" s="1250"/>
      <c r="F705" s="1252"/>
      <c r="G705" s="991"/>
      <c r="H705" s="1045"/>
      <c r="I705" s="1045"/>
      <c r="J705" s="991"/>
      <c r="K705" s="991"/>
      <c r="L705" s="1045"/>
      <c r="M705" s="991"/>
      <c r="N705" s="991"/>
      <c r="O705" s="991"/>
      <c r="P705" s="1045"/>
      <c r="Q705" s="991"/>
      <c r="R705" s="991"/>
      <c r="S705" s="991"/>
      <c r="T705" s="1045"/>
      <c r="U705" s="991"/>
      <c r="V705" s="991"/>
      <c r="W705" s="991"/>
      <c r="X705" s="1042"/>
    </row>
    <row r="706" spans="1:24" ht="15">
      <c r="A706" s="991"/>
      <c r="B706" s="1249"/>
      <c r="C706" s="1250"/>
      <c r="D706" s="1251"/>
      <c r="E706" s="1250"/>
      <c r="F706" s="1252"/>
      <c r="G706" s="991"/>
      <c r="H706" s="1045"/>
      <c r="I706" s="1045"/>
      <c r="J706" s="991"/>
      <c r="K706" s="991"/>
      <c r="L706" s="1045"/>
      <c r="M706" s="991"/>
      <c r="N706" s="991"/>
      <c r="O706" s="991"/>
      <c r="P706" s="1045"/>
      <c r="Q706" s="991"/>
      <c r="R706" s="991"/>
      <c r="S706" s="991"/>
      <c r="T706" s="1045"/>
      <c r="U706" s="991"/>
      <c r="V706" s="991"/>
      <c r="W706" s="991"/>
      <c r="X706" s="1042"/>
    </row>
    <row r="707" spans="1:24" ht="15">
      <c r="A707" s="991"/>
      <c r="B707" s="1249"/>
      <c r="C707" s="1250"/>
      <c r="D707" s="1251"/>
      <c r="E707" s="1250"/>
      <c r="F707" s="1252"/>
      <c r="G707" s="991"/>
      <c r="H707" s="1045"/>
      <c r="I707" s="1045"/>
      <c r="J707" s="991"/>
      <c r="K707" s="991"/>
      <c r="L707" s="1045"/>
      <c r="M707" s="991"/>
      <c r="N707" s="991"/>
      <c r="O707" s="991"/>
      <c r="P707" s="1045"/>
      <c r="Q707" s="991"/>
      <c r="R707" s="991"/>
      <c r="S707" s="991"/>
      <c r="T707" s="1045"/>
      <c r="U707" s="991"/>
      <c r="V707" s="991"/>
      <c r="W707" s="991"/>
      <c r="X707" s="1042"/>
    </row>
    <row r="708" spans="1:24" ht="15">
      <c r="A708" s="991"/>
      <c r="B708" s="1249"/>
      <c r="C708" s="1250"/>
      <c r="D708" s="1251"/>
      <c r="E708" s="1250"/>
      <c r="F708" s="1252"/>
      <c r="G708" s="991"/>
      <c r="H708" s="1045"/>
      <c r="I708" s="1045"/>
      <c r="J708" s="991"/>
      <c r="K708" s="991"/>
      <c r="L708" s="1045"/>
      <c r="M708" s="991"/>
      <c r="N708" s="991"/>
      <c r="O708" s="991"/>
      <c r="P708" s="1045"/>
      <c r="Q708" s="991"/>
      <c r="R708" s="991"/>
      <c r="S708" s="991"/>
      <c r="T708" s="1045"/>
      <c r="U708" s="991"/>
      <c r="V708" s="991"/>
      <c r="W708" s="991"/>
      <c r="X708" s="1042"/>
    </row>
    <row r="709" spans="1:24" ht="15">
      <c r="A709" s="991"/>
      <c r="B709" s="1249"/>
      <c r="C709" s="1250"/>
      <c r="D709" s="1251"/>
      <c r="E709" s="1250"/>
      <c r="F709" s="1252"/>
      <c r="G709" s="991"/>
      <c r="H709" s="1045"/>
      <c r="I709" s="1045"/>
      <c r="J709" s="991"/>
      <c r="K709" s="991"/>
      <c r="L709" s="1045"/>
      <c r="M709" s="991"/>
      <c r="N709" s="991"/>
      <c r="O709" s="991"/>
      <c r="P709" s="1045"/>
      <c r="Q709" s="991"/>
      <c r="R709" s="991"/>
      <c r="S709" s="991"/>
      <c r="T709" s="1045"/>
      <c r="U709" s="991"/>
      <c r="V709" s="991"/>
      <c r="W709" s="991"/>
      <c r="X709" s="1042"/>
    </row>
    <row r="710" spans="1:24" ht="15">
      <c r="A710" s="991"/>
      <c r="B710" s="1249"/>
      <c r="C710" s="1250"/>
      <c r="D710" s="1251"/>
      <c r="E710" s="1250"/>
      <c r="F710" s="1252"/>
      <c r="G710" s="991"/>
      <c r="H710" s="1045"/>
      <c r="I710" s="1045"/>
      <c r="J710" s="991"/>
      <c r="K710" s="991"/>
      <c r="L710" s="1045"/>
      <c r="M710" s="991"/>
      <c r="N710" s="991"/>
      <c r="O710" s="991"/>
      <c r="P710" s="1045"/>
      <c r="Q710" s="991"/>
      <c r="R710" s="991"/>
      <c r="S710" s="991"/>
      <c r="T710" s="1045"/>
      <c r="U710" s="991"/>
      <c r="V710" s="991"/>
      <c r="W710" s="991"/>
      <c r="X710" s="1042"/>
    </row>
    <row r="711" spans="1:24" ht="15">
      <c r="A711" s="991"/>
      <c r="B711" s="1249"/>
      <c r="C711" s="1250"/>
      <c r="D711" s="1251"/>
      <c r="E711" s="1250"/>
      <c r="F711" s="1252"/>
      <c r="G711" s="991"/>
      <c r="H711" s="1045"/>
      <c r="I711" s="1045"/>
      <c r="J711" s="991"/>
      <c r="K711" s="991"/>
      <c r="L711" s="1045"/>
      <c r="M711" s="991"/>
      <c r="N711" s="991"/>
      <c r="O711" s="991"/>
      <c r="P711" s="1045"/>
      <c r="Q711" s="991"/>
      <c r="R711" s="991"/>
      <c r="S711" s="991"/>
      <c r="T711" s="1045"/>
      <c r="U711" s="991"/>
      <c r="V711" s="991"/>
      <c r="W711" s="991"/>
      <c r="X711" s="1042"/>
    </row>
    <row r="712" spans="1:24" ht="15">
      <c r="A712" s="991"/>
      <c r="B712" s="1249"/>
      <c r="C712" s="1250"/>
      <c r="D712" s="1251"/>
      <c r="E712" s="1250"/>
      <c r="F712" s="1252"/>
      <c r="G712" s="991"/>
      <c r="H712" s="1045"/>
      <c r="I712" s="1045"/>
      <c r="J712" s="991"/>
      <c r="K712" s="991"/>
      <c r="L712" s="1045"/>
      <c r="M712" s="991"/>
      <c r="N712" s="991"/>
      <c r="O712" s="991"/>
      <c r="P712" s="1045"/>
      <c r="Q712" s="991"/>
      <c r="R712" s="991"/>
      <c r="S712" s="991"/>
      <c r="T712" s="1045"/>
      <c r="U712" s="991"/>
      <c r="V712" s="991"/>
      <c r="W712" s="991"/>
      <c r="X712" s="1042"/>
    </row>
    <row r="713" spans="1:24" ht="15">
      <c r="A713" s="991"/>
      <c r="B713" s="1249"/>
      <c r="C713" s="1250"/>
      <c r="D713" s="1251"/>
      <c r="E713" s="1250"/>
      <c r="F713" s="1252"/>
      <c r="G713" s="991"/>
      <c r="H713" s="1045"/>
      <c r="I713" s="1045"/>
      <c r="J713" s="991"/>
      <c r="K713" s="991"/>
      <c r="L713" s="1045"/>
      <c r="M713" s="991"/>
      <c r="N713" s="991"/>
      <c r="O713" s="991"/>
      <c r="P713" s="1045"/>
      <c r="Q713" s="991"/>
      <c r="R713" s="991"/>
      <c r="S713" s="991"/>
      <c r="T713" s="1045"/>
      <c r="U713" s="991"/>
      <c r="V713" s="991"/>
      <c r="W713" s="991"/>
      <c r="X713" s="1042"/>
    </row>
    <row r="714" spans="1:24" ht="15">
      <c r="A714" s="991"/>
      <c r="B714" s="1249"/>
      <c r="C714" s="1250"/>
      <c r="D714" s="1251"/>
      <c r="E714" s="1250"/>
      <c r="F714" s="1252"/>
      <c r="G714" s="991"/>
      <c r="H714" s="1045"/>
      <c r="I714" s="1045"/>
      <c r="J714" s="991"/>
      <c r="K714" s="991"/>
      <c r="L714" s="1045"/>
      <c r="M714" s="991"/>
      <c r="N714" s="991"/>
      <c r="O714" s="991"/>
      <c r="P714" s="1045"/>
      <c r="Q714" s="991"/>
      <c r="R714" s="991"/>
      <c r="S714" s="991"/>
      <c r="T714" s="1045"/>
      <c r="U714" s="991"/>
      <c r="V714" s="991"/>
      <c r="W714" s="991"/>
      <c r="X714" s="1042"/>
    </row>
    <row r="715" spans="1:24" ht="15">
      <c r="A715" s="991"/>
      <c r="B715" s="1249"/>
      <c r="C715" s="1250"/>
      <c r="D715" s="1251"/>
      <c r="E715" s="1250"/>
      <c r="F715" s="1252"/>
      <c r="G715" s="991"/>
      <c r="H715" s="1045"/>
      <c r="I715" s="1045"/>
      <c r="J715" s="991"/>
      <c r="K715" s="991"/>
      <c r="L715" s="1045"/>
      <c r="M715" s="991"/>
      <c r="N715" s="991"/>
      <c r="O715" s="991"/>
      <c r="P715" s="1045"/>
      <c r="Q715" s="991"/>
      <c r="R715" s="991"/>
      <c r="S715" s="991"/>
      <c r="T715" s="1045"/>
      <c r="U715" s="991"/>
      <c r="V715" s="991"/>
      <c r="W715" s="991"/>
      <c r="X715" s="1042"/>
    </row>
    <row r="716" spans="1:24" ht="15">
      <c r="A716" s="991"/>
      <c r="B716" s="1249"/>
      <c r="C716" s="1250"/>
      <c r="D716" s="1251"/>
      <c r="E716" s="1250"/>
      <c r="F716" s="1252"/>
      <c r="G716" s="991"/>
      <c r="H716" s="1045"/>
      <c r="I716" s="1045"/>
      <c r="J716" s="991"/>
      <c r="K716" s="991"/>
      <c r="L716" s="1045"/>
      <c r="M716" s="991"/>
      <c r="N716" s="991"/>
      <c r="O716" s="991"/>
      <c r="P716" s="1045"/>
      <c r="Q716" s="991"/>
      <c r="R716" s="991"/>
      <c r="S716" s="991"/>
      <c r="T716" s="1045"/>
      <c r="U716" s="991"/>
      <c r="V716" s="991"/>
      <c r="W716" s="991"/>
      <c r="X716" s="1042"/>
    </row>
    <row r="717" spans="1:24" ht="15">
      <c r="A717" s="991"/>
      <c r="B717" s="1249"/>
      <c r="C717" s="1250"/>
      <c r="D717" s="1251"/>
      <c r="E717" s="1250"/>
      <c r="F717" s="1252"/>
      <c r="G717" s="991"/>
      <c r="H717" s="1045"/>
      <c r="I717" s="1045"/>
      <c r="J717" s="991"/>
      <c r="K717" s="991"/>
      <c r="L717" s="1045"/>
      <c r="M717" s="991"/>
      <c r="N717" s="991"/>
      <c r="O717" s="991"/>
      <c r="P717" s="1045"/>
      <c r="Q717" s="991"/>
      <c r="R717" s="991"/>
      <c r="S717" s="991"/>
      <c r="T717" s="1045"/>
      <c r="U717" s="991"/>
      <c r="V717" s="991"/>
      <c r="W717" s="991"/>
      <c r="X717" s="1042"/>
    </row>
    <row r="718" spans="1:24" ht="15">
      <c r="A718" s="991"/>
      <c r="B718" s="1249"/>
      <c r="C718" s="1250"/>
      <c r="D718" s="1251"/>
      <c r="E718" s="1250"/>
      <c r="F718" s="1252"/>
      <c r="G718" s="991"/>
      <c r="H718" s="1045"/>
      <c r="I718" s="1045"/>
      <c r="J718" s="991"/>
      <c r="K718" s="991"/>
      <c r="L718" s="1045"/>
      <c r="M718" s="991"/>
      <c r="N718" s="991"/>
      <c r="O718" s="991"/>
      <c r="P718" s="1045"/>
      <c r="Q718" s="991"/>
      <c r="R718" s="991"/>
      <c r="S718" s="991"/>
      <c r="T718" s="1045"/>
      <c r="U718" s="991"/>
      <c r="V718" s="991"/>
      <c r="W718" s="991"/>
      <c r="X718" s="1042"/>
    </row>
    <row r="719" spans="1:24" ht="15">
      <c r="A719" s="991"/>
      <c r="B719" s="1249"/>
      <c r="C719" s="1250"/>
      <c r="D719" s="1251"/>
      <c r="E719" s="1250"/>
      <c r="F719" s="1252"/>
      <c r="G719" s="991"/>
      <c r="H719" s="1045"/>
      <c r="I719" s="1045"/>
      <c r="J719" s="991"/>
      <c r="K719" s="991"/>
      <c r="L719" s="1045"/>
      <c r="M719" s="991"/>
      <c r="N719" s="991"/>
      <c r="O719" s="991"/>
      <c r="P719" s="1045"/>
      <c r="Q719" s="991"/>
      <c r="R719" s="991"/>
      <c r="S719" s="991"/>
      <c r="T719" s="1045"/>
      <c r="U719" s="991"/>
      <c r="V719" s="991"/>
      <c r="W719" s="991"/>
      <c r="X719" s="1042"/>
    </row>
    <row r="720" spans="1:24" ht="15">
      <c r="A720" s="991"/>
      <c r="B720" s="1249"/>
      <c r="C720" s="1250"/>
      <c r="D720" s="1251"/>
      <c r="E720" s="1250"/>
      <c r="F720" s="1252"/>
      <c r="G720" s="991"/>
      <c r="H720" s="1045"/>
      <c r="I720" s="1045"/>
      <c r="J720" s="991"/>
      <c r="K720" s="991"/>
      <c r="L720" s="1045"/>
      <c r="M720" s="991"/>
      <c r="N720" s="991"/>
      <c r="O720" s="991"/>
      <c r="P720" s="1045"/>
      <c r="Q720" s="991"/>
      <c r="R720" s="991"/>
      <c r="S720" s="991"/>
      <c r="T720" s="1045"/>
      <c r="U720" s="991"/>
      <c r="V720" s="991"/>
      <c r="W720" s="991"/>
      <c r="X720" s="1042"/>
    </row>
    <row r="721" spans="1:24" ht="15">
      <c r="A721" s="991"/>
      <c r="B721" s="1249"/>
      <c r="C721" s="1250"/>
      <c r="D721" s="1251"/>
      <c r="E721" s="1250"/>
      <c r="F721" s="1252"/>
      <c r="G721" s="991"/>
      <c r="H721" s="1045"/>
      <c r="I721" s="1045"/>
      <c r="J721" s="991"/>
      <c r="K721" s="991"/>
      <c r="L721" s="1045"/>
      <c r="M721" s="991"/>
      <c r="N721" s="991"/>
      <c r="O721" s="991"/>
      <c r="P721" s="1045"/>
      <c r="Q721" s="991"/>
      <c r="R721" s="991"/>
      <c r="S721" s="991"/>
      <c r="T721" s="1045"/>
      <c r="U721" s="991"/>
      <c r="V721" s="991"/>
      <c r="W721" s="991"/>
      <c r="X721" s="1042"/>
    </row>
    <row r="722" spans="1:24" ht="15">
      <c r="A722" s="991"/>
      <c r="B722" s="1249"/>
      <c r="C722" s="1250"/>
      <c r="D722" s="1251"/>
      <c r="E722" s="1250"/>
      <c r="F722" s="1252"/>
      <c r="G722" s="991"/>
      <c r="H722" s="1045"/>
      <c r="I722" s="1045"/>
      <c r="J722" s="991"/>
      <c r="K722" s="991"/>
      <c r="L722" s="1045"/>
      <c r="M722" s="991"/>
      <c r="N722" s="991"/>
      <c r="O722" s="991"/>
      <c r="P722" s="1045"/>
      <c r="Q722" s="991"/>
      <c r="R722" s="991"/>
      <c r="S722" s="991"/>
      <c r="T722" s="1045"/>
      <c r="U722" s="991"/>
      <c r="V722" s="991"/>
      <c r="W722" s="991"/>
      <c r="X722" s="1042"/>
    </row>
    <row r="723" spans="1:24" ht="15">
      <c r="A723" s="991"/>
      <c r="B723" s="1249"/>
      <c r="C723" s="1250"/>
      <c r="D723" s="1251"/>
      <c r="E723" s="1250"/>
      <c r="F723" s="1252"/>
      <c r="G723" s="991"/>
      <c r="H723" s="1045"/>
      <c r="I723" s="1045"/>
      <c r="J723" s="991"/>
      <c r="K723" s="991"/>
      <c r="L723" s="1045"/>
      <c r="M723" s="991"/>
      <c r="N723" s="991"/>
      <c r="O723" s="991"/>
      <c r="P723" s="1045"/>
      <c r="Q723" s="991"/>
      <c r="R723" s="991"/>
      <c r="S723" s="991"/>
      <c r="T723" s="1045"/>
      <c r="U723" s="991"/>
      <c r="V723" s="991"/>
      <c r="W723" s="991"/>
      <c r="X723" s="1042"/>
    </row>
    <row r="724" spans="1:24" ht="15">
      <c r="A724" s="991"/>
      <c r="B724" s="1249"/>
      <c r="C724" s="1250"/>
      <c r="D724" s="1251"/>
      <c r="E724" s="1250"/>
      <c r="F724" s="1252"/>
      <c r="G724" s="991"/>
      <c r="H724" s="1045"/>
      <c r="I724" s="1045"/>
      <c r="J724" s="991"/>
      <c r="K724" s="991"/>
      <c r="L724" s="1045"/>
      <c r="M724" s="991"/>
      <c r="N724" s="991"/>
      <c r="O724" s="991"/>
      <c r="P724" s="1045"/>
      <c r="Q724" s="991"/>
      <c r="R724" s="991"/>
      <c r="S724" s="991"/>
      <c r="T724" s="1045"/>
      <c r="U724" s="991"/>
      <c r="V724" s="991"/>
      <c r="W724" s="991"/>
      <c r="X724" s="1042"/>
    </row>
    <row r="725" spans="1:24" ht="15">
      <c r="A725" s="991"/>
      <c r="B725" s="1249"/>
      <c r="C725" s="1250"/>
      <c r="D725" s="1251"/>
      <c r="E725" s="1250"/>
      <c r="F725" s="1252"/>
      <c r="G725" s="991"/>
      <c r="H725" s="1045"/>
      <c r="I725" s="1045"/>
      <c r="J725" s="991"/>
      <c r="K725" s="991"/>
      <c r="L725" s="1045"/>
      <c r="M725" s="991"/>
      <c r="N725" s="991"/>
      <c r="O725" s="991"/>
      <c r="P725" s="1045"/>
      <c r="Q725" s="991"/>
      <c r="R725" s="991"/>
      <c r="S725" s="991"/>
      <c r="T725" s="1045"/>
      <c r="U725" s="991"/>
      <c r="V725" s="991"/>
      <c r="W725" s="991"/>
      <c r="X725" s="1042"/>
    </row>
    <row r="726" spans="1:24" ht="15">
      <c r="A726" s="991"/>
      <c r="B726" s="1249"/>
      <c r="C726" s="1250"/>
      <c r="D726" s="1251"/>
      <c r="E726" s="1250"/>
      <c r="F726" s="1252"/>
      <c r="G726" s="991"/>
      <c r="H726" s="1045"/>
      <c r="I726" s="1045"/>
      <c r="J726" s="991"/>
      <c r="K726" s="991"/>
      <c r="L726" s="1045"/>
      <c r="M726" s="991"/>
      <c r="N726" s="991"/>
      <c r="O726" s="991"/>
      <c r="P726" s="1045"/>
      <c r="Q726" s="991"/>
      <c r="R726" s="991"/>
      <c r="S726" s="991"/>
      <c r="T726" s="1045"/>
      <c r="U726" s="991"/>
      <c r="V726" s="991"/>
      <c r="W726" s="991"/>
      <c r="X726" s="1042"/>
    </row>
    <row r="727" spans="1:24" ht="15">
      <c r="A727" s="991"/>
      <c r="B727" s="1249"/>
      <c r="C727" s="1250"/>
      <c r="D727" s="1251"/>
      <c r="E727" s="1250"/>
      <c r="F727" s="1252"/>
      <c r="G727" s="991"/>
      <c r="H727" s="1045"/>
      <c r="I727" s="1045"/>
      <c r="J727" s="991"/>
      <c r="K727" s="991"/>
      <c r="L727" s="1045"/>
      <c r="M727" s="991"/>
      <c r="N727" s="991"/>
      <c r="O727" s="991"/>
      <c r="P727" s="1045"/>
      <c r="Q727" s="991"/>
      <c r="R727" s="991"/>
      <c r="S727" s="991"/>
      <c r="T727" s="1045"/>
      <c r="U727" s="991"/>
      <c r="V727" s="991"/>
      <c r="W727" s="991"/>
      <c r="X727" s="1042"/>
    </row>
    <row r="728" spans="1:24" ht="15">
      <c r="A728" s="991"/>
      <c r="B728" s="1249"/>
      <c r="C728" s="1250"/>
      <c r="D728" s="1251"/>
      <c r="E728" s="1250"/>
      <c r="F728" s="1252"/>
      <c r="G728" s="991"/>
      <c r="H728" s="1045"/>
      <c r="I728" s="1045"/>
      <c r="J728" s="991"/>
      <c r="K728" s="991"/>
      <c r="L728" s="1045"/>
      <c r="M728" s="991"/>
      <c r="N728" s="991"/>
      <c r="O728" s="991"/>
      <c r="P728" s="1045"/>
      <c r="Q728" s="991"/>
      <c r="R728" s="991"/>
      <c r="S728" s="991"/>
      <c r="T728" s="1045"/>
      <c r="U728" s="991"/>
      <c r="V728" s="991"/>
      <c r="W728" s="991"/>
      <c r="X728" s="1042"/>
    </row>
    <row r="729" spans="1:24" ht="15">
      <c r="A729" s="991"/>
      <c r="B729" s="1249"/>
      <c r="C729" s="1250"/>
      <c r="D729" s="1251"/>
      <c r="E729" s="1250"/>
      <c r="F729" s="1252"/>
      <c r="G729" s="991"/>
      <c r="H729" s="1045"/>
      <c r="I729" s="1045"/>
      <c r="J729" s="991"/>
      <c r="K729" s="991"/>
      <c r="L729" s="1045"/>
      <c r="M729" s="991"/>
      <c r="N729" s="991"/>
      <c r="O729" s="991"/>
      <c r="P729" s="1045"/>
      <c r="Q729" s="991"/>
      <c r="R729" s="991"/>
      <c r="S729" s="991"/>
      <c r="T729" s="1045"/>
      <c r="U729" s="991"/>
      <c r="V729" s="991"/>
      <c r="W729" s="991"/>
      <c r="X729" s="1042"/>
    </row>
    <row r="730" spans="1:24" ht="15">
      <c r="A730" s="991"/>
      <c r="B730" s="1249"/>
      <c r="C730" s="1250"/>
      <c r="D730" s="1251"/>
      <c r="E730" s="1250"/>
      <c r="F730" s="1252"/>
      <c r="G730" s="991"/>
      <c r="H730" s="1045"/>
      <c r="I730" s="1045"/>
      <c r="J730" s="991"/>
      <c r="K730" s="991"/>
      <c r="L730" s="1045"/>
      <c r="M730" s="991"/>
      <c r="N730" s="991"/>
      <c r="O730" s="991"/>
      <c r="P730" s="1045"/>
      <c r="Q730" s="991"/>
      <c r="R730" s="991"/>
      <c r="S730" s="991"/>
      <c r="T730" s="1045"/>
      <c r="U730" s="991"/>
      <c r="V730" s="991"/>
      <c r="W730" s="991"/>
      <c r="X730" s="1042"/>
    </row>
    <row r="731" spans="1:24" ht="15">
      <c r="A731" s="991"/>
      <c r="B731" s="1249"/>
      <c r="C731" s="1250"/>
      <c r="D731" s="1251"/>
      <c r="E731" s="1250"/>
      <c r="F731" s="1252"/>
      <c r="G731" s="991"/>
      <c r="H731" s="1045"/>
      <c r="I731" s="1045"/>
      <c r="J731" s="991"/>
      <c r="K731" s="991"/>
      <c r="L731" s="1045"/>
      <c r="M731" s="991"/>
      <c r="N731" s="991"/>
      <c r="O731" s="991"/>
      <c r="P731" s="1045"/>
      <c r="Q731" s="991"/>
      <c r="R731" s="991"/>
      <c r="S731" s="991"/>
      <c r="T731" s="1045"/>
      <c r="U731" s="991"/>
      <c r="V731" s="991"/>
      <c r="W731" s="991"/>
      <c r="X731" s="1042"/>
    </row>
    <row r="732" spans="1:24" ht="15">
      <c r="A732" s="991"/>
      <c r="B732" s="1249"/>
      <c r="C732" s="1250"/>
      <c r="D732" s="1251"/>
      <c r="E732" s="1250"/>
      <c r="F732" s="1252"/>
      <c r="G732" s="991"/>
      <c r="H732" s="1045"/>
      <c r="I732" s="1045"/>
      <c r="J732" s="991"/>
      <c r="K732" s="991"/>
      <c r="L732" s="1045"/>
      <c r="M732" s="991"/>
      <c r="N732" s="991"/>
      <c r="O732" s="991"/>
      <c r="P732" s="1045"/>
      <c r="Q732" s="991"/>
      <c r="R732" s="991"/>
      <c r="S732" s="991"/>
      <c r="T732" s="1045"/>
      <c r="U732" s="991"/>
      <c r="V732" s="991"/>
      <c r="W732" s="991"/>
      <c r="X732" s="1042"/>
    </row>
    <row r="733" spans="1:24" ht="15">
      <c r="A733" s="991"/>
      <c r="B733" s="1249"/>
      <c r="C733" s="1250"/>
      <c r="D733" s="1251"/>
      <c r="E733" s="1250"/>
      <c r="F733" s="1252"/>
      <c r="G733" s="991"/>
      <c r="H733" s="1045"/>
      <c r="I733" s="1045"/>
      <c r="J733" s="991"/>
      <c r="K733" s="991"/>
      <c r="L733" s="1045"/>
      <c r="M733" s="991"/>
      <c r="N733" s="991"/>
      <c r="O733" s="991"/>
      <c r="P733" s="1045"/>
      <c r="Q733" s="991"/>
      <c r="R733" s="991"/>
      <c r="S733" s="991"/>
      <c r="T733" s="1045"/>
      <c r="U733" s="991"/>
      <c r="V733" s="991"/>
      <c r="W733" s="991"/>
      <c r="X733" s="1042"/>
    </row>
    <row r="734" spans="1:24" ht="15">
      <c r="A734" s="991"/>
      <c r="B734" s="1249"/>
      <c r="C734" s="1250"/>
      <c r="D734" s="1251"/>
      <c r="E734" s="1250"/>
      <c r="F734" s="1252"/>
      <c r="G734" s="991"/>
      <c r="H734" s="1045"/>
      <c r="I734" s="1045"/>
      <c r="J734" s="991"/>
      <c r="K734" s="991"/>
      <c r="L734" s="1045"/>
      <c r="M734" s="991"/>
      <c r="N734" s="991"/>
      <c r="O734" s="991"/>
      <c r="P734" s="1045"/>
      <c r="Q734" s="991"/>
      <c r="R734" s="991"/>
      <c r="S734" s="991"/>
      <c r="T734" s="1045"/>
      <c r="U734" s="991"/>
      <c r="V734" s="991"/>
      <c r="W734" s="991"/>
      <c r="X734" s="1042"/>
    </row>
    <row r="735" spans="1:24" ht="15">
      <c r="A735" s="991"/>
      <c r="B735" s="1249"/>
      <c r="C735" s="1250"/>
      <c r="D735" s="1251"/>
      <c r="E735" s="1250"/>
      <c r="F735" s="1252"/>
      <c r="G735" s="991"/>
      <c r="H735" s="1045"/>
      <c r="I735" s="1045"/>
      <c r="J735" s="991"/>
      <c r="K735" s="991"/>
      <c r="L735" s="1045"/>
      <c r="M735" s="991"/>
      <c r="N735" s="991"/>
      <c r="O735" s="991"/>
      <c r="P735" s="1045"/>
      <c r="Q735" s="991"/>
      <c r="R735" s="991"/>
      <c r="S735" s="991"/>
      <c r="T735" s="1045"/>
      <c r="U735" s="991"/>
      <c r="V735" s="991"/>
      <c r="W735" s="991"/>
      <c r="X735" s="1042"/>
    </row>
    <row r="736" spans="1:24" ht="15">
      <c r="A736" s="991"/>
      <c r="B736" s="1249"/>
      <c r="C736" s="1250"/>
      <c r="D736" s="1251"/>
      <c r="E736" s="1250"/>
      <c r="F736" s="1252"/>
      <c r="G736" s="991"/>
      <c r="H736" s="1045"/>
      <c r="I736" s="1045"/>
      <c r="J736" s="991"/>
      <c r="K736" s="991"/>
      <c r="L736" s="1045"/>
      <c r="M736" s="991"/>
      <c r="N736" s="991"/>
      <c r="O736" s="991"/>
      <c r="P736" s="1045"/>
      <c r="Q736" s="991"/>
      <c r="R736" s="991"/>
      <c r="S736" s="991"/>
      <c r="T736" s="1045"/>
      <c r="U736" s="991"/>
      <c r="V736" s="991"/>
      <c r="W736" s="991"/>
      <c r="X736" s="1042"/>
    </row>
    <row r="737" spans="1:24" ht="15">
      <c r="A737" s="991"/>
      <c r="B737" s="1249"/>
      <c r="C737" s="1250"/>
      <c r="D737" s="1251"/>
      <c r="E737" s="1250"/>
      <c r="F737" s="1252"/>
      <c r="G737" s="991"/>
      <c r="H737" s="1045"/>
      <c r="I737" s="1045"/>
      <c r="J737" s="991"/>
      <c r="K737" s="991"/>
      <c r="L737" s="1045"/>
      <c r="M737" s="991"/>
      <c r="N737" s="991"/>
      <c r="O737" s="991"/>
      <c r="P737" s="1045"/>
      <c r="Q737" s="991"/>
      <c r="R737" s="991"/>
      <c r="S737" s="991"/>
      <c r="T737" s="1045"/>
      <c r="U737" s="991"/>
      <c r="V737" s="991"/>
      <c r="W737" s="991"/>
      <c r="X737" s="1042"/>
    </row>
    <row r="738" spans="1:24" ht="15">
      <c r="A738" s="991"/>
      <c r="B738" s="1249"/>
      <c r="C738" s="1250"/>
      <c r="D738" s="1251"/>
      <c r="E738" s="1250"/>
      <c r="F738" s="1252"/>
      <c r="G738" s="991"/>
      <c r="H738" s="1045"/>
      <c r="I738" s="1045"/>
      <c r="J738" s="991"/>
      <c r="K738" s="991"/>
      <c r="L738" s="1045"/>
      <c r="M738" s="991"/>
      <c r="N738" s="991"/>
      <c r="O738" s="991"/>
      <c r="P738" s="1045"/>
      <c r="Q738" s="991"/>
      <c r="R738" s="991"/>
      <c r="S738" s="991"/>
      <c r="T738" s="1045"/>
      <c r="U738" s="991"/>
      <c r="V738" s="991"/>
      <c r="W738" s="991"/>
      <c r="X738" s="1042"/>
    </row>
    <row r="739" spans="1:24" ht="15">
      <c r="A739" s="991"/>
      <c r="B739" s="1249"/>
      <c r="C739" s="1250"/>
      <c r="D739" s="1251"/>
      <c r="E739" s="1250"/>
      <c r="F739" s="1252"/>
      <c r="G739" s="991"/>
      <c r="H739" s="1045"/>
      <c r="I739" s="1045"/>
      <c r="J739" s="991"/>
      <c r="K739" s="991"/>
      <c r="L739" s="1045"/>
      <c r="M739" s="991"/>
      <c r="N739" s="991"/>
      <c r="O739" s="991"/>
      <c r="P739" s="1045"/>
      <c r="Q739" s="991"/>
      <c r="R739" s="991"/>
      <c r="S739" s="991"/>
      <c r="T739" s="1045"/>
      <c r="U739" s="991"/>
      <c r="V739" s="991"/>
      <c r="W739" s="991"/>
      <c r="X739" s="1042"/>
    </row>
    <row r="740" spans="1:24" ht="15">
      <c r="A740" s="991"/>
      <c r="B740" s="1249"/>
      <c r="C740" s="1250"/>
      <c r="D740" s="1251"/>
      <c r="E740" s="1250"/>
      <c r="F740" s="1252"/>
      <c r="G740" s="991"/>
      <c r="H740" s="1045"/>
      <c r="I740" s="1045"/>
      <c r="J740" s="991"/>
      <c r="K740" s="991"/>
      <c r="L740" s="1045"/>
      <c r="M740" s="991"/>
      <c r="N740" s="991"/>
      <c r="O740" s="991"/>
      <c r="P740" s="1045"/>
      <c r="Q740" s="991"/>
      <c r="R740" s="991"/>
      <c r="S740" s="991"/>
      <c r="T740" s="1045"/>
      <c r="U740" s="991"/>
      <c r="V740" s="991"/>
      <c r="W740" s="991"/>
      <c r="X740" s="1042"/>
    </row>
    <row r="741" spans="1:24" ht="15">
      <c r="A741" s="991"/>
      <c r="B741" s="1249"/>
      <c r="C741" s="1250"/>
      <c r="D741" s="1251"/>
      <c r="E741" s="1250"/>
      <c r="F741" s="1252"/>
      <c r="G741" s="991"/>
      <c r="H741" s="1045"/>
      <c r="I741" s="1045"/>
      <c r="J741" s="991"/>
      <c r="K741" s="991"/>
      <c r="L741" s="1045"/>
      <c r="M741" s="991"/>
      <c r="N741" s="991"/>
      <c r="O741" s="991"/>
      <c r="P741" s="1045"/>
      <c r="Q741" s="991"/>
      <c r="R741" s="991"/>
      <c r="S741" s="991"/>
      <c r="T741" s="1045"/>
      <c r="U741" s="991"/>
      <c r="V741" s="991"/>
      <c r="W741" s="991"/>
      <c r="X741" s="1042"/>
    </row>
    <row r="742" spans="1:24" ht="15">
      <c r="A742" s="991"/>
      <c r="B742" s="1249"/>
      <c r="C742" s="1250"/>
      <c r="D742" s="1251"/>
      <c r="E742" s="1250"/>
      <c r="F742" s="1252"/>
      <c r="G742" s="991"/>
      <c r="H742" s="1045"/>
      <c r="I742" s="1045"/>
      <c r="J742" s="991"/>
      <c r="K742" s="991"/>
      <c r="L742" s="1045"/>
      <c r="M742" s="991"/>
      <c r="N742" s="991"/>
      <c r="O742" s="991"/>
      <c r="P742" s="1045"/>
      <c r="Q742" s="991"/>
      <c r="R742" s="991"/>
      <c r="S742" s="991"/>
      <c r="T742" s="1045"/>
      <c r="U742" s="991"/>
      <c r="V742" s="991"/>
      <c r="W742" s="991"/>
      <c r="X742" s="1042"/>
    </row>
    <row r="743" spans="1:24" ht="15">
      <c r="A743" s="991"/>
      <c r="B743" s="1249"/>
      <c r="C743" s="1250"/>
      <c r="D743" s="1251"/>
      <c r="E743" s="1250"/>
      <c r="F743" s="1252"/>
      <c r="G743" s="991"/>
      <c r="H743" s="1045"/>
      <c r="I743" s="1045"/>
      <c r="J743" s="991"/>
      <c r="K743" s="991"/>
      <c r="L743" s="1045"/>
      <c r="M743" s="991"/>
      <c r="N743" s="991"/>
      <c r="O743" s="991"/>
      <c r="P743" s="1045"/>
      <c r="Q743" s="991"/>
      <c r="R743" s="991"/>
      <c r="S743" s="991"/>
      <c r="T743" s="1045"/>
      <c r="U743" s="991"/>
      <c r="V743" s="991"/>
      <c r="W743" s="991"/>
      <c r="X743" s="1042"/>
    </row>
    <row r="744" spans="1:24" ht="15">
      <c r="A744" s="991"/>
      <c r="B744" s="1249"/>
      <c r="C744" s="1250"/>
      <c r="D744" s="1251"/>
      <c r="E744" s="1250"/>
      <c r="F744" s="1252"/>
      <c r="G744" s="991"/>
      <c r="H744" s="1045"/>
      <c r="I744" s="1045"/>
      <c r="J744" s="991"/>
      <c r="K744" s="991"/>
      <c r="L744" s="1045"/>
      <c r="M744" s="991"/>
      <c r="N744" s="991"/>
      <c r="O744" s="991"/>
      <c r="P744" s="1045"/>
      <c r="Q744" s="991"/>
      <c r="R744" s="991"/>
      <c r="S744" s="991"/>
      <c r="T744" s="1045"/>
      <c r="U744" s="991"/>
      <c r="V744" s="991"/>
      <c r="W744" s="991"/>
      <c r="X744" s="1042"/>
    </row>
    <row r="745" spans="1:24" ht="15">
      <c r="A745" s="991"/>
      <c r="B745" s="1249"/>
      <c r="C745" s="1250"/>
      <c r="D745" s="1251"/>
      <c r="E745" s="1250"/>
      <c r="F745" s="1252"/>
      <c r="G745" s="991"/>
      <c r="H745" s="1045"/>
      <c r="I745" s="1045"/>
      <c r="J745" s="991"/>
      <c r="K745" s="991"/>
      <c r="L745" s="1045"/>
      <c r="M745" s="991"/>
      <c r="N745" s="991"/>
      <c r="O745" s="991"/>
      <c r="P745" s="1045"/>
      <c r="Q745" s="991"/>
      <c r="R745" s="991"/>
      <c r="S745" s="991"/>
      <c r="T745" s="1045"/>
      <c r="U745" s="991"/>
      <c r="V745" s="991"/>
      <c r="W745" s="991"/>
      <c r="X745" s="1042"/>
    </row>
    <row r="746" spans="1:24" ht="15">
      <c r="A746" s="991"/>
      <c r="B746" s="1249"/>
      <c r="C746" s="1250"/>
      <c r="D746" s="1251"/>
      <c r="E746" s="1250"/>
      <c r="F746" s="1252"/>
      <c r="G746" s="991"/>
      <c r="H746" s="1045"/>
      <c r="I746" s="1045"/>
      <c r="J746" s="991"/>
      <c r="K746" s="991"/>
      <c r="L746" s="1045"/>
      <c r="M746" s="991"/>
      <c r="N746" s="991"/>
      <c r="O746" s="991"/>
      <c r="P746" s="1045"/>
      <c r="Q746" s="991"/>
      <c r="R746" s="991"/>
      <c r="S746" s="991"/>
      <c r="T746" s="1045"/>
      <c r="U746" s="991"/>
      <c r="V746" s="991"/>
      <c r="W746" s="991"/>
      <c r="X746" s="1042"/>
    </row>
    <row r="747" spans="1:24" ht="15">
      <c r="A747" s="991"/>
      <c r="B747" s="1249"/>
      <c r="C747" s="1250"/>
      <c r="D747" s="1251"/>
      <c r="E747" s="1250"/>
      <c r="F747" s="1252"/>
      <c r="G747" s="991"/>
      <c r="H747" s="1045"/>
      <c r="I747" s="1045"/>
      <c r="J747" s="991"/>
      <c r="K747" s="991"/>
      <c r="L747" s="1045"/>
      <c r="M747" s="991"/>
      <c r="N747" s="991"/>
      <c r="O747" s="991"/>
      <c r="P747" s="1045"/>
      <c r="Q747" s="991"/>
      <c r="R747" s="991"/>
      <c r="S747" s="991"/>
      <c r="T747" s="1045"/>
      <c r="U747" s="991"/>
      <c r="V747" s="991"/>
      <c r="W747" s="991"/>
      <c r="X747" s="1042"/>
    </row>
    <row r="748" spans="1:24" ht="15">
      <c r="A748" s="991"/>
      <c r="B748" s="1249"/>
      <c r="C748" s="1250"/>
      <c r="D748" s="1251"/>
      <c r="E748" s="1250"/>
      <c r="F748" s="1252"/>
      <c r="G748" s="991"/>
      <c r="H748" s="1045"/>
      <c r="I748" s="1045"/>
      <c r="J748" s="991"/>
      <c r="K748" s="991"/>
      <c r="L748" s="1045"/>
      <c r="M748" s="991"/>
      <c r="N748" s="991"/>
      <c r="O748" s="991"/>
      <c r="P748" s="1045"/>
      <c r="Q748" s="991"/>
      <c r="R748" s="991"/>
      <c r="S748" s="991"/>
      <c r="T748" s="1045"/>
      <c r="U748" s="991"/>
      <c r="V748" s="991"/>
      <c r="W748" s="991"/>
      <c r="X748" s="1042"/>
    </row>
    <row r="749" spans="1:24" ht="15">
      <c r="A749" s="991"/>
      <c r="B749" s="1249"/>
      <c r="C749" s="1250"/>
      <c r="D749" s="1251"/>
      <c r="E749" s="1250"/>
      <c r="F749" s="1252"/>
      <c r="G749" s="991"/>
      <c r="H749" s="1045"/>
      <c r="I749" s="1045"/>
      <c r="J749" s="991"/>
      <c r="K749" s="991"/>
      <c r="L749" s="1045"/>
      <c r="M749" s="991"/>
      <c r="N749" s="991"/>
      <c r="O749" s="991"/>
      <c r="P749" s="1045"/>
      <c r="Q749" s="991"/>
      <c r="R749" s="991"/>
      <c r="S749" s="991"/>
      <c r="T749" s="1045"/>
      <c r="U749" s="991"/>
      <c r="V749" s="991"/>
      <c r="W749" s="991"/>
      <c r="X749" s="1042"/>
    </row>
    <row r="750" spans="1:24" ht="15">
      <c r="A750" s="991"/>
      <c r="B750" s="1249"/>
      <c r="C750" s="1250"/>
      <c r="D750" s="1251"/>
      <c r="E750" s="1250"/>
      <c r="F750" s="1252"/>
      <c r="G750" s="991"/>
      <c r="H750" s="1045"/>
      <c r="I750" s="1045"/>
      <c r="J750" s="991"/>
      <c r="K750" s="991"/>
      <c r="L750" s="1045"/>
      <c r="M750" s="991"/>
      <c r="N750" s="991"/>
      <c r="O750" s="991"/>
      <c r="P750" s="1045"/>
      <c r="Q750" s="991"/>
      <c r="R750" s="991"/>
      <c r="S750" s="991"/>
      <c r="T750" s="1045"/>
      <c r="U750" s="991"/>
      <c r="V750" s="991"/>
      <c r="W750" s="991"/>
      <c r="X750" s="1042"/>
    </row>
    <row r="751" spans="1:24" ht="15">
      <c r="A751" s="991"/>
      <c r="B751" s="1249"/>
      <c r="C751" s="1250"/>
      <c r="D751" s="1251"/>
      <c r="E751" s="1250"/>
      <c r="F751" s="1252"/>
      <c r="G751" s="991"/>
      <c r="H751" s="1045"/>
      <c r="I751" s="1045"/>
      <c r="J751" s="991"/>
      <c r="K751" s="991"/>
      <c r="L751" s="1045"/>
      <c r="M751" s="991"/>
      <c r="N751" s="991"/>
      <c r="O751" s="991"/>
      <c r="P751" s="1045"/>
      <c r="Q751" s="991"/>
      <c r="R751" s="991"/>
      <c r="S751" s="991"/>
      <c r="T751" s="1045"/>
      <c r="U751" s="991"/>
      <c r="V751" s="991"/>
      <c r="W751" s="991"/>
      <c r="X751" s="1042"/>
    </row>
    <row r="752" spans="1:24" ht="15">
      <c r="A752" s="991"/>
      <c r="B752" s="1249"/>
      <c r="C752" s="1250"/>
      <c r="D752" s="1251"/>
      <c r="E752" s="1250"/>
      <c r="F752" s="1252"/>
      <c r="G752" s="991"/>
      <c r="H752" s="1045"/>
      <c r="I752" s="1045"/>
      <c r="J752" s="991"/>
      <c r="K752" s="991"/>
      <c r="L752" s="1045"/>
      <c r="M752" s="991"/>
      <c r="N752" s="991"/>
      <c r="O752" s="991"/>
      <c r="P752" s="1045"/>
      <c r="Q752" s="991"/>
      <c r="R752" s="991"/>
      <c r="S752" s="991"/>
      <c r="T752" s="1045"/>
      <c r="U752" s="991"/>
      <c r="V752" s="991"/>
      <c r="W752" s="991"/>
      <c r="X752" s="1042"/>
    </row>
    <row r="753" spans="1:24" ht="15">
      <c r="A753" s="991"/>
      <c r="B753" s="1249"/>
      <c r="C753" s="1250"/>
      <c r="D753" s="1251"/>
      <c r="E753" s="1250"/>
      <c r="F753" s="1252"/>
      <c r="G753" s="991"/>
      <c r="H753" s="1045"/>
      <c r="I753" s="1045"/>
      <c r="J753" s="991"/>
      <c r="K753" s="991"/>
      <c r="L753" s="1045"/>
      <c r="M753" s="991"/>
      <c r="N753" s="991"/>
      <c r="O753" s="991"/>
      <c r="P753" s="1045"/>
      <c r="Q753" s="991"/>
      <c r="R753" s="991"/>
      <c r="S753" s="991"/>
      <c r="T753" s="1045"/>
      <c r="U753" s="991"/>
      <c r="V753" s="991"/>
      <c r="W753" s="991"/>
      <c r="X753" s="1042"/>
    </row>
    <row r="754" spans="1:24" ht="15">
      <c r="A754" s="991"/>
      <c r="B754" s="1249"/>
      <c r="C754" s="1250"/>
      <c r="D754" s="1251"/>
      <c r="E754" s="1250"/>
      <c r="F754" s="1252"/>
      <c r="G754" s="991"/>
      <c r="H754" s="1045"/>
      <c r="I754" s="1045"/>
      <c r="J754" s="991"/>
      <c r="K754" s="991"/>
      <c r="L754" s="1045"/>
      <c r="M754" s="991"/>
      <c r="N754" s="991"/>
      <c r="O754" s="991"/>
      <c r="P754" s="1045"/>
      <c r="Q754" s="991"/>
      <c r="R754" s="991"/>
      <c r="S754" s="991"/>
      <c r="T754" s="1045"/>
      <c r="U754" s="991"/>
      <c r="V754" s="991"/>
      <c r="W754" s="991"/>
      <c r="X754" s="1042"/>
    </row>
    <row r="755" spans="1:24" ht="15">
      <c r="A755" s="991"/>
      <c r="B755" s="1249"/>
      <c r="C755" s="1250"/>
      <c r="D755" s="1251"/>
      <c r="E755" s="1250"/>
      <c r="F755" s="1252"/>
      <c r="G755" s="991"/>
      <c r="H755" s="1045"/>
      <c r="I755" s="1045"/>
      <c r="J755" s="991"/>
      <c r="K755" s="991"/>
      <c r="L755" s="1045"/>
      <c r="M755" s="991"/>
      <c r="N755" s="991"/>
      <c r="O755" s="991"/>
      <c r="P755" s="1045"/>
      <c r="Q755" s="991"/>
      <c r="R755" s="991"/>
      <c r="S755" s="991"/>
      <c r="T755" s="1045"/>
      <c r="U755" s="991"/>
      <c r="V755" s="991"/>
      <c r="W755" s="991"/>
      <c r="X755" s="1042"/>
    </row>
    <row r="756" spans="1:24" ht="15">
      <c r="A756" s="991"/>
      <c r="B756" s="1249"/>
      <c r="C756" s="1250"/>
      <c r="D756" s="1251"/>
      <c r="E756" s="1250"/>
      <c r="F756" s="1252"/>
      <c r="G756" s="991"/>
      <c r="H756" s="1045"/>
      <c r="I756" s="1045"/>
      <c r="J756" s="991"/>
      <c r="K756" s="991"/>
      <c r="L756" s="1045"/>
      <c r="M756" s="991"/>
      <c r="N756" s="991"/>
      <c r="O756" s="991"/>
      <c r="P756" s="1045"/>
      <c r="Q756" s="991"/>
      <c r="R756" s="991"/>
      <c r="S756" s="991"/>
      <c r="T756" s="1045"/>
      <c r="U756" s="991"/>
      <c r="V756" s="991"/>
      <c r="W756" s="991"/>
      <c r="X756" s="1042"/>
    </row>
    <row r="757" spans="1:24" ht="15">
      <c r="A757" s="991"/>
      <c r="B757" s="1249"/>
      <c r="C757" s="1250"/>
      <c r="D757" s="1251"/>
      <c r="E757" s="1250"/>
      <c r="F757" s="1252"/>
      <c r="G757" s="991"/>
      <c r="H757" s="1045"/>
      <c r="I757" s="1045"/>
      <c r="J757" s="991"/>
      <c r="K757" s="991"/>
      <c r="L757" s="1045"/>
      <c r="M757" s="991"/>
      <c r="N757" s="991"/>
      <c r="O757" s="991"/>
      <c r="P757" s="1045"/>
      <c r="Q757" s="991"/>
      <c r="R757" s="991"/>
      <c r="S757" s="991"/>
      <c r="T757" s="1045"/>
      <c r="U757" s="991"/>
      <c r="V757" s="991"/>
      <c r="W757" s="991"/>
      <c r="X757" s="1042"/>
    </row>
    <row r="758" spans="1:24" ht="15">
      <c r="A758" s="991"/>
      <c r="B758" s="1249"/>
      <c r="C758" s="1250"/>
      <c r="D758" s="1251"/>
      <c r="E758" s="1250"/>
      <c r="F758" s="1252"/>
      <c r="G758" s="991"/>
      <c r="H758" s="1045"/>
      <c r="I758" s="1045"/>
      <c r="J758" s="991"/>
      <c r="K758" s="991"/>
      <c r="L758" s="1045"/>
      <c r="M758" s="991"/>
      <c r="N758" s="991"/>
      <c r="O758" s="991"/>
      <c r="P758" s="1045"/>
      <c r="Q758" s="991"/>
      <c r="R758" s="991"/>
      <c r="S758" s="991"/>
      <c r="T758" s="1045"/>
      <c r="U758" s="991"/>
      <c r="V758" s="991"/>
      <c r="W758" s="991"/>
      <c r="X758" s="1042"/>
    </row>
    <row r="759" spans="1:24" ht="15">
      <c r="A759" s="991"/>
      <c r="B759" s="1249"/>
      <c r="C759" s="1250"/>
      <c r="D759" s="1251"/>
      <c r="E759" s="1250"/>
      <c r="F759" s="1252"/>
      <c r="G759" s="991"/>
      <c r="H759" s="1045"/>
      <c r="I759" s="1045"/>
      <c r="J759" s="991"/>
      <c r="K759" s="991"/>
      <c r="L759" s="1045"/>
      <c r="M759" s="991"/>
      <c r="N759" s="991"/>
      <c r="O759" s="991"/>
      <c r="P759" s="1045"/>
      <c r="Q759" s="991"/>
      <c r="R759" s="991"/>
      <c r="S759" s="991"/>
      <c r="T759" s="1045"/>
      <c r="U759" s="991"/>
      <c r="V759" s="991"/>
      <c r="W759" s="991"/>
      <c r="X759" s="1042"/>
    </row>
    <row r="760" spans="1:24" ht="15">
      <c r="A760" s="991"/>
      <c r="B760" s="1249"/>
      <c r="C760" s="1250"/>
      <c r="D760" s="1251"/>
      <c r="E760" s="1250"/>
      <c r="F760" s="1252"/>
      <c r="G760" s="991"/>
      <c r="H760" s="1045"/>
      <c r="I760" s="1045"/>
      <c r="J760" s="991"/>
      <c r="K760" s="991"/>
      <c r="L760" s="1045"/>
      <c r="M760" s="991"/>
      <c r="N760" s="991"/>
      <c r="O760" s="991"/>
      <c r="P760" s="1045"/>
      <c r="Q760" s="991"/>
      <c r="R760" s="991"/>
      <c r="S760" s="991"/>
      <c r="T760" s="1045"/>
      <c r="U760" s="991"/>
      <c r="V760" s="991"/>
      <c r="W760" s="991"/>
      <c r="X760" s="1042"/>
    </row>
    <row r="761" spans="1:24" ht="15">
      <c r="A761" s="991"/>
      <c r="B761" s="1249"/>
      <c r="C761" s="1250"/>
      <c r="D761" s="1251"/>
      <c r="E761" s="1250"/>
      <c r="F761" s="1252"/>
      <c r="G761" s="991"/>
      <c r="H761" s="1045"/>
      <c r="I761" s="1045"/>
      <c r="J761" s="991"/>
      <c r="K761" s="991"/>
      <c r="L761" s="1045"/>
      <c r="M761" s="991"/>
      <c r="N761" s="991"/>
      <c r="O761" s="991"/>
      <c r="P761" s="1045"/>
      <c r="Q761" s="991"/>
      <c r="R761" s="991"/>
      <c r="S761" s="991"/>
      <c r="T761" s="1045"/>
      <c r="U761" s="991"/>
      <c r="V761" s="991"/>
      <c r="W761" s="991"/>
      <c r="X761" s="1042"/>
    </row>
    <row r="762" spans="1:24" ht="15">
      <c r="A762" s="991"/>
      <c r="B762" s="1249"/>
      <c r="C762" s="1250"/>
      <c r="D762" s="1251"/>
      <c r="E762" s="1250"/>
      <c r="F762" s="1252"/>
      <c r="G762" s="991"/>
      <c r="H762" s="1045"/>
      <c r="I762" s="1045"/>
      <c r="J762" s="991"/>
      <c r="K762" s="991"/>
      <c r="L762" s="1045"/>
      <c r="M762" s="991"/>
      <c r="N762" s="991"/>
      <c r="O762" s="991"/>
      <c r="P762" s="1045"/>
      <c r="Q762" s="991"/>
      <c r="R762" s="991"/>
      <c r="S762" s="991"/>
      <c r="T762" s="1045"/>
      <c r="U762" s="991"/>
      <c r="V762" s="991"/>
      <c r="W762" s="991"/>
      <c r="X762" s="1042"/>
    </row>
    <row r="763" spans="1:24" ht="15">
      <c r="A763" s="991"/>
      <c r="B763" s="1249"/>
      <c r="C763" s="1250"/>
      <c r="D763" s="1251"/>
      <c r="E763" s="1250"/>
      <c r="F763" s="1252"/>
      <c r="G763" s="991"/>
      <c r="H763" s="1045"/>
      <c r="I763" s="1045"/>
      <c r="J763" s="991"/>
      <c r="K763" s="991"/>
      <c r="L763" s="1045"/>
      <c r="M763" s="991"/>
      <c r="N763" s="991"/>
      <c r="O763" s="991"/>
      <c r="P763" s="1045"/>
      <c r="Q763" s="991"/>
      <c r="R763" s="991"/>
      <c r="S763" s="991"/>
      <c r="T763" s="1045"/>
      <c r="U763" s="991"/>
      <c r="V763" s="991"/>
      <c r="W763" s="991"/>
      <c r="X763" s="1042"/>
    </row>
    <row r="764" spans="1:24" ht="15">
      <c r="A764" s="991"/>
      <c r="B764" s="1249"/>
      <c r="C764" s="1250"/>
      <c r="D764" s="1251"/>
      <c r="E764" s="1250"/>
      <c r="F764" s="1252"/>
      <c r="G764" s="991"/>
      <c r="H764" s="1045"/>
      <c r="I764" s="1045"/>
      <c r="J764" s="991"/>
      <c r="K764" s="991"/>
      <c r="L764" s="1045"/>
      <c r="M764" s="991"/>
      <c r="N764" s="991"/>
      <c r="O764" s="991"/>
      <c r="P764" s="1045"/>
      <c r="Q764" s="991"/>
      <c r="R764" s="991"/>
      <c r="S764" s="991"/>
      <c r="T764" s="1045"/>
      <c r="U764" s="991"/>
      <c r="V764" s="991"/>
      <c r="W764" s="991"/>
      <c r="X764" s="1042"/>
    </row>
    <row r="765" spans="1:24" ht="15">
      <c r="A765" s="991"/>
      <c r="B765" s="1249"/>
      <c r="C765" s="1250"/>
      <c r="D765" s="1251"/>
      <c r="E765" s="1250"/>
      <c r="F765" s="1252"/>
      <c r="G765" s="991"/>
      <c r="H765" s="1045"/>
      <c r="I765" s="1045"/>
      <c r="J765" s="991"/>
      <c r="K765" s="991"/>
      <c r="L765" s="1045"/>
      <c r="M765" s="991"/>
      <c r="N765" s="991"/>
      <c r="O765" s="991"/>
      <c r="P765" s="1045"/>
      <c r="Q765" s="991"/>
      <c r="R765" s="991"/>
      <c r="S765" s="991"/>
      <c r="T765" s="1045"/>
      <c r="U765" s="991"/>
      <c r="V765" s="991"/>
      <c r="W765" s="991"/>
      <c r="X765" s="1042"/>
    </row>
    <row r="766" spans="1:24" ht="15">
      <c r="A766" s="991"/>
      <c r="B766" s="1249"/>
      <c r="C766" s="1250"/>
      <c r="D766" s="1251"/>
      <c r="E766" s="1250"/>
      <c r="F766" s="1252"/>
      <c r="G766" s="991"/>
      <c r="H766" s="1045"/>
      <c r="I766" s="1045"/>
      <c r="J766" s="991"/>
      <c r="K766" s="991"/>
      <c r="L766" s="1045"/>
      <c r="M766" s="991"/>
      <c r="N766" s="991"/>
      <c r="O766" s="991"/>
      <c r="P766" s="1045"/>
      <c r="Q766" s="991"/>
      <c r="R766" s="991"/>
      <c r="S766" s="991"/>
      <c r="T766" s="1045"/>
      <c r="U766" s="991"/>
      <c r="V766" s="991"/>
      <c r="W766" s="991"/>
      <c r="X766" s="1042"/>
    </row>
    <row r="767" spans="1:24" ht="15">
      <c r="A767" s="991"/>
      <c r="B767" s="1249"/>
      <c r="C767" s="1250"/>
      <c r="D767" s="1251"/>
      <c r="E767" s="1250"/>
      <c r="F767" s="1252"/>
      <c r="G767" s="991"/>
      <c r="H767" s="1045"/>
      <c r="I767" s="1045"/>
      <c r="J767" s="991"/>
      <c r="K767" s="991"/>
      <c r="L767" s="1045"/>
      <c r="M767" s="991"/>
      <c r="N767" s="991"/>
      <c r="O767" s="991"/>
      <c r="P767" s="1045"/>
      <c r="Q767" s="991"/>
      <c r="R767" s="991"/>
      <c r="S767" s="991"/>
      <c r="T767" s="1045"/>
      <c r="U767" s="991"/>
      <c r="V767" s="991"/>
      <c r="W767" s="991"/>
      <c r="X767" s="1042"/>
    </row>
    <row r="768" spans="1:24" ht="15">
      <c r="A768" s="991"/>
      <c r="B768" s="1249"/>
      <c r="C768" s="1250"/>
      <c r="D768" s="1251"/>
      <c r="E768" s="1250"/>
      <c r="F768" s="1252"/>
      <c r="G768" s="991"/>
      <c r="H768" s="1045"/>
      <c r="I768" s="1045"/>
      <c r="J768" s="991"/>
      <c r="K768" s="991"/>
      <c r="L768" s="1045"/>
      <c r="M768" s="991"/>
      <c r="N768" s="991"/>
      <c r="O768" s="991"/>
      <c r="P768" s="1045"/>
      <c r="Q768" s="991"/>
      <c r="R768" s="991"/>
      <c r="S768" s="991"/>
      <c r="T768" s="1045"/>
      <c r="U768" s="991"/>
      <c r="V768" s="991"/>
      <c r="W768" s="991"/>
      <c r="X768" s="1042"/>
    </row>
    <row r="769" spans="1:24" ht="15">
      <c r="A769" s="991"/>
      <c r="B769" s="1249"/>
      <c r="C769" s="1250"/>
      <c r="D769" s="1251"/>
      <c r="E769" s="1250"/>
      <c r="F769" s="1252"/>
      <c r="G769" s="991"/>
      <c r="H769" s="1045"/>
      <c r="I769" s="1045"/>
      <c r="J769" s="991"/>
      <c r="K769" s="991"/>
      <c r="L769" s="1045"/>
      <c r="M769" s="991"/>
      <c r="N769" s="991"/>
      <c r="O769" s="991"/>
      <c r="P769" s="1045"/>
      <c r="Q769" s="991"/>
      <c r="R769" s="991"/>
      <c r="S769" s="991"/>
      <c r="T769" s="1045"/>
      <c r="U769" s="991"/>
      <c r="V769" s="991"/>
      <c r="W769" s="991"/>
      <c r="X769" s="1042"/>
    </row>
    <row r="770" spans="1:24" ht="15">
      <c r="A770" s="991"/>
      <c r="B770" s="1249"/>
      <c r="C770" s="1250"/>
      <c r="D770" s="1251"/>
      <c r="E770" s="1250"/>
      <c r="F770" s="1252"/>
      <c r="G770" s="991"/>
      <c r="H770" s="1045"/>
      <c r="I770" s="1045"/>
      <c r="J770" s="991"/>
      <c r="K770" s="991"/>
      <c r="L770" s="1045"/>
      <c r="M770" s="991"/>
      <c r="N770" s="991"/>
      <c r="O770" s="991"/>
      <c r="P770" s="1045"/>
      <c r="Q770" s="991"/>
      <c r="R770" s="991"/>
      <c r="S770" s="991"/>
      <c r="T770" s="1045"/>
      <c r="U770" s="991"/>
      <c r="V770" s="991"/>
      <c r="W770" s="991"/>
      <c r="X770" s="1042"/>
    </row>
    <row r="771" spans="1:24" ht="15">
      <c r="A771" s="991"/>
      <c r="B771" s="1249"/>
      <c r="C771" s="1250"/>
      <c r="D771" s="1251"/>
      <c r="E771" s="1250"/>
      <c r="F771" s="1252"/>
      <c r="G771" s="991"/>
      <c r="H771" s="1045"/>
      <c r="I771" s="1045"/>
      <c r="J771" s="991"/>
      <c r="K771" s="991"/>
      <c r="L771" s="1045"/>
      <c r="M771" s="991"/>
      <c r="N771" s="991"/>
      <c r="O771" s="991"/>
      <c r="P771" s="1045"/>
      <c r="Q771" s="991"/>
      <c r="R771" s="991"/>
      <c r="S771" s="991"/>
      <c r="T771" s="1045"/>
      <c r="U771" s="991"/>
      <c r="V771" s="991"/>
      <c r="W771" s="991"/>
      <c r="X771" s="1042"/>
    </row>
    <row r="772" spans="1:24" ht="15">
      <c r="A772" s="991"/>
      <c r="B772" s="1249"/>
      <c r="C772" s="1250"/>
      <c r="D772" s="1251"/>
      <c r="E772" s="1250"/>
      <c r="F772" s="1252"/>
      <c r="G772" s="991"/>
      <c r="H772" s="1045"/>
      <c r="I772" s="1045"/>
      <c r="J772" s="991"/>
      <c r="K772" s="991"/>
      <c r="L772" s="1045"/>
      <c r="M772" s="991"/>
      <c r="N772" s="991"/>
      <c r="O772" s="991"/>
      <c r="P772" s="1045"/>
      <c r="Q772" s="991"/>
      <c r="R772" s="991"/>
      <c r="S772" s="991"/>
      <c r="T772" s="1045"/>
      <c r="U772" s="991"/>
      <c r="V772" s="991"/>
      <c r="W772" s="991"/>
      <c r="X772" s="1042"/>
    </row>
    <row r="773" spans="1:24" ht="15">
      <c r="A773" s="991"/>
      <c r="B773" s="1249"/>
      <c r="C773" s="1250"/>
      <c r="D773" s="1251"/>
      <c r="E773" s="1250"/>
      <c r="F773" s="1252"/>
      <c r="G773" s="991"/>
      <c r="H773" s="1045"/>
      <c r="I773" s="1045"/>
      <c r="J773" s="991"/>
      <c r="K773" s="991"/>
      <c r="L773" s="1045"/>
      <c r="M773" s="991"/>
      <c r="N773" s="991"/>
      <c r="O773" s="991"/>
      <c r="P773" s="1045"/>
      <c r="Q773" s="991"/>
      <c r="R773" s="991"/>
      <c r="S773" s="991"/>
      <c r="T773" s="1045"/>
      <c r="U773" s="991"/>
      <c r="V773" s="991"/>
      <c r="W773" s="991"/>
      <c r="X773" s="1042"/>
    </row>
    <row r="774" spans="1:24" ht="15">
      <c r="A774" s="991"/>
      <c r="B774" s="1249"/>
      <c r="C774" s="1250"/>
      <c r="D774" s="1251"/>
      <c r="E774" s="1250"/>
      <c r="F774" s="1252"/>
      <c r="G774" s="991"/>
      <c r="H774" s="1045"/>
      <c r="I774" s="1045"/>
      <c r="J774" s="991"/>
      <c r="K774" s="991"/>
      <c r="L774" s="1045"/>
      <c r="M774" s="991"/>
      <c r="N774" s="991"/>
      <c r="O774" s="991"/>
      <c r="P774" s="1045"/>
      <c r="Q774" s="991"/>
      <c r="R774" s="991"/>
      <c r="S774" s="991"/>
      <c r="T774" s="1045"/>
      <c r="U774" s="991"/>
      <c r="V774" s="991"/>
      <c r="W774" s="991"/>
      <c r="X774" s="1042"/>
    </row>
    <row r="775" spans="1:24" ht="15">
      <c r="A775" s="991"/>
      <c r="B775" s="1249"/>
      <c r="C775" s="1250"/>
      <c r="D775" s="1251"/>
      <c r="E775" s="1250"/>
      <c r="F775" s="1252"/>
      <c r="G775" s="991"/>
      <c r="H775" s="1045"/>
      <c r="I775" s="1045"/>
      <c r="J775" s="991"/>
      <c r="K775" s="991"/>
      <c r="L775" s="1045"/>
      <c r="M775" s="991"/>
      <c r="N775" s="991"/>
      <c r="O775" s="991"/>
      <c r="P775" s="1045"/>
      <c r="Q775" s="991"/>
      <c r="R775" s="991"/>
      <c r="S775" s="991"/>
      <c r="T775" s="1045"/>
      <c r="U775" s="991"/>
      <c r="V775" s="991"/>
      <c r="W775" s="991"/>
      <c r="X775" s="1042"/>
    </row>
    <row r="776" spans="1:24" ht="15">
      <c r="A776" s="991"/>
      <c r="B776" s="1249"/>
      <c r="C776" s="1250"/>
      <c r="D776" s="1251"/>
      <c r="E776" s="1250"/>
      <c r="F776" s="1252"/>
      <c r="G776" s="991"/>
      <c r="H776" s="1045"/>
      <c r="I776" s="1045"/>
      <c r="J776" s="991"/>
      <c r="K776" s="991"/>
      <c r="L776" s="1045"/>
      <c r="M776" s="991"/>
      <c r="N776" s="991"/>
      <c r="O776" s="991"/>
      <c r="P776" s="1045"/>
      <c r="Q776" s="991"/>
      <c r="R776" s="991"/>
      <c r="S776" s="991"/>
      <c r="T776" s="1045"/>
      <c r="U776" s="991"/>
      <c r="V776" s="991"/>
      <c r="W776" s="991"/>
      <c r="X776" s="1042"/>
    </row>
    <row r="777" spans="1:24" ht="15">
      <c r="A777" s="991"/>
      <c r="B777" s="1249"/>
      <c r="C777" s="1250"/>
      <c r="D777" s="1251"/>
      <c r="E777" s="1250"/>
      <c r="F777" s="1252"/>
      <c r="G777" s="991"/>
      <c r="H777" s="1045"/>
      <c r="I777" s="1045"/>
      <c r="J777" s="991"/>
      <c r="K777" s="991"/>
      <c r="L777" s="1045"/>
      <c r="M777" s="991"/>
      <c r="N777" s="991"/>
      <c r="O777" s="991"/>
      <c r="P777" s="1045"/>
      <c r="Q777" s="991"/>
      <c r="R777" s="991"/>
      <c r="S777" s="991"/>
      <c r="T777" s="1045"/>
      <c r="U777" s="991"/>
      <c r="V777" s="991"/>
      <c r="W777" s="991"/>
      <c r="X777" s="1042"/>
    </row>
    <row r="778" spans="1:24" ht="15">
      <c r="A778" s="991"/>
      <c r="B778" s="1249"/>
      <c r="C778" s="1250"/>
      <c r="D778" s="1251"/>
      <c r="E778" s="1250"/>
      <c r="F778" s="1252"/>
      <c r="G778" s="991"/>
      <c r="H778" s="1045"/>
      <c r="I778" s="1045"/>
      <c r="J778" s="991"/>
      <c r="K778" s="991"/>
      <c r="L778" s="1045"/>
      <c r="M778" s="991"/>
      <c r="N778" s="991"/>
      <c r="O778" s="991"/>
      <c r="P778" s="1045"/>
      <c r="Q778" s="991"/>
      <c r="R778" s="991"/>
      <c r="S778" s="991"/>
      <c r="T778" s="1045"/>
      <c r="U778" s="991"/>
      <c r="V778" s="991"/>
      <c r="W778" s="991"/>
      <c r="X778" s="1042"/>
    </row>
    <row r="779" spans="1:24" ht="15">
      <c r="A779" s="991"/>
      <c r="B779" s="1249"/>
      <c r="C779" s="1250"/>
      <c r="D779" s="1251"/>
      <c r="E779" s="1250"/>
      <c r="F779" s="1252"/>
      <c r="G779" s="991"/>
      <c r="H779" s="1045"/>
      <c r="I779" s="1045"/>
      <c r="J779" s="991"/>
      <c r="K779" s="991"/>
      <c r="L779" s="1045"/>
      <c r="M779" s="991"/>
      <c r="N779" s="991"/>
      <c r="O779" s="991"/>
      <c r="P779" s="1045"/>
      <c r="Q779" s="991"/>
      <c r="R779" s="991"/>
      <c r="S779" s="991"/>
      <c r="T779" s="1045"/>
      <c r="U779" s="991"/>
      <c r="V779" s="991"/>
      <c r="W779" s="991"/>
      <c r="X779" s="1042"/>
    </row>
    <row r="780" spans="1:24" ht="15">
      <c r="A780" s="991"/>
      <c r="B780" s="1249"/>
      <c r="C780" s="1250"/>
      <c r="D780" s="1251"/>
      <c r="E780" s="1250"/>
      <c r="F780" s="1252"/>
      <c r="G780" s="991"/>
      <c r="H780" s="1045"/>
      <c r="I780" s="1045"/>
      <c r="J780" s="991"/>
      <c r="K780" s="991"/>
      <c r="L780" s="1045"/>
      <c r="M780" s="991"/>
      <c r="N780" s="991"/>
      <c r="O780" s="991"/>
      <c r="P780" s="1045"/>
      <c r="Q780" s="991"/>
      <c r="R780" s="991"/>
      <c r="S780" s="991"/>
      <c r="T780" s="1045"/>
      <c r="U780" s="991"/>
      <c r="V780" s="991"/>
      <c r="W780" s="991"/>
      <c r="X780" s="1042"/>
    </row>
    <row r="781" spans="1:24" ht="15">
      <c r="A781" s="991"/>
      <c r="B781" s="1249"/>
      <c r="C781" s="1250"/>
      <c r="D781" s="1251"/>
      <c r="E781" s="1250"/>
      <c r="F781" s="1252"/>
      <c r="G781" s="991"/>
      <c r="H781" s="1045"/>
      <c r="I781" s="1045"/>
      <c r="J781" s="991"/>
      <c r="K781" s="991"/>
      <c r="L781" s="1045"/>
      <c r="M781" s="991"/>
      <c r="N781" s="991"/>
      <c r="O781" s="991"/>
      <c r="P781" s="1045"/>
      <c r="Q781" s="991"/>
      <c r="R781" s="991"/>
      <c r="S781" s="991"/>
      <c r="T781" s="1045"/>
      <c r="U781" s="991"/>
      <c r="V781" s="991"/>
      <c r="W781" s="991"/>
      <c r="X781" s="1042"/>
    </row>
    <row r="782" spans="1:24" ht="15">
      <c r="A782" s="991"/>
      <c r="B782" s="1249"/>
      <c r="C782" s="1250"/>
      <c r="D782" s="1251"/>
      <c r="E782" s="1250"/>
      <c r="F782" s="1252"/>
      <c r="G782" s="991"/>
      <c r="H782" s="1045"/>
      <c r="I782" s="1045"/>
      <c r="J782" s="991"/>
      <c r="K782" s="991"/>
      <c r="L782" s="1045"/>
      <c r="M782" s="991"/>
      <c r="N782" s="991"/>
      <c r="O782" s="991"/>
      <c r="P782" s="1045"/>
      <c r="Q782" s="991"/>
      <c r="R782" s="991"/>
      <c r="S782" s="991"/>
      <c r="T782" s="1045"/>
      <c r="U782" s="991"/>
      <c r="V782" s="991"/>
      <c r="W782" s="991"/>
      <c r="X782" s="1042"/>
    </row>
    <row r="783" spans="1:24" ht="15">
      <c r="A783" s="991"/>
      <c r="B783" s="1249"/>
      <c r="C783" s="1250"/>
      <c r="D783" s="1251"/>
      <c r="E783" s="1250"/>
      <c r="F783" s="1252"/>
      <c r="G783" s="991"/>
      <c r="H783" s="1045"/>
      <c r="I783" s="1045"/>
      <c r="J783" s="991"/>
      <c r="K783" s="991"/>
      <c r="L783" s="1045"/>
      <c r="M783" s="991"/>
      <c r="N783" s="991"/>
      <c r="O783" s="991"/>
      <c r="P783" s="1045"/>
      <c r="Q783" s="991"/>
      <c r="R783" s="991"/>
      <c r="S783" s="991"/>
      <c r="T783" s="1045"/>
      <c r="U783" s="991"/>
      <c r="V783" s="991"/>
      <c r="W783" s="991"/>
      <c r="X783" s="1042"/>
    </row>
    <row r="784" spans="1:24" ht="15">
      <c r="A784" s="991"/>
      <c r="B784" s="1249"/>
      <c r="C784" s="1250"/>
      <c r="D784" s="1251"/>
      <c r="E784" s="1250"/>
      <c r="F784" s="1252"/>
      <c r="G784" s="991"/>
      <c r="H784" s="1045"/>
      <c r="I784" s="1045"/>
      <c r="J784" s="991"/>
      <c r="K784" s="991"/>
      <c r="L784" s="1045"/>
      <c r="M784" s="991"/>
      <c r="N784" s="991"/>
      <c r="O784" s="991"/>
      <c r="P784" s="1045"/>
      <c r="Q784" s="991"/>
      <c r="R784" s="991"/>
      <c r="S784" s="991"/>
      <c r="T784" s="1045"/>
      <c r="U784" s="991"/>
      <c r="V784" s="991"/>
      <c r="W784" s="991"/>
      <c r="X784" s="1042"/>
    </row>
    <row r="785" spans="1:24" ht="15">
      <c r="A785" s="991"/>
      <c r="B785" s="1249"/>
      <c r="C785" s="1250"/>
      <c r="D785" s="1251"/>
      <c r="E785" s="1250"/>
      <c r="F785" s="1252"/>
      <c r="G785" s="991"/>
      <c r="H785" s="1045"/>
      <c r="I785" s="1045"/>
      <c r="J785" s="991"/>
      <c r="K785" s="991"/>
      <c r="L785" s="1045"/>
      <c r="M785" s="991"/>
      <c r="N785" s="991"/>
      <c r="O785" s="991"/>
      <c r="P785" s="1045"/>
      <c r="Q785" s="991"/>
      <c r="R785" s="991"/>
      <c r="S785" s="991"/>
      <c r="T785" s="1045"/>
      <c r="U785" s="991"/>
      <c r="V785" s="991"/>
      <c r="W785" s="991"/>
      <c r="X785" s="1042"/>
    </row>
    <row r="786" spans="1:24" ht="15">
      <c r="A786" s="991"/>
      <c r="B786" s="1249"/>
      <c r="C786" s="1250"/>
      <c r="D786" s="1251"/>
      <c r="E786" s="1250"/>
      <c r="F786" s="1252"/>
      <c r="G786" s="991"/>
      <c r="H786" s="1045"/>
      <c r="I786" s="1045"/>
      <c r="J786" s="991"/>
      <c r="K786" s="991"/>
      <c r="L786" s="1045"/>
      <c r="M786" s="991"/>
      <c r="N786" s="991"/>
      <c r="O786" s="991"/>
      <c r="P786" s="1045"/>
      <c r="Q786" s="991"/>
      <c r="R786" s="991"/>
      <c r="S786" s="991"/>
      <c r="T786" s="1045"/>
      <c r="U786" s="991"/>
      <c r="V786" s="991"/>
      <c r="W786" s="991"/>
      <c r="X786" s="1042"/>
    </row>
    <row r="787" spans="1:24" ht="15">
      <c r="A787" s="991"/>
      <c r="B787" s="1249"/>
      <c r="C787" s="1250"/>
      <c r="D787" s="1251"/>
      <c r="E787" s="1250"/>
      <c r="F787" s="1252"/>
      <c r="G787" s="991"/>
      <c r="H787" s="1045"/>
      <c r="I787" s="1045"/>
      <c r="J787" s="991"/>
      <c r="K787" s="991"/>
      <c r="L787" s="1045"/>
      <c r="M787" s="991"/>
      <c r="N787" s="991"/>
      <c r="O787" s="991"/>
      <c r="P787" s="1045"/>
      <c r="Q787" s="991"/>
      <c r="R787" s="991"/>
      <c r="S787" s="991"/>
      <c r="T787" s="1045"/>
      <c r="U787" s="991"/>
      <c r="V787" s="991"/>
      <c r="W787" s="991"/>
      <c r="X787" s="1042"/>
    </row>
    <row r="788" spans="1:24" ht="15">
      <c r="A788" s="991"/>
      <c r="B788" s="1249"/>
      <c r="C788" s="1250"/>
      <c r="D788" s="1251"/>
      <c r="E788" s="1250"/>
      <c r="F788" s="1252"/>
      <c r="G788" s="991"/>
      <c r="H788" s="1045"/>
      <c r="I788" s="1045"/>
      <c r="J788" s="991"/>
      <c r="K788" s="991"/>
      <c r="L788" s="1045"/>
      <c r="M788" s="991"/>
      <c r="N788" s="991"/>
      <c r="O788" s="991"/>
      <c r="P788" s="1045"/>
      <c r="Q788" s="991"/>
      <c r="R788" s="991"/>
      <c r="S788" s="991"/>
      <c r="T788" s="1045"/>
      <c r="U788" s="991"/>
      <c r="V788" s="991"/>
      <c r="W788" s="991"/>
      <c r="X788" s="1042"/>
    </row>
    <row r="789" spans="1:24" ht="15">
      <c r="A789" s="991"/>
      <c r="B789" s="1249"/>
      <c r="C789" s="1250"/>
      <c r="D789" s="1251"/>
      <c r="E789" s="1250"/>
      <c r="F789" s="1252"/>
      <c r="G789" s="991"/>
      <c r="H789" s="1045"/>
      <c r="I789" s="1045"/>
      <c r="J789" s="991"/>
      <c r="K789" s="991"/>
      <c r="L789" s="1045"/>
      <c r="M789" s="991"/>
      <c r="N789" s="991"/>
      <c r="O789" s="991"/>
      <c r="P789" s="1045"/>
      <c r="Q789" s="991"/>
      <c r="R789" s="991"/>
      <c r="S789" s="991"/>
      <c r="T789" s="1045"/>
      <c r="U789" s="991"/>
      <c r="V789" s="991"/>
      <c r="W789" s="991"/>
      <c r="X789" s="1042"/>
    </row>
    <row r="790" spans="1:24" ht="15">
      <c r="A790" s="991"/>
      <c r="B790" s="1249"/>
      <c r="C790" s="1250"/>
      <c r="D790" s="1251"/>
      <c r="E790" s="1250"/>
      <c r="F790" s="1252"/>
      <c r="G790" s="991"/>
      <c r="H790" s="1045"/>
      <c r="I790" s="1045"/>
      <c r="J790" s="991"/>
      <c r="K790" s="991"/>
      <c r="L790" s="1045"/>
      <c r="M790" s="991"/>
      <c r="N790" s="991"/>
      <c r="O790" s="991"/>
      <c r="P790" s="1045"/>
      <c r="Q790" s="991"/>
      <c r="R790" s="991"/>
      <c r="S790" s="991"/>
      <c r="T790" s="1045"/>
      <c r="U790" s="991"/>
      <c r="V790" s="991"/>
      <c r="W790" s="991"/>
      <c r="X790" s="1042"/>
    </row>
    <row r="791" spans="1:24" ht="15">
      <c r="A791" s="991"/>
      <c r="B791" s="1249"/>
      <c r="C791" s="1250"/>
      <c r="D791" s="1251"/>
      <c r="E791" s="1250"/>
      <c r="F791" s="1252"/>
      <c r="G791" s="991"/>
      <c r="H791" s="1045"/>
      <c r="I791" s="1045"/>
      <c r="J791" s="991"/>
      <c r="K791" s="991"/>
      <c r="L791" s="1045"/>
      <c r="M791" s="991"/>
      <c r="N791" s="991"/>
      <c r="O791" s="991"/>
      <c r="P791" s="1045"/>
      <c r="Q791" s="991"/>
      <c r="R791" s="991"/>
      <c r="S791" s="991"/>
      <c r="T791" s="1045"/>
      <c r="U791" s="991"/>
      <c r="V791" s="991"/>
      <c r="W791" s="991"/>
      <c r="X791" s="1042"/>
    </row>
    <row r="792" spans="1:24" ht="15">
      <c r="A792" s="991"/>
      <c r="B792" s="1249"/>
      <c r="C792" s="1250"/>
      <c r="D792" s="1251"/>
      <c r="E792" s="1250"/>
      <c r="F792" s="1252"/>
      <c r="G792" s="991"/>
      <c r="H792" s="1045"/>
      <c r="I792" s="1045"/>
      <c r="J792" s="991"/>
      <c r="K792" s="991"/>
      <c r="L792" s="1045"/>
      <c r="M792" s="991"/>
      <c r="N792" s="991"/>
      <c r="O792" s="991"/>
      <c r="P792" s="1045"/>
      <c r="Q792" s="991"/>
      <c r="R792" s="991"/>
      <c r="S792" s="991"/>
      <c r="T792" s="1045"/>
      <c r="U792" s="991"/>
      <c r="V792" s="991"/>
      <c r="W792" s="991"/>
      <c r="X792" s="1042"/>
    </row>
    <row r="793" spans="1:24" ht="15">
      <c r="A793" s="991"/>
      <c r="B793" s="1249"/>
      <c r="C793" s="1250"/>
      <c r="D793" s="1251"/>
      <c r="E793" s="1250"/>
      <c r="F793" s="1252"/>
      <c r="G793" s="991"/>
      <c r="H793" s="1045"/>
      <c r="I793" s="1045"/>
      <c r="J793" s="991"/>
      <c r="K793" s="991"/>
      <c r="L793" s="1045"/>
      <c r="M793" s="991"/>
      <c r="N793" s="991"/>
      <c r="O793" s="991"/>
      <c r="P793" s="1045"/>
      <c r="Q793" s="991"/>
      <c r="R793" s="991"/>
      <c r="S793" s="991"/>
      <c r="T793" s="1045"/>
      <c r="U793" s="991"/>
      <c r="V793" s="991"/>
      <c r="W793" s="991"/>
      <c r="X793" s="1042"/>
    </row>
    <row r="794" spans="1:24" ht="15">
      <c r="A794" s="991"/>
      <c r="B794" s="1249"/>
      <c r="C794" s="1250"/>
      <c r="D794" s="1251"/>
      <c r="E794" s="1250"/>
      <c r="F794" s="1252"/>
      <c r="G794" s="991"/>
      <c r="H794" s="1045"/>
      <c r="I794" s="1045"/>
      <c r="J794" s="991"/>
      <c r="K794" s="991"/>
      <c r="L794" s="1045"/>
      <c r="M794" s="991"/>
      <c r="N794" s="991"/>
      <c r="O794" s="991"/>
      <c r="P794" s="1045"/>
      <c r="Q794" s="991"/>
      <c r="R794" s="991"/>
      <c r="S794" s="991"/>
      <c r="T794" s="1045"/>
      <c r="U794" s="991"/>
      <c r="V794" s="991"/>
      <c r="W794" s="991"/>
      <c r="X794" s="1042"/>
    </row>
    <row r="795" spans="1:24" ht="15">
      <c r="A795" s="991"/>
      <c r="B795" s="1249"/>
      <c r="C795" s="1250"/>
      <c r="D795" s="1251"/>
      <c r="E795" s="1250"/>
      <c r="F795" s="1252"/>
      <c r="G795" s="991"/>
      <c r="H795" s="1045"/>
      <c r="I795" s="1045"/>
      <c r="J795" s="991"/>
      <c r="K795" s="991"/>
      <c r="L795" s="1045"/>
      <c r="M795" s="991"/>
      <c r="N795" s="991"/>
      <c r="O795" s="991"/>
      <c r="P795" s="1045"/>
      <c r="Q795" s="991"/>
      <c r="R795" s="991"/>
      <c r="S795" s="991"/>
      <c r="T795" s="1045"/>
      <c r="U795" s="991"/>
      <c r="V795" s="991"/>
      <c r="W795" s="991"/>
      <c r="X795" s="1042"/>
    </row>
    <row r="796" spans="1:24" ht="15">
      <c r="A796" s="991"/>
      <c r="B796" s="1249"/>
      <c r="C796" s="1250"/>
      <c r="D796" s="1251"/>
      <c r="E796" s="1250"/>
      <c r="F796" s="1252"/>
      <c r="G796" s="991"/>
      <c r="H796" s="1045"/>
      <c r="I796" s="1045"/>
      <c r="J796" s="991"/>
      <c r="K796" s="991"/>
      <c r="L796" s="1045"/>
      <c r="M796" s="991"/>
      <c r="N796" s="991"/>
      <c r="O796" s="991"/>
      <c r="P796" s="1045"/>
      <c r="Q796" s="991"/>
      <c r="R796" s="991"/>
      <c r="S796" s="991"/>
      <c r="T796" s="1045"/>
      <c r="U796" s="991"/>
      <c r="V796" s="991"/>
      <c r="W796" s="991"/>
      <c r="X796" s="1042"/>
    </row>
    <row r="797" spans="1:24" ht="15">
      <c r="A797" s="991"/>
      <c r="B797" s="1249"/>
      <c r="C797" s="1250"/>
      <c r="D797" s="1251"/>
      <c r="E797" s="1250"/>
      <c r="F797" s="1252"/>
      <c r="G797" s="991"/>
      <c r="H797" s="1045"/>
      <c r="I797" s="1045"/>
      <c r="J797" s="991"/>
      <c r="K797" s="991"/>
      <c r="L797" s="1045"/>
      <c r="M797" s="991"/>
      <c r="N797" s="991"/>
      <c r="O797" s="991"/>
      <c r="P797" s="1045"/>
      <c r="Q797" s="991"/>
      <c r="R797" s="991"/>
      <c r="S797" s="991"/>
      <c r="T797" s="1045"/>
      <c r="U797" s="991"/>
      <c r="V797" s="991"/>
      <c r="W797" s="991"/>
      <c r="X797" s="1042"/>
    </row>
    <row r="798" spans="1:24" ht="15">
      <c r="A798" s="991"/>
      <c r="B798" s="1249"/>
      <c r="C798" s="1250"/>
      <c r="D798" s="1251"/>
      <c r="E798" s="1250"/>
      <c r="F798" s="1252"/>
      <c r="G798" s="991"/>
      <c r="H798" s="1045"/>
      <c r="I798" s="1045"/>
      <c r="J798" s="991"/>
      <c r="K798" s="991"/>
      <c r="L798" s="1045"/>
      <c r="M798" s="991"/>
      <c r="N798" s="991"/>
      <c r="O798" s="991"/>
      <c r="P798" s="1045"/>
      <c r="Q798" s="991"/>
      <c r="R798" s="991"/>
      <c r="S798" s="991"/>
      <c r="T798" s="1045"/>
      <c r="U798" s="991"/>
      <c r="V798" s="991"/>
      <c r="W798" s="991"/>
      <c r="X798" s="1042"/>
    </row>
    <row r="799" spans="1:24" ht="15">
      <c r="A799" s="991"/>
      <c r="B799" s="1249"/>
      <c r="C799" s="1250"/>
      <c r="D799" s="1251"/>
      <c r="E799" s="1250"/>
      <c r="F799" s="1252"/>
      <c r="G799" s="991"/>
      <c r="H799" s="1045"/>
      <c r="I799" s="1045"/>
      <c r="J799" s="991"/>
      <c r="K799" s="991"/>
      <c r="L799" s="1045"/>
      <c r="M799" s="991"/>
      <c r="N799" s="991"/>
      <c r="O799" s="991"/>
      <c r="P799" s="1045"/>
      <c r="Q799" s="991"/>
      <c r="R799" s="991"/>
      <c r="S799" s="991"/>
      <c r="T799" s="1045"/>
      <c r="U799" s="991"/>
      <c r="V799" s="991"/>
      <c r="W799" s="991"/>
      <c r="X799" s="1042"/>
    </row>
    <row r="800" spans="1:24" ht="15">
      <c r="A800" s="991"/>
      <c r="B800" s="1249"/>
      <c r="C800" s="1250"/>
      <c r="D800" s="1251"/>
      <c r="E800" s="1250"/>
      <c r="F800" s="1252"/>
      <c r="G800" s="991"/>
      <c r="H800" s="1045"/>
      <c r="I800" s="1045"/>
      <c r="J800" s="991"/>
      <c r="K800" s="991"/>
      <c r="L800" s="1045"/>
      <c r="M800" s="991"/>
      <c r="N800" s="991"/>
      <c r="O800" s="991"/>
      <c r="P800" s="1045"/>
      <c r="Q800" s="991"/>
      <c r="R800" s="991"/>
      <c r="S800" s="991"/>
      <c r="T800" s="1045"/>
      <c r="U800" s="991"/>
      <c r="V800" s="991"/>
      <c r="W800" s="991"/>
      <c r="X800" s="1042"/>
    </row>
    <row r="801" spans="1:24" ht="15">
      <c r="A801" s="991"/>
      <c r="B801" s="1249"/>
      <c r="C801" s="1250"/>
      <c r="D801" s="1251"/>
      <c r="E801" s="1250"/>
      <c r="F801" s="1252"/>
      <c r="G801" s="991"/>
      <c r="H801" s="1045"/>
      <c r="I801" s="1045"/>
      <c r="J801" s="991"/>
      <c r="K801" s="991"/>
      <c r="L801" s="1045"/>
      <c r="M801" s="991"/>
      <c r="N801" s="991"/>
      <c r="O801" s="991"/>
      <c r="P801" s="1045"/>
      <c r="Q801" s="991"/>
      <c r="R801" s="991"/>
      <c r="S801" s="991"/>
      <c r="T801" s="1045"/>
      <c r="U801" s="991"/>
      <c r="V801" s="991"/>
      <c r="W801" s="991"/>
      <c r="X801" s="1042"/>
    </row>
    <row r="802" spans="1:24" ht="15">
      <c r="A802" s="991"/>
      <c r="B802" s="1249"/>
      <c r="C802" s="1250"/>
      <c r="D802" s="1251"/>
      <c r="E802" s="1250"/>
      <c r="F802" s="1252"/>
      <c r="G802" s="991"/>
      <c r="H802" s="1045"/>
      <c r="I802" s="1045"/>
      <c r="J802" s="991"/>
      <c r="K802" s="991"/>
      <c r="L802" s="1045"/>
      <c r="M802" s="991"/>
      <c r="N802" s="991"/>
      <c r="O802" s="991"/>
      <c r="P802" s="1045"/>
      <c r="Q802" s="991"/>
      <c r="R802" s="991"/>
      <c r="S802" s="991"/>
      <c r="T802" s="1045"/>
      <c r="U802" s="991"/>
      <c r="V802" s="991"/>
      <c r="W802" s="991"/>
      <c r="X802" s="1042"/>
    </row>
    <row r="803" spans="1:24" ht="15">
      <c r="A803" s="991"/>
      <c r="B803" s="1249"/>
      <c r="C803" s="1250"/>
      <c r="D803" s="1251"/>
      <c r="E803" s="1250"/>
      <c r="F803" s="1252"/>
      <c r="G803" s="991"/>
      <c r="H803" s="1045"/>
      <c r="I803" s="1045"/>
      <c r="J803" s="991"/>
      <c r="K803" s="991"/>
      <c r="L803" s="1045"/>
      <c r="M803" s="991"/>
      <c r="N803" s="991"/>
      <c r="O803" s="991"/>
      <c r="P803" s="1045"/>
      <c r="Q803" s="991"/>
      <c r="R803" s="991"/>
      <c r="S803" s="991"/>
      <c r="T803" s="1045"/>
      <c r="U803" s="991"/>
      <c r="V803" s="991"/>
      <c r="W803" s="991"/>
      <c r="X803" s="1042"/>
    </row>
    <row r="804" spans="1:24" ht="15">
      <c r="A804" s="991"/>
      <c r="B804" s="1249"/>
      <c r="C804" s="1250"/>
      <c r="D804" s="1251"/>
      <c r="E804" s="1250"/>
      <c r="F804" s="1252"/>
      <c r="G804" s="991"/>
      <c r="H804" s="1045"/>
      <c r="I804" s="1045"/>
      <c r="J804" s="991"/>
      <c r="K804" s="991"/>
      <c r="L804" s="1045"/>
      <c r="M804" s="991"/>
      <c r="N804" s="991"/>
      <c r="O804" s="991"/>
      <c r="P804" s="1045"/>
      <c r="Q804" s="991"/>
      <c r="R804" s="991"/>
      <c r="S804" s="991"/>
      <c r="T804" s="1045"/>
      <c r="U804" s="991"/>
      <c r="V804" s="991"/>
      <c r="W804" s="991"/>
      <c r="X804" s="1042"/>
    </row>
    <row r="805" spans="1:24" ht="15">
      <c r="A805" s="991"/>
      <c r="B805" s="1249"/>
      <c r="C805" s="1250"/>
      <c r="D805" s="1251"/>
      <c r="E805" s="1250"/>
      <c r="F805" s="1252"/>
      <c r="G805" s="991"/>
      <c r="H805" s="1045"/>
      <c r="I805" s="1045"/>
      <c r="J805" s="991"/>
      <c r="K805" s="991"/>
      <c r="L805" s="1045"/>
      <c r="M805" s="991"/>
      <c r="N805" s="991"/>
      <c r="O805" s="991"/>
      <c r="P805" s="1045"/>
      <c r="Q805" s="991"/>
      <c r="R805" s="991"/>
      <c r="S805" s="991"/>
      <c r="T805" s="1045"/>
      <c r="U805" s="991"/>
      <c r="V805" s="991"/>
      <c r="W805" s="991"/>
      <c r="X805" s="1042"/>
    </row>
    <row r="806" spans="1:24" ht="15">
      <c r="A806" s="991"/>
      <c r="B806" s="1249"/>
      <c r="C806" s="1250"/>
      <c r="D806" s="1251"/>
      <c r="E806" s="1250"/>
      <c r="F806" s="1252"/>
      <c r="G806" s="991"/>
      <c r="H806" s="1045"/>
      <c r="I806" s="1045"/>
      <c r="J806" s="991"/>
      <c r="K806" s="991"/>
      <c r="L806" s="1045"/>
      <c r="M806" s="991"/>
      <c r="N806" s="991"/>
      <c r="O806" s="991"/>
      <c r="P806" s="1045"/>
      <c r="Q806" s="991"/>
      <c r="R806" s="991"/>
      <c r="S806" s="991"/>
      <c r="T806" s="1045"/>
      <c r="U806" s="991"/>
      <c r="V806" s="991"/>
      <c r="W806" s="991"/>
      <c r="X806" s="1042"/>
    </row>
    <row r="807" spans="1:24" ht="15">
      <c r="A807" s="991"/>
      <c r="B807" s="1249"/>
      <c r="C807" s="1250"/>
      <c r="D807" s="1251"/>
      <c r="E807" s="1250"/>
      <c r="F807" s="1252"/>
      <c r="G807" s="991"/>
      <c r="H807" s="1045"/>
      <c r="I807" s="1045"/>
      <c r="J807" s="991"/>
      <c r="K807" s="991"/>
      <c r="L807" s="1045"/>
      <c r="M807" s="991"/>
      <c r="N807" s="991"/>
      <c r="O807" s="991"/>
      <c r="P807" s="1045"/>
      <c r="Q807" s="991"/>
      <c r="R807" s="991"/>
      <c r="S807" s="991"/>
      <c r="T807" s="1045"/>
      <c r="U807" s="991"/>
      <c r="V807" s="991"/>
      <c r="W807" s="991"/>
      <c r="X807" s="1042"/>
    </row>
    <row r="808" spans="1:24" ht="15">
      <c r="A808" s="991"/>
      <c r="B808" s="1249"/>
      <c r="C808" s="1250"/>
      <c r="D808" s="1251"/>
      <c r="E808" s="1250"/>
      <c r="F808" s="1252"/>
      <c r="G808" s="991"/>
      <c r="H808" s="1045"/>
      <c r="I808" s="1045"/>
      <c r="J808" s="991"/>
      <c r="K808" s="991"/>
      <c r="L808" s="1045"/>
      <c r="M808" s="991"/>
      <c r="N808" s="991"/>
      <c r="O808" s="991"/>
      <c r="P808" s="1045"/>
      <c r="Q808" s="991"/>
      <c r="R808" s="991"/>
      <c r="S808" s="991"/>
      <c r="T808" s="1045"/>
      <c r="U808" s="991"/>
      <c r="V808" s="991"/>
      <c r="W808" s="991"/>
      <c r="X808" s="1042"/>
    </row>
    <row r="809" spans="1:24" ht="15">
      <c r="A809" s="991"/>
      <c r="B809" s="1249"/>
      <c r="C809" s="1250"/>
      <c r="D809" s="1251"/>
      <c r="E809" s="1250"/>
      <c r="F809" s="1252"/>
      <c r="G809" s="991"/>
      <c r="H809" s="1045"/>
      <c r="I809" s="1045"/>
      <c r="J809" s="991"/>
      <c r="K809" s="991"/>
      <c r="L809" s="1045"/>
      <c r="M809" s="991"/>
      <c r="N809" s="991"/>
      <c r="O809" s="991"/>
      <c r="P809" s="1045"/>
      <c r="Q809" s="991"/>
      <c r="R809" s="991"/>
      <c r="S809" s="991"/>
      <c r="T809" s="1045"/>
      <c r="U809" s="991"/>
      <c r="V809" s="991"/>
      <c r="W809" s="991"/>
      <c r="X809" s="1042"/>
    </row>
    <row r="810" spans="1:24" ht="15">
      <c r="A810" s="991"/>
      <c r="B810" s="1249"/>
      <c r="C810" s="1250"/>
      <c r="D810" s="1251"/>
      <c r="E810" s="1250"/>
      <c r="F810" s="1252"/>
      <c r="G810" s="991"/>
      <c r="H810" s="1045"/>
      <c r="I810" s="1045"/>
      <c r="J810" s="991"/>
      <c r="K810" s="991"/>
      <c r="L810" s="1045"/>
      <c r="M810" s="991"/>
      <c r="N810" s="991"/>
      <c r="O810" s="991"/>
      <c r="P810" s="1045"/>
      <c r="Q810" s="991"/>
      <c r="R810" s="991"/>
      <c r="S810" s="991"/>
      <c r="T810" s="1045"/>
      <c r="U810" s="991"/>
      <c r="V810" s="991"/>
      <c r="W810" s="991"/>
      <c r="X810" s="1042"/>
    </row>
    <row r="811" spans="1:24" ht="15">
      <c r="A811" s="991"/>
      <c r="B811" s="1249"/>
      <c r="C811" s="1250"/>
      <c r="D811" s="1251"/>
      <c r="E811" s="1250"/>
      <c r="F811" s="1252"/>
      <c r="G811" s="991"/>
      <c r="H811" s="1045"/>
      <c r="I811" s="1045"/>
      <c r="J811" s="991"/>
      <c r="K811" s="991"/>
      <c r="L811" s="1045"/>
      <c r="M811" s="991"/>
      <c r="N811" s="991"/>
      <c r="O811" s="991"/>
      <c r="P811" s="1045"/>
      <c r="Q811" s="991"/>
      <c r="R811" s="991"/>
      <c r="S811" s="991"/>
      <c r="T811" s="1045"/>
      <c r="U811" s="991"/>
      <c r="V811" s="991"/>
      <c r="W811" s="991"/>
      <c r="X811" s="1042"/>
    </row>
    <row r="812" spans="1:24" ht="15">
      <c r="A812" s="991"/>
      <c r="B812" s="1249"/>
      <c r="C812" s="1250"/>
      <c r="D812" s="1251"/>
      <c r="E812" s="1250"/>
      <c r="F812" s="1252"/>
      <c r="G812" s="991"/>
      <c r="H812" s="1045"/>
      <c r="I812" s="1045"/>
      <c r="J812" s="991"/>
      <c r="K812" s="991"/>
      <c r="L812" s="1045"/>
      <c r="M812" s="991"/>
      <c r="N812" s="991"/>
      <c r="O812" s="991"/>
      <c r="P812" s="1045"/>
      <c r="Q812" s="991"/>
      <c r="R812" s="991"/>
      <c r="S812" s="991"/>
      <c r="T812" s="1045"/>
      <c r="U812" s="991"/>
      <c r="V812" s="991"/>
      <c r="W812" s="991"/>
      <c r="X812" s="1042"/>
    </row>
    <row r="813" spans="1:24" ht="15">
      <c r="A813" s="991"/>
      <c r="B813" s="1249"/>
      <c r="C813" s="1250"/>
      <c r="D813" s="1251"/>
      <c r="E813" s="1250"/>
      <c r="F813" s="1252"/>
      <c r="G813" s="991"/>
      <c r="H813" s="1045"/>
      <c r="I813" s="1045"/>
      <c r="J813" s="991"/>
      <c r="K813" s="991"/>
      <c r="L813" s="1045"/>
      <c r="M813" s="991"/>
      <c r="N813" s="991"/>
      <c r="O813" s="991"/>
      <c r="P813" s="1045"/>
      <c r="Q813" s="991"/>
      <c r="R813" s="991"/>
      <c r="S813" s="991"/>
      <c r="T813" s="1045"/>
      <c r="U813" s="991"/>
      <c r="V813" s="991"/>
      <c r="W813" s="991"/>
      <c r="X813" s="1042"/>
    </row>
    <row r="814" spans="1:24" ht="15">
      <c r="A814" s="991"/>
      <c r="B814" s="1249"/>
      <c r="C814" s="1250"/>
      <c r="D814" s="1251"/>
      <c r="E814" s="1250"/>
      <c r="F814" s="1252"/>
      <c r="G814" s="991"/>
      <c r="H814" s="1045"/>
      <c r="I814" s="1045"/>
      <c r="J814" s="991"/>
      <c r="K814" s="991"/>
      <c r="L814" s="1045"/>
      <c r="M814" s="991"/>
      <c r="N814" s="991"/>
      <c r="O814" s="991"/>
      <c r="P814" s="1045"/>
      <c r="Q814" s="991"/>
      <c r="R814" s="991"/>
      <c r="S814" s="991"/>
      <c r="T814" s="1045"/>
      <c r="U814" s="991"/>
      <c r="V814" s="991"/>
      <c r="W814" s="991"/>
      <c r="X814" s="1042"/>
    </row>
    <row r="815" spans="1:24" ht="15">
      <c r="A815" s="991"/>
      <c r="B815" s="1249"/>
      <c r="C815" s="1250"/>
      <c r="D815" s="1251"/>
      <c r="E815" s="1250"/>
      <c r="F815" s="1252"/>
      <c r="G815" s="991"/>
      <c r="H815" s="1045"/>
      <c r="I815" s="1045"/>
      <c r="J815" s="991"/>
      <c r="K815" s="991"/>
      <c r="L815" s="1045"/>
      <c r="M815" s="991"/>
      <c r="N815" s="991"/>
      <c r="O815" s="991"/>
      <c r="P815" s="1045"/>
      <c r="Q815" s="991"/>
      <c r="R815" s="991"/>
      <c r="S815" s="991"/>
      <c r="T815" s="1045"/>
      <c r="U815" s="991"/>
      <c r="V815" s="991"/>
      <c r="W815" s="991"/>
      <c r="X815" s="1042"/>
    </row>
    <row r="816" spans="1:24" ht="15">
      <c r="A816" s="991"/>
      <c r="B816" s="1249"/>
      <c r="C816" s="1250"/>
      <c r="D816" s="1251"/>
      <c r="E816" s="1250"/>
      <c r="F816" s="1252"/>
      <c r="G816" s="991"/>
      <c r="H816" s="1045"/>
      <c r="I816" s="1045"/>
      <c r="J816" s="991"/>
      <c r="K816" s="991"/>
      <c r="L816" s="1045"/>
      <c r="M816" s="991"/>
      <c r="N816" s="991"/>
      <c r="O816" s="991"/>
      <c r="P816" s="1045"/>
      <c r="Q816" s="991"/>
      <c r="R816" s="991"/>
      <c r="S816" s="991"/>
      <c r="T816" s="1045"/>
      <c r="U816" s="991"/>
      <c r="V816" s="991"/>
      <c r="W816" s="991"/>
      <c r="X816" s="1042"/>
    </row>
    <row r="817" spans="1:24" ht="15">
      <c r="A817" s="991"/>
      <c r="B817" s="1249"/>
      <c r="C817" s="1250"/>
      <c r="D817" s="1251"/>
      <c r="E817" s="1250"/>
      <c r="F817" s="1252"/>
      <c r="G817" s="991"/>
      <c r="H817" s="1045"/>
      <c r="I817" s="1045"/>
      <c r="J817" s="991"/>
      <c r="K817" s="991"/>
      <c r="L817" s="1045"/>
      <c r="M817" s="991"/>
      <c r="N817" s="991"/>
      <c r="O817" s="991"/>
      <c r="P817" s="1045"/>
      <c r="Q817" s="991"/>
      <c r="R817" s="991"/>
      <c r="S817" s="991"/>
      <c r="T817" s="1045"/>
      <c r="U817" s="991"/>
      <c r="V817" s="991"/>
      <c r="W817" s="991"/>
      <c r="X817" s="1042"/>
    </row>
    <row r="818" spans="1:24" ht="15">
      <c r="A818" s="991"/>
      <c r="B818" s="1249"/>
      <c r="C818" s="1250"/>
      <c r="D818" s="1251"/>
      <c r="E818" s="1250"/>
      <c r="F818" s="1252"/>
      <c r="G818" s="991"/>
      <c r="H818" s="1045"/>
      <c r="I818" s="1045"/>
      <c r="J818" s="991"/>
      <c r="K818" s="991"/>
      <c r="L818" s="1045"/>
      <c r="M818" s="991"/>
      <c r="N818" s="991"/>
      <c r="O818" s="991"/>
      <c r="P818" s="1045"/>
      <c r="Q818" s="991"/>
      <c r="R818" s="991"/>
      <c r="S818" s="991"/>
      <c r="T818" s="1045"/>
      <c r="U818" s="991"/>
      <c r="V818" s="991"/>
      <c r="W818" s="991"/>
      <c r="X818" s="1042"/>
    </row>
    <row r="819" spans="1:24" ht="15">
      <c r="A819" s="991"/>
      <c r="B819" s="1249"/>
      <c r="C819" s="1250"/>
      <c r="D819" s="1251"/>
      <c r="E819" s="1250"/>
      <c r="F819" s="1252"/>
      <c r="G819" s="991"/>
      <c r="H819" s="1045"/>
      <c r="I819" s="1045"/>
      <c r="J819" s="991"/>
      <c r="K819" s="991"/>
      <c r="L819" s="1045"/>
      <c r="M819" s="991"/>
      <c r="N819" s="991"/>
      <c r="O819" s="991"/>
      <c r="P819" s="1045"/>
      <c r="Q819" s="991"/>
      <c r="R819" s="991"/>
      <c r="S819" s="991"/>
      <c r="T819" s="1045"/>
      <c r="U819" s="991"/>
      <c r="V819" s="991"/>
      <c r="W819" s="991"/>
      <c r="X819" s="1042"/>
    </row>
    <row r="820" spans="1:24" ht="15">
      <c r="A820" s="991"/>
      <c r="B820" s="1249"/>
      <c r="C820" s="1250"/>
      <c r="D820" s="1251"/>
      <c r="E820" s="1250"/>
      <c r="F820" s="1252"/>
      <c r="G820" s="991"/>
      <c r="H820" s="1045"/>
      <c r="I820" s="1045"/>
      <c r="J820" s="991"/>
      <c r="K820" s="991"/>
      <c r="L820" s="1045"/>
      <c r="M820" s="991"/>
      <c r="N820" s="991"/>
      <c r="O820" s="991"/>
      <c r="P820" s="1045"/>
      <c r="Q820" s="991"/>
      <c r="R820" s="991"/>
      <c r="S820" s="991"/>
      <c r="T820" s="1045"/>
      <c r="U820" s="991"/>
      <c r="V820" s="991"/>
      <c r="W820" s="991"/>
      <c r="X820" s="1042"/>
    </row>
    <row r="821" spans="1:24" ht="15">
      <c r="A821" s="991"/>
      <c r="B821" s="1249"/>
      <c r="C821" s="1250"/>
      <c r="D821" s="1251"/>
      <c r="E821" s="1250"/>
      <c r="F821" s="1252"/>
      <c r="G821" s="991"/>
      <c r="H821" s="1045"/>
      <c r="I821" s="1045"/>
      <c r="J821" s="991"/>
      <c r="K821" s="991"/>
      <c r="L821" s="1045"/>
      <c r="M821" s="991"/>
      <c r="N821" s="991"/>
      <c r="O821" s="991"/>
      <c r="P821" s="1045"/>
      <c r="Q821" s="991"/>
      <c r="R821" s="991"/>
      <c r="S821" s="991"/>
      <c r="T821" s="1045"/>
      <c r="U821" s="991"/>
      <c r="V821" s="991"/>
      <c r="W821" s="991"/>
      <c r="X821" s="1042"/>
    </row>
    <row r="822" spans="1:24" ht="15">
      <c r="A822" s="991"/>
      <c r="B822" s="1249"/>
      <c r="C822" s="1250"/>
      <c r="D822" s="1251"/>
      <c r="E822" s="1250"/>
      <c r="F822" s="1252"/>
      <c r="G822" s="991"/>
      <c r="H822" s="1045"/>
      <c r="I822" s="1045"/>
      <c r="J822" s="991"/>
      <c r="K822" s="991"/>
      <c r="L822" s="1045"/>
      <c r="M822" s="991"/>
      <c r="N822" s="991"/>
      <c r="O822" s="991"/>
      <c r="P822" s="1045"/>
      <c r="Q822" s="991"/>
      <c r="R822" s="991"/>
      <c r="S822" s="991"/>
      <c r="T822" s="1045"/>
      <c r="U822" s="991"/>
      <c r="V822" s="991"/>
      <c r="W822" s="991"/>
      <c r="X822" s="1042"/>
    </row>
    <row r="823" spans="1:24" ht="15">
      <c r="A823" s="991"/>
      <c r="B823" s="1249"/>
      <c r="C823" s="1250"/>
      <c r="D823" s="1251"/>
      <c r="E823" s="1250"/>
      <c r="F823" s="1252"/>
      <c r="G823" s="991"/>
      <c r="H823" s="1045"/>
      <c r="I823" s="1045"/>
      <c r="J823" s="991"/>
      <c r="K823" s="991"/>
      <c r="L823" s="1045"/>
      <c r="M823" s="991"/>
      <c r="N823" s="991"/>
      <c r="O823" s="991"/>
      <c r="P823" s="1045"/>
      <c r="Q823" s="991"/>
      <c r="R823" s="991"/>
      <c r="S823" s="991"/>
      <c r="T823" s="1045"/>
      <c r="U823" s="991"/>
      <c r="V823" s="991"/>
      <c r="W823" s="991"/>
      <c r="X823" s="1042"/>
    </row>
    <row r="824" spans="1:24" ht="15">
      <c r="A824" s="991"/>
      <c r="B824" s="1249"/>
      <c r="C824" s="1250"/>
      <c r="D824" s="1251"/>
      <c r="E824" s="1250"/>
      <c r="F824" s="1252"/>
      <c r="G824" s="991"/>
      <c r="H824" s="1045"/>
      <c r="I824" s="1045"/>
      <c r="J824" s="991"/>
      <c r="K824" s="991"/>
      <c r="L824" s="1045"/>
      <c r="M824" s="991"/>
      <c r="N824" s="991"/>
      <c r="O824" s="991"/>
      <c r="P824" s="1045"/>
      <c r="Q824" s="991"/>
      <c r="R824" s="991"/>
      <c r="S824" s="991"/>
      <c r="T824" s="1045"/>
      <c r="U824" s="991"/>
      <c r="V824" s="991"/>
      <c r="W824" s="991"/>
      <c r="X824" s="1042"/>
    </row>
    <row r="825" spans="1:24" ht="15">
      <c r="A825" s="991"/>
      <c r="B825" s="1249"/>
      <c r="C825" s="1250"/>
      <c r="D825" s="1251"/>
      <c r="E825" s="1250"/>
      <c r="F825" s="1252"/>
      <c r="G825" s="991"/>
      <c r="H825" s="1045"/>
      <c r="I825" s="1045"/>
      <c r="J825" s="991"/>
      <c r="K825" s="991"/>
      <c r="L825" s="1045"/>
      <c r="M825" s="991"/>
      <c r="N825" s="991"/>
      <c r="O825" s="991"/>
      <c r="P825" s="1045"/>
      <c r="Q825" s="991"/>
      <c r="R825" s="991"/>
      <c r="S825" s="991"/>
      <c r="T825" s="1045"/>
      <c r="U825" s="991"/>
      <c r="V825" s="991"/>
      <c r="W825" s="991"/>
      <c r="X825" s="1042"/>
    </row>
    <row r="826" spans="1:24" ht="15">
      <c r="A826" s="991"/>
      <c r="B826" s="1249"/>
      <c r="C826" s="1250"/>
      <c r="D826" s="1251"/>
      <c r="E826" s="1250"/>
      <c r="F826" s="1252"/>
      <c r="G826" s="991"/>
      <c r="H826" s="1045"/>
      <c r="I826" s="1045"/>
      <c r="J826" s="991"/>
      <c r="K826" s="991"/>
      <c r="L826" s="1045"/>
      <c r="M826" s="991"/>
      <c r="N826" s="991"/>
      <c r="O826" s="991"/>
      <c r="P826" s="1045"/>
      <c r="Q826" s="991"/>
      <c r="R826" s="991"/>
      <c r="S826" s="991"/>
      <c r="T826" s="1045"/>
      <c r="U826" s="991"/>
      <c r="V826" s="991"/>
      <c r="W826" s="991"/>
      <c r="X826" s="1042"/>
    </row>
    <row r="827" spans="1:24" ht="15">
      <c r="A827" s="991"/>
      <c r="B827" s="1249"/>
      <c r="C827" s="1250"/>
      <c r="D827" s="1251"/>
      <c r="E827" s="1250"/>
      <c r="F827" s="1252"/>
      <c r="G827" s="991"/>
      <c r="H827" s="1045"/>
      <c r="I827" s="1045"/>
      <c r="J827" s="991"/>
      <c r="K827" s="991"/>
      <c r="L827" s="1045"/>
      <c r="M827" s="991"/>
      <c r="N827" s="991"/>
      <c r="O827" s="991"/>
      <c r="P827" s="1045"/>
      <c r="Q827" s="991"/>
      <c r="R827" s="991"/>
      <c r="S827" s="991"/>
      <c r="T827" s="1045"/>
      <c r="U827" s="991"/>
      <c r="V827" s="991"/>
      <c r="W827" s="991"/>
      <c r="X827" s="1042"/>
    </row>
    <row r="828" spans="1:24" ht="15">
      <c r="A828" s="991"/>
      <c r="B828" s="1249"/>
      <c r="C828" s="1250"/>
      <c r="D828" s="1251"/>
      <c r="E828" s="1250"/>
      <c r="F828" s="1252"/>
      <c r="G828" s="991"/>
      <c r="H828" s="1045"/>
      <c r="I828" s="1045"/>
      <c r="J828" s="991"/>
      <c r="K828" s="991"/>
      <c r="L828" s="1045"/>
      <c r="M828" s="991"/>
      <c r="N828" s="991"/>
      <c r="O828" s="991"/>
      <c r="P828" s="1045"/>
      <c r="Q828" s="991"/>
      <c r="R828" s="991"/>
      <c r="S828" s="991"/>
      <c r="T828" s="1045"/>
      <c r="U828" s="991"/>
      <c r="V828" s="991"/>
      <c r="W828" s="991"/>
      <c r="X828" s="1042"/>
    </row>
    <row r="829" spans="1:24" ht="15">
      <c r="A829" s="991"/>
      <c r="B829" s="1249"/>
      <c r="C829" s="1250"/>
      <c r="D829" s="1251"/>
      <c r="E829" s="1250"/>
      <c r="F829" s="1252"/>
      <c r="G829" s="991"/>
      <c r="H829" s="1045"/>
      <c r="I829" s="1045"/>
      <c r="J829" s="991"/>
      <c r="K829" s="991"/>
      <c r="L829" s="1045"/>
      <c r="M829" s="991"/>
      <c r="N829" s="991"/>
      <c r="O829" s="991"/>
      <c r="P829" s="1045"/>
      <c r="Q829" s="991"/>
      <c r="R829" s="991"/>
      <c r="S829" s="991"/>
      <c r="T829" s="1045"/>
      <c r="U829" s="991"/>
      <c r="V829" s="991"/>
      <c r="W829" s="991"/>
      <c r="X829" s="1042"/>
    </row>
    <row r="830" spans="1:24" ht="15">
      <c r="A830" s="991"/>
      <c r="B830" s="1249"/>
      <c r="C830" s="1250"/>
      <c r="D830" s="1251"/>
      <c r="E830" s="1250"/>
      <c r="F830" s="1252"/>
      <c r="G830" s="991"/>
      <c r="H830" s="1045"/>
      <c r="I830" s="1045"/>
      <c r="J830" s="991"/>
      <c r="K830" s="991"/>
      <c r="L830" s="1045"/>
      <c r="M830" s="991"/>
      <c r="N830" s="991"/>
      <c r="O830" s="991"/>
      <c r="P830" s="1045"/>
      <c r="Q830" s="991"/>
      <c r="R830" s="991"/>
      <c r="S830" s="991"/>
      <c r="T830" s="1045"/>
      <c r="U830" s="991"/>
      <c r="V830" s="991"/>
      <c r="W830" s="991"/>
      <c r="X830" s="1042"/>
    </row>
    <row r="831" spans="1:24" ht="15">
      <c r="A831" s="991"/>
      <c r="B831" s="1249"/>
      <c r="C831" s="1250"/>
      <c r="D831" s="1251"/>
      <c r="E831" s="1250"/>
      <c r="F831" s="1252"/>
      <c r="G831" s="991"/>
      <c r="H831" s="1045"/>
      <c r="I831" s="1045"/>
      <c r="J831" s="991"/>
      <c r="K831" s="991"/>
      <c r="L831" s="1045"/>
      <c r="M831" s="991"/>
      <c r="N831" s="991"/>
      <c r="O831" s="991"/>
      <c r="P831" s="1045"/>
      <c r="Q831" s="991"/>
      <c r="R831" s="991"/>
      <c r="S831" s="991"/>
      <c r="T831" s="1045"/>
      <c r="U831" s="991"/>
      <c r="V831" s="991"/>
      <c r="W831" s="991"/>
      <c r="X831" s="1042"/>
    </row>
    <row r="832" spans="1:24" ht="15">
      <c r="A832" s="991"/>
      <c r="B832" s="1249"/>
      <c r="C832" s="1250"/>
      <c r="D832" s="1251"/>
      <c r="E832" s="1250"/>
      <c r="F832" s="1252"/>
      <c r="G832" s="991"/>
      <c r="H832" s="1045"/>
      <c r="I832" s="1045"/>
      <c r="J832" s="991"/>
      <c r="K832" s="991"/>
      <c r="L832" s="1045"/>
      <c r="M832" s="991"/>
      <c r="N832" s="991"/>
      <c r="O832" s="991"/>
      <c r="P832" s="1045"/>
      <c r="Q832" s="991"/>
      <c r="R832" s="991"/>
      <c r="S832" s="991"/>
      <c r="T832" s="1045"/>
      <c r="U832" s="991"/>
      <c r="V832" s="991"/>
      <c r="W832" s="991"/>
      <c r="X832" s="1042"/>
    </row>
    <row r="833" spans="1:24" ht="15">
      <c r="A833" s="991"/>
      <c r="B833" s="1249"/>
      <c r="C833" s="1250"/>
      <c r="D833" s="1251"/>
      <c r="E833" s="1250"/>
      <c r="F833" s="1252"/>
      <c r="G833" s="991"/>
      <c r="H833" s="1045"/>
      <c r="I833" s="1045"/>
      <c r="J833" s="991"/>
      <c r="K833" s="991"/>
      <c r="L833" s="1045"/>
      <c r="M833" s="991"/>
      <c r="N833" s="991"/>
      <c r="O833" s="991"/>
      <c r="P833" s="1045"/>
      <c r="Q833" s="991"/>
      <c r="R833" s="991"/>
      <c r="S833" s="991"/>
      <c r="T833" s="1045"/>
      <c r="U833" s="991"/>
      <c r="V833" s="991"/>
      <c r="W833" s="991"/>
      <c r="X833" s="1042"/>
    </row>
    <row r="834" spans="1:24" ht="15">
      <c r="A834" s="991"/>
      <c r="B834" s="1249"/>
      <c r="C834" s="1250"/>
      <c r="D834" s="1251"/>
      <c r="E834" s="1250"/>
      <c r="F834" s="1252"/>
      <c r="G834" s="991"/>
      <c r="H834" s="1045"/>
      <c r="I834" s="1045"/>
      <c r="J834" s="991"/>
      <c r="K834" s="991"/>
      <c r="L834" s="1045"/>
      <c r="M834" s="991"/>
      <c r="N834" s="991"/>
      <c r="O834" s="991"/>
      <c r="P834" s="1045"/>
      <c r="Q834" s="991"/>
      <c r="R834" s="991"/>
      <c r="S834" s="991"/>
      <c r="T834" s="1045"/>
      <c r="U834" s="991"/>
      <c r="V834" s="991"/>
      <c r="W834" s="991"/>
      <c r="X834" s="1042"/>
    </row>
    <row r="835" spans="1:24" ht="15">
      <c r="A835" s="991"/>
      <c r="B835" s="1249"/>
      <c r="C835" s="1250"/>
      <c r="D835" s="1251"/>
      <c r="E835" s="1250"/>
      <c r="F835" s="1252"/>
      <c r="G835" s="991"/>
      <c r="H835" s="1045"/>
      <c r="I835" s="1045"/>
      <c r="J835" s="991"/>
      <c r="K835" s="991"/>
      <c r="L835" s="1045"/>
      <c r="M835" s="991"/>
      <c r="N835" s="991"/>
      <c r="O835" s="991"/>
      <c r="P835" s="1045"/>
      <c r="Q835" s="991"/>
      <c r="R835" s="991"/>
      <c r="S835" s="991"/>
      <c r="T835" s="1045"/>
      <c r="U835" s="991"/>
      <c r="V835" s="991"/>
      <c r="W835" s="991"/>
      <c r="X835" s="1042"/>
    </row>
    <row r="836" spans="1:24" ht="15">
      <c r="A836" s="991"/>
      <c r="B836" s="1249"/>
      <c r="C836" s="1250"/>
      <c r="D836" s="1251"/>
      <c r="E836" s="1250"/>
      <c r="F836" s="1252"/>
      <c r="G836" s="991"/>
      <c r="H836" s="1045"/>
      <c r="I836" s="1045"/>
      <c r="J836" s="991"/>
      <c r="K836" s="991"/>
      <c r="L836" s="1045"/>
      <c r="M836" s="991"/>
      <c r="N836" s="991"/>
      <c r="O836" s="991"/>
      <c r="P836" s="1045"/>
      <c r="Q836" s="991"/>
      <c r="R836" s="991"/>
      <c r="S836" s="991"/>
      <c r="T836" s="1045"/>
      <c r="U836" s="991"/>
      <c r="V836" s="991"/>
      <c r="W836" s="991"/>
      <c r="X836" s="1042"/>
    </row>
    <row r="837" spans="1:24" ht="15">
      <c r="A837" s="991"/>
      <c r="B837" s="1249"/>
      <c r="C837" s="1250"/>
      <c r="D837" s="1251"/>
      <c r="E837" s="1250"/>
      <c r="F837" s="1252"/>
      <c r="G837" s="991"/>
      <c r="H837" s="1045"/>
      <c r="I837" s="1045"/>
      <c r="J837" s="991"/>
      <c r="K837" s="991"/>
      <c r="L837" s="1045"/>
      <c r="M837" s="991"/>
      <c r="N837" s="991"/>
      <c r="O837" s="991"/>
      <c r="P837" s="1045"/>
      <c r="Q837" s="991"/>
      <c r="R837" s="991"/>
      <c r="S837" s="991"/>
      <c r="T837" s="1045"/>
      <c r="U837" s="991"/>
      <c r="V837" s="991"/>
      <c r="W837" s="991"/>
      <c r="X837" s="1042"/>
    </row>
    <row r="838" spans="1:24" ht="15">
      <c r="A838" s="991"/>
      <c r="B838" s="1249"/>
      <c r="C838" s="1250"/>
      <c r="D838" s="1251"/>
      <c r="E838" s="1250"/>
      <c r="F838" s="1252"/>
      <c r="G838" s="991"/>
      <c r="H838" s="1045"/>
      <c r="I838" s="1045"/>
      <c r="J838" s="991"/>
      <c r="K838" s="991"/>
      <c r="L838" s="1045"/>
      <c r="M838" s="991"/>
      <c r="N838" s="991"/>
      <c r="O838" s="991"/>
      <c r="P838" s="1045"/>
      <c r="Q838" s="991"/>
      <c r="R838" s="991"/>
      <c r="S838" s="991"/>
      <c r="T838" s="1045"/>
      <c r="U838" s="991"/>
      <c r="V838" s="991"/>
      <c r="W838" s="991"/>
      <c r="X838" s="1042"/>
    </row>
    <row r="839" spans="1:24" ht="15">
      <c r="A839" s="991"/>
      <c r="B839" s="1249"/>
      <c r="C839" s="1250"/>
      <c r="D839" s="1251"/>
      <c r="E839" s="1250"/>
      <c r="F839" s="1252"/>
      <c r="G839" s="991"/>
      <c r="H839" s="1045"/>
      <c r="I839" s="1045"/>
      <c r="J839" s="991"/>
      <c r="K839" s="991"/>
      <c r="L839" s="1045"/>
      <c r="M839" s="991"/>
      <c r="N839" s="991"/>
      <c r="O839" s="991"/>
      <c r="P839" s="1045"/>
      <c r="Q839" s="991"/>
      <c r="R839" s="991"/>
      <c r="S839" s="991"/>
      <c r="T839" s="1045"/>
      <c r="U839" s="991"/>
      <c r="V839" s="991"/>
      <c r="W839" s="991"/>
      <c r="X839" s="1042"/>
    </row>
    <row r="840" spans="1:24" ht="15">
      <c r="A840" s="991"/>
      <c r="B840" s="1249"/>
      <c r="C840" s="1250"/>
      <c r="D840" s="1251"/>
      <c r="E840" s="1250"/>
      <c r="F840" s="1252"/>
      <c r="G840" s="991"/>
      <c r="H840" s="1045"/>
      <c r="I840" s="1045"/>
      <c r="J840" s="991"/>
      <c r="K840" s="991"/>
      <c r="L840" s="1045"/>
      <c r="M840" s="991"/>
      <c r="N840" s="991"/>
      <c r="O840" s="991"/>
      <c r="P840" s="1045"/>
      <c r="Q840" s="991"/>
      <c r="R840" s="991"/>
      <c r="S840" s="991"/>
      <c r="T840" s="1045"/>
      <c r="U840" s="991"/>
      <c r="V840" s="991"/>
      <c r="W840" s="991"/>
      <c r="X840" s="1042"/>
    </row>
    <row r="841" spans="1:24" ht="15">
      <c r="A841" s="991"/>
      <c r="B841" s="1249"/>
      <c r="C841" s="1250"/>
      <c r="D841" s="1251"/>
      <c r="E841" s="1250"/>
      <c r="F841" s="1252"/>
      <c r="G841" s="991"/>
      <c r="H841" s="1045"/>
      <c r="I841" s="1045"/>
      <c r="J841" s="991"/>
      <c r="K841" s="991"/>
      <c r="L841" s="1045"/>
      <c r="M841" s="991"/>
      <c r="N841" s="991"/>
      <c r="O841" s="991"/>
      <c r="P841" s="1045"/>
      <c r="Q841" s="991"/>
      <c r="R841" s="991"/>
      <c r="S841" s="991"/>
      <c r="T841" s="1045"/>
      <c r="U841" s="991"/>
      <c r="V841" s="991"/>
      <c r="W841" s="991"/>
      <c r="X841" s="1042"/>
    </row>
    <row r="842" spans="1:24" ht="15">
      <c r="A842" s="991"/>
      <c r="B842" s="1249"/>
      <c r="C842" s="1250"/>
      <c r="D842" s="1251"/>
      <c r="E842" s="1250"/>
      <c r="F842" s="1252"/>
      <c r="G842" s="991"/>
      <c r="H842" s="1045"/>
      <c r="I842" s="1045"/>
      <c r="J842" s="991"/>
      <c r="K842" s="991"/>
      <c r="L842" s="1045"/>
      <c r="M842" s="991"/>
      <c r="N842" s="991"/>
      <c r="O842" s="991"/>
      <c r="P842" s="1045"/>
      <c r="Q842" s="991"/>
      <c r="R842" s="991"/>
      <c r="S842" s="991"/>
      <c r="T842" s="1045"/>
      <c r="U842" s="991"/>
      <c r="V842" s="991"/>
      <c r="W842" s="991"/>
      <c r="X842" s="1042"/>
    </row>
    <row r="843" spans="1:24" ht="15">
      <c r="A843" s="991"/>
      <c r="B843" s="1249"/>
      <c r="C843" s="1250"/>
      <c r="D843" s="1251"/>
      <c r="E843" s="1250"/>
      <c r="F843" s="1252"/>
      <c r="G843" s="991"/>
      <c r="H843" s="1045"/>
      <c r="I843" s="1045"/>
      <c r="J843" s="991"/>
      <c r="K843" s="991"/>
      <c r="L843" s="1045"/>
      <c r="M843" s="991"/>
      <c r="N843" s="991"/>
      <c r="O843" s="991"/>
      <c r="P843" s="1045"/>
      <c r="Q843" s="991"/>
      <c r="R843" s="991"/>
      <c r="S843" s="991"/>
      <c r="T843" s="1045"/>
      <c r="U843" s="991"/>
      <c r="V843" s="991"/>
      <c r="W843" s="991"/>
      <c r="X843" s="1042"/>
    </row>
    <row r="844" spans="1:24" ht="15">
      <c r="A844" s="991"/>
      <c r="B844" s="1249"/>
      <c r="C844" s="1250"/>
      <c r="D844" s="1251"/>
      <c r="E844" s="1250"/>
      <c r="F844" s="1252"/>
      <c r="G844" s="991"/>
      <c r="H844" s="1045"/>
      <c r="I844" s="1045"/>
      <c r="J844" s="991"/>
      <c r="K844" s="991"/>
      <c r="L844" s="1045"/>
      <c r="M844" s="991"/>
      <c r="N844" s="991"/>
      <c r="O844" s="991"/>
      <c r="P844" s="1045"/>
      <c r="Q844" s="991"/>
      <c r="R844" s="991"/>
      <c r="S844" s="991"/>
      <c r="T844" s="1045"/>
      <c r="U844" s="991"/>
      <c r="V844" s="991"/>
      <c r="W844" s="991"/>
      <c r="X844" s="1042"/>
    </row>
    <row r="845" spans="1:24" ht="15">
      <c r="A845" s="991"/>
      <c r="B845" s="1249"/>
      <c r="C845" s="1250"/>
      <c r="D845" s="1251"/>
      <c r="E845" s="1250"/>
      <c r="F845" s="1252"/>
      <c r="G845" s="991"/>
      <c r="H845" s="1045"/>
      <c r="I845" s="1045"/>
      <c r="J845" s="991"/>
      <c r="K845" s="991"/>
      <c r="L845" s="1045"/>
      <c r="M845" s="991"/>
      <c r="N845" s="991"/>
      <c r="O845" s="991"/>
      <c r="P845" s="1045"/>
      <c r="Q845" s="991"/>
      <c r="R845" s="991"/>
      <c r="S845" s="991"/>
      <c r="T845" s="1045"/>
      <c r="U845" s="991"/>
      <c r="V845" s="991"/>
      <c r="W845" s="991"/>
      <c r="X845" s="1042"/>
    </row>
    <row r="846" spans="1:24" ht="15">
      <c r="A846" s="991"/>
      <c r="B846" s="1249"/>
      <c r="C846" s="1250"/>
      <c r="D846" s="1251"/>
      <c r="E846" s="1250"/>
      <c r="F846" s="1252"/>
      <c r="G846" s="991"/>
      <c r="H846" s="1045"/>
      <c r="I846" s="1045"/>
      <c r="J846" s="991"/>
      <c r="K846" s="991"/>
      <c r="L846" s="1045"/>
      <c r="M846" s="991"/>
      <c r="N846" s="991"/>
      <c r="O846" s="991"/>
      <c r="P846" s="1045"/>
      <c r="Q846" s="991"/>
      <c r="R846" s="991"/>
      <c r="S846" s="991"/>
      <c r="T846" s="1045"/>
      <c r="U846" s="991"/>
      <c r="V846" s="991"/>
      <c r="W846" s="991"/>
      <c r="X846" s="1042"/>
    </row>
    <row r="847" spans="1:24" ht="15">
      <c r="A847" s="991"/>
      <c r="B847" s="1249"/>
      <c r="C847" s="1250"/>
      <c r="D847" s="1251"/>
      <c r="E847" s="1250"/>
      <c r="F847" s="1252"/>
      <c r="G847" s="991"/>
      <c r="H847" s="1045"/>
      <c r="I847" s="1045"/>
      <c r="J847" s="991"/>
      <c r="K847" s="991"/>
      <c r="L847" s="1045"/>
      <c r="M847" s="991"/>
      <c r="N847" s="991"/>
      <c r="O847" s="991"/>
      <c r="P847" s="1045"/>
      <c r="Q847" s="991"/>
      <c r="R847" s="991"/>
      <c r="S847" s="991"/>
      <c r="T847" s="1045"/>
      <c r="U847" s="991"/>
      <c r="V847" s="991"/>
      <c r="W847" s="991"/>
      <c r="X847" s="1042"/>
    </row>
    <row r="848" spans="1:24" ht="15">
      <c r="A848" s="991"/>
      <c r="B848" s="1249"/>
      <c r="C848" s="1250"/>
      <c r="D848" s="1251"/>
      <c r="E848" s="1250"/>
      <c r="F848" s="1252"/>
      <c r="G848" s="991"/>
      <c r="H848" s="1045"/>
      <c r="I848" s="1045"/>
      <c r="J848" s="991"/>
      <c r="K848" s="991"/>
      <c r="L848" s="1045"/>
      <c r="M848" s="991"/>
      <c r="N848" s="991"/>
      <c r="O848" s="991"/>
      <c r="P848" s="1045"/>
      <c r="Q848" s="991"/>
      <c r="R848" s="991"/>
      <c r="S848" s="991"/>
      <c r="T848" s="1045"/>
      <c r="U848" s="991"/>
      <c r="V848" s="991"/>
      <c r="W848" s="991"/>
      <c r="X848" s="1042"/>
    </row>
    <row r="849" spans="1:24" ht="15">
      <c r="A849" s="991"/>
      <c r="B849" s="1249"/>
      <c r="C849" s="1250"/>
      <c r="D849" s="1251"/>
      <c r="E849" s="1250"/>
      <c r="F849" s="1252"/>
      <c r="G849" s="991"/>
      <c r="H849" s="1045"/>
      <c r="I849" s="1045"/>
      <c r="J849" s="991"/>
      <c r="K849" s="991"/>
      <c r="L849" s="1045"/>
      <c r="M849" s="991"/>
      <c r="N849" s="991"/>
      <c r="O849" s="991"/>
      <c r="P849" s="1045"/>
      <c r="Q849" s="991"/>
      <c r="R849" s="991"/>
      <c r="S849" s="991"/>
      <c r="T849" s="1045"/>
      <c r="U849" s="991"/>
      <c r="V849" s="991"/>
      <c r="W849" s="991"/>
      <c r="X849" s="1042"/>
    </row>
    <row r="850" spans="1:24" ht="15">
      <c r="A850" s="991"/>
      <c r="B850" s="1249"/>
      <c r="C850" s="1250"/>
      <c r="D850" s="1251"/>
      <c r="E850" s="1250"/>
      <c r="F850" s="1252"/>
      <c r="G850" s="991"/>
      <c r="H850" s="1045"/>
      <c r="I850" s="1045"/>
      <c r="J850" s="991"/>
      <c r="K850" s="991"/>
      <c r="L850" s="1045"/>
      <c r="M850" s="991"/>
      <c r="N850" s="991"/>
      <c r="O850" s="991"/>
      <c r="P850" s="1045"/>
      <c r="Q850" s="991"/>
      <c r="R850" s="991"/>
      <c r="S850" s="991"/>
      <c r="T850" s="1045"/>
      <c r="U850" s="991"/>
      <c r="V850" s="991"/>
      <c r="W850" s="991"/>
      <c r="X850" s="1042"/>
    </row>
    <row r="851" spans="1:24" ht="15">
      <c r="A851" s="991"/>
      <c r="B851" s="1249"/>
      <c r="C851" s="1250"/>
      <c r="D851" s="1251"/>
      <c r="E851" s="1250"/>
      <c r="F851" s="1252"/>
      <c r="G851" s="991"/>
      <c r="H851" s="1045"/>
      <c r="I851" s="1045"/>
      <c r="J851" s="991"/>
      <c r="K851" s="991"/>
      <c r="L851" s="1045"/>
      <c r="M851" s="991"/>
      <c r="N851" s="991"/>
      <c r="O851" s="991"/>
      <c r="P851" s="1045"/>
      <c r="Q851" s="991"/>
      <c r="R851" s="991"/>
      <c r="S851" s="991"/>
      <c r="T851" s="1045"/>
      <c r="U851" s="991"/>
      <c r="V851" s="991"/>
      <c r="W851" s="991"/>
      <c r="X851" s="1042"/>
    </row>
    <row r="852" spans="1:24" ht="15">
      <c r="A852" s="991"/>
      <c r="B852" s="1249"/>
      <c r="C852" s="1250"/>
      <c r="D852" s="1251"/>
      <c r="E852" s="1250"/>
      <c r="F852" s="1252"/>
      <c r="G852" s="991"/>
      <c r="H852" s="1045"/>
      <c r="I852" s="1045"/>
      <c r="J852" s="991"/>
      <c r="K852" s="991"/>
      <c r="L852" s="1045"/>
      <c r="M852" s="991"/>
      <c r="N852" s="991"/>
      <c r="O852" s="991"/>
      <c r="P852" s="1045"/>
      <c r="Q852" s="991"/>
      <c r="R852" s="991"/>
      <c r="S852" s="991"/>
      <c r="T852" s="1045"/>
      <c r="U852" s="991"/>
      <c r="V852" s="991"/>
      <c r="W852" s="991"/>
      <c r="X852" s="1042"/>
    </row>
    <row r="853" spans="1:24" ht="15">
      <c r="A853" s="991"/>
      <c r="B853" s="1249"/>
      <c r="C853" s="1250"/>
      <c r="D853" s="1251"/>
      <c r="E853" s="1250"/>
      <c r="F853" s="1252"/>
      <c r="G853" s="991"/>
      <c r="H853" s="1045"/>
      <c r="I853" s="1045"/>
      <c r="J853" s="991"/>
      <c r="K853" s="991"/>
      <c r="L853" s="1045"/>
      <c r="M853" s="991"/>
      <c r="N853" s="991"/>
      <c r="O853" s="991"/>
      <c r="P853" s="1045"/>
      <c r="Q853" s="991"/>
      <c r="R853" s="991"/>
      <c r="S853" s="991"/>
      <c r="T853" s="1045"/>
      <c r="U853" s="991"/>
      <c r="V853" s="991"/>
      <c r="W853" s="991"/>
      <c r="X853" s="1042"/>
    </row>
    <row r="854" spans="1:24" ht="15">
      <c r="A854" s="991"/>
      <c r="B854" s="1249"/>
      <c r="C854" s="1250"/>
      <c r="D854" s="1251"/>
      <c r="E854" s="1250"/>
      <c r="F854" s="1252"/>
      <c r="G854" s="991"/>
      <c r="H854" s="1045"/>
      <c r="I854" s="1045"/>
      <c r="J854" s="991"/>
      <c r="K854" s="991"/>
      <c r="L854" s="1045"/>
      <c r="M854" s="991"/>
      <c r="N854" s="991"/>
      <c r="O854" s="991"/>
      <c r="P854" s="1045"/>
      <c r="Q854" s="991"/>
      <c r="R854" s="991"/>
      <c r="S854" s="991"/>
      <c r="T854" s="1045"/>
      <c r="U854" s="991"/>
      <c r="V854" s="991"/>
      <c r="W854" s="991"/>
      <c r="X854" s="1042"/>
    </row>
    <row r="855" spans="1:24" ht="15">
      <c r="A855" s="991"/>
      <c r="B855" s="1249"/>
      <c r="C855" s="1250"/>
      <c r="D855" s="1251"/>
      <c r="E855" s="1250"/>
      <c r="F855" s="1252"/>
      <c r="G855" s="991"/>
      <c r="H855" s="1045"/>
      <c r="I855" s="1045"/>
      <c r="J855" s="991"/>
      <c r="K855" s="991"/>
      <c r="L855" s="1045"/>
      <c r="M855" s="991"/>
      <c r="N855" s="991"/>
      <c r="O855" s="991"/>
      <c r="P855" s="1045"/>
      <c r="Q855" s="991"/>
      <c r="R855" s="991"/>
      <c r="S855" s="991"/>
      <c r="T855" s="1045"/>
      <c r="U855" s="991"/>
      <c r="V855" s="991"/>
      <c r="W855" s="991"/>
      <c r="X855" s="1042"/>
    </row>
    <row r="856" spans="1:24" ht="15">
      <c r="A856" s="991"/>
      <c r="B856" s="1249"/>
      <c r="C856" s="1250"/>
      <c r="D856" s="1251"/>
      <c r="E856" s="1250"/>
      <c r="F856" s="1252"/>
      <c r="G856" s="991"/>
      <c r="H856" s="1045"/>
      <c r="I856" s="1045"/>
      <c r="J856" s="991"/>
      <c r="K856" s="991"/>
      <c r="L856" s="1045"/>
      <c r="M856" s="991"/>
      <c r="N856" s="991"/>
      <c r="O856" s="991"/>
      <c r="P856" s="1045"/>
      <c r="Q856" s="991"/>
      <c r="R856" s="991"/>
      <c r="S856" s="991"/>
      <c r="T856" s="1045"/>
      <c r="U856" s="991"/>
      <c r="V856" s="991"/>
      <c r="W856" s="991"/>
      <c r="X856" s="1042"/>
    </row>
    <row r="857" spans="1:24" ht="15">
      <c r="A857" s="991"/>
      <c r="B857" s="1249"/>
      <c r="C857" s="1250"/>
      <c r="D857" s="1251"/>
      <c r="E857" s="1250"/>
      <c r="F857" s="1252"/>
      <c r="G857" s="991"/>
      <c r="H857" s="1045"/>
      <c r="I857" s="1045"/>
      <c r="J857" s="991"/>
      <c r="K857" s="991"/>
      <c r="L857" s="1045"/>
      <c r="M857" s="991"/>
      <c r="N857" s="991"/>
      <c r="O857" s="991"/>
      <c r="P857" s="1045"/>
      <c r="Q857" s="991"/>
      <c r="R857" s="991"/>
      <c r="S857" s="991"/>
      <c r="T857" s="1045"/>
      <c r="U857" s="991"/>
      <c r="V857" s="991"/>
      <c r="W857" s="991"/>
      <c r="X857" s="1042"/>
    </row>
    <row r="858" spans="1:24" ht="15">
      <c r="A858" s="991"/>
      <c r="B858" s="1249"/>
      <c r="C858" s="1250"/>
      <c r="D858" s="1251"/>
      <c r="E858" s="1250"/>
      <c r="F858" s="1252"/>
      <c r="G858" s="991"/>
      <c r="H858" s="1045"/>
      <c r="I858" s="1045"/>
      <c r="J858" s="991"/>
      <c r="K858" s="991"/>
      <c r="L858" s="1045"/>
      <c r="M858" s="991"/>
      <c r="N858" s="991"/>
      <c r="O858" s="991"/>
      <c r="P858" s="1045"/>
      <c r="Q858" s="991"/>
      <c r="R858" s="991"/>
      <c r="S858" s="991"/>
      <c r="T858" s="1045"/>
      <c r="U858" s="991"/>
      <c r="V858" s="991"/>
      <c r="W858" s="991"/>
      <c r="X858" s="1042"/>
    </row>
    <row r="859" spans="1:24" ht="15">
      <c r="A859" s="991"/>
      <c r="B859" s="1249"/>
      <c r="C859" s="1250"/>
      <c r="D859" s="1251"/>
      <c r="E859" s="1250"/>
      <c r="F859" s="1252"/>
      <c r="G859" s="991"/>
      <c r="H859" s="1045"/>
      <c r="I859" s="1045"/>
      <c r="J859" s="991"/>
      <c r="K859" s="991"/>
      <c r="L859" s="1045"/>
      <c r="M859" s="991"/>
      <c r="N859" s="991"/>
      <c r="O859" s="991"/>
      <c r="P859" s="1045"/>
      <c r="Q859" s="991"/>
      <c r="R859" s="991"/>
      <c r="S859" s="991"/>
      <c r="T859" s="1045"/>
      <c r="U859" s="991"/>
      <c r="V859" s="991"/>
      <c r="W859" s="991"/>
      <c r="X859" s="1042"/>
    </row>
    <row r="860" spans="1:24" ht="15">
      <c r="A860" s="991"/>
      <c r="B860" s="1249"/>
      <c r="C860" s="1250"/>
      <c r="D860" s="1251"/>
      <c r="E860" s="1250"/>
      <c r="F860" s="1252"/>
      <c r="G860" s="991"/>
      <c r="H860" s="1045"/>
      <c r="I860" s="1045"/>
      <c r="J860" s="991"/>
      <c r="K860" s="991"/>
      <c r="L860" s="1045"/>
      <c r="M860" s="991"/>
      <c r="N860" s="991"/>
      <c r="O860" s="991"/>
      <c r="P860" s="1045"/>
      <c r="Q860" s="991"/>
      <c r="R860" s="991"/>
      <c r="S860" s="991"/>
      <c r="T860" s="1045"/>
      <c r="U860" s="991"/>
      <c r="V860" s="991"/>
      <c r="W860" s="991"/>
      <c r="X860" s="1042"/>
    </row>
    <row r="861" spans="1:24" ht="15">
      <c r="A861" s="991"/>
      <c r="B861" s="1249"/>
      <c r="C861" s="1250"/>
      <c r="D861" s="1251"/>
      <c r="E861" s="1250"/>
      <c r="F861" s="1252"/>
      <c r="G861" s="991"/>
      <c r="H861" s="1045"/>
      <c r="I861" s="1045"/>
      <c r="J861" s="991"/>
      <c r="K861" s="991"/>
      <c r="L861" s="1045"/>
      <c r="M861" s="991"/>
      <c r="N861" s="991"/>
      <c r="O861" s="991"/>
      <c r="P861" s="1045"/>
      <c r="Q861" s="991"/>
      <c r="R861" s="991"/>
      <c r="S861" s="991"/>
      <c r="T861" s="1045"/>
      <c r="U861" s="991"/>
      <c r="V861" s="991"/>
      <c r="W861" s="991"/>
      <c r="X861" s="1042"/>
    </row>
    <row r="862" spans="1:24" ht="15">
      <c r="A862" s="991"/>
      <c r="B862" s="1249"/>
      <c r="C862" s="1250"/>
      <c r="D862" s="1251"/>
      <c r="E862" s="1250"/>
      <c r="F862" s="1252"/>
      <c r="G862" s="991"/>
      <c r="H862" s="1045"/>
      <c r="I862" s="1045"/>
      <c r="J862" s="991"/>
      <c r="K862" s="991"/>
      <c r="L862" s="1045"/>
      <c r="M862" s="991"/>
      <c r="N862" s="991"/>
      <c r="O862" s="991"/>
      <c r="P862" s="1045"/>
      <c r="Q862" s="991"/>
      <c r="R862" s="991"/>
      <c r="S862" s="991"/>
      <c r="T862" s="1045"/>
      <c r="U862" s="991"/>
      <c r="V862" s="991"/>
      <c r="W862" s="991"/>
      <c r="X862" s="1042"/>
    </row>
    <row r="863" spans="1:24" ht="15">
      <c r="A863" s="991"/>
      <c r="B863" s="1249"/>
      <c r="C863" s="1250"/>
      <c r="D863" s="1251"/>
      <c r="E863" s="1250"/>
      <c r="F863" s="1252"/>
      <c r="G863" s="991"/>
      <c r="H863" s="1045"/>
      <c r="I863" s="1045"/>
      <c r="J863" s="991"/>
      <c r="K863" s="991"/>
      <c r="L863" s="1045"/>
      <c r="M863" s="991"/>
      <c r="N863" s="991"/>
      <c r="O863" s="991"/>
      <c r="P863" s="1045"/>
      <c r="Q863" s="991"/>
      <c r="R863" s="991"/>
      <c r="S863" s="991"/>
      <c r="T863" s="1045"/>
      <c r="U863" s="991"/>
      <c r="V863" s="991"/>
      <c r="W863" s="991"/>
      <c r="X863" s="1042"/>
    </row>
    <row r="864" spans="1:24" ht="15">
      <c r="A864" s="991"/>
      <c r="B864" s="1249"/>
      <c r="C864" s="1250"/>
      <c r="D864" s="1251"/>
      <c r="E864" s="1250"/>
      <c r="F864" s="1252"/>
      <c r="G864" s="991"/>
      <c r="H864" s="1045"/>
      <c r="I864" s="1045"/>
      <c r="J864" s="991"/>
      <c r="K864" s="991"/>
      <c r="L864" s="1045"/>
      <c r="M864" s="991"/>
      <c r="N864" s="991"/>
      <c r="O864" s="991"/>
      <c r="P864" s="1045"/>
      <c r="Q864" s="991"/>
      <c r="R864" s="991"/>
      <c r="S864" s="991"/>
      <c r="T864" s="1045"/>
      <c r="U864" s="991"/>
      <c r="V864" s="991"/>
      <c r="W864" s="991"/>
      <c r="X864" s="1042"/>
    </row>
    <row r="865" spans="1:24" ht="15">
      <c r="A865" s="991"/>
      <c r="B865" s="1249"/>
      <c r="C865" s="1250"/>
      <c r="D865" s="1251"/>
      <c r="E865" s="1250"/>
      <c r="F865" s="1252"/>
      <c r="G865" s="991"/>
      <c r="H865" s="1045"/>
      <c r="I865" s="1045"/>
      <c r="J865" s="991"/>
      <c r="K865" s="991"/>
      <c r="L865" s="1045"/>
      <c r="M865" s="991"/>
      <c r="N865" s="991"/>
      <c r="O865" s="991"/>
      <c r="P865" s="1045"/>
      <c r="Q865" s="991"/>
      <c r="R865" s="991"/>
      <c r="S865" s="991"/>
      <c r="T865" s="1045"/>
      <c r="U865" s="991"/>
      <c r="V865" s="991"/>
      <c r="W865" s="991"/>
      <c r="X865" s="1042"/>
    </row>
    <row r="866" spans="1:24" ht="15">
      <c r="A866" s="991"/>
      <c r="B866" s="1249"/>
      <c r="C866" s="1250"/>
      <c r="D866" s="1251"/>
      <c r="E866" s="1250"/>
      <c r="F866" s="1252"/>
      <c r="G866" s="991"/>
      <c r="H866" s="1045"/>
      <c r="I866" s="1045"/>
      <c r="J866" s="991"/>
      <c r="K866" s="991"/>
      <c r="L866" s="1045"/>
      <c r="M866" s="991"/>
      <c r="N866" s="991"/>
      <c r="O866" s="991"/>
      <c r="P866" s="1045"/>
      <c r="Q866" s="991"/>
      <c r="R866" s="991"/>
      <c r="S866" s="991"/>
      <c r="T866" s="1045"/>
      <c r="U866" s="991"/>
      <c r="V866" s="991"/>
      <c r="W866" s="991"/>
      <c r="X866" s="1042"/>
    </row>
    <row r="867" spans="1:24" ht="15">
      <c r="A867" s="991"/>
      <c r="B867" s="1249"/>
      <c r="C867" s="1250"/>
      <c r="D867" s="1251"/>
      <c r="E867" s="1250"/>
      <c r="F867" s="1252"/>
      <c r="G867" s="991"/>
      <c r="H867" s="1045"/>
      <c r="I867" s="1045"/>
      <c r="J867" s="991"/>
      <c r="K867" s="991"/>
      <c r="L867" s="1045"/>
      <c r="M867" s="991"/>
      <c r="N867" s="991"/>
      <c r="O867" s="991"/>
      <c r="P867" s="1045"/>
      <c r="Q867" s="991"/>
      <c r="R867" s="991"/>
      <c r="S867" s="991"/>
      <c r="T867" s="1045"/>
      <c r="U867" s="991"/>
      <c r="V867" s="991"/>
      <c r="W867" s="991"/>
      <c r="X867" s="1042"/>
    </row>
    <row r="868" spans="1:24" ht="15">
      <c r="A868" s="991"/>
      <c r="B868" s="1249"/>
      <c r="C868" s="1250"/>
      <c r="D868" s="1251"/>
      <c r="E868" s="1250"/>
      <c r="F868" s="1252"/>
      <c r="G868" s="991"/>
      <c r="H868" s="1045"/>
      <c r="I868" s="1045"/>
      <c r="J868" s="991"/>
      <c r="K868" s="991"/>
      <c r="L868" s="1045"/>
      <c r="M868" s="991"/>
      <c r="N868" s="991"/>
      <c r="O868" s="991"/>
      <c r="P868" s="1045"/>
      <c r="Q868" s="991"/>
      <c r="R868" s="991"/>
      <c r="S868" s="991"/>
      <c r="T868" s="1045"/>
      <c r="U868" s="991"/>
      <c r="V868" s="991"/>
      <c r="W868" s="991"/>
      <c r="X868" s="1042"/>
    </row>
    <row r="869" spans="1:24" ht="15">
      <c r="A869" s="991"/>
      <c r="B869" s="1249"/>
      <c r="C869" s="1250"/>
      <c r="D869" s="1251"/>
      <c r="E869" s="1250"/>
      <c r="F869" s="1252"/>
      <c r="G869" s="991"/>
      <c r="H869" s="1045"/>
      <c r="I869" s="1045"/>
      <c r="J869" s="991"/>
      <c r="K869" s="991"/>
      <c r="L869" s="1045"/>
      <c r="M869" s="991"/>
      <c r="N869" s="991"/>
      <c r="O869" s="991"/>
      <c r="P869" s="1045"/>
      <c r="Q869" s="991"/>
      <c r="R869" s="991"/>
      <c r="S869" s="991"/>
      <c r="T869" s="1045"/>
      <c r="U869" s="991"/>
      <c r="V869" s="991"/>
      <c r="W869" s="991"/>
      <c r="X869" s="1042"/>
    </row>
    <row r="870" spans="1:24" ht="15">
      <c r="A870" s="991"/>
      <c r="B870" s="1249"/>
      <c r="C870" s="1250"/>
      <c r="D870" s="1251"/>
      <c r="E870" s="1250"/>
      <c r="F870" s="1252"/>
      <c r="G870" s="991"/>
      <c r="H870" s="1045"/>
      <c r="I870" s="1045"/>
      <c r="J870" s="991"/>
      <c r="K870" s="991"/>
      <c r="L870" s="1045"/>
      <c r="M870" s="991"/>
      <c r="N870" s="991"/>
      <c r="O870" s="991"/>
      <c r="P870" s="1045"/>
      <c r="Q870" s="991"/>
      <c r="R870" s="991"/>
      <c r="S870" s="991"/>
      <c r="T870" s="1045"/>
      <c r="U870" s="991"/>
      <c r="V870" s="991"/>
      <c r="W870" s="991"/>
      <c r="X870" s="1042"/>
    </row>
    <row r="871" spans="1:24" ht="15">
      <c r="A871" s="991"/>
      <c r="B871" s="1249"/>
      <c r="C871" s="1250"/>
      <c r="D871" s="1251"/>
      <c r="E871" s="1250"/>
      <c r="F871" s="1252"/>
      <c r="G871" s="991"/>
      <c r="H871" s="1045"/>
      <c r="I871" s="1045"/>
      <c r="J871" s="991"/>
      <c r="K871" s="991"/>
      <c r="L871" s="1045"/>
      <c r="M871" s="991"/>
      <c r="N871" s="991"/>
      <c r="O871" s="991"/>
      <c r="P871" s="1045"/>
      <c r="Q871" s="991"/>
      <c r="R871" s="991"/>
      <c r="S871" s="991"/>
      <c r="T871" s="1045"/>
      <c r="U871" s="991"/>
      <c r="V871" s="991"/>
      <c r="W871" s="991"/>
      <c r="X871" s="1042"/>
    </row>
    <row r="872" spans="1:24" ht="15">
      <c r="A872" s="991"/>
      <c r="B872" s="1249"/>
      <c r="C872" s="1250"/>
      <c r="D872" s="1251"/>
      <c r="E872" s="1250"/>
      <c r="F872" s="1252"/>
      <c r="G872" s="991"/>
      <c r="H872" s="1045"/>
      <c r="I872" s="1045"/>
      <c r="J872" s="991"/>
      <c r="K872" s="991"/>
      <c r="L872" s="1045"/>
      <c r="M872" s="991"/>
      <c r="N872" s="991"/>
      <c r="O872" s="991"/>
      <c r="P872" s="1045"/>
      <c r="Q872" s="991"/>
      <c r="R872" s="991"/>
      <c r="S872" s="991"/>
      <c r="T872" s="1045"/>
      <c r="U872" s="991"/>
      <c r="V872" s="991"/>
      <c r="W872" s="991"/>
      <c r="X872" s="1042"/>
    </row>
    <row r="873" spans="1:24" ht="15">
      <c r="A873" s="991"/>
      <c r="B873" s="1249"/>
      <c r="C873" s="1250"/>
      <c r="D873" s="1251"/>
      <c r="E873" s="1250"/>
      <c r="F873" s="1252"/>
      <c r="G873" s="991"/>
      <c r="H873" s="1045"/>
      <c r="I873" s="1045"/>
      <c r="J873" s="991"/>
      <c r="K873" s="991"/>
      <c r="L873" s="1045"/>
      <c r="M873" s="991"/>
      <c r="N873" s="991"/>
      <c r="O873" s="991"/>
      <c r="P873" s="1045"/>
      <c r="Q873" s="991"/>
      <c r="R873" s="991"/>
      <c r="S873" s="991"/>
      <c r="T873" s="1045"/>
      <c r="U873" s="991"/>
      <c r="V873" s="991"/>
      <c r="W873" s="991"/>
      <c r="X873" s="1042"/>
    </row>
    <row r="874" spans="1:24" ht="15">
      <c r="A874" s="991"/>
      <c r="B874" s="1249"/>
      <c r="C874" s="1250"/>
      <c r="D874" s="1251"/>
      <c r="E874" s="1250"/>
      <c r="F874" s="1252"/>
      <c r="G874" s="991"/>
      <c r="H874" s="1045"/>
      <c r="I874" s="1045"/>
      <c r="J874" s="991"/>
      <c r="K874" s="991"/>
      <c r="L874" s="1045"/>
      <c r="M874" s="991"/>
      <c r="N874" s="991"/>
      <c r="O874" s="991"/>
      <c r="P874" s="1045"/>
      <c r="Q874" s="991"/>
      <c r="R874" s="991"/>
      <c r="S874" s="991"/>
      <c r="T874" s="1045"/>
      <c r="U874" s="991"/>
      <c r="V874" s="991"/>
      <c r="W874" s="991"/>
      <c r="X874" s="1042"/>
    </row>
    <row r="875" spans="1:24" ht="15">
      <c r="A875" s="991"/>
      <c r="B875" s="1249"/>
      <c r="C875" s="1250"/>
      <c r="D875" s="1251"/>
      <c r="E875" s="1250"/>
      <c r="F875" s="1252"/>
      <c r="G875" s="991"/>
      <c r="H875" s="1045"/>
      <c r="I875" s="1045"/>
      <c r="J875" s="991"/>
      <c r="K875" s="991"/>
      <c r="L875" s="1045"/>
      <c r="M875" s="991"/>
      <c r="N875" s="991"/>
      <c r="O875" s="991"/>
      <c r="P875" s="1045"/>
      <c r="Q875" s="991"/>
      <c r="R875" s="991"/>
      <c r="S875" s="991"/>
      <c r="T875" s="1045"/>
      <c r="U875" s="991"/>
      <c r="V875" s="991"/>
      <c r="W875" s="991"/>
      <c r="X875" s="1042"/>
    </row>
    <row r="876" spans="1:24" ht="15">
      <c r="A876" s="991"/>
      <c r="B876" s="1249"/>
      <c r="C876" s="1250"/>
      <c r="D876" s="1251"/>
      <c r="E876" s="1250"/>
      <c r="F876" s="1252"/>
      <c r="G876" s="991"/>
      <c r="H876" s="1045"/>
      <c r="I876" s="1045"/>
      <c r="J876" s="991"/>
      <c r="K876" s="991"/>
      <c r="L876" s="1045"/>
      <c r="M876" s="991"/>
      <c r="N876" s="991"/>
      <c r="O876" s="991"/>
      <c r="P876" s="1045"/>
      <c r="Q876" s="991"/>
      <c r="R876" s="991"/>
      <c r="S876" s="991"/>
      <c r="T876" s="1045"/>
      <c r="U876" s="991"/>
      <c r="V876" s="991"/>
      <c r="W876" s="991"/>
      <c r="X876" s="1042"/>
    </row>
    <row r="877" spans="1:24" ht="15">
      <c r="A877" s="991"/>
      <c r="B877" s="1249"/>
      <c r="C877" s="1250"/>
      <c r="D877" s="1251"/>
      <c r="E877" s="1250"/>
      <c r="F877" s="1252"/>
      <c r="G877" s="991"/>
      <c r="H877" s="1045"/>
      <c r="I877" s="1045"/>
      <c r="J877" s="991"/>
      <c r="K877" s="991"/>
      <c r="L877" s="1045"/>
      <c r="M877" s="991"/>
      <c r="N877" s="991"/>
      <c r="O877" s="991"/>
      <c r="P877" s="1045"/>
      <c r="Q877" s="991"/>
      <c r="R877" s="991"/>
      <c r="S877" s="991"/>
      <c r="T877" s="1045"/>
      <c r="U877" s="991"/>
      <c r="V877" s="991"/>
      <c r="W877" s="991"/>
      <c r="X877" s="1042"/>
    </row>
    <row r="878" spans="1:24" ht="15">
      <c r="A878" s="991"/>
      <c r="B878" s="1249"/>
      <c r="C878" s="1250"/>
      <c r="D878" s="1251"/>
      <c r="E878" s="1250"/>
      <c r="F878" s="1252"/>
      <c r="G878" s="991"/>
      <c r="H878" s="1045"/>
      <c r="I878" s="1045"/>
      <c r="J878" s="991"/>
      <c r="K878" s="991"/>
      <c r="L878" s="1045"/>
      <c r="M878" s="991"/>
      <c r="N878" s="991"/>
      <c r="O878" s="991"/>
      <c r="P878" s="1045"/>
      <c r="Q878" s="991"/>
      <c r="R878" s="991"/>
      <c r="S878" s="991"/>
      <c r="T878" s="1045"/>
      <c r="U878" s="991"/>
      <c r="V878" s="991"/>
      <c r="W878" s="991"/>
      <c r="X878" s="1042"/>
    </row>
    <row r="879" spans="1:24" ht="15">
      <c r="A879" s="991"/>
      <c r="B879" s="1249"/>
      <c r="C879" s="1250"/>
      <c r="D879" s="1251"/>
      <c r="E879" s="1250"/>
      <c r="F879" s="1252"/>
      <c r="G879" s="991"/>
      <c r="H879" s="1045"/>
      <c r="I879" s="1045"/>
      <c r="J879" s="991"/>
      <c r="K879" s="991"/>
      <c r="L879" s="1045"/>
      <c r="M879" s="991"/>
      <c r="N879" s="991"/>
      <c r="O879" s="991"/>
      <c r="P879" s="1045"/>
      <c r="Q879" s="991"/>
      <c r="R879" s="991"/>
      <c r="S879" s="991"/>
      <c r="T879" s="1045"/>
      <c r="U879" s="991"/>
      <c r="V879" s="991"/>
      <c r="W879" s="991"/>
      <c r="X879" s="1042"/>
    </row>
    <row r="880" spans="1:24" ht="15">
      <c r="A880" s="991"/>
      <c r="B880" s="1249"/>
      <c r="C880" s="1250"/>
      <c r="D880" s="1251"/>
      <c r="E880" s="1250"/>
      <c r="F880" s="1252"/>
      <c r="G880" s="991"/>
      <c r="H880" s="1045"/>
      <c r="I880" s="1045"/>
      <c r="J880" s="991"/>
      <c r="K880" s="991"/>
      <c r="L880" s="1045"/>
      <c r="M880" s="991"/>
      <c r="N880" s="991"/>
      <c r="O880" s="991"/>
      <c r="P880" s="1045"/>
      <c r="Q880" s="991"/>
      <c r="R880" s="991"/>
      <c r="S880" s="991"/>
      <c r="T880" s="1045"/>
      <c r="U880" s="991"/>
      <c r="V880" s="991"/>
      <c r="W880" s="991"/>
      <c r="X880" s="1042"/>
    </row>
    <row r="881" spans="1:24" ht="15">
      <c r="A881" s="991"/>
      <c r="B881" s="1249"/>
      <c r="C881" s="1250"/>
      <c r="D881" s="1251"/>
      <c r="E881" s="1250"/>
      <c r="F881" s="1252"/>
      <c r="G881" s="991"/>
      <c r="H881" s="1045"/>
      <c r="I881" s="1045"/>
      <c r="J881" s="991"/>
      <c r="K881" s="991"/>
      <c r="L881" s="1045"/>
      <c r="M881" s="991"/>
      <c r="N881" s="991"/>
      <c r="O881" s="991"/>
      <c r="P881" s="1045"/>
      <c r="Q881" s="991"/>
      <c r="R881" s="991"/>
      <c r="S881" s="991"/>
      <c r="T881" s="1045"/>
      <c r="U881" s="991"/>
      <c r="V881" s="991"/>
      <c r="W881" s="991"/>
      <c r="X881" s="1042"/>
    </row>
    <row r="882" spans="1:24" ht="15">
      <c r="A882" s="991"/>
      <c r="B882" s="1249"/>
      <c r="C882" s="1250"/>
      <c r="D882" s="1251"/>
      <c r="E882" s="1250"/>
      <c r="F882" s="1252"/>
      <c r="G882" s="991"/>
      <c r="H882" s="1045"/>
      <c r="I882" s="1045"/>
      <c r="J882" s="991"/>
      <c r="K882" s="991"/>
      <c r="L882" s="1045"/>
      <c r="M882" s="991"/>
      <c r="N882" s="991"/>
      <c r="O882" s="991"/>
      <c r="P882" s="1045"/>
      <c r="Q882" s="991"/>
      <c r="R882" s="991"/>
      <c r="S882" s="991"/>
      <c r="T882" s="1045"/>
      <c r="U882" s="991"/>
      <c r="V882" s="991"/>
      <c r="W882" s="991"/>
      <c r="X882" s="1042"/>
    </row>
    <row r="883" spans="1:24" ht="15">
      <c r="A883" s="991"/>
      <c r="B883" s="1249"/>
      <c r="C883" s="1250"/>
      <c r="D883" s="1251"/>
      <c r="E883" s="1250"/>
      <c r="F883" s="1252"/>
      <c r="G883" s="991"/>
      <c r="H883" s="1045"/>
      <c r="I883" s="1045"/>
      <c r="J883" s="991"/>
      <c r="K883" s="991"/>
      <c r="L883" s="1045"/>
      <c r="M883" s="991"/>
      <c r="N883" s="991"/>
      <c r="O883" s="991"/>
      <c r="P883" s="1045"/>
      <c r="Q883" s="991"/>
      <c r="R883" s="991"/>
      <c r="S883" s="991"/>
      <c r="T883" s="1045"/>
      <c r="U883" s="991"/>
      <c r="V883" s="991"/>
      <c r="W883" s="991"/>
      <c r="X883" s="1042"/>
    </row>
    <row r="884" spans="1:24" ht="15">
      <c r="A884" s="991"/>
      <c r="B884" s="1249"/>
      <c r="C884" s="1250"/>
      <c r="D884" s="1251"/>
      <c r="E884" s="1250"/>
      <c r="F884" s="1252"/>
      <c r="G884" s="991"/>
      <c r="H884" s="1045"/>
      <c r="I884" s="1045"/>
      <c r="J884" s="991"/>
      <c r="K884" s="991"/>
      <c r="L884" s="1045"/>
      <c r="M884" s="991"/>
      <c r="N884" s="991"/>
      <c r="O884" s="991"/>
      <c r="P884" s="1045"/>
      <c r="Q884" s="991"/>
      <c r="R884" s="991"/>
      <c r="S884" s="991"/>
      <c r="T884" s="1045"/>
      <c r="U884" s="991"/>
      <c r="V884" s="991"/>
      <c r="W884" s="991"/>
      <c r="X884" s="1042"/>
    </row>
    <row r="885" spans="1:24" ht="15">
      <c r="A885" s="991"/>
      <c r="B885" s="1249"/>
      <c r="C885" s="1250"/>
      <c r="D885" s="1251"/>
      <c r="E885" s="1250"/>
      <c r="F885" s="1252"/>
      <c r="G885" s="991"/>
      <c r="H885" s="1045"/>
      <c r="I885" s="1045"/>
      <c r="J885" s="991"/>
      <c r="K885" s="991"/>
      <c r="L885" s="1045"/>
      <c r="M885" s="991"/>
      <c r="N885" s="991"/>
      <c r="O885" s="991"/>
      <c r="P885" s="1045"/>
      <c r="Q885" s="991"/>
      <c r="R885" s="991"/>
      <c r="S885" s="991"/>
      <c r="T885" s="1045"/>
      <c r="U885" s="991"/>
      <c r="V885" s="991"/>
      <c r="W885" s="991"/>
      <c r="X885" s="1042"/>
    </row>
    <row r="886" spans="1:24" ht="15">
      <c r="A886" s="991"/>
      <c r="B886" s="1249"/>
      <c r="C886" s="1250"/>
      <c r="D886" s="1251"/>
      <c r="E886" s="1250"/>
      <c r="F886" s="1252"/>
      <c r="G886" s="991"/>
      <c r="H886" s="1045"/>
      <c r="I886" s="1045"/>
      <c r="J886" s="991"/>
      <c r="K886" s="991"/>
      <c r="L886" s="1045"/>
      <c r="M886" s="991"/>
      <c r="N886" s="991"/>
      <c r="O886" s="991"/>
      <c r="P886" s="1045"/>
      <c r="Q886" s="991"/>
      <c r="R886" s="991"/>
      <c r="S886" s="991"/>
      <c r="T886" s="1045"/>
      <c r="U886" s="991"/>
      <c r="V886" s="991"/>
      <c r="W886" s="991"/>
      <c r="X886" s="1042"/>
    </row>
    <row r="887" spans="1:24" ht="15">
      <c r="A887" s="991"/>
      <c r="B887" s="1249"/>
      <c r="C887" s="1250"/>
      <c r="D887" s="1251"/>
      <c r="E887" s="1250"/>
      <c r="F887" s="1252"/>
      <c r="G887" s="991"/>
      <c r="H887" s="1045"/>
      <c r="I887" s="1045"/>
      <c r="J887" s="991"/>
      <c r="K887" s="991"/>
      <c r="L887" s="1045"/>
      <c r="M887" s="991"/>
      <c r="N887" s="991"/>
      <c r="O887" s="991"/>
      <c r="P887" s="1045"/>
      <c r="Q887" s="991"/>
      <c r="R887" s="991"/>
      <c r="S887" s="991"/>
      <c r="T887" s="1045"/>
      <c r="U887" s="991"/>
      <c r="V887" s="991"/>
      <c r="W887" s="991"/>
      <c r="X887" s="1042"/>
    </row>
    <row r="888" spans="1:24" ht="15">
      <c r="A888" s="991"/>
      <c r="B888" s="1249"/>
      <c r="C888" s="1250"/>
      <c r="D888" s="1251"/>
      <c r="E888" s="1250"/>
      <c r="F888" s="1252"/>
      <c r="G888" s="991"/>
      <c r="H888" s="1045"/>
      <c r="I888" s="1045"/>
      <c r="J888" s="991"/>
      <c r="K888" s="991"/>
      <c r="L888" s="1045"/>
      <c r="M888" s="991"/>
      <c r="N888" s="991"/>
      <c r="O888" s="991"/>
      <c r="P888" s="1045"/>
      <c r="Q888" s="991"/>
      <c r="R888" s="991"/>
      <c r="S888" s="991"/>
      <c r="T888" s="1045"/>
      <c r="U888" s="991"/>
      <c r="V888" s="991"/>
      <c r="W888" s="991"/>
      <c r="X888" s="1042"/>
    </row>
    <row r="889" spans="1:24" ht="15">
      <c r="A889" s="991"/>
      <c r="B889" s="1249"/>
      <c r="C889" s="1250"/>
      <c r="D889" s="1251"/>
      <c r="E889" s="1250"/>
      <c r="F889" s="1252"/>
      <c r="G889" s="991"/>
      <c r="H889" s="1045"/>
      <c r="I889" s="1045"/>
      <c r="J889" s="991"/>
      <c r="K889" s="991"/>
      <c r="L889" s="1045"/>
      <c r="M889" s="991"/>
      <c r="N889" s="991"/>
      <c r="O889" s="991"/>
      <c r="P889" s="1045"/>
      <c r="Q889" s="991"/>
      <c r="R889" s="991"/>
      <c r="S889" s="991"/>
      <c r="T889" s="1045"/>
      <c r="U889" s="991"/>
      <c r="V889" s="991"/>
      <c r="W889" s="991"/>
      <c r="X889" s="1042"/>
    </row>
    <row r="890" spans="1:24" ht="15">
      <c r="A890" s="991"/>
      <c r="B890" s="1249"/>
      <c r="C890" s="1250"/>
      <c r="D890" s="1251"/>
      <c r="E890" s="1250"/>
      <c r="F890" s="1252"/>
      <c r="G890" s="991"/>
      <c r="H890" s="1045"/>
      <c r="I890" s="1045"/>
      <c r="J890" s="991"/>
      <c r="K890" s="991"/>
      <c r="L890" s="1045"/>
      <c r="M890" s="991"/>
      <c r="N890" s="991"/>
      <c r="O890" s="991"/>
      <c r="P890" s="1045"/>
      <c r="Q890" s="991"/>
      <c r="R890" s="991"/>
      <c r="S890" s="991"/>
      <c r="T890" s="1045"/>
      <c r="U890" s="991"/>
      <c r="V890" s="991"/>
      <c r="W890" s="991"/>
      <c r="X890" s="1042"/>
    </row>
    <row r="891" spans="1:24" ht="15">
      <c r="A891" s="991"/>
      <c r="B891" s="1249"/>
      <c r="C891" s="1250"/>
      <c r="D891" s="1251"/>
      <c r="E891" s="1250"/>
      <c r="F891" s="1252"/>
      <c r="G891" s="991"/>
      <c r="H891" s="1045"/>
      <c r="I891" s="1045"/>
      <c r="J891" s="991"/>
      <c r="K891" s="991"/>
      <c r="L891" s="1045"/>
      <c r="M891" s="991"/>
      <c r="N891" s="991"/>
      <c r="O891" s="991"/>
      <c r="P891" s="1045"/>
      <c r="Q891" s="991"/>
      <c r="R891" s="991"/>
      <c r="S891" s="991"/>
      <c r="T891" s="1045"/>
      <c r="U891" s="991"/>
      <c r="V891" s="991"/>
      <c r="W891" s="991"/>
      <c r="X891" s="1042"/>
    </row>
    <row r="892" spans="1:24" ht="15">
      <c r="A892" s="991"/>
      <c r="B892" s="1249"/>
      <c r="C892" s="1250"/>
      <c r="D892" s="1251"/>
      <c r="E892" s="1250"/>
      <c r="F892" s="1252"/>
      <c r="G892" s="991"/>
      <c r="H892" s="1045"/>
      <c r="I892" s="1045"/>
      <c r="J892" s="991"/>
      <c r="K892" s="991"/>
      <c r="L892" s="1045"/>
      <c r="M892" s="991"/>
      <c r="N892" s="991"/>
      <c r="O892" s="991"/>
      <c r="P892" s="1045"/>
      <c r="Q892" s="991"/>
      <c r="R892" s="991"/>
      <c r="S892" s="991"/>
      <c r="T892" s="1045"/>
      <c r="U892" s="991"/>
      <c r="V892" s="991"/>
      <c r="W892" s="991"/>
      <c r="X892" s="1042"/>
    </row>
    <row r="893" spans="1:24" ht="15">
      <c r="A893" s="991"/>
      <c r="B893" s="1249"/>
      <c r="C893" s="1250"/>
      <c r="D893" s="1251"/>
      <c r="E893" s="1250"/>
      <c r="F893" s="1252"/>
      <c r="G893" s="991"/>
      <c r="H893" s="1045"/>
      <c r="I893" s="1045"/>
      <c r="J893" s="991"/>
      <c r="K893" s="991"/>
      <c r="L893" s="1045"/>
      <c r="M893" s="991"/>
      <c r="N893" s="991"/>
      <c r="O893" s="991"/>
      <c r="P893" s="1045"/>
      <c r="Q893" s="991"/>
      <c r="R893" s="991"/>
      <c r="S893" s="991"/>
      <c r="T893" s="1045"/>
      <c r="U893" s="991"/>
      <c r="V893" s="991"/>
      <c r="W893" s="991"/>
      <c r="X893" s="1042"/>
    </row>
    <row r="894" spans="1:24" ht="15">
      <c r="A894" s="991"/>
      <c r="B894" s="1249"/>
      <c r="C894" s="1250"/>
      <c r="D894" s="1251"/>
      <c r="E894" s="1250"/>
      <c r="F894" s="1252"/>
      <c r="G894" s="991"/>
      <c r="H894" s="1045"/>
      <c r="I894" s="1045"/>
      <c r="J894" s="991"/>
      <c r="K894" s="991"/>
      <c r="L894" s="1045"/>
      <c r="M894" s="991"/>
      <c r="N894" s="991"/>
      <c r="O894" s="991"/>
      <c r="P894" s="1045"/>
      <c r="Q894" s="991"/>
      <c r="R894" s="991"/>
      <c r="S894" s="991"/>
      <c r="T894" s="1045"/>
      <c r="U894" s="991"/>
      <c r="V894" s="991"/>
      <c r="W894" s="991"/>
      <c r="X894" s="1042"/>
    </row>
    <row r="895" spans="1:24" ht="15">
      <c r="A895" s="991"/>
      <c r="B895" s="1249"/>
      <c r="C895" s="1250"/>
      <c r="D895" s="1251"/>
      <c r="E895" s="1250"/>
      <c r="F895" s="1252"/>
      <c r="G895" s="991"/>
      <c r="H895" s="1045"/>
      <c r="I895" s="1045"/>
      <c r="J895" s="991"/>
      <c r="K895" s="991"/>
      <c r="L895" s="1045"/>
      <c r="M895" s="991"/>
      <c r="N895" s="991"/>
      <c r="O895" s="991"/>
      <c r="P895" s="1045"/>
      <c r="Q895" s="991"/>
      <c r="R895" s="991"/>
      <c r="S895" s="991"/>
      <c r="T895" s="1045"/>
      <c r="U895" s="991"/>
      <c r="V895" s="991"/>
      <c r="W895" s="991"/>
      <c r="X895" s="1042"/>
    </row>
    <row r="896" spans="1:24" ht="15">
      <c r="A896" s="991"/>
      <c r="B896" s="1249"/>
      <c r="C896" s="1250"/>
      <c r="D896" s="1251"/>
      <c r="E896" s="1250"/>
      <c r="F896" s="1252"/>
      <c r="G896" s="991"/>
      <c r="H896" s="1045"/>
      <c r="I896" s="1045"/>
      <c r="J896" s="991"/>
      <c r="K896" s="991"/>
      <c r="L896" s="1045"/>
      <c r="M896" s="991"/>
      <c r="N896" s="991"/>
      <c r="O896" s="991"/>
      <c r="P896" s="1045"/>
      <c r="Q896" s="991"/>
      <c r="R896" s="991"/>
      <c r="S896" s="991"/>
      <c r="T896" s="1045"/>
      <c r="U896" s="991"/>
      <c r="V896" s="991"/>
      <c r="W896" s="991"/>
      <c r="X896" s="1042"/>
    </row>
    <row r="897" spans="1:24" ht="15">
      <c r="A897" s="991"/>
      <c r="B897" s="1249"/>
      <c r="C897" s="1250"/>
      <c r="D897" s="1251"/>
      <c r="E897" s="1250"/>
      <c r="F897" s="1252"/>
      <c r="G897" s="991"/>
      <c r="H897" s="1045"/>
      <c r="I897" s="1045"/>
      <c r="J897" s="991"/>
      <c r="K897" s="991"/>
      <c r="L897" s="1045"/>
      <c r="M897" s="991"/>
      <c r="N897" s="991"/>
      <c r="O897" s="991"/>
      <c r="P897" s="1045"/>
      <c r="Q897" s="991"/>
      <c r="R897" s="991"/>
      <c r="S897" s="991"/>
      <c r="T897" s="1045"/>
      <c r="U897" s="991"/>
      <c r="V897" s="991"/>
      <c r="W897" s="991"/>
      <c r="X897" s="1042"/>
    </row>
    <row r="898" spans="1:24" ht="15">
      <c r="A898" s="991"/>
      <c r="B898" s="1249"/>
      <c r="C898" s="1250"/>
      <c r="D898" s="1251"/>
      <c r="E898" s="1250"/>
      <c r="F898" s="1252"/>
      <c r="G898" s="991"/>
      <c r="H898" s="1045"/>
      <c r="I898" s="1045"/>
      <c r="J898" s="991"/>
      <c r="K898" s="991"/>
      <c r="L898" s="1045"/>
      <c r="M898" s="991"/>
      <c r="N898" s="991"/>
      <c r="O898" s="991"/>
      <c r="P898" s="1045"/>
      <c r="Q898" s="991"/>
      <c r="R898" s="991"/>
      <c r="S898" s="991"/>
      <c r="T898" s="1045"/>
      <c r="U898" s="991"/>
      <c r="V898" s="991"/>
      <c r="W898" s="991"/>
      <c r="X898" s="1042"/>
    </row>
    <row r="899" spans="1:24" ht="15">
      <c r="A899" s="991"/>
      <c r="B899" s="1249"/>
      <c r="C899" s="1250"/>
      <c r="D899" s="1251"/>
      <c r="E899" s="1250"/>
      <c r="F899" s="1252"/>
      <c r="G899" s="991"/>
      <c r="H899" s="1045"/>
      <c r="I899" s="1045"/>
      <c r="J899" s="991"/>
      <c r="K899" s="991"/>
      <c r="L899" s="1045"/>
      <c r="M899" s="991"/>
      <c r="N899" s="991"/>
      <c r="O899" s="991"/>
      <c r="P899" s="1045"/>
      <c r="Q899" s="991"/>
      <c r="R899" s="991"/>
      <c r="S899" s="991"/>
      <c r="T899" s="1045"/>
      <c r="U899" s="991"/>
      <c r="V899" s="991"/>
      <c r="W899" s="991"/>
      <c r="X899" s="1042"/>
    </row>
    <row r="900" spans="1:24" ht="15">
      <c r="A900" s="991"/>
      <c r="B900" s="1249"/>
      <c r="C900" s="1250"/>
      <c r="D900" s="1251"/>
      <c r="E900" s="1250"/>
      <c r="F900" s="1252"/>
      <c r="G900" s="991"/>
      <c r="H900" s="1045"/>
      <c r="I900" s="1045"/>
      <c r="J900" s="991"/>
      <c r="K900" s="991"/>
      <c r="L900" s="1045"/>
      <c r="M900" s="991"/>
      <c r="N900" s="991"/>
      <c r="O900" s="991"/>
      <c r="P900" s="1045"/>
      <c r="Q900" s="991"/>
      <c r="R900" s="991"/>
      <c r="S900" s="991"/>
      <c r="T900" s="1045"/>
      <c r="U900" s="991"/>
      <c r="V900" s="991"/>
      <c r="W900" s="991"/>
      <c r="X900" s="1042"/>
    </row>
    <row r="901" spans="1:24" ht="15">
      <c r="A901" s="991"/>
      <c r="B901" s="1249"/>
      <c r="C901" s="1250"/>
      <c r="D901" s="1251"/>
      <c r="E901" s="1250"/>
      <c r="F901" s="1252"/>
      <c r="G901" s="991"/>
      <c r="H901" s="1045"/>
      <c r="I901" s="1045"/>
      <c r="J901" s="991"/>
      <c r="K901" s="991"/>
      <c r="L901" s="1045"/>
      <c r="M901" s="991"/>
      <c r="N901" s="991"/>
      <c r="O901" s="991"/>
      <c r="P901" s="1045"/>
      <c r="Q901" s="991"/>
      <c r="R901" s="991"/>
      <c r="S901" s="991"/>
      <c r="T901" s="1045"/>
      <c r="U901" s="991"/>
      <c r="V901" s="991"/>
      <c r="W901" s="991"/>
      <c r="X901" s="1042"/>
    </row>
    <row r="902" spans="1:24" ht="15">
      <c r="A902" s="991"/>
      <c r="B902" s="1249"/>
      <c r="C902" s="1250"/>
      <c r="D902" s="1251"/>
      <c r="E902" s="1250"/>
      <c r="F902" s="1252"/>
      <c r="G902" s="991"/>
      <c r="H902" s="1045"/>
      <c r="I902" s="1045"/>
      <c r="J902" s="991"/>
      <c r="K902" s="991"/>
      <c r="L902" s="1045"/>
      <c r="M902" s="991"/>
      <c r="N902" s="991"/>
      <c r="O902" s="991"/>
      <c r="P902" s="1045"/>
      <c r="Q902" s="991"/>
      <c r="R902" s="991"/>
      <c r="S902" s="991"/>
      <c r="T902" s="1045"/>
      <c r="U902" s="991"/>
      <c r="V902" s="991"/>
      <c r="W902" s="991"/>
      <c r="X902" s="1042"/>
    </row>
    <row r="903" spans="1:24" ht="15">
      <c r="A903" s="991"/>
      <c r="B903" s="1249"/>
      <c r="C903" s="1250"/>
      <c r="D903" s="1251"/>
      <c r="E903" s="1250"/>
      <c r="F903" s="1252"/>
      <c r="G903" s="991"/>
      <c r="H903" s="1045"/>
      <c r="I903" s="1045"/>
      <c r="J903" s="991"/>
      <c r="K903" s="991"/>
      <c r="L903" s="1045"/>
      <c r="M903" s="991"/>
      <c r="N903" s="991"/>
      <c r="O903" s="991"/>
      <c r="P903" s="1045"/>
      <c r="Q903" s="991"/>
      <c r="R903" s="991"/>
      <c r="S903" s="991"/>
      <c r="T903" s="1045"/>
      <c r="U903" s="991"/>
      <c r="V903" s="991"/>
      <c r="W903" s="991"/>
      <c r="X903" s="1042"/>
    </row>
    <row r="904" spans="1:24" ht="15">
      <c r="A904" s="991"/>
      <c r="B904" s="1249"/>
      <c r="C904" s="1250"/>
      <c r="D904" s="1251"/>
      <c r="E904" s="1250"/>
      <c r="F904" s="1252"/>
      <c r="G904" s="991"/>
      <c r="H904" s="1045"/>
      <c r="I904" s="1045"/>
      <c r="J904" s="991"/>
      <c r="K904" s="991"/>
      <c r="L904" s="1045"/>
      <c r="M904" s="991"/>
      <c r="N904" s="991"/>
      <c r="O904" s="991"/>
      <c r="P904" s="1045"/>
      <c r="Q904" s="991"/>
      <c r="R904" s="991"/>
      <c r="S904" s="991"/>
      <c r="T904" s="1045"/>
      <c r="U904" s="991"/>
      <c r="V904" s="991"/>
      <c r="W904" s="991"/>
      <c r="X904" s="1042"/>
    </row>
    <row r="905" spans="1:24" ht="15">
      <c r="A905" s="991"/>
      <c r="B905" s="1249"/>
      <c r="C905" s="1250"/>
      <c r="D905" s="1251"/>
      <c r="E905" s="1250"/>
      <c r="F905" s="1252"/>
      <c r="G905" s="991"/>
      <c r="H905" s="1045"/>
      <c r="I905" s="1045"/>
      <c r="J905" s="991"/>
      <c r="K905" s="991"/>
      <c r="L905" s="1045"/>
      <c r="M905" s="991"/>
      <c r="N905" s="991"/>
      <c r="O905" s="991"/>
      <c r="P905" s="1045"/>
      <c r="Q905" s="991"/>
      <c r="R905" s="991"/>
      <c r="S905" s="991"/>
      <c r="T905" s="1045"/>
      <c r="U905" s="991"/>
      <c r="V905" s="991"/>
      <c r="W905" s="991"/>
      <c r="X905" s="1042"/>
    </row>
    <row r="906" spans="1:24" ht="15">
      <c r="A906" s="991"/>
      <c r="B906" s="1249"/>
      <c r="C906" s="1250"/>
      <c r="D906" s="1251"/>
      <c r="E906" s="1250"/>
      <c r="F906" s="1252"/>
      <c r="G906" s="991"/>
      <c r="H906" s="1045"/>
      <c r="I906" s="1045"/>
      <c r="J906" s="991"/>
      <c r="K906" s="991"/>
      <c r="L906" s="1045"/>
      <c r="M906" s="991"/>
      <c r="N906" s="991"/>
      <c r="O906" s="991"/>
      <c r="P906" s="1045"/>
      <c r="Q906" s="991"/>
      <c r="R906" s="991"/>
      <c r="S906" s="991"/>
      <c r="T906" s="1045"/>
      <c r="U906" s="991"/>
      <c r="V906" s="991"/>
      <c r="W906" s="991"/>
      <c r="X906" s="1042"/>
    </row>
    <row r="907" spans="1:24" ht="15">
      <c r="A907" s="991"/>
      <c r="B907" s="1249"/>
      <c r="C907" s="1250"/>
      <c r="D907" s="1251"/>
      <c r="E907" s="1250"/>
      <c r="F907" s="1252"/>
      <c r="G907" s="991"/>
      <c r="H907" s="1045"/>
      <c r="I907" s="1045"/>
      <c r="J907" s="991"/>
      <c r="K907" s="991"/>
      <c r="L907" s="1045"/>
      <c r="M907" s="991"/>
      <c r="N907" s="991"/>
      <c r="O907" s="991"/>
      <c r="P907" s="1045"/>
      <c r="Q907" s="991"/>
      <c r="R907" s="991"/>
      <c r="S907" s="991"/>
      <c r="T907" s="1045"/>
      <c r="U907" s="991"/>
      <c r="V907" s="991"/>
      <c r="W907" s="991"/>
      <c r="X907" s="1042"/>
    </row>
    <row r="908" spans="1:24" ht="15">
      <c r="A908" s="991"/>
      <c r="B908" s="1249"/>
      <c r="C908" s="1250"/>
      <c r="D908" s="1251"/>
      <c r="E908" s="1250"/>
      <c r="F908" s="1252"/>
      <c r="G908" s="991"/>
      <c r="H908" s="1045"/>
      <c r="I908" s="1045"/>
      <c r="J908" s="991"/>
      <c r="K908" s="991"/>
      <c r="L908" s="1045"/>
      <c r="M908" s="991"/>
      <c r="N908" s="991"/>
      <c r="O908" s="991"/>
      <c r="P908" s="1045"/>
      <c r="Q908" s="991"/>
      <c r="R908" s="991"/>
      <c r="S908" s="991"/>
      <c r="T908" s="1045"/>
      <c r="U908" s="991"/>
      <c r="V908" s="991"/>
      <c r="W908" s="991"/>
      <c r="X908" s="1042"/>
    </row>
    <row r="909" spans="1:24" ht="15">
      <c r="A909" s="991"/>
      <c r="B909" s="1249"/>
      <c r="C909" s="1250"/>
      <c r="D909" s="1251"/>
      <c r="E909" s="1250"/>
      <c r="F909" s="1252"/>
      <c r="G909" s="991"/>
      <c r="H909" s="1045"/>
      <c r="I909" s="1045"/>
      <c r="J909" s="991"/>
      <c r="K909" s="991"/>
      <c r="L909" s="1045"/>
      <c r="M909" s="991"/>
      <c r="N909" s="991"/>
      <c r="O909" s="991"/>
      <c r="P909" s="1045"/>
      <c r="Q909" s="991"/>
      <c r="R909" s="991"/>
      <c r="S909" s="991"/>
      <c r="T909" s="1045"/>
      <c r="U909" s="991"/>
      <c r="V909" s="991"/>
      <c r="W909" s="991"/>
      <c r="X909" s="1042"/>
    </row>
    <row r="910" spans="1:24" ht="15">
      <c r="A910" s="991"/>
      <c r="B910" s="1249"/>
      <c r="C910" s="1250"/>
      <c r="D910" s="1251"/>
      <c r="E910" s="1250"/>
      <c r="F910" s="1252"/>
      <c r="G910" s="991"/>
      <c r="H910" s="1045"/>
      <c r="I910" s="1045"/>
      <c r="J910" s="991"/>
      <c r="K910" s="991"/>
      <c r="L910" s="1045"/>
      <c r="M910" s="991"/>
      <c r="N910" s="991"/>
      <c r="O910" s="991"/>
      <c r="P910" s="1045"/>
      <c r="Q910" s="991"/>
      <c r="R910" s="991"/>
      <c r="S910" s="991"/>
      <c r="T910" s="1045"/>
      <c r="U910" s="991"/>
      <c r="V910" s="991"/>
      <c r="W910" s="991"/>
      <c r="X910" s="1042"/>
    </row>
    <row r="911" spans="1:24" ht="15">
      <c r="A911" s="991"/>
      <c r="B911" s="1249"/>
      <c r="C911" s="1250"/>
      <c r="D911" s="1251"/>
      <c r="E911" s="1250"/>
      <c r="F911" s="1252"/>
      <c r="G911" s="991"/>
      <c r="H911" s="1045"/>
      <c r="I911" s="1045"/>
      <c r="J911" s="991"/>
      <c r="K911" s="991"/>
      <c r="L911" s="1045"/>
      <c r="M911" s="991"/>
      <c r="N911" s="991"/>
      <c r="O911" s="991"/>
      <c r="P911" s="1045"/>
      <c r="Q911" s="991"/>
      <c r="R911" s="991"/>
      <c r="S911" s="991"/>
      <c r="T911" s="1045"/>
      <c r="U911" s="991"/>
      <c r="V911" s="991"/>
      <c r="W911" s="991"/>
      <c r="X911" s="1042"/>
    </row>
    <row r="912" spans="1:24" ht="15">
      <c r="A912" s="991"/>
      <c r="B912" s="1249"/>
      <c r="C912" s="1250"/>
      <c r="D912" s="1251"/>
      <c r="E912" s="1250"/>
      <c r="F912" s="1252"/>
      <c r="G912" s="991"/>
      <c r="H912" s="1045"/>
      <c r="I912" s="1045"/>
      <c r="J912" s="991"/>
      <c r="K912" s="991"/>
      <c r="L912" s="1045"/>
      <c r="M912" s="991"/>
      <c r="N912" s="991"/>
      <c r="O912" s="991"/>
      <c r="P912" s="1045"/>
      <c r="Q912" s="991"/>
      <c r="R912" s="991"/>
      <c r="S912" s="991"/>
      <c r="T912" s="1045"/>
      <c r="U912" s="991"/>
      <c r="V912" s="991"/>
      <c r="W912" s="991"/>
      <c r="X912" s="1042"/>
    </row>
    <row r="913" spans="1:24" ht="15">
      <c r="A913" s="991"/>
      <c r="B913" s="1249"/>
      <c r="C913" s="1250"/>
      <c r="D913" s="1251"/>
      <c r="E913" s="1250"/>
      <c r="F913" s="1252"/>
      <c r="G913" s="991"/>
      <c r="H913" s="1045"/>
      <c r="I913" s="1045"/>
      <c r="J913" s="991"/>
      <c r="K913" s="991"/>
      <c r="L913" s="1045"/>
      <c r="M913" s="991"/>
      <c r="N913" s="991"/>
      <c r="O913" s="991"/>
      <c r="P913" s="1045"/>
      <c r="Q913" s="991"/>
      <c r="R913" s="991"/>
      <c r="S913" s="991"/>
      <c r="T913" s="1045"/>
      <c r="U913" s="991"/>
      <c r="V913" s="991"/>
      <c r="W913" s="991"/>
      <c r="X913" s="1042"/>
    </row>
    <row r="914" spans="1:24" ht="15">
      <c r="A914" s="991"/>
      <c r="B914" s="1249"/>
      <c r="C914" s="1250"/>
      <c r="D914" s="1251"/>
      <c r="E914" s="1250"/>
      <c r="F914" s="1252"/>
      <c r="G914" s="991"/>
      <c r="H914" s="1045"/>
      <c r="I914" s="1045"/>
      <c r="J914" s="991"/>
      <c r="K914" s="991"/>
      <c r="L914" s="1045"/>
      <c r="M914" s="991"/>
      <c r="N914" s="991"/>
      <c r="O914" s="991"/>
      <c r="P914" s="1045"/>
      <c r="Q914" s="991"/>
      <c r="R914" s="991"/>
      <c r="S914" s="991"/>
      <c r="T914" s="1045"/>
      <c r="U914" s="991"/>
      <c r="V914" s="991"/>
      <c r="W914" s="991"/>
      <c r="X914" s="1042"/>
    </row>
    <row r="915" spans="1:24" ht="15">
      <c r="A915" s="991"/>
      <c r="B915" s="1249"/>
      <c r="C915" s="1250"/>
      <c r="D915" s="1251"/>
      <c r="E915" s="1250"/>
      <c r="F915" s="1252"/>
      <c r="G915" s="991"/>
      <c r="H915" s="1045"/>
      <c r="I915" s="1045"/>
      <c r="J915" s="991"/>
      <c r="K915" s="991"/>
      <c r="L915" s="1045"/>
      <c r="M915" s="991"/>
      <c r="N915" s="991"/>
      <c r="O915" s="991"/>
      <c r="P915" s="1045"/>
      <c r="Q915" s="991"/>
      <c r="R915" s="991"/>
      <c r="S915" s="991"/>
      <c r="T915" s="1045"/>
      <c r="U915" s="991"/>
      <c r="V915" s="991"/>
      <c r="W915" s="991"/>
      <c r="X915" s="1042"/>
    </row>
    <row r="916" spans="1:24" ht="15">
      <c r="A916" s="991"/>
      <c r="B916" s="1249"/>
      <c r="C916" s="1250"/>
      <c r="D916" s="1251"/>
      <c r="E916" s="1250"/>
      <c r="F916" s="1252"/>
      <c r="G916" s="991"/>
      <c r="H916" s="1045"/>
      <c r="I916" s="1045"/>
      <c r="J916" s="991"/>
      <c r="K916" s="991"/>
      <c r="L916" s="1045"/>
      <c r="M916" s="991"/>
      <c r="N916" s="991"/>
      <c r="O916" s="991"/>
      <c r="P916" s="1045"/>
      <c r="Q916" s="991"/>
      <c r="R916" s="991"/>
      <c r="S916" s="991"/>
      <c r="T916" s="1045"/>
      <c r="U916" s="991"/>
      <c r="V916" s="991"/>
      <c r="W916" s="991"/>
      <c r="X916" s="1042"/>
    </row>
    <row r="917" spans="1:24" ht="15">
      <c r="A917" s="991"/>
      <c r="B917" s="1249"/>
      <c r="C917" s="1250"/>
      <c r="D917" s="1251"/>
      <c r="E917" s="1250"/>
      <c r="F917" s="1252"/>
      <c r="G917" s="991"/>
      <c r="H917" s="1045"/>
      <c r="I917" s="1045"/>
      <c r="J917" s="991"/>
      <c r="K917" s="991"/>
      <c r="L917" s="1045"/>
      <c r="M917" s="991"/>
      <c r="N917" s="991"/>
      <c r="O917" s="991"/>
      <c r="P917" s="1045"/>
      <c r="Q917" s="991"/>
      <c r="R917" s="991"/>
      <c r="S917" s="991"/>
      <c r="T917" s="1045"/>
      <c r="U917" s="991"/>
      <c r="V917" s="991"/>
      <c r="W917" s="991"/>
      <c r="X917" s="1042"/>
    </row>
    <row r="918" spans="1:24" ht="15">
      <c r="A918" s="991"/>
      <c r="B918" s="1249"/>
      <c r="C918" s="1250"/>
      <c r="D918" s="1251"/>
      <c r="E918" s="1250"/>
      <c r="F918" s="1252"/>
      <c r="G918" s="991"/>
      <c r="H918" s="1045"/>
      <c r="I918" s="1045"/>
      <c r="J918" s="991"/>
      <c r="K918" s="991"/>
      <c r="L918" s="1045"/>
      <c r="M918" s="991"/>
      <c r="N918" s="991"/>
      <c r="O918" s="991"/>
      <c r="P918" s="1045"/>
      <c r="Q918" s="991"/>
      <c r="R918" s="991"/>
      <c r="S918" s="991"/>
      <c r="T918" s="1045"/>
      <c r="U918" s="991"/>
      <c r="V918" s="991"/>
      <c r="W918" s="991"/>
      <c r="X918" s="1042"/>
    </row>
    <row r="919" spans="1:24" ht="15">
      <c r="A919" s="991"/>
      <c r="B919" s="1249"/>
      <c r="C919" s="1250"/>
      <c r="D919" s="1251"/>
      <c r="E919" s="1250"/>
      <c r="F919" s="1252"/>
      <c r="G919" s="991"/>
      <c r="H919" s="1045"/>
      <c r="I919" s="1045"/>
      <c r="J919" s="991"/>
      <c r="K919" s="991"/>
      <c r="L919" s="1045"/>
      <c r="M919" s="991"/>
      <c r="N919" s="991"/>
      <c r="O919" s="991"/>
      <c r="P919" s="1045"/>
      <c r="Q919" s="991"/>
      <c r="R919" s="991"/>
      <c r="S919" s="991"/>
      <c r="T919" s="1045"/>
      <c r="U919" s="991"/>
      <c r="V919" s="991"/>
      <c r="W919" s="991"/>
      <c r="X919" s="1042"/>
    </row>
    <row r="920" spans="1:24" ht="15">
      <c r="A920" s="991"/>
      <c r="B920" s="1249"/>
      <c r="C920" s="1250"/>
      <c r="D920" s="1251"/>
      <c r="E920" s="1250"/>
      <c r="F920" s="1252"/>
      <c r="G920" s="991"/>
      <c r="H920" s="1045"/>
      <c r="I920" s="1045"/>
      <c r="J920" s="991"/>
      <c r="K920" s="991"/>
      <c r="L920" s="1045"/>
      <c r="M920" s="991"/>
      <c r="N920" s="991"/>
      <c r="O920" s="991"/>
      <c r="P920" s="1045"/>
      <c r="Q920" s="991"/>
      <c r="R920" s="991"/>
      <c r="S920" s="991"/>
      <c r="T920" s="1045"/>
      <c r="U920" s="991"/>
      <c r="V920" s="991"/>
      <c r="W920" s="991"/>
      <c r="X920" s="1042"/>
    </row>
    <row r="921" spans="1:24" ht="15">
      <c r="A921" s="991"/>
      <c r="B921" s="1249"/>
      <c r="C921" s="1250"/>
      <c r="D921" s="1251"/>
      <c r="E921" s="1250"/>
      <c r="F921" s="1252"/>
      <c r="G921" s="991"/>
      <c r="H921" s="1045"/>
      <c r="I921" s="1045"/>
      <c r="J921" s="991"/>
      <c r="K921" s="991"/>
      <c r="L921" s="1045"/>
      <c r="M921" s="991"/>
      <c r="N921" s="991"/>
      <c r="O921" s="991"/>
      <c r="P921" s="1045"/>
      <c r="Q921" s="991"/>
      <c r="R921" s="991"/>
      <c r="S921" s="991"/>
      <c r="T921" s="1045"/>
      <c r="U921" s="991"/>
      <c r="V921" s="991"/>
      <c r="W921" s="991"/>
      <c r="X921" s="1042"/>
    </row>
    <row r="922" spans="1:24" ht="15">
      <c r="A922" s="991"/>
      <c r="B922" s="1249"/>
      <c r="C922" s="1250"/>
      <c r="D922" s="1251"/>
      <c r="E922" s="1250"/>
      <c r="F922" s="1252"/>
      <c r="G922" s="991"/>
      <c r="H922" s="1045"/>
      <c r="I922" s="1045"/>
      <c r="J922" s="991"/>
      <c r="K922" s="991"/>
      <c r="L922" s="1045"/>
      <c r="M922" s="991"/>
      <c r="N922" s="991"/>
      <c r="O922" s="991"/>
      <c r="P922" s="1045"/>
      <c r="Q922" s="991"/>
      <c r="R922" s="991"/>
      <c r="S922" s="991"/>
      <c r="T922" s="1045"/>
      <c r="U922" s="991"/>
      <c r="V922" s="991"/>
      <c r="W922" s="991"/>
      <c r="X922" s="1042"/>
    </row>
    <row r="923" spans="1:24" ht="15">
      <c r="A923" s="991"/>
      <c r="B923" s="1249"/>
      <c r="C923" s="1250"/>
      <c r="D923" s="1251"/>
      <c r="E923" s="1250"/>
      <c r="F923" s="1252"/>
      <c r="G923" s="991"/>
      <c r="H923" s="1045"/>
      <c r="I923" s="1045"/>
      <c r="J923" s="991"/>
      <c r="K923" s="991"/>
      <c r="L923" s="1045"/>
      <c r="M923" s="991"/>
      <c r="N923" s="991"/>
      <c r="O923" s="991"/>
      <c r="P923" s="1045"/>
      <c r="Q923" s="991"/>
      <c r="R923" s="991"/>
      <c r="S923" s="991"/>
      <c r="T923" s="1045"/>
      <c r="U923" s="991"/>
      <c r="V923" s="991"/>
      <c r="W923" s="991"/>
      <c r="X923" s="1042"/>
    </row>
    <row r="924" spans="1:24" ht="15">
      <c r="A924" s="991"/>
      <c r="B924" s="1249"/>
      <c r="C924" s="1250"/>
      <c r="D924" s="1251"/>
      <c r="E924" s="1250"/>
      <c r="F924" s="1252"/>
      <c r="G924" s="991"/>
      <c r="H924" s="1045"/>
      <c r="I924" s="1045"/>
      <c r="J924" s="991"/>
      <c r="K924" s="991"/>
      <c r="L924" s="1045"/>
      <c r="M924" s="991"/>
      <c r="N924" s="991"/>
      <c r="O924" s="991"/>
      <c r="P924" s="1045"/>
      <c r="Q924" s="991"/>
      <c r="R924" s="991"/>
      <c r="S924" s="991"/>
      <c r="T924" s="1045"/>
      <c r="U924" s="991"/>
      <c r="V924" s="991"/>
      <c r="W924" s="991"/>
      <c r="X924" s="1042"/>
    </row>
    <row r="925" spans="1:24" ht="15">
      <c r="A925" s="991"/>
      <c r="B925" s="1249"/>
      <c r="C925" s="1250"/>
      <c r="D925" s="1251"/>
      <c r="E925" s="1250"/>
      <c r="F925" s="1252"/>
      <c r="G925" s="991"/>
      <c r="H925" s="1045"/>
      <c r="I925" s="1045"/>
      <c r="J925" s="991"/>
      <c r="K925" s="991"/>
      <c r="L925" s="1045"/>
      <c r="M925" s="991"/>
      <c r="N925" s="991"/>
      <c r="O925" s="991"/>
      <c r="P925" s="1045"/>
      <c r="Q925" s="991"/>
      <c r="R925" s="991"/>
      <c r="S925" s="991"/>
      <c r="T925" s="1045"/>
      <c r="U925" s="991"/>
      <c r="V925" s="991"/>
      <c r="W925" s="991"/>
      <c r="X925" s="1042"/>
    </row>
    <row r="926" spans="1:24" ht="15">
      <c r="A926" s="991"/>
      <c r="B926" s="1249"/>
      <c r="C926" s="1250"/>
      <c r="D926" s="1251"/>
      <c r="E926" s="1250"/>
      <c r="F926" s="1252"/>
      <c r="G926" s="991"/>
      <c r="H926" s="1045"/>
      <c r="I926" s="1045"/>
      <c r="J926" s="991"/>
      <c r="K926" s="991"/>
      <c r="L926" s="1045"/>
      <c r="M926" s="991"/>
      <c r="N926" s="991"/>
      <c r="O926" s="991"/>
      <c r="P926" s="1045"/>
      <c r="Q926" s="991"/>
      <c r="R926" s="991"/>
      <c r="S926" s="991"/>
      <c r="T926" s="1045"/>
      <c r="U926" s="991"/>
      <c r="V926" s="991"/>
      <c r="W926" s="991"/>
      <c r="X926" s="1042"/>
    </row>
    <row r="927" spans="1:24" ht="15">
      <c r="A927" s="991"/>
      <c r="B927" s="1249"/>
      <c r="C927" s="1250"/>
      <c r="D927" s="1251"/>
      <c r="E927" s="1250"/>
      <c r="F927" s="1252"/>
      <c r="G927" s="991"/>
      <c r="H927" s="1045"/>
      <c r="I927" s="1045"/>
      <c r="J927" s="991"/>
      <c r="K927" s="991"/>
      <c r="L927" s="1045"/>
      <c r="M927" s="991"/>
      <c r="N927" s="991"/>
      <c r="O927" s="991"/>
      <c r="P927" s="1045"/>
      <c r="Q927" s="991"/>
      <c r="R927" s="991"/>
      <c r="S927" s="991"/>
      <c r="T927" s="1045"/>
      <c r="U927" s="991"/>
      <c r="V927" s="991"/>
      <c r="W927" s="991"/>
      <c r="X927" s="1042"/>
    </row>
    <row r="928" spans="1:24" ht="15">
      <c r="A928" s="991"/>
      <c r="B928" s="1249"/>
      <c r="C928" s="1250"/>
      <c r="D928" s="1251"/>
      <c r="E928" s="1250"/>
      <c r="F928" s="1252"/>
      <c r="G928" s="991"/>
      <c r="H928" s="1045"/>
      <c r="I928" s="1045"/>
      <c r="J928" s="991"/>
      <c r="K928" s="991"/>
      <c r="L928" s="1045"/>
      <c r="M928" s="991"/>
      <c r="N928" s="991"/>
      <c r="O928" s="991"/>
      <c r="P928" s="1045"/>
      <c r="Q928" s="991"/>
      <c r="R928" s="991"/>
      <c r="S928" s="991"/>
      <c r="T928" s="1045"/>
      <c r="U928" s="991"/>
      <c r="V928" s="991"/>
      <c r="W928" s="991"/>
      <c r="X928" s="1042"/>
    </row>
    <row r="929" spans="1:24" ht="15">
      <c r="A929" s="991"/>
      <c r="B929" s="1249"/>
      <c r="C929" s="1250"/>
      <c r="D929" s="1251"/>
      <c r="E929" s="1250"/>
      <c r="F929" s="1252"/>
      <c r="G929" s="991"/>
      <c r="H929" s="1045"/>
      <c r="I929" s="1045"/>
      <c r="J929" s="991"/>
      <c r="K929" s="991"/>
      <c r="L929" s="1045"/>
      <c r="M929" s="991"/>
      <c r="N929" s="991"/>
      <c r="O929" s="991"/>
      <c r="P929" s="1045"/>
      <c r="Q929" s="991"/>
      <c r="R929" s="991"/>
      <c r="S929" s="991"/>
      <c r="T929" s="1045"/>
      <c r="U929" s="991"/>
      <c r="V929" s="991"/>
      <c r="W929" s="991"/>
      <c r="X929" s="1042"/>
    </row>
    <row r="930" spans="1:24" ht="15">
      <c r="A930" s="991"/>
      <c r="B930" s="1249"/>
      <c r="C930" s="1250"/>
      <c r="D930" s="1251"/>
      <c r="E930" s="1250"/>
      <c r="F930" s="1252"/>
      <c r="G930" s="991"/>
      <c r="H930" s="1045"/>
      <c r="I930" s="1045"/>
      <c r="J930" s="991"/>
      <c r="K930" s="991"/>
      <c r="L930" s="1045"/>
      <c r="M930" s="991"/>
      <c r="N930" s="991"/>
      <c r="O930" s="991"/>
      <c r="P930" s="1045"/>
      <c r="Q930" s="991"/>
      <c r="R930" s="991"/>
      <c r="S930" s="991"/>
      <c r="T930" s="1045"/>
      <c r="U930" s="991"/>
      <c r="V930" s="991"/>
      <c r="W930" s="991"/>
      <c r="X930" s="1042"/>
    </row>
    <row r="931" spans="1:24" ht="15">
      <c r="A931" s="991"/>
      <c r="B931" s="1249"/>
      <c r="C931" s="1250"/>
      <c r="D931" s="1251"/>
      <c r="E931" s="1250"/>
      <c r="F931" s="1252"/>
      <c r="G931" s="991"/>
      <c r="H931" s="1045"/>
      <c r="I931" s="1045"/>
      <c r="J931" s="991"/>
      <c r="K931" s="991"/>
      <c r="L931" s="1045"/>
      <c r="M931" s="991"/>
      <c r="N931" s="991"/>
      <c r="O931" s="991"/>
      <c r="P931" s="1045"/>
      <c r="Q931" s="991"/>
      <c r="R931" s="991"/>
      <c r="S931" s="991"/>
      <c r="T931" s="1045"/>
      <c r="U931" s="991"/>
      <c r="V931" s="991"/>
      <c r="W931" s="991"/>
      <c r="X931" s="1042"/>
    </row>
    <row r="932" spans="1:24" ht="15">
      <c r="A932" s="991"/>
      <c r="B932" s="1249"/>
      <c r="C932" s="1250"/>
      <c r="D932" s="1251"/>
      <c r="E932" s="1250"/>
      <c r="F932" s="1252"/>
      <c r="G932" s="991"/>
      <c r="H932" s="1045"/>
      <c r="I932" s="1045"/>
      <c r="J932" s="991"/>
      <c r="K932" s="991"/>
      <c r="L932" s="1045"/>
      <c r="M932" s="991"/>
      <c r="N932" s="991"/>
      <c r="O932" s="991"/>
      <c r="P932" s="1045"/>
      <c r="Q932" s="991"/>
      <c r="R932" s="991"/>
      <c r="S932" s="991"/>
      <c r="T932" s="1045"/>
      <c r="U932" s="991"/>
      <c r="V932" s="991"/>
      <c r="W932" s="991"/>
      <c r="X932" s="1042"/>
    </row>
    <row r="933" spans="1:24" ht="15">
      <c r="A933" s="991"/>
      <c r="B933" s="1249"/>
      <c r="C933" s="1250"/>
      <c r="D933" s="1251"/>
      <c r="E933" s="1250"/>
      <c r="F933" s="1252"/>
      <c r="G933" s="991"/>
      <c r="H933" s="1045"/>
      <c r="I933" s="1045"/>
      <c r="J933" s="991"/>
      <c r="K933" s="991"/>
      <c r="L933" s="1045"/>
      <c r="M933" s="991"/>
      <c r="N933" s="991"/>
      <c r="O933" s="991"/>
      <c r="P933" s="1045"/>
      <c r="Q933" s="991"/>
      <c r="R933" s="991"/>
      <c r="S933" s="991"/>
      <c r="T933" s="1045"/>
      <c r="U933" s="991"/>
      <c r="V933" s="991"/>
      <c r="W933" s="991"/>
      <c r="X933" s="1042"/>
    </row>
    <row r="934" spans="1:24" ht="15">
      <c r="A934" s="991"/>
      <c r="B934" s="1249"/>
      <c r="C934" s="1250"/>
      <c r="D934" s="1251"/>
      <c r="E934" s="1250"/>
      <c r="F934" s="1252"/>
      <c r="G934" s="991"/>
      <c r="H934" s="1045"/>
      <c r="I934" s="1045"/>
      <c r="J934" s="991"/>
      <c r="K934" s="991"/>
      <c r="L934" s="1045"/>
      <c r="M934" s="991"/>
      <c r="N934" s="991"/>
      <c r="O934" s="991"/>
      <c r="P934" s="1045"/>
      <c r="Q934" s="991"/>
      <c r="R934" s="991"/>
      <c r="S934" s="991"/>
      <c r="T934" s="1045"/>
      <c r="U934" s="991"/>
      <c r="V934" s="991"/>
      <c r="W934" s="991"/>
      <c r="X934" s="1042"/>
    </row>
    <row r="935" spans="1:24" ht="15">
      <c r="A935" s="991"/>
      <c r="B935" s="1249"/>
      <c r="C935" s="1250"/>
      <c r="D935" s="1251"/>
      <c r="E935" s="1250"/>
      <c r="F935" s="1252"/>
      <c r="G935" s="991"/>
      <c r="H935" s="1045"/>
      <c r="I935" s="1045"/>
      <c r="J935" s="991"/>
      <c r="K935" s="991"/>
      <c r="L935" s="1045"/>
      <c r="M935" s="991"/>
      <c r="N935" s="991"/>
      <c r="O935" s="991"/>
      <c r="P935" s="1045"/>
      <c r="Q935" s="991"/>
      <c r="R935" s="991"/>
      <c r="S935" s="991"/>
      <c r="T935" s="1045"/>
      <c r="U935" s="991"/>
      <c r="V935" s="991"/>
      <c r="W935" s="991"/>
      <c r="X935" s="1042"/>
    </row>
    <row r="936" spans="1:24" ht="15">
      <c r="A936" s="991"/>
      <c r="B936" s="1249"/>
      <c r="C936" s="1250"/>
      <c r="D936" s="1251"/>
      <c r="E936" s="1250"/>
      <c r="F936" s="1252"/>
      <c r="G936" s="991"/>
      <c r="H936" s="1045"/>
      <c r="I936" s="1045"/>
      <c r="J936" s="991"/>
      <c r="K936" s="991"/>
      <c r="L936" s="1045"/>
      <c r="M936" s="991"/>
      <c r="N936" s="991"/>
      <c r="O936" s="991"/>
      <c r="P936" s="1045"/>
      <c r="Q936" s="991"/>
      <c r="R936" s="991"/>
      <c r="S936" s="991"/>
      <c r="T936" s="1045"/>
      <c r="U936" s="991"/>
      <c r="V936" s="991"/>
      <c r="W936" s="991"/>
      <c r="X936" s="1042"/>
    </row>
    <row r="937" spans="1:24" ht="15">
      <c r="A937" s="991"/>
      <c r="B937" s="1249"/>
      <c r="C937" s="1250"/>
      <c r="D937" s="1251"/>
      <c r="E937" s="1250"/>
      <c r="F937" s="1252"/>
      <c r="G937" s="991"/>
      <c r="H937" s="1045"/>
      <c r="I937" s="1045"/>
      <c r="J937" s="991"/>
      <c r="K937" s="991"/>
      <c r="L937" s="1045"/>
      <c r="M937" s="991"/>
      <c r="N937" s="991"/>
      <c r="O937" s="991"/>
      <c r="P937" s="1045"/>
      <c r="Q937" s="991"/>
      <c r="R937" s="991"/>
      <c r="S937" s="991"/>
      <c r="T937" s="1045"/>
      <c r="U937" s="991"/>
      <c r="V937" s="991"/>
      <c r="W937" s="991"/>
      <c r="X937" s="1042"/>
    </row>
    <row r="938" spans="1:24" ht="15">
      <c r="A938" s="991"/>
      <c r="B938" s="1249"/>
      <c r="C938" s="1250"/>
      <c r="D938" s="1251"/>
      <c r="E938" s="1250"/>
      <c r="F938" s="1252"/>
      <c r="G938" s="991"/>
      <c r="H938" s="1045"/>
      <c r="I938" s="1045"/>
      <c r="J938" s="991"/>
      <c r="K938" s="991"/>
      <c r="L938" s="1045"/>
      <c r="M938" s="991"/>
      <c r="N938" s="991"/>
      <c r="O938" s="991"/>
      <c r="P938" s="1045"/>
      <c r="Q938" s="991"/>
      <c r="R938" s="991"/>
      <c r="S938" s="991"/>
      <c r="T938" s="1045"/>
      <c r="U938" s="991"/>
      <c r="V938" s="991"/>
      <c r="W938" s="991"/>
      <c r="X938" s="1042"/>
    </row>
    <row r="939" spans="1:24" ht="15">
      <c r="A939" s="991"/>
      <c r="B939" s="1249"/>
      <c r="C939" s="1250"/>
      <c r="D939" s="1251"/>
      <c r="E939" s="1250"/>
      <c r="F939" s="1252"/>
      <c r="G939" s="991"/>
      <c r="H939" s="1045"/>
      <c r="I939" s="1045"/>
      <c r="J939" s="991"/>
      <c r="K939" s="991"/>
      <c r="L939" s="1045"/>
      <c r="M939" s="991"/>
      <c r="N939" s="991"/>
      <c r="O939" s="991"/>
      <c r="P939" s="1045"/>
      <c r="Q939" s="991"/>
      <c r="R939" s="991"/>
      <c r="S939" s="991"/>
      <c r="T939" s="1045"/>
      <c r="U939" s="991"/>
      <c r="V939" s="991"/>
      <c r="W939" s="991"/>
      <c r="X939" s="1042"/>
    </row>
    <row r="940" spans="1:24" ht="15">
      <c r="A940" s="991"/>
      <c r="B940" s="1249"/>
      <c r="C940" s="1250"/>
      <c r="D940" s="1251"/>
      <c r="E940" s="1250"/>
      <c r="F940" s="1252"/>
      <c r="G940" s="991"/>
      <c r="H940" s="1045"/>
      <c r="I940" s="1045"/>
      <c r="J940" s="991"/>
      <c r="K940" s="991"/>
      <c r="L940" s="1045"/>
      <c r="M940" s="991"/>
      <c r="N940" s="991"/>
      <c r="O940" s="991"/>
      <c r="P940" s="1045"/>
      <c r="Q940" s="991"/>
      <c r="R940" s="991"/>
      <c r="S940" s="991"/>
      <c r="T940" s="1045"/>
      <c r="U940" s="991"/>
      <c r="V940" s="991"/>
      <c r="W940" s="991"/>
      <c r="X940" s="1042"/>
    </row>
    <row r="941" spans="1:24" ht="15">
      <c r="A941" s="991"/>
      <c r="B941" s="1249"/>
      <c r="C941" s="1250"/>
      <c r="D941" s="1251"/>
      <c r="E941" s="1250"/>
      <c r="F941" s="1252"/>
      <c r="G941" s="991"/>
      <c r="H941" s="1045"/>
      <c r="I941" s="1045"/>
      <c r="J941" s="991"/>
      <c r="K941" s="991"/>
      <c r="L941" s="1045"/>
      <c r="M941" s="991"/>
      <c r="N941" s="991"/>
      <c r="O941" s="991"/>
      <c r="P941" s="1045"/>
      <c r="Q941" s="991"/>
      <c r="R941" s="991"/>
      <c r="S941" s="991"/>
      <c r="T941" s="1045"/>
      <c r="U941" s="991"/>
      <c r="V941" s="991"/>
      <c r="W941" s="991"/>
      <c r="X941" s="1042"/>
    </row>
    <row r="942" spans="1:24" ht="15">
      <c r="A942" s="991"/>
      <c r="B942" s="1249"/>
      <c r="C942" s="1250"/>
      <c r="D942" s="1251"/>
      <c r="E942" s="1250"/>
      <c r="F942" s="1252"/>
      <c r="G942" s="991"/>
      <c r="H942" s="1045"/>
      <c r="I942" s="1045"/>
      <c r="J942" s="991"/>
      <c r="K942" s="991"/>
      <c r="L942" s="1045"/>
      <c r="M942" s="991"/>
      <c r="N942" s="991"/>
      <c r="O942" s="991"/>
      <c r="P942" s="1045"/>
      <c r="Q942" s="991"/>
      <c r="R942" s="991"/>
      <c r="S942" s="991"/>
      <c r="T942" s="1045"/>
      <c r="U942" s="991"/>
      <c r="V942" s="991"/>
      <c r="W942" s="991"/>
      <c r="X942" s="1042"/>
    </row>
    <row r="943" spans="1:24" ht="15">
      <c r="A943" s="991"/>
      <c r="B943" s="1249"/>
      <c r="C943" s="1250"/>
      <c r="D943" s="1251"/>
      <c r="E943" s="1250"/>
      <c r="F943" s="1252"/>
      <c r="G943" s="991"/>
      <c r="H943" s="1045"/>
      <c r="I943" s="1045"/>
      <c r="J943" s="991"/>
      <c r="K943" s="991"/>
      <c r="L943" s="1045"/>
      <c r="M943" s="991"/>
      <c r="N943" s="991"/>
      <c r="O943" s="991"/>
      <c r="P943" s="1045"/>
      <c r="Q943" s="991"/>
      <c r="R943" s="991"/>
      <c r="S943" s="991"/>
      <c r="T943" s="1045"/>
      <c r="U943" s="991"/>
      <c r="V943" s="991"/>
      <c r="W943" s="991"/>
      <c r="X943" s="1042"/>
    </row>
    <row r="944" spans="1:24" ht="15">
      <c r="A944" s="991"/>
      <c r="B944" s="1249"/>
      <c r="C944" s="1250"/>
      <c r="D944" s="1251"/>
      <c r="E944" s="1250"/>
      <c r="F944" s="1252"/>
      <c r="G944" s="991"/>
      <c r="H944" s="1045"/>
      <c r="I944" s="1045"/>
      <c r="J944" s="991"/>
      <c r="K944" s="991"/>
      <c r="L944" s="1045"/>
      <c r="M944" s="991"/>
      <c r="N944" s="991"/>
      <c r="O944" s="991"/>
      <c r="P944" s="1045"/>
      <c r="Q944" s="991"/>
      <c r="R944" s="991"/>
      <c r="S944" s="991"/>
      <c r="T944" s="1045"/>
      <c r="U944" s="991"/>
      <c r="V944" s="991"/>
      <c r="W944" s="991"/>
      <c r="X944" s="1042"/>
    </row>
    <row r="945" spans="1:24" ht="15">
      <c r="A945" s="991"/>
      <c r="B945" s="1249"/>
      <c r="C945" s="1250"/>
      <c r="D945" s="1251"/>
      <c r="E945" s="1250"/>
      <c r="F945" s="1252"/>
      <c r="G945" s="991"/>
      <c r="H945" s="1045"/>
      <c r="I945" s="1045"/>
      <c r="J945" s="991"/>
      <c r="K945" s="991"/>
      <c r="L945" s="1045"/>
      <c r="M945" s="991"/>
      <c r="N945" s="991"/>
      <c r="O945" s="991"/>
      <c r="P945" s="1045"/>
      <c r="Q945" s="991"/>
      <c r="R945" s="991"/>
      <c r="S945" s="991"/>
      <c r="T945" s="1045"/>
      <c r="U945" s="991"/>
      <c r="V945" s="991"/>
      <c r="W945" s="991"/>
      <c r="X945" s="1042"/>
    </row>
    <row r="946" spans="1:24" ht="15">
      <c r="A946" s="991"/>
      <c r="B946" s="1249"/>
      <c r="C946" s="1250"/>
      <c r="D946" s="1251"/>
      <c r="E946" s="1250"/>
      <c r="F946" s="1252"/>
      <c r="G946" s="991"/>
      <c r="H946" s="1045"/>
      <c r="I946" s="1045"/>
      <c r="J946" s="991"/>
      <c r="K946" s="991"/>
      <c r="L946" s="1045"/>
      <c r="M946" s="991"/>
      <c r="N946" s="991"/>
      <c r="O946" s="991"/>
      <c r="P946" s="1045"/>
      <c r="Q946" s="991"/>
      <c r="R946" s="991"/>
      <c r="S946" s="991"/>
      <c r="T946" s="1045"/>
      <c r="U946" s="991"/>
      <c r="V946" s="991"/>
      <c r="W946" s="991"/>
      <c r="X946" s="1042"/>
    </row>
    <row r="947" spans="1:24" ht="15">
      <c r="A947" s="991"/>
      <c r="B947" s="1249"/>
      <c r="C947" s="1250"/>
      <c r="D947" s="1251"/>
      <c r="E947" s="1250"/>
      <c r="F947" s="1252"/>
      <c r="G947" s="991"/>
      <c r="H947" s="1045"/>
      <c r="I947" s="1045"/>
      <c r="J947" s="991"/>
      <c r="K947" s="991"/>
      <c r="L947" s="1045"/>
      <c r="M947" s="991"/>
      <c r="N947" s="991"/>
      <c r="O947" s="991"/>
      <c r="P947" s="1045"/>
      <c r="Q947" s="991"/>
      <c r="R947" s="991"/>
      <c r="S947" s="991"/>
      <c r="T947" s="1045"/>
      <c r="U947" s="991"/>
      <c r="V947" s="991"/>
      <c r="W947" s="991"/>
      <c r="X947" s="1042"/>
    </row>
    <row r="948" spans="1:24" ht="15">
      <c r="A948" s="991"/>
      <c r="B948" s="1249"/>
      <c r="C948" s="1250"/>
      <c r="D948" s="1251"/>
      <c r="E948" s="1250"/>
      <c r="F948" s="1252"/>
      <c r="G948" s="991"/>
      <c r="H948" s="1045"/>
      <c r="I948" s="1045"/>
      <c r="J948" s="991"/>
      <c r="K948" s="991"/>
      <c r="L948" s="1045"/>
      <c r="M948" s="991"/>
      <c r="N948" s="991"/>
      <c r="O948" s="991"/>
      <c r="P948" s="1045"/>
      <c r="Q948" s="991"/>
      <c r="R948" s="991"/>
      <c r="S948" s="991"/>
      <c r="T948" s="1045"/>
      <c r="U948" s="991"/>
      <c r="V948" s="991"/>
      <c r="W948" s="991"/>
      <c r="X948" s="1042"/>
    </row>
    <row r="949" spans="1:24" ht="15">
      <c r="A949" s="991"/>
      <c r="B949" s="1249"/>
      <c r="C949" s="1250"/>
      <c r="D949" s="1251"/>
      <c r="E949" s="1250"/>
      <c r="F949" s="1252"/>
      <c r="G949" s="991"/>
      <c r="H949" s="1045"/>
      <c r="I949" s="1045"/>
      <c r="J949" s="991"/>
      <c r="K949" s="991"/>
      <c r="L949" s="1045"/>
      <c r="M949" s="991"/>
      <c r="N949" s="991"/>
      <c r="O949" s="991"/>
      <c r="P949" s="1045"/>
      <c r="Q949" s="991"/>
      <c r="R949" s="991"/>
      <c r="S949" s="991"/>
      <c r="T949" s="1045"/>
      <c r="U949" s="991"/>
      <c r="V949" s="991"/>
      <c r="W949" s="991"/>
      <c r="X949" s="1042"/>
    </row>
    <row r="950" spans="1:24" ht="15">
      <c r="A950" s="991"/>
      <c r="B950" s="1249"/>
      <c r="C950" s="1250"/>
      <c r="D950" s="1251"/>
      <c r="E950" s="1250"/>
      <c r="F950" s="1252"/>
      <c r="G950" s="991"/>
      <c r="H950" s="1045"/>
      <c r="I950" s="1045"/>
      <c r="J950" s="991"/>
      <c r="K950" s="991"/>
      <c r="L950" s="1045"/>
      <c r="M950" s="991"/>
      <c r="N950" s="991"/>
      <c r="O950" s="991"/>
      <c r="P950" s="1045"/>
      <c r="Q950" s="991"/>
      <c r="R950" s="991"/>
      <c r="S950" s="991"/>
      <c r="T950" s="1045"/>
      <c r="U950" s="991"/>
      <c r="V950" s="991"/>
      <c r="W950" s="991"/>
      <c r="X950" s="1042"/>
    </row>
    <row r="951" spans="1:24" ht="15">
      <c r="A951" s="991"/>
      <c r="B951" s="1249"/>
      <c r="C951" s="1250"/>
      <c r="D951" s="1251"/>
      <c r="E951" s="1250"/>
      <c r="F951" s="1252"/>
      <c r="G951" s="991"/>
      <c r="H951" s="1045"/>
      <c r="I951" s="1045"/>
      <c r="J951" s="991"/>
      <c r="K951" s="991"/>
      <c r="L951" s="1045"/>
      <c r="M951" s="991"/>
      <c r="N951" s="991"/>
      <c r="O951" s="991"/>
      <c r="P951" s="1045"/>
      <c r="Q951" s="991"/>
      <c r="R951" s="991"/>
      <c r="S951" s="991"/>
      <c r="T951" s="1045"/>
      <c r="U951" s="991"/>
      <c r="V951" s="991"/>
      <c r="W951" s="991"/>
      <c r="X951" s="1042"/>
    </row>
    <row r="952" spans="1:24" ht="15">
      <c r="A952" s="991"/>
      <c r="B952" s="1249"/>
      <c r="C952" s="1250"/>
      <c r="D952" s="1251"/>
      <c r="E952" s="1250"/>
      <c r="F952" s="1252"/>
      <c r="G952" s="991"/>
      <c r="H952" s="1045"/>
      <c r="I952" s="1045"/>
      <c r="J952" s="991"/>
      <c r="K952" s="991"/>
      <c r="L952" s="1045"/>
      <c r="M952" s="991"/>
      <c r="N952" s="991"/>
      <c r="O952" s="991"/>
      <c r="P952" s="1045"/>
      <c r="Q952" s="991"/>
      <c r="R952" s="991"/>
      <c r="S952" s="991"/>
      <c r="T952" s="1045"/>
      <c r="U952" s="991"/>
      <c r="V952" s="991"/>
      <c r="W952" s="991"/>
      <c r="X952" s="1042"/>
    </row>
    <row r="953" spans="1:24" ht="15">
      <c r="A953" s="991"/>
      <c r="B953" s="1249"/>
      <c r="C953" s="1250"/>
      <c r="D953" s="1251"/>
      <c r="E953" s="1250"/>
      <c r="F953" s="1252"/>
      <c r="G953" s="991"/>
      <c r="H953" s="1045"/>
      <c r="I953" s="1045"/>
      <c r="J953" s="991"/>
      <c r="K953" s="991"/>
      <c r="L953" s="1045"/>
      <c r="M953" s="991"/>
      <c r="N953" s="991"/>
      <c r="O953" s="991"/>
      <c r="P953" s="1045"/>
      <c r="Q953" s="991"/>
      <c r="R953" s="991"/>
      <c r="S953" s="991"/>
      <c r="T953" s="1045"/>
      <c r="U953" s="991"/>
      <c r="V953" s="991"/>
      <c r="W953" s="991"/>
      <c r="X953" s="1042"/>
    </row>
    <row r="954" spans="1:24" ht="15">
      <c r="A954" s="991"/>
      <c r="B954" s="1249"/>
      <c r="C954" s="1250"/>
      <c r="D954" s="1251"/>
      <c r="E954" s="1250"/>
      <c r="F954" s="1252"/>
      <c r="G954" s="991"/>
      <c r="H954" s="1045"/>
      <c r="I954" s="1045"/>
      <c r="J954" s="991"/>
      <c r="K954" s="991"/>
      <c r="L954" s="1045"/>
      <c r="M954" s="991"/>
      <c r="N954" s="991"/>
      <c r="O954" s="991"/>
      <c r="P954" s="1045"/>
      <c r="Q954" s="991"/>
      <c r="R954" s="991"/>
      <c r="S954" s="991"/>
      <c r="T954" s="1045"/>
      <c r="U954" s="991"/>
      <c r="V954" s="991"/>
      <c r="W954" s="991"/>
      <c r="X954" s="1042"/>
    </row>
    <row r="955" spans="1:24" ht="15">
      <c r="A955" s="991"/>
      <c r="B955" s="1249"/>
      <c r="C955" s="1250"/>
      <c r="D955" s="1251"/>
      <c r="E955" s="1250"/>
      <c r="F955" s="1252"/>
      <c r="G955" s="991"/>
      <c r="H955" s="1045"/>
      <c r="I955" s="1045"/>
      <c r="J955" s="991"/>
      <c r="K955" s="991"/>
      <c r="L955" s="1045"/>
      <c r="M955" s="991"/>
      <c r="N955" s="991"/>
      <c r="O955" s="991"/>
      <c r="P955" s="1045"/>
      <c r="Q955" s="991"/>
      <c r="R955" s="991"/>
      <c r="S955" s="991"/>
      <c r="T955" s="1045"/>
      <c r="U955" s="991"/>
      <c r="V955" s="991"/>
      <c r="W955" s="991"/>
      <c r="X955" s="1042"/>
    </row>
    <row r="956" spans="1:24" ht="15">
      <c r="A956" s="991"/>
      <c r="B956" s="1249"/>
      <c r="C956" s="1250"/>
      <c r="D956" s="1251"/>
      <c r="E956" s="1250"/>
      <c r="F956" s="1252"/>
      <c r="G956" s="991"/>
      <c r="H956" s="1045"/>
      <c r="I956" s="1045"/>
      <c r="J956" s="991"/>
      <c r="K956" s="991"/>
      <c r="L956" s="1045"/>
      <c r="M956" s="991"/>
      <c r="N956" s="991"/>
      <c r="O956" s="991"/>
      <c r="P956" s="1045"/>
      <c r="Q956" s="991"/>
      <c r="R956" s="991"/>
      <c r="S956" s="991"/>
      <c r="T956" s="1045"/>
      <c r="U956" s="991"/>
      <c r="V956" s="991"/>
      <c r="W956" s="991"/>
      <c r="X956" s="1042"/>
    </row>
    <row r="957" spans="1:24" ht="15">
      <c r="A957" s="991"/>
      <c r="B957" s="1249"/>
      <c r="C957" s="1250"/>
      <c r="D957" s="1251"/>
      <c r="E957" s="1250"/>
      <c r="F957" s="1252"/>
      <c r="G957" s="991"/>
      <c r="H957" s="1045"/>
      <c r="I957" s="1045"/>
      <c r="J957" s="991"/>
      <c r="K957" s="991"/>
      <c r="L957" s="1045"/>
      <c r="M957" s="991"/>
      <c r="N957" s="991"/>
      <c r="O957" s="991"/>
      <c r="P957" s="1045"/>
      <c r="Q957" s="991"/>
      <c r="R957" s="991"/>
      <c r="S957" s="991"/>
      <c r="T957" s="1045"/>
      <c r="U957" s="991"/>
      <c r="V957" s="991"/>
      <c r="W957" s="991"/>
      <c r="X957" s="1042"/>
    </row>
    <row r="958" spans="1:24" ht="15">
      <c r="A958" s="991"/>
      <c r="B958" s="1249"/>
      <c r="C958" s="1250"/>
      <c r="D958" s="1251"/>
      <c r="E958" s="1250"/>
      <c r="F958" s="1252"/>
      <c r="G958" s="991"/>
      <c r="H958" s="1045"/>
      <c r="I958" s="1045"/>
      <c r="J958" s="991"/>
      <c r="K958" s="991"/>
      <c r="L958" s="1045"/>
      <c r="M958" s="991"/>
      <c r="N958" s="991"/>
      <c r="O958" s="991"/>
      <c r="P958" s="1045"/>
      <c r="Q958" s="991"/>
      <c r="R958" s="991"/>
      <c r="S958" s="991"/>
      <c r="T958" s="1045"/>
      <c r="U958" s="991"/>
      <c r="V958" s="991"/>
      <c r="W958" s="991"/>
      <c r="X958" s="1042"/>
    </row>
    <row r="959" spans="1:24" ht="15">
      <c r="A959" s="991"/>
      <c r="B959" s="1249"/>
      <c r="C959" s="1250"/>
      <c r="D959" s="1251"/>
      <c r="E959" s="1250"/>
      <c r="F959" s="1252"/>
      <c r="G959" s="991"/>
      <c r="H959" s="1045"/>
      <c r="I959" s="1045"/>
      <c r="J959" s="991"/>
      <c r="K959" s="991"/>
      <c r="L959" s="1045"/>
      <c r="M959" s="991"/>
      <c r="N959" s="991"/>
      <c r="O959" s="991"/>
      <c r="P959" s="1045"/>
      <c r="Q959" s="991"/>
      <c r="R959" s="991"/>
      <c r="S959" s="991"/>
      <c r="T959" s="1045"/>
      <c r="U959" s="991"/>
      <c r="V959" s="991"/>
      <c r="W959" s="991"/>
      <c r="X959" s="1042"/>
    </row>
    <row r="960" spans="1:24" ht="15">
      <c r="A960" s="991"/>
      <c r="B960" s="1249"/>
      <c r="C960" s="1250"/>
      <c r="D960" s="1251"/>
      <c r="E960" s="1250"/>
      <c r="F960" s="1252"/>
      <c r="G960" s="991"/>
      <c r="H960" s="1045"/>
      <c r="I960" s="1045"/>
      <c r="J960" s="991"/>
      <c r="K960" s="991"/>
      <c r="L960" s="1045"/>
      <c r="M960" s="991"/>
      <c r="N960" s="991"/>
      <c r="O960" s="991"/>
      <c r="P960" s="1045"/>
      <c r="Q960" s="991"/>
      <c r="R960" s="991"/>
      <c r="S960" s="991"/>
      <c r="T960" s="1045"/>
      <c r="U960" s="991"/>
      <c r="V960" s="991"/>
      <c r="W960" s="991"/>
      <c r="X960" s="1042"/>
    </row>
    <row r="961" spans="1:24" ht="15">
      <c r="A961" s="991"/>
      <c r="B961" s="1249"/>
      <c r="C961" s="1250"/>
      <c r="D961" s="1251"/>
      <c r="E961" s="1250"/>
      <c r="F961" s="1252"/>
      <c r="G961" s="991"/>
      <c r="H961" s="1045"/>
      <c r="I961" s="1045"/>
      <c r="J961" s="991"/>
      <c r="K961" s="991"/>
      <c r="L961" s="1045"/>
      <c r="M961" s="991"/>
      <c r="N961" s="991"/>
      <c r="O961" s="991"/>
      <c r="P961" s="1045"/>
      <c r="Q961" s="991"/>
      <c r="R961" s="991"/>
      <c r="S961" s="991"/>
      <c r="T961" s="1045"/>
      <c r="U961" s="991"/>
      <c r="V961" s="991"/>
      <c r="W961" s="991"/>
      <c r="X961" s="1042"/>
    </row>
    <row r="962" spans="1:24" ht="15">
      <c r="A962" s="991"/>
      <c r="B962" s="1249"/>
      <c r="C962" s="1250"/>
      <c r="D962" s="1251"/>
      <c r="E962" s="1250"/>
      <c r="F962" s="1252"/>
      <c r="G962" s="991"/>
      <c r="H962" s="1045"/>
      <c r="I962" s="1045"/>
      <c r="J962" s="991"/>
      <c r="K962" s="991"/>
      <c r="L962" s="1045"/>
      <c r="M962" s="991"/>
      <c r="N962" s="991"/>
      <c r="O962" s="991"/>
      <c r="P962" s="1045"/>
      <c r="Q962" s="991"/>
      <c r="R962" s="991"/>
      <c r="S962" s="991"/>
      <c r="T962" s="1045"/>
      <c r="U962" s="991"/>
      <c r="V962" s="991"/>
      <c r="W962" s="991"/>
      <c r="X962" s="1042"/>
    </row>
    <row r="963" spans="1:24" ht="15">
      <c r="A963" s="991"/>
      <c r="B963" s="1249"/>
      <c r="C963" s="1250"/>
      <c r="D963" s="1251"/>
      <c r="E963" s="1250"/>
      <c r="F963" s="1252"/>
      <c r="G963" s="991"/>
      <c r="H963" s="1045"/>
      <c r="I963" s="1045"/>
      <c r="J963" s="991"/>
      <c r="K963" s="991"/>
      <c r="L963" s="1045"/>
      <c r="M963" s="991"/>
      <c r="N963" s="991"/>
      <c r="O963" s="991"/>
      <c r="P963" s="1045"/>
      <c r="Q963" s="991"/>
      <c r="R963" s="991"/>
      <c r="S963" s="991"/>
      <c r="T963" s="1045"/>
      <c r="U963" s="991"/>
      <c r="V963" s="991"/>
      <c r="W963" s="991"/>
      <c r="X963" s="1042"/>
    </row>
    <row r="964" spans="1:24" ht="15">
      <c r="A964" s="991"/>
      <c r="B964" s="1249"/>
      <c r="C964" s="1250"/>
      <c r="D964" s="1251"/>
      <c r="E964" s="1250"/>
      <c r="F964" s="1252"/>
      <c r="G964" s="991"/>
      <c r="H964" s="1045"/>
      <c r="I964" s="1045"/>
      <c r="J964" s="991"/>
      <c r="K964" s="991"/>
      <c r="L964" s="1045"/>
      <c r="M964" s="991"/>
      <c r="N964" s="991"/>
      <c r="O964" s="991"/>
      <c r="P964" s="1045"/>
      <c r="Q964" s="991"/>
      <c r="R964" s="991"/>
      <c r="S964" s="991"/>
      <c r="T964" s="1045"/>
      <c r="U964" s="991"/>
      <c r="V964" s="991"/>
      <c r="W964" s="991"/>
      <c r="X964" s="1042"/>
    </row>
    <row r="965" spans="1:24" ht="15">
      <c r="A965" s="991"/>
      <c r="B965" s="1249"/>
      <c r="C965" s="1250"/>
      <c r="D965" s="1251"/>
      <c r="E965" s="1250"/>
      <c r="F965" s="1252"/>
      <c r="G965" s="991"/>
      <c r="H965" s="1045"/>
      <c r="I965" s="1045"/>
      <c r="J965" s="991"/>
      <c r="K965" s="991"/>
      <c r="L965" s="1045"/>
      <c r="M965" s="991"/>
      <c r="N965" s="991"/>
      <c r="O965" s="991"/>
      <c r="P965" s="1045"/>
      <c r="Q965" s="991"/>
      <c r="R965" s="991"/>
      <c r="S965" s="991"/>
      <c r="T965" s="1045"/>
      <c r="U965" s="991"/>
      <c r="V965" s="991"/>
      <c r="W965" s="991"/>
      <c r="X965" s="1042"/>
    </row>
    <row r="966" spans="1:24" ht="15">
      <c r="A966" s="991"/>
      <c r="B966" s="1249"/>
      <c r="C966" s="1250"/>
      <c r="D966" s="1251"/>
      <c r="E966" s="1250"/>
      <c r="F966" s="1252"/>
      <c r="G966" s="991"/>
      <c r="H966" s="1045"/>
      <c r="I966" s="1045"/>
      <c r="J966" s="991"/>
      <c r="K966" s="991"/>
      <c r="L966" s="1045"/>
      <c r="M966" s="991"/>
      <c r="N966" s="991"/>
      <c r="O966" s="991"/>
      <c r="P966" s="1045"/>
      <c r="Q966" s="991"/>
      <c r="R966" s="991"/>
      <c r="S966" s="991"/>
      <c r="T966" s="1045"/>
      <c r="U966" s="991"/>
      <c r="V966" s="991"/>
      <c r="W966" s="991"/>
      <c r="X966" s="1042"/>
    </row>
    <row r="967" spans="1:24" ht="15">
      <c r="A967" s="991"/>
      <c r="B967" s="1249"/>
      <c r="C967" s="1250"/>
      <c r="D967" s="1251"/>
      <c r="E967" s="1250"/>
      <c r="F967" s="1252"/>
      <c r="G967" s="991"/>
      <c r="H967" s="1045"/>
      <c r="I967" s="1045"/>
      <c r="J967" s="991"/>
      <c r="K967" s="991"/>
      <c r="L967" s="1045"/>
      <c r="M967" s="991"/>
      <c r="N967" s="991"/>
      <c r="O967" s="991"/>
      <c r="P967" s="1045"/>
      <c r="Q967" s="991"/>
      <c r="R967" s="991"/>
      <c r="S967" s="991"/>
      <c r="T967" s="1045"/>
      <c r="U967" s="991"/>
      <c r="V967" s="991"/>
      <c r="W967" s="991"/>
      <c r="X967" s="1042"/>
    </row>
    <row r="968" spans="1:24" ht="15">
      <c r="A968" s="991"/>
      <c r="B968" s="1249"/>
      <c r="C968" s="1250"/>
      <c r="D968" s="1251"/>
      <c r="E968" s="1250"/>
      <c r="F968" s="1252"/>
      <c r="G968" s="991"/>
      <c r="H968" s="1045"/>
      <c r="I968" s="1045"/>
      <c r="J968" s="991"/>
      <c r="K968" s="991"/>
      <c r="L968" s="1045"/>
      <c r="M968" s="991"/>
      <c r="N968" s="991"/>
      <c r="O968" s="991"/>
      <c r="P968" s="1045"/>
      <c r="Q968" s="991"/>
      <c r="R968" s="991"/>
      <c r="S968" s="991"/>
      <c r="T968" s="1045"/>
      <c r="U968" s="991"/>
      <c r="V968" s="991"/>
      <c r="W968" s="991"/>
      <c r="X968" s="1042"/>
    </row>
    <row r="969" spans="1:24" ht="15">
      <c r="A969" s="991"/>
      <c r="B969" s="1249"/>
      <c r="C969" s="1250"/>
      <c r="D969" s="1251"/>
      <c r="E969" s="1250"/>
      <c r="F969" s="1252"/>
      <c r="G969" s="991"/>
      <c r="H969" s="1045"/>
      <c r="I969" s="1045"/>
      <c r="J969" s="991"/>
      <c r="K969" s="991"/>
      <c r="L969" s="1045"/>
      <c r="M969" s="991"/>
      <c r="N969" s="991"/>
      <c r="O969" s="991"/>
      <c r="P969" s="1045"/>
      <c r="Q969" s="991"/>
      <c r="R969" s="991"/>
      <c r="S969" s="991"/>
      <c r="T969" s="1045"/>
      <c r="U969" s="991"/>
      <c r="V969" s="991"/>
      <c r="W969" s="991"/>
      <c r="X969" s="1042"/>
    </row>
    <row r="970" spans="1:24" ht="15">
      <c r="A970" s="991"/>
      <c r="B970" s="1249"/>
      <c r="C970" s="1250"/>
      <c r="D970" s="1251"/>
      <c r="E970" s="1250"/>
      <c r="F970" s="1252"/>
      <c r="G970" s="991"/>
      <c r="H970" s="1045"/>
      <c r="I970" s="1045"/>
      <c r="J970" s="991"/>
      <c r="K970" s="991"/>
      <c r="L970" s="1045"/>
      <c r="M970" s="991"/>
      <c r="N970" s="991"/>
      <c r="O970" s="991"/>
      <c r="P970" s="1045"/>
      <c r="Q970" s="991"/>
      <c r="R970" s="991"/>
      <c r="S970" s="991"/>
      <c r="T970" s="1045"/>
      <c r="U970" s="991"/>
      <c r="V970" s="991"/>
      <c r="W970" s="991"/>
      <c r="X970" s="1042"/>
    </row>
    <row r="971" spans="1:24" ht="15">
      <c r="A971" s="991"/>
      <c r="B971" s="1249"/>
      <c r="C971" s="1250"/>
      <c r="D971" s="1251"/>
      <c r="E971" s="1250"/>
      <c r="F971" s="1252"/>
      <c r="G971" s="991"/>
      <c r="H971" s="1045"/>
      <c r="I971" s="1045"/>
      <c r="J971" s="991"/>
      <c r="K971" s="991"/>
      <c r="L971" s="1045"/>
      <c r="M971" s="991"/>
      <c r="N971" s="991"/>
      <c r="O971" s="991"/>
      <c r="P971" s="1045"/>
      <c r="Q971" s="991"/>
      <c r="R971" s="991"/>
      <c r="S971" s="991"/>
      <c r="T971" s="1045"/>
      <c r="U971" s="991"/>
      <c r="V971" s="991"/>
      <c r="W971" s="991"/>
      <c r="X971" s="1042"/>
    </row>
    <row r="972" spans="1:24" ht="15">
      <c r="A972" s="991"/>
      <c r="B972" s="1249"/>
      <c r="C972" s="1250"/>
      <c r="D972" s="1251"/>
      <c r="E972" s="1250"/>
      <c r="F972" s="1252"/>
      <c r="G972" s="991"/>
      <c r="H972" s="1045"/>
      <c r="I972" s="1045"/>
      <c r="J972" s="991"/>
      <c r="K972" s="991"/>
      <c r="L972" s="1045"/>
      <c r="M972" s="991"/>
      <c r="N972" s="991"/>
      <c r="O972" s="991"/>
      <c r="P972" s="1045"/>
      <c r="Q972" s="991"/>
      <c r="R972" s="991"/>
      <c r="S972" s="991"/>
      <c r="T972" s="1045"/>
      <c r="U972" s="991"/>
      <c r="V972" s="991"/>
      <c r="W972" s="991"/>
      <c r="X972" s="1042"/>
    </row>
    <row r="973" spans="1:24" ht="15">
      <c r="A973" s="991"/>
      <c r="B973" s="1249"/>
      <c r="C973" s="1250"/>
      <c r="D973" s="1251"/>
      <c r="E973" s="1250"/>
      <c r="F973" s="1252"/>
      <c r="G973" s="991"/>
      <c r="H973" s="1045"/>
      <c r="I973" s="1045"/>
      <c r="J973" s="991"/>
      <c r="K973" s="991"/>
      <c r="L973" s="1045"/>
      <c r="M973" s="991"/>
      <c r="N973" s="991"/>
      <c r="O973" s="991"/>
      <c r="P973" s="1045"/>
      <c r="Q973" s="991"/>
      <c r="R973" s="991"/>
      <c r="S973" s="991"/>
      <c r="T973" s="1045"/>
      <c r="U973" s="991"/>
      <c r="V973" s="991"/>
      <c r="W973" s="991"/>
      <c r="X973" s="1042"/>
    </row>
    <row r="974" spans="1:24" ht="15">
      <c r="A974" s="991"/>
      <c r="B974" s="1249"/>
      <c r="C974" s="1250"/>
      <c r="D974" s="1251"/>
      <c r="E974" s="1250"/>
      <c r="F974" s="1252"/>
      <c r="G974" s="991"/>
      <c r="H974" s="1045"/>
      <c r="I974" s="1045"/>
      <c r="J974" s="991"/>
      <c r="K974" s="991"/>
      <c r="L974" s="1045"/>
      <c r="M974" s="991"/>
      <c r="N974" s="991"/>
      <c r="O974" s="991"/>
      <c r="P974" s="1045"/>
      <c r="Q974" s="991"/>
      <c r="R974" s="991"/>
      <c r="S974" s="991"/>
      <c r="T974" s="1045"/>
      <c r="U974" s="991"/>
      <c r="V974" s="991"/>
      <c r="W974" s="991"/>
      <c r="X974" s="1042"/>
    </row>
    <row r="975" spans="1:24" ht="15">
      <c r="A975" s="991"/>
      <c r="B975" s="1249"/>
      <c r="C975" s="1250"/>
      <c r="D975" s="1251"/>
      <c r="E975" s="1250"/>
      <c r="F975" s="1252"/>
      <c r="G975" s="991"/>
      <c r="H975" s="1045"/>
      <c r="I975" s="1045"/>
      <c r="J975" s="991"/>
      <c r="K975" s="991"/>
      <c r="L975" s="1045"/>
      <c r="M975" s="991"/>
      <c r="N975" s="991"/>
      <c r="O975" s="991"/>
      <c r="P975" s="1045"/>
      <c r="Q975" s="991"/>
      <c r="R975" s="991"/>
      <c r="S975" s="991"/>
      <c r="T975" s="1045"/>
      <c r="U975" s="991"/>
      <c r="V975" s="991"/>
      <c r="W975" s="991"/>
      <c r="X975" s="1042"/>
    </row>
    <row r="976" spans="1:24" ht="15">
      <c r="A976" s="991"/>
      <c r="B976" s="1249"/>
      <c r="C976" s="1250"/>
      <c r="D976" s="1251"/>
      <c r="E976" s="1250"/>
      <c r="F976" s="1252"/>
      <c r="G976" s="991"/>
      <c r="H976" s="1045"/>
      <c r="I976" s="1045"/>
      <c r="J976" s="991"/>
      <c r="K976" s="991"/>
      <c r="L976" s="1045"/>
      <c r="M976" s="991"/>
      <c r="N976" s="991"/>
      <c r="O976" s="991"/>
      <c r="P976" s="1045"/>
      <c r="Q976" s="991"/>
      <c r="R976" s="991"/>
      <c r="S976" s="991"/>
      <c r="T976" s="1045"/>
      <c r="U976" s="991"/>
      <c r="V976" s="991"/>
      <c r="W976" s="991"/>
      <c r="X976" s="1042"/>
    </row>
    <row r="977" spans="1:24" ht="15">
      <c r="A977" s="991"/>
      <c r="B977" s="1249"/>
      <c r="C977" s="1250"/>
      <c r="D977" s="1251"/>
      <c r="E977" s="1250"/>
      <c r="F977" s="1252"/>
      <c r="G977" s="991"/>
      <c r="H977" s="1045"/>
      <c r="I977" s="1045"/>
      <c r="J977" s="991"/>
      <c r="K977" s="991"/>
      <c r="L977" s="1045"/>
      <c r="M977" s="991"/>
      <c r="N977" s="991"/>
      <c r="O977" s="991"/>
      <c r="P977" s="1045"/>
      <c r="Q977" s="991"/>
      <c r="R977" s="991"/>
      <c r="S977" s="991"/>
      <c r="T977" s="1045"/>
      <c r="U977" s="991"/>
      <c r="V977" s="991"/>
      <c r="W977" s="991"/>
      <c r="X977" s="1042"/>
    </row>
    <row r="978" spans="1:24" ht="15">
      <c r="A978" s="991"/>
      <c r="B978" s="1249"/>
      <c r="C978" s="1250"/>
      <c r="D978" s="1251"/>
      <c r="E978" s="1250"/>
      <c r="F978" s="1252"/>
      <c r="G978" s="991"/>
      <c r="H978" s="1045"/>
      <c r="I978" s="1045"/>
      <c r="J978" s="991"/>
      <c r="K978" s="991"/>
      <c r="L978" s="1045"/>
      <c r="M978" s="991"/>
      <c r="N978" s="991"/>
      <c r="O978" s="991"/>
      <c r="P978" s="1045"/>
      <c r="Q978" s="991"/>
      <c r="R978" s="991"/>
      <c r="S978" s="991"/>
      <c r="T978" s="1045"/>
      <c r="U978" s="991"/>
      <c r="V978" s="991"/>
      <c r="W978" s="991"/>
      <c r="X978" s="1042"/>
    </row>
    <row r="979" spans="1:24" ht="15">
      <c r="A979" s="991"/>
      <c r="B979" s="1249"/>
      <c r="C979" s="1250"/>
      <c r="D979" s="1251"/>
      <c r="E979" s="1250"/>
      <c r="F979" s="1252"/>
      <c r="G979" s="991"/>
      <c r="H979" s="1045"/>
      <c r="I979" s="1045"/>
      <c r="J979" s="991"/>
      <c r="K979" s="991"/>
      <c r="L979" s="1045"/>
      <c r="M979" s="991"/>
      <c r="N979" s="991"/>
      <c r="O979" s="991"/>
      <c r="P979" s="1045"/>
      <c r="Q979" s="991"/>
      <c r="R979" s="991"/>
      <c r="S979" s="991"/>
      <c r="T979" s="1045"/>
      <c r="U979" s="991"/>
      <c r="V979" s="991"/>
      <c r="W979" s="991"/>
      <c r="X979" s="1042"/>
    </row>
    <row r="980" spans="1:24" ht="15">
      <c r="A980" s="991"/>
      <c r="B980" s="1249"/>
      <c r="C980" s="1250"/>
      <c r="D980" s="1251"/>
      <c r="E980" s="1250"/>
      <c r="F980" s="1252"/>
      <c r="G980" s="991"/>
      <c r="H980" s="1045"/>
      <c r="I980" s="1045"/>
      <c r="J980" s="991"/>
      <c r="K980" s="991"/>
      <c r="L980" s="1045"/>
      <c r="M980" s="991"/>
      <c r="N980" s="991"/>
      <c r="O980" s="991"/>
      <c r="P980" s="1045"/>
      <c r="Q980" s="991"/>
      <c r="R980" s="991"/>
      <c r="S980" s="991"/>
      <c r="T980" s="1045"/>
      <c r="U980" s="991"/>
      <c r="V980" s="991"/>
      <c r="W980" s="991"/>
      <c r="X980" s="1042"/>
    </row>
    <row r="981" spans="1:24" ht="15">
      <c r="A981" s="991"/>
      <c r="B981" s="1249"/>
      <c r="C981" s="1250"/>
      <c r="D981" s="1251"/>
      <c r="E981" s="1250"/>
      <c r="F981" s="1252"/>
      <c r="G981" s="991"/>
      <c r="H981" s="1045"/>
      <c r="I981" s="1045"/>
      <c r="J981" s="991"/>
      <c r="K981" s="991"/>
      <c r="L981" s="1045"/>
      <c r="M981" s="991"/>
      <c r="N981" s="991"/>
      <c r="O981" s="991"/>
      <c r="P981" s="1045"/>
      <c r="Q981" s="991"/>
      <c r="R981" s="991"/>
      <c r="S981" s="991"/>
      <c r="T981" s="1045"/>
      <c r="U981" s="991"/>
      <c r="V981" s="991"/>
      <c r="W981" s="991"/>
      <c r="X981" s="1042"/>
    </row>
    <row r="982" spans="1:24" ht="15">
      <c r="A982" s="991"/>
      <c r="B982" s="1249"/>
      <c r="C982" s="1250"/>
      <c r="D982" s="1251"/>
      <c r="E982" s="1250"/>
      <c r="F982" s="1252"/>
      <c r="G982" s="991"/>
      <c r="H982" s="1045"/>
      <c r="I982" s="1045"/>
      <c r="J982" s="991"/>
      <c r="K982" s="991"/>
      <c r="L982" s="1045"/>
      <c r="M982" s="991"/>
      <c r="N982" s="991"/>
      <c r="O982" s="991"/>
      <c r="P982" s="1045"/>
      <c r="Q982" s="991"/>
      <c r="R982" s="991"/>
      <c r="S982" s="991"/>
      <c r="T982" s="1045"/>
      <c r="U982" s="991"/>
      <c r="V982" s="991"/>
      <c r="W982" s="991"/>
      <c r="X982" s="1042"/>
    </row>
    <row r="983" spans="1:24" ht="15">
      <c r="A983" s="991"/>
      <c r="B983" s="1249"/>
      <c r="C983" s="1250"/>
      <c r="D983" s="1251"/>
      <c r="E983" s="1250"/>
      <c r="F983" s="1252"/>
      <c r="G983" s="991"/>
      <c r="H983" s="1045"/>
      <c r="I983" s="1045"/>
      <c r="J983" s="991"/>
      <c r="K983" s="991"/>
      <c r="L983" s="1045"/>
      <c r="M983" s="991"/>
      <c r="N983" s="991"/>
      <c r="O983" s="991"/>
      <c r="P983" s="1045"/>
      <c r="Q983" s="991"/>
      <c r="R983" s="991"/>
      <c r="S983" s="991"/>
      <c r="T983" s="1045"/>
      <c r="U983" s="991"/>
      <c r="V983" s="991"/>
      <c r="W983" s="991"/>
      <c r="X983" s="1042"/>
    </row>
    <row r="984" spans="1:24" ht="15">
      <c r="A984" s="991"/>
      <c r="B984" s="1249"/>
      <c r="C984" s="1250"/>
      <c r="D984" s="1251"/>
      <c r="E984" s="1250"/>
      <c r="F984" s="1252"/>
      <c r="G984" s="991"/>
      <c r="H984" s="1045"/>
      <c r="I984" s="1045"/>
      <c r="J984" s="991"/>
      <c r="K984" s="991"/>
      <c r="L984" s="1045"/>
      <c r="M984" s="991"/>
      <c r="N984" s="991"/>
      <c r="O984" s="991"/>
      <c r="P984" s="1045"/>
      <c r="Q984" s="991"/>
      <c r="R984" s="991"/>
      <c r="S984" s="991"/>
      <c r="T984" s="1045"/>
      <c r="U984" s="991"/>
      <c r="V984" s="991"/>
      <c r="W984" s="991"/>
      <c r="X984" s="1042"/>
    </row>
    <row r="985" spans="1:24" ht="15">
      <c r="A985" s="991"/>
      <c r="B985" s="1249"/>
      <c r="C985" s="1250"/>
      <c r="D985" s="1251"/>
      <c r="E985" s="1250"/>
      <c r="F985" s="1252"/>
      <c r="G985" s="991"/>
      <c r="H985" s="1045"/>
      <c r="I985" s="1045"/>
      <c r="J985" s="991"/>
      <c r="K985" s="991"/>
      <c r="L985" s="1045"/>
      <c r="M985" s="991"/>
      <c r="N985" s="991"/>
      <c r="O985" s="991"/>
      <c r="P985" s="1045"/>
      <c r="Q985" s="991"/>
      <c r="R985" s="991"/>
      <c r="S985" s="991"/>
      <c r="T985" s="1045"/>
      <c r="U985" s="991"/>
      <c r="V985" s="991"/>
      <c r="W985" s="991"/>
      <c r="X985" s="1042"/>
    </row>
    <row r="986" spans="1:24" ht="15">
      <c r="A986" s="991"/>
      <c r="B986" s="1249"/>
      <c r="C986" s="1250"/>
      <c r="D986" s="1251"/>
      <c r="E986" s="1250"/>
      <c r="F986" s="1252"/>
      <c r="G986" s="991"/>
      <c r="H986" s="1045"/>
      <c r="I986" s="1045"/>
      <c r="J986" s="991"/>
      <c r="K986" s="991"/>
      <c r="L986" s="1045"/>
      <c r="M986" s="991"/>
      <c r="N986" s="991"/>
      <c r="O986" s="991"/>
      <c r="P986" s="1045"/>
      <c r="Q986" s="991"/>
      <c r="R986" s="991"/>
      <c r="S986" s="991"/>
      <c r="T986" s="1045"/>
      <c r="U986" s="991"/>
      <c r="V986" s="991"/>
      <c r="W986" s="991"/>
      <c r="X986" s="1042"/>
    </row>
    <row r="987" spans="1:24" ht="15">
      <c r="A987" s="991"/>
      <c r="B987" s="1249"/>
      <c r="C987" s="1250"/>
      <c r="D987" s="1251"/>
      <c r="E987" s="1250"/>
      <c r="F987" s="1252"/>
      <c r="G987" s="991"/>
      <c r="H987" s="1045"/>
      <c r="I987" s="1045"/>
      <c r="J987" s="991"/>
      <c r="K987" s="991"/>
      <c r="L987" s="1045"/>
      <c r="M987" s="991"/>
      <c r="N987" s="991"/>
      <c r="O987" s="991"/>
      <c r="P987" s="1045"/>
      <c r="Q987" s="991"/>
      <c r="R987" s="991"/>
      <c r="S987" s="991"/>
      <c r="T987" s="1045"/>
      <c r="U987" s="991"/>
      <c r="V987" s="991"/>
      <c r="W987" s="991"/>
      <c r="X987" s="1042"/>
    </row>
    <row r="988" spans="1:24" ht="15">
      <c r="A988" s="991"/>
      <c r="B988" s="1249"/>
      <c r="C988" s="1250"/>
      <c r="D988" s="1251"/>
      <c r="E988" s="1250"/>
      <c r="F988" s="1252"/>
      <c r="G988" s="991"/>
      <c r="H988" s="1045"/>
      <c r="I988" s="1045"/>
      <c r="J988" s="991"/>
      <c r="K988" s="991"/>
      <c r="L988" s="1045"/>
      <c r="M988" s="991"/>
      <c r="N988" s="991"/>
      <c r="O988" s="991"/>
      <c r="P988" s="1045"/>
      <c r="Q988" s="991"/>
      <c r="R988" s="991"/>
      <c r="S988" s="991"/>
      <c r="T988" s="1045"/>
      <c r="U988" s="991"/>
      <c r="V988" s="991"/>
      <c r="W988" s="991"/>
      <c r="X988" s="1042"/>
    </row>
    <row r="989" spans="1:24" ht="15">
      <c r="A989" s="991"/>
      <c r="B989" s="1249"/>
      <c r="C989" s="1250"/>
      <c r="D989" s="1251"/>
      <c r="E989" s="1250"/>
      <c r="F989" s="1252"/>
      <c r="G989" s="991"/>
      <c r="H989" s="1045"/>
      <c r="I989" s="1045"/>
      <c r="J989" s="991"/>
      <c r="K989" s="991"/>
      <c r="L989" s="1045"/>
      <c r="M989" s="991"/>
      <c r="N989" s="991"/>
      <c r="O989" s="991"/>
      <c r="P989" s="1045"/>
      <c r="Q989" s="991"/>
      <c r="R989" s="991"/>
      <c r="S989" s="991"/>
      <c r="T989" s="1045"/>
      <c r="U989" s="991"/>
      <c r="V989" s="991"/>
      <c r="W989" s="991"/>
      <c r="X989" s="1042"/>
    </row>
    <row r="990" spans="1:24" ht="15">
      <c r="A990" s="991"/>
      <c r="B990" s="1249"/>
      <c r="C990" s="1250"/>
      <c r="D990" s="1251"/>
      <c r="E990" s="1250"/>
      <c r="F990" s="1252"/>
      <c r="G990" s="991"/>
      <c r="H990" s="1045"/>
      <c r="I990" s="1045"/>
      <c r="J990" s="991"/>
      <c r="K990" s="991"/>
      <c r="L990" s="1045"/>
      <c r="M990" s="991"/>
      <c r="N990" s="991"/>
      <c r="O990" s="991"/>
      <c r="P990" s="1045"/>
      <c r="Q990" s="991"/>
      <c r="R990" s="991"/>
      <c r="S990" s="991"/>
      <c r="T990" s="1045"/>
      <c r="U990" s="991"/>
      <c r="V990" s="991"/>
      <c r="W990" s="991"/>
      <c r="X990" s="1042"/>
    </row>
    <row r="991" spans="1:24" ht="15">
      <c r="A991" s="991"/>
      <c r="B991" s="1249"/>
      <c r="C991" s="1250"/>
      <c r="D991" s="1251"/>
      <c r="E991" s="1250"/>
      <c r="F991" s="1252"/>
      <c r="G991" s="991"/>
      <c r="H991" s="1045"/>
      <c r="I991" s="1045"/>
      <c r="J991" s="991"/>
      <c r="K991" s="991"/>
      <c r="L991" s="1045"/>
      <c r="M991" s="991"/>
      <c r="N991" s="991"/>
      <c r="O991" s="991"/>
      <c r="P991" s="1045"/>
      <c r="Q991" s="991"/>
      <c r="R991" s="991"/>
      <c r="S991" s="991"/>
      <c r="T991" s="1045"/>
      <c r="U991" s="991"/>
      <c r="V991" s="991"/>
      <c r="W991" s="991"/>
      <c r="X991" s="1042"/>
    </row>
    <row r="992" spans="1:24" ht="15">
      <c r="A992" s="991"/>
      <c r="B992" s="1249"/>
      <c r="C992" s="1250"/>
      <c r="D992" s="1251"/>
      <c r="E992" s="1250"/>
      <c r="F992" s="1252"/>
      <c r="G992" s="991"/>
      <c r="H992" s="1045"/>
      <c r="I992" s="1045"/>
      <c r="J992" s="991"/>
      <c r="K992" s="991"/>
      <c r="L992" s="1045"/>
      <c r="M992" s="991"/>
      <c r="N992" s="991"/>
      <c r="O992" s="991"/>
      <c r="P992" s="1045"/>
      <c r="Q992" s="991"/>
      <c r="R992" s="991"/>
      <c r="S992" s="991"/>
      <c r="T992" s="1045"/>
      <c r="U992" s="991"/>
      <c r="V992" s="991"/>
      <c r="W992" s="991"/>
      <c r="X992" s="1042"/>
    </row>
    <row r="993" spans="1:24" ht="15">
      <c r="A993" s="991"/>
      <c r="B993" s="1249"/>
      <c r="C993" s="1250"/>
      <c r="D993" s="1251"/>
      <c r="E993" s="1250"/>
      <c r="F993" s="1252"/>
      <c r="G993" s="991"/>
      <c r="H993" s="1045"/>
      <c r="I993" s="1045"/>
      <c r="J993" s="991"/>
      <c r="K993" s="991"/>
      <c r="L993" s="1045"/>
      <c r="M993" s="991"/>
      <c r="N993" s="991"/>
      <c r="O993" s="991"/>
      <c r="P993" s="1045"/>
      <c r="Q993" s="991"/>
      <c r="R993" s="991"/>
      <c r="S993" s="991"/>
      <c r="T993" s="1045"/>
      <c r="U993" s="991"/>
      <c r="V993" s="991"/>
      <c r="W993" s="991"/>
      <c r="X993" s="1042"/>
    </row>
    <row r="994" spans="1:24" ht="15">
      <c r="A994" s="991"/>
      <c r="B994" s="1249"/>
      <c r="C994" s="1250"/>
      <c r="D994" s="1251"/>
      <c r="E994" s="1250"/>
      <c r="F994" s="1252"/>
      <c r="G994" s="991"/>
      <c r="H994" s="1045"/>
      <c r="I994" s="1045"/>
      <c r="J994" s="991"/>
      <c r="K994" s="991"/>
      <c r="L994" s="1045"/>
      <c r="M994" s="991"/>
      <c r="N994" s="991"/>
      <c r="O994" s="991"/>
      <c r="P994" s="1045"/>
      <c r="Q994" s="991"/>
      <c r="R994" s="991"/>
      <c r="S994" s="991"/>
      <c r="T994" s="1045"/>
      <c r="U994" s="991"/>
      <c r="V994" s="991"/>
      <c r="W994" s="991"/>
      <c r="X994" s="1042"/>
    </row>
    <row r="995" spans="1:24" ht="15">
      <c r="A995" s="991"/>
      <c r="B995" s="1249"/>
      <c r="C995" s="1250"/>
      <c r="D995" s="1251"/>
      <c r="E995" s="1250"/>
      <c r="F995" s="1252"/>
      <c r="G995" s="991"/>
      <c r="H995" s="1045"/>
      <c r="I995" s="1045"/>
      <c r="J995" s="991"/>
      <c r="K995" s="991"/>
      <c r="L995" s="1045"/>
      <c r="M995" s="991"/>
      <c r="N995" s="991"/>
      <c r="O995" s="991"/>
      <c r="P995" s="1045"/>
      <c r="Q995" s="991"/>
      <c r="R995" s="991"/>
      <c r="S995" s="991"/>
      <c r="T995" s="1045"/>
      <c r="U995" s="991"/>
      <c r="V995" s="991"/>
      <c r="W995" s="991"/>
      <c r="X995" s="1042"/>
    </row>
    <row r="996" spans="1:24" ht="15">
      <c r="A996" s="991"/>
      <c r="B996" s="1249"/>
      <c r="C996" s="1250"/>
      <c r="D996" s="1251"/>
      <c r="E996" s="1250"/>
      <c r="F996" s="1252"/>
      <c r="G996" s="991"/>
      <c r="H996" s="1045"/>
      <c r="I996" s="1045"/>
      <c r="J996" s="991"/>
      <c r="K996" s="991"/>
      <c r="L996" s="1045"/>
      <c r="M996" s="991"/>
      <c r="N996" s="991"/>
      <c r="O996" s="991"/>
      <c r="P996" s="1045"/>
      <c r="Q996" s="991"/>
      <c r="R996" s="991"/>
      <c r="S996" s="991"/>
      <c r="T996" s="1045"/>
      <c r="U996" s="991"/>
      <c r="V996" s="991"/>
      <c r="W996" s="991"/>
      <c r="X996" s="1042"/>
    </row>
    <row r="997" spans="1:24" ht="15">
      <c r="A997" s="991"/>
      <c r="B997" s="1249"/>
      <c r="C997" s="1250"/>
      <c r="D997" s="1251"/>
      <c r="E997" s="1250"/>
      <c r="F997" s="1252"/>
      <c r="G997" s="991"/>
      <c r="H997" s="1045"/>
      <c r="I997" s="1045"/>
      <c r="J997" s="991"/>
      <c r="K997" s="991"/>
      <c r="L997" s="1045"/>
      <c r="M997" s="991"/>
      <c r="N997" s="991"/>
      <c r="O997" s="991"/>
      <c r="P997" s="1045"/>
      <c r="Q997" s="991"/>
      <c r="R997" s="991"/>
      <c r="S997" s="991"/>
      <c r="T997" s="1045"/>
      <c r="U997" s="991"/>
      <c r="V997" s="991"/>
      <c r="W997" s="991"/>
      <c r="X997" s="1042"/>
    </row>
    <row r="998" spans="1:24" ht="15">
      <c r="A998" s="991"/>
      <c r="B998" s="1249"/>
      <c r="C998" s="1250"/>
      <c r="D998" s="1251"/>
      <c r="E998" s="1250"/>
      <c r="F998" s="1252"/>
      <c r="G998" s="991"/>
      <c r="H998" s="1045"/>
      <c r="I998" s="1045"/>
      <c r="J998" s="991"/>
      <c r="K998" s="991"/>
      <c r="L998" s="1045"/>
      <c r="M998" s="991"/>
      <c r="N998" s="991"/>
      <c r="O998" s="991"/>
      <c r="P998" s="1045"/>
      <c r="Q998" s="991"/>
      <c r="R998" s="991"/>
      <c r="S998" s="991"/>
      <c r="T998" s="1045"/>
      <c r="U998" s="991"/>
      <c r="V998" s="991"/>
      <c r="W998" s="991"/>
      <c r="X998" s="1042"/>
    </row>
    <row r="999" spans="1:24" ht="15">
      <c r="A999" s="991"/>
      <c r="B999" s="1249"/>
      <c r="C999" s="1250"/>
      <c r="D999" s="1251"/>
      <c r="E999" s="1250"/>
      <c r="F999" s="1252"/>
      <c r="G999" s="991"/>
      <c r="H999" s="1045"/>
      <c r="I999" s="1045"/>
      <c r="J999" s="991"/>
      <c r="K999" s="991"/>
      <c r="L999" s="1045"/>
      <c r="M999" s="991"/>
      <c r="N999" s="991"/>
      <c r="O999" s="991"/>
      <c r="P999" s="1045"/>
      <c r="Q999" s="991"/>
      <c r="R999" s="991"/>
      <c r="S999" s="991"/>
      <c r="T999" s="1045"/>
      <c r="U999" s="991"/>
      <c r="V999" s="991"/>
      <c r="W999" s="991"/>
      <c r="X999" s="1042"/>
    </row>
    <row r="1000" spans="1:24" ht="15">
      <c r="A1000" s="991"/>
      <c r="B1000" s="1249"/>
      <c r="C1000" s="1250"/>
      <c r="D1000" s="1251"/>
      <c r="E1000" s="1250"/>
      <c r="F1000" s="1252"/>
      <c r="G1000" s="991"/>
      <c r="H1000" s="1045"/>
      <c r="I1000" s="1045"/>
      <c r="J1000" s="991"/>
      <c r="K1000" s="991"/>
      <c r="L1000" s="1045"/>
      <c r="M1000" s="991"/>
      <c r="N1000" s="991"/>
      <c r="O1000" s="991"/>
      <c r="P1000" s="1045"/>
      <c r="Q1000" s="991"/>
      <c r="R1000" s="991"/>
      <c r="S1000" s="991"/>
      <c r="T1000" s="1045"/>
      <c r="U1000" s="991"/>
      <c r="V1000" s="991"/>
      <c r="W1000" s="991"/>
      <c r="X1000" s="1042"/>
    </row>
    <row r="1001" spans="1:24" ht="15">
      <c r="A1001" s="991"/>
      <c r="B1001" s="1249"/>
      <c r="C1001" s="1250"/>
      <c r="D1001" s="1251"/>
      <c r="E1001" s="1250"/>
      <c r="F1001" s="1252"/>
      <c r="G1001" s="991"/>
      <c r="H1001" s="1045"/>
      <c r="I1001" s="1045"/>
      <c r="J1001" s="991"/>
      <c r="K1001" s="991"/>
      <c r="L1001" s="1045"/>
      <c r="M1001" s="991"/>
      <c r="N1001" s="991"/>
      <c r="O1001" s="991"/>
      <c r="P1001" s="1045"/>
      <c r="Q1001" s="991"/>
      <c r="R1001" s="991"/>
      <c r="S1001" s="991"/>
      <c r="T1001" s="1045"/>
      <c r="U1001" s="991"/>
      <c r="V1001" s="991"/>
      <c r="W1001" s="991"/>
      <c r="X1001" s="1042"/>
    </row>
    <row r="1002" spans="1:24" ht="15">
      <c r="A1002" s="991"/>
      <c r="B1002" s="1249"/>
      <c r="C1002" s="1250"/>
      <c r="D1002" s="1251"/>
      <c r="E1002" s="1250"/>
      <c r="F1002" s="1252"/>
      <c r="G1002" s="991"/>
      <c r="H1002" s="1045"/>
      <c r="I1002" s="1045"/>
      <c r="J1002" s="991"/>
      <c r="K1002" s="991"/>
      <c r="L1002" s="1045"/>
      <c r="M1002" s="991"/>
      <c r="N1002" s="991"/>
      <c r="O1002" s="991"/>
      <c r="P1002" s="1045"/>
      <c r="Q1002" s="991"/>
      <c r="R1002" s="991"/>
      <c r="S1002" s="991"/>
      <c r="T1002" s="1045"/>
      <c r="U1002" s="991"/>
      <c r="V1002" s="991"/>
      <c r="W1002" s="991"/>
      <c r="X1002" s="1042"/>
    </row>
    <row r="1003" spans="1:24" ht="15">
      <c r="A1003" s="991"/>
      <c r="B1003" s="1249"/>
      <c r="C1003" s="1250"/>
      <c r="D1003" s="1251"/>
      <c r="E1003" s="1250"/>
      <c r="F1003" s="1252"/>
      <c r="G1003" s="991"/>
      <c r="H1003" s="1045"/>
      <c r="I1003" s="1045"/>
      <c r="J1003" s="991"/>
      <c r="K1003" s="991"/>
      <c r="L1003" s="1045"/>
      <c r="M1003" s="991"/>
      <c r="N1003" s="991"/>
      <c r="O1003" s="991"/>
      <c r="P1003" s="1045"/>
      <c r="Q1003" s="991"/>
      <c r="R1003" s="991"/>
      <c r="S1003" s="991"/>
      <c r="T1003" s="1045"/>
      <c r="U1003" s="991"/>
      <c r="V1003" s="991"/>
      <c r="W1003" s="991"/>
      <c r="X1003" s="1042"/>
    </row>
    <row r="1004" spans="1:24" ht="15">
      <c r="A1004" s="991"/>
      <c r="B1004" s="1249"/>
      <c r="C1004" s="1250"/>
      <c r="D1004" s="1251"/>
      <c r="E1004" s="1250"/>
      <c r="F1004" s="1252"/>
      <c r="G1004" s="991"/>
      <c r="H1004" s="1045"/>
      <c r="I1004" s="1045"/>
      <c r="J1004" s="991"/>
      <c r="K1004" s="991"/>
      <c r="L1004" s="1045"/>
      <c r="M1004" s="991"/>
      <c r="N1004" s="991"/>
      <c r="O1004" s="991"/>
      <c r="P1004" s="1045"/>
      <c r="Q1004" s="991"/>
      <c r="R1004" s="991"/>
      <c r="S1004" s="991"/>
      <c r="T1004" s="1045"/>
      <c r="U1004" s="991"/>
      <c r="V1004" s="991"/>
      <c r="W1004" s="991"/>
      <c r="X1004" s="1042"/>
    </row>
    <row r="1005" spans="1:24" ht="15">
      <c r="A1005" s="991"/>
      <c r="B1005" s="1249"/>
      <c r="C1005" s="1250"/>
      <c r="D1005" s="1251"/>
      <c r="E1005" s="1250"/>
      <c r="F1005" s="1252"/>
      <c r="G1005" s="991"/>
      <c r="H1005" s="1045"/>
      <c r="I1005" s="1045"/>
      <c r="J1005" s="991"/>
      <c r="K1005" s="991"/>
      <c r="L1005" s="1045"/>
      <c r="M1005" s="991"/>
      <c r="N1005" s="991"/>
      <c r="O1005" s="991"/>
      <c r="P1005" s="1045"/>
      <c r="Q1005" s="991"/>
      <c r="R1005" s="991"/>
      <c r="S1005" s="991"/>
      <c r="T1005" s="1045"/>
      <c r="U1005" s="991"/>
      <c r="V1005" s="991"/>
      <c r="W1005" s="991"/>
      <c r="X1005" s="1042"/>
    </row>
  </sheetData>
  <mergeCells count="8">
    <mergeCell ref="G1:G2"/>
    <mergeCell ref="H1:W1"/>
    <mergeCell ref="A3:B3"/>
    <mergeCell ref="B1:B2"/>
    <mergeCell ref="C1:C2"/>
    <mergeCell ref="D1:D2"/>
    <mergeCell ref="E1:E2"/>
    <mergeCell ref="F1:F2"/>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Y81"/>
  <sheetViews>
    <sheetView workbookViewId="0"/>
  </sheetViews>
  <sheetFormatPr defaultColWidth="12.5703125" defaultRowHeight="15.75" customHeight="1"/>
  <sheetData>
    <row r="1" spans="1:25" ht="15.75" customHeight="1">
      <c r="A1" s="991"/>
      <c r="B1" s="991"/>
      <c r="C1" s="991"/>
      <c r="D1" s="991"/>
      <c r="E1" s="991"/>
      <c r="F1" s="991"/>
      <c r="G1" s="991"/>
      <c r="H1" s="991"/>
      <c r="I1" s="991"/>
      <c r="J1" s="991"/>
      <c r="K1" s="991"/>
      <c r="L1" s="991"/>
      <c r="M1" s="991"/>
      <c r="N1" s="991"/>
      <c r="O1" s="991"/>
      <c r="P1" s="991"/>
      <c r="Q1" s="991"/>
      <c r="R1" s="991"/>
      <c r="S1" s="991"/>
      <c r="T1" s="991"/>
      <c r="U1" s="991"/>
      <c r="V1" s="991"/>
      <c r="W1" s="991"/>
      <c r="X1" s="991"/>
      <c r="Y1" s="991"/>
    </row>
    <row r="2" spans="1:25" ht="15.75" customHeight="1">
      <c r="A2" s="991"/>
      <c r="B2" s="991"/>
      <c r="C2" s="991"/>
      <c r="D2" s="991"/>
      <c r="E2" s="991"/>
      <c r="F2" s="1451"/>
      <c r="G2" s="1451"/>
      <c r="H2" s="1451"/>
      <c r="I2" s="1451"/>
      <c r="J2" s="1451"/>
      <c r="K2" s="1451"/>
      <c r="L2" s="1451"/>
      <c r="M2" s="1451"/>
      <c r="N2" s="1451"/>
      <c r="O2" s="1451"/>
      <c r="P2" s="1451"/>
      <c r="Q2" s="991"/>
      <c r="R2" s="991"/>
      <c r="S2" s="991"/>
      <c r="T2" s="991"/>
      <c r="U2" s="991"/>
      <c r="V2" s="991"/>
      <c r="W2" s="991"/>
      <c r="X2" s="991"/>
      <c r="Y2" s="991"/>
    </row>
    <row r="3" spans="1:25" ht="15.75" customHeight="1">
      <c r="A3" s="991"/>
      <c r="B3" s="991"/>
      <c r="C3" s="991"/>
      <c r="D3" s="991"/>
      <c r="E3" s="991"/>
      <c r="F3" s="1451"/>
      <c r="G3" s="1451"/>
      <c r="H3" s="1451"/>
      <c r="I3" s="1451"/>
      <c r="J3" s="1451"/>
      <c r="K3" s="1451"/>
      <c r="L3" s="1451"/>
      <c r="M3" s="1451"/>
      <c r="N3" s="1451"/>
      <c r="O3" s="1451"/>
      <c r="P3" s="1451"/>
      <c r="Q3" s="991"/>
      <c r="R3" s="991"/>
      <c r="S3" s="991"/>
      <c r="T3" s="991"/>
      <c r="U3" s="991"/>
      <c r="V3" s="991"/>
      <c r="W3" s="991"/>
      <c r="X3" s="991"/>
      <c r="Y3" s="991"/>
    </row>
    <row r="4" spans="1:25" ht="15.75" customHeight="1">
      <c r="A4" s="991"/>
      <c r="B4" s="991"/>
      <c r="C4" s="991"/>
      <c r="D4" s="991"/>
      <c r="E4" s="991"/>
      <c r="F4" s="1451"/>
      <c r="G4" s="1451"/>
      <c r="H4" s="1451"/>
      <c r="I4" s="1451"/>
      <c r="J4" s="1451"/>
      <c r="K4" s="1451"/>
      <c r="L4" s="1451"/>
      <c r="M4" s="1451"/>
      <c r="N4" s="1451"/>
      <c r="O4" s="1451"/>
      <c r="P4" s="1451"/>
      <c r="Q4" s="991"/>
      <c r="R4" s="991"/>
      <c r="S4" s="991"/>
      <c r="T4" s="991"/>
      <c r="U4" s="991"/>
      <c r="V4" s="991"/>
      <c r="W4" s="991"/>
      <c r="X4" s="991"/>
      <c r="Y4" s="991"/>
    </row>
    <row r="5" spans="1:25" ht="15.75" customHeight="1">
      <c r="A5" s="991"/>
      <c r="B5" s="991"/>
      <c r="C5" s="991"/>
      <c r="D5" s="991"/>
      <c r="E5" s="991"/>
      <c r="F5" s="1451"/>
      <c r="G5" s="1451"/>
      <c r="H5" s="1451"/>
      <c r="I5" s="1451"/>
      <c r="J5" s="1451"/>
      <c r="K5" s="1451"/>
      <c r="L5" s="1451"/>
      <c r="M5" s="1451"/>
      <c r="N5" s="1451"/>
      <c r="O5" s="1451"/>
      <c r="P5" s="1451"/>
      <c r="Q5" s="991"/>
      <c r="R5" s="991"/>
      <c r="S5" s="991"/>
      <c r="T5" s="991"/>
      <c r="U5" s="991"/>
      <c r="V5" s="991"/>
      <c r="W5" s="991"/>
      <c r="X5" s="991"/>
      <c r="Y5" s="991"/>
    </row>
    <row r="6" spans="1:25" ht="15.75" customHeight="1">
      <c r="A6" s="991"/>
      <c r="B6" s="991"/>
      <c r="C6" s="991"/>
      <c r="D6" s="991"/>
      <c r="E6" s="991"/>
      <c r="F6" s="1451"/>
      <c r="G6" s="1451"/>
      <c r="H6" s="1451"/>
      <c r="I6" s="1451"/>
      <c r="J6" s="1451"/>
      <c r="K6" s="1451"/>
      <c r="L6" s="1451"/>
      <c r="M6" s="1451"/>
      <c r="N6" s="1451"/>
      <c r="O6" s="1451"/>
      <c r="P6" s="1451"/>
      <c r="Q6" s="991"/>
      <c r="R6" s="991"/>
      <c r="S6" s="991"/>
      <c r="T6" s="991"/>
      <c r="U6" s="991"/>
      <c r="V6" s="991"/>
      <c r="W6" s="991"/>
      <c r="X6" s="991"/>
      <c r="Y6" s="991"/>
    </row>
    <row r="7" spans="1:25" ht="15.75" customHeight="1">
      <c r="A7" s="991"/>
      <c r="B7" s="991"/>
      <c r="C7" s="991"/>
      <c r="D7" s="991"/>
      <c r="E7" s="991"/>
      <c r="F7" s="1451"/>
      <c r="G7" s="1451"/>
      <c r="H7" s="1451"/>
      <c r="I7" s="1451"/>
      <c r="J7" s="1451"/>
      <c r="K7" s="1451"/>
      <c r="L7" s="1451"/>
      <c r="M7" s="1451"/>
      <c r="N7" s="1451"/>
      <c r="O7" s="1451"/>
      <c r="P7" s="1451"/>
      <c r="Q7" s="991"/>
      <c r="R7" s="991"/>
      <c r="S7" s="991"/>
      <c r="T7" s="991"/>
      <c r="U7" s="991"/>
      <c r="V7" s="991"/>
      <c r="W7" s="991"/>
      <c r="X7" s="991"/>
      <c r="Y7" s="991"/>
    </row>
    <row r="8" spans="1:25" ht="15.75" customHeight="1">
      <c r="A8" s="991"/>
      <c r="B8" s="1601" t="s">
        <v>4444</v>
      </c>
      <c r="C8" s="1451"/>
      <c r="D8" s="1451"/>
      <c r="E8" s="1451"/>
      <c r="F8" s="1451"/>
      <c r="G8" s="1451"/>
      <c r="H8" s="1451"/>
      <c r="I8" s="1451"/>
      <c r="J8" s="1451"/>
      <c r="K8" s="1451"/>
      <c r="L8" s="1451"/>
      <c r="M8" s="1451"/>
      <c r="N8" s="1451"/>
      <c r="O8" s="1451"/>
      <c r="P8" s="1451"/>
      <c r="Q8" s="1451"/>
      <c r="R8" s="1451"/>
      <c r="S8" s="1451"/>
      <c r="T8" s="1451"/>
      <c r="U8" s="1451"/>
      <c r="V8" s="1451"/>
      <c r="W8" s="1451"/>
      <c r="X8" s="1451"/>
      <c r="Y8" s="991"/>
    </row>
    <row r="9" spans="1:25" ht="15.75" customHeight="1">
      <c r="A9" s="991"/>
      <c r="B9" s="991"/>
      <c r="C9" s="991"/>
      <c r="D9" s="991"/>
      <c r="E9" s="991"/>
      <c r="F9" s="991"/>
      <c r="G9" s="991"/>
      <c r="H9" s="991"/>
      <c r="I9" s="991"/>
      <c r="J9" s="991"/>
      <c r="K9" s="991"/>
      <c r="L9" s="991"/>
      <c r="M9" s="991"/>
      <c r="N9" s="991"/>
      <c r="O9" s="991"/>
      <c r="P9" s="991"/>
      <c r="Q9" s="991"/>
      <c r="R9" s="991"/>
      <c r="S9" s="991"/>
      <c r="T9" s="991"/>
      <c r="U9" s="991"/>
      <c r="V9" s="991"/>
      <c r="W9" s="991"/>
      <c r="X9" s="991"/>
      <c r="Y9" s="991"/>
    </row>
    <row r="10" spans="1:25" ht="15.75" customHeight="1">
      <c r="A10" s="991"/>
      <c r="B10" s="1495" t="s">
        <v>4245</v>
      </c>
      <c r="C10" s="1451"/>
      <c r="D10" s="991"/>
      <c r="E10" s="991"/>
      <c r="F10" s="991"/>
      <c r="G10" s="991"/>
      <c r="H10" s="991"/>
      <c r="I10" s="991"/>
      <c r="J10" s="991"/>
      <c r="K10" s="991"/>
      <c r="L10" s="991"/>
      <c r="M10" s="991"/>
      <c r="N10" s="991"/>
      <c r="O10" s="991"/>
      <c r="P10" s="991"/>
      <c r="Q10" s="991"/>
      <c r="R10" s="991"/>
      <c r="S10" s="991"/>
      <c r="T10" s="991"/>
      <c r="U10" s="991"/>
      <c r="V10" s="991"/>
      <c r="W10" s="991"/>
      <c r="X10" s="991"/>
      <c r="Y10" s="991"/>
    </row>
    <row r="11" spans="1:25" ht="15.75" customHeight="1">
      <c r="A11" s="991"/>
      <c r="B11" s="1495" t="s">
        <v>318</v>
      </c>
      <c r="C11" s="1451"/>
      <c r="D11" s="991"/>
      <c r="E11" s="991"/>
      <c r="F11" s="991"/>
      <c r="G11" s="991"/>
      <c r="H11" s="991"/>
      <c r="I11" s="991"/>
      <c r="J11" s="991"/>
      <c r="K11" s="991"/>
      <c r="L11" s="991"/>
      <c r="M11" s="991"/>
      <c r="N11" s="991"/>
      <c r="O11" s="991"/>
      <c r="P11" s="991"/>
      <c r="Q11" s="991"/>
      <c r="R11" s="991"/>
      <c r="S11" s="991"/>
      <c r="T11" s="991"/>
      <c r="U11" s="991"/>
      <c r="V11" s="991"/>
      <c r="W11" s="991"/>
      <c r="X11" s="991"/>
      <c r="Y11" s="991"/>
    </row>
    <row r="12" spans="1:25" ht="15.75" customHeight="1">
      <c r="A12" s="991"/>
      <c r="B12" s="1495" t="s">
        <v>319</v>
      </c>
      <c r="C12" s="1451"/>
      <c r="D12" s="991"/>
      <c r="E12" s="991"/>
      <c r="F12" s="991"/>
      <c r="G12" s="991"/>
      <c r="H12" s="991"/>
      <c r="I12" s="991"/>
      <c r="J12" s="991"/>
      <c r="K12" s="991"/>
      <c r="L12" s="991"/>
      <c r="M12" s="991"/>
      <c r="N12" s="991"/>
      <c r="O12" s="991"/>
      <c r="P12" s="991"/>
      <c r="Q12" s="991"/>
      <c r="R12" s="991"/>
      <c r="S12" s="991"/>
      <c r="T12" s="991"/>
      <c r="U12" s="991"/>
      <c r="V12" s="991"/>
      <c r="W12" s="991"/>
      <c r="X12" s="991"/>
      <c r="Y12" s="991"/>
    </row>
    <row r="13" spans="1:25" ht="15.75" customHeight="1">
      <c r="A13" s="991"/>
      <c r="B13" s="991"/>
      <c r="C13" s="991"/>
      <c r="D13" s="991"/>
      <c r="E13" s="991"/>
      <c r="F13" s="991"/>
      <c r="G13" s="991"/>
      <c r="H13" s="991"/>
      <c r="I13" s="991"/>
      <c r="J13" s="991"/>
      <c r="K13" s="991"/>
      <c r="L13" s="991"/>
      <c r="M13" s="991"/>
      <c r="N13" s="991"/>
      <c r="O13" s="991"/>
      <c r="P13" s="991"/>
      <c r="Q13" s="991"/>
      <c r="R13" s="991"/>
      <c r="S13" s="991"/>
      <c r="T13" s="991"/>
      <c r="U13" s="991"/>
      <c r="V13" s="991"/>
      <c r="W13" s="991"/>
      <c r="X13" s="991"/>
      <c r="Y13" s="991"/>
    </row>
    <row r="14" spans="1:25" ht="15.75" customHeight="1">
      <c r="A14" s="991"/>
      <c r="B14" s="991"/>
      <c r="C14" s="991"/>
      <c r="D14" s="991"/>
      <c r="E14" s="991"/>
      <c r="F14" s="991"/>
      <c r="G14" s="991"/>
      <c r="H14" s="991"/>
      <c r="I14" s="991"/>
      <c r="J14" s="991"/>
      <c r="K14" s="991"/>
      <c r="L14" s="991"/>
      <c r="M14" s="991"/>
      <c r="N14" s="991"/>
      <c r="O14" s="991"/>
      <c r="P14" s="991"/>
      <c r="Q14" s="991"/>
      <c r="R14" s="991"/>
      <c r="S14" s="991"/>
      <c r="T14" s="991"/>
      <c r="U14" s="991"/>
      <c r="V14" s="991"/>
      <c r="W14" s="991"/>
      <c r="X14" s="991"/>
      <c r="Y14" s="991"/>
    </row>
    <row r="15" spans="1:25" ht="15.75" customHeight="1">
      <c r="A15" s="991"/>
      <c r="B15" s="1255" t="s">
        <v>320</v>
      </c>
      <c r="C15" s="1600" t="s">
        <v>321</v>
      </c>
      <c r="D15" s="1599" t="s">
        <v>85</v>
      </c>
      <c r="E15" s="1599" t="s">
        <v>92</v>
      </c>
      <c r="F15" s="1599" t="s">
        <v>93</v>
      </c>
      <c r="G15" s="1599" t="s">
        <v>322</v>
      </c>
      <c r="H15" s="1599" t="s">
        <v>323</v>
      </c>
      <c r="I15" s="1568" t="s">
        <v>324</v>
      </c>
      <c r="J15" s="1442"/>
      <c r="K15" s="1442"/>
      <c r="L15" s="1442"/>
      <c r="M15" s="1442"/>
      <c r="N15" s="1442"/>
      <c r="O15" s="1442"/>
      <c r="P15" s="1442"/>
      <c r="Q15" s="1442"/>
      <c r="R15" s="1442"/>
      <c r="S15" s="1442"/>
      <c r="T15" s="1442"/>
      <c r="U15" s="1442"/>
      <c r="V15" s="1442"/>
      <c r="W15" s="1442"/>
      <c r="X15" s="1443"/>
      <c r="Y15" s="991"/>
    </row>
    <row r="16" spans="1:25" ht="15.75" customHeight="1">
      <c r="A16" s="991"/>
      <c r="B16" s="1243"/>
      <c r="C16" s="1448"/>
      <c r="D16" s="1448"/>
      <c r="E16" s="1448"/>
      <c r="F16" s="1448"/>
      <c r="G16" s="1448"/>
      <c r="H16" s="1448"/>
      <c r="I16" s="845" t="s">
        <v>325</v>
      </c>
      <c r="J16" s="845" t="s">
        <v>326</v>
      </c>
      <c r="K16" s="845" t="s">
        <v>327</v>
      </c>
      <c r="L16" s="845" t="s">
        <v>328</v>
      </c>
      <c r="M16" s="845" t="s">
        <v>329</v>
      </c>
      <c r="N16" s="845" t="s">
        <v>330</v>
      </c>
      <c r="O16" s="845" t="s">
        <v>331</v>
      </c>
      <c r="P16" s="845" t="s">
        <v>332</v>
      </c>
      <c r="Q16" s="845" t="s">
        <v>333</v>
      </c>
      <c r="R16" s="845" t="s">
        <v>334</v>
      </c>
      <c r="S16" s="845" t="s">
        <v>335</v>
      </c>
      <c r="T16" s="845" t="s">
        <v>336</v>
      </c>
      <c r="U16" s="845" t="s">
        <v>337</v>
      </c>
      <c r="V16" s="845" t="s">
        <v>338</v>
      </c>
      <c r="W16" s="845" t="s">
        <v>339</v>
      </c>
      <c r="X16" s="845" t="s">
        <v>340</v>
      </c>
      <c r="Y16" s="991"/>
    </row>
    <row r="17" spans="1:25" ht="15.75" customHeight="1">
      <c r="A17" s="991"/>
      <c r="B17" s="1598" t="s">
        <v>4222</v>
      </c>
      <c r="C17" s="1443"/>
      <c r="D17" s="953"/>
      <c r="E17" s="953"/>
      <c r="F17" s="953"/>
      <c r="G17" s="953"/>
      <c r="H17" s="953"/>
      <c r="I17" s="953"/>
      <c r="J17" s="953"/>
      <c r="K17" s="953"/>
      <c r="L17" s="953"/>
      <c r="M17" s="953"/>
      <c r="N17" s="953"/>
      <c r="O17" s="953"/>
      <c r="P17" s="953"/>
      <c r="Q17" s="953"/>
      <c r="R17" s="953"/>
      <c r="S17" s="953"/>
      <c r="T17" s="953"/>
      <c r="U17" s="953"/>
      <c r="V17" s="953"/>
      <c r="W17" s="953"/>
      <c r="X17" s="953"/>
      <c r="Y17" s="991"/>
    </row>
    <row r="18" spans="1:25" ht="15.75" customHeight="1">
      <c r="A18" s="991"/>
      <c r="B18" s="1243"/>
      <c r="C18" s="953"/>
      <c r="D18" s="847">
        <v>0</v>
      </c>
      <c r="E18" s="953"/>
      <c r="F18" s="953"/>
      <c r="G18" s="847">
        <v>0</v>
      </c>
      <c r="H18" s="953"/>
      <c r="I18" s="847">
        <v>0</v>
      </c>
      <c r="J18" s="953"/>
      <c r="K18" s="953"/>
      <c r="L18" s="953"/>
      <c r="M18" s="847">
        <v>0</v>
      </c>
      <c r="N18" s="953"/>
      <c r="O18" s="953"/>
      <c r="P18" s="953"/>
      <c r="Q18" s="847">
        <v>0</v>
      </c>
      <c r="R18" s="953"/>
      <c r="S18" s="953"/>
      <c r="T18" s="953"/>
      <c r="U18" s="847">
        <v>0</v>
      </c>
      <c r="V18" s="953"/>
      <c r="W18" s="953"/>
      <c r="X18" s="953"/>
      <c r="Y18" s="991"/>
    </row>
    <row r="19" spans="1:25" ht="15.75" customHeight="1">
      <c r="A19" s="991"/>
      <c r="B19" s="1243"/>
      <c r="C19" s="953"/>
      <c r="D19" s="847">
        <v>0</v>
      </c>
      <c r="E19" s="953"/>
      <c r="F19" s="953"/>
      <c r="G19" s="847">
        <v>0</v>
      </c>
      <c r="H19" s="953"/>
      <c r="I19" s="847">
        <v>0</v>
      </c>
      <c r="J19" s="953"/>
      <c r="K19" s="953"/>
      <c r="L19" s="953"/>
      <c r="M19" s="847">
        <v>0</v>
      </c>
      <c r="N19" s="953"/>
      <c r="O19" s="953"/>
      <c r="P19" s="953"/>
      <c r="Q19" s="847">
        <v>0</v>
      </c>
      <c r="R19" s="953"/>
      <c r="S19" s="953"/>
      <c r="T19" s="953"/>
      <c r="U19" s="847">
        <v>0</v>
      </c>
      <c r="V19" s="953"/>
      <c r="W19" s="953"/>
      <c r="X19" s="953"/>
      <c r="Y19" s="991"/>
    </row>
    <row r="20" spans="1:25" ht="15.75" customHeight="1">
      <c r="A20" s="991"/>
      <c r="B20" s="1243"/>
      <c r="C20" s="953"/>
      <c r="D20" s="847">
        <v>0</v>
      </c>
      <c r="E20" s="953"/>
      <c r="F20" s="953"/>
      <c r="G20" s="847">
        <v>0</v>
      </c>
      <c r="H20" s="953"/>
      <c r="I20" s="847">
        <v>0</v>
      </c>
      <c r="J20" s="953"/>
      <c r="K20" s="953"/>
      <c r="L20" s="953"/>
      <c r="M20" s="847">
        <v>0</v>
      </c>
      <c r="N20" s="953"/>
      <c r="O20" s="953"/>
      <c r="P20" s="953"/>
      <c r="Q20" s="847">
        <v>0</v>
      </c>
      <c r="R20" s="953"/>
      <c r="S20" s="953"/>
      <c r="T20" s="953"/>
      <c r="U20" s="847">
        <v>0</v>
      </c>
      <c r="V20" s="953"/>
      <c r="W20" s="953"/>
      <c r="X20" s="953"/>
      <c r="Y20" s="991"/>
    </row>
    <row r="21" spans="1:25" ht="15.75" customHeight="1">
      <c r="A21" s="991"/>
      <c r="B21" s="1243"/>
      <c r="C21" s="953"/>
      <c r="D21" s="847">
        <v>0</v>
      </c>
      <c r="E21" s="953"/>
      <c r="F21" s="953"/>
      <c r="G21" s="847">
        <v>0</v>
      </c>
      <c r="H21" s="953"/>
      <c r="I21" s="847">
        <v>0</v>
      </c>
      <c r="J21" s="953"/>
      <c r="K21" s="953"/>
      <c r="L21" s="953"/>
      <c r="M21" s="847">
        <v>0</v>
      </c>
      <c r="N21" s="953"/>
      <c r="O21" s="953"/>
      <c r="P21" s="953"/>
      <c r="Q21" s="847">
        <v>0</v>
      </c>
      <c r="R21" s="953"/>
      <c r="S21" s="953"/>
      <c r="T21" s="953"/>
      <c r="U21" s="847">
        <v>0</v>
      </c>
      <c r="V21" s="953"/>
      <c r="W21" s="953"/>
      <c r="X21" s="953"/>
      <c r="Y21" s="991"/>
    </row>
    <row r="22" spans="1:25" ht="15.75" customHeight="1">
      <c r="A22" s="991"/>
      <c r="B22" s="1243"/>
      <c r="C22" s="953"/>
      <c r="D22" s="847">
        <v>0</v>
      </c>
      <c r="E22" s="953"/>
      <c r="F22" s="953"/>
      <c r="G22" s="847">
        <v>0</v>
      </c>
      <c r="H22" s="953"/>
      <c r="I22" s="847">
        <v>0</v>
      </c>
      <c r="J22" s="953"/>
      <c r="K22" s="953"/>
      <c r="L22" s="953"/>
      <c r="M22" s="847">
        <v>0</v>
      </c>
      <c r="N22" s="953"/>
      <c r="O22" s="953"/>
      <c r="P22" s="953"/>
      <c r="Q22" s="847">
        <v>0</v>
      </c>
      <c r="R22" s="953"/>
      <c r="S22" s="953"/>
      <c r="T22" s="953"/>
      <c r="U22" s="847">
        <v>0</v>
      </c>
      <c r="V22" s="953"/>
      <c r="W22" s="953"/>
      <c r="X22" s="953"/>
      <c r="Y22" s="991"/>
    </row>
    <row r="23" spans="1:25" ht="15.75" customHeight="1">
      <c r="A23" s="991"/>
      <c r="B23" s="1243"/>
      <c r="C23" s="953"/>
      <c r="D23" s="847">
        <v>0</v>
      </c>
      <c r="E23" s="953"/>
      <c r="F23" s="953"/>
      <c r="G23" s="847">
        <v>0</v>
      </c>
      <c r="H23" s="953"/>
      <c r="I23" s="847">
        <v>0</v>
      </c>
      <c r="J23" s="953"/>
      <c r="K23" s="953"/>
      <c r="L23" s="953"/>
      <c r="M23" s="847">
        <v>0</v>
      </c>
      <c r="N23" s="953"/>
      <c r="O23" s="953"/>
      <c r="P23" s="953"/>
      <c r="Q23" s="847">
        <v>0</v>
      </c>
      <c r="R23" s="953"/>
      <c r="S23" s="953"/>
      <c r="T23" s="953"/>
      <c r="U23" s="847">
        <v>0</v>
      </c>
      <c r="V23" s="953"/>
      <c r="W23" s="953"/>
      <c r="X23" s="953"/>
      <c r="Y23" s="991"/>
    </row>
    <row r="24" spans="1:25" ht="15.75" customHeight="1">
      <c r="A24" s="991"/>
      <c r="B24" s="1243"/>
      <c r="C24" s="953"/>
      <c r="D24" s="847">
        <v>0</v>
      </c>
      <c r="E24" s="953"/>
      <c r="F24" s="953"/>
      <c r="G24" s="847">
        <v>0</v>
      </c>
      <c r="H24" s="953"/>
      <c r="I24" s="847">
        <v>0</v>
      </c>
      <c r="J24" s="953"/>
      <c r="K24" s="953"/>
      <c r="L24" s="953"/>
      <c r="M24" s="847">
        <v>0</v>
      </c>
      <c r="N24" s="953"/>
      <c r="O24" s="953"/>
      <c r="P24" s="953"/>
      <c r="Q24" s="847">
        <v>0</v>
      </c>
      <c r="R24" s="953"/>
      <c r="S24" s="953"/>
      <c r="T24" s="953"/>
      <c r="U24" s="847">
        <v>0</v>
      </c>
      <c r="V24" s="953"/>
      <c r="W24" s="953"/>
      <c r="X24" s="953"/>
      <c r="Y24" s="991"/>
    </row>
    <row r="25" spans="1:25" ht="15.75" customHeight="1">
      <c r="A25" s="991"/>
      <c r="B25" s="1243"/>
      <c r="C25" s="953"/>
      <c r="D25" s="847">
        <v>0</v>
      </c>
      <c r="E25" s="953"/>
      <c r="F25" s="953"/>
      <c r="G25" s="847">
        <v>0</v>
      </c>
      <c r="H25" s="953"/>
      <c r="I25" s="847">
        <v>0</v>
      </c>
      <c r="J25" s="953"/>
      <c r="K25" s="953"/>
      <c r="L25" s="953"/>
      <c r="M25" s="847">
        <v>0</v>
      </c>
      <c r="N25" s="953"/>
      <c r="O25" s="953"/>
      <c r="P25" s="953"/>
      <c r="Q25" s="847">
        <v>0</v>
      </c>
      <c r="R25" s="953"/>
      <c r="S25" s="953"/>
      <c r="T25" s="953"/>
      <c r="U25" s="847">
        <v>0</v>
      </c>
      <c r="V25" s="953"/>
      <c r="W25" s="953"/>
      <c r="X25" s="953"/>
      <c r="Y25" s="991"/>
    </row>
    <row r="26" spans="1:25" ht="15.75" customHeight="1">
      <c r="A26" s="991"/>
      <c r="B26" s="1243"/>
      <c r="C26" s="953"/>
      <c r="D26" s="847">
        <v>0</v>
      </c>
      <c r="E26" s="953"/>
      <c r="F26" s="953"/>
      <c r="G26" s="847">
        <v>0</v>
      </c>
      <c r="H26" s="953"/>
      <c r="I26" s="847">
        <v>0</v>
      </c>
      <c r="J26" s="953"/>
      <c r="K26" s="953"/>
      <c r="L26" s="953"/>
      <c r="M26" s="847">
        <v>0</v>
      </c>
      <c r="N26" s="953"/>
      <c r="O26" s="953"/>
      <c r="P26" s="953"/>
      <c r="Q26" s="847">
        <v>0</v>
      </c>
      <c r="R26" s="953"/>
      <c r="S26" s="953"/>
      <c r="T26" s="953"/>
      <c r="U26" s="847">
        <v>0</v>
      </c>
      <c r="V26" s="953"/>
      <c r="W26" s="953"/>
      <c r="X26" s="953"/>
      <c r="Y26" s="991"/>
    </row>
    <row r="27" spans="1:25" ht="15.75" customHeight="1">
      <c r="A27" s="991"/>
      <c r="B27" s="1243"/>
      <c r="C27" s="953"/>
      <c r="D27" s="847">
        <v>0</v>
      </c>
      <c r="E27" s="953"/>
      <c r="F27" s="953"/>
      <c r="G27" s="847">
        <v>0</v>
      </c>
      <c r="H27" s="953"/>
      <c r="I27" s="847">
        <v>0</v>
      </c>
      <c r="J27" s="953"/>
      <c r="K27" s="953"/>
      <c r="L27" s="953"/>
      <c r="M27" s="847">
        <v>0</v>
      </c>
      <c r="N27" s="953"/>
      <c r="O27" s="953"/>
      <c r="P27" s="953"/>
      <c r="Q27" s="847">
        <v>0</v>
      </c>
      <c r="R27" s="953"/>
      <c r="S27" s="953"/>
      <c r="T27" s="953"/>
      <c r="U27" s="847">
        <v>0</v>
      </c>
      <c r="V27" s="953"/>
      <c r="W27" s="953"/>
      <c r="X27" s="953"/>
      <c r="Y27" s="991"/>
    </row>
    <row r="28" spans="1:25" ht="15.75" customHeight="1">
      <c r="A28" s="991"/>
      <c r="B28" s="1243"/>
      <c r="C28" s="953"/>
      <c r="D28" s="847">
        <v>0</v>
      </c>
      <c r="E28" s="953"/>
      <c r="F28" s="953"/>
      <c r="G28" s="847">
        <v>0</v>
      </c>
      <c r="H28" s="953"/>
      <c r="I28" s="847">
        <v>0</v>
      </c>
      <c r="J28" s="953"/>
      <c r="K28" s="953"/>
      <c r="L28" s="953"/>
      <c r="M28" s="847">
        <v>0</v>
      </c>
      <c r="N28" s="953"/>
      <c r="O28" s="953"/>
      <c r="P28" s="953"/>
      <c r="Q28" s="847">
        <v>0</v>
      </c>
      <c r="R28" s="953"/>
      <c r="S28" s="953"/>
      <c r="T28" s="953"/>
      <c r="U28" s="847">
        <v>0</v>
      </c>
      <c r="V28" s="953"/>
      <c r="W28" s="953"/>
      <c r="X28" s="953"/>
      <c r="Y28" s="991"/>
    </row>
    <row r="29" spans="1:25" ht="15.75" customHeight="1">
      <c r="A29" s="991"/>
      <c r="B29" s="1243"/>
      <c r="C29" s="953"/>
      <c r="D29" s="847">
        <v>0</v>
      </c>
      <c r="E29" s="953"/>
      <c r="F29" s="953"/>
      <c r="G29" s="847">
        <v>0</v>
      </c>
      <c r="H29" s="953"/>
      <c r="I29" s="847">
        <v>0</v>
      </c>
      <c r="J29" s="953"/>
      <c r="K29" s="953"/>
      <c r="L29" s="953"/>
      <c r="M29" s="847">
        <v>0</v>
      </c>
      <c r="N29" s="953"/>
      <c r="O29" s="953"/>
      <c r="P29" s="953"/>
      <c r="Q29" s="847">
        <v>0</v>
      </c>
      <c r="R29" s="953"/>
      <c r="S29" s="953"/>
      <c r="T29" s="953"/>
      <c r="U29" s="847">
        <v>0</v>
      </c>
      <c r="V29" s="953"/>
      <c r="W29" s="953"/>
      <c r="X29" s="953"/>
      <c r="Y29" s="991"/>
    </row>
    <row r="30" spans="1:25" ht="15.75" customHeight="1">
      <c r="A30" s="991"/>
      <c r="B30" s="1243"/>
      <c r="C30" s="953"/>
      <c r="D30" s="847">
        <v>0</v>
      </c>
      <c r="E30" s="953"/>
      <c r="F30" s="953"/>
      <c r="G30" s="847">
        <v>0</v>
      </c>
      <c r="H30" s="953"/>
      <c r="I30" s="847">
        <v>0</v>
      </c>
      <c r="J30" s="953"/>
      <c r="K30" s="953"/>
      <c r="L30" s="953"/>
      <c r="M30" s="847">
        <v>0</v>
      </c>
      <c r="N30" s="953"/>
      <c r="O30" s="953"/>
      <c r="P30" s="953"/>
      <c r="Q30" s="847">
        <v>0</v>
      </c>
      <c r="R30" s="953"/>
      <c r="S30" s="953"/>
      <c r="T30" s="953"/>
      <c r="U30" s="847">
        <v>0</v>
      </c>
      <c r="V30" s="953"/>
      <c r="W30" s="953"/>
      <c r="X30" s="953"/>
      <c r="Y30" s="991"/>
    </row>
    <row r="31" spans="1:25" ht="15.75" customHeight="1">
      <c r="A31" s="991"/>
      <c r="B31" s="1243"/>
      <c r="C31" s="953"/>
      <c r="D31" s="847">
        <v>0</v>
      </c>
      <c r="E31" s="953"/>
      <c r="F31" s="953"/>
      <c r="G31" s="847">
        <v>0</v>
      </c>
      <c r="H31" s="953"/>
      <c r="I31" s="847">
        <v>0</v>
      </c>
      <c r="J31" s="953"/>
      <c r="K31" s="953"/>
      <c r="L31" s="953"/>
      <c r="M31" s="847">
        <v>0</v>
      </c>
      <c r="N31" s="953"/>
      <c r="O31" s="953"/>
      <c r="P31" s="953"/>
      <c r="Q31" s="847">
        <v>0</v>
      </c>
      <c r="R31" s="953"/>
      <c r="S31" s="953"/>
      <c r="T31" s="953"/>
      <c r="U31" s="847">
        <v>0</v>
      </c>
      <c r="V31" s="953"/>
      <c r="W31" s="953"/>
      <c r="X31" s="953"/>
      <c r="Y31" s="991"/>
    </row>
    <row r="32" spans="1:25" ht="15.75" customHeight="1">
      <c r="A32" s="991"/>
      <c r="B32" s="1243"/>
      <c r="C32" s="953"/>
      <c r="D32" s="847">
        <v>0</v>
      </c>
      <c r="E32" s="953"/>
      <c r="F32" s="953"/>
      <c r="G32" s="847">
        <v>0</v>
      </c>
      <c r="H32" s="953"/>
      <c r="I32" s="847">
        <v>0</v>
      </c>
      <c r="J32" s="953"/>
      <c r="K32" s="953"/>
      <c r="L32" s="953"/>
      <c r="M32" s="847">
        <v>0</v>
      </c>
      <c r="N32" s="953"/>
      <c r="O32" s="953"/>
      <c r="P32" s="953"/>
      <c r="Q32" s="847">
        <v>0</v>
      </c>
      <c r="R32" s="953"/>
      <c r="S32" s="953"/>
      <c r="T32" s="953"/>
      <c r="U32" s="847">
        <v>0</v>
      </c>
      <c r="V32" s="953"/>
      <c r="W32" s="953"/>
      <c r="X32" s="953"/>
      <c r="Y32" s="991"/>
    </row>
    <row r="33" spans="1:25" ht="15.75" customHeight="1">
      <c r="A33" s="991"/>
      <c r="B33" s="1243"/>
      <c r="C33" s="953"/>
      <c r="D33" s="847">
        <v>0</v>
      </c>
      <c r="E33" s="953"/>
      <c r="F33" s="953"/>
      <c r="G33" s="847">
        <v>0</v>
      </c>
      <c r="H33" s="953"/>
      <c r="I33" s="847">
        <v>0</v>
      </c>
      <c r="J33" s="953"/>
      <c r="K33" s="953"/>
      <c r="L33" s="953"/>
      <c r="M33" s="847">
        <v>0</v>
      </c>
      <c r="N33" s="953"/>
      <c r="O33" s="953"/>
      <c r="P33" s="953"/>
      <c r="Q33" s="847">
        <v>0</v>
      </c>
      <c r="R33" s="953"/>
      <c r="S33" s="953"/>
      <c r="T33" s="953"/>
      <c r="U33" s="847">
        <v>0</v>
      </c>
      <c r="V33" s="953"/>
      <c r="W33" s="953"/>
      <c r="X33" s="953"/>
      <c r="Y33" s="991"/>
    </row>
    <row r="34" spans="1:25" ht="15.75" customHeight="1">
      <c r="A34" s="991"/>
      <c r="B34" s="1243"/>
      <c r="C34" s="953"/>
      <c r="D34" s="847">
        <v>0</v>
      </c>
      <c r="E34" s="953"/>
      <c r="F34" s="953"/>
      <c r="G34" s="847">
        <v>0</v>
      </c>
      <c r="H34" s="953"/>
      <c r="I34" s="847">
        <v>0</v>
      </c>
      <c r="J34" s="953"/>
      <c r="K34" s="953"/>
      <c r="L34" s="953"/>
      <c r="M34" s="847">
        <v>0</v>
      </c>
      <c r="N34" s="953"/>
      <c r="O34" s="953"/>
      <c r="P34" s="953"/>
      <c r="Q34" s="847">
        <v>0</v>
      </c>
      <c r="R34" s="953"/>
      <c r="S34" s="953"/>
      <c r="T34" s="953"/>
      <c r="U34" s="847">
        <v>0</v>
      </c>
      <c r="V34" s="953"/>
      <c r="W34" s="953"/>
      <c r="X34" s="953"/>
      <c r="Y34" s="991"/>
    </row>
    <row r="35" spans="1:25" ht="15.75" customHeight="1">
      <c r="A35" s="991"/>
      <c r="B35" s="1243"/>
      <c r="C35" s="953"/>
      <c r="D35" s="847">
        <v>0</v>
      </c>
      <c r="E35" s="953"/>
      <c r="F35" s="953"/>
      <c r="G35" s="847">
        <v>0</v>
      </c>
      <c r="H35" s="953"/>
      <c r="I35" s="847">
        <v>0</v>
      </c>
      <c r="J35" s="953"/>
      <c r="K35" s="953"/>
      <c r="L35" s="953"/>
      <c r="M35" s="847">
        <v>0</v>
      </c>
      <c r="N35" s="953"/>
      <c r="O35" s="953"/>
      <c r="P35" s="953"/>
      <c r="Q35" s="847">
        <v>0</v>
      </c>
      <c r="R35" s="953"/>
      <c r="S35" s="953"/>
      <c r="T35" s="953"/>
      <c r="U35" s="847">
        <v>0</v>
      </c>
      <c r="V35" s="953"/>
      <c r="W35" s="953"/>
      <c r="X35" s="953"/>
      <c r="Y35" s="991"/>
    </row>
    <row r="36" spans="1:25" ht="15.75" customHeight="1">
      <c r="A36" s="991"/>
      <c r="B36" s="1243"/>
      <c r="C36" s="953"/>
      <c r="D36" s="847">
        <v>0</v>
      </c>
      <c r="E36" s="953"/>
      <c r="F36" s="953"/>
      <c r="G36" s="847">
        <v>0</v>
      </c>
      <c r="H36" s="953"/>
      <c r="I36" s="847">
        <v>0</v>
      </c>
      <c r="J36" s="953"/>
      <c r="K36" s="953"/>
      <c r="L36" s="953"/>
      <c r="M36" s="847">
        <v>0</v>
      </c>
      <c r="N36" s="953"/>
      <c r="O36" s="953"/>
      <c r="P36" s="953"/>
      <c r="Q36" s="847">
        <v>0</v>
      </c>
      <c r="R36" s="953"/>
      <c r="S36" s="953"/>
      <c r="T36" s="953"/>
      <c r="U36" s="847">
        <v>0</v>
      </c>
      <c r="V36" s="953"/>
      <c r="W36" s="953"/>
      <c r="X36" s="953"/>
      <c r="Y36" s="991"/>
    </row>
    <row r="37" spans="1:25" ht="15.75" customHeight="1">
      <c r="A37" s="991"/>
      <c r="B37" s="1243"/>
      <c r="C37" s="953"/>
      <c r="D37" s="847">
        <v>0</v>
      </c>
      <c r="E37" s="953"/>
      <c r="F37" s="953"/>
      <c r="G37" s="847">
        <v>0</v>
      </c>
      <c r="H37" s="953"/>
      <c r="I37" s="847">
        <v>0</v>
      </c>
      <c r="J37" s="953"/>
      <c r="K37" s="953"/>
      <c r="L37" s="953"/>
      <c r="M37" s="847">
        <v>0</v>
      </c>
      <c r="N37" s="953"/>
      <c r="O37" s="953"/>
      <c r="P37" s="953"/>
      <c r="Q37" s="847">
        <v>0</v>
      </c>
      <c r="R37" s="953"/>
      <c r="S37" s="953"/>
      <c r="T37" s="953"/>
      <c r="U37" s="847">
        <v>0</v>
      </c>
      <c r="V37" s="953"/>
      <c r="W37" s="953"/>
      <c r="X37" s="953"/>
      <c r="Y37" s="991"/>
    </row>
    <row r="38" spans="1:25" ht="15.75" customHeight="1">
      <c r="A38" s="991"/>
      <c r="B38" s="1243"/>
      <c r="C38" s="953"/>
      <c r="D38" s="847">
        <v>0</v>
      </c>
      <c r="E38" s="953"/>
      <c r="F38" s="953"/>
      <c r="G38" s="847">
        <v>0</v>
      </c>
      <c r="H38" s="953"/>
      <c r="I38" s="847">
        <v>0</v>
      </c>
      <c r="J38" s="953"/>
      <c r="K38" s="953"/>
      <c r="L38" s="953"/>
      <c r="M38" s="847">
        <v>0</v>
      </c>
      <c r="N38" s="953"/>
      <c r="O38" s="953"/>
      <c r="P38" s="953"/>
      <c r="Q38" s="847">
        <v>0</v>
      </c>
      <c r="R38" s="953"/>
      <c r="S38" s="953"/>
      <c r="T38" s="953"/>
      <c r="U38" s="847">
        <v>0</v>
      </c>
      <c r="V38" s="953"/>
      <c r="W38" s="953"/>
      <c r="X38" s="953"/>
      <c r="Y38" s="991"/>
    </row>
    <row r="39" spans="1:25" ht="15.75" customHeight="1">
      <c r="A39" s="991"/>
      <c r="B39" s="1243"/>
      <c r="C39" s="953"/>
      <c r="D39" s="847">
        <v>0</v>
      </c>
      <c r="E39" s="953"/>
      <c r="F39" s="953"/>
      <c r="G39" s="847">
        <v>0</v>
      </c>
      <c r="H39" s="953"/>
      <c r="I39" s="847">
        <v>0</v>
      </c>
      <c r="J39" s="953"/>
      <c r="K39" s="953"/>
      <c r="L39" s="953"/>
      <c r="M39" s="847">
        <v>0</v>
      </c>
      <c r="N39" s="953"/>
      <c r="O39" s="953"/>
      <c r="P39" s="953"/>
      <c r="Q39" s="847">
        <v>0</v>
      </c>
      <c r="R39" s="953"/>
      <c r="S39" s="953"/>
      <c r="T39" s="953"/>
      <c r="U39" s="847">
        <v>0</v>
      </c>
      <c r="V39" s="953"/>
      <c r="W39" s="953"/>
      <c r="X39" s="953"/>
      <c r="Y39" s="991"/>
    </row>
    <row r="40" spans="1:25" ht="15.75" customHeight="1">
      <c r="A40" s="991"/>
      <c r="B40" s="1243"/>
      <c r="C40" s="953"/>
      <c r="D40" s="847">
        <v>0</v>
      </c>
      <c r="E40" s="953"/>
      <c r="F40" s="953"/>
      <c r="G40" s="847">
        <v>0</v>
      </c>
      <c r="H40" s="953"/>
      <c r="I40" s="847">
        <v>0</v>
      </c>
      <c r="J40" s="953"/>
      <c r="K40" s="953"/>
      <c r="L40" s="953"/>
      <c r="M40" s="847">
        <v>0</v>
      </c>
      <c r="N40" s="953"/>
      <c r="O40" s="953"/>
      <c r="P40" s="953"/>
      <c r="Q40" s="847">
        <v>0</v>
      </c>
      <c r="R40" s="953"/>
      <c r="S40" s="953"/>
      <c r="T40" s="953"/>
      <c r="U40" s="847">
        <v>0</v>
      </c>
      <c r="V40" s="953"/>
      <c r="W40" s="953"/>
      <c r="X40" s="953"/>
      <c r="Y40" s="991"/>
    </row>
    <row r="41" spans="1:25" ht="15.75" customHeight="1">
      <c r="A41" s="991"/>
      <c r="B41" s="1243"/>
      <c r="C41" s="953"/>
      <c r="D41" s="847">
        <v>0</v>
      </c>
      <c r="E41" s="953"/>
      <c r="F41" s="953"/>
      <c r="G41" s="847">
        <v>0</v>
      </c>
      <c r="H41" s="953"/>
      <c r="I41" s="847">
        <v>0</v>
      </c>
      <c r="J41" s="953"/>
      <c r="K41" s="953"/>
      <c r="L41" s="953"/>
      <c r="M41" s="847">
        <v>0</v>
      </c>
      <c r="N41" s="953"/>
      <c r="O41" s="953"/>
      <c r="P41" s="953"/>
      <c r="Q41" s="847">
        <v>0</v>
      </c>
      <c r="R41" s="953"/>
      <c r="S41" s="953"/>
      <c r="T41" s="953"/>
      <c r="U41" s="847">
        <v>0</v>
      </c>
      <c r="V41" s="953"/>
      <c r="W41" s="953"/>
      <c r="X41" s="953"/>
      <c r="Y41" s="991"/>
    </row>
    <row r="42" spans="1:25" ht="15.75" customHeight="1">
      <c r="A42" s="991"/>
      <c r="B42" s="1243"/>
      <c r="C42" s="953"/>
      <c r="D42" s="847">
        <v>0</v>
      </c>
      <c r="E42" s="953"/>
      <c r="F42" s="953"/>
      <c r="G42" s="847">
        <v>0</v>
      </c>
      <c r="H42" s="953"/>
      <c r="I42" s="847">
        <v>0</v>
      </c>
      <c r="J42" s="953"/>
      <c r="K42" s="953"/>
      <c r="L42" s="953"/>
      <c r="M42" s="847">
        <v>0</v>
      </c>
      <c r="N42" s="953"/>
      <c r="O42" s="953"/>
      <c r="P42" s="953"/>
      <c r="Q42" s="847">
        <v>0</v>
      </c>
      <c r="R42" s="953"/>
      <c r="S42" s="953"/>
      <c r="T42" s="953"/>
      <c r="U42" s="847">
        <v>0</v>
      </c>
      <c r="V42" s="953"/>
      <c r="W42" s="953"/>
      <c r="X42" s="953"/>
      <c r="Y42" s="991"/>
    </row>
    <row r="43" spans="1:25" ht="15.75" customHeight="1">
      <c r="A43" s="991"/>
      <c r="B43" s="1243"/>
      <c r="C43" s="953"/>
      <c r="D43" s="847">
        <v>0</v>
      </c>
      <c r="E43" s="953"/>
      <c r="F43" s="953"/>
      <c r="G43" s="847">
        <v>0</v>
      </c>
      <c r="H43" s="953"/>
      <c r="I43" s="847">
        <v>0</v>
      </c>
      <c r="J43" s="953"/>
      <c r="K43" s="953"/>
      <c r="L43" s="953"/>
      <c r="M43" s="847">
        <v>0</v>
      </c>
      <c r="N43" s="953"/>
      <c r="O43" s="953"/>
      <c r="P43" s="953"/>
      <c r="Q43" s="847">
        <v>0</v>
      </c>
      <c r="R43" s="953"/>
      <c r="S43" s="953"/>
      <c r="T43" s="953"/>
      <c r="U43" s="847">
        <v>0</v>
      </c>
      <c r="V43" s="953"/>
      <c r="W43" s="953"/>
      <c r="X43" s="953"/>
      <c r="Y43" s="991"/>
    </row>
    <row r="44" spans="1:25" ht="15.75" customHeight="1">
      <c r="A44" s="991"/>
      <c r="B44" s="1243"/>
      <c r="C44" s="953"/>
      <c r="D44" s="847">
        <v>0</v>
      </c>
      <c r="E44" s="953"/>
      <c r="F44" s="953"/>
      <c r="G44" s="847">
        <v>0</v>
      </c>
      <c r="H44" s="953"/>
      <c r="I44" s="847">
        <v>0</v>
      </c>
      <c r="J44" s="953"/>
      <c r="K44" s="953"/>
      <c r="L44" s="953"/>
      <c r="M44" s="847">
        <v>0</v>
      </c>
      <c r="N44" s="953"/>
      <c r="O44" s="953"/>
      <c r="P44" s="953"/>
      <c r="Q44" s="847">
        <v>0</v>
      </c>
      <c r="R44" s="953"/>
      <c r="S44" s="953"/>
      <c r="T44" s="953"/>
      <c r="U44" s="847">
        <v>0</v>
      </c>
      <c r="V44" s="953"/>
      <c r="W44" s="953"/>
      <c r="X44" s="953"/>
      <c r="Y44" s="991"/>
    </row>
    <row r="45" spans="1:25" ht="15.75" customHeight="1">
      <c r="A45" s="991"/>
      <c r="B45" s="1243"/>
      <c r="C45" s="953"/>
      <c r="D45" s="847">
        <v>0</v>
      </c>
      <c r="E45" s="953"/>
      <c r="F45" s="953"/>
      <c r="G45" s="847">
        <v>0</v>
      </c>
      <c r="H45" s="953"/>
      <c r="I45" s="847">
        <v>0</v>
      </c>
      <c r="J45" s="953"/>
      <c r="K45" s="953"/>
      <c r="L45" s="953"/>
      <c r="M45" s="847">
        <v>0</v>
      </c>
      <c r="N45" s="953"/>
      <c r="O45" s="953"/>
      <c r="P45" s="953"/>
      <c r="Q45" s="847">
        <v>0</v>
      </c>
      <c r="R45" s="953"/>
      <c r="S45" s="953"/>
      <c r="T45" s="953"/>
      <c r="U45" s="847">
        <v>0</v>
      </c>
      <c r="V45" s="953"/>
      <c r="W45" s="953"/>
      <c r="X45" s="953"/>
      <c r="Y45" s="991"/>
    </row>
    <row r="46" spans="1:25" ht="15.75" customHeight="1">
      <c r="A46" s="991"/>
      <c r="B46" s="1243"/>
      <c r="C46" s="953"/>
      <c r="D46" s="847">
        <v>0</v>
      </c>
      <c r="E46" s="953"/>
      <c r="F46" s="953"/>
      <c r="G46" s="847">
        <v>0</v>
      </c>
      <c r="H46" s="953"/>
      <c r="I46" s="847">
        <v>0</v>
      </c>
      <c r="J46" s="953"/>
      <c r="K46" s="953"/>
      <c r="L46" s="953"/>
      <c r="M46" s="847">
        <v>0</v>
      </c>
      <c r="N46" s="953"/>
      <c r="O46" s="953"/>
      <c r="P46" s="953"/>
      <c r="Q46" s="847">
        <v>0</v>
      </c>
      <c r="R46" s="953"/>
      <c r="S46" s="953"/>
      <c r="T46" s="953"/>
      <c r="U46" s="847">
        <v>0</v>
      </c>
      <c r="V46" s="953"/>
      <c r="W46" s="953"/>
      <c r="X46" s="953"/>
      <c r="Y46" s="991"/>
    </row>
    <row r="47" spans="1:25" ht="15.75" customHeight="1">
      <c r="A47" s="991"/>
      <c r="B47" s="1243"/>
      <c r="C47" s="953"/>
      <c r="D47" s="847">
        <v>0</v>
      </c>
      <c r="E47" s="953"/>
      <c r="F47" s="953"/>
      <c r="G47" s="847">
        <v>0</v>
      </c>
      <c r="H47" s="953"/>
      <c r="I47" s="847">
        <v>0</v>
      </c>
      <c r="J47" s="953"/>
      <c r="K47" s="953"/>
      <c r="L47" s="953"/>
      <c r="M47" s="847">
        <v>0</v>
      </c>
      <c r="N47" s="953"/>
      <c r="O47" s="953"/>
      <c r="P47" s="953"/>
      <c r="Q47" s="847">
        <v>0</v>
      </c>
      <c r="R47" s="953"/>
      <c r="S47" s="953"/>
      <c r="T47" s="953"/>
      <c r="U47" s="847">
        <v>0</v>
      </c>
      <c r="V47" s="953"/>
      <c r="W47" s="953"/>
      <c r="X47" s="953"/>
      <c r="Y47" s="991"/>
    </row>
    <row r="48" spans="1:25" ht="15.75" customHeight="1">
      <c r="A48" s="991"/>
      <c r="B48" s="1243"/>
      <c r="C48" s="953"/>
      <c r="D48" s="847">
        <v>0</v>
      </c>
      <c r="E48" s="953"/>
      <c r="F48" s="953"/>
      <c r="G48" s="847">
        <v>0</v>
      </c>
      <c r="H48" s="953"/>
      <c r="I48" s="847">
        <v>0</v>
      </c>
      <c r="J48" s="953"/>
      <c r="K48" s="953"/>
      <c r="L48" s="953"/>
      <c r="M48" s="847">
        <v>0</v>
      </c>
      <c r="N48" s="953"/>
      <c r="O48" s="953"/>
      <c r="P48" s="953"/>
      <c r="Q48" s="847">
        <v>0</v>
      </c>
      <c r="R48" s="953"/>
      <c r="S48" s="953"/>
      <c r="T48" s="953"/>
      <c r="U48" s="847">
        <v>0</v>
      </c>
      <c r="V48" s="953"/>
      <c r="W48" s="953"/>
      <c r="X48" s="953"/>
      <c r="Y48" s="991"/>
    </row>
    <row r="49" spans="1:25" ht="15.75" customHeight="1">
      <c r="A49" s="991"/>
      <c r="B49" s="1243"/>
      <c r="C49" s="953"/>
      <c r="D49" s="847">
        <v>0</v>
      </c>
      <c r="E49" s="953"/>
      <c r="F49" s="953"/>
      <c r="G49" s="847">
        <v>0</v>
      </c>
      <c r="H49" s="953"/>
      <c r="I49" s="847">
        <v>0</v>
      </c>
      <c r="J49" s="953"/>
      <c r="K49" s="953"/>
      <c r="L49" s="953"/>
      <c r="M49" s="847">
        <v>0</v>
      </c>
      <c r="N49" s="953"/>
      <c r="O49" s="953"/>
      <c r="P49" s="953"/>
      <c r="Q49" s="847">
        <v>0</v>
      </c>
      <c r="R49" s="953"/>
      <c r="S49" s="953"/>
      <c r="T49" s="953"/>
      <c r="U49" s="847">
        <v>0</v>
      </c>
      <c r="V49" s="953"/>
      <c r="W49" s="953"/>
      <c r="X49" s="953"/>
      <c r="Y49" s="991"/>
    </row>
    <row r="50" spans="1:25" ht="15.75" customHeight="1">
      <c r="A50" s="991"/>
      <c r="B50" s="1243"/>
      <c r="C50" s="953"/>
      <c r="D50" s="847">
        <v>0</v>
      </c>
      <c r="E50" s="953"/>
      <c r="F50" s="953"/>
      <c r="G50" s="847">
        <v>0</v>
      </c>
      <c r="H50" s="953"/>
      <c r="I50" s="847">
        <v>0</v>
      </c>
      <c r="J50" s="953"/>
      <c r="K50" s="953"/>
      <c r="L50" s="953"/>
      <c r="M50" s="847">
        <v>0</v>
      </c>
      <c r="N50" s="953"/>
      <c r="O50" s="953"/>
      <c r="P50" s="953"/>
      <c r="Q50" s="847">
        <v>0</v>
      </c>
      <c r="R50" s="953"/>
      <c r="S50" s="953"/>
      <c r="T50" s="953"/>
      <c r="U50" s="847">
        <v>0</v>
      </c>
      <c r="V50" s="953"/>
      <c r="W50" s="953"/>
      <c r="X50" s="953"/>
      <c r="Y50" s="991"/>
    </row>
    <row r="51" spans="1:25" ht="15.75" customHeight="1">
      <c r="A51" s="991"/>
      <c r="B51" s="1243"/>
      <c r="C51" s="953"/>
      <c r="D51" s="847">
        <v>0</v>
      </c>
      <c r="E51" s="953"/>
      <c r="F51" s="953"/>
      <c r="G51" s="847">
        <v>0</v>
      </c>
      <c r="H51" s="953"/>
      <c r="I51" s="847">
        <v>0</v>
      </c>
      <c r="J51" s="953"/>
      <c r="K51" s="953"/>
      <c r="L51" s="953"/>
      <c r="M51" s="847">
        <v>0</v>
      </c>
      <c r="N51" s="953"/>
      <c r="O51" s="953"/>
      <c r="P51" s="953"/>
      <c r="Q51" s="847">
        <v>0</v>
      </c>
      <c r="R51" s="953"/>
      <c r="S51" s="953"/>
      <c r="T51" s="953"/>
      <c r="U51" s="847">
        <v>0</v>
      </c>
      <c r="V51" s="953"/>
      <c r="W51" s="953"/>
      <c r="X51" s="953"/>
      <c r="Y51" s="991"/>
    </row>
    <row r="52" spans="1:25" ht="15.75" customHeight="1">
      <c r="A52" s="991"/>
      <c r="B52" s="1243"/>
      <c r="C52" s="953"/>
      <c r="D52" s="847">
        <v>0</v>
      </c>
      <c r="E52" s="953"/>
      <c r="F52" s="953"/>
      <c r="G52" s="847">
        <v>0</v>
      </c>
      <c r="H52" s="953"/>
      <c r="I52" s="847">
        <v>0</v>
      </c>
      <c r="J52" s="953"/>
      <c r="K52" s="953"/>
      <c r="L52" s="953"/>
      <c r="M52" s="847">
        <v>0</v>
      </c>
      <c r="N52" s="953"/>
      <c r="O52" s="953"/>
      <c r="P52" s="953"/>
      <c r="Q52" s="847">
        <v>0</v>
      </c>
      <c r="R52" s="953"/>
      <c r="S52" s="953"/>
      <c r="T52" s="953"/>
      <c r="U52" s="847">
        <v>0</v>
      </c>
      <c r="V52" s="953"/>
      <c r="W52" s="953"/>
      <c r="X52" s="953"/>
      <c r="Y52" s="991"/>
    </row>
    <row r="53" spans="1:25" ht="15.75" customHeight="1">
      <c r="A53" s="991"/>
      <c r="B53" s="1243"/>
      <c r="C53" s="953"/>
      <c r="D53" s="847">
        <v>0</v>
      </c>
      <c r="E53" s="953"/>
      <c r="F53" s="953"/>
      <c r="G53" s="847">
        <v>0</v>
      </c>
      <c r="H53" s="953"/>
      <c r="I53" s="847">
        <v>0</v>
      </c>
      <c r="J53" s="953"/>
      <c r="K53" s="953"/>
      <c r="L53" s="953"/>
      <c r="M53" s="847">
        <v>0</v>
      </c>
      <c r="N53" s="953"/>
      <c r="O53" s="953"/>
      <c r="P53" s="953"/>
      <c r="Q53" s="847">
        <v>0</v>
      </c>
      <c r="R53" s="953"/>
      <c r="S53" s="953"/>
      <c r="T53" s="953"/>
      <c r="U53" s="847">
        <v>0</v>
      </c>
      <c r="V53" s="953"/>
      <c r="W53" s="953"/>
      <c r="X53" s="953"/>
      <c r="Y53" s="991"/>
    </row>
    <row r="54" spans="1:25" ht="15.75" customHeight="1">
      <c r="A54" s="991"/>
      <c r="B54" s="1243"/>
      <c r="C54" s="953"/>
      <c r="D54" s="847">
        <v>0</v>
      </c>
      <c r="E54" s="953"/>
      <c r="F54" s="953"/>
      <c r="G54" s="847">
        <v>0</v>
      </c>
      <c r="H54" s="953"/>
      <c r="I54" s="847">
        <v>0</v>
      </c>
      <c r="J54" s="953"/>
      <c r="K54" s="953"/>
      <c r="L54" s="953"/>
      <c r="M54" s="847">
        <v>0</v>
      </c>
      <c r="N54" s="953"/>
      <c r="O54" s="953"/>
      <c r="P54" s="953"/>
      <c r="Q54" s="847">
        <v>0</v>
      </c>
      <c r="R54" s="953"/>
      <c r="S54" s="953"/>
      <c r="T54" s="953"/>
      <c r="U54" s="847">
        <v>0</v>
      </c>
      <c r="V54" s="953"/>
      <c r="W54" s="953"/>
      <c r="X54" s="953"/>
      <c r="Y54" s="991"/>
    </row>
    <row r="55" spans="1:25" ht="15.75" customHeight="1">
      <c r="A55" s="991"/>
      <c r="B55" s="1243"/>
      <c r="C55" s="953"/>
      <c r="D55" s="847">
        <v>0</v>
      </c>
      <c r="E55" s="953"/>
      <c r="F55" s="953"/>
      <c r="G55" s="847">
        <v>0</v>
      </c>
      <c r="H55" s="953"/>
      <c r="I55" s="847">
        <v>0</v>
      </c>
      <c r="J55" s="953"/>
      <c r="K55" s="953"/>
      <c r="L55" s="953"/>
      <c r="M55" s="847">
        <v>0</v>
      </c>
      <c r="N55" s="953"/>
      <c r="O55" s="953"/>
      <c r="P55" s="953"/>
      <c r="Q55" s="847">
        <v>0</v>
      </c>
      <c r="R55" s="953"/>
      <c r="S55" s="953"/>
      <c r="T55" s="953"/>
      <c r="U55" s="847">
        <v>0</v>
      </c>
      <c r="V55" s="953"/>
      <c r="W55" s="953"/>
      <c r="X55" s="953"/>
      <c r="Y55" s="991"/>
    </row>
    <row r="56" spans="1:25" ht="15.75" customHeight="1">
      <c r="A56" s="991"/>
      <c r="B56" s="1243"/>
      <c r="C56" s="953"/>
      <c r="D56" s="847">
        <v>0</v>
      </c>
      <c r="E56" s="953"/>
      <c r="F56" s="953"/>
      <c r="G56" s="847">
        <v>0</v>
      </c>
      <c r="H56" s="953"/>
      <c r="I56" s="847">
        <v>0</v>
      </c>
      <c r="J56" s="953"/>
      <c r="K56" s="953"/>
      <c r="L56" s="953"/>
      <c r="M56" s="847">
        <v>0</v>
      </c>
      <c r="N56" s="953"/>
      <c r="O56" s="953"/>
      <c r="P56" s="953"/>
      <c r="Q56" s="847">
        <v>0</v>
      </c>
      <c r="R56" s="953"/>
      <c r="S56" s="953"/>
      <c r="T56" s="953"/>
      <c r="U56" s="847">
        <v>0</v>
      </c>
      <c r="V56" s="953"/>
      <c r="W56" s="953"/>
      <c r="X56" s="953"/>
      <c r="Y56" s="991"/>
    </row>
    <row r="57" spans="1:25" ht="15.75" customHeight="1">
      <c r="A57" s="991"/>
      <c r="B57" s="1243"/>
      <c r="C57" s="953"/>
      <c r="D57" s="847">
        <v>0</v>
      </c>
      <c r="E57" s="953"/>
      <c r="F57" s="953"/>
      <c r="G57" s="847">
        <v>0</v>
      </c>
      <c r="H57" s="953"/>
      <c r="I57" s="847">
        <v>0</v>
      </c>
      <c r="J57" s="953"/>
      <c r="K57" s="953"/>
      <c r="L57" s="953"/>
      <c r="M57" s="847">
        <v>0</v>
      </c>
      <c r="N57" s="953"/>
      <c r="O57" s="953"/>
      <c r="P57" s="953"/>
      <c r="Q57" s="847">
        <v>0</v>
      </c>
      <c r="R57" s="953"/>
      <c r="S57" s="953"/>
      <c r="T57" s="953"/>
      <c r="U57" s="847">
        <v>0</v>
      </c>
      <c r="V57" s="953"/>
      <c r="W57" s="953"/>
      <c r="X57" s="953"/>
      <c r="Y57" s="991"/>
    </row>
    <row r="58" spans="1:25" ht="15.75" customHeight="1">
      <c r="A58" s="991"/>
      <c r="B58" s="1243"/>
      <c r="C58" s="953"/>
      <c r="D58" s="847">
        <v>0</v>
      </c>
      <c r="E58" s="953"/>
      <c r="F58" s="953"/>
      <c r="G58" s="847">
        <v>0</v>
      </c>
      <c r="H58" s="953"/>
      <c r="I58" s="847">
        <v>0</v>
      </c>
      <c r="J58" s="953"/>
      <c r="K58" s="953"/>
      <c r="L58" s="953"/>
      <c r="M58" s="847">
        <v>0</v>
      </c>
      <c r="N58" s="953"/>
      <c r="O58" s="953"/>
      <c r="P58" s="953"/>
      <c r="Q58" s="847">
        <v>0</v>
      </c>
      <c r="R58" s="953"/>
      <c r="S58" s="953"/>
      <c r="T58" s="953"/>
      <c r="U58" s="847">
        <v>0</v>
      </c>
      <c r="V58" s="953"/>
      <c r="W58" s="953"/>
      <c r="X58" s="953"/>
      <c r="Y58" s="991"/>
    </row>
    <row r="59" spans="1:25" ht="15.75" customHeight="1">
      <c r="A59" s="991"/>
      <c r="B59" s="1243"/>
      <c r="C59" s="953" t="s">
        <v>343</v>
      </c>
      <c r="D59" s="953"/>
      <c r="E59" s="953"/>
      <c r="F59" s="953"/>
      <c r="G59" s="847">
        <v>0</v>
      </c>
      <c r="H59" s="953"/>
      <c r="I59" s="953"/>
      <c r="J59" s="953"/>
      <c r="K59" s="953"/>
      <c r="L59" s="953"/>
      <c r="M59" s="953"/>
      <c r="N59" s="953"/>
      <c r="O59" s="953"/>
      <c r="P59" s="953"/>
      <c r="Q59" s="953"/>
      <c r="R59" s="953"/>
      <c r="S59" s="953"/>
      <c r="T59" s="953"/>
      <c r="U59" s="953"/>
      <c r="V59" s="953"/>
      <c r="W59" s="953"/>
      <c r="X59" s="953"/>
      <c r="Y59" s="991"/>
    </row>
    <row r="60" spans="1:25" ht="15.75" customHeight="1">
      <c r="A60" s="991"/>
      <c r="B60" s="991"/>
      <c r="C60" s="991"/>
      <c r="D60" s="991"/>
      <c r="E60" s="991"/>
      <c r="F60" s="991"/>
      <c r="G60" s="991"/>
      <c r="H60" s="991"/>
      <c r="I60" s="991"/>
      <c r="J60" s="991"/>
      <c r="K60" s="991"/>
      <c r="L60" s="991"/>
      <c r="M60" s="991"/>
      <c r="N60" s="991"/>
      <c r="O60" s="991"/>
      <c r="P60" s="991"/>
      <c r="Q60" s="991"/>
      <c r="R60" s="991"/>
      <c r="S60" s="991"/>
      <c r="T60" s="991"/>
      <c r="U60" s="991"/>
      <c r="V60" s="991"/>
      <c r="W60" s="991"/>
      <c r="X60" s="991"/>
      <c r="Y60" s="991"/>
    </row>
    <row r="61" spans="1:25" ht="15">
      <c r="A61" s="991"/>
      <c r="B61" s="1598" t="s">
        <v>344</v>
      </c>
      <c r="C61" s="1443"/>
      <c r="D61" s="952"/>
      <c r="E61" s="952"/>
      <c r="F61" s="952"/>
      <c r="G61" s="952"/>
      <c r="H61" s="952"/>
      <c r="I61" s="952"/>
      <c r="J61" s="952"/>
      <c r="K61" s="952"/>
      <c r="L61" s="952"/>
      <c r="M61" s="952"/>
      <c r="N61" s="952"/>
      <c r="O61" s="952"/>
      <c r="P61" s="952"/>
      <c r="Q61" s="952"/>
      <c r="R61" s="952"/>
      <c r="S61" s="952"/>
      <c r="T61" s="952"/>
      <c r="U61" s="952"/>
      <c r="V61" s="952"/>
      <c r="W61" s="952"/>
      <c r="X61" s="952"/>
      <c r="Y61" s="991"/>
    </row>
    <row r="62" spans="1:25" ht="15">
      <c r="A62" s="991"/>
      <c r="B62" s="1243"/>
      <c r="C62" s="953"/>
      <c r="D62" s="847">
        <v>0</v>
      </c>
      <c r="E62" s="953"/>
      <c r="F62" s="953"/>
      <c r="G62" s="847">
        <v>0</v>
      </c>
      <c r="H62" s="953"/>
      <c r="I62" s="847">
        <v>0</v>
      </c>
      <c r="J62" s="953"/>
      <c r="K62" s="953"/>
      <c r="L62" s="953"/>
      <c r="M62" s="847">
        <v>0</v>
      </c>
      <c r="N62" s="953"/>
      <c r="O62" s="953"/>
      <c r="P62" s="953"/>
      <c r="Q62" s="847">
        <v>0</v>
      </c>
      <c r="R62" s="953"/>
      <c r="S62" s="953"/>
      <c r="T62" s="953"/>
      <c r="U62" s="847">
        <v>0</v>
      </c>
      <c r="V62" s="953"/>
      <c r="W62" s="953"/>
      <c r="X62" s="953"/>
      <c r="Y62" s="991"/>
    </row>
    <row r="63" spans="1:25" ht="15">
      <c r="A63" s="991"/>
      <c r="B63" s="1243"/>
      <c r="C63" s="953"/>
      <c r="D63" s="847">
        <v>0</v>
      </c>
      <c r="E63" s="953"/>
      <c r="F63" s="953"/>
      <c r="G63" s="847">
        <v>0</v>
      </c>
      <c r="H63" s="953"/>
      <c r="I63" s="847">
        <v>0</v>
      </c>
      <c r="J63" s="953"/>
      <c r="K63" s="953"/>
      <c r="L63" s="953"/>
      <c r="M63" s="847">
        <v>0</v>
      </c>
      <c r="N63" s="953"/>
      <c r="O63" s="953"/>
      <c r="P63" s="953"/>
      <c r="Q63" s="847">
        <v>0</v>
      </c>
      <c r="R63" s="953"/>
      <c r="S63" s="953"/>
      <c r="T63" s="953"/>
      <c r="U63" s="847">
        <v>0</v>
      </c>
      <c r="V63" s="953"/>
      <c r="W63" s="953"/>
      <c r="X63" s="953"/>
      <c r="Y63" s="991"/>
    </row>
    <row r="64" spans="1:25" ht="15">
      <c r="A64" s="991"/>
      <c r="B64" s="1243"/>
      <c r="C64" s="953"/>
      <c r="D64" s="847">
        <v>0</v>
      </c>
      <c r="E64" s="953"/>
      <c r="F64" s="953"/>
      <c r="G64" s="847">
        <v>0</v>
      </c>
      <c r="H64" s="953"/>
      <c r="I64" s="847">
        <v>0</v>
      </c>
      <c r="J64" s="953"/>
      <c r="K64" s="953"/>
      <c r="L64" s="953"/>
      <c r="M64" s="847">
        <v>0</v>
      </c>
      <c r="N64" s="953"/>
      <c r="O64" s="953"/>
      <c r="P64" s="953"/>
      <c r="Q64" s="847">
        <v>0</v>
      </c>
      <c r="R64" s="953"/>
      <c r="S64" s="953"/>
      <c r="T64" s="953"/>
      <c r="U64" s="847">
        <v>0</v>
      </c>
      <c r="V64" s="953"/>
      <c r="W64" s="953"/>
      <c r="X64" s="953"/>
      <c r="Y64" s="991"/>
    </row>
    <row r="65" spans="1:25" ht="15">
      <c r="A65" s="991"/>
      <c r="B65" s="1243"/>
      <c r="C65" s="953"/>
      <c r="D65" s="847">
        <v>0</v>
      </c>
      <c r="E65" s="953"/>
      <c r="F65" s="953"/>
      <c r="G65" s="847">
        <v>0</v>
      </c>
      <c r="H65" s="953"/>
      <c r="I65" s="847">
        <v>0</v>
      </c>
      <c r="J65" s="953"/>
      <c r="K65" s="953"/>
      <c r="L65" s="953"/>
      <c r="M65" s="847">
        <v>0</v>
      </c>
      <c r="N65" s="953"/>
      <c r="O65" s="953"/>
      <c r="P65" s="953"/>
      <c r="Q65" s="847">
        <v>0</v>
      </c>
      <c r="R65" s="953"/>
      <c r="S65" s="953"/>
      <c r="T65" s="953"/>
      <c r="U65" s="847">
        <v>0</v>
      </c>
      <c r="V65" s="953"/>
      <c r="W65" s="953"/>
      <c r="X65" s="953"/>
      <c r="Y65" s="991"/>
    </row>
    <row r="66" spans="1:25" ht="15">
      <c r="A66" s="991"/>
      <c r="B66" s="1243"/>
      <c r="C66" s="953"/>
      <c r="D66" s="847">
        <v>0</v>
      </c>
      <c r="E66" s="953"/>
      <c r="F66" s="953"/>
      <c r="G66" s="847">
        <v>0</v>
      </c>
      <c r="H66" s="953"/>
      <c r="I66" s="847">
        <v>0</v>
      </c>
      <c r="J66" s="953"/>
      <c r="K66" s="953"/>
      <c r="L66" s="953"/>
      <c r="M66" s="847">
        <v>0</v>
      </c>
      <c r="N66" s="953"/>
      <c r="O66" s="953"/>
      <c r="P66" s="953"/>
      <c r="Q66" s="847">
        <v>0</v>
      </c>
      <c r="R66" s="953"/>
      <c r="S66" s="953"/>
      <c r="T66" s="953"/>
      <c r="U66" s="847">
        <v>0</v>
      </c>
      <c r="V66" s="953"/>
      <c r="W66" s="953"/>
      <c r="X66" s="953"/>
      <c r="Y66" s="991"/>
    </row>
    <row r="67" spans="1:25" ht="15">
      <c r="A67" s="991"/>
      <c r="B67" s="1243"/>
      <c r="C67" s="953"/>
      <c r="D67" s="847">
        <v>0</v>
      </c>
      <c r="E67" s="953"/>
      <c r="F67" s="953"/>
      <c r="G67" s="847">
        <v>0</v>
      </c>
      <c r="H67" s="953"/>
      <c r="I67" s="847">
        <v>0</v>
      </c>
      <c r="J67" s="953"/>
      <c r="K67" s="953"/>
      <c r="L67" s="953"/>
      <c r="M67" s="847">
        <v>0</v>
      </c>
      <c r="N67" s="953"/>
      <c r="O67" s="953"/>
      <c r="P67" s="953"/>
      <c r="Q67" s="847">
        <v>0</v>
      </c>
      <c r="R67" s="953"/>
      <c r="S67" s="953"/>
      <c r="T67" s="953"/>
      <c r="U67" s="847">
        <v>0</v>
      </c>
      <c r="V67" s="953"/>
      <c r="W67" s="953"/>
      <c r="X67" s="953"/>
      <c r="Y67" s="991"/>
    </row>
    <row r="68" spans="1:25" ht="15">
      <c r="A68" s="991"/>
      <c r="B68" s="1243"/>
      <c r="C68" s="953"/>
      <c r="D68" s="847">
        <v>0</v>
      </c>
      <c r="E68" s="953"/>
      <c r="F68" s="953"/>
      <c r="G68" s="847">
        <v>0</v>
      </c>
      <c r="H68" s="953"/>
      <c r="I68" s="847">
        <v>0</v>
      </c>
      <c r="J68" s="953"/>
      <c r="K68" s="953"/>
      <c r="L68" s="953"/>
      <c r="M68" s="847">
        <v>0</v>
      </c>
      <c r="N68" s="953"/>
      <c r="O68" s="953"/>
      <c r="P68" s="953"/>
      <c r="Q68" s="847">
        <v>0</v>
      </c>
      <c r="R68" s="953"/>
      <c r="S68" s="953"/>
      <c r="T68" s="953"/>
      <c r="U68" s="847">
        <v>0</v>
      </c>
      <c r="V68" s="953"/>
      <c r="W68" s="953"/>
      <c r="X68" s="953"/>
      <c r="Y68" s="991"/>
    </row>
    <row r="69" spans="1:25" ht="15">
      <c r="A69" s="991"/>
      <c r="B69" s="1243"/>
      <c r="C69" s="953"/>
      <c r="D69" s="847">
        <v>0</v>
      </c>
      <c r="E69" s="953"/>
      <c r="F69" s="953"/>
      <c r="G69" s="847">
        <v>0</v>
      </c>
      <c r="H69" s="953"/>
      <c r="I69" s="847">
        <v>0</v>
      </c>
      <c r="J69" s="953"/>
      <c r="K69" s="953"/>
      <c r="L69" s="953"/>
      <c r="M69" s="847">
        <v>0</v>
      </c>
      <c r="N69" s="953"/>
      <c r="O69" s="953"/>
      <c r="P69" s="953"/>
      <c r="Q69" s="847">
        <v>0</v>
      </c>
      <c r="R69" s="953"/>
      <c r="S69" s="953"/>
      <c r="T69" s="953"/>
      <c r="U69" s="847">
        <v>0</v>
      </c>
      <c r="V69" s="953"/>
      <c r="W69" s="953"/>
      <c r="X69" s="953"/>
      <c r="Y69" s="991"/>
    </row>
    <row r="70" spans="1:25" ht="15">
      <c r="A70" s="991"/>
      <c r="B70" s="1243"/>
      <c r="C70" s="953"/>
      <c r="D70" s="847">
        <v>0</v>
      </c>
      <c r="E70" s="953"/>
      <c r="F70" s="953"/>
      <c r="G70" s="847">
        <v>0</v>
      </c>
      <c r="H70" s="953"/>
      <c r="I70" s="847">
        <v>0</v>
      </c>
      <c r="J70" s="953"/>
      <c r="K70" s="953"/>
      <c r="L70" s="953"/>
      <c r="M70" s="847">
        <v>0</v>
      </c>
      <c r="N70" s="953"/>
      <c r="O70" s="953"/>
      <c r="P70" s="953"/>
      <c r="Q70" s="847">
        <v>0</v>
      </c>
      <c r="R70" s="953"/>
      <c r="S70" s="953"/>
      <c r="T70" s="953"/>
      <c r="U70" s="847">
        <v>0</v>
      </c>
      <c r="V70" s="953"/>
      <c r="W70" s="953"/>
      <c r="X70" s="953"/>
      <c r="Y70" s="991"/>
    </row>
    <row r="71" spans="1:25" ht="15">
      <c r="A71" s="991"/>
      <c r="B71" s="1243"/>
      <c r="C71" s="953"/>
      <c r="D71" s="847">
        <v>0</v>
      </c>
      <c r="E71" s="953"/>
      <c r="F71" s="953"/>
      <c r="G71" s="847">
        <v>0</v>
      </c>
      <c r="H71" s="953"/>
      <c r="I71" s="847">
        <v>0</v>
      </c>
      <c r="J71" s="953"/>
      <c r="K71" s="953"/>
      <c r="L71" s="953"/>
      <c r="M71" s="847">
        <v>0</v>
      </c>
      <c r="N71" s="953"/>
      <c r="O71" s="953"/>
      <c r="P71" s="953"/>
      <c r="Q71" s="847">
        <v>0</v>
      </c>
      <c r="R71" s="953"/>
      <c r="S71" s="953"/>
      <c r="T71" s="953"/>
      <c r="U71" s="847">
        <v>0</v>
      </c>
      <c r="V71" s="953"/>
      <c r="W71" s="953"/>
      <c r="X71" s="953"/>
      <c r="Y71" s="991"/>
    </row>
    <row r="72" spans="1:25" ht="15">
      <c r="A72" s="991"/>
      <c r="B72" s="1243"/>
      <c r="C72" s="953" t="s">
        <v>343</v>
      </c>
      <c r="D72" s="953"/>
      <c r="E72" s="953"/>
      <c r="F72" s="953"/>
      <c r="G72" s="847">
        <v>0</v>
      </c>
      <c r="H72" s="953"/>
      <c r="I72" s="953"/>
      <c r="J72" s="953"/>
      <c r="K72" s="953"/>
      <c r="L72" s="953"/>
      <c r="M72" s="953"/>
      <c r="N72" s="953"/>
      <c r="O72" s="953"/>
      <c r="P72" s="953"/>
      <c r="Q72" s="953"/>
      <c r="R72" s="953"/>
      <c r="S72" s="953"/>
      <c r="T72" s="953"/>
      <c r="U72" s="953"/>
      <c r="V72" s="953"/>
      <c r="W72" s="953"/>
      <c r="X72" s="953"/>
      <c r="Y72" s="991"/>
    </row>
    <row r="73" spans="1:25" ht="15">
      <c r="A73" s="991"/>
      <c r="B73" s="991"/>
      <c r="C73" s="991"/>
      <c r="D73" s="991"/>
      <c r="E73" s="991"/>
      <c r="F73" s="991"/>
      <c r="G73" s="991"/>
      <c r="H73" s="991"/>
      <c r="I73" s="991"/>
      <c r="J73" s="991"/>
      <c r="K73" s="991"/>
      <c r="L73" s="991"/>
      <c r="M73" s="991"/>
      <c r="N73" s="991"/>
      <c r="O73" s="991"/>
      <c r="P73" s="991"/>
      <c r="Q73" s="991"/>
      <c r="R73" s="991"/>
      <c r="S73" s="991"/>
      <c r="T73" s="991"/>
      <c r="U73" s="991"/>
      <c r="V73" s="991"/>
      <c r="W73" s="991"/>
      <c r="X73" s="991"/>
      <c r="Y73" s="991"/>
    </row>
    <row r="74" spans="1:25" ht="15">
      <c r="A74" s="991"/>
      <c r="B74" s="991"/>
      <c r="C74" s="991" t="s">
        <v>345</v>
      </c>
      <c r="D74" s="991"/>
      <c r="E74" s="991"/>
      <c r="F74" s="991"/>
      <c r="G74" s="1045">
        <v>0</v>
      </c>
      <c r="H74" s="991"/>
      <c r="I74" s="991"/>
      <c r="J74" s="991"/>
      <c r="K74" s="991"/>
      <c r="L74" s="991"/>
      <c r="M74" s="991"/>
      <c r="N74" s="991"/>
      <c r="O74" s="991"/>
      <c r="P74" s="991"/>
      <c r="Q74" s="991"/>
      <c r="R74" s="991"/>
      <c r="S74" s="991"/>
      <c r="T74" s="991"/>
      <c r="U74" s="991"/>
      <c r="V74" s="991"/>
      <c r="W74" s="991"/>
      <c r="X74" s="991"/>
      <c r="Y74" s="991"/>
    </row>
    <row r="75" spans="1:25" ht="15">
      <c r="A75" s="991"/>
      <c r="B75" s="991"/>
      <c r="C75" s="991"/>
      <c r="D75" s="991"/>
      <c r="E75" s="991"/>
      <c r="F75" s="991"/>
      <c r="G75" s="991"/>
      <c r="H75" s="991"/>
      <c r="I75" s="991"/>
      <c r="J75" s="991"/>
      <c r="K75" s="991"/>
      <c r="L75" s="991"/>
      <c r="M75" s="991"/>
      <c r="N75" s="991"/>
      <c r="O75" s="991"/>
      <c r="P75" s="991"/>
      <c r="Q75" s="991"/>
      <c r="R75" s="991"/>
      <c r="S75" s="991"/>
      <c r="T75" s="991"/>
      <c r="U75" s="991"/>
      <c r="V75" s="991"/>
      <c r="W75" s="991"/>
      <c r="X75" s="991"/>
      <c r="Y75" s="991"/>
    </row>
    <row r="76" spans="1:25" ht="15">
      <c r="A76" s="991"/>
      <c r="B76" s="991"/>
      <c r="C76" s="991"/>
      <c r="D76" s="991"/>
      <c r="E76" s="991"/>
      <c r="F76" s="991"/>
      <c r="G76" s="991"/>
      <c r="H76" s="991"/>
      <c r="I76" s="991"/>
      <c r="J76" s="991"/>
      <c r="K76" s="991"/>
      <c r="L76" s="991"/>
      <c r="M76" s="991"/>
      <c r="N76" s="991"/>
      <c r="O76" s="991"/>
      <c r="P76" s="991"/>
      <c r="Q76" s="991"/>
      <c r="R76" s="991"/>
      <c r="S76" s="991"/>
      <c r="T76" s="991"/>
      <c r="U76" s="991"/>
      <c r="V76" s="991"/>
      <c r="W76" s="991"/>
      <c r="X76" s="991"/>
      <c r="Y76" s="991"/>
    </row>
    <row r="77" spans="1:25" ht="15">
      <c r="A77" s="991"/>
      <c r="B77" s="1495" t="s">
        <v>346</v>
      </c>
      <c r="C77" s="1451"/>
      <c r="D77" s="991"/>
      <c r="E77" s="991"/>
      <c r="F77" s="991"/>
      <c r="G77" s="1495" t="s">
        <v>347</v>
      </c>
      <c r="H77" s="1451"/>
      <c r="I77" s="991"/>
      <c r="J77" s="991"/>
      <c r="K77" s="991"/>
      <c r="L77" s="991"/>
      <c r="M77" s="991"/>
      <c r="N77" s="991"/>
      <c r="O77" s="991"/>
      <c r="P77" s="1495" t="s">
        <v>348</v>
      </c>
      <c r="Q77" s="1451"/>
      <c r="R77" s="991"/>
      <c r="S77" s="991"/>
      <c r="T77" s="991"/>
      <c r="U77" s="991"/>
      <c r="V77" s="991"/>
      <c r="W77" s="991"/>
      <c r="X77" s="991"/>
      <c r="Y77" s="991"/>
    </row>
    <row r="78" spans="1:25" ht="15">
      <c r="A78" s="991"/>
      <c r="B78" s="991"/>
      <c r="C78" s="991"/>
      <c r="D78" s="991"/>
      <c r="E78" s="991"/>
      <c r="F78" s="991"/>
      <c r="G78" s="991"/>
      <c r="H78" s="991"/>
      <c r="I78" s="991"/>
      <c r="J78" s="991"/>
      <c r="K78" s="991"/>
      <c r="L78" s="991"/>
      <c r="M78" s="991"/>
      <c r="N78" s="991"/>
      <c r="O78" s="991"/>
      <c r="P78" s="991"/>
      <c r="Q78" s="991"/>
      <c r="R78" s="991"/>
      <c r="S78" s="991"/>
      <c r="T78" s="991"/>
      <c r="U78" s="991"/>
      <c r="V78" s="991"/>
      <c r="W78" s="991"/>
      <c r="X78" s="991"/>
      <c r="Y78" s="991"/>
    </row>
    <row r="79" spans="1:25" ht="15">
      <c r="A79" s="991"/>
      <c r="B79" s="991"/>
      <c r="C79" s="991"/>
      <c r="D79" s="991"/>
      <c r="E79" s="991"/>
      <c r="F79" s="991"/>
      <c r="G79" s="991"/>
      <c r="H79" s="991"/>
      <c r="I79" s="991"/>
      <c r="J79" s="991"/>
      <c r="K79" s="991"/>
      <c r="L79" s="991"/>
      <c r="M79" s="991"/>
      <c r="N79" s="991"/>
      <c r="O79" s="991"/>
      <c r="P79" s="991"/>
      <c r="Q79" s="991"/>
      <c r="R79" s="991"/>
      <c r="S79" s="991"/>
      <c r="T79" s="991"/>
      <c r="U79" s="991"/>
      <c r="V79" s="991"/>
      <c r="W79" s="991"/>
      <c r="X79" s="991"/>
      <c r="Y79" s="991"/>
    </row>
    <row r="80" spans="1:25">
      <c r="A80" s="991"/>
      <c r="B80" s="1499" t="s">
        <v>4445</v>
      </c>
      <c r="C80" s="1451"/>
      <c r="D80" s="991"/>
      <c r="E80" s="991"/>
      <c r="F80" s="991"/>
      <c r="G80" s="1499" t="s">
        <v>4445</v>
      </c>
      <c r="H80" s="1451"/>
      <c r="I80" s="991"/>
      <c r="J80" s="991"/>
      <c r="K80" s="991"/>
      <c r="L80" s="991"/>
      <c r="M80" s="991"/>
      <c r="N80" s="991"/>
      <c r="O80" s="991"/>
      <c r="P80" s="1499" t="s">
        <v>350</v>
      </c>
      <c r="Q80" s="1451"/>
      <c r="R80" s="1451"/>
      <c r="S80" s="1451"/>
      <c r="T80" s="1451"/>
      <c r="U80" s="991"/>
      <c r="V80" s="991"/>
      <c r="W80" s="991"/>
      <c r="X80" s="991"/>
      <c r="Y80" s="991"/>
    </row>
    <row r="81" spans="1:25" ht="15">
      <c r="A81" s="991"/>
      <c r="B81" s="1495" t="s">
        <v>4445</v>
      </c>
      <c r="C81" s="1451"/>
      <c r="D81" s="991"/>
      <c r="E81" s="991"/>
      <c r="F81" s="991"/>
      <c r="G81" s="1495" t="s">
        <v>4445</v>
      </c>
      <c r="H81" s="1451"/>
      <c r="I81" s="991"/>
      <c r="J81" s="991"/>
      <c r="K81" s="991"/>
      <c r="L81" s="991"/>
      <c r="M81" s="991"/>
      <c r="N81" s="991"/>
      <c r="O81" s="991"/>
      <c r="P81" s="1495" t="s">
        <v>353</v>
      </c>
      <c r="Q81" s="1451"/>
      <c r="R81" s="1451"/>
      <c r="S81" s="1451"/>
      <c r="T81" s="991"/>
      <c r="U81" s="991"/>
      <c r="V81" s="991"/>
      <c r="W81" s="991"/>
      <c r="X81" s="991"/>
      <c r="Y81" s="991"/>
    </row>
  </sheetData>
  <mergeCells count="23">
    <mergeCell ref="I15:X15"/>
    <mergeCell ref="F2:P7"/>
    <mergeCell ref="B8:X8"/>
    <mergeCell ref="B10:C10"/>
    <mergeCell ref="B11:C11"/>
    <mergeCell ref="B12:C12"/>
    <mergeCell ref="P77:Q77"/>
    <mergeCell ref="G80:H80"/>
    <mergeCell ref="P80:T80"/>
    <mergeCell ref="G81:H81"/>
    <mergeCell ref="P81:S81"/>
    <mergeCell ref="B80:C80"/>
    <mergeCell ref="B81:C81"/>
    <mergeCell ref="G15:G16"/>
    <mergeCell ref="H15:H16"/>
    <mergeCell ref="G77:H77"/>
    <mergeCell ref="C15:C16"/>
    <mergeCell ref="D15:D16"/>
    <mergeCell ref="E15:E16"/>
    <mergeCell ref="F15:F16"/>
    <mergeCell ref="B17:C17"/>
    <mergeCell ref="B61:C61"/>
    <mergeCell ref="B77:C77"/>
  </mergeCell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G1009"/>
  <sheetViews>
    <sheetView workbookViewId="0"/>
  </sheetViews>
  <sheetFormatPr defaultColWidth="12.5703125" defaultRowHeight="15.75" customHeight="1"/>
  <cols>
    <col min="1" max="1" width="5.140625" customWidth="1"/>
    <col min="2" max="2" width="44.85546875" customWidth="1"/>
    <col min="3" max="3" width="7.5703125" customWidth="1"/>
    <col min="4" max="4" width="7.42578125" customWidth="1"/>
    <col min="5" max="5" width="45.85546875" customWidth="1"/>
    <col min="6" max="6" width="18.140625" customWidth="1"/>
  </cols>
  <sheetData>
    <row r="1" spans="1:7" ht="15.75" customHeight="1">
      <c r="B1" s="1090"/>
      <c r="C1" s="74"/>
      <c r="D1" s="74"/>
      <c r="E1" s="1090"/>
      <c r="F1" s="74"/>
    </row>
    <row r="2" spans="1:7" ht="12.75">
      <c r="A2" s="1256" t="s">
        <v>935</v>
      </c>
      <c r="B2" s="1168" t="s">
        <v>0</v>
      </c>
      <c r="C2" s="1168" t="s">
        <v>278</v>
      </c>
      <c r="D2" s="1168" t="s">
        <v>92</v>
      </c>
      <c r="E2" s="1168" t="s">
        <v>4446</v>
      </c>
      <c r="F2" s="1168" t="s">
        <v>2</v>
      </c>
      <c r="G2" s="1168" t="s">
        <v>940</v>
      </c>
    </row>
    <row r="3" spans="1:7" ht="15.75" customHeight="1">
      <c r="A3" s="1">
        <v>1</v>
      </c>
      <c r="B3" s="1257" t="s">
        <v>4447</v>
      </c>
      <c r="C3" s="74">
        <v>3</v>
      </c>
      <c r="D3" s="74" t="s">
        <v>103</v>
      </c>
      <c r="E3" s="1090" t="s">
        <v>4448</v>
      </c>
      <c r="F3" s="1258" t="s">
        <v>1</v>
      </c>
      <c r="G3" s="1" t="s">
        <v>4449</v>
      </c>
    </row>
    <row r="4" spans="1:7" ht="15.75" customHeight="1">
      <c r="A4" s="1">
        <v>2</v>
      </c>
      <c r="B4" s="1090" t="s">
        <v>4450</v>
      </c>
      <c r="C4" s="74">
        <v>2</v>
      </c>
      <c r="D4" s="74" t="s">
        <v>103</v>
      </c>
      <c r="E4" s="1090" t="s">
        <v>4451</v>
      </c>
      <c r="F4" s="1258" t="s">
        <v>1</v>
      </c>
      <c r="G4" s="1" t="s">
        <v>4449</v>
      </c>
    </row>
    <row r="5" spans="1:7" ht="15.75" customHeight="1">
      <c r="A5" s="1">
        <v>3</v>
      </c>
      <c r="B5" s="1259" t="s">
        <v>4452</v>
      </c>
      <c r="C5" s="74">
        <v>10</v>
      </c>
      <c r="D5" s="74" t="s">
        <v>103</v>
      </c>
      <c r="E5" s="1090" t="s">
        <v>4453</v>
      </c>
      <c r="F5" s="1258" t="s">
        <v>1</v>
      </c>
      <c r="G5" s="1" t="s">
        <v>4449</v>
      </c>
    </row>
    <row r="6" spans="1:7" ht="15.75" customHeight="1">
      <c r="A6" s="1">
        <v>4</v>
      </c>
      <c r="B6" s="1090" t="s">
        <v>106</v>
      </c>
      <c r="C6" s="74">
        <v>10</v>
      </c>
      <c r="D6" s="74" t="s">
        <v>103</v>
      </c>
      <c r="E6" s="1090" t="s">
        <v>4454</v>
      </c>
      <c r="F6" s="1258" t="s">
        <v>1</v>
      </c>
      <c r="G6" s="1" t="s">
        <v>4449</v>
      </c>
    </row>
    <row r="7" spans="1:7" ht="15.75" customHeight="1">
      <c r="A7" s="1">
        <v>6</v>
      </c>
      <c r="B7" s="1259" t="s">
        <v>4455</v>
      </c>
      <c r="C7" s="74">
        <v>5</v>
      </c>
      <c r="D7" s="74" t="s">
        <v>103</v>
      </c>
      <c r="E7" s="1090" t="s">
        <v>4453</v>
      </c>
      <c r="F7" s="1258" t="s">
        <v>1</v>
      </c>
      <c r="G7" s="1" t="s">
        <v>4449</v>
      </c>
    </row>
    <row r="8" spans="1:7" ht="15.75" customHeight="1">
      <c r="A8" s="1">
        <v>7</v>
      </c>
      <c r="B8" s="1257" t="s">
        <v>4456</v>
      </c>
      <c r="C8" s="74">
        <v>20</v>
      </c>
      <c r="D8" s="74" t="s">
        <v>103</v>
      </c>
      <c r="E8" s="1090" t="s">
        <v>4457</v>
      </c>
      <c r="F8" s="1258" t="s">
        <v>1</v>
      </c>
      <c r="G8" s="1" t="s">
        <v>4449</v>
      </c>
    </row>
    <row r="9" spans="1:7" ht="15.75" customHeight="1">
      <c r="A9" s="1">
        <v>10</v>
      </c>
      <c r="B9" s="1090" t="s">
        <v>362</v>
      </c>
      <c r="C9" s="74">
        <v>6</v>
      </c>
      <c r="D9" s="74" t="s">
        <v>103</v>
      </c>
      <c r="E9" s="1090" t="s">
        <v>4458</v>
      </c>
      <c r="F9" s="1258" t="s">
        <v>1</v>
      </c>
      <c r="G9" s="1" t="s">
        <v>4449</v>
      </c>
    </row>
    <row r="10" spans="1:7" ht="15.75" customHeight="1">
      <c r="A10" s="1">
        <v>11</v>
      </c>
      <c r="B10" s="1257" t="s">
        <v>4459</v>
      </c>
      <c r="C10" s="74">
        <v>50</v>
      </c>
      <c r="D10" s="74" t="s">
        <v>103</v>
      </c>
      <c r="E10" s="1090" t="s">
        <v>4460</v>
      </c>
      <c r="F10" s="1258" t="s">
        <v>1</v>
      </c>
      <c r="G10" s="1" t="s">
        <v>4449</v>
      </c>
    </row>
    <row r="11" spans="1:7" ht="15.75" customHeight="1">
      <c r="A11" s="1">
        <v>12</v>
      </c>
      <c r="B11" s="1259" t="s">
        <v>452</v>
      </c>
      <c r="C11" s="74">
        <v>10</v>
      </c>
      <c r="D11" s="74" t="s">
        <v>103</v>
      </c>
      <c r="E11" s="1090" t="s">
        <v>4453</v>
      </c>
      <c r="F11" s="1258" t="s">
        <v>1</v>
      </c>
      <c r="G11" s="1" t="s">
        <v>4449</v>
      </c>
    </row>
    <row r="12" spans="1:7" ht="15.75" customHeight="1">
      <c r="A12" s="1">
        <v>13</v>
      </c>
      <c r="B12" s="1257" t="s">
        <v>4461</v>
      </c>
      <c r="C12" s="74">
        <v>6</v>
      </c>
      <c r="D12" s="74" t="s">
        <v>103</v>
      </c>
      <c r="E12" s="1090" t="s">
        <v>4453</v>
      </c>
      <c r="F12" s="1258" t="s">
        <v>1</v>
      </c>
      <c r="G12" s="1" t="s">
        <v>4449</v>
      </c>
    </row>
    <row r="13" spans="1:7" ht="15.75" customHeight="1">
      <c r="A13" s="1">
        <v>14</v>
      </c>
      <c r="B13" s="1260" t="s">
        <v>4462</v>
      </c>
      <c r="C13" s="74">
        <v>20</v>
      </c>
      <c r="D13" s="74" t="s">
        <v>103</v>
      </c>
      <c r="E13" s="1090" t="s">
        <v>4453</v>
      </c>
      <c r="F13" s="1258" t="s">
        <v>1</v>
      </c>
      <c r="G13" s="1" t="s">
        <v>4449</v>
      </c>
    </row>
    <row r="14" spans="1:7" ht="15.75" customHeight="1">
      <c r="A14" s="1">
        <v>15</v>
      </c>
      <c r="B14" s="1090" t="s">
        <v>4463</v>
      </c>
      <c r="C14" s="74">
        <v>10</v>
      </c>
      <c r="D14" s="74" t="s">
        <v>103</v>
      </c>
      <c r="E14" s="1090" t="s">
        <v>4464</v>
      </c>
      <c r="F14" s="1258" t="s">
        <v>1</v>
      </c>
      <c r="G14" s="1" t="s">
        <v>4449</v>
      </c>
    </row>
    <row r="15" spans="1:7" ht="15.75" customHeight="1">
      <c r="A15" s="1">
        <v>16</v>
      </c>
      <c r="B15" s="1090" t="s">
        <v>4465</v>
      </c>
      <c r="C15" s="74">
        <v>10</v>
      </c>
      <c r="D15" s="74" t="s">
        <v>103</v>
      </c>
      <c r="E15" s="1090" t="s">
        <v>4466</v>
      </c>
      <c r="F15" s="1258" t="s">
        <v>1</v>
      </c>
      <c r="G15" s="1" t="s">
        <v>4449</v>
      </c>
    </row>
    <row r="16" spans="1:7" ht="15.75" customHeight="1">
      <c r="A16" s="1">
        <v>17</v>
      </c>
      <c r="B16" s="1257" t="s">
        <v>4467</v>
      </c>
      <c r="C16" s="74">
        <v>10</v>
      </c>
      <c r="D16" s="74" t="s">
        <v>103</v>
      </c>
      <c r="E16" s="1090" t="s">
        <v>4468</v>
      </c>
      <c r="F16" s="1258" t="s">
        <v>1</v>
      </c>
      <c r="G16" s="1" t="s">
        <v>4449</v>
      </c>
    </row>
    <row r="17" spans="1:7" ht="15.75" customHeight="1">
      <c r="A17" s="1">
        <v>18</v>
      </c>
      <c r="B17" s="1" t="s">
        <v>4469</v>
      </c>
      <c r="C17" s="74">
        <v>2</v>
      </c>
      <c r="D17" s="74" t="s">
        <v>103</v>
      </c>
      <c r="E17" s="1" t="s">
        <v>4470</v>
      </c>
      <c r="F17" s="1258" t="s">
        <v>1</v>
      </c>
      <c r="G17" s="1" t="s">
        <v>4449</v>
      </c>
    </row>
    <row r="18" spans="1:7" ht="15.75" customHeight="1">
      <c r="A18" s="1">
        <v>19</v>
      </c>
      <c r="B18" s="1257" t="s">
        <v>4471</v>
      </c>
      <c r="C18" s="74">
        <v>6</v>
      </c>
      <c r="D18" s="74" t="s">
        <v>103</v>
      </c>
      <c r="E18" s="1090" t="s">
        <v>4472</v>
      </c>
      <c r="F18" s="1258" t="s">
        <v>1</v>
      </c>
      <c r="G18" s="1" t="s">
        <v>4449</v>
      </c>
    </row>
    <row r="19" spans="1:7" ht="15.75" customHeight="1">
      <c r="A19" s="1">
        <v>20</v>
      </c>
      <c r="B19" s="1257" t="s">
        <v>4473</v>
      </c>
      <c r="C19" s="74">
        <v>5</v>
      </c>
      <c r="D19" s="74" t="s">
        <v>155</v>
      </c>
      <c r="E19" s="1090" t="s">
        <v>4474</v>
      </c>
      <c r="F19" s="1258" t="s">
        <v>1</v>
      </c>
      <c r="G19" s="1" t="s">
        <v>4449</v>
      </c>
    </row>
    <row r="20" spans="1:7" ht="15.75" customHeight="1">
      <c r="A20" s="1">
        <v>21</v>
      </c>
      <c r="B20" s="1257" t="s">
        <v>4475</v>
      </c>
      <c r="C20" s="74">
        <v>5</v>
      </c>
      <c r="D20" s="74" t="s">
        <v>155</v>
      </c>
      <c r="E20" s="1090" t="s">
        <v>4474</v>
      </c>
      <c r="F20" s="1258" t="s">
        <v>1</v>
      </c>
      <c r="G20" s="1" t="s">
        <v>4449</v>
      </c>
    </row>
    <row r="21" spans="1:7" ht="15.75" customHeight="1">
      <c r="A21" s="1">
        <v>22</v>
      </c>
      <c r="B21" s="1257" t="s">
        <v>4476</v>
      </c>
      <c r="C21" s="74">
        <v>5</v>
      </c>
      <c r="D21" s="74" t="s">
        <v>155</v>
      </c>
      <c r="E21" s="1090" t="s">
        <v>4474</v>
      </c>
      <c r="F21" s="1258" t="s">
        <v>1</v>
      </c>
      <c r="G21" s="1" t="s">
        <v>4449</v>
      </c>
    </row>
    <row r="22" spans="1:7" ht="15.75" customHeight="1">
      <c r="A22" s="1">
        <v>23</v>
      </c>
      <c r="B22" s="1257" t="s">
        <v>4477</v>
      </c>
      <c r="C22" s="74">
        <v>5</v>
      </c>
      <c r="D22" s="74" t="s">
        <v>155</v>
      </c>
      <c r="E22" s="1090" t="s">
        <v>4474</v>
      </c>
      <c r="F22" s="1258" t="s">
        <v>1</v>
      </c>
      <c r="G22" s="1" t="s">
        <v>4449</v>
      </c>
    </row>
    <row r="23" spans="1:7" ht="15.75" customHeight="1">
      <c r="A23" s="1">
        <v>24</v>
      </c>
      <c r="B23" s="1257" t="s">
        <v>4478</v>
      </c>
      <c r="C23" s="74">
        <v>5</v>
      </c>
      <c r="D23" s="74" t="s">
        <v>155</v>
      </c>
      <c r="E23" s="1090" t="s">
        <v>4474</v>
      </c>
      <c r="F23" s="1258" t="s">
        <v>1</v>
      </c>
      <c r="G23" s="1" t="s">
        <v>4449</v>
      </c>
    </row>
    <row r="24" spans="1:7" ht="15.75" customHeight="1">
      <c r="A24" s="1">
        <v>25</v>
      </c>
      <c r="B24" s="1257" t="s">
        <v>4479</v>
      </c>
      <c r="C24" s="74">
        <v>5</v>
      </c>
      <c r="D24" s="74" t="s">
        <v>155</v>
      </c>
      <c r="E24" s="1090" t="s">
        <v>4474</v>
      </c>
      <c r="F24" s="1258" t="s">
        <v>1</v>
      </c>
      <c r="G24" s="1" t="s">
        <v>4449</v>
      </c>
    </row>
    <row r="25" spans="1:7" ht="15.75" customHeight="1">
      <c r="A25" s="1">
        <v>26</v>
      </c>
      <c r="B25" s="1257" t="s">
        <v>4480</v>
      </c>
      <c r="C25" s="74">
        <v>5</v>
      </c>
      <c r="D25" s="74" t="s">
        <v>155</v>
      </c>
      <c r="E25" s="1090" t="s">
        <v>4474</v>
      </c>
      <c r="F25" s="1258" t="s">
        <v>1</v>
      </c>
      <c r="G25" s="1" t="s">
        <v>4449</v>
      </c>
    </row>
    <row r="26" spans="1:7" ht="15.75" customHeight="1">
      <c r="A26" s="1">
        <v>27</v>
      </c>
      <c r="B26" s="1257" t="s">
        <v>4481</v>
      </c>
      <c r="C26" s="74">
        <v>5</v>
      </c>
      <c r="D26" s="74" t="s">
        <v>155</v>
      </c>
      <c r="E26" s="1090" t="s">
        <v>4474</v>
      </c>
      <c r="F26" s="1258" t="s">
        <v>1</v>
      </c>
      <c r="G26" s="1" t="s">
        <v>4449</v>
      </c>
    </row>
    <row r="27" spans="1:7" ht="15.75" customHeight="1">
      <c r="A27" s="1">
        <v>28</v>
      </c>
      <c r="B27" s="1257" t="s">
        <v>4482</v>
      </c>
      <c r="C27" s="74">
        <v>5</v>
      </c>
      <c r="D27" s="74" t="s">
        <v>155</v>
      </c>
      <c r="E27" s="1090" t="s">
        <v>4474</v>
      </c>
      <c r="F27" s="1258" t="s">
        <v>1</v>
      </c>
      <c r="G27" s="1" t="s">
        <v>4449</v>
      </c>
    </row>
    <row r="28" spans="1:7" ht="15.75" customHeight="1">
      <c r="A28" s="1">
        <v>29</v>
      </c>
      <c r="B28" s="1257" t="s">
        <v>4483</v>
      </c>
      <c r="C28" s="74">
        <v>5</v>
      </c>
      <c r="D28" s="74" t="s">
        <v>103</v>
      </c>
      <c r="E28" s="1090" t="s">
        <v>4474</v>
      </c>
      <c r="F28" s="1258" t="s">
        <v>1</v>
      </c>
      <c r="G28" s="1" t="s">
        <v>4449</v>
      </c>
    </row>
    <row r="29" spans="1:7" ht="15.75" customHeight="1">
      <c r="A29" s="1">
        <v>30</v>
      </c>
      <c r="B29" s="1257" t="s">
        <v>4484</v>
      </c>
      <c r="C29" s="74">
        <v>2</v>
      </c>
      <c r="D29" s="74" t="s">
        <v>189</v>
      </c>
      <c r="E29" s="1090" t="s">
        <v>4485</v>
      </c>
      <c r="F29" s="1258" t="s">
        <v>1</v>
      </c>
      <c r="G29" s="1" t="s">
        <v>4449</v>
      </c>
    </row>
    <row r="30" spans="1:7" ht="15.75" customHeight="1">
      <c r="A30" s="1">
        <v>31</v>
      </c>
      <c r="B30" s="1257" t="s">
        <v>4486</v>
      </c>
      <c r="C30" s="74">
        <v>5</v>
      </c>
      <c r="D30" s="74" t="s">
        <v>189</v>
      </c>
      <c r="E30" s="1090" t="s">
        <v>4485</v>
      </c>
      <c r="F30" s="1258" t="s">
        <v>1</v>
      </c>
      <c r="G30" s="1" t="s">
        <v>4449</v>
      </c>
    </row>
    <row r="31" spans="1:7" ht="15.75" customHeight="1">
      <c r="A31" s="1">
        <v>32</v>
      </c>
      <c r="B31" s="1257" t="s">
        <v>4487</v>
      </c>
      <c r="C31" s="74">
        <v>30</v>
      </c>
      <c r="D31" s="74" t="s">
        <v>103</v>
      </c>
      <c r="E31" s="1090" t="s">
        <v>4488</v>
      </c>
      <c r="F31" s="1258" t="s">
        <v>1</v>
      </c>
      <c r="G31" s="1" t="s">
        <v>4449</v>
      </c>
    </row>
    <row r="32" spans="1:7" ht="15.75" customHeight="1">
      <c r="A32" s="1">
        <v>33</v>
      </c>
      <c r="B32" s="1257" t="s">
        <v>4489</v>
      </c>
      <c r="C32" s="74">
        <v>30</v>
      </c>
      <c r="D32" s="74" t="s">
        <v>103</v>
      </c>
      <c r="E32" s="1090" t="s">
        <v>4490</v>
      </c>
      <c r="F32" s="1258" t="s">
        <v>1</v>
      </c>
      <c r="G32" s="1" t="s">
        <v>4449</v>
      </c>
    </row>
    <row r="33" spans="1:7" ht="15.75" customHeight="1">
      <c r="A33" s="1">
        <v>34</v>
      </c>
      <c r="B33" s="1090" t="s">
        <v>4491</v>
      </c>
      <c r="C33" s="74">
        <v>1</v>
      </c>
      <c r="D33" s="74" t="s">
        <v>103</v>
      </c>
      <c r="E33" s="1" t="s">
        <v>4492</v>
      </c>
      <c r="F33" s="1258" t="s">
        <v>1</v>
      </c>
      <c r="G33" s="1" t="s">
        <v>4493</v>
      </c>
    </row>
    <row r="34" spans="1:7" ht="15.75" customHeight="1">
      <c r="A34" s="1">
        <v>35</v>
      </c>
      <c r="B34" s="1" t="s">
        <v>4494</v>
      </c>
      <c r="C34" s="74">
        <v>1</v>
      </c>
      <c r="D34" s="74" t="s">
        <v>103</v>
      </c>
      <c r="E34" s="1" t="s">
        <v>4492</v>
      </c>
      <c r="F34" s="1258" t="s">
        <v>1</v>
      </c>
      <c r="G34" s="1" t="s">
        <v>4493</v>
      </c>
    </row>
    <row r="35" spans="1:7" ht="15.75" customHeight="1">
      <c r="A35" s="1">
        <v>36</v>
      </c>
      <c r="B35" s="1" t="s">
        <v>4495</v>
      </c>
      <c r="C35" s="74">
        <v>2</v>
      </c>
      <c r="D35" s="74" t="s">
        <v>103</v>
      </c>
      <c r="E35" s="1" t="s">
        <v>4496</v>
      </c>
      <c r="F35" s="1258" t="s">
        <v>1</v>
      </c>
      <c r="G35" s="1" t="s">
        <v>4493</v>
      </c>
    </row>
    <row r="36" spans="1:7" ht="15.75" customHeight="1">
      <c r="A36" s="1">
        <v>37</v>
      </c>
      <c r="B36" s="1090" t="s">
        <v>4497</v>
      </c>
      <c r="C36" s="74">
        <v>30</v>
      </c>
      <c r="D36" s="74" t="s">
        <v>103</v>
      </c>
      <c r="E36" s="1090" t="s">
        <v>4498</v>
      </c>
      <c r="F36" s="1258" t="s">
        <v>1</v>
      </c>
      <c r="G36" s="1" t="s">
        <v>4449</v>
      </c>
    </row>
    <row r="37" spans="1:7" ht="15.75" customHeight="1">
      <c r="A37" s="1">
        <v>38</v>
      </c>
      <c r="B37" s="1" t="s">
        <v>4499</v>
      </c>
      <c r="C37" s="74">
        <v>1</v>
      </c>
      <c r="D37" s="74" t="s">
        <v>103</v>
      </c>
      <c r="E37" s="1" t="s">
        <v>4500</v>
      </c>
      <c r="F37" s="1258" t="s">
        <v>1</v>
      </c>
      <c r="G37" s="1" t="s">
        <v>4493</v>
      </c>
    </row>
    <row r="38" spans="1:7" ht="15.75" customHeight="1">
      <c r="A38" s="1">
        <v>39</v>
      </c>
      <c r="B38" s="1261" t="s">
        <v>4501</v>
      </c>
      <c r="C38" s="74">
        <v>20</v>
      </c>
      <c r="D38" s="74" t="s">
        <v>103</v>
      </c>
      <c r="E38" s="1090" t="s">
        <v>4502</v>
      </c>
      <c r="F38" s="1258" t="s">
        <v>1</v>
      </c>
      <c r="G38" s="1" t="s">
        <v>4449</v>
      </c>
    </row>
    <row r="39" spans="1:7" ht="15.75" customHeight="1">
      <c r="A39" s="1">
        <v>40</v>
      </c>
      <c r="B39" s="1257" t="s">
        <v>4503</v>
      </c>
      <c r="C39" s="74">
        <v>2</v>
      </c>
      <c r="D39" s="74" t="s">
        <v>103</v>
      </c>
      <c r="E39" s="1090" t="s">
        <v>4504</v>
      </c>
      <c r="F39" s="1258" t="s">
        <v>1</v>
      </c>
      <c r="G39" s="1" t="s">
        <v>4449</v>
      </c>
    </row>
    <row r="40" spans="1:7" ht="15.75" customHeight="1">
      <c r="A40" s="1">
        <v>41</v>
      </c>
      <c r="B40" s="1090" t="s">
        <v>4505</v>
      </c>
      <c r="C40" s="74">
        <v>100</v>
      </c>
      <c r="D40" s="74" t="s">
        <v>103</v>
      </c>
      <c r="E40" s="1090" t="s">
        <v>4506</v>
      </c>
      <c r="F40" s="1258" t="s">
        <v>1</v>
      </c>
      <c r="G40" s="1" t="s">
        <v>4449</v>
      </c>
    </row>
    <row r="41" spans="1:7" ht="15.75" customHeight="1">
      <c r="A41" s="1">
        <v>42</v>
      </c>
      <c r="B41" s="1257" t="s">
        <v>4507</v>
      </c>
      <c r="C41" s="74">
        <v>2</v>
      </c>
      <c r="D41" s="74" t="s">
        <v>103</v>
      </c>
      <c r="E41" s="1090" t="s">
        <v>4506</v>
      </c>
      <c r="F41" s="1258" t="s">
        <v>1</v>
      </c>
      <c r="G41" s="1" t="s">
        <v>4449</v>
      </c>
    </row>
    <row r="42" spans="1:7" ht="15.75" customHeight="1">
      <c r="A42" s="1">
        <v>43</v>
      </c>
      <c r="B42" s="1257" t="s">
        <v>4508</v>
      </c>
      <c r="C42" s="74">
        <v>10</v>
      </c>
      <c r="D42" s="74" t="s">
        <v>103</v>
      </c>
      <c r="E42" s="1090" t="s">
        <v>4509</v>
      </c>
      <c r="F42" s="1258" t="s">
        <v>1</v>
      </c>
      <c r="G42" s="1" t="s">
        <v>4449</v>
      </c>
    </row>
    <row r="43" spans="1:7" ht="15.75" customHeight="1">
      <c r="A43" s="1">
        <v>44</v>
      </c>
      <c r="B43" s="1090" t="s">
        <v>4510</v>
      </c>
      <c r="C43" s="74">
        <v>1</v>
      </c>
      <c r="D43" s="74" t="s">
        <v>103</v>
      </c>
      <c r="E43" s="1090" t="s">
        <v>4511</v>
      </c>
      <c r="F43" s="1258" t="s">
        <v>1</v>
      </c>
      <c r="G43" s="1" t="s">
        <v>4449</v>
      </c>
    </row>
    <row r="44" spans="1:7" ht="15.75" customHeight="1">
      <c r="A44" s="1">
        <v>45</v>
      </c>
      <c r="B44" s="1" t="s">
        <v>4512</v>
      </c>
      <c r="C44" s="74">
        <v>6</v>
      </c>
      <c r="D44" s="74" t="s">
        <v>103</v>
      </c>
      <c r="E44" s="1" t="s">
        <v>4513</v>
      </c>
      <c r="F44" s="1258" t="s">
        <v>1</v>
      </c>
      <c r="G44" s="1" t="s">
        <v>4449</v>
      </c>
    </row>
    <row r="45" spans="1:7" ht="15.75" customHeight="1">
      <c r="A45" s="1">
        <v>46</v>
      </c>
      <c r="B45" s="1257" t="s">
        <v>4514</v>
      </c>
      <c r="C45" s="74">
        <v>5</v>
      </c>
      <c r="D45" s="74" t="s">
        <v>103</v>
      </c>
      <c r="E45" s="1090" t="s">
        <v>4515</v>
      </c>
      <c r="F45" s="1258" t="s">
        <v>1</v>
      </c>
      <c r="G45" s="1" t="s">
        <v>4449</v>
      </c>
    </row>
    <row r="46" spans="1:7" ht="15.75" customHeight="1">
      <c r="A46" s="1">
        <v>47</v>
      </c>
      <c r="B46" s="1257" t="s">
        <v>4516</v>
      </c>
      <c r="C46" s="74">
        <v>2</v>
      </c>
      <c r="D46" s="74" t="s">
        <v>118</v>
      </c>
      <c r="E46" s="1090" t="s">
        <v>4466</v>
      </c>
      <c r="F46" s="1258" t="s">
        <v>1</v>
      </c>
      <c r="G46" s="1" t="s">
        <v>4449</v>
      </c>
    </row>
    <row r="47" spans="1:7" ht="15.75" customHeight="1">
      <c r="A47" s="1">
        <v>48</v>
      </c>
      <c r="B47" s="1257" t="s">
        <v>4517</v>
      </c>
      <c r="C47" s="74">
        <v>2</v>
      </c>
      <c r="D47" s="74" t="s">
        <v>118</v>
      </c>
      <c r="E47" s="1090" t="s">
        <v>4518</v>
      </c>
      <c r="F47" s="1258" t="s">
        <v>1</v>
      </c>
      <c r="G47" s="1" t="s">
        <v>4449</v>
      </c>
    </row>
    <row r="48" spans="1:7" ht="15.75" customHeight="1">
      <c r="A48" s="1">
        <v>49</v>
      </c>
      <c r="B48" s="1090" t="s">
        <v>4519</v>
      </c>
      <c r="C48" s="74">
        <v>8</v>
      </c>
      <c r="D48" s="74" t="s">
        <v>103</v>
      </c>
      <c r="E48" s="1090" t="s">
        <v>4520</v>
      </c>
      <c r="F48" s="1258" t="s">
        <v>1</v>
      </c>
      <c r="G48" s="1" t="s">
        <v>4449</v>
      </c>
    </row>
    <row r="49" spans="1:7" ht="15.75" customHeight="1">
      <c r="A49" s="1">
        <v>50</v>
      </c>
      <c r="B49" s="1257" t="s">
        <v>245</v>
      </c>
      <c r="C49" s="74">
        <v>500</v>
      </c>
      <c r="D49" s="74" t="s">
        <v>103</v>
      </c>
      <c r="E49" s="1090" t="s">
        <v>4521</v>
      </c>
      <c r="F49" s="1258" t="s">
        <v>1</v>
      </c>
      <c r="G49" s="1" t="s">
        <v>4449</v>
      </c>
    </row>
    <row r="50" spans="1:7" ht="15.75" customHeight="1">
      <c r="A50" s="1">
        <v>51</v>
      </c>
      <c r="B50" s="1257" t="s">
        <v>4522</v>
      </c>
      <c r="C50" s="74">
        <v>1000</v>
      </c>
      <c r="D50" s="74" t="s">
        <v>103</v>
      </c>
      <c r="E50" s="1090" t="s">
        <v>4521</v>
      </c>
      <c r="F50" s="1258" t="s">
        <v>1</v>
      </c>
      <c r="G50" s="1" t="s">
        <v>4449</v>
      </c>
    </row>
    <row r="51" spans="1:7" ht="15.75" customHeight="1">
      <c r="A51" s="1">
        <v>52</v>
      </c>
      <c r="B51" s="1090" t="s">
        <v>4523</v>
      </c>
      <c r="C51" s="74">
        <v>500</v>
      </c>
      <c r="D51" s="74" t="s">
        <v>103</v>
      </c>
      <c r="E51" s="1090" t="s">
        <v>4524</v>
      </c>
      <c r="F51" s="1258" t="s">
        <v>1</v>
      </c>
      <c r="G51" s="1" t="s">
        <v>4449</v>
      </c>
    </row>
    <row r="52" spans="1:7" ht="15.75" customHeight="1">
      <c r="A52" s="1">
        <v>53</v>
      </c>
      <c r="B52" s="1090" t="s">
        <v>4525</v>
      </c>
      <c r="C52" s="74">
        <v>4</v>
      </c>
      <c r="D52" s="74" t="s">
        <v>103</v>
      </c>
      <c r="E52" s="1090" t="s">
        <v>4526</v>
      </c>
      <c r="F52" s="1258" t="s">
        <v>1</v>
      </c>
      <c r="G52" s="1" t="s">
        <v>4449</v>
      </c>
    </row>
    <row r="53" spans="1:7" ht="15.75" customHeight="1">
      <c r="A53" s="1">
        <v>54</v>
      </c>
      <c r="B53" s="1090" t="s">
        <v>4527</v>
      </c>
      <c r="C53" s="74">
        <v>20</v>
      </c>
      <c r="D53" s="74" t="s">
        <v>103</v>
      </c>
      <c r="E53" s="1090" t="s">
        <v>4457</v>
      </c>
      <c r="F53" s="1258" t="s">
        <v>1</v>
      </c>
      <c r="G53" s="1" t="s">
        <v>4449</v>
      </c>
    </row>
    <row r="54" spans="1:7" ht="15.75" customHeight="1">
      <c r="A54" s="1">
        <v>55</v>
      </c>
      <c r="B54" s="1257" t="s">
        <v>4528</v>
      </c>
      <c r="C54" s="74">
        <v>2</v>
      </c>
      <c r="D54" s="74" t="s">
        <v>118</v>
      </c>
      <c r="E54" s="1090" t="s">
        <v>4529</v>
      </c>
      <c r="F54" s="1258" t="s">
        <v>1</v>
      </c>
      <c r="G54" s="1" t="s">
        <v>4493</v>
      </c>
    </row>
    <row r="55" spans="1:7" ht="15.75" customHeight="1">
      <c r="A55" s="1">
        <v>56</v>
      </c>
      <c r="B55" s="1257" t="s">
        <v>250</v>
      </c>
      <c r="C55" s="74">
        <v>50</v>
      </c>
      <c r="D55" s="74" t="s">
        <v>103</v>
      </c>
      <c r="E55" s="1090" t="s">
        <v>4530</v>
      </c>
      <c r="F55" s="1258" t="s">
        <v>1</v>
      </c>
      <c r="G55" s="1" t="s">
        <v>4449</v>
      </c>
    </row>
    <row r="56" spans="1:7" ht="15.75" customHeight="1">
      <c r="A56" s="1">
        <v>57</v>
      </c>
      <c r="B56" s="1257" t="s">
        <v>4531</v>
      </c>
      <c r="C56" s="74">
        <v>2</v>
      </c>
      <c r="D56" s="74" t="s">
        <v>103</v>
      </c>
      <c r="E56" s="1090" t="s">
        <v>4453</v>
      </c>
      <c r="F56" s="1258" t="s">
        <v>1</v>
      </c>
      <c r="G56" s="1" t="s">
        <v>4493</v>
      </c>
    </row>
    <row r="57" spans="1:7" ht="15.75" customHeight="1">
      <c r="A57" s="1">
        <v>58</v>
      </c>
      <c r="B57" s="1090" t="s">
        <v>3233</v>
      </c>
      <c r="C57" s="74">
        <v>50</v>
      </c>
      <c r="D57" s="74" t="s">
        <v>103</v>
      </c>
      <c r="E57" s="1090" t="s">
        <v>4457</v>
      </c>
      <c r="F57" s="1258" t="s">
        <v>1</v>
      </c>
      <c r="G57" s="1" t="s">
        <v>4449</v>
      </c>
    </row>
    <row r="58" spans="1:7" ht="15.75" customHeight="1">
      <c r="A58" s="1">
        <v>59</v>
      </c>
      <c r="B58" s="1090" t="s">
        <v>4532</v>
      </c>
      <c r="C58" s="74">
        <v>2</v>
      </c>
      <c r="D58" s="74" t="s">
        <v>118</v>
      </c>
      <c r="E58" s="1090" t="s">
        <v>4533</v>
      </c>
      <c r="F58" s="1258" t="s">
        <v>1</v>
      </c>
      <c r="G58" s="1" t="s">
        <v>4449</v>
      </c>
    </row>
    <row r="59" spans="1:7" ht="15.75" customHeight="1">
      <c r="A59" s="1">
        <v>60</v>
      </c>
      <c r="B59" s="1257" t="s">
        <v>3001</v>
      </c>
      <c r="C59" s="74">
        <v>50</v>
      </c>
      <c r="D59" s="74" t="s">
        <v>103</v>
      </c>
      <c r="E59" s="1090" t="s">
        <v>4534</v>
      </c>
      <c r="F59" s="1258" t="s">
        <v>1</v>
      </c>
      <c r="G59" s="1" t="s">
        <v>4449</v>
      </c>
    </row>
    <row r="60" spans="1:7" ht="15.75" customHeight="1">
      <c r="A60" s="1">
        <v>61</v>
      </c>
      <c r="B60" s="1090" t="s">
        <v>4535</v>
      </c>
      <c r="C60" s="74">
        <v>20</v>
      </c>
      <c r="D60" s="74" t="s">
        <v>103</v>
      </c>
      <c r="E60" s="1090" t="s">
        <v>4457</v>
      </c>
      <c r="F60" s="1258" t="s">
        <v>1</v>
      </c>
      <c r="G60" s="1" t="s">
        <v>4449</v>
      </c>
    </row>
    <row r="61" spans="1:7" ht="12.75">
      <c r="A61" s="1">
        <v>62</v>
      </c>
      <c r="B61" s="1261" t="s">
        <v>4536</v>
      </c>
      <c r="C61" s="74">
        <v>10</v>
      </c>
      <c r="D61" s="74" t="s">
        <v>103</v>
      </c>
      <c r="E61" s="1090" t="s">
        <v>4537</v>
      </c>
      <c r="F61" s="1258" t="s">
        <v>1</v>
      </c>
      <c r="G61" s="1" t="s">
        <v>4449</v>
      </c>
    </row>
    <row r="62" spans="1:7" ht="12.75">
      <c r="A62" s="1">
        <v>63</v>
      </c>
      <c r="B62" s="1090" t="s">
        <v>4538</v>
      </c>
      <c r="C62" s="74">
        <v>10</v>
      </c>
      <c r="D62" s="74" t="s">
        <v>103</v>
      </c>
      <c r="E62" s="1090" t="s">
        <v>4539</v>
      </c>
      <c r="F62" s="1258" t="s">
        <v>1</v>
      </c>
      <c r="G62" s="1" t="s">
        <v>4449</v>
      </c>
    </row>
    <row r="63" spans="1:7" ht="12.75">
      <c r="A63" s="1">
        <v>64</v>
      </c>
      <c r="B63" s="1090" t="s">
        <v>4540</v>
      </c>
      <c r="C63" s="74">
        <v>2</v>
      </c>
      <c r="D63" s="74" t="s">
        <v>103</v>
      </c>
      <c r="E63" s="1090" t="s">
        <v>4541</v>
      </c>
      <c r="F63" s="1258" t="s">
        <v>1</v>
      </c>
      <c r="G63" s="1" t="s">
        <v>4449</v>
      </c>
    </row>
    <row r="64" spans="1:7" ht="12.75">
      <c r="A64" s="1">
        <v>65</v>
      </c>
      <c r="B64" s="1257" t="s">
        <v>4542</v>
      </c>
      <c r="C64" s="74">
        <v>30</v>
      </c>
      <c r="D64" s="74" t="s">
        <v>103</v>
      </c>
      <c r="E64" s="1090" t="s">
        <v>4520</v>
      </c>
      <c r="F64" s="1258" t="s">
        <v>1</v>
      </c>
      <c r="G64" s="1" t="s">
        <v>4449</v>
      </c>
    </row>
    <row r="65" spans="1:7" ht="12.75">
      <c r="A65" s="1">
        <v>66</v>
      </c>
      <c r="B65" s="1257" t="s">
        <v>4543</v>
      </c>
      <c r="C65" s="74">
        <v>20</v>
      </c>
      <c r="D65" s="74" t="s">
        <v>103</v>
      </c>
      <c r="E65" s="1090" t="s">
        <v>4520</v>
      </c>
      <c r="F65" s="1258" t="s">
        <v>1</v>
      </c>
      <c r="G65" s="1" t="s">
        <v>4449</v>
      </c>
    </row>
    <row r="66" spans="1:7" ht="12.75">
      <c r="A66" s="1">
        <v>67</v>
      </c>
      <c r="B66" s="1" t="s">
        <v>4544</v>
      </c>
      <c r="C66" s="74">
        <v>5</v>
      </c>
      <c r="D66" s="74" t="s">
        <v>103</v>
      </c>
      <c r="E66" s="1090" t="s">
        <v>4520</v>
      </c>
      <c r="F66" s="1258" t="s">
        <v>1</v>
      </c>
      <c r="G66" s="1" t="s">
        <v>4449</v>
      </c>
    </row>
    <row r="67" spans="1:7" ht="12.75">
      <c r="A67" s="1">
        <v>68</v>
      </c>
      <c r="B67" s="1090" t="s">
        <v>4545</v>
      </c>
      <c r="C67" s="74"/>
      <c r="D67" s="74"/>
      <c r="E67" s="1090"/>
      <c r="F67" s="74"/>
    </row>
    <row r="68" spans="1:7" ht="12.75">
      <c r="A68" s="1">
        <v>69</v>
      </c>
      <c r="B68" s="1090" t="s">
        <v>4546</v>
      </c>
      <c r="C68" s="74"/>
      <c r="D68" s="74"/>
      <c r="E68" s="1090"/>
      <c r="F68" s="74"/>
    </row>
    <row r="69" spans="1:7" ht="12.75">
      <c r="A69" s="1">
        <v>70</v>
      </c>
      <c r="B69" s="1090" t="s">
        <v>4547</v>
      </c>
      <c r="C69" s="74"/>
      <c r="D69" s="74"/>
      <c r="E69" s="1090"/>
      <c r="F69" s="74"/>
    </row>
    <row r="70" spans="1:7" ht="12.75">
      <c r="B70" s="1090"/>
      <c r="C70" s="74"/>
      <c r="D70" s="74"/>
      <c r="E70" s="1090"/>
      <c r="F70" s="74"/>
    </row>
    <row r="71" spans="1:7" ht="12.75">
      <c r="B71" s="1090"/>
      <c r="C71" s="74"/>
      <c r="D71" s="74"/>
      <c r="E71" s="1090"/>
      <c r="F71" s="74"/>
    </row>
    <row r="72" spans="1:7" ht="12.75">
      <c r="B72" s="1090" t="s">
        <v>4548</v>
      </c>
      <c r="C72" s="74"/>
      <c r="D72" s="74"/>
      <c r="E72" s="1090"/>
      <c r="F72" s="74"/>
    </row>
    <row r="73" spans="1:7" ht="12.75">
      <c r="B73" s="1090" t="s">
        <v>4549</v>
      </c>
      <c r="C73" s="74">
        <v>2</v>
      </c>
      <c r="D73" s="74" t="s">
        <v>103</v>
      </c>
      <c r="E73" s="1090" t="s">
        <v>4550</v>
      </c>
      <c r="F73" s="1258" t="s">
        <v>1</v>
      </c>
    </row>
    <row r="74" spans="1:7" ht="12.75">
      <c r="B74" s="1090" t="s">
        <v>4551</v>
      </c>
      <c r="C74" s="74">
        <v>1</v>
      </c>
      <c r="D74" s="74" t="s">
        <v>103</v>
      </c>
      <c r="E74" s="1090" t="s">
        <v>4552</v>
      </c>
      <c r="F74" s="1258" t="s">
        <v>1</v>
      </c>
    </row>
    <row r="75" spans="1:7" ht="12.75">
      <c r="B75" s="1090" t="s">
        <v>4553</v>
      </c>
      <c r="C75" s="74">
        <v>1</v>
      </c>
      <c r="D75" s="74" t="s">
        <v>103</v>
      </c>
      <c r="E75" s="1090" t="s">
        <v>4554</v>
      </c>
      <c r="F75" s="1258" t="s">
        <v>1</v>
      </c>
      <c r="G75" s="1262" t="s">
        <v>1</v>
      </c>
    </row>
    <row r="76" spans="1:7" ht="12.75">
      <c r="B76" s="1090" t="s">
        <v>4555</v>
      </c>
      <c r="C76" s="74">
        <v>12</v>
      </c>
      <c r="D76" s="74" t="s">
        <v>103</v>
      </c>
      <c r="E76" s="1090" t="s">
        <v>4556</v>
      </c>
      <c r="F76" s="1258" t="s">
        <v>1</v>
      </c>
    </row>
    <row r="77" spans="1:7" ht="12.75">
      <c r="B77" s="1090" t="s">
        <v>4557</v>
      </c>
      <c r="C77" s="74">
        <v>2</v>
      </c>
      <c r="D77" s="74" t="s">
        <v>103</v>
      </c>
      <c r="E77" s="1090" t="s">
        <v>4558</v>
      </c>
      <c r="F77" s="1258" t="s">
        <v>1</v>
      </c>
    </row>
    <row r="78" spans="1:7" ht="12.75">
      <c r="B78" s="1090"/>
      <c r="C78" s="74"/>
      <c r="D78" s="74"/>
      <c r="E78" s="1090"/>
      <c r="F78" s="74"/>
    </row>
    <row r="79" spans="1:7" ht="12.75">
      <c r="B79" s="1090"/>
      <c r="C79" s="74"/>
      <c r="D79" s="74"/>
      <c r="E79" s="1090"/>
      <c r="F79" s="74"/>
    </row>
    <row r="80" spans="1:7" ht="12.75">
      <c r="B80" s="1090" t="s">
        <v>4559</v>
      </c>
      <c r="C80" s="74"/>
      <c r="D80" s="74"/>
      <c r="E80" s="1090"/>
      <c r="F80" s="1258" t="s">
        <v>1</v>
      </c>
    </row>
    <row r="81" spans="2:6" ht="12.75">
      <c r="B81" s="1090"/>
      <c r="C81" s="74"/>
      <c r="D81" s="74"/>
      <c r="E81" s="1090"/>
      <c r="F81" s="74"/>
    </row>
    <row r="82" spans="2:6" ht="12.75">
      <c r="B82" s="1090"/>
      <c r="C82" s="74"/>
      <c r="D82" s="74"/>
      <c r="E82" s="1090"/>
      <c r="F82" s="74"/>
    </row>
    <row r="83" spans="2:6" ht="12.75">
      <c r="B83" s="1090"/>
      <c r="C83" s="74"/>
      <c r="D83" s="74"/>
      <c r="E83" s="1090"/>
      <c r="F83" s="74"/>
    </row>
    <row r="84" spans="2:6" ht="12.75">
      <c r="B84" s="1090"/>
      <c r="C84" s="74"/>
      <c r="D84" s="74"/>
      <c r="E84" s="1090"/>
      <c r="F84" s="74"/>
    </row>
    <row r="85" spans="2:6" ht="12.75">
      <c r="B85" s="1090"/>
      <c r="C85" s="74"/>
      <c r="D85" s="74"/>
      <c r="E85" s="1090"/>
      <c r="F85" s="74"/>
    </row>
    <row r="86" spans="2:6" ht="12.75">
      <c r="B86" s="1090"/>
      <c r="C86" s="74"/>
      <c r="D86" s="74"/>
      <c r="E86" s="1090"/>
      <c r="F86" s="74"/>
    </row>
    <row r="87" spans="2:6" ht="12.75">
      <c r="B87" s="1090"/>
      <c r="C87" s="74"/>
      <c r="D87" s="74"/>
      <c r="E87" s="1090"/>
      <c r="F87" s="74"/>
    </row>
    <row r="88" spans="2:6" ht="12.75">
      <c r="B88" s="1090"/>
      <c r="C88" s="74"/>
      <c r="D88" s="74"/>
      <c r="E88" s="1090"/>
      <c r="F88" s="74"/>
    </row>
    <row r="89" spans="2:6" ht="12.75">
      <c r="B89" s="1090"/>
      <c r="C89" s="74"/>
      <c r="D89" s="74"/>
      <c r="E89" s="1090"/>
      <c r="F89" s="74"/>
    </row>
    <row r="90" spans="2:6" ht="12.75">
      <c r="B90" s="1090"/>
      <c r="C90" s="74"/>
      <c r="D90" s="74"/>
      <c r="E90" s="1090"/>
      <c r="F90" s="74"/>
    </row>
    <row r="91" spans="2:6" ht="12.75">
      <c r="B91" s="1090"/>
      <c r="C91" s="74"/>
      <c r="D91" s="74"/>
      <c r="E91" s="1090"/>
      <c r="F91" s="74"/>
    </row>
    <row r="92" spans="2:6" ht="12.75">
      <c r="B92" s="1090"/>
      <c r="C92" s="74"/>
      <c r="D92" s="74"/>
      <c r="E92" s="1090"/>
      <c r="F92" s="74"/>
    </row>
    <row r="93" spans="2:6" ht="12.75">
      <c r="B93" s="1090"/>
      <c r="C93" s="74"/>
      <c r="D93" s="74"/>
      <c r="E93" s="1090"/>
      <c r="F93" s="74"/>
    </row>
    <row r="94" spans="2:6" ht="12.75">
      <c r="B94" s="1090"/>
      <c r="C94" s="74"/>
      <c r="D94" s="74"/>
      <c r="E94" s="1090"/>
      <c r="F94" s="74"/>
    </row>
    <row r="95" spans="2:6" ht="12.75">
      <c r="B95" s="1090"/>
      <c r="C95" s="74"/>
      <c r="D95" s="74"/>
      <c r="E95" s="1090"/>
      <c r="F95" s="74"/>
    </row>
    <row r="96" spans="2:6" ht="12.75">
      <c r="B96" s="1090"/>
      <c r="C96" s="74"/>
      <c r="D96" s="74"/>
      <c r="E96" s="1090"/>
      <c r="F96" s="74"/>
    </row>
    <row r="97" spans="2:6" ht="12.75">
      <c r="B97" s="1090"/>
      <c r="C97" s="74"/>
      <c r="D97" s="74"/>
      <c r="E97" s="1090"/>
      <c r="F97" s="74"/>
    </row>
    <row r="98" spans="2:6" ht="12.75">
      <c r="B98" s="1090"/>
      <c r="C98" s="74"/>
      <c r="D98" s="74"/>
      <c r="E98" s="1090"/>
      <c r="F98" s="74"/>
    </row>
    <row r="99" spans="2:6" ht="12.75">
      <c r="B99" s="1090"/>
      <c r="C99" s="74"/>
      <c r="D99" s="74"/>
      <c r="E99" s="1090"/>
      <c r="F99" s="74"/>
    </row>
    <row r="100" spans="2:6" ht="12.75">
      <c r="B100" s="1090"/>
      <c r="C100" s="74"/>
      <c r="D100" s="74"/>
      <c r="E100" s="1090"/>
      <c r="F100" s="74"/>
    </row>
    <row r="101" spans="2:6" ht="12.75">
      <c r="B101" s="1090"/>
      <c r="C101" s="74"/>
      <c r="D101" s="74"/>
      <c r="E101" s="1090"/>
      <c r="F101" s="74"/>
    </row>
    <row r="102" spans="2:6" ht="12.75">
      <c r="B102" s="1090"/>
      <c r="C102" s="74"/>
      <c r="D102" s="74"/>
      <c r="E102" s="1090"/>
      <c r="F102" s="74"/>
    </row>
    <row r="103" spans="2:6" ht="12.75">
      <c r="B103" s="1090"/>
      <c r="C103" s="74"/>
      <c r="D103" s="74"/>
      <c r="E103" s="1090"/>
      <c r="F103" s="74"/>
    </row>
    <row r="104" spans="2:6" ht="12.75">
      <c r="B104" s="1090"/>
      <c r="C104" s="74"/>
      <c r="D104" s="74"/>
      <c r="E104" s="1090"/>
      <c r="F104" s="74"/>
    </row>
    <row r="105" spans="2:6" ht="12.75">
      <c r="B105" s="1090"/>
      <c r="C105" s="74"/>
      <c r="D105" s="74"/>
      <c r="E105" s="1090"/>
      <c r="F105" s="74"/>
    </row>
    <row r="106" spans="2:6" ht="12.75">
      <c r="B106" s="1090"/>
      <c r="C106" s="74"/>
      <c r="D106" s="74"/>
      <c r="E106" s="1090"/>
      <c r="F106" s="74"/>
    </row>
    <row r="107" spans="2:6" ht="12.75">
      <c r="B107" s="1090"/>
      <c r="C107" s="74"/>
      <c r="D107" s="74"/>
      <c r="E107" s="1090"/>
      <c r="F107" s="74"/>
    </row>
    <row r="108" spans="2:6" ht="12.75">
      <c r="B108" s="1090"/>
      <c r="C108" s="74"/>
      <c r="D108" s="74"/>
      <c r="E108" s="1090"/>
      <c r="F108" s="74"/>
    </row>
    <row r="109" spans="2:6" ht="12.75">
      <c r="B109" s="1090"/>
      <c r="C109" s="74"/>
      <c r="D109" s="74"/>
      <c r="E109" s="1090"/>
      <c r="F109" s="74"/>
    </row>
    <row r="110" spans="2:6" ht="12.75">
      <c r="B110" s="1090"/>
      <c r="C110" s="74"/>
      <c r="D110" s="74"/>
      <c r="E110" s="1090"/>
      <c r="F110" s="74"/>
    </row>
    <row r="111" spans="2:6" ht="12.75">
      <c r="B111" s="1090"/>
      <c r="C111" s="74"/>
      <c r="D111" s="74"/>
      <c r="E111" s="1090"/>
      <c r="F111" s="74"/>
    </row>
    <row r="112" spans="2:6" ht="12.75">
      <c r="B112" s="1090"/>
      <c r="C112" s="74"/>
      <c r="D112" s="74"/>
      <c r="E112" s="1090"/>
      <c r="F112" s="74"/>
    </row>
    <row r="113" spans="2:6" ht="12.75">
      <c r="B113" s="1090"/>
      <c r="C113" s="74"/>
      <c r="D113" s="74"/>
      <c r="E113" s="1090"/>
      <c r="F113" s="74"/>
    </row>
    <row r="114" spans="2:6" ht="12.75">
      <c r="B114" s="1090"/>
      <c r="C114" s="74"/>
      <c r="D114" s="74"/>
      <c r="E114" s="1090"/>
      <c r="F114" s="74"/>
    </row>
    <row r="115" spans="2:6" ht="12.75">
      <c r="B115" s="1090"/>
      <c r="C115" s="74"/>
      <c r="D115" s="74"/>
      <c r="E115" s="1090"/>
      <c r="F115" s="74"/>
    </row>
    <row r="116" spans="2:6" ht="12.75">
      <c r="B116" s="1090"/>
      <c r="C116" s="74"/>
      <c r="D116" s="74"/>
      <c r="E116" s="1090"/>
      <c r="F116" s="74"/>
    </row>
    <row r="117" spans="2:6" ht="12.75">
      <c r="B117" s="1090"/>
      <c r="C117" s="74"/>
      <c r="D117" s="74"/>
      <c r="E117" s="1090"/>
      <c r="F117" s="74"/>
    </row>
    <row r="118" spans="2:6" ht="12.75">
      <c r="B118" s="1090"/>
      <c r="C118" s="74"/>
      <c r="D118" s="74"/>
      <c r="E118" s="1090"/>
      <c r="F118" s="74"/>
    </row>
    <row r="119" spans="2:6" ht="12.75">
      <c r="B119" s="1090"/>
      <c r="C119" s="74"/>
      <c r="D119" s="74"/>
      <c r="E119" s="1090"/>
      <c r="F119" s="74"/>
    </row>
    <row r="120" spans="2:6" ht="12.75">
      <c r="B120" s="1090"/>
      <c r="C120" s="74"/>
      <c r="D120" s="74"/>
      <c r="E120" s="1090"/>
      <c r="F120" s="74"/>
    </row>
    <row r="121" spans="2:6" ht="12.75">
      <c r="B121" s="1090"/>
      <c r="C121" s="74"/>
      <c r="D121" s="74"/>
      <c r="E121" s="1090"/>
      <c r="F121" s="74"/>
    </row>
    <row r="122" spans="2:6" ht="12.75">
      <c r="B122" s="1090"/>
      <c r="C122" s="74"/>
      <c r="D122" s="74"/>
      <c r="E122" s="1090"/>
      <c r="F122" s="74"/>
    </row>
    <row r="123" spans="2:6" ht="12.75">
      <c r="B123" s="1090"/>
      <c r="C123" s="74"/>
      <c r="D123" s="74"/>
      <c r="E123" s="1090"/>
      <c r="F123" s="74"/>
    </row>
    <row r="124" spans="2:6" ht="12.75">
      <c r="B124" s="1090"/>
      <c r="C124" s="74"/>
      <c r="D124" s="74"/>
      <c r="E124" s="1090"/>
      <c r="F124" s="74"/>
    </row>
    <row r="125" spans="2:6" ht="12.75">
      <c r="B125" s="1090"/>
      <c r="C125" s="74"/>
      <c r="D125" s="74"/>
      <c r="E125" s="1090"/>
      <c r="F125" s="74"/>
    </row>
    <row r="126" spans="2:6" ht="12.75">
      <c r="B126" s="1090"/>
      <c r="C126" s="74"/>
      <c r="D126" s="74"/>
      <c r="E126" s="1090"/>
      <c r="F126" s="74"/>
    </row>
    <row r="127" spans="2:6" ht="12.75">
      <c r="B127" s="1090"/>
      <c r="C127" s="74"/>
      <c r="D127" s="74"/>
      <c r="E127" s="1090"/>
      <c r="F127" s="74"/>
    </row>
    <row r="128" spans="2:6" ht="12.75">
      <c r="B128" s="1090"/>
      <c r="C128" s="74"/>
      <c r="D128" s="74"/>
      <c r="E128" s="1090"/>
      <c r="F128" s="74"/>
    </row>
    <row r="129" spans="2:6" ht="12.75">
      <c r="B129" s="1090"/>
      <c r="C129" s="74"/>
      <c r="D129" s="74"/>
      <c r="E129" s="1090"/>
      <c r="F129" s="74"/>
    </row>
    <row r="130" spans="2:6" ht="12.75">
      <c r="B130" s="1090"/>
      <c r="C130" s="74"/>
      <c r="D130" s="74"/>
      <c r="E130" s="1090"/>
      <c r="F130" s="74"/>
    </row>
    <row r="131" spans="2:6" ht="12.75">
      <c r="B131" s="1090"/>
      <c r="C131" s="74"/>
      <c r="D131" s="74"/>
      <c r="E131" s="1090"/>
      <c r="F131" s="74"/>
    </row>
    <row r="132" spans="2:6" ht="12.75">
      <c r="B132" s="1090"/>
      <c r="C132" s="74"/>
      <c r="D132" s="74"/>
      <c r="E132" s="1090"/>
      <c r="F132" s="74"/>
    </row>
    <row r="133" spans="2:6" ht="12.75">
      <c r="B133" s="1090"/>
      <c r="C133" s="74"/>
      <c r="D133" s="74"/>
      <c r="E133" s="1090"/>
      <c r="F133" s="74"/>
    </row>
    <row r="134" spans="2:6" ht="12.75">
      <c r="B134" s="1090"/>
      <c r="C134" s="74"/>
      <c r="D134" s="74"/>
      <c r="E134" s="1090"/>
      <c r="F134" s="74"/>
    </row>
    <row r="135" spans="2:6" ht="12.75">
      <c r="B135" s="1090"/>
      <c r="C135" s="74"/>
      <c r="D135" s="74"/>
      <c r="E135" s="1090"/>
      <c r="F135" s="74"/>
    </row>
    <row r="136" spans="2:6" ht="12.75">
      <c r="B136" s="1090"/>
      <c r="C136" s="74"/>
      <c r="D136" s="74"/>
      <c r="E136" s="1090"/>
      <c r="F136" s="74"/>
    </row>
    <row r="137" spans="2:6" ht="12.75">
      <c r="B137" s="1090"/>
      <c r="C137" s="74"/>
      <c r="D137" s="74"/>
      <c r="E137" s="1090"/>
      <c r="F137" s="74"/>
    </row>
    <row r="138" spans="2:6" ht="12.75">
      <c r="B138" s="1090"/>
      <c r="C138" s="74"/>
      <c r="D138" s="74"/>
      <c r="E138" s="1090"/>
      <c r="F138" s="74"/>
    </row>
    <row r="139" spans="2:6" ht="12.75">
      <c r="B139" s="1090"/>
      <c r="C139" s="74"/>
      <c r="D139" s="74"/>
      <c r="E139" s="1090"/>
      <c r="F139" s="74"/>
    </row>
    <row r="140" spans="2:6" ht="12.75">
      <c r="B140" s="1090"/>
      <c r="C140" s="74"/>
      <c r="D140" s="74"/>
      <c r="E140" s="1090"/>
      <c r="F140" s="74"/>
    </row>
    <row r="141" spans="2:6" ht="12.75">
      <c r="B141" s="1090"/>
      <c r="C141" s="74"/>
      <c r="D141" s="74"/>
      <c r="E141" s="1090"/>
      <c r="F141" s="74"/>
    </row>
    <row r="142" spans="2:6" ht="12.75">
      <c r="B142" s="1090"/>
      <c r="C142" s="74"/>
      <c r="D142" s="74"/>
      <c r="E142" s="1090"/>
      <c r="F142" s="74"/>
    </row>
    <row r="143" spans="2:6" ht="12.75">
      <c r="B143" s="1090"/>
      <c r="C143" s="74"/>
      <c r="D143" s="74"/>
      <c r="E143" s="1090"/>
      <c r="F143" s="74"/>
    </row>
    <row r="144" spans="2:6" ht="12.75">
      <c r="B144" s="1090"/>
      <c r="C144" s="74"/>
      <c r="D144" s="74"/>
      <c r="E144" s="1090"/>
      <c r="F144" s="74"/>
    </row>
    <row r="145" spans="2:6" ht="12.75">
      <c r="B145" s="1090"/>
      <c r="C145" s="74"/>
      <c r="D145" s="74"/>
      <c r="E145" s="1090"/>
      <c r="F145" s="74"/>
    </row>
    <row r="146" spans="2:6" ht="12.75">
      <c r="B146" s="1090"/>
      <c r="C146" s="74"/>
      <c r="D146" s="74"/>
      <c r="E146" s="1090"/>
      <c r="F146" s="74"/>
    </row>
    <row r="147" spans="2:6" ht="12.75">
      <c r="B147" s="1090"/>
      <c r="C147" s="74"/>
      <c r="D147" s="74"/>
      <c r="E147" s="1090"/>
      <c r="F147" s="74"/>
    </row>
    <row r="148" spans="2:6" ht="12.75">
      <c r="B148" s="1090"/>
      <c r="C148" s="74"/>
      <c r="D148" s="74"/>
      <c r="E148" s="1090"/>
      <c r="F148" s="74"/>
    </row>
    <row r="149" spans="2:6" ht="12.75">
      <c r="B149" s="1090"/>
      <c r="C149" s="74"/>
      <c r="D149" s="74"/>
      <c r="E149" s="1090"/>
      <c r="F149" s="74"/>
    </row>
    <row r="150" spans="2:6" ht="12.75">
      <c r="B150" s="1090"/>
      <c r="C150" s="74"/>
      <c r="D150" s="74"/>
      <c r="E150" s="1090"/>
      <c r="F150" s="74"/>
    </row>
    <row r="151" spans="2:6" ht="12.75">
      <c r="B151" s="1090"/>
      <c r="C151" s="74"/>
      <c r="D151" s="74"/>
      <c r="E151" s="1090"/>
      <c r="F151" s="74"/>
    </row>
    <row r="152" spans="2:6" ht="12.75">
      <c r="B152" s="1090"/>
      <c r="C152" s="74"/>
      <c r="D152" s="74"/>
      <c r="E152" s="1090"/>
      <c r="F152" s="74"/>
    </row>
    <row r="153" spans="2:6" ht="12.75">
      <c r="B153" s="1090"/>
      <c r="C153" s="74"/>
      <c r="D153" s="74"/>
      <c r="E153" s="1090"/>
      <c r="F153" s="74"/>
    </row>
    <row r="154" spans="2:6" ht="12.75">
      <c r="B154" s="1090"/>
      <c r="C154" s="74"/>
      <c r="D154" s="74"/>
      <c r="E154" s="1090"/>
      <c r="F154" s="74"/>
    </row>
    <row r="155" spans="2:6" ht="12.75">
      <c r="B155" s="1090"/>
      <c r="C155" s="74"/>
      <c r="D155" s="74"/>
      <c r="E155" s="1090"/>
      <c r="F155" s="74"/>
    </row>
    <row r="156" spans="2:6" ht="12.75">
      <c r="B156" s="1090"/>
      <c r="C156" s="74"/>
      <c r="D156" s="74"/>
      <c r="E156" s="1090"/>
      <c r="F156" s="74"/>
    </row>
    <row r="157" spans="2:6" ht="12.75">
      <c r="B157" s="1090"/>
      <c r="C157" s="74"/>
      <c r="D157" s="74"/>
      <c r="E157" s="1090"/>
      <c r="F157" s="74"/>
    </row>
    <row r="158" spans="2:6" ht="12.75">
      <c r="B158" s="1090"/>
      <c r="C158" s="74"/>
      <c r="D158" s="74"/>
      <c r="E158" s="1090"/>
      <c r="F158" s="74"/>
    </row>
    <row r="159" spans="2:6" ht="12.75">
      <c r="B159" s="1090"/>
      <c r="C159" s="74"/>
      <c r="D159" s="74"/>
      <c r="E159" s="1090"/>
      <c r="F159" s="74"/>
    </row>
    <row r="160" spans="2:6" ht="12.75">
      <c r="B160" s="1090"/>
      <c r="C160" s="74"/>
      <c r="D160" s="74"/>
      <c r="E160" s="1090"/>
      <c r="F160" s="74"/>
    </row>
    <row r="161" spans="2:6" ht="12.75">
      <c r="B161" s="1090"/>
      <c r="C161" s="74"/>
      <c r="D161" s="74"/>
      <c r="E161" s="1090"/>
      <c r="F161" s="74"/>
    </row>
    <row r="162" spans="2:6" ht="12.75">
      <c r="B162" s="1090"/>
      <c r="C162" s="74"/>
      <c r="D162" s="74"/>
      <c r="E162" s="1090"/>
      <c r="F162" s="74"/>
    </row>
    <row r="163" spans="2:6" ht="12.75">
      <c r="B163" s="1090"/>
      <c r="C163" s="74"/>
      <c r="D163" s="74"/>
      <c r="E163" s="1090"/>
      <c r="F163" s="74"/>
    </row>
    <row r="164" spans="2:6" ht="12.75">
      <c r="B164" s="1090"/>
      <c r="C164" s="74"/>
      <c r="D164" s="74"/>
      <c r="E164" s="1090"/>
      <c r="F164" s="74"/>
    </row>
    <row r="165" spans="2:6" ht="12.75">
      <c r="B165" s="1090"/>
      <c r="C165" s="74"/>
      <c r="D165" s="74"/>
      <c r="E165" s="1090"/>
      <c r="F165" s="74"/>
    </row>
    <row r="166" spans="2:6" ht="12.75">
      <c r="B166" s="1090"/>
      <c r="C166" s="74"/>
      <c r="D166" s="74"/>
      <c r="E166" s="1090"/>
      <c r="F166" s="74"/>
    </row>
    <row r="167" spans="2:6" ht="12.75">
      <c r="B167" s="1090"/>
      <c r="C167" s="74"/>
      <c r="D167" s="74"/>
      <c r="E167" s="1090"/>
      <c r="F167" s="74"/>
    </row>
    <row r="168" spans="2:6" ht="12.75">
      <c r="B168" s="1090"/>
      <c r="C168" s="74"/>
      <c r="D168" s="74"/>
      <c r="E168" s="1090"/>
      <c r="F168" s="74"/>
    </row>
    <row r="169" spans="2:6" ht="12.75">
      <c r="B169" s="1090"/>
      <c r="C169" s="74"/>
      <c r="D169" s="74"/>
      <c r="E169" s="1090"/>
      <c r="F169" s="74"/>
    </row>
    <row r="170" spans="2:6" ht="12.75">
      <c r="B170" s="1090"/>
      <c r="C170" s="74"/>
      <c r="D170" s="74"/>
      <c r="E170" s="1090"/>
      <c r="F170" s="74"/>
    </row>
    <row r="171" spans="2:6" ht="12.75">
      <c r="B171" s="1090"/>
      <c r="C171" s="74"/>
      <c r="D171" s="74"/>
      <c r="E171" s="1090"/>
      <c r="F171" s="74"/>
    </row>
    <row r="172" spans="2:6" ht="12.75">
      <c r="B172" s="1090"/>
      <c r="C172" s="74"/>
      <c r="D172" s="74"/>
      <c r="E172" s="1090"/>
      <c r="F172" s="74"/>
    </row>
    <row r="173" spans="2:6" ht="12.75">
      <c r="B173" s="1090"/>
      <c r="C173" s="74"/>
      <c r="D173" s="74"/>
      <c r="E173" s="1090"/>
      <c r="F173" s="74"/>
    </row>
    <row r="174" spans="2:6" ht="12.75">
      <c r="B174" s="1090"/>
      <c r="C174" s="74"/>
      <c r="D174" s="74"/>
      <c r="E174" s="1090"/>
      <c r="F174" s="74"/>
    </row>
    <row r="175" spans="2:6" ht="12.75">
      <c r="B175" s="1090"/>
      <c r="C175" s="74"/>
      <c r="D175" s="74"/>
      <c r="E175" s="1090"/>
      <c r="F175" s="74"/>
    </row>
    <row r="176" spans="2:6" ht="12.75">
      <c r="B176" s="1090"/>
      <c r="C176" s="74"/>
      <c r="D176" s="74"/>
      <c r="E176" s="1090"/>
      <c r="F176" s="74"/>
    </row>
    <row r="177" spans="2:6" ht="12.75">
      <c r="B177" s="1090"/>
      <c r="C177" s="74"/>
      <c r="D177" s="74"/>
      <c r="E177" s="1090"/>
      <c r="F177" s="74"/>
    </row>
    <row r="178" spans="2:6" ht="12.75">
      <c r="B178" s="1090"/>
      <c r="C178" s="74"/>
      <c r="D178" s="74"/>
      <c r="E178" s="1090"/>
      <c r="F178" s="74"/>
    </row>
    <row r="179" spans="2:6" ht="12.75">
      <c r="B179" s="1090"/>
      <c r="C179" s="74"/>
      <c r="D179" s="74"/>
      <c r="E179" s="1090"/>
      <c r="F179" s="74"/>
    </row>
    <row r="180" spans="2:6" ht="12.75">
      <c r="B180" s="1090"/>
      <c r="C180" s="74"/>
      <c r="D180" s="74"/>
      <c r="E180" s="1090"/>
      <c r="F180" s="74"/>
    </row>
    <row r="181" spans="2:6" ht="12.75">
      <c r="B181" s="1090"/>
      <c r="C181" s="74"/>
      <c r="D181" s="74"/>
      <c r="E181" s="1090"/>
      <c r="F181" s="74"/>
    </row>
    <row r="182" spans="2:6" ht="12.75">
      <c r="B182" s="1090"/>
      <c r="C182" s="74"/>
      <c r="D182" s="74"/>
      <c r="E182" s="1090"/>
      <c r="F182" s="74"/>
    </row>
    <row r="183" spans="2:6" ht="12.75">
      <c r="B183" s="1090"/>
      <c r="C183" s="74"/>
      <c r="D183" s="74"/>
      <c r="E183" s="1090"/>
      <c r="F183" s="74"/>
    </row>
    <row r="184" spans="2:6" ht="12.75">
      <c r="B184" s="1090"/>
      <c r="C184" s="74"/>
      <c r="D184" s="74"/>
      <c r="E184" s="1090"/>
      <c r="F184" s="74"/>
    </row>
    <row r="185" spans="2:6" ht="12.75">
      <c r="B185" s="1090"/>
      <c r="C185" s="74"/>
      <c r="D185" s="74"/>
      <c r="E185" s="1090"/>
      <c r="F185" s="74"/>
    </row>
    <row r="186" spans="2:6" ht="12.75">
      <c r="B186" s="1090"/>
      <c r="C186" s="74"/>
      <c r="D186" s="74"/>
      <c r="E186" s="1090"/>
      <c r="F186" s="74"/>
    </row>
    <row r="187" spans="2:6" ht="12.75">
      <c r="B187" s="1090"/>
      <c r="C187" s="74"/>
      <c r="D187" s="74"/>
      <c r="E187" s="1090"/>
      <c r="F187" s="74"/>
    </row>
    <row r="188" spans="2:6" ht="12.75">
      <c r="B188" s="1090"/>
      <c r="C188" s="74"/>
      <c r="D188" s="74"/>
      <c r="E188" s="1090"/>
      <c r="F188" s="74"/>
    </row>
    <row r="189" spans="2:6" ht="12.75">
      <c r="B189" s="1090"/>
      <c r="C189" s="74"/>
      <c r="D189" s="74"/>
      <c r="E189" s="1090"/>
      <c r="F189" s="74"/>
    </row>
    <row r="190" spans="2:6" ht="12.75">
      <c r="B190" s="1090"/>
      <c r="C190" s="74"/>
      <c r="D190" s="74"/>
      <c r="E190" s="1090"/>
      <c r="F190" s="74"/>
    </row>
    <row r="191" spans="2:6" ht="12.75">
      <c r="B191" s="1090"/>
      <c r="C191" s="74"/>
      <c r="D191" s="74"/>
      <c r="E191" s="1090"/>
      <c r="F191" s="74"/>
    </row>
    <row r="192" spans="2:6" ht="12.75">
      <c r="B192" s="1090"/>
      <c r="C192" s="74"/>
      <c r="D192" s="74"/>
      <c r="E192" s="1090"/>
      <c r="F192" s="74"/>
    </row>
    <row r="193" spans="2:6" ht="12.75">
      <c r="B193" s="1090"/>
      <c r="C193" s="74"/>
      <c r="D193" s="74"/>
      <c r="E193" s="1090"/>
      <c r="F193" s="74"/>
    </row>
    <row r="194" spans="2:6" ht="12.75">
      <c r="B194" s="1090"/>
      <c r="C194" s="74"/>
      <c r="D194" s="74"/>
      <c r="E194" s="1090"/>
      <c r="F194" s="74"/>
    </row>
    <row r="195" spans="2:6" ht="12.75">
      <c r="B195" s="1090"/>
      <c r="C195" s="74"/>
      <c r="D195" s="74"/>
      <c r="E195" s="1090"/>
      <c r="F195" s="74"/>
    </row>
    <row r="196" spans="2:6" ht="12.75">
      <c r="B196" s="1090"/>
      <c r="C196" s="74"/>
      <c r="D196" s="74"/>
      <c r="E196" s="1090"/>
      <c r="F196" s="74"/>
    </row>
    <row r="197" spans="2:6" ht="12.75">
      <c r="B197" s="1090"/>
      <c r="C197" s="74"/>
      <c r="D197" s="74"/>
      <c r="E197" s="1090"/>
      <c r="F197" s="74"/>
    </row>
    <row r="198" spans="2:6" ht="12.75">
      <c r="B198" s="1090"/>
      <c r="C198" s="74"/>
      <c r="D198" s="74"/>
      <c r="E198" s="1090"/>
      <c r="F198" s="74"/>
    </row>
    <row r="199" spans="2:6" ht="12.75">
      <c r="B199" s="1090"/>
      <c r="C199" s="74"/>
      <c r="D199" s="74"/>
      <c r="E199" s="1090"/>
      <c r="F199" s="74"/>
    </row>
    <row r="200" spans="2:6" ht="12.75">
      <c r="B200" s="1090"/>
      <c r="C200" s="74"/>
      <c r="D200" s="74"/>
      <c r="E200" s="1090"/>
      <c r="F200" s="74"/>
    </row>
    <row r="201" spans="2:6" ht="12.75">
      <c r="B201" s="1090"/>
      <c r="C201" s="74"/>
      <c r="D201" s="74"/>
      <c r="E201" s="1090"/>
      <c r="F201" s="74"/>
    </row>
    <row r="202" spans="2:6" ht="12.75">
      <c r="B202" s="1090"/>
      <c r="C202" s="74"/>
      <c r="D202" s="74"/>
      <c r="E202" s="1090"/>
      <c r="F202" s="74"/>
    </row>
    <row r="203" spans="2:6" ht="12.75">
      <c r="B203" s="1090"/>
      <c r="C203" s="74"/>
      <c r="D203" s="74"/>
      <c r="E203" s="1090"/>
      <c r="F203" s="74"/>
    </row>
    <row r="204" spans="2:6" ht="12.75">
      <c r="B204" s="1090"/>
      <c r="C204" s="74"/>
      <c r="D204" s="74"/>
      <c r="E204" s="1090"/>
      <c r="F204" s="74"/>
    </row>
    <row r="205" spans="2:6" ht="12.75">
      <c r="B205" s="1090"/>
      <c r="C205" s="74"/>
      <c r="D205" s="74"/>
      <c r="E205" s="1090"/>
      <c r="F205" s="74"/>
    </row>
    <row r="206" spans="2:6" ht="12.75">
      <c r="B206" s="1090"/>
      <c r="C206" s="74"/>
      <c r="D206" s="74"/>
      <c r="E206" s="1090"/>
      <c r="F206" s="74"/>
    </row>
    <row r="207" spans="2:6" ht="12.75">
      <c r="B207" s="1090"/>
      <c r="C207" s="74"/>
      <c r="D207" s="74"/>
      <c r="E207" s="1090"/>
      <c r="F207" s="74"/>
    </row>
    <row r="208" spans="2:6" ht="12.75">
      <c r="B208" s="1090"/>
      <c r="C208" s="74"/>
      <c r="D208" s="74"/>
      <c r="E208" s="1090"/>
      <c r="F208" s="74"/>
    </row>
    <row r="209" spans="2:6" ht="12.75">
      <c r="B209" s="1090"/>
      <c r="C209" s="74"/>
      <c r="D209" s="74"/>
      <c r="E209" s="1090"/>
      <c r="F209" s="74"/>
    </row>
    <row r="210" spans="2:6" ht="12.75">
      <c r="B210" s="1090"/>
      <c r="C210" s="74"/>
      <c r="D210" s="74"/>
      <c r="E210" s="1090"/>
      <c r="F210" s="74"/>
    </row>
    <row r="211" spans="2:6" ht="12.75">
      <c r="B211" s="1090"/>
      <c r="C211" s="74"/>
      <c r="D211" s="74"/>
      <c r="E211" s="1090"/>
      <c r="F211" s="74"/>
    </row>
    <row r="212" spans="2:6" ht="12.75">
      <c r="B212" s="1090"/>
      <c r="C212" s="74"/>
      <c r="D212" s="74"/>
      <c r="E212" s="1090"/>
      <c r="F212" s="74"/>
    </row>
    <row r="213" spans="2:6" ht="12.75">
      <c r="B213" s="1090"/>
      <c r="C213" s="74"/>
      <c r="D213" s="74"/>
      <c r="E213" s="1090"/>
      <c r="F213" s="74"/>
    </row>
    <row r="214" spans="2:6" ht="12.75">
      <c r="B214" s="1090"/>
      <c r="C214" s="74"/>
      <c r="D214" s="74"/>
      <c r="E214" s="1090"/>
      <c r="F214" s="74"/>
    </row>
    <row r="215" spans="2:6" ht="12.75">
      <c r="B215" s="1090"/>
      <c r="C215" s="74"/>
      <c r="D215" s="74"/>
      <c r="E215" s="1090"/>
      <c r="F215" s="74"/>
    </row>
    <row r="216" spans="2:6" ht="12.75">
      <c r="B216" s="1090"/>
      <c r="C216" s="74"/>
      <c r="D216" s="74"/>
      <c r="E216" s="1090"/>
      <c r="F216" s="74"/>
    </row>
    <row r="217" spans="2:6" ht="12.75">
      <c r="B217" s="1090"/>
      <c r="C217" s="74"/>
      <c r="D217" s="74"/>
      <c r="E217" s="1090"/>
      <c r="F217" s="74"/>
    </row>
    <row r="218" spans="2:6" ht="12.75">
      <c r="B218" s="1090"/>
      <c r="C218" s="74"/>
      <c r="D218" s="74"/>
      <c r="E218" s="1090"/>
      <c r="F218" s="74"/>
    </row>
    <row r="219" spans="2:6" ht="12.75">
      <c r="B219" s="1090"/>
      <c r="C219" s="74"/>
      <c r="D219" s="74"/>
      <c r="E219" s="1090"/>
      <c r="F219" s="74"/>
    </row>
    <row r="220" spans="2:6" ht="12.75">
      <c r="B220" s="1090"/>
      <c r="C220" s="74"/>
      <c r="D220" s="74"/>
      <c r="E220" s="1090"/>
      <c r="F220" s="74"/>
    </row>
    <row r="221" spans="2:6" ht="12.75">
      <c r="B221" s="1090"/>
      <c r="C221" s="74"/>
      <c r="D221" s="74"/>
      <c r="E221" s="1090"/>
      <c r="F221" s="74"/>
    </row>
    <row r="222" spans="2:6" ht="12.75">
      <c r="B222" s="1090"/>
      <c r="C222" s="74"/>
      <c r="D222" s="74"/>
      <c r="E222" s="1090"/>
      <c r="F222" s="74"/>
    </row>
    <row r="223" spans="2:6" ht="12.75">
      <c r="B223" s="1090"/>
      <c r="C223" s="74"/>
      <c r="D223" s="74"/>
      <c r="E223" s="1090"/>
      <c r="F223" s="74"/>
    </row>
    <row r="224" spans="2:6" ht="12.75">
      <c r="B224" s="1090"/>
      <c r="C224" s="74"/>
      <c r="D224" s="74"/>
      <c r="E224" s="1090"/>
      <c r="F224" s="74"/>
    </row>
    <row r="225" spans="2:6" ht="12.75">
      <c r="B225" s="1090"/>
      <c r="C225" s="74"/>
      <c r="D225" s="74"/>
      <c r="E225" s="1090"/>
      <c r="F225" s="74"/>
    </row>
    <row r="226" spans="2:6" ht="12.75">
      <c r="B226" s="1090"/>
      <c r="C226" s="74"/>
      <c r="D226" s="74"/>
      <c r="E226" s="1090"/>
      <c r="F226" s="74"/>
    </row>
    <row r="227" spans="2:6" ht="12.75">
      <c r="B227" s="1090"/>
      <c r="C227" s="74"/>
      <c r="D227" s="74"/>
      <c r="E227" s="1090"/>
      <c r="F227" s="74"/>
    </row>
    <row r="228" spans="2:6" ht="12.75">
      <c r="B228" s="1090"/>
      <c r="C228" s="74"/>
      <c r="D228" s="74"/>
      <c r="E228" s="1090"/>
      <c r="F228" s="74"/>
    </row>
    <row r="229" spans="2:6" ht="12.75">
      <c r="B229" s="1090"/>
      <c r="C229" s="74"/>
      <c r="D229" s="74"/>
      <c r="E229" s="1090"/>
      <c r="F229" s="74"/>
    </row>
    <row r="230" spans="2:6" ht="12.75">
      <c r="B230" s="1090"/>
      <c r="C230" s="74"/>
      <c r="D230" s="74"/>
      <c r="E230" s="1090"/>
      <c r="F230" s="74"/>
    </row>
    <row r="231" spans="2:6" ht="12.75">
      <c r="B231" s="1090"/>
      <c r="C231" s="74"/>
      <c r="D231" s="74"/>
      <c r="E231" s="1090"/>
      <c r="F231" s="74"/>
    </row>
    <row r="232" spans="2:6" ht="12.75">
      <c r="B232" s="1090"/>
      <c r="C232" s="74"/>
      <c r="D232" s="74"/>
      <c r="E232" s="1090"/>
      <c r="F232" s="74"/>
    </row>
    <row r="233" spans="2:6" ht="12.75">
      <c r="B233" s="1090"/>
      <c r="C233" s="74"/>
      <c r="D233" s="74"/>
      <c r="E233" s="1090"/>
      <c r="F233" s="74"/>
    </row>
    <row r="234" spans="2:6" ht="12.75">
      <c r="B234" s="1090"/>
      <c r="C234" s="74"/>
      <c r="D234" s="74"/>
      <c r="E234" s="1090"/>
      <c r="F234" s="74"/>
    </row>
    <row r="235" spans="2:6" ht="12.75">
      <c r="B235" s="1090"/>
      <c r="C235" s="74"/>
      <c r="D235" s="74"/>
      <c r="E235" s="1090"/>
      <c r="F235" s="74"/>
    </row>
    <row r="236" spans="2:6" ht="12.75">
      <c r="B236" s="1090"/>
      <c r="C236" s="74"/>
      <c r="D236" s="74"/>
      <c r="E236" s="1090"/>
      <c r="F236" s="74"/>
    </row>
    <row r="237" spans="2:6" ht="12.75">
      <c r="B237" s="1090"/>
      <c r="C237" s="74"/>
      <c r="D237" s="74"/>
      <c r="E237" s="1090"/>
      <c r="F237" s="74"/>
    </row>
    <row r="238" spans="2:6" ht="12.75">
      <c r="B238" s="1090"/>
      <c r="C238" s="74"/>
      <c r="D238" s="74"/>
      <c r="E238" s="1090"/>
      <c r="F238" s="74"/>
    </row>
    <row r="239" spans="2:6" ht="12.75">
      <c r="B239" s="1090"/>
      <c r="C239" s="74"/>
      <c r="D239" s="74"/>
      <c r="E239" s="1090"/>
      <c r="F239" s="74"/>
    </row>
    <row r="240" spans="2:6" ht="12.75">
      <c r="B240" s="1090"/>
      <c r="C240" s="74"/>
      <c r="D240" s="74"/>
      <c r="E240" s="1090"/>
      <c r="F240" s="74"/>
    </row>
    <row r="241" spans="2:6" ht="12.75">
      <c r="B241" s="1090"/>
      <c r="C241" s="74"/>
      <c r="D241" s="74"/>
      <c r="E241" s="1090"/>
      <c r="F241" s="74"/>
    </row>
    <row r="242" spans="2:6" ht="12.75">
      <c r="B242" s="1090"/>
      <c r="C242" s="74"/>
      <c r="D242" s="74"/>
      <c r="E242" s="1090"/>
      <c r="F242" s="74"/>
    </row>
    <row r="243" spans="2:6" ht="12.75">
      <c r="B243" s="1090"/>
      <c r="C243" s="74"/>
      <c r="D243" s="74"/>
      <c r="E243" s="1090"/>
      <c r="F243" s="74"/>
    </row>
    <row r="244" spans="2:6" ht="12.75">
      <c r="B244" s="1090"/>
      <c r="C244" s="74"/>
      <c r="D244" s="74"/>
      <c r="E244" s="1090"/>
      <c r="F244" s="74"/>
    </row>
    <row r="245" spans="2:6" ht="12.75">
      <c r="B245" s="1090"/>
      <c r="C245" s="74"/>
      <c r="D245" s="74"/>
      <c r="E245" s="1090"/>
      <c r="F245" s="74"/>
    </row>
    <row r="246" spans="2:6" ht="12.75">
      <c r="B246" s="1090"/>
      <c r="C246" s="74"/>
      <c r="D246" s="74"/>
      <c r="E246" s="1090"/>
      <c r="F246" s="74"/>
    </row>
    <row r="247" spans="2:6" ht="12.75">
      <c r="B247" s="1090"/>
      <c r="C247" s="74"/>
      <c r="D247" s="74"/>
      <c r="E247" s="1090"/>
      <c r="F247" s="74"/>
    </row>
    <row r="248" spans="2:6" ht="12.75">
      <c r="B248" s="1090"/>
      <c r="C248" s="74"/>
      <c r="D248" s="74"/>
      <c r="E248" s="1090"/>
      <c r="F248" s="74"/>
    </row>
    <row r="249" spans="2:6" ht="12.75">
      <c r="B249" s="1090"/>
      <c r="C249" s="74"/>
      <c r="D249" s="74"/>
      <c r="E249" s="1090"/>
      <c r="F249" s="74"/>
    </row>
    <row r="250" spans="2:6" ht="12.75">
      <c r="B250" s="1090"/>
      <c r="C250" s="74"/>
      <c r="D250" s="74"/>
      <c r="E250" s="1090"/>
      <c r="F250" s="74"/>
    </row>
    <row r="251" spans="2:6" ht="12.75">
      <c r="B251" s="1090"/>
      <c r="C251" s="74"/>
      <c r="D251" s="74"/>
      <c r="E251" s="1090"/>
      <c r="F251" s="74"/>
    </row>
    <row r="252" spans="2:6" ht="12.75">
      <c r="B252" s="1090"/>
      <c r="C252" s="74"/>
      <c r="D252" s="74"/>
      <c r="E252" s="1090"/>
      <c r="F252" s="74"/>
    </row>
    <row r="253" spans="2:6" ht="12.75">
      <c r="B253" s="1090"/>
      <c r="C253" s="74"/>
      <c r="D253" s="74"/>
      <c r="E253" s="1090"/>
      <c r="F253" s="74"/>
    </row>
    <row r="254" spans="2:6" ht="12.75">
      <c r="B254" s="1090"/>
      <c r="C254" s="74"/>
      <c r="D254" s="74"/>
      <c r="E254" s="1090"/>
      <c r="F254" s="74"/>
    </row>
    <row r="255" spans="2:6" ht="12.75">
      <c r="B255" s="1090"/>
      <c r="C255" s="74"/>
      <c r="D255" s="74"/>
      <c r="E255" s="1090"/>
      <c r="F255" s="74"/>
    </row>
    <row r="256" spans="2:6" ht="12.75">
      <c r="B256" s="1090"/>
      <c r="C256" s="74"/>
      <c r="D256" s="74"/>
      <c r="E256" s="1090"/>
      <c r="F256" s="74"/>
    </row>
    <row r="257" spans="2:6" ht="12.75">
      <c r="B257" s="1090"/>
      <c r="C257" s="74"/>
      <c r="D257" s="74"/>
      <c r="E257" s="1090"/>
      <c r="F257" s="74"/>
    </row>
    <row r="258" spans="2:6" ht="12.75">
      <c r="B258" s="1090"/>
      <c r="C258" s="74"/>
      <c r="D258" s="74"/>
      <c r="E258" s="1090"/>
      <c r="F258" s="74"/>
    </row>
    <row r="259" spans="2:6" ht="12.75">
      <c r="B259" s="1090"/>
      <c r="C259" s="74"/>
      <c r="D259" s="74"/>
      <c r="E259" s="1090"/>
      <c r="F259" s="74"/>
    </row>
    <row r="260" spans="2:6" ht="12.75">
      <c r="B260" s="1090"/>
      <c r="C260" s="74"/>
      <c r="D260" s="74"/>
      <c r="E260" s="1090"/>
      <c r="F260" s="74"/>
    </row>
    <row r="261" spans="2:6" ht="12.75">
      <c r="B261" s="1090"/>
      <c r="C261" s="74"/>
      <c r="D261" s="74"/>
      <c r="E261" s="1090"/>
      <c r="F261" s="74"/>
    </row>
    <row r="262" spans="2:6" ht="12.75">
      <c r="B262" s="1090"/>
      <c r="C262" s="74"/>
      <c r="D262" s="74"/>
      <c r="E262" s="1090"/>
      <c r="F262" s="74"/>
    </row>
    <row r="263" spans="2:6" ht="12.75">
      <c r="B263" s="1090"/>
      <c r="C263" s="74"/>
      <c r="D263" s="74"/>
      <c r="E263" s="1090"/>
      <c r="F263" s="74"/>
    </row>
    <row r="264" spans="2:6" ht="12.75">
      <c r="B264" s="1090"/>
      <c r="C264" s="74"/>
      <c r="D264" s="74"/>
      <c r="E264" s="1090"/>
      <c r="F264" s="74"/>
    </row>
    <row r="265" spans="2:6" ht="12.75">
      <c r="B265" s="1090"/>
      <c r="C265" s="74"/>
      <c r="D265" s="74"/>
      <c r="E265" s="1090"/>
      <c r="F265" s="74"/>
    </row>
    <row r="266" spans="2:6" ht="12.75">
      <c r="B266" s="1090"/>
      <c r="C266" s="74"/>
      <c r="D266" s="74"/>
      <c r="E266" s="1090"/>
      <c r="F266" s="74"/>
    </row>
    <row r="267" spans="2:6" ht="12.75">
      <c r="B267" s="1090"/>
      <c r="C267" s="74"/>
      <c r="D267" s="74"/>
      <c r="E267" s="1090"/>
      <c r="F267" s="74"/>
    </row>
    <row r="268" spans="2:6" ht="12.75">
      <c r="B268" s="1090"/>
      <c r="C268" s="74"/>
      <c r="D268" s="74"/>
      <c r="E268" s="1090"/>
      <c r="F268" s="74"/>
    </row>
    <row r="269" spans="2:6" ht="12.75">
      <c r="B269" s="1090"/>
      <c r="C269" s="74"/>
      <c r="D269" s="74"/>
      <c r="E269" s="1090"/>
      <c r="F269" s="74"/>
    </row>
    <row r="270" spans="2:6" ht="12.75">
      <c r="B270" s="1090"/>
      <c r="C270" s="74"/>
      <c r="D270" s="74"/>
      <c r="E270" s="1090"/>
      <c r="F270" s="74"/>
    </row>
    <row r="271" spans="2:6" ht="12.75">
      <c r="B271" s="1090"/>
      <c r="C271" s="74"/>
      <c r="D271" s="74"/>
      <c r="E271" s="1090"/>
      <c r="F271" s="74"/>
    </row>
    <row r="272" spans="2:6" ht="12.75">
      <c r="B272" s="1090"/>
      <c r="C272" s="74"/>
      <c r="D272" s="74"/>
      <c r="E272" s="1090"/>
      <c r="F272" s="74"/>
    </row>
    <row r="273" spans="2:6" ht="12.75">
      <c r="B273" s="1090"/>
      <c r="C273" s="74"/>
      <c r="D273" s="74"/>
      <c r="E273" s="1090"/>
      <c r="F273" s="74"/>
    </row>
    <row r="274" spans="2:6" ht="12.75">
      <c r="B274" s="1090"/>
      <c r="C274" s="74"/>
      <c r="D274" s="74"/>
      <c r="E274" s="1090"/>
      <c r="F274" s="74"/>
    </row>
    <row r="275" spans="2:6" ht="12.75">
      <c r="B275" s="1090"/>
      <c r="C275" s="74"/>
      <c r="D275" s="74"/>
      <c r="E275" s="1090"/>
      <c r="F275" s="74"/>
    </row>
    <row r="276" spans="2:6" ht="12.75">
      <c r="B276" s="1090"/>
      <c r="C276" s="74"/>
      <c r="D276" s="74"/>
      <c r="E276" s="1090"/>
      <c r="F276" s="74"/>
    </row>
    <row r="277" spans="2:6" ht="12.75">
      <c r="B277" s="1090"/>
      <c r="C277" s="74"/>
      <c r="D277" s="74"/>
      <c r="E277" s="1090"/>
      <c r="F277" s="74"/>
    </row>
    <row r="278" spans="2:6" ht="12.75">
      <c r="B278" s="1090"/>
      <c r="C278" s="74"/>
      <c r="D278" s="74"/>
      <c r="E278" s="1090"/>
      <c r="F278" s="74"/>
    </row>
    <row r="279" spans="2:6" ht="12.75">
      <c r="B279" s="1090"/>
      <c r="C279" s="74"/>
      <c r="D279" s="74"/>
      <c r="E279" s="1090"/>
      <c r="F279" s="74"/>
    </row>
    <row r="280" spans="2:6" ht="12.75">
      <c r="B280" s="1090"/>
      <c r="C280" s="74"/>
      <c r="D280" s="74"/>
      <c r="E280" s="1090"/>
      <c r="F280" s="74"/>
    </row>
    <row r="281" spans="2:6" ht="12.75">
      <c r="B281" s="1090"/>
      <c r="C281" s="74"/>
      <c r="D281" s="74"/>
      <c r="E281" s="1090"/>
      <c r="F281" s="74"/>
    </row>
    <row r="282" spans="2:6" ht="12.75">
      <c r="B282" s="1090"/>
      <c r="C282" s="74"/>
      <c r="D282" s="74"/>
      <c r="E282" s="1090"/>
      <c r="F282" s="74"/>
    </row>
    <row r="283" spans="2:6" ht="12.75">
      <c r="B283" s="1090"/>
      <c r="C283" s="74"/>
      <c r="D283" s="74"/>
      <c r="E283" s="1090"/>
      <c r="F283" s="74"/>
    </row>
    <row r="284" spans="2:6" ht="12.75">
      <c r="B284" s="1090"/>
      <c r="C284" s="74"/>
      <c r="D284" s="74"/>
      <c r="E284" s="1090"/>
      <c r="F284" s="74"/>
    </row>
    <row r="285" spans="2:6" ht="12.75">
      <c r="B285" s="1090"/>
      <c r="C285" s="74"/>
      <c r="D285" s="74"/>
      <c r="E285" s="1090"/>
      <c r="F285" s="74"/>
    </row>
    <row r="286" spans="2:6" ht="12.75">
      <c r="B286" s="1090"/>
      <c r="C286" s="74"/>
      <c r="D286" s="74"/>
      <c r="E286" s="1090"/>
      <c r="F286" s="74"/>
    </row>
    <row r="287" spans="2:6" ht="12.75">
      <c r="B287" s="1090"/>
      <c r="C287" s="74"/>
      <c r="D287" s="74"/>
      <c r="E287" s="1090"/>
      <c r="F287" s="74"/>
    </row>
    <row r="288" spans="2:6" ht="12.75">
      <c r="B288" s="1090"/>
      <c r="C288" s="74"/>
      <c r="D288" s="74"/>
      <c r="E288" s="1090"/>
      <c r="F288" s="74"/>
    </row>
    <row r="289" spans="2:6" ht="12.75">
      <c r="B289" s="1090"/>
      <c r="C289" s="74"/>
      <c r="D289" s="74"/>
      <c r="E289" s="1090"/>
      <c r="F289" s="74"/>
    </row>
    <row r="290" spans="2:6" ht="12.75">
      <c r="B290" s="1090"/>
      <c r="C290" s="74"/>
      <c r="D290" s="74"/>
      <c r="E290" s="1090"/>
      <c r="F290" s="74"/>
    </row>
    <row r="291" spans="2:6" ht="12.75">
      <c r="B291" s="1090"/>
      <c r="C291" s="74"/>
      <c r="D291" s="74"/>
      <c r="E291" s="1090"/>
      <c r="F291" s="74"/>
    </row>
    <row r="292" spans="2:6" ht="12.75">
      <c r="B292" s="1090"/>
      <c r="C292" s="74"/>
      <c r="D292" s="74"/>
      <c r="E292" s="1090"/>
      <c r="F292" s="74"/>
    </row>
    <row r="293" spans="2:6" ht="12.75">
      <c r="B293" s="1090"/>
      <c r="C293" s="74"/>
      <c r="D293" s="74"/>
      <c r="E293" s="1090"/>
      <c r="F293" s="74"/>
    </row>
    <row r="294" spans="2:6" ht="12.75">
      <c r="B294" s="1090"/>
      <c r="C294" s="74"/>
      <c r="D294" s="74"/>
      <c r="E294" s="1090"/>
      <c r="F294" s="74"/>
    </row>
    <row r="295" spans="2:6" ht="12.75">
      <c r="B295" s="1090"/>
      <c r="C295" s="74"/>
      <c r="D295" s="74"/>
      <c r="E295" s="1090"/>
      <c r="F295" s="74"/>
    </row>
    <row r="296" spans="2:6" ht="12.75">
      <c r="B296" s="1090"/>
      <c r="C296" s="74"/>
      <c r="D296" s="74"/>
      <c r="E296" s="1090"/>
      <c r="F296" s="74"/>
    </row>
    <row r="297" spans="2:6" ht="12.75">
      <c r="B297" s="1090"/>
      <c r="C297" s="74"/>
      <c r="D297" s="74"/>
      <c r="E297" s="1090"/>
      <c r="F297" s="74"/>
    </row>
    <row r="298" spans="2:6" ht="12.75">
      <c r="B298" s="1090"/>
      <c r="C298" s="74"/>
      <c r="D298" s="74"/>
      <c r="E298" s="1090"/>
      <c r="F298" s="74"/>
    </row>
    <row r="299" spans="2:6" ht="12.75">
      <c r="B299" s="1090"/>
      <c r="C299" s="74"/>
      <c r="D299" s="74"/>
      <c r="E299" s="1090"/>
      <c r="F299" s="74"/>
    </row>
    <row r="300" spans="2:6" ht="12.75">
      <c r="B300" s="1090"/>
      <c r="C300" s="74"/>
      <c r="D300" s="74"/>
      <c r="E300" s="1090"/>
      <c r="F300" s="74"/>
    </row>
    <row r="301" spans="2:6" ht="12.75">
      <c r="B301" s="1090"/>
      <c r="C301" s="74"/>
      <c r="D301" s="74"/>
      <c r="E301" s="1090"/>
      <c r="F301" s="74"/>
    </row>
    <row r="302" spans="2:6" ht="12.75">
      <c r="B302" s="1090"/>
      <c r="C302" s="74"/>
      <c r="D302" s="74"/>
      <c r="E302" s="1090"/>
      <c r="F302" s="74"/>
    </row>
    <row r="303" spans="2:6" ht="12.75">
      <c r="B303" s="1090"/>
      <c r="C303" s="74"/>
      <c r="D303" s="74"/>
      <c r="E303" s="1090"/>
      <c r="F303" s="74"/>
    </row>
    <row r="304" spans="2:6" ht="12.75">
      <c r="B304" s="1090"/>
      <c r="C304" s="74"/>
      <c r="D304" s="74"/>
      <c r="E304" s="1090"/>
      <c r="F304" s="74"/>
    </row>
    <row r="305" spans="2:6" ht="12.75">
      <c r="B305" s="1090"/>
      <c r="C305" s="74"/>
      <c r="D305" s="74"/>
      <c r="E305" s="1090"/>
      <c r="F305" s="74"/>
    </row>
    <row r="306" spans="2:6" ht="12.75">
      <c r="B306" s="1090"/>
      <c r="C306" s="74"/>
      <c r="D306" s="74"/>
      <c r="E306" s="1090"/>
      <c r="F306" s="74"/>
    </row>
    <row r="307" spans="2:6" ht="12.75">
      <c r="B307" s="1090"/>
      <c r="C307" s="74"/>
      <c r="D307" s="74"/>
      <c r="E307" s="1090"/>
      <c r="F307" s="74"/>
    </row>
    <row r="308" spans="2:6" ht="12.75">
      <c r="B308" s="1090"/>
      <c r="C308" s="74"/>
      <c r="D308" s="74"/>
      <c r="E308" s="1090"/>
      <c r="F308" s="74"/>
    </row>
    <row r="309" spans="2:6" ht="12.75">
      <c r="B309" s="1090"/>
      <c r="C309" s="74"/>
      <c r="D309" s="74"/>
      <c r="E309" s="1090"/>
      <c r="F309" s="74"/>
    </row>
    <row r="310" spans="2:6" ht="12.75">
      <c r="B310" s="1090"/>
      <c r="C310" s="74"/>
      <c r="D310" s="74"/>
      <c r="E310" s="1090"/>
      <c r="F310" s="74"/>
    </row>
    <row r="311" spans="2:6" ht="12.75">
      <c r="B311" s="1090"/>
      <c r="C311" s="74"/>
      <c r="D311" s="74"/>
      <c r="E311" s="1090"/>
      <c r="F311" s="74"/>
    </row>
    <row r="312" spans="2:6" ht="12.75">
      <c r="B312" s="1090"/>
      <c r="C312" s="74"/>
      <c r="D312" s="74"/>
      <c r="E312" s="1090"/>
      <c r="F312" s="74"/>
    </row>
    <row r="313" spans="2:6" ht="12.75">
      <c r="B313" s="1090"/>
      <c r="C313" s="74"/>
      <c r="D313" s="74"/>
      <c r="E313" s="1090"/>
      <c r="F313" s="74"/>
    </row>
    <row r="314" spans="2:6" ht="12.75">
      <c r="B314" s="1090"/>
      <c r="C314" s="74"/>
      <c r="D314" s="74"/>
      <c r="E314" s="1090"/>
      <c r="F314" s="74"/>
    </row>
    <row r="315" spans="2:6" ht="12.75">
      <c r="B315" s="1090"/>
      <c r="C315" s="74"/>
      <c r="D315" s="74"/>
      <c r="E315" s="1090"/>
      <c r="F315" s="74"/>
    </row>
    <row r="316" spans="2:6" ht="12.75">
      <c r="B316" s="1090"/>
      <c r="C316" s="74"/>
      <c r="D316" s="74"/>
      <c r="E316" s="1090"/>
      <c r="F316" s="74"/>
    </row>
    <row r="317" spans="2:6" ht="12.75">
      <c r="B317" s="1090"/>
      <c r="C317" s="74"/>
      <c r="D317" s="74"/>
      <c r="E317" s="1090"/>
      <c r="F317" s="74"/>
    </row>
    <row r="318" spans="2:6" ht="12.75">
      <c r="B318" s="1090"/>
      <c r="C318" s="74"/>
      <c r="D318" s="74"/>
      <c r="E318" s="1090"/>
      <c r="F318" s="74"/>
    </row>
    <row r="319" spans="2:6" ht="12.75">
      <c r="B319" s="1090"/>
      <c r="C319" s="74"/>
      <c r="D319" s="74"/>
      <c r="E319" s="1090"/>
      <c r="F319" s="74"/>
    </row>
    <row r="320" spans="2:6" ht="12.75">
      <c r="B320" s="1090"/>
      <c r="C320" s="74"/>
      <c r="D320" s="74"/>
      <c r="E320" s="1090"/>
      <c r="F320" s="74"/>
    </row>
    <row r="321" spans="2:6" ht="12.75">
      <c r="B321" s="1090"/>
      <c r="C321" s="74"/>
      <c r="D321" s="74"/>
      <c r="E321" s="1090"/>
      <c r="F321" s="74"/>
    </row>
    <row r="322" spans="2:6" ht="12.75">
      <c r="B322" s="1090"/>
      <c r="C322" s="74"/>
      <c r="D322" s="74"/>
      <c r="E322" s="1090"/>
      <c r="F322" s="74"/>
    </row>
    <row r="323" spans="2:6" ht="12.75">
      <c r="B323" s="1090"/>
      <c r="C323" s="74"/>
      <c r="D323" s="74"/>
      <c r="E323" s="1090"/>
      <c r="F323" s="74"/>
    </row>
    <row r="324" spans="2:6" ht="12.75">
      <c r="B324" s="1090"/>
      <c r="C324" s="74"/>
      <c r="D324" s="74"/>
      <c r="E324" s="1090"/>
      <c r="F324" s="74"/>
    </row>
    <row r="325" spans="2:6" ht="12.75">
      <c r="B325" s="1090"/>
      <c r="C325" s="74"/>
      <c r="D325" s="74"/>
      <c r="E325" s="1090"/>
      <c r="F325" s="74"/>
    </row>
    <row r="326" spans="2:6" ht="12.75">
      <c r="B326" s="1090"/>
      <c r="C326" s="74"/>
      <c r="D326" s="74"/>
      <c r="E326" s="1090"/>
      <c r="F326" s="74"/>
    </row>
    <row r="327" spans="2:6" ht="12.75">
      <c r="B327" s="1090"/>
      <c r="C327" s="74"/>
      <c r="D327" s="74"/>
      <c r="E327" s="1090"/>
      <c r="F327" s="74"/>
    </row>
    <row r="328" spans="2:6" ht="12.75">
      <c r="B328" s="1090"/>
      <c r="C328" s="74"/>
      <c r="D328" s="74"/>
      <c r="E328" s="1090"/>
      <c r="F328" s="74"/>
    </row>
    <row r="329" spans="2:6" ht="12.75">
      <c r="B329" s="1090"/>
      <c r="C329" s="74"/>
      <c r="D329" s="74"/>
      <c r="E329" s="1090"/>
      <c r="F329" s="74"/>
    </row>
    <row r="330" spans="2:6" ht="12.75">
      <c r="B330" s="1090"/>
      <c r="C330" s="74"/>
      <c r="D330" s="74"/>
      <c r="E330" s="1090"/>
      <c r="F330" s="74"/>
    </row>
    <row r="331" spans="2:6" ht="12.75">
      <c r="B331" s="1090"/>
      <c r="C331" s="74"/>
      <c r="D331" s="74"/>
      <c r="E331" s="1090"/>
      <c r="F331" s="74"/>
    </row>
    <row r="332" spans="2:6" ht="12.75">
      <c r="B332" s="1090"/>
      <c r="C332" s="74"/>
      <c r="D332" s="74"/>
      <c r="E332" s="1090"/>
      <c r="F332" s="74"/>
    </row>
    <row r="333" spans="2:6" ht="12.75">
      <c r="B333" s="1090"/>
      <c r="C333" s="74"/>
      <c r="D333" s="74"/>
      <c r="E333" s="1090"/>
      <c r="F333" s="74"/>
    </row>
    <row r="334" spans="2:6" ht="12.75">
      <c r="B334" s="1090"/>
      <c r="C334" s="74"/>
      <c r="D334" s="74"/>
      <c r="E334" s="1090"/>
      <c r="F334" s="74"/>
    </row>
    <row r="335" spans="2:6" ht="12.75">
      <c r="B335" s="1090"/>
      <c r="C335" s="74"/>
      <c r="D335" s="74"/>
      <c r="E335" s="1090"/>
      <c r="F335" s="74"/>
    </row>
    <row r="336" spans="2:6" ht="12.75">
      <c r="B336" s="1090"/>
      <c r="C336" s="74"/>
      <c r="D336" s="74"/>
      <c r="E336" s="1090"/>
      <c r="F336" s="74"/>
    </row>
    <row r="337" spans="2:6" ht="12.75">
      <c r="B337" s="1090"/>
      <c r="C337" s="74"/>
      <c r="D337" s="74"/>
      <c r="E337" s="1090"/>
      <c r="F337" s="74"/>
    </row>
    <row r="338" spans="2:6" ht="12.75">
      <c r="B338" s="1090"/>
      <c r="C338" s="74"/>
      <c r="D338" s="74"/>
      <c r="E338" s="1090"/>
      <c r="F338" s="74"/>
    </row>
    <row r="339" spans="2:6" ht="12.75">
      <c r="B339" s="1090"/>
      <c r="C339" s="74"/>
      <c r="D339" s="74"/>
      <c r="E339" s="1090"/>
      <c r="F339" s="74"/>
    </row>
    <row r="340" spans="2:6" ht="12.75">
      <c r="B340" s="1090"/>
      <c r="C340" s="74"/>
      <c r="D340" s="74"/>
      <c r="E340" s="1090"/>
      <c r="F340" s="74"/>
    </row>
    <row r="341" spans="2:6" ht="12.75">
      <c r="B341" s="1090"/>
      <c r="C341" s="74"/>
      <c r="D341" s="74"/>
      <c r="E341" s="1090"/>
      <c r="F341" s="74"/>
    </row>
    <row r="342" spans="2:6" ht="12.75">
      <c r="B342" s="1090"/>
      <c r="C342" s="74"/>
      <c r="D342" s="74"/>
      <c r="E342" s="1090"/>
      <c r="F342" s="74"/>
    </row>
    <row r="343" spans="2:6" ht="12.75">
      <c r="B343" s="1090"/>
      <c r="C343" s="74"/>
      <c r="D343" s="74"/>
      <c r="E343" s="1090"/>
      <c r="F343" s="74"/>
    </row>
    <row r="344" spans="2:6" ht="12.75">
      <c r="B344" s="1090"/>
      <c r="C344" s="74"/>
      <c r="D344" s="74"/>
      <c r="E344" s="1090"/>
      <c r="F344" s="74"/>
    </row>
    <row r="345" spans="2:6" ht="12.75">
      <c r="B345" s="1090"/>
      <c r="C345" s="74"/>
      <c r="D345" s="74"/>
      <c r="E345" s="1090"/>
      <c r="F345" s="74"/>
    </row>
    <row r="346" spans="2:6" ht="12.75">
      <c r="B346" s="1090"/>
      <c r="C346" s="74"/>
      <c r="D346" s="74"/>
      <c r="E346" s="1090"/>
      <c r="F346" s="74"/>
    </row>
    <row r="347" spans="2:6" ht="12.75">
      <c r="B347" s="1090"/>
      <c r="C347" s="74"/>
      <c r="D347" s="74"/>
      <c r="E347" s="1090"/>
      <c r="F347" s="74"/>
    </row>
    <row r="348" spans="2:6" ht="12.75">
      <c r="B348" s="1090"/>
      <c r="C348" s="74"/>
      <c r="D348" s="74"/>
      <c r="E348" s="1090"/>
      <c r="F348" s="74"/>
    </row>
    <row r="349" spans="2:6" ht="12.75">
      <c r="B349" s="1090"/>
      <c r="C349" s="74"/>
      <c r="D349" s="74"/>
      <c r="E349" s="1090"/>
      <c r="F349" s="74"/>
    </row>
    <row r="350" spans="2:6" ht="12.75">
      <c r="B350" s="1090"/>
      <c r="C350" s="74"/>
      <c r="D350" s="74"/>
      <c r="E350" s="1090"/>
      <c r="F350" s="74"/>
    </row>
    <row r="351" spans="2:6" ht="12.75">
      <c r="B351" s="1090"/>
      <c r="C351" s="74"/>
      <c r="D351" s="74"/>
      <c r="E351" s="1090"/>
      <c r="F351" s="74"/>
    </row>
    <row r="352" spans="2:6" ht="12.75">
      <c r="B352" s="1090"/>
      <c r="C352" s="74"/>
      <c r="D352" s="74"/>
      <c r="E352" s="1090"/>
      <c r="F352" s="74"/>
    </row>
    <row r="353" spans="2:6" ht="12.75">
      <c r="B353" s="1090"/>
      <c r="C353" s="74"/>
      <c r="D353" s="74"/>
      <c r="E353" s="1090"/>
      <c r="F353" s="74"/>
    </row>
    <row r="354" spans="2:6" ht="12.75">
      <c r="B354" s="1090"/>
      <c r="C354" s="74"/>
      <c r="D354" s="74"/>
      <c r="E354" s="1090"/>
      <c r="F354" s="74"/>
    </row>
    <row r="355" spans="2:6" ht="12.75">
      <c r="B355" s="1090"/>
      <c r="C355" s="74"/>
      <c r="D355" s="74"/>
      <c r="E355" s="1090"/>
      <c r="F355" s="74"/>
    </row>
    <row r="356" spans="2:6" ht="12.75">
      <c r="B356" s="1090"/>
      <c r="C356" s="74"/>
      <c r="D356" s="74"/>
      <c r="E356" s="1090"/>
      <c r="F356" s="74"/>
    </row>
    <row r="357" spans="2:6" ht="12.75">
      <c r="B357" s="1090"/>
      <c r="C357" s="74"/>
      <c r="D357" s="74"/>
      <c r="E357" s="1090"/>
      <c r="F357" s="74"/>
    </row>
    <row r="358" spans="2:6" ht="12.75">
      <c r="B358" s="1090"/>
      <c r="C358" s="74"/>
      <c r="D358" s="74"/>
      <c r="E358" s="1090"/>
      <c r="F358" s="74"/>
    </row>
    <row r="359" spans="2:6" ht="12.75">
      <c r="B359" s="1090"/>
      <c r="C359" s="74"/>
      <c r="D359" s="74"/>
      <c r="E359" s="1090"/>
      <c r="F359" s="74"/>
    </row>
    <row r="360" spans="2:6" ht="12.75">
      <c r="B360" s="1090"/>
      <c r="C360" s="74"/>
      <c r="D360" s="74"/>
      <c r="E360" s="1090"/>
      <c r="F360" s="74"/>
    </row>
    <row r="361" spans="2:6" ht="12.75">
      <c r="B361" s="1090"/>
      <c r="C361" s="74"/>
      <c r="D361" s="74"/>
      <c r="E361" s="1090"/>
      <c r="F361" s="74"/>
    </row>
    <row r="362" spans="2:6" ht="12.75">
      <c r="B362" s="1090"/>
      <c r="C362" s="74"/>
      <c r="D362" s="74"/>
      <c r="E362" s="1090"/>
      <c r="F362" s="74"/>
    </row>
    <row r="363" spans="2:6" ht="12.75">
      <c r="B363" s="1090"/>
      <c r="C363" s="74"/>
      <c r="D363" s="74"/>
      <c r="E363" s="1090"/>
      <c r="F363" s="74"/>
    </row>
    <row r="364" spans="2:6" ht="12.75">
      <c r="B364" s="1090"/>
      <c r="C364" s="74"/>
      <c r="D364" s="74"/>
      <c r="E364" s="1090"/>
      <c r="F364" s="74"/>
    </row>
    <row r="365" spans="2:6" ht="12.75">
      <c r="B365" s="1090"/>
      <c r="C365" s="74"/>
      <c r="D365" s="74"/>
      <c r="E365" s="1090"/>
      <c r="F365" s="74"/>
    </row>
    <row r="366" spans="2:6" ht="12.75">
      <c r="B366" s="1090"/>
      <c r="C366" s="74"/>
      <c r="D366" s="74"/>
      <c r="E366" s="1090"/>
      <c r="F366" s="74"/>
    </row>
    <row r="367" spans="2:6" ht="12.75">
      <c r="B367" s="1090"/>
      <c r="C367" s="74"/>
      <c r="D367" s="74"/>
      <c r="E367" s="1090"/>
      <c r="F367" s="74"/>
    </row>
    <row r="368" spans="2:6" ht="12.75">
      <c r="B368" s="1090"/>
      <c r="C368" s="74"/>
      <c r="D368" s="74"/>
      <c r="E368" s="1090"/>
      <c r="F368" s="74"/>
    </row>
    <row r="369" spans="2:6" ht="12.75">
      <c r="B369" s="1090"/>
      <c r="C369" s="74"/>
      <c r="D369" s="74"/>
      <c r="E369" s="1090"/>
      <c r="F369" s="74"/>
    </row>
    <row r="370" spans="2:6" ht="12.75">
      <c r="B370" s="1090"/>
      <c r="C370" s="74"/>
      <c r="D370" s="74"/>
      <c r="E370" s="1090"/>
      <c r="F370" s="74"/>
    </row>
    <row r="371" spans="2:6" ht="12.75">
      <c r="B371" s="1090"/>
      <c r="C371" s="74"/>
      <c r="D371" s="74"/>
      <c r="E371" s="1090"/>
      <c r="F371" s="74"/>
    </row>
    <row r="372" spans="2:6" ht="12.75">
      <c r="B372" s="1090"/>
      <c r="C372" s="74"/>
      <c r="D372" s="74"/>
      <c r="E372" s="1090"/>
      <c r="F372" s="74"/>
    </row>
    <row r="373" spans="2:6" ht="12.75">
      <c r="B373" s="1090"/>
      <c r="C373" s="74"/>
      <c r="D373" s="74"/>
      <c r="E373" s="1090"/>
      <c r="F373" s="74"/>
    </row>
    <row r="374" spans="2:6" ht="12.75">
      <c r="B374" s="1090"/>
      <c r="C374" s="74"/>
      <c r="D374" s="74"/>
      <c r="E374" s="1090"/>
      <c r="F374" s="74"/>
    </row>
    <row r="375" spans="2:6" ht="12.75">
      <c r="B375" s="1090"/>
      <c r="C375" s="74"/>
      <c r="D375" s="74"/>
      <c r="E375" s="1090"/>
      <c r="F375" s="74"/>
    </row>
    <row r="376" spans="2:6" ht="12.75">
      <c r="B376" s="1090"/>
      <c r="C376" s="74"/>
      <c r="D376" s="74"/>
      <c r="E376" s="1090"/>
      <c r="F376" s="74"/>
    </row>
    <row r="377" spans="2:6" ht="12.75">
      <c r="B377" s="1090"/>
      <c r="C377" s="74"/>
      <c r="D377" s="74"/>
      <c r="E377" s="1090"/>
      <c r="F377" s="74"/>
    </row>
    <row r="378" spans="2:6" ht="12.75">
      <c r="B378" s="1090"/>
      <c r="C378" s="74"/>
      <c r="D378" s="74"/>
      <c r="E378" s="1090"/>
      <c r="F378" s="74"/>
    </row>
    <row r="379" spans="2:6" ht="12.75">
      <c r="B379" s="1090"/>
      <c r="C379" s="74"/>
      <c r="D379" s="74"/>
      <c r="E379" s="1090"/>
      <c r="F379" s="74"/>
    </row>
    <row r="380" spans="2:6" ht="12.75">
      <c r="B380" s="1090"/>
      <c r="C380" s="74"/>
      <c r="D380" s="74"/>
      <c r="E380" s="1090"/>
      <c r="F380" s="74"/>
    </row>
    <row r="381" spans="2:6" ht="12.75">
      <c r="B381" s="1090"/>
      <c r="C381" s="74"/>
      <c r="D381" s="74"/>
      <c r="E381" s="1090"/>
      <c r="F381" s="74"/>
    </row>
    <row r="382" spans="2:6" ht="12.75">
      <c r="B382" s="1090"/>
      <c r="C382" s="74"/>
      <c r="D382" s="74"/>
      <c r="E382" s="1090"/>
      <c r="F382" s="74"/>
    </row>
    <row r="383" spans="2:6" ht="12.75">
      <c r="B383" s="1090"/>
      <c r="C383" s="74"/>
      <c r="D383" s="74"/>
      <c r="E383" s="1090"/>
      <c r="F383" s="74"/>
    </row>
    <row r="384" spans="2:6" ht="12.75">
      <c r="B384" s="1090"/>
      <c r="C384" s="74"/>
      <c r="D384" s="74"/>
      <c r="E384" s="1090"/>
      <c r="F384" s="74"/>
    </row>
    <row r="385" spans="2:6" ht="12.75">
      <c r="B385" s="1090"/>
      <c r="C385" s="74"/>
      <c r="D385" s="74"/>
      <c r="E385" s="1090"/>
      <c r="F385" s="74"/>
    </row>
    <row r="386" spans="2:6" ht="12.75">
      <c r="B386" s="1090"/>
      <c r="C386" s="74"/>
      <c r="D386" s="74"/>
      <c r="E386" s="1090"/>
      <c r="F386" s="74"/>
    </row>
    <row r="387" spans="2:6" ht="12.75">
      <c r="B387" s="1090"/>
      <c r="C387" s="74"/>
      <c r="D387" s="74"/>
      <c r="E387" s="1090"/>
      <c r="F387" s="74"/>
    </row>
    <row r="388" spans="2:6" ht="12.75">
      <c r="B388" s="1090"/>
      <c r="C388" s="74"/>
      <c r="D388" s="74"/>
      <c r="E388" s="1090"/>
      <c r="F388" s="74"/>
    </row>
    <row r="389" spans="2:6" ht="12.75">
      <c r="B389" s="1090"/>
      <c r="C389" s="74"/>
      <c r="D389" s="74"/>
      <c r="E389" s="1090"/>
      <c r="F389" s="74"/>
    </row>
    <row r="390" spans="2:6" ht="12.75">
      <c r="B390" s="1090"/>
      <c r="C390" s="74"/>
      <c r="D390" s="74"/>
      <c r="E390" s="1090"/>
      <c r="F390" s="74"/>
    </row>
    <row r="391" spans="2:6" ht="12.75">
      <c r="B391" s="1090"/>
      <c r="C391" s="74"/>
      <c r="D391" s="74"/>
      <c r="E391" s="1090"/>
      <c r="F391" s="74"/>
    </row>
    <row r="392" spans="2:6" ht="12.75">
      <c r="B392" s="1090"/>
      <c r="C392" s="74"/>
      <c r="D392" s="74"/>
      <c r="E392" s="1090"/>
      <c r="F392" s="74"/>
    </row>
    <row r="393" spans="2:6" ht="12.75">
      <c r="B393" s="1090"/>
      <c r="C393" s="74"/>
      <c r="D393" s="74"/>
      <c r="E393" s="1090"/>
      <c r="F393" s="74"/>
    </row>
    <row r="394" spans="2:6" ht="12.75">
      <c r="B394" s="1090"/>
      <c r="C394" s="74"/>
      <c r="D394" s="74"/>
      <c r="E394" s="1090"/>
      <c r="F394" s="74"/>
    </row>
    <row r="395" spans="2:6" ht="12.75">
      <c r="B395" s="1090"/>
      <c r="C395" s="74"/>
      <c r="D395" s="74"/>
      <c r="E395" s="1090"/>
      <c r="F395" s="74"/>
    </row>
    <row r="396" spans="2:6" ht="12.75">
      <c r="B396" s="1090"/>
      <c r="C396" s="74"/>
      <c r="D396" s="74"/>
      <c r="E396" s="1090"/>
      <c r="F396" s="74"/>
    </row>
    <row r="397" spans="2:6" ht="12.75">
      <c r="B397" s="1090"/>
      <c r="C397" s="74"/>
      <c r="D397" s="74"/>
      <c r="E397" s="1090"/>
      <c r="F397" s="74"/>
    </row>
    <row r="398" spans="2:6" ht="12.75">
      <c r="B398" s="1090"/>
      <c r="C398" s="74"/>
      <c r="D398" s="74"/>
      <c r="E398" s="1090"/>
      <c r="F398" s="74"/>
    </row>
    <row r="399" spans="2:6" ht="12.75">
      <c r="B399" s="1090"/>
      <c r="C399" s="74"/>
      <c r="D399" s="74"/>
      <c r="E399" s="1090"/>
      <c r="F399" s="74"/>
    </row>
    <row r="400" spans="2:6" ht="12.75">
      <c r="B400" s="1090"/>
      <c r="C400" s="74"/>
      <c r="D400" s="74"/>
      <c r="E400" s="1090"/>
      <c r="F400" s="74"/>
    </row>
    <row r="401" spans="2:6" ht="12.75">
      <c r="B401" s="1090"/>
      <c r="C401" s="74"/>
      <c r="D401" s="74"/>
      <c r="E401" s="1090"/>
      <c r="F401" s="74"/>
    </row>
    <row r="402" spans="2:6" ht="12.75">
      <c r="B402" s="1090"/>
      <c r="C402" s="74"/>
      <c r="D402" s="74"/>
      <c r="E402" s="1090"/>
      <c r="F402" s="74"/>
    </row>
    <row r="403" spans="2:6" ht="12.75">
      <c r="B403" s="1090"/>
      <c r="C403" s="74"/>
      <c r="D403" s="74"/>
      <c r="E403" s="1090"/>
      <c r="F403" s="74"/>
    </row>
    <row r="404" spans="2:6" ht="12.75">
      <c r="B404" s="1090"/>
      <c r="C404" s="74"/>
      <c r="D404" s="74"/>
      <c r="E404" s="1090"/>
      <c r="F404" s="74"/>
    </row>
    <row r="405" spans="2:6" ht="12.75">
      <c r="B405" s="1090"/>
      <c r="C405" s="74"/>
      <c r="D405" s="74"/>
      <c r="E405" s="1090"/>
      <c r="F405" s="74"/>
    </row>
    <row r="406" spans="2:6" ht="12.75">
      <c r="B406" s="1090"/>
      <c r="C406" s="74"/>
      <c r="D406" s="74"/>
      <c r="E406" s="1090"/>
      <c r="F406" s="74"/>
    </row>
    <row r="407" spans="2:6" ht="12.75">
      <c r="B407" s="1090"/>
      <c r="C407" s="74"/>
      <c r="D407" s="74"/>
      <c r="E407" s="1090"/>
      <c r="F407" s="74"/>
    </row>
    <row r="408" spans="2:6" ht="12.75">
      <c r="B408" s="1090"/>
      <c r="C408" s="74"/>
      <c r="D408" s="74"/>
      <c r="E408" s="1090"/>
      <c r="F408" s="74"/>
    </row>
    <row r="409" spans="2:6" ht="12.75">
      <c r="B409" s="1090"/>
      <c r="C409" s="74"/>
      <c r="D409" s="74"/>
      <c r="E409" s="1090"/>
      <c r="F409" s="74"/>
    </row>
    <row r="410" spans="2:6" ht="12.75">
      <c r="B410" s="1090"/>
      <c r="C410" s="74"/>
      <c r="D410" s="74"/>
      <c r="E410" s="1090"/>
      <c r="F410" s="74"/>
    </row>
    <row r="411" spans="2:6" ht="12.75">
      <c r="B411" s="1090"/>
      <c r="C411" s="74"/>
      <c r="D411" s="74"/>
      <c r="E411" s="1090"/>
      <c r="F411" s="74"/>
    </row>
    <row r="412" spans="2:6" ht="12.75">
      <c r="B412" s="1090"/>
      <c r="C412" s="74"/>
      <c r="D412" s="74"/>
      <c r="E412" s="1090"/>
      <c r="F412" s="74"/>
    </row>
    <row r="413" spans="2:6" ht="12.75">
      <c r="B413" s="1090"/>
      <c r="C413" s="74"/>
      <c r="D413" s="74"/>
      <c r="E413" s="1090"/>
      <c r="F413" s="74"/>
    </row>
    <row r="414" spans="2:6" ht="12.75">
      <c r="B414" s="1090"/>
      <c r="C414" s="74"/>
      <c r="D414" s="74"/>
      <c r="E414" s="1090"/>
      <c r="F414" s="74"/>
    </row>
    <row r="415" spans="2:6" ht="12.75">
      <c r="B415" s="1090"/>
      <c r="C415" s="74"/>
      <c r="D415" s="74"/>
      <c r="E415" s="1090"/>
      <c r="F415" s="74"/>
    </row>
    <row r="416" spans="2:6" ht="12.75">
      <c r="B416" s="1090"/>
      <c r="C416" s="74"/>
      <c r="D416" s="74"/>
      <c r="E416" s="1090"/>
      <c r="F416" s="74"/>
    </row>
    <row r="417" spans="2:6" ht="12.75">
      <c r="B417" s="1090"/>
      <c r="C417" s="74"/>
      <c r="D417" s="74"/>
      <c r="E417" s="1090"/>
      <c r="F417" s="74"/>
    </row>
    <row r="418" spans="2:6" ht="12.75">
      <c r="B418" s="1090"/>
      <c r="C418" s="74"/>
      <c r="D418" s="74"/>
      <c r="E418" s="1090"/>
      <c r="F418" s="74"/>
    </row>
    <row r="419" spans="2:6" ht="12.75">
      <c r="B419" s="1090"/>
      <c r="C419" s="74"/>
      <c r="D419" s="74"/>
      <c r="E419" s="1090"/>
      <c r="F419" s="74"/>
    </row>
    <row r="420" spans="2:6" ht="12.75">
      <c r="B420" s="1090"/>
      <c r="C420" s="74"/>
      <c r="D420" s="74"/>
      <c r="E420" s="1090"/>
      <c r="F420" s="74"/>
    </row>
    <row r="421" spans="2:6" ht="12.75">
      <c r="B421" s="1090"/>
      <c r="C421" s="74"/>
      <c r="D421" s="74"/>
      <c r="E421" s="1090"/>
      <c r="F421" s="74"/>
    </row>
    <row r="422" spans="2:6" ht="12.75">
      <c r="B422" s="1090"/>
      <c r="C422" s="74"/>
      <c r="D422" s="74"/>
      <c r="E422" s="1090"/>
      <c r="F422" s="74"/>
    </row>
    <row r="423" spans="2:6" ht="12.75">
      <c r="B423" s="1090"/>
      <c r="C423" s="74"/>
      <c r="D423" s="74"/>
      <c r="E423" s="1090"/>
      <c r="F423" s="74"/>
    </row>
    <row r="424" spans="2:6" ht="12.75">
      <c r="B424" s="1090"/>
      <c r="C424" s="74"/>
      <c r="D424" s="74"/>
      <c r="E424" s="1090"/>
      <c r="F424" s="74"/>
    </row>
    <row r="425" spans="2:6" ht="12.75">
      <c r="B425" s="1090"/>
      <c r="C425" s="74"/>
      <c r="D425" s="74"/>
      <c r="E425" s="1090"/>
      <c r="F425" s="74"/>
    </row>
    <row r="426" spans="2:6" ht="12.75">
      <c r="B426" s="1090"/>
      <c r="C426" s="74"/>
      <c r="D426" s="74"/>
      <c r="E426" s="1090"/>
      <c r="F426" s="74"/>
    </row>
    <row r="427" spans="2:6" ht="12.75">
      <c r="B427" s="1090"/>
      <c r="C427" s="74"/>
      <c r="D427" s="74"/>
      <c r="E427" s="1090"/>
      <c r="F427" s="74"/>
    </row>
    <row r="428" spans="2:6" ht="12.75">
      <c r="B428" s="1090"/>
      <c r="C428" s="74"/>
      <c r="D428" s="74"/>
      <c r="E428" s="1090"/>
      <c r="F428" s="74"/>
    </row>
    <row r="429" spans="2:6" ht="12.75">
      <c r="B429" s="1090"/>
      <c r="C429" s="74"/>
      <c r="D429" s="74"/>
      <c r="E429" s="1090"/>
      <c r="F429" s="74"/>
    </row>
    <row r="430" spans="2:6" ht="12.75">
      <c r="B430" s="1090"/>
      <c r="C430" s="74"/>
      <c r="D430" s="74"/>
      <c r="E430" s="1090"/>
      <c r="F430" s="74"/>
    </row>
    <row r="431" spans="2:6" ht="12.75">
      <c r="B431" s="1090"/>
      <c r="C431" s="74"/>
      <c r="D431" s="74"/>
      <c r="E431" s="1090"/>
      <c r="F431" s="74"/>
    </row>
    <row r="432" spans="2:6" ht="12.75">
      <c r="B432" s="1090"/>
      <c r="C432" s="74"/>
      <c r="D432" s="74"/>
      <c r="E432" s="1090"/>
      <c r="F432" s="74"/>
    </row>
    <row r="433" spans="2:6" ht="12.75">
      <c r="B433" s="1090"/>
      <c r="C433" s="74"/>
      <c r="D433" s="74"/>
      <c r="E433" s="1090"/>
      <c r="F433" s="74"/>
    </row>
    <row r="434" spans="2:6" ht="12.75">
      <c r="B434" s="1090"/>
      <c r="C434" s="74"/>
      <c r="D434" s="74"/>
      <c r="E434" s="1090"/>
      <c r="F434" s="74"/>
    </row>
    <row r="435" spans="2:6" ht="12.75">
      <c r="B435" s="1090"/>
      <c r="C435" s="74"/>
      <c r="D435" s="74"/>
      <c r="E435" s="1090"/>
      <c r="F435" s="74"/>
    </row>
    <row r="436" spans="2:6" ht="12.75">
      <c r="B436" s="1090"/>
      <c r="C436" s="74"/>
      <c r="D436" s="74"/>
      <c r="E436" s="1090"/>
      <c r="F436" s="74"/>
    </row>
    <row r="437" spans="2:6" ht="12.75">
      <c r="B437" s="1090"/>
      <c r="C437" s="74"/>
      <c r="D437" s="74"/>
      <c r="E437" s="1090"/>
      <c r="F437" s="74"/>
    </row>
    <row r="438" spans="2:6" ht="12.75">
      <c r="B438" s="1090"/>
      <c r="C438" s="74"/>
      <c r="D438" s="74"/>
      <c r="E438" s="1090"/>
      <c r="F438" s="74"/>
    </row>
    <row r="439" spans="2:6" ht="12.75">
      <c r="B439" s="1090"/>
      <c r="C439" s="74"/>
      <c r="D439" s="74"/>
      <c r="E439" s="1090"/>
      <c r="F439" s="74"/>
    </row>
    <row r="440" spans="2:6" ht="12.75">
      <c r="B440" s="1090"/>
      <c r="C440" s="74"/>
      <c r="D440" s="74"/>
      <c r="E440" s="1090"/>
      <c r="F440" s="74"/>
    </row>
    <row r="441" spans="2:6" ht="12.75">
      <c r="B441" s="1090"/>
      <c r="C441" s="74"/>
      <c r="D441" s="74"/>
      <c r="E441" s="1090"/>
      <c r="F441" s="74"/>
    </row>
    <row r="442" spans="2:6" ht="12.75">
      <c r="B442" s="1090"/>
      <c r="C442" s="74"/>
      <c r="D442" s="74"/>
      <c r="E442" s="1090"/>
      <c r="F442" s="74"/>
    </row>
    <row r="443" spans="2:6" ht="12.75">
      <c r="B443" s="1090"/>
      <c r="C443" s="74"/>
      <c r="D443" s="74"/>
      <c r="E443" s="1090"/>
      <c r="F443" s="74"/>
    </row>
    <row r="444" spans="2:6" ht="12.75">
      <c r="B444" s="1090"/>
      <c r="C444" s="74"/>
      <c r="D444" s="74"/>
      <c r="E444" s="1090"/>
      <c r="F444" s="74"/>
    </row>
    <row r="445" spans="2:6" ht="12.75">
      <c r="B445" s="1090"/>
      <c r="C445" s="74"/>
      <c r="D445" s="74"/>
      <c r="E445" s="1090"/>
      <c r="F445" s="74"/>
    </row>
    <row r="446" spans="2:6" ht="12.75">
      <c r="B446" s="1090"/>
      <c r="C446" s="74"/>
      <c r="D446" s="74"/>
      <c r="E446" s="1090"/>
      <c r="F446" s="74"/>
    </row>
    <row r="447" spans="2:6" ht="12.75">
      <c r="B447" s="1090"/>
      <c r="C447" s="74"/>
      <c r="D447" s="74"/>
      <c r="E447" s="1090"/>
      <c r="F447" s="74"/>
    </row>
    <row r="448" spans="2:6" ht="12.75">
      <c r="B448" s="1090"/>
      <c r="C448" s="74"/>
      <c r="D448" s="74"/>
      <c r="E448" s="1090"/>
      <c r="F448" s="74"/>
    </row>
    <row r="449" spans="2:6" ht="12.75">
      <c r="B449" s="1090"/>
      <c r="C449" s="74"/>
      <c r="D449" s="74"/>
      <c r="E449" s="1090"/>
      <c r="F449" s="74"/>
    </row>
    <row r="450" spans="2:6" ht="12.75">
      <c r="B450" s="1090"/>
      <c r="C450" s="74"/>
      <c r="D450" s="74"/>
      <c r="E450" s="1090"/>
      <c r="F450" s="74"/>
    </row>
    <row r="451" spans="2:6" ht="12.75">
      <c r="B451" s="1090"/>
      <c r="C451" s="74"/>
      <c r="D451" s="74"/>
      <c r="E451" s="1090"/>
      <c r="F451" s="74"/>
    </row>
    <row r="452" spans="2:6" ht="12.75">
      <c r="B452" s="1090"/>
      <c r="C452" s="74"/>
      <c r="D452" s="74"/>
      <c r="E452" s="1090"/>
      <c r="F452" s="74"/>
    </row>
    <row r="453" spans="2:6" ht="12.75">
      <c r="B453" s="1090"/>
      <c r="C453" s="74"/>
      <c r="D453" s="74"/>
      <c r="E453" s="1090"/>
      <c r="F453" s="74"/>
    </row>
    <row r="454" spans="2:6" ht="12.75">
      <c r="B454" s="1090"/>
      <c r="C454" s="74"/>
      <c r="D454" s="74"/>
      <c r="E454" s="1090"/>
      <c r="F454" s="74"/>
    </row>
    <row r="455" spans="2:6" ht="12.75">
      <c r="B455" s="1090"/>
      <c r="C455" s="74"/>
      <c r="D455" s="74"/>
      <c r="E455" s="1090"/>
      <c r="F455" s="74"/>
    </row>
    <row r="456" spans="2:6" ht="12.75">
      <c r="B456" s="1090"/>
      <c r="C456" s="74"/>
      <c r="D456" s="74"/>
      <c r="E456" s="1090"/>
      <c r="F456" s="74"/>
    </row>
    <row r="457" spans="2:6" ht="12.75">
      <c r="B457" s="1090"/>
      <c r="C457" s="74"/>
      <c r="D457" s="74"/>
      <c r="E457" s="1090"/>
      <c r="F457" s="74"/>
    </row>
    <row r="458" spans="2:6" ht="12.75">
      <c r="B458" s="1090"/>
      <c r="C458" s="74"/>
      <c r="D458" s="74"/>
      <c r="E458" s="1090"/>
      <c r="F458" s="74"/>
    </row>
    <row r="459" spans="2:6" ht="12.75">
      <c r="B459" s="1090"/>
      <c r="C459" s="74"/>
      <c r="D459" s="74"/>
      <c r="E459" s="1090"/>
      <c r="F459" s="74"/>
    </row>
    <row r="460" spans="2:6" ht="12.75">
      <c r="B460" s="1090"/>
      <c r="C460" s="74"/>
      <c r="D460" s="74"/>
      <c r="E460" s="1090"/>
      <c r="F460" s="74"/>
    </row>
    <row r="461" spans="2:6" ht="12.75">
      <c r="B461" s="1090"/>
      <c r="C461" s="74"/>
      <c r="D461" s="74"/>
      <c r="E461" s="1090"/>
      <c r="F461" s="74"/>
    </row>
    <row r="462" spans="2:6" ht="12.75">
      <c r="B462" s="1090"/>
      <c r="C462" s="74"/>
      <c r="D462" s="74"/>
      <c r="E462" s="1090"/>
      <c r="F462" s="74"/>
    </row>
    <row r="463" spans="2:6" ht="12.75">
      <c r="B463" s="1090"/>
      <c r="C463" s="74"/>
      <c r="D463" s="74"/>
      <c r="E463" s="1090"/>
      <c r="F463" s="74"/>
    </row>
    <row r="464" spans="2:6" ht="12.75">
      <c r="B464" s="1090"/>
      <c r="C464" s="74"/>
      <c r="D464" s="74"/>
      <c r="E464" s="1090"/>
      <c r="F464" s="74"/>
    </row>
    <row r="465" spans="2:6" ht="12.75">
      <c r="B465" s="1090"/>
      <c r="C465" s="74"/>
      <c r="D465" s="74"/>
      <c r="E465" s="1090"/>
      <c r="F465" s="74"/>
    </row>
    <row r="466" spans="2:6" ht="12.75">
      <c r="B466" s="1090"/>
      <c r="C466" s="74"/>
      <c r="D466" s="74"/>
      <c r="E466" s="1090"/>
      <c r="F466" s="74"/>
    </row>
    <row r="467" spans="2:6" ht="12.75">
      <c r="B467" s="1090"/>
      <c r="C467" s="74"/>
      <c r="D467" s="74"/>
      <c r="E467" s="1090"/>
      <c r="F467" s="74"/>
    </row>
    <row r="468" spans="2:6" ht="12.75">
      <c r="B468" s="1090"/>
      <c r="C468" s="74"/>
      <c r="D468" s="74"/>
      <c r="E468" s="1090"/>
      <c r="F468" s="74"/>
    </row>
    <row r="469" spans="2:6" ht="12.75">
      <c r="B469" s="1090"/>
      <c r="C469" s="74"/>
      <c r="D469" s="74"/>
      <c r="E469" s="1090"/>
      <c r="F469" s="74"/>
    </row>
    <row r="470" spans="2:6" ht="12.75">
      <c r="B470" s="1090"/>
      <c r="C470" s="74"/>
      <c r="D470" s="74"/>
      <c r="E470" s="1090"/>
      <c r="F470" s="74"/>
    </row>
    <row r="471" spans="2:6" ht="12.75">
      <c r="B471" s="1090"/>
      <c r="C471" s="74"/>
      <c r="D471" s="74"/>
      <c r="E471" s="1090"/>
      <c r="F471" s="74"/>
    </row>
    <row r="472" spans="2:6" ht="12.75">
      <c r="B472" s="1090"/>
      <c r="C472" s="74"/>
      <c r="D472" s="74"/>
      <c r="E472" s="1090"/>
      <c r="F472" s="74"/>
    </row>
    <row r="473" spans="2:6" ht="12.75">
      <c r="B473" s="1090"/>
      <c r="C473" s="74"/>
      <c r="D473" s="74"/>
      <c r="E473" s="1090"/>
      <c r="F473" s="74"/>
    </row>
    <row r="474" spans="2:6" ht="12.75">
      <c r="B474" s="1090"/>
      <c r="C474" s="74"/>
      <c r="D474" s="74"/>
      <c r="E474" s="1090"/>
      <c r="F474" s="74"/>
    </row>
    <row r="475" spans="2:6" ht="12.75">
      <c r="B475" s="1090"/>
      <c r="C475" s="74"/>
      <c r="D475" s="74"/>
      <c r="E475" s="1090"/>
      <c r="F475" s="74"/>
    </row>
    <row r="476" spans="2:6" ht="12.75">
      <c r="B476" s="1090"/>
      <c r="C476" s="74"/>
      <c r="D476" s="74"/>
      <c r="E476" s="1090"/>
      <c r="F476" s="74"/>
    </row>
    <row r="477" spans="2:6" ht="12.75">
      <c r="B477" s="1090"/>
      <c r="C477" s="74"/>
      <c r="D477" s="74"/>
      <c r="E477" s="1090"/>
      <c r="F477" s="74"/>
    </row>
    <row r="478" spans="2:6" ht="12.75">
      <c r="B478" s="1090"/>
      <c r="C478" s="74"/>
      <c r="D478" s="74"/>
      <c r="E478" s="1090"/>
      <c r="F478" s="74"/>
    </row>
    <row r="479" spans="2:6" ht="12.75">
      <c r="B479" s="1090"/>
      <c r="C479" s="74"/>
      <c r="D479" s="74"/>
      <c r="E479" s="1090"/>
      <c r="F479" s="74"/>
    </row>
    <row r="480" spans="2:6" ht="12.75">
      <c r="B480" s="1090"/>
      <c r="C480" s="74"/>
      <c r="D480" s="74"/>
      <c r="E480" s="1090"/>
      <c r="F480" s="74"/>
    </row>
    <row r="481" spans="2:6" ht="12.75">
      <c r="B481" s="1090"/>
      <c r="C481" s="74"/>
      <c r="D481" s="74"/>
      <c r="E481" s="1090"/>
      <c r="F481" s="74"/>
    </row>
    <row r="482" spans="2:6" ht="12.75">
      <c r="B482" s="1090"/>
      <c r="C482" s="74"/>
      <c r="D482" s="74"/>
      <c r="E482" s="1090"/>
      <c r="F482" s="74"/>
    </row>
    <row r="483" spans="2:6" ht="12.75">
      <c r="B483" s="1090"/>
      <c r="C483" s="74"/>
      <c r="D483" s="74"/>
      <c r="E483" s="1090"/>
      <c r="F483" s="74"/>
    </row>
    <row r="484" spans="2:6" ht="12.75">
      <c r="B484" s="1090"/>
      <c r="C484" s="74"/>
      <c r="D484" s="74"/>
      <c r="E484" s="1090"/>
      <c r="F484" s="74"/>
    </row>
    <row r="485" spans="2:6" ht="12.75">
      <c r="B485" s="1090"/>
      <c r="C485" s="74"/>
      <c r="D485" s="74"/>
      <c r="E485" s="1090"/>
      <c r="F485" s="74"/>
    </row>
    <row r="486" spans="2:6" ht="12.75">
      <c r="B486" s="1090"/>
      <c r="C486" s="74"/>
      <c r="D486" s="74"/>
      <c r="E486" s="1090"/>
      <c r="F486" s="74"/>
    </row>
    <row r="487" spans="2:6" ht="12.75">
      <c r="B487" s="1090"/>
      <c r="C487" s="74"/>
      <c r="D487" s="74"/>
      <c r="E487" s="1090"/>
      <c r="F487" s="74"/>
    </row>
    <row r="488" spans="2:6" ht="12.75">
      <c r="B488" s="1090"/>
      <c r="C488" s="74"/>
      <c r="D488" s="74"/>
      <c r="E488" s="1090"/>
      <c r="F488" s="74"/>
    </row>
    <row r="489" spans="2:6" ht="12.75">
      <c r="B489" s="1090"/>
      <c r="C489" s="74"/>
      <c r="D489" s="74"/>
      <c r="E489" s="1090"/>
      <c r="F489" s="74"/>
    </row>
    <row r="490" spans="2:6" ht="12.75">
      <c r="B490" s="1090"/>
      <c r="C490" s="74"/>
      <c r="D490" s="74"/>
      <c r="E490" s="1090"/>
      <c r="F490" s="74"/>
    </row>
    <row r="491" spans="2:6" ht="12.75">
      <c r="B491" s="1090"/>
      <c r="C491" s="74"/>
      <c r="D491" s="74"/>
      <c r="E491" s="1090"/>
      <c r="F491" s="74"/>
    </row>
    <row r="492" spans="2:6" ht="12.75">
      <c r="B492" s="1090"/>
      <c r="C492" s="74"/>
      <c r="D492" s="74"/>
      <c r="E492" s="1090"/>
      <c r="F492" s="74"/>
    </row>
    <row r="493" spans="2:6" ht="12.75">
      <c r="B493" s="1090"/>
      <c r="C493" s="74"/>
      <c r="D493" s="74"/>
      <c r="E493" s="1090"/>
      <c r="F493" s="74"/>
    </row>
    <row r="494" spans="2:6" ht="12.75">
      <c r="B494" s="1090"/>
      <c r="C494" s="74"/>
      <c r="D494" s="74"/>
      <c r="E494" s="1090"/>
      <c r="F494" s="74"/>
    </row>
    <row r="495" spans="2:6" ht="12.75">
      <c r="B495" s="1090"/>
      <c r="C495" s="74"/>
      <c r="D495" s="74"/>
      <c r="E495" s="1090"/>
      <c r="F495" s="74"/>
    </row>
    <row r="496" spans="2:6" ht="12.75">
      <c r="B496" s="1090"/>
      <c r="C496" s="74"/>
      <c r="D496" s="74"/>
      <c r="E496" s="1090"/>
      <c r="F496" s="74"/>
    </row>
    <row r="497" spans="2:6" ht="12.75">
      <c r="B497" s="1090"/>
      <c r="C497" s="74"/>
      <c r="D497" s="74"/>
      <c r="E497" s="1090"/>
      <c r="F497" s="74"/>
    </row>
    <row r="498" spans="2:6" ht="12.75">
      <c r="B498" s="1090"/>
      <c r="C498" s="74"/>
      <c r="D498" s="74"/>
      <c r="E498" s="1090"/>
      <c r="F498" s="74"/>
    </row>
    <row r="499" spans="2:6" ht="12.75">
      <c r="B499" s="1090"/>
      <c r="C499" s="74"/>
      <c r="D499" s="74"/>
      <c r="E499" s="1090"/>
      <c r="F499" s="74"/>
    </row>
    <row r="500" spans="2:6" ht="12.75">
      <c r="B500" s="1090"/>
      <c r="C500" s="74"/>
      <c r="D500" s="74"/>
      <c r="E500" s="1090"/>
      <c r="F500" s="74"/>
    </row>
    <row r="501" spans="2:6" ht="12.75">
      <c r="B501" s="1090"/>
      <c r="C501" s="74"/>
      <c r="D501" s="74"/>
      <c r="E501" s="1090"/>
      <c r="F501" s="74"/>
    </row>
    <row r="502" spans="2:6" ht="12.75">
      <c r="B502" s="1090"/>
      <c r="C502" s="74"/>
      <c r="D502" s="74"/>
      <c r="E502" s="1090"/>
      <c r="F502" s="74"/>
    </row>
    <row r="503" spans="2:6" ht="12.75">
      <c r="B503" s="1090"/>
      <c r="C503" s="74"/>
      <c r="D503" s="74"/>
      <c r="E503" s="1090"/>
      <c r="F503" s="74"/>
    </row>
    <row r="504" spans="2:6" ht="12.75">
      <c r="B504" s="1090"/>
      <c r="C504" s="74"/>
      <c r="D504" s="74"/>
      <c r="E504" s="1090"/>
      <c r="F504" s="74"/>
    </row>
    <row r="505" spans="2:6" ht="12.75">
      <c r="B505" s="1090"/>
      <c r="C505" s="74"/>
      <c r="D505" s="74"/>
      <c r="E505" s="1090"/>
      <c r="F505" s="74"/>
    </row>
    <row r="506" spans="2:6" ht="12.75">
      <c r="B506" s="1090"/>
      <c r="C506" s="74"/>
      <c r="D506" s="74"/>
      <c r="E506" s="1090"/>
      <c r="F506" s="74"/>
    </row>
    <row r="507" spans="2:6" ht="12.75">
      <c r="B507" s="1090"/>
      <c r="C507" s="74"/>
      <c r="D507" s="74"/>
      <c r="E507" s="1090"/>
      <c r="F507" s="74"/>
    </row>
    <row r="508" spans="2:6" ht="12.75">
      <c r="B508" s="1090"/>
      <c r="C508" s="74"/>
      <c r="D508" s="74"/>
      <c r="E508" s="1090"/>
      <c r="F508" s="74"/>
    </row>
    <row r="509" spans="2:6" ht="12.75">
      <c r="B509" s="1090"/>
      <c r="C509" s="74"/>
      <c r="D509" s="74"/>
      <c r="E509" s="1090"/>
      <c r="F509" s="74"/>
    </row>
    <row r="510" spans="2:6" ht="12.75">
      <c r="B510" s="1090"/>
      <c r="C510" s="74"/>
      <c r="D510" s="74"/>
      <c r="E510" s="1090"/>
      <c r="F510" s="74"/>
    </row>
    <row r="511" spans="2:6" ht="12.75">
      <c r="B511" s="1090"/>
      <c r="C511" s="74"/>
      <c r="D511" s="74"/>
      <c r="E511" s="1090"/>
      <c r="F511" s="74"/>
    </row>
    <row r="512" spans="2:6" ht="12.75">
      <c r="B512" s="1090"/>
      <c r="C512" s="74"/>
      <c r="D512" s="74"/>
      <c r="E512" s="1090"/>
      <c r="F512" s="74"/>
    </row>
    <row r="513" spans="2:6" ht="12.75">
      <c r="B513" s="1090"/>
      <c r="C513" s="74"/>
      <c r="D513" s="74"/>
      <c r="E513" s="1090"/>
      <c r="F513" s="74"/>
    </row>
    <row r="514" spans="2:6" ht="12.75">
      <c r="B514" s="1090"/>
      <c r="C514" s="74"/>
      <c r="D514" s="74"/>
      <c r="E514" s="1090"/>
      <c r="F514" s="74"/>
    </row>
    <row r="515" spans="2:6" ht="12.75">
      <c r="B515" s="1090"/>
      <c r="C515" s="74"/>
      <c r="D515" s="74"/>
      <c r="E515" s="1090"/>
      <c r="F515" s="74"/>
    </row>
    <row r="516" spans="2:6" ht="12.75">
      <c r="B516" s="1090"/>
      <c r="C516" s="74"/>
      <c r="D516" s="74"/>
      <c r="E516" s="1090"/>
      <c r="F516" s="74"/>
    </row>
    <row r="517" spans="2:6" ht="12.75">
      <c r="B517" s="1090"/>
      <c r="C517" s="74"/>
      <c r="D517" s="74"/>
      <c r="E517" s="1090"/>
      <c r="F517" s="74"/>
    </row>
    <row r="518" spans="2:6" ht="12.75">
      <c r="B518" s="1090"/>
      <c r="C518" s="74"/>
      <c r="D518" s="74"/>
      <c r="E518" s="1090"/>
      <c r="F518" s="74"/>
    </row>
    <row r="519" spans="2:6" ht="12.75">
      <c r="B519" s="1090"/>
      <c r="C519" s="74"/>
      <c r="D519" s="74"/>
      <c r="E519" s="1090"/>
      <c r="F519" s="74"/>
    </row>
    <row r="520" spans="2:6" ht="12.75">
      <c r="B520" s="1090"/>
      <c r="C520" s="74"/>
      <c r="D520" s="74"/>
      <c r="E520" s="1090"/>
      <c r="F520" s="74"/>
    </row>
    <row r="521" spans="2:6" ht="12.75">
      <c r="B521" s="1090"/>
      <c r="C521" s="74"/>
      <c r="D521" s="74"/>
      <c r="E521" s="1090"/>
      <c r="F521" s="74"/>
    </row>
    <row r="522" spans="2:6" ht="12.75">
      <c r="B522" s="1090"/>
      <c r="C522" s="74"/>
      <c r="D522" s="74"/>
      <c r="E522" s="1090"/>
      <c r="F522" s="74"/>
    </row>
    <row r="523" spans="2:6" ht="12.75">
      <c r="B523" s="1090"/>
      <c r="C523" s="74"/>
      <c r="D523" s="74"/>
      <c r="E523" s="1090"/>
      <c r="F523" s="74"/>
    </row>
    <row r="524" spans="2:6" ht="12.75">
      <c r="B524" s="1090"/>
      <c r="C524" s="74"/>
      <c r="D524" s="74"/>
      <c r="E524" s="1090"/>
      <c r="F524" s="74"/>
    </row>
    <row r="525" spans="2:6" ht="12.75">
      <c r="B525" s="1090"/>
      <c r="C525" s="74"/>
      <c r="D525" s="74"/>
      <c r="E525" s="1090"/>
      <c r="F525" s="74"/>
    </row>
    <row r="526" spans="2:6" ht="12.75">
      <c r="B526" s="1090"/>
      <c r="C526" s="74"/>
      <c r="D526" s="74"/>
      <c r="E526" s="1090"/>
      <c r="F526" s="74"/>
    </row>
    <row r="527" spans="2:6" ht="12.75">
      <c r="B527" s="1090"/>
      <c r="C527" s="74"/>
      <c r="D527" s="74"/>
      <c r="E527" s="1090"/>
      <c r="F527" s="74"/>
    </row>
    <row r="528" spans="2:6" ht="12.75">
      <c r="B528" s="1090"/>
      <c r="C528" s="74"/>
      <c r="D528" s="74"/>
      <c r="E528" s="1090"/>
      <c r="F528" s="74"/>
    </row>
    <row r="529" spans="2:6" ht="12.75">
      <c r="B529" s="1090"/>
      <c r="C529" s="74"/>
      <c r="D529" s="74"/>
      <c r="E529" s="1090"/>
      <c r="F529" s="74"/>
    </row>
    <row r="530" spans="2:6" ht="12.75">
      <c r="B530" s="1090"/>
      <c r="C530" s="74"/>
      <c r="D530" s="74"/>
      <c r="E530" s="1090"/>
      <c r="F530" s="74"/>
    </row>
    <row r="531" spans="2:6" ht="12.75">
      <c r="B531" s="1090"/>
      <c r="C531" s="74"/>
      <c r="D531" s="74"/>
      <c r="E531" s="1090"/>
      <c r="F531" s="74"/>
    </row>
    <row r="532" spans="2:6" ht="12.75">
      <c r="B532" s="1090"/>
      <c r="C532" s="74"/>
      <c r="D532" s="74"/>
      <c r="E532" s="1090"/>
      <c r="F532" s="74"/>
    </row>
    <row r="533" spans="2:6" ht="12.75">
      <c r="B533" s="1090"/>
      <c r="C533" s="74"/>
      <c r="D533" s="74"/>
      <c r="E533" s="1090"/>
      <c r="F533" s="74"/>
    </row>
    <row r="534" spans="2:6" ht="12.75">
      <c r="B534" s="1090"/>
      <c r="C534" s="74"/>
      <c r="D534" s="74"/>
      <c r="E534" s="1090"/>
      <c r="F534" s="74"/>
    </row>
    <row r="535" spans="2:6" ht="12.75">
      <c r="B535" s="1090"/>
      <c r="C535" s="74"/>
      <c r="D535" s="74"/>
      <c r="E535" s="1090"/>
      <c r="F535" s="74"/>
    </row>
    <row r="536" spans="2:6" ht="12.75">
      <c r="B536" s="1090"/>
      <c r="C536" s="74"/>
      <c r="D536" s="74"/>
      <c r="E536" s="1090"/>
      <c r="F536" s="74"/>
    </row>
    <row r="537" spans="2:6" ht="12.75">
      <c r="B537" s="1090"/>
      <c r="C537" s="74"/>
      <c r="D537" s="74"/>
      <c r="E537" s="1090"/>
      <c r="F537" s="74"/>
    </row>
    <row r="538" spans="2:6" ht="12.75">
      <c r="B538" s="1090"/>
      <c r="C538" s="74"/>
      <c r="D538" s="74"/>
      <c r="E538" s="1090"/>
      <c r="F538" s="74"/>
    </row>
    <row r="539" spans="2:6" ht="12.75">
      <c r="B539" s="1090"/>
      <c r="C539" s="74"/>
      <c r="D539" s="74"/>
      <c r="E539" s="1090"/>
      <c r="F539" s="74"/>
    </row>
    <row r="540" spans="2:6" ht="12.75">
      <c r="B540" s="1090"/>
      <c r="C540" s="74"/>
      <c r="D540" s="74"/>
      <c r="E540" s="1090"/>
      <c r="F540" s="74"/>
    </row>
    <row r="541" spans="2:6" ht="12.75">
      <c r="B541" s="1090"/>
      <c r="C541" s="74"/>
      <c r="D541" s="74"/>
      <c r="E541" s="1090"/>
      <c r="F541" s="74"/>
    </row>
    <row r="542" spans="2:6" ht="12.75">
      <c r="B542" s="1090"/>
      <c r="C542" s="74"/>
      <c r="D542" s="74"/>
      <c r="E542" s="1090"/>
      <c r="F542" s="74"/>
    </row>
    <row r="543" spans="2:6" ht="12.75">
      <c r="B543" s="1090"/>
      <c r="C543" s="74"/>
      <c r="D543" s="74"/>
      <c r="E543" s="1090"/>
      <c r="F543" s="74"/>
    </row>
    <row r="544" spans="2:6" ht="12.75">
      <c r="B544" s="1090"/>
      <c r="C544" s="74"/>
      <c r="D544" s="74"/>
      <c r="E544" s="1090"/>
      <c r="F544" s="74"/>
    </row>
    <row r="545" spans="2:6" ht="12.75">
      <c r="B545" s="1090"/>
      <c r="C545" s="74"/>
      <c r="D545" s="74"/>
      <c r="E545" s="1090"/>
      <c r="F545" s="74"/>
    </row>
    <row r="546" spans="2:6" ht="12.75">
      <c r="B546" s="1090"/>
      <c r="C546" s="74"/>
      <c r="D546" s="74"/>
      <c r="E546" s="1090"/>
      <c r="F546" s="74"/>
    </row>
    <row r="547" spans="2:6" ht="12.75">
      <c r="B547" s="1090"/>
      <c r="C547" s="74"/>
      <c r="D547" s="74"/>
      <c r="E547" s="1090"/>
      <c r="F547" s="74"/>
    </row>
    <row r="548" spans="2:6" ht="12.75">
      <c r="B548" s="1090"/>
      <c r="C548" s="74"/>
      <c r="D548" s="74"/>
      <c r="E548" s="1090"/>
      <c r="F548" s="74"/>
    </row>
    <row r="549" spans="2:6" ht="12.75">
      <c r="B549" s="1090"/>
      <c r="C549" s="74"/>
      <c r="D549" s="74"/>
      <c r="E549" s="1090"/>
      <c r="F549" s="74"/>
    </row>
    <row r="550" spans="2:6" ht="12.75">
      <c r="B550" s="1090"/>
      <c r="C550" s="74"/>
      <c r="D550" s="74"/>
      <c r="E550" s="1090"/>
      <c r="F550" s="74"/>
    </row>
    <row r="551" spans="2:6" ht="12.75">
      <c r="B551" s="1090"/>
      <c r="C551" s="74"/>
      <c r="D551" s="74"/>
      <c r="E551" s="1090"/>
      <c r="F551" s="74"/>
    </row>
    <row r="552" spans="2:6" ht="12.75">
      <c r="B552" s="1090"/>
      <c r="C552" s="74"/>
      <c r="D552" s="74"/>
      <c r="E552" s="1090"/>
      <c r="F552" s="74"/>
    </row>
    <row r="553" spans="2:6" ht="12.75">
      <c r="B553" s="1090"/>
      <c r="C553" s="74"/>
      <c r="D553" s="74"/>
      <c r="E553" s="1090"/>
      <c r="F553" s="74"/>
    </row>
    <row r="554" spans="2:6" ht="12.75">
      <c r="B554" s="1090"/>
      <c r="C554" s="74"/>
      <c r="D554" s="74"/>
      <c r="E554" s="1090"/>
      <c r="F554" s="74"/>
    </row>
    <row r="555" spans="2:6" ht="12.75">
      <c r="B555" s="1090"/>
      <c r="C555" s="74"/>
      <c r="D555" s="74"/>
      <c r="E555" s="1090"/>
      <c r="F555" s="74"/>
    </row>
    <row r="556" spans="2:6" ht="12.75">
      <c r="B556" s="1090"/>
      <c r="C556" s="74"/>
      <c r="D556" s="74"/>
      <c r="E556" s="1090"/>
      <c r="F556" s="74"/>
    </row>
    <row r="557" spans="2:6" ht="12.75">
      <c r="B557" s="1090"/>
      <c r="C557" s="74"/>
      <c r="D557" s="74"/>
      <c r="E557" s="1090"/>
      <c r="F557" s="74"/>
    </row>
    <row r="558" spans="2:6" ht="12.75">
      <c r="B558" s="1090"/>
      <c r="C558" s="74"/>
      <c r="D558" s="74"/>
      <c r="E558" s="1090"/>
      <c r="F558" s="74"/>
    </row>
    <row r="559" spans="2:6" ht="12.75">
      <c r="B559" s="1090"/>
      <c r="C559" s="74"/>
      <c r="D559" s="74"/>
      <c r="E559" s="1090"/>
      <c r="F559" s="74"/>
    </row>
    <row r="560" spans="2:6" ht="12.75">
      <c r="B560" s="1090"/>
      <c r="C560" s="74"/>
      <c r="D560" s="74"/>
      <c r="E560" s="1090"/>
      <c r="F560" s="74"/>
    </row>
    <row r="561" spans="2:6" ht="12.75">
      <c r="B561" s="1090"/>
      <c r="C561" s="74"/>
      <c r="D561" s="74"/>
      <c r="E561" s="1090"/>
      <c r="F561" s="74"/>
    </row>
    <row r="562" spans="2:6" ht="12.75">
      <c r="B562" s="1090"/>
      <c r="C562" s="74"/>
      <c r="D562" s="74"/>
      <c r="E562" s="1090"/>
      <c r="F562" s="74"/>
    </row>
    <row r="563" spans="2:6" ht="12.75">
      <c r="B563" s="1090"/>
      <c r="C563" s="74"/>
      <c r="D563" s="74"/>
      <c r="E563" s="1090"/>
      <c r="F563" s="74"/>
    </row>
    <row r="564" spans="2:6" ht="12.75">
      <c r="B564" s="1090"/>
      <c r="C564" s="74"/>
      <c r="D564" s="74"/>
      <c r="E564" s="1090"/>
      <c r="F564" s="74"/>
    </row>
    <row r="565" spans="2:6" ht="12.75">
      <c r="B565" s="1090"/>
      <c r="C565" s="74"/>
      <c r="D565" s="74"/>
      <c r="E565" s="1090"/>
      <c r="F565" s="74"/>
    </row>
    <row r="566" spans="2:6" ht="12.75">
      <c r="B566" s="1090"/>
      <c r="C566" s="74"/>
      <c r="D566" s="74"/>
      <c r="E566" s="1090"/>
      <c r="F566" s="74"/>
    </row>
    <row r="567" spans="2:6" ht="12.75">
      <c r="B567" s="1090"/>
      <c r="C567" s="74"/>
      <c r="D567" s="74"/>
      <c r="E567" s="1090"/>
      <c r="F567" s="74"/>
    </row>
    <row r="568" spans="2:6" ht="12.75">
      <c r="B568" s="1090"/>
      <c r="C568" s="74"/>
      <c r="D568" s="74"/>
      <c r="E568" s="1090"/>
      <c r="F568" s="74"/>
    </row>
    <row r="569" spans="2:6" ht="12.75">
      <c r="B569" s="1090"/>
      <c r="C569" s="74"/>
      <c r="D569" s="74"/>
      <c r="E569" s="1090"/>
      <c r="F569" s="74"/>
    </row>
    <row r="570" spans="2:6" ht="12.75">
      <c r="B570" s="1090"/>
      <c r="C570" s="74"/>
      <c r="D570" s="74"/>
      <c r="E570" s="1090"/>
      <c r="F570" s="74"/>
    </row>
    <row r="571" spans="2:6" ht="12.75">
      <c r="B571" s="1090"/>
      <c r="C571" s="74"/>
      <c r="D571" s="74"/>
      <c r="E571" s="1090"/>
      <c r="F571" s="74"/>
    </row>
    <row r="572" spans="2:6" ht="12.75">
      <c r="B572" s="1090"/>
      <c r="C572" s="74"/>
      <c r="D572" s="74"/>
      <c r="E572" s="1090"/>
      <c r="F572" s="74"/>
    </row>
    <row r="573" spans="2:6" ht="12.75">
      <c r="B573" s="1090"/>
      <c r="C573" s="74"/>
      <c r="D573" s="74"/>
      <c r="E573" s="1090"/>
      <c r="F573" s="74"/>
    </row>
    <row r="574" spans="2:6" ht="12.75">
      <c r="B574" s="1090"/>
      <c r="C574" s="74"/>
      <c r="D574" s="74"/>
      <c r="E574" s="1090"/>
      <c r="F574" s="74"/>
    </row>
    <row r="575" spans="2:6" ht="12.75">
      <c r="B575" s="1090"/>
      <c r="C575" s="74"/>
      <c r="D575" s="74"/>
      <c r="E575" s="1090"/>
      <c r="F575" s="74"/>
    </row>
    <row r="576" spans="2:6" ht="12.75">
      <c r="B576" s="1090"/>
      <c r="C576" s="74"/>
      <c r="D576" s="74"/>
      <c r="E576" s="1090"/>
      <c r="F576" s="74"/>
    </row>
    <row r="577" spans="2:6" ht="12.75">
      <c r="B577" s="1090"/>
      <c r="C577" s="74"/>
      <c r="D577" s="74"/>
      <c r="E577" s="1090"/>
      <c r="F577" s="74"/>
    </row>
    <row r="578" spans="2:6" ht="12.75">
      <c r="B578" s="1090"/>
      <c r="C578" s="74"/>
      <c r="D578" s="74"/>
      <c r="E578" s="1090"/>
      <c r="F578" s="74"/>
    </row>
    <row r="579" spans="2:6" ht="12.75">
      <c r="B579" s="1090"/>
      <c r="C579" s="74"/>
      <c r="D579" s="74"/>
      <c r="E579" s="1090"/>
      <c r="F579" s="74"/>
    </row>
    <row r="580" spans="2:6" ht="12.75">
      <c r="B580" s="1090"/>
      <c r="C580" s="74"/>
      <c r="D580" s="74"/>
      <c r="E580" s="1090"/>
      <c r="F580" s="74"/>
    </row>
    <row r="581" spans="2:6" ht="12.75">
      <c r="B581" s="1090"/>
      <c r="C581" s="74"/>
      <c r="D581" s="74"/>
      <c r="E581" s="1090"/>
      <c r="F581" s="74"/>
    </row>
    <row r="582" spans="2:6" ht="12.75">
      <c r="B582" s="1090"/>
      <c r="C582" s="74"/>
      <c r="D582" s="74"/>
      <c r="E582" s="1090"/>
      <c r="F582" s="74"/>
    </row>
    <row r="583" spans="2:6" ht="12.75">
      <c r="B583" s="1090"/>
      <c r="C583" s="74"/>
      <c r="D583" s="74"/>
      <c r="E583" s="1090"/>
      <c r="F583" s="74"/>
    </row>
    <row r="584" spans="2:6" ht="12.75">
      <c r="B584" s="1090"/>
      <c r="C584" s="74"/>
      <c r="D584" s="74"/>
      <c r="E584" s="1090"/>
      <c r="F584" s="74"/>
    </row>
    <row r="585" spans="2:6" ht="12.75">
      <c r="B585" s="1090"/>
      <c r="C585" s="74"/>
      <c r="D585" s="74"/>
      <c r="E585" s="1090"/>
      <c r="F585" s="74"/>
    </row>
    <row r="586" spans="2:6" ht="12.75">
      <c r="B586" s="1090"/>
      <c r="C586" s="74"/>
      <c r="D586" s="74"/>
      <c r="E586" s="1090"/>
      <c r="F586" s="74"/>
    </row>
    <row r="587" spans="2:6" ht="12.75">
      <c r="B587" s="1090"/>
      <c r="C587" s="74"/>
      <c r="D587" s="74"/>
      <c r="E587" s="1090"/>
      <c r="F587" s="74"/>
    </row>
    <row r="588" spans="2:6" ht="12.75">
      <c r="B588" s="1090"/>
      <c r="C588" s="74"/>
      <c r="D588" s="74"/>
      <c r="E588" s="1090"/>
      <c r="F588" s="74"/>
    </row>
    <row r="589" spans="2:6" ht="12.75">
      <c r="B589" s="1090"/>
      <c r="C589" s="74"/>
      <c r="D589" s="74"/>
      <c r="E589" s="1090"/>
      <c r="F589" s="74"/>
    </row>
    <row r="590" spans="2:6" ht="12.75">
      <c r="B590" s="1090"/>
      <c r="C590" s="74"/>
      <c r="D590" s="74"/>
      <c r="E590" s="1090"/>
      <c r="F590" s="74"/>
    </row>
    <row r="591" spans="2:6" ht="12.75">
      <c r="B591" s="1090"/>
      <c r="C591" s="74"/>
      <c r="D591" s="74"/>
      <c r="E591" s="1090"/>
      <c r="F591" s="74"/>
    </row>
    <row r="592" spans="2:6" ht="12.75">
      <c r="B592" s="1090"/>
      <c r="C592" s="74"/>
      <c r="D592" s="74"/>
      <c r="E592" s="1090"/>
      <c r="F592" s="74"/>
    </row>
    <row r="593" spans="2:6" ht="12.75">
      <c r="B593" s="1090"/>
      <c r="C593" s="74"/>
      <c r="D593" s="74"/>
      <c r="E593" s="1090"/>
      <c r="F593" s="74"/>
    </row>
    <row r="594" spans="2:6" ht="12.75">
      <c r="B594" s="1090"/>
      <c r="C594" s="74"/>
      <c r="D594" s="74"/>
      <c r="E594" s="1090"/>
      <c r="F594" s="74"/>
    </row>
    <row r="595" spans="2:6" ht="12.75">
      <c r="B595" s="1090"/>
      <c r="C595" s="74"/>
      <c r="D595" s="74"/>
      <c r="E595" s="1090"/>
      <c r="F595" s="74"/>
    </row>
    <row r="596" spans="2:6" ht="12.75">
      <c r="B596" s="1090"/>
      <c r="C596" s="74"/>
      <c r="D596" s="74"/>
      <c r="E596" s="1090"/>
      <c r="F596" s="74"/>
    </row>
    <row r="597" spans="2:6" ht="12.75">
      <c r="B597" s="1090"/>
      <c r="C597" s="74"/>
      <c r="D597" s="74"/>
      <c r="E597" s="1090"/>
      <c r="F597" s="74"/>
    </row>
    <row r="598" spans="2:6" ht="12.75">
      <c r="B598" s="1090"/>
      <c r="C598" s="74"/>
      <c r="D598" s="74"/>
      <c r="E598" s="1090"/>
      <c r="F598" s="74"/>
    </row>
    <row r="599" spans="2:6" ht="12.75">
      <c r="B599" s="1090"/>
      <c r="C599" s="74"/>
      <c r="D599" s="74"/>
      <c r="E599" s="1090"/>
      <c r="F599" s="74"/>
    </row>
    <row r="600" spans="2:6" ht="12.75">
      <c r="B600" s="1090"/>
      <c r="C600" s="74"/>
      <c r="D600" s="74"/>
      <c r="E600" s="1090"/>
      <c r="F600" s="74"/>
    </row>
    <row r="601" spans="2:6" ht="12.75">
      <c r="B601" s="1090"/>
      <c r="C601" s="74"/>
      <c r="D601" s="74"/>
      <c r="E601" s="1090"/>
      <c r="F601" s="74"/>
    </row>
    <row r="602" spans="2:6" ht="12.75">
      <c r="B602" s="1090"/>
      <c r="C602" s="74"/>
      <c r="D602" s="74"/>
      <c r="E602" s="1090"/>
      <c r="F602" s="74"/>
    </row>
    <row r="603" spans="2:6" ht="12.75">
      <c r="B603" s="1090"/>
      <c r="C603" s="74"/>
      <c r="D603" s="74"/>
      <c r="E603" s="1090"/>
      <c r="F603" s="74"/>
    </row>
    <row r="604" spans="2:6" ht="12.75">
      <c r="B604" s="1090"/>
      <c r="C604" s="74"/>
      <c r="D604" s="74"/>
      <c r="E604" s="1090"/>
      <c r="F604" s="74"/>
    </row>
    <row r="605" spans="2:6" ht="12.75">
      <c r="B605" s="1090"/>
      <c r="C605" s="74"/>
      <c r="D605" s="74"/>
      <c r="E605" s="1090"/>
      <c r="F605" s="74"/>
    </row>
    <row r="606" spans="2:6" ht="12.75">
      <c r="B606" s="1090"/>
      <c r="C606" s="74"/>
      <c r="D606" s="74"/>
      <c r="E606" s="1090"/>
      <c r="F606" s="74"/>
    </row>
    <row r="607" spans="2:6" ht="12.75">
      <c r="B607" s="1090"/>
      <c r="C607" s="74"/>
      <c r="D607" s="74"/>
      <c r="E607" s="1090"/>
      <c r="F607" s="74"/>
    </row>
    <row r="608" spans="2:6" ht="12.75">
      <c r="B608" s="1090"/>
      <c r="C608" s="74"/>
      <c r="D608" s="74"/>
      <c r="E608" s="1090"/>
      <c r="F608" s="74"/>
    </row>
    <row r="609" spans="2:6" ht="12.75">
      <c r="B609" s="1090"/>
      <c r="C609" s="74"/>
      <c r="D609" s="74"/>
      <c r="E609" s="1090"/>
      <c r="F609" s="74"/>
    </row>
    <row r="610" spans="2:6" ht="12.75">
      <c r="B610" s="1090"/>
      <c r="C610" s="74"/>
      <c r="D610" s="74"/>
      <c r="E610" s="1090"/>
      <c r="F610" s="74"/>
    </row>
    <row r="611" spans="2:6" ht="12.75">
      <c r="B611" s="1090"/>
      <c r="C611" s="74"/>
      <c r="D611" s="74"/>
      <c r="E611" s="1090"/>
      <c r="F611" s="74"/>
    </row>
    <row r="612" spans="2:6" ht="12.75">
      <c r="B612" s="1090"/>
      <c r="C612" s="74"/>
      <c r="D612" s="74"/>
      <c r="E612" s="1090"/>
      <c r="F612" s="74"/>
    </row>
    <row r="613" spans="2:6" ht="12.75">
      <c r="B613" s="1090"/>
      <c r="C613" s="74"/>
      <c r="D613" s="74"/>
      <c r="E613" s="1090"/>
      <c r="F613" s="74"/>
    </row>
    <row r="614" spans="2:6" ht="12.75">
      <c r="B614" s="1090"/>
      <c r="C614" s="74"/>
      <c r="D614" s="74"/>
      <c r="E614" s="1090"/>
      <c r="F614" s="74"/>
    </row>
    <row r="615" spans="2:6" ht="12.75">
      <c r="B615" s="1090"/>
      <c r="C615" s="74"/>
      <c r="D615" s="74"/>
      <c r="E615" s="1090"/>
      <c r="F615" s="74"/>
    </row>
    <row r="616" spans="2:6" ht="12.75">
      <c r="B616" s="1090"/>
      <c r="C616" s="74"/>
      <c r="D616" s="74"/>
      <c r="E616" s="1090"/>
      <c r="F616" s="74"/>
    </row>
    <row r="617" spans="2:6" ht="12.75">
      <c r="B617" s="1090"/>
      <c r="C617" s="74"/>
      <c r="D617" s="74"/>
      <c r="E617" s="1090"/>
      <c r="F617" s="74"/>
    </row>
    <row r="618" spans="2:6" ht="12.75">
      <c r="B618" s="1090"/>
      <c r="C618" s="74"/>
      <c r="D618" s="74"/>
      <c r="E618" s="1090"/>
      <c r="F618" s="74"/>
    </row>
    <row r="619" spans="2:6" ht="12.75">
      <c r="B619" s="1090"/>
      <c r="C619" s="74"/>
      <c r="D619" s="74"/>
      <c r="E619" s="1090"/>
      <c r="F619" s="74"/>
    </row>
    <row r="620" spans="2:6" ht="12.75">
      <c r="B620" s="1090"/>
      <c r="C620" s="74"/>
      <c r="D620" s="74"/>
      <c r="E620" s="1090"/>
      <c r="F620" s="74"/>
    </row>
    <row r="621" spans="2:6" ht="12.75">
      <c r="B621" s="1090"/>
      <c r="C621" s="74"/>
      <c r="D621" s="74"/>
      <c r="E621" s="1090"/>
      <c r="F621" s="74"/>
    </row>
    <row r="622" spans="2:6" ht="12.75">
      <c r="B622" s="1090"/>
      <c r="C622" s="74"/>
      <c r="D622" s="74"/>
      <c r="E622" s="1090"/>
      <c r="F622" s="74"/>
    </row>
    <row r="623" spans="2:6" ht="12.75">
      <c r="B623" s="1090"/>
      <c r="C623" s="74"/>
      <c r="D623" s="74"/>
      <c r="E623" s="1090"/>
      <c r="F623" s="74"/>
    </row>
    <row r="624" spans="2:6" ht="12.75">
      <c r="B624" s="1090"/>
      <c r="C624" s="74"/>
      <c r="D624" s="74"/>
      <c r="E624" s="1090"/>
      <c r="F624" s="74"/>
    </row>
    <row r="625" spans="2:6" ht="12.75">
      <c r="B625" s="1090"/>
      <c r="C625" s="74"/>
      <c r="D625" s="74"/>
      <c r="E625" s="1090"/>
      <c r="F625" s="74"/>
    </row>
    <row r="626" spans="2:6" ht="12.75">
      <c r="B626" s="1090"/>
      <c r="C626" s="74"/>
      <c r="D626" s="74"/>
      <c r="E626" s="1090"/>
      <c r="F626" s="74"/>
    </row>
    <row r="627" spans="2:6" ht="12.75">
      <c r="B627" s="1090"/>
      <c r="C627" s="74"/>
      <c r="D627" s="74"/>
      <c r="E627" s="1090"/>
      <c r="F627" s="74"/>
    </row>
    <row r="628" spans="2:6" ht="12.75">
      <c r="B628" s="1090"/>
      <c r="C628" s="74"/>
      <c r="D628" s="74"/>
      <c r="E628" s="1090"/>
      <c r="F628" s="74"/>
    </row>
    <row r="629" spans="2:6" ht="12.75">
      <c r="B629" s="1090"/>
      <c r="C629" s="74"/>
      <c r="D629" s="74"/>
      <c r="E629" s="1090"/>
      <c r="F629" s="74"/>
    </row>
    <row r="630" spans="2:6" ht="12.75">
      <c r="B630" s="1090"/>
      <c r="C630" s="74"/>
      <c r="D630" s="74"/>
      <c r="E630" s="1090"/>
      <c r="F630" s="74"/>
    </row>
    <row r="631" spans="2:6" ht="12.75">
      <c r="B631" s="1090"/>
      <c r="C631" s="74"/>
      <c r="D631" s="74"/>
      <c r="E631" s="1090"/>
      <c r="F631" s="74"/>
    </row>
    <row r="632" spans="2:6" ht="12.75">
      <c r="B632" s="1090"/>
      <c r="C632" s="74"/>
      <c r="D632" s="74"/>
      <c r="E632" s="1090"/>
      <c r="F632" s="74"/>
    </row>
    <row r="633" spans="2:6" ht="12.75">
      <c r="B633" s="1090"/>
      <c r="C633" s="74"/>
      <c r="D633" s="74"/>
      <c r="E633" s="1090"/>
      <c r="F633" s="74"/>
    </row>
    <row r="634" spans="2:6" ht="12.75">
      <c r="B634" s="1090"/>
      <c r="C634" s="74"/>
      <c r="D634" s="74"/>
      <c r="E634" s="1090"/>
      <c r="F634" s="74"/>
    </row>
    <row r="635" spans="2:6" ht="12.75">
      <c r="B635" s="1090"/>
      <c r="C635" s="74"/>
      <c r="D635" s="74"/>
      <c r="E635" s="1090"/>
      <c r="F635" s="74"/>
    </row>
    <row r="636" spans="2:6" ht="12.75">
      <c r="B636" s="1090"/>
      <c r="C636" s="74"/>
      <c r="D636" s="74"/>
      <c r="E636" s="1090"/>
      <c r="F636" s="74"/>
    </row>
    <row r="637" spans="2:6" ht="12.75">
      <c r="B637" s="1090"/>
      <c r="C637" s="74"/>
      <c r="D637" s="74"/>
      <c r="E637" s="1090"/>
      <c r="F637" s="74"/>
    </row>
    <row r="638" spans="2:6" ht="12.75">
      <c r="B638" s="1090"/>
      <c r="C638" s="74"/>
      <c r="D638" s="74"/>
      <c r="E638" s="1090"/>
      <c r="F638" s="74"/>
    </row>
    <row r="639" spans="2:6" ht="12.75">
      <c r="B639" s="1090"/>
      <c r="C639" s="74"/>
      <c r="D639" s="74"/>
      <c r="E639" s="1090"/>
      <c r="F639" s="74"/>
    </row>
    <row r="640" spans="2:6" ht="12.75">
      <c r="B640" s="1090"/>
      <c r="C640" s="74"/>
      <c r="D640" s="74"/>
      <c r="E640" s="1090"/>
      <c r="F640" s="74"/>
    </row>
    <row r="641" spans="2:6" ht="12.75">
      <c r="B641" s="1090"/>
      <c r="C641" s="74"/>
      <c r="D641" s="74"/>
      <c r="E641" s="1090"/>
      <c r="F641" s="74"/>
    </row>
    <row r="642" spans="2:6" ht="12.75">
      <c r="B642" s="1090"/>
      <c r="C642" s="74"/>
      <c r="D642" s="74"/>
      <c r="E642" s="1090"/>
      <c r="F642" s="74"/>
    </row>
    <row r="643" spans="2:6" ht="12.75">
      <c r="B643" s="1090"/>
      <c r="C643" s="74"/>
      <c r="D643" s="74"/>
      <c r="E643" s="1090"/>
      <c r="F643" s="74"/>
    </row>
    <row r="644" spans="2:6" ht="12.75">
      <c r="B644" s="1090"/>
      <c r="C644" s="74"/>
      <c r="D644" s="74"/>
      <c r="E644" s="1090"/>
      <c r="F644" s="74"/>
    </row>
    <row r="645" spans="2:6" ht="12.75">
      <c r="B645" s="1090"/>
      <c r="C645" s="74"/>
      <c r="D645" s="74"/>
      <c r="E645" s="1090"/>
      <c r="F645" s="74"/>
    </row>
    <row r="646" spans="2:6" ht="12.75">
      <c r="B646" s="1090"/>
      <c r="C646" s="74"/>
      <c r="D646" s="74"/>
      <c r="E646" s="1090"/>
      <c r="F646" s="74"/>
    </row>
    <row r="647" spans="2:6" ht="12.75">
      <c r="B647" s="1090"/>
      <c r="C647" s="74"/>
      <c r="D647" s="74"/>
      <c r="E647" s="1090"/>
      <c r="F647" s="74"/>
    </row>
    <row r="648" spans="2:6" ht="12.75">
      <c r="B648" s="1090"/>
      <c r="C648" s="74"/>
      <c r="D648" s="74"/>
      <c r="E648" s="1090"/>
      <c r="F648" s="74"/>
    </row>
    <row r="649" spans="2:6" ht="12.75">
      <c r="B649" s="1090"/>
      <c r="C649" s="74"/>
      <c r="D649" s="74"/>
      <c r="E649" s="1090"/>
      <c r="F649" s="74"/>
    </row>
    <row r="650" spans="2:6" ht="12.75">
      <c r="B650" s="1090"/>
      <c r="C650" s="74"/>
      <c r="D650" s="74"/>
      <c r="E650" s="1090"/>
      <c r="F650" s="74"/>
    </row>
    <row r="651" spans="2:6" ht="12.75">
      <c r="B651" s="1090"/>
      <c r="C651" s="74"/>
      <c r="D651" s="74"/>
      <c r="E651" s="1090"/>
      <c r="F651" s="74"/>
    </row>
    <row r="652" spans="2:6" ht="12.75">
      <c r="B652" s="1090"/>
      <c r="C652" s="74"/>
      <c r="D652" s="74"/>
      <c r="E652" s="1090"/>
      <c r="F652" s="74"/>
    </row>
    <row r="653" spans="2:6" ht="12.75">
      <c r="B653" s="1090"/>
      <c r="C653" s="74"/>
      <c r="D653" s="74"/>
      <c r="E653" s="1090"/>
      <c r="F653" s="74"/>
    </row>
    <row r="654" spans="2:6" ht="12.75">
      <c r="B654" s="1090"/>
      <c r="C654" s="74"/>
      <c r="D654" s="74"/>
      <c r="E654" s="1090"/>
      <c r="F654" s="74"/>
    </row>
    <row r="655" spans="2:6" ht="12.75">
      <c r="B655" s="1090"/>
      <c r="C655" s="74"/>
      <c r="D655" s="74"/>
      <c r="E655" s="1090"/>
      <c r="F655" s="74"/>
    </row>
    <row r="656" spans="2:6" ht="12.75">
      <c r="B656" s="1090"/>
      <c r="C656" s="74"/>
      <c r="D656" s="74"/>
      <c r="E656" s="1090"/>
      <c r="F656" s="74"/>
    </row>
    <row r="657" spans="2:6" ht="12.75">
      <c r="B657" s="1090"/>
      <c r="C657" s="74"/>
      <c r="D657" s="74"/>
      <c r="E657" s="1090"/>
      <c r="F657" s="74"/>
    </row>
    <row r="658" spans="2:6" ht="12.75">
      <c r="B658" s="1090"/>
      <c r="C658" s="74"/>
      <c r="D658" s="74"/>
      <c r="E658" s="1090"/>
      <c r="F658" s="74"/>
    </row>
    <row r="659" spans="2:6" ht="12.75">
      <c r="B659" s="1090"/>
      <c r="C659" s="74"/>
      <c r="D659" s="74"/>
      <c r="E659" s="1090"/>
      <c r="F659" s="74"/>
    </row>
    <row r="660" spans="2:6" ht="12.75">
      <c r="B660" s="1090"/>
      <c r="C660" s="74"/>
      <c r="D660" s="74"/>
      <c r="E660" s="1090"/>
      <c r="F660" s="74"/>
    </row>
    <row r="661" spans="2:6" ht="12.75">
      <c r="B661" s="1090"/>
      <c r="C661" s="74"/>
      <c r="D661" s="74"/>
      <c r="E661" s="1090"/>
      <c r="F661" s="74"/>
    </row>
    <row r="662" spans="2:6" ht="12.75">
      <c r="B662" s="1090"/>
      <c r="C662" s="74"/>
      <c r="D662" s="74"/>
      <c r="E662" s="1090"/>
      <c r="F662" s="74"/>
    </row>
    <row r="663" spans="2:6" ht="12.75">
      <c r="B663" s="1090"/>
      <c r="C663" s="74"/>
      <c r="D663" s="74"/>
      <c r="E663" s="1090"/>
      <c r="F663" s="74"/>
    </row>
    <row r="664" spans="2:6" ht="12.75">
      <c r="B664" s="1090"/>
      <c r="C664" s="74"/>
      <c r="D664" s="74"/>
      <c r="E664" s="1090"/>
      <c r="F664" s="74"/>
    </row>
    <row r="665" spans="2:6" ht="12.75">
      <c r="B665" s="1090"/>
      <c r="C665" s="74"/>
      <c r="D665" s="74"/>
      <c r="E665" s="1090"/>
      <c r="F665" s="74"/>
    </row>
    <row r="666" spans="2:6" ht="12.75">
      <c r="B666" s="1090"/>
      <c r="C666" s="74"/>
      <c r="D666" s="74"/>
      <c r="E666" s="1090"/>
      <c r="F666" s="74"/>
    </row>
    <row r="667" spans="2:6" ht="12.75">
      <c r="B667" s="1090"/>
      <c r="C667" s="74"/>
      <c r="D667" s="74"/>
      <c r="E667" s="1090"/>
      <c r="F667" s="74"/>
    </row>
    <row r="668" spans="2:6" ht="12.75">
      <c r="B668" s="1090"/>
      <c r="C668" s="74"/>
      <c r="D668" s="74"/>
      <c r="E668" s="1090"/>
      <c r="F668" s="74"/>
    </row>
    <row r="669" spans="2:6" ht="12.75">
      <c r="B669" s="1090"/>
      <c r="C669" s="74"/>
      <c r="D669" s="74"/>
      <c r="E669" s="1090"/>
      <c r="F669" s="74"/>
    </row>
    <row r="670" spans="2:6" ht="12.75">
      <c r="B670" s="1090"/>
      <c r="C670" s="74"/>
      <c r="D670" s="74"/>
      <c r="E670" s="1090"/>
      <c r="F670" s="74"/>
    </row>
    <row r="671" spans="2:6" ht="12.75">
      <c r="B671" s="1090"/>
      <c r="C671" s="74"/>
      <c r="D671" s="74"/>
      <c r="E671" s="1090"/>
      <c r="F671" s="74"/>
    </row>
    <row r="672" spans="2:6" ht="12.75">
      <c r="B672" s="1090"/>
      <c r="C672" s="74"/>
      <c r="D672" s="74"/>
      <c r="E672" s="1090"/>
      <c r="F672" s="74"/>
    </row>
    <row r="673" spans="2:6" ht="12.75">
      <c r="B673" s="1090"/>
      <c r="C673" s="74"/>
      <c r="D673" s="74"/>
      <c r="E673" s="1090"/>
      <c r="F673" s="74"/>
    </row>
    <row r="674" spans="2:6" ht="12.75">
      <c r="B674" s="1090"/>
      <c r="C674" s="74"/>
      <c r="D674" s="74"/>
      <c r="E674" s="1090"/>
      <c r="F674" s="74"/>
    </row>
    <row r="675" spans="2:6" ht="12.75">
      <c r="B675" s="1090"/>
      <c r="C675" s="74"/>
      <c r="D675" s="74"/>
      <c r="E675" s="1090"/>
      <c r="F675" s="74"/>
    </row>
    <row r="676" spans="2:6" ht="12.75">
      <c r="B676" s="1090"/>
      <c r="C676" s="74"/>
      <c r="D676" s="74"/>
      <c r="E676" s="1090"/>
      <c r="F676" s="74"/>
    </row>
    <row r="677" spans="2:6" ht="12.75">
      <c r="B677" s="1090"/>
      <c r="C677" s="74"/>
      <c r="D677" s="74"/>
      <c r="E677" s="1090"/>
      <c r="F677" s="74"/>
    </row>
    <row r="678" spans="2:6" ht="12.75">
      <c r="B678" s="1090"/>
      <c r="C678" s="74"/>
      <c r="D678" s="74"/>
      <c r="E678" s="1090"/>
      <c r="F678" s="74"/>
    </row>
    <row r="679" spans="2:6" ht="12.75">
      <c r="B679" s="1090"/>
      <c r="C679" s="74"/>
      <c r="D679" s="74"/>
      <c r="E679" s="1090"/>
      <c r="F679" s="74"/>
    </row>
    <row r="680" spans="2:6" ht="12.75">
      <c r="B680" s="1090"/>
      <c r="C680" s="74"/>
      <c r="D680" s="74"/>
      <c r="E680" s="1090"/>
      <c r="F680" s="74"/>
    </row>
    <row r="681" spans="2:6" ht="12.75">
      <c r="B681" s="1090"/>
      <c r="C681" s="74"/>
      <c r="D681" s="74"/>
      <c r="E681" s="1090"/>
      <c r="F681" s="74"/>
    </row>
    <row r="682" spans="2:6" ht="12.75">
      <c r="B682" s="1090"/>
      <c r="C682" s="74"/>
      <c r="D682" s="74"/>
      <c r="E682" s="1090"/>
      <c r="F682" s="74"/>
    </row>
    <row r="683" spans="2:6" ht="12.75">
      <c r="B683" s="1090"/>
      <c r="C683" s="74"/>
      <c r="D683" s="74"/>
      <c r="E683" s="1090"/>
      <c r="F683" s="74"/>
    </row>
    <row r="684" spans="2:6" ht="12.75">
      <c r="B684" s="1090"/>
      <c r="C684" s="74"/>
      <c r="D684" s="74"/>
      <c r="E684" s="1090"/>
      <c r="F684" s="74"/>
    </row>
    <row r="685" spans="2:6" ht="12.75">
      <c r="B685" s="1090"/>
      <c r="C685" s="74"/>
      <c r="D685" s="74"/>
      <c r="E685" s="1090"/>
      <c r="F685" s="74"/>
    </row>
    <row r="686" spans="2:6" ht="12.75">
      <c r="B686" s="1090"/>
      <c r="C686" s="74"/>
      <c r="D686" s="74"/>
      <c r="E686" s="1090"/>
      <c r="F686" s="74"/>
    </row>
    <row r="687" spans="2:6" ht="12.75">
      <c r="B687" s="1090"/>
      <c r="C687" s="74"/>
      <c r="D687" s="74"/>
      <c r="E687" s="1090"/>
      <c r="F687" s="74"/>
    </row>
    <row r="688" spans="2:6" ht="12.75">
      <c r="B688" s="1090"/>
      <c r="C688" s="74"/>
      <c r="D688" s="74"/>
      <c r="E688" s="1090"/>
      <c r="F688" s="74"/>
    </row>
    <row r="689" spans="2:6" ht="12.75">
      <c r="B689" s="1090"/>
      <c r="C689" s="74"/>
      <c r="D689" s="74"/>
      <c r="E689" s="1090"/>
      <c r="F689" s="74"/>
    </row>
    <row r="690" spans="2:6" ht="12.75">
      <c r="B690" s="1090"/>
      <c r="C690" s="74"/>
      <c r="D690" s="74"/>
      <c r="E690" s="1090"/>
      <c r="F690" s="74"/>
    </row>
    <row r="691" spans="2:6" ht="12.75">
      <c r="B691" s="1090"/>
      <c r="C691" s="74"/>
      <c r="D691" s="74"/>
      <c r="E691" s="1090"/>
      <c r="F691" s="74"/>
    </row>
    <row r="692" spans="2:6" ht="12.75">
      <c r="B692" s="1090"/>
      <c r="C692" s="74"/>
      <c r="D692" s="74"/>
      <c r="E692" s="1090"/>
      <c r="F692" s="74"/>
    </row>
    <row r="693" spans="2:6" ht="12.75">
      <c r="B693" s="1090"/>
      <c r="C693" s="74"/>
      <c r="D693" s="74"/>
      <c r="E693" s="1090"/>
      <c r="F693" s="74"/>
    </row>
    <row r="694" spans="2:6" ht="12.75">
      <c r="B694" s="1090"/>
      <c r="C694" s="74"/>
      <c r="D694" s="74"/>
      <c r="E694" s="1090"/>
      <c r="F694" s="74"/>
    </row>
    <row r="695" spans="2:6" ht="12.75">
      <c r="B695" s="1090"/>
      <c r="C695" s="74"/>
      <c r="D695" s="74"/>
      <c r="E695" s="1090"/>
      <c r="F695" s="74"/>
    </row>
    <row r="696" spans="2:6" ht="12.75">
      <c r="B696" s="1090"/>
      <c r="C696" s="74"/>
      <c r="D696" s="74"/>
      <c r="E696" s="1090"/>
      <c r="F696" s="74"/>
    </row>
    <row r="697" spans="2:6" ht="12.75">
      <c r="B697" s="1090"/>
      <c r="C697" s="74"/>
      <c r="D697" s="74"/>
      <c r="E697" s="1090"/>
      <c r="F697" s="74"/>
    </row>
    <row r="698" spans="2:6" ht="12.75">
      <c r="B698" s="1090"/>
      <c r="C698" s="74"/>
      <c r="D698" s="74"/>
      <c r="E698" s="1090"/>
      <c r="F698" s="74"/>
    </row>
    <row r="699" spans="2:6" ht="12.75">
      <c r="B699" s="1090"/>
      <c r="C699" s="74"/>
      <c r="D699" s="74"/>
      <c r="E699" s="1090"/>
      <c r="F699" s="74"/>
    </row>
    <row r="700" spans="2:6" ht="12.75">
      <c r="B700" s="1090"/>
      <c r="C700" s="74"/>
      <c r="D700" s="74"/>
      <c r="E700" s="1090"/>
      <c r="F700" s="74"/>
    </row>
    <row r="701" spans="2:6" ht="12.75">
      <c r="B701" s="1090"/>
      <c r="C701" s="74"/>
      <c r="D701" s="74"/>
      <c r="E701" s="1090"/>
      <c r="F701" s="74"/>
    </row>
    <row r="702" spans="2:6" ht="12.75">
      <c r="B702" s="1090"/>
      <c r="C702" s="74"/>
      <c r="D702" s="74"/>
      <c r="E702" s="1090"/>
      <c r="F702" s="74"/>
    </row>
    <row r="703" spans="2:6" ht="12.75">
      <c r="B703" s="1090"/>
      <c r="C703" s="74"/>
      <c r="D703" s="74"/>
      <c r="E703" s="1090"/>
      <c r="F703" s="74"/>
    </row>
    <row r="704" spans="2:6" ht="12.75">
      <c r="B704" s="1090"/>
      <c r="C704" s="74"/>
      <c r="D704" s="74"/>
      <c r="E704" s="1090"/>
      <c r="F704" s="74"/>
    </row>
    <row r="705" spans="2:6" ht="12.75">
      <c r="B705" s="1090"/>
      <c r="C705" s="74"/>
      <c r="D705" s="74"/>
      <c r="E705" s="1090"/>
      <c r="F705" s="74"/>
    </row>
    <row r="706" spans="2:6" ht="12.75">
      <c r="B706" s="1090"/>
      <c r="C706" s="74"/>
      <c r="D706" s="74"/>
      <c r="E706" s="1090"/>
      <c r="F706" s="74"/>
    </row>
    <row r="707" spans="2:6" ht="12.75">
      <c r="B707" s="1090"/>
      <c r="C707" s="74"/>
      <c r="D707" s="74"/>
      <c r="E707" s="1090"/>
      <c r="F707" s="74"/>
    </row>
    <row r="708" spans="2:6" ht="12.75">
      <c r="B708" s="1090"/>
      <c r="C708" s="74"/>
      <c r="D708" s="74"/>
      <c r="E708" s="1090"/>
      <c r="F708" s="74"/>
    </row>
    <row r="709" spans="2:6" ht="12.75">
      <c r="B709" s="1090"/>
      <c r="C709" s="74"/>
      <c r="D709" s="74"/>
      <c r="E709" s="1090"/>
      <c r="F709" s="74"/>
    </row>
    <row r="710" spans="2:6" ht="12.75">
      <c r="B710" s="1090"/>
      <c r="C710" s="74"/>
      <c r="D710" s="74"/>
      <c r="E710" s="1090"/>
      <c r="F710" s="74"/>
    </row>
    <row r="711" spans="2:6" ht="12.75">
      <c r="B711" s="1090"/>
      <c r="C711" s="74"/>
      <c r="D711" s="74"/>
      <c r="E711" s="1090"/>
      <c r="F711" s="74"/>
    </row>
    <row r="712" spans="2:6" ht="12.75">
      <c r="B712" s="1090"/>
      <c r="C712" s="74"/>
      <c r="D712" s="74"/>
      <c r="E712" s="1090"/>
      <c r="F712" s="74"/>
    </row>
    <row r="713" spans="2:6" ht="12.75">
      <c r="B713" s="1090"/>
      <c r="C713" s="74"/>
      <c r="D713" s="74"/>
      <c r="E713" s="1090"/>
      <c r="F713" s="74"/>
    </row>
    <row r="714" spans="2:6" ht="12.75">
      <c r="B714" s="1090"/>
      <c r="C714" s="74"/>
      <c r="D714" s="74"/>
      <c r="E714" s="1090"/>
      <c r="F714" s="74"/>
    </row>
    <row r="715" spans="2:6" ht="12.75">
      <c r="B715" s="1090"/>
      <c r="C715" s="74"/>
      <c r="D715" s="74"/>
      <c r="E715" s="1090"/>
      <c r="F715" s="74"/>
    </row>
    <row r="716" spans="2:6" ht="12.75">
      <c r="B716" s="1090"/>
      <c r="C716" s="74"/>
      <c r="D716" s="74"/>
      <c r="E716" s="1090"/>
      <c r="F716" s="74"/>
    </row>
    <row r="717" spans="2:6" ht="12.75">
      <c r="B717" s="1090"/>
      <c r="C717" s="74"/>
      <c r="D717" s="74"/>
      <c r="E717" s="1090"/>
      <c r="F717" s="74"/>
    </row>
    <row r="718" spans="2:6" ht="12.75">
      <c r="B718" s="1090"/>
      <c r="C718" s="74"/>
      <c r="D718" s="74"/>
      <c r="E718" s="1090"/>
      <c r="F718" s="74"/>
    </row>
    <row r="719" spans="2:6" ht="12.75">
      <c r="B719" s="1090"/>
      <c r="C719" s="74"/>
      <c r="D719" s="74"/>
      <c r="E719" s="1090"/>
      <c r="F719" s="74"/>
    </row>
    <row r="720" spans="2:6" ht="12.75">
      <c r="B720" s="1090"/>
      <c r="C720" s="74"/>
      <c r="D720" s="74"/>
      <c r="E720" s="1090"/>
      <c r="F720" s="74"/>
    </row>
    <row r="721" spans="2:6" ht="12.75">
      <c r="B721" s="1090"/>
      <c r="C721" s="74"/>
      <c r="D721" s="74"/>
      <c r="E721" s="1090"/>
      <c r="F721" s="74"/>
    </row>
    <row r="722" spans="2:6" ht="12.75">
      <c r="B722" s="1090"/>
      <c r="C722" s="74"/>
      <c r="D722" s="74"/>
      <c r="E722" s="1090"/>
      <c r="F722" s="74"/>
    </row>
    <row r="723" spans="2:6" ht="12.75">
      <c r="B723" s="1090"/>
      <c r="C723" s="74"/>
      <c r="D723" s="74"/>
      <c r="E723" s="1090"/>
      <c r="F723" s="74"/>
    </row>
    <row r="724" spans="2:6" ht="12.75">
      <c r="B724" s="1090"/>
      <c r="C724" s="74"/>
      <c r="D724" s="74"/>
      <c r="E724" s="1090"/>
      <c r="F724" s="74"/>
    </row>
    <row r="725" spans="2:6" ht="12.75">
      <c r="B725" s="1090"/>
      <c r="C725" s="74"/>
      <c r="D725" s="74"/>
      <c r="E725" s="1090"/>
      <c r="F725" s="74"/>
    </row>
    <row r="726" spans="2:6" ht="12.75">
      <c r="B726" s="1090"/>
      <c r="C726" s="74"/>
      <c r="D726" s="74"/>
      <c r="E726" s="1090"/>
      <c r="F726" s="74"/>
    </row>
    <row r="727" spans="2:6" ht="12.75">
      <c r="B727" s="1090"/>
      <c r="C727" s="74"/>
      <c r="D727" s="74"/>
      <c r="E727" s="1090"/>
      <c r="F727" s="74"/>
    </row>
    <row r="728" spans="2:6" ht="12.75">
      <c r="B728" s="1090"/>
      <c r="C728" s="74"/>
      <c r="D728" s="74"/>
      <c r="E728" s="1090"/>
      <c r="F728" s="74"/>
    </row>
    <row r="729" spans="2:6" ht="12.75">
      <c r="B729" s="1090"/>
      <c r="C729" s="74"/>
      <c r="D729" s="74"/>
      <c r="E729" s="1090"/>
      <c r="F729" s="74"/>
    </row>
    <row r="730" spans="2:6" ht="12.75">
      <c r="B730" s="1090"/>
      <c r="C730" s="74"/>
      <c r="D730" s="74"/>
      <c r="E730" s="1090"/>
      <c r="F730" s="74"/>
    </row>
    <row r="731" spans="2:6" ht="12.75">
      <c r="B731" s="1090"/>
      <c r="C731" s="74"/>
      <c r="D731" s="74"/>
      <c r="E731" s="1090"/>
      <c r="F731" s="74"/>
    </row>
    <row r="732" spans="2:6" ht="12.75">
      <c r="B732" s="1090"/>
      <c r="C732" s="74"/>
      <c r="D732" s="74"/>
      <c r="E732" s="1090"/>
      <c r="F732" s="74"/>
    </row>
    <row r="733" spans="2:6" ht="12.75">
      <c r="B733" s="1090"/>
      <c r="C733" s="74"/>
      <c r="D733" s="74"/>
      <c r="E733" s="1090"/>
      <c r="F733" s="74"/>
    </row>
    <row r="734" spans="2:6" ht="12.75">
      <c r="B734" s="1090"/>
      <c r="C734" s="74"/>
      <c r="D734" s="74"/>
      <c r="E734" s="1090"/>
      <c r="F734" s="74"/>
    </row>
    <row r="735" spans="2:6" ht="12.75">
      <c r="B735" s="1090"/>
      <c r="C735" s="74"/>
      <c r="D735" s="74"/>
      <c r="E735" s="1090"/>
      <c r="F735" s="74"/>
    </row>
    <row r="736" spans="2:6" ht="12.75">
      <c r="B736" s="1090"/>
      <c r="C736" s="74"/>
      <c r="D736" s="74"/>
      <c r="E736" s="1090"/>
      <c r="F736" s="74"/>
    </row>
    <row r="737" spans="2:6" ht="12.75">
      <c r="B737" s="1090"/>
      <c r="C737" s="74"/>
      <c r="D737" s="74"/>
      <c r="E737" s="1090"/>
      <c r="F737" s="74"/>
    </row>
    <row r="738" spans="2:6" ht="12.75">
      <c r="B738" s="1090"/>
      <c r="C738" s="74"/>
      <c r="D738" s="74"/>
      <c r="E738" s="1090"/>
      <c r="F738" s="74"/>
    </row>
    <row r="739" spans="2:6" ht="12.75">
      <c r="B739" s="1090"/>
      <c r="C739" s="74"/>
      <c r="D739" s="74"/>
      <c r="E739" s="1090"/>
      <c r="F739" s="74"/>
    </row>
    <row r="740" spans="2:6" ht="12.75">
      <c r="B740" s="1090"/>
      <c r="C740" s="74"/>
      <c r="D740" s="74"/>
      <c r="E740" s="1090"/>
      <c r="F740" s="74"/>
    </row>
    <row r="741" spans="2:6" ht="12.75">
      <c r="B741" s="1090"/>
      <c r="C741" s="74"/>
      <c r="D741" s="74"/>
      <c r="E741" s="1090"/>
      <c r="F741" s="74"/>
    </row>
    <row r="742" spans="2:6" ht="12.75">
      <c r="B742" s="1090"/>
      <c r="C742" s="74"/>
      <c r="D742" s="74"/>
      <c r="E742" s="1090"/>
      <c r="F742" s="74"/>
    </row>
    <row r="743" spans="2:6" ht="12.75">
      <c r="B743" s="1090"/>
      <c r="C743" s="74"/>
      <c r="D743" s="74"/>
      <c r="E743" s="1090"/>
      <c r="F743" s="74"/>
    </row>
    <row r="744" spans="2:6" ht="12.75">
      <c r="B744" s="1090"/>
      <c r="C744" s="74"/>
      <c r="D744" s="74"/>
      <c r="E744" s="1090"/>
      <c r="F744" s="74"/>
    </row>
    <row r="745" spans="2:6" ht="12.75">
      <c r="B745" s="1090"/>
      <c r="C745" s="74"/>
      <c r="D745" s="74"/>
      <c r="E745" s="1090"/>
      <c r="F745" s="74"/>
    </row>
    <row r="746" spans="2:6" ht="12.75">
      <c r="B746" s="1090"/>
      <c r="C746" s="74"/>
      <c r="D746" s="74"/>
      <c r="E746" s="1090"/>
      <c r="F746" s="74"/>
    </row>
    <row r="747" spans="2:6" ht="12.75">
      <c r="B747" s="1090"/>
      <c r="C747" s="74"/>
      <c r="D747" s="74"/>
      <c r="E747" s="1090"/>
      <c r="F747" s="74"/>
    </row>
    <row r="748" spans="2:6" ht="12.75">
      <c r="B748" s="1090"/>
      <c r="C748" s="74"/>
      <c r="D748" s="74"/>
      <c r="E748" s="1090"/>
      <c r="F748" s="74"/>
    </row>
    <row r="749" spans="2:6" ht="12.75">
      <c r="B749" s="1090"/>
      <c r="C749" s="74"/>
      <c r="D749" s="74"/>
      <c r="E749" s="1090"/>
      <c r="F749" s="74"/>
    </row>
    <row r="750" spans="2:6" ht="12.75">
      <c r="B750" s="1090"/>
      <c r="C750" s="74"/>
      <c r="D750" s="74"/>
      <c r="E750" s="1090"/>
      <c r="F750" s="74"/>
    </row>
    <row r="751" spans="2:6" ht="12.75">
      <c r="B751" s="1090"/>
      <c r="C751" s="74"/>
      <c r="D751" s="74"/>
      <c r="E751" s="1090"/>
      <c r="F751" s="74"/>
    </row>
    <row r="752" spans="2:6" ht="12.75">
      <c r="B752" s="1090"/>
      <c r="C752" s="74"/>
      <c r="D752" s="74"/>
      <c r="E752" s="1090"/>
      <c r="F752" s="74"/>
    </row>
    <row r="753" spans="2:6" ht="12.75">
      <c r="B753" s="1090"/>
      <c r="C753" s="74"/>
      <c r="D753" s="74"/>
      <c r="E753" s="1090"/>
      <c r="F753" s="74"/>
    </row>
    <row r="754" spans="2:6" ht="12.75">
      <c r="B754" s="1090"/>
      <c r="C754" s="74"/>
      <c r="D754" s="74"/>
      <c r="E754" s="1090"/>
      <c r="F754" s="74"/>
    </row>
    <row r="755" spans="2:6" ht="12.75">
      <c r="B755" s="1090"/>
      <c r="C755" s="74"/>
      <c r="D755" s="74"/>
      <c r="E755" s="1090"/>
      <c r="F755" s="74"/>
    </row>
    <row r="756" spans="2:6" ht="12.75">
      <c r="B756" s="1090"/>
      <c r="C756" s="74"/>
      <c r="D756" s="74"/>
      <c r="E756" s="1090"/>
      <c r="F756" s="74"/>
    </row>
    <row r="757" spans="2:6" ht="12.75">
      <c r="B757" s="1090"/>
      <c r="C757" s="74"/>
      <c r="D757" s="74"/>
      <c r="E757" s="1090"/>
      <c r="F757" s="74"/>
    </row>
    <row r="758" spans="2:6" ht="12.75">
      <c r="B758" s="1090"/>
      <c r="C758" s="74"/>
      <c r="D758" s="74"/>
      <c r="E758" s="1090"/>
      <c r="F758" s="74"/>
    </row>
    <row r="759" spans="2:6" ht="12.75">
      <c r="B759" s="1090"/>
      <c r="C759" s="74"/>
      <c r="D759" s="74"/>
      <c r="E759" s="1090"/>
      <c r="F759" s="74"/>
    </row>
    <row r="760" spans="2:6" ht="12.75">
      <c r="B760" s="1090"/>
      <c r="C760" s="74"/>
      <c r="D760" s="74"/>
      <c r="E760" s="1090"/>
      <c r="F760" s="74"/>
    </row>
    <row r="761" spans="2:6" ht="12.75">
      <c r="B761" s="1090"/>
      <c r="C761" s="74"/>
      <c r="D761" s="74"/>
      <c r="E761" s="1090"/>
      <c r="F761" s="74"/>
    </row>
    <row r="762" spans="2:6" ht="12.75">
      <c r="B762" s="1090"/>
      <c r="C762" s="74"/>
      <c r="D762" s="74"/>
      <c r="E762" s="1090"/>
      <c r="F762" s="74"/>
    </row>
    <row r="763" spans="2:6" ht="12.75">
      <c r="B763" s="1090"/>
      <c r="C763" s="74"/>
      <c r="D763" s="74"/>
      <c r="E763" s="1090"/>
      <c r="F763" s="74"/>
    </row>
    <row r="764" spans="2:6" ht="12.75">
      <c r="B764" s="1090"/>
      <c r="C764" s="74"/>
      <c r="D764" s="74"/>
      <c r="E764" s="1090"/>
      <c r="F764" s="74"/>
    </row>
    <row r="765" spans="2:6" ht="12.75">
      <c r="B765" s="1090"/>
      <c r="C765" s="74"/>
      <c r="D765" s="74"/>
      <c r="E765" s="1090"/>
      <c r="F765" s="74"/>
    </row>
    <row r="766" spans="2:6" ht="12.75">
      <c r="B766" s="1090"/>
      <c r="C766" s="74"/>
      <c r="D766" s="74"/>
      <c r="E766" s="1090"/>
      <c r="F766" s="74"/>
    </row>
    <row r="767" spans="2:6" ht="12.75">
      <c r="B767" s="1090"/>
      <c r="C767" s="74"/>
      <c r="D767" s="74"/>
      <c r="E767" s="1090"/>
      <c r="F767" s="74"/>
    </row>
    <row r="768" spans="2:6" ht="12.75">
      <c r="B768" s="1090"/>
      <c r="C768" s="74"/>
      <c r="D768" s="74"/>
      <c r="E768" s="1090"/>
      <c r="F768" s="74"/>
    </row>
    <row r="769" spans="2:6" ht="12.75">
      <c r="B769" s="1090"/>
      <c r="C769" s="74"/>
      <c r="D769" s="74"/>
      <c r="E769" s="1090"/>
      <c r="F769" s="74"/>
    </row>
    <row r="770" spans="2:6" ht="12.75">
      <c r="B770" s="1090"/>
      <c r="C770" s="74"/>
      <c r="D770" s="74"/>
      <c r="E770" s="1090"/>
      <c r="F770" s="74"/>
    </row>
    <row r="771" spans="2:6" ht="12.75">
      <c r="B771" s="1090"/>
      <c r="C771" s="74"/>
      <c r="D771" s="74"/>
      <c r="E771" s="1090"/>
      <c r="F771" s="74"/>
    </row>
    <row r="772" spans="2:6" ht="12.75">
      <c r="B772" s="1090"/>
      <c r="C772" s="74"/>
      <c r="D772" s="74"/>
      <c r="E772" s="1090"/>
      <c r="F772" s="74"/>
    </row>
    <row r="773" spans="2:6" ht="12.75">
      <c r="B773" s="1090"/>
      <c r="C773" s="74"/>
      <c r="D773" s="74"/>
      <c r="E773" s="1090"/>
      <c r="F773" s="74"/>
    </row>
    <row r="774" spans="2:6" ht="12.75">
      <c r="B774" s="1090"/>
      <c r="C774" s="74"/>
      <c r="D774" s="74"/>
      <c r="E774" s="1090"/>
      <c r="F774" s="74"/>
    </row>
    <row r="775" spans="2:6" ht="12.75">
      <c r="B775" s="1090"/>
      <c r="C775" s="74"/>
      <c r="D775" s="74"/>
      <c r="E775" s="1090"/>
      <c r="F775" s="74"/>
    </row>
    <row r="776" spans="2:6" ht="12.75">
      <c r="B776" s="1090"/>
      <c r="C776" s="74"/>
      <c r="D776" s="74"/>
      <c r="E776" s="1090"/>
      <c r="F776" s="74"/>
    </row>
    <row r="777" spans="2:6" ht="12.75">
      <c r="B777" s="1090"/>
      <c r="C777" s="74"/>
      <c r="D777" s="74"/>
      <c r="E777" s="1090"/>
      <c r="F777" s="74"/>
    </row>
    <row r="778" spans="2:6" ht="12.75">
      <c r="B778" s="1090"/>
      <c r="C778" s="74"/>
      <c r="D778" s="74"/>
      <c r="E778" s="1090"/>
      <c r="F778" s="74"/>
    </row>
    <row r="779" spans="2:6" ht="12.75">
      <c r="B779" s="1090"/>
      <c r="C779" s="74"/>
      <c r="D779" s="74"/>
      <c r="E779" s="1090"/>
      <c r="F779" s="74"/>
    </row>
    <row r="780" spans="2:6" ht="12.75">
      <c r="B780" s="1090"/>
      <c r="C780" s="74"/>
      <c r="D780" s="74"/>
      <c r="E780" s="1090"/>
      <c r="F780" s="74"/>
    </row>
    <row r="781" spans="2:6" ht="12.75">
      <c r="B781" s="1090"/>
      <c r="C781" s="74"/>
      <c r="D781" s="74"/>
      <c r="E781" s="1090"/>
      <c r="F781" s="74"/>
    </row>
    <row r="782" spans="2:6" ht="12.75">
      <c r="B782" s="1090"/>
      <c r="C782" s="74"/>
      <c r="D782" s="74"/>
      <c r="E782" s="1090"/>
      <c r="F782" s="74"/>
    </row>
    <row r="783" spans="2:6" ht="12.75">
      <c r="B783" s="1090"/>
      <c r="C783" s="74"/>
      <c r="D783" s="74"/>
      <c r="E783" s="1090"/>
      <c r="F783" s="74"/>
    </row>
    <row r="784" spans="2:6" ht="12.75">
      <c r="B784" s="1090"/>
      <c r="C784" s="74"/>
      <c r="D784" s="74"/>
      <c r="E784" s="1090"/>
      <c r="F784" s="74"/>
    </row>
    <row r="785" spans="2:6" ht="12.75">
      <c r="B785" s="1090"/>
      <c r="C785" s="74"/>
      <c r="D785" s="74"/>
      <c r="E785" s="1090"/>
      <c r="F785" s="74"/>
    </row>
    <row r="786" spans="2:6" ht="12.75">
      <c r="B786" s="1090"/>
      <c r="C786" s="74"/>
      <c r="D786" s="74"/>
      <c r="E786" s="1090"/>
      <c r="F786" s="74"/>
    </row>
    <row r="787" spans="2:6" ht="12.75">
      <c r="B787" s="1090"/>
      <c r="C787" s="74"/>
      <c r="D787" s="74"/>
      <c r="E787" s="1090"/>
      <c r="F787" s="74"/>
    </row>
    <row r="788" spans="2:6" ht="12.75">
      <c r="B788" s="1090"/>
      <c r="C788" s="74"/>
      <c r="D788" s="74"/>
      <c r="E788" s="1090"/>
      <c r="F788" s="74"/>
    </row>
    <row r="789" spans="2:6" ht="12.75">
      <c r="B789" s="1090"/>
      <c r="C789" s="74"/>
      <c r="D789" s="74"/>
      <c r="E789" s="1090"/>
      <c r="F789" s="74"/>
    </row>
    <row r="790" spans="2:6" ht="12.75">
      <c r="B790" s="1090"/>
      <c r="C790" s="74"/>
      <c r="D790" s="74"/>
      <c r="E790" s="1090"/>
      <c r="F790" s="74"/>
    </row>
    <row r="791" spans="2:6" ht="12.75">
      <c r="B791" s="1090"/>
      <c r="C791" s="74"/>
      <c r="D791" s="74"/>
      <c r="E791" s="1090"/>
      <c r="F791" s="74"/>
    </row>
    <row r="792" spans="2:6" ht="12.75">
      <c r="B792" s="1090"/>
      <c r="C792" s="74"/>
      <c r="D792" s="74"/>
      <c r="E792" s="1090"/>
      <c r="F792" s="74"/>
    </row>
    <row r="793" spans="2:6" ht="12.75">
      <c r="B793" s="1090"/>
      <c r="C793" s="74"/>
      <c r="D793" s="74"/>
      <c r="E793" s="1090"/>
      <c r="F793" s="74"/>
    </row>
    <row r="794" spans="2:6" ht="12.75">
      <c r="B794" s="1090"/>
      <c r="C794" s="74"/>
      <c r="D794" s="74"/>
      <c r="E794" s="1090"/>
      <c r="F794" s="74"/>
    </row>
    <row r="795" spans="2:6" ht="12.75">
      <c r="B795" s="1090"/>
      <c r="C795" s="74"/>
      <c r="D795" s="74"/>
      <c r="E795" s="1090"/>
      <c r="F795" s="74"/>
    </row>
    <row r="796" spans="2:6" ht="12.75">
      <c r="B796" s="1090"/>
      <c r="C796" s="74"/>
      <c r="D796" s="74"/>
      <c r="E796" s="1090"/>
      <c r="F796" s="74"/>
    </row>
    <row r="797" spans="2:6" ht="12.75">
      <c r="B797" s="1090"/>
      <c r="C797" s="74"/>
      <c r="D797" s="74"/>
      <c r="E797" s="1090"/>
      <c r="F797" s="74"/>
    </row>
    <row r="798" spans="2:6" ht="12.75">
      <c r="B798" s="1090"/>
      <c r="C798" s="74"/>
      <c r="D798" s="74"/>
      <c r="E798" s="1090"/>
      <c r="F798" s="74"/>
    </row>
    <row r="799" spans="2:6" ht="12.75">
      <c r="B799" s="1090"/>
      <c r="C799" s="74"/>
      <c r="D799" s="74"/>
      <c r="E799" s="1090"/>
      <c r="F799" s="74"/>
    </row>
    <row r="800" spans="2:6" ht="12.75">
      <c r="B800" s="1090"/>
      <c r="C800" s="74"/>
      <c r="D800" s="74"/>
      <c r="E800" s="1090"/>
      <c r="F800" s="74"/>
    </row>
    <row r="801" spans="2:6" ht="12.75">
      <c r="B801" s="1090"/>
      <c r="C801" s="74"/>
      <c r="D801" s="74"/>
      <c r="E801" s="1090"/>
      <c r="F801" s="74"/>
    </row>
    <row r="802" spans="2:6" ht="12.75">
      <c r="B802" s="1090"/>
      <c r="C802" s="74"/>
      <c r="D802" s="74"/>
      <c r="E802" s="1090"/>
      <c r="F802" s="74"/>
    </row>
    <row r="803" spans="2:6" ht="12.75">
      <c r="B803" s="1090"/>
      <c r="C803" s="74"/>
      <c r="D803" s="74"/>
      <c r="E803" s="1090"/>
      <c r="F803" s="74"/>
    </row>
    <row r="804" spans="2:6" ht="12.75">
      <c r="B804" s="1090"/>
      <c r="C804" s="74"/>
      <c r="D804" s="74"/>
      <c r="E804" s="1090"/>
      <c r="F804" s="74"/>
    </row>
    <row r="805" spans="2:6" ht="12.75">
      <c r="B805" s="1090"/>
      <c r="C805" s="74"/>
      <c r="D805" s="74"/>
      <c r="E805" s="1090"/>
      <c r="F805" s="74"/>
    </row>
    <row r="806" spans="2:6" ht="12.75">
      <c r="B806" s="1090"/>
      <c r="C806" s="74"/>
      <c r="D806" s="74"/>
      <c r="E806" s="1090"/>
      <c r="F806" s="74"/>
    </row>
    <row r="807" spans="2:6" ht="12.75">
      <c r="B807" s="1090"/>
      <c r="C807" s="74"/>
      <c r="D807" s="74"/>
      <c r="E807" s="1090"/>
      <c r="F807" s="74"/>
    </row>
    <row r="808" spans="2:6" ht="12.75">
      <c r="B808" s="1090"/>
      <c r="C808" s="74"/>
      <c r="D808" s="74"/>
      <c r="E808" s="1090"/>
      <c r="F808" s="74"/>
    </row>
    <row r="809" spans="2:6" ht="12.75">
      <c r="B809" s="1090"/>
      <c r="C809" s="74"/>
      <c r="D809" s="74"/>
      <c r="E809" s="1090"/>
      <c r="F809" s="74"/>
    </row>
    <row r="810" spans="2:6" ht="12.75">
      <c r="B810" s="1090"/>
      <c r="C810" s="74"/>
      <c r="D810" s="74"/>
      <c r="E810" s="1090"/>
      <c r="F810" s="74"/>
    </row>
    <row r="811" spans="2:6" ht="12.75">
      <c r="B811" s="1090"/>
      <c r="C811" s="74"/>
      <c r="D811" s="74"/>
      <c r="E811" s="1090"/>
      <c r="F811" s="74"/>
    </row>
    <row r="812" spans="2:6" ht="12.75">
      <c r="B812" s="1090"/>
      <c r="C812" s="74"/>
      <c r="D812" s="74"/>
      <c r="E812" s="1090"/>
      <c r="F812" s="74"/>
    </row>
    <row r="813" spans="2:6" ht="12.75">
      <c r="B813" s="1090"/>
      <c r="C813" s="74"/>
      <c r="D813" s="74"/>
      <c r="E813" s="1090"/>
      <c r="F813" s="74"/>
    </row>
    <row r="814" spans="2:6" ht="12.75">
      <c r="B814" s="1090"/>
      <c r="C814" s="74"/>
      <c r="D814" s="74"/>
      <c r="E814" s="1090"/>
      <c r="F814" s="74"/>
    </row>
    <row r="815" spans="2:6" ht="12.75">
      <c r="B815" s="1090"/>
      <c r="C815" s="74"/>
      <c r="D815" s="74"/>
      <c r="E815" s="1090"/>
      <c r="F815" s="74"/>
    </row>
    <row r="816" spans="2:6" ht="12.75">
      <c r="B816" s="1090"/>
      <c r="C816" s="74"/>
      <c r="D816" s="74"/>
      <c r="E816" s="1090"/>
      <c r="F816" s="74"/>
    </row>
    <row r="817" spans="2:6" ht="12.75">
      <c r="B817" s="1090"/>
      <c r="C817" s="74"/>
      <c r="D817" s="74"/>
      <c r="E817" s="1090"/>
      <c r="F817" s="74"/>
    </row>
    <row r="818" spans="2:6" ht="12.75">
      <c r="B818" s="1090"/>
      <c r="C818" s="74"/>
      <c r="D818" s="74"/>
      <c r="E818" s="1090"/>
      <c r="F818" s="74"/>
    </row>
    <row r="819" spans="2:6" ht="12.75">
      <c r="B819" s="1090"/>
      <c r="C819" s="74"/>
      <c r="D819" s="74"/>
      <c r="E819" s="1090"/>
      <c r="F819" s="74"/>
    </row>
    <row r="820" spans="2:6" ht="12.75">
      <c r="B820" s="1090"/>
      <c r="C820" s="74"/>
      <c r="D820" s="74"/>
      <c r="E820" s="1090"/>
      <c r="F820" s="74"/>
    </row>
    <row r="821" spans="2:6" ht="12.75">
      <c r="B821" s="1090"/>
      <c r="C821" s="74"/>
      <c r="D821" s="74"/>
      <c r="E821" s="1090"/>
      <c r="F821" s="74"/>
    </row>
    <row r="822" spans="2:6" ht="12.75">
      <c r="B822" s="1090"/>
      <c r="C822" s="74"/>
      <c r="D822" s="74"/>
      <c r="E822" s="1090"/>
      <c r="F822" s="74"/>
    </row>
    <row r="823" spans="2:6" ht="12.75">
      <c r="B823" s="1090"/>
      <c r="C823" s="74"/>
      <c r="D823" s="74"/>
      <c r="E823" s="1090"/>
      <c r="F823" s="74"/>
    </row>
    <row r="824" spans="2:6" ht="12.75">
      <c r="B824" s="1090"/>
      <c r="C824" s="74"/>
      <c r="D824" s="74"/>
      <c r="E824" s="1090"/>
      <c r="F824" s="74"/>
    </row>
    <row r="825" spans="2:6" ht="12.75">
      <c r="B825" s="1090"/>
      <c r="C825" s="74"/>
      <c r="D825" s="74"/>
      <c r="E825" s="1090"/>
      <c r="F825" s="74"/>
    </row>
    <row r="826" spans="2:6" ht="12.75">
      <c r="B826" s="1090"/>
      <c r="C826" s="74"/>
      <c r="D826" s="74"/>
      <c r="E826" s="1090"/>
      <c r="F826" s="74"/>
    </row>
    <row r="827" spans="2:6" ht="12.75">
      <c r="B827" s="1090"/>
      <c r="C827" s="74"/>
      <c r="D827" s="74"/>
      <c r="E827" s="1090"/>
      <c r="F827" s="74"/>
    </row>
    <row r="828" spans="2:6" ht="12.75">
      <c r="B828" s="1090"/>
      <c r="C828" s="74"/>
      <c r="D828" s="74"/>
      <c r="E828" s="1090"/>
      <c r="F828" s="74"/>
    </row>
    <row r="829" spans="2:6" ht="12.75">
      <c r="B829" s="1090"/>
      <c r="C829" s="74"/>
      <c r="D829" s="74"/>
      <c r="E829" s="1090"/>
      <c r="F829" s="74"/>
    </row>
    <row r="830" spans="2:6" ht="12.75">
      <c r="B830" s="1090"/>
      <c r="C830" s="74"/>
      <c r="D830" s="74"/>
      <c r="E830" s="1090"/>
      <c r="F830" s="74"/>
    </row>
    <row r="831" spans="2:6" ht="12.75">
      <c r="B831" s="1090"/>
      <c r="C831" s="74"/>
      <c r="D831" s="74"/>
      <c r="E831" s="1090"/>
      <c r="F831" s="74"/>
    </row>
    <row r="832" spans="2:6" ht="12.75">
      <c r="B832" s="1090"/>
      <c r="C832" s="74"/>
      <c r="D832" s="74"/>
      <c r="E832" s="1090"/>
      <c r="F832" s="74"/>
    </row>
    <row r="833" spans="2:6" ht="12.75">
      <c r="B833" s="1090"/>
      <c r="C833" s="74"/>
      <c r="D833" s="74"/>
      <c r="E833" s="1090"/>
      <c r="F833" s="74"/>
    </row>
    <row r="834" spans="2:6" ht="12.75">
      <c r="B834" s="1090"/>
      <c r="C834" s="74"/>
      <c r="D834" s="74"/>
      <c r="E834" s="1090"/>
      <c r="F834" s="74"/>
    </row>
    <row r="835" spans="2:6" ht="12.75">
      <c r="B835" s="1090"/>
      <c r="C835" s="74"/>
      <c r="D835" s="74"/>
      <c r="E835" s="1090"/>
      <c r="F835" s="74"/>
    </row>
    <row r="836" spans="2:6" ht="12.75">
      <c r="B836" s="1090"/>
      <c r="C836" s="74"/>
      <c r="D836" s="74"/>
      <c r="E836" s="1090"/>
      <c r="F836" s="74"/>
    </row>
    <row r="837" spans="2:6" ht="12.75">
      <c r="B837" s="1090"/>
      <c r="C837" s="74"/>
      <c r="D837" s="74"/>
      <c r="E837" s="1090"/>
      <c r="F837" s="74"/>
    </row>
    <row r="838" spans="2:6" ht="12.75">
      <c r="B838" s="1090"/>
      <c r="C838" s="74"/>
      <c r="D838" s="74"/>
      <c r="E838" s="1090"/>
      <c r="F838" s="74"/>
    </row>
    <row r="839" spans="2:6" ht="12.75">
      <c r="B839" s="1090"/>
      <c r="C839" s="74"/>
      <c r="D839" s="74"/>
      <c r="E839" s="1090"/>
      <c r="F839" s="74"/>
    </row>
    <row r="840" spans="2:6" ht="12.75">
      <c r="B840" s="1090"/>
      <c r="C840" s="74"/>
      <c r="D840" s="74"/>
      <c r="E840" s="1090"/>
      <c r="F840" s="74"/>
    </row>
    <row r="841" spans="2:6" ht="12.75">
      <c r="B841" s="1090"/>
      <c r="C841" s="74"/>
      <c r="D841" s="74"/>
      <c r="E841" s="1090"/>
      <c r="F841" s="74"/>
    </row>
    <row r="842" spans="2:6" ht="12.75">
      <c r="B842" s="1090"/>
      <c r="C842" s="74"/>
      <c r="D842" s="74"/>
      <c r="E842" s="1090"/>
      <c r="F842" s="74"/>
    </row>
    <row r="843" spans="2:6" ht="12.75">
      <c r="B843" s="1090"/>
      <c r="C843" s="74"/>
      <c r="D843" s="74"/>
      <c r="E843" s="1090"/>
      <c r="F843" s="74"/>
    </row>
    <row r="844" spans="2:6" ht="12.75">
      <c r="B844" s="1090"/>
      <c r="C844" s="74"/>
      <c r="D844" s="74"/>
      <c r="E844" s="1090"/>
      <c r="F844" s="74"/>
    </row>
    <row r="845" spans="2:6" ht="12.75">
      <c r="B845" s="1090"/>
      <c r="C845" s="74"/>
      <c r="D845" s="74"/>
      <c r="E845" s="1090"/>
      <c r="F845" s="74"/>
    </row>
    <row r="846" spans="2:6" ht="12.75">
      <c r="B846" s="1090"/>
      <c r="C846" s="74"/>
      <c r="D846" s="74"/>
      <c r="E846" s="1090"/>
      <c r="F846" s="74"/>
    </row>
    <row r="847" spans="2:6" ht="12.75">
      <c r="B847" s="1090"/>
      <c r="C847" s="74"/>
      <c r="D847" s="74"/>
      <c r="E847" s="1090"/>
      <c r="F847" s="74"/>
    </row>
    <row r="848" spans="2:6" ht="12.75">
      <c r="B848" s="1090"/>
      <c r="C848" s="74"/>
      <c r="D848" s="74"/>
      <c r="E848" s="1090"/>
      <c r="F848" s="74"/>
    </row>
    <row r="849" spans="2:6" ht="12.75">
      <c r="B849" s="1090"/>
      <c r="C849" s="74"/>
      <c r="D849" s="74"/>
      <c r="E849" s="1090"/>
      <c r="F849" s="74"/>
    </row>
    <row r="850" spans="2:6" ht="12.75">
      <c r="B850" s="1090"/>
      <c r="C850" s="74"/>
      <c r="D850" s="74"/>
      <c r="E850" s="1090"/>
      <c r="F850" s="74"/>
    </row>
    <row r="851" spans="2:6" ht="12.75">
      <c r="B851" s="1090"/>
      <c r="C851" s="74"/>
      <c r="D851" s="74"/>
      <c r="E851" s="1090"/>
      <c r="F851" s="74"/>
    </row>
    <row r="852" spans="2:6" ht="12.75">
      <c r="B852" s="1090"/>
      <c r="C852" s="74"/>
      <c r="D852" s="74"/>
      <c r="E852" s="1090"/>
      <c r="F852" s="74"/>
    </row>
    <row r="853" spans="2:6" ht="12.75">
      <c r="B853" s="1090"/>
      <c r="C853" s="74"/>
      <c r="D853" s="74"/>
      <c r="E853" s="1090"/>
      <c r="F853" s="74"/>
    </row>
    <row r="854" spans="2:6" ht="12.75">
      <c r="B854" s="1090"/>
      <c r="C854" s="74"/>
      <c r="D854" s="74"/>
      <c r="E854" s="1090"/>
      <c r="F854" s="74"/>
    </row>
    <row r="855" spans="2:6" ht="12.75">
      <c r="B855" s="1090"/>
      <c r="C855" s="74"/>
      <c r="D855" s="74"/>
      <c r="E855" s="1090"/>
      <c r="F855" s="74"/>
    </row>
    <row r="856" spans="2:6" ht="12.75">
      <c r="B856" s="1090"/>
      <c r="C856" s="74"/>
      <c r="D856" s="74"/>
      <c r="E856" s="1090"/>
      <c r="F856" s="74"/>
    </row>
    <row r="857" spans="2:6" ht="12.75">
      <c r="B857" s="1090"/>
      <c r="C857" s="74"/>
      <c r="D857" s="74"/>
      <c r="E857" s="1090"/>
      <c r="F857" s="74"/>
    </row>
    <row r="858" spans="2:6" ht="12.75">
      <c r="B858" s="1090"/>
      <c r="C858" s="74"/>
      <c r="D858" s="74"/>
      <c r="E858" s="1090"/>
      <c r="F858" s="74"/>
    </row>
    <row r="859" spans="2:6" ht="12.75">
      <c r="B859" s="1090"/>
      <c r="C859" s="74"/>
      <c r="D859" s="74"/>
      <c r="E859" s="1090"/>
      <c r="F859" s="74"/>
    </row>
    <row r="860" spans="2:6" ht="12.75">
      <c r="B860" s="1090"/>
      <c r="C860" s="74"/>
      <c r="D860" s="74"/>
      <c r="E860" s="1090"/>
      <c r="F860" s="74"/>
    </row>
    <row r="861" spans="2:6" ht="12.75">
      <c r="B861" s="1090"/>
      <c r="C861" s="74"/>
      <c r="D861" s="74"/>
      <c r="E861" s="1090"/>
      <c r="F861" s="74"/>
    </row>
    <row r="862" spans="2:6" ht="12.75">
      <c r="B862" s="1090"/>
      <c r="C862" s="74"/>
      <c r="D862" s="74"/>
      <c r="E862" s="1090"/>
      <c r="F862" s="74"/>
    </row>
    <row r="863" spans="2:6" ht="12.75">
      <c r="B863" s="1090"/>
      <c r="C863" s="74"/>
      <c r="D863" s="74"/>
      <c r="E863" s="1090"/>
      <c r="F863" s="74"/>
    </row>
    <row r="864" spans="2:6" ht="12.75">
      <c r="B864" s="1090"/>
      <c r="C864" s="74"/>
      <c r="D864" s="74"/>
      <c r="E864" s="1090"/>
      <c r="F864" s="74"/>
    </row>
    <row r="865" spans="2:6" ht="12.75">
      <c r="B865" s="1090"/>
      <c r="C865" s="74"/>
      <c r="D865" s="74"/>
      <c r="E865" s="1090"/>
      <c r="F865" s="74"/>
    </row>
    <row r="866" spans="2:6" ht="12.75">
      <c r="B866" s="1090"/>
      <c r="C866" s="74"/>
      <c r="D866" s="74"/>
      <c r="E866" s="1090"/>
      <c r="F866" s="74"/>
    </row>
    <row r="867" spans="2:6" ht="12.75">
      <c r="B867" s="1090"/>
      <c r="C867" s="74"/>
      <c r="D867" s="74"/>
      <c r="E867" s="1090"/>
      <c r="F867" s="74"/>
    </row>
    <row r="868" spans="2:6" ht="12.75">
      <c r="B868" s="1090"/>
      <c r="C868" s="74"/>
      <c r="D868" s="74"/>
      <c r="E868" s="1090"/>
      <c r="F868" s="74"/>
    </row>
    <row r="869" spans="2:6" ht="12.75">
      <c r="B869" s="1090"/>
      <c r="C869" s="74"/>
      <c r="D869" s="74"/>
      <c r="E869" s="1090"/>
      <c r="F869" s="74"/>
    </row>
    <row r="870" spans="2:6" ht="12.75">
      <c r="B870" s="1090"/>
      <c r="C870" s="74"/>
      <c r="D870" s="74"/>
      <c r="E870" s="1090"/>
      <c r="F870" s="74"/>
    </row>
    <row r="871" spans="2:6" ht="12.75">
      <c r="B871" s="1090"/>
      <c r="C871" s="74"/>
      <c r="D871" s="74"/>
      <c r="E871" s="1090"/>
      <c r="F871" s="74"/>
    </row>
    <row r="872" spans="2:6" ht="12.75">
      <c r="B872" s="1090"/>
      <c r="C872" s="74"/>
      <c r="D872" s="74"/>
      <c r="E872" s="1090"/>
      <c r="F872" s="74"/>
    </row>
    <row r="873" spans="2:6" ht="12.75">
      <c r="B873" s="1090"/>
      <c r="C873" s="74"/>
      <c r="D873" s="74"/>
      <c r="E873" s="1090"/>
      <c r="F873" s="74"/>
    </row>
    <row r="874" spans="2:6" ht="12.75">
      <c r="B874" s="1090"/>
      <c r="C874" s="74"/>
      <c r="D874" s="74"/>
      <c r="E874" s="1090"/>
      <c r="F874" s="74"/>
    </row>
    <row r="875" spans="2:6" ht="12.75">
      <c r="B875" s="1090"/>
      <c r="C875" s="74"/>
      <c r="D875" s="74"/>
      <c r="E875" s="1090"/>
      <c r="F875" s="74"/>
    </row>
    <row r="876" spans="2:6" ht="12.75">
      <c r="B876" s="1090"/>
      <c r="C876" s="74"/>
      <c r="D876" s="74"/>
      <c r="E876" s="1090"/>
      <c r="F876" s="74"/>
    </row>
    <row r="877" spans="2:6" ht="12.75">
      <c r="B877" s="1090"/>
      <c r="C877" s="74"/>
      <c r="D877" s="74"/>
      <c r="E877" s="1090"/>
      <c r="F877" s="74"/>
    </row>
    <row r="878" spans="2:6" ht="12.75">
      <c r="B878" s="1090"/>
      <c r="C878" s="74"/>
      <c r="D878" s="74"/>
      <c r="E878" s="1090"/>
      <c r="F878" s="74"/>
    </row>
    <row r="879" spans="2:6" ht="12.75">
      <c r="B879" s="1090"/>
      <c r="C879" s="74"/>
      <c r="D879" s="74"/>
      <c r="E879" s="1090"/>
      <c r="F879" s="74"/>
    </row>
    <row r="880" spans="2:6" ht="12.75">
      <c r="B880" s="1090"/>
      <c r="C880" s="74"/>
      <c r="D880" s="74"/>
      <c r="E880" s="1090"/>
      <c r="F880" s="74"/>
    </row>
    <row r="881" spans="2:6" ht="12.75">
      <c r="B881" s="1090"/>
      <c r="C881" s="74"/>
      <c r="D881" s="74"/>
      <c r="E881" s="1090"/>
      <c r="F881" s="74"/>
    </row>
    <row r="882" spans="2:6" ht="12.75">
      <c r="B882" s="1090"/>
      <c r="C882" s="74"/>
      <c r="D882" s="74"/>
      <c r="E882" s="1090"/>
      <c r="F882" s="74"/>
    </row>
    <row r="883" spans="2:6" ht="12.75">
      <c r="B883" s="1090"/>
      <c r="C883" s="74"/>
      <c r="D883" s="74"/>
      <c r="E883" s="1090"/>
      <c r="F883" s="74"/>
    </row>
    <row r="884" spans="2:6" ht="12.75">
      <c r="B884" s="1090"/>
      <c r="C884" s="74"/>
      <c r="D884" s="74"/>
      <c r="E884" s="1090"/>
      <c r="F884" s="74"/>
    </row>
    <row r="885" spans="2:6" ht="12.75">
      <c r="B885" s="1090"/>
      <c r="C885" s="74"/>
      <c r="D885" s="74"/>
      <c r="E885" s="1090"/>
      <c r="F885" s="74"/>
    </row>
    <row r="886" spans="2:6" ht="12.75">
      <c r="B886" s="1090"/>
      <c r="C886" s="74"/>
      <c r="D886" s="74"/>
      <c r="E886" s="1090"/>
      <c r="F886" s="74"/>
    </row>
    <row r="887" spans="2:6" ht="12.75">
      <c r="B887" s="1090"/>
      <c r="C887" s="74"/>
      <c r="D887" s="74"/>
      <c r="E887" s="1090"/>
      <c r="F887" s="74"/>
    </row>
    <row r="888" spans="2:6" ht="12.75">
      <c r="B888" s="1090"/>
      <c r="C888" s="74"/>
      <c r="D888" s="74"/>
      <c r="E888" s="1090"/>
      <c r="F888" s="74"/>
    </row>
    <row r="889" spans="2:6" ht="12.75">
      <c r="B889" s="1090"/>
      <c r="C889" s="74"/>
      <c r="D889" s="74"/>
      <c r="E889" s="1090"/>
      <c r="F889" s="74"/>
    </row>
    <row r="890" spans="2:6" ht="12.75">
      <c r="B890" s="1090"/>
      <c r="C890" s="74"/>
      <c r="D890" s="74"/>
      <c r="E890" s="1090"/>
      <c r="F890" s="74"/>
    </row>
    <row r="891" spans="2:6" ht="12.75">
      <c r="B891" s="1090"/>
      <c r="C891" s="74"/>
      <c r="D891" s="74"/>
      <c r="E891" s="1090"/>
      <c r="F891" s="74"/>
    </row>
    <row r="892" spans="2:6" ht="12.75">
      <c r="B892" s="1090"/>
      <c r="C892" s="74"/>
      <c r="D892" s="74"/>
      <c r="E892" s="1090"/>
      <c r="F892" s="74"/>
    </row>
    <row r="893" spans="2:6" ht="12.75">
      <c r="B893" s="1090"/>
      <c r="C893" s="74"/>
      <c r="D893" s="74"/>
      <c r="E893" s="1090"/>
      <c r="F893" s="74"/>
    </row>
    <row r="894" spans="2:6" ht="12.75">
      <c r="B894" s="1090"/>
      <c r="C894" s="74"/>
      <c r="D894" s="74"/>
      <c r="E894" s="1090"/>
      <c r="F894" s="74"/>
    </row>
    <row r="895" spans="2:6" ht="12.75">
      <c r="B895" s="1090"/>
      <c r="C895" s="74"/>
      <c r="D895" s="74"/>
      <c r="E895" s="1090"/>
      <c r="F895" s="74"/>
    </row>
    <row r="896" spans="2:6" ht="12.75">
      <c r="B896" s="1090"/>
      <c r="C896" s="74"/>
      <c r="D896" s="74"/>
      <c r="E896" s="1090"/>
      <c r="F896" s="74"/>
    </row>
    <row r="897" spans="2:6" ht="12.75">
      <c r="B897" s="1090"/>
      <c r="C897" s="74"/>
      <c r="D897" s="74"/>
      <c r="E897" s="1090"/>
      <c r="F897" s="74"/>
    </row>
    <row r="898" spans="2:6" ht="12.75">
      <c r="B898" s="1090"/>
      <c r="C898" s="74"/>
      <c r="D898" s="74"/>
      <c r="E898" s="1090"/>
      <c r="F898" s="74"/>
    </row>
    <row r="899" spans="2:6" ht="12.75">
      <c r="B899" s="1090"/>
      <c r="C899" s="74"/>
      <c r="D899" s="74"/>
      <c r="E899" s="1090"/>
      <c r="F899" s="74"/>
    </row>
    <row r="900" spans="2:6" ht="12.75">
      <c r="B900" s="1090"/>
      <c r="C900" s="74"/>
      <c r="D900" s="74"/>
      <c r="E900" s="1090"/>
      <c r="F900" s="74"/>
    </row>
    <row r="901" spans="2:6" ht="12.75">
      <c r="B901" s="1090"/>
      <c r="C901" s="74"/>
      <c r="D901" s="74"/>
      <c r="E901" s="1090"/>
      <c r="F901" s="74"/>
    </row>
    <row r="902" spans="2:6" ht="12.75">
      <c r="B902" s="1090"/>
      <c r="C902" s="74"/>
      <c r="D902" s="74"/>
      <c r="E902" s="1090"/>
      <c r="F902" s="74"/>
    </row>
    <row r="903" spans="2:6" ht="12.75">
      <c r="B903" s="1090"/>
      <c r="C903" s="74"/>
      <c r="D903" s="74"/>
      <c r="E903" s="1090"/>
      <c r="F903" s="74"/>
    </row>
    <row r="904" spans="2:6" ht="12.75">
      <c r="B904" s="1090"/>
      <c r="C904" s="74"/>
      <c r="D904" s="74"/>
      <c r="E904" s="1090"/>
      <c r="F904" s="74"/>
    </row>
    <row r="905" spans="2:6" ht="12.75">
      <c r="B905" s="1090"/>
      <c r="C905" s="74"/>
      <c r="D905" s="74"/>
      <c r="E905" s="1090"/>
      <c r="F905" s="74"/>
    </row>
    <row r="906" spans="2:6" ht="12.75">
      <c r="B906" s="1090"/>
      <c r="C906" s="74"/>
      <c r="D906" s="74"/>
      <c r="E906" s="1090"/>
      <c r="F906" s="74"/>
    </row>
    <row r="907" spans="2:6" ht="12.75">
      <c r="B907" s="1090"/>
      <c r="C907" s="74"/>
      <c r="D907" s="74"/>
      <c r="E907" s="1090"/>
      <c r="F907" s="74"/>
    </row>
    <row r="908" spans="2:6" ht="12.75">
      <c r="B908" s="1090"/>
      <c r="C908" s="74"/>
      <c r="D908" s="74"/>
      <c r="E908" s="1090"/>
      <c r="F908" s="74"/>
    </row>
    <row r="909" spans="2:6" ht="12.75">
      <c r="B909" s="1090"/>
      <c r="C909" s="74"/>
      <c r="D909" s="74"/>
      <c r="E909" s="1090"/>
      <c r="F909" s="74"/>
    </row>
    <row r="910" spans="2:6" ht="12.75">
      <c r="B910" s="1090"/>
      <c r="C910" s="74"/>
      <c r="D910" s="74"/>
      <c r="E910" s="1090"/>
      <c r="F910" s="74"/>
    </row>
    <row r="911" spans="2:6" ht="12.75">
      <c r="B911" s="1090"/>
      <c r="C911" s="74"/>
      <c r="D911" s="74"/>
      <c r="E911" s="1090"/>
      <c r="F911" s="74"/>
    </row>
    <row r="912" spans="2:6" ht="12.75">
      <c r="B912" s="1090"/>
      <c r="C912" s="74"/>
      <c r="D912" s="74"/>
      <c r="E912" s="1090"/>
      <c r="F912" s="74"/>
    </row>
    <row r="913" spans="2:6" ht="12.75">
      <c r="B913" s="1090"/>
      <c r="C913" s="74"/>
      <c r="D913" s="74"/>
      <c r="E913" s="1090"/>
      <c r="F913" s="74"/>
    </row>
    <row r="914" spans="2:6" ht="12.75">
      <c r="B914" s="1090"/>
      <c r="C914" s="74"/>
      <c r="D914" s="74"/>
      <c r="E914" s="1090"/>
      <c r="F914" s="74"/>
    </row>
    <row r="915" spans="2:6" ht="12.75">
      <c r="B915" s="1090"/>
      <c r="C915" s="74"/>
      <c r="D915" s="74"/>
      <c r="E915" s="1090"/>
      <c r="F915" s="74"/>
    </row>
    <row r="916" spans="2:6" ht="12.75">
      <c r="B916" s="1090"/>
      <c r="C916" s="74"/>
      <c r="D916" s="74"/>
      <c r="E916" s="1090"/>
      <c r="F916" s="74"/>
    </row>
    <row r="917" spans="2:6" ht="12.75">
      <c r="B917" s="1090"/>
      <c r="C917" s="74"/>
      <c r="D917" s="74"/>
      <c r="E917" s="1090"/>
      <c r="F917" s="74"/>
    </row>
    <row r="918" spans="2:6" ht="12.75">
      <c r="B918" s="1090"/>
      <c r="C918" s="74"/>
      <c r="D918" s="74"/>
      <c r="E918" s="1090"/>
      <c r="F918" s="74"/>
    </row>
    <row r="919" spans="2:6" ht="12.75">
      <c r="B919" s="1090"/>
      <c r="C919" s="74"/>
      <c r="D919" s="74"/>
      <c r="E919" s="1090"/>
      <c r="F919" s="74"/>
    </row>
    <row r="920" spans="2:6" ht="12.75">
      <c r="B920" s="1090"/>
      <c r="C920" s="74"/>
      <c r="D920" s="74"/>
      <c r="E920" s="1090"/>
      <c r="F920" s="74"/>
    </row>
    <row r="921" spans="2:6" ht="12.75">
      <c r="B921" s="1090"/>
      <c r="C921" s="74"/>
      <c r="D921" s="74"/>
      <c r="E921" s="1090"/>
      <c r="F921" s="74"/>
    </row>
    <row r="922" spans="2:6" ht="12.75">
      <c r="B922" s="1090"/>
      <c r="C922" s="74"/>
      <c r="D922" s="74"/>
      <c r="E922" s="1090"/>
      <c r="F922" s="74"/>
    </row>
    <row r="923" spans="2:6" ht="12.75">
      <c r="B923" s="1090"/>
      <c r="C923" s="74"/>
      <c r="D923" s="74"/>
      <c r="E923" s="1090"/>
      <c r="F923" s="74"/>
    </row>
    <row r="924" spans="2:6" ht="12.75">
      <c r="B924" s="1090"/>
      <c r="C924" s="74"/>
      <c r="D924" s="74"/>
      <c r="E924" s="1090"/>
      <c r="F924" s="74"/>
    </row>
    <row r="925" spans="2:6" ht="12.75">
      <c r="B925" s="1090"/>
      <c r="C925" s="74"/>
      <c r="D925" s="74"/>
      <c r="E925" s="1090"/>
      <c r="F925" s="74"/>
    </row>
    <row r="926" spans="2:6" ht="12.75">
      <c r="B926" s="1090"/>
      <c r="C926" s="74"/>
      <c r="D926" s="74"/>
      <c r="E926" s="1090"/>
      <c r="F926" s="74"/>
    </row>
    <row r="927" spans="2:6" ht="12.75">
      <c r="B927" s="1090"/>
      <c r="C927" s="74"/>
      <c r="D927" s="74"/>
      <c r="E927" s="1090"/>
      <c r="F927" s="74"/>
    </row>
    <row r="928" spans="2:6" ht="12.75">
      <c r="B928" s="1090"/>
      <c r="C928" s="74"/>
      <c r="D928" s="74"/>
      <c r="E928" s="1090"/>
      <c r="F928" s="74"/>
    </row>
    <row r="929" spans="2:6" ht="12.75">
      <c r="B929" s="1090"/>
      <c r="C929" s="74"/>
      <c r="D929" s="74"/>
      <c r="E929" s="1090"/>
      <c r="F929" s="74"/>
    </row>
    <row r="930" spans="2:6" ht="12.75">
      <c r="B930" s="1090"/>
      <c r="C930" s="74"/>
      <c r="D930" s="74"/>
      <c r="E930" s="1090"/>
      <c r="F930" s="74"/>
    </row>
    <row r="931" spans="2:6" ht="12.75">
      <c r="B931" s="1090"/>
      <c r="C931" s="74"/>
      <c r="D931" s="74"/>
      <c r="E931" s="1090"/>
      <c r="F931" s="74"/>
    </row>
    <row r="932" spans="2:6" ht="12.75">
      <c r="B932" s="1090"/>
      <c r="C932" s="74"/>
      <c r="D932" s="74"/>
      <c r="E932" s="1090"/>
      <c r="F932" s="74"/>
    </row>
    <row r="933" spans="2:6" ht="12.75">
      <c r="B933" s="1090"/>
      <c r="C933" s="74"/>
      <c r="D933" s="74"/>
      <c r="E933" s="1090"/>
      <c r="F933" s="74"/>
    </row>
    <row r="934" spans="2:6" ht="12.75">
      <c r="B934" s="1090"/>
      <c r="C934" s="74"/>
      <c r="D934" s="74"/>
      <c r="E934" s="1090"/>
      <c r="F934" s="74"/>
    </row>
    <row r="935" spans="2:6" ht="12.75">
      <c r="B935" s="1090"/>
      <c r="C935" s="74"/>
      <c r="D935" s="74"/>
      <c r="E935" s="1090"/>
      <c r="F935" s="74"/>
    </row>
    <row r="936" spans="2:6" ht="12.75">
      <c r="B936" s="1090"/>
      <c r="C936" s="74"/>
      <c r="D936" s="74"/>
      <c r="E936" s="1090"/>
      <c r="F936" s="74"/>
    </row>
    <row r="937" spans="2:6" ht="12.75">
      <c r="B937" s="1090"/>
      <c r="C937" s="74"/>
      <c r="D937" s="74"/>
      <c r="E937" s="1090"/>
      <c r="F937" s="74"/>
    </row>
    <row r="938" spans="2:6" ht="12.75">
      <c r="B938" s="1090"/>
      <c r="C938" s="74"/>
      <c r="D938" s="74"/>
      <c r="E938" s="1090"/>
      <c r="F938" s="74"/>
    </row>
    <row r="939" spans="2:6" ht="12.75">
      <c r="B939" s="1090"/>
      <c r="C939" s="74"/>
      <c r="D939" s="74"/>
      <c r="E939" s="1090"/>
      <c r="F939" s="74"/>
    </row>
    <row r="940" spans="2:6" ht="12.75">
      <c r="B940" s="1090"/>
      <c r="C940" s="74"/>
      <c r="D940" s="74"/>
      <c r="E940" s="1090"/>
      <c r="F940" s="74"/>
    </row>
    <row r="941" spans="2:6" ht="12.75">
      <c r="B941" s="1090"/>
      <c r="C941" s="74"/>
      <c r="D941" s="74"/>
      <c r="E941" s="1090"/>
      <c r="F941" s="74"/>
    </row>
    <row r="942" spans="2:6" ht="12.75">
      <c r="B942" s="1090"/>
      <c r="C942" s="74"/>
      <c r="D942" s="74"/>
      <c r="E942" s="1090"/>
      <c r="F942" s="74"/>
    </row>
    <row r="943" spans="2:6" ht="12.75">
      <c r="B943" s="1090"/>
      <c r="C943" s="74"/>
      <c r="D943" s="74"/>
      <c r="E943" s="1090"/>
      <c r="F943" s="74"/>
    </row>
    <row r="944" spans="2:6" ht="12.75">
      <c r="B944" s="1090"/>
      <c r="C944" s="74"/>
      <c r="D944" s="74"/>
      <c r="E944" s="1090"/>
      <c r="F944" s="74"/>
    </row>
    <row r="945" spans="2:6" ht="12.75">
      <c r="B945" s="1090"/>
      <c r="C945" s="74"/>
      <c r="D945" s="74"/>
      <c r="E945" s="1090"/>
      <c r="F945" s="74"/>
    </row>
    <row r="946" spans="2:6" ht="12.75">
      <c r="B946" s="1090"/>
      <c r="C946" s="74"/>
      <c r="D946" s="74"/>
      <c r="E946" s="1090"/>
      <c r="F946" s="74"/>
    </row>
    <row r="947" spans="2:6" ht="12.75">
      <c r="B947" s="1090"/>
      <c r="C947" s="74"/>
      <c r="D947" s="74"/>
      <c r="E947" s="1090"/>
      <c r="F947" s="74"/>
    </row>
    <row r="948" spans="2:6" ht="12.75">
      <c r="B948" s="1090"/>
      <c r="C948" s="74"/>
      <c r="D948" s="74"/>
      <c r="E948" s="1090"/>
      <c r="F948" s="74"/>
    </row>
    <row r="949" spans="2:6" ht="12.75">
      <c r="B949" s="1090"/>
      <c r="C949" s="74"/>
      <c r="D949" s="74"/>
      <c r="E949" s="1090"/>
      <c r="F949" s="74"/>
    </row>
    <row r="950" spans="2:6" ht="12.75">
      <c r="B950" s="1090"/>
      <c r="C950" s="74"/>
      <c r="D950" s="74"/>
      <c r="E950" s="1090"/>
      <c r="F950" s="74"/>
    </row>
    <row r="951" spans="2:6" ht="12.75">
      <c r="B951" s="1090"/>
      <c r="C951" s="74"/>
      <c r="D951" s="74"/>
      <c r="E951" s="1090"/>
      <c r="F951" s="74"/>
    </row>
    <row r="952" spans="2:6" ht="12.75">
      <c r="B952" s="1090"/>
      <c r="C952" s="74"/>
      <c r="D952" s="74"/>
      <c r="E952" s="1090"/>
      <c r="F952" s="74"/>
    </row>
    <row r="953" spans="2:6" ht="12.75">
      <c r="B953" s="1090"/>
      <c r="C953" s="74"/>
      <c r="D953" s="74"/>
      <c r="E953" s="1090"/>
      <c r="F953" s="74"/>
    </row>
    <row r="954" spans="2:6" ht="12.75">
      <c r="B954" s="1090"/>
      <c r="C954" s="74"/>
      <c r="D954" s="74"/>
      <c r="E954" s="1090"/>
      <c r="F954" s="74"/>
    </row>
    <row r="955" spans="2:6" ht="12.75">
      <c r="B955" s="1090"/>
      <c r="C955" s="74"/>
      <c r="D955" s="74"/>
      <c r="E955" s="1090"/>
      <c r="F955" s="74"/>
    </row>
    <row r="956" spans="2:6" ht="12.75">
      <c r="B956" s="1090"/>
      <c r="C956" s="74"/>
      <c r="D956" s="74"/>
      <c r="E956" s="1090"/>
      <c r="F956" s="74"/>
    </row>
    <row r="957" spans="2:6" ht="12.75">
      <c r="B957" s="1090"/>
      <c r="C957" s="74"/>
      <c r="D957" s="74"/>
      <c r="E957" s="1090"/>
      <c r="F957" s="74"/>
    </row>
    <row r="958" spans="2:6" ht="12.75">
      <c r="B958" s="1090"/>
      <c r="C958" s="74"/>
      <c r="D958" s="74"/>
      <c r="E958" s="1090"/>
      <c r="F958" s="74"/>
    </row>
    <row r="959" spans="2:6" ht="12.75">
      <c r="B959" s="1090"/>
      <c r="C959" s="74"/>
      <c r="D959" s="74"/>
      <c r="E959" s="1090"/>
      <c r="F959" s="74"/>
    </row>
    <row r="960" spans="2:6" ht="12.75">
      <c r="B960" s="1090"/>
      <c r="C960" s="74"/>
      <c r="D960" s="74"/>
      <c r="E960" s="1090"/>
      <c r="F960" s="74"/>
    </row>
    <row r="961" spans="2:6" ht="12.75">
      <c r="B961" s="1090"/>
      <c r="C961" s="74"/>
      <c r="D961" s="74"/>
      <c r="E961" s="1090"/>
      <c r="F961" s="74"/>
    </row>
    <row r="962" spans="2:6" ht="12.75">
      <c r="B962" s="1090"/>
      <c r="C962" s="74"/>
      <c r="D962" s="74"/>
      <c r="E962" s="1090"/>
      <c r="F962" s="74"/>
    </row>
    <row r="963" spans="2:6" ht="12.75">
      <c r="B963" s="1090"/>
      <c r="C963" s="74"/>
      <c r="D963" s="74"/>
      <c r="E963" s="1090"/>
      <c r="F963" s="74"/>
    </row>
    <row r="964" spans="2:6" ht="12.75">
      <c r="B964" s="1090"/>
      <c r="C964" s="74"/>
      <c r="D964" s="74"/>
      <c r="E964" s="1090"/>
      <c r="F964" s="74"/>
    </row>
    <row r="965" spans="2:6" ht="12.75">
      <c r="B965" s="1090"/>
      <c r="C965" s="74"/>
      <c r="D965" s="74"/>
      <c r="E965" s="1090"/>
      <c r="F965" s="74"/>
    </row>
    <row r="966" spans="2:6" ht="12.75">
      <c r="B966" s="1090"/>
      <c r="C966" s="74"/>
      <c r="D966" s="74"/>
      <c r="E966" s="1090"/>
      <c r="F966" s="74"/>
    </row>
    <row r="967" spans="2:6" ht="12.75">
      <c r="B967" s="1090"/>
      <c r="C967" s="74"/>
      <c r="D967" s="74"/>
      <c r="E967" s="1090"/>
      <c r="F967" s="74"/>
    </row>
    <row r="968" spans="2:6" ht="12.75">
      <c r="B968" s="1090"/>
      <c r="C968" s="74"/>
      <c r="D968" s="74"/>
      <c r="E968" s="1090"/>
      <c r="F968" s="74"/>
    </row>
    <row r="969" spans="2:6" ht="12.75">
      <c r="B969" s="1090"/>
      <c r="C969" s="74"/>
      <c r="D969" s="74"/>
      <c r="E969" s="1090"/>
      <c r="F969" s="74"/>
    </row>
    <row r="970" spans="2:6" ht="12.75">
      <c r="B970" s="1090"/>
      <c r="C970" s="74"/>
      <c r="D970" s="74"/>
      <c r="E970" s="1090"/>
      <c r="F970" s="74"/>
    </row>
    <row r="971" spans="2:6" ht="12.75">
      <c r="B971" s="1090"/>
      <c r="C971" s="74"/>
      <c r="D971" s="74"/>
      <c r="E971" s="1090"/>
      <c r="F971" s="74"/>
    </row>
    <row r="972" spans="2:6" ht="12.75">
      <c r="B972" s="1090"/>
      <c r="C972" s="74"/>
      <c r="D972" s="74"/>
      <c r="E972" s="1090"/>
      <c r="F972" s="74"/>
    </row>
    <row r="973" spans="2:6" ht="12.75">
      <c r="B973" s="1090"/>
      <c r="C973" s="74"/>
      <c r="D973" s="74"/>
      <c r="E973" s="1090"/>
      <c r="F973" s="74"/>
    </row>
    <row r="974" spans="2:6" ht="12.75">
      <c r="B974" s="1090"/>
      <c r="C974" s="74"/>
      <c r="D974" s="74"/>
      <c r="E974" s="1090"/>
      <c r="F974" s="74"/>
    </row>
    <row r="975" spans="2:6" ht="12.75">
      <c r="B975" s="1090"/>
      <c r="C975" s="74"/>
      <c r="D975" s="74"/>
      <c r="E975" s="1090"/>
      <c r="F975" s="74"/>
    </row>
    <row r="976" spans="2:6" ht="12.75">
      <c r="B976" s="1090"/>
      <c r="C976" s="74"/>
      <c r="D976" s="74"/>
      <c r="E976" s="1090"/>
      <c r="F976" s="74"/>
    </row>
    <row r="977" spans="2:6" ht="12.75">
      <c r="B977" s="1090"/>
      <c r="C977" s="74"/>
      <c r="D977" s="74"/>
      <c r="E977" s="1090"/>
      <c r="F977" s="74"/>
    </row>
    <row r="978" spans="2:6" ht="12.75">
      <c r="B978" s="1090"/>
      <c r="C978" s="74"/>
      <c r="D978" s="74"/>
      <c r="E978" s="1090"/>
      <c r="F978" s="74"/>
    </row>
    <row r="979" spans="2:6" ht="12.75">
      <c r="B979" s="1090"/>
      <c r="C979" s="74"/>
      <c r="D979" s="74"/>
      <c r="E979" s="1090"/>
      <c r="F979" s="74"/>
    </row>
    <row r="980" spans="2:6" ht="12.75">
      <c r="B980" s="1090"/>
      <c r="C980" s="74"/>
      <c r="D980" s="74"/>
      <c r="E980" s="1090"/>
      <c r="F980" s="74"/>
    </row>
    <row r="981" spans="2:6" ht="12.75">
      <c r="B981" s="1090"/>
      <c r="C981" s="74"/>
      <c r="D981" s="74"/>
      <c r="E981" s="1090"/>
      <c r="F981" s="74"/>
    </row>
    <row r="982" spans="2:6" ht="12.75">
      <c r="B982" s="1090"/>
      <c r="C982" s="74"/>
      <c r="D982" s="74"/>
      <c r="E982" s="1090"/>
      <c r="F982" s="74"/>
    </row>
    <row r="983" spans="2:6" ht="12.75">
      <c r="B983" s="1090"/>
      <c r="C983" s="74"/>
      <c r="D983" s="74"/>
      <c r="E983" s="1090"/>
      <c r="F983" s="74"/>
    </row>
    <row r="984" spans="2:6" ht="12.75">
      <c r="B984" s="1090"/>
      <c r="C984" s="74"/>
      <c r="D984" s="74"/>
      <c r="E984" s="1090"/>
      <c r="F984" s="74"/>
    </row>
    <row r="985" spans="2:6" ht="12.75">
      <c r="B985" s="1090"/>
      <c r="C985" s="74"/>
      <c r="D985" s="74"/>
      <c r="E985" s="1090"/>
      <c r="F985" s="74"/>
    </row>
    <row r="986" spans="2:6" ht="12.75">
      <c r="B986" s="1090"/>
      <c r="C986" s="74"/>
      <c r="D986" s="74"/>
      <c r="E986" s="1090"/>
      <c r="F986" s="74"/>
    </row>
    <row r="987" spans="2:6" ht="12.75">
      <c r="B987" s="1090"/>
      <c r="C987" s="74"/>
      <c r="D987" s="74"/>
      <c r="E987" s="1090"/>
      <c r="F987" s="74"/>
    </row>
    <row r="988" spans="2:6" ht="12.75">
      <c r="B988" s="1090"/>
      <c r="C988" s="74"/>
      <c r="D988" s="74"/>
      <c r="E988" s="1090"/>
      <c r="F988" s="74"/>
    </row>
    <row r="989" spans="2:6" ht="12.75">
      <c r="B989" s="1090"/>
      <c r="C989" s="74"/>
      <c r="D989" s="74"/>
      <c r="E989" s="1090"/>
      <c r="F989" s="74"/>
    </row>
    <row r="990" spans="2:6" ht="12.75">
      <c r="B990" s="1090"/>
      <c r="C990" s="74"/>
      <c r="D990" s="74"/>
      <c r="E990" s="1090"/>
      <c r="F990" s="74"/>
    </row>
    <row r="991" spans="2:6" ht="12.75">
      <c r="B991" s="1090"/>
      <c r="C991" s="74"/>
      <c r="D991" s="74"/>
      <c r="E991" s="1090"/>
      <c r="F991" s="74"/>
    </row>
    <row r="992" spans="2:6" ht="12.75">
      <c r="B992" s="1090"/>
      <c r="C992" s="74"/>
      <c r="D992" s="74"/>
      <c r="E992" s="1090"/>
      <c r="F992" s="74"/>
    </row>
    <row r="993" spans="2:6" ht="12.75">
      <c r="B993" s="1090"/>
      <c r="C993" s="74"/>
      <c r="D993" s="74"/>
      <c r="E993" s="1090"/>
      <c r="F993" s="74"/>
    </row>
    <row r="994" spans="2:6" ht="12.75">
      <c r="B994" s="1090"/>
      <c r="C994" s="74"/>
      <c r="D994" s="74"/>
      <c r="E994" s="1090"/>
      <c r="F994" s="74"/>
    </row>
    <row r="995" spans="2:6" ht="12.75">
      <c r="B995" s="1090"/>
      <c r="C995" s="74"/>
      <c r="D995" s="74"/>
      <c r="E995" s="1090"/>
      <c r="F995" s="74"/>
    </row>
    <row r="996" spans="2:6" ht="12.75">
      <c r="B996" s="1090"/>
      <c r="C996" s="74"/>
      <c r="D996" s="74"/>
      <c r="E996" s="1090"/>
      <c r="F996" s="74"/>
    </row>
    <row r="997" spans="2:6" ht="12.75">
      <c r="B997" s="1090"/>
      <c r="C997" s="74"/>
      <c r="D997" s="74"/>
      <c r="E997" s="1090"/>
      <c r="F997" s="74"/>
    </row>
    <row r="998" spans="2:6" ht="12.75">
      <c r="B998" s="1090"/>
      <c r="C998" s="74"/>
      <c r="D998" s="74"/>
      <c r="E998" s="1090"/>
      <c r="F998" s="74"/>
    </row>
    <row r="999" spans="2:6" ht="12.75">
      <c r="B999" s="1090"/>
      <c r="C999" s="74"/>
      <c r="D999" s="74"/>
      <c r="E999" s="1090"/>
      <c r="F999" s="74"/>
    </row>
    <row r="1000" spans="2:6" ht="12.75">
      <c r="B1000" s="1090"/>
      <c r="C1000" s="74"/>
      <c r="D1000" s="74"/>
      <c r="E1000" s="1090"/>
      <c r="F1000" s="74"/>
    </row>
    <row r="1001" spans="2:6" ht="12.75">
      <c r="B1001" s="1090"/>
      <c r="C1001" s="74"/>
      <c r="D1001" s="74"/>
      <c r="E1001" s="1090"/>
      <c r="F1001" s="74"/>
    </row>
    <row r="1002" spans="2:6" ht="12.75">
      <c r="B1002" s="1090"/>
      <c r="C1002" s="74"/>
      <c r="D1002" s="74"/>
      <c r="E1002" s="1090"/>
      <c r="F1002" s="74"/>
    </row>
    <row r="1003" spans="2:6" ht="12.75">
      <c r="B1003" s="1090"/>
      <c r="C1003" s="74"/>
      <c r="D1003" s="74"/>
      <c r="E1003" s="1090"/>
      <c r="F1003" s="74"/>
    </row>
    <row r="1004" spans="2:6" ht="12.75">
      <c r="B1004" s="1090"/>
      <c r="C1004" s="74"/>
      <c r="D1004" s="74"/>
      <c r="E1004" s="1090"/>
      <c r="F1004" s="74"/>
    </row>
    <row r="1005" spans="2:6" ht="12.75">
      <c r="B1005" s="1090"/>
      <c r="C1005" s="74"/>
      <c r="D1005" s="74"/>
      <c r="E1005" s="1090"/>
      <c r="F1005" s="74"/>
    </row>
    <row r="1006" spans="2:6" ht="12.75">
      <c r="B1006" s="1090"/>
      <c r="C1006" s="74"/>
      <c r="D1006" s="74"/>
      <c r="E1006" s="1090"/>
      <c r="F1006" s="74"/>
    </row>
    <row r="1007" spans="2:6" ht="12.75">
      <c r="B1007" s="1090"/>
      <c r="C1007" s="74"/>
      <c r="D1007" s="74"/>
      <c r="E1007" s="1090"/>
      <c r="F1007" s="74"/>
    </row>
    <row r="1008" spans="2:6" ht="12.75">
      <c r="B1008" s="1090"/>
      <c r="C1008" s="74"/>
      <c r="D1008" s="74"/>
      <c r="E1008" s="1090"/>
      <c r="F1008" s="74"/>
    </row>
    <row r="1009" spans="2:6" ht="12.75">
      <c r="B1009" s="1090"/>
      <c r="C1009" s="74"/>
      <c r="D1009" s="74"/>
      <c r="E1009" s="1090"/>
      <c r="F1009" s="74"/>
    </row>
  </sheetData>
  <customSheetViews>
    <customSheetView guid="{2286F829-20C0-4F61-A021-C374F53CE8BD}" filter="1" showAutoFilter="1">
      <pageMargins left="0.7" right="0.7" top="0.75" bottom="0.75" header="0.3" footer="0.3"/>
      <autoFilter ref="A2:AB69">
        <filterColumn colId="6">
          <filters blank="1">
            <filter val="it"/>
          </filters>
        </filterColumn>
      </autoFilter>
    </customSheetView>
  </customSheetViews>
  <hyperlinks>
    <hyperlink ref="F3" r:id="rId1"/>
    <hyperlink ref="F4" r:id="rId2"/>
    <hyperlink ref="F5" r:id="rId3"/>
    <hyperlink ref="F6" r:id="rId4"/>
    <hyperlink ref="F7" r:id="rId5"/>
    <hyperlink ref="F8" r:id="rId6"/>
    <hyperlink ref="F9" r:id="rId7"/>
    <hyperlink ref="F10" r:id="rId8"/>
    <hyperlink ref="F11" r:id="rId9"/>
    <hyperlink ref="F12" r:id="rId10"/>
    <hyperlink ref="F13" r:id="rId11"/>
    <hyperlink ref="F14" r:id="rId12"/>
    <hyperlink ref="F15" r:id="rId13"/>
    <hyperlink ref="F16" r:id="rId14"/>
    <hyperlink ref="F17" r:id="rId15"/>
    <hyperlink ref="F18" r:id="rId16"/>
    <hyperlink ref="F19" r:id="rId17"/>
    <hyperlink ref="F20" r:id="rId18"/>
    <hyperlink ref="F21" r:id="rId19"/>
    <hyperlink ref="F22" r:id="rId20"/>
    <hyperlink ref="F23" r:id="rId21"/>
    <hyperlink ref="F24" r:id="rId22"/>
    <hyperlink ref="F25" r:id="rId23"/>
    <hyperlink ref="F26" r:id="rId24"/>
    <hyperlink ref="F27" r:id="rId25"/>
    <hyperlink ref="F28" r:id="rId26"/>
    <hyperlink ref="F29" r:id="rId27"/>
    <hyperlink ref="F30" r:id="rId28"/>
    <hyperlink ref="F31" r:id="rId29"/>
    <hyperlink ref="F32" r:id="rId30"/>
    <hyperlink ref="F33" r:id="rId31"/>
    <hyperlink ref="F34" r:id="rId32"/>
    <hyperlink ref="F35" r:id="rId33"/>
    <hyperlink ref="F36" r:id="rId34"/>
    <hyperlink ref="F37" r:id="rId35"/>
    <hyperlink ref="F38" r:id="rId36"/>
    <hyperlink ref="F39" r:id="rId37"/>
    <hyperlink ref="F40" r:id="rId38"/>
    <hyperlink ref="F41" r:id="rId39"/>
    <hyperlink ref="F42" r:id="rId40"/>
    <hyperlink ref="F43" r:id="rId41"/>
    <hyperlink ref="F44" r:id="rId42"/>
    <hyperlink ref="F45" r:id="rId43"/>
    <hyperlink ref="F46" r:id="rId44"/>
    <hyperlink ref="F47" r:id="rId45"/>
    <hyperlink ref="F48" r:id="rId46"/>
    <hyperlink ref="F49" r:id="rId47"/>
    <hyperlink ref="F50" r:id="rId48"/>
    <hyperlink ref="F51" r:id="rId49"/>
    <hyperlink ref="F52" r:id="rId50"/>
    <hyperlink ref="F53" r:id="rId51"/>
    <hyperlink ref="F54" r:id="rId52"/>
    <hyperlink ref="F55" r:id="rId53"/>
    <hyperlink ref="F56" r:id="rId54"/>
    <hyperlink ref="F57" r:id="rId55"/>
    <hyperlink ref="F58" r:id="rId56"/>
    <hyperlink ref="F59" r:id="rId57"/>
    <hyperlink ref="F60" r:id="rId58"/>
    <hyperlink ref="F61" r:id="rId59"/>
    <hyperlink ref="F62" r:id="rId60"/>
    <hyperlink ref="F63" r:id="rId61"/>
    <hyperlink ref="F64" r:id="rId62"/>
    <hyperlink ref="F65" r:id="rId63"/>
    <hyperlink ref="F66" r:id="rId64"/>
    <hyperlink ref="F73" r:id="rId65"/>
    <hyperlink ref="F74" r:id="rId66"/>
    <hyperlink ref="F75" r:id="rId67"/>
    <hyperlink ref="G75" r:id="rId68"/>
    <hyperlink ref="F76" r:id="rId69"/>
    <hyperlink ref="F77" r:id="rId70"/>
    <hyperlink ref="F80" r:id="rId71"/>
  </hyperlink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000"/>
  <sheetViews>
    <sheetView workbookViewId="0">
      <pane ySplit="13" topLeftCell="A14" activePane="bottomLeft" state="frozen"/>
      <selection pane="bottomLeft" activeCell="B15" sqref="B15"/>
    </sheetView>
  </sheetViews>
  <sheetFormatPr defaultColWidth="12.5703125" defaultRowHeight="15.75" customHeight="1"/>
  <cols>
    <col min="3" max="3" width="52" customWidth="1"/>
  </cols>
  <sheetData>
    <row r="1" spans="1:10" ht="15.75" customHeight="1">
      <c r="A1" s="1263"/>
      <c r="B1" s="1041"/>
      <c r="C1" s="1264"/>
      <c r="D1" s="1265"/>
      <c r="E1" s="1265"/>
      <c r="F1" s="1266"/>
      <c r="G1" s="1266"/>
      <c r="H1" s="1266"/>
      <c r="I1" s="1266"/>
      <c r="J1" s="1267"/>
    </row>
    <row r="2" spans="1:10" ht="14.25">
      <c r="A2" s="1263"/>
      <c r="B2" s="1268"/>
      <c r="C2" s="1264"/>
      <c r="D2" s="1265"/>
      <c r="E2" s="1265"/>
      <c r="F2" s="1266"/>
      <c r="G2" s="1266"/>
      <c r="H2" s="1266"/>
      <c r="I2" s="1266"/>
      <c r="J2" s="1267"/>
    </row>
    <row r="3" spans="1:10" ht="14.25">
      <c r="A3" s="1263"/>
      <c r="B3" s="1268"/>
      <c r="C3" s="1264"/>
      <c r="D3" s="1265"/>
      <c r="E3" s="1265"/>
      <c r="F3" s="1266"/>
      <c r="G3" s="1266"/>
      <c r="H3" s="1266"/>
      <c r="I3" s="1266"/>
      <c r="J3" s="1267"/>
    </row>
    <row r="4" spans="1:10" ht="15.75" customHeight="1">
      <c r="A4" s="1451"/>
      <c r="B4" s="1451"/>
      <c r="C4" s="1451"/>
      <c r="D4" s="1451"/>
      <c r="E4" s="1451"/>
      <c r="F4" s="1451"/>
      <c r="G4" s="1451"/>
      <c r="H4" s="1451"/>
      <c r="I4" s="1451"/>
      <c r="J4" s="1451"/>
    </row>
    <row r="5" spans="1:10" ht="14.25">
      <c r="A5" s="1269"/>
      <c r="B5" s="1268"/>
      <c r="C5" s="1270"/>
      <c r="D5" s="1265"/>
      <c r="E5" s="1265"/>
      <c r="F5" s="1265"/>
      <c r="G5" s="1265"/>
      <c r="H5" s="1265"/>
      <c r="I5" s="1265"/>
      <c r="J5" s="1271"/>
    </row>
    <row r="6" spans="1:10" ht="15">
      <c r="A6" s="1602" t="s">
        <v>72</v>
      </c>
      <c r="B6" s="1451"/>
      <c r="C6" s="1451"/>
      <c r="D6" s="1451"/>
      <c r="E6" s="1451"/>
      <c r="F6" s="1451"/>
      <c r="G6" s="1451"/>
      <c r="H6" s="1451"/>
      <c r="I6" s="1451"/>
      <c r="J6" s="1451"/>
    </row>
    <row r="7" spans="1:10" ht="15">
      <c r="A7" s="1273"/>
      <c r="B7" s="1273"/>
      <c r="C7" s="1274"/>
      <c r="D7" s="1272"/>
      <c r="E7" s="1272"/>
      <c r="F7" s="1272"/>
      <c r="G7" s="1272"/>
      <c r="H7" s="1272"/>
      <c r="I7" s="1272"/>
      <c r="J7" s="1272"/>
    </row>
    <row r="8" spans="1:10" ht="15">
      <c r="A8" s="1273"/>
      <c r="B8" s="1275"/>
      <c r="C8" s="1274"/>
      <c r="D8" s="1276"/>
      <c r="E8" s="1276"/>
      <c r="F8" s="1276"/>
      <c r="G8" s="1276"/>
      <c r="H8" s="1276"/>
      <c r="I8" s="1276"/>
      <c r="J8" s="1277"/>
    </row>
    <row r="9" spans="1:10" ht="15">
      <c r="A9" s="1603" t="s">
        <v>4560</v>
      </c>
      <c r="B9" s="1451"/>
      <c r="C9" s="1451"/>
      <c r="D9" s="1451"/>
      <c r="E9" s="1279"/>
      <c r="F9" s="1280"/>
      <c r="G9" s="1280"/>
      <c r="H9" s="1280"/>
      <c r="I9" s="1451"/>
      <c r="J9" s="1451"/>
    </row>
    <row r="10" spans="1:10" ht="13.5">
      <c r="A10" s="1607" t="s">
        <v>4561</v>
      </c>
      <c r="B10" s="1479"/>
      <c r="C10" s="1604" t="s">
        <v>4562</v>
      </c>
      <c r="D10" s="1479"/>
      <c r="E10" s="1479"/>
      <c r="F10" s="1479"/>
      <c r="G10" s="1479"/>
      <c r="H10" s="1281"/>
      <c r="I10" s="1605" t="s">
        <v>4563</v>
      </c>
      <c r="J10" s="1438"/>
    </row>
    <row r="11" spans="1:10" ht="13.5">
      <c r="A11" s="1439"/>
      <c r="B11" s="1507"/>
      <c r="C11" s="1606" t="s">
        <v>4564</v>
      </c>
      <c r="D11" s="1507"/>
      <c r="E11" s="1507"/>
      <c r="F11" s="1507"/>
      <c r="G11" s="1507"/>
      <c r="H11" s="1282"/>
      <c r="I11" s="1439"/>
      <c r="J11" s="1440"/>
    </row>
    <row r="12" spans="1:10" ht="15.75" customHeight="1">
      <c r="A12" s="1608" t="s">
        <v>78</v>
      </c>
      <c r="B12" s="1608" t="s">
        <v>92</v>
      </c>
      <c r="C12" s="1609" t="s">
        <v>80</v>
      </c>
      <c r="D12" s="1610" t="s">
        <v>81</v>
      </c>
      <c r="E12" s="1610" t="s">
        <v>82</v>
      </c>
      <c r="F12" s="1610" t="s">
        <v>83</v>
      </c>
      <c r="G12" s="1610" t="s">
        <v>84</v>
      </c>
      <c r="H12" s="1611" t="s">
        <v>85</v>
      </c>
      <c r="I12" s="1611" t="s">
        <v>86</v>
      </c>
      <c r="J12" s="1611" t="s">
        <v>87</v>
      </c>
    </row>
    <row r="13" spans="1:10" ht="15.75" customHeight="1">
      <c r="A13" s="1448"/>
      <c r="B13" s="1448"/>
      <c r="C13" s="1448"/>
      <c r="D13" s="1448"/>
      <c r="E13" s="1448"/>
      <c r="F13" s="1448"/>
      <c r="G13" s="1448"/>
      <c r="H13" s="1448"/>
      <c r="I13" s="1448"/>
      <c r="J13" s="1448"/>
    </row>
    <row r="14" spans="1:10" ht="15.75" customHeight="1">
      <c r="A14" s="1283">
        <v>1</v>
      </c>
      <c r="B14" s="1284" t="s">
        <v>103</v>
      </c>
      <c r="C14" s="1285" t="s">
        <v>4565</v>
      </c>
      <c r="D14" s="1284">
        <v>5</v>
      </c>
      <c r="E14" s="1284">
        <v>5</v>
      </c>
      <c r="F14" s="1284">
        <v>0</v>
      </c>
      <c r="G14" s="1284">
        <v>0</v>
      </c>
      <c r="H14" s="1284">
        <v>10</v>
      </c>
      <c r="I14" s="1286">
        <v>5500</v>
      </c>
      <c r="J14" s="1287">
        <v>55000</v>
      </c>
    </row>
    <row r="15" spans="1:10" ht="15.75" customHeight="1">
      <c r="A15" s="1288">
        <v>2</v>
      </c>
      <c r="B15" s="818" t="s">
        <v>103</v>
      </c>
      <c r="C15" s="1289" t="s">
        <v>4566</v>
      </c>
      <c r="D15" s="818">
        <v>5</v>
      </c>
      <c r="E15" s="818">
        <v>5</v>
      </c>
      <c r="F15" s="818">
        <v>0</v>
      </c>
      <c r="G15" s="818">
        <v>0</v>
      </c>
      <c r="H15" s="818">
        <v>10</v>
      </c>
      <c r="I15" s="1290">
        <v>3000</v>
      </c>
      <c r="J15" s="1291">
        <v>30000</v>
      </c>
    </row>
    <row r="16" spans="1:10" ht="15.75" customHeight="1">
      <c r="A16" s="1288">
        <v>3</v>
      </c>
      <c r="B16" s="818" t="s">
        <v>103</v>
      </c>
      <c r="C16" s="1289" t="s">
        <v>4567</v>
      </c>
      <c r="D16" s="818">
        <v>1</v>
      </c>
      <c r="E16" s="818">
        <v>0</v>
      </c>
      <c r="F16" s="818">
        <v>0</v>
      </c>
      <c r="G16" s="818">
        <v>0</v>
      </c>
      <c r="H16" s="818">
        <v>1</v>
      </c>
      <c r="I16" s="1290">
        <v>3000</v>
      </c>
      <c r="J16" s="1291">
        <v>3000</v>
      </c>
    </row>
    <row r="17" spans="1:10" ht="15.75" customHeight="1">
      <c r="A17" s="1288">
        <v>4</v>
      </c>
      <c r="B17" s="818" t="s">
        <v>103</v>
      </c>
      <c r="C17" s="1289" t="s">
        <v>4568</v>
      </c>
      <c r="D17" s="818">
        <v>22</v>
      </c>
      <c r="E17" s="818">
        <v>0</v>
      </c>
      <c r="F17" s="818">
        <v>2</v>
      </c>
      <c r="G17" s="818">
        <v>0</v>
      </c>
      <c r="H17" s="818">
        <v>24</v>
      </c>
      <c r="I17" s="1290">
        <v>5000</v>
      </c>
      <c r="J17" s="1291">
        <v>120000</v>
      </c>
    </row>
    <row r="18" spans="1:10" ht="15.75" customHeight="1">
      <c r="A18" s="1288">
        <v>5</v>
      </c>
      <c r="B18" s="818" t="s">
        <v>103</v>
      </c>
      <c r="C18" s="1292" t="s">
        <v>4569</v>
      </c>
      <c r="D18" s="818">
        <v>5</v>
      </c>
      <c r="E18" s="818">
        <v>0</v>
      </c>
      <c r="F18" s="818">
        <v>0</v>
      </c>
      <c r="G18" s="818">
        <v>0</v>
      </c>
      <c r="H18" s="818">
        <v>5</v>
      </c>
      <c r="I18" s="1290">
        <v>6000</v>
      </c>
      <c r="J18" s="1291">
        <v>30000</v>
      </c>
    </row>
    <row r="19" spans="1:10" ht="15.75" customHeight="1">
      <c r="A19" s="1288">
        <v>6</v>
      </c>
      <c r="B19" s="818" t="s">
        <v>103</v>
      </c>
      <c r="C19" s="1289" t="s">
        <v>4570</v>
      </c>
      <c r="D19" s="818">
        <v>10</v>
      </c>
      <c r="E19" s="818">
        <v>10</v>
      </c>
      <c r="F19" s="818">
        <v>10</v>
      </c>
      <c r="G19" s="818">
        <v>5</v>
      </c>
      <c r="H19" s="818">
        <v>35</v>
      </c>
      <c r="I19" s="1290">
        <v>3500</v>
      </c>
      <c r="J19" s="1291">
        <v>122500</v>
      </c>
    </row>
    <row r="20" spans="1:10" ht="15.75" customHeight="1">
      <c r="A20" s="1288">
        <v>7</v>
      </c>
      <c r="B20" s="818" t="s">
        <v>103</v>
      </c>
      <c r="C20" s="1289" t="s">
        <v>4571</v>
      </c>
      <c r="D20" s="818">
        <v>3</v>
      </c>
      <c r="E20" s="818">
        <v>0</v>
      </c>
      <c r="F20" s="818">
        <v>0</v>
      </c>
      <c r="G20" s="818">
        <v>0</v>
      </c>
      <c r="H20" s="818">
        <v>3</v>
      </c>
      <c r="I20" s="1290">
        <v>6000</v>
      </c>
      <c r="J20" s="1291">
        <v>18000</v>
      </c>
    </row>
    <row r="21" spans="1:10" ht="15.75" customHeight="1">
      <c r="A21" s="1288">
        <v>8</v>
      </c>
      <c r="B21" s="818" t="s">
        <v>103</v>
      </c>
      <c r="C21" s="1289" t="s">
        <v>4572</v>
      </c>
      <c r="D21" s="818">
        <v>1</v>
      </c>
      <c r="E21" s="818">
        <v>0</v>
      </c>
      <c r="F21" s="818">
        <v>0</v>
      </c>
      <c r="G21" s="818">
        <v>0</v>
      </c>
      <c r="H21" s="818">
        <v>1</v>
      </c>
      <c r="I21" s="1290">
        <v>9000</v>
      </c>
      <c r="J21" s="1291">
        <v>9000</v>
      </c>
    </row>
    <row r="22" spans="1:10" ht="15.75" customHeight="1">
      <c r="A22" s="1288">
        <v>9</v>
      </c>
      <c r="B22" s="818" t="s">
        <v>103</v>
      </c>
      <c r="C22" s="1289" t="s">
        <v>4573</v>
      </c>
      <c r="D22" s="818">
        <v>1</v>
      </c>
      <c r="E22" s="818">
        <v>0</v>
      </c>
      <c r="F22" s="818">
        <v>0</v>
      </c>
      <c r="G22" s="818">
        <v>0</v>
      </c>
      <c r="H22" s="818">
        <v>1</v>
      </c>
      <c r="I22" s="1290">
        <v>3600</v>
      </c>
      <c r="J22" s="1291">
        <v>3600</v>
      </c>
    </row>
    <row r="23" spans="1:10" ht="15.75" customHeight="1">
      <c r="A23" s="1288">
        <v>10</v>
      </c>
      <c r="B23" s="818" t="s">
        <v>103</v>
      </c>
      <c r="C23" s="1289" t="s">
        <v>4574</v>
      </c>
      <c r="D23" s="818">
        <v>15</v>
      </c>
      <c r="E23" s="818">
        <v>15</v>
      </c>
      <c r="F23" s="818">
        <v>15</v>
      </c>
      <c r="G23" s="818">
        <v>0</v>
      </c>
      <c r="H23" s="818">
        <v>45</v>
      </c>
      <c r="I23" s="1290">
        <v>3500</v>
      </c>
      <c r="J23" s="1291">
        <v>157500</v>
      </c>
    </row>
    <row r="24" spans="1:10" ht="15.75" customHeight="1">
      <c r="A24" s="1288">
        <v>11</v>
      </c>
      <c r="B24" s="818" t="s">
        <v>103</v>
      </c>
      <c r="C24" s="1289" t="s">
        <v>4575</v>
      </c>
      <c r="D24" s="818">
        <v>1</v>
      </c>
      <c r="E24" s="818">
        <v>0</v>
      </c>
      <c r="F24" s="818">
        <v>0</v>
      </c>
      <c r="G24" s="818">
        <v>0</v>
      </c>
      <c r="H24" s="818">
        <v>1</v>
      </c>
      <c r="I24" s="1290">
        <v>6000</v>
      </c>
      <c r="J24" s="1291">
        <v>6000</v>
      </c>
    </row>
    <row r="25" spans="1:10" ht="15.75" customHeight="1">
      <c r="A25" s="1288">
        <v>12</v>
      </c>
      <c r="B25" s="818" t="s">
        <v>103</v>
      </c>
      <c r="C25" s="1289" t="s">
        <v>4576</v>
      </c>
      <c r="D25" s="818">
        <v>5</v>
      </c>
      <c r="E25" s="818">
        <v>5</v>
      </c>
      <c r="F25" s="818">
        <v>4</v>
      </c>
      <c r="G25" s="818">
        <v>0</v>
      </c>
      <c r="H25" s="818">
        <v>14</v>
      </c>
      <c r="I25" s="1290">
        <v>2500</v>
      </c>
      <c r="J25" s="1291">
        <v>35000</v>
      </c>
    </row>
    <row r="26" spans="1:10" ht="15.75" customHeight="1">
      <c r="A26" s="1288">
        <v>13</v>
      </c>
      <c r="B26" s="818" t="s">
        <v>103</v>
      </c>
      <c r="C26" s="1289" t="s">
        <v>4577</v>
      </c>
      <c r="D26" s="818">
        <v>3</v>
      </c>
      <c r="E26" s="818">
        <v>3</v>
      </c>
      <c r="F26" s="818">
        <v>2</v>
      </c>
      <c r="G26" s="818">
        <v>0</v>
      </c>
      <c r="H26" s="818">
        <v>8</v>
      </c>
      <c r="I26" s="1290">
        <v>5000</v>
      </c>
      <c r="J26" s="1291">
        <v>40000</v>
      </c>
    </row>
    <row r="27" spans="1:10" ht="15.75" customHeight="1">
      <c r="A27" s="1288">
        <v>14</v>
      </c>
      <c r="B27" s="818" t="s">
        <v>103</v>
      </c>
      <c r="C27" s="1289" t="s">
        <v>4578</v>
      </c>
      <c r="D27" s="818">
        <v>5</v>
      </c>
      <c r="E27" s="818">
        <v>5</v>
      </c>
      <c r="F27" s="818">
        <v>5</v>
      </c>
      <c r="G27" s="818">
        <v>0</v>
      </c>
      <c r="H27" s="818">
        <v>15</v>
      </c>
      <c r="I27" s="818">
        <v>800</v>
      </c>
      <c r="J27" s="1291">
        <v>12000</v>
      </c>
    </row>
    <row r="28" spans="1:10" ht="15.75" customHeight="1">
      <c r="A28" s="1288">
        <v>15</v>
      </c>
      <c r="B28" s="818" t="s">
        <v>103</v>
      </c>
      <c r="C28" s="1289" t="s">
        <v>4579</v>
      </c>
      <c r="D28" s="818">
        <v>69</v>
      </c>
      <c r="E28" s="818">
        <v>0</v>
      </c>
      <c r="F28" s="818">
        <v>1</v>
      </c>
      <c r="G28" s="818">
        <v>1</v>
      </c>
      <c r="H28" s="818">
        <v>71</v>
      </c>
      <c r="I28" s="1290">
        <v>1000</v>
      </c>
      <c r="J28" s="1291">
        <v>71000</v>
      </c>
    </row>
    <row r="29" spans="1:10" ht="15.75" customHeight="1">
      <c r="A29" s="1288">
        <v>16</v>
      </c>
      <c r="B29" s="818" t="s">
        <v>103</v>
      </c>
      <c r="C29" s="1289" t="s">
        <v>4580</v>
      </c>
      <c r="D29" s="818">
        <v>1</v>
      </c>
      <c r="E29" s="818">
        <v>0</v>
      </c>
      <c r="F29" s="818">
        <v>0</v>
      </c>
      <c r="G29" s="818">
        <v>5</v>
      </c>
      <c r="H29" s="818">
        <v>6</v>
      </c>
      <c r="I29" s="1290">
        <v>9000</v>
      </c>
      <c r="J29" s="1291">
        <v>54000</v>
      </c>
    </row>
    <row r="30" spans="1:10" ht="15.75" customHeight="1">
      <c r="A30" s="1288">
        <v>17</v>
      </c>
      <c r="B30" s="818" t="s">
        <v>103</v>
      </c>
      <c r="C30" s="1289" t="s">
        <v>4581</v>
      </c>
      <c r="D30" s="818">
        <v>10</v>
      </c>
      <c r="E30" s="818">
        <v>5</v>
      </c>
      <c r="F30" s="818">
        <v>5</v>
      </c>
      <c r="G30" s="818">
        <v>0</v>
      </c>
      <c r="H30" s="818">
        <v>20</v>
      </c>
      <c r="I30" s="818">
        <v>700</v>
      </c>
      <c r="J30" s="1291">
        <v>14000</v>
      </c>
    </row>
    <row r="31" spans="1:10" ht="15.75" customHeight="1">
      <c r="A31" s="1288">
        <v>18</v>
      </c>
      <c r="B31" s="818" t="s">
        <v>103</v>
      </c>
      <c r="C31" s="1289" t="s">
        <v>4582</v>
      </c>
      <c r="D31" s="818">
        <v>3</v>
      </c>
      <c r="E31" s="818">
        <v>0</v>
      </c>
      <c r="F31" s="818">
        <v>0</v>
      </c>
      <c r="G31" s="818">
        <v>0</v>
      </c>
      <c r="H31" s="818">
        <v>3</v>
      </c>
      <c r="I31" s="1290">
        <v>4500</v>
      </c>
      <c r="J31" s="1291">
        <v>13500</v>
      </c>
    </row>
    <row r="32" spans="1:10" ht="15.75" customHeight="1">
      <c r="A32" s="1288">
        <v>19</v>
      </c>
      <c r="B32" s="818" t="s">
        <v>103</v>
      </c>
      <c r="C32" s="1289" t="s">
        <v>4583</v>
      </c>
      <c r="D32" s="818">
        <v>6</v>
      </c>
      <c r="E32" s="818">
        <v>0</v>
      </c>
      <c r="F32" s="818">
        <v>3</v>
      </c>
      <c r="G32" s="818">
        <v>0</v>
      </c>
      <c r="H32" s="818">
        <v>9</v>
      </c>
      <c r="I32" s="1290">
        <v>1000</v>
      </c>
      <c r="J32" s="1291">
        <v>9000</v>
      </c>
    </row>
    <row r="33" spans="1:10" ht="15.75" customHeight="1">
      <c r="A33" s="1288">
        <v>20</v>
      </c>
      <c r="B33" s="818" t="s">
        <v>103</v>
      </c>
      <c r="C33" s="1289" t="s">
        <v>4584</v>
      </c>
      <c r="D33" s="818">
        <v>6</v>
      </c>
      <c r="E33" s="818">
        <v>0</v>
      </c>
      <c r="F33" s="818">
        <v>0</v>
      </c>
      <c r="G33" s="818">
        <v>0</v>
      </c>
      <c r="H33" s="818">
        <v>6</v>
      </c>
      <c r="I33" s="1290">
        <v>5500</v>
      </c>
      <c r="J33" s="1291">
        <v>33000</v>
      </c>
    </row>
    <row r="34" spans="1:10" ht="15.75" customHeight="1">
      <c r="A34" s="1288">
        <v>21</v>
      </c>
      <c r="B34" s="818" t="s">
        <v>103</v>
      </c>
      <c r="C34" s="1289" t="s">
        <v>4585</v>
      </c>
      <c r="D34" s="818">
        <v>4</v>
      </c>
      <c r="E34" s="818">
        <v>0</v>
      </c>
      <c r="F34" s="818">
        <v>0</v>
      </c>
      <c r="G34" s="818">
        <v>0</v>
      </c>
      <c r="H34" s="818">
        <v>4</v>
      </c>
      <c r="I34" s="1290">
        <v>50000</v>
      </c>
      <c r="J34" s="1291">
        <v>200000</v>
      </c>
    </row>
    <row r="35" spans="1:10" ht="15.75" customHeight="1">
      <c r="A35" s="1288">
        <v>22</v>
      </c>
      <c r="B35" s="818" t="s">
        <v>103</v>
      </c>
      <c r="C35" s="1289" t="s">
        <v>4586</v>
      </c>
      <c r="D35" s="818">
        <v>3</v>
      </c>
      <c r="E35" s="818">
        <v>0</v>
      </c>
      <c r="F35" s="818">
        <v>0</v>
      </c>
      <c r="G35" s="818">
        <v>0</v>
      </c>
      <c r="H35" s="818">
        <v>3</v>
      </c>
      <c r="I35" s="1290">
        <v>1000</v>
      </c>
      <c r="J35" s="1291">
        <v>3000</v>
      </c>
    </row>
    <row r="36" spans="1:10" ht="15.75" customHeight="1">
      <c r="A36" s="1288">
        <v>23</v>
      </c>
      <c r="B36" s="818" t="s">
        <v>103</v>
      </c>
      <c r="C36" s="1289" t="s">
        <v>4587</v>
      </c>
      <c r="D36" s="818">
        <v>5</v>
      </c>
      <c r="E36" s="818">
        <v>0</v>
      </c>
      <c r="F36" s="818">
        <v>0</v>
      </c>
      <c r="G36" s="818">
        <v>0</v>
      </c>
      <c r="H36" s="818">
        <v>5</v>
      </c>
      <c r="I36" s="1290">
        <v>1200</v>
      </c>
      <c r="J36" s="1291">
        <v>6000</v>
      </c>
    </row>
    <row r="37" spans="1:10" ht="15.75" customHeight="1">
      <c r="A37" s="1288">
        <v>24</v>
      </c>
      <c r="B37" s="818" t="s">
        <v>103</v>
      </c>
      <c r="C37" s="1289" t="s">
        <v>4588</v>
      </c>
      <c r="D37" s="818">
        <v>2</v>
      </c>
      <c r="E37" s="818">
        <v>0</v>
      </c>
      <c r="F37" s="818">
        <v>0</v>
      </c>
      <c r="G37" s="818">
        <v>1</v>
      </c>
      <c r="H37" s="818">
        <v>3</v>
      </c>
      <c r="I37" s="1290">
        <v>13000</v>
      </c>
      <c r="J37" s="1291">
        <v>39000</v>
      </c>
    </row>
    <row r="38" spans="1:10" ht="15.75" customHeight="1">
      <c r="A38" s="1288">
        <v>25</v>
      </c>
      <c r="B38" s="818" t="s">
        <v>103</v>
      </c>
      <c r="C38" s="1289" t="s">
        <v>4589</v>
      </c>
      <c r="D38" s="818">
        <v>2</v>
      </c>
      <c r="E38" s="818">
        <v>0</v>
      </c>
      <c r="F38" s="818">
        <v>0</v>
      </c>
      <c r="G38" s="818">
        <v>0</v>
      </c>
      <c r="H38" s="818">
        <v>2</v>
      </c>
      <c r="I38" s="1290">
        <v>50000</v>
      </c>
      <c r="J38" s="1291">
        <v>100000</v>
      </c>
    </row>
    <row r="39" spans="1:10" ht="15.75" customHeight="1">
      <c r="A39" s="1288">
        <v>26</v>
      </c>
      <c r="B39" s="818" t="s">
        <v>103</v>
      </c>
      <c r="C39" s="1289" t="s">
        <v>4590</v>
      </c>
      <c r="D39" s="818">
        <v>3</v>
      </c>
      <c r="E39" s="818">
        <v>0</v>
      </c>
      <c r="F39" s="818">
        <v>3</v>
      </c>
      <c r="G39" s="818">
        <v>0</v>
      </c>
      <c r="H39" s="818">
        <v>6</v>
      </c>
      <c r="I39" s="1290">
        <v>1500</v>
      </c>
      <c r="J39" s="1291">
        <v>9000</v>
      </c>
    </row>
    <row r="40" spans="1:10" ht="15.75" customHeight="1">
      <c r="A40" s="1288">
        <v>27</v>
      </c>
      <c r="B40" s="818" t="s">
        <v>103</v>
      </c>
      <c r="C40" s="1289" t="s">
        <v>4591</v>
      </c>
      <c r="D40" s="818">
        <v>1</v>
      </c>
      <c r="E40" s="818">
        <v>0</v>
      </c>
      <c r="F40" s="818">
        <v>0</v>
      </c>
      <c r="G40" s="818">
        <v>0</v>
      </c>
      <c r="H40" s="818">
        <v>1</v>
      </c>
      <c r="I40" s="1290">
        <v>1000</v>
      </c>
      <c r="J40" s="1291">
        <v>1000</v>
      </c>
    </row>
    <row r="41" spans="1:10" ht="15.75" customHeight="1">
      <c r="A41" s="1288">
        <v>28</v>
      </c>
      <c r="B41" s="818" t="s">
        <v>103</v>
      </c>
      <c r="C41" s="1289" t="s">
        <v>4592</v>
      </c>
      <c r="D41" s="818">
        <v>2</v>
      </c>
      <c r="E41" s="818">
        <v>0</v>
      </c>
      <c r="F41" s="818">
        <v>0</v>
      </c>
      <c r="G41" s="818">
        <v>0</v>
      </c>
      <c r="H41" s="818">
        <v>2</v>
      </c>
      <c r="I41" s="1290">
        <v>2500</v>
      </c>
      <c r="J41" s="1291">
        <v>5000</v>
      </c>
    </row>
    <row r="42" spans="1:10" ht="15.75" customHeight="1">
      <c r="A42" s="1288">
        <v>29</v>
      </c>
      <c r="B42" s="818" t="s">
        <v>103</v>
      </c>
      <c r="C42" s="1289" t="s">
        <v>4593</v>
      </c>
      <c r="D42" s="818">
        <v>1</v>
      </c>
      <c r="E42" s="818">
        <v>0</v>
      </c>
      <c r="F42" s="818">
        <v>0</v>
      </c>
      <c r="G42" s="818">
        <v>0</v>
      </c>
      <c r="H42" s="818">
        <v>1</v>
      </c>
      <c r="I42" s="1290">
        <v>23000</v>
      </c>
      <c r="J42" s="1291">
        <v>23000</v>
      </c>
    </row>
    <row r="43" spans="1:10" ht="15.75" customHeight="1">
      <c r="A43" s="1288">
        <v>30</v>
      </c>
      <c r="B43" s="818" t="s">
        <v>103</v>
      </c>
      <c r="C43" s="1292" t="s">
        <v>4594</v>
      </c>
      <c r="D43" s="818">
        <v>2</v>
      </c>
      <c r="E43" s="818">
        <v>0</v>
      </c>
      <c r="F43" s="818">
        <v>0</v>
      </c>
      <c r="G43" s="818">
        <v>0</v>
      </c>
      <c r="H43" s="818">
        <v>2</v>
      </c>
      <c r="I43" s="1290">
        <v>6000</v>
      </c>
      <c r="J43" s="1291">
        <v>12000</v>
      </c>
    </row>
    <row r="44" spans="1:10" ht="15.75" customHeight="1">
      <c r="A44" s="1288">
        <v>31</v>
      </c>
      <c r="B44" s="818" t="s">
        <v>103</v>
      </c>
      <c r="C44" s="1289" t="s">
        <v>4595</v>
      </c>
      <c r="D44" s="818">
        <v>1</v>
      </c>
      <c r="E44" s="818">
        <v>0</v>
      </c>
      <c r="F44" s="818">
        <v>0</v>
      </c>
      <c r="G44" s="818">
        <v>0</v>
      </c>
      <c r="H44" s="818">
        <v>1</v>
      </c>
      <c r="I44" s="1290">
        <v>4000</v>
      </c>
      <c r="J44" s="1291">
        <v>4000</v>
      </c>
    </row>
    <row r="45" spans="1:10" ht="15.75" customHeight="1">
      <c r="A45" s="1288">
        <v>32</v>
      </c>
      <c r="B45" s="818" t="s">
        <v>103</v>
      </c>
      <c r="C45" s="1289" t="s">
        <v>4596</v>
      </c>
      <c r="D45" s="818">
        <v>2</v>
      </c>
      <c r="E45" s="818">
        <v>0</v>
      </c>
      <c r="F45" s="818">
        <v>0</v>
      </c>
      <c r="G45" s="818">
        <v>0</v>
      </c>
      <c r="H45" s="818">
        <v>2</v>
      </c>
      <c r="I45" s="818">
        <v>600</v>
      </c>
      <c r="J45" s="1291">
        <v>1200</v>
      </c>
    </row>
    <row r="46" spans="1:10" ht="15.75" customHeight="1">
      <c r="A46" s="1288">
        <v>33</v>
      </c>
      <c r="B46" s="818" t="s">
        <v>103</v>
      </c>
      <c r="C46" s="1289" t="s">
        <v>4597</v>
      </c>
      <c r="D46" s="818">
        <v>3</v>
      </c>
      <c r="E46" s="818">
        <v>0</v>
      </c>
      <c r="F46" s="818">
        <v>0</v>
      </c>
      <c r="G46" s="818">
        <v>0</v>
      </c>
      <c r="H46" s="818">
        <v>3</v>
      </c>
      <c r="I46" s="1290">
        <v>3500</v>
      </c>
      <c r="J46" s="1291">
        <v>10500</v>
      </c>
    </row>
    <row r="47" spans="1:10" ht="15.75" customHeight="1">
      <c r="A47" s="1288">
        <v>34</v>
      </c>
      <c r="B47" s="818" t="s">
        <v>103</v>
      </c>
      <c r="C47" s="1289" t="s">
        <v>4598</v>
      </c>
      <c r="D47" s="818">
        <v>3</v>
      </c>
      <c r="E47" s="818">
        <v>0</v>
      </c>
      <c r="F47" s="818">
        <v>3</v>
      </c>
      <c r="G47" s="818">
        <v>0</v>
      </c>
      <c r="H47" s="818">
        <v>6</v>
      </c>
      <c r="I47" s="1290">
        <v>4000</v>
      </c>
      <c r="J47" s="1291">
        <v>24000</v>
      </c>
    </row>
    <row r="48" spans="1:10" ht="15.75" customHeight="1">
      <c r="A48" s="1288">
        <v>35</v>
      </c>
      <c r="B48" s="818" t="s">
        <v>103</v>
      </c>
      <c r="C48" s="1292" t="s">
        <v>4599</v>
      </c>
      <c r="D48" s="818">
        <v>5</v>
      </c>
      <c r="E48" s="818">
        <v>0</v>
      </c>
      <c r="F48" s="818">
        <v>0</v>
      </c>
      <c r="G48" s="818">
        <v>0</v>
      </c>
      <c r="H48" s="818">
        <v>5</v>
      </c>
      <c r="I48" s="1290">
        <v>4500</v>
      </c>
      <c r="J48" s="1291">
        <v>22500</v>
      </c>
    </row>
    <row r="49" spans="1:10" ht="15.75" customHeight="1">
      <c r="A49" s="1288">
        <v>36</v>
      </c>
      <c r="B49" s="818" t="s">
        <v>103</v>
      </c>
      <c r="C49" s="1289" t="s">
        <v>4600</v>
      </c>
      <c r="D49" s="818">
        <v>1</v>
      </c>
      <c r="E49" s="818">
        <v>0</v>
      </c>
      <c r="F49" s="818">
        <v>0</v>
      </c>
      <c r="G49" s="818">
        <v>0</v>
      </c>
      <c r="H49" s="818">
        <v>1</v>
      </c>
      <c r="I49" s="1290">
        <v>8000</v>
      </c>
      <c r="J49" s="1291">
        <v>8000</v>
      </c>
    </row>
    <row r="50" spans="1:10" ht="15.75" customHeight="1">
      <c r="A50" s="1288">
        <v>37</v>
      </c>
      <c r="B50" s="818" t="s">
        <v>103</v>
      </c>
      <c r="C50" s="1289" t="s">
        <v>4601</v>
      </c>
      <c r="D50" s="818">
        <v>10</v>
      </c>
      <c r="E50" s="818">
        <v>0</v>
      </c>
      <c r="F50" s="818">
        <v>0</v>
      </c>
      <c r="G50" s="818">
        <v>0</v>
      </c>
      <c r="H50" s="818">
        <v>10</v>
      </c>
      <c r="I50" s="1290">
        <v>3500</v>
      </c>
      <c r="J50" s="1291">
        <v>35000</v>
      </c>
    </row>
    <row r="51" spans="1:10" ht="15.75" customHeight="1">
      <c r="A51" s="1288">
        <v>38</v>
      </c>
      <c r="B51" s="818" t="s">
        <v>103</v>
      </c>
      <c r="C51" s="1289" t="s">
        <v>4602</v>
      </c>
      <c r="D51" s="818">
        <v>1</v>
      </c>
      <c r="E51" s="818">
        <v>0</v>
      </c>
      <c r="F51" s="818">
        <v>0</v>
      </c>
      <c r="G51" s="818">
        <v>0</v>
      </c>
      <c r="H51" s="818">
        <v>1</v>
      </c>
      <c r="I51" s="1290">
        <v>25000</v>
      </c>
      <c r="J51" s="1291">
        <v>25000</v>
      </c>
    </row>
    <row r="52" spans="1:10" ht="15.75" customHeight="1">
      <c r="A52" s="1288">
        <v>39</v>
      </c>
      <c r="B52" s="818" t="s">
        <v>103</v>
      </c>
      <c r="C52" s="1289" t="s">
        <v>4603</v>
      </c>
      <c r="D52" s="818">
        <v>1</v>
      </c>
      <c r="E52" s="818">
        <v>0</v>
      </c>
      <c r="F52" s="818">
        <v>0</v>
      </c>
      <c r="G52" s="818">
        <v>0</v>
      </c>
      <c r="H52" s="818">
        <v>1</v>
      </c>
      <c r="I52" s="1290">
        <v>25000</v>
      </c>
      <c r="J52" s="1291">
        <v>25000</v>
      </c>
    </row>
    <row r="53" spans="1:10" ht="15.75" customHeight="1">
      <c r="A53" s="1288">
        <v>40</v>
      </c>
      <c r="B53" s="818" t="s">
        <v>103</v>
      </c>
      <c r="C53" s="1289" t="s">
        <v>4604</v>
      </c>
      <c r="D53" s="818">
        <v>32</v>
      </c>
      <c r="E53" s="818">
        <v>0</v>
      </c>
      <c r="F53" s="818">
        <v>0</v>
      </c>
      <c r="G53" s="818">
        <v>0</v>
      </c>
      <c r="H53" s="818">
        <v>32</v>
      </c>
      <c r="I53" s="1290">
        <v>8500</v>
      </c>
      <c r="J53" s="1291">
        <v>272000</v>
      </c>
    </row>
    <row r="54" spans="1:10" ht="15.75" customHeight="1">
      <c r="A54" s="1288">
        <v>41</v>
      </c>
      <c r="B54" s="818" t="s">
        <v>118</v>
      </c>
      <c r="C54" s="1292" t="s">
        <v>4605</v>
      </c>
      <c r="D54" s="818">
        <v>2</v>
      </c>
      <c r="E54" s="818">
        <v>0</v>
      </c>
      <c r="F54" s="818">
        <v>0</v>
      </c>
      <c r="G54" s="818">
        <v>0</v>
      </c>
      <c r="H54" s="818">
        <v>2</v>
      </c>
      <c r="I54" s="1290">
        <v>12000</v>
      </c>
      <c r="J54" s="1291">
        <v>24000</v>
      </c>
    </row>
    <row r="55" spans="1:10" ht="15.75" customHeight="1">
      <c r="A55" s="1288">
        <v>42</v>
      </c>
      <c r="B55" s="818" t="s">
        <v>103</v>
      </c>
      <c r="C55" s="1289" t="s">
        <v>4606</v>
      </c>
      <c r="D55" s="818">
        <v>5</v>
      </c>
      <c r="E55" s="818">
        <v>5</v>
      </c>
      <c r="F55" s="818">
        <v>0</v>
      </c>
      <c r="G55" s="818">
        <v>0</v>
      </c>
      <c r="H55" s="818">
        <v>10</v>
      </c>
      <c r="I55" s="1290">
        <v>6000</v>
      </c>
      <c r="J55" s="1291">
        <v>60000</v>
      </c>
    </row>
    <row r="56" spans="1:10" ht="15.75" customHeight="1">
      <c r="A56" s="1288">
        <v>43</v>
      </c>
      <c r="B56" s="818" t="s">
        <v>103</v>
      </c>
      <c r="C56" s="1289" t="s">
        <v>4607</v>
      </c>
      <c r="D56" s="818">
        <v>7</v>
      </c>
      <c r="E56" s="818">
        <v>0</v>
      </c>
      <c r="F56" s="818">
        <v>0</v>
      </c>
      <c r="G56" s="818">
        <v>0</v>
      </c>
      <c r="H56" s="818">
        <v>7</v>
      </c>
      <c r="I56" s="1290">
        <v>6500</v>
      </c>
      <c r="J56" s="1291">
        <v>45500</v>
      </c>
    </row>
    <row r="57" spans="1:10" ht="15.75" customHeight="1">
      <c r="A57" s="1288">
        <v>44</v>
      </c>
      <c r="B57" s="818" t="s">
        <v>103</v>
      </c>
      <c r="C57" s="1289" t="s">
        <v>4608</v>
      </c>
      <c r="D57" s="818">
        <v>1</v>
      </c>
      <c r="E57" s="818">
        <v>0</v>
      </c>
      <c r="F57" s="818">
        <v>0</v>
      </c>
      <c r="G57" s="818">
        <v>0</v>
      </c>
      <c r="H57" s="818">
        <v>1</v>
      </c>
      <c r="I57" s="1290">
        <v>9320</v>
      </c>
      <c r="J57" s="1291">
        <v>9320</v>
      </c>
    </row>
    <row r="58" spans="1:10" ht="15.75" customHeight="1">
      <c r="A58" s="1288">
        <v>45</v>
      </c>
      <c r="B58" s="818" t="s">
        <v>118</v>
      </c>
      <c r="C58" s="1289" t="s">
        <v>4609</v>
      </c>
      <c r="D58" s="818">
        <v>2</v>
      </c>
      <c r="E58" s="818">
        <v>0</v>
      </c>
      <c r="F58" s="818">
        <v>0</v>
      </c>
      <c r="G58" s="818">
        <v>0</v>
      </c>
      <c r="H58" s="818">
        <v>2</v>
      </c>
      <c r="I58" s="1290">
        <v>1000</v>
      </c>
      <c r="J58" s="1291">
        <v>2000</v>
      </c>
    </row>
    <row r="59" spans="1:10" ht="15.75" customHeight="1">
      <c r="A59" s="1288">
        <v>46</v>
      </c>
      <c r="B59" s="818" t="s">
        <v>103</v>
      </c>
      <c r="C59" s="1289" t="s">
        <v>4610</v>
      </c>
      <c r="D59" s="818">
        <v>6</v>
      </c>
      <c r="E59" s="818">
        <v>0</v>
      </c>
      <c r="F59" s="818">
        <v>0</v>
      </c>
      <c r="G59" s="818">
        <v>0</v>
      </c>
      <c r="H59" s="818">
        <v>6</v>
      </c>
      <c r="I59" s="1290">
        <v>12000</v>
      </c>
      <c r="J59" s="1291">
        <v>72000</v>
      </c>
    </row>
    <row r="60" spans="1:10" ht="15.75" customHeight="1">
      <c r="A60" s="1288">
        <v>47</v>
      </c>
      <c r="B60" s="818" t="s">
        <v>103</v>
      </c>
      <c r="C60" s="1289" t="s">
        <v>4611</v>
      </c>
      <c r="D60" s="818">
        <v>5</v>
      </c>
      <c r="E60" s="818">
        <v>5</v>
      </c>
      <c r="F60" s="818">
        <v>0</v>
      </c>
      <c r="G60" s="818">
        <v>0</v>
      </c>
      <c r="H60" s="818">
        <v>10</v>
      </c>
      <c r="I60" s="1290">
        <v>8000</v>
      </c>
      <c r="J60" s="1291">
        <v>80000</v>
      </c>
    </row>
    <row r="61" spans="1:10" ht="15.75" customHeight="1">
      <c r="A61" s="1288">
        <v>48</v>
      </c>
      <c r="B61" s="818" t="s">
        <v>103</v>
      </c>
      <c r="C61" s="1289" t="s">
        <v>4612</v>
      </c>
      <c r="D61" s="818">
        <v>15</v>
      </c>
      <c r="E61" s="818">
        <v>0</v>
      </c>
      <c r="F61" s="818">
        <v>15</v>
      </c>
      <c r="G61" s="818">
        <v>0</v>
      </c>
      <c r="H61" s="818">
        <v>30</v>
      </c>
      <c r="I61" s="818">
        <v>750</v>
      </c>
      <c r="J61" s="1291">
        <v>22500</v>
      </c>
    </row>
    <row r="62" spans="1:10" ht="15.75" customHeight="1">
      <c r="A62" s="1288">
        <v>49</v>
      </c>
      <c r="B62" s="818" t="s">
        <v>103</v>
      </c>
      <c r="C62" s="1289" t="s">
        <v>4613</v>
      </c>
      <c r="D62" s="818">
        <v>5</v>
      </c>
      <c r="E62" s="818">
        <v>0</v>
      </c>
      <c r="F62" s="818">
        <v>0</v>
      </c>
      <c r="G62" s="818">
        <v>0</v>
      </c>
      <c r="H62" s="818">
        <v>5</v>
      </c>
      <c r="I62" s="1290">
        <v>1200</v>
      </c>
      <c r="J62" s="1291">
        <v>6000</v>
      </c>
    </row>
    <row r="63" spans="1:10" ht="15.75" customHeight="1">
      <c r="A63" s="1288">
        <v>50</v>
      </c>
      <c r="B63" s="818" t="s">
        <v>103</v>
      </c>
      <c r="C63" s="1289" t="s">
        <v>4614</v>
      </c>
      <c r="D63" s="818">
        <v>5</v>
      </c>
      <c r="E63" s="818">
        <v>5</v>
      </c>
      <c r="F63" s="818">
        <v>5</v>
      </c>
      <c r="G63" s="818">
        <v>0</v>
      </c>
      <c r="H63" s="818">
        <v>15</v>
      </c>
      <c r="I63" s="1290">
        <v>1200</v>
      </c>
      <c r="J63" s="1291">
        <v>18000</v>
      </c>
    </row>
    <row r="64" spans="1:10" ht="15.75" customHeight="1">
      <c r="A64" s="1288">
        <v>51</v>
      </c>
      <c r="B64" s="818" t="s">
        <v>103</v>
      </c>
      <c r="C64" s="1289" t="s">
        <v>4615</v>
      </c>
      <c r="D64" s="818">
        <v>2</v>
      </c>
      <c r="E64" s="818">
        <v>0</v>
      </c>
      <c r="F64" s="818">
        <v>2</v>
      </c>
      <c r="G64" s="818">
        <v>0</v>
      </c>
      <c r="H64" s="818">
        <v>4</v>
      </c>
      <c r="I64" s="1290">
        <v>10000</v>
      </c>
      <c r="J64" s="1291">
        <v>40000</v>
      </c>
    </row>
    <row r="65" spans="1:10" ht="15.75" customHeight="1">
      <c r="A65" s="1288">
        <v>52</v>
      </c>
      <c r="B65" s="818" t="s">
        <v>103</v>
      </c>
      <c r="C65" s="1289" t="s">
        <v>4616</v>
      </c>
      <c r="D65" s="818">
        <v>25</v>
      </c>
      <c r="E65" s="818">
        <v>3</v>
      </c>
      <c r="F65" s="818">
        <v>6</v>
      </c>
      <c r="G65" s="818">
        <v>2</v>
      </c>
      <c r="H65" s="818">
        <v>36</v>
      </c>
      <c r="I65" s="1290">
        <v>8500</v>
      </c>
      <c r="J65" s="1291">
        <v>306000</v>
      </c>
    </row>
    <row r="66" spans="1:10" ht="15.75" customHeight="1">
      <c r="A66" s="1288">
        <v>53</v>
      </c>
      <c r="B66" s="818" t="s">
        <v>103</v>
      </c>
      <c r="C66" s="1289" t="s">
        <v>4617</v>
      </c>
      <c r="D66" s="818">
        <v>15</v>
      </c>
      <c r="E66" s="818">
        <v>15</v>
      </c>
      <c r="F66" s="818">
        <v>15</v>
      </c>
      <c r="G66" s="818">
        <v>0</v>
      </c>
      <c r="H66" s="818">
        <v>45</v>
      </c>
      <c r="I66" s="1290">
        <v>1500</v>
      </c>
      <c r="J66" s="1291">
        <v>67500</v>
      </c>
    </row>
    <row r="67" spans="1:10" ht="15.75" customHeight="1">
      <c r="A67" s="1288">
        <v>54</v>
      </c>
      <c r="B67" s="818" t="s">
        <v>103</v>
      </c>
      <c r="C67" s="1289" t="s">
        <v>4618</v>
      </c>
      <c r="D67" s="818">
        <v>4</v>
      </c>
      <c r="E67" s="818">
        <v>0</v>
      </c>
      <c r="F67" s="818">
        <v>0</v>
      </c>
      <c r="G67" s="818">
        <v>0</v>
      </c>
      <c r="H67" s="818">
        <v>4</v>
      </c>
      <c r="I67" s="1290">
        <v>13000</v>
      </c>
      <c r="J67" s="1291">
        <v>52000</v>
      </c>
    </row>
    <row r="68" spans="1:10" ht="15.75" customHeight="1">
      <c r="A68" s="1288">
        <v>55</v>
      </c>
      <c r="B68" s="818" t="s">
        <v>103</v>
      </c>
      <c r="C68" s="1289" t="s">
        <v>4619</v>
      </c>
      <c r="D68" s="818">
        <v>5</v>
      </c>
      <c r="E68" s="818">
        <v>0</v>
      </c>
      <c r="F68" s="818">
        <v>0</v>
      </c>
      <c r="G68" s="818">
        <v>0</v>
      </c>
      <c r="H68" s="818">
        <v>5</v>
      </c>
      <c r="I68" s="1290">
        <v>2000</v>
      </c>
      <c r="J68" s="1291">
        <v>10000</v>
      </c>
    </row>
    <row r="69" spans="1:10" ht="15.75" customHeight="1">
      <c r="A69" s="1288">
        <v>56</v>
      </c>
      <c r="B69" s="818" t="s">
        <v>118</v>
      </c>
      <c r="C69" s="1289" t="s">
        <v>4620</v>
      </c>
      <c r="D69" s="818">
        <v>2</v>
      </c>
      <c r="E69" s="818">
        <v>0</v>
      </c>
      <c r="F69" s="818">
        <v>0</v>
      </c>
      <c r="G69" s="818">
        <v>0</v>
      </c>
      <c r="H69" s="818">
        <v>2</v>
      </c>
      <c r="I69" s="1290">
        <v>1000</v>
      </c>
      <c r="J69" s="1291">
        <v>2000</v>
      </c>
    </row>
    <row r="70" spans="1:10" ht="15.75" customHeight="1">
      <c r="A70" s="1288">
        <v>57</v>
      </c>
      <c r="B70" s="818" t="s">
        <v>103</v>
      </c>
      <c r="C70" s="1289" t="s">
        <v>4621</v>
      </c>
      <c r="D70" s="818">
        <v>3</v>
      </c>
      <c r="E70" s="818">
        <v>0</v>
      </c>
      <c r="F70" s="818">
        <v>0</v>
      </c>
      <c r="G70" s="818">
        <v>0</v>
      </c>
      <c r="H70" s="818">
        <v>3</v>
      </c>
      <c r="I70" s="1290">
        <v>25000</v>
      </c>
      <c r="J70" s="1291">
        <v>75000</v>
      </c>
    </row>
    <row r="71" spans="1:10" ht="15.75" customHeight="1">
      <c r="A71" s="1288">
        <v>58</v>
      </c>
      <c r="B71" s="818" t="s">
        <v>103</v>
      </c>
      <c r="C71" s="1289" t="s">
        <v>4622</v>
      </c>
      <c r="D71" s="818">
        <v>2</v>
      </c>
      <c r="E71" s="818">
        <v>2</v>
      </c>
      <c r="F71" s="818">
        <v>2</v>
      </c>
      <c r="G71" s="818">
        <v>0</v>
      </c>
      <c r="H71" s="818">
        <v>6</v>
      </c>
      <c r="I71" s="818">
        <v>200</v>
      </c>
      <c r="J71" s="1291">
        <v>1200</v>
      </c>
    </row>
    <row r="72" spans="1:10" ht="15.75" customHeight="1">
      <c r="A72" s="1288">
        <v>59</v>
      </c>
      <c r="B72" s="818" t="s">
        <v>103</v>
      </c>
      <c r="C72" s="1289" t="s">
        <v>4623</v>
      </c>
      <c r="D72" s="818">
        <v>1</v>
      </c>
      <c r="E72" s="818">
        <v>0</v>
      </c>
      <c r="F72" s="818">
        <v>0</v>
      </c>
      <c r="G72" s="818">
        <v>0</v>
      </c>
      <c r="H72" s="818">
        <v>1</v>
      </c>
      <c r="I72" s="1290">
        <v>1000</v>
      </c>
      <c r="J72" s="1291">
        <v>1000</v>
      </c>
    </row>
    <row r="73" spans="1:10" ht="15.75" customHeight="1">
      <c r="A73" s="1288">
        <v>60</v>
      </c>
      <c r="B73" s="818" t="s">
        <v>103</v>
      </c>
      <c r="C73" s="1289" t="s">
        <v>4624</v>
      </c>
      <c r="D73" s="818">
        <v>6</v>
      </c>
      <c r="E73" s="818">
        <v>0</v>
      </c>
      <c r="F73" s="818">
        <v>0</v>
      </c>
      <c r="G73" s="818">
        <v>5</v>
      </c>
      <c r="H73" s="818">
        <v>11</v>
      </c>
      <c r="I73" s="818">
        <v>850</v>
      </c>
      <c r="J73" s="1291">
        <v>9350</v>
      </c>
    </row>
    <row r="74" spans="1:10" ht="12.75">
      <c r="A74" s="1288">
        <v>61</v>
      </c>
      <c r="B74" s="818" t="s">
        <v>103</v>
      </c>
      <c r="C74" s="1289" t="s">
        <v>4625</v>
      </c>
      <c r="D74" s="818">
        <v>15</v>
      </c>
      <c r="E74" s="818">
        <v>15</v>
      </c>
      <c r="F74" s="818">
        <v>0</v>
      </c>
      <c r="G74" s="818">
        <v>0</v>
      </c>
      <c r="H74" s="818">
        <v>30</v>
      </c>
      <c r="I74" s="818">
        <v>800</v>
      </c>
      <c r="J74" s="1291">
        <v>24000</v>
      </c>
    </row>
    <row r="75" spans="1:10" ht="12.75">
      <c r="A75" s="1288">
        <v>62</v>
      </c>
      <c r="B75" s="818" t="s">
        <v>103</v>
      </c>
      <c r="C75" s="1289" t="s">
        <v>4626</v>
      </c>
      <c r="D75" s="818">
        <v>3</v>
      </c>
      <c r="E75" s="818">
        <v>5</v>
      </c>
      <c r="F75" s="818">
        <v>0</v>
      </c>
      <c r="G75" s="818">
        <v>0</v>
      </c>
      <c r="H75" s="818">
        <v>8</v>
      </c>
      <c r="I75" s="818">
        <v>350</v>
      </c>
      <c r="J75" s="1291">
        <v>2800</v>
      </c>
    </row>
    <row r="76" spans="1:10" ht="38.25">
      <c r="A76" s="1288">
        <v>63</v>
      </c>
      <c r="B76" s="818" t="s">
        <v>103</v>
      </c>
      <c r="C76" s="1289" t="s">
        <v>4627</v>
      </c>
      <c r="D76" s="818">
        <v>26</v>
      </c>
      <c r="E76" s="818">
        <v>14</v>
      </c>
      <c r="F76" s="818">
        <v>14</v>
      </c>
      <c r="G76" s="818">
        <v>8</v>
      </c>
      <c r="H76" s="818">
        <v>62</v>
      </c>
      <c r="I76" s="818">
        <v>450</v>
      </c>
      <c r="J76" s="1291">
        <v>27900</v>
      </c>
    </row>
    <row r="77" spans="1:10" ht="38.25">
      <c r="A77" s="1288">
        <v>64</v>
      </c>
      <c r="B77" s="1293" t="s">
        <v>103</v>
      </c>
      <c r="C77" s="1294" t="s">
        <v>4628</v>
      </c>
      <c r="D77" s="1293">
        <v>5</v>
      </c>
      <c r="E77" s="1293">
        <v>0</v>
      </c>
      <c r="F77" s="1293">
        <v>5</v>
      </c>
      <c r="G77" s="1293">
        <v>0</v>
      </c>
      <c r="H77" s="1293">
        <v>10</v>
      </c>
      <c r="I77" s="1293">
        <v>500</v>
      </c>
      <c r="J77" s="1295">
        <v>5000</v>
      </c>
    </row>
    <row r="78" spans="1:10" ht="12.75">
      <c r="A78" s="1288">
        <v>65</v>
      </c>
      <c r="B78" s="1284" t="s">
        <v>103</v>
      </c>
      <c r="C78" s="1296" t="s">
        <v>190</v>
      </c>
      <c r="D78" s="1284">
        <v>15</v>
      </c>
      <c r="E78" s="1284">
        <v>15</v>
      </c>
      <c r="F78" s="1284">
        <v>15</v>
      </c>
      <c r="G78" s="1284">
        <v>10</v>
      </c>
      <c r="H78" s="1284">
        <v>55</v>
      </c>
      <c r="I78" s="1284">
        <v>180</v>
      </c>
      <c r="J78" s="1287">
        <v>9900</v>
      </c>
    </row>
    <row r="79" spans="1:10" ht="25.5">
      <c r="A79" s="1288">
        <v>66</v>
      </c>
      <c r="B79" s="818" t="s">
        <v>103</v>
      </c>
      <c r="C79" s="1289" t="s">
        <v>4629</v>
      </c>
      <c r="D79" s="818">
        <v>10</v>
      </c>
      <c r="E79" s="818">
        <v>0</v>
      </c>
      <c r="F79" s="818">
        <v>10</v>
      </c>
      <c r="G79" s="818">
        <v>0</v>
      </c>
      <c r="H79" s="818">
        <v>20</v>
      </c>
      <c r="I79" s="818">
        <v>75</v>
      </c>
      <c r="J79" s="1291">
        <v>1500</v>
      </c>
    </row>
    <row r="80" spans="1:10" ht="12.75">
      <c r="A80" s="1288"/>
      <c r="B80" s="1297"/>
      <c r="C80" s="1298" t="s">
        <v>2516</v>
      </c>
      <c r="D80" s="1297"/>
      <c r="E80" s="1297"/>
      <c r="F80" s="1297"/>
      <c r="G80" s="1297"/>
      <c r="H80" s="1297"/>
      <c r="I80" s="1297"/>
      <c r="J80" s="1299"/>
    </row>
    <row r="81" spans="1:10" ht="25.5">
      <c r="A81" s="1288">
        <v>67</v>
      </c>
      <c r="B81" s="818" t="s">
        <v>103</v>
      </c>
      <c r="C81" s="1289" t="s">
        <v>4630</v>
      </c>
      <c r="D81" s="818">
        <v>3</v>
      </c>
      <c r="E81" s="818">
        <v>0</v>
      </c>
      <c r="F81" s="818">
        <v>0</v>
      </c>
      <c r="G81" s="818">
        <v>0</v>
      </c>
      <c r="H81" s="818">
        <v>3</v>
      </c>
      <c r="I81" s="818">
        <v>350</v>
      </c>
      <c r="J81" s="1291">
        <v>1050</v>
      </c>
    </row>
    <row r="82" spans="1:10" ht="12.75">
      <c r="A82" s="1288">
        <v>68</v>
      </c>
      <c r="B82" s="818" t="s">
        <v>103</v>
      </c>
      <c r="C82" s="1289" t="s">
        <v>4631</v>
      </c>
      <c r="D82" s="818">
        <v>15</v>
      </c>
      <c r="E82" s="818">
        <v>15</v>
      </c>
      <c r="F82" s="818">
        <v>15</v>
      </c>
      <c r="G82" s="818">
        <v>0</v>
      </c>
      <c r="H82" s="818">
        <v>45</v>
      </c>
      <c r="I82" s="818">
        <v>280</v>
      </c>
      <c r="J82" s="1291">
        <v>12600</v>
      </c>
    </row>
    <row r="83" spans="1:10" ht="12.75">
      <c r="A83" s="1288">
        <v>69</v>
      </c>
      <c r="B83" s="818" t="s">
        <v>103</v>
      </c>
      <c r="C83" s="1289" t="s">
        <v>4632</v>
      </c>
      <c r="D83" s="818">
        <v>15</v>
      </c>
      <c r="E83" s="818">
        <v>15</v>
      </c>
      <c r="F83" s="818">
        <v>15</v>
      </c>
      <c r="G83" s="818">
        <v>0</v>
      </c>
      <c r="H83" s="818">
        <v>45</v>
      </c>
      <c r="I83" s="818">
        <v>250</v>
      </c>
      <c r="J83" s="1291">
        <v>11250</v>
      </c>
    </row>
    <row r="84" spans="1:10" ht="12.75">
      <c r="A84" s="1288">
        <v>70</v>
      </c>
      <c r="B84" s="818" t="s">
        <v>103</v>
      </c>
      <c r="C84" s="1289" t="s">
        <v>4633</v>
      </c>
      <c r="D84" s="818">
        <v>15</v>
      </c>
      <c r="E84" s="818">
        <v>15</v>
      </c>
      <c r="F84" s="818">
        <v>15</v>
      </c>
      <c r="G84" s="818">
        <v>0</v>
      </c>
      <c r="H84" s="818">
        <v>45</v>
      </c>
      <c r="I84" s="818">
        <v>200</v>
      </c>
      <c r="J84" s="1291">
        <v>9000</v>
      </c>
    </row>
    <row r="85" spans="1:10" ht="25.5">
      <c r="A85" s="1288">
        <v>71</v>
      </c>
      <c r="B85" s="818" t="s">
        <v>103</v>
      </c>
      <c r="C85" s="1289" t="s">
        <v>4634</v>
      </c>
      <c r="D85" s="818">
        <v>15</v>
      </c>
      <c r="E85" s="818">
        <v>0</v>
      </c>
      <c r="F85" s="818">
        <v>15</v>
      </c>
      <c r="G85" s="818">
        <v>0</v>
      </c>
      <c r="H85" s="818">
        <v>30</v>
      </c>
      <c r="I85" s="818">
        <v>70</v>
      </c>
      <c r="J85" s="1291">
        <v>2100</v>
      </c>
    </row>
    <row r="86" spans="1:10" ht="12.75">
      <c r="A86" s="1288">
        <v>72</v>
      </c>
      <c r="B86" s="818" t="s">
        <v>103</v>
      </c>
      <c r="C86" s="1289" t="s">
        <v>4635</v>
      </c>
      <c r="D86" s="818">
        <v>200</v>
      </c>
      <c r="E86" s="818">
        <v>300</v>
      </c>
      <c r="F86" s="818">
        <v>200</v>
      </c>
      <c r="G86" s="818">
        <v>300</v>
      </c>
      <c r="H86" s="818">
        <v>1000</v>
      </c>
      <c r="I86" s="818">
        <v>8</v>
      </c>
      <c r="J86" s="1291">
        <v>8000</v>
      </c>
    </row>
    <row r="87" spans="1:10" ht="12.75">
      <c r="A87" s="1288">
        <v>73</v>
      </c>
      <c r="B87" s="818" t="s">
        <v>103</v>
      </c>
      <c r="C87" s="1289" t="s">
        <v>4636</v>
      </c>
      <c r="D87" s="818">
        <v>200</v>
      </c>
      <c r="E87" s="818">
        <v>300</v>
      </c>
      <c r="F87" s="818">
        <v>200</v>
      </c>
      <c r="G87" s="818">
        <v>300</v>
      </c>
      <c r="H87" s="818">
        <v>1000</v>
      </c>
      <c r="I87" s="818">
        <v>8</v>
      </c>
      <c r="J87" s="1291">
        <v>8000</v>
      </c>
    </row>
    <row r="88" spans="1:10" ht="12.75">
      <c r="A88" s="1288">
        <v>74</v>
      </c>
      <c r="B88" s="818" t="s">
        <v>103</v>
      </c>
      <c r="C88" s="1289" t="s">
        <v>4637</v>
      </c>
      <c r="D88" s="818">
        <v>200</v>
      </c>
      <c r="E88" s="818">
        <v>300</v>
      </c>
      <c r="F88" s="818">
        <v>200</v>
      </c>
      <c r="G88" s="818">
        <v>300</v>
      </c>
      <c r="H88" s="818">
        <v>1000</v>
      </c>
      <c r="I88" s="818">
        <v>8</v>
      </c>
      <c r="J88" s="1291">
        <v>8000</v>
      </c>
    </row>
    <row r="89" spans="1:10" ht="12.75">
      <c r="A89" s="1288">
        <v>75</v>
      </c>
      <c r="B89" s="818" t="s">
        <v>103</v>
      </c>
      <c r="C89" s="1289" t="s">
        <v>4638</v>
      </c>
      <c r="D89" s="818">
        <v>200</v>
      </c>
      <c r="E89" s="818">
        <v>300</v>
      </c>
      <c r="F89" s="818">
        <v>200</v>
      </c>
      <c r="G89" s="818">
        <v>300</v>
      </c>
      <c r="H89" s="818">
        <v>1000</v>
      </c>
      <c r="I89" s="818">
        <v>8</v>
      </c>
      <c r="J89" s="1291">
        <v>8000</v>
      </c>
    </row>
    <row r="90" spans="1:10" ht="12.75">
      <c r="A90" s="1288">
        <v>76</v>
      </c>
      <c r="B90" s="818" t="s">
        <v>103</v>
      </c>
      <c r="C90" s="1289" t="s">
        <v>4639</v>
      </c>
      <c r="D90" s="818">
        <v>200</v>
      </c>
      <c r="E90" s="818">
        <v>300</v>
      </c>
      <c r="F90" s="818">
        <v>200</v>
      </c>
      <c r="G90" s="818">
        <v>300</v>
      </c>
      <c r="H90" s="818">
        <v>1000</v>
      </c>
      <c r="I90" s="818">
        <v>8</v>
      </c>
      <c r="J90" s="1291">
        <v>8000</v>
      </c>
    </row>
    <row r="91" spans="1:10" ht="12.75">
      <c r="A91" s="1288">
        <v>77</v>
      </c>
      <c r="B91" s="818" t="s">
        <v>103</v>
      </c>
      <c r="C91" s="1289" t="s">
        <v>4640</v>
      </c>
      <c r="D91" s="818">
        <v>200</v>
      </c>
      <c r="E91" s="818">
        <v>300</v>
      </c>
      <c r="F91" s="818">
        <v>200</v>
      </c>
      <c r="G91" s="818">
        <v>300</v>
      </c>
      <c r="H91" s="818">
        <v>1000</v>
      </c>
      <c r="I91" s="818">
        <v>10</v>
      </c>
      <c r="J91" s="1291">
        <v>10000</v>
      </c>
    </row>
    <row r="92" spans="1:10" ht="12.75">
      <c r="A92" s="1288">
        <v>78</v>
      </c>
      <c r="B92" s="818" t="s">
        <v>103</v>
      </c>
      <c r="C92" s="1289" t="s">
        <v>4641</v>
      </c>
      <c r="D92" s="818">
        <v>200</v>
      </c>
      <c r="E92" s="818">
        <v>300</v>
      </c>
      <c r="F92" s="818">
        <v>200</v>
      </c>
      <c r="G92" s="818">
        <v>300</v>
      </c>
      <c r="H92" s="818">
        <v>1000</v>
      </c>
      <c r="I92" s="818">
        <v>10</v>
      </c>
      <c r="J92" s="1291">
        <v>10000</v>
      </c>
    </row>
    <row r="93" spans="1:10" ht="12.75">
      <c r="A93" s="1288">
        <v>79</v>
      </c>
      <c r="B93" s="818" t="s">
        <v>103</v>
      </c>
      <c r="C93" s="1289" t="s">
        <v>4642</v>
      </c>
      <c r="D93" s="818">
        <v>200</v>
      </c>
      <c r="E93" s="818">
        <v>300</v>
      </c>
      <c r="F93" s="818">
        <v>200</v>
      </c>
      <c r="G93" s="818">
        <v>300</v>
      </c>
      <c r="H93" s="818">
        <v>1000</v>
      </c>
      <c r="I93" s="818">
        <v>8</v>
      </c>
      <c r="J93" s="1291">
        <v>8000</v>
      </c>
    </row>
    <row r="94" spans="1:10" ht="12.75">
      <c r="A94" s="1288">
        <v>80</v>
      </c>
      <c r="B94" s="818" t="s">
        <v>103</v>
      </c>
      <c r="C94" s="1289" t="s">
        <v>4643</v>
      </c>
      <c r="D94" s="818">
        <v>200</v>
      </c>
      <c r="E94" s="818">
        <v>300</v>
      </c>
      <c r="F94" s="818">
        <v>200</v>
      </c>
      <c r="G94" s="818">
        <v>300</v>
      </c>
      <c r="H94" s="818">
        <v>1000</v>
      </c>
      <c r="I94" s="818">
        <v>8</v>
      </c>
      <c r="J94" s="1291">
        <v>8000</v>
      </c>
    </row>
    <row r="95" spans="1:10" ht="12.75">
      <c r="A95" s="1288">
        <v>81</v>
      </c>
      <c r="B95" s="818" t="s">
        <v>103</v>
      </c>
      <c r="C95" s="1289" t="s">
        <v>4644</v>
      </c>
      <c r="D95" s="818">
        <v>200</v>
      </c>
      <c r="E95" s="818">
        <v>300</v>
      </c>
      <c r="F95" s="818">
        <v>200</v>
      </c>
      <c r="G95" s="818">
        <v>300</v>
      </c>
      <c r="H95" s="818">
        <v>1000</v>
      </c>
      <c r="I95" s="818">
        <v>8</v>
      </c>
      <c r="J95" s="1291">
        <v>8000</v>
      </c>
    </row>
    <row r="96" spans="1:10" ht="38.25">
      <c r="A96" s="1288">
        <v>82</v>
      </c>
      <c r="B96" s="818" t="s">
        <v>103</v>
      </c>
      <c r="C96" s="1289" t="s">
        <v>4645</v>
      </c>
      <c r="D96" s="818">
        <v>10</v>
      </c>
      <c r="E96" s="818">
        <v>0</v>
      </c>
      <c r="F96" s="818">
        <v>0</v>
      </c>
      <c r="G96" s="818">
        <v>0</v>
      </c>
      <c r="H96" s="818">
        <v>10</v>
      </c>
      <c r="I96" s="1290">
        <v>4000</v>
      </c>
      <c r="J96" s="1291">
        <v>40000</v>
      </c>
    </row>
    <row r="97" spans="1:10" ht="38.25">
      <c r="A97" s="1288">
        <v>83</v>
      </c>
      <c r="B97" s="818" t="s">
        <v>189</v>
      </c>
      <c r="C97" s="1289" t="s">
        <v>4646</v>
      </c>
      <c r="D97" s="818">
        <v>2</v>
      </c>
      <c r="E97" s="818">
        <v>0</v>
      </c>
      <c r="F97" s="818">
        <v>0</v>
      </c>
      <c r="G97" s="818">
        <v>0</v>
      </c>
      <c r="H97" s="818">
        <v>2</v>
      </c>
      <c r="I97" s="1290">
        <v>4000</v>
      </c>
      <c r="J97" s="1291">
        <v>8000</v>
      </c>
    </row>
    <row r="98" spans="1:10" ht="38.25">
      <c r="A98" s="1288">
        <v>84</v>
      </c>
      <c r="B98" s="818" t="s">
        <v>189</v>
      </c>
      <c r="C98" s="1289" t="s">
        <v>4647</v>
      </c>
      <c r="D98" s="818">
        <v>5</v>
      </c>
      <c r="E98" s="818">
        <v>0</v>
      </c>
      <c r="F98" s="818">
        <v>0</v>
      </c>
      <c r="G98" s="818">
        <v>0</v>
      </c>
      <c r="H98" s="818">
        <v>5</v>
      </c>
      <c r="I98" s="1290">
        <v>4000</v>
      </c>
      <c r="J98" s="1291">
        <v>20000</v>
      </c>
    </row>
    <row r="99" spans="1:10" ht="25.5">
      <c r="A99" s="1288">
        <v>85</v>
      </c>
      <c r="B99" s="818" t="s">
        <v>103</v>
      </c>
      <c r="C99" s="1289" t="s">
        <v>4648</v>
      </c>
      <c r="D99" s="818">
        <v>15</v>
      </c>
      <c r="E99" s="818">
        <v>0</v>
      </c>
      <c r="F99" s="818">
        <v>15</v>
      </c>
      <c r="G99" s="818">
        <v>0</v>
      </c>
      <c r="H99" s="818">
        <v>30</v>
      </c>
      <c r="I99" s="818">
        <v>200</v>
      </c>
      <c r="J99" s="1291">
        <v>6000</v>
      </c>
    </row>
    <row r="100" spans="1:10" ht="12.75">
      <c r="A100" s="1288">
        <v>86</v>
      </c>
      <c r="B100" s="818" t="s">
        <v>103</v>
      </c>
      <c r="C100" s="1289" t="s">
        <v>4649</v>
      </c>
      <c r="D100" s="818">
        <v>4</v>
      </c>
      <c r="E100" s="818">
        <v>4</v>
      </c>
      <c r="F100" s="818">
        <v>4</v>
      </c>
      <c r="G100" s="818">
        <v>2</v>
      </c>
      <c r="H100" s="818">
        <v>14</v>
      </c>
      <c r="I100" s="818">
        <v>250</v>
      </c>
      <c r="J100" s="1291">
        <v>3500</v>
      </c>
    </row>
    <row r="101" spans="1:10" ht="25.5">
      <c r="A101" s="1288">
        <v>87</v>
      </c>
      <c r="B101" s="818" t="s">
        <v>103</v>
      </c>
      <c r="C101" s="1289" t="s">
        <v>4650</v>
      </c>
      <c r="D101" s="818">
        <v>50</v>
      </c>
      <c r="E101" s="818">
        <v>50</v>
      </c>
      <c r="F101" s="818">
        <v>50</v>
      </c>
      <c r="G101" s="818">
        <v>0</v>
      </c>
      <c r="H101" s="818">
        <v>150</v>
      </c>
      <c r="I101" s="818">
        <v>150</v>
      </c>
      <c r="J101" s="1291">
        <v>22500</v>
      </c>
    </row>
    <row r="102" spans="1:10" ht="12.75">
      <c r="A102" s="1288">
        <v>88</v>
      </c>
      <c r="B102" s="818" t="s">
        <v>103</v>
      </c>
      <c r="C102" s="1289" t="s">
        <v>4651</v>
      </c>
      <c r="D102" s="818">
        <v>5</v>
      </c>
      <c r="E102" s="818">
        <v>0</v>
      </c>
      <c r="F102" s="818">
        <v>5</v>
      </c>
      <c r="G102" s="818">
        <v>0</v>
      </c>
      <c r="H102" s="818">
        <v>10</v>
      </c>
      <c r="I102" s="818">
        <v>750</v>
      </c>
      <c r="J102" s="1291">
        <v>7500</v>
      </c>
    </row>
    <row r="103" spans="1:10" ht="12.75">
      <c r="A103" s="1288">
        <v>89</v>
      </c>
      <c r="B103" s="818" t="s">
        <v>103</v>
      </c>
      <c r="C103" s="1289" t="s">
        <v>4652</v>
      </c>
      <c r="D103" s="818">
        <v>5</v>
      </c>
      <c r="E103" s="818">
        <v>0</v>
      </c>
      <c r="F103" s="818">
        <v>0</v>
      </c>
      <c r="G103" s="818">
        <v>0</v>
      </c>
      <c r="H103" s="818">
        <v>5</v>
      </c>
      <c r="I103" s="818">
        <v>50</v>
      </c>
      <c r="J103" s="1300">
        <v>250</v>
      </c>
    </row>
    <row r="104" spans="1:10" ht="25.5">
      <c r="A104" s="1288">
        <v>90</v>
      </c>
      <c r="B104" s="818" t="s">
        <v>103</v>
      </c>
      <c r="C104" s="1289" t="s">
        <v>4653</v>
      </c>
      <c r="D104" s="818">
        <v>100</v>
      </c>
      <c r="E104" s="818">
        <v>100</v>
      </c>
      <c r="F104" s="818">
        <v>100</v>
      </c>
      <c r="G104" s="818">
        <v>100</v>
      </c>
      <c r="H104" s="818">
        <v>400</v>
      </c>
      <c r="I104" s="818">
        <v>5</v>
      </c>
      <c r="J104" s="1291">
        <v>2000</v>
      </c>
    </row>
    <row r="105" spans="1:10" ht="12.75">
      <c r="A105" s="1288">
        <v>91</v>
      </c>
      <c r="B105" s="818" t="s">
        <v>103</v>
      </c>
      <c r="C105" s="1289" t="s">
        <v>4654</v>
      </c>
      <c r="D105" s="818">
        <v>200</v>
      </c>
      <c r="E105" s="818">
        <v>300</v>
      </c>
      <c r="F105" s="818">
        <v>200</v>
      </c>
      <c r="G105" s="818">
        <v>300</v>
      </c>
      <c r="H105" s="818">
        <v>1000</v>
      </c>
      <c r="I105" s="818">
        <v>10</v>
      </c>
      <c r="J105" s="1291">
        <v>10000</v>
      </c>
    </row>
    <row r="106" spans="1:10" ht="12.75">
      <c r="A106" s="1288">
        <v>92</v>
      </c>
      <c r="B106" s="818" t="s">
        <v>103</v>
      </c>
      <c r="C106" s="1289" t="s">
        <v>4655</v>
      </c>
      <c r="D106" s="818">
        <v>300</v>
      </c>
      <c r="E106" s="818">
        <v>0</v>
      </c>
      <c r="F106" s="818">
        <v>300</v>
      </c>
      <c r="G106" s="818">
        <v>0</v>
      </c>
      <c r="H106" s="818">
        <v>600</v>
      </c>
      <c r="I106" s="818">
        <v>10</v>
      </c>
      <c r="J106" s="1291">
        <v>6000</v>
      </c>
    </row>
    <row r="107" spans="1:10" ht="12.75">
      <c r="A107" s="1288">
        <v>93</v>
      </c>
      <c r="B107" s="818" t="s">
        <v>103</v>
      </c>
      <c r="C107" s="1289" t="s">
        <v>4656</v>
      </c>
      <c r="D107" s="818">
        <v>200</v>
      </c>
      <c r="E107" s="818">
        <v>200</v>
      </c>
      <c r="F107" s="818">
        <v>200</v>
      </c>
      <c r="G107" s="818">
        <v>0</v>
      </c>
      <c r="H107" s="818">
        <v>600</v>
      </c>
      <c r="I107" s="818">
        <v>10</v>
      </c>
      <c r="J107" s="1291">
        <v>6000</v>
      </c>
    </row>
    <row r="108" spans="1:10" ht="38.25">
      <c r="A108" s="1288">
        <v>94</v>
      </c>
      <c r="B108" s="818" t="s">
        <v>103</v>
      </c>
      <c r="C108" s="1289" t="s">
        <v>4657</v>
      </c>
      <c r="D108" s="818">
        <v>15</v>
      </c>
      <c r="E108" s="818">
        <v>15</v>
      </c>
      <c r="F108" s="818">
        <v>15</v>
      </c>
      <c r="G108" s="818">
        <v>0</v>
      </c>
      <c r="H108" s="818">
        <v>45</v>
      </c>
      <c r="I108" s="818">
        <v>250</v>
      </c>
      <c r="J108" s="1291">
        <v>11250</v>
      </c>
    </row>
    <row r="109" spans="1:10" ht="25.5">
      <c r="A109" s="1288">
        <v>95</v>
      </c>
      <c r="B109" s="818" t="s">
        <v>103</v>
      </c>
      <c r="C109" s="1289" t="s">
        <v>4658</v>
      </c>
      <c r="D109" s="818">
        <v>10</v>
      </c>
      <c r="E109" s="818">
        <v>0</v>
      </c>
      <c r="F109" s="818">
        <v>0</v>
      </c>
      <c r="G109" s="818">
        <v>0</v>
      </c>
      <c r="H109" s="818">
        <v>10</v>
      </c>
      <c r="I109" s="818">
        <v>300</v>
      </c>
      <c r="J109" s="1291">
        <v>3000</v>
      </c>
    </row>
    <row r="110" spans="1:10" ht="25.5">
      <c r="A110" s="1288">
        <v>96</v>
      </c>
      <c r="B110" s="818" t="s">
        <v>103</v>
      </c>
      <c r="C110" s="1289" t="s">
        <v>4659</v>
      </c>
      <c r="D110" s="818">
        <v>2</v>
      </c>
      <c r="E110" s="818">
        <v>0</v>
      </c>
      <c r="F110" s="818">
        <v>0</v>
      </c>
      <c r="G110" s="818">
        <v>0</v>
      </c>
      <c r="H110" s="818">
        <v>2</v>
      </c>
      <c r="I110" s="818">
        <v>200</v>
      </c>
      <c r="J110" s="1300">
        <v>400</v>
      </c>
    </row>
    <row r="111" spans="1:10" ht="14.25">
      <c r="A111" s="1301"/>
      <c r="B111" s="1302"/>
      <c r="C111" s="1303" t="s">
        <v>4660</v>
      </c>
      <c r="D111" s="1304"/>
      <c r="E111" s="1304"/>
      <c r="F111" s="1304"/>
      <c r="G111" s="1304"/>
      <c r="H111" s="1612" t="s">
        <v>4661</v>
      </c>
      <c r="I111" s="1507"/>
      <c r="J111" s="1305">
        <v>2902170</v>
      </c>
    </row>
    <row r="112" spans="1:10" ht="15">
      <c r="A112" s="1306"/>
      <c r="B112" s="1307"/>
      <c r="C112" s="1308" t="s">
        <v>4662</v>
      </c>
      <c r="D112" s="1309"/>
      <c r="E112" s="1309"/>
      <c r="F112" s="1310"/>
      <c r="G112" s="1506"/>
      <c r="H112" s="1507"/>
      <c r="I112" s="1507"/>
      <c r="J112" s="1311"/>
    </row>
    <row r="113" spans="1:10" ht="15">
      <c r="A113" s="1312"/>
      <c r="B113" s="1313"/>
      <c r="C113" s="1314"/>
      <c r="D113" s="1315"/>
      <c r="E113" s="1315"/>
      <c r="F113" s="1316"/>
      <c r="G113" s="1317"/>
      <c r="H113" s="1317"/>
      <c r="I113" s="1317"/>
      <c r="J113" s="1318"/>
    </row>
    <row r="114" spans="1:10" ht="12.75">
      <c r="A114" s="1451"/>
      <c r="B114" s="1451"/>
      <c r="C114" s="1451"/>
      <c r="D114" s="1545"/>
      <c r="E114" s="1451"/>
      <c r="F114" s="1451"/>
      <c r="G114" s="1451"/>
      <c r="H114" s="1451"/>
      <c r="I114" s="1451"/>
      <c r="J114" s="1518"/>
    </row>
    <row r="115" spans="1:10" ht="14.25">
      <c r="A115" s="1319"/>
      <c r="B115" s="1268"/>
      <c r="C115" s="1264"/>
      <c r="D115" s="1320"/>
      <c r="E115" s="1320"/>
      <c r="F115" s="1321"/>
      <c r="G115" s="1321"/>
      <c r="H115" s="1321"/>
      <c r="I115" s="1321"/>
      <c r="J115" s="1322"/>
    </row>
    <row r="116" spans="1:10" ht="14.25">
      <c r="A116" s="1319"/>
      <c r="B116" s="1268"/>
      <c r="C116" s="1264"/>
      <c r="D116" s="1320"/>
      <c r="E116" s="1320"/>
      <c r="F116" s="1321"/>
      <c r="G116" s="1321"/>
      <c r="H116" s="1321"/>
      <c r="I116" s="1321"/>
      <c r="J116" s="1322"/>
    </row>
    <row r="117" spans="1:10" ht="14.25">
      <c r="A117" s="1319"/>
      <c r="B117" s="1268"/>
      <c r="C117" s="1264"/>
      <c r="D117" s="1320"/>
      <c r="E117" s="1320"/>
      <c r="F117" s="1321"/>
      <c r="G117" s="1321"/>
      <c r="H117" s="1321"/>
      <c r="I117" s="1321"/>
      <c r="J117" s="1322"/>
    </row>
    <row r="118" spans="1:10" ht="14.25">
      <c r="A118" s="1319"/>
      <c r="B118" s="1268"/>
      <c r="C118" s="1264"/>
      <c r="D118" s="1320"/>
      <c r="E118" s="1320"/>
      <c r="F118" s="1321"/>
      <c r="G118" s="1321"/>
      <c r="H118" s="1321"/>
      <c r="I118" s="1321"/>
      <c r="J118" s="1322"/>
    </row>
    <row r="119" spans="1:10" ht="14.25">
      <c r="A119" s="1319"/>
      <c r="B119" s="1268"/>
      <c r="C119" s="1264"/>
      <c r="D119" s="1320"/>
      <c r="E119" s="1320"/>
      <c r="F119" s="1321"/>
      <c r="G119" s="1321"/>
      <c r="H119" s="1321"/>
      <c r="I119" s="1321"/>
      <c r="J119" s="1322"/>
    </row>
    <row r="120" spans="1:10" ht="14.25">
      <c r="A120" s="1319"/>
      <c r="B120" s="1268"/>
      <c r="C120" s="1264"/>
      <c r="D120" s="1320"/>
      <c r="E120" s="1320"/>
      <c r="F120" s="1321"/>
      <c r="G120" s="1321"/>
      <c r="H120" s="1321"/>
      <c r="I120" s="1321"/>
      <c r="J120" s="1322"/>
    </row>
    <row r="121" spans="1:10" ht="14.25">
      <c r="A121" s="1319"/>
      <c r="B121" s="1268"/>
      <c r="C121" s="1264"/>
      <c r="D121" s="1320"/>
      <c r="E121" s="1320"/>
      <c r="F121" s="1321"/>
      <c r="G121" s="1321"/>
      <c r="H121" s="1321"/>
      <c r="I121" s="1321"/>
      <c r="J121" s="1322"/>
    </row>
    <row r="122" spans="1:10" ht="12.75">
      <c r="A122" s="1451"/>
      <c r="B122" s="1451"/>
      <c r="C122" s="1451"/>
      <c r="D122" s="1545"/>
      <c r="E122" s="1451"/>
      <c r="F122" s="1451"/>
      <c r="G122" s="1451"/>
      <c r="H122" s="1451"/>
      <c r="I122" s="1451"/>
      <c r="J122" s="1518"/>
    </row>
    <row r="123" spans="1:10" ht="14.25">
      <c r="A123" s="1319"/>
      <c r="B123" s="1268"/>
      <c r="C123" s="1264"/>
      <c r="D123" s="1320"/>
      <c r="E123" s="1320"/>
      <c r="F123" s="1320"/>
      <c r="G123" s="1320"/>
      <c r="H123" s="1320"/>
      <c r="I123" s="1320"/>
      <c r="J123" s="1323"/>
    </row>
    <row r="124" spans="1:10" ht="14.25">
      <c r="A124" s="1319"/>
      <c r="B124" s="1268"/>
      <c r="C124" s="1264"/>
      <c r="D124" s="1545"/>
      <c r="E124" s="1451"/>
      <c r="F124" s="1451"/>
      <c r="G124" s="1451"/>
      <c r="H124" s="1451"/>
      <c r="I124" s="1451"/>
      <c r="J124" s="1518"/>
    </row>
    <row r="125" spans="1:10" ht="14.25">
      <c r="A125" s="1319"/>
      <c r="B125" s="1268"/>
      <c r="C125" s="1264"/>
      <c r="D125" s="1320"/>
      <c r="E125" s="1320"/>
      <c r="F125" s="1321"/>
      <c r="G125" s="1320"/>
      <c r="H125" s="1320"/>
      <c r="I125" s="1320"/>
      <c r="J125" s="1323"/>
    </row>
    <row r="126" spans="1:10" ht="14.25">
      <c r="A126" s="1319"/>
      <c r="B126" s="1268"/>
      <c r="C126" s="1264"/>
      <c r="D126" s="1320"/>
      <c r="E126" s="1320"/>
      <c r="F126" s="1321"/>
      <c r="G126" s="1320"/>
      <c r="H126" s="1320"/>
      <c r="I126" s="1320"/>
      <c r="J126" s="1323"/>
    </row>
    <row r="127" spans="1:10" ht="14.25">
      <c r="A127" s="1319"/>
      <c r="B127" s="1268"/>
      <c r="C127" s="1264"/>
      <c r="D127" s="1320"/>
      <c r="E127" s="1320"/>
      <c r="F127" s="1320"/>
      <c r="G127" s="1320"/>
      <c r="H127" s="1320"/>
      <c r="I127" s="1320"/>
      <c r="J127" s="1323"/>
    </row>
    <row r="128" spans="1:10" ht="15">
      <c r="A128" s="1324"/>
      <c r="B128" s="1325"/>
      <c r="C128" s="1326"/>
      <c r="D128" s="1327"/>
      <c r="E128" s="1327"/>
      <c r="F128" s="1327"/>
      <c r="G128" s="1327"/>
      <c r="H128" s="1327"/>
      <c r="I128" s="1327"/>
      <c r="J128" s="1328"/>
    </row>
    <row r="129" spans="1:10" ht="15">
      <c r="A129" s="1329"/>
      <c r="B129" s="1330"/>
      <c r="C129" s="1331"/>
      <c r="D129" s="1332"/>
      <c r="E129" s="1332"/>
      <c r="F129" s="1282"/>
      <c r="G129" s="1282"/>
      <c r="H129" s="1282"/>
      <c r="I129" s="1282"/>
      <c r="J129" s="1333"/>
    </row>
    <row r="130" spans="1:10" ht="15">
      <c r="A130" s="1278"/>
      <c r="B130" s="1325"/>
      <c r="C130" s="1326"/>
      <c r="D130" s="1279"/>
      <c r="E130" s="1279"/>
      <c r="F130" s="1280"/>
      <c r="G130" s="1280"/>
      <c r="H130" s="1280"/>
      <c r="I130" s="1280"/>
      <c r="J130" s="1334"/>
    </row>
    <row r="131" spans="1:10" ht="15">
      <c r="A131" s="1278"/>
      <c r="B131" s="1325"/>
      <c r="C131" s="1326"/>
      <c r="D131" s="1279"/>
      <c r="E131" s="1279"/>
      <c r="F131" s="1280"/>
      <c r="G131" s="1280"/>
      <c r="H131" s="1280"/>
      <c r="I131" s="1280"/>
      <c r="J131" s="1334"/>
    </row>
    <row r="132" spans="1:10" ht="15">
      <c r="A132" s="1278"/>
      <c r="B132" s="1325"/>
      <c r="C132" s="1326"/>
      <c r="D132" s="1279"/>
      <c r="E132" s="1279"/>
      <c r="F132" s="1280"/>
      <c r="G132" s="1280"/>
      <c r="H132" s="1280"/>
      <c r="I132" s="1280"/>
      <c r="J132" s="1334"/>
    </row>
    <row r="133" spans="1:10" ht="15">
      <c r="A133" s="1278"/>
      <c r="B133" s="1325"/>
      <c r="C133" s="1326"/>
      <c r="D133" s="1279"/>
      <c r="E133" s="1279"/>
      <c r="F133" s="1280"/>
      <c r="G133" s="1280"/>
      <c r="H133" s="1280"/>
      <c r="I133" s="1280"/>
      <c r="J133" s="1334"/>
    </row>
    <row r="134" spans="1:10" ht="15">
      <c r="A134" s="1278"/>
      <c r="B134" s="1325"/>
      <c r="C134" s="1326"/>
      <c r="D134" s="1279"/>
      <c r="E134" s="1279"/>
      <c r="F134" s="1280"/>
      <c r="G134" s="1280"/>
      <c r="H134" s="1280"/>
      <c r="I134" s="1280"/>
      <c r="J134" s="1334"/>
    </row>
    <row r="135" spans="1:10" ht="12.75">
      <c r="C135" s="279"/>
    </row>
    <row r="136" spans="1:10" ht="12.75">
      <c r="C136" s="279"/>
    </row>
    <row r="137" spans="1:10" ht="12.75">
      <c r="C137" s="279"/>
    </row>
    <row r="138" spans="1:10" ht="12.75">
      <c r="C138" s="279"/>
    </row>
    <row r="139" spans="1:10" ht="12.75">
      <c r="C139" s="279"/>
    </row>
    <row r="140" spans="1:10" ht="12.75">
      <c r="C140" s="279"/>
    </row>
    <row r="141" spans="1:10" ht="12.75">
      <c r="C141" s="279"/>
    </row>
    <row r="142" spans="1:10" ht="12.75">
      <c r="C142" s="279"/>
    </row>
    <row r="143" spans="1:10" ht="12.75">
      <c r="C143" s="279"/>
    </row>
    <row r="144" spans="1:10" ht="12.75">
      <c r="C144" s="279"/>
    </row>
    <row r="145" spans="3:3" ht="12.75">
      <c r="C145" s="279"/>
    </row>
    <row r="146" spans="3:3" ht="12.75">
      <c r="C146" s="279"/>
    </row>
    <row r="147" spans="3:3" ht="12.75">
      <c r="C147" s="279"/>
    </row>
    <row r="148" spans="3:3" ht="12.75">
      <c r="C148" s="279"/>
    </row>
    <row r="149" spans="3:3" ht="12.75">
      <c r="C149" s="279"/>
    </row>
    <row r="150" spans="3:3" ht="12.75">
      <c r="C150" s="279"/>
    </row>
    <row r="151" spans="3:3" ht="12.75">
      <c r="C151" s="279"/>
    </row>
    <row r="152" spans="3:3" ht="12.75">
      <c r="C152" s="279"/>
    </row>
    <row r="153" spans="3:3" ht="12.75">
      <c r="C153" s="279"/>
    </row>
    <row r="154" spans="3:3" ht="12.75">
      <c r="C154" s="279"/>
    </row>
    <row r="155" spans="3:3" ht="12.75">
      <c r="C155" s="279"/>
    </row>
    <row r="156" spans="3:3" ht="12.75">
      <c r="C156" s="279"/>
    </row>
    <row r="157" spans="3:3" ht="12.75">
      <c r="C157" s="279"/>
    </row>
    <row r="158" spans="3:3" ht="12.75">
      <c r="C158" s="279"/>
    </row>
    <row r="159" spans="3:3" ht="12.75">
      <c r="C159" s="279"/>
    </row>
    <row r="160" spans="3:3" ht="12.75">
      <c r="C160" s="279"/>
    </row>
    <row r="161" spans="3:3" ht="12.75">
      <c r="C161" s="279"/>
    </row>
    <row r="162" spans="3:3" ht="12.75">
      <c r="C162" s="279"/>
    </row>
    <row r="163" spans="3:3" ht="12.75">
      <c r="C163" s="279"/>
    </row>
    <row r="164" spans="3:3" ht="12.75">
      <c r="C164" s="279"/>
    </row>
    <row r="165" spans="3:3" ht="12.75">
      <c r="C165" s="279"/>
    </row>
    <row r="166" spans="3:3" ht="12.75">
      <c r="C166" s="279"/>
    </row>
    <row r="167" spans="3:3" ht="12.75">
      <c r="C167" s="279"/>
    </row>
    <row r="168" spans="3:3" ht="12.75">
      <c r="C168" s="279"/>
    </row>
    <row r="169" spans="3:3" ht="12.75">
      <c r="C169" s="279"/>
    </row>
    <row r="170" spans="3:3" ht="12.75">
      <c r="C170" s="279"/>
    </row>
    <row r="171" spans="3:3" ht="12.75">
      <c r="C171" s="279"/>
    </row>
    <row r="172" spans="3:3" ht="12.75">
      <c r="C172" s="279"/>
    </row>
    <row r="173" spans="3:3" ht="12.75">
      <c r="C173" s="279"/>
    </row>
    <row r="174" spans="3:3" ht="12.75">
      <c r="C174" s="279"/>
    </row>
    <row r="175" spans="3:3" ht="12.75">
      <c r="C175" s="279"/>
    </row>
    <row r="176" spans="3:3" ht="12.75">
      <c r="C176" s="279"/>
    </row>
    <row r="177" spans="3:3" ht="12.75">
      <c r="C177" s="279"/>
    </row>
    <row r="178" spans="3:3" ht="12.75">
      <c r="C178" s="279"/>
    </row>
    <row r="179" spans="3:3" ht="12.75">
      <c r="C179" s="279"/>
    </row>
    <row r="180" spans="3:3" ht="12.75">
      <c r="C180" s="279"/>
    </row>
    <row r="181" spans="3:3" ht="12.75">
      <c r="C181" s="279"/>
    </row>
    <row r="182" spans="3:3" ht="12.75">
      <c r="C182" s="279"/>
    </row>
    <row r="183" spans="3:3" ht="12.75">
      <c r="C183" s="279"/>
    </row>
    <row r="184" spans="3:3" ht="12.75">
      <c r="C184" s="279"/>
    </row>
    <row r="185" spans="3:3" ht="12.75">
      <c r="C185" s="279"/>
    </row>
    <row r="186" spans="3:3" ht="12.75">
      <c r="C186" s="279"/>
    </row>
    <row r="187" spans="3:3" ht="12.75">
      <c r="C187" s="279"/>
    </row>
    <row r="188" spans="3:3" ht="12.75">
      <c r="C188" s="279"/>
    </row>
    <row r="189" spans="3:3" ht="12.75">
      <c r="C189" s="279"/>
    </row>
    <row r="190" spans="3:3" ht="12.75">
      <c r="C190" s="279"/>
    </row>
    <row r="191" spans="3:3" ht="12.75">
      <c r="C191" s="279"/>
    </row>
    <row r="192" spans="3:3" ht="12.75">
      <c r="C192" s="279"/>
    </row>
    <row r="193" spans="3:3" ht="12.75">
      <c r="C193" s="279"/>
    </row>
    <row r="194" spans="3:3" ht="12.75">
      <c r="C194" s="279"/>
    </row>
    <row r="195" spans="3:3" ht="12.75">
      <c r="C195" s="279"/>
    </row>
    <row r="196" spans="3:3" ht="12.75">
      <c r="C196" s="279"/>
    </row>
    <row r="197" spans="3:3" ht="12.75">
      <c r="C197" s="279"/>
    </row>
    <row r="198" spans="3:3" ht="12.75">
      <c r="C198" s="279"/>
    </row>
    <row r="199" spans="3:3" ht="12.75">
      <c r="C199" s="279"/>
    </row>
    <row r="200" spans="3:3" ht="12.75">
      <c r="C200" s="279"/>
    </row>
    <row r="201" spans="3:3" ht="12.75">
      <c r="C201" s="279"/>
    </row>
    <row r="202" spans="3:3" ht="12.75">
      <c r="C202" s="279"/>
    </row>
    <row r="203" spans="3:3" ht="12.75">
      <c r="C203" s="279"/>
    </row>
    <row r="204" spans="3:3" ht="12.75">
      <c r="C204" s="279"/>
    </row>
    <row r="205" spans="3:3" ht="12.75">
      <c r="C205" s="279"/>
    </row>
    <row r="206" spans="3:3" ht="12.75">
      <c r="C206" s="279"/>
    </row>
    <row r="207" spans="3:3" ht="12.75">
      <c r="C207" s="279"/>
    </row>
    <row r="208" spans="3:3" ht="12.75">
      <c r="C208" s="279"/>
    </row>
    <row r="209" spans="3:3" ht="12.75">
      <c r="C209" s="279"/>
    </row>
    <row r="210" spans="3:3" ht="12.75">
      <c r="C210" s="279"/>
    </row>
    <row r="211" spans="3:3" ht="12.75">
      <c r="C211" s="279"/>
    </row>
    <row r="212" spans="3:3" ht="12.75">
      <c r="C212" s="279"/>
    </row>
    <row r="213" spans="3:3" ht="12.75">
      <c r="C213" s="279"/>
    </row>
    <row r="214" spans="3:3" ht="12.75">
      <c r="C214" s="279"/>
    </row>
    <row r="215" spans="3:3" ht="12.75">
      <c r="C215" s="279"/>
    </row>
    <row r="216" spans="3:3" ht="12.75">
      <c r="C216" s="279"/>
    </row>
    <row r="217" spans="3:3" ht="12.75">
      <c r="C217" s="279"/>
    </row>
    <row r="218" spans="3:3" ht="12.75">
      <c r="C218" s="279"/>
    </row>
    <row r="219" spans="3:3" ht="12.75">
      <c r="C219" s="279"/>
    </row>
    <row r="220" spans="3:3" ht="12.75">
      <c r="C220" s="279"/>
    </row>
    <row r="221" spans="3:3" ht="12.75">
      <c r="C221" s="279"/>
    </row>
    <row r="222" spans="3:3" ht="12.75">
      <c r="C222" s="279"/>
    </row>
    <row r="223" spans="3:3" ht="12.75">
      <c r="C223" s="279"/>
    </row>
    <row r="224" spans="3:3" ht="12.75">
      <c r="C224" s="279"/>
    </row>
    <row r="225" spans="3:3" ht="12.75">
      <c r="C225" s="279"/>
    </row>
    <row r="226" spans="3:3" ht="12.75">
      <c r="C226" s="279"/>
    </row>
    <row r="227" spans="3:3" ht="12.75">
      <c r="C227" s="279"/>
    </row>
    <row r="228" spans="3:3" ht="12.75">
      <c r="C228" s="279"/>
    </row>
    <row r="229" spans="3:3" ht="12.75">
      <c r="C229" s="279"/>
    </row>
    <row r="230" spans="3:3" ht="12.75">
      <c r="C230" s="279"/>
    </row>
    <row r="231" spans="3:3" ht="12.75">
      <c r="C231" s="279"/>
    </row>
    <row r="232" spans="3:3" ht="12.75">
      <c r="C232" s="279"/>
    </row>
    <row r="233" spans="3:3" ht="12.75">
      <c r="C233" s="279"/>
    </row>
    <row r="234" spans="3:3" ht="12.75">
      <c r="C234" s="279"/>
    </row>
    <row r="235" spans="3:3" ht="12.75">
      <c r="C235" s="279"/>
    </row>
    <row r="236" spans="3:3" ht="12.75">
      <c r="C236" s="279"/>
    </row>
    <row r="237" spans="3:3" ht="12.75">
      <c r="C237" s="279"/>
    </row>
    <row r="238" spans="3:3" ht="12.75">
      <c r="C238" s="279"/>
    </row>
    <row r="239" spans="3:3" ht="12.75">
      <c r="C239" s="279"/>
    </row>
    <row r="240" spans="3:3" ht="12.75">
      <c r="C240" s="279"/>
    </row>
    <row r="241" spans="3:3" ht="12.75">
      <c r="C241" s="279"/>
    </row>
    <row r="242" spans="3:3" ht="12.75">
      <c r="C242" s="279"/>
    </row>
    <row r="243" spans="3:3" ht="12.75">
      <c r="C243" s="279"/>
    </row>
    <row r="244" spans="3:3" ht="12.75">
      <c r="C244" s="279"/>
    </row>
    <row r="245" spans="3:3" ht="12.75">
      <c r="C245" s="279"/>
    </row>
    <row r="246" spans="3:3" ht="12.75">
      <c r="C246" s="279"/>
    </row>
    <row r="247" spans="3:3" ht="12.75">
      <c r="C247" s="279"/>
    </row>
    <row r="248" spans="3:3" ht="12.75">
      <c r="C248" s="279"/>
    </row>
    <row r="249" spans="3:3" ht="12.75">
      <c r="C249" s="279"/>
    </row>
    <row r="250" spans="3:3" ht="12.75">
      <c r="C250" s="279"/>
    </row>
    <row r="251" spans="3:3" ht="12.75">
      <c r="C251" s="279"/>
    </row>
    <row r="252" spans="3:3" ht="12.75">
      <c r="C252" s="279"/>
    </row>
    <row r="253" spans="3:3" ht="12.75">
      <c r="C253" s="279"/>
    </row>
    <row r="254" spans="3:3" ht="12.75">
      <c r="C254" s="279"/>
    </row>
    <row r="255" spans="3:3" ht="12.75">
      <c r="C255" s="279"/>
    </row>
    <row r="256" spans="3:3" ht="12.75">
      <c r="C256" s="279"/>
    </row>
    <row r="257" spans="3:3" ht="12.75">
      <c r="C257" s="279"/>
    </row>
    <row r="258" spans="3:3" ht="12.75">
      <c r="C258" s="279"/>
    </row>
    <row r="259" spans="3:3" ht="12.75">
      <c r="C259" s="279"/>
    </row>
    <row r="260" spans="3:3" ht="12.75">
      <c r="C260" s="279"/>
    </row>
    <row r="261" spans="3:3" ht="12.75">
      <c r="C261" s="279"/>
    </row>
    <row r="262" spans="3:3" ht="12.75">
      <c r="C262" s="279"/>
    </row>
    <row r="263" spans="3:3" ht="12.75">
      <c r="C263" s="279"/>
    </row>
    <row r="264" spans="3:3" ht="12.75">
      <c r="C264" s="279"/>
    </row>
    <row r="265" spans="3:3" ht="12.75">
      <c r="C265" s="279"/>
    </row>
    <row r="266" spans="3:3" ht="12.75">
      <c r="C266" s="279"/>
    </row>
    <row r="267" spans="3:3" ht="12.75">
      <c r="C267" s="279"/>
    </row>
    <row r="268" spans="3:3" ht="12.75">
      <c r="C268" s="279"/>
    </row>
    <row r="269" spans="3:3" ht="12.75">
      <c r="C269" s="279"/>
    </row>
    <row r="270" spans="3:3" ht="12.75">
      <c r="C270" s="279"/>
    </row>
    <row r="271" spans="3:3" ht="12.75">
      <c r="C271" s="279"/>
    </row>
    <row r="272" spans="3:3" ht="12.75">
      <c r="C272" s="279"/>
    </row>
    <row r="273" spans="3:3" ht="12.75">
      <c r="C273" s="279"/>
    </row>
    <row r="274" spans="3:3" ht="12.75">
      <c r="C274" s="279"/>
    </row>
    <row r="275" spans="3:3" ht="12.75">
      <c r="C275" s="279"/>
    </row>
    <row r="276" spans="3:3" ht="12.75">
      <c r="C276" s="279"/>
    </row>
    <row r="277" spans="3:3" ht="12.75">
      <c r="C277" s="279"/>
    </row>
    <row r="278" spans="3:3" ht="12.75">
      <c r="C278" s="279"/>
    </row>
    <row r="279" spans="3:3" ht="12.75">
      <c r="C279" s="279"/>
    </row>
    <row r="280" spans="3:3" ht="12.75">
      <c r="C280" s="279"/>
    </row>
    <row r="281" spans="3:3" ht="12.75">
      <c r="C281" s="279"/>
    </row>
    <row r="282" spans="3:3" ht="12.75">
      <c r="C282" s="279"/>
    </row>
    <row r="283" spans="3:3" ht="12.75">
      <c r="C283" s="279"/>
    </row>
    <row r="284" spans="3:3" ht="12.75">
      <c r="C284" s="279"/>
    </row>
    <row r="285" spans="3:3" ht="12.75">
      <c r="C285" s="279"/>
    </row>
    <row r="286" spans="3:3" ht="12.75">
      <c r="C286" s="279"/>
    </row>
    <row r="287" spans="3:3" ht="12.75">
      <c r="C287" s="279"/>
    </row>
    <row r="288" spans="3:3" ht="12.75">
      <c r="C288" s="279"/>
    </row>
    <row r="289" spans="3:3" ht="12.75">
      <c r="C289" s="279"/>
    </row>
    <row r="290" spans="3:3" ht="12.75">
      <c r="C290" s="279"/>
    </row>
    <row r="291" spans="3:3" ht="12.75">
      <c r="C291" s="279"/>
    </row>
    <row r="292" spans="3:3" ht="12.75">
      <c r="C292" s="279"/>
    </row>
    <row r="293" spans="3:3" ht="12.75">
      <c r="C293" s="279"/>
    </row>
    <row r="294" spans="3:3" ht="12.75">
      <c r="C294" s="279"/>
    </row>
    <row r="295" spans="3:3" ht="12.75">
      <c r="C295" s="279"/>
    </row>
    <row r="296" spans="3:3" ht="12.75">
      <c r="C296" s="279"/>
    </row>
    <row r="297" spans="3:3" ht="12.75">
      <c r="C297" s="279"/>
    </row>
    <row r="298" spans="3:3" ht="12.75">
      <c r="C298" s="279"/>
    </row>
    <row r="299" spans="3:3" ht="12.75">
      <c r="C299" s="279"/>
    </row>
    <row r="300" spans="3:3" ht="12.75">
      <c r="C300" s="279"/>
    </row>
    <row r="301" spans="3:3" ht="12.75">
      <c r="C301" s="279"/>
    </row>
    <row r="302" spans="3:3" ht="12.75">
      <c r="C302" s="279"/>
    </row>
    <row r="303" spans="3:3" ht="12.75">
      <c r="C303" s="279"/>
    </row>
    <row r="304" spans="3:3" ht="12.75">
      <c r="C304" s="279"/>
    </row>
    <row r="305" spans="3:3" ht="12.75">
      <c r="C305" s="279"/>
    </row>
    <row r="306" spans="3:3" ht="12.75">
      <c r="C306" s="279"/>
    </row>
    <row r="307" spans="3:3" ht="12.75">
      <c r="C307" s="279"/>
    </row>
    <row r="308" spans="3:3" ht="12.75">
      <c r="C308" s="279"/>
    </row>
    <row r="309" spans="3:3" ht="12.75">
      <c r="C309" s="279"/>
    </row>
    <row r="310" spans="3:3" ht="12.75">
      <c r="C310" s="279"/>
    </row>
    <row r="311" spans="3:3" ht="12.75">
      <c r="C311" s="279"/>
    </row>
    <row r="312" spans="3:3" ht="12.75">
      <c r="C312" s="279"/>
    </row>
    <row r="313" spans="3:3" ht="12.75">
      <c r="C313" s="279"/>
    </row>
    <row r="314" spans="3:3" ht="12.75">
      <c r="C314" s="279"/>
    </row>
    <row r="315" spans="3:3" ht="12.75">
      <c r="C315" s="279"/>
    </row>
    <row r="316" spans="3:3" ht="12.75">
      <c r="C316" s="279"/>
    </row>
    <row r="317" spans="3:3" ht="12.75">
      <c r="C317" s="279"/>
    </row>
    <row r="318" spans="3:3" ht="12.75">
      <c r="C318" s="279"/>
    </row>
    <row r="319" spans="3:3" ht="12.75">
      <c r="C319" s="279"/>
    </row>
    <row r="320" spans="3:3" ht="12.75">
      <c r="C320" s="279"/>
    </row>
    <row r="321" spans="3:3" ht="12.75">
      <c r="C321" s="279"/>
    </row>
    <row r="322" spans="3:3" ht="12.75">
      <c r="C322" s="279"/>
    </row>
    <row r="323" spans="3:3" ht="12.75">
      <c r="C323" s="279"/>
    </row>
    <row r="324" spans="3:3" ht="12.75">
      <c r="C324" s="279"/>
    </row>
    <row r="325" spans="3:3" ht="12.75">
      <c r="C325" s="279"/>
    </row>
    <row r="326" spans="3:3" ht="12.75">
      <c r="C326" s="279"/>
    </row>
    <row r="327" spans="3:3" ht="12.75">
      <c r="C327" s="279"/>
    </row>
    <row r="328" spans="3:3" ht="12.75">
      <c r="C328" s="279"/>
    </row>
    <row r="329" spans="3:3" ht="12.75">
      <c r="C329" s="279"/>
    </row>
    <row r="330" spans="3:3" ht="12.75">
      <c r="C330" s="279"/>
    </row>
    <row r="331" spans="3:3" ht="12.75">
      <c r="C331" s="279"/>
    </row>
    <row r="332" spans="3:3" ht="12.75">
      <c r="C332" s="279"/>
    </row>
    <row r="333" spans="3:3" ht="12.75">
      <c r="C333" s="279"/>
    </row>
    <row r="334" spans="3:3" ht="12.75">
      <c r="C334" s="279"/>
    </row>
    <row r="335" spans="3:3" ht="12.75">
      <c r="C335" s="279"/>
    </row>
    <row r="336" spans="3:3" ht="12.75">
      <c r="C336" s="279"/>
    </row>
    <row r="337" spans="3:3" ht="12.75">
      <c r="C337" s="279"/>
    </row>
    <row r="338" spans="3:3" ht="12.75">
      <c r="C338" s="279"/>
    </row>
    <row r="339" spans="3:3" ht="12.75">
      <c r="C339" s="279"/>
    </row>
    <row r="340" spans="3:3" ht="12.75">
      <c r="C340" s="279"/>
    </row>
    <row r="341" spans="3:3" ht="12.75">
      <c r="C341" s="279"/>
    </row>
    <row r="342" spans="3:3" ht="12.75">
      <c r="C342" s="279"/>
    </row>
    <row r="343" spans="3:3" ht="12.75">
      <c r="C343" s="279"/>
    </row>
    <row r="344" spans="3:3" ht="12.75">
      <c r="C344" s="279"/>
    </row>
    <row r="345" spans="3:3" ht="12.75">
      <c r="C345" s="279"/>
    </row>
    <row r="346" spans="3:3" ht="12.75">
      <c r="C346" s="279"/>
    </row>
    <row r="347" spans="3:3" ht="12.75">
      <c r="C347" s="279"/>
    </row>
    <row r="348" spans="3:3" ht="12.75">
      <c r="C348" s="279"/>
    </row>
    <row r="349" spans="3:3" ht="12.75">
      <c r="C349" s="279"/>
    </row>
    <row r="350" spans="3:3" ht="12.75">
      <c r="C350" s="279"/>
    </row>
    <row r="351" spans="3:3" ht="12.75">
      <c r="C351" s="279"/>
    </row>
    <row r="352" spans="3:3" ht="12.75">
      <c r="C352" s="279"/>
    </row>
    <row r="353" spans="3:3" ht="12.75">
      <c r="C353" s="279"/>
    </row>
    <row r="354" spans="3:3" ht="12.75">
      <c r="C354" s="279"/>
    </row>
    <row r="355" spans="3:3" ht="12.75">
      <c r="C355" s="279"/>
    </row>
    <row r="356" spans="3:3" ht="12.75">
      <c r="C356" s="279"/>
    </row>
    <row r="357" spans="3:3" ht="12.75">
      <c r="C357" s="279"/>
    </row>
    <row r="358" spans="3:3" ht="12.75">
      <c r="C358" s="279"/>
    </row>
    <row r="359" spans="3:3" ht="12.75">
      <c r="C359" s="279"/>
    </row>
    <row r="360" spans="3:3" ht="12.75">
      <c r="C360" s="279"/>
    </row>
    <row r="361" spans="3:3" ht="12.75">
      <c r="C361" s="279"/>
    </row>
    <row r="362" spans="3:3" ht="12.75">
      <c r="C362" s="279"/>
    </row>
    <row r="363" spans="3:3" ht="12.75">
      <c r="C363" s="279"/>
    </row>
    <row r="364" spans="3:3" ht="12.75">
      <c r="C364" s="279"/>
    </row>
    <row r="365" spans="3:3" ht="12.75">
      <c r="C365" s="279"/>
    </row>
    <row r="366" spans="3:3" ht="12.75">
      <c r="C366" s="279"/>
    </row>
    <row r="367" spans="3:3" ht="12.75">
      <c r="C367" s="279"/>
    </row>
    <row r="368" spans="3:3" ht="12.75">
      <c r="C368" s="279"/>
    </row>
    <row r="369" spans="3:3" ht="12.75">
      <c r="C369" s="279"/>
    </row>
    <row r="370" spans="3:3" ht="12.75">
      <c r="C370" s="279"/>
    </row>
    <row r="371" spans="3:3" ht="12.75">
      <c r="C371" s="279"/>
    </row>
    <row r="372" spans="3:3" ht="12.75">
      <c r="C372" s="279"/>
    </row>
    <row r="373" spans="3:3" ht="12.75">
      <c r="C373" s="279"/>
    </row>
    <row r="374" spans="3:3" ht="12.75">
      <c r="C374" s="279"/>
    </row>
    <row r="375" spans="3:3" ht="12.75">
      <c r="C375" s="279"/>
    </row>
    <row r="376" spans="3:3" ht="12.75">
      <c r="C376" s="279"/>
    </row>
    <row r="377" spans="3:3" ht="12.75">
      <c r="C377" s="279"/>
    </row>
    <row r="378" spans="3:3" ht="12.75">
      <c r="C378" s="279"/>
    </row>
    <row r="379" spans="3:3" ht="12.75">
      <c r="C379" s="279"/>
    </row>
    <row r="380" spans="3:3" ht="12.75">
      <c r="C380" s="279"/>
    </row>
    <row r="381" spans="3:3" ht="12.75">
      <c r="C381" s="279"/>
    </row>
    <row r="382" spans="3:3" ht="12.75">
      <c r="C382" s="279"/>
    </row>
    <row r="383" spans="3:3" ht="12.75">
      <c r="C383" s="279"/>
    </row>
    <row r="384" spans="3:3" ht="12.75">
      <c r="C384" s="279"/>
    </row>
    <row r="385" spans="3:3" ht="12.75">
      <c r="C385" s="279"/>
    </row>
    <row r="386" spans="3:3" ht="12.75">
      <c r="C386" s="279"/>
    </row>
    <row r="387" spans="3:3" ht="12.75">
      <c r="C387" s="279"/>
    </row>
    <row r="388" spans="3:3" ht="12.75">
      <c r="C388" s="279"/>
    </row>
    <row r="389" spans="3:3" ht="12.75">
      <c r="C389" s="279"/>
    </row>
    <row r="390" spans="3:3" ht="12.75">
      <c r="C390" s="279"/>
    </row>
    <row r="391" spans="3:3" ht="12.75">
      <c r="C391" s="279"/>
    </row>
    <row r="392" spans="3:3" ht="12.75">
      <c r="C392" s="279"/>
    </row>
    <row r="393" spans="3:3" ht="12.75">
      <c r="C393" s="279"/>
    </row>
    <row r="394" spans="3:3" ht="12.75">
      <c r="C394" s="279"/>
    </row>
    <row r="395" spans="3:3" ht="12.75">
      <c r="C395" s="279"/>
    </row>
    <row r="396" spans="3:3" ht="12.75">
      <c r="C396" s="279"/>
    </row>
    <row r="397" spans="3:3" ht="12.75">
      <c r="C397" s="279"/>
    </row>
    <row r="398" spans="3:3" ht="12.75">
      <c r="C398" s="279"/>
    </row>
    <row r="399" spans="3:3" ht="12.75">
      <c r="C399" s="279"/>
    </row>
    <row r="400" spans="3:3" ht="12.75">
      <c r="C400" s="279"/>
    </row>
    <row r="401" spans="3:3" ht="12.75">
      <c r="C401" s="279"/>
    </row>
    <row r="402" spans="3:3" ht="12.75">
      <c r="C402" s="279"/>
    </row>
    <row r="403" spans="3:3" ht="12.75">
      <c r="C403" s="279"/>
    </row>
    <row r="404" spans="3:3" ht="12.75">
      <c r="C404" s="279"/>
    </row>
    <row r="405" spans="3:3" ht="12.75">
      <c r="C405" s="279"/>
    </row>
    <row r="406" spans="3:3" ht="12.75">
      <c r="C406" s="279"/>
    </row>
    <row r="407" spans="3:3" ht="12.75">
      <c r="C407" s="279"/>
    </row>
    <row r="408" spans="3:3" ht="12.75">
      <c r="C408" s="279"/>
    </row>
    <row r="409" spans="3:3" ht="12.75">
      <c r="C409" s="279"/>
    </row>
    <row r="410" spans="3:3" ht="12.75">
      <c r="C410" s="279"/>
    </row>
    <row r="411" spans="3:3" ht="12.75">
      <c r="C411" s="279"/>
    </row>
    <row r="412" spans="3:3" ht="12.75">
      <c r="C412" s="279"/>
    </row>
    <row r="413" spans="3:3" ht="12.75">
      <c r="C413" s="279"/>
    </row>
    <row r="414" spans="3:3" ht="12.75">
      <c r="C414" s="279"/>
    </row>
    <row r="415" spans="3:3" ht="12.75">
      <c r="C415" s="279"/>
    </row>
    <row r="416" spans="3:3" ht="12.75">
      <c r="C416" s="279"/>
    </row>
    <row r="417" spans="3:3" ht="12.75">
      <c r="C417" s="279"/>
    </row>
    <row r="418" spans="3:3" ht="12.75">
      <c r="C418" s="279"/>
    </row>
    <row r="419" spans="3:3" ht="12.75">
      <c r="C419" s="279"/>
    </row>
    <row r="420" spans="3:3" ht="12.75">
      <c r="C420" s="279"/>
    </row>
    <row r="421" spans="3:3" ht="12.75">
      <c r="C421" s="279"/>
    </row>
    <row r="422" spans="3:3" ht="12.75">
      <c r="C422" s="279"/>
    </row>
    <row r="423" spans="3:3" ht="12.75">
      <c r="C423" s="279"/>
    </row>
    <row r="424" spans="3:3" ht="12.75">
      <c r="C424" s="279"/>
    </row>
    <row r="425" spans="3:3" ht="12.75">
      <c r="C425" s="279"/>
    </row>
    <row r="426" spans="3:3" ht="12.75">
      <c r="C426" s="279"/>
    </row>
    <row r="427" spans="3:3" ht="12.75">
      <c r="C427" s="279"/>
    </row>
    <row r="428" spans="3:3" ht="12.75">
      <c r="C428" s="279"/>
    </row>
    <row r="429" spans="3:3" ht="12.75">
      <c r="C429" s="279"/>
    </row>
    <row r="430" spans="3:3" ht="12.75">
      <c r="C430" s="279"/>
    </row>
    <row r="431" spans="3:3" ht="12.75">
      <c r="C431" s="279"/>
    </row>
    <row r="432" spans="3:3" ht="12.75">
      <c r="C432" s="279"/>
    </row>
    <row r="433" spans="3:3" ht="12.75">
      <c r="C433" s="279"/>
    </row>
    <row r="434" spans="3:3" ht="12.75">
      <c r="C434" s="279"/>
    </row>
    <row r="435" spans="3:3" ht="12.75">
      <c r="C435" s="279"/>
    </row>
    <row r="436" spans="3:3" ht="12.75">
      <c r="C436" s="279"/>
    </row>
    <row r="437" spans="3:3" ht="12.75">
      <c r="C437" s="279"/>
    </row>
    <row r="438" spans="3:3" ht="12.75">
      <c r="C438" s="279"/>
    </row>
    <row r="439" spans="3:3" ht="12.75">
      <c r="C439" s="279"/>
    </row>
    <row r="440" spans="3:3" ht="12.75">
      <c r="C440" s="279"/>
    </row>
    <row r="441" spans="3:3" ht="12.75">
      <c r="C441" s="279"/>
    </row>
    <row r="442" spans="3:3" ht="12.75">
      <c r="C442" s="279"/>
    </row>
    <row r="443" spans="3:3" ht="12.75">
      <c r="C443" s="279"/>
    </row>
    <row r="444" spans="3:3" ht="12.75">
      <c r="C444" s="279"/>
    </row>
    <row r="445" spans="3:3" ht="12.75">
      <c r="C445" s="279"/>
    </row>
    <row r="446" spans="3:3" ht="12.75">
      <c r="C446" s="279"/>
    </row>
    <row r="447" spans="3:3" ht="12.75">
      <c r="C447" s="279"/>
    </row>
    <row r="448" spans="3:3" ht="12.75">
      <c r="C448" s="279"/>
    </row>
    <row r="449" spans="3:3" ht="12.75">
      <c r="C449" s="279"/>
    </row>
    <row r="450" spans="3:3" ht="12.75">
      <c r="C450" s="279"/>
    </row>
    <row r="451" spans="3:3" ht="12.75">
      <c r="C451" s="279"/>
    </row>
    <row r="452" spans="3:3" ht="12.75">
      <c r="C452" s="279"/>
    </row>
    <row r="453" spans="3:3" ht="12.75">
      <c r="C453" s="279"/>
    </row>
    <row r="454" spans="3:3" ht="12.75">
      <c r="C454" s="279"/>
    </row>
    <row r="455" spans="3:3" ht="12.75">
      <c r="C455" s="279"/>
    </row>
    <row r="456" spans="3:3" ht="12.75">
      <c r="C456" s="279"/>
    </row>
    <row r="457" spans="3:3" ht="12.75">
      <c r="C457" s="279"/>
    </row>
    <row r="458" spans="3:3" ht="12.75">
      <c r="C458" s="279"/>
    </row>
    <row r="459" spans="3:3" ht="12.75">
      <c r="C459" s="279"/>
    </row>
    <row r="460" spans="3:3" ht="12.75">
      <c r="C460" s="279"/>
    </row>
    <row r="461" spans="3:3" ht="12.75">
      <c r="C461" s="279"/>
    </row>
    <row r="462" spans="3:3" ht="12.75">
      <c r="C462" s="279"/>
    </row>
    <row r="463" spans="3:3" ht="12.75">
      <c r="C463" s="279"/>
    </row>
    <row r="464" spans="3:3" ht="12.75">
      <c r="C464" s="279"/>
    </row>
    <row r="465" spans="3:3" ht="12.75">
      <c r="C465" s="279"/>
    </row>
    <row r="466" spans="3:3" ht="12.75">
      <c r="C466" s="279"/>
    </row>
    <row r="467" spans="3:3" ht="12.75">
      <c r="C467" s="279"/>
    </row>
    <row r="468" spans="3:3" ht="12.75">
      <c r="C468" s="279"/>
    </row>
    <row r="469" spans="3:3" ht="12.75">
      <c r="C469" s="279"/>
    </row>
    <row r="470" spans="3:3" ht="12.75">
      <c r="C470" s="279"/>
    </row>
    <row r="471" spans="3:3" ht="12.75">
      <c r="C471" s="279"/>
    </row>
    <row r="472" spans="3:3" ht="12.75">
      <c r="C472" s="279"/>
    </row>
    <row r="473" spans="3:3" ht="12.75">
      <c r="C473" s="279"/>
    </row>
    <row r="474" spans="3:3" ht="12.75">
      <c r="C474" s="279"/>
    </row>
    <row r="475" spans="3:3" ht="12.75">
      <c r="C475" s="279"/>
    </row>
    <row r="476" spans="3:3" ht="12.75">
      <c r="C476" s="279"/>
    </row>
    <row r="477" spans="3:3" ht="12.75">
      <c r="C477" s="279"/>
    </row>
    <row r="478" spans="3:3" ht="12.75">
      <c r="C478" s="279"/>
    </row>
    <row r="479" spans="3:3" ht="12.75">
      <c r="C479" s="279"/>
    </row>
    <row r="480" spans="3:3" ht="12.75">
      <c r="C480" s="279"/>
    </row>
    <row r="481" spans="3:3" ht="12.75">
      <c r="C481" s="279"/>
    </row>
    <row r="482" spans="3:3" ht="12.75">
      <c r="C482" s="279"/>
    </row>
    <row r="483" spans="3:3" ht="12.75">
      <c r="C483" s="279"/>
    </row>
    <row r="484" spans="3:3" ht="12.75">
      <c r="C484" s="279"/>
    </row>
    <row r="485" spans="3:3" ht="12.75">
      <c r="C485" s="279"/>
    </row>
    <row r="486" spans="3:3" ht="12.75">
      <c r="C486" s="279"/>
    </row>
    <row r="487" spans="3:3" ht="12.75">
      <c r="C487" s="279"/>
    </row>
    <row r="488" spans="3:3" ht="12.75">
      <c r="C488" s="279"/>
    </row>
    <row r="489" spans="3:3" ht="12.75">
      <c r="C489" s="279"/>
    </row>
    <row r="490" spans="3:3" ht="12.75">
      <c r="C490" s="279"/>
    </row>
    <row r="491" spans="3:3" ht="12.75">
      <c r="C491" s="279"/>
    </row>
    <row r="492" spans="3:3" ht="12.75">
      <c r="C492" s="279"/>
    </row>
    <row r="493" spans="3:3" ht="12.75">
      <c r="C493" s="279"/>
    </row>
    <row r="494" spans="3:3" ht="12.75">
      <c r="C494" s="279"/>
    </row>
    <row r="495" spans="3:3" ht="12.75">
      <c r="C495" s="279"/>
    </row>
    <row r="496" spans="3:3" ht="12.75">
      <c r="C496" s="279"/>
    </row>
    <row r="497" spans="3:3" ht="12.75">
      <c r="C497" s="279"/>
    </row>
    <row r="498" spans="3:3" ht="12.75">
      <c r="C498" s="279"/>
    </row>
    <row r="499" spans="3:3" ht="12.75">
      <c r="C499" s="279"/>
    </row>
    <row r="500" spans="3:3" ht="12.75">
      <c r="C500" s="279"/>
    </row>
    <row r="501" spans="3:3" ht="12.75">
      <c r="C501" s="279"/>
    </row>
    <row r="502" spans="3:3" ht="12.75">
      <c r="C502" s="279"/>
    </row>
    <row r="503" spans="3:3" ht="12.75">
      <c r="C503" s="279"/>
    </row>
    <row r="504" spans="3:3" ht="12.75">
      <c r="C504" s="279"/>
    </row>
    <row r="505" spans="3:3" ht="12.75">
      <c r="C505" s="279"/>
    </row>
    <row r="506" spans="3:3" ht="12.75">
      <c r="C506" s="279"/>
    </row>
    <row r="507" spans="3:3" ht="12.75">
      <c r="C507" s="279"/>
    </row>
    <row r="508" spans="3:3" ht="12.75">
      <c r="C508" s="279"/>
    </row>
    <row r="509" spans="3:3" ht="12.75">
      <c r="C509" s="279"/>
    </row>
    <row r="510" spans="3:3" ht="12.75">
      <c r="C510" s="279"/>
    </row>
    <row r="511" spans="3:3" ht="12.75">
      <c r="C511" s="279"/>
    </row>
    <row r="512" spans="3:3" ht="12.75">
      <c r="C512" s="279"/>
    </row>
    <row r="513" spans="3:3" ht="12.75">
      <c r="C513" s="279"/>
    </row>
    <row r="514" spans="3:3" ht="12.75">
      <c r="C514" s="279"/>
    </row>
    <row r="515" spans="3:3" ht="12.75">
      <c r="C515" s="279"/>
    </row>
    <row r="516" spans="3:3" ht="12.75">
      <c r="C516" s="279"/>
    </row>
    <row r="517" spans="3:3" ht="12.75">
      <c r="C517" s="279"/>
    </row>
    <row r="518" spans="3:3" ht="12.75">
      <c r="C518" s="279"/>
    </row>
    <row r="519" spans="3:3" ht="12.75">
      <c r="C519" s="279"/>
    </row>
    <row r="520" spans="3:3" ht="12.75">
      <c r="C520" s="279"/>
    </row>
    <row r="521" spans="3:3" ht="12.75">
      <c r="C521" s="279"/>
    </row>
    <row r="522" spans="3:3" ht="12.75">
      <c r="C522" s="279"/>
    </row>
    <row r="523" spans="3:3" ht="12.75">
      <c r="C523" s="279"/>
    </row>
    <row r="524" spans="3:3" ht="12.75">
      <c r="C524" s="279"/>
    </row>
    <row r="525" spans="3:3" ht="12.75">
      <c r="C525" s="279"/>
    </row>
    <row r="526" spans="3:3" ht="12.75">
      <c r="C526" s="279"/>
    </row>
    <row r="527" spans="3:3" ht="12.75">
      <c r="C527" s="279"/>
    </row>
    <row r="528" spans="3:3" ht="12.75">
      <c r="C528" s="279"/>
    </row>
    <row r="529" spans="3:3" ht="12.75">
      <c r="C529" s="279"/>
    </row>
    <row r="530" spans="3:3" ht="12.75">
      <c r="C530" s="279"/>
    </row>
    <row r="531" spans="3:3" ht="12.75">
      <c r="C531" s="279"/>
    </row>
    <row r="532" spans="3:3" ht="12.75">
      <c r="C532" s="279"/>
    </row>
    <row r="533" spans="3:3" ht="12.75">
      <c r="C533" s="279"/>
    </row>
    <row r="534" spans="3:3" ht="12.75">
      <c r="C534" s="279"/>
    </row>
    <row r="535" spans="3:3" ht="12.75">
      <c r="C535" s="279"/>
    </row>
    <row r="536" spans="3:3" ht="12.75">
      <c r="C536" s="279"/>
    </row>
    <row r="537" spans="3:3" ht="12.75">
      <c r="C537" s="279"/>
    </row>
    <row r="538" spans="3:3" ht="12.75">
      <c r="C538" s="279"/>
    </row>
    <row r="539" spans="3:3" ht="12.75">
      <c r="C539" s="279"/>
    </row>
    <row r="540" spans="3:3" ht="12.75">
      <c r="C540" s="279"/>
    </row>
    <row r="541" spans="3:3" ht="12.75">
      <c r="C541" s="279"/>
    </row>
    <row r="542" spans="3:3" ht="12.75">
      <c r="C542" s="279"/>
    </row>
    <row r="543" spans="3:3" ht="12.75">
      <c r="C543" s="279"/>
    </row>
    <row r="544" spans="3:3" ht="12.75">
      <c r="C544" s="279"/>
    </row>
    <row r="545" spans="3:3" ht="12.75">
      <c r="C545" s="279"/>
    </row>
    <row r="546" spans="3:3" ht="12.75">
      <c r="C546" s="279"/>
    </row>
    <row r="547" spans="3:3" ht="12.75">
      <c r="C547" s="279"/>
    </row>
    <row r="548" spans="3:3" ht="12.75">
      <c r="C548" s="279"/>
    </row>
    <row r="549" spans="3:3" ht="12.75">
      <c r="C549" s="279"/>
    </row>
    <row r="550" spans="3:3" ht="12.75">
      <c r="C550" s="279"/>
    </row>
    <row r="551" spans="3:3" ht="12.75">
      <c r="C551" s="279"/>
    </row>
    <row r="552" spans="3:3" ht="12.75">
      <c r="C552" s="279"/>
    </row>
    <row r="553" spans="3:3" ht="12.75">
      <c r="C553" s="279"/>
    </row>
    <row r="554" spans="3:3" ht="12.75">
      <c r="C554" s="279"/>
    </row>
    <row r="555" spans="3:3" ht="12.75">
      <c r="C555" s="279"/>
    </row>
    <row r="556" spans="3:3" ht="12.75">
      <c r="C556" s="279"/>
    </row>
    <row r="557" spans="3:3" ht="12.75">
      <c r="C557" s="279"/>
    </row>
    <row r="558" spans="3:3" ht="12.75">
      <c r="C558" s="279"/>
    </row>
    <row r="559" spans="3:3" ht="12.75">
      <c r="C559" s="279"/>
    </row>
    <row r="560" spans="3:3" ht="12.75">
      <c r="C560" s="279"/>
    </row>
    <row r="561" spans="3:3" ht="12.75">
      <c r="C561" s="279"/>
    </row>
    <row r="562" spans="3:3" ht="12.75">
      <c r="C562" s="279"/>
    </row>
    <row r="563" spans="3:3" ht="12.75">
      <c r="C563" s="279"/>
    </row>
    <row r="564" spans="3:3" ht="12.75">
      <c r="C564" s="279"/>
    </row>
    <row r="565" spans="3:3" ht="12.75">
      <c r="C565" s="279"/>
    </row>
    <row r="566" spans="3:3" ht="12.75">
      <c r="C566" s="279"/>
    </row>
    <row r="567" spans="3:3" ht="12.75">
      <c r="C567" s="279"/>
    </row>
    <row r="568" spans="3:3" ht="12.75">
      <c r="C568" s="279"/>
    </row>
    <row r="569" spans="3:3" ht="12.75">
      <c r="C569" s="279"/>
    </row>
    <row r="570" spans="3:3" ht="12.75">
      <c r="C570" s="279"/>
    </row>
    <row r="571" spans="3:3" ht="12.75">
      <c r="C571" s="279"/>
    </row>
    <row r="572" spans="3:3" ht="12.75">
      <c r="C572" s="279"/>
    </row>
    <row r="573" spans="3:3" ht="12.75">
      <c r="C573" s="279"/>
    </row>
    <row r="574" spans="3:3" ht="12.75">
      <c r="C574" s="279"/>
    </row>
    <row r="575" spans="3:3" ht="12.75">
      <c r="C575" s="279"/>
    </row>
    <row r="576" spans="3:3" ht="12.75">
      <c r="C576" s="279"/>
    </row>
    <row r="577" spans="3:3" ht="12.75">
      <c r="C577" s="279"/>
    </row>
    <row r="578" spans="3:3" ht="12.75">
      <c r="C578" s="279"/>
    </row>
    <row r="579" spans="3:3" ht="12.75">
      <c r="C579" s="279"/>
    </row>
    <row r="580" spans="3:3" ht="12.75">
      <c r="C580" s="279"/>
    </row>
    <row r="581" spans="3:3" ht="12.75">
      <c r="C581" s="279"/>
    </row>
    <row r="582" spans="3:3" ht="12.75">
      <c r="C582" s="279"/>
    </row>
    <row r="583" spans="3:3" ht="12.75">
      <c r="C583" s="279"/>
    </row>
    <row r="584" spans="3:3" ht="12.75">
      <c r="C584" s="279"/>
    </row>
    <row r="585" spans="3:3" ht="12.75">
      <c r="C585" s="279"/>
    </row>
    <row r="586" spans="3:3" ht="12.75">
      <c r="C586" s="279"/>
    </row>
    <row r="587" spans="3:3" ht="12.75">
      <c r="C587" s="279"/>
    </row>
    <row r="588" spans="3:3" ht="12.75">
      <c r="C588" s="279"/>
    </row>
    <row r="589" spans="3:3" ht="12.75">
      <c r="C589" s="279"/>
    </row>
    <row r="590" spans="3:3" ht="12.75">
      <c r="C590" s="279"/>
    </row>
    <row r="591" spans="3:3" ht="12.75">
      <c r="C591" s="279"/>
    </row>
    <row r="592" spans="3:3" ht="12.75">
      <c r="C592" s="279"/>
    </row>
    <row r="593" spans="3:3" ht="12.75">
      <c r="C593" s="279"/>
    </row>
    <row r="594" spans="3:3" ht="12.75">
      <c r="C594" s="279"/>
    </row>
    <row r="595" spans="3:3" ht="12.75">
      <c r="C595" s="279"/>
    </row>
    <row r="596" spans="3:3" ht="12.75">
      <c r="C596" s="279"/>
    </row>
    <row r="597" spans="3:3" ht="12.75">
      <c r="C597" s="279"/>
    </row>
    <row r="598" spans="3:3" ht="12.75">
      <c r="C598" s="279"/>
    </row>
    <row r="599" spans="3:3" ht="12.75">
      <c r="C599" s="279"/>
    </row>
    <row r="600" spans="3:3" ht="12.75">
      <c r="C600" s="279"/>
    </row>
    <row r="601" spans="3:3" ht="12.75">
      <c r="C601" s="279"/>
    </row>
    <row r="602" spans="3:3" ht="12.75">
      <c r="C602" s="279"/>
    </row>
    <row r="603" spans="3:3" ht="12.75">
      <c r="C603" s="279"/>
    </row>
    <row r="604" spans="3:3" ht="12.75">
      <c r="C604" s="279"/>
    </row>
    <row r="605" spans="3:3" ht="12.75">
      <c r="C605" s="279"/>
    </row>
    <row r="606" spans="3:3" ht="12.75">
      <c r="C606" s="279"/>
    </row>
    <row r="607" spans="3:3" ht="12.75">
      <c r="C607" s="279"/>
    </row>
    <row r="608" spans="3:3" ht="12.75">
      <c r="C608" s="279"/>
    </row>
    <row r="609" spans="3:3" ht="12.75">
      <c r="C609" s="279"/>
    </row>
    <row r="610" spans="3:3" ht="12.75">
      <c r="C610" s="279"/>
    </row>
    <row r="611" spans="3:3" ht="12.75">
      <c r="C611" s="279"/>
    </row>
    <row r="612" spans="3:3" ht="12.75">
      <c r="C612" s="279"/>
    </row>
    <row r="613" spans="3:3" ht="12.75">
      <c r="C613" s="279"/>
    </row>
    <row r="614" spans="3:3" ht="12.75">
      <c r="C614" s="279"/>
    </row>
    <row r="615" spans="3:3" ht="12.75">
      <c r="C615" s="279"/>
    </row>
    <row r="616" spans="3:3" ht="12.75">
      <c r="C616" s="279"/>
    </row>
    <row r="617" spans="3:3" ht="12.75">
      <c r="C617" s="279"/>
    </row>
    <row r="618" spans="3:3" ht="12.75">
      <c r="C618" s="279"/>
    </row>
    <row r="619" spans="3:3" ht="12.75">
      <c r="C619" s="279"/>
    </row>
    <row r="620" spans="3:3" ht="12.75">
      <c r="C620" s="279"/>
    </row>
    <row r="621" spans="3:3" ht="12.75">
      <c r="C621" s="279"/>
    </row>
    <row r="622" spans="3:3" ht="12.75">
      <c r="C622" s="279"/>
    </row>
    <row r="623" spans="3:3" ht="12.75">
      <c r="C623" s="279"/>
    </row>
    <row r="624" spans="3:3" ht="12.75">
      <c r="C624" s="279"/>
    </row>
    <row r="625" spans="3:3" ht="12.75">
      <c r="C625" s="279"/>
    </row>
    <row r="626" spans="3:3" ht="12.75">
      <c r="C626" s="279"/>
    </row>
    <row r="627" spans="3:3" ht="12.75">
      <c r="C627" s="279"/>
    </row>
    <row r="628" spans="3:3" ht="12.75">
      <c r="C628" s="279"/>
    </row>
    <row r="629" spans="3:3" ht="12.75">
      <c r="C629" s="279"/>
    </row>
    <row r="630" spans="3:3" ht="12.75">
      <c r="C630" s="279"/>
    </row>
    <row r="631" spans="3:3" ht="12.75">
      <c r="C631" s="279"/>
    </row>
    <row r="632" spans="3:3" ht="12.75">
      <c r="C632" s="279"/>
    </row>
    <row r="633" spans="3:3" ht="12.75">
      <c r="C633" s="279"/>
    </row>
    <row r="634" spans="3:3" ht="12.75">
      <c r="C634" s="279"/>
    </row>
    <row r="635" spans="3:3" ht="12.75">
      <c r="C635" s="279"/>
    </row>
    <row r="636" spans="3:3" ht="12.75">
      <c r="C636" s="279"/>
    </row>
    <row r="637" spans="3:3" ht="12.75">
      <c r="C637" s="279"/>
    </row>
    <row r="638" spans="3:3" ht="12.75">
      <c r="C638" s="279"/>
    </row>
    <row r="639" spans="3:3" ht="12.75">
      <c r="C639" s="279"/>
    </row>
    <row r="640" spans="3:3" ht="12.75">
      <c r="C640" s="279"/>
    </row>
    <row r="641" spans="3:3" ht="12.75">
      <c r="C641" s="279"/>
    </row>
    <row r="642" spans="3:3" ht="12.75">
      <c r="C642" s="279"/>
    </row>
    <row r="643" spans="3:3" ht="12.75">
      <c r="C643" s="279"/>
    </row>
    <row r="644" spans="3:3" ht="12.75">
      <c r="C644" s="279"/>
    </row>
    <row r="645" spans="3:3" ht="12.75">
      <c r="C645" s="279"/>
    </row>
    <row r="646" spans="3:3" ht="12.75">
      <c r="C646" s="279"/>
    </row>
    <row r="647" spans="3:3" ht="12.75">
      <c r="C647" s="279"/>
    </row>
    <row r="648" spans="3:3" ht="12.75">
      <c r="C648" s="279"/>
    </row>
    <row r="649" spans="3:3" ht="12.75">
      <c r="C649" s="279"/>
    </row>
    <row r="650" spans="3:3" ht="12.75">
      <c r="C650" s="279"/>
    </row>
    <row r="651" spans="3:3" ht="12.75">
      <c r="C651" s="279"/>
    </row>
    <row r="652" spans="3:3" ht="12.75">
      <c r="C652" s="279"/>
    </row>
    <row r="653" spans="3:3" ht="12.75">
      <c r="C653" s="279"/>
    </row>
    <row r="654" spans="3:3" ht="12.75">
      <c r="C654" s="279"/>
    </row>
    <row r="655" spans="3:3" ht="12.75">
      <c r="C655" s="279"/>
    </row>
    <row r="656" spans="3:3" ht="12.75">
      <c r="C656" s="279"/>
    </row>
    <row r="657" spans="3:3" ht="12.75">
      <c r="C657" s="279"/>
    </row>
    <row r="658" spans="3:3" ht="12.75">
      <c r="C658" s="279"/>
    </row>
    <row r="659" spans="3:3" ht="12.75">
      <c r="C659" s="279"/>
    </row>
    <row r="660" spans="3:3" ht="12.75">
      <c r="C660" s="279"/>
    </row>
    <row r="661" spans="3:3" ht="12.75">
      <c r="C661" s="279"/>
    </row>
    <row r="662" spans="3:3" ht="12.75">
      <c r="C662" s="279"/>
    </row>
    <row r="663" spans="3:3" ht="12.75">
      <c r="C663" s="279"/>
    </row>
    <row r="664" spans="3:3" ht="12.75">
      <c r="C664" s="279"/>
    </row>
    <row r="665" spans="3:3" ht="12.75">
      <c r="C665" s="279"/>
    </row>
    <row r="666" spans="3:3" ht="12.75">
      <c r="C666" s="279"/>
    </row>
    <row r="667" spans="3:3" ht="12.75">
      <c r="C667" s="279"/>
    </row>
    <row r="668" spans="3:3" ht="12.75">
      <c r="C668" s="279"/>
    </row>
    <row r="669" spans="3:3" ht="12.75">
      <c r="C669" s="279"/>
    </row>
    <row r="670" spans="3:3" ht="12.75">
      <c r="C670" s="279"/>
    </row>
    <row r="671" spans="3:3" ht="12.75">
      <c r="C671" s="279"/>
    </row>
    <row r="672" spans="3:3" ht="12.75">
      <c r="C672" s="279"/>
    </row>
    <row r="673" spans="3:3" ht="12.75">
      <c r="C673" s="279"/>
    </row>
    <row r="674" spans="3:3" ht="12.75">
      <c r="C674" s="279"/>
    </row>
    <row r="675" spans="3:3" ht="12.75">
      <c r="C675" s="279"/>
    </row>
    <row r="676" spans="3:3" ht="12.75">
      <c r="C676" s="279"/>
    </row>
    <row r="677" spans="3:3" ht="12.75">
      <c r="C677" s="279"/>
    </row>
    <row r="678" spans="3:3" ht="12.75">
      <c r="C678" s="279"/>
    </row>
    <row r="679" spans="3:3" ht="12.75">
      <c r="C679" s="279"/>
    </row>
    <row r="680" spans="3:3" ht="12.75">
      <c r="C680" s="279"/>
    </row>
    <row r="681" spans="3:3" ht="12.75">
      <c r="C681" s="279"/>
    </row>
    <row r="682" spans="3:3" ht="12.75">
      <c r="C682" s="279"/>
    </row>
    <row r="683" spans="3:3" ht="12.75">
      <c r="C683" s="279"/>
    </row>
    <row r="684" spans="3:3" ht="12.75">
      <c r="C684" s="279"/>
    </row>
    <row r="685" spans="3:3" ht="12.75">
      <c r="C685" s="279"/>
    </row>
    <row r="686" spans="3:3" ht="12.75">
      <c r="C686" s="279"/>
    </row>
    <row r="687" spans="3:3" ht="12.75">
      <c r="C687" s="279"/>
    </row>
    <row r="688" spans="3:3" ht="12.75">
      <c r="C688" s="279"/>
    </row>
    <row r="689" spans="3:3" ht="12.75">
      <c r="C689" s="279"/>
    </row>
    <row r="690" spans="3:3" ht="12.75">
      <c r="C690" s="279"/>
    </row>
    <row r="691" spans="3:3" ht="12.75">
      <c r="C691" s="279"/>
    </row>
    <row r="692" spans="3:3" ht="12.75">
      <c r="C692" s="279"/>
    </row>
    <row r="693" spans="3:3" ht="12.75">
      <c r="C693" s="279"/>
    </row>
    <row r="694" spans="3:3" ht="12.75">
      <c r="C694" s="279"/>
    </row>
    <row r="695" spans="3:3" ht="12.75">
      <c r="C695" s="279"/>
    </row>
    <row r="696" spans="3:3" ht="12.75">
      <c r="C696" s="279"/>
    </row>
    <row r="697" spans="3:3" ht="12.75">
      <c r="C697" s="279"/>
    </row>
    <row r="698" spans="3:3" ht="12.75">
      <c r="C698" s="279"/>
    </row>
    <row r="699" spans="3:3" ht="12.75">
      <c r="C699" s="279"/>
    </row>
    <row r="700" spans="3:3" ht="12.75">
      <c r="C700" s="279"/>
    </row>
    <row r="701" spans="3:3" ht="12.75">
      <c r="C701" s="279"/>
    </row>
    <row r="702" spans="3:3" ht="12.75">
      <c r="C702" s="279"/>
    </row>
    <row r="703" spans="3:3" ht="12.75">
      <c r="C703" s="279"/>
    </row>
    <row r="704" spans="3:3" ht="12.75">
      <c r="C704" s="279"/>
    </row>
    <row r="705" spans="3:3" ht="12.75">
      <c r="C705" s="279"/>
    </row>
    <row r="706" spans="3:3" ht="12.75">
      <c r="C706" s="279"/>
    </row>
    <row r="707" spans="3:3" ht="12.75">
      <c r="C707" s="279"/>
    </row>
    <row r="708" spans="3:3" ht="12.75">
      <c r="C708" s="279"/>
    </row>
    <row r="709" spans="3:3" ht="12.75">
      <c r="C709" s="279"/>
    </row>
    <row r="710" spans="3:3" ht="12.75">
      <c r="C710" s="279"/>
    </row>
    <row r="711" spans="3:3" ht="12.75">
      <c r="C711" s="279"/>
    </row>
    <row r="712" spans="3:3" ht="12.75">
      <c r="C712" s="279"/>
    </row>
    <row r="713" spans="3:3" ht="12.75">
      <c r="C713" s="279"/>
    </row>
    <row r="714" spans="3:3" ht="12.75">
      <c r="C714" s="279"/>
    </row>
    <row r="715" spans="3:3" ht="12.75">
      <c r="C715" s="279"/>
    </row>
    <row r="716" spans="3:3" ht="12.75">
      <c r="C716" s="279"/>
    </row>
    <row r="717" spans="3:3" ht="12.75">
      <c r="C717" s="279"/>
    </row>
    <row r="718" spans="3:3" ht="12.75">
      <c r="C718" s="279"/>
    </row>
    <row r="719" spans="3:3" ht="12.75">
      <c r="C719" s="279"/>
    </row>
    <row r="720" spans="3:3" ht="12.75">
      <c r="C720" s="279"/>
    </row>
    <row r="721" spans="3:3" ht="12.75">
      <c r="C721" s="279"/>
    </row>
    <row r="722" spans="3:3" ht="12.75">
      <c r="C722" s="279"/>
    </row>
    <row r="723" spans="3:3" ht="12.75">
      <c r="C723" s="279"/>
    </row>
    <row r="724" spans="3:3" ht="12.75">
      <c r="C724" s="279"/>
    </row>
    <row r="725" spans="3:3" ht="12.75">
      <c r="C725" s="279"/>
    </row>
    <row r="726" spans="3:3" ht="12.75">
      <c r="C726" s="279"/>
    </row>
    <row r="727" spans="3:3" ht="12.75">
      <c r="C727" s="279"/>
    </row>
    <row r="728" spans="3:3" ht="12.75">
      <c r="C728" s="279"/>
    </row>
    <row r="729" spans="3:3" ht="12.75">
      <c r="C729" s="279"/>
    </row>
    <row r="730" spans="3:3" ht="12.75">
      <c r="C730" s="279"/>
    </row>
    <row r="731" spans="3:3" ht="12.75">
      <c r="C731" s="279"/>
    </row>
    <row r="732" spans="3:3" ht="12.75">
      <c r="C732" s="279"/>
    </row>
    <row r="733" spans="3:3" ht="12.75">
      <c r="C733" s="279"/>
    </row>
    <row r="734" spans="3:3" ht="12.75">
      <c r="C734" s="279"/>
    </row>
    <row r="735" spans="3:3" ht="12.75">
      <c r="C735" s="279"/>
    </row>
    <row r="736" spans="3:3" ht="12.75">
      <c r="C736" s="279"/>
    </row>
    <row r="737" spans="3:3" ht="12.75">
      <c r="C737" s="279"/>
    </row>
    <row r="738" spans="3:3" ht="12.75">
      <c r="C738" s="279"/>
    </row>
    <row r="739" spans="3:3" ht="12.75">
      <c r="C739" s="279"/>
    </row>
    <row r="740" spans="3:3" ht="12.75">
      <c r="C740" s="279"/>
    </row>
    <row r="741" spans="3:3" ht="12.75">
      <c r="C741" s="279"/>
    </row>
    <row r="742" spans="3:3" ht="12.75">
      <c r="C742" s="279"/>
    </row>
    <row r="743" spans="3:3" ht="12.75">
      <c r="C743" s="279"/>
    </row>
    <row r="744" spans="3:3" ht="12.75">
      <c r="C744" s="279"/>
    </row>
    <row r="745" spans="3:3" ht="12.75">
      <c r="C745" s="279"/>
    </row>
    <row r="746" spans="3:3" ht="12.75">
      <c r="C746" s="279"/>
    </row>
    <row r="747" spans="3:3" ht="12.75">
      <c r="C747" s="279"/>
    </row>
    <row r="748" spans="3:3" ht="12.75">
      <c r="C748" s="279"/>
    </row>
    <row r="749" spans="3:3" ht="12.75">
      <c r="C749" s="279"/>
    </row>
    <row r="750" spans="3:3" ht="12.75">
      <c r="C750" s="279"/>
    </row>
    <row r="751" spans="3:3" ht="12.75">
      <c r="C751" s="279"/>
    </row>
    <row r="752" spans="3:3" ht="12.75">
      <c r="C752" s="279"/>
    </row>
    <row r="753" spans="3:3" ht="12.75">
      <c r="C753" s="279"/>
    </row>
    <row r="754" spans="3:3" ht="12.75">
      <c r="C754" s="279"/>
    </row>
    <row r="755" spans="3:3" ht="12.75">
      <c r="C755" s="279"/>
    </row>
    <row r="756" spans="3:3" ht="12.75">
      <c r="C756" s="279"/>
    </row>
    <row r="757" spans="3:3" ht="12.75">
      <c r="C757" s="279"/>
    </row>
    <row r="758" spans="3:3" ht="12.75">
      <c r="C758" s="279"/>
    </row>
    <row r="759" spans="3:3" ht="12.75">
      <c r="C759" s="279"/>
    </row>
    <row r="760" spans="3:3" ht="12.75">
      <c r="C760" s="279"/>
    </row>
    <row r="761" spans="3:3" ht="12.75">
      <c r="C761" s="279"/>
    </row>
    <row r="762" spans="3:3" ht="12.75">
      <c r="C762" s="279"/>
    </row>
    <row r="763" spans="3:3" ht="12.75">
      <c r="C763" s="279"/>
    </row>
    <row r="764" spans="3:3" ht="12.75">
      <c r="C764" s="279"/>
    </row>
    <row r="765" spans="3:3" ht="12.75">
      <c r="C765" s="279"/>
    </row>
    <row r="766" spans="3:3" ht="12.75">
      <c r="C766" s="279"/>
    </row>
    <row r="767" spans="3:3" ht="12.75">
      <c r="C767" s="279"/>
    </row>
    <row r="768" spans="3:3" ht="12.75">
      <c r="C768" s="279"/>
    </row>
    <row r="769" spans="3:3" ht="12.75">
      <c r="C769" s="279"/>
    </row>
    <row r="770" spans="3:3" ht="12.75">
      <c r="C770" s="279"/>
    </row>
    <row r="771" spans="3:3" ht="12.75">
      <c r="C771" s="279"/>
    </row>
    <row r="772" spans="3:3" ht="12.75">
      <c r="C772" s="279"/>
    </row>
    <row r="773" spans="3:3" ht="12.75">
      <c r="C773" s="279"/>
    </row>
    <row r="774" spans="3:3" ht="12.75">
      <c r="C774" s="279"/>
    </row>
    <row r="775" spans="3:3" ht="12.75">
      <c r="C775" s="279"/>
    </row>
    <row r="776" spans="3:3" ht="12.75">
      <c r="C776" s="279"/>
    </row>
    <row r="777" spans="3:3" ht="12.75">
      <c r="C777" s="279"/>
    </row>
    <row r="778" spans="3:3" ht="12.75">
      <c r="C778" s="279"/>
    </row>
    <row r="779" spans="3:3" ht="12.75">
      <c r="C779" s="279"/>
    </row>
    <row r="780" spans="3:3" ht="12.75">
      <c r="C780" s="279"/>
    </row>
    <row r="781" spans="3:3" ht="12.75">
      <c r="C781" s="279"/>
    </row>
    <row r="782" spans="3:3" ht="12.75">
      <c r="C782" s="279"/>
    </row>
    <row r="783" spans="3:3" ht="12.75">
      <c r="C783" s="279"/>
    </row>
    <row r="784" spans="3:3" ht="12.75">
      <c r="C784" s="279"/>
    </row>
    <row r="785" spans="3:3" ht="12.75">
      <c r="C785" s="279"/>
    </row>
    <row r="786" spans="3:3" ht="12.75">
      <c r="C786" s="279"/>
    </row>
    <row r="787" spans="3:3" ht="12.75">
      <c r="C787" s="279"/>
    </row>
    <row r="788" spans="3:3" ht="12.75">
      <c r="C788" s="279"/>
    </row>
    <row r="789" spans="3:3" ht="12.75">
      <c r="C789" s="279"/>
    </row>
    <row r="790" spans="3:3" ht="12.75">
      <c r="C790" s="279"/>
    </row>
    <row r="791" spans="3:3" ht="12.75">
      <c r="C791" s="279"/>
    </row>
    <row r="792" spans="3:3" ht="12.75">
      <c r="C792" s="279"/>
    </row>
    <row r="793" spans="3:3" ht="12.75">
      <c r="C793" s="279"/>
    </row>
    <row r="794" spans="3:3" ht="12.75">
      <c r="C794" s="279"/>
    </row>
    <row r="795" spans="3:3" ht="12.75">
      <c r="C795" s="279"/>
    </row>
    <row r="796" spans="3:3" ht="12.75">
      <c r="C796" s="279"/>
    </row>
    <row r="797" spans="3:3" ht="12.75">
      <c r="C797" s="279"/>
    </row>
    <row r="798" spans="3:3" ht="12.75">
      <c r="C798" s="279"/>
    </row>
    <row r="799" spans="3:3" ht="12.75">
      <c r="C799" s="279"/>
    </row>
    <row r="800" spans="3:3" ht="12.75">
      <c r="C800" s="279"/>
    </row>
    <row r="801" spans="3:3" ht="12.75">
      <c r="C801" s="279"/>
    </row>
    <row r="802" spans="3:3" ht="12.75">
      <c r="C802" s="279"/>
    </row>
    <row r="803" spans="3:3" ht="12.75">
      <c r="C803" s="279"/>
    </row>
    <row r="804" spans="3:3" ht="12.75">
      <c r="C804" s="279"/>
    </row>
    <row r="805" spans="3:3" ht="12.75">
      <c r="C805" s="279"/>
    </row>
    <row r="806" spans="3:3" ht="12.75">
      <c r="C806" s="279"/>
    </row>
    <row r="807" spans="3:3" ht="12.75">
      <c r="C807" s="279"/>
    </row>
    <row r="808" spans="3:3" ht="12.75">
      <c r="C808" s="279"/>
    </row>
    <row r="809" spans="3:3" ht="12.75">
      <c r="C809" s="279"/>
    </row>
    <row r="810" spans="3:3" ht="12.75">
      <c r="C810" s="279"/>
    </row>
    <row r="811" spans="3:3" ht="12.75">
      <c r="C811" s="279"/>
    </row>
    <row r="812" spans="3:3" ht="12.75">
      <c r="C812" s="279"/>
    </row>
    <row r="813" spans="3:3" ht="12.75">
      <c r="C813" s="279"/>
    </row>
    <row r="814" spans="3:3" ht="12.75">
      <c r="C814" s="279"/>
    </row>
    <row r="815" spans="3:3" ht="12.75">
      <c r="C815" s="279"/>
    </row>
    <row r="816" spans="3:3" ht="12.75">
      <c r="C816" s="279"/>
    </row>
    <row r="817" spans="3:3" ht="12.75">
      <c r="C817" s="279"/>
    </row>
    <row r="818" spans="3:3" ht="12.75">
      <c r="C818" s="279"/>
    </row>
    <row r="819" spans="3:3" ht="12.75">
      <c r="C819" s="279"/>
    </row>
    <row r="820" spans="3:3" ht="12.75">
      <c r="C820" s="279"/>
    </row>
    <row r="821" spans="3:3" ht="12.75">
      <c r="C821" s="279"/>
    </row>
    <row r="822" spans="3:3" ht="12.75">
      <c r="C822" s="279"/>
    </row>
    <row r="823" spans="3:3" ht="12.75">
      <c r="C823" s="279"/>
    </row>
    <row r="824" spans="3:3" ht="12.75">
      <c r="C824" s="279"/>
    </row>
    <row r="825" spans="3:3" ht="12.75">
      <c r="C825" s="279"/>
    </row>
    <row r="826" spans="3:3" ht="12.75">
      <c r="C826" s="279"/>
    </row>
    <row r="827" spans="3:3" ht="12.75">
      <c r="C827" s="279"/>
    </row>
    <row r="828" spans="3:3" ht="12.75">
      <c r="C828" s="279"/>
    </row>
    <row r="829" spans="3:3" ht="12.75">
      <c r="C829" s="279"/>
    </row>
    <row r="830" spans="3:3" ht="12.75">
      <c r="C830" s="279"/>
    </row>
    <row r="831" spans="3:3" ht="12.75">
      <c r="C831" s="279"/>
    </row>
    <row r="832" spans="3:3" ht="12.75">
      <c r="C832" s="279"/>
    </row>
    <row r="833" spans="3:3" ht="12.75">
      <c r="C833" s="279"/>
    </row>
    <row r="834" spans="3:3" ht="12.75">
      <c r="C834" s="279"/>
    </row>
    <row r="835" spans="3:3" ht="12.75">
      <c r="C835" s="279"/>
    </row>
    <row r="836" spans="3:3" ht="12.75">
      <c r="C836" s="279"/>
    </row>
    <row r="837" spans="3:3" ht="12.75">
      <c r="C837" s="279"/>
    </row>
    <row r="838" spans="3:3" ht="12.75">
      <c r="C838" s="279"/>
    </row>
    <row r="839" spans="3:3" ht="12.75">
      <c r="C839" s="279"/>
    </row>
    <row r="840" spans="3:3" ht="12.75">
      <c r="C840" s="279"/>
    </row>
    <row r="841" spans="3:3" ht="12.75">
      <c r="C841" s="279"/>
    </row>
    <row r="842" spans="3:3" ht="12.75">
      <c r="C842" s="279"/>
    </row>
    <row r="843" spans="3:3" ht="12.75">
      <c r="C843" s="279"/>
    </row>
    <row r="844" spans="3:3" ht="12.75">
      <c r="C844" s="279"/>
    </row>
    <row r="845" spans="3:3" ht="12.75">
      <c r="C845" s="279"/>
    </row>
    <row r="846" spans="3:3" ht="12.75">
      <c r="C846" s="279"/>
    </row>
    <row r="847" spans="3:3" ht="12.75">
      <c r="C847" s="279"/>
    </row>
    <row r="848" spans="3:3" ht="12.75">
      <c r="C848" s="279"/>
    </row>
    <row r="849" spans="3:3" ht="12.75">
      <c r="C849" s="279"/>
    </row>
    <row r="850" spans="3:3" ht="12.75">
      <c r="C850" s="279"/>
    </row>
    <row r="851" spans="3:3" ht="12.75">
      <c r="C851" s="279"/>
    </row>
    <row r="852" spans="3:3" ht="12.75">
      <c r="C852" s="279"/>
    </row>
    <row r="853" spans="3:3" ht="12.75">
      <c r="C853" s="279"/>
    </row>
    <row r="854" spans="3:3" ht="12.75">
      <c r="C854" s="279"/>
    </row>
    <row r="855" spans="3:3" ht="12.75">
      <c r="C855" s="279"/>
    </row>
    <row r="856" spans="3:3" ht="12.75">
      <c r="C856" s="279"/>
    </row>
    <row r="857" spans="3:3" ht="12.75">
      <c r="C857" s="279"/>
    </row>
    <row r="858" spans="3:3" ht="12.75">
      <c r="C858" s="279"/>
    </row>
    <row r="859" spans="3:3" ht="12.75">
      <c r="C859" s="279"/>
    </row>
    <row r="860" spans="3:3" ht="12.75">
      <c r="C860" s="279"/>
    </row>
    <row r="861" spans="3:3" ht="12.75">
      <c r="C861" s="279"/>
    </row>
    <row r="862" spans="3:3" ht="12.75">
      <c r="C862" s="279"/>
    </row>
    <row r="863" spans="3:3" ht="12.75">
      <c r="C863" s="279"/>
    </row>
    <row r="864" spans="3:3" ht="12.75">
      <c r="C864" s="279"/>
    </row>
    <row r="865" spans="3:3" ht="12.75">
      <c r="C865" s="279"/>
    </row>
    <row r="866" spans="3:3" ht="12.75">
      <c r="C866" s="279"/>
    </row>
    <row r="867" spans="3:3" ht="12.75">
      <c r="C867" s="279"/>
    </row>
    <row r="868" spans="3:3" ht="12.75">
      <c r="C868" s="279"/>
    </row>
    <row r="869" spans="3:3" ht="12.75">
      <c r="C869" s="279"/>
    </row>
    <row r="870" spans="3:3" ht="12.75">
      <c r="C870" s="279"/>
    </row>
    <row r="871" spans="3:3" ht="12.75">
      <c r="C871" s="279"/>
    </row>
    <row r="872" spans="3:3" ht="12.75">
      <c r="C872" s="279"/>
    </row>
    <row r="873" spans="3:3" ht="12.75">
      <c r="C873" s="279"/>
    </row>
    <row r="874" spans="3:3" ht="12.75">
      <c r="C874" s="279"/>
    </row>
    <row r="875" spans="3:3" ht="12.75">
      <c r="C875" s="279"/>
    </row>
    <row r="876" spans="3:3" ht="12.75">
      <c r="C876" s="279"/>
    </row>
    <row r="877" spans="3:3" ht="12.75">
      <c r="C877" s="279"/>
    </row>
    <row r="878" spans="3:3" ht="12.75">
      <c r="C878" s="279"/>
    </row>
    <row r="879" spans="3:3" ht="12.75">
      <c r="C879" s="279"/>
    </row>
    <row r="880" spans="3:3" ht="12.75">
      <c r="C880" s="279"/>
    </row>
    <row r="881" spans="3:3" ht="12.75">
      <c r="C881" s="279"/>
    </row>
    <row r="882" spans="3:3" ht="12.75">
      <c r="C882" s="279"/>
    </row>
    <row r="883" spans="3:3" ht="12.75">
      <c r="C883" s="279"/>
    </row>
    <row r="884" spans="3:3" ht="12.75">
      <c r="C884" s="279"/>
    </row>
    <row r="885" spans="3:3" ht="12.75">
      <c r="C885" s="279"/>
    </row>
    <row r="886" spans="3:3" ht="12.75">
      <c r="C886" s="279"/>
    </row>
    <row r="887" spans="3:3" ht="12.75">
      <c r="C887" s="279"/>
    </row>
    <row r="888" spans="3:3" ht="12.75">
      <c r="C888" s="279"/>
    </row>
    <row r="889" spans="3:3" ht="12.75">
      <c r="C889" s="279"/>
    </row>
    <row r="890" spans="3:3" ht="12.75">
      <c r="C890" s="279"/>
    </row>
    <row r="891" spans="3:3" ht="12.75">
      <c r="C891" s="279"/>
    </row>
    <row r="892" spans="3:3" ht="12.75">
      <c r="C892" s="279"/>
    </row>
    <row r="893" spans="3:3" ht="12.75">
      <c r="C893" s="279"/>
    </row>
    <row r="894" spans="3:3" ht="12.75">
      <c r="C894" s="279"/>
    </row>
    <row r="895" spans="3:3" ht="12.75">
      <c r="C895" s="279"/>
    </row>
    <row r="896" spans="3:3" ht="12.75">
      <c r="C896" s="279"/>
    </row>
    <row r="897" spans="3:3" ht="12.75">
      <c r="C897" s="279"/>
    </row>
    <row r="898" spans="3:3" ht="12.75">
      <c r="C898" s="279"/>
    </row>
    <row r="899" spans="3:3" ht="12.75">
      <c r="C899" s="279"/>
    </row>
    <row r="900" spans="3:3" ht="12.75">
      <c r="C900" s="279"/>
    </row>
    <row r="901" spans="3:3" ht="12.75">
      <c r="C901" s="279"/>
    </row>
    <row r="902" spans="3:3" ht="12.75">
      <c r="C902" s="279"/>
    </row>
    <row r="903" spans="3:3" ht="12.75">
      <c r="C903" s="279"/>
    </row>
    <row r="904" spans="3:3" ht="12.75">
      <c r="C904" s="279"/>
    </row>
    <row r="905" spans="3:3" ht="12.75">
      <c r="C905" s="279"/>
    </row>
    <row r="906" spans="3:3" ht="12.75">
      <c r="C906" s="279"/>
    </row>
    <row r="907" spans="3:3" ht="12.75">
      <c r="C907" s="279"/>
    </row>
    <row r="908" spans="3:3" ht="12.75">
      <c r="C908" s="279"/>
    </row>
    <row r="909" spans="3:3" ht="12.75">
      <c r="C909" s="279"/>
    </row>
    <row r="910" spans="3:3" ht="12.75">
      <c r="C910" s="279"/>
    </row>
    <row r="911" spans="3:3" ht="12.75">
      <c r="C911" s="279"/>
    </row>
    <row r="912" spans="3:3" ht="12.75">
      <c r="C912" s="279"/>
    </row>
    <row r="913" spans="3:3" ht="12.75">
      <c r="C913" s="279"/>
    </row>
    <row r="914" spans="3:3" ht="12.75">
      <c r="C914" s="279"/>
    </row>
    <row r="915" spans="3:3" ht="12.75">
      <c r="C915" s="279"/>
    </row>
    <row r="916" spans="3:3" ht="12.75">
      <c r="C916" s="279"/>
    </row>
    <row r="917" spans="3:3" ht="12.75">
      <c r="C917" s="279"/>
    </row>
    <row r="918" spans="3:3" ht="12.75">
      <c r="C918" s="279"/>
    </row>
    <row r="919" spans="3:3" ht="12.75">
      <c r="C919" s="279"/>
    </row>
    <row r="920" spans="3:3" ht="12.75">
      <c r="C920" s="279"/>
    </row>
    <row r="921" spans="3:3" ht="12.75">
      <c r="C921" s="279"/>
    </row>
    <row r="922" spans="3:3" ht="12.75">
      <c r="C922" s="279"/>
    </row>
    <row r="923" spans="3:3" ht="12.75">
      <c r="C923" s="279"/>
    </row>
    <row r="924" spans="3:3" ht="12.75">
      <c r="C924" s="279"/>
    </row>
    <row r="925" spans="3:3" ht="12.75">
      <c r="C925" s="279"/>
    </row>
    <row r="926" spans="3:3" ht="12.75">
      <c r="C926" s="279"/>
    </row>
    <row r="927" spans="3:3" ht="12.75">
      <c r="C927" s="279"/>
    </row>
    <row r="928" spans="3:3" ht="12.75">
      <c r="C928" s="279"/>
    </row>
    <row r="929" spans="3:3" ht="12.75">
      <c r="C929" s="279"/>
    </row>
    <row r="930" spans="3:3" ht="12.75">
      <c r="C930" s="279"/>
    </row>
    <row r="931" spans="3:3" ht="12.75">
      <c r="C931" s="279"/>
    </row>
    <row r="932" spans="3:3" ht="12.75">
      <c r="C932" s="279"/>
    </row>
    <row r="933" spans="3:3" ht="12.75">
      <c r="C933" s="279"/>
    </row>
    <row r="934" spans="3:3" ht="12.75">
      <c r="C934" s="279"/>
    </row>
    <row r="935" spans="3:3" ht="12.75">
      <c r="C935" s="279"/>
    </row>
    <row r="936" spans="3:3" ht="12.75">
      <c r="C936" s="279"/>
    </row>
    <row r="937" spans="3:3" ht="12.75">
      <c r="C937" s="279"/>
    </row>
    <row r="938" spans="3:3" ht="12.75">
      <c r="C938" s="279"/>
    </row>
    <row r="939" spans="3:3" ht="12.75">
      <c r="C939" s="279"/>
    </row>
    <row r="940" spans="3:3" ht="12.75">
      <c r="C940" s="279"/>
    </row>
    <row r="941" spans="3:3" ht="12.75">
      <c r="C941" s="279"/>
    </row>
    <row r="942" spans="3:3" ht="12.75">
      <c r="C942" s="279"/>
    </row>
    <row r="943" spans="3:3" ht="12.75">
      <c r="C943" s="279"/>
    </row>
    <row r="944" spans="3:3" ht="12.75">
      <c r="C944" s="279"/>
    </row>
    <row r="945" spans="3:3" ht="12.75">
      <c r="C945" s="279"/>
    </row>
    <row r="946" spans="3:3" ht="12.75">
      <c r="C946" s="279"/>
    </row>
    <row r="947" spans="3:3" ht="12.75">
      <c r="C947" s="279"/>
    </row>
    <row r="948" spans="3:3" ht="12.75">
      <c r="C948" s="279"/>
    </row>
    <row r="949" spans="3:3" ht="12.75">
      <c r="C949" s="279"/>
    </row>
    <row r="950" spans="3:3" ht="12.75">
      <c r="C950" s="279"/>
    </row>
    <row r="951" spans="3:3" ht="12.75">
      <c r="C951" s="279"/>
    </row>
    <row r="952" spans="3:3" ht="12.75">
      <c r="C952" s="279"/>
    </row>
    <row r="953" spans="3:3" ht="12.75">
      <c r="C953" s="279"/>
    </row>
    <row r="954" spans="3:3" ht="12.75">
      <c r="C954" s="279"/>
    </row>
    <row r="955" spans="3:3" ht="12.75">
      <c r="C955" s="279"/>
    </row>
    <row r="956" spans="3:3" ht="12.75">
      <c r="C956" s="279"/>
    </row>
    <row r="957" spans="3:3" ht="12.75">
      <c r="C957" s="279"/>
    </row>
    <row r="958" spans="3:3" ht="12.75">
      <c r="C958" s="279"/>
    </row>
    <row r="959" spans="3:3" ht="12.75">
      <c r="C959" s="279"/>
    </row>
    <row r="960" spans="3:3" ht="12.75">
      <c r="C960" s="279"/>
    </row>
    <row r="961" spans="3:3" ht="12.75">
      <c r="C961" s="279"/>
    </row>
    <row r="962" spans="3:3" ht="12.75">
      <c r="C962" s="279"/>
    </row>
    <row r="963" spans="3:3" ht="12.75">
      <c r="C963" s="279"/>
    </row>
    <row r="964" spans="3:3" ht="12.75">
      <c r="C964" s="279"/>
    </row>
    <row r="965" spans="3:3" ht="12.75">
      <c r="C965" s="279"/>
    </row>
    <row r="966" spans="3:3" ht="12.75">
      <c r="C966" s="279"/>
    </row>
    <row r="967" spans="3:3" ht="12.75">
      <c r="C967" s="279"/>
    </row>
    <row r="968" spans="3:3" ht="12.75">
      <c r="C968" s="279"/>
    </row>
    <row r="969" spans="3:3" ht="12.75">
      <c r="C969" s="279"/>
    </row>
    <row r="970" spans="3:3" ht="12.75">
      <c r="C970" s="279"/>
    </row>
    <row r="971" spans="3:3" ht="12.75">
      <c r="C971" s="279"/>
    </row>
    <row r="972" spans="3:3" ht="12.75">
      <c r="C972" s="279"/>
    </row>
    <row r="973" spans="3:3" ht="12.75">
      <c r="C973" s="279"/>
    </row>
    <row r="974" spans="3:3" ht="12.75">
      <c r="C974" s="279"/>
    </row>
    <row r="975" spans="3:3" ht="12.75">
      <c r="C975" s="279"/>
    </row>
    <row r="976" spans="3:3" ht="12.75">
      <c r="C976" s="279"/>
    </row>
    <row r="977" spans="3:3" ht="12.75">
      <c r="C977" s="279"/>
    </row>
    <row r="978" spans="3:3" ht="12.75">
      <c r="C978" s="279"/>
    </row>
    <row r="979" spans="3:3" ht="12.75">
      <c r="C979" s="279"/>
    </row>
    <row r="980" spans="3:3" ht="12.75">
      <c r="C980" s="279"/>
    </row>
    <row r="981" spans="3:3" ht="12.75">
      <c r="C981" s="279"/>
    </row>
    <row r="982" spans="3:3" ht="12.75">
      <c r="C982" s="279"/>
    </row>
    <row r="983" spans="3:3" ht="12.75">
      <c r="C983" s="279"/>
    </row>
    <row r="984" spans="3:3" ht="12.75">
      <c r="C984" s="279"/>
    </row>
    <row r="985" spans="3:3" ht="12.75">
      <c r="C985" s="279"/>
    </row>
    <row r="986" spans="3:3" ht="12.75">
      <c r="C986" s="279"/>
    </row>
    <row r="987" spans="3:3" ht="12.75">
      <c r="C987" s="279"/>
    </row>
    <row r="988" spans="3:3" ht="12.75">
      <c r="C988" s="279"/>
    </row>
    <row r="989" spans="3:3" ht="12.75">
      <c r="C989" s="279"/>
    </row>
    <row r="990" spans="3:3" ht="12.75">
      <c r="C990" s="279"/>
    </row>
    <row r="991" spans="3:3" ht="12.75">
      <c r="C991" s="279"/>
    </row>
    <row r="992" spans="3:3" ht="12.75">
      <c r="C992" s="279"/>
    </row>
    <row r="993" spans="3:3" ht="12.75">
      <c r="C993" s="279"/>
    </row>
    <row r="994" spans="3:3" ht="12.75">
      <c r="C994" s="279"/>
    </row>
    <row r="995" spans="3:3" ht="12.75">
      <c r="C995" s="279"/>
    </row>
    <row r="996" spans="3:3" ht="12.75">
      <c r="C996" s="279"/>
    </row>
    <row r="997" spans="3:3" ht="12.75">
      <c r="C997" s="279"/>
    </row>
    <row r="998" spans="3:3" ht="12.75">
      <c r="C998" s="279"/>
    </row>
    <row r="999" spans="3:3" ht="12.75">
      <c r="C999" s="279"/>
    </row>
    <row r="1000" spans="3:3" ht="12.75">
      <c r="C1000" s="279"/>
    </row>
  </sheetData>
  <mergeCells count="25">
    <mergeCell ref="D12:D13"/>
    <mergeCell ref="E12:E13"/>
    <mergeCell ref="F12:F13"/>
    <mergeCell ref="D122:J122"/>
    <mergeCell ref="D124:J124"/>
    <mergeCell ref="G12:G13"/>
    <mergeCell ref="H12:H13"/>
    <mergeCell ref="I12:I13"/>
    <mergeCell ref="J12:J13"/>
    <mergeCell ref="H111:I111"/>
    <mergeCell ref="G112:I112"/>
    <mergeCell ref="D114:J114"/>
    <mergeCell ref="A114:C114"/>
    <mergeCell ref="A122:C122"/>
    <mergeCell ref="A10:B11"/>
    <mergeCell ref="A12:A13"/>
    <mergeCell ref="B12:B13"/>
    <mergeCell ref="C12:C13"/>
    <mergeCell ref="A4:J4"/>
    <mergeCell ref="A6:J6"/>
    <mergeCell ref="A9:D9"/>
    <mergeCell ref="I9:J9"/>
    <mergeCell ref="C10:G10"/>
    <mergeCell ref="I10:J11"/>
    <mergeCell ref="C11:G11"/>
  </mergeCell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outlinePr summaryBelow="0" summaryRight="0"/>
  </sheetPr>
  <dimension ref="A1:Z1000"/>
  <sheetViews>
    <sheetView workbookViewId="0"/>
  </sheetViews>
  <sheetFormatPr defaultColWidth="12.5703125" defaultRowHeight="15.75" customHeight="1"/>
  <cols>
    <col min="1" max="1" width="13.85546875" customWidth="1"/>
    <col min="2" max="2" width="56.140625" customWidth="1"/>
    <col min="3" max="3" width="5.140625" customWidth="1"/>
    <col min="4" max="4" width="5.85546875" customWidth="1"/>
    <col min="5" max="5" width="11" customWidth="1"/>
    <col min="6" max="6" width="9.140625" customWidth="1"/>
    <col min="7" max="7" width="10.140625" customWidth="1"/>
    <col min="8" max="8" width="13.85546875" customWidth="1"/>
    <col min="9" max="9" width="10.85546875" customWidth="1"/>
    <col min="10" max="10" width="10.140625" customWidth="1"/>
    <col min="11" max="11" width="12.42578125" customWidth="1"/>
  </cols>
  <sheetData>
    <row r="1" spans="1:26" ht="15">
      <c r="A1" s="299"/>
      <c r="B1" s="300"/>
      <c r="C1" s="299"/>
      <c r="D1" s="299"/>
      <c r="E1" s="299"/>
      <c r="F1" s="299"/>
      <c r="G1" s="299"/>
      <c r="H1" s="1335" t="s">
        <v>4663</v>
      </c>
      <c r="I1" s="299"/>
      <c r="J1" s="299"/>
      <c r="K1" s="299"/>
      <c r="L1" s="1336"/>
      <c r="M1" s="299"/>
      <c r="N1" s="299"/>
      <c r="O1" s="299"/>
      <c r="P1" s="299"/>
      <c r="Q1" s="299"/>
      <c r="R1" s="299"/>
      <c r="S1" s="299"/>
      <c r="T1" s="299"/>
      <c r="U1" s="299"/>
      <c r="V1" s="299"/>
      <c r="W1" s="8"/>
      <c r="X1" s="8"/>
      <c r="Y1" s="8"/>
      <c r="Z1" s="8"/>
    </row>
    <row r="2" spans="1:26">
      <c r="A2" s="1337"/>
      <c r="B2" s="1338"/>
      <c r="C2" s="299"/>
      <c r="D2" s="299"/>
      <c r="E2" s="1502" t="s">
        <v>3174</v>
      </c>
      <c r="F2" s="1442"/>
      <c r="G2" s="1443"/>
      <c r="H2" s="1613" t="s">
        <v>3177</v>
      </c>
      <c r="I2" s="1442"/>
      <c r="J2" s="1443"/>
      <c r="K2" s="299"/>
      <c r="L2" s="1339">
        <v>44797</v>
      </c>
      <c r="M2" s="299"/>
      <c r="N2" s="299"/>
      <c r="O2" s="299"/>
      <c r="P2" s="299"/>
      <c r="Q2" s="299"/>
      <c r="R2" s="299"/>
      <c r="S2" s="299"/>
      <c r="T2" s="299"/>
      <c r="U2" s="299"/>
      <c r="V2" s="299"/>
      <c r="W2" s="8"/>
      <c r="X2" s="8"/>
      <c r="Y2" s="8"/>
      <c r="Z2" s="8"/>
    </row>
    <row r="3" spans="1:26">
      <c r="A3" s="1340" t="s">
        <v>3171</v>
      </c>
      <c r="B3" s="1341" t="s">
        <v>3172</v>
      </c>
      <c r="C3" s="1342" t="s">
        <v>3173</v>
      </c>
      <c r="D3" s="1342" t="s">
        <v>92</v>
      </c>
      <c r="E3" s="1342" t="s">
        <v>2759</v>
      </c>
      <c r="F3" s="1342" t="s">
        <v>4664</v>
      </c>
      <c r="G3" s="1342" t="s">
        <v>4665</v>
      </c>
      <c r="H3" s="1343" t="s">
        <v>2759</v>
      </c>
      <c r="I3" s="1342" t="s">
        <v>93</v>
      </c>
      <c r="J3" s="1342" t="s">
        <v>4666</v>
      </c>
      <c r="K3" s="1344" t="s">
        <v>4667</v>
      </c>
      <c r="L3" s="1336" t="s">
        <v>944</v>
      </c>
      <c r="M3" s="299"/>
      <c r="N3" s="299"/>
      <c r="O3" s="299"/>
      <c r="P3" s="299"/>
      <c r="Q3" s="299"/>
      <c r="R3" s="299"/>
      <c r="S3" s="299"/>
      <c r="T3" s="299"/>
      <c r="U3" s="299"/>
      <c r="V3" s="299"/>
      <c r="W3" s="8"/>
      <c r="X3" s="8"/>
      <c r="Y3" s="8"/>
      <c r="Z3" s="8"/>
    </row>
    <row r="4" spans="1:26" ht="47.25">
      <c r="A4" s="1345" t="s">
        <v>4668</v>
      </c>
      <c r="B4" s="370" t="s">
        <v>4669</v>
      </c>
      <c r="C4" s="359" t="s">
        <v>3181</v>
      </c>
      <c r="D4" s="359" t="s">
        <v>773</v>
      </c>
      <c r="E4" s="359">
        <v>10</v>
      </c>
      <c r="F4" s="359">
        <v>590</v>
      </c>
      <c r="G4" s="1346">
        <v>5900</v>
      </c>
      <c r="H4" s="1347">
        <v>10</v>
      </c>
      <c r="I4" s="359">
        <v>590</v>
      </c>
      <c r="J4" s="1346">
        <v>5900</v>
      </c>
      <c r="K4" s="1335"/>
      <c r="L4" s="1336"/>
      <c r="M4" s="299"/>
      <c r="N4" s="299"/>
      <c r="O4" s="299"/>
      <c r="P4" s="299"/>
      <c r="Q4" s="299"/>
      <c r="R4" s="299"/>
      <c r="S4" s="299"/>
      <c r="T4" s="299"/>
      <c r="U4" s="299"/>
      <c r="V4" s="299"/>
      <c r="W4" s="8"/>
      <c r="X4" s="8"/>
      <c r="Y4" s="8"/>
      <c r="Z4" s="8"/>
    </row>
    <row r="5" spans="1:26" hidden="1">
      <c r="A5" s="1345" t="s">
        <v>3240</v>
      </c>
      <c r="B5" s="370" t="s">
        <v>3241</v>
      </c>
      <c r="C5" s="359" t="s">
        <v>3181</v>
      </c>
      <c r="D5" s="359" t="s">
        <v>902</v>
      </c>
      <c r="E5" s="359">
        <v>10</v>
      </c>
      <c r="F5" s="1346">
        <v>4650</v>
      </c>
      <c r="G5" s="1346">
        <v>46500</v>
      </c>
      <c r="H5" s="1347">
        <v>10</v>
      </c>
      <c r="I5" s="1346">
        <v>4650</v>
      </c>
      <c r="J5" s="1346">
        <v>46500</v>
      </c>
      <c r="K5" s="299"/>
      <c r="L5" s="299"/>
      <c r="M5" s="299"/>
      <c r="N5" s="299"/>
      <c r="O5" s="299"/>
      <c r="P5" s="299"/>
      <c r="Q5" s="299"/>
      <c r="R5" s="299"/>
      <c r="S5" s="299"/>
      <c r="T5" s="299"/>
      <c r="U5" s="299"/>
      <c r="V5" s="299"/>
      <c r="W5" s="8"/>
      <c r="X5" s="8"/>
      <c r="Y5" s="8"/>
      <c r="Z5" s="8"/>
    </row>
    <row r="6" spans="1:26" ht="47.25">
      <c r="A6" s="1345" t="s">
        <v>4670</v>
      </c>
      <c r="B6" s="370" t="s">
        <v>4343</v>
      </c>
      <c r="C6" s="359" t="s">
        <v>3181</v>
      </c>
      <c r="D6" s="359" t="s">
        <v>103</v>
      </c>
      <c r="E6" s="359">
        <v>10</v>
      </c>
      <c r="F6" s="1346">
        <v>5250</v>
      </c>
      <c r="G6" s="1346">
        <v>52500</v>
      </c>
      <c r="H6" s="1347">
        <v>10</v>
      </c>
      <c r="I6" s="1346">
        <v>5250</v>
      </c>
      <c r="J6" s="1346">
        <v>52500</v>
      </c>
      <c r="K6" s="1335" t="s">
        <v>4671</v>
      </c>
      <c r="L6" s="1336">
        <v>5</v>
      </c>
      <c r="M6" s="299"/>
      <c r="N6" s="299"/>
      <c r="O6" s="299"/>
      <c r="P6" s="299"/>
      <c r="Q6" s="299"/>
      <c r="R6" s="299"/>
      <c r="S6" s="299"/>
      <c r="T6" s="299"/>
      <c r="U6" s="299"/>
      <c r="V6" s="299"/>
      <c r="W6" s="8"/>
      <c r="X6" s="8"/>
      <c r="Y6" s="8"/>
      <c r="Z6" s="8"/>
    </row>
    <row r="7" spans="1:26" hidden="1">
      <c r="A7" s="1345" t="s">
        <v>4672</v>
      </c>
      <c r="B7" s="370" t="s">
        <v>4673</v>
      </c>
      <c r="C7" s="359" t="s">
        <v>3181</v>
      </c>
      <c r="D7" s="359" t="s">
        <v>103</v>
      </c>
      <c r="E7" s="359">
        <v>20</v>
      </c>
      <c r="F7" s="359">
        <v>150</v>
      </c>
      <c r="G7" s="1346">
        <v>3000</v>
      </c>
      <c r="H7" s="1347">
        <v>20</v>
      </c>
      <c r="I7" s="359">
        <v>150</v>
      </c>
      <c r="J7" s="1346">
        <v>3000</v>
      </c>
      <c r="K7" s="299"/>
      <c r="L7" s="299"/>
      <c r="M7" s="299"/>
      <c r="N7" s="299"/>
      <c r="O7" s="299"/>
      <c r="P7" s="299"/>
      <c r="Q7" s="299"/>
      <c r="R7" s="299"/>
      <c r="S7" s="299"/>
      <c r="T7" s="299"/>
      <c r="U7" s="299"/>
      <c r="V7" s="299"/>
      <c r="W7" s="8"/>
      <c r="X7" s="8"/>
      <c r="Y7" s="8"/>
      <c r="Z7" s="8"/>
    </row>
    <row r="8" spans="1:26" ht="31.5">
      <c r="A8" s="1345" t="s">
        <v>4674</v>
      </c>
      <c r="B8" s="370" t="s">
        <v>4344</v>
      </c>
      <c r="C8" s="359" t="s">
        <v>3181</v>
      </c>
      <c r="D8" s="359" t="s">
        <v>902</v>
      </c>
      <c r="E8" s="359">
        <v>3</v>
      </c>
      <c r="F8" s="359">
        <v>639</v>
      </c>
      <c r="G8" s="1346">
        <v>1917</v>
      </c>
      <c r="H8" s="1347">
        <v>3</v>
      </c>
      <c r="I8" s="359">
        <v>639</v>
      </c>
      <c r="J8" s="1346">
        <v>1917</v>
      </c>
      <c r="K8" s="1335" t="s">
        <v>4671</v>
      </c>
      <c r="L8" s="1336">
        <v>3</v>
      </c>
      <c r="M8" s="299"/>
      <c r="N8" s="299"/>
      <c r="O8" s="299"/>
      <c r="P8" s="299"/>
      <c r="Q8" s="299"/>
      <c r="R8" s="299"/>
      <c r="S8" s="299"/>
      <c r="T8" s="299"/>
      <c r="U8" s="299"/>
      <c r="V8" s="299"/>
      <c r="W8" s="8"/>
      <c r="X8" s="8"/>
      <c r="Y8" s="8"/>
      <c r="Z8" s="8"/>
    </row>
    <row r="9" spans="1:26" hidden="1">
      <c r="A9" s="1345" t="s">
        <v>3242</v>
      </c>
      <c r="B9" s="370" t="s">
        <v>3243</v>
      </c>
      <c r="C9" s="359" t="s">
        <v>3181</v>
      </c>
      <c r="D9" s="359" t="s">
        <v>103</v>
      </c>
      <c r="E9" s="359">
        <v>18</v>
      </c>
      <c r="F9" s="359">
        <v>759.14</v>
      </c>
      <c r="G9" s="1346">
        <v>13664.5</v>
      </c>
      <c r="H9" s="1347">
        <v>18</v>
      </c>
      <c r="I9" s="359">
        <v>759.14</v>
      </c>
      <c r="J9" s="1346">
        <v>13664.5</v>
      </c>
      <c r="K9" s="299"/>
      <c r="L9" s="299"/>
      <c r="M9" s="299"/>
      <c r="N9" s="299"/>
      <c r="O9" s="299"/>
      <c r="P9" s="299"/>
      <c r="Q9" s="299"/>
      <c r="R9" s="299"/>
      <c r="S9" s="299"/>
      <c r="T9" s="299"/>
      <c r="U9" s="299"/>
      <c r="V9" s="299"/>
      <c r="W9" s="8"/>
      <c r="X9" s="8"/>
      <c r="Y9" s="8"/>
      <c r="Z9" s="8"/>
    </row>
    <row r="10" spans="1:26" hidden="1">
      <c r="A10" s="1345" t="s">
        <v>3244</v>
      </c>
      <c r="B10" s="370" t="s">
        <v>3245</v>
      </c>
      <c r="C10" s="359" t="s">
        <v>3181</v>
      </c>
      <c r="D10" s="359" t="s">
        <v>638</v>
      </c>
      <c r="E10" s="359">
        <v>40</v>
      </c>
      <c r="F10" s="359">
        <v>330</v>
      </c>
      <c r="G10" s="1346">
        <v>13200</v>
      </c>
      <c r="H10" s="1347">
        <v>31</v>
      </c>
      <c r="I10" s="359">
        <v>330</v>
      </c>
      <c r="J10" s="1346">
        <v>10230</v>
      </c>
      <c r="K10" s="299"/>
      <c r="L10" s="299"/>
      <c r="M10" s="299"/>
      <c r="N10" s="299"/>
      <c r="O10" s="299"/>
      <c r="P10" s="299"/>
      <c r="Q10" s="299"/>
      <c r="R10" s="299"/>
      <c r="S10" s="299"/>
      <c r="T10" s="299"/>
      <c r="U10" s="299"/>
      <c r="V10" s="299"/>
      <c r="W10" s="8"/>
      <c r="X10" s="8"/>
      <c r="Y10" s="8"/>
      <c r="Z10" s="8"/>
    </row>
    <row r="11" spans="1:26" ht="31.5" hidden="1">
      <c r="A11" s="1345" t="s">
        <v>3252</v>
      </c>
      <c r="B11" s="370" t="s">
        <v>807</v>
      </c>
      <c r="C11" s="359" t="s">
        <v>3181</v>
      </c>
      <c r="D11" s="359" t="s">
        <v>103</v>
      </c>
      <c r="E11" s="359">
        <v>158</v>
      </c>
      <c r="F11" s="359">
        <v>365</v>
      </c>
      <c r="G11" s="1346">
        <v>57670</v>
      </c>
      <c r="H11" s="1347">
        <v>148</v>
      </c>
      <c r="I11" s="359">
        <v>365</v>
      </c>
      <c r="J11" s="1346">
        <v>54020</v>
      </c>
      <c r="K11" s="299"/>
      <c r="L11" s="299"/>
      <c r="M11" s="299"/>
      <c r="N11" s="299"/>
      <c r="O11" s="299"/>
      <c r="P11" s="299"/>
      <c r="Q11" s="299"/>
      <c r="R11" s="299"/>
      <c r="S11" s="299"/>
      <c r="T11" s="299"/>
      <c r="U11" s="299"/>
      <c r="V11" s="299"/>
      <c r="W11" s="8"/>
      <c r="X11" s="8"/>
      <c r="Y11" s="8"/>
      <c r="Z11" s="8"/>
    </row>
    <row r="12" spans="1:26" ht="31.5" hidden="1">
      <c r="A12" s="1345" t="s">
        <v>3253</v>
      </c>
      <c r="B12" s="370" t="s">
        <v>3254</v>
      </c>
      <c r="C12" s="359" t="s">
        <v>3181</v>
      </c>
      <c r="D12" s="359" t="s">
        <v>103</v>
      </c>
      <c r="E12" s="359">
        <v>34</v>
      </c>
      <c r="F12" s="359">
        <v>365</v>
      </c>
      <c r="G12" s="1346">
        <v>12410</v>
      </c>
      <c r="H12" s="1347">
        <v>30</v>
      </c>
      <c r="I12" s="359">
        <v>365</v>
      </c>
      <c r="J12" s="1346">
        <v>10950</v>
      </c>
      <c r="K12" s="299"/>
      <c r="L12" s="299"/>
      <c r="M12" s="299"/>
      <c r="N12" s="299"/>
      <c r="O12" s="299"/>
      <c r="P12" s="299"/>
      <c r="Q12" s="299"/>
      <c r="R12" s="299"/>
      <c r="S12" s="299"/>
      <c r="T12" s="299"/>
      <c r="U12" s="299"/>
      <c r="V12" s="299"/>
      <c r="W12" s="8"/>
      <c r="X12" s="8"/>
      <c r="Y12" s="8"/>
      <c r="Z12" s="8"/>
    </row>
    <row r="13" spans="1:26" ht="31.5" hidden="1">
      <c r="A13" s="1345" t="s">
        <v>3255</v>
      </c>
      <c r="B13" s="370" t="s">
        <v>3256</v>
      </c>
      <c r="C13" s="359" t="s">
        <v>3181</v>
      </c>
      <c r="D13" s="359" t="s">
        <v>103</v>
      </c>
      <c r="E13" s="359">
        <v>34</v>
      </c>
      <c r="F13" s="359">
        <v>365</v>
      </c>
      <c r="G13" s="1346">
        <v>12410</v>
      </c>
      <c r="H13" s="1347">
        <v>30</v>
      </c>
      <c r="I13" s="359">
        <v>365</v>
      </c>
      <c r="J13" s="1346">
        <v>10950</v>
      </c>
      <c r="K13" s="299"/>
      <c r="L13" s="299"/>
      <c r="M13" s="299"/>
      <c r="N13" s="299"/>
      <c r="O13" s="299"/>
      <c r="P13" s="299"/>
      <c r="Q13" s="299"/>
      <c r="R13" s="299"/>
      <c r="S13" s="299"/>
      <c r="T13" s="299"/>
      <c r="U13" s="299"/>
      <c r="V13" s="299"/>
      <c r="W13" s="8"/>
      <c r="X13" s="8"/>
      <c r="Y13" s="8"/>
      <c r="Z13" s="8"/>
    </row>
    <row r="14" spans="1:26" ht="31.5" hidden="1">
      <c r="A14" s="1345" t="s">
        <v>3257</v>
      </c>
      <c r="B14" s="370" t="s">
        <v>3258</v>
      </c>
      <c r="C14" s="359" t="s">
        <v>3181</v>
      </c>
      <c r="D14" s="359" t="s">
        <v>103</v>
      </c>
      <c r="E14" s="359">
        <v>33</v>
      </c>
      <c r="F14" s="359">
        <v>365</v>
      </c>
      <c r="G14" s="1346">
        <v>12045</v>
      </c>
      <c r="H14" s="1347">
        <v>29</v>
      </c>
      <c r="I14" s="359">
        <v>365</v>
      </c>
      <c r="J14" s="1346">
        <v>10585</v>
      </c>
      <c r="K14" s="299"/>
      <c r="L14" s="299"/>
      <c r="M14" s="299"/>
      <c r="N14" s="299"/>
      <c r="O14" s="299"/>
      <c r="P14" s="299"/>
      <c r="Q14" s="299"/>
      <c r="R14" s="299"/>
      <c r="S14" s="299"/>
      <c r="T14" s="299"/>
      <c r="U14" s="299"/>
      <c r="V14" s="299"/>
      <c r="W14" s="8"/>
      <c r="X14" s="8"/>
      <c r="Y14" s="8"/>
      <c r="Z14" s="8"/>
    </row>
    <row r="15" spans="1:26" hidden="1">
      <c r="A15" s="1345" t="s">
        <v>4675</v>
      </c>
      <c r="B15" s="370" t="s">
        <v>4676</v>
      </c>
      <c r="C15" s="359" t="s">
        <v>3181</v>
      </c>
      <c r="D15" s="359" t="s">
        <v>103</v>
      </c>
      <c r="E15" s="359">
        <v>91</v>
      </c>
      <c r="F15" s="359">
        <v>288.66000000000003</v>
      </c>
      <c r="G15" s="1346">
        <v>26267.759999999998</v>
      </c>
      <c r="H15" s="1347">
        <v>90</v>
      </c>
      <c r="I15" s="359">
        <v>288.66000000000003</v>
      </c>
      <c r="J15" s="1346">
        <v>25979.1</v>
      </c>
      <c r="K15" s="299"/>
      <c r="L15" s="299"/>
      <c r="M15" s="299"/>
      <c r="N15" s="299"/>
      <c r="O15" s="299"/>
      <c r="P15" s="299"/>
      <c r="Q15" s="299"/>
      <c r="R15" s="299"/>
      <c r="S15" s="299"/>
      <c r="T15" s="299"/>
      <c r="U15" s="299"/>
      <c r="V15" s="299"/>
      <c r="W15" s="8"/>
      <c r="X15" s="8"/>
      <c r="Y15" s="8"/>
      <c r="Z15" s="8"/>
    </row>
    <row r="16" spans="1:26" hidden="1">
      <c r="A16" s="1345" t="s">
        <v>4677</v>
      </c>
      <c r="B16" s="370" t="s">
        <v>4678</v>
      </c>
      <c r="C16" s="359" t="s">
        <v>3181</v>
      </c>
      <c r="D16" s="359" t="s">
        <v>103</v>
      </c>
      <c r="E16" s="359">
        <v>20</v>
      </c>
      <c r="F16" s="359">
        <v>290.95999999999998</v>
      </c>
      <c r="G16" s="1346">
        <v>5819.22</v>
      </c>
      <c r="H16" s="1347">
        <v>19</v>
      </c>
      <c r="I16" s="359">
        <v>290.95999999999998</v>
      </c>
      <c r="J16" s="1346">
        <v>5528.26</v>
      </c>
      <c r="K16" s="299"/>
      <c r="L16" s="299"/>
      <c r="M16" s="299"/>
      <c r="N16" s="299"/>
      <c r="O16" s="299"/>
      <c r="P16" s="299"/>
      <c r="Q16" s="299"/>
      <c r="R16" s="299"/>
      <c r="S16" s="299"/>
      <c r="T16" s="299"/>
      <c r="U16" s="299"/>
      <c r="V16" s="299"/>
      <c r="W16" s="8"/>
      <c r="X16" s="8"/>
      <c r="Y16" s="8"/>
      <c r="Z16" s="8"/>
    </row>
    <row r="17" spans="1:26" hidden="1">
      <c r="A17" s="1345" t="s">
        <v>4679</v>
      </c>
      <c r="B17" s="370" t="s">
        <v>4680</v>
      </c>
      <c r="C17" s="359" t="s">
        <v>3181</v>
      </c>
      <c r="D17" s="359" t="s">
        <v>103</v>
      </c>
      <c r="E17" s="359">
        <v>83</v>
      </c>
      <c r="F17" s="359">
        <v>288.61</v>
      </c>
      <c r="G17" s="1346">
        <v>23955.01</v>
      </c>
      <c r="H17" s="1347">
        <v>82</v>
      </c>
      <c r="I17" s="359">
        <v>288.61</v>
      </c>
      <c r="J17" s="1346">
        <v>23666.39</v>
      </c>
      <c r="K17" s="299"/>
      <c r="L17" s="299"/>
      <c r="M17" s="299"/>
      <c r="N17" s="299"/>
      <c r="O17" s="299"/>
      <c r="P17" s="299"/>
      <c r="Q17" s="299"/>
      <c r="R17" s="299"/>
      <c r="S17" s="299"/>
      <c r="T17" s="299"/>
      <c r="U17" s="299"/>
      <c r="V17" s="299"/>
      <c r="W17" s="8"/>
      <c r="X17" s="8"/>
      <c r="Y17" s="8"/>
      <c r="Z17" s="8"/>
    </row>
    <row r="18" spans="1:26" hidden="1">
      <c r="A18" s="1345" t="s">
        <v>4681</v>
      </c>
      <c r="B18" s="370" t="s">
        <v>4682</v>
      </c>
      <c r="C18" s="359" t="s">
        <v>3181</v>
      </c>
      <c r="D18" s="359" t="s">
        <v>103</v>
      </c>
      <c r="E18" s="359">
        <v>3</v>
      </c>
      <c r="F18" s="1346">
        <v>3493.33</v>
      </c>
      <c r="G18" s="1346">
        <v>10480</v>
      </c>
      <c r="H18" s="1347">
        <v>3</v>
      </c>
      <c r="I18" s="1346">
        <v>3493.33</v>
      </c>
      <c r="J18" s="1346">
        <v>10480</v>
      </c>
      <c r="K18" s="299"/>
      <c r="L18" s="299"/>
      <c r="M18" s="299"/>
      <c r="N18" s="299"/>
      <c r="O18" s="299"/>
      <c r="P18" s="299"/>
      <c r="Q18" s="299"/>
      <c r="R18" s="299"/>
      <c r="S18" s="299"/>
      <c r="T18" s="299"/>
      <c r="U18" s="299"/>
      <c r="V18" s="299"/>
      <c r="W18" s="8"/>
      <c r="X18" s="8"/>
      <c r="Y18" s="8"/>
      <c r="Z18" s="8"/>
    </row>
    <row r="19" spans="1:26" ht="47.25">
      <c r="A19" s="1345" t="s">
        <v>4683</v>
      </c>
      <c r="B19" s="370" t="s">
        <v>4345</v>
      </c>
      <c r="C19" s="359" t="s">
        <v>3181</v>
      </c>
      <c r="D19" s="359" t="s">
        <v>103</v>
      </c>
      <c r="E19" s="359">
        <v>3</v>
      </c>
      <c r="F19" s="359">
        <v>430</v>
      </c>
      <c r="G19" s="1346">
        <v>1290</v>
      </c>
      <c r="H19" s="1347">
        <v>3</v>
      </c>
      <c r="I19" s="359">
        <v>430</v>
      </c>
      <c r="J19" s="1346">
        <v>1290</v>
      </c>
      <c r="K19" s="1335" t="s">
        <v>4671</v>
      </c>
      <c r="L19" s="1336">
        <v>3</v>
      </c>
      <c r="M19" s="299"/>
      <c r="N19" s="299"/>
      <c r="O19" s="299"/>
      <c r="P19" s="299"/>
      <c r="Q19" s="299"/>
      <c r="R19" s="299"/>
      <c r="S19" s="299"/>
      <c r="T19" s="299"/>
      <c r="U19" s="299"/>
      <c r="V19" s="299"/>
      <c r="W19" s="8"/>
      <c r="X19" s="8"/>
      <c r="Y19" s="8"/>
      <c r="Z19" s="8"/>
    </row>
    <row r="20" spans="1:26" hidden="1">
      <c r="A20" s="1345" t="s">
        <v>4684</v>
      </c>
      <c r="B20" s="370" t="s">
        <v>4685</v>
      </c>
      <c r="C20" s="359" t="s">
        <v>3181</v>
      </c>
      <c r="D20" s="359" t="s">
        <v>103</v>
      </c>
      <c r="E20" s="359">
        <v>3</v>
      </c>
      <c r="F20" s="359">
        <v>350</v>
      </c>
      <c r="G20" s="1346">
        <v>1050</v>
      </c>
      <c r="H20" s="1347">
        <v>3</v>
      </c>
      <c r="I20" s="359">
        <v>350</v>
      </c>
      <c r="J20" s="1346">
        <v>1050</v>
      </c>
      <c r="K20" s="299"/>
      <c r="L20" s="299"/>
      <c r="M20" s="299"/>
      <c r="N20" s="299"/>
      <c r="O20" s="299"/>
      <c r="P20" s="299"/>
      <c r="Q20" s="299"/>
      <c r="R20" s="299"/>
      <c r="S20" s="299"/>
      <c r="T20" s="299"/>
      <c r="U20" s="299"/>
      <c r="V20" s="299"/>
      <c r="W20" s="8"/>
      <c r="X20" s="8"/>
      <c r="Y20" s="8"/>
      <c r="Z20" s="8"/>
    </row>
    <row r="21" spans="1:26" hidden="1">
      <c r="A21" s="1345" t="s">
        <v>4686</v>
      </c>
      <c r="B21" s="370" t="s">
        <v>4687</v>
      </c>
      <c r="C21" s="359" t="s">
        <v>3181</v>
      </c>
      <c r="D21" s="359" t="s">
        <v>571</v>
      </c>
      <c r="E21" s="359">
        <v>1</v>
      </c>
      <c r="F21" s="359">
        <v>410</v>
      </c>
      <c r="G21" s="359">
        <v>410</v>
      </c>
      <c r="H21" s="1347">
        <v>0</v>
      </c>
      <c r="I21" s="359" t="s">
        <v>488</v>
      </c>
      <c r="J21" s="359" t="s">
        <v>488</v>
      </c>
      <c r="K21" s="299"/>
      <c r="L21" s="299"/>
      <c r="M21" s="299"/>
      <c r="N21" s="299"/>
      <c r="O21" s="299"/>
      <c r="P21" s="299"/>
      <c r="Q21" s="299"/>
      <c r="R21" s="299"/>
      <c r="S21" s="299"/>
      <c r="T21" s="299"/>
      <c r="U21" s="299"/>
      <c r="V21" s="299"/>
      <c r="W21" s="8"/>
      <c r="X21" s="8"/>
      <c r="Y21" s="8"/>
      <c r="Z21" s="8"/>
    </row>
    <row r="22" spans="1:26" hidden="1">
      <c r="A22" s="1345" t="s">
        <v>4688</v>
      </c>
      <c r="B22" s="370" t="s">
        <v>4689</v>
      </c>
      <c r="C22" s="359" t="s">
        <v>3181</v>
      </c>
      <c r="D22" s="359" t="s">
        <v>571</v>
      </c>
      <c r="E22" s="359">
        <v>1</v>
      </c>
      <c r="F22" s="359">
        <v>410</v>
      </c>
      <c r="G22" s="359">
        <v>410</v>
      </c>
      <c r="H22" s="1347">
        <v>0</v>
      </c>
      <c r="I22" s="359" t="s">
        <v>488</v>
      </c>
      <c r="J22" s="359" t="s">
        <v>488</v>
      </c>
      <c r="K22" s="299"/>
      <c r="L22" s="299"/>
      <c r="M22" s="299"/>
      <c r="N22" s="299"/>
      <c r="O22" s="299"/>
      <c r="P22" s="299"/>
      <c r="Q22" s="299"/>
      <c r="R22" s="299"/>
      <c r="S22" s="299"/>
      <c r="T22" s="299"/>
      <c r="U22" s="299"/>
      <c r="V22" s="299"/>
      <c r="W22" s="8"/>
      <c r="X22" s="8"/>
      <c r="Y22" s="8"/>
      <c r="Z22" s="8"/>
    </row>
    <row r="23" spans="1:26" hidden="1">
      <c r="A23" s="1345" t="s">
        <v>4690</v>
      </c>
      <c r="B23" s="370" t="s">
        <v>4691</v>
      </c>
      <c r="C23" s="359" t="s">
        <v>3181</v>
      </c>
      <c r="D23" s="359" t="s">
        <v>571</v>
      </c>
      <c r="E23" s="359">
        <v>1</v>
      </c>
      <c r="F23" s="359">
        <v>410</v>
      </c>
      <c r="G23" s="359">
        <v>410</v>
      </c>
      <c r="H23" s="1347">
        <v>0</v>
      </c>
      <c r="I23" s="359" t="s">
        <v>488</v>
      </c>
      <c r="J23" s="359" t="s">
        <v>488</v>
      </c>
      <c r="K23" s="299"/>
      <c r="L23" s="299"/>
      <c r="M23" s="299"/>
      <c r="N23" s="299"/>
      <c r="O23" s="299"/>
      <c r="P23" s="299"/>
      <c r="Q23" s="299"/>
      <c r="R23" s="299"/>
      <c r="S23" s="299"/>
      <c r="T23" s="299"/>
      <c r="U23" s="299"/>
      <c r="V23" s="299"/>
      <c r="W23" s="8"/>
      <c r="X23" s="8"/>
      <c r="Y23" s="8"/>
      <c r="Z23" s="8"/>
    </row>
    <row r="24" spans="1:26" hidden="1">
      <c r="A24" s="1345" t="s">
        <v>3263</v>
      </c>
      <c r="B24" s="370" t="s">
        <v>501</v>
      </c>
      <c r="C24" s="359" t="s">
        <v>3181</v>
      </c>
      <c r="D24" s="359" t="s">
        <v>902</v>
      </c>
      <c r="E24" s="359">
        <v>4</v>
      </c>
      <c r="F24" s="1346">
        <v>35200</v>
      </c>
      <c r="G24" s="1346">
        <v>140800</v>
      </c>
      <c r="H24" s="1347">
        <v>4</v>
      </c>
      <c r="I24" s="1346">
        <v>35200</v>
      </c>
      <c r="J24" s="1346">
        <v>140800</v>
      </c>
      <c r="K24" s="299"/>
      <c r="L24" s="299"/>
      <c r="M24" s="299"/>
      <c r="N24" s="299"/>
      <c r="O24" s="299"/>
      <c r="P24" s="299"/>
      <c r="Q24" s="299"/>
      <c r="R24" s="299"/>
      <c r="S24" s="299"/>
      <c r="T24" s="299"/>
      <c r="U24" s="299"/>
      <c r="V24" s="299"/>
      <c r="W24" s="8"/>
      <c r="X24" s="8"/>
      <c r="Y24" s="8"/>
      <c r="Z24" s="8"/>
    </row>
    <row r="25" spans="1:26" hidden="1">
      <c r="A25" s="1345" t="s">
        <v>3264</v>
      </c>
      <c r="B25" s="370" t="s">
        <v>3265</v>
      </c>
      <c r="C25" s="359" t="s">
        <v>3181</v>
      </c>
      <c r="D25" s="359" t="s">
        <v>902</v>
      </c>
      <c r="E25" s="359">
        <v>107</v>
      </c>
      <c r="F25" s="1346">
        <v>8800</v>
      </c>
      <c r="G25" s="1346">
        <v>941600</v>
      </c>
      <c r="H25" s="1347">
        <v>107</v>
      </c>
      <c r="I25" s="1346">
        <v>8800</v>
      </c>
      <c r="J25" s="1346">
        <v>941600</v>
      </c>
      <c r="K25" s="299"/>
      <c r="L25" s="299"/>
      <c r="M25" s="299"/>
      <c r="N25" s="299"/>
      <c r="O25" s="299"/>
      <c r="P25" s="299"/>
      <c r="Q25" s="299"/>
      <c r="R25" s="299"/>
      <c r="S25" s="299"/>
      <c r="T25" s="299"/>
      <c r="U25" s="299"/>
      <c r="V25" s="299"/>
      <c r="W25" s="8"/>
      <c r="X25" s="8"/>
      <c r="Y25" s="8"/>
      <c r="Z25" s="8"/>
    </row>
    <row r="26" spans="1:26" hidden="1">
      <c r="A26" s="1345" t="s">
        <v>3266</v>
      </c>
      <c r="B26" s="370" t="s">
        <v>3267</v>
      </c>
      <c r="C26" s="359" t="s">
        <v>3181</v>
      </c>
      <c r="D26" s="359" t="s">
        <v>103</v>
      </c>
      <c r="E26" s="359">
        <v>27</v>
      </c>
      <c r="F26" s="1346">
        <v>6720</v>
      </c>
      <c r="G26" s="1346">
        <v>181440</v>
      </c>
      <c r="H26" s="1347">
        <v>43</v>
      </c>
      <c r="I26" s="1346">
        <v>6720</v>
      </c>
      <c r="J26" s="1346">
        <v>288960</v>
      </c>
      <c r="K26" s="299"/>
      <c r="L26" s="299"/>
      <c r="M26" s="299"/>
      <c r="N26" s="299"/>
      <c r="O26" s="299"/>
      <c r="P26" s="299"/>
      <c r="Q26" s="299"/>
      <c r="R26" s="299"/>
      <c r="S26" s="299"/>
      <c r="T26" s="299"/>
      <c r="U26" s="299"/>
      <c r="V26" s="299"/>
      <c r="W26" s="8"/>
      <c r="X26" s="8"/>
      <c r="Y26" s="8"/>
      <c r="Z26" s="8"/>
    </row>
    <row r="27" spans="1:26" hidden="1">
      <c r="A27" s="1345" t="s">
        <v>3268</v>
      </c>
      <c r="B27" s="370" t="s">
        <v>780</v>
      </c>
      <c r="C27" s="359" t="s">
        <v>3181</v>
      </c>
      <c r="D27" s="359" t="s">
        <v>118</v>
      </c>
      <c r="E27" s="359">
        <v>2</v>
      </c>
      <c r="F27" s="1346">
        <v>18000</v>
      </c>
      <c r="G27" s="1346">
        <v>36000</v>
      </c>
      <c r="H27" s="1347">
        <v>2</v>
      </c>
      <c r="I27" s="1346">
        <v>18000</v>
      </c>
      <c r="J27" s="1346">
        <v>36000</v>
      </c>
      <c r="K27" s="299"/>
      <c r="L27" s="299"/>
      <c r="M27" s="299"/>
      <c r="N27" s="299"/>
      <c r="O27" s="299"/>
      <c r="P27" s="299"/>
      <c r="Q27" s="299"/>
      <c r="R27" s="299"/>
      <c r="S27" s="299"/>
      <c r="T27" s="299"/>
      <c r="U27" s="299"/>
      <c r="V27" s="299"/>
      <c r="W27" s="8"/>
      <c r="X27" s="8"/>
      <c r="Y27" s="8"/>
      <c r="Z27" s="8"/>
    </row>
    <row r="28" spans="1:26" hidden="1">
      <c r="A28" s="1345" t="s">
        <v>3270</v>
      </c>
      <c r="B28" s="370" t="s">
        <v>3235</v>
      </c>
      <c r="C28" s="359" t="s">
        <v>3181</v>
      </c>
      <c r="D28" s="359" t="s">
        <v>103</v>
      </c>
      <c r="E28" s="359">
        <v>29</v>
      </c>
      <c r="F28" s="1346">
        <v>6470</v>
      </c>
      <c r="G28" s="1346">
        <v>187630</v>
      </c>
      <c r="H28" s="1347">
        <v>49</v>
      </c>
      <c r="I28" s="1346">
        <v>6470</v>
      </c>
      <c r="J28" s="1346">
        <v>317030</v>
      </c>
      <c r="K28" s="299"/>
      <c r="L28" s="299"/>
      <c r="M28" s="299"/>
      <c r="N28" s="299"/>
      <c r="O28" s="299"/>
      <c r="P28" s="299"/>
      <c r="Q28" s="299"/>
      <c r="R28" s="299"/>
      <c r="S28" s="299"/>
      <c r="T28" s="299"/>
      <c r="U28" s="299"/>
      <c r="V28" s="299"/>
      <c r="W28" s="8"/>
      <c r="X28" s="8"/>
      <c r="Y28" s="8"/>
      <c r="Z28" s="8"/>
    </row>
    <row r="29" spans="1:26" hidden="1">
      <c r="A29" s="1345" t="s">
        <v>3269</v>
      </c>
      <c r="B29" s="370" t="s">
        <v>779</v>
      </c>
      <c r="C29" s="359" t="s">
        <v>3181</v>
      </c>
      <c r="D29" s="359" t="s">
        <v>103</v>
      </c>
      <c r="E29" s="359">
        <v>12</v>
      </c>
      <c r="F29" s="1346">
        <v>7800</v>
      </c>
      <c r="G29" s="1346">
        <v>93600</v>
      </c>
      <c r="H29" s="1347">
        <v>20</v>
      </c>
      <c r="I29" s="1346">
        <v>7800</v>
      </c>
      <c r="J29" s="1346">
        <v>156000</v>
      </c>
      <c r="K29" s="299"/>
      <c r="L29" s="299"/>
      <c r="M29" s="299"/>
      <c r="N29" s="299"/>
      <c r="O29" s="299"/>
      <c r="P29" s="299"/>
      <c r="Q29" s="299"/>
      <c r="R29" s="299"/>
      <c r="S29" s="299"/>
      <c r="T29" s="299"/>
      <c r="U29" s="299"/>
      <c r="V29" s="299"/>
      <c r="W29" s="8"/>
      <c r="X29" s="8"/>
      <c r="Y29" s="8"/>
      <c r="Z29" s="8"/>
    </row>
    <row r="30" spans="1:26" hidden="1">
      <c r="A30" s="1345" t="s">
        <v>3282</v>
      </c>
      <c r="B30" s="370" t="s">
        <v>3283</v>
      </c>
      <c r="C30" s="359" t="s">
        <v>3181</v>
      </c>
      <c r="D30" s="359" t="s">
        <v>103</v>
      </c>
      <c r="E30" s="359">
        <v>42</v>
      </c>
      <c r="F30" s="1346">
        <v>8800</v>
      </c>
      <c r="G30" s="1346">
        <v>369600</v>
      </c>
      <c r="H30" s="1347">
        <v>31</v>
      </c>
      <c r="I30" s="1346">
        <v>8800</v>
      </c>
      <c r="J30" s="1346">
        <v>272800</v>
      </c>
      <c r="K30" s="299"/>
      <c r="L30" s="299"/>
      <c r="M30" s="299"/>
      <c r="N30" s="299"/>
      <c r="O30" s="299"/>
      <c r="P30" s="299"/>
      <c r="Q30" s="299"/>
      <c r="R30" s="299"/>
      <c r="S30" s="299"/>
      <c r="T30" s="299"/>
      <c r="U30" s="299"/>
      <c r="V30" s="299"/>
      <c r="W30" s="8"/>
      <c r="X30" s="8"/>
      <c r="Y30" s="8"/>
      <c r="Z30" s="8"/>
    </row>
    <row r="31" spans="1:26" hidden="1">
      <c r="A31" s="1345" t="s">
        <v>3273</v>
      </c>
      <c r="B31" s="370" t="s">
        <v>3274</v>
      </c>
      <c r="C31" s="359" t="s">
        <v>3181</v>
      </c>
      <c r="D31" s="359" t="s">
        <v>103</v>
      </c>
      <c r="E31" s="359">
        <v>20</v>
      </c>
      <c r="F31" s="1346">
        <v>8500</v>
      </c>
      <c r="G31" s="1346">
        <v>170000</v>
      </c>
      <c r="H31" s="1347">
        <v>16</v>
      </c>
      <c r="I31" s="1346">
        <v>8500</v>
      </c>
      <c r="J31" s="1346">
        <v>136000</v>
      </c>
      <c r="K31" s="299"/>
      <c r="L31" s="299"/>
      <c r="M31" s="299"/>
      <c r="N31" s="299"/>
      <c r="O31" s="299"/>
      <c r="P31" s="299"/>
      <c r="Q31" s="299"/>
      <c r="R31" s="299"/>
      <c r="S31" s="299"/>
      <c r="T31" s="299"/>
      <c r="U31" s="299"/>
      <c r="V31" s="299"/>
      <c r="W31" s="8"/>
      <c r="X31" s="8"/>
      <c r="Y31" s="8"/>
      <c r="Z31" s="8"/>
    </row>
    <row r="32" spans="1:26" hidden="1">
      <c r="A32" s="1345" t="s">
        <v>4692</v>
      </c>
      <c r="B32" s="370" t="s">
        <v>4693</v>
      </c>
      <c r="C32" s="359" t="s">
        <v>3181</v>
      </c>
      <c r="D32" s="359" t="s">
        <v>103</v>
      </c>
      <c r="E32" s="359">
        <v>1</v>
      </c>
      <c r="F32" s="359">
        <v>528</v>
      </c>
      <c r="G32" s="359">
        <v>528</v>
      </c>
      <c r="H32" s="1347">
        <v>1</v>
      </c>
      <c r="I32" s="359">
        <v>528</v>
      </c>
      <c r="J32" s="359">
        <v>528</v>
      </c>
      <c r="K32" s="299"/>
      <c r="L32" s="299"/>
      <c r="M32" s="299"/>
      <c r="N32" s="299"/>
      <c r="O32" s="299"/>
      <c r="P32" s="299"/>
      <c r="Q32" s="299"/>
      <c r="R32" s="299"/>
      <c r="S32" s="299"/>
      <c r="T32" s="299"/>
      <c r="U32" s="299"/>
      <c r="V32" s="299"/>
      <c r="W32" s="8"/>
      <c r="X32" s="8"/>
      <c r="Y32" s="8"/>
      <c r="Z32" s="8"/>
    </row>
    <row r="33" spans="1:26" ht="31.5">
      <c r="A33" s="1345" t="s">
        <v>4694</v>
      </c>
      <c r="B33" s="370" t="s">
        <v>4346</v>
      </c>
      <c r="C33" s="359" t="s">
        <v>3181</v>
      </c>
      <c r="D33" s="359" t="s">
        <v>103</v>
      </c>
      <c r="E33" s="359">
        <v>10</v>
      </c>
      <c r="F33" s="359">
        <v>480</v>
      </c>
      <c r="G33" s="1346">
        <v>4800</v>
      </c>
      <c r="H33" s="1347">
        <v>10</v>
      </c>
      <c r="I33" s="359">
        <v>480</v>
      </c>
      <c r="J33" s="1346">
        <v>4800</v>
      </c>
      <c r="K33" s="1335" t="s">
        <v>4671</v>
      </c>
      <c r="L33" s="1336">
        <v>10</v>
      </c>
      <c r="M33" s="299"/>
      <c r="N33" s="299"/>
      <c r="O33" s="299"/>
      <c r="P33" s="299"/>
      <c r="Q33" s="299"/>
      <c r="R33" s="299"/>
      <c r="S33" s="299"/>
      <c r="T33" s="299"/>
      <c r="U33" s="299"/>
      <c r="V33" s="299"/>
      <c r="W33" s="8"/>
      <c r="X33" s="8"/>
      <c r="Y33" s="8"/>
      <c r="Z33" s="8"/>
    </row>
    <row r="34" spans="1:26" ht="31.5" hidden="1">
      <c r="A34" s="1345" t="s">
        <v>4695</v>
      </c>
      <c r="B34" s="370" t="s">
        <v>4696</v>
      </c>
      <c r="C34" s="359" t="s">
        <v>3181</v>
      </c>
      <c r="D34" s="359" t="s">
        <v>103</v>
      </c>
      <c r="E34" s="359">
        <v>4</v>
      </c>
      <c r="F34" s="1346">
        <v>3680</v>
      </c>
      <c r="G34" s="1346">
        <v>14720</v>
      </c>
      <c r="H34" s="1347">
        <v>4</v>
      </c>
      <c r="I34" s="1346">
        <v>3680</v>
      </c>
      <c r="J34" s="1346">
        <v>14720</v>
      </c>
      <c r="K34" s="299"/>
      <c r="L34" s="299"/>
      <c r="M34" s="299"/>
      <c r="N34" s="299"/>
      <c r="O34" s="299"/>
      <c r="P34" s="299"/>
      <c r="Q34" s="299"/>
      <c r="R34" s="299"/>
      <c r="S34" s="299"/>
      <c r="T34" s="299"/>
      <c r="U34" s="299"/>
      <c r="V34" s="299"/>
      <c r="W34" s="8"/>
      <c r="X34" s="8"/>
      <c r="Y34" s="8"/>
      <c r="Z34" s="8"/>
    </row>
    <row r="35" spans="1:26" hidden="1">
      <c r="A35" s="1345" t="s">
        <v>3275</v>
      </c>
      <c r="B35" s="370" t="s">
        <v>239</v>
      </c>
      <c r="C35" s="359" t="s">
        <v>3181</v>
      </c>
      <c r="D35" s="359" t="s">
        <v>103</v>
      </c>
      <c r="E35" s="359">
        <v>29</v>
      </c>
      <c r="F35" s="359">
        <v>189.55</v>
      </c>
      <c r="G35" s="1346">
        <v>5496.82</v>
      </c>
      <c r="H35" s="1347">
        <v>26</v>
      </c>
      <c r="I35" s="359">
        <v>189.55</v>
      </c>
      <c r="J35" s="1346">
        <v>4928.18</v>
      </c>
      <c r="K35" s="299"/>
      <c r="L35" s="299"/>
      <c r="M35" s="299"/>
      <c r="N35" s="299"/>
      <c r="O35" s="299"/>
      <c r="P35" s="299"/>
      <c r="Q35" s="299"/>
      <c r="R35" s="299"/>
      <c r="S35" s="299"/>
      <c r="T35" s="299"/>
      <c r="U35" s="299"/>
      <c r="V35" s="299"/>
      <c r="W35" s="8"/>
      <c r="X35" s="8"/>
      <c r="Y35" s="8"/>
      <c r="Z35" s="8"/>
    </row>
    <row r="36" spans="1:26" hidden="1">
      <c r="A36" s="1345" t="s">
        <v>4697</v>
      </c>
      <c r="B36" s="370" t="s">
        <v>4698</v>
      </c>
      <c r="C36" s="359" t="s">
        <v>3181</v>
      </c>
      <c r="D36" s="359" t="s">
        <v>103</v>
      </c>
      <c r="E36" s="359">
        <v>10</v>
      </c>
      <c r="F36" s="359">
        <v>95</v>
      </c>
      <c r="G36" s="359">
        <v>950</v>
      </c>
      <c r="H36" s="1347">
        <v>0</v>
      </c>
      <c r="I36" s="359" t="s">
        <v>488</v>
      </c>
      <c r="J36" s="359" t="s">
        <v>488</v>
      </c>
      <c r="K36" s="1335"/>
      <c r="L36" s="299"/>
      <c r="M36" s="299"/>
      <c r="N36" s="299"/>
      <c r="O36" s="299"/>
      <c r="P36" s="299"/>
      <c r="Q36" s="299"/>
      <c r="R36" s="299"/>
      <c r="S36" s="299"/>
      <c r="T36" s="299"/>
      <c r="U36" s="299"/>
      <c r="V36" s="299"/>
      <c r="W36" s="8"/>
      <c r="X36" s="8"/>
      <c r="Y36" s="8"/>
      <c r="Z36" s="8"/>
    </row>
    <row r="37" spans="1:26" ht="31.5" hidden="1">
      <c r="A37" s="1345" t="s">
        <v>3288</v>
      </c>
      <c r="B37" s="370" t="s">
        <v>4699</v>
      </c>
      <c r="C37" s="359" t="s">
        <v>3181</v>
      </c>
      <c r="D37" s="359" t="s">
        <v>103</v>
      </c>
      <c r="E37" s="359">
        <v>455</v>
      </c>
      <c r="F37" s="359">
        <v>180</v>
      </c>
      <c r="G37" s="1346">
        <v>81900</v>
      </c>
      <c r="H37" s="1347">
        <v>411</v>
      </c>
      <c r="I37" s="359">
        <v>180</v>
      </c>
      <c r="J37" s="1346">
        <v>73980</v>
      </c>
      <c r="K37" s="299"/>
      <c r="L37" s="299"/>
      <c r="M37" s="299"/>
      <c r="N37" s="299"/>
      <c r="O37" s="299"/>
      <c r="P37" s="299"/>
      <c r="Q37" s="299"/>
      <c r="R37" s="299"/>
      <c r="S37" s="299"/>
      <c r="T37" s="299"/>
      <c r="U37" s="299"/>
      <c r="V37" s="299"/>
      <c r="W37" s="8"/>
      <c r="X37" s="8"/>
      <c r="Y37" s="8"/>
      <c r="Z37" s="8"/>
    </row>
    <row r="38" spans="1:26" hidden="1">
      <c r="A38" s="1345" t="s">
        <v>4700</v>
      </c>
      <c r="B38" s="370" t="s">
        <v>4701</v>
      </c>
      <c r="C38" s="359" t="s">
        <v>3195</v>
      </c>
      <c r="D38" s="359" t="s">
        <v>103</v>
      </c>
      <c r="E38" s="359">
        <v>340</v>
      </c>
      <c r="F38" s="359">
        <v>322.06</v>
      </c>
      <c r="G38" s="1346">
        <v>109500</v>
      </c>
      <c r="H38" s="1347">
        <v>340</v>
      </c>
      <c r="I38" s="359">
        <v>322.06</v>
      </c>
      <c r="J38" s="1346">
        <v>109500</v>
      </c>
      <c r="K38" s="299"/>
      <c r="L38" s="299"/>
      <c r="M38" s="299"/>
      <c r="N38" s="299"/>
      <c r="O38" s="299"/>
      <c r="P38" s="299"/>
      <c r="Q38" s="299"/>
      <c r="R38" s="299"/>
      <c r="S38" s="299"/>
      <c r="T38" s="299"/>
      <c r="U38" s="299"/>
      <c r="V38" s="299"/>
      <c r="W38" s="8"/>
      <c r="X38" s="8"/>
      <c r="Y38" s="8"/>
      <c r="Z38" s="8"/>
    </row>
    <row r="39" spans="1:26" ht="31.5" hidden="1">
      <c r="A39" s="1345" t="s">
        <v>3217</v>
      </c>
      <c r="B39" s="370" t="s">
        <v>4702</v>
      </c>
      <c r="C39" s="359" t="s">
        <v>3195</v>
      </c>
      <c r="D39" s="359" t="s">
        <v>571</v>
      </c>
      <c r="E39" s="359">
        <v>215</v>
      </c>
      <c r="F39" s="359">
        <v>339.65</v>
      </c>
      <c r="G39" s="1346">
        <v>73025</v>
      </c>
      <c r="H39" s="1347">
        <v>215</v>
      </c>
      <c r="I39" s="359">
        <v>339.65</v>
      </c>
      <c r="J39" s="1346">
        <v>73025</v>
      </c>
      <c r="K39" s="299"/>
      <c r="L39" s="299"/>
      <c r="M39" s="299"/>
      <c r="N39" s="299"/>
      <c r="O39" s="299"/>
      <c r="P39" s="299"/>
      <c r="Q39" s="299"/>
      <c r="R39" s="299"/>
      <c r="S39" s="299"/>
      <c r="T39" s="299"/>
      <c r="U39" s="299"/>
      <c r="V39" s="299"/>
      <c r="W39" s="8"/>
      <c r="X39" s="8"/>
      <c r="Y39" s="8"/>
      <c r="Z39" s="8"/>
    </row>
    <row r="40" spans="1:26" hidden="1">
      <c r="A40" s="1345" t="s">
        <v>3218</v>
      </c>
      <c r="B40" s="370" t="s">
        <v>4703</v>
      </c>
      <c r="C40" s="359" t="s">
        <v>3195</v>
      </c>
      <c r="D40" s="359" t="s">
        <v>103</v>
      </c>
      <c r="E40" s="359">
        <v>350</v>
      </c>
      <c r="F40" s="359">
        <v>322.43</v>
      </c>
      <c r="G40" s="1346">
        <v>112850</v>
      </c>
      <c r="H40" s="1347">
        <v>350</v>
      </c>
      <c r="I40" s="359">
        <v>322.43</v>
      </c>
      <c r="J40" s="1346">
        <v>112850</v>
      </c>
      <c r="K40" s="299"/>
      <c r="L40" s="299"/>
      <c r="M40" s="299"/>
      <c r="N40" s="299"/>
      <c r="O40" s="299"/>
      <c r="P40" s="299"/>
      <c r="Q40" s="299"/>
      <c r="R40" s="299"/>
      <c r="S40" s="299"/>
      <c r="T40" s="299"/>
      <c r="U40" s="299"/>
      <c r="V40" s="299"/>
      <c r="W40" s="8"/>
      <c r="X40" s="8"/>
      <c r="Y40" s="8"/>
      <c r="Z40" s="8"/>
    </row>
    <row r="41" spans="1:26" hidden="1">
      <c r="A41" s="1345" t="s">
        <v>4704</v>
      </c>
      <c r="B41" s="370" t="s">
        <v>4705</v>
      </c>
      <c r="C41" s="359" t="s">
        <v>3195</v>
      </c>
      <c r="D41" s="359" t="s">
        <v>103</v>
      </c>
      <c r="E41" s="359">
        <v>4</v>
      </c>
      <c r="F41" s="359">
        <v>599</v>
      </c>
      <c r="G41" s="1346">
        <v>2396</v>
      </c>
      <c r="H41" s="1347">
        <v>4</v>
      </c>
      <c r="I41" s="359">
        <v>599</v>
      </c>
      <c r="J41" s="1346">
        <v>2396</v>
      </c>
      <c r="K41" s="299"/>
      <c r="L41" s="299"/>
      <c r="M41" s="299"/>
      <c r="N41" s="299"/>
      <c r="O41" s="299"/>
      <c r="P41" s="299"/>
      <c r="Q41" s="299"/>
      <c r="R41" s="299"/>
      <c r="S41" s="299"/>
      <c r="T41" s="299"/>
      <c r="U41" s="299"/>
      <c r="V41" s="299"/>
      <c r="W41" s="8"/>
      <c r="X41" s="8"/>
      <c r="Y41" s="8"/>
      <c r="Z41" s="8"/>
    </row>
    <row r="42" spans="1:26" ht="47.25" hidden="1">
      <c r="A42" s="1345" t="s">
        <v>3216</v>
      </c>
      <c r="B42" s="370" t="s">
        <v>4706</v>
      </c>
      <c r="C42" s="359" t="s">
        <v>3195</v>
      </c>
      <c r="D42" s="359" t="s">
        <v>103</v>
      </c>
      <c r="E42" s="359">
        <v>110</v>
      </c>
      <c r="F42" s="359">
        <v>317.12</v>
      </c>
      <c r="G42" s="1346">
        <v>34882.94</v>
      </c>
      <c r="H42" s="1347">
        <v>89</v>
      </c>
      <c r="I42" s="359">
        <v>317.12</v>
      </c>
      <c r="J42" s="1346">
        <v>28223.47</v>
      </c>
      <c r="K42" s="299"/>
      <c r="L42" s="299"/>
      <c r="M42" s="299"/>
      <c r="N42" s="299"/>
      <c r="O42" s="299"/>
      <c r="P42" s="299"/>
      <c r="Q42" s="299"/>
      <c r="R42" s="299"/>
      <c r="S42" s="299"/>
      <c r="T42" s="299"/>
      <c r="U42" s="299"/>
      <c r="V42" s="299"/>
      <c r="W42" s="8"/>
      <c r="X42" s="8"/>
      <c r="Y42" s="8"/>
      <c r="Z42" s="8"/>
    </row>
    <row r="43" spans="1:26" ht="31.5" hidden="1">
      <c r="A43" s="1345" t="s">
        <v>4707</v>
      </c>
      <c r="B43" s="370" t="s">
        <v>4708</v>
      </c>
      <c r="C43" s="359" t="s">
        <v>3195</v>
      </c>
      <c r="D43" s="359" t="s">
        <v>885</v>
      </c>
      <c r="E43" s="359">
        <v>27</v>
      </c>
      <c r="F43" s="359">
        <v>390.9</v>
      </c>
      <c r="G43" s="1346">
        <v>10554.4</v>
      </c>
      <c r="H43" s="1347">
        <v>24</v>
      </c>
      <c r="I43" s="359">
        <v>390.9</v>
      </c>
      <c r="J43" s="1346">
        <v>9381.69</v>
      </c>
      <c r="K43" s="299"/>
      <c r="L43" s="299"/>
      <c r="M43" s="299"/>
      <c r="N43" s="299"/>
      <c r="O43" s="299"/>
      <c r="P43" s="299"/>
      <c r="Q43" s="299"/>
      <c r="R43" s="299"/>
      <c r="S43" s="299"/>
      <c r="T43" s="299"/>
      <c r="U43" s="299"/>
      <c r="V43" s="299"/>
      <c r="W43" s="8"/>
      <c r="X43" s="8"/>
      <c r="Y43" s="8"/>
      <c r="Z43" s="8"/>
    </row>
    <row r="44" spans="1:26" ht="31.5" hidden="1">
      <c r="A44" s="1345" t="s">
        <v>4709</v>
      </c>
      <c r="B44" s="370" t="s">
        <v>3142</v>
      </c>
      <c r="C44" s="359" t="s">
        <v>3195</v>
      </c>
      <c r="D44" s="359" t="s">
        <v>885</v>
      </c>
      <c r="E44" s="359">
        <v>38</v>
      </c>
      <c r="F44" s="359">
        <v>393.02</v>
      </c>
      <c r="G44" s="1346">
        <v>14934.6</v>
      </c>
      <c r="H44" s="1347">
        <v>35</v>
      </c>
      <c r="I44" s="359">
        <v>393.02</v>
      </c>
      <c r="J44" s="1346">
        <v>13755.56</v>
      </c>
      <c r="K44" s="299"/>
      <c r="L44" s="299"/>
      <c r="M44" s="299"/>
      <c r="N44" s="299"/>
      <c r="O44" s="299"/>
      <c r="P44" s="299"/>
      <c r="Q44" s="299"/>
      <c r="R44" s="299"/>
      <c r="S44" s="299"/>
      <c r="T44" s="299"/>
      <c r="U44" s="299"/>
      <c r="V44" s="299"/>
      <c r="W44" s="8"/>
      <c r="X44" s="8"/>
      <c r="Y44" s="8"/>
      <c r="Z44" s="8"/>
    </row>
    <row r="45" spans="1:26" ht="31.5" hidden="1">
      <c r="A45" s="1345" t="s">
        <v>4710</v>
      </c>
      <c r="B45" s="370" t="s">
        <v>3143</v>
      </c>
      <c r="C45" s="359" t="s">
        <v>3195</v>
      </c>
      <c r="D45" s="359" t="s">
        <v>885</v>
      </c>
      <c r="E45" s="359">
        <v>65</v>
      </c>
      <c r="F45" s="359">
        <v>356.15</v>
      </c>
      <c r="G45" s="1346">
        <v>23149.75</v>
      </c>
      <c r="H45" s="1347">
        <v>62</v>
      </c>
      <c r="I45" s="359">
        <v>356.15</v>
      </c>
      <c r="J45" s="1346">
        <v>22081.3</v>
      </c>
      <c r="K45" s="299"/>
      <c r="L45" s="299"/>
      <c r="M45" s="299"/>
      <c r="N45" s="299"/>
      <c r="O45" s="299"/>
      <c r="P45" s="299"/>
      <c r="Q45" s="299"/>
      <c r="R45" s="299"/>
      <c r="S45" s="299"/>
      <c r="T45" s="299"/>
      <c r="U45" s="299"/>
      <c r="V45" s="299"/>
      <c r="W45" s="8"/>
      <c r="X45" s="8"/>
      <c r="Y45" s="8"/>
      <c r="Z45" s="8"/>
    </row>
    <row r="46" spans="1:26" hidden="1">
      <c r="A46" s="1345" t="s">
        <v>4711</v>
      </c>
      <c r="B46" s="370" t="s">
        <v>3146</v>
      </c>
      <c r="C46" s="359" t="s">
        <v>3195</v>
      </c>
      <c r="D46" s="359" t="s">
        <v>571</v>
      </c>
      <c r="E46" s="359">
        <v>19</v>
      </c>
      <c r="F46" s="359">
        <v>0.01</v>
      </c>
      <c r="G46" s="359">
        <v>0.19</v>
      </c>
      <c r="H46" s="1347">
        <v>17</v>
      </c>
      <c r="I46" s="359">
        <v>0.01</v>
      </c>
      <c r="J46" s="359">
        <v>0.17</v>
      </c>
      <c r="K46" s="299"/>
      <c r="L46" s="299"/>
      <c r="M46" s="299"/>
      <c r="N46" s="299"/>
      <c r="O46" s="299"/>
      <c r="P46" s="299"/>
      <c r="Q46" s="299"/>
      <c r="R46" s="299"/>
      <c r="S46" s="299"/>
      <c r="T46" s="299"/>
      <c r="U46" s="299"/>
      <c r="V46" s="299"/>
      <c r="W46" s="8"/>
      <c r="X46" s="8"/>
      <c r="Y46" s="8"/>
      <c r="Z46" s="8"/>
    </row>
    <row r="47" spans="1:26" hidden="1">
      <c r="A47" s="1345" t="s">
        <v>4712</v>
      </c>
      <c r="B47" s="370" t="s">
        <v>3147</v>
      </c>
      <c r="C47" s="359" t="s">
        <v>3195</v>
      </c>
      <c r="D47" s="359" t="s">
        <v>571</v>
      </c>
      <c r="E47" s="359">
        <v>19</v>
      </c>
      <c r="F47" s="359">
        <v>0.01</v>
      </c>
      <c r="G47" s="359">
        <v>0.19</v>
      </c>
      <c r="H47" s="1347">
        <v>17</v>
      </c>
      <c r="I47" s="359">
        <v>0.01</v>
      </c>
      <c r="J47" s="359">
        <v>0.17</v>
      </c>
      <c r="K47" s="299"/>
      <c r="L47" s="299"/>
      <c r="M47" s="299"/>
      <c r="N47" s="299"/>
      <c r="O47" s="299"/>
      <c r="P47" s="299"/>
      <c r="Q47" s="299"/>
      <c r="R47" s="299"/>
      <c r="S47" s="299"/>
      <c r="T47" s="299"/>
      <c r="U47" s="299"/>
      <c r="V47" s="299"/>
      <c r="W47" s="8"/>
      <c r="X47" s="8"/>
      <c r="Y47" s="8"/>
      <c r="Z47" s="8"/>
    </row>
    <row r="48" spans="1:26" hidden="1">
      <c r="A48" s="1345" t="s">
        <v>4713</v>
      </c>
      <c r="B48" s="370" t="s">
        <v>3145</v>
      </c>
      <c r="C48" s="359" t="s">
        <v>3195</v>
      </c>
      <c r="D48" s="359" t="s">
        <v>571</v>
      </c>
      <c r="E48" s="359">
        <v>19</v>
      </c>
      <c r="F48" s="359">
        <v>0.01</v>
      </c>
      <c r="G48" s="359">
        <v>0.19</v>
      </c>
      <c r="H48" s="1347">
        <v>17</v>
      </c>
      <c r="I48" s="359">
        <v>0.01</v>
      </c>
      <c r="J48" s="359">
        <v>0.17</v>
      </c>
      <c r="K48" s="299"/>
      <c r="L48" s="299"/>
      <c r="M48" s="299"/>
      <c r="N48" s="299"/>
      <c r="O48" s="299"/>
      <c r="P48" s="299"/>
      <c r="Q48" s="299"/>
      <c r="R48" s="299"/>
      <c r="S48" s="299"/>
      <c r="T48" s="299"/>
      <c r="U48" s="299"/>
      <c r="V48" s="299"/>
      <c r="W48" s="8"/>
      <c r="X48" s="8"/>
      <c r="Y48" s="8"/>
      <c r="Z48" s="8"/>
    </row>
    <row r="49" spans="1:26" hidden="1">
      <c r="A49" s="1345" t="s">
        <v>4714</v>
      </c>
      <c r="B49" s="370" t="s">
        <v>3144</v>
      </c>
      <c r="C49" s="359" t="s">
        <v>3195</v>
      </c>
      <c r="D49" s="359" t="s">
        <v>571</v>
      </c>
      <c r="E49" s="359">
        <v>12</v>
      </c>
      <c r="F49" s="359">
        <v>0.01</v>
      </c>
      <c r="G49" s="359">
        <v>0.12</v>
      </c>
      <c r="H49" s="1347">
        <v>5</v>
      </c>
      <c r="I49" s="359">
        <v>0.01</v>
      </c>
      <c r="J49" s="359">
        <v>0.05</v>
      </c>
      <c r="K49" s="299"/>
      <c r="L49" s="299"/>
      <c r="M49" s="299"/>
      <c r="N49" s="299"/>
      <c r="O49" s="299"/>
      <c r="P49" s="299"/>
      <c r="Q49" s="299"/>
      <c r="R49" s="299"/>
      <c r="S49" s="299"/>
      <c r="T49" s="299"/>
      <c r="U49" s="299"/>
      <c r="V49" s="299"/>
      <c r="W49" s="8"/>
      <c r="X49" s="8"/>
      <c r="Y49" s="8"/>
      <c r="Z49" s="8"/>
    </row>
    <row r="50" spans="1:26" hidden="1">
      <c r="A50" s="1345" t="s">
        <v>4715</v>
      </c>
      <c r="B50" s="370" t="s">
        <v>4716</v>
      </c>
      <c r="C50" s="359" t="s">
        <v>3195</v>
      </c>
      <c r="D50" s="359" t="s">
        <v>103</v>
      </c>
      <c r="E50" s="359">
        <v>3</v>
      </c>
      <c r="F50" s="359">
        <v>0.01</v>
      </c>
      <c r="G50" s="359">
        <v>0.03</v>
      </c>
      <c r="H50" s="1347">
        <v>3</v>
      </c>
      <c r="I50" s="359">
        <v>0.01</v>
      </c>
      <c r="J50" s="359">
        <v>0.03</v>
      </c>
      <c r="K50" s="299"/>
      <c r="L50" s="299"/>
      <c r="M50" s="299"/>
      <c r="N50" s="299"/>
      <c r="O50" s="299"/>
      <c r="P50" s="299"/>
      <c r="Q50" s="299"/>
      <c r="R50" s="299"/>
      <c r="S50" s="299"/>
      <c r="T50" s="299"/>
      <c r="U50" s="299"/>
      <c r="V50" s="299"/>
      <c r="W50" s="8"/>
      <c r="X50" s="8"/>
      <c r="Y50" s="8"/>
      <c r="Z50" s="8"/>
    </row>
    <row r="51" spans="1:26" hidden="1">
      <c r="A51" s="1345" t="s">
        <v>4717</v>
      </c>
      <c r="B51" s="370" t="s">
        <v>4718</v>
      </c>
      <c r="C51" s="359" t="s">
        <v>3195</v>
      </c>
      <c r="D51" s="359" t="s">
        <v>103</v>
      </c>
      <c r="E51" s="359">
        <v>3</v>
      </c>
      <c r="F51" s="359">
        <v>0.01</v>
      </c>
      <c r="G51" s="359">
        <v>0.03</v>
      </c>
      <c r="H51" s="1347">
        <v>3</v>
      </c>
      <c r="I51" s="359">
        <v>0.01</v>
      </c>
      <c r="J51" s="359">
        <v>0.03</v>
      </c>
      <c r="K51" s="299"/>
      <c r="L51" s="299"/>
      <c r="M51" s="299"/>
      <c r="N51" s="299"/>
      <c r="O51" s="299"/>
      <c r="P51" s="299"/>
      <c r="Q51" s="299"/>
      <c r="R51" s="299"/>
      <c r="S51" s="299"/>
      <c r="T51" s="299"/>
      <c r="U51" s="299"/>
      <c r="V51" s="299"/>
      <c r="W51" s="8"/>
      <c r="X51" s="8"/>
      <c r="Y51" s="8"/>
      <c r="Z51" s="8"/>
    </row>
    <row r="52" spans="1:26" hidden="1">
      <c r="A52" s="1345" t="s">
        <v>4719</v>
      </c>
      <c r="B52" s="370" t="s">
        <v>4720</v>
      </c>
      <c r="C52" s="359" t="s">
        <v>3195</v>
      </c>
      <c r="D52" s="359" t="s">
        <v>103</v>
      </c>
      <c r="E52" s="359">
        <v>7</v>
      </c>
      <c r="F52" s="359">
        <v>0.01</v>
      </c>
      <c r="G52" s="359">
        <v>7.0000000000000007E-2</v>
      </c>
      <c r="H52" s="1347">
        <v>7</v>
      </c>
      <c r="I52" s="359">
        <v>0.01</v>
      </c>
      <c r="J52" s="359">
        <v>7.0000000000000007E-2</v>
      </c>
      <c r="K52" s="299"/>
      <c r="L52" s="299"/>
      <c r="M52" s="299"/>
      <c r="N52" s="299"/>
      <c r="O52" s="299"/>
      <c r="P52" s="299"/>
      <c r="Q52" s="299"/>
      <c r="R52" s="299"/>
      <c r="S52" s="299"/>
      <c r="T52" s="299"/>
      <c r="U52" s="299"/>
      <c r="V52" s="299"/>
      <c r="W52" s="8"/>
      <c r="X52" s="8"/>
      <c r="Y52" s="8"/>
      <c r="Z52" s="8"/>
    </row>
    <row r="53" spans="1:26" hidden="1">
      <c r="A53" s="1345" t="s">
        <v>4721</v>
      </c>
      <c r="B53" s="370" t="s">
        <v>234</v>
      </c>
      <c r="C53" s="359" t="s">
        <v>3195</v>
      </c>
      <c r="D53" s="359" t="s">
        <v>103</v>
      </c>
      <c r="E53" s="359">
        <v>68</v>
      </c>
      <c r="F53" s="359">
        <v>407.99</v>
      </c>
      <c r="G53" s="1346">
        <v>27743.06</v>
      </c>
      <c r="H53" s="1347">
        <v>68</v>
      </c>
      <c r="I53" s="359">
        <v>407.99</v>
      </c>
      <c r="J53" s="1346">
        <v>27743.06</v>
      </c>
      <c r="K53" s="299"/>
      <c r="L53" s="299"/>
      <c r="M53" s="299"/>
      <c r="N53" s="299"/>
      <c r="O53" s="299"/>
      <c r="P53" s="299"/>
      <c r="Q53" s="299"/>
      <c r="R53" s="299"/>
      <c r="S53" s="299"/>
      <c r="T53" s="299"/>
      <c r="U53" s="299"/>
      <c r="V53" s="299"/>
      <c r="W53" s="8"/>
      <c r="X53" s="8"/>
      <c r="Y53" s="8"/>
      <c r="Z53" s="8"/>
    </row>
    <row r="54" spans="1:26" hidden="1">
      <c r="A54" s="1345" t="s">
        <v>3226</v>
      </c>
      <c r="B54" s="370" t="s">
        <v>3227</v>
      </c>
      <c r="C54" s="359" t="s">
        <v>3195</v>
      </c>
      <c r="D54" s="359" t="s">
        <v>103</v>
      </c>
      <c r="E54" s="359">
        <v>3</v>
      </c>
      <c r="F54" s="1346">
        <v>11760</v>
      </c>
      <c r="G54" s="1346">
        <v>35280</v>
      </c>
      <c r="H54" s="1347">
        <v>3</v>
      </c>
      <c r="I54" s="1346">
        <v>11760</v>
      </c>
      <c r="J54" s="1346">
        <v>35280</v>
      </c>
      <c r="K54" s="299"/>
      <c r="L54" s="299"/>
      <c r="M54" s="299"/>
      <c r="N54" s="299"/>
      <c r="O54" s="299"/>
      <c r="P54" s="299"/>
      <c r="Q54" s="299"/>
      <c r="R54" s="299"/>
      <c r="S54" s="299"/>
      <c r="T54" s="299"/>
      <c r="U54" s="299"/>
      <c r="V54" s="299"/>
      <c r="W54" s="8"/>
      <c r="X54" s="8"/>
      <c r="Y54" s="8"/>
      <c r="Z54" s="8"/>
    </row>
    <row r="55" spans="1:26" hidden="1">
      <c r="A55" s="1345" t="s">
        <v>4722</v>
      </c>
      <c r="B55" s="370" t="s">
        <v>458</v>
      </c>
      <c r="C55" s="359" t="s">
        <v>3195</v>
      </c>
      <c r="D55" s="359" t="s">
        <v>103</v>
      </c>
      <c r="E55" s="359">
        <v>3</v>
      </c>
      <c r="F55" s="1346">
        <v>11700</v>
      </c>
      <c r="G55" s="1346">
        <v>35100</v>
      </c>
      <c r="H55" s="1347">
        <v>3</v>
      </c>
      <c r="I55" s="1346">
        <v>11700</v>
      </c>
      <c r="J55" s="1346">
        <v>35100</v>
      </c>
      <c r="K55" s="299"/>
      <c r="L55" s="299"/>
      <c r="M55" s="299"/>
      <c r="N55" s="299"/>
      <c r="O55" s="299"/>
      <c r="P55" s="299"/>
      <c r="Q55" s="299"/>
      <c r="R55" s="299"/>
      <c r="S55" s="299"/>
      <c r="T55" s="299"/>
      <c r="U55" s="299"/>
      <c r="V55" s="299"/>
      <c r="W55" s="8"/>
      <c r="X55" s="8"/>
      <c r="Y55" s="8"/>
      <c r="Z55" s="8"/>
    </row>
    <row r="56" spans="1:26" ht="31.5" hidden="1">
      <c r="A56" s="1345" t="s">
        <v>4723</v>
      </c>
      <c r="B56" s="370" t="s">
        <v>4724</v>
      </c>
      <c r="C56" s="359" t="s">
        <v>3195</v>
      </c>
      <c r="D56" s="359" t="s">
        <v>103</v>
      </c>
      <c r="E56" s="359">
        <v>4</v>
      </c>
      <c r="F56" s="359">
        <v>550</v>
      </c>
      <c r="G56" s="1346">
        <v>2200</v>
      </c>
      <c r="H56" s="1347">
        <v>4</v>
      </c>
      <c r="I56" s="359">
        <v>550</v>
      </c>
      <c r="J56" s="1346">
        <v>2200</v>
      </c>
      <c r="K56" s="299"/>
      <c r="L56" s="299"/>
      <c r="M56" s="299"/>
      <c r="N56" s="299"/>
      <c r="O56" s="299"/>
      <c r="P56" s="299"/>
      <c r="Q56" s="299"/>
      <c r="R56" s="299"/>
      <c r="S56" s="299"/>
      <c r="T56" s="299"/>
      <c r="U56" s="299"/>
      <c r="V56" s="299"/>
      <c r="W56" s="8"/>
      <c r="X56" s="8"/>
      <c r="Y56" s="8"/>
      <c r="Z56" s="8"/>
    </row>
    <row r="57" spans="1:26" ht="31.5">
      <c r="A57" s="1345" t="s">
        <v>4725</v>
      </c>
      <c r="B57" s="370" t="s">
        <v>4347</v>
      </c>
      <c r="C57" s="359" t="s">
        <v>3195</v>
      </c>
      <c r="D57" s="359" t="s">
        <v>103</v>
      </c>
      <c r="E57" s="359">
        <v>1</v>
      </c>
      <c r="F57" s="359">
        <v>599</v>
      </c>
      <c r="G57" s="359">
        <v>599</v>
      </c>
      <c r="H57" s="1347">
        <v>1</v>
      </c>
      <c r="I57" s="359">
        <v>599</v>
      </c>
      <c r="J57" s="359">
        <v>599</v>
      </c>
      <c r="K57" s="1335" t="s">
        <v>4671</v>
      </c>
      <c r="L57" s="1336">
        <v>1</v>
      </c>
      <c r="M57" s="299"/>
      <c r="N57" s="299"/>
      <c r="O57" s="299"/>
      <c r="P57" s="299"/>
      <c r="Q57" s="299"/>
      <c r="R57" s="299"/>
      <c r="S57" s="299"/>
      <c r="T57" s="299"/>
      <c r="U57" s="299"/>
      <c r="V57" s="299"/>
      <c r="W57" s="8"/>
      <c r="X57" s="8"/>
      <c r="Y57" s="8"/>
      <c r="Z57" s="8"/>
    </row>
    <row r="58" spans="1:26" hidden="1">
      <c r="A58" s="1345" t="s">
        <v>4726</v>
      </c>
      <c r="B58" s="370" t="s">
        <v>4727</v>
      </c>
      <c r="C58" s="359" t="s">
        <v>3195</v>
      </c>
      <c r="D58" s="359" t="s">
        <v>4728</v>
      </c>
      <c r="E58" s="359">
        <v>3</v>
      </c>
      <c r="F58" s="1346">
        <v>2950</v>
      </c>
      <c r="G58" s="1346">
        <v>8850</v>
      </c>
      <c r="H58" s="1347">
        <v>3</v>
      </c>
      <c r="I58" s="1346">
        <v>2950</v>
      </c>
      <c r="J58" s="1346">
        <v>8850</v>
      </c>
      <c r="K58" s="299"/>
      <c r="L58" s="299"/>
      <c r="M58" s="299"/>
      <c r="N58" s="299"/>
      <c r="O58" s="299"/>
      <c r="P58" s="299"/>
      <c r="Q58" s="299"/>
      <c r="R58" s="299"/>
      <c r="S58" s="299"/>
      <c r="T58" s="299"/>
      <c r="U58" s="299"/>
      <c r="V58" s="299"/>
      <c r="W58" s="8"/>
      <c r="X58" s="8"/>
      <c r="Y58" s="8"/>
      <c r="Z58" s="8"/>
    </row>
    <row r="59" spans="1:26">
      <c r="A59" s="1345" t="s">
        <v>4729</v>
      </c>
      <c r="B59" s="370" t="s">
        <v>4730</v>
      </c>
      <c r="C59" s="359" t="s">
        <v>3195</v>
      </c>
      <c r="D59" s="359" t="s">
        <v>103</v>
      </c>
      <c r="E59" s="359">
        <v>5</v>
      </c>
      <c r="F59" s="359">
        <v>45</v>
      </c>
      <c r="G59" s="359">
        <v>225</v>
      </c>
      <c r="H59" s="1347">
        <v>5</v>
      </c>
      <c r="I59" s="359">
        <v>45</v>
      </c>
      <c r="J59" s="359">
        <v>225</v>
      </c>
      <c r="K59" s="1335"/>
      <c r="L59" s="1336"/>
      <c r="M59" s="299"/>
      <c r="N59" s="299"/>
      <c r="O59" s="299"/>
      <c r="P59" s="299"/>
      <c r="Q59" s="299"/>
      <c r="R59" s="299"/>
      <c r="S59" s="299"/>
      <c r="T59" s="299"/>
      <c r="U59" s="299"/>
      <c r="V59" s="299"/>
      <c r="W59" s="8"/>
      <c r="X59" s="8"/>
      <c r="Y59" s="8"/>
      <c r="Z59" s="8"/>
    </row>
    <row r="60" spans="1:26" ht="31.5" hidden="1">
      <c r="A60" s="1345" t="s">
        <v>3228</v>
      </c>
      <c r="B60" s="370" t="s">
        <v>3229</v>
      </c>
      <c r="C60" s="359" t="s">
        <v>3195</v>
      </c>
      <c r="D60" s="359" t="s">
        <v>103</v>
      </c>
      <c r="E60" s="359">
        <v>230</v>
      </c>
      <c r="F60" s="359">
        <v>5</v>
      </c>
      <c r="G60" s="1346">
        <v>1150</v>
      </c>
      <c r="H60" s="1347">
        <v>230</v>
      </c>
      <c r="I60" s="359">
        <v>5</v>
      </c>
      <c r="J60" s="1346">
        <v>1150</v>
      </c>
      <c r="K60" s="299"/>
      <c r="L60" s="299"/>
      <c r="M60" s="299"/>
      <c r="N60" s="299"/>
      <c r="O60" s="299"/>
      <c r="P60" s="299"/>
      <c r="Q60" s="299"/>
      <c r="R60" s="299"/>
      <c r="S60" s="299"/>
      <c r="T60" s="299"/>
      <c r="U60" s="299"/>
      <c r="V60" s="299"/>
      <c r="W60" s="8"/>
      <c r="X60" s="8"/>
      <c r="Y60" s="8"/>
      <c r="Z60" s="8"/>
    </row>
    <row r="61" spans="1:26" ht="31.5" hidden="1">
      <c r="A61" s="1345" t="s">
        <v>4731</v>
      </c>
      <c r="B61" s="370" t="s">
        <v>4732</v>
      </c>
      <c r="C61" s="359" t="s">
        <v>3195</v>
      </c>
      <c r="D61" s="359" t="s">
        <v>103</v>
      </c>
      <c r="E61" s="359">
        <v>15</v>
      </c>
      <c r="F61" s="359">
        <v>995</v>
      </c>
      <c r="G61" s="1346">
        <v>14925</v>
      </c>
      <c r="H61" s="1347">
        <v>14</v>
      </c>
      <c r="I61" s="359">
        <v>995</v>
      </c>
      <c r="J61" s="1346">
        <v>13930</v>
      </c>
      <c r="K61" s="299"/>
      <c r="L61" s="299"/>
      <c r="M61" s="299"/>
      <c r="N61" s="299"/>
      <c r="O61" s="299"/>
      <c r="P61" s="299"/>
      <c r="Q61" s="299"/>
      <c r="R61" s="299"/>
      <c r="S61" s="299"/>
      <c r="T61" s="299"/>
      <c r="U61" s="299"/>
      <c r="V61" s="299"/>
      <c r="W61" s="8"/>
      <c r="X61" s="8"/>
      <c r="Y61" s="8"/>
      <c r="Z61" s="8"/>
    </row>
    <row r="62" spans="1:26" hidden="1">
      <c r="A62" s="1345" t="s">
        <v>3230</v>
      </c>
      <c r="B62" s="370" t="s">
        <v>3231</v>
      </c>
      <c r="C62" s="359" t="s">
        <v>3195</v>
      </c>
      <c r="D62" s="359" t="s">
        <v>103</v>
      </c>
      <c r="E62" s="359">
        <v>2</v>
      </c>
      <c r="F62" s="1346">
        <v>1200</v>
      </c>
      <c r="G62" s="1346">
        <v>2400</v>
      </c>
      <c r="H62" s="1347">
        <v>2</v>
      </c>
      <c r="I62" s="1346">
        <v>1200</v>
      </c>
      <c r="J62" s="1346">
        <v>2400</v>
      </c>
      <c r="K62" s="299"/>
      <c r="L62" s="299"/>
      <c r="M62" s="299"/>
      <c r="N62" s="299"/>
      <c r="O62" s="299"/>
      <c r="P62" s="299"/>
      <c r="Q62" s="299"/>
      <c r="R62" s="299"/>
      <c r="S62" s="299"/>
      <c r="T62" s="299"/>
      <c r="U62" s="299"/>
      <c r="V62" s="299"/>
      <c r="W62" s="8"/>
      <c r="X62" s="8"/>
      <c r="Y62" s="8"/>
      <c r="Z62" s="8"/>
    </row>
    <row r="63" spans="1:26" hidden="1">
      <c r="A63" s="1345" t="s">
        <v>3232</v>
      </c>
      <c r="B63" s="370" t="s">
        <v>3233</v>
      </c>
      <c r="C63" s="359" t="s">
        <v>3195</v>
      </c>
      <c r="D63" s="359" t="s">
        <v>103</v>
      </c>
      <c r="E63" s="359">
        <v>44</v>
      </c>
      <c r="F63" s="359">
        <v>245</v>
      </c>
      <c r="G63" s="1346">
        <v>10780</v>
      </c>
      <c r="H63" s="1347">
        <v>44</v>
      </c>
      <c r="I63" s="359">
        <v>245</v>
      </c>
      <c r="J63" s="1346">
        <v>10780</v>
      </c>
      <c r="K63" s="299"/>
      <c r="L63" s="299"/>
      <c r="M63" s="299"/>
      <c r="N63" s="299"/>
      <c r="O63" s="299"/>
      <c r="P63" s="299"/>
      <c r="Q63" s="299"/>
      <c r="R63" s="299"/>
      <c r="S63" s="299"/>
      <c r="T63" s="299"/>
      <c r="U63" s="299"/>
      <c r="V63" s="299"/>
      <c r="W63" s="8"/>
      <c r="X63" s="8"/>
      <c r="Y63" s="8"/>
      <c r="Z63" s="8"/>
    </row>
    <row r="64" spans="1:26" hidden="1">
      <c r="A64" s="1345" t="s">
        <v>3234</v>
      </c>
      <c r="B64" s="370" t="s">
        <v>3235</v>
      </c>
      <c r="C64" s="359" t="s">
        <v>3195</v>
      </c>
      <c r="D64" s="359" t="s">
        <v>103</v>
      </c>
      <c r="E64" s="359">
        <v>18</v>
      </c>
      <c r="F64" s="1346">
        <v>6470</v>
      </c>
      <c r="G64" s="1346">
        <v>116460</v>
      </c>
      <c r="H64" s="1347">
        <v>16</v>
      </c>
      <c r="I64" s="1346">
        <v>6470</v>
      </c>
      <c r="J64" s="1346">
        <v>103520</v>
      </c>
      <c r="K64" s="299"/>
      <c r="L64" s="299"/>
      <c r="M64" s="299"/>
      <c r="N64" s="299"/>
      <c r="O64" s="299"/>
      <c r="P64" s="299"/>
      <c r="Q64" s="299"/>
      <c r="R64" s="299"/>
      <c r="S64" s="299"/>
      <c r="T64" s="299"/>
      <c r="U64" s="299"/>
      <c r="V64" s="299"/>
      <c r="W64" s="8"/>
      <c r="X64" s="8"/>
      <c r="Y64" s="8"/>
      <c r="Z64" s="8"/>
    </row>
    <row r="65" spans="1:26" hidden="1">
      <c r="A65" s="1345" t="s">
        <v>4733</v>
      </c>
      <c r="B65" s="370" t="s">
        <v>4734</v>
      </c>
      <c r="C65" s="359" t="s">
        <v>3195</v>
      </c>
      <c r="D65" s="359" t="s">
        <v>103</v>
      </c>
      <c r="E65" s="359">
        <v>10</v>
      </c>
      <c r="F65" s="359">
        <v>130</v>
      </c>
      <c r="G65" s="1346">
        <v>1300</v>
      </c>
      <c r="H65" s="1347">
        <v>10</v>
      </c>
      <c r="I65" s="359">
        <v>130</v>
      </c>
      <c r="J65" s="1346">
        <v>1300</v>
      </c>
      <c r="K65" s="299"/>
      <c r="L65" s="299"/>
      <c r="M65" s="299"/>
      <c r="N65" s="299"/>
      <c r="O65" s="299"/>
      <c r="P65" s="299"/>
      <c r="Q65" s="299"/>
      <c r="R65" s="299"/>
      <c r="S65" s="299"/>
      <c r="T65" s="299"/>
      <c r="U65" s="299"/>
      <c r="V65" s="299"/>
      <c r="W65" s="8"/>
      <c r="X65" s="8"/>
      <c r="Y65" s="8"/>
      <c r="Z65" s="8"/>
    </row>
    <row r="66" spans="1:26" hidden="1">
      <c r="A66" s="1345" t="s">
        <v>3236</v>
      </c>
      <c r="B66" s="370" t="s">
        <v>3237</v>
      </c>
      <c r="C66" s="359" t="s">
        <v>3195</v>
      </c>
      <c r="D66" s="359" t="s">
        <v>103</v>
      </c>
      <c r="E66" s="359">
        <v>91</v>
      </c>
      <c r="F66" s="359">
        <v>209.5</v>
      </c>
      <c r="G66" s="1346">
        <v>19064.62</v>
      </c>
      <c r="H66" s="1347">
        <v>91</v>
      </c>
      <c r="I66" s="359">
        <v>209.5</v>
      </c>
      <c r="J66" s="1346">
        <v>19064.62</v>
      </c>
      <c r="K66" s="299"/>
      <c r="L66" s="299"/>
      <c r="M66" s="299"/>
      <c r="N66" s="299"/>
      <c r="O66" s="299"/>
      <c r="P66" s="299"/>
      <c r="Q66" s="299"/>
      <c r="R66" s="299"/>
      <c r="S66" s="299"/>
      <c r="T66" s="299"/>
      <c r="U66" s="299"/>
      <c r="V66" s="299"/>
      <c r="W66" s="8"/>
      <c r="X66" s="8"/>
      <c r="Y66" s="8"/>
      <c r="Z66" s="8"/>
    </row>
    <row r="67" spans="1:26" hidden="1">
      <c r="A67" s="1345" t="s">
        <v>3238</v>
      </c>
      <c r="B67" s="370" t="s">
        <v>3239</v>
      </c>
      <c r="C67" s="359" t="s">
        <v>3195</v>
      </c>
      <c r="D67" s="359" t="s">
        <v>103</v>
      </c>
      <c r="E67" s="359">
        <v>21</v>
      </c>
      <c r="F67" s="359">
        <v>380</v>
      </c>
      <c r="G67" s="1346">
        <v>7980</v>
      </c>
      <c r="H67" s="1347">
        <v>18</v>
      </c>
      <c r="I67" s="359">
        <v>380</v>
      </c>
      <c r="J67" s="1346">
        <v>6840</v>
      </c>
      <c r="K67" s="299"/>
      <c r="L67" s="299"/>
      <c r="M67" s="299"/>
      <c r="N67" s="299"/>
      <c r="O67" s="299"/>
      <c r="P67" s="299"/>
      <c r="Q67" s="299"/>
      <c r="R67" s="299"/>
      <c r="S67" s="299"/>
      <c r="T67" s="299"/>
      <c r="U67" s="299"/>
      <c r="V67" s="299"/>
      <c r="W67" s="8"/>
      <c r="X67" s="8"/>
      <c r="Y67" s="8"/>
      <c r="Z67" s="8"/>
    </row>
    <row r="68" spans="1:26" hidden="1">
      <c r="A68" s="1345" t="s">
        <v>4735</v>
      </c>
      <c r="B68" s="370" t="s">
        <v>4736</v>
      </c>
      <c r="C68" s="359" t="s">
        <v>3195</v>
      </c>
      <c r="D68" s="359" t="s">
        <v>103</v>
      </c>
      <c r="E68" s="359">
        <v>1</v>
      </c>
      <c r="F68" s="359">
        <v>557.4</v>
      </c>
      <c r="G68" s="359">
        <v>557.4</v>
      </c>
      <c r="H68" s="1347">
        <v>1</v>
      </c>
      <c r="I68" s="359">
        <v>557.4</v>
      </c>
      <c r="J68" s="359">
        <v>557.4</v>
      </c>
      <c r="K68" s="299"/>
      <c r="L68" s="299"/>
      <c r="M68" s="299"/>
      <c r="N68" s="299"/>
      <c r="O68" s="299"/>
      <c r="P68" s="299"/>
      <c r="Q68" s="299"/>
      <c r="R68" s="299"/>
      <c r="S68" s="299"/>
      <c r="T68" s="299"/>
      <c r="U68" s="299"/>
      <c r="V68" s="299"/>
      <c r="W68" s="8"/>
      <c r="X68" s="8"/>
      <c r="Y68" s="8"/>
      <c r="Z68" s="8"/>
    </row>
    <row r="69" spans="1:26" hidden="1">
      <c r="A69" s="1345" t="s">
        <v>4737</v>
      </c>
      <c r="B69" s="370" t="s">
        <v>4738</v>
      </c>
      <c r="C69" s="359" t="s">
        <v>3195</v>
      </c>
      <c r="D69" s="359" t="s">
        <v>103</v>
      </c>
      <c r="E69" s="359">
        <v>3</v>
      </c>
      <c r="F69" s="359">
        <v>250</v>
      </c>
      <c r="G69" s="359">
        <v>750</v>
      </c>
      <c r="H69" s="1347">
        <v>3</v>
      </c>
      <c r="I69" s="359">
        <v>250</v>
      </c>
      <c r="J69" s="359">
        <v>750</v>
      </c>
      <c r="K69" s="299"/>
      <c r="L69" s="299"/>
      <c r="M69" s="299"/>
      <c r="N69" s="299"/>
      <c r="O69" s="299"/>
      <c r="P69" s="299"/>
      <c r="Q69" s="299"/>
      <c r="R69" s="299"/>
      <c r="S69" s="299"/>
      <c r="T69" s="299"/>
      <c r="U69" s="299"/>
      <c r="V69" s="299"/>
      <c r="W69" s="8"/>
      <c r="X69" s="8"/>
      <c r="Y69" s="8"/>
      <c r="Z69" s="8"/>
    </row>
    <row r="70" spans="1:26" ht="12.75">
      <c r="A70" s="299"/>
      <c r="B70" s="300"/>
      <c r="C70" s="299"/>
      <c r="D70" s="299"/>
      <c r="E70" s="299"/>
      <c r="F70" s="299"/>
      <c r="G70" s="299"/>
      <c r="H70" s="1348"/>
      <c r="I70" s="299"/>
      <c r="J70" s="299"/>
      <c r="K70" s="299"/>
      <c r="L70" s="1336"/>
      <c r="M70" s="299"/>
      <c r="N70" s="299"/>
      <c r="O70" s="299"/>
      <c r="P70" s="299"/>
      <c r="Q70" s="299"/>
      <c r="R70" s="299"/>
      <c r="S70" s="299"/>
      <c r="T70" s="299"/>
      <c r="U70" s="299"/>
      <c r="V70" s="299"/>
      <c r="W70" s="8"/>
      <c r="X70" s="8"/>
      <c r="Y70" s="8"/>
      <c r="Z70" s="8"/>
    </row>
    <row r="71" spans="1:26" ht="12.75">
      <c r="A71" s="299"/>
      <c r="B71" s="300"/>
      <c r="C71" s="299"/>
      <c r="D71" s="299"/>
      <c r="E71" s="299"/>
      <c r="F71" s="299"/>
      <c r="G71" s="299"/>
      <c r="H71" s="1348"/>
      <c r="I71" s="299"/>
      <c r="J71" s="299"/>
      <c r="K71" s="299"/>
      <c r="L71" s="1336"/>
      <c r="M71" s="299"/>
      <c r="N71" s="299"/>
      <c r="O71" s="299"/>
      <c r="P71" s="299"/>
      <c r="Q71" s="299"/>
      <c r="R71" s="299"/>
      <c r="S71" s="299"/>
      <c r="T71" s="299"/>
      <c r="U71" s="299"/>
      <c r="V71" s="299"/>
      <c r="W71" s="8"/>
      <c r="X71" s="8"/>
      <c r="Y71" s="8"/>
      <c r="Z71" s="8"/>
    </row>
    <row r="72" spans="1:26" ht="12.75">
      <c r="A72" s="299"/>
      <c r="B72" s="300"/>
      <c r="C72" s="299"/>
      <c r="D72" s="299"/>
      <c r="E72" s="299"/>
      <c r="F72" s="299"/>
      <c r="G72" s="299"/>
      <c r="H72" s="1348"/>
      <c r="I72" s="299"/>
      <c r="J72" s="299"/>
      <c r="K72" s="299"/>
      <c r="L72" s="1336"/>
      <c r="M72" s="299"/>
      <c r="N72" s="299"/>
      <c r="O72" s="299"/>
      <c r="P72" s="299"/>
      <c r="Q72" s="299"/>
      <c r="R72" s="299"/>
      <c r="S72" s="299"/>
      <c r="T72" s="299"/>
      <c r="U72" s="299"/>
      <c r="V72" s="299"/>
      <c r="W72" s="8"/>
      <c r="X72" s="8"/>
      <c r="Y72" s="8"/>
      <c r="Z72" s="8"/>
    </row>
    <row r="73" spans="1:26" ht="12.75">
      <c r="A73" s="299"/>
      <c r="B73" s="300"/>
      <c r="C73" s="299"/>
      <c r="D73" s="299"/>
      <c r="E73" s="299"/>
      <c r="F73" s="299"/>
      <c r="G73" s="299"/>
      <c r="H73" s="1348"/>
      <c r="I73" s="299"/>
      <c r="J73" s="299"/>
      <c r="K73" s="299"/>
      <c r="L73" s="1336"/>
      <c r="M73" s="299"/>
      <c r="N73" s="299"/>
      <c r="O73" s="299"/>
      <c r="P73" s="299"/>
      <c r="Q73" s="299"/>
      <c r="R73" s="299"/>
      <c r="S73" s="299"/>
      <c r="T73" s="299"/>
      <c r="U73" s="299"/>
      <c r="V73" s="299"/>
      <c r="W73" s="8"/>
      <c r="X73" s="8"/>
      <c r="Y73" s="8"/>
      <c r="Z73" s="8"/>
    </row>
    <row r="74" spans="1:26" ht="12.75">
      <c r="A74" s="299"/>
      <c r="B74" s="300"/>
      <c r="C74" s="299"/>
      <c r="D74" s="299"/>
      <c r="E74" s="299"/>
      <c r="F74" s="299"/>
      <c r="G74" s="299"/>
      <c r="H74" s="1348"/>
      <c r="I74" s="299"/>
      <c r="J74" s="299"/>
      <c r="K74" s="299"/>
      <c r="L74" s="1336"/>
      <c r="M74" s="299"/>
      <c r="N74" s="299"/>
      <c r="O74" s="299"/>
      <c r="P74" s="299"/>
      <c r="Q74" s="299"/>
      <c r="R74" s="299"/>
      <c r="S74" s="299"/>
      <c r="T74" s="299"/>
      <c r="U74" s="299"/>
      <c r="V74" s="299"/>
      <c r="W74" s="8"/>
      <c r="X74" s="8"/>
      <c r="Y74" s="8"/>
      <c r="Z74" s="8"/>
    </row>
    <row r="75" spans="1:26" ht="12.75">
      <c r="A75" s="299"/>
      <c r="B75" s="300"/>
      <c r="C75" s="299"/>
      <c r="D75" s="299"/>
      <c r="E75" s="299"/>
      <c r="F75" s="299"/>
      <c r="G75" s="299"/>
      <c r="H75" s="1348"/>
      <c r="I75" s="299"/>
      <c r="J75" s="299"/>
      <c r="K75" s="299"/>
      <c r="L75" s="1336"/>
      <c r="M75" s="299"/>
      <c r="N75" s="299"/>
      <c r="O75" s="299"/>
      <c r="P75" s="299"/>
      <c r="Q75" s="299"/>
      <c r="R75" s="299"/>
      <c r="S75" s="299"/>
      <c r="T75" s="299"/>
      <c r="U75" s="299"/>
      <c r="V75" s="299"/>
      <c r="W75" s="8"/>
      <c r="X75" s="8"/>
      <c r="Y75" s="8"/>
      <c r="Z75" s="8"/>
    </row>
    <row r="76" spans="1:26" ht="12.75">
      <c r="A76" s="299"/>
      <c r="B76" s="300"/>
      <c r="C76" s="299"/>
      <c r="D76" s="299"/>
      <c r="E76" s="299"/>
      <c r="F76" s="299"/>
      <c r="G76" s="299"/>
      <c r="H76" s="1348"/>
      <c r="I76" s="299"/>
      <c r="J76" s="299"/>
      <c r="K76" s="299"/>
      <c r="L76" s="1336"/>
      <c r="M76" s="299"/>
      <c r="N76" s="299"/>
      <c r="O76" s="299"/>
      <c r="P76" s="299"/>
      <c r="Q76" s="299"/>
      <c r="R76" s="299"/>
      <c r="S76" s="299"/>
      <c r="T76" s="299"/>
      <c r="U76" s="299"/>
      <c r="V76" s="299"/>
      <c r="W76" s="8"/>
      <c r="X76" s="8"/>
      <c r="Y76" s="8"/>
      <c r="Z76" s="8"/>
    </row>
    <row r="77" spans="1:26" ht="12.75">
      <c r="A77" s="299"/>
      <c r="B77" s="300"/>
      <c r="C77" s="299"/>
      <c r="D77" s="299"/>
      <c r="E77" s="299"/>
      <c r="F77" s="299"/>
      <c r="G77" s="299"/>
      <c r="H77" s="1348"/>
      <c r="I77" s="299"/>
      <c r="J77" s="299"/>
      <c r="K77" s="299"/>
      <c r="L77" s="1336"/>
      <c r="M77" s="299"/>
      <c r="N77" s="299"/>
      <c r="O77" s="299"/>
      <c r="P77" s="299"/>
      <c r="Q77" s="299"/>
      <c r="R77" s="299"/>
      <c r="S77" s="299"/>
      <c r="T77" s="299"/>
      <c r="U77" s="299"/>
      <c r="V77" s="299"/>
      <c r="W77" s="8"/>
      <c r="X77" s="8"/>
      <c r="Y77" s="8"/>
      <c r="Z77" s="8"/>
    </row>
    <row r="78" spans="1:26" ht="12.75">
      <c r="A78" s="299"/>
      <c r="B78" s="300"/>
      <c r="C78" s="299"/>
      <c r="D78" s="299"/>
      <c r="E78" s="299"/>
      <c r="F78" s="299"/>
      <c r="G78" s="299"/>
      <c r="H78" s="1348"/>
      <c r="I78" s="299"/>
      <c r="J78" s="299"/>
      <c r="K78" s="299"/>
      <c r="L78" s="1336"/>
      <c r="M78" s="299"/>
      <c r="N78" s="299"/>
      <c r="O78" s="299"/>
      <c r="P78" s="299"/>
      <c r="Q78" s="299"/>
      <c r="R78" s="299"/>
      <c r="S78" s="299"/>
      <c r="T78" s="299"/>
      <c r="U78" s="299"/>
      <c r="V78" s="299"/>
      <c r="W78" s="8"/>
      <c r="X78" s="8"/>
      <c r="Y78" s="8"/>
      <c r="Z78" s="8"/>
    </row>
    <row r="79" spans="1:26" ht="12.75">
      <c r="A79" s="299"/>
      <c r="B79" s="300"/>
      <c r="C79" s="299"/>
      <c r="D79" s="299"/>
      <c r="E79" s="299"/>
      <c r="F79" s="299"/>
      <c r="G79" s="299"/>
      <c r="H79" s="1348"/>
      <c r="I79" s="299"/>
      <c r="J79" s="299"/>
      <c r="K79" s="299"/>
      <c r="L79" s="1336"/>
      <c r="M79" s="299"/>
      <c r="N79" s="299"/>
      <c r="O79" s="299"/>
      <c r="P79" s="299"/>
      <c r="Q79" s="299"/>
      <c r="R79" s="299"/>
      <c r="S79" s="299"/>
      <c r="T79" s="299"/>
      <c r="U79" s="299"/>
      <c r="V79" s="299"/>
      <c r="W79" s="8"/>
      <c r="X79" s="8"/>
      <c r="Y79" s="8"/>
      <c r="Z79" s="8"/>
    </row>
    <row r="80" spans="1:26" ht="12.75">
      <c r="A80" s="299"/>
      <c r="B80" s="300"/>
      <c r="C80" s="299"/>
      <c r="D80" s="299"/>
      <c r="E80" s="299"/>
      <c r="F80" s="299"/>
      <c r="G80" s="299"/>
      <c r="H80" s="1348"/>
      <c r="I80" s="299"/>
      <c r="J80" s="299"/>
      <c r="K80" s="299"/>
      <c r="L80" s="1336"/>
      <c r="M80" s="299"/>
      <c r="N80" s="299"/>
      <c r="O80" s="299"/>
      <c r="P80" s="299"/>
      <c r="Q80" s="299"/>
      <c r="R80" s="299"/>
      <c r="S80" s="299"/>
      <c r="T80" s="299"/>
      <c r="U80" s="299"/>
      <c r="V80" s="299"/>
      <c r="W80" s="8"/>
      <c r="X80" s="8"/>
      <c r="Y80" s="8"/>
      <c r="Z80" s="8"/>
    </row>
    <row r="81" spans="1:26" ht="12.75">
      <c r="A81" s="299"/>
      <c r="B81" s="300"/>
      <c r="C81" s="299"/>
      <c r="D81" s="299"/>
      <c r="E81" s="299"/>
      <c r="F81" s="299"/>
      <c r="G81" s="299"/>
      <c r="H81" s="1348"/>
      <c r="I81" s="299"/>
      <c r="J81" s="299"/>
      <c r="K81" s="299"/>
      <c r="L81" s="1336"/>
      <c r="M81" s="299"/>
      <c r="N81" s="299"/>
      <c r="O81" s="299"/>
      <c r="P81" s="299"/>
      <c r="Q81" s="299"/>
      <c r="R81" s="299"/>
      <c r="S81" s="299"/>
      <c r="T81" s="299"/>
      <c r="U81" s="299"/>
      <c r="V81" s="299"/>
      <c r="W81" s="8"/>
      <c r="X81" s="8"/>
      <c r="Y81" s="8"/>
      <c r="Z81" s="8"/>
    </row>
    <row r="82" spans="1:26" ht="12.75">
      <c r="A82" s="299"/>
      <c r="B82" s="300"/>
      <c r="C82" s="299"/>
      <c r="D82" s="299"/>
      <c r="E82" s="299"/>
      <c r="F82" s="299"/>
      <c r="G82" s="299"/>
      <c r="H82" s="1348"/>
      <c r="I82" s="299"/>
      <c r="J82" s="299"/>
      <c r="K82" s="299"/>
      <c r="L82" s="1336"/>
      <c r="M82" s="299"/>
      <c r="N82" s="299"/>
      <c r="O82" s="299"/>
      <c r="P82" s="299"/>
      <c r="Q82" s="299"/>
      <c r="R82" s="299"/>
      <c r="S82" s="299"/>
      <c r="T82" s="299"/>
      <c r="U82" s="299"/>
      <c r="V82" s="299"/>
      <c r="W82" s="8"/>
      <c r="X82" s="8"/>
      <c r="Y82" s="8"/>
      <c r="Z82" s="8"/>
    </row>
    <row r="83" spans="1:26" ht="12.75">
      <c r="A83" s="299"/>
      <c r="B83" s="300"/>
      <c r="C83" s="299"/>
      <c r="D83" s="299"/>
      <c r="E83" s="299"/>
      <c r="F83" s="299"/>
      <c r="G83" s="299"/>
      <c r="H83" s="1348"/>
      <c r="I83" s="299"/>
      <c r="J83" s="299"/>
      <c r="K83" s="299"/>
      <c r="L83" s="1336"/>
      <c r="M83" s="299"/>
      <c r="N83" s="299"/>
      <c r="O83" s="299"/>
      <c r="P83" s="299"/>
      <c r="Q83" s="299"/>
      <c r="R83" s="299"/>
      <c r="S83" s="299"/>
      <c r="T83" s="299"/>
      <c r="U83" s="299"/>
      <c r="V83" s="299"/>
      <c r="W83" s="8"/>
      <c r="X83" s="8"/>
      <c r="Y83" s="8"/>
      <c r="Z83" s="8"/>
    </row>
    <row r="84" spans="1:26" ht="12.75">
      <c r="A84" s="299"/>
      <c r="B84" s="300"/>
      <c r="C84" s="299"/>
      <c r="D84" s="299"/>
      <c r="E84" s="299"/>
      <c r="F84" s="299"/>
      <c r="G84" s="299"/>
      <c r="H84" s="1348"/>
      <c r="I84" s="299"/>
      <c r="J84" s="299"/>
      <c r="K84" s="299"/>
      <c r="L84" s="1336"/>
      <c r="M84" s="299"/>
      <c r="N84" s="299"/>
      <c r="O84" s="299"/>
      <c r="P84" s="299"/>
      <c r="Q84" s="299"/>
      <c r="R84" s="299"/>
      <c r="S84" s="299"/>
      <c r="T84" s="299"/>
      <c r="U84" s="299"/>
      <c r="V84" s="299"/>
      <c r="W84" s="8"/>
      <c r="X84" s="8"/>
      <c r="Y84" s="8"/>
      <c r="Z84" s="8"/>
    </row>
    <row r="85" spans="1:26" ht="12.75">
      <c r="A85" s="299"/>
      <c r="B85" s="300"/>
      <c r="C85" s="299"/>
      <c r="D85" s="299"/>
      <c r="E85" s="299"/>
      <c r="F85" s="299"/>
      <c r="G85" s="299"/>
      <c r="H85" s="1348"/>
      <c r="I85" s="299"/>
      <c r="J85" s="299"/>
      <c r="K85" s="299"/>
      <c r="L85" s="1336"/>
      <c r="M85" s="299"/>
      <c r="N85" s="299"/>
      <c r="O85" s="299"/>
      <c r="P85" s="299"/>
      <c r="Q85" s="299"/>
      <c r="R85" s="299"/>
      <c r="S85" s="299"/>
      <c r="T85" s="299"/>
      <c r="U85" s="299"/>
      <c r="V85" s="299"/>
      <c r="W85" s="8"/>
      <c r="X85" s="8"/>
      <c r="Y85" s="8"/>
      <c r="Z85" s="8"/>
    </row>
    <row r="86" spans="1:26" ht="12.75">
      <c r="A86" s="299"/>
      <c r="B86" s="300"/>
      <c r="C86" s="299"/>
      <c r="D86" s="299"/>
      <c r="E86" s="299"/>
      <c r="F86" s="299"/>
      <c r="G86" s="299"/>
      <c r="H86" s="1348"/>
      <c r="I86" s="299"/>
      <c r="J86" s="299"/>
      <c r="K86" s="299"/>
      <c r="L86" s="1336"/>
      <c r="M86" s="299"/>
      <c r="N86" s="299"/>
      <c r="O86" s="299"/>
      <c r="P86" s="299"/>
      <c r="Q86" s="299"/>
      <c r="R86" s="299"/>
      <c r="S86" s="299"/>
      <c r="T86" s="299"/>
      <c r="U86" s="299"/>
      <c r="V86" s="299"/>
      <c r="W86" s="8"/>
      <c r="X86" s="8"/>
      <c r="Y86" s="8"/>
      <c r="Z86" s="8"/>
    </row>
    <row r="87" spans="1:26" ht="12.75">
      <c r="A87" s="299"/>
      <c r="B87" s="300"/>
      <c r="C87" s="299"/>
      <c r="D87" s="299"/>
      <c r="E87" s="299"/>
      <c r="F87" s="299"/>
      <c r="G87" s="299"/>
      <c r="H87" s="1348"/>
      <c r="I87" s="299"/>
      <c r="J87" s="299"/>
      <c r="K87" s="299"/>
      <c r="L87" s="1336"/>
      <c r="M87" s="299"/>
      <c r="N87" s="299"/>
      <c r="O87" s="299"/>
      <c r="P87" s="299"/>
      <c r="Q87" s="299"/>
      <c r="R87" s="299"/>
      <c r="S87" s="299"/>
      <c r="T87" s="299"/>
      <c r="U87" s="299"/>
      <c r="V87" s="299"/>
      <c r="W87" s="8"/>
      <c r="X87" s="8"/>
      <c r="Y87" s="8"/>
      <c r="Z87" s="8"/>
    </row>
    <row r="88" spans="1:26" ht="12.75">
      <c r="A88" s="299"/>
      <c r="B88" s="300"/>
      <c r="C88" s="299"/>
      <c r="D88" s="299"/>
      <c r="E88" s="299"/>
      <c r="F88" s="299"/>
      <c r="G88" s="299"/>
      <c r="H88" s="1348"/>
      <c r="I88" s="299"/>
      <c r="J88" s="299"/>
      <c r="K88" s="299"/>
      <c r="L88" s="1336"/>
      <c r="M88" s="299"/>
      <c r="N88" s="299"/>
      <c r="O88" s="299"/>
      <c r="P88" s="299"/>
      <c r="Q88" s="299"/>
      <c r="R88" s="299"/>
      <c r="S88" s="299"/>
      <c r="T88" s="299"/>
      <c r="U88" s="299"/>
      <c r="V88" s="299"/>
      <c r="W88" s="8"/>
      <c r="X88" s="8"/>
      <c r="Y88" s="8"/>
      <c r="Z88" s="8"/>
    </row>
    <row r="89" spans="1:26" ht="12.75">
      <c r="A89" s="299"/>
      <c r="B89" s="300"/>
      <c r="C89" s="299"/>
      <c r="D89" s="299"/>
      <c r="E89" s="299"/>
      <c r="F89" s="299"/>
      <c r="G89" s="299"/>
      <c r="H89" s="1348"/>
      <c r="I89" s="299"/>
      <c r="J89" s="299"/>
      <c r="K89" s="299"/>
      <c r="L89" s="1336"/>
      <c r="M89" s="299"/>
      <c r="N89" s="299"/>
      <c r="O89" s="299"/>
      <c r="P89" s="299"/>
      <c r="Q89" s="299"/>
      <c r="R89" s="299"/>
      <c r="S89" s="299"/>
      <c r="T89" s="299"/>
      <c r="U89" s="299"/>
      <c r="V89" s="299"/>
      <c r="W89" s="8"/>
      <c r="X89" s="8"/>
      <c r="Y89" s="8"/>
      <c r="Z89" s="8"/>
    </row>
    <row r="90" spans="1:26" ht="12.75">
      <c r="A90" s="299"/>
      <c r="B90" s="300"/>
      <c r="C90" s="299"/>
      <c r="D90" s="299"/>
      <c r="E90" s="299"/>
      <c r="F90" s="299"/>
      <c r="G90" s="299"/>
      <c r="H90" s="1348"/>
      <c r="I90" s="299"/>
      <c r="J90" s="299"/>
      <c r="K90" s="299"/>
      <c r="L90" s="1336"/>
      <c r="M90" s="299"/>
      <c r="N90" s="299"/>
      <c r="O90" s="299"/>
      <c r="P90" s="299"/>
      <c r="Q90" s="299"/>
      <c r="R90" s="299"/>
      <c r="S90" s="299"/>
      <c r="T90" s="299"/>
      <c r="U90" s="299"/>
      <c r="V90" s="299"/>
      <c r="W90" s="8"/>
      <c r="X90" s="8"/>
      <c r="Y90" s="8"/>
      <c r="Z90" s="8"/>
    </row>
    <row r="91" spans="1:26" ht="12.75">
      <c r="A91" s="299"/>
      <c r="B91" s="300"/>
      <c r="C91" s="299"/>
      <c r="D91" s="299"/>
      <c r="E91" s="299"/>
      <c r="F91" s="299"/>
      <c r="G91" s="299"/>
      <c r="H91" s="1348"/>
      <c r="I91" s="299"/>
      <c r="J91" s="299"/>
      <c r="K91" s="299"/>
      <c r="L91" s="1336"/>
      <c r="M91" s="299"/>
      <c r="N91" s="299"/>
      <c r="O91" s="299"/>
      <c r="P91" s="299"/>
      <c r="Q91" s="299"/>
      <c r="R91" s="299"/>
      <c r="S91" s="299"/>
      <c r="T91" s="299"/>
      <c r="U91" s="299"/>
      <c r="V91" s="299"/>
      <c r="W91" s="8"/>
      <c r="X91" s="8"/>
      <c r="Y91" s="8"/>
      <c r="Z91" s="8"/>
    </row>
    <row r="92" spans="1:26" ht="12.75">
      <c r="A92" s="299"/>
      <c r="B92" s="300"/>
      <c r="C92" s="299"/>
      <c r="D92" s="299"/>
      <c r="E92" s="299"/>
      <c r="F92" s="299"/>
      <c r="G92" s="299"/>
      <c r="H92" s="1348"/>
      <c r="I92" s="299"/>
      <c r="J92" s="299"/>
      <c r="K92" s="299"/>
      <c r="L92" s="1336"/>
      <c r="M92" s="299"/>
      <c r="N92" s="299"/>
      <c r="O92" s="299"/>
      <c r="P92" s="299"/>
      <c r="Q92" s="299"/>
      <c r="R92" s="299"/>
      <c r="S92" s="299"/>
      <c r="T92" s="299"/>
      <c r="U92" s="299"/>
      <c r="V92" s="299"/>
      <c r="W92" s="8"/>
      <c r="X92" s="8"/>
      <c r="Y92" s="8"/>
      <c r="Z92" s="8"/>
    </row>
    <row r="93" spans="1:26" ht="12.75">
      <c r="A93" s="299"/>
      <c r="B93" s="300"/>
      <c r="C93" s="299"/>
      <c r="D93" s="299"/>
      <c r="E93" s="299"/>
      <c r="F93" s="299"/>
      <c r="G93" s="299"/>
      <c r="H93" s="1348"/>
      <c r="I93" s="299"/>
      <c r="J93" s="299"/>
      <c r="K93" s="299"/>
      <c r="L93" s="1336"/>
      <c r="M93" s="299"/>
      <c r="N93" s="299"/>
      <c r="O93" s="299"/>
      <c r="P93" s="299"/>
      <c r="Q93" s="299"/>
      <c r="R93" s="299"/>
      <c r="S93" s="299"/>
      <c r="T93" s="299"/>
      <c r="U93" s="299"/>
      <c r="V93" s="299"/>
      <c r="W93" s="8"/>
      <c r="X93" s="8"/>
      <c r="Y93" s="8"/>
      <c r="Z93" s="8"/>
    </row>
    <row r="94" spans="1:26" ht="12.75">
      <c r="A94" s="299"/>
      <c r="B94" s="300"/>
      <c r="C94" s="299"/>
      <c r="D94" s="299"/>
      <c r="E94" s="299"/>
      <c r="F94" s="299"/>
      <c r="G94" s="299"/>
      <c r="H94" s="1348"/>
      <c r="I94" s="299"/>
      <c r="J94" s="299"/>
      <c r="K94" s="299"/>
      <c r="L94" s="1336"/>
      <c r="M94" s="299"/>
      <c r="N94" s="299"/>
      <c r="O94" s="299"/>
      <c r="P94" s="299"/>
      <c r="Q94" s="299"/>
      <c r="R94" s="299"/>
      <c r="S94" s="299"/>
      <c r="T94" s="299"/>
      <c r="U94" s="299"/>
      <c r="V94" s="299"/>
      <c r="W94" s="8"/>
      <c r="X94" s="8"/>
      <c r="Y94" s="8"/>
      <c r="Z94" s="8"/>
    </row>
    <row r="95" spans="1:26" ht="12.75">
      <c r="A95" s="299"/>
      <c r="B95" s="300"/>
      <c r="C95" s="299"/>
      <c r="D95" s="299"/>
      <c r="E95" s="299"/>
      <c r="F95" s="299"/>
      <c r="G95" s="299"/>
      <c r="H95" s="1348"/>
      <c r="I95" s="299"/>
      <c r="J95" s="299"/>
      <c r="K95" s="299"/>
      <c r="L95" s="1336"/>
      <c r="M95" s="299"/>
      <c r="N95" s="299"/>
      <c r="O95" s="299"/>
      <c r="P95" s="299"/>
      <c r="Q95" s="299"/>
      <c r="R95" s="299"/>
      <c r="S95" s="299"/>
      <c r="T95" s="299"/>
      <c r="U95" s="299"/>
      <c r="V95" s="299"/>
      <c r="W95" s="8"/>
      <c r="X95" s="8"/>
      <c r="Y95" s="8"/>
      <c r="Z95" s="8"/>
    </row>
    <row r="96" spans="1:26" ht="12.75">
      <c r="A96" s="299"/>
      <c r="B96" s="300"/>
      <c r="C96" s="299"/>
      <c r="D96" s="299"/>
      <c r="E96" s="299"/>
      <c r="F96" s="299"/>
      <c r="G96" s="299"/>
      <c r="H96" s="1348"/>
      <c r="I96" s="299"/>
      <c r="J96" s="299"/>
      <c r="K96" s="299"/>
      <c r="L96" s="1336"/>
      <c r="M96" s="299"/>
      <c r="N96" s="299"/>
      <c r="O96" s="299"/>
      <c r="P96" s="299"/>
      <c r="Q96" s="299"/>
      <c r="R96" s="299"/>
      <c r="S96" s="299"/>
      <c r="T96" s="299"/>
      <c r="U96" s="299"/>
      <c r="V96" s="299"/>
      <c r="W96" s="8"/>
      <c r="X96" s="8"/>
      <c r="Y96" s="8"/>
      <c r="Z96" s="8"/>
    </row>
    <row r="97" spans="1:26" ht="12.75">
      <c r="A97" s="299"/>
      <c r="B97" s="300"/>
      <c r="C97" s="299"/>
      <c r="D97" s="299"/>
      <c r="E97" s="299"/>
      <c r="F97" s="299"/>
      <c r="G97" s="299"/>
      <c r="H97" s="1348"/>
      <c r="I97" s="299"/>
      <c r="J97" s="299"/>
      <c r="K97" s="299"/>
      <c r="L97" s="1336"/>
      <c r="M97" s="299"/>
      <c r="N97" s="299"/>
      <c r="O97" s="299"/>
      <c r="P97" s="299"/>
      <c r="Q97" s="299"/>
      <c r="R97" s="299"/>
      <c r="S97" s="299"/>
      <c r="T97" s="299"/>
      <c r="U97" s="299"/>
      <c r="V97" s="299"/>
      <c r="W97" s="8"/>
      <c r="X97" s="8"/>
      <c r="Y97" s="8"/>
      <c r="Z97" s="8"/>
    </row>
    <row r="98" spans="1:26" ht="12.75">
      <c r="A98" s="299"/>
      <c r="B98" s="300"/>
      <c r="C98" s="299"/>
      <c r="D98" s="299"/>
      <c r="E98" s="299"/>
      <c r="F98" s="299"/>
      <c r="G98" s="299"/>
      <c r="H98" s="1348"/>
      <c r="I98" s="299"/>
      <c r="J98" s="299"/>
      <c r="K98" s="299"/>
      <c r="L98" s="1336"/>
      <c r="M98" s="299"/>
      <c r="N98" s="299"/>
      <c r="O98" s="299"/>
      <c r="P98" s="299"/>
      <c r="Q98" s="299"/>
      <c r="R98" s="299"/>
      <c r="S98" s="299"/>
      <c r="T98" s="299"/>
      <c r="U98" s="299"/>
      <c r="V98" s="299"/>
      <c r="W98" s="8"/>
      <c r="X98" s="8"/>
      <c r="Y98" s="8"/>
      <c r="Z98" s="8"/>
    </row>
    <row r="99" spans="1:26" ht="12.75">
      <c r="A99" s="299"/>
      <c r="B99" s="300"/>
      <c r="C99" s="299"/>
      <c r="D99" s="299"/>
      <c r="E99" s="299"/>
      <c r="F99" s="299"/>
      <c r="G99" s="299"/>
      <c r="H99" s="1348"/>
      <c r="I99" s="299"/>
      <c r="J99" s="299"/>
      <c r="K99" s="299"/>
      <c r="L99" s="1336"/>
      <c r="M99" s="299"/>
      <c r="N99" s="299"/>
      <c r="O99" s="299"/>
      <c r="P99" s="299"/>
      <c r="Q99" s="299"/>
      <c r="R99" s="299"/>
      <c r="S99" s="299"/>
      <c r="T99" s="299"/>
      <c r="U99" s="299"/>
      <c r="V99" s="299"/>
      <c r="W99" s="8"/>
      <c r="X99" s="8"/>
      <c r="Y99" s="8"/>
      <c r="Z99" s="8"/>
    </row>
    <row r="100" spans="1:26" ht="12.75">
      <c r="A100" s="299"/>
      <c r="B100" s="300"/>
      <c r="C100" s="299"/>
      <c r="D100" s="299"/>
      <c r="E100" s="299"/>
      <c r="F100" s="299"/>
      <c r="G100" s="299"/>
      <c r="H100" s="1348"/>
      <c r="I100" s="299"/>
      <c r="J100" s="299"/>
      <c r="K100" s="299"/>
      <c r="L100" s="1336"/>
      <c r="M100" s="299"/>
      <c r="N100" s="299"/>
      <c r="O100" s="299"/>
      <c r="P100" s="299"/>
      <c r="Q100" s="299"/>
      <c r="R100" s="299"/>
      <c r="S100" s="299"/>
      <c r="T100" s="299"/>
      <c r="U100" s="299"/>
      <c r="V100" s="299"/>
      <c r="W100" s="8"/>
      <c r="X100" s="8"/>
      <c r="Y100" s="8"/>
      <c r="Z100" s="8"/>
    </row>
    <row r="101" spans="1:26" ht="12.75">
      <c r="A101" s="299"/>
      <c r="B101" s="300"/>
      <c r="C101" s="299"/>
      <c r="D101" s="299"/>
      <c r="E101" s="299"/>
      <c r="F101" s="299"/>
      <c r="G101" s="299"/>
      <c r="H101" s="1348"/>
      <c r="I101" s="299"/>
      <c r="J101" s="299"/>
      <c r="K101" s="299"/>
      <c r="L101" s="1336"/>
      <c r="M101" s="299"/>
      <c r="N101" s="299"/>
      <c r="O101" s="299"/>
      <c r="P101" s="299"/>
      <c r="Q101" s="299"/>
      <c r="R101" s="299"/>
      <c r="S101" s="299"/>
      <c r="T101" s="299"/>
      <c r="U101" s="299"/>
      <c r="V101" s="299"/>
      <c r="W101" s="8"/>
      <c r="X101" s="8"/>
      <c r="Y101" s="8"/>
      <c r="Z101" s="8"/>
    </row>
    <row r="102" spans="1:26" ht="12.75">
      <c r="A102" s="299"/>
      <c r="B102" s="300"/>
      <c r="C102" s="299"/>
      <c r="D102" s="299"/>
      <c r="E102" s="299"/>
      <c r="F102" s="299"/>
      <c r="G102" s="299"/>
      <c r="H102" s="1348"/>
      <c r="I102" s="299"/>
      <c r="J102" s="299"/>
      <c r="K102" s="299"/>
      <c r="L102" s="1336"/>
      <c r="M102" s="299"/>
      <c r="N102" s="299"/>
      <c r="O102" s="299"/>
      <c r="P102" s="299"/>
      <c r="Q102" s="299"/>
      <c r="R102" s="299"/>
      <c r="S102" s="299"/>
      <c r="T102" s="299"/>
      <c r="U102" s="299"/>
      <c r="V102" s="299"/>
      <c r="W102" s="8"/>
      <c r="X102" s="8"/>
      <c r="Y102" s="8"/>
      <c r="Z102" s="8"/>
    </row>
    <row r="103" spans="1:26" ht="12.75">
      <c r="A103" s="299"/>
      <c r="B103" s="300"/>
      <c r="C103" s="299"/>
      <c r="D103" s="299"/>
      <c r="E103" s="299"/>
      <c r="F103" s="299"/>
      <c r="G103" s="299"/>
      <c r="H103" s="1348"/>
      <c r="I103" s="299"/>
      <c r="J103" s="299"/>
      <c r="K103" s="299"/>
      <c r="L103" s="1336"/>
      <c r="M103" s="299"/>
      <c r="N103" s="299"/>
      <c r="O103" s="299"/>
      <c r="P103" s="299"/>
      <c r="Q103" s="299"/>
      <c r="R103" s="299"/>
      <c r="S103" s="299"/>
      <c r="T103" s="299"/>
      <c r="U103" s="299"/>
      <c r="V103" s="299"/>
      <c r="W103" s="8"/>
      <c r="X103" s="8"/>
      <c r="Y103" s="8"/>
      <c r="Z103" s="8"/>
    </row>
    <row r="104" spans="1:26" ht="12.75">
      <c r="A104" s="299"/>
      <c r="B104" s="300"/>
      <c r="C104" s="299"/>
      <c r="D104" s="299"/>
      <c r="E104" s="299"/>
      <c r="F104" s="299"/>
      <c r="G104" s="299"/>
      <c r="H104" s="1348"/>
      <c r="I104" s="299"/>
      <c r="J104" s="299"/>
      <c r="K104" s="299"/>
      <c r="L104" s="1336"/>
      <c r="M104" s="299"/>
      <c r="N104" s="299"/>
      <c r="O104" s="299"/>
      <c r="P104" s="299"/>
      <c r="Q104" s="299"/>
      <c r="R104" s="299"/>
      <c r="S104" s="299"/>
      <c r="T104" s="299"/>
      <c r="U104" s="299"/>
      <c r="V104" s="299"/>
      <c r="W104" s="8"/>
      <c r="X104" s="8"/>
      <c r="Y104" s="8"/>
      <c r="Z104" s="8"/>
    </row>
    <row r="105" spans="1:26" ht="12.75">
      <c r="A105" s="299"/>
      <c r="B105" s="300"/>
      <c r="C105" s="299"/>
      <c r="D105" s="299"/>
      <c r="E105" s="299"/>
      <c r="F105" s="299"/>
      <c r="G105" s="299"/>
      <c r="H105" s="1348"/>
      <c r="I105" s="299"/>
      <c r="J105" s="299"/>
      <c r="K105" s="299"/>
      <c r="L105" s="1336"/>
      <c r="M105" s="299"/>
      <c r="N105" s="299"/>
      <c r="O105" s="299"/>
      <c r="P105" s="299"/>
      <c r="Q105" s="299"/>
      <c r="R105" s="299"/>
      <c r="S105" s="299"/>
      <c r="T105" s="299"/>
      <c r="U105" s="299"/>
      <c r="V105" s="299"/>
      <c r="W105" s="8"/>
      <c r="X105" s="8"/>
      <c r="Y105" s="8"/>
      <c r="Z105" s="8"/>
    </row>
    <row r="106" spans="1:26" ht="12.75">
      <c r="A106" s="299"/>
      <c r="B106" s="300"/>
      <c r="C106" s="299"/>
      <c r="D106" s="299"/>
      <c r="E106" s="299"/>
      <c r="F106" s="299"/>
      <c r="G106" s="299"/>
      <c r="H106" s="1348"/>
      <c r="I106" s="299"/>
      <c r="J106" s="299"/>
      <c r="K106" s="299"/>
      <c r="L106" s="1336"/>
      <c r="M106" s="299"/>
      <c r="N106" s="299"/>
      <c r="O106" s="299"/>
      <c r="P106" s="299"/>
      <c r="Q106" s="299"/>
      <c r="R106" s="299"/>
      <c r="S106" s="299"/>
      <c r="T106" s="299"/>
      <c r="U106" s="299"/>
      <c r="V106" s="299"/>
      <c r="W106" s="8"/>
      <c r="X106" s="8"/>
      <c r="Y106" s="8"/>
      <c r="Z106" s="8"/>
    </row>
    <row r="107" spans="1:26" ht="12.75">
      <c r="A107" s="299"/>
      <c r="B107" s="300"/>
      <c r="C107" s="299"/>
      <c r="D107" s="299"/>
      <c r="E107" s="299"/>
      <c r="F107" s="299"/>
      <c r="G107" s="299"/>
      <c r="H107" s="1348"/>
      <c r="I107" s="299"/>
      <c r="J107" s="299"/>
      <c r="K107" s="299"/>
      <c r="L107" s="1336"/>
      <c r="M107" s="299"/>
      <c r="N107" s="299"/>
      <c r="O107" s="299"/>
      <c r="P107" s="299"/>
      <c r="Q107" s="299"/>
      <c r="R107" s="299"/>
      <c r="S107" s="299"/>
      <c r="T107" s="299"/>
      <c r="U107" s="299"/>
      <c r="V107" s="299"/>
      <c r="W107" s="8"/>
      <c r="X107" s="8"/>
      <c r="Y107" s="8"/>
      <c r="Z107" s="8"/>
    </row>
    <row r="108" spans="1:26" ht="12.75">
      <c r="A108" s="299"/>
      <c r="B108" s="300"/>
      <c r="C108" s="299"/>
      <c r="D108" s="299"/>
      <c r="E108" s="299"/>
      <c r="F108" s="299"/>
      <c r="G108" s="299"/>
      <c r="H108" s="1348"/>
      <c r="I108" s="299"/>
      <c r="J108" s="299"/>
      <c r="K108" s="299"/>
      <c r="L108" s="1336"/>
      <c r="M108" s="299"/>
      <c r="N108" s="299"/>
      <c r="O108" s="299"/>
      <c r="P108" s="299"/>
      <c r="Q108" s="299"/>
      <c r="R108" s="299"/>
      <c r="S108" s="299"/>
      <c r="T108" s="299"/>
      <c r="U108" s="299"/>
      <c r="V108" s="299"/>
      <c r="W108" s="8"/>
      <c r="X108" s="8"/>
      <c r="Y108" s="8"/>
      <c r="Z108" s="8"/>
    </row>
    <row r="109" spans="1:26" ht="12.75">
      <c r="A109" s="299"/>
      <c r="B109" s="300"/>
      <c r="C109" s="299"/>
      <c r="D109" s="299"/>
      <c r="E109" s="299"/>
      <c r="F109" s="299"/>
      <c r="G109" s="299"/>
      <c r="H109" s="1348"/>
      <c r="I109" s="299"/>
      <c r="J109" s="299"/>
      <c r="K109" s="299"/>
      <c r="L109" s="1336"/>
      <c r="M109" s="299"/>
      <c r="N109" s="299"/>
      <c r="O109" s="299"/>
      <c r="P109" s="299"/>
      <c r="Q109" s="299"/>
      <c r="R109" s="299"/>
      <c r="S109" s="299"/>
      <c r="T109" s="299"/>
      <c r="U109" s="299"/>
      <c r="V109" s="299"/>
      <c r="W109" s="8"/>
      <c r="X109" s="8"/>
      <c r="Y109" s="8"/>
      <c r="Z109" s="8"/>
    </row>
    <row r="110" spans="1:26" ht="12.75">
      <c r="A110" s="299"/>
      <c r="B110" s="300"/>
      <c r="C110" s="299"/>
      <c r="D110" s="299"/>
      <c r="E110" s="299"/>
      <c r="F110" s="299"/>
      <c r="G110" s="299"/>
      <c r="H110" s="1348"/>
      <c r="I110" s="299"/>
      <c r="J110" s="299"/>
      <c r="K110" s="299"/>
      <c r="L110" s="1336"/>
      <c r="M110" s="299"/>
      <c r="N110" s="299"/>
      <c r="O110" s="299"/>
      <c r="P110" s="299"/>
      <c r="Q110" s="299"/>
      <c r="R110" s="299"/>
      <c r="S110" s="299"/>
      <c r="T110" s="299"/>
      <c r="U110" s="299"/>
      <c r="V110" s="299"/>
      <c r="W110" s="8"/>
      <c r="X110" s="8"/>
      <c r="Y110" s="8"/>
      <c r="Z110" s="8"/>
    </row>
    <row r="111" spans="1:26" ht="12.75">
      <c r="A111" s="299"/>
      <c r="B111" s="300"/>
      <c r="C111" s="299"/>
      <c r="D111" s="299"/>
      <c r="E111" s="299"/>
      <c r="F111" s="299"/>
      <c r="G111" s="299"/>
      <c r="H111" s="1348"/>
      <c r="I111" s="299"/>
      <c r="J111" s="299"/>
      <c r="K111" s="299"/>
      <c r="L111" s="1336"/>
      <c r="M111" s="299"/>
      <c r="N111" s="299"/>
      <c r="O111" s="299"/>
      <c r="P111" s="299"/>
      <c r="Q111" s="299"/>
      <c r="R111" s="299"/>
      <c r="S111" s="299"/>
      <c r="T111" s="299"/>
      <c r="U111" s="299"/>
      <c r="V111" s="299"/>
      <c r="W111" s="8"/>
      <c r="X111" s="8"/>
      <c r="Y111" s="8"/>
      <c r="Z111" s="8"/>
    </row>
    <row r="112" spans="1:26" ht="12.75">
      <c r="A112" s="299"/>
      <c r="B112" s="300"/>
      <c r="C112" s="299"/>
      <c r="D112" s="299"/>
      <c r="E112" s="299"/>
      <c r="F112" s="299"/>
      <c r="G112" s="299"/>
      <c r="H112" s="1348"/>
      <c r="I112" s="299"/>
      <c r="J112" s="299"/>
      <c r="K112" s="299"/>
      <c r="L112" s="1336"/>
      <c r="M112" s="299"/>
      <c r="N112" s="299"/>
      <c r="O112" s="299"/>
      <c r="P112" s="299"/>
      <c r="Q112" s="299"/>
      <c r="R112" s="299"/>
      <c r="S112" s="299"/>
      <c r="T112" s="299"/>
      <c r="U112" s="299"/>
      <c r="V112" s="299"/>
      <c r="W112" s="8"/>
      <c r="X112" s="8"/>
      <c r="Y112" s="8"/>
      <c r="Z112" s="8"/>
    </row>
    <row r="113" spans="1:26" ht="12.75">
      <c r="A113" s="299"/>
      <c r="B113" s="300"/>
      <c r="C113" s="299"/>
      <c r="D113" s="299"/>
      <c r="E113" s="299"/>
      <c r="F113" s="299"/>
      <c r="G113" s="299"/>
      <c r="H113" s="1348"/>
      <c r="I113" s="299"/>
      <c r="J113" s="299"/>
      <c r="K113" s="299"/>
      <c r="L113" s="1336"/>
      <c r="M113" s="299"/>
      <c r="N113" s="299"/>
      <c r="O113" s="299"/>
      <c r="P113" s="299"/>
      <c r="Q113" s="299"/>
      <c r="R113" s="299"/>
      <c r="S113" s="299"/>
      <c r="T113" s="299"/>
      <c r="U113" s="299"/>
      <c r="V113" s="299"/>
      <c r="W113" s="8"/>
      <c r="X113" s="8"/>
      <c r="Y113" s="8"/>
      <c r="Z113" s="8"/>
    </row>
    <row r="114" spans="1:26" ht="12.75">
      <c r="A114" s="299"/>
      <c r="B114" s="300"/>
      <c r="C114" s="299"/>
      <c r="D114" s="299"/>
      <c r="E114" s="299"/>
      <c r="F114" s="299"/>
      <c r="G114" s="299"/>
      <c r="H114" s="1348"/>
      <c r="I114" s="299"/>
      <c r="J114" s="299"/>
      <c r="K114" s="299"/>
      <c r="L114" s="1336"/>
      <c r="M114" s="299"/>
      <c r="N114" s="299"/>
      <c r="O114" s="299"/>
      <c r="P114" s="299"/>
      <c r="Q114" s="299"/>
      <c r="R114" s="299"/>
      <c r="S114" s="299"/>
      <c r="T114" s="299"/>
      <c r="U114" s="299"/>
      <c r="V114" s="299"/>
      <c r="W114" s="8"/>
      <c r="X114" s="8"/>
      <c r="Y114" s="8"/>
      <c r="Z114" s="8"/>
    </row>
    <row r="115" spans="1:26" ht="12.75">
      <c r="A115" s="299"/>
      <c r="B115" s="300"/>
      <c r="C115" s="299"/>
      <c r="D115" s="299"/>
      <c r="E115" s="299"/>
      <c r="F115" s="299"/>
      <c r="G115" s="299"/>
      <c r="H115" s="1348"/>
      <c r="I115" s="299"/>
      <c r="J115" s="299"/>
      <c r="K115" s="299"/>
      <c r="L115" s="1336"/>
      <c r="M115" s="299"/>
      <c r="N115" s="299"/>
      <c r="O115" s="299"/>
      <c r="P115" s="299"/>
      <c r="Q115" s="299"/>
      <c r="R115" s="299"/>
      <c r="S115" s="299"/>
      <c r="T115" s="299"/>
      <c r="U115" s="299"/>
      <c r="V115" s="299"/>
      <c r="W115" s="8"/>
      <c r="X115" s="8"/>
      <c r="Y115" s="8"/>
      <c r="Z115" s="8"/>
    </row>
    <row r="116" spans="1:26" ht="12.75">
      <c r="A116" s="299"/>
      <c r="B116" s="300"/>
      <c r="C116" s="299"/>
      <c r="D116" s="299"/>
      <c r="E116" s="299"/>
      <c r="F116" s="299"/>
      <c r="G116" s="299"/>
      <c r="H116" s="1348"/>
      <c r="I116" s="299"/>
      <c r="J116" s="299"/>
      <c r="K116" s="299"/>
      <c r="L116" s="1336"/>
      <c r="M116" s="299"/>
      <c r="N116" s="299"/>
      <c r="O116" s="299"/>
      <c r="P116" s="299"/>
      <c r="Q116" s="299"/>
      <c r="R116" s="299"/>
      <c r="S116" s="299"/>
      <c r="T116" s="299"/>
      <c r="U116" s="299"/>
      <c r="V116" s="299"/>
      <c r="W116" s="8"/>
      <c r="X116" s="8"/>
      <c r="Y116" s="8"/>
      <c r="Z116" s="8"/>
    </row>
    <row r="117" spans="1:26" ht="12.75">
      <c r="A117" s="299"/>
      <c r="B117" s="300"/>
      <c r="C117" s="299"/>
      <c r="D117" s="299"/>
      <c r="E117" s="299"/>
      <c r="F117" s="299"/>
      <c r="G117" s="299"/>
      <c r="H117" s="1348"/>
      <c r="I117" s="299"/>
      <c r="J117" s="299"/>
      <c r="K117" s="299"/>
      <c r="L117" s="1336"/>
      <c r="M117" s="299"/>
      <c r="N117" s="299"/>
      <c r="O117" s="299"/>
      <c r="P117" s="299"/>
      <c r="Q117" s="299"/>
      <c r="R117" s="299"/>
      <c r="S117" s="299"/>
      <c r="T117" s="299"/>
      <c r="U117" s="299"/>
      <c r="V117" s="299"/>
      <c r="W117" s="8"/>
      <c r="X117" s="8"/>
      <c r="Y117" s="8"/>
      <c r="Z117" s="8"/>
    </row>
    <row r="118" spans="1:26" ht="12.75">
      <c r="A118" s="299"/>
      <c r="B118" s="300"/>
      <c r="C118" s="299"/>
      <c r="D118" s="299"/>
      <c r="E118" s="299"/>
      <c r="F118" s="299"/>
      <c r="G118" s="299"/>
      <c r="H118" s="1348"/>
      <c r="I118" s="299"/>
      <c r="J118" s="299"/>
      <c r="K118" s="299"/>
      <c r="L118" s="1336"/>
      <c r="M118" s="299"/>
      <c r="N118" s="299"/>
      <c r="O118" s="299"/>
      <c r="P118" s="299"/>
      <c r="Q118" s="299"/>
      <c r="R118" s="299"/>
      <c r="S118" s="299"/>
      <c r="T118" s="299"/>
      <c r="U118" s="299"/>
      <c r="V118" s="299"/>
      <c r="W118" s="8"/>
      <c r="X118" s="8"/>
      <c r="Y118" s="8"/>
      <c r="Z118" s="8"/>
    </row>
    <row r="119" spans="1:26" ht="12.75">
      <c r="A119" s="299"/>
      <c r="B119" s="300"/>
      <c r="C119" s="299"/>
      <c r="D119" s="299"/>
      <c r="E119" s="299"/>
      <c r="F119" s="299"/>
      <c r="G119" s="299"/>
      <c r="H119" s="1348"/>
      <c r="I119" s="299"/>
      <c r="J119" s="299"/>
      <c r="K119" s="299"/>
      <c r="L119" s="1336"/>
      <c r="M119" s="299"/>
      <c r="N119" s="299"/>
      <c r="O119" s="299"/>
      <c r="P119" s="299"/>
      <c r="Q119" s="299"/>
      <c r="R119" s="299"/>
      <c r="S119" s="299"/>
      <c r="T119" s="299"/>
      <c r="U119" s="299"/>
      <c r="V119" s="299"/>
      <c r="W119" s="8"/>
      <c r="X119" s="8"/>
      <c r="Y119" s="8"/>
      <c r="Z119" s="8"/>
    </row>
    <row r="120" spans="1:26" ht="12.75">
      <c r="A120" s="299"/>
      <c r="B120" s="300"/>
      <c r="C120" s="299"/>
      <c r="D120" s="299"/>
      <c r="E120" s="299"/>
      <c r="F120" s="299"/>
      <c r="G120" s="299"/>
      <c r="H120" s="1348"/>
      <c r="I120" s="299"/>
      <c r="J120" s="299"/>
      <c r="K120" s="299"/>
      <c r="L120" s="1336"/>
      <c r="M120" s="299"/>
      <c r="N120" s="299"/>
      <c r="O120" s="299"/>
      <c r="P120" s="299"/>
      <c r="Q120" s="299"/>
      <c r="R120" s="299"/>
      <c r="S120" s="299"/>
      <c r="T120" s="299"/>
      <c r="U120" s="299"/>
      <c r="V120" s="299"/>
      <c r="W120" s="8"/>
      <c r="X120" s="8"/>
      <c r="Y120" s="8"/>
      <c r="Z120" s="8"/>
    </row>
    <row r="121" spans="1:26" ht="12.75">
      <c r="A121" s="299"/>
      <c r="B121" s="300"/>
      <c r="C121" s="299"/>
      <c r="D121" s="299"/>
      <c r="E121" s="299"/>
      <c r="F121" s="299"/>
      <c r="G121" s="299"/>
      <c r="H121" s="1348"/>
      <c r="I121" s="299"/>
      <c r="J121" s="299"/>
      <c r="K121" s="299"/>
      <c r="L121" s="1336"/>
      <c r="M121" s="299"/>
      <c r="N121" s="299"/>
      <c r="O121" s="299"/>
      <c r="P121" s="299"/>
      <c r="Q121" s="299"/>
      <c r="R121" s="299"/>
      <c r="S121" s="299"/>
      <c r="T121" s="299"/>
      <c r="U121" s="299"/>
      <c r="V121" s="299"/>
      <c r="W121" s="8"/>
      <c r="X121" s="8"/>
      <c r="Y121" s="8"/>
      <c r="Z121" s="8"/>
    </row>
    <row r="122" spans="1:26" ht="12.75">
      <c r="A122" s="299"/>
      <c r="B122" s="300"/>
      <c r="C122" s="299"/>
      <c r="D122" s="299"/>
      <c r="E122" s="299"/>
      <c r="F122" s="299"/>
      <c r="G122" s="299"/>
      <c r="H122" s="1348"/>
      <c r="I122" s="299"/>
      <c r="J122" s="299"/>
      <c r="K122" s="299"/>
      <c r="L122" s="1336"/>
      <c r="M122" s="299"/>
      <c r="N122" s="299"/>
      <c r="O122" s="299"/>
      <c r="P122" s="299"/>
      <c r="Q122" s="299"/>
      <c r="R122" s="299"/>
      <c r="S122" s="299"/>
      <c r="T122" s="299"/>
      <c r="U122" s="299"/>
      <c r="V122" s="299"/>
      <c r="W122" s="8"/>
      <c r="X122" s="8"/>
      <c r="Y122" s="8"/>
      <c r="Z122" s="8"/>
    </row>
    <row r="123" spans="1:26" ht="12.75">
      <c r="A123" s="299"/>
      <c r="B123" s="300"/>
      <c r="C123" s="299"/>
      <c r="D123" s="299"/>
      <c r="E123" s="299"/>
      <c r="F123" s="299"/>
      <c r="G123" s="299"/>
      <c r="H123" s="1348"/>
      <c r="I123" s="299"/>
      <c r="J123" s="299"/>
      <c r="K123" s="299"/>
      <c r="L123" s="1336"/>
      <c r="M123" s="299"/>
      <c r="N123" s="299"/>
      <c r="O123" s="299"/>
      <c r="P123" s="299"/>
      <c r="Q123" s="299"/>
      <c r="R123" s="299"/>
      <c r="S123" s="299"/>
      <c r="T123" s="299"/>
      <c r="U123" s="299"/>
      <c r="V123" s="299"/>
      <c r="W123" s="8"/>
      <c r="X123" s="8"/>
      <c r="Y123" s="8"/>
      <c r="Z123" s="8"/>
    </row>
    <row r="124" spans="1:26" ht="12.75">
      <c r="A124" s="299"/>
      <c r="B124" s="300"/>
      <c r="C124" s="299"/>
      <c r="D124" s="299"/>
      <c r="E124" s="299"/>
      <c r="F124" s="299"/>
      <c r="G124" s="299"/>
      <c r="H124" s="1348"/>
      <c r="I124" s="299"/>
      <c r="J124" s="299"/>
      <c r="K124" s="299"/>
      <c r="L124" s="1336"/>
      <c r="M124" s="299"/>
      <c r="N124" s="299"/>
      <c r="O124" s="299"/>
      <c r="P124" s="299"/>
      <c r="Q124" s="299"/>
      <c r="R124" s="299"/>
      <c r="S124" s="299"/>
      <c r="T124" s="299"/>
      <c r="U124" s="299"/>
      <c r="V124" s="299"/>
      <c r="W124" s="8"/>
      <c r="X124" s="8"/>
      <c r="Y124" s="8"/>
      <c r="Z124" s="8"/>
    </row>
    <row r="125" spans="1:26" ht="12.75">
      <c r="A125" s="299"/>
      <c r="B125" s="300"/>
      <c r="C125" s="299"/>
      <c r="D125" s="299"/>
      <c r="E125" s="299"/>
      <c r="F125" s="299"/>
      <c r="G125" s="299"/>
      <c r="H125" s="1348"/>
      <c r="I125" s="299"/>
      <c r="J125" s="299"/>
      <c r="K125" s="299"/>
      <c r="L125" s="1336"/>
      <c r="M125" s="299"/>
      <c r="N125" s="299"/>
      <c r="O125" s="299"/>
      <c r="P125" s="299"/>
      <c r="Q125" s="299"/>
      <c r="R125" s="299"/>
      <c r="S125" s="299"/>
      <c r="T125" s="299"/>
      <c r="U125" s="299"/>
      <c r="V125" s="299"/>
      <c r="W125" s="8"/>
      <c r="X125" s="8"/>
      <c r="Y125" s="8"/>
      <c r="Z125" s="8"/>
    </row>
    <row r="126" spans="1:26" ht="12.75">
      <c r="A126" s="299"/>
      <c r="B126" s="300"/>
      <c r="C126" s="299"/>
      <c r="D126" s="299"/>
      <c r="E126" s="299"/>
      <c r="F126" s="299"/>
      <c r="G126" s="299"/>
      <c r="H126" s="1348"/>
      <c r="I126" s="299"/>
      <c r="J126" s="299"/>
      <c r="K126" s="299"/>
      <c r="L126" s="1336"/>
      <c r="M126" s="299"/>
      <c r="N126" s="299"/>
      <c r="O126" s="299"/>
      <c r="P126" s="299"/>
      <c r="Q126" s="299"/>
      <c r="R126" s="299"/>
      <c r="S126" s="299"/>
      <c r="T126" s="299"/>
      <c r="U126" s="299"/>
      <c r="V126" s="299"/>
      <c r="W126" s="8"/>
      <c r="X126" s="8"/>
      <c r="Y126" s="8"/>
      <c r="Z126" s="8"/>
    </row>
    <row r="127" spans="1:26" ht="12.75">
      <c r="A127" s="299"/>
      <c r="B127" s="300"/>
      <c r="C127" s="299"/>
      <c r="D127" s="299"/>
      <c r="E127" s="299"/>
      <c r="F127" s="299"/>
      <c r="G127" s="299"/>
      <c r="H127" s="1348"/>
      <c r="I127" s="299"/>
      <c r="J127" s="299"/>
      <c r="K127" s="299"/>
      <c r="L127" s="1336"/>
      <c r="M127" s="299"/>
      <c r="N127" s="299"/>
      <c r="O127" s="299"/>
      <c r="P127" s="299"/>
      <c r="Q127" s="299"/>
      <c r="R127" s="299"/>
      <c r="S127" s="299"/>
      <c r="T127" s="299"/>
      <c r="U127" s="299"/>
      <c r="V127" s="299"/>
      <c r="W127" s="8"/>
      <c r="X127" s="8"/>
      <c r="Y127" s="8"/>
      <c r="Z127" s="8"/>
    </row>
    <row r="128" spans="1:26" ht="12.75">
      <c r="A128" s="299"/>
      <c r="B128" s="300"/>
      <c r="C128" s="299"/>
      <c r="D128" s="299"/>
      <c r="E128" s="299"/>
      <c r="F128" s="299"/>
      <c r="G128" s="299"/>
      <c r="H128" s="1348"/>
      <c r="I128" s="299"/>
      <c r="J128" s="299"/>
      <c r="K128" s="299"/>
      <c r="L128" s="1336"/>
      <c r="M128" s="299"/>
      <c r="N128" s="299"/>
      <c r="O128" s="299"/>
      <c r="P128" s="299"/>
      <c r="Q128" s="299"/>
      <c r="R128" s="299"/>
      <c r="S128" s="299"/>
      <c r="T128" s="299"/>
      <c r="U128" s="299"/>
      <c r="V128" s="299"/>
      <c r="W128" s="8"/>
      <c r="X128" s="8"/>
      <c r="Y128" s="8"/>
      <c r="Z128" s="8"/>
    </row>
    <row r="129" spans="1:26" ht="12.75">
      <c r="A129" s="299"/>
      <c r="B129" s="300"/>
      <c r="C129" s="299"/>
      <c r="D129" s="299"/>
      <c r="E129" s="299"/>
      <c r="F129" s="299"/>
      <c r="G129" s="299"/>
      <c r="H129" s="1348"/>
      <c r="I129" s="299"/>
      <c r="J129" s="299"/>
      <c r="K129" s="299"/>
      <c r="L129" s="1336"/>
      <c r="M129" s="299"/>
      <c r="N129" s="299"/>
      <c r="O129" s="299"/>
      <c r="P129" s="299"/>
      <c r="Q129" s="299"/>
      <c r="R129" s="299"/>
      <c r="S129" s="299"/>
      <c r="T129" s="299"/>
      <c r="U129" s="299"/>
      <c r="V129" s="299"/>
      <c r="W129" s="8"/>
      <c r="X129" s="8"/>
      <c r="Y129" s="8"/>
      <c r="Z129" s="8"/>
    </row>
    <row r="130" spans="1:26" ht="12.75">
      <c r="A130" s="299"/>
      <c r="B130" s="300"/>
      <c r="C130" s="299"/>
      <c r="D130" s="299"/>
      <c r="E130" s="299"/>
      <c r="F130" s="299"/>
      <c r="G130" s="299"/>
      <c r="H130" s="1348"/>
      <c r="I130" s="299"/>
      <c r="J130" s="299"/>
      <c r="K130" s="299"/>
      <c r="L130" s="1336"/>
      <c r="M130" s="299"/>
      <c r="N130" s="299"/>
      <c r="O130" s="299"/>
      <c r="P130" s="299"/>
      <c r="Q130" s="299"/>
      <c r="R130" s="299"/>
      <c r="S130" s="299"/>
      <c r="T130" s="299"/>
      <c r="U130" s="299"/>
      <c r="V130" s="299"/>
      <c r="W130" s="8"/>
      <c r="X130" s="8"/>
      <c r="Y130" s="8"/>
      <c r="Z130" s="8"/>
    </row>
    <row r="131" spans="1:26" ht="12.75">
      <c r="A131" s="299"/>
      <c r="B131" s="300"/>
      <c r="C131" s="299"/>
      <c r="D131" s="299"/>
      <c r="E131" s="299"/>
      <c r="F131" s="299"/>
      <c r="G131" s="299"/>
      <c r="H131" s="1348"/>
      <c r="I131" s="299"/>
      <c r="J131" s="299"/>
      <c r="K131" s="299"/>
      <c r="L131" s="1336"/>
      <c r="M131" s="299"/>
      <c r="N131" s="299"/>
      <c r="O131" s="299"/>
      <c r="P131" s="299"/>
      <c r="Q131" s="299"/>
      <c r="R131" s="299"/>
      <c r="S131" s="299"/>
      <c r="T131" s="299"/>
      <c r="U131" s="299"/>
      <c r="V131" s="299"/>
      <c r="W131" s="8"/>
      <c r="X131" s="8"/>
      <c r="Y131" s="8"/>
      <c r="Z131" s="8"/>
    </row>
    <row r="132" spans="1:26" ht="12.75">
      <c r="A132" s="299"/>
      <c r="B132" s="300"/>
      <c r="C132" s="299"/>
      <c r="D132" s="299"/>
      <c r="E132" s="299"/>
      <c r="F132" s="299"/>
      <c r="G132" s="299"/>
      <c r="H132" s="1348"/>
      <c r="I132" s="299"/>
      <c r="J132" s="299"/>
      <c r="K132" s="299"/>
      <c r="L132" s="1336"/>
      <c r="M132" s="299"/>
      <c r="N132" s="299"/>
      <c r="O132" s="299"/>
      <c r="P132" s="299"/>
      <c r="Q132" s="299"/>
      <c r="R132" s="299"/>
      <c r="S132" s="299"/>
      <c r="T132" s="299"/>
      <c r="U132" s="299"/>
      <c r="V132" s="299"/>
      <c r="W132" s="8"/>
      <c r="X132" s="8"/>
      <c r="Y132" s="8"/>
      <c r="Z132" s="8"/>
    </row>
    <row r="133" spans="1:26" ht="12.75">
      <c r="A133" s="299"/>
      <c r="B133" s="300"/>
      <c r="C133" s="299"/>
      <c r="D133" s="299"/>
      <c r="E133" s="299"/>
      <c r="F133" s="299"/>
      <c r="G133" s="299"/>
      <c r="H133" s="1348"/>
      <c r="I133" s="299"/>
      <c r="J133" s="299"/>
      <c r="K133" s="299"/>
      <c r="L133" s="1336"/>
      <c r="M133" s="299"/>
      <c r="N133" s="299"/>
      <c r="O133" s="299"/>
      <c r="P133" s="299"/>
      <c r="Q133" s="299"/>
      <c r="R133" s="299"/>
      <c r="S133" s="299"/>
      <c r="T133" s="299"/>
      <c r="U133" s="299"/>
      <c r="V133" s="299"/>
      <c r="W133" s="8"/>
      <c r="X133" s="8"/>
      <c r="Y133" s="8"/>
      <c r="Z133" s="8"/>
    </row>
    <row r="134" spans="1:26" ht="12.75">
      <c r="A134" s="299"/>
      <c r="B134" s="300"/>
      <c r="C134" s="299"/>
      <c r="D134" s="299"/>
      <c r="E134" s="299"/>
      <c r="F134" s="299"/>
      <c r="G134" s="299"/>
      <c r="H134" s="1348"/>
      <c r="I134" s="299"/>
      <c r="J134" s="299"/>
      <c r="K134" s="299"/>
      <c r="L134" s="1336"/>
      <c r="M134" s="299"/>
      <c r="N134" s="299"/>
      <c r="O134" s="299"/>
      <c r="P134" s="299"/>
      <c r="Q134" s="299"/>
      <c r="R134" s="299"/>
      <c r="S134" s="299"/>
      <c r="T134" s="299"/>
      <c r="U134" s="299"/>
      <c r="V134" s="299"/>
      <c r="W134" s="8"/>
      <c r="X134" s="8"/>
      <c r="Y134" s="8"/>
      <c r="Z134" s="8"/>
    </row>
    <row r="135" spans="1:26" ht="12.75">
      <c r="A135" s="299"/>
      <c r="B135" s="300"/>
      <c r="C135" s="299"/>
      <c r="D135" s="299"/>
      <c r="E135" s="299"/>
      <c r="F135" s="299"/>
      <c r="G135" s="299"/>
      <c r="H135" s="1348"/>
      <c r="I135" s="299"/>
      <c r="J135" s="299"/>
      <c r="K135" s="299"/>
      <c r="L135" s="1336"/>
      <c r="M135" s="299"/>
      <c r="N135" s="299"/>
      <c r="O135" s="299"/>
      <c r="P135" s="299"/>
      <c r="Q135" s="299"/>
      <c r="R135" s="299"/>
      <c r="S135" s="299"/>
      <c r="T135" s="299"/>
      <c r="U135" s="299"/>
      <c r="V135" s="299"/>
      <c r="W135" s="8"/>
      <c r="X135" s="8"/>
      <c r="Y135" s="8"/>
      <c r="Z135" s="8"/>
    </row>
    <row r="136" spans="1:26" ht="12.75">
      <c r="A136" s="299"/>
      <c r="B136" s="300"/>
      <c r="C136" s="299"/>
      <c r="D136" s="299"/>
      <c r="E136" s="299"/>
      <c r="F136" s="299"/>
      <c r="G136" s="299"/>
      <c r="H136" s="1348"/>
      <c r="I136" s="299"/>
      <c r="J136" s="299"/>
      <c r="K136" s="299"/>
      <c r="L136" s="1336"/>
      <c r="M136" s="299"/>
      <c r="N136" s="299"/>
      <c r="O136" s="299"/>
      <c r="P136" s="299"/>
      <c r="Q136" s="299"/>
      <c r="R136" s="299"/>
      <c r="S136" s="299"/>
      <c r="T136" s="299"/>
      <c r="U136" s="299"/>
      <c r="V136" s="299"/>
      <c r="W136" s="8"/>
      <c r="X136" s="8"/>
      <c r="Y136" s="8"/>
      <c r="Z136" s="8"/>
    </row>
    <row r="137" spans="1:26" ht="12.75">
      <c r="A137" s="299"/>
      <c r="B137" s="300"/>
      <c r="C137" s="299"/>
      <c r="D137" s="299"/>
      <c r="E137" s="299"/>
      <c r="F137" s="299"/>
      <c r="G137" s="299"/>
      <c r="H137" s="1348"/>
      <c r="I137" s="299"/>
      <c r="J137" s="299"/>
      <c r="K137" s="299"/>
      <c r="L137" s="1336"/>
      <c r="M137" s="299"/>
      <c r="N137" s="299"/>
      <c r="O137" s="299"/>
      <c r="P137" s="299"/>
      <c r="Q137" s="299"/>
      <c r="R137" s="299"/>
      <c r="S137" s="299"/>
      <c r="T137" s="299"/>
      <c r="U137" s="299"/>
      <c r="V137" s="299"/>
      <c r="W137" s="8"/>
      <c r="X137" s="8"/>
      <c r="Y137" s="8"/>
      <c r="Z137" s="8"/>
    </row>
    <row r="138" spans="1:26" ht="12.75">
      <c r="A138" s="299"/>
      <c r="B138" s="300"/>
      <c r="C138" s="299"/>
      <c r="D138" s="299"/>
      <c r="E138" s="299"/>
      <c r="F138" s="299"/>
      <c r="G138" s="299"/>
      <c r="H138" s="1348"/>
      <c r="I138" s="299"/>
      <c r="J138" s="299"/>
      <c r="K138" s="299"/>
      <c r="L138" s="1336"/>
      <c r="M138" s="299"/>
      <c r="N138" s="299"/>
      <c r="O138" s="299"/>
      <c r="P138" s="299"/>
      <c r="Q138" s="299"/>
      <c r="R138" s="299"/>
      <c r="S138" s="299"/>
      <c r="T138" s="299"/>
      <c r="U138" s="299"/>
      <c r="V138" s="299"/>
      <c r="W138" s="8"/>
      <c r="X138" s="8"/>
      <c r="Y138" s="8"/>
      <c r="Z138" s="8"/>
    </row>
    <row r="139" spans="1:26" ht="12.75">
      <c r="A139" s="299"/>
      <c r="B139" s="300"/>
      <c r="C139" s="299"/>
      <c r="D139" s="299"/>
      <c r="E139" s="299"/>
      <c r="F139" s="299"/>
      <c r="G139" s="299"/>
      <c r="H139" s="1348"/>
      <c r="I139" s="299"/>
      <c r="J139" s="299"/>
      <c r="K139" s="299"/>
      <c r="L139" s="1336"/>
      <c r="M139" s="299"/>
      <c r="N139" s="299"/>
      <c r="O139" s="299"/>
      <c r="P139" s="299"/>
      <c r="Q139" s="299"/>
      <c r="R139" s="299"/>
      <c r="S139" s="299"/>
      <c r="T139" s="299"/>
      <c r="U139" s="299"/>
      <c r="V139" s="299"/>
      <c r="W139" s="8"/>
      <c r="X139" s="8"/>
      <c r="Y139" s="8"/>
      <c r="Z139" s="8"/>
    </row>
    <row r="140" spans="1:26" ht="12.75">
      <c r="A140" s="299"/>
      <c r="B140" s="300"/>
      <c r="C140" s="299"/>
      <c r="D140" s="299"/>
      <c r="E140" s="299"/>
      <c r="F140" s="299"/>
      <c r="G140" s="299"/>
      <c r="H140" s="1348"/>
      <c r="I140" s="299"/>
      <c r="J140" s="299"/>
      <c r="K140" s="299"/>
      <c r="L140" s="1336"/>
      <c r="M140" s="299"/>
      <c r="N140" s="299"/>
      <c r="O140" s="299"/>
      <c r="P140" s="299"/>
      <c r="Q140" s="299"/>
      <c r="R140" s="299"/>
      <c r="S140" s="299"/>
      <c r="T140" s="299"/>
      <c r="U140" s="299"/>
      <c r="V140" s="299"/>
      <c r="W140" s="8"/>
      <c r="X140" s="8"/>
      <c r="Y140" s="8"/>
      <c r="Z140" s="8"/>
    </row>
    <row r="141" spans="1:26" ht="12.75">
      <c r="A141" s="299"/>
      <c r="B141" s="300"/>
      <c r="C141" s="299"/>
      <c r="D141" s="299"/>
      <c r="E141" s="299"/>
      <c r="F141" s="299"/>
      <c r="G141" s="299"/>
      <c r="H141" s="1348"/>
      <c r="I141" s="299"/>
      <c r="J141" s="299"/>
      <c r="K141" s="299"/>
      <c r="L141" s="1336"/>
      <c r="M141" s="299"/>
      <c r="N141" s="299"/>
      <c r="O141" s="299"/>
      <c r="P141" s="299"/>
      <c r="Q141" s="299"/>
      <c r="R141" s="299"/>
      <c r="S141" s="299"/>
      <c r="T141" s="299"/>
      <c r="U141" s="299"/>
      <c r="V141" s="299"/>
      <c r="W141" s="8"/>
      <c r="X141" s="8"/>
      <c r="Y141" s="8"/>
      <c r="Z141" s="8"/>
    </row>
    <row r="142" spans="1:26" ht="12.75">
      <c r="A142" s="299"/>
      <c r="B142" s="300"/>
      <c r="C142" s="299"/>
      <c r="D142" s="299"/>
      <c r="E142" s="299"/>
      <c r="F142" s="299"/>
      <c r="G142" s="299"/>
      <c r="H142" s="1348"/>
      <c r="I142" s="299"/>
      <c r="J142" s="299"/>
      <c r="K142" s="299"/>
      <c r="L142" s="1336"/>
      <c r="M142" s="299"/>
      <c r="N142" s="299"/>
      <c r="O142" s="299"/>
      <c r="P142" s="299"/>
      <c r="Q142" s="299"/>
      <c r="R142" s="299"/>
      <c r="S142" s="299"/>
      <c r="T142" s="299"/>
      <c r="U142" s="299"/>
      <c r="V142" s="299"/>
      <c r="W142" s="8"/>
      <c r="X142" s="8"/>
      <c r="Y142" s="8"/>
      <c r="Z142" s="8"/>
    </row>
    <row r="143" spans="1:26" ht="12.75">
      <c r="A143" s="299"/>
      <c r="B143" s="300"/>
      <c r="C143" s="299"/>
      <c r="D143" s="299"/>
      <c r="E143" s="299"/>
      <c r="F143" s="299"/>
      <c r="G143" s="299"/>
      <c r="H143" s="1348"/>
      <c r="I143" s="299"/>
      <c r="J143" s="299"/>
      <c r="K143" s="299"/>
      <c r="L143" s="1336"/>
      <c r="M143" s="299"/>
      <c r="N143" s="299"/>
      <c r="O143" s="299"/>
      <c r="P143" s="299"/>
      <c r="Q143" s="299"/>
      <c r="R143" s="299"/>
      <c r="S143" s="299"/>
      <c r="T143" s="299"/>
      <c r="U143" s="299"/>
      <c r="V143" s="299"/>
      <c r="W143" s="8"/>
      <c r="X143" s="8"/>
      <c r="Y143" s="8"/>
      <c r="Z143" s="8"/>
    </row>
    <row r="144" spans="1:26" ht="12.75">
      <c r="A144" s="299"/>
      <c r="B144" s="300"/>
      <c r="C144" s="299"/>
      <c r="D144" s="299"/>
      <c r="E144" s="299"/>
      <c r="F144" s="299"/>
      <c r="G144" s="299"/>
      <c r="H144" s="1348"/>
      <c r="I144" s="299"/>
      <c r="J144" s="299"/>
      <c r="K144" s="299"/>
      <c r="L144" s="1336"/>
      <c r="M144" s="299"/>
      <c r="N144" s="299"/>
      <c r="O144" s="299"/>
      <c r="P144" s="299"/>
      <c r="Q144" s="299"/>
      <c r="R144" s="299"/>
      <c r="S144" s="299"/>
      <c r="T144" s="299"/>
      <c r="U144" s="299"/>
      <c r="V144" s="299"/>
      <c r="W144" s="8"/>
      <c r="X144" s="8"/>
      <c r="Y144" s="8"/>
      <c r="Z144" s="8"/>
    </row>
    <row r="145" spans="1:26" ht="12.75">
      <c r="A145" s="299"/>
      <c r="B145" s="300"/>
      <c r="C145" s="299"/>
      <c r="D145" s="299"/>
      <c r="E145" s="299"/>
      <c r="F145" s="299"/>
      <c r="G145" s="299"/>
      <c r="H145" s="1348"/>
      <c r="I145" s="299"/>
      <c r="J145" s="299"/>
      <c r="K145" s="299"/>
      <c r="L145" s="1336"/>
      <c r="M145" s="299"/>
      <c r="N145" s="299"/>
      <c r="O145" s="299"/>
      <c r="P145" s="299"/>
      <c r="Q145" s="299"/>
      <c r="R145" s="299"/>
      <c r="S145" s="299"/>
      <c r="T145" s="299"/>
      <c r="U145" s="299"/>
      <c r="V145" s="299"/>
      <c r="W145" s="8"/>
      <c r="X145" s="8"/>
      <c r="Y145" s="8"/>
      <c r="Z145" s="8"/>
    </row>
    <row r="146" spans="1:26" ht="12.75">
      <c r="A146" s="299"/>
      <c r="B146" s="300"/>
      <c r="C146" s="299"/>
      <c r="D146" s="299"/>
      <c r="E146" s="299"/>
      <c r="F146" s="299"/>
      <c r="G146" s="299"/>
      <c r="H146" s="1348"/>
      <c r="I146" s="299"/>
      <c r="J146" s="299"/>
      <c r="K146" s="299"/>
      <c r="L146" s="1336"/>
      <c r="M146" s="299"/>
      <c r="N146" s="299"/>
      <c r="O146" s="299"/>
      <c r="P146" s="299"/>
      <c r="Q146" s="299"/>
      <c r="R146" s="299"/>
      <c r="S146" s="299"/>
      <c r="T146" s="299"/>
      <c r="U146" s="299"/>
      <c r="V146" s="299"/>
      <c r="W146" s="8"/>
      <c r="X146" s="8"/>
      <c r="Y146" s="8"/>
      <c r="Z146" s="8"/>
    </row>
    <row r="147" spans="1:26" ht="12.75">
      <c r="A147" s="299"/>
      <c r="B147" s="300"/>
      <c r="C147" s="299"/>
      <c r="D147" s="299"/>
      <c r="E147" s="299"/>
      <c r="F147" s="299"/>
      <c r="G147" s="299"/>
      <c r="H147" s="1348"/>
      <c r="I147" s="299"/>
      <c r="J147" s="299"/>
      <c r="K147" s="299"/>
      <c r="L147" s="1336"/>
      <c r="M147" s="299"/>
      <c r="N147" s="299"/>
      <c r="O147" s="299"/>
      <c r="P147" s="299"/>
      <c r="Q147" s="299"/>
      <c r="R147" s="299"/>
      <c r="S147" s="299"/>
      <c r="T147" s="299"/>
      <c r="U147" s="299"/>
      <c r="V147" s="299"/>
      <c r="W147" s="8"/>
      <c r="X147" s="8"/>
      <c r="Y147" s="8"/>
      <c r="Z147" s="8"/>
    </row>
    <row r="148" spans="1:26" ht="12.75">
      <c r="A148" s="299"/>
      <c r="B148" s="300"/>
      <c r="C148" s="299"/>
      <c r="D148" s="299"/>
      <c r="E148" s="299"/>
      <c r="F148" s="299"/>
      <c r="G148" s="299"/>
      <c r="H148" s="1348"/>
      <c r="I148" s="299"/>
      <c r="J148" s="299"/>
      <c r="K148" s="299"/>
      <c r="L148" s="1336"/>
      <c r="M148" s="299"/>
      <c r="N148" s="299"/>
      <c r="O148" s="299"/>
      <c r="P148" s="299"/>
      <c r="Q148" s="299"/>
      <c r="R148" s="299"/>
      <c r="S148" s="299"/>
      <c r="T148" s="299"/>
      <c r="U148" s="299"/>
      <c r="V148" s="299"/>
      <c r="W148" s="8"/>
      <c r="X148" s="8"/>
      <c r="Y148" s="8"/>
      <c r="Z148" s="8"/>
    </row>
    <row r="149" spans="1:26" ht="12.75">
      <c r="A149" s="299"/>
      <c r="B149" s="300"/>
      <c r="C149" s="299"/>
      <c r="D149" s="299"/>
      <c r="E149" s="299"/>
      <c r="F149" s="299"/>
      <c r="G149" s="299"/>
      <c r="H149" s="1348"/>
      <c r="I149" s="299"/>
      <c r="J149" s="299"/>
      <c r="K149" s="299"/>
      <c r="L149" s="1336"/>
      <c r="M149" s="299"/>
      <c r="N149" s="299"/>
      <c r="O149" s="299"/>
      <c r="P149" s="299"/>
      <c r="Q149" s="299"/>
      <c r="R149" s="299"/>
      <c r="S149" s="299"/>
      <c r="T149" s="299"/>
      <c r="U149" s="299"/>
      <c r="V149" s="299"/>
      <c r="W149" s="8"/>
      <c r="X149" s="8"/>
      <c r="Y149" s="8"/>
      <c r="Z149" s="8"/>
    </row>
    <row r="150" spans="1:26" ht="12.75">
      <c r="A150" s="299"/>
      <c r="B150" s="300"/>
      <c r="C150" s="299"/>
      <c r="D150" s="299"/>
      <c r="E150" s="299"/>
      <c r="F150" s="299"/>
      <c r="G150" s="299"/>
      <c r="H150" s="1348"/>
      <c r="I150" s="299"/>
      <c r="J150" s="299"/>
      <c r="K150" s="299"/>
      <c r="L150" s="1336"/>
      <c r="M150" s="299"/>
      <c r="N150" s="299"/>
      <c r="O150" s="299"/>
      <c r="P150" s="299"/>
      <c r="Q150" s="299"/>
      <c r="R150" s="299"/>
      <c r="S150" s="299"/>
      <c r="T150" s="299"/>
      <c r="U150" s="299"/>
      <c r="V150" s="299"/>
      <c r="W150" s="8"/>
      <c r="X150" s="8"/>
      <c r="Y150" s="8"/>
      <c r="Z150" s="8"/>
    </row>
    <row r="151" spans="1:26" ht="12.75">
      <c r="A151" s="299"/>
      <c r="B151" s="300"/>
      <c r="C151" s="299"/>
      <c r="D151" s="299"/>
      <c r="E151" s="299"/>
      <c r="F151" s="299"/>
      <c r="G151" s="299"/>
      <c r="H151" s="1348"/>
      <c r="I151" s="299"/>
      <c r="J151" s="299"/>
      <c r="K151" s="299"/>
      <c r="L151" s="1336"/>
      <c r="M151" s="299"/>
      <c r="N151" s="299"/>
      <c r="O151" s="299"/>
      <c r="P151" s="299"/>
      <c r="Q151" s="299"/>
      <c r="R151" s="299"/>
      <c r="S151" s="299"/>
      <c r="T151" s="299"/>
      <c r="U151" s="299"/>
      <c r="V151" s="299"/>
      <c r="W151" s="8"/>
      <c r="X151" s="8"/>
      <c r="Y151" s="8"/>
      <c r="Z151" s="8"/>
    </row>
    <row r="152" spans="1:26" ht="12.75">
      <c r="A152" s="299"/>
      <c r="B152" s="300"/>
      <c r="C152" s="299"/>
      <c r="D152" s="299"/>
      <c r="E152" s="299"/>
      <c r="F152" s="299"/>
      <c r="G152" s="299"/>
      <c r="H152" s="1348"/>
      <c r="I152" s="299"/>
      <c r="J152" s="299"/>
      <c r="K152" s="299"/>
      <c r="L152" s="1336"/>
      <c r="M152" s="299"/>
      <c r="N152" s="299"/>
      <c r="O152" s="299"/>
      <c r="P152" s="299"/>
      <c r="Q152" s="299"/>
      <c r="R152" s="299"/>
      <c r="S152" s="299"/>
      <c r="T152" s="299"/>
      <c r="U152" s="299"/>
      <c r="V152" s="299"/>
      <c r="W152" s="8"/>
      <c r="X152" s="8"/>
      <c r="Y152" s="8"/>
      <c r="Z152" s="8"/>
    </row>
    <row r="153" spans="1:26" ht="12.75">
      <c r="A153" s="299"/>
      <c r="B153" s="300"/>
      <c r="C153" s="299"/>
      <c r="D153" s="299"/>
      <c r="E153" s="299"/>
      <c r="F153" s="299"/>
      <c r="G153" s="299"/>
      <c r="H153" s="1348"/>
      <c r="I153" s="299"/>
      <c r="J153" s="299"/>
      <c r="K153" s="299"/>
      <c r="L153" s="1336"/>
      <c r="M153" s="299"/>
      <c r="N153" s="299"/>
      <c r="O153" s="299"/>
      <c r="P153" s="299"/>
      <c r="Q153" s="299"/>
      <c r="R153" s="299"/>
      <c r="S153" s="299"/>
      <c r="T153" s="299"/>
      <c r="U153" s="299"/>
      <c r="V153" s="299"/>
      <c r="W153" s="8"/>
      <c r="X153" s="8"/>
      <c r="Y153" s="8"/>
      <c r="Z153" s="8"/>
    </row>
    <row r="154" spans="1:26" ht="12.75">
      <c r="A154" s="299"/>
      <c r="B154" s="300"/>
      <c r="C154" s="299"/>
      <c r="D154" s="299"/>
      <c r="E154" s="299"/>
      <c r="F154" s="299"/>
      <c r="G154" s="299"/>
      <c r="H154" s="1348"/>
      <c r="I154" s="299"/>
      <c r="J154" s="299"/>
      <c r="K154" s="299"/>
      <c r="L154" s="1336"/>
      <c r="M154" s="299"/>
      <c r="N154" s="299"/>
      <c r="O154" s="299"/>
      <c r="P154" s="299"/>
      <c r="Q154" s="299"/>
      <c r="R154" s="299"/>
      <c r="S154" s="299"/>
      <c r="T154" s="299"/>
      <c r="U154" s="299"/>
      <c r="V154" s="299"/>
      <c r="W154" s="8"/>
      <c r="X154" s="8"/>
      <c r="Y154" s="8"/>
      <c r="Z154" s="8"/>
    </row>
    <row r="155" spans="1:26" ht="12.75">
      <c r="A155" s="299"/>
      <c r="B155" s="300"/>
      <c r="C155" s="299"/>
      <c r="D155" s="299"/>
      <c r="E155" s="299"/>
      <c r="F155" s="299"/>
      <c r="G155" s="299"/>
      <c r="H155" s="1348"/>
      <c r="I155" s="299"/>
      <c r="J155" s="299"/>
      <c r="K155" s="299"/>
      <c r="L155" s="1336"/>
      <c r="M155" s="299"/>
      <c r="N155" s="299"/>
      <c r="O155" s="299"/>
      <c r="P155" s="299"/>
      <c r="Q155" s="299"/>
      <c r="R155" s="299"/>
      <c r="S155" s="299"/>
      <c r="T155" s="299"/>
      <c r="U155" s="299"/>
      <c r="V155" s="299"/>
      <c r="W155" s="8"/>
      <c r="X155" s="8"/>
      <c r="Y155" s="8"/>
      <c r="Z155" s="8"/>
    </row>
    <row r="156" spans="1:26" ht="12.75">
      <c r="A156" s="299"/>
      <c r="B156" s="300"/>
      <c r="C156" s="299"/>
      <c r="D156" s="299"/>
      <c r="E156" s="299"/>
      <c r="F156" s="299"/>
      <c r="G156" s="299"/>
      <c r="H156" s="1348"/>
      <c r="I156" s="299"/>
      <c r="J156" s="299"/>
      <c r="K156" s="299"/>
      <c r="L156" s="1336"/>
      <c r="M156" s="299"/>
      <c r="N156" s="299"/>
      <c r="O156" s="299"/>
      <c r="P156" s="299"/>
      <c r="Q156" s="299"/>
      <c r="R156" s="299"/>
      <c r="S156" s="299"/>
      <c r="T156" s="299"/>
      <c r="U156" s="299"/>
      <c r="V156" s="299"/>
      <c r="W156" s="8"/>
      <c r="X156" s="8"/>
      <c r="Y156" s="8"/>
      <c r="Z156" s="8"/>
    </row>
    <row r="157" spans="1:26" ht="12.75">
      <c r="A157" s="299"/>
      <c r="B157" s="300"/>
      <c r="C157" s="299"/>
      <c r="D157" s="299"/>
      <c r="E157" s="299"/>
      <c r="F157" s="299"/>
      <c r="G157" s="299"/>
      <c r="H157" s="1348"/>
      <c r="I157" s="299"/>
      <c r="J157" s="299"/>
      <c r="K157" s="299"/>
      <c r="L157" s="1336"/>
      <c r="M157" s="299"/>
      <c r="N157" s="299"/>
      <c r="O157" s="299"/>
      <c r="P157" s="299"/>
      <c r="Q157" s="299"/>
      <c r="R157" s="299"/>
      <c r="S157" s="299"/>
      <c r="T157" s="299"/>
      <c r="U157" s="299"/>
      <c r="V157" s="299"/>
      <c r="W157" s="8"/>
      <c r="X157" s="8"/>
      <c r="Y157" s="8"/>
      <c r="Z157" s="8"/>
    </row>
    <row r="158" spans="1:26" ht="12.75">
      <c r="A158" s="299"/>
      <c r="B158" s="300"/>
      <c r="C158" s="299"/>
      <c r="D158" s="299"/>
      <c r="E158" s="299"/>
      <c r="F158" s="299"/>
      <c r="G158" s="299"/>
      <c r="H158" s="1348"/>
      <c r="I158" s="299"/>
      <c r="J158" s="299"/>
      <c r="K158" s="299"/>
      <c r="L158" s="1336"/>
      <c r="M158" s="299"/>
      <c r="N158" s="299"/>
      <c r="O158" s="299"/>
      <c r="P158" s="299"/>
      <c r="Q158" s="299"/>
      <c r="R158" s="299"/>
      <c r="S158" s="299"/>
      <c r="T158" s="299"/>
      <c r="U158" s="299"/>
      <c r="V158" s="299"/>
      <c r="W158" s="8"/>
      <c r="X158" s="8"/>
      <c r="Y158" s="8"/>
      <c r="Z158" s="8"/>
    </row>
    <row r="159" spans="1:26" ht="12.75">
      <c r="A159" s="299"/>
      <c r="B159" s="300"/>
      <c r="C159" s="299"/>
      <c r="D159" s="299"/>
      <c r="E159" s="299"/>
      <c r="F159" s="299"/>
      <c r="G159" s="299"/>
      <c r="H159" s="1348"/>
      <c r="I159" s="299"/>
      <c r="J159" s="299"/>
      <c r="K159" s="299"/>
      <c r="L159" s="1336"/>
      <c r="M159" s="299"/>
      <c r="N159" s="299"/>
      <c r="O159" s="299"/>
      <c r="P159" s="299"/>
      <c r="Q159" s="299"/>
      <c r="R159" s="299"/>
      <c r="S159" s="299"/>
      <c r="T159" s="299"/>
      <c r="U159" s="299"/>
      <c r="V159" s="299"/>
      <c r="W159" s="8"/>
      <c r="X159" s="8"/>
      <c r="Y159" s="8"/>
      <c r="Z159" s="8"/>
    </row>
    <row r="160" spans="1:26" ht="12.75">
      <c r="A160" s="299"/>
      <c r="B160" s="300"/>
      <c r="C160" s="299"/>
      <c r="D160" s="299"/>
      <c r="E160" s="299"/>
      <c r="F160" s="299"/>
      <c r="G160" s="299"/>
      <c r="H160" s="1348"/>
      <c r="I160" s="299"/>
      <c r="J160" s="299"/>
      <c r="K160" s="299"/>
      <c r="L160" s="1336"/>
      <c r="M160" s="299"/>
      <c r="N160" s="299"/>
      <c r="O160" s="299"/>
      <c r="P160" s="299"/>
      <c r="Q160" s="299"/>
      <c r="R160" s="299"/>
      <c r="S160" s="299"/>
      <c r="T160" s="299"/>
      <c r="U160" s="299"/>
      <c r="V160" s="299"/>
      <c r="W160" s="8"/>
      <c r="X160" s="8"/>
      <c r="Y160" s="8"/>
      <c r="Z160" s="8"/>
    </row>
    <row r="161" spans="1:26" ht="12.75">
      <c r="A161" s="299"/>
      <c r="B161" s="300"/>
      <c r="C161" s="299"/>
      <c r="D161" s="299"/>
      <c r="E161" s="299"/>
      <c r="F161" s="299"/>
      <c r="G161" s="299"/>
      <c r="H161" s="1348"/>
      <c r="I161" s="299"/>
      <c r="J161" s="299"/>
      <c r="K161" s="299"/>
      <c r="L161" s="1336"/>
      <c r="M161" s="299"/>
      <c r="N161" s="299"/>
      <c r="O161" s="299"/>
      <c r="P161" s="299"/>
      <c r="Q161" s="299"/>
      <c r="R161" s="299"/>
      <c r="S161" s="299"/>
      <c r="T161" s="299"/>
      <c r="U161" s="299"/>
      <c r="V161" s="299"/>
      <c r="W161" s="8"/>
      <c r="X161" s="8"/>
      <c r="Y161" s="8"/>
      <c r="Z161" s="8"/>
    </row>
    <row r="162" spans="1:26" ht="12.75">
      <c r="A162" s="299"/>
      <c r="B162" s="300"/>
      <c r="C162" s="299"/>
      <c r="D162" s="299"/>
      <c r="E162" s="299"/>
      <c r="F162" s="299"/>
      <c r="G162" s="299"/>
      <c r="H162" s="1348"/>
      <c r="I162" s="299"/>
      <c r="J162" s="299"/>
      <c r="K162" s="299"/>
      <c r="L162" s="1336"/>
      <c r="M162" s="299"/>
      <c r="N162" s="299"/>
      <c r="O162" s="299"/>
      <c r="P162" s="299"/>
      <c r="Q162" s="299"/>
      <c r="R162" s="299"/>
      <c r="S162" s="299"/>
      <c r="T162" s="299"/>
      <c r="U162" s="299"/>
      <c r="V162" s="299"/>
      <c r="W162" s="8"/>
      <c r="X162" s="8"/>
      <c r="Y162" s="8"/>
      <c r="Z162" s="8"/>
    </row>
    <row r="163" spans="1:26" ht="12.75">
      <c r="A163" s="299"/>
      <c r="B163" s="300"/>
      <c r="C163" s="299"/>
      <c r="D163" s="299"/>
      <c r="E163" s="299"/>
      <c r="F163" s="299"/>
      <c r="G163" s="299"/>
      <c r="H163" s="1348"/>
      <c r="I163" s="299"/>
      <c r="J163" s="299"/>
      <c r="K163" s="299"/>
      <c r="L163" s="1336"/>
      <c r="M163" s="299"/>
      <c r="N163" s="299"/>
      <c r="O163" s="299"/>
      <c r="P163" s="299"/>
      <c r="Q163" s="299"/>
      <c r="R163" s="299"/>
      <c r="S163" s="299"/>
      <c r="T163" s="299"/>
      <c r="U163" s="299"/>
      <c r="V163" s="299"/>
      <c r="W163" s="8"/>
      <c r="X163" s="8"/>
      <c r="Y163" s="8"/>
      <c r="Z163" s="8"/>
    </row>
    <row r="164" spans="1:26" ht="12.75">
      <c r="A164" s="299"/>
      <c r="B164" s="300"/>
      <c r="C164" s="299"/>
      <c r="D164" s="299"/>
      <c r="E164" s="299"/>
      <c r="F164" s="299"/>
      <c r="G164" s="299"/>
      <c r="H164" s="1348"/>
      <c r="I164" s="299"/>
      <c r="J164" s="299"/>
      <c r="K164" s="299"/>
      <c r="L164" s="1336"/>
      <c r="M164" s="299"/>
      <c r="N164" s="299"/>
      <c r="O164" s="299"/>
      <c r="P164" s="299"/>
      <c r="Q164" s="299"/>
      <c r="R164" s="299"/>
      <c r="S164" s="299"/>
      <c r="T164" s="299"/>
      <c r="U164" s="299"/>
      <c r="V164" s="299"/>
      <c r="W164" s="8"/>
      <c r="X164" s="8"/>
      <c r="Y164" s="8"/>
      <c r="Z164" s="8"/>
    </row>
    <row r="165" spans="1:26" ht="12.75">
      <c r="A165" s="299"/>
      <c r="B165" s="300"/>
      <c r="C165" s="299"/>
      <c r="D165" s="299"/>
      <c r="E165" s="299"/>
      <c r="F165" s="299"/>
      <c r="G165" s="299"/>
      <c r="H165" s="1348"/>
      <c r="I165" s="299"/>
      <c r="J165" s="299"/>
      <c r="K165" s="299"/>
      <c r="L165" s="1336"/>
      <c r="M165" s="299"/>
      <c r="N165" s="299"/>
      <c r="O165" s="299"/>
      <c r="P165" s="299"/>
      <c r="Q165" s="299"/>
      <c r="R165" s="299"/>
      <c r="S165" s="299"/>
      <c r="T165" s="299"/>
      <c r="U165" s="299"/>
      <c r="V165" s="299"/>
      <c r="W165" s="8"/>
      <c r="X165" s="8"/>
      <c r="Y165" s="8"/>
      <c r="Z165" s="8"/>
    </row>
    <row r="166" spans="1:26" ht="12.75">
      <c r="A166" s="299"/>
      <c r="B166" s="300"/>
      <c r="C166" s="299"/>
      <c r="D166" s="299"/>
      <c r="E166" s="299"/>
      <c r="F166" s="299"/>
      <c r="G166" s="299"/>
      <c r="H166" s="1348"/>
      <c r="I166" s="299"/>
      <c r="J166" s="299"/>
      <c r="K166" s="299"/>
      <c r="L166" s="1336"/>
      <c r="M166" s="299"/>
      <c r="N166" s="299"/>
      <c r="O166" s="299"/>
      <c r="P166" s="299"/>
      <c r="Q166" s="299"/>
      <c r="R166" s="299"/>
      <c r="S166" s="299"/>
      <c r="T166" s="299"/>
      <c r="U166" s="299"/>
      <c r="V166" s="299"/>
      <c r="W166" s="8"/>
      <c r="X166" s="8"/>
      <c r="Y166" s="8"/>
      <c r="Z166" s="8"/>
    </row>
    <row r="167" spans="1:26" ht="12.75">
      <c r="A167" s="299"/>
      <c r="B167" s="300"/>
      <c r="C167" s="299"/>
      <c r="D167" s="299"/>
      <c r="E167" s="299"/>
      <c r="F167" s="299"/>
      <c r="G167" s="299"/>
      <c r="H167" s="1348"/>
      <c r="I167" s="299"/>
      <c r="J167" s="299"/>
      <c r="K167" s="299"/>
      <c r="L167" s="1336"/>
      <c r="M167" s="299"/>
      <c r="N167" s="299"/>
      <c r="O167" s="299"/>
      <c r="P167" s="299"/>
      <c r="Q167" s="299"/>
      <c r="R167" s="299"/>
      <c r="S167" s="299"/>
      <c r="T167" s="299"/>
      <c r="U167" s="299"/>
      <c r="V167" s="299"/>
      <c r="W167" s="8"/>
      <c r="X167" s="8"/>
      <c r="Y167" s="8"/>
      <c r="Z167" s="8"/>
    </row>
    <row r="168" spans="1:26" ht="12.75">
      <c r="A168" s="299"/>
      <c r="B168" s="300"/>
      <c r="C168" s="299"/>
      <c r="D168" s="299"/>
      <c r="E168" s="299"/>
      <c r="F168" s="299"/>
      <c r="G168" s="299"/>
      <c r="H168" s="1348"/>
      <c r="I168" s="299"/>
      <c r="J168" s="299"/>
      <c r="K168" s="299"/>
      <c r="L168" s="1336"/>
      <c r="M168" s="299"/>
      <c r="N168" s="299"/>
      <c r="O168" s="299"/>
      <c r="P168" s="299"/>
      <c r="Q168" s="299"/>
      <c r="R168" s="299"/>
      <c r="S168" s="299"/>
      <c r="T168" s="299"/>
      <c r="U168" s="299"/>
      <c r="V168" s="299"/>
      <c r="W168" s="8"/>
      <c r="X168" s="8"/>
      <c r="Y168" s="8"/>
      <c r="Z168" s="8"/>
    </row>
    <row r="169" spans="1:26" ht="12.75">
      <c r="A169" s="299"/>
      <c r="B169" s="300"/>
      <c r="C169" s="299"/>
      <c r="D169" s="299"/>
      <c r="E169" s="299"/>
      <c r="F169" s="299"/>
      <c r="G169" s="299"/>
      <c r="H169" s="1348"/>
      <c r="I169" s="299"/>
      <c r="J169" s="299"/>
      <c r="K169" s="299"/>
      <c r="L169" s="1336"/>
      <c r="M169" s="299"/>
      <c r="N169" s="299"/>
      <c r="O169" s="299"/>
      <c r="P169" s="299"/>
      <c r="Q169" s="299"/>
      <c r="R169" s="299"/>
      <c r="S169" s="299"/>
      <c r="T169" s="299"/>
      <c r="U169" s="299"/>
      <c r="V169" s="299"/>
      <c r="W169" s="8"/>
      <c r="X169" s="8"/>
      <c r="Y169" s="8"/>
      <c r="Z169" s="8"/>
    </row>
    <row r="170" spans="1:26" ht="12.75">
      <c r="A170" s="299"/>
      <c r="B170" s="300"/>
      <c r="C170" s="299"/>
      <c r="D170" s="299"/>
      <c r="E170" s="299"/>
      <c r="F170" s="299"/>
      <c r="G170" s="299"/>
      <c r="H170" s="1348"/>
      <c r="I170" s="299"/>
      <c r="J170" s="299"/>
      <c r="K170" s="299"/>
      <c r="L170" s="1336"/>
      <c r="M170" s="299"/>
      <c r="N170" s="299"/>
      <c r="O170" s="299"/>
      <c r="P170" s="299"/>
      <c r="Q170" s="299"/>
      <c r="R170" s="299"/>
      <c r="S170" s="299"/>
      <c r="T170" s="299"/>
      <c r="U170" s="299"/>
      <c r="V170" s="299"/>
      <c r="W170" s="8"/>
      <c r="X170" s="8"/>
      <c r="Y170" s="8"/>
      <c r="Z170" s="8"/>
    </row>
    <row r="171" spans="1:26" ht="12.75">
      <c r="A171" s="299"/>
      <c r="B171" s="300"/>
      <c r="C171" s="299"/>
      <c r="D171" s="299"/>
      <c r="E171" s="299"/>
      <c r="F171" s="299"/>
      <c r="G171" s="299"/>
      <c r="H171" s="1348"/>
      <c r="I171" s="299"/>
      <c r="J171" s="299"/>
      <c r="K171" s="299"/>
      <c r="L171" s="1336"/>
      <c r="M171" s="299"/>
      <c r="N171" s="299"/>
      <c r="O171" s="299"/>
      <c r="P171" s="299"/>
      <c r="Q171" s="299"/>
      <c r="R171" s="299"/>
      <c r="S171" s="299"/>
      <c r="T171" s="299"/>
      <c r="U171" s="299"/>
      <c r="V171" s="299"/>
      <c r="W171" s="8"/>
      <c r="X171" s="8"/>
      <c r="Y171" s="8"/>
      <c r="Z171" s="8"/>
    </row>
    <row r="172" spans="1:26" ht="12.75">
      <c r="A172" s="299"/>
      <c r="B172" s="300"/>
      <c r="C172" s="299"/>
      <c r="D172" s="299"/>
      <c r="E172" s="299"/>
      <c r="F172" s="299"/>
      <c r="G172" s="299"/>
      <c r="H172" s="1348"/>
      <c r="I172" s="299"/>
      <c r="J172" s="299"/>
      <c r="K172" s="299"/>
      <c r="L172" s="1336"/>
      <c r="M172" s="299"/>
      <c r="N172" s="299"/>
      <c r="O172" s="299"/>
      <c r="P172" s="299"/>
      <c r="Q172" s="299"/>
      <c r="R172" s="299"/>
      <c r="S172" s="299"/>
      <c r="T172" s="299"/>
      <c r="U172" s="299"/>
      <c r="V172" s="299"/>
      <c r="W172" s="8"/>
      <c r="X172" s="8"/>
      <c r="Y172" s="8"/>
      <c r="Z172" s="8"/>
    </row>
    <row r="173" spans="1:26" ht="12.75">
      <c r="A173" s="299"/>
      <c r="B173" s="300"/>
      <c r="C173" s="299"/>
      <c r="D173" s="299"/>
      <c r="E173" s="299"/>
      <c r="F173" s="299"/>
      <c r="G173" s="299"/>
      <c r="H173" s="1348"/>
      <c r="I173" s="299"/>
      <c r="J173" s="299"/>
      <c r="K173" s="299"/>
      <c r="L173" s="1336"/>
      <c r="M173" s="299"/>
      <c r="N173" s="299"/>
      <c r="O173" s="299"/>
      <c r="P173" s="299"/>
      <c r="Q173" s="299"/>
      <c r="R173" s="299"/>
      <c r="S173" s="299"/>
      <c r="T173" s="299"/>
      <c r="U173" s="299"/>
      <c r="V173" s="299"/>
      <c r="W173" s="8"/>
      <c r="X173" s="8"/>
      <c r="Y173" s="8"/>
      <c r="Z173" s="8"/>
    </row>
    <row r="174" spans="1:26" ht="12.75">
      <c r="A174" s="299"/>
      <c r="B174" s="300"/>
      <c r="C174" s="299"/>
      <c r="D174" s="299"/>
      <c r="E174" s="299"/>
      <c r="F174" s="299"/>
      <c r="G174" s="299"/>
      <c r="H174" s="1348"/>
      <c r="I174" s="299"/>
      <c r="J174" s="299"/>
      <c r="K174" s="299"/>
      <c r="L174" s="1336"/>
      <c r="M174" s="299"/>
      <c r="N174" s="299"/>
      <c r="O174" s="299"/>
      <c r="P174" s="299"/>
      <c r="Q174" s="299"/>
      <c r="R174" s="299"/>
      <c r="S174" s="299"/>
      <c r="T174" s="299"/>
      <c r="U174" s="299"/>
      <c r="V174" s="299"/>
      <c r="W174" s="8"/>
      <c r="X174" s="8"/>
      <c r="Y174" s="8"/>
      <c r="Z174" s="8"/>
    </row>
    <row r="175" spans="1:26" ht="12.75">
      <c r="A175" s="299"/>
      <c r="B175" s="300"/>
      <c r="C175" s="299"/>
      <c r="D175" s="299"/>
      <c r="E175" s="299"/>
      <c r="F175" s="299"/>
      <c r="G175" s="299"/>
      <c r="H175" s="1348"/>
      <c r="I175" s="299"/>
      <c r="J175" s="299"/>
      <c r="K175" s="299"/>
      <c r="L175" s="1336"/>
      <c r="M175" s="299"/>
      <c r="N175" s="299"/>
      <c r="O175" s="299"/>
      <c r="P175" s="299"/>
      <c r="Q175" s="299"/>
      <c r="R175" s="299"/>
      <c r="S175" s="299"/>
      <c r="T175" s="299"/>
      <c r="U175" s="299"/>
      <c r="V175" s="299"/>
      <c r="W175" s="8"/>
      <c r="X175" s="8"/>
      <c r="Y175" s="8"/>
      <c r="Z175" s="8"/>
    </row>
    <row r="176" spans="1:26" ht="12.75">
      <c r="A176" s="299"/>
      <c r="B176" s="300"/>
      <c r="C176" s="299"/>
      <c r="D176" s="299"/>
      <c r="E176" s="299"/>
      <c r="F176" s="299"/>
      <c r="G176" s="299"/>
      <c r="H176" s="1348"/>
      <c r="I176" s="299"/>
      <c r="J176" s="299"/>
      <c r="K176" s="299"/>
      <c r="L176" s="1336"/>
      <c r="M176" s="299"/>
      <c r="N176" s="299"/>
      <c r="O176" s="299"/>
      <c r="P176" s="299"/>
      <c r="Q176" s="299"/>
      <c r="R176" s="299"/>
      <c r="S176" s="299"/>
      <c r="T176" s="299"/>
      <c r="U176" s="299"/>
      <c r="V176" s="299"/>
      <c r="W176" s="8"/>
      <c r="X176" s="8"/>
      <c r="Y176" s="8"/>
      <c r="Z176" s="8"/>
    </row>
    <row r="177" spans="1:26" ht="12.75">
      <c r="A177" s="299"/>
      <c r="B177" s="300"/>
      <c r="C177" s="299"/>
      <c r="D177" s="299"/>
      <c r="E177" s="299"/>
      <c r="F177" s="299"/>
      <c r="G177" s="299"/>
      <c r="H177" s="1348"/>
      <c r="I177" s="299"/>
      <c r="J177" s="299"/>
      <c r="K177" s="299"/>
      <c r="L177" s="1336"/>
      <c r="M177" s="299"/>
      <c r="N177" s="299"/>
      <c r="O177" s="299"/>
      <c r="P177" s="299"/>
      <c r="Q177" s="299"/>
      <c r="R177" s="299"/>
      <c r="S177" s="299"/>
      <c r="T177" s="299"/>
      <c r="U177" s="299"/>
      <c r="V177" s="299"/>
      <c r="W177" s="8"/>
      <c r="X177" s="8"/>
      <c r="Y177" s="8"/>
      <c r="Z177" s="8"/>
    </row>
    <row r="178" spans="1:26" ht="12.75">
      <c r="A178" s="299"/>
      <c r="B178" s="300"/>
      <c r="C178" s="299"/>
      <c r="D178" s="299"/>
      <c r="E178" s="299"/>
      <c r="F178" s="299"/>
      <c r="G178" s="299"/>
      <c r="H178" s="1348"/>
      <c r="I178" s="299"/>
      <c r="J178" s="299"/>
      <c r="K178" s="299"/>
      <c r="L178" s="1336"/>
      <c r="M178" s="299"/>
      <c r="N178" s="299"/>
      <c r="O178" s="299"/>
      <c r="P178" s="299"/>
      <c r="Q178" s="299"/>
      <c r="R178" s="299"/>
      <c r="S178" s="299"/>
      <c r="T178" s="299"/>
      <c r="U178" s="299"/>
      <c r="V178" s="299"/>
      <c r="W178" s="8"/>
      <c r="X178" s="8"/>
      <c r="Y178" s="8"/>
      <c r="Z178" s="8"/>
    </row>
    <row r="179" spans="1:26" ht="12.75">
      <c r="A179" s="299"/>
      <c r="B179" s="300"/>
      <c r="C179" s="299"/>
      <c r="D179" s="299"/>
      <c r="E179" s="299"/>
      <c r="F179" s="299"/>
      <c r="G179" s="299"/>
      <c r="H179" s="1348"/>
      <c r="I179" s="299"/>
      <c r="J179" s="299"/>
      <c r="K179" s="299"/>
      <c r="L179" s="1336"/>
      <c r="M179" s="299"/>
      <c r="N179" s="299"/>
      <c r="O179" s="299"/>
      <c r="P179" s="299"/>
      <c r="Q179" s="299"/>
      <c r="R179" s="299"/>
      <c r="S179" s="299"/>
      <c r="T179" s="299"/>
      <c r="U179" s="299"/>
      <c r="V179" s="299"/>
      <c r="W179" s="8"/>
      <c r="X179" s="8"/>
      <c r="Y179" s="8"/>
      <c r="Z179" s="8"/>
    </row>
    <row r="180" spans="1:26" ht="12.75">
      <c r="A180" s="299"/>
      <c r="B180" s="300"/>
      <c r="C180" s="299"/>
      <c r="D180" s="299"/>
      <c r="E180" s="299"/>
      <c r="F180" s="299"/>
      <c r="G180" s="299"/>
      <c r="H180" s="1348"/>
      <c r="I180" s="299"/>
      <c r="J180" s="299"/>
      <c r="K180" s="299"/>
      <c r="L180" s="1336"/>
      <c r="M180" s="299"/>
      <c r="N180" s="299"/>
      <c r="O180" s="299"/>
      <c r="P180" s="299"/>
      <c r="Q180" s="299"/>
      <c r="R180" s="299"/>
      <c r="S180" s="299"/>
      <c r="T180" s="299"/>
      <c r="U180" s="299"/>
      <c r="V180" s="299"/>
      <c r="W180" s="8"/>
      <c r="X180" s="8"/>
      <c r="Y180" s="8"/>
      <c r="Z180" s="8"/>
    </row>
    <row r="181" spans="1:26" ht="12.75">
      <c r="A181" s="299"/>
      <c r="B181" s="300"/>
      <c r="C181" s="299"/>
      <c r="D181" s="299"/>
      <c r="E181" s="299"/>
      <c r="F181" s="299"/>
      <c r="G181" s="299"/>
      <c r="H181" s="1348"/>
      <c r="I181" s="299"/>
      <c r="J181" s="299"/>
      <c r="K181" s="299"/>
      <c r="L181" s="1336"/>
      <c r="M181" s="299"/>
      <c r="N181" s="299"/>
      <c r="O181" s="299"/>
      <c r="P181" s="299"/>
      <c r="Q181" s="299"/>
      <c r="R181" s="299"/>
      <c r="S181" s="299"/>
      <c r="T181" s="299"/>
      <c r="U181" s="299"/>
      <c r="V181" s="299"/>
      <c r="W181" s="8"/>
      <c r="X181" s="8"/>
      <c r="Y181" s="8"/>
      <c r="Z181" s="8"/>
    </row>
    <row r="182" spans="1:26" ht="12.75">
      <c r="A182" s="299"/>
      <c r="B182" s="300"/>
      <c r="C182" s="299"/>
      <c r="D182" s="299"/>
      <c r="E182" s="299"/>
      <c r="F182" s="299"/>
      <c r="G182" s="299"/>
      <c r="H182" s="1348"/>
      <c r="I182" s="299"/>
      <c r="J182" s="299"/>
      <c r="K182" s="299"/>
      <c r="L182" s="1336"/>
      <c r="M182" s="299"/>
      <c r="N182" s="299"/>
      <c r="O182" s="299"/>
      <c r="P182" s="299"/>
      <c r="Q182" s="299"/>
      <c r="R182" s="299"/>
      <c r="S182" s="299"/>
      <c r="T182" s="299"/>
      <c r="U182" s="299"/>
      <c r="V182" s="299"/>
      <c r="W182" s="8"/>
      <c r="X182" s="8"/>
      <c r="Y182" s="8"/>
      <c r="Z182" s="8"/>
    </row>
    <row r="183" spans="1:26" ht="12.75">
      <c r="A183" s="299"/>
      <c r="B183" s="300"/>
      <c r="C183" s="299"/>
      <c r="D183" s="299"/>
      <c r="E183" s="299"/>
      <c r="F183" s="299"/>
      <c r="G183" s="299"/>
      <c r="H183" s="1348"/>
      <c r="I183" s="299"/>
      <c r="J183" s="299"/>
      <c r="K183" s="299"/>
      <c r="L183" s="1336"/>
      <c r="M183" s="299"/>
      <c r="N183" s="299"/>
      <c r="O183" s="299"/>
      <c r="P183" s="299"/>
      <c r="Q183" s="299"/>
      <c r="R183" s="299"/>
      <c r="S183" s="299"/>
      <c r="T183" s="299"/>
      <c r="U183" s="299"/>
      <c r="V183" s="299"/>
      <c r="W183" s="8"/>
      <c r="X183" s="8"/>
      <c r="Y183" s="8"/>
      <c r="Z183" s="8"/>
    </row>
    <row r="184" spans="1:26" ht="12.75">
      <c r="A184" s="299"/>
      <c r="B184" s="300"/>
      <c r="C184" s="299"/>
      <c r="D184" s="299"/>
      <c r="E184" s="299"/>
      <c r="F184" s="299"/>
      <c r="G184" s="299"/>
      <c r="H184" s="1348"/>
      <c r="I184" s="299"/>
      <c r="J184" s="299"/>
      <c r="K184" s="299"/>
      <c r="L184" s="1336"/>
      <c r="M184" s="299"/>
      <c r="N184" s="299"/>
      <c r="O184" s="299"/>
      <c r="P184" s="299"/>
      <c r="Q184" s="299"/>
      <c r="R184" s="299"/>
      <c r="S184" s="299"/>
      <c r="T184" s="299"/>
      <c r="U184" s="299"/>
      <c r="V184" s="299"/>
      <c r="W184" s="8"/>
      <c r="X184" s="8"/>
      <c r="Y184" s="8"/>
      <c r="Z184" s="8"/>
    </row>
    <row r="185" spans="1:26" ht="12.75">
      <c r="A185" s="299"/>
      <c r="B185" s="300"/>
      <c r="C185" s="299"/>
      <c r="D185" s="299"/>
      <c r="E185" s="299"/>
      <c r="F185" s="299"/>
      <c r="G185" s="299"/>
      <c r="H185" s="1348"/>
      <c r="I185" s="299"/>
      <c r="J185" s="299"/>
      <c r="K185" s="299"/>
      <c r="L185" s="1336"/>
      <c r="M185" s="299"/>
      <c r="N185" s="299"/>
      <c r="O185" s="299"/>
      <c r="P185" s="299"/>
      <c r="Q185" s="299"/>
      <c r="R185" s="299"/>
      <c r="S185" s="299"/>
      <c r="T185" s="299"/>
      <c r="U185" s="299"/>
      <c r="V185" s="299"/>
      <c r="W185" s="8"/>
      <c r="X185" s="8"/>
      <c r="Y185" s="8"/>
      <c r="Z185" s="8"/>
    </row>
    <row r="186" spans="1:26" ht="12.75">
      <c r="A186" s="299"/>
      <c r="B186" s="300"/>
      <c r="C186" s="299"/>
      <c r="D186" s="299"/>
      <c r="E186" s="299"/>
      <c r="F186" s="299"/>
      <c r="G186" s="299"/>
      <c r="H186" s="1348"/>
      <c r="I186" s="299"/>
      <c r="J186" s="299"/>
      <c r="K186" s="299"/>
      <c r="L186" s="1336"/>
      <c r="M186" s="299"/>
      <c r="N186" s="299"/>
      <c r="O186" s="299"/>
      <c r="P186" s="299"/>
      <c r="Q186" s="299"/>
      <c r="R186" s="299"/>
      <c r="S186" s="299"/>
      <c r="T186" s="299"/>
      <c r="U186" s="299"/>
      <c r="V186" s="299"/>
      <c r="W186" s="8"/>
      <c r="X186" s="8"/>
      <c r="Y186" s="8"/>
      <c r="Z186" s="8"/>
    </row>
    <row r="187" spans="1:26" ht="12.75">
      <c r="A187" s="299"/>
      <c r="B187" s="300"/>
      <c r="C187" s="299"/>
      <c r="D187" s="299"/>
      <c r="E187" s="299"/>
      <c r="F187" s="299"/>
      <c r="G187" s="299"/>
      <c r="H187" s="1348"/>
      <c r="I187" s="299"/>
      <c r="J187" s="299"/>
      <c r="K187" s="299"/>
      <c r="L187" s="1336"/>
      <c r="M187" s="299"/>
      <c r="N187" s="299"/>
      <c r="O187" s="299"/>
      <c r="P187" s="299"/>
      <c r="Q187" s="299"/>
      <c r="R187" s="299"/>
      <c r="S187" s="299"/>
      <c r="T187" s="299"/>
      <c r="U187" s="299"/>
      <c r="V187" s="299"/>
      <c r="W187" s="8"/>
      <c r="X187" s="8"/>
      <c r="Y187" s="8"/>
      <c r="Z187" s="8"/>
    </row>
    <row r="188" spans="1:26" ht="12.75">
      <c r="A188" s="299"/>
      <c r="B188" s="300"/>
      <c r="C188" s="299"/>
      <c r="D188" s="299"/>
      <c r="E188" s="299"/>
      <c r="F188" s="299"/>
      <c r="G188" s="299"/>
      <c r="H188" s="1348"/>
      <c r="I188" s="299"/>
      <c r="J188" s="299"/>
      <c r="K188" s="299"/>
      <c r="L188" s="1336"/>
      <c r="M188" s="299"/>
      <c r="N188" s="299"/>
      <c r="O188" s="299"/>
      <c r="P188" s="299"/>
      <c r="Q188" s="299"/>
      <c r="R188" s="299"/>
      <c r="S188" s="299"/>
      <c r="T188" s="299"/>
      <c r="U188" s="299"/>
      <c r="V188" s="299"/>
      <c r="W188" s="8"/>
      <c r="X188" s="8"/>
      <c r="Y188" s="8"/>
      <c r="Z188" s="8"/>
    </row>
    <row r="189" spans="1:26" ht="12.75">
      <c r="A189" s="299"/>
      <c r="B189" s="300"/>
      <c r="C189" s="299"/>
      <c r="D189" s="299"/>
      <c r="E189" s="299"/>
      <c r="F189" s="299"/>
      <c r="G189" s="299"/>
      <c r="H189" s="1348"/>
      <c r="I189" s="299"/>
      <c r="J189" s="299"/>
      <c r="K189" s="299"/>
      <c r="L189" s="1336"/>
      <c r="M189" s="299"/>
      <c r="N189" s="299"/>
      <c r="O189" s="299"/>
      <c r="P189" s="299"/>
      <c r="Q189" s="299"/>
      <c r="R189" s="299"/>
      <c r="S189" s="299"/>
      <c r="T189" s="299"/>
      <c r="U189" s="299"/>
      <c r="V189" s="299"/>
      <c r="W189" s="8"/>
      <c r="X189" s="8"/>
      <c r="Y189" s="8"/>
      <c r="Z189" s="8"/>
    </row>
    <row r="190" spans="1:26" ht="12.75">
      <c r="A190" s="299"/>
      <c r="B190" s="300"/>
      <c r="C190" s="299"/>
      <c r="D190" s="299"/>
      <c r="E190" s="299"/>
      <c r="F190" s="299"/>
      <c r="G190" s="299"/>
      <c r="H190" s="1348"/>
      <c r="I190" s="299"/>
      <c r="J190" s="299"/>
      <c r="K190" s="299"/>
      <c r="L190" s="1336"/>
      <c r="M190" s="299"/>
      <c r="N190" s="299"/>
      <c r="O190" s="299"/>
      <c r="P190" s="299"/>
      <c r="Q190" s="299"/>
      <c r="R190" s="299"/>
      <c r="S190" s="299"/>
      <c r="T190" s="299"/>
      <c r="U190" s="299"/>
      <c r="V190" s="299"/>
      <c r="W190" s="8"/>
      <c r="X190" s="8"/>
      <c r="Y190" s="8"/>
      <c r="Z190" s="8"/>
    </row>
    <row r="191" spans="1:26" ht="12.75">
      <c r="A191" s="299"/>
      <c r="B191" s="300"/>
      <c r="C191" s="299"/>
      <c r="D191" s="299"/>
      <c r="E191" s="299"/>
      <c r="F191" s="299"/>
      <c r="G191" s="299"/>
      <c r="H191" s="1348"/>
      <c r="I191" s="299"/>
      <c r="J191" s="299"/>
      <c r="K191" s="299"/>
      <c r="L191" s="1336"/>
      <c r="M191" s="299"/>
      <c r="N191" s="299"/>
      <c r="O191" s="299"/>
      <c r="P191" s="299"/>
      <c r="Q191" s="299"/>
      <c r="R191" s="299"/>
      <c r="S191" s="299"/>
      <c r="T191" s="299"/>
      <c r="U191" s="299"/>
      <c r="V191" s="299"/>
      <c r="W191" s="8"/>
      <c r="X191" s="8"/>
      <c r="Y191" s="8"/>
      <c r="Z191" s="8"/>
    </row>
    <row r="192" spans="1:26" ht="12.75">
      <c r="A192" s="299"/>
      <c r="B192" s="300"/>
      <c r="C192" s="299"/>
      <c r="D192" s="299"/>
      <c r="E192" s="299"/>
      <c r="F192" s="299"/>
      <c r="G192" s="299"/>
      <c r="H192" s="1348"/>
      <c r="I192" s="299"/>
      <c r="J192" s="299"/>
      <c r="K192" s="299"/>
      <c r="L192" s="1336"/>
      <c r="M192" s="299"/>
      <c r="N192" s="299"/>
      <c r="O192" s="299"/>
      <c r="P192" s="299"/>
      <c r="Q192" s="299"/>
      <c r="R192" s="299"/>
      <c r="S192" s="299"/>
      <c r="T192" s="299"/>
      <c r="U192" s="299"/>
      <c r="V192" s="299"/>
      <c r="W192" s="8"/>
      <c r="X192" s="8"/>
      <c r="Y192" s="8"/>
      <c r="Z192" s="8"/>
    </row>
    <row r="193" spans="1:26" ht="12.75">
      <c r="A193" s="299"/>
      <c r="B193" s="300"/>
      <c r="C193" s="299"/>
      <c r="D193" s="299"/>
      <c r="E193" s="299"/>
      <c r="F193" s="299"/>
      <c r="G193" s="299"/>
      <c r="H193" s="1348"/>
      <c r="I193" s="299"/>
      <c r="J193" s="299"/>
      <c r="K193" s="299"/>
      <c r="L193" s="1336"/>
      <c r="M193" s="299"/>
      <c r="N193" s="299"/>
      <c r="O193" s="299"/>
      <c r="P193" s="299"/>
      <c r="Q193" s="299"/>
      <c r="R193" s="299"/>
      <c r="S193" s="299"/>
      <c r="T193" s="299"/>
      <c r="U193" s="299"/>
      <c r="V193" s="299"/>
      <c r="W193" s="8"/>
      <c r="X193" s="8"/>
      <c r="Y193" s="8"/>
      <c r="Z193" s="8"/>
    </row>
    <row r="194" spans="1:26" ht="12.75">
      <c r="A194" s="299"/>
      <c r="B194" s="300"/>
      <c r="C194" s="299"/>
      <c r="D194" s="299"/>
      <c r="E194" s="299"/>
      <c r="F194" s="299"/>
      <c r="G194" s="299"/>
      <c r="H194" s="1348"/>
      <c r="I194" s="299"/>
      <c r="J194" s="299"/>
      <c r="K194" s="299"/>
      <c r="L194" s="1336"/>
      <c r="M194" s="299"/>
      <c r="N194" s="299"/>
      <c r="O194" s="299"/>
      <c r="P194" s="299"/>
      <c r="Q194" s="299"/>
      <c r="R194" s="299"/>
      <c r="S194" s="299"/>
      <c r="T194" s="299"/>
      <c r="U194" s="299"/>
      <c r="V194" s="299"/>
      <c r="W194" s="8"/>
      <c r="X194" s="8"/>
      <c r="Y194" s="8"/>
      <c r="Z194" s="8"/>
    </row>
    <row r="195" spans="1:26" ht="12.75">
      <c r="A195" s="299"/>
      <c r="B195" s="300"/>
      <c r="C195" s="299"/>
      <c r="D195" s="299"/>
      <c r="E195" s="299"/>
      <c r="F195" s="299"/>
      <c r="G195" s="299"/>
      <c r="H195" s="1348"/>
      <c r="I195" s="299"/>
      <c r="J195" s="299"/>
      <c r="K195" s="299"/>
      <c r="L195" s="1336"/>
      <c r="M195" s="299"/>
      <c r="N195" s="299"/>
      <c r="O195" s="299"/>
      <c r="P195" s="299"/>
      <c r="Q195" s="299"/>
      <c r="R195" s="299"/>
      <c r="S195" s="299"/>
      <c r="T195" s="299"/>
      <c r="U195" s="299"/>
      <c r="V195" s="299"/>
      <c r="W195" s="8"/>
      <c r="X195" s="8"/>
      <c r="Y195" s="8"/>
      <c r="Z195" s="8"/>
    </row>
    <row r="196" spans="1:26" ht="12.75">
      <c r="A196" s="299"/>
      <c r="B196" s="300"/>
      <c r="C196" s="299"/>
      <c r="D196" s="299"/>
      <c r="E196" s="299"/>
      <c r="F196" s="299"/>
      <c r="G196" s="299"/>
      <c r="H196" s="1348"/>
      <c r="I196" s="299"/>
      <c r="J196" s="299"/>
      <c r="K196" s="299"/>
      <c r="L196" s="1336"/>
      <c r="M196" s="299"/>
      <c r="N196" s="299"/>
      <c r="O196" s="299"/>
      <c r="P196" s="299"/>
      <c r="Q196" s="299"/>
      <c r="R196" s="299"/>
      <c r="S196" s="299"/>
      <c r="T196" s="299"/>
      <c r="U196" s="299"/>
      <c r="V196" s="299"/>
      <c r="W196" s="8"/>
      <c r="X196" s="8"/>
      <c r="Y196" s="8"/>
      <c r="Z196" s="8"/>
    </row>
    <row r="197" spans="1:26" ht="12.75">
      <c r="A197" s="299"/>
      <c r="B197" s="300"/>
      <c r="C197" s="299"/>
      <c r="D197" s="299"/>
      <c r="E197" s="299"/>
      <c r="F197" s="299"/>
      <c r="G197" s="299"/>
      <c r="H197" s="1348"/>
      <c r="I197" s="299"/>
      <c r="J197" s="299"/>
      <c r="K197" s="299"/>
      <c r="L197" s="1336"/>
      <c r="M197" s="299"/>
      <c r="N197" s="299"/>
      <c r="O197" s="299"/>
      <c r="P197" s="299"/>
      <c r="Q197" s="299"/>
      <c r="R197" s="299"/>
      <c r="S197" s="299"/>
      <c r="T197" s="299"/>
      <c r="U197" s="299"/>
      <c r="V197" s="299"/>
      <c r="W197" s="8"/>
      <c r="X197" s="8"/>
      <c r="Y197" s="8"/>
      <c r="Z197" s="8"/>
    </row>
    <row r="198" spans="1:26" ht="12.75">
      <c r="A198" s="299"/>
      <c r="B198" s="300"/>
      <c r="C198" s="299"/>
      <c r="D198" s="299"/>
      <c r="E198" s="299"/>
      <c r="F198" s="299"/>
      <c r="G198" s="299"/>
      <c r="H198" s="1348"/>
      <c r="I198" s="299"/>
      <c r="J198" s="299"/>
      <c r="K198" s="299"/>
      <c r="L198" s="1336"/>
      <c r="M198" s="299"/>
      <c r="N198" s="299"/>
      <c r="O198" s="299"/>
      <c r="P198" s="299"/>
      <c r="Q198" s="299"/>
      <c r="R198" s="299"/>
      <c r="S198" s="299"/>
      <c r="T198" s="299"/>
      <c r="U198" s="299"/>
      <c r="V198" s="299"/>
      <c r="W198" s="8"/>
      <c r="X198" s="8"/>
      <c r="Y198" s="8"/>
      <c r="Z198" s="8"/>
    </row>
    <row r="199" spans="1:26" ht="12.75">
      <c r="A199" s="299"/>
      <c r="B199" s="300"/>
      <c r="C199" s="299"/>
      <c r="D199" s="299"/>
      <c r="E199" s="299"/>
      <c r="F199" s="299"/>
      <c r="G199" s="299"/>
      <c r="H199" s="1348"/>
      <c r="I199" s="299"/>
      <c r="J199" s="299"/>
      <c r="K199" s="299"/>
      <c r="L199" s="1336"/>
      <c r="M199" s="299"/>
      <c r="N199" s="299"/>
      <c r="O199" s="299"/>
      <c r="P199" s="299"/>
      <c r="Q199" s="299"/>
      <c r="R199" s="299"/>
      <c r="S199" s="299"/>
      <c r="T199" s="299"/>
      <c r="U199" s="299"/>
      <c r="V199" s="299"/>
      <c r="W199" s="8"/>
      <c r="X199" s="8"/>
      <c r="Y199" s="8"/>
      <c r="Z199" s="8"/>
    </row>
    <row r="200" spans="1:26" ht="12.75">
      <c r="A200" s="299"/>
      <c r="B200" s="300"/>
      <c r="C200" s="299"/>
      <c r="D200" s="299"/>
      <c r="E200" s="299"/>
      <c r="F200" s="299"/>
      <c r="G200" s="299"/>
      <c r="H200" s="1348"/>
      <c r="I200" s="299"/>
      <c r="J200" s="299"/>
      <c r="K200" s="299"/>
      <c r="L200" s="1336"/>
      <c r="M200" s="299"/>
      <c r="N200" s="299"/>
      <c r="O200" s="299"/>
      <c r="P200" s="299"/>
      <c r="Q200" s="299"/>
      <c r="R200" s="299"/>
      <c r="S200" s="299"/>
      <c r="T200" s="299"/>
      <c r="U200" s="299"/>
      <c r="V200" s="299"/>
      <c r="W200" s="8"/>
      <c r="X200" s="8"/>
      <c r="Y200" s="8"/>
      <c r="Z200" s="8"/>
    </row>
    <row r="201" spans="1:26" ht="12.75">
      <c r="A201" s="299"/>
      <c r="B201" s="300"/>
      <c r="C201" s="299"/>
      <c r="D201" s="299"/>
      <c r="E201" s="299"/>
      <c r="F201" s="299"/>
      <c r="G201" s="299"/>
      <c r="H201" s="1348"/>
      <c r="I201" s="299"/>
      <c r="J201" s="299"/>
      <c r="K201" s="299"/>
      <c r="L201" s="1336"/>
      <c r="M201" s="299"/>
      <c r="N201" s="299"/>
      <c r="O201" s="299"/>
      <c r="P201" s="299"/>
      <c r="Q201" s="299"/>
      <c r="R201" s="299"/>
      <c r="S201" s="299"/>
      <c r="T201" s="299"/>
      <c r="U201" s="299"/>
      <c r="V201" s="299"/>
      <c r="W201" s="8"/>
      <c r="X201" s="8"/>
      <c r="Y201" s="8"/>
      <c r="Z201" s="8"/>
    </row>
    <row r="202" spans="1:26" ht="12.75">
      <c r="A202" s="299"/>
      <c r="B202" s="300"/>
      <c r="C202" s="299"/>
      <c r="D202" s="299"/>
      <c r="E202" s="299"/>
      <c r="F202" s="299"/>
      <c r="G202" s="299"/>
      <c r="H202" s="1348"/>
      <c r="I202" s="299"/>
      <c r="J202" s="299"/>
      <c r="K202" s="299"/>
      <c r="L202" s="1336"/>
      <c r="M202" s="299"/>
      <c r="N202" s="299"/>
      <c r="O202" s="299"/>
      <c r="P202" s="299"/>
      <c r="Q202" s="299"/>
      <c r="R202" s="299"/>
      <c r="S202" s="299"/>
      <c r="T202" s="299"/>
      <c r="U202" s="299"/>
      <c r="V202" s="299"/>
      <c r="W202" s="8"/>
      <c r="X202" s="8"/>
      <c r="Y202" s="8"/>
      <c r="Z202" s="8"/>
    </row>
    <row r="203" spans="1:26" ht="12.75">
      <c r="A203" s="299"/>
      <c r="B203" s="300"/>
      <c r="C203" s="299"/>
      <c r="D203" s="299"/>
      <c r="E203" s="299"/>
      <c r="F203" s="299"/>
      <c r="G203" s="299"/>
      <c r="H203" s="1348"/>
      <c r="I203" s="299"/>
      <c r="J203" s="299"/>
      <c r="K203" s="299"/>
      <c r="L203" s="1336"/>
      <c r="M203" s="299"/>
      <c r="N203" s="299"/>
      <c r="O203" s="299"/>
      <c r="P203" s="299"/>
      <c r="Q203" s="299"/>
      <c r="R203" s="299"/>
      <c r="S203" s="299"/>
      <c r="T203" s="299"/>
      <c r="U203" s="299"/>
      <c r="V203" s="299"/>
      <c r="W203" s="8"/>
      <c r="X203" s="8"/>
      <c r="Y203" s="8"/>
      <c r="Z203" s="8"/>
    </row>
    <row r="204" spans="1:26" ht="12.75">
      <c r="A204" s="299"/>
      <c r="B204" s="300"/>
      <c r="C204" s="299"/>
      <c r="D204" s="299"/>
      <c r="E204" s="299"/>
      <c r="F204" s="299"/>
      <c r="G204" s="299"/>
      <c r="H204" s="1348"/>
      <c r="I204" s="299"/>
      <c r="J204" s="299"/>
      <c r="K204" s="299"/>
      <c r="L204" s="1336"/>
      <c r="M204" s="299"/>
      <c r="N204" s="299"/>
      <c r="O204" s="299"/>
      <c r="P204" s="299"/>
      <c r="Q204" s="299"/>
      <c r="R204" s="299"/>
      <c r="S204" s="299"/>
      <c r="T204" s="299"/>
      <c r="U204" s="299"/>
      <c r="V204" s="299"/>
      <c r="W204" s="8"/>
      <c r="X204" s="8"/>
      <c r="Y204" s="8"/>
      <c r="Z204" s="8"/>
    </row>
    <row r="205" spans="1:26" ht="12.75">
      <c r="A205" s="299"/>
      <c r="B205" s="300"/>
      <c r="C205" s="299"/>
      <c r="D205" s="299"/>
      <c r="E205" s="299"/>
      <c r="F205" s="299"/>
      <c r="G205" s="299"/>
      <c r="H205" s="1348"/>
      <c r="I205" s="299"/>
      <c r="J205" s="299"/>
      <c r="K205" s="299"/>
      <c r="L205" s="1336"/>
      <c r="M205" s="299"/>
      <c r="N205" s="299"/>
      <c r="O205" s="299"/>
      <c r="P205" s="299"/>
      <c r="Q205" s="299"/>
      <c r="R205" s="299"/>
      <c r="S205" s="299"/>
      <c r="T205" s="299"/>
      <c r="U205" s="299"/>
      <c r="V205" s="299"/>
      <c r="W205" s="8"/>
      <c r="X205" s="8"/>
      <c r="Y205" s="8"/>
      <c r="Z205" s="8"/>
    </row>
    <row r="206" spans="1:26" ht="12.75">
      <c r="A206" s="299"/>
      <c r="B206" s="300"/>
      <c r="C206" s="299"/>
      <c r="D206" s="299"/>
      <c r="E206" s="299"/>
      <c r="F206" s="299"/>
      <c r="G206" s="299"/>
      <c r="H206" s="1348"/>
      <c r="I206" s="299"/>
      <c r="J206" s="299"/>
      <c r="K206" s="299"/>
      <c r="L206" s="1336"/>
      <c r="M206" s="299"/>
      <c r="N206" s="299"/>
      <c r="O206" s="299"/>
      <c r="P206" s="299"/>
      <c r="Q206" s="299"/>
      <c r="R206" s="299"/>
      <c r="S206" s="299"/>
      <c r="T206" s="299"/>
      <c r="U206" s="299"/>
      <c r="V206" s="299"/>
      <c r="W206" s="8"/>
      <c r="X206" s="8"/>
      <c r="Y206" s="8"/>
      <c r="Z206" s="8"/>
    </row>
    <row r="207" spans="1:26" ht="12.75">
      <c r="A207" s="299"/>
      <c r="B207" s="300"/>
      <c r="C207" s="299"/>
      <c r="D207" s="299"/>
      <c r="E207" s="299"/>
      <c r="F207" s="299"/>
      <c r="G207" s="299"/>
      <c r="H207" s="1348"/>
      <c r="I207" s="299"/>
      <c r="J207" s="299"/>
      <c r="K207" s="299"/>
      <c r="L207" s="1336"/>
      <c r="M207" s="299"/>
      <c r="N207" s="299"/>
      <c r="O207" s="299"/>
      <c r="P207" s="299"/>
      <c r="Q207" s="299"/>
      <c r="R207" s="299"/>
      <c r="S207" s="299"/>
      <c r="T207" s="299"/>
      <c r="U207" s="299"/>
      <c r="V207" s="299"/>
      <c r="W207" s="8"/>
      <c r="X207" s="8"/>
      <c r="Y207" s="8"/>
      <c r="Z207" s="8"/>
    </row>
    <row r="208" spans="1:26" ht="12.75">
      <c r="A208" s="299"/>
      <c r="B208" s="300"/>
      <c r="C208" s="299"/>
      <c r="D208" s="299"/>
      <c r="E208" s="299"/>
      <c r="F208" s="299"/>
      <c r="G208" s="299"/>
      <c r="H208" s="1348"/>
      <c r="I208" s="299"/>
      <c r="J208" s="299"/>
      <c r="K208" s="299"/>
      <c r="L208" s="1336"/>
      <c r="M208" s="299"/>
      <c r="N208" s="299"/>
      <c r="O208" s="299"/>
      <c r="P208" s="299"/>
      <c r="Q208" s="299"/>
      <c r="R208" s="299"/>
      <c r="S208" s="299"/>
      <c r="T208" s="299"/>
      <c r="U208" s="299"/>
      <c r="V208" s="299"/>
      <c r="W208" s="8"/>
      <c r="X208" s="8"/>
      <c r="Y208" s="8"/>
      <c r="Z208" s="8"/>
    </row>
    <row r="209" spans="1:26" ht="12.75">
      <c r="A209" s="299"/>
      <c r="B209" s="300"/>
      <c r="C209" s="299"/>
      <c r="D209" s="299"/>
      <c r="E209" s="299"/>
      <c r="F209" s="299"/>
      <c r="G209" s="299"/>
      <c r="H209" s="1348"/>
      <c r="I209" s="299"/>
      <c r="J209" s="299"/>
      <c r="K209" s="299"/>
      <c r="L209" s="1336"/>
      <c r="M209" s="299"/>
      <c r="N209" s="299"/>
      <c r="O209" s="299"/>
      <c r="P209" s="299"/>
      <c r="Q209" s="299"/>
      <c r="R209" s="299"/>
      <c r="S209" s="299"/>
      <c r="T209" s="299"/>
      <c r="U209" s="299"/>
      <c r="V209" s="299"/>
      <c r="W209" s="8"/>
      <c r="X209" s="8"/>
      <c r="Y209" s="8"/>
      <c r="Z209" s="8"/>
    </row>
    <row r="210" spans="1:26" ht="12.75">
      <c r="A210" s="299"/>
      <c r="B210" s="300"/>
      <c r="C210" s="299"/>
      <c r="D210" s="299"/>
      <c r="E210" s="299"/>
      <c r="F210" s="299"/>
      <c r="G210" s="299"/>
      <c r="H210" s="1348"/>
      <c r="I210" s="299"/>
      <c r="J210" s="299"/>
      <c r="K210" s="299"/>
      <c r="L210" s="1336"/>
      <c r="M210" s="299"/>
      <c r="N210" s="299"/>
      <c r="O210" s="299"/>
      <c r="P210" s="299"/>
      <c r="Q210" s="299"/>
      <c r="R210" s="299"/>
      <c r="S210" s="299"/>
      <c r="T210" s="299"/>
      <c r="U210" s="299"/>
      <c r="V210" s="299"/>
      <c r="W210" s="8"/>
      <c r="X210" s="8"/>
      <c r="Y210" s="8"/>
      <c r="Z210" s="8"/>
    </row>
    <row r="211" spans="1:26" ht="12.75">
      <c r="A211" s="299"/>
      <c r="B211" s="300"/>
      <c r="C211" s="299"/>
      <c r="D211" s="299"/>
      <c r="E211" s="299"/>
      <c r="F211" s="299"/>
      <c r="G211" s="299"/>
      <c r="H211" s="1348"/>
      <c r="I211" s="299"/>
      <c r="J211" s="299"/>
      <c r="K211" s="299"/>
      <c r="L211" s="1336"/>
      <c r="M211" s="299"/>
      <c r="N211" s="299"/>
      <c r="O211" s="299"/>
      <c r="P211" s="299"/>
      <c r="Q211" s="299"/>
      <c r="R211" s="299"/>
      <c r="S211" s="299"/>
      <c r="T211" s="299"/>
      <c r="U211" s="299"/>
      <c r="V211" s="299"/>
      <c r="W211" s="8"/>
      <c r="X211" s="8"/>
      <c r="Y211" s="8"/>
      <c r="Z211" s="8"/>
    </row>
    <row r="212" spans="1:26" ht="12.75">
      <c r="A212" s="299"/>
      <c r="B212" s="300"/>
      <c r="C212" s="299"/>
      <c r="D212" s="299"/>
      <c r="E212" s="299"/>
      <c r="F212" s="299"/>
      <c r="G212" s="299"/>
      <c r="H212" s="1348"/>
      <c r="I212" s="299"/>
      <c r="J212" s="299"/>
      <c r="K212" s="299"/>
      <c r="L212" s="1336"/>
      <c r="M212" s="299"/>
      <c r="N212" s="299"/>
      <c r="O212" s="299"/>
      <c r="P212" s="299"/>
      <c r="Q212" s="299"/>
      <c r="R212" s="299"/>
      <c r="S212" s="299"/>
      <c r="T212" s="299"/>
      <c r="U212" s="299"/>
      <c r="V212" s="299"/>
      <c r="W212" s="8"/>
      <c r="X212" s="8"/>
      <c r="Y212" s="8"/>
      <c r="Z212" s="8"/>
    </row>
    <row r="213" spans="1:26" ht="12.75">
      <c r="A213" s="299"/>
      <c r="B213" s="300"/>
      <c r="C213" s="299"/>
      <c r="D213" s="299"/>
      <c r="E213" s="299"/>
      <c r="F213" s="299"/>
      <c r="G213" s="299"/>
      <c r="H213" s="1348"/>
      <c r="I213" s="299"/>
      <c r="J213" s="299"/>
      <c r="K213" s="299"/>
      <c r="L213" s="1336"/>
      <c r="M213" s="299"/>
      <c r="N213" s="299"/>
      <c r="O213" s="299"/>
      <c r="P213" s="299"/>
      <c r="Q213" s="299"/>
      <c r="R213" s="299"/>
      <c r="S213" s="299"/>
      <c r="T213" s="299"/>
      <c r="U213" s="299"/>
      <c r="V213" s="299"/>
      <c r="W213" s="8"/>
      <c r="X213" s="8"/>
      <c r="Y213" s="8"/>
      <c r="Z213" s="8"/>
    </row>
    <row r="214" spans="1:26" ht="12.75">
      <c r="A214" s="299"/>
      <c r="B214" s="300"/>
      <c r="C214" s="299"/>
      <c r="D214" s="299"/>
      <c r="E214" s="299"/>
      <c r="F214" s="299"/>
      <c r="G214" s="299"/>
      <c r="H214" s="1348"/>
      <c r="I214" s="299"/>
      <c r="J214" s="299"/>
      <c r="K214" s="299"/>
      <c r="L214" s="1336"/>
      <c r="M214" s="299"/>
      <c r="N214" s="299"/>
      <c r="O214" s="299"/>
      <c r="P214" s="299"/>
      <c r="Q214" s="299"/>
      <c r="R214" s="299"/>
      <c r="S214" s="299"/>
      <c r="T214" s="299"/>
      <c r="U214" s="299"/>
      <c r="V214" s="299"/>
      <c r="W214" s="8"/>
      <c r="X214" s="8"/>
      <c r="Y214" s="8"/>
      <c r="Z214" s="8"/>
    </row>
    <row r="215" spans="1:26" ht="12.75">
      <c r="A215" s="299"/>
      <c r="B215" s="300"/>
      <c r="C215" s="299"/>
      <c r="D215" s="299"/>
      <c r="E215" s="299"/>
      <c r="F215" s="299"/>
      <c r="G215" s="299"/>
      <c r="H215" s="1348"/>
      <c r="I215" s="299"/>
      <c r="J215" s="299"/>
      <c r="K215" s="299"/>
      <c r="L215" s="1336"/>
      <c r="M215" s="299"/>
      <c r="N215" s="299"/>
      <c r="O215" s="299"/>
      <c r="P215" s="299"/>
      <c r="Q215" s="299"/>
      <c r="R215" s="299"/>
      <c r="S215" s="299"/>
      <c r="T215" s="299"/>
      <c r="U215" s="299"/>
      <c r="V215" s="299"/>
      <c r="W215" s="8"/>
      <c r="X215" s="8"/>
      <c r="Y215" s="8"/>
      <c r="Z215" s="8"/>
    </row>
    <row r="216" spans="1:26" ht="12.75">
      <c r="A216" s="299"/>
      <c r="B216" s="300"/>
      <c r="C216" s="299"/>
      <c r="D216" s="299"/>
      <c r="E216" s="299"/>
      <c r="F216" s="299"/>
      <c r="G216" s="299"/>
      <c r="H216" s="1348"/>
      <c r="I216" s="299"/>
      <c r="J216" s="299"/>
      <c r="K216" s="299"/>
      <c r="L216" s="1336"/>
      <c r="M216" s="299"/>
      <c r="N216" s="299"/>
      <c r="O216" s="299"/>
      <c r="P216" s="299"/>
      <c r="Q216" s="299"/>
      <c r="R216" s="299"/>
      <c r="S216" s="299"/>
      <c r="T216" s="299"/>
      <c r="U216" s="299"/>
      <c r="V216" s="299"/>
      <c r="W216" s="8"/>
      <c r="X216" s="8"/>
      <c r="Y216" s="8"/>
      <c r="Z216" s="8"/>
    </row>
    <row r="217" spans="1:26" ht="12.75">
      <c r="A217" s="299"/>
      <c r="B217" s="300"/>
      <c r="C217" s="299"/>
      <c r="D217" s="299"/>
      <c r="E217" s="299"/>
      <c r="F217" s="299"/>
      <c r="G217" s="299"/>
      <c r="H217" s="1348"/>
      <c r="I217" s="299"/>
      <c r="J217" s="299"/>
      <c r="K217" s="299"/>
      <c r="L217" s="1336"/>
      <c r="M217" s="299"/>
      <c r="N217" s="299"/>
      <c r="O217" s="299"/>
      <c r="P217" s="299"/>
      <c r="Q217" s="299"/>
      <c r="R217" s="299"/>
      <c r="S217" s="299"/>
      <c r="T217" s="299"/>
      <c r="U217" s="299"/>
      <c r="V217" s="299"/>
      <c r="W217" s="8"/>
      <c r="X217" s="8"/>
      <c r="Y217" s="8"/>
      <c r="Z217" s="8"/>
    </row>
    <row r="218" spans="1:26" ht="12.75">
      <c r="A218" s="299"/>
      <c r="B218" s="300"/>
      <c r="C218" s="299"/>
      <c r="D218" s="299"/>
      <c r="E218" s="299"/>
      <c r="F218" s="299"/>
      <c r="G218" s="299"/>
      <c r="H218" s="1348"/>
      <c r="I218" s="299"/>
      <c r="J218" s="299"/>
      <c r="K218" s="299"/>
      <c r="L218" s="1336"/>
      <c r="M218" s="299"/>
      <c r="N218" s="299"/>
      <c r="O218" s="299"/>
      <c r="P218" s="299"/>
      <c r="Q218" s="299"/>
      <c r="R218" s="299"/>
      <c r="S218" s="299"/>
      <c r="T218" s="299"/>
      <c r="U218" s="299"/>
      <c r="V218" s="299"/>
      <c r="W218" s="8"/>
      <c r="X218" s="8"/>
      <c r="Y218" s="8"/>
      <c r="Z218" s="8"/>
    </row>
    <row r="219" spans="1:26" ht="12.75">
      <c r="A219" s="299"/>
      <c r="B219" s="300"/>
      <c r="C219" s="299"/>
      <c r="D219" s="299"/>
      <c r="E219" s="299"/>
      <c r="F219" s="299"/>
      <c r="G219" s="299"/>
      <c r="H219" s="1348"/>
      <c r="I219" s="299"/>
      <c r="J219" s="299"/>
      <c r="K219" s="299"/>
      <c r="L219" s="1336"/>
      <c r="M219" s="299"/>
      <c r="N219" s="299"/>
      <c r="O219" s="299"/>
      <c r="P219" s="299"/>
      <c r="Q219" s="299"/>
      <c r="R219" s="299"/>
      <c r="S219" s="299"/>
      <c r="T219" s="299"/>
      <c r="U219" s="299"/>
      <c r="V219" s="299"/>
      <c r="W219" s="8"/>
      <c r="X219" s="8"/>
      <c r="Y219" s="8"/>
      <c r="Z219" s="8"/>
    </row>
    <row r="220" spans="1:26" ht="12.75">
      <c r="A220" s="299"/>
      <c r="B220" s="300"/>
      <c r="C220" s="299"/>
      <c r="D220" s="299"/>
      <c r="E220" s="299"/>
      <c r="F220" s="299"/>
      <c r="G220" s="299"/>
      <c r="H220" s="1348"/>
      <c r="I220" s="299"/>
      <c r="J220" s="299"/>
      <c r="K220" s="299"/>
      <c r="L220" s="1336"/>
      <c r="M220" s="299"/>
      <c r="N220" s="299"/>
      <c r="O220" s="299"/>
      <c r="P220" s="299"/>
      <c r="Q220" s="299"/>
      <c r="R220" s="299"/>
      <c r="S220" s="299"/>
      <c r="T220" s="299"/>
      <c r="U220" s="299"/>
      <c r="V220" s="299"/>
      <c r="W220" s="8"/>
      <c r="X220" s="8"/>
      <c r="Y220" s="8"/>
      <c r="Z220" s="8"/>
    </row>
    <row r="221" spans="1:26" ht="12.75">
      <c r="A221" s="299"/>
      <c r="B221" s="300"/>
      <c r="C221" s="299"/>
      <c r="D221" s="299"/>
      <c r="E221" s="299"/>
      <c r="F221" s="299"/>
      <c r="G221" s="299"/>
      <c r="H221" s="1348"/>
      <c r="I221" s="299"/>
      <c r="J221" s="299"/>
      <c r="K221" s="299"/>
      <c r="L221" s="1336"/>
      <c r="M221" s="299"/>
      <c r="N221" s="299"/>
      <c r="O221" s="299"/>
      <c r="P221" s="299"/>
      <c r="Q221" s="299"/>
      <c r="R221" s="299"/>
      <c r="S221" s="299"/>
      <c r="T221" s="299"/>
      <c r="U221" s="299"/>
      <c r="V221" s="299"/>
      <c r="W221" s="8"/>
      <c r="X221" s="8"/>
      <c r="Y221" s="8"/>
      <c r="Z221" s="8"/>
    </row>
    <row r="222" spans="1:26" ht="12.75">
      <c r="A222" s="299"/>
      <c r="B222" s="300"/>
      <c r="C222" s="299"/>
      <c r="D222" s="299"/>
      <c r="E222" s="299"/>
      <c r="F222" s="299"/>
      <c r="G222" s="299"/>
      <c r="H222" s="1348"/>
      <c r="I222" s="299"/>
      <c r="J222" s="299"/>
      <c r="K222" s="299"/>
      <c r="L222" s="1336"/>
      <c r="M222" s="299"/>
      <c r="N222" s="299"/>
      <c r="O222" s="299"/>
      <c r="P222" s="299"/>
      <c r="Q222" s="299"/>
      <c r="R222" s="299"/>
      <c r="S222" s="299"/>
      <c r="T222" s="299"/>
      <c r="U222" s="299"/>
      <c r="V222" s="299"/>
      <c r="W222" s="8"/>
      <c r="X222" s="8"/>
      <c r="Y222" s="8"/>
      <c r="Z222" s="8"/>
    </row>
    <row r="223" spans="1:26" ht="12.75">
      <c r="A223" s="299"/>
      <c r="B223" s="300"/>
      <c r="C223" s="299"/>
      <c r="D223" s="299"/>
      <c r="E223" s="299"/>
      <c r="F223" s="299"/>
      <c r="G223" s="299"/>
      <c r="H223" s="1348"/>
      <c r="I223" s="299"/>
      <c r="J223" s="299"/>
      <c r="K223" s="299"/>
      <c r="L223" s="1336"/>
      <c r="M223" s="299"/>
      <c r="N223" s="299"/>
      <c r="O223" s="299"/>
      <c r="P223" s="299"/>
      <c r="Q223" s="299"/>
      <c r="R223" s="299"/>
      <c r="S223" s="299"/>
      <c r="T223" s="299"/>
      <c r="U223" s="299"/>
      <c r="V223" s="299"/>
      <c r="W223" s="8"/>
      <c r="X223" s="8"/>
      <c r="Y223" s="8"/>
      <c r="Z223" s="8"/>
    </row>
    <row r="224" spans="1:26" ht="12.75">
      <c r="A224" s="299"/>
      <c r="B224" s="300"/>
      <c r="C224" s="299"/>
      <c r="D224" s="299"/>
      <c r="E224" s="299"/>
      <c r="F224" s="299"/>
      <c r="G224" s="299"/>
      <c r="H224" s="1348"/>
      <c r="I224" s="299"/>
      <c r="J224" s="299"/>
      <c r="K224" s="299"/>
      <c r="L224" s="1336"/>
      <c r="M224" s="299"/>
      <c r="N224" s="299"/>
      <c r="O224" s="299"/>
      <c r="P224" s="299"/>
      <c r="Q224" s="299"/>
      <c r="R224" s="299"/>
      <c r="S224" s="299"/>
      <c r="T224" s="299"/>
      <c r="U224" s="299"/>
      <c r="V224" s="299"/>
      <c r="W224" s="8"/>
      <c r="X224" s="8"/>
      <c r="Y224" s="8"/>
      <c r="Z224" s="8"/>
    </row>
    <row r="225" spans="1:26" ht="12.75">
      <c r="A225" s="299"/>
      <c r="B225" s="300"/>
      <c r="C225" s="299"/>
      <c r="D225" s="299"/>
      <c r="E225" s="299"/>
      <c r="F225" s="299"/>
      <c r="G225" s="299"/>
      <c r="H225" s="1348"/>
      <c r="I225" s="299"/>
      <c r="J225" s="299"/>
      <c r="K225" s="299"/>
      <c r="L225" s="1336"/>
      <c r="M225" s="299"/>
      <c r="N225" s="299"/>
      <c r="O225" s="299"/>
      <c r="P225" s="299"/>
      <c r="Q225" s="299"/>
      <c r="R225" s="299"/>
      <c r="S225" s="299"/>
      <c r="T225" s="299"/>
      <c r="U225" s="299"/>
      <c r="V225" s="299"/>
      <c r="W225" s="8"/>
      <c r="X225" s="8"/>
      <c r="Y225" s="8"/>
      <c r="Z225" s="8"/>
    </row>
    <row r="226" spans="1:26" ht="12.75">
      <c r="A226" s="299"/>
      <c r="B226" s="300"/>
      <c r="C226" s="299"/>
      <c r="D226" s="299"/>
      <c r="E226" s="299"/>
      <c r="F226" s="299"/>
      <c r="G226" s="299"/>
      <c r="H226" s="1348"/>
      <c r="I226" s="299"/>
      <c r="J226" s="299"/>
      <c r="K226" s="299"/>
      <c r="L226" s="1336"/>
      <c r="M226" s="299"/>
      <c r="N226" s="299"/>
      <c r="O226" s="299"/>
      <c r="P226" s="299"/>
      <c r="Q226" s="299"/>
      <c r="R226" s="299"/>
      <c r="S226" s="299"/>
      <c r="T226" s="299"/>
      <c r="U226" s="299"/>
      <c r="V226" s="299"/>
      <c r="W226" s="8"/>
      <c r="X226" s="8"/>
      <c r="Y226" s="8"/>
      <c r="Z226" s="8"/>
    </row>
    <row r="227" spans="1:26" ht="12.75">
      <c r="A227" s="299"/>
      <c r="B227" s="300"/>
      <c r="C227" s="299"/>
      <c r="D227" s="299"/>
      <c r="E227" s="299"/>
      <c r="F227" s="299"/>
      <c r="G227" s="299"/>
      <c r="H227" s="1348"/>
      <c r="I227" s="299"/>
      <c r="J227" s="299"/>
      <c r="K227" s="299"/>
      <c r="L227" s="1336"/>
      <c r="M227" s="299"/>
      <c r="N227" s="299"/>
      <c r="O227" s="299"/>
      <c r="P227" s="299"/>
      <c r="Q227" s="299"/>
      <c r="R227" s="299"/>
      <c r="S227" s="299"/>
      <c r="T227" s="299"/>
      <c r="U227" s="299"/>
      <c r="V227" s="299"/>
      <c r="W227" s="8"/>
      <c r="X227" s="8"/>
      <c r="Y227" s="8"/>
      <c r="Z227" s="8"/>
    </row>
    <row r="228" spans="1:26" ht="12.75">
      <c r="A228" s="299"/>
      <c r="B228" s="300"/>
      <c r="C228" s="299"/>
      <c r="D228" s="299"/>
      <c r="E228" s="299"/>
      <c r="F228" s="299"/>
      <c r="G228" s="299"/>
      <c r="H228" s="1348"/>
      <c r="I228" s="299"/>
      <c r="J228" s="299"/>
      <c r="K228" s="299"/>
      <c r="L228" s="1336"/>
      <c r="M228" s="299"/>
      <c r="N228" s="299"/>
      <c r="O228" s="299"/>
      <c r="P228" s="299"/>
      <c r="Q228" s="299"/>
      <c r="R228" s="299"/>
      <c r="S228" s="299"/>
      <c r="T228" s="299"/>
      <c r="U228" s="299"/>
      <c r="V228" s="299"/>
      <c r="W228" s="8"/>
      <c r="X228" s="8"/>
      <c r="Y228" s="8"/>
      <c r="Z228" s="8"/>
    </row>
    <row r="229" spans="1:26" ht="12.75">
      <c r="A229" s="299"/>
      <c r="B229" s="300"/>
      <c r="C229" s="299"/>
      <c r="D229" s="299"/>
      <c r="E229" s="299"/>
      <c r="F229" s="299"/>
      <c r="G229" s="299"/>
      <c r="H229" s="1348"/>
      <c r="I229" s="299"/>
      <c r="J229" s="299"/>
      <c r="K229" s="299"/>
      <c r="L229" s="1336"/>
      <c r="M229" s="299"/>
      <c r="N229" s="299"/>
      <c r="O229" s="299"/>
      <c r="P229" s="299"/>
      <c r="Q229" s="299"/>
      <c r="R229" s="299"/>
      <c r="S229" s="299"/>
      <c r="T229" s="299"/>
      <c r="U229" s="299"/>
      <c r="V229" s="299"/>
      <c r="W229" s="8"/>
      <c r="X229" s="8"/>
      <c r="Y229" s="8"/>
      <c r="Z229" s="8"/>
    </row>
    <row r="230" spans="1:26" ht="12.75">
      <c r="A230" s="299"/>
      <c r="B230" s="300"/>
      <c r="C230" s="299"/>
      <c r="D230" s="299"/>
      <c r="E230" s="299"/>
      <c r="F230" s="299"/>
      <c r="G230" s="299"/>
      <c r="H230" s="1348"/>
      <c r="I230" s="299"/>
      <c r="J230" s="299"/>
      <c r="K230" s="299"/>
      <c r="L230" s="1336"/>
      <c r="M230" s="299"/>
      <c r="N230" s="299"/>
      <c r="O230" s="299"/>
      <c r="P230" s="299"/>
      <c r="Q230" s="299"/>
      <c r="R230" s="299"/>
      <c r="S230" s="299"/>
      <c r="T230" s="299"/>
      <c r="U230" s="299"/>
      <c r="V230" s="299"/>
      <c r="W230" s="8"/>
      <c r="X230" s="8"/>
      <c r="Y230" s="8"/>
      <c r="Z230" s="8"/>
    </row>
    <row r="231" spans="1:26" ht="12.75">
      <c r="A231" s="299"/>
      <c r="B231" s="300"/>
      <c r="C231" s="299"/>
      <c r="D231" s="299"/>
      <c r="E231" s="299"/>
      <c r="F231" s="299"/>
      <c r="G231" s="299"/>
      <c r="H231" s="1348"/>
      <c r="I231" s="299"/>
      <c r="J231" s="299"/>
      <c r="K231" s="299"/>
      <c r="L231" s="1336"/>
      <c r="M231" s="299"/>
      <c r="N231" s="299"/>
      <c r="O231" s="299"/>
      <c r="P231" s="299"/>
      <c r="Q231" s="299"/>
      <c r="R231" s="299"/>
      <c r="S231" s="299"/>
      <c r="T231" s="299"/>
      <c r="U231" s="299"/>
      <c r="V231" s="299"/>
      <c r="W231" s="8"/>
      <c r="X231" s="8"/>
      <c r="Y231" s="8"/>
      <c r="Z231" s="8"/>
    </row>
    <row r="232" spans="1:26" ht="12.75">
      <c r="A232" s="299"/>
      <c r="B232" s="300"/>
      <c r="C232" s="299"/>
      <c r="D232" s="299"/>
      <c r="E232" s="299"/>
      <c r="F232" s="299"/>
      <c r="G232" s="299"/>
      <c r="H232" s="1348"/>
      <c r="I232" s="299"/>
      <c r="J232" s="299"/>
      <c r="K232" s="299"/>
      <c r="L232" s="1336"/>
      <c r="M232" s="299"/>
      <c r="N232" s="299"/>
      <c r="O232" s="299"/>
      <c r="P232" s="299"/>
      <c r="Q232" s="299"/>
      <c r="R232" s="299"/>
      <c r="S232" s="299"/>
      <c r="T232" s="299"/>
      <c r="U232" s="299"/>
      <c r="V232" s="299"/>
      <c r="W232" s="8"/>
      <c r="X232" s="8"/>
      <c r="Y232" s="8"/>
      <c r="Z232" s="8"/>
    </row>
    <row r="233" spans="1:26" ht="12.75">
      <c r="A233" s="299"/>
      <c r="B233" s="300"/>
      <c r="C233" s="299"/>
      <c r="D233" s="299"/>
      <c r="E233" s="299"/>
      <c r="F233" s="299"/>
      <c r="G233" s="299"/>
      <c r="H233" s="1348"/>
      <c r="I233" s="299"/>
      <c r="J233" s="299"/>
      <c r="K233" s="299"/>
      <c r="L233" s="1336"/>
      <c r="M233" s="299"/>
      <c r="N233" s="299"/>
      <c r="O233" s="299"/>
      <c r="P233" s="299"/>
      <c r="Q233" s="299"/>
      <c r="R233" s="299"/>
      <c r="S233" s="299"/>
      <c r="T233" s="299"/>
      <c r="U233" s="299"/>
      <c r="V233" s="299"/>
      <c r="W233" s="8"/>
      <c r="X233" s="8"/>
      <c r="Y233" s="8"/>
      <c r="Z233" s="8"/>
    </row>
    <row r="234" spans="1:26" ht="12.75">
      <c r="A234" s="299"/>
      <c r="B234" s="300"/>
      <c r="C234" s="299"/>
      <c r="D234" s="299"/>
      <c r="E234" s="299"/>
      <c r="F234" s="299"/>
      <c r="G234" s="299"/>
      <c r="H234" s="1348"/>
      <c r="I234" s="299"/>
      <c r="J234" s="299"/>
      <c r="K234" s="299"/>
      <c r="L234" s="1336"/>
      <c r="M234" s="299"/>
      <c r="N234" s="299"/>
      <c r="O234" s="299"/>
      <c r="P234" s="299"/>
      <c r="Q234" s="299"/>
      <c r="R234" s="299"/>
      <c r="S234" s="299"/>
      <c r="T234" s="299"/>
      <c r="U234" s="299"/>
      <c r="V234" s="299"/>
      <c r="W234" s="8"/>
      <c r="X234" s="8"/>
      <c r="Y234" s="8"/>
      <c r="Z234" s="8"/>
    </row>
    <row r="235" spans="1:26" ht="12.75">
      <c r="A235" s="299"/>
      <c r="B235" s="300"/>
      <c r="C235" s="299"/>
      <c r="D235" s="299"/>
      <c r="E235" s="299"/>
      <c r="F235" s="299"/>
      <c r="G235" s="299"/>
      <c r="H235" s="1348"/>
      <c r="I235" s="299"/>
      <c r="J235" s="299"/>
      <c r="K235" s="299"/>
      <c r="L235" s="1336"/>
      <c r="M235" s="299"/>
      <c r="N235" s="299"/>
      <c r="O235" s="299"/>
      <c r="P235" s="299"/>
      <c r="Q235" s="299"/>
      <c r="R235" s="299"/>
      <c r="S235" s="299"/>
      <c r="T235" s="299"/>
      <c r="U235" s="299"/>
      <c r="V235" s="299"/>
      <c r="W235" s="8"/>
      <c r="X235" s="8"/>
      <c r="Y235" s="8"/>
      <c r="Z235" s="8"/>
    </row>
    <row r="236" spans="1:26" ht="12.75">
      <c r="A236" s="299"/>
      <c r="B236" s="300"/>
      <c r="C236" s="299"/>
      <c r="D236" s="299"/>
      <c r="E236" s="299"/>
      <c r="F236" s="299"/>
      <c r="G236" s="299"/>
      <c r="H236" s="1348"/>
      <c r="I236" s="299"/>
      <c r="J236" s="299"/>
      <c r="K236" s="299"/>
      <c r="L236" s="1336"/>
      <c r="M236" s="299"/>
      <c r="N236" s="299"/>
      <c r="O236" s="299"/>
      <c r="P236" s="299"/>
      <c r="Q236" s="299"/>
      <c r="R236" s="299"/>
      <c r="S236" s="299"/>
      <c r="T236" s="299"/>
      <c r="U236" s="299"/>
      <c r="V236" s="299"/>
      <c r="W236" s="8"/>
      <c r="X236" s="8"/>
      <c r="Y236" s="8"/>
      <c r="Z236" s="8"/>
    </row>
    <row r="237" spans="1:26" ht="12.75">
      <c r="A237" s="299"/>
      <c r="B237" s="300"/>
      <c r="C237" s="299"/>
      <c r="D237" s="299"/>
      <c r="E237" s="299"/>
      <c r="F237" s="299"/>
      <c r="G237" s="299"/>
      <c r="H237" s="1348"/>
      <c r="I237" s="299"/>
      <c r="J237" s="299"/>
      <c r="K237" s="299"/>
      <c r="L237" s="1336"/>
      <c r="M237" s="299"/>
      <c r="N237" s="299"/>
      <c r="O237" s="299"/>
      <c r="P237" s="299"/>
      <c r="Q237" s="299"/>
      <c r="R237" s="299"/>
      <c r="S237" s="299"/>
      <c r="T237" s="299"/>
      <c r="U237" s="299"/>
      <c r="V237" s="299"/>
      <c r="W237" s="8"/>
      <c r="X237" s="8"/>
      <c r="Y237" s="8"/>
      <c r="Z237" s="8"/>
    </row>
    <row r="238" spans="1:26" ht="12.75">
      <c r="A238" s="299"/>
      <c r="B238" s="300"/>
      <c r="C238" s="299"/>
      <c r="D238" s="299"/>
      <c r="E238" s="299"/>
      <c r="F238" s="299"/>
      <c r="G238" s="299"/>
      <c r="H238" s="1348"/>
      <c r="I238" s="299"/>
      <c r="J238" s="299"/>
      <c r="K238" s="299"/>
      <c r="L238" s="1336"/>
      <c r="M238" s="299"/>
      <c r="N238" s="299"/>
      <c r="O238" s="299"/>
      <c r="P238" s="299"/>
      <c r="Q238" s="299"/>
      <c r="R238" s="299"/>
      <c r="S238" s="299"/>
      <c r="T238" s="299"/>
      <c r="U238" s="299"/>
      <c r="V238" s="299"/>
      <c r="W238" s="8"/>
      <c r="X238" s="8"/>
      <c r="Y238" s="8"/>
      <c r="Z238" s="8"/>
    </row>
    <row r="239" spans="1:26" ht="12.75">
      <c r="A239" s="299"/>
      <c r="B239" s="300"/>
      <c r="C239" s="299"/>
      <c r="D239" s="299"/>
      <c r="E239" s="299"/>
      <c r="F239" s="299"/>
      <c r="G239" s="299"/>
      <c r="H239" s="1348"/>
      <c r="I239" s="299"/>
      <c r="J239" s="299"/>
      <c r="K239" s="299"/>
      <c r="L239" s="1336"/>
      <c r="M239" s="299"/>
      <c r="N239" s="299"/>
      <c r="O239" s="299"/>
      <c r="P239" s="299"/>
      <c r="Q239" s="299"/>
      <c r="R239" s="299"/>
      <c r="S239" s="299"/>
      <c r="T239" s="299"/>
      <c r="U239" s="299"/>
      <c r="V239" s="299"/>
      <c r="W239" s="8"/>
      <c r="X239" s="8"/>
      <c r="Y239" s="8"/>
      <c r="Z239" s="8"/>
    </row>
    <row r="240" spans="1:26" ht="12.75">
      <c r="A240" s="299"/>
      <c r="B240" s="300"/>
      <c r="C240" s="299"/>
      <c r="D240" s="299"/>
      <c r="E240" s="299"/>
      <c r="F240" s="299"/>
      <c r="G240" s="299"/>
      <c r="H240" s="1348"/>
      <c r="I240" s="299"/>
      <c r="J240" s="299"/>
      <c r="K240" s="299"/>
      <c r="L240" s="1336"/>
      <c r="M240" s="299"/>
      <c r="N240" s="299"/>
      <c r="O240" s="299"/>
      <c r="P240" s="299"/>
      <c r="Q240" s="299"/>
      <c r="R240" s="299"/>
      <c r="S240" s="299"/>
      <c r="T240" s="299"/>
      <c r="U240" s="299"/>
      <c r="V240" s="299"/>
      <c r="W240" s="8"/>
      <c r="X240" s="8"/>
      <c r="Y240" s="8"/>
      <c r="Z240" s="8"/>
    </row>
    <row r="241" spans="1:26" ht="12.75">
      <c r="A241" s="299"/>
      <c r="B241" s="300"/>
      <c r="C241" s="299"/>
      <c r="D241" s="299"/>
      <c r="E241" s="299"/>
      <c r="F241" s="299"/>
      <c r="G241" s="299"/>
      <c r="H241" s="1348"/>
      <c r="I241" s="299"/>
      <c r="J241" s="299"/>
      <c r="K241" s="299"/>
      <c r="L241" s="1336"/>
      <c r="M241" s="299"/>
      <c r="N241" s="299"/>
      <c r="O241" s="299"/>
      <c r="P241" s="299"/>
      <c r="Q241" s="299"/>
      <c r="R241" s="299"/>
      <c r="S241" s="299"/>
      <c r="T241" s="299"/>
      <c r="U241" s="299"/>
      <c r="V241" s="299"/>
      <c r="W241" s="8"/>
      <c r="X241" s="8"/>
      <c r="Y241" s="8"/>
      <c r="Z241" s="8"/>
    </row>
    <row r="242" spans="1:26" ht="12.75">
      <c r="A242" s="299"/>
      <c r="B242" s="300"/>
      <c r="C242" s="299"/>
      <c r="D242" s="299"/>
      <c r="E242" s="299"/>
      <c r="F242" s="299"/>
      <c r="G242" s="299"/>
      <c r="H242" s="1348"/>
      <c r="I242" s="299"/>
      <c r="J242" s="299"/>
      <c r="K242" s="299"/>
      <c r="L242" s="1336"/>
      <c r="M242" s="299"/>
      <c r="N242" s="299"/>
      <c r="O242" s="299"/>
      <c r="P242" s="299"/>
      <c r="Q242" s="299"/>
      <c r="R242" s="299"/>
      <c r="S242" s="299"/>
      <c r="T242" s="299"/>
      <c r="U242" s="299"/>
      <c r="V242" s="299"/>
      <c r="W242" s="8"/>
      <c r="X242" s="8"/>
      <c r="Y242" s="8"/>
      <c r="Z242" s="8"/>
    </row>
    <row r="243" spans="1:26" ht="12.75">
      <c r="A243" s="299"/>
      <c r="B243" s="300"/>
      <c r="C243" s="299"/>
      <c r="D243" s="299"/>
      <c r="E243" s="299"/>
      <c r="F243" s="299"/>
      <c r="G243" s="299"/>
      <c r="H243" s="1348"/>
      <c r="I243" s="299"/>
      <c r="J243" s="299"/>
      <c r="K243" s="299"/>
      <c r="L243" s="1336"/>
      <c r="M243" s="299"/>
      <c r="N243" s="299"/>
      <c r="O243" s="299"/>
      <c r="P243" s="299"/>
      <c r="Q243" s="299"/>
      <c r="R243" s="299"/>
      <c r="S243" s="299"/>
      <c r="T243" s="299"/>
      <c r="U243" s="299"/>
      <c r="V243" s="299"/>
      <c r="W243" s="8"/>
      <c r="X243" s="8"/>
      <c r="Y243" s="8"/>
      <c r="Z243" s="8"/>
    </row>
    <row r="244" spans="1:26" ht="12.75">
      <c r="A244" s="299"/>
      <c r="B244" s="300"/>
      <c r="C244" s="299"/>
      <c r="D244" s="299"/>
      <c r="E244" s="299"/>
      <c r="F244" s="299"/>
      <c r="G244" s="299"/>
      <c r="H244" s="1348"/>
      <c r="I244" s="299"/>
      <c r="J244" s="299"/>
      <c r="K244" s="299"/>
      <c r="L244" s="1336"/>
      <c r="M244" s="299"/>
      <c r="N244" s="299"/>
      <c r="O244" s="299"/>
      <c r="P244" s="299"/>
      <c r="Q244" s="299"/>
      <c r="R244" s="299"/>
      <c r="S244" s="299"/>
      <c r="T244" s="299"/>
      <c r="U244" s="299"/>
      <c r="V244" s="299"/>
      <c r="W244" s="8"/>
      <c r="X244" s="8"/>
      <c r="Y244" s="8"/>
      <c r="Z244" s="8"/>
    </row>
    <row r="245" spans="1:26" ht="12.75">
      <c r="A245" s="299"/>
      <c r="B245" s="300"/>
      <c r="C245" s="299"/>
      <c r="D245" s="299"/>
      <c r="E245" s="299"/>
      <c r="F245" s="299"/>
      <c r="G245" s="299"/>
      <c r="H245" s="1348"/>
      <c r="I245" s="299"/>
      <c r="J245" s="299"/>
      <c r="K245" s="299"/>
      <c r="L245" s="1336"/>
      <c r="M245" s="299"/>
      <c r="N245" s="299"/>
      <c r="O245" s="299"/>
      <c r="P245" s="299"/>
      <c r="Q245" s="299"/>
      <c r="R245" s="299"/>
      <c r="S245" s="299"/>
      <c r="T245" s="299"/>
      <c r="U245" s="299"/>
      <c r="V245" s="299"/>
      <c r="W245" s="8"/>
      <c r="X245" s="8"/>
      <c r="Y245" s="8"/>
      <c r="Z245" s="8"/>
    </row>
    <row r="246" spans="1:26" ht="12.75">
      <c r="A246" s="299"/>
      <c r="B246" s="300"/>
      <c r="C246" s="299"/>
      <c r="D246" s="299"/>
      <c r="E246" s="299"/>
      <c r="F246" s="299"/>
      <c r="G246" s="299"/>
      <c r="H246" s="1348"/>
      <c r="I246" s="299"/>
      <c r="J246" s="299"/>
      <c r="K246" s="299"/>
      <c r="L246" s="1336"/>
      <c r="M246" s="299"/>
      <c r="N246" s="299"/>
      <c r="O246" s="299"/>
      <c r="P246" s="299"/>
      <c r="Q246" s="299"/>
      <c r="R246" s="299"/>
      <c r="S246" s="299"/>
      <c r="T246" s="299"/>
      <c r="U246" s="299"/>
      <c r="V246" s="299"/>
      <c r="W246" s="8"/>
      <c r="X246" s="8"/>
      <c r="Y246" s="8"/>
      <c r="Z246" s="8"/>
    </row>
    <row r="247" spans="1:26" ht="12.75">
      <c r="A247" s="299"/>
      <c r="B247" s="300"/>
      <c r="C247" s="299"/>
      <c r="D247" s="299"/>
      <c r="E247" s="299"/>
      <c r="F247" s="299"/>
      <c r="G247" s="299"/>
      <c r="H247" s="1348"/>
      <c r="I247" s="299"/>
      <c r="J247" s="299"/>
      <c r="K247" s="299"/>
      <c r="L247" s="1336"/>
      <c r="M247" s="299"/>
      <c r="N247" s="299"/>
      <c r="O247" s="299"/>
      <c r="P247" s="299"/>
      <c r="Q247" s="299"/>
      <c r="R247" s="299"/>
      <c r="S247" s="299"/>
      <c r="T247" s="299"/>
      <c r="U247" s="299"/>
      <c r="V247" s="299"/>
      <c r="W247" s="8"/>
      <c r="X247" s="8"/>
      <c r="Y247" s="8"/>
      <c r="Z247" s="8"/>
    </row>
    <row r="248" spans="1:26" ht="12.75">
      <c r="A248" s="299"/>
      <c r="B248" s="300"/>
      <c r="C248" s="299"/>
      <c r="D248" s="299"/>
      <c r="E248" s="299"/>
      <c r="F248" s="299"/>
      <c r="G248" s="299"/>
      <c r="H248" s="1348"/>
      <c r="I248" s="299"/>
      <c r="J248" s="299"/>
      <c r="K248" s="299"/>
      <c r="L248" s="1336"/>
      <c r="M248" s="299"/>
      <c r="N248" s="299"/>
      <c r="O248" s="299"/>
      <c r="P248" s="299"/>
      <c r="Q248" s="299"/>
      <c r="R248" s="299"/>
      <c r="S248" s="299"/>
      <c r="T248" s="299"/>
      <c r="U248" s="299"/>
      <c r="V248" s="299"/>
      <c r="W248" s="8"/>
      <c r="X248" s="8"/>
      <c r="Y248" s="8"/>
      <c r="Z248" s="8"/>
    </row>
    <row r="249" spans="1:26" ht="12.75">
      <c r="A249" s="299"/>
      <c r="B249" s="300"/>
      <c r="C249" s="299"/>
      <c r="D249" s="299"/>
      <c r="E249" s="299"/>
      <c r="F249" s="299"/>
      <c r="G249" s="299"/>
      <c r="H249" s="1348"/>
      <c r="I249" s="299"/>
      <c r="J249" s="299"/>
      <c r="K249" s="299"/>
      <c r="L249" s="1336"/>
      <c r="M249" s="299"/>
      <c r="N249" s="299"/>
      <c r="O249" s="299"/>
      <c r="P249" s="299"/>
      <c r="Q249" s="299"/>
      <c r="R249" s="299"/>
      <c r="S249" s="299"/>
      <c r="T249" s="299"/>
      <c r="U249" s="299"/>
      <c r="V249" s="299"/>
      <c r="W249" s="8"/>
      <c r="X249" s="8"/>
      <c r="Y249" s="8"/>
      <c r="Z249" s="8"/>
    </row>
    <row r="250" spans="1:26" ht="12.75">
      <c r="A250" s="299"/>
      <c r="B250" s="300"/>
      <c r="C250" s="299"/>
      <c r="D250" s="299"/>
      <c r="E250" s="299"/>
      <c r="F250" s="299"/>
      <c r="G250" s="299"/>
      <c r="H250" s="1348"/>
      <c r="I250" s="299"/>
      <c r="J250" s="299"/>
      <c r="K250" s="299"/>
      <c r="L250" s="1336"/>
      <c r="M250" s="299"/>
      <c r="N250" s="299"/>
      <c r="O250" s="299"/>
      <c r="P250" s="299"/>
      <c r="Q250" s="299"/>
      <c r="R250" s="299"/>
      <c r="S250" s="299"/>
      <c r="T250" s="299"/>
      <c r="U250" s="299"/>
      <c r="V250" s="299"/>
      <c r="W250" s="8"/>
      <c r="X250" s="8"/>
      <c r="Y250" s="8"/>
      <c r="Z250" s="8"/>
    </row>
    <row r="251" spans="1:26" ht="12.75">
      <c r="A251" s="299"/>
      <c r="B251" s="300"/>
      <c r="C251" s="299"/>
      <c r="D251" s="299"/>
      <c r="E251" s="299"/>
      <c r="F251" s="299"/>
      <c r="G251" s="299"/>
      <c r="H251" s="1348"/>
      <c r="I251" s="299"/>
      <c r="J251" s="299"/>
      <c r="K251" s="299"/>
      <c r="L251" s="1336"/>
      <c r="M251" s="299"/>
      <c r="N251" s="299"/>
      <c r="O251" s="299"/>
      <c r="P251" s="299"/>
      <c r="Q251" s="299"/>
      <c r="R251" s="299"/>
      <c r="S251" s="299"/>
      <c r="T251" s="299"/>
      <c r="U251" s="299"/>
      <c r="V251" s="299"/>
      <c r="W251" s="8"/>
      <c r="X251" s="8"/>
      <c r="Y251" s="8"/>
      <c r="Z251" s="8"/>
    </row>
    <row r="252" spans="1:26" ht="12.75">
      <c r="A252" s="299"/>
      <c r="B252" s="300"/>
      <c r="C252" s="299"/>
      <c r="D252" s="299"/>
      <c r="E252" s="299"/>
      <c r="F252" s="299"/>
      <c r="G252" s="299"/>
      <c r="H252" s="1348"/>
      <c r="I252" s="299"/>
      <c r="J252" s="299"/>
      <c r="K252" s="299"/>
      <c r="L252" s="1336"/>
      <c r="M252" s="299"/>
      <c r="N252" s="299"/>
      <c r="O252" s="299"/>
      <c r="P252" s="299"/>
      <c r="Q252" s="299"/>
      <c r="R252" s="299"/>
      <c r="S252" s="299"/>
      <c r="T252" s="299"/>
      <c r="U252" s="299"/>
      <c r="V252" s="299"/>
      <c r="W252" s="8"/>
      <c r="X252" s="8"/>
      <c r="Y252" s="8"/>
      <c r="Z252" s="8"/>
    </row>
    <row r="253" spans="1:26" ht="12.75">
      <c r="A253" s="299"/>
      <c r="B253" s="300"/>
      <c r="C253" s="299"/>
      <c r="D253" s="299"/>
      <c r="E253" s="299"/>
      <c r="F253" s="299"/>
      <c r="G253" s="299"/>
      <c r="H253" s="1348"/>
      <c r="I253" s="299"/>
      <c r="J253" s="299"/>
      <c r="K253" s="299"/>
      <c r="L253" s="1336"/>
      <c r="M253" s="299"/>
      <c r="N253" s="299"/>
      <c r="O253" s="299"/>
      <c r="P253" s="299"/>
      <c r="Q253" s="299"/>
      <c r="R253" s="299"/>
      <c r="S253" s="299"/>
      <c r="T253" s="299"/>
      <c r="U253" s="299"/>
      <c r="V253" s="299"/>
      <c r="W253" s="8"/>
      <c r="X253" s="8"/>
      <c r="Y253" s="8"/>
      <c r="Z253" s="8"/>
    </row>
    <row r="254" spans="1:26" ht="12.75">
      <c r="A254" s="299"/>
      <c r="B254" s="300"/>
      <c r="C254" s="299"/>
      <c r="D254" s="299"/>
      <c r="E254" s="299"/>
      <c r="F254" s="299"/>
      <c r="G254" s="299"/>
      <c r="H254" s="1348"/>
      <c r="I254" s="299"/>
      <c r="J254" s="299"/>
      <c r="K254" s="299"/>
      <c r="L254" s="1336"/>
      <c r="M254" s="299"/>
      <c r="N254" s="299"/>
      <c r="O254" s="299"/>
      <c r="P254" s="299"/>
      <c r="Q254" s="299"/>
      <c r="R254" s="299"/>
      <c r="S254" s="299"/>
      <c r="T254" s="299"/>
      <c r="U254" s="299"/>
      <c r="V254" s="299"/>
      <c r="W254" s="8"/>
      <c r="X254" s="8"/>
      <c r="Y254" s="8"/>
      <c r="Z254" s="8"/>
    </row>
    <row r="255" spans="1:26" ht="12.75">
      <c r="A255" s="299"/>
      <c r="B255" s="300"/>
      <c r="C255" s="299"/>
      <c r="D255" s="299"/>
      <c r="E255" s="299"/>
      <c r="F255" s="299"/>
      <c r="G255" s="299"/>
      <c r="H255" s="1348"/>
      <c r="I255" s="299"/>
      <c r="J255" s="299"/>
      <c r="K255" s="299"/>
      <c r="L255" s="1336"/>
      <c r="M255" s="299"/>
      <c r="N255" s="299"/>
      <c r="O255" s="299"/>
      <c r="P255" s="299"/>
      <c r="Q255" s="299"/>
      <c r="R255" s="299"/>
      <c r="S255" s="299"/>
      <c r="T255" s="299"/>
      <c r="U255" s="299"/>
      <c r="V255" s="299"/>
      <c r="W255" s="8"/>
      <c r="X255" s="8"/>
      <c r="Y255" s="8"/>
      <c r="Z255" s="8"/>
    </row>
    <row r="256" spans="1:26" ht="12.75">
      <c r="A256" s="299"/>
      <c r="B256" s="300"/>
      <c r="C256" s="299"/>
      <c r="D256" s="299"/>
      <c r="E256" s="299"/>
      <c r="F256" s="299"/>
      <c r="G256" s="299"/>
      <c r="H256" s="1348"/>
      <c r="I256" s="299"/>
      <c r="J256" s="299"/>
      <c r="K256" s="299"/>
      <c r="L256" s="1336"/>
      <c r="M256" s="299"/>
      <c r="N256" s="299"/>
      <c r="O256" s="299"/>
      <c r="P256" s="299"/>
      <c r="Q256" s="299"/>
      <c r="R256" s="299"/>
      <c r="S256" s="299"/>
      <c r="T256" s="299"/>
      <c r="U256" s="299"/>
      <c r="V256" s="299"/>
      <c r="W256" s="8"/>
      <c r="X256" s="8"/>
      <c r="Y256" s="8"/>
      <c r="Z256" s="8"/>
    </row>
    <row r="257" spans="1:26" ht="12.75">
      <c r="A257" s="299"/>
      <c r="B257" s="300"/>
      <c r="C257" s="299"/>
      <c r="D257" s="299"/>
      <c r="E257" s="299"/>
      <c r="F257" s="299"/>
      <c r="G257" s="299"/>
      <c r="H257" s="1348"/>
      <c r="I257" s="299"/>
      <c r="J257" s="299"/>
      <c r="K257" s="299"/>
      <c r="L257" s="1336"/>
      <c r="M257" s="299"/>
      <c r="N257" s="299"/>
      <c r="O257" s="299"/>
      <c r="P257" s="299"/>
      <c r="Q257" s="299"/>
      <c r="R257" s="299"/>
      <c r="S257" s="299"/>
      <c r="T257" s="299"/>
      <c r="U257" s="299"/>
      <c r="V257" s="299"/>
      <c r="W257" s="8"/>
      <c r="X257" s="8"/>
      <c r="Y257" s="8"/>
      <c r="Z257" s="8"/>
    </row>
    <row r="258" spans="1:26" ht="12.75">
      <c r="A258" s="299"/>
      <c r="B258" s="300"/>
      <c r="C258" s="299"/>
      <c r="D258" s="299"/>
      <c r="E258" s="299"/>
      <c r="F258" s="299"/>
      <c r="G258" s="299"/>
      <c r="H258" s="1348"/>
      <c r="I258" s="299"/>
      <c r="J258" s="299"/>
      <c r="K258" s="299"/>
      <c r="L258" s="1336"/>
      <c r="M258" s="299"/>
      <c r="N258" s="299"/>
      <c r="O258" s="299"/>
      <c r="P258" s="299"/>
      <c r="Q258" s="299"/>
      <c r="R258" s="299"/>
      <c r="S258" s="299"/>
      <c r="T258" s="299"/>
      <c r="U258" s="299"/>
      <c r="V258" s="299"/>
      <c r="W258" s="8"/>
      <c r="X258" s="8"/>
      <c r="Y258" s="8"/>
      <c r="Z258" s="8"/>
    </row>
    <row r="259" spans="1:26" ht="12.75">
      <c r="A259" s="299"/>
      <c r="B259" s="300"/>
      <c r="C259" s="299"/>
      <c r="D259" s="299"/>
      <c r="E259" s="299"/>
      <c r="F259" s="299"/>
      <c r="G259" s="299"/>
      <c r="H259" s="1348"/>
      <c r="I259" s="299"/>
      <c r="J259" s="299"/>
      <c r="K259" s="299"/>
      <c r="L259" s="1336"/>
      <c r="M259" s="299"/>
      <c r="N259" s="299"/>
      <c r="O259" s="299"/>
      <c r="P259" s="299"/>
      <c r="Q259" s="299"/>
      <c r="R259" s="299"/>
      <c r="S259" s="299"/>
      <c r="T259" s="299"/>
      <c r="U259" s="299"/>
      <c r="V259" s="299"/>
      <c r="W259" s="8"/>
      <c r="X259" s="8"/>
      <c r="Y259" s="8"/>
      <c r="Z259" s="8"/>
    </row>
    <row r="260" spans="1:26" ht="12.75">
      <c r="A260" s="299"/>
      <c r="B260" s="300"/>
      <c r="C260" s="299"/>
      <c r="D260" s="299"/>
      <c r="E260" s="299"/>
      <c r="F260" s="299"/>
      <c r="G260" s="299"/>
      <c r="H260" s="1348"/>
      <c r="I260" s="299"/>
      <c r="J260" s="299"/>
      <c r="K260" s="299"/>
      <c r="L260" s="1336"/>
      <c r="M260" s="299"/>
      <c r="N260" s="299"/>
      <c r="O260" s="299"/>
      <c r="P260" s="299"/>
      <c r="Q260" s="299"/>
      <c r="R260" s="299"/>
      <c r="S260" s="299"/>
      <c r="T260" s="299"/>
      <c r="U260" s="299"/>
      <c r="V260" s="299"/>
      <c r="W260" s="8"/>
      <c r="X260" s="8"/>
      <c r="Y260" s="8"/>
      <c r="Z260" s="8"/>
    </row>
    <row r="261" spans="1:26" ht="12.75">
      <c r="A261" s="299"/>
      <c r="B261" s="300"/>
      <c r="C261" s="299"/>
      <c r="D261" s="299"/>
      <c r="E261" s="299"/>
      <c r="F261" s="299"/>
      <c r="G261" s="299"/>
      <c r="H261" s="1348"/>
      <c r="I261" s="299"/>
      <c r="J261" s="299"/>
      <c r="K261" s="299"/>
      <c r="L261" s="1336"/>
      <c r="M261" s="299"/>
      <c r="N261" s="299"/>
      <c r="O261" s="299"/>
      <c r="P261" s="299"/>
      <c r="Q261" s="299"/>
      <c r="R261" s="299"/>
      <c r="S261" s="299"/>
      <c r="T261" s="299"/>
      <c r="U261" s="299"/>
      <c r="V261" s="299"/>
      <c r="W261" s="8"/>
      <c r="X261" s="8"/>
      <c r="Y261" s="8"/>
      <c r="Z261" s="8"/>
    </row>
    <row r="262" spans="1:26" ht="12.75">
      <c r="A262" s="299"/>
      <c r="B262" s="300"/>
      <c r="C262" s="299"/>
      <c r="D262" s="299"/>
      <c r="E262" s="299"/>
      <c r="F262" s="299"/>
      <c r="G262" s="299"/>
      <c r="H262" s="1348"/>
      <c r="I262" s="299"/>
      <c r="J262" s="299"/>
      <c r="K262" s="299"/>
      <c r="L262" s="1336"/>
      <c r="M262" s="299"/>
      <c r="N262" s="299"/>
      <c r="O262" s="299"/>
      <c r="P262" s="299"/>
      <c r="Q262" s="299"/>
      <c r="R262" s="299"/>
      <c r="S262" s="299"/>
      <c r="T262" s="299"/>
      <c r="U262" s="299"/>
      <c r="V262" s="299"/>
      <c r="W262" s="8"/>
      <c r="X262" s="8"/>
      <c r="Y262" s="8"/>
      <c r="Z262" s="8"/>
    </row>
    <row r="263" spans="1:26" ht="12.75">
      <c r="A263" s="299"/>
      <c r="B263" s="300"/>
      <c r="C263" s="299"/>
      <c r="D263" s="299"/>
      <c r="E263" s="299"/>
      <c r="F263" s="299"/>
      <c r="G263" s="299"/>
      <c r="H263" s="1348"/>
      <c r="I263" s="299"/>
      <c r="J263" s="299"/>
      <c r="K263" s="299"/>
      <c r="L263" s="1336"/>
      <c r="M263" s="299"/>
      <c r="N263" s="299"/>
      <c r="O263" s="299"/>
      <c r="P263" s="299"/>
      <c r="Q263" s="299"/>
      <c r="R263" s="299"/>
      <c r="S263" s="299"/>
      <c r="T263" s="299"/>
      <c r="U263" s="299"/>
      <c r="V263" s="299"/>
      <c r="W263" s="8"/>
      <c r="X263" s="8"/>
      <c r="Y263" s="8"/>
      <c r="Z263" s="8"/>
    </row>
    <row r="264" spans="1:26" ht="12.75">
      <c r="A264" s="299"/>
      <c r="B264" s="300"/>
      <c r="C264" s="299"/>
      <c r="D264" s="299"/>
      <c r="E264" s="299"/>
      <c r="F264" s="299"/>
      <c r="G264" s="299"/>
      <c r="H264" s="1348"/>
      <c r="I264" s="299"/>
      <c r="J264" s="299"/>
      <c r="K264" s="299"/>
      <c r="L264" s="1336"/>
      <c r="M264" s="299"/>
      <c r="N264" s="299"/>
      <c r="O264" s="299"/>
      <c r="P264" s="299"/>
      <c r="Q264" s="299"/>
      <c r="R264" s="299"/>
      <c r="S264" s="299"/>
      <c r="T264" s="299"/>
      <c r="U264" s="299"/>
      <c r="V264" s="299"/>
      <c r="W264" s="8"/>
      <c r="X264" s="8"/>
      <c r="Y264" s="8"/>
      <c r="Z264" s="8"/>
    </row>
    <row r="265" spans="1:26" ht="12.75">
      <c r="A265" s="299"/>
      <c r="B265" s="300"/>
      <c r="C265" s="299"/>
      <c r="D265" s="299"/>
      <c r="E265" s="299"/>
      <c r="F265" s="299"/>
      <c r="G265" s="299"/>
      <c r="H265" s="1348"/>
      <c r="I265" s="299"/>
      <c r="J265" s="299"/>
      <c r="K265" s="299"/>
      <c r="L265" s="1336"/>
      <c r="M265" s="299"/>
      <c r="N265" s="299"/>
      <c r="O265" s="299"/>
      <c r="P265" s="299"/>
      <c r="Q265" s="299"/>
      <c r="R265" s="299"/>
      <c r="S265" s="299"/>
      <c r="T265" s="299"/>
      <c r="U265" s="299"/>
      <c r="V265" s="299"/>
      <c r="W265" s="8"/>
      <c r="X265" s="8"/>
      <c r="Y265" s="8"/>
      <c r="Z265" s="8"/>
    </row>
    <row r="266" spans="1:26" ht="12.75">
      <c r="A266" s="299"/>
      <c r="B266" s="300"/>
      <c r="C266" s="299"/>
      <c r="D266" s="299"/>
      <c r="E266" s="299"/>
      <c r="F266" s="299"/>
      <c r="G266" s="299"/>
      <c r="H266" s="1348"/>
      <c r="I266" s="299"/>
      <c r="J266" s="299"/>
      <c r="K266" s="299"/>
      <c r="L266" s="1336"/>
      <c r="M266" s="299"/>
      <c r="N266" s="299"/>
      <c r="O266" s="299"/>
      <c r="P266" s="299"/>
      <c r="Q266" s="299"/>
      <c r="R266" s="299"/>
      <c r="S266" s="299"/>
      <c r="T266" s="299"/>
      <c r="U266" s="299"/>
      <c r="V266" s="299"/>
      <c r="W266" s="8"/>
      <c r="X266" s="8"/>
      <c r="Y266" s="8"/>
      <c r="Z266" s="8"/>
    </row>
    <row r="267" spans="1:26" ht="12.75">
      <c r="A267" s="299"/>
      <c r="B267" s="300"/>
      <c r="C267" s="299"/>
      <c r="D267" s="299"/>
      <c r="E267" s="299"/>
      <c r="F267" s="299"/>
      <c r="G267" s="299"/>
      <c r="H267" s="1348"/>
      <c r="I267" s="299"/>
      <c r="J267" s="299"/>
      <c r="K267" s="299"/>
      <c r="L267" s="1336"/>
      <c r="M267" s="299"/>
      <c r="N267" s="299"/>
      <c r="O267" s="299"/>
      <c r="P267" s="299"/>
      <c r="Q267" s="299"/>
      <c r="R267" s="299"/>
      <c r="S267" s="299"/>
      <c r="T267" s="299"/>
      <c r="U267" s="299"/>
      <c r="V267" s="299"/>
      <c r="W267" s="8"/>
      <c r="X267" s="8"/>
      <c r="Y267" s="8"/>
      <c r="Z267" s="8"/>
    </row>
    <row r="268" spans="1:26" ht="12.75">
      <c r="A268" s="299"/>
      <c r="B268" s="300"/>
      <c r="C268" s="299"/>
      <c r="D268" s="299"/>
      <c r="E268" s="299"/>
      <c r="F268" s="299"/>
      <c r="G268" s="299"/>
      <c r="H268" s="1348"/>
      <c r="I268" s="299"/>
      <c r="J268" s="299"/>
      <c r="K268" s="299"/>
      <c r="L268" s="1336"/>
      <c r="M268" s="299"/>
      <c r="N268" s="299"/>
      <c r="O268" s="299"/>
      <c r="P268" s="299"/>
      <c r="Q268" s="299"/>
      <c r="R268" s="299"/>
      <c r="S268" s="299"/>
      <c r="T268" s="299"/>
      <c r="U268" s="299"/>
      <c r="V268" s="299"/>
      <c r="W268" s="8"/>
      <c r="X268" s="8"/>
      <c r="Y268" s="8"/>
      <c r="Z268" s="8"/>
    </row>
    <row r="269" spans="1:26" ht="12.75">
      <c r="A269" s="299"/>
      <c r="B269" s="300"/>
      <c r="C269" s="299"/>
      <c r="D269" s="299"/>
      <c r="E269" s="299"/>
      <c r="F269" s="299"/>
      <c r="G269" s="299"/>
      <c r="H269" s="1348"/>
      <c r="I269" s="299"/>
      <c r="J269" s="299"/>
      <c r="K269" s="299"/>
      <c r="L269" s="1336"/>
      <c r="M269" s="299"/>
      <c r="N269" s="299"/>
      <c r="O269" s="299"/>
      <c r="P269" s="299"/>
      <c r="Q269" s="299"/>
      <c r="R269" s="299"/>
      <c r="S269" s="299"/>
      <c r="T269" s="299"/>
      <c r="U269" s="299"/>
      <c r="V269" s="299"/>
      <c r="W269" s="8"/>
      <c r="X269" s="8"/>
      <c r="Y269" s="8"/>
      <c r="Z269" s="8"/>
    </row>
    <row r="270" spans="1:26" ht="12.75">
      <c r="A270" s="299"/>
      <c r="B270" s="300"/>
      <c r="C270" s="299"/>
      <c r="D270" s="299"/>
      <c r="E270" s="299"/>
      <c r="F270" s="299"/>
      <c r="G270" s="299"/>
      <c r="H270" s="1348"/>
      <c r="I270" s="299"/>
      <c r="J270" s="299"/>
      <c r="K270" s="299"/>
      <c r="L270" s="1336"/>
      <c r="M270" s="299"/>
      <c r="N270" s="299"/>
      <c r="O270" s="299"/>
      <c r="P270" s="299"/>
      <c r="Q270" s="299"/>
      <c r="R270" s="299"/>
      <c r="S270" s="299"/>
      <c r="T270" s="299"/>
      <c r="U270" s="299"/>
      <c r="V270" s="299"/>
      <c r="W270" s="8"/>
      <c r="X270" s="8"/>
      <c r="Y270" s="8"/>
      <c r="Z270" s="8"/>
    </row>
    <row r="271" spans="1:26" ht="12.75">
      <c r="A271" s="299"/>
      <c r="B271" s="300"/>
      <c r="C271" s="299"/>
      <c r="D271" s="299"/>
      <c r="E271" s="299"/>
      <c r="F271" s="299"/>
      <c r="G271" s="299"/>
      <c r="H271" s="1348"/>
      <c r="I271" s="299"/>
      <c r="J271" s="299"/>
      <c r="K271" s="299"/>
      <c r="L271" s="1336"/>
      <c r="M271" s="299"/>
      <c r="N271" s="299"/>
      <c r="O271" s="299"/>
      <c r="P271" s="299"/>
      <c r="Q271" s="299"/>
      <c r="R271" s="299"/>
      <c r="S271" s="299"/>
      <c r="T271" s="299"/>
      <c r="U271" s="299"/>
      <c r="V271" s="299"/>
      <c r="W271" s="8"/>
      <c r="X271" s="8"/>
      <c r="Y271" s="8"/>
      <c r="Z271" s="8"/>
    </row>
    <row r="272" spans="1:26" ht="12.75">
      <c r="A272" s="299"/>
      <c r="B272" s="300"/>
      <c r="C272" s="299"/>
      <c r="D272" s="299"/>
      <c r="E272" s="299"/>
      <c r="F272" s="299"/>
      <c r="G272" s="299"/>
      <c r="H272" s="1348"/>
      <c r="I272" s="299"/>
      <c r="J272" s="299"/>
      <c r="K272" s="299"/>
      <c r="L272" s="1336"/>
      <c r="M272" s="299"/>
      <c r="N272" s="299"/>
      <c r="O272" s="299"/>
      <c r="P272" s="299"/>
      <c r="Q272" s="299"/>
      <c r="R272" s="299"/>
      <c r="S272" s="299"/>
      <c r="T272" s="299"/>
      <c r="U272" s="299"/>
      <c r="V272" s="299"/>
      <c r="W272" s="8"/>
      <c r="X272" s="8"/>
      <c r="Y272" s="8"/>
      <c r="Z272" s="8"/>
    </row>
    <row r="273" spans="1:26" ht="12.75">
      <c r="A273" s="299"/>
      <c r="B273" s="300"/>
      <c r="C273" s="299"/>
      <c r="D273" s="299"/>
      <c r="E273" s="299"/>
      <c r="F273" s="299"/>
      <c r="G273" s="299"/>
      <c r="H273" s="1348"/>
      <c r="I273" s="299"/>
      <c r="J273" s="299"/>
      <c r="K273" s="299"/>
      <c r="L273" s="1336"/>
      <c r="M273" s="299"/>
      <c r="N273" s="299"/>
      <c r="O273" s="299"/>
      <c r="P273" s="299"/>
      <c r="Q273" s="299"/>
      <c r="R273" s="299"/>
      <c r="S273" s="299"/>
      <c r="T273" s="299"/>
      <c r="U273" s="299"/>
      <c r="V273" s="299"/>
      <c r="W273" s="8"/>
      <c r="X273" s="8"/>
      <c r="Y273" s="8"/>
      <c r="Z273" s="8"/>
    </row>
    <row r="274" spans="1:26" ht="12.75">
      <c r="A274" s="299"/>
      <c r="B274" s="300"/>
      <c r="C274" s="299"/>
      <c r="D274" s="299"/>
      <c r="E274" s="299"/>
      <c r="F274" s="299"/>
      <c r="G274" s="299"/>
      <c r="H274" s="1348"/>
      <c r="I274" s="299"/>
      <c r="J274" s="299"/>
      <c r="K274" s="299"/>
      <c r="L274" s="1336"/>
      <c r="M274" s="299"/>
      <c r="N274" s="299"/>
      <c r="O274" s="299"/>
      <c r="P274" s="299"/>
      <c r="Q274" s="299"/>
      <c r="R274" s="299"/>
      <c r="S274" s="299"/>
      <c r="T274" s="299"/>
      <c r="U274" s="299"/>
      <c r="V274" s="299"/>
      <c r="W274" s="8"/>
      <c r="X274" s="8"/>
      <c r="Y274" s="8"/>
      <c r="Z274" s="8"/>
    </row>
    <row r="275" spans="1:26" ht="12.75">
      <c r="A275" s="299"/>
      <c r="B275" s="300"/>
      <c r="C275" s="299"/>
      <c r="D275" s="299"/>
      <c r="E275" s="299"/>
      <c r="F275" s="299"/>
      <c r="G275" s="299"/>
      <c r="H275" s="1348"/>
      <c r="I275" s="299"/>
      <c r="J275" s="299"/>
      <c r="K275" s="299"/>
      <c r="L275" s="1336"/>
      <c r="M275" s="299"/>
      <c r="N275" s="299"/>
      <c r="O275" s="299"/>
      <c r="P275" s="299"/>
      <c r="Q275" s="299"/>
      <c r="R275" s="299"/>
      <c r="S275" s="299"/>
      <c r="T275" s="299"/>
      <c r="U275" s="299"/>
      <c r="V275" s="299"/>
      <c r="W275" s="8"/>
      <c r="X275" s="8"/>
      <c r="Y275" s="8"/>
      <c r="Z275" s="8"/>
    </row>
    <row r="276" spans="1:26" ht="12.75">
      <c r="A276" s="299"/>
      <c r="B276" s="300"/>
      <c r="C276" s="299"/>
      <c r="D276" s="299"/>
      <c r="E276" s="299"/>
      <c r="F276" s="299"/>
      <c r="G276" s="299"/>
      <c r="H276" s="1348"/>
      <c r="I276" s="299"/>
      <c r="J276" s="299"/>
      <c r="K276" s="299"/>
      <c r="L276" s="1336"/>
      <c r="M276" s="299"/>
      <c r="N276" s="299"/>
      <c r="O276" s="299"/>
      <c r="P276" s="299"/>
      <c r="Q276" s="299"/>
      <c r="R276" s="299"/>
      <c r="S276" s="299"/>
      <c r="T276" s="299"/>
      <c r="U276" s="299"/>
      <c r="V276" s="299"/>
      <c r="W276" s="8"/>
      <c r="X276" s="8"/>
      <c r="Y276" s="8"/>
      <c r="Z276" s="8"/>
    </row>
    <row r="277" spans="1:26" ht="12.75">
      <c r="A277" s="299"/>
      <c r="B277" s="300"/>
      <c r="C277" s="299"/>
      <c r="D277" s="299"/>
      <c r="E277" s="299"/>
      <c r="F277" s="299"/>
      <c r="G277" s="299"/>
      <c r="H277" s="1348"/>
      <c r="I277" s="299"/>
      <c r="J277" s="299"/>
      <c r="K277" s="299"/>
      <c r="L277" s="1336"/>
      <c r="M277" s="299"/>
      <c r="N277" s="299"/>
      <c r="O277" s="299"/>
      <c r="P277" s="299"/>
      <c r="Q277" s="299"/>
      <c r="R277" s="299"/>
      <c r="S277" s="299"/>
      <c r="T277" s="299"/>
      <c r="U277" s="299"/>
      <c r="V277" s="299"/>
      <c r="W277" s="8"/>
      <c r="X277" s="8"/>
      <c r="Y277" s="8"/>
      <c r="Z277" s="8"/>
    </row>
    <row r="278" spans="1:26" ht="12.75">
      <c r="A278" s="299"/>
      <c r="B278" s="300"/>
      <c r="C278" s="299"/>
      <c r="D278" s="299"/>
      <c r="E278" s="299"/>
      <c r="F278" s="299"/>
      <c r="G278" s="299"/>
      <c r="H278" s="1348"/>
      <c r="I278" s="299"/>
      <c r="J278" s="299"/>
      <c r="K278" s="299"/>
      <c r="L278" s="1336"/>
      <c r="M278" s="299"/>
      <c r="N278" s="299"/>
      <c r="O278" s="299"/>
      <c r="P278" s="299"/>
      <c r="Q278" s="299"/>
      <c r="R278" s="299"/>
      <c r="S278" s="299"/>
      <c r="T278" s="299"/>
      <c r="U278" s="299"/>
      <c r="V278" s="299"/>
      <c r="W278" s="8"/>
      <c r="X278" s="8"/>
      <c r="Y278" s="8"/>
      <c r="Z278" s="8"/>
    </row>
    <row r="279" spans="1:26" ht="12.75">
      <c r="A279" s="299"/>
      <c r="B279" s="300"/>
      <c r="C279" s="299"/>
      <c r="D279" s="299"/>
      <c r="E279" s="299"/>
      <c r="F279" s="299"/>
      <c r="G279" s="299"/>
      <c r="H279" s="1348"/>
      <c r="I279" s="299"/>
      <c r="J279" s="299"/>
      <c r="K279" s="299"/>
      <c r="L279" s="1336"/>
      <c r="M279" s="299"/>
      <c r="N279" s="299"/>
      <c r="O279" s="299"/>
      <c r="P279" s="299"/>
      <c r="Q279" s="299"/>
      <c r="R279" s="299"/>
      <c r="S279" s="299"/>
      <c r="T279" s="299"/>
      <c r="U279" s="299"/>
      <c r="V279" s="299"/>
      <c r="W279" s="8"/>
      <c r="X279" s="8"/>
      <c r="Y279" s="8"/>
      <c r="Z279" s="8"/>
    </row>
    <row r="280" spans="1:26" ht="12.75">
      <c r="A280" s="299"/>
      <c r="B280" s="300"/>
      <c r="C280" s="299"/>
      <c r="D280" s="299"/>
      <c r="E280" s="299"/>
      <c r="F280" s="299"/>
      <c r="G280" s="299"/>
      <c r="H280" s="1348"/>
      <c r="I280" s="299"/>
      <c r="J280" s="299"/>
      <c r="K280" s="299"/>
      <c r="L280" s="1336"/>
      <c r="M280" s="299"/>
      <c r="N280" s="299"/>
      <c r="O280" s="299"/>
      <c r="P280" s="299"/>
      <c r="Q280" s="299"/>
      <c r="R280" s="299"/>
      <c r="S280" s="299"/>
      <c r="T280" s="299"/>
      <c r="U280" s="299"/>
      <c r="V280" s="299"/>
      <c r="W280" s="8"/>
      <c r="X280" s="8"/>
      <c r="Y280" s="8"/>
      <c r="Z280" s="8"/>
    </row>
    <row r="281" spans="1:26" ht="12.75">
      <c r="A281" s="299"/>
      <c r="B281" s="300"/>
      <c r="C281" s="299"/>
      <c r="D281" s="299"/>
      <c r="E281" s="299"/>
      <c r="F281" s="299"/>
      <c r="G281" s="299"/>
      <c r="H281" s="1348"/>
      <c r="I281" s="299"/>
      <c r="J281" s="299"/>
      <c r="K281" s="299"/>
      <c r="L281" s="1336"/>
      <c r="M281" s="299"/>
      <c r="N281" s="299"/>
      <c r="O281" s="299"/>
      <c r="P281" s="299"/>
      <c r="Q281" s="299"/>
      <c r="R281" s="299"/>
      <c r="S281" s="299"/>
      <c r="T281" s="299"/>
      <c r="U281" s="299"/>
      <c r="V281" s="299"/>
      <c r="W281" s="8"/>
      <c r="X281" s="8"/>
      <c r="Y281" s="8"/>
      <c r="Z281" s="8"/>
    </row>
    <row r="282" spans="1:26" ht="12.75">
      <c r="A282" s="299"/>
      <c r="B282" s="300"/>
      <c r="C282" s="299"/>
      <c r="D282" s="299"/>
      <c r="E282" s="299"/>
      <c r="F282" s="299"/>
      <c r="G282" s="299"/>
      <c r="H282" s="1348"/>
      <c r="I282" s="299"/>
      <c r="J282" s="299"/>
      <c r="K282" s="299"/>
      <c r="L282" s="1336"/>
      <c r="M282" s="299"/>
      <c r="N282" s="299"/>
      <c r="O282" s="299"/>
      <c r="P282" s="299"/>
      <c r="Q282" s="299"/>
      <c r="R282" s="299"/>
      <c r="S282" s="299"/>
      <c r="T282" s="299"/>
      <c r="U282" s="299"/>
      <c r="V282" s="299"/>
      <c r="W282" s="8"/>
      <c r="X282" s="8"/>
      <c r="Y282" s="8"/>
      <c r="Z282" s="8"/>
    </row>
    <row r="283" spans="1:26" ht="12.75">
      <c r="A283" s="299"/>
      <c r="B283" s="300"/>
      <c r="C283" s="299"/>
      <c r="D283" s="299"/>
      <c r="E283" s="299"/>
      <c r="F283" s="299"/>
      <c r="G283" s="299"/>
      <c r="H283" s="1348"/>
      <c r="I283" s="299"/>
      <c r="J283" s="299"/>
      <c r="K283" s="299"/>
      <c r="L283" s="1336"/>
      <c r="M283" s="299"/>
      <c r="N283" s="299"/>
      <c r="O283" s="299"/>
      <c r="P283" s="299"/>
      <c r="Q283" s="299"/>
      <c r="R283" s="299"/>
      <c r="S283" s="299"/>
      <c r="T283" s="299"/>
      <c r="U283" s="299"/>
      <c r="V283" s="299"/>
      <c r="W283" s="8"/>
      <c r="X283" s="8"/>
      <c r="Y283" s="8"/>
      <c r="Z283" s="8"/>
    </row>
    <row r="284" spans="1:26" ht="12.75">
      <c r="A284" s="299"/>
      <c r="B284" s="300"/>
      <c r="C284" s="299"/>
      <c r="D284" s="299"/>
      <c r="E284" s="299"/>
      <c r="F284" s="299"/>
      <c r="G284" s="299"/>
      <c r="H284" s="1348"/>
      <c r="I284" s="299"/>
      <c r="J284" s="299"/>
      <c r="K284" s="299"/>
      <c r="L284" s="1336"/>
      <c r="M284" s="299"/>
      <c r="N284" s="299"/>
      <c r="O284" s="299"/>
      <c r="P284" s="299"/>
      <c r="Q284" s="299"/>
      <c r="R284" s="299"/>
      <c r="S284" s="299"/>
      <c r="T284" s="299"/>
      <c r="U284" s="299"/>
      <c r="V284" s="299"/>
      <c r="W284" s="8"/>
      <c r="X284" s="8"/>
      <c r="Y284" s="8"/>
      <c r="Z284" s="8"/>
    </row>
    <row r="285" spans="1:26" ht="12.75">
      <c r="A285" s="299"/>
      <c r="B285" s="300"/>
      <c r="C285" s="299"/>
      <c r="D285" s="299"/>
      <c r="E285" s="299"/>
      <c r="F285" s="299"/>
      <c r="G285" s="299"/>
      <c r="H285" s="1348"/>
      <c r="I285" s="299"/>
      <c r="J285" s="299"/>
      <c r="K285" s="299"/>
      <c r="L285" s="1336"/>
      <c r="M285" s="299"/>
      <c r="N285" s="299"/>
      <c r="O285" s="299"/>
      <c r="P285" s="299"/>
      <c r="Q285" s="299"/>
      <c r="R285" s="299"/>
      <c r="S285" s="299"/>
      <c r="T285" s="299"/>
      <c r="U285" s="299"/>
      <c r="V285" s="299"/>
      <c r="W285" s="8"/>
      <c r="X285" s="8"/>
      <c r="Y285" s="8"/>
      <c r="Z285" s="8"/>
    </row>
    <row r="286" spans="1:26" ht="12.75">
      <c r="A286" s="299"/>
      <c r="B286" s="300"/>
      <c r="C286" s="299"/>
      <c r="D286" s="299"/>
      <c r="E286" s="299"/>
      <c r="F286" s="299"/>
      <c r="G286" s="299"/>
      <c r="H286" s="1348"/>
      <c r="I286" s="299"/>
      <c r="J286" s="299"/>
      <c r="K286" s="299"/>
      <c r="L286" s="1336"/>
      <c r="M286" s="299"/>
      <c r="N286" s="299"/>
      <c r="O286" s="299"/>
      <c r="P286" s="299"/>
      <c r="Q286" s="299"/>
      <c r="R286" s="299"/>
      <c r="S286" s="299"/>
      <c r="T286" s="299"/>
      <c r="U286" s="299"/>
      <c r="V286" s="299"/>
      <c r="W286" s="8"/>
      <c r="X286" s="8"/>
      <c r="Y286" s="8"/>
      <c r="Z286" s="8"/>
    </row>
    <row r="287" spans="1:26" ht="12.75">
      <c r="A287" s="299"/>
      <c r="B287" s="300"/>
      <c r="C287" s="299"/>
      <c r="D287" s="299"/>
      <c r="E287" s="299"/>
      <c r="F287" s="299"/>
      <c r="G287" s="299"/>
      <c r="H287" s="1348"/>
      <c r="I287" s="299"/>
      <c r="J287" s="299"/>
      <c r="K287" s="299"/>
      <c r="L287" s="1336"/>
      <c r="M287" s="299"/>
      <c r="N287" s="299"/>
      <c r="O287" s="299"/>
      <c r="P287" s="299"/>
      <c r="Q287" s="299"/>
      <c r="R287" s="299"/>
      <c r="S287" s="299"/>
      <c r="T287" s="299"/>
      <c r="U287" s="299"/>
      <c r="V287" s="299"/>
      <c r="W287" s="8"/>
      <c r="X287" s="8"/>
      <c r="Y287" s="8"/>
      <c r="Z287" s="8"/>
    </row>
    <row r="288" spans="1:26" ht="12.75">
      <c r="A288" s="299"/>
      <c r="B288" s="300"/>
      <c r="C288" s="299"/>
      <c r="D288" s="299"/>
      <c r="E288" s="299"/>
      <c r="F288" s="299"/>
      <c r="G288" s="299"/>
      <c r="H288" s="1348"/>
      <c r="I288" s="299"/>
      <c r="J288" s="299"/>
      <c r="K288" s="299"/>
      <c r="L288" s="1336"/>
      <c r="M288" s="299"/>
      <c r="N288" s="299"/>
      <c r="O288" s="299"/>
      <c r="P288" s="299"/>
      <c r="Q288" s="299"/>
      <c r="R288" s="299"/>
      <c r="S288" s="299"/>
      <c r="T288" s="299"/>
      <c r="U288" s="299"/>
      <c r="V288" s="299"/>
      <c r="W288" s="8"/>
      <c r="X288" s="8"/>
      <c r="Y288" s="8"/>
      <c r="Z288" s="8"/>
    </row>
    <row r="289" spans="1:26" ht="12.75">
      <c r="A289" s="299"/>
      <c r="B289" s="300"/>
      <c r="C289" s="299"/>
      <c r="D289" s="299"/>
      <c r="E289" s="299"/>
      <c r="F289" s="299"/>
      <c r="G289" s="299"/>
      <c r="H289" s="1348"/>
      <c r="I289" s="299"/>
      <c r="J289" s="299"/>
      <c r="K289" s="299"/>
      <c r="L289" s="1336"/>
      <c r="M289" s="299"/>
      <c r="N289" s="299"/>
      <c r="O289" s="299"/>
      <c r="P289" s="299"/>
      <c r="Q289" s="299"/>
      <c r="R289" s="299"/>
      <c r="S289" s="299"/>
      <c r="T289" s="299"/>
      <c r="U289" s="299"/>
      <c r="V289" s="299"/>
      <c r="W289" s="8"/>
      <c r="X289" s="8"/>
      <c r="Y289" s="8"/>
      <c r="Z289" s="8"/>
    </row>
    <row r="290" spans="1:26" ht="12.75">
      <c r="A290" s="299"/>
      <c r="B290" s="300"/>
      <c r="C290" s="299"/>
      <c r="D290" s="299"/>
      <c r="E290" s="299"/>
      <c r="F290" s="299"/>
      <c r="G290" s="299"/>
      <c r="H290" s="1348"/>
      <c r="I290" s="299"/>
      <c r="J290" s="299"/>
      <c r="K290" s="299"/>
      <c r="L290" s="1336"/>
      <c r="M290" s="299"/>
      <c r="N290" s="299"/>
      <c r="O290" s="299"/>
      <c r="P290" s="299"/>
      <c r="Q290" s="299"/>
      <c r="R290" s="299"/>
      <c r="S290" s="299"/>
      <c r="T290" s="299"/>
      <c r="U290" s="299"/>
      <c r="V290" s="299"/>
      <c r="W290" s="8"/>
      <c r="X290" s="8"/>
      <c r="Y290" s="8"/>
      <c r="Z290" s="8"/>
    </row>
    <row r="291" spans="1:26" ht="12.75">
      <c r="A291" s="299"/>
      <c r="B291" s="300"/>
      <c r="C291" s="299"/>
      <c r="D291" s="299"/>
      <c r="E291" s="299"/>
      <c r="F291" s="299"/>
      <c r="G291" s="299"/>
      <c r="H291" s="1348"/>
      <c r="I291" s="299"/>
      <c r="J291" s="299"/>
      <c r="K291" s="299"/>
      <c r="L291" s="1336"/>
      <c r="M291" s="299"/>
      <c r="N291" s="299"/>
      <c r="O291" s="299"/>
      <c r="P291" s="299"/>
      <c r="Q291" s="299"/>
      <c r="R291" s="299"/>
      <c r="S291" s="299"/>
      <c r="T291" s="299"/>
      <c r="U291" s="299"/>
      <c r="V291" s="299"/>
      <c r="W291" s="8"/>
      <c r="X291" s="8"/>
      <c r="Y291" s="8"/>
      <c r="Z291" s="8"/>
    </row>
    <row r="292" spans="1:26" ht="12.75">
      <c r="A292" s="299"/>
      <c r="B292" s="300"/>
      <c r="C292" s="299"/>
      <c r="D292" s="299"/>
      <c r="E292" s="299"/>
      <c r="F292" s="299"/>
      <c r="G292" s="299"/>
      <c r="H292" s="1348"/>
      <c r="I292" s="299"/>
      <c r="J292" s="299"/>
      <c r="K292" s="299"/>
      <c r="L292" s="1336"/>
      <c r="M292" s="299"/>
      <c r="N292" s="299"/>
      <c r="O292" s="299"/>
      <c r="P292" s="299"/>
      <c r="Q292" s="299"/>
      <c r="R292" s="299"/>
      <c r="S292" s="299"/>
      <c r="T292" s="299"/>
      <c r="U292" s="299"/>
      <c r="V292" s="299"/>
      <c r="W292" s="8"/>
      <c r="X292" s="8"/>
      <c r="Y292" s="8"/>
      <c r="Z292" s="8"/>
    </row>
    <row r="293" spans="1:26" ht="12.75">
      <c r="A293" s="299"/>
      <c r="B293" s="300"/>
      <c r="C293" s="299"/>
      <c r="D293" s="299"/>
      <c r="E293" s="299"/>
      <c r="F293" s="299"/>
      <c r="G293" s="299"/>
      <c r="H293" s="1348"/>
      <c r="I293" s="299"/>
      <c r="J293" s="299"/>
      <c r="K293" s="299"/>
      <c r="L293" s="1336"/>
      <c r="M293" s="299"/>
      <c r="N293" s="299"/>
      <c r="O293" s="299"/>
      <c r="P293" s="299"/>
      <c r="Q293" s="299"/>
      <c r="R293" s="299"/>
      <c r="S293" s="299"/>
      <c r="T293" s="299"/>
      <c r="U293" s="299"/>
      <c r="V293" s="299"/>
      <c r="W293" s="8"/>
      <c r="X293" s="8"/>
      <c r="Y293" s="8"/>
      <c r="Z293" s="8"/>
    </row>
    <row r="294" spans="1:26" ht="12.75">
      <c r="A294" s="299"/>
      <c r="B294" s="300"/>
      <c r="C294" s="299"/>
      <c r="D294" s="299"/>
      <c r="E294" s="299"/>
      <c r="F294" s="299"/>
      <c r="G294" s="299"/>
      <c r="H294" s="1348"/>
      <c r="I294" s="299"/>
      <c r="J294" s="299"/>
      <c r="K294" s="299"/>
      <c r="L294" s="1336"/>
      <c r="M294" s="299"/>
      <c r="N294" s="299"/>
      <c r="O294" s="299"/>
      <c r="P294" s="299"/>
      <c r="Q294" s="299"/>
      <c r="R294" s="299"/>
      <c r="S294" s="299"/>
      <c r="T294" s="299"/>
      <c r="U294" s="299"/>
      <c r="V294" s="299"/>
      <c r="W294" s="8"/>
      <c r="X294" s="8"/>
      <c r="Y294" s="8"/>
      <c r="Z294" s="8"/>
    </row>
    <row r="295" spans="1:26" ht="12.75">
      <c r="A295" s="299"/>
      <c r="B295" s="300"/>
      <c r="C295" s="299"/>
      <c r="D295" s="299"/>
      <c r="E295" s="299"/>
      <c r="F295" s="299"/>
      <c r="G295" s="299"/>
      <c r="H295" s="1348"/>
      <c r="I295" s="299"/>
      <c r="J295" s="299"/>
      <c r="K295" s="299"/>
      <c r="L295" s="1336"/>
      <c r="M295" s="299"/>
      <c r="N295" s="299"/>
      <c r="O295" s="299"/>
      <c r="P295" s="299"/>
      <c r="Q295" s="299"/>
      <c r="R295" s="299"/>
      <c r="S295" s="299"/>
      <c r="T295" s="299"/>
      <c r="U295" s="299"/>
      <c r="V295" s="299"/>
      <c r="W295" s="8"/>
      <c r="X295" s="8"/>
      <c r="Y295" s="8"/>
      <c r="Z295" s="8"/>
    </row>
    <row r="296" spans="1:26" ht="12.75">
      <c r="A296" s="299"/>
      <c r="B296" s="300"/>
      <c r="C296" s="299"/>
      <c r="D296" s="299"/>
      <c r="E296" s="299"/>
      <c r="F296" s="299"/>
      <c r="G296" s="299"/>
      <c r="H296" s="1348"/>
      <c r="I296" s="299"/>
      <c r="J296" s="299"/>
      <c r="K296" s="299"/>
      <c r="L296" s="1336"/>
      <c r="M296" s="299"/>
      <c r="N296" s="299"/>
      <c r="O296" s="299"/>
      <c r="P296" s="299"/>
      <c r="Q296" s="299"/>
      <c r="R296" s="299"/>
      <c r="S296" s="299"/>
      <c r="T296" s="299"/>
      <c r="U296" s="299"/>
      <c r="V296" s="299"/>
      <c r="W296" s="8"/>
      <c r="X296" s="8"/>
      <c r="Y296" s="8"/>
      <c r="Z296" s="8"/>
    </row>
    <row r="297" spans="1:26" ht="12.75">
      <c r="A297" s="299"/>
      <c r="B297" s="300"/>
      <c r="C297" s="299"/>
      <c r="D297" s="299"/>
      <c r="E297" s="299"/>
      <c r="F297" s="299"/>
      <c r="G297" s="299"/>
      <c r="H297" s="1348"/>
      <c r="I297" s="299"/>
      <c r="J297" s="299"/>
      <c r="K297" s="299"/>
      <c r="L297" s="1336"/>
      <c r="M297" s="299"/>
      <c r="N297" s="299"/>
      <c r="O297" s="299"/>
      <c r="P297" s="299"/>
      <c r="Q297" s="299"/>
      <c r="R297" s="299"/>
      <c r="S297" s="299"/>
      <c r="T297" s="299"/>
      <c r="U297" s="299"/>
      <c r="V297" s="299"/>
      <c r="W297" s="8"/>
      <c r="X297" s="8"/>
      <c r="Y297" s="8"/>
      <c r="Z297" s="8"/>
    </row>
    <row r="298" spans="1:26" ht="12.75">
      <c r="A298" s="299"/>
      <c r="B298" s="300"/>
      <c r="C298" s="299"/>
      <c r="D298" s="299"/>
      <c r="E298" s="299"/>
      <c r="F298" s="299"/>
      <c r="G298" s="299"/>
      <c r="H298" s="1348"/>
      <c r="I298" s="299"/>
      <c r="J298" s="299"/>
      <c r="K298" s="299"/>
      <c r="L298" s="1336"/>
      <c r="M298" s="299"/>
      <c r="N298" s="299"/>
      <c r="O298" s="299"/>
      <c r="P298" s="299"/>
      <c r="Q298" s="299"/>
      <c r="R298" s="299"/>
      <c r="S298" s="299"/>
      <c r="T298" s="299"/>
      <c r="U298" s="299"/>
      <c r="V298" s="299"/>
      <c r="W298" s="8"/>
      <c r="X298" s="8"/>
      <c r="Y298" s="8"/>
      <c r="Z298" s="8"/>
    </row>
    <row r="299" spans="1:26" ht="12.75">
      <c r="A299" s="299"/>
      <c r="B299" s="300"/>
      <c r="C299" s="299"/>
      <c r="D299" s="299"/>
      <c r="E299" s="299"/>
      <c r="F299" s="299"/>
      <c r="G299" s="299"/>
      <c r="H299" s="1348"/>
      <c r="I299" s="299"/>
      <c r="J299" s="299"/>
      <c r="K299" s="299"/>
      <c r="L299" s="1336"/>
      <c r="M299" s="299"/>
      <c r="N299" s="299"/>
      <c r="O299" s="299"/>
      <c r="P299" s="299"/>
      <c r="Q299" s="299"/>
      <c r="R299" s="299"/>
      <c r="S299" s="299"/>
      <c r="T299" s="299"/>
      <c r="U299" s="299"/>
      <c r="V299" s="299"/>
      <c r="W299" s="8"/>
      <c r="X299" s="8"/>
      <c r="Y299" s="8"/>
      <c r="Z299" s="8"/>
    </row>
    <row r="300" spans="1:26" ht="12.75">
      <c r="A300" s="299"/>
      <c r="B300" s="300"/>
      <c r="C300" s="299"/>
      <c r="D300" s="299"/>
      <c r="E300" s="299"/>
      <c r="F300" s="299"/>
      <c r="G300" s="299"/>
      <c r="H300" s="1348"/>
      <c r="I300" s="299"/>
      <c r="J300" s="299"/>
      <c r="K300" s="299"/>
      <c r="L300" s="1336"/>
      <c r="M300" s="299"/>
      <c r="N300" s="299"/>
      <c r="O300" s="299"/>
      <c r="P300" s="299"/>
      <c r="Q300" s="299"/>
      <c r="R300" s="299"/>
      <c r="S300" s="299"/>
      <c r="T300" s="299"/>
      <c r="U300" s="299"/>
      <c r="V300" s="299"/>
      <c r="W300" s="8"/>
      <c r="X300" s="8"/>
      <c r="Y300" s="8"/>
      <c r="Z300" s="8"/>
    </row>
    <row r="301" spans="1:26" ht="12.75">
      <c r="A301" s="299"/>
      <c r="B301" s="300"/>
      <c r="C301" s="299"/>
      <c r="D301" s="299"/>
      <c r="E301" s="299"/>
      <c r="F301" s="299"/>
      <c r="G301" s="299"/>
      <c r="H301" s="1348"/>
      <c r="I301" s="299"/>
      <c r="J301" s="299"/>
      <c r="K301" s="299"/>
      <c r="L301" s="1336"/>
      <c r="M301" s="299"/>
      <c r="N301" s="299"/>
      <c r="O301" s="299"/>
      <c r="P301" s="299"/>
      <c r="Q301" s="299"/>
      <c r="R301" s="299"/>
      <c r="S301" s="299"/>
      <c r="T301" s="299"/>
      <c r="U301" s="299"/>
      <c r="V301" s="299"/>
      <c r="W301" s="8"/>
      <c r="X301" s="8"/>
      <c r="Y301" s="8"/>
      <c r="Z301" s="8"/>
    </row>
    <row r="302" spans="1:26" ht="12.75">
      <c r="A302" s="299"/>
      <c r="B302" s="300"/>
      <c r="C302" s="299"/>
      <c r="D302" s="299"/>
      <c r="E302" s="299"/>
      <c r="F302" s="299"/>
      <c r="G302" s="299"/>
      <c r="H302" s="1348"/>
      <c r="I302" s="299"/>
      <c r="J302" s="299"/>
      <c r="K302" s="299"/>
      <c r="L302" s="1336"/>
      <c r="M302" s="299"/>
      <c r="N302" s="299"/>
      <c r="O302" s="299"/>
      <c r="P302" s="299"/>
      <c r="Q302" s="299"/>
      <c r="R302" s="299"/>
      <c r="S302" s="299"/>
      <c r="T302" s="299"/>
      <c r="U302" s="299"/>
      <c r="V302" s="299"/>
      <c r="W302" s="8"/>
      <c r="X302" s="8"/>
      <c r="Y302" s="8"/>
      <c r="Z302" s="8"/>
    </row>
    <row r="303" spans="1:26" ht="12.75">
      <c r="A303" s="299"/>
      <c r="B303" s="300"/>
      <c r="C303" s="299"/>
      <c r="D303" s="299"/>
      <c r="E303" s="299"/>
      <c r="F303" s="299"/>
      <c r="G303" s="299"/>
      <c r="H303" s="1348"/>
      <c r="I303" s="299"/>
      <c r="J303" s="299"/>
      <c r="K303" s="299"/>
      <c r="L303" s="1336"/>
      <c r="M303" s="299"/>
      <c r="N303" s="299"/>
      <c r="O303" s="299"/>
      <c r="P303" s="299"/>
      <c r="Q303" s="299"/>
      <c r="R303" s="299"/>
      <c r="S303" s="299"/>
      <c r="T303" s="299"/>
      <c r="U303" s="299"/>
      <c r="V303" s="299"/>
      <c r="W303" s="8"/>
      <c r="X303" s="8"/>
      <c r="Y303" s="8"/>
      <c r="Z303" s="8"/>
    </row>
    <row r="304" spans="1:26" ht="12.75">
      <c r="A304" s="299"/>
      <c r="B304" s="300"/>
      <c r="C304" s="299"/>
      <c r="D304" s="299"/>
      <c r="E304" s="299"/>
      <c r="F304" s="299"/>
      <c r="G304" s="299"/>
      <c r="H304" s="1348"/>
      <c r="I304" s="299"/>
      <c r="J304" s="299"/>
      <c r="K304" s="299"/>
      <c r="L304" s="1336"/>
      <c r="M304" s="299"/>
      <c r="N304" s="299"/>
      <c r="O304" s="299"/>
      <c r="P304" s="299"/>
      <c r="Q304" s="299"/>
      <c r="R304" s="299"/>
      <c r="S304" s="299"/>
      <c r="T304" s="299"/>
      <c r="U304" s="299"/>
      <c r="V304" s="299"/>
      <c r="W304" s="8"/>
      <c r="X304" s="8"/>
      <c r="Y304" s="8"/>
      <c r="Z304" s="8"/>
    </row>
    <row r="305" spans="1:26" ht="12.75">
      <c r="A305" s="299"/>
      <c r="B305" s="300"/>
      <c r="C305" s="299"/>
      <c r="D305" s="299"/>
      <c r="E305" s="299"/>
      <c r="F305" s="299"/>
      <c r="G305" s="299"/>
      <c r="H305" s="1348"/>
      <c r="I305" s="299"/>
      <c r="J305" s="299"/>
      <c r="K305" s="299"/>
      <c r="L305" s="1336"/>
      <c r="M305" s="299"/>
      <c r="N305" s="299"/>
      <c r="O305" s="299"/>
      <c r="P305" s="299"/>
      <c r="Q305" s="299"/>
      <c r="R305" s="299"/>
      <c r="S305" s="299"/>
      <c r="T305" s="299"/>
      <c r="U305" s="299"/>
      <c r="V305" s="299"/>
      <c r="W305" s="8"/>
      <c r="X305" s="8"/>
      <c r="Y305" s="8"/>
      <c r="Z305" s="8"/>
    </row>
    <row r="306" spans="1:26" ht="12.75">
      <c r="A306" s="299"/>
      <c r="B306" s="300"/>
      <c r="C306" s="299"/>
      <c r="D306" s="299"/>
      <c r="E306" s="299"/>
      <c r="F306" s="299"/>
      <c r="G306" s="299"/>
      <c r="H306" s="1348"/>
      <c r="I306" s="299"/>
      <c r="J306" s="299"/>
      <c r="K306" s="299"/>
      <c r="L306" s="1336"/>
      <c r="M306" s="299"/>
      <c r="N306" s="299"/>
      <c r="O306" s="299"/>
      <c r="P306" s="299"/>
      <c r="Q306" s="299"/>
      <c r="R306" s="299"/>
      <c r="S306" s="299"/>
      <c r="T306" s="299"/>
      <c r="U306" s="299"/>
      <c r="V306" s="299"/>
      <c r="W306" s="8"/>
      <c r="X306" s="8"/>
      <c r="Y306" s="8"/>
      <c r="Z306" s="8"/>
    </row>
    <row r="307" spans="1:26" ht="12.75">
      <c r="A307" s="299"/>
      <c r="B307" s="300"/>
      <c r="C307" s="299"/>
      <c r="D307" s="299"/>
      <c r="E307" s="299"/>
      <c r="F307" s="299"/>
      <c r="G307" s="299"/>
      <c r="H307" s="1348"/>
      <c r="I307" s="299"/>
      <c r="J307" s="299"/>
      <c r="K307" s="299"/>
      <c r="L307" s="1336"/>
      <c r="M307" s="299"/>
      <c r="N307" s="299"/>
      <c r="O307" s="299"/>
      <c r="P307" s="299"/>
      <c r="Q307" s="299"/>
      <c r="R307" s="299"/>
      <c r="S307" s="299"/>
      <c r="T307" s="299"/>
      <c r="U307" s="299"/>
      <c r="V307" s="299"/>
      <c r="W307" s="8"/>
      <c r="X307" s="8"/>
      <c r="Y307" s="8"/>
      <c r="Z307" s="8"/>
    </row>
    <row r="308" spans="1:26" ht="12.75">
      <c r="A308" s="299"/>
      <c r="B308" s="300"/>
      <c r="C308" s="299"/>
      <c r="D308" s="299"/>
      <c r="E308" s="299"/>
      <c r="F308" s="299"/>
      <c r="G308" s="299"/>
      <c r="H308" s="1348"/>
      <c r="I308" s="299"/>
      <c r="J308" s="299"/>
      <c r="K308" s="299"/>
      <c r="L308" s="1336"/>
      <c r="M308" s="299"/>
      <c r="N308" s="299"/>
      <c r="O308" s="299"/>
      <c r="P308" s="299"/>
      <c r="Q308" s="299"/>
      <c r="R308" s="299"/>
      <c r="S308" s="299"/>
      <c r="T308" s="299"/>
      <c r="U308" s="299"/>
      <c r="V308" s="299"/>
      <c r="W308" s="8"/>
      <c r="X308" s="8"/>
      <c r="Y308" s="8"/>
      <c r="Z308" s="8"/>
    </row>
    <row r="309" spans="1:26" ht="12.75">
      <c r="A309" s="299"/>
      <c r="B309" s="300"/>
      <c r="C309" s="299"/>
      <c r="D309" s="299"/>
      <c r="E309" s="299"/>
      <c r="F309" s="299"/>
      <c r="G309" s="299"/>
      <c r="H309" s="1348"/>
      <c r="I309" s="299"/>
      <c r="J309" s="299"/>
      <c r="K309" s="299"/>
      <c r="L309" s="1336"/>
      <c r="M309" s="299"/>
      <c r="N309" s="299"/>
      <c r="O309" s="299"/>
      <c r="P309" s="299"/>
      <c r="Q309" s="299"/>
      <c r="R309" s="299"/>
      <c r="S309" s="299"/>
      <c r="T309" s="299"/>
      <c r="U309" s="299"/>
      <c r="V309" s="299"/>
      <c r="W309" s="8"/>
      <c r="X309" s="8"/>
      <c r="Y309" s="8"/>
      <c r="Z309" s="8"/>
    </row>
    <row r="310" spans="1:26" ht="12.75">
      <c r="A310" s="299"/>
      <c r="B310" s="300"/>
      <c r="C310" s="299"/>
      <c r="D310" s="299"/>
      <c r="E310" s="299"/>
      <c r="F310" s="299"/>
      <c r="G310" s="299"/>
      <c r="H310" s="1348"/>
      <c r="I310" s="299"/>
      <c r="J310" s="299"/>
      <c r="K310" s="299"/>
      <c r="L310" s="1336"/>
      <c r="M310" s="299"/>
      <c r="N310" s="299"/>
      <c r="O310" s="299"/>
      <c r="P310" s="299"/>
      <c r="Q310" s="299"/>
      <c r="R310" s="299"/>
      <c r="S310" s="299"/>
      <c r="T310" s="299"/>
      <c r="U310" s="299"/>
      <c r="V310" s="299"/>
      <c r="W310" s="8"/>
      <c r="X310" s="8"/>
      <c r="Y310" s="8"/>
      <c r="Z310" s="8"/>
    </row>
    <row r="311" spans="1:26" ht="12.75">
      <c r="A311" s="299"/>
      <c r="B311" s="300"/>
      <c r="C311" s="299"/>
      <c r="D311" s="299"/>
      <c r="E311" s="299"/>
      <c r="F311" s="299"/>
      <c r="G311" s="299"/>
      <c r="H311" s="1348"/>
      <c r="I311" s="299"/>
      <c r="J311" s="299"/>
      <c r="K311" s="299"/>
      <c r="L311" s="1336"/>
      <c r="M311" s="299"/>
      <c r="N311" s="299"/>
      <c r="O311" s="299"/>
      <c r="P311" s="299"/>
      <c r="Q311" s="299"/>
      <c r="R311" s="299"/>
      <c r="S311" s="299"/>
      <c r="T311" s="299"/>
      <c r="U311" s="299"/>
      <c r="V311" s="299"/>
      <c r="W311" s="8"/>
      <c r="X311" s="8"/>
      <c r="Y311" s="8"/>
      <c r="Z311" s="8"/>
    </row>
    <row r="312" spans="1:26" ht="12.75">
      <c r="A312" s="299"/>
      <c r="B312" s="300"/>
      <c r="C312" s="299"/>
      <c r="D312" s="299"/>
      <c r="E312" s="299"/>
      <c r="F312" s="299"/>
      <c r="G312" s="299"/>
      <c r="H312" s="1348"/>
      <c r="I312" s="299"/>
      <c r="J312" s="299"/>
      <c r="K312" s="299"/>
      <c r="L312" s="1336"/>
      <c r="M312" s="299"/>
      <c r="N312" s="299"/>
      <c r="O312" s="299"/>
      <c r="P312" s="299"/>
      <c r="Q312" s="299"/>
      <c r="R312" s="299"/>
      <c r="S312" s="299"/>
      <c r="T312" s="299"/>
      <c r="U312" s="299"/>
      <c r="V312" s="299"/>
      <c r="W312" s="8"/>
      <c r="X312" s="8"/>
      <c r="Y312" s="8"/>
      <c r="Z312" s="8"/>
    </row>
    <row r="313" spans="1:26" ht="12.75">
      <c r="A313" s="299"/>
      <c r="B313" s="300"/>
      <c r="C313" s="299"/>
      <c r="D313" s="299"/>
      <c r="E313" s="299"/>
      <c r="F313" s="299"/>
      <c r="G313" s="299"/>
      <c r="H313" s="1348"/>
      <c r="I313" s="299"/>
      <c r="J313" s="299"/>
      <c r="K313" s="299"/>
      <c r="L313" s="1336"/>
      <c r="M313" s="299"/>
      <c r="N313" s="299"/>
      <c r="O313" s="299"/>
      <c r="P313" s="299"/>
      <c r="Q313" s="299"/>
      <c r="R313" s="299"/>
      <c r="S313" s="299"/>
      <c r="T313" s="299"/>
      <c r="U313" s="299"/>
      <c r="V313" s="299"/>
      <c r="W313" s="8"/>
      <c r="X313" s="8"/>
      <c r="Y313" s="8"/>
      <c r="Z313" s="8"/>
    </row>
    <row r="314" spans="1:26" ht="12.75">
      <c r="A314" s="299"/>
      <c r="B314" s="300"/>
      <c r="C314" s="299"/>
      <c r="D314" s="299"/>
      <c r="E314" s="299"/>
      <c r="F314" s="299"/>
      <c r="G314" s="299"/>
      <c r="H314" s="1348"/>
      <c r="I314" s="299"/>
      <c r="J314" s="299"/>
      <c r="K314" s="299"/>
      <c r="L314" s="1336"/>
      <c r="M314" s="299"/>
      <c r="N314" s="299"/>
      <c r="O314" s="299"/>
      <c r="P314" s="299"/>
      <c r="Q314" s="299"/>
      <c r="R314" s="299"/>
      <c r="S314" s="299"/>
      <c r="T314" s="299"/>
      <c r="U314" s="299"/>
      <c r="V314" s="299"/>
      <c r="W314" s="8"/>
      <c r="X314" s="8"/>
      <c r="Y314" s="8"/>
      <c r="Z314" s="8"/>
    </row>
    <row r="315" spans="1:26" ht="12.75">
      <c r="A315" s="299"/>
      <c r="B315" s="300"/>
      <c r="C315" s="299"/>
      <c r="D315" s="299"/>
      <c r="E315" s="299"/>
      <c r="F315" s="299"/>
      <c r="G315" s="299"/>
      <c r="H315" s="1348"/>
      <c r="I315" s="299"/>
      <c r="J315" s="299"/>
      <c r="K315" s="299"/>
      <c r="L315" s="1336"/>
      <c r="M315" s="299"/>
      <c r="N315" s="299"/>
      <c r="O315" s="299"/>
      <c r="P315" s="299"/>
      <c r="Q315" s="299"/>
      <c r="R315" s="299"/>
      <c r="S315" s="299"/>
      <c r="T315" s="299"/>
      <c r="U315" s="299"/>
      <c r="V315" s="299"/>
      <c r="W315" s="8"/>
      <c r="X315" s="8"/>
      <c r="Y315" s="8"/>
      <c r="Z315" s="8"/>
    </row>
    <row r="316" spans="1:26" ht="12.75">
      <c r="A316" s="299"/>
      <c r="B316" s="300"/>
      <c r="C316" s="299"/>
      <c r="D316" s="299"/>
      <c r="E316" s="299"/>
      <c r="F316" s="299"/>
      <c r="G316" s="299"/>
      <c r="H316" s="1348"/>
      <c r="I316" s="299"/>
      <c r="J316" s="299"/>
      <c r="K316" s="299"/>
      <c r="L316" s="1336"/>
      <c r="M316" s="299"/>
      <c r="N316" s="299"/>
      <c r="O316" s="299"/>
      <c r="P316" s="299"/>
      <c r="Q316" s="299"/>
      <c r="R316" s="299"/>
      <c r="S316" s="299"/>
      <c r="T316" s="299"/>
      <c r="U316" s="299"/>
      <c r="V316" s="299"/>
      <c r="W316" s="8"/>
      <c r="X316" s="8"/>
      <c r="Y316" s="8"/>
      <c r="Z316" s="8"/>
    </row>
    <row r="317" spans="1:26" ht="12.75">
      <c r="A317" s="299"/>
      <c r="B317" s="300"/>
      <c r="C317" s="299"/>
      <c r="D317" s="299"/>
      <c r="E317" s="299"/>
      <c r="F317" s="299"/>
      <c r="G317" s="299"/>
      <c r="H317" s="1348"/>
      <c r="I317" s="299"/>
      <c r="J317" s="299"/>
      <c r="K317" s="299"/>
      <c r="L317" s="1336"/>
      <c r="M317" s="299"/>
      <c r="N317" s="299"/>
      <c r="O317" s="299"/>
      <c r="P317" s="299"/>
      <c r="Q317" s="299"/>
      <c r="R317" s="299"/>
      <c r="S317" s="299"/>
      <c r="T317" s="299"/>
      <c r="U317" s="299"/>
      <c r="V317" s="299"/>
      <c r="W317" s="8"/>
      <c r="X317" s="8"/>
      <c r="Y317" s="8"/>
      <c r="Z317" s="8"/>
    </row>
    <row r="318" spans="1:26" ht="12.75">
      <c r="A318" s="299"/>
      <c r="B318" s="300"/>
      <c r="C318" s="299"/>
      <c r="D318" s="299"/>
      <c r="E318" s="299"/>
      <c r="F318" s="299"/>
      <c r="G318" s="299"/>
      <c r="H318" s="1348"/>
      <c r="I318" s="299"/>
      <c r="J318" s="299"/>
      <c r="K318" s="299"/>
      <c r="L318" s="1336"/>
      <c r="M318" s="299"/>
      <c r="N318" s="299"/>
      <c r="O318" s="299"/>
      <c r="P318" s="299"/>
      <c r="Q318" s="299"/>
      <c r="R318" s="299"/>
      <c r="S318" s="299"/>
      <c r="T318" s="299"/>
      <c r="U318" s="299"/>
      <c r="V318" s="299"/>
      <c r="W318" s="8"/>
      <c r="X318" s="8"/>
      <c r="Y318" s="8"/>
      <c r="Z318" s="8"/>
    </row>
    <row r="319" spans="1:26" ht="12.75">
      <c r="A319" s="299"/>
      <c r="B319" s="300"/>
      <c r="C319" s="299"/>
      <c r="D319" s="299"/>
      <c r="E319" s="299"/>
      <c r="F319" s="299"/>
      <c r="G319" s="299"/>
      <c r="H319" s="1348"/>
      <c r="I319" s="299"/>
      <c r="J319" s="299"/>
      <c r="K319" s="299"/>
      <c r="L319" s="1336"/>
      <c r="M319" s="299"/>
      <c r="N319" s="299"/>
      <c r="O319" s="299"/>
      <c r="P319" s="299"/>
      <c r="Q319" s="299"/>
      <c r="R319" s="299"/>
      <c r="S319" s="299"/>
      <c r="T319" s="299"/>
      <c r="U319" s="299"/>
      <c r="V319" s="299"/>
      <c r="W319" s="8"/>
      <c r="X319" s="8"/>
      <c r="Y319" s="8"/>
      <c r="Z319" s="8"/>
    </row>
    <row r="320" spans="1:26" ht="12.75">
      <c r="A320" s="299"/>
      <c r="B320" s="300"/>
      <c r="C320" s="299"/>
      <c r="D320" s="299"/>
      <c r="E320" s="299"/>
      <c r="F320" s="299"/>
      <c r="G320" s="299"/>
      <c r="H320" s="1348"/>
      <c r="I320" s="299"/>
      <c r="J320" s="299"/>
      <c r="K320" s="299"/>
      <c r="L320" s="1336"/>
      <c r="M320" s="299"/>
      <c r="N320" s="299"/>
      <c r="O320" s="299"/>
      <c r="P320" s="299"/>
      <c r="Q320" s="299"/>
      <c r="R320" s="299"/>
      <c r="S320" s="299"/>
      <c r="T320" s="299"/>
      <c r="U320" s="299"/>
      <c r="V320" s="299"/>
      <c r="W320" s="8"/>
      <c r="X320" s="8"/>
      <c r="Y320" s="8"/>
      <c r="Z320" s="8"/>
    </row>
    <row r="321" spans="1:26" ht="12.75">
      <c r="A321" s="299"/>
      <c r="B321" s="300"/>
      <c r="C321" s="299"/>
      <c r="D321" s="299"/>
      <c r="E321" s="299"/>
      <c r="F321" s="299"/>
      <c r="G321" s="299"/>
      <c r="H321" s="1348"/>
      <c r="I321" s="299"/>
      <c r="J321" s="299"/>
      <c r="K321" s="299"/>
      <c r="L321" s="1336"/>
      <c r="M321" s="299"/>
      <c r="N321" s="299"/>
      <c r="O321" s="299"/>
      <c r="P321" s="299"/>
      <c r="Q321" s="299"/>
      <c r="R321" s="299"/>
      <c r="S321" s="299"/>
      <c r="T321" s="299"/>
      <c r="U321" s="299"/>
      <c r="V321" s="299"/>
      <c r="W321" s="8"/>
      <c r="X321" s="8"/>
      <c r="Y321" s="8"/>
      <c r="Z321" s="8"/>
    </row>
    <row r="322" spans="1:26" ht="12.75">
      <c r="A322" s="299"/>
      <c r="B322" s="300"/>
      <c r="C322" s="299"/>
      <c r="D322" s="299"/>
      <c r="E322" s="299"/>
      <c r="F322" s="299"/>
      <c r="G322" s="299"/>
      <c r="H322" s="1348"/>
      <c r="I322" s="299"/>
      <c r="J322" s="299"/>
      <c r="K322" s="299"/>
      <c r="L322" s="1336"/>
      <c r="M322" s="299"/>
      <c r="N322" s="299"/>
      <c r="O322" s="299"/>
      <c r="P322" s="299"/>
      <c r="Q322" s="299"/>
      <c r="R322" s="299"/>
      <c r="S322" s="299"/>
      <c r="T322" s="299"/>
      <c r="U322" s="299"/>
      <c r="V322" s="299"/>
      <c r="W322" s="8"/>
      <c r="X322" s="8"/>
      <c r="Y322" s="8"/>
      <c r="Z322" s="8"/>
    </row>
    <row r="323" spans="1:26" ht="12.75">
      <c r="A323" s="299"/>
      <c r="B323" s="300"/>
      <c r="C323" s="299"/>
      <c r="D323" s="299"/>
      <c r="E323" s="299"/>
      <c r="F323" s="299"/>
      <c r="G323" s="299"/>
      <c r="H323" s="1348"/>
      <c r="I323" s="299"/>
      <c r="J323" s="299"/>
      <c r="K323" s="299"/>
      <c r="L323" s="1336"/>
      <c r="M323" s="299"/>
      <c r="N323" s="299"/>
      <c r="O323" s="299"/>
      <c r="P323" s="299"/>
      <c r="Q323" s="299"/>
      <c r="R323" s="299"/>
      <c r="S323" s="299"/>
      <c r="T323" s="299"/>
      <c r="U323" s="299"/>
      <c r="V323" s="299"/>
      <c r="W323" s="8"/>
      <c r="X323" s="8"/>
      <c r="Y323" s="8"/>
      <c r="Z323" s="8"/>
    </row>
    <row r="324" spans="1:26" ht="12.75">
      <c r="A324" s="299"/>
      <c r="B324" s="300"/>
      <c r="C324" s="299"/>
      <c r="D324" s="299"/>
      <c r="E324" s="299"/>
      <c r="F324" s="299"/>
      <c r="G324" s="299"/>
      <c r="H324" s="1348"/>
      <c r="I324" s="299"/>
      <c r="J324" s="299"/>
      <c r="K324" s="299"/>
      <c r="L324" s="1336"/>
      <c r="M324" s="299"/>
      <c r="N324" s="299"/>
      <c r="O324" s="299"/>
      <c r="P324" s="299"/>
      <c r="Q324" s="299"/>
      <c r="R324" s="299"/>
      <c r="S324" s="299"/>
      <c r="T324" s="299"/>
      <c r="U324" s="299"/>
      <c r="V324" s="299"/>
      <c r="W324" s="8"/>
      <c r="X324" s="8"/>
      <c r="Y324" s="8"/>
      <c r="Z324" s="8"/>
    </row>
    <row r="325" spans="1:26" ht="12.75">
      <c r="A325" s="299"/>
      <c r="B325" s="300"/>
      <c r="C325" s="299"/>
      <c r="D325" s="299"/>
      <c r="E325" s="299"/>
      <c r="F325" s="299"/>
      <c r="G325" s="299"/>
      <c r="H325" s="1348"/>
      <c r="I325" s="299"/>
      <c r="J325" s="299"/>
      <c r="K325" s="299"/>
      <c r="L325" s="1336"/>
      <c r="M325" s="299"/>
      <c r="N325" s="299"/>
      <c r="O325" s="299"/>
      <c r="P325" s="299"/>
      <c r="Q325" s="299"/>
      <c r="R325" s="299"/>
      <c r="S325" s="299"/>
      <c r="T325" s="299"/>
      <c r="U325" s="299"/>
      <c r="V325" s="299"/>
      <c r="W325" s="8"/>
      <c r="X325" s="8"/>
      <c r="Y325" s="8"/>
      <c r="Z325" s="8"/>
    </row>
    <row r="326" spans="1:26" ht="12.75">
      <c r="A326" s="299"/>
      <c r="B326" s="300"/>
      <c r="C326" s="299"/>
      <c r="D326" s="299"/>
      <c r="E326" s="299"/>
      <c r="F326" s="299"/>
      <c r="G326" s="299"/>
      <c r="H326" s="1348"/>
      <c r="I326" s="299"/>
      <c r="J326" s="299"/>
      <c r="K326" s="299"/>
      <c r="L326" s="1336"/>
      <c r="M326" s="299"/>
      <c r="N326" s="299"/>
      <c r="O326" s="299"/>
      <c r="P326" s="299"/>
      <c r="Q326" s="299"/>
      <c r="R326" s="299"/>
      <c r="S326" s="299"/>
      <c r="T326" s="299"/>
      <c r="U326" s="299"/>
      <c r="V326" s="299"/>
      <c r="W326" s="8"/>
      <c r="X326" s="8"/>
      <c r="Y326" s="8"/>
      <c r="Z326" s="8"/>
    </row>
    <row r="327" spans="1:26" ht="12.75">
      <c r="A327" s="299"/>
      <c r="B327" s="300"/>
      <c r="C327" s="299"/>
      <c r="D327" s="299"/>
      <c r="E327" s="299"/>
      <c r="F327" s="299"/>
      <c r="G327" s="299"/>
      <c r="H327" s="1348"/>
      <c r="I327" s="299"/>
      <c r="J327" s="299"/>
      <c r="K327" s="299"/>
      <c r="L327" s="1336"/>
      <c r="M327" s="299"/>
      <c r="N327" s="299"/>
      <c r="O327" s="299"/>
      <c r="P327" s="299"/>
      <c r="Q327" s="299"/>
      <c r="R327" s="299"/>
      <c r="S327" s="299"/>
      <c r="T327" s="299"/>
      <c r="U327" s="299"/>
      <c r="V327" s="299"/>
      <c r="W327" s="8"/>
      <c r="X327" s="8"/>
      <c r="Y327" s="8"/>
      <c r="Z327" s="8"/>
    </row>
    <row r="328" spans="1:26" ht="12.75">
      <c r="A328" s="299"/>
      <c r="B328" s="300"/>
      <c r="C328" s="299"/>
      <c r="D328" s="299"/>
      <c r="E328" s="299"/>
      <c r="F328" s="299"/>
      <c r="G328" s="299"/>
      <c r="H328" s="1348"/>
      <c r="I328" s="299"/>
      <c r="J328" s="299"/>
      <c r="K328" s="299"/>
      <c r="L328" s="1336"/>
      <c r="M328" s="299"/>
      <c r="N328" s="299"/>
      <c r="O328" s="299"/>
      <c r="P328" s="299"/>
      <c r="Q328" s="299"/>
      <c r="R328" s="299"/>
      <c r="S328" s="299"/>
      <c r="T328" s="299"/>
      <c r="U328" s="299"/>
      <c r="V328" s="299"/>
      <c r="W328" s="8"/>
      <c r="X328" s="8"/>
      <c r="Y328" s="8"/>
      <c r="Z328" s="8"/>
    </row>
    <row r="329" spans="1:26" ht="12.75">
      <c r="A329" s="299"/>
      <c r="B329" s="300"/>
      <c r="C329" s="299"/>
      <c r="D329" s="299"/>
      <c r="E329" s="299"/>
      <c r="F329" s="299"/>
      <c r="G329" s="299"/>
      <c r="H329" s="1348"/>
      <c r="I329" s="299"/>
      <c r="J329" s="299"/>
      <c r="K329" s="299"/>
      <c r="L329" s="1336"/>
      <c r="M329" s="299"/>
      <c r="N329" s="299"/>
      <c r="O329" s="299"/>
      <c r="P329" s="299"/>
      <c r="Q329" s="299"/>
      <c r="R329" s="299"/>
      <c r="S329" s="299"/>
      <c r="T329" s="299"/>
      <c r="U329" s="299"/>
      <c r="V329" s="299"/>
      <c r="W329" s="8"/>
      <c r="X329" s="8"/>
      <c r="Y329" s="8"/>
      <c r="Z329" s="8"/>
    </row>
    <row r="330" spans="1:26" ht="12.75">
      <c r="A330" s="299"/>
      <c r="B330" s="300"/>
      <c r="C330" s="299"/>
      <c r="D330" s="299"/>
      <c r="E330" s="299"/>
      <c r="F330" s="299"/>
      <c r="G330" s="299"/>
      <c r="H330" s="1348"/>
      <c r="I330" s="299"/>
      <c r="J330" s="299"/>
      <c r="K330" s="299"/>
      <c r="L330" s="1336"/>
      <c r="M330" s="299"/>
      <c r="N330" s="299"/>
      <c r="O330" s="299"/>
      <c r="P330" s="299"/>
      <c r="Q330" s="299"/>
      <c r="R330" s="299"/>
      <c r="S330" s="299"/>
      <c r="T330" s="299"/>
      <c r="U330" s="299"/>
      <c r="V330" s="299"/>
      <c r="W330" s="8"/>
      <c r="X330" s="8"/>
      <c r="Y330" s="8"/>
      <c r="Z330" s="8"/>
    </row>
    <row r="331" spans="1:26" ht="12.75">
      <c r="A331" s="299"/>
      <c r="B331" s="300"/>
      <c r="C331" s="299"/>
      <c r="D331" s="299"/>
      <c r="E331" s="299"/>
      <c r="F331" s="299"/>
      <c r="G331" s="299"/>
      <c r="H331" s="1348"/>
      <c r="I331" s="299"/>
      <c r="J331" s="299"/>
      <c r="K331" s="299"/>
      <c r="L331" s="1336"/>
      <c r="M331" s="299"/>
      <c r="N331" s="299"/>
      <c r="O331" s="299"/>
      <c r="P331" s="299"/>
      <c r="Q331" s="299"/>
      <c r="R331" s="299"/>
      <c r="S331" s="299"/>
      <c r="T331" s="299"/>
      <c r="U331" s="299"/>
      <c r="V331" s="299"/>
      <c r="W331" s="8"/>
      <c r="X331" s="8"/>
      <c r="Y331" s="8"/>
      <c r="Z331" s="8"/>
    </row>
    <row r="332" spans="1:26" ht="12.75">
      <c r="A332" s="299"/>
      <c r="B332" s="300"/>
      <c r="C332" s="299"/>
      <c r="D332" s="299"/>
      <c r="E332" s="299"/>
      <c r="F332" s="299"/>
      <c r="G332" s="299"/>
      <c r="H332" s="1348"/>
      <c r="I332" s="299"/>
      <c r="J332" s="299"/>
      <c r="K332" s="299"/>
      <c r="L332" s="1336"/>
      <c r="M332" s="299"/>
      <c r="N332" s="299"/>
      <c r="O332" s="299"/>
      <c r="P332" s="299"/>
      <c r="Q332" s="299"/>
      <c r="R332" s="299"/>
      <c r="S332" s="299"/>
      <c r="T332" s="299"/>
      <c r="U332" s="299"/>
      <c r="V332" s="299"/>
      <c r="W332" s="8"/>
      <c r="X332" s="8"/>
      <c r="Y332" s="8"/>
      <c r="Z332" s="8"/>
    </row>
    <row r="333" spans="1:26" ht="12.75">
      <c r="A333" s="299"/>
      <c r="B333" s="300"/>
      <c r="C333" s="299"/>
      <c r="D333" s="299"/>
      <c r="E333" s="299"/>
      <c r="F333" s="299"/>
      <c r="G333" s="299"/>
      <c r="H333" s="1348"/>
      <c r="I333" s="299"/>
      <c r="J333" s="299"/>
      <c r="K333" s="299"/>
      <c r="L333" s="1336"/>
      <c r="M333" s="299"/>
      <c r="N333" s="299"/>
      <c r="O333" s="299"/>
      <c r="P333" s="299"/>
      <c r="Q333" s="299"/>
      <c r="R333" s="299"/>
      <c r="S333" s="299"/>
      <c r="T333" s="299"/>
      <c r="U333" s="299"/>
      <c r="V333" s="299"/>
      <c r="W333" s="8"/>
      <c r="X333" s="8"/>
      <c r="Y333" s="8"/>
      <c r="Z333" s="8"/>
    </row>
    <row r="334" spans="1:26" ht="12.75">
      <c r="A334" s="299"/>
      <c r="B334" s="300"/>
      <c r="C334" s="299"/>
      <c r="D334" s="299"/>
      <c r="E334" s="299"/>
      <c r="F334" s="299"/>
      <c r="G334" s="299"/>
      <c r="H334" s="1348"/>
      <c r="I334" s="299"/>
      <c r="J334" s="299"/>
      <c r="K334" s="299"/>
      <c r="L334" s="1336"/>
      <c r="M334" s="299"/>
      <c r="N334" s="299"/>
      <c r="O334" s="299"/>
      <c r="P334" s="299"/>
      <c r="Q334" s="299"/>
      <c r="R334" s="299"/>
      <c r="S334" s="299"/>
      <c r="T334" s="299"/>
      <c r="U334" s="299"/>
      <c r="V334" s="299"/>
      <c r="W334" s="8"/>
      <c r="X334" s="8"/>
      <c r="Y334" s="8"/>
      <c r="Z334" s="8"/>
    </row>
    <row r="335" spans="1:26" ht="12.75">
      <c r="A335" s="299"/>
      <c r="B335" s="300"/>
      <c r="C335" s="299"/>
      <c r="D335" s="299"/>
      <c r="E335" s="299"/>
      <c r="F335" s="299"/>
      <c r="G335" s="299"/>
      <c r="H335" s="1348"/>
      <c r="I335" s="299"/>
      <c r="J335" s="299"/>
      <c r="K335" s="299"/>
      <c r="L335" s="1336"/>
      <c r="M335" s="299"/>
      <c r="N335" s="299"/>
      <c r="O335" s="299"/>
      <c r="P335" s="299"/>
      <c r="Q335" s="299"/>
      <c r="R335" s="299"/>
      <c r="S335" s="299"/>
      <c r="T335" s="299"/>
      <c r="U335" s="299"/>
      <c r="V335" s="299"/>
      <c r="W335" s="8"/>
      <c r="X335" s="8"/>
      <c r="Y335" s="8"/>
      <c r="Z335" s="8"/>
    </row>
    <row r="336" spans="1:26" ht="12.75">
      <c r="A336" s="299"/>
      <c r="B336" s="300"/>
      <c r="C336" s="299"/>
      <c r="D336" s="299"/>
      <c r="E336" s="299"/>
      <c r="F336" s="299"/>
      <c r="G336" s="299"/>
      <c r="H336" s="1348"/>
      <c r="I336" s="299"/>
      <c r="J336" s="299"/>
      <c r="K336" s="299"/>
      <c r="L336" s="1336"/>
      <c r="M336" s="299"/>
      <c r="N336" s="299"/>
      <c r="O336" s="299"/>
      <c r="P336" s="299"/>
      <c r="Q336" s="299"/>
      <c r="R336" s="299"/>
      <c r="S336" s="299"/>
      <c r="T336" s="299"/>
      <c r="U336" s="299"/>
      <c r="V336" s="299"/>
      <c r="W336" s="8"/>
      <c r="X336" s="8"/>
      <c r="Y336" s="8"/>
      <c r="Z336" s="8"/>
    </row>
    <row r="337" spans="1:26" ht="12.75">
      <c r="A337" s="299"/>
      <c r="B337" s="300"/>
      <c r="C337" s="299"/>
      <c r="D337" s="299"/>
      <c r="E337" s="299"/>
      <c r="F337" s="299"/>
      <c r="G337" s="299"/>
      <c r="H337" s="1348"/>
      <c r="I337" s="299"/>
      <c r="J337" s="299"/>
      <c r="K337" s="299"/>
      <c r="L337" s="1336"/>
      <c r="M337" s="299"/>
      <c r="N337" s="299"/>
      <c r="O337" s="299"/>
      <c r="P337" s="299"/>
      <c r="Q337" s="299"/>
      <c r="R337" s="299"/>
      <c r="S337" s="299"/>
      <c r="T337" s="299"/>
      <c r="U337" s="299"/>
      <c r="V337" s="299"/>
      <c r="W337" s="8"/>
      <c r="X337" s="8"/>
      <c r="Y337" s="8"/>
      <c r="Z337" s="8"/>
    </row>
    <row r="338" spans="1:26" ht="12.75">
      <c r="A338" s="299"/>
      <c r="B338" s="300"/>
      <c r="C338" s="299"/>
      <c r="D338" s="299"/>
      <c r="E338" s="299"/>
      <c r="F338" s="299"/>
      <c r="G338" s="299"/>
      <c r="H338" s="1348"/>
      <c r="I338" s="299"/>
      <c r="J338" s="299"/>
      <c r="K338" s="299"/>
      <c r="L338" s="1336"/>
      <c r="M338" s="299"/>
      <c r="N338" s="299"/>
      <c r="O338" s="299"/>
      <c r="P338" s="299"/>
      <c r="Q338" s="299"/>
      <c r="R338" s="299"/>
      <c r="S338" s="299"/>
      <c r="T338" s="299"/>
      <c r="U338" s="299"/>
      <c r="V338" s="299"/>
      <c r="W338" s="8"/>
      <c r="X338" s="8"/>
      <c r="Y338" s="8"/>
      <c r="Z338" s="8"/>
    </row>
    <row r="339" spans="1:26" ht="12.75">
      <c r="A339" s="299"/>
      <c r="B339" s="300"/>
      <c r="C339" s="299"/>
      <c r="D339" s="299"/>
      <c r="E339" s="299"/>
      <c r="F339" s="299"/>
      <c r="G339" s="299"/>
      <c r="H339" s="1348"/>
      <c r="I339" s="299"/>
      <c r="J339" s="299"/>
      <c r="K339" s="299"/>
      <c r="L339" s="1336"/>
      <c r="M339" s="299"/>
      <c r="N339" s="299"/>
      <c r="O339" s="299"/>
      <c r="P339" s="299"/>
      <c r="Q339" s="299"/>
      <c r="R339" s="299"/>
      <c r="S339" s="299"/>
      <c r="T339" s="299"/>
      <c r="U339" s="299"/>
      <c r="V339" s="299"/>
      <c r="W339" s="8"/>
      <c r="X339" s="8"/>
      <c r="Y339" s="8"/>
      <c r="Z339" s="8"/>
    </row>
    <row r="340" spans="1:26" ht="12.75">
      <c r="A340" s="299"/>
      <c r="B340" s="300"/>
      <c r="C340" s="299"/>
      <c r="D340" s="299"/>
      <c r="E340" s="299"/>
      <c r="F340" s="299"/>
      <c r="G340" s="299"/>
      <c r="H340" s="1348"/>
      <c r="I340" s="299"/>
      <c r="J340" s="299"/>
      <c r="K340" s="299"/>
      <c r="L340" s="1336"/>
      <c r="M340" s="299"/>
      <c r="N340" s="299"/>
      <c r="O340" s="299"/>
      <c r="P340" s="299"/>
      <c r="Q340" s="299"/>
      <c r="R340" s="299"/>
      <c r="S340" s="299"/>
      <c r="T340" s="299"/>
      <c r="U340" s="299"/>
      <c r="V340" s="299"/>
      <c r="W340" s="8"/>
      <c r="X340" s="8"/>
      <c r="Y340" s="8"/>
      <c r="Z340" s="8"/>
    </row>
    <row r="341" spans="1:26" ht="12.75">
      <c r="A341" s="299"/>
      <c r="B341" s="300"/>
      <c r="C341" s="299"/>
      <c r="D341" s="299"/>
      <c r="E341" s="299"/>
      <c r="F341" s="299"/>
      <c r="G341" s="299"/>
      <c r="H341" s="1348"/>
      <c r="I341" s="299"/>
      <c r="J341" s="299"/>
      <c r="K341" s="299"/>
      <c r="L341" s="1336"/>
      <c r="M341" s="299"/>
      <c r="N341" s="299"/>
      <c r="O341" s="299"/>
      <c r="P341" s="299"/>
      <c r="Q341" s="299"/>
      <c r="R341" s="299"/>
      <c r="S341" s="299"/>
      <c r="T341" s="299"/>
      <c r="U341" s="299"/>
      <c r="V341" s="299"/>
      <c r="W341" s="8"/>
      <c r="X341" s="8"/>
      <c r="Y341" s="8"/>
      <c r="Z341" s="8"/>
    </row>
    <row r="342" spans="1:26" ht="12.75">
      <c r="A342" s="299"/>
      <c r="B342" s="300"/>
      <c r="C342" s="299"/>
      <c r="D342" s="299"/>
      <c r="E342" s="299"/>
      <c r="F342" s="299"/>
      <c r="G342" s="299"/>
      <c r="H342" s="1348"/>
      <c r="I342" s="299"/>
      <c r="J342" s="299"/>
      <c r="K342" s="299"/>
      <c r="L342" s="1336"/>
      <c r="M342" s="299"/>
      <c r="N342" s="299"/>
      <c r="O342" s="299"/>
      <c r="P342" s="299"/>
      <c r="Q342" s="299"/>
      <c r="R342" s="299"/>
      <c r="S342" s="299"/>
      <c r="T342" s="299"/>
      <c r="U342" s="299"/>
      <c r="V342" s="299"/>
      <c r="W342" s="8"/>
      <c r="X342" s="8"/>
      <c r="Y342" s="8"/>
      <c r="Z342" s="8"/>
    </row>
    <row r="343" spans="1:26" ht="12.75">
      <c r="A343" s="299"/>
      <c r="B343" s="300"/>
      <c r="C343" s="299"/>
      <c r="D343" s="299"/>
      <c r="E343" s="299"/>
      <c r="F343" s="299"/>
      <c r="G343" s="299"/>
      <c r="H343" s="1348"/>
      <c r="I343" s="299"/>
      <c r="J343" s="299"/>
      <c r="K343" s="299"/>
      <c r="L343" s="1336"/>
      <c r="M343" s="299"/>
      <c r="N343" s="299"/>
      <c r="O343" s="299"/>
      <c r="P343" s="299"/>
      <c r="Q343" s="299"/>
      <c r="R343" s="299"/>
      <c r="S343" s="299"/>
      <c r="T343" s="299"/>
      <c r="U343" s="299"/>
      <c r="V343" s="299"/>
      <c r="W343" s="8"/>
      <c r="X343" s="8"/>
      <c r="Y343" s="8"/>
      <c r="Z343" s="8"/>
    </row>
    <row r="344" spans="1:26" ht="12.75">
      <c r="A344" s="299"/>
      <c r="B344" s="300"/>
      <c r="C344" s="299"/>
      <c r="D344" s="299"/>
      <c r="E344" s="299"/>
      <c r="F344" s="299"/>
      <c r="G344" s="299"/>
      <c r="H344" s="1348"/>
      <c r="I344" s="299"/>
      <c r="J344" s="299"/>
      <c r="K344" s="299"/>
      <c r="L344" s="1336"/>
      <c r="M344" s="299"/>
      <c r="N344" s="299"/>
      <c r="O344" s="299"/>
      <c r="P344" s="299"/>
      <c r="Q344" s="299"/>
      <c r="R344" s="299"/>
      <c r="S344" s="299"/>
      <c r="T344" s="299"/>
      <c r="U344" s="299"/>
      <c r="V344" s="299"/>
      <c r="W344" s="8"/>
      <c r="X344" s="8"/>
      <c r="Y344" s="8"/>
      <c r="Z344" s="8"/>
    </row>
    <row r="345" spans="1:26" ht="12.75">
      <c r="A345" s="299"/>
      <c r="B345" s="300"/>
      <c r="C345" s="299"/>
      <c r="D345" s="299"/>
      <c r="E345" s="299"/>
      <c r="F345" s="299"/>
      <c r="G345" s="299"/>
      <c r="H345" s="1348"/>
      <c r="I345" s="299"/>
      <c r="J345" s="299"/>
      <c r="K345" s="299"/>
      <c r="L345" s="1336"/>
      <c r="M345" s="299"/>
      <c r="N345" s="299"/>
      <c r="O345" s="299"/>
      <c r="P345" s="299"/>
      <c r="Q345" s="299"/>
      <c r="R345" s="299"/>
      <c r="S345" s="299"/>
      <c r="T345" s="299"/>
      <c r="U345" s="299"/>
      <c r="V345" s="299"/>
      <c r="W345" s="8"/>
      <c r="X345" s="8"/>
      <c r="Y345" s="8"/>
      <c r="Z345" s="8"/>
    </row>
    <row r="346" spans="1:26" ht="12.75">
      <c r="A346" s="299"/>
      <c r="B346" s="300"/>
      <c r="C346" s="299"/>
      <c r="D346" s="299"/>
      <c r="E346" s="299"/>
      <c r="F346" s="299"/>
      <c r="G346" s="299"/>
      <c r="H346" s="1348"/>
      <c r="I346" s="299"/>
      <c r="J346" s="299"/>
      <c r="K346" s="299"/>
      <c r="L346" s="1336"/>
      <c r="M346" s="299"/>
      <c r="N346" s="299"/>
      <c r="O346" s="299"/>
      <c r="P346" s="299"/>
      <c r="Q346" s="299"/>
      <c r="R346" s="299"/>
      <c r="S346" s="299"/>
      <c r="T346" s="299"/>
      <c r="U346" s="299"/>
      <c r="V346" s="299"/>
      <c r="W346" s="8"/>
      <c r="X346" s="8"/>
      <c r="Y346" s="8"/>
      <c r="Z346" s="8"/>
    </row>
    <row r="347" spans="1:26" ht="12.75">
      <c r="A347" s="299"/>
      <c r="B347" s="300"/>
      <c r="C347" s="299"/>
      <c r="D347" s="299"/>
      <c r="E347" s="299"/>
      <c r="F347" s="299"/>
      <c r="G347" s="299"/>
      <c r="H347" s="1348"/>
      <c r="I347" s="299"/>
      <c r="J347" s="299"/>
      <c r="K347" s="299"/>
      <c r="L347" s="1336"/>
      <c r="M347" s="299"/>
      <c r="N347" s="299"/>
      <c r="O347" s="299"/>
      <c r="P347" s="299"/>
      <c r="Q347" s="299"/>
      <c r="R347" s="299"/>
      <c r="S347" s="299"/>
      <c r="T347" s="299"/>
      <c r="U347" s="299"/>
      <c r="V347" s="299"/>
      <c r="W347" s="8"/>
      <c r="X347" s="8"/>
      <c r="Y347" s="8"/>
      <c r="Z347" s="8"/>
    </row>
    <row r="348" spans="1:26" ht="12.75">
      <c r="A348" s="299"/>
      <c r="B348" s="300"/>
      <c r="C348" s="299"/>
      <c r="D348" s="299"/>
      <c r="E348" s="299"/>
      <c r="F348" s="299"/>
      <c r="G348" s="299"/>
      <c r="H348" s="1348"/>
      <c r="I348" s="299"/>
      <c r="J348" s="299"/>
      <c r="K348" s="299"/>
      <c r="L348" s="1336"/>
      <c r="M348" s="299"/>
      <c r="N348" s="299"/>
      <c r="O348" s="299"/>
      <c r="P348" s="299"/>
      <c r="Q348" s="299"/>
      <c r="R348" s="299"/>
      <c r="S348" s="299"/>
      <c r="T348" s="299"/>
      <c r="U348" s="299"/>
      <c r="V348" s="299"/>
      <c r="W348" s="8"/>
      <c r="X348" s="8"/>
      <c r="Y348" s="8"/>
      <c r="Z348" s="8"/>
    </row>
    <row r="349" spans="1:26" ht="12.75">
      <c r="A349" s="299"/>
      <c r="B349" s="300"/>
      <c r="C349" s="299"/>
      <c r="D349" s="299"/>
      <c r="E349" s="299"/>
      <c r="F349" s="299"/>
      <c r="G349" s="299"/>
      <c r="H349" s="1348"/>
      <c r="I349" s="299"/>
      <c r="J349" s="299"/>
      <c r="K349" s="299"/>
      <c r="L349" s="1336"/>
      <c r="M349" s="299"/>
      <c r="N349" s="299"/>
      <c r="O349" s="299"/>
      <c r="P349" s="299"/>
      <c r="Q349" s="299"/>
      <c r="R349" s="299"/>
      <c r="S349" s="299"/>
      <c r="T349" s="299"/>
      <c r="U349" s="299"/>
      <c r="V349" s="299"/>
      <c r="W349" s="8"/>
      <c r="X349" s="8"/>
      <c r="Y349" s="8"/>
      <c r="Z349" s="8"/>
    </row>
    <row r="350" spans="1:26" ht="12.75">
      <c r="A350" s="299"/>
      <c r="B350" s="300"/>
      <c r="C350" s="299"/>
      <c r="D350" s="299"/>
      <c r="E350" s="299"/>
      <c r="F350" s="299"/>
      <c r="G350" s="299"/>
      <c r="H350" s="1348"/>
      <c r="I350" s="299"/>
      <c r="J350" s="299"/>
      <c r="K350" s="299"/>
      <c r="L350" s="1336"/>
      <c r="M350" s="299"/>
      <c r="N350" s="299"/>
      <c r="O350" s="299"/>
      <c r="P350" s="299"/>
      <c r="Q350" s="299"/>
      <c r="R350" s="299"/>
      <c r="S350" s="299"/>
      <c r="T350" s="299"/>
      <c r="U350" s="299"/>
      <c r="V350" s="299"/>
      <c r="W350" s="8"/>
      <c r="X350" s="8"/>
      <c r="Y350" s="8"/>
      <c r="Z350" s="8"/>
    </row>
    <row r="351" spans="1:26" ht="12.75">
      <c r="A351" s="299"/>
      <c r="B351" s="300"/>
      <c r="C351" s="299"/>
      <c r="D351" s="299"/>
      <c r="E351" s="299"/>
      <c r="F351" s="299"/>
      <c r="G351" s="299"/>
      <c r="H351" s="1348"/>
      <c r="I351" s="299"/>
      <c r="J351" s="299"/>
      <c r="K351" s="299"/>
      <c r="L351" s="1336"/>
      <c r="M351" s="299"/>
      <c r="N351" s="299"/>
      <c r="O351" s="299"/>
      <c r="P351" s="299"/>
      <c r="Q351" s="299"/>
      <c r="R351" s="299"/>
      <c r="S351" s="299"/>
      <c r="T351" s="299"/>
      <c r="U351" s="299"/>
      <c r="V351" s="299"/>
      <c r="W351" s="8"/>
      <c r="X351" s="8"/>
      <c r="Y351" s="8"/>
      <c r="Z351" s="8"/>
    </row>
    <row r="352" spans="1:26" ht="12.75">
      <c r="A352" s="299"/>
      <c r="B352" s="300"/>
      <c r="C352" s="299"/>
      <c r="D352" s="299"/>
      <c r="E352" s="299"/>
      <c r="F352" s="299"/>
      <c r="G352" s="299"/>
      <c r="H352" s="1348"/>
      <c r="I352" s="299"/>
      <c r="J352" s="299"/>
      <c r="K352" s="299"/>
      <c r="L352" s="1336"/>
      <c r="M352" s="299"/>
      <c r="N352" s="299"/>
      <c r="O352" s="299"/>
      <c r="P352" s="299"/>
      <c r="Q352" s="299"/>
      <c r="R352" s="299"/>
      <c r="S352" s="299"/>
      <c r="T352" s="299"/>
      <c r="U352" s="299"/>
      <c r="V352" s="299"/>
      <c r="W352" s="8"/>
      <c r="X352" s="8"/>
      <c r="Y352" s="8"/>
      <c r="Z352" s="8"/>
    </row>
    <row r="353" spans="1:26" ht="12.75">
      <c r="A353" s="299"/>
      <c r="B353" s="300"/>
      <c r="C353" s="299"/>
      <c r="D353" s="299"/>
      <c r="E353" s="299"/>
      <c r="F353" s="299"/>
      <c r="G353" s="299"/>
      <c r="H353" s="1348"/>
      <c r="I353" s="299"/>
      <c r="J353" s="299"/>
      <c r="K353" s="299"/>
      <c r="L353" s="1336"/>
      <c r="M353" s="299"/>
      <c r="N353" s="299"/>
      <c r="O353" s="299"/>
      <c r="P353" s="299"/>
      <c r="Q353" s="299"/>
      <c r="R353" s="299"/>
      <c r="S353" s="299"/>
      <c r="T353" s="299"/>
      <c r="U353" s="299"/>
      <c r="V353" s="299"/>
      <c r="W353" s="8"/>
      <c r="X353" s="8"/>
      <c r="Y353" s="8"/>
      <c r="Z353" s="8"/>
    </row>
    <row r="354" spans="1:26" ht="12.75">
      <c r="A354" s="299"/>
      <c r="B354" s="300"/>
      <c r="C354" s="299"/>
      <c r="D354" s="299"/>
      <c r="E354" s="299"/>
      <c r="F354" s="299"/>
      <c r="G354" s="299"/>
      <c r="H354" s="1348"/>
      <c r="I354" s="299"/>
      <c r="J354" s="299"/>
      <c r="K354" s="299"/>
      <c r="L354" s="1336"/>
      <c r="M354" s="299"/>
      <c r="N354" s="299"/>
      <c r="O354" s="299"/>
      <c r="P354" s="299"/>
      <c r="Q354" s="299"/>
      <c r="R354" s="299"/>
      <c r="S354" s="299"/>
      <c r="T354" s="299"/>
      <c r="U354" s="299"/>
      <c r="V354" s="299"/>
      <c r="W354" s="8"/>
      <c r="X354" s="8"/>
      <c r="Y354" s="8"/>
      <c r="Z354" s="8"/>
    </row>
    <row r="355" spans="1:26" ht="12.75">
      <c r="A355" s="299"/>
      <c r="B355" s="300"/>
      <c r="C355" s="299"/>
      <c r="D355" s="299"/>
      <c r="E355" s="299"/>
      <c r="F355" s="299"/>
      <c r="G355" s="299"/>
      <c r="H355" s="1348"/>
      <c r="I355" s="299"/>
      <c r="J355" s="299"/>
      <c r="K355" s="299"/>
      <c r="L355" s="1336"/>
      <c r="M355" s="299"/>
      <c r="N355" s="299"/>
      <c r="O355" s="299"/>
      <c r="P355" s="299"/>
      <c r="Q355" s="299"/>
      <c r="R355" s="299"/>
      <c r="S355" s="299"/>
      <c r="T355" s="299"/>
      <c r="U355" s="299"/>
      <c r="V355" s="299"/>
      <c r="W355" s="8"/>
      <c r="X355" s="8"/>
      <c r="Y355" s="8"/>
      <c r="Z355" s="8"/>
    </row>
    <row r="356" spans="1:26" ht="12.75">
      <c r="A356" s="299"/>
      <c r="B356" s="300"/>
      <c r="C356" s="299"/>
      <c r="D356" s="299"/>
      <c r="E356" s="299"/>
      <c r="F356" s="299"/>
      <c r="G356" s="299"/>
      <c r="H356" s="1348"/>
      <c r="I356" s="299"/>
      <c r="J356" s="299"/>
      <c r="K356" s="299"/>
      <c r="L356" s="1336"/>
      <c r="M356" s="299"/>
      <c r="N356" s="299"/>
      <c r="O356" s="299"/>
      <c r="P356" s="299"/>
      <c r="Q356" s="299"/>
      <c r="R356" s="299"/>
      <c r="S356" s="299"/>
      <c r="T356" s="299"/>
      <c r="U356" s="299"/>
      <c r="V356" s="299"/>
      <c r="W356" s="8"/>
      <c r="X356" s="8"/>
      <c r="Y356" s="8"/>
      <c r="Z356" s="8"/>
    </row>
    <row r="357" spans="1:26" ht="12.75">
      <c r="A357" s="299"/>
      <c r="B357" s="300"/>
      <c r="C357" s="299"/>
      <c r="D357" s="299"/>
      <c r="E357" s="299"/>
      <c r="F357" s="299"/>
      <c r="G357" s="299"/>
      <c r="H357" s="1348"/>
      <c r="I357" s="299"/>
      <c r="J357" s="299"/>
      <c r="K357" s="299"/>
      <c r="L357" s="1336"/>
      <c r="M357" s="299"/>
      <c r="N357" s="299"/>
      <c r="O357" s="299"/>
      <c r="P357" s="299"/>
      <c r="Q357" s="299"/>
      <c r="R357" s="299"/>
      <c r="S357" s="299"/>
      <c r="T357" s="299"/>
      <c r="U357" s="299"/>
      <c r="V357" s="299"/>
      <c r="W357" s="8"/>
      <c r="X357" s="8"/>
      <c r="Y357" s="8"/>
      <c r="Z357" s="8"/>
    </row>
    <row r="358" spans="1:26" ht="12.75">
      <c r="A358" s="299"/>
      <c r="B358" s="300"/>
      <c r="C358" s="299"/>
      <c r="D358" s="299"/>
      <c r="E358" s="299"/>
      <c r="F358" s="299"/>
      <c r="G358" s="299"/>
      <c r="H358" s="1348"/>
      <c r="I358" s="299"/>
      <c r="J358" s="299"/>
      <c r="K358" s="299"/>
      <c r="L358" s="1336"/>
      <c r="M358" s="299"/>
      <c r="N358" s="299"/>
      <c r="O358" s="299"/>
      <c r="P358" s="299"/>
      <c r="Q358" s="299"/>
      <c r="R358" s="299"/>
      <c r="S358" s="299"/>
      <c r="T358" s="299"/>
      <c r="U358" s="299"/>
      <c r="V358" s="299"/>
      <c r="W358" s="8"/>
      <c r="X358" s="8"/>
      <c r="Y358" s="8"/>
      <c r="Z358" s="8"/>
    </row>
    <row r="359" spans="1:26" ht="12.75">
      <c r="A359" s="299"/>
      <c r="B359" s="300"/>
      <c r="C359" s="299"/>
      <c r="D359" s="299"/>
      <c r="E359" s="299"/>
      <c r="F359" s="299"/>
      <c r="G359" s="299"/>
      <c r="H359" s="1348"/>
      <c r="I359" s="299"/>
      <c r="J359" s="299"/>
      <c r="K359" s="299"/>
      <c r="L359" s="1336"/>
      <c r="M359" s="299"/>
      <c r="N359" s="299"/>
      <c r="O359" s="299"/>
      <c r="P359" s="299"/>
      <c r="Q359" s="299"/>
      <c r="R359" s="299"/>
      <c r="S359" s="299"/>
      <c r="T359" s="299"/>
      <c r="U359" s="299"/>
      <c r="V359" s="299"/>
      <c r="W359" s="8"/>
      <c r="X359" s="8"/>
      <c r="Y359" s="8"/>
      <c r="Z359" s="8"/>
    </row>
    <row r="360" spans="1:26" ht="12.75">
      <c r="A360" s="299"/>
      <c r="B360" s="300"/>
      <c r="C360" s="299"/>
      <c r="D360" s="299"/>
      <c r="E360" s="299"/>
      <c r="F360" s="299"/>
      <c r="G360" s="299"/>
      <c r="H360" s="1348"/>
      <c r="I360" s="299"/>
      <c r="J360" s="299"/>
      <c r="K360" s="299"/>
      <c r="L360" s="1336"/>
      <c r="M360" s="299"/>
      <c r="N360" s="299"/>
      <c r="O360" s="299"/>
      <c r="P360" s="299"/>
      <c r="Q360" s="299"/>
      <c r="R360" s="299"/>
      <c r="S360" s="299"/>
      <c r="T360" s="299"/>
      <c r="U360" s="299"/>
      <c r="V360" s="299"/>
      <c r="W360" s="8"/>
      <c r="X360" s="8"/>
      <c r="Y360" s="8"/>
      <c r="Z360" s="8"/>
    </row>
    <row r="361" spans="1:26" ht="12.75">
      <c r="A361" s="299"/>
      <c r="B361" s="300"/>
      <c r="C361" s="299"/>
      <c r="D361" s="299"/>
      <c r="E361" s="299"/>
      <c r="F361" s="299"/>
      <c r="G361" s="299"/>
      <c r="H361" s="1348"/>
      <c r="I361" s="299"/>
      <c r="J361" s="299"/>
      <c r="K361" s="299"/>
      <c r="L361" s="1336"/>
      <c r="M361" s="299"/>
      <c r="N361" s="299"/>
      <c r="O361" s="299"/>
      <c r="P361" s="299"/>
      <c r="Q361" s="299"/>
      <c r="R361" s="299"/>
      <c r="S361" s="299"/>
      <c r="T361" s="299"/>
      <c r="U361" s="299"/>
      <c r="V361" s="299"/>
      <c r="W361" s="8"/>
      <c r="X361" s="8"/>
      <c r="Y361" s="8"/>
      <c r="Z361" s="8"/>
    </row>
    <row r="362" spans="1:26" ht="12.75">
      <c r="A362" s="299"/>
      <c r="B362" s="300"/>
      <c r="C362" s="299"/>
      <c r="D362" s="299"/>
      <c r="E362" s="299"/>
      <c r="F362" s="299"/>
      <c r="G362" s="299"/>
      <c r="H362" s="1348"/>
      <c r="I362" s="299"/>
      <c r="J362" s="299"/>
      <c r="K362" s="299"/>
      <c r="L362" s="1336"/>
      <c r="M362" s="299"/>
      <c r="N362" s="299"/>
      <c r="O362" s="299"/>
      <c r="P362" s="299"/>
      <c r="Q362" s="299"/>
      <c r="R362" s="299"/>
      <c r="S362" s="299"/>
      <c r="T362" s="299"/>
      <c r="U362" s="299"/>
      <c r="V362" s="299"/>
      <c r="W362" s="8"/>
      <c r="X362" s="8"/>
      <c r="Y362" s="8"/>
      <c r="Z362" s="8"/>
    </row>
    <row r="363" spans="1:26" ht="12.75">
      <c r="A363" s="299"/>
      <c r="B363" s="300"/>
      <c r="C363" s="299"/>
      <c r="D363" s="299"/>
      <c r="E363" s="299"/>
      <c r="F363" s="299"/>
      <c r="G363" s="299"/>
      <c r="H363" s="1348"/>
      <c r="I363" s="299"/>
      <c r="J363" s="299"/>
      <c r="K363" s="299"/>
      <c r="L363" s="1336"/>
      <c r="M363" s="299"/>
      <c r="N363" s="299"/>
      <c r="O363" s="299"/>
      <c r="P363" s="299"/>
      <c r="Q363" s="299"/>
      <c r="R363" s="299"/>
      <c r="S363" s="299"/>
      <c r="T363" s="299"/>
      <c r="U363" s="299"/>
      <c r="V363" s="299"/>
      <c r="W363" s="8"/>
      <c r="X363" s="8"/>
      <c r="Y363" s="8"/>
      <c r="Z363" s="8"/>
    </row>
    <row r="364" spans="1:26" ht="12.75">
      <c r="A364" s="299"/>
      <c r="B364" s="300"/>
      <c r="C364" s="299"/>
      <c r="D364" s="299"/>
      <c r="E364" s="299"/>
      <c r="F364" s="299"/>
      <c r="G364" s="299"/>
      <c r="H364" s="1348"/>
      <c r="I364" s="299"/>
      <c r="J364" s="299"/>
      <c r="K364" s="299"/>
      <c r="L364" s="1336"/>
      <c r="M364" s="299"/>
      <c r="N364" s="299"/>
      <c r="O364" s="299"/>
      <c r="P364" s="299"/>
      <c r="Q364" s="299"/>
      <c r="R364" s="299"/>
      <c r="S364" s="299"/>
      <c r="T364" s="299"/>
      <c r="U364" s="299"/>
      <c r="V364" s="299"/>
      <c r="W364" s="8"/>
      <c r="X364" s="8"/>
      <c r="Y364" s="8"/>
      <c r="Z364" s="8"/>
    </row>
    <row r="365" spans="1:26" ht="12.75">
      <c r="A365" s="299"/>
      <c r="B365" s="300"/>
      <c r="C365" s="299"/>
      <c r="D365" s="299"/>
      <c r="E365" s="299"/>
      <c r="F365" s="299"/>
      <c r="G365" s="299"/>
      <c r="H365" s="1348"/>
      <c r="I365" s="299"/>
      <c r="J365" s="299"/>
      <c r="K365" s="299"/>
      <c r="L365" s="1336"/>
      <c r="M365" s="299"/>
      <c r="N365" s="299"/>
      <c r="O365" s="299"/>
      <c r="P365" s="299"/>
      <c r="Q365" s="299"/>
      <c r="R365" s="299"/>
      <c r="S365" s="299"/>
      <c r="T365" s="299"/>
      <c r="U365" s="299"/>
      <c r="V365" s="299"/>
      <c r="W365" s="8"/>
      <c r="X365" s="8"/>
      <c r="Y365" s="8"/>
      <c r="Z365" s="8"/>
    </row>
    <row r="366" spans="1:26" ht="12.75">
      <c r="A366" s="299"/>
      <c r="B366" s="300"/>
      <c r="C366" s="299"/>
      <c r="D366" s="299"/>
      <c r="E366" s="299"/>
      <c r="F366" s="299"/>
      <c r="G366" s="299"/>
      <c r="H366" s="1348"/>
      <c r="I366" s="299"/>
      <c r="J366" s="299"/>
      <c r="K366" s="299"/>
      <c r="L366" s="1336"/>
      <c r="M366" s="299"/>
      <c r="N366" s="299"/>
      <c r="O366" s="299"/>
      <c r="P366" s="299"/>
      <c r="Q366" s="299"/>
      <c r="R366" s="299"/>
      <c r="S366" s="299"/>
      <c r="T366" s="299"/>
      <c r="U366" s="299"/>
      <c r="V366" s="299"/>
      <c r="W366" s="8"/>
      <c r="X366" s="8"/>
      <c r="Y366" s="8"/>
      <c r="Z366" s="8"/>
    </row>
    <row r="367" spans="1:26" ht="12.75">
      <c r="A367" s="299"/>
      <c r="B367" s="300"/>
      <c r="C367" s="299"/>
      <c r="D367" s="299"/>
      <c r="E367" s="299"/>
      <c r="F367" s="299"/>
      <c r="G367" s="299"/>
      <c r="H367" s="1348"/>
      <c r="I367" s="299"/>
      <c r="J367" s="299"/>
      <c r="K367" s="299"/>
      <c r="L367" s="1336"/>
      <c r="M367" s="299"/>
      <c r="N367" s="299"/>
      <c r="O367" s="299"/>
      <c r="P367" s="299"/>
      <c r="Q367" s="299"/>
      <c r="R367" s="299"/>
      <c r="S367" s="299"/>
      <c r="T367" s="299"/>
      <c r="U367" s="299"/>
      <c r="V367" s="299"/>
      <c r="W367" s="8"/>
      <c r="X367" s="8"/>
      <c r="Y367" s="8"/>
      <c r="Z367" s="8"/>
    </row>
    <row r="368" spans="1:26" ht="12.75">
      <c r="A368" s="299"/>
      <c r="B368" s="300"/>
      <c r="C368" s="299"/>
      <c r="D368" s="299"/>
      <c r="E368" s="299"/>
      <c r="F368" s="299"/>
      <c r="G368" s="299"/>
      <c r="H368" s="1348"/>
      <c r="I368" s="299"/>
      <c r="J368" s="299"/>
      <c r="K368" s="299"/>
      <c r="L368" s="1336"/>
      <c r="M368" s="299"/>
      <c r="N368" s="299"/>
      <c r="O368" s="299"/>
      <c r="P368" s="299"/>
      <c r="Q368" s="299"/>
      <c r="R368" s="299"/>
      <c r="S368" s="299"/>
      <c r="T368" s="299"/>
      <c r="U368" s="299"/>
      <c r="V368" s="299"/>
      <c r="W368" s="8"/>
      <c r="X368" s="8"/>
      <c r="Y368" s="8"/>
      <c r="Z368" s="8"/>
    </row>
    <row r="369" spans="1:26" ht="12.75">
      <c r="A369" s="299"/>
      <c r="B369" s="300"/>
      <c r="C369" s="299"/>
      <c r="D369" s="299"/>
      <c r="E369" s="299"/>
      <c r="F369" s="299"/>
      <c r="G369" s="299"/>
      <c r="H369" s="1348"/>
      <c r="I369" s="299"/>
      <c r="J369" s="299"/>
      <c r="K369" s="299"/>
      <c r="L369" s="1336"/>
      <c r="M369" s="299"/>
      <c r="N369" s="299"/>
      <c r="O369" s="299"/>
      <c r="P369" s="299"/>
      <c r="Q369" s="299"/>
      <c r="R369" s="299"/>
      <c r="S369" s="299"/>
      <c r="T369" s="299"/>
      <c r="U369" s="299"/>
      <c r="V369" s="299"/>
      <c r="W369" s="8"/>
      <c r="X369" s="8"/>
      <c r="Y369" s="8"/>
      <c r="Z369" s="8"/>
    </row>
    <row r="370" spans="1:26" ht="12.75">
      <c r="A370" s="299"/>
      <c r="B370" s="300"/>
      <c r="C370" s="299"/>
      <c r="D370" s="299"/>
      <c r="E370" s="299"/>
      <c r="F370" s="299"/>
      <c r="G370" s="299"/>
      <c r="H370" s="1348"/>
      <c r="I370" s="299"/>
      <c r="J370" s="299"/>
      <c r="K370" s="299"/>
      <c r="L370" s="1336"/>
      <c r="M370" s="299"/>
      <c r="N370" s="299"/>
      <c r="O370" s="299"/>
      <c r="P370" s="299"/>
      <c r="Q370" s="299"/>
      <c r="R370" s="299"/>
      <c r="S370" s="299"/>
      <c r="T370" s="299"/>
      <c r="U370" s="299"/>
      <c r="V370" s="299"/>
      <c r="W370" s="8"/>
      <c r="X370" s="8"/>
      <c r="Y370" s="8"/>
      <c r="Z370" s="8"/>
    </row>
    <row r="371" spans="1:26" ht="12.75">
      <c r="A371" s="299"/>
      <c r="B371" s="300"/>
      <c r="C371" s="299"/>
      <c r="D371" s="299"/>
      <c r="E371" s="299"/>
      <c r="F371" s="299"/>
      <c r="G371" s="299"/>
      <c r="H371" s="1348"/>
      <c r="I371" s="299"/>
      <c r="J371" s="299"/>
      <c r="K371" s="299"/>
      <c r="L371" s="1336"/>
      <c r="M371" s="299"/>
      <c r="N371" s="299"/>
      <c r="O371" s="299"/>
      <c r="P371" s="299"/>
      <c r="Q371" s="299"/>
      <c r="R371" s="299"/>
      <c r="S371" s="299"/>
      <c r="T371" s="299"/>
      <c r="U371" s="299"/>
      <c r="V371" s="299"/>
      <c r="W371" s="8"/>
      <c r="X371" s="8"/>
      <c r="Y371" s="8"/>
      <c r="Z371" s="8"/>
    </row>
    <row r="372" spans="1:26" ht="12.75">
      <c r="A372" s="299"/>
      <c r="B372" s="300"/>
      <c r="C372" s="299"/>
      <c r="D372" s="299"/>
      <c r="E372" s="299"/>
      <c r="F372" s="299"/>
      <c r="G372" s="299"/>
      <c r="H372" s="1348"/>
      <c r="I372" s="299"/>
      <c r="J372" s="299"/>
      <c r="K372" s="299"/>
      <c r="L372" s="1336"/>
      <c r="M372" s="299"/>
      <c r="N372" s="299"/>
      <c r="O372" s="299"/>
      <c r="P372" s="299"/>
      <c r="Q372" s="299"/>
      <c r="R372" s="299"/>
      <c r="S372" s="299"/>
      <c r="T372" s="299"/>
      <c r="U372" s="299"/>
      <c r="V372" s="299"/>
      <c r="W372" s="8"/>
      <c r="X372" s="8"/>
      <c r="Y372" s="8"/>
      <c r="Z372" s="8"/>
    </row>
    <row r="373" spans="1:26" ht="12.75">
      <c r="A373" s="299"/>
      <c r="B373" s="300"/>
      <c r="C373" s="299"/>
      <c r="D373" s="299"/>
      <c r="E373" s="299"/>
      <c r="F373" s="299"/>
      <c r="G373" s="299"/>
      <c r="H373" s="1348"/>
      <c r="I373" s="299"/>
      <c r="J373" s="299"/>
      <c r="K373" s="299"/>
      <c r="L373" s="1336"/>
      <c r="M373" s="299"/>
      <c r="N373" s="299"/>
      <c r="O373" s="299"/>
      <c r="P373" s="299"/>
      <c r="Q373" s="299"/>
      <c r="R373" s="299"/>
      <c r="S373" s="299"/>
      <c r="T373" s="299"/>
      <c r="U373" s="299"/>
      <c r="V373" s="299"/>
      <c r="W373" s="8"/>
      <c r="X373" s="8"/>
      <c r="Y373" s="8"/>
      <c r="Z373" s="8"/>
    </row>
    <row r="374" spans="1:26" ht="12.75">
      <c r="A374" s="299"/>
      <c r="B374" s="300"/>
      <c r="C374" s="299"/>
      <c r="D374" s="299"/>
      <c r="E374" s="299"/>
      <c r="F374" s="299"/>
      <c r="G374" s="299"/>
      <c r="H374" s="1348"/>
      <c r="I374" s="299"/>
      <c r="J374" s="299"/>
      <c r="K374" s="299"/>
      <c r="L374" s="1336"/>
      <c r="M374" s="299"/>
      <c r="N374" s="299"/>
      <c r="O374" s="299"/>
      <c r="P374" s="299"/>
      <c r="Q374" s="299"/>
      <c r="R374" s="299"/>
      <c r="S374" s="299"/>
      <c r="T374" s="299"/>
      <c r="U374" s="299"/>
      <c r="V374" s="299"/>
      <c r="W374" s="8"/>
      <c r="X374" s="8"/>
      <c r="Y374" s="8"/>
      <c r="Z374" s="8"/>
    </row>
    <row r="375" spans="1:26" ht="12.75">
      <c r="A375" s="299"/>
      <c r="B375" s="300"/>
      <c r="C375" s="299"/>
      <c r="D375" s="299"/>
      <c r="E375" s="299"/>
      <c r="F375" s="299"/>
      <c r="G375" s="299"/>
      <c r="H375" s="1348"/>
      <c r="I375" s="299"/>
      <c r="J375" s="299"/>
      <c r="K375" s="299"/>
      <c r="L375" s="1336"/>
      <c r="M375" s="299"/>
      <c r="N375" s="299"/>
      <c r="O375" s="299"/>
      <c r="P375" s="299"/>
      <c r="Q375" s="299"/>
      <c r="R375" s="299"/>
      <c r="S375" s="299"/>
      <c r="T375" s="299"/>
      <c r="U375" s="299"/>
      <c r="V375" s="299"/>
      <c r="W375" s="8"/>
      <c r="X375" s="8"/>
      <c r="Y375" s="8"/>
      <c r="Z375" s="8"/>
    </row>
    <row r="376" spans="1:26" ht="12.75">
      <c r="A376" s="299"/>
      <c r="B376" s="300"/>
      <c r="C376" s="299"/>
      <c r="D376" s="299"/>
      <c r="E376" s="299"/>
      <c r="F376" s="299"/>
      <c r="G376" s="299"/>
      <c r="H376" s="1348"/>
      <c r="I376" s="299"/>
      <c r="J376" s="299"/>
      <c r="K376" s="299"/>
      <c r="L376" s="1336"/>
      <c r="M376" s="299"/>
      <c r="N376" s="299"/>
      <c r="O376" s="299"/>
      <c r="P376" s="299"/>
      <c r="Q376" s="299"/>
      <c r="R376" s="299"/>
      <c r="S376" s="299"/>
      <c r="T376" s="299"/>
      <c r="U376" s="299"/>
      <c r="V376" s="299"/>
      <c r="W376" s="8"/>
      <c r="X376" s="8"/>
      <c r="Y376" s="8"/>
      <c r="Z376" s="8"/>
    </row>
    <row r="377" spans="1:26" ht="12.75">
      <c r="A377" s="299"/>
      <c r="B377" s="300"/>
      <c r="C377" s="299"/>
      <c r="D377" s="299"/>
      <c r="E377" s="299"/>
      <c r="F377" s="299"/>
      <c r="G377" s="299"/>
      <c r="H377" s="1348"/>
      <c r="I377" s="299"/>
      <c r="J377" s="299"/>
      <c r="K377" s="299"/>
      <c r="L377" s="1336"/>
      <c r="M377" s="299"/>
      <c r="N377" s="299"/>
      <c r="O377" s="299"/>
      <c r="P377" s="299"/>
      <c r="Q377" s="299"/>
      <c r="R377" s="299"/>
      <c r="S377" s="299"/>
      <c r="T377" s="299"/>
      <c r="U377" s="299"/>
      <c r="V377" s="299"/>
      <c r="W377" s="8"/>
      <c r="X377" s="8"/>
      <c r="Y377" s="8"/>
      <c r="Z377" s="8"/>
    </row>
    <row r="378" spans="1:26" ht="12.75">
      <c r="A378" s="299"/>
      <c r="B378" s="300"/>
      <c r="C378" s="299"/>
      <c r="D378" s="299"/>
      <c r="E378" s="299"/>
      <c r="F378" s="299"/>
      <c r="G378" s="299"/>
      <c r="H378" s="1348"/>
      <c r="I378" s="299"/>
      <c r="J378" s="299"/>
      <c r="K378" s="299"/>
      <c r="L378" s="1336"/>
      <c r="M378" s="299"/>
      <c r="N378" s="299"/>
      <c r="O378" s="299"/>
      <c r="P378" s="299"/>
      <c r="Q378" s="299"/>
      <c r="R378" s="299"/>
      <c r="S378" s="299"/>
      <c r="T378" s="299"/>
      <c r="U378" s="299"/>
      <c r="V378" s="299"/>
      <c r="W378" s="8"/>
      <c r="X378" s="8"/>
      <c r="Y378" s="8"/>
      <c r="Z378" s="8"/>
    </row>
    <row r="379" spans="1:26" ht="12.75">
      <c r="A379" s="299"/>
      <c r="B379" s="300"/>
      <c r="C379" s="299"/>
      <c r="D379" s="299"/>
      <c r="E379" s="299"/>
      <c r="F379" s="299"/>
      <c r="G379" s="299"/>
      <c r="H379" s="1348"/>
      <c r="I379" s="299"/>
      <c r="J379" s="299"/>
      <c r="K379" s="299"/>
      <c r="L379" s="1336"/>
      <c r="M379" s="299"/>
      <c r="N379" s="299"/>
      <c r="O379" s="299"/>
      <c r="P379" s="299"/>
      <c r="Q379" s="299"/>
      <c r="R379" s="299"/>
      <c r="S379" s="299"/>
      <c r="T379" s="299"/>
      <c r="U379" s="299"/>
      <c r="V379" s="299"/>
      <c r="W379" s="8"/>
      <c r="X379" s="8"/>
      <c r="Y379" s="8"/>
      <c r="Z379" s="8"/>
    </row>
    <row r="380" spans="1:26" ht="12.75">
      <c r="A380" s="299"/>
      <c r="B380" s="300"/>
      <c r="C380" s="299"/>
      <c r="D380" s="299"/>
      <c r="E380" s="299"/>
      <c r="F380" s="299"/>
      <c r="G380" s="299"/>
      <c r="H380" s="1348"/>
      <c r="I380" s="299"/>
      <c r="J380" s="299"/>
      <c r="K380" s="299"/>
      <c r="L380" s="1336"/>
      <c r="M380" s="299"/>
      <c r="N380" s="299"/>
      <c r="O380" s="299"/>
      <c r="P380" s="299"/>
      <c r="Q380" s="299"/>
      <c r="R380" s="299"/>
      <c r="S380" s="299"/>
      <c r="T380" s="299"/>
      <c r="U380" s="299"/>
      <c r="V380" s="299"/>
      <c r="W380" s="8"/>
      <c r="X380" s="8"/>
      <c r="Y380" s="8"/>
      <c r="Z380" s="8"/>
    </row>
    <row r="381" spans="1:26" ht="12.75">
      <c r="A381" s="299"/>
      <c r="B381" s="300"/>
      <c r="C381" s="299"/>
      <c r="D381" s="299"/>
      <c r="E381" s="299"/>
      <c r="F381" s="299"/>
      <c r="G381" s="299"/>
      <c r="H381" s="1348"/>
      <c r="I381" s="299"/>
      <c r="J381" s="299"/>
      <c r="K381" s="299"/>
      <c r="L381" s="1336"/>
      <c r="M381" s="299"/>
      <c r="N381" s="299"/>
      <c r="O381" s="299"/>
      <c r="P381" s="299"/>
      <c r="Q381" s="299"/>
      <c r="R381" s="299"/>
      <c r="S381" s="299"/>
      <c r="T381" s="299"/>
      <c r="U381" s="299"/>
      <c r="V381" s="299"/>
      <c r="W381" s="8"/>
      <c r="X381" s="8"/>
      <c r="Y381" s="8"/>
      <c r="Z381" s="8"/>
    </row>
    <row r="382" spans="1:26" ht="12.75">
      <c r="A382" s="299"/>
      <c r="B382" s="300"/>
      <c r="C382" s="299"/>
      <c r="D382" s="299"/>
      <c r="E382" s="299"/>
      <c r="F382" s="299"/>
      <c r="G382" s="299"/>
      <c r="H382" s="1348"/>
      <c r="I382" s="299"/>
      <c r="J382" s="299"/>
      <c r="K382" s="299"/>
      <c r="L382" s="1336"/>
      <c r="M382" s="299"/>
      <c r="N382" s="299"/>
      <c r="O382" s="299"/>
      <c r="P382" s="299"/>
      <c r="Q382" s="299"/>
      <c r="R382" s="299"/>
      <c r="S382" s="299"/>
      <c r="T382" s="299"/>
      <c r="U382" s="299"/>
      <c r="V382" s="299"/>
      <c r="W382" s="8"/>
      <c r="X382" s="8"/>
      <c r="Y382" s="8"/>
      <c r="Z382" s="8"/>
    </row>
    <row r="383" spans="1:26" ht="12.75">
      <c r="A383" s="299"/>
      <c r="B383" s="300"/>
      <c r="C383" s="299"/>
      <c r="D383" s="299"/>
      <c r="E383" s="299"/>
      <c r="F383" s="299"/>
      <c r="G383" s="299"/>
      <c r="H383" s="1348"/>
      <c r="I383" s="299"/>
      <c r="J383" s="299"/>
      <c r="K383" s="299"/>
      <c r="L383" s="1336"/>
      <c r="M383" s="299"/>
      <c r="N383" s="299"/>
      <c r="O383" s="299"/>
      <c r="P383" s="299"/>
      <c r="Q383" s="299"/>
      <c r="R383" s="299"/>
      <c r="S383" s="299"/>
      <c r="T383" s="299"/>
      <c r="U383" s="299"/>
      <c r="V383" s="299"/>
      <c r="W383" s="8"/>
      <c r="X383" s="8"/>
      <c r="Y383" s="8"/>
      <c r="Z383" s="8"/>
    </row>
    <row r="384" spans="1:26" ht="12.75">
      <c r="A384" s="299"/>
      <c r="B384" s="300"/>
      <c r="C384" s="299"/>
      <c r="D384" s="299"/>
      <c r="E384" s="299"/>
      <c r="F384" s="299"/>
      <c r="G384" s="299"/>
      <c r="H384" s="1348"/>
      <c r="I384" s="299"/>
      <c r="J384" s="299"/>
      <c r="K384" s="299"/>
      <c r="L384" s="1336"/>
      <c r="M384" s="299"/>
      <c r="N384" s="299"/>
      <c r="O384" s="299"/>
      <c r="P384" s="299"/>
      <c r="Q384" s="299"/>
      <c r="R384" s="299"/>
      <c r="S384" s="299"/>
      <c r="T384" s="299"/>
      <c r="U384" s="299"/>
      <c r="V384" s="299"/>
      <c r="W384" s="8"/>
      <c r="X384" s="8"/>
      <c r="Y384" s="8"/>
      <c r="Z384" s="8"/>
    </row>
    <row r="385" spans="1:26" ht="12.75">
      <c r="A385" s="299"/>
      <c r="B385" s="300"/>
      <c r="C385" s="299"/>
      <c r="D385" s="299"/>
      <c r="E385" s="299"/>
      <c r="F385" s="299"/>
      <c r="G385" s="299"/>
      <c r="H385" s="1348"/>
      <c r="I385" s="299"/>
      <c r="J385" s="299"/>
      <c r="K385" s="299"/>
      <c r="L385" s="1336"/>
      <c r="M385" s="299"/>
      <c r="N385" s="299"/>
      <c r="O385" s="299"/>
      <c r="P385" s="299"/>
      <c r="Q385" s="299"/>
      <c r="R385" s="299"/>
      <c r="S385" s="299"/>
      <c r="T385" s="299"/>
      <c r="U385" s="299"/>
      <c r="V385" s="299"/>
      <c r="W385" s="8"/>
      <c r="X385" s="8"/>
      <c r="Y385" s="8"/>
      <c r="Z385" s="8"/>
    </row>
    <row r="386" spans="1:26" ht="12.75">
      <c r="A386" s="299"/>
      <c r="B386" s="300"/>
      <c r="C386" s="299"/>
      <c r="D386" s="299"/>
      <c r="E386" s="299"/>
      <c r="F386" s="299"/>
      <c r="G386" s="299"/>
      <c r="H386" s="1348"/>
      <c r="I386" s="299"/>
      <c r="J386" s="299"/>
      <c r="K386" s="299"/>
      <c r="L386" s="1336"/>
      <c r="M386" s="299"/>
      <c r="N386" s="299"/>
      <c r="O386" s="299"/>
      <c r="P386" s="299"/>
      <c r="Q386" s="299"/>
      <c r="R386" s="299"/>
      <c r="S386" s="299"/>
      <c r="T386" s="299"/>
      <c r="U386" s="299"/>
      <c r="V386" s="299"/>
      <c r="W386" s="8"/>
      <c r="X386" s="8"/>
      <c r="Y386" s="8"/>
      <c r="Z386" s="8"/>
    </row>
    <row r="387" spans="1:26" ht="12.75">
      <c r="A387" s="299"/>
      <c r="B387" s="300"/>
      <c r="C387" s="299"/>
      <c r="D387" s="299"/>
      <c r="E387" s="299"/>
      <c r="F387" s="299"/>
      <c r="G387" s="299"/>
      <c r="H387" s="1348"/>
      <c r="I387" s="299"/>
      <c r="J387" s="299"/>
      <c r="K387" s="299"/>
      <c r="L387" s="1336"/>
      <c r="M387" s="299"/>
      <c r="N387" s="299"/>
      <c r="O387" s="299"/>
      <c r="P387" s="299"/>
      <c r="Q387" s="299"/>
      <c r="R387" s="299"/>
      <c r="S387" s="299"/>
      <c r="T387" s="299"/>
      <c r="U387" s="299"/>
      <c r="V387" s="299"/>
      <c r="W387" s="8"/>
      <c r="X387" s="8"/>
      <c r="Y387" s="8"/>
      <c r="Z387" s="8"/>
    </row>
    <row r="388" spans="1:26" ht="12.75">
      <c r="A388" s="299"/>
      <c r="B388" s="300"/>
      <c r="C388" s="299"/>
      <c r="D388" s="299"/>
      <c r="E388" s="299"/>
      <c r="F388" s="299"/>
      <c r="G388" s="299"/>
      <c r="H388" s="1348"/>
      <c r="I388" s="299"/>
      <c r="J388" s="299"/>
      <c r="K388" s="299"/>
      <c r="L388" s="1336"/>
      <c r="M388" s="299"/>
      <c r="N388" s="299"/>
      <c r="O388" s="299"/>
      <c r="P388" s="299"/>
      <c r="Q388" s="299"/>
      <c r="R388" s="299"/>
      <c r="S388" s="299"/>
      <c r="T388" s="299"/>
      <c r="U388" s="299"/>
      <c r="V388" s="299"/>
      <c r="W388" s="8"/>
      <c r="X388" s="8"/>
      <c r="Y388" s="8"/>
      <c r="Z388" s="8"/>
    </row>
    <row r="389" spans="1:26" ht="12.75">
      <c r="A389" s="299"/>
      <c r="B389" s="300"/>
      <c r="C389" s="299"/>
      <c r="D389" s="299"/>
      <c r="E389" s="299"/>
      <c r="F389" s="299"/>
      <c r="G389" s="299"/>
      <c r="H389" s="1348"/>
      <c r="I389" s="299"/>
      <c r="J389" s="299"/>
      <c r="K389" s="299"/>
      <c r="L389" s="1336"/>
      <c r="M389" s="299"/>
      <c r="N389" s="299"/>
      <c r="O389" s="299"/>
      <c r="P389" s="299"/>
      <c r="Q389" s="299"/>
      <c r="R389" s="299"/>
      <c r="S389" s="299"/>
      <c r="T389" s="299"/>
      <c r="U389" s="299"/>
      <c r="V389" s="299"/>
      <c r="W389" s="8"/>
      <c r="X389" s="8"/>
      <c r="Y389" s="8"/>
      <c r="Z389" s="8"/>
    </row>
    <row r="390" spans="1:26" ht="12.75">
      <c r="A390" s="299"/>
      <c r="B390" s="300"/>
      <c r="C390" s="299"/>
      <c r="D390" s="299"/>
      <c r="E390" s="299"/>
      <c r="F390" s="299"/>
      <c r="G390" s="299"/>
      <c r="H390" s="1348"/>
      <c r="I390" s="299"/>
      <c r="J390" s="299"/>
      <c r="K390" s="299"/>
      <c r="L390" s="1336"/>
      <c r="M390" s="299"/>
      <c r="N390" s="299"/>
      <c r="O390" s="299"/>
      <c r="P390" s="299"/>
      <c r="Q390" s="299"/>
      <c r="R390" s="299"/>
      <c r="S390" s="299"/>
      <c r="T390" s="299"/>
      <c r="U390" s="299"/>
      <c r="V390" s="299"/>
      <c r="W390" s="8"/>
      <c r="X390" s="8"/>
      <c r="Y390" s="8"/>
      <c r="Z390" s="8"/>
    </row>
    <row r="391" spans="1:26" ht="12.75">
      <c r="A391" s="299"/>
      <c r="B391" s="300"/>
      <c r="C391" s="299"/>
      <c r="D391" s="299"/>
      <c r="E391" s="299"/>
      <c r="F391" s="299"/>
      <c r="G391" s="299"/>
      <c r="H391" s="1348"/>
      <c r="I391" s="299"/>
      <c r="J391" s="299"/>
      <c r="K391" s="299"/>
      <c r="L391" s="1336"/>
      <c r="M391" s="299"/>
      <c r="N391" s="299"/>
      <c r="O391" s="299"/>
      <c r="P391" s="299"/>
      <c r="Q391" s="299"/>
      <c r="R391" s="299"/>
      <c r="S391" s="299"/>
      <c r="T391" s="299"/>
      <c r="U391" s="299"/>
      <c r="V391" s="299"/>
      <c r="W391" s="8"/>
      <c r="X391" s="8"/>
      <c r="Y391" s="8"/>
      <c r="Z391" s="8"/>
    </row>
    <row r="392" spans="1:26" ht="12.75">
      <c r="A392" s="299"/>
      <c r="B392" s="300"/>
      <c r="C392" s="299"/>
      <c r="D392" s="299"/>
      <c r="E392" s="299"/>
      <c r="F392" s="299"/>
      <c r="G392" s="299"/>
      <c r="H392" s="1348"/>
      <c r="I392" s="299"/>
      <c r="J392" s="299"/>
      <c r="K392" s="299"/>
      <c r="L392" s="1336"/>
      <c r="M392" s="299"/>
      <c r="N392" s="299"/>
      <c r="O392" s="299"/>
      <c r="P392" s="299"/>
      <c r="Q392" s="299"/>
      <c r="R392" s="299"/>
      <c r="S392" s="299"/>
      <c r="T392" s="299"/>
      <c r="U392" s="299"/>
      <c r="V392" s="299"/>
      <c r="W392" s="8"/>
      <c r="X392" s="8"/>
      <c r="Y392" s="8"/>
      <c r="Z392" s="8"/>
    </row>
    <row r="393" spans="1:26" ht="12.75">
      <c r="A393" s="299"/>
      <c r="B393" s="300"/>
      <c r="C393" s="299"/>
      <c r="D393" s="299"/>
      <c r="E393" s="299"/>
      <c r="F393" s="299"/>
      <c r="G393" s="299"/>
      <c r="H393" s="1348"/>
      <c r="I393" s="299"/>
      <c r="J393" s="299"/>
      <c r="K393" s="299"/>
      <c r="L393" s="1336"/>
      <c r="M393" s="299"/>
      <c r="N393" s="299"/>
      <c r="O393" s="299"/>
      <c r="P393" s="299"/>
      <c r="Q393" s="299"/>
      <c r="R393" s="299"/>
      <c r="S393" s="299"/>
      <c r="T393" s="299"/>
      <c r="U393" s="299"/>
      <c r="V393" s="299"/>
      <c r="W393" s="8"/>
      <c r="X393" s="8"/>
      <c r="Y393" s="8"/>
      <c r="Z393" s="8"/>
    </row>
    <row r="394" spans="1:26" ht="12.75">
      <c r="A394" s="299"/>
      <c r="B394" s="300"/>
      <c r="C394" s="299"/>
      <c r="D394" s="299"/>
      <c r="E394" s="299"/>
      <c r="F394" s="299"/>
      <c r="G394" s="299"/>
      <c r="H394" s="1348"/>
      <c r="I394" s="299"/>
      <c r="J394" s="299"/>
      <c r="K394" s="299"/>
      <c r="L394" s="1336"/>
      <c r="M394" s="299"/>
      <c r="N394" s="299"/>
      <c r="O394" s="299"/>
      <c r="P394" s="299"/>
      <c r="Q394" s="299"/>
      <c r="R394" s="299"/>
      <c r="S394" s="299"/>
      <c r="T394" s="299"/>
      <c r="U394" s="299"/>
      <c r="V394" s="299"/>
      <c r="W394" s="8"/>
      <c r="X394" s="8"/>
      <c r="Y394" s="8"/>
      <c r="Z394" s="8"/>
    </row>
    <row r="395" spans="1:26" ht="12.75">
      <c r="A395" s="299"/>
      <c r="B395" s="300"/>
      <c r="C395" s="299"/>
      <c r="D395" s="299"/>
      <c r="E395" s="299"/>
      <c r="F395" s="299"/>
      <c r="G395" s="299"/>
      <c r="H395" s="1348"/>
      <c r="I395" s="299"/>
      <c r="J395" s="299"/>
      <c r="K395" s="299"/>
      <c r="L395" s="1336"/>
      <c r="M395" s="299"/>
      <c r="N395" s="299"/>
      <c r="O395" s="299"/>
      <c r="P395" s="299"/>
      <c r="Q395" s="299"/>
      <c r="R395" s="299"/>
      <c r="S395" s="299"/>
      <c r="T395" s="299"/>
      <c r="U395" s="299"/>
      <c r="V395" s="299"/>
      <c r="W395" s="8"/>
      <c r="X395" s="8"/>
      <c r="Y395" s="8"/>
      <c r="Z395" s="8"/>
    </row>
    <row r="396" spans="1:26" ht="12.75">
      <c r="A396" s="299"/>
      <c r="B396" s="300"/>
      <c r="C396" s="299"/>
      <c r="D396" s="299"/>
      <c r="E396" s="299"/>
      <c r="F396" s="299"/>
      <c r="G396" s="299"/>
      <c r="H396" s="1348"/>
      <c r="I396" s="299"/>
      <c r="J396" s="299"/>
      <c r="K396" s="299"/>
      <c r="L396" s="1336"/>
      <c r="M396" s="299"/>
      <c r="N396" s="299"/>
      <c r="O396" s="299"/>
      <c r="P396" s="299"/>
      <c r="Q396" s="299"/>
      <c r="R396" s="299"/>
      <c r="S396" s="299"/>
      <c r="T396" s="299"/>
      <c r="U396" s="299"/>
      <c r="V396" s="299"/>
      <c r="W396" s="8"/>
      <c r="X396" s="8"/>
      <c r="Y396" s="8"/>
      <c r="Z396" s="8"/>
    </row>
    <row r="397" spans="1:26" ht="12.75">
      <c r="A397" s="299"/>
      <c r="B397" s="300"/>
      <c r="C397" s="299"/>
      <c r="D397" s="299"/>
      <c r="E397" s="299"/>
      <c r="F397" s="299"/>
      <c r="G397" s="299"/>
      <c r="H397" s="1348"/>
      <c r="I397" s="299"/>
      <c r="J397" s="299"/>
      <c r="K397" s="299"/>
      <c r="L397" s="1336"/>
      <c r="M397" s="299"/>
      <c r="N397" s="299"/>
      <c r="O397" s="299"/>
      <c r="P397" s="299"/>
      <c r="Q397" s="299"/>
      <c r="R397" s="299"/>
      <c r="S397" s="299"/>
      <c r="T397" s="299"/>
      <c r="U397" s="299"/>
      <c r="V397" s="299"/>
      <c r="W397" s="8"/>
      <c r="X397" s="8"/>
      <c r="Y397" s="8"/>
      <c r="Z397" s="8"/>
    </row>
    <row r="398" spans="1:26" ht="12.75">
      <c r="A398" s="299"/>
      <c r="B398" s="300"/>
      <c r="C398" s="299"/>
      <c r="D398" s="299"/>
      <c r="E398" s="299"/>
      <c r="F398" s="299"/>
      <c r="G398" s="299"/>
      <c r="H398" s="1348"/>
      <c r="I398" s="299"/>
      <c r="J398" s="299"/>
      <c r="K398" s="299"/>
      <c r="L398" s="1336"/>
      <c r="M398" s="299"/>
      <c r="N398" s="299"/>
      <c r="O398" s="299"/>
      <c r="P398" s="299"/>
      <c r="Q398" s="299"/>
      <c r="R398" s="299"/>
      <c r="S398" s="299"/>
      <c r="T398" s="299"/>
      <c r="U398" s="299"/>
      <c r="V398" s="299"/>
      <c r="W398" s="8"/>
      <c r="X398" s="8"/>
      <c r="Y398" s="8"/>
      <c r="Z398" s="8"/>
    </row>
    <row r="399" spans="1:26" ht="12.75">
      <c r="A399" s="299"/>
      <c r="B399" s="300"/>
      <c r="C399" s="299"/>
      <c r="D399" s="299"/>
      <c r="E399" s="299"/>
      <c r="F399" s="299"/>
      <c r="G399" s="299"/>
      <c r="H399" s="1348"/>
      <c r="I399" s="299"/>
      <c r="J399" s="299"/>
      <c r="K399" s="299"/>
      <c r="L399" s="1336"/>
      <c r="M399" s="299"/>
      <c r="N399" s="299"/>
      <c r="O399" s="299"/>
      <c r="P399" s="299"/>
      <c r="Q399" s="299"/>
      <c r="R399" s="299"/>
      <c r="S399" s="299"/>
      <c r="T399" s="299"/>
      <c r="U399" s="299"/>
      <c r="V399" s="299"/>
      <c r="W399" s="8"/>
      <c r="X399" s="8"/>
      <c r="Y399" s="8"/>
      <c r="Z399" s="8"/>
    </row>
    <row r="400" spans="1:26" ht="12.75">
      <c r="A400" s="299"/>
      <c r="B400" s="300"/>
      <c r="C400" s="299"/>
      <c r="D400" s="299"/>
      <c r="E400" s="299"/>
      <c r="F400" s="299"/>
      <c r="G400" s="299"/>
      <c r="H400" s="1348"/>
      <c r="I400" s="299"/>
      <c r="J400" s="299"/>
      <c r="K400" s="299"/>
      <c r="L400" s="1336"/>
      <c r="M400" s="299"/>
      <c r="N400" s="299"/>
      <c r="O400" s="299"/>
      <c r="P400" s="299"/>
      <c r="Q400" s="299"/>
      <c r="R400" s="299"/>
      <c r="S400" s="299"/>
      <c r="T400" s="299"/>
      <c r="U400" s="299"/>
      <c r="V400" s="299"/>
      <c r="W400" s="8"/>
      <c r="X400" s="8"/>
      <c r="Y400" s="8"/>
      <c r="Z400" s="8"/>
    </row>
    <row r="401" spans="1:26" ht="12.75">
      <c r="A401" s="299"/>
      <c r="B401" s="300"/>
      <c r="C401" s="299"/>
      <c r="D401" s="299"/>
      <c r="E401" s="299"/>
      <c r="F401" s="299"/>
      <c r="G401" s="299"/>
      <c r="H401" s="1348"/>
      <c r="I401" s="299"/>
      <c r="J401" s="299"/>
      <c r="K401" s="299"/>
      <c r="L401" s="1336"/>
      <c r="M401" s="299"/>
      <c r="N401" s="299"/>
      <c r="O401" s="299"/>
      <c r="P401" s="299"/>
      <c r="Q401" s="299"/>
      <c r="R401" s="299"/>
      <c r="S401" s="299"/>
      <c r="T401" s="299"/>
      <c r="U401" s="299"/>
      <c r="V401" s="299"/>
      <c r="W401" s="8"/>
      <c r="X401" s="8"/>
      <c r="Y401" s="8"/>
      <c r="Z401" s="8"/>
    </row>
    <row r="402" spans="1:26" ht="12.75">
      <c r="A402" s="299"/>
      <c r="B402" s="300"/>
      <c r="C402" s="299"/>
      <c r="D402" s="299"/>
      <c r="E402" s="299"/>
      <c r="F402" s="299"/>
      <c r="G402" s="299"/>
      <c r="H402" s="1348"/>
      <c r="I402" s="299"/>
      <c r="J402" s="299"/>
      <c r="K402" s="299"/>
      <c r="L402" s="1336"/>
      <c r="M402" s="299"/>
      <c r="N402" s="299"/>
      <c r="O402" s="299"/>
      <c r="P402" s="299"/>
      <c r="Q402" s="299"/>
      <c r="R402" s="299"/>
      <c r="S402" s="299"/>
      <c r="T402" s="299"/>
      <c r="U402" s="299"/>
      <c r="V402" s="299"/>
      <c r="W402" s="8"/>
      <c r="X402" s="8"/>
      <c r="Y402" s="8"/>
      <c r="Z402" s="8"/>
    </row>
    <row r="403" spans="1:26" ht="12.75">
      <c r="A403" s="299"/>
      <c r="B403" s="300"/>
      <c r="C403" s="299"/>
      <c r="D403" s="299"/>
      <c r="E403" s="299"/>
      <c r="F403" s="299"/>
      <c r="G403" s="299"/>
      <c r="H403" s="1348"/>
      <c r="I403" s="299"/>
      <c r="J403" s="299"/>
      <c r="K403" s="299"/>
      <c r="L403" s="1336"/>
      <c r="M403" s="299"/>
      <c r="N403" s="299"/>
      <c r="O403" s="299"/>
      <c r="P403" s="299"/>
      <c r="Q403" s="299"/>
      <c r="R403" s="299"/>
      <c r="S403" s="299"/>
      <c r="T403" s="299"/>
      <c r="U403" s="299"/>
      <c r="V403" s="299"/>
      <c r="W403" s="8"/>
      <c r="X403" s="8"/>
      <c r="Y403" s="8"/>
      <c r="Z403" s="8"/>
    </row>
    <row r="404" spans="1:26" ht="12.75">
      <c r="A404" s="299"/>
      <c r="B404" s="300"/>
      <c r="C404" s="299"/>
      <c r="D404" s="299"/>
      <c r="E404" s="299"/>
      <c r="F404" s="299"/>
      <c r="G404" s="299"/>
      <c r="H404" s="1348"/>
      <c r="I404" s="299"/>
      <c r="J404" s="299"/>
      <c r="K404" s="299"/>
      <c r="L404" s="1336"/>
      <c r="M404" s="299"/>
      <c r="N404" s="299"/>
      <c r="O404" s="299"/>
      <c r="P404" s="299"/>
      <c r="Q404" s="299"/>
      <c r="R404" s="299"/>
      <c r="S404" s="299"/>
      <c r="T404" s="299"/>
      <c r="U404" s="299"/>
      <c r="V404" s="299"/>
      <c r="W404" s="8"/>
      <c r="X404" s="8"/>
      <c r="Y404" s="8"/>
      <c r="Z404" s="8"/>
    </row>
    <row r="405" spans="1:26" ht="12.75">
      <c r="A405" s="299"/>
      <c r="B405" s="300"/>
      <c r="C405" s="299"/>
      <c r="D405" s="299"/>
      <c r="E405" s="299"/>
      <c r="F405" s="299"/>
      <c r="G405" s="299"/>
      <c r="H405" s="1348"/>
      <c r="I405" s="299"/>
      <c r="J405" s="299"/>
      <c r="K405" s="299"/>
      <c r="L405" s="1336"/>
      <c r="M405" s="299"/>
      <c r="N405" s="299"/>
      <c r="O405" s="299"/>
      <c r="P405" s="299"/>
      <c r="Q405" s="299"/>
      <c r="R405" s="299"/>
      <c r="S405" s="299"/>
      <c r="T405" s="299"/>
      <c r="U405" s="299"/>
      <c r="V405" s="299"/>
      <c r="W405" s="8"/>
      <c r="X405" s="8"/>
      <c r="Y405" s="8"/>
      <c r="Z405" s="8"/>
    </row>
    <row r="406" spans="1:26" ht="12.75">
      <c r="A406" s="299"/>
      <c r="B406" s="300"/>
      <c r="C406" s="299"/>
      <c r="D406" s="299"/>
      <c r="E406" s="299"/>
      <c r="F406" s="299"/>
      <c r="G406" s="299"/>
      <c r="H406" s="1348"/>
      <c r="I406" s="299"/>
      <c r="J406" s="299"/>
      <c r="K406" s="299"/>
      <c r="L406" s="1336"/>
      <c r="M406" s="299"/>
      <c r="N406" s="299"/>
      <c r="O406" s="299"/>
      <c r="P406" s="299"/>
      <c r="Q406" s="299"/>
      <c r="R406" s="299"/>
      <c r="S406" s="299"/>
      <c r="T406" s="299"/>
      <c r="U406" s="299"/>
      <c r="V406" s="299"/>
      <c r="W406" s="8"/>
      <c r="X406" s="8"/>
      <c r="Y406" s="8"/>
      <c r="Z406" s="8"/>
    </row>
    <row r="407" spans="1:26" ht="12.75">
      <c r="A407" s="299"/>
      <c r="B407" s="300"/>
      <c r="C407" s="299"/>
      <c r="D407" s="299"/>
      <c r="E407" s="299"/>
      <c r="F407" s="299"/>
      <c r="G407" s="299"/>
      <c r="H407" s="1348"/>
      <c r="I407" s="299"/>
      <c r="J407" s="299"/>
      <c r="K407" s="299"/>
      <c r="L407" s="1336"/>
      <c r="M407" s="299"/>
      <c r="N407" s="299"/>
      <c r="O407" s="299"/>
      <c r="P407" s="299"/>
      <c r="Q407" s="299"/>
      <c r="R407" s="299"/>
      <c r="S407" s="299"/>
      <c r="T407" s="299"/>
      <c r="U407" s="299"/>
      <c r="V407" s="299"/>
      <c r="W407" s="8"/>
      <c r="X407" s="8"/>
      <c r="Y407" s="8"/>
      <c r="Z407" s="8"/>
    </row>
    <row r="408" spans="1:26" ht="12.75">
      <c r="A408" s="299"/>
      <c r="B408" s="300"/>
      <c r="C408" s="299"/>
      <c r="D408" s="299"/>
      <c r="E408" s="299"/>
      <c r="F408" s="299"/>
      <c r="G408" s="299"/>
      <c r="H408" s="1348"/>
      <c r="I408" s="299"/>
      <c r="J408" s="299"/>
      <c r="K408" s="299"/>
      <c r="L408" s="1336"/>
      <c r="M408" s="299"/>
      <c r="N408" s="299"/>
      <c r="O408" s="299"/>
      <c r="P408" s="299"/>
      <c r="Q408" s="299"/>
      <c r="R408" s="299"/>
      <c r="S408" s="299"/>
      <c r="T408" s="299"/>
      <c r="U408" s="299"/>
      <c r="V408" s="299"/>
      <c r="W408" s="8"/>
      <c r="X408" s="8"/>
      <c r="Y408" s="8"/>
      <c r="Z408" s="8"/>
    </row>
    <row r="409" spans="1:26" ht="12.75">
      <c r="A409" s="299"/>
      <c r="B409" s="300"/>
      <c r="C409" s="299"/>
      <c r="D409" s="299"/>
      <c r="E409" s="299"/>
      <c r="F409" s="299"/>
      <c r="G409" s="299"/>
      <c r="H409" s="1348"/>
      <c r="I409" s="299"/>
      <c r="J409" s="299"/>
      <c r="K409" s="299"/>
      <c r="L409" s="1336"/>
      <c r="M409" s="299"/>
      <c r="N409" s="299"/>
      <c r="O409" s="299"/>
      <c r="P409" s="299"/>
      <c r="Q409" s="299"/>
      <c r="R409" s="299"/>
      <c r="S409" s="299"/>
      <c r="T409" s="299"/>
      <c r="U409" s="299"/>
      <c r="V409" s="299"/>
      <c r="W409" s="8"/>
      <c r="X409" s="8"/>
      <c r="Y409" s="8"/>
      <c r="Z409" s="8"/>
    </row>
    <row r="410" spans="1:26" ht="12.75">
      <c r="A410" s="299"/>
      <c r="B410" s="300"/>
      <c r="C410" s="299"/>
      <c r="D410" s="299"/>
      <c r="E410" s="299"/>
      <c r="F410" s="299"/>
      <c r="G410" s="299"/>
      <c r="H410" s="1348"/>
      <c r="I410" s="299"/>
      <c r="J410" s="299"/>
      <c r="K410" s="299"/>
      <c r="L410" s="1336"/>
      <c r="M410" s="299"/>
      <c r="N410" s="299"/>
      <c r="O410" s="299"/>
      <c r="P410" s="299"/>
      <c r="Q410" s="299"/>
      <c r="R410" s="299"/>
      <c r="S410" s="299"/>
      <c r="T410" s="299"/>
      <c r="U410" s="299"/>
      <c r="V410" s="299"/>
      <c r="W410" s="8"/>
      <c r="X410" s="8"/>
      <c r="Y410" s="8"/>
      <c r="Z410" s="8"/>
    </row>
    <row r="411" spans="1:26" ht="12.75">
      <c r="A411" s="299"/>
      <c r="B411" s="300"/>
      <c r="C411" s="299"/>
      <c r="D411" s="299"/>
      <c r="E411" s="299"/>
      <c r="F411" s="299"/>
      <c r="G411" s="299"/>
      <c r="H411" s="1348"/>
      <c r="I411" s="299"/>
      <c r="J411" s="299"/>
      <c r="K411" s="299"/>
      <c r="L411" s="1336"/>
      <c r="M411" s="299"/>
      <c r="N411" s="299"/>
      <c r="O411" s="299"/>
      <c r="P411" s="299"/>
      <c r="Q411" s="299"/>
      <c r="R411" s="299"/>
      <c r="S411" s="299"/>
      <c r="T411" s="299"/>
      <c r="U411" s="299"/>
      <c r="V411" s="299"/>
      <c r="W411" s="8"/>
      <c r="X411" s="8"/>
      <c r="Y411" s="8"/>
      <c r="Z411" s="8"/>
    </row>
    <row r="412" spans="1:26" ht="12.75">
      <c r="A412" s="299"/>
      <c r="B412" s="300"/>
      <c r="C412" s="299"/>
      <c r="D412" s="299"/>
      <c r="E412" s="299"/>
      <c r="F412" s="299"/>
      <c r="G412" s="299"/>
      <c r="H412" s="1348"/>
      <c r="I412" s="299"/>
      <c r="J412" s="299"/>
      <c r="K412" s="299"/>
      <c r="L412" s="1336"/>
      <c r="M412" s="299"/>
      <c r="N412" s="299"/>
      <c r="O412" s="299"/>
      <c r="P412" s="299"/>
      <c r="Q412" s="299"/>
      <c r="R412" s="299"/>
      <c r="S412" s="299"/>
      <c r="T412" s="299"/>
      <c r="U412" s="299"/>
      <c r="V412" s="299"/>
      <c r="W412" s="8"/>
      <c r="X412" s="8"/>
      <c r="Y412" s="8"/>
      <c r="Z412" s="8"/>
    </row>
    <row r="413" spans="1:26" ht="12.75">
      <c r="A413" s="299"/>
      <c r="B413" s="300"/>
      <c r="C413" s="299"/>
      <c r="D413" s="299"/>
      <c r="E413" s="299"/>
      <c r="F413" s="299"/>
      <c r="G413" s="299"/>
      <c r="H413" s="1348"/>
      <c r="I413" s="299"/>
      <c r="J413" s="299"/>
      <c r="K413" s="299"/>
      <c r="L413" s="1336"/>
      <c r="M413" s="299"/>
      <c r="N413" s="299"/>
      <c r="O413" s="299"/>
      <c r="P413" s="299"/>
      <c r="Q413" s="299"/>
      <c r="R413" s="299"/>
      <c r="S413" s="299"/>
      <c r="T413" s="299"/>
      <c r="U413" s="299"/>
      <c r="V413" s="299"/>
      <c r="W413" s="8"/>
      <c r="X413" s="8"/>
      <c r="Y413" s="8"/>
      <c r="Z413" s="8"/>
    </row>
    <row r="414" spans="1:26" ht="12.75">
      <c r="A414" s="299"/>
      <c r="B414" s="300"/>
      <c r="C414" s="299"/>
      <c r="D414" s="299"/>
      <c r="E414" s="299"/>
      <c r="F414" s="299"/>
      <c r="G414" s="299"/>
      <c r="H414" s="1348"/>
      <c r="I414" s="299"/>
      <c r="J414" s="299"/>
      <c r="K414" s="299"/>
      <c r="L414" s="1336"/>
      <c r="M414" s="299"/>
      <c r="N414" s="299"/>
      <c r="O414" s="299"/>
      <c r="P414" s="299"/>
      <c r="Q414" s="299"/>
      <c r="R414" s="299"/>
      <c r="S414" s="299"/>
      <c r="T414" s="299"/>
      <c r="U414" s="299"/>
      <c r="V414" s="299"/>
      <c r="W414" s="8"/>
      <c r="X414" s="8"/>
      <c r="Y414" s="8"/>
      <c r="Z414" s="8"/>
    </row>
    <row r="415" spans="1:26" ht="12.75">
      <c r="A415" s="299"/>
      <c r="B415" s="300"/>
      <c r="C415" s="299"/>
      <c r="D415" s="299"/>
      <c r="E415" s="299"/>
      <c r="F415" s="299"/>
      <c r="G415" s="299"/>
      <c r="H415" s="1348"/>
      <c r="I415" s="299"/>
      <c r="J415" s="299"/>
      <c r="K415" s="299"/>
      <c r="L415" s="1336"/>
      <c r="M415" s="299"/>
      <c r="N415" s="299"/>
      <c r="O415" s="299"/>
      <c r="P415" s="299"/>
      <c r="Q415" s="299"/>
      <c r="R415" s="299"/>
      <c r="S415" s="299"/>
      <c r="T415" s="299"/>
      <c r="U415" s="299"/>
      <c r="V415" s="299"/>
      <c r="W415" s="8"/>
      <c r="X415" s="8"/>
      <c r="Y415" s="8"/>
      <c r="Z415" s="8"/>
    </row>
    <row r="416" spans="1:26" ht="12.75">
      <c r="A416" s="299"/>
      <c r="B416" s="300"/>
      <c r="C416" s="299"/>
      <c r="D416" s="299"/>
      <c r="E416" s="299"/>
      <c r="F416" s="299"/>
      <c r="G416" s="299"/>
      <c r="H416" s="1348"/>
      <c r="I416" s="299"/>
      <c r="J416" s="299"/>
      <c r="K416" s="299"/>
      <c r="L416" s="1336"/>
      <c r="M416" s="299"/>
      <c r="N416" s="299"/>
      <c r="O416" s="299"/>
      <c r="P416" s="299"/>
      <c r="Q416" s="299"/>
      <c r="R416" s="299"/>
      <c r="S416" s="299"/>
      <c r="T416" s="299"/>
      <c r="U416" s="299"/>
      <c r="V416" s="299"/>
      <c r="W416" s="8"/>
      <c r="X416" s="8"/>
      <c r="Y416" s="8"/>
      <c r="Z416" s="8"/>
    </row>
    <row r="417" spans="1:26" ht="12.75">
      <c r="A417" s="299"/>
      <c r="B417" s="300"/>
      <c r="C417" s="299"/>
      <c r="D417" s="299"/>
      <c r="E417" s="299"/>
      <c r="F417" s="299"/>
      <c r="G417" s="299"/>
      <c r="H417" s="1348"/>
      <c r="I417" s="299"/>
      <c r="J417" s="299"/>
      <c r="K417" s="299"/>
      <c r="L417" s="1336"/>
      <c r="M417" s="299"/>
      <c r="N417" s="299"/>
      <c r="O417" s="299"/>
      <c r="P417" s="299"/>
      <c r="Q417" s="299"/>
      <c r="R417" s="299"/>
      <c r="S417" s="299"/>
      <c r="T417" s="299"/>
      <c r="U417" s="299"/>
      <c r="V417" s="299"/>
      <c r="W417" s="8"/>
      <c r="X417" s="8"/>
      <c r="Y417" s="8"/>
      <c r="Z417" s="8"/>
    </row>
    <row r="418" spans="1:26" ht="12.75">
      <c r="A418" s="299"/>
      <c r="B418" s="300"/>
      <c r="C418" s="299"/>
      <c r="D418" s="299"/>
      <c r="E418" s="299"/>
      <c r="F418" s="299"/>
      <c r="G418" s="299"/>
      <c r="H418" s="1348"/>
      <c r="I418" s="299"/>
      <c r="J418" s="299"/>
      <c r="K418" s="299"/>
      <c r="L418" s="1336"/>
      <c r="M418" s="299"/>
      <c r="N418" s="299"/>
      <c r="O418" s="299"/>
      <c r="P418" s="299"/>
      <c r="Q418" s="299"/>
      <c r="R418" s="299"/>
      <c r="S418" s="299"/>
      <c r="T418" s="299"/>
      <c r="U418" s="299"/>
      <c r="V418" s="299"/>
      <c r="W418" s="8"/>
      <c r="X418" s="8"/>
      <c r="Y418" s="8"/>
      <c r="Z418" s="8"/>
    </row>
    <row r="419" spans="1:26" ht="12.75">
      <c r="A419" s="299"/>
      <c r="B419" s="300"/>
      <c r="C419" s="299"/>
      <c r="D419" s="299"/>
      <c r="E419" s="299"/>
      <c r="F419" s="299"/>
      <c r="G419" s="299"/>
      <c r="H419" s="1348"/>
      <c r="I419" s="299"/>
      <c r="J419" s="299"/>
      <c r="K419" s="299"/>
      <c r="L419" s="1336"/>
      <c r="M419" s="299"/>
      <c r="N419" s="299"/>
      <c r="O419" s="299"/>
      <c r="P419" s="299"/>
      <c r="Q419" s="299"/>
      <c r="R419" s="299"/>
      <c r="S419" s="299"/>
      <c r="T419" s="299"/>
      <c r="U419" s="299"/>
      <c r="V419" s="299"/>
      <c r="W419" s="8"/>
      <c r="X419" s="8"/>
      <c r="Y419" s="8"/>
      <c r="Z419" s="8"/>
    </row>
    <row r="420" spans="1:26" ht="12.75">
      <c r="A420" s="299"/>
      <c r="B420" s="300"/>
      <c r="C420" s="299"/>
      <c r="D420" s="299"/>
      <c r="E420" s="299"/>
      <c r="F420" s="299"/>
      <c r="G420" s="299"/>
      <c r="H420" s="1348"/>
      <c r="I420" s="299"/>
      <c r="J420" s="299"/>
      <c r="K420" s="299"/>
      <c r="L420" s="1336"/>
      <c r="M420" s="299"/>
      <c r="N420" s="299"/>
      <c r="O420" s="299"/>
      <c r="P420" s="299"/>
      <c r="Q420" s="299"/>
      <c r="R420" s="299"/>
      <c r="S420" s="299"/>
      <c r="T420" s="299"/>
      <c r="U420" s="299"/>
      <c r="V420" s="299"/>
      <c r="W420" s="8"/>
      <c r="X420" s="8"/>
      <c r="Y420" s="8"/>
      <c r="Z420" s="8"/>
    </row>
    <row r="421" spans="1:26" ht="12.75">
      <c r="A421" s="299"/>
      <c r="B421" s="300"/>
      <c r="C421" s="299"/>
      <c r="D421" s="299"/>
      <c r="E421" s="299"/>
      <c r="F421" s="299"/>
      <c r="G421" s="299"/>
      <c r="H421" s="1348"/>
      <c r="I421" s="299"/>
      <c r="J421" s="299"/>
      <c r="K421" s="299"/>
      <c r="L421" s="1336"/>
      <c r="M421" s="299"/>
      <c r="N421" s="299"/>
      <c r="O421" s="299"/>
      <c r="P421" s="299"/>
      <c r="Q421" s="299"/>
      <c r="R421" s="299"/>
      <c r="S421" s="299"/>
      <c r="T421" s="299"/>
      <c r="U421" s="299"/>
      <c r="V421" s="299"/>
      <c r="W421" s="8"/>
      <c r="X421" s="8"/>
      <c r="Y421" s="8"/>
      <c r="Z421" s="8"/>
    </row>
    <row r="422" spans="1:26" ht="12.75">
      <c r="A422" s="299"/>
      <c r="B422" s="300"/>
      <c r="C422" s="299"/>
      <c r="D422" s="299"/>
      <c r="E422" s="299"/>
      <c r="F422" s="299"/>
      <c r="G422" s="299"/>
      <c r="H422" s="1348"/>
      <c r="I422" s="299"/>
      <c r="J422" s="299"/>
      <c r="K422" s="299"/>
      <c r="L422" s="1336"/>
      <c r="M422" s="299"/>
      <c r="N422" s="299"/>
      <c r="O422" s="299"/>
      <c r="P422" s="299"/>
      <c r="Q422" s="299"/>
      <c r="R422" s="299"/>
      <c r="S422" s="299"/>
      <c r="T422" s="299"/>
      <c r="U422" s="299"/>
      <c r="V422" s="299"/>
      <c r="W422" s="8"/>
      <c r="X422" s="8"/>
      <c r="Y422" s="8"/>
      <c r="Z422" s="8"/>
    </row>
    <row r="423" spans="1:26" ht="12.75">
      <c r="A423" s="299"/>
      <c r="B423" s="300"/>
      <c r="C423" s="299"/>
      <c r="D423" s="299"/>
      <c r="E423" s="299"/>
      <c r="F423" s="299"/>
      <c r="G423" s="299"/>
      <c r="H423" s="1348"/>
      <c r="I423" s="299"/>
      <c r="J423" s="299"/>
      <c r="K423" s="299"/>
      <c r="L423" s="1336"/>
      <c r="M423" s="299"/>
      <c r="N423" s="299"/>
      <c r="O423" s="299"/>
      <c r="P423" s="299"/>
      <c r="Q423" s="299"/>
      <c r="R423" s="299"/>
      <c r="S423" s="299"/>
      <c r="T423" s="299"/>
      <c r="U423" s="299"/>
      <c r="V423" s="299"/>
      <c r="W423" s="8"/>
      <c r="X423" s="8"/>
      <c r="Y423" s="8"/>
      <c r="Z423" s="8"/>
    </row>
    <row r="424" spans="1:26" ht="12.75">
      <c r="A424" s="299"/>
      <c r="B424" s="300"/>
      <c r="C424" s="299"/>
      <c r="D424" s="299"/>
      <c r="E424" s="299"/>
      <c r="F424" s="299"/>
      <c r="G424" s="299"/>
      <c r="H424" s="1348"/>
      <c r="I424" s="299"/>
      <c r="J424" s="299"/>
      <c r="K424" s="299"/>
      <c r="L424" s="1336"/>
      <c r="M424" s="299"/>
      <c r="N424" s="299"/>
      <c r="O424" s="299"/>
      <c r="P424" s="299"/>
      <c r="Q424" s="299"/>
      <c r="R424" s="299"/>
      <c r="S424" s="299"/>
      <c r="T424" s="299"/>
      <c r="U424" s="299"/>
      <c r="V424" s="299"/>
      <c r="W424" s="8"/>
      <c r="X424" s="8"/>
      <c r="Y424" s="8"/>
      <c r="Z424" s="8"/>
    </row>
    <row r="425" spans="1:26" ht="12.75">
      <c r="A425" s="299"/>
      <c r="B425" s="300"/>
      <c r="C425" s="299"/>
      <c r="D425" s="299"/>
      <c r="E425" s="299"/>
      <c r="F425" s="299"/>
      <c r="G425" s="299"/>
      <c r="H425" s="1348"/>
      <c r="I425" s="299"/>
      <c r="J425" s="299"/>
      <c r="K425" s="299"/>
      <c r="L425" s="1336"/>
      <c r="M425" s="299"/>
      <c r="N425" s="299"/>
      <c r="O425" s="299"/>
      <c r="P425" s="299"/>
      <c r="Q425" s="299"/>
      <c r="R425" s="299"/>
      <c r="S425" s="299"/>
      <c r="T425" s="299"/>
      <c r="U425" s="299"/>
      <c r="V425" s="299"/>
      <c r="W425" s="8"/>
      <c r="X425" s="8"/>
      <c r="Y425" s="8"/>
      <c r="Z425" s="8"/>
    </row>
    <row r="426" spans="1:26" ht="12.75">
      <c r="A426" s="299"/>
      <c r="B426" s="300"/>
      <c r="C426" s="299"/>
      <c r="D426" s="299"/>
      <c r="E426" s="299"/>
      <c r="F426" s="299"/>
      <c r="G426" s="299"/>
      <c r="H426" s="1348"/>
      <c r="I426" s="299"/>
      <c r="J426" s="299"/>
      <c r="K426" s="299"/>
      <c r="L426" s="1336"/>
      <c r="M426" s="299"/>
      <c r="N426" s="299"/>
      <c r="O426" s="299"/>
      <c r="P426" s="299"/>
      <c r="Q426" s="299"/>
      <c r="R426" s="299"/>
      <c r="S426" s="299"/>
      <c r="T426" s="299"/>
      <c r="U426" s="299"/>
      <c r="V426" s="299"/>
      <c r="W426" s="8"/>
      <c r="X426" s="8"/>
      <c r="Y426" s="8"/>
      <c r="Z426" s="8"/>
    </row>
    <row r="427" spans="1:26" ht="12.75">
      <c r="A427" s="299"/>
      <c r="B427" s="300"/>
      <c r="C427" s="299"/>
      <c r="D427" s="299"/>
      <c r="E427" s="299"/>
      <c r="F427" s="299"/>
      <c r="G427" s="299"/>
      <c r="H427" s="1348"/>
      <c r="I427" s="299"/>
      <c r="J427" s="299"/>
      <c r="K427" s="299"/>
      <c r="L427" s="1336"/>
      <c r="M427" s="299"/>
      <c r="N427" s="299"/>
      <c r="O427" s="299"/>
      <c r="P427" s="299"/>
      <c r="Q427" s="299"/>
      <c r="R427" s="299"/>
      <c r="S427" s="299"/>
      <c r="T427" s="299"/>
      <c r="U427" s="299"/>
      <c r="V427" s="299"/>
      <c r="W427" s="8"/>
      <c r="X427" s="8"/>
      <c r="Y427" s="8"/>
      <c r="Z427" s="8"/>
    </row>
    <row r="428" spans="1:26" ht="12.75">
      <c r="A428" s="299"/>
      <c r="B428" s="300"/>
      <c r="C428" s="299"/>
      <c r="D428" s="299"/>
      <c r="E428" s="299"/>
      <c r="F428" s="299"/>
      <c r="G428" s="299"/>
      <c r="H428" s="1348"/>
      <c r="I428" s="299"/>
      <c r="J428" s="299"/>
      <c r="K428" s="299"/>
      <c r="L428" s="1336"/>
      <c r="M428" s="299"/>
      <c r="N428" s="299"/>
      <c r="O428" s="299"/>
      <c r="P428" s="299"/>
      <c r="Q428" s="299"/>
      <c r="R428" s="299"/>
      <c r="S428" s="299"/>
      <c r="T428" s="299"/>
      <c r="U428" s="299"/>
      <c r="V428" s="299"/>
      <c r="W428" s="8"/>
      <c r="X428" s="8"/>
      <c r="Y428" s="8"/>
      <c r="Z428" s="8"/>
    </row>
    <row r="429" spans="1:26" ht="12.75">
      <c r="A429" s="299"/>
      <c r="B429" s="300"/>
      <c r="C429" s="299"/>
      <c r="D429" s="299"/>
      <c r="E429" s="299"/>
      <c r="F429" s="299"/>
      <c r="G429" s="299"/>
      <c r="H429" s="1348"/>
      <c r="I429" s="299"/>
      <c r="J429" s="299"/>
      <c r="K429" s="299"/>
      <c r="L429" s="1336"/>
      <c r="M429" s="299"/>
      <c r="N429" s="299"/>
      <c r="O429" s="299"/>
      <c r="P429" s="299"/>
      <c r="Q429" s="299"/>
      <c r="R429" s="299"/>
      <c r="S429" s="299"/>
      <c r="T429" s="299"/>
      <c r="U429" s="299"/>
      <c r="V429" s="299"/>
      <c r="W429" s="8"/>
      <c r="X429" s="8"/>
      <c r="Y429" s="8"/>
      <c r="Z429" s="8"/>
    </row>
    <row r="430" spans="1:26" ht="12.75">
      <c r="A430" s="299"/>
      <c r="B430" s="300"/>
      <c r="C430" s="299"/>
      <c r="D430" s="299"/>
      <c r="E430" s="299"/>
      <c r="F430" s="299"/>
      <c r="G430" s="299"/>
      <c r="H430" s="1348"/>
      <c r="I430" s="299"/>
      <c r="J430" s="299"/>
      <c r="K430" s="299"/>
      <c r="L430" s="1336"/>
      <c r="M430" s="299"/>
      <c r="N430" s="299"/>
      <c r="O430" s="299"/>
      <c r="P430" s="299"/>
      <c r="Q430" s="299"/>
      <c r="R430" s="299"/>
      <c r="S430" s="299"/>
      <c r="T430" s="299"/>
      <c r="U430" s="299"/>
      <c r="V430" s="299"/>
      <c r="W430" s="8"/>
      <c r="X430" s="8"/>
      <c r="Y430" s="8"/>
      <c r="Z430" s="8"/>
    </row>
    <row r="431" spans="1:26" ht="12.75">
      <c r="A431" s="299"/>
      <c r="B431" s="300"/>
      <c r="C431" s="299"/>
      <c r="D431" s="299"/>
      <c r="E431" s="299"/>
      <c r="F431" s="299"/>
      <c r="G431" s="299"/>
      <c r="H431" s="1348"/>
      <c r="I431" s="299"/>
      <c r="J431" s="299"/>
      <c r="K431" s="299"/>
      <c r="L431" s="1336"/>
      <c r="M431" s="299"/>
      <c r="N431" s="299"/>
      <c r="O431" s="299"/>
      <c r="P431" s="299"/>
      <c r="Q431" s="299"/>
      <c r="R431" s="299"/>
      <c r="S431" s="299"/>
      <c r="T431" s="299"/>
      <c r="U431" s="299"/>
      <c r="V431" s="299"/>
      <c r="W431" s="8"/>
      <c r="X431" s="8"/>
      <c r="Y431" s="8"/>
      <c r="Z431" s="8"/>
    </row>
    <row r="432" spans="1:26" ht="12.75">
      <c r="A432" s="299"/>
      <c r="B432" s="300"/>
      <c r="C432" s="299"/>
      <c r="D432" s="299"/>
      <c r="E432" s="299"/>
      <c r="F432" s="299"/>
      <c r="G432" s="299"/>
      <c r="H432" s="1348"/>
      <c r="I432" s="299"/>
      <c r="J432" s="299"/>
      <c r="K432" s="299"/>
      <c r="L432" s="1336"/>
      <c r="M432" s="299"/>
      <c r="N432" s="299"/>
      <c r="O432" s="299"/>
      <c r="P432" s="299"/>
      <c r="Q432" s="299"/>
      <c r="R432" s="299"/>
      <c r="S432" s="299"/>
      <c r="T432" s="299"/>
      <c r="U432" s="299"/>
      <c r="V432" s="299"/>
      <c r="W432" s="8"/>
      <c r="X432" s="8"/>
      <c r="Y432" s="8"/>
      <c r="Z432" s="8"/>
    </row>
    <row r="433" spans="1:26" ht="12.75">
      <c r="A433" s="299"/>
      <c r="B433" s="300"/>
      <c r="C433" s="299"/>
      <c r="D433" s="299"/>
      <c r="E433" s="299"/>
      <c r="F433" s="299"/>
      <c r="G433" s="299"/>
      <c r="H433" s="1348"/>
      <c r="I433" s="299"/>
      <c r="J433" s="299"/>
      <c r="K433" s="299"/>
      <c r="L433" s="1336"/>
      <c r="M433" s="299"/>
      <c r="N433" s="299"/>
      <c r="O433" s="299"/>
      <c r="P433" s="299"/>
      <c r="Q433" s="299"/>
      <c r="R433" s="299"/>
      <c r="S433" s="299"/>
      <c r="T433" s="299"/>
      <c r="U433" s="299"/>
      <c r="V433" s="299"/>
      <c r="W433" s="8"/>
      <c r="X433" s="8"/>
      <c r="Y433" s="8"/>
      <c r="Z433" s="8"/>
    </row>
    <row r="434" spans="1:26" ht="12.75">
      <c r="A434" s="299"/>
      <c r="B434" s="300"/>
      <c r="C434" s="299"/>
      <c r="D434" s="299"/>
      <c r="E434" s="299"/>
      <c r="F434" s="299"/>
      <c r="G434" s="299"/>
      <c r="H434" s="1348"/>
      <c r="I434" s="299"/>
      <c r="J434" s="299"/>
      <c r="K434" s="299"/>
      <c r="L434" s="1336"/>
      <c r="M434" s="299"/>
      <c r="N434" s="299"/>
      <c r="O434" s="299"/>
      <c r="P434" s="299"/>
      <c r="Q434" s="299"/>
      <c r="R434" s="299"/>
      <c r="S434" s="299"/>
      <c r="T434" s="299"/>
      <c r="U434" s="299"/>
      <c r="V434" s="299"/>
      <c r="W434" s="8"/>
      <c r="X434" s="8"/>
      <c r="Y434" s="8"/>
      <c r="Z434" s="8"/>
    </row>
    <row r="435" spans="1:26" ht="12.75">
      <c r="A435" s="299"/>
      <c r="B435" s="300"/>
      <c r="C435" s="299"/>
      <c r="D435" s="299"/>
      <c r="E435" s="299"/>
      <c r="F435" s="299"/>
      <c r="G435" s="299"/>
      <c r="H435" s="1348"/>
      <c r="I435" s="299"/>
      <c r="J435" s="299"/>
      <c r="K435" s="299"/>
      <c r="L435" s="1336"/>
      <c r="M435" s="299"/>
      <c r="N435" s="299"/>
      <c r="O435" s="299"/>
      <c r="P435" s="299"/>
      <c r="Q435" s="299"/>
      <c r="R435" s="299"/>
      <c r="S435" s="299"/>
      <c r="T435" s="299"/>
      <c r="U435" s="299"/>
      <c r="V435" s="299"/>
      <c r="W435" s="8"/>
      <c r="X435" s="8"/>
      <c r="Y435" s="8"/>
      <c r="Z435" s="8"/>
    </row>
    <row r="436" spans="1:26" ht="12.75">
      <c r="A436" s="299"/>
      <c r="B436" s="300"/>
      <c r="C436" s="299"/>
      <c r="D436" s="299"/>
      <c r="E436" s="299"/>
      <c r="F436" s="299"/>
      <c r="G436" s="299"/>
      <c r="H436" s="1348"/>
      <c r="I436" s="299"/>
      <c r="J436" s="299"/>
      <c r="K436" s="299"/>
      <c r="L436" s="1336"/>
      <c r="M436" s="299"/>
      <c r="N436" s="299"/>
      <c r="O436" s="299"/>
      <c r="P436" s="299"/>
      <c r="Q436" s="299"/>
      <c r="R436" s="299"/>
      <c r="S436" s="299"/>
      <c r="T436" s="299"/>
      <c r="U436" s="299"/>
      <c r="V436" s="299"/>
      <c r="W436" s="8"/>
      <c r="X436" s="8"/>
      <c r="Y436" s="8"/>
      <c r="Z436" s="8"/>
    </row>
    <row r="437" spans="1:26" ht="12.75">
      <c r="A437" s="299"/>
      <c r="B437" s="300"/>
      <c r="C437" s="299"/>
      <c r="D437" s="299"/>
      <c r="E437" s="299"/>
      <c r="F437" s="299"/>
      <c r="G437" s="299"/>
      <c r="H437" s="1348"/>
      <c r="I437" s="299"/>
      <c r="J437" s="299"/>
      <c r="K437" s="299"/>
      <c r="L437" s="1336"/>
      <c r="M437" s="299"/>
      <c r="N437" s="299"/>
      <c r="O437" s="299"/>
      <c r="P437" s="299"/>
      <c r="Q437" s="299"/>
      <c r="R437" s="299"/>
      <c r="S437" s="299"/>
      <c r="T437" s="299"/>
      <c r="U437" s="299"/>
      <c r="V437" s="299"/>
      <c r="W437" s="8"/>
      <c r="X437" s="8"/>
      <c r="Y437" s="8"/>
      <c r="Z437" s="8"/>
    </row>
    <row r="438" spans="1:26" ht="12.75">
      <c r="A438" s="299"/>
      <c r="B438" s="300"/>
      <c r="C438" s="299"/>
      <c r="D438" s="299"/>
      <c r="E438" s="299"/>
      <c r="F438" s="299"/>
      <c r="G438" s="299"/>
      <c r="H438" s="1348"/>
      <c r="I438" s="299"/>
      <c r="J438" s="299"/>
      <c r="K438" s="299"/>
      <c r="L438" s="1336"/>
      <c r="M438" s="299"/>
      <c r="N438" s="299"/>
      <c r="O438" s="299"/>
      <c r="P438" s="299"/>
      <c r="Q438" s="299"/>
      <c r="R438" s="299"/>
      <c r="S438" s="299"/>
      <c r="T438" s="299"/>
      <c r="U438" s="299"/>
      <c r="V438" s="299"/>
      <c r="W438" s="8"/>
      <c r="X438" s="8"/>
      <c r="Y438" s="8"/>
      <c r="Z438" s="8"/>
    </row>
    <row r="439" spans="1:26" ht="12.75">
      <c r="A439" s="299"/>
      <c r="B439" s="300"/>
      <c r="C439" s="299"/>
      <c r="D439" s="299"/>
      <c r="E439" s="299"/>
      <c r="F439" s="299"/>
      <c r="G439" s="299"/>
      <c r="H439" s="1348"/>
      <c r="I439" s="299"/>
      <c r="J439" s="299"/>
      <c r="K439" s="299"/>
      <c r="L439" s="1336"/>
      <c r="M439" s="299"/>
      <c r="N439" s="299"/>
      <c r="O439" s="299"/>
      <c r="P439" s="299"/>
      <c r="Q439" s="299"/>
      <c r="R439" s="299"/>
      <c r="S439" s="299"/>
      <c r="T439" s="299"/>
      <c r="U439" s="299"/>
      <c r="V439" s="299"/>
      <c r="W439" s="8"/>
      <c r="X439" s="8"/>
      <c r="Y439" s="8"/>
      <c r="Z439" s="8"/>
    </row>
    <row r="440" spans="1:26" ht="12.75">
      <c r="A440" s="299"/>
      <c r="B440" s="300"/>
      <c r="C440" s="299"/>
      <c r="D440" s="299"/>
      <c r="E440" s="299"/>
      <c r="F440" s="299"/>
      <c r="G440" s="299"/>
      <c r="H440" s="1348"/>
      <c r="I440" s="299"/>
      <c r="J440" s="299"/>
      <c r="K440" s="299"/>
      <c r="L440" s="1336"/>
      <c r="M440" s="299"/>
      <c r="N440" s="299"/>
      <c r="O440" s="299"/>
      <c r="P440" s="299"/>
      <c r="Q440" s="299"/>
      <c r="R440" s="299"/>
      <c r="S440" s="299"/>
      <c r="T440" s="299"/>
      <c r="U440" s="299"/>
      <c r="V440" s="299"/>
      <c r="W440" s="8"/>
      <c r="X440" s="8"/>
      <c r="Y440" s="8"/>
      <c r="Z440" s="8"/>
    </row>
    <row r="441" spans="1:26" ht="12.75">
      <c r="A441" s="299"/>
      <c r="B441" s="300"/>
      <c r="C441" s="299"/>
      <c r="D441" s="299"/>
      <c r="E441" s="299"/>
      <c r="F441" s="299"/>
      <c r="G441" s="299"/>
      <c r="H441" s="1348"/>
      <c r="I441" s="299"/>
      <c r="J441" s="299"/>
      <c r="K441" s="299"/>
      <c r="L441" s="1336"/>
      <c r="M441" s="299"/>
      <c r="N441" s="299"/>
      <c r="O441" s="299"/>
      <c r="P441" s="299"/>
      <c r="Q441" s="299"/>
      <c r="R441" s="299"/>
      <c r="S441" s="299"/>
      <c r="T441" s="299"/>
      <c r="U441" s="299"/>
      <c r="V441" s="299"/>
      <c r="W441" s="8"/>
      <c r="X441" s="8"/>
      <c r="Y441" s="8"/>
      <c r="Z441" s="8"/>
    </row>
    <row r="442" spans="1:26" ht="12.75">
      <c r="A442" s="299"/>
      <c r="B442" s="300"/>
      <c r="C442" s="299"/>
      <c r="D442" s="299"/>
      <c r="E442" s="299"/>
      <c r="F442" s="299"/>
      <c r="G442" s="299"/>
      <c r="H442" s="1348"/>
      <c r="I442" s="299"/>
      <c r="J442" s="299"/>
      <c r="K442" s="299"/>
      <c r="L442" s="1336"/>
      <c r="M442" s="299"/>
      <c r="N442" s="299"/>
      <c r="O442" s="299"/>
      <c r="P442" s="299"/>
      <c r="Q442" s="299"/>
      <c r="R442" s="299"/>
      <c r="S442" s="299"/>
      <c r="T442" s="299"/>
      <c r="U442" s="299"/>
      <c r="V442" s="299"/>
      <c r="W442" s="8"/>
      <c r="X442" s="8"/>
      <c r="Y442" s="8"/>
      <c r="Z442" s="8"/>
    </row>
    <row r="443" spans="1:26" ht="12.75">
      <c r="A443" s="299"/>
      <c r="B443" s="300"/>
      <c r="C443" s="299"/>
      <c r="D443" s="299"/>
      <c r="E443" s="299"/>
      <c r="F443" s="299"/>
      <c r="G443" s="299"/>
      <c r="H443" s="1348"/>
      <c r="I443" s="299"/>
      <c r="J443" s="299"/>
      <c r="K443" s="299"/>
      <c r="L443" s="1336"/>
      <c r="M443" s="299"/>
      <c r="N443" s="299"/>
      <c r="O443" s="299"/>
      <c r="P443" s="299"/>
      <c r="Q443" s="299"/>
      <c r="R443" s="299"/>
      <c r="S443" s="299"/>
      <c r="T443" s="299"/>
      <c r="U443" s="299"/>
      <c r="V443" s="299"/>
      <c r="W443" s="8"/>
      <c r="X443" s="8"/>
      <c r="Y443" s="8"/>
      <c r="Z443" s="8"/>
    </row>
    <row r="444" spans="1:26" ht="12.75">
      <c r="A444" s="299"/>
      <c r="B444" s="300"/>
      <c r="C444" s="299"/>
      <c r="D444" s="299"/>
      <c r="E444" s="299"/>
      <c r="F444" s="299"/>
      <c r="G444" s="299"/>
      <c r="H444" s="1348"/>
      <c r="I444" s="299"/>
      <c r="J444" s="299"/>
      <c r="K444" s="299"/>
      <c r="L444" s="1336"/>
      <c r="M444" s="299"/>
      <c r="N444" s="299"/>
      <c r="O444" s="299"/>
      <c r="P444" s="299"/>
      <c r="Q444" s="299"/>
      <c r="R444" s="299"/>
      <c r="S444" s="299"/>
      <c r="T444" s="299"/>
      <c r="U444" s="299"/>
      <c r="V444" s="299"/>
      <c r="W444" s="8"/>
      <c r="X444" s="8"/>
      <c r="Y444" s="8"/>
      <c r="Z444" s="8"/>
    </row>
    <row r="445" spans="1:26" ht="12.75">
      <c r="A445" s="299"/>
      <c r="B445" s="300"/>
      <c r="C445" s="299"/>
      <c r="D445" s="299"/>
      <c r="E445" s="299"/>
      <c r="F445" s="299"/>
      <c r="G445" s="299"/>
      <c r="H445" s="1348"/>
      <c r="I445" s="299"/>
      <c r="J445" s="299"/>
      <c r="K445" s="299"/>
      <c r="L445" s="1336"/>
      <c r="M445" s="299"/>
      <c r="N445" s="299"/>
      <c r="O445" s="299"/>
      <c r="P445" s="299"/>
      <c r="Q445" s="299"/>
      <c r="R445" s="299"/>
      <c r="S445" s="299"/>
      <c r="T445" s="299"/>
      <c r="U445" s="299"/>
      <c r="V445" s="299"/>
      <c r="W445" s="8"/>
      <c r="X445" s="8"/>
      <c r="Y445" s="8"/>
      <c r="Z445" s="8"/>
    </row>
    <row r="446" spans="1:26" ht="12.75">
      <c r="A446" s="299"/>
      <c r="B446" s="300"/>
      <c r="C446" s="299"/>
      <c r="D446" s="299"/>
      <c r="E446" s="299"/>
      <c r="F446" s="299"/>
      <c r="G446" s="299"/>
      <c r="H446" s="1348"/>
      <c r="I446" s="299"/>
      <c r="J446" s="299"/>
      <c r="K446" s="299"/>
      <c r="L446" s="1336"/>
      <c r="M446" s="299"/>
      <c r="N446" s="299"/>
      <c r="O446" s="299"/>
      <c r="P446" s="299"/>
      <c r="Q446" s="299"/>
      <c r="R446" s="299"/>
      <c r="S446" s="299"/>
      <c r="T446" s="299"/>
      <c r="U446" s="299"/>
      <c r="V446" s="299"/>
      <c r="W446" s="8"/>
      <c r="X446" s="8"/>
      <c r="Y446" s="8"/>
      <c r="Z446" s="8"/>
    </row>
    <row r="447" spans="1:26" ht="12.75">
      <c r="A447" s="299"/>
      <c r="B447" s="300"/>
      <c r="C447" s="299"/>
      <c r="D447" s="299"/>
      <c r="E447" s="299"/>
      <c r="F447" s="299"/>
      <c r="G447" s="299"/>
      <c r="H447" s="1348"/>
      <c r="I447" s="299"/>
      <c r="J447" s="299"/>
      <c r="K447" s="299"/>
      <c r="L447" s="1336"/>
      <c r="M447" s="299"/>
      <c r="N447" s="299"/>
      <c r="O447" s="299"/>
      <c r="P447" s="299"/>
      <c r="Q447" s="299"/>
      <c r="R447" s="299"/>
      <c r="S447" s="299"/>
      <c r="T447" s="299"/>
      <c r="U447" s="299"/>
      <c r="V447" s="299"/>
      <c r="W447" s="8"/>
      <c r="X447" s="8"/>
      <c r="Y447" s="8"/>
      <c r="Z447" s="8"/>
    </row>
    <row r="448" spans="1:26" ht="12.75">
      <c r="A448" s="299"/>
      <c r="B448" s="300"/>
      <c r="C448" s="299"/>
      <c r="D448" s="299"/>
      <c r="E448" s="299"/>
      <c r="F448" s="299"/>
      <c r="G448" s="299"/>
      <c r="H448" s="1348"/>
      <c r="I448" s="299"/>
      <c r="J448" s="299"/>
      <c r="K448" s="299"/>
      <c r="L448" s="1336"/>
      <c r="M448" s="299"/>
      <c r="N448" s="299"/>
      <c r="O448" s="299"/>
      <c r="P448" s="299"/>
      <c r="Q448" s="299"/>
      <c r="R448" s="299"/>
      <c r="S448" s="299"/>
      <c r="T448" s="299"/>
      <c r="U448" s="299"/>
      <c r="V448" s="299"/>
      <c r="W448" s="8"/>
      <c r="X448" s="8"/>
      <c r="Y448" s="8"/>
      <c r="Z448" s="8"/>
    </row>
    <row r="449" spans="1:26" ht="12.75">
      <c r="A449" s="299"/>
      <c r="B449" s="300"/>
      <c r="C449" s="299"/>
      <c r="D449" s="299"/>
      <c r="E449" s="299"/>
      <c r="F449" s="299"/>
      <c r="G449" s="299"/>
      <c r="H449" s="1348"/>
      <c r="I449" s="299"/>
      <c r="J449" s="299"/>
      <c r="K449" s="299"/>
      <c r="L449" s="1336"/>
      <c r="M449" s="299"/>
      <c r="N449" s="299"/>
      <c r="O449" s="299"/>
      <c r="P449" s="299"/>
      <c r="Q449" s="299"/>
      <c r="R449" s="299"/>
      <c r="S449" s="299"/>
      <c r="T449" s="299"/>
      <c r="U449" s="299"/>
      <c r="V449" s="299"/>
      <c r="W449" s="8"/>
      <c r="X449" s="8"/>
      <c r="Y449" s="8"/>
      <c r="Z449" s="8"/>
    </row>
    <row r="450" spans="1:26" ht="12.75">
      <c r="A450" s="299"/>
      <c r="B450" s="300"/>
      <c r="C450" s="299"/>
      <c r="D450" s="299"/>
      <c r="E450" s="299"/>
      <c r="F450" s="299"/>
      <c r="G450" s="299"/>
      <c r="H450" s="1348"/>
      <c r="I450" s="299"/>
      <c r="J450" s="299"/>
      <c r="K450" s="299"/>
      <c r="L450" s="1336"/>
      <c r="M450" s="299"/>
      <c r="N450" s="299"/>
      <c r="O450" s="299"/>
      <c r="P450" s="299"/>
      <c r="Q450" s="299"/>
      <c r="R450" s="299"/>
      <c r="S450" s="299"/>
      <c r="T450" s="299"/>
      <c r="U450" s="299"/>
      <c r="V450" s="299"/>
      <c r="W450" s="8"/>
      <c r="X450" s="8"/>
      <c r="Y450" s="8"/>
      <c r="Z450" s="8"/>
    </row>
    <row r="451" spans="1:26" ht="12.75">
      <c r="A451" s="299"/>
      <c r="B451" s="300"/>
      <c r="C451" s="299"/>
      <c r="D451" s="299"/>
      <c r="E451" s="299"/>
      <c r="F451" s="299"/>
      <c r="G451" s="299"/>
      <c r="H451" s="1348"/>
      <c r="I451" s="299"/>
      <c r="J451" s="299"/>
      <c r="K451" s="299"/>
      <c r="L451" s="1336"/>
      <c r="M451" s="299"/>
      <c r="N451" s="299"/>
      <c r="O451" s="299"/>
      <c r="P451" s="299"/>
      <c r="Q451" s="299"/>
      <c r="R451" s="299"/>
      <c r="S451" s="299"/>
      <c r="T451" s="299"/>
      <c r="U451" s="299"/>
      <c r="V451" s="299"/>
      <c r="W451" s="8"/>
      <c r="X451" s="8"/>
      <c r="Y451" s="8"/>
      <c r="Z451" s="8"/>
    </row>
    <row r="452" spans="1:26" ht="12.75">
      <c r="A452" s="299"/>
      <c r="B452" s="300"/>
      <c r="C452" s="299"/>
      <c r="D452" s="299"/>
      <c r="E452" s="299"/>
      <c r="F452" s="299"/>
      <c r="G452" s="299"/>
      <c r="H452" s="1348"/>
      <c r="I452" s="299"/>
      <c r="J452" s="299"/>
      <c r="K452" s="299"/>
      <c r="L452" s="1336"/>
      <c r="M452" s="299"/>
      <c r="N452" s="299"/>
      <c r="O452" s="299"/>
      <c r="P452" s="299"/>
      <c r="Q452" s="299"/>
      <c r="R452" s="299"/>
      <c r="S452" s="299"/>
      <c r="T452" s="299"/>
      <c r="U452" s="299"/>
      <c r="V452" s="299"/>
      <c r="W452" s="8"/>
      <c r="X452" s="8"/>
      <c r="Y452" s="8"/>
      <c r="Z452" s="8"/>
    </row>
    <row r="453" spans="1:26" ht="12.75">
      <c r="A453" s="299"/>
      <c r="B453" s="300"/>
      <c r="C453" s="299"/>
      <c r="D453" s="299"/>
      <c r="E453" s="299"/>
      <c r="F453" s="299"/>
      <c r="G453" s="299"/>
      <c r="H453" s="1348"/>
      <c r="I453" s="299"/>
      <c r="J453" s="299"/>
      <c r="K453" s="299"/>
      <c r="L453" s="1336"/>
      <c r="M453" s="299"/>
      <c r="N453" s="299"/>
      <c r="O453" s="299"/>
      <c r="P453" s="299"/>
      <c r="Q453" s="299"/>
      <c r="R453" s="299"/>
      <c r="S453" s="299"/>
      <c r="T453" s="299"/>
      <c r="U453" s="299"/>
      <c r="V453" s="299"/>
      <c r="W453" s="8"/>
      <c r="X453" s="8"/>
      <c r="Y453" s="8"/>
      <c r="Z453" s="8"/>
    </row>
    <row r="454" spans="1:26" ht="12.75">
      <c r="A454" s="299"/>
      <c r="B454" s="300"/>
      <c r="C454" s="299"/>
      <c r="D454" s="299"/>
      <c r="E454" s="299"/>
      <c r="F454" s="299"/>
      <c r="G454" s="299"/>
      <c r="H454" s="1348"/>
      <c r="I454" s="299"/>
      <c r="J454" s="299"/>
      <c r="K454" s="299"/>
      <c r="L454" s="1336"/>
      <c r="M454" s="299"/>
      <c r="N454" s="299"/>
      <c r="O454" s="299"/>
      <c r="P454" s="299"/>
      <c r="Q454" s="299"/>
      <c r="R454" s="299"/>
      <c r="S454" s="299"/>
      <c r="T454" s="299"/>
      <c r="U454" s="299"/>
      <c r="V454" s="299"/>
      <c r="W454" s="8"/>
      <c r="X454" s="8"/>
      <c r="Y454" s="8"/>
      <c r="Z454" s="8"/>
    </row>
    <row r="455" spans="1:26" ht="12.75">
      <c r="A455" s="299"/>
      <c r="B455" s="300"/>
      <c r="C455" s="299"/>
      <c r="D455" s="299"/>
      <c r="E455" s="299"/>
      <c r="F455" s="299"/>
      <c r="G455" s="299"/>
      <c r="H455" s="1348"/>
      <c r="I455" s="299"/>
      <c r="J455" s="299"/>
      <c r="K455" s="299"/>
      <c r="L455" s="1336"/>
      <c r="M455" s="299"/>
      <c r="N455" s="299"/>
      <c r="O455" s="299"/>
      <c r="P455" s="299"/>
      <c r="Q455" s="299"/>
      <c r="R455" s="299"/>
      <c r="S455" s="299"/>
      <c r="T455" s="299"/>
      <c r="U455" s="299"/>
      <c r="V455" s="299"/>
      <c r="W455" s="8"/>
      <c r="X455" s="8"/>
      <c r="Y455" s="8"/>
      <c r="Z455" s="8"/>
    </row>
    <row r="456" spans="1:26" ht="12.75">
      <c r="A456" s="299"/>
      <c r="B456" s="300"/>
      <c r="C456" s="299"/>
      <c r="D456" s="299"/>
      <c r="E456" s="299"/>
      <c r="F456" s="299"/>
      <c r="G456" s="299"/>
      <c r="H456" s="1348"/>
      <c r="I456" s="299"/>
      <c r="J456" s="299"/>
      <c r="K456" s="299"/>
      <c r="L456" s="1336"/>
      <c r="M456" s="299"/>
      <c r="N456" s="299"/>
      <c r="O456" s="299"/>
      <c r="P456" s="299"/>
      <c r="Q456" s="299"/>
      <c r="R456" s="299"/>
      <c r="S456" s="299"/>
      <c r="T456" s="299"/>
      <c r="U456" s="299"/>
      <c r="V456" s="299"/>
      <c r="W456" s="8"/>
      <c r="X456" s="8"/>
      <c r="Y456" s="8"/>
      <c r="Z456" s="8"/>
    </row>
    <row r="457" spans="1:26" ht="12.75">
      <c r="A457" s="299"/>
      <c r="B457" s="300"/>
      <c r="C457" s="299"/>
      <c r="D457" s="299"/>
      <c r="E457" s="299"/>
      <c r="F457" s="299"/>
      <c r="G457" s="299"/>
      <c r="H457" s="1348"/>
      <c r="I457" s="299"/>
      <c r="J457" s="299"/>
      <c r="K457" s="299"/>
      <c r="L457" s="1336"/>
      <c r="M457" s="299"/>
      <c r="N457" s="299"/>
      <c r="O457" s="299"/>
      <c r="P457" s="299"/>
      <c r="Q457" s="299"/>
      <c r="R457" s="299"/>
      <c r="S457" s="299"/>
      <c r="T457" s="299"/>
      <c r="U457" s="299"/>
      <c r="V457" s="299"/>
      <c r="W457" s="8"/>
      <c r="X457" s="8"/>
      <c r="Y457" s="8"/>
      <c r="Z457" s="8"/>
    </row>
    <row r="458" spans="1:26" ht="12.75">
      <c r="A458" s="299"/>
      <c r="B458" s="300"/>
      <c r="C458" s="299"/>
      <c r="D458" s="299"/>
      <c r="E458" s="299"/>
      <c r="F458" s="299"/>
      <c r="G458" s="299"/>
      <c r="H458" s="1348"/>
      <c r="I458" s="299"/>
      <c r="J458" s="299"/>
      <c r="K458" s="299"/>
      <c r="L458" s="1336"/>
      <c r="M458" s="299"/>
      <c r="N458" s="299"/>
      <c r="O458" s="299"/>
      <c r="P458" s="299"/>
      <c r="Q458" s="299"/>
      <c r="R458" s="299"/>
      <c r="S458" s="299"/>
      <c r="T458" s="299"/>
      <c r="U458" s="299"/>
      <c r="V458" s="299"/>
      <c r="W458" s="8"/>
      <c r="X458" s="8"/>
      <c r="Y458" s="8"/>
      <c r="Z458" s="8"/>
    </row>
    <row r="459" spans="1:26" ht="12.75">
      <c r="A459" s="299"/>
      <c r="B459" s="300"/>
      <c r="C459" s="299"/>
      <c r="D459" s="299"/>
      <c r="E459" s="299"/>
      <c r="F459" s="299"/>
      <c r="G459" s="299"/>
      <c r="H459" s="1348"/>
      <c r="I459" s="299"/>
      <c r="J459" s="299"/>
      <c r="K459" s="299"/>
      <c r="L459" s="1336"/>
      <c r="M459" s="299"/>
      <c r="N459" s="299"/>
      <c r="O459" s="299"/>
      <c r="P459" s="299"/>
      <c r="Q459" s="299"/>
      <c r="R459" s="299"/>
      <c r="S459" s="299"/>
      <c r="T459" s="299"/>
      <c r="U459" s="299"/>
      <c r="V459" s="299"/>
      <c r="W459" s="8"/>
      <c r="X459" s="8"/>
      <c r="Y459" s="8"/>
      <c r="Z459" s="8"/>
    </row>
    <row r="460" spans="1:26" ht="12.75">
      <c r="A460" s="299"/>
      <c r="B460" s="300"/>
      <c r="C460" s="299"/>
      <c r="D460" s="299"/>
      <c r="E460" s="299"/>
      <c r="F460" s="299"/>
      <c r="G460" s="299"/>
      <c r="H460" s="1348"/>
      <c r="I460" s="299"/>
      <c r="J460" s="299"/>
      <c r="K460" s="299"/>
      <c r="L460" s="1336"/>
      <c r="M460" s="299"/>
      <c r="N460" s="299"/>
      <c r="O460" s="299"/>
      <c r="P460" s="299"/>
      <c r="Q460" s="299"/>
      <c r="R460" s="299"/>
      <c r="S460" s="299"/>
      <c r="T460" s="299"/>
      <c r="U460" s="299"/>
      <c r="V460" s="299"/>
      <c r="W460" s="8"/>
      <c r="X460" s="8"/>
      <c r="Y460" s="8"/>
      <c r="Z460" s="8"/>
    </row>
    <row r="461" spans="1:26" ht="12.75">
      <c r="A461" s="299"/>
      <c r="B461" s="300"/>
      <c r="C461" s="299"/>
      <c r="D461" s="299"/>
      <c r="E461" s="299"/>
      <c r="F461" s="299"/>
      <c r="G461" s="299"/>
      <c r="H461" s="1348"/>
      <c r="I461" s="299"/>
      <c r="J461" s="299"/>
      <c r="K461" s="299"/>
      <c r="L461" s="1336"/>
      <c r="M461" s="299"/>
      <c r="N461" s="299"/>
      <c r="O461" s="299"/>
      <c r="P461" s="299"/>
      <c r="Q461" s="299"/>
      <c r="R461" s="299"/>
      <c r="S461" s="299"/>
      <c r="T461" s="299"/>
      <c r="U461" s="299"/>
      <c r="V461" s="299"/>
      <c r="W461" s="8"/>
      <c r="X461" s="8"/>
      <c r="Y461" s="8"/>
      <c r="Z461" s="8"/>
    </row>
    <row r="462" spans="1:26" ht="12.75">
      <c r="A462" s="299"/>
      <c r="B462" s="300"/>
      <c r="C462" s="299"/>
      <c r="D462" s="299"/>
      <c r="E462" s="299"/>
      <c r="F462" s="299"/>
      <c r="G462" s="299"/>
      <c r="H462" s="1348"/>
      <c r="I462" s="299"/>
      <c r="J462" s="299"/>
      <c r="K462" s="299"/>
      <c r="L462" s="1336"/>
      <c r="M462" s="299"/>
      <c r="N462" s="299"/>
      <c r="O462" s="299"/>
      <c r="P462" s="299"/>
      <c r="Q462" s="299"/>
      <c r="R462" s="299"/>
      <c r="S462" s="299"/>
      <c r="T462" s="299"/>
      <c r="U462" s="299"/>
      <c r="V462" s="299"/>
      <c r="W462" s="8"/>
      <c r="X462" s="8"/>
      <c r="Y462" s="8"/>
      <c r="Z462" s="8"/>
    </row>
    <row r="463" spans="1:26" ht="12.75">
      <c r="A463" s="299"/>
      <c r="B463" s="300"/>
      <c r="C463" s="299"/>
      <c r="D463" s="299"/>
      <c r="E463" s="299"/>
      <c r="F463" s="299"/>
      <c r="G463" s="299"/>
      <c r="H463" s="1348"/>
      <c r="I463" s="299"/>
      <c r="J463" s="299"/>
      <c r="K463" s="299"/>
      <c r="L463" s="1336"/>
      <c r="M463" s="299"/>
      <c r="N463" s="299"/>
      <c r="O463" s="299"/>
      <c r="P463" s="299"/>
      <c r="Q463" s="299"/>
      <c r="R463" s="299"/>
      <c r="S463" s="299"/>
      <c r="T463" s="299"/>
      <c r="U463" s="299"/>
      <c r="V463" s="299"/>
      <c r="W463" s="8"/>
      <c r="X463" s="8"/>
      <c r="Y463" s="8"/>
      <c r="Z463" s="8"/>
    </row>
    <row r="464" spans="1:26" ht="12.75">
      <c r="A464" s="299"/>
      <c r="B464" s="300"/>
      <c r="C464" s="299"/>
      <c r="D464" s="299"/>
      <c r="E464" s="299"/>
      <c r="F464" s="299"/>
      <c r="G464" s="299"/>
      <c r="H464" s="1348"/>
      <c r="I464" s="299"/>
      <c r="J464" s="299"/>
      <c r="K464" s="299"/>
      <c r="L464" s="1336"/>
      <c r="M464" s="299"/>
      <c r="N464" s="299"/>
      <c r="O464" s="299"/>
      <c r="P464" s="299"/>
      <c r="Q464" s="299"/>
      <c r="R464" s="299"/>
      <c r="S464" s="299"/>
      <c r="T464" s="299"/>
      <c r="U464" s="299"/>
      <c r="V464" s="299"/>
      <c r="W464" s="8"/>
      <c r="X464" s="8"/>
      <c r="Y464" s="8"/>
      <c r="Z464" s="8"/>
    </row>
    <row r="465" spans="1:26" ht="12.75">
      <c r="A465" s="299"/>
      <c r="B465" s="300"/>
      <c r="C465" s="299"/>
      <c r="D465" s="299"/>
      <c r="E465" s="299"/>
      <c r="F465" s="299"/>
      <c r="G465" s="299"/>
      <c r="H465" s="1348"/>
      <c r="I465" s="299"/>
      <c r="J465" s="299"/>
      <c r="K465" s="299"/>
      <c r="L465" s="1336"/>
      <c r="M465" s="299"/>
      <c r="N465" s="299"/>
      <c r="O465" s="299"/>
      <c r="P465" s="299"/>
      <c r="Q465" s="299"/>
      <c r="R465" s="299"/>
      <c r="S465" s="299"/>
      <c r="T465" s="299"/>
      <c r="U465" s="299"/>
      <c r="V465" s="299"/>
      <c r="W465" s="8"/>
      <c r="X465" s="8"/>
      <c r="Y465" s="8"/>
      <c r="Z465" s="8"/>
    </row>
    <row r="466" spans="1:26" ht="12.75">
      <c r="A466" s="299"/>
      <c r="B466" s="300"/>
      <c r="C466" s="299"/>
      <c r="D466" s="299"/>
      <c r="E466" s="299"/>
      <c r="F466" s="299"/>
      <c r="G466" s="299"/>
      <c r="H466" s="1348"/>
      <c r="I466" s="299"/>
      <c r="J466" s="299"/>
      <c r="K466" s="299"/>
      <c r="L466" s="1336"/>
      <c r="M466" s="299"/>
      <c r="N466" s="299"/>
      <c r="O466" s="299"/>
      <c r="P466" s="299"/>
      <c r="Q466" s="299"/>
      <c r="R466" s="299"/>
      <c r="S466" s="299"/>
      <c r="T466" s="299"/>
      <c r="U466" s="299"/>
      <c r="V466" s="299"/>
      <c r="W466" s="8"/>
      <c r="X466" s="8"/>
      <c r="Y466" s="8"/>
      <c r="Z466" s="8"/>
    </row>
    <row r="467" spans="1:26" ht="12.75">
      <c r="A467" s="299"/>
      <c r="B467" s="300"/>
      <c r="C467" s="299"/>
      <c r="D467" s="299"/>
      <c r="E467" s="299"/>
      <c r="F467" s="299"/>
      <c r="G467" s="299"/>
      <c r="H467" s="1348"/>
      <c r="I467" s="299"/>
      <c r="J467" s="299"/>
      <c r="K467" s="299"/>
      <c r="L467" s="1336"/>
      <c r="M467" s="299"/>
      <c r="N467" s="299"/>
      <c r="O467" s="299"/>
      <c r="P467" s="299"/>
      <c r="Q467" s="299"/>
      <c r="R467" s="299"/>
      <c r="S467" s="299"/>
      <c r="T467" s="299"/>
      <c r="U467" s="299"/>
      <c r="V467" s="299"/>
      <c r="W467" s="8"/>
      <c r="X467" s="8"/>
      <c r="Y467" s="8"/>
      <c r="Z467" s="8"/>
    </row>
    <row r="468" spans="1:26" ht="12.75">
      <c r="A468" s="299"/>
      <c r="B468" s="300"/>
      <c r="C468" s="299"/>
      <c r="D468" s="299"/>
      <c r="E468" s="299"/>
      <c r="F468" s="299"/>
      <c r="G468" s="299"/>
      <c r="H468" s="1348"/>
      <c r="I468" s="299"/>
      <c r="J468" s="299"/>
      <c r="K468" s="299"/>
      <c r="L468" s="1336"/>
      <c r="M468" s="299"/>
      <c r="N468" s="299"/>
      <c r="O468" s="299"/>
      <c r="P468" s="299"/>
      <c r="Q468" s="299"/>
      <c r="R468" s="299"/>
      <c r="S468" s="299"/>
      <c r="T468" s="299"/>
      <c r="U468" s="299"/>
      <c r="V468" s="299"/>
      <c r="W468" s="8"/>
      <c r="X468" s="8"/>
      <c r="Y468" s="8"/>
      <c r="Z468" s="8"/>
    </row>
    <row r="469" spans="1:26" ht="12.75">
      <c r="A469" s="299"/>
      <c r="B469" s="300"/>
      <c r="C469" s="299"/>
      <c r="D469" s="299"/>
      <c r="E469" s="299"/>
      <c r="F469" s="299"/>
      <c r="G469" s="299"/>
      <c r="H469" s="1348"/>
      <c r="I469" s="299"/>
      <c r="J469" s="299"/>
      <c r="K469" s="299"/>
      <c r="L469" s="1336"/>
      <c r="M469" s="299"/>
      <c r="N469" s="299"/>
      <c r="O469" s="299"/>
      <c r="P469" s="299"/>
      <c r="Q469" s="299"/>
      <c r="R469" s="299"/>
      <c r="S469" s="299"/>
      <c r="T469" s="299"/>
      <c r="U469" s="299"/>
      <c r="V469" s="299"/>
      <c r="W469" s="8"/>
      <c r="X469" s="8"/>
      <c r="Y469" s="8"/>
      <c r="Z469" s="8"/>
    </row>
    <row r="470" spans="1:26" ht="12.75">
      <c r="A470" s="299"/>
      <c r="B470" s="300"/>
      <c r="C470" s="299"/>
      <c r="D470" s="299"/>
      <c r="E470" s="299"/>
      <c r="F470" s="299"/>
      <c r="G470" s="299"/>
      <c r="H470" s="1348"/>
      <c r="I470" s="299"/>
      <c r="J470" s="299"/>
      <c r="K470" s="299"/>
      <c r="L470" s="1336"/>
      <c r="M470" s="299"/>
      <c r="N470" s="299"/>
      <c r="O470" s="299"/>
      <c r="P470" s="299"/>
      <c r="Q470" s="299"/>
      <c r="R470" s="299"/>
      <c r="S470" s="299"/>
      <c r="T470" s="299"/>
      <c r="U470" s="299"/>
      <c r="V470" s="299"/>
      <c r="W470" s="8"/>
      <c r="X470" s="8"/>
      <c r="Y470" s="8"/>
      <c r="Z470" s="8"/>
    </row>
    <row r="471" spans="1:26" ht="12.75">
      <c r="A471" s="299"/>
      <c r="B471" s="300"/>
      <c r="C471" s="299"/>
      <c r="D471" s="299"/>
      <c r="E471" s="299"/>
      <c r="F471" s="299"/>
      <c r="G471" s="299"/>
      <c r="H471" s="1348"/>
      <c r="I471" s="299"/>
      <c r="J471" s="299"/>
      <c r="K471" s="299"/>
      <c r="L471" s="1336"/>
      <c r="M471" s="299"/>
      <c r="N471" s="299"/>
      <c r="O471" s="299"/>
      <c r="P471" s="299"/>
      <c r="Q471" s="299"/>
      <c r="R471" s="299"/>
      <c r="S471" s="299"/>
      <c r="T471" s="299"/>
      <c r="U471" s="299"/>
      <c r="V471" s="299"/>
      <c r="W471" s="8"/>
      <c r="X471" s="8"/>
      <c r="Y471" s="8"/>
      <c r="Z471" s="8"/>
    </row>
    <row r="472" spans="1:26" ht="12.75">
      <c r="A472" s="299"/>
      <c r="B472" s="300"/>
      <c r="C472" s="299"/>
      <c r="D472" s="299"/>
      <c r="E472" s="299"/>
      <c r="F472" s="299"/>
      <c r="G472" s="299"/>
      <c r="H472" s="1348"/>
      <c r="I472" s="299"/>
      <c r="J472" s="299"/>
      <c r="K472" s="299"/>
      <c r="L472" s="1336"/>
      <c r="M472" s="299"/>
      <c r="N472" s="299"/>
      <c r="O472" s="299"/>
      <c r="P472" s="299"/>
      <c r="Q472" s="299"/>
      <c r="R472" s="299"/>
      <c r="S472" s="299"/>
      <c r="T472" s="299"/>
      <c r="U472" s="299"/>
      <c r="V472" s="299"/>
      <c r="W472" s="8"/>
      <c r="X472" s="8"/>
      <c r="Y472" s="8"/>
      <c r="Z472" s="8"/>
    </row>
    <row r="473" spans="1:26" ht="12.75">
      <c r="A473" s="299"/>
      <c r="B473" s="300"/>
      <c r="C473" s="299"/>
      <c r="D473" s="299"/>
      <c r="E473" s="299"/>
      <c r="F473" s="299"/>
      <c r="G473" s="299"/>
      <c r="H473" s="1348"/>
      <c r="I473" s="299"/>
      <c r="J473" s="299"/>
      <c r="K473" s="299"/>
      <c r="L473" s="1336"/>
      <c r="M473" s="299"/>
      <c r="N473" s="299"/>
      <c r="O473" s="299"/>
      <c r="P473" s="299"/>
      <c r="Q473" s="299"/>
      <c r="R473" s="299"/>
      <c r="S473" s="299"/>
      <c r="T473" s="299"/>
      <c r="U473" s="299"/>
      <c r="V473" s="299"/>
      <c r="W473" s="8"/>
      <c r="X473" s="8"/>
      <c r="Y473" s="8"/>
      <c r="Z473" s="8"/>
    </row>
    <row r="474" spans="1:26" ht="12.75">
      <c r="A474" s="299"/>
      <c r="B474" s="300"/>
      <c r="C474" s="299"/>
      <c r="D474" s="299"/>
      <c r="E474" s="299"/>
      <c r="F474" s="299"/>
      <c r="G474" s="299"/>
      <c r="H474" s="1348"/>
      <c r="I474" s="299"/>
      <c r="J474" s="299"/>
      <c r="K474" s="299"/>
      <c r="L474" s="1336"/>
      <c r="M474" s="299"/>
      <c r="N474" s="299"/>
      <c r="O474" s="299"/>
      <c r="P474" s="299"/>
      <c r="Q474" s="299"/>
      <c r="R474" s="299"/>
      <c r="S474" s="299"/>
      <c r="T474" s="299"/>
      <c r="U474" s="299"/>
      <c r="V474" s="299"/>
      <c r="W474" s="8"/>
      <c r="X474" s="8"/>
      <c r="Y474" s="8"/>
      <c r="Z474" s="8"/>
    </row>
    <row r="475" spans="1:26" ht="12.75">
      <c r="A475" s="299"/>
      <c r="B475" s="300"/>
      <c r="C475" s="299"/>
      <c r="D475" s="299"/>
      <c r="E475" s="299"/>
      <c r="F475" s="299"/>
      <c r="G475" s="299"/>
      <c r="H475" s="1348"/>
      <c r="I475" s="299"/>
      <c r="J475" s="299"/>
      <c r="K475" s="299"/>
      <c r="L475" s="1336"/>
      <c r="M475" s="299"/>
      <c r="N475" s="299"/>
      <c r="O475" s="299"/>
      <c r="P475" s="299"/>
      <c r="Q475" s="299"/>
      <c r="R475" s="299"/>
      <c r="S475" s="299"/>
      <c r="T475" s="299"/>
      <c r="U475" s="299"/>
      <c r="V475" s="299"/>
      <c r="W475" s="8"/>
      <c r="X475" s="8"/>
      <c r="Y475" s="8"/>
      <c r="Z475" s="8"/>
    </row>
    <row r="476" spans="1:26" ht="12.75">
      <c r="A476" s="299"/>
      <c r="B476" s="300"/>
      <c r="C476" s="299"/>
      <c r="D476" s="299"/>
      <c r="E476" s="299"/>
      <c r="F476" s="299"/>
      <c r="G476" s="299"/>
      <c r="H476" s="1348"/>
      <c r="I476" s="299"/>
      <c r="J476" s="299"/>
      <c r="K476" s="299"/>
      <c r="L476" s="1336"/>
      <c r="M476" s="299"/>
      <c r="N476" s="299"/>
      <c r="O476" s="299"/>
      <c r="P476" s="299"/>
      <c r="Q476" s="299"/>
      <c r="R476" s="299"/>
      <c r="S476" s="299"/>
      <c r="T476" s="299"/>
      <c r="U476" s="299"/>
      <c r="V476" s="299"/>
      <c r="W476" s="8"/>
      <c r="X476" s="8"/>
      <c r="Y476" s="8"/>
      <c r="Z476" s="8"/>
    </row>
    <row r="477" spans="1:26" ht="12.75">
      <c r="A477" s="299"/>
      <c r="B477" s="300"/>
      <c r="C477" s="299"/>
      <c r="D477" s="299"/>
      <c r="E477" s="299"/>
      <c r="F477" s="299"/>
      <c r="G477" s="299"/>
      <c r="H477" s="1348"/>
      <c r="I477" s="299"/>
      <c r="J477" s="299"/>
      <c r="K477" s="299"/>
      <c r="L477" s="1336"/>
      <c r="M477" s="299"/>
      <c r="N477" s="299"/>
      <c r="O477" s="299"/>
      <c r="P477" s="299"/>
      <c r="Q477" s="299"/>
      <c r="R477" s="299"/>
      <c r="S477" s="299"/>
      <c r="T477" s="299"/>
      <c r="U477" s="299"/>
      <c r="V477" s="299"/>
      <c r="W477" s="8"/>
      <c r="X477" s="8"/>
      <c r="Y477" s="8"/>
      <c r="Z477" s="8"/>
    </row>
    <row r="478" spans="1:26" ht="12.75">
      <c r="A478" s="299"/>
      <c r="B478" s="300"/>
      <c r="C478" s="299"/>
      <c r="D478" s="299"/>
      <c r="E478" s="299"/>
      <c r="F478" s="299"/>
      <c r="G478" s="299"/>
      <c r="H478" s="1348"/>
      <c r="I478" s="299"/>
      <c r="J478" s="299"/>
      <c r="K478" s="299"/>
      <c r="L478" s="1336"/>
      <c r="M478" s="299"/>
      <c r="N478" s="299"/>
      <c r="O478" s="299"/>
      <c r="P478" s="299"/>
      <c r="Q478" s="299"/>
      <c r="R478" s="299"/>
      <c r="S478" s="299"/>
      <c r="T478" s="299"/>
      <c r="U478" s="299"/>
      <c r="V478" s="299"/>
      <c r="W478" s="8"/>
      <c r="X478" s="8"/>
      <c r="Y478" s="8"/>
      <c r="Z478" s="8"/>
    </row>
    <row r="479" spans="1:26" ht="12.75">
      <c r="A479" s="299"/>
      <c r="B479" s="300"/>
      <c r="C479" s="299"/>
      <c r="D479" s="299"/>
      <c r="E479" s="299"/>
      <c r="F479" s="299"/>
      <c r="G479" s="299"/>
      <c r="H479" s="1348"/>
      <c r="I479" s="299"/>
      <c r="J479" s="299"/>
      <c r="K479" s="299"/>
      <c r="L479" s="1336"/>
      <c r="M479" s="299"/>
      <c r="N479" s="299"/>
      <c r="O479" s="299"/>
      <c r="P479" s="299"/>
      <c r="Q479" s="299"/>
      <c r="R479" s="299"/>
      <c r="S479" s="299"/>
      <c r="T479" s="299"/>
      <c r="U479" s="299"/>
      <c r="V479" s="299"/>
      <c r="W479" s="8"/>
      <c r="X479" s="8"/>
      <c r="Y479" s="8"/>
      <c r="Z479" s="8"/>
    </row>
    <row r="480" spans="1:26" ht="12.75">
      <c r="A480" s="299"/>
      <c r="B480" s="300"/>
      <c r="C480" s="299"/>
      <c r="D480" s="299"/>
      <c r="E480" s="299"/>
      <c r="F480" s="299"/>
      <c r="G480" s="299"/>
      <c r="H480" s="1348"/>
      <c r="I480" s="299"/>
      <c r="J480" s="299"/>
      <c r="K480" s="299"/>
      <c r="L480" s="1336"/>
      <c r="M480" s="299"/>
      <c r="N480" s="299"/>
      <c r="O480" s="299"/>
      <c r="P480" s="299"/>
      <c r="Q480" s="299"/>
      <c r="R480" s="299"/>
      <c r="S480" s="299"/>
      <c r="T480" s="299"/>
      <c r="U480" s="299"/>
      <c r="V480" s="299"/>
      <c r="W480" s="8"/>
      <c r="X480" s="8"/>
      <c r="Y480" s="8"/>
      <c r="Z480" s="8"/>
    </row>
    <row r="481" spans="1:26" ht="12.75">
      <c r="A481" s="299"/>
      <c r="B481" s="300"/>
      <c r="C481" s="299"/>
      <c r="D481" s="299"/>
      <c r="E481" s="299"/>
      <c r="F481" s="299"/>
      <c r="G481" s="299"/>
      <c r="H481" s="1348"/>
      <c r="I481" s="299"/>
      <c r="J481" s="299"/>
      <c r="K481" s="299"/>
      <c r="L481" s="1336"/>
      <c r="M481" s="299"/>
      <c r="N481" s="299"/>
      <c r="O481" s="299"/>
      <c r="P481" s="299"/>
      <c r="Q481" s="299"/>
      <c r="R481" s="299"/>
      <c r="S481" s="299"/>
      <c r="T481" s="299"/>
      <c r="U481" s="299"/>
      <c r="V481" s="299"/>
      <c r="W481" s="8"/>
      <c r="X481" s="8"/>
      <c r="Y481" s="8"/>
      <c r="Z481" s="8"/>
    </row>
    <row r="482" spans="1:26" ht="12.75">
      <c r="A482" s="299"/>
      <c r="B482" s="300"/>
      <c r="C482" s="299"/>
      <c r="D482" s="299"/>
      <c r="E482" s="299"/>
      <c r="F482" s="299"/>
      <c r="G482" s="299"/>
      <c r="H482" s="1348"/>
      <c r="I482" s="299"/>
      <c r="J482" s="299"/>
      <c r="K482" s="299"/>
      <c r="L482" s="1336"/>
      <c r="M482" s="299"/>
      <c r="N482" s="299"/>
      <c r="O482" s="299"/>
      <c r="P482" s="299"/>
      <c r="Q482" s="299"/>
      <c r="R482" s="299"/>
      <c r="S482" s="299"/>
      <c r="T482" s="299"/>
      <c r="U482" s="299"/>
      <c r="V482" s="299"/>
      <c r="W482" s="8"/>
      <c r="X482" s="8"/>
      <c r="Y482" s="8"/>
      <c r="Z482" s="8"/>
    </row>
    <row r="483" spans="1:26" ht="12.75">
      <c r="A483" s="299"/>
      <c r="B483" s="300"/>
      <c r="C483" s="299"/>
      <c r="D483" s="299"/>
      <c r="E483" s="299"/>
      <c r="F483" s="299"/>
      <c r="G483" s="299"/>
      <c r="H483" s="1348"/>
      <c r="I483" s="299"/>
      <c r="J483" s="299"/>
      <c r="K483" s="299"/>
      <c r="L483" s="1336"/>
      <c r="M483" s="299"/>
      <c r="N483" s="299"/>
      <c r="O483" s="299"/>
      <c r="P483" s="299"/>
      <c r="Q483" s="299"/>
      <c r="R483" s="299"/>
      <c r="S483" s="299"/>
      <c r="T483" s="299"/>
      <c r="U483" s="299"/>
      <c r="V483" s="299"/>
      <c r="W483" s="8"/>
      <c r="X483" s="8"/>
      <c r="Y483" s="8"/>
      <c r="Z483" s="8"/>
    </row>
    <row r="484" spans="1:26" ht="12.75">
      <c r="A484" s="299"/>
      <c r="B484" s="300"/>
      <c r="C484" s="299"/>
      <c r="D484" s="299"/>
      <c r="E484" s="299"/>
      <c r="F484" s="299"/>
      <c r="G484" s="299"/>
      <c r="H484" s="1348"/>
      <c r="I484" s="299"/>
      <c r="J484" s="299"/>
      <c r="K484" s="299"/>
      <c r="L484" s="1336"/>
      <c r="M484" s="299"/>
      <c r="N484" s="299"/>
      <c r="O484" s="299"/>
      <c r="P484" s="299"/>
      <c r="Q484" s="299"/>
      <c r="R484" s="299"/>
      <c r="S484" s="299"/>
      <c r="T484" s="299"/>
      <c r="U484" s="299"/>
      <c r="V484" s="299"/>
      <c r="W484" s="8"/>
      <c r="X484" s="8"/>
      <c r="Y484" s="8"/>
      <c r="Z484" s="8"/>
    </row>
    <row r="485" spans="1:26" ht="12.75">
      <c r="A485" s="299"/>
      <c r="B485" s="300"/>
      <c r="C485" s="299"/>
      <c r="D485" s="299"/>
      <c r="E485" s="299"/>
      <c r="F485" s="299"/>
      <c r="G485" s="299"/>
      <c r="H485" s="1348"/>
      <c r="I485" s="299"/>
      <c r="J485" s="299"/>
      <c r="K485" s="299"/>
      <c r="L485" s="1336"/>
      <c r="M485" s="299"/>
      <c r="N485" s="299"/>
      <c r="O485" s="299"/>
      <c r="P485" s="299"/>
      <c r="Q485" s="299"/>
      <c r="R485" s="299"/>
      <c r="S485" s="299"/>
      <c r="T485" s="299"/>
      <c r="U485" s="299"/>
      <c r="V485" s="299"/>
      <c r="W485" s="8"/>
      <c r="X485" s="8"/>
      <c r="Y485" s="8"/>
      <c r="Z485" s="8"/>
    </row>
    <row r="486" spans="1:26" ht="12.75">
      <c r="A486" s="299"/>
      <c r="B486" s="300"/>
      <c r="C486" s="299"/>
      <c r="D486" s="299"/>
      <c r="E486" s="299"/>
      <c r="F486" s="299"/>
      <c r="G486" s="299"/>
      <c r="H486" s="1348"/>
      <c r="I486" s="299"/>
      <c r="J486" s="299"/>
      <c r="K486" s="299"/>
      <c r="L486" s="1336"/>
      <c r="M486" s="299"/>
      <c r="N486" s="299"/>
      <c r="O486" s="299"/>
      <c r="P486" s="299"/>
      <c r="Q486" s="299"/>
      <c r="R486" s="299"/>
      <c r="S486" s="299"/>
      <c r="T486" s="299"/>
      <c r="U486" s="299"/>
      <c r="V486" s="299"/>
      <c r="W486" s="8"/>
      <c r="X486" s="8"/>
      <c r="Y486" s="8"/>
      <c r="Z486" s="8"/>
    </row>
    <row r="487" spans="1:26" ht="12.75">
      <c r="A487" s="299"/>
      <c r="B487" s="300"/>
      <c r="C487" s="299"/>
      <c r="D487" s="299"/>
      <c r="E487" s="299"/>
      <c r="F487" s="299"/>
      <c r="G487" s="299"/>
      <c r="H487" s="1348"/>
      <c r="I487" s="299"/>
      <c r="J487" s="299"/>
      <c r="K487" s="299"/>
      <c r="L487" s="1336"/>
      <c r="M487" s="299"/>
      <c r="N487" s="299"/>
      <c r="O487" s="299"/>
      <c r="P487" s="299"/>
      <c r="Q487" s="299"/>
      <c r="R487" s="299"/>
      <c r="S487" s="299"/>
      <c r="T487" s="299"/>
      <c r="U487" s="299"/>
      <c r="V487" s="299"/>
      <c r="W487" s="8"/>
      <c r="X487" s="8"/>
      <c r="Y487" s="8"/>
      <c r="Z487" s="8"/>
    </row>
    <row r="488" spans="1:26" ht="12.75">
      <c r="A488" s="299"/>
      <c r="B488" s="300"/>
      <c r="C488" s="299"/>
      <c r="D488" s="299"/>
      <c r="E488" s="299"/>
      <c r="F488" s="299"/>
      <c r="G488" s="299"/>
      <c r="H488" s="1348"/>
      <c r="I488" s="299"/>
      <c r="J488" s="299"/>
      <c r="K488" s="299"/>
      <c r="L488" s="1336"/>
      <c r="M488" s="299"/>
      <c r="N488" s="299"/>
      <c r="O488" s="299"/>
      <c r="P488" s="299"/>
      <c r="Q488" s="299"/>
      <c r="R488" s="299"/>
      <c r="S488" s="299"/>
      <c r="T488" s="299"/>
      <c r="U488" s="299"/>
      <c r="V488" s="299"/>
      <c r="W488" s="8"/>
      <c r="X488" s="8"/>
      <c r="Y488" s="8"/>
      <c r="Z488" s="8"/>
    </row>
    <row r="489" spans="1:26" ht="12.75">
      <c r="A489" s="299"/>
      <c r="B489" s="300"/>
      <c r="C489" s="299"/>
      <c r="D489" s="299"/>
      <c r="E489" s="299"/>
      <c r="F489" s="299"/>
      <c r="G489" s="299"/>
      <c r="H489" s="1348"/>
      <c r="I489" s="299"/>
      <c r="J489" s="299"/>
      <c r="K489" s="299"/>
      <c r="L489" s="1336"/>
      <c r="M489" s="299"/>
      <c r="N489" s="299"/>
      <c r="O489" s="299"/>
      <c r="P489" s="299"/>
      <c r="Q489" s="299"/>
      <c r="R489" s="299"/>
      <c r="S489" s="299"/>
      <c r="T489" s="299"/>
      <c r="U489" s="299"/>
      <c r="V489" s="299"/>
      <c r="W489" s="8"/>
      <c r="X489" s="8"/>
      <c r="Y489" s="8"/>
      <c r="Z489" s="8"/>
    </row>
    <row r="490" spans="1:26" ht="12.75">
      <c r="A490" s="299"/>
      <c r="B490" s="300"/>
      <c r="C490" s="299"/>
      <c r="D490" s="299"/>
      <c r="E490" s="299"/>
      <c r="F490" s="299"/>
      <c r="G490" s="299"/>
      <c r="H490" s="1348"/>
      <c r="I490" s="299"/>
      <c r="J490" s="299"/>
      <c r="K490" s="299"/>
      <c r="L490" s="1336"/>
      <c r="M490" s="299"/>
      <c r="N490" s="299"/>
      <c r="O490" s="299"/>
      <c r="P490" s="299"/>
      <c r="Q490" s="299"/>
      <c r="R490" s="299"/>
      <c r="S490" s="299"/>
      <c r="T490" s="299"/>
      <c r="U490" s="299"/>
      <c r="V490" s="299"/>
      <c r="W490" s="8"/>
      <c r="X490" s="8"/>
      <c r="Y490" s="8"/>
      <c r="Z490" s="8"/>
    </row>
    <row r="491" spans="1:26" ht="12.75">
      <c r="A491" s="299"/>
      <c r="B491" s="300"/>
      <c r="C491" s="299"/>
      <c r="D491" s="299"/>
      <c r="E491" s="299"/>
      <c r="F491" s="299"/>
      <c r="G491" s="299"/>
      <c r="H491" s="1348"/>
      <c r="I491" s="299"/>
      <c r="J491" s="299"/>
      <c r="K491" s="299"/>
      <c r="L491" s="1336"/>
      <c r="M491" s="299"/>
      <c r="N491" s="299"/>
      <c r="O491" s="299"/>
      <c r="P491" s="299"/>
      <c r="Q491" s="299"/>
      <c r="R491" s="299"/>
      <c r="S491" s="299"/>
      <c r="T491" s="299"/>
      <c r="U491" s="299"/>
      <c r="V491" s="299"/>
      <c r="W491" s="8"/>
      <c r="X491" s="8"/>
      <c r="Y491" s="8"/>
      <c r="Z491" s="8"/>
    </row>
    <row r="492" spans="1:26" ht="12.75">
      <c r="A492" s="299"/>
      <c r="B492" s="300"/>
      <c r="C492" s="299"/>
      <c r="D492" s="299"/>
      <c r="E492" s="299"/>
      <c r="F492" s="299"/>
      <c r="G492" s="299"/>
      <c r="H492" s="1348"/>
      <c r="I492" s="299"/>
      <c r="J492" s="299"/>
      <c r="K492" s="299"/>
      <c r="L492" s="1336"/>
      <c r="M492" s="299"/>
      <c r="N492" s="299"/>
      <c r="O492" s="299"/>
      <c r="P492" s="299"/>
      <c r="Q492" s="299"/>
      <c r="R492" s="299"/>
      <c r="S492" s="299"/>
      <c r="T492" s="299"/>
      <c r="U492" s="299"/>
      <c r="V492" s="299"/>
      <c r="W492" s="8"/>
      <c r="X492" s="8"/>
      <c r="Y492" s="8"/>
      <c r="Z492" s="8"/>
    </row>
    <row r="493" spans="1:26" ht="12.75">
      <c r="A493" s="299"/>
      <c r="B493" s="300"/>
      <c r="C493" s="299"/>
      <c r="D493" s="299"/>
      <c r="E493" s="299"/>
      <c r="F493" s="299"/>
      <c r="G493" s="299"/>
      <c r="H493" s="1348"/>
      <c r="I493" s="299"/>
      <c r="J493" s="299"/>
      <c r="K493" s="299"/>
      <c r="L493" s="1336"/>
      <c r="M493" s="299"/>
      <c r="N493" s="299"/>
      <c r="O493" s="299"/>
      <c r="P493" s="299"/>
      <c r="Q493" s="299"/>
      <c r="R493" s="299"/>
      <c r="S493" s="299"/>
      <c r="T493" s="299"/>
      <c r="U493" s="299"/>
      <c r="V493" s="299"/>
      <c r="W493" s="8"/>
      <c r="X493" s="8"/>
      <c r="Y493" s="8"/>
      <c r="Z493" s="8"/>
    </row>
    <row r="494" spans="1:26" ht="12.75">
      <c r="A494" s="299"/>
      <c r="B494" s="300"/>
      <c r="C494" s="299"/>
      <c r="D494" s="299"/>
      <c r="E494" s="299"/>
      <c r="F494" s="299"/>
      <c r="G494" s="299"/>
      <c r="H494" s="1348"/>
      <c r="I494" s="299"/>
      <c r="J494" s="299"/>
      <c r="K494" s="299"/>
      <c r="L494" s="1336"/>
      <c r="M494" s="299"/>
      <c r="N494" s="299"/>
      <c r="O494" s="299"/>
      <c r="P494" s="299"/>
      <c r="Q494" s="299"/>
      <c r="R494" s="299"/>
      <c r="S494" s="299"/>
      <c r="T494" s="299"/>
      <c r="U494" s="299"/>
      <c r="V494" s="299"/>
      <c r="W494" s="8"/>
      <c r="X494" s="8"/>
      <c r="Y494" s="8"/>
      <c r="Z494" s="8"/>
    </row>
    <row r="495" spans="1:26" ht="12.75">
      <c r="A495" s="299"/>
      <c r="B495" s="300"/>
      <c r="C495" s="299"/>
      <c r="D495" s="299"/>
      <c r="E495" s="299"/>
      <c r="F495" s="299"/>
      <c r="G495" s="299"/>
      <c r="H495" s="1348"/>
      <c r="I495" s="299"/>
      <c r="J495" s="299"/>
      <c r="K495" s="299"/>
      <c r="L495" s="1336"/>
      <c r="M495" s="299"/>
      <c r="N495" s="299"/>
      <c r="O495" s="299"/>
      <c r="P495" s="299"/>
      <c r="Q495" s="299"/>
      <c r="R495" s="299"/>
      <c r="S495" s="299"/>
      <c r="T495" s="299"/>
      <c r="U495" s="299"/>
      <c r="V495" s="299"/>
      <c r="W495" s="8"/>
      <c r="X495" s="8"/>
      <c r="Y495" s="8"/>
      <c r="Z495" s="8"/>
    </row>
    <row r="496" spans="1:26" ht="12.75">
      <c r="A496" s="299"/>
      <c r="B496" s="300"/>
      <c r="C496" s="299"/>
      <c r="D496" s="299"/>
      <c r="E496" s="299"/>
      <c r="F496" s="299"/>
      <c r="G496" s="299"/>
      <c r="H496" s="1348"/>
      <c r="I496" s="299"/>
      <c r="J496" s="299"/>
      <c r="K496" s="299"/>
      <c r="L496" s="1336"/>
      <c r="M496" s="299"/>
      <c r="N496" s="299"/>
      <c r="O496" s="299"/>
      <c r="P496" s="299"/>
      <c r="Q496" s="299"/>
      <c r="R496" s="299"/>
      <c r="S496" s="299"/>
      <c r="T496" s="299"/>
      <c r="U496" s="299"/>
      <c r="V496" s="299"/>
      <c r="W496" s="8"/>
      <c r="X496" s="8"/>
      <c r="Y496" s="8"/>
      <c r="Z496" s="8"/>
    </row>
    <row r="497" spans="1:26" ht="12.75">
      <c r="A497" s="299"/>
      <c r="B497" s="300"/>
      <c r="C497" s="299"/>
      <c r="D497" s="299"/>
      <c r="E497" s="299"/>
      <c r="F497" s="299"/>
      <c r="G497" s="299"/>
      <c r="H497" s="1348"/>
      <c r="I497" s="299"/>
      <c r="J497" s="299"/>
      <c r="K497" s="299"/>
      <c r="L497" s="1336"/>
      <c r="M497" s="299"/>
      <c r="N497" s="299"/>
      <c r="O497" s="299"/>
      <c r="P497" s="299"/>
      <c r="Q497" s="299"/>
      <c r="R497" s="299"/>
      <c r="S497" s="299"/>
      <c r="T497" s="299"/>
      <c r="U497" s="299"/>
      <c r="V497" s="299"/>
      <c r="W497" s="8"/>
      <c r="X497" s="8"/>
      <c r="Y497" s="8"/>
      <c r="Z497" s="8"/>
    </row>
    <row r="498" spans="1:26" ht="12.75">
      <c r="A498" s="299"/>
      <c r="B498" s="300"/>
      <c r="C498" s="299"/>
      <c r="D498" s="299"/>
      <c r="E498" s="299"/>
      <c r="F498" s="299"/>
      <c r="G498" s="299"/>
      <c r="H498" s="1348"/>
      <c r="I498" s="299"/>
      <c r="J498" s="299"/>
      <c r="K498" s="299"/>
      <c r="L498" s="1336"/>
      <c r="M498" s="299"/>
      <c r="N498" s="299"/>
      <c r="O498" s="299"/>
      <c r="P498" s="299"/>
      <c r="Q498" s="299"/>
      <c r="R498" s="299"/>
      <c r="S498" s="299"/>
      <c r="T498" s="299"/>
      <c r="U498" s="299"/>
      <c r="V498" s="299"/>
      <c r="W498" s="8"/>
      <c r="X498" s="8"/>
      <c r="Y498" s="8"/>
      <c r="Z498" s="8"/>
    </row>
    <row r="499" spans="1:26" ht="12.75">
      <c r="A499" s="299"/>
      <c r="B499" s="300"/>
      <c r="C499" s="299"/>
      <c r="D499" s="299"/>
      <c r="E499" s="299"/>
      <c r="F499" s="299"/>
      <c r="G499" s="299"/>
      <c r="H499" s="1348"/>
      <c r="I499" s="299"/>
      <c r="J499" s="299"/>
      <c r="K499" s="299"/>
      <c r="L499" s="1336"/>
      <c r="M499" s="299"/>
      <c r="N499" s="299"/>
      <c r="O499" s="299"/>
      <c r="P499" s="299"/>
      <c r="Q499" s="299"/>
      <c r="R499" s="299"/>
      <c r="S499" s="299"/>
      <c r="T499" s="299"/>
      <c r="U499" s="299"/>
      <c r="V499" s="299"/>
      <c r="W499" s="8"/>
      <c r="X499" s="8"/>
      <c r="Y499" s="8"/>
      <c r="Z499" s="8"/>
    </row>
    <row r="500" spans="1:26" ht="12.75">
      <c r="A500" s="299"/>
      <c r="B500" s="300"/>
      <c r="C500" s="299"/>
      <c r="D500" s="299"/>
      <c r="E500" s="299"/>
      <c r="F500" s="299"/>
      <c r="G500" s="299"/>
      <c r="H500" s="1348"/>
      <c r="I500" s="299"/>
      <c r="J500" s="299"/>
      <c r="K500" s="299"/>
      <c r="L500" s="1336"/>
      <c r="M500" s="299"/>
      <c r="N500" s="299"/>
      <c r="O500" s="299"/>
      <c r="P500" s="299"/>
      <c r="Q500" s="299"/>
      <c r="R500" s="299"/>
      <c r="S500" s="299"/>
      <c r="T500" s="299"/>
      <c r="U500" s="299"/>
      <c r="V500" s="299"/>
      <c r="W500" s="8"/>
      <c r="X500" s="8"/>
      <c r="Y500" s="8"/>
      <c r="Z500" s="8"/>
    </row>
    <row r="501" spans="1:26" ht="12.75">
      <c r="A501" s="299"/>
      <c r="B501" s="300"/>
      <c r="C501" s="299"/>
      <c r="D501" s="299"/>
      <c r="E501" s="299"/>
      <c r="F501" s="299"/>
      <c r="G501" s="299"/>
      <c r="H501" s="1348"/>
      <c r="I501" s="299"/>
      <c r="J501" s="299"/>
      <c r="K501" s="299"/>
      <c r="L501" s="1336"/>
      <c r="M501" s="299"/>
      <c r="N501" s="299"/>
      <c r="O501" s="299"/>
      <c r="P501" s="299"/>
      <c r="Q501" s="299"/>
      <c r="R501" s="299"/>
      <c r="S501" s="299"/>
      <c r="T501" s="299"/>
      <c r="U501" s="299"/>
      <c r="V501" s="299"/>
      <c r="W501" s="8"/>
      <c r="X501" s="8"/>
      <c r="Y501" s="8"/>
      <c r="Z501" s="8"/>
    </row>
    <row r="502" spans="1:26" ht="12.75">
      <c r="A502" s="299"/>
      <c r="B502" s="300"/>
      <c r="C502" s="299"/>
      <c r="D502" s="299"/>
      <c r="E502" s="299"/>
      <c r="F502" s="299"/>
      <c r="G502" s="299"/>
      <c r="H502" s="1348"/>
      <c r="I502" s="299"/>
      <c r="J502" s="299"/>
      <c r="K502" s="299"/>
      <c r="L502" s="1336"/>
      <c r="M502" s="299"/>
      <c r="N502" s="299"/>
      <c r="O502" s="299"/>
      <c r="P502" s="299"/>
      <c r="Q502" s="299"/>
      <c r="R502" s="299"/>
      <c r="S502" s="299"/>
      <c r="T502" s="299"/>
      <c r="U502" s="299"/>
      <c r="V502" s="299"/>
      <c r="W502" s="8"/>
      <c r="X502" s="8"/>
      <c r="Y502" s="8"/>
      <c r="Z502" s="8"/>
    </row>
    <row r="503" spans="1:26" ht="12.75">
      <c r="A503" s="299"/>
      <c r="B503" s="300"/>
      <c r="C503" s="299"/>
      <c r="D503" s="299"/>
      <c r="E503" s="299"/>
      <c r="F503" s="299"/>
      <c r="G503" s="299"/>
      <c r="H503" s="1348"/>
      <c r="I503" s="299"/>
      <c r="J503" s="299"/>
      <c r="K503" s="299"/>
      <c r="L503" s="1336"/>
      <c r="M503" s="299"/>
      <c r="N503" s="299"/>
      <c r="O503" s="299"/>
      <c r="P503" s="299"/>
      <c r="Q503" s="299"/>
      <c r="R503" s="299"/>
      <c r="S503" s="299"/>
      <c r="T503" s="299"/>
      <c r="U503" s="299"/>
      <c r="V503" s="299"/>
      <c r="W503" s="8"/>
      <c r="X503" s="8"/>
      <c r="Y503" s="8"/>
      <c r="Z503" s="8"/>
    </row>
    <row r="504" spans="1:26" ht="12.75">
      <c r="A504" s="299"/>
      <c r="B504" s="300"/>
      <c r="C504" s="299"/>
      <c r="D504" s="299"/>
      <c r="E504" s="299"/>
      <c r="F504" s="299"/>
      <c r="G504" s="299"/>
      <c r="H504" s="1348"/>
      <c r="I504" s="299"/>
      <c r="J504" s="299"/>
      <c r="K504" s="299"/>
      <c r="L504" s="1336"/>
      <c r="M504" s="299"/>
      <c r="N504" s="299"/>
      <c r="O504" s="299"/>
      <c r="P504" s="299"/>
      <c r="Q504" s="299"/>
      <c r="R504" s="299"/>
      <c r="S504" s="299"/>
      <c r="T504" s="299"/>
      <c r="U504" s="299"/>
      <c r="V504" s="299"/>
      <c r="W504" s="8"/>
      <c r="X504" s="8"/>
      <c r="Y504" s="8"/>
      <c r="Z504" s="8"/>
    </row>
    <row r="505" spans="1:26" ht="12.75">
      <c r="A505" s="299"/>
      <c r="B505" s="300"/>
      <c r="C505" s="299"/>
      <c r="D505" s="299"/>
      <c r="E505" s="299"/>
      <c r="F505" s="299"/>
      <c r="G505" s="299"/>
      <c r="H505" s="1348"/>
      <c r="I505" s="299"/>
      <c r="J505" s="299"/>
      <c r="K505" s="299"/>
      <c r="L505" s="1336"/>
      <c r="M505" s="299"/>
      <c r="N505" s="299"/>
      <c r="O505" s="299"/>
      <c r="P505" s="299"/>
      <c r="Q505" s="299"/>
      <c r="R505" s="299"/>
      <c r="S505" s="299"/>
      <c r="T505" s="299"/>
      <c r="U505" s="299"/>
      <c r="V505" s="299"/>
      <c r="W505" s="8"/>
      <c r="X505" s="8"/>
      <c r="Y505" s="8"/>
      <c r="Z505" s="8"/>
    </row>
    <row r="506" spans="1:26" ht="12.75">
      <c r="A506" s="299"/>
      <c r="B506" s="300"/>
      <c r="C506" s="299"/>
      <c r="D506" s="299"/>
      <c r="E506" s="299"/>
      <c r="F506" s="299"/>
      <c r="G506" s="299"/>
      <c r="H506" s="1348"/>
      <c r="I506" s="299"/>
      <c r="J506" s="299"/>
      <c r="K506" s="299"/>
      <c r="L506" s="1336"/>
      <c r="M506" s="299"/>
      <c r="N506" s="299"/>
      <c r="O506" s="299"/>
      <c r="P506" s="299"/>
      <c r="Q506" s="299"/>
      <c r="R506" s="299"/>
      <c r="S506" s="299"/>
      <c r="T506" s="299"/>
      <c r="U506" s="299"/>
      <c r="V506" s="299"/>
      <c r="W506" s="8"/>
      <c r="X506" s="8"/>
      <c r="Y506" s="8"/>
      <c r="Z506" s="8"/>
    </row>
    <row r="507" spans="1:26" ht="12.75">
      <c r="A507" s="299"/>
      <c r="B507" s="300"/>
      <c r="C507" s="299"/>
      <c r="D507" s="299"/>
      <c r="E507" s="299"/>
      <c r="F507" s="299"/>
      <c r="G507" s="299"/>
      <c r="H507" s="1348"/>
      <c r="I507" s="299"/>
      <c r="J507" s="299"/>
      <c r="K507" s="299"/>
      <c r="L507" s="1336"/>
      <c r="M507" s="299"/>
      <c r="N507" s="299"/>
      <c r="O507" s="299"/>
      <c r="P507" s="299"/>
      <c r="Q507" s="299"/>
      <c r="R507" s="299"/>
      <c r="S507" s="299"/>
      <c r="T507" s="299"/>
      <c r="U507" s="299"/>
      <c r="V507" s="299"/>
      <c r="W507" s="8"/>
      <c r="X507" s="8"/>
      <c r="Y507" s="8"/>
      <c r="Z507" s="8"/>
    </row>
    <row r="508" spans="1:26" ht="12.75">
      <c r="A508" s="299"/>
      <c r="B508" s="300"/>
      <c r="C508" s="299"/>
      <c r="D508" s="299"/>
      <c r="E508" s="299"/>
      <c r="F508" s="299"/>
      <c r="G508" s="299"/>
      <c r="H508" s="1348"/>
      <c r="I508" s="299"/>
      <c r="J508" s="299"/>
      <c r="K508" s="299"/>
      <c r="L508" s="1336"/>
      <c r="M508" s="299"/>
      <c r="N508" s="299"/>
      <c r="O508" s="299"/>
      <c r="P508" s="299"/>
      <c r="Q508" s="299"/>
      <c r="R508" s="299"/>
      <c r="S508" s="299"/>
      <c r="T508" s="299"/>
      <c r="U508" s="299"/>
      <c r="V508" s="299"/>
      <c r="W508" s="8"/>
      <c r="X508" s="8"/>
      <c r="Y508" s="8"/>
      <c r="Z508" s="8"/>
    </row>
    <row r="509" spans="1:26" ht="12.75">
      <c r="A509" s="299"/>
      <c r="B509" s="300"/>
      <c r="C509" s="299"/>
      <c r="D509" s="299"/>
      <c r="E509" s="299"/>
      <c r="F509" s="299"/>
      <c r="G509" s="299"/>
      <c r="H509" s="1348"/>
      <c r="I509" s="299"/>
      <c r="J509" s="299"/>
      <c r="K509" s="299"/>
      <c r="L509" s="1336"/>
      <c r="M509" s="299"/>
      <c r="N509" s="299"/>
      <c r="O509" s="299"/>
      <c r="P509" s="299"/>
      <c r="Q509" s="299"/>
      <c r="R509" s="299"/>
      <c r="S509" s="299"/>
      <c r="T509" s="299"/>
      <c r="U509" s="299"/>
      <c r="V509" s="299"/>
      <c r="W509" s="8"/>
      <c r="X509" s="8"/>
      <c r="Y509" s="8"/>
      <c r="Z509" s="8"/>
    </row>
    <row r="510" spans="1:26" ht="12.75">
      <c r="A510" s="299"/>
      <c r="B510" s="300"/>
      <c r="C510" s="299"/>
      <c r="D510" s="299"/>
      <c r="E510" s="299"/>
      <c r="F510" s="299"/>
      <c r="G510" s="299"/>
      <c r="H510" s="1348"/>
      <c r="I510" s="299"/>
      <c r="J510" s="299"/>
      <c r="K510" s="299"/>
      <c r="L510" s="1336"/>
      <c r="M510" s="299"/>
      <c r="N510" s="299"/>
      <c r="O510" s="299"/>
      <c r="P510" s="299"/>
      <c r="Q510" s="299"/>
      <c r="R510" s="299"/>
      <c r="S510" s="299"/>
      <c r="T510" s="299"/>
      <c r="U510" s="299"/>
      <c r="V510" s="299"/>
      <c r="W510" s="8"/>
      <c r="X510" s="8"/>
      <c r="Y510" s="8"/>
      <c r="Z510" s="8"/>
    </row>
    <row r="511" spans="1:26" ht="12.75">
      <c r="A511" s="299"/>
      <c r="B511" s="300"/>
      <c r="C511" s="299"/>
      <c r="D511" s="299"/>
      <c r="E511" s="299"/>
      <c r="F511" s="299"/>
      <c r="G511" s="299"/>
      <c r="H511" s="1348"/>
      <c r="I511" s="299"/>
      <c r="J511" s="299"/>
      <c r="K511" s="299"/>
      <c r="L511" s="1336"/>
      <c r="M511" s="299"/>
      <c r="N511" s="299"/>
      <c r="O511" s="299"/>
      <c r="P511" s="299"/>
      <c r="Q511" s="299"/>
      <c r="R511" s="299"/>
      <c r="S511" s="299"/>
      <c r="T511" s="299"/>
      <c r="U511" s="299"/>
      <c r="V511" s="299"/>
      <c r="W511" s="8"/>
      <c r="X511" s="8"/>
      <c r="Y511" s="8"/>
      <c r="Z511" s="8"/>
    </row>
    <row r="512" spans="1:26" ht="12.75">
      <c r="A512" s="299"/>
      <c r="B512" s="300"/>
      <c r="C512" s="299"/>
      <c r="D512" s="299"/>
      <c r="E512" s="299"/>
      <c r="F512" s="299"/>
      <c r="G512" s="299"/>
      <c r="H512" s="1348"/>
      <c r="I512" s="299"/>
      <c r="J512" s="299"/>
      <c r="K512" s="299"/>
      <c r="L512" s="1336"/>
      <c r="M512" s="299"/>
      <c r="N512" s="299"/>
      <c r="O512" s="299"/>
      <c r="P512" s="299"/>
      <c r="Q512" s="299"/>
      <c r="R512" s="299"/>
      <c r="S512" s="299"/>
      <c r="T512" s="299"/>
      <c r="U512" s="299"/>
      <c r="V512" s="299"/>
      <c r="W512" s="8"/>
      <c r="X512" s="8"/>
      <c r="Y512" s="8"/>
      <c r="Z512" s="8"/>
    </row>
    <row r="513" spans="1:26" ht="12.75">
      <c r="A513" s="299"/>
      <c r="B513" s="300"/>
      <c r="C513" s="299"/>
      <c r="D513" s="299"/>
      <c r="E513" s="299"/>
      <c r="F513" s="299"/>
      <c r="G513" s="299"/>
      <c r="H513" s="1348"/>
      <c r="I513" s="299"/>
      <c r="J513" s="299"/>
      <c r="K513" s="299"/>
      <c r="L513" s="1336"/>
      <c r="M513" s="299"/>
      <c r="N513" s="299"/>
      <c r="O513" s="299"/>
      <c r="P513" s="299"/>
      <c r="Q513" s="299"/>
      <c r="R513" s="299"/>
      <c r="S513" s="299"/>
      <c r="T513" s="299"/>
      <c r="U513" s="299"/>
      <c r="V513" s="299"/>
      <c r="W513" s="8"/>
      <c r="X513" s="8"/>
      <c r="Y513" s="8"/>
      <c r="Z513" s="8"/>
    </row>
    <row r="514" spans="1:26" ht="12.75">
      <c r="A514" s="299"/>
      <c r="B514" s="300"/>
      <c r="C514" s="299"/>
      <c r="D514" s="299"/>
      <c r="E514" s="299"/>
      <c r="F514" s="299"/>
      <c r="G514" s="299"/>
      <c r="H514" s="1348"/>
      <c r="I514" s="299"/>
      <c r="J514" s="299"/>
      <c r="K514" s="299"/>
      <c r="L514" s="1336"/>
      <c r="M514" s="299"/>
      <c r="N514" s="299"/>
      <c r="O514" s="299"/>
      <c r="P514" s="299"/>
      <c r="Q514" s="299"/>
      <c r="R514" s="299"/>
      <c r="S514" s="299"/>
      <c r="T514" s="299"/>
      <c r="U514" s="299"/>
      <c r="V514" s="299"/>
      <c r="W514" s="8"/>
      <c r="X514" s="8"/>
      <c r="Y514" s="8"/>
      <c r="Z514" s="8"/>
    </row>
    <row r="515" spans="1:26" ht="12.75">
      <c r="A515" s="299"/>
      <c r="B515" s="300"/>
      <c r="C515" s="299"/>
      <c r="D515" s="299"/>
      <c r="E515" s="299"/>
      <c r="F515" s="299"/>
      <c r="G515" s="299"/>
      <c r="H515" s="1348"/>
      <c r="I515" s="299"/>
      <c r="J515" s="299"/>
      <c r="K515" s="299"/>
      <c r="L515" s="1336"/>
      <c r="M515" s="299"/>
      <c r="N515" s="299"/>
      <c r="O515" s="299"/>
      <c r="P515" s="299"/>
      <c r="Q515" s="299"/>
      <c r="R515" s="299"/>
      <c r="S515" s="299"/>
      <c r="T515" s="299"/>
      <c r="U515" s="299"/>
      <c r="V515" s="299"/>
      <c r="W515" s="8"/>
      <c r="X515" s="8"/>
      <c r="Y515" s="8"/>
      <c r="Z515" s="8"/>
    </row>
    <row r="516" spans="1:26" ht="12.75">
      <c r="A516" s="299"/>
      <c r="B516" s="300"/>
      <c r="C516" s="299"/>
      <c r="D516" s="299"/>
      <c r="E516" s="299"/>
      <c r="F516" s="299"/>
      <c r="G516" s="299"/>
      <c r="H516" s="1348"/>
      <c r="I516" s="299"/>
      <c r="J516" s="299"/>
      <c r="K516" s="299"/>
      <c r="L516" s="1336"/>
      <c r="M516" s="299"/>
      <c r="N516" s="299"/>
      <c r="O516" s="299"/>
      <c r="P516" s="299"/>
      <c r="Q516" s="299"/>
      <c r="R516" s="299"/>
      <c r="S516" s="299"/>
      <c r="T516" s="299"/>
      <c r="U516" s="299"/>
      <c r="V516" s="299"/>
      <c r="W516" s="8"/>
      <c r="X516" s="8"/>
      <c r="Y516" s="8"/>
      <c r="Z516" s="8"/>
    </row>
    <row r="517" spans="1:26" ht="12.75">
      <c r="A517" s="299"/>
      <c r="B517" s="300"/>
      <c r="C517" s="299"/>
      <c r="D517" s="299"/>
      <c r="E517" s="299"/>
      <c r="F517" s="299"/>
      <c r="G517" s="299"/>
      <c r="H517" s="1348"/>
      <c r="I517" s="299"/>
      <c r="J517" s="299"/>
      <c r="K517" s="299"/>
      <c r="L517" s="1336"/>
      <c r="M517" s="299"/>
      <c r="N517" s="299"/>
      <c r="O517" s="299"/>
      <c r="P517" s="299"/>
      <c r="Q517" s="299"/>
      <c r="R517" s="299"/>
      <c r="S517" s="299"/>
      <c r="T517" s="299"/>
      <c r="U517" s="299"/>
      <c r="V517" s="299"/>
      <c r="W517" s="8"/>
      <c r="X517" s="8"/>
      <c r="Y517" s="8"/>
      <c r="Z517" s="8"/>
    </row>
    <row r="518" spans="1:26" ht="12.75">
      <c r="A518" s="299"/>
      <c r="B518" s="300"/>
      <c r="C518" s="299"/>
      <c r="D518" s="299"/>
      <c r="E518" s="299"/>
      <c r="F518" s="299"/>
      <c r="G518" s="299"/>
      <c r="H518" s="1348"/>
      <c r="I518" s="299"/>
      <c r="J518" s="299"/>
      <c r="K518" s="299"/>
      <c r="L518" s="1336"/>
      <c r="M518" s="299"/>
      <c r="N518" s="299"/>
      <c r="O518" s="299"/>
      <c r="P518" s="299"/>
      <c r="Q518" s="299"/>
      <c r="R518" s="299"/>
      <c r="S518" s="299"/>
      <c r="T518" s="299"/>
      <c r="U518" s="299"/>
      <c r="V518" s="299"/>
      <c r="W518" s="8"/>
      <c r="X518" s="8"/>
      <c r="Y518" s="8"/>
      <c r="Z518" s="8"/>
    </row>
    <row r="519" spans="1:26" ht="12.75">
      <c r="A519" s="299"/>
      <c r="B519" s="300"/>
      <c r="C519" s="299"/>
      <c r="D519" s="299"/>
      <c r="E519" s="299"/>
      <c r="F519" s="299"/>
      <c r="G519" s="299"/>
      <c r="H519" s="1348"/>
      <c r="I519" s="299"/>
      <c r="J519" s="299"/>
      <c r="K519" s="299"/>
      <c r="L519" s="1336"/>
      <c r="M519" s="299"/>
      <c r="N519" s="299"/>
      <c r="O519" s="299"/>
      <c r="P519" s="299"/>
      <c r="Q519" s="299"/>
      <c r="R519" s="299"/>
      <c r="S519" s="299"/>
      <c r="T519" s="299"/>
      <c r="U519" s="299"/>
      <c r="V519" s="299"/>
      <c r="W519" s="8"/>
      <c r="X519" s="8"/>
      <c r="Y519" s="8"/>
      <c r="Z519" s="8"/>
    </row>
    <row r="520" spans="1:26" ht="12.75">
      <c r="A520" s="299"/>
      <c r="B520" s="300"/>
      <c r="C520" s="299"/>
      <c r="D520" s="299"/>
      <c r="E520" s="299"/>
      <c r="F520" s="299"/>
      <c r="G520" s="299"/>
      <c r="H520" s="1348"/>
      <c r="I520" s="299"/>
      <c r="J520" s="299"/>
      <c r="K520" s="299"/>
      <c r="L520" s="1336"/>
      <c r="M520" s="299"/>
      <c r="N520" s="299"/>
      <c r="O520" s="299"/>
      <c r="P520" s="299"/>
      <c r="Q520" s="299"/>
      <c r="R520" s="299"/>
      <c r="S520" s="299"/>
      <c r="T520" s="299"/>
      <c r="U520" s="299"/>
      <c r="V520" s="299"/>
      <c r="W520" s="8"/>
      <c r="X520" s="8"/>
      <c r="Y520" s="8"/>
      <c r="Z520" s="8"/>
    </row>
    <row r="521" spans="1:26" ht="12.75">
      <c r="A521" s="299"/>
      <c r="B521" s="300"/>
      <c r="C521" s="299"/>
      <c r="D521" s="299"/>
      <c r="E521" s="299"/>
      <c r="F521" s="299"/>
      <c r="G521" s="299"/>
      <c r="H521" s="1348"/>
      <c r="I521" s="299"/>
      <c r="J521" s="299"/>
      <c r="K521" s="299"/>
      <c r="L521" s="1336"/>
      <c r="M521" s="299"/>
      <c r="N521" s="299"/>
      <c r="O521" s="299"/>
      <c r="P521" s="299"/>
      <c r="Q521" s="299"/>
      <c r="R521" s="299"/>
      <c r="S521" s="299"/>
      <c r="T521" s="299"/>
      <c r="U521" s="299"/>
      <c r="V521" s="299"/>
      <c r="W521" s="8"/>
      <c r="X521" s="8"/>
      <c r="Y521" s="8"/>
      <c r="Z521" s="8"/>
    </row>
    <row r="522" spans="1:26" ht="12.75">
      <c r="A522" s="299"/>
      <c r="B522" s="300"/>
      <c r="C522" s="299"/>
      <c r="D522" s="299"/>
      <c r="E522" s="299"/>
      <c r="F522" s="299"/>
      <c r="G522" s="299"/>
      <c r="H522" s="1348"/>
      <c r="I522" s="299"/>
      <c r="J522" s="299"/>
      <c r="K522" s="299"/>
      <c r="L522" s="1336"/>
      <c r="M522" s="299"/>
      <c r="N522" s="299"/>
      <c r="O522" s="299"/>
      <c r="P522" s="299"/>
      <c r="Q522" s="299"/>
      <c r="R522" s="299"/>
      <c r="S522" s="299"/>
      <c r="T522" s="299"/>
      <c r="U522" s="299"/>
      <c r="V522" s="299"/>
      <c r="W522" s="8"/>
      <c r="X522" s="8"/>
      <c r="Y522" s="8"/>
      <c r="Z522" s="8"/>
    </row>
    <row r="523" spans="1:26" ht="12.75">
      <c r="A523" s="299"/>
      <c r="B523" s="300"/>
      <c r="C523" s="299"/>
      <c r="D523" s="299"/>
      <c r="E523" s="299"/>
      <c r="F523" s="299"/>
      <c r="G523" s="299"/>
      <c r="H523" s="1348"/>
      <c r="I523" s="299"/>
      <c r="J523" s="299"/>
      <c r="K523" s="299"/>
      <c r="L523" s="1336"/>
      <c r="M523" s="299"/>
      <c r="N523" s="299"/>
      <c r="O523" s="299"/>
      <c r="P523" s="299"/>
      <c r="Q523" s="299"/>
      <c r="R523" s="299"/>
      <c r="S523" s="299"/>
      <c r="T523" s="299"/>
      <c r="U523" s="299"/>
      <c r="V523" s="299"/>
      <c r="W523" s="8"/>
      <c r="X523" s="8"/>
      <c r="Y523" s="8"/>
      <c r="Z523" s="8"/>
    </row>
    <row r="524" spans="1:26" ht="12.75">
      <c r="A524" s="299"/>
      <c r="B524" s="300"/>
      <c r="C524" s="299"/>
      <c r="D524" s="299"/>
      <c r="E524" s="299"/>
      <c r="F524" s="299"/>
      <c r="G524" s="299"/>
      <c r="H524" s="1348"/>
      <c r="I524" s="299"/>
      <c r="J524" s="299"/>
      <c r="K524" s="299"/>
      <c r="L524" s="1336"/>
      <c r="M524" s="299"/>
      <c r="N524" s="299"/>
      <c r="O524" s="299"/>
      <c r="P524" s="299"/>
      <c r="Q524" s="299"/>
      <c r="R524" s="299"/>
      <c r="S524" s="299"/>
      <c r="T524" s="299"/>
      <c r="U524" s="299"/>
      <c r="V524" s="299"/>
      <c r="W524" s="8"/>
      <c r="X524" s="8"/>
      <c r="Y524" s="8"/>
      <c r="Z524" s="8"/>
    </row>
    <row r="525" spans="1:26" ht="12.75">
      <c r="A525" s="299"/>
      <c r="B525" s="300"/>
      <c r="C525" s="299"/>
      <c r="D525" s="299"/>
      <c r="E525" s="299"/>
      <c r="F525" s="299"/>
      <c r="G525" s="299"/>
      <c r="H525" s="1348"/>
      <c r="I525" s="299"/>
      <c r="J525" s="299"/>
      <c r="K525" s="299"/>
      <c r="L525" s="1336"/>
      <c r="M525" s="299"/>
      <c r="N525" s="299"/>
      <c r="O525" s="299"/>
      <c r="P525" s="299"/>
      <c r="Q525" s="299"/>
      <c r="R525" s="299"/>
      <c r="S525" s="299"/>
      <c r="T525" s="299"/>
      <c r="U525" s="299"/>
      <c r="V525" s="299"/>
      <c r="W525" s="8"/>
      <c r="X525" s="8"/>
      <c r="Y525" s="8"/>
      <c r="Z525" s="8"/>
    </row>
    <row r="526" spans="1:26" ht="12.75">
      <c r="A526" s="299"/>
      <c r="B526" s="300"/>
      <c r="C526" s="299"/>
      <c r="D526" s="299"/>
      <c r="E526" s="299"/>
      <c r="F526" s="299"/>
      <c r="G526" s="299"/>
      <c r="H526" s="1348"/>
      <c r="I526" s="299"/>
      <c r="J526" s="299"/>
      <c r="K526" s="299"/>
      <c r="L526" s="1336"/>
      <c r="M526" s="299"/>
      <c r="N526" s="299"/>
      <c r="O526" s="299"/>
      <c r="P526" s="299"/>
      <c r="Q526" s="299"/>
      <c r="R526" s="299"/>
      <c r="S526" s="299"/>
      <c r="T526" s="299"/>
      <c r="U526" s="299"/>
      <c r="V526" s="299"/>
      <c r="W526" s="8"/>
      <c r="X526" s="8"/>
      <c r="Y526" s="8"/>
      <c r="Z526" s="8"/>
    </row>
    <row r="527" spans="1:26" ht="12.75">
      <c r="A527" s="299"/>
      <c r="B527" s="300"/>
      <c r="C527" s="299"/>
      <c r="D527" s="299"/>
      <c r="E527" s="299"/>
      <c r="F527" s="299"/>
      <c r="G527" s="299"/>
      <c r="H527" s="1348"/>
      <c r="I527" s="299"/>
      <c r="J527" s="299"/>
      <c r="K527" s="299"/>
      <c r="L527" s="1336"/>
      <c r="M527" s="299"/>
      <c r="N527" s="299"/>
      <c r="O527" s="299"/>
      <c r="P527" s="299"/>
      <c r="Q527" s="299"/>
      <c r="R527" s="299"/>
      <c r="S527" s="299"/>
      <c r="T527" s="299"/>
      <c r="U527" s="299"/>
      <c r="V527" s="299"/>
      <c r="W527" s="8"/>
      <c r="X527" s="8"/>
      <c r="Y527" s="8"/>
      <c r="Z527" s="8"/>
    </row>
    <row r="528" spans="1:26" ht="12.75">
      <c r="A528" s="299"/>
      <c r="B528" s="300"/>
      <c r="C528" s="299"/>
      <c r="D528" s="299"/>
      <c r="E528" s="299"/>
      <c r="F528" s="299"/>
      <c r="G528" s="299"/>
      <c r="H528" s="1348"/>
      <c r="I528" s="299"/>
      <c r="J528" s="299"/>
      <c r="K528" s="299"/>
      <c r="L528" s="1336"/>
      <c r="M528" s="299"/>
      <c r="N528" s="299"/>
      <c r="O528" s="299"/>
      <c r="P528" s="299"/>
      <c r="Q528" s="299"/>
      <c r="R528" s="299"/>
      <c r="S528" s="299"/>
      <c r="T528" s="299"/>
      <c r="U528" s="299"/>
      <c r="V528" s="299"/>
      <c r="W528" s="8"/>
      <c r="X528" s="8"/>
      <c r="Y528" s="8"/>
      <c r="Z528" s="8"/>
    </row>
    <row r="529" spans="1:26" ht="12.75">
      <c r="A529" s="299"/>
      <c r="B529" s="300"/>
      <c r="C529" s="299"/>
      <c r="D529" s="299"/>
      <c r="E529" s="299"/>
      <c r="F529" s="299"/>
      <c r="G529" s="299"/>
      <c r="H529" s="1348"/>
      <c r="I529" s="299"/>
      <c r="J529" s="299"/>
      <c r="K529" s="299"/>
      <c r="L529" s="1336"/>
      <c r="M529" s="299"/>
      <c r="N529" s="299"/>
      <c r="O529" s="299"/>
      <c r="P529" s="299"/>
      <c r="Q529" s="299"/>
      <c r="R529" s="299"/>
      <c r="S529" s="299"/>
      <c r="T529" s="299"/>
      <c r="U529" s="299"/>
      <c r="V529" s="299"/>
      <c r="W529" s="8"/>
      <c r="X529" s="8"/>
      <c r="Y529" s="8"/>
      <c r="Z529" s="8"/>
    </row>
    <row r="530" spans="1:26" ht="12.75">
      <c r="A530" s="299"/>
      <c r="B530" s="300"/>
      <c r="C530" s="299"/>
      <c r="D530" s="299"/>
      <c r="E530" s="299"/>
      <c r="F530" s="299"/>
      <c r="G530" s="299"/>
      <c r="H530" s="1348"/>
      <c r="I530" s="299"/>
      <c r="J530" s="299"/>
      <c r="K530" s="299"/>
      <c r="L530" s="1336"/>
      <c r="M530" s="299"/>
      <c r="N530" s="299"/>
      <c r="O530" s="299"/>
      <c r="P530" s="299"/>
      <c r="Q530" s="299"/>
      <c r="R530" s="299"/>
      <c r="S530" s="299"/>
      <c r="T530" s="299"/>
      <c r="U530" s="299"/>
      <c r="V530" s="299"/>
      <c r="W530" s="8"/>
      <c r="X530" s="8"/>
      <c r="Y530" s="8"/>
      <c r="Z530" s="8"/>
    </row>
    <row r="531" spans="1:26" ht="12.75">
      <c r="A531" s="299"/>
      <c r="B531" s="300"/>
      <c r="C531" s="299"/>
      <c r="D531" s="299"/>
      <c r="E531" s="299"/>
      <c r="F531" s="299"/>
      <c r="G531" s="299"/>
      <c r="H531" s="1348"/>
      <c r="I531" s="299"/>
      <c r="J531" s="299"/>
      <c r="K531" s="299"/>
      <c r="L531" s="1336"/>
      <c r="M531" s="299"/>
      <c r="N531" s="299"/>
      <c r="O531" s="299"/>
      <c r="P531" s="299"/>
      <c r="Q531" s="299"/>
      <c r="R531" s="299"/>
      <c r="S531" s="299"/>
      <c r="T531" s="299"/>
      <c r="U531" s="299"/>
      <c r="V531" s="299"/>
      <c r="W531" s="8"/>
      <c r="X531" s="8"/>
      <c r="Y531" s="8"/>
      <c r="Z531" s="8"/>
    </row>
    <row r="532" spans="1:26" ht="12.75">
      <c r="A532" s="299"/>
      <c r="B532" s="300"/>
      <c r="C532" s="299"/>
      <c r="D532" s="299"/>
      <c r="E532" s="299"/>
      <c r="F532" s="299"/>
      <c r="G532" s="299"/>
      <c r="H532" s="1348"/>
      <c r="I532" s="299"/>
      <c r="J532" s="299"/>
      <c r="K532" s="299"/>
      <c r="L532" s="1336"/>
      <c r="M532" s="299"/>
      <c r="N532" s="299"/>
      <c r="O532" s="299"/>
      <c r="P532" s="299"/>
      <c r="Q532" s="299"/>
      <c r="R532" s="299"/>
      <c r="S532" s="299"/>
      <c r="T532" s="299"/>
      <c r="U532" s="299"/>
      <c r="V532" s="299"/>
      <c r="W532" s="8"/>
      <c r="X532" s="8"/>
      <c r="Y532" s="8"/>
      <c r="Z532" s="8"/>
    </row>
    <row r="533" spans="1:26" ht="12.75">
      <c r="A533" s="299"/>
      <c r="B533" s="300"/>
      <c r="C533" s="299"/>
      <c r="D533" s="299"/>
      <c r="E533" s="299"/>
      <c r="F533" s="299"/>
      <c r="G533" s="299"/>
      <c r="H533" s="1348"/>
      <c r="I533" s="299"/>
      <c r="J533" s="299"/>
      <c r="K533" s="299"/>
      <c r="L533" s="1336"/>
      <c r="M533" s="299"/>
      <c r="N533" s="299"/>
      <c r="O533" s="299"/>
      <c r="P533" s="299"/>
      <c r="Q533" s="299"/>
      <c r="R533" s="299"/>
      <c r="S533" s="299"/>
      <c r="T533" s="299"/>
      <c r="U533" s="299"/>
      <c r="V533" s="299"/>
      <c r="W533" s="8"/>
      <c r="X533" s="8"/>
      <c r="Y533" s="8"/>
      <c r="Z533" s="8"/>
    </row>
    <row r="534" spans="1:26" ht="12.75">
      <c r="A534" s="299"/>
      <c r="B534" s="300"/>
      <c r="C534" s="299"/>
      <c r="D534" s="299"/>
      <c r="E534" s="299"/>
      <c r="F534" s="299"/>
      <c r="G534" s="299"/>
      <c r="H534" s="1348"/>
      <c r="I534" s="299"/>
      <c r="J534" s="299"/>
      <c r="K534" s="299"/>
      <c r="L534" s="1336"/>
      <c r="M534" s="299"/>
      <c r="N534" s="299"/>
      <c r="O534" s="299"/>
      <c r="P534" s="299"/>
      <c r="Q534" s="299"/>
      <c r="R534" s="299"/>
      <c r="S534" s="299"/>
      <c r="T534" s="299"/>
      <c r="U534" s="299"/>
      <c r="V534" s="299"/>
      <c r="W534" s="8"/>
      <c r="X534" s="8"/>
      <c r="Y534" s="8"/>
      <c r="Z534" s="8"/>
    </row>
    <row r="535" spans="1:26" ht="12.75">
      <c r="A535" s="299"/>
      <c r="B535" s="300"/>
      <c r="C535" s="299"/>
      <c r="D535" s="299"/>
      <c r="E535" s="299"/>
      <c r="F535" s="299"/>
      <c r="G535" s="299"/>
      <c r="H535" s="1348"/>
      <c r="I535" s="299"/>
      <c r="J535" s="299"/>
      <c r="K535" s="299"/>
      <c r="L535" s="1336"/>
      <c r="M535" s="299"/>
      <c r="N535" s="299"/>
      <c r="O535" s="299"/>
      <c r="P535" s="299"/>
      <c r="Q535" s="299"/>
      <c r="R535" s="299"/>
      <c r="S535" s="299"/>
      <c r="T535" s="299"/>
      <c r="U535" s="299"/>
      <c r="V535" s="299"/>
      <c r="W535" s="8"/>
      <c r="X535" s="8"/>
      <c r="Y535" s="8"/>
      <c r="Z535" s="8"/>
    </row>
    <row r="536" spans="1:26" ht="12.75">
      <c r="A536" s="299"/>
      <c r="B536" s="300"/>
      <c r="C536" s="299"/>
      <c r="D536" s="299"/>
      <c r="E536" s="299"/>
      <c r="F536" s="299"/>
      <c r="G536" s="299"/>
      <c r="H536" s="1348"/>
      <c r="I536" s="299"/>
      <c r="J536" s="299"/>
      <c r="K536" s="299"/>
      <c r="L536" s="1336"/>
      <c r="M536" s="299"/>
      <c r="N536" s="299"/>
      <c r="O536" s="299"/>
      <c r="P536" s="299"/>
      <c r="Q536" s="299"/>
      <c r="R536" s="299"/>
      <c r="S536" s="299"/>
      <c r="T536" s="299"/>
      <c r="U536" s="299"/>
      <c r="V536" s="299"/>
      <c r="W536" s="8"/>
      <c r="X536" s="8"/>
      <c r="Y536" s="8"/>
      <c r="Z536" s="8"/>
    </row>
    <row r="537" spans="1:26" ht="12.75">
      <c r="A537" s="299"/>
      <c r="B537" s="300"/>
      <c r="C537" s="299"/>
      <c r="D537" s="299"/>
      <c r="E537" s="299"/>
      <c r="F537" s="299"/>
      <c r="G537" s="299"/>
      <c r="H537" s="1348"/>
      <c r="I537" s="299"/>
      <c r="J537" s="299"/>
      <c r="K537" s="299"/>
      <c r="L537" s="1336"/>
      <c r="M537" s="299"/>
      <c r="N537" s="299"/>
      <c r="O537" s="299"/>
      <c r="P537" s="299"/>
      <c r="Q537" s="299"/>
      <c r="R537" s="299"/>
      <c r="S537" s="299"/>
      <c r="T537" s="299"/>
      <c r="U537" s="299"/>
      <c r="V537" s="299"/>
      <c r="W537" s="8"/>
      <c r="X537" s="8"/>
      <c r="Y537" s="8"/>
      <c r="Z537" s="8"/>
    </row>
    <row r="538" spans="1:26" ht="12.75">
      <c r="A538" s="299"/>
      <c r="B538" s="300"/>
      <c r="C538" s="299"/>
      <c r="D538" s="299"/>
      <c r="E538" s="299"/>
      <c r="F538" s="299"/>
      <c r="G538" s="299"/>
      <c r="H538" s="1348"/>
      <c r="I538" s="299"/>
      <c r="J538" s="299"/>
      <c r="K538" s="299"/>
      <c r="L538" s="1336"/>
      <c r="M538" s="299"/>
      <c r="N538" s="299"/>
      <c r="O538" s="299"/>
      <c r="P538" s="299"/>
      <c r="Q538" s="299"/>
      <c r="R538" s="299"/>
      <c r="S538" s="299"/>
      <c r="T538" s="299"/>
      <c r="U538" s="299"/>
      <c r="V538" s="299"/>
      <c r="W538" s="8"/>
      <c r="X538" s="8"/>
      <c r="Y538" s="8"/>
      <c r="Z538" s="8"/>
    </row>
    <row r="539" spans="1:26" ht="12.75">
      <c r="A539" s="299"/>
      <c r="B539" s="300"/>
      <c r="C539" s="299"/>
      <c r="D539" s="299"/>
      <c r="E539" s="299"/>
      <c r="F539" s="299"/>
      <c r="G539" s="299"/>
      <c r="H539" s="1348"/>
      <c r="I539" s="299"/>
      <c r="J539" s="299"/>
      <c r="K539" s="299"/>
      <c r="L539" s="1336"/>
      <c r="M539" s="299"/>
      <c r="N539" s="299"/>
      <c r="O539" s="299"/>
      <c r="P539" s="299"/>
      <c r="Q539" s="299"/>
      <c r="R539" s="299"/>
      <c r="S539" s="299"/>
      <c r="T539" s="299"/>
      <c r="U539" s="299"/>
      <c r="V539" s="299"/>
      <c r="W539" s="8"/>
      <c r="X539" s="8"/>
      <c r="Y539" s="8"/>
      <c r="Z539" s="8"/>
    </row>
    <row r="540" spans="1:26" ht="12.75">
      <c r="A540" s="299"/>
      <c r="B540" s="300"/>
      <c r="C540" s="299"/>
      <c r="D540" s="299"/>
      <c r="E540" s="299"/>
      <c r="F540" s="299"/>
      <c r="G540" s="299"/>
      <c r="H540" s="1348"/>
      <c r="I540" s="299"/>
      <c r="J540" s="299"/>
      <c r="K540" s="299"/>
      <c r="L540" s="1336"/>
      <c r="M540" s="299"/>
      <c r="N540" s="299"/>
      <c r="O540" s="299"/>
      <c r="P540" s="299"/>
      <c r="Q540" s="299"/>
      <c r="R540" s="299"/>
      <c r="S540" s="299"/>
      <c r="T540" s="299"/>
      <c r="U540" s="299"/>
      <c r="V540" s="299"/>
      <c r="W540" s="8"/>
      <c r="X540" s="8"/>
      <c r="Y540" s="8"/>
      <c r="Z540" s="8"/>
    </row>
    <row r="541" spans="1:26" ht="12.75">
      <c r="A541" s="299"/>
      <c r="B541" s="300"/>
      <c r="C541" s="299"/>
      <c r="D541" s="299"/>
      <c r="E541" s="299"/>
      <c r="F541" s="299"/>
      <c r="G541" s="299"/>
      <c r="H541" s="1348"/>
      <c r="I541" s="299"/>
      <c r="J541" s="299"/>
      <c r="K541" s="299"/>
      <c r="L541" s="1336"/>
      <c r="M541" s="299"/>
      <c r="N541" s="299"/>
      <c r="O541" s="299"/>
      <c r="P541" s="299"/>
      <c r="Q541" s="299"/>
      <c r="R541" s="299"/>
      <c r="S541" s="299"/>
      <c r="T541" s="299"/>
      <c r="U541" s="299"/>
      <c r="V541" s="299"/>
      <c r="W541" s="8"/>
      <c r="X541" s="8"/>
      <c r="Y541" s="8"/>
      <c r="Z541" s="8"/>
    </row>
    <row r="542" spans="1:26" ht="12.75">
      <c r="A542" s="299"/>
      <c r="B542" s="300"/>
      <c r="C542" s="299"/>
      <c r="D542" s="299"/>
      <c r="E542" s="299"/>
      <c r="F542" s="299"/>
      <c r="G542" s="299"/>
      <c r="H542" s="1348"/>
      <c r="I542" s="299"/>
      <c r="J542" s="299"/>
      <c r="K542" s="299"/>
      <c r="L542" s="1336"/>
      <c r="M542" s="299"/>
      <c r="N542" s="299"/>
      <c r="O542" s="299"/>
      <c r="P542" s="299"/>
      <c r="Q542" s="299"/>
      <c r="R542" s="299"/>
      <c r="S542" s="299"/>
      <c r="T542" s="299"/>
      <c r="U542" s="299"/>
      <c r="V542" s="299"/>
      <c r="W542" s="8"/>
      <c r="X542" s="8"/>
      <c r="Y542" s="8"/>
      <c r="Z542" s="8"/>
    </row>
    <row r="543" spans="1:26" ht="12.75">
      <c r="A543" s="299"/>
      <c r="B543" s="300"/>
      <c r="C543" s="299"/>
      <c r="D543" s="299"/>
      <c r="E543" s="299"/>
      <c r="F543" s="299"/>
      <c r="G543" s="299"/>
      <c r="H543" s="1348"/>
      <c r="I543" s="299"/>
      <c r="J543" s="299"/>
      <c r="K543" s="299"/>
      <c r="L543" s="1336"/>
      <c r="M543" s="299"/>
      <c r="N543" s="299"/>
      <c r="O543" s="299"/>
      <c r="P543" s="299"/>
      <c r="Q543" s="299"/>
      <c r="R543" s="299"/>
      <c r="S543" s="299"/>
      <c r="T543" s="299"/>
      <c r="U543" s="299"/>
      <c r="V543" s="299"/>
      <c r="W543" s="8"/>
      <c r="X543" s="8"/>
      <c r="Y543" s="8"/>
      <c r="Z543" s="8"/>
    </row>
    <row r="544" spans="1:26" ht="12.75">
      <c r="A544" s="299"/>
      <c r="B544" s="300"/>
      <c r="C544" s="299"/>
      <c r="D544" s="299"/>
      <c r="E544" s="299"/>
      <c r="F544" s="299"/>
      <c r="G544" s="299"/>
      <c r="H544" s="1348"/>
      <c r="I544" s="299"/>
      <c r="J544" s="299"/>
      <c r="K544" s="299"/>
      <c r="L544" s="1336"/>
      <c r="M544" s="299"/>
      <c r="N544" s="299"/>
      <c r="O544" s="299"/>
      <c r="P544" s="299"/>
      <c r="Q544" s="299"/>
      <c r="R544" s="299"/>
      <c r="S544" s="299"/>
      <c r="T544" s="299"/>
      <c r="U544" s="299"/>
      <c r="V544" s="299"/>
      <c r="W544" s="8"/>
      <c r="X544" s="8"/>
      <c r="Y544" s="8"/>
      <c r="Z544" s="8"/>
    </row>
    <row r="545" spans="1:26" ht="12.75">
      <c r="A545" s="299"/>
      <c r="B545" s="300"/>
      <c r="C545" s="299"/>
      <c r="D545" s="299"/>
      <c r="E545" s="299"/>
      <c r="F545" s="299"/>
      <c r="G545" s="299"/>
      <c r="H545" s="1348"/>
      <c r="I545" s="299"/>
      <c r="J545" s="299"/>
      <c r="K545" s="299"/>
      <c r="L545" s="1336"/>
      <c r="M545" s="299"/>
      <c r="N545" s="299"/>
      <c r="O545" s="299"/>
      <c r="P545" s="299"/>
      <c r="Q545" s="299"/>
      <c r="R545" s="299"/>
      <c r="S545" s="299"/>
      <c r="T545" s="299"/>
      <c r="U545" s="299"/>
      <c r="V545" s="299"/>
      <c r="W545" s="8"/>
      <c r="X545" s="8"/>
      <c r="Y545" s="8"/>
      <c r="Z545" s="8"/>
    </row>
    <row r="546" spans="1:26" ht="12.75">
      <c r="A546" s="299"/>
      <c r="B546" s="300"/>
      <c r="C546" s="299"/>
      <c r="D546" s="299"/>
      <c r="E546" s="299"/>
      <c r="F546" s="299"/>
      <c r="G546" s="299"/>
      <c r="H546" s="1348"/>
      <c r="I546" s="299"/>
      <c r="J546" s="299"/>
      <c r="K546" s="299"/>
      <c r="L546" s="1336"/>
      <c r="M546" s="299"/>
      <c r="N546" s="299"/>
      <c r="O546" s="299"/>
      <c r="P546" s="299"/>
      <c r="Q546" s="299"/>
      <c r="R546" s="299"/>
      <c r="S546" s="299"/>
      <c r="T546" s="299"/>
      <c r="U546" s="299"/>
      <c r="V546" s="299"/>
      <c r="W546" s="8"/>
      <c r="X546" s="8"/>
      <c r="Y546" s="8"/>
      <c r="Z546" s="8"/>
    </row>
    <row r="547" spans="1:26" ht="12.75">
      <c r="A547" s="299"/>
      <c r="B547" s="300"/>
      <c r="C547" s="299"/>
      <c r="D547" s="299"/>
      <c r="E547" s="299"/>
      <c r="F547" s="299"/>
      <c r="G547" s="299"/>
      <c r="H547" s="1348"/>
      <c r="I547" s="299"/>
      <c r="J547" s="299"/>
      <c r="K547" s="299"/>
      <c r="L547" s="1336"/>
      <c r="M547" s="299"/>
      <c r="N547" s="299"/>
      <c r="O547" s="299"/>
      <c r="P547" s="299"/>
      <c r="Q547" s="299"/>
      <c r="R547" s="299"/>
      <c r="S547" s="299"/>
      <c r="T547" s="299"/>
      <c r="U547" s="299"/>
      <c r="V547" s="299"/>
      <c r="W547" s="8"/>
      <c r="X547" s="8"/>
      <c r="Y547" s="8"/>
      <c r="Z547" s="8"/>
    </row>
    <row r="548" spans="1:26" ht="12.75">
      <c r="A548" s="299"/>
      <c r="B548" s="300"/>
      <c r="C548" s="299"/>
      <c r="D548" s="299"/>
      <c r="E548" s="299"/>
      <c r="F548" s="299"/>
      <c r="G548" s="299"/>
      <c r="H548" s="1348"/>
      <c r="I548" s="299"/>
      <c r="J548" s="299"/>
      <c r="K548" s="299"/>
      <c r="L548" s="1336"/>
      <c r="M548" s="299"/>
      <c r="N548" s="299"/>
      <c r="O548" s="299"/>
      <c r="P548" s="299"/>
      <c r="Q548" s="299"/>
      <c r="R548" s="299"/>
      <c r="S548" s="299"/>
      <c r="T548" s="299"/>
      <c r="U548" s="299"/>
      <c r="V548" s="299"/>
      <c r="W548" s="8"/>
      <c r="X548" s="8"/>
      <c r="Y548" s="8"/>
      <c r="Z548" s="8"/>
    </row>
    <row r="549" spans="1:26" ht="12.75">
      <c r="A549" s="299"/>
      <c r="B549" s="300"/>
      <c r="C549" s="299"/>
      <c r="D549" s="299"/>
      <c r="E549" s="299"/>
      <c r="F549" s="299"/>
      <c r="G549" s="299"/>
      <c r="H549" s="1348"/>
      <c r="I549" s="299"/>
      <c r="J549" s="299"/>
      <c r="K549" s="299"/>
      <c r="L549" s="1336"/>
      <c r="M549" s="299"/>
      <c r="N549" s="299"/>
      <c r="O549" s="299"/>
      <c r="P549" s="299"/>
      <c r="Q549" s="299"/>
      <c r="R549" s="299"/>
      <c r="S549" s="299"/>
      <c r="T549" s="299"/>
      <c r="U549" s="299"/>
      <c r="V549" s="299"/>
      <c r="W549" s="8"/>
      <c r="X549" s="8"/>
      <c r="Y549" s="8"/>
      <c r="Z549" s="8"/>
    </row>
    <row r="550" spans="1:26" ht="12.75">
      <c r="A550" s="299"/>
      <c r="B550" s="300"/>
      <c r="C550" s="299"/>
      <c r="D550" s="299"/>
      <c r="E550" s="299"/>
      <c r="F550" s="299"/>
      <c r="G550" s="299"/>
      <c r="H550" s="1348"/>
      <c r="I550" s="299"/>
      <c r="J550" s="299"/>
      <c r="K550" s="299"/>
      <c r="L550" s="1336"/>
      <c r="M550" s="299"/>
      <c r="N550" s="299"/>
      <c r="O550" s="299"/>
      <c r="P550" s="299"/>
      <c r="Q550" s="299"/>
      <c r="R550" s="299"/>
      <c r="S550" s="299"/>
      <c r="T550" s="299"/>
      <c r="U550" s="299"/>
      <c r="V550" s="299"/>
      <c r="W550" s="8"/>
      <c r="X550" s="8"/>
      <c r="Y550" s="8"/>
      <c r="Z550" s="8"/>
    </row>
    <row r="551" spans="1:26" ht="12.75">
      <c r="A551" s="299"/>
      <c r="B551" s="300"/>
      <c r="C551" s="299"/>
      <c r="D551" s="299"/>
      <c r="E551" s="299"/>
      <c r="F551" s="299"/>
      <c r="G551" s="299"/>
      <c r="H551" s="1348"/>
      <c r="I551" s="299"/>
      <c r="J551" s="299"/>
      <c r="K551" s="299"/>
      <c r="L551" s="1336"/>
      <c r="M551" s="299"/>
      <c r="N551" s="299"/>
      <c r="O551" s="299"/>
      <c r="P551" s="299"/>
      <c r="Q551" s="299"/>
      <c r="R551" s="299"/>
      <c r="S551" s="299"/>
      <c r="T551" s="299"/>
      <c r="U551" s="299"/>
      <c r="V551" s="299"/>
      <c r="W551" s="8"/>
      <c r="X551" s="8"/>
      <c r="Y551" s="8"/>
      <c r="Z551" s="8"/>
    </row>
    <row r="552" spans="1:26" ht="12.75">
      <c r="A552" s="299"/>
      <c r="B552" s="300"/>
      <c r="C552" s="299"/>
      <c r="D552" s="299"/>
      <c r="E552" s="299"/>
      <c r="F552" s="299"/>
      <c r="G552" s="299"/>
      <c r="H552" s="1348"/>
      <c r="I552" s="299"/>
      <c r="J552" s="299"/>
      <c r="K552" s="299"/>
      <c r="L552" s="1336"/>
      <c r="M552" s="299"/>
      <c r="N552" s="299"/>
      <c r="O552" s="299"/>
      <c r="P552" s="299"/>
      <c r="Q552" s="299"/>
      <c r="R552" s="299"/>
      <c r="S552" s="299"/>
      <c r="T552" s="299"/>
      <c r="U552" s="299"/>
      <c r="V552" s="299"/>
      <c r="W552" s="8"/>
      <c r="X552" s="8"/>
      <c r="Y552" s="8"/>
      <c r="Z552" s="8"/>
    </row>
    <row r="553" spans="1:26" ht="12.75">
      <c r="A553" s="299"/>
      <c r="B553" s="300"/>
      <c r="C553" s="299"/>
      <c r="D553" s="299"/>
      <c r="E553" s="299"/>
      <c r="F553" s="299"/>
      <c r="G553" s="299"/>
      <c r="H553" s="1348"/>
      <c r="I553" s="299"/>
      <c r="J553" s="299"/>
      <c r="K553" s="299"/>
      <c r="L553" s="1336"/>
      <c r="M553" s="299"/>
      <c r="N553" s="299"/>
      <c r="O553" s="299"/>
      <c r="P553" s="299"/>
      <c r="Q553" s="299"/>
      <c r="R553" s="299"/>
      <c r="S553" s="299"/>
      <c r="T553" s="299"/>
      <c r="U553" s="299"/>
      <c r="V553" s="299"/>
      <c r="W553" s="8"/>
      <c r="X553" s="8"/>
      <c r="Y553" s="8"/>
      <c r="Z553" s="8"/>
    </row>
    <row r="554" spans="1:26" ht="12.75">
      <c r="A554" s="299"/>
      <c r="B554" s="300"/>
      <c r="C554" s="299"/>
      <c r="D554" s="299"/>
      <c r="E554" s="299"/>
      <c r="F554" s="299"/>
      <c r="G554" s="299"/>
      <c r="H554" s="1348"/>
      <c r="I554" s="299"/>
      <c r="J554" s="299"/>
      <c r="K554" s="299"/>
      <c r="L554" s="1336"/>
      <c r="M554" s="299"/>
      <c r="N554" s="299"/>
      <c r="O554" s="299"/>
      <c r="P554" s="299"/>
      <c r="Q554" s="299"/>
      <c r="R554" s="299"/>
      <c r="S554" s="299"/>
      <c r="T554" s="299"/>
      <c r="U554" s="299"/>
      <c r="V554" s="299"/>
      <c r="W554" s="8"/>
      <c r="X554" s="8"/>
      <c r="Y554" s="8"/>
      <c r="Z554" s="8"/>
    </row>
    <row r="555" spans="1:26" ht="12.75">
      <c r="A555" s="299"/>
      <c r="B555" s="300"/>
      <c r="C555" s="299"/>
      <c r="D555" s="299"/>
      <c r="E555" s="299"/>
      <c r="F555" s="299"/>
      <c r="G555" s="299"/>
      <c r="H555" s="1348"/>
      <c r="I555" s="299"/>
      <c r="J555" s="299"/>
      <c r="K555" s="299"/>
      <c r="L555" s="1336"/>
      <c r="M555" s="299"/>
      <c r="N555" s="299"/>
      <c r="O555" s="299"/>
      <c r="P555" s="299"/>
      <c r="Q555" s="299"/>
      <c r="R555" s="299"/>
      <c r="S555" s="299"/>
      <c r="T555" s="299"/>
      <c r="U555" s="299"/>
      <c r="V555" s="299"/>
      <c r="W555" s="8"/>
      <c r="X555" s="8"/>
      <c r="Y555" s="8"/>
      <c r="Z555" s="8"/>
    </row>
    <row r="556" spans="1:26" ht="12.75">
      <c r="A556" s="299"/>
      <c r="B556" s="300"/>
      <c r="C556" s="299"/>
      <c r="D556" s="299"/>
      <c r="E556" s="299"/>
      <c r="F556" s="299"/>
      <c r="G556" s="299"/>
      <c r="H556" s="1348"/>
      <c r="I556" s="299"/>
      <c r="J556" s="299"/>
      <c r="K556" s="299"/>
      <c r="L556" s="1336"/>
      <c r="M556" s="299"/>
      <c r="N556" s="299"/>
      <c r="O556" s="299"/>
      <c r="P556" s="299"/>
      <c r="Q556" s="299"/>
      <c r="R556" s="299"/>
      <c r="S556" s="299"/>
      <c r="T556" s="299"/>
      <c r="U556" s="299"/>
      <c r="V556" s="299"/>
      <c r="W556" s="8"/>
      <c r="X556" s="8"/>
      <c r="Y556" s="8"/>
      <c r="Z556" s="8"/>
    </row>
    <row r="557" spans="1:26" ht="12.75">
      <c r="A557" s="299"/>
      <c r="B557" s="300"/>
      <c r="C557" s="299"/>
      <c r="D557" s="299"/>
      <c r="E557" s="299"/>
      <c r="F557" s="299"/>
      <c r="G557" s="299"/>
      <c r="H557" s="1348"/>
      <c r="I557" s="299"/>
      <c r="J557" s="299"/>
      <c r="K557" s="299"/>
      <c r="L557" s="1336"/>
      <c r="M557" s="299"/>
      <c r="N557" s="299"/>
      <c r="O557" s="299"/>
      <c r="P557" s="299"/>
      <c r="Q557" s="299"/>
      <c r="R557" s="299"/>
      <c r="S557" s="299"/>
      <c r="T557" s="299"/>
      <c r="U557" s="299"/>
      <c r="V557" s="299"/>
      <c r="W557" s="8"/>
      <c r="X557" s="8"/>
      <c r="Y557" s="8"/>
      <c r="Z557" s="8"/>
    </row>
    <row r="558" spans="1:26" ht="12.75">
      <c r="A558" s="299"/>
      <c r="B558" s="300"/>
      <c r="C558" s="299"/>
      <c r="D558" s="299"/>
      <c r="E558" s="299"/>
      <c r="F558" s="299"/>
      <c r="G558" s="299"/>
      <c r="H558" s="1348"/>
      <c r="I558" s="299"/>
      <c r="J558" s="299"/>
      <c r="K558" s="299"/>
      <c r="L558" s="1336"/>
      <c r="M558" s="299"/>
      <c r="N558" s="299"/>
      <c r="O558" s="299"/>
      <c r="P558" s="299"/>
      <c r="Q558" s="299"/>
      <c r="R558" s="299"/>
      <c r="S558" s="299"/>
      <c r="T558" s="299"/>
      <c r="U558" s="299"/>
      <c r="V558" s="299"/>
      <c r="W558" s="8"/>
      <c r="X558" s="8"/>
      <c r="Y558" s="8"/>
      <c r="Z558" s="8"/>
    </row>
    <row r="559" spans="1:26" ht="12.75">
      <c r="A559" s="299"/>
      <c r="B559" s="300"/>
      <c r="C559" s="299"/>
      <c r="D559" s="299"/>
      <c r="E559" s="299"/>
      <c r="F559" s="299"/>
      <c r="G559" s="299"/>
      <c r="H559" s="1348"/>
      <c r="I559" s="299"/>
      <c r="J559" s="299"/>
      <c r="K559" s="299"/>
      <c r="L559" s="1336"/>
      <c r="M559" s="299"/>
      <c r="N559" s="299"/>
      <c r="O559" s="299"/>
      <c r="P559" s="299"/>
      <c r="Q559" s="299"/>
      <c r="R559" s="299"/>
      <c r="S559" s="299"/>
      <c r="T559" s="299"/>
      <c r="U559" s="299"/>
      <c r="V559" s="299"/>
      <c r="W559" s="8"/>
      <c r="X559" s="8"/>
      <c r="Y559" s="8"/>
      <c r="Z559" s="8"/>
    </row>
    <row r="560" spans="1:26" ht="12.75">
      <c r="A560" s="299"/>
      <c r="B560" s="300"/>
      <c r="C560" s="299"/>
      <c r="D560" s="299"/>
      <c r="E560" s="299"/>
      <c r="F560" s="299"/>
      <c r="G560" s="299"/>
      <c r="H560" s="1348"/>
      <c r="I560" s="299"/>
      <c r="J560" s="299"/>
      <c r="K560" s="299"/>
      <c r="L560" s="1336"/>
      <c r="M560" s="299"/>
      <c r="N560" s="299"/>
      <c r="O560" s="299"/>
      <c r="P560" s="299"/>
      <c r="Q560" s="299"/>
      <c r="R560" s="299"/>
      <c r="S560" s="299"/>
      <c r="T560" s="299"/>
      <c r="U560" s="299"/>
      <c r="V560" s="299"/>
      <c r="W560" s="8"/>
      <c r="X560" s="8"/>
      <c r="Y560" s="8"/>
      <c r="Z560" s="8"/>
    </row>
    <row r="561" spans="1:26" ht="12.75">
      <c r="A561" s="299"/>
      <c r="B561" s="300"/>
      <c r="C561" s="299"/>
      <c r="D561" s="299"/>
      <c r="E561" s="299"/>
      <c r="F561" s="299"/>
      <c r="G561" s="299"/>
      <c r="H561" s="1348"/>
      <c r="I561" s="299"/>
      <c r="J561" s="299"/>
      <c r="K561" s="299"/>
      <c r="L561" s="1336"/>
      <c r="M561" s="299"/>
      <c r="N561" s="299"/>
      <c r="O561" s="299"/>
      <c r="P561" s="299"/>
      <c r="Q561" s="299"/>
      <c r="R561" s="299"/>
      <c r="S561" s="299"/>
      <c r="T561" s="299"/>
      <c r="U561" s="299"/>
      <c r="V561" s="299"/>
      <c r="W561" s="8"/>
      <c r="X561" s="8"/>
      <c r="Y561" s="8"/>
      <c r="Z561" s="8"/>
    </row>
    <row r="562" spans="1:26" ht="12.75">
      <c r="A562" s="299"/>
      <c r="B562" s="300"/>
      <c r="C562" s="299"/>
      <c r="D562" s="299"/>
      <c r="E562" s="299"/>
      <c r="F562" s="299"/>
      <c r="G562" s="299"/>
      <c r="H562" s="1348"/>
      <c r="I562" s="299"/>
      <c r="J562" s="299"/>
      <c r="K562" s="299"/>
      <c r="L562" s="1336"/>
      <c r="M562" s="299"/>
      <c r="N562" s="299"/>
      <c r="O562" s="299"/>
      <c r="P562" s="299"/>
      <c r="Q562" s="299"/>
      <c r="R562" s="299"/>
      <c r="S562" s="299"/>
      <c r="T562" s="299"/>
      <c r="U562" s="299"/>
      <c r="V562" s="299"/>
      <c r="W562" s="8"/>
      <c r="X562" s="8"/>
      <c r="Y562" s="8"/>
      <c r="Z562" s="8"/>
    </row>
    <row r="563" spans="1:26" ht="12.75">
      <c r="A563" s="299"/>
      <c r="B563" s="300"/>
      <c r="C563" s="299"/>
      <c r="D563" s="299"/>
      <c r="E563" s="299"/>
      <c r="F563" s="299"/>
      <c r="G563" s="299"/>
      <c r="H563" s="1348"/>
      <c r="I563" s="299"/>
      <c r="J563" s="299"/>
      <c r="K563" s="299"/>
      <c r="L563" s="1336"/>
      <c r="M563" s="299"/>
      <c r="N563" s="299"/>
      <c r="O563" s="299"/>
      <c r="P563" s="299"/>
      <c r="Q563" s="299"/>
      <c r="R563" s="299"/>
      <c r="S563" s="299"/>
      <c r="T563" s="299"/>
      <c r="U563" s="299"/>
      <c r="V563" s="299"/>
      <c r="W563" s="8"/>
      <c r="X563" s="8"/>
      <c r="Y563" s="8"/>
      <c r="Z563" s="8"/>
    </row>
    <row r="564" spans="1:26" ht="12.75">
      <c r="A564" s="299"/>
      <c r="B564" s="300"/>
      <c r="C564" s="299"/>
      <c r="D564" s="299"/>
      <c r="E564" s="299"/>
      <c r="F564" s="299"/>
      <c r="G564" s="299"/>
      <c r="H564" s="1348"/>
      <c r="I564" s="299"/>
      <c r="J564" s="299"/>
      <c r="K564" s="299"/>
      <c r="L564" s="1336"/>
      <c r="M564" s="299"/>
      <c r="N564" s="299"/>
      <c r="O564" s="299"/>
      <c r="P564" s="299"/>
      <c r="Q564" s="299"/>
      <c r="R564" s="299"/>
      <c r="S564" s="299"/>
      <c r="T564" s="299"/>
      <c r="U564" s="299"/>
      <c r="V564" s="299"/>
      <c r="W564" s="8"/>
      <c r="X564" s="8"/>
      <c r="Y564" s="8"/>
      <c r="Z564" s="8"/>
    </row>
    <row r="565" spans="1:26" ht="12.75">
      <c r="A565" s="299"/>
      <c r="B565" s="300"/>
      <c r="C565" s="299"/>
      <c r="D565" s="299"/>
      <c r="E565" s="299"/>
      <c r="F565" s="299"/>
      <c r="G565" s="299"/>
      <c r="H565" s="1348"/>
      <c r="I565" s="299"/>
      <c r="J565" s="299"/>
      <c r="K565" s="299"/>
      <c r="L565" s="1336"/>
      <c r="M565" s="299"/>
      <c r="N565" s="299"/>
      <c r="O565" s="299"/>
      <c r="P565" s="299"/>
      <c r="Q565" s="299"/>
      <c r="R565" s="299"/>
      <c r="S565" s="299"/>
      <c r="T565" s="299"/>
      <c r="U565" s="299"/>
      <c r="V565" s="299"/>
      <c r="W565" s="8"/>
      <c r="X565" s="8"/>
      <c r="Y565" s="8"/>
      <c r="Z565" s="8"/>
    </row>
    <row r="566" spans="1:26" ht="12.75">
      <c r="A566" s="299"/>
      <c r="B566" s="300"/>
      <c r="C566" s="299"/>
      <c r="D566" s="299"/>
      <c r="E566" s="299"/>
      <c r="F566" s="299"/>
      <c r="G566" s="299"/>
      <c r="H566" s="1348"/>
      <c r="I566" s="299"/>
      <c r="J566" s="299"/>
      <c r="K566" s="299"/>
      <c r="L566" s="1336"/>
      <c r="M566" s="299"/>
      <c r="N566" s="299"/>
      <c r="O566" s="299"/>
      <c r="P566" s="299"/>
      <c r="Q566" s="299"/>
      <c r="R566" s="299"/>
      <c r="S566" s="299"/>
      <c r="T566" s="299"/>
      <c r="U566" s="299"/>
      <c r="V566" s="299"/>
      <c r="W566" s="8"/>
      <c r="X566" s="8"/>
      <c r="Y566" s="8"/>
      <c r="Z566" s="8"/>
    </row>
    <row r="567" spans="1:26" ht="12.75">
      <c r="A567" s="299"/>
      <c r="B567" s="300"/>
      <c r="C567" s="299"/>
      <c r="D567" s="299"/>
      <c r="E567" s="299"/>
      <c r="F567" s="299"/>
      <c r="G567" s="299"/>
      <c r="H567" s="1348"/>
      <c r="I567" s="299"/>
      <c r="J567" s="299"/>
      <c r="K567" s="299"/>
      <c r="L567" s="1336"/>
      <c r="M567" s="299"/>
      <c r="N567" s="299"/>
      <c r="O567" s="299"/>
      <c r="P567" s="299"/>
      <c r="Q567" s="299"/>
      <c r="R567" s="299"/>
      <c r="S567" s="299"/>
      <c r="T567" s="299"/>
      <c r="U567" s="299"/>
      <c r="V567" s="299"/>
      <c r="W567" s="8"/>
      <c r="X567" s="8"/>
      <c r="Y567" s="8"/>
      <c r="Z567" s="8"/>
    </row>
    <row r="568" spans="1:26" ht="12.75">
      <c r="A568" s="299"/>
      <c r="B568" s="300"/>
      <c r="C568" s="299"/>
      <c r="D568" s="299"/>
      <c r="E568" s="299"/>
      <c r="F568" s="299"/>
      <c r="G568" s="299"/>
      <c r="H568" s="1348"/>
      <c r="I568" s="299"/>
      <c r="J568" s="299"/>
      <c r="K568" s="299"/>
      <c r="L568" s="1336"/>
      <c r="M568" s="299"/>
      <c r="N568" s="299"/>
      <c r="O568" s="299"/>
      <c r="P568" s="299"/>
      <c r="Q568" s="299"/>
      <c r="R568" s="299"/>
      <c r="S568" s="299"/>
      <c r="T568" s="299"/>
      <c r="U568" s="299"/>
      <c r="V568" s="299"/>
      <c r="W568" s="8"/>
      <c r="X568" s="8"/>
      <c r="Y568" s="8"/>
      <c r="Z568" s="8"/>
    </row>
    <row r="569" spans="1:26" ht="12.75">
      <c r="A569" s="299"/>
      <c r="B569" s="300"/>
      <c r="C569" s="299"/>
      <c r="D569" s="299"/>
      <c r="E569" s="299"/>
      <c r="F569" s="299"/>
      <c r="G569" s="299"/>
      <c r="H569" s="1348"/>
      <c r="I569" s="299"/>
      <c r="J569" s="299"/>
      <c r="K569" s="299"/>
      <c r="L569" s="1336"/>
      <c r="M569" s="299"/>
      <c r="N569" s="299"/>
      <c r="O569" s="299"/>
      <c r="P569" s="299"/>
      <c r="Q569" s="299"/>
      <c r="R569" s="299"/>
      <c r="S569" s="299"/>
      <c r="T569" s="299"/>
      <c r="U569" s="299"/>
      <c r="V569" s="299"/>
      <c r="W569" s="8"/>
      <c r="X569" s="8"/>
      <c r="Y569" s="8"/>
      <c r="Z569" s="8"/>
    </row>
    <row r="570" spans="1:26" ht="12.75">
      <c r="A570" s="299"/>
      <c r="B570" s="300"/>
      <c r="C570" s="299"/>
      <c r="D570" s="299"/>
      <c r="E570" s="299"/>
      <c r="F570" s="299"/>
      <c r="G570" s="299"/>
      <c r="H570" s="1348"/>
      <c r="I570" s="299"/>
      <c r="J570" s="299"/>
      <c r="K570" s="299"/>
      <c r="L570" s="1336"/>
      <c r="M570" s="299"/>
      <c r="N570" s="299"/>
      <c r="O570" s="299"/>
      <c r="P570" s="299"/>
      <c r="Q570" s="299"/>
      <c r="R570" s="299"/>
      <c r="S570" s="299"/>
      <c r="T570" s="299"/>
      <c r="U570" s="299"/>
      <c r="V570" s="299"/>
      <c r="W570" s="8"/>
      <c r="X570" s="8"/>
      <c r="Y570" s="8"/>
      <c r="Z570" s="8"/>
    </row>
    <row r="571" spans="1:26" ht="12.75">
      <c r="A571" s="299"/>
      <c r="B571" s="300"/>
      <c r="C571" s="299"/>
      <c r="D571" s="299"/>
      <c r="E571" s="299"/>
      <c r="F571" s="299"/>
      <c r="G571" s="299"/>
      <c r="H571" s="1348"/>
      <c r="I571" s="299"/>
      <c r="J571" s="299"/>
      <c r="K571" s="299"/>
      <c r="L571" s="1336"/>
      <c r="M571" s="299"/>
      <c r="N571" s="299"/>
      <c r="O571" s="299"/>
      <c r="P571" s="299"/>
      <c r="Q571" s="299"/>
      <c r="R571" s="299"/>
      <c r="S571" s="299"/>
      <c r="T571" s="299"/>
      <c r="U571" s="299"/>
      <c r="V571" s="299"/>
      <c r="W571" s="8"/>
      <c r="X571" s="8"/>
      <c r="Y571" s="8"/>
      <c r="Z571" s="8"/>
    </row>
    <row r="572" spans="1:26" ht="12.75">
      <c r="A572" s="299"/>
      <c r="B572" s="300"/>
      <c r="C572" s="299"/>
      <c r="D572" s="299"/>
      <c r="E572" s="299"/>
      <c r="F572" s="299"/>
      <c r="G572" s="299"/>
      <c r="H572" s="1348"/>
      <c r="I572" s="299"/>
      <c r="J572" s="299"/>
      <c r="K572" s="299"/>
      <c r="L572" s="1336"/>
      <c r="M572" s="299"/>
      <c r="N572" s="299"/>
      <c r="O572" s="299"/>
      <c r="P572" s="299"/>
      <c r="Q572" s="299"/>
      <c r="R572" s="299"/>
      <c r="S572" s="299"/>
      <c r="T572" s="299"/>
      <c r="U572" s="299"/>
      <c r="V572" s="299"/>
      <c r="W572" s="8"/>
      <c r="X572" s="8"/>
      <c r="Y572" s="8"/>
      <c r="Z572" s="8"/>
    </row>
    <row r="573" spans="1:26" ht="12.75">
      <c r="A573" s="299"/>
      <c r="B573" s="300"/>
      <c r="C573" s="299"/>
      <c r="D573" s="299"/>
      <c r="E573" s="299"/>
      <c r="F573" s="299"/>
      <c r="G573" s="299"/>
      <c r="H573" s="1348"/>
      <c r="I573" s="299"/>
      <c r="J573" s="299"/>
      <c r="K573" s="299"/>
      <c r="L573" s="1336"/>
      <c r="M573" s="299"/>
      <c r="N573" s="299"/>
      <c r="O573" s="299"/>
      <c r="P573" s="299"/>
      <c r="Q573" s="299"/>
      <c r="R573" s="299"/>
      <c r="S573" s="299"/>
      <c r="T573" s="299"/>
      <c r="U573" s="299"/>
      <c r="V573" s="299"/>
      <c r="W573" s="8"/>
      <c r="X573" s="8"/>
      <c r="Y573" s="8"/>
      <c r="Z573" s="8"/>
    </row>
    <row r="574" spans="1:26" ht="12.75">
      <c r="A574" s="299"/>
      <c r="B574" s="300"/>
      <c r="C574" s="299"/>
      <c r="D574" s="299"/>
      <c r="E574" s="299"/>
      <c r="F574" s="299"/>
      <c r="G574" s="299"/>
      <c r="H574" s="1348"/>
      <c r="I574" s="299"/>
      <c r="J574" s="299"/>
      <c r="K574" s="299"/>
      <c r="L574" s="1336"/>
      <c r="M574" s="299"/>
      <c r="N574" s="299"/>
      <c r="O574" s="299"/>
      <c r="P574" s="299"/>
      <c r="Q574" s="299"/>
      <c r="R574" s="299"/>
      <c r="S574" s="299"/>
      <c r="T574" s="299"/>
      <c r="U574" s="299"/>
      <c r="V574" s="299"/>
      <c r="W574" s="8"/>
      <c r="X574" s="8"/>
      <c r="Y574" s="8"/>
      <c r="Z574" s="8"/>
    </row>
    <row r="575" spans="1:26" ht="12.75">
      <c r="A575" s="299"/>
      <c r="B575" s="300"/>
      <c r="C575" s="299"/>
      <c r="D575" s="299"/>
      <c r="E575" s="299"/>
      <c r="F575" s="299"/>
      <c r="G575" s="299"/>
      <c r="H575" s="1348"/>
      <c r="I575" s="299"/>
      <c r="J575" s="299"/>
      <c r="K575" s="299"/>
      <c r="L575" s="1336"/>
      <c r="M575" s="299"/>
      <c r="N575" s="299"/>
      <c r="O575" s="299"/>
      <c r="P575" s="299"/>
      <c r="Q575" s="299"/>
      <c r="R575" s="299"/>
      <c r="S575" s="299"/>
      <c r="T575" s="299"/>
      <c r="U575" s="299"/>
      <c r="V575" s="299"/>
      <c r="W575" s="8"/>
      <c r="X575" s="8"/>
      <c r="Y575" s="8"/>
      <c r="Z575" s="8"/>
    </row>
    <row r="576" spans="1:26" ht="12.75">
      <c r="A576" s="299"/>
      <c r="B576" s="300"/>
      <c r="C576" s="299"/>
      <c r="D576" s="299"/>
      <c r="E576" s="299"/>
      <c r="F576" s="299"/>
      <c r="G576" s="299"/>
      <c r="H576" s="1348"/>
      <c r="I576" s="299"/>
      <c r="J576" s="299"/>
      <c r="K576" s="299"/>
      <c r="L576" s="1336"/>
      <c r="M576" s="299"/>
      <c r="N576" s="299"/>
      <c r="O576" s="299"/>
      <c r="P576" s="299"/>
      <c r="Q576" s="299"/>
      <c r="R576" s="299"/>
      <c r="S576" s="299"/>
      <c r="T576" s="299"/>
      <c r="U576" s="299"/>
      <c r="V576" s="299"/>
      <c r="W576" s="8"/>
      <c r="X576" s="8"/>
      <c r="Y576" s="8"/>
      <c r="Z576" s="8"/>
    </row>
    <row r="577" spans="1:26" ht="12.75">
      <c r="A577" s="299"/>
      <c r="B577" s="300"/>
      <c r="C577" s="299"/>
      <c r="D577" s="299"/>
      <c r="E577" s="299"/>
      <c r="F577" s="299"/>
      <c r="G577" s="299"/>
      <c r="H577" s="1348"/>
      <c r="I577" s="299"/>
      <c r="J577" s="299"/>
      <c r="K577" s="299"/>
      <c r="L577" s="1336"/>
      <c r="M577" s="299"/>
      <c r="N577" s="299"/>
      <c r="O577" s="299"/>
      <c r="P577" s="299"/>
      <c r="Q577" s="299"/>
      <c r="R577" s="299"/>
      <c r="S577" s="299"/>
      <c r="T577" s="299"/>
      <c r="U577" s="299"/>
      <c r="V577" s="299"/>
      <c r="W577" s="8"/>
      <c r="X577" s="8"/>
      <c r="Y577" s="8"/>
      <c r="Z577" s="8"/>
    </row>
    <row r="578" spans="1:26" ht="12.75">
      <c r="A578" s="299"/>
      <c r="B578" s="300"/>
      <c r="C578" s="299"/>
      <c r="D578" s="299"/>
      <c r="E578" s="299"/>
      <c r="F578" s="299"/>
      <c r="G578" s="299"/>
      <c r="H578" s="1348"/>
      <c r="I578" s="299"/>
      <c r="J578" s="299"/>
      <c r="K578" s="299"/>
      <c r="L578" s="1336"/>
      <c r="M578" s="299"/>
      <c r="N578" s="299"/>
      <c r="O578" s="299"/>
      <c r="P578" s="299"/>
      <c r="Q578" s="299"/>
      <c r="R578" s="299"/>
      <c r="S578" s="299"/>
      <c r="T578" s="299"/>
      <c r="U578" s="299"/>
      <c r="V578" s="299"/>
      <c r="W578" s="8"/>
      <c r="X578" s="8"/>
      <c r="Y578" s="8"/>
      <c r="Z578" s="8"/>
    </row>
    <row r="579" spans="1:26" ht="12.75">
      <c r="A579" s="299"/>
      <c r="B579" s="300"/>
      <c r="C579" s="299"/>
      <c r="D579" s="299"/>
      <c r="E579" s="299"/>
      <c r="F579" s="299"/>
      <c r="G579" s="299"/>
      <c r="H579" s="1348"/>
      <c r="I579" s="299"/>
      <c r="J579" s="299"/>
      <c r="K579" s="299"/>
      <c r="L579" s="1336"/>
      <c r="M579" s="299"/>
      <c r="N579" s="299"/>
      <c r="O579" s="299"/>
      <c r="P579" s="299"/>
      <c r="Q579" s="299"/>
      <c r="R579" s="299"/>
      <c r="S579" s="299"/>
      <c r="T579" s="299"/>
      <c r="U579" s="299"/>
      <c r="V579" s="299"/>
      <c r="W579" s="8"/>
      <c r="X579" s="8"/>
      <c r="Y579" s="8"/>
      <c r="Z579" s="8"/>
    </row>
    <row r="580" spans="1:26" ht="12.75">
      <c r="A580" s="299"/>
      <c r="B580" s="300"/>
      <c r="C580" s="299"/>
      <c r="D580" s="299"/>
      <c r="E580" s="299"/>
      <c r="F580" s="299"/>
      <c r="G580" s="299"/>
      <c r="H580" s="1348"/>
      <c r="I580" s="299"/>
      <c r="J580" s="299"/>
      <c r="K580" s="299"/>
      <c r="L580" s="1336"/>
      <c r="M580" s="299"/>
      <c r="N580" s="299"/>
      <c r="O580" s="299"/>
      <c r="P580" s="299"/>
      <c r="Q580" s="299"/>
      <c r="R580" s="299"/>
      <c r="S580" s="299"/>
      <c r="T580" s="299"/>
      <c r="U580" s="299"/>
      <c r="V580" s="299"/>
      <c r="W580" s="8"/>
      <c r="X580" s="8"/>
      <c r="Y580" s="8"/>
      <c r="Z580" s="8"/>
    </row>
    <row r="581" spans="1:26" ht="12.75">
      <c r="A581" s="299"/>
      <c r="B581" s="300"/>
      <c r="C581" s="299"/>
      <c r="D581" s="299"/>
      <c r="E581" s="299"/>
      <c r="F581" s="299"/>
      <c r="G581" s="299"/>
      <c r="H581" s="1348"/>
      <c r="I581" s="299"/>
      <c r="J581" s="299"/>
      <c r="K581" s="299"/>
      <c r="L581" s="1336"/>
      <c r="M581" s="299"/>
      <c r="N581" s="299"/>
      <c r="O581" s="299"/>
      <c r="P581" s="299"/>
      <c r="Q581" s="299"/>
      <c r="R581" s="299"/>
      <c r="S581" s="299"/>
      <c r="T581" s="299"/>
      <c r="U581" s="299"/>
      <c r="V581" s="299"/>
      <c r="W581" s="8"/>
      <c r="X581" s="8"/>
      <c r="Y581" s="8"/>
      <c r="Z581" s="8"/>
    </row>
    <row r="582" spans="1:26" ht="12.75">
      <c r="A582" s="299"/>
      <c r="B582" s="300"/>
      <c r="C582" s="299"/>
      <c r="D582" s="299"/>
      <c r="E582" s="299"/>
      <c r="F582" s="299"/>
      <c r="G582" s="299"/>
      <c r="H582" s="1348"/>
      <c r="I582" s="299"/>
      <c r="J582" s="299"/>
      <c r="K582" s="299"/>
      <c r="L582" s="1336"/>
      <c r="M582" s="299"/>
      <c r="N582" s="299"/>
      <c r="O582" s="299"/>
      <c r="P582" s="299"/>
      <c r="Q582" s="299"/>
      <c r="R582" s="299"/>
      <c r="S582" s="299"/>
      <c r="T582" s="299"/>
      <c r="U582" s="299"/>
      <c r="V582" s="299"/>
      <c r="W582" s="8"/>
      <c r="X582" s="8"/>
      <c r="Y582" s="8"/>
      <c r="Z582" s="8"/>
    </row>
    <row r="583" spans="1:26" ht="12.75">
      <c r="A583" s="299"/>
      <c r="B583" s="300"/>
      <c r="C583" s="299"/>
      <c r="D583" s="299"/>
      <c r="E583" s="299"/>
      <c r="F583" s="299"/>
      <c r="G583" s="299"/>
      <c r="H583" s="1348"/>
      <c r="I583" s="299"/>
      <c r="J583" s="299"/>
      <c r="K583" s="299"/>
      <c r="L583" s="1336"/>
      <c r="M583" s="299"/>
      <c r="N583" s="299"/>
      <c r="O583" s="299"/>
      <c r="P583" s="299"/>
      <c r="Q583" s="299"/>
      <c r="R583" s="299"/>
      <c r="S583" s="299"/>
      <c r="T583" s="299"/>
      <c r="U583" s="299"/>
      <c r="V583" s="299"/>
      <c r="W583" s="8"/>
      <c r="X583" s="8"/>
      <c r="Y583" s="8"/>
      <c r="Z583" s="8"/>
    </row>
    <row r="584" spans="1:26" ht="12.75">
      <c r="A584" s="299"/>
      <c r="B584" s="300"/>
      <c r="C584" s="299"/>
      <c r="D584" s="299"/>
      <c r="E584" s="299"/>
      <c r="F584" s="299"/>
      <c r="G584" s="299"/>
      <c r="H584" s="1348"/>
      <c r="I584" s="299"/>
      <c r="J584" s="299"/>
      <c r="K584" s="299"/>
      <c r="L584" s="1336"/>
      <c r="M584" s="299"/>
      <c r="N584" s="299"/>
      <c r="O584" s="299"/>
      <c r="P584" s="299"/>
      <c r="Q584" s="299"/>
      <c r="R584" s="299"/>
      <c r="S584" s="299"/>
      <c r="T584" s="299"/>
      <c r="U584" s="299"/>
      <c r="V584" s="299"/>
      <c r="W584" s="8"/>
      <c r="X584" s="8"/>
      <c r="Y584" s="8"/>
      <c r="Z584" s="8"/>
    </row>
    <row r="585" spans="1:26" ht="12.75">
      <c r="A585" s="299"/>
      <c r="B585" s="300"/>
      <c r="C585" s="299"/>
      <c r="D585" s="299"/>
      <c r="E585" s="299"/>
      <c r="F585" s="299"/>
      <c r="G585" s="299"/>
      <c r="H585" s="1348"/>
      <c r="I585" s="299"/>
      <c r="J585" s="299"/>
      <c r="K585" s="299"/>
      <c r="L585" s="1336"/>
      <c r="M585" s="299"/>
      <c r="N585" s="299"/>
      <c r="O585" s="299"/>
      <c r="P585" s="299"/>
      <c r="Q585" s="299"/>
      <c r="R585" s="299"/>
      <c r="S585" s="299"/>
      <c r="T585" s="299"/>
      <c r="U585" s="299"/>
      <c r="V585" s="299"/>
      <c r="W585" s="8"/>
      <c r="X585" s="8"/>
      <c r="Y585" s="8"/>
      <c r="Z585" s="8"/>
    </row>
    <row r="586" spans="1:26" ht="12.75">
      <c r="A586" s="299"/>
      <c r="B586" s="300"/>
      <c r="C586" s="299"/>
      <c r="D586" s="299"/>
      <c r="E586" s="299"/>
      <c r="F586" s="299"/>
      <c r="G586" s="299"/>
      <c r="H586" s="1348"/>
      <c r="I586" s="299"/>
      <c r="J586" s="299"/>
      <c r="K586" s="299"/>
      <c r="L586" s="1336"/>
      <c r="M586" s="299"/>
      <c r="N586" s="299"/>
      <c r="O586" s="299"/>
      <c r="P586" s="299"/>
      <c r="Q586" s="299"/>
      <c r="R586" s="299"/>
      <c r="S586" s="299"/>
      <c r="T586" s="299"/>
      <c r="U586" s="299"/>
      <c r="V586" s="299"/>
      <c r="W586" s="8"/>
      <c r="X586" s="8"/>
      <c r="Y586" s="8"/>
      <c r="Z586" s="8"/>
    </row>
    <row r="587" spans="1:26" ht="12.75">
      <c r="A587" s="299"/>
      <c r="B587" s="300"/>
      <c r="C587" s="299"/>
      <c r="D587" s="299"/>
      <c r="E587" s="299"/>
      <c r="F587" s="299"/>
      <c r="G587" s="299"/>
      <c r="H587" s="1348"/>
      <c r="I587" s="299"/>
      <c r="J587" s="299"/>
      <c r="K587" s="299"/>
      <c r="L587" s="1336"/>
      <c r="M587" s="299"/>
      <c r="N587" s="299"/>
      <c r="O587" s="299"/>
      <c r="P587" s="299"/>
      <c r="Q587" s="299"/>
      <c r="R587" s="299"/>
      <c r="S587" s="299"/>
      <c r="T587" s="299"/>
      <c r="U587" s="299"/>
      <c r="V587" s="299"/>
      <c r="W587" s="8"/>
      <c r="X587" s="8"/>
      <c r="Y587" s="8"/>
      <c r="Z587" s="8"/>
    </row>
    <row r="588" spans="1:26" ht="12.75">
      <c r="A588" s="299"/>
      <c r="B588" s="300"/>
      <c r="C588" s="299"/>
      <c r="D588" s="299"/>
      <c r="E588" s="299"/>
      <c r="F588" s="299"/>
      <c r="G588" s="299"/>
      <c r="H588" s="1348"/>
      <c r="I588" s="299"/>
      <c r="J588" s="299"/>
      <c r="K588" s="299"/>
      <c r="L588" s="1336"/>
      <c r="M588" s="299"/>
      <c r="N588" s="299"/>
      <c r="O588" s="299"/>
      <c r="P588" s="299"/>
      <c r="Q588" s="299"/>
      <c r="R588" s="299"/>
      <c r="S588" s="299"/>
      <c r="T588" s="299"/>
      <c r="U588" s="299"/>
      <c r="V588" s="299"/>
      <c r="W588" s="8"/>
      <c r="X588" s="8"/>
      <c r="Y588" s="8"/>
      <c r="Z588" s="8"/>
    </row>
    <row r="589" spans="1:26" ht="12.75">
      <c r="A589" s="299"/>
      <c r="B589" s="300"/>
      <c r="C589" s="299"/>
      <c r="D589" s="299"/>
      <c r="E589" s="299"/>
      <c r="F589" s="299"/>
      <c r="G589" s="299"/>
      <c r="H589" s="1348"/>
      <c r="I589" s="299"/>
      <c r="J589" s="299"/>
      <c r="K589" s="299"/>
      <c r="L589" s="1336"/>
      <c r="M589" s="299"/>
      <c r="N589" s="299"/>
      <c r="O589" s="299"/>
      <c r="P589" s="299"/>
      <c r="Q589" s="299"/>
      <c r="R589" s="299"/>
      <c r="S589" s="299"/>
      <c r="T589" s="299"/>
      <c r="U589" s="299"/>
      <c r="V589" s="299"/>
      <c r="W589" s="8"/>
      <c r="X589" s="8"/>
      <c r="Y589" s="8"/>
      <c r="Z589" s="8"/>
    </row>
    <row r="590" spans="1:26" ht="12.75">
      <c r="A590" s="299"/>
      <c r="B590" s="300"/>
      <c r="C590" s="299"/>
      <c r="D590" s="299"/>
      <c r="E590" s="299"/>
      <c r="F590" s="299"/>
      <c r="G590" s="299"/>
      <c r="H590" s="1348"/>
      <c r="I590" s="299"/>
      <c r="J590" s="299"/>
      <c r="K590" s="299"/>
      <c r="L590" s="1336"/>
      <c r="M590" s="299"/>
      <c r="N590" s="299"/>
      <c r="O590" s="299"/>
      <c r="P590" s="299"/>
      <c r="Q590" s="299"/>
      <c r="R590" s="299"/>
      <c r="S590" s="299"/>
      <c r="T590" s="299"/>
      <c r="U590" s="299"/>
      <c r="V590" s="299"/>
      <c r="W590" s="8"/>
      <c r="X590" s="8"/>
      <c r="Y590" s="8"/>
      <c r="Z590" s="8"/>
    </row>
    <row r="591" spans="1:26" ht="12.75">
      <c r="A591" s="299"/>
      <c r="B591" s="300"/>
      <c r="C591" s="299"/>
      <c r="D591" s="299"/>
      <c r="E591" s="299"/>
      <c r="F591" s="299"/>
      <c r="G591" s="299"/>
      <c r="H591" s="1348"/>
      <c r="I591" s="299"/>
      <c r="J591" s="299"/>
      <c r="K591" s="299"/>
      <c r="L591" s="1336"/>
      <c r="M591" s="299"/>
      <c r="N591" s="299"/>
      <c r="O591" s="299"/>
      <c r="P591" s="299"/>
      <c r="Q591" s="299"/>
      <c r="R591" s="299"/>
      <c r="S591" s="299"/>
      <c r="T591" s="299"/>
      <c r="U591" s="299"/>
      <c r="V591" s="299"/>
      <c r="W591" s="8"/>
      <c r="X591" s="8"/>
      <c r="Y591" s="8"/>
      <c r="Z591" s="8"/>
    </row>
    <row r="592" spans="1:26" ht="12.75">
      <c r="A592" s="299"/>
      <c r="B592" s="300"/>
      <c r="C592" s="299"/>
      <c r="D592" s="299"/>
      <c r="E592" s="299"/>
      <c r="F592" s="299"/>
      <c r="G592" s="299"/>
      <c r="H592" s="1348"/>
      <c r="I592" s="299"/>
      <c r="J592" s="299"/>
      <c r="K592" s="299"/>
      <c r="L592" s="1336"/>
      <c r="M592" s="299"/>
      <c r="N592" s="299"/>
      <c r="O592" s="299"/>
      <c r="P592" s="299"/>
      <c r="Q592" s="299"/>
      <c r="R592" s="299"/>
      <c r="S592" s="299"/>
      <c r="T592" s="299"/>
      <c r="U592" s="299"/>
      <c r="V592" s="299"/>
      <c r="W592" s="8"/>
      <c r="X592" s="8"/>
      <c r="Y592" s="8"/>
      <c r="Z592" s="8"/>
    </row>
    <row r="593" spans="1:26" ht="12.75">
      <c r="A593" s="299"/>
      <c r="B593" s="300"/>
      <c r="C593" s="299"/>
      <c r="D593" s="299"/>
      <c r="E593" s="299"/>
      <c r="F593" s="299"/>
      <c r="G593" s="299"/>
      <c r="H593" s="1348"/>
      <c r="I593" s="299"/>
      <c r="J593" s="299"/>
      <c r="K593" s="299"/>
      <c r="L593" s="1336"/>
      <c r="M593" s="299"/>
      <c r="N593" s="299"/>
      <c r="O593" s="299"/>
      <c r="P593" s="299"/>
      <c r="Q593" s="299"/>
      <c r="R593" s="299"/>
      <c r="S593" s="299"/>
      <c r="T593" s="299"/>
      <c r="U593" s="299"/>
      <c r="V593" s="299"/>
      <c r="W593" s="8"/>
      <c r="X593" s="8"/>
      <c r="Y593" s="8"/>
      <c r="Z593" s="8"/>
    </row>
    <row r="594" spans="1:26" ht="12.75">
      <c r="A594" s="299"/>
      <c r="B594" s="300"/>
      <c r="C594" s="299"/>
      <c r="D594" s="299"/>
      <c r="E594" s="299"/>
      <c r="F594" s="299"/>
      <c r="G594" s="299"/>
      <c r="H594" s="1348"/>
      <c r="I594" s="299"/>
      <c r="J594" s="299"/>
      <c r="K594" s="299"/>
      <c r="L594" s="1336"/>
      <c r="M594" s="299"/>
      <c r="N594" s="299"/>
      <c r="O594" s="299"/>
      <c r="P594" s="299"/>
      <c r="Q594" s="299"/>
      <c r="R594" s="299"/>
      <c r="S594" s="299"/>
      <c r="T594" s="299"/>
      <c r="U594" s="299"/>
      <c r="V594" s="299"/>
      <c r="W594" s="8"/>
      <c r="X594" s="8"/>
      <c r="Y594" s="8"/>
      <c r="Z594" s="8"/>
    </row>
    <row r="595" spans="1:26" ht="12.75">
      <c r="A595" s="299"/>
      <c r="B595" s="300"/>
      <c r="C595" s="299"/>
      <c r="D595" s="299"/>
      <c r="E595" s="299"/>
      <c r="F595" s="299"/>
      <c r="G595" s="299"/>
      <c r="H595" s="1348"/>
      <c r="I595" s="299"/>
      <c r="J595" s="299"/>
      <c r="K595" s="299"/>
      <c r="L595" s="1336"/>
      <c r="M595" s="299"/>
      <c r="N595" s="299"/>
      <c r="O595" s="299"/>
      <c r="P595" s="299"/>
      <c r="Q595" s="299"/>
      <c r="R595" s="299"/>
      <c r="S595" s="299"/>
      <c r="T595" s="299"/>
      <c r="U595" s="299"/>
      <c r="V595" s="299"/>
      <c r="W595" s="8"/>
      <c r="X595" s="8"/>
      <c r="Y595" s="8"/>
      <c r="Z595" s="8"/>
    </row>
    <row r="596" spans="1:26" ht="12.75">
      <c r="A596" s="299"/>
      <c r="B596" s="300"/>
      <c r="C596" s="299"/>
      <c r="D596" s="299"/>
      <c r="E596" s="299"/>
      <c r="F596" s="299"/>
      <c r="G596" s="299"/>
      <c r="H596" s="1348"/>
      <c r="I596" s="299"/>
      <c r="J596" s="299"/>
      <c r="K596" s="299"/>
      <c r="L596" s="1336"/>
      <c r="M596" s="299"/>
      <c r="N596" s="299"/>
      <c r="O596" s="299"/>
      <c r="P596" s="299"/>
      <c r="Q596" s="299"/>
      <c r="R596" s="299"/>
      <c r="S596" s="299"/>
      <c r="T596" s="299"/>
      <c r="U596" s="299"/>
      <c r="V596" s="299"/>
      <c r="W596" s="8"/>
      <c r="X596" s="8"/>
      <c r="Y596" s="8"/>
      <c r="Z596" s="8"/>
    </row>
    <row r="597" spans="1:26" ht="12.75">
      <c r="A597" s="299"/>
      <c r="B597" s="300"/>
      <c r="C597" s="299"/>
      <c r="D597" s="299"/>
      <c r="E597" s="299"/>
      <c r="F597" s="299"/>
      <c r="G597" s="299"/>
      <c r="H597" s="1348"/>
      <c r="I597" s="299"/>
      <c r="J597" s="299"/>
      <c r="K597" s="299"/>
      <c r="L597" s="1336"/>
      <c r="M597" s="299"/>
      <c r="N597" s="299"/>
      <c r="O597" s="299"/>
      <c r="P597" s="299"/>
      <c r="Q597" s="299"/>
      <c r="R597" s="299"/>
      <c r="S597" s="299"/>
      <c r="T597" s="299"/>
      <c r="U597" s="299"/>
      <c r="V597" s="299"/>
      <c r="W597" s="8"/>
      <c r="X597" s="8"/>
      <c r="Y597" s="8"/>
      <c r="Z597" s="8"/>
    </row>
    <row r="598" spans="1:26" ht="12.75">
      <c r="A598" s="299"/>
      <c r="B598" s="300"/>
      <c r="C598" s="299"/>
      <c r="D598" s="299"/>
      <c r="E598" s="299"/>
      <c r="F598" s="299"/>
      <c r="G598" s="299"/>
      <c r="H598" s="1348"/>
      <c r="I598" s="299"/>
      <c r="J598" s="299"/>
      <c r="K598" s="299"/>
      <c r="L598" s="1336"/>
      <c r="M598" s="299"/>
      <c r="N598" s="299"/>
      <c r="O598" s="299"/>
      <c r="P598" s="299"/>
      <c r="Q598" s="299"/>
      <c r="R598" s="299"/>
      <c r="S598" s="299"/>
      <c r="T598" s="299"/>
      <c r="U598" s="299"/>
      <c r="V598" s="299"/>
      <c r="W598" s="8"/>
      <c r="X598" s="8"/>
      <c r="Y598" s="8"/>
      <c r="Z598" s="8"/>
    </row>
    <row r="599" spans="1:26" ht="12.75">
      <c r="A599" s="299"/>
      <c r="B599" s="300"/>
      <c r="C599" s="299"/>
      <c r="D599" s="299"/>
      <c r="E599" s="299"/>
      <c r="F599" s="299"/>
      <c r="G599" s="299"/>
      <c r="H599" s="1348"/>
      <c r="I599" s="299"/>
      <c r="J599" s="299"/>
      <c r="K599" s="299"/>
      <c r="L599" s="1336"/>
      <c r="M599" s="299"/>
      <c r="N599" s="299"/>
      <c r="O599" s="299"/>
      <c r="P599" s="299"/>
      <c r="Q599" s="299"/>
      <c r="R599" s="299"/>
      <c r="S599" s="299"/>
      <c r="T599" s="299"/>
      <c r="U599" s="299"/>
      <c r="V599" s="299"/>
      <c r="W599" s="8"/>
      <c r="X599" s="8"/>
      <c r="Y599" s="8"/>
      <c r="Z599" s="8"/>
    </row>
    <row r="600" spans="1:26" ht="12.75">
      <c r="A600" s="299"/>
      <c r="B600" s="300"/>
      <c r="C600" s="299"/>
      <c r="D600" s="299"/>
      <c r="E600" s="299"/>
      <c r="F600" s="299"/>
      <c r="G600" s="299"/>
      <c r="H600" s="1348"/>
      <c r="I600" s="299"/>
      <c r="J600" s="299"/>
      <c r="K600" s="299"/>
      <c r="L600" s="1336"/>
      <c r="M600" s="299"/>
      <c r="N600" s="299"/>
      <c r="O600" s="299"/>
      <c r="P600" s="299"/>
      <c r="Q600" s="299"/>
      <c r="R600" s="299"/>
      <c r="S600" s="299"/>
      <c r="T600" s="299"/>
      <c r="U600" s="299"/>
      <c r="V600" s="299"/>
      <c r="W600" s="8"/>
      <c r="X600" s="8"/>
      <c r="Y600" s="8"/>
      <c r="Z600" s="8"/>
    </row>
    <row r="601" spans="1:26" ht="12.75">
      <c r="A601" s="299"/>
      <c r="B601" s="300"/>
      <c r="C601" s="299"/>
      <c r="D601" s="299"/>
      <c r="E601" s="299"/>
      <c r="F601" s="299"/>
      <c r="G601" s="299"/>
      <c r="H601" s="1348"/>
      <c r="I601" s="299"/>
      <c r="J601" s="299"/>
      <c r="K601" s="299"/>
      <c r="L601" s="1336"/>
      <c r="M601" s="299"/>
      <c r="N601" s="299"/>
      <c r="O601" s="299"/>
      <c r="P601" s="299"/>
      <c r="Q601" s="299"/>
      <c r="R601" s="299"/>
      <c r="S601" s="299"/>
      <c r="T601" s="299"/>
      <c r="U601" s="299"/>
      <c r="V601" s="299"/>
      <c r="W601" s="8"/>
      <c r="X601" s="8"/>
      <c r="Y601" s="8"/>
      <c r="Z601" s="8"/>
    </row>
    <row r="602" spans="1:26" ht="12.75">
      <c r="A602" s="299"/>
      <c r="B602" s="300"/>
      <c r="C602" s="299"/>
      <c r="D602" s="299"/>
      <c r="E602" s="299"/>
      <c r="F602" s="299"/>
      <c r="G602" s="299"/>
      <c r="H602" s="1348"/>
      <c r="I602" s="299"/>
      <c r="J602" s="299"/>
      <c r="K602" s="299"/>
      <c r="L602" s="1336"/>
      <c r="M602" s="299"/>
      <c r="N602" s="299"/>
      <c r="O602" s="299"/>
      <c r="P602" s="299"/>
      <c r="Q602" s="299"/>
      <c r="R602" s="299"/>
      <c r="S602" s="299"/>
      <c r="T602" s="299"/>
      <c r="U602" s="299"/>
      <c r="V602" s="299"/>
      <c r="W602" s="8"/>
      <c r="X602" s="8"/>
      <c r="Y602" s="8"/>
      <c r="Z602" s="8"/>
    </row>
    <row r="603" spans="1:26" ht="12.75">
      <c r="A603" s="299"/>
      <c r="B603" s="300"/>
      <c r="C603" s="299"/>
      <c r="D603" s="299"/>
      <c r="E603" s="299"/>
      <c r="F603" s="299"/>
      <c r="G603" s="299"/>
      <c r="H603" s="1348"/>
      <c r="I603" s="299"/>
      <c r="J603" s="299"/>
      <c r="K603" s="299"/>
      <c r="L603" s="1336"/>
      <c r="M603" s="299"/>
      <c r="N603" s="299"/>
      <c r="O603" s="299"/>
      <c r="P603" s="299"/>
      <c r="Q603" s="299"/>
      <c r="R603" s="299"/>
      <c r="S603" s="299"/>
      <c r="T603" s="299"/>
      <c r="U603" s="299"/>
      <c r="V603" s="299"/>
      <c r="W603" s="8"/>
      <c r="X603" s="8"/>
      <c r="Y603" s="8"/>
      <c r="Z603" s="8"/>
    </row>
    <row r="604" spans="1:26" ht="12.75">
      <c r="A604" s="299"/>
      <c r="B604" s="300"/>
      <c r="C604" s="299"/>
      <c r="D604" s="299"/>
      <c r="E604" s="299"/>
      <c r="F604" s="299"/>
      <c r="G604" s="299"/>
      <c r="H604" s="1348"/>
      <c r="I604" s="299"/>
      <c r="J604" s="299"/>
      <c r="K604" s="299"/>
      <c r="L604" s="1336"/>
      <c r="M604" s="299"/>
      <c r="N604" s="299"/>
      <c r="O604" s="299"/>
      <c r="P604" s="299"/>
      <c r="Q604" s="299"/>
      <c r="R604" s="299"/>
      <c r="S604" s="299"/>
      <c r="T604" s="299"/>
      <c r="U604" s="299"/>
      <c r="V604" s="299"/>
      <c r="W604" s="8"/>
      <c r="X604" s="8"/>
      <c r="Y604" s="8"/>
      <c r="Z604" s="8"/>
    </row>
    <row r="605" spans="1:26" ht="12.75">
      <c r="A605" s="299"/>
      <c r="B605" s="300"/>
      <c r="C605" s="299"/>
      <c r="D605" s="299"/>
      <c r="E605" s="299"/>
      <c r="F605" s="299"/>
      <c r="G605" s="299"/>
      <c r="H605" s="1348"/>
      <c r="I605" s="299"/>
      <c r="J605" s="299"/>
      <c r="K605" s="299"/>
      <c r="L605" s="1336"/>
      <c r="M605" s="299"/>
      <c r="N605" s="299"/>
      <c r="O605" s="299"/>
      <c r="P605" s="299"/>
      <c r="Q605" s="299"/>
      <c r="R605" s="299"/>
      <c r="S605" s="299"/>
      <c r="T605" s="299"/>
      <c r="U605" s="299"/>
      <c r="V605" s="299"/>
      <c r="W605" s="8"/>
      <c r="X605" s="8"/>
      <c r="Y605" s="8"/>
      <c r="Z605" s="8"/>
    </row>
    <row r="606" spans="1:26" ht="12.75">
      <c r="A606" s="299"/>
      <c r="B606" s="300"/>
      <c r="C606" s="299"/>
      <c r="D606" s="299"/>
      <c r="E606" s="299"/>
      <c r="F606" s="299"/>
      <c r="G606" s="299"/>
      <c r="H606" s="1348"/>
      <c r="I606" s="299"/>
      <c r="J606" s="299"/>
      <c r="K606" s="299"/>
      <c r="L606" s="1336"/>
      <c r="M606" s="299"/>
      <c r="N606" s="299"/>
      <c r="O606" s="299"/>
      <c r="P606" s="299"/>
      <c r="Q606" s="299"/>
      <c r="R606" s="299"/>
      <c r="S606" s="299"/>
      <c r="T606" s="299"/>
      <c r="U606" s="299"/>
      <c r="V606" s="299"/>
      <c r="W606" s="8"/>
      <c r="X606" s="8"/>
      <c r="Y606" s="8"/>
      <c r="Z606" s="8"/>
    </row>
    <row r="607" spans="1:26" ht="12.75">
      <c r="A607" s="299"/>
      <c r="B607" s="300"/>
      <c r="C607" s="299"/>
      <c r="D607" s="299"/>
      <c r="E607" s="299"/>
      <c r="F607" s="299"/>
      <c r="G607" s="299"/>
      <c r="H607" s="1348"/>
      <c r="I607" s="299"/>
      <c r="J607" s="299"/>
      <c r="K607" s="299"/>
      <c r="L607" s="1336"/>
      <c r="M607" s="299"/>
      <c r="N607" s="299"/>
      <c r="O607" s="299"/>
      <c r="P607" s="299"/>
      <c r="Q607" s="299"/>
      <c r="R607" s="299"/>
      <c r="S607" s="299"/>
      <c r="T607" s="299"/>
      <c r="U607" s="299"/>
      <c r="V607" s="299"/>
      <c r="W607" s="8"/>
      <c r="X607" s="8"/>
      <c r="Y607" s="8"/>
      <c r="Z607" s="8"/>
    </row>
    <row r="608" spans="1:26" ht="12.75">
      <c r="A608" s="299"/>
      <c r="B608" s="300"/>
      <c r="C608" s="299"/>
      <c r="D608" s="299"/>
      <c r="E608" s="299"/>
      <c r="F608" s="299"/>
      <c r="G608" s="299"/>
      <c r="H608" s="1348"/>
      <c r="I608" s="299"/>
      <c r="J608" s="299"/>
      <c r="K608" s="299"/>
      <c r="L608" s="1336"/>
      <c r="M608" s="299"/>
      <c r="N608" s="299"/>
      <c r="O608" s="299"/>
      <c r="P608" s="299"/>
      <c r="Q608" s="299"/>
      <c r="R608" s="299"/>
      <c r="S608" s="299"/>
      <c r="T608" s="299"/>
      <c r="U608" s="299"/>
      <c r="V608" s="299"/>
      <c r="W608" s="8"/>
      <c r="X608" s="8"/>
      <c r="Y608" s="8"/>
      <c r="Z608" s="8"/>
    </row>
    <row r="609" spans="1:26" ht="12.75">
      <c r="A609" s="299"/>
      <c r="B609" s="300"/>
      <c r="C609" s="299"/>
      <c r="D609" s="299"/>
      <c r="E609" s="299"/>
      <c r="F609" s="299"/>
      <c r="G609" s="299"/>
      <c r="H609" s="1348"/>
      <c r="I609" s="299"/>
      <c r="J609" s="299"/>
      <c r="K609" s="299"/>
      <c r="L609" s="1336"/>
      <c r="M609" s="299"/>
      <c r="N609" s="299"/>
      <c r="O609" s="299"/>
      <c r="P609" s="299"/>
      <c r="Q609" s="299"/>
      <c r="R609" s="299"/>
      <c r="S609" s="299"/>
      <c r="T609" s="299"/>
      <c r="U609" s="299"/>
      <c r="V609" s="299"/>
      <c r="W609" s="8"/>
      <c r="X609" s="8"/>
      <c r="Y609" s="8"/>
      <c r="Z609" s="8"/>
    </row>
    <row r="610" spans="1:26" ht="12.75">
      <c r="A610" s="299"/>
      <c r="B610" s="300"/>
      <c r="C610" s="299"/>
      <c r="D610" s="299"/>
      <c r="E610" s="299"/>
      <c r="F610" s="299"/>
      <c r="G610" s="299"/>
      <c r="H610" s="1348"/>
      <c r="I610" s="299"/>
      <c r="J610" s="299"/>
      <c r="K610" s="299"/>
      <c r="L610" s="1336"/>
      <c r="M610" s="299"/>
      <c r="N610" s="299"/>
      <c r="O610" s="299"/>
      <c r="P610" s="299"/>
      <c r="Q610" s="299"/>
      <c r="R610" s="299"/>
      <c r="S610" s="299"/>
      <c r="T610" s="299"/>
      <c r="U610" s="299"/>
      <c r="V610" s="299"/>
      <c r="W610" s="8"/>
      <c r="X610" s="8"/>
      <c r="Y610" s="8"/>
      <c r="Z610" s="8"/>
    </row>
    <row r="611" spans="1:26" ht="12.75">
      <c r="A611" s="299"/>
      <c r="B611" s="300"/>
      <c r="C611" s="299"/>
      <c r="D611" s="299"/>
      <c r="E611" s="299"/>
      <c r="F611" s="299"/>
      <c r="G611" s="299"/>
      <c r="H611" s="1348"/>
      <c r="I611" s="299"/>
      <c r="J611" s="299"/>
      <c r="K611" s="299"/>
      <c r="L611" s="1336"/>
      <c r="M611" s="299"/>
      <c r="N611" s="299"/>
      <c r="O611" s="299"/>
      <c r="P611" s="299"/>
      <c r="Q611" s="299"/>
      <c r="R611" s="299"/>
      <c r="S611" s="299"/>
      <c r="T611" s="299"/>
      <c r="U611" s="299"/>
      <c r="V611" s="299"/>
      <c r="W611" s="8"/>
      <c r="X611" s="8"/>
      <c r="Y611" s="8"/>
      <c r="Z611" s="8"/>
    </row>
    <row r="612" spans="1:26" ht="12.75">
      <c r="A612" s="299"/>
      <c r="B612" s="300"/>
      <c r="C612" s="299"/>
      <c r="D612" s="299"/>
      <c r="E612" s="299"/>
      <c r="F612" s="299"/>
      <c r="G612" s="299"/>
      <c r="H612" s="1348"/>
      <c r="I612" s="299"/>
      <c r="J612" s="299"/>
      <c r="K612" s="299"/>
      <c r="L612" s="1336"/>
      <c r="M612" s="299"/>
      <c r="N612" s="299"/>
      <c r="O612" s="299"/>
      <c r="P612" s="299"/>
      <c r="Q612" s="299"/>
      <c r="R612" s="299"/>
      <c r="S612" s="299"/>
      <c r="T612" s="299"/>
      <c r="U612" s="299"/>
      <c r="V612" s="299"/>
      <c r="W612" s="8"/>
      <c r="X612" s="8"/>
      <c r="Y612" s="8"/>
      <c r="Z612" s="8"/>
    </row>
    <row r="613" spans="1:26" ht="12.75">
      <c r="A613" s="299"/>
      <c r="B613" s="300"/>
      <c r="C613" s="299"/>
      <c r="D613" s="299"/>
      <c r="E613" s="299"/>
      <c r="F613" s="299"/>
      <c r="G613" s="299"/>
      <c r="H613" s="1348"/>
      <c r="I613" s="299"/>
      <c r="J613" s="299"/>
      <c r="K613" s="299"/>
      <c r="L613" s="1336"/>
      <c r="M613" s="299"/>
      <c r="N613" s="299"/>
      <c r="O613" s="299"/>
      <c r="P613" s="299"/>
      <c r="Q613" s="299"/>
      <c r="R613" s="299"/>
      <c r="S613" s="299"/>
      <c r="T613" s="299"/>
      <c r="U613" s="299"/>
      <c r="V613" s="299"/>
      <c r="W613" s="8"/>
      <c r="X613" s="8"/>
      <c r="Y613" s="8"/>
      <c r="Z613" s="8"/>
    </row>
    <row r="614" spans="1:26" ht="12.75">
      <c r="A614" s="299"/>
      <c r="B614" s="300"/>
      <c r="C614" s="299"/>
      <c r="D614" s="299"/>
      <c r="E614" s="299"/>
      <c r="F614" s="299"/>
      <c r="G614" s="299"/>
      <c r="H614" s="1348"/>
      <c r="I614" s="299"/>
      <c r="J614" s="299"/>
      <c r="K614" s="299"/>
      <c r="L614" s="1336"/>
      <c r="M614" s="299"/>
      <c r="N614" s="299"/>
      <c r="O614" s="299"/>
      <c r="P614" s="299"/>
      <c r="Q614" s="299"/>
      <c r="R614" s="299"/>
      <c r="S614" s="299"/>
      <c r="T614" s="299"/>
      <c r="U614" s="299"/>
      <c r="V614" s="299"/>
      <c r="W614" s="8"/>
      <c r="X614" s="8"/>
      <c r="Y614" s="8"/>
      <c r="Z614" s="8"/>
    </row>
    <row r="615" spans="1:26" ht="12.75">
      <c r="A615" s="299"/>
      <c r="B615" s="300"/>
      <c r="C615" s="299"/>
      <c r="D615" s="299"/>
      <c r="E615" s="299"/>
      <c r="F615" s="299"/>
      <c r="G615" s="299"/>
      <c r="H615" s="1348"/>
      <c r="I615" s="299"/>
      <c r="J615" s="299"/>
      <c r="K615" s="299"/>
      <c r="L615" s="1336"/>
      <c r="M615" s="299"/>
      <c r="N615" s="299"/>
      <c r="O615" s="299"/>
      <c r="P615" s="299"/>
      <c r="Q615" s="299"/>
      <c r="R615" s="299"/>
      <c r="S615" s="299"/>
      <c r="T615" s="299"/>
      <c r="U615" s="299"/>
      <c r="V615" s="299"/>
      <c r="W615" s="8"/>
      <c r="X615" s="8"/>
      <c r="Y615" s="8"/>
      <c r="Z615" s="8"/>
    </row>
    <row r="616" spans="1:26" ht="12.75">
      <c r="A616" s="299"/>
      <c r="B616" s="300"/>
      <c r="C616" s="299"/>
      <c r="D616" s="299"/>
      <c r="E616" s="299"/>
      <c r="F616" s="299"/>
      <c r="G616" s="299"/>
      <c r="H616" s="1348"/>
      <c r="I616" s="299"/>
      <c r="J616" s="299"/>
      <c r="K616" s="299"/>
      <c r="L616" s="1336"/>
      <c r="M616" s="299"/>
      <c r="N616" s="299"/>
      <c r="O616" s="299"/>
      <c r="P616" s="299"/>
      <c r="Q616" s="299"/>
      <c r="R616" s="299"/>
      <c r="S616" s="299"/>
      <c r="T616" s="299"/>
      <c r="U616" s="299"/>
      <c r="V616" s="299"/>
      <c r="W616" s="8"/>
      <c r="X616" s="8"/>
      <c r="Y616" s="8"/>
      <c r="Z616" s="8"/>
    </row>
    <row r="617" spans="1:26" ht="12.75">
      <c r="A617" s="299"/>
      <c r="B617" s="300"/>
      <c r="C617" s="299"/>
      <c r="D617" s="299"/>
      <c r="E617" s="299"/>
      <c r="F617" s="299"/>
      <c r="G617" s="299"/>
      <c r="H617" s="1348"/>
      <c r="I617" s="299"/>
      <c r="J617" s="299"/>
      <c r="K617" s="299"/>
      <c r="L617" s="1336"/>
      <c r="M617" s="299"/>
      <c r="N617" s="299"/>
      <c r="O617" s="299"/>
      <c r="P617" s="299"/>
      <c r="Q617" s="299"/>
      <c r="R617" s="299"/>
      <c r="S617" s="299"/>
      <c r="T617" s="299"/>
      <c r="U617" s="299"/>
      <c r="V617" s="299"/>
      <c r="W617" s="8"/>
      <c r="X617" s="8"/>
      <c r="Y617" s="8"/>
      <c r="Z617" s="8"/>
    </row>
    <row r="618" spans="1:26" ht="12.75">
      <c r="A618" s="299"/>
      <c r="B618" s="300"/>
      <c r="C618" s="299"/>
      <c r="D618" s="299"/>
      <c r="E618" s="299"/>
      <c r="F618" s="299"/>
      <c r="G618" s="299"/>
      <c r="H618" s="1348"/>
      <c r="I618" s="299"/>
      <c r="J618" s="299"/>
      <c r="K618" s="299"/>
      <c r="L618" s="1336"/>
      <c r="M618" s="299"/>
      <c r="N618" s="299"/>
      <c r="O618" s="299"/>
      <c r="P618" s="299"/>
      <c r="Q618" s="299"/>
      <c r="R618" s="299"/>
      <c r="S618" s="299"/>
      <c r="T618" s="299"/>
      <c r="U618" s="299"/>
      <c r="V618" s="299"/>
      <c r="W618" s="8"/>
      <c r="X618" s="8"/>
      <c r="Y618" s="8"/>
      <c r="Z618" s="8"/>
    </row>
    <row r="619" spans="1:26" ht="12.75">
      <c r="A619" s="299"/>
      <c r="B619" s="300"/>
      <c r="C619" s="299"/>
      <c r="D619" s="299"/>
      <c r="E619" s="299"/>
      <c r="F619" s="299"/>
      <c r="G619" s="299"/>
      <c r="H619" s="1348"/>
      <c r="I619" s="299"/>
      <c r="J619" s="299"/>
      <c r="K619" s="299"/>
      <c r="L619" s="1336"/>
      <c r="M619" s="299"/>
      <c r="N619" s="299"/>
      <c r="O619" s="299"/>
      <c r="P619" s="299"/>
      <c r="Q619" s="299"/>
      <c r="R619" s="299"/>
      <c r="S619" s="299"/>
      <c r="T619" s="299"/>
      <c r="U619" s="299"/>
      <c r="V619" s="299"/>
      <c r="W619" s="8"/>
      <c r="X619" s="8"/>
      <c r="Y619" s="8"/>
      <c r="Z619" s="8"/>
    </row>
    <row r="620" spans="1:26" ht="12.75">
      <c r="A620" s="299"/>
      <c r="B620" s="300"/>
      <c r="C620" s="299"/>
      <c r="D620" s="299"/>
      <c r="E620" s="299"/>
      <c r="F620" s="299"/>
      <c r="G620" s="299"/>
      <c r="H620" s="1348"/>
      <c r="I620" s="299"/>
      <c r="J620" s="299"/>
      <c r="K620" s="299"/>
      <c r="L620" s="1336"/>
      <c r="M620" s="299"/>
      <c r="N620" s="299"/>
      <c r="O620" s="299"/>
      <c r="P620" s="299"/>
      <c r="Q620" s="299"/>
      <c r="R620" s="299"/>
      <c r="S620" s="299"/>
      <c r="T620" s="299"/>
      <c r="U620" s="299"/>
      <c r="V620" s="299"/>
      <c r="W620" s="8"/>
      <c r="X620" s="8"/>
      <c r="Y620" s="8"/>
      <c r="Z620" s="8"/>
    </row>
    <row r="621" spans="1:26" ht="12.75">
      <c r="A621" s="299"/>
      <c r="B621" s="300"/>
      <c r="C621" s="299"/>
      <c r="D621" s="299"/>
      <c r="E621" s="299"/>
      <c r="F621" s="299"/>
      <c r="G621" s="299"/>
      <c r="H621" s="1348"/>
      <c r="I621" s="299"/>
      <c r="J621" s="299"/>
      <c r="K621" s="299"/>
      <c r="L621" s="1336"/>
      <c r="M621" s="299"/>
      <c r="N621" s="299"/>
      <c r="O621" s="299"/>
      <c r="P621" s="299"/>
      <c r="Q621" s="299"/>
      <c r="R621" s="299"/>
      <c r="S621" s="299"/>
      <c r="T621" s="299"/>
      <c r="U621" s="299"/>
      <c r="V621" s="299"/>
      <c r="W621" s="8"/>
      <c r="X621" s="8"/>
      <c r="Y621" s="8"/>
      <c r="Z621" s="8"/>
    </row>
    <row r="622" spans="1:26" ht="12.75">
      <c r="A622" s="299"/>
      <c r="B622" s="300"/>
      <c r="C622" s="299"/>
      <c r="D622" s="299"/>
      <c r="E622" s="299"/>
      <c r="F622" s="299"/>
      <c r="G622" s="299"/>
      <c r="H622" s="1348"/>
      <c r="I622" s="299"/>
      <c r="J622" s="299"/>
      <c r="K622" s="299"/>
      <c r="L622" s="1336"/>
      <c r="M622" s="299"/>
      <c r="N622" s="299"/>
      <c r="O622" s="299"/>
      <c r="P622" s="299"/>
      <c r="Q622" s="299"/>
      <c r="R622" s="299"/>
      <c r="S622" s="299"/>
      <c r="T622" s="299"/>
      <c r="U622" s="299"/>
      <c r="V622" s="299"/>
      <c r="W622" s="8"/>
      <c r="X622" s="8"/>
      <c r="Y622" s="8"/>
      <c r="Z622" s="8"/>
    </row>
    <row r="623" spans="1:26" ht="12.75">
      <c r="A623" s="299"/>
      <c r="B623" s="300"/>
      <c r="C623" s="299"/>
      <c r="D623" s="299"/>
      <c r="E623" s="299"/>
      <c r="F623" s="299"/>
      <c r="G623" s="299"/>
      <c r="H623" s="1348"/>
      <c r="I623" s="299"/>
      <c r="J623" s="299"/>
      <c r="K623" s="299"/>
      <c r="L623" s="1336"/>
      <c r="M623" s="299"/>
      <c r="N623" s="299"/>
      <c r="O623" s="299"/>
      <c r="P623" s="299"/>
      <c r="Q623" s="299"/>
      <c r="R623" s="299"/>
      <c r="S623" s="299"/>
      <c r="T623" s="299"/>
      <c r="U623" s="299"/>
      <c r="V623" s="299"/>
      <c r="W623" s="8"/>
      <c r="X623" s="8"/>
      <c r="Y623" s="8"/>
      <c r="Z623" s="8"/>
    </row>
    <row r="624" spans="1:26" ht="12.75">
      <c r="A624" s="299"/>
      <c r="B624" s="300"/>
      <c r="C624" s="299"/>
      <c r="D624" s="299"/>
      <c r="E624" s="299"/>
      <c r="F624" s="299"/>
      <c r="G624" s="299"/>
      <c r="H624" s="1348"/>
      <c r="I624" s="299"/>
      <c r="J624" s="299"/>
      <c r="K624" s="299"/>
      <c r="L624" s="1336"/>
      <c r="M624" s="299"/>
      <c r="N624" s="299"/>
      <c r="O624" s="299"/>
      <c r="P624" s="299"/>
      <c r="Q624" s="299"/>
      <c r="R624" s="299"/>
      <c r="S624" s="299"/>
      <c r="T624" s="299"/>
      <c r="U624" s="299"/>
      <c r="V624" s="299"/>
      <c r="W624" s="8"/>
      <c r="X624" s="8"/>
      <c r="Y624" s="8"/>
      <c r="Z624" s="8"/>
    </row>
    <row r="625" spans="1:26" ht="12.75">
      <c r="A625" s="299"/>
      <c r="B625" s="300"/>
      <c r="C625" s="299"/>
      <c r="D625" s="299"/>
      <c r="E625" s="299"/>
      <c r="F625" s="299"/>
      <c r="G625" s="299"/>
      <c r="H625" s="1348"/>
      <c r="I625" s="299"/>
      <c r="J625" s="299"/>
      <c r="K625" s="299"/>
      <c r="L625" s="1336"/>
      <c r="M625" s="299"/>
      <c r="N625" s="299"/>
      <c r="O625" s="299"/>
      <c r="P625" s="299"/>
      <c r="Q625" s="299"/>
      <c r="R625" s="299"/>
      <c r="S625" s="299"/>
      <c r="T625" s="299"/>
      <c r="U625" s="299"/>
      <c r="V625" s="299"/>
      <c r="W625" s="8"/>
      <c r="X625" s="8"/>
      <c r="Y625" s="8"/>
      <c r="Z625" s="8"/>
    </row>
    <row r="626" spans="1:26" ht="12.75">
      <c r="A626" s="299"/>
      <c r="B626" s="300"/>
      <c r="C626" s="299"/>
      <c r="D626" s="299"/>
      <c r="E626" s="299"/>
      <c r="F626" s="299"/>
      <c r="G626" s="299"/>
      <c r="H626" s="1348"/>
      <c r="I626" s="299"/>
      <c r="J626" s="299"/>
      <c r="K626" s="299"/>
      <c r="L626" s="1336"/>
      <c r="M626" s="299"/>
      <c r="N626" s="299"/>
      <c r="O626" s="299"/>
      <c r="P626" s="299"/>
      <c r="Q626" s="299"/>
      <c r="R626" s="299"/>
      <c r="S626" s="299"/>
      <c r="T626" s="299"/>
      <c r="U626" s="299"/>
      <c r="V626" s="299"/>
      <c r="W626" s="8"/>
      <c r="X626" s="8"/>
      <c r="Y626" s="8"/>
      <c r="Z626" s="8"/>
    </row>
    <row r="627" spans="1:26" ht="12.75">
      <c r="A627" s="299"/>
      <c r="B627" s="300"/>
      <c r="C627" s="299"/>
      <c r="D627" s="299"/>
      <c r="E627" s="299"/>
      <c r="F627" s="299"/>
      <c r="G627" s="299"/>
      <c r="H627" s="1348"/>
      <c r="I627" s="299"/>
      <c r="J627" s="299"/>
      <c r="K627" s="299"/>
      <c r="L627" s="1336"/>
      <c r="M627" s="299"/>
      <c r="N627" s="299"/>
      <c r="O627" s="299"/>
      <c r="P627" s="299"/>
      <c r="Q627" s="299"/>
      <c r="R627" s="299"/>
      <c r="S627" s="299"/>
      <c r="T627" s="299"/>
      <c r="U627" s="299"/>
      <c r="V627" s="299"/>
      <c r="W627" s="8"/>
      <c r="X627" s="8"/>
      <c r="Y627" s="8"/>
      <c r="Z627" s="8"/>
    </row>
    <row r="628" spans="1:26" ht="12.75">
      <c r="A628" s="299"/>
      <c r="B628" s="300"/>
      <c r="C628" s="299"/>
      <c r="D628" s="299"/>
      <c r="E628" s="299"/>
      <c r="F628" s="299"/>
      <c r="G628" s="299"/>
      <c r="H628" s="1348"/>
      <c r="I628" s="299"/>
      <c r="J628" s="299"/>
      <c r="K628" s="299"/>
      <c r="L628" s="1336"/>
      <c r="M628" s="299"/>
      <c r="N628" s="299"/>
      <c r="O628" s="299"/>
      <c r="P628" s="299"/>
      <c r="Q628" s="299"/>
      <c r="R628" s="299"/>
      <c r="S628" s="299"/>
      <c r="T628" s="299"/>
      <c r="U628" s="299"/>
      <c r="V628" s="299"/>
      <c r="W628" s="8"/>
      <c r="X628" s="8"/>
      <c r="Y628" s="8"/>
      <c r="Z628" s="8"/>
    </row>
    <row r="629" spans="1:26" ht="12.75">
      <c r="A629" s="299"/>
      <c r="B629" s="300"/>
      <c r="C629" s="299"/>
      <c r="D629" s="299"/>
      <c r="E629" s="299"/>
      <c r="F629" s="299"/>
      <c r="G629" s="299"/>
      <c r="H629" s="1348"/>
      <c r="I629" s="299"/>
      <c r="J629" s="299"/>
      <c r="K629" s="299"/>
      <c r="L629" s="1336"/>
      <c r="M629" s="299"/>
      <c r="N629" s="299"/>
      <c r="O629" s="299"/>
      <c r="P629" s="299"/>
      <c r="Q629" s="299"/>
      <c r="R629" s="299"/>
      <c r="S629" s="299"/>
      <c r="T629" s="299"/>
      <c r="U629" s="299"/>
      <c r="V629" s="299"/>
      <c r="W629" s="8"/>
      <c r="X629" s="8"/>
      <c r="Y629" s="8"/>
      <c r="Z629" s="8"/>
    </row>
    <row r="630" spans="1:26" ht="12.75">
      <c r="A630" s="299"/>
      <c r="B630" s="300"/>
      <c r="C630" s="299"/>
      <c r="D630" s="299"/>
      <c r="E630" s="299"/>
      <c r="F630" s="299"/>
      <c r="G630" s="299"/>
      <c r="H630" s="1348"/>
      <c r="I630" s="299"/>
      <c r="J630" s="299"/>
      <c r="K630" s="299"/>
      <c r="L630" s="1336"/>
      <c r="M630" s="299"/>
      <c r="N630" s="299"/>
      <c r="O630" s="299"/>
      <c r="P630" s="299"/>
      <c r="Q630" s="299"/>
      <c r="R630" s="299"/>
      <c r="S630" s="299"/>
      <c r="T630" s="299"/>
      <c r="U630" s="299"/>
      <c r="V630" s="299"/>
      <c r="W630" s="8"/>
      <c r="X630" s="8"/>
      <c r="Y630" s="8"/>
      <c r="Z630" s="8"/>
    </row>
    <row r="631" spans="1:26" ht="12.75">
      <c r="A631" s="299"/>
      <c r="B631" s="300"/>
      <c r="C631" s="299"/>
      <c r="D631" s="299"/>
      <c r="E631" s="299"/>
      <c r="F631" s="299"/>
      <c r="G631" s="299"/>
      <c r="H631" s="1348"/>
      <c r="I631" s="299"/>
      <c r="J631" s="299"/>
      <c r="K631" s="299"/>
      <c r="L631" s="1336"/>
      <c r="M631" s="299"/>
      <c r="N631" s="299"/>
      <c r="O631" s="299"/>
      <c r="P631" s="299"/>
      <c r="Q631" s="299"/>
      <c r="R631" s="299"/>
      <c r="S631" s="299"/>
      <c r="T631" s="299"/>
      <c r="U631" s="299"/>
      <c r="V631" s="299"/>
      <c r="W631" s="8"/>
      <c r="X631" s="8"/>
      <c r="Y631" s="8"/>
      <c r="Z631" s="8"/>
    </row>
    <row r="632" spans="1:26" ht="12.75">
      <c r="A632" s="299"/>
      <c r="B632" s="300"/>
      <c r="C632" s="299"/>
      <c r="D632" s="299"/>
      <c r="E632" s="299"/>
      <c r="F632" s="299"/>
      <c r="G632" s="299"/>
      <c r="H632" s="1348"/>
      <c r="I632" s="299"/>
      <c r="J632" s="299"/>
      <c r="K632" s="299"/>
      <c r="L632" s="1336"/>
      <c r="M632" s="299"/>
      <c r="N632" s="299"/>
      <c r="O632" s="299"/>
      <c r="P632" s="299"/>
      <c r="Q632" s="299"/>
      <c r="R632" s="299"/>
      <c r="S632" s="299"/>
      <c r="T632" s="299"/>
      <c r="U632" s="299"/>
      <c r="V632" s="299"/>
      <c r="W632" s="8"/>
      <c r="X632" s="8"/>
      <c r="Y632" s="8"/>
      <c r="Z632" s="8"/>
    </row>
    <row r="633" spans="1:26" ht="12.75">
      <c r="A633" s="299"/>
      <c r="B633" s="300"/>
      <c r="C633" s="299"/>
      <c r="D633" s="299"/>
      <c r="E633" s="299"/>
      <c r="F633" s="299"/>
      <c r="G633" s="299"/>
      <c r="H633" s="1348"/>
      <c r="I633" s="299"/>
      <c r="J633" s="299"/>
      <c r="K633" s="299"/>
      <c r="L633" s="1336"/>
      <c r="M633" s="299"/>
      <c r="N633" s="299"/>
      <c r="O633" s="299"/>
      <c r="P633" s="299"/>
      <c r="Q633" s="299"/>
      <c r="R633" s="299"/>
      <c r="S633" s="299"/>
      <c r="T633" s="299"/>
      <c r="U633" s="299"/>
      <c r="V633" s="299"/>
      <c r="W633" s="8"/>
      <c r="X633" s="8"/>
      <c r="Y633" s="8"/>
      <c r="Z633" s="8"/>
    </row>
    <row r="634" spans="1:26" ht="12.75">
      <c r="A634" s="299"/>
      <c r="B634" s="300"/>
      <c r="C634" s="299"/>
      <c r="D634" s="299"/>
      <c r="E634" s="299"/>
      <c r="F634" s="299"/>
      <c r="G634" s="299"/>
      <c r="H634" s="1348"/>
      <c r="I634" s="299"/>
      <c r="J634" s="299"/>
      <c r="K634" s="299"/>
      <c r="L634" s="1336"/>
      <c r="M634" s="299"/>
      <c r="N634" s="299"/>
      <c r="O634" s="299"/>
      <c r="P634" s="299"/>
      <c r="Q634" s="299"/>
      <c r="R634" s="299"/>
      <c r="S634" s="299"/>
      <c r="T634" s="299"/>
      <c r="U634" s="299"/>
      <c r="V634" s="299"/>
      <c r="W634" s="8"/>
      <c r="X634" s="8"/>
      <c r="Y634" s="8"/>
      <c r="Z634" s="8"/>
    </row>
    <row r="635" spans="1:26" ht="12.75">
      <c r="A635" s="299"/>
      <c r="B635" s="300"/>
      <c r="C635" s="299"/>
      <c r="D635" s="299"/>
      <c r="E635" s="299"/>
      <c r="F635" s="299"/>
      <c r="G635" s="299"/>
      <c r="H635" s="1348"/>
      <c r="I635" s="299"/>
      <c r="J635" s="299"/>
      <c r="K635" s="299"/>
      <c r="L635" s="1336"/>
      <c r="M635" s="299"/>
      <c r="N635" s="299"/>
      <c r="O635" s="299"/>
      <c r="P635" s="299"/>
      <c r="Q635" s="299"/>
      <c r="R635" s="299"/>
      <c r="S635" s="299"/>
      <c r="T635" s="299"/>
      <c r="U635" s="299"/>
      <c r="V635" s="299"/>
      <c r="W635" s="8"/>
      <c r="X635" s="8"/>
      <c r="Y635" s="8"/>
      <c r="Z635" s="8"/>
    </row>
    <row r="636" spans="1:26" ht="12.75">
      <c r="A636" s="299"/>
      <c r="B636" s="300"/>
      <c r="C636" s="299"/>
      <c r="D636" s="299"/>
      <c r="E636" s="299"/>
      <c r="F636" s="299"/>
      <c r="G636" s="299"/>
      <c r="H636" s="1348"/>
      <c r="I636" s="299"/>
      <c r="J636" s="299"/>
      <c r="K636" s="299"/>
      <c r="L636" s="1336"/>
      <c r="M636" s="299"/>
      <c r="N636" s="299"/>
      <c r="O636" s="299"/>
      <c r="P636" s="299"/>
      <c r="Q636" s="299"/>
      <c r="R636" s="299"/>
      <c r="S636" s="299"/>
      <c r="T636" s="299"/>
      <c r="U636" s="299"/>
      <c r="V636" s="299"/>
      <c r="W636" s="8"/>
      <c r="X636" s="8"/>
      <c r="Y636" s="8"/>
      <c r="Z636" s="8"/>
    </row>
    <row r="637" spans="1:26" ht="12.75">
      <c r="A637" s="299"/>
      <c r="B637" s="300"/>
      <c r="C637" s="299"/>
      <c r="D637" s="299"/>
      <c r="E637" s="299"/>
      <c r="F637" s="299"/>
      <c r="G637" s="299"/>
      <c r="H637" s="1348"/>
      <c r="I637" s="299"/>
      <c r="J637" s="299"/>
      <c r="K637" s="299"/>
      <c r="L637" s="1336"/>
      <c r="M637" s="299"/>
      <c r="N637" s="299"/>
      <c r="O637" s="299"/>
      <c r="P637" s="299"/>
      <c r="Q637" s="299"/>
      <c r="R637" s="299"/>
      <c r="S637" s="299"/>
      <c r="T637" s="299"/>
      <c r="U637" s="299"/>
      <c r="V637" s="299"/>
      <c r="W637" s="8"/>
      <c r="X637" s="8"/>
      <c r="Y637" s="8"/>
      <c r="Z637" s="8"/>
    </row>
    <row r="638" spans="1:26" ht="12.75">
      <c r="A638" s="299"/>
      <c r="B638" s="300"/>
      <c r="C638" s="299"/>
      <c r="D638" s="299"/>
      <c r="E638" s="299"/>
      <c r="F638" s="299"/>
      <c r="G638" s="299"/>
      <c r="H638" s="1348"/>
      <c r="I638" s="299"/>
      <c r="J638" s="299"/>
      <c r="K638" s="299"/>
      <c r="L638" s="1336"/>
      <c r="M638" s="299"/>
      <c r="N638" s="299"/>
      <c r="O638" s="299"/>
      <c r="P638" s="299"/>
      <c r="Q638" s="299"/>
      <c r="R638" s="299"/>
      <c r="S638" s="299"/>
      <c r="T638" s="299"/>
      <c r="U638" s="299"/>
      <c r="V638" s="299"/>
      <c r="W638" s="8"/>
      <c r="X638" s="8"/>
      <c r="Y638" s="8"/>
      <c r="Z638" s="8"/>
    </row>
    <row r="639" spans="1:26" ht="12.75">
      <c r="A639" s="299"/>
      <c r="B639" s="300"/>
      <c r="C639" s="299"/>
      <c r="D639" s="299"/>
      <c r="E639" s="299"/>
      <c r="F639" s="299"/>
      <c r="G639" s="299"/>
      <c r="H639" s="1348"/>
      <c r="I639" s="299"/>
      <c r="J639" s="299"/>
      <c r="K639" s="299"/>
      <c r="L639" s="1336"/>
      <c r="M639" s="299"/>
      <c r="N639" s="299"/>
      <c r="O639" s="299"/>
      <c r="P639" s="299"/>
      <c r="Q639" s="299"/>
      <c r="R639" s="299"/>
      <c r="S639" s="299"/>
      <c r="T639" s="299"/>
      <c r="U639" s="299"/>
      <c r="V639" s="299"/>
      <c r="W639" s="8"/>
      <c r="X639" s="8"/>
      <c r="Y639" s="8"/>
      <c r="Z639" s="8"/>
    </row>
    <row r="640" spans="1:26" ht="12.75">
      <c r="A640" s="299"/>
      <c r="B640" s="300"/>
      <c r="C640" s="299"/>
      <c r="D640" s="299"/>
      <c r="E640" s="299"/>
      <c r="F640" s="299"/>
      <c r="G640" s="299"/>
      <c r="H640" s="1348"/>
      <c r="I640" s="299"/>
      <c r="J640" s="299"/>
      <c r="K640" s="299"/>
      <c r="L640" s="1336"/>
      <c r="M640" s="299"/>
      <c r="N640" s="299"/>
      <c r="O640" s="299"/>
      <c r="P640" s="299"/>
      <c r="Q640" s="299"/>
      <c r="R640" s="299"/>
      <c r="S640" s="299"/>
      <c r="T640" s="299"/>
      <c r="U640" s="299"/>
      <c r="V640" s="299"/>
      <c r="W640" s="8"/>
      <c r="X640" s="8"/>
      <c r="Y640" s="8"/>
      <c r="Z640" s="8"/>
    </row>
    <row r="641" spans="1:26" ht="12.75">
      <c r="A641" s="299"/>
      <c r="B641" s="300"/>
      <c r="C641" s="299"/>
      <c r="D641" s="299"/>
      <c r="E641" s="299"/>
      <c r="F641" s="299"/>
      <c r="G641" s="299"/>
      <c r="H641" s="1348"/>
      <c r="I641" s="299"/>
      <c r="J641" s="299"/>
      <c r="K641" s="299"/>
      <c r="L641" s="1336"/>
      <c r="M641" s="299"/>
      <c r="N641" s="299"/>
      <c r="O641" s="299"/>
      <c r="P641" s="299"/>
      <c r="Q641" s="299"/>
      <c r="R641" s="299"/>
      <c r="S641" s="299"/>
      <c r="T641" s="299"/>
      <c r="U641" s="299"/>
      <c r="V641" s="299"/>
      <c r="W641" s="8"/>
      <c r="X641" s="8"/>
      <c r="Y641" s="8"/>
      <c r="Z641" s="8"/>
    </row>
    <row r="642" spans="1:26" ht="12.75">
      <c r="A642" s="299"/>
      <c r="B642" s="300"/>
      <c r="C642" s="299"/>
      <c r="D642" s="299"/>
      <c r="E642" s="299"/>
      <c r="F642" s="299"/>
      <c r="G642" s="299"/>
      <c r="H642" s="1348"/>
      <c r="I642" s="299"/>
      <c r="J642" s="299"/>
      <c r="K642" s="299"/>
      <c r="L642" s="1336"/>
      <c r="M642" s="299"/>
      <c r="N642" s="299"/>
      <c r="O642" s="299"/>
      <c r="P642" s="299"/>
      <c r="Q642" s="299"/>
      <c r="R642" s="299"/>
      <c r="S642" s="299"/>
      <c r="T642" s="299"/>
      <c r="U642" s="299"/>
      <c r="V642" s="299"/>
      <c r="W642" s="8"/>
      <c r="X642" s="8"/>
      <c r="Y642" s="8"/>
      <c r="Z642" s="8"/>
    </row>
    <row r="643" spans="1:26" ht="12.75">
      <c r="A643" s="299"/>
      <c r="B643" s="300"/>
      <c r="C643" s="299"/>
      <c r="D643" s="299"/>
      <c r="E643" s="299"/>
      <c r="F643" s="299"/>
      <c r="G643" s="299"/>
      <c r="H643" s="1348"/>
      <c r="I643" s="299"/>
      <c r="J643" s="299"/>
      <c r="K643" s="299"/>
      <c r="L643" s="1336"/>
      <c r="M643" s="299"/>
      <c r="N643" s="299"/>
      <c r="O643" s="299"/>
      <c r="P643" s="299"/>
      <c r="Q643" s="299"/>
      <c r="R643" s="299"/>
      <c r="S643" s="299"/>
      <c r="T643" s="299"/>
      <c r="U643" s="299"/>
      <c r="V643" s="299"/>
      <c r="W643" s="8"/>
      <c r="X643" s="8"/>
      <c r="Y643" s="8"/>
      <c r="Z643" s="8"/>
    </row>
    <row r="644" spans="1:26" ht="12.75">
      <c r="A644" s="299"/>
      <c r="B644" s="300"/>
      <c r="C644" s="299"/>
      <c r="D644" s="299"/>
      <c r="E644" s="299"/>
      <c r="F644" s="299"/>
      <c r="G644" s="299"/>
      <c r="H644" s="1348"/>
      <c r="I644" s="299"/>
      <c r="J644" s="299"/>
      <c r="K644" s="299"/>
      <c r="L644" s="1336"/>
      <c r="M644" s="299"/>
      <c r="N644" s="299"/>
      <c r="O644" s="299"/>
      <c r="P644" s="299"/>
      <c r="Q644" s="299"/>
      <c r="R644" s="299"/>
      <c r="S644" s="299"/>
      <c r="T644" s="299"/>
      <c r="U644" s="299"/>
      <c r="V644" s="299"/>
      <c r="W644" s="8"/>
      <c r="X644" s="8"/>
      <c r="Y644" s="8"/>
      <c r="Z644" s="8"/>
    </row>
    <row r="645" spans="1:26" ht="12.75">
      <c r="A645" s="299"/>
      <c r="B645" s="300"/>
      <c r="C645" s="299"/>
      <c r="D645" s="299"/>
      <c r="E645" s="299"/>
      <c r="F645" s="299"/>
      <c r="G645" s="299"/>
      <c r="H645" s="1348"/>
      <c r="I645" s="299"/>
      <c r="J645" s="299"/>
      <c r="K645" s="299"/>
      <c r="L645" s="1336"/>
      <c r="M645" s="299"/>
      <c r="N645" s="299"/>
      <c r="O645" s="299"/>
      <c r="P645" s="299"/>
      <c r="Q645" s="299"/>
      <c r="R645" s="299"/>
      <c r="S645" s="299"/>
      <c r="T645" s="299"/>
      <c r="U645" s="299"/>
      <c r="V645" s="299"/>
      <c r="W645" s="8"/>
      <c r="X645" s="8"/>
      <c r="Y645" s="8"/>
      <c r="Z645" s="8"/>
    </row>
    <row r="646" spans="1:26" ht="12.75">
      <c r="A646" s="299"/>
      <c r="B646" s="300"/>
      <c r="C646" s="299"/>
      <c r="D646" s="299"/>
      <c r="E646" s="299"/>
      <c r="F646" s="299"/>
      <c r="G646" s="299"/>
      <c r="H646" s="1348"/>
      <c r="I646" s="299"/>
      <c r="J646" s="299"/>
      <c r="K646" s="299"/>
      <c r="L646" s="1336"/>
      <c r="M646" s="299"/>
      <c r="N646" s="299"/>
      <c r="O646" s="299"/>
      <c r="P646" s="299"/>
      <c r="Q646" s="299"/>
      <c r="R646" s="299"/>
      <c r="S646" s="299"/>
      <c r="T646" s="299"/>
      <c r="U646" s="299"/>
      <c r="V646" s="299"/>
      <c r="W646" s="8"/>
      <c r="X646" s="8"/>
      <c r="Y646" s="8"/>
      <c r="Z646" s="8"/>
    </row>
    <row r="647" spans="1:26" ht="12.75">
      <c r="A647" s="299"/>
      <c r="B647" s="300"/>
      <c r="C647" s="299"/>
      <c r="D647" s="299"/>
      <c r="E647" s="299"/>
      <c r="F647" s="299"/>
      <c r="G647" s="299"/>
      <c r="H647" s="1348"/>
      <c r="I647" s="299"/>
      <c r="J647" s="299"/>
      <c r="K647" s="299"/>
      <c r="L647" s="1336"/>
      <c r="M647" s="299"/>
      <c r="N647" s="299"/>
      <c r="O647" s="299"/>
      <c r="P647" s="299"/>
      <c r="Q647" s="299"/>
      <c r="R647" s="299"/>
      <c r="S647" s="299"/>
      <c r="T647" s="299"/>
      <c r="U647" s="299"/>
      <c r="V647" s="299"/>
      <c r="W647" s="8"/>
      <c r="X647" s="8"/>
      <c r="Y647" s="8"/>
      <c r="Z647" s="8"/>
    </row>
    <row r="648" spans="1:26" ht="12.75">
      <c r="A648" s="299"/>
      <c r="B648" s="300"/>
      <c r="C648" s="299"/>
      <c r="D648" s="299"/>
      <c r="E648" s="299"/>
      <c r="F648" s="299"/>
      <c r="G648" s="299"/>
      <c r="H648" s="1348"/>
      <c r="I648" s="299"/>
      <c r="J648" s="299"/>
      <c r="K648" s="299"/>
      <c r="L648" s="1336"/>
      <c r="M648" s="299"/>
      <c r="N648" s="299"/>
      <c r="O648" s="299"/>
      <c r="P648" s="299"/>
      <c r="Q648" s="299"/>
      <c r="R648" s="299"/>
      <c r="S648" s="299"/>
      <c r="T648" s="299"/>
      <c r="U648" s="299"/>
      <c r="V648" s="299"/>
      <c r="W648" s="8"/>
      <c r="X648" s="8"/>
      <c r="Y648" s="8"/>
      <c r="Z648" s="8"/>
    </row>
    <row r="649" spans="1:26" ht="12.75">
      <c r="A649" s="299"/>
      <c r="B649" s="300"/>
      <c r="C649" s="299"/>
      <c r="D649" s="299"/>
      <c r="E649" s="299"/>
      <c r="F649" s="299"/>
      <c r="G649" s="299"/>
      <c r="H649" s="1348"/>
      <c r="I649" s="299"/>
      <c r="J649" s="299"/>
      <c r="K649" s="299"/>
      <c r="L649" s="1336"/>
      <c r="M649" s="299"/>
      <c r="N649" s="299"/>
      <c r="O649" s="299"/>
      <c r="P649" s="299"/>
      <c r="Q649" s="299"/>
      <c r="R649" s="299"/>
      <c r="S649" s="299"/>
      <c r="T649" s="299"/>
      <c r="U649" s="299"/>
      <c r="V649" s="299"/>
      <c r="W649" s="8"/>
      <c r="X649" s="8"/>
      <c r="Y649" s="8"/>
      <c r="Z649" s="8"/>
    </row>
    <row r="650" spans="1:26" ht="12.75">
      <c r="A650" s="299"/>
      <c r="B650" s="300"/>
      <c r="C650" s="299"/>
      <c r="D650" s="299"/>
      <c r="E650" s="299"/>
      <c r="F650" s="299"/>
      <c r="G650" s="299"/>
      <c r="H650" s="1348"/>
      <c r="I650" s="299"/>
      <c r="J650" s="299"/>
      <c r="K650" s="299"/>
      <c r="L650" s="1336"/>
      <c r="M650" s="299"/>
      <c r="N650" s="299"/>
      <c r="O650" s="299"/>
      <c r="P650" s="299"/>
      <c r="Q650" s="299"/>
      <c r="R650" s="299"/>
      <c r="S650" s="299"/>
      <c r="T650" s="299"/>
      <c r="U650" s="299"/>
      <c r="V650" s="299"/>
      <c r="W650" s="8"/>
      <c r="X650" s="8"/>
      <c r="Y650" s="8"/>
      <c r="Z650" s="8"/>
    </row>
    <row r="651" spans="1:26" ht="12.75">
      <c r="A651" s="299"/>
      <c r="B651" s="300"/>
      <c r="C651" s="299"/>
      <c r="D651" s="299"/>
      <c r="E651" s="299"/>
      <c r="F651" s="299"/>
      <c r="G651" s="299"/>
      <c r="H651" s="1348"/>
      <c r="I651" s="299"/>
      <c r="J651" s="299"/>
      <c r="K651" s="299"/>
      <c r="L651" s="1336"/>
      <c r="M651" s="299"/>
      <c r="N651" s="299"/>
      <c r="O651" s="299"/>
      <c r="P651" s="299"/>
      <c r="Q651" s="299"/>
      <c r="R651" s="299"/>
      <c r="S651" s="299"/>
      <c r="T651" s="299"/>
      <c r="U651" s="299"/>
      <c r="V651" s="299"/>
      <c r="W651" s="8"/>
      <c r="X651" s="8"/>
      <c r="Y651" s="8"/>
      <c r="Z651" s="8"/>
    </row>
    <row r="652" spans="1:26" ht="12.75">
      <c r="A652" s="299"/>
      <c r="B652" s="300"/>
      <c r="C652" s="299"/>
      <c r="D652" s="299"/>
      <c r="E652" s="299"/>
      <c r="F652" s="299"/>
      <c r="G652" s="299"/>
      <c r="H652" s="1348"/>
      <c r="I652" s="299"/>
      <c r="J652" s="299"/>
      <c r="K652" s="299"/>
      <c r="L652" s="1336"/>
      <c r="M652" s="299"/>
      <c r="N652" s="299"/>
      <c r="O652" s="299"/>
      <c r="P652" s="299"/>
      <c r="Q652" s="299"/>
      <c r="R652" s="299"/>
      <c r="S652" s="299"/>
      <c r="T652" s="299"/>
      <c r="U652" s="299"/>
      <c r="V652" s="299"/>
      <c r="W652" s="8"/>
      <c r="X652" s="8"/>
      <c r="Y652" s="8"/>
      <c r="Z652" s="8"/>
    </row>
    <row r="653" spans="1:26" ht="12.75">
      <c r="A653" s="299"/>
      <c r="B653" s="300"/>
      <c r="C653" s="299"/>
      <c r="D653" s="299"/>
      <c r="E653" s="299"/>
      <c r="F653" s="299"/>
      <c r="G653" s="299"/>
      <c r="H653" s="1348"/>
      <c r="I653" s="299"/>
      <c r="J653" s="299"/>
      <c r="K653" s="299"/>
      <c r="L653" s="1336"/>
      <c r="M653" s="299"/>
      <c r="N653" s="299"/>
      <c r="O653" s="299"/>
      <c r="P653" s="299"/>
      <c r="Q653" s="299"/>
      <c r="R653" s="299"/>
      <c r="S653" s="299"/>
      <c r="T653" s="299"/>
      <c r="U653" s="299"/>
      <c r="V653" s="299"/>
      <c r="W653" s="8"/>
      <c r="X653" s="8"/>
      <c r="Y653" s="8"/>
      <c r="Z653" s="8"/>
    </row>
    <row r="654" spans="1:26" ht="12.75">
      <c r="A654" s="299"/>
      <c r="B654" s="300"/>
      <c r="C654" s="299"/>
      <c r="D654" s="299"/>
      <c r="E654" s="299"/>
      <c r="F654" s="299"/>
      <c r="G654" s="299"/>
      <c r="H654" s="1348"/>
      <c r="I654" s="299"/>
      <c r="J654" s="299"/>
      <c r="K654" s="299"/>
      <c r="L654" s="1336"/>
      <c r="M654" s="299"/>
      <c r="N654" s="299"/>
      <c r="O654" s="299"/>
      <c r="P654" s="299"/>
      <c r="Q654" s="299"/>
      <c r="R654" s="299"/>
      <c r="S654" s="299"/>
      <c r="T654" s="299"/>
      <c r="U654" s="299"/>
      <c r="V654" s="299"/>
      <c r="W654" s="8"/>
      <c r="X654" s="8"/>
      <c r="Y654" s="8"/>
      <c r="Z654" s="8"/>
    </row>
    <row r="655" spans="1:26" ht="12.75">
      <c r="A655" s="299"/>
      <c r="B655" s="300"/>
      <c r="C655" s="299"/>
      <c r="D655" s="299"/>
      <c r="E655" s="299"/>
      <c r="F655" s="299"/>
      <c r="G655" s="299"/>
      <c r="H655" s="1348"/>
      <c r="I655" s="299"/>
      <c r="J655" s="299"/>
      <c r="K655" s="299"/>
      <c r="L655" s="1336"/>
      <c r="M655" s="299"/>
      <c r="N655" s="299"/>
      <c r="O655" s="299"/>
      <c r="P655" s="299"/>
      <c r="Q655" s="299"/>
      <c r="R655" s="299"/>
      <c r="S655" s="299"/>
      <c r="T655" s="299"/>
      <c r="U655" s="299"/>
      <c r="V655" s="299"/>
      <c r="W655" s="8"/>
      <c r="X655" s="8"/>
      <c r="Y655" s="8"/>
      <c r="Z655" s="8"/>
    </row>
    <row r="656" spans="1:26" ht="12.75">
      <c r="A656" s="299"/>
      <c r="B656" s="300"/>
      <c r="C656" s="299"/>
      <c r="D656" s="299"/>
      <c r="E656" s="299"/>
      <c r="F656" s="299"/>
      <c r="G656" s="299"/>
      <c r="H656" s="1348"/>
      <c r="I656" s="299"/>
      <c r="J656" s="299"/>
      <c r="K656" s="299"/>
      <c r="L656" s="1336"/>
      <c r="M656" s="299"/>
      <c r="N656" s="299"/>
      <c r="O656" s="299"/>
      <c r="P656" s="299"/>
      <c r="Q656" s="299"/>
      <c r="R656" s="299"/>
      <c r="S656" s="299"/>
      <c r="T656" s="299"/>
      <c r="U656" s="299"/>
      <c r="V656" s="299"/>
      <c r="W656" s="8"/>
      <c r="X656" s="8"/>
      <c r="Y656" s="8"/>
      <c r="Z656" s="8"/>
    </row>
    <row r="657" spans="1:26" ht="12.75">
      <c r="A657" s="299"/>
      <c r="B657" s="300"/>
      <c r="C657" s="299"/>
      <c r="D657" s="299"/>
      <c r="E657" s="299"/>
      <c r="F657" s="299"/>
      <c r="G657" s="299"/>
      <c r="H657" s="1348"/>
      <c r="I657" s="299"/>
      <c r="J657" s="299"/>
      <c r="K657" s="299"/>
      <c r="L657" s="1336"/>
      <c r="M657" s="299"/>
      <c r="N657" s="299"/>
      <c r="O657" s="299"/>
      <c r="P657" s="299"/>
      <c r="Q657" s="299"/>
      <c r="R657" s="299"/>
      <c r="S657" s="299"/>
      <c r="T657" s="299"/>
      <c r="U657" s="299"/>
      <c r="V657" s="299"/>
      <c r="W657" s="8"/>
      <c r="X657" s="8"/>
      <c r="Y657" s="8"/>
      <c r="Z657" s="8"/>
    </row>
    <row r="658" spans="1:26" ht="12.75">
      <c r="A658" s="299"/>
      <c r="B658" s="300"/>
      <c r="C658" s="299"/>
      <c r="D658" s="299"/>
      <c r="E658" s="299"/>
      <c r="F658" s="299"/>
      <c r="G658" s="299"/>
      <c r="H658" s="1348"/>
      <c r="I658" s="299"/>
      <c r="J658" s="299"/>
      <c r="K658" s="299"/>
      <c r="L658" s="1336"/>
      <c r="M658" s="299"/>
      <c r="N658" s="299"/>
      <c r="O658" s="299"/>
      <c r="P658" s="299"/>
      <c r="Q658" s="299"/>
      <c r="R658" s="299"/>
      <c r="S658" s="299"/>
      <c r="T658" s="299"/>
      <c r="U658" s="299"/>
      <c r="V658" s="299"/>
      <c r="W658" s="8"/>
      <c r="X658" s="8"/>
      <c r="Y658" s="8"/>
      <c r="Z658" s="8"/>
    </row>
    <row r="659" spans="1:26" ht="12.75">
      <c r="A659" s="299"/>
      <c r="B659" s="300"/>
      <c r="C659" s="299"/>
      <c r="D659" s="299"/>
      <c r="E659" s="299"/>
      <c r="F659" s="299"/>
      <c r="G659" s="299"/>
      <c r="H659" s="1348"/>
      <c r="I659" s="299"/>
      <c r="J659" s="299"/>
      <c r="K659" s="299"/>
      <c r="L659" s="1336"/>
      <c r="M659" s="299"/>
      <c r="N659" s="299"/>
      <c r="O659" s="299"/>
      <c r="P659" s="299"/>
      <c r="Q659" s="299"/>
      <c r="R659" s="299"/>
      <c r="S659" s="299"/>
      <c r="T659" s="299"/>
      <c r="U659" s="299"/>
      <c r="V659" s="299"/>
      <c r="W659" s="8"/>
      <c r="X659" s="8"/>
      <c r="Y659" s="8"/>
      <c r="Z659" s="8"/>
    </row>
    <row r="660" spans="1:26" ht="12.75">
      <c r="A660" s="299"/>
      <c r="B660" s="300"/>
      <c r="C660" s="299"/>
      <c r="D660" s="299"/>
      <c r="E660" s="299"/>
      <c r="F660" s="299"/>
      <c r="G660" s="299"/>
      <c r="H660" s="1348"/>
      <c r="I660" s="299"/>
      <c r="J660" s="299"/>
      <c r="K660" s="299"/>
      <c r="L660" s="1336"/>
      <c r="M660" s="299"/>
      <c r="N660" s="299"/>
      <c r="O660" s="299"/>
      <c r="P660" s="299"/>
      <c r="Q660" s="299"/>
      <c r="R660" s="299"/>
      <c r="S660" s="299"/>
      <c r="T660" s="299"/>
      <c r="U660" s="299"/>
      <c r="V660" s="299"/>
      <c r="W660" s="8"/>
      <c r="X660" s="8"/>
      <c r="Y660" s="8"/>
      <c r="Z660" s="8"/>
    </row>
    <row r="661" spans="1:26" ht="12.75">
      <c r="A661" s="299"/>
      <c r="B661" s="300"/>
      <c r="C661" s="299"/>
      <c r="D661" s="299"/>
      <c r="E661" s="299"/>
      <c r="F661" s="299"/>
      <c r="G661" s="299"/>
      <c r="H661" s="1348"/>
      <c r="I661" s="299"/>
      <c r="J661" s="299"/>
      <c r="K661" s="299"/>
      <c r="L661" s="1336"/>
      <c r="M661" s="299"/>
      <c r="N661" s="299"/>
      <c r="O661" s="299"/>
      <c r="P661" s="299"/>
      <c r="Q661" s="299"/>
      <c r="R661" s="299"/>
      <c r="S661" s="299"/>
      <c r="T661" s="299"/>
      <c r="U661" s="299"/>
      <c r="V661" s="299"/>
      <c r="W661" s="8"/>
      <c r="X661" s="8"/>
      <c r="Y661" s="8"/>
      <c r="Z661" s="8"/>
    </row>
    <row r="662" spans="1:26" ht="12.75">
      <c r="A662" s="299"/>
      <c r="B662" s="300"/>
      <c r="C662" s="299"/>
      <c r="D662" s="299"/>
      <c r="E662" s="299"/>
      <c r="F662" s="299"/>
      <c r="G662" s="299"/>
      <c r="H662" s="1348"/>
      <c r="I662" s="299"/>
      <c r="J662" s="299"/>
      <c r="K662" s="299"/>
      <c r="L662" s="1336"/>
      <c r="M662" s="299"/>
      <c r="N662" s="299"/>
      <c r="O662" s="299"/>
      <c r="P662" s="299"/>
      <c r="Q662" s="299"/>
      <c r="R662" s="299"/>
      <c r="S662" s="299"/>
      <c r="T662" s="299"/>
      <c r="U662" s="299"/>
      <c r="V662" s="299"/>
      <c r="W662" s="8"/>
      <c r="X662" s="8"/>
      <c r="Y662" s="8"/>
      <c r="Z662" s="8"/>
    </row>
    <row r="663" spans="1:26" ht="12.75">
      <c r="A663" s="299"/>
      <c r="B663" s="300"/>
      <c r="C663" s="299"/>
      <c r="D663" s="299"/>
      <c r="E663" s="299"/>
      <c r="F663" s="299"/>
      <c r="G663" s="299"/>
      <c r="H663" s="1348"/>
      <c r="I663" s="299"/>
      <c r="J663" s="299"/>
      <c r="K663" s="299"/>
      <c r="L663" s="1336"/>
      <c r="M663" s="299"/>
      <c r="N663" s="299"/>
      <c r="O663" s="299"/>
      <c r="P663" s="299"/>
      <c r="Q663" s="299"/>
      <c r="R663" s="299"/>
      <c r="S663" s="299"/>
      <c r="T663" s="299"/>
      <c r="U663" s="299"/>
      <c r="V663" s="299"/>
      <c r="W663" s="8"/>
      <c r="X663" s="8"/>
      <c r="Y663" s="8"/>
      <c r="Z663" s="8"/>
    </row>
    <row r="664" spans="1:26" ht="12.75">
      <c r="A664" s="299"/>
      <c r="B664" s="300"/>
      <c r="C664" s="299"/>
      <c r="D664" s="299"/>
      <c r="E664" s="299"/>
      <c r="F664" s="299"/>
      <c r="G664" s="299"/>
      <c r="H664" s="1348"/>
      <c r="I664" s="299"/>
      <c r="J664" s="299"/>
      <c r="K664" s="299"/>
      <c r="L664" s="1336"/>
      <c r="M664" s="299"/>
      <c r="N664" s="299"/>
      <c r="O664" s="299"/>
      <c r="P664" s="299"/>
      <c r="Q664" s="299"/>
      <c r="R664" s="299"/>
      <c r="S664" s="299"/>
      <c r="T664" s="299"/>
      <c r="U664" s="299"/>
      <c r="V664" s="299"/>
      <c r="W664" s="8"/>
      <c r="X664" s="8"/>
      <c r="Y664" s="8"/>
      <c r="Z664" s="8"/>
    </row>
    <row r="665" spans="1:26" ht="12.75">
      <c r="A665" s="299"/>
      <c r="B665" s="300"/>
      <c r="C665" s="299"/>
      <c r="D665" s="299"/>
      <c r="E665" s="299"/>
      <c r="F665" s="299"/>
      <c r="G665" s="299"/>
      <c r="H665" s="1348"/>
      <c r="I665" s="299"/>
      <c r="J665" s="299"/>
      <c r="K665" s="299"/>
      <c r="L665" s="1336"/>
      <c r="M665" s="299"/>
      <c r="N665" s="299"/>
      <c r="O665" s="299"/>
      <c r="P665" s="299"/>
      <c r="Q665" s="299"/>
      <c r="R665" s="299"/>
      <c r="S665" s="299"/>
      <c r="T665" s="299"/>
      <c r="U665" s="299"/>
      <c r="V665" s="299"/>
      <c r="W665" s="8"/>
      <c r="X665" s="8"/>
      <c r="Y665" s="8"/>
      <c r="Z665" s="8"/>
    </row>
    <row r="666" spans="1:26" ht="12.75">
      <c r="A666" s="299"/>
      <c r="B666" s="300"/>
      <c r="C666" s="299"/>
      <c r="D666" s="299"/>
      <c r="E666" s="299"/>
      <c r="F666" s="299"/>
      <c r="G666" s="299"/>
      <c r="H666" s="1348"/>
      <c r="I666" s="299"/>
      <c r="J666" s="299"/>
      <c r="K666" s="299"/>
      <c r="L666" s="1336"/>
      <c r="M666" s="299"/>
      <c r="N666" s="299"/>
      <c r="O666" s="299"/>
      <c r="P666" s="299"/>
      <c r="Q666" s="299"/>
      <c r="R666" s="299"/>
      <c r="S666" s="299"/>
      <c r="T666" s="299"/>
      <c r="U666" s="299"/>
      <c r="V666" s="299"/>
      <c r="W666" s="8"/>
      <c r="X666" s="8"/>
      <c r="Y666" s="8"/>
      <c r="Z666" s="8"/>
    </row>
    <row r="667" spans="1:26" ht="12.75">
      <c r="A667" s="299"/>
      <c r="B667" s="300"/>
      <c r="C667" s="299"/>
      <c r="D667" s="299"/>
      <c r="E667" s="299"/>
      <c r="F667" s="299"/>
      <c r="G667" s="299"/>
      <c r="H667" s="1348"/>
      <c r="I667" s="299"/>
      <c r="J667" s="299"/>
      <c r="K667" s="299"/>
      <c r="L667" s="1336"/>
      <c r="M667" s="299"/>
      <c r="N667" s="299"/>
      <c r="O667" s="299"/>
      <c r="P667" s="299"/>
      <c r="Q667" s="299"/>
      <c r="R667" s="299"/>
      <c r="S667" s="299"/>
      <c r="T667" s="299"/>
      <c r="U667" s="299"/>
      <c r="V667" s="299"/>
      <c r="W667" s="8"/>
      <c r="X667" s="8"/>
      <c r="Y667" s="8"/>
      <c r="Z667" s="8"/>
    </row>
    <row r="668" spans="1:26" ht="12.75">
      <c r="A668" s="299"/>
      <c r="B668" s="300"/>
      <c r="C668" s="299"/>
      <c r="D668" s="299"/>
      <c r="E668" s="299"/>
      <c r="F668" s="299"/>
      <c r="G668" s="299"/>
      <c r="H668" s="1348"/>
      <c r="I668" s="299"/>
      <c r="J668" s="299"/>
      <c r="K668" s="299"/>
      <c r="L668" s="1336"/>
      <c r="M668" s="299"/>
      <c r="N668" s="299"/>
      <c r="O668" s="299"/>
      <c r="P668" s="299"/>
      <c r="Q668" s="299"/>
      <c r="R668" s="299"/>
      <c r="S668" s="299"/>
      <c r="T668" s="299"/>
      <c r="U668" s="299"/>
      <c r="V668" s="299"/>
      <c r="W668" s="8"/>
      <c r="X668" s="8"/>
      <c r="Y668" s="8"/>
      <c r="Z668" s="8"/>
    </row>
    <row r="669" spans="1:26" ht="12.75">
      <c r="A669" s="299"/>
      <c r="B669" s="300"/>
      <c r="C669" s="299"/>
      <c r="D669" s="299"/>
      <c r="E669" s="299"/>
      <c r="F669" s="299"/>
      <c r="G669" s="299"/>
      <c r="H669" s="1348"/>
      <c r="I669" s="299"/>
      <c r="J669" s="299"/>
      <c r="K669" s="299"/>
      <c r="L669" s="1336"/>
      <c r="M669" s="299"/>
      <c r="N669" s="299"/>
      <c r="O669" s="299"/>
      <c r="P669" s="299"/>
      <c r="Q669" s="299"/>
      <c r="R669" s="299"/>
      <c r="S669" s="299"/>
      <c r="T669" s="299"/>
      <c r="U669" s="299"/>
      <c r="V669" s="299"/>
      <c r="W669" s="8"/>
      <c r="X669" s="8"/>
      <c r="Y669" s="8"/>
      <c r="Z669" s="8"/>
    </row>
    <row r="670" spans="1:26" ht="12.75">
      <c r="A670" s="299"/>
      <c r="B670" s="300"/>
      <c r="C670" s="299"/>
      <c r="D670" s="299"/>
      <c r="E670" s="299"/>
      <c r="F670" s="299"/>
      <c r="G670" s="299"/>
      <c r="H670" s="1348"/>
      <c r="I670" s="299"/>
      <c r="J670" s="299"/>
      <c r="K670" s="299"/>
      <c r="L670" s="1336"/>
      <c r="M670" s="299"/>
      <c r="N670" s="299"/>
      <c r="O670" s="299"/>
      <c r="P670" s="299"/>
      <c r="Q670" s="299"/>
      <c r="R670" s="299"/>
      <c r="S670" s="299"/>
      <c r="T670" s="299"/>
      <c r="U670" s="299"/>
      <c r="V670" s="299"/>
      <c r="W670" s="8"/>
      <c r="X670" s="8"/>
      <c r="Y670" s="8"/>
      <c r="Z670" s="8"/>
    </row>
    <row r="671" spans="1:26" ht="12.75">
      <c r="A671" s="299"/>
      <c r="B671" s="300"/>
      <c r="C671" s="299"/>
      <c r="D671" s="299"/>
      <c r="E671" s="299"/>
      <c r="F671" s="299"/>
      <c r="G671" s="299"/>
      <c r="H671" s="1348"/>
      <c r="I671" s="299"/>
      <c r="J671" s="299"/>
      <c r="K671" s="299"/>
      <c r="L671" s="1336"/>
      <c r="M671" s="299"/>
      <c r="N671" s="299"/>
      <c r="O671" s="299"/>
      <c r="P671" s="299"/>
      <c r="Q671" s="299"/>
      <c r="R671" s="299"/>
      <c r="S671" s="299"/>
      <c r="T671" s="299"/>
      <c r="U671" s="299"/>
      <c r="V671" s="299"/>
      <c r="W671" s="8"/>
      <c r="X671" s="8"/>
      <c r="Y671" s="8"/>
      <c r="Z671" s="8"/>
    </row>
    <row r="672" spans="1:26" ht="12.75">
      <c r="A672" s="299"/>
      <c r="B672" s="300"/>
      <c r="C672" s="299"/>
      <c r="D672" s="299"/>
      <c r="E672" s="299"/>
      <c r="F672" s="299"/>
      <c r="G672" s="299"/>
      <c r="H672" s="1348"/>
      <c r="I672" s="299"/>
      <c r="J672" s="299"/>
      <c r="K672" s="299"/>
      <c r="L672" s="1336"/>
      <c r="M672" s="299"/>
      <c r="N672" s="299"/>
      <c r="O672" s="299"/>
      <c r="P672" s="299"/>
      <c r="Q672" s="299"/>
      <c r="R672" s="299"/>
      <c r="S672" s="299"/>
      <c r="T672" s="299"/>
      <c r="U672" s="299"/>
      <c r="V672" s="299"/>
      <c r="W672" s="8"/>
      <c r="X672" s="8"/>
      <c r="Y672" s="8"/>
      <c r="Z672" s="8"/>
    </row>
    <row r="673" spans="1:26" ht="12.75">
      <c r="A673" s="299"/>
      <c r="B673" s="300"/>
      <c r="C673" s="299"/>
      <c r="D673" s="299"/>
      <c r="E673" s="299"/>
      <c r="F673" s="299"/>
      <c r="G673" s="299"/>
      <c r="H673" s="1348"/>
      <c r="I673" s="299"/>
      <c r="J673" s="299"/>
      <c r="K673" s="299"/>
      <c r="L673" s="1336"/>
      <c r="M673" s="299"/>
      <c r="N673" s="299"/>
      <c r="O673" s="299"/>
      <c r="P673" s="299"/>
      <c r="Q673" s="299"/>
      <c r="R673" s="299"/>
      <c r="S673" s="299"/>
      <c r="T673" s="299"/>
      <c r="U673" s="299"/>
      <c r="V673" s="299"/>
      <c r="W673" s="8"/>
      <c r="X673" s="8"/>
      <c r="Y673" s="8"/>
      <c r="Z673" s="8"/>
    </row>
    <row r="674" spans="1:26" ht="12.75">
      <c r="A674" s="299"/>
      <c r="B674" s="300"/>
      <c r="C674" s="299"/>
      <c r="D674" s="299"/>
      <c r="E674" s="299"/>
      <c r="F674" s="299"/>
      <c r="G674" s="299"/>
      <c r="H674" s="1348"/>
      <c r="I674" s="299"/>
      <c r="J674" s="299"/>
      <c r="K674" s="299"/>
      <c r="L674" s="1336"/>
      <c r="M674" s="299"/>
      <c r="N674" s="299"/>
      <c r="O674" s="299"/>
      <c r="P674" s="299"/>
      <c r="Q674" s="299"/>
      <c r="R674" s="299"/>
      <c r="S674" s="299"/>
      <c r="T674" s="299"/>
      <c r="U674" s="299"/>
      <c r="V674" s="299"/>
      <c r="W674" s="8"/>
      <c r="X674" s="8"/>
      <c r="Y674" s="8"/>
      <c r="Z674" s="8"/>
    </row>
    <row r="675" spans="1:26" ht="12.75">
      <c r="A675" s="299"/>
      <c r="B675" s="300"/>
      <c r="C675" s="299"/>
      <c r="D675" s="299"/>
      <c r="E675" s="299"/>
      <c r="F675" s="299"/>
      <c r="G675" s="299"/>
      <c r="H675" s="1348"/>
      <c r="I675" s="299"/>
      <c r="J675" s="299"/>
      <c r="K675" s="299"/>
      <c r="L675" s="1336"/>
      <c r="M675" s="299"/>
      <c r="N675" s="299"/>
      <c r="O675" s="299"/>
      <c r="P675" s="299"/>
      <c r="Q675" s="299"/>
      <c r="R675" s="299"/>
      <c r="S675" s="299"/>
      <c r="T675" s="299"/>
      <c r="U675" s="299"/>
      <c r="V675" s="299"/>
      <c r="W675" s="8"/>
      <c r="X675" s="8"/>
      <c r="Y675" s="8"/>
      <c r="Z675" s="8"/>
    </row>
    <row r="676" spans="1:26" ht="12.75">
      <c r="A676" s="299"/>
      <c r="B676" s="300"/>
      <c r="C676" s="299"/>
      <c r="D676" s="299"/>
      <c r="E676" s="299"/>
      <c r="F676" s="299"/>
      <c r="G676" s="299"/>
      <c r="H676" s="1348"/>
      <c r="I676" s="299"/>
      <c r="J676" s="299"/>
      <c r="K676" s="299"/>
      <c r="L676" s="1336"/>
      <c r="M676" s="299"/>
      <c r="N676" s="299"/>
      <c r="O676" s="299"/>
      <c r="P676" s="299"/>
      <c r="Q676" s="299"/>
      <c r="R676" s="299"/>
      <c r="S676" s="299"/>
      <c r="T676" s="299"/>
      <c r="U676" s="299"/>
      <c r="V676" s="299"/>
      <c r="W676" s="8"/>
      <c r="X676" s="8"/>
      <c r="Y676" s="8"/>
      <c r="Z676" s="8"/>
    </row>
    <row r="677" spans="1:26" ht="12.75">
      <c r="A677" s="299"/>
      <c r="B677" s="300"/>
      <c r="C677" s="299"/>
      <c r="D677" s="299"/>
      <c r="E677" s="299"/>
      <c r="F677" s="299"/>
      <c r="G677" s="299"/>
      <c r="H677" s="1348"/>
      <c r="I677" s="299"/>
      <c r="J677" s="299"/>
      <c r="K677" s="299"/>
      <c r="L677" s="1336"/>
      <c r="M677" s="299"/>
      <c r="N677" s="299"/>
      <c r="O677" s="299"/>
      <c r="P677" s="299"/>
      <c r="Q677" s="299"/>
      <c r="R677" s="299"/>
      <c r="S677" s="299"/>
      <c r="T677" s="299"/>
      <c r="U677" s="299"/>
      <c r="V677" s="299"/>
      <c r="W677" s="8"/>
      <c r="X677" s="8"/>
      <c r="Y677" s="8"/>
      <c r="Z677" s="8"/>
    </row>
    <row r="678" spans="1:26" ht="12.75">
      <c r="A678" s="299"/>
      <c r="B678" s="300"/>
      <c r="C678" s="299"/>
      <c r="D678" s="299"/>
      <c r="E678" s="299"/>
      <c r="F678" s="299"/>
      <c r="G678" s="299"/>
      <c r="H678" s="1348"/>
      <c r="I678" s="299"/>
      <c r="J678" s="299"/>
      <c r="K678" s="299"/>
      <c r="L678" s="1336"/>
      <c r="M678" s="299"/>
      <c r="N678" s="299"/>
      <c r="O678" s="299"/>
      <c r="P678" s="299"/>
      <c r="Q678" s="299"/>
      <c r="R678" s="299"/>
      <c r="S678" s="299"/>
      <c r="T678" s="299"/>
      <c r="U678" s="299"/>
      <c r="V678" s="299"/>
      <c r="W678" s="8"/>
      <c r="X678" s="8"/>
      <c r="Y678" s="8"/>
      <c r="Z678" s="8"/>
    </row>
    <row r="679" spans="1:26" ht="12.75">
      <c r="A679" s="299"/>
      <c r="B679" s="300"/>
      <c r="C679" s="299"/>
      <c r="D679" s="299"/>
      <c r="E679" s="299"/>
      <c r="F679" s="299"/>
      <c r="G679" s="299"/>
      <c r="H679" s="1348"/>
      <c r="I679" s="299"/>
      <c r="J679" s="299"/>
      <c r="K679" s="299"/>
      <c r="L679" s="1336"/>
      <c r="M679" s="299"/>
      <c r="N679" s="299"/>
      <c r="O679" s="299"/>
      <c r="P679" s="299"/>
      <c r="Q679" s="299"/>
      <c r="R679" s="299"/>
      <c r="S679" s="299"/>
      <c r="T679" s="299"/>
      <c r="U679" s="299"/>
      <c r="V679" s="299"/>
      <c r="W679" s="8"/>
      <c r="X679" s="8"/>
      <c r="Y679" s="8"/>
      <c r="Z679" s="8"/>
    </row>
    <row r="680" spans="1:26" ht="12.75">
      <c r="A680" s="299"/>
      <c r="B680" s="300"/>
      <c r="C680" s="299"/>
      <c r="D680" s="299"/>
      <c r="E680" s="299"/>
      <c r="F680" s="299"/>
      <c r="G680" s="299"/>
      <c r="H680" s="1348"/>
      <c r="I680" s="299"/>
      <c r="J680" s="299"/>
      <c r="K680" s="299"/>
      <c r="L680" s="1336"/>
      <c r="M680" s="299"/>
      <c r="N680" s="299"/>
      <c r="O680" s="299"/>
      <c r="P680" s="299"/>
      <c r="Q680" s="299"/>
      <c r="R680" s="299"/>
      <c r="S680" s="299"/>
      <c r="T680" s="299"/>
      <c r="U680" s="299"/>
      <c r="V680" s="299"/>
      <c r="W680" s="8"/>
      <c r="X680" s="8"/>
      <c r="Y680" s="8"/>
      <c r="Z680" s="8"/>
    </row>
    <row r="681" spans="1:26" ht="12.75">
      <c r="A681" s="299"/>
      <c r="B681" s="300"/>
      <c r="C681" s="299"/>
      <c r="D681" s="299"/>
      <c r="E681" s="299"/>
      <c r="F681" s="299"/>
      <c r="G681" s="299"/>
      <c r="H681" s="1348"/>
      <c r="I681" s="299"/>
      <c r="J681" s="299"/>
      <c r="K681" s="299"/>
      <c r="L681" s="1336"/>
      <c r="M681" s="299"/>
      <c r="N681" s="299"/>
      <c r="O681" s="299"/>
      <c r="P681" s="299"/>
      <c r="Q681" s="299"/>
      <c r="R681" s="299"/>
      <c r="S681" s="299"/>
      <c r="T681" s="299"/>
      <c r="U681" s="299"/>
      <c r="V681" s="299"/>
      <c r="W681" s="8"/>
      <c r="X681" s="8"/>
      <c r="Y681" s="8"/>
      <c r="Z681" s="8"/>
    </row>
    <row r="682" spans="1:26" ht="12.75">
      <c r="A682" s="299"/>
      <c r="B682" s="300"/>
      <c r="C682" s="299"/>
      <c r="D682" s="299"/>
      <c r="E682" s="299"/>
      <c r="F682" s="299"/>
      <c r="G682" s="299"/>
      <c r="H682" s="1348"/>
      <c r="I682" s="299"/>
      <c r="J682" s="299"/>
      <c r="K682" s="299"/>
      <c r="L682" s="1336"/>
      <c r="M682" s="299"/>
      <c r="N682" s="299"/>
      <c r="O682" s="299"/>
      <c r="P682" s="299"/>
      <c r="Q682" s="299"/>
      <c r="R682" s="299"/>
      <c r="S682" s="299"/>
      <c r="T682" s="299"/>
      <c r="U682" s="299"/>
      <c r="V682" s="299"/>
      <c r="W682" s="8"/>
      <c r="X682" s="8"/>
      <c r="Y682" s="8"/>
      <c r="Z682" s="8"/>
    </row>
    <row r="683" spans="1:26" ht="12.75">
      <c r="A683" s="299"/>
      <c r="B683" s="300"/>
      <c r="C683" s="299"/>
      <c r="D683" s="299"/>
      <c r="E683" s="299"/>
      <c r="F683" s="299"/>
      <c r="G683" s="299"/>
      <c r="H683" s="1348"/>
      <c r="I683" s="299"/>
      <c r="J683" s="299"/>
      <c r="K683" s="299"/>
      <c r="L683" s="1336"/>
      <c r="M683" s="299"/>
      <c r="N683" s="299"/>
      <c r="O683" s="299"/>
      <c r="P683" s="299"/>
      <c r="Q683" s="299"/>
      <c r="R683" s="299"/>
      <c r="S683" s="299"/>
      <c r="T683" s="299"/>
      <c r="U683" s="299"/>
      <c r="V683" s="299"/>
      <c r="W683" s="8"/>
      <c r="X683" s="8"/>
      <c r="Y683" s="8"/>
      <c r="Z683" s="8"/>
    </row>
    <row r="684" spans="1:26" ht="12.75">
      <c r="A684" s="299"/>
      <c r="B684" s="300"/>
      <c r="C684" s="299"/>
      <c r="D684" s="299"/>
      <c r="E684" s="299"/>
      <c r="F684" s="299"/>
      <c r="G684" s="299"/>
      <c r="H684" s="1348"/>
      <c r="I684" s="299"/>
      <c r="J684" s="299"/>
      <c r="K684" s="299"/>
      <c r="L684" s="1336"/>
      <c r="M684" s="299"/>
      <c r="N684" s="299"/>
      <c r="O684" s="299"/>
      <c r="P684" s="299"/>
      <c r="Q684" s="299"/>
      <c r="R684" s="299"/>
      <c r="S684" s="299"/>
      <c r="T684" s="299"/>
      <c r="U684" s="299"/>
      <c r="V684" s="299"/>
      <c r="W684" s="8"/>
      <c r="X684" s="8"/>
      <c r="Y684" s="8"/>
      <c r="Z684" s="8"/>
    </row>
    <row r="685" spans="1:26" ht="12.75">
      <c r="A685" s="299"/>
      <c r="B685" s="300"/>
      <c r="C685" s="299"/>
      <c r="D685" s="299"/>
      <c r="E685" s="299"/>
      <c r="F685" s="299"/>
      <c r="G685" s="299"/>
      <c r="H685" s="1348"/>
      <c r="I685" s="299"/>
      <c r="J685" s="299"/>
      <c r="K685" s="299"/>
      <c r="L685" s="1336"/>
      <c r="M685" s="299"/>
      <c r="N685" s="299"/>
      <c r="O685" s="299"/>
      <c r="P685" s="299"/>
      <c r="Q685" s="299"/>
      <c r="R685" s="299"/>
      <c r="S685" s="299"/>
      <c r="T685" s="299"/>
      <c r="U685" s="299"/>
      <c r="V685" s="299"/>
      <c r="W685" s="8"/>
      <c r="X685" s="8"/>
      <c r="Y685" s="8"/>
      <c r="Z685" s="8"/>
    </row>
    <row r="686" spans="1:26" ht="12.75">
      <c r="A686" s="299"/>
      <c r="B686" s="300"/>
      <c r="C686" s="299"/>
      <c r="D686" s="299"/>
      <c r="E686" s="299"/>
      <c r="F686" s="299"/>
      <c r="G686" s="299"/>
      <c r="H686" s="1348"/>
      <c r="I686" s="299"/>
      <c r="J686" s="299"/>
      <c r="K686" s="299"/>
      <c r="L686" s="1336"/>
      <c r="M686" s="299"/>
      <c r="N686" s="299"/>
      <c r="O686" s="299"/>
      <c r="P686" s="299"/>
      <c r="Q686" s="299"/>
      <c r="R686" s="299"/>
      <c r="S686" s="299"/>
      <c r="T686" s="299"/>
      <c r="U686" s="299"/>
      <c r="V686" s="299"/>
      <c r="W686" s="8"/>
      <c r="X686" s="8"/>
      <c r="Y686" s="8"/>
      <c r="Z686" s="8"/>
    </row>
    <row r="687" spans="1:26" ht="12.75">
      <c r="A687" s="299"/>
      <c r="B687" s="300"/>
      <c r="C687" s="299"/>
      <c r="D687" s="299"/>
      <c r="E687" s="299"/>
      <c r="F687" s="299"/>
      <c r="G687" s="299"/>
      <c r="H687" s="1348"/>
      <c r="I687" s="299"/>
      <c r="J687" s="299"/>
      <c r="K687" s="299"/>
      <c r="L687" s="1336"/>
      <c r="M687" s="299"/>
      <c r="N687" s="299"/>
      <c r="O687" s="299"/>
      <c r="P687" s="299"/>
      <c r="Q687" s="299"/>
      <c r="R687" s="299"/>
      <c r="S687" s="299"/>
      <c r="T687" s="299"/>
      <c r="U687" s="299"/>
      <c r="V687" s="299"/>
      <c r="W687" s="8"/>
      <c r="X687" s="8"/>
      <c r="Y687" s="8"/>
      <c r="Z687" s="8"/>
    </row>
    <row r="688" spans="1:26" ht="12.75">
      <c r="A688" s="299"/>
      <c r="B688" s="300"/>
      <c r="C688" s="299"/>
      <c r="D688" s="299"/>
      <c r="E688" s="299"/>
      <c r="F688" s="299"/>
      <c r="G688" s="299"/>
      <c r="H688" s="1348"/>
      <c r="I688" s="299"/>
      <c r="J688" s="299"/>
      <c r="K688" s="299"/>
      <c r="L688" s="1336"/>
      <c r="M688" s="299"/>
      <c r="N688" s="299"/>
      <c r="O688" s="299"/>
      <c r="P688" s="299"/>
      <c r="Q688" s="299"/>
      <c r="R688" s="299"/>
      <c r="S688" s="299"/>
      <c r="T688" s="299"/>
      <c r="U688" s="299"/>
      <c r="V688" s="299"/>
      <c r="W688" s="8"/>
      <c r="X688" s="8"/>
      <c r="Y688" s="8"/>
      <c r="Z688" s="8"/>
    </row>
    <row r="689" spans="1:26" ht="12.75">
      <c r="A689" s="299"/>
      <c r="B689" s="300"/>
      <c r="C689" s="299"/>
      <c r="D689" s="299"/>
      <c r="E689" s="299"/>
      <c r="F689" s="299"/>
      <c r="G689" s="299"/>
      <c r="H689" s="1348"/>
      <c r="I689" s="299"/>
      <c r="J689" s="299"/>
      <c r="K689" s="299"/>
      <c r="L689" s="1336"/>
      <c r="M689" s="299"/>
      <c r="N689" s="299"/>
      <c r="O689" s="299"/>
      <c r="P689" s="299"/>
      <c r="Q689" s="299"/>
      <c r="R689" s="299"/>
      <c r="S689" s="299"/>
      <c r="T689" s="299"/>
      <c r="U689" s="299"/>
      <c r="V689" s="299"/>
      <c r="W689" s="8"/>
      <c r="X689" s="8"/>
      <c r="Y689" s="8"/>
      <c r="Z689" s="8"/>
    </row>
    <row r="690" spans="1:26" ht="12.75">
      <c r="A690" s="299"/>
      <c r="B690" s="300"/>
      <c r="C690" s="299"/>
      <c r="D690" s="299"/>
      <c r="E690" s="299"/>
      <c r="F690" s="299"/>
      <c r="G690" s="299"/>
      <c r="H690" s="1348"/>
      <c r="I690" s="299"/>
      <c r="J690" s="299"/>
      <c r="K690" s="299"/>
      <c r="L690" s="1336"/>
      <c r="M690" s="299"/>
      <c r="N690" s="299"/>
      <c r="O690" s="299"/>
      <c r="P690" s="299"/>
      <c r="Q690" s="299"/>
      <c r="R690" s="299"/>
      <c r="S690" s="299"/>
      <c r="T690" s="299"/>
      <c r="U690" s="299"/>
      <c r="V690" s="299"/>
      <c r="W690" s="8"/>
      <c r="X690" s="8"/>
      <c r="Y690" s="8"/>
      <c r="Z690" s="8"/>
    </row>
    <row r="691" spans="1:26" ht="12.75">
      <c r="A691" s="299"/>
      <c r="B691" s="300"/>
      <c r="C691" s="299"/>
      <c r="D691" s="299"/>
      <c r="E691" s="299"/>
      <c r="F691" s="299"/>
      <c r="G691" s="299"/>
      <c r="H691" s="1348"/>
      <c r="I691" s="299"/>
      <c r="J691" s="299"/>
      <c r="K691" s="299"/>
      <c r="L691" s="1336"/>
      <c r="M691" s="299"/>
      <c r="N691" s="299"/>
      <c r="O691" s="299"/>
      <c r="P691" s="299"/>
      <c r="Q691" s="299"/>
      <c r="R691" s="299"/>
      <c r="S691" s="299"/>
      <c r="T691" s="299"/>
      <c r="U691" s="299"/>
      <c r="V691" s="299"/>
      <c r="W691" s="8"/>
      <c r="X691" s="8"/>
      <c r="Y691" s="8"/>
      <c r="Z691" s="8"/>
    </row>
    <row r="692" spans="1:26" ht="12.75">
      <c r="A692" s="299"/>
      <c r="B692" s="300"/>
      <c r="C692" s="299"/>
      <c r="D692" s="299"/>
      <c r="E692" s="299"/>
      <c r="F692" s="299"/>
      <c r="G692" s="299"/>
      <c r="H692" s="1348"/>
      <c r="I692" s="299"/>
      <c r="J692" s="299"/>
      <c r="K692" s="299"/>
      <c r="L692" s="1336"/>
      <c r="M692" s="299"/>
      <c r="N692" s="299"/>
      <c r="O692" s="299"/>
      <c r="P692" s="299"/>
      <c r="Q692" s="299"/>
      <c r="R692" s="299"/>
      <c r="S692" s="299"/>
      <c r="T692" s="299"/>
      <c r="U692" s="299"/>
      <c r="V692" s="299"/>
      <c r="W692" s="8"/>
      <c r="X692" s="8"/>
      <c r="Y692" s="8"/>
      <c r="Z692" s="8"/>
    </row>
    <row r="693" spans="1:26" ht="12.75">
      <c r="A693" s="299"/>
      <c r="B693" s="300"/>
      <c r="C693" s="299"/>
      <c r="D693" s="299"/>
      <c r="E693" s="299"/>
      <c r="F693" s="299"/>
      <c r="G693" s="299"/>
      <c r="H693" s="1348"/>
      <c r="I693" s="299"/>
      <c r="J693" s="299"/>
      <c r="K693" s="299"/>
      <c r="L693" s="1336"/>
      <c r="M693" s="299"/>
      <c r="N693" s="299"/>
      <c r="O693" s="299"/>
      <c r="P693" s="299"/>
      <c r="Q693" s="299"/>
      <c r="R693" s="299"/>
      <c r="S693" s="299"/>
      <c r="T693" s="299"/>
      <c r="U693" s="299"/>
      <c r="V693" s="299"/>
      <c r="W693" s="8"/>
      <c r="X693" s="8"/>
      <c r="Y693" s="8"/>
      <c r="Z693" s="8"/>
    </row>
    <row r="694" spans="1:26" ht="12.75">
      <c r="A694" s="299"/>
      <c r="B694" s="300"/>
      <c r="C694" s="299"/>
      <c r="D694" s="299"/>
      <c r="E694" s="299"/>
      <c r="F694" s="299"/>
      <c r="G694" s="299"/>
      <c r="H694" s="1348"/>
      <c r="I694" s="299"/>
      <c r="J694" s="299"/>
      <c r="K694" s="299"/>
      <c r="L694" s="1336"/>
      <c r="M694" s="299"/>
      <c r="N694" s="299"/>
      <c r="O694" s="299"/>
      <c r="P694" s="299"/>
      <c r="Q694" s="299"/>
      <c r="R694" s="299"/>
      <c r="S694" s="299"/>
      <c r="T694" s="299"/>
      <c r="U694" s="299"/>
      <c r="V694" s="299"/>
      <c r="W694" s="8"/>
      <c r="X694" s="8"/>
      <c r="Y694" s="8"/>
      <c r="Z694" s="8"/>
    </row>
    <row r="695" spans="1:26" ht="12.75">
      <c r="A695" s="299"/>
      <c r="B695" s="300"/>
      <c r="C695" s="299"/>
      <c r="D695" s="299"/>
      <c r="E695" s="299"/>
      <c r="F695" s="299"/>
      <c r="G695" s="299"/>
      <c r="H695" s="1348"/>
      <c r="I695" s="299"/>
      <c r="J695" s="299"/>
      <c r="K695" s="299"/>
      <c r="L695" s="1336"/>
      <c r="M695" s="299"/>
      <c r="N695" s="299"/>
      <c r="O695" s="299"/>
      <c r="P695" s="299"/>
      <c r="Q695" s="299"/>
      <c r="R695" s="299"/>
      <c r="S695" s="299"/>
      <c r="T695" s="299"/>
      <c r="U695" s="299"/>
      <c r="V695" s="299"/>
      <c r="W695" s="8"/>
      <c r="X695" s="8"/>
      <c r="Y695" s="8"/>
      <c r="Z695" s="8"/>
    </row>
    <row r="696" spans="1:26" ht="12.75">
      <c r="A696" s="299"/>
      <c r="B696" s="300"/>
      <c r="C696" s="299"/>
      <c r="D696" s="299"/>
      <c r="E696" s="299"/>
      <c r="F696" s="299"/>
      <c r="G696" s="299"/>
      <c r="H696" s="1348"/>
      <c r="I696" s="299"/>
      <c r="J696" s="299"/>
      <c r="K696" s="299"/>
      <c r="L696" s="1336"/>
      <c r="M696" s="299"/>
      <c r="N696" s="299"/>
      <c r="O696" s="299"/>
      <c r="P696" s="299"/>
      <c r="Q696" s="299"/>
      <c r="R696" s="299"/>
      <c r="S696" s="299"/>
      <c r="T696" s="299"/>
      <c r="U696" s="299"/>
      <c r="V696" s="299"/>
      <c r="W696" s="8"/>
      <c r="X696" s="8"/>
      <c r="Y696" s="8"/>
      <c r="Z696" s="8"/>
    </row>
    <row r="697" spans="1:26" ht="12.75">
      <c r="A697" s="299"/>
      <c r="B697" s="300"/>
      <c r="C697" s="299"/>
      <c r="D697" s="299"/>
      <c r="E697" s="299"/>
      <c r="F697" s="299"/>
      <c r="G697" s="299"/>
      <c r="H697" s="1348"/>
      <c r="I697" s="299"/>
      <c r="J697" s="299"/>
      <c r="K697" s="299"/>
      <c r="L697" s="1336"/>
      <c r="M697" s="299"/>
      <c r="N697" s="299"/>
      <c r="O697" s="299"/>
      <c r="P697" s="299"/>
      <c r="Q697" s="299"/>
      <c r="R697" s="299"/>
      <c r="S697" s="299"/>
      <c r="T697" s="299"/>
      <c r="U697" s="299"/>
      <c r="V697" s="299"/>
      <c r="W697" s="8"/>
      <c r="X697" s="8"/>
      <c r="Y697" s="8"/>
      <c r="Z697" s="8"/>
    </row>
    <row r="698" spans="1:26" ht="12.75">
      <c r="A698" s="299"/>
      <c r="B698" s="300"/>
      <c r="C698" s="299"/>
      <c r="D698" s="299"/>
      <c r="E698" s="299"/>
      <c r="F698" s="299"/>
      <c r="G698" s="299"/>
      <c r="H698" s="1348"/>
      <c r="I698" s="299"/>
      <c r="J698" s="299"/>
      <c r="K698" s="299"/>
      <c r="L698" s="1336"/>
      <c r="M698" s="299"/>
      <c r="N698" s="299"/>
      <c r="O698" s="299"/>
      <c r="P698" s="299"/>
      <c r="Q698" s="299"/>
      <c r="R698" s="299"/>
      <c r="S698" s="299"/>
      <c r="T698" s="299"/>
      <c r="U698" s="299"/>
      <c r="V698" s="299"/>
      <c r="W698" s="8"/>
      <c r="X698" s="8"/>
      <c r="Y698" s="8"/>
      <c r="Z698" s="8"/>
    </row>
    <row r="699" spans="1:26" ht="12.75">
      <c r="A699" s="299"/>
      <c r="B699" s="300"/>
      <c r="C699" s="299"/>
      <c r="D699" s="299"/>
      <c r="E699" s="299"/>
      <c r="F699" s="299"/>
      <c r="G699" s="299"/>
      <c r="H699" s="1348"/>
      <c r="I699" s="299"/>
      <c r="J699" s="299"/>
      <c r="K699" s="299"/>
      <c r="L699" s="1336"/>
      <c r="M699" s="299"/>
      <c r="N699" s="299"/>
      <c r="O699" s="299"/>
      <c r="P699" s="299"/>
      <c r="Q699" s="299"/>
      <c r="R699" s="299"/>
      <c r="S699" s="299"/>
      <c r="T699" s="299"/>
      <c r="U699" s="299"/>
      <c r="V699" s="299"/>
      <c r="W699" s="8"/>
      <c r="X699" s="8"/>
      <c r="Y699" s="8"/>
      <c r="Z699" s="8"/>
    </row>
    <row r="700" spans="1:26" ht="12.75">
      <c r="A700" s="299"/>
      <c r="B700" s="300"/>
      <c r="C700" s="299"/>
      <c r="D700" s="299"/>
      <c r="E700" s="299"/>
      <c r="F700" s="299"/>
      <c r="G700" s="299"/>
      <c r="H700" s="1348"/>
      <c r="I700" s="299"/>
      <c r="J700" s="299"/>
      <c r="K700" s="299"/>
      <c r="L700" s="1336"/>
      <c r="M700" s="299"/>
      <c r="N700" s="299"/>
      <c r="O700" s="299"/>
      <c r="P700" s="299"/>
      <c r="Q700" s="299"/>
      <c r="R700" s="299"/>
      <c r="S700" s="299"/>
      <c r="T700" s="299"/>
      <c r="U700" s="299"/>
      <c r="V700" s="299"/>
      <c r="W700" s="8"/>
      <c r="X700" s="8"/>
      <c r="Y700" s="8"/>
      <c r="Z700" s="8"/>
    </row>
    <row r="701" spans="1:26" ht="12.75">
      <c r="A701" s="299"/>
      <c r="B701" s="300"/>
      <c r="C701" s="299"/>
      <c r="D701" s="299"/>
      <c r="E701" s="299"/>
      <c r="F701" s="299"/>
      <c r="G701" s="299"/>
      <c r="H701" s="1348"/>
      <c r="I701" s="299"/>
      <c r="J701" s="299"/>
      <c r="K701" s="299"/>
      <c r="L701" s="1336"/>
      <c r="M701" s="299"/>
      <c r="N701" s="299"/>
      <c r="O701" s="299"/>
      <c r="P701" s="299"/>
      <c r="Q701" s="299"/>
      <c r="R701" s="299"/>
      <c r="S701" s="299"/>
      <c r="T701" s="299"/>
      <c r="U701" s="299"/>
      <c r="V701" s="299"/>
      <c r="W701" s="8"/>
      <c r="X701" s="8"/>
      <c r="Y701" s="8"/>
      <c r="Z701" s="8"/>
    </row>
    <row r="702" spans="1:26" ht="12.75">
      <c r="A702" s="299"/>
      <c r="B702" s="300"/>
      <c r="C702" s="299"/>
      <c r="D702" s="299"/>
      <c r="E702" s="299"/>
      <c r="F702" s="299"/>
      <c r="G702" s="299"/>
      <c r="H702" s="1348"/>
      <c r="I702" s="299"/>
      <c r="J702" s="299"/>
      <c r="K702" s="299"/>
      <c r="L702" s="1336"/>
      <c r="M702" s="299"/>
      <c r="N702" s="299"/>
      <c r="O702" s="299"/>
      <c r="P702" s="299"/>
      <c r="Q702" s="299"/>
      <c r="R702" s="299"/>
      <c r="S702" s="299"/>
      <c r="T702" s="299"/>
      <c r="U702" s="299"/>
      <c r="V702" s="299"/>
      <c r="W702" s="8"/>
      <c r="X702" s="8"/>
      <c r="Y702" s="8"/>
      <c r="Z702" s="8"/>
    </row>
    <row r="703" spans="1:26" ht="12.75">
      <c r="A703" s="299"/>
      <c r="B703" s="300"/>
      <c r="C703" s="299"/>
      <c r="D703" s="299"/>
      <c r="E703" s="299"/>
      <c r="F703" s="299"/>
      <c r="G703" s="299"/>
      <c r="H703" s="1348"/>
      <c r="I703" s="299"/>
      <c r="J703" s="299"/>
      <c r="K703" s="299"/>
      <c r="L703" s="1336"/>
      <c r="M703" s="299"/>
      <c r="N703" s="299"/>
      <c r="O703" s="299"/>
      <c r="P703" s="299"/>
      <c r="Q703" s="299"/>
      <c r="R703" s="299"/>
      <c r="S703" s="299"/>
      <c r="T703" s="299"/>
      <c r="U703" s="299"/>
      <c r="V703" s="299"/>
      <c r="W703" s="8"/>
      <c r="X703" s="8"/>
      <c r="Y703" s="8"/>
      <c r="Z703" s="8"/>
    </row>
    <row r="704" spans="1:26" ht="12.75">
      <c r="A704" s="299"/>
      <c r="B704" s="300"/>
      <c r="C704" s="299"/>
      <c r="D704" s="299"/>
      <c r="E704" s="299"/>
      <c r="F704" s="299"/>
      <c r="G704" s="299"/>
      <c r="H704" s="1348"/>
      <c r="I704" s="299"/>
      <c r="J704" s="299"/>
      <c r="K704" s="299"/>
      <c r="L704" s="1336"/>
      <c r="M704" s="299"/>
      <c r="N704" s="299"/>
      <c r="O704" s="299"/>
      <c r="P704" s="299"/>
      <c r="Q704" s="299"/>
      <c r="R704" s="299"/>
      <c r="S704" s="299"/>
      <c r="T704" s="299"/>
      <c r="U704" s="299"/>
      <c r="V704" s="299"/>
      <c r="W704" s="8"/>
      <c r="X704" s="8"/>
      <c r="Y704" s="8"/>
      <c r="Z704" s="8"/>
    </row>
    <row r="705" spans="1:26" ht="12.75">
      <c r="A705" s="299"/>
      <c r="B705" s="300"/>
      <c r="C705" s="299"/>
      <c r="D705" s="299"/>
      <c r="E705" s="299"/>
      <c r="F705" s="299"/>
      <c r="G705" s="299"/>
      <c r="H705" s="1348"/>
      <c r="I705" s="299"/>
      <c r="J705" s="299"/>
      <c r="K705" s="299"/>
      <c r="L705" s="1336"/>
      <c r="M705" s="299"/>
      <c r="N705" s="299"/>
      <c r="O705" s="299"/>
      <c r="P705" s="299"/>
      <c r="Q705" s="299"/>
      <c r="R705" s="299"/>
      <c r="S705" s="299"/>
      <c r="T705" s="299"/>
      <c r="U705" s="299"/>
      <c r="V705" s="299"/>
      <c r="W705" s="8"/>
      <c r="X705" s="8"/>
      <c r="Y705" s="8"/>
      <c r="Z705" s="8"/>
    </row>
    <row r="706" spans="1:26" ht="12.75">
      <c r="A706" s="299"/>
      <c r="B706" s="300"/>
      <c r="C706" s="299"/>
      <c r="D706" s="299"/>
      <c r="E706" s="299"/>
      <c r="F706" s="299"/>
      <c r="G706" s="299"/>
      <c r="H706" s="1348"/>
      <c r="I706" s="299"/>
      <c r="J706" s="299"/>
      <c r="K706" s="299"/>
      <c r="L706" s="1336"/>
      <c r="M706" s="299"/>
      <c r="N706" s="299"/>
      <c r="O706" s="299"/>
      <c r="P706" s="299"/>
      <c r="Q706" s="299"/>
      <c r="R706" s="299"/>
      <c r="S706" s="299"/>
      <c r="T706" s="299"/>
      <c r="U706" s="299"/>
      <c r="V706" s="299"/>
      <c r="W706" s="8"/>
      <c r="X706" s="8"/>
      <c r="Y706" s="8"/>
      <c r="Z706" s="8"/>
    </row>
    <row r="707" spans="1:26" ht="12.75">
      <c r="A707" s="299"/>
      <c r="B707" s="300"/>
      <c r="C707" s="299"/>
      <c r="D707" s="299"/>
      <c r="E707" s="299"/>
      <c r="F707" s="299"/>
      <c r="G707" s="299"/>
      <c r="H707" s="1348"/>
      <c r="I707" s="299"/>
      <c r="J707" s="299"/>
      <c r="K707" s="299"/>
      <c r="L707" s="1336"/>
      <c r="M707" s="299"/>
      <c r="N707" s="299"/>
      <c r="O707" s="299"/>
      <c r="P707" s="299"/>
      <c r="Q707" s="299"/>
      <c r="R707" s="299"/>
      <c r="S707" s="299"/>
      <c r="T707" s="299"/>
      <c r="U707" s="299"/>
      <c r="V707" s="299"/>
      <c r="W707" s="8"/>
      <c r="X707" s="8"/>
      <c r="Y707" s="8"/>
      <c r="Z707" s="8"/>
    </row>
    <row r="708" spans="1:26" ht="12.75">
      <c r="A708" s="299"/>
      <c r="B708" s="300"/>
      <c r="C708" s="299"/>
      <c r="D708" s="299"/>
      <c r="E708" s="299"/>
      <c r="F708" s="299"/>
      <c r="G708" s="299"/>
      <c r="H708" s="1348"/>
      <c r="I708" s="299"/>
      <c r="J708" s="299"/>
      <c r="K708" s="299"/>
      <c r="L708" s="1336"/>
      <c r="M708" s="299"/>
      <c r="N708" s="299"/>
      <c r="O708" s="299"/>
      <c r="P708" s="299"/>
      <c r="Q708" s="299"/>
      <c r="R708" s="299"/>
      <c r="S708" s="299"/>
      <c r="T708" s="299"/>
      <c r="U708" s="299"/>
      <c r="V708" s="299"/>
      <c r="W708" s="8"/>
      <c r="X708" s="8"/>
      <c r="Y708" s="8"/>
      <c r="Z708" s="8"/>
    </row>
    <row r="709" spans="1:26" ht="12.75">
      <c r="A709" s="299"/>
      <c r="B709" s="300"/>
      <c r="C709" s="299"/>
      <c r="D709" s="299"/>
      <c r="E709" s="299"/>
      <c r="F709" s="299"/>
      <c r="G709" s="299"/>
      <c r="H709" s="1348"/>
      <c r="I709" s="299"/>
      <c r="J709" s="299"/>
      <c r="K709" s="299"/>
      <c r="L709" s="1336"/>
      <c r="M709" s="299"/>
      <c r="N709" s="299"/>
      <c r="O709" s="299"/>
      <c r="P709" s="299"/>
      <c r="Q709" s="299"/>
      <c r="R709" s="299"/>
      <c r="S709" s="299"/>
      <c r="T709" s="299"/>
      <c r="U709" s="299"/>
      <c r="V709" s="299"/>
      <c r="W709" s="8"/>
      <c r="X709" s="8"/>
      <c r="Y709" s="8"/>
      <c r="Z709" s="8"/>
    </row>
    <row r="710" spans="1:26" ht="12.75">
      <c r="A710" s="299"/>
      <c r="B710" s="300"/>
      <c r="C710" s="299"/>
      <c r="D710" s="299"/>
      <c r="E710" s="299"/>
      <c r="F710" s="299"/>
      <c r="G710" s="299"/>
      <c r="H710" s="1348"/>
      <c r="I710" s="299"/>
      <c r="J710" s="299"/>
      <c r="K710" s="299"/>
      <c r="L710" s="1336"/>
      <c r="M710" s="299"/>
      <c r="N710" s="299"/>
      <c r="O710" s="299"/>
      <c r="P710" s="299"/>
      <c r="Q710" s="299"/>
      <c r="R710" s="299"/>
      <c r="S710" s="299"/>
      <c r="T710" s="299"/>
      <c r="U710" s="299"/>
      <c r="V710" s="299"/>
      <c r="W710" s="8"/>
      <c r="X710" s="8"/>
      <c r="Y710" s="8"/>
      <c r="Z710" s="8"/>
    </row>
    <row r="711" spans="1:26" ht="12.75">
      <c r="A711" s="299"/>
      <c r="B711" s="300"/>
      <c r="C711" s="299"/>
      <c r="D711" s="299"/>
      <c r="E711" s="299"/>
      <c r="F711" s="299"/>
      <c r="G711" s="299"/>
      <c r="H711" s="1348"/>
      <c r="I711" s="299"/>
      <c r="J711" s="299"/>
      <c r="K711" s="299"/>
      <c r="L711" s="1336"/>
      <c r="M711" s="299"/>
      <c r="N711" s="299"/>
      <c r="O711" s="299"/>
      <c r="P711" s="299"/>
      <c r="Q711" s="299"/>
      <c r="R711" s="299"/>
      <c r="S711" s="299"/>
      <c r="T711" s="299"/>
      <c r="U711" s="299"/>
      <c r="V711" s="299"/>
      <c r="W711" s="8"/>
      <c r="X711" s="8"/>
      <c r="Y711" s="8"/>
      <c r="Z711" s="8"/>
    </row>
    <row r="712" spans="1:26" ht="12.75">
      <c r="A712" s="299"/>
      <c r="B712" s="300"/>
      <c r="C712" s="299"/>
      <c r="D712" s="299"/>
      <c r="E712" s="299"/>
      <c r="F712" s="299"/>
      <c r="G712" s="299"/>
      <c r="H712" s="1348"/>
      <c r="I712" s="299"/>
      <c r="J712" s="299"/>
      <c r="K712" s="299"/>
      <c r="L712" s="1336"/>
      <c r="M712" s="299"/>
      <c r="N712" s="299"/>
      <c r="O712" s="299"/>
      <c r="P712" s="299"/>
      <c r="Q712" s="299"/>
      <c r="R712" s="299"/>
      <c r="S712" s="299"/>
      <c r="T712" s="299"/>
      <c r="U712" s="299"/>
      <c r="V712" s="299"/>
      <c r="W712" s="8"/>
      <c r="X712" s="8"/>
      <c r="Y712" s="8"/>
      <c r="Z712" s="8"/>
    </row>
    <row r="713" spans="1:26" ht="12.75">
      <c r="A713" s="299"/>
      <c r="B713" s="300"/>
      <c r="C713" s="299"/>
      <c r="D713" s="299"/>
      <c r="E713" s="299"/>
      <c r="F713" s="299"/>
      <c r="G713" s="299"/>
      <c r="H713" s="1348"/>
      <c r="I713" s="299"/>
      <c r="J713" s="299"/>
      <c r="K713" s="299"/>
      <c r="L713" s="1336"/>
      <c r="M713" s="299"/>
      <c r="N713" s="299"/>
      <c r="O713" s="299"/>
      <c r="P713" s="299"/>
      <c r="Q713" s="299"/>
      <c r="R713" s="299"/>
      <c r="S713" s="299"/>
      <c r="T713" s="299"/>
      <c r="U713" s="299"/>
      <c r="V713" s="299"/>
      <c r="W713" s="8"/>
      <c r="X713" s="8"/>
      <c r="Y713" s="8"/>
      <c r="Z713" s="8"/>
    </row>
    <row r="714" spans="1:26" ht="12.75">
      <c r="A714" s="299"/>
      <c r="B714" s="300"/>
      <c r="C714" s="299"/>
      <c r="D714" s="299"/>
      <c r="E714" s="299"/>
      <c r="F714" s="299"/>
      <c r="G714" s="299"/>
      <c r="H714" s="1348"/>
      <c r="I714" s="299"/>
      <c r="J714" s="299"/>
      <c r="K714" s="299"/>
      <c r="L714" s="1336"/>
      <c r="M714" s="299"/>
      <c r="N714" s="299"/>
      <c r="O714" s="299"/>
      <c r="P714" s="299"/>
      <c r="Q714" s="299"/>
      <c r="R714" s="299"/>
      <c r="S714" s="299"/>
      <c r="T714" s="299"/>
      <c r="U714" s="299"/>
      <c r="V714" s="299"/>
      <c r="W714" s="8"/>
      <c r="X714" s="8"/>
      <c r="Y714" s="8"/>
      <c r="Z714" s="8"/>
    </row>
    <row r="715" spans="1:26" ht="12.75">
      <c r="A715" s="299"/>
      <c r="B715" s="300"/>
      <c r="C715" s="299"/>
      <c r="D715" s="299"/>
      <c r="E715" s="299"/>
      <c r="F715" s="299"/>
      <c r="G715" s="299"/>
      <c r="H715" s="1348"/>
      <c r="I715" s="299"/>
      <c r="J715" s="299"/>
      <c r="K715" s="299"/>
      <c r="L715" s="1336"/>
      <c r="M715" s="299"/>
      <c r="N715" s="299"/>
      <c r="O715" s="299"/>
      <c r="P715" s="299"/>
      <c r="Q715" s="299"/>
      <c r="R715" s="299"/>
      <c r="S715" s="299"/>
      <c r="T715" s="299"/>
      <c r="U715" s="299"/>
      <c r="V715" s="299"/>
      <c r="W715" s="8"/>
      <c r="X715" s="8"/>
      <c r="Y715" s="8"/>
      <c r="Z715" s="8"/>
    </row>
    <row r="716" spans="1:26" ht="12.75">
      <c r="A716" s="299"/>
      <c r="B716" s="300"/>
      <c r="C716" s="299"/>
      <c r="D716" s="299"/>
      <c r="E716" s="299"/>
      <c r="F716" s="299"/>
      <c r="G716" s="299"/>
      <c r="H716" s="1348"/>
      <c r="I716" s="299"/>
      <c r="J716" s="299"/>
      <c r="K716" s="299"/>
      <c r="L716" s="1336"/>
      <c r="M716" s="299"/>
      <c r="N716" s="299"/>
      <c r="O716" s="299"/>
      <c r="P716" s="299"/>
      <c r="Q716" s="299"/>
      <c r="R716" s="299"/>
      <c r="S716" s="299"/>
      <c r="T716" s="299"/>
      <c r="U716" s="299"/>
      <c r="V716" s="299"/>
      <c r="W716" s="8"/>
      <c r="X716" s="8"/>
      <c r="Y716" s="8"/>
      <c r="Z716" s="8"/>
    </row>
    <row r="717" spans="1:26" ht="12.75">
      <c r="A717" s="299"/>
      <c r="B717" s="300"/>
      <c r="C717" s="299"/>
      <c r="D717" s="299"/>
      <c r="E717" s="299"/>
      <c r="F717" s="299"/>
      <c r="G717" s="299"/>
      <c r="H717" s="1348"/>
      <c r="I717" s="299"/>
      <c r="J717" s="299"/>
      <c r="K717" s="299"/>
      <c r="L717" s="1336"/>
      <c r="M717" s="299"/>
      <c r="N717" s="299"/>
      <c r="O717" s="299"/>
      <c r="P717" s="299"/>
      <c r="Q717" s="299"/>
      <c r="R717" s="299"/>
      <c r="S717" s="299"/>
      <c r="T717" s="299"/>
      <c r="U717" s="299"/>
      <c r="V717" s="299"/>
      <c r="W717" s="8"/>
      <c r="X717" s="8"/>
      <c r="Y717" s="8"/>
      <c r="Z717" s="8"/>
    </row>
    <row r="718" spans="1:26" ht="12.75">
      <c r="A718" s="299"/>
      <c r="B718" s="300"/>
      <c r="C718" s="299"/>
      <c r="D718" s="299"/>
      <c r="E718" s="299"/>
      <c r="F718" s="299"/>
      <c r="G718" s="299"/>
      <c r="H718" s="1348"/>
      <c r="I718" s="299"/>
      <c r="J718" s="299"/>
      <c r="K718" s="299"/>
      <c r="L718" s="1336"/>
      <c r="M718" s="299"/>
      <c r="N718" s="299"/>
      <c r="O718" s="299"/>
      <c r="P718" s="299"/>
      <c r="Q718" s="299"/>
      <c r="R718" s="299"/>
      <c r="S718" s="299"/>
      <c r="T718" s="299"/>
      <c r="U718" s="299"/>
      <c r="V718" s="299"/>
      <c r="W718" s="8"/>
      <c r="X718" s="8"/>
      <c r="Y718" s="8"/>
      <c r="Z718" s="8"/>
    </row>
    <row r="719" spans="1:26" ht="12.75">
      <c r="A719" s="299"/>
      <c r="B719" s="300"/>
      <c r="C719" s="299"/>
      <c r="D719" s="299"/>
      <c r="E719" s="299"/>
      <c r="F719" s="299"/>
      <c r="G719" s="299"/>
      <c r="H719" s="1348"/>
      <c r="I719" s="299"/>
      <c r="J719" s="299"/>
      <c r="K719" s="299"/>
      <c r="L719" s="1336"/>
      <c r="M719" s="299"/>
      <c r="N719" s="299"/>
      <c r="O719" s="299"/>
      <c r="P719" s="299"/>
      <c r="Q719" s="299"/>
      <c r="R719" s="299"/>
      <c r="S719" s="299"/>
      <c r="T719" s="299"/>
      <c r="U719" s="299"/>
      <c r="V719" s="299"/>
      <c r="W719" s="8"/>
      <c r="X719" s="8"/>
      <c r="Y719" s="8"/>
      <c r="Z719" s="8"/>
    </row>
    <row r="720" spans="1:26" ht="12.75">
      <c r="A720" s="299"/>
      <c r="B720" s="300"/>
      <c r="C720" s="299"/>
      <c r="D720" s="299"/>
      <c r="E720" s="299"/>
      <c r="F720" s="299"/>
      <c r="G720" s="299"/>
      <c r="H720" s="1348"/>
      <c r="I720" s="299"/>
      <c r="J720" s="299"/>
      <c r="K720" s="299"/>
      <c r="L720" s="1336"/>
      <c r="M720" s="299"/>
      <c r="N720" s="299"/>
      <c r="O720" s="299"/>
      <c r="P720" s="299"/>
      <c r="Q720" s="299"/>
      <c r="R720" s="299"/>
      <c r="S720" s="299"/>
      <c r="T720" s="299"/>
      <c r="U720" s="299"/>
      <c r="V720" s="299"/>
      <c r="W720" s="8"/>
      <c r="X720" s="8"/>
      <c r="Y720" s="8"/>
      <c r="Z720" s="8"/>
    </row>
    <row r="721" spans="1:26" ht="12.75">
      <c r="A721" s="299"/>
      <c r="B721" s="300"/>
      <c r="C721" s="299"/>
      <c r="D721" s="299"/>
      <c r="E721" s="299"/>
      <c r="F721" s="299"/>
      <c r="G721" s="299"/>
      <c r="H721" s="1348"/>
      <c r="I721" s="299"/>
      <c r="J721" s="299"/>
      <c r="K721" s="299"/>
      <c r="L721" s="1336"/>
      <c r="M721" s="299"/>
      <c r="N721" s="299"/>
      <c r="O721" s="299"/>
      <c r="P721" s="299"/>
      <c r="Q721" s="299"/>
      <c r="R721" s="299"/>
      <c r="S721" s="299"/>
      <c r="T721" s="299"/>
      <c r="U721" s="299"/>
      <c r="V721" s="299"/>
      <c r="W721" s="8"/>
      <c r="X721" s="8"/>
      <c r="Y721" s="8"/>
      <c r="Z721" s="8"/>
    </row>
    <row r="722" spans="1:26" ht="12.75">
      <c r="A722" s="299"/>
      <c r="B722" s="300"/>
      <c r="C722" s="299"/>
      <c r="D722" s="299"/>
      <c r="E722" s="299"/>
      <c r="F722" s="299"/>
      <c r="G722" s="299"/>
      <c r="H722" s="1348"/>
      <c r="I722" s="299"/>
      <c r="J722" s="299"/>
      <c r="K722" s="299"/>
      <c r="L722" s="1336"/>
      <c r="M722" s="299"/>
      <c r="N722" s="299"/>
      <c r="O722" s="299"/>
      <c r="P722" s="299"/>
      <c r="Q722" s="299"/>
      <c r="R722" s="299"/>
      <c r="S722" s="299"/>
      <c r="T722" s="299"/>
      <c r="U722" s="299"/>
      <c r="V722" s="299"/>
      <c r="W722" s="8"/>
      <c r="X722" s="8"/>
      <c r="Y722" s="8"/>
      <c r="Z722" s="8"/>
    </row>
    <row r="723" spans="1:26" ht="12.75">
      <c r="A723" s="299"/>
      <c r="B723" s="300"/>
      <c r="C723" s="299"/>
      <c r="D723" s="299"/>
      <c r="E723" s="299"/>
      <c r="F723" s="299"/>
      <c r="G723" s="299"/>
      <c r="H723" s="1348"/>
      <c r="I723" s="299"/>
      <c r="J723" s="299"/>
      <c r="K723" s="299"/>
      <c r="L723" s="1336"/>
      <c r="M723" s="299"/>
      <c r="N723" s="299"/>
      <c r="O723" s="299"/>
      <c r="P723" s="299"/>
      <c r="Q723" s="299"/>
      <c r="R723" s="299"/>
      <c r="S723" s="299"/>
      <c r="T723" s="299"/>
      <c r="U723" s="299"/>
      <c r="V723" s="299"/>
      <c r="W723" s="8"/>
      <c r="X723" s="8"/>
      <c r="Y723" s="8"/>
      <c r="Z723" s="8"/>
    </row>
    <row r="724" spans="1:26" ht="12.75">
      <c r="A724" s="299"/>
      <c r="B724" s="300"/>
      <c r="C724" s="299"/>
      <c r="D724" s="299"/>
      <c r="E724" s="299"/>
      <c r="F724" s="299"/>
      <c r="G724" s="299"/>
      <c r="H724" s="1348"/>
      <c r="I724" s="299"/>
      <c r="J724" s="299"/>
      <c r="K724" s="299"/>
      <c r="L724" s="1336"/>
      <c r="M724" s="299"/>
      <c r="N724" s="299"/>
      <c r="O724" s="299"/>
      <c r="P724" s="299"/>
      <c r="Q724" s="299"/>
      <c r="R724" s="299"/>
      <c r="S724" s="299"/>
      <c r="T724" s="299"/>
      <c r="U724" s="299"/>
      <c r="V724" s="299"/>
      <c r="W724" s="8"/>
      <c r="X724" s="8"/>
      <c r="Y724" s="8"/>
      <c r="Z724" s="8"/>
    </row>
    <row r="725" spans="1:26" ht="12.75">
      <c r="A725" s="299"/>
      <c r="B725" s="300"/>
      <c r="C725" s="299"/>
      <c r="D725" s="299"/>
      <c r="E725" s="299"/>
      <c r="F725" s="299"/>
      <c r="G725" s="299"/>
      <c r="H725" s="1348"/>
      <c r="I725" s="299"/>
      <c r="J725" s="299"/>
      <c r="K725" s="299"/>
      <c r="L725" s="1336"/>
      <c r="M725" s="299"/>
      <c r="N725" s="299"/>
      <c r="O725" s="299"/>
      <c r="P725" s="299"/>
      <c r="Q725" s="299"/>
      <c r="R725" s="299"/>
      <c r="S725" s="299"/>
      <c r="T725" s="299"/>
      <c r="U725" s="299"/>
      <c r="V725" s="299"/>
      <c r="W725" s="8"/>
      <c r="X725" s="8"/>
      <c r="Y725" s="8"/>
      <c r="Z725" s="8"/>
    </row>
    <row r="726" spans="1:26" ht="12.75">
      <c r="A726" s="299"/>
      <c r="B726" s="300"/>
      <c r="C726" s="299"/>
      <c r="D726" s="299"/>
      <c r="E726" s="299"/>
      <c r="F726" s="299"/>
      <c r="G726" s="299"/>
      <c r="H726" s="1348"/>
      <c r="I726" s="299"/>
      <c r="J726" s="299"/>
      <c r="K726" s="299"/>
      <c r="L726" s="1336"/>
      <c r="M726" s="299"/>
      <c r="N726" s="299"/>
      <c r="O726" s="299"/>
      <c r="P726" s="299"/>
      <c r="Q726" s="299"/>
      <c r="R726" s="299"/>
      <c r="S726" s="299"/>
      <c r="T726" s="299"/>
      <c r="U726" s="299"/>
      <c r="V726" s="299"/>
      <c r="W726" s="8"/>
      <c r="X726" s="8"/>
      <c r="Y726" s="8"/>
      <c r="Z726" s="8"/>
    </row>
    <row r="727" spans="1:26" ht="12.75">
      <c r="A727" s="299"/>
      <c r="B727" s="300"/>
      <c r="C727" s="299"/>
      <c r="D727" s="299"/>
      <c r="E727" s="299"/>
      <c r="F727" s="299"/>
      <c r="G727" s="299"/>
      <c r="H727" s="1348"/>
      <c r="I727" s="299"/>
      <c r="J727" s="299"/>
      <c r="K727" s="299"/>
      <c r="L727" s="1336"/>
      <c r="M727" s="299"/>
      <c r="N727" s="299"/>
      <c r="O727" s="299"/>
      <c r="P727" s="299"/>
      <c r="Q727" s="299"/>
      <c r="R727" s="299"/>
      <c r="S727" s="299"/>
      <c r="T727" s="299"/>
      <c r="U727" s="299"/>
      <c r="V727" s="299"/>
      <c r="W727" s="8"/>
      <c r="X727" s="8"/>
      <c r="Y727" s="8"/>
      <c r="Z727" s="8"/>
    </row>
    <row r="728" spans="1:26" ht="12.75">
      <c r="A728" s="299"/>
      <c r="B728" s="300"/>
      <c r="C728" s="299"/>
      <c r="D728" s="299"/>
      <c r="E728" s="299"/>
      <c r="F728" s="299"/>
      <c r="G728" s="299"/>
      <c r="H728" s="1348"/>
      <c r="I728" s="299"/>
      <c r="J728" s="299"/>
      <c r="K728" s="299"/>
      <c r="L728" s="1336"/>
      <c r="M728" s="299"/>
      <c r="N728" s="299"/>
      <c r="O728" s="299"/>
      <c r="P728" s="299"/>
      <c r="Q728" s="299"/>
      <c r="R728" s="299"/>
      <c r="S728" s="299"/>
      <c r="T728" s="299"/>
      <c r="U728" s="299"/>
      <c r="V728" s="299"/>
      <c r="W728" s="8"/>
      <c r="X728" s="8"/>
      <c r="Y728" s="8"/>
      <c r="Z728" s="8"/>
    </row>
    <row r="729" spans="1:26" ht="12.75">
      <c r="A729" s="299"/>
      <c r="B729" s="300"/>
      <c r="C729" s="299"/>
      <c r="D729" s="299"/>
      <c r="E729" s="299"/>
      <c r="F729" s="299"/>
      <c r="G729" s="299"/>
      <c r="H729" s="1348"/>
      <c r="I729" s="299"/>
      <c r="J729" s="299"/>
      <c r="K729" s="299"/>
      <c r="L729" s="1336"/>
      <c r="M729" s="299"/>
      <c r="N729" s="299"/>
      <c r="O729" s="299"/>
      <c r="P729" s="299"/>
      <c r="Q729" s="299"/>
      <c r="R729" s="299"/>
      <c r="S729" s="299"/>
      <c r="T729" s="299"/>
      <c r="U729" s="299"/>
      <c r="V729" s="299"/>
      <c r="W729" s="8"/>
      <c r="X729" s="8"/>
      <c r="Y729" s="8"/>
      <c r="Z729" s="8"/>
    </row>
    <row r="730" spans="1:26" ht="12.75">
      <c r="A730" s="299"/>
      <c r="B730" s="300"/>
      <c r="C730" s="299"/>
      <c r="D730" s="299"/>
      <c r="E730" s="299"/>
      <c r="F730" s="299"/>
      <c r="G730" s="299"/>
      <c r="H730" s="1348"/>
      <c r="I730" s="299"/>
      <c r="J730" s="299"/>
      <c r="K730" s="299"/>
      <c r="L730" s="1336"/>
      <c r="M730" s="299"/>
      <c r="N730" s="299"/>
      <c r="O730" s="299"/>
      <c r="P730" s="299"/>
      <c r="Q730" s="299"/>
      <c r="R730" s="299"/>
      <c r="S730" s="299"/>
      <c r="T730" s="299"/>
      <c r="U730" s="299"/>
      <c r="V730" s="299"/>
      <c r="W730" s="8"/>
      <c r="X730" s="8"/>
      <c r="Y730" s="8"/>
      <c r="Z730" s="8"/>
    </row>
    <row r="731" spans="1:26" ht="12.75">
      <c r="A731" s="299"/>
      <c r="B731" s="300"/>
      <c r="C731" s="299"/>
      <c r="D731" s="299"/>
      <c r="E731" s="299"/>
      <c r="F731" s="299"/>
      <c r="G731" s="299"/>
      <c r="H731" s="1348"/>
      <c r="I731" s="299"/>
      <c r="J731" s="299"/>
      <c r="K731" s="299"/>
      <c r="L731" s="1336"/>
      <c r="M731" s="299"/>
      <c r="N731" s="299"/>
      <c r="O731" s="299"/>
      <c r="P731" s="299"/>
      <c r="Q731" s="299"/>
      <c r="R731" s="299"/>
      <c r="S731" s="299"/>
      <c r="T731" s="299"/>
      <c r="U731" s="299"/>
      <c r="V731" s="299"/>
      <c r="W731" s="8"/>
      <c r="X731" s="8"/>
      <c r="Y731" s="8"/>
      <c r="Z731" s="8"/>
    </row>
    <row r="732" spans="1:26" ht="12.75">
      <c r="A732" s="299"/>
      <c r="B732" s="300"/>
      <c r="C732" s="299"/>
      <c r="D732" s="299"/>
      <c r="E732" s="299"/>
      <c r="F732" s="299"/>
      <c r="G732" s="299"/>
      <c r="H732" s="1348"/>
      <c r="I732" s="299"/>
      <c r="J732" s="299"/>
      <c r="K732" s="299"/>
      <c r="L732" s="1336"/>
      <c r="M732" s="299"/>
      <c r="N732" s="299"/>
      <c r="O732" s="299"/>
      <c r="P732" s="299"/>
      <c r="Q732" s="299"/>
      <c r="R732" s="299"/>
      <c r="S732" s="299"/>
      <c r="T732" s="299"/>
      <c r="U732" s="299"/>
      <c r="V732" s="299"/>
      <c r="W732" s="8"/>
      <c r="X732" s="8"/>
      <c r="Y732" s="8"/>
      <c r="Z732" s="8"/>
    </row>
    <row r="733" spans="1:26" ht="12.75">
      <c r="A733" s="299"/>
      <c r="B733" s="300"/>
      <c r="C733" s="299"/>
      <c r="D733" s="299"/>
      <c r="E733" s="299"/>
      <c r="F733" s="299"/>
      <c r="G733" s="299"/>
      <c r="H733" s="1348"/>
      <c r="I733" s="299"/>
      <c r="J733" s="299"/>
      <c r="K733" s="299"/>
      <c r="L733" s="1336"/>
      <c r="M733" s="299"/>
      <c r="N733" s="299"/>
      <c r="O733" s="299"/>
      <c r="P733" s="299"/>
      <c r="Q733" s="299"/>
      <c r="R733" s="299"/>
      <c r="S733" s="299"/>
      <c r="T733" s="299"/>
      <c r="U733" s="299"/>
      <c r="V733" s="299"/>
      <c r="W733" s="8"/>
      <c r="X733" s="8"/>
      <c r="Y733" s="8"/>
      <c r="Z733" s="8"/>
    </row>
    <row r="734" spans="1:26" ht="12.75">
      <c r="A734" s="299"/>
      <c r="B734" s="300"/>
      <c r="C734" s="299"/>
      <c r="D734" s="299"/>
      <c r="E734" s="299"/>
      <c r="F734" s="299"/>
      <c r="G734" s="299"/>
      <c r="H734" s="1348"/>
      <c r="I734" s="299"/>
      <c r="J734" s="299"/>
      <c r="K734" s="299"/>
      <c r="L734" s="1336"/>
      <c r="M734" s="299"/>
      <c r="N734" s="299"/>
      <c r="O734" s="299"/>
      <c r="P734" s="299"/>
      <c r="Q734" s="299"/>
      <c r="R734" s="299"/>
      <c r="S734" s="299"/>
      <c r="T734" s="299"/>
      <c r="U734" s="299"/>
      <c r="V734" s="299"/>
      <c r="W734" s="8"/>
      <c r="X734" s="8"/>
      <c r="Y734" s="8"/>
      <c r="Z734" s="8"/>
    </row>
    <row r="735" spans="1:26" ht="12.75">
      <c r="A735" s="299"/>
      <c r="B735" s="300"/>
      <c r="C735" s="299"/>
      <c r="D735" s="299"/>
      <c r="E735" s="299"/>
      <c r="F735" s="299"/>
      <c r="G735" s="299"/>
      <c r="H735" s="1348"/>
      <c r="I735" s="299"/>
      <c r="J735" s="299"/>
      <c r="K735" s="299"/>
      <c r="L735" s="1336"/>
      <c r="M735" s="299"/>
      <c r="N735" s="299"/>
      <c r="O735" s="299"/>
      <c r="P735" s="299"/>
      <c r="Q735" s="299"/>
      <c r="R735" s="299"/>
      <c r="S735" s="299"/>
      <c r="T735" s="299"/>
      <c r="U735" s="299"/>
      <c r="V735" s="299"/>
      <c r="W735" s="8"/>
      <c r="X735" s="8"/>
      <c r="Y735" s="8"/>
      <c r="Z735" s="8"/>
    </row>
    <row r="736" spans="1:26" ht="12.75">
      <c r="A736" s="299"/>
      <c r="B736" s="300"/>
      <c r="C736" s="299"/>
      <c r="D736" s="299"/>
      <c r="E736" s="299"/>
      <c r="F736" s="299"/>
      <c r="G736" s="299"/>
      <c r="H736" s="1348"/>
      <c r="I736" s="299"/>
      <c r="J736" s="299"/>
      <c r="K736" s="299"/>
      <c r="L736" s="1336"/>
      <c r="M736" s="299"/>
      <c r="N736" s="299"/>
      <c r="O736" s="299"/>
      <c r="P736" s="299"/>
      <c r="Q736" s="299"/>
      <c r="R736" s="299"/>
      <c r="S736" s="299"/>
      <c r="T736" s="299"/>
      <c r="U736" s="299"/>
      <c r="V736" s="299"/>
      <c r="W736" s="8"/>
      <c r="X736" s="8"/>
      <c r="Y736" s="8"/>
      <c r="Z736" s="8"/>
    </row>
    <row r="737" spans="1:26" ht="12.75">
      <c r="A737" s="299"/>
      <c r="B737" s="300"/>
      <c r="C737" s="299"/>
      <c r="D737" s="299"/>
      <c r="E737" s="299"/>
      <c r="F737" s="299"/>
      <c r="G737" s="299"/>
      <c r="H737" s="1348"/>
      <c r="I737" s="299"/>
      <c r="J737" s="299"/>
      <c r="K737" s="299"/>
      <c r="L737" s="1336"/>
      <c r="M737" s="299"/>
      <c r="N737" s="299"/>
      <c r="O737" s="299"/>
      <c r="P737" s="299"/>
      <c r="Q737" s="299"/>
      <c r="R737" s="299"/>
      <c r="S737" s="299"/>
      <c r="T737" s="299"/>
      <c r="U737" s="299"/>
      <c r="V737" s="299"/>
      <c r="W737" s="8"/>
      <c r="X737" s="8"/>
      <c r="Y737" s="8"/>
      <c r="Z737" s="8"/>
    </row>
    <row r="738" spans="1:26" ht="12.75">
      <c r="A738" s="299"/>
      <c r="B738" s="300"/>
      <c r="C738" s="299"/>
      <c r="D738" s="299"/>
      <c r="E738" s="299"/>
      <c r="F738" s="299"/>
      <c r="G738" s="299"/>
      <c r="H738" s="1348"/>
      <c r="I738" s="299"/>
      <c r="J738" s="299"/>
      <c r="K738" s="299"/>
      <c r="L738" s="1336"/>
      <c r="M738" s="299"/>
      <c r="N738" s="299"/>
      <c r="O738" s="299"/>
      <c r="P738" s="299"/>
      <c r="Q738" s="299"/>
      <c r="R738" s="299"/>
      <c r="S738" s="299"/>
      <c r="T738" s="299"/>
      <c r="U738" s="299"/>
      <c r="V738" s="299"/>
      <c r="W738" s="8"/>
      <c r="X738" s="8"/>
      <c r="Y738" s="8"/>
      <c r="Z738" s="8"/>
    </row>
    <row r="739" spans="1:26" ht="12.75">
      <c r="A739" s="299"/>
      <c r="B739" s="300"/>
      <c r="C739" s="299"/>
      <c r="D739" s="299"/>
      <c r="E739" s="299"/>
      <c r="F739" s="299"/>
      <c r="G739" s="299"/>
      <c r="H739" s="1348"/>
      <c r="I739" s="299"/>
      <c r="J739" s="299"/>
      <c r="K739" s="299"/>
      <c r="L739" s="1336"/>
      <c r="M739" s="299"/>
      <c r="N739" s="299"/>
      <c r="O739" s="299"/>
      <c r="P739" s="299"/>
      <c r="Q739" s="299"/>
      <c r="R739" s="299"/>
      <c r="S739" s="299"/>
      <c r="T739" s="299"/>
      <c r="U739" s="299"/>
      <c r="V739" s="299"/>
      <c r="W739" s="8"/>
      <c r="X739" s="8"/>
      <c r="Y739" s="8"/>
      <c r="Z739" s="8"/>
    </row>
    <row r="740" spans="1:26" ht="12.75">
      <c r="A740" s="299"/>
      <c r="B740" s="300"/>
      <c r="C740" s="299"/>
      <c r="D740" s="299"/>
      <c r="E740" s="299"/>
      <c r="F740" s="299"/>
      <c r="G740" s="299"/>
      <c r="H740" s="1348"/>
      <c r="I740" s="299"/>
      <c r="J740" s="299"/>
      <c r="K740" s="299"/>
      <c r="L740" s="1336"/>
      <c r="M740" s="299"/>
      <c r="N740" s="299"/>
      <c r="O740" s="299"/>
      <c r="P740" s="299"/>
      <c r="Q740" s="299"/>
      <c r="R740" s="299"/>
      <c r="S740" s="299"/>
      <c r="T740" s="299"/>
      <c r="U740" s="299"/>
      <c r="V740" s="299"/>
      <c r="W740" s="8"/>
      <c r="X740" s="8"/>
      <c r="Y740" s="8"/>
      <c r="Z740" s="8"/>
    </row>
    <row r="741" spans="1:26" ht="12.75">
      <c r="A741" s="299"/>
      <c r="B741" s="300"/>
      <c r="C741" s="299"/>
      <c r="D741" s="299"/>
      <c r="E741" s="299"/>
      <c r="F741" s="299"/>
      <c r="G741" s="299"/>
      <c r="H741" s="1348"/>
      <c r="I741" s="299"/>
      <c r="J741" s="299"/>
      <c r="K741" s="299"/>
      <c r="L741" s="1336"/>
      <c r="M741" s="299"/>
      <c r="N741" s="299"/>
      <c r="O741" s="299"/>
      <c r="P741" s="299"/>
      <c r="Q741" s="299"/>
      <c r="R741" s="299"/>
      <c r="S741" s="299"/>
      <c r="T741" s="299"/>
      <c r="U741" s="299"/>
      <c r="V741" s="299"/>
      <c r="W741" s="8"/>
      <c r="X741" s="8"/>
      <c r="Y741" s="8"/>
      <c r="Z741" s="8"/>
    </row>
    <row r="742" spans="1:26" ht="12.75">
      <c r="A742" s="299"/>
      <c r="B742" s="300"/>
      <c r="C742" s="299"/>
      <c r="D742" s="299"/>
      <c r="E742" s="299"/>
      <c r="F742" s="299"/>
      <c r="G742" s="299"/>
      <c r="H742" s="1348"/>
      <c r="I742" s="299"/>
      <c r="J742" s="299"/>
      <c r="K742" s="299"/>
      <c r="L742" s="1336"/>
      <c r="M742" s="299"/>
      <c r="N742" s="299"/>
      <c r="O742" s="299"/>
      <c r="P742" s="299"/>
      <c r="Q742" s="299"/>
      <c r="R742" s="299"/>
      <c r="S742" s="299"/>
      <c r="T742" s="299"/>
      <c r="U742" s="299"/>
      <c r="V742" s="299"/>
      <c r="W742" s="8"/>
      <c r="X742" s="8"/>
      <c r="Y742" s="8"/>
      <c r="Z742" s="8"/>
    </row>
    <row r="743" spans="1:26" ht="12.75">
      <c r="A743" s="299"/>
      <c r="B743" s="300"/>
      <c r="C743" s="299"/>
      <c r="D743" s="299"/>
      <c r="E743" s="299"/>
      <c r="F743" s="299"/>
      <c r="G743" s="299"/>
      <c r="H743" s="1348"/>
      <c r="I743" s="299"/>
      <c r="J743" s="299"/>
      <c r="K743" s="299"/>
      <c r="L743" s="1336"/>
      <c r="M743" s="299"/>
      <c r="N743" s="299"/>
      <c r="O743" s="299"/>
      <c r="P743" s="299"/>
      <c r="Q743" s="299"/>
      <c r="R743" s="299"/>
      <c r="S743" s="299"/>
      <c r="T743" s="299"/>
      <c r="U743" s="299"/>
      <c r="V743" s="299"/>
      <c r="W743" s="8"/>
      <c r="X743" s="8"/>
      <c r="Y743" s="8"/>
      <c r="Z743" s="8"/>
    </row>
    <row r="744" spans="1:26" ht="12.75">
      <c r="A744" s="299"/>
      <c r="B744" s="300"/>
      <c r="C744" s="299"/>
      <c r="D744" s="299"/>
      <c r="E744" s="299"/>
      <c r="F744" s="299"/>
      <c r="G744" s="299"/>
      <c r="H744" s="1348"/>
      <c r="I744" s="299"/>
      <c r="J744" s="299"/>
      <c r="K744" s="299"/>
      <c r="L744" s="1336"/>
      <c r="M744" s="299"/>
      <c r="N744" s="299"/>
      <c r="O744" s="299"/>
      <c r="P744" s="299"/>
      <c r="Q744" s="299"/>
      <c r="R744" s="299"/>
      <c r="S744" s="299"/>
      <c r="T744" s="299"/>
      <c r="U744" s="299"/>
      <c r="V744" s="299"/>
      <c r="W744" s="8"/>
      <c r="X744" s="8"/>
      <c r="Y744" s="8"/>
      <c r="Z744" s="8"/>
    </row>
    <row r="745" spans="1:26" ht="12.75">
      <c r="A745" s="299"/>
      <c r="B745" s="300"/>
      <c r="C745" s="299"/>
      <c r="D745" s="299"/>
      <c r="E745" s="299"/>
      <c r="F745" s="299"/>
      <c r="G745" s="299"/>
      <c r="H745" s="1348"/>
      <c r="I745" s="299"/>
      <c r="J745" s="299"/>
      <c r="K745" s="299"/>
      <c r="L745" s="1336"/>
      <c r="M745" s="299"/>
      <c r="N745" s="299"/>
      <c r="O745" s="299"/>
      <c r="P745" s="299"/>
      <c r="Q745" s="299"/>
      <c r="R745" s="299"/>
      <c r="S745" s="299"/>
      <c r="T745" s="299"/>
      <c r="U745" s="299"/>
      <c r="V745" s="299"/>
      <c r="W745" s="8"/>
      <c r="X745" s="8"/>
      <c r="Y745" s="8"/>
      <c r="Z745" s="8"/>
    </row>
    <row r="746" spans="1:26" ht="12.75">
      <c r="A746" s="299"/>
      <c r="B746" s="300"/>
      <c r="C746" s="299"/>
      <c r="D746" s="299"/>
      <c r="E746" s="299"/>
      <c r="F746" s="299"/>
      <c r="G746" s="299"/>
      <c r="H746" s="1348"/>
      <c r="I746" s="299"/>
      <c r="J746" s="299"/>
      <c r="K746" s="299"/>
      <c r="L746" s="1336"/>
      <c r="M746" s="299"/>
      <c r="N746" s="299"/>
      <c r="O746" s="299"/>
      <c r="P746" s="299"/>
      <c r="Q746" s="299"/>
      <c r="R746" s="299"/>
      <c r="S746" s="299"/>
      <c r="T746" s="299"/>
      <c r="U746" s="299"/>
      <c r="V746" s="299"/>
      <c r="W746" s="8"/>
      <c r="X746" s="8"/>
      <c r="Y746" s="8"/>
      <c r="Z746" s="8"/>
    </row>
    <row r="747" spans="1:26" ht="12.75">
      <c r="A747" s="299"/>
      <c r="B747" s="300"/>
      <c r="C747" s="299"/>
      <c r="D747" s="299"/>
      <c r="E747" s="299"/>
      <c r="F747" s="299"/>
      <c r="G747" s="299"/>
      <c r="H747" s="1348"/>
      <c r="I747" s="299"/>
      <c r="J747" s="299"/>
      <c r="K747" s="299"/>
      <c r="L747" s="1336"/>
      <c r="M747" s="299"/>
      <c r="N747" s="299"/>
      <c r="O747" s="299"/>
      <c r="P747" s="299"/>
      <c r="Q747" s="299"/>
      <c r="R747" s="299"/>
      <c r="S747" s="299"/>
      <c r="T747" s="299"/>
      <c r="U747" s="299"/>
      <c r="V747" s="299"/>
      <c r="W747" s="8"/>
      <c r="X747" s="8"/>
      <c r="Y747" s="8"/>
      <c r="Z747" s="8"/>
    </row>
    <row r="748" spans="1:26" ht="12.75">
      <c r="A748" s="299"/>
      <c r="B748" s="300"/>
      <c r="C748" s="299"/>
      <c r="D748" s="299"/>
      <c r="E748" s="299"/>
      <c r="F748" s="299"/>
      <c r="G748" s="299"/>
      <c r="H748" s="1348"/>
      <c r="I748" s="299"/>
      <c r="J748" s="299"/>
      <c r="K748" s="299"/>
      <c r="L748" s="1336"/>
      <c r="M748" s="299"/>
      <c r="N748" s="299"/>
      <c r="O748" s="299"/>
      <c r="P748" s="299"/>
      <c r="Q748" s="299"/>
      <c r="R748" s="299"/>
      <c r="S748" s="299"/>
      <c r="T748" s="299"/>
      <c r="U748" s="299"/>
      <c r="V748" s="299"/>
      <c r="W748" s="8"/>
      <c r="X748" s="8"/>
      <c r="Y748" s="8"/>
      <c r="Z748" s="8"/>
    </row>
    <row r="749" spans="1:26" ht="12.75">
      <c r="A749" s="299"/>
      <c r="B749" s="300"/>
      <c r="C749" s="299"/>
      <c r="D749" s="299"/>
      <c r="E749" s="299"/>
      <c r="F749" s="299"/>
      <c r="G749" s="299"/>
      <c r="H749" s="1348"/>
      <c r="I749" s="299"/>
      <c r="J749" s="299"/>
      <c r="K749" s="299"/>
      <c r="L749" s="1336"/>
      <c r="M749" s="299"/>
      <c r="N749" s="299"/>
      <c r="O749" s="299"/>
      <c r="P749" s="299"/>
      <c r="Q749" s="299"/>
      <c r="R749" s="299"/>
      <c r="S749" s="299"/>
      <c r="T749" s="299"/>
      <c r="U749" s="299"/>
      <c r="V749" s="299"/>
      <c r="W749" s="8"/>
      <c r="X749" s="8"/>
      <c r="Y749" s="8"/>
      <c r="Z749" s="8"/>
    </row>
    <row r="750" spans="1:26" ht="12.75">
      <c r="A750" s="299"/>
      <c r="B750" s="300"/>
      <c r="C750" s="299"/>
      <c r="D750" s="299"/>
      <c r="E750" s="299"/>
      <c r="F750" s="299"/>
      <c r="G750" s="299"/>
      <c r="H750" s="1348"/>
      <c r="I750" s="299"/>
      <c r="J750" s="299"/>
      <c r="K750" s="299"/>
      <c r="L750" s="1336"/>
      <c r="M750" s="299"/>
      <c r="N750" s="299"/>
      <c r="O750" s="299"/>
      <c r="P750" s="299"/>
      <c r="Q750" s="299"/>
      <c r="R750" s="299"/>
      <c r="S750" s="299"/>
      <c r="T750" s="299"/>
      <c r="U750" s="299"/>
      <c r="V750" s="299"/>
      <c r="W750" s="8"/>
      <c r="X750" s="8"/>
      <c r="Y750" s="8"/>
      <c r="Z750" s="8"/>
    </row>
    <row r="751" spans="1:26" ht="12.75">
      <c r="A751" s="299"/>
      <c r="B751" s="300"/>
      <c r="C751" s="299"/>
      <c r="D751" s="299"/>
      <c r="E751" s="299"/>
      <c r="F751" s="299"/>
      <c r="G751" s="299"/>
      <c r="H751" s="1348"/>
      <c r="I751" s="299"/>
      <c r="J751" s="299"/>
      <c r="K751" s="299"/>
      <c r="L751" s="1336"/>
      <c r="M751" s="299"/>
      <c r="N751" s="299"/>
      <c r="O751" s="299"/>
      <c r="P751" s="299"/>
      <c r="Q751" s="299"/>
      <c r="R751" s="299"/>
      <c r="S751" s="299"/>
      <c r="T751" s="299"/>
      <c r="U751" s="299"/>
      <c r="V751" s="299"/>
      <c r="W751" s="8"/>
      <c r="X751" s="8"/>
      <c r="Y751" s="8"/>
      <c r="Z751" s="8"/>
    </row>
    <row r="752" spans="1:26" ht="12.75">
      <c r="A752" s="299"/>
      <c r="B752" s="300"/>
      <c r="C752" s="299"/>
      <c r="D752" s="299"/>
      <c r="E752" s="299"/>
      <c r="F752" s="299"/>
      <c r="G752" s="299"/>
      <c r="H752" s="1348"/>
      <c r="I752" s="299"/>
      <c r="J752" s="299"/>
      <c r="K752" s="299"/>
      <c r="L752" s="1336"/>
      <c r="M752" s="299"/>
      <c r="N752" s="299"/>
      <c r="O752" s="299"/>
      <c r="P752" s="299"/>
      <c r="Q752" s="299"/>
      <c r="R752" s="299"/>
      <c r="S752" s="299"/>
      <c r="T752" s="299"/>
      <c r="U752" s="299"/>
      <c r="V752" s="299"/>
      <c r="W752" s="8"/>
      <c r="X752" s="8"/>
      <c r="Y752" s="8"/>
      <c r="Z752" s="8"/>
    </row>
    <row r="753" spans="1:26" ht="12.75">
      <c r="A753" s="299"/>
      <c r="B753" s="300"/>
      <c r="C753" s="299"/>
      <c r="D753" s="299"/>
      <c r="E753" s="299"/>
      <c r="F753" s="299"/>
      <c r="G753" s="299"/>
      <c r="H753" s="1348"/>
      <c r="I753" s="299"/>
      <c r="J753" s="299"/>
      <c r="K753" s="299"/>
      <c r="L753" s="1336"/>
      <c r="M753" s="299"/>
      <c r="N753" s="299"/>
      <c r="O753" s="299"/>
      <c r="P753" s="299"/>
      <c r="Q753" s="299"/>
      <c r="R753" s="299"/>
      <c r="S753" s="299"/>
      <c r="T753" s="299"/>
      <c r="U753" s="299"/>
      <c r="V753" s="299"/>
      <c r="W753" s="8"/>
      <c r="X753" s="8"/>
      <c r="Y753" s="8"/>
      <c r="Z753" s="8"/>
    </row>
    <row r="754" spans="1:26" ht="12.75">
      <c r="A754" s="299"/>
      <c r="B754" s="300"/>
      <c r="C754" s="299"/>
      <c r="D754" s="299"/>
      <c r="E754" s="299"/>
      <c r="F754" s="299"/>
      <c r="G754" s="299"/>
      <c r="H754" s="1348"/>
      <c r="I754" s="299"/>
      <c r="J754" s="299"/>
      <c r="K754" s="299"/>
      <c r="L754" s="1336"/>
      <c r="M754" s="299"/>
      <c r="N754" s="299"/>
      <c r="O754" s="299"/>
      <c r="P754" s="299"/>
      <c r="Q754" s="299"/>
      <c r="R754" s="299"/>
      <c r="S754" s="299"/>
      <c r="T754" s="299"/>
      <c r="U754" s="299"/>
      <c r="V754" s="299"/>
      <c r="W754" s="8"/>
      <c r="X754" s="8"/>
      <c r="Y754" s="8"/>
      <c r="Z754" s="8"/>
    </row>
    <row r="755" spans="1:26" ht="12.75">
      <c r="A755" s="299"/>
      <c r="B755" s="300"/>
      <c r="C755" s="299"/>
      <c r="D755" s="299"/>
      <c r="E755" s="299"/>
      <c r="F755" s="299"/>
      <c r="G755" s="299"/>
      <c r="H755" s="1348"/>
      <c r="I755" s="299"/>
      <c r="J755" s="299"/>
      <c r="K755" s="299"/>
      <c r="L755" s="1336"/>
      <c r="M755" s="299"/>
      <c r="N755" s="299"/>
      <c r="O755" s="299"/>
      <c r="P755" s="299"/>
      <c r="Q755" s="299"/>
      <c r="R755" s="299"/>
      <c r="S755" s="299"/>
      <c r="T755" s="299"/>
      <c r="U755" s="299"/>
      <c r="V755" s="299"/>
      <c r="W755" s="8"/>
      <c r="X755" s="8"/>
      <c r="Y755" s="8"/>
      <c r="Z755" s="8"/>
    </row>
    <row r="756" spans="1:26" ht="12.75">
      <c r="A756" s="299"/>
      <c r="B756" s="300"/>
      <c r="C756" s="299"/>
      <c r="D756" s="299"/>
      <c r="E756" s="299"/>
      <c r="F756" s="299"/>
      <c r="G756" s="299"/>
      <c r="H756" s="1348"/>
      <c r="I756" s="299"/>
      <c r="J756" s="299"/>
      <c r="K756" s="299"/>
      <c r="L756" s="1336"/>
      <c r="M756" s="299"/>
      <c r="N756" s="299"/>
      <c r="O756" s="299"/>
      <c r="P756" s="299"/>
      <c r="Q756" s="299"/>
      <c r="R756" s="299"/>
      <c r="S756" s="299"/>
      <c r="T756" s="299"/>
      <c r="U756" s="299"/>
      <c r="V756" s="299"/>
      <c r="W756" s="8"/>
      <c r="X756" s="8"/>
      <c r="Y756" s="8"/>
      <c r="Z756" s="8"/>
    </row>
    <row r="757" spans="1:26" ht="12.75">
      <c r="A757" s="299"/>
      <c r="B757" s="300"/>
      <c r="C757" s="299"/>
      <c r="D757" s="299"/>
      <c r="E757" s="299"/>
      <c r="F757" s="299"/>
      <c r="G757" s="299"/>
      <c r="H757" s="1348"/>
      <c r="I757" s="299"/>
      <c r="J757" s="299"/>
      <c r="K757" s="299"/>
      <c r="L757" s="1336"/>
      <c r="M757" s="299"/>
      <c r="N757" s="299"/>
      <c r="O757" s="299"/>
      <c r="P757" s="299"/>
      <c r="Q757" s="299"/>
      <c r="R757" s="299"/>
      <c r="S757" s="299"/>
      <c r="T757" s="299"/>
      <c r="U757" s="299"/>
      <c r="V757" s="299"/>
      <c r="W757" s="8"/>
      <c r="X757" s="8"/>
      <c r="Y757" s="8"/>
      <c r="Z757" s="8"/>
    </row>
    <row r="758" spans="1:26" ht="12.75">
      <c r="A758" s="299"/>
      <c r="B758" s="300"/>
      <c r="C758" s="299"/>
      <c r="D758" s="299"/>
      <c r="E758" s="299"/>
      <c r="F758" s="299"/>
      <c r="G758" s="299"/>
      <c r="H758" s="1348"/>
      <c r="I758" s="299"/>
      <c r="J758" s="299"/>
      <c r="K758" s="299"/>
      <c r="L758" s="1336"/>
      <c r="M758" s="299"/>
      <c r="N758" s="299"/>
      <c r="O758" s="299"/>
      <c r="P758" s="299"/>
      <c r="Q758" s="299"/>
      <c r="R758" s="299"/>
      <c r="S758" s="299"/>
      <c r="T758" s="299"/>
      <c r="U758" s="299"/>
      <c r="V758" s="299"/>
      <c r="W758" s="8"/>
      <c r="X758" s="8"/>
      <c r="Y758" s="8"/>
      <c r="Z758" s="8"/>
    </row>
    <row r="759" spans="1:26" ht="12.75">
      <c r="A759" s="299"/>
      <c r="B759" s="300"/>
      <c r="C759" s="299"/>
      <c r="D759" s="299"/>
      <c r="E759" s="299"/>
      <c r="F759" s="299"/>
      <c r="G759" s="299"/>
      <c r="H759" s="1348"/>
      <c r="I759" s="299"/>
      <c r="J759" s="299"/>
      <c r="K759" s="299"/>
      <c r="L759" s="1336"/>
      <c r="M759" s="299"/>
      <c r="N759" s="299"/>
      <c r="O759" s="299"/>
      <c r="P759" s="299"/>
      <c r="Q759" s="299"/>
      <c r="R759" s="299"/>
      <c r="S759" s="299"/>
      <c r="T759" s="299"/>
      <c r="U759" s="299"/>
      <c r="V759" s="299"/>
      <c r="W759" s="8"/>
      <c r="X759" s="8"/>
      <c r="Y759" s="8"/>
      <c r="Z759" s="8"/>
    </row>
    <row r="760" spans="1:26" ht="12.75">
      <c r="A760" s="299"/>
      <c r="B760" s="300"/>
      <c r="C760" s="299"/>
      <c r="D760" s="299"/>
      <c r="E760" s="299"/>
      <c r="F760" s="299"/>
      <c r="G760" s="299"/>
      <c r="H760" s="1348"/>
      <c r="I760" s="299"/>
      <c r="J760" s="299"/>
      <c r="K760" s="299"/>
      <c r="L760" s="1336"/>
      <c r="M760" s="299"/>
      <c r="N760" s="299"/>
      <c r="O760" s="299"/>
      <c r="P760" s="299"/>
      <c r="Q760" s="299"/>
      <c r="R760" s="299"/>
      <c r="S760" s="299"/>
      <c r="T760" s="299"/>
      <c r="U760" s="299"/>
      <c r="V760" s="299"/>
      <c r="W760" s="8"/>
      <c r="X760" s="8"/>
      <c r="Y760" s="8"/>
      <c r="Z760" s="8"/>
    </row>
    <row r="761" spans="1:26" ht="12.75">
      <c r="A761" s="299"/>
      <c r="B761" s="300"/>
      <c r="C761" s="299"/>
      <c r="D761" s="299"/>
      <c r="E761" s="299"/>
      <c r="F761" s="299"/>
      <c r="G761" s="299"/>
      <c r="H761" s="1348"/>
      <c r="I761" s="299"/>
      <c r="J761" s="299"/>
      <c r="K761" s="299"/>
      <c r="L761" s="1336"/>
      <c r="M761" s="299"/>
      <c r="N761" s="299"/>
      <c r="O761" s="299"/>
      <c r="P761" s="299"/>
      <c r="Q761" s="299"/>
      <c r="R761" s="299"/>
      <c r="S761" s="299"/>
      <c r="T761" s="299"/>
      <c r="U761" s="299"/>
      <c r="V761" s="299"/>
      <c r="W761" s="8"/>
      <c r="X761" s="8"/>
      <c r="Y761" s="8"/>
      <c r="Z761" s="8"/>
    </row>
    <row r="762" spans="1:26" ht="12.75">
      <c r="A762" s="299"/>
      <c r="B762" s="300"/>
      <c r="C762" s="299"/>
      <c r="D762" s="299"/>
      <c r="E762" s="299"/>
      <c r="F762" s="299"/>
      <c r="G762" s="299"/>
      <c r="H762" s="1348"/>
      <c r="I762" s="299"/>
      <c r="J762" s="299"/>
      <c r="K762" s="299"/>
      <c r="L762" s="1336"/>
      <c r="M762" s="299"/>
      <c r="N762" s="299"/>
      <c r="O762" s="299"/>
      <c r="P762" s="299"/>
      <c r="Q762" s="299"/>
      <c r="R762" s="299"/>
      <c r="S762" s="299"/>
      <c r="T762" s="299"/>
      <c r="U762" s="299"/>
      <c r="V762" s="299"/>
      <c r="W762" s="8"/>
      <c r="X762" s="8"/>
      <c r="Y762" s="8"/>
      <c r="Z762" s="8"/>
    </row>
    <row r="763" spans="1:26" ht="12.75">
      <c r="A763" s="299"/>
      <c r="B763" s="300"/>
      <c r="C763" s="299"/>
      <c r="D763" s="299"/>
      <c r="E763" s="299"/>
      <c r="F763" s="299"/>
      <c r="G763" s="299"/>
      <c r="H763" s="1348"/>
      <c r="I763" s="299"/>
      <c r="J763" s="299"/>
      <c r="K763" s="299"/>
      <c r="L763" s="1336"/>
      <c r="M763" s="299"/>
      <c r="N763" s="299"/>
      <c r="O763" s="299"/>
      <c r="P763" s="299"/>
      <c r="Q763" s="299"/>
      <c r="R763" s="299"/>
      <c r="S763" s="299"/>
      <c r="T763" s="299"/>
      <c r="U763" s="299"/>
      <c r="V763" s="299"/>
      <c r="W763" s="8"/>
      <c r="X763" s="8"/>
      <c r="Y763" s="8"/>
      <c r="Z763" s="8"/>
    </row>
    <row r="764" spans="1:26" ht="12.75">
      <c r="A764" s="299"/>
      <c r="B764" s="300"/>
      <c r="C764" s="299"/>
      <c r="D764" s="299"/>
      <c r="E764" s="299"/>
      <c r="F764" s="299"/>
      <c r="G764" s="299"/>
      <c r="H764" s="1348"/>
      <c r="I764" s="299"/>
      <c r="J764" s="299"/>
      <c r="K764" s="299"/>
      <c r="L764" s="1336"/>
      <c r="M764" s="299"/>
      <c r="N764" s="299"/>
      <c r="O764" s="299"/>
      <c r="P764" s="299"/>
      <c r="Q764" s="299"/>
      <c r="R764" s="299"/>
      <c r="S764" s="299"/>
      <c r="T764" s="299"/>
      <c r="U764" s="299"/>
      <c r="V764" s="299"/>
      <c r="W764" s="8"/>
      <c r="X764" s="8"/>
      <c r="Y764" s="8"/>
      <c r="Z764" s="8"/>
    </row>
    <row r="765" spans="1:26" ht="12.75">
      <c r="A765" s="299"/>
      <c r="B765" s="300"/>
      <c r="C765" s="299"/>
      <c r="D765" s="299"/>
      <c r="E765" s="299"/>
      <c r="F765" s="299"/>
      <c r="G765" s="299"/>
      <c r="H765" s="1348"/>
      <c r="I765" s="299"/>
      <c r="J765" s="299"/>
      <c r="K765" s="299"/>
      <c r="L765" s="1336"/>
      <c r="M765" s="299"/>
      <c r="N765" s="299"/>
      <c r="O765" s="299"/>
      <c r="P765" s="299"/>
      <c r="Q765" s="299"/>
      <c r="R765" s="299"/>
      <c r="S765" s="299"/>
      <c r="T765" s="299"/>
      <c r="U765" s="299"/>
      <c r="V765" s="299"/>
      <c r="W765" s="8"/>
      <c r="X765" s="8"/>
      <c r="Y765" s="8"/>
      <c r="Z765" s="8"/>
    </row>
    <row r="766" spans="1:26" ht="12.75">
      <c r="A766" s="299"/>
      <c r="B766" s="300"/>
      <c r="C766" s="299"/>
      <c r="D766" s="299"/>
      <c r="E766" s="299"/>
      <c r="F766" s="299"/>
      <c r="G766" s="299"/>
      <c r="H766" s="1348"/>
      <c r="I766" s="299"/>
      <c r="J766" s="299"/>
      <c r="K766" s="299"/>
      <c r="L766" s="1336"/>
      <c r="M766" s="299"/>
      <c r="N766" s="299"/>
      <c r="O766" s="299"/>
      <c r="P766" s="299"/>
      <c r="Q766" s="299"/>
      <c r="R766" s="299"/>
      <c r="S766" s="299"/>
      <c r="T766" s="299"/>
      <c r="U766" s="299"/>
      <c r="V766" s="299"/>
      <c r="W766" s="8"/>
      <c r="X766" s="8"/>
      <c r="Y766" s="8"/>
      <c r="Z766" s="8"/>
    </row>
    <row r="767" spans="1:26" ht="12.75">
      <c r="A767" s="299"/>
      <c r="B767" s="300"/>
      <c r="C767" s="299"/>
      <c r="D767" s="299"/>
      <c r="E767" s="299"/>
      <c r="F767" s="299"/>
      <c r="G767" s="299"/>
      <c r="H767" s="1348"/>
      <c r="I767" s="299"/>
      <c r="J767" s="299"/>
      <c r="K767" s="299"/>
      <c r="L767" s="1336"/>
      <c r="M767" s="299"/>
      <c r="N767" s="299"/>
      <c r="O767" s="299"/>
      <c r="P767" s="299"/>
      <c r="Q767" s="299"/>
      <c r="R767" s="299"/>
      <c r="S767" s="299"/>
      <c r="T767" s="299"/>
      <c r="U767" s="299"/>
      <c r="V767" s="299"/>
      <c r="W767" s="8"/>
      <c r="X767" s="8"/>
      <c r="Y767" s="8"/>
      <c r="Z767" s="8"/>
    </row>
    <row r="768" spans="1:26" ht="12.75">
      <c r="A768" s="299"/>
      <c r="B768" s="300"/>
      <c r="C768" s="299"/>
      <c r="D768" s="299"/>
      <c r="E768" s="299"/>
      <c r="F768" s="299"/>
      <c r="G768" s="299"/>
      <c r="H768" s="1348"/>
      <c r="I768" s="299"/>
      <c r="J768" s="299"/>
      <c r="K768" s="299"/>
      <c r="L768" s="1336"/>
      <c r="M768" s="299"/>
      <c r="N768" s="299"/>
      <c r="O768" s="299"/>
      <c r="P768" s="299"/>
      <c r="Q768" s="299"/>
      <c r="R768" s="299"/>
      <c r="S768" s="299"/>
      <c r="T768" s="299"/>
      <c r="U768" s="299"/>
      <c r="V768" s="299"/>
      <c r="W768" s="8"/>
      <c r="X768" s="8"/>
      <c r="Y768" s="8"/>
      <c r="Z768" s="8"/>
    </row>
    <row r="769" spans="1:26" ht="12.75">
      <c r="A769" s="299"/>
      <c r="B769" s="300"/>
      <c r="C769" s="299"/>
      <c r="D769" s="299"/>
      <c r="E769" s="299"/>
      <c r="F769" s="299"/>
      <c r="G769" s="299"/>
      <c r="H769" s="1348"/>
      <c r="I769" s="299"/>
      <c r="J769" s="299"/>
      <c r="K769" s="299"/>
      <c r="L769" s="1336"/>
      <c r="M769" s="299"/>
      <c r="N769" s="299"/>
      <c r="O769" s="299"/>
      <c r="P769" s="299"/>
      <c r="Q769" s="299"/>
      <c r="R769" s="299"/>
      <c r="S769" s="299"/>
      <c r="T769" s="299"/>
      <c r="U769" s="299"/>
      <c r="V769" s="299"/>
      <c r="W769" s="8"/>
      <c r="X769" s="8"/>
      <c r="Y769" s="8"/>
      <c r="Z769" s="8"/>
    </row>
    <row r="770" spans="1:26" ht="12.75">
      <c r="A770" s="299"/>
      <c r="B770" s="300"/>
      <c r="C770" s="299"/>
      <c r="D770" s="299"/>
      <c r="E770" s="299"/>
      <c r="F770" s="299"/>
      <c r="G770" s="299"/>
      <c r="H770" s="1348"/>
      <c r="I770" s="299"/>
      <c r="J770" s="299"/>
      <c r="K770" s="299"/>
      <c r="L770" s="1336"/>
      <c r="M770" s="299"/>
      <c r="N770" s="299"/>
      <c r="O770" s="299"/>
      <c r="P770" s="299"/>
      <c r="Q770" s="299"/>
      <c r="R770" s="299"/>
      <c r="S770" s="299"/>
      <c r="T770" s="299"/>
      <c r="U770" s="299"/>
      <c r="V770" s="299"/>
      <c r="W770" s="8"/>
      <c r="X770" s="8"/>
      <c r="Y770" s="8"/>
      <c r="Z770" s="8"/>
    </row>
    <row r="771" spans="1:26" ht="12.75">
      <c r="A771" s="299"/>
      <c r="B771" s="300"/>
      <c r="C771" s="299"/>
      <c r="D771" s="299"/>
      <c r="E771" s="299"/>
      <c r="F771" s="299"/>
      <c r="G771" s="299"/>
      <c r="H771" s="1348"/>
      <c r="I771" s="299"/>
      <c r="J771" s="299"/>
      <c r="K771" s="299"/>
      <c r="L771" s="1336"/>
      <c r="M771" s="299"/>
      <c r="N771" s="299"/>
      <c r="O771" s="299"/>
      <c r="P771" s="299"/>
      <c r="Q771" s="299"/>
      <c r="R771" s="299"/>
      <c r="S771" s="299"/>
      <c r="T771" s="299"/>
      <c r="U771" s="299"/>
      <c r="V771" s="299"/>
      <c r="W771" s="8"/>
      <c r="X771" s="8"/>
      <c r="Y771" s="8"/>
      <c r="Z771" s="8"/>
    </row>
    <row r="772" spans="1:26" ht="12.75">
      <c r="A772" s="299"/>
      <c r="B772" s="300"/>
      <c r="C772" s="299"/>
      <c r="D772" s="299"/>
      <c r="E772" s="299"/>
      <c r="F772" s="299"/>
      <c r="G772" s="299"/>
      <c r="H772" s="1348"/>
      <c r="I772" s="299"/>
      <c r="J772" s="299"/>
      <c r="K772" s="299"/>
      <c r="L772" s="1336"/>
      <c r="M772" s="299"/>
      <c r="N772" s="299"/>
      <c r="O772" s="299"/>
      <c r="P772" s="299"/>
      <c r="Q772" s="299"/>
      <c r="R772" s="299"/>
      <c r="S772" s="299"/>
      <c r="T772" s="299"/>
      <c r="U772" s="299"/>
      <c r="V772" s="299"/>
      <c r="W772" s="8"/>
      <c r="X772" s="8"/>
      <c r="Y772" s="8"/>
      <c r="Z772" s="8"/>
    </row>
    <row r="773" spans="1:26" ht="12.75">
      <c r="A773" s="299"/>
      <c r="B773" s="300"/>
      <c r="C773" s="299"/>
      <c r="D773" s="299"/>
      <c r="E773" s="299"/>
      <c r="F773" s="299"/>
      <c r="G773" s="299"/>
      <c r="H773" s="1348"/>
      <c r="I773" s="299"/>
      <c r="J773" s="299"/>
      <c r="K773" s="299"/>
      <c r="L773" s="1336"/>
      <c r="M773" s="299"/>
      <c r="N773" s="299"/>
      <c r="O773" s="299"/>
      <c r="P773" s="299"/>
      <c r="Q773" s="299"/>
      <c r="R773" s="299"/>
      <c r="S773" s="299"/>
      <c r="T773" s="299"/>
      <c r="U773" s="299"/>
      <c r="V773" s="299"/>
      <c r="W773" s="8"/>
      <c r="X773" s="8"/>
      <c r="Y773" s="8"/>
      <c r="Z773" s="8"/>
    </row>
    <row r="774" spans="1:26" ht="12.75">
      <c r="A774" s="299"/>
      <c r="B774" s="300"/>
      <c r="C774" s="299"/>
      <c r="D774" s="299"/>
      <c r="E774" s="299"/>
      <c r="F774" s="299"/>
      <c r="G774" s="299"/>
      <c r="H774" s="1348"/>
      <c r="I774" s="299"/>
      <c r="J774" s="299"/>
      <c r="K774" s="299"/>
      <c r="L774" s="1336"/>
      <c r="M774" s="299"/>
      <c r="N774" s="299"/>
      <c r="O774" s="299"/>
      <c r="P774" s="299"/>
      <c r="Q774" s="299"/>
      <c r="R774" s="299"/>
      <c r="S774" s="299"/>
      <c r="T774" s="299"/>
      <c r="U774" s="299"/>
      <c r="V774" s="299"/>
      <c r="W774" s="8"/>
      <c r="X774" s="8"/>
      <c r="Y774" s="8"/>
      <c r="Z774" s="8"/>
    </row>
    <row r="775" spans="1:26" ht="12.75">
      <c r="A775" s="299"/>
      <c r="B775" s="300"/>
      <c r="C775" s="299"/>
      <c r="D775" s="299"/>
      <c r="E775" s="299"/>
      <c r="F775" s="299"/>
      <c r="G775" s="299"/>
      <c r="H775" s="1348"/>
      <c r="I775" s="299"/>
      <c r="J775" s="299"/>
      <c r="K775" s="299"/>
      <c r="L775" s="1336"/>
      <c r="M775" s="299"/>
      <c r="N775" s="299"/>
      <c r="O775" s="299"/>
      <c r="P775" s="299"/>
      <c r="Q775" s="299"/>
      <c r="R775" s="299"/>
      <c r="S775" s="299"/>
      <c r="T775" s="299"/>
      <c r="U775" s="299"/>
      <c r="V775" s="299"/>
      <c r="W775" s="8"/>
      <c r="X775" s="8"/>
      <c r="Y775" s="8"/>
      <c r="Z775" s="8"/>
    </row>
    <row r="776" spans="1:26" ht="12.75">
      <c r="A776" s="299"/>
      <c r="B776" s="300"/>
      <c r="C776" s="299"/>
      <c r="D776" s="299"/>
      <c r="E776" s="299"/>
      <c r="F776" s="299"/>
      <c r="G776" s="299"/>
      <c r="H776" s="1348"/>
      <c r="I776" s="299"/>
      <c r="J776" s="299"/>
      <c r="K776" s="299"/>
      <c r="L776" s="1336"/>
      <c r="M776" s="299"/>
      <c r="N776" s="299"/>
      <c r="O776" s="299"/>
      <c r="P776" s="299"/>
      <c r="Q776" s="299"/>
      <c r="R776" s="299"/>
      <c r="S776" s="299"/>
      <c r="T776" s="299"/>
      <c r="U776" s="299"/>
      <c r="V776" s="299"/>
      <c r="W776" s="8"/>
      <c r="X776" s="8"/>
      <c r="Y776" s="8"/>
      <c r="Z776" s="8"/>
    </row>
    <row r="777" spans="1:26" ht="12.75">
      <c r="A777" s="299"/>
      <c r="B777" s="300"/>
      <c r="C777" s="299"/>
      <c r="D777" s="299"/>
      <c r="E777" s="299"/>
      <c r="F777" s="299"/>
      <c r="G777" s="299"/>
      <c r="H777" s="1348"/>
      <c r="I777" s="299"/>
      <c r="J777" s="299"/>
      <c r="K777" s="299"/>
      <c r="L777" s="1336"/>
      <c r="M777" s="299"/>
      <c r="N777" s="299"/>
      <c r="O777" s="299"/>
      <c r="P777" s="299"/>
      <c r="Q777" s="299"/>
      <c r="R777" s="299"/>
      <c r="S777" s="299"/>
      <c r="T777" s="299"/>
      <c r="U777" s="299"/>
      <c r="V777" s="299"/>
      <c r="W777" s="8"/>
      <c r="X777" s="8"/>
      <c r="Y777" s="8"/>
      <c r="Z777" s="8"/>
    </row>
    <row r="778" spans="1:26" ht="12.75">
      <c r="A778" s="299"/>
      <c r="B778" s="300"/>
      <c r="C778" s="299"/>
      <c r="D778" s="299"/>
      <c r="E778" s="299"/>
      <c r="F778" s="299"/>
      <c r="G778" s="299"/>
      <c r="H778" s="1348"/>
      <c r="I778" s="299"/>
      <c r="J778" s="299"/>
      <c r="K778" s="299"/>
      <c r="L778" s="1336"/>
      <c r="M778" s="299"/>
      <c r="N778" s="299"/>
      <c r="O778" s="299"/>
      <c r="P778" s="299"/>
      <c r="Q778" s="299"/>
      <c r="R778" s="299"/>
      <c r="S778" s="299"/>
      <c r="T778" s="299"/>
      <c r="U778" s="299"/>
      <c r="V778" s="299"/>
      <c r="W778" s="8"/>
      <c r="X778" s="8"/>
      <c r="Y778" s="8"/>
      <c r="Z778" s="8"/>
    </row>
    <row r="779" spans="1:26" ht="12.75">
      <c r="A779" s="299"/>
      <c r="B779" s="300"/>
      <c r="C779" s="299"/>
      <c r="D779" s="299"/>
      <c r="E779" s="299"/>
      <c r="F779" s="299"/>
      <c r="G779" s="299"/>
      <c r="H779" s="1348"/>
      <c r="I779" s="299"/>
      <c r="J779" s="299"/>
      <c r="K779" s="299"/>
      <c r="L779" s="1336"/>
      <c r="M779" s="299"/>
      <c r="N779" s="299"/>
      <c r="O779" s="299"/>
      <c r="P779" s="299"/>
      <c r="Q779" s="299"/>
      <c r="R779" s="299"/>
      <c r="S779" s="299"/>
      <c r="T779" s="299"/>
      <c r="U779" s="299"/>
      <c r="V779" s="299"/>
      <c r="W779" s="8"/>
      <c r="X779" s="8"/>
      <c r="Y779" s="8"/>
      <c r="Z779" s="8"/>
    </row>
    <row r="780" spans="1:26" ht="12.75">
      <c r="A780" s="299"/>
      <c r="B780" s="300"/>
      <c r="C780" s="299"/>
      <c r="D780" s="299"/>
      <c r="E780" s="299"/>
      <c r="F780" s="299"/>
      <c r="G780" s="299"/>
      <c r="H780" s="1348"/>
      <c r="I780" s="299"/>
      <c r="J780" s="299"/>
      <c r="K780" s="299"/>
      <c r="L780" s="1336"/>
      <c r="M780" s="299"/>
      <c r="N780" s="299"/>
      <c r="O780" s="299"/>
      <c r="P780" s="299"/>
      <c r="Q780" s="299"/>
      <c r="R780" s="299"/>
      <c r="S780" s="299"/>
      <c r="T780" s="299"/>
      <c r="U780" s="299"/>
      <c r="V780" s="299"/>
      <c r="W780" s="8"/>
      <c r="X780" s="8"/>
      <c r="Y780" s="8"/>
      <c r="Z780" s="8"/>
    </row>
    <row r="781" spans="1:26" ht="12.75">
      <c r="A781" s="299"/>
      <c r="B781" s="300"/>
      <c r="C781" s="299"/>
      <c r="D781" s="299"/>
      <c r="E781" s="299"/>
      <c r="F781" s="299"/>
      <c r="G781" s="299"/>
      <c r="H781" s="1348"/>
      <c r="I781" s="299"/>
      <c r="J781" s="299"/>
      <c r="K781" s="299"/>
      <c r="L781" s="1336"/>
      <c r="M781" s="299"/>
      <c r="N781" s="299"/>
      <c r="O781" s="299"/>
      <c r="P781" s="299"/>
      <c r="Q781" s="299"/>
      <c r="R781" s="299"/>
      <c r="S781" s="299"/>
      <c r="T781" s="299"/>
      <c r="U781" s="299"/>
      <c r="V781" s="299"/>
      <c r="W781" s="8"/>
      <c r="X781" s="8"/>
      <c r="Y781" s="8"/>
      <c r="Z781" s="8"/>
    </row>
    <row r="782" spans="1:26" ht="12.75">
      <c r="A782" s="299"/>
      <c r="B782" s="300"/>
      <c r="C782" s="299"/>
      <c r="D782" s="299"/>
      <c r="E782" s="299"/>
      <c r="F782" s="299"/>
      <c r="G782" s="299"/>
      <c r="H782" s="1348"/>
      <c r="I782" s="299"/>
      <c r="J782" s="299"/>
      <c r="K782" s="299"/>
      <c r="L782" s="1336"/>
      <c r="M782" s="299"/>
      <c r="N782" s="299"/>
      <c r="O782" s="299"/>
      <c r="P782" s="299"/>
      <c r="Q782" s="299"/>
      <c r="R782" s="299"/>
      <c r="S782" s="299"/>
      <c r="T782" s="299"/>
      <c r="U782" s="299"/>
      <c r="V782" s="299"/>
      <c r="W782" s="8"/>
      <c r="X782" s="8"/>
      <c r="Y782" s="8"/>
      <c r="Z782" s="8"/>
    </row>
    <row r="783" spans="1:26" ht="12.75">
      <c r="A783" s="299"/>
      <c r="B783" s="300"/>
      <c r="C783" s="299"/>
      <c r="D783" s="299"/>
      <c r="E783" s="299"/>
      <c r="F783" s="299"/>
      <c r="G783" s="299"/>
      <c r="H783" s="1348"/>
      <c r="I783" s="299"/>
      <c r="J783" s="299"/>
      <c r="K783" s="299"/>
      <c r="L783" s="1336"/>
      <c r="M783" s="299"/>
      <c r="N783" s="299"/>
      <c r="O783" s="299"/>
      <c r="P783" s="299"/>
      <c r="Q783" s="299"/>
      <c r="R783" s="299"/>
      <c r="S783" s="299"/>
      <c r="T783" s="299"/>
      <c r="U783" s="299"/>
      <c r="V783" s="299"/>
      <c r="W783" s="8"/>
      <c r="X783" s="8"/>
      <c r="Y783" s="8"/>
      <c r="Z783" s="8"/>
    </row>
    <row r="784" spans="1:26" ht="12.75">
      <c r="A784" s="299"/>
      <c r="B784" s="300"/>
      <c r="C784" s="299"/>
      <c r="D784" s="299"/>
      <c r="E784" s="299"/>
      <c r="F784" s="299"/>
      <c r="G784" s="299"/>
      <c r="H784" s="1348"/>
      <c r="I784" s="299"/>
      <c r="J784" s="299"/>
      <c r="K784" s="299"/>
      <c r="L784" s="1336"/>
      <c r="M784" s="299"/>
      <c r="N784" s="299"/>
      <c r="O784" s="299"/>
      <c r="P784" s="299"/>
      <c r="Q784" s="299"/>
      <c r="R784" s="299"/>
      <c r="S784" s="299"/>
      <c r="T784" s="299"/>
      <c r="U784" s="299"/>
      <c r="V784" s="299"/>
      <c r="W784" s="8"/>
      <c r="X784" s="8"/>
      <c r="Y784" s="8"/>
      <c r="Z784" s="8"/>
    </row>
    <row r="785" spans="1:26" ht="12.75">
      <c r="A785" s="299"/>
      <c r="B785" s="300"/>
      <c r="C785" s="299"/>
      <c r="D785" s="299"/>
      <c r="E785" s="299"/>
      <c r="F785" s="299"/>
      <c r="G785" s="299"/>
      <c r="H785" s="1348"/>
      <c r="I785" s="299"/>
      <c r="J785" s="299"/>
      <c r="K785" s="299"/>
      <c r="L785" s="1336"/>
      <c r="M785" s="299"/>
      <c r="N785" s="299"/>
      <c r="O785" s="299"/>
      <c r="P785" s="299"/>
      <c r="Q785" s="299"/>
      <c r="R785" s="299"/>
      <c r="S785" s="299"/>
      <c r="T785" s="299"/>
      <c r="U785" s="299"/>
      <c r="V785" s="299"/>
      <c r="W785" s="8"/>
      <c r="X785" s="8"/>
      <c r="Y785" s="8"/>
      <c r="Z785" s="8"/>
    </row>
    <row r="786" spans="1:26" ht="12.75">
      <c r="A786" s="299"/>
      <c r="B786" s="300"/>
      <c r="C786" s="299"/>
      <c r="D786" s="299"/>
      <c r="E786" s="299"/>
      <c r="F786" s="299"/>
      <c r="G786" s="299"/>
      <c r="H786" s="1348"/>
      <c r="I786" s="299"/>
      <c r="J786" s="299"/>
      <c r="K786" s="299"/>
      <c r="L786" s="1336"/>
      <c r="M786" s="299"/>
      <c r="N786" s="299"/>
      <c r="O786" s="299"/>
      <c r="P786" s="299"/>
      <c r="Q786" s="299"/>
      <c r="R786" s="299"/>
      <c r="S786" s="299"/>
      <c r="T786" s="299"/>
      <c r="U786" s="299"/>
      <c r="V786" s="299"/>
      <c r="W786" s="8"/>
      <c r="X786" s="8"/>
      <c r="Y786" s="8"/>
      <c r="Z786" s="8"/>
    </row>
    <row r="787" spans="1:26" ht="12.75">
      <c r="A787" s="299"/>
      <c r="B787" s="300"/>
      <c r="C787" s="299"/>
      <c r="D787" s="299"/>
      <c r="E787" s="299"/>
      <c r="F787" s="299"/>
      <c r="G787" s="299"/>
      <c r="H787" s="1348"/>
      <c r="I787" s="299"/>
      <c r="J787" s="299"/>
      <c r="K787" s="299"/>
      <c r="L787" s="1336"/>
      <c r="M787" s="299"/>
      <c r="N787" s="299"/>
      <c r="O787" s="299"/>
      <c r="P787" s="299"/>
      <c r="Q787" s="299"/>
      <c r="R787" s="299"/>
      <c r="S787" s="299"/>
      <c r="T787" s="299"/>
      <c r="U787" s="299"/>
      <c r="V787" s="299"/>
      <c r="W787" s="8"/>
      <c r="X787" s="8"/>
      <c r="Y787" s="8"/>
      <c r="Z787" s="8"/>
    </row>
    <row r="788" spans="1:26" ht="12.75">
      <c r="A788" s="299"/>
      <c r="B788" s="300"/>
      <c r="C788" s="299"/>
      <c r="D788" s="299"/>
      <c r="E788" s="299"/>
      <c r="F788" s="299"/>
      <c r="G788" s="299"/>
      <c r="H788" s="1348"/>
      <c r="I788" s="299"/>
      <c r="J788" s="299"/>
      <c r="K788" s="299"/>
      <c r="L788" s="1336"/>
      <c r="M788" s="299"/>
      <c r="N788" s="299"/>
      <c r="O788" s="299"/>
      <c r="P788" s="299"/>
      <c r="Q788" s="299"/>
      <c r="R788" s="299"/>
      <c r="S788" s="299"/>
      <c r="T788" s="299"/>
      <c r="U788" s="299"/>
      <c r="V788" s="299"/>
      <c r="W788" s="8"/>
      <c r="X788" s="8"/>
      <c r="Y788" s="8"/>
      <c r="Z788" s="8"/>
    </row>
    <row r="789" spans="1:26" ht="12.75">
      <c r="A789" s="299"/>
      <c r="B789" s="300"/>
      <c r="C789" s="299"/>
      <c r="D789" s="299"/>
      <c r="E789" s="299"/>
      <c r="F789" s="299"/>
      <c r="G789" s="299"/>
      <c r="H789" s="1348"/>
      <c r="I789" s="299"/>
      <c r="J789" s="299"/>
      <c r="K789" s="299"/>
      <c r="L789" s="1336"/>
      <c r="M789" s="299"/>
      <c r="N789" s="299"/>
      <c r="O789" s="299"/>
      <c r="P789" s="299"/>
      <c r="Q789" s="299"/>
      <c r="R789" s="299"/>
      <c r="S789" s="299"/>
      <c r="T789" s="299"/>
      <c r="U789" s="299"/>
      <c r="V789" s="299"/>
      <c r="W789" s="8"/>
      <c r="X789" s="8"/>
      <c r="Y789" s="8"/>
      <c r="Z789" s="8"/>
    </row>
    <row r="790" spans="1:26" ht="12.75">
      <c r="A790" s="299"/>
      <c r="B790" s="300"/>
      <c r="C790" s="299"/>
      <c r="D790" s="299"/>
      <c r="E790" s="299"/>
      <c r="F790" s="299"/>
      <c r="G790" s="299"/>
      <c r="H790" s="1348"/>
      <c r="I790" s="299"/>
      <c r="J790" s="299"/>
      <c r="K790" s="299"/>
      <c r="L790" s="1336"/>
      <c r="M790" s="299"/>
      <c r="N790" s="299"/>
      <c r="O790" s="299"/>
      <c r="P790" s="299"/>
      <c r="Q790" s="299"/>
      <c r="R790" s="299"/>
      <c r="S790" s="299"/>
      <c r="T790" s="299"/>
      <c r="U790" s="299"/>
      <c r="V790" s="299"/>
      <c r="W790" s="8"/>
      <c r="X790" s="8"/>
      <c r="Y790" s="8"/>
      <c r="Z790" s="8"/>
    </row>
    <row r="791" spans="1:26" ht="12.75">
      <c r="A791" s="299"/>
      <c r="B791" s="300"/>
      <c r="C791" s="299"/>
      <c r="D791" s="299"/>
      <c r="E791" s="299"/>
      <c r="F791" s="299"/>
      <c r="G791" s="299"/>
      <c r="H791" s="1348"/>
      <c r="I791" s="299"/>
      <c r="J791" s="299"/>
      <c r="K791" s="299"/>
      <c r="L791" s="1336"/>
      <c r="M791" s="299"/>
      <c r="N791" s="299"/>
      <c r="O791" s="299"/>
      <c r="P791" s="299"/>
      <c r="Q791" s="299"/>
      <c r="R791" s="299"/>
      <c r="S791" s="299"/>
      <c r="T791" s="299"/>
      <c r="U791" s="299"/>
      <c r="V791" s="299"/>
      <c r="W791" s="8"/>
      <c r="X791" s="8"/>
      <c r="Y791" s="8"/>
      <c r="Z791" s="8"/>
    </row>
    <row r="792" spans="1:26" ht="12.75">
      <c r="A792" s="299"/>
      <c r="B792" s="300"/>
      <c r="C792" s="299"/>
      <c r="D792" s="299"/>
      <c r="E792" s="299"/>
      <c r="F792" s="299"/>
      <c r="G792" s="299"/>
      <c r="H792" s="1348"/>
      <c r="I792" s="299"/>
      <c r="J792" s="299"/>
      <c r="K792" s="299"/>
      <c r="L792" s="1336"/>
      <c r="M792" s="299"/>
      <c r="N792" s="299"/>
      <c r="O792" s="299"/>
      <c r="P792" s="299"/>
      <c r="Q792" s="299"/>
      <c r="R792" s="299"/>
      <c r="S792" s="299"/>
      <c r="T792" s="299"/>
      <c r="U792" s="299"/>
      <c r="V792" s="299"/>
      <c r="W792" s="8"/>
      <c r="X792" s="8"/>
      <c r="Y792" s="8"/>
      <c r="Z792" s="8"/>
    </row>
    <row r="793" spans="1:26" ht="12.75">
      <c r="A793" s="299"/>
      <c r="B793" s="300"/>
      <c r="C793" s="299"/>
      <c r="D793" s="299"/>
      <c r="E793" s="299"/>
      <c r="F793" s="299"/>
      <c r="G793" s="299"/>
      <c r="H793" s="1348"/>
      <c r="I793" s="299"/>
      <c r="J793" s="299"/>
      <c r="K793" s="299"/>
      <c r="L793" s="1336"/>
      <c r="M793" s="299"/>
      <c r="N793" s="299"/>
      <c r="O793" s="299"/>
      <c r="P793" s="299"/>
      <c r="Q793" s="299"/>
      <c r="R793" s="299"/>
      <c r="S793" s="299"/>
      <c r="T793" s="299"/>
      <c r="U793" s="299"/>
      <c r="V793" s="299"/>
      <c r="W793" s="8"/>
      <c r="X793" s="8"/>
      <c r="Y793" s="8"/>
      <c r="Z793" s="8"/>
    </row>
    <row r="794" spans="1:26" ht="12.75">
      <c r="A794" s="299"/>
      <c r="B794" s="300"/>
      <c r="C794" s="299"/>
      <c r="D794" s="299"/>
      <c r="E794" s="299"/>
      <c r="F794" s="299"/>
      <c r="G794" s="299"/>
      <c r="H794" s="1348"/>
      <c r="I794" s="299"/>
      <c r="J794" s="299"/>
      <c r="K794" s="299"/>
      <c r="L794" s="1336"/>
      <c r="M794" s="299"/>
      <c r="N794" s="299"/>
      <c r="O794" s="299"/>
      <c r="P794" s="299"/>
      <c r="Q794" s="299"/>
      <c r="R794" s="299"/>
      <c r="S794" s="299"/>
      <c r="T794" s="299"/>
      <c r="U794" s="299"/>
      <c r="V794" s="299"/>
      <c r="W794" s="8"/>
      <c r="X794" s="8"/>
      <c r="Y794" s="8"/>
      <c r="Z794" s="8"/>
    </row>
    <row r="795" spans="1:26" ht="12.75">
      <c r="A795" s="299"/>
      <c r="B795" s="300"/>
      <c r="C795" s="299"/>
      <c r="D795" s="299"/>
      <c r="E795" s="299"/>
      <c r="F795" s="299"/>
      <c r="G795" s="299"/>
      <c r="H795" s="1348"/>
      <c r="I795" s="299"/>
      <c r="J795" s="299"/>
      <c r="K795" s="299"/>
      <c r="L795" s="1336"/>
      <c r="M795" s="299"/>
      <c r="N795" s="299"/>
      <c r="O795" s="299"/>
      <c r="P795" s="299"/>
      <c r="Q795" s="299"/>
      <c r="R795" s="299"/>
      <c r="S795" s="299"/>
      <c r="T795" s="299"/>
      <c r="U795" s="299"/>
      <c r="V795" s="299"/>
      <c r="W795" s="8"/>
      <c r="X795" s="8"/>
      <c r="Y795" s="8"/>
      <c r="Z795" s="8"/>
    </row>
    <row r="796" spans="1:26" ht="12.75">
      <c r="A796" s="299"/>
      <c r="B796" s="300"/>
      <c r="C796" s="299"/>
      <c r="D796" s="299"/>
      <c r="E796" s="299"/>
      <c r="F796" s="299"/>
      <c r="G796" s="299"/>
      <c r="H796" s="1348"/>
      <c r="I796" s="299"/>
      <c r="J796" s="299"/>
      <c r="K796" s="299"/>
      <c r="L796" s="1336"/>
      <c r="M796" s="299"/>
      <c r="N796" s="299"/>
      <c r="O796" s="299"/>
      <c r="P796" s="299"/>
      <c r="Q796" s="299"/>
      <c r="R796" s="299"/>
      <c r="S796" s="299"/>
      <c r="T796" s="299"/>
      <c r="U796" s="299"/>
      <c r="V796" s="299"/>
      <c r="W796" s="8"/>
      <c r="X796" s="8"/>
      <c r="Y796" s="8"/>
      <c r="Z796" s="8"/>
    </row>
    <row r="797" spans="1:26" ht="12.75">
      <c r="A797" s="299"/>
      <c r="B797" s="300"/>
      <c r="C797" s="299"/>
      <c r="D797" s="299"/>
      <c r="E797" s="299"/>
      <c r="F797" s="299"/>
      <c r="G797" s="299"/>
      <c r="H797" s="1348"/>
      <c r="I797" s="299"/>
      <c r="J797" s="299"/>
      <c r="K797" s="299"/>
      <c r="L797" s="1336"/>
      <c r="M797" s="299"/>
      <c r="N797" s="299"/>
      <c r="O797" s="299"/>
      <c r="P797" s="299"/>
      <c r="Q797" s="299"/>
      <c r="R797" s="299"/>
      <c r="S797" s="299"/>
      <c r="T797" s="299"/>
      <c r="U797" s="299"/>
      <c r="V797" s="299"/>
      <c r="W797" s="8"/>
      <c r="X797" s="8"/>
      <c r="Y797" s="8"/>
      <c r="Z797" s="8"/>
    </row>
    <row r="798" spans="1:26" ht="12.75">
      <c r="A798" s="299"/>
      <c r="B798" s="300"/>
      <c r="C798" s="299"/>
      <c r="D798" s="299"/>
      <c r="E798" s="299"/>
      <c r="F798" s="299"/>
      <c r="G798" s="299"/>
      <c r="H798" s="1348"/>
      <c r="I798" s="299"/>
      <c r="J798" s="299"/>
      <c r="K798" s="299"/>
      <c r="L798" s="1336"/>
      <c r="M798" s="299"/>
      <c r="N798" s="299"/>
      <c r="O798" s="299"/>
      <c r="P798" s="299"/>
      <c r="Q798" s="299"/>
      <c r="R798" s="299"/>
      <c r="S798" s="299"/>
      <c r="T798" s="299"/>
      <c r="U798" s="299"/>
      <c r="V798" s="299"/>
      <c r="W798" s="8"/>
      <c r="X798" s="8"/>
      <c r="Y798" s="8"/>
      <c r="Z798" s="8"/>
    </row>
    <row r="799" spans="1:26" ht="12.75">
      <c r="A799" s="299"/>
      <c r="B799" s="300"/>
      <c r="C799" s="299"/>
      <c r="D799" s="299"/>
      <c r="E799" s="299"/>
      <c r="F799" s="299"/>
      <c r="G799" s="299"/>
      <c r="H799" s="1348"/>
      <c r="I799" s="299"/>
      <c r="J799" s="299"/>
      <c r="K799" s="299"/>
      <c r="L799" s="1336"/>
      <c r="M799" s="299"/>
      <c r="N799" s="299"/>
      <c r="O799" s="299"/>
      <c r="P799" s="299"/>
      <c r="Q799" s="299"/>
      <c r="R799" s="299"/>
      <c r="S799" s="299"/>
      <c r="T799" s="299"/>
      <c r="U799" s="299"/>
      <c r="V799" s="299"/>
      <c r="W799" s="8"/>
      <c r="X799" s="8"/>
      <c r="Y799" s="8"/>
      <c r="Z799" s="8"/>
    </row>
    <row r="800" spans="1:26" ht="12.75">
      <c r="A800" s="299"/>
      <c r="B800" s="300"/>
      <c r="C800" s="299"/>
      <c r="D800" s="299"/>
      <c r="E800" s="299"/>
      <c r="F800" s="299"/>
      <c r="G800" s="299"/>
      <c r="H800" s="1348"/>
      <c r="I800" s="299"/>
      <c r="J800" s="299"/>
      <c r="K800" s="299"/>
      <c r="L800" s="1336"/>
      <c r="M800" s="299"/>
      <c r="N800" s="299"/>
      <c r="O800" s="299"/>
      <c r="P800" s="299"/>
      <c r="Q800" s="299"/>
      <c r="R800" s="299"/>
      <c r="S800" s="299"/>
      <c r="T800" s="299"/>
      <c r="U800" s="299"/>
      <c r="V800" s="299"/>
      <c r="W800" s="8"/>
      <c r="X800" s="8"/>
      <c r="Y800" s="8"/>
      <c r="Z800" s="8"/>
    </row>
    <row r="801" spans="1:26" ht="12.75">
      <c r="A801" s="299"/>
      <c r="B801" s="300"/>
      <c r="C801" s="299"/>
      <c r="D801" s="299"/>
      <c r="E801" s="299"/>
      <c r="F801" s="299"/>
      <c r="G801" s="299"/>
      <c r="H801" s="1348"/>
      <c r="I801" s="299"/>
      <c r="J801" s="299"/>
      <c r="K801" s="299"/>
      <c r="L801" s="1336"/>
      <c r="M801" s="299"/>
      <c r="N801" s="299"/>
      <c r="O801" s="299"/>
      <c r="P801" s="299"/>
      <c r="Q801" s="299"/>
      <c r="R801" s="299"/>
      <c r="S801" s="299"/>
      <c r="T801" s="299"/>
      <c r="U801" s="299"/>
      <c r="V801" s="299"/>
      <c r="W801" s="8"/>
      <c r="X801" s="8"/>
      <c r="Y801" s="8"/>
      <c r="Z801" s="8"/>
    </row>
    <row r="802" spans="1:26" ht="12.75">
      <c r="A802" s="299"/>
      <c r="B802" s="300"/>
      <c r="C802" s="299"/>
      <c r="D802" s="299"/>
      <c r="E802" s="299"/>
      <c r="F802" s="299"/>
      <c r="G802" s="299"/>
      <c r="H802" s="1348"/>
      <c r="I802" s="299"/>
      <c r="J802" s="299"/>
      <c r="K802" s="299"/>
      <c r="L802" s="1336"/>
      <c r="M802" s="299"/>
      <c r="N802" s="299"/>
      <c r="O802" s="299"/>
      <c r="P802" s="299"/>
      <c r="Q802" s="299"/>
      <c r="R802" s="299"/>
      <c r="S802" s="299"/>
      <c r="T802" s="299"/>
      <c r="U802" s="299"/>
      <c r="V802" s="299"/>
      <c r="W802" s="8"/>
      <c r="X802" s="8"/>
      <c r="Y802" s="8"/>
      <c r="Z802" s="8"/>
    </row>
    <row r="803" spans="1:26" ht="12.75">
      <c r="A803" s="299"/>
      <c r="B803" s="300"/>
      <c r="C803" s="299"/>
      <c r="D803" s="299"/>
      <c r="E803" s="299"/>
      <c r="F803" s="299"/>
      <c r="G803" s="299"/>
      <c r="H803" s="1348"/>
      <c r="I803" s="299"/>
      <c r="J803" s="299"/>
      <c r="K803" s="299"/>
      <c r="L803" s="1336"/>
      <c r="M803" s="299"/>
      <c r="N803" s="299"/>
      <c r="O803" s="299"/>
      <c r="P803" s="299"/>
      <c r="Q803" s="299"/>
      <c r="R803" s="299"/>
      <c r="S803" s="299"/>
      <c r="T803" s="299"/>
      <c r="U803" s="299"/>
      <c r="V803" s="299"/>
      <c r="W803" s="8"/>
      <c r="X803" s="8"/>
      <c r="Y803" s="8"/>
      <c r="Z803" s="8"/>
    </row>
    <row r="804" spans="1:26" ht="12.75">
      <c r="A804" s="299"/>
      <c r="B804" s="300"/>
      <c r="C804" s="299"/>
      <c r="D804" s="299"/>
      <c r="E804" s="299"/>
      <c r="F804" s="299"/>
      <c r="G804" s="299"/>
      <c r="H804" s="1348"/>
      <c r="I804" s="299"/>
      <c r="J804" s="299"/>
      <c r="K804" s="299"/>
      <c r="L804" s="1336"/>
      <c r="M804" s="299"/>
      <c r="N804" s="299"/>
      <c r="O804" s="299"/>
      <c r="P804" s="299"/>
      <c r="Q804" s="299"/>
      <c r="R804" s="299"/>
      <c r="S804" s="299"/>
      <c r="T804" s="299"/>
      <c r="U804" s="299"/>
      <c r="V804" s="299"/>
      <c r="W804" s="8"/>
      <c r="X804" s="8"/>
      <c r="Y804" s="8"/>
      <c r="Z804" s="8"/>
    </row>
    <row r="805" spans="1:26" ht="12.75">
      <c r="A805" s="299"/>
      <c r="B805" s="300"/>
      <c r="C805" s="299"/>
      <c r="D805" s="299"/>
      <c r="E805" s="299"/>
      <c r="F805" s="299"/>
      <c r="G805" s="299"/>
      <c r="H805" s="1348"/>
      <c r="I805" s="299"/>
      <c r="J805" s="299"/>
      <c r="K805" s="299"/>
      <c r="L805" s="1336"/>
      <c r="M805" s="299"/>
      <c r="N805" s="299"/>
      <c r="O805" s="299"/>
      <c r="P805" s="299"/>
      <c r="Q805" s="299"/>
      <c r="R805" s="299"/>
      <c r="S805" s="299"/>
      <c r="T805" s="299"/>
      <c r="U805" s="299"/>
      <c r="V805" s="299"/>
      <c r="W805" s="8"/>
      <c r="X805" s="8"/>
      <c r="Y805" s="8"/>
      <c r="Z805" s="8"/>
    </row>
    <row r="806" spans="1:26" ht="12.75">
      <c r="A806" s="299"/>
      <c r="B806" s="300"/>
      <c r="C806" s="299"/>
      <c r="D806" s="299"/>
      <c r="E806" s="299"/>
      <c r="F806" s="299"/>
      <c r="G806" s="299"/>
      <c r="H806" s="1348"/>
      <c r="I806" s="299"/>
      <c r="J806" s="299"/>
      <c r="K806" s="299"/>
      <c r="L806" s="1336"/>
      <c r="M806" s="299"/>
      <c r="N806" s="299"/>
      <c r="O806" s="299"/>
      <c r="P806" s="299"/>
      <c r="Q806" s="299"/>
      <c r="R806" s="299"/>
      <c r="S806" s="299"/>
      <c r="T806" s="299"/>
      <c r="U806" s="299"/>
      <c r="V806" s="299"/>
      <c r="W806" s="8"/>
      <c r="X806" s="8"/>
      <c r="Y806" s="8"/>
      <c r="Z806" s="8"/>
    </row>
    <row r="807" spans="1:26" ht="12.75">
      <c r="A807" s="299"/>
      <c r="B807" s="300"/>
      <c r="C807" s="299"/>
      <c r="D807" s="299"/>
      <c r="E807" s="299"/>
      <c r="F807" s="299"/>
      <c r="G807" s="299"/>
      <c r="H807" s="1348"/>
      <c r="I807" s="299"/>
      <c r="J807" s="299"/>
      <c r="K807" s="299"/>
      <c r="L807" s="1336"/>
      <c r="M807" s="299"/>
      <c r="N807" s="299"/>
      <c r="O807" s="299"/>
      <c r="P807" s="299"/>
      <c r="Q807" s="299"/>
      <c r="R807" s="299"/>
      <c r="S807" s="299"/>
      <c r="T807" s="299"/>
      <c r="U807" s="299"/>
      <c r="V807" s="299"/>
      <c r="W807" s="8"/>
      <c r="X807" s="8"/>
      <c r="Y807" s="8"/>
      <c r="Z807" s="8"/>
    </row>
    <row r="808" spans="1:26" ht="12.75">
      <c r="A808" s="299"/>
      <c r="B808" s="300"/>
      <c r="C808" s="299"/>
      <c r="D808" s="299"/>
      <c r="E808" s="299"/>
      <c r="F808" s="299"/>
      <c r="G808" s="299"/>
      <c r="H808" s="1348"/>
      <c r="I808" s="299"/>
      <c r="J808" s="299"/>
      <c r="K808" s="299"/>
      <c r="L808" s="1336"/>
      <c r="M808" s="299"/>
      <c r="N808" s="299"/>
      <c r="O808" s="299"/>
      <c r="P808" s="299"/>
      <c r="Q808" s="299"/>
      <c r="R808" s="299"/>
      <c r="S808" s="299"/>
      <c r="T808" s="299"/>
      <c r="U808" s="299"/>
      <c r="V808" s="299"/>
      <c r="W808" s="8"/>
      <c r="X808" s="8"/>
      <c r="Y808" s="8"/>
      <c r="Z808" s="8"/>
    </row>
    <row r="809" spans="1:26" ht="12.75">
      <c r="A809" s="299"/>
      <c r="B809" s="300"/>
      <c r="C809" s="299"/>
      <c r="D809" s="299"/>
      <c r="E809" s="299"/>
      <c r="F809" s="299"/>
      <c r="G809" s="299"/>
      <c r="H809" s="1348"/>
      <c r="I809" s="299"/>
      <c r="J809" s="299"/>
      <c r="K809" s="299"/>
      <c r="L809" s="1336"/>
      <c r="M809" s="299"/>
      <c r="N809" s="299"/>
      <c r="O809" s="299"/>
      <c r="P809" s="299"/>
      <c r="Q809" s="299"/>
      <c r="R809" s="299"/>
      <c r="S809" s="299"/>
      <c r="T809" s="299"/>
      <c r="U809" s="299"/>
      <c r="V809" s="299"/>
      <c r="W809" s="8"/>
      <c r="X809" s="8"/>
      <c r="Y809" s="8"/>
      <c r="Z809" s="8"/>
    </row>
    <row r="810" spans="1:26" ht="12.75">
      <c r="A810" s="299"/>
      <c r="B810" s="300"/>
      <c r="C810" s="299"/>
      <c r="D810" s="299"/>
      <c r="E810" s="299"/>
      <c r="F810" s="299"/>
      <c r="G810" s="299"/>
      <c r="H810" s="1348"/>
      <c r="I810" s="299"/>
      <c r="J810" s="299"/>
      <c r="K810" s="299"/>
      <c r="L810" s="1336"/>
      <c r="M810" s="299"/>
      <c r="N810" s="299"/>
      <c r="O810" s="299"/>
      <c r="P810" s="299"/>
      <c r="Q810" s="299"/>
      <c r="R810" s="299"/>
      <c r="S810" s="299"/>
      <c r="T810" s="299"/>
      <c r="U810" s="299"/>
      <c r="V810" s="299"/>
      <c r="W810" s="8"/>
      <c r="X810" s="8"/>
      <c r="Y810" s="8"/>
      <c r="Z810" s="8"/>
    </row>
    <row r="811" spans="1:26" ht="12.75">
      <c r="A811" s="299"/>
      <c r="B811" s="300"/>
      <c r="C811" s="299"/>
      <c r="D811" s="299"/>
      <c r="E811" s="299"/>
      <c r="F811" s="299"/>
      <c r="G811" s="299"/>
      <c r="H811" s="1348"/>
      <c r="I811" s="299"/>
      <c r="J811" s="299"/>
      <c r="K811" s="299"/>
      <c r="L811" s="1336"/>
      <c r="M811" s="299"/>
      <c r="N811" s="299"/>
      <c r="O811" s="299"/>
      <c r="P811" s="299"/>
      <c r="Q811" s="299"/>
      <c r="R811" s="299"/>
      <c r="S811" s="299"/>
      <c r="T811" s="299"/>
      <c r="U811" s="299"/>
      <c r="V811" s="299"/>
      <c r="W811" s="8"/>
      <c r="X811" s="8"/>
      <c r="Y811" s="8"/>
      <c r="Z811" s="8"/>
    </row>
    <row r="812" spans="1:26" ht="12.75">
      <c r="A812" s="299"/>
      <c r="B812" s="300"/>
      <c r="C812" s="299"/>
      <c r="D812" s="299"/>
      <c r="E812" s="299"/>
      <c r="F812" s="299"/>
      <c r="G812" s="299"/>
      <c r="H812" s="1348"/>
      <c r="I812" s="299"/>
      <c r="J812" s="299"/>
      <c r="K812" s="299"/>
      <c r="L812" s="1336"/>
      <c r="M812" s="299"/>
      <c r="N812" s="299"/>
      <c r="O812" s="299"/>
      <c r="P812" s="299"/>
      <c r="Q812" s="299"/>
      <c r="R812" s="299"/>
      <c r="S812" s="299"/>
      <c r="T812" s="299"/>
      <c r="U812" s="299"/>
      <c r="V812" s="299"/>
      <c r="W812" s="8"/>
      <c r="X812" s="8"/>
      <c r="Y812" s="8"/>
      <c r="Z812" s="8"/>
    </row>
    <row r="813" spans="1:26" ht="12.75">
      <c r="A813" s="299"/>
      <c r="B813" s="300"/>
      <c r="C813" s="299"/>
      <c r="D813" s="299"/>
      <c r="E813" s="299"/>
      <c r="F813" s="299"/>
      <c r="G813" s="299"/>
      <c r="H813" s="1348"/>
      <c r="I813" s="299"/>
      <c r="J813" s="299"/>
      <c r="K813" s="299"/>
      <c r="L813" s="1336"/>
      <c r="M813" s="299"/>
      <c r="N813" s="299"/>
      <c r="O813" s="299"/>
      <c r="P813" s="299"/>
      <c r="Q813" s="299"/>
      <c r="R813" s="299"/>
      <c r="S813" s="299"/>
      <c r="T813" s="299"/>
      <c r="U813" s="299"/>
      <c r="V813" s="299"/>
      <c r="W813" s="8"/>
      <c r="X813" s="8"/>
      <c r="Y813" s="8"/>
      <c r="Z813" s="8"/>
    </row>
    <row r="814" spans="1:26" ht="12.75">
      <c r="A814" s="299"/>
      <c r="B814" s="300"/>
      <c r="C814" s="299"/>
      <c r="D814" s="299"/>
      <c r="E814" s="299"/>
      <c r="F814" s="299"/>
      <c r="G814" s="299"/>
      <c r="H814" s="1348"/>
      <c r="I814" s="299"/>
      <c r="J814" s="299"/>
      <c r="K814" s="299"/>
      <c r="L814" s="1336"/>
      <c r="M814" s="299"/>
      <c r="N814" s="299"/>
      <c r="O814" s="299"/>
      <c r="P814" s="299"/>
      <c r="Q814" s="299"/>
      <c r="R814" s="299"/>
      <c r="S814" s="299"/>
      <c r="T814" s="299"/>
      <c r="U814" s="299"/>
      <c r="V814" s="299"/>
      <c r="W814" s="8"/>
      <c r="X814" s="8"/>
      <c r="Y814" s="8"/>
      <c r="Z814" s="8"/>
    </row>
    <row r="815" spans="1:26" ht="12.75">
      <c r="A815" s="299"/>
      <c r="B815" s="300"/>
      <c r="C815" s="299"/>
      <c r="D815" s="299"/>
      <c r="E815" s="299"/>
      <c r="F815" s="299"/>
      <c r="G815" s="299"/>
      <c r="H815" s="1348"/>
      <c r="I815" s="299"/>
      <c r="J815" s="299"/>
      <c r="K815" s="299"/>
      <c r="L815" s="1336"/>
      <c r="M815" s="299"/>
      <c r="N815" s="299"/>
      <c r="O815" s="299"/>
      <c r="P815" s="299"/>
      <c r="Q815" s="299"/>
      <c r="R815" s="299"/>
      <c r="S815" s="299"/>
      <c r="T815" s="299"/>
      <c r="U815" s="299"/>
      <c r="V815" s="299"/>
      <c r="W815" s="8"/>
      <c r="X815" s="8"/>
      <c r="Y815" s="8"/>
      <c r="Z815" s="8"/>
    </row>
    <row r="816" spans="1:26" ht="12.75">
      <c r="A816" s="299"/>
      <c r="B816" s="300"/>
      <c r="C816" s="299"/>
      <c r="D816" s="299"/>
      <c r="E816" s="299"/>
      <c r="F816" s="299"/>
      <c r="G816" s="299"/>
      <c r="H816" s="1348"/>
      <c r="I816" s="299"/>
      <c r="J816" s="299"/>
      <c r="K816" s="299"/>
      <c r="L816" s="1336"/>
      <c r="M816" s="299"/>
      <c r="N816" s="299"/>
      <c r="O816" s="299"/>
      <c r="P816" s="299"/>
      <c r="Q816" s="299"/>
      <c r="R816" s="299"/>
      <c r="S816" s="299"/>
      <c r="T816" s="299"/>
      <c r="U816" s="299"/>
      <c r="V816" s="299"/>
      <c r="W816" s="8"/>
      <c r="X816" s="8"/>
      <c r="Y816" s="8"/>
      <c r="Z816" s="8"/>
    </row>
    <row r="817" spans="1:26" ht="12.75">
      <c r="A817" s="299"/>
      <c r="B817" s="300"/>
      <c r="C817" s="299"/>
      <c r="D817" s="299"/>
      <c r="E817" s="299"/>
      <c r="F817" s="299"/>
      <c r="G817" s="299"/>
      <c r="H817" s="1348"/>
      <c r="I817" s="299"/>
      <c r="J817" s="299"/>
      <c r="K817" s="299"/>
      <c r="L817" s="1336"/>
      <c r="M817" s="299"/>
      <c r="N817" s="299"/>
      <c r="O817" s="299"/>
      <c r="P817" s="299"/>
      <c r="Q817" s="299"/>
      <c r="R817" s="299"/>
      <c r="S817" s="299"/>
      <c r="T817" s="299"/>
      <c r="U817" s="299"/>
      <c r="V817" s="299"/>
      <c r="W817" s="8"/>
      <c r="X817" s="8"/>
      <c r="Y817" s="8"/>
      <c r="Z817" s="8"/>
    </row>
    <row r="818" spans="1:26" ht="12.75">
      <c r="A818" s="299"/>
      <c r="B818" s="300"/>
      <c r="C818" s="299"/>
      <c r="D818" s="299"/>
      <c r="E818" s="299"/>
      <c r="F818" s="299"/>
      <c r="G818" s="299"/>
      <c r="H818" s="1348"/>
      <c r="I818" s="299"/>
      <c r="J818" s="299"/>
      <c r="K818" s="299"/>
      <c r="L818" s="1336"/>
      <c r="M818" s="299"/>
      <c r="N818" s="299"/>
      <c r="O818" s="299"/>
      <c r="P818" s="299"/>
      <c r="Q818" s="299"/>
      <c r="R818" s="299"/>
      <c r="S818" s="299"/>
      <c r="T818" s="299"/>
      <c r="U818" s="299"/>
      <c r="V818" s="299"/>
      <c r="W818" s="8"/>
      <c r="X818" s="8"/>
      <c r="Y818" s="8"/>
      <c r="Z818" s="8"/>
    </row>
    <row r="819" spans="1:26" ht="12.75">
      <c r="A819" s="299"/>
      <c r="B819" s="300"/>
      <c r="C819" s="299"/>
      <c r="D819" s="299"/>
      <c r="E819" s="299"/>
      <c r="F819" s="299"/>
      <c r="G819" s="299"/>
      <c r="H819" s="1348"/>
      <c r="I819" s="299"/>
      <c r="J819" s="299"/>
      <c r="K819" s="299"/>
      <c r="L819" s="1336"/>
      <c r="M819" s="299"/>
      <c r="N819" s="299"/>
      <c r="O819" s="299"/>
      <c r="P819" s="299"/>
      <c r="Q819" s="299"/>
      <c r="R819" s="299"/>
      <c r="S819" s="299"/>
      <c r="T819" s="299"/>
      <c r="U819" s="299"/>
      <c r="V819" s="299"/>
      <c r="W819" s="8"/>
      <c r="X819" s="8"/>
      <c r="Y819" s="8"/>
      <c r="Z819" s="8"/>
    </row>
    <row r="820" spans="1:26" ht="12.75">
      <c r="A820" s="299"/>
      <c r="B820" s="300"/>
      <c r="C820" s="299"/>
      <c r="D820" s="299"/>
      <c r="E820" s="299"/>
      <c r="F820" s="299"/>
      <c r="G820" s="299"/>
      <c r="H820" s="1348"/>
      <c r="I820" s="299"/>
      <c r="J820" s="299"/>
      <c r="K820" s="299"/>
      <c r="L820" s="1336"/>
      <c r="M820" s="299"/>
      <c r="N820" s="299"/>
      <c r="O820" s="299"/>
      <c r="P820" s="299"/>
      <c r="Q820" s="299"/>
      <c r="R820" s="299"/>
      <c r="S820" s="299"/>
      <c r="T820" s="299"/>
      <c r="U820" s="299"/>
      <c r="V820" s="299"/>
      <c r="W820" s="8"/>
      <c r="X820" s="8"/>
      <c r="Y820" s="8"/>
      <c r="Z820" s="8"/>
    </row>
    <row r="821" spans="1:26" ht="12.75">
      <c r="A821" s="299"/>
      <c r="B821" s="300"/>
      <c r="C821" s="299"/>
      <c r="D821" s="299"/>
      <c r="E821" s="299"/>
      <c r="F821" s="299"/>
      <c r="G821" s="299"/>
      <c r="H821" s="1348"/>
      <c r="I821" s="299"/>
      <c r="J821" s="299"/>
      <c r="K821" s="299"/>
      <c r="L821" s="1336"/>
      <c r="M821" s="299"/>
      <c r="N821" s="299"/>
      <c r="O821" s="299"/>
      <c r="P821" s="299"/>
      <c r="Q821" s="299"/>
      <c r="R821" s="299"/>
      <c r="S821" s="299"/>
      <c r="T821" s="299"/>
      <c r="U821" s="299"/>
      <c r="V821" s="299"/>
      <c r="W821" s="8"/>
      <c r="X821" s="8"/>
      <c r="Y821" s="8"/>
      <c r="Z821" s="8"/>
    </row>
    <row r="822" spans="1:26" ht="12.75">
      <c r="A822" s="299"/>
      <c r="B822" s="300"/>
      <c r="C822" s="299"/>
      <c r="D822" s="299"/>
      <c r="E822" s="299"/>
      <c r="F822" s="299"/>
      <c r="G822" s="299"/>
      <c r="H822" s="1348"/>
      <c r="I822" s="299"/>
      <c r="J822" s="299"/>
      <c r="K822" s="299"/>
      <c r="L822" s="1336"/>
      <c r="M822" s="299"/>
      <c r="N822" s="299"/>
      <c r="O822" s="299"/>
      <c r="P822" s="299"/>
      <c r="Q822" s="299"/>
      <c r="R822" s="299"/>
      <c r="S822" s="299"/>
      <c r="T822" s="299"/>
      <c r="U822" s="299"/>
      <c r="V822" s="299"/>
      <c r="W822" s="8"/>
      <c r="X822" s="8"/>
      <c r="Y822" s="8"/>
      <c r="Z822" s="8"/>
    </row>
    <row r="823" spans="1:26" ht="12.75">
      <c r="A823" s="299"/>
      <c r="B823" s="300"/>
      <c r="C823" s="299"/>
      <c r="D823" s="299"/>
      <c r="E823" s="299"/>
      <c r="F823" s="299"/>
      <c r="G823" s="299"/>
      <c r="H823" s="1348"/>
      <c r="I823" s="299"/>
      <c r="J823" s="299"/>
      <c r="K823" s="299"/>
      <c r="L823" s="1336"/>
      <c r="M823" s="299"/>
      <c r="N823" s="299"/>
      <c r="O823" s="299"/>
      <c r="P823" s="299"/>
      <c r="Q823" s="299"/>
      <c r="R823" s="299"/>
      <c r="S823" s="299"/>
      <c r="T823" s="299"/>
      <c r="U823" s="299"/>
      <c r="V823" s="299"/>
      <c r="W823" s="8"/>
      <c r="X823" s="8"/>
      <c r="Y823" s="8"/>
      <c r="Z823" s="8"/>
    </row>
    <row r="824" spans="1:26" ht="12.75">
      <c r="A824" s="299"/>
      <c r="B824" s="300"/>
      <c r="C824" s="299"/>
      <c r="D824" s="299"/>
      <c r="E824" s="299"/>
      <c r="F824" s="299"/>
      <c r="G824" s="299"/>
      <c r="H824" s="1348"/>
      <c r="I824" s="299"/>
      <c r="J824" s="299"/>
      <c r="K824" s="299"/>
      <c r="L824" s="1336"/>
      <c r="M824" s="299"/>
      <c r="N824" s="299"/>
      <c r="O824" s="299"/>
      <c r="P824" s="299"/>
      <c r="Q824" s="299"/>
      <c r="R824" s="299"/>
      <c r="S824" s="299"/>
      <c r="T824" s="299"/>
      <c r="U824" s="299"/>
      <c r="V824" s="299"/>
      <c r="W824" s="8"/>
      <c r="X824" s="8"/>
      <c r="Y824" s="8"/>
      <c r="Z824" s="8"/>
    </row>
    <row r="825" spans="1:26" ht="12.75">
      <c r="A825" s="299"/>
      <c r="B825" s="300"/>
      <c r="C825" s="299"/>
      <c r="D825" s="299"/>
      <c r="E825" s="299"/>
      <c r="F825" s="299"/>
      <c r="G825" s="299"/>
      <c r="H825" s="1348"/>
      <c r="I825" s="299"/>
      <c r="J825" s="299"/>
      <c r="K825" s="299"/>
      <c r="L825" s="1336"/>
      <c r="M825" s="299"/>
      <c r="N825" s="299"/>
      <c r="O825" s="299"/>
      <c r="P825" s="299"/>
      <c r="Q825" s="299"/>
      <c r="R825" s="299"/>
      <c r="S825" s="299"/>
      <c r="T825" s="299"/>
      <c r="U825" s="299"/>
      <c r="V825" s="299"/>
      <c r="W825" s="8"/>
      <c r="X825" s="8"/>
      <c r="Y825" s="8"/>
      <c r="Z825" s="8"/>
    </row>
    <row r="826" spans="1:26" ht="12.75">
      <c r="A826" s="299"/>
      <c r="B826" s="300"/>
      <c r="C826" s="299"/>
      <c r="D826" s="299"/>
      <c r="E826" s="299"/>
      <c r="F826" s="299"/>
      <c r="G826" s="299"/>
      <c r="H826" s="1348"/>
      <c r="I826" s="299"/>
      <c r="J826" s="299"/>
      <c r="K826" s="299"/>
      <c r="L826" s="1336"/>
      <c r="M826" s="299"/>
      <c r="N826" s="299"/>
      <c r="O826" s="299"/>
      <c r="P826" s="299"/>
      <c r="Q826" s="299"/>
      <c r="R826" s="299"/>
      <c r="S826" s="299"/>
      <c r="T826" s="299"/>
      <c r="U826" s="299"/>
      <c r="V826" s="299"/>
      <c r="W826" s="8"/>
      <c r="X826" s="8"/>
      <c r="Y826" s="8"/>
      <c r="Z826" s="8"/>
    </row>
    <row r="827" spans="1:26" ht="12.75">
      <c r="A827" s="299"/>
      <c r="B827" s="300"/>
      <c r="C827" s="299"/>
      <c r="D827" s="299"/>
      <c r="E827" s="299"/>
      <c r="F827" s="299"/>
      <c r="G827" s="299"/>
      <c r="H827" s="1348"/>
      <c r="I827" s="299"/>
      <c r="J827" s="299"/>
      <c r="K827" s="299"/>
      <c r="L827" s="1336"/>
      <c r="M827" s="299"/>
      <c r="N827" s="299"/>
      <c r="O827" s="299"/>
      <c r="P827" s="299"/>
      <c r="Q827" s="299"/>
      <c r="R827" s="299"/>
      <c r="S827" s="299"/>
      <c r="T827" s="299"/>
      <c r="U827" s="299"/>
      <c r="V827" s="299"/>
      <c r="W827" s="8"/>
      <c r="X827" s="8"/>
      <c r="Y827" s="8"/>
      <c r="Z827" s="8"/>
    </row>
    <row r="828" spans="1:26" ht="12.75">
      <c r="A828" s="299"/>
      <c r="B828" s="300"/>
      <c r="C828" s="299"/>
      <c r="D828" s="299"/>
      <c r="E828" s="299"/>
      <c r="F828" s="299"/>
      <c r="G828" s="299"/>
      <c r="H828" s="1348"/>
      <c r="I828" s="299"/>
      <c r="J828" s="299"/>
      <c r="K828" s="299"/>
      <c r="L828" s="1336"/>
      <c r="M828" s="299"/>
      <c r="N828" s="299"/>
      <c r="O828" s="299"/>
      <c r="P828" s="299"/>
      <c r="Q828" s="299"/>
      <c r="R828" s="299"/>
      <c r="S828" s="299"/>
      <c r="T828" s="299"/>
      <c r="U828" s="299"/>
      <c r="V828" s="299"/>
      <c r="W828" s="8"/>
      <c r="X828" s="8"/>
      <c r="Y828" s="8"/>
      <c r="Z828" s="8"/>
    </row>
    <row r="829" spans="1:26" ht="12.75">
      <c r="A829" s="299"/>
      <c r="B829" s="300"/>
      <c r="C829" s="299"/>
      <c r="D829" s="299"/>
      <c r="E829" s="299"/>
      <c r="F829" s="299"/>
      <c r="G829" s="299"/>
      <c r="H829" s="1348"/>
      <c r="I829" s="299"/>
      <c r="J829" s="299"/>
      <c r="K829" s="299"/>
      <c r="L829" s="1336"/>
      <c r="M829" s="299"/>
      <c r="N829" s="299"/>
      <c r="O829" s="299"/>
      <c r="P829" s="299"/>
      <c r="Q829" s="299"/>
      <c r="R829" s="299"/>
      <c r="S829" s="299"/>
      <c r="T829" s="299"/>
      <c r="U829" s="299"/>
      <c r="V829" s="299"/>
      <c r="W829" s="8"/>
      <c r="X829" s="8"/>
      <c r="Y829" s="8"/>
      <c r="Z829" s="8"/>
    </row>
    <row r="830" spans="1:26" ht="12.75">
      <c r="A830" s="299"/>
      <c r="B830" s="300"/>
      <c r="C830" s="299"/>
      <c r="D830" s="299"/>
      <c r="E830" s="299"/>
      <c r="F830" s="299"/>
      <c r="G830" s="299"/>
      <c r="H830" s="1348"/>
      <c r="I830" s="299"/>
      <c r="J830" s="299"/>
      <c r="K830" s="299"/>
      <c r="L830" s="1336"/>
      <c r="M830" s="299"/>
      <c r="N830" s="299"/>
      <c r="O830" s="299"/>
      <c r="P830" s="299"/>
      <c r="Q830" s="299"/>
      <c r="R830" s="299"/>
      <c r="S830" s="299"/>
      <c r="T830" s="299"/>
      <c r="U830" s="299"/>
      <c r="V830" s="299"/>
      <c r="W830" s="8"/>
      <c r="X830" s="8"/>
      <c r="Y830" s="8"/>
      <c r="Z830" s="8"/>
    </row>
    <row r="831" spans="1:26" ht="12.75">
      <c r="A831" s="299"/>
      <c r="B831" s="300"/>
      <c r="C831" s="299"/>
      <c r="D831" s="299"/>
      <c r="E831" s="299"/>
      <c r="F831" s="299"/>
      <c r="G831" s="299"/>
      <c r="H831" s="1348"/>
      <c r="I831" s="299"/>
      <c r="J831" s="299"/>
      <c r="K831" s="299"/>
      <c r="L831" s="1336"/>
      <c r="M831" s="299"/>
      <c r="N831" s="299"/>
      <c r="O831" s="299"/>
      <c r="P831" s="299"/>
      <c r="Q831" s="299"/>
      <c r="R831" s="299"/>
      <c r="S831" s="299"/>
      <c r="T831" s="299"/>
      <c r="U831" s="299"/>
      <c r="V831" s="299"/>
      <c r="W831" s="8"/>
      <c r="X831" s="8"/>
      <c r="Y831" s="8"/>
      <c r="Z831" s="8"/>
    </row>
    <row r="832" spans="1:26" ht="12.75">
      <c r="A832" s="299"/>
      <c r="B832" s="300"/>
      <c r="C832" s="299"/>
      <c r="D832" s="299"/>
      <c r="E832" s="299"/>
      <c r="F832" s="299"/>
      <c r="G832" s="299"/>
      <c r="H832" s="1348"/>
      <c r="I832" s="299"/>
      <c r="J832" s="299"/>
      <c r="K832" s="299"/>
      <c r="L832" s="1336"/>
      <c r="M832" s="299"/>
      <c r="N832" s="299"/>
      <c r="O832" s="299"/>
      <c r="P832" s="299"/>
      <c r="Q832" s="299"/>
      <c r="R832" s="299"/>
      <c r="S832" s="299"/>
      <c r="T832" s="299"/>
      <c r="U832" s="299"/>
      <c r="V832" s="299"/>
      <c r="W832" s="8"/>
      <c r="X832" s="8"/>
      <c r="Y832" s="8"/>
      <c r="Z832" s="8"/>
    </row>
    <row r="833" spans="1:26" ht="12.75">
      <c r="A833" s="299"/>
      <c r="B833" s="300"/>
      <c r="C833" s="299"/>
      <c r="D833" s="299"/>
      <c r="E833" s="299"/>
      <c r="F833" s="299"/>
      <c r="G833" s="299"/>
      <c r="H833" s="1348"/>
      <c r="I833" s="299"/>
      <c r="J833" s="299"/>
      <c r="K833" s="299"/>
      <c r="L833" s="1336"/>
      <c r="M833" s="299"/>
      <c r="N833" s="299"/>
      <c r="O833" s="299"/>
      <c r="P833" s="299"/>
      <c r="Q833" s="299"/>
      <c r="R833" s="299"/>
      <c r="S833" s="299"/>
      <c r="T833" s="299"/>
      <c r="U833" s="299"/>
      <c r="V833" s="299"/>
      <c r="W833" s="8"/>
      <c r="X833" s="8"/>
      <c r="Y833" s="8"/>
      <c r="Z833" s="8"/>
    </row>
    <row r="834" spans="1:26" ht="12.75">
      <c r="A834" s="299"/>
      <c r="B834" s="300"/>
      <c r="C834" s="299"/>
      <c r="D834" s="299"/>
      <c r="E834" s="299"/>
      <c r="F834" s="299"/>
      <c r="G834" s="299"/>
      <c r="H834" s="1348"/>
      <c r="I834" s="299"/>
      <c r="J834" s="299"/>
      <c r="K834" s="299"/>
      <c r="L834" s="1336"/>
      <c r="M834" s="299"/>
      <c r="N834" s="299"/>
      <c r="O834" s="299"/>
      <c r="P834" s="299"/>
      <c r="Q834" s="299"/>
      <c r="R834" s="299"/>
      <c r="S834" s="299"/>
      <c r="T834" s="299"/>
      <c r="U834" s="299"/>
      <c r="V834" s="299"/>
      <c r="W834" s="8"/>
      <c r="X834" s="8"/>
      <c r="Y834" s="8"/>
      <c r="Z834" s="8"/>
    </row>
    <row r="835" spans="1:26" ht="12.75">
      <c r="A835" s="299"/>
      <c r="B835" s="300"/>
      <c r="C835" s="299"/>
      <c r="D835" s="299"/>
      <c r="E835" s="299"/>
      <c r="F835" s="299"/>
      <c r="G835" s="299"/>
      <c r="H835" s="1348"/>
      <c r="I835" s="299"/>
      <c r="J835" s="299"/>
      <c r="K835" s="299"/>
      <c r="L835" s="1336"/>
      <c r="M835" s="299"/>
      <c r="N835" s="299"/>
      <c r="O835" s="299"/>
      <c r="P835" s="299"/>
      <c r="Q835" s="299"/>
      <c r="R835" s="299"/>
      <c r="S835" s="299"/>
      <c r="T835" s="299"/>
      <c r="U835" s="299"/>
      <c r="V835" s="299"/>
      <c r="W835" s="8"/>
      <c r="X835" s="8"/>
      <c r="Y835" s="8"/>
      <c r="Z835" s="8"/>
    </row>
    <row r="836" spans="1:26" ht="12.75">
      <c r="A836" s="299"/>
      <c r="B836" s="300"/>
      <c r="C836" s="299"/>
      <c r="D836" s="299"/>
      <c r="E836" s="299"/>
      <c r="F836" s="299"/>
      <c r="G836" s="299"/>
      <c r="H836" s="1348"/>
      <c r="I836" s="299"/>
      <c r="J836" s="299"/>
      <c r="K836" s="299"/>
      <c r="L836" s="1336"/>
      <c r="M836" s="299"/>
      <c r="N836" s="299"/>
      <c r="O836" s="299"/>
      <c r="P836" s="299"/>
      <c r="Q836" s="299"/>
      <c r="R836" s="299"/>
      <c r="S836" s="299"/>
      <c r="T836" s="299"/>
      <c r="U836" s="299"/>
      <c r="V836" s="299"/>
      <c r="W836" s="8"/>
      <c r="X836" s="8"/>
      <c r="Y836" s="8"/>
      <c r="Z836" s="8"/>
    </row>
    <row r="837" spans="1:26" ht="12.75">
      <c r="A837" s="299"/>
      <c r="B837" s="300"/>
      <c r="C837" s="299"/>
      <c r="D837" s="299"/>
      <c r="E837" s="299"/>
      <c r="F837" s="299"/>
      <c r="G837" s="299"/>
      <c r="H837" s="1348"/>
      <c r="I837" s="299"/>
      <c r="J837" s="299"/>
      <c r="K837" s="299"/>
      <c r="L837" s="1336"/>
      <c r="M837" s="299"/>
      <c r="N837" s="299"/>
      <c r="O837" s="299"/>
      <c r="P837" s="299"/>
      <c r="Q837" s="299"/>
      <c r="R837" s="299"/>
      <c r="S837" s="299"/>
      <c r="T837" s="299"/>
      <c r="U837" s="299"/>
      <c r="V837" s="299"/>
      <c r="W837" s="8"/>
      <c r="X837" s="8"/>
      <c r="Y837" s="8"/>
      <c r="Z837" s="8"/>
    </row>
    <row r="838" spans="1:26" ht="12.75">
      <c r="A838" s="299"/>
      <c r="B838" s="300"/>
      <c r="C838" s="299"/>
      <c r="D838" s="299"/>
      <c r="E838" s="299"/>
      <c r="F838" s="299"/>
      <c r="G838" s="299"/>
      <c r="H838" s="1348"/>
      <c r="I838" s="299"/>
      <c r="J838" s="299"/>
      <c r="K838" s="299"/>
      <c r="L838" s="1336"/>
      <c r="M838" s="299"/>
      <c r="N838" s="299"/>
      <c r="O838" s="299"/>
      <c r="P838" s="299"/>
      <c r="Q838" s="299"/>
      <c r="R838" s="299"/>
      <c r="S838" s="299"/>
      <c r="T838" s="299"/>
      <c r="U838" s="299"/>
      <c r="V838" s="299"/>
      <c r="W838" s="8"/>
      <c r="X838" s="8"/>
      <c r="Y838" s="8"/>
      <c r="Z838" s="8"/>
    </row>
    <row r="839" spans="1:26" ht="12.75">
      <c r="A839" s="299"/>
      <c r="B839" s="300"/>
      <c r="C839" s="299"/>
      <c r="D839" s="299"/>
      <c r="E839" s="299"/>
      <c r="F839" s="299"/>
      <c r="G839" s="299"/>
      <c r="H839" s="1348"/>
      <c r="I839" s="299"/>
      <c r="J839" s="299"/>
      <c r="K839" s="299"/>
      <c r="L839" s="1336"/>
      <c r="M839" s="299"/>
      <c r="N839" s="299"/>
      <c r="O839" s="299"/>
      <c r="P839" s="299"/>
      <c r="Q839" s="299"/>
      <c r="R839" s="299"/>
      <c r="S839" s="299"/>
      <c r="T839" s="299"/>
      <c r="U839" s="299"/>
      <c r="V839" s="299"/>
      <c r="W839" s="8"/>
      <c r="X839" s="8"/>
      <c r="Y839" s="8"/>
      <c r="Z839" s="8"/>
    </row>
    <row r="840" spans="1:26" ht="12.75">
      <c r="A840" s="299"/>
      <c r="B840" s="300"/>
      <c r="C840" s="299"/>
      <c r="D840" s="299"/>
      <c r="E840" s="299"/>
      <c r="F840" s="299"/>
      <c r="G840" s="299"/>
      <c r="H840" s="1348"/>
      <c r="I840" s="299"/>
      <c r="J840" s="299"/>
      <c r="K840" s="299"/>
      <c r="L840" s="1336"/>
      <c r="M840" s="299"/>
      <c r="N840" s="299"/>
      <c r="O840" s="299"/>
      <c r="P840" s="299"/>
      <c r="Q840" s="299"/>
      <c r="R840" s="299"/>
      <c r="S840" s="299"/>
      <c r="T840" s="299"/>
      <c r="U840" s="299"/>
      <c r="V840" s="299"/>
      <c r="W840" s="8"/>
      <c r="X840" s="8"/>
      <c r="Y840" s="8"/>
      <c r="Z840" s="8"/>
    </row>
    <row r="841" spans="1:26" ht="12.75">
      <c r="A841" s="299"/>
      <c r="B841" s="300"/>
      <c r="C841" s="299"/>
      <c r="D841" s="299"/>
      <c r="E841" s="299"/>
      <c r="F841" s="299"/>
      <c r="G841" s="299"/>
      <c r="H841" s="1348"/>
      <c r="I841" s="299"/>
      <c r="J841" s="299"/>
      <c r="K841" s="299"/>
      <c r="L841" s="1336"/>
      <c r="M841" s="299"/>
      <c r="N841" s="299"/>
      <c r="O841" s="299"/>
      <c r="P841" s="299"/>
      <c r="Q841" s="299"/>
      <c r="R841" s="299"/>
      <c r="S841" s="299"/>
      <c r="T841" s="299"/>
      <c r="U841" s="299"/>
      <c r="V841" s="299"/>
      <c r="W841" s="8"/>
      <c r="X841" s="8"/>
      <c r="Y841" s="8"/>
      <c r="Z841" s="8"/>
    </row>
    <row r="842" spans="1:26" ht="12.75">
      <c r="A842" s="299"/>
      <c r="B842" s="300"/>
      <c r="C842" s="299"/>
      <c r="D842" s="299"/>
      <c r="E842" s="299"/>
      <c r="F842" s="299"/>
      <c r="G842" s="299"/>
      <c r="H842" s="1348"/>
      <c r="I842" s="299"/>
      <c r="J842" s="299"/>
      <c r="K842" s="299"/>
      <c r="L842" s="1336"/>
      <c r="M842" s="299"/>
      <c r="N842" s="299"/>
      <c r="O842" s="299"/>
      <c r="P842" s="299"/>
      <c r="Q842" s="299"/>
      <c r="R842" s="299"/>
      <c r="S842" s="299"/>
      <c r="T842" s="299"/>
      <c r="U842" s="299"/>
      <c r="V842" s="299"/>
      <c r="W842" s="8"/>
      <c r="X842" s="8"/>
      <c r="Y842" s="8"/>
      <c r="Z842" s="8"/>
    </row>
    <row r="843" spans="1:26" ht="12.75">
      <c r="A843" s="299"/>
      <c r="B843" s="300"/>
      <c r="C843" s="299"/>
      <c r="D843" s="299"/>
      <c r="E843" s="299"/>
      <c r="F843" s="299"/>
      <c r="G843" s="299"/>
      <c r="H843" s="1348"/>
      <c r="I843" s="299"/>
      <c r="J843" s="299"/>
      <c r="K843" s="299"/>
      <c r="L843" s="1336"/>
      <c r="M843" s="299"/>
      <c r="N843" s="299"/>
      <c r="O843" s="299"/>
      <c r="P843" s="299"/>
      <c r="Q843" s="299"/>
      <c r="R843" s="299"/>
      <c r="S843" s="299"/>
      <c r="T843" s="299"/>
      <c r="U843" s="299"/>
      <c r="V843" s="299"/>
      <c r="W843" s="8"/>
      <c r="X843" s="8"/>
      <c r="Y843" s="8"/>
      <c r="Z843" s="8"/>
    </row>
    <row r="844" spans="1:26" ht="12.75">
      <c r="A844" s="299"/>
      <c r="B844" s="300"/>
      <c r="C844" s="299"/>
      <c r="D844" s="299"/>
      <c r="E844" s="299"/>
      <c r="F844" s="299"/>
      <c r="G844" s="299"/>
      <c r="H844" s="1348"/>
      <c r="I844" s="299"/>
      <c r="J844" s="299"/>
      <c r="K844" s="299"/>
      <c r="L844" s="1336"/>
      <c r="M844" s="299"/>
      <c r="N844" s="299"/>
      <c r="O844" s="299"/>
      <c r="P844" s="299"/>
      <c r="Q844" s="299"/>
      <c r="R844" s="299"/>
      <c r="S844" s="299"/>
      <c r="T844" s="299"/>
      <c r="U844" s="299"/>
      <c r="V844" s="299"/>
      <c r="W844" s="8"/>
      <c r="X844" s="8"/>
      <c r="Y844" s="8"/>
      <c r="Z844" s="8"/>
    </row>
    <row r="845" spans="1:26" ht="12.75">
      <c r="A845" s="299"/>
      <c r="B845" s="300"/>
      <c r="C845" s="299"/>
      <c r="D845" s="299"/>
      <c r="E845" s="299"/>
      <c r="F845" s="299"/>
      <c r="G845" s="299"/>
      <c r="H845" s="1348"/>
      <c r="I845" s="299"/>
      <c r="J845" s="299"/>
      <c r="K845" s="299"/>
      <c r="L845" s="1336"/>
      <c r="M845" s="299"/>
      <c r="N845" s="299"/>
      <c r="O845" s="299"/>
      <c r="P845" s="299"/>
      <c r="Q845" s="299"/>
      <c r="R845" s="299"/>
      <c r="S845" s="299"/>
      <c r="T845" s="299"/>
      <c r="U845" s="299"/>
      <c r="V845" s="299"/>
      <c r="W845" s="8"/>
      <c r="X845" s="8"/>
      <c r="Y845" s="8"/>
      <c r="Z845" s="8"/>
    </row>
    <row r="846" spans="1:26" ht="12.75">
      <c r="A846" s="299"/>
      <c r="B846" s="300"/>
      <c r="C846" s="299"/>
      <c r="D846" s="299"/>
      <c r="E846" s="299"/>
      <c r="F846" s="299"/>
      <c r="G846" s="299"/>
      <c r="H846" s="1348"/>
      <c r="I846" s="299"/>
      <c r="J846" s="299"/>
      <c r="K846" s="299"/>
      <c r="L846" s="1336"/>
      <c r="M846" s="299"/>
      <c r="N846" s="299"/>
      <c r="O846" s="299"/>
      <c r="P846" s="299"/>
      <c r="Q846" s="299"/>
      <c r="R846" s="299"/>
      <c r="S846" s="299"/>
      <c r="T846" s="299"/>
      <c r="U846" s="299"/>
      <c r="V846" s="299"/>
      <c r="W846" s="8"/>
      <c r="X846" s="8"/>
      <c r="Y846" s="8"/>
      <c r="Z846" s="8"/>
    </row>
    <row r="847" spans="1:26" ht="12.75">
      <c r="A847" s="299"/>
      <c r="B847" s="300"/>
      <c r="C847" s="299"/>
      <c r="D847" s="299"/>
      <c r="E847" s="299"/>
      <c r="F847" s="299"/>
      <c r="G847" s="299"/>
      <c r="H847" s="1348"/>
      <c r="I847" s="299"/>
      <c r="J847" s="299"/>
      <c r="K847" s="299"/>
      <c r="L847" s="1336"/>
      <c r="M847" s="299"/>
      <c r="N847" s="299"/>
      <c r="O847" s="299"/>
      <c r="P847" s="299"/>
      <c r="Q847" s="299"/>
      <c r="R847" s="299"/>
      <c r="S847" s="299"/>
      <c r="T847" s="299"/>
      <c r="U847" s="299"/>
      <c r="V847" s="299"/>
      <c r="W847" s="8"/>
      <c r="X847" s="8"/>
      <c r="Y847" s="8"/>
      <c r="Z847" s="8"/>
    </row>
    <row r="848" spans="1:26" ht="12.75">
      <c r="A848" s="299"/>
      <c r="B848" s="300"/>
      <c r="C848" s="299"/>
      <c r="D848" s="299"/>
      <c r="E848" s="299"/>
      <c r="F848" s="299"/>
      <c r="G848" s="299"/>
      <c r="H848" s="1348"/>
      <c r="I848" s="299"/>
      <c r="J848" s="299"/>
      <c r="K848" s="299"/>
      <c r="L848" s="1336"/>
      <c r="M848" s="299"/>
      <c r="N848" s="299"/>
      <c r="O848" s="299"/>
      <c r="P848" s="299"/>
      <c r="Q848" s="299"/>
      <c r="R848" s="299"/>
      <c r="S848" s="299"/>
      <c r="T848" s="299"/>
      <c r="U848" s="299"/>
      <c r="V848" s="299"/>
      <c r="W848" s="8"/>
      <c r="X848" s="8"/>
      <c r="Y848" s="8"/>
      <c r="Z848" s="8"/>
    </row>
    <row r="849" spans="1:26" ht="12.75">
      <c r="A849" s="299"/>
      <c r="B849" s="300"/>
      <c r="C849" s="299"/>
      <c r="D849" s="299"/>
      <c r="E849" s="299"/>
      <c r="F849" s="299"/>
      <c r="G849" s="299"/>
      <c r="H849" s="1348"/>
      <c r="I849" s="299"/>
      <c r="J849" s="299"/>
      <c r="K849" s="299"/>
      <c r="L849" s="1336"/>
      <c r="M849" s="299"/>
      <c r="N849" s="299"/>
      <c r="O849" s="299"/>
      <c r="P849" s="299"/>
      <c r="Q849" s="299"/>
      <c r="R849" s="299"/>
      <c r="S849" s="299"/>
      <c r="T849" s="299"/>
      <c r="U849" s="299"/>
      <c r="V849" s="299"/>
      <c r="W849" s="8"/>
      <c r="X849" s="8"/>
      <c r="Y849" s="8"/>
      <c r="Z849" s="8"/>
    </row>
    <row r="850" spans="1:26" ht="12.75">
      <c r="A850" s="299"/>
      <c r="B850" s="300"/>
      <c r="C850" s="299"/>
      <c r="D850" s="299"/>
      <c r="E850" s="299"/>
      <c r="F850" s="299"/>
      <c r="G850" s="299"/>
      <c r="H850" s="1348"/>
      <c r="I850" s="299"/>
      <c r="J850" s="299"/>
      <c r="K850" s="299"/>
      <c r="L850" s="1336"/>
      <c r="M850" s="299"/>
      <c r="N850" s="299"/>
      <c r="O850" s="299"/>
      <c r="P850" s="299"/>
      <c r="Q850" s="299"/>
      <c r="R850" s="299"/>
      <c r="S850" s="299"/>
      <c r="T850" s="299"/>
      <c r="U850" s="299"/>
      <c r="V850" s="299"/>
      <c r="W850" s="8"/>
      <c r="X850" s="8"/>
      <c r="Y850" s="8"/>
      <c r="Z850" s="8"/>
    </row>
    <row r="851" spans="1:26" ht="12.75">
      <c r="A851" s="299"/>
      <c r="B851" s="300"/>
      <c r="C851" s="299"/>
      <c r="D851" s="299"/>
      <c r="E851" s="299"/>
      <c r="F851" s="299"/>
      <c r="G851" s="299"/>
      <c r="H851" s="1348"/>
      <c r="I851" s="299"/>
      <c r="J851" s="299"/>
      <c r="K851" s="299"/>
      <c r="L851" s="1336"/>
      <c r="M851" s="299"/>
      <c r="N851" s="299"/>
      <c r="O851" s="299"/>
      <c r="P851" s="299"/>
      <c r="Q851" s="299"/>
      <c r="R851" s="299"/>
      <c r="S851" s="299"/>
      <c r="T851" s="299"/>
      <c r="U851" s="299"/>
      <c r="V851" s="299"/>
      <c r="W851" s="8"/>
      <c r="X851" s="8"/>
      <c r="Y851" s="8"/>
      <c r="Z851" s="8"/>
    </row>
    <row r="852" spans="1:26" ht="12.75">
      <c r="A852" s="299"/>
      <c r="B852" s="300"/>
      <c r="C852" s="299"/>
      <c r="D852" s="299"/>
      <c r="E852" s="299"/>
      <c r="F852" s="299"/>
      <c r="G852" s="299"/>
      <c r="H852" s="1348"/>
      <c r="I852" s="299"/>
      <c r="J852" s="299"/>
      <c r="K852" s="299"/>
      <c r="L852" s="1336"/>
      <c r="M852" s="299"/>
      <c r="N852" s="299"/>
      <c r="O852" s="299"/>
      <c r="P852" s="299"/>
      <c r="Q852" s="299"/>
      <c r="R852" s="299"/>
      <c r="S852" s="299"/>
      <c r="T852" s="299"/>
      <c r="U852" s="299"/>
      <c r="V852" s="299"/>
      <c r="W852" s="8"/>
      <c r="X852" s="8"/>
      <c r="Y852" s="8"/>
      <c r="Z852" s="8"/>
    </row>
    <row r="853" spans="1:26" ht="12.75">
      <c r="A853" s="299"/>
      <c r="B853" s="300"/>
      <c r="C853" s="299"/>
      <c r="D853" s="299"/>
      <c r="E853" s="299"/>
      <c r="F853" s="299"/>
      <c r="G853" s="299"/>
      <c r="H853" s="1348"/>
      <c r="I853" s="299"/>
      <c r="J853" s="299"/>
      <c r="K853" s="299"/>
      <c r="L853" s="1336"/>
      <c r="M853" s="299"/>
      <c r="N853" s="299"/>
      <c r="O853" s="299"/>
      <c r="P853" s="299"/>
      <c r="Q853" s="299"/>
      <c r="R853" s="299"/>
      <c r="S853" s="299"/>
      <c r="T853" s="299"/>
      <c r="U853" s="299"/>
      <c r="V853" s="299"/>
      <c r="W853" s="8"/>
      <c r="X853" s="8"/>
      <c r="Y853" s="8"/>
      <c r="Z853" s="8"/>
    </row>
    <row r="854" spans="1:26" ht="12.75">
      <c r="A854" s="299"/>
      <c r="B854" s="300"/>
      <c r="C854" s="299"/>
      <c r="D854" s="299"/>
      <c r="E854" s="299"/>
      <c r="F854" s="299"/>
      <c r="G854" s="299"/>
      <c r="H854" s="1348"/>
      <c r="I854" s="299"/>
      <c r="J854" s="299"/>
      <c r="K854" s="299"/>
      <c r="L854" s="1336"/>
      <c r="M854" s="299"/>
      <c r="N854" s="299"/>
      <c r="O854" s="299"/>
      <c r="P854" s="299"/>
      <c r="Q854" s="299"/>
      <c r="R854" s="299"/>
      <c r="S854" s="299"/>
      <c r="T854" s="299"/>
      <c r="U854" s="299"/>
      <c r="V854" s="299"/>
      <c r="W854" s="8"/>
      <c r="X854" s="8"/>
      <c r="Y854" s="8"/>
      <c r="Z854" s="8"/>
    </row>
    <row r="855" spans="1:26" ht="12.75">
      <c r="A855" s="299"/>
      <c r="B855" s="300"/>
      <c r="C855" s="299"/>
      <c r="D855" s="299"/>
      <c r="E855" s="299"/>
      <c r="F855" s="299"/>
      <c r="G855" s="299"/>
      <c r="H855" s="1348"/>
      <c r="I855" s="299"/>
      <c r="J855" s="299"/>
      <c r="K855" s="299"/>
      <c r="L855" s="1336"/>
      <c r="M855" s="299"/>
      <c r="N855" s="299"/>
      <c r="O855" s="299"/>
      <c r="P855" s="299"/>
      <c r="Q855" s="299"/>
      <c r="R855" s="299"/>
      <c r="S855" s="299"/>
      <c r="T855" s="299"/>
      <c r="U855" s="299"/>
      <c r="V855" s="299"/>
      <c r="W855" s="8"/>
      <c r="X855" s="8"/>
      <c r="Y855" s="8"/>
      <c r="Z855" s="8"/>
    </row>
    <row r="856" spans="1:26" ht="12.75">
      <c r="A856" s="299"/>
      <c r="B856" s="300"/>
      <c r="C856" s="299"/>
      <c r="D856" s="299"/>
      <c r="E856" s="299"/>
      <c r="F856" s="299"/>
      <c r="G856" s="299"/>
      <c r="H856" s="1348"/>
      <c r="I856" s="299"/>
      <c r="J856" s="299"/>
      <c r="K856" s="299"/>
      <c r="L856" s="1336"/>
      <c r="M856" s="299"/>
      <c r="N856" s="299"/>
      <c r="O856" s="299"/>
      <c r="P856" s="299"/>
      <c r="Q856" s="299"/>
      <c r="R856" s="299"/>
      <c r="S856" s="299"/>
      <c r="T856" s="299"/>
      <c r="U856" s="299"/>
      <c r="V856" s="299"/>
      <c r="W856" s="8"/>
      <c r="X856" s="8"/>
      <c r="Y856" s="8"/>
      <c r="Z856" s="8"/>
    </row>
    <row r="857" spans="1:26" ht="12.75">
      <c r="A857" s="299"/>
      <c r="B857" s="300"/>
      <c r="C857" s="299"/>
      <c r="D857" s="299"/>
      <c r="E857" s="299"/>
      <c r="F857" s="299"/>
      <c r="G857" s="299"/>
      <c r="H857" s="1348"/>
      <c r="I857" s="299"/>
      <c r="J857" s="299"/>
      <c r="K857" s="299"/>
      <c r="L857" s="1336"/>
      <c r="M857" s="299"/>
      <c r="N857" s="299"/>
      <c r="O857" s="299"/>
      <c r="P857" s="299"/>
      <c r="Q857" s="299"/>
      <c r="R857" s="299"/>
      <c r="S857" s="299"/>
      <c r="T857" s="299"/>
      <c r="U857" s="299"/>
      <c r="V857" s="299"/>
      <c r="W857" s="8"/>
      <c r="X857" s="8"/>
      <c r="Y857" s="8"/>
      <c r="Z857" s="8"/>
    </row>
    <row r="858" spans="1:26" ht="12.75">
      <c r="A858" s="299"/>
      <c r="B858" s="300"/>
      <c r="C858" s="299"/>
      <c r="D858" s="299"/>
      <c r="E858" s="299"/>
      <c r="F858" s="299"/>
      <c r="G858" s="299"/>
      <c r="H858" s="1348"/>
      <c r="I858" s="299"/>
      <c r="J858" s="299"/>
      <c r="K858" s="299"/>
      <c r="L858" s="1336"/>
      <c r="M858" s="299"/>
      <c r="N858" s="299"/>
      <c r="O858" s="299"/>
      <c r="P858" s="299"/>
      <c r="Q858" s="299"/>
      <c r="R858" s="299"/>
      <c r="S858" s="299"/>
      <c r="T858" s="299"/>
      <c r="U858" s="299"/>
      <c r="V858" s="299"/>
      <c r="W858" s="8"/>
      <c r="X858" s="8"/>
      <c r="Y858" s="8"/>
      <c r="Z858" s="8"/>
    </row>
    <row r="859" spans="1:26" ht="12.75">
      <c r="A859" s="299"/>
      <c r="B859" s="300"/>
      <c r="C859" s="299"/>
      <c r="D859" s="299"/>
      <c r="E859" s="299"/>
      <c r="F859" s="299"/>
      <c r="G859" s="299"/>
      <c r="H859" s="1348"/>
      <c r="I859" s="299"/>
      <c r="J859" s="299"/>
      <c r="K859" s="299"/>
      <c r="L859" s="1336"/>
      <c r="M859" s="299"/>
      <c r="N859" s="299"/>
      <c r="O859" s="299"/>
      <c r="P859" s="299"/>
      <c r="Q859" s="299"/>
      <c r="R859" s="299"/>
      <c r="S859" s="299"/>
      <c r="T859" s="299"/>
      <c r="U859" s="299"/>
      <c r="V859" s="299"/>
      <c r="W859" s="8"/>
      <c r="X859" s="8"/>
      <c r="Y859" s="8"/>
      <c r="Z859" s="8"/>
    </row>
    <row r="860" spans="1:26" ht="12.75">
      <c r="A860" s="299"/>
      <c r="B860" s="300"/>
      <c r="C860" s="299"/>
      <c r="D860" s="299"/>
      <c r="E860" s="299"/>
      <c r="F860" s="299"/>
      <c r="G860" s="299"/>
      <c r="H860" s="1348"/>
      <c r="I860" s="299"/>
      <c r="J860" s="299"/>
      <c r="K860" s="299"/>
      <c r="L860" s="1336"/>
      <c r="M860" s="299"/>
      <c r="N860" s="299"/>
      <c r="O860" s="299"/>
      <c r="P860" s="299"/>
      <c r="Q860" s="299"/>
      <c r="R860" s="299"/>
      <c r="S860" s="299"/>
      <c r="T860" s="299"/>
      <c r="U860" s="299"/>
      <c r="V860" s="299"/>
      <c r="W860" s="8"/>
      <c r="X860" s="8"/>
      <c r="Y860" s="8"/>
      <c r="Z860" s="8"/>
    </row>
    <row r="861" spans="1:26" ht="12.75">
      <c r="A861" s="299"/>
      <c r="B861" s="300"/>
      <c r="C861" s="299"/>
      <c r="D861" s="299"/>
      <c r="E861" s="299"/>
      <c r="F861" s="299"/>
      <c r="G861" s="299"/>
      <c r="H861" s="1348"/>
      <c r="I861" s="299"/>
      <c r="J861" s="299"/>
      <c r="K861" s="299"/>
      <c r="L861" s="1336"/>
      <c r="M861" s="299"/>
      <c r="N861" s="299"/>
      <c r="O861" s="299"/>
      <c r="P861" s="299"/>
      <c r="Q861" s="299"/>
      <c r="R861" s="299"/>
      <c r="S861" s="299"/>
      <c r="T861" s="299"/>
      <c r="U861" s="299"/>
      <c r="V861" s="299"/>
      <c r="W861" s="8"/>
      <c r="X861" s="8"/>
      <c r="Y861" s="8"/>
      <c r="Z861" s="8"/>
    </row>
    <row r="862" spans="1:26" ht="12.75">
      <c r="A862" s="299"/>
      <c r="B862" s="300"/>
      <c r="C862" s="299"/>
      <c r="D862" s="299"/>
      <c r="E862" s="299"/>
      <c r="F862" s="299"/>
      <c r="G862" s="299"/>
      <c r="H862" s="1348"/>
      <c r="I862" s="299"/>
      <c r="J862" s="299"/>
      <c r="K862" s="299"/>
      <c r="L862" s="1336"/>
      <c r="M862" s="299"/>
      <c r="N862" s="299"/>
      <c r="O862" s="299"/>
      <c r="P862" s="299"/>
      <c r="Q862" s="299"/>
      <c r="R862" s="299"/>
      <c r="S862" s="299"/>
      <c r="T862" s="299"/>
      <c r="U862" s="299"/>
      <c r="V862" s="299"/>
      <c r="W862" s="8"/>
      <c r="X862" s="8"/>
      <c r="Y862" s="8"/>
      <c r="Z862" s="8"/>
    </row>
    <row r="863" spans="1:26" ht="12.75">
      <c r="A863" s="299"/>
      <c r="B863" s="300"/>
      <c r="C863" s="299"/>
      <c r="D863" s="299"/>
      <c r="E863" s="299"/>
      <c r="F863" s="299"/>
      <c r="G863" s="299"/>
      <c r="H863" s="1348"/>
      <c r="I863" s="299"/>
      <c r="J863" s="299"/>
      <c r="K863" s="299"/>
      <c r="L863" s="1336"/>
      <c r="M863" s="299"/>
      <c r="N863" s="299"/>
      <c r="O863" s="299"/>
      <c r="P863" s="299"/>
      <c r="Q863" s="299"/>
      <c r="R863" s="299"/>
      <c r="S863" s="299"/>
      <c r="T863" s="299"/>
      <c r="U863" s="299"/>
      <c r="V863" s="299"/>
      <c r="W863" s="8"/>
      <c r="X863" s="8"/>
      <c r="Y863" s="8"/>
      <c r="Z863" s="8"/>
    </row>
    <row r="864" spans="1:26" ht="12.75">
      <c r="A864" s="299"/>
      <c r="B864" s="300"/>
      <c r="C864" s="299"/>
      <c r="D864" s="299"/>
      <c r="E864" s="299"/>
      <c r="F864" s="299"/>
      <c r="G864" s="299"/>
      <c r="H864" s="1348"/>
      <c r="I864" s="299"/>
      <c r="J864" s="299"/>
      <c r="K864" s="299"/>
      <c r="L864" s="1336"/>
      <c r="M864" s="299"/>
      <c r="N864" s="299"/>
      <c r="O864" s="299"/>
      <c r="P864" s="299"/>
      <c r="Q864" s="299"/>
      <c r="R864" s="299"/>
      <c r="S864" s="299"/>
      <c r="T864" s="299"/>
      <c r="U864" s="299"/>
      <c r="V864" s="299"/>
      <c r="W864" s="8"/>
      <c r="X864" s="8"/>
      <c r="Y864" s="8"/>
      <c r="Z864" s="8"/>
    </row>
    <row r="865" spans="1:26" ht="12.75">
      <c r="A865" s="299"/>
      <c r="B865" s="300"/>
      <c r="C865" s="299"/>
      <c r="D865" s="299"/>
      <c r="E865" s="299"/>
      <c r="F865" s="299"/>
      <c r="G865" s="299"/>
      <c r="H865" s="1348"/>
      <c r="I865" s="299"/>
      <c r="J865" s="299"/>
      <c r="K865" s="299"/>
      <c r="L865" s="1336"/>
      <c r="M865" s="299"/>
      <c r="N865" s="299"/>
      <c r="O865" s="299"/>
      <c r="P865" s="299"/>
      <c r="Q865" s="299"/>
      <c r="R865" s="299"/>
      <c r="S865" s="299"/>
      <c r="T865" s="299"/>
      <c r="U865" s="299"/>
      <c r="V865" s="299"/>
      <c r="W865" s="8"/>
      <c r="X865" s="8"/>
      <c r="Y865" s="8"/>
      <c r="Z865" s="8"/>
    </row>
    <row r="866" spans="1:26" ht="12.75">
      <c r="A866" s="299"/>
      <c r="B866" s="300"/>
      <c r="C866" s="299"/>
      <c r="D866" s="299"/>
      <c r="E866" s="299"/>
      <c r="F866" s="299"/>
      <c r="G866" s="299"/>
      <c r="H866" s="1348"/>
      <c r="I866" s="299"/>
      <c r="J866" s="299"/>
      <c r="K866" s="299"/>
      <c r="L866" s="1336"/>
      <c r="M866" s="299"/>
      <c r="N866" s="299"/>
      <c r="O866" s="299"/>
      <c r="P866" s="299"/>
      <c r="Q866" s="299"/>
      <c r="R866" s="299"/>
      <c r="S866" s="299"/>
      <c r="T866" s="299"/>
      <c r="U866" s="299"/>
      <c r="V866" s="299"/>
      <c r="W866" s="8"/>
      <c r="X866" s="8"/>
      <c r="Y866" s="8"/>
      <c r="Z866" s="8"/>
    </row>
    <row r="867" spans="1:26" ht="12.75">
      <c r="A867" s="299"/>
      <c r="B867" s="300"/>
      <c r="C867" s="299"/>
      <c r="D867" s="299"/>
      <c r="E867" s="299"/>
      <c r="F867" s="299"/>
      <c r="G867" s="299"/>
      <c r="H867" s="1348"/>
      <c r="I867" s="299"/>
      <c r="J867" s="299"/>
      <c r="K867" s="299"/>
      <c r="L867" s="1336"/>
      <c r="M867" s="299"/>
      <c r="N867" s="299"/>
      <c r="O867" s="299"/>
      <c r="P867" s="299"/>
      <c r="Q867" s="299"/>
      <c r="R867" s="299"/>
      <c r="S867" s="299"/>
      <c r="T867" s="299"/>
      <c r="U867" s="299"/>
      <c r="V867" s="299"/>
      <c r="W867" s="8"/>
      <c r="X867" s="8"/>
      <c r="Y867" s="8"/>
      <c r="Z867" s="8"/>
    </row>
    <row r="868" spans="1:26" ht="12.75">
      <c r="A868" s="299"/>
      <c r="B868" s="300"/>
      <c r="C868" s="299"/>
      <c r="D868" s="299"/>
      <c r="E868" s="299"/>
      <c r="F868" s="299"/>
      <c r="G868" s="299"/>
      <c r="H868" s="1348"/>
      <c r="I868" s="299"/>
      <c r="J868" s="299"/>
      <c r="K868" s="299"/>
      <c r="L868" s="1336"/>
      <c r="M868" s="299"/>
      <c r="N868" s="299"/>
      <c r="O868" s="299"/>
      <c r="P868" s="299"/>
      <c r="Q868" s="299"/>
      <c r="R868" s="299"/>
      <c r="S868" s="299"/>
      <c r="T868" s="299"/>
      <c r="U868" s="299"/>
      <c r="V868" s="299"/>
      <c r="W868" s="8"/>
      <c r="X868" s="8"/>
      <c r="Y868" s="8"/>
      <c r="Z868" s="8"/>
    </row>
    <row r="869" spans="1:26" ht="12.75">
      <c r="A869" s="299"/>
      <c r="B869" s="300"/>
      <c r="C869" s="299"/>
      <c r="D869" s="299"/>
      <c r="E869" s="299"/>
      <c r="F869" s="299"/>
      <c r="G869" s="299"/>
      <c r="H869" s="1348"/>
      <c r="I869" s="299"/>
      <c r="J869" s="299"/>
      <c r="K869" s="299"/>
      <c r="L869" s="1336"/>
      <c r="M869" s="299"/>
      <c r="N869" s="299"/>
      <c r="O869" s="299"/>
      <c r="P869" s="299"/>
      <c r="Q869" s="299"/>
      <c r="R869" s="299"/>
      <c r="S869" s="299"/>
      <c r="T869" s="299"/>
      <c r="U869" s="299"/>
      <c r="V869" s="299"/>
      <c r="W869" s="8"/>
      <c r="X869" s="8"/>
      <c r="Y869" s="8"/>
      <c r="Z869" s="8"/>
    </row>
    <row r="870" spans="1:26" ht="12.75">
      <c r="A870" s="299"/>
      <c r="B870" s="300"/>
      <c r="C870" s="299"/>
      <c r="D870" s="299"/>
      <c r="E870" s="299"/>
      <c r="F870" s="299"/>
      <c r="G870" s="299"/>
      <c r="H870" s="1348"/>
      <c r="I870" s="299"/>
      <c r="J870" s="299"/>
      <c r="K870" s="299"/>
      <c r="L870" s="1336"/>
      <c r="M870" s="299"/>
      <c r="N870" s="299"/>
      <c r="O870" s="299"/>
      <c r="P870" s="299"/>
      <c r="Q870" s="299"/>
      <c r="R870" s="299"/>
      <c r="S870" s="299"/>
      <c r="T870" s="299"/>
      <c r="U870" s="299"/>
      <c r="V870" s="299"/>
      <c r="W870" s="8"/>
      <c r="X870" s="8"/>
      <c r="Y870" s="8"/>
      <c r="Z870" s="8"/>
    </row>
    <row r="871" spans="1:26" ht="12.75">
      <c r="A871" s="299"/>
      <c r="B871" s="300"/>
      <c r="C871" s="299"/>
      <c r="D871" s="299"/>
      <c r="E871" s="299"/>
      <c r="F871" s="299"/>
      <c r="G871" s="299"/>
      <c r="H871" s="1348"/>
      <c r="I871" s="299"/>
      <c r="J871" s="299"/>
      <c r="K871" s="299"/>
      <c r="L871" s="1336"/>
      <c r="M871" s="299"/>
      <c r="N871" s="299"/>
      <c r="O871" s="299"/>
      <c r="P871" s="299"/>
      <c r="Q871" s="299"/>
      <c r="R871" s="299"/>
      <c r="S871" s="299"/>
      <c r="T871" s="299"/>
      <c r="U871" s="299"/>
      <c r="V871" s="299"/>
      <c r="W871" s="8"/>
      <c r="X871" s="8"/>
      <c r="Y871" s="8"/>
      <c r="Z871" s="8"/>
    </row>
    <row r="872" spans="1:26" ht="12.75">
      <c r="A872" s="299"/>
      <c r="B872" s="300"/>
      <c r="C872" s="299"/>
      <c r="D872" s="299"/>
      <c r="E872" s="299"/>
      <c r="F872" s="299"/>
      <c r="G872" s="299"/>
      <c r="H872" s="1348"/>
      <c r="I872" s="299"/>
      <c r="J872" s="299"/>
      <c r="K872" s="299"/>
      <c r="L872" s="1336"/>
      <c r="M872" s="299"/>
      <c r="N872" s="299"/>
      <c r="O872" s="299"/>
      <c r="P872" s="299"/>
      <c r="Q872" s="299"/>
      <c r="R872" s="299"/>
      <c r="S872" s="299"/>
      <c r="T872" s="299"/>
      <c r="U872" s="299"/>
      <c r="V872" s="299"/>
      <c r="W872" s="8"/>
      <c r="X872" s="8"/>
      <c r="Y872" s="8"/>
      <c r="Z872" s="8"/>
    </row>
    <row r="873" spans="1:26" ht="12.75">
      <c r="A873" s="299"/>
      <c r="B873" s="300"/>
      <c r="C873" s="299"/>
      <c r="D873" s="299"/>
      <c r="E873" s="299"/>
      <c r="F873" s="299"/>
      <c r="G873" s="299"/>
      <c r="H873" s="1348"/>
      <c r="I873" s="299"/>
      <c r="J873" s="299"/>
      <c r="K873" s="299"/>
      <c r="L873" s="1336"/>
      <c r="M873" s="299"/>
      <c r="N873" s="299"/>
      <c r="O873" s="299"/>
      <c r="P873" s="299"/>
      <c r="Q873" s="299"/>
      <c r="R873" s="299"/>
      <c r="S873" s="299"/>
      <c r="T873" s="299"/>
      <c r="U873" s="299"/>
      <c r="V873" s="299"/>
      <c r="W873" s="8"/>
      <c r="X873" s="8"/>
      <c r="Y873" s="8"/>
      <c r="Z873" s="8"/>
    </row>
    <row r="874" spans="1:26" ht="12.75">
      <c r="A874" s="299"/>
      <c r="B874" s="300"/>
      <c r="C874" s="299"/>
      <c r="D874" s="299"/>
      <c r="E874" s="299"/>
      <c r="F874" s="299"/>
      <c r="G874" s="299"/>
      <c r="H874" s="1348"/>
      <c r="I874" s="299"/>
      <c r="J874" s="299"/>
      <c r="K874" s="299"/>
      <c r="L874" s="1336"/>
      <c r="M874" s="299"/>
      <c r="N874" s="299"/>
      <c r="O874" s="299"/>
      <c r="P874" s="299"/>
      <c r="Q874" s="299"/>
      <c r="R874" s="299"/>
      <c r="S874" s="299"/>
      <c r="T874" s="299"/>
      <c r="U874" s="299"/>
      <c r="V874" s="299"/>
      <c r="W874" s="8"/>
      <c r="X874" s="8"/>
      <c r="Y874" s="8"/>
      <c r="Z874" s="8"/>
    </row>
    <row r="875" spans="1:26" ht="12.75">
      <c r="A875" s="299"/>
      <c r="B875" s="300"/>
      <c r="C875" s="299"/>
      <c r="D875" s="299"/>
      <c r="E875" s="299"/>
      <c r="F875" s="299"/>
      <c r="G875" s="299"/>
      <c r="H875" s="1348"/>
      <c r="I875" s="299"/>
      <c r="J875" s="299"/>
      <c r="K875" s="299"/>
      <c r="L875" s="1336"/>
      <c r="M875" s="299"/>
      <c r="N875" s="299"/>
      <c r="O875" s="299"/>
      <c r="P875" s="299"/>
      <c r="Q875" s="299"/>
      <c r="R875" s="299"/>
      <c r="S875" s="299"/>
      <c r="T875" s="299"/>
      <c r="U875" s="299"/>
      <c r="V875" s="299"/>
      <c r="W875" s="8"/>
      <c r="X875" s="8"/>
      <c r="Y875" s="8"/>
      <c r="Z875" s="8"/>
    </row>
    <row r="876" spans="1:26" ht="12.75">
      <c r="A876" s="299"/>
      <c r="B876" s="300"/>
      <c r="C876" s="299"/>
      <c r="D876" s="299"/>
      <c r="E876" s="299"/>
      <c r="F876" s="299"/>
      <c r="G876" s="299"/>
      <c r="H876" s="1348"/>
      <c r="I876" s="299"/>
      <c r="J876" s="299"/>
      <c r="K876" s="299"/>
      <c r="L876" s="1336"/>
      <c r="M876" s="299"/>
      <c r="N876" s="299"/>
      <c r="O876" s="299"/>
      <c r="P876" s="299"/>
      <c r="Q876" s="299"/>
      <c r="R876" s="299"/>
      <c r="S876" s="299"/>
      <c r="T876" s="299"/>
      <c r="U876" s="299"/>
      <c r="V876" s="299"/>
      <c r="W876" s="8"/>
      <c r="X876" s="8"/>
      <c r="Y876" s="8"/>
      <c r="Z876" s="8"/>
    </row>
    <row r="877" spans="1:26" ht="12.75">
      <c r="A877" s="299"/>
      <c r="B877" s="300"/>
      <c r="C877" s="299"/>
      <c r="D877" s="299"/>
      <c r="E877" s="299"/>
      <c r="F877" s="299"/>
      <c r="G877" s="299"/>
      <c r="H877" s="1348"/>
      <c r="I877" s="299"/>
      <c r="J877" s="299"/>
      <c r="K877" s="299"/>
      <c r="L877" s="1336"/>
      <c r="M877" s="299"/>
      <c r="N877" s="299"/>
      <c r="O877" s="299"/>
      <c r="P877" s="299"/>
      <c r="Q877" s="299"/>
      <c r="R877" s="299"/>
      <c r="S877" s="299"/>
      <c r="T877" s="299"/>
      <c r="U877" s="299"/>
      <c r="V877" s="299"/>
      <c r="W877" s="8"/>
      <c r="X877" s="8"/>
      <c r="Y877" s="8"/>
      <c r="Z877" s="8"/>
    </row>
    <row r="878" spans="1:26" ht="12.75">
      <c r="A878" s="299"/>
      <c r="B878" s="300"/>
      <c r="C878" s="299"/>
      <c r="D878" s="299"/>
      <c r="E878" s="299"/>
      <c r="F878" s="299"/>
      <c r="G878" s="299"/>
      <c r="H878" s="1348"/>
      <c r="I878" s="299"/>
      <c r="J878" s="299"/>
      <c r="K878" s="299"/>
      <c r="L878" s="1336"/>
      <c r="M878" s="299"/>
      <c r="N878" s="299"/>
      <c r="O878" s="299"/>
      <c r="P878" s="299"/>
      <c r="Q878" s="299"/>
      <c r="R878" s="299"/>
      <c r="S878" s="299"/>
      <c r="T878" s="299"/>
      <c r="U878" s="299"/>
      <c r="V878" s="299"/>
      <c r="W878" s="8"/>
      <c r="X878" s="8"/>
      <c r="Y878" s="8"/>
      <c r="Z878" s="8"/>
    </row>
    <row r="879" spans="1:26" ht="12.75">
      <c r="A879" s="299"/>
      <c r="B879" s="300"/>
      <c r="C879" s="299"/>
      <c r="D879" s="299"/>
      <c r="E879" s="299"/>
      <c r="F879" s="299"/>
      <c r="G879" s="299"/>
      <c r="H879" s="1348"/>
      <c r="I879" s="299"/>
      <c r="J879" s="299"/>
      <c r="K879" s="299"/>
      <c r="L879" s="1336"/>
      <c r="M879" s="299"/>
      <c r="N879" s="299"/>
      <c r="O879" s="299"/>
      <c r="P879" s="299"/>
      <c r="Q879" s="299"/>
      <c r="R879" s="299"/>
      <c r="S879" s="299"/>
      <c r="T879" s="299"/>
      <c r="U879" s="299"/>
      <c r="V879" s="299"/>
      <c r="W879" s="8"/>
      <c r="X879" s="8"/>
      <c r="Y879" s="8"/>
      <c r="Z879" s="8"/>
    </row>
    <row r="880" spans="1:26" ht="12.75">
      <c r="A880" s="299"/>
      <c r="B880" s="300"/>
      <c r="C880" s="299"/>
      <c r="D880" s="299"/>
      <c r="E880" s="299"/>
      <c r="F880" s="299"/>
      <c r="G880" s="299"/>
      <c r="H880" s="1348"/>
      <c r="I880" s="299"/>
      <c r="J880" s="299"/>
      <c r="K880" s="299"/>
      <c r="L880" s="1336"/>
      <c r="M880" s="299"/>
      <c r="N880" s="299"/>
      <c r="O880" s="299"/>
      <c r="P880" s="299"/>
      <c r="Q880" s="299"/>
      <c r="R880" s="299"/>
      <c r="S880" s="299"/>
      <c r="T880" s="299"/>
      <c r="U880" s="299"/>
      <c r="V880" s="299"/>
      <c r="W880" s="8"/>
      <c r="X880" s="8"/>
      <c r="Y880" s="8"/>
      <c r="Z880" s="8"/>
    </row>
    <row r="881" spans="1:26" ht="12.75">
      <c r="A881" s="299"/>
      <c r="B881" s="300"/>
      <c r="C881" s="299"/>
      <c r="D881" s="299"/>
      <c r="E881" s="299"/>
      <c r="F881" s="299"/>
      <c r="G881" s="299"/>
      <c r="H881" s="1348"/>
      <c r="I881" s="299"/>
      <c r="J881" s="299"/>
      <c r="K881" s="299"/>
      <c r="L881" s="1336"/>
      <c r="M881" s="299"/>
      <c r="N881" s="299"/>
      <c r="O881" s="299"/>
      <c r="P881" s="299"/>
      <c r="Q881" s="299"/>
      <c r="R881" s="299"/>
      <c r="S881" s="299"/>
      <c r="T881" s="299"/>
      <c r="U881" s="299"/>
      <c r="V881" s="299"/>
      <c r="W881" s="8"/>
      <c r="X881" s="8"/>
      <c r="Y881" s="8"/>
      <c r="Z881" s="8"/>
    </row>
    <row r="882" spans="1:26" ht="12.75">
      <c r="A882" s="299"/>
      <c r="B882" s="300"/>
      <c r="C882" s="299"/>
      <c r="D882" s="299"/>
      <c r="E882" s="299"/>
      <c r="F882" s="299"/>
      <c r="G882" s="299"/>
      <c r="H882" s="1348"/>
      <c r="I882" s="299"/>
      <c r="J882" s="299"/>
      <c r="K882" s="299"/>
      <c r="L882" s="1336"/>
      <c r="M882" s="299"/>
      <c r="N882" s="299"/>
      <c r="O882" s="299"/>
      <c r="P882" s="299"/>
      <c r="Q882" s="299"/>
      <c r="R882" s="299"/>
      <c r="S882" s="299"/>
      <c r="T882" s="299"/>
      <c r="U882" s="299"/>
      <c r="V882" s="299"/>
      <c r="W882" s="8"/>
      <c r="X882" s="8"/>
      <c r="Y882" s="8"/>
      <c r="Z882" s="8"/>
    </row>
    <row r="883" spans="1:26" ht="12.75">
      <c r="A883" s="299"/>
      <c r="B883" s="300"/>
      <c r="C883" s="299"/>
      <c r="D883" s="299"/>
      <c r="E883" s="299"/>
      <c r="F883" s="299"/>
      <c r="G883" s="299"/>
      <c r="H883" s="1348"/>
      <c r="I883" s="299"/>
      <c r="J883" s="299"/>
      <c r="K883" s="299"/>
      <c r="L883" s="1336"/>
      <c r="M883" s="299"/>
      <c r="N883" s="299"/>
      <c r="O883" s="299"/>
      <c r="P883" s="299"/>
      <c r="Q883" s="299"/>
      <c r="R883" s="299"/>
      <c r="S883" s="299"/>
      <c r="T883" s="299"/>
      <c r="U883" s="299"/>
      <c r="V883" s="299"/>
      <c r="W883" s="8"/>
      <c r="X883" s="8"/>
      <c r="Y883" s="8"/>
      <c r="Z883" s="8"/>
    </row>
    <row r="884" spans="1:26" ht="12.75">
      <c r="A884" s="299"/>
      <c r="B884" s="300"/>
      <c r="C884" s="299"/>
      <c r="D884" s="299"/>
      <c r="E884" s="299"/>
      <c r="F884" s="299"/>
      <c r="G884" s="299"/>
      <c r="H884" s="1348"/>
      <c r="I884" s="299"/>
      <c r="J884" s="299"/>
      <c r="K884" s="299"/>
      <c r="L884" s="1336"/>
      <c r="M884" s="299"/>
      <c r="N884" s="299"/>
      <c r="O884" s="299"/>
      <c r="P884" s="299"/>
      <c r="Q884" s="299"/>
      <c r="R884" s="299"/>
      <c r="S884" s="299"/>
      <c r="T884" s="299"/>
      <c r="U884" s="299"/>
      <c r="V884" s="299"/>
      <c r="W884" s="8"/>
      <c r="X884" s="8"/>
      <c r="Y884" s="8"/>
      <c r="Z884" s="8"/>
    </row>
    <row r="885" spans="1:26" ht="12.75">
      <c r="A885" s="299"/>
      <c r="B885" s="300"/>
      <c r="C885" s="299"/>
      <c r="D885" s="299"/>
      <c r="E885" s="299"/>
      <c r="F885" s="299"/>
      <c r="G885" s="299"/>
      <c r="H885" s="1348"/>
      <c r="I885" s="299"/>
      <c r="J885" s="299"/>
      <c r="K885" s="299"/>
      <c r="L885" s="1336"/>
      <c r="M885" s="299"/>
      <c r="N885" s="299"/>
      <c r="O885" s="299"/>
      <c r="P885" s="299"/>
      <c r="Q885" s="299"/>
      <c r="R885" s="299"/>
      <c r="S885" s="299"/>
      <c r="T885" s="299"/>
      <c r="U885" s="299"/>
      <c r="V885" s="299"/>
      <c r="W885" s="8"/>
      <c r="X885" s="8"/>
      <c r="Y885" s="8"/>
      <c r="Z885" s="8"/>
    </row>
    <row r="886" spans="1:26" ht="12.75">
      <c r="A886" s="299"/>
      <c r="B886" s="300"/>
      <c r="C886" s="299"/>
      <c r="D886" s="299"/>
      <c r="E886" s="299"/>
      <c r="F886" s="299"/>
      <c r="G886" s="299"/>
      <c r="H886" s="1348"/>
      <c r="I886" s="299"/>
      <c r="J886" s="299"/>
      <c r="K886" s="299"/>
      <c r="L886" s="1336"/>
      <c r="M886" s="299"/>
      <c r="N886" s="299"/>
      <c r="O886" s="299"/>
      <c r="P886" s="299"/>
      <c r="Q886" s="299"/>
      <c r="R886" s="299"/>
      <c r="S886" s="299"/>
      <c r="T886" s="299"/>
      <c r="U886" s="299"/>
      <c r="V886" s="299"/>
      <c r="W886" s="8"/>
      <c r="X886" s="8"/>
      <c r="Y886" s="8"/>
      <c r="Z886" s="8"/>
    </row>
    <row r="887" spans="1:26" ht="12.75">
      <c r="A887" s="299"/>
      <c r="B887" s="300"/>
      <c r="C887" s="299"/>
      <c r="D887" s="299"/>
      <c r="E887" s="299"/>
      <c r="F887" s="299"/>
      <c r="G887" s="299"/>
      <c r="H887" s="1348"/>
      <c r="I887" s="299"/>
      <c r="J887" s="299"/>
      <c r="K887" s="299"/>
      <c r="L887" s="1336"/>
      <c r="M887" s="299"/>
      <c r="N887" s="299"/>
      <c r="O887" s="299"/>
      <c r="P887" s="299"/>
      <c r="Q887" s="299"/>
      <c r="R887" s="299"/>
      <c r="S887" s="299"/>
      <c r="T887" s="299"/>
      <c r="U887" s="299"/>
      <c r="V887" s="299"/>
      <c r="W887" s="8"/>
      <c r="X887" s="8"/>
      <c r="Y887" s="8"/>
      <c r="Z887" s="8"/>
    </row>
    <row r="888" spans="1:26" ht="12.75">
      <c r="A888" s="299"/>
      <c r="B888" s="300"/>
      <c r="C888" s="299"/>
      <c r="D888" s="299"/>
      <c r="E888" s="299"/>
      <c r="F888" s="299"/>
      <c r="G888" s="299"/>
      <c r="H888" s="1348"/>
      <c r="I888" s="299"/>
      <c r="J888" s="299"/>
      <c r="K888" s="299"/>
      <c r="L888" s="1336"/>
      <c r="M888" s="299"/>
      <c r="N888" s="299"/>
      <c r="O888" s="299"/>
      <c r="P888" s="299"/>
      <c r="Q888" s="299"/>
      <c r="R888" s="299"/>
      <c r="S888" s="299"/>
      <c r="T888" s="299"/>
      <c r="U888" s="299"/>
      <c r="V888" s="299"/>
      <c r="W888" s="8"/>
      <c r="X888" s="8"/>
      <c r="Y888" s="8"/>
      <c r="Z888" s="8"/>
    </row>
    <row r="889" spans="1:26" ht="12.75">
      <c r="A889" s="299"/>
      <c r="B889" s="300"/>
      <c r="C889" s="299"/>
      <c r="D889" s="299"/>
      <c r="E889" s="299"/>
      <c r="F889" s="299"/>
      <c r="G889" s="299"/>
      <c r="H889" s="1348"/>
      <c r="I889" s="299"/>
      <c r="J889" s="299"/>
      <c r="K889" s="299"/>
      <c r="L889" s="1336"/>
      <c r="M889" s="299"/>
      <c r="N889" s="299"/>
      <c r="O889" s="299"/>
      <c r="P889" s="299"/>
      <c r="Q889" s="299"/>
      <c r="R889" s="299"/>
      <c r="S889" s="299"/>
      <c r="T889" s="299"/>
      <c r="U889" s="299"/>
      <c r="V889" s="299"/>
      <c r="W889" s="8"/>
      <c r="X889" s="8"/>
      <c r="Y889" s="8"/>
      <c r="Z889" s="8"/>
    </row>
    <row r="890" spans="1:26" ht="12.75">
      <c r="A890" s="299"/>
      <c r="B890" s="300"/>
      <c r="C890" s="299"/>
      <c r="D890" s="299"/>
      <c r="E890" s="299"/>
      <c r="F890" s="299"/>
      <c r="G890" s="299"/>
      <c r="H890" s="1348"/>
      <c r="I890" s="299"/>
      <c r="J890" s="299"/>
      <c r="K890" s="299"/>
      <c r="L890" s="1336"/>
      <c r="M890" s="299"/>
      <c r="N890" s="299"/>
      <c r="O890" s="299"/>
      <c r="P890" s="299"/>
      <c r="Q890" s="299"/>
      <c r="R890" s="299"/>
      <c r="S890" s="299"/>
      <c r="T890" s="299"/>
      <c r="U890" s="299"/>
      <c r="V890" s="299"/>
      <c r="W890" s="8"/>
      <c r="X890" s="8"/>
      <c r="Y890" s="8"/>
      <c r="Z890" s="8"/>
    </row>
    <row r="891" spans="1:26" ht="12.75">
      <c r="A891" s="299"/>
      <c r="B891" s="300"/>
      <c r="C891" s="299"/>
      <c r="D891" s="299"/>
      <c r="E891" s="299"/>
      <c r="F891" s="299"/>
      <c r="G891" s="299"/>
      <c r="H891" s="1348"/>
      <c r="I891" s="299"/>
      <c r="J891" s="299"/>
      <c r="K891" s="299"/>
      <c r="L891" s="1336"/>
      <c r="M891" s="299"/>
      <c r="N891" s="299"/>
      <c r="O891" s="299"/>
      <c r="P891" s="299"/>
      <c r="Q891" s="299"/>
      <c r="R891" s="299"/>
      <c r="S891" s="299"/>
      <c r="T891" s="299"/>
      <c r="U891" s="299"/>
      <c r="V891" s="299"/>
      <c r="W891" s="8"/>
      <c r="X891" s="8"/>
      <c r="Y891" s="8"/>
      <c r="Z891" s="8"/>
    </row>
    <row r="892" spans="1:26" ht="12.75">
      <c r="A892" s="299"/>
      <c r="B892" s="300"/>
      <c r="C892" s="299"/>
      <c r="D892" s="299"/>
      <c r="E892" s="299"/>
      <c r="F892" s="299"/>
      <c r="G892" s="299"/>
      <c r="H892" s="1348"/>
      <c r="I892" s="299"/>
      <c r="J892" s="299"/>
      <c r="K892" s="299"/>
      <c r="L892" s="1336"/>
      <c r="M892" s="299"/>
      <c r="N892" s="299"/>
      <c r="O892" s="299"/>
      <c r="P892" s="299"/>
      <c r="Q892" s="299"/>
      <c r="R892" s="299"/>
      <c r="S892" s="299"/>
      <c r="T892" s="299"/>
      <c r="U892" s="299"/>
      <c r="V892" s="299"/>
      <c r="W892" s="8"/>
      <c r="X892" s="8"/>
      <c r="Y892" s="8"/>
      <c r="Z892" s="8"/>
    </row>
    <row r="893" spans="1:26" ht="12.75">
      <c r="A893" s="299"/>
      <c r="B893" s="300"/>
      <c r="C893" s="299"/>
      <c r="D893" s="299"/>
      <c r="E893" s="299"/>
      <c r="F893" s="299"/>
      <c r="G893" s="299"/>
      <c r="H893" s="1348"/>
      <c r="I893" s="299"/>
      <c r="J893" s="299"/>
      <c r="K893" s="299"/>
      <c r="L893" s="1336"/>
      <c r="M893" s="299"/>
      <c r="N893" s="299"/>
      <c r="O893" s="299"/>
      <c r="P893" s="299"/>
      <c r="Q893" s="299"/>
      <c r="R893" s="299"/>
      <c r="S893" s="299"/>
      <c r="T893" s="299"/>
      <c r="U893" s="299"/>
      <c r="V893" s="299"/>
      <c r="W893" s="8"/>
      <c r="X893" s="8"/>
      <c r="Y893" s="8"/>
      <c r="Z893" s="8"/>
    </row>
    <row r="894" spans="1:26" ht="12.75">
      <c r="A894" s="299"/>
      <c r="B894" s="300"/>
      <c r="C894" s="299"/>
      <c r="D894" s="299"/>
      <c r="E894" s="299"/>
      <c r="F894" s="299"/>
      <c r="G894" s="299"/>
      <c r="H894" s="1348"/>
      <c r="I894" s="299"/>
      <c r="J894" s="299"/>
      <c r="K894" s="299"/>
      <c r="L894" s="1336"/>
      <c r="M894" s="299"/>
      <c r="N894" s="299"/>
      <c r="O894" s="299"/>
      <c r="P894" s="299"/>
      <c r="Q894" s="299"/>
      <c r="R894" s="299"/>
      <c r="S894" s="299"/>
      <c r="T894" s="299"/>
      <c r="U894" s="299"/>
      <c r="V894" s="299"/>
      <c r="W894" s="8"/>
      <c r="X894" s="8"/>
      <c r="Y894" s="8"/>
      <c r="Z894" s="8"/>
    </row>
    <row r="895" spans="1:26" ht="12.75">
      <c r="A895" s="299"/>
      <c r="B895" s="300"/>
      <c r="C895" s="299"/>
      <c r="D895" s="299"/>
      <c r="E895" s="299"/>
      <c r="F895" s="299"/>
      <c r="G895" s="299"/>
      <c r="H895" s="1348"/>
      <c r="I895" s="299"/>
      <c r="J895" s="299"/>
      <c r="K895" s="299"/>
      <c r="L895" s="1336"/>
      <c r="M895" s="299"/>
      <c r="N895" s="299"/>
      <c r="O895" s="299"/>
      <c r="P895" s="299"/>
      <c r="Q895" s="299"/>
      <c r="R895" s="299"/>
      <c r="S895" s="299"/>
      <c r="T895" s="299"/>
      <c r="U895" s="299"/>
      <c r="V895" s="299"/>
      <c r="W895" s="8"/>
      <c r="X895" s="8"/>
      <c r="Y895" s="8"/>
      <c r="Z895" s="8"/>
    </row>
    <row r="896" spans="1:26" ht="12.75">
      <c r="A896" s="299"/>
      <c r="B896" s="300"/>
      <c r="C896" s="299"/>
      <c r="D896" s="299"/>
      <c r="E896" s="299"/>
      <c r="F896" s="299"/>
      <c r="G896" s="299"/>
      <c r="H896" s="1348"/>
      <c r="I896" s="299"/>
      <c r="J896" s="299"/>
      <c r="K896" s="299"/>
      <c r="L896" s="1336"/>
      <c r="M896" s="299"/>
      <c r="N896" s="299"/>
      <c r="O896" s="299"/>
      <c r="P896" s="299"/>
      <c r="Q896" s="299"/>
      <c r="R896" s="299"/>
      <c r="S896" s="299"/>
      <c r="T896" s="299"/>
      <c r="U896" s="299"/>
      <c r="V896" s="299"/>
      <c r="W896" s="8"/>
      <c r="X896" s="8"/>
      <c r="Y896" s="8"/>
      <c r="Z896" s="8"/>
    </row>
    <row r="897" spans="1:26" ht="12.75">
      <c r="A897" s="299"/>
      <c r="B897" s="300"/>
      <c r="C897" s="299"/>
      <c r="D897" s="299"/>
      <c r="E897" s="299"/>
      <c r="F897" s="299"/>
      <c r="G897" s="299"/>
      <c r="H897" s="1348"/>
      <c r="I897" s="299"/>
      <c r="J897" s="299"/>
      <c r="K897" s="299"/>
      <c r="L897" s="1336"/>
      <c r="M897" s="299"/>
      <c r="N897" s="299"/>
      <c r="O897" s="299"/>
      <c r="P897" s="299"/>
      <c r="Q897" s="299"/>
      <c r="R897" s="299"/>
      <c r="S897" s="299"/>
      <c r="T897" s="299"/>
      <c r="U897" s="299"/>
      <c r="V897" s="299"/>
      <c r="W897" s="8"/>
      <c r="X897" s="8"/>
      <c r="Y897" s="8"/>
      <c r="Z897" s="8"/>
    </row>
    <row r="898" spans="1:26" ht="12.75">
      <c r="A898" s="299"/>
      <c r="B898" s="300"/>
      <c r="C898" s="299"/>
      <c r="D898" s="299"/>
      <c r="E898" s="299"/>
      <c r="F898" s="299"/>
      <c r="G898" s="299"/>
      <c r="H898" s="1348"/>
      <c r="I898" s="299"/>
      <c r="J898" s="299"/>
      <c r="K898" s="299"/>
      <c r="L898" s="1336"/>
      <c r="M898" s="299"/>
      <c r="N898" s="299"/>
      <c r="O898" s="299"/>
      <c r="P898" s="299"/>
      <c r="Q898" s="299"/>
      <c r="R898" s="299"/>
      <c r="S898" s="299"/>
      <c r="T898" s="299"/>
      <c r="U898" s="299"/>
      <c r="V898" s="299"/>
      <c r="W898" s="8"/>
      <c r="X898" s="8"/>
      <c r="Y898" s="8"/>
      <c r="Z898" s="8"/>
    </row>
    <row r="899" spans="1:26" ht="12.75">
      <c r="A899" s="299"/>
      <c r="B899" s="300"/>
      <c r="C899" s="299"/>
      <c r="D899" s="299"/>
      <c r="E899" s="299"/>
      <c r="F899" s="299"/>
      <c r="G899" s="299"/>
      <c r="H899" s="1348"/>
      <c r="I899" s="299"/>
      <c r="J899" s="299"/>
      <c r="K899" s="299"/>
      <c r="L899" s="1336"/>
      <c r="M899" s="299"/>
      <c r="N899" s="299"/>
      <c r="O899" s="299"/>
      <c r="P899" s="299"/>
      <c r="Q899" s="299"/>
      <c r="R899" s="299"/>
      <c r="S899" s="299"/>
      <c r="T899" s="299"/>
      <c r="U899" s="299"/>
      <c r="V899" s="299"/>
      <c r="W899" s="8"/>
      <c r="X899" s="8"/>
      <c r="Y899" s="8"/>
      <c r="Z899" s="8"/>
    </row>
    <row r="900" spans="1:26" ht="12.75">
      <c r="A900" s="299"/>
      <c r="B900" s="300"/>
      <c r="C900" s="299"/>
      <c r="D900" s="299"/>
      <c r="E900" s="299"/>
      <c r="F900" s="299"/>
      <c r="G900" s="299"/>
      <c r="H900" s="1348"/>
      <c r="I900" s="299"/>
      <c r="J900" s="299"/>
      <c r="K900" s="299"/>
      <c r="L900" s="1336"/>
      <c r="M900" s="299"/>
      <c r="N900" s="299"/>
      <c r="O900" s="299"/>
      <c r="P900" s="299"/>
      <c r="Q900" s="299"/>
      <c r="R900" s="299"/>
      <c r="S900" s="299"/>
      <c r="T900" s="299"/>
      <c r="U900" s="299"/>
      <c r="V900" s="299"/>
      <c r="W900" s="8"/>
      <c r="X900" s="8"/>
      <c r="Y900" s="8"/>
      <c r="Z900" s="8"/>
    </row>
    <row r="901" spans="1:26" ht="12.75">
      <c r="A901" s="299"/>
      <c r="B901" s="300"/>
      <c r="C901" s="299"/>
      <c r="D901" s="299"/>
      <c r="E901" s="299"/>
      <c r="F901" s="299"/>
      <c r="G901" s="299"/>
      <c r="H901" s="1348"/>
      <c r="I901" s="299"/>
      <c r="J901" s="299"/>
      <c r="K901" s="299"/>
      <c r="L901" s="1336"/>
      <c r="M901" s="299"/>
      <c r="N901" s="299"/>
      <c r="O901" s="299"/>
      <c r="P901" s="299"/>
      <c r="Q901" s="299"/>
      <c r="R901" s="299"/>
      <c r="S901" s="299"/>
      <c r="T901" s="299"/>
      <c r="U901" s="299"/>
      <c r="V901" s="299"/>
      <c r="W901" s="8"/>
      <c r="X901" s="8"/>
      <c r="Y901" s="8"/>
      <c r="Z901" s="8"/>
    </row>
    <row r="902" spans="1:26" ht="12.75">
      <c r="A902" s="299"/>
      <c r="B902" s="300"/>
      <c r="C902" s="299"/>
      <c r="D902" s="299"/>
      <c r="E902" s="299"/>
      <c r="F902" s="299"/>
      <c r="G902" s="299"/>
      <c r="H902" s="1348"/>
      <c r="I902" s="299"/>
      <c r="J902" s="299"/>
      <c r="K902" s="299"/>
      <c r="L902" s="1336"/>
      <c r="M902" s="299"/>
      <c r="N902" s="299"/>
      <c r="O902" s="299"/>
      <c r="P902" s="299"/>
      <c r="Q902" s="299"/>
      <c r="R902" s="299"/>
      <c r="S902" s="299"/>
      <c r="T902" s="299"/>
      <c r="U902" s="299"/>
      <c r="V902" s="299"/>
      <c r="W902" s="8"/>
      <c r="X902" s="8"/>
      <c r="Y902" s="8"/>
      <c r="Z902" s="8"/>
    </row>
    <row r="903" spans="1:26" ht="12.75">
      <c r="A903" s="299"/>
      <c r="B903" s="300"/>
      <c r="C903" s="299"/>
      <c r="D903" s="299"/>
      <c r="E903" s="299"/>
      <c r="F903" s="299"/>
      <c r="G903" s="299"/>
      <c r="H903" s="1348"/>
      <c r="I903" s="299"/>
      <c r="J903" s="299"/>
      <c r="K903" s="299"/>
      <c r="L903" s="1336"/>
      <c r="M903" s="299"/>
      <c r="N903" s="299"/>
      <c r="O903" s="299"/>
      <c r="P903" s="299"/>
      <c r="Q903" s="299"/>
      <c r="R903" s="299"/>
      <c r="S903" s="299"/>
      <c r="T903" s="299"/>
      <c r="U903" s="299"/>
      <c r="V903" s="299"/>
      <c r="W903" s="8"/>
      <c r="X903" s="8"/>
      <c r="Y903" s="8"/>
      <c r="Z903" s="8"/>
    </row>
    <row r="904" spans="1:26" ht="12.75">
      <c r="A904" s="299"/>
      <c r="B904" s="300"/>
      <c r="C904" s="299"/>
      <c r="D904" s="299"/>
      <c r="E904" s="299"/>
      <c r="F904" s="299"/>
      <c r="G904" s="299"/>
      <c r="H904" s="1348"/>
      <c r="I904" s="299"/>
      <c r="J904" s="299"/>
      <c r="K904" s="299"/>
      <c r="L904" s="1336"/>
      <c r="M904" s="299"/>
      <c r="N904" s="299"/>
      <c r="O904" s="299"/>
      <c r="P904" s="299"/>
      <c r="Q904" s="299"/>
      <c r="R904" s="299"/>
      <c r="S904" s="299"/>
      <c r="T904" s="299"/>
      <c r="U904" s="299"/>
      <c r="V904" s="299"/>
      <c r="W904" s="8"/>
      <c r="X904" s="8"/>
      <c r="Y904" s="8"/>
      <c r="Z904" s="8"/>
    </row>
    <row r="905" spans="1:26" ht="12.75">
      <c r="A905" s="299"/>
      <c r="B905" s="300"/>
      <c r="C905" s="299"/>
      <c r="D905" s="299"/>
      <c r="E905" s="299"/>
      <c r="F905" s="299"/>
      <c r="G905" s="299"/>
      <c r="H905" s="1348"/>
      <c r="I905" s="299"/>
      <c r="J905" s="299"/>
      <c r="K905" s="299"/>
      <c r="L905" s="1336"/>
      <c r="M905" s="299"/>
      <c r="N905" s="299"/>
      <c r="O905" s="299"/>
      <c r="P905" s="299"/>
      <c r="Q905" s="299"/>
      <c r="R905" s="299"/>
      <c r="S905" s="299"/>
      <c r="T905" s="299"/>
      <c r="U905" s="299"/>
      <c r="V905" s="299"/>
      <c r="W905" s="8"/>
      <c r="X905" s="8"/>
      <c r="Y905" s="8"/>
      <c r="Z905" s="8"/>
    </row>
    <row r="906" spans="1:26" ht="12.75">
      <c r="A906" s="299"/>
      <c r="B906" s="300"/>
      <c r="C906" s="299"/>
      <c r="D906" s="299"/>
      <c r="E906" s="299"/>
      <c r="F906" s="299"/>
      <c r="G906" s="299"/>
      <c r="H906" s="1348"/>
      <c r="I906" s="299"/>
      <c r="J906" s="299"/>
      <c r="K906" s="299"/>
      <c r="L906" s="1336"/>
      <c r="M906" s="299"/>
      <c r="N906" s="299"/>
      <c r="O906" s="299"/>
      <c r="P906" s="299"/>
      <c r="Q906" s="299"/>
      <c r="R906" s="299"/>
      <c r="S906" s="299"/>
      <c r="T906" s="299"/>
      <c r="U906" s="299"/>
      <c r="V906" s="299"/>
      <c r="W906" s="8"/>
      <c r="X906" s="8"/>
      <c r="Y906" s="8"/>
      <c r="Z906" s="8"/>
    </row>
    <row r="907" spans="1:26" ht="12.75">
      <c r="A907" s="299"/>
      <c r="B907" s="300"/>
      <c r="C907" s="299"/>
      <c r="D907" s="299"/>
      <c r="E907" s="299"/>
      <c r="F907" s="299"/>
      <c r="G907" s="299"/>
      <c r="H907" s="1348"/>
      <c r="I907" s="299"/>
      <c r="J907" s="299"/>
      <c r="K907" s="299"/>
      <c r="L907" s="1336"/>
      <c r="M907" s="299"/>
      <c r="N907" s="299"/>
      <c r="O907" s="299"/>
      <c r="P907" s="299"/>
      <c r="Q907" s="299"/>
      <c r="R907" s="299"/>
      <c r="S907" s="299"/>
      <c r="T907" s="299"/>
      <c r="U907" s="299"/>
      <c r="V907" s="299"/>
      <c r="W907" s="8"/>
      <c r="X907" s="8"/>
      <c r="Y907" s="8"/>
      <c r="Z907" s="8"/>
    </row>
    <row r="908" spans="1:26" ht="12.75">
      <c r="A908" s="299"/>
      <c r="B908" s="300"/>
      <c r="C908" s="299"/>
      <c r="D908" s="299"/>
      <c r="E908" s="299"/>
      <c r="F908" s="299"/>
      <c r="G908" s="299"/>
      <c r="H908" s="1348"/>
      <c r="I908" s="299"/>
      <c r="J908" s="299"/>
      <c r="K908" s="299"/>
      <c r="L908" s="1336"/>
      <c r="M908" s="299"/>
      <c r="N908" s="299"/>
      <c r="O908" s="299"/>
      <c r="P908" s="299"/>
      <c r="Q908" s="299"/>
      <c r="R908" s="299"/>
      <c r="S908" s="299"/>
      <c r="T908" s="299"/>
      <c r="U908" s="299"/>
      <c r="V908" s="299"/>
      <c r="W908" s="8"/>
      <c r="X908" s="8"/>
      <c r="Y908" s="8"/>
      <c r="Z908" s="8"/>
    </row>
    <row r="909" spans="1:26" ht="12.75">
      <c r="A909" s="299"/>
      <c r="B909" s="300"/>
      <c r="C909" s="299"/>
      <c r="D909" s="299"/>
      <c r="E909" s="299"/>
      <c r="F909" s="299"/>
      <c r="G909" s="299"/>
      <c r="H909" s="1348"/>
      <c r="I909" s="299"/>
      <c r="J909" s="299"/>
      <c r="K909" s="299"/>
      <c r="L909" s="1336"/>
      <c r="M909" s="299"/>
      <c r="N909" s="299"/>
      <c r="O909" s="299"/>
      <c r="P909" s="299"/>
      <c r="Q909" s="299"/>
      <c r="R909" s="299"/>
      <c r="S909" s="299"/>
      <c r="T909" s="299"/>
      <c r="U909" s="299"/>
      <c r="V909" s="299"/>
      <c r="W909" s="8"/>
      <c r="X909" s="8"/>
      <c r="Y909" s="8"/>
      <c r="Z909" s="8"/>
    </row>
    <row r="910" spans="1:26" ht="12.75">
      <c r="A910" s="299"/>
      <c r="B910" s="300"/>
      <c r="C910" s="299"/>
      <c r="D910" s="299"/>
      <c r="E910" s="299"/>
      <c r="F910" s="299"/>
      <c r="G910" s="299"/>
      <c r="H910" s="1348"/>
      <c r="I910" s="299"/>
      <c r="J910" s="299"/>
      <c r="K910" s="299"/>
      <c r="L910" s="1336"/>
      <c r="M910" s="299"/>
      <c r="N910" s="299"/>
      <c r="O910" s="299"/>
      <c r="P910" s="299"/>
      <c r="Q910" s="299"/>
      <c r="R910" s="299"/>
      <c r="S910" s="299"/>
      <c r="T910" s="299"/>
      <c r="U910" s="299"/>
      <c r="V910" s="299"/>
      <c r="W910" s="8"/>
      <c r="X910" s="8"/>
      <c r="Y910" s="8"/>
      <c r="Z910" s="8"/>
    </row>
    <row r="911" spans="1:26" ht="12.75">
      <c r="A911" s="299"/>
      <c r="B911" s="300"/>
      <c r="C911" s="299"/>
      <c r="D911" s="299"/>
      <c r="E911" s="299"/>
      <c r="F911" s="299"/>
      <c r="G911" s="299"/>
      <c r="H911" s="1348"/>
      <c r="I911" s="299"/>
      <c r="J911" s="299"/>
      <c r="K911" s="299"/>
      <c r="L911" s="1336"/>
      <c r="M911" s="299"/>
      <c r="N911" s="299"/>
      <c r="O911" s="299"/>
      <c r="P911" s="299"/>
      <c r="Q911" s="299"/>
      <c r="R911" s="299"/>
      <c r="S911" s="299"/>
      <c r="T911" s="299"/>
      <c r="U911" s="299"/>
      <c r="V911" s="299"/>
      <c r="W911" s="8"/>
      <c r="X911" s="8"/>
      <c r="Y911" s="8"/>
      <c r="Z911" s="8"/>
    </row>
    <row r="912" spans="1:26" ht="12.75">
      <c r="A912" s="299"/>
      <c r="B912" s="300"/>
      <c r="C912" s="299"/>
      <c r="D912" s="299"/>
      <c r="E912" s="299"/>
      <c r="F912" s="299"/>
      <c r="G912" s="299"/>
      <c r="H912" s="1348"/>
      <c r="I912" s="299"/>
      <c r="J912" s="299"/>
      <c r="K912" s="299"/>
      <c r="L912" s="1336"/>
      <c r="M912" s="299"/>
      <c r="N912" s="299"/>
      <c r="O912" s="299"/>
      <c r="P912" s="299"/>
      <c r="Q912" s="299"/>
      <c r="R912" s="299"/>
      <c r="S912" s="299"/>
      <c r="T912" s="299"/>
      <c r="U912" s="299"/>
      <c r="V912" s="299"/>
      <c r="W912" s="8"/>
      <c r="X912" s="8"/>
      <c r="Y912" s="8"/>
      <c r="Z912" s="8"/>
    </row>
    <row r="913" spans="1:26" ht="12.75">
      <c r="A913" s="299"/>
      <c r="B913" s="300"/>
      <c r="C913" s="299"/>
      <c r="D913" s="299"/>
      <c r="E913" s="299"/>
      <c r="F913" s="299"/>
      <c r="G913" s="299"/>
      <c r="H913" s="1348"/>
      <c r="I913" s="299"/>
      <c r="J913" s="299"/>
      <c r="K913" s="299"/>
      <c r="L913" s="1336"/>
      <c r="M913" s="299"/>
      <c r="N913" s="299"/>
      <c r="O913" s="299"/>
      <c r="P913" s="299"/>
      <c r="Q913" s="299"/>
      <c r="R913" s="299"/>
      <c r="S913" s="299"/>
      <c r="T913" s="299"/>
      <c r="U913" s="299"/>
      <c r="V913" s="299"/>
      <c r="W913" s="8"/>
      <c r="X913" s="8"/>
      <c r="Y913" s="8"/>
      <c r="Z913" s="8"/>
    </row>
    <row r="914" spans="1:26" ht="12.75">
      <c r="A914" s="299"/>
      <c r="B914" s="300"/>
      <c r="C914" s="299"/>
      <c r="D914" s="299"/>
      <c r="E914" s="299"/>
      <c r="F914" s="299"/>
      <c r="G914" s="299"/>
      <c r="H914" s="1348"/>
      <c r="I914" s="299"/>
      <c r="J914" s="299"/>
      <c r="K914" s="299"/>
      <c r="L914" s="1336"/>
      <c r="M914" s="299"/>
      <c r="N914" s="299"/>
      <c r="O914" s="299"/>
      <c r="P914" s="299"/>
      <c r="Q914" s="299"/>
      <c r="R914" s="299"/>
      <c r="S914" s="299"/>
      <c r="T914" s="299"/>
      <c r="U914" s="299"/>
      <c r="V914" s="299"/>
      <c r="W914" s="8"/>
      <c r="X914" s="8"/>
      <c r="Y914" s="8"/>
      <c r="Z914" s="8"/>
    </row>
    <row r="915" spans="1:26" ht="12.75">
      <c r="A915" s="299"/>
      <c r="B915" s="300"/>
      <c r="C915" s="299"/>
      <c r="D915" s="299"/>
      <c r="E915" s="299"/>
      <c r="F915" s="299"/>
      <c r="G915" s="299"/>
      <c r="H915" s="1348"/>
      <c r="I915" s="299"/>
      <c r="J915" s="299"/>
      <c r="K915" s="299"/>
      <c r="L915" s="1336"/>
      <c r="M915" s="299"/>
      <c r="N915" s="299"/>
      <c r="O915" s="299"/>
      <c r="P915" s="299"/>
      <c r="Q915" s="299"/>
      <c r="R915" s="299"/>
      <c r="S915" s="299"/>
      <c r="T915" s="299"/>
      <c r="U915" s="299"/>
      <c r="V915" s="299"/>
      <c r="W915" s="8"/>
      <c r="X915" s="8"/>
      <c r="Y915" s="8"/>
      <c r="Z915" s="8"/>
    </row>
    <row r="916" spans="1:26" ht="12.75">
      <c r="A916" s="299"/>
      <c r="B916" s="300"/>
      <c r="C916" s="299"/>
      <c r="D916" s="299"/>
      <c r="E916" s="299"/>
      <c r="F916" s="299"/>
      <c r="G916" s="299"/>
      <c r="H916" s="1348"/>
      <c r="I916" s="299"/>
      <c r="J916" s="299"/>
      <c r="K916" s="299"/>
      <c r="L916" s="1336"/>
      <c r="M916" s="299"/>
      <c r="N916" s="299"/>
      <c r="O916" s="299"/>
      <c r="P916" s="299"/>
      <c r="Q916" s="299"/>
      <c r="R916" s="299"/>
      <c r="S916" s="299"/>
      <c r="T916" s="299"/>
      <c r="U916" s="299"/>
      <c r="V916" s="299"/>
      <c r="W916" s="8"/>
      <c r="X916" s="8"/>
      <c r="Y916" s="8"/>
      <c r="Z916" s="8"/>
    </row>
    <row r="917" spans="1:26" ht="12.75">
      <c r="A917" s="299"/>
      <c r="B917" s="300"/>
      <c r="C917" s="299"/>
      <c r="D917" s="299"/>
      <c r="E917" s="299"/>
      <c r="F917" s="299"/>
      <c r="G917" s="299"/>
      <c r="H917" s="1348"/>
      <c r="I917" s="299"/>
      <c r="J917" s="299"/>
      <c r="K917" s="299"/>
      <c r="L917" s="1336"/>
      <c r="M917" s="299"/>
      <c r="N917" s="299"/>
      <c r="O917" s="299"/>
      <c r="P917" s="299"/>
      <c r="Q917" s="299"/>
      <c r="R917" s="299"/>
      <c r="S917" s="299"/>
      <c r="T917" s="299"/>
      <c r="U917" s="299"/>
      <c r="V917" s="299"/>
      <c r="W917" s="8"/>
      <c r="X917" s="8"/>
      <c r="Y917" s="8"/>
      <c r="Z917" s="8"/>
    </row>
    <row r="918" spans="1:26" ht="12.75">
      <c r="A918" s="299"/>
      <c r="B918" s="300"/>
      <c r="C918" s="299"/>
      <c r="D918" s="299"/>
      <c r="E918" s="299"/>
      <c r="F918" s="299"/>
      <c r="G918" s="299"/>
      <c r="H918" s="1348"/>
      <c r="I918" s="299"/>
      <c r="J918" s="299"/>
      <c r="K918" s="299"/>
      <c r="L918" s="1336"/>
      <c r="M918" s="299"/>
      <c r="N918" s="299"/>
      <c r="O918" s="299"/>
      <c r="P918" s="299"/>
      <c r="Q918" s="299"/>
      <c r="R918" s="299"/>
      <c r="S918" s="299"/>
      <c r="T918" s="299"/>
      <c r="U918" s="299"/>
      <c r="V918" s="299"/>
      <c r="W918" s="8"/>
      <c r="X918" s="8"/>
      <c r="Y918" s="8"/>
      <c r="Z918" s="8"/>
    </row>
    <row r="919" spans="1:26" ht="12.75">
      <c r="A919" s="299"/>
      <c r="B919" s="300"/>
      <c r="C919" s="299"/>
      <c r="D919" s="299"/>
      <c r="E919" s="299"/>
      <c r="F919" s="299"/>
      <c r="G919" s="299"/>
      <c r="H919" s="1348"/>
      <c r="I919" s="299"/>
      <c r="J919" s="299"/>
      <c r="K919" s="299"/>
      <c r="L919" s="1336"/>
      <c r="M919" s="299"/>
      <c r="N919" s="299"/>
      <c r="O919" s="299"/>
      <c r="P919" s="299"/>
      <c r="Q919" s="299"/>
      <c r="R919" s="299"/>
      <c r="S919" s="299"/>
      <c r="T919" s="299"/>
      <c r="U919" s="299"/>
      <c r="V919" s="299"/>
      <c r="W919" s="8"/>
      <c r="X919" s="8"/>
      <c r="Y919" s="8"/>
      <c r="Z919" s="8"/>
    </row>
    <row r="920" spans="1:26" ht="12.75">
      <c r="A920" s="299"/>
      <c r="B920" s="300"/>
      <c r="C920" s="299"/>
      <c r="D920" s="299"/>
      <c r="E920" s="299"/>
      <c r="F920" s="299"/>
      <c r="G920" s="299"/>
      <c r="H920" s="1348"/>
      <c r="I920" s="299"/>
      <c r="J920" s="299"/>
      <c r="K920" s="299"/>
      <c r="L920" s="1336"/>
      <c r="M920" s="299"/>
      <c r="N920" s="299"/>
      <c r="O920" s="299"/>
      <c r="P920" s="299"/>
      <c r="Q920" s="299"/>
      <c r="R920" s="299"/>
      <c r="S920" s="299"/>
      <c r="T920" s="299"/>
      <c r="U920" s="299"/>
      <c r="V920" s="299"/>
      <c r="W920" s="8"/>
      <c r="X920" s="8"/>
      <c r="Y920" s="8"/>
      <c r="Z920" s="8"/>
    </row>
    <row r="921" spans="1:26" ht="12.75">
      <c r="A921" s="299"/>
      <c r="B921" s="300"/>
      <c r="C921" s="299"/>
      <c r="D921" s="299"/>
      <c r="E921" s="299"/>
      <c r="F921" s="299"/>
      <c r="G921" s="299"/>
      <c r="H921" s="1348"/>
      <c r="I921" s="299"/>
      <c r="J921" s="299"/>
      <c r="K921" s="299"/>
      <c r="L921" s="1336"/>
      <c r="M921" s="299"/>
      <c r="N921" s="299"/>
      <c r="O921" s="299"/>
      <c r="P921" s="299"/>
      <c r="Q921" s="299"/>
      <c r="R921" s="299"/>
      <c r="S921" s="299"/>
      <c r="T921" s="299"/>
      <c r="U921" s="299"/>
      <c r="V921" s="299"/>
      <c r="W921" s="8"/>
      <c r="X921" s="8"/>
      <c r="Y921" s="8"/>
      <c r="Z921" s="8"/>
    </row>
    <row r="922" spans="1:26" ht="12.75">
      <c r="A922" s="299"/>
      <c r="B922" s="300"/>
      <c r="C922" s="299"/>
      <c r="D922" s="299"/>
      <c r="E922" s="299"/>
      <c r="F922" s="299"/>
      <c r="G922" s="299"/>
      <c r="H922" s="1348"/>
      <c r="I922" s="299"/>
      <c r="J922" s="299"/>
      <c r="K922" s="299"/>
      <c r="L922" s="1336"/>
      <c r="M922" s="299"/>
      <c r="N922" s="299"/>
      <c r="O922" s="299"/>
      <c r="P922" s="299"/>
      <c r="Q922" s="299"/>
      <c r="R922" s="299"/>
      <c r="S922" s="299"/>
      <c r="T922" s="299"/>
      <c r="U922" s="299"/>
      <c r="V922" s="299"/>
      <c r="W922" s="8"/>
      <c r="X922" s="8"/>
      <c r="Y922" s="8"/>
      <c r="Z922" s="8"/>
    </row>
    <row r="923" spans="1:26" ht="12.75">
      <c r="A923" s="299"/>
      <c r="B923" s="300"/>
      <c r="C923" s="299"/>
      <c r="D923" s="299"/>
      <c r="E923" s="299"/>
      <c r="F923" s="299"/>
      <c r="G923" s="299"/>
      <c r="H923" s="1348"/>
      <c r="I923" s="299"/>
      <c r="J923" s="299"/>
      <c r="K923" s="299"/>
      <c r="L923" s="1336"/>
      <c r="M923" s="299"/>
      <c r="N923" s="299"/>
      <c r="O923" s="299"/>
      <c r="P923" s="299"/>
      <c r="Q923" s="299"/>
      <c r="R923" s="299"/>
      <c r="S923" s="299"/>
      <c r="T923" s="299"/>
      <c r="U923" s="299"/>
      <c r="V923" s="299"/>
      <c r="W923" s="8"/>
      <c r="X923" s="8"/>
      <c r="Y923" s="8"/>
      <c r="Z923" s="8"/>
    </row>
    <row r="924" spans="1:26" ht="12.75">
      <c r="A924" s="299"/>
      <c r="B924" s="300"/>
      <c r="C924" s="299"/>
      <c r="D924" s="299"/>
      <c r="E924" s="299"/>
      <c r="F924" s="299"/>
      <c r="G924" s="299"/>
      <c r="H924" s="1348"/>
      <c r="I924" s="299"/>
      <c r="J924" s="299"/>
      <c r="K924" s="299"/>
      <c r="L924" s="1336"/>
      <c r="M924" s="299"/>
      <c r="N924" s="299"/>
      <c r="O924" s="299"/>
      <c r="P924" s="299"/>
      <c r="Q924" s="299"/>
      <c r="R924" s="299"/>
      <c r="S924" s="299"/>
      <c r="T924" s="299"/>
      <c r="U924" s="299"/>
      <c r="V924" s="299"/>
      <c r="W924" s="8"/>
      <c r="X924" s="8"/>
      <c r="Y924" s="8"/>
      <c r="Z924" s="8"/>
    </row>
    <row r="925" spans="1:26" ht="12.75">
      <c r="A925" s="299"/>
      <c r="B925" s="300"/>
      <c r="C925" s="299"/>
      <c r="D925" s="299"/>
      <c r="E925" s="299"/>
      <c r="F925" s="299"/>
      <c r="G925" s="299"/>
      <c r="H925" s="1348"/>
      <c r="I925" s="299"/>
      <c r="J925" s="299"/>
      <c r="K925" s="299"/>
      <c r="L925" s="1336"/>
      <c r="M925" s="299"/>
      <c r="N925" s="299"/>
      <c r="O925" s="299"/>
      <c r="P925" s="299"/>
      <c r="Q925" s="299"/>
      <c r="R925" s="299"/>
      <c r="S925" s="299"/>
      <c r="T925" s="299"/>
      <c r="U925" s="299"/>
      <c r="V925" s="299"/>
      <c r="W925" s="8"/>
      <c r="X925" s="8"/>
      <c r="Y925" s="8"/>
      <c r="Z925" s="8"/>
    </row>
    <row r="926" spans="1:26" ht="12.75">
      <c r="A926" s="299"/>
      <c r="B926" s="300"/>
      <c r="C926" s="299"/>
      <c r="D926" s="299"/>
      <c r="E926" s="299"/>
      <c r="F926" s="299"/>
      <c r="G926" s="299"/>
      <c r="H926" s="1348"/>
      <c r="I926" s="299"/>
      <c r="J926" s="299"/>
      <c r="K926" s="299"/>
      <c r="L926" s="1336"/>
      <c r="M926" s="299"/>
      <c r="N926" s="299"/>
      <c r="O926" s="299"/>
      <c r="P926" s="299"/>
      <c r="Q926" s="299"/>
      <c r="R926" s="299"/>
      <c r="S926" s="299"/>
      <c r="T926" s="299"/>
      <c r="U926" s="299"/>
      <c r="V926" s="299"/>
      <c r="W926" s="8"/>
      <c r="X926" s="8"/>
      <c r="Y926" s="8"/>
      <c r="Z926" s="8"/>
    </row>
    <row r="927" spans="1:26" ht="12.75">
      <c r="A927" s="299"/>
      <c r="B927" s="300"/>
      <c r="C927" s="299"/>
      <c r="D927" s="299"/>
      <c r="E927" s="299"/>
      <c r="F927" s="299"/>
      <c r="G927" s="299"/>
      <c r="H927" s="1348"/>
      <c r="I927" s="299"/>
      <c r="J927" s="299"/>
      <c r="K927" s="299"/>
      <c r="L927" s="1336"/>
      <c r="M927" s="299"/>
      <c r="N927" s="299"/>
      <c r="O927" s="299"/>
      <c r="P927" s="299"/>
      <c r="Q927" s="299"/>
      <c r="R927" s="299"/>
      <c r="S927" s="299"/>
      <c r="T927" s="299"/>
      <c r="U927" s="299"/>
      <c r="V927" s="299"/>
      <c r="W927" s="8"/>
      <c r="X927" s="8"/>
      <c r="Y927" s="8"/>
      <c r="Z927" s="8"/>
    </row>
    <row r="928" spans="1:26" ht="12.75">
      <c r="A928" s="299"/>
      <c r="B928" s="300"/>
      <c r="C928" s="299"/>
      <c r="D928" s="299"/>
      <c r="E928" s="299"/>
      <c r="F928" s="299"/>
      <c r="G928" s="299"/>
      <c r="H928" s="1348"/>
      <c r="I928" s="299"/>
      <c r="J928" s="299"/>
      <c r="K928" s="299"/>
      <c r="L928" s="1336"/>
      <c r="M928" s="299"/>
      <c r="N928" s="299"/>
      <c r="O928" s="299"/>
      <c r="P928" s="299"/>
      <c r="Q928" s="299"/>
      <c r="R928" s="299"/>
      <c r="S928" s="299"/>
      <c r="T928" s="299"/>
      <c r="U928" s="299"/>
      <c r="V928" s="299"/>
      <c r="W928" s="8"/>
      <c r="X928" s="8"/>
      <c r="Y928" s="8"/>
      <c r="Z928" s="8"/>
    </row>
    <row r="929" spans="1:26" ht="12.75">
      <c r="A929" s="299"/>
      <c r="B929" s="300"/>
      <c r="C929" s="299"/>
      <c r="D929" s="299"/>
      <c r="E929" s="299"/>
      <c r="F929" s="299"/>
      <c r="G929" s="299"/>
      <c r="H929" s="1348"/>
      <c r="I929" s="299"/>
      <c r="J929" s="299"/>
      <c r="K929" s="299"/>
      <c r="L929" s="1336"/>
      <c r="M929" s="299"/>
      <c r="N929" s="299"/>
      <c r="O929" s="299"/>
      <c r="P929" s="299"/>
      <c r="Q929" s="299"/>
      <c r="R929" s="299"/>
      <c r="S929" s="299"/>
      <c r="T929" s="299"/>
      <c r="U929" s="299"/>
      <c r="V929" s="299"/>
      <c r="W929" s="8"/>
      <c r="X929" s="8"/>
      <c r="Y929" s="8"/>
      <c r="Z929" s="8"/>
    </row>
    <row r="930" spans="1:26" ht="12.75">
      <c r="A930" s="299"/>
      <c r="B930" s="300"/>
      <c r="C930" s="299"/>
      <c r="D930" s="299"/>
      <c r="E930" s="299"/>
      <c r="F930" s="299"/>
      <c r="G930" s="299"/>
      <c r="H930" s="1348"/>
      <c r="I930" s="299"/>
      <c r="J930" s="299"/>
      <c r="K930" s="299"/>
      <c r="L930" s="1336"/>
      <c r="M930" s="299"/>
      <c r="N930" s="299"/>
      <c r="O930" s="299"/>
      <c r="P930" s="299"/>
      <c r="Q930" s="299"/>
      <c r="R930" s="299"/>
      <c r="S930" s="299"/>
      <c r="T930" s="299"/>
      <c r="U930" s="299"/>
      <c r="V930" s="299"/>
      <c r="W930" s="8"/>
      <c r="X930" s="8"/>
      <c r="Y930" s="8"/>
      <c r="Z930" s="8"/>
    </row>
    <row r="931" spans="1:26" ht="12.75">
      <c r="A931" s="299"/>
      <c r="B931" s="300"/>
      <c r="C931" s="299"/>
      <c r="D931" s="299"/>
      <c r="E931" s="299"/>
      <c r="F931" s="299"/>
      <c r="G931" s="299"/>
      <c r="H931" s="1348"/>
      <c r="I931" s="299"/>
      <c r="J931" s="299"/>
      <c r="K931" s="299"/>
      <c r="L931" s="1336"/>
      <c r="M931" s="299"/>
      <c r="N931" s="299"/>
      <c r="O931" s="299"/>
      <c r="P931" s="299"/>
      <c r="Q931" s="299"/>
      <c r="R931" s="299"/>
      <c r="S931" s="299"/>
      <c r="T931" s="299"/>
      <c r="U931" s="299"/>
      <c r="V931" s="299"/>
      <c r="W931" s="8"/>
      <c r="X931" s="8"/>
      <c r="Y931" s="8"/>
      <c r="Z931" s="8"/>
    </row>
    <row r="932" spans="1:26" ht="12.75">
      <c r="A932" s="299"/>
      <c r="B932" s="300"/>
      <c r="C932" s="299"/>
      <c r="D932" s="299"/>
      <c r="E932" s="299"/>
      <c r="F932" s="299"/>
      <c r="G932" s="299"/>
      <c r="H932" s="1348"/>
      <c r="I932" s="299"/>
      <c r="J932" s="299"/>
      <c r="K932" s="299"/>
      <c r="L932" s="1336"/>
      <c r="M932" s="299"/>
      <c r="N932" s="299"/>
      <c r="O932" s="299"/>
      <c r="P932" s="299"/>
      <c r="Q932" s="299"/>
      <c r="R932" s="299"/>
      <c r="S932" s="299"/>
      <c r="T932" s="299"/>
      <c r="U932" s="299"/>
      <c r="V932" s="299"/>
      <c r="W932" s="8"/>
      <c r="X932" s="8"/>
      <c r="Y932" s="8"/>
      <c r="Z932" s="8"/>
    </row>
    <row r="933" spans="1:26" ht="12.75">
      <c r="A933" s="299"/>
      <c r="B933" s="300"/>
      <c r="C933" s="299"/>
      <c r="D933" s="299"/>
      <c r="E933" s="299"/>
      <c r="F933" s="299"/>
      <c r="G933" s="299"/>
      <c r="H933" s="1348"/>
      <c r="I933" s="299"/>
      <c r="J933" s="299"/>
      <c r="K933" s="299"/>
      <c r="L933" s="1336"/>
      <c r="M933" s="299"/>
      <c r="N933" s="299"/>
      <c r="O933" s="299"/>
      <c r="P933" s="299"/>
      <c r="Q933" s="299"/>
      <c r="R933" s="299"/>
      <c r="S933" s="299"/>
      <c r="T933" s="299"/>
      <c r="U933" s="299"/>
      <c r="V933" s="299"/>
      <c r="W933" s="8"/>
      <c r="X933" s="8"/>
      <c r="Y933" s="8"/>
      <c r="Z933" s="8"/>
    </row>
    <row r="934" spans="1:26" ht="12.75">
      <c r="A934" s="299"/>
      <c r="B934" s="300"/>
      <c r="C934" s="299"/>
      <c r="D934" s="299"/>
      <c r="E934" s="299"/>
      <c r="F934" s="299"/>
      <c r="G934" s="299"/>
      <c r="H934" s="1348"/>
      <c r="I934" s="299"/>
      <c r="J934" s="299"/>
      <c r="K934" s="299"/>
      <c r="L934" s="1336"/>
      <c r="M934" s="299"/>
      <c r="N934" s="299"/>
      <c r="O934" s="299"/>
      <c r="P934" s="299"/>
      <c r="Q934" s="299"/>
      <c r="R934" s="299"/>
      <c r="S934" s="299"/>
      <c r="T934" s="299"/>
      <c r="U934" s="299"/>
      <c r="V934" s="299"/>
      <c r="W934" s="8"/>
      <c r="X934" s="8"/>
      <c r="Y934" s="8"/>
      <c r="Z934" s="8"/>
    </row>
    <row r="935" spans="1:26" ht="12.75">
      <c r="A935" s="299"/>
      <c r="B935" s="300"/>
      <c r="C935" s="299"/>
      <c r="D935" s="299"/>
      <c r="E935" s="299"/>
      <c r="F935" s="299"/>
      <c r="G935" s="299"/>
      <c r="H935" s="1348"/>
      <c r="I935" s="299"/>
      <c r="J935" s="299"/>
      <c r="K935" s="299"/>
      <c r="L935" s="1336"/>
      <c r="M935" s="299"/>
      <c r="N935" s="299"/>
      <c r="O935" s="299"/>
      <c r="P935" s="299"/>
      <c r="Q935" s="299"/>
      <c r="R935" s="299"/>
      <c r="S935" s="299"/>
      <c r="T935" s="299"/>
      <c r="U935" s="299"/>
      <c r="V935" s="299"/>
      <c r="W935" s="8"/>
      <c r="X935" s="8"/>
      <c r="Y935" s="8"/>
      <c r="Z935" s="8"/>
    </row>
    <row r="936" spans="1:26" ht="12.75">
      <c r="A936" s="299"/>
      <c r="B936" s="300"/>
      <c r="C936" s="299"/>
      <c r="D936" s="299"/>
      <c r="E936" s="299"/>
      <c r="F936" s="299"/>
      <c r="G936" s="299"/>
      <c r="H936" s="1348"/>
      <c r="I936" s="299"/>
      <c r="J936" s="299"/>
      <c r="K936" s="299"/>
      <c r="L936" s="1336"/>
      <c r="M936" s="299"/>
      <c r="N936" s="299"/>
      <c r="O936" s="299"/>
      <c r="P936" s="299"/>
      <c r="Q936" s="299"/>
      <c r="R936" s="299"/>
      <c r="S936" s="299"/>
      <c r="T936" s="299"/>
      <c r="U936" s="299"/>
      <c r="V936" s="299"/>
      <c r="W936" s="8"/>
      <c r="X936" s="8"/>
      <c r="Y936" s="8"/>
      <c r="Z936" s="8"/>
    </row>
    <row r="937" spans="1:26" ht="12.75">
      <c r="A937" s="299"/>
      <c r="B937" s="300"/>
      <c r="C937" s="299"/>
      <c r="D937" s="299"/>
      <c r="E937" s="299"/>
      <c r="F937" s="299"/>
      <c r="G937" s="299"/>
      <c r="H937" s="1348"/>
      <c r="I937" s="299"/>
      <c r="J937" s="299"/>
      <c r="K937" s="299"/>
      <c r="L937" s="1336"/>
      <c r="M937" s="299"/>
      <c r="N937" s="299"/>
      <c r="O937" s="299"/>
      <c r="P937" s="299"/>
      <c r="Q937" s="299"/>
      <c r="R937" s="299"/>
      <c r="S937" s="299"/>
      <c r="T937" s="299"/>
      <c r="U937" s="299"/>
      <c r="V937" s="299"/>
      <c r="W937" s="8"/>
      <c r="X937" s="8"/>
      <c r="Y937" s="8"/>
      <c r="Z937" s="8"/>
    </row>
    <row r="938" spans="1:26" ht="12.75">
      <c r="A938" s="299"/>
      <c r="B938" s="300"/>
      <c r="C938" s="299"/>
      <c r="D938" s="299"/>
      <c r="E938" s="299"/>
      <c r="F938" s="299"/>
      <c r="G938" s="299"/>
      <c r="H938" s="1348"/>
      <c r="I938" s="299"/>
      <c r="J938" s="299"/>
      <c r="K938" s="299"/>
      <c r="L938" s="1336"/>
      <c r="M938" s="299"/>
      <c r="N938" s="299"/>
      <c r="O938" s="299"/>
      <c r="P938" s="299"/>
      <c r="Q938" s="299"/>
      <c r="R938" s="299"/>
      <c r="S938" s="299"/>
      <c r="T938" s="299"/>
      <c r="U938" s="299"/>
      <c r="V938" s="299"/>
      <c r="W938" s="8"/>
      <c r="X938" s="8"/>
      <c r="Y938" s="8"/>
      <c r="Z938" s="8"/>
    </row>
    <row r="939" spans="1:26" ht="12.75">
      <c r="A939" s="299"/>
      <c r="B939" s="300"/>
      <c r="C939" s="299"/>
      <c r="D939" s="299"/>
      <c r="E939" s="299"/>
      <c r="F939" s="299"/>
      <c r="G939" s="299"/>
      <c r="H939" s="1348"/>
      <c r="I939" s="299"/>
      <c r="J939" s="299"/>
      <c r="K939" s="299"/>
      <c r="L939" s="1336"/>
      <c r="M939" s="299"/>
      <c r="N939" s="299"/>
      <c r="O939" s="299"/>
      <c r="P939" s="299"/>
      <c r="Q939" s="299"/>
      <c r="R939" s="299"/>
      <c r="S939" s="299"/>
      <c r="T939" s="299"/>
      <c r="U939" s="299"/>
      <c r="V939" s="299"/>
      <c r="W939" s="8"/>
      <c r="X939" s="8"/>
      <c r="Y939" s="8"/>
      <c r="Z939" s="8"/>
    </row>
    <row r="940" spans="1:26" ht="12.75">
      <c r="A940" s="299"/>
      <c r="B940" s="300"/>
      <c r="C940" s="299"/>
      <c r="D940" s="299"/>
      <c r="E940" s="299"/>
      <c r="F940" s="299"/>
      <c r="G940" s="299"/>
      <c r="H940" s="1348"/>
      <c r="I940" s="299"/>
      <c r="J940" s="299"/>
      <c r="K940" s="299"/>
      <c r="L940" s="1336"/>
      <c r="M940" s="299"/>
      <c r="N940" s="299"/>
      <c r="O940" s="299"/>
      <c r="P940" s="299"/>
      <c r="Q940" s="299"/>
      <c r="R940" s="299"/>
      <c r="S940" s="299"/>
      <c r="T940" s="299"/>
      <c r="U940" s="299"/>
      <c r="V940" s="299"/>
      <c r="W940" s="8"/>
      <c r="X940" s="8"/>
      <c r="Y940" s="8"/>
      <c r="Z940" s="8"/>
    </row>
    <row r="941" spans="1:26" ht="12.75">
      <c r="A941" s="299"/>
      <c r="B941" s="300"/>
      <c r="C941" s="299"/>
      <c r="D941" s="299"/>
      <c r="E941" s="299"/>
      <c r="F941" s="299"/>
      <c r="G941" s="299"/>
      <c r="H941" s="1348"/>
      <c r="I941" s="299"/>
      <c r="J941" s="299"/>
      <c r="K941" s="299"/>
      <c r="L941" s="1336"/>
      <c r="M941" s="299"/>
      <c r="N941" s="299"/>
      <c r="O941" s="299"/>
      <c r="P941" s="299"/>
      <c r="Q941" s="299"/>
      <c r="R941" s="299"/>
      <c r="S941" s="299"/>
      <c r="T941" s="299"/>
      <c r="U941" s="299"/>
      <c r="V941" s="299"/>
      <c r="W941" s="8"/>
      <c r="X941" s="8"/>
      <c r="Y941" s="8"/>
      <c r="Z941" s="8"/>
    </row>
    <row r="942" spans="1:26" ht="12.75">
      <c r="A942" s="299"/>
      <c r="B942" s="300"/>
      <c r="C942" s="299"/>
      <c r="D942" s="299"/>
      <c r="E942" s="299"/>
      <c r="F942" s="299"/>
      <c r="G942" s="299"/>
      <c r="H942" s="1348"/>
      <c r="I942" s="299"/>
      <c r="J942" s="299"/>
      <c r="K942" s="299"/>
      <c r="L942" s="1336"/>
      <c r="M942" s="299"/>
      <c r="N942" s="299"/>
      <c r="O942" s="299"/>
      <c r="P942" s="299"/>
      <c r="Q942" s="299"/>
      <c r="R942" s="299"/>
      <c r="S942" s="299"/>
      <c r="T942" s="299"/>
      <c r="U942" s="299"/>
      <c r="V942" s="299"/>
      <c r="W942" s="8"/>
      <c r="X942" s="8"/>
      <c r="Y942" s="8"/>
      <c r="Z942" s="8"/>
    </row>
    <row r="943" spans="1:26" ht="12.75">
      <c r="A943" s="299"/>
      <c r="B943" s="300"/>
      <c r="C943" s="299"/>
      <c r="D943" s="299"/>
      <c r="E943" s="299"/>
      <c r="F943" s="299"/>
      <c r="G943" s="299"/>
      <c r="H943" s="1348"/>
      <c r="I943" s="299"/>
      <c r="J943" s="299"/>
      <c r="K943" s="299"/>
      <c r="L943" s="1336"/>
      <c r="M943" s="299"/>
      <c r="N943" s="299"/>
      <c r="O943" s="299"/>
      <c r="P943" s="299"/>
      <c r="Q943" s="299"/>
      <c r="R943" s="299"/>
      <c r="S943" s="299"/>
      <c r="T943" s="299"/>
      <c r="U943" s="299"/>
      <c r="V943" s="299"/>
      <c r="W943" s="8"/>
      <c r="X943" s="8"/>
      <c r="Y943" s="8"/>
      <c r="Z943" s="8"/>
    </row>
    <row r="944" spans="1:26" ht="12.75">
      <c r="A944" s="299"/>
      <c r="B944" s="300"/>
      <c r="C944" s="299"/>
      <c r="D944" s="299"/>
      <c r="E944" s="299"/>
      <c r="F944" s="299"/>
      <c r="G944" s="299"/>
      <c r="H944" s="1348"/>
      <c r="I944" s="299"/>
      <c r="J944" s="299"/>
      <c r="K944" s="299"/>
      <c r="L944" s="1336"/>
      <c r="M944" s="299"/>
      <c r="N944" s="299"/>
      <c r="O944" s="299"/>
      <c r="P944" s="299"/>
      <c r="Q944" s="299"/>
      <c r="R944" s="299"/>
      <c r="S944" s="299"/>
      <c r="T944" s="299"/>
      <c r="U944" s="299"/>
      <c r="V944" s="299"/>
      <c r="W944" s="8"/>
      <c r="X944" s="8"/>
      <c r="Y944" s="8"/>
      <c r="Z944" s="8"/>
    </row>
    <row r="945" spans="1:26" ht="12.75">
      <c r="A945" s="299"/>
      <c r="B945" s="300"/>
      <c r="C945" s="299"/>
      <c r="D945" s="299"/>
      <c r="E945" s="299"/>
      <c r="F945" s="299"/>
      <c r="G945" s="299"/>
      <c r="H945" s="1348"/>
      <c r="I945" s="299"/>
      <c r="J945" s="299"/>
      <c r="K945" s="299"/>
      <c r="L945" s="1336"/>
      <c r="M945" s="299"/>
      <c r="N945" s="299"/>
      <c r="O945" s="299"/>
      <c r="P945" s="299"/>
      <c r="Q945" s="299"/>
      <c r="R945" s="299"/>
      <c r="S945" s="299"/>
      <c r="T945" s="299"/>
      <c r="U945" s="299"/>
      <c r="V945" s="299"/>
      <c r="W945" s="8"/>
      <c r="X945" s="8"/>
      <c r="Y945" s="8"/>
      <c r="Z945" s="8"/>
    </row>
    <row r="946" spans="1:26" ht="12.75">
      <c r="A946" s="299"/>
      <c r="B946" s="300"/>
      <c r="C946" s="299"/>
      <c r="D946" s="299"/>
      <c r="E946" s="299"/>
      <c r="F946" s="299"/>
      <c r="G946" s="299"/>
      <c r="H946" s="1348"/>
      <c r="I946" s="299"/>
      <c r="J946" s="299"/>
      <c r="K946" s="299"/>
      <c r="L946" s="1336"/>
      <c r="M946" s="299"/>
      <c r="N946" s="299"/>
      <c r="O946" s="299"/>
      <c r="P946" s="299"/>
      <c r="Q946" s="299"/>
      <c r="R946" s="299"/>
      <c r="S946" s="299"/>
      <c r="T946" s="299"/>
      <c r="U946" s="299"/>
      <c r="V946" s="299"/>
      <c r="W946" s="8"/>
      <c r="X946" s="8"/>
      <c r="Y946" s="8"/>
      <c r="Z946" s="8"/>
    </row>
    <row r="947" spans="1:26" ht="12.75">
      <c r="A947" s="299"/>
      <c r="B947" s="300"/>
      <c r="C947" s="299"/>
      <c r="D947" s="299"/>
      <c r="E947" s="299"/>
      <c r="F947" s="299"/>
      <c r="G947" s="299"/>
      <c r="H947" s="1348"/>
      <c r="I947" s="299"/>
      <c r="J947" s="299"/>
      <c r="K947" s="299"/>
      <c r="L947" s="1336"/>
      <c r="M947" s="299"/>
      <c r="N947" s="299"/>
      <c r="O947" s="299"/>
      <c r="P947" s="299"/>
      <c r="Q947" s="299"/>
      <c r="R947" s="299"/>
      <c r="S947" s="299"/>
      <c r="T947" s="299"/>
      <c r="U947" s="299"/>
      <c r="V947" s="299"/>
      <c r="W947" s="8"/>
      <c r="X947" s="8"/>
      <c r="Y947" s="8"/>
      <c r="Z947" s="8"/>
    </row>
    <row r="948" spans="1:26" ht="12.75">
      <c r="A948" s="299"/>
      <c r="B948" s="300"/>
      <c r="C948" s="299"/>
      <c r="D948" s="299"/>
      <c r="E948" s="299"/>
      <c r="F948" s="299"/>
      <c r="G948" s="299"/>
      <c r="H948" s="1348"/>
      <c r="I948" s="299"/>
      <c r="J948" s="299"/>
      <c r="K948" s="299"/>
      <c r="L948" s="1336"/>
      <c r="M948" s="299"/>
      <c r="N948" s="299"/>
      <c r="O948" s="299"/>
      <c r="P948" s="299"/>
      <c r="Q948" s="299"/>
      <c r="R948" s="299"/>
      <c r="S948" s="299"/>
      <c r="T948" s="299"/>
      <c r="U948" s="299"/>
      <c r="V948" s="299"/>
      <c r="W948" s="8"/>
      <c r="X948" s="8"/>
      <c r="Y948" s="8"/>
      <c r="Z948" s="8"/>
    </row>
    <row r="949" spans="1:26" ht="12.75">
      <c r="A949" s="299"/>
      <c r="B949" s="300"/>
      <c r="C949" s="299"/>
      <c r="D949" s="299"/>
      <c r="E949" s="299"/>
      <c r="F949" s="299"/>
      <c r="G949" s="299"/>
      <c r="H949" s="1348"/>
      <c r="I949" s="299"/>
      <c r="J949" s="299"/>
      <c r="K949" s="299"/>
      <c r="L949" s="1336"/>
      <c r="M949" s="299"/>
      <c r="N949" s="299"/>
      <c r="O949" s="299"/>
      <c r="P949" s="299"/>
      <c r="Q949" s="299"/>
      <c r="R949" s="299"/>
      <c r="S949" s="299"/>
      <c r="T949" s="299"/>
      <c r="U949" s="299"/>
      <c r="V949" s="299"/>
      <c r="W949" s="8"/>
      <c r="X949" s="8"/>
      <c r="Y949" s="8"/>
      <c r="Z949" s="8"/>
    </row>
    <row r="950" spans="1:26" ht="12.75">
      <c r="A950" s="299"/>
      <c r="B950" s="300"/>
      <c r="C950" s="299"/>
      <c r="D950" s="299"/>
      <c r="E950" s="299"/>
      <c r="F950" s="299"/>
      <c r="G950" s="299"/>
      <c r="H950" s="1348"/>
      <c r="I950" s="299"/>
      <c r="J950" s="299"/>
      <c r="K950" s="299"/>
      <c r="L950" s="1336"/>
      <c r="M950" s="299"/>
      <c r="N950" s="299"/>
      <c r="O950" s="299"/>
      <c r="P950" s="299"/>
      <c r="Q950" s="299"/>
      <c r="R950" s="299"/>
      <c r="S950" s="299"/>
      <c r="T950" s="299"/>
      <c r="U950" s="299"/>
      <c r="V950" s="299"/>
      <c r="W950" s="8"/>
      <c r="X950" s="8"/>
      <c r="Y950" s="8"/>
      <c r="Z950" s="8"/>
    </row>
    <row r="951" spans="1:26" ht="12.75">
      <c r="A951" s="299"/>
      <c r="B951" s="300"/>
      <c r="C951" s="299"/>
      <c r="D951" s="299"/>
      <c r="E951" s="299"/>
      <c r="F951" s="299"/>
      <c r="G951" s="299"/>
      <c r="H951" s="1348"/>
      <c r="I951" s="299"/>
      <c r="J951" s="299"/>
      <c r="K951" s="299"/>
      <c r="L951" s="1336"/>
      <c r="M951" s="299"/>
      <c r="N951" s="299"/>
      <c r="O951" s="299"/>
      <c r="P951" s="299"/>
      <c r="Q951" s="299"/>
      <c r="R951" s="299"/>
      <c r="S951" s="299"/>
      <c r="T951" s="299"/>
      <c r="U951" s="299"/>
      <c r="V951" s="299"/>
      <c r="W951" s="8"/>
      <c r="X951" s="8"/>
      <c r="Y951" s="8"/>
      <c r="Z951" s="8"/>
    </row>
    <row r="952" spans="1:26" ht="12.75">
      <c r="A952" s="299"/>
      <c r="B952" s="300"/>
      <c r="C952" s="299"/>
      <c r="D952" s="299"/>
      <c r="E952" s="299"/>
      <c r="F952" s="299"/>
      <c r="G952" s="299"/>
      <c r="H952" s="1348"/>
      <c r="I952" s="299"/>
      <c r="J952" s="299"/>
      <c r="K952" s="299"/>
      <c r="L952" s="1336"/>
      <c r="M952" s="299"/>
      <c r="N952" s="299"/>
      <c r="O952" s="299"/>
      <c r="P952" s="299"/>
      <c r="Q952" s="299"/>
      <c r="R952" s="299"/>
      <c r="S952" s="299"/>
      <c r="T952" s="299"/>
      <c r="U952" s="299"/>
      <c r="V952" s="299"/>
      <c r="W952" s="8"/>
      <c r="X952" s="8"/>
      <c r="Y952" s="8"/>
      <c r="Z952" s="8"/>
    </row>
    <row r="953" spans="1:26" ht="12.75">
      <c r="A953" s="299"/>
      <c r="B953" s="300"/>
      <c r="C953" s="299"/>
      <c r="D953" s="299"/>
      <c r="E953" s="299"/>
      <c r="F953" s="299"/>
      <c r="G953" s="299"/>
      <c r="H953" s="1348"/>
      <c r="I953" s="299"/>
      <c r="J953" s="299"/>
      <c r="K953" s="299"/>
      <c r="L953" s="1336"/>
      <c r="M953" s="299"/>
      <c r="N953" s="299"/>
      <c r="O953" s="299"/>
      <c r="P953" s="299"/>
      <c r="Q953" s="299"/>
      <c r="R953" s="299"/>
      <c r="S953" s="299"/>
      <c r="T953" s="299"/>
      <c r="U953" s="299"/>
      <c r="V953" s="299"/>
      <c r="W953" s="8"/>
      <c r="X953" s="8"/>
      <c r="Y953" s="8"/>
      <c r="Z953" s="8"/>
    </row>
    <row r="954" spans="1:26" ht="12.75">
      <c r="A954" s="299"/>
      <c r="B954" s="300"/>
      <c r="C954" s="299"/>
      <c r="D954" s="299"/>
      <c r="E954" s="299"/>
      <c r="F954" s="299"/>
      <c r="G954" s="299"/>
      <c r="H954" s="1348"/>
      <c r="I954" s="299"/>
      <c r="J954" s="299"/>
      <c r="K954" s="299"/>
      <c r="L954" s="1336"/>
      <c r="M954" s="299"/>
      <c r="N954" s="299"/>
      <c r="O954" s="299"/>
      <c r="P954" s="299"/>
      <c r="Q954" s="299"/>
      <c r="R954" s="299"/>
      <c r="S954" s="299"/>
      <c r="T954" s="299"/>
      <c r="U954" s="299"/>
      <c r="V954" s="299"/>
      <c r="W954" s="8"/>
      <c r="X954" s="8"/>
      <c r="Y954" s="8"/>
      <c r="Z954" s="8"/>
    </row>
    <row r="955" spans="1:26" ht="12.75">
      <c r="A955" s="299"/>
      <c r="B955" s="300"/>
      <c r="C955" s="299"/>
      <c r="D955" s="299"/>
      <c r="E955" s="299"/>
      <c r="F955" s="299"/>
      <c r="G955" s="299"/>
      <c r="H955" s="1348"/>
      <c r="I955" s="299"/>
      <c r="J955" s="299"/>
      <c r="K955" s="299"/>
      <c r="L955" s="1336"/>
      <c r="M955" s="299"/>
      <c r="N955" s="299"/>
      <c r="O955" s="299"/>
      <c r="P955" s="299"/>
      <c r="Q955" s="299"/>
      <c r="R955" s="299"/>
      <c r="S955" s="299"/>
      <c r="T955" s="299"/>
      <c r="U955" s="299"/>
      <c r="V955" s="299"/>
      <c r="W955" s="8"/>
      <c r="X955" s="8"/>
      <c r="Y955" s="8"/>
      <c r="Z955" s="8"/>
    </row>
    <row r="956" spans="1:26" ht="12.75">
      <c r="A956" s="299"/>
      <c r="B956" s="300"/>
      <c r="C956" s="299"/>
      <c r="D956" s="299"/>
      <c r="E956" s="299"/>
      <c r="F956" s="299"/>
      <c r="G956" s="299"/>
      <c r="H956" s="1348"/>
      <c r="I956" s="299"/>
      <c r="J956" s="299"/>
      <c r="K956" s="299"/>
      <c r="L956" s="1336"/>
      <c r="M956" s="299"/>
      <c r="N956" s="299"/>
      <c r="O956" s="299"/>
      <c r="P956" s="299"/>
      <c r="Q956" s="299"/>
      <c r="R956" s="299"/>
      <c r="S956" s="299"/>
      <c r="T956" s="299"/>
      <c r="U956" s="299"/>
      <c r="V956" s="299"/>
      <c r="W956" s="8"/>
      <c r="X956" s="8"/>
      <c r="Y956" s="8"/>
      <c r="Z956" s="8"/>
    </row>
    <row r="957" spans="1:26" ht="12.75">
      <c r="A957" s="299"/>
      <c r="B957" s="300"/>
      <c r="C957" s="299"/>
      <c r="D957" s="299"/>
      <c r="E957" s="299"/>
      <c r="F957" s="299"/>
      <c r="G957" s="299"/>
      <c r="H957" s="1348"/>
      <c r="I957" s="299"/>
      <c r="J957" s="299"/>
      <c r="K957" s="299"/>
      <c r="L957" s="1336"/>
      <c r="M957" s="299"/>
      <c r="N957" s="299"/>
      <c r="O957" s="299"/>
      <c r="P957" s="299"/>
      <c r="Q957" s="299"/>
      <c r="R957" s="299"/>
      <c r="S957" s="299"/>
      <c r="T957" s="299"/>
      <c r="U957" s="299"/>
      <c r="V957" s="299"/>
      <c r="W957" s="8"/>
      <c r="X957" s="8"/>
      <c r="Y957" s="8"/>
      <c r="Z957" s="8"/>
    </row>
    <row r="958" spans="1:26" ht="12.75">
      <c r="A958" s="299"/>
      <c r="B958" s="300"/>
      <c r="C958" s="299"/>
      <c r="D958" s="299"/>
      <c r="E958" s="299"/>
      <c r="F958" s="299"/>
      <c r="G958" s="299"/>
      <c r="H958" s="1348"/>
      <c r="I958" s="299"/>
      <c r="J958" s="299"/>
      <c r="K958" s="299"/>
      <c r="L958" s="1336"/>
      <c r="M958" s="299"/>
      <c r="N958" s="299"/>
      <c r="O958" s="299"/>
      <c r="P958" s="299"/>
      <c r="Q958" s="299"/>
      <c r="R958" s="299"/>
      <c r="S958" s="299"/>
      <c r="T958" s="299"/>
      <c r="U958" s="299"/>
      <c r="V958" s="299"/>
      <c r="W958" s="8"/>
      <c r="X958" s="8"/>
      <c r="Y958" s="8"/>
      <c r="Z958" s="8"/>
    </row>
    <row r="959" spans="1:26" ht="12.75">
      <c r="A959" s="299"/>
      <c r="B959" s="300"/>
      <c r="C959" s="299"/>
      <c r="D959" s="299"/>
      <c r="E959" s="299"/>
      <c r="F959" s="299"/>
      <c r="G959" s="299"/>
      <c r="H959" s="1348"/>
      <c r="I959" s="299"/>
      <c r="J959" s="299"/>
      <c r="K959" s="299"/>
      <c r="L959" s="1336"/>
      <c r="M959" s="299"/>
      <c r="N959" s="299"/>
      <c r="O959" s="299"/>
      <c r="P959" s="299"/>
      <c r="Q959" s="299"/>
      <c r="R959" s="299"/>
      <c r="S959" s="299"/>
      <c r="T959" s="299"/>
      <c r="U959" s="299"/>
      <c r="V959" s="299"/>
      <c r="W959" s="8"/>
      <c r="X959" s="8"/>
      <c r="Y959" s="8"/>
      <c r="Z959" s="8"/>
    </row>
    <row r="960" spans="1:26" ht="12.75">
      <c r="A960" s="299"/>
      <c r="B960" s="300"/>
      <c r="C960" s="299"/>
      <c r="D960" s="299"/>
      <c r="E960" s="299"/>
      <c r="F960" s="299"/>
      <c r="G960" s="299"/>
      <c r="H960" s="1348"/>
      <c r="I960" s="299"/>
      <c r="J960" s="299"/>
      <c r="K960" s="299"/>
      <c r="L960" s="1336"/>
      <c r="M960" s="299"/>
      <c r="N960" s="299"/>
      <c r="O960" s="299"/>
      <c r="P960" s="299"/>
      <c r="Q960" s="299"/>
      <c r="R960" s="299"/>
      <c r="S960" s="299"/>
      <c r="T960" s="299"/>
      <c r="U960" s="299"/>
      <c r="V960" s="299"/>
      <c r="W960" s="8"/>
      <c r="X960" s="8"/>
      <c r="Y960" s="8"/>
      <c r="Z960" s="8"/>
    </row>
    <row r="961" spans="1:26" ht="12.75">
      <c r="A961" s="299"/>
      <c r="B961" s="300"/>
      <c r="C961" s="299"/>
      <c r="D961" s="299"/>
      <c r="E961" s="299"/>
      <c r="F961" s="299"/>
      <c r="G961" s="299"/>
      <c r="H961" s="1348"/>
      <c r="I961" s="299"/>
      <c r="J961" s="299"/>
      <c r="K961" s="299"/>
      <c r="L961" s="1336"/>
      <c r="M961" s="299"/>
      <c r="N961" s="299"/>
      <c r="O961" s="299"/>
      <c r="P961" s="299"/>
      <c r="Q961" s="299"/>
      <c r="R961" s="299"/>
      <c r="S961" s="299"/>
      <c r="T961" s="299"/>
      <c r="U961" s="299"/>
      <c r="V961" s="299"/>
      <c r="W961" s="8"/>
      <c r="X961" s="8"/>
      <c r="Y961" s="8"/>
      <c r="Z961" s="8"/>
    </row>
    <row r="962" spans="1:26" ht="12.75">
      <c r="A962" s="299"/>
      <c r="B962" s="300"/>
      <c r="C962" s="299"/>
      <c r="D962" s="299"/>
      <c r="E962" s="299"/>
      <c r="F962" s="299"/>
      <c r="G962" s="299"/>
      <c r="H962" s="1348"/>
      <c r="I962" s="299"/>
      <c r="J962" s="299"/>
      <c r="K962" s="299"/>
      <c r="L962" s="1336"/>
      <c r="M962" s="299"/>
      <c r="N962" s="299"/>
      <c r="O962" s="299"/>
      <c r="P962" s="299"/>
      <c r="Q962" s="299"/>
      <c r="R962" s="299"/>
      <c r="S962" s="299"/>
      <c r="T962" s="299"/>
      <c r="U962" s="299"/>
      <c r="V962" s="299"/>
      <c r="W962" s="8"/>
      <c r="X962" s="8"/>
      <c r="Y962" s="8"/>
      <c r="Z962" s="8"/>
    </row>
    <row r="963" spans="1:26" ht="12.75">
      <c r="A963" s="299"/>
      <c r="B963" s="300"/>
      <c r="C963" s="299"/>
      <c r="D963" s="299"/>
      <c r="E963" s="299"/>
      <c r="F963" s="299"/>
      <c r="G963" s="299"/>
      <c r="H963" s="1348"/>
      <c r="I963" s="299"/>
      <c r="J963" s="299"/>
      <c r="K963" s="299"/>
      <c r="L963" s="1336"/>
      <c r="M963" s="299"/>
      <c r="N963" s="299"/>
      <c r="O963" s="299"/>
      <c r="P963" s="299"/>
      <c r="Q963" s="299"/>
      <c r="R963" s="299"/>
      <c r="S963" s="299"/>
      <c r="T963" s="299"/>
      <c r="U963" s="299"/>
      <c r="V963" s="299"/>
      <c r="W963" s="8"/>
      <c r="X963" s="8"/>
      <c r="Y963" s="8"/>
      <c r="Z963" s="8"/>
    </row>
    <row r="964" spans="1:26" ht="12.75">
      <c r="A964" s="299"/>
      <c r="B964" s="300"/>
      <c r="C964" s="299"/>
      <c r="D964" s="299"/>
      <c r="E964" s="299"/>
      <c r="F964" s="299"/>
      <c r="G964" s="299"/>
      <c r="H964" s="1348"/>
      <c r="I964" s="299"/>
      <c r="J964" s="299"/>
      <c r="K964" s="299"/>
      <c r="L964" s="1336"/>
      <c r="M964" s="299"/>
      <c r="N964" s="299"/>
      <c r="O964" s="299"/>
      <c r="P964" s="299"/>
      <c r="Q964" s="299"/>
      <c r="R964" s="299"/>
      <c r="S964" s="299"/>
      <c r="T964" s="299"/>
      <c r="U964" s="299"/>
      <c r="V964" s="299"/>
      <c r="W964" s="8"/>
      <c r="X964" s="8"/>
      <c r="Y964" s="8"/>
      <c r="Z964" s="8"/>
    </row>
    <row r="965" spans="1:26" ht="12.75">
      <c r="A965" s="299"/>
      <c r="B965" s="300"/>
      <c r="C965" s="299"/>
      <c r="D965" s="299"/>
      <c r="E965" s="299"/>
      <c r="F965" s="299"/>
      <c r="G965" s="299"/>
      <c r="H965" s="1348"/>
      <c r="I965" s="299"/>
      <c r="J965" s="299"/>
      <c r="K965" s="299"/>
      <c r="L965" s="1336"/>
      <c r="M965" s="299"/>
      <c r="N965" s="299"/>
      <c r="O965" s="299"/>
      <c r="P965" s="299"/>
      <c r="Q965" s="299"/>
      <c r="R965" s="299"/>
      <c r="S965" s="299"/>
      <c r="T965" s="299"/>
      <c r="U965" s="299"/>
      <c r="V965" s="299"/>
      <c r="W965" s="8"/>
      <c r="X965" s="8"/>
      <c r="Y965" s="8"/>
      <c r="Z965" s="8"/>
    </row>
    <row r="966" spans="1:26" ht="12.75">
      <c r="A966" s="299"/>
      <c r="B966" s="300"/>
      <c r="C966" s="299"/>
      <c r="D966" s="299"/>
      <c r="E966" s="299"/>
      <c r="F966" s="299"/>
      <c r="G966" s="299"/>
      <c r="H966" s="1348"/>
      <c r="I966" s="299"/>
      <c r="J966" s="299"/>
      <c r="K966" s="299"/>
      <c r="L966" s="1336"/>
      <c r="M966" s="299"/>
      <c r="N966" s="299"/>
      <c r="O966" s="299"/>
      <c r="P966" s="299"/>
      <c r="Q966" s="299"/>
      <c r="R966" s="299"/>
      <c r="S966" s="299"/>
      <c r="T966" s="299"/>
      <c r="U966" s="299"/>
      <c r="V966" s="299"/>
      <c r="W966" s="8"/>
      <c r="X966" s="8"/>
      <c r="Y966" s="8"/>
      <c r="Z966" s="8"/>
    </row>
    <row r="967" spans="1:26" ht="12.75">
      <c r="A967" s="299"/>
      <c r="B967" s="300"/>
      <c r="C967" s="299"/>
      <c r="D967" s="299"/>
      <c r="E967" s="299"/>
      <c r="F967" s="299"/>
      <c r="G967" s="299"/>
      <c r="H967" s="1348"/>
      <c r="I967" s="299"/>
      <c r="J967" s="299"/>
      <c r="K967" s="299"/>
      <c r="L967" s="1336"/>
      <c r="M967" s="299"/>
      <c r="N967" s="299"/>
      <c r="O967" s="299"/>
      <c r="P967" s="299"/>
      <c r="Q967" s="299"/>
      <c r="R967" s="299"/>
      <c r="S967" s="299"/>
      <c r="T967" s="299"/>
      <c r="U967" s="299"/>
      <c r="V967" s="299"/>
      <c r="W967" s="8"/>
      <c r="X967" s="8"/>
      <c r="Y967" s="8"/>
      <c r="Z967" s="8"/>
    </row>
    <row r="968" spans="1:26" ht="12.75">
      <c r="A968" s="299"/>
      <c r="B968" s="300"/>
      <c r="C968" s="299"/>
      <c r="D968" s="299"/>
      <c r="E968" s="299"/>
      <c r="F968" s="299"/>
      <c r="G968" s="299"/>
      <c r="H968" s="1348"/>
      <c r="I968" s="299"/>
      <c r="J968" s="299"/>
      <c r="K968" s="299"/>
      <c r="L968" s="1336"/>
      <c r="M968" s="299"/>
      <c r="N968" s="299"/>
      <c r="O968" s="299"/>
      <c r="P968" s="299"/>
      <c r="Q968" s="299"/>
      <c r="R968" s="299"/>
      <c r="S968" s="299"/>
      <c r="T968" s="299"/>
      <c r="U968" s="299"/>
      <c r="V968" s="299"/>
      <c r="W968" s="8"/>
      <c r="X968" s="8"/>
      <c r="Y968" s="8"/>
      <c r="Z968" s="8"/>
    </row>
    <row r="969" spans="1:26" ht="12.75">
      <c r="A969" s="299"/>
      <c r="B969" s="300"/>
      <c r="C969" s="299"/>
      <c r="D969" s="299"/>
      <c r="E969" s="299"/>
      <c r="F969" s="299"/>
      <c r="G969" s="299"/>
      <c r="H969" s="1348"/>
      <c r="I969" s="299"/>
      <c r="J969" s="299"/>
      <c r="K969" s="299"/>
      <c r="L969" s="1336"/>
      <c r="M969" s="299"/>
      <c r="N969" s="299"/>
      <c r="O969" s="299"/>
      <c r="P969" s="299"/>
      <c r="Q969" s="299"/>
      <c r="R969" s="299"/>
      <c r="S969" s="299"/>
      <c r="T969" s="299"/>
      <c r="U969" s="299"/>
      <c r="V969" s="299"/>
      <c r="W969" s="8"/>
      <c r="X969" s="8"/>
      <c r="Y969" s="8"/>
      <c r="Z969" s="8"/>
    </row>
    <row r="970" spans="1:26" ht="12.75">
      <c r="A970" s="299"/>
      <c r="B970" s="300"/>
      <c r="C970" s="299"/>
      <c r="D970" s="299"/>
      <c r="E970" s="299"/>
      <c r="F970" s="299"/>
      <c r="G970" s="299"/>
      <c r="H970" s="1348"/>
      <c r="I970" s="299"/>
      <c r="J970" s="299"/>
      <c r="K970" s="299"/>
      <c r="L970" s="1336"/>
      <c r="M970" s="299"/>
      <c r="N970" s="299"/>
      <c r="O970" s="299"/>
      <c r="P970" s="299"/>
      <c r="Q970" s="299"/>
      <c r="R970" s="299"/>
      <c r="S970" s="299"/>
      <c r="T970" s="299"/>
      <c r="U970" s="299"/>
      <c r="V970" s="299"/>
      <c r="W970" s="8"/>
      <c r="X970" s="8"/>
      <c r="Y970" s="8"/>
      <c r="Z970" s="8"/>
    </row>
    <row r="971" spans="1:26" ht="12.75">
      <c r="A971" s="299"/>
      <c r="B971" s="300"/>
      <c r="C971" s="299"/>
      <c r="D971" s="299"/>
      <c r="E971" s="299"/>
      <c r="F971" s="299"/>
      <c r="G971" s="299"/>
      <c r="H971" s="1348"/>
      <c r="I971" s="299"/>
      <c r="J971" s="299"/>
      <c r="K971" s="299"/>
      <c r="L971" s="1336"/>
      <c r="M971" s="299"/>
      <c r="N971" s="299"/>
      <c r="O971" s="299"/>
      <c r="P971" s="299"/>
      <c r="Q971" s="299"/>
      <c r="R971" s="299"/>
      <c r="S971" s="299"/>
      <c r="T971" s="299"/>
      <c r="U971" s="299"/>
      <c r="V971" s="299"/>
      <c r="W971" s="8"/>
      <c r="X971" s="8"/>
      <c r="Y971" s="8"/>
      <c r="Z971" s="8"/>
    </row>
    <row r="972" spans="1:26" ht="12.75">
      <c r="A972" s="299"/>
      <c r="B972" s="300"/>
      <c r="C972" s="299"/>
      <c r="D972" s="299"/>
      <c r="E972" s="299"/>
      <c r="F972" s="299"/>
      <c r="G972" s="299"/>
      <c r="H972" s="1348"/>
      <c r="I972" s="299"/>
      <c r="J972" s="299"/>
      <c r="K972" s="299"/>
      <c r="L972" s="1336"/>
      <c r="M972" s="299"/>
      <c r="N972" s="299"/>
      <c r="O972" s="299"/>
      <c r="P972" s="299"/>
      <c r="Q972" s="299"/>
      <c r="R972" s="299"/>
      <c r="S972" s="299"/>
      <c r="T972" s="299"/>
      <c r="U972" s="299"/>
      <c r="V972" s="299"/>
      <c r="W972" s="8"/>
      <c r="X972" s="8"/>
      <c r="Y972" s="8"/>
      <c r="Z972" s="8"/>
    </row>
    <row r="973" spans="1:26" ht="12.75">
      <c r="A973" s="299"/>
      <c r="B973" s="300"/>
      <c r="C973" s="299"/>
      <c r="D973" s="299"/>
      <c r="E973" s="299"/>
      <c r="F973" s="299"/>
      <c r="G973" s="299"/>
      <c r="H973" s="1348"/>
      <c r="I973" s="299"/>
      <c r="J973" s="299"/>
      <c r="K973" s="299"/>
      <c r="L973" s="1336"/>
      <c r="M973" s="299"/>
      <c r="N973" s="299"/>
      <c r="O973" s="299"/>
      <c r="P973" s="299"/>
      <c r="Q973" s="299"/>
      <c r="R973" s="299"/>
      <c r="S973" s="299"/>
      <c r="T973" s="299"/>
      <c r="U973" s="299"/>
      <c r="V973" s="299"/>
      <c r="W973" s="8"/>
      <c r="X973" s="8"/>
      <c r="Y973" s="8"/>
      <c r="Z973" s="8"/>
    </row>
    <row r="974" spans="1:26" ht="12.75">
      <c r="A974" s="299"/>
      <c r="B974" s="300"/>
      <c r="C974" s="299"/>
      <c r="D974" s="299"/>
      <c r="E974" s="299"/>
      <c r="F974" s="299"/>
      <c r="G974" s="299"/>
      <c r="H974" s="1348"/>
      <c r="I974" s="299"/>
      <c r="J974" s="299"/>
      <c r="K974" s="299"/>
      <c r="L974" s="1336"/>
      <c r="M974" s="299"/>
      <c r="N974" s="299"/>
      <c r="O974" s="299"/>
      <c r="P974" s="299"/>
      <c r="Q974" s="299"/>
      <c r="R974" s="299"/>
      <c r="S974" s="299"/>
      <c r="T974" s="299"/>
      <c r="U974" s="299"/>
      <c r="V974" s="299"/>
      <c r="W974" s="8"/>
      <c r="X974" s="8"/>
      <c r="Y974" s="8"/>
      <c r="Z974" s="8"/>
    </row>
    <row r="975" spans="1:26" ht="12.75">
      <c r="A975" s="299"/>
      <c r="B975" s="300"/>
      <c r="C975" s="299"/>
      <c r="D975" s="299"/>
      <c r="E975" s="299"/>
      <c r="F975" s="299"/>
      <c r="G975" s="299"/>
      <c r="H975" s="1348"/>
      <c r="I975" s="299"/>
      <c r="J975" s="299"/>
      <c r="K975" s="299"/>
      <c r="L975" s="1336"/>
      <c r="M975" s="299"/>
      <c r="N975" s="299"/>
      <c r="O975" s="299"/>
      <c r="P975" s="299"/>
      <c r="Q975" s="299"/>
      <c r="R975" s="299"/>
      <c r="S975" s="299"/>
      <c r="T975" s="299"/>
      <c r="U975" s="299"/>
      <c r="V975" s="299"/>
      <c r="W975" s="8"/>
      <c r="X975" s="8"/>
      <c r="Y975" s="8"/>
      <c r="Z975" s="8"/>
    </row>
    <row r="976" spans="1:26" ht="12.75">
      <c r="A976" s="299"/>
      <c r="B976" s="300"/>
      <c r="C976" s="299"/>
      <c r="D976" s="299"/>
      <c r="E976" s="299"/>
      <c r="F976" s="299"/>
      <c r="G976" s="299"/>
      <c r="H976" s="1348"/>
      <c r="I976" s="299"/>
      <c r="J976" s="299"/>
      <c r="K976" s="299"/>
      <c r="L976" s="1336"/>
      <c r="M976" s="299"/>
      <c r="N976" s="299"/>
      <c r="O976" s="299"/>
      <c r="P976" s="299"/>
      <c r="Q976" s="299"/>
      <c r="R976" s="299"/>
      <c r="S976" s="299"/>
      <c r="T976" s="299"/>
      <c r="U976" s="299"/>
      <c r="V976" s="299"/>
      <c r="W976" s="8"/>
      <c r="X976" s="8"/>
      <c r="Y976" s="8"/>
      <c r="Z976" s="8"/>
    </row>
    <row r="977" spans="1:26" ht="12.75">
      <c r="A977" s="299"/>
      <c r="B977" s="300"/>
      <c r="C977" s="299"/>
      <c r="D977" s="299"/>
      <c r="E977" s="299"/>
      <c r="F977" s="299"/>
      <c r="G977" s="299"/>
      <c r="H977" s="1348"/>
      <c r="I977" s="299"/>
      <c r="J977" s="299"/>
      <c r="K977" s="299"/>
      <c r="L977" s="1336"/>
      <c r="M977" s="299"/>
      <c r="N977" s="299"/>
      <c r="O977" s="299"/>
      <c r="P977" s="299"/>
      <c r="Q977" s="299"/>
      <c r="R977" s="299"/>
      <c r="S977" s="299"/>
      <c r="T977" s="299"/>
      <c r="U977" s="299"/>
      <c r="V977" s="299"/>
      <c r="W977" s="8"/>
      <c r="X977" s="8"/>
      <c r="Y977" s="8"/>
      <c r="Z977" s="8"/>
    </row>
    <row r="978" spans="1:26" ht="12.75">
      <c r="A978" s="299"/>
      <c r="B978" s="300"/>
      <c r="C978" s="299"/>
      <c r="D978" s="299"/>
      <c r="E978" s="299"/>
      <c r="F978" s="299"/>
      <c r="G978" s="299"/>
      <c r="H978" s="1348"/>
      <c r="I978" s="299"/>
      <c r="J978" s="299"/>
      <c r="K978" s="299"/>
      <c r="L978" s="1336"/>
      <c r="M978" s="299"/>
      <c r="N978" s="299"/>
      <c r="O978" s="299"/>
      <c r="P978" s="299"/>
      <c r="Q978" s="299"/>
      <c r="R978" s="299"/>
      <c r="S978" s="299"/>
      <c r="T978" s="299"/>
      <c r="U978" s="299"/>
      <c r="V978" s="299"/>
      <c r="W978" s="8"/>
      <c r="X978" s="8"/>
      <c r="Y978" s="8"/>
      <c r="Z978" s="8"/>
    </row>
    <row r="979" spans="1:26" ht="12.75">
      <c r="A979" s="299"/>
      <c r="B979" s="300"/>
      <c r="C979" s="299"/>
      <c r="D979" s="299"/>
      <c r="E979" s="299"/>
      <c r="F979" s="299"/>
      <c r="G979" s="299"/>
      <c r="H979" s="1348"/>
      <c r="I979" s="299"/>
      <c r="J979" s="299"/>
      <c r="K979" s="299"/>
      <c r="L979" s="1336"/>
      <c r="M979" s="299"/>
      <c r="N979" s="299"/>
      <c r="O979" s="299"/>
      <c r="P979" s="299"/>
      <c r="Q979" s="299"/>
      <c r="R979" s="299"/>
      <c r="S979" s="299"/>
      <c r="T979" s="299"/>
      <c r="U979" s="299"/>
      <c r="V979" s="299"/>
      <c r="W979" s="8"/>
      <c r="X979" s="8"/>
      <c r="Y979" s="8"/>
      <c r="Z979" s="8"/>
    </row>
    <row r="980" spans="1:26" ht="12.75">
      <c r="A980" s="299"/>
      <c r="B980" s="300"/>
      <c r="C980" s="299"/>
      <c r="D980" s="299"/>
      <c r="E980" s="299"/>
      <c r="F980" s="299"/>
      <c r="G980" s="299"/>
      <c r="H980" s="1348"/>
      <c r="I980" s="299"/>
      <c r="J980" s="299"/>
      <c r="K980" s="299"/>
      <c r="L980" s="1336"/>
      <c r="M980" s="299"/>
      <c r="N980" s="299"/>
      <c r="O980" s="299"/>
      <c r="P980" s="299"/>
      <c r="Q980" s="299"/>
      <c r="R980" s="299"/>
      <c r="S980" s="299"/>
      <c r="T980" s="299"/>
      <c r="U980" s="299"/>
      <c r="V980" s="299"/>
      <c r="W980" s="8"/>
      <c r="X980" s="8"/>
      <c r="Y980" s="8"/>
      <c r="Z980" s="8"/>
    </row>
    <row r="981" spans="1:26" ht="12.75">
      <c r="A981" s="299"/>
      <c r="B981" s="300"/>
      <c r="C981" s="299"/>
      <c r="D981" s="299"/>
      <c r="E981" s="299"/>
      <c r="F981" s="299"/>
      <c r="G981" s="299"/>
      <c r="H981" s="1348"/>
      <c r="I981" s="299"/>
      <c r="J981" s="299"/>
      <c r="K981" s="299"/>
      <c r="L981" s="1336"/>
      <c r="M981" s="299"/>
      <c r="N981" s="299"/>
      <c r="O981" s="299"/>
      <c r="P981" s="299"/>
      <c r="Q981" s="299"/>
      <c r="R981" s="299"/>
      <c r="S981" s="299"/>
      <c r="T981" s="299"/>
      <c r="U981" s="299"/>
      <c r="V981" s="299"/>
      <c r="W981" s="8"/>
      <c r="X981" s="8"/>
      <c r="Y981" s="8"/>
      <c r="Z981" s="8"/>
    </row>
    <row r="982" spans="1:26" ht="12.75">
      <c r="A982" s="299"/>
      <c r="B982" s="300"/>
      <c r="C982" s="299"/>
      <c r="D982" s="299"/>
      <c r="E982" s="299"/>
      <c r="F982" s="299"/>
      <c r="G982" s="299"/>
      <c r="H982" s="1348"/>
      <c r="I982" s="299"/>
      <c r="J982" s="299"/>
      <c r="K982" s="299"/>
      <c r="L982" s="1336"/>
      <c r="M982" s="299"/>
      <c r="N982" s="299"/>
      <c r="O982" s="299"/>
      <c r="P982" s="299"/>
      <c r="Q982" s="299"/>
      <c r="R982" s="299"/>
      <c r="S982" s="299"/>
      <c r="T982" s="299"/>
      <c r="U982" s="299"/>
      <c r="V982" s="299"/>
      <c r="W982" s="8"/>
      <c r="X982" s="8"/>
      <c r="Y982" s="8"/>
      <c r="Z982" s="8"/>
    </row>
    <row r="983" spans="1:26" ht="12.75">
      <c r="A983" s="299"/>
      <c r="B983" s="300"/>
      <c r="C983" s="299"/>
      <c r="D983" s="299"/>
      <c r="E983" s="299"/>
      <c r="F983" s="299"/>
      <c r="G983" s="299"/>
      <c r="H983" s="1348"/>
      <c r="I983" s="299"/>
      <c r="J983" s="299"/>
      <c r="K983" s="299"/>
      <c r="L983" s="1336"/>
      <c r="M983" s="299"/>
      <c r="N983" s="299"/>
      <c r="O983" s="299"/>
      <c r="P983" s="299"/>
      <c r="Q983" s="299"/>
      <c r="R983" s="299"/>
      <c r="S983" s="299"/>
      <c r="T983" s="299"/>
      <c r="U983" s="299"/>
      <c r="V983" s="299"/>
      <c r="W983" s="8"/>
      <c r="X983" s="8"/>
      <c r="Y983" s="8"/>
      <c r="Z983" s="8"/>
    </row>
    <row r="984" spans="1:26" ht="12.75">
      <c r="A984" s="299"/>
      <c r="B984" s="300"/>
      <c r="C984" s="299"/>
      <c r="D984" s="299"/>
      <c r="E984" s="299"/>
      <c r="F984" s="299"/>
      <c r="G984" s="299"/>
      <c r="H984" s="1348"/>
      <c r="I984" s="299"/>
      <c r="J984" s="299"/>
      <c r="K984" s="299"/>
      <c r="L984" s="1336"/>
      <c r="M984" s="299"/>
      <c r="N984" s="299"/>
      <c r="O984" s="299"/>
      <c r="P984" s="299"/>
      <c r="Q984" s="299"/>
      <c r="R984" s="299"/>
      <c r="S984" s="299"/>
      <c r="T984" s="299"/>
      <c r="U984" s="299"/>
      <c r="V984" s="299"/>
      <c r="W984" s="8"/>
      <c r="X984" s="8"/>
      <c r="Y984" s="8"/>
      <c r="Z984" s="8"/>
    </row>
    <row r="985" spans="1:26" ht="12.75">
      <c r="A985" s="299"/>
      <c r="B985" s="300"/>
      <c r="C985" s="299"/>
      <c r="D985" s="299"/>
      <c r="E985" s="299"/>
      <c r="F985" s="299"/>
      <c r="G985" s="299"/>
      <c r="H985" s="1348"/>
      <c r="I985" s="299"/>
      <c r="J985" s="299"/>
      <c r="K985" s="299"/>
      <c r="L985" s="1336"/>
      <c r="M985" s="299"/>
      <c r="N985" s="299"/>
      <c r="O985" s="299"/>
      <c r="P985" s="299"/>
      <c r="Q985" s="299"/>
      <c r="R985" s="299"/>
      <c r="S985" s="299"/>
      <c r="T985" s="299"/>
      <c r="U985" s="299"/>
      <c r="V985" s="299"/>
      <c r="W985" s="8"/>
      <c r="X985" s="8"/>
      <c r="Y985" s="8"/>
      <c r="Z985" s="8"/>
    </row>
    <row r="986" spans="1:26" ht="12.75">
      <c r="A986" s="299"/>
      <c r="B986" s="300"/>
      <c r="C986" s="299"/>
      <c r="D986" s="299"/>
      <c r="E986" s="299"/>
      <c r="F986" s="299"/>
      <c r="G986" s="299"/>
      <c r="H986" s="1348"/>
      <c r="I986" s="299"/>
      <c r="J986" s="299"/>
      <c r="K986" s="299"/>
      <c r="L986" s="1336"/>
      <c r="M986" s="299"/>
      <c r="N986" s="299"/>
      <c r="O986" s="299"/>
      <c r="P986" s="299"/>
      <c r="Q986" s="299"/>
      <c r="R986" s="299"/>
      <c r="S986" s="299"/>
      <c r="T986" s="299"/>
      <c r="U986" s="299"/>
      <c r="V986" s="299"/>
      <c r="W986" s="8"/>
      <c r="X986" s="8"/>
      <c r="Y986" s="8"/>
      <c r="Z986" s="8"/>
    </row>
    <row r="987" spans="1:26" ht="12.75">
      <c r="A987" s="299"/>
      <c r="B987" s="300"/>
      <c r="C987" s="299"/>
      <c r="D987" s="299"/>
      <c r="E987" s="299"/>
      <c r="F987" s="299"/>
      <c r="G987" s="299"/>
      <c r="H987" s="1348"/>
      <c r="I987" s="299"/>
      <c r="J987" s="299"/>
      <c r="K987" s="299"/>
      <c r="L987" s="1336"/>
      <c r="M987" s="299"/>
      <c r="N987" s="299"/>
      <c r="O987" s="299"/>
      <c r="P987" s="299"/>
      <c r="Q987" s="299"/>
      <c r="R987" s="299"/>
      <c r="S987" s="299"/>
      <c r="T987" s="299"/>
      <c r="U987" s="299"/>
      <c r="V987" s="299"/>
      <c r="W987" s="8"/>
      <c r="X987" s="8"/>
      <c r="Y987" s="8"/>
      <c r="Z987" s="8"/>
    </row>
    <row r="988" spans="1:26" ht="12.75">
      <c r="A988" s="299"/>
      <c r="B988" s="300"/>
      <c r="C988" s="299"/>
      <c r="D988" s="299"/>
      <c r="E988" s="299"/>
      <c r="F988" s="299"/>
      <c r="G988" s="299"/>
      <c r="H988" s="1348"/>
      <c r="I988" s="299"/>
      <c r="J988" s="299"/>
      <c r="K988" s="299"/>
      <c r="L988" s="1336"/>
      <c r="M988" s="299"/>
      <c r="N988" s="299"/>
      <c r="O988" s="299"/>
      <c r="P988" s="299"/>
      <c r="Q988" s="299"/>
      <c r="R988" s="299"/>
      <c r="S988" s="299"/>
      <c r="T988" s="299"/>
      <c r="U988" s="299"/>
      <c r="V988" s="299"/>
      <c r="W988" s="8"/>
      <c r="X988" s="8"/>
      <c r="Y988" s="8"/>
      <c r="Z988" s="8"/>
    </row>
    <row r="989" spans="1:26" ht="12.75">
      <c r="A989" s="299"/>
      <c r="B989" s="300"/>
      <c r="C989" s="299"/>
      <c r="D989" s="299"/>
      <c r="E989" s="299"/>
      <c r="F989" s="299"/>
      <c r="G989" s="299"/>
      <c r="H989" s="1348"/>
      <c r="I989" s="299"/>
      <c r="J989" s="299"/>
      <c r="K989" s="299"/>
      <c r="L989" s="1336"/>
      <c r="M989" s="299"/>
      <c r="N989" s="299"/>
      <c r="O989" s="299"/>
      <c r="P989" s="299"/>
      <c r="Q989" s="299"/>
      <c r="R989" s="299"/>
      <c r="S989" s="299"/>
      <c r="T989" s="299"/>
      <c r="U989" s="299"/>
      <c r="V989" s="299"/>
      <c r="W989" s="8"/>
      <c r="X989" s="8"/>
      <c r="Y989" s="8"/>
      <c r="Z989" s="8"/>
    </row>
    <row r="990" spans="1:26" ht="12.75">
      <c r="A990" s="299"/>
      <c r="B990" s="300"/>
      <c r="C990" s="299"/>
      <c r="D990" s="299"/>
      <c r="E990" s="299"/>
      <c r="F990" s="299"/>
      <c r="G990" s="299"/>
      <c r="H990" s="1348"/>
      <c r="I990" s="299"/>
      <c r="J990" s="299"/>
      <c r="K990" s="299"/>
      <c r="L990" s="1336"/>
      <c r="M990" s="299"/>
      <c r="N990" s="299"/>
      <c r="O990" s="299"/>
      <c r="P990" s="299"/>
      <c r="Q990" s="299"/>
      <c r="R990" s="299"/>
      <c r="S990" s="299"/>
      <c r="T990" s="299"/>
      <c r="U990" s="299"/>
      <c r="V990" s="299"/>
      <c r="W990" s="8"/>
      <c r="X990" s="8"/>
      <c r="Y990" s="8"/>
      <c r="Z990" s="8"/>
    </row>
    <row r="991" spans="1:26" ht="12.75">
      <c r="A991" s="299"/>
      <c r="B991" s="300"/>
      <c r="C991" s="299"/>
      <c r="D991" s="299"/>
      <c r="E991" s="299"/>
      <c r="F991" s="299"/>
      <c r="G991" s="299"/>
      <c r="H991" s="1348"/>
      <c r="I991" s="299"/>
      <c r="J991" s="299"/>
      <c r="K991" s="299"/>
      <c r="L991" s="1336"/>
      <c r="M991" s="299"/>
      <c r="N991" s="299"/>
      <c r="O991" s="299"/>
      <c r="P991" s="299"/>
      <c r="Q991" s="299"/>
      <c r="R991" s="299"/>
      <c r="S991" s="299"/>
      <c r="T991" s="299"/>
      <c r="U991" s="299"/>
      <c r="V991" s="299"/>
      <c r="W991" s="8"/>
      <c r="X991" s="8"/>
      <c r="Y991" s="8"/>
      <c r="Z991" s="8"/>
    </row>
    <row r="992" spans="1:26" ht="12.75">
      <c r="A992" s="299"/>
      <c r="B992" s="300"/>
      <c r="C992" s="299"/>
      <c r="D992" s="299"/>
      <c r="E992" s="299"/>
      <c r="F992" s="299"/>
      <c r="G992" s="299"/>
      <c r="H992" s="1348"/>
      <c r="I992" s="299"/>
      <c r="J992" s="299"/>
      <c r="K992" s="299"/>
      <c r="L992" s="1336"/>
      <c r="M992" s="299"/>
      <c r="N992" s="299"/>
      <c r="O992" s="299"/>
      <c r="P992" s="299"/>
      <c r="Q992" s="299"/>
      <c r="R992" s="299"/>
      <c r="S992" s="299"/>
      <c r="T992" s="299"/>
      <c r="U992" s="299"/>
      <c r="V992" s="299"/>
      <c r="W992" s="8"/>
      <c r="X992" s="8"/>
      <c r="Y992" s="8"/>
      <c r="Z992" s="8"/>
    </row>
    <row r="993" spans="1:26" ht="12.75">
      <c r="A993" s="299"/>
      <c r="B993" s="300"/>
      <c r="C993" s="299"/>
      <c r="D993" s="299"/>
      <c r="E993" s="299"/>
      <c r="F993" s="299"/>
      <c r="G993" s="299"/>
      <c r="H993" s="1348"/>
      <c r="I993" s="299"/>
      <c r="J993" s="299"/>
      <c r="K993" s="299"/>
      <c r="L993" s="1336"/>
      <c r="M993" s="299"/>
      <c r="N993" s="299"/>
      <c r="O993" s="299"/>
      <c r="P993" s="299"/>
      <c r="Q993" s="299"/>
      <c r="R993" s="299"/>
      <c r="S993" s="299"/>
      <c r="T993" s="299"/>
      <c r="U993" s="299"/>
      <c r="V993" s="299"/>
      <c r="W993" s="8"/>
      <c r="X993" s="8"/>
      <c r="Y993" s="8"/>
      <c r="Z993" s="8"/>
    </row>
    <row r="994" spans="1:26" ht="12.75">
      <c r="A994" s="8"/>
      <c r="B994" s="85"/>
      <c r="C994" s="8"/>
      <c r="D994" s="8"/>
      <c r="E994" s="8"/>
      <c r="F994" s="8"/>
      <c r="G994" s="8"/>
      <c r="H994" s="8"/>
      <c r="I994" s="8"/>
      <c r="J994" s="8"/>
      <c r="K994" s="8"/>
      <c r="L994" s="59"/>
      <c r="M994" s="8"/>
      <c r="N994" s="8"/>
      <c r="O994" s="8"/>
      <c r="P994" s="8"/>
      <c r="Q994" s="8"/>
      <c r="R994" s="8"/>
      <c r="S994" s="8"/>
      <c r="T994" s="8"/>
      <c r="U994" s="8"/>
      <c r="V994" s="8"/>
      <c r="W994" s="8"/>
      <c r="X994" s="8"/>
      <c r="Y994" s="8"/>
      <c r="Z994" s="8"/>
    </row>
    <row r="995" spans="1:26" ht="12.75">
      <c r="A995" s="8"/>
      <c r="B995" s="85"/>
      <c r="C995" s="8"/>
      <c r="D995" s="8"/>
      <c r="E995" s="8"/>
      <c r="F995" s="8"/>
      <c r="G995" s="8"/>
      <c r="H995" s="8"/>
      <c r="I995" s="8"/>
      <c r="J995" s="8"/>
      <c r="K995" s="8"/>
      <c r="L995" s="59"/>
      <c r="M995" s="8"/>
      <c r="N995" s="8"/>
      <c r="O995" s="8"/>
      <c r="P995" s="8"/>
      <c r="Q995" s="8"/>
      <c r="R995" s="8"/>
      <c r="S995" s="8"/>
      <c r="T995" s="8"/>
      <c r="U995" s="8"/>
      <c r="V995" s="8"/>
      <c r="W995" s="8"/>
      <c r="X995" s="8"/>
      <c r="Y995" s="8"/>
      <c r="Z995" s="8"/>
    </row>
    <row r="996" spans="1:26" ht="12.75">
      <c r="A996" s="8"/>
      <c r="B996" s="85"/>
      <c r="C996" s="8"/>
      <c r="D996" s="8"/>
      <c r="E996" s="8"/>
      <c r="F996" s="8"/>
      <c r="G996" s="8"/>
      <c r="H996" s="8"/>
      <c r="I996" s="8"/>
      <c r="J996" s="8"/>
      <c r="K996" s="8"/>
      <c r="L996" s="59"/>
      <c r="M996" s="8"/>
      <c r="N996" s="8"/>
      <c r="O996" s="8"/>
      <c r="P996" s="8"/>
      <c r="Q996" s="8"/>
      <c r="R996" s="8"/>
      <c r="S996" s="8"/>
      <c r="T996" s="8"/>
      <c r="U996" s="8"/>
      <c r="V996" s="8"/>
      <c r="W996" s="8"/>
      <c r="X996" s="8"/>
      <c r="Y996" s="8"/>
      <c r="Z996" s="8"/>
    </row>
    <row r="997" spans="1:26" ht="12.75">
      <c r="A997" s="8"/>
      <c r="B997" s="85"/>
      <c r="C997" s="8"/>
      <c r="D997" s="8"/>
      <c r="E997" s="8"/>
      <c r="F997" s="8"/>
      <c r="G997" s="8"/>
      <c r="H997" s="8"/>
      <c r="I997" s="8"/>
      <c r="J997" s="8"/>
      <c r="K997" s="8"/>
      <c r="L997" s="59"/>
      <c r="M997" s="8"/>
      <c r="N997" s="8"/>
      <c r="O997" s="8"/>
      <c r="P997" s="8"/>
      <c r="Q997" s="8"/>
      <c r="R997" s="8"/>
      <c r="S997" s="8"/>
      <c r="T997" s="8"/>
      <c r="U997" s="8"/>
      <c r="V997" s="8"/>
      <c r="W997" s="8"/>
      <c r="X997" s="8"/>
      <c r="Y997" s="8"/>
      <c r="Z997" s="8"/>
    </row>
    <row r="998" spans="1:26" ht="12.75">
      <c r="A998" s="8"/>
      <c r="B998" s="85"/>
      <c r="C998" s="8"/>
      <c r="D998" s="8"/>
      <c r="E998" s="8"/>
      <c r="F998" s="8"/>
      <c r="G998" s="8"/>
      <c r="H998" s="8"/>
      <c r="I998" s="8"/>
      <c r="J998" s="8"/>
      <c r="K998" s="8"/>
      <c r="L998" s="59"/>
      <c r="M998" s="8"/>
      <c r="N998" s="8"/>
      <c r="O998" s="8"/>
      <c r="P998" s="8"/>
      <c r="Q998" s="8"/>
      <c r="R998" s="8"/>
      <c r="S998" s="8"/>
      <c r="T998" s="8"/>
      <c r="U998" s="8"/>
      <c r="V998" s="8"/>
      <c r="W998" s="8"/>
      <c r="X998" s="8"/>
      <c r="Y998" s="8"/>
      <c r="Z998" s="8"/>
    </row>
    <row r="999" spans="1:26" ht="12.75">
      <c r="A999" s="8"/>
      <c r="B999" s="85"/>
      <c r="C999" s="8"/>
      <c r="D999" s="8"/>
      <c r="E999" s="8"/>
      <c r="F999" s="8"/>
      <c r="G999" s="8"/>
      <c r="H999" s="8"/>
      <c r="I999" s="8"/>
      <c r="J999" s="8"/>
      <c r="K999" s="8"/>
      <c r="L999" s="59"/>
      <c r="M999" s="8"/>
      <c r="N999" s="8"/>
      <c r="O999" s="8"/>
      <c r="P999" s="8"/>
      <c r="Q999" s="8"/>
      <c r="R999" s="8"/>
      <c r="S999" s="8"/>
      <c r="T999" s="8"/>
      <c r="U999" s="8"/>
      <c r="V999" s="8"/>
      <c r="W999" s="8"/>
      <c r="X999" s="8"/>
      <c r="Y999" s="8"/>
      <c r="Z999" s="8"/>
    </row>
    <row r="1000" spans="1:26" ht="12.75">
      <c r="A1000" s="8"/>
      <c r="B1000" s="85"/>
      <c r="C1000" s="8"/>
      <c r="D1000" s="8"/>
      <c r="E1000" s="8"/>
      <c r="F1000" s="8"/>
      <c r="G1000" s="8"/>
      <c r="H1000" s="8"/>
      <c r="I1000" s="8"/>
      <c r="J1000" s="8"/>
      <c r="K1000" s="8"/>
      <c r="L1000" s="59"/>
      <c r="M1000" s="8"/>
      <c r="N1000" s="8"/>
      <c r="O1000" s="8"/>
      <c r="P1000" s="8"/>
      <c r="Q1000" s="8"/>
      <c r="R1000" s="8"/>
      <c r="S1000" s="8"/>
      <c r="T1000" s="8"/>
      <c r="U1000" s="8"/>
      <c r="V1000" s="8"/>
      <c r="W1000" s="8"/>
      <c r="X1000" s="8"/>
      <c r="Y1000" s="8"/>
      <c r="Z1000" s="8"/>
    </row>
  </sheetData>
  <autoFilter ref="A3:Z69">
    <filterColumn colId="10">
      <filters>
        <filter val="RIS"/>
      </filters>
    </filterColumn>
  </autoFilter>
  <mergeCells count="2">
    <mergeCell ref="E2:G2"/>
    <mergeCell ref="H2:J2"/>
  </mergeCell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1"/>
  <sheetViews>
    <sheetView workbookViewId="0"/>
  </sheetViews>
  <sheetFormatPr defaultColWidth="12.5703125" defaultRowHeight="15.75" customHeight="1"/>
  <cols>
    <col min="1" max="1" width="5.85546875" customWidth="1"/>
  </cols>
  <sheetData>
    <row r="1" spans="1:2" ht="15.75" customHeight="1">
      <c r="A1" s="1" t="s">
        <v>4739</v>
      </c>
      <c r="B1" s="1" t="s">
        <v>4740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45</vt:i4>
      </vt:variant>
      <vt:variant>
        <vt:lpstr>Named Ranges</vt:lpstr>
      </vt:variant>
      <vt:variant>
        <vt:i4>1</vt:i4>
      </vt:variant>
    </vt:vector>
  </HeadingPairs>
  <TitlesOfParts>
    <vt:vector size="46" baseType="lpstr">
      <vt:lpstr>2024 add</vt:lpstr>
      <vt:lpstr>PR_PPMP2025</vt:lpstr>
      <vt:lpstr>Recepients_Pivot 2024 Conso</vt:lpstr>
      <vt:lpstr>Req_20240624</vt:lpstr>
      <vt:lpstr>Req_20240604</vt:lpstr>
      <vt:lpstr>IHOMP-PPMP2025</vt:lpstr>
      <vt:lpstr>default</vt:lpstr>
      <vt:lpstr>Sheet1</vt:lpstr>
      <vt:lpstr>Pivot Conso ICT 2025</vt:lpstr>
      <vt:lpstr>Conso ICT 2025</vt:lpstr>
      <vt:lpstr>Copy of Pivot 2024 Conso</vt:lpstr>
      <vt:lpstr>DB</vt:lpstr>
      <vt:lpstr>Kyocera</vt:lpstr>
      <vt:lpstr>Copy of Kyocera</vt:lpstr>
      <vt:lpstr>Filter_PR</vt:lpstr>
      <vt:lpstr>Sheet40</vt:lpstr>
      <vt:lpstr>Copy of 2024 conso 1</vt:lpstr>
      <vt:lpstr>Copy of 2024 conso</vt:lpstr>
      <vt:lpstr>Copy of PSY</vt:lpstr>
      <vt:lpstr>dbm</vt:lpstr>
      <vt:lpstr>PREP PSY 2024</vt:lpstr>
      <vt:lpstr>ICT_PPMP2023</vt:lpstr>
      <vt:lpstr>Copy of Copy of PR</vt:lpstr>
      <vt:lpstr>Copy of APR</vt:lpstr>
      <vt:lpstr>Tally</vt:lpstr>
      <vt:lpstr>HCI</vt:lpstr>
      <vt:lpstr>Command</vt:lpstr>
      <vt:lpstr>PR</vt:lpstr>
      <vt:lpstr>APR</vt:lpstr>
      <vt:lpstr>DB_IMAGE UPLOAD</vt:lpstr>
      <vt:lpstr>Consolidated (Pivot DB)</vt:lpstr>
      <vt:lpstr>Pivot Table 1</vt:lpstr>
      <vt:lpstr>IMAGE UPLOAD</vt:lpstr>
      <vt:lpstr>Search</vt:lpstr>
      <vt:lpstr>core</vt:lpstr>
      <vt:lpstr>OFFICE SUPPLIES</vt:lpstr>
      <vt:lpstr>HOUSEKEEPING</vt:lpstr>
      <vt:lpstr>Common Supplies 2023</vt:lpstr>
      <vt:lpstr>RIS</vt:lpstr>
      <vt:lpstr>Conso Others</vt:lpstr>
      <vt:lpstr>Format</vt:lpstr>
      <vt:lpstr>ref only</vt:lpstr>
      <vt:lpstr>pp</vt:lpstr>
      <vt:lpstr>SUPPLY as of July2022</vt:lpstr>
      <vt:lpstr>UNIT</vt:lpstr>
      <vt:lpstr>default!Print_Area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engrstrange</dc:creator>
  <cp:lastModifiedBy>ACER</cp:lastModifiedBy>
  <cp:lastPrinted>2025-01-15T08:44:43Z</cp:lastPrinted>
  <dcterms:created xsi:type="dcterms:W3CDTF">2024-07-17T08:10:43Z</dcterms:created>
  <dcterms:modified xsi:type="dcterms:W3CDTF">2025-03-18T07:36:30Z</dcterms:modified>
</cp:coreProperties>
</file>